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dhagash/Library/CloudStorage/OneDrive-BLUMEVENTUREINVESTMENTMANAGERLLP(2)/Blume - Cashify/3. Blume ICs + Exits/"/>
    </mc:Choice>
  </mc:AlternateContent>
  <xr:revisionPtr revIDLastSave="0" documentId="8_{596C57F1-3DD4-AF47-A3EE-537BB699D4CF}" xr6:coauthVersionLast="47" xr6:coauthVersionMax="47" xr10:uidLastSave="{00000000-0000-0000-0000-000000000000}"/>
  <bookViews>
    <workbookView xWindow="0" yWindow="680" windowWidth="29400" windowHeight="18460" tabRatio="897" activeTab="3" xr2:uid="{BBDF93E7-97ED-4329-86FB-7971530CF45E}"/>
  </bookViews>
  <sheets>
    <sheet name="B2B - Non Repair Inputs" sheetId="1" state="hidden" r:id="rId1"/>
    <sheet name="Summary Dashboard" sheetId="5" state="hidden" r:id="rId2"/>
    <sheet name="P&amp;L - Inputs" sheetId="2" state="hidden" r:id="rId3"/>
    <sheet name="P&amp;L Summary" sheetId="24" r:id="rId4"/>
    <sheet name="Consolidated - P&amp;L" sheetId="18" r:id="rId5"/>
    <sheet name="BU wise P&amp;Ls &gt;" sheetId="4" r:id="rId6"/>
    <sheet name="B2B- Non Repair" sheetId="3" r:id="rId7"/>
    <sheet name="Refurbished" sheetId="15" r:id="rId8"/>
    <sheet name="Marketplace" sheetId="14" r:id="rId9"/>
    <sheet name="D2C Total" sheetId="11" r:id="rId10"/>
    <sheet name="D2C - Retail" sheetId="13" r:id="rId11"/>
    <sheet name="D2C Online" sheetId="7" r:id="rId12"/>
    <sheet name="D2C - Refurbished" sheetId="12" r:id="rId13"/>
    <sheet name="Laptop" sheetId="16" r:id="rId14"/>
    <sheet name="Screen Pro" sheetId="20" r:id="rId15"/>
    <sheet name="Offline Distribution" sheetId="21" r:id="rId16"/>
    <sheet name="Devices Collected" sheetId="17" r:id="rId17"/>
    <sheet name="Payroll" sheetId="19" r:id="rId18"/>
    <sheet name="Inventory" sheetId="23" r:id="rId19"/>
  </sheets>
  <definedNames>
    <definedName name="_xlnm._FilterDatabase" localSheetId="17" hidden="1">Payroll!$B$2:$DR$47</definedName>
    <definedName name="CIQWBGuid">"9b8b128a-ea69-4f95-8ab7-4b521b087d2d"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"04/25/2019 07:38:24"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2" i="24" l="1"/>
  <c r="O62" i="24"/>
  <c r="N62" i="24"/>
  <c r="M62" i="24"/>
  <c r="L62" i="24"/>
  <c r="K62" i="24"/>
  <c r="P59" i="24"/>
  <c r="O59" i="24"/>
  <c r="N59" i="24"/>
  <c r="M59" i="24"/>
  <c r="L59" i="24"/>
  <c r="K59" i="24"/>
  <c r="P51" i="24"/>
  <c r="O51" i="24"/>
  <c r="N51" i="24"/>
  <c r="M51" i="24"/>
  <c r="L51" i="24"/>
  <c r="K51" i="24"/>
  <c r="P43" i="24"/>
  <c r="O43" i="24"/>
  <c r="N43" i="24"/>
  <c r="M43" i="24"/>
  <c r="L43" i="24"/>
  <c r="K43" i="24"/>
  <c r="P34" i="24"/>
  <c r="O34" i="24"/>
  <c r="N34" i="24"/>
  <c r="M34" i="24"/>
  <c r="L34" i="24"/>
  <c r="K34" i="24"/>
  <c r="K25" i="24"/>
  <c r="P12" i="24"/>
  <c r="O12" i="24"/>
  <c r="N12" i="24"/>
  <c r="M12" i="24"/>
  <c r="L12" i="24"/>
  <c r="K12" i="24"/>
  <c r="P63" i="24"/>
  <c r="O63" i="24"/>
  <c r="N63" i="24"/>
  <c r="M63" i="24"/>
  <c r="L63" i="24"/>
  <c r="K63" i="24"/>
  <c r="P60" i="24"/>
  <c r="O60" i="24"/>
  <c r="N60" i="24"/>
  <c r="M60" i="24"/>
  <c r="L60" i="24"/>
  <c r="K60" i="24"/>
  <c r="P57" i="24"/>
  <c r="O57" i="24"/>
  <c r="N57" i="24"/>
  <c r="M57" i="24"/>
  <c r="L57" i="24"/>
  <c r="K57" i="24"/>
  <c r="P56" i="24"/>
  <c r="O56" i="24"/>
  <c r="N56" i="24"/>
  <c r="M56" i="24"/>
  <c r="L56" i="24"/>
  <c r="K56" i="24"/>
  <c r="P55" i="24"/>
  <c r="O55" i="24"/>
  <c r="N55" i="24"/>
  <c r="M55" i="24"/>
  <c r="L55" i="24"/>
  <c r="K55" i="24"/>
  <c r="P54" i="24"/>
  <c r="O54" i="24"/>
  <c r="N54" i="24"/>
  <c r="M54" i="24"/>
  <c r="L54" i="24"/>
  <c r="K54" i="24"/>
  <c r="P53" i="24"/>
  <c r="O53" i="24"/>
  <c r="N53" i="24"/>
  <c r="M53" i="24"/>
  <c r="L53" i="24"/>
  <c r="K53" i="24"/>
  <c r="P52" i="24"/>
  <c r="O52" i="24"/>
  <c r="N52" i="24"/>
  <c r="M52" i="24"/>
  <c r="L52" i="24"/>
  <c r="K52" i="24"/>
  <c r="P49" i="24"/>
  <c r="O49" i="24"/>
  <c r="N49" i="24"/>
  <c r="M49" i="24"/>
  <c r="L49" i="24"/>
  <c r="K49" i="24"/>
  <c r="P48" i="24"/>
  <c r="O48" i="24"/>
  <c r="N48" i="24"/>
  <c r="M48" i="24"/>
  <c r="L48" i="24"/>
  <c r="K48" i="24"/>
  <c r="P47" i="24"/>
  <c r="O47" i="24"/>
  <c r="N47" i="24"/>
  <c r="M47" i="24"/>
  <c r="L47" i="24"/>
  <c r="K47" i="24"/>
  <c r="P46" i="24"/>
  <c r="O46" i="24"/>
  <c r="N46" i="24"/>
  <c r="M46" i="24"/>
  <c r="L46" i="24"/>
  <c r="K46" i="24"/>
  <c r="P45" i="24"/>
  <c r="O45" i="24"/>
  <c r="N45" i="24"/>
  <c r="M45" i="24"/>
  <c r="L45" i="24"/>
  <c r="K45" i="24"/>
  <c r="P44" i="24"/>
  <c r="O44" i="24"/>
  <c r="N44" i="24"/>
  <c r="M44" i="24"/>
  <c r="L44" i="24"/>
  <c r="K44" i="24"/>
  <c r="P41" i="24"/>
  <c r="O41" i="24"/>
  <c r="N41" i="24"/>
  <c r="M41" i="24"/>
  <c r="L41" i="24"/>
  <c r="K41" i="24"/>
  <c r="P40" i="24"/>
  <c r="O40" i="24"/>
  <c r="N40" i="24"/>
  <c r="M40" i="24"/>
  <c r="L40" i="24"/>
  <c r="K40" i="24"/>
  <c r="P39" i="24"/>
  <c r="O39" i="24"/>
  <c r="N39" i="24"/>
  <c r="M39" i="24"/>
  <c r="L39" i="24"/>
  <c r="K39" i="24"/>
  <c r="P38" i="24"/>
  <c r="O38" i="24"/>
  <c r="N38" i="24"/>
  <c r="M38" i="24"/>
  <c r="L38" i="24"/>
  <c r="K38" i="24"/>
  <c r="P37" i="24"/>
  <c r="O37" i="24"/>
  <c r="N37" i="24"/>
  <c r="M37" i="24"/>
  <c r="L37" i="24"/>
  <c r="K37" i="24"/>
  <c r="P36" i="24"/>
  <c r="O36" i="24"/>
  <c r="N36" i="24"/>
  <c r="M36" i="24"/>
  <c r="L36" i="24"/>
  <c r="K36" i="24"/>
  <c r="P35" i="24"/>
  <c r="O35" i="24"/>
  <c r="N35" i="24"/>
  <c r="M35" i="24"/>
  <c r="L35" i="24"/>
  <c r="K35" i="24"/>
  <c r="P32" i="24"/>
  <c r="O32" i="24"/>
  <c r="N32" i="24"/>
  <c r="M32" i="24"/>
  <c r="L32" i="24"/>
  <c r="K32" i="24"/>
  <c r="P31" i="24"/>
  <c r="O31" i="24"/>
  <c r="N31" i="24"/>
  <c r="M31" i="24"/>
  <c r="L31" i="24"/>
  <c r="K31" i="24"/>
  <c r="P30" i="24"/>
  <c r="O30" i="24"/>
  <c r="N30" i="24"/>
  <c r="M30" i="24"/>
  <c r="L30" i="24"/>
  <c r="K30" i="24"/>
  <c r="P29" i="24"/>
  <c r="O29" i="24"/>
  <c r="N29" i="24"/>
  <c r="M29" i="24"/>
  <c r="L29" i="24"/>
  <c r="K29" i="24"/>
  <c r="P28" i="24"/>
  <c r="O28" i="24"/>
  <c r="N28" i="24"/>
  <c r="M28" i="24"/>
  <c r="L28" i="24"/>
  <c r="K28" i="24"/>
  <c r="P27" i="24"/>
  <c r="O27" i="24"/>
  <c r="N27" i="24"/>
  <c r="M27" i="24"/>
  <c r="L27" i="24"/>
  <c r="K27" i="24"/>
  <c r="P26" i="24"/>
  <c r="O26" i="24"/>
  <c r="N26" i="24"/>
  <c r="M26" i="24"/>
  <c r="L26" i="24"/>
  <c r="K26" i="24"/>
  <c r="P23" i="24"/>
  <c r="O23" i="24"/>
  <c r="N23" i="24"/>
  <c r="M23" i="24"/>
  <c r="L23" i="24"/>
  <c r="K23" i="24"/>
  <c r="P22" i="24"/>
  <c r="O22" i="24"/>
  <c r="N22" i="24"/>
  <c r="M22" i="24"/>
  <c r="L22" i="24"/>
  <c r="K22" i="24"/>
  <c r="P21" i="24"/>
  <c r="O21" i="24"/>
  <c r="N21" i="24"/>
  <c r="M21" i="24"/>
  <c r="L21" i="24"/>
  <c r="K21" i="24"/>
  <c r="P20" i="24"/>
  <c r="O20" i="24"/>
  <c r="N20" i="24"/>
  <c r="M20" i="24"/>
  <c r="L20" i="24"/>
  <c r="K20" i="24"/>
  <c r="P17" i="24"/>
  <c r="O17" i="24"/>
  <c r="N17" i="24"/>
  <c r="M17" i="24"/>
  <c r="L17" i="24"/>
  <c r="K17" i="24"/>
  <c r="P16" i="24"/>
  <c r="O16" i="24"/>
  <c r="N16" i="24"/>
  <c r="M16" i="24"/>
  <c r="L16" i="24"/>
  <c r="K16" i="24"/>
  <c r="P15" i="24"/>
  <c r="O15" i="24"/>
  <c r="N15" i="24"/>
  <c r="M15" i="24"/>
  <c r="L15" i="24"/>
  <c r="K15" i="24"/>
  <c r="P14" i="24"/>
  <c r="O14" i="24"/>
  <c r="N14" i="24"/>
  <c r="M14" i="24"/>
  <c r="L14" i="24"/>
  <c r="K14" i="24"/>
  <c r="P13" i="24"/>
  <c r="O13" i="24"/>
  <c r="N13" i="24"/>
  <c r="M13" i="24"/>
  <c r="L13" i="24"/>
  <c r="K13" i="24"/>
  <c r="P10" i="24"/>
  <c r="O10" i="24"/>
  <c r="N10" i="24"/>
  <c r="M10" i="24"/>
  <c r="L10" i="24"/>
  <c r="K10" i="24"/>
  <c r="P9" i="24"/>
  <c r="O9" i="24"/>
  <c r="N9" i="24"/>
  <c r="M9" i="24"/>
  <c r="L9" i="24"/>
  <c r="K9" i="24"/>
  <c r="P8" i="24"/>
  <c r="O8" i="24"/>
  <c r="N8" i="24"/>
  <c r="M8" i="24"/>
  <c r="L8" i="24"/>
  <c r="K8" i="24"/>
  <c r="P7" i="24"/>
  <c r="O7" i="24"/>
  <c r="N7" i="24"/>
  <c r="M7" i="24"/>
  <c r="L7" i="24"/>
  <c r="K7" i="24"/>
  <c r="P6" i="24"/>
  <c r="O6" i="24"/>
  <c r="N6" i="24"/>
  <c r="M6" i="24"/>
  <c r="L6" i="24"/>
  <c r="K6" i="24"/>
  <c r="P5" i="24"/>
  <c r="O5" i="24"/>
  <c r="N5" i="24"/>
  <c r="M5" i="24"/>
  <c r="L5" i="24"/>
  <c r="K5" i="24"/>
  <c r="CS753" i="2"/>
  <c r="CR753" i="2"/>
  <c r="CQ753" i="2"/>
  <c r="CP753" i="2"/>
  <c r="CO753" i="2"/>
  <c r="CN753" i="2"/>
  <c r="CM753" i="2"/>
  <c r="CL753" i="2"/>
  <c r="CK753" i="2"/>
  <c r="CJ753" i="2"/>
  <c r="CI753" i="2"/>
  <c r="CH753" i="2"/>
  <c r="CG753" i="2"/>
  <c r="CF753" i="2"/>
  <c r="CE753" i="2"/>
  <c r="CD753" i="2"/>
  <c r="CC753" i="2"/>
  <c r="CB753" i="2"/>
  <c r="CA753" i="2"/>
  <c r="BZ753" i="2"/>
  <c r="BY753" i="2"/>
  <c r="BX753" i="2"/>
  <c r="BW753" i="2"/>
  <c r="BV753" i="2"/>
  <c r="BU753" i="2"/>
  <c r="BT753" i="2"/>
  <c r="BS753" i="2"/>
  <c r="BR753" i="2"/>
  <c r="BQ753" i="2"/>
  <c r="BP753" i="2"/>
  <c r="BO753" i="2"/>
  <c r="BN753" i="2"/>
  <c r="BM753" i="2"/>
  <c r="BL753" i="2"/>
  <c r="BK753" i="2"/>
  <c r="BJ753" i="2"/>
  <c r="BI753" i="2"/>
  <c r="BH753" i="2"/>
  <c r="BG753" i="2"/>
  <c r="BF753" i="2"/>
  <c r="BE753" i="2"/>
  <c r="BD753" i="2"/>
  <c r="BC753" i="2"/>
  <c r="BB753" i="2"/>
  <c r="BA753" i="2"/>
  <c r="AZ753" i="2"/>
  <c r="AY753" i="2"/>
  <c r="AX753" i="2"/>
  <c r="AW753" i="2"/>
  <c r="AV753" i="2"/>
  <c r="AU753" i="2"/>
  <c r="AT753" i="2"/>
  <c r="AS753" i="2"/>
  <c r="AR753" i="2"/>
  <c r="AQ753" i="2"/>
  <c r="AP753" i="2"/>
  <c r="AO753" i="2"/>
  <c r="AN753" i="2"/>
  <c r="AM753" i="2"/>
  <c r="AL753" i="2"/>
  <c r="AK753" i="2"/>
  <c r="AJ753" i="2"/>
  <c r="AI753" i="2"/>
  <c r="AH753" i="2"/>
  <c r="AG753" i="2"/>
  <c r="AF753" i="2"/>
  <c r="AE753" i="2"/>
  <c r="AD753" i="2"/>
  <c r="AC753" i="2"/>
  <c r="AB753" i="2"/>
  <c r="AA753" i="2"/>
  <c r="Z753" i="2"/>
  <c r="Y753" i="2"/>
  <c r="X753" i="2"/>
  <c r="W753" i="2"/>
  <c r="V753" i="2"/>
  <c r="U753" i="2"/>
  <c r="T753" i="2"/>
  <c r="S753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FC115" i="18"/>
  <c r="FB115" i="18"/>
  <c r="FA115" i="18"/>
  <c r="EZ115" i="18"/>
  <c r="EY115" i="18"/>
  <c r="EX115" i="18"/>
  <c r="EW115" i="18"/>
  <c r="EV115" i="18"/>
  <c r="EU115" i="18"/>
  <c r="ET115" i="18"/>
  <c r="ES115" i="18"/>
  <c r="ER115" i="18"/>
  <c r="EQ115" i="18"/>
  <c r="EP115" i="18"/>
  <c r="EO115" i="18"/>
  <c r="EN115" i="18"/>
  <c r="EM115" i="18"/>
  <c r="EL115" i="18"/>
  <c r="EK115" i="18"/>
  <c r="EJ115" i="18"/>
  <c r="EI115" i="18"/>
  <c r="EH115" i="18"/>
  <c r="EG115" i="18"/>
  <c r="EF115" i="18"/>
  <c r="FI106" i="18"/>
  <c r="FC106" i="18"/>
  <c r="FB106" i="18"/>
  <c r="FA106" i="18"/>
  <c r="EZ106" i="18"/>
  <c r="EY106" i="18"/>
  <c r="EX106" i="18"/>
  <c r="EW106" i="18"/>
  <c r="EV106" i="18"/>
  <c r="EU106" i="18"/>
  <c r="ET106" i="18"/>
  <c r="ES106" i="18"/>
  <c r="ER106" i="18"/>
  <c r="EQ106" i="18"/>
  <c r="EP106" i="18"/>
  <c r="EO106" i="18"/>
  <c r="EN106" i="18"/>
  <c r="EM106" i="18"/>
  <c r="EL106" i="18"/>
  <c r="EK106" i="18"/>
  <c r="EJ106" i="18"/>
  <c r="EI106" i="18"/>
  <c r="EH106" i="18"/>
  <c r="EG106" i="18"/>
  <c r="EF106" i="18"/>
  <c r="CU610" i="2"/>
  <c r="CT618" i="2"/>
  <c r="CT617" i="2"/>
  <c r="DS611" i="2"/>
  <c r="DR611" i="2"/>
  <c r="DF611" i="2"/>
  <c r="CW611" i="2"/>
  <c r="CV611" i="2"/>
  <c r="CU611" i="2"/>
  <c r="CT569" i="2"/>
  <c r="CT568" i="2"/>
  <c r="CT567" i="2"/>
  <c r="CT566" i="2"/>
  <c r="CT548" i="2"/>
  <c r="CT547" i="2"/>
  <c r="CT557" i="2"/>
  <c r="CT552" i="2"/>
  <c r="CT540" i="2"/>
  <c r="CT537" i="2"/>
  <c r="CT344" i="2"/>
  <c r="EC321" i="2"/>
  <c r="EB321" i="2"/>
  <c r="EA321" i="2"/>
  <c r="DZ321" i="2"/>
  <c r="DY321" i="2"/>
  <c r="DX321" i="2"/>
  <c r="DW321" i="2"/>
  <c r="DV321" i="2"/>
  <c r="DU321" i="2"/>
  <c r="DT321" i="2"/>
  <c r="DS321" i="2"/>
  <c r="DR321" i="2"/>
  <c r="DQ321" i="2"/>
  <c r="DP321" i="2"/>
  <c r="DO321" i="2"/>
  <c r="DN321" i="2"/>
  <c r="DM321" i="2"/>
  <c r="DL321" i="2"/>
  <c r="DK321" i="2"/>
  <c r="DJ321" i="2"/>
  <c r="DI321" i="2"/>
  <c r="DH321" i="2"/>
  <c r="DG321" i="2"/>
  <c r="DF321" i="2"/>
  <c r="DE321" i="2"/>
  <c r="DD321" i="2"/>
  <c r="DC321" i="2"/>
  <c r="DB321" i="2"/>
  <c r="DA321" i="2"/>
  <c r="CZ321" i="2"/>
  <c r="CY321" i="2"/>
  <c r="CX321" i="2"/>
  <c r="CW321" i="2"/>
  <c r="CV321" i="2"/>
  <c r="CU321" i="2"/>
  <c r="CT321" i="2"/>
  <c r="CT297" i="2"/>
  <c r="CT296" i="2"/>
  <c r="CT276" i="2"/>
  <c r="CT275" i="2"/>
  <c r="CT111" i="2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CT119" i="2"/>
  <c r="CT118" i="2"/>
  <c r="CT117" i="2"/>
  <c r="CT98" i="2"/>
  <c r="CT95" i="2"/>
  <c r="CT67" i="2"/>
  <c r="CV84" i="2"/>
  <c r="CU84" i="2"/>
  <c r="CT84" i="2"/>
  <c r="CV81" i="2"/>
  <c r="CU81" i="2"/>
  <c r="CT81" i="2"/>
  <c r="EC59" i="2"/>
  <c r="EB59" i="2"/>
  <c r="EA59" i="2"/>
  <c r="DZ59" i="2"/>
  <c r="DY59" i="2"/>
  <c r="DX59" i="2"/>
  <c r="DW59" i="2"/>
  <c r="DV59" i="2"/>
  <c r="DU59" i="2"/>
  <c r="DT59" i="2"/>
  <c r="DS59" i="2"/>
  <c r="DR59" i="2"/>
  <c r="DQ59" i="2"/>
  <c r="DP59" i="2"/>
  <c r="DO59" i="2"/>
  <c r="DN59" i="2"/>
  <c r="DM59" i="2"/>
  <c r="DL59" i="2"/>
  <c r="DK59" i="2"/>
  <c r="DJ59" i="2"/>
  <c r="DI59" i="2"/>
  <c r="DH59" i="2"/>
  <c r="DG59" i="2"/>
  <c r="DF59" i="2"/>
  <c r="DE59" i="2"/>
  <c r="DD59" i="2"/>
  <c r="DC59" i="2"/>
  <c r="DB59" i="2"/>
  <c r="DA59" i="2"/>
  <c r="CZ59" i="2"/>
  <c r="CY59" i="2"/>
  <c r="CX59" i="2"/>
  <c r="CW59" i="2"/>
  <c r="CV59" i="2"/>
  <c r="CU59" i="2"/>
  <c r="CV78" i="2"/>
  <c r="CU78" i="2"/>
  <c r="CT59" i="2"/>
  <c r="EC56" i="2"/>
  <c r="EB56" i="2"/>
  <c r="EA56" i="2"/>
  <c r="DZ56" i="2"/>
  <c r="DY56" i="2"/>
  <c r="DX56" i="2"/>
  <c r="DW56" i="2"/>
  <c r="DV56" i="2"/>
  <c r="DU56" i="2"/>
  <c r="DT56" i="2"/>
  <c r="DS56" i="2"/>
  <c r="DR56" i="2"/>
  <c r="DQ56" i="2"/>
  <c r="DP56" i="2"/>
  <c r="DO56" i="2"/>
  <c r="DN56" i="2"/>
  <c r="DM56" i="2"/>
  <c r="DL56" i="2"/>
  <c r="DK56" i="2"/>
  <c r="DJ56" i="2"/>
  <c r="DI56" i="2"/>
  <c r="DH56" i="2"/>
  <c r="DG56" i="2"/>
  <c r="DF56" i="2"/>
  <c r="DE56" i="2"/>
  <c r="DD56" i="2"/>
  <c r="DC56" i="2"/>
  <c r="DB56" i="2"/>
  <c r="DA56" i="2"/>
  <c r="CZ56" i="2"/>
  <c r="CY56" i="2"/>
  <c r="CX56" i="2"/>
  <c r="CW56" i="2"/>
  <c r="CV56" i="2"/>
  <c r="CU56" i="2"/>
  <c r="CT56" i="2"/>
  <c r="CT78" i="2"/>
  <c r="CV71" i="2"/>
  <c r="CU71" i="2"/>
  <c r="DE745" i="2"/>
  <c r="DD745" i="2"/>
  <c r="DC745" i="2"/>
  <c r="DB745" i="2"/>
  <c r="DA745" i="2"/>
  <c r="CZ745" i="2"/>
  <c r="CY745" i="2"/>
  <c r="CX745" i="2"/>
  <c r="CW745" i="2"/>
  <c r="CV745" i="2"/>
  <c r="CU745" i="2"/>
  <c r="CT745" i="2"/>
  <c r="CT337" i="2"/>
  <c r="CU336" i="2"/>
  <c r="CT335" i="2"/>
  <c r="CT384" i="2"/>
  <c r="CU385" i="2"/>
  <c r="CR147" i="2"/>
  <c r="CQ147" i="2"/>
  <c r="CP147" i="2"/>
  <c r="CO147" i="2"/>
  <c r="CN147" i="2"/>
  <c r="CM147" i="2"/>
  <c r="CL147" i="2"/>
  <c r="CK147" i="2"/>
  <c r="CJ147" i="2"/>
  <c r="CI147" i="2"/>
  <c r="CH147" i="2"/>
  <c r="CG147" i="2"/>
  <c r="CF147" i="2"/>
  <c r="CE147" i="2"/>
  <c r="CD147" i="2"/>
  <c r="CC147" i="2"/>
  <c r="CB147" i="2"/>
  <c r="CA147" i="2"/>
  <c r="BZ147" i="2"/>
  <c r="BY147" i="2"/>
  <c r="BX147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CS147" i="2"/>
  <c r="CU147" i="2"/>
  <c r="CU159" i="2"/>
  <c r="CT159" i="2"/>
  <c r="CT162" i="2"/>
  <c r="CU14" i="2"/>
  <c r="CU13" i="2"/>
  <c r="CT14" i="2"/>
  <c r="CT13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CU4" i="2"/>
  <c r="EC93" i="12"/>
  <c r="EC6" i="12"/>
  <c r="DV93" i="12"/>
  <c r="DU93" i="12"/>
  <c r="DT93" i="12"/>
  <c r="DS93" i="12"/>
  <c r="DV6" i="12"/>
  <c r="DU6" i="12"/>
  <c r="DT6" i="12"/>
  <c r="DS6" i="12"/>
  <c r="EJ118" i="13"/>
  <c r="DF111" i="13"/>
  <c r="DG111" i="13"/>
  <c r="EE111" i="13" s="1"/>
  <c r="DH111" i="13"/>
  <c r="DI111" i="13"/>
  <c r="DJ111" i="13"/>
  <c r="DK111" i="13"/>
  <c r="DL111" i="13"/>
  <c r="DM111" i="13"/>
  <c r="EF111" i="13" s="1"/>
  <c r="DN111" i="13"/>
  <c r="EG111" i="13" s="1"/>
  <c r="DO111" i="13"/>
  <c r="DP111" i="13"/>
  <c r="DQ111" i="13"/>
  <c r="DR111" i="13"/>
  <c r="DS111" i="13"/>
  <c r="EH111" i="13" s="1"/>
  <c r="DT111" i="13"/>
  <c r="DU111" i="13"/>
  <c r="DV111" i="13"/>
  <c r="DW111" i="13"/>
  <c r="DX111" i="13"/>
  <c r="EI111" i="13" s="1"/>
  <c r="DY111" i="13"/>
  <c r="DZ111" i="13"/>
  <c r="EJ111" i="13" s="1"/>
  <c r="EA111" i="13"/>
  <c r="EB111" i="13"/>
  <c r="EC111" i="13"/>
  <c r="EJ117" i="13"/>
  <c r="EJ94" i="13"/>
  <c r="EJ93" i="13"/>
  <c r="EJ92" i="13"/>
  <c r="EJ91" i="13"/>
  <c r="EJ90" i="13"/>
  <c r="DZ118" i="13"/>
  <c r="EA118" i="13" s="1"/>
  <c r="EB118" i="13" s="1"/>
  <c r="EC118" i="13" s="1"/>
  <c r="EC117" i="13"/>
  <c r="EB117" i="13"/>
  <c r="EA117" i="13"/>
  <c r="DZ117" i="13"/>
  <c r="EC94" i="13"/>
  <c r="EB94" i="13"/>
  <c r="EA94" i="13"/>
  <c r="DZ94" i="13"/>
  <c r="EC93" i="13"/>
  <c r="EB93" i="13"/>
  <c r="EA93" i="13"/>
  <c r="DZ93" i="13"/>
  <c r="EC92" i="13"/>
  <c r="EB92" i="13"/>
  <c r="EA92" i="13"/>
  <c r="DZ92" i="13"/>
  <c r="EC91" i="13"/>
  <c r="EB91" i="13"/>
  <c r="EA91" i="13"/>
  <c r="DZ91" i="13"/>
  <c r="EC90" i="13"/>
  <c r="EB90" i="13"/>
  <c r="EA90" i="13"/>
  <c r="DZ90" i="13"/>
  <c r="EC140" i="11"/>
  <c r="EC135" i="11"/>
  <c r="EC130" i="11"/>
  <c r="EC120" i="11"/>
  <c r="EC116" i="11"/>
  <c r="EC111" i="11"/>
  <c r="EC104" i="11"/>
  <c r="EC100" i="11"/>
  <c r="EC97" i="11"/>
  <c r="EC91" i="11"/>
  <c r="EC88" i="11"/>
  <c r="EC82" i="11"/>
  <c r="EC78" i="11"/>
  <c r="EC66" i="11"/>
  <c r="EC61" i="11"/>
  <c r="EC58" i="11"/>
  <c r="EC57" i="11"/>
  <c r="EC54" i="11"/>
  <c r="EC49" i="11"/>
  <c r="EC47" i="11"/>
  <c r="EC44" i="11"/>
  <c r="EC39" i="11"/>
  <c r="EC35" i="11"/>
  <c r="EC32" i="11"/>
  <c r="EC27" i="11"/>
  <c r="EC26" i="11"/>
  <c r="EC22" i="11"/>
  <c r="EC19" i="11"/>
  <c r="DV104" i="11"/>
  <c r="DU104" i="11"/>
  <c r="DT104" i="11"/>
  <c r="DS104" i="11"/>
  <c r="DV78" i="11"/>
  <c r="DU78" i="11"/>
  <c r="DT78" i="11"/>
  <c r="DS78" i="11"/>
  <c r="DV57" i="11"/>
  <c r="DU57" i="11"/>
  <c r="DT57" i="11"/>
  <c r="DS57" i="11"/>
  <c r="DV54" i="11"/>
  <c r="DU54" i="11"/>
  <c r="DT54" i="11"/>
  <c r="DS54" i="11"/>
  <c r="DV44" i="11"/>
  <c r="DU44" i="11"/>
  <c r="DT44" i="11"/>
  <c r="DS44" i="11"/>
  <c r="DV39" i="11"/>
  <c r="DU39" i="11"/>
  <c r="DT39" i="11"/>
  <c r="DS39" i="11"/>
  <c r="DV35" i="11"/>
  <c r="DU35" i="11"/>
  <c r="DT35" i="11"/>
  <c r="DS35" i="11"/>
  <c r="DV32" i="11"/>
  <c r="DU32" i="11"/>
  <c r="DT32" i="11"/>
  <c r="DS32" i="11"/>
  <c r="DV27" i="11"/>
  <c r="DU27" i="11"/>
  <c r="DT27" i="11"/>
  <c r="DS27" i="11"/>
  <c r="DV26" i="11"/>
  <c r="DU26" i="11"/>
  <c r="DT26" i="11"/>
  <c r="DS26" i="11"/>
  <c r="DV22" i="11"/>
  <c r="DU22" i="11"/>
  <c r="DT22" i="11"/>
  <c r="DS22" i="11"/>
  <c r="FJ49" i="14"/>
  <c r="FJ47" i="14"/>
  <c r="FJ46" i="14"/>
  <c r="FJ44" i="14"/>
  <c r="FJ41" i="14"/>
  <c r="FJ38" i="14"/>
  <c r="FJ35" i="14"/>
  <c r="FJ32" i="14"/>
  <c r="FJ25" i="14"/>
  <c r="FJ22" i="14"/>
  <c r="FJ19" i="14"/>
  <c r="FJ16" i="14"/>
  <c r="FJ13" i="14"/>
  <c r="FJ12" i="14"/>
  <c r="FJ8" i="14"/>
  <c r="FJ4" i="14"/>
  <c r="FC49" i="14"/>
  <c r="FB49" i="14"/>
  <c r="FA49" i="14"/>
  <c r="EZ49" i="14"/>
  <c r="FC47" i="14"/>
  <c r="FB47" i="14"/>
  <c r="FA47" i="14"/>
  <c r="EZ47" i="14"/>
  <c r="FC46" i="14"/>
  <c r="FB46" i="14"/>
  <c r="FA46" i="14"/>
  <c r="EZ46" i="14"/>
  <c r="FC44" i="14"/>
  <c r="FB44" i="14"/>
  <c r="FA44" i="14"/>
  <c r="EZ44" i="14"/>
  <c r="FC41" i="14"/>
  <c r="FB41" i="14"/>
  <c r="FA41" i="14"/>
  <c r="EZ41" i="14"/>
  <c r="FC38" i="14"/>
  <c r="FB38" i="14"/>
  <c r="FA38" i="14"/>
  <c r="EZ38" i="14"/>
  <c r="FC35" i="14"/>
  <c r="FB35" i="14"/>
  <c r="FA35" i="14"/>
  <c r="EZ35" i="14"/>
  <c r="FC32" i="14"/>
  <c r="FB32" i="14"/>
  <c r="FA32" i="14"/>
  <c r="EZ32" i="14"/>
  <c r="FC25" i="14"/>
  <c r="FB25" i="14"/>
  <c r="FA25" i="14"/>
  <c r="EZ25" i="14"/>
  <c r="FC22" i="14"/>
  <c r="FB22" i="14"/>
  <c r="FA22" i="14"/>
  <c r="EZ22" i="14"/>
  <c r="FC19" i="14"/>
  <c r="FB19" i="14"/>
  <c r="FA19" i="14"/>
  <c r="EZ19" i="14"/>
  <c r="FC16" i="14"/>
  <c r="FB16" i="14"/>
  <c r="FA16" i="14"/>
  <c r="EZ16" i="14"/>
  <c r="FC13" i="14"/>
  <c r="FB13" i="14"/>
  <c r="FA13" i="14"/>
  <c r="EZ13" i="14"/>
  <c r="FC12" i="14"/>
  <c r="FB12" i="14"/>
  <c r="FA12" i="14"/>
  <c r="EZ12" i="14"/>
  <c r="FC8" i="14"/>
  <c r="FB8" i="14"/>
  <c r="FA8" i="14"/>
  <c r="EZ8" i="14"/>
  <c r="FC4" i="14"/>
  <c r="FB4" i="14"/>
  <c r="FA4" i="14"/>
  <c r="EZ4" i="14"/>
  <c r="O101" i="23"/>
  <c r="CG75" i="23"/>
  <c r="CK74" i="23"/>
  <c r="BI30" i="23"/>
  <c r="CN47" i="19"/>
  <c r="BZ47" i="19"/>
  <c r="DN44" i="19"/>
  <c r="DJ44" i="19"/>
  <c r="DH44" i="19"/>
  <c r="CV44" i="19"/>
  <c r="AT44" i="19"/>
  <c r="DF43" i="19"/>
  <c r="CL43" i="19"/>
  <c r="CH43" i="19"/>
  <c r="BX43" i="19"/>
  <c r="BP42" i="19"/>
  <c r="DE41" i="19"/>
  <c r="CD41" i="19"/>
  <c r="BV41" i="19"/>
  <c r="BT41" i="19"/>
  <c r="BN41" i="19"/>
  <c r="BJ41" i="19"/>
  <c r="BB41" i="19"/>
  <c r="AZ41" i="19"/>
  <c r="CT40" i="19"/>
  <c r="BN40" i="19"/>
  <c r="BL40" i="19"/>
  <c r="DJ39" i="19"/>
  <c r="DF39" i="19"/>
  <c r="CL39" i="19"/>
  <c r="CT37" i="19"/>
  <c r="CT36" i="19"/>
  <c r="BX36" i="19"/>
  <c r="AJ34" i="19"/>
  <c r="BJ32" i="19"/>
  <c r="AH32" i="19"/>
  <c r="CX26" i="19"/>
  <c r="CD26" i="19"/>
  <c r="DL25" i="19"/>
  <c r="DJ25" i="19"/>
  <c r="DP22" i="19"/>
  <c r="DH22" i="19"/>
  <c r="CP22" i="19"/>
  <c r="CL22" i="19"/>
  <c r="CJ22" i="19"/>
  <c r="CD22" i="19"/>
  <c r="DH21" i="19"/>
  <c r="CT21" i="19"/>
  <c r="CD21" i="19"/>
  <c r="BV21" i="19"/>
  <c r="BH21" i="19"/>
  <c r="CX20" i="19"/>
  <c r="CT20" i="19"/>
  <c r="CP17" i="19"/>
  <c r="CH17" i="19"/>
  <c r="AT17" i="19"/>
  <c r="DF16" i="19"/>
  <c r="CJ16" i="19"/>
  <c r="CD16" i="19"/>
  <c r="DF12" i="19"/>
  <c r="CD12" i="19"/>
  <c r="CJ10" i="19"/>
  <c r="CD10" i="19"/>
  <c r="CH9" i="19"/>
  <c r="CF9" i="19"/>
  <c r="CD9" i="19"/>
  <c r="CB9" i="19"/>
  <c r="AJ9" i="19"/>
  <c r="CJ7" i="19"/>
  <c r="DL5" i="19"/>
  <c r="DF5" i="19"/>
  <c r="DE5" i="19"/>
  <c r="CV5" i="19"/>
  <c r="CP5" i="19"/>
  <c r="CJ5" i="19"/>
  <c r="CB5" i="19"/>
  <c r="CD4" i="19"/>
  <c r="AJ4" i="19"/>
  <c r="CS33" i="17"/>
  <c r="CR33" i="17"/>
  <c r="CP33" i="17"/>
  <c r="CO33" i="17"/>
  <c r="CM33" i="17"/>
  <c r="CL33" i="17"/>
  <c r="CJ33" i="17"/>
  <c r="CI33" i="17"/>
  <c r="CH33" i="17"/>
  <c r="CF33" i="17"/>
  <c r="CE33" i="17"/>
  <c r="CD33" i="17"/>
  <c r="BZ33" i="17"/>
  <c r="BY33" i="17"/>
  <c r="BX33" i="17"/>
  <c r="BW33" i="17"/>
  <c r="BT33" i="17"/>
  <c r="BS33" i="17"/>
  <c r="BR33" i="17"/>
  <c r="BO33" i="17"/>
  <c r="BN33" i="17"/>
  <c r="BM33" i="17"/>
  <c r="BL33" i="17"/>
  <c r="BK33" i="17"/>
  <c r="BJ33" i="17"/>
  <c r="BI33" i="17"/>
  <c r="BC33" i="17"/>
  <c r="BA33" i="17"/>
  <c r="AZ33" i="17"/>
  <c r="AY33" i="17"/>
  <c r="AV33" i="17"/>
  <c r="AU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X33" i="17"/>
  <c r="W33" i="17"/>
  <c r="V33" i="17"/>
  <c r="U33" i="17"/>
  <c r="T33" i="17"/>
  <c r="R33" i="17"/>
  <c r="Q33" i="17"/>
  <c r="P33" i="17"/>
  <c r="O33" i="17"/>
  <c r="N33" i="17"/>
  <c r="M33" i="17"/>
  <c r="L33" i="17"/>
  <c r="K33" i="17"/>
  <c r="J33" i="17"/>
  <c r="I33" i="17"/>
  <c r="F33" i="17"/>
  <c r="E33" i="17"/>
  <c r="D33" i="17"/>
  <c r="C33" i="17"/>
  <c r="CR20" i="17"/>
  <c r="CO20" i="17"/>
  <c r="CM20" i="17"/>
  <c r="CJ20" i="17"/>
  <c r="CH20" i="17"/>
  <c r="BZ20" i="17"/>
  <c r="BT20" i="17"/>
  <c r="BN20" i="17"/>
  <c r="BM20" i="17"/>
  <c r="BK20" i="17"/>
  <c r="BI20" i="17"/>
  <c r="BA20" i="17"/>
  <c r="AZ20" i="17"/>
  <c r="AY20" i="17"/>
  <c r="AU20" i="17"/>
  <c r="AP20" i="17"/>
  <c r="AF20" i="17"/>
  <c r="AA20" i="17"/>
  <c r="R20" i="17"/>
  <c r="E20" i="17"/>
  <c r="BC34" i="21"/>
  <c r="AJ32" i="21"/>
  <c r="AU31" i="21"/>
  <c r="AT31" i="21"/>
  <c r="AI31" i="21"/>
  <c r="AZ11" i="21"/>
  <c r="Y7" i="20"/>
  <c r="R7" i="20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V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FF228" i="18"/>
  <c r="FC228" i="18"/>
  <c r="FB228" i="18"/>
  <c r="FA228" i="18"/>
  <c r="EZ228" i="18"/>
  <c r="EY228" i="18"/>
  <c r="EX228" i="18"/>
  <c r="EW228" i="18"/>
  <c r="EV228" i="18"/>
  <c r="FI228" i="18" s="1"/>
  <c r="EU228" i="18"/>
  <c r="ET228" i="18"/>
  <c r="ES228" i="18"/>
  <c r="ER228" i="18"/>
  <c r="FH228" i="18" s="1"/>
  <c r="EQ228" i="18"/>
  <c r="EP228" i="18"/>
  <c r="EO228" i="18"/>
  <c r="FG228" i="18" s="1"/>
  <c r="EN228" i="18"/>
  <c r="EM228" i="18"/>
  <c r="EL228" i="18"/>
  <c r="EK228" i="18"/>
  <c r="EJ228" i="18"/>
  <c r="EI228" i="18"/>
  <c r="EH228" i="18"/>
  <c r="EG228" i="18"/>
  <c r="EF228" i="18"/>
  <c r="FE228" i="18" s="1"/>
  <c r="DG770" i="2"/>
  <c r="DF770" i="2"/>
  <c r="DE770" i="2"/>
  <c r="DD770" i="2"/>
  <c r="DC770" i="2"/>
  <c r="DB770" i="2"/>
  <c r="DA770" i="2"/>
  <c r="CZ770" i="2"/>
  <c r="CY770" i="2"/>
  <c r="CX770" i="2"/>
  <c r="CW770" i="2"/>
  <c r="CV770" i="2"/>
  <c r="CU770" i="2"/>
  <c r="CT770" i="2"/>
  <c r="CS770" i="2"/>
  <c r="CR770" i="2"/>
  <c r="CQ770" i="2"/>
  <c r="CP770" i="2"/>
  <c r="CO770" i="2"/>
  <c r="CN770" i="2"/>
  <c r="CM770" i="2"/>
  <c r="CL770" i="2"/>
  <c r="CK770" i="2"/>
  <c r="CJ770" i="2"/>
  <c r="CI770" i="2"/>
  <c r="CH770" i="2"/>
  <c r="CG770" i="2"/>
  <c r="CF770" i="2"/>
  <c r="CE770" i="2"/>
  <c r="CD770" i="2"/>
  <c r="CC770" i="2"/>
  <c r="CB770" i="2"/>
  <c r="CA770" i="2"/>
  <c r="BZ770" i="2"/>
  <c r="BY770" i="2"/>
  <c r="BX770" i="2"/>
  <c r="BW770" i="2"/>
  <c r="BV770" i="2"/>
  <c r="BU770" i="2"/>
  <c r="BT770" i="2"/>
  <c r="BS770" i="2"/>
  <c r="BR770" i="2"/>
  <c r="BQ770" i="2"/>
  <c r="BP770" i="2"/>
  <c r="BO770" i="2"/>
  <c r="BN770" i="2"/>
  <c r="BM770" i="2"/>
  <c r="BL770" i="2"/>
  <c r="BK770" i="2"/>
  <c r="BJ770" i="2"/>
  <c r="BI770" i="2"/>
  <c r="BH770" i="2"/>
  <c r="BG770" i="2"/>
  <c r="BF770" i="2"/>
  <c r="BE770" i="2"/>
  <c r="BD770" i="2"/>
  <c r="BC770" i="2"/>
  <c r="BB770" i="2"/>
  <c r="BA770" i="2"/>
  <c r="AZ770" i="2"/>
  <c r="AY770" i="2"/>
  <c r="AX770" i="2"/>
  <c r="AW770" i="2"/>
  <c r="AV770" i="2"/>
  <c r="AU770" i="2"/>
  <c r="AT770" i="2"/>
  <c r="AS770" i="2"/>
  <c r="AR770" i="2"/>
  <c r="AQ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X770" i="2"/>
  <c r="W770" i="2"/>
  <c r="V770" i="2"/>
  <c r="U770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CT273" i="2"/>
  <c r="CU273" i="2" s="1"/>
  <c r="CV273" i="2" s="1"/>
  <c r="CW273" i="2" s="1"/>
  <c r="CX273" i="2" s="1"/>
  <c r="CY273" i="2" s="1"/>
  <c r="CZ273" i="2" s="1"/>
  <c r="DA273" i="2" s="1"/>
  <c r="DB273" i="2" s="1"/>
  <c r="DC273" i="2" s="1"/>
  <c r="DD273" i="2" s="1"/>
  <c r="DE273" i="2" s="1"/>
  <c r="DF273" i="2" s="1"/>
  <c r="DG273" i="2" s="1"/>
  <c r="DH273" i="2" s="1"/>
  <c r="DI273" i="2" s="1"/>
  <c r="DJ273" i="2" s="1"/>
  <c r="DK273" i="2" s="1"/>
  <c r="DL273" i="2" s="1"/>
  <c r="DM273" i="2" s="1"/>
  <c r="DN273" i="2" s="1"/>
  <c r="DO273" i="2" s="1"/>
  <c r="DP273" i="2" s="1"/>
  <c r="DQ273" i="2" s="1"/>
  <c r="DR273" i="2" s="1"/>
  <c r="DS273" i="2" s="1"/>
  <c r="DT273" i="2" s="1"/>
  <c r="DU273" i="2" s="1"/>
  <c r="DV273" i="2" s="1"/>
  <c r="DW273" i="2" s="1"/>
  <c r="DX273" i="2" s="1"/>
  <c r="DY273" i="2" s="1"/>
  <c r="DZ273" i="2" s="1"/>
  <c r="EA273" i="2" s="1"/>
  <c r="EB273" i="2" s="1"/>
  <c r="EC273" i="2" s="1"/>
  <c r="CT104" i="2"/>
  <c r="CS52" i="2"/>
  <c r="CR52" i="2"/>
  <c r="CQ52" i="2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DQ770" i="2"/>
  <c r="DP770" i="2"/>
  <c r="DO770" i="2"/>
  <c r="DN770" i="2"/>
  <c r="DM770" i="2"/>
  <c r="DL770" i="2"/>
  <c r="DK770" i="2"/>
  <c r="DJ770" i="2"/>
  <c r="DI770" i="2"/>
  <c r="DH770" i="2"/>
  <c r="FC128" i="15"/>
  <c r="FB128" i="15"/>
  <c r="FA128" i="15"/>
  <c r="EZ128" i="15"/>
  <c r="CV28" i="17"/>
  <c r="CZ28" i="17"/>
  <c r="FC140" i="15"/>
  <c r="FB140" i="15"/>
  <c r="FA140" i="15"/>
  <c r="EZ140" i="15"/>
  <c r="FC136" i="15"/>
  <c r="FB136" i="15"/>
  <c r="FA136" i="15"/>
  <c r="EZ136" i="15"/>
  <c r="FC134" i="15"/>
  <c r="FB134" i="15"/>
  <c r="FA134" i="15"/>
  <c r="EZ134" i="15"/>
  <c r="FC122" i="15"/>
  <c r="FB122" i="15"/>
  <c r="FA122" i="15"/>
  <c r="EZ122" i="15"/>
  <c r="FJ122" i="15" s="1"/>
  <c r="FC116" i="15"/>
  <c r="FB116" i="15"/>
  <c r="FA116" i="15"/>
  <c r="EZ116" i="15"/>
  <c r="FC110" i="15"/>
  <c r="FB110" i="15"/>
  <c r="FA110" i="15"/>
  <c r="EZ110" i="15"/>
  <c r="FC100" i="15"/>
  <c r="FB100" i="15"/>
  <c r="FA100" i="15"/>
  <c r="EZ100" i="15"/>
  <c r="FC97" i="15"/>
  <c r="FB97" i="15"/>
  <c r="FA97" i="15"/>
  <c r="EZ97" i="15"/>
  <c r="FC95" i="15"/>
  <c r="FB95" i="15"/>
  <c r="FA95" i="15"/>
  <c r="EZ95" i="15"/>
  <c r="FC89" i="15"/>
  <c r="FB89" i="15"/>
  <c r="FA89" i="15"/>
  <c r="EZ89" i="15"/>
  <c r="FC81" i="15"/>
  <c r="FB81" i="15"/>
  <c r="FA81" i="15"/>
  <c r="EZ81" i="15"/>
  <c r="FC76" i="15"/>
  <c r="FB76" i="15"/>
  <c r="FA76" i="15"/>
  <c r="EZ76" i="15"/>
  <c r="FC70" i="15"/>
  <c r="FB70" i="15"/>
  <c r="FA70" i="15"/>
  <c r="EZ70" i="15"/>
  <c r="FC64" i="15"/>
  <c r="FB64" i="15"/>
  <c r="FA64" i="15"/>
  <c r="EZ64" i="15"/>
  <c r="FC55" i="15"/>
  <c r="FJ55" i="15" s="1"/>
  <c r="FB55" i="15"/>
  <c r="FA55" i="15"/>
  <c r="EZ55" i="15"/>
  <c r="FC50" i="15"/>
  <c r="FB50" i="15"/>
  <c r="FA50" i="15"/>
  <c r="EZ50" i="15"/>
  <c r="FC49" i="15"/>
  <c r="FJ49" i="15" s="1"/>
  <c r="FB49" i="15"/>
  <c r="FA49" i="15"/>
  <c r="EZ49" i="15"/>
  <c r="FC44" i="15"/>
  <c r="FB44" i="15"/>
  <c r="FA44" i="15"/>
  <c r="EZ44" i="15"/>
  <c r="FC41" i="15"/>
  <c r="FB41" i="15"/>
  <c r="FA41" i="15"/>
  <c r="EZ41" i="15"/>
  <c r="FC40" i="15"/>
  <c r="FB40" i="15"/>
  <c r="FA40" i="15"/>
  <c r="EZ40" i="15"/>
  <c r="FC35" i="15"/>
  <c r="FB35" i="15"/>
  <c r="FA35" i="15"/>
  <c r="EZ35" i="15"/>
  <c r="FC29" i="15"/>
  <c r="FB29" i="15"/>
  <c r="FA29" i="15"/>
  <c r="EZ29" i="15"/>
  <c r="FC25" i="15"/>
  <c r="FB25" i="15"/>
  <c r="FA25" i="15"/>
  <c r="EZ25" i="15"/>
  <c r="FC20" i="15"/>
  <c r="FB20" i="15"/>
  <c r="FA20" i="15"/>
  <c r="EZ20" i="15"/>
  <c r="FC16" i="15"/>
  <c r="FB16" i="15"/>
  <c r="FA16" i="15"/>
  <c r="EZ16" i="15"/>
  <c r="FC11" i="15"/>
  <c r="FB11" i="15"/>
  <c r="FA11" i="15"/>
  <c r="EZ11" i="15"/>
  <c r="FC7" i="15"/>
  <c r="FB7" i="15"/>
  <c r="FA7" i="15"/>
  <c r="EZ7" i="15"/>
  <c r="FJ136" i="15"/>
  <c r="FJ97" i="15"/>
  <c r="FJ81" i="15"/>
  <c r="FJ41" i="15"/>
  <c r="CT438" i="2"/>
  <c r="CT437" i="2"/>
  <c r="P18" i="24" l="1"/>
  <c r="O18" i="24"/>
  <c r="N18" i="24"/>
  <c r="M18" i="24"/>
  <c r="L18" i="24"/>
  <c r="FJ115" i="18"/>
  <c r="FE115" i="18"/>
  <c r="FI115" i="18"/>
  <c r="FG115" i="18"/>
  <c r="FH115" i="18"/>
  <c r="FF115" i="18"/>
  <c r="FJ106" i="18"/>
  <c r="FH106" i="18"/>
  <c r="FF106" i="18"/>
  <c r="FE106" i="18"/>
  <c r="FG106" i="18"/>
  <c r="CV610" i="2"/>
  <c r="CW610" i="2" s="1"/>
  <c r="CX610" i="2" s="1"/>
  <c r="CY610" i="2" s="1"/>
  <c r="CZ610" i="2" s="1"/>
  <c r="DA610" i="2" s="1"/>
  <c r="DB610" i="2" s="1"/>
  <c r="DC610" i="2" s="1"/>
  <c r="DD610" i="2" s="1"/>
  <c r="DE610" i="2" s="1"/>
  <c r="DF610" i="2" s="1"/>
  <c r="DG610" i="2" s="1"/>
  <c r="DH610" i="2" s="1"/>
  <c r="DI610" i="2" s="1"/>
  <c r="DJ610" i="2" s="1"/>
  <c r="DK610" i="2" s="1"/>
  <c r="DL610" i="2" s="1"/>
  <c r="DM610" i="2" s="1"/>
  <c r="DN610" i="2" s="1"/>
  <c r="DO610" i="2" s="1"/>
  <c r="DP610" i="2" s="1"/>
  <c r="DQ610" i="2" s="1"/>
  <c r="DR610" i="2" s="1"/>
  <c r="DS610" i="2" s="1"/>
  <c r="DT610" i="2" s="1"/>
  <c r="DU610" i="2" s="1"/>
  <c r="DV610" i="2" s="1"/>
  <c r="DW610" i="2" s="1"/>
  <c r="DX610" i="2" s="1"/>
  <c r="DY610" i="2" s="1"/>
  <c r="DZ610" i="2" s="1"/>
  <c r="EA610" i="2" s="1"/>
  <c r="EB610" i="2" s="1"/>
  <c r="EC610" i="2" s="1"/>
  <c r="DT611" i="2"/>
  <c r="DU611" i="2" s="1"/>
  <c r="DV611" i="2" s="1"/>
  <c r="DW611" i="2" s="1"/>
  <c r="DX611" i="2" s="1"/>
  <c r="DY611" i="2" s="1"/>
  <c r="DZ611" i="2" s="1"/>
  <c r="EA611" i="2" s="1"/>
  <c r="EB611" i="2" s="1"/>
  <c r="EC611" i="2" s="1"/>
  <c r="DG611" i="2"/>
  <c r="DH611" i="2" s="1"/>
  <c r="DI611" i="2" s="1"/>
  <c r="DJ611" i="2" s="1"/>
  <c r="DK611" i="2" s="1"/>
  <c r="DL611" i="2"/>
  <c r="DM611" i="2" s="1"/>
  <c r="DN611" i="2" s="1"/>
  <c r="DO611" i="2" s="1"/>
  <c r="DP611" i="2" s="1"/>
  <c r="DQ611" i="2" s="1"/>
  <c r="CX611" i="2"/>
  <c r="CY611" i="2" s="1"/>
  <c r="CZ611" i="2" s="1"/>
  <c r="DA611" i="2" s="1"/>
  <c r="DB611" i="2" s="1"/>
  <c r="DC611" i="2" s="1"/>
  <c r="DD611" i="2" s="1"/>
  <c r="DE611" i="2" s="1"/>
  <c r="CU552" i="2"/>
  <c r="CW84" i="2"/>
  <c r="CX84" i="2" s="1"/>
  <c r="CY84" i="2" s="1"/>
  <c r="CZ84" i="2" s="1"/>
  <c r="DA84" i="2" s="1"/>
  <c r="DB84" i="2" s="1"/>
  <c r="DC84" i="2" s="1"/>
  <c r="DD84" i="2" s="1"/>
  <c r="DE84" i="2" s="1"/>
  <c r="DF84" i="2" s="1"/>
  <c r="DG84" i="2" s="1"/>
  <c r="DH84" i="2" s="1"/>
  <c r="DI84" i="2" s="1"/>
  <c r="DJ84" i="2" s="1"/>
  <c r="DK84" i="2" s="1"/>
  <c r="DL84" i="2" s="1"/>
  <c r="DM84" i="2" s="1"/>
  <c r="DN84" i="2" s="1"/>
  <c r="DO84" i="2" s="1"/>
  <c r="DP84" i="2" s="1"/>
  <c r="DQ84" i="2" s="1"/>
  <c r="DR84" i="2" s="1"/>
  <c r="DS84" i="2" s="1"/>
  <c r="DT84" i="2" s="1"/>
  <c r="DU84" i="2" s="1"/>
  <c r="DV84" i="2" s="1"/>
  <c r="DW84" i="2" s="1"/>
  <c r="DX84" i="2" s="1"/>
  <c r="DY84" i="2" s="1"/>
  <c r="DZ84" i="2" s="1"/>
  <c r="EA84" i="2" s="1"/>
  <c r="EB84" i="2" s="1"/>
  <c r="EC84" i="2" s="1"/>
  <c r="CW81" i="2"/>
  <c r="CX81" i="2" s="1"/>
  <c r="CY81" i="2" s="1"/>
  <c r="CZ81" i="2" s="1"/>
  <c r="DA81" i="2" s="1"/>
  <c r="DB81" i="2"/>
  <c r="DC81" i="2" s="1"/>
  <c r="DD81" i="2" s="1"/>
  <c r="DE81" i="2" s="1"/>
  <c r="DF81" i="2" s="1"/>
  <c r="DG81" i="2" s="1"/>
  <c r="DH81" i="2" s="1"/>
  <c r="DI81" i="2" s="1"/>
  <c r="DJ81" i="2" s="1"/>
  <c r="DK81" i="2" s="1"/>
  <c r="DL81" i="2" s="1"/>
  <c r="DM81" i="2" s="1"/>
  <c r="DN81" i="2" s="1"/>
  <c r="DO81" i="2" s="1"/>
  <c r="DP81" i="2" s="1"/>
  <c r="DQ81" i="2" s="1"/>
  <c r="DR81" i="2" s="1"/>
  <c r="DS81" i="2" s="1"/>
  <c r="DT81" i="2" s="1"/>
  <c r="DU81" i="2" s="1"/>
  <c r="DV81" i="2" s="1"/>
  <c r="DW81" i="2" s="1"/>
  <c r="DX81" i="2" s="1"/>
  <c r="DY81" i="2" s="1"/>
  <c r="DZ81" i="2" s="1"/>
  <c r="EA81" i="2" s="1"/>
  <c r="EB81" i="2" s="1"/>
  <c r="EC81" i="2" s="1"/>
  <c r="CW78" i="2"/>
  <c r="CX78" i="2" s="1"/>
  <c r="CY78" i="2" s="1"/>
  <c r="CZ78" i="2" s="1"/>
  <c r="DA78" i="2" s="1"/>
  <c r="DB78" i="2" s="1"/>
  <c r="DC78" i="2" s="1"/>
  <c r="DD78" i="2" s="1"/>
  <c r="DE78" i="2" s="1"/>
  <c r="DF78" i="2" s="1"/>
  <c r="DG78" i="2" s="1"/>
  <c r="DH78" i="2" s="1"/>
  <c r="DI78" i="2" s="1"/>
  <c r="DJ78" i="2" s="1"/>
  <c r="DK78" i="2" s="1"/>
  <c r="DL78" i="2" s="1"/>
  <c r="DM78" i="2" s="1"/>
  <c r="DN78" i="2" s="1"/>
  <c r="DO78" i="2" s="1"/>
  <c r="DP78" i="2" s="1"/>
  <c r="DQ78" i="2" s="1"/>
  <c r="DR78" i="2" s="1"/>
  <c r="DS78" i="2" s="1"/>
  <c r="DT78" i="2" s="1"/>
  <c r="DU78" i="2" s="1"/>
  <c r="DV78" i="2" s="1"/>
  <c r="DW78" i="2" s="1"/>
  <c r="DX78" i="2" s="1"/>
  <c r="DY78" i="2" s="1"/>
  <c r="DZ78" i="2" s="1"/>
  <c r="EA78" i="2" s="1"/>
  <c r="EB78" i="2" s="1"/>
  <c r="EC78" i="2" s="1"/>
  <c r="CW71" i="2"/>
  <c r="CX71" i="2" s="1"/>
  <c r="CY71" i="2" s="1"/>
  <c r="CZ71" i="2" s="1"/>
  <c r="DA71" i="2" s="1"/>
  <c r="DB71" i="2" s="1"/>
  <c r="DC71" i="2" s="1"/>
  <c r="DD71" i="2" s="1"/>
  <c r="DE71" i="2" s="1"/>
  <c r="DF71" i="2" s="1"/>
  <c r="DG71" i="2" s="1"/>
  <c r="DH71" i="2" s="1"/>
  <c r="DI71" i="2" s="1"/>
  <c r="DJ71" i="2" s="1"/>
  <c r="DK71" i="2" s="1"/>
  <c r="DL71" i="2" s="1"/>
  <c r="DM71" i="2" s="1"/>
  <c r="DN71" i="2" s="1"/>
  <c r="DO71" i="2" s="1"/>
  <c r="DP71" i="2" s="1"/>
  <c r="DQ71" i="2" s="1"/>
  <c r="DR71" i="2" s="1"/>
  <c r="DS71" i="2" s="1"/>
  <c r="DT71" i="2" s="1"/>
  <c r="DU71" i="2" s="1"/>
  <c r="DV71" i="2" s="1"/>
  <c r="DW71" i="2" s="1"/>
  <c r="DX71" i="2" s="1"/>
  <c r="DY71" i="2" s="1"/>
  <c r="DZ71" i="2" s="1"/>
  <c r="EA71" i="2" s="1"/>
  <c r="EB71" i="2" s="1"/>
  <c r="EC71" i="2" s="1"/>
  <c r="DF745" i="2"/>
  <c r="CU104" i="2"/>
  <c r="CV104" i="2" s="1"/>
  <c r="CW104" i="2" s="1"/>
  <c r="CX104" i="2" s="1"/>
  <c r="CY104" i="2" s="1"/>
  <c r="CZ104" i="2" s="1"/>
  <c r="DA104" i="2" s="1"/>
  <c r="DB104" i="2" s="1"/>
  <c r="DC104" i="2" s="1"/>
  <c r="DD104" i="2" s="1"/>
  <c r="DE104" i="2" s="1"/>
  <c r="DF104" i="2" s="1"/>
  <c r="DG104" i="2" s="1"/>
  <c r="DH104" i="2" s="1"/>
  <c r="DI104" i="2" s="1"/>
  <c r="DJ104" i="2" s="1"/>
  <c r="DK104" i="2" s="1"/>
  <c r="DL104" i="2" s="1"/>
  <c r="DM104" i="2" s="1"/>
  <c r="DN104" i="2" s="1"/>
  <c r="DO104" i="2" s="1"/>
  <c r="DP104" i="2" s="1"/>
  <c r="DQ104" i="2" s="1"/>
  <c r="DR104" i="2" s="1"/>
  <c r="DS104" i="2" s="1"/>
  <c r="DT104" i="2" s="1"/>
  <c r="DU104" i="2" s="1"/>
  <c r="DV104" i="2" s="1"/>
  <c r="DW104" i="2" s="1"/>
  <c r="DX104" i="2" s="1"/>
  <c r="DY104" i="2" s="1"/>
  <c r="DZ104" i="2" s="1"/>
  <c r="EA104" i="2" s="1"/>
  <c r="EB104" i="2" s="1"/>
  <c r="EC104" i="2" s="1"/>
  <c r="DR745" i="2"/>
  <c r="DP745" i="2"/>
  <c r="EB745" i="2" s="1"/>
  <c r="DN745" i="2"/>
  <c r="DZ745" i="2" s="1"/>
  <c r="DL745" i="2"/>
  <c r="DX745" i="2" s="1"/>
  <c r="DJ745" i="2"/>
  <c r="DV745" i="2" s="1"/>
  <c r="DH745" i="2"/>
  <c r="DT745" i="2" s="1"/>
  <c r="DQ745" i="2"/>
  <c r="EC745" i="2" s="1"/>
  <c r="DO745" i="2"/>
  <c r="EA745" i="2" s="1"/>
  <c r="DM745" i="2"/>
  <c r="DY745" i="2" s="1"/>
  <c r="DK745" i="2"/>
  <c r="DW745" i="2" s="1"/>
  <c r="DI745" i="2"/>
  <c r="DU745" i="2" s="1"/>
  <c r="DG745" i="2"/>
  <c r="DS745" i="2" s="1"/>
  <c r="DF335" i="2"/>
  <c r="CU335" i="2"/>
  <c r="CV336" i="2"/>
  <c r="CU384" i="2"/>
  <c r="CU437" i="2"/>
  <c r="CV385" i="2"/>
  <c r="CV384" i="2" s="1"/>
  <c r="CV147" i="2"/>
  <c r="CV159" i="2" s="1"/>
  <c r="CU438" i="2"/>
  <c r="DF14" i="2"/>
  <c r="DR14" i="2" s="1"/>
  <c r="DF13" i="2"/>
  <c r="DR13" i="2" s="1"/>
  <c r="CV4" i="2"/>
  <c r="FJ228" i="18"/>
  <c r="CV14" i="2" l="1"/>
  <c r="CV13" i="2"/>
  <c r="CW336" i="2"/>
  <c r="CV335" i="2"/>
  <c r="CV437" i="2"/>
  <c r="CW385" i="2"/>
  <c r="CV438" i="2"/>
  <c r="CW438" i="2" s="1"/>
  <c r="CW147" i="2"/>
  <c r="CW4" i="2"/>
  <c r="C30" i="24"/>
  <c r="D30" i="24"/>
  <c r="E30" i="24"/>
  <c r="F30" i="24"/>
  <c r="G30" i="24"/>
  <c r="H30" i="24"/>
  <c r="C39" i="24"/>
  <c r="D39" i="24"/>
  <c r="E39" i="24"/>
  <c r="F39" i="24"/>
  <c r="G39" i="24"/>
  <c r="H39" i="24"/>
  <c r="FJ244" i="18"/>
  <c r="FJ243" i="18"/>
  <c r="FJ241" i="18"/>
  <c r="FJ229" i="18"/>
  <c r="FJ226" i="18"/>
  <c r="FJ225" i="18"/>
  <c r="FJ224" i="18"/>
  <c r="FJ223" i="18"/>
  <c r="FJ222" i="18"/>
  <c r="FJ221" i="18"/>
  <c r="FJ220" i="18"/>
  <c r="FJ219" i="18"/>
  <c r="FJ218" i="18"/>
  <c r="FJ217" i="18"/>
  <c r="FJ195" i="18"/>
  <c r="FJ194" i="18"/>
  <c r="FJ186" i="18"/>
  <c r="FJ181" i="18"/>
  <c r="FJ180" i="18"/>
  <c r="FJ179" i="18"/>
  <c r="FJ163" i="18"/>
  <c r="FJ151" i="18"/>
  <c r="FJ150" i="18"/>
  <c r="FJ125" i="18"/>
  <c r="FJ124" i="18"/>
  <c r="FJ123" i="18"/>
  <c r="FJ122" i="18"/>
  <c r="FJ98" i="18"/>
  <c r="FJ88" i="18"/>
  <c r="FJ60" i="18"/>
  <c r="FJ59" i="18"/>
  <c r="FJ52" i="18"/>
  <c r="FJ40" i="18"/>
  <c r="FJ26" i="18"/>
  <c r="FJ21" i="18"/>
  <c r="FJ20" i="18"/>
  <c r="FJ19" i="18"/>
  <c r="FJ18" i="18"/>
  <c r="FJ9" i="18"/>
  <c r="FC229" i="18"/>
  <c r="FB229" i="18"/>
  <c r="FA229" i="18"/>
  <c r="EZ229" i="18"/>
  <c r="FC226" i="18"/>
  <c r="FB226" i="18"/>
  <c r="FA226" i="18"/>
  <c r="EZ226" i="18"/>
  <c r="FC225" i="18"/>
  <c r="FB225" i="18"/>
  <c r="FA225" i="18"/>
  <c r="EZ225" i="18"/>
  <c r="FC224" i="18"/>
  <c r="FB224" i="18"/>
  <c r="FA224" i="18"/>
  <c r="EZ224" i="18"/>
  <c r="FC223" i="18"/>
  <c r="FB223" i="18"/>
  <c r="FA223" i="18"/>
  <c r="EZ223" i="18"/>
  <c r="FC222" i="18"/>
  <c r="FB222" i="18"/>
  <c r="FA222" i="18"/>
  <c r="EZ222" i="18"/>
  <c r="FC221" i="18"/>
  <c r="FB221" i="18"/>
  <c r="FA221" i="18"/>
  <c r="EZ221" i="18"/>
  <c r="FC220" i="18"/>
  <c r="FB220" i="18"/>
  <c r="FA220" i="18"/>
  <c r="EZ220" i="18"/>
  <c r="FC219" i="18"/>
  <c r="FB219" i="18"/>
  <c r="FA219" i="18"/>
  <c r="EZ219" i="18"/>
  <c r="FC218" i="18"/>
  <c r="FB218" i="18"/>
  <c r="FA218" i="18"/>
  <c r="EZ218" i="18"/>
  <c r="FC217" i="18"/>
  <c r="FB217" i="18"/>
  <c r="FA217" i="18"/>
  <c r="EZ217" i="18"/>
  <c r="FC243" i="18"/>
  <c r="FB243" i="18"/>
  <c r="FA243" i="18"/>
  <c r="EZ243" i="18"/>
  <c r="FC241" i="18"/>
  <c r="FB241" i="18"/>
  <c r="FA241" i="18"/>
  <c r="EZ241" i="18"/>
  <c r="FC181" i="18"/>
  <c r="FB181" i="18"/>
  <c r="FA181" i="18"/>
  <c r="EZ181" i="18"/>
  <c r="FC180" i="18"/>
  <c r="FB180" i="18"/>
  <c r="FA180" i="18"/>
  <c r="EZ180" i="18"/>
  <c r="FC179" i="18"/>
  <c r="FB179" i="18"/>
  <c r="FA179" i="18"/>
  <c r="EZ179" i="18"/>
  <c r="FC151" i="18"/>
  <c r="FB151" i="18"/>
  <c r="FA151" i="18"/>
  <c r="EZ151" i="18"/>
  <c r="FC150" i="18"/>
  <c r="FB150" i="18"/>
  <c r="FA150" i="18"/>
  <c r="EZ150" i="18"/>
  <c r="FC125" i="18"/>
  <c r="FB125" i="18"/>
  <c r="FA125" i="18"/>
  <c r="EZ125" i="18"/>
  <c r="FC124" i="18"/>
  <c r="FB124" i="18"/>
  <c r="FA124" i="18"/>
  <c r="EZ124" i="18"/>
  <c r="FC123" i="18"/>
  <c r="FB123" i="18"/>
  <c r="FA123" i="18"/>
  <c r="EZ123" i="18"/>
  <c r="FC122" i="18"/>
  <c r="FB122" i="18"/>
  <c r="FA122" i="18"/>
  <c r="EZ122" i="18"/>
  <c r="FC88" i="18"/>
  <c r="FB88" i="18"/>
  <c r="FA88" i="18"/>
  <c r="EZ88" i="18"/>
  <c r="FC26" i="18"/>
  <c r="FB26" i="18"/>
  <c r="FA26" i="18"/>
  <c r="EZ26" i="18"/>
  <c r="FC21" i="18"/>
  <c r="FB21" i="18"/>
  <c r="FA21" i="18"/>
  <c r="EZ21" i="18"/>
  <c r="FC20" i="18"/>
  <c r="FB20" i="18"/>
  <c r="FA20" i="18"/>
  <c r="EZ20" i="18"/>
  <c r="FC19" i="18"/>
  <c r="FB19" i="18"/>
  <c r="FA19" i="18"/>
  <c r="EZ19" i="18"/>
  <c r="FC18" i="18"/>
  <c r="FB18" i="18"/>
  <c r="FA18" i="18"/>
  <c r="EZ18" i="18"/>
  <c r="CX4" i="2" l="1"/>
  <c r="CW14" i="2"/>
  <c r="CW13" i="2"/>
  <c r="CW335" i="2"/>
  <c r="CX336" i="2"/>
  <c r="CX147" i="2"/>
  <c r="CW159" i="2"/>
  <c r="CW384" i="2"/>
  <c r="CX385" i="2"/>
  <c r="CW437" i="2"/>
  <c r="CX437" i="2" s="1"/>
  <c r="DH4" i="2"/>
  <c r="DG13" i="2"/>
  <c r="DG14" i="2"/>
  <c r="CX159" i="2"/>
  <c r="ED244" i="18"/>
  <c r="EC244" i="18"/>
  <c r="EB244" i="18"/>
  <c r="EA244" i="18"/>
  <c r="DZ244" i="18"/>
  <c r="DY244" i="18"/>
  <c r="DX244" i="18"/>
  <c r="DW244" i="18"/>
  <c r="DV244" i="18"/>
  <c r="DU244" i="18"/>
  <c r="DT244" i="18"/>
  <c r="DS244" i="18"/>
  <c r="ED216" i="18"/>
  <c r="EC216" i="18"/>
  <c r="EB216" i="18"/>
  <c r="EA216" i="18"/>
  <c r="DZ216" i="18"/>
  <c r="DY216" i="18"/>
  <c r="DX216" i="18"/>
  <c r="DW216" i="18"/>
  <c r="DV216" i="18"/>
  <c r="DU216" i="18"/>
  <c r="DT216" i="18"/>
  <c r="DS216" i="18"/>
  <c r="EZ216" i="18" s="1"/>
  <c r="ED215" i="18"/>
  <c r="EC215" i="18"/>
  <c r="EB215" i="18"/>
  <c r="EA215" i="18"/>
  <c r="DZ215" i="18"/>
  <c r="DY215" i="18"/>
  <c r="DX215" i="18"/>
  <c r="DW215" i="18"/>
  <c r="DV215" i="18"/>
  <c r="DU215" i="18"/>
  <c r="DU214" i="18" s="1"/>
  <c r="DT215" i="18"/>
  <c r="DT214" i="18" s="1"/>
  <c r="DS215" i="18"/>
  <c r="EC214" i="18"/>
  <c r="ED172" i="18"/>
  <c r="EC172" i="18"/>
  <c r="EB172" i="18"/>
  <c r="FC172" i="18" s="1"/>
  <c r="EA172" i="18"/>
  <c r="DZ172" i="18"/>
  <c r="DY172" i="18"/>
  <c r="DX172" i="18"/>
  <c r="DW172" i="18"/>
  <c r="DV172" i="18"/>
  <c r="FA172" i="18" s="1"/>
  <c r="DU172" i="18"/>
  <c r="DT172" i="18"/>
  <c r="DS172" i="18"/>
  <c r="EZ172" i="18" s="1"/>
  <c r="ED163" i="18"/>
  <c r="EC163" i="18"/>
  <c r="EB163" i="18"/>
  <c r="FC163" i="18" s="1"/>
  <c r="EA163" i="18"/>
  <c r="DZ163" i="18"/>
  <c r="DY163" i="18"/>
  <c r="FB163" i="18" s="1"/>
  <c r="DX163" i="18"/>
  <c r="DW163" i="18"/>
  <c r="DV163" i="18"/>
  <c r="FA163" i="18" s="1"/>
  <c r="DU163" i="18"/>
  <c r="DT163" i="18"/>
  <c r="DS163" i="18"/>
  <c r="EZ163" i="18" s="1"/>
  <c r="ED60" i="18"/>
  <c r="EC60" i="18"/>
  <c r="EB60" i="18"/>
  <c r="EA60" i="18"/>
  <c r="DZ60" i="18"/>
  <c r="DY60" i="18"/>
  <c r="DX60" i="18"/>
  <c r="DW60" i="18"/>
  <c r="DV60" i="18"/>
  <c r="DU60" i="18"/>
  <c r="DT60" i="18"/>
  <c r="DS60" i="18"/>
  <c r="ED52" i="18"/>
  <c r="EC52" i="18"/>
  <c r="EB52" i="18"/>
  <c r="FC52" i="18" s="1"/>
  <c r="EA52" i="18"/>
  <c r="DZ52" i="18"/>
  <c r="DY52" i="18"/>
  <c r="FB52" i="18" s="1"/>
  <c r="DX52" i="18"/>
  <c r="DW52" i="18"/>
  <c r="DV52" i="18"/>
  <c r="FA52" i="18" s="1"/>
  <c r="DU52" i="18"/>
  <c r="DT52" i="18"/>
  <c r="DS52" i="18"/>
  <c r="EZ52" i="18" s="1"/>
  <c r="ED40" i="18"/>
  <c r="EC40" i="18"/>
  <c r="EC9" i="18" s="1"/>
  <c r="EB40" i="18"/>
  <c r="EA40" i="18"/>
  <c r="EA9" i="18" s="1"/>
  <c r="DZ40" i="18"/>
  <c r="DZ9" i="18" s="1"/>
  <c r="DY40" i="18"/>
  <c r="DX40" i="18"/>
  <c r="DX9" i="18" s="1"/>
  <c r="DW40" i="18"/>
  <c r="DW9" i="18" s="1"/>
  <c r="DV40" i="18"/>
  <c r="DU40" i="18"/>
  <c r="DU9" i="18" s="1"/>
  <c r="DT40" i="18"/>
  <c r="DT9" i="18" s="1"/>
  <c r="DS40" i="18"/>
  <c r="ED9" i="18"/>
  <c r="ED30" i="14"/>
  <c r="EC30" i="14"/>
  <c r="EB30" i="14"/>
  <c r="FC30" i="14" s="1"/>
  <c r="EA30" i="14"/>
  <c r="DZ30" i="14"/>
  <c r="DY30" i="14"/>
  <c r="FB30" i="14" s="1"/>
  <c r="DX30" i="14"/>
  <c r="DW30" i="14"/>
  <c r="DV30" i="14"/>
  <c r="FA30" i="14" s="1"/>
  <c r="DU30" i="14"/>
  <c r="DT30" i="14"/>
  <c r="DS30" i="14"/>
  <c r="ED17" i="14"/>
  <c r="ED86" i="18" s="1"/>
  <c r="EC17" i="14"/>
  <c r="EC86" i="18" s="1"/>
  <c r="EB17" i="14"/>
  <c r="EA17" i="14"/>
  <c r="EA86" i="18" s="1"/>
  <c r="DZ17" i="14"/>
  <c r="DZ86" i="18" s="1"/>
  <c r="DY17" i="14"/>
  <c r="DX17" i="14"/>
  <c r="DX86" i="18" s="1"/>
  <c r="DW17" i="14"/>
  <c r="DV17" i="14"/>
  <c r="DU17" i="14"/>
  <c r="DU86" i="18" s="1"/>
  <c r="DT17" i="14"/>
  <c r="DT86" i="18" s="1"/>
  <c r="DS17" i="14"/>
  <c r="ED124" i="15"/>
  <c r="EC124" i="15"/>
  <c r="EB124" i="15"/>
  <c r="FC124" i="15" s="1"/>
  <c r="EA124" i="15"/>
  <c r="DZ124" i="15"/>
  <c r="DY124" i="15"/>
  <c r="FB124" i="15" s="1"/>
  <c r="DX124" i="15"/>
  <c r="DW124" i="15"/>
  <c r="DV124" i="15"/>
  <c r="FA124" i="15" s="1"/>
  <c r="DU124" i="15"/>
  <c r="DT124" i="15"/>
  <c r="DS124" i="15"/>
  <c r="EZ124" i="15" s="1"/>
  <c r="FJ124" i="15" s="1"/>
  <c r="ED118" i="15"/>
  <c r="EC118" i="15"/>
  <c r="EB118" i="15"/>
  <c r="FC118" i="15" s="1"/>
  <c r="EA118" i="15"/>
  <c r="DZ118" i="15"/>
  <c r="DY118" i="15"/>
  <c r="FB118" i="15" s="1"/>
  <c r="DX118" i="15"/>
  <c r="DW118" i="15"/>
  <c r="DV118" i="15"/>
  <c r="FA118" i="15" s="1"/>
  <c r="DU118" i="15"/>
  <c r="DT118" i="15"/>
  <c r="DS118" i="15"/>
  <c r="EZ118" i="15" s="1"/>
  <c r="FJ118" i="15" s="1"/>
  <c r="ED97" i="15"/>
  <c r="EC97" i="15"/>
  <c r="EB97" i="15"/>
  <c r="EA97" i="15"/>
  <c r="DZ97" i="15"/>
  <c r="DY97" i="15"/>
  <c r="DX97" i="15"/>
  <c r="DW97" i="15"/>
  <c r="DV97" i="15"/>
  <c r="DU97" i="15"/>
  <c r="DT97" i="15"/>
  <c r="DS97" i="15"/>
  <c r="ED78" i="15"/>
  <c r="EC78" i="15"/>
  <c r="EB78" i="15"/>
  <c r="FC78" i="15" s="1"/>
  <c r="EA78" i="15"/>
  <c r="DZ78" i="15"/>
  <c r="DY78" i="15"/>
  <c r="FB78" i="15" s="1"/>
  <c r="DX78" i="15"/>
  <c r="DW78" i="15"/>
  <c r="DV78" i="15"/>
  <c r="DU78" i="15"/>
  <c r="DT78" i="15"/>
  <c r="DS78" i="15"/>
  <c r="EZ78" i="15" s="1"/>
  <c r="ED17" i="15"/>
  <c r="EC17" i="15"/>
  <c r="EB17" i="15"/>
  <c r="FC17" i="15" s="1"/>
  <c r="EA17" i="15"/>
  <c r="DZ17" i="15"/>
  <c r="DY17" i="15"/>
  <c r="FB17" i="15" s="1"/>
  <c r="DX17" i="15"/>
  <c r="DW17" i="15"/>
  <c r="DV17" i="15"/>
  <c r="FA17" i="15" s="1"/>
  <c r="DU17" i="15"/>
  <c r="DT17" i="15"/>
  <c r="DS17" i="15"/>
  <c r="EZ17" i="15" s="1"/>
  <c r="ED13" i="15"/>
  <c r="EC13" i="15"/>
  <c r="EB13" i="15"/>
  <c r="FC13" i="15" s="1"/>
  <c r="EA13" i="15"/>
  <c r="DZ13" i="15"/>
  <c r="DY13" i="15"/>
  <c r="FB13" i="15" s="1"/>
  <c r="DX13" i="15"/>
  <c r="DW13" i="15"/>
  <c r="DV13" i="15"/>
  <c r="FA13" i="15" s="1"/>
  <c r="DU13" i="15"/>
  <c r="DT13" i="15"/>
  <c r="DS13" i="15"/>
  <c r="EZ13" i="15" s="1"/>
  <c r="FJ13" i="15" s="1"/>
  <c r="ED31" i="15"/>
  <c r="EC31" i="15"/>
  <c r="EB31" i="15"/>
  <c r="FC31" i="15" s="1"/>
  <c r="EA31" i="15"/>
  <c r="DZ31" i="15"/>
  <c r="DY31" i="15"/>
  <c r="FB31" i="15" s="1"/>
  <c r="DX31" i="15"/>
  <c r="DW31" i="15"/>
  <c r="DV31" i="15"/>
  <c r="FA31" i="15" s="1"/>
  <c r="DU31" i="15"/>
  <c r="DT31" i="15"/>
  <c r="DS31" i="15"/>
  <c r="EZ31" i="15" s="1"/>
  <c r="FJ31" i="15" s="1"/>
  <c r="ED52" i="15"/>
  <c r="EC52" i="15"/>
  <c r="EB52" i="15"/>
  <c r="FC52" i="15" s="1"/>
  <c r="EA52" i="15"/>
  <c r="DZ52" i="15"/>
  <c r="DY52" i="15"/>
  <c r="FB52" i="15" s="1"/>
  <c r="DX52" i="15"/>
  <c r="DW52" i="15"/>
  <c r="DV52" i="15"/>
  <c r="FA52" i="15" s="1"/>
  <c r="DU52" i="15"/>
  <c r="DT52" i="15"/>
  <c r="DS52" i="15"/>
  <c r="EZ52" i="15" s="1"/>
  <c r="FJ52" i="15" s="1"/>
  <c r="ED8" i="15"/>
  <c r="EC8" i="15"/>
  <c r="EB8" i="15"/>
  <c r="FC8" i="15" s="1"/>
  <c r="EA8" i="15"/>
  <c r="DZ8" i="15"/>
  <c r="DY8" i="15"/>
  <c r="FB8" i="15" s="1"/>
  <c r="DX8" i="15"/>
  <c r="DW8" i="15"/>
  <c r="DV8" i="15"/>
  <c r="FA8" i="15" s="1"/>
  <c r="DU8" i="15"/>
  <c r="DT8" i="15"/>
  <c r="DS8" i="15"/>
  <c r="EZ8" i="15" s="1"/>
  <c r="FJ8" i="15" s="1"/>
  <c r="ED4" i="15"/>
  <c r="ED22" i="15" s="1"/>
  <c r="EC4" i="15"/>
  <c r="EC22" i="15" s="1"/>
  <c r="EB4" i="15"/>
  <c r="EA4" i="15"/>
  <c r="EA22" i="15" s="1"/>
  <c r="DZ4" i="15"/>
  <c r="DZ22" i="15" s="1"/>
  <c r="DY4" i="15"/>
  <c r="DX4" i="15"/>
  <c r="DX22" i="15" s="1"/>
  <c r="DW4" i="15"/>
  <c r="DV4" i="15"/>
  <c r="FA4" i="15" s="1"/>
  <c r="DU4" i="15"/>
  <c r="DU22" i="15" s="1"/>
  <c r="DU37" i="15" s="1"/>
  <c r="DU72" i="15" s="1"/>
  <c r="DU91" i="15" s="1"/>
  <c r="DU112" i="15" s="1"/>
  <c r="DU130" i="15" s="1"/>
  <c r="DU142" i="15" s="1"/>
  <c r="DT4" i="15"/>
  <c r="DT22" i="15" s="1"/>
  <c r="DS4" i="15"/>
  <c r="DD164" i="13"/>
  <c r="ED126" i="15" s="1"/>
  <c r="DC164" i="13"/>
  <c r="EC126" i="15" s="1"/>
  <c r="DB164" i="13"/>
  <c r="DA164" i="13"/>
  <c r="CZ164" i="13"/>
  <c r="DZ126" i="15" s="1"/>
  <c r="CY164" i="13"/>
  <c r="CX164" i="13"/>
  <c r="DX126" i="15" s="1"/>
  <c r="CW164" i="13"/>
  <c r="CV164" i="13"/>
  <c r="CU164" i="13"/>
  <c r="DU126" i="15" s="1"/>
  <c r="CT164" i="13"/>
  <c r="DT126" i="15" s="1"/>
  <c r="CS164" i="13"/>
  <c r="DD100" i="13"/>
  <c r="DC100" i="13"/>
  <c r="DB100" i="13"/>
  <c r="EC100" i="13" s="1"/>
  <c r="DA100" i="13"/>
  <c r="CZ100" i="13"/>
  <c r="CY100" i="13"/>
  <c r="EB100" i="13" s="1"/>
  <c r="CX100" i="13"/>
  <c r="CW100" i="13"/>
  <c r="CV100" i="13"/>
  <c r="EA100" i="13" s="1"/>
  <c r="CU100" i="13"/>
  <c r="CT100" i="13"/>
  <c r="CS100" i="13"/>
  <c r="DZ100" i="13" s="1"/>
  <c r="DD97" i="13"/>
  <c r="DC97" i="13"/>
  <c r="DB97" i="13"/>
  <c r="EC97" i="13" s="1"/>
  <c r="DA97" i="13"/>
  <c r="CZ97" i="13"/>
  <c r="CY97" i="13"/>
  <c r="EB97" i="13" s="1"/>
  <c r="CX97" i="13"/>
  <c r="CW97" i="13"/>
  <c r="CV97" i="13"/>
  <c r="EA97" i="13" s="1"/>
  <c r="CU97" i="13"/>
  <c r="CT97" i="13"/>
  <c r="CS97" i="13"/>
  <c r="DZ97" i="13" s="1"/>
  <c r="EJ97" i="13" s="1"/>
  <c r="DD96" i="13"/>
  <c r="DC96" i="13"/>
  <c r="DB96" i="13"/>
  <c r="DA96" i="13"/>
  <c r="CZ96" i="13"/>
  <c r="CY96" i="13"/>
  <c r="EB96" i="13" s="1"/>
  <c r="CX96" i="13"/>
  <c r="CW96" i="13"/>
  <c r="CV96" i="13"/>
  <c r="EA96" i="13" s="1"/>
  <c r="CU96" i="13"/>
  <c r="CT96" i="13"/>
  <c r="CS96" i="13"/>
  <c r="DZ96" i="13" s="1"/>
  <c r="DD72" i="13"/>
  <c r="DC72" i="13"/>
  <c r="DB72" i="13"/>
  <c r="DA72" i="13"/>
  <c r="CZ72" i="13"/>
  <c r="CY72" i="13"/>
  <c r="CX72" i="13"/>
  <c r="CW72" i="13"/>
  <c r="CV72" i="13"/>
  <c r="EA72" i="13" s="1"/>
  <c r="CU72" i="13"/>
  <c r="CT72" i="13"/>
  <c r="CS72" i="13"/>
  <c r="DZ72" i="13" s="1"/>
  <c r="DD46" i="13"/>
  <c r="DC46" i="13"/>
  <c r="DB46" i="13"/>
  <c r="EC46" i="13" s="1"/>
  <c r="DA46" i="13"/>
  <c r="CZ46" i="13"/>
  <c r="CY46" i="13"/>
  <c r="EB46" i="13" s="1"/>
  <c r="CX46" i="13"/>
  <c r="CW46" i="13"/>
  <c r="CV46" i="13"/>
  <c r="EA46" i="13" s="1"/>
  <c r="CU46" i="13"/>
  <c r="CT46" i="13"/>
  <c r="CS46" i="13"/>
  <c r="DZ46" i="13" s="1"/>
  <c r="EJ46" i="13" s="1"/>
  <c r="DD45" i="13"/>
  <c r="DC45" i="13"/>
  <c r="DB45" i="13"/>
  <c r="EC45" i="13" s="1"/>
  <c r="DA45" i="13"/>
  <c r="CZ45" i="13"/>
  <c r="CY45" i="13"/>
  <c r="EB45" i="13" s="1"/>
  <c r="CX45" i="13"/>
  <c r="CW45" i="13"/>
  <c r="CV45" i="13"/>
  <c r="EA45" i="13" s="1"/>
  <c r="CU45" i="13"/>
  <c r="CT45" i="13"/>
  <c r="CS45" i="13"/>
  <c r="DZ45" i="13" s="1"/>
  <c r="EJ45" i="13" s="1"/>
  <c r="DD19" i="13"/>
  <c r="CW17" i="11" s="1"/>
  <c r="DC19" i="13"/>
  <c r="CV17" i="11" s="1"/>
  <c r="DB19" i="13"/>
  <c r="DA19" i="13"/>
  <c r="CT17" i="11" s="1"/>
  <c r="CZ19" i="13"/>
  <c r="CS17" i="11" s="1"/>
  <c r="CY19" i="13"/>
  <c r="CX19" i="13"/>
  <c r="CQ17" i="11" s="1"/>
  <c r="CW19" i="13"/>
  <c r="CP17" i="11" s="1"/>
  <c r="CV19" i="13"/>
  <c r="CU19" i="13"/>
  <c r="CN17" i="11" s="1"/>
  <c r="CT19" i="13"/>
  <c r="CM17" i="11" s="1"/>
  <c r="CS19" i="13"/>
  <c r="CU664" i="2"/>
  <c r="CV664" i="2" s="1"/>
  <c r="CW664" i="2" s="1"/>
  <c r="CX664" i="2" s="1"/>
  <c r="CY664" i="2" s="1"/>
  <c r="CZ664" i="2" s="1"/>
  <c r="DA664" i="2" s="1"/>
  <c r="DB664" i="2" s="1"/>
  <c r="DC664" i="2" s="1"/>
  <c r="DD664" i="2" s="1"/>
  <c r="DE664" i="2" s="1"/>
  <c r="BG9" i="16"/>
  <c r="BF9" i="16"/>
  <c r="BE9" i="16"/>
  <c r="BD9" i="16"/>
  <c r="BC9" i="16"/>
  <c r="BB9" i="16"/>
  <c r="CA9" i="16" s="1"/>
  <c r="BA9" i="16"/>
  <c r="AZ9" i="16"/>
  <c r="AY9" i="16"/>
  <c r="BZ9" i="16" s="1"/>
  <c r="AX9" i="16"/>
  <c r="AW9" i="16"/>
  <c r="AV9" i="16"/>
  <c r="BG8" i="16"/>
  <c r="BF8" i="16"/>
  <c r="BE8" i="16"/>
  <c r="BD8" i="16"/>
  <c r="BC8" i="16"/>
  <c r="BB8" i="16"/>
  <c r="CA8" i="16" s="1"/>
  <c r="BA8" i="16"/>
  <c r="AZ8" i="16"/>
  <c r="AY8" i="16"/>
  <c r="AX8" i="16"/>
  <c r="AW8" i="16"/>
  <c r="AV8" i="16"/>
  <c r="BY8" i="16" s="1"/>
  <c r="DE609" i="2"/>
  <c r="DD609" i="2"/>
  <c r="DC609" i="2"/>
  <c r="DB609" i="2"/>
  <c r="DA609" i="2"/>
  <c r="CZ609" i="2"/>
  <c r="CY609" i="2"/>
  <c r="CX609" i="2"/>
  <c r="CW609" i="2"/>
  <c r="CV609" i="2"/>
  <c r="CU609" i="2"/>
  <c r="CT609" i="2"/>
  <c r="CS382" i="2"/>
  <c r="CT382" i="2" s="1"/>
  <c r="CU382" i="2" s="1"/>
  <c r="CV382" i="2" s="1"/>
  <c r="CW382" i="2" s="1"/>
  <c r="CX382" i="2" s="1"/>
  <c r="CY382" i="2" s="1"/>
  <c r="CZ382" i="2" s="1"/>
  <c r="DA382" i="2" s="1"/>
  <c r="DB382" i="2" s="1"/>
  <c r="DC382" i="2" s="1"/>
  <c r="DD382" i="2" s="1"/>
  <c r="DE382" i="2" s="1"/>
  <c r="DF382" i="2" s="1"/>
  <c r="DG382" i="2" s="1"/>
  <c r="DH382" i="2" s="1"/>
  <c r="DI382" i="2" s="1"/>
  <c r="DJ382" i="2" s="1"/>
  <c r="DK382" i="2" s="1"/>
  <c r="DL382" i="2" s="1"/>
  <c r="DM382" i="2" s="1"/>
  <c r="DN382" i="2" s="1"/>
  <c r="DO382" i="2" s="1"/>
  <c r="DP382" i="2" s="1"/>
  <c r="DQ382" i="2" s="1"/>
  <c r="DR382" i="2" s="1"/>
  <c r="DS382" i="2" s="1"/>
  <c r="DT382" i="2" s="1"/>
  <c r="DU382" i="2" s="1"/>
  <c r="DV382" i="2" s="1"/>
  <c r="DW382" i="2" s="1"/>
  <c r="DX382" i="2" s="1"/>
  <c r="DY382" i="2" s="1"/>
  <c r="DZ382" i="2" s="1"/>
  <c r="EA382" i="2" s="1"/>
  <c r="EB382" i="2" s="1"/>
  <c r="EC382" i="2" s="1"/>
  <c r="CR382" i="2"/>
  <c r="CQ382" i="2"/>
  <c r="CP382" i="2"/>
  <c r="CO382" i="2"/>
  <c r="CN382" i="2"/>
  <c r="EC475" i="2"/>
  <c r="EB475" i="2"/>
  <c r="EA475" i="2"/>
  <c r="DZ475" i="2"/>
  <c r="DY475" i="2"/>
  <c r="DX475" i="2"/>
  <c r="DW475" i="2"/>
  <c r="DV475" i="2"/>
  <c r="DU475" i="2"/>
  <c r="DT475" i="2"/>
  <c r="DS475" i="2"/>
  <c r="DR475" i="2"/>
  <c r="BY9" i="16" l="1"/>
  <c r="EZ30" i="14"/>
  <c r="CX13" i="2"/>
  <c r="CX14" i="2"/>
  <c r="CY4" i="2"/>
  <c r="FA78" i="15"/>
  <c r="FJ78" i="15" s="1"/>
  <c r="FJ17" i="15"/>
  <c r="EJ100" i="13"/>
  <c r="EC96" i="13"/>
  <c r="EJ96" i="13" s="1"/>
  <c r="CB9" i="16"/>
  <c r="CB8" i="16"/>
  <c r="BZ8" i="16"/>
  <c r="EB86" i="18"/>
  <c r="FC17" i="14"/>
  <c r="DY86" i="18"/>
  <c r="FB17" i="14"/>
  <c r="DV86" i="18"/>
  <c r="FA17" i="14"/>
  <c r="DS86" i="18"/>
  <c r="EZ17" i="14"/>
  <c r="FJ17" i="14" s="1"/>
  <c r="EB22" i="15"/>
  <c r="FC22" i="15" s="1"/>
  <c r="FC4" i="15"/>
  <c r="DY22" i="15"/>
  <c r="FB22" i="15" s="1"/>
  <c r="FB4" i="15"/>
  <c r="DS22" i="15"/>
  <c r="EZ4" i="15"/>
  <c r="EB126" i="15"/>
  <c r="EC164" i="13"/>
  <c r="DY126" i="15"/>
  <c r="EB164" i="13"/>
  <c r="DV126" i="15"/>
  <c r="EA164" i="13"/>
  <c r="DS126" i="15"/>
  <c r="DZ164" i="13"/>
  <c r="EJ164" i="13" s="1"/>
  <c r="CH8" i="16"/>
  <c r="CX335" i="2"/>
  <c r="CY336" i="2"/>
  <c r="DW214" i="18"/>
  <c r="ED214" i="18"/>
  <c r="CY147" i="2"/>
  <c r="CX438" i="2"/>
  <c r="CX384" i="2"/>
  <c r="CY385" i="2"/>
  <c r="EB72" i="13"/>
  <c r="EC72" i="13"/>
  <c r="DH13" i="2"/>
  <c r="DH14" i="2"/>
  <c r="DI4" i="2"/>
  <c r="FC215" i="18"/>
  <c r="CU17" i="11"/>
  <c r="DV17" i="11" s="1"/>
  <c r="EC19" i="13"/>
  <c r="CR17" i="11"/>
  <c r="DU17" i="11" s="1"/>
  <c r="EB19" i="13"/>
  <c r="CO17" i="11"/>
  <c r="DT17" i="11" s="1"/>
  <c r="EA19" i="13"/>
  <c r="CL17" i="11"/>
  <c r="DS17" i="11" s="1"/>
  <c r="DZ19" i="13"/>
  <c r="EA214" i="18"/>
  <c r="FB216" i="18"/>
  <c r="DX214" i="18"/>
  <c r="FC216" i="18"/>
  <c r="DZ214" i="18"/>
  <c r="FC126" i="15"/>
  <c r="EZ126" i="15"/>
  <c r="CV88" i="13"/>
  <c r="FA215" i="18"/>
  <c r="DW22" i="15"/>
  <c r="DW37" i="15" s="1"/>
  <c r="CU433" i="2"/>
  <c r="CT433" i="2"/>
  <c r="AW7" i="16"/>
  <c r="FB172" i="18"/>
  <c r="FJ172" i="18"/>
  <c r="FB86" i="18"/>
  <c r="FA216" i="18"/>
  <c r="FC86" i="18"/>
  <c r="EZ86" i="18"/>
  <c r="DS9" i="18"/>
  <c r="EZ9" i="18" s="1"/>
  <c r="EZ40" i="18"/>
  <c r="DV9" i="18"/>
  <c r="FA9" i="18" s="1"/>
  <c r="FA40" i="18"/>
  <c r="DY9" i="18"/>
  <c r="FB9" i="18" s="1"/>
  <c r="FB40" i="18"/>
  <c r="EB9" i="18"/>
  <c r="FC9" i="18" s="1"/>
  <c r="FC40" i="18"/>
  <c r="DS214" i="18"/>
  <c r="EZ214" i="18" s="1"/>
  <c r="EZ215" i="18"/>
  <c r="DY214" i="18"/>
  <c r="FB215" i="18"/>
  <c r="DV214" i="18"/>
  <c r="DV22" i="15"/>
  <c r="EB214" i="18"/>
  <c r="DD88" i="13"/>
  <c r="CW142" i="11"/>
  <c r="DT26" i="15"/>
  <c r="DT46" i="15" s="1"/>
  <c r="ED37" i="15"/>
  <c r="ED26" i="15"/>
  <c r="ED46" i="15" s="1"/>
  <c r="DS26" i="15"/>
  <c r="CT142" i="11"/>
  <c r="EA126" i="15"/>
  <c r="FB126" i="15" s="1"/>
  <c r="AY7" i="16"/>
  <c r="CS88" i="13"/>
  <c r="DU26" i="15"/>
  <c r="DU46" i="15" s="1"/>
  <c r="DV26" i="15"/>
  <c r="DX37" i="15"/>
  <c r="DX72" i="15" s="1"/>
  <c r="DX91" i="15" s="1"/>
  <c r="DX112" i="15" s="1"/>
  <c r="DX130" i="15" s="1"/>
  <c r="DX142" i="15" s="1"/>
  <c r="BC7" i="16"/>
  <c r="CX88" i="13"/>
  <c r="CP142" i="11"/>
  <c r="DW126" i="15"/>
  <c r="FA126" i="15" s="1"/>
  <c r="DZ26" i="15"/>
  <c r="DZ46" i="15" s="1"/>
  <c r="DW26" i="15"/>
  <c r="DW46" i="15" s="1"/>
  <c r="DX26" i="15"/>
  <c r="DX46" i="15" s="1"/>
  <c r="DY26" i="15"/>
  <c r="BD7" i="16"/>
  <c r="BE7" i="16"/>
  <c r="EA37" i="15"/>
  <c r="EA26" i="15"/>
  <c r="EA46" i="15" s="1"/>
  <c r="BF7" i="16"/>
  <c r="EB37" i="15"/>
  <c r="EB26" i="15"/>
  <c r="BG7" i="16"/>
  <c r="CO142" i="11"/>
  <c r="DT142" i="11" s="1"/>
  <c r="EC37" i="15"/>
  <c r="EC26" i="15"/>
  <c r="EC46" i="15" s="1"/>
  <c r="DY37" i="15"/>
  <c r="DZ37" i="15"/>
  <c r="DZ72" i="15" s="1"/>
  <c r="DZ91" i="15" s="1"/>
  <c r="DZ112" i="15" s="1"/>
  <c r="DZ130" i="15" s="1"/>
  <c r="DZ142" i="15" s="1"/>
  <c r="DW86" i="18"/>
  <c r="FA86" i="18" s="1"/>
  <c r="AV7" i="16"/>
  <c r="AX7" i="16"/>
  <c r="BA7" i="16"/>
  <c r="AZ7" i="16"/>
  <c r="BB7" i="16"/>
  <c r="DT37" i="15"/>
  <c r="DT72" i="15" s="1"/>
  <c r="DT91" i="15" s="1"/>
  <c r="DT112" i="15" s="1"/>
  <c r="DT130" i="15" s="1"/>
  <c r="DT142" i="15" s="1"/>
  <c r="DU66" i="15"/>
  <c r="CW88" i="13"/>
  <c r="CU113" i="12"/>
  <c r="CU142" i="11"/>
  <c r="CT88" i="13"/>
  <c r="CU88" i="13"/>
  <c r="CO113" i="12"/>
  <c r="CW113" i="12"/>
  <c r="CM113" i="12"/>
  <c r="CM142" i="11"/>
  <c r="CS142" i="11"/>
  <c r="CS113" i="12"/>
  <c r="CN142" i="11"/>
  <c r="CN113" i="12"/>
  <c r="CQ113" i="12"/>
  <c r="CQ142" i="11"/>
  <c r="CR113" i="12"/>
  <c r="CR142" i="11"/>
  <c r="DU142" i="11" s="1"/>
  <c r="CZ88" i="13"/>
  <c r="DB88" i="13"/>
  <c r="CV113" i="12"/>
  <c r="DC88" i="13"/>
  <c r="CT113" i="12"/>
  <c r="CV142" i="11"/>
  <c r="CL142" i="11"/>
  <c r="DS142" i="11" s="1"/>
  <c r="CL113" i="12"/>
  <c r="DS113" i="12" s="1"/>
  <c r="DA88" i="13"/>
  <c r="CP113" i="12"/>
  <c r="CY88" i="13"/>
  <c r="FA137" i="7"/>
  <c r="ET140" i="7"/>
  <c r="ES140" i="7"/>
  <c r="ER140" i="7"/>
  <c r="EQ140" i="7"/>
  <c r="ET127" i="7"/>
  <c r="ES127" i="7"/>
  <c r="ER127" i="7"/>
  <c r="EQ127" i="7"/>
  <c r="FA127" i="7" s="1"/>
  <c r="ET126" i="7"/>
  <c r="ES126" i="7"/>
  <c r="ER126" i="7"/>
  <c r="EQ126" i="7"/>
  <c r="ET125" i="7"/>
  <c r="ES125" i="7"/>
  <c r="ER125" i="7"/>
  <c r="EQ125" i="7"/>
  <c r="ET124" i="7"/>
  <c r="ES124" i="7"/>
  <c r="ER124" i="7"/>
  <c r="EQ124" i="7"/>
  <c r="ET123" i="7"/>
  <c r="ES123" i="7"/>
  <c r="ER123" i="7"/>
  <c r="EQ123" i="7"/>
  <c r="ET122" i="7"/>
  <c r="ES122" i="7"/>
  <c r="ER122" i="7"/>
  <c r="EQ122" i="7"/>
  <c r="ET89" i="7"/>
  <c r="ES89" i="7"/>
  <c r="ER89" i="7"/>
  <c r="EQ89" i="7"/>
  <c r="ET74" i="7"/>
  <c r="ES74" i="7"/>
  <c r="ER74" i="7"/>
  <c r="EQ74" i="7"/>
  <c r="DU121" i="7"/>
  <c r="DT121" i="7"/>
  <c r="DS121" i="7"/>
  <c r="DR121" i="7"/>
  <c r="DQ121" i="7"/>
  <c r="DP121" i="7"/>
  <c r="DO121" i="7"/>
  <c r="DN121" i="7"/>
  <c r="DM121" i="7"/>
  <c r="ER121" i="7" s="1"/>
  <c r="DL121" i="7"/>
  <c r="DK121" i="7"/>
  <c r="DJ121" i="7"/>
  <c r="EQ121" i="7" s="1"/>
  <c r="DU90" i="7"/>
  <c r="DT90" i="7"/>
  <c r="DS90" i="7"/>
  <c r="DR90" i="7"/>
  <c r="DQ90" i="7"/>
  <c r="DP90" i="7"/>
  <c r="DO90" i="7"/>
  <c r="DN90" i="7"/>
  <c r="DM90" i="7"/>
  <c r="DL90" i="7"/>
  <c r="DK90" i="7"/>
  <c r="DJ90" i="7"/>
  <c r="DU71" i="7"/>
  <c r="DT71" i="7"/>
  <c r="DS71" i="7"/>
  <c r="DR71" i="7"/>
  <c r="DQ71" i="7"/>
  <c r="DP71" i="7"/>
  <c r="DO71" i="7"/>
  <c r="DN71" i="7"/>
  <c r="DM71" i="7"/>
  <c r="DL71" i="7"/>
  <c r="DK71" i="7"/>
  <c r="DJ71" i="7"/>
  <c r="DU46" i="7"/>
  <c r="DT46" i="7"/>
  <c r="DS46" i="7"/>
  <c r="DR46" i="7"/>
  <c r="DQ46" i="7"/>
  <c r="DP46" i="7"/>
  <c r="DO46" i="7"/>
  <c r="DN46" i="7"/>
  <c r="DM46" i="7"/>
  <c r="DL46" i="7"/>
  <c r="DK46" i="7"/>
  <c r="DJ46" i="7"/>
  <c r="DU37" i="7"/>
  <c r="DT37" i="7"/>
  <c r="DS37" i="7"/>
  <c r="DR37" i="7"/>
  <c r="DQ37" i="7"/>
  <c r="DP37" i="7"/>
  <c r="DO37" i="7"/>
  <c r="DN37" i="7"/>
  <c r="DM37" i="7"/>
  <c r="DL37" i="7"/>
  <c r="DK37" i="7"/>
  <c r="DJ37" i="7"/>
  <c r="DU30" i="7"/>
  <c r="DT30" i="7"/>
  <c r="DS30" i="7"/>
  <c r="DR30" i="7"/>
  <c r="DQ30" i="7"/>
  <c r="DP30" i="7"/>
  <c r="DO30" i="7"/>
  <c r="DN30" i="7"/>
  <c r="DM30" i="7"/>
  <c r="DL30" i="7"/>
  <c r="DK30" i="7"/>
  <c r="DJ30" i="7"/>
  <c r="DU29" i="7"/>
  <c r="DT29" i="7"/>
  <c r="DS29" i="7"/>
  <c r="DR29" i="7"/>
  <c r="DQ29" i="7"/>
  <c r="DP29" i="7"/>
  <c r="DO29" i="7"/>
  <c r="DN29" i="7"/>
  <c r="DM29" i="7"/>
  <c r="DL29" i="7"/>
  <c r="DK29" i="7"/>
  <c r="DJ29" i="7"/>
  <c r="DU20" i="7"/>
  <c r="DT20" i="7"/>
  <c r="DS20" i="7"/>
  <c r="DR20" i="7"/>
  <c r="DQ20" i="7"/>
  <c r="DP20" i="7"/>
  <c r="DO20" i="7"/>
  <c r="DN20" i="7"/>
  <c r="DM20" i="7"/>
  <c r="DL20" i="7"/>
  <c r="DK20" i="7"/>
  <c r="DJ20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U13" i="7"/>
  <c r="DT13" i="7"/>
  <c r="DS13" i="7"/>
  <c r="DR13" i="7"/>
  <c r="DQ13" i="7"/>
  <c r="DP13" i="7"/>
  <c r="DO13" i="7"/>
  <c r="DN13" i="7"/>
  <c r="DM13" i="7"/>
  <c r="DL13" i="7"/>
  <c r="DK13" i="7"/>
  <c r="DJ13" i="7"/>
  <c r="DU5" i="7"/>
  <c r="DT5" i="7"/>
  <c r="DS5" i="7"/>
  <c r="DR5" i="7"/>
  <c r="DQ5" i="7"/>
  <c r="DP5" i="7"/>
  <c r="DO5" i="7"/>
  <c r="DN5" i="7"/>
  <c r="DM5" i="7"/>
  <c r="DL5" i="7"/>
  <c r="DK5" i="7"/>
  <c r="DJ5" i="7"/>
  <c r="J285" i="2"/>
  <c r="I285" i="2"/>
  <c r="H285" i="2"/>
  <c r="G285" i="2"/>
  <c r="F285" i="2"/>
  <c r="E285" i="2"/>
  <c r="D285" i="2"/>
  <c r="C285" i="2"/>
  <c r="B285" i="2"/>
  <c r="EC267" i="2"/>
  <c r="EB267" i="2"/>
  <c r="EA267" i="2"/>
  <c r="DS120" i="7" s="1"/>
  <c r="CU78" i="12" s="1"/>
  <c r="DZ267" i="2"/>
  <c r="DR111" i="7" s="1"/>
  <c r="EA87" i="15" s="1"/>
  <c r="EA133" i="18" s="1"/>
  <c r="DY267" i="2"/>
  <c r="DQ120" i="7" s="1"/>
  <c r="CS78" i="12" s="1"/>
  <c r="DX267" i="2"/>
  <c r="DP120" i="7" s="1"/>
  <c r="CR78" i="12" s="1"/>
  <c r="DW267" i="2"/>
  <c r="DO120" i="7" s="1"/>
  <c r="CQ78" i="12" s="1"/>
  <c r="DV267" i="2"/>
  <c r="DN120" i="7" s="1"/>
  <c r="CP78" i="12" s="1"/>
  <c r="DU267" i="2"/>
  <c r="DM111" i="7" s="1"/>
  <c r="DV87" i="15" s="1"/>
  <c r="DT267" i="2"/>
  <c r="DS267" i="2"/>
  <c r="DR267" i="2"/>
  <c r="FD89" i="3"/>
  <c r="FC89" i="3"/>
  <c r="FB89" i="3"/>
  <c r="FD88" i="3"/>
  <c r="FC88" i="3"/>
  <c r="FB88" i="3"/>
  <c r="FD51" i="3"/>
  <c r="FC51" i="3"/>
  <c r="FB51" i="3"/>
  <c r="FA89" i="3"/>
  <c r="FA88" i="3"/>
  <c r="CH9" i="16" l="1"/>
  <c r="BZ7" i="16"/>
  <c r="FJ30" i="14"/>
  <c r="CY14" i="2"/>
  <c r="CY13" i="2"/>
  <c r="CZ4" i="2"/>
  <c r="CZ147" i="2"/>
  <c r="CY159" i="2"/>
  <c r="CB7" i="16"/>
  <c r="BY7" i="16"/>
  <c r="CA7" i="16"/>
  <c r="DV113" i="12"/>
  <c r="DV142" i="11"/>
  <c r="EC142" i="11" s="1"/>
  <c r="DT113" i="12"/>
  <c r="DU113" i="12"/>
  <c r="EB88" i="13"/>
  <c r="FC37" i="15"/>
  <c r="EZ22" i="15"/>
  <c r="DS37" i="15"/>
  <c r="FJ4" i="15"/>
  <c r="FJ86" i="18"/>
  <c r="DV37" i="15"/>
  <c r="FA22" i="15"/>
  <c r="DS46" i="15"/>
  <c r="EZ46" i="15" s="1"/>
  <c r="EZ26" i="15"/>
  <c r="DV46" i="15"/>
  <c r="FA46" i="15" s="1"/>
  <c r="FA26" i="15"/>
  <c r="DY46" i="15"/>
  <c r="FB46" i="15" s="1"/>
  <c r="FB26" i="15"/>
  <c r="FC26" i="15"/>
  <c r="EB46" i="15"/>
  <c r="FC46" i="15" s="1"/>
  <c r="DY72" i="15"/>
  <c r="FB37" i="15"/>
  <c r="DV133" i="18"/>
  <c r="CY438" i="2"/>
  <c r="CY335" i="2"/>
  <c r="CZ336" i="2"/>
  <c r="FC214" i="18"/>
  <c r="CY437" i="2"/>
  <c r="CY384" i="2"/>
  <c r="CZ385" i="2"/>
  <c r="EJ19" i="13"/>
  <c r="EC17" i="11"/>
  <c r="EJ72" i="13"/>
  <c r="DI13" i="2"/>
  <c r="DI14" i="2"/>
  <c r="DJ4" i="2"/>
  <c r="DZ88" i="13"/>
  <c r="FJ216" i="18"/>
  <c r="EC88" i="13"/>
  <c r="EA88" i="13"/>
  <c r="DA147" i="2"/>
  <c r="CZ159" i="2"/>
  <c r="FA214" i="18"/>
  <c r="FB214" i="18"/>
  <c r="FJ126" i="15"/>
  <c r="EQ5" i="7"/>
  <c r="EQ13" i="7"/>
  <c r="EQ17" i="7"/>
  <c r="EQ20" i="7"/>
  <c r="EQ29" i="7"/>
  <c r="EQ30" i="7"/>
  <c r="EQ37" i="7"/>
  <c r="EQ46" i="7"/>
  <c r="EQ90" i="7"/>
  <c r="CV433" i="2"/>
  <c r="FJ215" i="18"/>
  <c r="ES121" i="7"/>
  <c r="FA74" i="7"/>
  <c r="FA123" i="7"/>
  <c r="FA126" i="7"/>
  <c r="DZ66" i="15"/>
  <c r="DX66" i="15"/>
  <c r="FA140" i="7"/>
  <c r="FA89" i="7"/>
  <c r="FA124" i="7"/>
  <c r="FA122" i="7"/>
  <c r="FA125" i="7"/>
  <c r="ET121" i="7"/>
  <c r="FA121" i="7" s="1"/>
  <c r="EB66" i="15"/>
  <c r="EB72" i="15"/>
  <c r="EQ71" i="7"/>
  <c r="DW72" i="15"/>
  <c r="DW91" i="15" s="1"/>
  <c r="DW112" i="15" s="1"/>
  <c r="DW130" i="15" s="1"/>
  <c r="DW142" i="15" s="1"/>
  <c r="EC72" i="15"/>
  <c r="EC91" i="15" s="1"/>
  <c r="EC112" i="15" s="1"/>
  <c r="EC130" i="15" s="1"/>
  <c r="EC142" i="15" s="1"/>
  <c r="EC66" i="15"/>
  <c r="ED72" i="15"/>
  <c r="ED91" i="15" s="1"/>
  <c r="ED112" i="15" s="1"/>
  <c r="ED130" i="15" s="1"/>
  <c r="ED142" i="15" s="1"/>
  <c r="ED66" i="15"/>
  <c r="EA66" i="15"/>
  <c r="EA72" i="15"/>
  <c r="EA91" i="15" s="1"/>
  <c r="EA112" i="15" s="1"/>
  <c r="EA130" i="15" s="1"/>
  <c r="EA142" i="15" s="1"/>
  <c r="DV66" i="15"/>
  <c r="FK88" i="3"/>
  <c r="DY66" i="15"/>
  <c r="FB66" i="15" s="1"/>
  <c r="FK89" i="3"/>
  <c r="DT66" i="15"/>
  <c r="DW66" i="15"/>
  <c r="ER5" i="7"/>
  <c r="ER13" i="7"/>
  <c r="ER17" i="7"/>
  <c r="ER20" i="7"/>
  <c r="ER30" i="7"/>
  <c r="ER71" i="7"/>
  <c r="ER90" i="7"/>
  <c r="ES20" i="7"/>
  <c r="DN111" i="7"/>
  <c r="DW87" i="15" s="1"/>
  <c r="DW133" i="18" s="1"/>
  <c r="DO111" i="7"/>
  <c r="DX87" i="15" s="1"/>
  <c r="DX133" i="18" s="1"/>
  <c r="ES29" i="7"/>
  <c r="ES30" i="7"/>
  <c r="ES37" i="7"/>
  <c r="ES46" i="7"/>
  <c r="ES71" i="7"/>
  <c r="ES90" i="7"/>
  <c r="ER29" i="7"/>
  <c r="DR120" i="7"/>
  <c r="ER46" i="7"/>
  <c r="ER37" i="7"/>
  <c r="ET5" i="7"/>
  <c r="ET13" i="7"/>
  <c r="ET17" i="7"/>
  <c r="ET20" i="7"/>
  <c r="ET29" i="7"/>
  <c r="ET30" i="7"/>
  <c r="ET37" i="7"/>
  <c r="ET46" i="7"/>
  <c r="DT120" i="7"/>
  <c r="CV78" i="12" s="1"/>
  <c r="DT111" i="7"/>
  <c r="EC87" i="15" s="1"/>
  <c r="EC133" i="18" s="1"/>
  <c r="DP111" i="7"/>
  <c r="DY87" i="15" s="1"/>
  <c r="DS111" i="7"/>
  <c r="EB87" i="15" s="1"/>
  <c r="DJ120" i="7"/>
  <c r="CL78" i="12" s="1"/>
  <c r="DJ111" i="7"/>
  <c r="DS87" i="15" s="1"/>
  <c r="DL111" i="7"/>
  <c r="DU87" i="15" s="1"/>
  <c r="DU133" i="18" s="1"/>
  <c r="DL120" i="7"/>
  <c r="CN78" i="12" s="1"/>
  <c r="DK120" i="7"/>
  <c r="CM78" i="12" s="1"/>
  <c r="DK111" i="7"/>
  <c r="DT87" i="15" s="1"/>
  <c r="DT133" i="18" s="1"/>
  <c r="DM120" i="7"/>
  <c r="DU120" i="7"/>
  <c r="DU111" i="7"/>
  <c r="ED87" i="15" s="1"/>
  <c r="ED133" i="18" s="1"/>
  <c r="ES5" i="7"/>
  <c r="ES13" i="7"/>
  <c r="ES17" i="7"/>
  <c r="ET90" i="7"/>
  <c r="DQ111" i="7"/>
  <c r="DZ87" i="15" s="1"/>
  <c r="DZ133" i="18" s="1"/>
  <c r="ET71" i="7"/>
  <c r="FA51" i="3"/>
  <c r="FK51" i="3" s="1"/>
  <c r="ED103" i="3"/>
  <c r="ED176" i="18" s="1"/>
  <c r="EC103" i="3"/>
  <c r="EC176" i="18" s="1"/>
  <c r="EB103" i="3"/>
  <c r="EB176" i="18" s="1"/>
  <c r="EA103" i="3"/>
  <c r="EA176" i="18" s="1"/>
  <c r="DZ103" i="3"/>
  <c r="DZ176" i="18" s="1"/>
  <c r="DY103" i="3"/>
  <c r="DY176" i="18" s="1"/>
  <c r="DX103" i="3"/>
  <c r="DX176" i="18" s="1"/>
  <c r="DW103" i="3"/>
  <c r="DW176" i="18" s="1"/>
  <c r="DV103" i="3"/>
  <c r="DV176" i="18" s="1"/>
  <c r="DU103" i="3"/>
  <c r="DU176" i="18" s="1"/>
  <c r="DT103" i="3"/>
  <c r="DT176" i="18" s="1"/>
  <c r="DS103" i="3"/>
  <c r="DS176" i="18" s="1"/>
  <c r="ED97" i="3"/>
  <c r="EC97" i="3"/>
  <c r="EB97" i="3"/>
  <c r="EA97" i="3"/>
  <c r="DZ97" i="3"/>
  <c r="DY97" i="3"/>
  <c r="DX97" i="3"/>
  <c r="DW97" i="3"/>
  <c r="DV97" i="3"/>
  <c r="DU97" i="3"/>
  <c r="DT97" i="3"/>
  <c r="DS97" i="3"/>
  <c r="ED94" i="3"/>
  <c r="ED157" i="18" s="1"/>
  <c r="EC94" i="3"/>
  <c r="EC157" i="18" s="1"/>
  <c r="EB94" i="3"/>
  <c r="EB157" i="18" s="1"/>
  <c r="EA94" i="3"/>
  <c r="EA157" i="18" s="1"/>
  <c r="DZ94" i="3"/>
  <c r="DZ157" i="18" s="1"/>
  <c r="DY94" i="3"/>
  <c r="DY157" i="18" s="1"/>
  <c r="DX94" i="3"/>
  <c r="DX157" i="18" s="1"/>
  <c r="DW94" i="3"/>
  <c r="DW157" i="18" s="1"/>
  <c r="DV94" i="3"/>
  <c r="DV157" i="18" s="1"/>
  <c r="DU94" i="3"/>
  <c r="DU157" i="18" s="1"/>
  <c r="DT94" i="3"/>
  <c r="DT157" i="18" s="1"/>
  <c r="DS94" i="3"/>
  <c r="DS157" i="18" s="1"/>
  <c r="ED77" i="3"/>
  <c r="EC77" i="3"/>
  <c r="EB77" i="3"/>
  <c r="EA77" i="3"/>
  <c r="DZ77" i="3"/>
  <c r="DY77" i="3"/>
  <c r="DX77" i="3"/>
  <c r="DW77" i="3"/>
  <c r="DV77" i="3"/>
  <c r="DU77" i="3"/>
  <c r="DT77" i="3"/>
  <c r="DS77" i="3"/>
  <c r="CT112" i="2"/>
  <c r="EY229" i="18"/>
  <c r="EX229" i="18"/>
  <c r="EW229" i="18"/>
  <c r="EV229" i="18"/>
  <c r="EU229" i="18"/>
  <c r="ET229" i="18"/>
  <c r="ES229" i="18"/>
  <c r="ER229" i="18"/>
  <c r="EQ229" i="18"/>
  <c r="EP229" i="18"/>
  <c r="EO229" i="18"/>
  <c r="EN229" i="18"/>
  <c r="EM229" i="18"/>
  <c r="EL229" i="18"/>
  <c r="EK229" i="18"/>
  <c r="EJ229" i="18"/>
  <c r="EI229" i="18"/>
  <c r="EH229" i="18"/>
  <c r="EG229" i="18"/>
  <c r="EF229" i="18"/>
  <c r="EY226" i="18"/>
  <c r="EX226" i="18"/>
  <c r="EW226" i="18"/>
  <c r="EV226" i="18"/>
  <c r="EU226" i="18"/>
  <c r="ET226" i="18"/>
  <c r="ES226" i="18"/>
  <c r="ER226" i="18"/>
  <c r="EQ226" i="18"/>
  <c r="EP226" i="18"/>
  <c r="EO226" i="18"/>
  <c r="EN226" i="18"/>
  <c r="EM226" i="18"/>
  <c r="EL226" i="18"/>
  <c r="EK226" i="18"/>
  <c r="EJ226" i="18"/>
  <c r="EI226" i="18"/>
  <c r="EH226" i="18"/>
  <c r="EG226" i="18"/>
  <c r="EF226" i="18"/>
  <c r="EY225" i="18"/>
  <c r="EX225" i="18"/>
  <c r="EW225" i="18"/>
  <c r="EV225" i="18"/>
  <c r="EU225" i="18"/>
  <c r="ET225" i="18"/>
  <c r="ES225" i="18"/>
  <c r="ER225" i="18"/>
  <c r="EQ225" i="18"/>
  <c r="EP225" i="18"/>
  <c r="EO225" i="18"/>
  <c r="EN225" i="18"/>
  <c r="EM225" i="18"/>
  <c r="EL225" i="18"/>
  <c r="EK225" i="18"/>
  <c r="EJ225" i="18"/>
  <c r="EI225" i="18"/>
  <c r="EH225" i="18"/>
  <c r="EG225" i="18"/>
  <c r="EF225" i="18"/>
  <c r="EY224" i="18"/>
  <c r="EX224" i="18"/>
  <c r="EW224" i="18"/>
  <c r="EV224" i="18"/>
  <c r="EU224" i="18"/>
  <c r="ET224" i="18"/>
  <c r="ES224" i="18"/>
  <c r="ER224" i="18"/>
  <c r="EQ224" i="18"/>
  <c r="EP224" i="18"/>
  <c r="EO224" i="18"/>
  <c r="EN224" i="18"/>
  <c r="EM224" i="18"/>
  <c r="EL224" i="18"/>
  <c r="EK224" i="18"/>
  <c r="EJ224" i="18"/>
  <c r="EI224" i="18"/>
  <c r="EH224" i="18"/>
  <c r="EG224" i="18"/>
  <c r="EF224" i="18"/>
  <c r="EY223" i="18"/>
  <c r="EX223" i="18"/>
  <c r="EW223" i="18"/>
  <c r="EV223" i="18"/>
  <c r="EU223" i="18"/>
  <c r="ET223" i="18"/>
  <c r="ES223" i="18"/>
  <c r="ER223" i="18"/>
  <c r="EQ223" i="18"/>
  <c r="EP223" i="18"/>
  <c r="EO223" i="18"/>
  <c r="EN223" i="18"/>
  <c r="EM223" i="18"/>
  <c r="EL223" i="18"/>
  <c r="EK223" i="18"/>
  <c r="EJ223" i="18"/>
  <c r="EI223" i="18"/>
  <c r="EH223" i="18"/>
  <c r="EG223" i="18"/>
  <c r="EF223" i="18"/>
  <c r="EY222" i="18"/>
  <c r="EX222" i="18"/>
  <c r="EW222" i="18"/>
  <c r="EV222" i="18"/>
  <c r="EU222" i="18"/>
  <c r="ET222" i="18"/>
  <c r="ES222" i="18"/>
  <c r="ER222" i="18"/>
  <c r="EQ222" i="18"/>
  <c r="EP222" i="18"/>
  <c r="EO222" i="18"/>
  <c r="EN222" i="18"/>
  <c r="EM222" i="18"/>
  <c r="EL222" i="18"/>
  <c r="EK222" i="18"/>
  <c r="EJ222" i="18"/>
  <c r="EI222" i="18"/>
  <c r="EH222" i="18"/>
  <c r="EG222" i="18"/>
  <c r="EF222" i="18"/>
  <c r="EY221" i="18"/>
  <c r="EX221" i="18"/>
  <c r="EW221" i="18"/>
  <c r="EV221" i="18"/>
  <c r="EU221" i="18"/>
  <c r="ET221" i="18"/>
  <c r="ES221" i="18"/>
  <c r="ER221" i="18"/>
  <c r="EQ221" i="18"/>
  <c r="EP221" i="18"/>
  <c r="EO221" i="18"/>
  <c r="EN221" i="18"/>
  <c r="EM221" i="18"/>
  <c r="EL221" i="18"/>
  <c r="EK221" i="18"/>
  <c r="EJ221" i="18"/>
  <c r="EI221" i="18"/>
  <c r="EH221" i="18"/>
  <c r="EG221" i="18"/>
  <c r="EF221" i="18"/>
  <c r="EY220" i="18"/>
  <c r="EX220" i="18"/>
  <c r="EW220" i="18"/>
  <c r="EV220" i="18"/>
  <c r="EU220" i="18"/>
  <c r="ET220" i="18"/>
  <c r="ES220" i="18"/>
  <c r="ER220" i="18"/>
  <c r="EQ220" i="18"/>
  <c r="EP220" i="18"/>
  <c r="EO220" i="18"/>
  <c r="EN220" i="18"/>
  <c r="EM220" i="18"/>
  <c r="EL220" i="18"/>
  <c r="EK220" i="18"/>
  <c r="EJ220" i="18"/>
  <c r="EI220" i="18"/>
  <c r="EH220" i="18"/>
  <c r="EG220" i="18"/>
  <c r="EF220" i="18"/>
  <c r="EY219" i="18"/>
  <c r="EX219" i="18"/>
  <c r="EW219" i="18"/>
  <c r="EV219" i="18"/>
  <c r="EU219" i="18"/>
  <c r="ET219" i="18"/>
  <c r="ES219" i="18"/>
  <c r="ER219" i="18"/>
  <c r="EQ219" i="18"/>
  <c r="EP219" i="18"/>
  <c r="EO219" i="18"/>
  <c r="EN219" i="18"/>
  <c r="EM219" i="18"/>
  <c r="EL219" i="18"/>
  <c r="EK219" i="18"/>
  <c r="EJ219" i="18"/>
  <c r="EI219" i="18"/>
  <c r="EH219" i="18"/>
  <c r="EG219" i="18"/>
  <c r="EF219" i="18"/>
  <c r="EY218" i="18"/>
  <c r="EX218" i="18"/>
  <c r="EW218" i="18"/>
  <c r="EV218" i="18"/>
  <c r="EU218" i="18"/>
  <c r="ET218" i="18"/>
  <c r="ES218" i="18"/>
  <c r="ER218" i="18"/>
  <c r="EQ218" i="18"/>
  <c r="EP218" i="18"/>
  <c r="EO218" i="18"/>
  <c r="EN218" i="18"/>
  <c r="EM218" i="18"/>
  <c r="EL218" i="18"/>
  <c r="EK218" i="18"/>
  <c r="EJ218" i="18"/>
  <c r="EI218" i="18"/>
  <c r="EH218" i="18"/>
  <c r="EG218" i="18"/>
  <c r="EF218" i="18"/>
  <c r="EY217" i="18"/>
  <c r="EX217" i="18"/>
  <c r="EW217" i="18"/>
  <c r="EV217" i="18"/>
  <c r="EU217" i="18"/>
  <c r="ET217" i="18"/>
  <c r="ES217" i="18"/>
  <c r="ER217" i="18"/>
  <c r="EQ217" i="18"/>
  <c r="EP217" i="18"/>
  <c r="EO217" i="18"/>
  <c r="EN217" i="18"/>
  <c r="EM217" i="18"/>
  <c r="EL217" i="18"/>
  <c r="EK217" i="18"/>
  <c r="EJ217" i="18"/>
  <c r="EI217" i="18"/>
  <c r="EH217" i="18"/>
  <c r="EG217" i="18"/>
  <c r="EF217" i="18"/>
  <c r="EQ216" i="18"/>
  <c r="EP216" i="18"/>
  <c r="EO216" i="18"/>
  <c r="EN216" i="18"/>
  <c r="EM216" i="18"/>
  <c r="EL216" i="18"/>
  <c r="EK216" i="18"/>
  <c r="EJ216" i="18"/>
  <c r="EI216" i="18"/>
  <c r="EH216" i="18"/>
  <c r="EG216" i="18"/>
  <c r="EF216" i="18"/>
  <c r="EQ215" i="18"/>
  <c r="EP215" i="18"/>
  <c r="EO215" i="18"/>
  <c r="EN215" i="18"/>
  <c r="EM215" i="18"/>
  <c r="EL215" i="18"/>
  <c r="EK215" i="18"/>
  <c r="EJ215" i="18"/>
  <c r="EI215" i="18"/>
  <c r="EH215" i="18"/>
  <c r="EG215" i="18"/>
  <c r="EF215" i="18"/>
  <c r="EY237" i="18"/>
  <c r="EX237" i="18"/>
  <c r="EW237" i="18"/>
  <c r="EV237" i="18"/>
  <c r="EU237" i="18"/>
  <c r="ET237" i="18"/>
  <c r="ES237" i="18"/>
  <c r="ER237" i="18"/>
  <c r="EQ237" i="18"/>
  <c r="EP237" i="18"/>
  <c r="EO237" i="18"/>
  <c r="EN237" i="18"/>
  <c r="EM237" i="18"/>
  <c r="EL237" i="18"/>
  <c r="EK237" i="18"/>
  <c r="EJ237" i="18"/>
  <c r="EI237" i="18"/>
  <c r="EH237" i="18"/>
  <c r="EG237" i="18"/>
  <c r="EF237" i="18"/>
  <c r="EQ240" i="18"/>
  <c r="FG240" i="18" s="1"/>
  <c r="EP240" i="18"/>
  <c r="EO240" i="18"/>
  <c r="EN240" i="18"/>
  <c r="EM240" i="18"/>
  <c r="FF240" i="18" s="1"/>
  <c r="EL240" i="18"/>
  <c r="EK240" i="18"/>
  <c r="EJ240" i="18"/>
  <c r="EI240" i="18"/>
  <c r="FE240" i="18" s="1"/>
  <c r="EH240" i="18"/>
  <c r="EG240" i="18"/>
  <c r="EF240" i="18"/>
  <c r="EQ239" i="18"/>
  <c r="FG239" i="18" s="1"/>
  <c r="EP239" i="18"/>
  <c r="EO239" i="18"/>
  <c r="EN239" i="18"/>
  <c r="EM239" i="18"/>
  <c r="FF239" i="18" s="1"/>
  <c r="EL239" i="18"/>
  <c r="EK239" i="18"/>
  <c r="EJ239" i="18"/>
  <c r="EI239" i="18"/>
  <c r="FE239" i="18" s="1"/>
  <c r="EH239" i="18"/>
  <c r="EG239" i="18"/>
  <c r="EF239" i="18"/>
  <c r="EQ238" i="18"/>
  <c r="FG238" i="18" s="1"/>
  <c r="EP238" i="18"/>
  <c r="EO238" i="18"/>
  <c r="EN238" i="18"/>
  <c r="EM238" i="18"/>
  <c r="FF238" i="18" s="1"/>
  <c r="EL238" i="18"/>
  <c r="EK238" i="18"/>
  <c r="EJ238" i="18"/>
  <c r="EI238" i="18"/>
  <c r="FE238" i="18" s="1"/>
  <c r="EH238" i="18"/>
  <c r="EG238" i="18"/>
  <c r="EF238" i="18"/>
  <c r="EQ236" i="18"/>
  <c r="FG236" i="18" s="1"/>
  <c r="EP236" i="18"/>
  <c r="EO236" i="18"/>
  <c r="EN236" i="18"/>
  <c r="EM236" i="18"/>
  <c r="FF236" i="18" s="1"/>
  <c r="EL236" i="18"/>
  <c r="EK236" i="18"/>
  <c r="EJ236" i="18"/>
  <c r="EI236" i="18"/>
  <c r="FE236" i="18" s="1"/>
  <c r="EH236" i="18"/>
  <c r="EG236" i="18"/>
  <c r="EF236" i="18"/>
  <c r="CT214" i="18"/>
  <c r="CS756" i="2" s="1"/>
  <c r="C214" i="18"/>
  <c r="B756" i="2" s="1"/>
  <c r="D214" i="18"/>
  <c r="C756" i="2" s="1"/>
  <c r="E214" i="18"/>
  <c r="D756" i="2" s="1"/>
  <c r="F214" i="18"/>
  <c r="E756" i="2" s="1"/>
  <c r="G214" i="18"/>
  <c r="F756" i="2" s="1"/>
  <c r="H214" i="18"/>
  <c r="G756" i="2" s="1"/>
  <c r="I214" i="18"/>
  <c r="H756" i="2" s="1"/>
  <c r="J214" i="18"/>
  <c r="I756" i="2" s="1"/>
  <c r="K214" i="18"/>
  <c r="J756" i="2" s="1"/>
  <c r="L214" i="18"/>
  <c r="K756" i="2" s="1"/>
  <c r="M214" i="18"/>
  <c r="L756" i="2" s="1"/>
  <c r="N214" i="18"/>
  <c r="M756" i="2" s="1"/>
  <c r="O214" i="18"/>
  <c r="N756" i="2" s="1"/>
  <c r="P214" i="18"/>
  <c r="O756" i="2" s="1"/>
  <c r="Q214" i="18"/>
  <c r="P756" i="2" s="1"/>
  <c r="R214" i="18"/>
  <c r="Q756" i="2" s="1"/>
  <c r="S214" i="18"/>
  <c r="R756" i="2" s="1"/>
  <c r="T214" i="18"/>
  <c r="S756" i="2" s="1"/>
  <c r="U214" i="18"/>
  <c r="T756" i="2" s="1"/>
  <c r="V214" i="18"/>
  <c r="U756" i="2" s="1"/>
  <c r="W214" i="18"/>
  <c r="V756" i="2" s="1"/>
  <c r="X214" i="18"/>
  <c r="W756" i="2" s="1"/>
  <c r="Y214" i="18"/>
  <c r="X756" i="2" s="1"/>
  <c r="Z214" i="18"/>
  <c r="Y756" i="2" s="1"/>
  <c r="AA214" i="18"/>
  <c r="Z756" i="2" s="1"/>
  <c r="AB214" i="18"/>
  <c r="AA756" i="2" s="1"/>
  <c r="AC214" i="18"/>
  <c r="AB756" i="2" s="1"/>
  <c r="AD214" i="18"/>
  <c r="AC756" i="2" s="1"/>
  <c r="AE214" i="18"/>
  <c r="AD756" i="2" s="1"/>
  <c r="AF214" i="18"/>
  <c r="AE756" i="2" s="1"/>
  <c r="AG214" i="18"/>
  <c r="AF756" i="2" s="1"/>
  <c r="AH214" i="18"/>
  <c r="AG756" i="2" s="1"/>
  <c r="AI214" i="18"/>
  <c r="AH756" i="2" s="1"/>
  <c r="AJ214" i="18"/>
  <c r="AI756" i="2" s="1"/>
  <c r="AK214" i="18"/>
  <c r="AJ756" i="2" s="1"/>
  <c r="AL214" i="18"/>
  <c r="AK756" i="2" s="1"/>
  <c r="AM214" i="18"/>
  <c r="AL756" i="2" s="1"/>
  <c r="AN214" i="18"/>
  <c r="AM756" i="2" s="1"/>
  <c r="AO214" i="18"/>
  <c r="AN756" i="2" s="1"/>
  <c r="AP214" i="18"/>
  <c r="AO756" i="2" s="1"/>
  <c r="AQ214" i="18"/>
  <c r="AP756" i="2" s="1"/>
  <c r="AR214" i="18"/>
  <c r="AQ756" i="2" s="1"/>
  <c r="AS214" i="18"/>
  <c r="AR756" i="2" s="1"/>
  <c r="AT214" i="18"/>
  <c r="AS756" i="2" s="1"/>
  <c r="AU214" i="18"/>
  <c r="AT756" i="2" s="1"/>
  <c r="AV214" i="18"/>
  <c r="AU756" i="2" s="1"/>
  <c r="AW214" i="18"/>
  <c r="AV756" i="2" s="1"/>
  <c r="AX214" i="18"/>
  <c r="AW756" i="2" s="1"/>
  <c r="AY214" i="18"/>
  <c r="AX756" i="2" s="1"/>
  <c r="AZ214" i="18"/>
  <c r="AY756" i="2" s="1"/>
  <c r="BA214" i="18"/>
  <c r="AZ756" i="2" s="1"/>
  <c r="BB214" i="18"/>
  <c r="BA756" i="2" s="1"/>
  <c r="BC214" i="18"/>
  <c r="BB756" i="2" s="1"/>
  <c r="BD214" i="18"/>
  <c r="BC756" i="2" s="1"/>
  <c r="BE214" i="18"/>
  <c r="BD756" i="2" s="1"/>
  <c r="BF214" i="18"/>
  <c r="BE756" i="2" s="1"/>
  <c r="BG214" i="18"/>
  <c r="BF756" i="2" s="1"/>
  <c r="BH214" i="18"/>
  <c r="BG756" i="2" s="1"/>
  <c r="BI214" i="18"/>
  <c r="BH756" i="2" s="1"/>
  <c r="BJ214" i="18"/>
  <c r="BI756" i="2" s="1"/>
  <c r="BK214" i="18"/>
  <c r="BL214" i="18"/>
  <c r="BM214" i="18"/>
  <c r="BN214" i="18"/>
  <c r="BM756" i="2" s="1"/>
  <c r="BO214" i="18"/>
  <c r="BN756" i="2" s="1"/>
  <c r="BP214" i="18"/>
  <c r="BQ214" i="18"/>
  <c r="BR214" i="18"/>
  <c r="BS214" i="18"/>
  <c r="BT214" i="18"/>
  <c r="BU214" i="18"/>
  <c r="BV214" i="18"/>
  <c r="BU756" i="2" s="1"/>
  <c r="BW214" i="18"/>
  <c r="BX214" i="18"/>
  <c r="BY214" i="18"/>
  <c r="BZ214" i="18"/>
  <c r="CA214" i="18"/>
  <c r="CB214" i="18"/>
  <c r="CC214" i="18"/>
  <c r="CD214" i="18"/>
  <c r="CC756" i="2" s="1"/>
  <c r="CE214" i="18"/>
  <c r="CD756" i="2" s="1"/>
  <c r="CF214" i="18"/>
  <c r="CG214" i="18"/>
  <c r="CF756" i="2" s="1"/>
  <c r="CH214" i="18"/>
  <c r="CG756" i="2" s="1"/>
  <c r="CI214" i="18"/>
  <c r="CH756" i="2" s="1"/>
  <c r="CJ214" i="18"/>
  <c r="CI756" i="2" s="1"/>
  <c r="CK214" i="18"/>
  <c r="CJ756" i="2" s="1"/>
  <c r="CL214" i="18"/>
  <c r="CK756" i="2" s="1"/>
  <c r="CM214" i="18"/>
  <c r="CN214" i="18"/>
  <c r="CM756" i="2" s="1"/>
  <c r="CO214" i="18"/>
  <c r="CN756" i="2" s="1"/>
  <c r="CP214" i="18"/>
  <c r="CO756" i="2" s="1"/>
  <c r="CQ214" i="18"/>
  <c r="CP756" i="2" s="1"/>
  <c r="CR214" i="18"/>
  <c r="CQ756" i="2" s="1"/>
  <c r="CS214" i="18"/>
  <c r="CR756" i="2" s="1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BI779" i="2"/>
  <c r="BH779" i="2"/>
  <c r="BG779" i="2"/>
  <c r="BF779" i="2"/>
  <c r="BE779" i="2"/>
  <c r="BD779" i="2"/>
  <c r="BC779" i="2"/>
  <c r="BB779" i="2"/>
  <c r="BA779" i="2"/>
  <c r="AZ779" i="2"/>
  <c r="AY779" i="2"/>
  <c r="AX779" i="2"/>
  <c r="CR779" i="2"/>
  <c r="CQ779" i="2"/>
  <c r="CP779" i="2"/>
  <c r="CO779" i="2"/>
  <c r="CN779" i="2"/>
  <c r="CM779" i="2"/>
  <c r="CL779" i="2"/>
  <c r="CK779" i="2"/>
  <c r="CJ779" i="2"/>
  <c r="CI779" i="2"/>
  <c r="CH779" i="2"/>
  <c r="CG779" i="2"/>
  <c r="CF779" i="2"/>
  <c r="CE779" i="2"/>
  <c r="CD779" i="2"/>
  <c r="CC779" i="2"/>
  <c r="CB779" i="2"/>
  <c r="CA779" i="2"/>
  <c r="BZ779" i="2"/>
  <c r="BY779" i="2"/>
  <c r="BX779" i="2"/>
  <c r="BW779" i="2"/>
  <c r="BV779" i="2"/>
  <c r="BU779" i="2"/>
  <c r="BT779" i="2"/>
  <c r="BS779" i="2"/>
  <c r="BR779" i="2"/>
  <c r="BQ779" i="2"/>
  <c r="BP779" i="2"/>
  <c r="BO779" i="2"/>
  <c r="BN779" i="2"/>
  <c r="BM779" i="2"/>
  <c r="BL779" i="2"/>
  <c r="BK779" i="2"/>
  <c r="BJ779" i="2"/>
  <c r="CS779" i="2"/>
  <c r="CT779" i="2" s="1"/>
  <c r="CU779" i="2" s="1"/>
  <c r="CV779" i="2" s="1"/>
  <c r="CW779" i="2" s="1"/>
  <c r="CX779" i="2" s="1"/>
  <c r="CY779" i="2" s="1"/>
  <c r="CZ779" i="2" s="1"/>
  <c r="DA779" i="2" s="1"/>
  <c r="DB779" i="2" s="1"/>
  <c r="DC779" i="2" s="1"/>
  <c r="DD779" i="2" s="1"/>
  <c r="DE779" i="2" s="1"/>
  <c r="DF779" i="2" s="1"/>
  <c r="DG779" i="2" s="1"/>
  <c r="DH779" i="2" s="1"/>
  <c r="DI779" i="2" s="1"/>
  <c r="DJ779" i="2" s="1"/>
  <c r="DK779" i="2" s="1"/>
  <c r="DL779" i="2" s="1"/>
  <c r="DM779" i="2" s="1"/>
  <c r="DN779" i="2" s="1"/>
  <c r="DO779" i="2" s="1"/>
  <c r="DP779" i="2" s="1"/>
  <c r="DQ779" i="2" s="1"/>
  <c r="CO183" i="23"/>
  <c r="CN183" i="23"/>
  <c r="CM183" i="23"/>
  <c r="CL183" i="23"/>
  <c r="CK183" i="23"/>
  <c r="CJ183" i="23"/>
  <c r="CO175" i="23"/>
  <c r="CN175" i="23"/>
  <c r="CM175" i="23"/>
  <c r="CL175" i="23"/>
  <c r="CL167" i="23" s="1"/>
  <c r="CK175" i="23"/>
  <c r="CK167" i="23" s="1"/>
  <c r="CJ175" i="23"/>
  <c r="CO163" i="23"/>
  <c r="CN163" i="23"/>
  <c r="CM163" i="23"/>
  <c r="CL163" i="23"/>
  <c r="CK163" i="23"/>
  <c r="CJ163" i="23"/>
  <c r="CO155" i="23"/>
  <c r="CN155" i="23"/>
  <c r="CM155" i="23"/>
  <c r="CM146" i="23" s="1"/>
  <c r="CL155" i="23"/>
  <c r="CL146" i="23" s="1"/>
  <c r="CK155" i="23"/>
  <c r="CJ155" i="23"/>
  <c r="CO141" i="23"/>
  <c r="CN141" i="23"/>
  <c r="CM141" i="23"/>
  <c r="CL141" i="23"/>
  <c r="CK141" i="23"/>
  <c r="CJ141" i="23"/>
  <c r="CO140" i="23"/>
  <c r="CN140" i="23"/>
  <c r="CM140" i="23"/>
  <c r="CL140" i="23"/>
  <c r="CK140" i="23"/>
  <c r="CJ140" i="23"/>
  <c r="CO139" i="23"/>
  <c r="CN139" i="23"/>
  <c r="CM139" i="23"/>
  <c r="CL139" i="23"/>
  <c r="CK139" i="23"/>
  <c r="CJ139" i="23"/>
  <c r="CO138" i="23"/>
  <c r="CN138" i="23"/>
  <c r="CM138" i="23"/>
  <c r="CL138" i="23"/>
  <c r="CK138" i="23"/>
  <c r="CJ138" i="23"/>
  <c r="CO137" i="23"/>
  <c r="CN137" i="23"/>
  <c r="CM137" i="23"/>
  <c r="CL137" i="23"/>
  <c r="CK137" i="23"/>
  <c r="CJ137" i="23"/>
  <c r="CO133" i="23"/>
  <c r="CQ9" i="23" s="1"/>
  <c r="CN133" i="23"/>
  <c r="CP9" i="23" s="1"/>
  <c r="CM133" i="23"/>
  <c r="CL133" i="23"/>
  <c r="CK133" i="23"/>
  <c r="CJ133" i="23"/>
  <c r="CO132" i="23"/>
  <c r="CN132" i="23"/>
  <c r="CM132" i="23"/>
  <c r="CL132" i="23"/>
  <c r="CK132" i="23"/>
  <c r="CJ132" i="23"/>
  <c r="CO131" i="23"/>
  <c r="CQ7" i="23" s="1"/>
  <c r="CN131" i="23"/>
  <c r="CP7" i="23" s="1"/>
  <c r="CM131" i="23"/>
  <c r="CL131" i="23"/>
  <c r="CK131" i="23"/>
  <c r="CJ131" i="23"/>
  <c r="CO130" i="23"/>
  <c r="CQ6" i="23" s="1"/>
  <c r="CN130" i="23"/>
  <c r="CP6" i="23" s="1"/>
  <c r="CM130" i="23"/>
  <c r="CL130" i="23"/>
  <c r="CK130" i="23"/>
  <c r="CJ130" i="23"/>
  <c r="CO129" i="23"/>
  <c r="CN129" i="23"/>
  <c r="CP5" i="23" s="1"/>
  <c r="CM129" i="23"/>
  <c r="CL129" i="23"/>
  <c r="CK129" i="23"/>
  <c r="CJ129" i="23"/>
  <c r="CO121" i="23"/>
  <c r="CN121" i="23"/>
  <c r="CM121" i="23"/>
  <c r="CL121" i="23"/>
  <c r="CK121" i="23"/>
  <c r="CJ121" i="23"/>
  <c r="CJ97" i="23" s="1"/>
  <c r="CI121" i="23"/>
  <c r="CH121" i="23"/>
  <c r="CG121" i="23"/>
  <c r="CF121" i="23"/>
  <c r="CE121" i="23"/>
  <c r="CD121" i="23"/>
  <c r="CC121" i="23"/>
  <c r="CB121" i="23"/>
  <c r="CB97" i="23" s="1"/>
  <c r="CA121" i="23"/>
  <c r="BZ121" i="23"/>
  <c r="BY121" i="23"/>
  <c r="BX121" i="23"/>
  <c r="BW121" i="23"/>
  <c r="BV121" i="23"/>
  <c r="BU121" i="23"/>
  <c r="BT121" i="23"/>
  <c r="BS121" i="23"/>
  <c r="BR121" i="23"/>
  <c r="BQ121" i="23"/>
  <c r="BP121" i="23"/>
  <c r="BP97" i="23" s="1"/>
  <c r="BO121" i="23"/>
  <c r="BN121" i="23"/>
  <c r="BM121" i="23"/>
  <c r="BL121" i="23"/>
  <c r="BK121" i="23"/>
  <c r="BJ121" i="23"/>
  <c r="BI121" i="23"/>
  <c r="BH121" i="23"/>
  <c r="BG121" i="23"/>
  <c r="BF121" i="23"/>
  <c r="BE121" i="23"/>
  <c r="BD121" i="23"/>
  <c r="BD97" i="23" s="1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R97" i="23" s="1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CO113" i="23"/>
  <c r="CN113" i="23"/>
  <c r="CM113" i="23"/>
  <c r="CL113" i="23"/>
  <c r="CK113" i="23"/>
  <c r="CJ113" i="23"/>
  <c r="CI113" i="23"/>
  <c r="CH113" i="23"/>
  <c r="CG113" i="23"/>
  <c r="CF113" i="23"/>
  <c r="CE113" i="23"/>
  <c r="CD113" i="23"/>
  <c r="CC113" i="23"/>
  <c r="CB113" i="23"/>
  <c r="CA113" i="23"/>
  <c r="BZ113" i="23"/>
  <c r="BY113" i="23"/>
  <c r="BX113" i="23"/>
  <c r="BW113" i="23"/>
  <c r="BV113" i="23"/>
  <c r="BU113" i="23"/>
  <c r="BT113" i="23"/>
  <c r="BS113" i="23"/>
  <c r="BR113" i="23"/>
  <c r="BQ113" i="23"/>
  <c r="BP113" i="23"/>
  <c r="BO113" i="23"/>
  <c r="BN113" i="23"/>
  <c r="BM113" i="23"/>
  <c r="BL113" i="23"/>
  <c r="BK113" i="23"/>
  <c r="BJ113" i="23"/>
  <c r="BI113" i="23"/>
  <c r="BH113" i="23"/>
  <c r="BG113" i="23"/>
  <c r="BF113" i="23"/>
  <c r="BE113" i="23"/>
  <c r="BD113" i="23"/>
  <c r="BC113" i="23"/>
  <c r="BB113" i="23"/>
  <c r="BA113" i="23"/>
  <c r="AZ113" i="23"/>
  <c r="AY113" i="23"/>
  <c r="AX113" i="23"/>
  <c r="AW113" i="23"/>
  <c r="AV113" i="23"/>
  <c r="AU113" i="23"/>
  <c r="AT113" i="23"/>
  <c r="AS113" i="23"/>
  <c r="AR113" i="23"/>
  <c r="AQ113" i="23"/>
  <c r="AP113" i="23"/>
  <c r="AO113" i="23"/>
  <c r="AN113" i="23"/>
  <c r="AM113" i="23"/>
  <c r="AL113" i="23"/>
  <c r="AK113" i="23"/>
  <c r="AJ113" i="23"/>
  <c r="AI113" i="23"/>
  <c r="AH113" i="23"/>
  <c r="AG113" i="23"/>
  <c r="AF113" i="23"/>
  <c r="AE113" i="23"/>
  <c r="AD113" i="23"/>
  <c r="AC113" i="23"/>
  <c r="AB113" i="23"/>
  <c r="AA113" i="23"/>
  <c r="Z113" i="23"/>
  <c r="Y113" i="23"/>
  <c r="X113" i="23"/>
  <c r="W113" i="23"/>
  <c r="V113" i="23"/>
  <c r="U113" i="23"/>
  <c r="T113" i="23"/>
  <c r="S113" i="23"/>
  <c r="R113" i="23"/>
  <c r="Q113" i="23"/>
  <c r="P113" i="23"/>
  <c r="O113" i="23"/>
  <c r="N113" i="23"/>
  <c r="M113" i="23"/>
  <c r="L113" i="23"/>
  <c r="K113" i="23"/>
  <c r="J113" i="23"/>
  <c r="I113" i="23"/>
  <c r="H113" i="23"/>
  <c r="G113" i="23"/>
  <c r="F113" i="23"/>
  <c r="E113" i="23"/>
  <c r="D113" i="23"/>
  <c r="C113" i="23"/>
  <c r="B113" i="23"/>
  <c r="CU105" i="23"/>
  <c r="CT105" i="23"/>
  <c r="CO105" i="23"/>
  <c r="CN105" i="23"/>
  <c r="CM105" i="23"/>
  <c r="CL105" i="23"/>
  <c r="CK105" i="23"/>
  <c r="CJ105" i="23"/>
  <c r="CI105" i="23"/>
  <c r="CH105" i="23"/>
  <c r="CG105" i="23"/>
  <c r="CF105" i="23"/>
  <c r="CE105" i="23"/>
  <c r="CD105" i="23"/>
  <c r="CD97" i="23" s="1"/>
  <c r="CC105" i="23"/>
  <c r="CB105" i="23"/>
  <c r="CA105" i="23"/>
  <c r="BZ105" i="23"/>
  <c r="BY105" i="23"/>
  <c r="BX105" i="23"/>
  <c r="BW105" i="23"/>
  <c r="BV105" i="23"/>
  <c r="BU105" i="23"/>
  <c r="BT105" i="23"/>
  <c r="BS105" i="23"/>
  <c r="BR105" i="23"/>
  <c r="BR97" i="23" s="1"/>
  <c r="BQ105" i="23"/>
  <c r="BP105" i="23"/>
  <c r="BO105" i="23"/>
  <c r="BN105" i="23"/>
  <c r="BM105" i="23"/>
  <c r="BL105" i="23"/>
  <c r="BK105" i="23"/>
  <c r="BJ105" i="23"/>
  <c r="BI105" i="23"/>
  <c r="BH105" i="23"/>
  <c r="BG105" i="23"/>
  <c r="BF105" i="23"/>
  <c r="BE105" i="23"/>
  <c r="BD105" i="23"/>
  <c r="BC105" i="23"/>
  <c r="BB105" i="23"/>
  <c r="BA105" i="23"/>
  <c r="BA97" i="23" s="1"/>
  <c r="AZ105" i="23"/>
  <c r="AZ97" i="23" s="1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H97" i="23" s="1"/>
  <c r="AG105" i="23"/>
  <c r="AF105" i="23"/>
  <c r="AE105" i="23"/>
  <c r="AD105" i="23"/>
  <c r="AC105" i="23"/>
  <c r="AB105" i="23"/>
  <c r="AB97" i="23" s="1"/>
  <c r="AA105" i="23"/>
  <c r="Z105" i="23"/>
  <c r="Y105" i="23"/>
  <c r="X105" i="23"/>
  <c r="W105" i="23"/>
  <c r="V105" i="23"/>
  <c r="V97" i="23" s="1"/>
  <c r="U105" i="23"/>
  <c r="U97" i="23" s="1"/>
  <c r="T105" i="23"/>
  <c r="Q105" i="23"/>
  <c r="Q97" i="23" s="1"/>
  <c r="P105" i="23"/>
  <c r="P97" i="23" s="1"/>
  <c r="M105" i="23"/>
  <c r="M97" i="23" s="1"/>
  <c r="L105" i="23"/>
  <c r="L97" i="23" s="1"/>
  <c r="K105" i="23"/>
  <c r="K97" i="23" s="1"/>
  <c r="J105" i="23"/>
  <c r="J97" i="23" s="1"/>
  <c r="I105" i="23"/>
  <c r="I97" i="23" s="1"/>
  <c r="H105" i="23"/>
  <c r="H97" i="23" s="1"/>
  <c r="G105" i="23"/>
  <c r="G97" i="23" s="1"/>
  <c r="F105" i="23"/>
  <c r="F97" i="23" s="1"/>
  <c r="E105" i="23"/>
  <c r="E97" i="23" s="1"/>
  <c r="D105" i="23"/>
  <c r="C105" i="23"/>
  <c r="C97" i="23" s="1"/>
  <c r="B105" i="23"/>
  <c r="B97" i="23" s="1"/>
  <c r="S104" i="23"/>
  <c r="S105" i="23" s="1"/>
  <c r="S97" i="23" s="1"/>
  <c r="R104" i="23"/>
  <c r="R105" i="23" s="1"/>
  <c r="R97" i="23" s="1"/>
  <c r="N101" i="23"/>
  <c r="N6" i="23" s="1"/>
  <c r="O100" i="23"/>
  <c r="N100" i="23"/>
  <c r="BL97" i="23"/>
  <c r="T97" i="23"/>
  <c r="D97" i="23"/>
  <c r="CO93" i="23"/>
  <c r="CN93" i="23"/>
  <c r="CM93" i="23"/>
  <c r="CL93" i="23"/>
  <c r="CK93" i="23"/>
  <c r="CJ93" i="23"/>
  <c r="CI93" i="23"/>
  <c r="CH93" i="23"/>
  <c r="CG93" i="23"/>
  <c r="CF93" i="23"/>
  <c r="CE93" i="23"/>
  <c r="CD93" i="23"/>
  <c r="CC93" i="23"/>
  <c r="CB93" i="23"/>
  <c r="CA93" i="23"/>
  <c r="BZ93" i="23"/>
  <c r="BY93" i="23"/>
  <c r="BX93" i="23"/>
  <c r="BW93" i="23"/>
  <c r="BV93" i="23"/>
  <c r="BU93" i="23"/>
  <c r="BT93" i="23"/>
  <c r="BS93" i="23"/>
  <c r="BR93" i="23"/>
  <c r="BQ93" i="23"/>
  <c r="BP93" i="23"/>
  <c r="BO93" i="23"/>
  <c r="BN93" i="23"/>
  <c r="BM93" i="23"/>
  <c r="BL93" i="23"/>
  <c r="BK93" i="23"/>
  <c r="BJ93" i="23"/>
  <c r="BI93" i="23"/>
  <c r="BH93" i="23"/>
  <c r="BG93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CO75" i="23"/>
  <c r="CO73" i="23" s="1"/>
  <c r="CN75" i="23"/>
  <c r="CN73" i="23" s="1"/>
  <c r="CM75" i="23"/>
  <c r="CL75" i="23"/>
  <c r="CK75" i="23"/>
  <c r="CJ75" i="23"/>
  <c r="CI75" i="23"/>
  <c r="CH75" i="23"/>
  <c r="CF75" i="23"/>
  <c r="CE75" i="23"/>
  <c r="CD75" i="23"/>
  <c r="CC75" i="23"/>
  <c r="CB75" i="23"/>
  <c r="BV75" i="23"/>
  <c r="BV73" i="23" s="1"/>
  <c r="CM74" i="23"/>
  <c r="CL74" i="23"/>
  <c r="CL73" i="23" s="1"/>
  <c r="CK73" i="23"/>
  <c r="CK69" i="23" s="1"/>
  <c r="CK85" i="23" s="1"/>
  <c r="CJ74" i="23"/>
  <c r="CI74" i="23"/>
  <c r="CH74" i="23"/>
  <c r="CH73" i="23" s="1"/>
  <c r="CG74" i="23"/>
  <c r="CF74" i="23"/>
  <c r="CF73" i="23" s="1"/>
  <c r="CE74" i="23"/>
  <c r="CE73" i="23" s="1"/>
  <c r="CD74" i="23"/>
  <c r="CC74" i="23"/>
  <c r="CB74" i="23"/>
  <c r="CA73" i="23"/>
  <c r="BZ73" i="23"/>
  <c r="BY73" i="23"/>
  <c r="BX73" i="23"/>
  <c r="BW73" i="23"/>
  <c r="BU73" i="23"/>
  <c r="BT73" i="23"/>
  <c r="BS73" i="23"/>
  <c r="BR73" i="23"/>
  <c r="BQ73" i="23"/>
  <c r="BP73" i="23"/>
  <c r="BO73" i="23"/>
  <c r="BN73" i="23"/>
  <c r="BM73" i="23"/>
  <c r="BM69" i="23" s="1"/>
  <c r="BM85" i="23" s="1"/>
  <c r="BL73" i="23"/>
  <c r="BK73" i="23"/>
  <c r="BJ73" i="23"/>
  <c r="BI73" i="23"/>
  <c r="BH73" i="23"/>
  <c r="BG73" i="23"/>
  <c r="BF73" i="23"/>
  <c r="BE73" i="23"/>
  <c r="BD73" i="23"/>
  <c r="BC73" i="23"/>
  <c r="BB73" i="23"/>
  <c r="BA73" i="23"/>
  <c r="BA69" i="23" s="1"/>
  <c r="BA85" i="23" s="1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O69" i="23" s="1"/>
  <c r="AO85" i="23" s="1"/>
  <c r="AN73" i="23"/>
  <c r="AM73" i="23"/>
  <c r="AL73" i="23"/>
  <c r="AK73" i="23"/>
  <c r="AJ73" i="23"/>
  <c r="AJ69" i="23" s="1"/>
  <c r="AJ85" i="23" s="1"/>
  <c r="AI73" i="23"/>
  <c r="AH73" i="23"/>
  <c r="AH69" i="23" s="1"/>
  <c r="AH85" i="23" s="1"/>
  <c r="AG73" i="23"/>
  <c r="AG69" i="23" s="1"/>
  <c r="AG85" i="23" s="1"/>
  <c r="AF73" i="23"/>
  <c r="AF69" i="23" s="1"/>
  <c r="AF85" i="23" s="1"/>
  <c r="AE73" i="23"/>
  <c r="AE69" i="23" s="1"/>
  <c r="AE85" i="23" s="1"/>
  <c r="AD73" i="23"/>
  <c r="AD69" i="23" s="1"/>
  <c r="AD85" i="23" s="1"/>
  <c r="AC73" i="23"/>
  <c r="AC69" i="23" s="1"/>
  <c r="AC85" i="23" s="1"/>
  <c r="AB73" i="23"/>
  <c r="AA73" i="23"/>
  <c r="AA69" i="23" s="1"/>
  <c r="AA85" i="23" s="1"/>
  <c r="Z73" i="23"/>
  <c r="Z69" i="23" s="1"/>
  <c r="Z85" i="23" s="1"/>
  <c r="Y73" i="23"/>
  <c r="Y69" i="23" s="1"/>
  <c r="Y85" i="23" s="1"/>
  <c r="X73" i="23"/>
  <c r="X69" i="23" s="1"/>
  <c r="X85" i="23" s="1"/>
  <c r="W73" i="23"/>
  <c r="W69" i="23" s="1"/>
  <c r="W85" i="23" s="1"/>
  <c r="V73" i="23"/>
  <c r="V69" i="23" s="1"/>
  <c r="V85" i="23" s="1"/>
  <c r="U73" i="23"/>
  <c r="U69" i="23" s="1"/>
  <c r="U85" i="23" s="1"/>
  <c r="T73" i="23"/>
  <c r="T69" i="23" s="1"/>
  <c r="T85" i="23" s="1"/>
  <c r="S73" i="23"/>
  <c r="S69" i="23" s="1"/>
  <c r="S85" i="23" s="1"/>
  <c r="R73" i="23"/>
  <c r="R69" i="23" s="1"/>
  <c r="R85" i="23" s="1"/>
  <c r="Q73" i="23"/>
  <c r="Q69" i="23" s="1"/>
  <c r="Q85" i="23" s="1"/>
  <c r="P73" i="23"/>
  <c r="P69" i="23" s="1"/>
  <c r="P85" i="23" s="1"/>
  <c r="O73" i="23"/>
  <c r="O69" i="23" s="1"/>
  <c r="O85" i="23" s="1"/>
  <c r="N73" i="23"/>
  <c r="N69" i="23" s="1"/>
  <c r="N85" i="23" s="1"/>
  <c r="M73" i="23"/>
  <c r="L73" i="23"/>
  <c r="L69" i="23" s="1"/>
  <c r="L85" i="23" s="1"/>
  <c r="K73" i="23"/>
  <c r="K69" i="23" s="1"/>
  <c r="K85" i="23" s="1"/>
  <c r="J73" i="23"/>
  <c r="J69" i="23" s="1"/>
  <c r="J85" i="23" s="1"/>
  <c r="I73" i="23"/>
  <c r="I69" i="23" s="1"/>
  <c r="I85" i="23" s="1"/>
  <c r="H73" i="23"/>
  <c r="G73" i="23"/>
  <c r="G69" i="23" s="1"/>
  <c r="G85" i="23" s="1"/>
  <c r="F73" i="23"/>
  <c r="F69" i="23" s="1"/>
  <c r="F85" i="23" s="1"/>
  <c r="CO71" i="23"/>
  <c r="CO69" i="23" s="1"/>
  <c r="CO85" i="23" s="1"/>
  <c r="CN71" i="23"/>
  <c r="CM71" i="23"/>
  <c r="CL71" i="23"/>
  <c r="CK71" i="23"/>
  <c r="CJ71" i="23"/>
  <c r="CI71" i="23"/>
  <c r="CH71" i="23"/>
  <c r="CG71" i="23"/>
  <c r="CF71" i="23"/>
  <c r="CE71" i="23"/>
  <c r="CD71" i="23"/>
  <c r="CC71" i="23"/>
  <c r="CB71" i="23"/>
  <c r="CA71" i="23"/>
  <c r="BZ71" i="23"/>
  <c r="BY71" i="23"/>
  <c r="BX71" i="23"/>
  <c r="BW71" i="23"/>
  <c r="BV71" i="23"/>
  <c r="BU71" i="23"/>
  <c r="BU69" i="23" s="1"/>
  <c r="BU85" i="23" s="1"/>
  <c r="BT71" i="23"/>
  <c r="BS71" i="23"/>
  <c r="BR71" i="23"/>
  <c r="BQ71" i="23"/>
  <c r="BQ69" i="23" s="1"/>
  <c r="BQ85" i="23" s="1"/>
  <c r="BP71" i="23"/>
  <c r="BP69" i="23" s="1"/>
  <c r="BP85" i="23" s="1"/>
  <c r="BO71" i="23"/>
  <c r="BN71" i="23"/>
  <c r="BM71" i="23"/>
  <c r="BL71" i="23"/>
  <c r="BK71" i="23"/>
  <c r="BJ71" i="23"/>
  <c r="BI71" i="23"/>
  <c r="BI69" i="23" s="1"/>
  <c r="BI85" i="23" s="1"/>
  <c r="BH71" i="23"/>
  <c r="BG71" i="23"/>
  <c r="BF71" i="23"/>
  <c r="BE71" i="23"/>
  <c r="BD71" i="23"/>
  <c r="BD69" i="23" s="1"/>
  <c r="BD85" i="23" s="1"/>
  <c r="BC71" i="23"/>
  <c r="BB71" i="23"/>
  <c r="BA71" i="23"/>
  <c r="AZ71" i="23"/>
  <c r="AY71" i="23"/>
  <c r="AX71" i="23"/>
  <c r="AX69" i="23" s="1"/>
  <c r="AX85" i="23" s="1"/>
  <c r="AW71" i="23"/>
  <c r="AW69" i="23" s="1"/>
  <c r="AW85" i="23" s="1"/>
  <c r="AV71" i="23"/>
  <c r="AU71" i="23"/>
  <c r="AT71" i="23"/>
  <c r="AS71" i="23"/>
  <c r="AS69" i="23" s="1"/>
  <c r="AS85" i="23" s="1"/>
  <c r="AR71" i="23"/>
  <c r="AR69" i="23" s="1"/>
  <c r="AR85" i="23" s="1"/>
  <c r="AQ71" i="23"/>
  <c r="AP71" i="23"/>
  <c r="AO71" i="23"/>
  <c r="AN71" i="23"/>
  <c r="AM71" i="23"/>
  <c r="AL71" i="23"/>
  <c r="AL69" i="23" s="1"/>
  <c r="AL85" i="23" s="1"/>
  <c r="AI71" i="23"/>
  <c r="AH71" i="23"/>
  <c r="BJ69" i="23"/>
  <c r="BJ85" i="23" s="1"/>
  <c r="AK69" i="23"/>
  <c r="AK85" i="23" s="1"/>
  <c r="AB69" i="23"/>
  <c r="AB85" i="23" s="1"/>
  <c r="M69" i="23"/>
  <c r="M85" i="23" s="1"/>
  <c r="H69" i="23"/>
  <c r="H85" i="23" s="1"/>
  <c r="E69" i="23"/>
  <c r="E85" i="23" s="1"/>
  <c r="D69" i="23"/>
  <c r="C69" i="23"/>
  <c r="C85" i="23" s="1"/>
  <c r="B69" i="23"/>
  <c r="B85" i="23" s="1"/>
  <c r="D58" i="23"/>
  <c r="CO52" i="23"/>
  <c r="CN52" i="23"/>
  <c r="CM52" i="23"/>
  <c r="CL52" i="23"/>
  <c r="CK52" i="23"/>
  <c r="CJ52" i="23"/>
  <c r="CI52" i="23"/>
  <c r="CH52" i="23"/>
  <c r="CG52" i="23"/>
  <c r="CF52" i="23"/>
  <c r="CE52" i="23"/>
  <c r="CD52" i="23"/>
  <c r="CC52" i="23"/>
  <c r="CB52" i="23"/>
  <c r="CA52" i="23"/>
  <c r="BZ52" i="23"/>
  <c r="BY52" i="23"/>
  <c r="BX52" i="23"/>
  <c r="BW52" i="23"/>
  <c r="BV52" i="23"/>
  <c r="BU52" i="23"/>
  <c r="BT52" i="23"/>
  <c r="BS52" i="23"/>
  <c r="BR52" i="23"/>
  <c r="BQ52" i="23"/>
  <c r="BP52" i="23"/>
  <c r="BO52" i="23"/>
  <c r="BN52" i="23"/>
  <c r="BM52" i="23"/>
  <c r="BL52" i="23"/>
  <c r="BK52" i="23"/>
  <c r="BJ52" i="23"/>
  <c r="BI52" i="23"/>
  <c r="BH52" i="23"/>
  <c r="CG44" i="23"/>
  <c r="CF44" i="23"/>
  <c r="CE44" i="23"/>
  <c r="CD44" i="23"/>
  <c r="CC44" i="23"/>
  <c r="CB44" i="23"/>
  <c r="CA44" i="23"/>
  <c r="BZ44" i="23"/>
  <c r="BY44" i="23"/>
  <c r="BX44" i="23"/>
  <c r="BW44" i="23"/>
  <c r="BV44" i="23"/>
  <c r="BU44" i="23"/>
  <c r="BT44" i="23"/>
  <c r="BS44" i="23"/>
  <c r="BR44" i="23"/>
  <c r="BQ44" i="23"/>
  <c r="BP44" i="23"/>
  <c r="BO44" i="23"/>
  <c r="BN44" i="23"/>
  <c r="BM44" i="23"/>
  <c r="BL44" i="23"/>
  <c r="BK44" i="23"/>
  <c r="BJ44" i="23"/>
  <c r="BI44" i="23"/>
  <c r="BH44" i="23"/>
  <c r="BG44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CU43" i="23"/>
  <c r="CT43" i="23"/>
  <c r="CU41" i="23"/>
  <c r="CU44" i="23" s="1"/>
  <c r="CT41" i="23"/>
  <c r="CT44" i="23" s="1"/>
  <c r="CO41" i="23"/>
  <c r="CO44" i="23" s="1"/>
  <c r="CN41" i="23"/>
  <c r="CN44" i="23" s="1"/>
  <c r="CM41" i="23"/>
  <c r="CM44" i="23" s="1"/>
  <c r="CL41" i="23"/>
  <c r="CK41" i="23"/>
  <c r="CK44" i="23" s="1"/>
  <c r="CJ41" i="23"/>
  <c r="CJ44" i="23" s="1"/>
  <c r="CI41" i="23"/>
  <c r="CI44" i="23" s="1"/>
  <c r="CH41" i="23"/>
  <c r="CH44" i="23" s="1"/>
  <c r="Q39" i="23"/>
  <c r="Q44" i="23" s="1"/>
  <c r="P39" i="23"/>
  <c r="P44" i="23" s="1"/>
  <c r="BU35" i="23"/>
  <c r="BU27" i="23" s="1"/>
  <c r="BT35" i="23"/>
  <c r="BT27" i="23" s="1"/>
  <c r="BM35" i="23"/>
  <c r="BM27" i="23" s="1"/>
  <c r="BL35" i="23"/>
  <c r="BL27" i="23" s="1"/>
  <c r="BE35" i="23"/>
  <c r="BD35" i="23"/>
  <c r="BD27" i="23" s="1"/>
  <c r="BC35" i="23"/>
  <c r="BC27" i="23" s="1"/>
  <c r="BB35" i="23"/>
  <c r="BB27" i="23" s="1"/>
  <c r="BA35" i="23"/>
  <c r="BA27" i="23" s="1"/>
  <c r="AZ35" i="23"/>
  <c r="AZ27" i="23" s="1"/>
  <c r="AY35" i="23"/>
  <c r="AX35" i="23"/>
  <c r="AW35" i="23"/>
  <c r="AW27" i="23" s="1"/>
  <c r="AV35" i="23"/>
  <c r="AV27" i="23" s="1"/>
  <c r="AU35" i="23"/>
  <c r="AU27" i="23" s="1"/>
  <c r="AT35" i="23"/>
  <c r="AT27" i="23" s="1"/>
  <c r="AS35" i="23"/>
  <c r="AS27" i="23" s="1"/>
  <c r="AR35" i="23"/>
  <c r="AR27" i="23" s="1"/>
  <c r="AQ35" i="23"/>
  <c r="AQ27" i="23" s="1"/>
  <c r="AP35" i="23"/>
  <c r="AP27" i="23" s="1"/>
  <c r="AO35" i="23"/>
  <c r="AO27" i="23" s="1"/>
  <c r="AN35" i="23"/>
  <c r="AN27" i="23" s="1"/>
  <c r="AM35" i="23"/>
  <c r="AL35" i="23"/>
  <c r="AK35" i="23"/>
  <c r="AK27" i="23" s="1"/>
  <c r="AJ35" i="23"/>
  <c r="AJ27" i="23" s="1"/>
  <c r="AI35" i="23"/>
  <c r="AI27" i="23" s="1"/>
  <c r="AH35" i="23"/>
  <c r="AH27" i="23" s="1"/>
  <c r="AG35" i="23"/>
  <c r="AF35" i="23"/>
  <c r="AF27" i="23" s="1"/>
  <c r="AE35" i="23"/>
  <c r="AE27" i="23" s="1"/>
  <c r="AD35" i="23"/>
  <c r="AD27" i="23" s="1"/>
  <c r="AC35" i="23"/>
  <c r="AC27" i="23" s="1"/>
  <c r="AB35" i="23"/>
  <c r="AB27" i="23" s="1"/>
  <c r="AA35" i="23"/>
  <c r="AA27" i="23" s="1"/>
  <c r="Z35" i="23"/>
  <c r="Y35" i="23"/>
  <c r="Y27" i="23" s="1"/>
  <c r="X35" i="23"/>
  <c r="X27" i="23" s="1"/>
  <c r="W35" i="23"/>
  <c r="W27" i="23" s="1"/>
  <c r="V35" i="23"/>
  <c r="V27" i="23" s="1"/>
  <c r="U35" i="23"/>
  <c r="U27" i="23" s="1"/>
  <c r="T35" i="23"/>
  <c r="S35" i="23"/>
  <c r="S27" i="23" s="1"/>
  <c r="R35" i="23"/>
  <c r="R27" i="23" s="1"/>
  <c r="Q35" i="23"/>
  <c r="Q27" i="23" s="1"/>
  <c r="P35" i="23"/>
  <c r="P27" i="23" s="1"/>
  <c r="O35" i="23"/>
  <c r="O27" i="23" s="1"/>
  <c r="N35" i="23"/>
  <c r="M35" i="23"/>
  <c r="M27" i="23" s="1"/>
  <c r="L35" i="23"/>
  <c r="L27" i="23" s="1"/>
  <c r="K35" i="23"/>
  <c r="K27" i="23" s="1"/>
  <c r="J35" i="23"/>
  <c r="J27" i="23" s="1"/>
  <c r="I35" i="23"/>
  <c r="I27" i="23" s="1"/>
  <c r="H35" i="23"/>
  <c r="H27" i="23" s="1"/>
  <c r="G35" i="23"/>
  <c r="G27" i="23" s="1"/>
  <c r="F35" i="23"/>
  <c r="F27" i="23" s="1"/>
  <c r="E35" i="23"/>
  <c r="E27" i="23" s="1"/>
  <c r="D35" i="23"/>
  <c r="D27" i="23" s="1"/>
  <c r="C35" i="23"/>
  <c r="C27" i="23" s="1"/>
  <c r="B35" i="23"/>
  <c r="B27" i="23" s="1"/>
  <c r="CO30" i="23"/>
  <c r="CO35" i="23" s="1"/>
  <c r="CO27" i="23" s="1"/>
  <c r="CN30" i="23"/>
  <c r="CN35" i="23" s="1"/>
  <c r="CN27" i="23" s="1"/>
  <c r="CM30" i="23"/>
  <c r="CM35" i="23" s="1"/>
  <c r="CM27" i="23" s="1"/>
  <c r="CL30" i="23"/>
  <c r="CL35" i="23" s="1"/>
  <c r="CL27" i="23" s="1"/>
  <c r="CK30" i="23"/>
  <c r="CK35" i="23" s="1"/>
  <c r="CK27" i="23" s="1"/>
  <c r="CJ30" i="23"/>
  <c r="CJ35" i="23" s="1"/>
  <c r="CJ27" i="23" s="1"/>
  <c r="CI30" i="23"/>
  <c r="CI35" i="23" s="1"/>
  <c r="CI27" i="23" s="1"/>
  <c r="CH30" i="23"/>
  <c r="CH35" i="23" s="1"/>
  <c r="CH27" i="23" s="1"/>
  <c r="CG30" i="23"/>
  <c r="CG35" i="23" s="1"/>
  <c r="CG27" i="23" s="1"/>
  <c r="CF30" i="23"/>
  <c r="CF35" i="23" s="1"/>
  <c r="CF27" i="23" s="1"/>
  <c r="CE30" i="23"/>
  <c r="CE35" i="23" s="1"/>
  <c r="CE27" i="23" s="1"/>
  <c r="CD30" i="23"/>
  <c r="CD35" i="23" s="1"/>
  <c r="CD27" i="23" s="1"/>
  <c r="CC30" i="23"/>
  <c r="CC35" i="23" s="1"/>
  <c r="CC27" i="23" s="1"/>
  <c r="CB30" i="23"/>
  <c r="CB35" i="23" s="1"/>
  <c r="CB27" i="23" s="1"/>
  <c r="CA30" i="23"/>
  <c r="CA35" i="23" s="1"/>
  <c r="CA27" i="23" s="1"/>
  <c r="BZ30" i="23"/>
  <c r="BZ35" i="23" s="1"/>
  <c r="BZ27" i="23" s="1"/>
  <c r="BY30" i="23"/>
  <c r="BY35" i="23" s="1"/>
  <c r="BY27" i="23" s="1"/>
  <c r="BX30" i="23"/>
  <c r="BX35" i="23" s="1"/>
  <c r="BX27" i="23" s="1"/>
  <c r="BW30" i="23"/>
  <c r="BW35" i="23" s="1"/>
  <c r="BW27" i="23" s="1"/>
  <c r="BV30" i="23"/>
  <c r="BV35" i="23" s="1"/>
  <c r="BV27" i="23" s="1"/>
  <c r="BS30" i="23"/>
  <c r="BS35" i="23" s="1"/>
  <c r="BS27" i="23" s="1"/>
  <c r="BR30" i="23"/>
  <c r="BR35" i="23" s="1"/>
  <c r="BR27" i="23" s="1"/>
  <c r="BQ30" i="23"/>
  <c r="BQ35" i="23" s="1"/>
  <c r="BQ27" i="23" s="1"/>
  <c r="BP30" i="23"/>
  <c r="BP35" i="23" s="1"/>
  <c r="BP27" i="23" s="1"/>
  <c r="BO30" i="23"/>
  <c r="BO35" i="23" s="1"/>
  <c r="BO27" i="23" s="1"/>
  <c r="BN30" i="23"/>
  <c r="BN35" i="23" s="1"/>
  <c r="BN27" i="23" s="1"/>
  <c r="BK30" i="23"/>
  <c r="BK35" i="23" s="1"/>
  <c r="BK27" i="23" s="1"/>
  <c r="BJ30" i="23"/>
  <c r="BJ35" i="23" s="1"/>
  <c r="BJ27" i="23" s="1"/>
  <c r="BI35" i="23"/>
  <c r="BI27" i="23" s="1"/>
  <c r="BH30" i="23"/>
  <c r="BH35" i="23" s="1"/>
  <c r="BH27" i="23" s="1"/>
  <c r="BG30" i="23"/>
  <c r="BG35" i="23" s="1"/>
  <c r="BG27" i="23" s="1"/>
  <c r="BF30" i="23"/>
  <c r="BF35" i="23" s="1"/>
  <c r="BF27" i="23" s="1"/>
  <c r="BE27" i="23"/>
  <c r="AY27" i="23"/>
  <c r="AX27" i="23"/>
  <c r="AM27" i="23"/>
  <c r="AL27" i="23"/>
  <c r="AG27" i="23"/>
  <c r="Z27" i="23"/>
  <c r="T27" i="23"/>
  <c r="N27" i="23"/>
  <c r="CO17" i="23"/>
  <c r="CN17" i="23"/>
  <c r="CM17" i="23"/>
  <c r="CL17" i="23"/>
  <c r="CK17" i="23"/>
  <c r="CJ17" i="23"/>
  <c r="CI17" i="23"/>
  <c r="CH17" i="23"/>
  <c r="CG17" i="23"/>
  <c r="CF17" i="23"/>
  <c r="CE17" i="23"/>
  <c r="CD17" i="23"/>
  <c r="CC17" i="23"/>
  <c r="CB17" i="23"/>
  <c r="CA17" i="23"/>
  <c r="BZ17" i="23"/>
  <c r="BY17" i="23"/>
  <c r="BX17" i="23"/>
  <c r="BW17" i="23"/>
  <c r="BV17" i="23"/>
  <c r="BU17" i="23"/>
  <c r="BT17" i="23"/>
  <c r="BS17" i="23"/>
  <c r="BR17" i="23"/>
  <c r="BQ17" i="23"/>
  <c r="BP17" i="23"/>
  <c r="BO17" i="23"/>
  <c r="BN17" i="23"/>
  <c r="BM17" i="23"/>
  <c r="BL17" i="23"/>
  <c r="BK17" i="23"/>
  <c r="BJ17" i="23"/>
  <c r="BI17" i="23"/>
  <c r="BH17" i="23"/>
  <c r="CO16" i="23"/>
  <c r="CN16" i="23"/>
  <c r="CM16" i="23"/>
  <c r="CL16" i="23"/>
  <c r="CK16" i="23"/>
  <c r="CJ16" i="23"/>
  <c r="CI16" i="23"/>
  <c r="CH16" i="23"/>
  <c r="CG16" i="23"/>
  <c r="CF16" i="23"/>
  <c r="CE16" i="23"/>
  <c r="CD16" i="23"/>
  <c r="CC16" i="23"/>
  <c r="CB16" i="23"/>
  <c r="CA16" i="23"/>
  <c r="BZ16" i="23"/>
  <c r="BY16" i="23"/>
  <c r="BX16" i="23"/>
  <c r="BW16" i="23"/>
  <c r="BV16" i="23"/>
  <c r="BU16" i="23"/>
  <c r="BT16" i="23"/>
  <c r="BS16" i="23"/>
  <c r="BR16" i="23"/>
  <c r="BQ16" i="23"/>
  <c r="BP16" i="23"/>
  <c r="BO16" i="23"/>
  <c r="BN16" i="23"/>
  <c r="BM16" i="23"/>
  <c r="BL16" i="23"/>
  <c r="BK16" i="23"/>
  <c r="BJ16" i="23"/>
  <c r="BI16" i="23"/>
  <c r="BH16" i="23"/>
  <c r="CO15" i="23"/>
  <c r="CN15" i="23"/>
  <c r="CM15" i="23"/>
  <c r="CL15" i="23"/>
  <c r="CK15" i="23"/>
  <c r="CJ15" i="23"/>
  <c r="CI15" i="23"/>
  <c r="CH15" i="23"/>
  <c r="CG15" i="23"/>
  <c r="CF15" i="23"/>
  <c r="CE15" i="23"/>
  <c r="CD15" i="23"/>
  <c r="CC15" i="23"/>
  <c r="CB15" i="23"/>
  <c r="CA15" i="23"/>
  <c r="BZ15" i="23"/>
  <c r="BY15" i="23"/>
  <c r="BX15" i="23"/>
  <c r="BW15" i="23"/>
  <c r="BV15" i="23"/>
  <c r="BU15" i="23"/>
  <c r="BT15" i="23"/>
  <c r="BS15" i="23"/>
  <c r="BR15" i="23"/>
  <c r="BQ15" i="23"/>
  <c r="BP15" i="23"/>
  <c r="BO15" i="23"/>
  <c r="BN15" i="23"/>
  <c r="BM15" i="23"/>
  <c r="BL15" i="23"/>
  <c r="BK15" i="23"/>
  <c r="BJ15" i="23"/>
  <c r="BI15" i="23"/>
  <c r="BH15" i="23"/>
  <c r="CO14" i="23"/>
  <c r="CN14" i="23"/>
  <c r="CM14" i="23"/>
  <c r="CL14" i="23"/>
  <c r="CK14" i="23"/>
  <c r="CJ14" i="23"/>
  <c r="CI14" i="23"/>
  <c r="CH14" i="23"/>
  <c r="CG14" i="23"/>
  <c r="CF14" i="23"/>
  <c r="CE14" i="23"/>
  <c r="CD14" i="23"/>
  <c r="CC14" i="23"/>
  <c r="CB14" i="23"/>
  <c r="CA14" i="23"/>
  <c r="BZ14" i="23"/>
  <c r="BY14" i="23"/>
  <c r="BX14" i="23"/>
  <c r="BW14" i="23"/>
  <c r="BV14" i="23"/>
  <c r="BU14" i="23"/>
  <c r="BT14" i="23"/>
  <c r="BS14" i="23"/>
  <c r="BR14" i="23"/>
  <c r="BQ14" i="23"/>
  <c r="BP14" i="23"/>
  <c r="BO14" i="23"/>
  <c r="BN14" i="23"/>
  <c r="BM14" i="23"/>
  <c r="BL14" i="23"/>
  <c r="BK14" i="23"/>
  <c r="BJ14" i="23"/>
  <c r="BI14" i="23"/>
  <c r="BH14" i="23"/>
  <c r="CO13" i="23"/>
  <c r="CN13" i="23"/>
  <c r="CM13" i="23"/>
  <c r="CL13" i="23"/>
  <c r="CK13" i="23"/>
  <c r="CJ13" i="23"/>
  <c r="CI13" i="23"/>
  <c r="CH13" i="23"/>
  <c r="CG13" i="23"/>
  <c r="CF13" i="23"/>
  <c r="CE13" i="23"/>
  <c r="CD13" i="23"/>
  <c r="CC13" i="23"/>
  <c r="CB13" i="23"/>
  <c r="CA13" i="23"/>
  <c r="BZ13" i="23"/>
  <c r="BY13" i="23"/>
  <c r="BX13" i="23"/>
  <c r="BW13" i="23"/>
  <c r="BV13" i="23"/>
  <c r="BU13" i="23"/>
  <c r="BT13" i="23"/>
  <c r="BS13" i="23"/>
  <c r="BR13" i="23"/>
  <c r="BQ13" i="23"/>
  <c r="BP13" i="23"/>
  <c r="BO13" i="23"/>
  <c r="BN13" i="23"/>
  <c r="BM13" i="23"/>
  <c r="BL13" i="23"/>
  <c r="BK13" i="23"/>
  <c r="BJ13" i="23"/>
  <c r="BI13" i="23"/>
  <c r="BH13" i="23"/>
  <c r="CW9" i="23"/>
  <c r="CV9" i="23"/>
  <c r="CU9" i="23"/>
  <c r="CY9" i="23" s="1"/>
  <c r="CT9" i="23"/>
  <c r="CO9" i="23"/>
  <c r="CN9" i="23"/>
  <c r="CM9" i="23"/>
  <c r="CL9" i="23"/>
  <c r="CK9" i="23"/>
  <c r="CJ9" i="23"/>
  <c r="CI9" i="23"/>
  <c r="CH9" i="23"/>
  <c r="CG9" i="23"/>
  <c r="CF9" i="23"/>
  <c r="CE9" i="23"/>
  <c r="CD9" i="23"/>
  <c r="CC9" i="23"/>
  <c r="CB9" i="23"/>
  <c r="CA9" i="23"/>
  <c r="BZ9" i="23"/>
  <c r="BY9" i="23"/>
  <c r="BX9" i="23"/>
  <c r="BW9" i="23"/>
  <c r="BV9" i="23"/>
  <c r="BU9" i="23"/>
  <c r="BT9" i="23"/>
  <c r="BS9" i="23"/>
  <c r="BR9" i="23"/>
  <c r="BQ9" i="23"/>
  <c r="BP9" i="23"/>
  <c r="BO9" i="23"/>
  <c r="BN9" i="23"/>
  <c r="BM9" i="23"/>
  <c r="BL9" i="23"/>
  <c r="BK9" i="23"/>
  <c r="BJ9" i="23"/>
  <c r="BI9" i="23"/>
  <c r="BH9" i="23"/>
  <c r="BG9" i="23"/>
  <c r="BF9" i="23"/>
  <c r="BE9" i="23"/>
  <c r="BD9" i="23"/>
  <c r="BC9" i="23"/>
  <c r="BB9" i="23"/>
  <c r="BA9" i="23"/>
  <c r="AZ9" i="23"/>
  <c r="AY9" i="23"/>
  <c r="AX9" i="23"/>
  <c r="AW9" i="23"/>
  <c r="AV9" i="23"/>
  <c r="AU9" i="23"/>
  <c r="AT9" i="23"/>
  <c r="AS9" i="23"/>
  <c r="AR9" i="23"/>
  <c r="AQ9" i="23"/>
  <c r="AP9" i="23"/>
  <c r="AO9" i="23"/>
  <c r="AN9" i="23"/>
  <c r="AM9" i="23"/>
  <c r="AL9" i="23"/>
  <c r="AK9" i="23"/>
  <c r="AJ9" i="23"/>
  <c r="AI9" i="23"/>
  <c r="AH9" i="23"/>
  <c r="AG9" i="23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B9" i="23"/>
  <c r="CW8" i="23"/>
  <c r="CV8" i="23"/>
  <c r="CU8" i="23"/>
  <c r="CT8" i="23"/>
  <c r="CQ8" i="23"/>
  <c r="CP8" i="23"/>
  <c r="CO8" i="23"/>
  <c r="CN8" i="23"/>
  <c r="CM8" i="23"/>
  <c r="CL8" i="23"/>
  <c r="CK8" i="23"/>
  <c r="CJ8" i="23"/>
  <c r="CI8" i="23"/>
  <c r="CH8" i="23"/>
  <c r="CG8" i="23"/>
  <c r="CF8" i="23"/>
  <c r="CE8" i="23"/>
  <c r="CD8" i="23"/>
  <c r="CC8" i="23"/>
  <c r="CB8" i="23"/>
  <c r="CA8" i="23"/>
  <c r="BZ8" i="23"/>
  <c r="BY8" i="23"/>
  <c r="BX8" i="23"/>
  <c r="BW8" i="23"/>
  <c r="BV8" i="23"/>
  <c r="BU8" i="23"/>
  <c r="BT8" i="23"/>
  <c r="BS8" i="23"/>
  <c r="BR8" i="23"/>
  <c r="BQ8" i="23"/>
  <c r="BP8" i="23"/>
  <c r="BO8" i="23"/>
  <c r="BN8" i="23"/>
  <c r="BM8" i="23"/>
  <c r="BL8" i="23"/>
  <c r="BK8" i="23"/>
  <c r="BJ8" i="23"/>
  <c r="BI8" i="23"/>
  <c r="BH8" i="23"/>
  <c r="BG8" i="23"/>
  <c r="BF8" i="23"/>
  <c r="BE8" i="23"/>
  <c r="BD8" i="23"/>
  <c r="BC8" i="23"/>
  <c r="BB8" i="23"/>
  <c r="BA8" i="23"/>
  <c r="AZ8" i="23"/>
  <c r="AY8" i="23"/>
  <c r="AX8" i="23"/>
  <c r="AW8" i="23"/>
  <c r="AV8" i="23"/>
  <c r="AU8" i="23"/>
  <c r="AT8" i="23"/>
  <c r="AS8" i="23"/>
  <c r="AR8" i="23"/>
  <c r="AQ8" i="23"/>
  <c r="AP8" i="23"/>
  <c r="AO8" i="23"/>
  <c r="AN8" i="23"/>
  <c r="AM8" i="23"/>
  <c r="AL8" i="23"/>
  <c r="AK8" i="23"/>
  <c r="AJ8" i="23"/>
  <c r="AI8" i="23"/>
  <c r="AH8" i="23"/>
  <c r="AG8" i="23"/>
  <c r="AF8" i="23"/>
  <c r="AE8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E8" i="23"/>
  <c r="D8" i="23"/>
  <c r="C8" i="23"/>
  <c r="B8" i="23"/>
  <c r="CW7" i="23"/>
  <c r="CV7" i="23"/>
  <c r="CT7" i="23"/>
  <c r="CX7" i="23" s="1"/>
  <c r="CI7" i="23"/>
  <c r="CG7" i="23"/>
  <c r="CF7" i="23"/>
  <c r="CE7" i="23"/>
  <c r="CD7" i="23"/>
  <c r="CC7" i="23"/>
  <c r="CB7" i="23"/>
  <c r="CA7" i="23"/>
  <c r="BZ7" i="23"/>
  <c r="BY7" i="23"/>
  <c r="BX7" i="23"/>
  <c r="BW7" i="23"/>
  <c r="BV7" i="23"/>
  <c r="BU7" i="23"/>
  <c r="BT7" i="23"/>
  <c r="BS7" i="23"/>
  <c r="BR7" i="23"/>
  <c r="BQ7" i="23"/>
  <c r="BP7" i="23"/>
  <c r="BO7" i="23"/>
  <c r="BN7" i="23"/>
  <c r="BM7" i="23"/>
  <c r="BL7" i="23"/>
  <c r="BK7" i="23"/>
  <c r="BJ7" i="23"/>
  <c r="BI7" i="23"/>
  <c r="BH7" i="23"/>
  <c r="BG7" i="23"/>
  <c r="BF7" i="23"/>
  <c r="BE7" i="23"/>
  <c r="BD7" i="23"/>
  <c r="BC7" i="23"/>
  <c r="BB7" i="23"/>
  <c r="BA7" i="23"/>
  <c r="AZ7" i="23"/>
  <c r="AY7" i="23"/>
  <c r="AX7" i="23"/>
  <c r="AW7" i="23"/>
  <c r="AV7" i="23"/>
  <c r="AU7" i="23"/>
  <c r="AT7" i="23"/>
  <c r="AS7" i="23"/>
  <c r="AR7" i="23"/>
  <c r="AQ7" i="23"/>
  <c r="AP7" i="23"/>
  <c r="AO7" i="23"/>
  <c r="AN7" i="23"/>
  <c r="AM7" i="23"/>
  <c r="AL7" i="23"/>
  <c r="AK7" i="23"/>
  <c r="AJ7" i="23"/>
  <c r="AI7" i="23"/>
  <c r="AH7" i="23"/>
  <c r="AG7" i="23"/>
  <c r="AF7" i="23"/>
  <c r="AE7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G7" i="23"/>
  <c r="F7" i="23"/>
  <c r="E7" i="23"/>
  <c r="D7" i="23"/>
  <c r="C7" i="23"/>
  <c r="B7" i="23"/>
  <c r="CW6" i="23"/>
  <c r="CV6" i="23"/>
  <c r="CU6" i="23"/>
  <c r="CT6" i="23"/>
  <c r="CO6" i="23"/>
  <c r="CN6" i="23"/>
  <c r="CM6" i="23"/>
  <c r="CL6" i="23"/>
  <c r="CK6" i="23"/>
  <c r="CJ6" i="23"/>
  <c r="CI6" i="23"/>
  <c r="CH6" i="23"/>
  <c r="CG6" i="23"/>
  <c r="CF6" i="23"/>
  <c r="CE6" i="23"/>
  <c r="CD6" i="23"/>
  <c r="CC6" i="23"/>
  <c r="CB6" i="23"/>
  <c r="CA6" i="23"/>
  <c r="BZ6" i="23"/>
  <c r="BY6" i="23"/>
  <c r="BX6" i="23"/>
  <c r="BW6" i="23"/>
  <c r="BV6" i="23"/>
  <c r="BU6" i="23"/>
  <c r="BT6" i="23"/>
  <c r="BS6" i="23"/>
  <c r="BR6" i="23"/>
  <c r="BQ6" i="23"/>
  <c r="BP6" i="23"/>
  <c r="BO6" i="23"/>
  <c r="BN6" i="23"/>
  <c r="BM6" i="23"/>
  <c r="BL6" i="23"/>
  <c r="BK6" i="23"/>
  <c r="BJ6" i="23"/>
  <c r="BI6" i="23"/>
  <c r="BH6" i="23"/>
  <c r="BG6" i="23"/>
  <c r="BF6" i="23"/>
  <c r="BE6" i="23"/>
  <c r="BD6" i="23"/>
  <c r="BC6" i="23"/>
  <c r="BB6" i="23"/>
  <c r="BA6" i="23"/>
  <c r="AZ6" i="23"/>
  <c r="AY6" i="23"/>
  <c r="AX6" i="23"/>
  <c r="AW6" i="23"/>
  <c r="AV6" i="23"/>
  <c r="AU6" i="23"/>
  <c r="AT6" i="23"/>
  <c r="AS6" i="23"/>
  <c r="AR6" i="23"/>
  <c r="AQ6" i="23"/>
  <c r="AP6" i="23"/>
  <c r="AO6" i="23"/>
  <c r="AN6" i="23"/>
  <c r="AM6" i="23"/>
  <c r="AL6" i="23"/>
  <c r="AK6" i="23"/>
  <c r="AJ6" i="23"/>
  <c r="AI6" i="23"/>
  <c r="AH6" i="23"/>
  <c r="AG6" i="23"/>
  <c r="AF6" i="23"/>
  <c r="AE6" i="23"/>
  <c r="AD6" i="23"/>
  <c r="AC6" i="23"/>
  <c r="AB6" i="23"/>
  <c r="AA6" i="23"/>
  <c r="Z6" i="23"/>
  <c r="Y6" i="23"/>
  <c r="X6" i="23"/>
  <c r="W6" i="23"/>
  <c r="V6" i="23"/>
  <c r="U6" i="23"/>
  <c r="T6" i="23"/>
  <c r="S6" i="23"/>
  <c r="R6" i="23"/>
  <c r="Q6" i="23"/>
  <c r="P6" i="23"/>
  <c r="O6" i="23"/>
  <c r="M6" i="23"/>
  <c r="L6" i="23"/>
  <c r="K6" i="23"/>
  <c r="J6" i="23"/>
  <c r="I6" i="23"/>
  <c r="H6" i="23"/>
  <c r="G6" i="23"/>
  <c r="F6" i="23"/>
  <c r="E6" i="23"/>
  <c r="D6" i="23"/>
  <c r="C6" i="23"/>
  <c r="B6" i="23"/>
  <c r="CW5" i="23"/>
  <c r="CV5" i="23"/>
  <c r="CU5" i="23"/>
  <c r="CT5" i="23"/>
  <c r="CO5" i="23"/>
  <c r="CN5" i="23"/>
  <c r="CM5" i="23"/>
  <c r="CL5" i="23"/>
  <c r="CK5" i="23"/>
  <c r="CJ5" i="23"/>
  <c r="CI5" i="23"/>
  <c r="CH5" i="23"/>
  <c r="CG5" i="23"/>
  <c r="CF5" i="23"/>
  <c r="CE5" i="23"/>
  <c r="CD5" i="23"/>
  <c r="CC5" i="23"/>
  <c r="CB5" i="23"/>
  <c r="CA5" i="23"/>
  <c r="BZ5" i="23"/>
  <c r="BY5" i="23"/>
  <c r="BX5" i="23"/>
  <c r="BW5" i="23"/>
  <c r="BV5" i="23"/>
  <c r="BU5" i="23"/>
  <c r="BT5" i="23"/>
  <c r="BS5" i="23"/>
  <c r="BR5" i="23"/>
  <c r="BQ5" i="23"/>
  <c r="BP5" i="23"/>
  <c r="BO5" i="23"/>
  <c r="BN5" i="23"/>
  <c r="BM5" i="23"/>
  <c r="BL5" i="23"/>
  <c r="BK5" i="23"/>
  <c r="BJ5" i="23"/>
  <c r="BI5" i="23"/>
  <c r="BH5" i="23"/>
  <c r="BG5" i="23"/>
  <c r="BF5" i="23"/>
  <c r="BE5" i="23"/>
  <c r="BD5" i="23"/>
  <c r="BC5" i="23"/>
  <c r="BB5" i="23"/>
  <c r="BA5" i="23"/>
  <c r="AZ5" i="23"/>
  <c r="AY5" i="23"/>
  <c r="AX5" i="23"/>
  <c r="AW5" i="23"/>
  <c r="AV5" i="23"/>
  <c r="AU5" i="23"/>
  <c r="AT5" i="23"/>
  <c r="AS5" i="23"/>
  <c r="AR5" i="23"/>
  <c r="AQ5" i="23"/>
  <c r="AP5" i="23"/>
  <c r="AO5" i="23"/>
  <c r="AN5" i="23"/>
  <c r="AM5" i="23"/>
  <c r="AL5" i="23"/>
  <c r="AK5" i="23"/>
  <c r="AJ5" i="23"/>
  <c r="AI5" i="23"/>
  <c r="AH5" i="23"/>
  <c r="AG5" i="23"/>
  <c r="AF5" i="23"/>
  <c r="AE5" i="23"/>
  <c r="AD5" i="23"/>
  <c r="AC5" i="23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N5" i="23"/>
  <c r="M5" i="23"/>
  <c r="L5" i="23"/>
  <c r="K5" i="23"/>
  <c r="J5" i="23"/>
  <c r="I5" i="23"/>
  <c r="H5" i="23"/>
  <c r="G5" i="23"/>
  <c r="F5" i="23"/>
  <c r="E5" i="23"/>
  <c r="D5" i="23"/>
  <c r="C5" i="23"/>
  <c r="B5" i="23"/>
  <c r="J1" i="23"/>
  <c r="L1" i="23" s="1"/>
  <c r="N1" i="23" s="1"/>
  <c r="P1" i="23" s="1"/>
  <c r="R1" i="23" s="1"/>
  <c r="T1" i="23" s="1"/>
  <c r="V1" i="23" s="1"/>
  <c r="X1" i="23" s="1"/>
  <c r="Z1" i="23" s="1"/>
  <c r="AB1" i="23" s="1"/>
  <c r="AD1" i="23" s="1"/>
  <c r="AF1" i="23" s="1"/>
  <c r="AH1" i="23" s="1"/>
  <c r="AJ1" i="23" s="1"/>
  <c r="AL1" i="23" s="1"/>
  <c r="AN1" i="23" s="1"/>
  <c r="AP1" i="23" s="1"/>
  <c r="AR1" i="23" s="1"/>
  <c r="AT1" i="23" s="1"/>
  <c r="AV1" i="23" s="1"/>
  <c r="AX1" i="23" s="1"/>
  <c r="AZ1" i="23" s="1"/>
  <c r="BB1" i="23" s="1"/>
  <c r="BD1" i="23" s="1"/>
  <c r="BF1" i="23" s="1"/>
  <c r="BH1" i="23" s="1"/>
  <c r="BJ1" i="23" s="1"/>
  <c r="BL1" i="23" s="1"/>
  <c r="BN1" i="23" s="1"/>
  <c r="BP1" i="23" s="1"/>
  <c r="BR1" i="23" s="1"/>
  <c r="BT1" i="23" s="1"/>
  <c r="BV1" i="23" s="1"/>
  <c r="BX1" i="23" s="1"/>
  <c r="BZ1" i="23" s="1"/>
  <c r="CB1" i="23" s="1"/>
  <c r="CD1" i="23" s="1"/>
  <c r="CF1" i="23" s="1"/>
  <c r="CH1" i="23" s="1"/>
  <c r="CJ1" i="23" s="1"/>
  <c r="D1" i="23"/>
  <c r="F1" i="23" s="1"/>
  <c r="C68" i="18"/>
  <c r="C59" i="18" s="1"/>
  <c r="D68" i="18"/>
  <c r="D59" i="18" s="1"/>
  <c r="E68" i="18"/>
  <c r="E59" i="18" s="1"/>
  <c r="F68" i="18"/>
  <c r="F59" i="18" s="1"/>
  <c r="G68" i="18"/>
  <c r="G59" i="18" s="1"/>
  <c r="H68" i="18"/>
  <c r="H59" i="18" s="1"/>
  <c r="I68" i="18"/>
  <c r="I59" i="18" s="1"/>
  <c r="J68" i="18"/>
  <c r="J59" i="18" s="1"/>
  <c r="K68" i="18"/>
  <c r="K59" i="18" s="1"/>
  <c r="L68" i="18"/>
  <c r="L59" i="18" s="1"/>
  <c r="M68" i="18"/>
  <c r="M59" i="18" s="1"/>
  <c r="N68" i="18"/>
  <c r="N59" i="18" s="1"/>
  <c r="O68" i="18"/>
  <c r="O59" i="18" s="1"/>
  <c r="P68" i="18"/>
  <c r="P59" i="18" s="1"/>
  <c r="Q68" i="18"/>
  <c r="Q59" i="18" s="1"/>
  <c r="R68" i="18"/>
  <c r="R59" i="18" s="1"/>
  <c r="S68" i="18"/>
  <c r="S59" i="18" s="1"/>
  <c r="T68" i="18"/>
  <c r="T59" i="18" s="1"/>
  <c r="U68" i="18"/>
  <c r="U59" i="18" s="1"/>
  <c r="V68" i="18"/>
  <c r="V59" i="18" s="1"/>
  <c r="W68" i="18"/>
  <c r="W59" i="18" s="1"/>
  <c r="X68" i="18"/>
  <c r="X59" i="18" s="1"/>
  <c r="Y68" i="18"/>
  <c r="Y59" i="18" s="1"/>
  <c r="Z68" i="18"/>
  <c r="Z59" i="18" s="1"/>
  <c r="AA68" i="18"/>
  <c r="AA59" i="18" s="1"/>
  <c r="AB68" i="18"/>
  <c r="AB59" i="18" s="1"/>
  <c r="AC68" i="18"/>
  <c r="AC59" i="18" s="1"/>
  <c r="AD68" i="18"/>
  <c r="AD59" i="18" s="1"/>
  <c r="AE68" i="18"/>
  <c r="AE59" i="18" s="1"/>
  <c r="AF68" i="18"/>
  <c r="AF59" i="18" s="1"/>
  <c r="AG68" i="18"/>
  <c r="AG59" i="18" s="1"/>
  <c r="AH68" i="18"/>
  <c r="AH59" i="18" s="1"/>
  <c r="AI68" i="18"/>
  <c r="AI59" i="18" s="1"/>
  <c r="AJ68" i="18"/>
  <c r="AJ59" i="18" s="1"/>
  <c r="AK68" i="18"/>
  <c r="AK59" i="18" s="1"/>
  <c r="AL68" i="18"/>
  <c r="AL59" i="18" s="1"/>
  <c r="AM68" i="18"/>
  <c r="AM59" i="18" s="1"/>
  <c r="AN68" i="18"/>
  <c r="AN59" i="18" s="1"/>
  <c r="AO68" i="18"/>
  <c r="AO59" i="18" s="1"/>
  <c r="AP68" i="18"/>
  <c r="AP59" i="18" s="1"/>
  <c r="AQ68" i="18"/>
  <c r="AQ59" i="18" s="1"/>
  <c r="AR68" i="18"/>
  <c r="AR59" i="18" s="1"/>
  <c r="AS68" i="18"/>
  <c r="AS59" i="18" s="1"/>
  <c r="AT68" i="18"/>
  <c r="AT59" i="18" s="1"/>
  <c r="AU68" i="18"/>
  <c r="AU59" i="18" s="1"/>
  <c r="AV68" i="18"/>
  <c r="AV59" i="18" s="1"/>
  <c r="AW68" i="18"/>
  <c r="AW59" i="18" s="1"/>
  <c r="AX68" i="18"/>
  <c r="AX59" i="18" s="1"/>
  <c r="AY68" i="18"/>
  <c r="AY59" i="18" s="1"/>
  <c r="AZ68" i="18"/>
  <c r="AZ59" i="18" s="1"/>
  <c r="BA68" i="18"/>
  <c r="BA59" i="18" s="1"/>
  <c r="BB68" i="18"/>
  <c r="BB59" i="18" s="1"/>
  <c r="BC68" i="18"/>
  <c r="BC59" i="18" s="1"/>
  <c r="BD68" i="18"/>
  <c r="BD59" i="18" s="1"/>
  <c r="BE68" i="18"/>
  <c r="BE59" i="18" s="1"/>
  <c r="BF68" i="18"/>
  <c r="BF59" i="18" s="1"/>
  <c r="BG68" i="18"/>
  <c r="BG59" i="18" s="1"/>
  <c r="BH68" i="18"/>
  <c r="BH59" i="18" s="1"/>
  <c r="BI68" i="18"/>
  <c r="BI59" i="18" s="1"/>
  <c r="BJ68" i="18"/>
  <c r="BJ59" i="18" s="1"/>
  <c r="BK68" i="18"/>
  <c r="BL68" i="18"/>
  <c r="BL59" i="18" s="1"/>
  <c r="BM68" i="18"/>
  <c r="BM59" i="18" s="1"/>
  <c r="BN68" i="18"/>
  <c r="BO68" i="18"/>
  <c r="BO59" i="18" s="1"/>
  <c r="BP68" i="18"/>
  <c r="BP59" i="18" s="1"/>
  <c r="BQ68" i="18"/>
  <c r="BR68" i="18"/>
  <c r="BR59" i="18" s="1"/>
  <c r="BS68" i="18"/>
  <c r="BS59" i="18" s="1"/>
  <c r="BT68" i="18"/>
  <c r="BT59" i="18" s="1"/>
  <c r="BU68" i="18"/>
  <c r="BU59" i="18" s="1"/>
  <c r="BV68" i="18"/>
  <c r="BV59" i="18" s="1"/>
  <c r="BW68" i="18"/>
  <c r="BW59" i="18" s="1"/>
  <c r="BX68" i="18"/>
  <c r="BX59" i="18" s="1"/>
  <c r="BY68" i="18"/>
  <c r="BY59" i="18" s="1"/>
  <c r="BZ68" i="18"/>
  <c r="BZ59" i="18" s="1"/>
  <c r="CA68" i="18"/>
  <c r="CA59" i="18" s="1"/>
  <c r="CB68" i="18"/>
  <c r="CB59" i="18" s="1"/>
  <c r="CC68" i="18"/>
  <c r="CC59" i="18" s="1"/>
  <c r="CD68" i="18"/>
  <c r="CD59" i="18" s="1"/>
  <c r="CE68" i="18"/>
  <c r="CE59" i="18" s="1"/>
  <c r="CF68" i="18"/>
  <c r="CF59" i="18" s="1"/>
  <c r="CG68" i="18"/>
  <c r="CG59" i="18" s="1"/>
  <c r="CH68" i="18"/>
  <c r="CH59" i="18" s="1"/>
  <c r="CI68" i="18"/>
  <c r="CI59" i="18" s="1"/>
  <c r="CJ68" i="18"/>
  <c r="CJ59" i="18" s="1"/>
  <c r="CK68" i="18"/>
  <c r="CK59" i="18" s="1"/>
  <c r="CL68" i="18"/>
  <c r="CL59" i="18" s="1"/>
  <c r="CM68" i="18"/>
  <c r="CM59" i="18" s="1"/>
  <c r="CN68" i="18"/>
  <c r="CN59" i="18" s="1"/>
  <c r="CO68" i="18"/>
  <c r="CO59" i="18" s="1"/>
  <c r="CP68" i="18"/>
  <c r="CP59" i="18" s="1"/>
  <c r="CQ68" i="18"/>
  <c r="CQ59" i="18" s="1"/>
  <c r="CR68" i="18"/>
  <c r="CR59" i="18" s="1"/>
  <c r="CS68" i="18"/>
  <c r="CS59" i="18" s="1"/>
  <c r="CT68" i="18"/>
  <c r="CT59" i="18" s="1"/>
  <c r="C51" i="18"/>
  <c r="D51" i="18"/>
  <c r="E51" i="18"/>
  <c r="F51" i="18"/>
  <c r="G51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T51" i="18"/>
  <c r="U51" i="18"/>
  <c r="V51" i="18"/>
  <c r="W51" i="18"/>
  <c r="X51" i="18"/>
  <c r="Y51" i="18"/>
  <c r="Z51" i="18"/>
  <c r="AA51" i="18"/>
  <c r="AB51" i="18"/>
  <c r="AC51" i="18"/>
  <c r="AD51" i="18"/>
  <c r="AE51" i="18"/>
  <c r="AF51" i="18"/>
  <c r="AG51" i="18"/>
  <c r="AH51" i="18"/>
  <c r="AI51" i="18"/>
  <c r="AJ51" i="18"/>
  <c r="AK51" i="18"/>
  <c r="AL51" i="18"/>
  <c r="AM51" i="18"/>
  <c r="AN51" i="18"/>
  <c r="AO51" i="18"/>
  <c r="AP51" i="18"/>
  <c r="AQ51" i="18"/>
  <c r="AR51" i="18"/>
  <c r="AS51" i="18"/>
  <c r="AT51" i="18"/>
  <c r="AU51" i="18"/>
  <c r="AV51" i="18"/>
  <c r="AW51" i="18"/>
  <c r="AX51" i="18"/>
  <c r="AY51" i="18"/>
  <c r="AZ51" i="18"/>
  <c r="BA51" i="18"/>
  <c r="BB51" i="18"/>
  <c r="BC51" i="18"/>
  <c r="BD51" i="18"/>
  <c r="BE51" i="18"/>
  <c r="BF51" i="18"/>
  <c r="BG51" i="18"/>
  <c r="BH51" i="18"/>
  <c r="BI51" i="18"/>
  <c r="BJ51" i="18"/>
  <c r="BK51" i="18"/>
  <c r="BL51" i="18"/>
  <c r="BM51" i="18"/>
  <c r="BN51" i="18"/>
  <c r="BO51" i="18"/>
  <c r="BP51" i="18"/>
  <c r="BQ51" i="18"/>
  <c r="BR51" i="18"/>
  <c r="BS51" i="18"/>
  <c r="BT51" i="18"/>
  <c r="BU51" i="18"/>
  <c r="BV51" i="18"/>
  <c r="BW51" i="18"/>
  <c r="BX51" i="18"/>
  <c r="BY51" i="18"/>
  <c r="BZ51" i="18"/>
  <c r="CA51" i="18"/>
  <c r="CB51" i="18"/>
  <c r="CC51" i="18"/>
  <c r="CD51" i="18"/>
  <c r="CE51" i="18"/>
  <c r="CF51" i="18"/>
  <c r="CG51" i="18"/>
  <c r="CH51" i="18"/>
  <c r="CI51" i="18"/>
  <c r="CJ51" i="18"/>
  <c r="CK51" i="18"/>
  <c r="CL51" i="18"/>
  <c r="CM51" i="18"/>
  <c r="CN51" i="18"/>
  <c r="CO51" i="18"/>
  <c r="CP51" i="18"/>
  <c r="CQ51" i="18"/>
  <c r="CR51" i="18"/>
  <c r="CS51" i="18"/>
  <c r="CT51" i="18"/>
  <c r="CT748" i="2"/>
  <c r="CU68" i="18" s="1"/>
  <c r="CR746" i="2"/>
  <c r="CQ746" i="2"/>
  <c r="CP746" i="2"/>
  <c r="CO746" i="2"/>
  <c r="CN746" i="2"/>
  <c r="CM746" i="2"/>
  <c r="CL746" i="2"/>
  <c r="CK746" i="2"/>
  <c r="CJ746" i="2"/>
  <c r="CI746" i="2"/>
  <c r="CH746" i="2"/>
  <c r="CG746" i="2"/>
  <c r="CF746" i="2"/>
  <c r="CE746" i="2"/>
  <c r="CD746" i="2"/>
  <c r="CC746" i="2"/>
  <c r="CB746" i="2"/>
  <c r="CA746" i="2"/>
  <c r="BZ746" i="2"/>
  <c r="BY746" i="2"/>
  <c r="BX746" i="2"/>
  <c r="BW746" i="2"/>
  <c r="BV746" i="2"/>
  <c r="BU746" i="2"/>
  <c r="BT746" i="2"/>
  <c r="BS746" i="2"/>
  <c r="BR746" i="2"/>
  <c r="BQ746" i="2"/>
  <c r="BP746" i="2"/>
  <c r="BO746" i="2"/>
  <c r="BN746" i="2"/>
  <c r="BM746" i="2"/>
  <c r="BL746" i="2"/>
  <c r="BK746" i="2"/>
  <c r="BJ746" i="2"/>
  <c r="BI746" i="2"/>
  <c r="BH746" i="2"/>
  <c r="BG746" i="2"/>
  <c r="BF746" i="2"/>
  <c r="BE746" i="2"/>
  <c r="BD746" i="2"/>
  <c r="BC746" i="2"/>
  <c r="BB746" i="2"/>
  <c r="BA746" i="2"/>
  <c r="AZ746" i="2"/>
  <c r="AY746" i="2"/>
  <c r="AX746" i="2"/>
  <c r="AW746" i="2"/>
  <c r="AV746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CS746" i="2"/>
  <c r="M235" i="18"/>
  <c r="L235" i="18"/>
  <c r="K235" i="18"/>
  <c r="J235" i="18"/>
  <c r="I235" i="18"/>
  <c r="H235" i="18"/>
  <c r="G235" i="18"/>
  <c r="F235" i="18"/>
  <c r="E235" i="18"/>
  <c r="D235" i="18"/>
  <c r="C235" i="18"/>
  <c r="CT235" i="18"/>
  <c r="EQ235" i="18" s="1"/>
  <c r="FG235" i="18" s="1"/>
  <c r="CS235" i="18"/>
  <c r="CR235" i="18"/>
  <c r="CQ235" i="18"/>
  <c r="EP235" i="18" s="1"/>
  <c r="CP235" i="18"/>
  <c r="CO235" i="18"/>
  <c r="CN235" i="18"/>
  <c r="EO235" i="18" s="1"/>
  <c r="CM235" i="18"/>
  <c r="CL235" i="18"/>
  <c r="CK235" i="18"/>
  <c r="EN235" i="18" s="1"/>
  <c r="CJ235" i="18"/>
  <c r="CI235" i="18"/>
  <c r="CH235" i="18"/>
  <c r="EM235" i="18" s="1"/>
  <c r="FF235" i="18" s="1"/>
  <c r="CG235" i="18"/>
  <c r="CF235" i="18"/>
  <c r="CE235" i="18"/>
  <c r="EL235" i="18" s="1"/>
  <c r="CD235" i="18"/>
  <c r="CC235" i="18"/>
  <c r="CB235" i="18"/>
  <c r="EK235" i="18" s="1"/>
  <c r="CA235" i="18"/>
  <c r="BZ235" i="18"/>
  <c r="BY235" i="18"/>
  <c r="EJ235" i="18" s="1"/>
  <c r="BX235" i="18"/>
  <c r="BW235" i="18"/>
  <c r="BV235" i="18"/>
  <c r="EI235" i="18" s="1"/>
  <c r="FE235" i="18" s="1"/>
  <c r="BU235" i="18"/>
  <c r="BT235" i="18"/>
  <c r="BS235" i="18"/>
  <c r="EH235" i="18" s="1"/>
  <c r="BR235" i="18"/>
  <c r="BQ235" i="18"/>
  <c r="BP235" i="18"/>
  <c r="EG235" i="18" s="1"/>
  <c r="BO235" i="18"/>
  <c r="BN235" i="18"/>
  <c r="BM235" i="18"/>
  <c r="EF235" i="18" s="1"/>
  <c r="BL235" i="18"/>
  <c r="BK235" i="18"/>
  <c r="BJ235" i="18"/>
  <c r="BI235" i="18"/>
  <c r="BH235" i="18"/>
  <c r="BG235" i="18"/>
  <c r="BF235" i="18"/>
  <c r="BE235" i="18"/>
  <c r="BD235" i="18"/>
  <c r="BC235" i="18"/>
  <c r="BB235" i="18"/>
  <c r="BA235" i="18"/>
  <c r="AZ235" i="18"/>
  <c r="AY235" i="18"/>
  <c r="AX235" i="18"/>
  <c r="AW235" i="18"/>
  <c r="AV235" i="18"/>
  <c r="AU235" i="18"/>
  <c r="AT235" i="18"/>
  <c r="AS235" i="18"/>
  <c r="AR235" i="18"/>
  <c r="AQ235" i="18"/>
  <c r="AP235" i="18"/>
  <c r="AO235" i="18"/>
  <c r="AN235" i="18"/>
  <c r="AM235" i="18"/>
  <c r="AL235" i="18"/>
  <c r="AK235" i="18"/>
  <c r="AJ235" i="18"/>
  <c r="AI235" i="18"/>
  <c r="AH235" i="18"/>
  <c r="AG235" i="18"/>
  <c r="AF235" i="18"/>
  <c r="AE235" i="18"/>
  <c r="AD235" i="18"/>
  <c r="AC235" i="18"/>
  <c r="AB235" i="18"/>
  <c r="AA235" i="18"/>
  <c r="Z235" i="18"/>
  <c r="Y235" i="18"/>
  <c r="X235" i="18"/>
  <c r="W235" i="18"/>
  <c r="V235" i="18"/>
  <c r="U235" i="18"/>
  <c r="T235" i="18"/>
  <c r="S235" i="18"/>
  <c r="R235" i="18"/>
  <c r="Q235" i="18"/>
  <c r="P235" i="18"/>
  <c r="O235" i="18"/>
  <c r="DR97" i="15"/>
  <c r="DQ97" i="15"/>
  <c r="DP97" i="15"/>
  <c r="DO97" i="15"/>
  <c r="DN97" i="15"/>
  <c r="DM97" i="15"/>
  <c r="DL97" i="15"/>
  <c r="DK97" i="15"/>
  <c r="DJ97" i="15"/>
  <c r="DI97" i="15"/>
  <c r="DH97" i="15"/>
  <c r="DG97" i="15"/>
  <c r="DF97" i="15"/>
  <c r="DE97" i="15"/>
  <c r="DD97" i="15"/>
  <c r="DC97" i="15"/>
  <c r="DB97" i="15"/>
  <c r="DA97" i="15"/>
  <c r="CZ97" i="15"/>
  <c r="CY97" i="15"/>
  <c r="CX97" i="15"/>
  <c r="CW97" i="15"/>
  <c r="CV97" i="15"/>
  <c r="CU97" i="15"/>
  <c r="CT97" i="15"/>
  <c r="CS97" i="15"/>
  <c r="CR97" i="15"/>
  <c r="CQ97" i="15"/>
  <c r="CP97" i="15"/>
  <c r="CO97" i="15"/>
  <c r="CN97" i="15"/>
  <c r="CM97" i="15"/>
  <c r="DR163" i="18"/>
  <c r="DQ163" i="18"/>
  <c r="DP163" i="18"/>
  <c r="DO163" i="18"/>
  <c r="DN163" i="18"/>
  <c r="DM163" i="18"/>
  <c r="DL163" i="18"/>
  <c r="DK163" i="18"/>
  <c r="DJ163" i="18"/>
  <c r="DI163" i="18"/>
  <c r="DH163" i="18"/>
  <c r="DG163" i="18"/>
  <c r="DF163" i="18"/>
  <c r="DE163" i="18"/>
  <c r="DD163" i="18"/>
  <c r="DC163" i="18"/>
  <c r="DB163" i="18"/>
  <c r="DA163" i="18"/>
  <c r="CZ163" i="18"/>
  <c r="CY163" i="18"/>
  <c r="CX163" i="18"/>
  <c r="CW163" i="18"/>
  <c r="CV163" i="18"/>
  <c r="CU163" i="18"/>
  <c r="CT163" i="18"/>
  <c r="CS163" i="18"/>
  <c r="CR163" i="18"/>
  <c r="CQ163" i="18"/>
  <c r="CP163" i="18"/>
  <c r="CO163" i="18"/>
  <c r="CN163" i="18"/>
  <c r="CM163" i="18"/>
  <c r="CL163" i="18"/>
  <c r="CK163" i="18"/>
  <c r="CJ163" i="18"/>
  <c r="CI163" i="18"/>
  <c r="CH163" i="18"/>
  <c r="CG163" i="18"/>
  <c r="CF163" i="18"/>
  <c r="CE163" i="18"/>
  <c r="CD163" i="18"/>
  <c r="CC163" i="18"/>
  <c r="CB163" i="18"/>
  <c r="CA163" i="18"/>
  <c r="BZ163" i="18"/>
  <c r="BY163" i="18"/>
  <c r="BX163" i="18"/>
  <c r="BW163" i="18"/>
  <c r="BV163" i="18"/>
  <c r="BU163" i="18"/>
  <c r="BT163" i="18"/>
  <c r="BS163" i="18"/>
  <c r="BR163" i="18"/>
  <c r="BQ163" i="18"/>
  <c r="BP163" i="18"/>
  <c r="BO163" i="18"/>
  <c r="BN163" i="18"/>
  <c r="BM163" i="18"/>
  <c r="BL163" i="18"/>
  <c r="BK163" i="18"/>
  <c r="BJ163" i="18"/>
  <c r="BI163" i="18"/>
  <c r="BH163" i="18"/>
  <c r="BG163" i="18"/>
  <c r="BF163" i="18"/>
  <c r="BE163" i="18"/>
  <c r="BD163" i="18"/>
  <c r="BC163" i="18"/>
  <c r="BB163" i="18"/>
  <c r="BA163" i="18"/>
  <c r="AZ163" i="18"/>
  <c r="AY163" i="18"/>
  <c r="AX163" i="18"/>
  <c r="AW163" i="18"/>
  <c r="AV163" i="18"/>
  <c r="AU163" i="18"/>
  <c r="AT163" i="18"/>
  <c r="AS163" i="18"/>
  <c r="AR163" i="18"/>
  <c r="AQ163" i="18"/>
  <c r="AP163" i="18"/>
  <c r="AO163" i="18"/>
  <c r="AN163" i="18"/>
  <c r="AM163" i="18"/>
  <c r="AL163" i="18"/>
  <c r="AK163" i="18"/>
  <c r="AJ163" i="18"/>
  <c r="AI163" i="18"/>
  <c r="AH163" i="18"/>
  <c r="AG163" i="18"/>
  <c r="AF163" i="18"/>
  <c r="AE163" i="18"/>
  <c r="AD163" i="18"/>
  <c r="AC163" i="18"/>
  <c r="AB163" i="18"/>
  <c r="AA163" i="18"/>
  <c r="Z163" i="18"/>
  <c r="Y163" i="18"/>
  <c r="X163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CT162" i="18"/>
  <c r="CS162" i="18"/>
  <c r="CR162" i="18"/>
  <c r="CQ162" i="18"/>
  <c r="CP162" i="18"/>
  <c r="CO162" i="18"/>
  <c r="CN162" i="18"/>
  <c r="CM162" i="18"/>
  <c r="CL162" i="18"/>
  <c r="CK162" i="18"/>
  <c r="CJ162" i="18"/>
  <c r="CI162" i="18"/>
  <c r="CH162" i="18"/>
  <c r="CG162" i="18"/>
  <c r="CF162" i="18"/>
  <c r="CE162" i="18"/>
  <c r="CD162" i="18"/>
  <c r="CC162" i="18"/>
  <c r="CB162" i="18"/>
  <c r="CA162" i="18"/>
  <c r="BZ162" i="18"/>
  <c r="BY162" i="18"/>
  <c r="BX162" i="18"/>
  <c r="BW162" i="18"/>
  <c r="BV162" i="18"/>
  <c r="BU162" i="18"/>
  <c r="BT162" i="18"/>
  <c r="BS162" i="18"/>
  <c r="BR162" i="18"/>
  <c r="BQ162" i="18"/>
  <c r="BP162" i="18"/>
  <c r="BO162" i="18"/>
  <c r="BN162" i="18"/>
  <c r="BM162" i="18"/>
  <c r="BL162" i="18"/>
  <c r="BK162" i="18"/>
  <c r="BJ162" i="18"/>
  <c r="BI162" i="18"/>
  <c r="BH162" i="18"/>
  <c r="BG162" i="18"/>
  <c r="BF162" i="18"/>
  <c r="BE162" i="18"/>
  <c r="BD162" i="18"/>
  <c r="BC162" i="18"/>
  <c r="BB162" i="18"/>
  <c r="BA162" i="18"/>
  <c r="AZ162" i="18"/>
  <c r="AY162" i="18"/>
  <c r="AX162" i="18"/>
  <c r="AW162" i="18"/>
  <c r="AV162" i="18"/>
  <c r="AU162" i="18"/>
  <c r="AT162" i="18"/>
  <c r="AS162" i="18"/>
  <c r="AR162" i="18"/>
  <c r="AQ162" i="18"/>
  <c r="AP162" i="18"/>
  <c r="AO162" i="18"/>
  <c r="AN162" i="18"/>
  <c r="AM162" i="18"/>
  <c r="AL162" i="18"/>
  <c r="AK162" i="18"/>
  <c r="AJ162" i="18"/>
  <c r="AI162" i="18"/>
  <c r="AH162" i="18"/>
  <c r="AG162" i="18"/>
  <c r="AF162" i="18"/>
  <c r="AE162" i="18"/>
  <c r="AD162" i="18"/>
  <c r="AC162" i="18"/>
  <c r="AB162" i="18"/>
  <c r="AA162" i="18"/>
  <c r="Z162" i="18"/>
  <c r="Y162" i="18"/>
  <c r="X162" i="18"/>
  <c r="W162" i="18"/>
  <c r="V162" i="18"/>
  <c r="U162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CK66" i="21"/>
  <c r="CJ66" i="21"/>
  <c r="CI66" i="21"/>
  <c r="CH66" i="21"/>
  <c r="CG66" i="21"/>
  <c r="CF66" i="21"/>
  <c r="CE66" i="21"/>
  <c r="CD66" i="21"/>
  <c r="CC66" i="21"/>
  <c r="CB66" i="21"/>
  <c r="CA66" i="21"/>
  <c r="BZ66" i="21"/>
  <c r="BY66" i="21"/>
  <c r="BX66" i="21"/>
  <c r="BW66" i="21"/>
  <c r="BV66" i="21"/>
  <c r="BU66" i="21"/>
  <c r="BT66" i="21"/>
  <c r="BS66" i="21"/>
  <c r="BR66" i="21"/>
  <c r="BQ66" i="21"/>
  <c r="BP66" i="21"/>
  <c r="BO66" i="21"/>
  <c r="BN66" i="21"/>
  <c r="BM66" i="21"/>
  <c r="BL66" i="21"/>
  <c r="BK66" i="21"/>
  <c r="BJ66" i="21"/>
  <c r="CK60" i="21"/>
  <c r="CJ60" i="21"/>
  <c r="CI60" i="21"/>
  <c r="CH60" i="21"/>
  <c r="CG60" i="21"/>
  <c r="CF60" i="21"/>
  <c r="CE60" i="21"/>
  <c r="CD60" i="21"/>
  <c r="CC60" i="21"/>
  <c r="CB60" i="21"/>
  <c r="CA60" i="21"/>
  <c r="BZ60" i="21"/>
  <c r="AR60" i="21"/>
  <c r="AJ60" i="21"/>
  <c r="CK59" i="21"/>
  <c r="CJ59" i="21"/>
  <c r="CI59" i="21"/>
  <c r="CH59" i="21"/>
  <c r="CG59" i="21"/>
  <c r="CF59" i="21"/>
  <c r="CE59" i="21"/>
  <c r="CD59" i="21"/>
  <c r="CC59" i="21"/>
  <c r="CB59" i="21"/>
  <c r="CA59" i="21"/>
  <c r="BZ59" i="21"/>
  <c r="AX59" i="21"/>
  <c r="CK58" i="21"/>
  <c r="CJ58" i="21"/>
  <c r="CI58" i="21"/>
  <c r="CH58" i="21"/>
  <c r="CG58" i="21"/>
  <c r="CF58" i="21"/>
  <c r="CE58" i="21"/>
  <c r="CD58" i="21"/>
  <c r="CC58" i="21"/>
  <c r="CB58" i="21"/>
  <c r="CA58" i="21"/>
  <c r="BZ58" i="21"/>
  <c r="AZ58" i="21"/>
  <c r="AX57" i="21"/>
  <c r="AX54" i="21" s="1"/>
  <c r="CK56" i="21"/>
  <c r="CJ56" i="21"/>
  <c r="CI56" i="21"/>
  <c r="CH56" i="21"/>
  <c r="CG56" i="21"/>
  <c r="CF56" i="21"/>
  <c r="CE56" i="21"/>
  <c r="CD56" i="21"/>
  <c r="CC56" i="21"/>
  <c r="CB56" i="21"/>
  <c r="CA56" i="21"/>
  <c r="BZ56" i="21"/>
  <c r="AF56" i="21"/>
  <c r="CK55" i="21"/>
  <c r="CK54" i="21" s="1"/>
  <c r="CJ55" i="21"/>
  <c r="CJ54" i="21" s="1"/>
  <c r="CI55" i="21"/>
  <c r="CH55" i="21"/>
  <c r="CH54" i="21" s="1"/>
  <c r="CG55" i="21"/>
  <c r="CG54" i="21" s="1"/>
  <c r="CF55" i="21"/>
  <c r="CF54" i="21" s="1"/>
  <c r="CE55" i="21"/>
  <c r="CE54" i="21" s="1"/>
  <c r="CE53" i="21" s="1"/>
  <c r="CF97" i="15" s="1"/>
  <c r="CD55" i="21"/>
  <c r="CD54" i="21" s="1"/>
  <c r="CC55" i="21"/>
  <c r="CC54" i="21" s="1"/>
  <c r="CB55" i="21"/>
  <c r="CB54" i="21" s="1"/>
  <c r="CB53" i="21" s="1"/>
  <c r="CC97" i="15" s="1"/>
  <c r="CA55" i="21"/>
  <c r="CA54" i="21" s="1"/>
  <c r="BZ55" i="21"/>
  <c r="BZ54" i="21" s="1"/>
  <c r="BZ53" i="21" s="1"/>
  <c r="CA97" i="15" s="1"/>
  <c r="BM54" i="21"/>
  <c r="BM53" i="21" s="1"/>
  <c r="AF55" i="21"/>
  <c r="AF54" i="21" s="1"/>
  <c r="AF53" i="21" s="1"/>
  <c r="CI54" i="21"/>
  <c r="BY54" i="21"/>
  <c r="BY53" i="21" s="1"/>
  <c r="BX54" i="21"/>
  <c r="BX53" i="21" s="1"/>
  <c r="BW54" i="21"/>
  <c r="BW53" i="21" s="1"/>
  <c r="BV54" i="21"/>
  <c r="BV53" i="21" s="1"/>
  <c r="BU54" i="21"/>
  <c r="BU53" i="21" s="1"/>
  <c r="BT54" i="21"/>
  <c r="BT53" i="21" s="1"/>
  <c r="BS54" i="21"/>
  <c r="BS53" i="21" s="1"/>
  <c r="BR54" i="21"/>
  <c r="BR53" i="21" s="1"/>
  <c r="BQ54" i="21"/>
  <c r="BQ53" i="21" s="1"/>
  <c r="BP54" i="21"/>
  <c r="BP53" i="21" s="1"/>
  <c r="BO54" i="21"/>
  <c r="BO53" i="21" s="1"/>
  <c r="BN54" i="21"/>
  <c r="BN53" i="21" s="1"/>
  <c r="BL54" i="21"/>
  <c r="BL53" i="21" s="1"/>
  <c r="BK54" i="21"/>
  <c r="BK53" i="21" s="1"/>
  <c r="BJ54" i="21"/>
  <c r="BJ53" i="21" s="1"/>
  <c r="BI54" i="21"/>
  <c r="BI53" i="21" s="1"/>
  <c r="BH54" i="21"/>
  <c r="BH53" i="21" s="1"/>
  <c r="BG54" i="21"/>
  <c r="BG53" i="21" s="1"/>
  <c r="BF54" i="21"/>
  <c r="BF53" i="21" s="1"/>
  <c r="BE54" i="21"/>
  <c r="BE53" i="21" s="1"/>
  <c r="BD54" i="21"/>
  <c r="BD53" i="21" s="1"/>
  <c r="BC54" i="21"/>
  <c r="BC53" i="21" s="1"/>
  <c r="BB54" i="21"/>
  <c r="BB53" i="21" s="1"/>
  <c r="BA54" i="21"/>
  <c r="BA53" i="21" s="1"/>
  <c r="AZ54" i="21"/>
  <c r="AZ53" i="21" s="1"/>
  <c r="AY54" i="21"/>
  <c r="AY53" i="21" s="1"/>
  <c r="AW54" i="21"/>
  <c r="AV54" i="21"/>
  <c r="AU54" i="21"/>
  <c r="AU53" i="21" s="1"/>
  <c r="AT54" i="21"/>
  <c r="AT53" i="21" s="1"/>
  <c r="AS54" i="21"/>
  <c r="AS53" i="21" s="1"/>
  <c r="AR54" i="21"/>
  <c r="AQ54" i="21"/>
  <c r="AQ53" i="21" s="1"/>
  <c r="AP54" i="21"/>
  <c r="AP53" i="21" s="1"/>
  <c r="AO54" i="21"/>
  <c r="AO53" i="21" s="1"/>
  <c r="AN54" i="21"/>
  <c r="AN53" i="21" s="1"/>
  <c r="AM54" i="21"/>
  <c r="AM53" i="21" s="1"/>
  <c r="AL54" i="21"/>
  <c r="AL53" i="21" s="1"/>
  <c r="AK54" i="21"/>
  <c r="AK53" i="21" s="1"/>
  <c r="AL97" i="15" s="1"/>
  <c r="AJ54" i="21"/>
  <c r="AI54" i="21"/>
  <c r="AI53" i="21" s="1"/>
  <c r="AH54" i="21"/>
  <c r="AH53" i="21" s="1"/>
  <c r="AG54" i="21"/>
  <c r="AG53" i="21" s="1"/>
  <c r="AE54" i="21"/>
  <c r="AE53" i="21" s="1"/>
  <c r="AD54" i="21"/>
  <c r="AD53" i="21" s="1"/>
  <c r="AC54" i="21"/>
  <c r="AB54" i="21"/>
  <c r="AB53" i="21" s="1"/>
  <c r="AA54" i="21"/>
  <c r="AA53" i="21" s="1"/>
  <c r="Z54" i="21"/>
  <c r="Z53" i="21" s="1"/>
  <c r="Y54" i="21"/>
  <c r="X54" i="21"/>
  <c r="X53" i="21" s="1"/>
  <c r="Y97" i="15" s="1"/>
  <c r="W54" i="21"/>
  <c r="W53" i="21" s="1"/>
  <c r="X97" i="15" s="1"/>
  <c r="V54" i="21"/>
  <c r="V53" i="21" s="1"/>
  <c r="U54" i="21"/>
  <c r="U53" i="21" s="1"/>
  <c r="V97" i="15" s="1"/>
  <c r="T54" i="21"/>
  <c r="T53" i="21" s="1"/>
  <c r="S54" i="21"/>
  <c r="S53" i="21" s="1"/>
  <c r="R54" i="21"/>
  <c r="R53" i="21" s="1"/>
  <c r="Q54" i="21"/>
  <c r="Q53" i="21" s="1"/>
  <c r="R97" i="15" s="1"/>
  <c r="P54" i="21"/>
  <c r="P53" i="21" s="1"/>
  <c r="Q97" i="15" s="1"/>
  <c r="O54" i="21"/>
  <c r="O53" i="21" s="1"/>
  <c r="P97" i="15" s="1"/>
  <c r="N54" i="21"/>
  <c r="N53" i="21" s="1"/>
  <c r="M54" i="21"/>
  <c r="M53" i="21" s="1"/>
  <c r="N97" i="15" s="1"/>
  <c r="L54" i="21"/>
  <c r="L53" i="21" s="1"/>
  <c r="M97" i="15" s="1"/>
  <c r="K54" i="21"/>
  <c r="K53" i="21" s="1"/>
  <c r="L97" i="15" s="1"/>
  <c r="J54" i="21"/>
  <c r="J53" i="21" s="1"/>
  <c r="I54" i="21"/>
  <c r="I53" i="21" s="1"/>
  <c r="J97" i="15" s="1"/>
  <c r="H54" i="21"/>
  <c r="H53" i="21" s="1"/>
  <c r="I97" i="15" s="1"/>
  <c r="G54" i="21"/>
  <c r="G53" i="21" s="1"/>
  <c r="H97" i="15" s="1"/>
  <c r="F54" i="21"/>
  <c r="F53" i="21" s="1"/>
  <c r="E54" i="21"/>
  <c r="E53" i="21" s="1"/>
  <c r="F97" i="15" s="1"/>
  <c r="D54" i="21"/>
  <c r="D53" i="21" s="1"/>
  <c r="C54" i="21"/>
  <c r="C53" i="21" s="1"/>
  <c r="D97" i="15" s="1"/>
  <c r="B54" i="21"/>
  <c r="B53" i="21" s="1"/>
  <c r="AW53" i="21"/>
  <c r="AX97" i="15" s="1"/>
  <c r="AV53" i="21"/>
  <c r="AC53" i="21"/>
  <c r="Y53" i="21"/>
  <c r="CK47" i="21"/>
  <c r="CJ47" i="21"/>
  <c r="CI47" i="21"/>
  <c r="CH47" i="21"/>
  <c r="CG47" i="21"/>
  <c r="CF47" i="21"/>
  <c r="CE47" i="21"/>
  <c r="CD47" i="21"/>
  <c r="CC47" i="21"/>
  <c r="CB47" i="21"/>
  <c r="CA47" i="21"/>
  <c r="BZ47" i="21"/>
  <c r="CK46" i="21"/>
  <c r="CJ46" i="21"/>
  <c r="CI46" i="21"/>
  <c r="CH46" i="21"/>
  <c r="CG46" i="21"/>
  <c r="CF46" i="21"/>
  <c r="CE46" i="21"/>
  <c r="CD46" i="21"/>
  <c r="CC46" i="21"/>
  <c r="CB46" i="21"/>
  <c r="CA46" i="21"/>
  <c r="BZ46" i="21"/>
  <c r="CK45" i="21"/>
  <c r="CJ45" i="21"/>
  <c r="CI45" i="21"/>
  <c r="CH45" i="21"/>
  <c r="CG45" i="21"/>
  <c r="CF45" i="21"/>
  <c r="CE45" i="21"/>
  <c r="CD45" i="21"/>
  <c r="CC45" i="21"/>
  <c r="CB45" i="21"/>
  <c r="CA45" i="21"/>
  <c r="BZ45" i="21"/>
  <c r="CK44" i="21"/>
  <c r="CJ44" i="21"/>
  <c r="CJ43" i="21" s="1"/>
  <c r="CI44" i="21"/>
  <c r="CI43" i="21" s="1"/>
  <c r="CH44" i="21"/>
  <c r="CH43" i="21" s="1"/>
  <c r="CG44" i="21"/>
  <c r="CG43" i="21" s="1"/>
  <c r="CF44" i="21"/>
  <c r="CF43" i="21" s="1"/>
  <c r="CE44" i="21"/>
  <c r="CE43" i="21" s="1"/>
  <c r="CD44" i="21"/>
  <c r="CD43" i="21" s="1"/>
  <c r="CC44" i="21"/>
  <c r="CC43" i="21" s="1"/>
  <c r="CB44" i="21"/>
  <c r="CB43" i="21" s="1"/>
  <c r="CA44" i="21"/>
  <c r="CA43" i="21" s="1"/>
  <c r="BZ44" i="21"/>
  <c r="BZ43" i="21" s="1"/>
  <c r="AX44" i="21"/>
  <c r="CK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CK37" i="21"/>
  <c r="CJ37" i="21"/>
  <c r="CI37" i="21"/>
  <c r="CH37" i="21"/>
  <c r="CG37" i="21"/>
  <c r="CF37" i="21"/>
  <c r="CE37" i="21"/>
  <c r="CD37" i="21"/>
  <c r="CC37" i="21"/>
  <c r="CB37" i="21"/>
  <c r="CA37" i="21"/>
  <c r="BZ37" i="21"/>
  <c r="BY37" i="21"/>
  <c r="BY30" i="21" s="1"/>
  <c r="BX37" i="21"/>
  <c r="BX30" i="21" s="1"/>
  <c r="BW37" i="21"/>
  <c r="BW30" i="21" s="1"/>
  <c r="BV37" i="21"/>
  <c r="BV30" i="21" s="1"/>
  <c r="BU37" i="21"/>
  <c r="BU30" i="21" s="1"/>
  <c r="BT37" i="21"/>
  <c r="BT30" i="21" s="1"/>
  <c r="BS37" i="21"/>
  <c r="BS30" i="21" s="1"/>
  <c r="BR37" i="21"/>
  <c r="BR30" i="21" s="1"/>
  <c r="BQ37" i="21"/>
  <c r="BQ30" i="21" s="1"/>
  <c r="BP37" i="21"/>
  <c r="BP30" i="21" s="1"/>
  <c r="BO37" i="21"/>
  <c r="BO30" i="21" s="1"/>
  <c r="BN37" i="21"/>
  <c r="BN30" i="21" s="1"/>
  <c r="BM37" i="21"/>
  <c r="BM30" i="21" s="1"/>
  <c r="BL37" i="21"/>
  <c r="BL30" i="21" s="1"/>
  <c r="BK37" i="21"/>
  <c r="BK30" i="21" s="1"/>
  <c r="BJ37" i="21"/>
  <c r="BJ30" i="21" s="1"/>
  <c r="BI37" i="21"/>
  <c r="BI30" i="21" s="1"/>
  <c r="BH37" i="21"/>
  <c r="BH30" i="21" s="1"/>
  <c r="BG37" i="21"/>
  <c r="BG30" i="21" s="1"/>
  <c r="BF37" i="21"/>
  <c r="BF30" i="21" s="1"/>
  <c r="BE37" i="21"/>
  <c r="BD37" i="21"/>
  <c r="BD30" i="21" s="1"/>
  <c r="BC37" i="21"/>
  <c r="BB37" i="21"/>
  <c r="BB30" i="21" s="1"/>
  <c r="BA37" i="21"/>
  <c r="BA30" i="21" s="1"/>
  <c r="CK36" i="21"/>
  <c r="CJ36" i="21"/>
  <c r="CI36" i="21"/>
  <c r="CH36" i="21"/>
  <c r="CG36" i="21"/>
  <c r="CF36" i="21"/>
  <c r="CE36" i="21"/>
  <c r="CD36" i="21"/>
  <c r="CC36" i="21"/>
  <c r="CB36" i="21"/>
  <c r="CA36" i="21"/>
  <c r="BZ36" i="21"/>
  <c r="CK35" i="21"/>
  <c r="CJ35" i="21"/>
  <c r="CI35" i="21"/>
  <c r="CH35" i="21"/>
  <c r="CG35" i="21"/>
  <c r="CF35" i="21"/>
  <c r="CE35" i="21"/>
  <c r="CD35" i="21"/>
  <c r="CC35" i="21"/>
  <c r="CB35" i="21"/>
  <c r="CA35" i="21"/>
  <c r="BZ35" i="21"/>
  <c r="CK34" i="21"/>
  <c r="CJ34" i="21"/>
  <c r="CI34" i="21"/>
  <c r="CH34" i="21"/>
  <c r="CG34" i="21"/>
  <c r="CF34" i="21"/>
  <c r="CE34" i="21"/>
  <c r="CD34" i="21"/>
  <c r="CC34" i="21"/>
  <c r="CB34" i="21"/>
  <c r="CA34" i="21"/>
  <c r="BZ34" i="21"/>
  <c r="BE34" i="21"/>
  <c r="AB34" i="21"/>
  <c r="AB30" i="21" s="1"/>
  <c r="CK32" i="21"/>
  <c r="CJ32" i="21"/>
  <c r="CI32" i="21"/>
  <c r="CH32" i="21"/>
  <c r="CG32" i="21"/>
  <c r="CF32" i="21"/>
  <c r="CE32" i="21"/>
  <c r="CD32" i="21"/>
  <c r="CC32" i="21"/>
  <c r="CB32" i="21"/>
  <c r="CA32" i="21"/>
  <c r="BZ32" i="21"/>
  <c r="AY32" i="21"/>
  <c r="AY30" i="21" s="1"/>
  <c r="AI32" i="21"/>
  <c r="CK31" i="21"/>
  <c r="CJ31" i="21"/>
  <c r="CI31" i="21"/>
  <c r="CH31" i="21"/>
  <c r="CG31" i="21"/>
  <c r="CF31" i="21"/>
  <c r="CE31" i="21"/>
  <c r="CD31" i="21"/>
  <c r="CC31" i="21"/>
  <c r="CB31" i="21"/>
  <c r="CA31" i="21"/>
  <c r="BZ31" i="21"/>
  <c r="AL31" i="21"/>
  <c r="AL30" i="21" s="1"/>
  <c r="AK31" i="21"/>
  <c r="AK30" i="21" s="1"/>
  <c r="AH31" i="21"/>
  <c r="AH30" i="21" s="1"/>
  <c r="AR30" i="21"/>
  <c r="AQ30" i="21"/>
  <c r="AP30" i="21"/>
  <c r="AO30" i="21"/>
  <c r="AN30" i="21"/>
  <c r="AM30" i="21"/>
  <c r="AG30" i="21"/>
  <c r="AF30" i="21"/>
  <c r="AE30" i="21"/>
  <c r="AD30" i="21"/>
  <c r="AC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CK29" i="21"/>
  <c r="CJ29" i="21"/>
  <c r="CI29" i="21"/>
  <c r="CH29" i="21"/>
  <c r="CG29" i="21"/>
  <c r="CF29" i="21"/>
  <c r="CE29" i="21"/>
  <c r="CD29" i="21"/>
  <c r="CC29" i="21"/>
  <c r="CB29" i="21"/>
  <c r="CA29" i="21"/>
  <c r="BZ29" i="21"/>
  <c r="BY29" i="21"/>
  <c r="BX29" i="21"/>
  <c r="BW29" i="21"/>
  <c r="BV29" i="21"/>
  <c r="BU29" i="21"/>
  <c r="BT29" i="21"/>
  <c r="BS29" i="21"/>
  <c r="BR29" i="21"/>
  <c r="BQ29" i="21"/>
  <c r="BP29" i="21"/>
  <c r="BO29" i="21"/>
  <c r="BN29" i="21"/>
  <c r="BM29" i="21"/>
  <c r="BL29" i="21"/>
  <c r="BK29" i="21"/>
  <c r="BJ29" i="21"/>
  <c r="BI29" i="21"/>
  <c r="BH29" i="21"/>
  <c r="BG29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BY26" i="21"/>
  <c r="BX26" i="21"/>
  <c r="BW26" i="21"/>
  <c r="BV26" i="21"/>
  <c r="BU26" i="21"/>
  <c r="BT26" i="21"/>
  <c r="BS26" i="21"/>
  <c r="BR26" i="21"/>
  <c r="BQ26" i="21"/>
  <c r="BP26" i="21"/>
  <c r="BO26" i="21"/>
  <c r="BN26" i="21"/>
  <c r="BM26" i="21"/>
  <c r="BL26" i="21"/>
  <c r="BK26" i="21"/>
  <c r="BW20" i="21"/>
  <c r="BW12" i="21" s="1"/>
  <c r="AM20" i="21"/>
  <c r="AM12" i="21" s="1"/>
  <c r="AC20" i="21"/>
  <c r="Y20" i="21"/>
  <c r="CE15" i="21"/>
  <c r="CE28" i="21" s="1"/>
  <c r="CC15" i="21"/>
  <c r="CC28" i="21" s="1"/>
  <c r="CB15" i="21"/>
  <c r="CB28" i="21" s="1"/>
  <c r="BY15" i="21"/>
  <c r="BY28" i="21" s="1"/>
  <c r="BX15" i="21"/>
  <c r="BX28" i="21" s="1"/>
  <c r="BW15" i="21"/>
  <c r="BW28" i="21" s="1"/>
  <c r="BV15" i="21"/>
  <c r="BV28" i="21" s="1"/>
  <c r="BU15" i="21"/>
  <c r="BU28" i="21" s="1"/>
  <c r="BT15" i="21"/>
  <c r="BT28" i="21" s="1"/>
  <c r="BS15" i="21"/>
  <c r="BS28" i="21" s="1"/>
  <c r="BR15" i="21"/>
  <c r="BR28" i="21" s="1"/>
  <c r="BQ15" i="21"/>
  <c r="BQ28" i="21" s="1"/>
  <c r="BP15" i="21"/>
  <c r="BP28" i="21" s="1"/>
  <c r="BO15" i="21"/>
  <c r="BO28" i="21" s="1"/>
  <c r="BN15" i="21"/>
  <c r="BN28" i="21" s="1"/>
  <c r="BM15" i="21"/>
  <c r="BM28" i="21" s="1"/>
  <c r="BL15" i="21"/>
  <c r="BL28" i="21" s="1"/>
  <c r="BK15" i="21"/>
  <c r="BK28" i="21" s="1"/>
  <c r="BJ15" i="21"/>
  <c r="BJ28" i="21" s="1"/>
  <c r="BI15" i="21"/>
  <c r="BI28" i="21" s="1"/>
  <c r="BH15" i="21"/>
  <c r="BH28" i="21" s="1"/>
  <c r="BG15" i="21"/>
  <c r="BG28" i="21" s="1"/>
  <c r="BF15" i="21"/>
  <c r="BF28" i="21" s="1"/>
  <c r="BE15" i="21"/>
  <c r="BE28" i="21" s="1"/>
  <c r="BD15" i="21"/>
  <c r="BD28" i="21" s="1"/>
  <c r="BC15" i="21"/>
  <c r="BC28" i="21" s="1"/>
  <c r="BB15" i="21"/>
  <c r="BB28" i="21" s="1"/>
  <c r="BA15" i="21"/>
  <c r="BA28" i="21" s="1"/>
  <c r="AZ15" i="21"/>
  <c r="AZ14" i="21" s="1"/>
  <c r="AY15" i="21"/>
  <c r="AY28" i="21" s="1"/>
  <c r="AX15" i="21"/>
  <c r="AX14" i="21" s="1"/>
  <c r="AW15" i="21"/>
  <c r="AV15" i="21"/>
  <c r="AU15" i="21"/>
  <c r="AU14" i="21" s="1"/>
  <c r="AT15" i="21"/>
  <c r="AT14" i="21" s="1"/>
  <c r="AS15" i="21"/>
  <c r="AS14" i="21" s="1"/>
  <c r="AR15" i="21"/>
  <c r="AR28" i="21" s="1"/>
  <c r="AQ15" i="21"/>
  <c r="AQ28" i="21" s="1"/>
  <c r="AP15" i="21"/>
  <c r="AP28" i="21" s="1"/>
  <c r="AO15" i="21"/>
  <c r="AO28" i="21" s="1"/>
  <c r="AN15" i="21"/>
  <c r="AN28" i="21" s="1"/>
  <c r="AM15" i="21"/>
  <c r="AM28" i="21" s="1"/>
  <c r="AL15" i="21"/>
  <c r="AL28" i="21" s="1"/>
  <c r="AK15" i="21"/>
  <c r="AK28" i="21" s="1"/>
  <c r="AJ15" i="21"/>
  <c r="AJ28" i="21" s="1"/>
  <c r="AI15" i="21"/>
  <c r="AI28" i="21" s="1"/>
  <c r="AH15" i="21"/>
  <c r="AH28" i="21" s="1"/>
  <c r="AG15" i="21"/>
  <c r="AG28" i="21" s="1"/>
  <c r="AF15" i="21"/>
  <c r="AF28" i="21" s="1"/>
  <c r="AE15" i="21"/>
  <c r="AE28" i="21" s="1"/>
  <c r="AD15" i="21"/>
  <c r="AD28" i="21" s="1"/>
  <c r="AC15" i="21"/>
  <c r="AC28" i="21" s="1"/>
  <c r="AB15" i="21"/>
  <c r="AB28" i="21" s="1"/>
  <c r="AA15" i="21"/>
  <c r="AA28" i="21" s="1"/>
  <c r="Z15" i="21"/>
  <c r="Z28" i="21" s="1"/>
  <c r="Y15" i="21"/>
  <c r="Y28" i="21" s="1"/>
  <c r="X15" i="21"/>
  <c r="X28" i="21" s="1"/>
  <c r="W15" i="21"/>
  <c r="W28" i="21" s="1"/>
  <c r="V15" i="21"/>
  <c r="V28" i="21" s="1"/>
  <c r="U15" i="21"/>
  <c r="U28" i="21" s="1"/>
  <c r="T15" i="21"/>
  <c r="T28" i="21" s="1"/>
  <c r="S15" i="21"/>
  <c r="S28" i="21" s="1"/>
  <c r="R15" i="21"/>
  <c r="R28" i="21" s="1"/>
  <c r="Q15" i="21"/>
  <c r="Q28" i="21" s="1"/>
  <c r="P15" i="21"/>
  <c r="P14" i="21" s="1"/>
  <c r="O15" i="21"/>
  <c r="O14" i="21" s="1"/>
  <c r="N15" i="21"/>
  <c r="N14" i="21" s="1"/>
  <c r="M15" i="21"/>
  <c r="M14" i="21" s="1"/>
  <c r="L15" i="21"/>
  <c r="K15" i="21"/>
  <c r="K14" i="21" s="1"/>
  <c r="J15" i="21"/>
  <c r="J14" i="21" s="1"/>
  <c r="I15" i="21"/>
  <c r="I14" i="21" s="1"/>
  <c r="H15" i="21"/>
  <c r="H14" i="21" s="1"/>
  <c r="G15" i="21"/>
  <c r="G14" i="21" s="1"/>
  <c r="F15" i="21"/>
  <c r="E15" i="21"/>
  <c r="D15" i="21"/>
  <c r="D14" i="21" s="1"/>
  <c r="C15" i="21"/>
  <c r="C14" i="21" s="1"/>
  <c r="C18" i="21" s="1"/>
  <c r="B15" i="21"/>
  <c r="B14" i="21" s="1"/>
  <c r="BU14" i="21"/>
  <c r="BT14" i="21"/>
  <c r="BQ14" i="21"/>
  <c r="BL14" i="21"/>
  <c r="BK14" i="21"/>
  <c r="BI14" i="21"/>
  <c r="AW14" i="21"/>
  <c r="AV14" i="21"/>
  <c r="AN14" i="21"/>
  <c r="X14" i="21"/>
  <c r="L14" i="21"/>
  <c r="F14" i="21"/>
  <c r="E14" i="21"/>
  <c r="AY11" i="21"/>
  <c r="AX11" i="21"/>
  <c r="AW11" i="21"/>
  <c r="AU11" i="21"/>
  <c r="AT11" i="21"/>
  <c r="AR11" i="21"/>
  <c r="AI11" i="21"/>
  <c r="BY10" i="21"/>
  <c r="BY47" i="21" s="1"/>
  <c r="BY43" i="21" s="1"/>
  <c r="BX10" i="21"/>
  <c r="BX47" i="21" s="1"/>
  <c r="BX43" i="21" s="1"/>
  <c r="BW10" i="21"/>
  <c r="BW47" i="21" s="1"/>
  <c r="BW43" i="21" s="1"/>
  <c r="BV10" i="21"/>
  <c r="BV47" i="21" s="1"/>
  <c r="BV43" i="21" s="1"/>
  <c r="BU10" i="21"/>
  <c r="BU47" i="21" s="1"/>
  <c r="BU43" i="21" s="1"/>
  <c r="BT10" i="21"/>
  <c r="BT47" i="21" s="1"/>
  <c r="BT43" i="21" s="1"/>
  <c r="BS10" i="21"/>
  <c r="BS47" i="21" s="1"/>
  <c r="BS43" i="21" s="1"/>
  <c r="BR10" i="21"/>
  <c r="BR47" i="21" s="1"/>
  <c r="BR43" i="21" s="1"/>
  <c r="BQ10" i="21"/>
  <c r="BQ47" i="21" s="1"/>
  <c r="BQ43" i="21" s="1"/>
  <c r="BP10" i="21"/>
  <c r="BP47" i="21" s="1"/>
  <c r="BP43" i="21" s="1"/>
  <c r="BO10" i="21"/>
  <c r="BO47" i="21" s="1"/>
  <c r="BO43" i="21" s="1"/>
  <c r="BN10" i="21"/>
  <c r="BN47" i="21" s="1"/>
  <c r="BN43" i="21" s="1"/>
  <c r="BM10" i="21"/>
  <c r="BM47" i="21" s="1"/>
  <c r="BM43" i="21" s="1"/>
  <c r="BL10" i="21"/>
  <c r="BL47" i="21" s="1"/>
  <c r="BL43" i="21" s="1"/>
  <c r="BK10" i="21"/>
  <c r="BK47" i="21" s="1"/>
  <c r="BK43" i="21" s="1"/>
  <c r="BJ10" i="21"/>
  <c r="BJ47" i="21" s="1"/>
  <c r="BJ43" i="21" s="1"/>
  <c r="BI10" i="21"/>
  <c r="BI47" i="21" s="1"/>
  <c r="BI43" i="21" s="1"/>
  <c r="BH10" i="21"/>
  <c r="BH47" i="21" s="1"/>
  <c r="BH43" i="21" s="1"/>
  <c r="BG10" i="21"/>
  <c r="BG47" i="21" s="1"/>
  <c r="BG43" i="21" s="1"/>
  <c r="BF10" i="21"/>
  <c r="BF47" i="21" s="1"/>
  <c r="BF43" i="21" s="1"/>
  <c r="BE10" i="21"/>
  <c r="BE47" i="21" s="1"/>
  <c r="BE43" i="21" s="1"/>
  <c r="BD10" i="21"/>
  <c r="BD47" i="21" s="1"/>
  <c r="BD43" i="21" s="1"/>
  <c r="BC10" i="21"/>
  <c r="BC47" i="21" s="1"/>
  <c r="BC43" i="21" s="1"/>
  <c r="BB10" i="21"/>
  <c r="BB47" i="21" s="1"/>
  <c r="BB43" i="21" s="1"/>
  <c r="BA10" i="21"/>
  <c r="BA47" i="21" s="1"/>
  <c r="BA43" i="21" s="1"/>
  <c r="AZ10" i="21"/>
  <c r="AZ47" i="21" s="1"/>
  <c r="AZ43" i="21" s="1"/>
  <c r="AY10" i="21"/>
  <c r="AY47" i="21" s="1"/>
  <c r="AY43" i="21" s="1"/>
  <c r="AX10" i="21"/>
  <c r="AX47" i="21" s="1"/>
  <c r="AW10" i="21"/>
  <c r="AW47" i="21" s="1"/>
  <c r="AW43" i="21" s="1"/>
  <c r="AV10" i="21"/>
  <c r="AV47" i="21" s="1"/>
  <c r="AV43" i="21" s="1"/>
  <c r="AU10" i="21"/>
  <c r="AU47" i="21" s="1"/>
  <c r="AU43" i="21" s="1"/>
  <c r="AT10" i="21"/>
  <c r="AT47" i="21" s="1"/>
  <c r="AT43" i="21" s="1"/>
  <c r="AS10" i="21"/>
  <c r="AS47" i="21" s="1"/>
  <c r="AS43" i="21" s="1"/>
  <c r="AR10" i="21"/>
  <c r="AR47" i="21" s="1"/>
  <c r="AR43" i="21" s="1"/>
  <c r="AQ10" i="21"/>
  <c r="AQ47" i="21" s="1"/>
  <c r="AQ43" i="21" s="1"/>
  <c r="AP10" i="21"/>
  <c r="AP47" i="21" s="1"/>
  <c r="AP43" i="21" s="1"/>
  <c r="AO10" i="21"/>
  <c r="AO47" i="21" s="1"/>
  <c r="AO43" i="21" s="1"/>
  <c r="AN10" i="21"/>
  <c r="AN47" i="21" s="1"/>
  <c r="AN43" i="21" s="1"/>
  <c r="AM10" i="21"/>
  <c r="AM47" i="21" s="1"/>
  <c r="AM43" i="21" s="1"/>
  <c r="AL10" i="21"/>
  <c r="AL47" i="21" s="1"/>
  <c r="AL43" i="21" s="1"/>
  <c r="AK10" i="21"/>
  <c r="AK47" i="21" s="1"/>
  <c r="AK43" i="21" s="1"/>
  <c r="AJ10" i="21"/>
  <c r="AJ47" i="21" s="1"/>
  <c r="AJ43" i="21" s="1"/>
  <c r="AI10" i="21"/>
  <c r="AI47" i="21" s="1"/>
  <c r="AI43" i="21" s="1"/>
  <c r="AH10" i="21"/>
  <c r="AH47" i="21" s="1"/>
  <c r="AH43" i="21" s="1"/>
  <c r="AG10" i="21"/>
  <c r="AG47" i="21" s="1"/>
  <c r="AG43" i="21" s="1"/>
  <c r="AF10" i="21"/>
  <c r="AF47" i="21" s="1"/>
  <c r="AF43" i="21" s="1"/>
  <c r="AE10" i="21"/>
  <c r="AE20" i="21" s="1"/>
  <c r="AD10" i="21"/>
  <c r="AD20" i="21" s="1"/>
  <c r="AC10" i="21"/>
  <c r="AB10" i="21"/>
  <c r="AB20" i="21" s="1"/>
  <c r="AA10" i="21"/>
  <c r="AA20" i="21" s="1"/>
  <c r="Z10" i="21"/>
  <c r="Z20" i="21" s="1"/>
  <c r="Y10" i="21"/>
  <c r="X10" i="21"/>
  <c r="X20" i="21" s="1"/>
  <c r="W10" i="21"/>
  <c r="W20" i="21" s="1"/>
  <c r="V10" i="21"/>
  <c r="V20" i="21" s="1"/>
  <c r="U10" i="21"/>
  <c r="U20" i="21" s="1"/>
  <c r="T10" i="21"/>
  <c r="T20" i="21" s="1"/>
  <c r="S10" i="21"/>
  <c r="S12" i="21" s="1"/>
  <c r="R10" i="21"/>
  <c r="R12" i="21" s="1"/>
  <c r="Q10" i="21"/>
  <c r="Q12" i="21" s="1"/>
  <c r="P10" i="21"/>
  <c r="P12" i="21" s="1"/>
  <c r="O10" i="21"/>
  <c r="O12" i="21" s="1"/>
  <c r="N10" i="21"/>
  <c r="N12" i="21" s="1"/>
  <c r="M10" i="21"/>
  <c r="M12" i="21" s="1"/>
  <c r="L10" i="21"/>
  <c r="L12" i="21" s="1"/>
  <c r="K10" i="21"/>
  <c r="K12" i="21" s="1"/>
  <c r="J10" i="21"/>
  <c r="J12" i="21" s="1"/>
  <c r="I10" i="21"/>
  <c r="I12" i="21" s="1"/>
  <c r="H10" i="21"/>
  <c r="H12" i="21" s="1"/>
  <c r="G10" i="21"/>
  <c r="G12" i="21" s="1"/>
  <c r="F10" i="21"/>
  <c r="F12" i="21" s="1"/>
  <c r="E10" i="21"/>
  <c r="E12" i="21" s="1"/>
  <c r="D10" i="21"/>
  <c r="D12" i="21" s="1"/>
  <c r="C10" i="21"/>
  <c r="C12" i="21" s="1"/>
  <c r="B10" i="21"/>
  <c r="B12" i="21" s="1"/>
  <c r="BY8" i="21"/>
  <c r="BX8" i="21"/>
  <c r="BW8" i="21"/>
  <c r="BV8" i="21"/>
  <c r="BU8" i="21"/>
  <c r="BT8" i="21"/>
  <c r="BS8" i="21"/>
  <c r="BR8" i="21"/>
  <c r="BQ8" i="21"/>
  <c r="BP8" i="21"/>
  <c r="BO8" i="21"/>
  <c r="BN8" i="21"/>
  <c r="BM8" i="21"/>
  <c r="BL8" i="21"/>
  <c r="BK8" i="21"/>
  <c r="BJ8" i="21"/>
  <c r="BI8" i="21"/>
  <c r="BH8" i="21"/>
  <c r="BG8" i="21"/>
  <c r="BF8" i="21"/>
  <c r="BE8" i="21"/>
  <c r="BD8" i="21"/>
  <c r="BC8" i="21"/>
  <c r="BB8" i="21"/>
  <c r="BA8" i="21"/>
  <c r="AZ8" i="21"/>
  <c r="AY8" i="21"/>
  <c r="AX8" i="21"/>
  <c r="AW8" i="21"/>
  <c r="AV8" i="21"/>
  <c r="AU8" i="21"/>
  <c r="AT8" i="21"/>
  <c r="AS8" i="21"/>
  <c r="AR8" i="21"/>
  <c r="AQ8" i="21"/>
  <c r="AP8" i="21"/>
  <c r="AO8" i="21"/>
  <c r="AN8" i="21"/>
  <c r="AM8" i="21"/>
  <c r="AL8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CK7" i="21"/>
  <c r="CJ7" i="21"/>
  <c r="CI7" i="21"/>
  <c r="CH7" i="21"/>
  <c r="CG7" i="21"/>
  <c r="CF7" i="21"/>
  <c r="CE7" i="21"/>
  <c r="CD7" i="21"/>
  <c r="CC7" i="21"/>
  <c r="CB7" i="21"/>
  <c r="CA7" i="21"/>
  <c r="BZ7" i="21"/>
  <c r="CK6" i="21"/>
  <c r="CJ6" i="21"/>
  <c r="CI6" i="21"/>
  <c r="CH6" i="21"/>
  <c r="CG6" i="21"/>
  <c r="CF6" i="21"/>
  <c r="CE6" i="21"/>
  <c r="CD6" i="21"/>
  <c r="CC6" i="21"/>
  <c r="CB6" i="21"/>
  <c r="CA6" i="21"/>
  <c r="BZ6" i="21"/>
  <c r="CK4" i="21"/>
  <c r="CK15" i="21" s="1"/>
  <c r="CJ4" i="21"/>
  <c r="CJ15" i="21" s="1"/>
  <c r="CI4" i="21"/>
  <c r="CI15" i="21" s="1"/>
  <c r="CH4" i="21"/>
  <c r="CH15" i="21" s="1"/>
  <c r="CG4" i="21"/>
  <c r="CG15" i="21" s="1"/>
  <c r="CF4" i="21"/>
  <c r="CF15" i="21" s="1"/>
  <c r="CE4" i="21"/>
  <c r="CD4" i="21"/>
  <c r="CD15" i="21" s="1"/>
  <c r="CC4" i="21"/>
  <c r="CB4" i="21"/>
  <c r="CA4" i="21"/>
  <c r="CA15" i="21" s="1"/>
  <c r="CA28" i="21" s="1"/>
  <c r="BZ4" i="21"/>
  <c r="BZ15" i="21" s="1"/>
  <c r="CK3" i="21"/>
  <c r="CK10" i="21" s="1"/>
  <c r="CJ3" i="21"/>
  <c r="CJ10" i="21" s="1"/>
  <c r="CI3" i="21"/>
  <c r="CH3" i="21"/>
  <c r="CH10" i="21" s="1"/>
  <c r="CG3" i="21"/>
  <c r="CG10" i="21" s="1"/>
  <c r="CF3" i="21"/>
  <c r="CF10" i="21" s="1"/>
  <c r="CE3" i="21"/>
  <c r="CE10" i="21" s="1"/>
  <c r="CD3" i="21"/>
  <c r="CD10" i="21" s="1"/>
  <c r="CC3" i="21"/>
  <c r="CC10" i="21" s="1"/>
  <c r="CB3" i="21"/>
  <c r="CB10" i="21" s="1"/>
  <c r="CA3" i="21"/>
  <c r="CA10" i="21" s="1"/>
  <c r="BZ3" i="21"/>
  <c r="BZ10" i="21" s="1"/>
  <c r="CK2" i="21"/>
  <c r="CA2" i="21"/>
  <c r="CB2" i="21" s="1"/>
  <c r="CC2" i="21" s="1"/>
  <c r="CD2" i="21" s="1"/>
  <c r="CE2" i="21" s="1"/>
  <c r="CF2" i="21" s="1"/>
  <c r="CG2" i="21" s="1"/>
  <c r="CH2" i="21" s="1"/>
  <c r="CI2" i="21" s="1"/>
  <c r="U2" i="21"/>
  <c r="V2" i="21" s="1"/>
  <c r="W2" i="21" s="1"/>
  <c r="X2" i="21" s="1"/>
  <c r="Y2" i="21" s="1"/>
  <c r="Z2" i="21" s="1"/>
  <c r="AA2" i="21" s="1"/>
  <c r="AB2" i="21" s="1"/>
  <c r="AC2" i="21" s="1"/>
  <c r="AD2" i="21" s="1"/>
  <c r="AE2" i="21" s="1"/>
  <c r="AF2" i="21" s="1"/>
  <c r="AG2" i="21" s="1"/>
  <c r="AH2" i="21" s="1"/>
  <c r="AI2" i="21" s="1"/>
  <c r="AJ2" i="21" s="1"/>
  <c r="AK2" i="21" s="1"/>
  <c r="AL2" i="21" s="1"/>
  <c r="AM2" i="21" s="1"/>
  <c r="AN2" i="21" s="1"/>
  <c r="AO2" i="21" s="1"/>
  <c r="AP2" i="21" s="1"/>
  <c r="AQ2" i="21" s="1"/>
  <c r="AR2" i="21" s="1"/>
  <c r="AS2" i="21" s="1"/>
  <c r="AT2" i="21" s="1"/>
  <c r="AU2" i="21" s="1"/>
  <c r="AV2" i="21" s="1"/>
  <c r="AW2" i="21" s="1"/>
  <c r="AX2" i="21" s="1"/>
  <c r="AY2" i="21" s="1"/>
  <c r="AZ2" i="21" s="1"/>
  <c r="BA2" i="21" s="1"/>
  <c r="BB2" i="21" s="1"/>
  <c r="BC2" i="21" s="1"/>
  <c r="BD2" i="21" s="1"/>
  <c r="BE2" i="21" s="1"/>
  <c r="BF2" i="21" s="1"/>
  <c r="BG2" i="21" s="1"/>
  <c r="BH2" i="21" s="1"/>
  <c r="BI2" i="21" s="1"/>
  <c r="BJ2" i="21" s="1"/>
  <c r="BK2" i="21" s="1"/>
  <c r="BL2" i="21" s="1"/>
  <c r="BM2" i="21" s="1"/>
  <c r="BN2" i="21" s="1"/>
  <c r="BO2" i="21" s="1"/>
  <c r="BP2" i="21" s="1"/>
  <c r="BQ2" i="21" s="1"/>
  <c r="BR2" i="21" s="1"/>
  <c r="BS2" i="21" s="1"/>
  <c r="BT2" i="21" s="1"/>
  <c r="BU2" i="21" s="1"/>
  <c r="BV2" i="21" s="1"/>
  <c r="BW2" i="21" s="1"/>
  <c r="BX2" i="21" s="1"/>
  <c r="BY2" i="21" s="1"/>
  <c r="R2" i="21"/>
  <c r="S2" i="21" s="1"/>
  <c r="DR60" i="18"/>
  <c r="DQ60" i="18"/>
  <c r="DP60" i="18"/>
  <c r="DO60" i="18"/>
  <c r="DN60" i="18"/>
  <c r="DM60" i="18"/>
  <c r="DL60" i="18"/>
  <c r="DK60" i="18"/>
  <c r="DJ60" i="18"/>
  <c r="DI60" i="18"/>
  <c r="DH60" i="18"/>
  <c r="DG60" i="18"/>
  <c r="DF60" i="18"/>
  <c r="DE60" i="18"/>
  <c r="DD60" i="18"/>
  <c r="DC60" i="18"/>
  <c r="DB60" i="18"/>
  <c r="DA60" i="18"/>
  <c r="CZ60" i="18"/>
  <c r="CY60" i="18"/>
  <c r="CX60" i="18"/>
  <c r="CW60" i="18"/>
  <c r="CV60" i="18"/>
  <c r="CU60" i="18"/>
  <c r="CT60" i="18"/>
  <c r="CS60" i="18"/>
  <c r="CR60" i="18"/>
  <c r="CQ60" i="18"/>
  <c r="CP60" i="18"/>
  <c r="CO60" i="18"/>
  <c r="CN60" i="18"/>
  <c r="CM60" i="18"/>
  <c r="CL60" i="18"/>
  <c r="CK60" i="18"/>
  <c r="CJ60" i="18"/>
  <c r="CI60" i="18"/>
  <c r="CH60" i="18"/>
  <c r="CG60" i="18"/>
  <c r="CF60" i="18"/>
  <c r="CE60" i="18"/>
  <c r="CD60" i="18"/>
  <c r="CC60" i="18"/>
  <c r="CB60" i="18"/>
  <c r="CA60" i="18"/>
  <c r="BZ60" i="18"/>
  <c r="BY60" i="18"/>
  <c r="BX60" i="18"/>
  <c r="BW60" i="18"/>
  <c r="BV60" i="18"/>
  <c r="BU60" i="18"/>
  <c r="BT60" i="18"/>
  <c r="BS60" i="18"/>
  <c r="BR60" i="18"/>
  <c r="BQ60" i="18"/>
  <c r="BP60" i="18"/>
  <c r="BO60" i="18"/>
  <c r="BN60" i="18"/>
  <c r="BM60" i="18"/>
  <c r="BL60" i="18"/>
  <c r="BK60" i="18"/>
  <c r="BJ60" i="18"/>
  <c r="BI60" i="18"/>
  <c r="BH60" i="18"/>
  <c r="BG60" i="18"/>
  <c r="BF60" i="18"/>
  <c r="BE60" i="18"/>
  <c r="BD60" i="18"/>
  <c r="BC60" i="18"/>
  <c r="BB60" i="18"/>
  <c r="BA60" i="18"/>
  <c r="AZ60" i="18"/>
  <c r="AY60" i="18"/>
  <c r="AX60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DR52" i="18"/>
  <c r="DQ52" i="18"/>
  <c r="DP52" i="18"/>
  <c r="DO52" i="18"/>
  <c r="DN52" i="18"/>
  <c r="DM52" i="18"/>
  <c r="DL52" i="18"/>
  <c r="DK52" i="18"/>
  <c r="DJ52" i="18"/>
  <c r="DI52" i="18"/>
  <c r="DH52" i="18"/>
  <c r="DG52" i="18"/>
  <c r="DF52" i="18"/>
  <c r="DE52" i="18"/>
  <c r="DD52" i="18"/>
  <c r="DC52" i="18"/>
  <c r="DB52" i="18"/>
  <c r="DA52" i="18"/>
  <c r="CZ52" i="18"/>
  <c r="CY52" i="18"/>
  <c r="CX52" i="18"/>
  <c r="CW52" i="18"/>
  <c r="CV52" i="18"/>
  <c r="CU52" i="18"/>
  <c r="CT52" i="18"/>
  <c r="CS52" i="18"/>
  <c r="CR52" i="18"/>
  <c r="CQ52" i="18"/>
  <c r="CP52" i="18"/>
  <c r="CO52" i="18"/>
  <c r="CN52" i="18"/>
  <c r="CM52" i="18"/>
  <c r="CL52" i="18"/>
  <c r="CK52" i="18"/>
  <c r="CJ52" i="18"/>
  <c r="CI52" i="18"/>
  <c r="CH52" i="18"/>
  <c r="CG52" i="18"/>
  <c r="CF52" i="18"/>
  <c r="CE52" i="18"/>
  <c r="CD52" i="18"/>
  <c r="CC52" i="18"/>
  <c r="CB52" i="18"/>
  <c r="CA52" i="18"/>
  <c r="BZ52" i="18"/>
  <c r="BY52" i="18"/>
  <c r="BX52" i="18"/>
  <c r="BW52" i="18"/>
  <c r="BV52" i="18"/>
  <c r="BU52" i="18"/>
  <c r="BT52" i="18"/>
  <c r="BS52" i="18"/>
  <c r="BR52" i="18"/>
  <c r="BQ52" i="18"/>
  <c r="BP52" i="18"/>
  <c r="BO52" i="18"/>
  <c r="BN52" i="18"/>
  <c r="BM52" i="18"/>
  <c r="BL52" i="18"/>
  <c r="BK52" i="18"/>
  <c r="BJ52" i="18"/>
  <c r="BI52" i="18"/>
  <c r="BH52" i="18"/>
  <c r="BG52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DR40" i="18"/>
  <c r="DQ40" i="18"/>
  <c r="DP40" i="18"/>
  <c r="DO40" i="18"/>
  <c r="DN40" i="18"/>
  <c r="DM40" i="18"/>
  <c r="DL40" i="18"/>
  <c r="DK40" i="18"/>
  <c r="DJ40" i="18"/>
  <c r="DI40" i="18"/>
  <c r="DH40" i="18"/>
  <c r="DG40" i="18"/>
  <c r="DF40" i="18"/>
  <c r="DE40" i="18"/>
  <c r="DD40" i="18"/>
  <c r="DC40" i="18"/>
  <c r="DB40" i="18"/>
  <c r="DA40" i="18"/>
  <c r="CZ40" i="18"/>
  <c r="CY40" i="18"/>
  <c r="CX40" i="18"/>
  <c r="CW40" i="18"/>
  <c r="CV40" i="18"/>
  <c r="CU40" i="18"/>
  <c r="CT40" i="18"/>
  <c r="CS40" i="18"/>
  <c r="CR40" i="18"/>
  <c r="CQ40" i="18"/>
  <c r="CP40" i="18"/>
  <c r="CO40" i="18"/>
  <c r="CN40" i="18"/>
  <c r="CM40" i="18"/>
  <c r="CL40" i="18"/>
  <c r="CK40" i="18"/>
  <c r="CJ40" i="18"/>
  <c r="CI40" i="18"/>
  <c r="CH40" i="18"/>
  <c r="CG40" i="18"/>
  <c r="CF40" i="18"/>
  <c r="CE40" i="18"/>
  <c r="CD40" i="18"/>
  <c r="CC40" i="18"/>
  <c r="CB40" i="18"/>
  <c r="CA40" i="18"/>
  <c r="BZ40" i="18"/>
  <c r="BY40" i="18"/>
  <c r="BX40" i="18"/>
  <c r="BW40" i="18"/>
  <c r="BV40" i="18"/>
  <c r="BU40" i="18"/>
  <c r="BT40" i="18"/>
  <c r="BS40" i="18"/>
  <c r="BR40" i="18"/>
  <c r="BQ40" i="18"/>
  <c r="BP40" i="18"/>
  <c r="BO40" i="18"/>
  <c r="BN40" i="18"/>
  <c r="BM40" i="18"/>
  <c r="BL40" i="18"/>
  <c r="BK40" i="18"/>
  <c r="BJ40" i="18"/>
  <c r="BI40" i="18"/>
  <c r="BH40" i="18"/>
  <c r="BG40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AA51" i="20"/>
  <c r="Z51" i="20"/>
  <c r="AA45" i="20"/>
  <c r="Z45" i="20"/>
  <c r="Q44" i="20"/>
  <c r="X38" i="20"/>
  <c r="X32" i="20" s="1"/>
  <c r="X39" i="20" s="1"/>
  <c r="Q38" i="20"/>
  <c r="Q32" i="20" s="1"/>
  <c r="V34" i="20"/>
  <c r="V32" i="20" s="1"/>
  <c r="U33" i="20"/>
  <c r="AA32" i="20"/>
  <c r="AA39" i="20" s="1"/>
  <c r="Z32" i="20"/>
  <c r="Z39" i="20" s="1"/>
  <c r="Y32" i="20"/>
  <c r="W32" i="20"/>
  <c r="U32" i="20"/>
  <c r="T32" i="20"/>
  <c r="S32" i="20"/>
  <c r="R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AA26" i="20"/>
  <c r="V26" i="20"/>
  <c r="R26" i="20"/>
  <c r="AA25" i="20"/>
  <c r="AA22" i="20" s="1"/>
  <c r="AA27" i="20" s="1"/>
  <c r="V25" i="20"/>
  <c r="V22" i="20" s="1"/>
  <c r="R25" i="20"/>
  <c r="R22" i="20" s="1"/>
  <c r="X24" i="20"/>
  <c r="X22" i="20" s="1"/>
  <c r="X27" i="20" s="1"/>
  <c r="W24" i="20"/>
  <c r="W22" i="20" s="1"/>
  <c r="U24" i="20"/>
  <c r="U22" i="20" s="1"/>
  <c r="Z22" i="20"/>
  <c r="Z27" i="20" s="1"/>
  <c r="Y22" i="20"/>
  <c r="T22" i="20"/>
  <c r="S22" i="20"/>
  <c r="Q22" i="20"/>
  <c r="P22" i="20"/>
  <c r="O22" i="20"/>
  <c r="O27" i="20" s="1"/>
  <c r="N22" i="20"/>
  <c r="M22" i="20"/>
  <c r="L22" i="20"/>
  <c r="K22" i="20"/>
  <c r="J22" i="20"/>
  <c r="I22" i="20"/>
  <c r="H22" i="20"/>
  <c r="G22" i="20"/>
  <c r="F22" i="20"/>
  <c r="E22" i="20"/>
  <c r="D22" i="20"/>
  <c r="C22" i="20"/>
  <c r="C27" i="20" s="1"/>
  <c r="B22" i="20"/>
  <c r="X16" i="20"/>
  <c r="X14" i="20" s="1"/>
  <c r="W16" i="20"/>
  <c r="V16" i="20"/>
  <c r="U16" i="20"/>
  <c r="U14" i="20" s="1"/>
  <c r="W15" i="20"/>
  <c r="V15" i="20"/>
  <c r="AA14" i="20"/>
  <c r="Z14" i="20"/>
  <c r="Y14" i="20"/>
  <c r="T14" i="20"/>
  <c r="S14" i="20"/>
  <c r="R14" i="20"/>
  <c r="Q14" i="20"/>
  <c r="P14" i="20"/>
  <c r="O14" i="20"/>
  <c r="N14" i="20"/>
  <c r="M14" i="20"/>
  <c r="M17" i="20" s="1"/>
  <c r="L14" i="20"/>
  <c r="K14" i="20"/>
  <c r="J14" i="20"/>
  <c r="I14" i="20"/>
  <c r="H14" i="20"/>
  <c r="G14" i="20"/>
  <c r="F14" i="20"/>
  <c r="E14" i="20"/>
  <c r="D14" i="20"/>
  <c r="C14" i="20"/>
  <c r="B14" i="20"/>
  <c r="AA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AA11" i="20"/>
  <c r="AA8" i="20"/>
  <c r="Z8" i="20"/>
  <c r="X7" i="20"/>
  <c r="W7" i="20"/>
  <c r="V7" i="20"/>
  <c r="U7" i="20"/>
  <c r="T7" i="20"/>
  <c r="S7" i="20"/>
  <c r="Q7" i="20"/>
  <c r="Q12" i="20" s="1"/>
  <c r="Y6" i="20"/>
  <c r="X6" i="20"/>
  <c r="X3" i="20" s="1"/>
  <c r="X2" i="20" s="1"/>
  <c r="W6" i="20"/>
  <c r="W3" i="20" s="1"/>
  <c r="X60" i="18" s="1"/>
  <c r="V6" i="20"/>
  <c r="V3" i="20" s="1"/>
  <c r="W60" i="18" s="1"/>
  <c r="U6" i="20"/>
  <c r="U3" i="20" s="1"/>
  <c r="T6" i="20"/>
  <c r="T3" i="20" s="1"/>
  <c r="S6" i="20"/>
  <c r="S3" i="20" s="1"/>
  <c r="R6" i="20"/>
  <c r="R3" i="20" s="1"/>
  <c r="S60" i="18" s="1"/>
  <c r="Q6" i="20"/>
  <c r="Q2" i="20" s="1"/>
  <c r="Q4" i="20" s="1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6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AA3" i="20"/>
  <c r="Z3" i="20"/>
  <c r="Y3" i="20"/>
  <c r="R1" i="20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AC1" i="20" s="1"/>
  <c r="AD1" i="20" s="1"/>
  <c r="AE1" i="20" s="1"/>
  <c r="AF1" i="20" s="1"/>
  <c r="AG1" i="20" s="1"/>
  <c r="AH1" i="20" s="1"/>
  <c r="AI1" i="20" s="1"/>
  <c r="AJ1" i="20" s="1"/>
  <c r="AK1" i="20" s="1"/>
  <c r="AL1" i="20" s="1"/>
  <c r="AM1" i="20" s="1"/>
  <c r="AN1" i="20" s="1"/>
  <c r="AO1" i="20" s="1"/>
  <c r="AP1" i="20" s="1"/>
  <c r="AQ1" i="20" s="1"/>
  <c r="AR1" i="20" s="1"/>
  <c r="AS1" i="20" s="1"/>
  <c r="AT1" i="20" s="1"/>
  <c r="AU1" i="20" s="1"/>
  <c r="AV1" i="20" s="1"/>
  <c r="AW1" i="20" s="1"/>
  <c r="AX1" i="20" s="1"/>
  <c r="AY1" i="20" s="1"/>
  <c r="AZ1" i="20" s="1"/>
  <c r="BA1" i="20" s="1"/>
  <c r="BB1" i="20" s="1"/>
  <c r="BC1" i="20" s="1"/>
  <c r="BD1" i="20" s="1"/>
  <c r="BE1" i="20" s="1"/>
  <c r="BF1" i="20" s="1"/>
  <c r="BG1" i="20" s="1"/>
  <c r="BH1" i="20" s="1"/>
  <c r="BI1" i="20" s="1"/>
  <c r="BJ1" i="20" s="1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AG24" i="18"/>
  <c r="AH24" i="18"/>
  <c r="AI24" i="18"/>
  <c r="AJ24" i="18"/>
  <c r="AK24" i="18"/>
  <c r="AL24" i="18"/>
  <c r="AM24" i="18"/>
  <c r="AN24" i="18"/>
  <c r="AO24" i="18"/>
  <c r="AP24" i="18"/>
  <c r="AQ24" i="18"/>
  <c r="AR24" i="18"/>
  <c r="AS24" i="18"/>
  <c r="AT24" i="18"/>
  <c r="AU24" i="18"/>
  <c r="AV24" i="18"/>
  <c r="AW24" i="18"/>
  <c r="AX24" i="18"/>
  <c r="AY24" i="18"/>
  <c r="AZ24" i="18"/>
  <c r="BA24" i="18"/>
  <c r="BB24" i="18"/>
  <c r="BC24" i="18"/>
  <c r="BD24" i="18"/>
  <c r="BE24" i="18"/>
  <c r="BF24" i="18"/>
  <c r="BG24" i="18"/>
  <c r="BH24" i="18"/>
  <c r="BI24" i="18"/>
  <c r="BJ24" i="18"/>
  <c r="AC108" i="15"/>
  <c r="AD108" i="15"/>
  <c r="AE108" i="15"/>
  <c r="AF108" i="15"/>
  <c r="AG108" i="15"/>
  <c r="AH108" i="15"/>
  <c r="AI108" i="15"/>
  <c r="AJ108" i="15"/>
  <c r="AK108" i="15"/>
  <c r="AL108" i="15"/>
  <c r="AM108" i="15"/>
  <c r="AN108" i="15"/>
  <c r="AO108" i="15"/>
  <c r="AP108" i="15"/>
  <c r="AQ108" i="15"/>
  <c r="AR108" i="15"/>
  <c r="AS108" i="15"/>
  <c r="AT108" i="15"/>
  <c r="AU108" i="15"/>
  <c r="AV108" i="15"/>
  <c r="AW108" i="15"/>
  <c r="AX108" i="15"/>
  <c r="AY108" i="15"/>
  <c r="AZ108" i="15"/>
  <c r="BA108" i="15"/>
  <c r="BB108" i="15"/>
  <c r="BC108" i="15"/>
  <c r="BD108" i="15"/>
  <c r="BE108" i="15"/>
  <c r="BF108" i="15"/>
  <c r="BG108" i="15"/>
  <c r="BH108" i="15"/>
  <c r="BI108" i="15"/>
  <c r="BJ108" i="15"/>
  <c r="BK108" i="15"/>
  <c r="BL108" i="15"/>
  <c r="BM108" i="15"/>
  <c r="BN108" i="15"/>
  <c r="BO108" i="15"/>
  <c r="BP108" i="15"/>
  <c r="BQ108" i="15"/>
  <c r="BR108" i="15"/>
  <c r="BS108" i="15"/>
  <c r="BT108" i="15"/>
  <c r="BU108" i="15"/>
  <c r="BV108" i="15"/>
  <c r="BW108" i="15"/>
  <c r="BX108" i="15"/>
  <c r="BY108" i="15"/>
  <c r="BZ108" i="15"/>
  <c r="CA108" i="15"/>
  <c r="CB108" i="15"/>
  <c r="CC108" i="15"/>
  <c r="CD108" i="15"/>
  <c r="CE108" i="15"/>
  <c r="CF108" i="15"/>
  <c r="CG108" i="15"/>
  <c r="CH108" i="15"/>
  <c r="CI108" i="15"/>
  <c r="CJ108" i="15"/>
  <c r="CK108" i="15"/>
  <c r="CL108" i="15"/>
  <c r="CM108" i="15"/>
  <c r="CN108" i="15"/>
  <c r="CO108" i="15"/>
  <c r="CP108" i="15"/>
  <c r="CQ108" i="15"/>
  <c r="CR108" i="15"/>
  <c r="CS108" i="15"/>
  <c r="CT108" i="15"/>
  <c r="B757" i="2"/>
  <c r="C757" i="2"/>
  <c r="D757" i="2"/>
  <c r="E757" i="2"/>
  <c r="F757" i="2"/>
  <c r="G757" i="2"/>
  <c r="H757" i="2"/>
  <c r="I757" i="2"/>
  <c r="J757" i="2"/>
  <c r="K757" i="2"/>
  <c r="L757" i="2"/>
  <c r="M757" i="2"/>
  <c r="N757" i="2"/>
  <c r="O757" i="2"/>
  <c r="P757" i="2"/>
  <c r="Q757" i="2"/>
  <c r="R757" i="2"/>
  <c r="S757" i="2"/>
  <c r="T757" i="2"/>
  <c r="U757" i="2"/>
  <c r="V757" i="2"/>
  <c r="W757" i="2"/>
  <c r="X757" i="2"/>
  <c r="Y757" i="2"/>
  <c r="Z757" i="2"/>
  <c r="AA757" i="2"/>
  <c r="AB757" i="2"/>
  <c r="AC757" i="2"/>
  <c r="AD757" i="2"/>
  <c r="AE757" i="2"/>
  <c r="AF757" i="2"/>
  <c r="AG757" i="2"/>
  <c r="AH757" i="2"/>
  <c r="AI757" i="2"/>
  <c r="AJ757" i="2"/>
  <c r="AK757" i="2"/>
  <c r="AL757" i="2"/>
  <c r="AM757" i="2"/>
  <c r="AN757" i="2"/>
  <c r="AO757" i="2"/>
  <c r="AP757" i="2"/>
  <c r="AQ757" i="2"/>
  <c r="AR757" i="2"/>
  <c r="AS757" i="2"/>
  <c r="AT757" i="2"/>
  <c r="AU757" i="2"/>
  <c r="AV757" i="2"/>
  <c r="AW757" i="2"/>
  <c r="AX757" i="2"/>
  <c r="AY757" i="2"/>
  <c r="AZ757" i="2"/>
  <c r="BA757" i="2"/>
  <c r="BB757" i="2"/>
  <c r="BC757" i="2"/>
  <c r="BD757" i="2"/>
  <c r="BE757" i="2"/>
  <c r="BF757" i="2"/>
  <c r="BG757" i="2"/>
  <c r="BH757" i="2"/>
  <c r="BI757" i="2"/>
  <c r="BJ757" i="2"/>
  <c r="BK757" i="2"/>
  <c r="BL757" i="2"/>
  <c r="BM757" i="2"/>
  <c r="BN757" i="2"/>
  <c r="BO757" i="2"/>
  <c r="BP757" i="2"/>
  <c r="BQ757" i="2"/>
  <c r="BR757" i="2"/>
  <c r="BS757" i="2"/>
  <c r="BT757" i="2"/>
  <c r="BU757" i="2"/>
  <c r="BV757" i="2"/>
  <c r="BW757" i="2"/>
  <c r="BX757" i="2"/>
  <c r="BY757" i="2"/>
  <c r="BZ757" i="2"/>
  <c r="CA757" i="2"/>
  <c r="CB757" i="2"/>
  <c r="CC757" i="2"/>
  <c r="CD757" i="2"/>
  <c r="CE757" i="2"/>
  <c r="CF757" i="2"/>
  <c r="CG757" i="2"/>
  <c r="CH757" i="2"/>
  <c r="CI757" i="2"/>
  <c r="CJ757" i="2"/>
  <c r="CK757" i="2"/>
  <c r="CL757" i="2"/>
  <c r="CM757" i="2"/>
  <c r="CN757" i="2"/>
  <c r="CO757" i="2"/>
  <c r="CP757" i="2"/>
  <c r="CQ757" i="2"/>
  <c r="CR757" i="2"/>
  <c r="CS757" i="2"/>
  <c r="B758" i="2"/>
  <c r="C758" i="2"/>
  <c r="D758" i="2"/>
  <c r="E758" i="2"/>
  <c r="F758" i="2"/>
  <c r="G758" i="2"/>
  <c r="H758" i="2"/>
  <c r="I758" i="2"/>
  <c r="J758" i="2"/>
  <c r="K758" i="2"/>
  <c r="L758" i="2"/>
  <c r="M758" i="2"/>
  <c r="N758" i="2"/>
  <c r="O758" i="2"/>
  <c r="P758" i="2"/>
  <c r="Q758" i="2"/>
  <c r="R758" i="2"/>
  <c r="S758" i="2"/>
  <c r="T758" i="2"/>
  <c r="U758" i="2"/>
  <c r="V758" i="2"/>
  <c r="W758" i="2"/>
  <c r="X758" i="2"/>
  <c r="Y758" i="2"/>
  <c r="Z758" i="2"/>
  <c r="AA758" i="2"/>
  <c r="AB758" i="2"/>
  <c r="AC758" i="2"/>
  <c r="AD758" i="2"/>
  <c r="AE758" i="2"/>
  <c r="AF758" i="2"/>
  <c r="AG758" i="2"/>
  <c r="AH758" i="2"/>
  <c r="AI758" i="2"/>
  <c r="AJ758" i="2"/>
  <c r="AK758" i="2"/>
  <c r="AL758" i="2"/>
  <c r="AM758" i="2"/>
  <c r="AN758" i="2"/>
  <c r="AO758" i="2"/>
  <c r="AP758" i="2"/>
  <c r="AQ758" i="2"/>
  <c r="AR758" i="2"/>
  <c r="AS758" i="2"/>
  <c r="AT758" i="2"/>
  <c r="AU758" i="2"/>
  <c r="AV758" i="2"/>
  <c r="AW758" i="2"/>
  <c r="AX758" i="2"/>
  <c r="AY758" i="2"/>
  <c r="AZ758" i="2"/>
  <c r="BA758" i="2"/>
  <c r="BB758" i="2"/>
  <c r="BC758" i="2"/>
  <c r="BD758" i="2"/>
  <c r="BE758" i="2"/>
  <c r="BF758" i="2"/>
  <c r="BG758" i="2"/>
  <c r="BH758" i="2"/>
  <c r="BI758" i="2"/>
  <c r="BJ758" i="2"/>
  <c r="BK758" i="2"/>
  <c r="BL758" i="2"/>
  <c r="BM758" i="2"/>
  <c r="BN758" i="2"/>
  <c r="BO758" i="2"/>
  <c r="BP758" i="2"/>
  <c r="BQ758" i="2"/>
  <c r="BR758" i="2"/>
  <c r="BS758" i="2"/>
  <c r="BT758" i="2"/>
  <c r="BU758" i="2"/>
  <c r="BV758" i="2"/>
  <c r="BW758" i="2"/>
  <c r="BX758" i="2"/>
  <c r="BY758" i="2"/>
  <c r="BZ758" i="2"/>
  <c r="CA758" i="2"/>
  <c r="CB758" i="2"/>
  <c r="CC758" i="2"/>
  <c r="CD758" i="2"/>
  <c r="CE758" i="2"/>
  <c r="CF758" i="2"/>
  <c r="CG758" i="2"/>
  <c r="CH758" i="2"/>
  <c r="CI758" i="2"/>
  <c r="CJ758" i="2"/>
  <c r="CK758" i="2"/>
  <c r="CL758" i="2"/>
  <c r="CM758" i="2"/>
  <c r="CN758" i="2"/>
  <c r="CO758" i="2"/>
  <c r="CP758" i="2"/>
  <c r="CQ758" i="2"/>
  <c r="CR758" i="2"/>
  <c r="CS758" i="2"/>
  <c r="B759" i="2"/>
  <c r="C759" i="2"/>
  <c r="D759" i="2"/>
  <c r="E759" i="2"/>
  <c r="F759" i="2"/>
  <c r="G759" i="2"/>
  <c r="H759" i="2"/>
  <c r="I759" i="2"/>
  <c r="J759" i="2"/>
  <c r="K759" i="2"/>
  <c r="L759" i="2"/>
  <c r="M759" i="2"/>
  <c r="N759" i="2"/>
  <c r="O759" i="2"/>
  <c r="P759" i="2"/>
  <c r="Q759" i="2"/>
  <c r="R759" i="2"/>
  <c r="S759" i="2"/>
  <c r="T759" i="2"/>
  <c r="U759" i="2"/>
  <c r="V759" i="2"/>
  <c r="W759" i="2"/>
  <c r="X759" i="2"/>
  <c r="Y759" i="2"/>
  <c r="Z759" i="2"/>
  <c r="AA759" i="2"/>
  <c r="AB759" i="2"/>
  <c r="AC759" i="2"/>
  <c r="AD759" i="2"/>
  <c r="AE759" i="2"/>
  <c r="AF759" i="2"/>
  <c r="AG759" i="2"/>
  <c r="AH759" i="2"/>
  <c r="AI759" i="2"/>
  <c r="AJ759" i="2"/>
  <c r="AK759" i="2"/>
  <c r="AL759" i="2"/>
  <c r="AM759" i="2"/>
  <c r="AN759" i="2"/>
  <c r="AO759" i="2"/>
  <c r="AP759" i="2"/>
  <c r="AQ759" i="2"/>
  <c r="AR759" i="2"/>
  <c r="AS759" i="2"/>
  <c r="AT759" i="2"/>
  <c r="AU759" i="2"/>
  <c r="AV759" i="2"/>
  <c r="AW759" i="2"/>
  <c r="AX759" i="2"/>
  <c r="AY759" i="2"/>
  <c r="AZ759" i="2"/>
  <c r="BA759" i="2"/>
  <c r="BB759" i="2"/>
  <c r="BC759" i="2"/>
  <c r="BD759" i="2"/>
  <c r="BE759" i="2"/>
  <c r="BF759" i="2"/>
  <c r="BG759" i="2"/>
  <c r="BH759" i="2"/>
  <c r="BI759" i="2"/>
  <c r="BJ759" i="2"/>
  <c r="BK759" i="2"/>
  <c r="BL759" i="2"/>
  <c r="BM759" i="2"/>
  <c r="BN759" i="2"/>
  <c r="BO759" i="2"/>
  <c r="BP759" i="2"/>
  <c r="BQ759" i="2"/>
  <c r="BR759" i="2"/>
  <c r="BS759" i="2"/>
  <c r="BT759" i="2"/>
  <c r="BU759" i="2"/>
  <c r="BV759" i="2"/>
  <c r="BW759" i="2"/>
  <c r="BX759" i="2"/>
  <c r="BY759" i="2"/>
  <c r="BZ759" i="2"/>
  <c r="CA759" i="2"/>
  <c r="CB759" i="2"/>
  <c r="CC759" i="2"/>
  <c r="CD759" i="2"/>
  <c r="CE759" i="2"/>
  <c r="CF759" i="2"/>
  <c r="CG759" i="2"/>
  <c r="CH759" i="2"/>
  <c r="CI759" i="2"/>
  <c r="CJ759" i="2"/>
  <c r="CK759" i="2"/>
  <c r="CL759" i="2"/>
  <c r="CM759" i="2"/>
  <c r="CN759" i="2"/>
  <c r="CO759" i="2"/>
  <c r="CP759" i="2"/>
  <c r="CQ759" i="2"/>
  <c r="CR759" i="2"/>
  <c r="CS759" i="2"/>
  <c r="B760" i="2"/>
  <c r="C760" i="2"/>
  <c r="D760" i="2"/>
  <c r="E760" i="2"/>
  <c r="F760" i="2"/>
  <c r="G760" i="2"/>
  <c r="H760" i="2"/>
  <c r="I760" i="2"/>
  <c r="J760" i="2"/>
  <c r="K760" i="2"/>
  <c r="L760" i="2"/>
  <c r="M760" i="2"/>
  <c r="N760" i="2"/>
  <c r="O760" i="2"/>
  <c r="P760" i="2"/>
  <c r="Q760" i="2"/>
  <c r="R760" i="2"/>
  <c r="S760" i="2"/>
  <c r="T760" i="2"/>
  <c r="U760" i="2"/>
  <c r="V760" i="2"/>
  <c r="W760" i="2"/>
  <c r="X760" i="2"/>
  <c r="Y760" i="2"/>
  <c r="Z760" i="2"/>
  <c r="AA760" i="2"/>
  <c r="AB760" i="2"/>
  <c r="AC760" i="2"/>
  <c r="AD760" i="2"/>
  <c r="AE760" i="2"/>
  <c r="AF760" i="2"/>
  <c r="AG760" i="2"/>
  <c r="AH760" i="2"/>
  <c r="AI760" i="2"/>
  <c r="AJ760" i="2"/>
  <c r="AK760" i="2"/>
  <c r="AL760" i="2"/>
  <c r="AM760" i="2"/>
  <c r="AN760" i="2"/>
  <c r="AO760" i="2"/>
  <c r="AP760" i="2"/>
  <c r="AQ760" i="2"/>
  <c r="AR760" i="2"/>
  <c r="AS760" i="2"/>
  <c r="AT760" i="2"/>
  <c r="AU760" i="2"/>
  <c r="AV760" i="2"/>
  <c r="AW760" i="2"/>
  <c r="AX760" i="2"/>
  <c r="AY760" i="2"/>
  <c r="AZ760" i="2"/>
  <c r="BA760" i="2"/>
  <c r="BB760" i="2"/>
  <c r="BC760" i="2"/>
  <c r="BD760" i="2"/>
  <c r="BE760" i="2"/>
  <c r="BF760" i="2"/>
  <c r="BG760" i="2"/>
  <c r="BH760" i="2"/>
  <c r="BI760" i="2"/>
  <c r="BJ760" i="2"/>
  <c r="BK760" i="2"/>
  <c r="BL760" i="2"/>
  <c r="BM760" i="2"/>
  <c r="BN760" i="2"/>
  <c r="BO760" i="2"/>
  <c r="BP760" i="2"/>
  <c r="BQ760" i="2"/>
  <c r="BR760" i="2"/>
  <c r="BS760" i="2"/>
  <c r="BT760" i="2"/>
  <c r="BU760" i="2"/>
  <c r="BV760" i="2"/>
  <c r="BW760" i="2"/>
  <c r="BX760" i="2"/>
  <c r="BY760" i="2"/>
  <c r="BZ760" i="2"/>
  <c r="CA760" i="2"/>
  <c r="CB760" i="2"/>
  <c r="CC760" i="2"/>
  <c r="CD760" i="2"/>
  <c r="CE760" i="2"/>
  <c r="CF760" i="2"/>
  <c r="CG760" i="2"/>
  <c r="CH760" i="2"/>
  <c r="CI760" i="2"/>
  <c r="CJ760" i="2"/>
  <c r="CK760" i="2"/>
  <c r="CL760" i="2"/>
  <c r="CM760" i="2"/>
  <c r="CN760" i="2"/>
  <c r="CO760" i="2"/>
  <c r="CP760" i="2"/>
  <c r="CQ760" i="2"/>
  <c r="CR760" i="2"/>
  <c r="CS760" i="2"/>
  <c r="B761" i="2"/>
  <c r="C761" i="2"/>
  <c r="D761" i="2"/>
  <c r="E761" i="2"/>
  <c r="F761" i="2"/>
  <c r="G761" i="2"/>
  <c r="H761" i="2"/>
  <c r="I761" i="2"/>
  <c r="J761" i="2"/>
  <c r="K761" i="2"/>
  <c r="L761" i="2"/>
  <c r="M761" i="2"/>
  <c r="N761" i="2"/>
  <c r="O761" i="2"/>
  <c r="P761" i="2"/>
  <c r="Q761" i="2"/>
  <c r="R761" i="2"/>
  <c r="S761" i="2"/>
  <c r="T761" i="2"/>
  <c r="U761" i="2"/>
  <c r="V761" i="2"/>
  <c r="W761" i="2"/>
  <c r="X761" i="2"/>
  <c r="Y761" i="2"/>
  <c r="Z761" i="2"/>
  <c r="AA761" i="2"/>
  <c r="AB761" i="2"/>
  <c r="AC761" i="2"/>
  <c r="AD761" i="2"/>
  <c r="AE761" i="2"/>
  <c r="AF761" i="2"/>
  <c r="AG761" i="2"/>
  <c r="AH761" i="2"/>
  <c r="AI761" i="2"/>
  <c r="AJ761" i="2"/>
  <c r="AK761" i="2"/>
  <c r="AL761" i="2"/>
  <c r="AM761" i="2"/>
  <c r="AN761" i="2"/>
  <c r="AO761" i="2"/>
  <c r="AP761" i="2"/>
  <c r="AQ761" i="2"/>
  <c r="AR761" i="2"/>
  <c r="AS761" i="2"/>
  <c r="AT761" i="2"/>
  <c r="AU761" i="2"/>
  <c r="AV761" i="2"/>
  <c r="AW761" i="2"/>
  <c r="AX761" i="2"/>
  <c r="AY761" i="2"/>
  <c r="AZ761" i="2"/>
  <c r="BA761" i="2"/>
  <c r="BB761" i="2"/>
  <c r="BC761" i="2"/>
  <c r="BD761" i="2"/>
  <c r="BE761" i="2"/>
  <c r="BF761" i="2"/>
  <c r="BG761" i="2"/>
  <c r="BH761" i="2"/>
  <c r="BI761" i="2"/>
  <c r="BJ761" i="2"/>
  <c r="BK761" i="2"/>
  <c r="BL761" i="2"/>
  <c r="BM761" i="2"/>
  <c r="BN761" i="2"/>
  <c r="BO761" i="2"/>
  <c r="BP761" i="2"/>
  <c r="BQ761" i="2"/>
  <c r="BR761" i="2"/>
  <c r="BS761" i="2"/>
  <c r="BT761" i="2"/>
  <c r="BU761" i="2"/>
  <c r="BV761" i="2"/>
  <c r="BW761" i="2"/>
  <c r="BX761" i="2"/>
  <c r="BY761" i="2"/>
  <c r="BZ761" i="2"/>
  <c r="CA761" i="2"/>
  <c r="CB761" i="2"/>
  <c r="CC761" i="2"/>
  <c r="CD761" i="2"/>
  <c r="CE761" i="2"/>
  <c r="CF761" i="2"/>
  <c r="CG761" i="2"/>
  <c r="CH761" i="2"/>
  <c r="CI761" i="2"/>
  <c r="CJ761" i="2"/>
  <c r="CK761" i="2"/>
  <c r="CL761" i="2"/>
  <c r="CM761" i="2"/>
  <c r="CN761" i="2"/>
  <c r="CO761" i="2"/>
  <c r="CP761" i="2"/>
  <c r="CQ761" i="2"/>
  <c r="CR761" i="2"/>
  <c r="CS761" i="2"/>
  <c r="B762" i="2"/>
  <c r="C762" i="2"/>
  <c r="D762" i="2"/>
  <c r="E762" i="2"/>
  <c r="F762" i="2"/>
  <c r="G762" i="2"/>
  <c r="H762" i="2"/>
  <c r="I762" i="2"/>
  <c r="J762" i="2"/>
  <c r="K762" i="2"/>
  <c r="L762" i="2"/>
  <c r="M762" i="2"/>
  <c r="N762" i="2"/>
  <c r="O762" i="2"/>
  <c r="P762" i="2"/>
  <c r="Q762" i="2"/>
  <c r="R762" i="2"/>
  <c r="S762" i="2"/>
  <c r="T762" i="2"/>
  <c r="U762" i="2"/>
  <c r="V762" i="2"/>
  <c r="W762" i="2"/>
  <c r="X762" i="2"/>
  <c r="Y762" i="2"/>
  <c r="Z762" i="2"/>
  <c r="AA762" i="2"/>
  <c r="AB762" i="2"/>
  <c r="AC762" i="2"/>
  <c r="AD762" i="2"/>
  <c r="AE762" i="2"/>
  <c r="AF762" i="2"/>
  <c r="AG762" i="2"/>
  <c r="AH762" i="2"/>
  <c r="AI762" i="2"/>
  <c r="AJ762" i="2"/>
  <c r="AK762" i="2"/>
  <c r="AL762" i="2"/>
  <c r="AM762" i="2"/>
  <c r="AN762" i="2"/>
  <c r="AO762" i="2"/>
  <c r="AP762" i="2"/>
  <c r="AQ762" i="2"/>
  <c r="AR762" i="2"/>
  <c r="AS762" i="2"/>
  <c r="AT762" i="2"/>
  <c r="AU762" i="2"/>
  <c r="AV762" i="2"/>
  <c r="AW762" i="2"/>
  <c r="AX762" i="2"/>
  <c r="AY762" i="2"/>
  <c r="AZ762" i="2"/>
  <c r="BA762" i="2"/>
  <c r="BB762" i="2"/>
  <c r="BC762" i="2"/>
  <c r="BD762" i="2"/>
  <c r="BE762" i="2"/>
  <c r="BF762" i="2"/>
  <c r="BG762" i="2"/>
  <c r="BH762" i="2"/>
  <c r="BI762" i="2"/>
  <c r="BJ762" i="2"/>
  <c r="BK762" i="2"/>
  <c r="BL762" i="2"/>
  <c r="BM762" i="2"/>
  <c r="BN762" i="2"/>
  <c r="BO762" i="2"/>
  <c r="BP762" i="2"/>
  <c r="BQ762" i="2"/>
  <c r="BR762" i="2"/>
  <c r="BS762" i="2"/>
  <c r="BT762" i="2"/>
  <c r="BU762" i="2"/>
  <c r="BV762" i="2"/>
  <c r="BW762" i="2"/>
  <c r="BX762" i="2"/>
  <c r="BY762" i="2"/>
  <c r="BZ762" i="2"/>
  <c r="CA762" i="2"/>
  <c r="CB762" i="2"/>
  <c r="CC762" i="2"/>
  <c r="CD762" i="2"/>
  <c r="CE762" i="2"/>
  <c r="CF762" i="2"/>
  <c r="CG762" i="2"/>
  <c r="CH762" i="2"/>
  <c r="CI762" i="2"/>
  <c r="CJ762" i="2"/>
  <c r="CK762" i="2"/>
  <c r="CL762" i="2"/>
  <c r="CM762" i="2"/>
  <c r="CN762" i="2"/>
  <c r="CO762" i="2"/>
  <c r="CP762" i="2"/>
  <c r="CQ762" i="2"/>
  <c r="CR762" i="2"/>
  <c r="CS762" i="2"/>
  <c r="B763" i="2"/>
  <c r="C763" i="2"/>
  <c r="D763" i="2"/>
  <c r="E763" i="2"/>
  <c r="F763" i="2"/>
  <c r="G763" i="2"/>
  <c r="H763" i="2"/>
  <c r="I763" i="2"/>
  <c r="J763" i="2"/>
  <c r="K763" i="2"/>
  <c r="L763" i="2"/>
  <c r="M763" i="2"/>
  <c r="N763" i="2"/>
  <c r="O763" i="2"/>
  <c r="P763" i="2"/>
  <c r="Q763" i="2"/>
  <c r="R763" i="2"/>
  <c r="S763" i="2"/>
  <c r="T763" i="2"/>
  <c r="U763" i="2"/>
  <c r="V763" i="2"/>
  <c r="W763" i="2"/>
  <c r="X763" i="2"/>
  <c r="Y763" i="2"/>
  <c r="Z763" i="2"/>
  <c r="AA763" i="2"/>
  <c r="AB763" i="2"/>
  <c r="AC763" i="2"/>
  <c r="AD763" i="2"/>
  <c r="AE763" i="2"/>
  <c r="AF763" i="2"/>
  <c r="AG763" i="2"/>
  <c r="AH763" i="2"/>
  <c r="AI763" i="2"/>
  <c r="AJ763" i="2"/>
  <c r="AK763" i="2"/>
  <c r="AL763" i="2"/>
  <c r="AM763" i="2"/>
  <c r="AN763" i="2"/>
  <c r="AO763" i="2"/>
  <c r="AP763" i="2"/>
  <c r="AQ763" i="2"/>
  <c r="AR763" i="2"/>
  <c r="AS763" i="2"/>
  <c r="AT763" i="2"/>
  <c r="AU763" i="2"/>
  <c r="AV763" i="2"/>
  <c r="AW763" i="2"/>
  <c r="AX763" i="2"/>
  <c r="AY763" i="2"/>
  <c r="AZ763" i="2"/>
  <c r="BA763" i="2"/>
  <c r="BB763" i="2"/>
  <c r="BC763" i="2"/>
  <c r="BD763" i="2"/>
  <c r="BE763" i="2"/>
  <c r="BF763" i="2"/>
  <c r="BG763" i="2"/>
  <c r="BH763" i="2"/>
  <c r="BI763" i="2"/>
  <c r="BJ763" i="2"/>
  <c r="BK763" i="2"/>
  <c r="BL763" i="2"/>
  <c r="BM763" i="2"/>
  <c r="BN763" i="2"/>
  <c r="BO763" i="2"/>
  <c r="BP763" i="2"/>
  <c r="BQ763" i="2"/>
  <c r="BR763" i="2"/>
  <c r="BS763" i="2"/>
  <c r="BT763" i="2"/>
  <c r="BU763" i="2"/>
  <c r="BV763" i="2"/>
  <c r="BW763" i="2"/>
  <c r="BX763" i="2"/>
  <c r="BY763" i="2"/>
  <c r="BZ763" i="2"/>
  <c r="CA763" i="2"/>
  <c r="CB763" i="2"/>
  <c r="CC763" i="2"/>
  <c r="CD763" i="2"/>
  <c r="CE763" i="2"/>
  <c r="CF763" i="2"/>
  <c r="CG763" i="2"/>
  <c r="CH763" i="2"/>
  <c r="CI763" i="2"/>
  <c r="CJ763" i="2"/>
  <c r="CK763" i="2"/>
  <c r="CL763" i="2"/>
  <c r="CM763" i="2"/>
  <c r="CN763" i="2"/>
  <c r="CO763" i="2"/>
  <c r="CP763" i="2"/>
  <c r="CQ763" i="2"/>
  <c r="CR763" i="2"/>
  <c r="CS763" i="2"/>
  <c r="B764" i="2"/>
  <c r="C764" i="2"/>
  <c r="D764" i="2"/>
  <c r="E764" i="2"/>
  <c r="F764" i="2"/>
  <c r="G764" i="2"/>
  <c r="H764" i="2"/>
  <c r="I764" i="2"/>
  <c r="J764" i="2"/>
  <c r="K764" i="2"/>
  <c r="L764" i="2"/>
  <c r="M764" i="2"/>
  <c r="N764" i="2"/>
  <c r="O764" i="2"/>
  <c r="P764" i="2"/>
  <c r="Q764" i="2"/>
  <c r="R764" i="2"/>
  <c r="S764" i="2"/>
  <c r="T764" i="2"/>
  <c r="U764" i="2"/>
  <c r="V764" i="2"/>
  <c r="W764" i="2"/>
  <c r="X764" i="2"/>
  <c r="Y764" i="2"/>
  <c r="Z764" i="2"/>
  <c r="AA764" i="2"/>
  <c r="AB764" i="2"/>
  <c r="AC764" i="2"/>
  <c r="AD764" i="2"/>
  <c r="AE764" i="2"/>
  <c r="AF764" i="2"/>
  <c r="AG764" i="2"/>
  <c r="AH764" i="2"/>
  <c r="AI764" i="2"/>
  <c r="AJ764" i="2"/>
  <c r="AK764" i="2"/>
  <c r="AL764" i="2"/>
  <c r="AM764" i="2"/>
  <c r="AN764" i="2"/>
  <c r="AO764" i="2"/>
  <c r="AP764" i="2"/>
  <c r="AQ764" i="2"/>
  <c r="AR764" i="2"/>
  <c r="AS764" i="2"/>
  <c r="AT764" i="2"/>
  <c r="AU764" i="2"/>
  <c r="AV764" i="2"/>
  <c r="AW764" i="2"/>
  <c r="AX764" i="2"/>
  <c r="AY764" i="2"/>
  <c r="AZ764" i="2"/>
  <c r="BA764" i="2"/>
  <c r="BB764" i="2"/>
  <c r="BC764" i="2"/>
  <c r="BD764" i="2"/>
  <c r="BE764" i="2"/>
  <c r="BF764" i="2"/>
  <c r="BG764" i="2"/>
  <c r="BH764" i="2"/>
  <c r="BI764" i="2"/>
  <c r="BJ764" i="2"/>
  <c r="BK764" i="2"/>
  <c r="BL764" i="2"/>
  <c r="BM764" i="2"/>
  <c r="BN764" i="2"/>
  <c r="BO764" i="2"/>
  <c r="BP764" i="2"/>
  <c r="BQ764" i="2"/>
  <c r="BR764" i="2"/>
  <c r="BS764" i="2"/>
  <c r="BT764" i="2"/>
  <c r="BU764" i="2"/>
  <c r="BV764" i="2"/>
  <c r="BW764" i="2"/>
  <c r="BX764" i="2"/>
  <c r="BY764" i="2"/>
  <c r="BZ764" i="2"/>
  <c r="CA764" i="2"/>
  <c r="CB764" i="2"/>
  <c r="CC764" i="2"/>
  <c r="CD764" i="2"/>
  <c r="CE764" i="2"/>
  <c r="CF764" i="2"/>
  <c r="CG764" i="2"/>
  <c r="CH764" i="2"/>
  <c r="CI764" i="2"/>
  <c r="CJ764" i="2"/>
  <c r="CK764" i="2"/>
  <c r="CL764" i="2"/>
  <c r="CM764" i="2"/>
  <c r="CN764" i="2"/>
  <c r="CO764" i="2"/>
  <c r="CP764" i="2"/>
  <c r="CQ764" i="2"/>
  <c r="CR764" i="2"/>
  <c r="CS764" i="2"/>
  <c r="B765" i="2"/>
  <c r="C765" i="2"/>
  <c r="D765" i="2"/>
  <c r="E765" i="2"/>
  <c r="F765" i="2"/>
  <c r="G765" i="2"/>
  <c r="H765" i="2"/>
  <c r="I765" i="2"/>
  <c r="J765" i="2"/>
  <c r="K765" i="2"/>
  <c r="L765" i="2"/>
  <c r="M765" i="2"/>
  <c r="N765" i="2"/>
  <c r="O765" i="2"/>
  <c r="P765" i="2"/>
  <c r="Q765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AE765" i="2"/>
  <c r="AF765" i="2"/>
  <c r="AG765" i="2"/>
  <c r="AH765" i="2"/>
  <c r="AI765" i="2"/>
  <c r="AJ765" i="2"/>
  <c r="AK765" i="2"/>
  <c r="AL765" i="2"/>
  <c r="AM765" i="2"/>
  <c r="AN765" i="2"/>
  <c r="AO765" i="2"/>
  <c r="AP765" i="2"/>
  <c r="AQ765" i="2"/>
  <c r="AR765" i="2"/>
  <c r="AS765" i="2"/>
  <c r="AT765" i="2"/>
  <c r="AU765" i="2"/>
  <c r="AV765" i="2"/>
  <c r="AW765" i="2"/>
  <c r="AX765" i="2"/>
  <c r="AY765" i="2"/>
  <c r="AZ765" i="2"/>
  <c r="BA765" i="2"/>
  <c r="BB765" i="2"/>
  <c r="BC765" i="2"/>
  <c r="BD765" i="2"/>
  <c r="BE765" i="2"/>
  <c r="BF765" i="2"/>
  <c r="BG765" i="2"/>
  <c r="BH765" i="2"/>
  <c r="BI765" i="2"/>
  <c r="BJ765" i="2"/>
  <c r="BK765" i="2"/>
  <c r="BL765" i="2"/>
  <c r="BM765" i="2"/>
  <c r="BN765" i="2"/>
  <c r="BO765" i="2"/>
  <c r="BP765" i="2"/>
  <c r="BQ765" i="2"/>
  <c r="BR765" i="2"/>
  <c r="BS765" i="2"/>
  <c r="BT765" i="2"/>
  <c r="BU765" i="2"/>
  <c r="BV765" i="2"/>
  <c r="BW765" i="2"/>
  <c r="BX765" i="2"/>
  <c r="BY765" i="2"/>
  <c r="BZ765" i="2"/>
  <c r="CA765" i="2"/>
  <c r="CB765" i="2"/>
  <c r="CC765" i="2"/>
  <c r="CD765" i="2"/>
  <c r="CE765" i="2"/>
  <c r="CF765" i="2"/>
  <c r="CG765" i="2"/>
  <c r="CH765" i="2"/>
  <c r="CI765" i="2"/>
  <c r="CJ765" i="2"/>
  <c r="CK765" i="2"/>
  <c r="CL765" i="2"/>
  <c r="CM765" i="2"/>
  <c r="CN765" i="2"/>
  <c r="CO765" i="2"/>
  <c r="CP765" i="2"/>
  <c r="CQ765" i="2"/>
  <c r="CR765" i="2"/>
  <c r="CS765" i="2"/>
  <c r="B766" i="2"/>
  <c r="C766" i="2"/>
  <c r="D766" i="2"/>
  <c r="E766" i="2"/>
  <c r="F766" i="2"/>
  <c r="G766" i="2"/>
  <c r="H766" i="2"/>
  <c r="I766" i="2"/>
  <c r="J766" i="2"/>
  <c r="K766" i="2"/>
  <c r="L766" i="2"/>
  <c r="M766" i="2"/>
  <c r="N766" i="2"/>
  <c r="O766" i="2"/>
  <c r="P766" i="2"/>
  <c r="Q766" i="2"/>
  <c r="R766" i="2"/>
  <c r="S766" i="2"/>
  <c r="T766" i="2"/>
  <c r="U766" i="2"/>
  <c r="V766" i="2"/>
  <c r="W766" i="2"/>
  <c r="X766" i="2"/>
  <c r="Y766" i="2"/>
  <c r="Z766" i="2"/>
  <c r="AA766" i="2"/>
  <c r="AB766" i="2"/>
  <c r="AC766" i="2"/>
  <c r="AD766" i="2"/>
  <c r="AE766" i="2"/>
  <c r="AF766" i="2"/>
  <c r="AG766" i="2"/>
  <c r="AH766" i="2"/>
  <c r="AI766" i="2"/>
  <c r="AJ766" i="2"/>
  <c r="AK766" i="2"/>
  <c r="AL766" i="2"/>
  <c r="AM766" i="2"/>
  <c r="AN766" i="2"/>
  <c r="AO766" i="2"/>
  <c r="AP766" i="2"/>
  <c r="AQ766" i="2"/>
  <c r="AR766" i="2"/>
  <c r="AS766" i="2"/>
  <c r="AT766" i="2"/>
  <c r="AU766" i="2"/>
  <c r="AV766" i="2"/>
  <c r="AW766" i="2"/>
  <c r="AX766" i="2"/>
  <c r="AY766" i="2"/>
  <c r="AZ766" i="2"/>
  <c r="BA766" i="2"/>
  <c r="BB766" i="2"/>
  <c r="BC766" i="2"/>
  <c r="BD766" i="2"/>
  <c r="BE766" i="2"/>
  <c r="BF766" i="2"/>
  <c r="BG766" i="2"/>
  <c r="BH766" i="2"/>
  <c r="BI766" i="2"/>
  <c r="BJ766" i="2"/>
  <c r="BK766" i="2"/>
  <c r="BL766" i="2"/>
  <c r="BM766" i="2"/>
  <c r="BN766" i="2"/>
  <c r="BO766" i="2"/>
  <c r="BP766" i="2"/>
  <c r="BQ766" i="2"/>
  <c r="BR766" i="2"/>
  <c r="BS766" i="2"/>
  <c r="BT766" i="2"/>
  <c r="BU766" i="2"/>
  <c r="BV766" i="2"/>
  <c r="BW766" i="2"/>
  <c r="BX766" i="2"/>
  <c r="BY766" i="2"/>
  <c r="BZ766" i="2"/>
  <c r="CA766" i="2"/>
  <c r="CB766" i="2"/>
  <c r="CC766" i="2"/>
  <c r="CD766" i="2"/>
  <c r="CE766" i="2"/>
  <c r="CF766" i="2"/>
  <c r="CG766" i="2"/>
  <c r="CH766" i="2"/>
  <c r="CI766" i="2"/>
  <c r="CJ766" i="2"/>
  <c r="CK766" i="2"/>
  <c r="CL766" i="2"/>
  <c r="CM766" i="2"/>
  <c r="CN766" i="2"/>
  <c r="CO766" i="2"/>
  <c r="CP766" i="2"/>
  <c r="CQ766" i="2"/>
  <c r="CR766" i="2"/>
  <c r="CS766" i="2"/>
  <c r="B767" i="2"/>
  <c r="C767" i="2"/>
  <c r="D767" i="2"/>
  <c r="E767" i="2"/>
  <c r="F767" i="2"/>
  <c r="G767" i="2"/>
  <c r="H767" i="2"/>
  <c r="I767" i="2"/>
  <c r="J767" i="2"/>
  <c r="K767" i="2"/>
  <c r="L767" i="2"/>
  <c r="M767" i="2"/>
  <c r="N767" i="2"/>
  <c r="O767" i="2"/>
  <c r="P767" i="2"/>
  <c r="Q767" i="2"/>
  <c r="R767" i="2"/>
  <c r="S767" i="2"/>
  <c r="T767" i="2"/>
  <c r="U767" i="2"/>
  <c r="V767" i="2"/>
  <c r="W767" i="2"/>
  <c r="X767" i="2"/>
  <c r="Y767" i="2"/>
  <c r="Z767" i="2"/>
  <c r="AA767" i="2"/>
  <c r="AB767" i="2"/>
  <c r="AC767" i="2"/>
  <c r="AD767" i="2"/>
  <c r="AE767" i="2"/>
  <c r="AF767" i="2"/>
  <c r="AG767" i="2"/>
  <c r="AH767" i="2"/>
  <c r="AI767" i="2"/>
  <c r="AJ767" i="2"/>
  <c r="AK767" i="2"/>
  <c r="AL767" i="2"/>
  <c r="AM767" i="2"/>
  <c r="AN767" i="2"/>
  <c r="AO767" i="2"/>
  <c r="AP767" i="2"/>
  <c r="AQ767" i="2"/>
  <c r="AR767" i="2"/>
  <c r="AS767" i="2"/>
  <c r="AT767" i="2"/>
  <c r="AU767" i="2"/>
  <c r="AV767" i="2"/>
  <c r="AW767" i="2"/>
  <c r="AX767" i="2"/>
  <c r="AY767" i="2"/>
  <c r="AZ767" i="2"/>
  <c r="BA767" i="2"/>
  <c r="BB767" i="2"/>
  <c r="BC767" i="2"/>
  <c r="BD767" i="2"/>
  <c r="BE767" i="2"/>
  <c r="BF767" i="2"/>
  <c r="BG767" i="2"/>
  <c r="BH767" i="2"/>
  <c r="BI767" i="2"/>
  <c r="BJ767" i="2"/>
  <c r="BK767" i="2"/>
  <c r="BL767" i="2"/>
  <c r="BM767" i="2"/>
  <c r="BN767" i="2"/>
  <c r="BO767" i="2"/>
  <c r="BP767" i="2"/>
  <c r="BQ767" i="2"/>
  <c r="BR767" i="2"/>
  <c r="BS767" i="2"/>
  <c r="BT767" i="2"/>
  <c r="BU767" i="2"/>
  <c r="BV767" i="2"/>
  <c r="BW767" i="2"/>
  <c r="BX767" i="2"/>
  <c r="BY767" i="2"/>
  <c r="BZ767" i="2"/>
  <c r="CA767" i="2"/>
  <c r="CB767" i="2"/>
  <c r="CC767" i="2"/>
  <c r="CD767" i="2"/>
  <c r="CE767" i="2"/>
  <c r="CF767" i="2"/>
  <c r="CG767" i="2"/>
  <c r="CH767" i="2"/>
  <c r="CI767" i="2"/>
  <c r="CJ767" i="2"/>
  <c r="CK767" i="2"/>
  <c r="CL767" i="2"/>
  <c r="CM767" i="2"/>
  <c r="CN767" i="2"/>
  <c r="CO767" i="2"/>
  <c r="CP767" i="2"/>
  <c r="CQ767" i="2"/>
  <c r="CR767" i="2"/>
  <c r="CS767" i="2"/>
  <c r="B768" i="2"/>
  <c r="C768" i="2"/>
  <c r="D768" i="2"/>
  <c r="E768" i="2"/>
  <c r="F768" i="2"/>
  <c r="G768" i="2"/>
  <c r="H768" i="2"/>
  <c r="I768" i="2"/>
  <c r="J768" i="2"/>
  <c r="K768" i="2"/>
  <c r="L768" i="2"/>
  <c r="M768" i="2"/>
  <c r="N768" i="2"/>
  <c r="O768" i="2"/>
  <c r="P768" i="2"/>
  <c r="Q768" i="2"/>
  <c r="R768" i="2"/>
  <c r="S768" i="2"/>
  <c r="T768" i="2"/>
  <c r="U768" i="2"/>
  <c r="V768" i="2"/>
  <c r="W768" i="2"/>
  <c r="X768" i="2"/>
  <c r="Y768" i="2"/>
  <c r="Z768" i="2"/>
  <c r="AA768" i="2"/>
  <c r="AB768" i="2"/>
  <c r="AC768" i="2"/>
  <c r="AD768" i="2"/>
  <c r="AE768" i="2"/>
  <c r="AF768" i="2"/>
  <c r="AG768" i="2"/>
  <c r="AH768" i="2"/>
  <c r="AI768" i="2"/>
  <c r="AJ768" i="2"/>
  <c r="AK768" i="2"/>
  <c r="AL768" i="2"/>
  <c r="AM768" i="2"/>
  <c r="AN768" i="2"/>
  <c r="AO768" i="2"/>
  <c r="AP768" i="2"/>
  <c r="AQ768" i="2"/>
  <c r="AR768" i="2"/>
  <c r="AS768" i="2"/>
  <c r="AT768" i="2"/>
  <c r="AU768" i="2"/>
  <c r="AV768" i="2"/>
  <c r="AW768" i="2"/>
  <c r="AX768" i="2"/>
  <c r="AY768" i="2"/>
  <c r="AZ768" i="2"/>
  <c r="BA768" i="2"/>
  <c r="BB768" i="2"/>
  <c r="BC768" i="2"/>
  <c r="BD768" i="2"/>
  <c r="BE768" i="2"/>
  <c r="BF768" i="2"/>
  <c r="BG768" i="2"/>
  <c r="BH768" i="2"/>
  <c r="BI768" i="2"/>
  <c r="BJ768" i="2"/>
  <c r="BK768" i="2"/>
  <c r="BL768" i="2"/>
  <c r="BM768" i="2"/>
  <c r="BN768" i="2"/>
  <c r="BO768" i="2"/>
  <c r="BP768" i="2"/>
  <c r="BQ768" i="2"/>
  <c r="BR768" i="2"/>
  <c r="BS768" i="2"/>
  <c r="BT768" i="2"/>
  <c r="BU768" i="2"/>
  <c r="BV768" i="2"/>
  <c r="BW768" i="2"/>
  <c r="BX768" i="2"/>
  <c r="BY768" i="2"/>
  <c r="BZ768" i="2"/>
  <c r="CA768" i="2"/>
  <c r="CB768" i="2"/>
  <c r="CC768" i="2"/>
  <c r="CD768" i="2"/>
  <c r="CE768" i="2"/>
  <c r="CF768" i="2"/>
  <c r="CG768" i="2"/>
  <c r="CH768" i="2"/>
  <c r="CI768" i="2"/>
  <c r="CJ768" i="2"/>
  <c r="CK768" i="2"/>
  <c r="CL768" i="2"/>
  <c r="CM768" i="2"/>
  <c r="CN768" i="2"/>
  <c r="CO768" i="2"/>
  <c r="CP768" i="2"/>
  <c r="CQ768" i="2"/>
  <c r="CR768" i="2"/>
  <c r="CS768" i="2"/>
  <c r="B769" i="2"/>
  <c r="C769" i="2"/>
  <c r="D769" i="2"/>
  <c r="E769" i="2"/>
  <c r="F769" i="2"/>
  <c r="G769" i="2"/>
  <c r="H769" i="2"/>
  <c r="I769" i="2"/>
  <c r="J769" i="2"/>
  <c r="K769" i="2"/>
  <c r="L769" i="2"/>
  <c r="M769" i="2"/>
  <c r="N769" i="2"/>
  <c r="O769" i="2"/>
  <c r="P769" i="2"/>
  <c r="Q769" i="2"/>
  <c r="R769" i="2"/>
  <c r="S769" i="2"/>
  <c r="T769" i="2"/>
  <c r="U769" i="2"/>
  <c r="V769" i="2"/>
  <c r="W769" i="2"/>
  <c r="X769" i="2"/>
  <c r="Y769" i="2"/>
  <c r="Z769" i="2"/>
  <c r="AA769" i="2"/>
  <c r="AB769" i="2"/>
  <c r="AC769" i="2"/>
  <c r="AD769" i="2"/>
  <c r="AE769" i="2"/>
  <c r="AF769" i="2"/>
  <c r="AG769" i="2"/>
  <c r="AH769" i="2"/>
  <c r="AI769" i="2"/>
  <c r="AJ769" i="2"/>
  <c r="AK769" i="2"/>
  <c r="AL769" i="2"/>
  <c r="AM769" i="2"/>
  <c r="AN769" i="2"/>
  <c r="AO769" i="2"/>
  <c r="AP769" i="2"/>
  <c r="AQ769" i="2"/>
  <c r="AR769" i="2"/>
  <c r="AS769" i="2"/>
  <c r="AT769" i="2"/>
  <c r="AU769" i="2"/>
  <c r="AV769" i="2"/>
  <c r="AW769" i="2"/>
  <c r="AX769" i="2"/>
  <c r="AY769" i="2"/>
  <c r="AZ769" i="2"/>
  <c r="BA769" i="2"/>
  <c r="BB769" i="2"/>
  <c r="BC769" i="2"/>
  <c r="BD769" i="2"/>
  <c r="BE769" i="2"/>
  <c r="BF769" i="2"/>
  <c r="BG769" i="2"/>
  <c r="BH769" i="2"/>
  <c r="BI769" i="2"/>
  <c r="BJ769" i="2"/>
  <c r="BK769" i="2"/>
  <c r="BL769" i="2"/>
  <c r="BM769" i="2"/>
  <c r="BN769" i="2"/>
  <c r="BO769" i="2"/>
  <c r="BP769" i="2"/>
  <c r="BQ769" i="2"/>
  <c r="BR769" i="2"/>
  <c r="BS769" i="2"/>
  <c r="BT769" i="2"/>
  <c r="BU769" i="2"/>
  <c r="BV769" i="2"/>
  <c r="BW769" i="2"/>
  <c r="BX769" i="2"/>
  <c r="BY769" i="2"/>
  <c r="BZ769" i="2"/>
  <c r="CA769" i="2"/>
  <c r="CB769" i="2"/>
  <c r="CC769" i="2"/>
  <c r="CD769" i="2"/>
  <c r="CE769" i="2"/>
  <c r="CF769" i="2"/>
  <c r="CG769" i="2"/>
  <c r="CH769" i="2"/>
  <c r="CI769" i="2"/>
  <c r="CJ769" i="2"/>
  <c r="CK769" i="2"/>
  <c r="CL769" i="2"/>
  <c r="CM769" i="2"/>
  <c r="CN769" i="2"/>
  <c r="CO769" i="2"/>
  <c r="CP769" i="2"/>
  <c r="CQ769" i="2"/>
  <c r="CR769" i="2"/>
  <c r="CS769" i="2"/>
  <c r="B771" i="2"/>
  <c r="C771" i="2"/>
  <c r="D771" i="2"/>
  <c r="E771" i="2"/>
  <c r="F771" i="2"/>
  <c r="G771" i="2"/>
  <c r="H771" i="2"/>
  <c r="I771" i="2"/>
  <c r="J771" i="2"/>
  <c r="K771" i="2"/>
  <c r="L771" i="2"/>
  <c r="M771" i="2"/>
  <c r="N771" i="2"/>
  <c r="O771" i="2"/>
  <c r="P771" i="2"/>
  <c r="Q771" i="2"/>
  <c r="R771" i="2"/>
  <c r="S771" i="2"/>
  <c r="T771" i="2"/>
  <c r="U771" i="2"/>
  <c r="V771" i="2"/>
  <c r="W771" i="2"/>
  <c r="X771" i="2"/>
  <c r="Y771" i="2"/>
  <c r="Z771" i="2"/>
  <c r="AA771" i="2"/>
  <c r="AB771" i="2"/>
  <c r="AC771" i="2"/>
  <c r="AD771" i="2"/>
  <c r="AE771" i="2"/>
  <c r="AF771" i="2"/>
  <c r="AG771" i="2"/>
  <c r="AH771" i="2"/>
  <c r="AI771" i="2"/>
  <c r="AJ771" i="2"/>
  <c r="AK771" i="2"/>
  <c r="AL771" i="2"/>
  <c r="AM771" i="2"/>
  <c r="AN771" i="2"/>
  <c r="AO771" i="2"/>
  <c r="AP771" i="2"/>
  <c r="AQ771" i="2"/>
  <c r="AR771" i="2"/>
  <c r="AS771" i="2"/>
  <c r="AT771" i="2"/>
  <c r="AU771" i="2"/>
  <c r="AV771" i="2"/>
  <c r="AW771" i="2"/>
  <c r="AX771" i="2"/>
  <c r="AY771" i="2"/>
  <c r="AZ771" i="2"/>
  <c r="BA771" i="2"/>
  <c r="BB771" i="2"/>
  <c r="BC771" i="2"/>
  <c r="BD771" i="2"/>
  <c r="BE771" i="2"/>
  <c r="BF771" i="2"/>
  <c r="BG771" i="2"/>
  <c r="BH771" i="2"/>
  <c r="BI771" i="2"/>
  <c r="BJ771" i="2"/>
  <c r="BK771" i="2"/>
  <c r="BL771" i="2"/>
  <c r="BM771" i="2"/>
  <c r="BN771" i="2"/>
  <c r="BO771" i="2"/>
  <c r="BP771" i="2"/>
  <c r="BQ771" i="2"/>
  <c r="BR771" i="2"/>
  <c r="BS771" i="2"/>
  <c r="BT771" i="2"/>
  <c r="BU771" i="2"/>
  <c r="BV771" i="2"/>
  <c r="BW771" i="2"/>
  <c r="BX771" i="2"/>
  <c r="BY771" i="2"/>
  <c r="BZ771" i="2"/>
  <c r="CA771" i="2"/>
  <c r="CB771" i="2"/>
  <c r="CC771" i="2"/>
  <c r="CD771" i="2"/>
  <c r="CE771" i="2"/>
  <c r="CF771" i="2"/>
  <c r="CG771" i="2"/>
  <c r="CH771" i="2"/>
  <c r="CI771" i="2"/>
  <c r="CJ771" i="2"/>
  <c r="CK771" i="2"/>
  <c r="CL771" i="2"/>
  <c r="CM771" i="2"/>
  <c r="CN771" i="2"/>
  <c r="CO771" i="2"/>
  <c r="CP771" i="2"/>
  <c r="CQ771" i="2"/>
  <c r="CR771" i="2"/>
  <c r="CS771" i="2"/>
  <c r="B784" i="2"/>
  <c r="C784" i="2"/>
  <c r="D784" i="2"/>
  <c r="E784" i="2"/>
  <c r="F784" i="2"/>
  <c r="G784" i="2"/>
  <c r="H784" i="2"/>
  <c r="I784" i="2"/>
  <c r="J784" i="2"/>
  <c r="K784" i="2"/>
  <c r="L784" i="2"/>
  <c r="M784" i="2"/>
  <c r="N784" i="2"/>
  <c r="O784" i="2"/>
  <c r="P784" i="2"/>
  <c r="Q784" i="2"/>
  <c r="R784" i="2"/>
  <c r="S784" i="2"/>
  <c r="T784" i="2"/>
  <c r="U784" i="2"/>
  <c r="V784" i="2"/>
  <c r="W784" i="2"/>
  <c r="X784" i="2"/>
  <c r="Y784" i="2"/>
  <c r="Z784" i="2"/>
  <c r="AA784" i="2"/>
  <c r="AB784" i="2"/>
  <c r="AC784" i="2"/>
  <c r="AD784" i="2"/>
  <c r="AE784" i="2"/>
  <c r="AF784" i="2"/>
  <c r="AG784" i="2"/>
  <c r="AH784" i="2"/>
  <c r="AI784" i="2"/>
  <c r="AJ784" i="2"/>
  <c r="AK784" i="2"/>
  <c r="AL784" i="2"/>
  <c r="AM784" i="2"/>
  <c r="AN784" i="2"/>
  <c r="AO784" i="2"/>
  <c r="AP784" i="2"/>
  <c r="AQ784" i="2"/>
  <c r="AR784" i="2"/>
  <c r="AS784" i="2"/>
  <c r="AT784" i="2"/>
  <c r="AU784" i="2"/>
  <c r="AV784" i="2"/>
  <c r="AW784" i="2"/>
  <c r="AX784" i="2"/>
  <c r="AY784" i="2"/>
  <c r="AZ784" i="2"/>
  <c r="BA784" i="2"/>
  <c r="BB784" i="2"/>
  <c r="BC784" i="2"/>
  <c r="BD784" i="2"/>
  <c r="BE784" i="2"/>
  <c r="BF784" i="2"/>
  <c r="BG784" i="2"/>
  <c r="BH784" i="2"/>
  <c r="BI784" i="2"/>
  <c r="BJ784" i="2"/>
  <c r="BK784" i="2"/>
  <c r="BL784" i="2"/>
  <c r="BM784" i="2"/>
  <c r="BN784" i="2"/>
  <c r="BO784" i="2"/>
  <c r="BP784" i="2"/>
  <c r="BQ784" i="2"/>
  <c r="BR784" i="2"/>
  <c r="BS784" i="2"/>
  <c r="BT784" i="2"/>
  <c r="BU784" i="2"/>
  <c r="BV784" i="2"/>
  <c r="BW784" i="2"/>
  <c r="BX784" i="2"/>
  <c r="BY784" i="2"/>
  <c r="BZ784" i="2"/>
  <c r="CA784" i="2"/>
  <c r="CB784" i="2"/>
  <c r="CC784" i="2"/>
  <c r="CD784" i="2"/>
  <c r="CE784" i="2"/>
  <c r="CF784" i="2"/>
  <c r="CG784" i="2"/>
  <c r="CH784" i="2"/>
  <c r="CI784" i="2"/>
  <c r="CJ784" i="2"/>
  <c r="CK784" i="2"/>
  <c r="CL784" i="2"/>
  <c r="CM784" i="2"/>
  <c r="CN784" i="2"/>
  <c r="CO784" i="2"/>
  <c r="CP784" i="2"/>
  <c r="CQ784" i="2"/>
  <c r="CR784" i="2"/>
  <c r="CS784" i="2"/>
  <c r="B791" i="2"/>
  <c r="C791" i="2"/>
  <c r="D791" i="2"/>
  <c r="E791" i="2"/>
  <c r="F791" i="2"/>
  <c r="G791" i="2"/>
  <c r="H791" i="2"/>
  <c r="I791" i="2"/>
  <c r="J791" i="2"/>
  <c r="K791" i="2"/>
  <c r="L791" i="2"/>
  <c r="M791" i="2"/>
  <c r="N791" i="2"/>
  <c r="O791" i="2"/>
  <c r="P791" i="2"/>
  <c r="Q791" i="2"/>
  <c r="R791" i="2"/>
  <c r="S791" i="2"/>
  <c r="T791" i="2"/>
  <c r="U791" i="2"/>
  <c r="V791" i="2"/>
  <c r="W791" i="2"/>
  <c r="X791" i="2"/>
  <c r="Y791" i="2"/>
  <c r="Z791" i="2"/>
  <c r="AA791" i="2"/>
  <c r="AB791" i="2"/>
  <c r="AC791" i="2"/>
  <c r="AD791" i="2"/>
  <c r="AE791" i="2"/>
  <c r="AF791" i="2"/>
  <c r="AG791" i="2"/>
  <c r="AH791" i="2"/>
  <c r="AI791" i="2"/>
  <c r="AJ791" i="2"/>
  <c r="AK791" i="2"/>
  <c r="AL791" i="2"/>
  <c r="AM791" i="2"/>
  <c r="AN791" i="2"/>
  <c r="AO791" i="2"/>
  <c r="AP791" i="2"/>
  <c r="AQ791" i="2"/>
  <c r="AR791" i="2"/>
  <c r="AS791" i="2"/>
  <c r="AT791" i="2"/>
  <c r="AU791" i="2"/>
  <c r="AV791" i="2"/>
  <c r="AW791" i="2"/>
  <c r="AX791" i="2"/>
  <c r="AY791" i="2"/>
  <c r="AZ791" i="2"/>
  <c r="BA791" i="2"/>
  <c r="BB791" i="2"/>
  <c r="BC791" i="2"/>
  <c r="BD791" i="2"/>
  <c r="BE791" i="2"/>
  <c r="BF791" i="2"/>
  <c r="BG791" i="2"/>
  <c r="BH791" i="2"/>
  <c r="BI791" i="2"/>
  <c r="BJ791" i="2"/>
  <c r="BK791" i="2"/>
  <c r="BL791" i="2"/>
  <c r="BM791" i="2"/>
  <c r="BN791" i="2"/>
  <c r="BO791" i="2"/>
  <c r="BP791" i="2"/>
  <c r="BQ791" i="2"/>
  <c r="BR791" i="2"/>
  <c r="BS791" i="2"/>
  <c r="BT791" i="2"/>
  <c r="BU791" i="2"/>
  <c r="BV791" i="2"/>
  <c r="BW791" i="2"/>
  <c r="BX791" i="2"/>
  <c r="BY791" i="2"/>
  <c r="BZ791" i="2"/>
  <c r="CA791" i="2"/>
  <c r="CB791" i="2"/>
  <c r="CC791" i="2"/>
  <c r="CD791" i="2"/>
  <c r="CE791" i="2"/>
  <c r="CF791" i="2"/>
  <c r="CG791" i="2"/>
  <c r="CH791" i="2"/>
  <c r="CI791" i="2"/>
  <c r="CJ791" i="2"/>
  <c r="CK791" i="2"/>
  <c r="CL791" i="2"/>
  <c r="CM791" i="2"/>
  <c r="CN791" i="2"/>
  <c r="CO791" i="2"/>
  <c r="CP791" i="2"/>
  <c r="CQ791" i="2"/>
  <c r="CR791" i="2"/>
  <c r="CS791" i="2"/>
  <c r="EY243" i="18"/>
  <c r="EX243" i="18"/>
  <c r="EW243" i="18"/>
  <c r="EV243" i="18"/>
  <c r="EU243" i="18"/>
  <c r="ET243" i="18"/>
  <c r="ES243" i="18"/>
  <c r="ER243" i="18"/>
  <c r="EQ243" i="18"/>
  <c r="EP243" i="18"/>
  <c r="EO243" i="18"/>
  <c r="EN243" i="18"/>
  <c r="EM243" i="18"/>
  <c r="EL243" i="18"/>
  <c r="EK243" i="18"/>
  <c r="EJ243" i="18"/>
  <c r="EI243" i="18"/>
  <c r="EH243" i="18"/>
  <c r="EG243" i="18"/>
  <c r="EF243" i="18"/>
  <c r="B794" i="2"/>
  <c r="C794" i="2"/>
  <c r="D794" i="2"/>
  <c r="E794" i="2"/>
  <c r="F794" i="2"/>
  <c r="G794" i="2"/>
  <c r="H794" i="2"/>
  <c r="I794" i="2"/>
  <c r="J794" i="2"/>
  <c r="K794" i="2"/>
  <c r="L794" i="2"/>
  <c r="M794" i="2"/>
  <c r="N794" i="2"/>
  <c r="O794" i="2"/>
  <c r="P794" i="2"/>
  <c r="Q794" i="2"/>
  <c r="R794" i="2"/>
  <c r="S794" i="2"/>
  <c r="T794" i="2"/>
  <c r="U794" i="2"/>
  <c r="V794" i="2"/>
  <c r="W794" i="2"/>
  <c r="X794" i="2"/>
  <c r="Y794" i="2"/>
  <c r="Z794" i="2"/>
  <c r="AA794" i="2"/>
  <c r="AB794" i="2"/>
  <c r="AC794" i="2"/>
  <c r="AD794" i="2"/>
  <c r="AE794" i="2"/>
  <c r="AF794" i="2"/>
  <c r="AG794" i="2"/>
  <c r="AH794" i="2"/>
  <c r="AI794" i="2"/>
  <c r="AJ794" i="2"/>
  <c r="AK794" i="2"/>
  <c r="AL794" i="2"/>
  <c r="AM794" i="2"/>
  <c r="AN794" i="2"/>
  <c r="AO794" i="2"/>
  <c r="AP794" i="2"/>
  <c r="AQ794" i="2"/>
  <c r="AR794" i="2"/>
  <c r="AS794" i="2"/>
  <c r="AT794" i="2"/>
  <c r="AU794" i="2"/>
  <c r="AV794" i="2"/>
  <c r="AW794" i="2"/>
  <c r="AX794" i="2"/>
  <c r="AY794" i="2"/>
  <c r="AZ794" i="2"/>
  <c r="BA794" i="2"/>
  <c r="BB794" i="2"/>
  <c r="BC794" i="2"/>
  <c r="BD794" i="2"/>
  <c r="BE794" i="2"/>
  <c r="BF794" i="2"/>
  <c r="BG794" i="2"/>
  <c r="BH794" i="2"/>
  <c r="BI794" i="2"/>
  <c r="BJ794" i="2"/>
  <c r="BK794" i="2"/>
  <c r="BL794" i="2"/>
  <c r="BM794" i="2"/>
  <c r="BN794" i="2"/>
  <c r="BO794" i="2"/>
  <c r="BP794" i="2"/>
  <c r="BQ794" i="2"/>
  <c r="BR794" i="2"/>
  <c r="BS794" i="2"/>
  <c r="BT794" i="2"/>
  <c r="BU794" i="2"/>
  <c r="BV794" i="2"/>
  <c r="BW794" i="2"/>
  <c r="BX794" i="2"/>
  <c r="BY794" i="2"/>
  <c r="BZ794" i="2"/>
  <c r="CA794" i="2"/>
  <c r="CB794" i="2"/>
  <c r="CC794" i="2"/>
  <c r="CD794" i="2"/>
  <c r="CE794" i="2"/>
  <c r="CF794" i="2"/>
  <c r="CG794" i="2"/>
  <c r="CH794" i="2"/>
  <c r="CI794" i="2"/>
  <c r="CJ794" i="2"/>
  <c r="CK794" i="2"/>
  <c r="CL794" i="2"/>
  <c r="CM794" i="2"/>
  <c r="CN794" i="2"/>
  <c r="CO794" i="2"/>
  <c r="CP794" i="2"/>
  <c r="CQ794" i="2"/>
  <c r="CR794" i="2"/>
  <c r="CS794" i="2"/>
  <c r="CH7" i="16" l="1"/>
  <c r="CZ13" i="2"/>
  <c r="CZ14" i="2"/>
  <c r="DA4" i="2"/>
  <c r="EC113" i="12"/>
  <c r="FC66" i="15"/>
  <c r="FA66" i="15"/>
  <c r="EZ37" i="15"/>
  <c r="DS66" i="15"/>
  <c r="EZ66" i="15" s="1"/>
  <c r="DS72" i="15"/>
  <c r="FA37" i="15"/>
  <c r="FJ37" i="15" s="1"/>
  <c r="DV72" i="15"/>
  <c r="FB72" i="15"/>
  <c r="DY91" i="15"/>
  <c r="FJ22" i="15"/>
  <c r="FJ26" i="15"/>
  <c r="FJ46" i="15"/>
  <c r="FA87" i="15"/>
  <c r="EB91" i="15"/>
  <c r="FC72" i="15"/>
  <c r="DY133" i="18"/>
  <c r="FB87" i="15"/>
  <c r="EB133" i="18"/>
  <c r="FC87" i="15"/>
  <c r="DS133" i="18"/>
  <c r="EZ87" i="15"/>
  <c r="FJ66" i="15"/>
  <c r="CZ335" i="2"/>
  <c r="DA336" i="2"/>
  <c r="CZ438" i="2"/>
  <c r="CZ384" i="2"/>
  <c r="DA385" i="2"/>
  <c r="CZ437" i="2"/>
  <c r="DA437" i="2" s="1"/>
  <c r="EJ88" i="13"/>
  <c r="FJ214" i="18"/>
  <c r="DJ14" i="2"/>
  <c r="DJ13" i="2"/>
  <c r="DK4" i="2"/>
  <c r="DB147" i="2"/>
  <c r="DA159" i="2"/>
  <c r="EL108" i="15"/>
  <c r="EH108" i="15"/>
  <c r="EQ108" i="15"/>
  <c r="EN108" i="15"/>
  <c r="EM108" i="15"/>
  <c r="EI108" i="15"/>
  <c r="EP108" i="15"/>
  <c r="EO108" i="15"/>
  <c r="EK108" i="15"/>
  <c r="EG108" i="15"/>
  <c r="EJ108" i="15"/>
  <c r="EF108" i="15"/>
  <c r="BE69" i="23"/>
  <c r="BE85" i="23" s="1"/>
  <c r="AF97" i="23"/>
  <c r="CK146" i="23"/>
  <c r="AV97" i="23"/>
  <c r="CS6" i="23"/>
  <c r="AT97" i="23"/>
  <c r="CO134" i="23"/>
  <c r="CO167" i="23"/>
  <c r="CW433" i="2"/>
  <c r="BF97" i="23"/>
  <c r="BW69" i="23"/>
  <c r="BW85" i="23" s="1"/>
  <c r="AC97" i="23"/>
  <c r="BM97" i="23"/>
  <c r="CK97" i="23"/>
  <c r="FC157" i="18"/>
  <c r="EZ157" i="18"/>
  <c r="EZ176" i="18"/>
  <c r="FA133" i="18"/>
  <c r="FB157" i="18"/>
  <c r="FB176" i="18"/>
  <c r="FA157" i="18"/>
  <c r="FA176" i="18"/>
  <c r="FC176" i="18"/>
  <c r="EZ133" i="18"/>
  <c r="FC133" i="18"/>
  <c r="FB133" i="18"/>
  <c r="CH28" i="21"/>
  <c r="CH14" i="21"/>
  <c r="CG28" i="21"/>
  <c r="CG14" i="21"/>
  <c r="CC69" i="23"/>
  <c r="CC85" i="23" s="1"/>
  <c r="F18" i="21"/>
  <c r="D39" i="20"/>
  <c r="CA53" i="21"/>
  <c r="CB97" i="15" s="1"/>
  <c r="M10" i="23"/>
  <c r="CJ7" i="23"/>
  <c r="BF69" i="23"/>
  <c r="BF85" i="23" s="1"/>
  <c r="BR69" i="23"/>
  <c r="BR85" i="23" s="1"/>
  <c r="BG69" i="23"/>
  <c r="BG85" i="23" s="1"/>
  <c r="BS69" i="23"/>
  <c r="BS85" i="23" s="1"/>
  <c r="W97" i="23"/>
  <c r="AU97" i="23"/>
  <c r="BG97" i="23"/>
  <c r="CE97" i="23"/>
  <c r="R2" i="20"/>
  <c r="S40" i="18" s="1"/>
  <c r="D17" i="20"/>
  <c r="P17" i="20"/>
  <c r="W27" i="20"/>
  <c r="Q45" i="20"/>
  <c r="CK8" i="21"/>
  <c r="BC30" i="21"/>
  <c r="BC40" i="21" s="1"/>
  <c r="AJ53" i="21"/>
  <c r="CC53" i="21"/>
  <c r="CD97" i="15" s="1"/>
  <c r="CN7" i="23"/>
  <c r="CS8" i="23"/>
  <c r="AV69" i="23"/>
  <c r="AV85" i="23" s="1"/>
  <c r="BH69" i="23"/>
  <c r="BH85" i="23" s="1"/>
  <c r="BT69" i="23"/>
  <c r="BT85" i="23" s="1"/>
  <c r="CM73" i="23"/>
  <c r="X97" i="23"/>
  <c r="AJ97" i="23"/>
  <c r="BH97" i="23"/>
  <c r="BT97" i="23"/>
  <c r="CF97" i="23"/>
  <c r="CN146" i="23"/>
  <c r="P39" i="20"/>
  <c r="Q39" i="20"/>
  <c r="AT69" i="23"/>
  <c r="AT85" i="23" s="1"/>
  <c r="CK7" i="23"/>
  <c r="CK10" i="23" s="1"/>
  <c r="CK22" i="23" s="1"/>
  <c r="AU69" i="23"/>
  <c r="AU85" i="23" s="1"/>
  <c r="AI97" i="23"/>
  <c r="BS97" i="23"/>
  <c r="CB30" i="21"/>
  <c r="BE30" i="21"/>
  <c r="CO7" i="23"/>
  <c r="CX9" i="23"/>
  <c r="CC73" i="23"/>
  <c r="BW14" i="21"/>
  <c r="AQ10" i="23"/>
  <c r="T10" i="23"/>
  <c r="BP10" i="23"/>
  <c r="CA10" i="23"/>
  <c r="G10" i="23"/>
  <c r="AF10" i="23"/>
  <c r="BD10" i="23"/>
  <c r="Y17" i="20"/>
  <c r="E27" i="20"/>
  <c r="Q27" i="20"/>
  <c r="Y39" i="20"/>
  <c r="CC14" i="21"/>
  <c r="J18" i="21"/>
  <c r="BA20" i="21"/>
  <c r="BA12" i="21" s="1"/>
  <c r="H10" i="23"/>
  <c r="U10" i="23"/>
  <c r="AG10" i="23"/>
  <c r="AS10" i="23"/>
  <c r="BE10" i="23"/>
  <c r="BQ10" i="23"/>
  <c r="BQ22" i="23" s="1"/>
  <c r="CC10" i="23"/>
  <c r="CG73" i="23"/>
  <c r="CG69" i="23" s="1"/>
  <c r="CG85" i="23" s="1"/>
  <c r="AO97" i="23"/>
  <c r="BY97" i="23"/>
  <c r="CJ142" i="23"/>
  <c r="BC10" i="23"/>
  <c r="BX14" i="21"/>
  <c r="AR10" i="23"/>
  <c r="CB10" i="23"/>
  <c r="BE14" i="21"/>
  <c r="CE14" i="21"/>
  <c r="BB20" i="21"/>
  <c r="BB12" i="21" s="1"/>
  <c r="CH69" i="23"/>
  <c r="CH85" i="23" s="1"/>
  <c r="BV14" i="21"/>
  <c r="AE10" i="23"/>
  <c r="G27" i="20"/>
  <c r="T27" i="20"/>
  <c r="M39" i="20"/>
  <c r="F20" i="21"/>
  <c r="F40" i="21" s="1"/>
  <c r="BM20" i="21"/>
  <c r="BM12" i="21" s="1"/>
  <c r="AQ69" i="23"/>
  <c r="AQ85" i="23" s="1"/>
  <c r="BC69" i="23"/>
  <c r="BC85" i="23" s="1"/>
  <c r="BO69" i="23"/>
  <c r="BO85" i="23" s="1"/>
  <c r="CA69" i="23"/>
  <c r="CA85" i="23" s="1"/>
  <c r="AG97" i="23"/>
  <c r="AS97" i="23"/>
  <c r="BE97" i="23"/>
  <c r="BQ97" i="23"/>
  <c r="CC97" i="23"/>
  <c r="CO97" i="23"/>
  <c r="BO10" i="23"/>
  <c r="AP20" i="21"/>
  <c r="AP12" i="21" s="1"/>
  <c r="V14" i="20"/>
  <c r="H27" i="20"/>
  <c r="E18" i="21"/>
  <c r="BJ14" i="21"/>
  <c r="Q20" i="21"/>
  <c r="Q25" i="21" s="1"/>
  <c r="BS20" i="21"/>
  <c r="BS12" i="21" s="1"/>
  <c r="AR53" i="21"/>
  <c r="CK53" i="21"/>
  <c r="CL97" i="15" s="1"/>
  <c r="CN69" i="23"/>
  <c r="CN85" i="23" s="1"/>
  <c r="BY69" i="23"/>
  <c r="BY85" i="23" s="1"/>
  <c r="CJ73" i="23"/>
  <c r="CJ69" i="23" s="1"/>
  <c r="CJ85" i="23" s="1"/>
  <c r="CI73" i="23"/>
  <c r="CI28" i="21"/>
  <c r="CI14" i="21"/>
  <c r="CD28" i="21"/>
  <c r="CD14" i="21"/>
  <c r="CE26" i="21" s="1"/>
  <c r="AO14" i="21"/>
  <c r="AO18" i="21" s="1"/>
  <c r="AQ20" i="21"/>
  <c r="AQ12" i="21" s="1"/>
  <c r="G18" i="21"/>
  <c r="V27" i="20"/>
  <c r="I39" i="20"/>
  <c r="U39" i="20"/>
  <c r="BZ8" i="21"/>
  <c r="H18" i="21"/>
  <c r="AX53" i="21"/>
  <c r="O105" i="23"/>
  <c r="O97" i="23" s="1"/>
  <c r="Y97" i="23"/>
  <c r="AK97" i="23"/>
  <c r="AW97" i="23"/>
  <c r="BI97" i="23"/>
  <c r="BU97" i="23"/>
  <c r="CG97" i="23"/>
  <c r="J39" i="20"/>
  <c r="V39" i="20"/>
  <c r="BM14" i="21"/>
  <c r="BM18" i="21" s="1"/>
  <c r="I18" i="21"/>
  <c r="BC20" i="21"/>
  <c r="BC12" i="21" s="1"/>
  <c r="CA30" i="21"/>
  <c r="BW38" i="21"/>
  <c r="W48" i="21"/>
  <c r="CM7" i="23"/>
  <c r="CE69" i="23"/>
  <c r="CE85" i="23" s="1"/>
  <c r="Z97" i="23"/>
  <c r="AL97" i="23"/>
  <c r="AX97" i="23"/>
  <c r="BJ97" i="23"/>
  <c r="BV97" i="23"/>
  <c r="CH97" i="23"/>
  <c r="AN97" i="23"/>
  <c r="BX97" i="23"/>
  <c r="CF69" i="23"/>
  <c r="CF85" i="23" s="1"/>
  <c r="U27" i="20"/>
  <c r="L39" i="20"/>
  <c r="CC8" i="21"/>
  <c r="BA14" i="21"/>
  <c r="BR20" i="21"/>
  <c r="BR12" i="21" s="1"/>
  <c r="BA38" i="21"/>
  <c r="CD53" i="21"/>
  <c r="CE97" i="15" s="1"/>
  <c r="V2" i="20"/>
  <c r="W40" i="18" s="1"/>
  <c r="S12" i="20"/>
  <c r="W14" i="20"/>
  <c r="W17" i="20" s="1"/>
  <c r="I27" i="20"/>
  <c r="BB14" i="21"/>
  <c r="BB26" i="21" s="1"/>
  <c r="R9" i="23"/>
  <c r="BK18" i="23"/>
  <c r="BW18" i="23"/>
  <c r="CI18" i="23"/>
  <c r="CM142" i="23"/>
  <c r="CM69" i="23"/>
  <c r="CM85" i="23" s="1"/>
  <c r="CR7" i="23"/>
  <c r="CK142" i="23"/>
  <c r="R12" i="20"/>
  <c r="V17" i="20"/>
  <c r="BO14" i="21"/>
  <c r="BO18" i="21" s="1"/>
  <c r="U17" i="20"/>
  <c r="J27" i="20"/>
  <c r="B39" i="20"/>
  <c r="N39" i="20"/>
  <c r="AB14" i="21"/>
  <c r="BR14" i="21"/>
  <c r="BR18" i="21" s="1"/>
  <c r="BU20" i="21"/>
  <c r="BU12" i="21" s="1"/>
  <c r="AI30" i="21"/>
  <c r="I10" i="23"/>
  <c r="S9" i="23"/>
  <c r="BL18" i="23"/>
  <c r="BX18" i="23"/>
  <c r="CJ18" i="23"/>
  <c r="AM69" i="23"/>
  <c r="AM85" i="23" s="1"/>
  <c r="AY69" i="23"/>
  <c r="AY85" i="23" s="1"/>
  <c r="BK69" i="23"/>
  <c r="BK85" i="23" s="1"/>
  <c r="AI69" i="23"/>
  <c r="AI85" i="23" s="1"/>
  <c r="AD97" i="23"/>
  <c r="AP97" i="23"/>
  <c r="BB97" i="23"/>
  <c r="BN97" i="23"/>
  <c r="BZ97" i="23"/>
  <c r="CL97" i="23"/>
  <c r="CN97" i="23"/>
  <c r="CN142" i="23"/>
  <c r="CI10" i="21"/>
  <c r="CI20" i="21" s="1"/>
  <c r="CL134" i="23"/>
  <c r="Q14" i="21"/>
  <c r="BN14" i="21"/>
  <c r="BN18" i="21" s="1"/>
  <c r="S10" i="23"/>
  <c r="R14" i="21"/>
  <c r="BM38" i="21"/>
  <c r="U12" i="20"/>
  <c r="C17" i="20"/>
  <c r="O17" i="20"/>
  <c r="K27" i="20"/>
  <c r="Y27" i="20"/>
  <c r="B18" i="21"/>
  <c r="AC14" i="21"/>
  <c r="AC18" i="21" s="1"/>
  <c r="BF14" i="21"/>
  <c r="BF26" i="21" s="1"/>
  <c r="BS14" i="21"/>
  <c r="BS18" i="21" s="1"/>
  <c r="E20" i="21"/>
  <c r="AL20" i="21"/>
  <c r="AL12" i="21" s="1"/>
  <c r="BV20" i="21"/>
  <c r="BV12" i="21" s="1"/>
  <c r="CF30" i="21"/>
  <c r="CG53" i="21"/>
  <c r="CH97" i="15" s="1"/>
  <c r="W10" i="23"/>
  <c r="AI10" i="23"/>
  <c r="AU10" i="23"/>
  <c r="BG10" i="23"/>
  <c r="BS10" i="23"/>
  <c r="CE10" i="23"/>
  <c r="CQ5" i="23"/>
  <c r="CQ10" i="23" s="1"/>
  <c r="CR9" i="23"/>
  <c r="AN69" i="23"/>
  <c r="AN85" i="23" s="1"/>
  <c r="AZ69" i="23"/>
  <c r="AZ85" i="23" s="1"/>
  <c r="BL69" i="23"/>
  <c r="BL85" i="23" s="1"/>
  <c r="BX69" i="23"/>
  <c r="BX85" i="23" s="1"/>
  <c r="BV69" i="23"/>
  <c r="BV85" i="23" s="1"/>
  <c r="AE97" i="23"/>
  <c r="AQ97" i="23"/>
  <c r="BC97" i="23"/>
  <c r="BO97" i="23"/>
  <c r="CA97" i="23"/>
  <c r="CM97" i="23"/>
  <c r="CM167" i="23"/>
  <c r="K10" i="23"/>
  <c r="CY6" i="23"/>
  <c r="CU7" i="23"/>
  <c r="CY7" i="23" s="1"/>
  <c r="CB73" i="23"/>
  <c r="CB69" i="23" s="1"/>
  <c r="CB85" i="23" s="1"/>
  <c r="CO146" i="23"/>
  <c r="CN167" i="23"/>
  <c r="AP14" i="21"/>
  <c r="AQ26" i="21" s="1"/>
  <c r="K39" i="20"/>
  <c r="X48" i="21"/>
  <c r="CM10" i="23"/>
  <c r="L27" i="20"/>
  <c r="AD14" i="21"/>
  <c r="AD18" i="21" s="1"/>
  <c r="BG14" i="21"/>
  <c r="BG18" i="21" s="1"/>
  <c r="BT18" i="21"/>
  <c r="E17" i="20"/>
  <c r="Q17" i="20"/>
  <c r="X17" i="20"/>
  <c r="M27" i="20"/>
  <c r="E39" i="20"/>
  <c r="AJ14" i="21"/>
  <c r="BH14" i="21"/>
  <c r="BI26" i="21" s="1"/>
  <c r="G20" i="21"/>
  <c r="G38" i="21" s="1"/>
  <c r="AO20" i="21"/>
  <c r="AO12" i="21" s="1"/>
  <c r="BY20" i="21"/>
  <c r="BY12" i="21" s="1"/>
  <c r="Y10" i="23"/>
  <c r="AK10" i="23"/>
  <c r="AW10" i="23"/>
  <c r="BI10" i="23"/>
  <c r="BU10" i="23"/>
  <c r="CG10" i="23"/>
  <c r="CD73" i="23"/>
  <c r="CD69" i="23" s="1"/>
  <c r="CD85" i="23" s="1"/>
  <c r="CJ146" i="23"/>
  <c r="AB61" i="21"/>
  <c r="AC97" i="15"/>
  <c r="AR97" i="15"/>
  <c r="Y52" i="18"/>
  <c r="Y40" i="18"/>
  <c r="S2" i="20"/>
  <c r="T60" i="18"/>
  <c r="AG97" i="15"/>
  <c r="AS97" i="15"/>
  <c r="AJ97" i="15"/>
  <c r="AY97" i="15"/>
  <c r="AE61" i="21"/>
  <c r="AF97" i="15"/>
  <c r="U60" i="18"/>
  <c r="T2" i="20"/>
  <c r="T4" i="20" s="1"/>
  <c r="CK28" i="21"/>
  <c r="CK14" i="21"/>
  <c r="CK18" i="21" s="1"/>
  <c r="AK97" i="15"/>
  <c r="BZ28" i="21"/>
  <c r="BZ14" i="21"/>
  <c r="AO97" i="15"/>
  <c r="CJ28" i="21"/>
  <c r="CJ14" i="21"/>
  <c r="CJ26" i="21" s="1"/>
  <c r="S97" i="15"/>
  <c r="AE14" i="21"/>
  <c r="AA48" i="21"/>
  <c r="AH14" i="21"/>
  <c r="M20" i="21"/>
  <c r="H17" i="20"/>
  <c r="T17" i="20"/>
  <c r="V60" i="18"/>
  <c r="CD8" i="21"/>
  <c r="AX43" i="21"/>
  <c r="V14" i="21"/>
  <c r="AI14" i="21"/>
  <c r="AJ26" i="21" s="1"/>
  <c r="BV18" i="21"/>
  <c r="N20" i="21"/>
  <c r="N48" i="21" s="1"/>
  <c r="AT20" i="21"/>
  <c r="AT12" i="21" s="1"/>
  <c r="BJ20" i="21"/>
  <c r="BJ12" i="21" s="1"/>
  <c r="CG30" i="21"/>
  <c r="AC61" i="21"/>
  <c r="K97" i="15"/>
  <c r="V61" i="21"/>
  <c r="W97" i="15"/>
  <c r="AI97" i="15"/>
  <c r="AU97" i="15"/>
  <c r="AD97" i="15"/>
  <c r="AT97" i="15"/>
  <c r="BQ18" i="21"/>
  <c r="BX38" i="21"/>
  <c r="AM61" i="21"/>
  <c r="AD61" i="21"/>
  <c r="AE97" i="15"/>
  <c r="J20" i="21"/>
  <c r="J61" i="21" s="1"/>
  <c r="F17" i="20"/>
  <c r="BU18" i="21"/>
  <c r="R40" i="18"/>
  <c r="CE8" i="21"/>
  <c r="AM48" i="21"/>
  <c r="BW48" i="21"/>
  <c r="W14" i="21"/>
  <c r="W18" i="21" s="1"/>
  <c r="BW18" i="21"/>
  <c r="O20" i="21"/>
  <c r="O48" i="21" s="1"/>
  <c r="AU20" i="21"/>
  <c r="AU12" i="21" s="1"/>
  <c r="BK20" i="21"/>
  <c r="BK12" i="21" s="1"/>
  <c r="W61" i="21"/>
  <c r="CI53" i="21"/>
  <c r="CJ97" i="15" s="1"/>
  <c r="BW67" i="21"/>
  <c r="AV97" i="15"/>
  <c r="AA97" i="23"/>
  <c r="AM97" i="23"/>
  <c r="AY97" i="23"/>
  <c r="BK97" i="23"/>
  <c r="BW97" i="23"/>
  <c r="CI97" i="23"/>
  <c r="AN97" i="15"/>
  <c r="BE20" i="21"/>
  <c r="BE12" i="21" s="1"/>
  <c r="CC30" i="21"/>
  <c r="BS48" i="21"/>
  <c r="AO61" i="21"/>
  <c r="BS67" i="21"/>
  <c r="Z4" i="20"/>
  <c r="K20" i="21"/>
  <c r="K48" i="21" s="1"/>
  <c r="T61" i="21"/>
  <c r="S17" i="20"/>
  <c r="CI26" i="21"/>
  <c r="AS20" i="21"/>
  <c r="AS12" i="21" s="1"/>
  <c r="CF53" i="21"/>
  <c r="CG97" i="15" s="1"/>
  <c r="Y2" i="20"/>
  <c r="Y4" i="20" s="1"/>
  <c r="I17" i="20"/>
  <c r="Z2" i="20"/>
  <c r="CF28" i="21"/>
  <c r="CF14" i="21"/>
  <c r="CF26" i="21" s="1"/>
  <c r="AK14" i="21"/>
  <c r="AK18" i="21" s="1"/>
  <c r="BK18" i="21"/>
  <c r="AG20" i="21"/>
  <c r="AG12" i="21" s="1"/>
  <c r="AW20" i="21"/>
  <c r="AW12" i="21" s="1"/>
  <c r="CI30" i="21"/>
  <c r="BS38" i="21"/>
  <c r="AW97" i="15"/>
  <c r="X61" i="21"/>
  <c r="CJ53" i="21"/>
  <c r="CK97" i="15" s="1"/>
  <c r="CH53" i="21"/>
  <c r="CI97" i="15" s="1"/>
  <c r="BX67" i="21"/>
  <c r="CI69" i="23"/>
  <c r="CI85" i="23" s="1"/>
  <c r="BK38" i="21"/>
  <c r="X4" i="20"/>
  <c r="Y60" i="18"/>
  <c r="V12" i="20"/>
  <c r="AQ14" i="21"/>
  <c r="I20" i="21"/>
  <c r="I48" i="21" s="1"/>
  <c r="U2" i="20"/>
  <c r="X12" i="20"/>
  <c r="R17" i="20"/>
  <c r="AG14" i="21"/>
  <c r="AG18" i="21" s="1"/>
  <c r="AA61" i="21"/>
  <c r="AA2" i="20"/>
  <c r="AA4" i="20" s="1"/>
  <c r="K17" i="20"/>
  <c r="D27" i="20"/>
  <c r="P27" i="20"/>
  <c r="F39" i="20"/>
  <c r="R39" i="20"/>
  <c r="W52" i="18"/>
  <c r="Z60" i="18"/>
  <c r="CG8" i="21"/>
  <c r="AO48" i="21"/>
  <c r="BA48" i="21"/>
  <c r="BM48" i="21"/>
  <c r="BY48" i="21"/>
  <c r="Y14" i="21"/>
  <c r="AL14" i="21"/>
  <c r="AY14" i="21"/>
  <c r="AZ26" i="21" s="1"/>
  <c r="BY14" i="21"/>
  <c r="BY18" i="21" s="1"/>
  <c r="B20" i="21"/>
  <c r="B61" i="21" s="1"/>
  <c r="R20" i="21"/>
  <c r="R61" i="21" s="1"/>
  <c r="AH20" i="21"/>
  <c r="AH61" i="21" s="1"/>
  <c r="AX20" i="21"/>
  <c r="AX12" i="21" s="1"/>
  <c r="BN20" i="21"/>
  <c r="BN12" i="21" s="1"/>
  <c r="CJ30" i="21"/>
  <c r="T48" i="21"/>
  <c r="AG61" i="21"/>
  <c r="BM67" i="21"/>
  <c r="BY67" i="21"/>
  <c r="AH97" i="15"/>
  <c r="C10" i="23"/>
  <c r="O5" i="23"/>
  <c r="O10" i="23" s="1"/>
  <c r="AA10" i="23"/>
  <c r="AM10" i="23"/>
  <c r="AY10" i="23"/>
  <c r="BK10" i="23"/>
  <c r="BW10" i="23"/>
  <c r="CI10" i="23"/>
  <c r="CW10" i="23"/>
  <c r="CY8" i="23"/>
  <c r="BP18" i="23"/>
  <c r="CB18" i="23"/>
  <c r="CN18" i="23"/>
  <c r="BE48" i="21"/>
  <c r="G97" i="15"/>
  <c r="CA8" i="21"/>
  <c r="BF20" i="21"/>
  <c r="BF12" i="21" s="1"/>
  <c r="AP97" i="15"/>
  <c r="S14" i="21"/>
  <c r="T26" i="21" s="1"/>
  <c r="V4" i="20"/>
  <c r="G17" i="20"/>
  <c r="R52" i="18"/>
  <c r="AK48" i="21"/>
  <c r="L17" i="20"/>
  <c r="AA60" i="18"/>
  <c r="CH8" i="21"/>
  <c r="AP48" i="21"/>
  <c r="BB48" i="21"/>
  <c r="Z14" i="21"/>
  <c r="Z26" i="21" s="1"/>
  <c r="AM14" i="21"/>
  <c r="AN26" i="21" s="1"/>
  <c r="C20" i="21"/>
  <c r="C40" i="21" s="1"/>
  <c r="S20" i="21"/>
  <c r="S48" i="21" s="1"/>
  <c r="AI20" i="21"/>
  <c r="AI61" i="21" s="1"/>
  <c r="AY20" i="21"/>
  <c r="AY12" i="21" s="1"/>
  <c r="BO20" i="21"/>
  <c r="BO12" i="21" s="1"/>
  <c r="CK30" i="21"/>
  <c r="U48" i="21"/>
  <c r="C97" i="15"/>
  <c r="O97" i="15"/>
  <c r="Z61" i="21"/>
  <c r="AA97" i="15"/>
  <c r="AL61" i="21"/>
  <c r="AM97" i="15"/>
  <c r="T97" i="15"/>
  <c r="D10" i="23"/>
  <c r="P10" i="23"/>
  <c r="AB10" i="23"/>
  <c r="AN10" i="23"/>
  <c r="AZ10" i="23"/>
  <c r="BL10" i="23"/>
  <c r="BX10" i="23"/>
  <c r="CJ10" i="23"/>
  <c r="BQ18" i="23"/>
  <c r="CC18" i="23"/>
  <c r="CO18" i="23"/>
  <c r="BP67" i="21"/>
  <c r="BC14" i="21"/>
  <c r="Y48" i="21"/>
  <c r="AP61" i="21"/>
  <c r="AQ97" i="15"/>
  <c r="W12" i="20"/>
  <c r="Y61" i="21"/>
  <c r="Z97" i="15"/>
  <c r="CH26" i="21"/>
  <c r="BG20" i="21"/>
  <c r="BG12" i="21" s="1"/>
  <c r="CE30" i="21"/>
  <c r="AB97" i="15"/>
  <c r="CL44" i="23"/>
  <c r="CL7" i="23"/>
  <c r="CL10" i="23" s="1"/>
  <c r="W2" i="20"/>
  <c r="BU48" i="21"/>
  <c r="U14" i="21"/>
  <c r="BI20" i="21"/>
  <c r="BI12" i="21" s="1"/>
  <c r="S27" i="20"/>
  <c r="R27" i="20"/>
  <c r="H39" i="20"/>
  <c r="T39" i="20"/>
  <c r="AB60" i="18"/>
  <c r="CI8" i="21"/>
  <c r="AQ48" i="21"/>
  <c r="BC48" i="21"/>
  <c r="AA14" i="21"/>
  <c r="CA14" i="21"/>
  <c r="AK20" i="21"/>
  <c r="AK61" i="21" s="1"/>
  <c r="BQ20" i="21"/>
  <c r="BQ12" i="21" s="1"/>
  <c r="C61" i="21"/>
  <c r="E97" i="15"/>
  <c r="U97" i="15"/>
  <c r="E10" i="23"/>
  <c r="Q10" i="23"/>
  <c r="AC10" i="23"/>
  <c r="AO10" i="23"/>
  <c r="BA10" i="23"/>
  <c r="BM10" i="23"/>
  <c r="BY10" i="23"/>
  <c r="AP69" i="23"/>
  <c r="AP85" i="23" s="1"/>
  <c r="BB69" i="23"/>
  <c r="BB85" i="23" s="1"/>
  <c r="BN69" i="23"/>
  <c r="BN85" i="23" s="1"/>
  <c r="BZ69" i="23"/>
  <c r="BZ85" i="23" s="1"/>
  <c r="CL69" i="23"/>
  <c r="CL85" i="23" s="1"/>
  <c r="CS9" i="23"/>
  <c r="BM18" i="23"/>
  <c r="BY18" i="23"/>
  <c r="CK18" i="23"/>
  <c r="FH217" i="18"/>
  <c r="FI218" i="18"/>
  <c r="FH220" i="18"/>
  <c r="FF221" i="18"/>
  <c r="FG222" i="18"/>
  <c r="FH223" i="18"/>
  <c r="FI224" i="18"/>
  <c r="FG225" i="18"/>
  <c r="FE226" i="18"/>
  <c r="FH226" i="18"/>
  <c r="FH229" i="18"/>
  <c r="W39" i="20"/>
  <c r="CF8" i="21"/>
  <c r="D20" i="21"/>
  <c r="D48" i="21" s="1"/>
  <c r="P20" i="21"/>
  <c r="P48" i="21" s="1"/>
  <c r="AN20" i="21"/>
  <c r="AN12" i="21" s="1"/>
  <c r="AZ20" i="21"/>
  <c r="AZ61" i="21" s="1"/>
  <c r="BL20" i="21"/>
  <c r="BL12" i="21" s="1"/>
  <c r="BX20" i="21"/>
  <c r="BX12" i="21" s="1"/>
  <c r="CD30" i="21"/>
  <c r="BB38" i="21"/>
  <c r="Z48" i="21"/>
  <c r="U61" i="21"/>
  <c r="F10" i="23"/>
  <c r="R10" i="23"/>
  <c r="AD10" i="23"/>
  <c r="AP10" i="23"/>
  <c r="BB10" i="23"/>
  <c r="BN10" i="23"/>
  <c r="BZ10" i="23"/>
  <c r="CH7" i="23"/>
  <c r="CX8" i="23"/>
  <c r="BN18" i="23"/>
  <c r="BZ18" i="23"/>
  <c r="CL18" i="23"/>
  <c r="CL142" i="23"/>
  <c r="BO18" i="23"/>
  <c r="CA18" i="23"/>
  <c r="CA22" i="23" s="1"/>
  <c r="CM18" i="23"/>
  <c r="CO142" i="23"/>
  <c r="J17" i="20"/>
  <c r="B27" i="20"/>
  <c r="N27" i="20"/>
  <c r="C39" i="20"/>
  <c r="O39" i="20"/>
  <c r="CJ8" i="21"/>
  <c r="BD48" i="21"/>
  <c r="BP48" i="21"/>
  <c r="D18" i="21"/>
  <c r="BL18" i="21"/>
  <c r="BX18" i="21"/>
  <c r="H20" i="21"/>
  <c r="H61" i="21" s="1"/>
  <c r="AF20" i="21"/>
  <c r="AF48" i="21" s="1"/>
  <c r="AR20" i="21"/>
  <c r="AR61" i="21" s="1"/>
  <c r="BD20" i="21"/>
  <c r="BD12" i="21" s="1"/>
  <c r="BP20" i="21"/>
  <c r="BP12" i="21" s="1"/>
  <c r="CH30" i="21"/>
  <c r="J10" i="23"/>
  <c r="V10" i="23"/>
  <c r="AH10" i="23"/>
  <c r="AT10" i="23"/>
  <c r="BF10" i="23"/>
  <c r="BR10" i="23"/>
  <c r="CD10" i="23"/>
  <c r="CP10" i="23"/>
  <c r="CR6" i="23"/>
  <c r="BR18" i="23"/>
  <c r="CD18" i="23"/>
  <c r="CJ134" i="23"/>
  <c r="BS18" i="23"/>
  <c r="BS22" i="23" s="1"/>
  <c r="CE18" i="23"/>
  <c r="D85" i="23"/>
  <c r="CK134" i="23"/>
  <c r="L10" i="23"/>
  <c r="X10" i="23"/>
  <c r="AJ10" i="23"/>
  <c r="AV10" i="23"/>
  <c r="BH10" i="23"/>
  <c r="BT10" i="23"/>
  <c r="CF10" i="23"/>
  <c r="BH18" i="23"/>
  <c r="BT18" i="23"/>
  <c r="CF18" i="23"/>
  <c r="FH225" i="18"/>
  <c r="FF226" i="18"/>
  <c r="FI226" i="18"/>
  <c r="CS7" i="23"/>
  <c r="BI18" i="23"/>
  <c r="BU18" i="23"/>
  <c r="BU22" i="23" s="1"/>
  <c r="CG18" i="23"/>
  <c r="CM134" i="23"/>
  <c r="CJ167" i="23"/>
  <c r="FG215" i="18"/>
  <c r="FE218" i="18"/>
  <c r="T12" i="20"/>
  <c r="B17" i="20"/>
  <c r="N17" i="20"/>
  <c r="F27" i="20"/>
  <c r="G39" i="20"/>
  <c r="S39" i="20"/>
  <c r="CB8" i="21"/>
  <c r="AJ48" i="21"/>
  <c r="BH48" i="21"/>
  <c r="BT48" i="21"/>
  <c r="T14" i="21"/>
  <c r="T18" i="21" s="1"/>
  <c r="AF14" i="21"/>
  <c r="AF26" i="21" s="1"/>
  <c r="AR14" i="21"/>
  <c r="AS26" i="21" s="1"/>
  <c r="BD14" i="21"/>
  <c r="BE26" i="21" s="1"/>
  <c r="BP14" i="21"/>
  <c r="BP18" i="21" s="1"/>
  <c r="CB14" i="21"/>
  <c r="CB18" i="21" s="1"/>
  <c r="L20" i="21"/>
  <c r="L48" i="21" s="1"/>
  <c r="AJ20" i="21"/>
  <c r="AJ67" i="21" s="1"/>
  <c r="AV20" i="21"/>
  <c r="AV12" i="21" s="1"/>
  <c r="BH20" i="21"/>
  <c r="BH12" i="21" s="1"/>
  <c r="BT20" i="21"/>
  <c r="BT12" i="21" s="1"/>
  <c r="BZ30" i="21"/>
  <c r="AB38" i="21"/>
  <c r="BV38" i="21"/>
  <c r="J48" i="21"/>
  <c r="V48" i="21"/>
  <c r="B10" i="23"/>
  <c r="N10" i="23"/>
  <c r="Z10" i="23"/>
  <c r="AL10" i="23"/>
  <c r="AX10" i="23"/>
  <c r="BJ10" i="23"/>
  <c r="BV10" i="23"/>
  <c r="CH10" i="23"/>
  <c r="CV10" i="23"/>
  <c r="CX6" i="23"/>
  <c r="CR8" i="23"/>
  <c r="BJ18" i="23"/>
  <c r="BV18" i="23"/>
  <c r="CH18" i="23"/>
  <c r="N105" i="23"/>
  <c r="N97" i="23" s="1"/>
  <c r="CN134" i="23"/>
  <c r="ET120" i="7"/>
  <c r="CW78" i="12"/>
  <c r="ES120" i="7"/>
  <c r="CT78" i="12"/>
  <c r="ER120" i="7"/>
  <c r="CO78" i="12"/>
  <c r="FA20" i="7"/>
  <c r="FE237" i="18"/>
  <c r="FH237" i="18"/>
  <c r="FF219" i="18"/>
  <c r="FG220" i="18"/>
  <c r="FE221" i="18"/>
  <c r="FH221" i="18"/>
  <c r="FF222" i="18"/>
  <c r="FI222" i="18"/>
  <c r="FG223" i="18"/>
  <c r="FF225" i="18"/>
  <c r="FI225" i="18"/>
  <c r="FG226" i="18"/>
  <c r="FF243" i="18"/>
  <c r="FI243" i="18"/>
  <c r="EM214" i="18"/>
  <c r="EN214" i="18"/>
  <c r="FE243" i="18"/>
  <c r="EL214" i="18"/>
  <c r="EH214" i="18"/>
  <c r="EI214" i="18"/>
  <c r="FG237" i="18"/>
  <c r="EQ214" i="18"/>
  <c r="EK214" i="18"/>
  <c r="EG214" i="18"/>
  <c r="FH243" i="18"/>
  <c r="EO214" i="18"/>
  <c r="FG243" i="18"/>
  <c r="EF214" i="18"/>
  <c r="CL756" i="2"/>
  <c r="EJ214" i="18"/>
  <c r="FF237" i="18"/>
  <c r="FI237" i="18"/>
  <c r="EP214" i="18"/>
  <c r="FF217" i="18"/>
  <c r="FG218" i="18"/>
  <c r="FH219" i="18"/>
  <c r="FI220" i="18"/>
  <c r="FE222" i="18"/>
  <c r="FH222" i="18"/>
  <c r="FF223" i="18"/>
  <c r="FI223" i="18"/>
  <c r="FE225" i="18"/>
  <c r="FF229" i="18"/>
  <c r="FA46" i="7"/>
  <c r="FA17" i="7"/>
  <c r="FA5" i="7"/>
  <c r="FA13" i="7"/>
  <c r="FA29" i="7"/>
  <c r="FA90" i="7"/>
  <c r="FA30" i="7"/>
  <c r="FB94" i="3"/>
  <c r="FB97" i="3"/>
  <c r="FA71" i="7"/>
  <c r="EQ120" i="7"/>
  <c r="FD77" i="3"/>
  <c r="FD94" i="3"/>
  <c r="FD97" i="3"/>
  <c r="FB77" i="3"/>
  <c r="FC94" i="3"/>
  <c r="FC97" i="3"/>
  <c r="FC77" i="3"/>
  <c r="FA94" i="3"/>
  <c r="FA97" i="3"/>
  <c r="FA77" i="3"/>
  <c r="EN68" i="18"/>
  <c r="EJ68" i="18"/>
  <c r="EQ68" i="18"/>
  <c r="EI68" i="18"/>
  <c r="EL68" i="18"/>
  <c r="EM68" i="18"/>
  <c r="EO68" i="18"/>
  <c r="EK68" i="18"/>
  <c r="EP68" i="18"/>
  <c r="CE756" i="2"/>
  <c r="CB756" i="2"/>
  <c r="BV756" i="2"/>
  <c r="BK59" i="18"/>
  <c r="EF68" i="18"/>
  <c r="BN59" i="18"/>
  <c r="EG68" i="18"/>
  <c r="BQ59" i="18"/>
  <c r="EH68" i="18"/>
  <c r="CY5" i="23"/>
  <c r="CU10" i="23"/>
  <c r="CT10" i="23"/>
  <c r="CX5" i="23"/>
  <c r="CO10" i="23"/>
  <c r="CN10" i="23"/>
  <c r="CR5" i="23"/>
  <c r="CJ125" i="23"/>
  <c r="CL125" i="23" s="1"/>
  <c r="CN125" i="23" s="1"/>
  <c r="CL1" i="23"/>
  <c r="CN1" i="23" s="1"/>
  <c r="BZ97" i="15"/>
  <c r="BY97" i="15"/>
  <c r="BX61" i="21"/>
  <c r="BX97" i="15"/>
  <c r="BW61" i="21"/>
  <c r="BW97" i="15"/>
  <c r="BV97" i="15"/>
  <c r="BU61" i="21"/>
  <c r="BU97" i="15"/>
  <c r="BT97" i="15"/>
  <c r="BS61" i="21"/>
  <c r="BS97" i="15"/>
  <c r="BR97" i="15"/>
  <c r="BQ97" i="15"/>
  <c r="BP61" i="21"/>
  <c r="BP97" i="15"/>
  <c r="BO97" i="15"/>
  <c r="BN61" i="21"/>
  <c r="BN97" i="15"/>
  <c r="BM61" i="21"/>
  <c r="BM97" i="15"/>
  <c r="BL97" i="15"/>
  <c r="BK97" i="15"/>
  <c r="BJ97" i="15"/>
  <c r="BI97" i="15"/>
  <c r="BH97" i="15"/>
  <c r="BG61" i="21"/>
  <c r="BG97" i="15"/>
  <c r="BF97" i="15"/>
  <c r="BE97" i="15"/>
  <c r="BD97" i="15"/>
  <c r="BC61" i="21"/>
  <c r="BC97" i="15"/>
  <c r="BB61" i="21"/>
  <c r="BB97" i="15"/>
  <c r="BA61" i="21"/>
  <c r="BA97" i="15"/>
  <c r="AZ97" i="15"/>
  <c r="AY61" i="21"/>
  <c r="CU59" i="18"/>
  <c r="CU748" i="2"/>
  <c r="CV68" i="18" s="1"/>
  <c r="CU51" i="18"/>
  <c r="BY40" i="21"/>
  <c r="BY25" i="21"/>
  <c r="BX40" i="21"/>
  <c r="BW40" i="21"/>
  <c r="BS40" i="21"/>
  <c r="BS25" i="21"/>
  <c r="BR25" i="21"/>
  <c r="BN40" i="21"/>
  <c r="BM40" i="21"/>
  <c r="BH25" i="21"/>
  <c r="BG67" i="21"/>
  <c r="BE67" i="21"/>
  <c r="BD67" i="21"/>
  <c r="BC67" i="21"/>
  <c r="BC25" i="21"/>
  <c r="BB67" i="21"/>
  <c r="BB40" i="21"/>
  <c r="BB25" i="21"/>
  <c r="BA67" i="21"/>
  <c r="BA40" i="21"/>
  <c r="AY67" i="21"/>
  <c r="AY40" i="21"/>
  <c r="AQ40" i="21"/>
  <c r="AP67" i="21"/>
  <c r="AP40" i="21"/>
  <c r="AP38" i="21"/>
  <c r="AP25" i="21"/>
  <c r="AO67" i="21"/>
  <c r="AO40" i="21"/>
  <c r="AO38" i="21"/>
  <c r="AM67" i="21"/>
  <c r="AM38" i="21"/>
  <c r="AM40" i="21"/>
  <c r="AM25" i="21"/>
  <c r="AL40" i="21"/>
  <c r="AL25" i="21"/>
  <c r="AL67" i="21"/>
  <c r="AK25" i="21"/>
  <c r="AK67" i="21"/>
  <c r="AK38" i="21"/>
  <c r="AK12" i="21"/>
  <c r="AK40" i="21"/>
  <c r="AE47" i="21"/>
  <c r="AE43" i="21" s="1"/>
  <c r="AE48" i="21" s="1"/>
  <c r="AE12" i="21"/>
  <c r="AE25" i="21"/>
  <c r="AE40" i="21"/>
  <c r="AE67" i="21"/>
  <c r="AE38" i="21"/>
  <c r="AD47" i="21"/>
  <c r="AD43" i="21" s="1"/>
  <c r="AD48" i="21" s="1"/>
  <c r="AD38" i="21"/>
  <c r="AD25" i="21"/>
  <c r="AD40" i="21"/>
  <c r="AD12" i="21"/>
  <c r="AD67" i="21"/>
  <c r="AC47" i="21"/>
  <c r="AC43" i="21" s="1"/>
  <c r="AC48" i="21" s="1"/>
  <c r="AC40" i="21"/>
  <c r="AC38" i="21"/>
  <c r="AC25" i="21"/>
  <c r="AC12" i="21"/>
  <c r="AC67" i="21"/>
  <c r="AB47" i="21"/>
  <c r="AB43" i="21" s="1"/>
  <c r="AB48" i="21" s="1"/>
  <c r="AB40" i="21"/>
  <c r="AB25" i="21"/>
  <c r="AB12" i="21"/>
  <c r="AB67" i="21"/>
  <c r="AA40" i="21"/>
  <c r="AA38" i="21"/>
  <c r="AA25" i="21"/>
  <c r="AA67" i="21"/>
  <c r="AA12" i="21"/>
  <c r="Z67" i="21"/>
  <c r="Z38" i="21"/>
  <c r="Z25" i="21"/>
  <c r="Z40" i="21"/>
  <c r="Z12" i="21"/>
  <c r="Y12" i="21"/>
  <c r="Y40" i="21"/>
  <c r="Y38" i="21"/>
  <c r="Y25" i="21"/>
  <c r="Y67" i="21"/>
  <c r="X12" i="21"/>
  <c r="X25" i="21"/>
  <c r="X67" i="21"/>
  <c r="X40" i="21"/>
  <c r="X38" i="21"/>
  <c r="W12" i="21"/>
  <c r="W38" i="21"/>
  <c r="W40" i="21"/>
  <c r="W25" i="21"/>
  <c r="W67" i="21"/>
  <c r="V38" i="21"/>
  <c r="V25" i="21"/>
  <c r="V12" i="21"/>
  <c r="V67" i="21"/>
  <c r="V40" i="21"/>
  <c r="U38" i="21"/>
  <c r="U25" i="21"/>
  <c r="U40" i="21"/>
  <c r="U67" i="21"/>
  <c r="U12" i="21"/>
  <c r="T67" i="21"/>
  <c r="T12" i="21"/>
  <c r="T40" i="21"/>
  <c r="T38" i="21"/>
  <c r="P67" i="21"/>
  <c r="P38" i="21"/>
  <c r="K40" i="21"/>
  <c r="J67" i="21"/>
  <c r="J38" i="21"/>
  <c r="E38" i="21"/>
  <c r="AZ28" i="21"/>
  <c r="AZ32" i="21"/>
  <c r="AZ37" i="21"/>
  <c r="AX32" i="21"/>
  <c r="AX28" i="21"/>
  <c r="AX37" i="21"/>
  <c r="AW32" i="21"/>
  <c r="AW30" i="21" s="1"/>
  <c r="AW28" i="21"/>
  <c r="AV32" i="21"/>
  <c r="AV30" i="21" s="1"/>
  <c r="AV28" i="21"/>
  <c r="AU28" i="21"/>
  <c r="AU32" i="21"/>
  <c r="AU30" i="21" s="1"/>
  <c r="AT28" i="21"/>
  <c r="AT32" i="21"/>
  <c r="AT30" i="21" s="1"/>
  <c r="AS28" i="21"/>
  <c r="AS32" i="21"/>
  <c r="AS30" i="21" s="1"/>
  <c r="BJ26" i="21"/>
  <c r="BJ18" i="21"/>
  <c r="BI18" i="21"/>
  <c r="BF18" i="21"/>
  <c r="BE18" i="21"/>
  <c r="BA18" i="21"/>
  <c r="BA26" i="21"/>
  <c r="AZ18" i="21"/>
  <c r="AX26" i="21"/>
  <c r="AX18" i="21"/>
  <c r="AW18" i="21"/>
  <c r="AW26" i="21"/>
  <c r="AV18" i="21"/>
  <c r="AV26" i="21"/>
  <c r="AU18" i="21"/>
  <c r="AU26" i="21"/>
  <c r="AT26" i="21"/>
  <c r="AT18" i="21"/>
  <c r="AS18" i="21"/>
  <c r="AQ18" i="21"/>
  <c r="AP18" i="21"/>
  <c r="AP26" i="21"/>
  <c r="AO26" i="21"/>
  <c r="AN18" i="21"/>
  <c r="AI18" i="21"/>
  <c r="AH18" i="21"/>
  <c r="AE18" i="21"/>
  <c r="Y26" i="21"/>
  <c r="Y18" i="21"/>
  <c r="X18" i="21"/>
  <c r="R18" i="21"/>
  <c r="Q18" i="21"/>
  <c r="P26" i="21"/>
  <c r="P18" i="21"/>
  <c r="O18" i="21"/>
  <c r="O26" i="21"/>
  <c r="N26" i="21"/>
  <c r="N18" i="21"/>
  <c r="M26" i="21"/>
  <c r="M18" i="21"/>
  <c r="L26" i="21"/>
  <c r="L18" i="21"/>
  <c r="K18" i="21"/>
  <c r="K26" i="21"/>
  <c r="CK20" i="21"/>
  <c r="CJ20" i="21"/>
  <c r="CI18" i="21"/>
  <c r="CH18" i="21"/>
  <c r="CH20" i="21"/>
  <c r="CG18" i="21"/>
  <c r="CG20" i="21"/>
  <c r="CF20" i="21"/>
  <c r="CF18" i="21"/>
  <c r="CE18" i="21"/>
  <c r="CE20" i="21"/>
  <c r="CD20" i="21"/>
  <c r="CC20" i="21"/>
  <c r="CC18" i="21"/>
  <c r="CB20" i="21"/>
  <c r="CA20" i="21"/>
  <c r="BZ18" i="21"/>
  <c r="BZ20" i="21"/>
  <c r="AA19" i="20"/>
  <c r="AA17" i="20"/>
  <c r="Z19" i="20"/>
  <c r="Z17" i="20"/>
  <c r="Y12" i="20"/>
  <c r="Z12" i="20"/>
  <c r="Y19" i="20"/>
  <c r="Y51" i="20"/>
  <c r="Y45" i="20"/>
  <c r="Y8" i="20"/>
  <c r="Y11" i="20"/>
  <c r="Z11" i="20"/>
  <c r="X45" i="20"/>
  <c r="X8" i="20"/>
  <c r="X19" i="20"/>
  <c r="X51" i="20"/>
  <c r="X11" i="20"/>
  <c r="W45" i="20"/>
  <c r="W8" i="20"/>
  <c r="W51" i="20"/>
  <c r="W11" i="20"/>
  <c r="V51" i="20"/>
  <c r="V8" i="20"/>
  <c r="V11" i="20"/>
  <c r="V19" i="20"/>
  <c r="V45" i="20"/>
  <c r="U19" i="20"/>
  <c r="U45" i="20"/>
  <c r="U11" i="20"/>
  <c r="U8" i="20"/>
  <c r="U51" i="20"/>
  <c r="T19" i="20"/>
  <c r="T51" i="20"/>
  <c r="T45" i="20"/>
  <c r="T11" i="20"/>
  <c r="T8" i="20"/>
  <c r="S19" i="20"/>
  <c r="S45" i="20"/>
  <c r="S51" i="20"/>
  <c r="S11" i="20"/>
  <c r="S8" i="20"/>
  <c r="R19" i="20"/>
  <c r="R11" i="20"/>
  <c r="R45" i="20"/>
  <c r="R51" i="20"/>
  <c r="R8" i="20"/>
  <c r="Q11" i="20"/>
  <c r="Q8" i="20"/>
  <c r="Q51" i="20"/>
  <c r="Q19" i="20"/>
  <c r="P8" i="20"/>
  <c r="P11" i="20"/>
  <c r="P51" i="20"/>
  <c r="P19" i="20"/>
  <c r="P45" i="20"/>
  <c r="O51" i="20"/>
  <c r="O45" i="20"/>
  <c r="O8" i="20"/>
  <c r="O11" i="20"/>
  <c r="O19" i="20"/>
  <c r="N8" i="20"/>
  <c r="N45" i="20"/>
  <c r="N51" i="20"/>
  <c r="N11" i="20"/>
  <c r="N19" i="20"/>
  <c r="M19" i="20"/>
  <c r="M51" i="20"/>
  <c r="M45" i="20"/>
  <c r="M11" i="20"/>
  <c r="M8" i="20"/>
  <c r="L11" i="20"/>
  <c r="L45" i="20"/>
  <c r="L19" i="20"/>
  <c r="L51" i="20"/>
  <c r="L8" i="20"/>
  <c r="K19" i="20"/>
  <c r="K45" i="20"/>
  <c r="K11" i="20"/>
  <c r="K51" i="20"/>
  <c r="K8" i="20"/>
  <c r="J45" i="20"/>
  <c r="J11" i="20"/>
  <c r="J51" i="20"/>
  <c r="J19" i="20"/>
  <c r="J8" i="20"/>
  <c r="I45" i="20"/>
  <c r="I11" i="20"/>
  <c r="I19" i="20"/>
  <c r="I51" i="20"/>
  <c r="I8" i="20"/>
  <c r="H45" i="20"/>
  <c r="H8" i="20"/>
  <c r="H19" i="20"/>
  <c r="H51" i="20"/>
  <c r="H11" i="20"/>
  <c r="G45" i="20"/>
  <c r="G8" i="20"/>
  <c r="G11" i="20"/>
  <c r="G51" i="20"/>
  <c r="G19" i="20"/>
  <c r="F45" i="20"/>
  <c r="F19" i="20"/>
  <c r="F8" i="20"/>
  <c r="F11" i="20"/>
  <c r="F51" i="20"/>
  <c r="E11" i="20"/>
  <c r="E8" i="20"/>
  <c r="E51" i="20"/>
  <c r="E19" i="20"/>
  <c r="E45" i="20"/>
  <c r="D8" i="20"/>
  <c r="D11" i="20"/>
  <c r="D51" i="20"/>
  <c r="D19" i="20"/>
  <c r="D45" i="20"/>
  <c r="C11" i="20"/>
  <c r="C19" i="20"/>
  <c r="C8" i="20"/>
  <c r="C51" i="20"/>
  <c r="C45" i="20"/>
  <c r="B8" i="20"/>
  <c r="B51" i="20"/>
  <c r="B19" i="20"/>
  <c r="B45" i="20"/>
  <c r="FI221" i="18"/>
  <c r="BL756" i="2"/>
  <c r="FG221" i="18"/>
  <c r="BK756" i="2"/>
  <c r="FE224" i="18"/>
  <c r="FE229" i="18"/>
  <c r="FG229" i="18"/>
  <c r="FI229" i="18"/>
  <c r="FE215" i="18"/>
  <c r="FF218" i="18"/>
  <c r="FH218" i="18"/>
  <c r="FE219" i="18"/>
  <c r="FG219" i="18"/>
  <c r="FI219" i="18"/>
  <c r="FE223" i="18"/>
  <c r="FG217" i="18"/>
  <c r="FI217" i="18"/>
  <c r="FF220" i="18"/>
  <c r="FE220" i="18"/>
  <c r="FF216" i="18"/>
  <c r="FG224" i="18"/>
  <c r="FF224" i="18"/>
  <c r="FH224" i="18"/>
  <c r="FF215" i="18"/>
  <c r="BW756" i="2"/>
  <c r="FG216" i="18"/>
  <c r="BY756" i="2"/>
  <c r="FE216" i="18"/>
  <c r="BX756" i="2"/>
  <c r="BR756" i="2"/>
  <c r="BZ756" i="2"/>
  <c r="FE217" i="18"/>
  <c r="DA13" i="2" l="1"/>
  <c r="DA14" i="2"/>
  <c r="DB4" i="2"/>
  <c r="EZ72" i="15"/>
  <c r="DS91" i="15"/>
  <c r="FA72" i="15"/>
  <c r="FJ72" i="15" s="1"/>
  <c r="DV91" i="15"/>
  <c r="FB91" i="15"/>
  <c r="DY112" i="15"/>
  <c r="FC91" i="15"/>
  <c r="EB112" i="15"/>
  <c r="FJ87" i="15"/>
  <c r="DA335" i="2"/>
  <c r="DB336" i="2"/>
  <c r="DA384" i="2"/>
  <c r="DB385" i="2"/>
  <c r="DA438" i="2"/>
  <c r="DB438" i="2" s="1"/>
  <c r="DK14" i="2"/>
  <c r="DK13" i="2"/>
  <c r="DL4" i="2"/>
  <c r="CX433" i="2"/>
  <c r="DC147" i="2"/>
  <c r="DB159" i="2"/>
  <c r="I40" i="21"/>
  <c r="J40" i="21"/>
  <c r="BD25" i="21"/>
  <c r="CM22" i="23"/>
  <c r="B38" i="21"/>
  <c r="B40" i="21"/>
  <c r="B50" i="21" s="1"/>
  <c r="B48" i="21"/>
  <c r="H25" i="21"/>
  <c r="H38" i="21"/>
  <c r="T25" i="21"/>
  <c r="CE22" i="23"/>
  <c r="H40" i="21"/>
  <c r="H41" i="21" s="1"/>
  <c r="Q61" i="21"/>
  <c r="CC22" i="23"/>
  <c r="Q67" i="21"/>
  <c r="Q38" i="21"/>
  <c r="Q40" i="21"/>
  <c r="Q50" i="21" s="1"/>
  <c r="BD40" i="21"/>
  <c r="CG22" i="23"/>
  <c r="BC38" i="21"/>
  <c r="Q48" i="21"/>
  <c r="BD61" i="21"/>
  <c r="FJ133" i="18"/>
  <c r="FJ176" i="18"/>
  <c r="FJ157" i="18"/>
  <c r="BE61" i="21"/>
  <c r="X26" i="21"/>
  <c r="BG26" i="21"/>
  <c r="F67" i="21"/>
  <c r="BE40" i="21"/>
  <c r="BV25" i="21"/>
  <c r="CO22" i="23"/>
  <c r="F38" i="21"/>
  <c r="BV40" i="21"/>
  <c r="BV50" i="21" s="1"/>
  <c r="S52" i="18"/>
  <c r="AN38" i="21"/>
  <c r="BE25" i="21"/>
  <c r="BW25" i="21"/>
  <c r="BY61" i="21"/>
  <c r="BP38" i="21"/>
  <c r="BU67" i="21"/>
  <c r="F61" i="21"/>
  <c r="AH26" i="21"/>
  <c r="AF18" i="21"/>
  <c r="BD18" i="21"/>
  <c r="AL38" i="21"/>
  <c r="BN25" i="21"/>
  <c r="AV48" i="21"/>
  <c r="BV67" i="21"/>
  <c r="U26" i="21"/>
  <c r="BU38" i="21"/>
  <c r="BE38" i="21"/>
  <c r="V26" i="21"/>
  <c r="F25" i="21"/>
  <c r="BV48" i="21"/>
  <c r="AB26" i="21"/>
  <c r="CI22" i="23"/>
  <c r="R4" i="20"/>
  <c r="C48" i="21"/>
  <c r="R26" i="21"/>
  <c r="BW22" i="23"/>
  <c r="BV61" i="21"/>
  <c r="BD26" i="21"/>
  <c r="CD26" i="21"/>
  <c r="AU61" i="21"/>
  <c r="AL48" i="21"/>
  <c r="D61" i="21"/>
  <c r="AK26" i="21"/>
  <c r="F48" i="21"/>
  <c r="S18" i="21"/>
  <c r="AG40" i="21"/>
  <c r="AG41" i="21" s="1"/>
  <c r="S26" i="21"/>
  <c r="O38" i="21"/>
  <c r="AH40" i="21"/>
  <c r="AV25" i="21"/>
  <c r="P40" i="21"/>
  <c r="P50" i="21" s="1"/>
  <c r="AJ25" i="21"/>
  <c r="BU40" i="21"/>
  <c r="BO61" i="21"/>
  <c r="BY22" i="23"/>
  <c r="CC26" i="21"/>
  <c r="BJ40" i="21"/>
  <c r="AZ12" i="21"/>
  <c r="E67" i="21"/>
  <c r="BL40" i="21"/>
  <c r="BL41" i="21" s="1"/>
  <c r="AT48" i="21"/>
  <c r="Q26" i="21"/>
  <c r="E40" i="21"/>
  <c r="E50" i="21" s="1"/>
  <c r="BM25" i="21"/>
  <c r="BT61" i="21"/>
  <c r="CS5" i="23"/>
  <c r="CS10" i="23" s="1"/>
  <c r="BJ67" i="21"/>
  <c r="G61" i="21"/>
  <c r="AT61" i="21"/>
  <c r="AB18" i="21"/>
  <c r="AJ18" i="21"/>
  <c r="AJ30" i="21" s="1"/>
  <c r="AJ38" i="21" s="1"/>
  <c r="B67" i="21"/>
  <c r="AN25" i="21"/>
  <c r="AQ25" i="21"/>
  <c r="AZ25" i="21"/>
  <c r="BN67" i="21"/>
  <c r="BR67" i="21"/>
  <c r="P61" i="21"/>
  <c r="M25" i="21"/>
  <c r="AN61" i="21"/>
  <c r="CR10" i="23"/>
  <c r="BJ48" i="21"/>
  <c r="BP40" i="21"/>
  <c r="BN38" i="21"/>
  <c r="CG26" i="21"/>
  <c r="G48" i="21"/>
  <c r="AZ67" i="21"/>
  <c r="AN67" i="21"/>
  <c r="AQ38" i="21"/>
  <c r="E61" i="21"/>
  <c r="AC26" i="21"/>
  <c r="BH26" i="21"/>
  <c r="C38" i="21"/>
  <c r="AN40" i="21"/>
  <c r="AN50" i="21" s="1"/>
  <c r="BA25" i="21"/>
  <c r="BO25" i="21"/>
  <c r="S61" i="21"/>
  <c r="AT67" i="21"/>
  <c r="BQ25" i="21"/>
  <c r="CA26" i="21"/>
  <c r="AU48" i="21"/>
  <c r="BN48" i="21"/>
  <c r="BG48" i="21"/>
  <c r="E48" i="21"/>
  <c r="E25" i="21"/>
  <c r="BR38" i="21"/>
  <c r="BH61" i="21"/>
  <c r="AN48" i="21"/>
  <c r="AQ67" i="21"/>
  <c r="AM18" i="21"/>
  <c r="BB18" i="21"/>
  <c r="C25" i="21"/>
  <c r="L67" i="21"/>
  <c r="AO25" i="21"/>
  <c r="AD26" i="21"/>
  <c r="C67" i="21"/>
  <c r="G67" i="21"/>
  <c r="N38" i="21"/>
  <c r="BQ61" i="21"/>
  <c r="V18" i="21"/>
  <c r="AE26" i="21"/>
  <c r="BC26" i="21"/>
  <c r="G25" i="21"/>
  <c r="N67" i="21"/>
  <c r="AU67" i="21"/>
  <c r="BG40" i="21"/>
  <c r="BG41" i="21" s="1"/>
  <c r="BQ40" i="21"/>
  <c r="BQ41" i="21" s="1"/>
  <c r="BJ38" i="21"/>
  <c r="AA26" i="21"/>
  <c r="AM26" i="21"/>
  <c r="BG38" i="21"/>
  <c r="BD38" i="21"/>
  <c r="BQ48" i="21"/>
  <c r="BQ38" i="21"/>
  <c r="AW67" i="21"/>
  <c r="AZ48" i="21"/>
  <c r="BH18" i="21"/>
  <c r="W19" i="20"/>
  <c r="W20" i="20" s="1"/>
  <c r="G40" i="21"/>
  <c r="G41" i="21" s="1"/>
  <c r="S67" i="21"/>
  <c r="AT25" i="21"/>
  <c r="BC18" i="21"/>
  <c r="BJ61" i="21"/>
  <c r="CD18" i="21"/>
  <c r="D25" i="21"/>
  <c r="N40" i="21"/>
  <c r="AU25" i="21"/>
  <c r="BH40" i="21"/>
  <c r="BH41" i="21" s="1"/>
  <c r="BR40" i="21"/>
  <c r="BR50" i="21" s="1"/>
  <c r="BR61" i="21"/>
  <c r="BO48" i="21"/>
  <c r="AW61" i="21"/>
  <c r="BR48" i="21"/>
  <c r="AQ61" i="21"/>
  <c r="BY38" i="21"/>
  <c r="W26" i="21"/>
  <c r="AH25" i="21"/>
  <c r="H67" i="21"/>
  <c r="K38" i="21"/>
  <c r="AF38" i="21"/>
  <c r="AH38" i="21"/>
  <c r="BH67" i="21"/>
  <c r="BT25" i="21"/>
  <c r="X40" i="18"/>
  <c r="X52" i="18"/>
  <c r="AS61" i="21"/>
  <c r="AX48" i="21"/>
  <c r="T40" i="18"/>
  <c r="T52" i="18"/>
  <c r="CA18" i="21"/>
  <c r="I38" i="21"/>
  <c r="L25" i="21"/>
  <c r="O25" i="21"/>
  <c r="R25" i="21"/>
  <c r="AF67" i="21"/>
  <c r="AH12" i="21"/>
  <c r="AV67" i="21"/>
  <c r="BI40" i="21"/>
  <c r="BI41" i="21" s="1"/>
  <c r="BT40" i="21"/>
  <c r="BT50" i="21" s="1"/>
  <c r="M61" i="21"/>
  <c r="V40" i="18"/>
  <c r="V52" i="18"/>
  <c r="BL67" i="21"/>
  <c r="AW48" i="21"/>
  <c r="U4" i="20"/>
  <c r="S4" i="20"/>
  <c r="AF61" i="21"/>
  <c r="K25" i="21"/>
  <c r="AR12" i="21"/>
  <c r="AH67" i="21"/>
  <c r="I25" i="21"/>
  <c r="L40" i="21"/>
  <c r="L41" i="21" s="1"/>
  <c r="O67" i="21"/>
  <c r="AF12" i="21"/>
  <c r="AR38" i="21"/>
  <c r="BI25" i="21"/>
  <c r="BO40" i="21"/>
  <c r="BO50" i="21" s="1"/>
  <c r="BK61" i="21"/>
  <c r="Z18" i="21"/>
  <c r="AL18" i="21"/>
  <c r="AR26" i="21"/>
  <c r="I67" i="21"/>
  <c r="L38" i="21"/>
  <c r="O40" i="21"/>
  <c r="O41" i="21" s="1"/>
  <c r="R40" i="21"/>
  <c r="R50" i="21" s="1"/>
  <c r="AF40" i="21"/>
  <c r="AI25" i="21"/>
  <c r="AR40" i="21"/>
  <c r="AR41" i="21" s="1"/>
  <c r="AW25" i="21"/>
  <c r="BF67" i="21"/>
  <c r="BJ25" i="21"/>
  <c r="CX10" i="23"/>
  <c r="BO67" i="21"/>
  <c r="N61" i="21"/>
  <c r="H48" i="21"/>
  <c r="AH48" i="21"/>
  <c r="AX61" i="21"/>
  <c r="BI38" i="21"/>
  <c r="U52" i="18"/>
  <c r="U40" i="18"/>
  <c r="R38" i="21"/>
  <c r="BU25" i="21"/>
  <c r="R48" i="21"/>
  <c r="R67" i="21"/>
  <c r="AI40" i="21"/>
  <c r="AI41" i="21" s="1"/>
  <c r="CB26" i="21"/>
  <c r="BL38" i="21"/>
  <c r="AL26" i="21"/>
  <c r="AR18" i="21"/>
  <c r="D38" i="21"/>
  <c r="M40" i="21"/>
  <c r="M41" i="21" s="1"/>
  <c r="S25" i="21"/>
  <c r="AG25" i="21"/>
  <c r="AI67" i="21"/>
  <c r="AR67" i="21"/>
  <c r="AX67" i="21"/>
  <c r="BF25" i="21"/>
  <c r="BP25" i="21"/>
  <c r="BF61" i="21"/>
  <c r="BL61" i="21"/>
  <c r="FA120" i="7"/>
  <c r="BF38" i="21"/>
  <c r="AR48" i="21"/>
  <c r="O61" i="21"/>
  <c r="BT38" i="21"/>
  <c r="AB40" i="18"/>
  <c r="AB52" i="18"/>
  <c r="L61" i="21"/>
  <c r="K67" i="21"/>
  <c r="K61" i="21"/>
  <c r="AI26" i="21"/>
  <c r="N25" i="21"/>
  <c r="BI61" i="21"/>
  <c r="AF25" i="21"/>
  <c r="BI67" i="21"/>
  <c r="M48" i="21"/>
  <c r="AA18" i="21"/>
  <c r="AG26" i="21"/>
  <c r="I61" i="21"/>
  <c r="BF48" i="21"/>
  <c r="CJ18" i="21"/>
  <c r="U18" i="21"/>
  <c r="AY18" i="21"/>
  <c r="D40" i="21"/>
  <c r="D41" i="21" s="1"/>
  <c r="J25" i="21"/>
  <c r="M38" i="21"/>
  <c r="S38" i="21"/>
  <c r="AG67" i="21"/>
  <c r="AJ12" i="21"/>
  <c r="AS25" i="21"/>
  <c r="AY38" i="21"/>
  <c r="BG25" i="21"/>
  <c r="BK40" i="21"/>
  <c r="BK50" i="21" s="1"/>
  <c r="CY10" i="23"/>
  <c r="BX48" i="21"/>
  <c r="AG48" i="21"/>
  <c r="AI12" i="21"/>
  <c r="BI48" i="21"/>
  <c r="AV61" i="21"/>
  <c r="AA40" i="18"/>
  <c r="AA52" i="18"/>
  <c r="BK67" i="21"/>
  <c r="AY48" i="21"/>
  <c r="BQ67" i="21"/>
  <c r="AJ61" i="21"/>
  <c r="Z52" i="18"/>
  <c r="Z40" i="18"/>
  <c r="AY26" i="21"/>
  <c r="M67" i="21"/>
  <c r="AG38" i="21"/>
  <c r="AI38" i="21"/>
  <c r="AR25" i="21"/>
  <c r="AX25" i="21"/>
  <c r="BF40" i="21"/>
  <c r="BF50" i="21" s="1"/>
  <c r="BK25" i="21"/>
  <c r="BO38" i="21"/>
  <c r="BT67" i="21"/>
  <c r="BH38" i="21"/>
  <c r="BK48" i="21"/>
  <c r="AI48" i="21"/>
  <c r="D67" i="21"/>
  <c r="P25" i="21"/>
  <c r="S40" i="21"/>
  <c r="S41" i="21" s="1"/>
  <c r="AS67" i="21"/>
  <c r="AY25" i="21"/>
  <c r="BL25" i="21"/>
  <c r="BX25" i="21"/>
  <c r="BL48" i="21"/>
  <c r="W4" i="20"/>
  <c r="AS48" i="21"/>
  <c r="CK26" i="21"/>
  <c r="FA37" i="7"/>
  <c r="FA59" i="7" s="1"/>
  <c r="FK94" i="3"/>
  <c r="CY433" i="2"/>
  <c r="FK77" i="3"/>
  <c r="FK97" i="3"/>
  <c r="FF68" i="18"/>
  <c r="D17" i="24" s="1"/>
  <c r="FG68" i="18"/>
  <c r="E17" i="24" s="1"/>
  <c r="FE68" i="18"/>
  <c r="C17" i="24" s="1"/>
  <c r="CV59" i="18"/>
  <c r="CV51" i="18"/>
  <c r="CV748" i="2"/>
  <c r="CW68" i="18" s="1"/>
  <c r="BY41" i="21"/>
  <c r="BY50" i="21"/>
  <c r="BX41" i="21"/>
  <c r="BX50" i="21"/>
  <c r="BW50" i="21"/>
  <c r="BW41" i="21"/>
  <c r="BU41" i="21"/>
  <c r="BU50" i="21"/>
  <c r="BS41" i="21"/>
  <c r="BS50" i="21"/>
  <c r="BP41" i="21"/>
  <c r="BP50" i="21"/>
  <c r="BN41" i="21"/>
  <c r="BN50" i="21"/>
  <c r="BM41" i="21"/>
  <c r="BM50" i="21"/>
  <c r="BJ50" i="21"/>
  <c r="BJ41" i="21"/>
  <c r="BE50" i="21"/>
  <c r="BE41" i="21"/>
  <c r="BD50" i="21"/>
  <c r="BD41" i="21"/>
  <c r="BC41" i="21"/>
  <c r="BC50" i="21"/>
  <c r="BB41" i="21"/>
  <c r="BB50" i="21"/>
  <c r="BA50" i="21"/>
  <c r="BA41" i="21"/>
  <c r="AY41" i="21"/>
  <c r="AY50" i="21"/>
  <c r="AQ41" i="21"/>
  <c r="AQ50" i="21"/>
  <c r="AP50" i="21"/>
  <c r="AP41" i="21"/>
  <c r="AO41" i="21"/>
  <c r="AO50" i="21"/>
  <c r="AM50" i="21"/>
  <c r="AM41" i="21"/>
  <c r="AL50" i="21"/>
  <c r="AL41" i="21"/>
  <c r="AK41" i="21"/>
  <c r="AK50" i="21"/>
  <c r="AH50" i="21"/>
  <c r="AH41" i="21"/>
  <c r="AF41" i="21"/>
  <c r="AF50" i="21"/>
  <c r="AE50" i="21"/>
  <c r="AE41" i="21"/>
  <c r="AD50" i="21"/>
  <c r="AD41" i="21"/>
  <c r="AC41" i="21"/>
  <c r="AC50" i="21"/>
  <c r="AB50" i="21"/>
  <c r="AB41" i="21"/>
  <c r="AA41" i="21"/>
  <c r="AA50" i="21"/>
  <c r="Z50" i="21"/>
  <c r="Z41" i="21"/>
  <c r="Y50" i="21"/>
  <c r="Y41" i="21"/>
  <c r="X41" i="21"/>
  <c r="X50" i="21"/>
  <c r="W41" i="21"/>
  <c r="W50" i="21"/>
  <c r="V41" i="21"/>
  <c r="V50" i="21"/>
  <c r="U41" i="21"/>
  <c r="U50" i="21"/>
  <c r="T41" i="21"/>
  <c r="T50" i="21"/>
  <c r="P41" i="21"/>
  <c r="N50" i="21"/>
  <c r="N41" i="21"/>
  <c r="K50" i="21"/>
  <c r="K41" i="21"/>
  <c r="J41" i="21"/>
  <c r="J50" i="21"/>
  <c r="I41" i="21"/>
  <c r="I50" i="21"/>
  <c r="F41" i="21"/>
  <c r="F50" i="21"/>
  <c r="E41" i="21"/>
  <c r="C41" i="21"/>
  <c r="C50" i="21"/>
  <c r="B41" i="21"/>
  <c r="CK67" i="21"/>
  <c r="CK61" i="21"/>
  <c r="CK38" i="21"/>
  <c r="CK48" i="21"/>
  <c r="CK40" i="21"/>
  <c r="CK25" i="21"/>
  <c r="CK12" i="21"/>
  <c r="CJ67" i="21"/>
  <c r="CJ48" i="21"/>
  <c r="CJ38" i="21"/>
  <c r="CJ61" i="21"/>
  <c r="CJ40" i="21"/>
  <c r="CJ12" i="21"/>
  <c r="CJ25" i="21"/>
  <c r="CI61" i="21"/>
  <c r="CI38" i="21"/>
  <c r="CI67" i="21"/>
  <c r="CI48" i="21"/>
  <c r="CI40" i="21"/>
  <c r="CI12" i="21"/>
  <c r="CI25" i="21"/>
  <c r="CH48" i="21"/>
  <c r="CH61" i="21"/>
  <c r="CH67" i="21"/>
  <c r="CH38" i="21"/>
  <c r="CH40" i="21"/>
  <c r="CH25" i="21"/>
  <c r="CH12" i="21"/>
  <c r="CG48" i="21"/>
  <c r="CG67" i="21"/>
  <c r="CG38" i="21"/>
  <c r="CG61" i="21"/>
  <c r="CG12" i="21"/>
  <c r="CG40" i="21"/>
  <c r="CG25" i="21"/>
  <c r="CF61" i="21"/>
  <c r="CF67" i="21"/>
  <c r="CF48" i="21"/>
  <c r="CF38" i="21"/>
  <c r="CF25" i="21"/>
  <c r="CF40" i="21"/>
  <c r="CF12" i="21"/>
  <c r="CE38" i="21"/>
  <c r="CE61" i="21"/>
  <c r="CE67" i="21"/>
  <c r="CE48" i="21"/>
  <c r="CE12" i="21"/>
  <c r="CE25" i="21"/>
  <c r="CE40" i="21"/>
  <c r="CD48" i="21"/>
  <c r="CD61" i="21"/>
  <c r="CD67" i="21"/>
  <c r="CD38" i="21"/>
  <c r="CD40" i="21"/>
  <c r="CD12" i="21"/>
  <c r="CD25" i="21"/>
  <c r="CC61" i="21"/>
  <c r="CC67" i="21"/>
  <c r="CC48" i="21"/>
  <c r="CC38" i="21"/>
  <c r="CC40" i="21"/>
  <c r="CC12" i="21"/>
  <c r="CC25" i="21"/>
  <c r="CB61" i="21"/>
  <c r="CB67" i="21"/>
  <c r="CB48" i="21"/>
  <c r="CB38" i="21"/>
  <c r="CB40" i="21"/>
  <c r="CB12" i="21"/>
  <c r="CB25" i="21"/>
  <c r="CA61" i="21"/>
  <c r="CA67" i="21"/>
  <c r="CA48" i="21"/>
  <c r="CA38" i="21"/>
  <c r="CA12" i="21"/>
  <c r="CA25" i="21"/>
  <c r="CA40" i="21"/>
  <c r="BZ38" i="21"/>
  <c r="BZ67" i="21"/>
  <c r="BZ48" i="21"/>
  <c r="BZ61" i="21"/>
  <c r="BZ40" i="21"/>
  <c r="BZ12" i="21"/>
  <c r="AZ30" i="21"/>
  <c r="AX30" i="21"/>
  <c r="AW38" i="21"/>
  <c r="AW40" i="21"/>
  <c r="AV38" i="21"/>
  <c r="AV40" i="21"/>
  <c r="AU38" i="21"/>
  <c r="AU40" i="21"/>
  <c r="AT38" i="21"/>
  <c r="AT40" i="21"/>
  <c r="AS38" i="21"/>
  <c r="AS40" i="21"/>
  <c r="AA20" i="20"/>
  <c r="AA29" i="20"/>
  <c r="Z20" i="20"/>
  <c r="Z29" i="20"/>
  <c r="Y20" i="20"/>
  <c r="Y29" i="20"/>
  <c r="X20" i="20"/>
  <c r="X29" i="20"/>
  <c r="V20" i="20"/>
  <c r="V29" i="20"/>
  <c r="U20" i="20"/>
  <c r="U29" i="20"/>
  <c r="T20" i="20"/>
  <c r="T29" i="20"/>
  <c r="S20" i="20"/>
  <c r="S29" i="20"/>
  <c r="R20" i="20"/>
  <c r="R29" i="20"/>
  <c r="Q20" i="20"/>
  <c r="Q29" i="20"/>
  <c r="P20" i="20"/>
  <c r="P29" i="20"/>
  <c r="O29" i="20"/>
  <c r="O20" i="20"/>
  <c r="N20" i="20"/>
  <c r="N29" i="20"/>
  <c r="M20" i="20"/>
  <c r="M29" i="20"/>
  <c r="L20" i="20"/>
  <c r="L29" i="20"/>
  <c r="K20" i="20"/>
  <c r="K29" i="20"/>
  <c r="J20" i="20"/>
  <c r="J29" i="20"/>
  <c r="I20" i="20"/>
  <c r="I29" i="20"/>
  <c r="H20" i="20"/>
  <c r="H29" i="20"/>
  <c r="G29" i="20"/>
  <c r="G20" i="20"/>
  <c r="F20" i="20"/>
  <c r="F29" i="20"/>
  <c r="E29" i="20"/>
  <c r="E20" i="20"/>
  <c r="D20" i="20"/>
  <c r="D29" i="20"/>
  <c r="C20" i="20"/>
  <c r="C29" i="20"/>
  <c r="B20" i="20"/>
  <c r="B29" i="20"/>
  <c r="BJ756" i="2"/>
  <c r="BT756" i="2"/>
  <c r="CA756" i="2"/>
  <c r="BO756" i="2"/>
  <c r="BP756" i="2"/>
  <c r="BS756" i="2"/>
  <c r="BQ756" i="2"/>
  <c r="FE214" i="18"/>
  <c r="DB13" i="2" l="1"/>
  <c r="DB14" i="2"/>
  <c r="DC4" i="2"/>
  <c r="DS112" i="15"/>
  <c r="EZ91" i="15"/>
  <c r="FA91" i="15"/>
  <c r="FJ91" i="15" s="1"/>
  <c r="DV112" i="15"/>
  <c r="FB112" i="15"/>
  <c r="DY130" i="15"/>
  <c r="FC112" i="15"/>
  <c r="EB130" i="15"/>
  <c r="DB335" i="2"/>
  <c r="DC336" i="2"/>
  <c r="DB437" i="2"/>
  <c r="DB384" i="2"/>
  <c r="DC385" i="2"/>
  <c r="DL14" i="2"/>
  <c r="DL13" i="2"/>
  <c r="DM4" i="2"/>
  <c r="DD147" i="2"/>
  <c r="DC159" i="2"/>
  <c r="M50" i="21"/>
  <c r="M63" i="21" s="1"/>
  <c r="H50" i="21"/>
  <c r="R41" i="21"/>
  <c r="BH50" i="21"/>
  <c r="BH51" i="21" s="1"/>
  <c r="Q41" i="21"/>
  <c r="AN41" i="21"/>
  <c r="S50" i="21"/>
  <c r="S63" i="21" s="1"/>
  <c r="AG50" i="21"/>
  <c r="AG63" i="21" s="1"/>
  <c r="BL50" i="21"/>
  <c r="BL63" i="21" s="1"/>
  <c r="BV41" i="21"/>
  <c r="O50" i="21"/>
  <c r="O51" i="21" s="1"/>
  <c r="L50" i="21"/>
  <c r="L51" i="21" s="1"/>
  <c r="AJ40" i="21"/>
  <c r="AJ41" i="21" s="1"/>
  <c r="BG50" i="21"/>
  <c r="BG51" i="21" s="1"/>
  <c r="BO41" i="21"/>
  <c r="G50" i="21"/>
  <c r="G51" i="21" s="1"/>
  <c r="BQ50" i="21"/>
  <c r="BQ51" i="21" s="1"/>
  <c r="BR41" i="21"/>
  <c r="D50" i="21"/>
  <c r="D63" i="21" s="1"/>
  <c r="W29" i="20"/>
  <c r="AR50" i="21"/>
  <c r="AR63" i="21" s="1"/>
  <c r="BT41" i="21"/>
  <c r="BI50" i="21"/>
  <c r="BI51" i="21" s="1"/>
  <c r="AI50" i="21"/>
  <c r="AI51" i="21" s="1"/>
  <c r="BK41" i="21"/>
  <c r="BF41" i="21"/>
  <c r="CZ433" i="2"/>
  <c r="ER68" i="18"/>
  <c r="CW59" i="18"/>
  <c r="CW51" i="18"/>
  <c r="CW748" i="2"/>
  <c r="CX68" i="18" s="1"/>
  <c r="BY51" i="21"/>
  <c r="BY63" i="21"/>
  <c r="BX51" i="21"/>
  <c r="BX63" i="21"/>
  <c r="BW51" i="21"/>
  <c r="BW63" i="21"/>
  <c r="BV51" i="21"/>
  <c r="BV63" i="21"/>
  <c r="BU51" i="21"/>
  <c r="BU63" i="21"/>
  <c r="BT51" i="21"/>
  <c r="BT63" i="21"/>
  <c r="BS51" i="21"/>
  <c r="BS63" i="21"/>
  <c r="BR51" i="21"/>
  <c r="BR63" i="21"/>
  <c r="BP51" i="21"/>
  <c r="BP63" i="21"/>
  <c r="BO51" i="21"/>
  <c r="BO63" i="21"/>
  <c r="BN51" i="21"/>
  <c r="BN63" i="21"/>
  <c r="BM51" i="21"/>
  <c r="BM63" i="21"/>
  <c r="BL51" i="21"/>
  <c r="BK51" i="21"/>
  <c r="BK63" i="21"/>
  <c r="BJ51" i="21"/>
  <c r="BJ63" i="21"/>
  <c r="BG63" i="21"/>
  <c r="BF51" i="21"/>
  <c r="BF63" i="21"/>
  <c r="BE51" i="21"/>
  <c r="BE63" i="21"/>
  <c r="BD51" i="21"/>
  <c r="BD63" i="21"/>
  <c r="BC51" i="21"/>
  <c r="BC63" i="21"/>
  <c r="BB51" i="21"/>
  <c r="BB63" i="21"/>
  <c r="BA51" i="21"/>
  <c r="BA63" i="21"/>
  <c r="AY51" i="21"/>
  <c r="AY63" i="21"/>
  <c r="AR51" i="21"/>
  <c r="AQ51" i="21"/>
  <c r="AQ63" i="21"/>
  <c r="AP51" i="21"/>
  <c r="AP63" i="21"/>
  <c r="AO51" i="21"/>
  <c r="AO63" i="21"/>
  <c r="AN51" i="21"/>
  <c r="AN63" i="21"/>
  <c r="AM51" i="21"/>
  <c r="AM63" i="21"/>
  <c r="AL51" i="21"/>
  <c r="AL63" i="21"/>
  <c r="AK51" i="21"/>
  <c r="AK63" i="21"/>
  <c r="AH51" i="21"/>
  <c r="AH63" i="21"/>
  <c r="AG51" i="21"/>
  <c r="AF51" i="21"/>
  <c r="AF63" i="21"/>
  <c r="AE51" i="21"/>
  <c r="AE63" i="21"/>
  <c r="AD51" i="21"/>
  <c r="AD63" i="21"/>
  <c r="AC51" i="21"/>
  <c r="AC63" i="21"/>
  <c r="AB51" i="21"/>
  <c r="AB63" i="21"/>
  <c r="AA51" i="21"/>
  <c r="AA63" i="21"/>
  <c r="Z51" i="21"/>
  <c r="Z63" i="21"/>
  <c r="Y51" i="21"/>
  <c r="Y63" i="21"/>
  <c r="X51" i="21"/>
  <c r="X63" i="21"/>
  <c r="W51" i="21"/>
  <c r="W63" i="21"/>
  <c r="V51" i="21"/>
  <c r="V63" i="21"/>
  <c r="U51" i="21"/>
  <c r="U63" i="21"/>
  <c r="T51" i="21"/>
  <c r="T63" i="21"/>
  <c r="S51" i="21"/>
  <c r="R51" i="21"/>
  <c r="R63" i="21"/>
  <c r="Q51" i="21"/>
  <c r="Q63" i="21"/>
  <c r="P51" i="21"/>
  <c r="P63" i="21"/>
  <c r="N51" i="21"/>
  <c r="N63" i="21"/>
  <c r="K51" i="21"/>
  <c r="K63" i="21"/>
  <c r="J51" i="21"/>
  <c r="J63" i="21"/>
  <c r="I51" i="21"/>
  <c r="I63" i="21"/>
  <c r="H51" i="21"/>
  <c r="H63" i="21"/>
  <c r="F51" i="21"/>
  <c r="F63" i="21"/>
  <c r="E51" i="21"/>
  <c r="E63" i="21"/>
  <c r="C51" i="21"/>
  <c r="C63" i="21"/>
  <c r="B51" i="21"/>
  <c r="B63" i="21"/>
  <c r="CK50" i="21"/>
  <c r="CK41" i="21"/>
  <c r="CJ50" i="21"/>
  <c r="CJ41" i="21"/>
  <c r="CI41" i="21"/>
  <c r="CI50" i="21"/>
  <c r="CH41" i="21"/>
  <c r="CH50" i="21"/>
  <c r="CG50" i="21"/>
  <c r="CG41" i="21"/>
  <c r="CF41" i="21"/>
  <c r="CF50" i="21"/>
  <c r="CE41" i="21"/>
  <c r="CE50" i="21"/>
  <c r="CD50" i="21"/>
  <c r="CD41" i="21"/>
  <c r="CC50" i="21"/>
  <c r="CC41" i="21"/>
  <c r="CB41" i="21"/>
  <c r="CB50" i="21"/>
  <c r="CA41" i="21"/>
  <c r="CA50" i="21"/>
  <c r="BZ50" i="21"/>
  <c r="BZ41" i="21"/>
  <c r="AZ40" i="21"/>
  <c r="AZ38" i="21"/>
  <c r="AX40" i="21"/>
  <c r="AX38" i="21"/>
  <c r="AW41" i="21"/>
  <c r="AW50" i="21"/>
  <c r="AV50" i="21"/>
  <c r="AV41" i="21"/>
  <c r="AU50" i="21"/>
  <c r="AU41" i="21"/>
  <c r="AT41" i="21"/>
  <c r="AT50" i="21"/>
  <c r="AS50" i="21"/>
  <c r="AS41" i="21"/>
  <c r="AA30" i="20"/>
  <c r="AA41" i="20"/>
  <c r="Z30" i="20"/>
  <c r="Z41" i="20"/>
  <c r="Y30" i="20"/>
  <c r="Y41" i="20"/>
  <c r="X30" i="20"/>
  <c r="X41" i="20"/>
  <c r="W30" i="20"/>
  <c r="W41" i="20"/>
  <c r="V30" i="20"/>
  <c r="V41" i="20"/>
  <c r="U30" i="20"/>
  <c r="U41" i="20"/>
  <c r="T30" i="20"/>
  <c r="T41" i="20"/>
  <c r="S30" i="20"/>
  <c r="S41" i="20"/>
  <c r="R30" i="20"/>
  <c r="R41" i="20"/>
  <c r="Q30" i="20"/>
  <c r="Q41" i="20"/>
  <c r="P30" i="20"/>
  <c r="P41" i="20"/>
  <c r="O30" i="20"/>
  <c r="O41" i="20"/>
  <c r="N30" i="20"/>
  <c r="N41" i="20"/>
  <c r="M30" i="20"/>
  <c r="M41" i="20"/>
  <c r="L30" i="20"/>
  <c r="L41" i="20"/>
  <c r="K30" i="20"/>
  <c r="K41" i="20"/>
  <c r="J30" i="20"/>
  <c r="J41" i="20"/>
  <c r="I30" i="20"/>
  <c r="I41" i="20"/>
  <c r="H30" i="20"/>
  <c r="H41" i="20"/>
  <c r="G30" i="20"/>
  <c r="G41" i="20"/>
  <c r="F30" i="20"/>
  <c r="F41" i="20"/>
  <c r="E30" i="20"/>
  <c r="E41" i="20"/>
  <c r="D30" i="20"/>
  <c r="D41" i="20"/>
  <c r="C30" i="20"/>
  <c r="C41" i="20"/>
  <c r="B30" i="20"/>
  <c r="B41" i="20"/>
  <c r="FG214" i="18"/>
  <c r="FF214" i="18"/>
  <c r="DC14" i="2" l="1"/>
  <c r="DC13" i="2"/>
  <c r="DD4" i="2"/>
  <c r="EZ112" i="15"/>
  <c r="DS130" i="15"/>
  <c r="FA112" i="15"/>
  <c r="FJ112" i="15" s="1"/>
  <c r="DV130" i="15"/>
  <c r="FB130" i="15"/>
  <c r="DY142" i="15"/>
  <c r="FB142" i="15" s="1"/>
  <c r="FC130" i="15"/>
  <c r="EB142" i="15"/>
  <c r="FC142" i="15" s="1"/>
  <c r="DC335" i="2"/>
  <c r="DD336" i="2"/>
  <c r="DC438" i="2"/>
  <c r="DC384" i="2"/>
  <c r="DD385" i="2"/>
  <c r="DC437" i="2"/>
  <c r="DD437" i="2" s="1"/>
  <c r="DM14" i="2"/>
  <c r="DM13" i="2"/>
  <c r="DN4" i="2"/>
  <c r="DE147" i="2"/>
  <c r="DD159" i="2"/>
  <c r="M51" i="21"/>
  <c r="O63" i="21"/>
  <c r="BH63" i="21"/>
  <c r="AJ50" i="21"/>
  <c r="AJ51" i="21" s="1"/>
  <c r="L63" i="21"/>
  <c r="BQ63" i="21"/>
  <c r="D51" i="21"/>
  <c r="G63" i="21"/>
  <c r="G64" i="21" s="1"/>
  <c r="AI63" i="21"/>
  <c r="AI64" i="21" s="1"/>
  <c r="BI63" i="21"/>
  <c r="BI69" i="21" s="1"/>
  <c r="BI70" i="21" s="1"/>
  <c r="DA433" i="2"/>
  <c r="CX59" i="18"/>
  <c r="CX51" i="18"/>
  <c r="CX748" i="2"/>
  <c r="CY68" i="18" s="1"/>
  <c r="BY64" i="21"/>
  <c r="BY69" i="21"/>
  <c r="BY70" i="21" s="1"/>
  <c r="BX64" i="21"/>
  <c r="BX69" i="21"/>
  <c r="BX70" i="21" s="1"/>
  <c r="BW69" i="21"/>
  <c r="BW70" i="21" s="1"/>
  <c r="BW64" i="21"/>
  <c r="BV69" i="21"/>
  <c r="BV70" i="21" s="1"/>
  <c r="BV64" i="21"/>
  <c r="BU64" i="21"/>
  <c r="BU69" i="21"/>
  <c r="BU70" i="21" s="1"/>
  <c r="BT64" i="21"/>
  <c r="BT69" i="21"/>
  <c r="BT70" i="21" s="1"/>
  <c r="BS64" i="21"/>
  <c r="BS69" i="21"/>
  <c r="BS70" i="21" s="1"/>
  <c r="BR69" i="21"/>
  <c r="BR70" i="21" s="1"/>
  <c r="BR64" i="21"/>
  <c r="BQ64" i="21"/>
  <c r="BQ69" i="21"/>
  <c r="BQ70" i="21" s="1"/>
  <c r="BP64" i="21"/>
  <c r="BP69" i="21"/>
  <c r="BP70" i="21" s="1"/>
  <c r="BO69" i="21"/>
  <c r="BO70" i="21" s="1"/>
  <c r="BO64" i="21"/>
  <c r="BN69" i="21"/>
  <c r="BN70" i="21" s="1"/>
  <c r="BN64" i="21"/>
  <c r="BM64" i="21"/>
  <c r="BM69" i="21"/>
  <c r="BM70" i="21" s="1"/>
  <c r="BL69" i="21"/>
  <c r="BL70" i="21" s="1"/>
  <c r="BL64" i="21"/>
  <c r="BK64" i="21"/>
  <c r="BK69" i="21"/>
  <c r="BK70" i="21" s="1"/>
  <c r="BJ64" i="21"/>
  <c r="BJ69" i="21"/>
  <c r="BJ70" i="21" s="1"/>
  <c r="BI64" i="21"/>
  <c r="BH69" i="21"/>
  <c r="BH70" i="21" s="1"/>
  <c r="BH64" i="21"/>
  <c r="BG64" i="21"/>
  <c r="BG69" i="21"/>
  <c r="BG70" i="21" s="1"/>
  <c r="BF64" i="21"/>
  <c r="BF69" i="21"/>
  <c r="BF70" i="21" s="1"/>
  <c r="BE69" i="21"/>
  <c r="BE70" i="21" s="1"/>
  <c r="BE64" i="21"/>
  <c r="BD64" i="21"/>
  <c r="BD69" i="21"/>
  <c r="BD70" i="21" s="1"/>
  <c r="BC69" i="21"/>
  <c r="BC70" i="21" s="1"/>
  <c r="BC64" i="21"/>
  <c r="BB64" i="21"/>
  <c r="BB69" i="21"/>
  <c r="BB70" i="21" s="1"/>
  <c r="BA69" i="21"/>
  <c r="BA70" i="21" s="1"/>
  <c r="BA64" i="21"/>
  <c r="AY64" i="21"/>
  <c r="AY69" i="21"/>
  <c r="AY70" i="21" s="1"/>
  <c r="AR64" i="21"/>
  <c r="AR69" i="21"/>
  <c r="AR70" i="21" s="1"/>
  <c r="AQ64" i="21"/>
  <c r="AQ69" i="21"/>
  <c r="AQ70" i="21" s="1"/>
  <c r="AP64" i="21"/>
  <c r="AP69" i="21"/>
  <c r="AP70" i="21" s="1"/>
  <c r="AO64" i="21"/>
  <c r="AO69" i="21"/>
  <c r="AO70" i="21" s="1"/>
  <c r="AN64" i="21"/>
  <c r="AN69" i="21"/>
  <c r="AN70" i="21" s="1"/>
  <c r="AM64" i="21"/>
  <c r="AM69" i="21"/>
  <c r="AM70" i="21" s="1"/>
  <c r="AL64" i="21"/>
  <c r="AL69" i="21"/>
  <c r="AL70" i="21" s="1"/>
  <c r="AK69" i="21"/>
  <c r="AK70" i="21" s="1"/>
  <c r="AK64" i="21"/>
  <c r="AH64" i="21"/>
  <c r="AH69" i="21"/>
  <c r="AH70" i="21" s="1"/>
  <c r="AG64" i="21"/>
  <c r="AG69" i="21"/>
  <c r="AG70" i="21" s="1"/>
  <c r="AF64" i="21"/>
  <c r="AF69" i="21"/>
  <c r="AF70" i="21" s="1"/>
  <c r="AE64" i="21"/>
  <c r="AE69" i="21"/>
  <c r="AE70" i="21" s="1"/>
  <c r="AD64" i="21"/>
  <c r="AD69" i="21"/>
  <c r="AD70" i="21" s="1"/>
  <c r="AC64" i="21"/>
  <c r="AC69" i="21"/>
  <c r="AC70" i="21" s="1"/>
  <c r="AB69" i="21"/>
  <c r="AB70" i="21" s="1"/>
  <c r="AB64" i="21"/>
  <c r="AA64" i="21"/>
  <c r="AA69" i="21"/>
  <c r="AA70" i="21" s="1"/>
  <c r="Z69" i="21"/>
  <c r="Z70" i="21" s="1"/>
  <c r="Z64" i="21"/>
  <c r="Y69" i="21"/>
  <c r="Y70" i="21" s="1"/>
  <c r="Y64" i="21"/>
  <c r="X64" i="21"/>
  <c r="X69" i="21"/>
  <c r="X70" i="21" s="1"/>
  <c r="W64" i="21"/>
  <c r="W69" i="21"/>
  <c r="W70" i="21" s="1"/>
  <c r="V64" i="21"/>
  <c r="V69" i="21"/>
  <c r="V70" i="21" s="1"/>
  <c r="U69" i="21"/>
  <c r="U70" i="21" s="1"/>
  <c r="U64" i="21"/>
  <c r="T64" i="21"/>
  <c r="T69" i="21"/>
  <c r="T70" i="21" s="1"/>
  <c r="S69" i="21"/>
  <c r="S70" i="21" s="1"/>
  <c r="S64" i="21"/>
  <c r="R64" i="21"/>
  <c r="R69" i="21"/>
  <c r="R70" i="21" s="1"/>
  <c r="Q64" i="21"/>
  <c r="Q69" i="21"/>
  <c r="Q70" i="21" s="1"/>
  <c r="P64" i="21"/>
  <c r="P69" i="21"/>
  <c r="P70" i="21" s="1"/>
  <c r="O64" i="21"/>
  <c r="O69" i="21"/>
  <c r="O70" i="21" s="1"/>
  <c r="N69" i="21"/>
  <c r="N70" i="21" s="1"/>
  <c r="N64" i="21"/>
  <c r="M69" i="21"/>
  <c r="M70" i="21" s="1"/>
  <c r="M64" i="21"/>
  <c r="L64" i="21"/>
  <c r="L69" i="21"/>
  <c r="L70" i="21" s="1"/>
  <c r="K69" i="21"/>
  <c r="K70" i="21" s="1"/>
  <c r="K64" i="21"/>
  <c r="J64" i="21"/>
  <c r="J69" i="21"/>
  <c r="J70" i="21" s="1"/>
  <c r="I64" i="21"/>
  <c r="I69" i="21"/>
  <c r="I70" i="21" s="1"/>
  <c r="H69" i="21"/>
  <c r="H70" i="21" s="1"/>
  <c r="H64" i="21"/>
  <c r="F64" i="21"/>
  <c r="F69" i="21"/>
  <c r="F70" i="21" s="1"/>
  <c r="E64" i="21"/>
  <c r="E69" i="21"/>
  <c r="E70" i="21" s="1"/>
  <c r="D64" i="21"/>
  <c r="D69" i="21"/>
  <c r="D70" i="21" s="1"/>
  <c r="C64" i="21"/>
  <c r="C69" i="21"/>
  <c r="C70" i="21" s="1"/>
  <c r="B69" i="21"/>
  <c r="B70" i="21" s="1"/>
  <c r="B64" i="21"/>
  <c r="CK51" i="21"/>
  <c r="CK63" i="21"/>
  <c r="CJ51" i="21"/>
  <c r="CJ63" i="21"/>
  <c r="CI51" i="21"/>
  <c r="CI63" i="21"/>
  <c r="CH51" i="21"/>
  <c r="CH63" i="21"/>
  <c r="CG51" i="21"/>
  <c r="CG63" i="21"/>
  <c r="CF51" i="21"/>
  <c r="CF63" i="21"/>
  <c r="CE51" i="21"/>
  <c r="CE63" i="21"/>
  <c r="CD51" i="21"/>
  <c r="CD63" i="21"/>
  <c r="CC51" i="21"/>
  <c r="CC63" i="21"/>
  <c r="CB51" i="21"/>
  <c r="CB63" i="21"/>
  <c r="CA51" i="21"/>
  <c r="CA63" i="21"/>
  <c r="BZ51" i="21"/>
  <c r="BZ63" i="21"/>
  <c r="AZ41" i="21"/>
  <c r="AZ50" i="21"/>
  <c r="AX50" i="21"/>
  <c r="AX41" i="21"/>
  <c r="AW51" i="21"/>
  <c r="AW63" i="21"/>
  <c r="AV51" i="21"/>
  <c r="AV63" i="21"/>
  <c r="AU51" i="21"/>
  <c r="AU63" i="21"/>
  <c r="AT51" i="21"/>
  <c r="AT63" i="21"/>
  <c r="AS51" i="21"/>
  <c r="AS63" i="21"/>
  <c r="AA42" i="20"/>
  <c r="AA47" i="20"/>
  <c r="Z42" i="20"/>
  <c r="Z47" i="20"/>
  <c r="Y42" i="20"/>
  <c r="Y47" i="20"/>
  <c r="X42" i="20"/>
  <c r="X47" i="20"/>
  <c r="W42" i="20"/>
  <c r="W47" i="20"/>
  <c r="V42" i="20"/>
  <c r="V47" i="20"/>
  <c r="U42" i="20"/>
  <c r="U47" i="20"/>
  <c r="T42" i="20"/>
  <c r="T47" i="20"/>
  <c r="S42" i="20"/>
  <c r="S47" i="20"/>
  <c r="R42" i="20"/>
  <c r="R47" i="20"/>
  <c r="Q42" i="20"/>
  <c r="Q47" i="20"/>
  <c r="P42" i="20"/>
  <c r="P47" i="20"/>
  <c r="O42" i="20"/>
  <c r="O47" i="20"/>
  <c r="N42" i="20"/>
  <c r="N47" i="20"/>
  <c r="M42" i="20"/>
  <c r="M47" i="20"/>
  <c r="L42" i="20"/>
  <c r="L47" i="20"/>
  <c r="K42" i="20"/>
  <c r="K47" i="20"/>
  <c r="J42" i="20"/>
  <c r="J47" i="20"/>
  <c r="I42" i="20"/>
  <c r="I47" i="20"/>
  <c r="H42" i="20"/>
  <c r="H47" i="20"/>
  <c r="G42" i="20"/>
  <c r="G47" i="20"/>
  <c r="F42" i="20"/>
  <c r="F47" i="20"/>
  <c r="E42" i="20"/>
  <c r="E47" i="20"/>
  <c r="D42" i="20"/>
  <c r="D47" i="20"/>
  <c r="C42" i="20"/>
  <c r="C47" i="20"/>
  <c r="B42" i="20"/>
  <c r="B47" i="20"/>
  <c r="DD13" i="2" l="1"/>
  <c r="DD14" i="2"/>
  <c r="DE4" i="2"/>
  <c r="DS142" i="15"/>
  <c r="EZ142" i="15" s="1"/>
  <c r="EZ130" i="15"/>
  <c r="FA130" i="15"/>
  <c r="FJ130" i="15" s="1"/>
  <c r="DV142" i="15"/>
  <c r="FA142" i="15" s="1"/>
  <c r="FJ142" i="15" s="1"/>
  <c r="DD335" i="2"/>
  <c r="DE336" i="2"/>
  <c r="DD384" i="2"/>
  <c r="DE385" i="2"/>
  <c r="DF385" i="2" s="1"/>
  <c r="DD438" i="2"/>
  <c r="DE438" i="2" s="1"/>
  <c r="DN14" i="2"/>
  <c r="DN13" i="2"/>
  <c r="DO4" i="2"/>
  <c r="DE159" i="2"/>
  <c r="AI69" i="21"/>
  <c r="AI70" i="21" s="1"/>
  <c r="AJ63" i="21"/>
  <c r="G69" i="21"/>
  <c r="G70" i="21" s="1"/>
  <c r="DB433" i="2"/>
  <c r="CY59" i="18"/>
  <c r="CY748" i="2"/>
  <c r="CZ68" i="18" s="1"/>
  <c r="CY51" i="18"/>
  <c r="CK64" i="21"/>
  <c r="CK69" i="21"/>
  <c r="CK70" i="21" s="1"/>
  <c r="CJ64" i="21"/>
  <c r="CJ69" i="21"/>
  <c r="CJ70" i="21" s="1"/>
  <c r="CI64" i="21"/>
  <c r="CI69" i="21"/>
  <c r="CI70" i="21" s="1"/>
  <c r="CH64" i="21"/>
  <c r="CH69" i="21"/>
  <c r="CH70" i="21" s="1"/>
  <c r="CG64" i="21"/>
  <c r="CG69" i="21"/>
  <c r="CG70" i="21" s="1"/>
  <c r="CF64" i="21"/>
  <c r="CF69" i="21"/>
  <c r="CF70" i="21" s="1"/>
  <c r="CE64" i="21"/>
  <c r="CE69" i="21"/>
  <c r="CE70" i="21" s="1"/>
  <c r="CD64" i="21"/>
  <c r="CD69" i="21"/>
  <c r="CD70" i="21" s="1"/>
  <c r="CC64" i="21"/>
  <c r="CC69" i="21"/>
  <c r="CC70" i="21" s="1"/>
  <c r="CB69" i="21"/>
  <c r="CB70" i="21" s="1"/>
  <c r="CB64" i="21"/>
  <c r="CA64" i="21"/>
  <c r="CA69" i="21"/>
  <c r="CA70" i="21" s="1"/>
  <c r="BZ64" i="21"/>
  <c r="BZ69" i="21"/>
  <c r="BZ70" i="21" s="1"/>
  <c r="AZ51" i="21"/>
  <c r="AZ63" i="21"/>
  <c r="AX51" i="21"/>
  <c r="AX63" i="21"/>
  <c r="AW69" i="21"/>
  <c r="AW70" i="21" s="1"/>
  <c r="AW64" i="21"/>
  <c r="AV64" i="21"/>
  <c r="AV69" i="21"/>
  <c r="AV70" i="21" s="1"/>
  <c r="AU69" i="21"/>
  <c r="AU70" i="21" s="1"/>
  <c r="AU64" i="21"/>
  <c r="AT64" i="21"/>
  <c r="AT69" i="21"/>
  <c r="AT70" i="21" s="1"/>
  <c r="AS69" i="21"/>
  <c r="AS70" i="21" s="1"/>
  <c r="AS64" i="21"/>
  <c r="AJ64" i="21"/>
  <c r="AJ69" i="21"/>
  <c r="AJ70" i="21" s="1"/>
  <c r="AA48" i="20"/>
  <c r="AA53" i="20"/>
  <c r="AA54" i="20" s="1"/>
  <c r="Z48" i="20"/>
  <c r="Z53" i="20"/>
  <c r="Z54" i="20" s="1"/>
  <c r="Y48" i="20"/>
  <c r="Y53" i="20"/>
  <c r="Y54" i="20" s="1"/>
  <c r="X48" i="20"/>
  <c r="X53" i="20"/>
  <c r="X54" i="20" s="1"/>
  <c r="W48" i="20"/>
  <c r="W53" i="20"/>
  <c r="W54" i="20" s="1"/>
  <c r="V48" i="20"/>
  <c r="V53" i="20"/>
  <c r="V54" i="20" s="1"/>
  <c r="U48" i="20"/>
  <c r="U53" i="20"/>
  <c r="U54" i="20" s="1"/>
  <c r="T48" i="20"/>
  <c r="T53" i="20"/>
  <c r="T54" i="20" s="1"/>
  <c r="S48" i="20"/>
  <c r="S53" i="20"/>
  <c r="S54" i="20" s="1"/>
  <c r="R48" i="20"/>
  <c r="R53" i="20"/>
  <c r="R54" i="20" s="1"/>
  <c r="Q48" i="20"/>
  <c r="Q53" i="20"/>
  <c r="Q54" i="20" s="1"/>
  <c r="P48" i="20"/>
  <c r="P53" i="20"/>
  <c r="P54" i="20" s="1"/>
  <c r="O48" i="20"/>
  <c r="O53" i="20"/>
  <c r="O54" i="20" s="1"/>
  <c r="N48" i="20"/>
  <c r="N53" i="20"/>
  <c r="N54" i="20" s="1"/>
  <c r="M48" i="20"/>
  <c r="M53" i="20"/>
  <c r="M54" i="20" s="1"/>
  <c r="L48" i="20"/>
  <c r="L53" i="20"/>
  <c r="L54" i="20" s="1"/>
  <c r="K48" i="20"/>
  <c r="K53" i="20"/>
  <c r="K54" i="20" s="1"/>
  <c r="J48" i="20"/>
  <c r="J53" i="20"/>
  <c r="J54" i="20" s="1"/>
  <c r="I48" i="20"/>
  <c r="I53" i="20"/>
  <c r="I54" i="20" s="1"/>
  <c r="H48" i="20"/>
  <c r="H53" i="20"/>
  <c r="H54" i="20" s="1"/>
  <c r="G48" i="20"/>
  <c r="G53" i="20"/>
  <c r="G54" i="20" s="1"/>
  <c r="F53" i="20"/>
  <c r="F54" i="20" s="1"/>
  <c r="F48" i="20"/>
  <c r="E48" i="20"/>
  <c r="E53" i="20"/>
  <c r="E54" i="20" s="1"/>
  <c r="D53" i="20"/>
  <c r="D54" i="20" s="1"/>
  <c r="D48" i="20"/>
  <c r="C48" i="20"/>
  <c r="C53" i="20"/>
  <c r="C54" i="20" s="1"/>
  <c r="B53" i="20"/>
  <c r="B54" i="20" s="1"/>
  <c r="B48" i="20"/>
  <c r="DE13" i="2" l="1"/>
  <c r="DE14" i="2"/>
  <c r="DG4" i="2"/>
  <c r="DF438" i="2"/>
  <c r="DF384" i="2"/>
  <c r="DG385" i="2"/>
  <c r="DE335" i="2"/>
  <c r="DG336" i="2"/>
  <c r="DE437" i="2"/>
  <c r="DF437" i="2" s="1"/>
  <c r="DG437" i="2" s="1"/>
  <c r="DE384" i="2"/>
  <c r="DO13" i="2"/>
  <c r="DO14" i="2"/>
  <c r="DP4" i="2"/>
  <c r="DF159" i="2"/>
  <c r="DG147" i="2"/>
  <c r="DC433" i="2"/>
  <c r="ES68" i="18"/>
  <c r="CZ59" i="18"/>
  <c r="CZ748" i="2"/>
  <c r="DA68" i="18" s="1"/>
  <c r="CZ51" i="18"/>
  <c r="AZ69" i="21"/>
  <c r="AZ70" i="21" s="1"/>
  <c r="AZ64" i="21"/>
  <c r="AX64" i="21"/>
  <c r="AX69" i="21"/>
  <c r="AX70" i="21" s="1"/>
  <c r="DG384" i="2" l="1"/>
  <c r="DH385" i="2"/>
  <c r="DG438" i="2"/>
  <c r="DH438" i="2" s="1"/>
  <c r="DH336" i="2"/>
  <c r="DG335" i="2"/>
  <c r="DP14" i="2"/>
  <c r="DP13" i="2"/>
  <c r="DQ4" i="2"/>
  <c r="DG159" i="2"/>
  <c r="DH147" i="2"/>
  <c r="DD433" i="2"/>
  <c r="DA59" i="18"/>
  <c r="DA748" i="2"/>
  <c r="DB68" i="18" s="1"/>
  <c r="DA51" i="18"/>
  <c r="DH437" i="2" l="1"/>
  <c r="DH384" i="2"/>
  <c r="DI385" i="2"/>
  <c r="DH335" i="2"/>
  <c r="DI336" i="2"/>
  <c r="DQ14" i="2"/>
  <c r="DQ13" i="2"/>
  <c r="DS4" i="2"/>
  <c r="DH159" i="2"/>
  <c r="DI147" i="2"/>
  <c r="DE433" i="2"/>
  <c r="DB59" i="18"/>
  <c r="DB748" i="2"/>
  <c r="DC68" i="18" s="1"/>
  <c r="DB51" i="18"/>
  <c r="DT4" i="2" l="1"/>
  <c r="DS14" i="2"/>
  <c r="DS13" i="2"/>
  <c r="DI438" i="2"/>
  <c r="DI384" i="2"/>
  <c r="DJ385" i="2"/>
  <c r="DI437" i="2"/>
  <c r="DJ437" i="2" s="1"/>
  <c r="DI335" i="2"/>
  <c r="DJ336" i="2"/>
  <c r="DI159" i="2"/>
  <c r="DJ147" i="2"/>
  <c r="DF433" i="2"/>
  <c r="ET68" i="18"/>
  <c r="DC59" i="18"/>
  <c r="DC748" i="2"/>
  <c r="DD68" i="18" s="1"/>
  <c r="DC51" i="18"/>
  <c r="DT13" i="2" l="1"/>
  <c r="DU4" i="2"/>
  <c r="DT14" i="2"/>
  <c r="DJ384" i="2"/>
  <c r="DK385" i="2"/>
  <c r="DJ438" i="2"/>
  <c r="DK438" i="2" s="1"/>
  <c r="DJ335" i="2"/>
  <c r="DK336" i="2"/>
  <c r="DJ159" i="2"/>
  <c r="DK147" i="2"/>
  <c r="DG433" i="2"/>
  <c r="DD59" i="18"/>
  <c r="DD51" i="18"/>
  <c r="DD748" i="2"/>
  <c r="DE68" i="18" s="1"/>
  <c r="DV4" i="2" l="1"/>
  <c r="DU14" i="2"/>
  <c r="DU13" i="2"/>
  <c r="DK437" i="2"/>
  <c r="DK384" i="2"/>
  <c r="DL385" i="2"/>
  <c r="DK335" i="2"/>
  <c r="DL336" i="2"/>
  <c r="DK159" i="2"/>
  <c r="DL147" i="2"/>
  <c r="DH433" i="2"/>
  <c r="DE59" i="18"/>
  <c r="DE748" i="2"/>
  <c r="DF68" i="18" s="1"/>
  <c r="DE51" i="18"/>
  <c r="DW4" i="2" l="1"/>
  <c r="DV13" i="2"/>
  <c r="DV14" i="2"/>
  <c r="DL437" i="2"/>
  <c r="DL438" i="2"/>
  <c r="DL384" i="2"/>
  <c r="DM385" i="2"/>
  <c r="DL335" i="2"/>
  <c r="DM336" i="2"/>
  <c r="DL159" i="2"/>
  <c r="DM147" i="2"/>
  <c r="DI433" i="2"/>
  <c r="EU68" i="18"/>
  <c r="FH68" i="18" s="1"/>
  <c r="F17" i="24" s="1"/>
  <c r="DF59" i="18"/>
  <c r="DF748" i="2"/>
  <c r="DG68" i="18" s="1"/>
  <c r="DF51" i="18"/>
  <c r="DW14" i="2" l="1"/>
  <c r="DX4" i="2"/>
  <c r="DW13" i="2"/>
  <c r="DM437" i="2"/>
  <c r="DM384" i="2"/>
  <c r="DN385" i="2"/>
  <c r="DM438" i="2"/>
  <c r="DN438" i="2" s="1"/>
  <c r="DM335" i="2"/>
  <c r="DN336" i="2"/>
  <c r="DM159" i="2"/>
  <c r="DN147" i="2"/>
  <c r="DJ433" i="2"/>
  <c r="DG59" i="18"/>
  <c r="DG748" i="2"/>
  <c r="DH68" i="18" s="1"/>
  <c r="DG51" i="18"/>
  <c r="DY4" i="2" l="1"/>
  <c r="DX13" i="2"/>
  <c r="DX14" i="2"/>
  <c r="DN437" i="2"/>
  <c r="DN384" i="2"/>
  <c r="DO385" i="2"/>
  <c r="DN335" i="2"/>
  <c r="DO336" i="2"/>
  <c r="DN159" i="2"/>
  <c r="DO147" i="2"/>
  <c r="DK433" i="2"/>
  <c r="DH59" i="18"/>
  <c r="DH748" i="2"/>
  <c r="DI68" i="18" s="1"/>
  <c r="DH51" i="18"/>
  <c r="DY13" i="2" l="1"/>
  <c r="DZ4" i="2"/>
  <c r="DY14" i="2"/>
  <c r="DO437" i="2"/>
  <c r="DO438" i="2"/>
  <c r="DO384" i="2"/>
  <c r="DP385" i="2"/>
  <c r="DO335" i="2"/>
  <c r="DP336" i="2"/>
  <c r="DO159" i="2"/>
  <c r="DP147" i="2"/>
  <c r="DL433" i="2"/>
  <c r="EV68" i="18"/>
  <c r="DI59" i="18"/>
  <c r="DI748" i="2"/>
  <c r="DJ68" i="18" s="1"/>
  <c r="DI51" i="18"/>
  <c r="DZ13" i="2" l="1"/>
  <c r="EA4" i="2"/>
  <c r="DZ14" i="2"/>
  <c r="DP384" i="2"/>
  <c r="DQ385" i="2"/>
  <c r="DP438" i="2"/>
  <c r="DQ438" i="2" s="1"/>
  <c r="DP437" i="2"/>
  <c r="DQ437" i="2" s="1"/>
  <c r="DP335" i="2"/>
  <c r="DQ336" i="2"/>
  <c r="DP159" i="2"/>
  <c r="DQ147" i="2"/>
  <c r="DM433" i="2"/>
  <c r="DJ59" i="18"/>
  <c r="DJ748" i="2"/>
  <c r="DK68" i="18" s="1"/>
  <c r="DJ51" i="18"/>
  <c r="EA13" i="2" l="1"/>
  <c r="EB4" i="2"/>
  <c r="EA14" i="2"/>
  <c r="DQ384" i="2"/>
  <c r="DR385" i="2"/>
  <c r="DQ335" i="2"/>
  <c r="DQ159" i="2"/>
  <c r="DN433" i="2"/>
  <c r="DK59" i="18"/>
  <c r="DK748" i="2"/>
  <c r="DL68" i="18" s="1"/>
  <c r="DK51" i="18"/>
  <c r="EB14" i="2" l="1"/>
  <c r="EC4" i="2"/>
  <c r="EB13" i="2"/>
  <c r="DR437" i="2"/>
  <c r="DR438" i="2"/>
  <c r="DR384" i="2"/>
  <c r="DS385" i="2"/>
  <c r="DR335" i="2"/>
  <c r="DS336" i="2"/>
  <c r="DR159" i="2"/>
  <c r="DS147" i="2"/>
  <c r="DO433" i="2"/>
  <c r="EW68" i="18"/>
  <c r="DL59" i="18"/>
  <c r="DL748" i="2"/>
  <c r="DM68" i="18" s="1"/>
  <c r="DL51" i="18"/>
  <c r="EC13" i="2" l="1"/>
  <c r="EC14" i="2"/>
  <c r="DS384" i="2"/>
  <c r="DT385" i="2"/>
  <c r="DS438" i="2"/>
  <c r="DT438" i="2" s="1"/>
  <c r="DS437" i="2"/>
  <c r="DT437" i="2" s="1"/>
  <c r="DT336" i="2"/>
  <c r="DS335" i="2"/>
  <c r="DS159" i="2"/>
  <c r="DT147" i="2"/>
  <c r="DP433" i="2"/>
  <c r="DM59" i="18"/>
  <c r="DM748" i="2"/>
  <c r="DN68" i="18" s="1"/>
  <c r="DM51" i="18"/>
  <c r="DT384" i="2" l="1"/>
  <c r="DU385" i="2"/>
  <c r="DT335" i="2"/>
  <c r="DU336" i="2"/>
  <c r="DT159" i="2"/>
  <c r="DU147" i="2"/>
  <c r="DQ433" i="2"/>
  <c r="DN59" i="18"/>
  <c r="DN748" i="2"/>
  <c r="DO68" i="18" s="1"/>
  <c r="DN51" i="18"/>
  <c r="DU437" i="2" l="1"/>
  <c r="DU438" i="2"/>
  <c r="DU384" i="2"/>
  <c r="DV385" i="2"/>
  <c r="DU335" i="2"/>
  <c r="DV336" i="2"/>
  <c r="DU159" i="2"/>
  <c r="DV147" i="2"/>
  <c r="EX68" i="18"/>
  <c r="DO59" i="18"/>
  <c r="DO51" i="18"/>
  <c r="DO748" i="2"/>
  <c r="DP68" i="18" s="1"/>
  <c r="DV384" i="2" l="1"/>
  <c r="DW385" i="2"/>
  <c r="DV437" i="2"/>
  <c r="DW437" i="2" s="1"/>
  <c r="DV438" i="2"/>
  <c r="DW438" i="2" s="1"/>
  <c r="DW336" i="2"/>
  <c r="DV335" i="2"/>
  <c r="DV159" i="2"/>
  <c r="DW147" i="2"/>
  <c r="DR433" i="2"/>
  <c r="DP59" i="18"/>
  <c r="DP748" i="2"/>
  <c r="DQ68" i="18" s="1"/>
  <c r="DP51" i="18"/>
  <c r="DW384" i="2" l="1"/>
  <c r="DX385" i="2"/>
  <c r="DW335" i="2"/>
  <c r="DX336" i="2"/>
  <c r="DW159" i="2"/>
  <c r="DX147" i="2"/>
  <c r="DS433" i="2"/>
  <c r="DQ59" i="18"/>
  <c r="DQ51" i="18"/>
  <c r="DX438" i="2" l="1"/>
  <c r="DX437" i="2"/>
  <c r="DX384" i="2"/>
  <c r="DY385" i="2"/>
  <c r="DY336" i="2"/>
  <c r="DX335" i="2"/>
  <c r="DX159" i="2"/>
  <c r="DY147" i="2"/>
  <c r="DT433" i="2"/>
  <c r="DS51" i="18"/>
  <c r="DR748" i="2"/>
  <c r="DS68" i="18" s="1"/>
  <c r="DR51" i="18"/>
  <c r="DQ748" i="2"/>
  <c r="DR68" i="18" s="1"/>
  <c r="EQ208" i="18"/>
  <c r="EP208" i="18"/>
  <c r="EO208" i="18"/>
  <c r="EN208" i="18"/>
  <c r="EM208" i="18"/>
  <c r="EL208" i="18"/>
  <c r="EK208" i="18"/>
  <c r="EJ208" i="18"/>
  <c r="EI208" i="18"/>
  <c r="EH208" i="18"/>
  <c r="EG208" i="18"/>
  <c r="EF208" i="18"/>
  <c r="EQ207" i="18"/>
  <c r="EP207" i="18"/>
  <c r="EO207" i="18"/>
  <c r="EN207" i="18"/>
  <c r="EM207" i="18"/>
  <c r="EL207" i="18"/>
  <c r="EK207" i="18"/>
  <c r="EJ207" i="18"/>
  <c r="EI207" i="18"/>
  <c r="EH207" i="18"/>
  <c r="EG207" i="18"/>
  <c r="EF207" i="18"/>
  <c r="EQ206" i="18"/>
  <c r="EP206" i="18"/>
  <c r="EO206" i="18"/>
  <c r="EN206" i="18"/>
  <c r="EM206" i="18"/>
  <c r="EL206" i="18"/>
  <c r="EK206" i="18"/>
  <c r="EJ206" i="18"/>
  <c r="EI206" i="18"/>
  <c r="EH206" i="18"/>
  <c r="EG206" i="18"/>
  <c r="EF206" i="18"/>
  <c r="EQ205" i="18"/>
  <c r="EP205" i="18"/>
  <c r="EO205" i="18"/>
  <c r="EN205" i="18"/>
  <c r="EM205" i="18"/>
  <c r="EL205" i="18"/>
  <c r="EK205" i="18"/>
  <c r="EJ205" i="18"/>
  <c r="EI205" i="18"/>
  <c r="EH205" i="18"/>
  <c r="EG205" i="18"/>
  <c r="EF205" i="18"/>
  <c r="EQ204" i="18"/>
  <c r="EP204" i="18"/>
  <c r="EO204" i="18"/>
  <c r="EN204" i="18"/>
  <c r="EM204" i="18"/>
  <c r="EL204" i="18"/>
  <c r="EK204" i="18"/>
  <c r="EJ204" i="18"/>
  <c r="EI204" i="18"/>
  <c r="EH204" i="18"/>
  <c r="EG204" i="18"/>
  <c r="EF204" i="18"/>
  <c r="EQ203" i="18"/>
  <c r="EP203" i="18"/>
  <c r="EO203" i="18"/>
  <c r="EN203" i="18"/>
  <c r="EM203" i="18"/>
  <c r="EL203" i="18"/>
  <c r="EK203" i="18"/>
  <c r="EJ203" i="18"/>
  <c r="EI203" i="18"/>
  <c r="EH203" i="18"/>
  <c r="EG203" i="18"/>
  <c r="EF203" i="18"/>
  <c r="EQ202" i="18"/>
  <c r="EP202" i="18"/>
  <c r="EO202" i="18"/>
  <c r="EN202" i="18"/>
  <c r="EM202" i="18"/>
  <c r="EL202" i="18"/>
  <c r="EK202" i="18"/>
  <c r="EJ202" i="18"/>
  <c r="EI202" i="18"/>
  <c r="EH202" i="18"/>
  <c r="EG202" i="18"/>
  <c r="EF202" i="18"/>
  <c r="EQ201" i="18"/>
  <c r="EP201" i="18"/>
  <c r="EO201" i="18"/>
  <c r="EN201" i="18"/>
  <c r="EM201" i="18"/>
  <c r="EL201" i="18"/>
  <c r="EK201" i="18"/>
  <c r="EJ201" i="18"/>
  <c r="EI201" i="18"/>
  <c r="EH201" i="18"/>
  <c r="EG201" i="18"/>
  <c r="EF201" i="18"/>
  <c r="EY186" i="18"/>
  <c r="EX186" i="18"/>
  <c r="EW186" i="18"/>
  <c r="EV186" i="18"/>
  <c r="EU186" i="18"/>
  <c r="ET186" i="18"/>
  <c r="ES186" i="18"/>
  <c r="ER186" i="18"/>
  <c r="EQ186" i="18"/>
  <c r="EP186" i="18"/>
  <c r="EO186" i="18"/>
  <c r="EN186" i="18"/>
  <c r="EM186" i="18"/>
  <c r="EL186" i="18"/>
  <c r="EK186" i="18"/>
  <c r="EJ186" i="18"/>
  <c r="EI186" i="18"/>
  <c r="EH186" i="18"/>
  <c r="EG186" i="18"/>
  <c r="EF186" i="18"/>
  <c r="EQ185" i="18"/>
  <c r="EP185" i="18"/>
  <c r="EO185" i="18"/>
  <c r="EN185" i="18"/>
  <c r="EM185" i="18"/>
  <c r="EL185" i="18"/>
  <c r="EK185" i="18"/>
  <c r="EJ185" i="18"/>
  <c r="EI185" i="18"/>
  <c r="EH185" i="18"/>
  <c r="EG185" i="18"/>
  <c r="EF185" i="18"/>
  <c r="EY181" i="18"/>
  <c r="EX181" i="18"/>
  <c r="EW181" i="18"/>
  <c r="EV181" i="18"/>
  <c r="EU181" i="18"/>
  <c r="ET181" i="18"/>
  <c r="ES181" i="18"/>
  <c r="ER181" i="18"/>
  <c r="EQ181" i="18"/>
  <c r="EP181" i="18"/>
  <c r="EO181" i="18"/>
  <c r="EN181" i="18"/>
  <c r="EM181" i="18"/>
  <c r="EL181" i="18"/>
  <c r="EK181" i="18"/>
  <c r="EJ181" i="18"/>
  <c r="EI181" i="18"/>
  <c r="EH181" i="18"/>
  <c r="EG181" i="18"/>
  <c r="EF181" i="18"/>
  <c r="EY180" i="18"/>
  <c r="EX180" i="18"/>
  <c r="EW180" i="18"/>
  <c r="EV180" i="18"/>
  <c r="EU180" i="18"/>
  <c r="ET180" i="18"/>
  <c r="ES180" i="18"/>
  <c r="ER180" i="18"/>
  <c r="EQ180" i="18"/>
  <c r="EP180" i="18"/>
  <c r="EO180" i="18"/>
  <c r="EN180" i="18"/>
  <c r="EM180" i="18"/>
  <c r="EL180" i="18"/>
  <c r="EK180" i="18"/>
  <c r="EJ180" i="18"/>
  <c r="EI180" i="18"/>
  <c r="EH180" i="18"/>
  <c r="EG180" i="18"/>
  <c r="EF180" i="18"/>
  <c r="EY179" i="18"/>
  <c r="EX179" i="18"/>
  <c r="EW179" i="18"/>
  <c r="EV179" i="18"/>
  <c r="EU179" i="18"/>
  <c r="ET179" i="18"/>
  <c r="ES179" i="18"/>
  <c r="ER179" i="18"/>
  <c r="EQ179" i="18"/>
  <c r="EP179" i="18"/>
  <c r="EO179" i="18"/>
  <c r="EN179" i="18"/>
  <c r="EM179" i="18"/>
  <c r="EL179" i="18"/>
  <c r="EK179" i="18"/>
  <c r="EJ179" i="18"/>
  <c r="EI179" i="18"/>
  <c r="EH179" i="18"/>
  <c r="EG179" i="18"/>
  <c r="EF179" i="18"/>
  <c r="EY163" i="18"/>
  <c r="EX163" i="18"/>
  <c r="EW163" i="18"/>
  <c r="EV163" i="18"/>
  <c r="EU163" i="18"/>
  <c r="ET163" i="18"/>
  <c r="ES163" i="18"/>
  <c r="ER163" i="18"/>
  <c r="EQ163" i="18"/>
  <c r="EP163" i="18"/>
  <c r="EO163" i="18"/>
  <c r="EN163" i="18"/>
  <c r="EM163" i="18"/>
  <c r="EL163" i="18"/>
  <c r="EK163" i="18"/>
  <c r="EJ163" i="18"/>
  <c r="EI163" i="18"/>
  <c r="EH163" i="18"/>
  <c r="EG163" i="18"/>
  <c r="EF163" i="18"/>
  <c r="EQ156" i="18"/>
  <c r="EP156" i="18"/>
  <c r="EO156" i="18"/>
  <c r="EN156" i="18"/>
  <c r="EM156" i="18"/>
  <c r="EL156" i="18"/>
  <c r="EK156" i="18"/>
  <c r="EJ156" i="18"/>
  <c r="EI156" i="18"/>
  <c r="EH156" i="18"/>
  <c r="EG156" i="18"/>
  <c r="EF156" i="18"/>
  <c r="EQ155" i="18"/>
  <c r="EP155" i="18"/>
  <c r="EO155" i="18"/>
  <c r="EN155" i="18"/>
  <c r="EM155" i="18"/>
  <c r="EL155" i="18"/>
  <c r="EK155" i="18"/>
  <c r="EJ155" i="18"/>
  <c r="EI155" i="18"/>
  <c r="EH155" i="18"/>
  <c r="EG155" i="18"/>
  <c r="EF155" i="18"/>
  <c r="EQ154" i="18"/>
  <c r="EP154" i="18"/>
  <c r="EO154" i="18"/>
  <c r="EN154" i="18"/>
  <c r="EM154" i="18"/>
  <c r="EL154" i="18"/>
  <c r="EK154" i="18"/>
  <c r="EJ154" i="18"/>
  <c r="EI154" i="18"/>
  <c r="EH154" i="18"/>
  <c r="EG154" i="18"/>
  <c r="EF154" i="18"/>
  <c r="EY151" i="18"/>
  <c r="EX151" i="18"/>
  <c r="EW151" i="18"/>
  <c r="EV151" i="18"/>
  <c r="EU151" i="18"/>
  <c r="ET151" i="18"/>
  <c r="ES151" i="18"/>
  <c r="ER151" i="18"/>
  <c r="EQ151" i="18"/>
  <c r="EP151" i="18"/>
  <c r="EO151" i="18"/>
  <c r="EN151" i="18"/>
  <c r="EM151" i="18"/>
  <c r="EL151" i="18"/>
  <c r="EK151" i="18"/>
  <c r="EJ151" i="18"/>
  <c r="EI151" i="18"/>
  <c r="EH151" i="18"/>
  <c r="EG151" i="18"/>
  <c r="EF151" i="18"/>
  <c r="EY150" i="18"/>
  <c r="EX150" i="18"/>
  <c r="EW150" i="18"/>
  <c r="EV150" i="18"/>
  <c r="EU150" i="18"/>
  <c r="ET150" i="18"/>
  <c r="ES150" i="18"/>
  <c r="ER150" i="18"/>
  <c r="EQ150" i="18"/>
  <c r="EP150" i="18"/>
  <c r="EO150" i="18"/>
  <c r="EN150" i="18"/>
  <c r="EM150" i="18"/>
  <c r="EL150" i="18"/>
  <c r="EK150" i="18"/>
  <c r="EJ150" i="18"/>
  <c r="EI150" i="18"/>
  <c r="EH150" i="18"/>
  <c r="EG150" i="18"/>
  <c r="EF150" i="18"/>
  <c r="EY125" i="18"/>
  <c r="EX125" i="18"/>
  <c r="EW125" i="18"/>
  <c r="EV125" i="18"/>
  <c r="EU125" i="18"/>
  <c r="ET125" i="18"/>
  <c r="ES125" i="18"/>
  <c r="ER125" i="18"/>
  <c r="EQ125" i="18"/>
  <c r="EP125" i="18"/>
  <c r="EO125" i="18"/>
  <c r="EN125" i="18"/>
  <c r="EM125" i="18"/>
  <c r="EL125" i="18"/>
  <c r="EK125" i="18"/>
  <c r="EJ125" i="18"/>
  <c r="EI125" i="18"/>
  <c r="EH125" i="18"/>
  <c r="EG125" i="18"/>
  <c r="EF125" i="18"/>
  <c r="EY124" i="18"/>
  <c r="EX124" i="18"/>
  <c r="EW124" i="18"/>
  <c r="EV124" i="18"/>
  <c r="EU124" i="18"/>
  <c r="ET124" i="18"/>
  <c r="ES124" i="18"/>
  <c r="ER124" i="18"/>
  <c r="EQ124" i="18"/>
  <c r="EP124" i="18"/>
  <c r="EO124" i="18"/>
  <c r="EN124" i="18"/>
  <c r="EM124" i="18"/>
  <c r="EL124" i="18"/>
  <c r="EK124" i="18"/>
  <c r="EJ124" i="18"/>
  <c r="EI124" i="18"/>
  <c r="EH124" i="18"/>
  <c r="EG124" i="18"/>
  <c r="EF124" i="18"/>
  <c r="EY123" i="18"/>
  <c r="EX123" i="18"/>
  <c r="EW123" i="18"/>
  <c r="EV123" i="18"/>
  <c r="EU123" i="18"/>
  <c r="ET123" i="18"/>
  <c r="ES123" i="18"/>
  <c r="ER123" i="18"/>
  <c r="EQ123" i="18"/>
  <c r="EP123" i="18"/>
  <c r="EO123" i="18"/>
  <c r="EN123" i="18"/>
  <c r="EM123" i="18"/>
  <c r="EL123" i="18"/>
  <c r="EK123" i="18"/>
  <c r="EJ123" i="18"/>
  <c r="EI123" i="18"/>
  <c r="EH123" i="18"/>
  <c r="EG123" i="18"/>
  <c r="EF123" i="18"/>
  <c r="EY122" i="18"/>
  <c r="EX122" i="18"/>
  <c r="EW122" i="18"/>
  <c r="EV122" i="18"/>
  <c r="EU122" i="18"/>
  <c r="ET122" i="18"/>
  <c r="ES122" i="18"/>
  <c r="ER122" i="18"/>
  <c r="EQ122" i="18"/>
  <c r="EP122" i="18"/>
  <c r="EO122" i="18"/>
  <c r="EN122" i="18"/>
  <c r="EM122" i="18"/>
  <c r="EL122" i="18"/>
  <c r="EK122" i="18"/>
  <c r="EJ122" i="18"/>
  <c r="EI122" i="18"/>
  <c r="EH122" i="18"/>
  <c r="EG122" i="18"/>
  <c r="EF122" i="18"/>
  <c r="EQ97" i="18"/>
  <c r="EP97" i="18"/>
  <c r="EO97" i="18"/>
  <c r="EN97" i="18"/>
  <c r="EM97" i="18"/>
  <c r="EL97" i="18"/>
  <c r="EK97" i="18"/>
  <c r="EJ97" i="18"/>
  <c r="EI97" i="18"/>
  <c r="EH97" i="18"/>
  <c r="EG97" i="18"/>
  <c r="EF97" i="18"/>
  <c r="EQ96" i="18"/>
  <c r="EP96" i="18"/>
  <c r="EO96" i="18"/>
  <c r="EN96" i="18"/>
  <c r="EM96" i="18"/>
  <c r="EL96" i="18"/>
  <c r="EK96" i="18"/>
  <c r="EJ96" i="18"/>
  <c r="EI96" i="18"/>
  <c r="EH96" i="18"/>
  <c r="EG96" i="18"/>
  <c r="EF96" i="18"/>
  <c r="EQ95" i="18"/>
  <c r="EP95" i="18"/>
  <c r="EO95" i="18"/>
  <c r="EN95" i="18"/>
  <c r="EM95" i="18"/>
  <c r="EL95" i="18"/>
  <c r="EK95" i="18"/>
  <c r="EJ95" i="18"/>
  <c r="EI95" i="18"/>
  <c r="EH95" i="18"/>
  <c r="EG95" i="18"/>
  <c r="EF95" i="18"/>
  <c r="EQ94" i="18"/>
  <c r="EP94" i="18"/>
  <c r="EO94" i="18"/>
  <c r="EN94" i="18"/>
  <c r="EM94" i="18"/>
  <c r="EL94" i="18"/>
  <c r="EK94" i="18"/>
  <c r="EJ94" i="18"/>
  <c r="EI94" i="18"/>
  <c r="EH94" i="18"/>
  <c r="EG94" i="18"/>
  <c r="EF94" i="18"/>
  <c r="EQ93" i="18"/>
  <c r="EP93" i="18"/>
  <c r="EO93" i="18"/>
  <c r="EN93" i="18"/>
  <c r="EM93" i="18"/>
  <c r="EL93" i="18"/>
  <c r="EK93" i="18"/>
  <c r="EJ93" i="18"/>
  <c r="EI93" i="18"/>
  <c r="EH93" i="18"/>
  <c r="EG93" i="18"/>
  <c r="EF93" i="18"/>
  <c r="EQ92" i="18"/>
  <c r="EP92" i="18"/>
  <c r="EO92" i="18"/>
  <c r="EN92" i="18"/>
  <c r="EM92" i="18"/>
  <c r="EL92" i="18"/>
  <c r="EK92" i="18"/>
  <c r="EJ92" i="18"/>
  <c r="EI92" i="18"/>
  <c r="EH92" i="18"/>
  <c r="EG92" i="18"/>
  <c r="EF92" i="18"/>
  <c r="EQ91" i="18"/>
  <c r="EP91" i="18"/>
  <c r="EO91" i="18"/>
  <c r="EN91" i="18"/>
  <c r="EM91" i="18"/>
  <c r="EL91" i="18"/>
  <c r="EK91" i="18"/>
  <c r="EJ91" i="18"/>
  <c r="EI91" i="18"/>
  <c r="EH91" i="18"/>
  <c r="EG91" i="18"/>
  <c r="EF91" i="18"/>
  <c r="EQ90" i="18"/>
  <c r="EP90" i="18"/>
  <c r="EO90" i="18"/>
  <c r="EN90" i="18"/>
  <c r="EM90" i="18"/>
  <c r="EL90" i="18"/>
  <c r="EK90" i="18"/>
  <c r="EJ90" i="18"/>
  <c r="EI90" i="18"/>
  <c r="EH90" i="18"/>
  <c r="EG90" i="18"/>
  <c r="EF90" i="18"/>
  <c r="EY88" i="18"/>
  <c r="EX88" i="18"/>
  <c r="EW88" i="18"/>
  <c r="EV88" i="18"/>
  <c r="EU88" i="18"/>
  <c r="ET88" i="18"/>
  <c r="ES88" i="18"/>
  <c r="ER88" i="18"/>
  <c r="EQ88" i="18"/>
  <c r="EP88" i="18"/>
  <c r="EO88" i="18"/>
  <c r="EN88" i="18"/>
  <c r="EM88" i="18"/>
  <c r="EL88" i="18"/>
  <c r="EK88" i="18"/>
  <c r="EJ88" i="18"/>
  <c r="EI88" i="18"/>
  <c r="EH88" i="18"/>
  <c r="EG88" i="18"/>
  <c r="EF88" i="18"/>
  <c r="EY52" i="18"/>
  <c r="EX52" i="18"/>
  <c r="EW52" i="18"/>
  <c r="EV52" i="18"/>
  <c r="EU52" i="18"/>
  <c r="ET52" i="18"/>
  <c r="ES52" i="18"/>
  <c r="ER52" i="18"/>
  <c r="EQ52" i="18"/>
  <c r="EP52" i="18"/>
  <c r="EO52" i="18"/>
  <c r="EN52" i="18"/>
  <c r="EM52" i="18"/>
  <c r="EL52" i="18"/>
  <c r="EK52" i="18"/>
  <c r="EJ52" i="18"/>
  <c r="EI52" i="18"/>
  <c r="EH52" i="18"/>
  <c r="EG52" i="18"/>
  <c r="EF52" i="18"/>
  <c r="EX51" i="18"/>
  <c r="EW51" i="18"/>
  <c r="EV51" i="18"/>
  <c r="EU51" i="18"/>
  <c r="ET51" i="18"/>
  <c r="ES51" i="18"/>
  <c r="EQ51" i="18"/>
  <c r="EP51" i="18"/>
  <c r="EO51" i="18"/>
  <c r="EN51" i="18"/>
  <c r="EM51" i="18"/>
  <c r="EL51" i="18"/>
  <c r="EK51" i="18"/>
  <c r="EJ51" i="18"/>
  <c r="EI51" i="18"/>
  <c r="EH51" i="18"/>
  <c r="EG51" i="18"/>
  <c r="EF51" i="18"/>
  <c r="EY40" i="18"/>
  <c r="EX40" i="18"/>
  <c r="EW40" i="18"/>
  <c r="EV40" i="18"/>
  <c r="EU40" i="18"/>
  <c r="ET40" i="18"/>
  <c r="ES40" i="18"/>
  <c r="ER40" i="18"/>
  <c r="EQ40" i="18"/>
  <c r="EP40" i="18"/>
  <c r="EO40" i="18"/>
  <c r="EN40" i="18"/>
  <c r="EM40" i="18"/>
  <c r="EL40" i="18"/>
  <c r="EK40" i="18"/>
  <c r="EJ40" i="18"/>
  <c r="EI40" i="18"/>
  <c r="EH40" i="18"/>
  <c r="EG40" i="18"/>
  <c r="EF40" i="18"/>
  <c r="EY26" i="18"/>
  <c r="EX26" i="18"/>
  <c r="EW26" i="18"/>
  <c r="EV26" i="18"/>
  <c r="EU26" i="18"/>
  <c r="ET26" i="18"/>
  <c r="ES26" i="18"/>
  <c r="ER26" i="18"/>
  <c r="EQ26" i="18"/>
  <c r="EP26" i="18"/>
  <c r="EO26" i="18"/>
  <c r="EN26" i="18"/>
  <c r="EM26" i="18"/>
  <c r="EL26" i="18"/>
  <c r="EK26" i="18"/>
  <c r="EJ26" i="18"/>
  <c r="EI26" i="18"/>
  <c r="EH26" i="18"/>
  <c r="EG26" i="18"/>
  <c r="EF26" i="18"/>
  <c r="EY21" i="18"/>
  <c r="EX21" i="18"/>
  <c r="EW21" i="18"/>
  <c r="EV21" i="18"/>
  <c r="EU21" i="18"/>
  <c r="ET21" i="18"/>
  <c r="ES21" i="18"/>
  <c r="ER21" i="18"/>
  <c r="EQ21" i="18"/>
  <c r="EP21" i="18"/>
  <c r="EO21" i="18"/>
  <c r="EN21" i="18"/>
  <c r="EM21" i="18"/>
  <c r="EL21" i="18"/>
  <c r="EK21" i="18"/>
  <c r="EJ21" i="18"/>
  <c r="EI21" i="18"/>
  <c r="EH21" i="18"/>
  <c r="EG21" i="18"/>
  <c r="EF21" i="18"/>
  <c r="EY20" i="18"/>
  <c r="EX20" i="18"/>
  <c r="EW20" i="18"/>
  <c r="EV20" i="18"/>
  <c r="EU20" i="18"/>
  <c r="ET20" i="18"/>
  <c r="ES20" i="18"/>
  <c r="ER20" i="18"/>
  <c r="EQ20" i="18"/>
  <c r="EP20" i="18"/>
  <c r="EO20" i="18"/>
  <c r="EN20" i="18"/>
  <c r="EM20" i="18"/>
  <c r="EL20" i="18"/>
  <c r="EK20" i="18"/>
  <c r="EJ20" i="18"/>
  <c r="EI20" i="18"/>
  <c r="EH20" i="18"/>
  <c r="EG20" i="18"/>
  <c r="EF20" i="18"/>
  <c r="EY19" i="18"/>
  <c r="EX19" i="18"/>
  <c r="EW19" i="18"/>
  <c r="EV19" i="18"/>
  <c r="EU19" i="18"/>
  <c r="ET19" i="18"/>
  <c r="ES19" i="18"/>
  <c r="ER19" i="18"/>
  <c r="EQ19" i="18"/>
  <c r="EP19" i="18"/>
  <c r="EO19" i="18"/>
  <c r="EN19" i="18"/>
  <c r="EM19" i="18"/>
  <c r="EL19" i="18"/>
  <c r="EK19" i="18"/>
  <c r="EJ19" i="18"/>
  <c r="EI19" i="18"/>
  <c r="EH19" i="18"/>
  <c r="EG19" i="18"/>
  <c r="EF19" i="18"/>
  <c r="EY18" i="18"/>
  <c r="EX18" i="18"/>
  <c r="EW18" i="18"/>
  <c r="EV18" i="18"/>
  <c r="EU18" i="18"/>
  <c r="ET18" i="18"/>
  <c r="ES18" i="18"/>
  <c r="ER18" i="18"/>
  <c r="EQ18" i="18"/>
  <c r="EP18" i="18"/>
  <c r="EO18" i="18"/>
  <c r="EN18" i="18"/>
  <c r="EM18" i="18"/>
  <c r="EL18" i="18"/>
  <c r="EK18" i="18"/>
  <c r="EJ18" i="18"/>
  <c r="EI18" i="18"/>
  <c r="EH18" i="18"/>
  <c r="EG18" i="18"/>
  <c r="EF18" i="18"/>
  <c r="FH76" i="18"/>
  <c r="FG76" i="18"/>
  <c r="FF76" i="18"/>
  <c r="FE76" i="18"/>
  <c r="EX76" i="18"/>
  <c r="EW76" i="18"/>
  <c r="EV76" i="18"/>
  <c r="EU76" i="18"/>
  <c r="ET76" i="18"/>
  <c r="ES76" i="18"/>
  <c r="ER76" i="18"/>
  <c r="EQ76" i="18"/>
  <c r="EP76" i="18"/>
  <c r="EO76" i="18"/>
  <c r="EN76" i="18"/>
  <c r="EM76" i="18"/>
  <c r="EL76" i="18"/>
  <c r="EK76" i="18"/>
  <c r="EJ76" i="18"/>
  <c r="EI76" i="18"/>
  <c r="EH76" i="18"/>
  <c r="EG76" i="18"/>
  <c r="DG56" i="17"/>
  <c r="DF56" i="17"/>
  <c r="DE56" i="17"/>
  <c r="DD56" i="17"/>
  <c r="DC56" i="17"/>
  <c r="DB56" i="17"/>
  <c r="DA56" i="17"/>
  <c r="CZ56" i="17"/>
  <c r="CY56" i="17"/>
  <c r="CX56" i="17"/>
  <c r="CW56" i="17"/>
  <c r="CV56" i="17"/>
  <c r="DG55" i="17"/>
  <c r="DF55" i="17"/>
  <c r="DE55" i="17"/>
  <c r="DD55" i="17"/>
  <c r="DC55" i="17"/>
  <c r="DB55" i="17"/>
  <c r="DA55" i="17"/>
  <c r="CZ55" i="17"/>
  <c r="CY55" i="17"/>
  <c r="CX55" i="17"/>
  <c r="CW55" i="17"/>
  <c r="CV55" i="17"/>
  <c r="DG53" i="17"/>
  <c r="DF53" i="17"/>
  <c r="DE53" i="17"/>
  <c r="DD53" i="17"/>
  <c r="DC53" i="17"/>
  <c r="DB53" i="17"/>
  <c r="DA53" i="17"/>
  <c r="CZ53" i="17"/>
  <c r="CY53" i="17"/>
  <c r="CX53" i="17"/>
  <c r="CW53" i="17"/>
  <c r="CV53" i="17"/>
  <c r="DG51" i="17"/>
  <c r="DF51" i="17"/>
  <c r="DE51" i="17"/>
  <c r="DD51" i="17"/>
  <c r="DC51" i="17"/>
  <c r="DB51" i="17"/>
  <c r="DA51" i="17"/>
  <c r="CZ51" i="17"/>
  <c r="CY51" i="17"/>
  <c r="CX51" i="17"/>
  <c r="CW51" i="17"/>
  <c r="CV51" i="17"/>
  <c r="DG50" i="17"/>
  <c r="DF50" i="17"/>
  <c r="DE50" i="17"/>
  <c r="DD50" i="17"/>
  <c r="DC50" i="17"/>
  <c r="DB50" i="17"/>
  <c r="DA50" i="17"/>
  <c r="CZ50" i="17"/>
  <c r="CY50" i="17"/>
  <c r="CX50" i="17"/>
  <c r="CW50" i="17"/>
  <c r="CV50" i="17"/>
  <c r="DG48" i="17"/>
  <c r="DF48" i="17"/>
  <c r="DE48" i="17"/>
  <c r="DD48" i="17"/>
  <c r="DC48" i="17"/>
  <c r="DB48" i="17"/>
  <c r="DA48" i="17"/>
  <c r="CZ48" i="17"/>
  <c r="CY48" i="17"/>
  <c r="CX48" i="17"/>
  <c r="CW48" i="17"/>
  <c r="CV48" i="17"/>
  <c r="DG46" i="17"/>
  <c r="DF46" i="17"/>
  <c r="DE46" i="17"/>
  <c r="DD46" i="17"/>
  <c r="DC46" i="17"/>
  <c r="DB46" i="17"/>
  <c r="DA46" i="17"/>
  <c r="CZ46" i="17"/>
  <c r="CY46" i="17"/>
  <c r="CX46" i="17"/>
  <c r="CW46" i="17"/>
  <c r="CV46" i="17"/>
  <c r="DG45" i="17"/>
  <c r="DF45" i="17"/>
  <c r="DE45" i="17"/>
  <c r="DD45" i="17"/>
  <c r="DC45" i="17"/>
  <c r="DB45" i="17"/>
  <c r="DA45" i="17"/>
  <c r="CZ45" i="17"/>
  <c r="CY45" i="17"/>
  <c r="CX45" i="17"/>
  <c r="CW45" i="17"/>
  <c r="CV45" i="17"/>
  <c r="DG42" i="17"/>
  <c r="DF42" i="17"/>
  <c r="DE42" i="17"/>
  <c r="DD42" i="17"/>
  <c r="DC42" i="17"/>
  <c r="DB42" i="17"/>
  <c r="DA42" i="17"/>
  <c r="CZ42" i="17"/>
  <c r="CY42" i="17"/>
  <c r="CX42" i="17"/>
  <c r="CW42" i="17"/>
  <c r="CV42" i="17"/>
  <c r="DG40" i="17"/>
  <c r="DF40" i="17"/>
  <c r="DE40" i="17"/>
  <c r="DD40" i="17"/>
  <c r="DC40" i="17"/>
  <c r="DB40" i="17"/>
  <c r="DA40" i="17"/>
  <c r="CZ40" i="17"/>
  <c r="CY40" i="17"/>
  <c r="CX40" i="17"/>
  <c r="CW40" i="17"/>
  <c r="CV40" i="17"/>
  <c r="DG39" i="17"/>
  <c r="DF39" i="17"/>
  <c r="DE39" i="17"/>
  <c r="DD39" i="17"/>
  <c r="DC39" i="17"/>
  <c r="DB39" i="17"/>
  <c r="DA39" i="17"/>
  <c r="CZ39" i="17"/>
  <c r="CY39" i="17"/>
  <c r="CX39" i="17"/>
  <c r="CW39" i="17"/>
  <c r="CV39" i="17"/>
  <c r="DG38" i="17"/>
  <c r="DF38" i="17"/>
  <c r="DE38" i="17"/>
  <c r="DD38" i="17"/>
  <c r="DC38" i="17"/>
  <c r="DB38" i="17"/>
  <c r="DA38" i="17"/>
  <c r="CZ38" i="17"/>
  <c r="CY38" i="17"/>
  <c r="CX38" i="17"/>
  <c r="CW38" i="17"/>
  <c r="CV38" i="17"/>
  <c r="DG37" i="17"/>
  <c r="DF37" i="17"/>
  <c r="DE37" i="17"/>
  <c r="DD37" i="17"/>
  <c r="DC37" i="17"/>
  <c r="DB37" i="17"/>
  <c r="DA37" i="17"/>
  <c r="CZ37" i="17"/>
  <c r="CY37" i="17"/>
  <c r="CX37" i="17"/>
  <c r="CW37" i="17"/>
  <c r="CV37" i="17"/>
  <c r="DG36" i="17"/>
  <c r="DF36" i="17"/>
  <c r="DE36" i="17"/>
  <c r="DD36" i="17"/>
  <c r="DC36" i="17"/>
  <c r="DB36" i="17"/>
  <c r="DA36" i="17"/>
  <c r="CZ36" i="17"/>
  <c r="CY36" i="17"/>
  <c r="CX36" i="17"/>
  <c r="CW36" i="17"/>
  <c r="CV36" i="17"/>
  <c r="DG34" i="17"/>
  <c r="DF34" i="17"/>
  <c r="DE34" i="17"/>
  <c r="DD34" i="17"/>
  <c r="DC34" i="17"/>
  <c r="DB34" i="17"/>
  <c r="DA34" i="17"/>
  <c r="CZ34" i="17"/>
  <c r="CY34" i="17"/>
  <c r="CX34" i="17"/>
  <c r="CW34" i="17"/>
  <c r="CV34" i="17"/>
  <c r="DG32" i="17"/>
  <c r="DF32" i="17"/>
  <c r="DE32" i="17"/>
  <c r="DD32" i="17"/>
  <c r="DC32" i="17"/>
  <c r="DB32" i="17"/>
  <c r="DA32" i="17"/>
  <c r="CZ32" i="17"/>
  <c r="CY32" i="17"/>
  <c r="CX32" i="17"/>
  <c r="CW32" i="17"/>
  <c r="CV32" i="17"/>
  <c r="DG31" i="17"/>
  <c r="DF31" i="17"/>
  <c r="DE31" i="17"/>
  <c r="DD31" i="17"/>
  <c r="DC31" i="17"/>
  <c r="DB31" i="17"/>
  <c r="DA31" i="17"/>
  <c r="CZ31" i="17"/>
  <c r="CY31" i="17"/>
  <c r="CX31" i="17"/>
  <c r="CW31" i="17"/>
  <c r="CV31" i="17"/>
  <c r="DG30" i="17"/>
  <c r="DF30" i="17"/>
  <c r="DE30" i="17"/>
  <c r="DD30" i="17"/>
  <c r="DC30" i="17"/>
  <c r="DB30" i="17"/>
  <c r="DA30" i="17"/>
  <c r="CZ30" i="17"/>
  <c r="CY30" i="17"/>
  <c r="CX30" i="17"/>
  <c r="CW30" i="17"/>
  <c r="CV30" i="17"/>
  <c r="DG29" i="17"/>
  <c r="DF29" i="17"/>
  <c r="DE29" i="17"/>
  <c r="DD29" i="17"/>
  <c r="DC29" i="17"/>
  <c r="DB29" i="17"/>
  <c r="DA29" i="17"/>
  <c r="CZ29" i="17"/>
  <c r="CY29" i="17"/>
  <c r="CX29" i="17"/>
  <c r="CW29" i="17"/>
  <c r="CV29" i="17"/>
  <c r="DG27" i="17"/>
  <c r="DF27" i="17"/>
  <c r="DE27" i="17"/>
  <c r="DD27" i="17"/>
  <c r="DC27" i="17"/>
  <c r="DB27" i="17"/>
  <c r="DA27" i="17"/>
  <c r="CZ27" i="17"/>
  <c r="CY27" i="17"/>
  <c r="CX27" i="17"/>
  <c r="CW27" i="17"/>
  <c r="CV27" i="17"/>
  <c r="DG25" i="17"/>
  <c r="DF25" i="17"/>
  <c r="DE25" i="17"/>
  <c r="DD25" i="17"/>
  <c r="DC25" i="17"/>
  <c r="DB25" i="17"/>
  <c r="DA25" i="17"/>
  <c r="CZ25" i="17"/>
  <c r="CY25" i="17"/>
  <c r="CX25" i="17"/>
  <c r="CW25" i="17"/>
  <c r="CV25" i="17"/>
  <c r="DG24" i="17"/>
  <c r="DF24" i="17"/>
  <c r="DE24" i="17"/>
  <c r="DD24" i="17"/>
  <c r="DC24" i="17"/>
  <c r="DB24" i="17"/>
  <c r="DA24" i="17"/>
  <c r="CZ24" i="17"/>
  <c r="CY24" i="17"/>
  <c r="CX24" i="17"/>
  <c r="CW24" i="17"/>
  <c r="CV24" i="17"/>
  <c r="DG23" i="17"/>
  <c r="DF23" i="17"/>
  <c r="DE23" i="17"/>
  <c r="DD23" i="17"/>
  <c r="DC23" i="17"/>
  <c r="DB23" i="17"/>
  <c r="DA23" i="17"/>
  <c r="CZ23" i="17"/>
  <c r="CY23" i="17"/>
  <c r="CX23" i="17"/>
  <c r="CW23" i="17"/>
  <c r="CV23" i="17"/>
  <c r="DG22" i="17"/>
  <c r="DF22" i="17"/>
  <c r="DE22" i="17"/>
  <c r="DD22" i="17"/>
  <c r="DC22" i="17"/>
  <c r="DB22" i="17"/>
  <c r="DA22" i="17"/>
  <c r="CZ22" i="17"/>
  <c r="CY22" i="17"/>
  <c r="CX22" i="17"/>
  <c r="CW22" i="17"/>
  <c r="CV22" i="17"/>
  <c r="DG19" i="17"/>
  <c r="DF19" i="17"/>
  <c r="DE19" i="17"/>
  <c r="DD19" i="17"/>
  <c r="DC19" i="17"/>
  <c r="DB19" i="17"/>
  <c r="DA19" i="17"/>
  <c r="CZ19" i="17"/>
  <c r="CY19" i="17"/>
  <c r="CX19" i="17"/>
  <c r="CW19" i="17"/>
  <c r="CV19" i="17"/>
  <c r="DG18" i="17"/>
  <c r="DF18" i="17"/>
  <c r="DE18" i="17"/>
  <c r="DD18" i="17"/>
  <c r="DC18" i="17"/>
  <c r="DB18" i="17"/>
  <c r="DA18" i="17"/>
  <c r="CZ18" i="17"/>
  <c r="CY18" i="17"/>
  <c r="CX18" i="17"/>
  <c r="CW18" i="17"/>
  <c r="CV18" i="17"/>
  <c r="DG17" i="17"/>
  <c r="DF17" i="17"/>
  <c r="DE17" i="17"/>
  <c r="DD17" i="17"/>
  <c r="DC17" i="17"/>
  <c r="DB17" i="17"/>
  <c r="DA17" i="17"/>
  <c r="CZ17" i="17"/>
  <c r="CY17" i="17"/>
  <c r="CX17" i="17"/>
  <c r="CW17" i="17"/>
  <c r="CV17" i="17"/>
  <c r="DG16" i="17"/>
  <c r="DF16" i="17"/>
  <c r="DE16" i="17"/>
  <c r="DD16" i="17"/>
  <c r="DC16" i="17"/>
  <c r="DB16" i="17"/>
  <c r="DA16" i="17"/>
  <c r="CZ16" i="17"/>
  <c r="CY16" i="17"/>
  <c r="CX16" i="17"/>
  <c r="CW16" i="17"/>
  <c r="CV16" i="17"/>
  <c r="DG15" i="17"/>
  <c r="DF15" i="17"/>
  <c r="DE15" i="17"/>
  <c r="DD15" i="17"/>
  <c r="DC15" i="17"/>
  <c r="DB15" i="17"/>
  <c r="DA15" i="17"/>
  <c r="CZ15" i="17"/>
  <c r="CY15" i="17"/>
  <c r="CX15" i="17"/>
  <c r="CW15" i="17"/>
  <c r="CV15" i="17"/>
  <c r="DG14" i="17"/>
  <c r="DF14" i="17"/>
  <c r="DE14" i="17"/>
  <c r="DD14" i="17"/>
  <c r="DC14" i="17"/>
  <c r="DB14" i="17"/>
  <c r="DA14" i="17"/>
  <c r="CZ14" i="17"/>
  <c r="CY14" i="17"/>
  <c r="CX14" i="17"/>
  <c r="CW14" i="17"/>
  <c r="CV14" i="17"/>
  <c r="DG13" i="17"/>
  <c r="DF13" i="17"/>
  <c r="DE13" i="17"/>
  <c r="DD13" i="17"/>
  <c r="DC13" i="17"/>
  <c r="DB13" i="17"/>
  <c r="DA13" i="17"/>
  <c r="CZ13" i="17"/>
  <c r="CY13" i="17"/>
  <c r="CX13" i="17"/>
  <c r="CW13" i="17"/>
  <c r="CV13" i="17"/>
  <c r="DG12" i="17"/>
  <c r="DF12" i="17"/>
  <c r="DE12" i="17"/>
  <c r="DD12" i="17"/>
  <c r="DC12" i="17"/>
  <c r="DB12" i="17"/>
  <c r="DA12" i="17"/>
  <c r="CZ12" i="17"/>
  <c r="CY12" i="17"/>
  <c r="CX12" i="17"/>
  <c r="CW12" i="17"/>
  <c r="CV12" i="17"/>
  <c r="DG11" i="17"/>
  <c r="DF11" i="17"/>
  <c r="DE11" i="17"/>
  <c r="DD11" i="17"/>
  <c r="DC11" i="17"/>
  <c r="DB11" i="17"/>
  <c r="DA11" i="17"/>
  <c r="CZ11" i="17"/>
  <c r="CY11" i="17"/>
  <c r="CX11" i="17"/>
  <c r="CW11" i="17"/>
  <c r="CV11" i="17"/>
  <c r="DG10" i="17"/>
  <c r="DF10" i="17"/>
  <c r="DE10" i="17"/>
  <c r="DD10" i="17"/>
  <c r="DC10" i="17"/>
  <c r="DB10" i="17"/>
  <c r="DA10" i="17"/>
  <c r="CZ10" i="17"/>
  <c r="CY10" i="17"/>
  <c r="CX10" i="17"/>
  <c r="CW10" i="17"/>
  <c r="CV10" i="17"/>
  <c r="DG9" i="17"/>
  <c r="DF9" i="17"/>
  <c r="DE9" i="17"/>
  <c r="DD9" i="17"/>
  <c r="DC9" i="17"/>
  <c r="DB9" i="17"/>
  <c r="DA9" i="17"/>
  <c r="CZ9" i="17"/>
  <c r="CY9" i="17"/>
  <c r="CX9" i="17"/>
  <c r="CW9" i="17"/>
  <c r="CV9" i="17"/>
  <c r="DG8" i="17"/>
  <c r="DF8" i="17"/>
  <c r="DE8" i="17"/>
  <c r="DD8" i="17"/>
  <c r="DC8" i="17"/>
  <c r="DB8" i="17"/>
  <c r="DA8" i="17"/>
  <c r="CZ8" i="17"/>
  <c r="CY8" i="17"/>
  <c r="CX8" i="17"/>
  <c r="CW8" i="17"/>
  <c r="CV8" i="17"/>
  <c r="DG7" i="17"/>
  <c r="DF7" i="17"/>
  <c r="DE7" i="17"/>
  <c r="DD7" i="17"/>
  <c r="DC7" i="17"/>
  <c r="DB7" i="17"/>
  <c r="DA7" i="17"/>
  <c r="CZ7" i="17"/>
  <c r="CY7" i="17"/>
  <c r="CX7" i="17"/>
  <c r="CW7" i="17"/>
  <c r="CV7" i="17"/>
  <c r="DG6" i="17"/>
  <c r="DF6" i="17"/>
  <c r="DE6" i="17"/>
  <c r="DD6" i="17"/>
  <c r="DC6" i="17"/>
  <c r="DB6" i="17"/>
  <c r="DA6" i="17"/>
  <c r="CZ6" i="17"/>
  <c r="CY6" i="17"/>
  <c r="CX6" i="17"/>
  <c r="CW6" i="17"/>
  <c r="CV6" i="17"/>
  <c r="DG5" i="17"/>
  <c r="DF5" i="17"/>
  <c r="DE5" i="17"/>
  <c r="DD5" i="17"/>
  <c r="DC5" i="17"/>
  <c r="DB5" i="17"/>
  <c r="DA5" i="17"/>
  <c r="CZ5" i="17"/>
  <c r="CY5" i="17"/>
  <c r="CX5" i="17"/>
  <c r="CW5" i="17"/>
  <c r="CV5" i="17"/>
  <c r="DG4" i="17"/>
  <c r="DF4" i="17"/>
  <c r="DE4" i="17"/>
  <c r="DD4" i="17"/>
  <c r="DC4" i="17"/>
  <c r="DB4" i="17"/>
  <c r="DA4" i="17"/>
  <c r="CZ4" i="17"/>
  <c r="CY4" i="17"/>
  <c r="CX4" i="17"/>
  <c r="CW4" i="17"/>
  <c r="CV4" i="17"/>
  <c r="DR93" i="12"/>
  <c r="DQ93" i="12"/>
  <c r="DP93" i="12"/>
  <c r="DO93" i="12"/>
  <c r="DN93" i="12"/>
  <c r="DM93" i="12"/>
  <c r="DL93" i="12"/>
  <c r="DK93" i="12"/>
  <c r="DJ93" i="12"/>
  <c r="DI93" i="12"/>
  <c r="DH93" i="12"/>
  <c r="DG93" i="12"/>
  <c r="DF93" i="12"/>
  <c r="DE93" i="12"/>
  <c r="DD93" i="12"/>
  <c r="DC93" i="12"/>
  <c r="DB93" i="12"/>
  <c r="DA93" i="12"/>
  <c r="CZ93" i="12"/>
  <c r="CY93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EZ137" i="7"/>
  <c r="EY137" i="7"/>
  <c r="EX137" i="7"/>
  <c r="EW137" i="7"/>
  <c r="EV137" i="7"/>
  <c r="EP140" i="7"/>
  <c r="EO140" i="7"/>
  <c r="EN140" i="7"/>
  <c r="EM140" i="7"/>
  <c r="EL140" i="7"/>
  <c r="EK140" i="7"/>
  <c r="EJ140" i="7"/>
  <c r="EI140" i="7"/>
  <c r="EH140" i="7"/>
  <c r="EG140" i="7"/>
  <c r="EF140" i="7"/>
  <c r="EE140" i="7"/>
  <c r="ED140" i="7"/>
  <c r="EC140" i="7"/>
  <c r="EB140" i="7"/>
  <c r="EA140" i="7"/>
  <c r="DZ140" i="7"/>
  <c r="DY140" i="7"/>
  <c r="DX140" i="7"/>
  <c r="DW140" i="7"/>
  <c r="EP127" i="7"/>
  <c r="EO127" i="7"/>
  <c r="EN127" i="7"/>
  <c r="EM127" i="7"/>
  <c r="EL127" i="7"/>
  <c r="EK127" i="7"/>
  <c r="EJ127" i="7"/>
  <c r="EI127" i="7"/>
  <c r="EH127" i="7"/>
  <c r="EG127" i="7"/>
  <c r="EF127" i="7"/>
  <c r="EE127" i="7"/>
  <c r="ED127" i="7"/>
  <c r="EC127" i="7"/>
  <c r="EB127" i="7"/>
  <c r="EA127" i="7"/>
  <c r="DZ127" i="7"/>
  <c r="DY127" i="7"/>
  <c r="DX127" i="7"/>
  <c r="DW127" i="7"/>
  <c r="EP126" i="7"/>
  <c r="EO126" i="7"/>
  <c r="EN126" i="7"/>
  <c r="EM126" i="7"/>
  <c r="EL126" i="7"/>
  <c r="EK126" i="7"/>
  <c r="EJ126" i="7"/>
  <c r="EI126" i="7"/>
  <c r="EH126" i="7"/>
  <c r="EG126" i="7"/>
  <c r="EF126" i="7"/>
  <c r="EE126" i="7"/>
  <c r="ED126" i="7"/>
  <c r="EC126" i="7"/>
  <c r="EB126" i="7"/>
  <c r="EA126" i="7"/>
  <c r="DZ126" i="7"/>
  <c r="DY126" i="7"/>
  <c r="DX126" i="7"/>
  <c r="DW126" i="7"/>
  <c r="EP125" i="7"/>
  <c r="EO125" i="7"/>
  <c r="EN125" i="7"/>
  <c r="EM125" i="7"/>
  <c r="EL125" i="7"/>
  <c r="EK125" i="7"/>
  <c r="EJ125" i="7"/>
  <c r="EI125" i="7"/>
  <c r="EH125" i="7"/>
  <c r="EG125" i="7"/>
  <c r="EF125" i="7"/>
  <c r="EE125" i="7"/>
  <c r="ED125" i="7"/>
  <c r="EC125" i="7"/>
  <c r="EB125" i="7"/>
  <c r="EA125" i="7"/>
  <c r="DZ125" i="7"/>
  <c r="DY125" i="7"/>
  <c r="DX125" i="7"/>
  <c r="DW125" i="7"/>
  <c r="EP124" i="7"/>
  <c r="EO124" i="7"/>
  <c r="EN124" i="7"/>
  <c r="EM124" i="7"/>
  <c r="EL124" i="7"/>
  <c r="EK124" i="7"/>
  <c r="EJ124" i="7"/>
  <c r="EI124" i="7"/>
  <c r="EH124" i="7"/>
  <c r="EG124" i="7"/>
  <c r="EF124" i="7"/>
  <c r="EE124" i="7"/>
  <c r="ED124" i="7"/>
  <c r="EC124" i="7"/>
  <c r="EB124" i="7"/>
  <c r="EA124" i="7"/>
  <c r="DZ124" i="7"/>
  <c r="DY124" i="7"/>
  <c r="DX124" i="7"/>
  <c r="DW124" i="7"/>
  <c r="EP123" i="7"/>
  <c r="EO123" i="7"/>
  <c r="EN123" i="7"/>
  <c r="EM123" i="7"/>
  <c r="EL123" i="7"/>
  <c r="EK123" i="7"/>
  <c r="EJ123" i="7"/>
  <c r="EI123" i="7"/>
  <c r="EH123" i="7"/>
  <c r="EG123" i="7"/>
  <c r="EF123" i="7"/>
  <c r="EE123" i="7"/>
  <c r="ED123" i="7"/>
  <c r="EC123" i="7"/>
  <c r="EB123" i="7"/>
  <c r="EA123" i="7"/>
  <c r="DZ123" i="7"/>
  <c r="DY123" i="7"/>
  <c r="DX123" i="7"/>
  <c r="DW123" i="7"/>
  <c r="EP122" i="7"/>
  <c r="EO122" i="7"/>
  <c r="EN122" i="7"/>
  <c r="EM122" i="7"/>
  <c r="EL122" i="7"/>
  <c r="EK122" i="7"/>
  <c r="EJ122" i="7"/>
  <c r="EI122" i="7"/>
  <c r="EH122" i="7"/>
  <c r="EG122" i="7"/>
  <c r="EF122" i="7"/>
  <c r="EE122" i="7"/>
  <c r="ED122" i="7"/>
  <c r="EC122" i="7"/>
  <c r="EB122" i="7"/>
  <c r="EA122" i="7"/>
  <c r="DZ122" i="7"/>
  <c r="DY122" i="7"/>
  <c r="DX122" i="7"/>
  <c r="DW122" i="7"/>
  <c r="EH120" i="7"/>
  <c r="EG120" i="7"/>
  <c r="EF120" i="7"/>
  <c r="EE120" i="7"/>
  <c r="ED120" i="7"/>
  <c r="EC120" i="7"/>
  <c r="EB120" i="7"/>
  <c r="EA120" i="7"/>
  <c r="DZ120" i="7"/>
  <c r="DY120" i="7"/>
  <c r="DX120" i="7"/>
  <c r="DW120" i="7"/>
  <c r="EH119" i="7"/>
  <c r="EG119" i="7"/>
  <c r="EF119" i="7"/>
  <c r="EE119" i="7"/>
  <c r="ED119" i="7"/>
  <c r="EC119" i="7"/>
  <c r="EB119" i="7"/>
  <c r="EA119" i="7"/>
  <c r="DZ119" i="7"/>
  <c r="DY119" i="7"/>
  <c r="DX119" i="7"/>
  <c r="DW119" i="7"/>
  <c r="EH118" i="7"/>
  <c r="EG118" i="7"/>
  <c r="EF118" i="7"/>
  <c r="EE118" i="7"/>
  <c r="ED118" i="7"/>
  <c r="EC118" i="7"/>
  <c r="EB118" i="7"/>
  <c r="EA118" i="7"/>
  <c r="DZ118" i="7"/>
  <c r="DY118" i="7"/>
  <c r="DX118" i="7"/>
  <c r="DW118" i="7"/>
  <c r="EH117" i="7"/>
  <c r="EG117" i="7"/>
  <c r="EF117" i="7"/>
  <c r="EE117" i="7"/>
  <c r="ED117" i="7"/>
  <c r="EC117" i="7"/>
  <c r="EB117" i="7"/>
  <c r="EA117" i="7"/>
  <c r="DZ117" i="7"/>
  <c r="DY117" i="7"/>
  <c r="DX117" i="7"/>
  <c r="DW117" i="7"/>
  <c r="EH116" i="7"/>
  <c r="EG116" i="7"/>
  <c r="EF116" i="7"/>
  <c r="EE116" i="7"/>
  <c r="ED116" i="7"/>
  <c r="EC116" i="7"/>
  <c r="EB116" i="7"/>
  <c r="EA116" i="7"/>
  <c r="DZ116" i="7"/>
  <c r="DY116" i="7"/>
  <c r="DX116" i="7"/>
  <c r="DW116" i="7"/>
  <c r="EH115" i="7"/>
  <c r="EG115" i="7"/>
  <c r="EF115" i="7"/>
  <c r="EE115" i="7"/>
  <c r="ED115" i="7"/>
  <c r="EC115" i="7"/>
  <c r="EB115" i="7"/>
  <c r="EA115" i="7"/>
  <c r="DZ115" i="7"/>
  <c r="DY115" i="7"/>
  <c r="DX115" i="7"/>
  <c r="DW115" i="7"/>
  <c r="EP89" i="7"/>
  <c r="EO89" i="7"/>
  <c r="EN89" i="7"/>
  <c r="EM89" i="7"/>
  <c r="EL89" i="7"/>
  <c r="EK89" i="7"/>
  <c r="EJ89" i="7"/>
  <c r="EI89" i="7"/>
  <c r="EH89" i="7"/>
  <c r="EG89" i="7"/>
  <c r="EF89" i="7"/>
  <c r="EE89" i="7"/>
  <c r="ED89" i="7"/>
  <c r="EC89" i="7"/>
  <c r="EB89" i="7"/>
  <c r="EA89" i="7"/>
  <c r="DZ89" i="7"/>
  <c r="DY89" i="7"/>
  <c r="DX89" i="7"/>
  <c r="DW89" i="7"/>
  <c r="EP74" i="7"/>
  <c r="EO74" i="7"/>
  <c r="EN74" i="7"/>
  <c r="EM74" i="7"/>
  <c r="EL74" i="7"/>
  <c r="EK74" i="7"/>
  <c r="EJ74" i="7"/>
  <c r="EI74" i="7"/>
  <c r="EH74" i="7"/>
  <c r="EG74" i="7"/>
  <c r="EF74" i="7"/>
  <c r="EE74" i="7"/>
  <c r="ED74" i="7"/>
  <c r="EC74" i="7"/>
  <c r="EB74" i="7"/>
  <c r="EA74" i="7"/>
  <c r="DZ74" i="7"/>
  <c r="DY74" i="7"/>
  <c r="DX74" i="7"/>
  <c r="DW74" i="7"/>
  <c r="DQ155" i="13"/>
  <c r="DP155" i="13"/>
  <c r="DO155" i="13"/>
  <c r="DN155" i="13"/>
  <c r="DM155" i="13"/>
  <c r="DL155" i="13"/>
  <c r="DK155" i="13"/>
  <c r="DJ155" i="13"/>
  <c r="DI155" i="13"/>
  <c r="DH155" i="13"/>
  <c r="DG155" i="13"/>
  <c r="DF155" i="13"/>
  <c r="DQ88" i="13"/>
  <c r="DP88" i="13"/>
  <c r="DO88" i="13"/>
  <c r="DN88" i="13"/>
  <c r="DM88" i="13"/>
  <c r="DL88" i="13"/>
  <c r="DK88" i="13"/>
  <c r="DJ88" i="13"/>
  <c r="DI88" i="13"/>
  <c r="DH88" i="13"/>
  <c r="DG88" i="13"/>
  <c r="DF88" i="13"/>
  <c r="DQ87" i="13"/>
  <c r="DP87" i="13"/>
  <c r="DO87" i="13"/>
  <c r="DN87" i="13"/>
  <c r="DM87" i="13"/>
  <c r="DL87" i="13"/>
  <c r="DK87" i="13"/>
  <c r="DJ87" i="13"/>
  <c r="DI87" i="13"/>
  <c r="DH87" i="13"/>
  <c r="DG87" i="13"/>
  <c r="DF87" i="13"/>
  <c r="DQ86" i="13"/>
  <c r="DP86" i="13"/>
  <c r="DO86" i="13"/>
  <c r="DN86" i="13"/>
  <c r="DM86" i="13"/>
  <c r="DL86" i="13"/>
  <c r="DK86" i="13"/>
  <c r="DJ86" i="13"/>
  <c r="DI86" i="13"/>
  <c r="DH86" i="13"/>
  <c r="DG86" i="13"/>
  <c r="DF86" i="13"/>
  <c r="DQ83" i="13"/>
  <c r="DP83" i="13"/>
  <c r="DO83" i="13"/>
  <c r="DN83" i="13"/>
  <c r="DM83" i="13"/>
  <c r="DL83" i="13"/>
  <c r="DK83" i="13"/>
  <c r="DJ83" i="13"/>
  <c r="DI83" i="13"/>
  <c r="DH83" i="13"/>
  <c r="DG83" i="13"/>
  <c r="DF83" i="13"/>
  <c r="DQ82" i="13"/>
  <c r="DP82" i="13"/>
  <c r="DO82" i="13"/>
  <c r="DN82" i="13"/>
  <c r="DM82" i="13"/>
  <c r="DL82" i="13"/>
  <c r="DK82" i="13"/>
  <c r="DJ82" i="13"/>
  <c r="DI82" i="13"/>
  <c r="DH82" i="13"/>
  <c r="DG82" i="13"/>
  <c r="DF82" i="13"/>
  <c r="DQ81" i="13"/>
  <c r="DP81" i="13"/>
  <c r="DO81" i="13"/>
  <c r="DN81" i="13"/>
  <c r="DM81" i="13"/>
  <c r="DL81" i="13"/>
  <c r="DK81" i="13"/>
  <c r="DJ81" i="13"/>
  <c r="DI81" i="13"/>
  <c r="DH81" i="13"/>
  <c r="DG81" i="13"/>
  <c r="DF81" i="13"/>
  <c r="DF118" i="13"/>
  <c r="DG118" i="13" s="1"/>
  <c r="DH118" i="13" s="1"/>
  <c r="DI118" i="13" s="1"/>
  <c r="DJ118" i="13" s="1"/>
  <c r="DK118" i="13" s="1"/>
  <c r="DL118" i="13" s="1"/>
  <c r="DM118" i="13" s="1"/>
  <c r="DN118" i="13" s="1"/>
  <c r="DO118" i="13" s="1"/>
  <c r="DP118" i="13" s="1"/>
  <c r="DQ118" i="13" s="1"/>
  <c r="DR118" i="13" s="1"/>
  <c r="DS118" i="13" s="1"/>
  <c r="DT118" i="13" s="1"/>
  <c r="DU118" i="13" s="1"/>
  <c r="DV118" i="13" s="1"/>
  <c r="DW118" i="13" s="1"/>
  <c r="DX118" i="13" s="1"/>
  <c r="DY118" i="13" s="1"/>
  <c r="EE118" i="13" s="1"/>
  <c r="EF118" i="13" s="1"/>
  <c r="EG118" i="13" s="1"/>
  <c r="EH118" i="13" s="1"/>
  <c r="EI118" i="13" s="1"/>
  <c r="DR104" i="11"/>
  <c r="DQ104" i="11"/>
  <c r="DP104" i="11"/>
  <c r="DO104" i="11"/>
  <c r="DN104" i="11"/>
  <c r="DM104" i="11"/>
  <c r="DL104" i="11"/>
  <c r="DK104" i="11"/>
  <c r="DJ104" i="11"/>
  <c r="DI104" i="11"/>
  <c r="DH104" i="11"/>
  <c r="DG104" i="11"/>
  <c r="DF104" i="11"/>
  <c r="DE104" i="11"/>
  <c r="DD104" i="11"/>
  <c r="DC104" i="11"/>
  <c r="DB104" i="11"/>
  <c r="DA104" i="11"/>
  <c r="CZ104" i="11"/>
  <c r="CY104" i="11"/>
  <c r="DR78" i="11"/>
  <c r="DQ78" i="11"/>
  <c r="DP78" i="11"/>
  <c r="DO78" i="11"/>
  <c r="DN78" i="11"/>
  <c r="DM78" i="11"/>
  <c r="DL78" i="11"/>
  <c r="DK78" i="11"/>
  <c r="DJ78" i="11"/>
  <c r="DI78" i="11"/>
  <c r="DH78" i="11"/>
  <c r="DG78" i="11"/>
  <c r="DF78" i="11"/>
  <c r="DE78" i="11"/>
  <c r="DD78" i="11"/>
  <c r="DC78" i="11"/>
  <c r="DB78" i="11"/>
  <c r="DA78" i="11"/>
  <c r="CZ78" i="11"/>
  <c r="CY78" i="11"/>
  <c r="DR54" i="11"/>
  <c r="DQ54" i="11"/>
  <c r="DP54" i="11"/>
  <c r="DO54" i="11"/>
  <c r="DN54" i="11"/>
  <c r="DM54" i="11"/>
  <c r="DL54" i="11"/>
  <c r="DK54" i="11"/>
  <c r="DJ54" i="11"/>
  <c r="DI54" i="11"/>
  <c r="DH54" i="11"/>
  <c r="DG54" i="11"/>
  <c r="DF54" i="11"/>
  <c r="DE54" i="11"/>
  <c r="DD54" i="11"/>
  <c r="DC54" i="11"/>
  <c r="DB54" i="11"/>
  <c r="DA54" i="11"/>
  <c r="CZ54" i="11"/>
  <c r="CY54" i="11"/>
  <c r="DR44" i="11"/>
  <c r="DQ44" i="11"/>
  <c r="DP44" i="11"/>
  <c r="DO44" i="11"/>
  <c r="DN44" i="11"/>
  <c r="DM44" i="11"/>
  <c r="DL44" i="11"/>
  <c r="DK44" i="11"/>
  <c r="DJ44" i="11"/>
  <c r="DI44" i="11"/>
  <c r="DH44" i="11"/>
  <c r="DG44" i="11"/>
  <c r="DF44" i="11"/>
  <c r="DE44" i="11"/>
  <c r="DD44" i="11"/>
  <c r="DC44" i="11"/>
  <c r="DB44" i="11"/>
  <c r="DA44" i="11"/>
  <c r="CZ44" i="11"/>
  <c r="CY44" i="11"/>
  <c r="DR39" i="11"/>
  <c r="DQ39" i="11"/>
  <c r="DP39" i="11"/>
  <c r="DO39" i="11"/>
  <c r="DN39" i="11"/>
  <c r="DM39" i="11"/>
  <c r="DL39" i="11"/>
  <c r="DK39" i="11"/>
  <c r="DJ39" i="11"/>
  <c r="DI39" i="11"/>
  <c r="DH39" i="11"/>
  <c r="DG39" i="11"/>
  <c r="DF39" i="11"/>
  <c r="DE39" i="11"/>
  <c r="DD39" i="11"/>
  <c r="DC39" i="11"/>
  <c r="DB39" i="11"/>
  <c r="DA39" i="11"/>
  <c r="CZ39" i="11"/>
  <c r="CY39" i="11"/>
  <c r="DR35" i="11"/>
  <c r="DQ35" i="11"/>
  <c r="DP35" i="11"/>
  <c r="DO35" i="11"/>
  <c r="DN35" i="11"/>
  <c r="DM35" i="11"/>
  <c r="DL35" i="11"/>
  <c r="DK35" i="11"/>
  <c r="DJ35" i="11"/>
  <c r="DI35" i="11"/>
  <c r="DH35" i="11"/>
  <c r="DG35" i="11"/>
  <c r="DF35" i="11"/>
  <c r="DE35" i="11"/>
  <c r="DD35" i="11"/>
  <c r="DC35" i="11"/>
  <c r="DB35" i="11"/>
  <c r="DA35" i="11"/>
  <c r="CZ35" i="11"/>
  <c r="CY35" i="11"/>
  <c r="DR32" i="11"/>
  <c r="DQ32" i="11"/>
  <c r="DP32" i="11"/>
  <c r="DO32" i="11"/>
  <c r="DN32" i="11"/>
  <c r="DM32" i="11"/>
  <c r="DL32" i="11"/>
  <c r="DK32" i="11"/>
  <c r="DJ32" i="11"/>
  <c r="DI32" i="11"/>
  <c r="DH32" i="11"/>
  <c r="DG32" i="11"/>
  <c r="DF32" i="11"/>
  <c r="DE32" i="11"/>
  <c r="DD32" i="11"/>
  <c r="DC32" i="11"/>
  <c r="DB32" i="11"/>
  <c r="DA32" i="11"/>
  <c r="CZ32" i="11"/>
  <c r="CY32" i="11"/>
  <c r="DR27" i="11"/>
  <c r="DQ27" i="11"/>
  <c r="DP27" i="11"/>
  <c r="DO27" i="11"/>
  <c r="DN27" i="11"/>
  <c r="DM27" i="11"/>
  <c r="DL27" i="11"/>
  <c r="DK27" i="11"/>
  <c r="DJ27" i="11"/>
  <c r="DI27" i="11"/>
  <c r="DH27" i="11"/>
  <c r="DG27" i="11"/>
  <c r="DF27" i="11"/>
  <c r="DE27" i="11"/>
  <c r="DD27" i="11"/>
  <c r="DC27" i="11"/>
  <c r="DB27" i="11"/>
  <c r="DA27" i="11"/>
  <c r="CZ27" i="11"/>
  <c r="CY27" i="11"/>
  <c r="DR26" i="11"/>
  <c r="DQ26" i="11"/>
  <c r="DP26" i="11"/>
  <c r="DO26" i="11"/>
  <c r="DN26" i="11"/>
  <c r="DM26" i="11"/>
  <c r="DL26" i="11"/>
  <c r="DK26" i="11"/>
  <c r="DJ26" i="11"/>
  <c r="DI26" i="11"/>
  <c r="DH26" i="11"/>
  <c r="DG26" i="11"/>
  <c r="DF26" i="11"/>
  <c r="DE26" i="11"/>
  <c r="DD26" i="11"/>
  <c r="DC26" i="11"/>
  <c r="DB26" i="11"/>
  <c r="DA26" i="11"/>
  <c r="CZ26" i="11"/>
  <c r="CY26" i="11"/>
  <c r="DR22" i="11"/>
  <c r="DQ22" i="11"/>
  <c r="DP22" i="11"/>
  <c r="DO22" i="11"/>
  <c r="DN22" i="11"/>
  <c r="DM22" i="11"/>
  <c r="DL22" i="11"/>
  <c r="DK22" i="11"/>
  <c r="DJ22" i="11"/>
  <c r="DI22" i="11"/>
  <c r="DH22" i="11"/>
  <c r="DG22" i="11"/>
  <c r="DF22" i="11"/>
  <c r="DE22" i="11"/>
  <c r="DD22" i="11"/>
  <c r="DC22" i="11"/>
  <c r="DB22" i="11"/>
  <c r="DA22" i="11"/>
  <c r="CZ22" i="11"/>
  <c r="CY22" i="11"/>
  <c r="EY49" i="14"/>
  <c r="EX49" i="14"/>
  <c r="EW49" i="14"/>
  <c r="EV49" i="14"/>
  <c r="EU49" i="14"/>
  <c r="ET49" i="14"/>
  <c r="ES49" i="14"/>
  <c r="ER49" i="14"/>
  <c r="EQ49" i="14"/>
  <c r="EP49" i="14"/>
  <c r="EO49" i="14"/>
  <c r="EN49" i="14"/>
  <c r="EM49" i="14"/>
  <c r="EL49" i="14"/>
  <c r="EK49" i="14"/>
  <c r="EJ49" i="14"/>
  <c r="EI49" i="14"/>
  <c r="EH49" i="14"/>
  <c r="EG49" i="14"/>
  <c r="EF49" i="14"/>
  <c r="EY47" i="14"/>
  <c r="EX47" i="14"/>
  <c r="EW47" i="14"/>
  <c r="EV47" i="14"/>
  <c r="EU47" i="14"/>
  <c r="ET47" i="14"/>
  <c r="ES47" i="14"/>
  <c r="ER47" i="14"/>
  <c r="EY46" i="14"/>
  <c r="EX46" i="14"/>
  <c r="EW46" i="14"/>
  <c r="EV46" i="14"/>
  <c r="EU46" i="14"/>
  <c r="ET46" i="14"/>
  <c r="ES46" i="14"/>
  <c r="ER46" i="14"/>
  <c r="EY44" i="14"/>
  <c r="EX44" i="14"/>
  <c r="EW44" i="14"/>
  <c r="EV44" i="14"/>
  <c r="EU44" i="14"/>
  <c r="ET44" i="14"/>
  <c r="ES44" i="14"/>
  <c r="ER44" i="14"/>
  <c r="EQ44" i="14"/>
  <c r="EP44" i="14"/>
  <c r="EO44" i="14"/>
  <c r="EN44" i="14"/>
  <c r="EM44" i="14"/>
  <c r="EL44" i="14"/>
  <c r="EK44" i="14"/>
  <c r="EJ44" i="14"/>
  <c r="EI44" i="14"/>
  <c r="EH44" i="14"/>
  <c r="EG44" i="14"/>
  <c r="EF44" i="14"/>
  <c r="FI41" i="14"/>
  <c r="FH41" i="14"/>
  <c r="FG41" i="14"/>
  <c r="FF41" i="14"/>
  <c r="FE41" i="14"/>
  <c r="EY38" i="14"/>
  <c r="EX38" i="14"/>
  <c r="EW38" i="14"/>
  <c r="EV38" i="14"/>
  <c r="EU38" i="14"/>
  <c r="ET38" i="14"/>
  <c r="ES38" i="14"/>
  <c r="ER38" i="14"/>
  <c r="EQ38" i="14"/>
  <c r="EP38" i="14"/>
  <c r="EO38" i="14"/>
  <c r="EN38" i="14"/>
  <c r="EM38" i="14"/>
  <c r="EL38" i="14"/>
  <c r="EK38" i="14"/>
  <c r="EJ38" i="14"/>
  <c r="EI38" i="14"/>
  <c r="EH38" i="14"/>
  <c r="EG38" i="14"/>
  <c r="EF38" i="14"/>
  <c r="EY35" i="14"/>
  <c r="EX35" i="14"/>
  <c r="EW35" i="14"/>
  <c r="EV35" i="14"/>
  <c r="EU35" i="14"/>
  <c r="ET35" i="14"/>
  <c r="ES35" i="14"/>
  <c r="ER35" i="14"/>
  <c r="EQ35" i="14"/>
  <c r="EP35" i="14"/>
  <c r="EO35" i="14"/>
  <c r="EN35" i="14"/>
  <c r="EM35" i="14"/>
  <c r="EL35" i="14"/>
  <c r="EK35" i="14"/>
  <c r="EJ35" i="14"/>
  <c r="EI35" i="14"/>
  <c r="EH35" i="14"/>
  <c r="EG35" i="14"/>
  <c r="EF35" i="14"/>
  <c r="EY32" i="14"/>
  <c r="EX32" i="14"/>
  <c r="EW32" i="14"/>
  <c r="EV32" i="14"/>
  <c r="EU32" i="14"/>
  <c r="ET32" i="14"/>
  <c r="ES32" i="14"/>
  <c r="ER32" i="14"/>
  <c r="EQ32" i="14"/>
  <c r="EP32" i="14"/>
  <c r="EO32" i="14"/>
  <c r="EN32" i="14"/>
  <c r="EM32" i="14"/>
  <c r="EL32" i="14"/>
  <c r="EK32" i="14"/>
  <c r="EJ32" i="14"/>
  <c r="EI32" i="14"/>
  <c r="EH32" i="14"/>
  <c r="EG32" i="14"/>
  <c r="EF32" i="14"/>
  <c r="EY25" i="14"/>
  <c r="EX25" i="14"/>
  <c r="EW25" i="14"/>
  <c r="EV25" i="14"/>
  <c r="EU25" i="14"/>
  <c r="ET25" i="14"/>
  <c r="ES25" i="14"/>
  <c r="ER25" i="14"/>
  <c r="EQ25" i="14"/>
  <c r="EP25" i="14"/>
  <c r="EO25" i="14"/>
  <c r="EN25" i="14"/>
  <c r="EM25" i="14"/>
  <c r="EL25" i="14"/>
  <c r="EK25" i="14"/>
  <c r="EJ25" i="14"/>
  <c r="EI25" i="14"/>
  <c r="EH25" i="14"/>
  <c r="EG25" i="14"/>
  <c r="EF25" i="14"/>
  <c r="EY22" i="14"/>
  <c r="EX22" i="14"/>
  <c r="EW22" i="14"/>
  <c r="EV22" i="14"/>
  <c r="EU22" i="14"/>
  <c r="ET22" i="14"/>
  <c r="ES22" i="14"/>
  <c r="ER22" i="14"/>
  <c r="EQ22" i="14"/>
  <c r="EP22" i="14"/>
  <c r="EO22" i="14"/>
  <c r="EN22" i="14"/>
  <c r="EM22" i="14"/>
  <c r="EL22" i="14"/>
  <c r="EK22" i="14"/>
  <c r="EJ22" i="14"/>
  <c r="EI22" i="14"/>
  <c r="EH22" i="14"/>
  <c r="EG22" i="14"/>
  <c r="EF22" i="14"/>
  <c r="EY19" i="14"/>
  <c r="EX19" i="14"/>
  <c r="EW19" i="14"/>
  <c r="EV19" i="14"/>
  <c r="EU19" i="14"/>
  <c r="ET19" i="14"/>
  <c r="ES19" i="14"/>
  <c r="ER19" i="14"/>
  <c r="EQ19" i="14"/>
  <c r="EP19" i="14"/>
  <c r="EO19" i="14"/>
  <c r="EN19" i="14"/>
  <c r="EM19" i="14"/>
  <c r="EL19" i="14"/>
  <c r="EK19" i="14"/>
  <c r="EJ19" i="14"/>
  <c r="EI19" i="14"/>
  <c r="EH19" i="14"/>
  <c r="EG19" i="14"/>
  <c r="EF19" i="14"/>
  <c r="EY16" i="14"/>
  <c r="EX16" i="14"/>
  <c r="EW16" i="14"/>
  <c r="EV16" i="14"/>
  <c r="EU16" i="14"/>
  <c r="ET16" i="14"/>
  <c r="ES16" i="14"/>
  <c r="ER16" i="14"/>
  <c r="EQ16" i="14"/>
  <c r="EP16" i="14"/>
  <c r="EO16" i="14"/>
  <c r="EN16" i="14"/>
  <c r="EM16" i="14"/>
  <c r="EL16" i="14"/>
  <c r="EK16" i="14"/>
  <c r="EJ16" i="14"/>
  <c r="EI16" i="14"/>
  <c r="EH16" i="14"/>
  <c r="EG16" i="14"/>
  <c r="EF16" i="14"/>
  <c r="EY13" i="14"/>
  <c r="EX13" i="14"/>
  <c r="EW13" i="14"/>
  <c r="EV13" i="14"/>
  <c r="EU13" i="14"/>
  <c r="ET13" i="14"/>
  <c r="ES13" i="14"/>
  <c r="ER13" i="14"/>
  <c r="EQ13" i="14"/>
  <c r="EP13" i="14"/>
  <c r="EO13" i="14"/>
  <c r="EN13" i="14"/>
  <c r="EM13" i="14"/>
  <c r="EL13" i="14"/>
  <c r="EK13" i="14"/>
  <c r="EJ13" i="14"/>
  <c r="EI13" i="14"/>
  <c r="EH13" i="14"/>
  <c r="EG13" i="14"/>
  <c r="EF13" i="14"/>
  <c r="EY12" i="14"/>
  <c r="EX12" i="14"/>
  <c r="EW12" i="14"/>
  <c r="EV12" i="14"/>
  <c r="EU12" i="14"/>
  <c r="ET12" i="14"/>
  <c r="ES12" i="14"/>
  <c r="ER12" i="14"/>
  <c r="EQ12" i="14"/>
  <c r="EP12" i="14"/>
  <c r="EO12" i="14"/>
  <c r="EN12" i="14"/>
  <c r="EM12" i="14"/>
  <c r="EL12" i="14"/>
  <c r="EK12" i="14"/>
  <c r="EJ12" i="14"/>
  <c r="EI12" i="14"/>
  <c r="EH12" i="14"/>
  <c r="EG12" i="14"/>
  <c r="EF12" i="14"/>
  <c r="EY8" i="14"/>
  <c r="EX8" i="14"/>
  <c r="EW8" i="14"/>
  <c r="EV8" i="14"/>
  <c r="EU8" i="14"/>
  <c r="ET8" i="14"/>
  <c r="ES8" i="14"/>
  <c r="ER8" i="14"/>
  <c r="EQ8" i="14"/>
  <c r="EP8" i="14"/>
  <c r="EO8" i="14"/>
  <c r="EN8" i="14"/>
  <c r="EM8" i="14"/>
  <c r="EL8" i="14"/>
  <c r="EK8" i="14"/>
  <c r="EJ8" i="14"/>
  <c r="EI8" i="14"/>
  <c r="EH8" i="14"/>
  <c r="EG8" i="14"/>
  <c r="EF8" i="14"/>
  <c r="EY4" i="14"/>
  <c r="EX4" i="14"/>
  <c r="EW4" i="14"/>
  <c r="EV4" i="14"/>
  <c r="EU4" i="14"/>
  <c r="ET4" i="14"/>
  <c r="ES4" i="14"/>
  <c r="ER4" i="14"/>
  <c r="EQ4" i="14"/>
  <c r="EP4" i="14"/>
  <c r="EO4" i="14"/>
  <c r="EN4" i="14"/>
  <c r="EM4" i="14"/>
  <c r="EL4" i="14"/>
  <c r="EK4" i="14"/>
  <c r="EJ4" i="14"/>
  <c r="EI4" i="14"/>
  <c r="EH4" i="14"/>
  <c r="EG4" i="14"/>
  <c r="EF4" i="14"/>
  <c r="FI41" i="15"/>
  <c r="FH41" i="15"/>
  <c r="FG41" i="15"/>
  <c r="FF41" i="15"/>
  <c r="FE41" i="15"/>
  <c r="CT722" i="2"/>
  <c r="CU722" i="2" s="1"/>
  <c r="CV722" i="2" s="1"/>
  <c r="CW722" i="2" s="1"/>
  <c r="CX722" i="2" s="1"/>
  <c r="CY722" i="2" s="1"/>
  <c r="CZ722" i="2" s="1"/>
  <c r="DA722" i="2" s="1"/>
  <c r="DB722" i="2" s="1"/>
  <c r="DC722" i="2" s="1"/>
  <c r="DD722" i="2" s="1"/>
  <c r="DE722" i="2" s="1"/>
  <c r="DF722" i="2" s="1"/>
  <c r="DG722" i="2" s="1"/>
  <c r="DH722" i="2" s="1"/>
  <c r="DI722" i="2" s="1"/>
  <c r="DJ722" i="2" s="1"/>
  <c r="DK722" i="2" s="1"/>
  <c r="DL722" i="2" s="1"/>
  <c r="DM722" i="2" s="1"/>
  <c r="DN722" i="2" s="1"/>
  <c r="DO722" i="2" s="1"/>
  <c r="DP722" i="2" s="1"/>
  <c r="DQ722" i="2" s="1"/>
  <c r="DR722" i="2" s="1"/>
  <c r="DS104" i="15" s="1"/>
  <c r="CT723" i="2"/>
  <c r="CU723" i="2" s="1"/>
  <c r="CV723" i="2" s="1"/>
  <c r="CW723" i="2" s="1"/>
  <c r="CX723" i="2" s="1"/>
  <c r="CY723" i="2" s="1"/>
  <c r="CZ723" i="2" s="1"/>
  <c r="DA723" i="2" s="1"/>
  <c r="DB723" i="2" s="1"/>
  <c r="DC723" i="2" s="1"/>
  <c r="DD723" i="2" s="1"/>
  <c r="DE723" i="2" s="1"/>
  <c r="DF723" i="2" s="1"/>
  <c r="DG723" i="2" s="1"/>
  <c r="DH723" i="2" s="1"/>
  <c r="DI723" i="2" s="1"/>
  <c r="DJ723" i="2" s="1"/>
  <c r="DK723" i="2" s="1"/>
  <c r="DL723" i="2" s="1"/>
  <c r="DM723" i="2" s="1"/>
  <c r="DN723" i="2" s="1"/>
  <c r="DO723" i="2" s="1"/>
  <c r="DP723" i="2" s="1"/>
  <c r="DQ723" i="2" s="1"/>
  <c r="DR723" i="2" s="1"/>
  <c r="DS105" i="15" s="1"/>
  <c r="CT724" i="2"/>
  <c r="CU724" i="2" s="1"/>
  <c r="CV724" i="2" s="1"/>
  <c r="CW724" i="2" s="1"/>
  <c r="CX724" i="2" s="1"/>
  <c r="CY724" i="2" s="1"/>
  <c r="CZ724" i="2" s="1"/>
  <c r="DA724" i="2" s="1"/>
  <c r="DB724" i="2" s="1"/>
  <c r="DC724" i="2" s="1"/>
  <c r="DD724" i="2" s="1"/>
  <c r="DE724" i="2" s="1"/>
  <c r="DF724" i="2" s="1"/>
  <c r="DG724" i="2" s="1"/>
  <c r="DH724" i="2" s="1"/>
  <c r="DI724" i="2" s="1"/>
  <c r="DJ724" i="2" s="1"/>
  <c r="DK724" i="2" s="1"/>
  <c r="DL724" i="2" s="1"/>
  <c r="DM724" i="2" s="1"/>
  <c r="DN724" i="2" s="1"/>
  <c r="DO724" i="2" s="1"/>
  <c r="DP724" i="2" s="1"/>
  <c r="DQ724" i="2" s="1"/>
  <c r="DR724" i="2" s="1"/>
  <c r="DS106" i="15" s="1"/>
  <c r="CT725" i="2"/>
  <c r="CU725" i="2" s="1"/>
  <c r="CV725" i="2" s="1"/>
  <c r="CW725" i="2" s="1"/>
  <c r="CX725" i="2" s="1"/>
  <c r="CY725" i="2" s="1"/>
  <c r="CZ725" i="2" s="1"/>
  <c r="DA725" i="2" s="1"/>
  <c r="DB725" i="2" s="1"/>
  <c r="DC725" i="2" s="1"/>
  <c r="DD725" i="2" s="1"/>
  <c r="DE725" i="2" s="1"/>
  <c r="DF725" i="2" s="1"/>
  <c r="DG725" i="2" s="1"/>
  <c r="DH725" i="2" s="1"/>
  <c r="DI725" i="2" s="1"/>
  <c r="DJ725" i="2" s="1"/>
  <c r="DK725" i="2" s="1"/>
  <c r="DL725" i="2" s="1"/>
  <c r="DM725" i="2" s="1"/>
  <c r="DN725" i="2" s="1"/>
  <c r="DO725" i="2" s="1"/>
  <c r="DP725" i="2" s="1"/>
  <c r="DQ725" i="2" s="1"/>
  <c r="DR725" i="2" s="1"/>
  <c r="DS107" i="15" s="1"/>
  <c r="CT720" i="2"/>
  <c r="CU720" i="2" s="1"/>
  <c r="CV720" i="2" s="1"/>
  <c r="CW720" i="2" s="1"/>
  <c r="CX720" i="2" s="1"/>
  <c r="CY720" i="2" s="1"/>
  <c r="CZ720" i="2" s="1"/>
  <c r="DA720" i="2" s="1"/>
  <c r="DB720" i="2" s="1"/>
  <c r="DC720" i="2" s="1"/>
  <c r="DD720" i="2" s="1"/>
  <c r="DE720" i="2" s="1"/>
  <c r="DF720" i="2" s="1"/>
  <c r="DG720" i="2" s="1"/>
  <c r="DH720" i="2" s="1"/>
  <c r="DI720" i="2" s="1"/>
  <c r="DJ720" i="2" s="1"/>
  <c r="DK720" i="2" s="1"/>
  <c r="DL720" i="2" s="1"/>
  <c r="DM720" i="2" s="1"/>
  <c r="DN720" i="2" s="1"/>
  <c r="DO720" i="2" s="1"/>
  <c r="DP720" i="2" s="1"/>
  <c r="DQ720" i="2" s="1"/>
  <c r="DR720" i="2" s="1"/>
  <c r="DS102" i="15" s="1"/>
  <c r="CT721" i="2"/>
  <c r="CU721" i="2" s="1"/>
  <c r="CV721" i="2" s="1"/>
  <c r="CW721" i="2" s="1"/>
  <c r="CX721" i="2" s="1"/>
  <c r="CY721" i="2" s="1"/>
  <c r="CZ721" i="2" s="1"/>
  <c r="DA721" i="2" s="1"/>
  <c r="DB721" i="2" s="1"/>
  <c r="DC721" i="2" s="1"/>
  <c r="DD721" i="2" s="1"/>
  <c r="DE721" i="2" s="1"/>
  <c r="DF721" i="2" s="1"/>
  <c r="DG721" i="2" s="1"/>
  <c r="DH721" i="2" s="1"/>
  <c r="DI721" i="2" s="1"/>
  <c r="DJ721" i="2" s="1"/>
  <c r="DK721" i="2" s="1"/>
  <c r="DL721" i="2" s="1"/>
  <c r="DM721" i="2" s="1"/>
  <c r="DN721" i="2" s="1"/>
  <c r="DO721" i="2" s="1"/>
  <c r="DP721" i="2" s="1"/>
  <c r="DQ721" i="2" s="1"/>
  <c r="DR721" i="2" s="1"/>
  <c r="DS103" i="15" s="1"/>
  <c r="EY136" i="15"/>
  <c r="EX136" i="15"/>
  <c r="EW136" i="15"/>
  <c r="EV136" i="15"/>
  <c r="EU136" i="15"/>
  <c r="ET136" i="15"/>
  <c r="ES136" i="15"/>
  <c r="ER136" i="15"/>
  <c r="EQ136" i="15"/>
  <c r="EP136" i="15"/>
  <c r="EO136" i="15"/>
  <c r="EN136" i="15"/>
  <c r="EM136" i="15"/>
  <c r="EL136" i="15"/>
  <c r="EK136" i="15"/>
  <c r="EJ136" i="15"/>
  <c r="EI136" i="15"/>
  <c r="EH136" i="15"/>
  <c r="EG136" i="15"/>
  <c r="EF136" i="15"/>
  <c r="EY49" i="15"/>
  <c r="EX49" i="15"/>
  <c r="EW49" i="15"/>
  <c r="EV49" i="15"/>
  <c r="EU49" i="15"/>
  <c r="ET49" i="15"/>
  <c r="ES49" i="15"/>
  <c r="ER49" i="15"/>
  <c r="EQ49" i="15"/>
  <c r="EP49" i="15"/>
  <c r="EO49" i="15"/>
  <c r="EN49" i="15"/>
  <c r="EM49" i="15"/>
  <c r="EL49" i="15"/>
  <c r="EK49" i="15"/>
  <c r="EJ49" i="15"/>
  <c r="EI49" i="15"/>
  <c r="EH49" i="15"/>
  <c r="EG49" i="15"/>
  <c r="EF49" i="15"/>
  <c r="DN67" i="19"/>
  <c r="DR63" i="19"/>
  <c r="DP63" i="19"/>
  <c r="DR59" i="19"/>
  <c r="DP59" i="19"/>
  <c r="DQ57" i="19"/>
  <c r="DF47" i="19"/>
  <c r="CX47" i="19"/>
  <c r="CV47" i="19"/>
  <c r="CT47" i="19"/>
  <c r="CS47" i="19"/>
  <c r="CP47" i="19"/>
  <c r="CM47" i="19"/>
  <c r="CJ47" i="19"/>
  <c r="CI47" i="19"/>
  <c r="CF47" i="19"/>
  <c r="CB47" i="19"/>
  <c r="BX47" i="19"/>
  <c r="BL47" i="19"/>
  <c r="BJ47" i="19"/>
  <c r="BH47" i="19"/>
  <c r="BD47" i="19"/>
  <c r="BB47" i="19"/>
  <c r="AZ47" i="19"/>
  <c r="AT47" i="19"/>
  <c r="AH47" i="19"/>
  <c r="AG47" i="19"/>
  <c r="BZ46" i="19"/>
  <c r="BY46" i="19"/>
  <c r="BX46" i="19"/>
  <c r="BW46" i="19"/>
  <c r="DR44" i="19"/>
  <c r="DB44" i="19"/>
  <c r="CX44" i="19"/>
  <c r="CT44" i="19"/>
  <c r="CS44" i="19"/>
  <c r="CR44" i="19"/>
  <c r="CP44" i="19"/>
  <c r="CL44" i="19"/>
  <c r="CJ44" i="19"/>
  <c r="CH44" i="19"/>
  <c r="CD44" i="19"/>
  <c r="BV44" i="19"/>
  <c r="BU44" i="19"/>
  <c r="BT44" i="19"/>
  <c r="BP44" i="19"/>
  <c r="AZ44" i="19"/>
  <c r="AY44" i="19"/>
  <c r="AR44" i="19"/>
  <c r="AL44" i="19"/>
  <c r="AK44" i="19"/>
  <c r="AJ44" i="19"/>
  <c r="AI44" i="19"/>
  <c r="AH44" i="19"/>
  <c r="AG44" i="19"/>
  <c r="DH43" i="19"/>
  <c r="DB43" i="19"/>
  <c r="CX43" i="19"/>
  <c r="CV43" i="19"/>
  <c r="CT43" i="19"/>
  <c r="CJ43" i="19"/>
  <c r="CD43" i="19"/>
  <c r="CB43" i="19"/>
  <c r="BZ43" i="19"/>
  <c r="BY42" i="19"/>
  <c r="BE42" i="19"/>
  <c r="DJ41" i="19"/>
  <c r="DH41" i="19"/>
  <c r="DF41" i="19"/>
  <c r="CX41" i="19"/>
  <c r="CV41" i="19"/>
  <c r="CT41" i="19"/>
  <c r="CR41" i="19"/>
  <c r="CN41" i="19"/>
  <c r="CJ41" i="19"/>
  <c r="CB41" i="19"/>
  <c r="BZ41" i="19"/>
  <c r="BX41" i="19"/>
  <c r="BW41" i="19"/>
  <c r="BD41" i="19"/>
  <c r="BA41" i="19"/>
  <c r="AY41" i="19"/>
  <c r="DJ40" i="19"/>
  <c r="CX40" i="19"/>
  <c r="CV40" i="19"/>
  <c r="CR40" i="19"/>
  <c r="CL40" i="19"/>
  <c r="CJ40" i="19"/>
  <c r="CB40" i="19"/>
  <c r="BY40" i="19"/>
  <c r="BX40" i="19"/>
  <c r="BW40" i="19"/>
  <c r="BV40" i="19"/>
  <c r="AZ40" i="19"/>
  <c r="AY40" i="19"/>
  <c r="AT40" i="19"/>
  <c r="AS40" i="19"/>
  <c r="DE39" i="19"/>
  <c r="CT39" i="19"/>
  <c r="CR39" i="19"/>
  <c r="BY39" i="19"/>
  <c r="BX39" i="19"/>
  <c r="BW39" i="19"/>
  <c r="BV39" i="19"/>
  <c r="BU39" i="19"/>
  <c r="AT39" i="19"/>
  <c r="AS39" i="19"/>
  <c r="BT38" i="19"/>
  <c r="DN37" i="19"/>
  <c r="BX37" i="19"/>
  <c r="AV37" i="19"/>
  <c r="AU37" i="19"/>
  <c r="AT37" i="19"/>
  <c r="DH36" i="19"/>
  <c r="DF36" i="19"/>
  <c r="DB36" i="19"/>
  <c r="CX36" i="19"/>
  <c r="CV36" i="19"/>
  <c r="CJ36" i="19"/>
  <c r="CD36" i="19"/>
  <c r="CB36" i="19"/>
  <c r="BZ36" i="19"/>
  <c r="BY36" i="19"/>
  <c r="BV36" i="19"/>
  <c r="BU36" i="19"/>
  <c r="AT36" i="19"/>
  <c r="AR36" i="19"/>
  <c r="AL36" i="19"/>
  <c r="AK36" i="19"/>
  <c r="AJ36" i="19"/>
  <c r="AI36" i="19"/>
  <c r="CX35" i="19"/>
  <c r="CW35" i="19"/>
  <c r="CV35" i="19"/>
  <c r="CU35" i="19"/>
  <c r="AT34" i="19"/>
  <c r="AI34" i="19"/>
  <c r="DF32" i="19"/>
  <c r="DE32" i="19"/>
  <c r="CV32" i="19"/>
  <c r="BZ32" i="19"/>
  <c r="BY32" i="19"/>
  <c r="BV32" i="19"/>
  <c r="BU32" i="19"/>
  <c r="BT32" i="19"/>
  <c r="BS32" i="19"/>
  <c r="BM32" i="19"/>
  <c r="BL32" i="19"/>
  <c r="BK32" i="19"/>
  <c r="BI32" i="19"/>
  <c r="BH32" i="19"/>
  <c r="BG32" i="19"/>
  <c r="AZ32" i="19"/>
  <c r="AY32" i="19"/>
  <c r="AW32" i="19"/>
  <c r="AV32" i="19"/>
  <c r="AU32" i="19"/>
  <c r="AT32" i="19"/>
  <c r="AS32" i="19"/>
  <c r="AR32" i="19"/>
  <c r="AQ32" i="19"/>
  <c r="AL32" i="19"/>
  <c r="AK32" i="19"/>
  <c r="AI32" i="19"/>
  <c r="AG32" i="19"/>
  <c r="DR26" i="19"/>
  <c r="DP26" i="19"/>
  <c r="DN26" i="19"/>
  <c r="DL26" i="19"/>
  <c r="DJ26" i="19"/>
  <c r="DH26" i="19"/>
  <c r="DF26" i="19"/>
  <c r="DD26" i="19"/>
  <c r="DB26" i="19"/>
  <c r="CW26" i="19"/>
  <c r="CV26" i="19"/>
  <c r="CT26" i="19"/>
  <c r="CP26" i="19"/>
  <c r="CB26" i="19"/>
  <c r="CA26" i="19"/>
  <c r="BZ26" i="19"/>
  <c r="BV26" i="19"/>
  <c r="BT26" i="19"/>
  <c r="BL26" i="19"/>
  <c r="AT26" i="19"/>
  <c r="AS26" i="19"/>
  <c r="DR25" i="19"/>
  <c r="DP25" i="19"/>
  <c r="DN25" i="19"/>
  <c r="DH25" i="19"/>
  <c r="DB25" i="19"/>
  <c r="CV25" i="19"/>
  <c r="CP25" i="19"/>
  <c r="CJ25" i="19"/>
  <c r="CD25" i="19"/>
  <c r="BZ25" i="19"/>
  <c r="BV25" i="19"/>
  <c r="BT25" i="19"/>
  <c r="BL25" i="19"/>
  <c r="BH25" i="19"/>
  <c r="AT25" i="19"/>
  <c r="AS25" i="19"/>
  <c r="BY23" i="19"/>
  <c r="DR22" i="19"/>
  <c r="DN22" i="19"/>
  <c r="DL22" i="19"/>
  <c r="DJ22" i="19"/>
  <c r="DF22" i="19"/>
  <c r="DE22" i="19"/>
  <c r="DD22" i="19"/>
  <c r="DB22" i="19"/>
  <c r="CX22" i="19"/>
  <c r="CV22" i="19"/>
  <c r="CT22" i="19"/>
  <c r="CR22" i="19"/>
  <c r="CH22" i="19"/>
  <c r="CF22" i="19"/>
  <c r="CB22" i="19"/>
  <c r="BZ22" i="19"/>
  <c r="BX22" i="19"/>
  <c r="BV22" i="19"/>
  <c r="BT22" i="19"/>
  <c r="BP22" i="19"/>
  <c r="BN22" i="19"/>
  <c r="BL22" i="19"/>
  <c r="BJ22" i="19"/>
  <c r="BH22" i="19"/>
  <c r="BD22" i="19"/>
  <c r="BB22" i="19"/>
  <c r="AV22" i="19"/>
  <c r="AU22" i="19"/>
  <c r="AH22" i="19"/>
  <c r="DR21" i="19"/>
  <c r="DP21" i="19"/>
  <c r="DN21" i="19"/>
  <c r="DJ21" i="19"/>
  <c r="DG21" i="19"/>
  <c r="DF21" i="19"/>
  <c r="DE21" i="19"/>
  <c r="DB21" i="19"/>
  <c r="CX21" i="19"/>
  <c r="CW21" i="19"/>
  <c r="CV21" i="19"/>
  <c r="CP21" i="19"/>
  <c r="CN21" i="19"/>
  <c r="CJ21" i="19"/>
  <c r="CB21" i="19"/>
  <c r="BZ21" i="19"/>
  <c r="BX21" i="19"/>
  <c r="BL21" i="19"/>
  <c r="BJ21" i="19"/>
  <c r="BD21" i="19"/>
  <c r="BB21" i="19"/>
  <c r="AZ21" i="19"/>
  <c r="DH20" i="19"/>
  <c r="CJ20" i="19"/>
  <c r="CD20" i="19"/>
  <c r="CB20" i="19"/>
  <c r="BZ20" i="19"/>
  <c r="BX20" i="19"/>
  <c r="AZ20" i="19"/>
  <c r="BG18" i="19"/>
  <c r="DF17" i="19"/>
  <c r="DE17" i="19"/>
  <c r="CX17" i="19"/>
  <c r="CT17" i="19"/>
  <c r="CL17" i="19"/>
  <c r="CJ17" i="19"/>
  <c r="CD17" i="19"/>
  <c r="BZ17" i="19"/>
  <c r="BV17" i="19"/>
  <c r="BT17" i="19"/>
  <c r="BL17" i="19"/>
  <c r="BJ17" i="19"/>
  <c r="BH17" i="19"/>
  <c r="AZ17" i="19"/>
  <c r="AS17" i="19"/>
  <c r="AR17" i="19"/>
  <c r="DR16" i="19"/>
  <c r="DP16" i="19"/>
  <c r="DN16" i="19"/>
  <c r="DL16" i="19"/>
  <c r="DJ16" i="19"/>
  <c r="DH16" i="19"/>
  <c r="DB16" i="19"/>
  <c r="CX16" i="19"/>
  <c r="CV16" i="19"/>
  <c r="CT16" i="19"/>
  <c r="CN16" i="19"/>
  <c r="BX16" i="19"/>
  <c r="BW16" i="19"/>
  <c r="BT16" i="19"/>
  <c r="BL16" i="19"/>
  <c r="BB16" i="19"/>
  <c r="AZ16" i="19"/>
  <c r="AV16" i="19"/>
  <c r="AU16" i="19"/>
  <c r="AT16" i="19"/>
  <c r="AL16" i="19"/>
  <c r="AK16" i="19"/>
  <c r="AJ16" i="19"/>
  <c r="AI16" i="19"/>
  <c r="CD13" i="19"/>
  <c r="DE12" i="19"/>
  <c r="CT12" i="19"/>
  <c r="CP12" i="19"/>
  <c r="CJ12" i="19"/>
  <c r="CH12" i="19"/>
  <c r="BZ12" i="19"/>
  <c r="BV12" i="19"/>
  <c r="BU12" i="19"/>
  <c r="BT12" i="19"/>
  <c r="BL12" i="19"/>
  <c r="BK12" i="19"/>
  <c r="CT10" i="19"/>
  <c r="CP10" i="19"/>
  <c r="CH10" i="19"/>
  <c r="BT10" i="19"/>
  <c r="AZ10" i="19"/>
  <c r="AV10" i="19"/>
  <c r="AU10" i="19"/>
  <c r="AT10" i="19"/>
  <c r="AR10" i="19"/>
  <c r="DP9" i="19"/>
  <c r="DO9" i="19"/>
  <c r="DN9" i="19"/>
  <c r="DM9" i="19"/>
  <c r="DM57" i="19" s="1"/>
  <c r="DL9" i="19"/>
  <c r="DK9" i="19"/>
  <c r="DJ9" i="19"/>
  <c r="DI9" i="19"/>
  <c r="DH9" i="19"/>
  <c r="DG9" i="19"/>
  <c r="DF9" i="19"/>
  <c r="DE9" i="19"/>
  <c r="DD9" i="19"/>
  <c r="DC9" i="19"/>
  <c r="DB9" i="19"/>
  <c r="DA9" i="19"/>
  <c r="CX9" i="19"/>
  <c r="CW9" i="19"/>
  <c r="CV9" i="19"/>
  <c r="CU9" i="19"/>
  <c r="CT9" i="19"/>
  <c r="CS9" i="19"/>
  <c r="CP9" i="19"/>
  <c r="CO9" i="19"/>
  <c r="CL9" i="19"/>
  <c r="CK9" i="19"/>
  <c r="CJ9" i="19"/>
  <c r="CI9" i="19"/>
  <c r="CG9" i="19"/>
  <c r="CC9" i="19"/>
  <c r="CA9" i="19"/>
  <c r="BZ9" i="19"/>
  <c r="BY9" i="19"/>
  <c r="BB9" i="19"/>
  <c r="BA9" i="19"/>
  <c r="AI9" i="19"/>
  <c r="AH9" i="19"/>
  <c r="AG9" i="19"/>
  <c r="DP5" i="19"/>
  <c r="DO5" i="19"/>
  <c r="DN5" i="19"/>
  <c r="DM5" i="19"/>
  <c r="DK5" i="19"/>
  <c r="DJ5" i="19"/>
  <c r="DI5" i="19"/>
  <c r="DH5" i="19"/>
  <c r="DG5" i="19"/>
  <c r="DD5" i="19"/>
  <c r="DD57" i="19" s="1"/>
  <c r="DD68" i="19" s="1"/>
  <c r="DC5" i="19"/>
  <c r="DB5" i="19"/>
  <c r="DA5" i="19"/>
  <c r="CX5" i="19"/>
  <c r="CW5" i="19"/>
  <c r="CU5" i="19"/>
  <c r="CT5" i="19"/>
  <c r="CS5" i="19"/>
  <c r="CO5" i="19"/>
  <c r="CL5" i="19"/>
  <c r="CK5" i="19"/>
  <c r="CI5" i="19"/>
  <c r="CH5" i="19"/>
  <c r="CG5" i="19"/>
  <c r="CD5" i="19"/>
  <c r="CC5" i="19"/>
  <c r="DB4" i="19"/>
  <c r="CX4" i="19"/>
  <c r="CW4" i="19"/>
  <c r="CV4" i="19"/>
  <c r="CT4" i="19"/>
  <c r="CS4" i="19"/>
  <c r="CB4" i="19"/>
  <c r="BZ4" i="19"/>
  <c r="BX4" i="19"/>
  <c r="BW4" i="19"/>
  <c r="AL4" i="19"/>
  <c r="AI4" i="19"/>
  <c r="BL3" i="19"/>
  <c r="BK3" i="19"/>
  <c r="DX2" i="19"/>
  <c r="DZ2" i="19" s="1"/>
  <c r="EB2" i="19" s="1"/>
  <c r="ED2" i="19" s="1"/>
  <c r="EF2" i="19" s="1"/>
  <c r="EH2" i="19" s="1"/>
  <c r="EJ2" i="19" s="1"/>
  <c r="EL2" i="19" s="1"/>
  <c r="EN2" i="19" s="1"/>
  <c r="EP2" i="19" s="1"/>
  <c r="ER2" i="19" s="1"/>
  <c r="DR172" i="18"/>
  <c r="DQ172" i="18"/>
  <c r="DP172" i="18"/>
  <c r="DO172" i="18"/>
  <c r="DN172" i="18"/>
  <c r="DM172" i="18"/>
  <c r="DL172" i="18"/>
  <c r="DK172" i="18"/>
  <c r="DJ172" i="18"/>
  <c r="DI172" i="18"/>
  <c r="DH172" i="18"/>
  <c r="DG172" i="18"/>
  <c r="DF172" i="18"/>
  <c r="DE172" i="18"/>
  <c r="DD172" i="18"/>
  <c r="DC172" i="18"/>
  <c r="DB172" i="18"/>
  <c r="DA172" i="18"/>
  <c r="CZ172" i="18"/>
  <c r="CY172" i="18"/>
  <c r="CX172" i="18"/>
  <c r="CW172" i="18"/>
  <c r="CV172" i="18"/>
  <c r="CU172" i="18"/>
  <c r="CT172" i="18"/>
  <c r="CS172" i="18"/>
  <c r="CR172" i="18"/>
  <c r="CQ172" i="18"/>
  <c r="CP172" i="18"/>
  <c r="CO172" i="18"/>
  <c r="CN172" i="18"/>
  <c r="CM172" i="18"/>
  <c r="CL172" i="18"/>
  <c r="CK172" i="18"/>
  <c r="CJ172" i="18"/>
  <c r="CI172" i="18"/>
  <c r="CH172" i="18"/>
  <c r="CG172" i="18"/>
  <c r="CF172" i="18"/>
  <c r="CE172" i="18"/>
  <c r="CD172" i="18"/>
  <c r="CC172" i="18"/>
  <c r="CB172" i="18"/>
  <c r="CA172" i="18"/>
  <c r="BZ172" i="18"/>
  <c r="BY172" i="18"/>
  <c r="BX172" i="18"/>
  <c r="BW172" i="18"/>
  <c r="BV172" i="18"/>
  <c r="BU172" i="18"/>
  <c r="BT172" i="18"/>
  <c r="BS172" i="18"/>
  <c r="BR172" i="18"/>
  <c r="BQ172" i="18"/>
  <c r="BP172" i="18"/>
  <c r="BO172" i="18"/>
  <c r="BN172" i="18"/>
  <c r="BM172" i="18"/>
  <c r="BL172" i="18"/>
  <c r="BK172" i="18"/>
  <c r="BJ172" i="18"/>
  <c r="BI172" i="18"/>
  <c r="BH172" i="18"/>
  <c r="BG172" i="18"/>
  <c r="BF172" i="18"/>
  <c r="BE172" i="18"/>
  <c r="BD172" i="18"/>
  <c r="BC172" i="18"/>
  <c r="BB172" i="18"/>
  <c r="BA172" i="18"/>
  <c r="AZ172" i="18"/>
  <c r="AY172" i="18"/>
  <c r="AX172" i="18"/>
  <c r="AW172" i="18"/>
  <c r="AV172" i="18"/>
  <c r="AU172" i="18"/>
  <c r="AT172" i="18"/>
  <c r="AS172" i="18"/>
  <c r="AR172" i="18"/>
  <c r="AQ172" i="18"/>
  <c r="AP172" i="18"/>
  <c r="AO172" i="18"/>
  <c r="AN172" i="18"/>
  <c r="AM172" i="18"/>
  <c r="AL172" i="18"/>
  <c r="AK172" i="18"/>
  <c r="AJ172" i="18"/>
  <c r="AI172" i="18"/>
  <c r="AH172" i="18"/>
  <c r="AG172" i="18"/>
  <c r="AF172" i="18"/>
  <c r="AE172" i="18"/>
  <c r="AD172" i="18"/>
  <c r="AC172" i="18"/>
  <c r="AB172" i="18"/>
  <c r="AA172" i="18"/>
  <c r="Z172" i="18"/>
  <c r="Y172" i="18"/>
  <c r="X172" i="18"/>
  <c r="W172" i="18"/>
  <c r="V172" i="18"/>
  <c r="U172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EF162" i="18"/>
  <c r="EG162" i="18"/>
  <c r="EH162" i="18"/>
  <c r="EI162" i="18"/>
  <c r="EJ162" i="18"/>
  <c r="EK162" i="18"/>
  <c r="EL162" i="18"/>
  <c r="EM162" i="18"/>
  <c r="EN162" i="18"/>
  <c r="EO162" i="18"/>
  <c r="EP162" i="18"/>
  <c r="EQ162" i="18"/>
  <c r="CT153" i="18"/>
  <c r="CS153" i="18"/>
  <c r="CR153" i="18"/>
  <c r="CQ153" i="18"/>
  <c r="CP153" i="18"/>
  <c r="CO153" i="18"/>
  <c r="CN153" i="18"/>
  <c r="CM153" i="18"/>
  <c r="CL153" i="18"/>
  <c r="CK153" i="18"/>
  <c r="CJ153" i="18"/>
  <c r="CI153" i="18"/>
  <c r="CH153" i="18"/>
  <c r="CG153" i="18"/>
  <c r="CF153" i="18"/>
  <c r="CE153" i="18"/>
  <c r="CD153" i="18"/>
  <c r="CC153" i="18"/>
  <c r="CB153" i="18"/>
  <c r="CA153" i="18"/>
  <c r="BZ153" i="18"/>
  <c r="BY153" i="18"/>
  <c r="BX153" i="18"/>
  <c r="BW153" i="18"/>
  <c r="BV153" i="18"/>
  <c r="BU153" i="18"/>
  <c r="BT153" i="18"/>
  <c r="BS153" i="18"/>
  <c r="BR153" i="18"/>
  <c r="BQ153" i="18"/>
  <c r="BP153" i="18"/>
  <c r="BO153" i="18"/>
  <c r="BN153" i="18"/>
  <c r="BM153" i="18"/>
  <c r="BL153" i="18"/>
  <c r="BK153" i="18"/>
  <c r="BJ153" i="18"/>
  <c r="BI153" i="18"/>
  <c r="BH153" i="18"/>
  <c r="BG153" i="18"/>
  <c r="BF153" i="18"/>
  <c r="BE153" i="18"/>
  <c r="BD153" i="18"/>
  <c r="BC153" i="18"/>
  <c r="BB153" i="18"/>
  <c r="BA153" i="18"/>
  <c r="AZ153" i="18"/>
  <c r="AY153" i="18"/>
  <c r="AX153" i="18"/>
  <c r="AW153" i="18"/>
  <c r="AV153" i="18"/>
  <c r="AU153" i="18"/>
  <c r="AT153" i="18"/>
  <c r="AS153" i="18"/>
  <c r="AR153" i="18"/>
  <c r="AQ153" i="18"/>
  <c r="AP153" i="18"/>
  <c r="AO153" i="18"/>
  <c r="AN153" i="18"/>
  <c r="AM153" i="18"/>
  <c r="AL153" i="18"/>
  <c r="AK153" i="18"/>
  <c r="AJ153" i="18"/>
  <c r="AI153" i="18"/>
  <c r="AH153" i="18"/>
  <c r="AG153" i="18"/>
  <c r="AF153" i="18"/>
  <c r="AE153" i="18"/>
  <c r="AD153" i="18"/>
  <c r="AC153" i="18"/>
  <c r="AB153" i="18"/>
  <c r="AA153" i="18"/>
  <c r="Z153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K133" i="18"/>
  <c r="J133" i="18"/>
  <c r="I133" i="18"/>
  <c r="H133" i="18"/>
  <c r="G133" i="18"/>
  <c r="F133" i="18"/>
  <c r="E133" i="18"/>
  <c r="D133" i="18"/>
  <c r="C133" i="18"/>
  <c r="DQ115" i="18"/>
  <c r="DQ141" i="18" s="1"/>
  <c r="DQ171" i="18" s="1"/>
  <c r="DP115" i="18"/>
  <c r="DP141" i="18" s="1"/>
  <c r="DP171" i="18" s="1"/>
  <c r="DO115" i="18"/>
  <c r="DO141" i="18" s="1"/>
  <c r="DO171" i="18" s="1"/>
  <c r="DN115" i="18"/>
  <c r="DN141" i="18" s="1"/>
  <c r="DN171" i="18" s="1"/>
  <c r="DM115" i="18"/>
  <c r="DM141" i="18" s="1"/>
  <c r="DM171" i="18" s="1"/>
  <c r="DL115" i="18"/>
  <c r="DL141" i="18" s="1"/>
  <c r="DL171" i="18" s="1"/>
  <c r="DK115" i="18"/>
  <c r="DK141" i="18" s="1"/>
  <c r="DK171" i="18" s="1"/>
  <c r="DJ115" i="18"/>
  <c r="DJ141" i="18" s="1"/>
  <c r="DJ171" i="18" s="1"/>
  <c r="DI115" i="18"/>
  <c r="DI141" i="18" s="1"/>
  <c r="DI171" i="18" s="1"/>
  <c r="DH115" i="18"/>
  <c r="DH141" i="18" s="1"/>
  <c r="DH171" i="18" s="1"/>
  <c r="DG115" i="18"/>
  <c r="DG141" i="18" s="1"/>
  <c r="DG171" i="18" s="1"/>
  <c r="DF115" i="18"/>
  <c r="DF141" i="18" s="1"/>
  <c r="DF171" i="18" s="1"/>
  <c r="DE115" i="18"/>
  <c r="DE141" i="18" s="1"/>
  <c r="DE171" i="18" s="1"/>
  <c r="DD115" i="18"/>
  <c r="DD141" i="18" s="1"/>
  <c r="DD171" i="18" s="1"/>
  <c r="DC115" i="18"/>
  <c r="DC141" i="18" s="1"/>
  <c r="DC171" i="18" s="1"/>
  <c r="DB115" i="18"/>
  <c r="DB141" i="18" s="1"/>
  <c r="DB171" i="18" s="1"/>
  <c r="DA115" i="18"/>
  <c r="DA141" i="18" s="1"/>
  <c r="DA171" i="18" s="1"/>
  <c r="CZ115" i="18"/>
  <c r="CZ141" i="18" s="1"/>
  <c r="CZ171" i="18" s="1"/>
  <c r="CY115" i="18"/>
  <c r="CY141" i="18" s="1"/>
  <c r="CY171" i="18" s="1"/>
  <c r="CX115" i="18"/>
  <c r="CX141" i="18" s="1"/>
  <c r="CX171" i="18" s="1"/>
  <c r="CW115" i="18"/>
  <c r="CW141" i="18" s="1"/>
  <c r="CW171" i="18" s="1"/>
  <c r="CV115" i="18"/>
  <c r="CV141" i="18" s="1"/>
  <c r="CV171" i="18" s="1"/>
  <c r="CU115" i="18"/>
  <c r="CU141" i="18" s="1"/>
  <c r="CU171" i="18" s="1"/>
  <c r="CT115" i="18"/>
  <c r="CT141" i="18" s="1"/>
  <c r="CT171" i="18" s="1"/>
  <c r="CS115" i="18"/>
  <c r="CS141" i="18" s="1"/>
  <c r="CS171" i="18" s="1"/>
  <c r="CR115" i="18"/>
  <c r="CR141" i="18" s="1"/>
  <c r="CR171" i="18" s="1"/>
  <c r="CQ115" i="18"/>
  <c r="CQ141" i="18" s="1"/>
  <c r="CQ171" i="18" s="1"/>
  <c r="CP115" i="18"/>
  <c r="CP141" i="18" s="1"/>
  <c r="CP171" i="18" s="1"/>
  <c r="CO115" i="18"/>
  <c r="CO141" i="18" s="1"/>
  <c r="CO171" i="18" s="1"/>
  <c r="CN115" i="18"/>
  <c r="CN141" i="18" s="1"/>
  <c r="CN171" i="18" s="1"/>
  <c r="CM115" i="18"/>
  <c r="CM141" i="18" s="1"/>
  <c r="CM171" i="18" s="1"/>
  <c r="CL115" i="18"/>
  <c r="CL141" i="18" s="1"/>
  <c r="CL171" i="18" s="1"/>
  <c r="CK115" i="18"/>
  <c r="CK141" i="18" s="1"/>
  <c r="CK171" i="18" s="1"/>
  <c r="CJ115" i="18"/>
  <c r="CJ141" i="18" s="1"/>
  <c r="CJ171" i="18" s="1"/>
  <c r="CI115" i="18"/>
  <c r="CI141" i="18" s="1"/>
  <c r="CI171" i="18" s="1"/>
  <c r="CH115" i="18"/>
  <c r="CH141" i="18" s="1"/>
  <c r="CH171" i="18" s="1"/>
  <c r="CG115" i="18"/>
  <c r="CG141" i="18" s="1"/>
  <c r="CG171" i="18" s="1"/>
  <c r="CF115" i="18"/>
  <c r="CF141" i="18" s="1"/>
  <c r="CF171" i="18" s="1"/>
  <c r="CE115" i="18"/>
  <c r="CE141" i="18" s="1"/>
  <c r="CE171" i="18" s="1"/>
  <c r="CD115" i="18"/>
  <c r="CD141" i="18" s="1"/>
  <c r="CD171" i="18" s="1"/>
  <c r="CC115" i="18"/>
  <c r="CC141" i="18" s="1"/>
  <c r="CC171" i="18" s="1"/>
  <c r="CB115" i="18"/>
  <c r="CB141" i="18" s="1"/>
  <c r="CB171" i="18" s="1"/>
  <c r="CA115" i="18"/>
  <c r="CA141" i="18" s="1"/>
  <c r="CA171" i="18" s="1"/>
  <c r="BZ115" i="18"/>
  <c r="BZ141" i="18" s="1"/>
  <c r="BZ171" i="18" s="1"/>
  <c r="BY115" i="18"/>
  <c r="BY141" i="18" s="1"/>
  <c r="BY171" i="18" s="1"/>
  <c r="BX115" i="18"/>
  <c r="BX141" i="18" s="1"/>
  <c r="BX171" i="18" s="1"/>
  <c r="BW115" i="18"/>
  <c r="BW141" i="18" s="1"/>
  <c r="BW171" i="18" s="1"/>
  <c r="BV115" i="18"/>
  <c r="BV141" i="18" s="1"/>
  <c r="BV171" i="18" s="1"/>
  <c r="BU115" i="18"/>
  <c r="BU141" i="18" s="1"/>
  <c r="BU171" i="18" s="1"/>
  <c r="BT115" i="18"/>
  <c r="BT141" i="18" s="1"/>
  <c r="BT171" i="18" s="1"/>
  <c r="BS115" i="18"/>
  <c r="BS141" i="18" s="1"/>
  <c r="BS171" i="18" s="1"/>
  <c r="BR115" i="18"/>
  <c r="BR141" i="18" s="1"/>
  <c r="BR171" i="18" s="1"/>
  <c r="BQ115" i="18"/>
  <c r="BQ141" i="18" s="1"/>
  <c r="BQ171" i="18" s="1"/>
  <c r="BP115" i="18"/>
  <c r="BP141" i="18" s="1"/>
  <c r="BP171" i="18" s="1"/>
  <c r="BO115" i="18"/>
  <c r="BO141" i="18" s="1"/>
  <c r="BO171" i="18" s="1"/>
  <c r="BN115" i="18"/>
  <c r="BN141" i="18" s="1"/>
  <c r="BN171" i="18" s="1"/>
  <c r="BM115" i="18"/>
  <c r="BM141" i="18" s="1"/>
  <c r="BM171" i="18" s="1"/>
  <c r="BL115" i="18"/>
  <c r="BL141" i="18" s="1"/>
  <c r="BL171" i="18" s="1"/>
  <c r="BK115" i="18"/>
  <c r="BK141" i="18" s="1"/>
  <c r="BK171" i="18" s="1"/>
  <c r="BJ115" i="18"/>
  <c r="BJ141" i="18" s="1"/>
  <c r="BJ171" i="18" s="1"/>
  <c r="BI115" i="18"/>
  <c r="BI141" i="18" s="1"/>
  <c r="BI171" i="18" s="1"/>
  <c r="BH115" i="18"/>
  <c r="BH141" i="18" s="1"/>
  <c r="BH171" i="18" s="1"/>
  <c r="BG115" i="18"/>
  <c r="BG141" i="18" s="1"/>
  <c r="BG171" i="18" s="1"/>
  <c r="BF115" i="18"/>
  <c r="BF141" i="18" s="1"/>
  <c r="BF171" i="18" s="1"/>
  <c r="BE115" i="18"/>
  <c r="BE141" i="18" s="1"/>
  <c r="BE171" i="18" s="1"/>
  <c r="BD115" i="18"/>
  <c r="BD141" i="18" s="1"/>
  <c r="BD171" i="18" s="1"/>
  <c r="BC115" i="18"/>
  <c r="BC141" i="18" s="1"/>
  <c r="BC171" i="18" s="1"/>
  <c r="BB115" i="18"/>
  <c r="BB141" i="18" s="1"/>
  <c r="BB171" i="18" s="1"/>
  <c r="BA115" i="18"/>
  <c r="BA141" i="18" s="1"/>
  <c r="BA171" i="18" s="1"/>
  <c r="AZ115" i="18"/>
  <c r="AZ141" i="18" s="1"/>
  <c r="AZ171" i="18" s="1"/>
  <c r="AY115" i="18"/>
  <c r="AY141" i="18" s="1"/>
  <c r="AY171" i="18" s="1"/>
  <c r="AX115" i="18"/>
  <c r="AX141" i="18" s="1"/>
  <c r="AX171" i="18" s="1"/>
  <c r="AW115" i="18"/>
  <c r="AW141" i="18" s="1"/>
  <c r="AW171" i="18" s="1"/>
  <c r="AV115" i="18"/>
  <c r="AV141" i="18" s="1"/>
  <c r="AV171" i="18" s="1"/>
  <c r="AU115" i="18"/>
  <c r="AU141" i="18" s="1"/>
  <c r="AU171" i="18" s="1"/>
  <c r="AT115" i="18"/>
  <c r="AT141" i="18" s="1"/>
  <c r="AT171" i="18" s="1"/>
  <c r="AS115" i="18"/>
  <c r="AS141" i="18" s="1"/>
  <c r="AS171" i="18" s="1"/>
  <c r="AR115" i="18"/>
  <c r="AR141" i="18" s="1"/>
  <c r="AR171" i="18" s="1"/>
  <c r="AQ115" i="18"/>
  <c r="AQ141" i="18" s="1"/>
  <c r="AQ171" i="18" s="1"/>
  <c r="AP115" i="18"/>
  <c r="AP141" i="18" s="1"/>
  <c r="AP171" i="18" s="1"/>
  <c r="AO115" i="18"/>
  <c r="AO141" i="18" s="1"/>
  <c r="AO171" i="18" s="1"/>
  <c r="AN115" i="18"/>
  <c r="AN141" i="18" s="1"/>
  <c r="AN171" i="18" s="1"/>
  <c r="AM115" i="18"/>
  <c r="AM141" i="18" s="1"/>
  <c r="AM171" i="18" s="1"/>
  <c r="AL115" i="18"/>
  <c r="AL141" i="18" s="1"/>
  <c r="AL171" i="18" s="1"/>
  <c r="AK115" i="18"/>
  <c r="AK141" i="18" s="1"/>
  <c r="AK171" i="18" s="1"/>
  <c r="AJ115" i="18"/>
  <c r="AJ141" i="18" s="1"/>
  <c r="AJ171" i="18" s="1"/>
  <c r="AI115" i="18"/>
  <c r="AI141" i="18" s="1"/>
  <c r="AI171" i="18" s="1"/>
  <c r="AH115" i="18"/>
  <c r="AH141" i="18" s="1"/>
  <c r="AH171" i="18" s="1"/>
  <c r="AG115" i="18"/>
  <c r="AG141" i="18" s="1"/>
  <c r="AG171" i="18" s="1"/>
  <c r="AF115" i="18"/>
  <c r="AF141" i="18" s="1"/>
  <c r="AF171" i="18" s="1"/>
  <c r="AE115" i="18"/>
  <c r="AE141" i="18" s="1"/>
  <c r="AE171" i="18" s="1"/>
  <c r="AD115" i="18"/>
  <c r="AD141" i="18" s="1"/>
  <c r="AD171" i="18" s="1"/>
  <c r="AC115" i="18"/>
  <c r="AC141" i="18" s="1"/>
  <c r="AC171" i="18" s="1"/>
  <c r="AB115" i="18"/>
  <c r="AB141" i="18" s="1"/>
  <c r="AB171" i="18" s="1"/>
  <c r="AA115" i="18"/>
  <c r="AA141" i="18" s="1"/>
  <c r="AA171" i="18" s="1"/>
  <c r="Z115" i="18"/>
  <c r="Z141" i="18" s="1"/>
  <c r="Z171" i="18" s="1"/>
  <c r="Y115" i="18"/>
  <c r="Y141" i="18" s="1"/>
  <c r="Y171" i="18" s="1"/>
  <c r="X115" i="18"/>
  <c r="X141" i="18" s="1"/>
  <c r="X171" i="18" s="1"/>
  <c r="W115" i="18"/>
  <c r="W141" i="18" s="1"/>
  <c r="W171" i="18" s="1"/>
  <c r="V115" i="18"/>
  <c r="V141" i="18" s="1"/>
  <c r="V171" i="18" s="1"/>
  <c r="U115" i="18"/>
  <c r="U141" i="18" s="1"/>
  <c r="U171" i="18" s="1"/>
  <c r="T115" i="18"/>
  <c r="T141" i="18" s="1"/>
  <c r="T171" i="18" s="1"/>
  <c r="S115" i="18"/>
  <c r="S141" i="18" s="1"/>
  <c r="S171" i="18" s="1"/>
  <c r="R115" i="18"/>
  <c r="R141" i="18" s="1"/>
  <c r="R171" i="18" s="1"/>
  <c r="Q115" i="18"/>
  <c r="Q141" i="18" s="1"/>
  <c r="Q171" i="18" s="1"/>
  <c r="P115" i="18"/>
  <c r="P141" i="18" s="1"/>
  <c r="P171" i="18" s="1"/>
  <c r="O115" i="18"/>
  <c r="O141" i="18" s="1"/>
  <c r="O171" i="18" s="1"/>
  <c r="N115" i="18"/>
  <c r="N141" i="18" s="1"/>
  <c r="N171" i="18" s="1"/>
  <c r="M115" i="18"/>
  <c r="M141" i="18" s="1"/>
  <c r="M171" i="18" s="1"/>
  <c r="L115" i="18"/>
  <c r="L141" i="18" s="1"/>
  <c r="L171" i="18" s="1"/>
  <c r="K115" i="18"/>
  <c r="K141" i="18" s="1"/>
  <c r="K171" i="18" s="1"/>
  <c r="J115" i="18"/>
  <c r="J141" i="18" s="1"/>
  <c r="J171" i="18" s="1"/>
  <c r="I115" i="18"/>
  <c r="I141" i="18" s="1"/>
  <c r="I171" i="18" s="1"/>
  <c r="H115" i="18"/>
  <c r="H141" i="18" s="1"/>
  <c r="H171" i="18" s="1"/>
  <c r="G115" i="18"/>
  <c r="G141" i="18" s="1"/>
  <c r="G171" i="18" s="1"/>
  <c r="F115" i="18"/>
  <c r="F141" i="18" s="1"/>
  <c r="F171" i="18" s="1"/>
  <c r="E115" i="18"/>
  <c r="E141" i="18" s="1"/>
  <c r="E171" i="18" s="1"/>
  <c r="D115" i="18"/>
  <c r="D141" i="18" s="1"/>
  <c r="D171" i="18" s="1"/>
  <c r="C115" i="18"/>
  <c r="K114" i="18"/>
  <c r="K140" i="18" s="1"/>
  <c r="K170" i="18" s="1"/>
  <c r="J114" i="18"/>
  <c r="J140" i="18" s="1"/>
  <c r="J170" i="18" s="1"/>
  <c r="I114" i="18"/>
  <c r="I140" i="18" s="1"/>
  <c r="I170" i="18" s="1"/>
  <c r="H114" i="18"/>
  <c r="H140" i="18" s="1"/>
  <c r="H170" i="18" s="1"/>
  <c r="G114" i="18"/>
  <c r="G140" i="18" s="1"/>
  <c r="G170" i="18" s="1"/>
  <c r="F114" i="18"/>
  <c r="F140" i="18" s="1"/>
  <c r="F170" i="18" s="1"/>
  <c r="E114" i="18"/>
  <c r="E140" i="18" s="1"/>
  <c r="E170" i="18" s="1"/>
  <c r="D114" i="18"/>
  <c r="D140" i="18" s="1"/>
  <c r="D170" i="18" s="1"/>
  <c r="C114" i="18"/>
  <c r="C140" i="18" s="1"/>
  <c r="C170" i="18" s="1"/>
  <c r="DQ106" i="18"/>
  <c r="DP106" i="18"/>
  <c r="DO106" i="18"/>
  <c r="DN106" i="18"/>
  <c r="DM106" i="18"/>
  <c r="DL106" i="18"/>
  <c r="DK106" i="18"/>
  <c r="DJ106" i="18"/>
  <c r="DI106" i="18"/>
  <c r="DH106" i="18"/>
  <c r="DG106" i="18"/>
  <c r="DF106" i="18"/>
  <c r="DE106" i="18"/>
  <c r="DD106" i="18"/>
  <c r="DC106" i="18"/>
  <c r="DB106" i="18"/>
  <c r="DA106" i="18"/>
  <c r="CZ106" i="18"/>
  <c r="CY106" i="18"/>
  <c r="CX106" i="18"/>
  <c r="CW106" i="18"/>
  <c r="CV106" i="18"/>
  <c r="CU106" i="18"/>
  <c r="CT106" i="18"/>
  <c r="CS106" i="18"/>
  <c r="CR106" i="18"/>
  <c r="CQ106" i="18"/>
  <c r="CP106" i="18"/>
  <c r="CO106" i="18"/>
  <c r="CN106" i="18"/>
  <c r="CM106" i="18"/>
  <c r="CL106" i="18"/>
  <c r="CK106" i="18"/>
  <c r="CJ106" i="18"/>
  <c r="CI106" i="18"/>
  <c r="CH106" i="18"/>
  <c r="CG106" i="18"/>
  <c r="CF106" i="18"/>
  <c r="CE106" i="18"/>
  <c r="CD106" i="18"/>
  <c r="CC106" i="18"/>
  <c r="CB106" i="18"/>
  <c r="CA106" i="18"/>
  <c r="BZ106" i="18"/>
  <c r="BY106" i="18"/>
  <c r="BX106" i="18"/>
  <c r="BW106" i="18"/>
  <c r="BV106" i="18"/>
  <c r="BU106" i="18"/>
  <c r="BT106" i="18"/>
  <c r="BS106" i="18"/>
  <c r="BR106" i="18"/>
  <c r="BQ106" i="18"/>
  <c r="BP106" i="18"/>
  <c r="BO106" i="18"/>
  <c r="BN106" i="18"/>
  <c r="BM106" i="18"/>
  <c r="BL106" i="18"/>
  <c r="BK106" i="18"/>
  <c r="BJ106" i="18"/>
  <c r="BI106" i="18"/>
  <c r="BH106" i="18"/>
  <c r="BG106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K105" i="18"/>
  <c r="J105" i="18"/>
  <c r="I105" i="18"/>
  <c r="H105" i="18"/>
  <c r="G105" i="18"/>
  <c r="F105" i="18"/>
  <c r="E105" i="18"/>
  <c r="D105" i="18"/>
  <c r="C105" i="18"/>
  <c r="DQ39" i="18"/>
  <c r="DQ8" i="18" s="1"/>
  <c r="DP39" i="18"/>
  <c r="DP8" i="18" s="1"/>
  <c r="DO39" i="18"/>
  <c r="DO8" i="18" s="1"/>
  <c r="DN39" i="18"/>
  <c r="DN8" i="18" s="1"/>
  <c r="DM39" i="18"/>
  <c r="DM8" i="18" s="1"/>
  <c r="DL39" i="18"/>
  <c r="DL8" i="18" s="1"/>
  <c r="DK39" i="18"/>
  <c r="DK8" i="18" s="1"/>
  <c r="DJ39" i="18"/>
  <c r="DJ8" i="18" s="1"/>
  <c r="DI39" i="18"/>
  <c r="DI8" i="18" s="1"/>
  <c r="DH39" i="18"/>
  <c r="DH8" i="18" s="1"/>
  <c r="DG39" i="18"/>
  <c r="DG8" i="18" s="1"/>
  <c r="DF39" i="18"/>
  <c r="DF8" i="18" s="1"/>
  <c r="DE39" i="18"/>
  <c r="DE8" i="18" s="1"/>
  <c r="DD39" i="18"/>
  <c r="DD8" i="18" s="1"/>
  <c r="DC39" i="18"/>
  <c r="DC8" i="18" s="1"/>
  <c r="DB39" i="18"/>
  <c r="DB8" i="18" s="1"/>
  <c r="DA39" i="18"/>
  <c r="DA8" i="18" s="1"/>
  <c r="CZ39" i="18"/>
  <c r="CZ8" i="18" s="1"/>
  <c r="CY39" i="18"/>
  <c r="CY8" i="18" s="1"/>
  <c r="CX39" i="18"/>
  <c r="CX8" i="18" s="1"/>
  <c r="CW39" i="18"/>
  <c r="CW8" i="18" s="1"/>
  <c r="CV39" i="18"/>
  <c r="CV8" i="18" s="1"/>
  <c r="CT39" i="18"/>
  <c r="CT8" i="18" s="1"/>
  <c r="CS39" i="18"/>
  <c r="CS8" i="18" s="1"/>
  <c r="CR39" i="18"/>
  <c r="CR8" i="18" s="1"/>
  <c r="CQ39" i="18"/>
  <c r="CQ8" i="18" s="1"/>
  <c r="CP39" i="18"/>
  <c r="CP8" i="18" s="1"/>
  <c r="CO39" i="18"/>
  <c r="CO8" i="18" s="1"/>
  <c r="CN39" i="18"/>
  <c r="CN8" i="18" s="1"/>
  <c r="CM39" i="18"/>
  <c r="CM8" i="18" s="1"/>
  <c r="CL39" i="18"/>
  <c r="CL8" i="18" s="1"/>
  <c r="CK39" i="18"/>
  <c r="CK8" i="18" s="1"/>
  <c r="CJ39" i="18"/>
  <c r="CJ8" i="18" s="1"/>
  <c r="CI39" i="18"/>
  <c r="CI8" i="18" s="1"/>
  <c r="CH39" i="18"/>
  <c r="CH8" i="18" s="1"/>
  <c r="CG39" i="18"/>
  <c r="CG8" i="18" s="1"/>
  <c r="CF39" i="18"/>
  <c r="CF8" i="18" s="1"/>
  <c r="CE39" i="18"/>
  <c r="CE8" i="18" s="1"/>
  <c r="CD39" i="18"/>
  <c r="CD8" i="18" s="1"/>
  <c r="CC39" i="18"/>
  <c r="CC8" i="18" s="1"/>
  <c r="CB39" i="18"/>
  <c r="CB8" i="18" s="1"/>
  <c r="CA39" i="18"/>
  <c r="CA8" i="18" s="1"/>
  <c r="BZ39" i="18"/>
  <c r="BZ8" i="18" s="1"/>
  <c r="BY39" i="18"/>
  <c r="BY8" i="18" s="1"/>
  <c r="BX39" i="18"/>
  <c r="BX8" i="18" s="1"/>
  <c r="BW39" i="18"/>
  <c r="BW8" i="18" s="1"/>
  <c r="BV39" i="18"/>
  <c r="BV8" i="18" s="1"/>
  <c r="BU39" i="18"/>
  <c r="BU8" i="18" s="1"/>
  <c r="BT39" i="18"/>
  <c r="BT8" i="18" s="1"/>
  <c r="BS39" i="18"/>
  <c r="BS8" i="18" s="1"/>
  <c r="BR39" i="18"/>
  <c r="BR8" i="18" s="1"/>
  <c r="BQ39" i="18"/>
  <c r="BQ8" i="18" s="1"/>
  <c r="BP39" i="18"/>
  <c r="BP8" i="18" s="1"/>
  <c r="BO39" i="18"/>
  <c r="BO8" i="18" s="1"/>
  <c r="BN39" i="18"/>
  <c r="BN8" i="18" s="1"/>
  <c r="BM39" i="18"/>
  <c r="BM8" i="18" s="1"/>
  <c r="BL39" i="18"/>
  <c r="BL8" i="18" s="1"/>
  <c r="BK39" i="18"/>
  <c r="BK8" i="18" s="1"/>
  <c r="BJ39" i="18"/>
  <c r="BJ8" i="18" s="1"/>
  <c r="BI39" i="18"/>
  <c r="BI8" i="18" s="1"/>
  <c r="BH39" i="18"/>
  <c r="BH8" i="18" s="1"/>
  <c r="BG39" i="18"/>
  <c r="BG8" i="18" s="1"/>
  <c r="BF39" i="18"/>
  <c r="BF8" i="18" s="1"/>
  <c r="BE39" i="18"/>
  <c r="BE8" i="18" s="1"/>
  <c r="BD39" i="18"/>
  <c r="BD8" i="18" s="1"/>
  <c r="BC39" i="18"/>
  <c r="BC8" i="18" s="1"/>
  <c r="BB39" i="18"/>
  <c r="BB8" i="18" s="1"/>
  <c r="BA39" i="18"/>
  <c r="BA8" i="18" s="1"/>
  <c r="AZ39" i="18"/>
  <c r="AZ8" i="18" s="1"/>
  <c r="AY39" i="18"/>
  <c r="AY8" i="18" s="1"/>
  <c r="AX39" i="18"/>
  <c r="AX8" i="18" s="1"/>
  <c r="AW39" i="18"/>
  <c r="AW8" i="18" s="1"/>
  <c r="AV39" i="18"/>
  <c r="AV8" i="18" s="1"/>
  <c r="AU39" i="18"/>
  <c r="AU8" i="18" s="1"/>
  <c r="AT39" i="18"/>
  <c r="AT8" i="18" s="1"/>
  <c r="AS39" i="18"/>
  <c r="AS8" i="18" s="1"/>
  <c r="AR39" i="18"/>
  <c r="AR8" i="18" s="1"/>
  <c r="AQ39" i="18"/>
  <c r="AQ8" i="18" s="1"/>
  <c r="AP39" i="18"/>
  <c r="AP8" i="18" s="1"/>
  <c r="AO39" i="18"/>
  <c r="AO8" i="18" s="1"/>
  <c r="AN39" i="18"/>
  <c r="AN8" i="18" s="1"/>
  <c r="AM39" i="18"/>
  <c r="AM8" i="18" s="1"/>
  <c r="AL39" i="18"/>
  <c r="AL8" i="18" s="1"/>
  <c r="AK39" i="18"/>
  <c r="AK8" i="18" s="1"/>
  <c r="AJ39" i="18"/>
  <c r="AJ8" i="18" s="1"/>
  <c r="AI39" i="18"/>
  <c r="AI8" i="18" s="1"/>
  <c r="AH39" i="18"/>
  <c r="AH8" i="18" s="1"/>
  <c r="AG39" i="18"/>
  <c r="AG8" i="18" s="1"/>
  <c r="AF39" i="18"/>
  <c r="AF8" i="18" s="1"/>
  <c r="AE39" i="18"/>
  <c r="AE8" i="18" s="1"/>
  <c r="AD39" i="18"/>
  <c r="AD8" i="18" s="1"/>
  <c r="AC39" i="18"/>
  <c r="AC8" i="18" s="1"/>
  <c r="AB39" i="18"/>
  <c r="AB8" i="18" s="1"/>
  <c r="AA39" i="18"/>
  <c r="AA8" i="18" s="1"/>
  <c r="Z39" i="18"/>
  <c r="Z8" i="18" s="1"/>
  <c r="Y39" i="18"/>
  <c r="Y8" i="18" s="1"/>
  <c r="X39" i="18"/>
  <c r="X8" i="18" s="1"/>
  <c r="W39" i="18"/>
  <c r="W8" i="18" s="1"/>
  <c r="V39" i="18"/>
  <c r="V8" i="18" s="1"/>
  <c r="U39" i="18"/>
  <c r="U8" i="18" s="1"/>
  <c r="T39" i="18"/>
  <c r="T8" i="18" s="1"/>
  <c r="S39" i="18"/>
  <c r="S8" i="18" s="1"/>
  <c r="R39" i="18"/>
  <c r="R8" i="18" s="1"/>
  <c r="Q39" i="18"/>
  <c r="Q8" i="18" s="1"/>
  <c r="P39" i="18"/>
  <c r="P8" i="18" s="1"/>
  <c r="O39" i="18"/>
  <c r="O8" i="18" s="1"/>
  <c r="N39" i="18"/>
  <c r="N8" i="18" s="1"/>
  <c r="M39" i="18"/>
  <c r="M8" i="18" s="1"/>
  <c r="L39" i="18"/>
  <c r="L8" i="18" s="1"/>
  <c r="K39" i="18"/>
  <c r="K8" i="18" s="1"/>
  <c r="J39" i="18"/>
  <c r="J8" i="18" s="1"/>
  <c r="I39" i="18"/>
  <c r="I8" i="18" s="1"/>
  <c r="H39" i="18"/>
  <c r="H8" i="18" s="1"/>
  <c r="G39" i="18"/>
  <c r="G8" i="18" s="1"/>
  <c r="F39" i="18"/>
  <c r="F8" i="18" s="1"/>
  <c r="E39" i="18"/>
  <c r="E8" i="18" s="1"/>
  <c r="D39" i="18"/>
  <c r="D8" i="18" s="1"/>
  <c r="C39" i="18"/>
  <c r="I7" i="18"/>
  <c r="G7" i="18"/>
  <c r="E7" i="18"/>
  <c r="D7" i="18"/>
  <c r="C7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AX9" i="18"/>
  <c r="AY9" i="18"/>
  <c r="AZ9" i="18"/>
  <c r="BA9" i="18"/>
  <c r="BB9" i="18"/>
  <c r="BC9" i="18"/>
  <c r="BD9" i="18"/>
  <c r="BE9" i="18"/>
  <c r="BF9" i="18"/>
  <c r="BG9" i="18"/>
  <c r="BH9" i="18"/>
  <c r="BI9" i="18"/>
  <c r="BJ9" i="18"/>
  <c r="BK9" i="18"/>
  <c r="BL9" i="18"/>
  <c r="BM9" i="18"/>
  <c r="BN9" i="18"/>
  <c r="BO9" i="18"/>
  <c r="BP9" i="18"/>
  <c r="BQ9" i="18"/>
  <c r="BR9" i="18"/>
  <c r="BS9" i="18"/>
  <c r="BT9" i="18"/>
  <c r="BU9" i="18"/>
  <c r="BV9" i="18"/>
  <c r="BW9" i="18"/>
  <c r="BX9" i="18"/>
  <c r="BY9" i="18"/>
  <c r="BZ9" i="18"/>
  <c r="CA9" i="18"/>
  <c r="CB9" i="18"/>
  <c r="CC9" i="18"/>
  <c r="CD9" i="18"/>
  <c r="CE9" i="18"/>
  <c r="CF9" i="18"/>
  <c r="CG9" i="18"/>
  <c r="CH9" i="18"/>
  <c r="CI9" i="18"/>
  <c r="CJ9" i="18"/>
  <c r="CK9" i="18"/>
  <c r="CL9" i="18"/>
  <c r="CM9" i="18"/>
  <c r="CN9" i="18"/>
  <c r="CO9" i="18"/>
  <c r="CP9" i="18"/>
  <c r="CQ9" i="18"/>
  <c r="CR9" i="18"/>
  <c r="CS9" i="18"/>
  <c r="CT9" i="18"/>
  <c r="CU9" i="18"/>
  <c r="CV9" i="18"/>
  <c r="CW9" i="18"/>
  <c r="CX9" i="18"/>
  <c r="CY9" i="18"/>
  <c r="CZ9" i="18"/>
  <c r="DA9" i="18"/>
  <c r="DB9" i="18"/>
  <c r="DC9" i="18"/>
  <c r="DD9" i="18"/>
  <c r="DE9" i="18"/>
  <c r="DF9" i="18"/>
  <c r="DG9" i="18"/>
  <c r="DH9" i="18"/>
  <c r="DI9" i="18"/>
  <c r="DJ9" i="18"/>
  <c r="DK9" i="18"/>
  <c r="DL9" i="18"/>
  <c r="DM9" i="18"/>
  <c r="DN9" i="18"/>
  <c r="DO9" i="18"/>
  <c r="DP9" i="18"/>
  <c r="DQ9" i="18"/>
  <c r="DR9" i="18"/>
  <c r="F7" i="18"/>
  <c r="H7" i="18"/>
  <c r="J7" i="18"/>
  <c r="K7" i="18"/>
  <c r="CT200" i="18"/>
  <c r="CS200" i="18"/>
  <c r="CR200" i="18"/>
  <c r="CQ200" i="18"/>
  <c r="CP200" i="18"/>
  <c r="CO200" i="18"/>
  <c r="CN200" i="18"/>
  <c r="CM200" i="18"/>
  <c r="CL200" i="18"/>
  <c r="CK200" i="18"/>
  <c r="CJ200" i="18"/>
  <c r="CI200" i="18"/>
  <c r="CH200" i="18"/>
  <c r="CG200" i="18"/>
  <c r="CF200" i="18"/>
  <c r="CE200" i="18"/>
  <c r="CD200" i="18"/>
  <c r="CC200" i="18"/>
  <c r="CB200" i="18"/>
  <c r="CA200" i="18"/>
  <c r="BZ200" i="18"/>
  <c r="BY200" i="18"/>
  <c r="BX200" i="18"/>
  <c r="BW200" i="18"/>
  <c r="BV200" i="18"/>
  <c r="BU200" i="18"/>
  <c r="BT200" i="18"/>
  <c r="BS200" i="18"/>
  <c r="BR200" i="18"/>
  <c r="BQ200" i="18"/>
  <c r="BP200" i="18"/>
  <c r="BO200" i="18"/>
  <c r="BN200" i="18"/>
  <c r="BM200" i="18"/>
  <c r="BL200" i="18"/>
  <c r="BK200" i="18"/>
  <c r="BJ200" i="18"/>
  <c r="BI200" i="18"/>
  <c r="BH200" i="18"/>
  <c r="BG200" i="18"/>
  <c r="BF200" i="18"/>
  <c r="BE200" i="18"/>
  <c r="BD200" i="18"/>
  <c r="BC200" i="18"/>
  <c r="BB200" i="18"/>
  <c r="BA200" i="18"/>
  <c r="AZ200" i="18"/>
  <c r="AY200" i="18"/>
  <c r="AX200" i="18"/>
  <c r="AW200" i="18"/>
  <c r="AV200" i="18"/>
  <c r="AU200" i="18"/>
  <c r="AT200" i="18"/>
  <c r="AS200" i="18"/>
  <c r="AR200" i="18"/>
  <c r="AQ200" i="18"/>
  <c r="AP200" i="18"/>
  <c r="AO200" i="18"/>
  <c r="AN200" i="18"/>
  <c r="AM200" i="18"/>
  <c r="AL200" i="18"/>
  <c r="AK200" i="18"/>
  <c r="AJ200" i="18"/>
  <c r="AI200" i="18"/>
  <c r="AH200" i="18"/>
  <c r="AG200" i="18"/>
  <c r="AF200" i="18"/>
  <c r="AE200" i="18"/>
  <c r="AD200" i="18"/>
  <c r="AC200" i="18"/>
  <c r="AB200" i="18"/>
  <c r="AA200" i="18"/>
  <c r="Z200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CU184" i="18"/>
  <c r="CU191" i="18" s="1"/>
  <c r="CT184" i="18"/>
  <c r="CT191" i="18" s="1"/>
  <c r="CS184" i="18"/>
  <c r="CS191" i="18" s="1"/>
  <c r="CR184" i="18"/>
  <c r="CR191" i="18" s="1"/>
  <c r="CQ184" i="18"/>
  <c r="CQ191" i="18" s="1"/>
  <c r="CP184" i="18"/>
  <c r="CP191" i="18" s="1"/>
  <c r="CO184" i="18"/>
  <c r="CO191" i="18" s="1"/>
  <c r="CN184" i="18"/>
  <c r="CN191" i="18" s="1"/>
  <c r="CM184" i="18"/>
  <c r="CM191" i="18" s="1"/>
  <c r="CL184" i="18"/>
  <c r="CL191" i="18" s="1"/>
  <c r="CK184" i="18"/>
  <c r="CK191" i="18" s="1"/>
  <c r="CJ184" i="18"/>
  <c r="CJ191" i="18" s="1"/>
  <c r="CI184" i="18"/>
  <c r="CI191" i="18" s="1"/>
  <c r="CH184" i="18"/>
  <c r="CH191" i="18" s="1"/>
  <c r="CG184" i="18"/>
  <c r="CG191" i="18" s="1"/>
  <c r="CF184" i="18"/>
  <c r="CF191" i="18" s="1"/>
  <c r="CE184" i="18"/>
  <c r="CE191" i="18" s="1"/>
  <c r="CD184" i="18"/>
  <c r="CD191" i="18" s="1"/>
  <c r="CC184" i="18"/>
  <c r="CC191" i="18" s="1"/>
  <c r="CB184" i="18"/>
  <c r="CB191" i="18" s="1"/>
  <c r="CA184" i="18"/>
  <c r="CA191" i="18" s="1"/>
  <c r="BZ184" i="18"/>
  <c r="BZ191" i="18" s="1"/>
  <c r="BY184" i="18"/>
  <c r="BY191" i="18" s="1"/>
  <c r="BX184" i="18"/>
  <c r="BX191" i="18" s="1"/>
  <c r="BW184" i="18"/>
  <c r="BW191" i="18" s="1"/>
  <c r="BV184" i="18"/>
  <c r="BV191" i="18" s="1"/>
  <c r="BU184" i="18"/>
  <c r="BU191" i="18" s="1"/>
  <c r="BT184" i="18"/>
  <c r="BT191" i="18" s="1"/>
  <c r="BS184" i="18"/>
  <c r="BS191" i="18" s="1"/>
  <c r="BR184" i="18"/>
  <c r="BR191" i="18" s="1"/>
  <c r="BQ184" i="18"/>
  <c r="BQ191" i="18" s="1"/>
  <c r="BP184" i="18"/>
  <c r="BP191" i="18" s="1"/>
  <c r="BO184" i="18"/>
  <c r="BO191" i="18" s="1"/>
  <c r="BN184" i="18"/>
  <c r="BN191" i="18" s="1"/>
  <c r="BM184" i="18"/>
  <c r="BM191" i="18" s="1"/>
  <c r="BL184" i="18"/>
  <c r="BL191" i="18" s="1"/>
  <c r="BK184" i="18"/>
  <c r="BK191" i="18" s="1"/>
  <c r="BJ184" i="18"/>
  <c r="BJ191" i="18" s="1"/>
  <c r="BI184" i="18"/>
  <c r="BI191" i="18" s="1"/>
  <c r="BH184" i="18"/>
  <c r="BH191" i="18" s="1"/>
  <c r="BG184" i="18"/>
  <c r="BG191" i="18" s="1"/>
  <c r="BF184" i="18"/>
  <c r="BF191" i="18" s="1"/>
  <c r="BE184" i="18"/>
  <c r="BE191" i="18" s="1"/>
  <c r="BD184" i="18"/>
  <c r="BD191" i="18" s="1"/>
  <c r="BC184" i="18"/>
  <c r="BC191" i="18" s="1"/>
  <c r="BB184" i="18"/>
  <c r="BB191" i="18" s="1"/>
  <c r="BA184" i="18"/>
  <c r="BA191" i="18" s="1"/>
  <c r="AZ184" i="18"/>
  <c r="AZ191" i="18" s="1"/>
  <c r="AY184" i="18"/>
  <c r="AY191" i="18" s="1"/>
  <c r="AX184" i="18"/>
  <c r="AX191" i="18" s="1"/>
  <c r="AW184" i="18"/>
  <c r="AW191" i="18" s="1"/>
  <c r="AV184" i="18"/>
  <c r="AV191" i="18" s="1"/>
  <c r="AU184" i="18"/>
  <c r="AU191" i="18" s="1"/>
  <c r="AT184" i="18"/>
  <c r="AT191" i="18" s="1"/>
  <c r="AS184" i="18"/>
  <c r="AS191" i="18" s="1"/>
  <c r="AR184" i="18"/>
  <c r="AR191" i="18" s="1"/>
  <c r="AQ184" i="18"/>
  <c r="AQ191" i="18" s="1"/>
  <c r="AP184" i="18"/>
  <c r="AP191" i="18" s="1"/>
  <c r="AO184" i="18"/>
  <c r="AO191" i="18" s="1"/>
  <c r="AN184" i="18"/>
  <c r="AN191" i="18" s="1"/>
  <c r="AM184" i="18"/>
  <c r="AM191" i="18" s="1"/>
  <c r="AL184" i="18"/>
  <c r="AL191" i="18" s="1"/>
  <c r="AK184" i="18"/>
  <c r="AK191" i="18" s="1"/>
  <c r="AJ184" i="18"/>
  <c r="AJ191" i="18" s="1"/>
  <c r="AI184" i="18"/>
  <c r="AI191" i="18" s="1"/>
  <c r="AH184" i="18"/>
  <c r="AH191" i="18" s="1"/>
  <c r="AG184" i="18"/>
  <c r="AG191" i="18" s="1"/>
  <c r="AF184" i="18"/>
  <c r="AF191" i="18" s="1"/>
  <c r="AE184" i="18"/>
  <c r="AE191" i="18" s="1"/>
  <c r="AD184" i="18"/>
  <c r="AD191" i="18" s="1"/>
  <c r="AC184" i="18"/>
  <c r="AC191" i="18" s="1"/>
  <c r="AB184" i="18"/>
  <c r="AB191" i="18" s="1"/>
  <c r="AA184" i="18"/>
  <c r="AA191" i="18" s="1"/>
  <c r="Z184" i="18"/>
  <c r="Z191" i="18" s="1"/>
  <c r="Y184" i="18"/>
  <c r="Y191" i="18" s="1"/>
  <c r="X184" i="18"/>
  <c r="X191" i="18" s="1"/>
  <c r="W184" i="18"/>
  <c r="W191" i="18" s="1"/>
  <c r="V184" i="18"/>
  <c r="V191" i="18" s="1"/>
  <c r="U184" i="18"/>
  <c r="U191" i="18" s="1"/>
  <c r="T184" i="18"/>
  <c r="T191" i="18" s="1"/>
  <c r="S184" i="18"/>
  <c r="S191" i="18" s="1"/>
  <c r="R184" i="18"/>
  <c r="R191" i="18" s="1"/>
  <c r="Q184" i="18"/>
  <c r="Q191" i="18" s="1"/>
  <c r="P184" i="18"/>
  <c r="P191" i="18" s="1"/>
  <c r="O184" i="18"/>
  <c r="O191" i="18" s="1"/>
  <c r="N184" i="18"/>
  <c r="N191" i="18" s="1"/>
  <c r="M184" i="18"/>
  <c r="M191" i="18" s="1"/>
  <c r="L184" i="18"/>
  <c r="L191" i="18" s="1"/>
  <c r="K184" i="18"/>
  <c r="K191" i="18" s="1"/>
  <c r="J184" i="18"/>
  <c r="J191" i="18" s="1"/>
  <c r="I184" i="18"/>
  <c r="I191" i="18" s="1"/>
  <c r="H184" i="18"/>
  <c r="H191" i="18" s="1"/>
  <c r="G184" i="18"/>
  <c r="G191" i="18" s="1"/>
  <c r="F184" i="18"/>
  <c r="F191" i="18" s="1"/>
  <c r="E184" i="18"/>
  <c r="E191" i="18" s="1"/>
  <c r="D184" i="18"/>
  <c r="D191" i="18" s="1"/>
  <c r="C184" i="18"/>
  <c r="C191" i="18" s="1"/>
  <c r="DQ76" i="18"/>
  <c r="DP76" i="18"/>
  <c r="DO76" i="18"/>
  <c r="DN76" i="18"/>
  <c r="DM76" i="18"/>
  <c r="DL76" i="18"/>
  <c r="DK76" i="18"/>
  <c r="DJ76" i="18"/>
  <c r="DI76" i="18"/>
  <c r="DH76" i="18"/>
  <c r="DG76" i="18"/>
  <c r="DF76" i="18"/>
  <c r="DE76" i="18"/>
  <c r="DD76" i="18"/>
  <c r="DC76" i="18"/>
  <c r="DB76" i="18"/>
  <c r="DA76" i="18"/>
  <c r="CZ76" i="18"/>
  <c r="CY76" i="18"/>
  <c r="CX76" i="18"/>
  <c r="CW76" i="18"/>
  <c r="CV76" i="18"/>
  <c r="CU76" i="18"/>
  <c r="CT76" i="18"/>
  <c r="CS76" i="18"/>
  <c r="CR76" i="18"/>
  <c r="CQ76" i="18"/>
  <c r="CP76" i="18"/>
  <c r="CO76" i="18"/>
  <c r="CN76" i="18"/>
  <c r="CM76" i="18"/>
  <c r="CL76" i="18"/>
  <c r="CK76" i="18"/>
  <c r="CJ76" i="18"/>
  <c r="CI76" i="18"/>
  <c r="CH76" i="18"/>
  <c r="CG76" i="18"/>
  <c r="CF76" i="18"/>
  <c r="CE76" i="18"/>
  <c r="CD76" i="18"/>
  <c r="CC76" i="18"/>
  <c r="CB76" i="18"/>
  <c r="CA76" i="18"/>
  <c r="BZ76" i="18"/>
  <c r="BY76" i="18"/>
  <c r="BX76" i="18"/>
  <c r="BW76" i="18"/>
  <c r="BV76" i="18"/>
  <c r="BU76" i="18"/>
  <c r="BT76" i="18"/>
  <c r="BS76" i="18"/>
  <c r="BR76" i="18"/>
  <c r="BQ76" i="18"/>
  <c r="BP76" i="18"/>
  <c r="BO76" i="18"/>
  <c r="BN76" i="18"/>
  <c r="BM76" i="18"/>
  <c r="BL76" i="18"/>
  <c r="BK76" i="18"/>
  <c r="BJ76" i="18"/>
  <c r="BI76" i="18"/>
  <c r="BH76" i="18"/>
  <c r="BG76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K75" i="18"/>
  <c r="J75" i="18"/>
  <c r="I75" i="18"/>
  <c r="H75" i="18"/>
  <c r="G75" i="18"/>
  <c r="F75" i="18"/>
  <c r="E75" i="18"/>
  <c r="D76" i="18"/>
  <c r="D75" i="18"/>
  <c r="DY437" i="2" l="1"/>
  <c r="DY384" i="2"/>
  <c r="DZ385" i="2"/>
  <c r="DY438" i="2"/>
  <c r="DZ438" i="2" s="1"/>
  <c r="DZ336" i="2"/>
  <c r="DY335" i="2"/>
  <c r="DY159" i="2"/>
  <c r="DZ147" i="2"/>
  <c r="DU433" i="2"/>
  <c r="DS39" i="18"/>
  <c r="EG88" i="13"/>
  <c r="FE49" i="15"/>
  <c r="FH49" i="15"/>
  <c r="FF136" i="15"/>
  <c r="DY22" i="11"/>
  <c r="EB22" i="11"/>
  <c r="DZ26" i="11"/>
  <c r="DX27" i="11"/>
  <c r="EA27" i="11"/>
  <c r="DY32" i="11"/>
  <c r="EB32" i="11"/>
  <c r="DZ35" i="11"/>
  <c r="DX39" i="11"/>
  <c r="EA39" i="11"/>
  <c r="DY44" i="11"/>
  <c r="EB44" i="11"/>
  <c r="DZ54" i="11"/>
  <c r="DY78" i="11"/>
  <c r="EB104" i="11"/>
  <c r="FI16" i="14"/>
  <c r="FH22" i="14"/>
  <c r="FI25" i="14"/>
  <c r="DC57" i="19"/>
  <c r="DO57" i="19"/>
  <c r="FI44" i="14"/>
  <c r="DZ93" i="12"/>
  <c r="FF8" i="14"/>
  <c r="FE35" i="14"/>
  <c r="EE87" i="13"/>
  <c r="EH153" i="18"/>
  <c r="EL153" i="18"/>
  <c r="EP153" i="18"/>
  <c r="EH172" i="18"/>
  <c r="EL172" i="18"/>
  <c r="EP172" i="18"/>
  <c r="ET172" i="18"/>
  <c r="EX172" i="18"/>
  <c r="DL57" i="19"/>
  <c r="DL68" i="19" s="1"/>
  <c r="DN57" i="19"/>
  <c r="DN68" i="19" s="1"/>
  <c r="DK57" i="19"/>
  <c r="EA93" i="12"/>
  <c r="DP57" i="19"/>
  <c r="DP68" i="19" s="1"/>
  <c r="DR57" i="19"/>
  <c r="DR68" i="19" s="1"/>
  <c r="DS101" i="15"/>
  <c r="FF18" i="18"/>
  <c r="FG19" i="18"/>
  <c r="FE20" i="18"/>
  <c r="DS748" i="2"/>
  <c r="DT68" i="18" s="1"/>
  <c r="DT51" i="18"/>
  <c r="DT39" i="18" s="1"/>
  <c r="DT8" i="18" s="1"/>
  <c r="EI191" i="18"/>
  <c r="EM191" i="18"/>
  <c r="EF153" i="18"/>
  <c r="EJ153" i="18"/>
  <c r="EN153" i="18"/>
  <c r="EF172" i="18"/>
  <c r="EJ172" i="18"/>
  <c r="EN172" i="18"/>
  <c r="ER172" i="18"/>
  <c r="EV172" i="18"/>
  <c r="DS115" i="18"/>
  <c r="DS141" i="18" s="1"/>
  <c r="DS106" i="18"/>
  <c r="DS59" i="18"/>
  <c r="DS76" i="18"/>
  <c r="FH8" i="14"/>
  <c r="FH16" i="14"/>
  <c r="FE25" i="14"/>
  <c r="FI32" i="14"/>
  <c r="FE44" i="14"/>
  <c r="FI46" i="14"/>
  <c r="FE16" i="14"/>
  <c r="FG22" i="14"/>
  <c r="FH49" i="14"/>
  <c r="FH4" i="14"/>
  <c r="FE22" i="14"/>
  <c r="FH47" i="14"/>
  <c r="FG38" i="14"/>
  <c r="FE8" i="14"/>
  <c r="FH44" i="14"/>
  <c r="FE38" i="14"/>
  <c r="FG19" i="14"/>
  <c r="FF44" i="14"/>
  <c r="FG25" i="14"/>
  <c r="FI35" i="14"/>
  <c r="FI13" i="14"/>
  <c r="FH38" i="14"/>
  <c r="FF4" i="14"/>
  <c r="FG8" i="14"/>
  <c r="FG16" i="14"/>
  <c r="FF22" i="14"/>
  <c r="FG44" i="14"/>
  <c r="DS721" i="2"/>
  <c r="DT103" i="15" s="1"/>
  <c r="DS720" i="2"/>
  <c r="DT102" i="15" s="1"/>
  <c r="DR719" i="2"/>
  <c r="DS722" i="2"/>
  <c r="DT104" i="15" s="1"/>
  <c r="DS725" i="2"/>
  <c r="DT107" i="15" s="1"/>
  <c r="DS724" i="2"/>
  <c r="DT106" i="15" s="1"/>
  <c r="DS723" i="2"/>
  <c r="DT105" i="15" s="1"/>
  <c r="FF49" i="15"/>
  <c r="FI49" i="15"/>
  <c r="FG136" i="15"/>
  <c r="FG49" i="15"/>
  <c r="FE136" i="15"/>
  <c r="DI5" i="17"/>
  <c r="DI6" i="17"/>
  <c r="DI7" i="17"/>
  <c r="DI8" i="17"/>
  <c r="DI9" i="17"/>
  <c r="DI13" i="17"/>
  <c r="DI14" i="17"/>
  <c r="DI15" i="17"/>
  <c r="DI16" i="17"/>
  <c r="DI17" i="17"/>
  <c r="DI22" i="17"/>
  <c r="DI23" i="17"/>
  <c r="DI29" i="17"/>
  <c r="DI32" i="17"/>
  <c r="DI37" i="17"/>
  <c r="DI45" i="17"/>
  <c r="DJ7" i="17"/>
  <c r="DJ8" i="17"/>
  <c r="DJ9" i="17"/>
  <c r="DJ10" i="17"/>
  <c r="DJ11" i="17"/>
  <c r="DJ12" i="17"/>
  <c r="DJ13" i="17"/>
  <c r="DJ23" i="17"/>
  <c r="DJ24" i="17"/>
  <c r="DJ25" i="17"/>
  <c r="DJ27" i="17"/>
  <c r="DJ29" i="17"/>
  <c r="DJ31" i="17"/>
  <c r="DJ32" i="17"/>
  <c r="DJ34" i="17"/>
  <c r="DJ36" i="17"/>
  <c r="DJ37" i="17"/>
  <c r="DJ39" i="17"/>
  <c r="DJ40" i="17"/>
  <c r="DJ42" i="17"/>
  <c r="DJ45" i="17"/>
  <c r="DJ55" i="17"/>
  <c r="DJ56" i="17"/>
  <c r="DK5" i="17"/>
  <c r="DK14" i="17"/>
  <c r="DK15" i="17"/>
  <c r="DK16" i="17"/>
  <c r="DK17" i="17"/>
  <c r="DK18" i="17"/>
  <c r="DK19" i="17"/>
  <c r="DK22" i="17"/>
  <c r="DK23" i="17"/>
  <c r="DK24" i="17"/>
  <c r="DK25" i="17"/>
  <c r="DK27" i="17"/>
  <c r="DK29" i="17"/>
  <c r="DK30" i="17"/>
  <c r="DK31" i="17"/>
  <c r="DK32" i="17"/>
  <c r="DK34" i="17"/>
  <c r="DK37" i="17"/>
  <c r="DK46" i="17"/>
  <c r="DK48" i="17"/>
  <c r="DK50" i="17"/>
  <c r="DK51" i="17"/>
  <c r="DK53" i="17"/>
  <c r="DK55" i="17"/>
  <c r="DK56" i="17"/>
  <c r="DJ22" i="17"/>
  <c r="DK7" i="17"/>
  <c r="DI38" i="17"/>
  <c r="DI39" i="17"/>
  <c r="DI40" i="17"/>
  <c r="DK45" i="17"/>
  <c r="DI46" i="17"/>
  <c r="DI48" i="17"/>
  <c r="DI53" i="17"/>
  <c r="DK13" i="17"/>
  <c r="DK39" i="17"/>
  <c r="DJ4" i="17"/>
  <c r="DJ5" i="17"/>
  <c r="DI34" i="17"/>
  <c r="DI36" i="17"/>
  <c r="DJ30" i="17"/>
  <c r="DJ6" i="17"/>
  <c r="DK6" i="17"/>
  <c r="DJ14" i="17"/>
  <c r="DJ15" i="17"/>
  <c r="DJ16" i="17"/>
  <c r="DJ18" i="17"/>
  <c r="DJ19" i="17"/>
  <c r="DI24" i="17"/>
  <c r="DI25" i="17"/>
  <c r="DI55" i="17"/>
  <c r="DI4" i="17"/>
  <c r="DI10" i="17"/>
  <c r="DI11" i="17"/>
  <c r="DI12" i="17"/>
  <c r="DI18" i="17"/>
  <c r="DI51" i="17"/>
  <c r="DK4" i="17"/>
  <c r="DK8" i="17"/>
  <c r="DK9" i="17"/>
  <c r="DK10" i="17"/>
  <c r="DK11" i="17"/>
  <c r="DJ17" i="17"/>
  <c r="DK38" i="17"/>
  <c r="DJ46" i="17"/>
  <c r="DJ48" i="17"/>
  <c r="DJ50" i="17"/>
  <c r="DI56" i="17"/>
  <c r="DK12" i="17"/>
  <c r="DI42" i="17"/>
  <c r="DI19" i="17"/>
  <c r="DJ38" i="17"/>
  <c r="DI50" i="17"/>
  <c r="DI27" i="17"/>
  <c r="DI30" i="17"/>
  <c r="DI31" i="17"/>
  <c r="DK36" i="17"/>
  <c r="DK40" i="17"/>
  <c r="DK42" i="17"/>
  <c r="DJ51" i="17"/>
  <c r="DJ53" i="17"/>
  <c r="DZ6" i="12"/>
  <c r="DY93" i="12"/>
  <c r="EB93" i="12"/>
  <c r="EA6" i="12"/>
  <c r="DY6" i="12"/>
  <c r="EB6" i="12"/>
  <c r="DX93" i="12"/>
  <c r="DX6" i="12"/>
  <c r="DX22" i="11"/>
  <c r="EA22" i="11"/>
  <c r="DY26" i="11"/>
  <c r="EB26" i="11"/>
  <c r="DZ27" i="11"/>
  <c r="DX32" i="11"/>
  <c r="EA32" i="11"/>
  <c r="DY35" i="11"/>
  <c r="EB35" i="11"/>
  <c r="DZ39" i="11"/>
  <c r="DX44" i="11"/>
  <c r="EA44" i="11"/>
  <c r="DY54" i="11"/>
  <c r="EB54" i="11"/>
  <c r="EA78" i="11"/>
  <c r="DX104" i="11"/>
  <c r="EE81" i="13"/>
  <c r="EE82" i="13"/>
  <c r="EE83" i="13"/>
  <c r="EE86" i="13"/>
  <c r="EF88" i="13"/>
  <c r="EG155" i="13"/>
  <c r="EF86" i="13"/>
  <c r="EF87" i="13"/>
  <c r="EF81" i="13"/>
  <c r="EF82" i="13"/>
  <c r="EF83" i="13"/>
  <c r="EG81" i="13"/>
  <c r="EG82" i="13"/>
  <c r="EG83" i="13"/>
  <c r="EG87" i="13"/>
  <c r="EG86" i="13"/>
  <c r="EE88" i="13"/>
  <c r="EA26" i="11"/>
  <c r="DX35" i="11"/>
  <c r="EB39" i="11"/>
  <c r="DZ44" i="11"/>
  <c r="EA54" i="11"/>
  <c r="DZ22" i="11"/>
  <c r="DX26" i="11"/>
  <c r="DY27" i="11"/>
  <c r="EB27" i="11"/>
  <c r="DZ32" i="11"/>
  <c r="EA35" i="11"/>
  <c r="DY39" i="11"/>
  <c r="DX54" i="11"/>
  <c r="DX78" i="11"/>
  <c r="DZ104" i="11"/>
  <c r="FI21" i="18"/>
  <c r="EG191" i="18"/>
  <c r="EK191" i="18"/>
  <c r="EO191" i="18"/>
  <c r="FE122" i="18"/>
  <c r="FI123" i="18"/>
  <c r="FI151" i="18"/>
  <c r="FF186" i="18"/>
  <c r="FE95" i="18"/>
  <c r="FF123" i="18"/>
  <c r="FG124" i="18"/>
  <c r="FH125" i="18"/>
  <c r="FE154" i="18"/>
  <c r="FH163" i="18"/>
  <c r="FH181" i="18"/>
  <c r="FG201" i="18"/>
  <c r="FG205" i="18"/>
  <c r="FG208" i="18"/>
  <c r="EQ191" i="18"/>
  <c r="EI200" i="18"/>
  <c r="EM200" i="18"/>
  <c r="EQ200" i="18"/>
  <c r="FG122" i="18"/>
  <c r="FH123" i="18"/>
  <c r="FF124" i="18"/>
  <c r="FI124" i="18"/>
  <c r="FG125" i="18"/>
  <c r="FE151" i="18"/>
  <c r="FG156" i="18"/>
  <c r="FI180" i="18"/>
  <c r="FH186" i="18"/>
  <c r="FF202" i="18"/>
  <c r="FF207" i="18"/>
  <c r="EG200" i="18"/>
  <c r="EK200" i="18"/>
  <c r="EU9" i="18"/>
  <c r="EF200" i="18"/>
  <c r="EJ200" i="18"/>
  <c r="EN200" i="18"/>
  <c r="FI26" i="18"/>
  <c r="FG40" i="18"/>
  <c r="EO200" i="18"/>
  <c r="EM9" i="18"/>
  <c r="FI18" i="18"/>
  <c r="FG26" i="18"/>
  <c r="FE40" i="18"/>
  <c r="FG179" i="18"/>
  <c r="FG95" i="18"/>
  <c r="EH200" i="18"/>
  <c r="EL200" i="18"/>
  <c r="EP200" i="18"/>
  <c r="FG52" i="18"/>
  <c r="FF90" i="18"/>
  <c r="FF91" i="18"/>
  <c r="FF92" i="18"/>
  <c r="FF93" i="18"/>
  <c r="FF95" i="18"/>
  <c r="FE207" i="18"/>
  <c r="EN9" i="18"/>
  <c r="EF9" i="18"/>
  <c r="FF204" i="18"/>
  <c r="FE18" i="18"/>
  <c r="FH18" i="18"/>
  <c r="FF19" i="18"/>
  <c r="FI19" i="18"/>
  <c r="FE21" i="18"/>
  <c r="FF52" i="18"/>
  <c r="FI52" i="18"/>
  <c r="FI88" i="18"/>
  <c r="FE91" i="18"/>
  <c r="FE92" i="18"/>
  <c r="FE93" i="18"/>
  <c r="FE94" i="18"/>
  <c r="EH191" i="18"/>
  <c r="EL191" i="18"/>
  <c r="EP191" i="18"/>
  <c r="EI153" i="18"/>
  <c r="EM153" i="18"/>
  <c r="EQ153" i="18"/>
  <c r="EI172" i="18"/>
  <c r="EM172" i="18"/>
  <c r="EQ172" i="18"/>
  <c r="EU172" i="18"/>
  <c r="EY172" i="18"/>
  <c r="FG20" i="18"/>
  <c r="FH21" i="18"/>
  <c r="FF88" i="18"/>
  <c r="FH151" i="18"/>
  <c r="FE97" i="18"/>
  <c r="FG204" i="18"/>
  <c r="EX9" i="18"/>
  <c r="EL9" i="18"/>
  <c r="FF94" i="18"/>
  <c r="FG207" i="18"/>
  <c r="FE26" i="18"/>
  <c r="FF97" i="18"/>
  <c r="FH124" i="18"/>
  <c r="FF125" i="18"/>
  <c r="FI125" i="18"/>
  <c r="FF150" i="18"/>
  <c r="FG151" i="18"/>
  <c r="FF154" i="18"/>
  <c r="FF155" i="18"/>
  <c r="FF163" i="18"/>
  <c r="FE180" i="18"/>
  <c r="FF181" i="18"/>
  <c r="FE201" i="18"/>
  <c r="FE203" i="18"/>
  <c r="FE205" i="18"/>
  <c r="FE206" i="18"/>
  <c r="EF191" i="18"/>
  <c r="EJ191" i="18"/>
  <c r="EN191" i="18"/>
  <c r="EG153" i="18"/>
  <c r="EK153" i="18"/>
  <c r="EO153" i="18"/>
  <c r="EG172" i="18"/>
  <c r="EK172" i="18"/>
  <c r="EO172" i="18"/>
  <c r="ES172" i="18"/>
  <c r="EW172" i="18"/>
  <c r="FG18" i="18"/>
  <c r="FE19" i="18"/>
  <c r="FF20" i="18"/>
  <c r="FI20" i="18"/>
  <c r="FG21" i="18"/>
  <c r="FE52" i="18"/>
  <c r="FH52" i="18"/>
  <c r="FH88" i="18"/>
  <c r="FG90" i="18"/>
  <c r="FG91" i="18"/>
  <c r="FG92" i="18"/>
  <c r="FG93" i="18"/>
  <c r="FG94" i="18"/>
  <c r="EL8" i="18"/>
  <c r="EG8" i="18"/>
  <c r="EF171" i="18"/>
  <c r="EJ171" i="18"/>
  <c r="ER171" i="18"/>
  <c r="EX124" i="7"/>
  <c r="EW125" i="7"/>
  <c r="EV118" i="7"/>
  <c r="EX122" i="7"/>
  <c r="EW124" i="7"/>
  <c r="EV122" i="7"/>
  <c r="EV116" i="7"/>
  <c r="EW123" i="7"/>
  <c r="EY125" i="7"/>
  <c r="EZ126" i="7"/>
  <c r="EW140" i="7"/>
  <c r="EW89" i="7"/>
  <c r="EV117" i="7"/>
  <c r="EV119" i="7"/>
  <c r="EV120" i="7"/>
  <c r="EX127" i="7"/>
  <c r="EZ140" i="7"/>
  <c r="EW115" i="7"/>
  <c r="EW117" i="7"/>
  <c r="EW119" i="7"/>
  <c r="EZ122" i="7"/>
  <c r="EV124" i="7"/>
  <c r="EZ125" i="7"/>
  <c r="EX126" i="7"/>
  <c r="EY127" i="7"/>
  <c r="EX140" i="7"/>
  <c r="EY89" i="7"/>
  <c r="EX116" i="7"/>
  <c r="EX117" i="7"/>
  <c r="EX118" i="7"/>
  <c r="EX119" i="7"/>
  <c r="EX120" i="7"/>
  <c r="EY123" i="7"/>
  <c r="EZ124" i="7"/>
  <c r="EV126" i="7"/>
  <c r="EW127" i="7"/>
  <c r="EY140" i="7"/>
  <c r="EK8" i="18"/>
  <c r="EP8" i="18"/>
  <c r="EV8" i="18"/>
  <c r="FG51" i="18"/>
  <c r="EO171" i="18"/>
  <c r="EI8" i="18"/>
  <c r="EF8" i="18"/>
  <c r="EW8" i="18"/>
  <c r="ES171" i="18"/>
  <c r="EQ8" i="18"/>
  <c r="EJ8" i="18"/>
  <c r="EO8" i="18"/>
  <c r="ET8" i="18"/>
  <c r="FF51" i="18"/>
  <c r="EN8" i="18"/>
  <c r="ES8" i="18"/>
  <c r="EI171" i="18"/>
  <c r="EW171" i="18"/>
  <c r="EQ171" i="18"/>
  <c r="EK171" i="18"/>
  <c r="EX171" i="18"/>
  <c r="EN171" i="18"/>
  <c r="EY51" i="18"/>
  <c r="FI51" i="18" s="1"/>
  <c r="DR39" i="18"/>
  <c r="EU8" i="18"/>
  <c r="EH8" i="18"/>
  <c r="ET171" i="18"/>
  <c r="EM171" i="18"/>
  <c r="EX8" i="18"/>
  <c r="EV171" i="18"/>
  <c r="EL171" i="18"/>
  <c r="EU171" i="18"/>
  <c r="EY68" i="18"/>
  <c r="DR59" i="18"/>
  <c r="DR106" i="18"/>
  <c r="DR115" i="18"/>
  <c r="DR141" i="18" s="1"/>
  <c r="DR76" i="18"/>
  <c r="EX74" i="7"/>
  <c r="EM8" i="18"/>
  <c r="FE163" i="18"/>
  <c r="FG162" i="18"/>
  <c r="FE162" i="18"/>
  <c r="EG9" i="18"/>
  <c r="EK9" i="18"/>
  <c r="EQ9" i="18"/>
  <c r="EH9" i="18"/>
  <c r="EO9" i="18"/>
  <c r="EP9" i="18"/>
  <c r="ER9" i="18"/>
  <c r="ES9" i="18"/>
  <c r="ET9" i="18"/>
  <c r="EV9" i="18"/>
  <c r="EW9" i="18"/>
  <c r="EY9" i="18"/>
  <c r="EI9" i="18"/>
  <c r="EJ9" i="18"/>
  <c r="EP171" i="18"/>
  <c r="EH171" i="18"/>
  <c r="EG171" i="18"/>
  <c r="FH136" i="15"/>
  <c r="FI136" i="15"/>
  <c r="DQ719" i="2"/>
  <c r="CS719" i="2"/>
  <c r="DP719" i="2"/>
  <c r="CR719" i="2"/>
  <c r="DD719" i="2"/>
  <c r="CT719" i="2"/>
  <c r="DB719" i="2"/>
  <c r="DC719" i="2"/>
  <c r="DA719" i="2"/>
  <c r="DL719" i="2"/>
  <c r="CU719" i="2"/>
  <c r="DI719" i="2"/>
  <c r="CV719" i="2"/>
  <c r="DJ719" i="2"/>
  <c r="DH719" i="2"/>
  <c r="CZ719" i="2"/>
  <c r="DK719" i="2"/>
  <c r="FF162" i="18"/>
  <c r="FH19" i="18"/>
  <c r="EG39" i="18"/>
  <c r="EO39" i="18"/>
  <c r="EW39" i="18"/>
  <c r="FF96" i="18"/>
  <c r="EM141" i="18"/>
  <c r="EU141" i="18"/>
  <c r="FE155" i="18"/>
  <c r="FG163" i="18"/>
  <c r="FI163" i="18"/>
  <c r="FF180" i="18"/>
  <c r="FH180" i="18"/>
  <c r="EI184" i="18"/>
  <c r="EQ184" i="18"/>
  <c r="FF208" i="18"/>
  <c r="EH39" i="18"/>
  <c r="EP39" i="18"/>
  <c r="EX39" i="18"/>
  <c r="EF141" i="18"/>
  <c r="EN141" i="18"/>
  <c r="EV141" i="18"/>
  <c r="FG181" i="18"/>
  <c r="FI181" i="18"/>
  <c r="EJ184" i="18"/>
  <c r="FE186" i="18"/>
  <c r="FF205" i="18"/>
  <c r="EI39" i="18"/>
  <c r="EQ39" i="18"/>
  <c r="FE51" i="18"/>
  <c r="FE90" i="18"/>
  <c r="FE125" i="18"/>
  <c r="EG141" i="18"/>
  <c r="EO141" i="18"/>
  <c r="EW141" i="18"/>
  <c r="EK184" i="18"/>
  <c r="FH20" i="18"/>
  <c r="EJ39" i="18"/>
  <c r="FI40" i="18"/>
  <c r="FI122" i="18"/>
  <c r="EH141" i="18"/>
  <c r="EP141" i="18"/>
  <c r="EX141" i="18"/>
  <c r="FE156" i="18"/>
  <c r="EL184" i="18"/>
  <c r="FG203" i="18"/>
  <c r="EK39" i="18"/>
  <c r="ES39" i="18"/>
  <c r="FE88" i="18"/>
  <c r="FG88" i="18"/>
  <c r="FE123" i="18"/>
  <c r="FG123" i="18"/>
  <c r="EI141" i="18"/>
  <c r="EQ141" i="18"/>
  <c r="FG154" i="18"/>
  <c r="FF179" i="18"/>
  <c r="FH179" i="18"/>
  <c r="FE181" i="18"/>
  <c r="EM184" i="18"/>
  <c r="FG206" i="18"/>
  <c r="FE208" i="18"/>
  <c r="EL39" i="18"/>
  <c r="ET39" i="18"/>
  <c r="EJ141" i="18"/>
  <c r="ER141" i="18"/>
  <c r="FH150" i="18"/>
  <c r="EF184" i="18"/>
  <c r="EN184" i="18"/>
  <c r="FF21" i="18"/>
  <c r="EM39" i="18"/>
  <c r="EU39" i="18"/>
  <c r="FE96" i="18"/>
  <c r="FG96" i="18"/>
  <c r="EK141" i="18"/>
  <c r="ES141" i="18"/>
  <c r="FE150" i="18"/>
  <c r="FG150" i="18"/>
  <c r="FI150" i="18"/>
  <c r="FF151" i="18"/>
  <c r="FG155" i="18"/>
  <c r="FF156" i="18"/>
  <c r="FG180" i="18"/>
  <c r="EG184" i="18"/>
  <c r="EO184" i="18"/>
  <c r="FE185" i="18"/>
  <c r="FG185" i="18"/>
  <c r="FF206" i="18"/>
  <c r="FF26" i="18"/>
  <c r="FH26" i="18"/>
  <c r="EF39" i="18"/>
  <c r="EN39" i="18"/>
  <c r="EV39" i="18"/>
  <c r="FF40" i="18"/>
  <c r="FH40" i="18"/>
  <c r="FG97" i="18"/>
  <c r="FF122" i="18"/>
  <c r="FH122" i="18"/>
  <c r="FE124" i="18"/>
  <c r="EL141" i="18"/>
  <c r="ET141" i="18"/>
  <c r="FE179" i="18"/>
  <c r="FI179" i="18"/>
  <c r="EH184" i="18"/>
  <c r="EP184" i="18"/>
  <c r="FF185" i="18"/>
  <c r="FG186" i="18"/>
  <c r="FI186" i="18"/>
  <c r="FF201" i="18"/>
  <c r="FE202" i="18"/>
  <c r="FG202" i="18"/>
  <c r="FF203" i="18"/>
  <c r="FE204" i="18"/>
  <c r="CQ719" i="2"/>
  <c r="CY719" i="2"/>
  <c r="DG719" i="2"/>
  <c r="DO719" i="2"/>
  <c r="CW719" i="2"/>
  <c r="DE719" i="2"/>
  <c r="DM719" i="2"/>
  <c r="CX719" i="2"/>
  <c r="DF719" i="2"/>
  <c r="DN719" i="2"/>
  <c r="EF155" i="13"/>
  <c r="EE155" i="13"/>
  <c r="EB78" i="11"/>
  <c r="DZ78" i="11"/>
  <c r="EV74" i="7"/>
  <c r="EZ74" i="7"/>
  <c r="EW74" i="7"/>
  <c r="EY74" i="7"/>
  <c r="EY122" i="7"/>
  <c r="EV89" i="7"/>
  <c r="EX89" i="7"/>
  <c r="EZ89" i="7"/>
  <c r="EV115" i="7"/>
  <c r="EX115" i="7"/>
  <c r="EW116" i="7"/>
  <c r="EW118" i="7"/>
  <c r="EW120" i="7"/>
  <c r="EW122" i="7"/>
  <c r="EV123" i="7"/>
  <c r="EX123" i="7"/>
  <c r="EZ123" i="7"/>
  <c r="EY124" i="7"/>
  <c r="EV125" i="7"/>
  <c r="EX125" i="7"/>
  <c r="EW126" i="7"/>
  <c r="EY126" i="7"/>
  <c r="EV127" i="7"/>
  <c r="EZ127" i="7"/>
  <c r="EV140" i="7"/>
  <c r="DY104" i="11"/>
  <c r="EA104" i="11"/>
  <c r="FE49" i="14"/>
  <c r="FG49" i="14"/>
  <c r="FI49" i="14"/>
  <c r="FE12" i="14"/>
  <c r="FG12" i="14"/>
  <c r="FI12" i="14"/>
  <c r="FF13" i="14"/>
  <c r="FH13" i="14"/>
  <c r="FE19" i="14"/>
  <c r="FI19" i="14"/>
  <c r="FI38" i="14"/>
  <c r="FI47" i="14"/>
  <c r="FH46" i="14"/>
  <c r="FF16" i="14"/>
  <c r="FF35" i="14"/>
  <c r="FE32" i="14"/>
  <c r="FG32" i="14"/>
  <c r="FH35" i="14"/>
  <c r="FI8" i="14"/>
  <c r="FH19" i="14"/>
  <c r="FF25" i="14"/>
  <c r="FH25" i="14"/>
  <c r="FF32" i="14"/>
  <c r="FE13" i="14"/>
  <c r="FG13" i="14"/>
  <c r="FF19" i="14"/>
  <c r="FI22" i="14"/>
  <c r="FF38" i="14"/>
  <c r="FF49" i="14"/>
  <c r="FE4" i="14"/>
  <c r="FG4" i="14"/>
  <c r="FI4" i="14"/>
  <c r="FF12" i="14"/>
  <c r="FH12" i="14"/>
  <c r="FH32" i="14"/>
  <c r="FG35" i="14"/>
  <c r="C141" i="18"/>
  <c r="C171" i="18" s="1"/>
  <c r="DZ437" i="2" l="1"/>
  <c r="DZ384" i="2"/>
  <c r="EA385" i="2"/>
  <c r="EA336" i="2"/>
  <c r="DZ335" i="2"/>
  <c r="DZ159" i="2"/>
  <c r="EA147" i="2"/>
  <c r="DV433" i="2"/>
  <c r="DS171" i="18"/>
  <c r="DS8" i="18"/>
  <c r="DT748" i="2"/>
  <c r="DU68" i="18" s="1"/>
  <c r="EZ68" i="18" s="1"/>
  <c r="DU51" i="18"/>
  <c r="DU39" i="18" s="1"/>
  <c r="DU8" i="18" s="1"/>
  <c r="DT59" i="18"/>
  <c r="DT115" i="18"/>
  <c r="DT141" i="18" s="1"/>
  <c r="DT171" i="18" s="1"/>
  <c r="DT76" i="18"/>
  <c r="DT106" i="18"/>
  <c r="DT101" i="15"/>
  <c r="DT722" i="2"/>
  <c r="DU104" i="15" s="1"/>
  <c r="EZ104" i="15" s="1"/>
  <c r="DS719" i="2"/>
  <c r="DT720" i="2"/>
  <c r="DU102" i="15" s="1"/>
  <c r="EZ102" i="15" s="1"/>
  <c r="DT723" i="2"/>
  <c r="DU105" i="15" s="1"/>
  <c r="EZ105" i="15" s="1"/>
  <c r="DT724" i="2"/>
  <c r="DU106" i="15" s="1"/>
  <c r="EZ106" i="15" s="1"/>
  <c r="DT725" i="2"/>
  <c r="DU107" i="15" s="1"/>
  <c r="EZ107" i="15" s="1"/>
  <c r="DT721" i="2"/>
  <c r="DU103" i="15" s="1"/>
  <c r="EZ103" i="15" s="1"/>
  <c r="FG191" i="18"/>
  <c r="FF200" i="18"/>
  <c r="FF172" i="18"/>
  <c r="FE191" i="18"/>
  <c r="FH172" i="18"/>
  <c r="FG172" i="18"/>
  <c r="FE200" i="18"/>
  <c r="FE172" i="18"/>
  <c r="FG153" i="18"/>
  <c r="FG200" i="18"/>
  <c r="FI172" i="18"/>
  <c r="FF153" i="18"/>
  <c r="FE153" i="18"/>
  <c r="FF9" i="18"/>
  <c r="FF191" i="18"/>
  <c r="FG9" i="18"/>
  <c r="FF184" i="18"/>
  <c r="FI9" i="18"/>
  <c r="FH9" i="18"/>
  <c r="FE9" i="18"/>
  <c r="FE8" i="18"/>
  <c r="FG8" i="18"/>
  <c r="FF8" i="18"/>
  <c r="FH171" i="18"/>
  <c r="F56" i="24" s="1"/>
  <c r="FF171" i="18"/>
  <c r="D56" i="24" s="1"/>
  <c r="FG171" i="18"/>
  <c r="E56" i="24" s="1"/>
  <c r="FE171" i="18"/>
  <c r="C56" i="24" s="1"/>
  <c r="DR8" i="18"/>
  <c r="EY8" i="18" s="1"/>
  <c r="FI8" i="18" s="1"/>
  <c r="EY39" i="18"/>
  <c r="FI39" i="18" s="1"/>
  <c r="G10" i="24" s="1"/>
  <c r="DR171" i="18"/>
  <c r="EY171" i="18" s="1"/>
  <c r="FI171" i="18" s="1"/>
  <c r="G56" i="24" s="1"/>
  <c r="EY141" i="18"/>
  <c r="FI141" i="18" s="1"/>
  <c r="G48" i="24" s="1"/>
  <c r="EY76" i="18"/>
  <c r="FI68" i="18"/>
  <c r="FG39" i="18"/>
  <c r="E10" i="24" s="1"/>
  <c r="FE39" i="18"/>
  <c r="C10" i="24" s="1"/>
  <c r="FG184" i="18"/>
  <c r="FE141" i="18"/>
  <c r="C48" i="24" s="1"/>
  <c r="FE184" i="18"/>
  <c r="FH141" i="18"/>
  <c r="F48" i="24" s="1"/>
  <c r="FF39" i="18"/>
  <c r="D10" i="24" s="1"/>
  <c r="FF141" i="18"/>
  <c r="D48" i="24" s="1"/>
  <c r="FG141" i="18"/>
  <c r="E48" i="24" s="1"/>
  <c r="BA55" i="18"/>
  <c r="BA16" i="18"/>
  <c r="CS338" i="2"/>
  <c r="CR338" i="2"/>
  <c r="CQ338" i="2"/>
  <c r="CP338" i="2"/>
  <c r="CO338" i="2"/>
  <c r="CN338" i="2"/>
  <c r="CM338" i="2"/>
  <c r="CL338" i="2"/>
  <c r="CK338" i="2"/>
  <c r="CJ338" i="2"/>
  <c r="CI338" i="2"/>
  <c r="CH338" i="2"/>
  <c r="CG338" i="2"/>
  <c r="CF338" i="2"/>
  <c r="CE338" i="2"/>
  <c r="CD338" i="2"/>
  <c r="CC338" i="2"/>
  <c r="CB338" i="2"/>
  <c r="CA338" i="2"/>
  <c r="BZ338" i="2"/>
  <c r="BY338" i="2"/>
  <c r="BX338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M128" i="11"/>
  <c r="BL128" i="11"/>
  <c r="BK128" i="11"/>
  <c r="BJ128" i="11"/>
  <c r="BI128" i="11"/>
  <c r="BH128" i="11"/>
  <c r="BG128" i="11"/>
  <c r="BF128" i="11"/>
  <c r="BE128" i="11"/>
  <c r="BD128" i="11"/>
  <c r="BC128" i="11"/>
  <c r="BB128" i="11"/>
  <c r="BA128" i="11"/>
  <c r="AZ128" i="11"/>
  <c r="AY128" i="11"/>
  <c r="AX128" i="11"/>
  <c r="AW128" i="11"/>
  <c r="AV128" i="11"/>
  <c r="AU128" i="11"/>
  <c r="AT128" i="11"/>
  <c r="AS128" i="11"/>
  <c r="AR128" i="11"/>
  <c r="AQ128" i="11"/>
  <c r="AP128" i="11"/>
  <c r="AO128" i="11"/>
  <c r="AN128" i="11"/>
  <c r="AM128" i="11"/>
  <c r="AL128" i="11"/>
  <c r="AK128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CT54" i="17"/>
  <c r="CT57" i="17" s="1"/>
  <c r="CS54" i="17"/>
  <c r="CS57" i="17" s="1"/>
  <c r="CR54" i="17"/>
  <c r="CQ54" i="17"/>
  <c r="CQ57" i="17" s="1"/>
  <c r="CP54" i="17"/>
  <c r="CP57" i="17" s="1"/>
  <c r="CO54" i="17"/>
  <c r="CN54" i="17"/>
  <c r="CM54" i="17"/>
  <c r="CM57" i="17" s="1"/>
  <c r="CL54" i="17"/>
  <c r="CK54" i="17"/>
  <c r="CK57" i="17" s="1"/>
  <c r="CJ54" i="17"/>
  <c r="CJ57" i="17" s="1"/>
  <c r="CI54" i="17"/>
  <c r="CH54" i="17"/>
  <c r="CH57" i="17" s="1"/>
  <c r="CG54" i="17"/>
  <c r="CG57" i="17" s="1"/>
  <c r="CF54" i="17"/>
  <c r="CE54" i="17"/>
  <c r="CE57" i="17" s="1"/>
  <c r="CD54" i="17"/>
  <c r="CD20" i="17" s="1"/>
  <c r="CC54" i="17"/>
  <c r="CB54" i="17"/>
  <c r="CB57" i="17" s="1"/>
  <c r="CA54" i="17"/>
  <c r="CA57" i="17" s="1"/>
  <c r="BZ54" i="17"/>
  <c r="BY54" i="17"/>
  <c r="BY57" i="17" s="1"/>
  <c r="BX54" i="17"/>
  <c r="BX57" i="17" s="1"/>
  <c r="BW54" i="17"/>
  <c r="BV54" i="17"/>
  <c r="BV57" i="17" s="1"/>
  <c r="BU54" i="17"/>
  <c r="BU57" i="17" s="1"/>
  <c r="BT54" i="17"/>
  <c r="BS54" i="17"/>
  <c r="BS57" i="17" s="1"/>
  <c r="BR54" i="17"/>
  <c r="BR57" i="17" s="1"/>
  <c r="BQ54" i="17"/>
  <c r="BP54" i="17"/>
  <c r="BP57" i="17" s="1"/>
  <c r="BO54" i="17"/>
  <c r="BO57" i="17" s="1"/>
  <c r="BN54" i="17"/>
  <c r="BM54" i="17"/>
  <c r="BM57" i="17" s="1"/>
  <c r="BL54" i="17"/>
  <c r="BL57" i="17" s="1"/>
  <c r="BK54" i="17"/>
  <c r="BJ54" i="17"/>
  <c r="BJ57" i="17" s="1"/>
  <c r="BI54" i="17"/>
  <c r="BI57" i="17" s="1"/>
  <c r="BH54" i="17"/>
  <c r="BH57" i="17" s="1"/>
  <c r="BG54" i="17"/>
  <c r="BG57" i="17" s="1"/>
  <c r="BF54" i="17"/>
  <c r="BF57" i="17" s="1"/>
  <c r="BE54" i="17"/>
  <c r="BE57" i="17" s="1"/>
  <c r="BD54" i="17"/>
  <c r="BD57" i="17" s="1"/>
  <c r="BC54" i="17"/>
  <c r="BC57" i="17" s="1"/>
  <c r="BB54" i="17"/>
  <c r="BB57" i="17" s="1"/>
  <c r="BA54" i="17"/>
  <c r="BA57" i="17" s="1"/>
  <c r="AZ54" i="17"/>
  <c r="AZ57" i="17" s="1"/>
  <c r="AY54" i="17"/>
  <c r="AY57" i="17" s="1"/>
  <c r="AX54" i="17"/>
  <c r="AX57" i="17" s="1"/>
  <c r="AW54" i="17"/>
  <c r="AW57" i="17" s="1"/>
  <c r="AV54" i="17"/>
  <c r="AV57" i="17" s="1"/>
  <c r="AU54" i="17"/>
  <c r="AU57" i="17" s="1"/>
  <c r="AT54" i="17"/>
  <c r="AT57" i="17" s="1"/>
  <c r="AS54" i="17"/>
  <c r="AS57" i="17" s="1"/>
  <c r="AR54" i="17"/>
  <c r="AR57" i="17" s="1"/>
  <c r="AQ54" i="17"/>
  <c r="AQ57" i="17" s="1"/>
  <c r="AP54" i="17"/>
  <c r="AP57" i="17" s="1"/>
  <c r="AO54" i="17"/>
  <c r="AO57" i="17" s="1"/>
  <c r="AN54" i="17"/>
  <c r="AN57" i="17" s="1"/>
  <c r="AM54" i="17"/>
  <c r="AM57" i="17" s="1"/>
  <c r="AL54" i="17"/>
  <c r="AL57" i="17" s="1"/>
  <c r="AK54" i="17"/>
  <c r="AK57" i="17" s="1"/>
  <c r="AJ54" i="17"/>
  <c r="AJ57" i="17" s="1"/>
  <c r="AI54" i="17"/>
  <c r="AI57" i="17" s="1"/>
  <c r="AH54" i="17"/>
  <c r="AH57" i="17" s="1"/>
  <c r="AG54" i="17"/>
  <c r="AG57" i="17" s="1"/>
  <c r="AF54" i="17"/>
  <c r="AF57" i="17" s="1"/>
  <c r="AE54" i="17"/>
  <c r="AE57" i="17" s="1"/>
  <c r="AD54" i="17"/>
  <c r="AD57" i="17" s="1"/>
  <c r="AC54" i="17"/>
  <c r="AC57" i="17" s="1"/>
  <c r="AB54" i="17"/>
  <c r="AB57" i="17" s="1"/>
  <c r="AA54" i="17"/>
  <c r="AA57" i="17" s="1"/>
  <c r="Z54" i="17"/>
  <c r="Z57" i="17" s="1"/>
  <c r="Y54" i="17"/>
  <c r="Y57" i="17" s="1"/>
  <c r="X54" i="17"/>
  <c r="X57" i="17" s="1"/>
  <c r="W54" i="17"/>
  <c r="W57" i="17" s="1"/>
  <c r="V54" i="17"/>
  <c r="V57" i="17" s="1"/>
  <c r="U54" i="17"/>
  <c r="U57" i="17" s="1"/>
  <c r="T54" i="17"/>
  <c r="T57" i="17" s="1"/>
  <c r="S54" i="17"/>
  <c r="S57" i="17" s="1"/>
  <c r="R54" i="17"/>
  <c r="R57" i="17" s="1"/>
  <c r="Q54" i="17"/>
  <c r="Q57" i="17" s="1"/>
  <c r="P54" i="17"/>
  <c r="P57" i="17" s="1"/>
  <c r="O54" i="17"/>
  <c r="O57" i="17" s="1"/>
  <c r="N54" i="17"/>
  <c r="N57" i="17" s="1"/>
  <c r="M54" i="17"/>
  <c r="M57" i="17" s="1"/>
  <c r="L54" i="17"/>
  <c r="L57" i="17" s="1"/>
  <c r="K54" i="17"/>
  <c r="K57" i="17" s="1"/>
  <c r="J54" i="17"/>
  <c r="J57" i="17" s="1"/>
  <c r="I54" i="17"/>
  <c r="I57" i="17" s="1"/>
  <c r="H54" i="17"/>
  <c r="H57" i="17" s="1"/>
  <c r="G54" i="17"/>
  <c r="G57" i="17" s="1"/>
  <c r="F54" i="17"/>
  <c r="F57" i="17" s="1"/>
  <c r="E54" i="17"/>
  <c r="E57" i="17" s="1"/>
  <c r="D54" i="17"/>
  <c r="D57" i="17" s="1"/>
  <c r="C54" i="17"/>
  <c r="C57" i="17" s="1"/>
  <c r="CT49" i="17"/>
  <c r="CT52" i="17" s="1"/>
  <c r="CS49" i="17"/>
  <c r="CS52" i="17" s="1"/>
  <c r="CR49" i="17"/>
  <c r="CQ49" i="17"/>
  <c r="CQ52" i="17" s="1"/>
  <c r="CP49" i="17"/>
  <c r="CP52" i="17" s="1"/>
  <c r="CO49" i="17"/>
  <c r="CN49" i="17"/>
  <c r="CN52" i="17" s="1"/>
  <c r="CM49" i="17"/>
  <c r="CM52" i="17" s="1"/>
  <c r="CL49" i="17"/>
  <c r="CK49" i="17"/>
  <c r="CK52" i="17" s="1"/>
  <c r="CJ49" i="17"/>
  <c r="CJ52" i="17" s="1"/>
  <c r="CI49" i="17"/>
  <c r="CH49" i="17"/>
  <c r="CH52" i="17" s="1"/>
  <c r="CG49" i="17"/>
  <c r="CG52" i="17" s="1"/>
  <c r="CF49" i="17"/>
  <c r="CF20" i="17" s="1"/>
  <c r="CE49" i="17"/>
  <c r="CE52" i="17" s="1"/>
  <c r="CD49" i="17"/>
  <c r="CD52" i="17" s="1"/>
  <c r="CC49" i="17"/>
  <c r="CB49" i="17"/>
  <c r="CA49" i="17"/>
  <c r="BZ49" i="17"/>
  <c r="BY49" i="17"/>
  <c r="BY20" i="17" s="1"/>
  <c r="BX49" i="17"/>
  <c r="BX52" i="17" s="1"/>
  <c r="BW49" i="17"/>
  <c r="BW20" i="17" s="1"/>
  <c r="BV49" i="17"/>
  <c r="BV52" i="17" s="1"/>
  <c r="BU49" i="17"/>
  <c r="BU52" i="17" s="1"/>
  <c r="BT49" i="17"/>
  <c r="BS49" i="17"/>
  <c r="BS52" i="17" s="1"/>
  <c r="BR49" i="17"/>
  <c r="BR52" i="17" s="1"/>
  <c r="BQ49" i="17"/>
  <c r="BP49" i="17"/>
  <c r="BP52" i="17" s="1"/>
  <c r="BO49" i="17"/>
  <c r="BO52" i="17" s="1"/>
  <c r="BN49" i="17"/>
  <c r="BM49" i="17"/>
  <c r="BM52" i="17" s="1"/>
  <c r="BL49" i="17"/>
  <c r="BL20" i="17" s="1"/>
  <c r="BK49" i="17"/>
  <c r="BJ49" i="17"/>
  <c r="BJ52" i="17" s="1"/>
  <c r="BI49" i="17"/>
  <c r="BI52" i="17" s="1"/>
  <c r="BH49" i="17"/>
  <c r="BH52" i="17" s="1"/>
  <c r="BG49" i="17"/>
  <c r="BG52" i="17" s="1"/>
  <c r="BF49" i="17"/>
  <c r="BF52" i="17" s="1"/>
  <c r="BE49" i="17"/>
  <c r="BE52" i="17" s="1"/>
  <c r="BD49" i="17"/>
  <c r="BD52" i="17" s="1"/>
  <c r="BC49" i="17"/>
  <c r="BC52" i="17" s="1"/>
  <c r="BB49" i="17"/>
  <c r="BB52" i="17" s="1"/>
  <c r="BA49" i="17"/>
  <c r="BA52" i="17" s="1"/>
  <c r="AZ49" i="17"/>
  <c r="AZ52" i="17" s="1"/>
  <c r="AY49" i="17"/>
  <c r="AY52" i="17" s="1"/>
  <c r="AX49" i="17"/>
  <c r="AX52" i="17" s="1"/>
  <c r="AW49" i="17"/>
  <c r="AW52" i="17" s="1"/>
  <c r="AV49" i="17"/>
  <c r="AV52" i="17" s="1"/>
  <c r="AU49" i="17"/>
  <c r="AU52" i="17" s="1"/>
  <c r="AT49" i="17"/>
  <c r="AT52" i="17" s="1"/>
  <c r="AS49" i="17"/>
  <c r="AS52" i="17" s="1"/>
  <c r="AR49" i="17"/>
  <c r="AR52" i="17" s="1"/>
  <c r="AQ49" i="17"/>
  <c r="AQ52" i="17" s="1"/>
  <c r="AP49" i="17"/>
  <c r="AP52" i="17" s="1"/>
  <c r="AO49" i="17"/>
  <c r="AO52" i="17" s="1"/>
  <c r="AN49" i="17"/>
  <c r="AN52" i="17" s="1"/>
  <c r="AM49" i="17"/>
  <c r="AM52" i="17" s="1"/>
  <c r="AL49" i="17"/>
  <c r="AL52" i="17" s="1"/>
  <c r="AK49" i="17"/>
  <c r="AK52" i="17" s="1"/>
  <c r="AJ49" i="17"/>
  <c r="AJ52" i="17" s="1"/>
  <c r="AI49" i="17"/>
  <c r="AI52" i="17" s="1"/>
  <c r="AH49" i="17"/>
  <c r="AH52" i="17" s="1"/>
  <c r="AG49" i="17"/>
  <c r="AG52" i="17" s="1"/>
  <c r="AF49" i="17"/>
  <c r="AF52" i="17" s="1"/>
  <c r="AE49" i="17"/>
  <c r="AE52" i="17" s="1"/>
  <c r="AD49" i="17"/>
  <c r="AD52" i="17" s="1"/>
  <c r="AC49" i="17"/>
  <c r="AC52" i="17" s="1"/>
  <c r="AB49" i="17"/>
  <c r="AB52" i="17" s="1"/>
  <c r="AA49" i="17"/>
  <c r="AA52" i="17" s="1"/>
  <c r="Z49" i="17"/>
  <c r="Z52" i="17" s="1"/>
  <c r="Y49" i="17"/>
  <c r="Y52" i="17" s="1"/>
  <c r="X49" i="17"/>
  <c r="X20" i="17" s="1"/>
  <c r="W49" i="17"/>
  <c r="W52" i="17" s="1"/>
  <c r="V49" i="17"/>
  <c r="V20" i="17" s="1"/>
  <c r="U49" i="17"/>
  <c r="U52" i="17" s="1"/>
  <c r="T49" i="17"/>
  <c r="T52" i="17" s="1"/>
  <c r="S49" i="17"/>
  <c r="S52" i="17" s="1"/>
  <c r="R49" i="17"/>
  <c r="R52" i="17" s="1"/>
  <c r="Q49" i="17"/>
  <c r="Q52" i="17" s="1"/>
  <c r="P49" i="17"/>
  <c r="P52" i="17" s="1"/>
  <c r="O49" i="17"/>
  <c r="O52" i="17" s="1"/>
  <c r="N49" i="17"/>
  <c r="N52" i="17" s="1"/>
  <c r="M49" i="17"/>
  <c r="M52" i="17" s="1"/>
  <c r="L49" i="17"/>
  <c r="L52" i="17" s="1"/>
  <c r="K49" i="17"/>
  <c r="K52" i="17" s="1"/>
  <c r="J49" i="17"/>
  <c r="J52" i="17" s="1"/>
  <c r="I49" i="17"/>
  <c r="I52" i="17" s="1"/>
  <c r="H49" i="17"/>
  <c r="H52" i="17" s="1"/>
  <c r="G49" i="17"/>
  <c r="G52" i="17" s="1"/>
  <c r="F49" i="17"/>
  <c r="F52" i="17" s="1"/>
  <c r="E49" i="17"/>
  <c r="E52" i="17" s="1"/>
  <c r="D49" i="17"/>
  <c r="D52" i="17" s="1"/>
  <c r="C49" i="17"/>
  <c r="C52" i="17" s="1"/>
  <c r="CT47" i="17"/>
  <c r="CS47" i="17"/>
  <c r="CR47" i="17"/>
  <c r="CQ47" i="17"/>
  <c r="CP47" i="17"/>
  <c r="CO47" i="17"/>
  <c r="CN47" i="17"/>
  <c r="CM47" i="17"/>
  <c r="CL47" i="17"/>
  <c r="CK47" i="17"/>
  <c r="CJ47" i="17"/>
  <c r="CI47" i="17"/>
  <c r="CH47" i="17"/>
  <c r="CG47" i="17"/>
  <c r="CF47" i="17"/>
  <c r="CE47" i="17"/>
  <c r="CD47" i="17"/>
  <c r="CC47" i="17"/>
  <c r="CB47" i="17"/>
  <c r="CA47" i="17"/>
  <c r="BZ47" i="17"/>
  <c r="BY47" i="17"/>
  <c r="BX47" i="17"/>
  <c r="BW47" i="17"/>
  <c r="BV47" i="17"/>
  <c r="BU47" i="17"/>
  <c r="BT47" i="17"/>
  <c r="BS47" i="17"/>
  <c r="BR47" i="17"/>
  <c r="BQ47" i="17"/>
  <c r="BP47" i="17"/>
  <c r="BO47" i="17"/>
  <c r="BN47" i="17"/>
  <c r="BM47" i="17"/>
  <c r="BL47" i="17"/>
  <c r="BK47" i="17"/>
  <c r="BJ47" i="17"/>
  <c r="BI47" i="17"/>
  <c r="BH47" i="17"/>
  <c r="BG47" i="17"/>
  <c r="BF47" i="17"/>
  <c r="BE47" i="17"/>
  <c r="BD47" i="17"/>
  <c r="BC47" i="17"/>
  <c r="BB47" i="17"/>
  <c r="BA47" i="17"/>
  <c r="AZ47" i="17"/>
  <c r="AY47" i="17"/>
  <c r="AX47" i="17"/>
  <c r="AW47" i="17"/>
  <c r="AV47" i="17"/>
  <c r="AU47" i="17"/>
  <c r="AT47" i="17"/>
  <c r="AS47" i="17"/>
  <c r="AR47" i="17"/>
  <c r="AQ47" i="17"/>
  <c r="AP47" i="17"/>
  <c r="AO47" i="17"/>
  <c r="AN47" i="17"/>
  <c r="AM47" i="17"/>
  <c r="AL47" i="17"/>
  <c r="AK47" i="17"/>
  <c r="AJ47" i="17"/>
  <c r="AI47" i="17"/>
  <c r="AH47" i="17"/>
  <c r="AG47" i="17"/>
  <c r="AF47" i="17"/>
  <c r="AE47" i="17"/>
  <c r="AD47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CT44" i="17"/>
  <c r="CT43" i="17" s="1"/>
  <c r="CS44" i="17"/>
  <c r="CS43" i="17" s="1"/>
  <c r="CR44" i="17"/>
  <c r="CQ44" i="17"/>
  <c r="CQ43" i="17" s="1"/>
  <c r="CP44" i="17"/>
  <c r="CP43" i="17" s="1"/>
  <c r="CO44" i="17"/>
  <c r="CN44" i="17"/>
  <c r="CN43" i="17" s="1"/>
  <c r="CM44" i="17"/>
  <c r="CM43" i="17" s="1"/>
  <c r="CL44" i="17"/>
  <c r="CK44" i="17"/>
  <c r="CK43" i="17" s="1"/>
  <c r="CJ44" i="17"/>
  <c r="CI44" i="17"/>
  <c r="CH44" i="17"/>
  <c r="CH43" i="17" s="1"/>
  <c r="CG44" i="17"/>
  <c r="CG43" i="17" s="1"/>
  <c r="CF44" i="17"/>
  <c r="CE44" i="17"/>
  <c r="CE43" i="17" s="1"/>
  <c r="CD44" i="17"/>
  <c r="CD43" i="17" s="1"/>
  <c r="CC44" i="17"/>
  <c r="CB44" i="17"/>
  <c r="CA44" i="17"/>
  <c r="CA43" i="17" s="1"/>
  <c r="BZ44" i="17"/>
  <c r="BY44" i="17"/>
  <c r="BY43" i="17" s="1"/>
  <c r="BX44" i="17"/>
  <c r="BW44" i="17"/>
  <c r="BV44" i="17"/>
  <c r="BV43" i="17" s="1"/>
  <c r="BU44" i="17"/>
  <c r="BU43" i="17" s="1"/>
  <c r="BT44" i="17"/>
  <c r="BS44" i="17"/>
  <c r="BS43" i="17" s="1"/>
  <c r="BR44" i="17"/>
  <c r="BQ44" i="17"/>
  <c r="BP44" i="17"/>
  <c r="BP43" i="17" s="1"/>
  <c r="BO44" i="17"/>
  <c r="BO43" i="17" s="1"/>
  <c r="BN44" i="17"/>
  <c r="BM44" i="17"/>
  <c r="BM43" i="17" s="1"/>
  <c r="BL44" i="17"/>
  <c r="BK44" i="17"/>
  <c r="BJ44" i="17"/>
  <c r="BJ43" i="17" s="1"/>
  <c r="BI44" i="17"/>
  <c r="BI43" i="17" s="1"/>
  <c r="BH44" i="17"/>
  <c r="BH43" i="17" s="1"/>
  <c r="BG44" i="17"/>
  <c r="BG43" i="17" s="1"/>
  <c r="BF44" i="17"/>
  <c r="BF43" i="17" s="1"/>
  <c r="BE44" i="17"/>
  <c r="BE43" i="17" s="1"/>
  <c r="BD44" i="17"/>
  <c r="BD43" i="17" s="1"/>
  <c r="BC44" i="17"/>
  <c r="BC43" i="17" s="1"/>
  <c r="BB44" i="17"/>
  <c r="BB43" i="17" s="1"/>
  <c r="BA44" i="17"/>
  <c r="BA43" i="17" s="1"/>
  <c r="AZ44" i="17"/>
  <c r="AZ43" i="17" s="1"/>
  <c r="AY44" i="17"/>
  <c r="AY43" i="17" s="1"/>
  <c r="AX44" i="17"/>
  <c r="AX43" i="17" s="1"/>
  <c r="AW44" i="17"/>
  <c r="AW43" i="17" s="1"/>
  <c r="AV44" i="17"/>
  <c r="AV43" i="17" s="1"/>
  <c r="AU44" i="17"/>
  <c r="AU43" i="17" s="1"/>
  <c r="AT44" i="17"/>
  <c r="AT43" i="17" s="1"/>
  <c r="AS44" i="17"/>
  <c r="AS43" i="17" s="1"/>
  <c r="AR44" i="17"/>
  <c r="AR43" i="17" s="1"/>
  <c r="AQ44" i="17"/>
  <c r="AQ43" i="17" s="1"/>
  <c r="AP44" i="17"/>
  <c r="AP43" i="17" s="1"/>
  <c r="AO44" i="17"/>
  <c r="AO43" i="17" s="1"/>
  <c r="AN44" i="17"/>
  <c r="AN43" i="17" s="1"/>
  <c r="AM44" i="17"/>
  <c r="AM43" i="17" s="1"/>
  <c r="AL44" i="17"/>
  <c r="AL43" i="17" s="1"/>
  <c r="AK44" i="17"/>
  <c r="AK43" i="17" s="1"/>
  <c r="AJ44" i="17"/>
  <c r="AJ43" i="17" s="1"/>
  <c r="AI44" i="17"/>
  <c r="AI43" i="17" s="1"/>
  <c r="AH44" i="17"/>
  <c r="AH43" i="17" s="1"/>
  <c r="AG44" i="17"/>
  <c r="AG43" i="17" s="1"/>
  <c r="AF44" i="17"/>
  <c r="AF43" i="17" s="1"/>
  <c r="AE44" i="17"/>
  <c r="AE43" i="17" s="1"/>
  <c r="AD44" i="17"/>
  <c r="AD43" i="17" s="1"/>
  <c r="AD20" i="17" s="1"/>
  <c r="AC44" i="17"/>
  <c r="AC43" i="17" s="1"/>
  <c r="AB44" i="17"/>
  <c r="AB43" i="17" s="1"/>
  <c r="AA44" i="17"/>
  <c r="AA43" i="17" s="1"/>
  <c r="Z44" i="17"/>
  <c r="Z43" i="17" s="1"/>
  <c r="Y44" i="17"/>
  <c r="Y43" i="17" s="1"/>
  <c r="X44" i="17"/>
  <c r="X43" i="17" s="1"/>
  <c r="W44" i="17"/>
  <c r="W43" i="17" s="1"/>
  <c r="V44" i="17"/>
  <c r="V43" i="17" s="1"/>
  <c r="U44" i="17"/>
  <c r="U43" i="17" s="1"/>
  <c r="T44" i="17"/>
  <c r="T43" i="17" s="1"/>
  <c r="S44" i="17"/>
  <c r="S43" i="17" s="1"/>
  <c r="R44" i="17"/>
  <c r="R43" i="17" s="1"/>
  <c r="Q44" i="17"/>
  <c r="P44" i="17"/>
  <c r="P43" i="17" s="1"/>
  <c r="O44" i="17"/>
  <c r="O43" i="17" s="1"/>
  <c r="N44" i="17"/>
  <c r="N43" i="17" s="1"/>
  <c r="M44" i="17"/>
  <c r="L44" i="17"/>
  <c r="L43" i="17" s="1"/>
  <c r="K44" i="17"/>
  <c r="J44" i="17"/>
  <c r="J43" i="17" s="1"/>
  <c r="I44" i="17"/>
  <c r="H44" i="17"/>
  <c r="H43" i="17" s="1"/>
  <c r="G44" i="17"/>
  <c r="G43" i="17" s="1"/>
  <c r="F44" i="17"/>
  <c r="F43" i="17" s="1"/>
  <c r="E44" i="17"/>
  <c r="D44" i="17"/>
  <c r="D43" i="17" s="1"/>
  <c r="C44" i="17"/>
  <c r="C43" i="17" s="1"/>
  <c r="CT35" i="17"/>
  <c r="CT41" i="17" s="1"/>
  <c r="CS35" i="17"/>
  <c r="CS41" i="17" s="1"/>
  <c r="CR35" i="17"/>
  <c r="CQ35" i="17"/>
  <c r="CQ41" i="17" s="1"/>
  <c r="CP35" i="17"/>
  <c r="CP20" i="17" s="1"/>
  <c r="CO35" i="17"/>
  <c r="CN35" i="17"/>
  <c r="CN41" i="17" s="1"/>
  <c r="CM35" i="17"/>
  <c r="CM41" i="17" s="1"/>
  <c r="CL35" i="17"/>
  <c r="CK35" i="17"/>
  <c r="CK41" i="17" s="1"/>
  <c r="CJ35" i="17"/>
  <c r="CJ41" i="17" s="1"/>
  <c r="CI35" i="17"/>
  <c r="CH35" i="17"/>
  <c r="CH41" i="17" s="1"/>
  <c r="CG35" i="17"/>
  <c r="CG41" i="17" s="1"/>
  <c r="CF35" i="17"/>
  <c r="CE35" i="17"/>
  <c r="CE20" i="17" s="1"/>
  <c r="CD35" i="17"/>
  <c r="CD41" i="17" s="1"/>
  <c r="CC35" i="17"/>
  <c r="CB35" i="17"/>
  <c r="CB41" i="17" s="1"/>
  <c r="CA35" i="17"/>
  <c r="CA41" i="17" s="1"/>
  <c r="BZ35" i="17"/>
  <c r="BY35" i="17"/>
  <c r="BY41" i="17" s="1"/>
  <c r="BX35" i="17"/>
  <c r="BX41" i="17" s="1"/>
  <c r="BW35" i="17"/>
  <c r="BV35" i="17"/>
  <c r="BV41" i="17" s="1"/>
  <c r="BU35" i="17"/>
  <c r="BU41" i="17" s="1"/>
  <c r="BT35" i="17"/>
  <c r="BS35" i="17"/>
  <c r="BS41" i="17" s="1"/>
  <c r="BR35" i="17"/>
  <c r="BR41" i="17" s="1"/>
  <c r="BQ35" i="17"/>
  <c r="BP35" i="17"/>
  <c r="BP41" i="17" s="1"/>
  <c r="BO35" i="17"/>
  <c r="BO41" i="17" s="1"/>
  <c r="BN35" i="17"/>
  <c r="BM35" i="17"/>
  <c r="BM41" i="17" s="1"/>
  <c r="BL35" i="17"/>
  <c r="BL41" i="17" s="1"/>
  <c r="BK35" i="17"/>
  <c r="BJ35" i="17"/>
  <c r="BJ41" i="17" s="1"/>
  <c r="BI35" i="17"/>
  <c r="BI41" i="17" s="1"/>
  <c r="BH35" i="17"/>
  <c r="BH41" i="17" s="1"/>
  <c r="BG35" i="17"/>
  <c r="BG41" i="17" s="1"/>
  <c r="BF35" i="17"/>
  <c r="BF41" i="17" s="1"/>
  <c r="BE35" i="17"/>
  <c r="BE41" i="17" s="1"/>
  <c r="BD35" i="17"/>
  <c r="BD41" i="17" s="1"/>
  <c r="BC35" i="17"/>
  <c r="BC41" i="17" s="1"/>
  <c r="BB35" i="17"/>
  <c r="BB41" i="17" s="1"/>
  <c r="BA35" i="17"/>
  <c r="BA41" i="17" s="1"/>
  <c r="AZ35" i="17"/>
  <c r="AZ41" i="17" s="1"/>
  <c r="AY35" i="17"/>
  <c r="AY41" i="17" s="1"/>
  <c r="AX35" i="17"/>
  <c r="AX41" i="17" s="1"/>
  <c r="AW35" i="17"/>
  <c r="AW41" i="17" s="1"/>
  <c r="AV35" i="17"/>
  <c r="AV20" i="17" s="1"/>
  <c r="AU35" i="17"/>
  <c r="AU41" i="17" s="1"/>
  <c r="AT35" i="17"/>
  <c r="AT41" i="17" s="1"/>
  <c r="AS35" i="17"/>
  <c r="AS41" i="17" s="1"/>
  <c r="AR35" i="17"/>
  <c r="AR41" i="17" s="1"/>
  <c r="AQ35" i="17"/>
  <c r="AQ41" i="17" s="1"/>
  <c r="AP35" i="17"/>
  <c r="AP41" i="17" s="1"/>
  <c r="AO35" i="17"/>
  <c r="AO41" i="17" s="1"/>
  <c r="AN35" i="17"/>
  <c r="AN41" i="17" s="1"/>
  <c r="AM35" i="17"/>
  <c r="AM41" i="17" s="1"/>
  <c r="AL35" i="17"/>
  <c r="AL20" i="17" s="1"/>
  <c r="AK35" i="17"/>
  <c r="AK41" i="17" s="1"/>
  <c r="AJ35" i="17"/>
  <c r="AJ20" i="17" s="1"/>
  <c r="AI35" i="17"/>
  <c r="AI20" i="17" s="1"/>
  <c r="AH35" i="17"/>
  <c r="AH20" i="17" s="1"/>
  <c r="AG35" i="17"/>
  <c r="AG41" i="17" s="1"/>
  <c r="AF35" i="17"/>
  <c r="AF41" i="17" s="1"/>
  <c r="AE35" i="17"/>
  <c r="AE20" i="17" s="1"/>
  <c r="AD35" i="17"/>
  <c r="AD41" i="17" s="1"/>
  <c r="AC35" i="17"/>
  <c r="AC20" i="17" s="1"/>
  <c r="AB35" i="17"/>
  <c r="AB41" i="17" s="1"/>
  <c r="AA35" i="17"/>
  <c r="AA41" i="17" s="1"/>
  <c r="Z35" i="17"/>
  <c r="Z41" i="17" s="1"/>
  <c r="Y35" i="17"/>
  <c r="Y41" i="17" s="1"/>
  <c r="X35" i="17"/>
  <c r="X41" i="17" s="1"/>
  <c r="W35" i="17"/>
  <c r="W41" i="17" s="1"/>
  <c r="V35" i="17"/>
  <c r="V41" i="17" s="1"/>
  <c r="U35" i="17"/>
  <c r="U20" i="17" s="1"/>
  <c r="T35" i="17"/>
  <c r="T20" i="17" s="1"/>
  <c r="S35" i="17"/>
  <c r="S41" i="17" s="1"/>
  <c r="R35" i="17"/>
  <c r="R41" i="17" s="1"/>
  <c r="Q35" i="17"/>
  <c r="Q41" i="17" s="1"/>
  <c r="P35" i="17"/>
  <c r="P41" i="17" s="1"/>
  <c r="O35" i="17"/>
  <c r="O41" i="17" s="1"/>
  <c r="N35" i="17"/>
  <c r="N41" i="17" s="1"/>
  <c r="M35" i="17"/>
  <c r="M41" i="17" s="1"/>
  <c r="L35" i="17"/>
  <c r="L41" i="17" s="1"/>
  <c r="K35" i="17"/>
  <c r="K41" i="17" s="1"/>
  <c r="J35" i="17"/>
  <c r="J41" i="17" s="1"/>
  <c r="I35" i="17"/>
  <c r="I41" i="17" s="1"/>
  <c r="H35" i="17"/>
  <c r="H41" i="17" s="1"/>
  <c r="G35" i="17"/>
  <c r="G41" i="17" s="1"/>
  <c r="F35" i="17"/>
  <c r="F41" i="17" s="1"/>
  <c r="E35" i="17"/>
  <c r="E41" i="17" s="1"/>
  <c r="D35" i="17"/>
  <c r="D41" i="17" s="1"/>
  <c r="C35" i="17"/>
  <c r="C41" i="17" s="1"/>
  <c r="CT28" i="17"/>
  <c r="CS28" i="17"/>
  <c r="CR28" i="17"/>
  <c r="CQ28" i="17"/>
  <c r="CP28" i="17"/>
  <c r="CO28" i="17"/>
  <c r="CN28" i="17"/>
  <c r="CM28" i="17"/>
  <c r="CL28" i="17"/>
  <c r="CK28" i="17"/>
  <c r="CJ28" i="17"/>
  <c r="CI28" i="17"/>
  <c r="CH28" i="17"/>
  <c r="CG28" i="17"/>
  <c r="CF28" i="17"/>
  <c r="CE28" i="17"/>
  <c r="CD28" i="17"/>
  <c r="CC28" i="17"/>
  <c r="CB28" i="17"/>
  <c r="CA28" i="17"/>
  <c r="BZ28" i="17"/>
  <c r="BY28" i="17"/>
  <c r="BX28" i="17"/>
  <c r="BW28" i="17"/>
  <c r="BV28" i="17"/>
  <c r="BV33" i="17" s="1"/>
  <c r="BU28" i="17"/>
  <c r="BT28" i="17"/>
  <c r="BS28" i="17"/>
  <c r="BR28" i="17"/>
  <c r="BQ28" i="17"/>
  <c r="BP28" i="17"/>
  <c r="BO28" i="17"/>
  <c r="BN28" i="17"/>
  <c r="BM28" i="17"/>
  <c r="BL28" i="17"/>
  <c r="BK28" i="17"/>
  <c r="BJ28" i="17"/>
  <c r="BI28" i="17"/>
  <c r="BH28" i="17"/>
  <c r="BG28" i="17"/>
  <c r="BF28" i="17"/>
  <c r="BE28" i="17"/>
  <c r="BD28" i="17"/>
  <c r="BC28" i="17"/>
  <c r="BB28" i="17"/>
  <c r="BA28" i="17"/>
  <c r="AZ28" i="17"/>
  <c r="AY28" i="17"/>
  <c r="AX28" i="17"/>
  <c r="AW28" i="17"/>
  <c r="AW33" i="17" s="1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S33" i="17" s="1"/>
  <c r="R28" i="17"/>
  <c r="Q28" i="17"/>
  <c r="P28" i="17"/>
  <c r="O28" i="17"/>
  <c r="N28" i="17"/>
  <c r="M28" i="17"/>
  <c r="L28" i="17"/>
  <c r="K28" i="17"/>
  <c r="J28" i="17"/>
  <c r="I28" i="17"/>
  <c r="H28" i="17"/>
  <c r="H33" i="17" s="1"/>
  <c r="G28" i="17"/>
  <c r="G33" i="17" s="1"/>
  <c r="F28" i="17"/>
  <c r="E28" i="17"/>
  <c r="D28" i="17"/>
  <c r="C28" i="17"/>
  <c r="CT21" i="17"/>
  <c r="CT20" i="17" s="1"/>
  <c r="CS21" i="17"/>
  <c r="CS20" i="17" s="1"/>
  <c r="CR21" i="17"/>
  <c r="CQ21" i="17"/>
  <c r="CQ26" i="17" s="1"/>
  <c r="CP21" i="17"/>
  <c r="CO21" i="17"/>
  <c r="CN21" i="17"/>
  <c r="CM21" i="17"/>
  <c r="CL21" i="17"/>
  <c r="CL20" i="17" s="1"/>
  <c r="CK21" i="17"/>
  <c r="CK26" i="17" s="1"/>
  <c r="CJ21" i="17"/>
  <c r="CJ26" i="17" s="1"/>
  <c r="CI21" i="17"/>
  <c r="CI20" i="17" s="1"/>
  <c r="CH21" i="17"/>
  <c r="CG21" i="17"/>
  <c r="CG20" i="17" s="1"/>
  <c r="CF21" i="17"/>
  <c r="CE21" i="17"/>
  <c r="CD21" i="17"/>
  <c r="CC21" i="17"/>
  <c r="CB21" i="17"/>
  <c r="CB26" i="17" s="1"/>
  <c r="CA21" i="17"/>
  <c r="CA26" i="17" s="1"/>
  <c r="BZ21" i="17"/>
  <c r="BY21" i="17"/>
  <c r="BX21" i="17"/>
  <c r="BX20" i="17" s="1"/>
  <c r="BW21" i="17"/>
  <c r="BV21" i="17"/>
  <c r="BV20" i="17" s="1"/>
  <c r="BU21" i="17"/>
  <c r="BU26" i="17" s="1"/>
  <c r="BT21" i="17"/>
  <c r="BS21" i="17"/>
  <c r="BS20" i="17" s="1"/>
  <c r="BR21" i="17"/>
  <c r="BR20" i="17" s="1"/>
  <c r="BQ21" i="17"/>
  <c r="BQ20" i="17" s="1"/>
  <c r="BP21" i="17"/>
  <c r="BO21" i="17"/>
  <c r="BO20" i="17" s="1"/>
  <c r="BN21" i="17"/>
  <c r="BM21" i="17"/>
  <c r="BM26" i="17" s="1"/>
  <c r="BL21" i="17"/>
  <c r="BL26" i="17" s="1"/>
  <c r="BK21" i="17"/>
  <c r="BJ21" i="17"/>
  <c r="BJ20" i="17" s="1"/>
  <c r="BI21" i="17"/>
  <c r="BH21" i="17"/>
  <c r="BG21" i="17"/>
  <c r="BF21" i="17"/>
  <c r="BE21" i="17"/>
  <c r="BE26" i="17" s="1"/>
  <c r="BD21" i="17"/>
  <c r="BD26" i="17" s="1"/>
  <c r="BC21" i="17"/>
  <c r="BC20" i="17" s="1"/>
  <c r="BB21" i="17"/>
  <c r="BA21" i="17"/>
  <c r="AZ21" i="17"/>
  <c r="AY21" i="17"/>
  <c r="AX21" i="17"/>
  <c r="AW21" i="17"/>
  <c r="AW20" i="17" s="1"/>
  <c r="AV21" i="17"/>
  <c r="AV26" i="17" s="1"/>
  <c r="AU21" i="17"/>
  <c r="AU26" i="17" s="1"/>
  <c r="AT21" i="17"/>
  <c r="AS21" i="17"/>
  <c r="AS20" i="17" s="1"/>
  <c r="AR21" i="17"/>
  <c r="AR20" i="17" s="1"/>
  <c r="AQ21" i="17"/>
  <c r="AQ20" i="17" s="1"/>
  <c r="AP21" i="17"/>
  <c r="AO21" i="17"/>
  <c r="AO20" i="17" s="1"/>
  <c r="AN21" i="17"/>
  <c r="AN20" i="17" s="1"/>
  <c r="AM21" i="17"/>
  <c r="AM20" i="17" s="1"/>
  <c r="AL21" i="17"/>
  <c r="AK21" i="17"/>
  <c r="AK20" i="17" s="1"/>
  <c r="AJ21" i="17"/>
  <c r="AI21" i="17"/>
  <c r="AH21" i="17"/>
  <c r="AG21" i="17"/>
  <c r="AG20" i="17" s="1"/>
  <c r="AF21" i="17"/>
  <c r="AF26" i="17" s="1"/>
  <c r="AE21" i="17"/>
  <c r="AE26" i="17" s="1"/>
  <c r="AD21" i="17"/>
  <c r="AC21" i="17"/>
  <c r="AB21" i="17"/>
  <c r="AB20" i="17" s="1"/>
  <c r="AA21" i="17"/>
  <c r="Z21" i="17"/>
  <c r="Z20" i="17" s="1"/>
  <c r="Y21" i="17"/>
  <c r="Y26" i="17" s="1"/>
  <c r="X21" i="17"/>
  <c r="X26" i="17" s="1"/>
  <c r="W21" i="17"/>
  <c r="W20" i="17" s="1"/>
  <c r="V21" i="17"/>
  <c r="U21" i="17"/>
  <c r="T21" i="17"/>
  <c r="S21" i="17"/>
  <c r="S20" i="17" s="1"/>
  <c r="R21" i="17"/>
  <c r="Q21" i="17"/>
  <c r="P21" i="17"/>
  <c r="P20" i="17" s="1"/>
  <c r="O21" i="17"/>
  <c r="O20" i="17" s="1"/>
  <c r="N21" i="17"/>
  <c r="N20" i="17" s="1"/>
  <c r="M21" i="17"/>
  <c r="L21" i="17"/>
  <c r="L20" i="17" s="1"/>
  <c r="K21" i="17"/>
  <c r="J21" i="17"/>
  <c r="J20" i="17" s="1"/>
  <c r="I21" i="17"/>
  <c r="H21" i="17"/>
  <c r="H20" i="17" s="1"/>
  <c r="G21" i="17"/>
  <c r="G20" i="17" s="1"/>
  <c r="F21" i="17"/>
  <c r="F20" i="17" s="1"/>
  <c r="E21" i="17"/>
  <c r="E26" i="17" s="1"/>
  <c r="D21" i="17"/>
  <c r="D20" i="17" s="1"/>
  <c r="C21" i="17"/>
  <c r="C20" i="17" s="1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AJ3" i="17"/>
  <c r="AK3" i="17"/>
  <c r="AL3" i="17"/>
  <c r="AM3" i="17"/>
  <c r="AN3" i="17"/>
  <c r="AO3" i="17"/>
  <c r="AP3" i="17"/>
  <c r="AQ3" i="17"/>
  <c r="AR3" i="17"/>
  <c r="AS3" i="17"/>
  <c r="AT3" i="17"/>
  <c r="AU3" i="17"/>
  <c r="AV3" i="17"/>
  <c r="AW3" i="17"/>
  <c r="AX3" i="17"/>
  <c r="AY3" i="17"/>
  <c r="AZ3" i="17"/>
  <c r="BA3" i="17"/>
  <c r="BB3" i="17"/>
  <c r="BC3" i="17"/>
  <c r="BD3" i="17"/>
  <c r="BE3" i="17"/>
  <c r="BF3" i="17"/>
  <c r="BG3" i="17"/>
  <c r="BH3" i="17"/>
  <c r="BI3" i="17"/>
  <c r="BJ3" i="17"/>
  <c r="BK3" i="17"/>
  <c r="BL3" i="17"/>
  <c r="BM3" i="17"/>
  <c r="BN3" i="17"/>
  <c r="BO3" i="17"/>
  <c r="BP3" i="17"/>
  <c r="BQ3" i="17"/>
  <c r="BR3" i="17"/>
  <c r="BS3" i="17"/>
  <c r="BT3" i="17"/>
  <c r="BU3" i="17"/>
  <c r="BV3" i="17"/>
  <c r="BW3" i="17"/>
  <c r="BX3" i="17"/>
  <c r="BY3" i="17"/>
  <c r="BZ3" i="17"/>
  <c r="CA3" i="17"/>
  <c r="CB3" i="17"/>
  <c r="CC3" i="17"/>
  <c r="CD3" i="17"/>
  <c r="CE3" i="17"/>
  <c r="CF3" i="17"/>
  <c r="CG3" i="17"/>
  <c r="CH3" i="17"/>
  <c r="CI3" i="17"/>
  <c r="CJ3" i="17"/>
  <c r="CK3" i="17"/>
  <c r="CL3" i="17"/>
  <c r="CM3" i="17"/>
  <c r="CN3" i="17"/>
  <c r="CO3" i="17"/>
  <c r="CP3" i="17"/>
  <c r="CQ3" i="17"/>
  <c r="CR3" i="17"/>
  <c r="CS3" i="17"/>
  <c r="CT3" i="17"/>
  <c r="C3" i="17"/>
  <c r="S2" i="17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AG2" i="17" s="1"/>
  <c r="AH2" i="17" s="1"/>
  <c r="AI2" i="17" s="1"/>
  <c r="AJ2" i="17" s="1"/>
  <c r="AK2" i="17" s="1"/>
  <c r="AL2" i="17" s="1"/>
  <c r="AM2" i="17" s="1"/>
  <c r="AN2" i="17" s="1"/>
  <c r="AO2" i="17" s="1"/>
  <c r="AP2" i="17" s="1"/>
  <c r="AQ2" i="17" s="1"/>
  <c r="AR2" i="17" s="1"/>
  <c r="AS2" i="17" s="1"/>
  <c r="AT2" i="17" s="1"/>
  <c r="AU2" i="17" s="1"/>
  <c r="AV2" i="17" s="1"/>
  <c r="AW2" i="17" s="1"/>
  <c r="AX2" i="17" s="1"/>
  <c r="AY2" i="17" s="1"/>
  <c r="AZ2" i="17" s="1"/>
  <c r="BA2" i="17" s="1"/>
  <c r="BB2" i="17" s="1"/>
  <c r="BC2" i="17" s="1"/>
  <c r="BD2" i="17" s="1"/>
  <c r="BE2" i="17" s="1"/>
  <c r="BF2" i="17" s="1"/>
  <c r="BG2" i="17" s="1"/>
  <c r="BH2" i="17" s="1"/>
  <c r="BI2" i="17" s="1"/>
  <c r="BJ2" i="17" s="1"/>
  <c r="BK2" i="17" s="1"/>
  <c r="BL2" i="17" s="1"/>
  <c r="BM2" i="17" s="1"/>
  <c r="BN2" i="17" s="1"/>
  <c r="BO2" i="17" s="1"/>
  <c r="BP2" i="17" s="1"/>
  <c r="BQ2" i="17" s="1"/>
  <c r="BR2" i="17" s="1"/>
  <c r="BS2" i="17" s="1"/>
  <c r="BT2" i="17" s="1"/>
  <c r="BU2" i="17" s="1"/>
  <c r="BV2" i="17" s="1"/>
  <c r="BW2" i="17" s="1"/>
  <c r="BX2" i="17" s="1"/>
  <c r="BY2" i="17" s="1"/>
  <c r="BZ2" i="17" s="1"/>
  <c r="CA2" i="17" s="1"/>
  <c r="CB2" i="17" s="1"/>
  <c r="CC2" i="17" s="1"/>
  <c r="CD2" i="17" s="1"/>
  <c r="CE2" i="17" s="1"/>
  <c r="CF2" i="17" s="1"/>
  <c r="CG2" i="17" s="1"/>
  <c r="CH2" i="17" s="1"/>
  <c r="CI2" i="17" s="1"/>
  <c r="CJ2" i="17" s="1"/>
  <c r="CK2" i="17" s="1"/>
  <c r="CL2" i="17" s="1"/>
  <c r="CM2" i="17" s="1"/>
  <c r="CN2" i="17" s="1"/>
  <c r="CO2" i="17" s="1"/>
  <c r="CP2" i="17" s="1"/>
  <c r="CQ2" i="17" s="1"/>
  <c r="CR2" i="17" s="1"/>
  <c r="CS2" i="17" s="1"/>
  <c r="CT2" i="17" s="1"/>
  <c r="EA438" i="2" l="1"/>
  <c r="EA384" i="2"/>
  <c r="EB385" i="2"/>
  <c r="EA437" i="2"/>
  <c r="EB437" i="2" s="1"/>
  <c r="EB336" i="2"/>
  <c r="EA335" i="2"/>
  <c r="EA159" i="2"/>
  <c r="EB147" i="2"/>
  <c r="CZ128" i="11"/>
  <c r="DD128" i="11"/>
  <c r="DH128" i="11"/>
  <c r="DA128" i="11"/>
  <c r="DE128" i="11"/>
  <c r="DI128" i="11"/>
  <c r="DB128" i="11"/>
  <c r="DF128" i="11"/>
  <c r="DJ128" i="11"/>
  <c r="CY128" i="11"/>
  <c r="DC128" i="11"/>
  <c r="DG128" i="11"/>
  <c r="BD33" i="17"/>
  <c r="BD20" i="17"/>
  <c r="BP33" i="17"/>
  <c r="BP20" i="17"/>
  <c r="CW28" i="17"/>
  <c r="CB33" i="17"/>
  <c r="CB20" i="17"/>
  <c r="CN33" i="17"/>
  <c r="CN20" i="17"/>
  <c r="DE28" i="17"/>
  <c r="I20" i="17"/>
  <c r="BE20" i="17"/>
  <c r="BE33" i="17"/>
  <c r="BH20" i="17"/>
  <c r="BH33" i="17"/>
  <c r="M43" i="17"/>
  <c r="AX20" i="17"/>
  <c r="AX33" i="17"/>
  <c r="CT33" i="17"/>
  <c r="DG28" i="17"/>
  <c r="AT20" i="17"/>
  <c r="AT33" i="17"/>
  <c r="BF20" i="17"/>
  <c r="BF33" i="17"/>
  <c r="BG20" i="17"/>
  <c r="BG33" i="17"/>
  <c r="CG33" i="17"/>
  <c r="DC33" i="17" s="1"/>
  <c r="DC28" i="17"/>
  <c r="CX28" i="17"/>
  <c r="BQ33" i="17"/>
  <c r="CC20" i="17"/>
  <c r="CC33" i="17"/>
  <c r="DB28" i="17"/>
  <c r="CQ20" i="17"/>
  <c r="DF28" i="17"/>
  <c r="CQ33" i="17"/>
  <c r="M20" i="17"/>
  <c r="CK33" i="17"/>
  <c r="DD33" i="17" s="1"/>
  <c r="CK20" i="17"/>
  <c r="DD28" i="17"/>
  <c r="BB33" i="17"/>
  <c r="BB20" i="17"/>
  <c r="Y33" i="17"/>
  <c r="Y20" i="17"/>
  <c r="BU33" i="17"/>
  <c r="CY33" i="17" s="1"/>
  <c r="BU20" i="17"/>
  <c r="CY28" i="17"/>
  <c r="CA33" i="17"/>
  <c r="CA20" i="17"/>
  <c r="DA28" i="17"/>
  <c r="DJ28" i="17" s="1"/>
  <c r="I43" i="17"/>
  <c r="DG33" i="17"/>
  <c r="CW33" i="17"/>
  <c r="DE33" i="17"/>
  <c r="DA33" i="17"/>
  <c r="Q43" i="17"/>
  <c r="Q20" i="17" s="1"/>
  <c r="CN57" i="17"/>
  <c r="AG26" i="17"/>
  <c r="CP41" i="17"/>
  <c r="V52" i="17"/>
  <c r="CD57" i="17"/>
  <c r="BS26" i="17"/>
  <c r="AI41" i="17"/>
  <c r="CE41" i="17"/>
  <c r="AJ41" i="17"/>
  <c r="X52" i="17"/>
  <c r="AW26" i="17"/>
  <c r="CS26" i="17"/>
  <c r="AL41" i="17"/>
  <c r="AM26" i="17"/>
  <c r="P26" i="17"/>
  <c r="AN26" i="17"/>
  <c r="BL52" i="17"/>
  <c r="T41" i="17"/>
  <c r="BY52" i="17"/>
  <c r="U41" i="17"/>
  <c r="H26" i="17"/>
  <c r="CB52" i="17"/>
  <c r="I26" i="17"/>
  <c r="BQ26" i="17"/>
  <c r="AH41" i="17"/>
  <c r="W26" i="17"/>
  <c r="AV41" i="17"/>
  <c r="O26" i="17"/>
  <c r="Q26" i="17"/>
  <c r="AO26" i="17"/>
  <c r="AC41" i="17"/>
  <c r="G26" i="17"/>
  <c r="BC26" i="17"/>
  <c r="AE41" i="17"/>
  <c r="CA52" i="17"/>
  <c r="DU101" i="15"/>
  <c r="EZ101" i="15" s="1"/>
  <c r="EZ76" i="18"/>
  <c r="DW433" i="2"/>
  <c r="EZ39" i="18"/>
  <c r="EZ8" i="18"/>
  <c r="EZ51" i="18"/>
  <c r="FI76" i="18"/>
  <c r="G17" i="24"/>
  <c r="E43" i="17"/>
  <c r="BR43" i="17"/>
  <c r="BX43" i="17"/>
  <c r="K43" i="17"/>
  <c r="K20" i="17" s="1"/>
  <c r="CB43" i="17"/>
  <c r="DU748" i="2"/>
  <c r="DV68" i="18" s="1"/>
  <c r="DV51" i="18"/>
  <c r="DU59" i="18"/>
  <c r="DU106" i="18"/>
  <c r="DU115" i="18"/>
  <c r="DU141" i="18" s="1"/>
  <c r="DU171" i="18" s="1"/>
  <c r="EZ171" i="18" s="1"/>
  <c r="DU76" i="18"/>
  <c r="CW47" i="17"/>
  <c r="DA47" i="17"/>
  <c r="DE47" i="17"/>
  <c r="DU725" i="2"/>
  <c r="DV107" i="15" s="1"/>
  <c r="DU724" i="2"/>
  <c r="DV106" i="15" s="1"/>
  <c r="DT719" i="2"/>
  <c r="DU720" i="2"/>
  <c r="DV102" i="15" s="1"/>
  <c r="DU723" i="2"/>
  <c r="DV105" i="15" s="1"/>
  <c r="DU721" i="2"/>
  <c r="DV103" i="15" s="1"/>
  <c r="DU722" i="2"/>
  <c r="DV104" i="15" s="1"/>
  <c r="CJ43" i="17"/>
  <c r="CZ3" i="17"/>
  <c r="CV3" i="17"/>
  <c r="DD3" i="17"/>
  <c r="BL43" i="17"/>
  <c r="CX47" i="17"/>
  <c r="DB47" i="17"/>
  <c r="DF47" i="17"/>
  <c r="CV47" i="17"/>
  <c r="CZ47" i="17"/>
  <c r="DD47" i="17"/>
  <c r="CZ33" i="17"/>
  <c r="CX21" i="17"/>
  <c r="CC26" i="17"/>
  <c r="DB21" i="17"/>
  <c r="DF21" i="17"/>
  <c r="BK26" i="17"/>
  <c r="CV26" i="17" s="1"/>
  <c r="CV21" i="17"/>
  <c r="CZ21" i="17"/>
  <c r="CI26" i="17"/>
  <c r="DD26" i="17" s="1"/>
  <c r="DD21" i="17"/>
  <c r="CV33" i="17"/>
  <c r="DC21" i="17"/>
  <c r="BT41" i="17"/>
  <c r="CY41" i="17" s="1"/>
  <c r="CY35" i="17"/>
  <c r="CF41" i="17"/>
  <c r="DC41" i="17" s="1"/>
  <c r="DC35" i="17"/>
  <c r="CR41" i="17"/>
  <c r="DG41" i="17" s="1"/>
  <c r="DG35" i="17"/>
  <c r="BK41" i="17"/>
  <c r="CV41" i="17" s="1"/>
  <c r="CV35" i="17"/>
  <c r="BW41" i="17"/>
  <c r="CZ41" i="17" s="1"/>
  <c r="CZ35" i="17"/>
  <c r="CI41" i="17"/>
  <c r="DD41" i="17" s="1"/>
  <c r="DD35" i="17"/>
  <c r="BK43" i="17"/>
  <c r="CV43" i="17" s="1"/>
  <c r="CV44" i="17"/>
  <c r="BW43" i="17"/>
  <c r="CZ43" i="17" s="1"/>
  <c r="CZ44" i="17"/>
  <c r="CI43" i="17"/>
  <c r="DD44" i="17"/>
  <c r="BK52" i="17"/>
  <c r="CV49" i="17"/>
  <c r="BW52" i="17"/>
  <c r="CZ49" i="17"/>
  <c r="CI52" i="17"/>
  <c r="DD52" i="17" s="1"/>
  <c r="DD49" i="17"/>
  <c r="BK57" i="17"/>
  <c r="CV57" i="17" s="1"/>
  <c r="CV54" i="17"/>
  <c r="BW57" i="17"/>
  <c r="CZ57" i="17" s="1"/>
  <c r="CZ54" i="17"/>
  <c r="CI57" i="17"/>
  <c r="DD57" i="17" s="1"/>
  <c r="DD54" i="17"/>
  <c r="DG3" i="17"/>
  <c r="DC3" i="17"/>
  <c r="CY3" i="17"/>
  <c r="CW21" i="17"/>
  <c r="DA21" i="17"/>
  <c r="DE21" i="17"/>
  <c r="BN41" i="17"/>
  <c r="CW41" i="17" s="1"/>
  <c r="CW35" i="17"/>
  <c r="BZ41" i="17"/>
  <c r="DA41" i="17" s="1"/>
  <c r="DA35" i="17"/>
  <c r="CL41" i="17"/>
  <c r="DE41" i="17" s="1"/>
  <c r="DE35" i="17"/>
  <c r="BN43" i="17"/>
  <c r="CW43" i="17" s="1"/>
  <c r="CW44" i="17"/>
  <c r="BZ43" i="17"/>
  <c r="DA43" i="17" s="1"/>
  <c r="DA44" i="17"/>
  <c r="CL43" i="17"/>
  <c r="DE43" i="17" s="1"/>
  <c r="DE44" i="17"/>
  <c r="BN52" i="17"/>
  <c r="CW52" i="17" s="1"/>
  <c r="CW49" i="17"/>
  <c r="BZ52" i="17"/>
  <c r="DA49" i="17"/>
  <c r="CL52" i="17"/>
  <c r="DE52" i="17" s="1"/>
  <c r="DE49" i="17"/>
  <c r="BN57" i="17"/>
  <c r="CW57" i="17" s="1"/>
  <c r="CW54" i="17"/>
  <c r="BZ57" i="17"/>
  <c r="DA57" i="17" s="1"/>
  <c r="DA54" i="17"/>
  <c r="CL57" i="17"/>
  <c r="DE54" i="17"/>
  <c r="DF3" i="17"/>
  <c r="DB3" i="17"/>
  <c r="CX3" i="17"/>
  <c r="CX33" i="17"/>
  <c r="DB33" i="17"/>
  <c r="DF33" i="17"/>
  <c r="BQ41" i="17"/>
  <c r="CX41" i="17" s="1"/>
  <c r="CX35" i="17"/>
  <c r="CC41" i="17"/>
  <c r="DB35" i="17"/>
  <c r="CO41" i="17"/>
  <c r="DF41" i="17" s="1"/>
  <c r="DF35" i="17"/>
  <c r="BQ43" i="17"/>
  <c r="CX43" i="17" s="1"/>
  <c r="CX44" i="17"/>
  <c r="CC43" i="17"/>
  <c r="DB43" i="17" s="1"/>
  <c r="DB44" i="17"/>
  <c r="CO43" i="17"/>
  <c r="DF43" i="17" s="1"/>
  <c r="DF44" i="17"/>
  <c r="BQ52" i="17"/>
  <c r="CX52" i="17" s="1"/>
  <c r="CX49" i="17"/>
  <c r="CC52" i="17"/>
  <c r="DB52" i="17" s="1"/>
  <c r="DB49" i="17"/>
  <c r="CO52" i="17"/>
  <c r="DF52" i="17" s="1"/>
  <c r="DF49" i="17"/>
  <c r="BQ57" i="17"/>
  <c r="CX57" i="17" s="1"/>
  <c r="CX54" i="17"/>
  <c r="CC57" i="17"/>
  <c r="DB54" i="17"/>
  <c r="CO57" i="17"/>
  <c r="DF57" i="17" s="1"/>
  <c r="DF54" i="17"/>
  <c r="DE3" i="17"/>
  <c r="DA3" i="17"/>
  <c r="CW3" i="17"/>
  <c r="BT26" i="17"/>
  <c r="CY21" i="17"/>
  <c r="CR26" i="17"/>
  <c r="DG21" i="17"/>
  <c r="BT43" i="17"/>
  <c r="CY43" i="17" s="1"/>
  <c r="CY44" i="17"/>
  <c r="CF43" i="17"/>
  <c r="DC43" i="17" s="1"/>
  <c r="DC44" i="17"/>
  <c r="CR43" i="17"/>
  <c r="DG43" i="17" s="1"/>
  <c r="DG44" i="17"/>
  <c r="CY47" i="17"/>
  <c r="DC47" i="17"/>
  <c r="DG47" i="17"/>
  <c r="BT52" i="17"/>
  <c r="CY52" i="17" s="1"/>
  <c r="CY49" i="17"/>
  <c r="CF52" i="17"/>
  <c r="DC52" i="17" s="1"/>
  <c r="DC49" i="17"/>
  <c r="CR52" i="17"/>
  <c r="DG52" i="17" s="1"/>
  <c r="DG49" i="17"/>
  <c r="BT57" i="17"/>
  <c r="CY57" i="17" s="1"/>
  <c r="CY54" i="17"/>
  <c r="CF57" i="17"/>
  <c r="DC57" i="17" s="1"/>
  <c r="DC54" i="17"/>
  <c r="CR57" i="17"/>
  <c r="DG57" i="17" s="1"/>
  <c r="DG54" i="17"/>
  <c r="U26" i="17"/>
  <c r="AL26" i="17"/>
  <c r="BZ26" i="17"/>
  <c r="DA26" i="17" s="1"/>
  <c r="J26" i="17"/>
  <c r="R26" i="17"/>
  <c r="Z26" i="17"/>
  <c r="AH26" i="17"/>
  <c r="AP26" i="17"/>
  <c r="AX26" i="17"/>
  <c r="BF26" i="17"/>
  <c r="BN26" i="17"/>
  <c r="BV26" i="17"/>
  <c r="CD26" i="17"/>
  <c r="CL26" i="17"/>
  <c r="CT26" i="17"/>
  <c r="C26" i="17"/>
  <c r="K26" i="17"/>
  <c r="S26" i="17"/>
  <c r="AA26" i="17"/>
  <c r="AI26" i="17"/>
  <c r="AQ26" i="17"/>
  <c r="AY26" i="17"/>
  <c r="BG26" i="17"/>
  <c r="BO26" i="17"/>
  <c r="BW26" i="17"/>
  <c r="CE26" i="17"/>
  <c r="CM26" i="17"/>
  <c r="D26" i="17"/>
  <c r="L26" i="17"/>
  <c r="T26" i="17"/>
  <c r="AB26" i="17"/>
  <c r="AJ26" i="17"/>
  <c r="AR26" i="17"/>
  <c r="AZ26" i="17"/>
  <c r="BH26" i="17"/>
  <c r="BP26" i="17"/>
  <c r="BX26" i="17"/>
  <c r="CF26" i="17"/>
  <c r="CN26" i="17"/>
  <c r="AC26" i="17"/>
  <c r="AS26" i="17"/>
  <c r="BA26" i="17"/>
  <c r="BI26" i="17"/>
  <c r="BY26" i="17"/>
  <c r="CG26" i="17"/>
  <c r="CO26" i="17"/>
  <c r="F26" i="17"/>
  <c r="N26" i="17"/>
  <c r="AD26" i="17"/>
  <c r="BR26" i="17"/>
  <c r="M26" i="17"/>
  <c r="BB26" i="17"/>
  <c r="AK26" i="17"/>
  <c r="AT26" i="17"/>
  <c r="CH26" i="17"/>
  <c r="V26" i="17"/>
  <c r="BJ26" i="17"/>
  <c r="CP26" i="17"/>
  <c r="C118" i="15"/>
  <c r="C117" i="15" s="1"/>
  <c r="C177" i="18" s="1"/>
  <c r="D118" i="15"/>
  <c r="D117" i="15" s="1"/>
  <c r="D177" i="18" s="1"/>
  <c r="E118" i="15"/>
  <c r="E117" i="15" s="1"/>
  <c r="E177" i="18" s="1"/>
  <c r="F118" i="15"/>
  <c r="F117" i="15" s="1"/>
  <c r="F177" i="18" s="1"/>
  <c r="G118" i="15"/>
  <c r="G117" i="15" s="1"/>
  <c r="G177" i="18" s="1"/>
  <c r="H118" i="15"/>
  <c r="H117" i="15" s="1"/>
  <c r="H177" i="18" s="1"/>
  <c r="I118" i="15"/>
  <c r="I117" i="15" s="1"/>
  <c r="I177" i="18" s="1"/>
  <c r="J118" i="15"/>
  <c r="J117" i="15" s="1"/>
  <c r="J177" i="18" s="1"/>
  <c r="K118" i="15"/>
  <c r="K117" i="15" s="1"/>
  <c r="K177" i="18" s="1"/>
  <c r="L118" i="15"/>
  <c r="M118" i="15"/>
  <c r="N118" i="15"/>
  <c r="O118" i="15"/>
  <c r="P118" i="15"/>
  <c r="Q118" i="15"/>
  <c r="R118" i="15"/>
  <c r="S118" i="15"/>
  <c r="T118" i="15"/>
  <c r="U118" i="15"/>
  <c r="V118" i="15"/>
  <c r="W118" i="15"/>
  <c r="X118" i="15"/>
  <c r="Y118" i="15"/>
  <c r="Z118" i="15"/>
  <c r="AA118" i="15"/>
  <c r="AB118" i="15"/>
  <c r="AC118" i="15"/>
  <c r="AD118" i="15"/>
  <c r="AE118" i="15"/>
  <c r="AF118" i="15"/>
  <c r="AG118" i="15"/>
  <c r="AH118" i="15"/>
  <c r="AI118" i="15"/>
  <c r="AJ118" i="15"/>
  <c r="AK118" i="15"/>
  <c r="AL118" i="15"/>
  <c r="AM118" i="15"/>
  <c r="AN118" i="15"/>
  <c r="AO118" i="15"/>
  <c r="AP118" i="15"/>
  <c r="AQ118" i="15"/>
  <c r="AR118" i="15"/>
  <c r="AS118" i="15"/>
  <c r="AT118" i="15"/>
  <c r="AU118" i="15"/>
  <c r="AV118" i="15"/>
  <c r="AW118" i="15"/>
  <c r="AX118" i="15"/>
  <c r="AY118" i="15"/>
  <c r="AZ118" i="15"/>
  <c r="BA118" i="15"/>
  <c r="BB118" i="15"/>
  <c r="BC118" i="15"/>
  <c r="BD118" i="15"/>
  <c r="BE118" i="15"/>
  <c r="BF118" i="15"/>
  <c r="BG118" i="15"/>
  <c r="BH118" i="15"/>
  <c r="BI118" i="15"/>
  <c r="BJ118" i="15"/>
  <c r="BK118" i="15"/>
  <c r="BL118" i="15"/>
  <c r="BM118" i="15"/>
  <c r="BN118" i="15"/>
  <c r="BO118" i="15"/>
  <c r="BP118" i="15"/>
  <c r="BQ118" i="15"/>
  <c r="BR118" i="15"/>
  <c r="BS118" i="15"/>
  <c r="BT118" i="15"/>
  <c r="BU118" i="15"/>
  <c r="BV118" i="15"/>
  <c r="BW118" i="15"/>
  <c r="BX118" i="15"/>
  <c r="BY118" i="15"/>
  <c r="BZ118" i="15"/>
  <c r="CA118" i="15"/>
  <c r="CB118" i="15"/>
  <c r="CC118" i="15"/>
  <c r="CD118" i="15"/>
  <c r="CE118" i="15"/>
  <c r="CF118" i="15"/>
  <c r="CG118" i="15"/>
  <c r="CH118" i="15"/>
  <c r="CI118" i="15"/>
  <c r="CJ118" i="15"/>
  <c r="CK118" i="15"/>
  <c r="CL118" i="15"/>
  <c r="CM118" i="15"/>
  <c r="CN118" i="15"/>
  <c r="CO118" i="15"/>
  <c r="CP118" i="15"/>
  <c r="CQ118" i="15"/>
  <c r="CR118" i="15"/>
  <c r="CS118" i="15"/>
  <c r="CT118" i="15"/>
  <c r="CU118" i="15"/>
  <c r="CV118" i="15"/>
  <c r="CW118" i="15"/>
  <c r="CX118" i="15"/>
  <c r="CY118" i="15"/>
  <c r="CZ118" i="15"/>
  <c r="DA118" i="15"/>
  <c r="DB118" i="15"/>
  <c r="DC118" i="15"/>
  <c r="DD118" i="15"/>
  <c r="DE118" i="15"/>
  <c r="DF118" i="15"/>
  <c r="DG118" i="15"/>
  <c r="DH118" i="15"/>
  <c r="DI118" i="15"/>
  <c r="DJ118" i="15"/>
  <c r="DK118" i="15"/>
  <c r="DL118" i="15"/>
  <c r="DM118" i="15"/>
  <c r="DN118" i="15"/>
  <c r="DO118" i="15"/>
  <c r="DP118" i="15"/>
  <c r="DQ118" i="15"/>
  <c r="DR118" i="15"/>
  <c r="C124" i="15"/>
  <c r="C123" i="15" s="1"/>
  <c r="D124" i="15"/>
  <c r="D123" i="15" s="1"/>
  <c r="E124" i="15"/>
  <c r="E123" i="15" s="1"/>
  <c r="F124" i="15"/>
  <c r="F123" i="15" s="1"/>
  <c r="G124" i="15"/>
  <c r="G123" i="15" s="1"/>
  <c r="H124" i="15"/>
  <c r="H123" i="15" s="1"/>
  <c r="I124" i="15"/>
  <c r="I123" i="15" s="1"/>
  <c r="J124" i="15"/>
  <c r="J123" i="15" s="1"/>
  <c r="K124" i="15"/>
  <c r="K123" i="15" s="1"/>
  <c r="L124" i="15"/>
  <c r="M124" i="15"/>
  <c r="N124" i="15"/>
  <c r="O124" i="15"/>
  <c r="P124" i="15"/>
  <c r="Q124" i="15"/>
  <c r="R124" i="15"/>
  <c r="S124" i="15"/>
  <c r="T124" i="15"/>
  <c r="U124" i="15"/>
  <c r="V124" i="15"/>
  <c r="W124" i="15"/>
  <c r="X124" i="15"/>
  <c r="Y124" i="15"/>
  <c r="Z124" i="15"/>
  <c r="AA124" i="15"/>
  <c r="AB124" i="15"/>
  <c r="AC124" i="15"/>
  <c r="AD124" i="15"/>
  <c r="AE124" i="15"/>
  <c r="AF124" i="15"/>
  <c r="AG124" i="15"/>
  <c r="AH124" i="15"/>
  <c r="AI124" i="15"/>
  <c r="AJ124" i="15"/>
  <c r="AK124" i="15"/>
  <c r="AL124" i="15"/>
  <c r="AM124" i="15"/>
  <c r="AN124" i="15"/>
  <c r="AO124" i="15"/>
  <c r="AP124" i="15"/>
  <c r="AQ124" i="15"/>
  <c r="AR124" i="15"/>
  <c r="AS124" i="15"/>
  <c r="AT124" i="15"/>
  <c r="AU124" i="15"/>
  <c r="AV124" i="15"/>
  <c r="AW124" i="15"/>
  <c r="AX124" i="15"/>
  <c r="AY124" i="15"/>
  <c r="AZ124" i="15"/>
  <c r="BA124" i="15"/>
  <c r="BB124" i="15"/>
  <c r="BC124" i="15"/>
  <c r="BD124" i="15"/>
  <c r="BE124" i="15"/>
  <c r="BF124" i="15"/>
  <c r="BG124" i="15"/>
  <c r="BH124" i="15"/>
  <c r="BI124" i="15"/>
  <c r="BJ124" i="15"/>
  <c r="BK124" i="15"/>
  <c r="BL124" i="15"/>
  <c r="BM124" i="15"/>
  <c r="BN124" i="15"/>
  <c r="BO124" i="15"/>
  <c r="BP124" i="15"/>
  <c r="BQ124" i="15"/>
  <c r="BR124" i="15"/>
  <c r="BS124" i="15"/>
  <c r="BT124" i="15"/>
  <c r="BU124" i="15"/>
  <c r="BV124" i="15"/>
  <c r="BW124" i="15"/>
  <c r="BX124" i="15"/>
  <c r="BY124" i="15"/>
  <c r="BZ124" i="15"/>
  <c r="CA124" i="15"/>
  <c r="CB124" i="15"/>
  <c r="CC124" i="15"/>
  <c r="CD124" i="15"/>
  <c r="CE124" i="15"/>
  <c r="CF124" i="15"/>
  <c r="CG124" i="15"/>
  <c r="CH124" i="15"/>
  <c r="CI124" i="15"/>
  <c r="CJ124" i="15"/>
  <c r="CK124" i="15"/>
  <c r="CL124" i="15"/>
  <c r="CM124" i="15"/>
  <c r="CN124" i="15"/>
  <c r="CO124" i="15"/>
  <c r="CP124" i="15"/>
  <c r="CQ124" i="15"/>
  <c r="CR124" i="15"/>
  <c r="CS124" i="15"/>
  <c r="CT124" i="15"/>
  <c r="CU124" i="15"/>
  <c r="CV124" i="15"/>
  <c r="CW124" i="15"/>
  <c r="CX124" i="15"/>
  <c r="CY124" i="15"/>
  <c r="CZ124" i="15"/>
  <c r="DA124" i="15"/>
  <c r="DB124" i="15"/>
  <c r="DC124" i="15"/>
  <c r="DD124" i="15"/>
  <c r="DE124" i="15"/>
  <c r="DF124" i="15"/>
  <c r="DG124" i="15"/>
  <c r="DH124" i="15"/>
  <c r="DI124" i="15"/>
  <c r="DJ124" i="15"/>
  <c r="DK124" i="15"/>
  <c r="DL124" i="15"/>
  <c r="DM124" i="15"/>
  <c r="DN124" i="15"/>
  <c r="DO124" i="15"/>
  <c r="DP124" i="15"/>
  <c r="DQ124" i="15"/>
  <c r="DR124" i="15"/>
  <c r="BM99" i="12"/>
  <c r="BL99" i="12"/>
  <c r="BK99" i="12"/>
  <c r="BJ99" i="12"/>
  <c r="BI99" i="12"/>
  <c r="BH99" i="12"/>
  <c r="BG99" i="12"/>
  <c r="BF99" i="12"/>
  <c r="BE99" i="12"/>
  <c r="BD99" i="12"/>
  <c r="BC99" i="12"/>
  <c r="BB99" i="12"/>
  <c r="BA99" i="12"/>
  <c r="AZ99" i="12"/>
  <c r="AY99" i="12"/>
  <c r="AX99" i="12"/>
  <c r="AW99" i="12"/>
  <c r="AV99" i="12"/>
  <c r="AU99" i="12"/>
  <c r="AT99" i="12"/>
  <c r="AS99" i="12"/>
  <c r="AR99" i="12"/>
  <c r="AQ99" i="12"/>
  <c r="AP99" i="12"/>
  <c r="AO99" i="12"/>
  <c r="AN99" i="12"/>
  <c r="AM99" i="12"/>
  <c r="AL99" i="12"/>
  <c r="AK99" i="12"/>
  <c r="AJ99" i="12"/>
  <c r="AI99" i="12"/>
  <c r="AH99" i="12"/>
  <c r="AG99" i="12"/>
  <c r="AF99" i="12"/>
  <c r="AE99" i="12"/>
  <c r="AD99" i="12"/>
  <c r="AC99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DI121" i="7"/>
  <c r="DH121" i="7"/>
  <c r="DG121" i="7"/>
  <c r="DF121" i="7"/>
  <c r="DE121" i="7"/>
  <c r="DD121" i="7"/>
  <c r="DC121" i="7"/>
  <c r="DB121" i="7"/>
  <c r="DA121" i="7"/>
  <c r="CZ121" i="7"/>
  <c r="CY121" i="7"/>
  <c r="CX121" i="7"/>
  <c r="CW121" i="7"/>
  <c r="CV121" i="7"/>
  <c r="CU121" i="7"/>
  <c r="CT121" i="7"/>
  <c r="CS121" i="7"/>
  <c r="CR121" i="7"/>
  <c r="CQ121" i="7"/>
  <c r="CP121" i="7"/>
  <c r="CO121" i="7"/>
  <c r="CN121" i="7"/>
  <c r="CM121" i="7"/>
  <c r="CL121" i="7"/>
  <c r="C141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AJ141" i="7"/>
  <c r="AK141" i="7"/>
  <c r="AL141" i="7"/>
  <c r="AM141" i="7"/>
  <c r="AN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BB141" i="7"/>
  <c r="BC141" i="7"/>
  <c r="BD141" i="7"/>
  <c r="BE141" i="7"/>
  <c r="BF141" i="7"/>
  <c r="BG141" i="7"/>
  <c r="BH141" i="7"/>
  <c r="BI141" i="7"/>
  <c r="BJ141" i="7"/>
  <c r="BK141" i="7"/>
  <c r="BL141" i="7"/>
  <c r="BM141" i="7"/>
  <c r="BN141" i="7"/>
  <c r="BO141" i="7"/>
  <c r="BP141" i="7"/>
  <c r="BQ141" i="7"/>
  <c r="BR141" i="7"/>
  <c r="BS141" i="7"/>
  <c r="BT141" i="7"/>
  <c r="BU141" i="7"/>
  <c r="BV141" i="7"/>
  <c r="BW141" i="7"/>
  <c r="BX141" i="7"/>
  <c r="BY141" i="7"/>
  <c r="BZ141" i="7"/>
  <c r="CA141" i="7"/>
  <c r="CB141" i="7"/>
  <c r="CC141" i="7"/>
  <c r="CD141" i="7"/>
  <c r="CE141" i="7"/>
  <c r="CF141" i="7"/>
  <c r="CG141" i="7"/>
  <c r="CH141" i="7"/>
  <c r="CI141" i="7"/>
  <c r="CJ141" i="7"/>
  <c r="CK141" i="7"/>
  <c r="CU296" i="2"/>
  <c r="CT295" i="2"/>
  <c r="CU295" i="2" s="1"/>
  <c r="CV295" i="2" s="1"/>
  <c r="CW295" i="2" s="1"/>
  <c r="CX295" i="2" s="1"/>
  <c r="CY295" i="2" s="1"/>
  <c r="CZ295" i="2" s="1"/>
  <c r="DA295" i="2" s="1"/>
  <c r="DB295" i="2" s="1"/>
  <c r="DC295" i="2" s="1"/>
  <c r="DD295" i="2" s="1"/>
  <c r="DE295" i="2" s="1"/>
  <c r="DF295" i="2" s="1"/>
  <c r="DG295" i="2" s="1"/>
  <c r="DH295" i="2" s="1"/>
  <c r="DI295" i="2" s="1"/>
  <c r="DJ295" i="2" s="1"/>
  <c r="DK295" i="2" s="1"/>
  <c r="DL295" i="2" s="1"/>
  <c r="DM295" i="2" s="1"/>
  <c r="DN295" i="2" s="1"/>
  <c r="DO295" i="2" s="1"/>
  <c r="DP295" i="2" s="1"/>
  <c r="DQ295" i="2" s="1"/>
  <c r="DR295" i="2" s="1"/>
  <c r="CT294" i="2"/>
  <c r="CU294" i="2" s="1"/>
  <c r="CS302" i="2"/>
  <c r="CT302" i="2" s="1"/>
  <c r="CR302" i="2"/>
  <c r="CQ302" i="2"/>
  <c r="CP302" i="2"/>
  <c r="CO302" i="2"/>
  <c r="CN302" i="2"/>
  <c r="CM302" i="2"/>
  <c r="CL302" i="2"/>
  <c r="CK302" i="2"/>
  <c r="CJ302" i="2"/>
  <c r="CI302" i="2"/>
  <c r="CH302" i="2"/>
  <c r="CG302" i="2"/>
  <c r="CF302" i="2"/>
  <c r="CE302" i="2"/>
  <c r="CD302" i="2"/>
  <c r="CC302" i="2"/>
  <c r="CB302" i="2"/>
  <c r="CA302" i="2"/>
  <c r="BZ302" i="2"/>
  <c r="BY302" i="2"/>
  <c r="BX302" i="2"/>
  <c r="BW302" i="2"/>
  <c r="BV302" i="2"/>
  <c r="BU302" i="2"/>
  <c r="BT302" i="2"/>
  <c r="BS302" i="2"/>
  <c r="BR302" i="2"/>
  <c r="BQ302" i="2"/>
  <c r="BP302" i="2"/>
  <c r="BO302" i="2"/>
  <c r="BN302" i="2"/>
  <c r="BM302" i="2"/>
  <c r="BL302" i="2"/>
  <c r="BK302" i="2"/>
  <c r="BJ302" i="2"/>
  <c r="BI302" i="2"/>
  <c r="BH302" i="2"/>
  <c r="BG302" i="2"/>
  <c r="BF302" i="2"/>
  <c r="BE302" i="2"/>
  <c r="BD302" i="2"/>
  <c r="BC302" i="2"/>
  <c r="BB302" i="2"/>
  <c r="BA302" i="2"/>
  <c r="AZ302" i="2"/>
  <c r="AY302" i="2"/>
  <c r="AX302" i="2"/>
  <c r="AW302" i="2"/>
  <c r="AV302" i="2"/>
  <c r="AU302" i="2"/>
  <c r="AT302" i="2"/>
  <c r="AS302" i="2"/>
  <c r="AR302" i="2"/>
  <c r="AQ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BS139" i="7"/>
  <c r="BT139" i="7"/>
  <c r="BU139" i="7"/>
  <c r="BV139" i="7"/>
  <c r="BW139" i="7"/>
  <c r="BX139" i="7"/>
  <c r="BY139" i="7"/>
  <c r="BZ139" i="7"/>
  <c r="CA139" i="7"/>
  <c r="CB139" i="7"/>
  <c r="CC139" i="7"/>
  <c r="CD139" i="7"/>
  <c r="CE139" i="7"/>
  <c r="CF139" i="7"/>
  <c r="CG139" i="7"/>
  <c r="CH139" i="7"/>
  <c r="CI139" i="7"/>
  <c r="CJ139" i="7"/>
  <c r="CK139" i="7"/>
  <c r="BM78" i="12"/>
  <c r="BL78" i="12"/>
  <c r="BK78" i="12"/>
  <c r="BJ78" i="12"/>
  <c r="BI78" i="12"/>
  <c r="BH78" i="12"/>
  <c r="BG78" i="12"/>
  <c r="BF78" i="12"/>
  <c r="BE78" i="12"/>
  <c r="BD78" i="12"/>
  <c r="BC78" i="12"/>
  <c r="BB78" i="12"/>
  <c r="BA78" i="12"/>
  <c r="AZ78" i="12"/>
  <c r="AY78" i="12"/>
  <c r="AX78" i="12"/>
  <c r="AW78" i="12"/>
  <c r="AV78" i="12"/>
  <c r="AU78" i="12"/>
  <c r="AT78" i="12"/>
  <c r="AS78" i="12"/>
  <c r="AR78" i="12"/>
  <c r="AQ78" i="12"/>
  <c r="AP78" i="12"/>
  <c r="AO78" i="12"/>
  <c r="AN78" i="12"/>
  <c r="AM78" i="12"/>
  <c r="AL78" i="12"/>
  <c r="AK78" i="12"/>
  <c r="AJ78" i="12"/>
  <c r="AI78" i="12"/>
  <c r="AH78" i="12"/>
  <c r="AG78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BV121" i="7"/>
  <c r="BW121" i="7"/>
  <c r="BX121" i="7"/>
  <c r="BY121" i="7"/>
  <c r="BZ121" i="7"/>
  <c r="CA121" i="7"/>
  <c r="CB121" i="7"/>
  <c r="CC121" i="7"/>
  <c r="CD121" i="7"/>
  <c r="CE121" i="7"/>
  <c r="CF121" i="7"/>
  <c r="CG121" i="7"/>
  <c r="CH121" i="7"/>
  <c r="CI121" i="7"/>
  <c r="CJ121" i="7"/>
  <c r="CK121" i="7"/>
  <c r="AA121" i="7"/>
  <c r="AB114" i="7"/>
  <c r="D103" i="11" s="1"/>
  <c r="AC114" i="7"/>
  <c r="E103" i="11" s="1"/>
  <c r="AD114" i="7"/>
  <c r="F103" i="11" s="1"/>
  <c r="AE114" i="7"/>
  <c r="G103" i="11" s="1"/>
  <c r="AF114" i="7"/>
  <c r="H103" i="11" s="1"/>
  <c r="AG114" i="7"/>
  <c r="I103" i="11" s="1"/>
  <c r="AH114" i="7"/>
  <c r="J103" i="11" s="1"/>
  <c r="AI114" i="7"/>
  <c r="K103" i="11" s="1"/>
  <c r="AJ114" i="7"/>
  <c r="L103" i="11" s="1"/>
  <c r="AK114" i="7"/>
  <c r="M103" i="11" s="1"/>
  <c r="AL114" i="7"/>
  <c r="N103" i="11" s="1"/>
  <c r="AM114" i="7"/>
  <c r="O103" i="11" s="1"/>
  <c r="AN114" i="7"/>
  <c r="P103" i="11" s="1"/>
  <c r="AO114" i="7"/>
  <c r="Q103" i="11" s="1"/>
  <c r="AP114" i="7"/>
  <c r="R103" i="11" s="1"/>
  <c r="AQ114" i="7"/>
  <c r="S103" i="11" s="1"/>
  <c r="AR114" i="7"/>
  <c r="T103" i="11" s="1"/>
  <c r="AS114" i="7"/>
  <c r="U103" i="11" s="1"/>
  <c r="AT114" i="7"/>
  <c r="V103" i="11" s="1"/>
  <c r="AU114" i="7"/>
  <c r="W103" i="11" s="1"/>
  <c r="AV114" i="7"/>
  <c r="X103" i="11" s="1"/>
  <c r="AW114" i="7"/>
  <c r="Y103" i="11" s="1"/>
  <c r="AX114" i="7"/>
  <c r="Z103" i="11" s="1"/>
  <c r="AY114" i="7"/>
  <c r="AA103" i="11" s="1"/>
  <c r="AZ114" i="7"/>
  <c r="AB103" i="11" s="1"/>
  <c r="BA114" i="7"/>
  <c r="AC103" i="11" s="1"/>
  <c r="BB114" i="7"/>
  <c r="BC114" i="7"/>
  <c r="AE103" i="11" s="1"/>
  <c r="BD114" i="7"/>
  <c r="AF103" i="11" s="1"/>
  <c r="BE114" i="7"/>
  <c r="BF114" i="7"/>
  <c r="AH103" i="11" s="1"/>
  <c r="BG114" i="7"/>
  <c r="AI103" i="11" s="1"/>
  <c r="BH114" i="7"/>
  <c r="BI114" i="7"/>
  <c r="AK103" i="11" s="1"/>
  <c r="BJ114" i="7"/>
  <c r="AL103" i="11" s="1"/>
  <c r="BK114" i="7"/>
  <c r="BL114" i="7"/>
  <c r="AN103" i="11" s="1"/>
  <c r="BM114" i="7"/>
  <c r="AO103" i="11" s="1"/>
  <c r="BN114" i="7"/>
  <c r="BO114" i="7"/>
  <c r="AQ103" i="11" s="1"/>
  <c r="BP114" i="7"/>
  <c r="AR103" i="11" s="1"/>
  <c r="BQ114" i="7"/>
  <c r="BR114" i="7"/>
  <c r="AT103" i="11" s="1"/>
  <c r="BS114" i="7"/>
  <c r="AU103" i="11" s="1"/>
  <c r="BT114" i="7"/>
  <c r="BU114" i="7"/>
  <c r="AW103" i="11" s="1"/>
  <c r="BV114" i="7"/>
  <c r="AX103" i="11" s="1"/>
  <c r="BW114" i="7"/>
  <c r="BX114" i="7"/>
  <c r="AZ103" i="11" s="1"/>
  <c r="BY114" i="7"/>
  <c r="BA103" i="11" s="1"/>
  <c r="BZ114" i="7"/>
  <c r="CA114" i="7"/>
  <c r="BC103" i="11" s="1"/>
  <c r="CB114" i="7"/>
  <c r="BD103" i="11" s="1"/>
  <c r="CC114" i="7"/>
  <c r="CD114" i="7"/>
  <c r="BF103" i="11" s="1"/>
  <c r="CE114" i="7"/>
  <c r="BG103" i="11" s="1"/>
  <c r="CF114" i="7"/>
  <c r="CG114" i="7"/>
  <c r="BI103" i="11" s="1"/>
  <c r="CH114" i="7"/>
  <c r="BJ103" i="11" s="1"/>
  <c r="CI114" i="7"/>
  <c r="CJ114" i="7"/>
  <c r="BL103" i="11" s="1"/>
  <c r="CK114" i="7"/>
  <c r="BM103" i="11" s="1"/>
  <c r="AA114" i="7"/>
  <c r="C103" i="11" s="1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S42" i="2"/>
  <c r="CR42" i="2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C15" i="3"/>
  <c r="C23" i="18" s="1"/>
  <c r="C25" i="18" s="1"/>
  <c r="D15" i="3"/>
  <c r="D23" i="18" s="1"/>
  <c r="D25" i="18" s="1"/>
  <c r="E15" i="3"/>
  <c r="E23" i="18" s="1"/>
  <c r="E25" i="18" s="1"/>
  <c r="F15" i="3"/>
  <c r="F23" i="18" s="1"/>
  <c r="F25" i="18" s="1"/>
  <c r="G15" i="3"/>
  <c r="G23" i="18" s="1"/>
  <c r="G25" i="18" s="1"/>
  <c r="H15" i="3"/>
  <c r="H23" i="18" s="1"/>
  <c r="H25" i="18" s="1"/>
  <c r="I15" i="3"/>
  <c r="I23" i="18" s="1"/>
  <c r="I25" i="18" s="1"/>
  <c r="J15" i="3"/>
  <c r="J23" i="18" s="1"/>
  <c r="J25" i="18" s="1"/>
  <c r="K15" i="3"/>
  <c r="K23" i="18" s="1"/>
  <c r="K25" i="18" s="1"/>
  <c r="L15" i="3"/>
  <c r="L23" i="18" s="1"/>
  <c r="L25" i="18" s="1"/>
  <c r="M15" i="3"/>
  <c r="M23" i="18" s="1"/>
  <c r="M25" i="18" s="1"/>
  <c r="N15" i="3"/>
  <c r="N23" i="18" s="1"/>
  <c r="N25" i="18" s="1"/>
  <c r="O15" i="3"/>
  <c r="O23" i="18" s="1"/>
  <c r="O25" i="18" s="1"/>
  <c r="P15" i="3"/>
  <c r="P23" i="18" s="1"/>
  <c r="P25" i="18" s="1"/>
  <c r="Q15" i="3"/>
  <c r="Q23" i="18" s="1"/>
  <c r="Q25" i="18" s="1"/>
  <c r="R15" i="3"/>
  <c r="R23" i="18" s="1"/>
  <c r="R25" i="18" s="1"/>
  <c r="S15" i="3"/>
  <c r="S23" i="18" s="1"/>
  <c r="S25" i="18" s="1"/>
  <c r="T15" i="3"/>
  <c r="T23" i="18" s="1"/>
  <c r="T25" i="18" s="1"/>
  <c r="U15" i="3"/>
  <c r="U23" i="18" s="1"/>
  <c r="U25" i="18" s="1"/>
  <c r="V15" i="3"/>
  <c r="V23" i="18" s="1"/>
  <c r="V25" i="18" s="1"/>
  <c r="W15" i="3"/>
  <c r="W23" i="18" s="1"/>
  <c r="W25" i="18" s="1"/>
  <c r="X15" i="3"/>
  <c r="X23" i="18" s="1"/>
  <c r="X25" i="18" s="1"/>
  <c r="Y15" i="3"/>
  <c r="Y23" i="18" s="1"/>
  <c r="Y25" i="18" s="1"/>
  <c r="Z15" i="3"/>
  <c r="Z23" i="18" s="1"/>
  <c r="Z25" i="18" s="1"/>
  <c r="AA15" i="3"/>
  <c r="AA23" i="18" s="1"/>
  <c r="AA25" i="18" s="1"/>
  <c r="AB15" i="3"/>
  <c r="AB23" i="18" s="1"/>
  <c r="AB25" i="18" s="1"/>
  <c r="AC15" i="3"/>
  <c r="AC23" i="18" s="1"/>
  <c r="AC25" i="18" s="1"/>
  <c r="AD15" i="3"/>
  <c r="AD23" i="18" s="1"/>
  <c r="AD25" i="18" s="1"/>
  <c r="AE15" i="3"/>
  <c r="AE23" i="18" s="1"/>
  <c r="AE25" i="18" s="1"/>
  <c r="AF15" i="3"/>
  <c r="AF23" i="18" s="1"/>
  <c r="AF25" i="18" s="1"/>
  <c r="AG15" i="3"/>
  <c r="AG23" i="18" s="1"/>
  <c r="AG25" i="18" s="1"/>
  <c r="AH15" i="3"/>
  <c r="AH23" i="18" s="1"/>
  <c r="AH25" i="18" s="1"/>
  <c r="AI15" i="3"/>
  <c r="AI23" i="18" s="1"/>
  <c r="AI25" i="18" s="1"/>
  <c r="AJ15" i="3"/>
  <c r="AJ23" i="18" s="1"/>
  <c r="AJ25" i="18" s="1"/>
  <c r="AK15" i="3"/>
  <c r="AK23" i="18" s="1"/>
  <c r="AK25" i="18" s="1"/>
  <c r="AL15" i="3"/>
  <c r="AL23" i="18" s="1"/>
  <c r="AL25" i="18" s="1"/>
  <c r="AM15" i="3"/>
  <c r="AM23" i="18" s="1"/>
  <c r="AM25" i="18" s="1"/>
  <c r="AN15" i="3"/>
  <c r="AN23" i="18" s="1"/>
  <c r="AN25" i="18" s="1"/>
  <c r="AO15" i="3"/>
  <c r="AO23" i="18" s="1"/>
  <c r="AO25" i="18" s="1"/>
  <c r="AP15" i="3"/>
  <c r="AP23" i="18" s="1"/>
  <c r="AP25" i="18" s="1"/>
  <c r="AQ15" i="3"/>
  <c r="AQ23" i="18" s="1"/>
  <c r="AQ25" i="18" s="1"/>
  <c r="AR15" i="3"/>
  <c r="AR23" i="18" s="1"/>
  <c r="AR25" i="18" s="1"/>
  <c r="AS15" i="3"/>
  <c r="AS23" i="18" s="1"/>
  <c r="AS25" i="18" s="1"/>
  <c r="AT15" i="3"/>
  <c r="AT23" i="18" s="1"/>
  <c r="AT25" i="18" s="1"/>
  <c r="AU15" i="3"/>
  <c r="AU23" i="18" s="1"/>
  <c r="AU25" i="18" s="1"/>
  <c r="AV15" i="3"/>
  <c r="AV23" i="18" s="1"/>
  <c r="AV25" i="18" s="1"/>
  <c r="AW15" i="3"/>
  <c r="AW23" i="18" s="1"/>
  <c r="AW25" i="18" s="1"/>
  <c r="AX15" i="3"/>
  <c r="AX23" i="18" s="1"/>
  <c r="AX25" i="18" s="1"/>
  <c r="AY15" i="3"/>
  <c r="AY23" i="18" s="1"/>
  <c r="AY25" i="18" s="1"/>
  <c r="AZ15" i="3"/>
  <c r="AZ23" i="18" s="1"/>
  <c r="AZ25" i="18" s="1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CS12" i="2"/>
  <c r="CS4" i="2" s="1"/>
  <c r="CR12" i="2"/>
  <c r="CR4" i="2" s="1"/>
  <c r="CQ12" i="2"/>
  <c r="CQ4" i="2" s="1"/>
  <c r="CP12" i="2"/>
  <c r="CP4" i="2" s="1"/>
  <c r="CO12" i="2"/>
  <c r="CO4" i="2" s="1"/>
  <c r="CN12" i="2"/>
  <c r="CN4" i="2" s="1"/>
  <c r="CM12" i="2"/>
  <c r="CM4" i="2" s="1"/>
  <c r="CL12" i="2"/>
  <c r="CL4" i="2" s="1"/>
  <c r="CK12" i="2"/>
  <c r="CK4" i="2" s="1"/>
  <c r="CJ12" i="2"/>
  <c r="CJ4" i="2" s="1"/>
  <c r="CI12" i="2"/>
  <c r="CI4" i="2" s="1"/>
  <c r="CH12" i="2"/>
  <c r="CH4" i="2" s="1"/>
  <c r="CG12" i="2"/>
  <c r="CG4" i="2" s="1"/>
  <c r="CF12" i="2"/>
  <c r="CF4" i="2" s="1"/>
  <c r="CE12" i="2"/>
  <c r="CE4" i="2" s="1"/>
  <c r="CD12" i="2"/>
  <c r="CD4" i="2" s="1"/>
  <c r="CC12" i="2"/>
  <c r="CC4" i="2" s="1"/>
  <c r="CB12" i="2"/>
  <c r="CB4" i="2" s="1"/>
  <c r="CA12" i="2"/>
  <c r="CA4" i="2" s="1"/>
  <c r="BZ12" i="2"/>
  <c r="BZ4" i="2" s="1"/>
  <c r="BY12" i="2"/>
  <c r="BY4" i="2" s="1"/>
  <c r="BX12" i="2"/>
  <c r="BX4" i="2" s="1"/>
  <c r="BW12" i="2"/>
  <c r="BW4" i="2" s="1"/>
  <c r="BV12" i="2"/>
  <c r="BV4" i="2" s="1"/>
  <c r="BU12" i="2"/>
  <c r="BU4" i="2" s="1"/>
  <c r="BT12" i="2"/>
  <c r="BT4" i="2" s="1"/>
  <c r="BS12" i="2"/>
  <c r="BS4" i="2" s="1"/>
  <c r="BR12" i="2"/>
  <c r="BR4" i="2" s="1"/>
  <c r="BQ12" i="2"/>
  <c r="BQ4" i="2" s="1"/>
  <c r="BP12" i="2"/>
  <c r="BP4" i="2" s="1"/>
  <c r="BO12" i="2"/>
  <c r="BO4" i="2" s="1"/>
  <c r="BN12" i="2"/>
  <c r="BN4" i="2" s="1"/>
  <c r="BM12" i="2"/>
  <c r="BM4" i="2" s="1"/>
  <c r="BL12" i="2"/>
  <c r="BL4" i="2" s="1"/>
  <c r="BK12" i="2"/>
  <c r="BK4" i="2" s="1"/>
  <c r="BJ12" i="2"/>
  <c r="BJ4" i="2" s="1"/>
  <c r="BI12" i="2"/>
  <c r="BI4" i="2" s="1"/>
  <c r="BH12" i="2"/>
  <c r="BH4" i="2" s="1"/>
  <c r="BG12" i="2"/>
  <c r="BG4" i="2" s="1"/>
  <c r="BF12" i="2"/>
  <c r="BF4" i="2" s="1"/>
  <c r="BE12" i="2"/>
  <c r="BE4" i="2" s="1"/>
  <c r="BD12" i="2"/>
  <c r="BD4" i="2" s="1"/>
  <c r="BC12" i="2"/>
  <c r="BC4" i="2" s="1"/>
  <c r="BB12" i="2"/>
  <c r="BB4" i="2" s="1"/>
  <c r="BA12" i="2"/>
  <c r="BA4" i="2" s="1"/>
  <c r="AZ12" i="2"/>
  <c r="AZ4" i="2" s="1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EB384" i="2" l="1"/>
  <c r="EC385" i="2"/>
  <c r="EB438" i="2"/>
  <c r="EC438" i="2" s="1"/>
  <c r="EC336" i="2"/>
  <c r="EC335" i="2" s="1"/>
  <c r="EB335" i="2"/>
  <c r="EB159" i="2"/>
  <c r="EC147" i="2"/>
  <c r="EC159" i="2" s="1"/>
  <c r="CY99" i="12"/>
  <c r="DG99" i="12"/>
  <c r="DC99" i="12"/>
  <c r="DY128" i="11"/>
  <c r="DX128" i="11"/>
  <c r="DZ128" i="11"/>
  <c r="DK28" i="17"/>
  <c r="DI28" i="17"/>
  <c r="DE57" i="17"/>
  <c r="DK57" i="17" s="1"/>
  <c r="CZ52" i="17"/>
  <c r="CX26" i="17"/>
  <c r="DB41" i="17"/>
  <c r="CV52" i="17"/>
  <c r="DI52" i="17" s="1"/>
  <c r="DB57" i="17"/>
  <c r="DA52" i="17"/>
  <c r="DX433" i="2"/>
  <c r="EZ141" i="18"/>
  <c r="DV39" i="18"/>
  <c r="DV101" i="15"/>
  <c r="DV748" i="2"/>
  <c r="DW68" i="18" s="1"/>
  <c r="DW51" i="18"/>
  <c r="DW39" i="18" s="1"/>
  <c r="DW8" i="18" s="1"/>
  <c r="DJ54" i="17"/>
  <c r="DV106" i="18"/>
  <c r="DV59" i="18"/>
  <c r="DV76" i="18"/>
  <c r="DV115" i="18"/>
  <c r="DV141" i="18" s="1"/>
  <c r="DV722" i="2"/>
  <c r="DW104" i="15" s="1"/>
  <c r="DV723" i="2"/>
  <c r="DW105" i="15" s="1"/>
  <c r="DU719" i="2"/>
  <c r="DV720" i="2"/>
  <c r="DW102" i="15" s="1"/>
  <c r="DV724" i="2"/>
  <c r="DW106" i="15" s="1"/>
  <c r="DV721" i="2"/>
  <c r="DW103" i="15" s="1"/>
  <c r="DV725" i="2"/>
  <c r="DW107" i="15" s="1"/>
  <c r="DD43" i="17"/>
  <c r="CY20" i="17"/>
  <c r="DK3" i="17"/>
  <c r="DJ3" i="17"/>
  <c r="DK47" i="17"/>
  <c r="DI35" i="17"/>
  <c r="DI47" i="17"/>
  <c r="DJ47" i="17"/>
  <c r="DC26" i="17"/>
  <c r="DC20" i="17"/>
  <c r="DB20" i="17"/>
  <c r="DD20" i="17"/>
  <c r="CV20" i="17"/>
  <c r="DK41" i="17"/>
  <c r="DJ35" i="17"/>
  <c r="DI33" i="17"/>
  <c r="DI3" i="17"/>
  <c r="DG20" i="17"/>
  <c r="DJ41" i="17"/>
  <c r="DF20" i="17"/>
  <c r="DB26" i="17"/>
  <c r="CW26" i="17"/>
  <c r="DK43" i="17"/>
  <c r="DF26" i="17"/>
  <c r="DI43" i="17"/>
  <c r="DE20" i="17"/>
  <c r="DJ44" i="17"/>
  <c r="DK33" i="17"/>
  <c r="DG26" i="17"/>
  <c r="DI57" i="17"/>
  <c r="DI44" i="17"/>
  <c r="DK49" i="17"/>
  <c r="CX20" i="17"/>
  <c r="CY26" i="17"/>
  <c r="DI49" i="17"/>
  <c r="DE26" i="17"/>
  <c r="DK54" i="17"/>
  <c r="CZ26" i="17"/>
  <c r="DI41" i="17"/>
  <c r="DK44" i="17"/>
  <c r="DK21" i="17"/>
  <c r="DJ57" i="17"/>
  <c r="DI54" i="17"/>
  <c r="DJ21" i="17"/>
  <c r="DJ43" i="17"/>
  <c r="CZ20" i="17"/>
  <c r="DK52" i="17"/>
  <c r="DA20" i="17"/>
  <c r="DI21" i="17"/>
  <c r="CW20" i="17"/>
  <c r="DJ49" i="17"/>
  <c r="DK35" i="17"/>
  <c r="DJ33" i="17"/>
  <c r="DB99" i="12"/>
  <c r="DF99" i="12"/>
  <c r="DJ99" i="12"/>
  <c r="CZ99" i="12"/>
  <c r="DD99" i="12"/>
  <c r="DH99" i="12"/>
  <c r="DA99" i="12"/>
  <c r="DE99" i="12"/>
  <c r="DI99" i="12"/>
  <c r="DS295" i="2"/>
  <c r="DJ138" i="7"/>
  <c r="EF121" i="7"/>
  <c r="DX121" i="7"/>
  <c r="EJ121" i="7"/>
  <c r="EO121" i="7"/>
  <c r="EL121" i="7"/>
  <c r="EG121" i="7"/>
  <c r="EC121" i="7"/>
  <c r="DY121" i="7"/>
  <c r="ED121" i="7"/>
  <c r="EI121" i="7"/>
  <c r="EM121" i="7"/>
  <c r="CT18" i="2"/>
  <c r="EA139" i="7"/>
  <c r="ED141" i="7"/>
  <c r="EF139" i="7"/>
  <c r="DX139" i="7"/>
  <c r="EA141" i="7"/>
  <c r="EE139" i="7"/>
  <c r="DW139" i="7"/>
  <c r="AS103" i="11"/>
  <c r="DD103" i="11" s="1"/>
  <c r="EB114" i="7"/>
  <c r="EN121" i="7"/>
  <c r="BH103" i="11"/>
  <c r="DI103" i="11" s="1"/>
  <c r="EG114" i="7"/>
  <c r="AJ103" i="11"/>
  <c r="DA103" i="11" s="1"/>
  <c r="DY114" i="7"/>
  <c r="K71" i="12"/>
  <c r="AY103" i="11"/>
  <c r="DF103" i="11" s="1"/>
  <c r="ED114" i="7"/>
  <c r="EA121" i="7"/>
  <c r="EC139" i="7"/>
  <c r="EF141" i="7"/>
  <c r="DX141" i="7"/>
  <c r="AP103" i="11"/>
  <c r="DC103" i="11" s="1"/>
  <c r="EA114" i="7"/>
  <c r="EH139" i="7"/>
  <c r="DZ139" i="7"/>
  <c r="EC141" i="7"/>
  <c r="BE103" i="11"/>
  <c r="DH103" i="11" s="1"/>
  <c r="EF114" i="7"/>
  <c r="AG103" i="11"/>
  <c r="CZ103" i="11" s="1"/>
  <c r="DX114" i="7"/>
  <c r="EH141" i="7"/>
  <c r="DZ141" i="7"/>
  <c r="EH121" i="7"/>
  <c r="DZ121" i="7"/>
  <c r="EB139" i="7"/>
  <c r="EE141" i="7"/>
  <c r="DW141" i="7"/>
  <c r="EE121" i="7"/>
  <c r="DW121" i="7"/>
  <c r="EG139" i="7"/>
  <c r="DY139" i="7"/>
  <c r="EB141" i="7"/>
  <c r="EP121" i="7"/>
  <c r="AV103" i="11"/>
  <c r="DE103" i="11" s="1"/>
  <c r="EC114" i="7"/>
  <c r="BK103" i="11"/>
  <c r="DJ103" i="11" s="1"/>
  <c r="EH114" i="7"/>
  <c r="AM103" i="11"/>
  <c r="DB103" i="11" s="1"/>
  <c r="DZ114" i="7"/>
  <c r="BB103" i="11"/>
  <c r="DG103" i="11" s="1"/>
  <c r="EE114" i="7"/>
  <c r="AD103" i="11"/>
  <c r="CY103" i="11" s="1"/>
  <c r="DW114" i="7"/>
  <c r="EB121" i="7"/>
  <c r="ED139" i="7"/>
  <c r="EG141" i="7"/>
  <c r="DY141" i="7"/>
  <c r="EK121" i="7"/>
  <c r="AY71" i="12"/>
  <c r="BG71" i="12"/>
  <c r="S71" i="12"/>
  <c r="AA71" i="12"/>
  <c r="AI71" i="12"/>
  <c r="AQ71" i="12"/>
  <c r="H71" i="12"/>
  <c r="P71" i="12"/>
  <c r="X71" i="12"/>
  <c r="AF71" i="12"/>
  <c r="AN71" i="12"/>
  <c r="AV71" i="12"/>
  <c r="BD71" i="12"/>
  <c r="BL71" i="12"/>
  <c r="I71" i="12"/>
  <c r="Q71" i="12"/>
  <c r="Y71" i="12"/>
  <c r="AG71" i="12"/>
  <c r="AO71" i="12"/>
  <c r="AW71" i="12"/>
  <c r="BE71" i="12"/>
  <c r="BM71" i="12"/>
  <c r="J71" i="12"/>
  <c r="R71" i="12"/>
  <c r="Z71" i="12"/>
  <c r="AH71" i="12"/>
  <c r="AP71" i="12"/>
  <c r="AX71" i="12"/>
  <c r="BF71" i="12"/>
  <c r="C71" i="12"/>
  <c r="D71" i="12"/>
  <c r="L71" i="12"/>
  <c r="T71" i="12"/>
  <c r="AB71" i="12"/>
  <c r="AJ71" i="12"/>
  <c r="AR71" i="12"/>
  <c r="AZ71" i="12"/>
  <c r="BH71" i="12"/>
  <c r="E71" i="12"/>
  <c r="M71" i="12"/>
  <c r="U71" i="12"/>
  <c r="AC71" i="12"/>
  <c r="AK71" i="12"/>
  <c r="AS71" i="12"/>
  <c r="BA71" i="12"/>
  <c r="BI71" i="12"/>
  <c r="F71" i="12"/>
  <c r="N71" i="12"/>
  <c r="V71" i="12"/>
  <c r="AD71" i="12"/>
  <c r="AL71" i="12"/>
  <c r="AT71" i="12"/>
  <c r="BB71" i="12"/>
  <c r="BJ71" i="12"/>
  <c r="G71" i="12"/>
  <c r="O71" i="12"/>
  <c r="W71" i="12"/>
  <c r="AE71" i="12"/>
  <c r="AM71" i="12"/>
  <c r="AU71" i="12"/>
  <c r="BC71" i="12"/>
  <c r="BK71" i="12"/>
  <c r="ES124" i="15"/>
  <c r="ET118" i="15"/>
  <c r="ES118" i="15"/>
  <c r="EU124" i="15"/>
  <c r="EM124" i="15"/>
  <c r="EU118" i="15"/>
  <c r="EM118" i="15"/>
  <c r="ER124" i="15"/>
  <c r="EJ124" i="15"/>
  <c r="ER118" i="15"/>
  <c r="EJ118" i="15"/>
  <c r="EW124" i="15"/>
  <c r="EK124" i="15"/>
  <c r="EO124" i="15"/>
  <c r="EG124" i="15"/>
  <c r="EW118" i="15"/>
  <c r="EO118" i="15"/>
  <c r="EK118" i="15"/>
  <c r="EG118" i="15"/>
  <c r="ET124" i="15"/>
  <c r="EL124" i="15"/>
  <c r="EL118" i="15"/>
  <c r="EY124" i="15"/>
  <c r="EQ124" i="15"/>
  <c r="EI124" i="15"/>
  <c r="EY118" i="15"/>
  <c r="EQ118" i="15"/>
  <c r="EI118" i="15"/>
  <c r="EV124" i="15"/>
  <c r="EN124" i="15"/>
  <c r="EF124" i="15"/>
  <c r="EV118" i="15"/>
  <c r="EN118" i="15"/>
  <c r="EF118" i="15"/>
  <c r="EX124" i="15"/>
  <c r="EP124" i="15"/>
  <c r="EH124" i="15"/>
  <c r="EX118" i="15"/>
  <c r="EP118" i="15"/>
  <c r="EH118" i="15"/>
  <c r="CM139" i="7"/>
  <c r="CV296" i="2"/>
  <c r="CL139" i="7"/>
  <c r="CU302" i="2"/>
  <c r="CV302" i="2" s="1"/>
  <c r="CW302" i="2" s="1"/>
  <c r="CX302" i="2" s="1"/>
  <c r="CY302" i="2" s="1"/>
  <c r="CZ302" i="2" s="1"/>
  <c r="DA302" i="2" s="1"/>
  <c r="DB302" i="2" s="1"/>
  <c r="DC302" i="2" s="1"/>
  <c r="DD302" i="2" s="1"/>
  <c r="DE302" i="2" s="1"/>
  <c r="DF302" i="2" s="1"/>
  <c r="DG302" i="2" s="1"/>
  <c r="DH302" i="2" s="1"/>
  <c r="DI302" i="2" s="1"/>
  <c r="DJ302" i="2" s="1"/>
  <c r="DK302" i="2" s="1"/>
  <c r="DL302" i="2" s="1"/>
  <c r="DM302" i="2" s="1"/>
  <c r="DN302" i="2" s="1"/>
  <c r="DO302" i="2" s="1"/>
  <c r="DP302" i="2" s="1"/>
  <c r="DQ302" i="2" s="1"/>
  <c r="DR302" i="2" s="1"/>
  <c r="CT293" i="2"/>
  <c r="CV294" i="2"/>
  <c r="EC437" i="2" l="1"/>
  <c r="EC384" i="2"/>
  <c r="DJ52" i="17"/>
  <c r="DY433" i="2"/>
  <c r="DV171" i="18"/>
  <c r="DV8" i="18"/>
  <c r="DW115" i="18"/>
  <c r="DW141" i="18" s="1"/>
  <c r="DW171" i="18" s="1"/>
  <c r="DW76" i="18"/>
  <c r="DW106" i="18"/>
  <c r="DW59" i="18"/>
  <c r="DW101" i="15"/>
  <c r="DW748" i="2"/>
  <c r="DX68" i="18" s="1"/>
  <c r="FA68" i="18" s="1"/>
  <c r="DX51" i="18"/>
  <c r="DX39" i="18" s="1"/>
  <c r="DX8" i="18" s="1"/>
  <c r="DW721" i="2"/>
  <c r="DX103" i="15" s="1"/>
  <c r="FA103" i="15" s="1"/>
  <c r="DW724" i="2"/>
  <c r="DX106" i="15" s="1"/>
  <c r="FA106" i="15" s="1"/>
  <c r="DW723" i="2"/>
  <c r="DX105" i="15" s="1"/>
  <c r="FA105" i="15" s="1"/>
  <c r="DW720" i="2"/>
  <c r="DX102" i="15" s="1"/>
  <c r="FA102" i="15" s="1"/>
  <c r="DV719" i="2"/>
  <c r="DW722" i="2"/>
  <c r="DX104" i="15" s="1"/>
  <c r="FA104" i="15" s="1"/>
  <c r="DW725" i="2"/>
  <c r="DX107" i="15" s="1"/>
  <c r="FA107" i="15" s="1"/>
  <c r="DK26" i="17"/>
  <c r="DI26" i="17"/>
  <c r="DI20" i="17"/>
  <c r="DJ26" i="17"/>
  <c r="DJ20" i="17"/>
  <c r="DK20" i="17"/>
  <c r="DY99" i="12"/>
  <c r="DZ99" i="12"/>
  <c r="DX99" i="12"/>
  <c r="DT295" i="2"/>
  <c r="DK138" i="7"/>
  <c r="EY121" i="7"/>
  <c r="CY71" i="12"/>
  <c r="DI71" i="12"/>
  <c r="EX121" i="7"/>
  <c r="DB71" i="12"/>
  <c r="DC71" i="12"/>
  <c r="DA71" i="12"/>
  <c r="EX114" i="7"/>
  <c r="DE71" i="12"/>
  <c r="DD71" i="12"/>
  <c r="DF71" i="12"/>
  <c r="DH71" i="12"/>
  <c r="DG71" i="12"/>
  <c r="EZ121" i="7"/>
  <c r="DJ71" i="12"/>
  <c r="CZ71" i="12"/>
  <c r="DS302" i="2"/>
  <c r="FH118" i="15"/>
  <c r="EV139" i="7"/>
  <c r="FI124" i="15"/>
  <c r="EX139" i="7"/>
  <c r="FE118" i="15"/>
  <c r="EW141" i="7"/>
  <c r="FF124" i="15"/>
  <c r="FG118" i="15"/>
  <c r="FE124" i="15"/>
  <c r="FI118" i="15"/>
  <c r="FH124" i="15"/>
  <c r="FG124" i="15"/>
  <c r="EV141" i="7"/>
  <c r="FF118" i="15"/>
  <c r="EW139" i="7"/>
  <c r="EW121" i="7"/>
  <c r="EV121" i="7"/>
  <c r="EV114" i="7"/>
  <c r="EW114" i="7"/>
  <c r="EX141" i="7"/>
  <c r="DX103" i="11"/>
  <c r="DY103" i="11"/>
  <c r="DZ103" i="11"/>
  <c r="CU293" i="2"/>
  <c r="CW296" i="2"/>
  <c r="CN139" i="7"/>
  <c r="EI139" i="7" s="1"/>
  <c r="CW294" i="2"/>
  <c r="CV293" i="2"/>
  <c r="FA8" i="18" l="1"/>
  <c r="FA76" i="18"/>
  <c r="DZ433" i="2"/>
  <c r="FA39" i="18"/>
  <c r="FA51" i="18"/>
  <c r="DX101" i="15"/>
  <c r="FA101" i="15" s="1"/>
  <c r="DX115" i="18"/>
  <c r="DX141" i="18" s="1"/>
  <c r="DX171" i="18" s="1"/>
  <c r="FA171" i="18" s="1"/>
  <c r="DX59" i="18"/>
  <c r="DX106" i="18"/>
  <c r="DX76" i="18"/>
  <c r="DX748" i="2"/>
  <c r="DY68" i="18" s="1"/>
  <c r="DY51" i="18"/>
  <c r="DX720" i="2"/>
  <c r="DY102" i="15" s="1"/>
  <c r="DW719" i="2"/>
  <c r="DX722" i="2"/>
  <c r="DY104" i="15" s="1"/>
  <c r="DX723" i="2"/>
  <c r="DY105" i="15" s="1"/>
  <c r="DX724" i="2"/>
  <c r="DY106" i="15" s="1"/>
  <c r="DX725" i="2"/>
  <c r="DY107" i="15" s="1"/>
  <c r="DX721" i="2"/>
  <c r="DY103" i="15" s="1"/>
  <c r="DU295" i="2"/>
  <c r="DL138" i="7"/>
  <c r="DX71" i="12"/>
  <c r="DY71" i="12"/>
  <c r="DZ71" i="12"/>
  <c r="DT302" i="2"/>
  <c r="CO139" i="7"/>
  <c r="CX296" i="2"/>
  <c r="CX294" i="2"/>
  <c r="CW293" i="2"/>
  <c r="EA433" i="2" l="1"/>
  <c r="FA141" i="18"/>
  <c r="DY39" i="18"/>
  <c r="DY748" i="2"/>
  <c r="DZ68" i="18" s="1"/>
  <c r="DZ51" i="18"/>
  <c r="DZ39" i="18" s="1"/>
  <c r="DZ8" i="18" s="1"/>
  <c r="DY59" i="18"/>
  <c r="DY76" i="18"/>
  <c r="DY115" i="18"/>
  <c r="DY141" i="18" s="1"/>
  <c r="DY106" i="18"/>
  <c r="DY101" i="15"/>
  <c r="DY725" i="2"/>
  <c r="DZ107" i="15" s="1"/>
  <c r="DY724" i="2"/>
  <c r="DZ106" i="15" s="1"/>
  <c r="DY722" i="2"/>
  <c r="DZ104" i="15" s="1"/>
  <c r="DY721" i="2"/>
  <c r="DZ103" i="15" s="1"/>
  <c r="DY723" i="2"/>
  <c r="DZ105" i="15" s="1"/>
  <c r="DY720" i="2"/>
  <c r="DZ102" i="15" s="1"/>
  <c r="DX719" i="2"/>
  <c r="EQ138" i="7"/>
  <c r="DV295" i="2"/>
  <c r="DM138" i="7"/>
  <c r="DU302" i="2"/>
  <c r="CP139" i="7"/>
  <c r="CY296" i="2"/>
  <c r="CY294" i="2"/>
  <c r="CX293" i="2"/>
  <c r="EC433" i="2" l="1"/>
  <c r="EB433" i="2"/>
  <c r="DY171" i="18"/>
  <c r="DY8" i="18"/>
  <c r="DZ748" i="2"/>
  <c r="EA68" i="18" s="1"/>
  <c r="FB68" i="18" s="1"/>
  <c r="EA51" i="18"/>
  <c r="EA39" i="18" s="1"/>
  <c r="EA8" i="18" s="1"/>
  <c r="DZ115" i="18"/>
  <c r="DZ141" i="18" s="1"/>
  <c r="DZ171" i="18" s="1"/>
  <c r="DZ106" i="18"/>
  <c r="DZ59" i="18"/>
  <c r="DZ76" i="18"/>
  <c r="DZ101" i="15"/>
  <c r="DZ721" i="2"/>
  <c r="EA103" i="15" s="1"/>
  <c r="FB103" i="15" s="1"/>
  <c r="DZ720" i="2"/>
  <c r="EA102" i="15" s="1"/>
  <c r="FB102" i="15" s="1"/>
  <c r="DY719" i="2"/>
  <c r="DZ723" i="2"/>
  <c r="EA105" i="15" s="1"/>
  <c r="FB105" i="15" s="1"/>
  <c r="DZ722" i="2"/>
  <c r="EA104" i="15" s="1"/>
  <c r="FB104" i="15" s="1"/>
  <c r="DZ724" i="2"/>
  <c r="EA106" i="15" s="1"/>
  <c r="FB106" i="15" s="1"/>
  <c r="DZ725" i="2"/>
  <c r="EA107" i="15" s="1"/>
  <c r="FB107" i="15" s="1"/>
  <c r="DW295" i="2"/>
  <c r="DN138" i="7"/>
  <c r="DV302" i="2"/>
  <c r="CQ139" i="7"/>
  <c r="EJ139" i="7" s="1"/>
  <c r="CZ296" i="2"/>
  <c r="CZ294" i="2"/>
  <c r="CY293" i="2"/>
  <c r="EA101" i="15" l="1"/>
  <c r="FB101" i="15" s="1"/>
  <c r="FB76" i="18"/>
  <c r="FB39" i="18"/>
  <c r="FB8" i="18"/>
  <c r="FB51" i="18"/>
  <c r="EA115" i="18"/>
  <c r="EA141" i="18" s="1"/>
  <c r="EA171" i="18" s="1"/>
  <c r="FB171" i="18" s="1"/>
  <c r="EA59" i="18"/>
  <c r="EA106" i="18"/>
  <c r="EA76" i="18"/>
  <c r="EA748" i="2"/>
  <c r="EB68" i="18" s="1"/>
  <c r="EB51" i="18"/>
  <c r="EA725" i="2"/>
  <c r="EB107" i="15" s="1"/>
  <c r="EA724" i="2"/>
  <c r="EB106" i="15" s="1"/>
  <c r="EA722" i="2"/>
  <c r="EB104" i="15" s="1"/>
  <c r="EA720" i="2"/>
  <c r="EB102" i="15" s="1"/>
  <c r="DZ719" i="2"/>
  <c r="EA723" i="2"/>
  <c r="EB105" i="15" s="1"/>
  <c r="EA721" i="2"/>
  <c r="EB103" i="15" s="1"/>
  <c r="DX295" i="2"/>
  <c r="DO138" i="7"/>
  <c r="DW302" i="2"/>
  <c r="CR139" i="7"/>
  <c r="DA296" i="2"/>
  <c r="DA294" i="2"/>
  <c r="CZ293" i="2"/>
  <c r="EB101" i="15" l="1"/>
  <c r="FB141" i="18"/>
  <c r="EB39" i="18"/>
  <c r="EB59" i="18"/>
  <c r="EB76" i="18"/>
  <c r="EB115" i="18"/>
  <c r="EB141" i="18" s="1"/>
  <c r="EB106" i="18"/>
  <c r="EB748" i="2"/>
  <c r="EC68" i="18" s="1"/>
  <c r="EC51" i="18"/>
  <c r="EC39" i="18" s="1"/>
  <c r="EC8" i="18" s="1"/>
  <c r="EB723" i="2"/>
  <c r="EB722" i="2"/>
  <c r="EC104" i="15" s="1"/>
  <c r="EB721" i="2"/>
  <c r="EC103" i="15" s="1"/>
  <c r="EB720" i="2"/>
  <c r="EC102" i="15" s="1"/>
  <c r="EA719" i="2"/>
  <c r="EB724" i="2"/>
  <c r="EC106" i="15" s="1"/>
  <c r="EB725" i="2"/>
  <c r="EC107" i="15" s="1"/>
  <c r="ER138" i="7"/>
  <c r="DY295" i="2"/>
  <c r="DP138" i="7"/>
  <c r="DX302" i="2"/>
  <c r="CS139" i="7"/>
  <c r="DB296" i="2"/>
  <c r="DB294" i="2"/>
  <c r="DA293" i="2"/>
  <c r="EC105" i="15" l="1"/>
  <c r="EC723" i="2"/>
  <c r="EB171" i="18"/>
  <c r="EB8" i="18"/>
  <c r="EC101" i="15"/>
  <c r="EC76" i="18"/>
  <c r="EC106" i="18"/>
  <c r="EC115" i="18"/>
  <c r="EC141" i="18" s="1"/>
  <c r="EC171" i="18" s="1"/>
  <c r="EC59" i="18"/>
  <c r="ED51" i="18"/>
  <c r="FC51" i="18" s="1"/>
  <c r="FJ51" i="18" s="1"/>
  <c r="EC748" i="2"/>
  <c r="ED68" i="18" s="1"/>
  <c r="FC68" i="18" s="1"/>
  <c r="EC721" i="2"/>
  <c r="ED103" i="15" s="1"/>
  <c r="FC103" i="15" s="1"/>
  <c r="FJ103" i="15" s="1"/>
  <c r="EC725" i="2"/>
  <c r="ED107" i="15" s="1"/>
  <c r="FC107" i="15" s="1"/>
  <c r="FJ107" i="15" s="1"/>
  <c r="EC724" i="2"/>
  <c r="ED106" i="15" s="1"/>
  <c r="FC106" i="15" s="1"/>
  <c r="FJ106" i="15" s="1"/>
  <c r="EB719" i="2"/>
  <c r="EC720" i="2"/>
  <c r="ED102" i="15" s="1"/>
  <c r="FC102" i="15" s="1"/>
  <c r="FJ102" i="15" s="1"/>
  <c r="EC722" i="2"/>
  <c r="ED104" i="15" s="1"/>
  <c r="FC104" i="15" s="1"/>
  <c r="FJ104" i="15" s="1"/>
  <c r="DZ295" i="2"/>
  <c r="DQ138" i="7"/>
  <c r="DY302" i="2"/>
  <c r="DC296" i="2"/>
  <c r="CT139" i="7"/>
  <c r="EK139" i="7" s="1"/>
  <c r="DC294" i="2"/>
  <c r="DB293" i="2"/>
  <c r="ED105" i="15" l="1"/>
  <c r="FC105" i="15" s="1"/>
  <c r="FJ105" i="15" s="1"/>
  <c r="FC76" i="18"/>
  <c r="FJ68" i="18"/>
  <c r="ED115" i="18"/>
  <c r="ED141" i="18" s="1"/>
  <c r="ED171" i="18" s="1"/>
  <c r="FC171" i="18" s="1"/>
  <c r="FJ171" i="18" s="1"/>
  <c r="H56" i="24" s="1"/>
  <c r="ED59" i="18"/>
  <c r="ED106" i="18"/>
  <c r="ED76" i="18"/>
  <c r="ED101" i="15"/>
  <c r="FC101" i="15" s="1"/>
  <c r="FJ101" i="15" s="1"/>
  <c r="ED39" i="18"/>
  <c r="EC719" i="2"/>
  <c r="EA295" i="2"/>
  <c r="DR138" i="7"/>
  <c r="DZ302" i="2"/>
  <c r="DD296" i="2"/>
  <c r="CU139" i="7"/>
  <c r="DD294" i="2"/>
  <c r="DC293" i="2"/>
  <c r="FJ76" i="18" l="1"/>
  <c r="H17" i="24"/>
  <c r="FC141" i="18"/>
  <c r="FJ141" i="18" s="1"/>
  <c r="H48" i="24" s="1"/>
  <c r="ED8" i="18"/>
  <c r="FC8" i="18" s="1"/>
  <c r="FJ8" i="18" s="1"/>
  <c r="FC39" i="18"/>
  <c r="FJ39" i="18" s="1"/>
  <c r="H10" i="24" s="1"/>
  <c r="ES138" i="7"/>
  <c r="EB295" i="2"/>
  <c r="DS138" i="7"/>
  <c r="EA302" i="2"/>
  <c r="DE296" i="2"/>
  <c r="CV139" i="7"/>
  <c r="DE294" i="2"/>
  <c r="DD293" i="2"/>
  <c r="EC295" i="2" l="1"/>
  <c r="DU138" i="7" s="1"/>
  <c r="DT138" i="7"/>
  <c r="EB302" i="2"/>
  <c r="DF296" i="2"/>
  <c r="CW139" i="7"/>
  <c r="EL139" i="7" s="1"/>
  <c r="EY139" i="7" s="1"/>
  <c r="DF294" i="2"/>
  <c r="DE293" i="2"/>
  <c r="ET138" i="7" l="1"/>
  <c r="FA138" i="7" s="1"/>
  <c r="EC302" i="2"/>
  <c r="DG296" i="2"/>
  <c r="CX139" i="7"/>
  <c r="DG294" i="2"/>
  <c r="DF293" i="2"/>
  <c r="CY139" i="7" l="1"/>
  <c r="DH296" i="2"/>
  <c r="DH294" i="2"/>
  <c r="DG293" i="2"/>
  <c r="DI296" i="2" l="1"/>
  <c r="CZ139" i="7"/>
  <c r="EM139" i="7" s="1"/>
  <c r="DH293" i="2"/>
  <c r="DI294" i="2"/>
  <c r="DA139" i="7" l="1"/>
  <c r="DJ296" i="2"/>
  <c r="DJ294" i="2"/>
  <c r="DI293" i="2"/>
  <c r="DB139" i="7" l="1"/>
  <c r="DK296" i="2"/>
  <c r="DK294" i="2"/>
  <c r="DJ293" i="2"/>
  <c r="DC139" i="7" l="1"/>
  <c r="EN139" i="7" s="1"/>
  <c r="DL296" i="2"/>
  <c r="DL294" i="2"/>
  <c r="DK293" i="2"/>
  <c r="DD139" i="7" l="1"/>
  <c r="DM296" i="2"/>
  <c r="DM294" i="2"/>
  <c r="DL293" i="2"/>
  <c r="DE139" i="7" l="1"/>
  <c r="DN296" i="2"/>
  <c r="DN294" i="2"/>
  <c r="DM293" i="2"/>
  <c r="DO296" i="2" l="1"/>
  <c r="DF139" i="7"/>
  <c r="EO139" i="7" s="1"/>
  <c r="DO294" i="2"/>
  <c r="DN293" i="2"/>
  <c r="DP296" i="2" l="1"/>
  <c r="DG139" i="7"/>
  <c r="DP294" i="2"/>
  <c r="DO293" i="2"/>
  <c r="DQ296" i="2" l="1"/>
  <c r="DH139" i="7"/>
  <c r="DQ294" i="2"/>
  <c r="DP293" i="2"/>
  <c r="DI139" i="7" l="1"/>
  <c r="EP139" i="7" s="1"/>
  <c r="EZ139" i="7" s="1"/>
  <c r="DR296" i="2"/>
  <c r="DQ293" i="2"/>
  <c r="DR294" i="2"/>
  <c r="DJ137" i="7" s="1"/>
  <c r="DR107" i="15"/>
  <c r="DQ107" i="15"/>
  <c r="DP107" i="15"/>
  <c r="DO107" i="15"/>
  <c r="DN107" i="15"/>
  <c r="DM107" i="15"/>
  <c r="DL107" i="15"/>
  <c r="DK107" i="15"/>
  <c r="DJ107" i="15"/>
  <c r="DI107" i="15"/>
  <c r="DH107" i="15"/>
  <c r="DG107" i="15"/>
  <c r="DF107" i="15"/>
  <c r="DE107" i="15"/>
  <c r="DD107" i="15"/>
  <c r="DC107" i="15"/>
  <c r="DB107" i="15"/>
  <c r="DA107" i="15"/>
  <c r="CZ107" i="15"/>
  <c r="CY107" i="15"/>
  <c r="CX107" i="15"/>
  <c r="CW107" i="15"/>
  <c r="CV107" i="15"/>
  <c r="CU107" i="15"/>
  <c r="CT107" i="15"/>
  <c r="CS107" i="15"/>
  <c r="CR107" i="15"/>
  <c r="DR106" i="15"/>
  <c r="DQ106" i="15"/>
  <c r="DP106" i="15"/>
  <c r="DO106" i="15"/>
  <c r="DN106" i="15"/>
  <c r="DM106" i="15"/>
  <c r="DL106" i="15"/>
  <c r="DK106" i="15"/>
  <c r="DJ106" i="15"/>
  <c r="DI106" i="15"/>
  <c r="DH106" i="15"/>
  <c r="DG106" i="15"/>
  <c r="DF106" i="15"/>
  <c r="DE106" i="15"/>
  <c r="DD106" i="15"/>
  <c r="DC106" i="15"/>
  <c r="DB106" i="15"/>
  <c r="DA106" i="15"/>
  <c r="CZ106" i="15"/>
  <c r="CY106" i="15"/>
  <c r="CX106" i="15"/>
  <c r="CW106" i="15"/>
  <c r="CV106" i="15"/>
  <c r="CU106" i="15"/>
  <c r="CT106" i="15"/>
  <c r="CS106" i="15"/>
  <c r="CR106" i="15"/>
  <c r="DR105" i="15"/>
  <c r="DQ105" i="15"/>
  <c r="DP105" i="15"/>
  <c r="DO105" i="15"/>
  <c r="DN105" i="15"/>
  <c r="DM105" i="15"/>
  <c r="DL105" i="15"/>
  <c r="DK105" i="15"/>
  <c r="DJ105" i="15"/>
  <c r="DI105" i="15"/>
  <c r="DH105" i="15"/>
  <c r="DG105" i="15"/>
  <c r="DF105" i="15"/>
  <c r="DE105" i="15"/>
  <c r="DD105" i="15"/>
  <c r="DC105" i="15"/>
  <c r="DB105" i="15"/>
  <c r="DA105" i="15"/>
  <c r="CZ105" i="15"/>
  <c r="CY105" i="15"/>
  <c r="CX105" i="15"/>
  <c r="CW105" i="15"/>
  <c r="CV105" i="15"/>
  <c r="CU105" i="15"/>
  <c r="CT105" i="15"/>
  <c r="CS105" i="15"/>
  <c r="CR105" i="15"/>
  <c r="DR104" i="15"/>
  <c r="DQ104" i="15"/>
  <c r="DP104" i="15"/>
  <c r="DO104" i="15"/>
  <c r="DN104" i="15"/>
  <c r="DM104" i="15"/>
  <c r="DL104" i="15"/>
  <c r="DK104" i="15"/>
  <c r="DJ104" i="15"/>
  <c r="DI104" i="15"/>
  <c r="DH104" i="15"/>
  <c r="DG104" i="15"/>
  <c r="DF104" i="15"/>
  <c r="DE104" i="15"/>
  <c r="DD104" i="15"/>
  <c r="DC104" i="15"/>
  <c r="DB104" i="15"/>
  <c r="DA104" i="15"/>
  <c r="CZ104" i="15"/>
  <c r="CY104" i="15"/>
  <c r="CX104" i="15"/>
  <c r="CW104" i="15"/>
  <c r="CV104" i="15"/>
  <c r="CU104" i="15"/>
  <c r="CT104" i="15"/>
  <c r="CS104" i="15"/>
  <c r="CR104" i="15"/>
  <c r="DR103" i="15"/>
  <c r="DQ103" i="15"/>
  <c r="DP103" i="15"/>
  <c r="DO103" i="15"/>
  <c r="DN103" i="15"/>
  <c r="DM103" i="15"/>
  <c r="DL103" i="15"/>
  <c r="DK103" i="15"/>
  <c r="DJ103" i="15"/>
  <c r="DI103" i="15"/>
  <c r="DH103" i="15"/>
  <c r="DG103" i="15"/>
  <c r="DF103" i="15"/>
  <c r="DE103" i="15"/>
  <c r="DD103" i="15"/>
  <c r="DC103" i="15"/>
  <c r="DB103" i="15"/>
  <c r="DA103" i="15"/>
  <c r="CZ103" i="15"/>
  <c r="CY103" i="15"/>
  <c r="CX103" i="15"/>
  <c r="CW103" i="15"/>
  <c r="CV103" i="15"/>
  <c r="CU103" i="15"/>
  <c r="CT103" i="15"/>
  <c r="CS103" i="15"/>
  <c r="CR103" i="15"/>
  <c r="DR102" i="15"/>
  <c r="DQ102" i="15"/>
  <c r="DP102" i="15"/>
  <c r="DO102" i="15"/>
  <c r="DN102" i="15"/>
  <c r="DM102" i="15"/>
  <c r="DL102" i="15"/>
  <c r="DK102" i="15"/>
  <c r="DJ102" i="15"/>
  <c r="DI102" i="15"/>
  <c r="DH102" i="15"/>
  <c r="DG102" i="15"/>
  <c r="DF102" i="15"/>
  <c r="DE102" i="15"/>
  <c r="DD102" i="15"/>
  <c r="DC102" i="15"/>
  <c r="DB102" i="15"/>
  <c r="DA102" i="15"/>
  <c r="CZ102" i="15"/>
  <c r="CY102" i="15"/>
  <c r="CX102" i="15"/>
  <c r="CW102" i="15"/>
  <c r="CV102" i="15"/>
  <c r="CU102" i="15"/>
  <c r="CT102" i="15"/>
  <c r="CS102" i="15"/>
  <c r="CR102" i="15"/>
  <c r="C102" i="15"/>
  <c r="D102" i="15"/>
  <c r="E102" i="15"/>
  <c r="F102" i="15"/>
  <c r="G102" i="15"/>
  <c r="H102" i="15"/>
  <c r="I102" i="15"/>
  <c r="J102" i="15"/>
  <c r="K102" i="15"/>
  <c r="L102" i="15"/>
  <c r="M102" i="15"/>
  <c r="N102" i="15"/>
  <c r="O102" i="15"/>
  <c r="P102" i="15"/>
  <c r="Q102" i="15"/>
  <c r="R102" i="15"/>
  <c r="S102" i="15"/>
  <c r="T102" i="15"/>
  <c r="U102" i="15"/>
  <c r="V102" i="15"/>
  <c r="W102" i="15"/>
  <c r="X102" i="15"/>
  <c r="Y102" i="15"/>
  <c r="Z102" i="15"/>
  <c r="AA102" i="15"/>
  <c r="AB102" i="15"/>
  <c r="AC102" i="15"/>
  <c r="AD102" i="15"/>
  <c r="AE102" i="15"/>
  <c r="AF102" i="15"/>
  <c r="AG102" i="15"/>
  <c r="AH102" i="15"/>
  <c r="AI102" i="15"/>
  <c r="AJ102" i="15"/>
  <c r="AK10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AW102" i="15"/>
  <c r="AX102" i="15"/>
  <c r="AY102" i="15"/>
  <c r="AZ102" i="15"/>
  <c r="BA102" i="15"/>
  <c r="BB102" i="15"/>
  <c r="BC102" i="15"/>
  <c r="BD102" i="15"/>
  <c r="BE102" i="15"/>
  <c r="BF102" i="15"/>
  <c r="BG102" i="15"/>
  <c r="BH102" i="15"/>
  <c r="BI102" i="15"/>
  <c r="BJ102" i="15"/>
  <c r="BK102" i="15"/>
  <c r="BL102" i="15"/>
  <c r="BM102" i="15"/>
  <c r="BN102" i="15"/>
  <c r="BO102" i="15"/>
  <c r="BP102" i="15"/>
  <c r="BQ102" i="15"/>
  <c r="BR102" i="15"/>
  <c r="BS102" i="15"/>
  <c r="BT102" i="15"/>
  <c r="BU102" i="15"/>
  <c r="BV102" i="15"/>
  <c r="BW102" i="15"/>
  <c r="BX102" i="15"/>
  <c r="BY102" i="15"/>
  <c r="BZ102" i="15"/>
  <c r="CA102" i="15"/>
  <c r="CB102" i="15"/>
  <c r="CC102" i="15"/>
  <c r="CD102" i="15"/>
  <c r="CE102" i="15"/>
  <c r="CF102" i="15"/>
  <c r="CG102" i="15"/>
  <c r="CH102" i="15"/>
  <c r="CI102" i="15"/>
  <c r="CJ102" i="15"/>
  <c r="CK102" i="15"/>
  <c r="CL102" i="15"/>
  <c r="CM102" i="15"/>
  <c r="CN102" i="15"/>
  <c r="CO102" i="15"/>
  <c r="CP102" i="15"/>
  <c r="CQ102" i="15"/>
  <c r="C103" i="15"/>
  <c r="D103" i="15"/>
  <c r="E103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T103" i="15"/>
  <c r="U103" i="15"/>
  <c r="V103" i="15"/>
  <c r="W103" i="15"/>
  <c r="X103" i="15"/>
  <c r="Y103" i="15"/>
  <c r="Z103" i="15"/>
  <c r="AA103" i="15"/>
  <c r="AB103" i="15"/>
  <c r="AC103" i="15"/>
  <c r="AD103" i="15"/>
  <c r="AE103" i="15"/>
  <c r="AF103" i="15"/>
  <c r="AG103" i="15"/>
  <c r="AH103" i="15"/>
  <c r="AI103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BB103" i="15"/>
  <c r="BC103" i="15"/>
  <c r="BD103" i="15"/>
  <c r="BE103" i="15"/>
  <c r="BF103" i="15"/>
  <c r="BG103" i="15"/>
  <c r="BH103" i="15"/>
  <c r="BI103" i="15"/>
  <c r="BJ103" i="15"/>
  <c r="BK103" i="15"/>
  <c r="BL103" i="15"/>
  <c r="BM103" i="15"/>
  <c r="BN103" i="15"/>
  <c r="BO103" i="15"/>
  <c r="BP103" i="15"/>
  <c r="BQ103" i="15"/>
  <c r="BR103" i="15"/>
  <c r="BS103" i="15"/>
  <c r="BT103" i="15"/>
  <c r="BU103" i="15"/>
  <c r="BV103" i="15"/>
  <c r="BW103" i="15"/>
  <c r="BX103" i="15"/>
  <c r="BY103" i="15"/>
  <c r="BZ103" i="15"/>
  <c r="CA103" i="15"/>
  <c r="CB103" i="15"/>
  <c r="CC103" i="15"/>
  <c r="CD103" i="15"/>
  <c r="CE103" i="15"/>
  <c r="CF103" i="15"/>
  <c r="CG103" i="15"/>
  <c r="CH103" i="15"/>
  <c r="CI103" i="15"/>
  <c r="CJ103" i="15"/>
  <c r="CK103" i="15"/>
  <c r="CL103" i="15"/>
  <c r="CM103" i="15"/>
  <c r="CN103" i="15"/>
  <c r="CO103" i="15"/>
  <c r="CP103" i="15"/>
  <c r="CQ103" i="15"/>
  <c r="C104" i="15"/>
  <c r="D104" i="15"/>
  <c r="E104" i="15"/>
  <c r="F104" i="15"/>
  <c r="G104" i="15"/>
  <c r="H104" i="15"/>
  <c r="I104" i="15"/>
  <c r="J104" i="15"/>
  <c r="K104" i="15"/>
  <c r="L104" i="15"/>
  <c r="M104" i="15"/>
  <c r="N104" i="15"/>
  <c r="O104" i="15"/>
  <c r="P104" i="15"/>
  <c r="Q104" i="15"/>
  <c r="R104" i="15"/>
  <c r="S104" i="15"/>
  <c r="T104" i="15"/>
  <c r="U104" i="15"/>
  <c r="V104" i="15"/>
  <c r="W104" i="15"/>
  <c r="X104" i="15"/>
  <c r="Y104" i="15"/>
  <c r="Z104" i="15"/>
  <c r="AA104" i="15"/>
  <c r="AB104" i="15"/>
  <c r="AC104" i="15"/>
  <c r="AD104" i="15"/>
  <c r="AE104" i="15"/>
  <c r="AF104" i="15"/>
  <c r="AG104" i="15"/>
  <c r="AH104" i="15"/>
  <c r="AI104" i="15"/>
  <c r="AJ104" i="15"/>
  <c r="AK104" i="15"/>
  <c r="AL104" i="15"/>
  <c r="AM104" i="15"/>
  <c r="AN104" i="15"/>
  <c r="AO104" i="15"/>
  <c r="AP104" i="15"/>
  <c r="AQ104" i="15"/>
  <c r="AR104" i="15"/>
  <c r="AS104" i="15"/>
  <c r="AT104" i="15"/>
  <c r="AU104" i="15"/>
  <c r="AV104" i="15"/>
  <c r="AW104" i="15"/>
  <c r="AX104" i="15"/>
  <c r="AY104" i="15"/>
  <c r="AZ104" i="15"/>
  <c r="BA104" i="15"/>
  <c r="BB104" i="15"/>
  <c r="BC104" i="15"/>
  <c r="BD104" i="15"/>
  <c r="BE104" i="15"/>
  <c r="BF104" i="15"/>
  <c r="BG104" i="15"/>
  <c r="BH104" i="15"/>
  <c r="BI104" i="15"/>
  <c r="BJ104" i="15"/>
  <c r="BK104" i="15"/>
  <c r="BL104" i="15"/>
  <c r="BM104" i="15"/>
  <c r="BN104" i="15"/>
  <c r="BO104" i="15"/>
  <c r="BP104" i="15"/>
  <c r="BQ104" i="15"/>
  <c r="BR104" i="15"/>
  <c r="BS104" i="15"/>
  <c r="BT104" i="15"/>
  <c r="BU104" i="15"/>
  <c r="BV104" i="15"/>
  <c r="BW104" i="15"/>
  <c r="BX104" i="15"/>
  <c r="BY104" i="15"/>
  <c r="BZ104" i="15"/>
  <c r="CA104" i="15"/>
  <c r="CB104" i="15"/>
  <c r="CC104" i="15"/>
  <c r="CD104" i="15"/>
  <c r="CE104" i="15"/>
  <c r="CF104" i="15"/>
  <c r="CG104" i="15"/>
  <c r="CH104" i="15"/>
  <c r="CI104" i="15"/>
  <c r="CJ104" i="15"/>
  <c r="CK104" i="15"/>
  <c r="CL104" i="15"/>
  <c r="CM104" i="15"/>
  <c r="CN104" i="15"/>
  <c r="CO104" i="15"/>
  <c r="CP104" i="15"/>
  <c r="CQ104" i="15"/>
  <c r="C105" i="15"/>
  <c r="D105" i="15"/>
  <c r="E105" i="15"/>
  <c r="F105" i="15"/>
  <c r="G105" i="15"/>
  <c r="H105" i="15"/>
  <c r="I105" i="15"/>
  <c r="J105" i="15"/>
  <c r="K105" i="15"/>
  <c r="L105" i="15"/>
  <c r="M105" i="15"/>
  <c r="N105" i="15"/>
  <c r="O105" i="15"/>
  <c r="P105" i="15"/>
  <c r="Q105" i="15"/>
  <c r="R105" i="15"/>
  <c r="S105" i="15"/>
  <c r="T105" i="15"/>
  <c r="U105" i="15"/>
  <c r="V105" i="15"/>
  <c r="W105" i="15"/>
  <c r="X105" i="15"/>
  <c r="Y105" i="15"/>
  <c r="Z105" i="15"/>
  <c r="AA105" i="15"/>
  <c r="AB105" i="15"/>
  <c r="AC105" i="15"/>
  <c r="AD105" i="15"/>
  <c r="AE105" i="15"/>
  <c r="AF105" i="15"/>
  <c r="AG105" i="15"/>
  <c r="AH105" i="15"/>
  <c r="AI105" i="15"/>
  <c r="AJ105" i="15"/>
  <c r="AK105" i="15"/>
  <c r="AL105" i="15"/>
  <c r="AM105" i="15"/>
  <c r="AN105" i="15"/>
  <c r="AO105" i="15"/>
  <c r="AP105" i="15"/>
  <c r="AQ105" i="15"/>
  <c r="AR105" i="15"/>
  <c r="AS105" i="15"/>
  <c r="AT105" i="15"/>
  <c r="AU105" i="15"/>
  <c r="AV105" i="15"/>
  <c r="AW105" i="15"/>
  <c r="AX105" i="15"/>
  <c r="AY105" i="15"/>
  <c r="AZ105" i="15"/>
  <c r="BA105" i="15"/>
  <c r="BB105" i="15"/>
  <c r="BC105" i="15"/>
  <c r="BD105" i="15"/>
  <c r="BE105" i="15"/>
  <c r="BF105" i="15"/>
  <c r="BG105" i="15"/>
  <c r="BH105" i="15"/>
  <c r="BI105" i="15"/>
  <c r="BJ105" i="15"/>
  <c r="BK105" i="15"/>
  <c r="BL105" i="15"/>
  <c r="BM105" i="15"/>
  <c r="BN105" i="15"/>
  <c r="BO105" i="15"/>
  <c r="BP105" i="15"/>
  <c r="BQ105" i="15"/>
  <c r="BR105" i="15"/>
  <c r="BS105" i="15"/>
  <c r="BT105" i="15"/>
  <c r="BU105" i="15"/>
  <c r="BV105" i="15"/>
  <c r="BW105" i="15"/>
  <c r="BX105" i="15"/>
  <c r="BY105" i="15"/>
  <c r="BZ105" i="15"/>
  <c r="CA105" i="15"/>
  <c r="CB105" i="15"/>
  <c r="CC105" i="15"/>
  <c r="CD105" i="15"/>
  <c r="CE105" i="15"/>
  <c r="CF105" i="15"/>
  <c r="CG105" i="15"/>
  <c r="CH105" i="15"/>
  <c r="CI105" i="15"/>
  <c r="CJ105" i="15"/>
  <c r="CK105" i="15"/>
  <c r="CL105" i="15"/>
  <c r="CM105" i="15"/>
  <c r="CN105" i="15"/>
  <c r="CO105" i="15"/>
  <c r="CP105" i="15"/>
  <c r="CQ105" i="15"/>
  <c r="C106" i="15"/>
  <c r="D106" i="15"/>
  <c r="E106" i="15"/>
  <c r="F106" i="15"/>
  <c r="G106" i="15"/>
  <c r="H106" i="15"/>
  <c r="I106" i="15"/>
  <c r="J106" i="15"/>
  <c r="K106" i="15"/>
  <c r="L106" i="15"/>
  <c r="M106" i="15"/>
  <c r="N106" i="15"/>
  <c r="O106" i="15"/>
  <c r="P106" i="15"/>
  <c r="Q106" i="15"/>
  <c r="R106" i="15"/>
  <c r="S106" i="15"/>
  <c r="T106" i="15"/>
  <c r="U106" i="15"/>
  <c r="V106" i="15"/>
  <c r="W106" i="15"/>
  <c r="X106" i="15"/>
  <c r="Y106" i="15"/>
  <c r="Z106" i="15"/>
  <c r="AA106" i="15"/>
  <c r="AB106" i="15"/>
  <c r="AC106" i="15"/>
  <c r="AD106" i="15"/>
  <c r="AE106" i="15"/>
  <c r="AF106" i="15"/>
  <c r="AG106" i="15"/>
  <c r="AH106" i="15"/>
  <c r="AI106" i="15"/>
  <c r="AJ106" i="15"/>
  <c r="AK106" i="15"/>
  <c r="AL106" i="15"/>
  <c r="AM106" i="15"/>
  <c r="AN106" i="15"/>
  <c r="AO106" i="15"/>
  <c r="AP106" i="15"/>
  <c r="AQ106" i="15"/>
  <c r="AR106" i="15"/>
  <c r="AS106" i="15"/>
  <c r="AT106" i="15"/>
  <c r="AU106" i="15"/>
  <c r="AV106" i="15"/>
  <c r="AW106" i="15"/>
  <c r="AX106" i="15"/>
  <c r="AY106" i="15"/>
  <c r="AZ106" i="15"/>
  <c r="BA106" i="15"/>
  <c r="BB106" i="15"/>
  <c r="BC106" i="15"/>
  <c r="BD106" i="15"/>
  <c r="BE106" i="15"/>
  <c r="BF106" i="15"/>
  <c r="BG106" i="15"/>
  <c r="BH106" i="15"/>
  <c r="BI106" i="15"/>
  <c r="BJ106" i="15"/>
  <c r="BK106" i="15"/>
  <c r="BL106" i="15"/>
  <c r="BM106" i="15"/>
  <c r="BN106" i="15"/>
  <c r="BO106" i="15"/>
  <c r="BP106" i="15"/>
  <c r="BQ106" i="15"/>
  <c r="BR106" i="15"/>
  <c r="BS106" i="15"/>
  <c r="BT106" i="15"/>
  <c r="BU106" i="15"/>
  <c r="BV106" i="15"/>
  <c r="BW106" i="15"/>
  <c r="BX106" i="15"/>
  <c r="BY106" i="15"/>
  <c r="BZ106" i="15"/>
  <c r="CA106" i="15"/>
  <c r="CB106" i="15"/>
  <c r="CC106" i="15"/>
  <c r="CD106" i="15"/>
  <c r="CE106" i="15"/>
  <c r="CF106" i="15"/>
  <c r="CG106" i="15"/>
  <c r="CH106" i="15"/>
  <c r="CI106" i="15"/>
  <c r="CJ106" i="15"/>
  <c r="CK106" i="15"/>
  <c r="CL106" i="15"/>
  <c r="CM106" i="15"/>
  <c r="CN106" i="15"/>
  <c r="CO106" i="15"/>
  <c r="CP106" i="15"/>
  <c r="CQ106" i="15"/>
  <c r="C107" i="15"/>
  <c r="D107" i="15"/>
  <c r="E107" i="15"/>
  <c r="F107" i="15"/>
  <c r="G107" i="15"/>
  <c r="H107" i="15"/>
  <c r="I107" i="15"/>
  <c r="J107" i="15"/>
  <c r="K107" i="15"/>
  <c r="L107" i="15"/>
  <c r="M107" i="15"/>
  <c r="N107" i="15"/>
  <c r="O107" i="15"/>
  <c r="P107" i="15"/>
  <c r="Q107" i="15"/>
  <c r="R107" i="15"/>
  <c r="S107" i="15"/>
  <c r="T107" i="15"/>
  <c r="U107" i="15"/>
  <c r="V107" i="15"/>
  <c r="W107" i="15"/>
  <c r="X107" i="15"/>
  <c r="Y107" i="15"/>
  <c r="Z107" i="15"/>
  <c r="AA107" i="15"/>
  <c r="AB107" i="15"/>
  <c r="AC107" i="15"/>
  <c r="AD107" i="15"/>
  <c r="AE107" i="15"/>
  <c r="AF107" i="15"/>
  <c r="AG107" i="15"/>
  <c r="AH107" i="15"/>
  <c r="AI107" i="15"/>
  <c r="AJ107" i="15"/>
  <c r="AK107" i="15"/>
  <c r="AL107" i="15"/>
  <c r="AM107" i="15"/>
  <c r="AN107" i="15"/>
  <c r="AO107" i="15"/>
  <c r="AP107" i="15"/>
  <c r="AQ107" i="15"/>
  <c r="AR107" i="15"/>
  <c r="AS107" i="15"/>
  <c r="AT107" i="15"/>
  <c r="AU107" i="15"/>
  <c r="AV107" i="15"/>
  <c r="AW107" i="15"/>
  <c r="AX107" i="15"/>
  <c r="AY107" i="15"/>
  <c r="AZ107" i="15"/>
  <c r="BA107" i="15"/>
  <c r="BB107" i="15"/>
  <c r="BC107" i="15"/>
  <c r="BD107" i="15"/>
  <c r="BE107" i="15"/>
  <c r="BF107" i="15"/>
  <c r="BG107" i="15"/>
  <c r="BH107" i="15"/>
  <c r="BI107" i="15"/>
  <c r="BJ107" i="15"/>
  <c r="BK107" i="15"/>
  <c r="BL107" i="15"/>
  <c r="BM107" i="15"/>
  <c r="BN107" i="15"/>
  <c r="BO107" i="15"/>
  <c r="BP107" i="15"/>
  <c r="BQ107" i="15"/>
  <c r="BR107" i="15"/>
  <c r="BS107" i="15"/>
  <c r="BT107" i="15"/>
  <c r="BU107" i="15"/>
  <c r="BV107" i="15"/>
  <c r="BW107" i="15"/>
  <c r="BX107" i="15"/>
  <c r="BY107" i="15"/>
  <c r="BZ107" i="15"/>
  <c r="CA107" i="15"/>
  <c r="CB107" i="15"/>
  <c r="CC107" i="15"/>
  <c r="CD107" i="15"/>
  <c r="CE107" i="15"/>
  <c r="CF107" i="15"/>
  <c r="CG107" i="15"/>
  <c r="CH107" i="15"/>
  <c r="CI107" i="15"/>
  <c r="CJ107" i="15"/>
  <c r="CK107" i="15"/>
  <c r="CL107" i="15"/>
  <c r="CM107" i="15"/>
  <c r="CN107" i="15"/>
  <c r="CO107" i="15"/>
  <c r="CP107" i="15"/>
  <c r="CQ107" i="15"/>
  <c r="C719" i="2"/>
  <c r="D719" i="2"/>
  <c r="E719" i="2"/>
  <c r="F719" i="2"/>
  <c r="G719" i="2"/>
  <c r="H719" i="2"/>
  <c r="I719" i="2"/>
  <c r="J719" i="2"/>
  <c r="K719" i="2"/>
  <c r="L719" i="2"/>
  <c r="M719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AE719" i="2"/>
  <c r="AF719" i="2"/>
  <c r="AG719" i="2"/>
  <c r="AH719" i="2"/>
  <c r="AI719" i="2"/>
  <c r="AJ719" i="2"/>
  <c r="AK719" i="2"/>
  <c r="AL719" i="2"/>
  <c r="AM719" i="2"/>
  <c r="AN719" i="2"/>
  <c r="AO719" i="2"/>
  <c r="AP719" i="2"/>
  <c r="AQ719" i="2"/>
  <c r="AR719" i="2"/>
  <c r="AS719" i="2"/>
  <c r="AT719" i="2"/>
  <c r="AU719" i="2"/>
  <c r="AV719" i="2"/>
  <c r="AW719" i="2"/>
  <c r="AX719" i="2"/>
  <c r="AY719" i="2"/>
  <c r="AZ719" i="2"/>
  <c r="BA719" i="2"/>
  <c r="BB719" i="2"/>
  <c r="BC719" i="2"/>
  <c r="BD719" i="2"/>
  <c r="BE719" i="2"/>
  <c r="BF719" i="2"/>
  <c r="BG719" i="2"/>
  <c r="BH719" i="2"/>
  <c r="BI719" i="2"/>
  <c r="BJ719" i="2"/>
  <c r="BK719" i="2"/>
  <c r="BL719" i="2"/>
  <c r="BM719" i="2"/>
  <c r="BN719" i="2"/>
  <c r="BO719" i="2"/>
  <c r="BP719" i="2"/>
  <c r="BQ719" i="2"/>
  <c r="BR719" i="2"/>
  <c r="BS719" i="2"/>
  <c r="BT719" i="2"/>
  <c r="BU719" i="2"/>
  <c r="BV719" i="2"/>
  <c r="BW719" i="2"/>
  <c r="BX719" i="2"/>
  <c r="BY719" i="2"/>
  <c r="BZ719" i="2"/>
  <c r="CA719" i="2"/>
  <c r="CB719" i="2"/>
  <c r="CC719" i="2"/>
  <c r="CD719" i="2"/>
  <c r="CE719" i="2"/>
  <c r="CF719" i="2"/>
  <c r="CG719" i="2"/>
  <c r="CH719" i="2"/>
  <c r="CI719" i="2"/>
  <c r="CJ719" i="2"/>
  <c r="CK719" i="2"/>
  <c r="CL719" i="2"/>
  <c r="CM719" i="2"/>
  <c r="CN719" i="2"/>
  <c r="CO719" i="2"/>
  <c r="CP719" i="2"/>
  <c r="B719" i="2"/>
  <c r="CU569" i="2"/>
  <c r="CV569" i="2" s="1"/>
  <c r="CW569" i="2" s="1"/>
  <c r="CX569" i="2" s="1"/>
  <c r="CY569" i="2" s="1"/>
  <c r="CZ569" i="2" s="1"/>
  <c r="DA569" i="2" s="1"/>
  <c r="DB569" i="2" s="1"/>
  <c r="DC569" i="2" s="1"/>
  <c r="DD569" i="2" s="1"/>
  <c r="DE569" i="2" s="1"/>
  <c r="DF569" i="2" s="1"/>
  <c r="DG569" i="2" s="1"/>
  <c r="DH569" i="2" s="1"/>
  <c r="DI569" i="2" s="1"/>
  <c r="DJ569" i="2" s="1"/>
  <c r="DK569" i="2" s="1"/>
  <c r="DL569" i="2" s="1"/>
  <c r="DM569" i="2" s="1"/>
  <c r="DN569" i="2" s="1"/>
  <c r="DO569" i="2" s="1"/>
  <c r="DP569" i="2" s="1"/>
  <c r="DQ569" i="2" s="1"/>
  <c r="DR569" i="2" s="1"/>
  <c r="CU568" i="2"/>
  <c r="CV568" i="2" s="1"/>
  <c r="CW568" i="2" s="1"/>
  <c r="CX568" i="2" s="1"/>
  <c r="CY568" i="2" s="1"/>
  <c r="CZ568" i="2" s="1"/>
  <c r="DA568" i="2" s="1"/>
  <c r="DB568" i="2" s="1"/>
  <c r="DC568" i="2" s="1"/>
  <c r="DD568" i="2" s="1"/>
  <c r="DE568" i="2" s="1"/>
  <c r="DF568" i="2" s="1"/>
  <c r="DG568" i="2" s="1"/>
  <c r="DH568" i="2" s="1"/>
  <c r="DI568" i="2" s="1"/>
  <c r="DJ568" i="2" s="1"/>
  <c r="DK568" i="2" s="1"/>
  <c r="DL568" i="2" s="1"/>
  <c r="DM568" i="2" s="1"/>
  <c r="DN568" i="2" s="1"/>
  <c r="DO568" i="2" s="1"/>
  <c r="DP568" i="2" s="1"/>
  <c r="DQ568" i="2" s="1"/>
  <c r="DR568" i="2" s="1"/>
  <c r="CU567" i="2"/>
  <c r="CV567" i="2" s="1"/>
  <c r="CW567" i="2" s="1"/>
  <c r="CX567" i="2" s="1"/>
  <c r="CY567" i="2" s="1"/>
  <c r="CZ567" i="2" s="1"/>
  <c r="DA567" i="2" s="1"/>
  <c r="DB567" i="2" s="1"/>
  <c r="DC567" i="2" s="1"/>
  <c r="DD567" i="2" s="1"/>
  <c r="DE567" i="2" s="1"/>
  <c r="DF567" i="2" s="1"/>
  <c r="DG567" i="2" s="1"/>
  <c r="DH567" i="2" s="1"/>
  <c r="DI567" i="2" s="1"/>
  <c r="DJ567" i="2" s="1"/>
  <c r="DK567" i="2" s="1"/>
  <c r="DL567" i="2" s="1"/>
  <c r="DM567" i="2" s="1"/>
  <c r="DN567" i="2" s="1"/>
  <c r="DO567" i="2" s="1"/>
  <c r="DP567" i="2" s="1"/>
  <c r="DQ567" i="2" s="1"/>
  <c r="DR567" i="2" s="1"/>
  <c r="CU566" i="2"/>
  <c r="CV566" i="2" s="1"/>
  <c r="CW566" i="2" s="1"/>
  <c r="CX566" i="2" s="1"/>
  <c r="CY566" i="2" s="1"/>
  <c r="CZ566" i="2" s="1"/>
  <c r="DA566" i="2" s="1"/>
  <c r="DB566" i="2" s="1"/>
  <c r="DC566" i="2" s="1"/>
  <c r="DD566" i="2" s="1"/>
  <c r="DE566" i="2" s="1"/>
  <c r="DF566" i="2" s="1"/>
  <c r="DG566" i="2" s="1"/>
  <c r="DH566" i="2" s="1"/>
  <c r="DI566" i="2" s="1"/>
  <c r="DJ566" i="2" s="1"/>
  <c r="DK566" i="2" s="1"/>
  <c r="DL566" i="2" s="1"/>
  <c r="DM566" i="2" s="1"/>
  <c r="DN566" i="2" s="1"/>
  <c r="DO566" i="2" s="1"/>
  <c r="DP566" i="2" s="1"/>
  <c r="DQ566" i="2" s="1"/>
  <c r="DR566" i="2" s="1"/>
  <c r="CT565" i="2"/>
  <c r="CU565" i="2" s="1"/>
  <c r="CT563" i="2"/>
  <c r="AB574" i="2"/>
  <c r="CR575" i="2"/>
  <c r="CQ575" i="2"/>
  <c r="CP575" i="2"/>
  <c r="CO575" i="2"/>
  <c r="CN575" i="2"/>
  <c r="CM575" i="2"/>
  <c r="CL575" i="2"/>
  <c r="CK575" i="2"/>
  <c r="CJ575" i="2"/>
  <c r="CI575" i="2"/>
  <c r="CH575" i="2"/>
  <c r="CG575" i="2"/>
  <c r="CF575" i="2"/>
  <c r="CE575" i="2"/>
  <c r="CD575" i="2"/>
  <c r="CC575" i="2"/>
  <c r="CB575" i="2"/>
  <c r="CA575" i="2"/>
  <c r="BZ575" i="2"/>
  <c r="BY575" i="2"/>
  <c r="BX575" i="2"/>
  <c r="BW575" i="2"/>
  <c r="BV575" i="2"/>
  <c r="BU575" i="2"/>
  <c r="BT575" i="2"/>
  <c r="BS575" i="2"/>
  <c r="BR575" i="2"/>
  <c r="BQ575" i="2"/>
  <c r="BP575" i="2"/>
  <c r="BO575" i="2"/>
  <c r="BN575" i="2"/>
  <c r="BM575" i="2"/>
  <c r="BL575" i="2"/>
  <c r="BK575" i="2"/>
  <c r="BJ575" i="2"/>
  <c r="BI575" i="2"/>
  <c r="BH575" i="2"/>
  <c r="BG575" i="2"/>
  <c r="BF575" i="2"/>
  <c r="BE575" i="2"/>
  <c r="BD575" i="2"/>
  <c r="BC575" i="2"/>
  <c r="BB575" i="2"/>
  <c r="BA575" i="2"/>
  <c r="AZ575" i="2"/>
  <c r="AY575" i="2"/>
  <c r="CR574" i="2"/>
  <c r="CQ574" i="2"/>
  <c r="CP574" i="2"/>
  <c r="CO574" i="2"/>
  <c r="CN574" i="2"/>
  <c r="CM574" i="2"/>
  <c r="CL574" i="2"/>
  <c r="CK574" i="2"/>
  <c r="CJ574" i="2"/>
  <c r="CI574" i="2"/>
  <c r="CH574" i="2"/>
  <c r="CG574" i="2"/>
  <c r="CF574" i="2"/>
  <c r="CE574" i="2"/>
  <c r="CD574" i="2"/>
  <c r="CC574" i="2"/>
  <c r="CB574" i="2"/>
  <c r="CA574" i="2"/>
  <c r="BZ574" i="2"/>
  <c r="BY574" i="2"/>
  <c r="BX574" i="2"/>
  <c r="BW574" i="2"/>
  <c r="BV574" i="2"/>
  <c r="BU574" i="2"/>
  <c r="BT574" i="2"/>
  <c r="BS574" i="2"/>
  <c r="BR574" i="2"/>
  <c r="BQ574" i="2"/>
  <c r="BP574" i="2"/>
  <c r="BO574" i="2"/>
  <c r="BN574" i="2"/>
  <c r="BM574" i="2"/>
  <c r="BL574" i="2"/>
  <c r="BK574" i="2"/>
  <c r="BJ574" i="2"/>
  <c r="BI574" i="2"/>
  <c r="BH574" i="2"/>
  <c r="BG574" i="2"/>
  <c r="BF574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CS575" i="2"/>
  <c r="CT575" i="2" s="1"/>
  <c r="CU575" i="2" s="1"/>
  <c r="CV575" i="2" s="1"/>
  <c r="CW575" i="2" s="1"/>
  <c r="CX575" i="2" s="1"/>
  <c r="CY575" i="2" s="1"/>
  <c r="CZ575" i="2" s="1"/>
  <c r="DA575" i="2" s="1"/>
  <c r="DB575" i="2" s="1"/>
  <c r="DC575" i="2" s="1"/>
  <c r="DD575" i="2" s="1"/>
  <c r="DE575" i="2" s="1"/>
  <c r="DF575" i="2" s="1"/>
  <c r="DG575" i="2" s="1"/>
  <c r="DH575" i="2" s="1"/>
  <c r="DI575" i="2" s="1"/>
  <c r="DJ575" i="2" s="1"/>
  <c r="DK575" i="2" s="1"/>
  <c r="DL575" i="2" s="1"/>
  <c r="DM575" i="2" s="1"/>
  <c r="DN575" i="2" s="1"/>
  <c r="DO575" i="2" s="1"/>
  <c r="DP575" i="2" s="1"/>
  <c r="DQ575" i="2" s="1"/>
  <c r="DR575" i="2" s="1"/>
  <c r="DS575" i="2" s="1"/>
  <c r="DT575" i="2" s="1"/>
  <c r="DU575" i="2" s="1"/>
  <c r="DV575" i="2" s="1"/>
  <c r="DW575" i="2" s="1"/>
  <c r="DX575" i="2" s="1"/>
  <c r="DY575" i="2" s="1"/>
  <c r="DZ575" i="2" s="1"/>
  <c r="EA575" i="2" s="1"/>
  <c r="EB575" i="2" s="1"/>
  <c r="EC575" i="2" s="1"/>
  <c r="CS574" i="2"/>
  <c r="CT574" i="2" s="1"/>
  <c r="CU574" i="2" s="1"/>
  <c r="CV574" i="2" s="1"/>
  <c r="CW574" i="2" s="1"/>
  <c r="CX574" i="2" s="1"/>
  <c r="CY574" i="2" s="1"/>
  <c r="CZ574" i="2" s="1"/>
  <c r="DA574" i="2" s="1"/>
  <c r="DB574" i="2" s="1"/>
  <c r="DC574" i="2" s="1"/>
  <c r="DD574" i="2" s="1"/>
  <c r="DE574" i="2" s="1"/>
  <c r="DF574" i="2" s="1"/>
  <c r="DG574" i="2" s="1"/>
  <c r="DH574" i="2" s="1"/>
  <c r="DI574" i="2" s="1"/>
  <c r="DJ574" i="2" s="1"/>
  <c r="DK574" i="2" s="1"/>
  <c r="DL574" i="2" s="1"/>
  <c r="DM574" i="2" s="1"/>
  <c r="DN574" i="2" s="1"/>
  <c r="DO574" i="2" s="1"/>
  <c r="DP574" i="2" s="1"/>
  <c r="DQ574" i="2" s="1"/>
  <c r="DR574" i="2" s="1"/>
  <c r="DS574" i="2" s="1"/>
  <c r="DT574" i="2" s="1"/>
  <c r="DU574" i="2" s="1"/>
  <c r="DV574" i="2" s="1"/>
  <c r="DW574" i="2" s="1"/>
  <c r="DX574" i="2" s="1"/>
  <c r="DY574" i="2" s="1"/>
  <c r="DZ574" i="2" s="1"/>
  <c r="EA574" i="2" s="1"/>
  <c r="EB574" i="2" s="1"/>
  <c r="EC574" i="2" s="1"/>
  <c r="C96" i="15"/>
  <c r="C147" i="18" s="1"/>
  <c r="D96" i="15"/>
  <c r="D147" i="18" s="1"/>
  <c r="E96" i="15"/>
  <c r="E147" i="18" s="1"/>
  <c r="F96" i="15"/>
  <c r="F147" i="18" s="1"/>
  <c r="G96" i="15"/>
  <c r="G147" i="18" s="1"/>
  <c r="H96" i="15"/>
  <c r="H147" i="18" s="1"/>
  <c r="I96" i="15"/>
  <c r="I147" i="18" s="1"/>
  <c r="J96" i="15"/>
  <c r="J147" i="18" s="1"/>
  <c r="K96" i="15"/>
  <c r="K147" i="18" s="1"/>
  <c r="C86" i="15"/>
  <c r="C132" i="18" s="1"/>
  <c r="D86" i="15"/>
  <c r="D132" i="18" s="1"/>
  <c r="E86" i="15"/>
  <c r="E132" i="18" s="1"/>
  <c r="F86" i="15"/>
  <c r="F132" i="18" s="1"/>
  <c r="G86" i="15"/>
  <c r="G132" i="18" s="1"/>
  <c r="H86" i="15"/>
  <c r="H132" i="18" s="1"/>
  <c r="I86" i="15"/>
  <c r="I132" i="18" s="1"/>
  <c r="J86" i="15"/>
  <c r="J132" i="18" s="1"/>
  <c r="K86" i="15"/>
  <c r="K132" i="18" s="1"/>
  <c r="L86" i="15"/>
  <c r="L132" i="18" s="1"/>
  <c r="M86" i="15"/>
  <c r="M132" i="18" s="1"/>
  <c r="N86" i="15"/>
  <c r="N132" i="18" s="1"/>
  <c r="O86" i="15"/>
  <c r="O132" i="18" s="1"/>
  <c r="P86" i="15"/>
  <c r="P132" i="18" s="1"/>
  <c r="Q86" i="15"/>
  <c r="Q132" i="18" s="1"/>
  <c r="R86" i="15"/>
  <c r="R132" i="18" s="1"/>
  <c r="S86" i="15"/>
  <c r="S132" i="18" s="1"/>
  <c r="T86" i="15"/>
  <c r="T132" i="18" s="1"/>
  <c r="U86" i="15"/>
  <c r="U132" i="18" s="1"/>
  <c r="V86" i="15"/>
  <c r="V132" i="18" s="1"/>
  <c r="W86" i="15"/>
  <c r="W132" i="18" s="1"/>
  <c r="X86" i="15"/>
  <c r="X132" i="18" s="1"/>
  <c r="Y86" i="15"/>
  <c r="Y132" i="18" s="1"/>
  <c r="Z86" i="15"/>
  <c r="Z132" i="18" s="1"/>
  <c r="AA86" i="15"/>
  <c r="AA132" i="18" s="1"/>
  <c r="AB86" i="15"/>
  <c r="AB132" i="18" s="1"/>
  <c r="AC86" i="15"/>
  <c r="AC132" i="18" s="1"/>
  <c r="AD86" i="15"/>
  <c r="AD132" i="18" s="1"/>
  <c r="AE86" i="15"/>
  <c r="AE132" i="18" s="1"/>
  <c r="AF86" i="15"/>
  <c r="AF132" i="18" s="1"/>
  <c r="AG86" i="15"/>
  <c r="AG132" i="18" s="1"/>
  <c r="AH86" i="15"/>
  <c r="AH132" i="18" s="1"/>
  <c r="AI86" i="15"/>
  <c r="AI132" i="18" s="1"/>
  <c r="AJ86" i="15"/>
  <c r="AJ132" i="18" s="1"/>
  <c r="AK86" i="15"/>
  <c r="AK132" i="18" s="1"/>
  <c r="AL86" i="15"/>
  <c r="AL132" i="18" s="1"/>
  <c r="AM86" i="15"/>
  <c r="AM132" i="18" s="1"/>
  <c r="AN86" i="15"/>
  <c r="AN132" i="18" s="1"/>
  <c r="AO86" i="15"/>
  <c r="AO132" i="18" s="1"/>
  <c r="AP86" i="15"/>
  <c r="AP132" i="18" s="1"/>
  <c r="AQ86" i="15"/>
  <c r="AQ132" i="18" s="1"/>
  <c r="AR86" i="15"/>
  <c r="AR132" i="18" s="1"/>
  <c r="AS86" i="15"/>
  <c r="AS132" i="18" s="1"/>
  <c r="AT86" i="15"/>
  <c r="AT132" i="18" s="1"/>
  <c r="AU86" i="15"/>
  <c r="AU132" i="18" s="1"/>
  <c r="AV86" i="15"/>
  <c r="AV132" i="18" s="1"/>
  <c r="AW86" i="15"/>
  <c r="AW132" i="18" s="1"/>
  <c r="AX86" i="15"/>
  <c r="AX132" i="18" s="1"/>
  <c r="AY86" i="15"/>
  <c r="AY132" i="18" s="1"/>
  <c r="AZ86" i="15"/>
  <c r="AZ132" i="18" s="1"/>
  <c r="BA86" i="15"/>
  <c r="BA132" i="18" s="1"/>
  <c r="BB86" i="15"/>
  <c r="BB132" i="18" s="1"/>
  <c r="BC86" i="15"/>
  <c r="BC132" i="18" s="1"/>
  <c r="BD86" i="15"/>
  <c r="BD132" i="18" s="1"/>
  <c r="BE86" i="15"/>
  <c r="BE132" i="18" s="1"/>
  <c r="BF86" i="15"/>
  <c r="BF132" i="18" s="1"/>
  <c r="BG86" i="15"/>
  <c r="BG132" i="18" s="1"/>
  <c r="BH86" i="15"/>
  <c r="BH132" i="18" s="1"/>
  <c r="BI86" i="15"/>
  <c r="BI132" i="18" s="1"/>
  <c r="BJ86" i="15"/>
  <c r="BJ132" i="18" s="1"/>
  <c r="BK86" i="15"/>
  <c r="BK132" i="18" s="1"/>
  <c r="BL86" i="15"/>
  <c r="BL132" i="18" s="1"/>
  <c r="BM86" i="15"/>
  <c r="BM132" i="18" s="1"/>
  <c r="BN86" i="15"/>
  <c r="BN132" i="18" s="1"/>
  <c r="BO86" i="15"/>
  <c r="BO132" i="18" s="1"/>
  <c r="BP86" i="15"/>
  <c r="BP132" i="18" s="1"/>
  <c r="BQ86" i="15"/>
  <c r="BQ132" i="18" s="1"/>
  <c r="BR86" i="15"/>
  <c r="BR132" i="18" s="1"/>
  <c r="BS86" i="15"/>
  <c r="BS132" i="18" s="1"/>
  <c r="BT86" i="15"/>
  <c r="BT132" i="18" s="1"/>
  <c r="BU86" i="15"/>
  <c r="BU132" i="18" s="1"/>
  <c r="BV86" i="15"/>
  <c r="BV132" i="18" s="1"/>
  <c r="BW86" i="15"/>
  <c r="BW132" i="18" s="1"/>
  <c r="BX86" i="15"/>
  <c r="BX132" i="18" s="1"/>
  <c r="DS566" i="2" l="1"/>
  <c r="CS151" i="13"/>
  <c r="DS567" i="2"/>
  <c r="CS152" i="13"/>
  <c r="DS568" i="2"/>
  <c r="CS153" i="13"/>
  <c r="DS569" i="2"/>
  <c r="CS154" i="13"/>
  <c r="DS296" i="2"/>
  <c r="DJ139" i="7"/>
  <c r="DS294" i="2"/>
  <c r="DK137" i="7" s="1"/>
  <c r="DR293" i="2"/>
  <c r="BE101" i="15"/>
  <c r="EJ103" i="15"/>
  <c r="EV102" i="15"/>
  <c r="EU103" i="15"/>
  <c r="ET104" i="15"/>
  <c r="ES105" i="15"/>
  <c r="ER106" i="15"/>
  <c r="EQ107" i="15"/>
  <c r="EY107" i="15"/>
  <c r="EQ104" i="15"/>
  <c r="EY104" i="15"/>
  <c r="DL101" i="15"/>
  <c r="EX105" i="15"/>
  <c r="BH101" i="15"/>
  <c r="AJ101" i="15"/>
  <c r="EW106" i="15"/>
  <c r="ER102" i="15"/>
  <c r="DC101" i="15"/>
  <c r="EQ103" i="15"/>
  <c r="EY103" i="15"/>
  <c r="EX104" i="15"/>
  <c r="EW105" i="15"/>
  <c r="EV106" i="15"/>
  <c r="ES102" i="15"/>
  <c r="EV107" i="15"/>
  <c r="ER103" i="15"/>
  <c r="EU107" i="15"/>
  <c r="EX107" i="15"/>
  <c r="EG104" i="15"/>
  <c r="EG86" i="15"/>
  <c r="EW97" i="15"/>
  <c r="EG97" i="15"/>
  <c r="EJ107" i="15"/>
  <c r="EI106" i="15"/>
  <c r="EP105" i="15"/>
  <c r="EH105" i="15"/>
  <c r="EF103" i="15"/>
  <c r="ES97" i="15"/>
  <c r="EN103" i="15"/>
  <c r="ER97" i="15"/>
  <c r="EJ97" i="15"/>
  <c r="EJ106" i="15"/>
  <c r="EP104" i="15"/>
  <c r="EH104" i="15"/>
  <c r="EG103" i="15"/>
  <c r="EN102" i="15"/>
  <c r="EQ106" i="15"/>
  <c r="EY106" i="15"/>
  <c r="EI105" i="15"/>
  <c r="EF102" i="15"/>
  <c r="ET106" i="15"/>
  <c r="ES107" i="15"/>
  <c r="EG105" i="15"/>
  <c r="EN107" i="15"/>
  <c r="EF107" i="15"/>
  <c r="EM106" i="15"/>
  <c r="EL105" i="15"/>
  <c r="BT101" i="15"/>
  <c r="EI102" i="15"/>
  <c r="AV101" i="15"/>
  <c r="X101" i="15"/>
  <c r="DB101" i="15"/>
  <c r="EW102" i="15"/>
  <c r="EV103" i="15"/>
  <c r="EU104" i="15"/>
  <c r="ET105" i="15"/>
  <c r="ES106" i="15"/>
  <c r="ER107" i="15"/>
  <c r="EO103" i="15"/>
  <c r="EK103" i="15"/>
  <c r="ET97" i="15"/>
  <c r="EY97" i="15"/>
  <c r="EI97" i="15"/>
  <c r="EP107" i="15"/>
  <c r="EH107" i="15"/>
  <c r="EK106" i="15"/>
  <c r="EO106" i="15"/>
  <c r="EG106" i="15"/>
  <c r="EN105" i="15"/>
  <c r="EF105" i="15"/>
  <c r="EM104" i="15"/>
  <c r="EL103" i="15"/>
  <c r="EU102" i="15"/>
  <c r="ET103" i="15"/>
  <c r="ES104" i="15"/>
  <c r="ER105" i="15"/>
  <c r="EL97" i="15"/>
  <c r="EI86" i="15"/>
  <c r="EQ97" i="15"/>
  <c r="EF86" i="15"/>
  <c r="EV97" i="15"/>
  <c r="EN97" i="15"/>
  <c r="EF97" i="15"/>
  <c r="EM107" i="15"/>
  <c r="EL106" i="15"/>
  <c r="EJ104" i="15"/>
  <c r="EI103" i="15"/>
  <c r="EP102" i="15"/>
  <c r="EH102" i="15"/>
  <c r="DM101" i="15"/>
  <c r="EX102" i="15"/>
  <c r="EW103" i="15"/>
  <c r="EV104" i="15"/>
  <c r="EU105" i="15"/>
  <c r="EK104" i="15"/>
  <c r="EO104" i="15"/>
  <c r="EX97" i="15"/>
  <c r="EO107" i="15"/>
  <c r="EK107" i="15"/>
  <c r="EG107" i="15"/>
  <c r="EN106" i="15"/>
  <c r="EF106" i="15"/>
  <c r="EM105" i="15"/>
  <c r="EL104" i="15"/>
  <c r="EJ102" i="15"/>
  <c r="CF101" i="15"/>
  <c r="EM102" i="15"/>
  <c r="EH86" i="15"/>
  <c r="EP97" i="15"/>
  <c r="EH97" i="15"/>
  <c r="EU97" i="15"/>
  <c r="EM97" i="15"/>
  <c r="EL107" i="15"/>
  <c r="EJ105" i="15"/>
  <c r="EI104" i="15"/>
  <c r="EP103" i="15"/>
  <c r="EH103" i="15"/>
  <c r="AS101" i="15"/>
  <c r="EK102" i="15"/>
  <c r="EO102" i="15"/>
  <c r="EG102" i="15"/>
  <c r="EQ102" i="15"/>
  <c r="CZ101" i="15"/>
  <c r="EY102" i="15"/>
  <c r="EX103" i="15"/>
  <c r="EW104" i="15"/>
  <c r="EV105" i="15"/>
  <c r="EU106" i="15"/>
  <c r="ET107" i="15"/>
  <c r="EO97" i="15"/>
  <c r="EK97" i="15"/>
  <c r="EI107" i="15"/>
  <c r="EP106" i="15"/>
  <c r="EH106" i="15"/>
  <c r="EO105" i="15"/>
  <c r="EK105" i="15"/>
  <c r="EN104" i="15"/>
  <c r="EF104" i="15"/>
  <c r="EM103" i="15"/>
  <c r="EL102" i="15"/>
  <c r="CS101" i="15"/>
  <c r="DA101" i="15"/>
  <c r="ET102" i="15"/>
  <c r="ES103" i="15"/>
  <c r="ER104" i="15"/>
  <c r="EQ105" i="15"/>
  <c r="EY105" i="15"/>
  <c r="EX106" i="15"/>
  <c r="EW107" i="15"/>
  <c r="CM101" i="15"/>
  <c r="CA101" i="15"/>
  <c r="BO101" i="15"/>
  <c r="BC101" i="15"/>
  <c r="AQ101" i="15"/>
  <c r="AE101" i="15"/>
  <c r="S101" i="15"/>
  <c r="G101" i="15"/>
  <c r="DN101" i="15"/>
  <c r="CQ101" i="15"/>
  <c r="CE101" i="15"/>
  <c r="BS101" i="15"/>
  <c r="BG101" i="15"/>
  <c r="AU101" i="15"/>
  <c r="AI101" i="15"/>
  <c r="W101" i="15"/>
  <c r="DE101" i="15"/>
  <c r="DQ101" i="15"/>
  <c r="CY101" i="15"/>
  <c r="DK101" i="15"/>
  <c r="DO101" i="15"/>
  <c r="L101" i="15"/>
  <c r="CH101" i="15"/>
  <c r="K101" i="15"/>
  <c r="CP101" i="15"/>
  <c r="CD101" i="15"/>
  <c r="BR101" i="15"/>
  <c r="BF101" i="15"/>
  <c r="AT101" i="15"/>
  <c r="AH101" i="15"/>
  <c r="V101" i="15"/>
  <c r="J101" i="15"/>
  <c r="AX101" i="15"/>
  <c r="N101" i="15"/>
  <c r="CO101" i="15"/>
  <c r="CC101" i="15"/>
  <c r="BQ101" i="15"/>
  <c r="AG101" i="15"/>
  <c r="U101" i="15"/>
  <c r="I101" i="15"/>
  <c r="CR101" i="15"/>
  <c r="DD101" i="15"/>
  <c r="DP101" i="15"/>
  <c r="CL101" i="15"/>
  <c r="BZ101" i="15"/>
  <c r="BN101" i="15"/>
  <c r="BB101" i="15"/>
  <c r="AP101" i="15"/>
  <c r="AD101" i="15"/>
  <c r="R101" i="15"/>
  <c r="F101" i="15"/>
  <c r="BV101" i="15"/>
  <c r="BJ101" i="15"/>
  <c r="AL101" i="15"/>
  <c r="Z101" i="15"/>
  <c r="CG101" i="15"/>
  <c r="BU101" i="15"/>
  <c r="BI101" i="15"/>
  <c r="AW101" i="15"/>
  <c r="AK101" i="15"/>
  <c r="Y101" i="15"/>
  <c r="M101" i="15"/>
  <c r="CN101" i="15"/>
  <c r="CB101" i="15"/>
  <c r="BP101" i="15"/>
  <c r="BD101" i="15"/>
  <c r="AR101" i="15"/>
  <c r="AF101" i="15"/>
  <c r="T101" i="15"/>
  <c r="H101" i="15"/>
  <c r="CT101" i="15"/>
  <c r="DF101" i="15"/>
  <c r="DR101" i="15"/>
  <c r="CK101" i="15"/>
  <c r="BY101" i="15"/>
  <c r="BM101" i="15"/>
  <c r="BA101" i="15"/>
  <c r="AO101" i="15"/>
  <c r="AC101" i="15"/>
  <c r="Q101" i="15"/>
  <c r="E101" i="15"/>
  <c r="CU101" i="15"/>
  <c r="DG101" i="15"/>
  <c r="CJ101" i="15"/>
  <c r="BX101" i="15"/>
  <c r="BL101" i="15"/>
  <c r="AZ101" i="15"/>
  <c r="AN101" i="15"/>
  <c r="AB101" i="15"/>
  <c r="P101" i="15"/>
  <c r="D101" i="15"/>
  <c r="CV101" i="15"/>
  <c r="DH101" i="15"/>
  <c r="CI101" i="15"/>
  <c r="BW101" i="15"/>
  <c r="BK101" i="15"/>
  <c r="AY101" i="15"/>
  <c r="AM101" i="15"/>
  <c r="AA101" i="15"/>
  <c r="O101" i="15"/>
  <c r="C101" i="15"/>
  <c r="CW101" i="15"/>
  <c r="DI101" i="15"/>
  <c r="CX101" i="15"/>
  <c r="DJ101" i="15"/>
  <c r="CT562" i="2"/>
  <c r="CV565" i="2"/>
  <c r="CU564" i="2"/>
  <c r="CT564" i="2"/>
  <c r="CU563" i="2"/>
  <c r="CL124" i="11" l="1"/>
  <c r="DS159" i="18"/>
  <c r="DT568" i="2"/>
  <c r="CT153" i="13"/>
  <c r="CL126" i="11"/>
  <c r="DT567" i="2"/>
  <c r="CT152" i="13"/>
  <c r="DT569" i="2"/>
  <c r="CT154" i="13"/>
  <c r="DT566" i="2"/>
  <c r="CT151" i="13"/>
  <c r="CL125" i="11"/>
  <c r="CL96" i="12"/>
  <c r="DR292" i="2"/>
  <c r="DJ136" i="7"/>
  <c r="DT296" i="2"/>
  <c r="DK139" i="7"/>
  <c r="DT294" i="2"/>
  <c r="DL137" i="7" s="1"/>
  <c r="DS293" i="2"/>
  <c r="FG102" i="15"/>
  <c r="FF103" i="15"/>
  <c r="FH106" i="15"/>
  <c r="FI103" i="15"/>
  <c r="FE107" i="15"/>
  <c r="FG103" i="15"/>
  <c r="FF104" i="15"/>
  <c r="FG105" i="15"/>
  <c r="FF105" i="15"/>
  <c r="FE105" i="15"/>
  <c r="FH97" i="15"/>
  <c r="FG104" i="15"/>
  <c r="FE106" i="15"/>
  <c r="FI105" i="15"/>
  <c r="FF97" i="15"/>
  <c r="FF107" i="15"/>
  <c r="FI107" i="15"/>
  <c r="FH102" i="15"/>
  <c r="FG106" i="15"/>
  <c r="FI106" i="15"/>
  <c r="FH105" i="15"/>
  <c r="FG107" i="15"/>
  <c r="FE97" i="15"/>
  <c r="FE103" i="15"/>
  <c r="FI104" i="15"/>
  <c r="FE104" i="15"/>
  <c r="FG97" i="15"/>
  <c r="FH107" i="15"/>
  <c r="FH104" i="15"/>
  <c r="FF102" i="15"/>
  <c r="FI97" i="15"/>
  <c r="FI102" i="15"/>
  <c r="FE102" i="15"/>
  <c r="FF106" i="15"/>
  <c r="FH103" i="15"/>
  <c r="FE86" i="15"/>
  <c r="EQ101" i="15"/>
  <c r="ET101" i="15"/>
  <c r="EU101" i="15"/>
  <c r="EM101" i="15"/>
  <c r="EX101" i="15"/>
  <c r="EL101" i="15"/>
  <c r="EV101" i="15"/>
  <c r="EY101" i="15"/>
  <c r="EP101" i="15"/>
  <c r="EO101" i="15"/>
  <c r="EK101" i="15"/>
  <c r="EH101" i="15"/>
  <c r="EW101" i="15"/>
  <c r="EF101" i="15"/>
  <c r="ER101" i="15"/>
  <c r="EI101" i="15"/>
  <c r="ES101" i="15"/>
  <c r="EJ101" i="15"/>
  <c r="EN101" i="15"/>
  <c r="EG101" i="15"/>
  <c r="CV563" i="2"/>
  <c r="CU562" i="2"/>
  <c r="CW565" i="2"/>
  <c r="CV564" i="2"/>
  <c r="DT159" i="18" l="1"/>
  <c r="DU567" i="2"/>
  <c r="CU152" i="13"/>
  <c r="DZ152" i="13" s="1"/>
  <c r="DU566" i="2"/>
  <c r="CU151" i="13"/>
  <c r="DU159" i="18" s="1"/>
  <c r="CM124" i="11"/>
  <c r="CM126" i="11"/>
  <c r="DU569" i="2"/>
  <c r="CU154" i="13"/>
  <c r="DZ154" i="13" s="1"/>
  <c r="DU568" i="2"/>
  <c r="CU153" i="13"/>
  <c r="DZ153" i="13" s="1"/>
  <c r="CM125" i="11"/>
  <c r="CM96" i="12"/>
  <c r="DS292" i="2"/>
  <c r="DK136" i="7"/>
  <c r="DJ135" i="7"/>
  <c r="DU296" i="2"/>
  <c r="DL139" i="7"/>
  <c r="DU294" i="2"/>
  <c r="DM137" i="7" s="1"/>
  <c r="DT293" i="2"/>
  <c r="FH101" i="15"/>
  <c r="FI101" i="15"/>
  <c r="FG101" i="15"/>
  <c r="FE101" i="15"/>
  <c r="FF101" i="15"/>
  <c r="CX565" i="2"/>
  <c r="CW564" i="2"/>
  <c r="CW563" i="2"/>
  <c r="CV562" i="2"/>
  <c r="DZ151" i="13" l="1"/>
  <c r="EZ159" i="18"/>
  <c r="CN126" i="11"/>
  <c r="DS126" i="11" s="1"/>
  <c r="DV568" i="2"/>
  <c r="CV153" i="13"/>
  <c r="DV566" i="2"/>
  <c r="CV151" i="13"/>
  <c r="DV569" i="2"/>
  <c r="CV154" i="13"/>
  <c r="CN124" i="11"/>
  <c r="DS124" i="11" s="1"/>
  <c r="DV567" i="2"/>
  <c r="CV152" i="13"/>
  <c r="EQ139" i="7"/>
  <c r="CN96" i="12"/>
  <c r="DS96" i="12" s="1"/>
  <c r="CN125" i="11"/>
  <c r="DS125" i="11" s="1"/>
  <c r="DK135" i="7"/>
  <c r="DT292" i="2"/>
  <c r="DL136" i="7"/>
  <c r="DV296" i="2"/>
  <c r="DM139" i="7"/>
  <c r="DV294" i="2"/>
  <c r="DN137" i="7" s="1"/>
  <c r="DU293" i="2"/>
  <c r="CX563" i="2"/>
  <c r="CW562" i="2"/>
  <c r="CY565" i="2"/>
  <c r="CX564" i="2"/>
  <c r="DV159" i="18" l="1"/>
  <c r="CO124" i="11"/>
  <c r="DW568" i="2"/>
  <c r="CW153" i="13"/>
  <c r="DW567" i="2"/>
  <c r="CW152" i="13"/>
  <c r="DW569" i="2"/>
  <c r="CW154" i="13"/>
  <c r="DW566" i="2"/>
  <c r="CW151" i="13"/>
  <c r="DW159" i="18" s="1"/>
  <c r="CO126" i="11"/>
  <c r="CO96" i="12"/>
  <c r="CO125" i="11"/>
  <c r="DU292" i="2"/>
  <c r="DM136" i="7"/>
  <c r="DW296" i="2"/>
  <c r="DN139" i="7"/>
  <c r="DL135" i="7"/>
  <c r="EQ136" i="7"/>
  <c r="DW294" i="2"/>
  <c r="DO137" i="7" s="1"/>
  <c r="DV293" i="2"/>
  <c r="CZ565" i="2"/>
  <c r="CY564" i="2"/>
  <c r="CY563" i="2"/>
  <c r="CX562" i="2"/>
  <c r="CP124" i="11" l="1"/>
  <c r="DX568" i="2"/>
  <c r="CX153" i="13"/>
  <c r="EA153" i="13" s="1"/>
  <c r="DX566" i="2"/>
  <c r="CX151" i="13"/>
  <c r="DX159" i="18" s="1"/>
  <c r="FA159" i="18" s="1"/>
  <c r="DX569" i="2"/>
  <c r="CX154" i="13"/>
  <c r="EA154" i="13" s="1"/>
  <c r="DX567" i="2"/>
  <c r="CX152" i="13"/>
  <c r="EA152" i="13" s="1"/>
  <c r="CP126" i="11"/>
  <c r="CP125" i="11"/>
  <c r="CP96" i="12"/>
  <c r="DV292" i="2"/>
  <c r="DN136" i="7"/>
  <c r="DX296" i="2"/>
  <c r="DO139" i="7"/>
  <c r="EQ135" i="7"/>
  <c r="DM135" i="7"/>
  <c r="DX294" i="2"/>
  <c r="DP137" i="7" s="1"/>
  <c r="DW293" i="2"/>
  <c r="CZ563" i="2"/>
  <c r="CY562" i="2"/>
  <c r="DA565" i="2"/>
  <c r="CZ564" i="2"/>
  <c r="EA151" i="13" l="1"/>
  <c r="DY567" i="2"/>
  <c r="CY152" i="13"/>
  <c r="DY569" i="2"/>
  <c r="CY154" i="13"/>
  <c r="CQ124" i="11"/>
  <c r="DT124" i="11" s="1"/>
  <c r="DY568" i="2"/>
  <c r="CY153" i="13"/>
  <c r="DY566" i="2"/>
  <c r="CY151" i="13"/>
  <c r="CQ126" i="11"/>
  <c r="DT126" i="11" s="1"/>
  <c r="ER139" i="7"/>
  <c r="CQ96" i="12"/>
  <c r="DT96" i="12" s="1"/>
  <c r="CQ125" i="11"/>
  <c r="DT125" i="11" s="1"/>
  <c r="DN135" i="7"/>
  <c r="DY296" i="2"/>
  <c r="DP139" i="7"/>
  <c r="DW292" i="2"/>
  <c r="DO136" i="7"/>
  <c r="DY294" i="2"/>
  <c r="DQ137" i="7" s="1"/>
  <c r="DX293" i="2"/>
  <c r="DB565" i="2"/>
  <c r="DA564" i="2"/>
  <c r="DA563" i="2"/>
  <c r="CZ562" i="2"/>
  <c r="DY159" i="18" l="1"/>
  <c r="CR126" i="11"/>
  <c r="DZ568" i="2"/>
  <c r="CZ153" i="13"/>
  <c r="CR124" i="11"/>
  <c r="DZ566" i="2"/>
  <c r="CZ151" i="13"/>
  <c r="DZ159" i="18" s="1"/>
  <c r="DZ569" i="2"/>
  <c r="CZ154" i="13"/>
  <c r="DZ567" i="2"/>
  <c r="CZ152" i="13"/>
  <c r="CR96" i="12"/>
  <c r="CR125" i="11"/>
  <c r="DX292" i="2"/>
  <c r="DP136" i="7"/>
  <c r="DZ296" i="2"/>
  <c r="DQ139" i="7"/>
  <c r="DO135" i="7"/>
  <c r="ER136" i="7"/>
  <c r="DZ294" i="2"/>
  <c r="DR137" i="7" s="1"/>
  <c r="DY293" i="2"/>
  <c r="DB563" i="2"/>
  <c r="DA562" i="2"/>
  <c r="DC565" i="2"/>
  <c r="DB564" i="2"/>
  <c r="CS124" i="11" l="1"/>
  <c r="EA567" i="2"/>
  <c r="DA152" i="13"/>
  <c r="EB152" i="13" s="1"/>
  <c r="EA569" i="2"/>
  <c r="DA154" i="13"/>
  <c r="EB154" i="13" s="1"/>
  <c r="EA566" i="2"/>
  <c r="DA151" i="13"/>
  <c r="EA159" i="18" s="1"/>
  <c r="FB159" i="18" s="1"/>
  <c r="CS126" i="11"/>
  <c r="EA568" i="2"/>
  <c r="DA153" i="13"/>
  <c r="EB153" i="13" s="1"/>
  <c r="CS96" i="12"/>
  <c r="CS125" i="11"/>
  <c r="ER135" i="7"/>
  <c r="DY292" i="2"/>
  <c r="DQ136" i="7"/>
  <c r="DP135" i="7"/>
  <c r="EA296" i="2"/>
  <c r="DR139" i="7"/>
  <c r="EA294" i="2"/>
  <c r="DS137" i="7" s="1"/>
  <c r="DZ293" i="2"/>
  <c r="DD565" i="2"/>
  <c r="DC564" i="2"/>
  <c r="DC563" i="2"/>
  <c r="DB562" i="2"/>
  <c r="EB151" i="13" l="1"/>
  <c r="CT126" i="11"/>
  <c r="DU126" i="11" s="1"/>
  <c r="EB568" i="2"/>
  <c r="DB153" i="13"/>
  <c r="CT124" i="11"/>
  <c r="DU124" i="11" s="1"/>
  <c r="EB567" i="2"/>
  <c r="DB152" i="13"/>
  <c r="EB566" i="2"/>
  <c r="DB151" i="13"/>
  <c r="EB569" i="2"/>
  <c r="DB154" i="13"/>
  <c r="ES139" i="7"/>
  <c r="CT125" i="11"/>
  <c r="DU125" i="11" s="1"/>
  <c r="CT96" i="12"/>
  <c r="DU96" i="12" s="1"/>
  <c r="DQ135" i="7"/>
  <c r="DZ292" i="2"/>
  <c r="DR136" i="7"/>
  <c r="EB296" i="2"/>
  <c r="DS139" i="7"/>
  <c r="EB294" i="2"/>
  <c r="DT137" i="7" s="1"/>
  <c r="EA293" i="2"/>
  <c r="DD563" i="2"/>
  <c r="DC562" i="2"/>
  <c r="DE565" i="2"/>
  <c r="DD564" i="2"/>
  <c r="EB159" i="18" l="1"/>
  <c r="EC569" i="2"/>
  <c r="DD154" i="13" s="1"/>
  <c r="DC154" i="13"/>
  <c r="CU124" i="11"/>
  <c r="EC566" i="2"/>
  <c r="DD151" i="13" s="1"/>
  <c r="ED159" i="18" s="1"/>
  <c r="DC151" i="13"/>
  <c r="EC159" i="18" s="1"/>
  <c r="EC567" i="2"/>
  <c r="DD152" i="13" s="1"/>
  <c r="DC152" i="13"/>
  <c r="EC152" i="13" s="1"/>
  <c r="EJ152" i="13" s="1"/>
  <c r="CU126" i="11"/>
  <c r="EC568" i="2"/>
  <c r="DD153" i="13" s="1"/>
  <c r="DC153" i="13"/>
  <c r="CU96" i="12"/>
  <c r="CU125" i="11"/>
  <c r="DR135" i="7"/>
  <c r="ES136" i="7"/>
  <c r="EA292" i="2"/>
  <c r="DS136" i="7"/>
  <c r="EC296" i="2"/>
  <c r="DU139" i="7" s="1"/>
  <c r="DT139" i="7"/>
  <c r="EC294" i="2"/>
  <c r="EB293" i="2"/>
  <c r="DE563" i="2"/>
  <c r="DD562" i="2"/>
  <c r="DF565" i="2"/>
  <c r="DE564" i="2"/>
  <c r="EC154" i="13" l="1"/>
  <c r="EJ154" i="13" s="1"/>
  <c r="EC153" i="13"/>
  <c r="EJ153" i="13" s="1"/>
  <c r="EC151" i="13"/>
  <c r="EJ151" i="13" s="1"/>
  <c r="FC159" i="18"/>
  <c r="FJ159" i="18" s="1"/>
  <c r="CV126" i="11"/>
  <c r="CW126" i="11"/>
  <c r="CV124" i="11"/>
  <c r="CW124" i="11"/>
  <c r="CV96" i="12"/>
  <c r="CV125" i="11"/>
  <c r="CW125" i="11"/>
  <c r="CW96" i="12"/>
  <c r="ET139" i="7"/>
  <c r="FA139" i="7" s="1"/>
  <c r="EB292" i="2"/>
  <c r="DT136" i="7"/>
  <c r="EC293" i="2"/>
  <c r="DU137" i="7"/>
  <c r="ES135" i="7"/>
  <c r="DS135" i="7"/>
  <c r="DG565" i="2"/>
  <c r="DF564" i="2"/>
  <c r="DF563" i="2"/>
  <c r="DE562" i="2"/>
  <c r="DV124" i="11" l="1"/>
  <c r="EC124" i="11" s="1"/>
  <c r="DV126" i="11"/>
  <c r="EC126" i="11" s="1"/>
  <c r="DV96" i="12"/>
  <c r="EC96" i="12" s="1"/>
  <c r="DV125" i="11"/>
  <c r="EC125" i="11" s="1"/>
  <c r="DT135" i="7"/>
  <c r="EC292" i="2"/>
  <c r="DU136" i="7"/>
  <c r="DG563" i="2"/>
  <c r="DF562" i="2"/>
  <c r="DH565" i="2"/>
  <c r="DG564" i="2"/>
  <c r="DU135" i="7" l="1"/>
  <c r="ET136" i="7"/>
  <c r="FA136" i="7" s="1"/>
  <c r="DI565" i="2"/>
  <c r="DH564" i="2"/>
  <c r="DH563" i="2"/>
  <c r="DG562" i="2"/>
  <c r="ET135" i="7" l="1"/>
  <c r="FA135" i="7" s="1"/>
  <c r="DI563" i="2"/>
  <c r="DH562" i="2"/>
  <c r="DJ565" i="2"/>
  <c r="DI564" i="2"/>
  <c r="DK565" i="2" l="1"/>
  <c r="DJ564" i="2"/>
  <c r="DJ563" i="2"/>
  <c r="DI562" i="2"/>
  <c r="DK563" i="2" l="1"/>
  <c r="DJ562" i="2"/>
  <c r="DL565" i="2"/>
  <c r="DK564" i="2"/>
  <c r="DM565" i="2" l="1"/>
  <c r="DL564" i="2"/>
  <c r="DL563" i="2"/>
  <c r="DK562" i="2"/>
  <c r="DM563" i="2" l="1"/>
  <c r="DL562" i="2"/>
  <c r="DN565" i="2"/>
  <c r="DM564" i="2"/>
  <c r="DO565" i="2" l="1"/>
  <c r="DN564" i="2"/>
  <c r="DN563" i="2"/>
  <c r="DM562" i="2"/>
  <c r="DO563" i="2" l="1"/>
  <c r="DN562" i="2"/>
  <c r="DP565" i="2"/>
  <c r="DO564" i="2"/>
  <c r="DQ565" i="2" l="1"/>
  <c r="DP564" i="2"/>
  <c r="DP563" i="2"/>
  <c r="DO562" i="2"/>
  <c r="DQ564" i="2" l="1"/>
  <c r="DR565" i="2"/>
  <c r="CS149" i="13" s="1"/>
  <c r="DQ563" i="2"/>
  <c r="DP562" i="2"/>
  <c r="DR564" i="2" l="1"/>
  <c r="CS148" i="13" s="1"/>
  <c r="DS565" i="2"/>
  <c r="CT149" i="13" s="1"/>
  <c r="DQ562" i="2"/>
  <c r="DR563" i="2"/>
  <c r="CS147" i="13" s="1"/>
  <c r="DR78" i="15"/>
  <c r="DQ78" i="15"/>
  <c r="DP78" i="15"/>
  <c r="DO78" i="15"/>
  <c r="DN78" i="15"/>
  <c r="DM78" i="15"/>
  <c r="DL78" i="15"/>
  <c r="DK78" i="15"/>
  <c r="DJ78" i="15"/>
  <c r="DI78" i="15"/>
  <c r="DH78" i="15"/>
  <c r="DG78" i="15"/>
  <c r="DF78" i="15"/>
  <c r="DE78" i="15"/>
  <c r="DD78" i="15"/>
  <c r="DC78" i="15"/>
  <c r="DB78" i="15"/>
  <c r="DA78" i="15"/>
  <c r="CZ78" i="15"/>
  <c r="CY78" i="15"/>
  <c r="CX78" i="15"/>
  <c r="CW78" i="15"/>
  <c r="CV78" i="15"/>
  <c r="CU78" i="15"/>
  <c r="CT78" i="15"/>
  <c r="CS78" i="15"/>
  <c r="CR78" i="15"/>
  <c r="C83" i="15"/>
  <c r="D83" i="15"/>
  <c r="E83" i="15"/>
  <c r="F83" i="15"/>
  <c r="G83" i="15"/>
  <c r="H83" i="15"/>
  <c r="I83" i="15"/>
  <c r="J83" i="15"/>
  <c r="K83" i="15"/>
  <c r="L83" i="15"/>
  <c r="M83" i="15"/>
  <c r="N83" i="15"/>
  <c r="O83" i="15"/>
  <c r="P83" i="15"/>
  <c r="Q83" i="15"/>
  <c r="R83" i="15"/>
  <c r="S83" i="15"/>
  <c r="T83" i="15"/>
  <c r="U83" i="15"/>
  <c r="V83" i="15"/>
  <c r="W83" i="15"/>
  <c r="X83" i="15"/>
  <c r="Y83" i="15"/>
  <c r="Z83" i="15"/>
  <c r="AA83" i="15"/>
  <c r="AB83" i="15"/>
  <c r="AC83" i="15"/>
  <c r="AD83" i="15"/>
  <c r="AE83" i="15"/>
  <c r="AF83" i="15"/>
  <c r="AG83" i="15"/>
  <c r="AH83" i="15"/>
  <c r="AI83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AX83" i="15"/>
  <c r="AY83" i="15"/>
  <c r="AZ83" i="15"/>
  <c r="BA83" i="15"/>
  <c r="BB83" i="15"/>
  <c r="BC83" i="15"/>
  <c r="BD83" i="15"/>
  <c r="BE83" i="15"/>
  <c r="BF83" i="15"/>
  <c r="BG83" i="15"/>
  <c r="BH83" i="15"/>
  <c r="BI83" i="15"/>
  <c r="BJ83" i="15"/>
  <c r="BK83" i="15"/>
  <c r="BL83" i="15"/>
  <c r="BM83" i="15"/>
  <c r="BN83" i="15"/>
  <c r="BO83" i="15"/>
  <c r="BP83" i="15"/>
  <c r="BQ83" i="15"/>
  <c r="BR83" i="15"/>
  <c r="BS83" i="15"/>
  <c r="BT83" i="15"/>
  <c r="BU83" i="15"/>
  <c r="BV83" i="15"/>
  <c r="BW83" i="15"/>
  <c r="BX83" i="15"/>
  <c r="C78" i="15"/>
  <c r="C77" i="15" s="1"/>
  <c r="C121" i="18" s="1"/>
  <c r="D78" i="15"/>
  <c r="D77" i="15" s="1"/>
  <c r="D121" i="18" s="1"/>
  <c r="E78" i="15"/>
  <c r="E77" i="15" s="1"/>
  <c r="E121" i="18" s="1"/>
  <c r="F78" i="15"/>
  <c r="F77" i="15" s="1"/>
  <c r="F121" i="18" s="1"/>
  <c r="G78" i="15"/>
  <c r="G77" i="15" s="1"/>
  <c r="G121" i="18" s="1"/>
  <c r="H78" i="15"/>
  <c r="H77" i="15" s="1"/>
  <c r="H121" i="18" s="1"/>
  <c r="I78" i="15"/>
  <c r="I77" i="15" s="1"/>
  <c r="I121" i="18" s="1"/>
  <c r="J78" i="15"/>
  <c r="J77" i="15" s="1"/>
  <c r="J121" i="18" s="1"/>
  <c r="K78" i="15"/>
  <c r="K77" i="15" s="1"/>
  <c r="K121" i="18" s="1"/>
  <c r="L78" i="15"/>
  <c r="M78" i="15"/>
  <c r="N78" i="15"/>
  <c r="O78" i="15"/>
  <c r="P78" i="15"/>
  <c r="Q78" i="15"/>
  <c r="R78" i="15"/>
  <c r="S78" i="15"/>
  <c r="T78" i="15"/>
  <c r="U78" i="15"/>
  <c r="V78" i="15"/>
  <c r="W78" i="15"/>
  <c r="X78" i="15"/>
  <c r="Y78" i="15"/>
  <c r="Z78" i="15"/>
  <c r="AA78" i="15"/>
  <c r="AB78" i="15"/>
  <c r="AC78" i="15"/>
  <c r="AD78" i="15"/>
  <c r="AE78" i="15"/>
  <c r="AF78" i="15"/>
  <c r="AG78" i="15"/>
  <c r="AH78" i="15"/>
  <c r="AI78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AX78" i="15"/>
  <c r="AY78" i="15"/>
  <c r="AZ78" i="15"/>
  <c r="BA78" i="15"/>
  <c r="BB78" i="15"/>
  <c r="BC78" i="15"/>
  <c r="BD78" i="15"/>
  <c r="BE78" i="15"/>
  <c r="BF78" i="15"/>
  <c r="BG78" i="15"/>
  <c r="BH78" i="15"/>
  <c r="BI78" i="15"/>
  <c r="BJ78" i="15"/>
  <c r="BK78" i="15"/>
  <c r="BL78" i="15"/>
  <c r="BM78" i="15"/>
  <c r="BN78" i="15"/>
  <c r="BO78" i="15"/>
  <c r="BP78" i="15"/>
  <c r="BQ78" i="15"/>
  <c r="BR78" i="15"/>
  <c r="BS78" i="15"/>
  <c r="BT78" i="15"/>
  <c r="BU78" i="15"/>
  <c r="BV78" i="15"/>
  <c r="BW78" i="15"/>
  <c r="BX78" i="15"/>
  <c r="BY78" i="15"/>
  <c r="BZ78" i="15"/>
  <c r="CA78" i="15"/>
  <c r="CB78" i="15"/>
  <c r="CC78" i="15"/>
  <c r="CD78" i="15"/>
  <c r="CE78" i="15"/>
  <c r="CF78" i="15"/>
  <c r="CG78" i="15"/>
  <c r="CH78" i="15"/>
  <c r="CI78" i="15"/>
  <c r="CJ78" i="15"/>
  <c r="CK78" i="15"/>
  <c r="CL78" i="15"/>
  <c r="CM78" i="15"/>
  <c r="CN78" i="15"/>
  <c r="CO78" i="15"/>
  <c r="CP78" i="15"/>
  <c r="CQ78" i="15"/>
  <c r="C82" i="15"/>
  <c r="D82" i="15"/>
  <c r="E82" i="15"/>
  <c r="F82" i="15"/>
  <c r="G82" i="15"/>
  <c r="H82" i="15"/>
  <c r="I82" i="15"/>
  <c r="J82" i="15"/>
  <c r="K82" i="15"/>
  <c r="L82" i="15"/>
  <c r="M82" i="15"/>
  <c r="N82" i="15"/>
  <c r="O82" i="15"/>
  <c r="P82" i="15"/>
  <c r="Q82" i="15"/>
  <c r="R82" i="15"/>
  <c r="S82" i="15"/>
  <c r="T82" i="15"/>
  <c r="U82" i="15"/>
  <c r="V82" i="15"/>
  <c r="W82" i="15"/>
  <c r="X82" i="15"/>
  <c r="Y82" i="15"/>
  <c r="Z82" i="15"/>
  <c r="AA82" i="15"/>
  <c r="AB82" i="15"/>
  <c r="AC82" i="15"/>
  <c r="AD82" i="15"/>
  <c r="AE82" i="15"/>
  <c r="AF82" i="15"/>
  <c r="AG82" i="15"/>
  <c r="AH82" i="15"/>
  <c r="AI82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AX82" i="15"/>
  <c r="AY82" i="15"/>
  <c r="AZ82" i="15"/>
  <c r="BA82" i="15"/>
  <c r="BB82" i="15"/>
  <c r="BC82" i="15"/>
  <c r="BD82" i="15"/>
  <c r="BE82" i="15"/>
  <c r="BF82" i="15"/>
  <c r="BG82" i="15"/>
  <c r="BH82" i="15"/>
  <c r="BI82" i="15"/>
  <c r="BJ82" i="15"/>
  <c r="BK82" i="15"/>
  <c r="BL82" i="15"/>
  <c r="BM82" i="15"/>
  <c r="BN82" i="15"/>
  <c r="BO82" i="15"/>
  <c r="BP82" i="15"/>
  <c r="BQ82" i="15"/>
  <c r="BR82" i="15"/>
  <c r="BS82" i="15"/>
  <c r="BT82" i="15"/>
  <c r="BU82" i="15"/>
  <c r="BV82" i="15"/>
  <c r="BW82" i="15"/>
  <c r="BX82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BB56" i="15"/>
  <c r="BC56" i="15"/>
  <c r="BD56" i="15"/>
  <c r="BE56" i="15"/>
  <c r="BF56" i="15"/>
  <c r="BG56" i="15"/>
  <c r="BH56" i="15"/>
  <c r="BI56" i="15"/>
  <c r="BJ56" i="15"/>
  <c r="BK56" i="15"/>
  <c r="BL56" i="15"/>
  <c r="BM56" i="15"/>
  <c r="BN56" i="15"/>
  <c r="BO56" i="15"/>
  <c r="BP56" i="15"/>
  <c r="BQ56" i="15"/>
  <c r="BR56" i="15"/>
  <c r="BS56" i="15"/>
  <c r="BT56" i="15"/>
  <c r="BU56" i="15"/>
  <c r="BV56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AI57" i="15"/>
  <c r="AJ57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BB57" i="15"/>
  <c r="BC57" i="15"/>
  <c r="BD57" i="15"/>
  <c r="BE57" i="15"/>
  <c r="BF57" i="15"/>
  <c r="BG57" i="15"/>
  <c r="BH57" i="15"/>
  <c r="BI57" i="15"/>
  <c r="BJ57" i="15"/>
  <c r="BK57" i="15"/>
  <c r="BL57" i="15"/>
  <c r="BM57" i="15"/>
  <c r="BN57" i="15"/>
  <c r="BO57" i="15"/>
  <c r="BP57" i="15"/>
  <c r="BQ57" i="15"/>
  <c r="BR57" i="15"/>
  <c r="BS57" i="15"/>
  <c r="BT57" i="15"/>
  <c r="BU57" i="15"/>
  <c r="BV57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AH58" i="15"/>
  <c r="AI58" i="15"/>
  <c r="AJ58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BB58" i="15"/>
  <c r="BC58" i="15"/>
  <c r="BD58" i="15"/>
  <c r="BE58" i="15"/>
  <c r="BF58" i="15"/>
  <c r="BG58" i="15"/>
  <c r="BH58" i="15"/>
  <c r="BI58" i="15"/>
  <c r="BJ58" i="15"/>
  <c r="BK58" i="15"/>
  <c r="BL58" i="15"/>
  <c r="BM58" i="15"/>
  <c r="BN58" i="15"/>
  <c r="BO58" i="15"/>
  <c r="BP58" i="15"/>
  <c r="BQ58" i="15"/>
  <c r="BR58" i="15"/>
  <c r="BS58" i="15"/>
  <c r="BT58" i="15"/>
  <c r="BU58" i="15"/>
  <c r="BV58" i="15"/>
  <c r="C59" i="15"/>
  <c r="D59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AG59" i="15"/>
  <c r="AH59" i="15"/>
  <c r="AI59" i="15"/>
  <c r="AJ59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BB59" i="15"/>
  <c r="BC59" i="15"/>
  <c r="BD59" i="15"/>
  <c r="BE59" i="15"/>
  <c r="BF59" i="15"/>
  <c r="BG59" i="15"/>
  <c r="BH59" i="15"/>
  <c r="BI59" i="15"/>
  <c r="BJ59" i="15"/>
  <c r="BK59" i="15"/>
  <c r="BL59" i="15"/>
  <c r="BM59" i="15"/>
  <c r="BN59" i="15"/>
  <c r="BO59" i="15"/>
  <c r="BP59" i="15"/>
  <c r="BQ59" i="15"/>
  <c r="BR59" i="15"/>
  <c r="BS59" i="15"/>
  <c r="BT59" i="15"/>
  <c r="BU59" i="15"/>
  <c r="BV59" i="15"/>
  <c r="C60" i="15"/>
  <c r="D60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U60" i="15"/>
  <c r="V60" i="15"/>
  <c r="W60" i="15"/>
  <c r="X60" i="15"/>
  <c r="Y60" i="15"/>
  <c r="Z60" i="15"/>
  <c r="AA60" i="15"/>
  <c r="AB60" i="15"/>
  <c r="AC60" i="15"/>
  <c r="AD60" i="15"/>
  <c r="AE60" i="15"/>
  <c r="AF60" i="15"/>
  <c r="AG60" i="15"/>
  <c r="AH60" i="15"/>
  <c r="AI60" i="15"/>
  <c r="AJ60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BB60" i="15"/>
  <c r="BC60" i="15"/>
  <c r="BD60" i="15"/>
  <c r="BE60" i="15"/>
  <c r="BF60" i="15"/>
  <c r="BG60" i="15"/>
  <c r="BH60" i="15"/>
  <c r="BI60" i="15"/>
  <c r="BJ60" i="15"/>
  <c r="BK60" i="15"/>
  <c r="BL60" i="15"/>
  <c r="BM60" i="15"/>
  <c r="BN60" i="15"/>
  <c r="BO60" i="15"/>
  <c r="BP60" i="15"/>
  <c r="BQ60" i="15"/>
  <c r="BR60" i="15"/>
  <c r="BS60" i="15"/>
  <c r="BT60" i="15"/>
  <c r="BU60" i="15"/>
  <c r="BV60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G61" i="15"/>
  <c r="BH61" i="15"/>
  <c r="BI61" i="15"/>
  <c r="BJ61" i="15"/>
  <c r="BK61" i="15"/>
  <c r="BL61" i="15"/>
  <c r="BM61" i="15"/>
  <c r="BN61" i="15"/>
  <c r="BO61" i="15"/>
  <c r="BP61" i="15"/>
  <c r="BQ61" i="15"/>
  <c r="BR61" i="15"/>
  <c r="BS61" i="15"/>
  <c r="BT61" i="15"/>
  <c r="BU61" i="15"/>
  <c r="BV61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G62" i="15"/>
  <c r="BH62" i="15"/>
  <c r="BI62" i="15"/>
  <c r="BJ62" i="15"/>
  <c r="BK62" i="15"/>
  <c r="BL62" i="15"/>
  <c r="BM62" i="15"/>
  <c r="BN62" i="15"/>
  <c r="BO62" i="15"/>
  <c r="BP62" i="15"/>
  <c r="BQ62" i="15"/>
  <c r="BR62" i="15"/>
  <c r="BS62" i="15"/>
  <c r="BT62" i="15"/>
  <c r="BU62" i="15"/>
  <c r="BV62" i="15"/>
  <c r="C52" i="15"/>
  <c r="C51" i="15" s="1"/>
  <c r="C85" i="18" s="1"/>
  <c r="D52" i="15"/>
  <c r="D51" i="15" s="1"/>
  <c r="D85" i="18" s="1"/>
  <c r="E52" i="15"/>
  <c r="E51" i="15" s="1"/>
  <c r="E85" i="18" s="1"/>
  <c r="F52" i="15"/>
  <c r="F51" i="15" s="1"/>
  <c r="F85" i="18" s="1"/>
  <c r="G52" i="15"/>
  <c r="G51" i="15" s="1"/>
  <c r="G85" i="18" s="1"/>
  <c r="H52" i="15"/>
  <c r="H51" i="15" s="1"/>
  <c r="H85" i="18" s="1"/>
  <c r="I52" i="15"/>
  <c r="I51" i="15" s="1"/>
  <c r="I85" i="18" s="1"/>
  <c r="J52" i="15"/>
  <c r="J51" i="15" s="1"/>
  <c r="J85" i="18" s="1"/>
  <c r="K52" i="15"/>
  <c r="K51" i="15" s="1"/>
  <c r="K85" i="18" s="1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AG52" i="15"/>
  <c r="AH52" i="15"/>
  <c r="AI52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BB52" i="15"/>
  <c r="BC52" i="15"/>
  <c r="BD52" i="15"/>
  <c r="BE52" i="15"/>
  <c r="BF52" i="15"/>
  <c r="BG52" i="15"/>
  <c r="BH52" i="15"/>
  <c r="BI52" i="15"/>
  <c r="BJ52" i="15"/>
  <c r="BK52" i="15"/>
  <c r="BL52" i="15"/>
  <c r="BM52" i="15"/>
  <c r="BN52" i="15"/>
  <c r="BO52" i="15"/>
  <c r="BP52" i="15"/>
  <c r="BQ52" i="15"/>
  <c r="BR52" i="15"/>
  <c r="BS52" i="15"/>
  <c r="BT52" i="15"/>
  <c r="BU52" i="15"/>
  <c r="BV52" i="15"/>
  <c r="BW52" i="15"/>
  <c r="BX52" i="15"/>
  <c r="BY52" i="15"/>
  <c r="BZ52" i="15"/>
  <c r="CA52" i="15"/>
  <c r="CB52" i="15"/>
  <c r="CC52" i="15"/>
  <c r="CD52" i="15"/>
  <c r="CE52" i="15"/>
  <c r="CF52" i="15"/>
  <c r="CG52" i="15"/>
  <c r="CH52" i="15"/>
  <c r="CI52" i="15"/>
  <c r="CJ52" i="15"/>
  <c r="CK52" i="15"/>
  <c r="CL52" i="15"/>
  <c r="CM52" i="15"/>
  <c r="CN52" i="15"/>
  <c r="CO52" i="15"/>
  <c r="CP52" i="15"/>
  <c r="CQ52" i="15"/>
  <c r="CR52" i="15"/>
  <c r="CS52" i="15"/>
  <c r="CT52" i="15"/>
  <c r="CU52" i="15"/>
  <c r="CV52" i="15"/>
  <c r="CW52" i="15"/>
  <c r="CX52" i="15"/>
  <c r="CY52" i="15"/>
  <c r="CZ52" i="15"/>
  <c r="DA52" i="15"/>
  <c r="DB52" i="15"/>
  <c r="DC52" i="15"/>
  <c r="DD52" i="15"/>
  <c r="DE52" i="15"/>
  <c r="DF52" i="15"/>
  <c r="DG52" i="15"/>
  <c r="DH52" i="15"/>
  <c r="DI52" i="15"/>
  <c r="DJ52" i="15"/>
  <c r="DK52" i="15"/>
  <c r="DL52" i="15"/>
  <c r="DM52" i="15"/>
  <c r="DN52" i="15"/>
  <c r="DO52" i="15"/>
  <c r="DP52" i="15"/>
  <c r="DQ52" i="15"/>
  <c r="DR52" i="15"/>
  <c r="C31" i="15"/>
  <c r="C30" i="15" s="1"/>
  <c r="C56" i="18" s="1"/>
  <c r="D31" i="15"/>
  <c r="D30" i="15" s="1"/>
  <c r="D56" i="18" s="1"/>
  <c r="E31" i="15"/>
  <c r="E30" i="15" s="1"/>
  <c r="E56" i="18" s="1"/>
  <c r="F31" i="15"/>
  <c r="F30" i="15" s="1"/>
  <c r="F56" i="18" s="1"/>
  <c r="G31" i="15"/>
  <c r="G30" i="15" s="1"/>
  <c r="G56" i="18" s="1"/>
  <c r="H31" i="15"/>
  <c r="H30" i="15" s="1"/>
  <c r="H56" i="18" s="1"/>
  <c r="I31" i="15"/>
  <c r="I30" i="15" s="1"/>
  <c r="I56" i="18" s="1"/>
  <c r="J31" i="15"/>
  <c r="J30" i="15" s="1"/>
  <c r="J56" i="18" s="1"/>
  <c r="K31" i="15"/>
  <c r="K30" i="15" s="1"/>
  <c r="K56" i="18" s="1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BB31" i="15"/>
  <c r="BC31" i="15"/>
  <c r="BD31" i="15"/>
  <c r="BE31" i="15"/>
  <c r="BF31" i="15"/>
  <c r="BG31" i="15"/>
  <c r="BH31" i="15"/>
  <c r="BI31" i="15"/>
  <c r="BJ31" i="15"/>
  <c r="BK31" i="15"/>
  <c r="BL31" i="15"/>
  <c r="BM31" i="15"/>
  <c r="BN31" i="15"/>
  <c r="BO31" i="15"/>
  <c r="BP31" i="15"/>
  <c r="BQ31" i="15"/>
  <c r="BR31" i="15"/>
  <c r="BS31" i="15"/>
  <c r="BT31" i="15"/>
  <c r="BU31" i="15"/>
  <c r="BV31" i="15"/>
  <c r="BW31" i="15"/>
  <c r="BX31" i="15"/>
  <c r="BY31" i="15"/>
  <c r="BZ31" i="15"/>
  <c r="CA31" i="15"/>
  <c r="CB31" i="15"/>
  <c r="CC31" i="15"/>
  <c r="CD31" i="15"/>
  <c r="CE31" i="15"/>
  <c r="CF31" i="15"/>
  <c r="CG31" i="15"/>
  <c r="CH31" i="15"/>
  <c r="CI31" i="15"/>
  <c r="CJ31" i="15"/>
  <c r="CK31" i="15"/>
  <c r="CL31" i="15"/>
  <c r="CM31" i="15"/>
  <c r="CN31" i="15"/>
  <c r="CO31" i="15"/>
  <c r="CP31" i="15"/>
  <c r="CQ31" i="15"/>
  <c r="CR31" i="15"/>
  <c r="CS31" i="15"/>
  <c r="CT31" i="15"/>
  <c r="CU31" i="15"/>
  <c r="CV31" i="15"/>
  <c r="CW31" i="15"/>
  <c r="CX31" i="15"/>
  <c r="CY31" i="15"/>
  <c r="CZ31" i="15"/>
  <c r="DA31" i="15"/>
  <c r="DB31" i="15"/>
  <c r="DC31" i="15"/>
  <c r="DD31" i="15"/>
  <c r="DE31" i="15"/>
  <c r="DF31" i="15"/>
  <c r="DG31" i="15"/>
  <c r="DH31" i="15"/>
  <c r="DI31" i="15"/>
  <c r="DJ31" i="15"/>
  <c r="DK31" i="15"/>
  <c r="DL31" i="15"/>
  <c r="DM31" i="15"/>
  <c r="DN31" i="15"/>
  <c r="DO31" i="15"/>
  <c r="DP31" i="15"/>
  <c r="DQ31" i="15"/>
  <c r="DR31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K27" i="15"/>
  <c r="K47" i="15" s="1"/>
  <c r="J27" i="15"/>
  <c r="J47" i="15" s="1"/>
  <c r="I27" i="15"/>
  <c r="I47" i="15" s="1"/>
  <c r="H27" i="15"/>
  <c r="H47" i="15" s="1"/>
  <c r="G27" i="15"/>
  <c r="G47" i="15" s="1"/>
  <c r="F27" i="15"/>
  <c r="F47" i="15" s="1"/>
  <c r="E27" i="15"/>
  <c r="E47" i="15" s="1"/>
  <c r="D27" i="15"/>
  <c r="D47" i="15" s="1"/>
  <c r="C28" i="15"/>
  <c r="C27" i="15"/>
  <c r="C47" i="15" s="1"/>
  <c r="AB24" i="15"/>
  <c r="AB39" i="15" s="1"/>
  <c r="AA24" i="15"/>
  <c r="AA39" i="15" s="1"/>
  <c r="Z24" i="15"/>
  <c r="Z39" i="15" s="1"/>
  <c r="Y24" i="15"/>
  <c r="Y39" i="15" s="1"/>
  <c r="X24" i="15"/>
  <c r="X39" i="15" s="1"/>
  <c r="W24" i="15"/>
  <c r="W39" i="15" s="1"/>
  <c r="W68" i="15" s="1"/>
  <c r="V24" i="15"/>
  <c r="V39" i="15" s="1"/>
  <c r="U24" i="15"/>
  <c r="U39" i="15" s="1"/>
  <c r="T24" i="15"/>
  <c r="T39" i="15" s="1"/>
  <c r="S24" i="15"/>
  <c r="S39" i="15" s="1"/>
  <c r="R24" i="15"/>
  <c r="R39" i="15" s="1"/>
  <c r="R68" i="15" s="1"/>
  <c r="Q24" i="15"/>
  <c r="Q39" i="15" s="1"/>
  <c r="Q68" i="15" s="1"/>
  <c r="P24" i="15"/>
  <c r="P39" i="15" s="1"/>
  <c r="O24" i="15"/>
  <c r="O39" i="15" s="1"/>
  <c r="N24" i="15"/>
  <c r="N39" i="15" s="1"/>
  <c r="M24" i="15"/>
  <c r="M39" i="15" s="1"/>
  <c r="L24" i="15"/>
  <c r="L39" i="15" s="1"/>
  <c r="K24" i="15"/>
  <c r="K39" i="15" s="1"/>
  <c r="K68" i="15" s="1"/>
  <c r="J24" i="15"/>
  <c r="J39" i="15" s="1"/>
  <c r="I24" i="15"/>
  <c r="I39" i="15" s="1"/>
  <c r="H24" i="15"/>
  <c r="H39" i="15" s="1"/>
  <c r="G24" i="15"/>
  <c r="G39" i="15" s="1"/>
  <c r="F24" i="15"/>
  <c r="F39" i="15" s="1"/>
  <c r="F68" i="15" s="1"/>
  <c r="E24" i="15"/>
  <c r="E39" i="15" s="1"/>
  <c r="E68" i="15" s="1"/>
  <c r="D24" i="15"/>
  <c r="D39" i="15" s="1"/>
  <c r="K23" i="15"/>
  <c r="K38" i="15" s="1"/>
  <c r="J23" i="15"/>
  <c r="J38" i="15" s="1"/>
  <c r="I23" i="15"/>
  <c r="I38" i="15" s="1"/>
  <c r="H23" i="15"/>
  <c r="H38" i="15" s="1"/>
  <c r="G23" i="15"/>
  <c r="G38" i="15" s="1"/>
  <c r="F23" i="15"/>
  <c r="F38" i="15" s="1"/>
  <c r="E23" i="15"/>
  <c r="E38" i="15" s="1"/>
  <c r="D23" i="15"/>
  <c r="D38" i="15" s="1"/>
  <c r="C24" i="15"/>
  <c r="C39" i="15" s="1"/>
  <c r="C23" i="15"/>
  <c r="C38" i="15" s="1"/>
  <c r="CL123" i="11" l="1"/>
  <c r="DT565" i="2"/>
  <c r="CU149" i="13" s="1"/>
  <c r="DZ149" i="13" s="1"/>
  <c r="DS564" i="2"/>
  <c r="CT148" i="13" s="1"/>
  <c r="DS563" i="2"/>
  <c r="CT147" i="13" s="1"/>
  <c r="DR562" i="2"/>
  <c r="EV78" i="15"/>
  <c r="EQ78" i="15"/>
  <c r="EY78" i="15"/>
  <c r="EF83" i="15"/>
  <c r="EH62" i="15"/>
  <c r="EH61" i="15"/>
  <c r="EH60" i="15"/>
  <c r="EI82" i="15"/>
  <c r="EP78" i="15"/>
  <c r="EH78" i="15"/>
  <c r="ES78" i="15"/>
  <c r="EX52" i="15"/>
  <c r="EH52" i="15"/>
  <c r="ER52" i="15"/>
  <c r="EH82" i="15"/>
  <c r="EP52" i="15"/>
  <c r="EJ52" i="15"/>
  <c r="EH58" i="15"/>
  <c r="EH56" i="15"/>
  <c r="EF82" i="15"/>
  <c r="EM78" i="15"/>
  <c r="EU31" i="15"/>
  <c r="EM31" i="15"/>
  <c r="EH59" i="15"/>
  <c r="EH57" i="15"/>
  <c r="EG78" i="15"/>
  <c r="EF61" i="15"/>
  <c r="EW31" i="15"/>
  <c r="EG31" i="15"/>
  <c r="EU78" i="15"/>
  <c r="EX78" i="15"/>
  <c r="EF62" i="15"/>
  <c r="EF60" i="15"/>
  <c r="EF58" i="15"/>
  <c r="EK52" i="15"/>
  <c r="EO52" i="15"/>
  <c r="EY31" i="15"/>
  <c r="EQ31" i="15"/>
  <c r="EI31" i="15"/>
  <c r="EV31" i="15"/>
  <c r="EN31" i="15"/>
  <c r="EF31" i="15"/>
  <c r="EY52" i="15"/>
  <c r="EQ52" i="15"/>
  <c r="EI52" i="15"/>
  <c r="ES31" i="15"/>
  <c r="EV52" i="15"/>
  <c r="EN52" i="15"/>
  <c r="EF52" i="15"/>
  <c r="EX31" i="15"/>
  <c r="EP31" i="15"/>
  <c r="EH31" i="15"/>
  <c r="ES52" i="15"/>
  <c r="ER78" i="15"/>
  <c r="EG52" i="15"/>
  <c r="EG61" i="15"/>
  <c r="ER31" i="15"/>
  <c r="EJ31" i="15"/>
  <c r="EU52" i="15"/>
  <c r="EM52" i="15"/>
  <c r="EJ78" i="15"/>
  <c r="EH83" i="15"/>
  <c r="EO78" i="15"/>
  <c r="EK78" i="15"/>
  <c r="ET31" i="15"/>
  <c r="EG62" i="15"/>
  <c r="EG60" i="15"/>
  <c r="EG59" i="15"/>
  <c r="EG58" i="15"/>
  <c r="EG57" i="15"/>
  <c r="EG56" i="15"/>
  <c r="EL78" i="15"/>
  <c r="EL31" i="15"/>
  <c r="EW52" i="15"/>
  <c r="ET52" i="15"/>
  <c r="EL52" i="15"/>
  <c r="EI78" i="15"/>
  <c r="EG83" i="15"/>
  <c r="EI62" i="15"/>
  <c r="EI61" i="15"/>
  <c r="EI60" i="15"/>
  <c r="EI59" i="15"/>
  <c r="EI58" i="15"/>
  <c r="EI57" i="15"/>
  <c r="EI56" i="15"/>
  <c r="EG82" i="15"/>
  <c r="EN78" i="15"/>
  <c r="EF78" i="15"/>
  <c r="ET78" i="15"/>
  <c r="EO31" i="15"/>
  <c r="EK31" i="15"/>
  <c r="EF59" i="15"/>
  <c r="EF57" i="15"/>
  <c r="EF56" i="15"/>
  <c r="EI83" i="15"/>
  <c r="EW78" i="15"/>
  <c r="O68" i="15"/>
  <c r="O74" i="15"/>
  <c r="O93" i="15" s="1"/>
  <c r="O114" i="15" s="1"/>
  <c r="O132" i="15" s="1"/>
  <c r="O144" i="15" s="1"/>
  <c r="I73" i="15"/>
  <c r="I92" i="15" s="1"/>
  <c r="I113" i="15" s="1"/>
  <c r="I131" i="15" s="1"/>
  <c r="I143" i="15" s="1"/>
  <c r="M68" i="15"/>
  <c r="M74" i="15"/>
  <c r="M93" i="15" s="1"/>
  <c r="M114" i="15" s="1"/>
  <c r="M132" i="15" s="1"/>
  <c r="M144" i="15" s="1"/>
  <c r="Y68" i="15"/>
  <c r="Y74" i="15"/>
  <c r="Y93" i="15" s="1"/>
  <c r="Y114" i="15" s="1"/>
  <c r="Y132" i="15" s="1"/>
  <c r="Y144" i="15" s="1"/>
  <c r="J73" i="15"/>
  <c r="J92" i="15" s="1"/>
  <c r="J113" i="15" s="1"/>
  <c r="J131" i="15" s="1"/>
  <c r="J143" i="15" s="1"/>
  <c r="N68" i="15"/>
  <c r="N74" i="15"/>
  <c r="N93" i="15" s="1"/>
  <c r="N114" i="15" s="1"/>
  <c r="N132" i="15" s="1"/>
  <c r="N144" i="15" s="1"/>
  <c r="Z68" i="15"/>
  <c r="Z74" i="15"/>
  <c r="Z93" i="15" s="1"/>
  <c r="Z114" i="15" s="1"/>
  <c r="Z132" i="15" s="1"/>
  <c r="Z144" i="15" s="1"/>
  <c r="P68" i="15"/>
  <c r="P74" i="15"/>
  <c r="P93" i="15" s="1"/>
  <c r="P114" i="15" s="1"/>
  <c r="P132" i="15" s="1"/>
  <c r="P144" i="15" s="1"/>
  <c r="K73" i="15"/>
  <c r="K92" i="15" s="1"/>
  <c r="K113" i="15" s="1"/>
  <c r="K131" i="15" s="1"/>
  <c r="K143" i="15" s="1"/>
  <c r="AA68" i="15"/>
  <c r="AA74" i="15"/>
  <c r="AA93" i="15" s="1"/>
  <c r="AA114" i="15" s="1"/>
  <c r="AA132" i="15" s="1"/>
  <c r="AA144" i="15" s="1"/>
  <c r="AB74" i="15"/>
  <c r="AB93" i="15" s="1"/>
  <c r="AB114" i="15" s="1"/>
  <c r="AB132" i="15" s="1"/>
  <c r="AB144" i="15" s="1"/>
  <c r="G68" i="15"/>
  <c r="G74" i="15"/>
  <c r="G93" i="15" s="1"/>
  <c r="G114" i="15" s="1"/>
  <c r="G132" i="15" s="1"/>
  <c r="G144" i="15" s="1"/>
  <c r="S68" i="15"/>
  <c r="S74" i="15"/>
  <c r="S93" i="15" s="1"/>
  <c r="S114" i="15" s="1"/>
  <c r="S132" i="15" s="1"/>
  <c r="S144" i="15" s="1"/>
  <c r="D73" i="15"/>
  <c r="D92" i="15" s="1"/>
  <c r="D113" i="15" s="1"/>
  <c r="D131" i="15" s="1"/>
  <c r="D143" i="15" s="1"/>
  <c r="C68" i="15"/>
  <c r="C74" i="15"/>
  <c r="C93" i="15" s="1"/>
  <c r="C114" i="15" s="1"/>
  <c r="C132" i="15" s="1"/>
  <c r="C144" i="15" s="1"/>
  <c r="U68" i="15"/>
  <c r="U74" i="15"/>
  <c r="U93" i="15" s="1"/>
  <c r="U114" i="15" s="1"/>
  <c r="U132" i="15" s="1"/>
  <c r="U144" i="15" s="1"/>
  <c r="J68" i="15"/>
  <c r="J74" i="15"/>
  <c r="J93" i="15" s="1"/>
  <c r="J114" i="15" s="1"/>
  <c r="J132" i="15" s="1"/>
  <c r="J144" i="15" s="1"/>
  <c r="D68" i="15"/>
  <c r="D74" i="15"/>
  <c r="D93" i="15" s="1"/>
  <c r="D114" i="15" s="1"/>
  <c r="D132" i="15" s="1"/>
  <c r="D144" i="15" s="1"/>
  <c r="T74" i="15"/>
  <c r="T93" i="15" s="1"/>
  <c r="T114" i="15" s="1"/>
  <c r="T132" i="15" s="1"/>
  <c r="T144" i="15" s="1"/>
  <c r="T68" i="15"/>
  <c r="I74" i="15"/>
  <c r="I93" i="15" s="1"/>
  <c r="I114" i="15" s="1"/>
  <c r="I132" i="15" s="1"/>
  <c r="I144" i="15" s="1"/>
  <c r="I68" i="15"/>
  <c r="F73" i="15"/>
  <c r="F92" i="15" s="1"/>
  <c r="F113" i="15" s="1"/>
  <c r="F131" i="15" s="1"/>
  <c r="F143" i="15" s="1"/>
  <c r="H74" i="15"/>
  <c r="H93" i="15" s="1"/>
  <c r="H114" i="15" s="1"/>
  <c r="H132" i="15" s="1"/>
  <c r="H144" i="15" s="1"/>
  <c r="H68" i="15"/>
  <c r="E73" i="15"/>
  <c r="E92" i="15" s="1"/>
  <c r="E113" i="15" s="1"/>
  <c r="E131" i="15" s="1"/>
  <c r="E143" i="15" s="1"/>
  <c r="V68" i="15"/>
  <c r="V74" i="15"/>
  <c r="V93" i="15" s="1"/>
  <c r="V114" i="15" s="1"/>
  <c r="V132" i="15" s="1"/>
  <c r="V144" i="15" s="1"/>
  <c r="H73" i="15"/>
  <c r="H92" i="15" s="1"/>
  <c r="H113" i="15" s="1"/>
  <c r="H131" i="15" s="1"/>
  <c r="H143" i="15" s="1"/>
  <c r="L68" i="15"/>
  <c r="L74" i="15"/>
  <c r="L93" i="15" s="1"/>
  <c r="L114" i="15" s="1"/>
  <c r="L132" i="15" s="1"/>
  <c r="L144" i="15" s="1"/>
  <c r="X68" i="15"/>
  <c r="X74" i="15"/>
  <c r="X93" i="15" s="1"/>
  <c r="X114" i="15" s="1"/>
  <c r="X132" i="15" s="1"/>
  <c r="X144" i="15" s="1"/>
  <c r="G73" i="15"/>
  <c r="G92" i="15" s="1"/>
  <c r="G113" i="15" s="1"/>
  <c r="G131" i="15" s="1"/>
  <c r="G143" i="15" s="1"/>
  <c r="K74" i="15"/>
  <c r="K93" i="15" s="1"/>
  <c r="K114" i="15" s="1"/>
  <c r="K132" i="15" s="1"/>
  <c r="K144" i="15" s="1"/>
  <c r="W74" i="15"/>
  <c r="W93" i="15" s="1"/>
  <c r="W114" i="15" s="1"/>
  <c r="W132" i="15" s="1"/>
  <c r="W144" i="15" s="1"/>
  <c r="E74" i="15"/>
  <c r="E93" i="15" s="1"/>
  <c r="E114" i="15" s="1"/>
  <c r="E132" i="15" s="1"/>
  <c r="E144" i="15" s="1"/>
  <c r="Q74" i="15"/>
  <c r="Q93" i="15" s="1"/>
  <c r="Q114" i="15" s="1"/>
  <c r="Q132" i="15" s="1"/>
  <c r="Q144" i="15" s="1"/>
  <c r="C73" i="15"/>
  <c r="C92" i="15" s="1"/>
  <c r="C113" i="15" s="1"/>
  <c r="C131" i="15" s="1"/>
  <c r="C143" i="15" s="1"/>
  <c r="F74" i="15"/>
  <c r="F93" i="15" s="1"/>
  <c r="F114" i="15" s="1"/>
  <c r="F132" i="15" s="1"/>
  <c r="F144" i="15" s="1"/>
  <c r="R74" i="15"/>
  <c r="R93" i="15" s="1"/>
  <c r="R114" i="15" s="1"/>
  <c r="R132" i="15" s="1"/>
  <c r="R144" i="15" s="1"/>
  <c r="C17" i="15"/>
  <c r="C27" i="18" s="1"/>
  <c r="D17" i="15"/>
  <c r="D27" i="18" s="1"/>
  <c r="E17" i="15"/>
  <c r="E27" i="18" s="1"/>
  <c r="F17" i="15"/>
  <c r="F27" i="18" s="1"/>
  <c r="G17" i="15"/>
  <c r="G27" i="18" s="1"/>
  <c r="H17" i="15"/>
  <c r="H27" i="18" s="1"/>
  <c r="I17" i="15"/>
  <c r="I27" i="18" s="1"/>
  <c r="J17" i="15"/>
  <c r="J27" i="18" s="1"/>
  <c r="K17" i="15"/>
  <c r="K27" i="18" s="1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AI17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BB17" i="15"/>
  <c r="BC17" i="15"/>
  <c r="BD17" i="15"/>
  <c r="BE17" i="15"/>
  <c r="BF17" i="15"/>
  <c r="BG17" i="15"/>
  <c r="BH17" i="15"/>
  <c r="BI17" i="15"/>
  <c r="BJ17" i="15"/>
  <c r="BK17" i="15"/>
  <c r="BL17" i="15"/>
  <c r="BM17" i="15"/>
  <c r="BN17" i="15"/>
  <c r="BO17" i="15"/>
  <c r="BP17" i="15"/>
  <c r="BQ17" i="15"/>
  <c r="BR17" i="15"/>
  <c r="BS17" i="15"/>
  <c r="BT17" i="15"/>
  <c r="BU17" i="15"/>
  <c r="BV17" i="15"/>
  <c r="BW17" i="15"/>
  <c r="BX17" i="15"/>
  <c r="BY17" i="15"/>
  <c r="BZ17" i="15"/>
  <c r="CA17" i="15"/>
  <c r="CB17" i="15"/>
  <c r="CC17" i="15"/>
  <c r="CD17" i="15"/>
  <c r="CE17" i="15"/>
  <c r="CF17" i="15"/>
  <c r="CG17" i="15"/>
  <c r="CH17" i="15"/>
  <c r="CI17" i="15"/>
  <c r="CJ17" i="15"/>
  <c r="CK17" i="15"/>
  <c r="CL17" i="15"/>
  <c r="CM17" i="15"/>
  <c r="CN17" i="15"/>
  <c r="CO17" i="15"/>
  <c r="CP17" i="15"/>
  <c r="CQ17" i="15"/>
  <c r="CR17" i="15"/>
  <c r="CS17" i="15"/>
  <c r="CT17" i="15"/>
  <c r="CU17" i="15"/>
  <c r="CV17" i="15"/>
  <c r="CW17" i="15"/>
  <c r="CX17" i="15"/>
  <c r="CY17" i="15"/>
  <c r="CZ17" i="15"/>
  <c r="DA17" i="15"/>
  <c r="DB17" i="15"/>
  <c r="DC17" i="15"/>
  <c r="DD17" i="15"/>
  <c r="DE17" i="15"/>
  <c r="DF17" i="15"/>
  <c r="DG17" i="15"/>
  <c r="DH17" i="15"/>
  <c r="DI17" i="15"/>
  <c r="DJ17" i="15"/>
  <c r="DK17" i="15"/>
  <c r="DL17" i="15"/>
  <c r="DM17" i="15"/>
  <c r="DN17" i="15"/>
  <c r="DO17" i="15"/>
  <c r="DP17" i="15"/>
  <c r="DQ17" i="15"/>
  <c r="DR17" i="15"/>
  <c r="C8" i="15"/>
  <c r="D8" i="15"/>
  <c r="E8" i="15"/>
  <c r="F8" i="15"/>
  <c r="F12" i="18" s="1"/>
  <c r="G8" i="15"/>
  <c r="G12" i="18" s="1"/>
  <c r="H8" i="15"/>
  <c r="I8" i="15"/>
  <c r="I12" i="18" s="1"/>
  <c r="J8" i="15"/>
  <c r="J12" i="18" s="1"/>
  <c r="K8" i="15"/>
  <c r="K12" i="18" s="1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/>
  <c r="AX8" i="15"/>
  <c r="AY8" i="15"/>
  <c r="AZ8" i="15"/>
  <c r="BA8" i="15"/>
  <c r="BB8" i="15"/>
  <c r="BC8" i="15"/>
  <c r="BD8" i="15"/>
  <c r="BE8" i="15"/>
  <c r="BF8" i="15"/>
  <c r="BG8" i="15"/>
  <c r="BH8" i="15"/>
  <c r="BI8" i="15"/>
  <c r="BJ8" i="15"/>
  <c r="BK8" i="15"/>
  <c r="BL8" i="15"/>
  <c r="BM8" i="15"/>
  <c r="BN8" i="15"/>
  <c r="BO8" i="15"/>
  <c r="BP8" i="15"/>
  <c r="BQ8" i="15"/>
  <c r="BR8" i="15"/>
  <c r="BS8" i="15"/>
  <c r="BT8" i="15"/>
  <c r="BU8" i="15"/>
  <c r="BV8" i="15"/>
  <c r="BW8" i="15"/>
  <c r="BX8" i="15"/>
  <c r="BY8" i="15"/>
  <c r="BZ8" i="15"/>
  <c r="CA8" i="15"/>
  <c r="CB8" i="15"/>
  <c r="CC8" i="15"/>
  <c r="CD8" i="15"/>
  <c r="CE8" i="15"/>
  <c r="CF8" i="15"/>
  <c r="CG8" i="15"/>
  <c r="CH8" i="15"/>
  <c r="CI8" i="15"/>
  <c r="CJ8" i="15"/>
  <c r="CK8" i="15"/>
  <c r="CL8" i="15"/>
  <c r="CM8" i="15"/>
  <c r="CN8" i="15"/>
  <c r="CO8" i="15"/>
  <c r="CP8" i="15"/>
  <c r="CQ8" i="15"/>
  <c r="CR8" i="15"/>
  <c r="CS8" i="15"/>
  <c r="CT8" i="15"/>
  <c r="CU8" i="15"/>
  <c r="CV8" i="15"/>
  <c r="CW8" i="15"/>
  <c r="CX8" i="15"/>
  <c r="CY8" i="15"/>
  <c r="CZ8" i="15"/>
  <c r="DA8" i="15"/>
  <c r="DB8" i="15"/>
  <c r="DC8" i="15"/>
  <c r="DD8" i="15"/>
  <c r="DE8" i="15"/>
  <c r="DF8" i="15"/>
  <c r="DG8" i="15"/>
  <c r="DH8" i="15"/>
  <c r="DI8" i="15"/>
  <c r="DJ8" i="15"/>
  <c r="DK8" i="15"/>
  <c r="DL8" i="15"/>
  <c r="DM8" i="15"/>
  <c r="DN8" i="15"/>
  <c r="DO8" i="15"/>
  <c r="DP8" i="15"/>
  <c r="DQ8" i="15"/>
  <c r="DR8" i="15"/>
  <c r="CM123" i="11" l="1"/>
  <c r="DR561" i="2"/>
  <c r="DR560" i="2" s="1"/>
  <c r="CS146" i="13"/>
  <c r="DU565" i="2"/>
  <c r="CV149" i="13" s="1"/>
  <c r="DT564" i="2"/>
  <c r="CU148" i="13" s="1"/>
  <c r="DZ148" i="13" s="1"/>
  <c r="DT563" i="2"/>
  <c r="CU147" i="13" s="1"/>
  <c r="DZ147" i="13" s="1"/>
  <c r="DS562" i="2"/>
  <c r="FI78" i="15"/>
  <c r="G43" i="18"/>
  <c r="FG78" i="15"/>
  <c r="FE78" i="15"/>
  <c r="FE59" i="15"/>
  <c r="FE83" i="15"/>
  <c r="FH52" i="15"/>
  <c r="F43" i="18"/>
  <c r="FH31" i="15"/>
  <c r="FE31" i="15"/>
  <c r="FE58" i="15"/>
  <c r="FE60" i="15"/>
  <c r="FF31" i="15"/>
  <c r="FE52" i="15"/>
  <c r="FE56" i="15"/>
  <c r="FI52" i="15"/>
  <c r="FE62" i="15"/>
  <c r="FI31" i="15"/>
  <c r="FF78" i="15"/>
  <c r="FH78" i="15"/>
  <c r="FE61" i="15"/>
  <c r="FG31" i="15"/>
  <c r="FG52" i="15"/>
  <c r="FE57" i="15"/>
  <c r="FF52" i="15"/>
  <c r="FE82" i="15"/>
  <c r="I43" i="18"/>
  <c r="K43" i="18"/>
  <c r="DL26" i="15"/>
  <c r="DL46" i="15" s="1"/>
  <c r="DD26" i="15"/>
  <c r="DD46" i="15" s="1"/>
  <c r="EU8" i="15"/>
  <c r="CV26" i="15"/>
  <c r="CV46" i="15" s="1"/>
  <c r="CN26" i="15"/>
  <c r="CN46" i="15" s="1"/>
  <c r="CF26" i="15"/>
  <c r="CF46" i="15" s="1"/>
  <c r="EM8" i="15"/>
  <c r="DK26" i="15"/>
  <c r="DK46" i="15" s="1"/>
  <c r="DC26" i="15"/>
  <c r="DC46" i="15" s="1"/>
  <c r="CU26" i="15"/>
  <c r="CU46" i="15" s="1"/>
  <c r="ER8" i="15"/>
  <c r="CM26" i="15"/>
  <c r="CM46" i="15" s="1"/>
  <c r="CE26" i="15"/>
  <c r="CE46" i="15" s="1"/>
  <c r="BW26" i="15"/>
  <c r="BW46" i="15" s="1"/>
  <c r="EJ8" i="15"/>
  <c r="BO26" i="15"/>
  <c r="BO46" i="15" s="1"/>
  <c r="BG26" i="15"/>
  <c r="BG46" i="15" s="1"/>
  <c r="AY26" i="15"/>
  <c r="AY46" i="15" s="1"/>
  <c r="AQ26" i="15"/>
  <c r="AQ46" i="15" s="1"/>
  <c r="AI26" i="15"/>
  <c r="AI46" i="15" s="1"/>
  <c r="AA26" i="15"/>
  <c r="AA46" i="15" s="1"/>
  <c r="S26" i="15"/>
  <c r="S46" i="15" s="1"/>
  <c r="C26" i="15"/>
  <c r="C46" i="15" s="1"/>
  <c r="C45" i="15" s="1"/>
  <c r="C80" i="18" s="1"/>
  <c r="C12" i="18"/>
  <c r="C43" i="18" s="1"/>
  <c r="ER17" i="15"/>
  <c r="DR26" i="15"/>
  <c r="DR46" i="15" s="1"/>
  <c r="CD26" i="15"/>
  <c r="CD46" i="15" s="1"/>
  <c r="BN26" i="15"/>
  <c r="BN46" i="15" s="1"/>
  <c r="EG8" i="15"/>
  <c r="AP26" i="15"/>
  <c r="AP46" i="15" s="1"/>
  <c r="R26" i="15"/>
  <c r="R46" i="15" s="1"/>
  <c r="EG17" i="15"/>
  <c r="EJ17" i="15"/>
  <c r="CL26" i="15"/>
  <c r="CL46" i="15" s="1"/>
  <c r="EK8" i="15"/>
  <c r="EO8" i="15"/>
  <c r="BV26" i="15"/>
  <c r="BV46" i="15" s="1"/>
  <c r="BF26" i="15"/>
  <c r="BF46" i="15" s="1"/>
  <c r="AX26" i="15"/>
  <c r="AX46" i="15" s="1"/>
  <c r="AH26" i="15"/>
  <c r="AH46" i="15" s="1"/>
  <c r="Z26" i="15"/>
  <c r="Z46" i="15" s="1"/>
  <c r="EO17" i="15"/>
  <c r="EK17" i="15"/>
  <c r="DH26" i="15"/>
  <c r="DH46" i="15" s="1"/>
  <c r="CJ26" i="15"/>
  <c r="CJ46" i="15" s="1"/>
  <c r="BD26" i="15"/>
  <c r="BD46" i="15" s="1"/>
  <c r="X26" i="15"/>
  <c r="X46" i="15" s="1"/>
  <c r="H26" i="15"/>
  <c r="H46" i="15" s="1"/>
  <c r="H45" i="15" s="1"/>
  <c r="H80" i="18" s="1"/>
  <c r="H12" i="18"/>
  <c r="H43" i="18" s="1"/>
  <c r="EQ17" i="15"/>
  <c r="EW8" i="15"/>
  <c r="J43" i="18"/>
  <c r="EW17" i="15"/>
  <c r="EN17" i="15"/>
  <c r="EF17" i="15"/>
  <c r="DQ26" i="15"/>
  <c r="DQ46" i="15" s="1"/>
  <c r="DI26" i="15"/>
  <c r="DI46" i="15" s="1"/>
  <c r="ET8" i="15"/>
  <c r="CS26" i="15"/>
  <c r="CS46" i="15" s="1"/>
  <c r="CK26" i="15"/>
  <c r="CK46" i="15" s="1"/>
  <c r="EL8" i="15"/>
  <c r="BU26" i="15"/>
  <c r="BU46" i="15" s="1"/>
  <c r="BM26" i="15"/>
  <c r="BM46" i="15" s="1"/>
  <c r="AW26" i="15"/>
  <c r="AW46" i="15" s="1"/>
  <c r="AO26" i="15"/>
  <c r="AO46" i="15" s="1"/>
  <c r="Y26" i="15"/>
  <c r="Y46" i="15" s="1"/>
  <c r="Q26" i="15"/>
  <c r="Q46" i="15" s="1"/>
  <c r="EL17" i="15"/>
  <c r="CQ26" i="15"/>
  <c r="CQ46" i="15" s="1"/>
  <c r="BK26" i="15"/>
  <c r="BK46" i="15" s="1"/>
  <c r="EF8" i="15"/>
  <c r="AU26" i="15"/>
  <c r="AU46" i="15" s="1"/>
  <c r="AM26" i="15"/>
  <c r="AM46" i="15" s="1"/>
  <c r="W26" i="15"/>
  <c r="W46" i="15" s="1"/>
  <c r="O26" i="15"/>
  <c r="O46" i="15" s="1"/>
  <c r="DN26" i="15"/>
  <c r="DN46" i="15" s="1"/>
  <c r="DF26" i="15"/>
  <c r="DF46" i="15" s="1"/>
  <c r="CX26" i="15"/>
  <c r="CX46" i="15" s="1"/>
  <c r="ES8" i="15"/>
  <c r="CP26" i="15"/>
  <c r="CP46" i="15" s="1"/>
  <c r="CH26" i="15"/>
  <c r="CH46" i="15" s="1"/>
  <c r="BZ26" i="15"/>
  <c r="BZ46" i="15" s="1"/>
  <c r="BR26" i="15"/>
  <c r="BR46" i="15" s="1"/>
  <c r="BJ26" i="15"/>
  <c r="BJ46" i="15" s="1"/>
  <c r="BB26" i="15"/>
  <c r="BB46" i="15" s="1"/>
  <c r="AT26" i="15"/>
  <c r="AT46" i="15" s="1"/>
  <c r="AL26" i="15"/>
  <c r="AL46" i="15" s="1"/>
  <c r="AD26" i="15"/>
  <c r="AD46" i="15" s="1"/>
  <c r="V26" i="15"/>
  <c r="V46" i="15" s="1"/>
  <c r="N26" i="15"/>
  <c r="N46" i="15" s="1"/>
  <c r="ES17" i="15"/>
  <c r="ET17" i="15"/>
  <c r="DP26" i="15"/>
  <c r="DP46" i="15" s="1"/>
  <c r="EY8" i="15"/>
  <c r="CZ26" i="15"/>
  <c r="CZ46" i="15" s="1"/>
  <c r="CR26" i="15"/>
  <c r="CR46" i="15" s="1"/>
  <c r="EQ8" i="15"/>
  <c r="CB26" i="15"/>
  <c r="CB46" i="15" s="1"/>
  <c r="BT26" i="15"/>
  <c r="BT46" i="15" s="1"/>
  <c r="EI8" i="15"/>
  <c r="BL26" i="15"/>
  <c r="BL46" i="15" s="1"/>
  <c r="AV26" i="15"/>
  <c r="AV46" i="15" s="1"/>
  <c r="AN26" i="15"/>
  <c r="AN46" i="15" s="1"/>
  <c r="AF26" i="15"/>
  <c r="AF46" i="15" s="1"/>
  <c r="P26" i="15"/>
  <c r="P46" i="15" s="1"/>
  <c r="EY17" i="15"/>
  <c r="EI17" i="15"/>
  <c r="DO26" i="15"/>
  <c r="DO46" i="15" s="1"/>
  <c r="DG26" i="15"/>
  <c r="DG46" i="15" s="1"/>
  <c r="EV8" i="15"/>
  <c r="CY26" i="15"/>
  <c r="CY46" i="15" s="1"/>
  <c r="ES46" i="15" s="1"/>
  <c r="CI26" i="15"/>
  <c r="CI46" i="15" s="1"/>
  <c r="EN8" i="15"/>
  <c r="CA26" i="15"/>
  <c r="CA46" i="15" s="1"/>
  <c r="BC26" i="15"/>
  <c r="BC46" i="15" s="1"/>
  <c r="AE26" i="15"/>
  <c r="AE46" i="15" s="1"/>
  <c r="EV17" i="15"/>
  <c r="EX8" i="15"/>
  <c r="CW26" i="15"/>
  <c r="CW46" i="15" s="1"/>
  <c r="EP8" i="15"/>
  <c r="CG26" i="15"/>
  <c r="CG46" i="15" s="1"/>
  <c r="BY26" i="15"/>
  <c r="BY46" i="15" s="1"/>
  <c r="EH8" i="15"/>
  <c r="BI26" i="15"/>
  <c r="BI46" i="15" s="1"/>
  <c r="BA26" i="15"/>
  <c r="BA46" i="15" s="1"/>
  <c r="AK26" i="15"/>
  <c r="AK46" i="15" s="1"/>
  <c r="AC26" i="15"/>
  <c r="AC46" i="15" s="1"/>
  <c r="M26" i="15"/>
  <c r="M46" i="15" s="1"/>
  <c r="E26" i="15"/>
  <c r="E46" i="15" s="1"/>
  <c r="E45" i="15" s="1"/>
  <c r="E80" i="18" s="1"/>
  <c r="E12" i="18"/>
  <c r="E43" i="18" s="1"/>
  <c r="EX17" i="15"/>
  <c r="EP17" i="15"/>
  <c r="EH17" i="15"/>
  <c r="BX26" i="15"/>
  <c r="BX46" i="15" s="1"/>
  <c r="BH26" i="15"/>
  <c r="BH46" i="15" s="1"/>
  <c r="AZ26" i="15"/>
  <c r="AZ46" i="15" s="1"/>
  <c r="AR26" i="15"/>
  <c r="AR46" i="15" s="1"/>
  <c r="AJ26" i="15"/>
  <c r="AJ46" i="15" s="1"/>
  <c r="AB26" i="15"/>
  <c r="AB46" i="15" s="1"/>
  <c r="T26" i="15"/>
  <c r="T46" i="15" s="1"/>
  <c r="L26" i="15"/>
  <c r="L46" i="15" s="1"/>
  <c r="D26" i="15"/>
  <c r="D46" i="15" s="1"/>
  <c r="D45" i="15" s="1"/>
  <c r="D80" i="18" s="1"/>
  <c r="D12" i="18"/>
  <c r="D43" i="18" s="1"/>
  <c r="EU17" i="15"/>
  <c r="EM17" i="15"/>
  <c r="F26" i="15"/>
  <c r="F46" i="15" s="1"/>
  <c r="F45" i="15" s="1"/>
  <c r="DJ26" i="15"/>
  <c r="DJ46" i="15" s="1"/>
  <c r="EW46" i="15" s="1"/>
  <c r="CT26" i="15"/>
  <c r="CT46" i="15" s="1"/>
  <c r="BS26" i="15"/>
  <c r="BS46" i="15" s="1"/>
  <c r="BP26" i="15"/>
  <c r="BP46" i="15" s="1"/>
  <c r="K26" i="15"/>
  <c r="K46" i="15" s="1"/>
  <c r="K45" i="15" s="1"/>
  <c r="K80" i="18" s="1"/>
  <c r="DE26" i="15"/>
  <c r="DE46" i="15" s="1"/>
  <c r="DB26" i="15"/>
  <c r="DB46" i="15" s="1"/>
  <c r="J26" i="15"/>
  <c r="J46" i="15" s="1"/>
  <c r="J45" i="15" s="1"/>
  <c r="G26" i="15"/>
  <c r="G46" i="15" s="1"/>
  <c r="G45" i="15" s="1"/>
  <c r="DM26" i="15"/>
  <c r="DM46" i="15" s="1"/>
  <c r="EX46" i="15" s="1"/>
  <c r="DA26" i="15"/>
  <c r="DA46" i="15" s="1"/>
  <c r="ET46" i="15" s="1"/>
  <c r="CO26" i="15"/>
  <c r="CO46" i="15" s="1"/>
  <c r="EP46" i="15" s="1"/>
  <c r="CC26" i="15"/>
  <c r="CC46" i="15" s="1"/>
  <c r="EL46" i="15" s="1"/>
  <c r="BQ26" i="15"/>
  <c r="BQ46" i="15" s="1"/>
  <c r="EH46" i="15" s="1"/>
  <c r="BE26" i="15"/>
  <c r="BE46" i="15" s="1"/>
  <c r="AS26" i="15"/>
  <c r="AS46" i="15" s="1"/>
  <c r="AG26" i="15"/>
  <c r="AG46" i="15" s="1"/>
  <c r="U26" i="15"/>
  <c r="U46" i="15" s="1"/>
  <c r="I26" i="15"/>
  <c r="I46" i="15" s="1"/>
  <c r="I45" i="15" s="1"/>
  <c r="EY46" i="15" l="1"/>
  <c r="EV46" i="15"/>
  <c r="EN46" i="15"/>
  <c r="EO46" i="15"/>
  <c r="EK46" i="15"/>
  <c r="EU46" i="15"/>
  <c r="EM46" i="15"/>
  <c r="ER46" i="15"/>
  <c r="FH46" i="15" s="1"/>
  <c r="EJ46" i="15"/>
  <c r="FF46" i="15" s="1"/>
  <c r="EG46" i="15"/>
  <c r="EF46" i="15"/>
  <c r="EQ46" i="15"/>
  <c r="EI46" i="15"/>
  <c r="CS145" i="13"/>
  <c r="CL122" i="11"/>
  <c r="CL92" i="12"/>
  <c r="DS561" i="2"/>
  <c r="DS560" i="2" s="1"/>
  <c r="CT146" i="13"/>
  <c r="CN123" i="11"/>
  <c r="DS123" i="11" s="1"/>
  <c r="DU564" i="2"/>
  <c r="CV148" i="13" s="1"/>
  <c r="DV565" i="2"/>
  <c r="CW149" i="13" s="1"/>
  <c r="DU563" i="2"/>
  <c r="CV147" i="13" s="1"/>
  <c r="DT562" i="2"/>
  <c r="FG8" i="15"/>
  <c r="FH8" i="15"/>
  <c r="FH17" i="15"/>
  <c r="FE8" i="15"/>
  <c r="FE17" i="15"/>
  <c r="FF8" i="15"/>
  <c r="FF17" i="15"/>
  <c r="FI8" i="15"/>
  <c r="FG17" i="15"/>
  <c r="FI17" i="15"/>
  <c r="H43" i="15"/>
  <c r="G80" i="18"/>
  <c r="EH26" i="15"/>
  <c r="E43" i="15"/>
  <c r="F43" i="15"/>
  <c r="F80" i="18"/>
  <c r="EF26" i="15"/>
  <c r="EJ26" i="15"/>
  <c r="EQ26" i="15"/>
  <c r="EK26" i="15"/>
  <c r="EO26" i="15"/>
  <c r="EP26" i="15"/>
  <c r="ET26" i="15"/>
  <c r="EX26" i="15"/>
  <c r="EI26" i="15"/>
  <c r="I43" i="15"/>
  <c r="I80" i="18"/>
  <c r="D43" i="15"/>
  <c r="EG26" i="15"/>
  <c r="EU26" i="15"/>
  <c r="EL26" i="15"/>
  <c r="EN26" i="15"/>
  <c r="EV26" i="15"/>
  <c r="EY26" i="15"/>
  <c r="EM26" i="15"/>
  <c r="K43" i="15"/>
  <c r="J80" i="18"/>
  <c r="EW26" i="15"/>
  <c r="ES26" i="15"/>
  <c r="ER26" i="15"/>
  <c r="G43" i="15"/>
  <c r="J43" i="15"/>
  <c r="FG46" i="15" l="1"/>
  <c r="FI46" i="15"/>
  <c r="FE46" i="15"/>
  <c r="CL121" i="11"/>
  <c r="DT561" i="2"/>
  <c r="DT560" i="2" s="1"/>
  <c r="CU146" i="13"/>
  <c r="DZ146" i="13" s="1"/>
  <c r="CO123" i="11"/>
  <c r="CT145" i="13"/>
  <c r="CM92" i="12"/>
  <c r="CM122" i="11"/>
  <c r="CM121" i="11" s="1"/>
  <c r="DW565" i="2"/>
  <c r="CX149" i="13" s="1"/>
  <c r="EA149" i="13" s="1"/>
  <c r="DV564" i="2"/>
  <c r="CW148" i="13" s="1"/>
  <c r="DV563" i="2"/>
  <c r="CW147" i="13" s="1"/>
  <c r="DU562" i="2"/>
  <c r="FI26" i="15"/>
  <c r="FE26" i="15"/>
  <c r="FG26" i="15"/>
  <c r="FF26" i="15"/>
  <c r="FH26" i="15"/>
  <c r="C151" i="13"/>
  <c r="AC159" i="18" s="1"/>
  <c r="D151" i="13"/>
  <c r="AD159" i="18" s="1"/>
  <c r="E151" i="13"/>
  <c r="AE159" i="18" s="1"/>
  <c r="F151" i="13"/>
  <c r="AF159" i="18" s="1"/>
  <c r="G151" i="13"/>
  <c r="AG159" i="18" s="1"/>
  <c r="H151" i="13"/>
  <c r="AH159" i="18" s="1"/>
  <c r="I151" i="13"/>
  <c r="AI159" i="18" s="1"/>
  <c r="J151" i="13"/>
  <c r="K151" i="13"/>
  <c r="L151" i="13"/>
  <c r="M151" i="13"/>
  <c r="N151" i="13"/>
  <c r="O151" i="13"/>
  <c r="P151" i="13"/>
  <c r="Q151" i="13"/>
  <c r="R151" i="13"/>
  <c r="S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AJ151" i="13"/>
  <c r="AK151" i="13"/>
  <c r="AL151" i="13"/>
  <c r="AM151" i="13"/>
  <c r="AN151" i="13"/>
  <c r="AO151" i="13"/>
  <c r="AP151" i="13"/>
  <c r="AQ151" i="13"/>
  <c r="AR151" i="13"/>
  <c r="AS151" i="13"/>
  <c r="AT151" i="13"/>
  <c r="AU151" i="13"/>
  <c r="AV151" i="13"/>
  <c r="AW151" i="13"/>
  <c r="AX151" i="13"/>
  <c r="AY151" i="13"/>
  <c r="AZ151" i="13"/>
  <c r="BA151" i="13"/>
  <c r="BB151" i="13"/>
  <c r="BC151" i="13"/>
  <c r="BD151" i="13"/>
  <c r="BE151" i="13"/>
  <c r="BF151" i="13"/>
  <c r="BG151" i="13"/>
  <c r="BH151" i="13"/>
  <c r="BI151" i="13"/>
  <c r="BJ151" i="13"/>
  <c r="BK151" i="13"/>
  <c r="BL151" i="13"/>
  <c r="BM151" i="13"/>
  <c r="BN151" i="13"/>
  <c r="BO151" i="13"/>
  <c r="BP151" i="13"/>
  <c r="BQ151" i="13"/>
  <c r="BR151" i="13"/>
  <c r="BS151" i="13"/>
  <c r="BT151" i="13"/>
  <c r="BU151" i="13"/>
  <c r="BV151" i="13"/>
  <c r="BW151" i="13"/>
  <c r="BX151" i="13"/>
  <c r="BY151" i="13"/>
  <c r="BZ151" i="13"/>
  <c r="CA151" i="13"/>
  <c r="CB151" i="13"/>
  <c r="CC151" i="13"/>
  <c r="CD151" i="13"/>
  <c r="CE151" i="13"/>
  <c r="CF151" i="13"/>
  <c r="CG151" i="13"/>
  <c r="CH151" i="13"/>
  <c r="CI151" i="13"/>
  <c r="CJ151" i="13"/>
  <c r="CK151" i="13"/>
  <c r="CL151" i="13"/>
  <c r="CM151" i="13"/>
  <c r="CN151" i="13"/>
  <c r="CO151" i="13"/>
  <c r="CP151" i="13"/>
  <c r="CQ151" i="13"/>
  <c r="CR151" i="13"/>
  <c r="C152" i="13"/>
  <c r="D152" i="13"/>
  <c r="E152" i="13"/>
  <c r="F152" i="13"/>
  <c r="G152" i="13"/>
  <c r="H152" i="13"/>
  <c r="I152" i="13"/>
  <c r="J152" i="13"/>
  <c r="K152" i="13"/>
  <c r="L152" i="13"/>
  <c r="M152" i="13"/>
  <c r="N152" i="13"/>
  <c r="O152" i="13"/>
  <c r="P152" i="13"/>
  <c r="Q152" i="13"/>
  <c r="R152" i="13"/>
  <c r="S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AJ152" i="13"/>
  <c r="AK152" i="13"/>
  <c r="AL152" i="13"/>
  <c r="AM152" i="13"/>
  <c r="AN152" i="13"/>
  <c r="AO152" i="13"/>
  <c r="AP152" i="13"/>
  <c r="AQ152" i="13"/>
  <c r="AR152" i="13"/>
  <c r="AS152" i="13"/>
  <c r="AT152" i="13"/>
  <c r="AU152" i="13"/>
  <c r="AV152" i="13"/>
  <c r="AW152" i="13"/>
  <c r="AX152" i="13"/>
  <c r="AY152" i="13"/>
  <c r="AZ152" i="13"/>
  <c r="BA152" i="13"/>
  <c r="BB152" i="13"/>
  <c r="BC152" i="13"/>
  <c r="BD152" i="13"/>
  <c r="BE152" i="13"/>
  <c r="BF152" i="13"/>
  <c r="BG152" i="13"/>
  <c r="BH152" i="13"/>
  <c r="BI152" i="13"/>
  <c r="BJ152" i="13"/>
  <c r="BK152" i="13"/>
  <c r="BL152" i="13"/>
  <c r="BM152" i="13"/>
  <c r="BN152" i="13"/>
  <c r="BO152" i="13"/>
  <c r="BP152" i="13"/>
  <c r="BQ152" i="13"/>
  <c r="BR152" i="13"/>
  <c r="BS152" i="13"/>
  <c r="BT152" i="13"/>
  <c r="BU152" i="13"/>
  <c r="BV152" i="13"/>
  <c r="BW152" i="13"/>
  <c r="BX152" i="13"/>
  <c r="BY152" i="13"/>
  <c r="BZ152" i="13"/>
  <c r="CA152" i="13"/>
  <c r="CB152" i="13"/>
  <c r="CC152" i="13"/>
  <c r="CD152" i="13"/>
  <c r="CE152" i="13"/>
  <c r="CF152" i="13"/>
  <c r="CG152" i="13"/>
  <c r="CH152" i="13"/>
  <c r="CI152" i="13"/>
  <c r="CJ152" i="13"/>
  <c r="CK152" i="13"/>
  <c r="CL152" i="13"/>
  <c r="CM152" i="13"/>
  <c r="CN152" i="13"/>
  <c r="CO152" i="13"/>
  <c r="CP152" i="13"/>
  <c r="CQ152" i="13"/>
  <c r="CR152" i="13"/>
  <c r="C153" i="13"/>
  <c r="D153" i="13"/>
  <c r="E153" i="13"/>
  <c r="F153" i="13"/>
  <c r="G153" i="13"/>
  <c r="H153" i="13"/>
  <c r="I153" i="13"/>
  <c r="J153" i="13"/>
  <c r="K153" i="13"/>
  <c r="L153" i="13"/>
  <c r="M153" i="13"/>
  <c r="N153" i="13"/>
  <c r="O153" i="13"/>
  <c r="P153" i="13"/>
  <c r="Q153" i="13"/>
  <c r="R153" i="13"/>
  <c r="S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AJ153" i="13"/>
  <c r="AK153" i="13"/>
  <c r="AL153" i="13"/>
  <c r="AM153" i="13"/>
  <c r="AN153" i="13"/>
  <c r="AO153" i="13"/>
  <c r="AP153" i="13"/>
  <c r="AQ153" i="13"/>
  <c r="AR153" i="13"/>
  <c r="AS153" i="13"/>
  <c r="AT153" i="13"/>
  <c r="AU153" i="13"/>
  <c r="AV153" i="13"/>
  <c r="AW153" i="13"/>
  <c r="AX153" i="13"/>
  <c r="AY153" i="13"/>
  <c r="AZ153" i="13"/>
  <c r="BA153" i="13"/>
  <c r="BB153" i="13"/>
  <c r="BC153" i="13"/>
  <c r="BD153" i="13"/>
  <c r="BE153" i="13"/>
  <c r="BF153" i="13"/>
  <c r="BG153" i="13"/>
  <c r="BH153" i="13"/>
  <c r="BI153" i="13"/>
  <c r="BJ153" i="13"/>
  <c r="BK153" i="13"/>
  <c r="BL153" i="13"/>
  <c r="BM153" i="13"/>
  <c r="BN153" i="13"/>
  <c r="BO153" i="13"/>
  <c r="BP153" i="13"/>
  <c r="BQ153" i="13"/>
  <c r="BR153" i="13"/>
  <c r="BS153" i="13"/>
  <c r="BT153" i="13"/>
  <c r="BU153" i="13"/>
  <c r="BV153" i="13"/>
  <c r="BW153" i="13"/>
  <c r="BX153" i="13"/>
  <c r="BY153" i="13"/>
  <c r="BZ153" i="13"/>
  <c r="CA153" i="13"/>
  <c r="CB153" i="13"/>
  <c r="CC153" i="13"/>
  <c r="CD153" i="13"/>
  <c r="CE153" i="13"/>
  <c r="CF153" i="13"/>
  <c r="CG153" i="13"/>
  <c r="CH153" i="13"/>
  <c r="CI153" i="13"/>
  <c r="CJ153" i="13"/>
  <c r="CK153" i="13"/>
  <c r="CL153" i="13"/>
  <c r="CM153" i="13"/>
  <c r="CN153" i="13"/>
  <c r="CO153" i="13"/>
  <c r="CP153" i="13"/>
  <c r="CQ153" i="13"/>
  <c r="CR153" i="13"/>
  <c r="C154" i="13"/>
  <c r="D154" i="13"/>
  <c r="E154" i="13"/>
  <c r="F154" i="13"/>
  <c r="G154" i="13"/>
  <c r="H154" i="13"/>
  <c r="I154" i="13"/>
  <c r="J154" i="13"/>
  <c r="K154" i="13"/>
  <c r="L154" i="13"/>
  <c r="M154" i="13"/>
  <c r="N154" i="13"/>
  <c r="O154" i="13"/>
  <c r="P154" i="13"/>
  <c r="Q154" i="13"/>
  <c r="R154" i="13"/>
  <c r="S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AJ154" i="13"/>
  <c r="AK154" i="13"/>
  <c r="AL154" i="13"/>
  <c r="AM154" i="13"/>
  <c r="AN154" i="13"/>
  <c r="AO154" i="13"/>
  <c r="AP154" i="13"/>
  <c r="AQ154" i="13"/>
  <c r="AR154" i="13"/>
  <c r="AS154" i="13"/>
  <c r="AT154" i="13"/>
  <c r="AU154" i="13"/>
  <c r="AV154" i="13"/>
  <c r="AW154" i="13"/>
  <c r="AX154" i="13"/>
  <c r="AY154" i="13"/>
  <c r="AZ154" i="13"/>
  <c r="BA154" i="13"/>
  <c r="BB154" i="13"/>
  <c r="BC154" i="13"/>
  <c r="BD154" i="13"/>
  <c r="BE154" i="13"/>
  <c r="BF154" i="13"/>
  <c r="BG154" i="13"/>
  <c r="BH154" i="13"/>
  <c r="BI154" i="13"/>
  <c r="BJ154" i="13"/>
  <c r="BK154" i="13"/>
  <c r="BL154" i="13"/>
  <c r="BM154" i="13"/>
  <c r="BN154" i="13"/>
  <c r="BO154" i="13"/>
  <c r="BP154" i="13"/>
  <c r="BQ154" i="13"/>
  <c r="BR154" i="13"/>
  <c r="BS154" i="13"/>
  <c r="BT154" i="13"/>
  <c r="BU154" i="13"/>
  <c r="BV154" i="13"/>
  <c r="BW154" i="13"/>
  <c r="BX154" i="13"/>
  <c r="BY154" i="13"/>
  <c r="BZ154" i="13"/>
  <c r="CA154" i="13"/>
  <c r="CB154" i="13"/>
  <c r="CC154" i="13"/>
  <c r="CD154" i="13"/>
  <c r="CE154" i="13"/>
  <c r="CF154" i="13"/>
  <c r="CG154" i="13"/>
  <c r="CH154" i="13"/>
  <c r="CI154" i="13"/>
  <c r="CJ154" i="13"/>
  <c r="CK154" i="13"/>
  <c r="CL154" i="13"/>
  <c r="CM154" i="13"/>
  <c r="CN154" i="13"/>
  <c r="CO154" i="13"/>
  <c r="CP154" i="13"/>
  <c r="CQ154" i="13"/>
  <c r="CR154" i="13"/>
  <c r="C148" i="13"/>
  <c r="D148" i="13"/>
  <c r="E148" i="13"/>
  <c r="F148" i="13"/>
  <c r="G148" i="13"/>
  <c r="H148" i="13"/>
  <c r="I148" i="13"/>
  <c r="J148" i="13"/>
  <c r="K148" i="13"/>
  <c r="L148" i="13"/>
  <c r="M148" i="13"/>
  <c r="N148" i="13"/>
  <c r="O148" i="13"/>
  <c r="P148" i="13"/>
  <c r="Q148" i="13"/>
  <c r="R148" i="13"/>
  <c r="S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AJ148" i="13"/>
  <c r="AK148" i="13"/>
  <c r="AL148" i="13"/>
  <c r="AM148" i="13"/>
  <c r="AN148" i="13"/>
  <c r="AO148" i="13"/>
  <c r="AP148" i="13"/>
  <c r="AQ148" i="13"/>
  <c r="AR148" i="13"/>
  <c r="AS148" i="13"/>
  <c r="AT148" i="13"/>
  <c r="AU148" i="13"/>
  <c r="AV148" i="13"/>
  <c r="AW148" i="13"/>
  <c r="AX148" i="13"/>
  <c r="AY148" i="13"/>
  <c r="AZ148" i="13"/>
  <c r="BA148" i="13"/>
  <c r="BB148" i="13"/>
  <c r="BC148" i="13"/>
  <c r="BD148" i="13"/>
  <c r="BE148" i="13"/>
  <c r="BF148" i="13"/>
  <c r="BG148" i="13"/>
  <c r="BH148" i="13"/>
  <c r="BI148" i="13"/>
  <c r="BJ148" i="13"/>
  <c r="BK148" i="13"/>
  <c r="BL148" i="13"/>
  <c r="BM148" i="13"/>
  <c r="BN148" i="13"/>
  <c r="BO148" i="13"/>
  <c r="BP148" i="13"/>
  <c r="BQ148" i="13"/>
  <c r="BR148" i="13"/>
  <c r="BS148" i="13"/>
  <c r="BT148" i="13"/>
  <c r="BU148" i="13"/>
  <c r="BV148" i="13"/>
  <c r="BW148" i="13"/>
  <c r="BX148" i="13"/>
  <c r="BY148" i="13"/>
  <c r="BZ148" i="13"/>
  <c r="CA148" i="13"/>
  <c r="CB148" i="13"/>
  <c r="CC148" i="13"/>
  <c r="CD148" i="13"/>
  <c r="CE148" i="13"/>
  <c r="CF148" i="13"/>
  <c r="CG148" i="13"/>
  <c r="CH148" i="13"/>
  <c r="CI148" i="13"/>
  <c r="CJ148" i="13"/>
  <c r="CK148" i="13"/>
  <c r="CL148" i="13"/>
  <c r="CM148" i="13"/>
  <c r="CN148" i="13"/>
  <c r="CO148" i="13"/>
  <c r="CP148" i="13"/>
  <c r="CQ148" i="13"/>
  <c r="CR148" i="13"/>
  <c r="C149" i="13"/>
  <c r="D149" i="13"/>
  <c r="E149" i="13"/>
  <c r="F149" i="13"/>
  <c r="G149" i="13"/>
  <c r="H149" i="13"/>
  <c r="I149" i="13"/>
  <c r="J149" i="13"/>
  <c r="K149" i="13"/>
  <c r="L149" i="13"/>
  <c r="M149" i="13"/>
  <c r="N149" i="13"/>
  <c r="O149" i="13"/>
  <c r="P149" i="13"/>
  <c r="Q149" i="13"/>
  <c r="R149" i="13"/>
  <c r="S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AJ149" i="13"/>
  <c r="AK149" i="13"/>
  <c r="AL149" i="13"/>
  <c r="AM149" i="13"/>
  <c r="AN149" i="13"/>
  <c r="AO149" i="13"/>
  <c r="AP149" i="13"/>
  <c r="AQ149" i="13"/>
  <c r="AR149" i="13"/>
  <c r="AS149" i="13"/>
  <c r="AT149" i="13"/>
  <c r="AU149" i="13"/>
  <c r="AV149" i="13"/>
  <c r="AW149" i="13"/>
  <c r="AX149" i="13"/>
  <c r="AY149" i="13"/>
  <c r="AZ149" i="13"/>
  <c r="BA149" i="13"/>
  <c r="BB149" i="13"/>
  <c r="BC149" i="13"/>
  <c r="BD149" i="13"/>
  <c r="BE149" i="13"/>
  <c r="BF149" i="13"/>
  <c r="BG149" i="13"/>
  <c r="BH149" i="13"/>
  <c r="BI149" i="13"/>
  <c r="BJ149" i="13"/>
  <c r="BK149" i="13"/>
  <c r="BL149" i="13"/>
  <c r="BM149" i="13"/>
  <c r="BN149" i="13"/>
  <c r="BO149" i="13"/>
  <c r="BP149" i="13"/>
  <c r="BQ149" i="13"/>
  <c r="BR149" i="13"/>
  <c r="BS149" i="13"/>
  <c r="BT149" i="13"/>
  <c r="BU149" i="13"/>
  <c r="BV149" i="13"/>
  <c r="BW149" i="13"/>
  <c r="BX149" i="13"/>
  <c r="BY149" i="13"/>
  <c r="BZ149" i="13"/>
  <c r="CA149" i="13"/>
  <c r="CB149" i="13"/>
  <c r="CC149" i="13"/>
  <c r="CD149" i="13"/>
  <c r="CE149" i="13"/>
  <c r="CF149" i="13"/>
  <c r="CG149" i="13"/>
  <c r="CH149" i="13"/>
  <c r="CI149" i="13"/>
  <c r="CJ149" i="13"/>
  <c r="CK149" i="13"/>
  <c r="CL149" i="13"/>
  <c r="CM149" i="13"/>
  <c r="CN149" i="13"/>
  <c r="CO149" i="13"/>
  <c r="CP149" i="13"/>
  <c r="CQ149" i="13"/>
  <c r="CR149" i="13"/>
  <c r="C147" i="13"/>
  <c r="D147" i="13"/>
  <c r="E147" i="13"/>
  <c r="F147" i="13"/>
  <c r="G147" i="13"/>
  <c r="H147" i="13"/>
  <c r="I147" i="13"/>
  <c r="J147" i="13"/>
  <c r="K147" i="13"/>
  <c r="L147" i="13"/>
  <c r="M147" i="13"/>
  <c r="N147" i="13"/>
  <c r="O147" i="13"/>
  <c r="P147" i="13"/>
  <c r="Q147" i="13"/>
  <c r="R147" i="13"/>
  <c r="S147" i="13"/>
  <c r="T147" i="13"/>
  <c r="U147" i="13"/>
  <c r="V147" i="13"/>
  <c r="W147" i="13"/>
  <c r="X147" i="13"/>
  <c r="Y147" i="13"/>
  <c r="Z147" i="13"/>
  <c r="AA147" i="13"/>
  <c r="AB147" i="13"/>
  <c r="AC147" i="13"/>
  <c r="AD147" i="13"/>
  <c r="AE147" i="13"/>
  <c r="AF147" i="13"/>
  <c r="AG147" i="13"/>
  <c r="AH147" i="13"/>
  <c r="AI147" i="13"/>
  <c r="AJ147" i="13"/>
  <c r="AK147" i="13"/>
  <c r="AL147" i="13"/>
  <c r="AM147" i="13"/>
  <c r="AN147" i="13"/>
  <c r="AO147" i="13"/>
  <c r="AP147" i="13"/>
  <c r="AQ147" i="13"/>
  <c r="AR147" i="13"/>
  <c r="AS147" i="13"/>
  <c r="AT147" i="13"/>
  <c r="AU147" i="13"/>
  <c r="AV147" i="13"/>
  <c r="AW147" i="13"/>
  <c r="AX147" i="13"/>
  <c r="AY147" i="13"/>
  <c r="AZ147" i="13"/>
  <c r="BA147" i="13"/>
  <c r="BB147" i="13"/>
  <c r="BC147" i="13"/>
  <c r="BD147" i="13"/>
  <c r="BE147" i="13"/>
  <c r="BF147" i="13"/>
  <c r="BG147" i="13"/>
  <c r="BH147" i="13"/>
  <c r="BI147" i="13"/>
  <c r="BJ147" i="13"/>
  <c r="BK147" i="13"/>
  <c r="BL147" i="13"/>
  <c r="BM147" i="13"/>
  <c r="BN147" i="13"/>
  <c r="BO147" i="13"/>
  <c r="BP147" i="13"/>
  <c r="BQ147" i="13"/>
  <c r="BR147" i="13"/>
  <c r="BS147" i="13"/>
  <c r="BT147" i="13"/>
  <c r="BU147" i="13"/>
  <c r="BV147" i="13"/>
  <c r="BW147" i="13"/>
  <c r="BX147" i="13"/>
  <c r="BY147" i="13"/>
  <c r="BZ147" i="13"/>
  <c r="CA147" i="13"/>
  <c r="CB147" i="13"/>
  <c r="CC147" i="13"/>
  <c r="CD147" i="13"/>
  <c r="CE147" i="13"/>
  <c r="CF147" i="13"/>
  <c r="CG147" i="13"/>
  <c r="CH147" i="13"/>
  <c r="CI147" i="13"/>
  <c r="CJ147" i="13"/>
  <c r="CK147" i="13"/>
  <c r="CL147" i="13"/>
  <c r="CM147" i="13"/>
  <c r="CN147" i="13"/>
  <c r="CO147" i="13"/>
  <c r="CP147" i="13"/>
  <c r="CQ147" i="13"/>
  <c r="CR147" i="13"/>
  <c r="C146" i="13"/>
  <c r="D146" i="13"/>
  <c r="E146" i="13"/>
  <c r="F146" i="13"/>
  <c r="G146" i="13"/>
  <c r="H146" i="13"/>
  <c r="I146" i="13"/>
  <c r="J146" i="13"/>
  <c r="K146" i="13"/>
  <c r="L146" i="13"/>
  <c r="M146" i="13"/>
  <c r="N146" i="13"/>
  <c r="O146" i="13"/>
  <c r="P146" i="13"/>
  <c r="Q146" i="13"/>
  <c r="R146" i="13"/>
  <c r="S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AJ146" i="13"/>
  <c r="AK146" i="13"/>
  <c r="AL146" i="13"/>
  <c r="AM146" i="13"/>
  <c r="AN146" i="13"/>
  <c r="AO146" i="13"/>
  <c r="AP146" i="13"/>
  <c r="AQ146" i="13"/>
  <c r="AR146" i="13"/>
  <c r="AS146" i="13"/>
  <c r="AT146" i="13"/>
  <c r="AU146" i="13"/>
  <c r="AV146" i="13"/>
  <c r="AW146" i="13"/>
  <c r="AX146" i="13"/>
  <c r="AY146" i="13"/>
  <c r="AZ146" i="13"/>
  <c r="BA146" i="13"/>
  <c r="BB146" i="13"/>
  <c r="BC146" i="13"/>
  <c r="BD146" i="13"/>
  <c r="BE146" i="13"/>
  <c r="BF146" i="13"/>
  <c r="BG146" i="13"/>
  <c r="BH146" i="13"/>
  <c r="BI146" i="13"/>
  <c r="BJ146" i="13"/>
  <c r="BK146" i="13"/>
  <c r="BL146" i="13"/>
  <c r="BM146" i="13"/>
  <c r="BN146" i="13"/>
  <c r="BO146" i="13"/>
  <c r="BP146" i="13"/>
  <c r="BQ146" i="13"/>
  <c r="BR146" i="13"/>
  <c r="BS146" i="13"/>
  <c r="BT146" i="13"/>
  <c r="BU146" i="13"/>
  <c r="BV146" i="13"/>
  <c r="BW146" i="13"/>
  <c r="BX146" i="13"/>
  <c r="BY146" i="13"/>
  <c r="BZ146" i="13"/>
  <c r="CA146" i="13"/>
  <c r="CB146" i="13"/>
  <c r="CC146" i="13"/>
  <c r="CD146" i="13"/>
  <c r="CE146" i="13"/>
  <c r="CF146" i="13"/>
  <c r="CG146" i="13"/>
  <c r="CH146" i="13"/>
  <c r="CI146" i="13"/>
  <c r="CJ146" i="13"/>
  <c r="CK146" i="13"/>
  <c r="CL146" i="13"/>
  <c r="CM146" i="13"/>
  <c r="CN146" i="13"/>
  <c r="CO146" i="13"/>
  <c r="CP146" i="13"/>
  <c r="CQ146" i="13"/>
  <c r="CR146" i="13"/>
  <c r="CP123" i="11" l="1"/>
  <c r="CU145" i="13"/>
  <c r="DZ145" i="13" s="1"/>
  <c r="CN122" i="11"/>
  <c r="CN121" i="11" s="1"/>
  <c r="CN92" i="12"/>
  <c r="DS92" i="12" s="1"/>
  <c r="DU561" i="2"/>
  <c r="DU560" i="2" s="1"/>
  <c r="CV146" i="13"/>
  <c r="DW564" i="2"/>
  <c r="CX148" i="13" s="1"/>
  <c r="EA148" i="13" s="1"/>
  <c r="DX565" i="2"/>
  <c r="CY149" i="13" s="1"/>
  <c r="DW563" i="2"/>
  <c r="CX147" i="13" s="1"/>
  <c r="EA147" i="13" s="1"/>
  <c r="DV562" i="2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E126" i="11"/>
  <c r="AF126" i="11"/>
  <c r="AH126" i="11"/>
  <c r="AI126" i="11"/>
  <c r="AK126" i="11"/>
  <c r="AL126" i="11"/>
  <c r="AN126" i="11"/>
  <c r="AO126" i="11"/>
  <c r="AQ126" i="11"/>
  <c r="AR126" i="11"/>
  <c r="AT126" i="11"/>
  <c r="AU126" i="11"/>
  <c r="AW126" i="11"/>
  <c r="AX126" i="11"/>
  <c r="AZ126" i="11"/>
  <c r="BA126" i="11"/>
  <c r="BC126" i="11"/>
  <c r="BD126" i="11"/>
  <c r="BF126" i="11"/>
  <c r="BG126" i="11"/>
  <c r="BI126" i="11"/>
  <c r="BJ126" i="11"/>
  <c r="BL126" i="11"/>
  <c r="BM126" i="11"/>
  <c r="BO126" i="11"/>
  <c r="BP126" i="11"/>
  <c r="BR126" i="11"/>
  <c r="BS126" i="11"/>
  <c r="BU126" i="11"/>
  <c r="BV126" i="11"/>
  <c r="BX126" i="11"/>
  <c r="BY126" i="11"/>
  <c r="CA126" i="11"/>
  <c r="CB126" i="11"/>
  <c r="CD126" i="11"/>
  <c r="CE126" i="11"/>
  <c r="CG126" i="11"/>
  <c r="CH126" i="11"/>
  <c r="CJ126" i="11"/>
  <c r="CK126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E127" i="11"/>
  <c r="AF127" i="11"/>
  <c r="AH127" i="11"/>
  <c r="AI127" i="11"/>
  <c r="AK127" i="11"/>
  <c r="AL127" i="11"/>
  <c r="AN127" i="11"/>
  <c r="AO127" i="11"/>
  <c r="AQ127" i="11"/>
  <c r="AR127" i="11"/>
  <c r="AT127" i="11"/>
  <c r="AU127" i="11"/>
  <c r="AW127" i="11"/>
  <c r="AX127" i="11"/>
  <c r="AZ127" i="11"/>
  <c r="BA127" i="11"/>
  <c r="BC127" i="11"/>
  <c r="BD127" i="11"/>
  <c r="BF127" i="11"/>
  <c r="BG127" i="11"/>
  <c r="BI127" i="11"/>
  <c r="BJ127" i="11"/>
  <c r="BL127" i="11"/>
  <c r="BM127" i="11"/>
  <c r="DY151" i="13"/>
  <c r="DQ151" i="13"/>
  <c r="DW152" i="13"/>
  <c r="DO152" i="13"/>
  <c r="DG152" i="13"/>
  <c r="DI151" i="13"/>
  <c r="DR146" i="13"/>
  <c r="DJ146" i="13"/>
  <c r="DT147" i="13"/>
  <c r="DL147" i="13"/>
  <c r="DX148" i="13"/>
  <c r="DP148" i="13"/>
  <c r="DH148" i="13"/>
  <c r="DR154" i="13"/>
  <c r="DG146" i="13"/>
  <c r="DQ147" i="13"/>
  <c r="DU148" i="13"/>
  <c r="DW146" i="13"/>
  <c r="DI147" i="13"/>
  <c r="DS152" i="13"/>
  <c r="DK152" i="13"/>
  <c r="DU151" i="13"/>
  <c r="DM151" i="13"/>
  <c r="DO146" i="13"/>
  <c r="DY147" i="13"/>
  <c r="DM148" i="13"/>
  <c r="DW154" i="13"/>
  <c r="CI126" i="11"/>
  <c r="DY153" i="13"/>
  <c r="DL146" i="13"/>
  <c r="DV147" i="13"/>
  <c r="DJ148" i="13"/>
  <c r="DT154" i="13"/>
  <c r="AY126" i="11"/>
  <c r="DM153" i="13"/>
  <c r="BN126" i="11"/>
  <c r="DR153" i="13"/>
  <c r="AP126" i="11"/>
  <c r="DJ153" i="13"/>
  <c r="DT152" i="13"/>
  <c r="DL152" i="13"/>
  <c r="DV151" i="13"/>
  <c r="DN151" i="13"/>
  <c r="DF151" i="13"/>
  <c r="AV127" i="11"/>
  <c r="DL154" i="13"/>
  <c r="DS146" i="13"/>
  <c r="AS127" i="11"/>
  <c r="DK154" i="13"/>
  <c r="BW126" i="11"/>
  <c r="DU153" i="13"/>
  <c r="DX146" i="13"/>
  <c r="DP146" i="13"/>
  <c r="DH146" i="13"/>
  <c r="DR147" i="13"/>
  <c r="DJ147" i="13"/>
  <c r="DV148" i="13"/>
  <c r="DN148" i="13"/>
  <c r="DF148" i="13"/>
  <c r="DX154" i="13"/>
  <c r="BH127" i="11"/>
  <c r="DP154" i="13"/>
  <c r="AJ127" i="11"/>
  <c r="DH154" i="13"/>
  <c r="DU146" i="13"/>
  <c r="DM146" i="13"/>
  <c r="DW147" i="13"/>
  <c r="DO147" i="13"/>
  <c r="DG147" i="13"/>
  <c r="DS148" i="13"/>
  <c r="DK148" i="13"/>
  <c r="DU154" i="13"/>
  <c r="AY127" i="11"/>
  <c r="DM154" i="13"/>
  <c r="CC126" i="11"/>
  <c r="DW153" i="13"/>
  <c r="BE126" i="11"/>
  <c r="DO153" i="13"/>
  <c r="AG126" i="11"/>
  <c r="DG153" i="13"/>
  <c r="DY152" i="13"/>
  <c r="DQ152" i="13"/>
  <c r="DI152" i="13"/>
  <c r="DS151" i="13"/>
  <c r="DK151" i="13"/>
  <c r="AG127" i="11"/>
  <c r="DG154" i="13"/>
  <c r="DI146" i="13"/>
  <c r="DK146" i="13"/>
  <c r="DU147" i="13"/>
  <c r="DM147" i="13"/>
  <c r="DY148" i="13"/>
  <c r="DQ148" i="13"/>
  <c r="DI148" i="13"/>
  <c r="DS154" i="13"/>
  <c r="AP127" i="11"/>
  <c r="DJ154" i="13"/>
  <c r="BT126" i="11"/>
  <c r="DT153" i="13"/>
  <c r="AV126" i="11"/>
  <c r="DL153" i="13"/>
  <c r="DV152" i="13"/>
  <c r="DN152" i="13"/>
  <c r="DF152" i="13"/>
  <c r="DX151" i="13"/>
  <c r="DP151" i="13"/>
  <c r="DH151" i="13"/>
  <c r="BK126" i="11"/>
  <c r="DQ153" i="13"/>
  <c r="AM126" i="11"/>
  <c r="DI153" i="13"/>
  <c r="BB126" i="11"/>
  <c r="DN153" i="13"/>
  <c r="AD126" i="11"/>
  <c r="DF153" i="13"/>
  <c r="DX152" i="13"/>
  <c r="DP152" i="13"/>
  <c r="DH152" i="13"/>
  <c r="DR151" i="13"/>
  <c r="DJ151" i="13"/>
  <c r="BQ126" i="11"/>
  <c r="DS153" i="13"/>
  <c r="AS126" i="11"/>
  <c r="DK153" i="13"/>
  <c r="DU152" i="13"/>
  <c r="DM152" i="13"/>
  <c r="DW151" i="13"/>
  <c r="DO151" i="13"/>
  <c r="DG151" i="13"/>
  <c r="BE127" i="11"/>
  <c r="DO154" i="13"/>
  <c r="DT146" i="13"/>
  <c r="DN147" i="13"/>
  <c r="DF147" i="13"/>
  <c r="DR148" i="13"/>
  <c r="BZ126" i="11"/>
  <c r="DV153" i="13"/>
  <c r="DY146" i="13"/>
  <c r="DQ146" i="13"/>
  <c r="DS147" i="13"/>
  <c r="DK147" i="13"/>
  <c r="DW148" i="13"/>
  <c r="DO148" i="13"/>
  <c r="DG148" i="13"/>
  <c r="DY154" i="13"/>
  <c r="BK127" i="11"/>
  <c r="DQ154" i="13"/>
  <c r="AM127" i="11"/>
  <c r="DI154" i="13"/>
  <c r="DV146" i="13"/>
  <c r="DN146" i="13"/>
  <c r="DF146" i="13"/>
  <c r="DX147" i="13"/>
  <c r="DP147" i="13"/>
  <c r="DH147" i="13"/>
  <c r="DT148" i="13"/>
  <c r="DL148" i="13"/>
  <c r="DV154" i="13"/>
  <c r="BB127" i="11"/>
  <c r="DN154" i="13"/>
  <c r="AD127" i="11"/>
  <c r="DF154" i="13"/>
  <c r="CF126" i="11"/>
  <c r="DX153" i="13"/>
  <c r="BH126" i="11"/>
  <c r="DP153" i="13"/>
  <c r="AJ126" i="11"/>
  <c r="DH153" i="13"/>
  <c r="DR152" i="13"/>
  <c r="DJ152" i="13"/>
  <c r="DT151" i="13"/>
  <c r="DL151" i="13"/>
  <c r="CE96" i="12"/>
  <c r="CE125" i="11"/>
  <c r="BW96" i="12"/>
  <c r="BW125" i="11"/>
  <c r="BO96" i="12"/>
  <c r="BO125" i="11"/>
  <c r="BG96" i="12"/>
  <c r="BG125" i="11"/>
  <c r="AY96" i="12"/>
  <c r="AY125" i="11"/>
  <c r="AQ96" i="12"/>
  <c r="AQ125" i="11"/>
  <c r="AI96" i="12"/>
  <c r="AI125" i="11"/>
  <c r="AA96" i="12"/>
  <c r="AA125" i="11"/>
  <c r="S96" i="12"/>
  <c r="S125" i="11"/>
  <c r="K96" i="12"/>
  <c r="K125" i="11"/>
  <c r="C96" i="12"/>
  <c r="C125" i="11"/>
  <c r="CK124" i="11"/>
  <c r="CC124" i="11"/>
  <c r="BU124" i="11"/>
  <c r="BM124" i="11"/>
  <c r="BE124" i="11"/>
  <c r="AW124" i="11"/>
  <c r="BV159" i="18"/>
  <c r="AO124" i="11"/>
  <c r="BN159" i="18"/>
  <c r="AG124" i="11"/>
  <c r="BF159" i="18"/>
  <c r="Y124" i="11"/>
  <c r="AX159" i="18"/>
  <c r="Q124" i="11"/>
  <c r="AP159" i="18"/>
  <c r="I124" i="11"/>
  <c r="CD96" i="12"/>
  <c r="CD125" i="11"/>
  <c r="BV96" i="12"/>
  <c r="BV125" i="11"/>
  <c r="BN96" i="12"/>
  <c r="BN125" i="11"/>
  <c r="BF96" i="12"/>
  <c r="BF125" i="11"/>
  <c r="AX96" i="12"/>
  <c r="AX125" i="11"/>
  <c r="AP96" i="12"/>
  <c r="AP125" i="11"/>
  <c r="AH96" i="12"/>
  <c r="AH125" i="11"/>
  <c r="Z96" i="12"/>
  <c r="Z125" i="11"/>
  <c r="R96" i="12"/>
  <c r="R125" i="11"/>
  <c r="J96" i="12"/>
  <c r="J125" i="11"/>
  <c r="CJ124" i="11"/>
  <c r="CB124" i="11"/>
  <c r="BT124" i="11"/>
  <c r="BL124" i="11"/>
  <c r="BD124" i="11"/>
  <c r="AV124" i="11"/>
  <c r="BU159" i="18"/>
  <c r="AN124" i="11"/>
  <c r="BM159" i="18"/>
  <c r="AF124" i="11"/>
  <c r="BE159" i="18"/>
  <c r="X124" i="11"/>
  <c r="AW159" i="18"/>
  <c r="P124" i="11"/>
  <c r="AO159" i="18"/>
  <c r="H124" i="11"/>
  <c r="CK96" i="12"/>
  <c r="CK125" i="11"/>
  <c r="CC96" i="12"/>
  <c r="CC125" i="11"/>
  <c r="BU96" i="12"/>
  <c r="BU125" i="11"/>
  <c r="BM96" i="12"/>
  <c r="BM125" i="11"/>
  <c r="BE96" i="12"/>
  <c r="BE125" i="11"/>
  <c r="AW96" i="12"/>
  <c r="AW125" i="11"/>
  <c r="AO96" i="12"/>
  <c r="AO125" i="11"/>
  <c r="AG96" i="12"/>
  <c r="AG125" i="11"/>
  <c r="Y96" i="12"/>
  <c r="Y125" i="11"/>
  <c r="Q96" i="12"/>
  <c r="Q125" i="11"/>
  <c r="I96" i="12"/>
  <c r="I125" i="11"/>
  <c r="CI124" i="11"/>
  <c r="CA124" i="11"/>
  <c r="BS124" i="11"/>
  <c r="BK124" i="11"/>
  <c r="BC124" i="11"/>
  <c r="CB159" i="18"/>
  <c r="AU124" i="11"/>
  <c r="BT159" i="18"/>
  <c r="AM124" i="11"/>
  <c r="BL159" i="18"/>
  <c r="AE124" i="11"/>
  <c r="BD159" i="18"/>
  <c r="W124" i="11"/>
  <c r="AV159" i="18"/>
  <c r="O124" i="11"/>
  <c r="AN159" i="18"/>
  <c r="G124" i="11"/>
  <c r="CJ96" i="12"/>
  <c r="CJ125" i="11"/>
  <c r="CB96" i="12"/>
  <c r="CB125" i="11"/>
  <c r="BT96" i="12"/>
  <c r="BT125" i="11"/>
  <c r="BL96" i="12"/>
  <c r="BL125" i="11"/>
  <c r="BD96" i="12"/>
  <c r="BD125" i="11"/>
  <c r="AV96" i="12"/>
  <c r="AV125" i="11"/>
  <c r="AN96" i="12"/>
  <c r="AN125" i="11"/>
  <c r="AF96" i="12"/>
  <c r="AF125" i="11"/>
  <c r="X96" i="12"/>
  <c r="X125" i="11"/>
  <c r="P96" i="12"/>
  <c r="P125" i="11"/>
  <c r="H96" i="12"/>
  <c r="H125" i="11"/>
  <c r="CH124" i="11"/>
  <c r="BZ124" i="11"/>
  <c r="BR124" i="11"/>
  <c r="BJ124" i="11"/>
  <c r="BB124" i="11"/>
  <c r="CA159" i="18"/>
  <c r="AT124" i="11"/>
  <c r="BS159" i="18"/>
  <c r="AL124" i="11"/>
  <c r="BK159" i="18"/>
  <c r="AD124" i="11"/>
  <c r="BC159" i="18"/>
  <c r="V124" i="11"/>
  <c r="AU159" i="18"/>
  <c r="N124" i="11"/>
  <c r="AM159" i="18"/>
  <c r="F124" i="11"/>
  <c r="CI96" i="12"/>
  <c r="CI125" i="11"/>
  <c r="CA96" i="12"/>
  <c r="CA125" i="11"/>
  <c r="BS96" i="12"/>
  <c r="BS125" i="11"/>
  <c r="BK96" i="12"/>
  <c r="BK125" i="11"/>
  <c r="BC96" i="12"/>
  <c r="BC125" i="11"/>
  <c r="AU96" i="12"/>
  <c r="AU125" i="11"/>
  <c r="AM96" i="12"/>
  <c r="AM125" i="11"/>
  <c r="AE96" i="12"/>
  <c r="AE125" i="11"/>
  <c r="W96" i="12"/>
  <c r="W125" i="11"/>
  <c r="O96" i="12"/>
  <c r="O125" i="11"/>
  <c r="G96" i="12"/>
  <c r="G125" i="11"/>
  <c r="CG124" i="11"/>
  <c r="BY124" i="11"/>
  <c r="BQ124" i="11"/>
  <c r="BI124" i="11"/>
  <c r="BA124" i="11"/>
  <c r="BZ159" i="18"/>
  <c r="AS124" i="11"/>
  <c r="BR159" i="18"/>
  <c r="AK124" i="11"/>
  <c r="BJ159" i="18"/>
  <c r="AC124" i="11"/>
  <c r="BB159" i="18"/>
  <c r="U124" i="11"/>
  <c r="AT159" i="18"/>
  <c r="M124" i="11"/>
  <c r="AL159" i="18"/>
  <c r="E124" i="11"/>
  <c r="CH96" i="12"/>
  <c r="CH125" i="11"/>
  <c r="BZ96" i="12"/>
  <c r="BZ125" i="11"/>
  <c r="BR96" i="12"/>
  <c r="BR125" i="11"/>
  <c r="BJ96" i="12"/>
  <c r="BJ125" i="11"/>
  <c r="BB96" i="12"/>
  <c r="BB125" i="11"/>
  <c r="AT96" i="12"/>
  <c r="AT125" i="11"/>
  <c r="AL96" i="12"/>
  <c r="AL125" i="11"/>
  <c r="AD96" i="12"/>
  <c r="AD125" i="11"/>
  <c r="V96" i="12"/>
  <c r="V125" i="11"/>
  <c r="N96" i="12"/>
  <c r="N125" i="11"/>
  <c r="F96" i="12"/>
  <c r="F125" i="11"/>
  <c r="CF124" i="11"/>
  <c r="BX124" i="11"/>
  <c r="BP124" i="11"/>
  <c r="BH124" i="11"/>
  <c r="AZ124" i="11"/>
  <c r="BY159" i="18"/>
  <c r="AR124" i="11"/>
  <c r="BQ159" i="18"/>
  <c r="AJ124" i="11"/>
  <c r="BI159" i="18"/>
  <c r="AB124" i="11"/>
  <c r="BA159" i="18"/>
  <c r="T124" i="11"/>
  <c r="AS159" i="18"/>
  <c r="L124" i="11"/>
  <c r="AK159" i="18"/>
  <c r="D124" i="11"/>
  <c r="CG96" i="12"/>
  <c r="CG125" i="11"/>
  <c r="BY96" i="12"/>
  <c r="BY125" i="11"/>
  <c r="BQ96" i="12"/>
  <c r="BQ125" i="11"/>
  <c r="BI96" i="12"/>
  <c r="BI125" i="11"/>
  <c r="BA96" i="12"/>
  <c r="BA125" i="11"/>
  <c r="AS96" i="12"/>
  <c r="AS125" i="11"/>
  <c r="AK96" i="12"/>
  <c r="AK125" i="11"/>
  <c r="AC96" i="12"/>
  <c r="AC125" i="11"/>
  <c r="U96" i="12"/>
  <c r="U125" i="11"/>
  <c r="M96" i="12"/>
  <c r="M125" i="11"/>
  <c r="E96" i="12"/>
  <c r="E125" i="11"/>
  <c r="CE124" i="11"/>
  <c r="BW124" i="11"/>
  <c r="BO124" i="11"/>
  <c r="BG124" i="11"/>
  <c r="AY124" i="11"/>
  <c r="BX159" i="18"/>
  <c r="AQ124" i="11"/>
  <c r="BP159" i="18"/>
  <c r="AI124" i="11"/>
  <c r="BH159" i="18"/>
  <c r="AA124" i="11"/>
  <c r="AZ159" i="18"/>
  <c r="S124" i="11"/>
  <c r="AR159" i="18"/>
  <c r="K124" i="11"/>
  <c r="AJ159" i="18"/>
  <c r="C124" i="11"/>
  <c r="CF96" i="12"/>
  <c r="CF125" i="11"/>
  <c r="BX96" i="12"/>
  <c r="BX125" i="11"/>
  <c r="BP96" i="12"/>
  <c r="BP125" i="11"/>
  <c r="BH96" i="12"/>
  <c r="BH125" i="11"/>
  <c r="AZ96" i="12"/>
  <c r="AZ125" i="11"/>
  <c r="AR96" i="12"/>
  <c r="AR125" i="11"/>
  <c r="AJ96" i="12"/>
  <c r="AJ125" i="11"/>
  <c r="AB96" i="12"/>
  <c r="AB125" i="11"/>
  <c r="T96" i="12"/>
  <c r="T125" i="11"/>
  <c r="L96" i="12"/>
  <c r="L125" i="11"/>
  <c r="D96" i="12"/>
  <c r="D125" i="11"/>
  <c r="CD124" i="11"/>
  <c r="BV124" i="11"/>
  <c r="BN124" i="11"/>
  <c r="BF124" i="11"/>
  <c r="AX124" i="11"/>
  <c r="BW159" i="18"/>
  <c r="AP124" i="11"/>
  <c r="BO159" i="18"/>
  <c r="AH124" i="11"/>
  <c r="BG159" i="18"/>
  <c r="Z124" i="11"/>
  <c r="AY159" i="18"/>
  <c r="R124" i="11"/>
  <c r="AQ159" i="18"/>
  <c r="J124" i="11"/>
  <c r="CJ145" i="13"/>
  <c r="BX145" i="13"/>
  <c r="BL145" i="13"/>
  <c r="BL144" i="13" s="1"/>
  <c r="AZ145" i="13"/>
  <c r="AZ144" i="13" s="1"/>
  <c r="AN145" i="13"/>
  <c r="AB145" i="13"/>
  <c r="AB144" i="13" s="1"/>
  <c r="U118" i="11" s="1"/>
  <c r="P145" i="13"/>
  <c r="P144" i="13" s="1"/>
  <c r="I118" i="11" s="1"/>
  <c r="D145" i="13"/>
  <c r="D144" i="13" s="1"/>
  <c r="CR145" i="13"/>
  <c r="CO145" i="13"/>
  <c r="CC145" i="13"/>
  <c r="BQ145" i="13"/>
  <c r="BQ144" i="13" s="1"/>
  <c r="BJ118" i="11" s="1"/>
  <c r="BE145" i="13"/>
  <c r="BE144" i="13" s="1"/>
  <c r="AX118" i="11" s="1"/>
  <c r="AS145" i="13"/>
  <c r="AS144" i="13" s="1"/>
  <c r="AL118" i="11" s="1"/>
  <c r="AG145" i="13"/>
  <c r="AG144" i="13" s="1"/>
  <c r="Z118" i="11" s="1"/>
  <c r="U145" i="13"/>
  <c r="U144" i="13" s="1"/>
  <c r="N118" i="11" s="1"/>
  <c r="I145" i="13"/>
  <c r="I144" i="13" s="1"/>
  <c r="T145" i="13"/>
  <c r="T144" i="13" s="1"/>
  <c r="M118" i="11" s="1"/>
  <c r="H145" i="13"/>
  <c r="H144" i="13" s="1"/>
  <c r="CN145" i="13"/>
  <c r="AF145" i="13"/>
  <c r="AF144" i="13" s="1"/>
  <c r="Y118" i="11" s="1"/>
  <c r="S145" i="13"/>
  <c r="S144" i="13" s="1"/>
  <c r="L118" i="11" s="1"/>
  <c r="BD145" i="13"/>
  <c r="BD144" i="13" s="1"/>
  <c r="AW118" i="11" s="1"/>
  <c r="CA145" i="13"/>
  <c r="AE145" i="13"/>
  <c r="AE144" i="13" s="1"/>
  <c r="X118" i="11" s="1"/>
  <c r="BP145" i="13"/>
  <c r="BP144" i="13" s="1"/>
  <c r="BI118" i="11" s="1"/>
  <c r="AR145" i="13"/>
  <c r="AR144" i="13" s="1"/>
  <c r="AK118" i="11" s="1"/>
  <c r="CM145" i="13"/>
  <c r="BO145" i="13"/>
  <c r="BO144" i="13" s="1"/>
  <c r="BC145" i="13"/>
  <c r="AQ145" i="13"/>
  <c r="G145" i="13"/>
  <c r="G144" i="13" s="1"/>
  <c r="CK145" i="13"/>
  <c r="BY145" i="13"/>
  <c r="BM145" i="13"/>
  <c r="BM144" i="13" s="1"/>
  <c r="BF118" i="11" s="1"/>
  <c r="BA145" i="13"/>
  <c r="BA144" i="13" s="1"/>
  <c r="AT118" i="11" s="1"/>
  <c r="CB145" i="13"/>
  <c r="F145" i="13"/>
  <c r="F144" i="13" s="1"/>
  <c r="AO145" i="13"/>
  <c r="AO144" i="13" s="1"/>
  <c r="AH118" i="11" s="1"/>
  <c r="AC145" i="13"/>
  <c r="AC144" i="13" s="1"/>
  <c r="V118" i="11" s="1"/>
  <c r="Q145" i="13"/>
  <c r="Q144" i="13" s="1"/>
  <c r="J118" i="11" s="1"/>
  <c r="E145" i="13"/>
  <c r="E144" i="13" s="1"/>
  <c r="CI145" i="13"/>
  <c r="BW145" i="13"/>
  <c r="BK145" i="13"/>
  <c r="BK144" i="13" s="1"/>
  <c r="BD118" i="11" s="1"/>
  <c r="AY145" i="13"/>
  <c r="AY144" i="13" s="1"/>
  <c r="AR118" i="11" s="1"/>
  <c r="AM145" i="13"/>
  <c r="AM144" i="13" s="1"/>
  <c r="AF118" i="11" s="1"/>
  <c r="AA145" i="13"/>
  <c r="AA144" i="13" s="1"/>
  <c r="T118" i="11" s="1"/>
  <c r="O145" i="13"/>
  <c r="O144" i="13" s="1"/>
  <c r="H118" i="11" s="1"/>
  <c r="C145" i="13"/>
  <c r="C144" i="13" s="1"/>
  <c r="CH145" i="13"/>
  <c r="Z145" i="13"/>
  <c r="Z144" i="13" s="1"/>
  <c r="S118" i="11" s="1"/>
  <c r="CG145" i="13"/>
  <c r="BU145" i="13"/>
  <c r="AW145" i="13"/>
  <c r="AK145" i="13"/>
  <c r="M145" i="13"/>
  <c r="M144" i="13" s="1"/>
  <c r="F118" i="11" s="1"/>
  <c r="AX145" i="13"/>
  <c r="AX144" i="13" s="1"/>
  <c r="AQ118" i="11" s="1"/>
  <c r="BI145" i="13"/>
  <c r="BI144" i="13" s="1"/>
  <c r="Y145" i="13"/>
  <c r="Y144" i="13" s="1"/>
  <c r="R118" i="11" s="1"/>
  <c r="BV145" i="13"/>
  <c r="AL145" i="13"/>
  <c r="AL144" i="13" s="1"/>
  <c r="AE118" i="11" s="1"/>
  <c r="CE145" i="13"/>
  <c r="BS145" i="13"/>
  <c r="BS144" i="13" s="1"/>
  <c r="BL118" i="11" s="1"/>
  <c r="BG145" i="13"/>
  <c r="BG144" i="13" s="1"/>
  <c r="AZ118" i="11" s="1"/>
  <c r="AU145" i="13"/>
  <c r="AU144" i="13" s="1"/>
  <c r="AN118" i="11" s="1"/>
  <c r="AI145" i="13"/>
  <c r="AI144" i="13" s="1"/>
  <c r="AB118" i="11" s="1"/>
  <c r="W145" i="13"/>
  <c r="W144" i="13" s="1"/>
  <c r="P118" i="11" s="1"/>
  <c r="K145" i="13"/>
  <c r="K144" i="13" s="1"/>
  <c r="D118" i="11" s="1"/>
  <c r="BJ145" i="13"/>
  <c r="BJ144" i="13" s="1"/>
  <c r="BC118" i="11" s="1"/>
  <c r="N145" i="13"/>
  <c r="N144" i="13" s="1"/>
  <c r="G118" i="11" s="1"/>
  <c r="CP145" i="13"/>
  <c r="BR145" i="13"/>
  <c r="BR144" i="13" s="1"/>
  <c r="BF145" i="13"/>
  <c r="AT145" i="13"/>
  <c r="AH145" i="13"/>
  <c r="AH144" i="13" s="1"/>
  <c r="AA118" i="11" s="1"/>
  <c r="V145" i="13"/>
  <c r="V144" i="13" s="1"/>
  <c r="O118" i="11" s="1"/>
  <c r="J145" i="13"/>
  <c r="J144" i="13" s="1"/>
  <c r="C118" i="11" s="1"/>
  <c r="CQ145" i="13"/>
  <c r="CD145" i="13"/>
  <c r="CF145" i="13"/>
  <c r="BT145" i="13"/>
  <c r="BT144" i="13" s="1"/>
  <c r="BM118" i="11" s="1"/>
  <c r="BH145" i="13"/>
  <c r="BH144" i="13" s="1"/>
  <c r="BA118" i="11" s="1"/>
  <c r="AV145" i="13"/>
  <c r="AV144" i="13" s="1"/>
  <c r="AO118" i="11" s="1"/>
  <c r="AJ145" i="13"/>
  <c r="AJ144" i="13" s="1"/>
  <c r="AC118" i="11" s="1"/>
  <c r="X145" i="13"/>
  <c r="X144" i="13" s="1"/>
  <c r="Q118" i="11" s="1"/>
  <c r="L145" i="13"/>
  <c r="L144" i="13" s="1"/>
  <c r="E118" i="11" s="1"/>
  <c r="CL145" i="13"/>
  <c r="BZ145" i="13"/>
  <c r="BN145" i="13"/>
  <c r="BN144" i="13" s="1"/>
  <c r="BG118" i="11" s="1"/>
  <c r="BB145" i="13"/>
  <c r="BB144" i="13" s="1"/>
  <c r="AU118" i="11" s="1"/>
  <c r="AP145" i="13"/>
  <c r="AP144" i="13" s="1"/>
  <c r="AI118" i="11" s="1"/>
  <c r="AD145" i="13"/>
  <c r="AD144" i="13" s="1"/>
  <c r="W118" i="11" s="1"/>
  <c r="R145" i="13"/>
  <c r="R144" i="13" s="1"/>
  <c r="K118" i="11" s="1"/>
  <c r="C161" i="13"/>
  <c r="AC120" i="15" s="1"/>
  <c r="D161" i="13"/>
  <c r="AD120" i="15" s="1"/>
  <c r="E161" i="13"/>
  <c r="AE120" i="15" s="1"/>
  <c r="F161" i="13"/>
  <c r="AF120" i="15" s="1"/>
  <c r="G161" i="13"/>
  <c r="AG120" i="15" s="1"/>
  <c r="H161" i="13"/>
  <c r="AH120" i="15" s="1"/>
  <c r="I161" i="13"/>
  <c r="AI120" i="15" s="1"/>
  <c r="J161" i="13"/>
  <c r="K161" i="13"/>
  <c r="L161" i="13"/>
  <c r="M161" i="13"/>
  <c r="N161" i="13"/>
  <c r="O161" i="13"/>
  <c r="P161" i="13"/>
  <c r="Q161" i="13"/>
  <c r="R161" i="13"/>
  <c r="S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AJ161" i="13"/>
  <c r="AK161" i="13"/>
  <c r="AL161" i="13"/>
  <c r="AM161" i="13"/>
  <c r="AN161" i="13"/>
  <c r="AO161" i="13"/>
  <c r="AP161" i="13"/>
  <c r="AQ161" i="13"/>
  <c r="AR161" i="13"/>
  <c r="AS161" i="13"/>
  <c r="AT161" i="13"/>
  <c r="AU161" i="13"/>
  <c r="AV161" i="13"/>
  <c r="AW161" i="13"/>
  <c r="AX161" i="13"/>
  <c r="AY161" i="13"/>
  <c r="AZ161" i="13"/>
  <c r="BA161" i="13"/>
  <c r="BB161" i="13"/>
  <c r="BC161" i="13"/>
  <c r="BD161" i="13"/>
  <c r="BE161" i="13"/>
  <c r="BF161" i="13"/>
  <c r="BG161" i="13"/>
  <c r="BH161" i="13"/>
  <c r="BI161" i="13"/>
  <c r="BJ161" i="13"/>
  <c r="BK161" i="13"/>
  <c r="BL161" i="13"/>
  <c r="BM161" i="13"/>
  <c r="BN161" i="13"/>
  <c r="BO161" i="13"/>
  <c r="BP161" i="13"/>
  <c r="BQ161" i="13"/>
  <c r="BR161" i="13"/>
  <c r="BS161" i="13"/>
  <c r="BT161" i="13"/>
  <c r="C164" i="13"/>
  <c r="AC126" i="15" s="1"/>
  <c r="D164" i="13"/>
  <c r="AD126" i="15" s="1"/>
  <c r="E164" i="13"/>
  <c r="AE126" i="15" s="1"/>
  <c r="F164" i="13"/>
  <c r="AF126" i="15" s="1"/>
  <c r="G164" i="13"/>
  <c r="AG126" i="15" s="1"/>
  <c r="H164" i="13"/>
  <c r="AH126" i="15" s="1"/>
  <c r="I164" i="13"/>
  <c r="AI126" i="15" s="1"/>
  <c r="J164" i="13"/>
  <c r="K164" i="13"/>
  <c r="L164" i="13"/>
  <c r="M164" i="13"/>
  <c r="N164" i="13"/>
  <c r="O164" i="13"/>
  <c r="P164" i="13"/>
  <c r="Q164" i="13"/>
  <c r="R164" i="13"/>
  <c r="S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AJ164" i="13"/>
  <c r="AK164" i="13"/>
  <c r="AL164" i="13"/>
  <c r="AM164" i="13"/>
  <c r="AN164" i="13"/>
  <c r="AO164" i="13"/>
  <c r="AP164" i="13"/>
  <c r="AQ164" i="13"/>
  <c r="AR164" i="13"/>
  <c r="AS164" i="13"/>
  <c r="AT164" i="13"/>
  <c r="AU164" i="13"/>
  <c r="AV164" i="13"/>
  <c r="AW164" i="13"/>
  <c r="AX164" i="13"/>
  <c r="AY164" i="13"/>
  <c r="AZ164" i="13"/>
  <c r="BA164" i="13"/>
  <c r="BB164" i="13"/>
  <c r="BC164" i="13"/>
  <c r="BD164" i="13"/>
  <c r="BE164" i="13"/>
  <c r="BF164" i="13"/>
  <c r="BG164" i="13"/>
  <c r="BH164" i="13"/>
  <c r="BI164" i="13"/>
  <c r="BJ164" i="13"/>
  <c r="BK164" i="13"/>
  <c r="BL164" i="13"/>
  <c r="BM164" i="13"/>
  <c r="BN164" i="13"/>
  <c r="BO164" i="13"/>
  <c r="BP164" i="13"/>
  <c r="BQ164" i="13"/>
  <c r="BR164" i="13"/>
  <c r="BS164" i="13"/>
  <c r="BT164" i="13"/>
  <c r="BU164" i="13"/>
  <c r="BV164" i="13"/>
  <c r="BW164" i="13"/>
  <c r="BX164" i="13"/>
  <c r="BY164" i="13"/>
  <c r="BZ164" i="13"/>
  <c r="CA164" i="13"/>
  <c r="CB164" i="13"/>
  <c r="CC164" i="13"/>
  <c r="CD164" i="13"/>
  <c r="CE164" i="13"/>
  <c r="CF164" i="13"/>
  <c r="CG164" i="13"/>
  <c r="CH164" i="13"/>
  <c r="CI164" i="13"/>
  <c r="CJ164" i="13"/>
  <c r="CK164" i="13"/>
  <c r="CL164" i="13"/>
  <c r="CM164" i="13"/>
  <c r="CN164" i="13"/>
  <c r="CO164" i="13"/>
  <c r="CP164" i="13"/>
  <c r="CQ164" i="13"/>
  <c r="CR164" i="13"/>
  <c r="C171" i="13"/>
  <c r="D171" i="13"/>
  <c r="E171" i="13"/>
  <c r="F171" i="13"/>
  <c r="G171" i="13"/>
  <c r="H171" i="13"/>
  <c r="I171" i="13"/>
  <c r="J171" i="13"/>
  <c r="K171" i="13"/>
  <c r="L171" i="13"/>
  <c r="M171" i="13"/>
  <c r="N171" i="13"/>
  <c r="O171" i="13"/>
  <c r="P171" i="13"/>
  <c r="Q171" i="13"/>
  <c r="R171" i="13"/>
  <c r="S171" i="13"/>
  <c r="T171" i="13"/>
  <c r="U171" i="13"/>
  <c r="V171" i="13"/>
  <c r="W171" i="13"/>
  <c r="X171" i="13"/>
  <c r="Y171" i="13"/>
  <c r="Z171" i="13"/>
  <c r="AA171" i="13"/>
  <c r="AB171" i="13"/>
  <c r="AC171" i="13"/>
  <c r="AD171" i="13"/>
  <c r="AE171" i="13"/>
  <c r="AF171" i="13"/>
  <c r="AG171" i="13"/>
  <c r="AH171" i="13"/>
  <c r="AI171" i="13"/>
  <c r="AJ171" i="13"/>
  <c r="AK171" i="13"/>
  <c r="AL171" i="13"/>
  <c r="AM171" i="13"/>
  <c r="AN171" i="13"/>
  <c r="AO171" i="13"/>
  <c r="AP171" i="13"/>
  <c r="AQ171" i="13"/>
  <c r="AR171" i="13"/>
  <c r="AS171" i="13"/>
  <c r="AT171" i="13"/>
  <c r="AU171" i="13"/>
  <c r="AV171" i="13"/>
  <c r="AW171" i="13"/>
  <c r="AX171" i="13"/>
  <c r="AY171" i="13"/>
  <c r="AZ171" i="13"/>
  <c r="BA171" i="13"/>
  <c r="BB171" i="13"/>
  <c r="BC171" i="13"/>
  <c r="BD171" i="13"/>
  <c r="BE171" i="13"/>
  <c r="BF171" i="13"/>
  <c r="BG171" i="13"/>
  <c r="BH171" i="13"/>
  <c r="BI171" i="13"/>
  <c r="BJ171" i="13"/>
  <c r="BK171" i="13"/>
  <c r="BL171" i="13"/>
  <c r="BM171" i="13"/>
  <c r="BN171" i="13"/>
  <c r="BO171" i="13"/>
  <c r="BP171" i="13"/>
  <c r="BQ171" i="13"/>
  <c r="BR171" i="13"/>
  <c r="BS171" i="13"/>
  <c r="BT171" i="13"/>
  <c r="C172" i="13"/>
  <c r="D172" i="13"/>
  <c r="E172" i="13"/>
  <c r="F172" i="13"/>
  <c r="G172" i="13"/>
  <c r="H172" i="13"/>
  <c r="I172" i="13"/>
  <c r="J172" i="13"/>
  <c r="K172" i="13"/>
  <c r="L172" i="13"/>
  <c r="M172" i="13"/>
  <c r="N172" i="13"/>
  <c r="O172" i="13"/>
  <c r="P172" i="13"/>
  <c r="Q172" i="13"/>
  <c r="R172" i="13"/>
  <c r="S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AJ172" i="13"/>
  <c r="AK172" i="13"/>
  <c r="AL172" i="13"/>
  <c r="AM172" i="13"/>
  <c r="AN172" i="13"/>
  <c r="AO172" i="13"/>
  <c r="AP172" i="13"/>
  <c r="AQ172" i="13"/>
  <c r="AR172" i="13"/>
  <c r="AS172" i="13"/>
  <c r="AT172" i="13"/>
  <c r="AU172" i="13"/>
  <c r="AV172" i="13"/>
  <c r="AW172" i="13"/>
  <c r="AX172" i="13"/>
  <c r="AY172" i="13"/>
  <c r="AZ172" i="13"/>
  <c r="BA172" i="13"/>
  <c r="BB172" i="13"/>
  <c r="BC172" i="13"/>
  <c r="BD172" i="13"/>
  <c r="BE172" i="13"/>
  <c r="BF172" i="13"/>
  <c r="BG172" i="13"/>
  <c r="BH172" i="13"/>
  <c r="BI172" i="13"/>
  <c r="BJ172" i="13"/>
  <c r="BK172" i="13"/>
  <c r="BL172" i="13"/>
  <c r="BM172" i="13"/>
  <c r="BN172" i="13"/>
  <c r="BO172" i="13"/>
  <c r="BP172" i="13"/>
  <c r="BQ172" i="13"/>
  <c r="BR172" i="13"/>
  <c r="BS172" i="13"/>
  <c r="BT172" i="13"/>
  <c r="C137" i="13"/>
  <c r="D137" i="13"/>
  <c r="E137" i="13"/>
  <c r="F137" i="13"/>
  <c r="G137" i="13"/>
  <c r="H137" i="13"/>
  <c r="I137" i="13"/>
  <c r="C77" i="12" s="1"/>
  <c r="J137" i="13"/>
  <c r="K137" i="13"/>
  <c r="L137" i="13"/>
  <c r="M137" i="13"/>
  <c r="N137" i="13"/>
  <c r="O137" i="13"/>
  <c r="P137" i="13"/>
  <c r="Q137" i="13"/>
  <c r="R137" i="13"/>
  <c r="S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AB77" i="12" s="1"/>
  <c r="AJ137" i="13"/>
  <c r="AC77" i="12" s="1"/>
  <c r="AK137" i="13"/>
  <c r="AD77" i="12" s="1"/>
  <c r="AL137" i="13"/>
  <c r="AE77" i="12" s="1"/>
  <c r="AM137" i="13"/>
  <c r="AF77" i="12" s="1"/>
  <c r="AN137" i="13"/>
  <c r="AG77" i="12" s="1"/>
  <c r="AO137" i="13"/>
  <c r="AH77" i="12" s="1"/>
  <c r="AP137" i="13"/>
  <c r="AI77" i="12" s="1"/>
  <c r="AQ137" i="13"/>
  <c r="AJ77" i="12" s="1"/>
  <c r="AR137" i="13"/>
  <c r="AK77" i="12" s="1"/>
  <c r="AS137" i="13"/>
  <c r="AL77" i="12" s="1"/>
  <c r="AT137" i="13"/>
  <c r="AM77" i="12" s="1"/>
  <c r="AU137" i="13"/>
  <c r="AN77" i="12" s="1"/>
  <c r="AV137" i="13"/>
  <c r="AO77" i="12" s="1"/>
  <c r="AW137" i="13"/>
  <c r="AP77" i="12" s="1"/>
  <c r="AX137" i="13"/>
  <c r="AQ77" i="12" s="1"/>
  <c r="AY137" i="13"/>
  <c r="AR77" i="12" s="1"/>
  <c r="AZ137" i="13"/>
  <c r="AS77" i="12" s="1"/>
  <c r="BA137" i="13"/>
  <c r="AT77" i="12" s="1"/>
  <c r="BB137" i="13"/>
  <c r="AU77" i="12" s="1"/>
  <c r="BC137" i="13"/>
  <c r="AV77" i="12" s="1"/>
  <c r="BD137" i="13"/>
  <c r="AW77" i="12" s="1"/>
  <c r="BE137" i="13"/>
  <c r="AX77" i="12" s="1"/>
  <c r="BF137" i="13"/>
  <c r="AY77" i="12" s="1"/>
  <c r="BG137" i="13"/>
  <c r="AZ77" i="12" s="1"/>
  <c r="BH137" i="13"/>
  <c r="BA77" i="12" s="1"/>
  <c r="BI137" i="13"/>
  <c r="BB77" i="12" s="1"/>
  <c r="BJ137" i="13"/>
  <c r="BC77" i="12" s="1"/>
  <c r="BK137" i="13"/>
  <c r="BD77" i="12" s="1"/>
  <c r="BL137" i="13"/>
  <c r="BE77" i="12" s="1"/>
  <c r="BM137" i="13"/>
  <c r="BF77" i="12" s="1"/>
  <c r="BN137" i="13"/>
  <c r="BG77" i="12" s="1"/>
  <c r="BO137" i="13"/>
  <c r="BH77" i="12" s="1"/>
  <c r="BP137" i="13"/>
  <c r="BI77" i="12" s="1"/>
  <c r="BQ137" i="13"/>
  <c r="BJ77" i="12" s="1"/>
  <c r="BR137" i="13"/>
  <c r="BK77" i="12" s="1"/>
  <c r="BS137" i="13"/>
  <c r="BL77" i="12" s="1"/>
  <c r="BT137" i="13"/>
  <c r="BM77" i="12" s="1"/>
  <c r="C138" i="13"/>
  <c r="D138" i="13"/>
  <c r="E138" i="13"/>
  <c r="F138" i="13"/>
  <c r="G138" i="13"/>
  <c r="H138" i="13"/>
  <c r="I138" i="13"/>
  <c r="J138" i="13"/>
  <c r="C76" i="12" s="1"/>
  <c r="K138" i="13"/>
  <c r="D76" i="12" s="1"/>
  <c r="L138" i="13"/>
  <c r="E76" i="12" s="1"/>
  <c r="M138" i="13"/>
  <c r="F76" i="12" s="1"/>
  <c r="N138" i="13"/>
  <c r="G76" i="12" s="1"/>
  <c r="O138" i="13"/>
  <c r="H76" i="12" s="1"/>
  <c r="P138" i="13"/>
  <c r="I76" i="12" s="1"/>
  <c r="Q138" i="13"/>
  <c r="J76" i="12" s="1"/>
  <c r="R138" i="13"/>
  <c r="K76" i="12" s="1"/>
  <c r="S138" i="13"/>
  <c r="L76" i="12" s="1"/>
  <c r="T138" i="13"/>
  <c r="M76" i="12" s="1"/>
  <c r="U138" i="13"/>
  <c r="N76" i="12" s="1"/>
  <c r="V138" i="13"/>
  <c r="O76" i="12" s="1"/>
  <c r="W138" i="13"/>
  <c r="P76" i="12" s="1"/>
  <c r="X138" i="13"/>
  <c r="Q76" i="12" s="1"/>
  <c r="Y138" i="13"/>
  <c r="R76" i="12" s="1"/>
  <c r="Z138" i="13"/>
  <c r="S76" i="12" s="1"/>
  <c r="AA138" i="13"/>
  <c r="T76" i="12" s="1"/>
  <c r="AB138" i="13"/>
  <c r="U76" i="12" s="1"/>
  <c r="AC138" i="13"/>
  <c r="V76" i="12" s="1"/>
  <c r="AD138" i="13"/>
  <c r="W76" i="12" s="1"/>
  <c r="AE138" i="13"/>
  <c r="X76" i="12" s="1"/>
  <c r="AF138" i="13"/>
  <c r="Y76" i="12" s="1"/>
  <c r="AG138" i="13"/>
  <c r="Z76" i="12" s="1"/>
  <c r="AH138" i="13"/>
  <c r="AA76" i="12" s="1"/>
  <c r="AI138" i="13"/>
  <c r="AB76" i="12" s="1"/>
  <c r="AJ138" i="13"/>
  <c r="AC76" i="12" s="1"/>
  <c r="AK138" i="13"/>
  <c r="AD76" i="12" s="1"/>
  <c r="AL138" i="13"/>
  <c r="AE76" i="12" s="1"/>
  <c r="AM138" i="13"/>
  <c r="AF76" i="12" s="1"/>
  <c r="AN138" i="13"/>
  <c r="AG76" i="12" s="1"/>
  <c r="AO138" i="13"/>
  <c r="AH76" i="12" s="1"/>
  <c r="AP138" i="13"/>
  <c r="AI76" i="12" s="1"/>
  <c r="AQ138" i="13"/>
  <c r="AJ76" i="12" s="1"/>
  <c r="AR138" i="13"/>
  <c r="AK76" i="12" s="1"/>
  <c r="AS138" i="13"/>
  <c r="AL76" i="12" s="1"/>
  <c r="AT138" i="13"/>
  <c r="AM76" i="12" s="1"/>
  <c r="AU138" i="13"/>
  <c r="AN76" i="12" s="1"/>
  <c r="AV138" i="13"/>
  <c r="AO76" i="12" s="1"/>
  <c r="AW138" i="13"/>
  <c r="AP76" i="12" s="1"/>
  <c r="AX138" i="13"/>
  <c r="AQ76" i="12" s="1"/>
  <c r="AY138" i="13"/>
  <c r="AR76" i="12" s="1"/>
  <c r="AZ138" i="13"/>
  <c r="AS76" i="12" s="1"/>
  <c r="BA138" i="13"/>
  <c r="AT76" i="12" s="1"/>
  <c r="BB138" i="13"/>
  <c r="AU76" i="12" s="1"/>
  <c r="BC138" i="13"/>
  <c r="AV76" i="12" s="1"/>
  <c r="BD138" i="13"/>
  <c r="AW76" i="12" s="1"/>
  <c r="BE138" i="13"/>
  <c r="AX76" i="12" s="1"/>
  <c r="BF138" i="13"/>
  <c r="AY76" i="12" s="1"/>
  <c r="BG138" i="13"/>
  <c r="AZ76" i="12" s="1"/>
  <c r="BH138" i="13"/>
  <c r="BA76" i="12" s="1"/>
  <c r="BI138" i="13"/>
  <c r="BB76" i="12" s="1"/>
  <c r="BJ138" i="13"/>
  <c r="BC76" i="12" s="1"/>
  <c r="BK138" i="13"/>
  <c r="BD76" i="12" s="1"/>
  <c r="BL138" i="13"/>
  <c r="BE76" i="12" s="1"/>
  <c r="BM138" i="13"/>
  <c r="BF76" i="12" s="1"/>
  <c r="BN138" i="13"/>
  <c r="BG76" i="12" s="1"/>
  <c r="BO138" i="13"/>
  <c r="BH76" i="12" s="1"/>
  <c r="BP138" i="13"/>
  <c r="BI76" i="12" s="1"/>
  <c r="BQ138" i="13"/>
  <c r="BJ76" i="12" s="1"/>
  <c r="BR138" i="13"/>
  <c r="BK76" i="12" s="1"/>
  <c r="BS138" i="13"/>
  <c r="BL76" i="12" s="1"/>
  <c r="BT138" i="13"/>
  <c r="BM76" i="12" s="1"/>
  <c r="C136" i="13"/>
  <c r="D136" i="13"/>
  <c r="E136" i="13"/>
  <c r="F136" i="13"/>
  <c r="G136" i="13"/>
  <c r="H136" i="13"/>
  <c r="I136" i="13"/>
  <c r="J136" i="13"/>
  <c r="K136" i="13"/>
  <c r="L136" i="13"/>
  <c r="M136" i="13"/>
  <c r="N136" i="13"/>
  <c r="O136" i="13"/>
  <c r="P136" i="13"/>
  <c r="Q136" i="13"/>
  <c r="R136" i="13"/>
  <c r="S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AJ136" i="13"/>
  <c r="AK136" i="13"/>
  <c r="AL136" i="13"/>
  <c r="AM136" i="13"/>
  <c r="AN136" i="13"/>
  <c r="AO136" i="13"/>
  <c r="AP136" i="13"/>
  <c r="AQ136" i="13"/>
  <c r="AR136" i="13"/>
  <c r="AS136" i="13"/>
  <c r="AT136" i="13"/>
  <c r="AU136" i="13"/>
  <c r="AV136" i="13"/>
  <c r="AW136" i="13"/>
  <c r="AX136" i="13"/>
  <c r="AY136" i="13"/>
  <c r="AZ136" i="13"/>
  <c r="BA136" i="13"/>
  <c r="BB136" i="13"/>
  <c r="BC136" i="13"/>
  <c r="BD136" i="13"/>
  <c r="BE136" i="13"/>
  <c r="BF136" i="13"/>
  <c r="BG136" i="13"/>
  <c r="BH136" i="13"/>
  <c r="BI136" i="13"/>
  <c r="BJ136" i="13"/>
  <c r="BK136" i="13"/>
  <c r="BL136" i="13"/>
  <c r="BM136" i="13"/>
  <c r="BN136" i="13"/>
  <c r="BO136" i="13"/>
  <c r="BP136" i="13"/>
  <c r="BQ136" i="13"/>
  <c r="BR136" i="13"/>
  <c r="BS136" i="13"/>
  <c r="BT136" i="13"/>
  <c r="C135" i="13"/>
  <c r="D135" i="13"/>
  <c r="E135" i="13"/>
  <c r="F135" i="13"/>
  <c r="G135" i="13"/>
  <c r="H135" i="13"/>
  <c r="I135" i="13"/>
  <c r="J135" i="13"/>
  <c r="K135" i="13"/>
  <c r="L135" i="13"/>
  <c r="M135" i="13"/>
  <c r="N135" i="13"/>
  <c r="O135" i="13"/>
  <c r="P135" i="13"/>
  <c r="Q135" i="13"/>
  <c r="R135" i="13"/>
  <c r="S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AJ135" i="13"/>
  <c r="AK135" i="13"/>
  <c r="AL135" i="13"/>
  <c r="AM135" i="13"/>
  <c r="AN135" i="13"/>
  <c r="AO135" i="13"/>
  <c r="AP135" i="13"/>
  <c r="AQ135" i="13"/>
  <c r="AR135" i="13"/>
  <c r="AS135" i="13"/>
  <c r="AT135" i="13"/>
  <c r="AU135" i="13"/>
  <c r="AV135" i="13"/>
  <c r="AW135" i="13"/>
  <c r="AX135" i="13"/>
  <c r="AY135" i="13"/>
  <c r="AZ135" i="13"/>
  <c r="BA135" i="13"/>
  <c r="BB135" i="13"/>
  <c r="BC135" i="13"/>
  <c r="BD135" i="13"/>
  <c r="BE135" i="13"/>
  <c r="BF135" i="13"/>
  <c r="BG135" i="13"/>
  <c r="BH135" i="13"/>
  <c r="BI135" i="13"/>
  <c r="BJ135" i="13"/>
  <c r="BK135" i="13"/>
  <c r="BL135" i="13"/>
  <c r="BM135" i="13"/>
  <c r="BN135" i="13"/>
  <c r="BO135" i="13"/>
  <c r="BP135" i="13"/>
  <c r="BQ135" i="13"/>
  <c r="BR135" i="13"/>
  <c r="BS135" i="13"/>
  <c r="BT135" i="13"/>
  <c r="C134" i="13"/>
  <c r="D134" i="13"/>
  <c r="E134" i="13"/>
  <c r="F134" i="13"/>
  <c r="G134" i="13"/>
  <c r="H134" i="13"/>
  <c r="I134" i="13"/>
  <c r="J134" i="13"/>
  <c r="K134" i="13"/>
  <c r="L134" i="13"/>
  <c r="M134" i="13"/>
  <c r="N134" i="13"/>
  <c r="O134" i="13"/>
  <c r="P134" i="13"/>
  <c r="Q134" i="13"/>
  <c r="R134" i="13"/>
  <c r="S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AJ134" i="13"/>
  <c r="AK134" i="13"/>
  <c r="AL134" i="13"/>
  <c r="AM134" i="13"/>
  <c r="AN134" i="13"/>
  <c r="AO134" i="13"/>
  <c r="AP134" i="13"/>
  <c r="AQ134" i="13"/>
  <c r="AR134" i="13"/>
  <c r="AS134" i="13"/>
  <c r="AT134" i="13"/>
  <c r="AU134" i="13"/>
  <c r="AV134" i="13"/>
  <c r="AW134" i="13"/>
  <c r="AX134" i="13"/>
  <c r="AY134" i="13"/>
  <c r="AZ134" i="13"/>
  <c r="BA134" i="13"/>
  <c r="BB134" i="13"/>
  <c r="BC134" i="13"/>
  <c r="BD134" i="13"/>
  <c r="BE134" i="13"/>
  <c r="BF134" i="13"/>
  <c r="BG134" i="13"/>
  <c r="BH134" i="13"/>
  <c r="BI134" i="13"/>
  <c r="BJ134" i="13"/>
  <c r="BK134" i="13"/>
  <c r="BL134" i="13"/>
  <c r="BM134" i="13"/>
  <c r="BN134" i="13"/>
  <c r="BO134" i="13"/>
  <c r="BP134" i="13"/>
  <c r="BQ134" i="13"/>
  <c r="BR134" i="13"/>
  <c r="BS134" i="13"/>
  <c r="BT134" i="13"/>
  <c r="DQ561" i="2"/>
  <c r="DQ560" i="2" s="1"/>
  <c r="DP561" i="2"/>
  <c r="DP560" i="2" s="1"/>
  <c r="DO561" i="2"/>
  <c r="DO560" i="2" s="1"/>
  <c r="DN561" i="2"/>
  <c r="DN560" i="2" s="1"/>
  <c r="DM561" i="2"/>
  <c r="DM560" i="2" s="1"/>
  <c r="DL561" i="2"/>
  <c r="DL560" i="2" s="1"/>
  <c r="DK561" i="2"/>
  <c r="DK560" i="2" s="1"/>
  <c r="DJ561" i="2"/>
  <c r="DJ560" i="2" s="1"/>
  <c r="DI561" i="2"/>
  <c r="DI560" i="2" s="1"/>
  <c r="DH561" i="2"/>
  <c r="DH560" i="2" s="1"/>
  <c r="DG561" i="2"/>
  <c r="DG560" i="2" s="1"/>
  <c r="DF561" i="2"/>
  <c r="DF560" i="2" s="1"/>
  <c r="DE561" i="2"/>
  <c r="DE560" i="2" s="1"/>
  <c r="DD561" i="2"/>
  <c r="DD560" i="2" s="1"/>
  <c r="DC561" i="2"/>
  <c r="DC560" i="2" s="1"/>
  <c r="DB561" i="2"/>
  <c r="DB560" i="2" s="1"/>
  <c r="DA561" i="2"/>
  <c r="DA560" i="2" s="1"/>
  <c r="CZ561" i="2"/>
  <c r="CZ560" i="2" s="1"/>
  <c r="CY561" i="2"/>
  <c r="CY560" i="2" s="1"/>
  <c r="CX561" i="2"/>
  <c r="CX560" i="2" s="1"/>
  <c r="CW561" i="2"/>
  <c r="CW560" i="2" s="1"/>
  <c r="CV561" i="2"/>
  <c r="CV560" i="2" s="1"/>
  <c r="CU561" i="2"/>
  <c r="CU560" i="2" s="1"/>
  <c r="CT561" i="2"/>
  <c r="CT560" i="2" s="1"/>
  <c r="CS561" i="2"/>
  <c r="CS560" i="2" s="1"/>
  <c r="CR561" i="2"/>
  <c r="CR560" i="2" s="1"/>
  <c r="CQ561" i="2"/>
  <c r="CQ560" i="2" s="1"/>
  <c r="CP561" i="2"/>
  <c r="CP560" i="2" s="1"/>
  <c r="CO561" i="2"/>
  <c r="CO560" i="2" s="1"/>
  <c r="CN561" i="2"/>
  <c r="CN560" i="2" s="1"/>
  <c r="CM561" i="2"/>
  <c r="CM560" i="2" s="1"/>
  <c r="CL561" i="2"/>
  <c r="CL560" i="2" s="1"/>
  <c r="CK561" i="2"/>
  <c r="CK560" i="2" s="1"/>
  <c r="CJ561" i="2"/>
  <c r="CJ560" i="2" s="1"/>
  <c r="CI561" i="2"/>
  <c r="CI560" i="2" s="1"/>
  <c r="CH561" i="2"/>
  <c r="CH560" i="2" s="1"/>
  <c r="CG561" i="2"/>
  <c r="CG560" i="2" s="1"/>
  <c r="CF561" i="2"/>
  <c r="CF560" i="2" s="1"/>
  <c r="CE561" i="2"/>
  <c r="CE560" i="2" s="1"/>
  <c r="CD561" i="2"/>
  <c r="CD560" i="2" s="1"/>
  <c r="CC561" i="2"/>
  <c r="CC560" i="2" s="1"/>
  <c r="CB561" i="2"/>
  <c r="CB560" i="2" s="1"/>
  <c r="CA561" i="2"/>
  <c r="CA560" i="2" s="1"/>
  <c r="BZ561" i="2"/>
  <c r="BZ560" i="2" s="1"/>
  <c r="BY561" i="2"/>
  <c r="BY560" i="2" s="1"/>
  <c r="BX561" i="2"/>
  <c r="BX560" i="2" s="1"/>
  <c r="BW561" i="2"/>
  <c r="BW560" i="2" s="1"/>
  <c r="BV561" i="2"/>
  <c r="BV560" i="2" s="1"/>
  <c r="BU561" i="2"/>
  <c r="BU560" i="2" s="1"/>
  <c r="BT561" i="2"/>
  <c r="BT560" i="2" s="1"/>
  <c r="BS561" i="2"/>
  <c r="BS560" i="2" s="1"/>
  <c r="BR561" i="2"/>
  <c r="BR560" i="2" s="1"/>
  <c r="BQ561" i="2"/>
  <c r="BQ560" i="2" s="1"/>
  <c r="BP561" i="2"/>
  <c r="BP560" i="2" s="1"/>
  <c r="BO561" i="2"/>
  <c r="BO560" i="2" s="1"/>
  <c r="BN561" i="2"/>
  <c r="BN560" i="2" s="1"/>
  <c r="BM561" i="2"/>
  <c r="BM560" i="2" s="1"/>
  <c r="BL561" i="2"/>
  <c r="BL560" i="2" s="1"/>
  <c r="BK561" i="2"/>
  <c r="BK560" i="2" s="1"/>
  <c r="BJ561" i="2"/>
  <c r="BJ560" i="2" s="1"/>
  <c r="BI561" i="2"/>
  <c r="BI560" i="2" s="1"/>
  <c r="BH561" i="2"/>
  <c r="BH560" i="2" s="1"/>
  <c r="BG561" i="2"/>
  <c r="BG560" i="2" s="1"/>
  <c r="BF561" i="2"/>
  <c r="BF560" i="2" s="1"/>
  <c r="BE561" i="2"/>
  <c r="BE560" i="2" s="1"/>
  <c r="BD561" i="2"/>
  <c r="BD560" i="2" s="1"/>
  <c r="BC561" i="2"/>
  <c r="BC560" i="2" s="1"/>
  <c r="BB561" i="2"/>
  <c r="BB560" i="2" s="1"/>
  <c r="BA561" i="2"/>
  <c r="BA560" i="2" s="1"/>
  <c r="AZ561" i="2"/>
  <c r="AZ560" i="2" s="1"/>
  <c r="AY561" i="2"/>
  <c r="AY560" i="2" s="1"/>
  <c r="AX561" i="2"/>
  <c r="AX560" i="2" s="1"/>
  <c r="AW561" i="2"/>
  <c r="AW560" i="2" s="1"/>
  <c r="AV561" i="2"/>
  <c r="AV560" i="2" s="1"/>
  <c r="AU561" i="2"/>
  <c r="AU560" i="2" s="1"/>
  <c r="AT561" i="2"/>
  <c r="AT560" i="2" s="1"/>
  <c r="AS561" i="2"/>
  <c r="AS560" i="2" s="1"/>
  <c r="AR561" i="2"/>
  <c r="AR560" i="2" s="1"/>
  <c r="AQ561" i="2"/>
  <c r="AQ560" i="2" s="1"/>
  <c r="AP561" i="2"/>
  <c r="AP560" i="2" s="1"/>
  <c r="AO561" i="2"/>
  <c r="AO560" i="2" s="1"/>
  <c r="AN561" i="2"/>
  <c r="AN560" i="2" s="1"/>
  <c r="AM561" i="2"/>
  <c r="AM560" i="2" s="1"/>
  <c r="AL561" i="2"/>
  <c r="AL560" i="2" s="1"/>
  <c r="AK561" i="2"/>
  <c r="AK560" i="2" s="1"/>
  <c r="AJ561" i="2"/>
  <c r="AJ560" i="2" s="1"/>
  <c r="AI561" i="2"/>
  <c r="AI560" i="2" s="1"/>
  <c r="AH561" i="2"/>
  <c r="AH560" i="2" s="1"/>
  <c r="AG561" i="2"/>
  <c r="AG560" i="2" s="1"/>
  <c r="AF561" i="2"/>
  <c r="AF560" i="2" s="1"/>
  <c r="AE561" i="2"/>
  <c r="AE560" i="2" s="1"/>
  <c r="AD561" i="2"/>
  <c r="AD560" i="2" s="1"/>
  <c r="AC561" i="2"/>
  <c r="AC560" i="2" s="1"/>
  <c r="AB561" i="2"/>
  <c r="AB560" i="2" s="1"/>
  <c r="CR596" i="2"/>
  <c r="CQ596" i="2"/>
  <c r="CP596" i="2"/>
  <c r="CO596" i="2"/>
  <c r="CN596" i="2"/>
  <c r="CM596" i="2"/>
  <c r="CL596" i="2"/>
  <c r="CK596" i="2"/>
  <c r="CJ596" i="2"/>
  <c r="CI596" i="2"/>
  <c r="CH596" i="2"/>
  <c r="CG596" i="2"/>
  <c r="CF596" i="2"/>
  <c r="CE596" i="2"/>
  <c r="CD596" i="2"/>
  <c r="CC596" i="2"/>
  <c r="CB596" i="2"/>
  <c r="CA596" i="2"/>
  <c r="BZ596" i="2"/>
  <c r="BY596" i="2"/>
  <c r="BX596" i="2"/>
  <c r="BW596" i="2"/>
  <c r="BV596" i="2"/>
  <c r="BU596" i="2"/>
  <c r="BT596" i="2"/>
  <c r="BS596" i="2"/>
  <c r="BR596" i="2"/>
  <c r="BQ596" i="2"/>
  <c r="BP596" i="2"/>
  <c r="BO596" i="2"/>
  <c r="BN596" i="2"/>
  <c r="BM596" i="2"/>
  <c r="BL596" i="2"/>
  <c r="BK596" i="2"/>
  <c r="BJ596" i="2"/>
  <c r="BI596" i="2"/>
  <c r="BH596" i="2"/>
  <c r="BG596" i="2"/>
  <c r="BF596" i="2"/>
  <c r="BE596" i="2"/>
  <c r="BD596" i="2"/>
  <c r="BC596" i="2"/>
  <c r="BB596" i="2"/>
  <c r="BA596" i="2"/>
  <c r="AZ596" i="2"/>
  <c r="AY596" i="2"/>
  <c r="AX596" i="2"/>
  <c r="AW596" i="2"/>
  <c r="AV596" i="2"/>
  <c r="AU596" i="2"/>
  <c r="AT596" i="2"/>
  <c r="AS596" i="2"/>
  <c r="AR596" i="2"/>
  <c r="AQ596" i="2"/>
  <c r="AP596" i="2"/>
  <c r="AO596" i="2"/>
  <c r="AN596" i="2"/>
  <c r="AM596" i="2"/>
  <c r="AL596" i="2"/>
  <c r="AK596" i="2"/>
  <c r="AJ596" i="2"/>
  <c r="AI596" i="2"/>
  <c r="AH596" i="2"/>
  <c r="AG596" i="2"/>
  <c r="AF596" i="2"/>
  <c r="AE596" i="2"/>
  <c r="AD596" i="2"/>
  <c r="AC596" i="2"/>
  <c r="AB596" i="2"/>
  <c r="CS596" i="2"/>
  <c r="CT596" i="2" s="1"/>
  <c r="DS122" i="11" l="1"/>
  <c r="DS121" i="11"/>
  <c r="CQ123" i="11"/>
  <c r="DT123" i="11" s="1"/>
  <c r="DV561" i="2"/>
  <c r="DV560" i="2" s="1"/>
  <c r="CW146" i="13"/>
  <c r="CV145" i="13"/>
  <c r="CO92" i="12"/>
  <c r="CO122" i="11"/>
  <c r="DY565" i="2"/>
  <c r="CZ149" i="13" s="1"/>
  <c r="DX564" i="2"/>
  <c r="CY148" i="13" s="1"/>
  <c r="DW562" i="2"/>
  <c r="DX563" i="2"/>
  <c r="CY147" i="13" s="1"/>
  <c r="DK126" i="11"/>
  <c r="DC126" i="11"/>
  <c r="DN126" i="11"/>
  <c r="DA127" i="11"/>
  <c r="DF127" i="11"/>
  <c r="DP126" i="11"/>
  <c r="DH126" i="11"/>
  <c r="CZ126" i="11"/>
  <c r="CZ127" i="11"/>
  <c r="DC127" i="11"/>
  <c r="DM126" i="11"/>
  <c r="DE126" i="11"/>
  <c r="DJ126" i="11"/>
  <c r="DB126" i="11"/>
  <c r="DG126" i="11"/>
  <c r="CY126" i="11"/>
  <c r="DL126" i="11"/>
  <c r="DD126" i="11"/>
  <c r="CY127" i="11"/>
  <c r="DQ126" i="11"/>
  <c r="DI126" i="11"/>
  <c r="DA126" i="11"/>
  <c r="DO126" i="11"/>
  <c r="DB127" i="11"/>
  <c r="DG127" i="11"/>
  <c r="DH127" i="11"/>
  <c r="DJ127" i="11"/>
  <c r="DF126" i="11"/>
  <c r="DE127" i="11"/>
  <c r="DD127" i="11"/>
  <c r="DI127" i="11"/>
  <c r="DR126" i="11"/>
  <c r="CY96" i="12"/>
  <c r="DP96" i="12"/>
  <c r="EJ159" i="18"/>
  <c r="DL96" i="12"/>
  <c r="DG96" i="12"/>
  <c r="DB96" i="12"/>
  <c r="EH151" i="13"/>
  <c r="EE147" i="13"/>
  <c r="EF152" i="13"/>
  <c r="EG147" i="13"/>
  <c r="EH152" i="13"/>
  <c r="EI153" i="13"/>
  <c r="EF146" i="13"/>
  <c r="EE148" i="13"/>
  <c r="EF151" i="13"/>
  <c r="EE153" i="13"/>
  <c r="DO96" i="12"/>
  <c r="DM134" i="13"/>
  <c r="DO135" i="13"/>
  <c r="DG135" i="13"/>
  <c r="DQ136" i="13"/>
  <c r="DI136" i="13"/>
  <c r="DK138" i="13"/>
  <c r="DM137" i="13"/>
  <c r="DO172" i="13"/>
  <c r="DG172" i="13"/>
  <c r="DQ171" i="13"/>
  <c r="DI171" i="13"/>
  <c r="DS164" i="13"/>
  <c r="DK164" i="13"/>
  <c r="DM161" i="13"/>
  <c r="EI151" i="13"/>
  <c r="EI148" i="13"/>
  <c r="DO134" i="13"/>
  <c r="DG134" i="13"/>
  <c r="DQ135" i="13"/>
  <c r="DI135" i="13"/>
  <c r="DK136" i="13"/>
  <c r="DM138" i="13"/>
  <c r="DO137" i="13"/>
  <c r="DG137" i="13"/>
  <c r="DQ172" i="13"/>
  <c r="DI172" i="13"/>
  <c r="DK171" i="13"/>
  <c r="DU164" i="13"/>
  <c r="DM164" i="13"/>
  <c r="DO161" i="13"/>
  <c r="DG161" i="13"/>
  <c r="DI125" i="11"/>
  <c r="DD125" i="11"/>
  <c r="DQ124" i="11"/>
  <c r="CY125" i="11"/>
  <c r="DL124" i="11"/>
  <c r="DG124" i="11"/>
  <c r="EG146" i="13"/>
  <c r="EH148" i="13"/>
  <c r="EF147" i="13"/>
  <c r="EH154" i="13"/>
  <c r="EH147" i="13"/>
  <c r="EH146" i="13"/>
  <c r="EF153" i="13"/>
  <c r="EI147" i="13"/>
  <c r="EH159" i="18"/>
  <c r="EF159" i="18"/>
  <c r="AS118" i="11"/>
  <c r="DD118" i="11" s="1"/>
  <c r="DK144" i="13"/>
  <c r="AW144" i="13"/>
  <c r="DJ145" i="13"/>
  <c r="AQ144" i="13"/>
  <c r="DH145" i="13"/>
  <c r="DF134" i="13"/>
  <c r="DH135" i="13"/>
  <c r="DL138" i="13"/>
  <c r="DJ171" i="13"/>
  <c r="DL164" i="13"/>
  <c r="DQ145" i="13"/>
  <c r="DJ134" i="13"/>
  <c r="DL135" i="13"/>
  <c r="DN136" i="13"/>
  <c r="DF136" i="13"/>
  <c r="DP138" i="13"/>
  <c r="DH138" i="13"/>
  <c r="DJ137" i="13"/>
  <c r="DL172" i="13"/>
  <c r="DN171" i="13"/>
  <c r="DF171" i="13"/>
  <c r="DX164" i="13"/>
  <c r="DP164" i="13"/>
  <c r="DH164" i="13"/>
  <c r="DJ161" i="13"/>
  <c r="DY145" i="13"/>
  <c r="AK144" i="13"/>
  <c r="DF145" i="13"/>
  <c r="DT145" i="13"/>
  <c r="EG154" i="13"/>
  <c r="EI152" i="13"/>
  <c r="EG151" i="13"/>
  <c r="DN96" i="12"/>
  <c r="EG148" i="13"/>
  <c r="DQ96" i="12"/>
  <c r="DN135" i="13"/>
  <c r="DF135" i="13"/>
  <c r="DP136" i="13"/>
  <c r="DH136" i="13"/>
  <c r="DJ138" i="13"/>
  <c r="DL137" i="13"/>
  <c r="DN172" i="13"/>
  <c r="DF172" i="13"/>
  <c r="DP171" i="13"/>
  <c r="DH171" i="13"/>
  <c r="DR164" i="13"/>
  <c r="DJ164" i="13"/>
  <c r="DL161" i="13"/>
  <c r="BC144" i="13"/>
  <c r="DL145" i="13"/>
  <c r="DK125" i="11"/>
  <c r="DR145" i="13"/>
  <c r="DQ134" i="13"/>
  <c r="DI134" i="13"/>
  <c r="DK135" i="13"/>
  <c r="DM136" i="13"/>
  <c r="DO138" i="13"/>
  <c r="DG138" i="13"/>
  <c r="DQ137" i="13"/>
  <c r="DI137" i="13"/>
  <c r="DK172" i="13"/>
  <c r="DM171" i="13"/>
  <c r="DW164" i="13"/>
  <c r="DO164" i="13"/>
  <c r="DG164" i="13"/>
  <c r="DQ161" i="13"/>
  <c r="DI161" i="13"/>
  <c r="DV145" i="13"/>
  <c r="DP145" i="13"/>
  <c r="AN144" i="13"/>
  <c r="DG145" i="13"/>
  <c r="DI96" i="12"/>
  <c r="DD96" i="12"/>
  <c r="EI159" i="18"/>
  <c r="DK96" i="12"/>
  <c r="DF96" i="12"/>
  <c r="EE146" i="13"/>
  <c r="EG153" i="13"/>
  <c r="EF148" i="13"/>
  <c r="DX145" i="13"/>
  <c r="DK145" i="13"/>
  <c r="DN134" i="13"/>
  <c r="DP135" i="13"/>
  <c r="DJ136" i="13"/>
  <c r="DN137" i="13"/>
  <c r="DF137" i="13"/>
  <c r="DP172" i="13"/>
  <c r="DH172" i="13"/>
  <c r="DT164" i="13"/>
  <c r="DN161" i="13"/>
  <c r="DF161" i="13"/>
  <c r="DK134" i="13"/>
  <c r="DM135" i="13"/>
  <c r="DO136" i="13"/>
  <c r="DG136" i="13"/>
  <c r="DQ138" i="13"/>
  <c r="DI138" i="13"/>
  <c r="DK137" i="13"/>
  <c r="DM172" i="13"/>
  <c r="DO171" i="13"/>
  <c r="DG171" i="13"/>
  <c r="DY164" i="13"/>
  <c r="DQ164" i="13"/>
  <c r="DI164" i="13"/>
  <c r="DK161" i="13"/>
  <c r="DU145" i="13"/>
  <c r="AT144" i="13"/>
  <c r="DI145" i="13"/>
  <c r="DN145" i="13"/>
  <c r="DO145" i="13"/>
  <c r="DA96" i="12"/>
  <c r="EK159" i="18"/>
  <c r="DR96" i="12"/>
  <c r="DM96" i="12"/>
  <c r="DH96" i="12"/>
  <c r="DC96" i="12"/>
  <c r="EI154" i="13"/>
  <c r="EI146" i="13"/>
  <c r="EF154" i="13"/>
  <c r="DL134" i="13"/>
  <c r="DP134" i="13"/>
  <c r="DH134" i="13"/>
  <c r="DJ135" i="13"/>
  <c r="DL136" i="13"/>
  <c r="DN138" i="13"/>
  <c r="DF138" i="13"/>
  <c r="DP137" i="13"/>
  <c r="DH137" i="13"/>
  <c r="DJ172" i="13"/>
  <c r="DL171" i="13"/>
  <c r="DV164" i="13"/>
  <c r="DN164" i="13"/>
  <c r="DF164" i="13"/>
  <c r="DP161" i="13"/>
  <c r="DH161" i="13"/>
  <c r="BF144" i="13"/>
  <c r="DM145" i="13"/>
  <c r="DS145" i="13"/>
  <c r="EE154" i="13"/>
  <c r="EE152" i="13"/>
  <c r="EH153" i="13"/>
  <c r="DW145" i="13"/>
  <c r="DJ96" i="12"/>
  <c r="DE96" i="12"/>
  <c r="CZ96" i="12"/>
  <c r="EG159" i="18"/>
  <c r="EG152" i="13"/>
  <c r="EE151" i="13"/>
  <c r="DF125" i="11"/>
  <c r="DN124" i="11"/>
  <c r="DI124" i="11"/>
  <c r="DD124" i="11"/>
  <c r="DR125" i="11"/>
  <c r="CY124" i="11"/>
  <c r="DM125" i="11"/>
  <c r="DH125" i="11"/>
  <c r="DC125" i="11"/>
  <c r="DB124" i="11"/>
  <c r="DA125" i="11"/>
  <c r="DP125" i="11"/>
  <c r="DP124" i="11"/>
  <c r="DH124" i="11"/>
  <c r="DK124" i="11"/>
  <c r="DF124" i="11"/>
  <c r="DA124" i="11"/>
  <c r="DO125" i="11"/>
  <c r="DJ125" i="11"/>
  <c r="DE125" i="11"/>
  <c r="DR124" i="11"/>
  <c r="CZ125" i="11"/>
  <c r="DM124" i="11"/>
  <c r="CZ124" i="11"/>
  <c r="DC124" i="11"/>
  <c r="DQ125" i="11"/>
  <c r="DL125" i="11"/>
  <c r="DG125" i="11"/>
  <c r="DB125" i="11"/>
  <c r="DO124" i="11"/>
  <c r="DJ124" i="11"/>
  <c r="DE124" i="11"/>
  <c r="DN125" i="11"/>
  <c r="AW74" i="12"/>
  <c r="AW106" i="11"/>
  <c r="BA73" i="12"/>
  <c r="BA105" i="11"/>
  <c r="AK73" i="12"/>
  <c r="AK105" i="11"/>
  <c r="U73" i="12"/>
  <c r="U105" i="11"/>
  <c r="M73" i="12"/>
  <c r="M105" i="11"/>
  <c r="E73" i="12"/>
  <c r="E105" i="11"/>
  <c r="BG74" i="12"/>
  <c r="BG106" i="11"/>
  <c r="AY74" i="12"/>
  <c r="AY106" i="11"/>
  <c r="AA74" i="12"/>
  <c r="AA106" i="11"/>
  <c r="K74" i="12"/>
  <c r="K106" i="11"/>
  <c r="BE75" i="12"/>
  <c r="BE107" i="11"/>
  <c r="Y75" i="12"/>
  <c r="Y107" i="11"/>
  <c r="AU109" i="11"/>
  <c r="AS108" i="11"/>
  <c r="AC108" i="11"/>
  <c r="F77" i="12"/>
  <c r="E108" i="11"/>
  <c r="AM142" i="11"/>
  <c r="BT126" i="15"/>
  <c r="AM113" i="12"/>
  <c r="BI137" i="11"/>
  <c r="CP120" i="15"/>
  <c r="BI108" i="12"/>
  <c r="BA137" i="11"/>
  <c r="CH120" i="15"/>
  <c r="BA108" i="12"/>
  <c r="AS137" i="11"/>
  <c r="BZ120" i="15"/>
  <c r="AS108" i="12"/>
  <c r="AC137" i="11"/>
  <c r="BJ120" i="15"/>
  <c r="AC108" i="12"/>
  <c r="U137" i="11"/>
  <c r="BB120" i="15"/>
  <c r="U108" i="12"/>
  <c r="M137" i="11"/>
  <c r="AT120" i="15"/>
  <c r="M108" i="12"/>
  <c r="E137" i="11"/>
  <c r="AL120" i="15"/>
  <c r="E108" i="12"/>
  <c r="BH73" i="12"/>
  <c r="BH105" i="11"/>
  <c r="AZ73" i="12"/>
  <c r="AZ105" i="11"/>
  <c r="AR73" i="12"/>
  <c r="AR105" i="11"/>
  <c r="AJ73" i="12"/>
  <c r="AJ105" i="11"/>
  <c r="AB73" i="12"/>
  <c r="AB105" i="11"/>
  <c r="T73" i="12"/>
  <c r="T105" i="11"/>
  <c r="L73" i="12"/>
  <c r="L105" i="11"/>
  <c r="D73" i="12"/>
  <c r="D105" i="11"/>
  <c r="BF74" i="12"/>
  <c r="BF106" i="11"/>
  <c r="AX74" i="12"/>
  <c r="AX106" i="11"/>
  <c r="AP74" i="12"/>
  <c r="AP106" i="11"/>
  <c r="AH74" i="12"/>
  <c r="AH106" i="11"/>
  <c r="Z74" i="12"/>
  <c r="Z106" i="11"/>
  <c r="R74" i="12"/>
  <c r="R106" i="11"/>
  <c r="J74" i="12"/>
  <c r="J106" i="11"/>
  <c r="BL75" i="12"/>
  <c r="BL107" i="11"/>
  <c r="BD75" i="12"/>
  <c r="BD107" i="11"/>
  <c r="AV75" i="12"/>
  <c r="AV107" i="11"/>
  <c r="AN75" i="12"/>
  <c r="AN107" i="11"/>
  <c r="AF75" i="12"/>
  <c r="AF107" i="11"/>
  <c r="X75" i="12"/>
  <c r="X107" i="11"/>
  <c r="P75" i="12"/>
  <c r="P107" i="11"/>
  <c r="H75" i="12"/>
  <c r="H107" i="11"/>
  <c r="BJ109" i="11"/>
  <c r="BB109" i="11"/>
  <c r="AT109" i="11"/>
  <c r="AL109" i="11"/>
  <c r="AD109" i="11"/>
  <c r="V109" i="11"/>
  <c r="N109" i="11"/>
  <c r="F109" i="11"/>
  <c r="BH108" i="11"/>
  <c r="AZ108" i="11"/>
  <c r="AR108" i="11"/>
  <c r="AJ108" i="11"/>
  <c r="AB108" i="11"/>
  <c r="U77" i="12"/>
  <c r="T108" i="11"/>
  <c r="M77" i="12"/>
  <c r="L108" i="11"/>
  <c r="E77" i="12"/>
  <c r="D108" i="11"/>
  <c r="CH142" i="11"/>
  <c r="CH113" i="12"/>
  <c r="DO126" i="15"/>
  <c r="BZ142" i="11"/>
  <c r="BZ113" i="12"/>
  <c r="DG126" i="15"/>
  <c r="BR142" i="11"/>
  <c r="BR113" i="12"/>
  <c r="CY126" i="15"/>
  <c r="BJ142" i="11"/>
  <c r="BJ113" i="12"/>
  <c r="CQ126" i="15"/>
  <c r="BB142" i="11"/>
  <c r="BB113" i="12"/>
  <c r="CI126" i="15"/>
  <c r="AT142" i="11"/>
  <c r="AT113" i="12"/>
  <c r="CA126" i="15"/>
  <c r="AL142" i="11"/>
  <c r="AL113" i="12"/>
  <c r="BS126" i="15"/>
  <c r="AD142" i="11"/>
  <c r="AD113" i="12"/>
  <c r="BK126" i="15"/>
  <c r="V142" i="11"/>
  <c r="V113" i="12"/>
  <c r="BC126" i="15"/>
  <c r="N142" i="11"/>
  <c r="N113" i="12"/>
  <c r="AU126" i="15"/>
  <c r="F142" i="11"/>
  <c r="F113" i="12"/>
  <c r="AM126" i="15"/>
  <c r="BH137" i="11"/>
  <c r="CO120" i="15"/>
  <c r="BH108" i="12"/>
  <c r="AZ137" i="11"/>
  <c r="CG120" i="15"/>
  <c r="AZ108" i="12"/>
  <c r="AR137" i="11"/>
  <c r="BY120" i="15"/>
  <c r="AR108" i="12"/>
  <c r="AJ137" i="11"/>
  <c r="BQ120" i="15"/>
  <c r="AJ108" i="12"/>
  <c r="AB137" i="11"/>
  <c r="BI120" i="15"/>
  <c r="AB108" i="12"/>
  <c r="T137" i="11"/>
  <c r="BA120" i="15"/>
  <c r="T108" i="12"/>
  <c r="L137" i="11"/>
  <c r="AS120" i="15"/>
  <c r="L108" i="12"/>
  <c r="D137" i="11"/>
  <c r="AK120" i="15"/>
  <c r="D108" i="12"/>
  <c r="AY108" i="11"/>
  <c r="AI108" i="11"/>
  <c r="T77" i="12"/>
  <c r="S108" i="11"/>
  <c r="D77" i="12"/>
  <c r="C108" i="11"/>
  <c r="BQ142" i="11"/>
  <c r="CX126" i="15"/>
  <c r="BQ113" i="12"/>
  <c r="AS142" i="11"/>
  <c r="BZ126" i="15"/>
  <c r="AS113" i="12"/>
  <c r="U142" i="11"/>
  <c r="BB126" i="15"/>
  <c r="U113" i="12"/>
  <c r="E142" i="11"/>
  <c r="AL126" i="15"/>
  <c r="E113" i="12"/>
  <c r="BG137" i="11"/>
  <c r="CN120" i="15"/>
  <c r="BG108" i="12"/>
  <c r="AQ137" i="11"/>
  <c r="BX120" i="15"/>
  <c r="AQ108" i="12"/>
  <c r="S137" i="11"/>
  <c r="AZ120" i="15"/>
  <c r="S108" i="12"/>
  <c r="AX137" i="11"/>
  <c r="AX108" i="12"/>
  <c r="CE120" i="15"/>
  <c r="AP137" i="11"/>
  <c r="AP108" i="12"/>
  <c r="BW120" i="15"/>
  <c r="AH137" i="11"/>
  <c r="AH108" i="12"/>
  <c r="BO120" i="15"/>
  <c r="Z137" i="11"/>
  <c r="Z108" i="12"/>
  <c r="BG120" i="15"/>
  <c r="R137" i="11"/>
  <c r="AY120" i="15"/>
  <c r="R108" i="12"/>
  <c r="AQ73" i="12"/>
  <c r="AQ105" i="11"/>
  <c r="AA73" i="12"/>
  <c r="AA105" i="11"/>
  <c r="K73" i="12"/>
  <c r="K105" i="11"/>
  <c r="BM74" i="12"/>
  <c r="BM106" i="11"/>
  <c r="AO74" i="12"/>
  <c r="AO106" i="11"/>
  <c r="Y74" i="12"/>
  <c r="Y106" i="11"/>
  <c r="Q74" i="12"/>
  <c r="Q106" i="11"/>
  <c r="BK75" i="12"/>
  <c r="BK107" i="11"/>
  <c r="AU75" i="12"/>
  <c r="AU107" i="11"/>
  <c r="AM75" i="12"/>
  <c r="AM107" i="11"/>
  <c r="AE75" i="12"/>
  <c r="AE107" i="11"/>
  <c r="W75" i="12"/>
  <c r="W107" i="11"/>
  <c r="O75" i="12"/>
  <c r="O107" i="11"/>
  <c r="G75" i="12"/>
  <c r="G107" i="11"/>
  <c r="BA109" i="11"/>
  <c r="AS109" i="11"/>
  <c r="AK109" i="11"/>
  <c r="AC109" i="11"/>
  <c r="U109" i="11"/>
  <c r="M109" i="11"/>
  <c r="E109" i="11"/>
  <c r="BG108" i="11"/>
  <c r="AQ108" i="11"/>
  <c r="AA108" i="11"/>
  <c r="L77" i="12"/>
  <c r="K108" i="11"/>
  <c r="CG142" i="11"/>
  <c r="DN126" i="15"/>
  <c r="CG113" i="12"/>
  <c r="BY142" i="11"/>
  <c r="DF126" i="15"/>
  <c r="BY113" i="12"/>
  <c r="BI142" i="11"/>
  <c r="CP126" i="15"/>
  <c r="BI113" i="12"/>
  <c r="BA142" i="11"/>
  <c r="CH126" i="15"/>
  <c r="BA113" i="12"/>
  <c r="AC142" i="11"/>
  <c r="BJ126" i="15"/>
  <c r="AC113" i="12"/>
  <c r="M142" i="11"/>
  <c r="AT126" i="15"/>
  <c r="M113" i="12"/>
  <c r="BM73" i="12"/>
  <c r="BM105" i="11"/>
  <c r="BE73" i="12"/>
  <c r="BE105" i="11"/>
  <c r="AO73" i="12"/>
  <c r="AO105" i="11"/>
  <c r="I73" i="12"/>
  <c r="I105" i="11"/>
  <c r="BC74" i="12"/>
  <c r="BC106" i="11"/>
  <c r="AE74" i="12"/>
  <c r="AE106" i="11"/>
  <c r="AC75" i="12"/>
  <c r="AC107" i="11"/>
  <c r="AY109" i="11"/>
  <c r="AI109" i="11"/>
  <c r="S109" i="11"/>
  <c r="BE108" i="11"/>
  <c r="Z77" i="12"/>
  <c r="Y108" i="11"/>
  <c r="CE142" i="11"/>
  <c r="DL126" i="15"/>
  <c r="CE113" i="12"/>
  <c r="BO142" i="11"/>
  <c r="CV126" i="15"/>
  <c r="BO113" i="12"/>
  <c r="AI142" i="11"/>
  <c r="BP126" i="15"/>
  <c r="AI113" i="12"/>
  <c r="K142" i="11"/>
  <c r="AR126" i="15"/>
  <c r="K113" i="12"/>
  <c r="BM137" i="11"/>
  <c r="CT120" i="15"/>
  <c r="BM108" i="12"/>
  <c r="Y137" i="11"/>
  <c r="Y108" i="12"/>
  <c r="BF120" i="15"/>
  <c r="K77" i="12"/>
  <c r="J108" i="11"/>
  <c r="CF142" i="11"/>
  <c r="DM126" i="15"/>
  <c r="CF113" i="12"/>
  <c r="BX142" i="11"/>
  <c r="DE126" i="15"/>
  <c r="BX113" i="12"/>
  <c r="BP142" i="11"/>
  <c r="CW126" i="15"/>
  <c r="BP113" i="12"/>
  <c r="BH142" i="11"/>
  <c r="CO126" i="15"/>
  <c r="BH113" i="12"/>
  <c r="AZ142" i="11"/>
  <c r="CG126" i="15"/>
  <c r="AZ113" i="12"/>
  <c r="AR142" i="11"/>
  <c r="BY126" i="15"/>
  <c r="AR113" i="12"/>
  <c r="AJ142" i="11"/>
  <c r="BQ126" i="15"/>
  <c r="AJ113" i="12"/>
  <c r="AB142" i="11"/>
  <c r="BI126" i="15"/>
  <c r="AB113" i="12"/>
  <c r="T142" i="11"/>
  <c r="BA126" i="15"/>
  <c r="T113" i="12"/>
  <c r="L142" i="11"/>
  <c r="AS126" i="15"/>
  <c r="L113" i="12"/>
  <c r="D142" i="11"/>
  <c r="AK126" i="15"/>
  <c r="D113" i="12"/>
  <c r="I137" i="11"/>
  <c r="I108" i="12"/>
  <c r="AP120" i="15"/>
  <c r="BL73" i="12"/>
  <c r="BL105" i="11"/>
  <c r="BD73" i="12"/>
  <c r="BD105" i="11"/>
  <c r="AV73" i="12"/>
  <c r="AV105" i="11"/>
  <c r="AN73" i="12"/>
  <c r="AN105" i="11"/>
  <c r="AF73" i="12"/>
  <c r="AF105" i="11"/>
  <c r="X73" i="12"/>
  <c r="X105" i="11"/>
  <c r="P73" i="12"/>
  <c r="P105" i="11"/>
  <c r="H73" i="12"/>
  <c r="H105" i="11"/>
  <c r="BJ74" i="12"/>
  <c r="BJ106" i="11"/>
  <c r="BB74" i="12"/>
  <c r="BB106" i="11"/>
  <c r="AT74" i="12"/>
  <c r="AT106" i="11"/>
  <c r="AL74" i="12"/>
  <c r="AL106" i="11"/>
  <c r="AD74" i="12"/>
  <c r="AD106" i="11"/>
  <c r="V74" i="12"/>
  <c r="V106" i="11"/>
  <c r="N74" i="12"/>
  <c r="N106" i="11"/>
  <c r="F74" i="12"/>
  <c r="F106" i="11"/>
  <c r="BH75" i="12"/>
  <c r="BH107" i="11"/>
  <c r="AZ75" i="12"/>
  <c r="AZ107" i="11"/>
  <c r="AR75" i="12"/>
  <c r="AR107" i="11"/>
  <c r="AJ75" i="12"/>
  <c r="AJ107" i="11"/>
  <c r="AB75" i="12"/>
  <c r="AB107" i="11"/>
  <c r="T75" i="12"/>
  <c r="T107" i="11"/>
  <c r="L75" i="12"/>
  <c r="L107" i="11"/>
  <c r="D75" i="12"/>
  <c r="D107" i="11"/>
  <c r="BF109" i="11"/>
  <c r="AX109" i="11"/>
  <c r="AP109" i="11"/>
  <c r="AH109" i="11"/>
  <c r="Z109" i="11"/>
  <c r="R109" i="11"/>
  <c r="J109" i="11"/>
  <c r="BL108" i="11"/>
  <c r="BD108" i="11"/>
  <c r="AV108" i="11"/>
  <c r="AN108" i="11"/>
  <c r="AF108" i="11"/>
  <c r="Y77" i="12"/>
  <c r="X108" i="11"/>
  <c r="Q77" i="12"/>
  <c r="P108" i="11"/>
  <c r="I77" i="12"/>
  <c r="H108" i="11"/>
  <c r="CD142" i="11"/>
  <c r="DK126" i="15"/>
  <c r="CD113" i="12"/>
  <c r="BV142" i="11"/>
  <c r="DC126" i="15"/>
  <c r="BV113" i="12"/>
  <c r="BN142" i="11"/>
  <c r="CU126" i="15"/>
  <c r="BN113" i="12"/>
  <c r="BF142" i="11"/>
  <c r="CM126" i="15"/>
  <c r="BF113" i="12"/>
  <c r="AX142" i="11"/>
  <c r="CE126" i="15"/>
  <c r="AX113" i="12"/>
  <c r="AP142" i="11"/>
  <c r="BW126" i="15"/>
  <c r="AP113" i="12"/>
  <c r="AH142" i="11"/>
  <c r="BO126" i="15"/>
  <c r="AH113" i="12"/>
  <c r="Z142" i="11"/>
  <c r="BG126" i="15"/>
  <c r="Z113" i="12"/>
  <c r="R142" i="11"/>
  <c r="AY126" i="15"/>
  <c r="R113" i="12"/>
  <c r="J142" i="11"/>
  <c r="AQ126" i="15"/>
  <c r="J113" i="12"/>
  <c r="BL137" i="11"/>
  <c r="BL108" i="12"/>
  <c r="CS120" i="15"/>
  <c r="BD137" i="11"/>
  <c r="BD108" i="12"/>
  <c r="CK120" i="15"/>
  <c r="AV137" i="11"/>
  <c r="AV108" i="12"/>
  <c r="CC120" i="15"/>
  <c r="AN137" i="11"/>
  <c r="BU120" i="15"/>
  <c r="AN108" i="12"/>
  <c r="AF137" i="11"/>
  <c r="AF108" i="12"/>
  <c r="BM120" i="15"/>
  <c r="X137" i="11"/>
  <c r="BE120" i="15"/>
  <c r="X108" i="12"/>
  <c r="P137" i="11"/>
  <c r="AW120" i="15"/>
  <c r="P108" i="12"/>
  <c r="H137" i="11"/>
  <c r="AO120" i="15"/>
  <c r="H108" i="12"/>
  <c r="AK142" i="11"/>
  <c r="BR126" i="15"/>
  <c r="AK113" i="12"/>
  <c r="AY137" i="11"/>
  <c r="CF120" i="15"/>
  <c r="AY108" i="12"/>
  <c r="AI137" i="11"/>
  <c r="BP120" i="15"/>
  <c r="AI108" i="12"/>
  <c r="AA137" i="11"/>
  <c r="BH120" i="15"/>
  <c r="AA108" i="12"/>
  <c r="C137" i="11"/>
  <c r="AJ120" i="15"/>
  <c r="C108" i="12"/>
  <c r="BF73" i="12"/>
  <c r="BF105" i="11"/>
  <c r="AX73" i="12"/>
  <c r="AX105" i="11"/>
  <c r="AP73" i="12"/>
  <c r="AP105" i="11"/>
  <c r="AH73" i="12"/>
  <c r="AH105" i="11"/>
  <c r="Z73" i="12"/>
  <c r="Z105" i="11"/>
  <c r="R73" i="12"/>
  <c r="R105" i="11"/>
  <c r="J73" i="12"/>
  <c r="J105" i="11"/>
  <c r="BL74" i="12"/>
  <c r="BL106" i="11"/>
  <c r="BD74" i="12"/>
  <c r="BD106" i="11"/>
  <c r="AV74" i="12"/>
  <c r="AV106" i="11"/>
  <c r="AN74" i="12"/>
  <c r="AN106" i="11"/>
  <c r="AF74" i="12"/>
  <c r="AF106" i="11"/>
  <c r="X74" i="12"/>
  <c r="X106" i="11"/>
  <c r="P74" i="12"/>
  <c r="P106" i="11"/>
  <c r="H74" i="12"/>
  <c r="H106" i="11"/>
  <c r="BJ75" i="12"/>
  <c r="BJ107" i="11"/>
  <c r="BB75" i="12"/>
  <c r="BB107" i="11"/>
  <c r="AT75" i="12"/>
  <c r="AT107" i="11"/>
  <c r="AL75" i="12"/>
  <c r="AL107" i="11"/>
  <c r="AD75" i="12"/>
  <c r="AD107" i="11"/>
  <c r="V75" i="12"/>
  <c r="V107" i="11"/>
  <c r="N75" i="12"/>
  <c r="N107" i="11"/>
  <c r="F75" i="12"/>
  <c r="F107" i="11"/>
  <c r="BH109" i="11"/>
  <c r="AZ109" i="11"/>
  <c r="AR109" i="11"/>
  <c r="AJ109" i="11"/>
  <c r="AB109" i="11"/>
  <c r="T109" i="11"/>
  <c r="L109" i="11"/>
  <c r="D109" i="11"/>
  <c r="BF108" i="11"/>
  <c r="AX108" i="11"/>
  <c r="AP108" i="11"/>
  <c r="AH108" i="11"/>
  <c r="AA77" i="12"/>
  <c r="Z108" i="11"/>
  <c r="S77" i="12"/>
  <c r="R108" i="11"/>
  <c r="BF137" i="11"/>
  <c r="BF108" i="12"/>
  <c r="CM120" i="15"/>
  <c r="AW73" i="12"/>
  <c r="AW105" i="11"/>
  <c r="Y73" i="12"/>
  <c r="Y105" i="11"/>
  <c r="BK74" i="12"/>
  <c r="BK106" i="11"/>
  <c r="AU74" i="12"/>
  <c r="AU106" i="11"/>
  <c r="W74" i="12"/>
  <c r="W106" i="11"/>
  <c r="G74" i="12"/>
  <c r="G106" i="11"/>
  <c r="AS75" i="12"/>
  <c r="AS107" i="11"/>
  <c r="U75" i="12"/>
  <c r="U107" i="11"/>
  <c r="E75" i="12"/>
  <c r="E107" i="11"/>
  <c r="AQ109" i="11"/>
  <c r="C109" i="11"/>
  <c r="AY142" i="11"/>
  <c r="CF126" i="15"/>
  <c r="AY113" i="12"/>
  <c r="AM73" i="12"/>
  <c r="AM105" i="11"/>
  <c r="AK74" i="12"/>
  <c r="AK106" i="11"/>
  <c r="Q109" i="11"/>
  <c r="G137" i="11"/>
  <c r="AN120" i="15"/>
  <c r="G108" i="12"/>
  <c r="BG73" i="12"/>
  <c r="BG105" i="11"/>
  <c r="AY73" i="12"/>
  <c r="AY105" i="11"/>
  <c r="AI73" i="12"/>
  <c r="AI105" i="11"/>
  <c r="S73" i="12"/>
  <c r="S105" i="11"/>
  <c r="C73" i="12"/>
  <c r="C105" i="11"/>
  <c r="BE74" i="12"/>
  <c r="BE106" i="11"/>
  <c r="AG74" i="12"/>
  <c r="AG106" i="11"/>
  <c r="I74" i="12"/>
  <c r="I106" i="11"/>
  <c r="BC75" i="12"/>
  <c r="BC107" i="11"/>
  <c r="BI109" i="11"/>
  <c r="J137" i="11"/>
  <c r="AQ120" i="15"/>
  <c r="J108" i="12"/>
  <c r="AG73" i="12"/>
  <c r="AG105" i="11"/>
  <c r="Q73" i="12"/>
  <c r="Q105" i="11"/>
  <c r="AM74" i="12"/>
  <c r="AM106" i="11"/>
  <c r="O74" i="12"/>
  <c r="O106" i="11"/>
  <c r="BI75" i="12"/>
  <c r="BI107" i="11"/>
  <c r="BA75" i="12"/>
  <c r="BA107" i="11"/>
  <c r="AK75" i="12"/>
  <c r="AK107" i="11"/>
  <c r="M75" i="12"/>
  <c r="M107" i="11"/>
  <c r="BG109" i="11"/>
  <c r="AA109" i="11"/>
  <c r="K109" i="11"/>
  <c r="BM108" i="11"/>
  <c r="AW108" i="11"/>
  <c r="AO108" i="11"/>
  <c r="AG108" i="11"/>
  <c r="R77" i="12"/>
  <c r="Q108" i="11"/>
  <c r="J77" i="12"/>
  <c r="I108" i="11"/>
  <c r="BW142" i="11"/>
  <c r="DD126" i="15"/>
  <c r="BW113" i="12"/>
  <c r="BG142" i="11"/>
  <c r="CN126" i="15"/>
  <c r="BG113" i="12"/>
  <c r="AQ142" i="11"/>
  <c r="BX126" i="15"/>
  <c r="AQ113" i="12"/>
  <c r="AA142" i="11"/>
  <c r="BH126" i="15"/>
  <c r="AA113" i="12"/>
  <c r="S142" i="11"/>
  <c r="AZ126" i="15"/>
  <c r="S113" i="12"/>
  <c r="C142" i="11"/>
  <c r="AJ126" i="15"/>
  <c r="C113" i="12"/>
  <c r="BE137" i="11"/>
  <c r="CL120" i="15"/>
  <c r="BE108" i="12"/>
  <c r="AW137" i="11"/>
  <c r="AW108" i="12"/>
  <c r="CD120" i="15"/>
  <c r="AO137" i="11"/>
  <c r="AO108" i="12"/>
  <c r="BV120" i="15"/>
  <c r="AG137" i="11"/>
  <c r="BN120" i="15"/>
  <c r="AG108" i="12"/>
  <c r="Q137" i="11"/>
  <c r="Q108" i="12"/>
  <c r="AX120" i="15"/>
  <c r="BK73" i="12"/>
  <c r="BK105" i="11"/>
  <c r="BC73" i="12"/>
  <c r="BC105" i="11"/>
  <c r="AU73" i="12"/>
  <c r="AU105" i="11"/>
  <c r="AE73" i="12"/>
  <c r="AE105" i="11"/>
  <c r="W73" i="12"/>
  <c r="W105" i="11"/>
  <c r="O73" i="12"/>
  <c r="O105" i="11"/>
  <c r="G73" i="12"/>
  <c r="G105" i="11"/>
  <c r="BI74" i="12"/>
  <c r="BI106" i="11"/>
  <c r="BA74" i="12"/>
  <c r="BA106" i="11"/>
  <c r="AS74" i="12"/>
  <c r="AS106" i="11"/>
  <c r="AC74" i="12"/>
  <c r="AC106" i="11"/>
  <c r="U74" i="12"/>
  <c r="U106" i="11"/>
  <c r="M74" i="12"/>
  <c r="M106" i="11"/>
  <c r="E74" i="12"/>
  <c r="E106" i="11"/>
  <c r="BG75" i="12"/>
  <c r="BG107" i="11"/>
  <c r="AY75" i="12"/>
  <c r="AY107" i="11"/>
  <c r="AQ75" i="12"/>
  <c r="AQ107" i="11"/>
  <c r="AI75" i="12"/>
  <c r="AI107" i="11"/>
  <c r="AA75" i="12"/>
  <c r="AA107" i="11"/>
  <c r="S75" i="12"/>
  <c r="S107" i="11"/>
  <c r="K75" i="12"/>
  <c r="K107" i="11"/>
  <c r="C75" i="12"/>
  <c r="C107" i="11"/>
  <c r="BM109" i="11"/>
  <c r="BE109" i="11"/>
  <c r="AW109" i="11"/>
  <c r="AO109" i="11"/>
  <c r="AG109" i="11"/>
  <c r="Y109" i="11"/>
  <c r="I109" i="11"/>
  <c r="BK108" i="11"/>
  <c r="BC108" i="11"/>
  <c r="AU108" i="11"/>
  <c r="AM108" i="11"/>
  <c r="AE108" i="11"/>
  <c r="X77" i="12"/>
  <c r="W108" i="11"/>
  <c r="P77" i="12"/>
  <c r="O108" i="11"/>
  <c r="H77" i="12"/>
  <c r="G108" i="11"/>
  <c r="CK142" i="11"/>
  <c r="CK113" i="12"/>
  <c r="DR126" i="15"/>
  <c r="CC142" i="11"/>
  <c r="DJ126" i="15"/>
  <c r="CC113" i="12"/>
  <c r="BU142" i="11"/>
  <c r="DB126" i="15"/>
  <c r="BU113" i="12"/>
  <c r="BM142" i="11"/>
  <c r="BM113" i="12"/>
  <c r="CT126" i="15"/>
  <c r="BE142" i="11"/>
  <c r="BE113" i="12"/>
  <c r="CL126" i="15"/>
  <c r="AW142" i="11"/>
  <c r="CD126" i="15"/>
  <c r="AW113" i="12"/>
  <c r="AO142" i="11"/>
  <c r="BV126" i="15"/>
  <c r="AO113" i="12"/>
  <c r="AG142" i="11"/>
  <c r="AG113" i="12"/>
  <c r="BN126" i="15"/>
  <c r="Y142" i="11"/>
  <c r="Y113" i="12"/>
  <c r="BF126" i="15"/>
  <c r="Q142" i="11"/>
  <c r="AX126" i="15"/>
  <c r="Q113" i="12"/>
  <c r="I142" i="11"/>
  <c r="AP126" i="15"/>
  <c r="I113" i="12"/>
  <c r="BK137" i="11"/>
  <c r="BK108" i="12"/>
  <c r="CR120" i="15"/>
  <c r="BC137" i="11"/>
  <c r="CJ120" i="15"/>
  <c r="BC108" i="12"/>
  <c r="AU137" i="11"/>
  <c r="CB120" i="15"/>
  <c r="AU108" i="12"/>
  <c r="AM137" i="11"/>
  <c r="BT120" i="15"/>
  <c r="AM108" i="12"/>
  <c r="AE137" i="11"/>
  <c r="AE108" i="12"/>
  <c r="BL120" i="15"/>
  <c r="W137" i="11"/>
  <c r="BD120" i="15"/>
  <c r="W108" i="12"/>
  <c r="O137" i="11"/>
  <c r="O108" i="12"/>
  <c r="AV120" i="15"/>
  <c r="BJ73" i="12"/>
  <c r="BJ105" i="11"/>
  <c r="BB73" i="12"/>
  <c r="BB105" i="11"/>
  <c r="AT73" i="12"/>
  <c r="AT105" i="11"/>
  <c r="AL73" i="12"/>
  <c r="AL105" i="11"/>
  <c r="AD73" i="12"/>
  <c r="AD105" i="11"/>
  <c r="V73" i="12"/>
  <c r="V105" i="11"/>
  <c r="N73" i="12"/>
  <c r="N105" i="11"/>
  <c r="F73" i="12"/>
  <c r="F105" i="11"/>
  <c r="BH74" i="12"/>
  <c r="BH106" i="11"/>
  <c r="AZ74" i="12"/>
  <c r="AZ106" i="11"/>
  <c r="AR74" i="12"/>
  <c r="AR106" i="11"/>
  <c r="AJ74" i="12"/>
  <c r="AJ106" i="11"/>
  <c r="AB74" i="12"/>
  <c r="AB106" i="11"/>
  <c r="T74" i="12"/>
  <c r="T106" i="11"/>
  <c r="L74" i="12"/>
  <c r="L106" i="11"/>
  <c r="D74" i="12"/>
  <c r="D106" i="11"/>
  <c r="BF75" i="12"/>
  <c r="BF107" i="11"/>
  <c r="AX75" i="12"/>
  <c r="AX107" i="11"/>
  <c r="AP75" i="12"/>
  <c r="AP107" i="11"/>
  <c r="AH75" i="12"/>
  <c r="AH107" i="11"/>
  <c r="Z75" i="12"/>
  <c r="Z107" i="11"/>
  <c r="R75" i="12"/>
  <c r="R107" i="11"/>
  <c r="J75" i="12"/>
  <c r="J107" i="11"/>
  <c r="BL109" i="11"/>
  <c r="BD109" i="11"/>
  <c r="AV109" i="11"/>
  <c r="AN109" i="11"/>
  <c r="AF109" i="11"/>
  <c r="X109" i="11"/>
  <c r="P109" i="11"/>
  <c r="H109" i="11"/>
  <c r="BJ108" i="11"/>
  <c r="BB108" i="11"/>
  <c r="AT108" i="11"/>
  <c r="AL108" i="11"/>
  <c r="AD108" i="11"/>
  <c r="W77" i="12"/>
  <c r="V108" i="11"/>
  <c r="O77" i="12"/>
  <c r="N108" i="11"/>
  <c r="G77" i="12"/>
  <c r="F108" i="11"/>
  <c r="CJ142" i="11"/>
  <c r="DQ126" i="15"/>
  <c r="CJ113" i="12"/>
  <c r="CB142" i="11"/>
  <c r="DI126" i="15"/>
  <c r="CB113" i="12"/>
  <c r="BT142" i="11"/>
  <c r="DA126" i="15"/>
  <c r="BT113" i="12"/>
  <c r="BL142" i="11"/>
  <c r="BL113" i="12"/>
  <c r="CS126" i="15"/>
  <c r="BD142" i="11"/>
  <c r="CK126" i="15"/>
  <c r="BD113" i="12"/>
  <c r="AV142" i="11"/>
  <c r="CC126" i="15"/>
  <c r="AV113" i="12"/>
  <c r="AN142" i="11"/>
  <c r="BU126" i="15"/>
  <c r="AN113" i="12"/>
  <c r="AF142" i="11"/>
  <c r="AF113" i="12"/>
  <c r="BM126" i="15"/>
  <c r="X142" i="11"/>
  <c r="BE126" i="15"/>
  <c r="X113" i="12"/>
  <c r="P142" i="11"/>
  <c r="AW126" i="15"/>
  <c r="P113" i="12"/>
  <c r="H142" i="11"/>
  <c r="AO126" i="15"/>
  <c r="H113" i="12"/>
  <c r="BJ137" i="11"/>
  <c r="CQ120" i="15"/>
  <c r="BJ108" i="12"/>
  <c r="BB137" i="11"/>
  <c r="CI120" i="15"/>
  <c r="BB108" i="12"/>
  <c r="AT137" i="11"/>
  <c r="CA120" i="15"/>
  <c r="AT108" i="12"/>
  <c r="AL137" i="11"/>
  <c r="BS120" i="15"/>
  <c r="AL108" i="12"/>
  <c r="AD137" i="11"/>
  <c r="BK120" i="15"/>
  <c r="AD108" i="12"/>
  <c r="V137" i="11"/>
  <c r="BC120" i="15"/>
  <c r="V108" i="12"/>
  <c r="N137" i="11"/>
  <c r="N108" i="12"/>
  <c r="AU120" i="15"/>
  <c r="F137" i="11"/>
  <c r="AM120" i="15"/>
  <c r="F108" i="12"/>
  <c r="K137" i="11"/>
  <c r="AR120" i="15"/>
  <c r="K108" i="12"/>
  <c r="BI73" i="12"/>
  <c r="BI105" i="11"/>
  <c r="AS73" i="12"/>
  <c r="AS105" i="11"/>
  <c r="AC73" i="12"/>
  <c r="AC105" i="11"/>
  <c r="AQ74" i="12"/>
  <c r="AQ106" i="11"/>
  <c r="AI74" i="12"/>
  <c r="AI106" i="11"/>
  <c r="S74" i="12"/>
  <c r="S106" i="11"/>
  <c r="C74" i="12"/>
  <c r="C106" i="11"/>
  <c r="BM75" i="12"/>
  <c r="BM107" i="11"/>
  <c r="AW75" i="12"/>
  <c r="AW107" i="11"/>
  <c r="AO75" i="12"/>
  <c r="AO107" i="11"/>
  <c r="AG75" i="12"/>
  <c r="AG107" i="11"/>
  <c r="Q75" i="12"/>
  <c r="Q107" i="11"/>
  <c r="I75" i="12"/>
  <c r="I107" i="11"/>
  <c r="BK109" i="11"/>
  <c r="BC109" i="11"/>
  <c r="AM109" i="11"/>
  <c r="AE109" i="11"/>
  <c r="W109" i="11"/>
  <c r="O109" i="11"/>
  <c r="G109" i="11"/>
  <c r="BI108" i="11"/>
  <c r="BA108" i="11"/>
  <c r="AK108" i="11"/>
  <c r="V77" i="12"/>
  <c r="U108" i="11"/>
  <c r="N77" i="12"/>
  <c r="M108" i="11"/>
  <c r="CI142" i="11"/>
  <c r="CI113" i="12"/>
  <c r="DP126" i="15"/>
  <c r="CA142" i="11"/>
  <c r="CA113" i="12"/>
  <c r="DH126" i="15"/>
  <c r="BS142" i="11"/>
  <c r="CZ126" i="15"/>
  <c r="BS113" i="12"/>
  <c r="BK142" i="11"/>
  <c r="BK113" i="12"/>
  <c r="CR126" i="15"/>
  <c r="BC142" i="11"/>
  <c r="BC113" i="12"/>
  <c r="CJ126" i="15"/>
  <c r="AU142" i="11"/>
  <c r="AU113" i="12"/>
  <c r="CB126" i="15"/>
  <c r="AE142" i="11"/>
  <c r="AE113" i="12"/>
  <c r="BL126" i="15"/>
  <c r="W142" i="11"/>
  <c r="W113" i="12"/>
  <c r="BD126" i="15"/>
  <c r="O142" i="11"/>
  <c r="O113" i="12"/>
  <c r="AV126" i="15"/>
  <c r="G142" i="11"/>
  <c r="AN126" i="15"/>
  <c r="G113" i="12"/>
  <c r="AK137" i="11"/>
  <c r="BR120" i="15"/>
  <c r="AK108" i="12"/>
  <c r="BA170" i="13"/>
  <c r="CA138" i="15" s="1"/>
  <c r="BO170" i="13"/>
  <c r="CO138" i="15" s="1"/>
  <c r="BM170" i="13"/>
  <c r="CM138" i="15" s="1"/>
  <c r="AC170" i="13"/>
  <c r="BC138" i="15" s="1"/>
  <c r="Q170" i="13"/>
  <c r="AQ138" i="15" s="1"/>
  <c r="E170" i="13"/>
  <c r="BL170" i="13"/>
  <c r="CL138" i="15" s="1"/>
  <c r="AN170" i="13"/>
  <c r="BN138" i="15" s="1"/>
  <c r="AB170" i="13"/>
  <c r="BB138" i="15" s="1"/>
  <c r="P170" i="13"/>
  <c r="AP138" i="15" s="1"/>
  <c r="D170" i="13"/>
  <c r="U170" i="13"/>
  <c r="AU138" i="15" s="1"/>
  <c r="BC170" i="13"/>
  <c r="CC138" i="15" s="1"/>
  <c r="AQ170" i="13"/>
  <c r="BQ138" i="15" s="1"/>
  <c r="AE170" i="13"/>
  <c r="BE138" i="15" s="1"/>
  <c r="S170" i="13"/>
  <c r="AS138" i="15" s="1"/>
  <c r="BN170" i="13"/>
  <c r="CN138" i="15" s="1"/>
  <c r="BB170" i="13"/>
  <c r="CB138" i="15" s="1"/>
  <c r="AP170" i="13"/>
  <c r="BP138" i="15" s="1"/>
  <c r="AD170" i="13"/>
  <c r="BD138" i="15" s="1"/>
  <c r="R170" i="13"/>
  <c r="AR138" i="15" s="1"/>
  <c r="F170" i="13"/>
  <c r="AO170" i="13"/>
  <c r="BO138" i="15" s="1"/>
  <c r="AZ170" i="13"/>
  <c r="BZ138" i="15" s="1"/>
  <c r="AW170" i="13"/>
  <c r="BW138" i="15" s="1"/>
  <c r="AK170" i="13"/>
  <c r="BK138" i="15" s="1"/>
  <c r="M170" i="13"/>
  <c r="AM138" i="15" s="1"/>
  <c r="BI170" i="13"/>
  <c r="CI138" i="15" s="1"/>
  <c r="Y170" i="13"/>
  <c r="AY138" i="15" s="1"/>
  <c r="BR170" i="13"/>
  <c r="CR138" i="15" s="1"/>
  <c r="AT170" i="13"/>
  <c r="BT138" i="15" s="1"/>
  <c r="AH170" i="13"/>
  <c r="BH138" i="15" s="1"/>
  <c r="J170" i="13"/>
  <c r="BQ170" i="13"/>
  <c r="CQ138" i="15" s="1"/>
  <c r="BE170" i="13"/>
  <c r="CE138" i="15" s="1"/>
  <c r="AG170" i="13"/>
  <c r="BG138" i="15" s="1"/>
  <c r="G170" i="13"/>
  <c r="BK170" i="13"/>
  <c r="CK138" i="15" s="1"/>
  <c r="AY170" i="13"/>
  <c r="BY138" i="15" s="1"/>
  <c r="AM170" i="13"/>
  <c r="BM138" i="15" s="1"/>
  <c r="AA170" i="13"/>
  <c r="BA138" i="15" s="1"/>
  <c r="O170" i="13"/>
  <c r="AO138" i="15" s="1"/>
  <c r="C170" i="13"/>
  <c r="BP170" i="13"/>
  <c r="CP138" i="15" s="1"/>
  <c r="BD170" i="13"/>
  <c r="CD138" i="15" s="1"/>
  <c r="AR170" i="13"/>
  <c r="BR138" i="15" s="1"/>
  <c r="AF170" i="13"/>
  <c r="BF138" i="15" s="1"/>
  <c r="T170" i="13"/>
  <c r="AT138" i="15" s="1"/>
  <c r="H170" i="13"/>
  <c r="AL133" i="13"/>
  <c r="AE102" i="11" s="1"/>
  <c r="AE101" i="11" s="1"/>
  <c r="V170" i="13"/>
  <c r="AV138" i="15" s="1"/>
  <c r="BF170" i="13"/>
  <c r="CF138" i="15" s="1"/>
  <c r="AS170" i="13"/>
  <c r="BS138" i="15" s="1"/>
  <c r="I170" i="13"/>
  <c r="AW133" i="13"/>
  <c r="AK133" i="13"/>
  <c r="M133" i="13"/>
  <c r="F102" i="11" s="1"/>
  <c r="F101" i="11" s="1"/>
  <c r="BJ170" i="13"/>
  <c r="CJ138" i="15" s="1"/>
  <c r="AX170" i="13"/>
  <c r="BX138" i="15" s="1"/>
  <c r="AL170" i="13"/>
  <c r="BL138" i="15" s="1"/>
  <c r="Z170" i="13"/>
  <c r="AZ138" i="15" s="1"/>
  <c r="N170" i="13"/>
  <c r="AN138" i="15" s="1"/>
  <c r="BT170" i="13"/>
  <c r="CT138" i="15" s="1"/>
  <c r="BH170" i="13"/>
  <c r="CH138" i="15" s="1"/>
  <c r="AV170" i="13"/>
  <c r="BV138" i="15" s="1"/>
  <c r="AJ170" i="13"/>
  <c r="BJ138" i="15" s="1"/>
  <c r="X170" i="13"/>
  <c r="AX138" i="15" s="1"/>
  <c r="L170" i="13"/>
  <c r="BS170" i="13"/>
  <c r="CS138" i="15" s="1"/>
  <c r="BG170" i="13"/>
  <c r="CG138" i="15" s="1"/>
  <c r="AU170" i="13"/>
  <c r="BU138" i="15" s="1"/>
  <c r="AI170" i="13"/>
  <c r="BI138" i="15" s="1"/>
  <c r="W170" i="13"/>
  <c r="AW138" i="15" s="1"/>
  <c r="K170" i="13"/>
  <c r="AJ133" i="13"/>
  <c r="AC102" i="11" s="1"/>
  <c r="AC101" i="11" s="1"/>
  <c r="BS133" i="13"/>
  <c r="W133" i="13"/>
  <c r="P102" i="11" s="1"/>
  <c r="P101" i="11" s="1"/>
  <c r="BE133" i="13"/>
  <c r="AX102" i="11" s="1"/>
  <c r="AX101" i="11" s="1"/>
  <c r="AM133" i="13"/>
  <c r="AF102" i="11" s="1"/>
  <c r="AF101" i="11" s="1"/>
  <c r="BP133" i="13"/>
  <c r="BI102" i="11" s="1"/>
  <c r="BI101" i="11" s="1"/>
  <c r="BD133" i="13"/>
  <c r="AW102" i="11" s="1"/>
  <c r="AW101" i="11" s="1"/>
  <c r="AR133" i="13"/>
  <c r="AK102" i="11" s="1"/>
  <c r="AK101" i="11" s="1"/>
  <c r="AX133" i="13"/>
  <c r="AQ102" i="11" s="1"/>
  <c r="AQ101" i="11" s="1"/>
  <c r="N133" i="13"/>
  <c r="G102" i="11" s="1"/>
  <c r="G101" i="11" s="1"/>
  <c r="BT133" i="13"/>
  <c r="X133" i="13"/>
  <c r="Q102" i="11" s="1"/>
  <c r="Q101" i="11" s="1"/>
  <c r="BG133" i="13"/>
  <c r="AZ102" i="11" s="1"/>
  <c r="AZ101" i="11" s="1"/>
  <c r="K133" i="13"/>
  <c r="D102" i="11" s="1"/>
  <c r="D101" i="11" s="1"/>
  <c r="BQ133" i="13"/>
  <c r="BJ102" i="11" s="1"/>
  <c r="BJ101" i="11" s="1"/>
  <c r="U133" i="13"/>
  <c r="N102" i="11" s="1"/>
  <c r="N101" i="11" s="1"/>
  <c r="T133" i="13"/>
  <c r="M102" i="11" s="1"/>
  <c r="M101" i="11" s="1"/>
  <c r="AV133" i="13"/>
  <c r="AO102" i="11" s="1"/>
  <c r="AO101" i="11" s="1"/>
  <c r="AI133" i="13"/>
  <c r="AB102" i="11" s="1"/>
  <c r="AB101" i="11" s="1"/>
  <c r="AG133" i="13"/>
  <c r="Z102" i="11" s="1"/>
  <c r="Z101" i="11" s="1"/>
  <c r="AF133" i="13"/>
  <c r="Y102" i="11" s="1"/>
  <c r="Y101" i="11" s="1"/>
  <c r="BK133" i="13"/>
  <c r="BD102" i="11" s="1"/>
  <c r="BD101" i="11" s="1"/>
  <c r="AY133" i="13"/>
  <c r="AR102" i="11" s="1"/>
  <c r="AR101" i="11" s="1"/>
  <c r="AA133" i="13"/>
  <c r="T102" i="11" s="1"/>
  <c r="T101" i="11" s="1"/>
  <c r="O133" i="13"/>
  <c r="H102" i="11" s="1"/>
  <c r="H101" i="11" s="1"/>
  <c r="BI133" i="13"/>
  <c r="Y133" i="13"/>
  <c r="R102" i="11" s="1"/>
  <c r="R101" i="11" s="1"/>
  <c r="BH133" i="13"/>
  <c r="BA102" i="11" s="1"/>
  <c r="BA101" i="11" s="1"/>
  <c r="L133" i="13"/>
  <c r="E102" i="11" s="1"/>
  <c r="E101" i="11" s="1"/>
  <c r="AU133" i="13"/>
  <c r="AN102" i="11" s="1"/>
  <c r="AN101" i="11" s="1"/>
  <c r="AS133" i="13"/>
  <c r="AL102" i="11" s="1"/>
  <c r="AL101" i="11" s="1"/>
  <c r="I133" i="13"/>
  <c r="AI80" i="15" s="1"/>
  <c r="C133" i="13"/>
  <c r="AC80" i="15" s="1"/>
  <c r="H133" i="13"/>
  <c r="AH80" i="15" s="1"/>
  <c r="BJ133" i="13"/>
  <c r="BC102" i="11" s="1"/>
  <c r="BC101" i="11" s="1"/>
  <c r="Z133" i="13"/>
  <c r="S102" i="11" s="1"/>
  <c r="S101" i="11" s="1"/>
  <c r="AT133" i="13"/>
  <c r="V133" i="13"/>
  <c r="O102" i="11" s="1"/>
  <c r="O101" i="11" s="1"/>
  <c r="AQ133" i="13"/>
  <c r="G133" i="13"/>
  <c r="AG80" i="15" s="1"/>
  <c r="BN133" i="13"/>
  <c r="BG102" i="11" s="1"/>
  <c r="BG101" i="11" s="1"/>
  <c r="AP133" i="13"/>
  <c r="AI102" i="11" s="1"/>
  <c r="AI101" i="11" s="1"/>
  <c r="F133" i="13"/>
  <c r="AF80" i="15" s="1"/>
  <c r="BF133" i="13"/>
  <c r="J133" i="13"/>
  <c r="C102" i="11" s="1"/>
  <c r="C101" i="11" s="1"/>
  <c r="BO133" i="13"/>
  <c r="AE133" i="13"/>
  <c r="X102" i="11" s="1"/>
  <c r="X101" i="11" s="1"/>
  <c r="R133" i="13"/>
  <c r="K102" i="11" s="1"/>
  <c r="K101" i="11" s="1"/>
  <c r="BA133" i="13"/>
  <c r="AT102" i="11" s="1"/>
  <c r="AT101" i="11" s="1"/>
  <c r="Q133" i="13"/>
  <c r="J102" i="11" s="1"/>
  <c r="J101" i="11" s="1"/>
  <c r="AN133" i="13"/>
  <c r="P133" i="13"/>
  <c r="I102" i="11" s="1"/>
  <c r="I101" i="11" s="1"/>
  <c r="BR133" i="13"/>
  <c r="AD133" i="13"/>
  <c r="W102" i="11" s="1"/>
  <c r="W101" i="11" s="1"/>
  <c r="BM133" i="13"/>
  <c r="BF102" i="11" s="1"/>
  <c r="BF101" i="11" s="1"/>
  <c r="AC133" i="13"/>
  <c r="V102" i="11" s="1"/>
  <c r="V101" i="11" s="1"/>
  <c r="AZ133" i="13"/>
  <c r="D133" i="13"/>
  <c r="AD80" i="15" s="1"/>
  <c r="AH133" i="13"/>
  <c r="AA102" i="11" s="1"/>
  <c r="AA101" i="11" s="1"/>
  <c r="BC133" i="13"/>
  <c r="S133" i="13"/>
  <c r="L102" i="11" s="1"/>
  <c r="L101" i="11" s="1"/>
  <c r="BB133" i="13"/>
  <c r="AU102" i="11" s="1"/>
  <c r="AU101" i="11" s="1"/>
  <c r="AO133" i="13"/>
  <c r="AH102" i="11" s="1"/>
  <c r="AH101" i="11" s="1"/>
  <c r="E133" i="13"/>
  <c r="AE80" i="15" s="1"/>
  <c r="BL133" i="13"/>
  <c r="AB133" i="13"/>
  <c r="U102" i="11" s="1"/>
  <c r="U101" i="11" s="1"/>
  <c r="CO121" i="11" l="1"/>
  <c r="CW145" i="13"/>
  <c r="CP122" i="11"/>
  <c r="CP121" i="11" s="1"/>
  <c r="CP92" i="12"/>
  <c r="CR123" i="11"/>
  <c r="DW561" i="2"/>
  <c r="DW560" i="2" s="1"/>
  <c r="CX146" i="13"/>
  <c r="EA146" i="13" s="1"/>
  <c r="DZ565" i="2"/>
  <c r="DA149" i="13" s="1"/>
  <c r="EB149" i="13" s="1"/>
  <c r="DY564" i="2"/>
  <c r="CZ148" i="13" s="1"/>
  <c r="DX562" i="2"/>
  <c r="DY563" i="2"/>
  <c r="CZ147" i="13" s="1"/>
  <c r="DZ127" i="11"/>
  <c r="DX127" i="11"/>
  <c r="EB126" i="11"/>
  <c r="DY127" i="11"/>
  <c r="DY126" i="11"/>
  <c r="DZ126" i="11"/>
  <c r="DX126" i="11"/>
  <c r="EA126" i="11"/>
  <c r="DD109" i="11"/>
  <c r="DC105" i="11"/>
  <c r="DE74" i="12"/>
  <c r="DF73" i="12"/>
  <c r="DH74" i="12"/>
  <c r="DH106" i="11"/>
  <c r="EK138" i="15"/>
  <c r="EO138" i="15"/>
  <c r="EP138" i="15"/>
  <c r="EG138" i="15"/>
  <c r="EL138" i="15"/>
  <c r="EH138" i="15"/>
  <c r="EJ138" i="15"/>
  <c r="EF138" i="15"/>
  <c r="EN138" i="15"/>
  <c r="EQ138" i="15"/>
  <c r="EI138" i="15"/>
  <c r="EM138" i="15"/>
  <c r="DF108" i="12"/>
  <c r="DJ108" i="12"/>
  <c r="DP142" i="11"/>
  <c r="DA74" i="12"/>
  <c r="DB77" i="12"/>
  <c r="DB137" i="11"/>
  <c r="DH108" i="12"/>
  <c r="DB73" i="12"/>
  <c r="DF113" i="12"/>
  <c r="DE142" i="11"/>
  <c r="DC73" i="12"/>
  <c r="DX96" i="12"/>
  <c r="CZ76" i="12"/>
  <c r="DH137" i="11"/>
  <c r="DH76" i="12"/>
  <c r="DJ73" i="12"/>
  <c r="DF105" i="11"/>
  <c r="DF142" i="11"/>
  <c r="DF77" i="12"/>
  <c r="EH132" i="18"/>
  <c r="DG108" i="12"/>
  <c r="DF137" i="11"/>
  <c r="DQ142" i="11"/>
  <c r="EB96" i="12"/>
  <c r="EF138" i="13"/>
  <c r="DJ137" i="11"/>
  <c r="DD74" i="12"/>
  <c r="CZ137" i="11"/>
  <c r="DC137" i="11"/>
  <c r="DP113" i="12"/>
  <c r="DD76" i="12"/>
  <c r="DG77" i="12"/>
  <c r="CY137" i="11"/>
  <c r="DM142" i="11"/>
  <c r="DN113" i="12"/>
  <c r="DN142" i="11"/>
  <c r="DQ133" i="13"/>
  <c r="EH145" i="13"/>
  <c r="EG171" i="13"/>
  <c r="EG135" i="13"/>
  <c r="CY75" i="12"/>
  <c r="DQ113" i="12"/>
  <c r="DG170" i="13"/>
  <c r="DC77" i="12"/>
  <c r="DB74" i="12"/>
  <c r="DJ113" i="12"/>
  <c r="CY108" i="12"/>
  <c r="CZ142" i="11"/>
  <c r="DH113" i="12"/>
  <c r="DI76" i="12"/>
  <c r="DI142" i="11"/>
  <c r="DZ96" i="12"/>
  <c r="EG134" i="13"/>
  <c r="EA96" i="12"/>
  <c r="DK170" i="13"/>
  <c r="DH77" i="12"/>
  <c r="DO170" i="13"/>
  <c r="DG75" i="12"/>
  <c r="EE135" i="13"/>
  <c r="DG73" i="12"/>
  <c r="CZ113" i="12"/>
  <c r="DF75" i="12"/>
  <c r="DC142" i="11"/>
  <c r="EE172" i="13"/>
  <c r="FE159" i="18"/>
  <c r="EG132" i="18"/>
  <c r="AM102" i="11"/>
  <c r="DI133" i="13"/>
  <c r="DI170" i="13"/>
  <c r="DC113" i="12"/>
  <c r="DI75" i="12"/>
  <c r="CY74" i="12"/>
  <c r="DA113" i="12"/>
  <c r="DG76" i="12"/>
  <c r="DA137" i="11"/>
  <c r="DO142" i="11"/>
  <c r="DD137" i="11"/>
  <c r="CY77" i="12"/>
  <c r="EG161" i="13"/>
  <c r="EH164" i="13"/>
  <c r="EE136" i="13"/>
  <c r="EE134" i="13"/>
  <c r="AP102" i="11"/>
  <c r="DJ133" i="13"/>
  <c r="AV102" i="11"/>
  <c r="DL133" i="13"/>
  <c r="AY102" i="11"/>
  <c r="DM133" i="13"/>
  <c r="DI74" i="12"/>
  <c r="CY73" i="12"/>
  <c r="DK113" i="12"/>
  <c r="CZ77" i="12"/>
  <c r="DI113" i="12"/>
  <c r="DL142" i="11"/>
  <c r="DI137" i="11"/>
  <c r="DI73" i="12"/>
  <c r="DH75" i="12"/>
  <c r="AY118" i="11"/>
  <c r="DF118" i="11" s="1"/>
  <c r="DM144" i="13"/>
  <c r="EF172" i="13"/>
  <c r="BE118" i="11"/>
  <c r="DH118" i="11" s="1"/>
  <c r="DO144" i="13"/>
  <c r="EE171" i="13"/>
  <c r="EE145" i="13"/>
  <c r="EG136" i="13"/>
  <c r="AJ102" i="11"/>
  <c r="DH133" i="13"/>
  <c r="BH102" i="11"/>
  <c r="DP133" i="13"/>
  <c r="DQ170" i="13"/>
  <c r="DH170" i="13"/>
  <c r="AG102" i="11"/>
  <c r="DG133" i="13"/>
  <c r="DL170" i="13"/>
  <c r="CZ75" i="12"/>
  <c r="DE113" i="12"/>
  <c r="DA75" i="12"/>
  <c r="DA142" i="11"/>
  <c r="DB75" i="12"/>
  <c r="DB76" i="12"/>
  <c r="DB113" i="12"/>
  <c r="EE161" i="13"/>
  <c r="EG145" i="13"/>
  <c r="EF145" i="13"/>
  <c r="AG118" i="11"/>
  <c r="CZ118" i="11" s="1"/>
  <c r="DG144" i="13"/>
  <c r="AD118" i="11"/>
  <c r="CY118" i="11" s="1"/>
  <c r="DF144" i="13"/>
  <c r="BB102" i="11"/>
  <c r="DN133" i="13"/>
  <c r="DM170" i="13"/>
  <c r="DN170" i="13"/>
  <c r="CZ73" i="12"/>
  <c r="DE108" i="12"/>
  <c r="DK142" i="11"/>
  <c r="DI77" i="12"/>
  <c r="DJ76" i="12"/>
  <c r="DA73" i="12"/>
  <c r="BB118" i="11"/>
  <c r="DG118" i="11" s="1"/>
  <c r="DN144" i="13"/>
  <c r="AJ118" i="11"/>
  <c r="DA118" i="11" s="1"/>
  <c r="DH144" i="13"/>
  <c r="BE102" i="11"/>
  <c r="DO133" i="13"/>
  <c r="AS102" i="11"/>
  <c r="DK133" i="13"/>
  <c r="DJ142" i="11"/>
  <c r="DR113" i="12"/>
  <c r="DD73" i="12"/>
  <c r="DC107" i="11"/>
  <c r="DH142" i="11"/>
  <c r="DE77" i="12"/>
  <c r="DC76" i="12"/>
  <c r="CZ108" i="12"/>
  <c r="CZ108" i="11"/>
  <c r="DD75" i="12"/>
  <c r="DJ74" i="12"/>
  <c r="DE137" i="11"/>
  <c r="DE73" i="12"/>
  <c r="DH73" i="12"/>
  <c r="DD113" i="12"/>
  <c r="DB142" i="11"/>
  <c r="BH118" i="11"/>
  <c r="DI118" i="11" s="1"/>
  <c r="DP144" i="13"/>
  <c r="EF135" i="13"/>
  <c r="AV118" i="11"/>
  <c r="DE118" i="11" s="1"/>
  <c r="DL144" i="13"/>
  <c r="EG172" i="13"/>
  <c r="AD102" i="11"/>
  <c r="DF133" i="13"/>
  <c r="DM113" i="12"/>
  <c r="DJ77" i="12"/>
  <c r="DB108" i="12"/>
  <c r="DF170" i="13"/>
  <c r="DP170" i="13"/>
  <c r="DR142" i="11"/>
  <c r="EI132" i="18"/>
  <c r="DC75" i="12"/>
  <c r="DF76" i="12"/>
  <c r="DA76" i="12"/>
  <c r="CY113" i="12"/>
  <c r="DC74" i="12"/>
  <c r="DE76" i="12"/>
  <c r="EA125" i="11"/>
  <c r="DY125" i="11"/>
  <c r="DX124" i="11"/>
  <c r="EG138" i="13"/>
  <c r="AM118" i="11"/>
  <c r="DB118" i="11" s="1"/>
  <c r="DI144" i="13"/>
  <c r="EI145" i="13"/>
  <c r="EF161" i="13"/>
  <c r="EF137" i="13"/>
  <c r="BK118" i="11"/>
  <c r="DJ118" i="11" s="1"/>
  <c r="DQ144" i="13"/>
  <c r="EF171" i="13"/>
  <c r="AP118" i="11"/>
  <c r="DC118" i="11" s="1"/>
  <c r="DJ144" i="13"/>
  <c r="DJ170" i="13"/>
  <c r="DG137" i="11"/>
  <c r="DG74" i="12"/>
  <c r="DJ75" i="12"/>
  <c r="DD142" i="11"/>
  <c r="DA108" i="12"/>
  <c r="CY142" i="11"/>
  <c r="DG113" i="12"/>
  <c r="EF132" i="18"/>
  <c r="DD108" i="12"/>
  <c r="EG164" i="13"/>
  <c r="EF134" i="13"/>
  <c r="EG137" i="13"/>
  <c r="EE138" i="13"/>
  <c r="CZ74" i="12"/>
  <c r="CY76" i="12"/>
  <c r="DC108" i="12"/>
  <c r="DL113" i="12"/>
  <c r="DA77" i="12"/>
  <c r="DI108" i="12"/>
  <c r="DG142" i="11"/>
  <c r="DO113" i="12"/>
  <c r="DD77" i="12"/>
  <c r="DE75" i="12"/>
  <c r="DF74" i="12"/>
  <c r="EI164" i="13"/>
  <c r="DY96" i="12"/>
  <c r="EF136" i="13"/>
  <c r="EE137" i="13"/>
  <c r="EF164" i="13"/>
  <c r="EE164" i="13"/>
  <c r="CY107" i="11"/>
  <c r="DG106" i="11"/>
  <c r="DB108" i="11"/>
  <c r="DB105" i="11"/>
  <c r="DZ125" i="11"/>
  <c r="DZ124" i="11"/>
  <c r="CZ107" i="11"/>
  <c r="DA107" i="11"/>
  <c r="DE109" i="11"/>
  <c r="DD107" i="11"/>
  <c r="DE105" i="11"/>
  <c r="DH105" i="11"/>
  <c r="DX125" i="11"/>
  <c r="DJ105" i="11"/>
  <c r="DG108" i="11"/>
  <c r="DI106" i="11"/>
  <c r="CY105" i="11"/>
  <c r="DI109" i="11"/>
  <c r="DC109" i="11"/>
  <c r="DJ109" i="11"/>
  <c r="CY108" i="11"/>
  <c r="DA106" i="11"/>
  <c r="CZ105" i="11"/>
  <c r="DI108" i="11"/>
  <c r="DA105" i="11"/>
  <c r="EB124" i="11"/>
  <c r="DD105" i="11"/>
  <c r="DJ106" i="11"/>
  <c r="EA124" i="11"/>
  <c r="DH109" i="11"/>
  <c r="DF107" i="11"/>
  <c r="DC106" i="11"/>
  <c r="DD106" i="11"/>
  <c r="DC108" i="11"/>
  <c r="DE106" i="11"/>
  <c r="DJ107" i="11"/>
  <c r="CY109" i="11"/>
  <c r="DB109" i="11"/>
  <c r="DA108" i="11"/>
  <c r="DG105" i="11"/>
  <c r="DB106" i="11"/>
  <c r="CZ106" i="11"/>
  <c r="DH108" i="11"/>
  <c r="DF109" i="11"/>
  <c r="DG109" i="11"/>
  <c r="DE107" i="11"/>
  <c r="DF106" i="11"/>
  <c r="DE108" i="11"/>
  <c r="DJ108" i="11"/>
  <c r="CZ109" i="11"/>
  <c r="DA109" i="11"/>
  <c r="DG107" i="11"/>
  <c r="DI107" i="11"/>
  <c r="CY106" i="11"/>
  <c r="DY124" i="11"/>
  <c r="DF108" i="11"/>
  <c r="DI105" i="11"/>
  <c r="DH107" i="11"/>
  <c r="EB125" i="11"/>
  <c r="DB107" i="11"/>
  <c r="DD108" i="11"/>
  <c r="EM126" i="15"/>
  <c r="EM120" i="15"/>
  <c r="EU126" i="15"/>
  <c r="EJ120" i="15"/>
  <c r="EG126" i="15"/>
  <c r="EX126" i="15"/>
  <c r="ER126" i="15"/>
  <c r="EP126" i="15"/>
  <c r="EL126" i="15"/>
  <c r="EF120" i="15"/>
  <c r="ET126" i="15"/>
  <c r="EQ120" i="15"/>
  <c r="EW126" i="15"/>
  <c r="EG120" i="15"/>
  <c r="L152" i="11"/>
  <c r="L123" i="12"/>
  <c r="EO120" i="15"/>
  <c r="EK120" i="15"/>
  <c r="EP120" i="15"/>
  <c r="BK70" i="12"/>
  <c r="BK102" i="11"/>
  <c r="AN152" i="11"/>
  <c r="AN123" i="12"/>
  <c r="BM152" i="11"/>
  <c r="BM123" i="12"/>
  <c r="Y152" i="11"/>
  <c r="Y123" i="12"/>
  <c r="AR152" i="11"/>
  <c r="AR123" i="12"/>
  <c r="AM152" i="11"/>
  <c r="AM123" i="12"/>
  <c r="AH152" i="11"/>
  <c r="AH123" i="12"/>
  <c r="X152" i="11"/>
  <c r="X123" i="12"/>
  <c r="BE152" i="11"/>
  <c r="BE123" i="12"/>
  <c r="AZ152" i="11"/>
  <c r="AZ123" i="12"/>
  <c r="G152" i="11"/>
  <c r="G123" i="12"/>
  <c r="AK152" i="11"/>
  <c r="AK123" i="12"/>
  <c r="BD152" i="11"/>
  <c r="BD123" i="12"/>
  <c r="BK152" i="11"/>
  <c r="BK123" i="12"/>
  <c r="AJ152" i="11"/>
  <c r="AJ123" i="12"/>
  <c r="M152" i="11"/>
  <c r="M123" i="12"/>
  <c r="AF152" i="11"/>
  <c r="AF123" i="12"/>
  <c r="AA152" i="11"/>
  <c r="AA123" i="12"/>
  <c r="AS152" i="11"/>
  <c r="AS123" i="12"/>
  <c r="AG152" i="11"/>
  <c r="AG123" i="12"/>
  <c r="BM70" i="12"/>
  <c r="BM69" i="12" s="1"/>
  <c r="BM102" i="11"/>
  <c r="BM101" i="11" s="1"/>
  <c r="BL152" i="11"/>
  <c r="BL123" i="12"/>
  <c r="S152" i="11"/>
  <c r="S123" i="12"/>
  <c r="AL152" i="11"/>
  <c r="AL123" i="12"/>
  <c r="AW152" i="11"/>
  <c r="AW123" i="12"/>
  <c r="R152" i="11"/>
  <c r="R123" i="12"/>
  <c r="K152" i="11"/>
  <c r="K123" i="12"/>
  <c r="AV152" i="11"/>
  <c r="AV123" i="12"/>
  <c r="J152" i="11"/>
  <c r="J123" i="12"/>
  <c r="EQ126" i="15"/>
  <c r="EK126" i="15"/>
  <c r="EO126" i="15"/>
  <c r="AB152" i="11"/>
  <c r="AB123" i="12"/>
  <c r="BA152" i="11"/>
  <c r="BA123" i="12"/>
  <c r="BL70" i="12"/>
  <c r="BL69" i="12" s="1"/>
  <c r="BL102" i="11"/>
  <c r="BL101" i="11" s="1"/>
  <c r="E152" i="11"/>
  <c r="E123" i="12"/>
  <c r="AE152" i="11"/>
  <c r="AE123" i="12"/>
  <c r="AY152" i="11"/>
  <c r="AY123" i="12"/>
  <c r="BI152" i="11"/>
  <c r="BI123" i="12"/>
  <c r="Z152" i="11"/>
  <c r="Z123" i="12"/>
  <c r="BB152" i="11"/>
  <c r="BB123" i="12"/>
  <c r="W152" i="11"/>
  <c r="W123" i="12"/>
  <c r="N152" i="11"/>
  <c r="N123" i="12"/>
  <c r="EY126" i="15"/>
  <c r="F152" i="11"/>
  <c r="F123" i="12"/>
  <c r="EF126" i="15"/>
  <c r="EI126" i="15"/>
  <c r="V152" i="11"/>
  <c r="V123" i="12"/>
  <c r="D152" i="11"/>
  <c r="D123" i="12"/>
  <c r="AC152" i="11"/>
  <c r="AC123" i="12"/>
  <c r="BC152" i="11"/>
  <c r="BC123" i="12"/>
  <c r="H152" i="11"/>
  <c r="H123" i="12"/>
  <c r="BJ152" i="11"/>
  <c r="BJ123" i="12"/>
  <c r="AD152" i="11"/>
  <c r="AD123" i="12"/>
  <c r="AU152" i="11"/>
  <c r="AU123" i="12"/>
  <c r="I152" i="11"/>
  <c r="I123" i="12"/>
  <c r="BH152" i="11"/>
  <c r="BH123" i="12"/>
  <c r="EI120" i="15"/>
  <c r="EJ126" i="15"/>
  <c r="EN126" i="15"/>
  <c r="Q152" i="11"/>
  <c r="Q123" i="12"/>
  <c r="AQ152" i="11"/>
  <c r="AQ123" i="12"/>
  <c r="O152" i="11"/>
  <c r="O123" i="12"/>
  <c r="AX152" i="11"/>
  <c r="AX123" i="12"/>
  <c r="AI152" i="11"/>
  <c r="AI123" i="12"/>
  <c r="BF152" i="11"/>
  <c r="BF123" i="12"/>
  <c r="P152" i="11"/>
  <c r="P123" i="12"/>
  <c r="AO152" i="11"/>
  <c r="AO123" i="12"/>
  <c r="T152" i="11"/>
  <c r="T123" i="12"/>
  <c r="C152" i="11"/>
  <c r="C123" i="12"/>
  <c r="AP152" i="11"/>
  <c r="AP123" i="12"/>
  <c r="BG152" i="11"/>
  <c r="BG123" i="12"/>
  <c r="U152" i="11"/>
  <c r="U123" i="12"/>
  <c r="AT152" i="11"/>
  <c r="AT123" i="12"/>
  <c r="EN120" i="15"/>
  <c r="EL120" i="15"/>
  <c r="EH126" i="15"/>
  <c r="EV126" i="15"/>
  <c r="ES126" i="15"/>
  <c r="EH120" i="15"/>
  <c r="CK80" i="15"/>
  <c r="BD70" i="12"/>
  <c r="BD69" i="12" s="1"/>
  <c r="BF80" i="15"/>
  <c r="Y70" i="12"/>
  <c r="Y69" i="12" s="1"/>
  <c r="CF80" i="15"/>
  <c r="AY70" i="12"/>
  <c r="CD80" i="15"/>
  <c r="AW70" i="12"/>
  <c r="AW69" i="12" s="1"/>
  <c r="AM80" i="15"/>
  <c r="F70" i="12"/>
  <c r="F69" i="12" s="1"/>
  <c r="BX80" i="15"/>
  <c r="AQ70" i="12"/>
  <c r="AQ69" i="12" s="1"/>
  <c r="BC80" i="15"/>
  <c r="V70" i="12"/>
  <c r="V69" i="12" s="1"/>
  <c r="BI80" i="15"/>
  <c r="AB70" i="12"/>
  <c r="AB69" i="12" s="1"/>
  <c r="BB80" i="15"/>
  <c r="U70" i="12"/>
  <c r="U69" i="12" s="1"/>
  <c r="BV80" i="15"/>
  <c r="AO70" i="12"/>
  <c r="AO69" i="12" s="1"/>
  <c r="CL80" i="15"/>
  <c r="BE70" i="12"/>
  <c r="BS80" i="15"/>
  <c r="AL70" i="12"/>
  <c r="AL69" i="12" s="1"/>
  <c r="BP80" i="15"/>
  <c r="AI70" i="12"/>
  <c r="AI69" i="12" s="1"/>
  <c r="CP80" i="15"/>
  <c r="BI70" i="12"/>
  <c r="BI69" i="12" s="1"/>
  <c r="CN80" i="15"/>
  <c r="BG70" i="12"/>
  <c r="BG69" i="12" s="1"/>
  <c r="AL80" i="15"/>
  <c r="E70" i="12"/>
  <c r="E69" i="12" s="1"/>
  <c r="AT80" i="15"/>
  <c r="M70" i="12"/>
  <c r="M69" i="12" s="1"/>
  <c r="BW80" i="15"/>
  <c r="AP70" i="12"/>
  <c r="AP80" i="15"/>
  <c r="I70" i="12"/>
  <c r="I69" i="12" s="1"/>
  <c r="CH80" i="15"/>
  <c r="BA70" i="12"/>
  <c r="BA69" i="12" s="1"/>
  <c r="BO80" i="15"/>
  <c r="AH70" i="12"/>
  <c r="AH69" i="12" s="1"/>
  <c r="BN80" i="15"/>
  <c r="AG70" i="12"/>
  <c r="BQ80" i="15"/>
  <c r="AJ70" i="12"/>
  <c r="AY80" i="15"/>
  <c r="R70" i="12"/>
  <c r="R69" i="12" s="1"/>
  <c r="CQ80" i="15"/>
  <c r="BJ70" i="12"/>
  <c r="BJ69" i="12" s="1"/>
  <c r="AW80" i="15"/>
  <c r="P70" i="12"/>
  <c r="P69" i="12" s="1"/>
  <c r="BG80" i="15"/>
  <c r="Z70" i="12"/>
  <c r="Z69" i="12" s="1"/>
  <c r="CM80" i="15"/>
  <c r="BF70" i="12"/>
  <c r="BF69" i="12" s="1"/>
  <c r="BD80" i="15"/>
  <c r="W70" i="12"/>
  <c r="W69" i="12" s="1"/>
  <c r="BU80" i="15"/>
  <c r="AN70" i="12"/>
  <c r="AN69" i="12" s="1"/>
  <c r="BK80" i="15"/>
  <c r="AD70" i="12"/>
  <c r="BM80" i="15"/>
  <c r="AF70" i="12"/>
  <c r="AF69" i="12" s="1"/>
  <c r="AN80" i="15"/>
  <c r="G70" i="12"/>
  <c r="G69" i="12" s="1"/>
  <c r="AJ80" i="15"/>
  <c r="C70" i="12"/>
  <c r="C69" i="12" s="1"/>
  <c r="BR80" i="15"/>
  <c r="AK70" i="12"/>
  <c r="AK69" i="12" s="1"/>
  <c r="CE80" i="15"/>
  <c r="AX70" i="12"/>
  <c r="AX69" i="12" s="1"/>
  <c r="AQ80" i="15"/>
  <c r="J70" i="12"/>
  <c r="J69" i="12" s="1"/>
  <c r="AV80" i="15"/>
  <c r="O70" i="12"/>
  <c r="O69" i="12" s="1"/>
  <c r="AK80" i="15"/>
  <c r="D70" i="12"/>
  <c r="D69" i="12" s="1"/>
  <c r="AS80" i="15"/>
  <c r="L70" i="12"/>
  <c r="L69" i="12" s="1"/>
  <c r="CA80" i="15"/>
  <c r="AT70" i="12"/>
  <c r="AT69" i="12" s="1"/>
  <c r="BT80" i="15"/>
  <c r="AM70" i="12"/>
  <c r="AO80" i="15"/>
  <c r="H70" i="12"/>
  <c r="H69" i="12" s="1"/>
  <c r="CG80" i="15"/>
  <c r="AZ70" i="12"/>
  <c r="AZ69" i="12" s="1"/>
  <c r="BJ80" i="15"/>
  <c r="AC70" i="12"/>
  <c r="AC69" i="12" s="1"/>
  <c r="CO80" i="15"/>
  <c r="BH70" i="12"/>
  <c r="AU80" i="15"/>
  <c r="N70" i="12"/>
  <c r="N69" i="12" s="1"/>
  <c r="CB80" i="15"/>
  <c r="AU70" i="12"/>
  <c r="AU69" i="12" s="1"/>
  <c r="CI80" i="15"/>
  <c r="BB70" i="12"/>
  <c r="CC80" i="15"/>
  <c r="AV70" i="12"/>
  <c r="AR80" i="15"/>
  <c r="K70" i="12"/>
  <c r="K69" i="12" s="1"/>
  <c r="AZ80" i="15"/>
  <c r="S70" i="12"/>
  <c r="S69" i="12" s="1"/>
  <c r="BA80" i="15"/>
  <c r="T70" i="12"/>
  <c r="T69" i="12" s="1"/>
  <c r="AX80" i="15"/>
  <c r="Q70" i="12"/>
  <c r="Q69" i="12" s="1"/>
  <c r="BL80" i="15"/>
  <c r="AE70" i="12"/>
  <c r="AE69" i="12" s="1"/>
  <c r="BZ80" i="15"/>
  <c r="AS70" i="12"/>
  <c r="BH80" i="15"/>
  <c r="AA70" i="12"/>
  <c r="AA69" i="12" s="1"/>
  <c r="BE80" i="15"/>
  <c r="X70" i="12"/>
  <c r="X69" i="12" s="1"/>
  <c r="CJ80" i="15"/>
  <c r="BC70" i="12"/>
  <c r="BC69" i="12" s="1"/>
  <c r="BY80" i="15"/>
  <c r="AR70" i="12"/>
  <c r="AR69" i="12" s="1"/>
  <c r="CR80" i="15"/>
  <c r="CS80" i="15"/>
  <c r="CT80" i="15"/>
  <c r="AZ529" i="2"/>
  <c r="AY529" i="2"/>
  <c r="AX529" i="2"/>
  <c r="AW529" i="2"/>
  <c r="AV529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BU529" i="2"/>
  <c r="BT529" i="2"/>
  <c r="BS529" i="2"/>
  <c r="BR529" i="2"/>
  <c r="BQ529" i="2"/>
  <c r="BP529" i="2"/>
  <c r="BO529" i="2"/>
  <c r="BN529" i="2"/>
  <c r="BM529" i="2"/>
  <c r="BL529" i="2"/>
  <c r="BK529" i="2"/>
  <c r="BJ529" i="2"/>
  <c r="BI529" i="2"/>
  <c r="BH529" i="2"/>
  <c r="BG529" i="2"/>
  <c r="BF529" i="2"/>
  <c r="BE529" i="2"/>
  <c r="BD529" i="2"/>
  <c r="BC529" i="2"/>
  <c r="BB529" i="2"/>
  <c r="BA529" i="2"/>
  <c r="CT545" i="2"/>
  <c r="BU531" i="2"/>
  <c r="BT531" i="2"/>
  <c r="BS531" i="2"/>
  <c r="BR531" i="2"/>
  <c r="BQ531" i="2"/>
  <c r="BP531" i="2"/>
  <c r="BO531" i="2"/>
  <c r="BN531" i="2"/>
  <c r="BM531" i="2"/>
  <c r="BL531" i="2"/>
  <c r="BK531" i="2"/>
  <c r="BJ531" i="2"/>
  <c r="BI531" i="2"/>
  <c r="BH531" i="2"/>
  <c r="BG531" i="2"/>
  <c r="BF531" i="2"/>
  <c r="BE531" i="2"/>
  <c r="BD531" i="2"/>
  <c r="BC531" i="2"/>
  <c r="BB531" i="2"/>
  <c r="BA531" i="2"/>
  <c r="AZ531" i="2"/>
  <c r="AY531" i="2"/>
  <c r="AX531" i="2"/>
  <c r="AW531" i="2"/>
  <c r="AV531" i="2"/>
  <c r="AU531" i="2"/>
  <c r="AT531" i="2"/>
  <c r="AS531" i="2"/>
  <c r="AR531" i="2"/>
  <c r="AQ531" i="2"/>
  <c r="AP531" i="2"/>
  <c r="AO531" i="2"/>
  <c r="AN531" i="2"/>
  <c r="AM531" i="2"/>
  <c r="CR531" i="2"/>
  <c r="CQ531" i="2"/>
  <c r="CP531" i="2"/>
  <c r="CO531" i="2"/>
  <c r="CN531" i="2"/>
  <c r="CM531" i="2"/>
  <c r="CL531" i="2"/>
  <c r="CK531" i="2"/>
  <c r="CJ531" i="2"/>
  <c r="CI531" i="2"/>
  <c r="CH531" i="2"/>
  <c r="CG531" i="2"/>
  <c r="CF531" i="2"/>
  <c r="CE531" i="2"/>
  <c r="CD531" i="2"/>
  <c r="CC531" i="2"/>
  <c r="CB531" i="2"/>
  <c r="CA531" i="2"/>
  <c r="BZ531" i="2"/>
  <c r="BY531" i="2"/>
  <c r="BX531" i="2"/>
  <c r="BW531" i="2"/>
  <c r="BV531" i="2"/>
  <c r="CK529" i="2"/>
  <c r="CJ529" i="2"/>
  <c r="CI529" i="2"/>
  <c r="CH529" i="2"/>
  <c r="CG529" i="2"/>
  <c r="CF529" i="2"/>
  <c r="CE529" i="2"/>
  <c r="CD529" i="2"/>
  <c r="CC529" i="2"/>
  <c r="CB529" i="2"/>
  <c r="CA529" i="2"/>
  <c r="BZ529" i="2"/>
  <c r="BY529" i="2"/>
  <c r="BX529" i="2"/>
  <c r="BW529" i="2"/>
  <c r="BV529" i="2"/>
  <c r="CR529" i="2"/>
  <c r="CQ529" i="2"/>
  <c r="CP529" i="2"/>
  <c r="CO529" i="2"/>
  <c r="CN529" i="2"/>
  <c r="CM529" i="2"/>
  <c r="CL529" i="2"/>
  <c r="CS531" i="2"/>
  <c r="CS529" i="2"/>
  <c r="AC426" i="2"/>
  <c r="AC422" i="2" s="1"/>
  <c r="AD426" i="2"/>
  <c r="AD422" i="2" s="1"/>
  <c r="AE426" i="2"/>
  <c r="AE422" i="2" s="1"/>
  <c r="AF426" i="2"/>
  <c r="AF422" i="2" s="1"/>
  <c r="AG426" i="2"/>
  <c r="AG422" i="2" s="1"/>
  <c r="AH426" i="2"/>
  <c r="AH422" i="2" s="1"/>
  <c r="AI426" i="2"/>
  <c r="AI422" i="2" s="1"/>
  <c r="AJ426" i="2"/>
  <c r="AJ422" i="2" s="1"/>
  <c r="AK426" i="2"/>
  <c r="AK422" i="2" s="1"/>
  <c r="AL426" i="2"/>
  <c r="AL422" i="2" s="1"/>
  <c r="AM426" i="2"/>
  <c r="AM422" i="2" s="1"/>
  <c r="AN426" i="2"/>
  <c r="AN422" i="2" s="1"/>
  <c r="AO426" i="2"/>
  <c r="AO422" i="2" s="1"/>
  <c r="AP426" i="2"/>
  <c r="AP422" i="2" s="1"/>
  <c r="AQ426" i="2"/>
  <c r="AQ422" i="2" s="1"/>
  <c r="AR426" i="2"/>
  <c r="AR422" i="2" s="1"/>
  <c r="AS426" i="2"/>
  <c r="AS422" i="2" s="1"/>
  <c r="AT426" i="2"/>
  <c r="AT422" i="2" s="1"/>
  <c r="AU426" i="2"/>
  <c r="AU422" i="2" s="1"/>
  <c r="AV426" i="2"/>
  <c r="AV422" i="2" s="1"/>
  <c r="AW426" i="2"/>
  <c r="AW422" i="2" s="1"/>
  <c r="AX426" i="2"/>
  <c r="AX422" i="2" s="1"/>
  <c r="AY426" i="2"/>
  <c r="AY422" i="2" s="1"/>
  <c r="AZ426" i="2"/>
  <c r="AZ422" i="2" s="1"/>
  <c r="BA426" i="2"/>
  <c r="BA422" i="2" s="1"/>
  <c r="BB426" i="2"/>
  <c r="BB422" i="2" s="1"/>
  <c r="BC426" i="2"/>
  <c r="BC422" i="2" s="1"/>
  <c r="BD426" i="2"/>
  <c r="BD422" i="2" s="1"/>
  <c r="BE426" i="2"/>
  <c r="BE422" i="2" s="1"/>
  <c r="BF426" i="2"/>
  <c r="BF422" i="2" s="1"/>
  <c r="BG426" i="2"/>
  <c r="BG422" i="2" s="1"/>
  <c r="BH426" i="2"/>
  <c r="BH422" i="2" s="1"/>
  <c r="BI426" i="2"/>
  <c r="BI422" i="2" s="1"/>
  <c r="BJ426" i="2"/>
  <c r="BJ422" i="2" s="1"/>
  <c r="BK426" i="2"/>
  <c r="BK422" i="2" s="1"/>
  <c r="BL426" i="2"/>
  <c r="BL422" i="2" s="1"/>
  <c r="BM426" i="2"/>
  <c r="BM422" i="2" s="1"/>
  <c r="BN426" i="2"/>
  <c r="BN422" i="2" s="1"/>
  <c r="BO426" i="2"/>
  <c r="BO422" i="2" s="1"/>
  <c r="BP426" i="2"/>
  <c r="BP422" i="2" s="1"/>
  <c r="BQ426" i="2"/>
  <c r="BQ422" i="2" s="1"/>
  <c r="BR426" i="2"/>
  <c r="BR422" i="2" s="1"/>
  <c r="BS426" i="2"/>
  <c r="BS422" i="2" s="1"/>
  <c r="BT426" i="2"/>
  <c r="BT422" i="2" s="1"/>
  <c r="BU426" i="2"/>
  <c r="BU422" i="2" s="1"/>
  <c r="BV426" i="2"/>
  <c r="BV422" i="2" s="1"/>
  <c r="BW426" i="2"/>
  <c r="BW422" i="2" s="1"/>
  <c r="BX426" i="2"/>
  <c r="BX422" i="2" s="1"/>
  <c r="BY426" i="2"/>
  <c r="BY422" i="2" s="1"/>
  <c r="BZ426" i="2"/>
  <c r="BZ422" i="2" s="1"/>
  <c r="CA426" i="2"/>
  <c r="CA422" i="2" s="1"/>
  <c r="CB426" i="2"/>
  <c r="CB422" i="2" s="1"/>
  <c r="CC426" i="2"/>
  <c r="CC422" i="2" s="1"/>
  <c r="CD426" i="2"/>
  <c r="CD422" i="2" s="1"/>
  <c r="CE426" i="2"/>
  <c r="CE422" i="2" s="1"/>
  <c r="CF426" i="2"/>
  <c r="CF422" i="2" s="1"/>
  <c r="CG426" i="2"/>
  <c r="CG422" i="2" s="1"/>
  <c r="CH426" i="2"/>
  <c r="CH422" i="2" s="1"/>
  <c r="CI426" i="2"/>
  <c r="CI422" i="2" s="1"/>
  <c r="CJ426" i="2"/>
  <c r="CJ422" i="2" s="1"/>
  <c r="CK426" i="2"/>
  <c r="CK422" i="2" s="1"/>
  <c r="CL426" i="2"/>
  <c r="CL422" i="2" s="1"/>
  <c r="CM426" i="2"/>
  <c r="CM422" i="2" s="1"/>
  <c r="CN426" i="2"/>
  <c r="CN422" i="2" s="1"/>
  <c r="CO426" i="2"/>
  <c r="CO422" i="2" s="1"/>
  <c r="CP426" i="2"/>
  <c r="CP422" i="2" s="1"/>
  <c r="CQ426" i="2"/>
  <c r="CQ422" i="2" s="1"/>
  <c r="CR426" i="2"/>
  <c r="CR422" i="2" s="1"/>
  <c r="CS426" i="2"/>
  <c r="CS422" i="2" s="1"/>
  <c r="AB426" i="2"/>
  <c r="AB422" i="2" s="1"/>
  <c r="BZ414" i="2"/>
  <c r="BY414" i="2"/>
  <c r="BX414" i="2"/>
  <c r="BW414" i="2"/>
  <c r="BV414" i="2"/>
  <c r="CH414" i="2"/>
  <c r="CG414" i="2"/>
  <c r="CF414" i="2"/>
  <c r="CE414" i="2"/>
  <c r="CD414" i="2"/>
  <c r="CC414" i="2"/>
  <c r="CB414" i="2"/>
  <c r="CA414" i="2"/>
  <c r="CM414" i="2"/>
  <c r="CL414" i="2"/>
  <c r="CK414" i="2"/>
  <c r="CJ414" i="2"/>
  <c r="CI414" i="2"/>
  <c r="CR414" i="2"/>
  <c r="CQ414" i="2"/>
  <c r="CP414" i="2"/>
  <c r="CO414" i="2"/>
  <c r="CN414" i="2"/>
  <c r="CS414" i="2"/>
  <c r="DQ292" i="2"/>
  <c r="DP292" i="2"/>
  <c r="DO292" i="2"/>
  <c r="DN292" i="2"/>
  <c r="DM292" i="2"/>
  <c r="DL292" i="2"/>
  <c r="DK292" i="2"/>
  <c r="DJ292" i="2"/>
  <c r="DI292" i="2"/>
  <c r="DH292" i="2"/>
  <c r="DG292" i="2"/>
  <c r="DF292" i="2"/>
  <c r="DE292" i="2"/>
  <c r="DD292" i="2"/>
  <c r="DC292" i="2"/>
  <c r="DB292" i="2"/>
  <c r="DA292" i="2"/>
  <c r="CZ292" i="2"/>
  <c r="CY292" i="2"/>
  <c r="CX292" i="2"/>
  <c r="CW292" i="2"/>
  <c r="CV292" i="2"/>
  <c r="CU292" i="2"/>
  <c r="CT292" i="2"/>
  <c r="CT108" i="2"/>
  <c r="CU108" i="2" s="1"/>
  <c r="CV108" i="2" s="1"/>
  <c r="CW108" i="2" s="1"/>
  <c r="CX108" i="2" s="1"/>
  <c r="CY108" i="2" s="1"/>
  <c r="CZ108" i="2" s="1"/>
  <c r="DA108" i="2" s="1"/>
  <c r="DB108" i="2" s="1"/>
  <c r="DC108" i="2" s="1"/>
  <c r="DD108" i="2" s="1"/>
  <c r="DE108" i="2" s="1"/>
  <c r="DF108" i="2" s="1"/>
  <c r="DG108" i="2" s="1"/>
  <c r="DH108" i="2" s="1"/>
  <c r="DI108" i="2" s="1"/>
  <c r="DJ108" i="2" s="1"/>
  <c r="DK108" i="2" s="1"/>
  <c r="DL108" i="2" s="1"/>
  <c r="DM108" i="2" s="1"/>
  <c r="DN108" i="2" s="1"/>
  <c r="DO108" i="2" s="1"/>
  <c r="DP108" i="2" s="1"/>
  <c r="DQ108" i="2" s="1"/>
  <c r="DR108" i="2" s="1"/>
  <c r="DS93" i="3" s="1"/>
  <c r="CT106" i="2"/>
  <c r="CS130" i="2"/>
  <c r="CR130" i="2"/>
  <c r="CS129" i="2"/>
  <c r="CR129" i="2"/>
  <c r="CS128" i="2"/>
  <c r="CR128" i="2"/>
  <c r="CQ130" i="2"/>
  <c r="CP130" i="2"/>
  <c r="CO130" i="2"/>
  <c r="CN130" i="2"/>
  <c r="CM130" i="2"/>
  <c r="CL130" i="2"/>
  <c r="CK130" i="2"/>
  <c r="CJ130" i="2"/>
  <c r="CI130" i="2"/>
  <c r="CH130" i="2"/>
  <c r="CG130" i="2"/>
  <c r="CF130" i="2"/>
  <c r="CE130" i="2"/>
  <c r="CQ129" i="2"/>
  <c r="CP129" i="2"/>
  <c r="CO129" i="2"/>
  <c r="CN129" i="2"/>
  <c r="CM129" i="2"/>
  <c r="CL129" i="2"/>
  <c r="CK129" i="2"/>
  <c r="CJ129" i="2"/>
  <c r="CI129" i="2"/>
  <c r="CH129" i="2"/>
  <c r="CG129" i="2"/>
  <c r="CF129" i="2"/>
  <c r="CE129" i="2"/>
  <c r="CQ128" i="2"/>
  <c r="CP128" i="2"/>
  <c r="CO128" i="2"/>
  <c r="CN128" i="2"/>
  <c r="CM128" i="2"/>
  <c r="CL128" i="2"/>
  <c r="CK128" i="2"/>
  <c r="CJ128" i="2"/>
  <c r="CI128" i="2"/>
  <c r="CH128" i="2"/>
  <c r="CG128" i="2"/>
  <c r="CF128" i="2"/>
  <c r="CE128" i="2"/>
  <c r="CD130" i="2"/>
  <c r="CC130" i="2"/>
  <c r="CB130" i="2"/>
  <c r="CA130" i="2"/>
  <c r="BZ130" i="2"/>
  <c r="BY130" i="2"/>
  <c r="BX130" i="2"/>
  <c r="BW130" i="2"/>
  <c r="BV130" i="2"/>
  <c r="BU130" i="2"/>
  <c r="BT130" i="2"/>
  <c r="CD129" i="2"/>
  <c r="CC129" i="2"/>
  <c r="CB129" i="2"/>
  <c r="CA129" i="2"/>
  <c r="BZ129" i="2"/>
  <c r="BY129" i="2"/>
  <c r="BX129" i="2"/>
  <c r="BW129" i="2"/>
  <c r="BV129" i="2"/>
  <c r="BU129" i="2"/>
  <c r="BT129" i="2"/>
  <c r="CD128" i="2"/>
  <c r="CC128" i="2"/>
  <c r="CB128" i="2"/>
  <c r="CA128" i="2"/>
  <c r="BZ128" i="2"/>
  <c r="BY128" i="2"/>
  <c r="BX128" i="2"/>
  <c r="BW128" i="2"/>
  <c r="BV128" i="2"/>
  <c r="BU128" i="2"/>
  <c r="BT128" i="2"/>
  <c r="BS130" i="2"/>
  <c r="BR130" i="2"/>
  <c r="BQ130" i="2"/>
  <c r="BP130" i="2"/>
  <c r="BO130" i="2"/>
  <c r="BN130" i="2"/>
  <c r="BM130" i="2"/>
  <c r="BL130" i="2"/>
  <c r="BS129" i="2"/>
  <c r="BR129" i="2"/>
  <c r="BQ129" i="2"/>
  <c r="BP129" i="2"/>
  <c r="BO129" i="2"/>
  <c r="BN129" i="2"/>
  <c r="BM129" i="2"/>
  <c r="BL129" i="2"/>
  <c r="BS128" i="2"/>
  <c r="BR128" i="2"/>
  <c r="BQ128" i="2"/>
  <c r="BP128" i="2"/>
  <c r="BO128" i="2"/>
  <c r="BN128" i="2"/>
  <c r="BM128" i="2"/>
  <c r="BL128" i="2"/>
  <c r="BK130" i="2"/>
  <c r="BK129" i="2"/>
  <c r="BK128" i="2"/>
  <c r="CS30" i="2"/>
  <c r="DQ690" i="2"/>
  <c r="DP690" i="2"/>
  <c r="DO690" i="2"/>
  <c r="DN690" i="2"/>
  <c r="DM690" i="2"/>
  <c r="DL690" i="2"/>
  <c r="DK690" i="2"/>
  <c r="DJ690" i="2"/>
  <c r="DI690" i="2"/>
  <c r="DH690" i="2"/>
  <c r="DG690" i="2"/>
  <c r="DF690" i="2"/>
  <c r="DE690" i="2"/>
  <c r="DD690" i="2"/>
  <c r="DC690" i="2"/>
  <c r="DB690" i="2"/>
  <c r="DA690" i="2"/>
  <c r="CZ690" i="2"/>
  <c r="CY690" i="2"/>
  <c r="CX690" i="2"/>
  <c r="CW690" i="2"/>
  <c r="CV690" i="2"/>
  <c r="CU690" i="2"/>
  <c r="CT690" i="2"/>
  <c r="CS690" i="2"/>
  <c r="CR690" i="2"/>
  <c r="CQ690" i="2"/>
  <c r="CP690" i="2"/>
  <c r="CO690" i="2"/>
  <c r="CN690" i="2"/>
  <c r="CM690" i="2"/>
  <c r="CL690" i="2"/>
  <c r="CK690" i="2"/>
  <c r="CJ690" i="2"/>
  <c r="CI690" i="2"/>
  <c r="CH690" i="2"/>
  <c r="CG690" i="2"/>
  <c r="CF690" i="2"/>
  <c r="CE690" i="2"/>
  <c r="CD690" i="2"/>
  <c r="CC690" i="2"/>
  <c r="CB690" i="2"/>
  <c r="CA690" i="2"/>
  <c r="BZ690" i="2"/>
  <c r="BY690" i="2"/>
  <c r="BX690" i="2"/>
  <c r="BW690" i="2"/>
  <c r="BV690" i="2"/>
  <c r="BU690" i="2"/>
  <c r="BT690" i="2"/>
  <c r="BS690" i="2"/>
  <c r="BR690" i="2"/>
  <c r="BQ690" i="2"/>
  <c r="BP690" i="2"/>
  <c r="BO690" i="2"/>
  <c r="BN690" i="2"/>
  <c r="BM690" i="2"/>
  <c r="BL690" i="2"/>
  <c r="BK690" i="2"/>
  <c r="BJ690" i="2"/>
  <c r="BI690" i="2"/>
  <c r="BH690" i="2"/>
  <c r="BG690" i="2"/>
  <c r="BF690" i="2"/>
  <c r="BE690" i="2"/>
  <c r="BD690" i="2"/>
  <c r="BC690" i="2"/>
  <c r="BB690" i="2"/>
  <c r="BA690" i="2"/>
  <c r="AZ690" i="2"/>
  <c r="AY690" i="2"/>
  <c r="AX690" i="2"/>
  <c r="AW690" i="2"/>
  <c r="AV690" i="2"/>
  <c r="AU690" i="2"/>
  <c r="AT690" i="2"/>
  <c r="AS690" i="2"/>
  <c r="AR690" i="2"/>
  <c r="AQ690" i="2"/>
  <c r="AP690" i="2"/>
  <c r="AO690" i="2"/>
  <c r="AN690" i="2"/>
  <c r="AM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Z690" i="2"/>
  <c r="Y690" i="2"/>
  <c r="X690" i="2"/>
  <c r="W690" i="2"/>
  <c r="V690" i="2"/>
  <c r="U690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DQ689" i="2"/>
  <c r="DP689" i="2"/>
  <c r="DO689" i="2"/>
  <c r="DN689" i="2"/>
  <c r="DM689" i="2"/>
  <c r="DL689" i="2"/>
  <c r="DK689" i="2"/>
  <c r="DJ689" i="2"/>
  <c r="DI689" i="2"/>
  <c r="DH689" i="2"/>
  <c r="DG689" i="2"/>
  <c r="DF689" i="2"/>
  <c r="DE689" i="2"/>
  <c r="DD689" i="2"/>
  <c r="DC689" i="2"/>
  <c r="DB689" i="2"/>
  <c r="DA689" i="2"/>
  <c r="CZ689" i="2"/>
  <c r="CY689" i="2"/>
  <c r="CX689" i="2"/>
  <c r="CW689" i="2"/>
  <c r="CV689" i="2"/>
  <c r="CU689" i="2"/>
  <c r="CT689" i="2"/>
  <c r="CS689" i="2"/>
  <c r="CR689" i="2"/>
  <c r="CQ689" i="2"/>
  <c r="CP689" i="2"/>
  <c r="CO689" i="2"/>
  <c r="CN689" i="2"/>
  <c r="CM689" i="2"/>
  <c r="CL689" i="2"/>
  <c r="CK689" i="2"/>
  <c r="CJ689" i="2"/>
  <c r="CI689" i="2"/>
  <c r="CH689" i="2"/>
  <c r="CG689" i="2"/>
  <c r="CF689" i="2"/>
  <c r="CE689" i="2"/>
  <c r="CD689" i="2"/>
  <c r="CC689" i="2"/>
  <c r="CB689" i="2"/>
  <c r="CA689" i="2"/>
  <c r="BZ689" i="2"/>
  <c r="BY689" i="2"/>
  <c r="BX689" i="2"/>
  <c r="BW689" i="2"/>
  <c r="BV689" i="2"/>
  <c r="BU689" i="2"/>
  <c r="BT689" i="2"/>
  <c r="BS689" i="2"/>
  <c r="BR689" i="2"/>
  <c r="BQ689" i="2"/>
  <c r="BP689" i="2"/>
  <c r="BO689" i="2"/>
  <c r="BN689" i="2"/>
  <c r="BM689" i="2"/>
  <c r="BL689" i="2"/>
  <c r="BK689" i="2"/>
  <c r="BJ689" i="2"/>
  <c r="BI689" i="2"/>
  <c r="BH689" i="2"/>
  <c r="BG689" i="2"/>
  <c r="BF689" i="2"/>
  <c r="BE689" i="2"/>
  <c r="BD689" i="2"/>
  <c r="BC689" i="2"/>
  <c r="BB689" i="2"/>
  <c r="BA689" i="2"/>
  <c r="AZ689" i="2"/>
  <c r="AY689" i="2"/>
  <c r="AX689" i="2"/>
  <c r="AW689" i="2"/>
  <c r="AV689" i="2"/>
  <c r="AU689" i="2"/>
  <c r="AT689" i="2"/>
  <c r="AS689" i="2"/>
  <c r="AR689" i="2"/>
  <c r="AQ689" i="2"/>
  <c r="AP689" i="2"/>
  <c r="AO689" i="2"/>
  <c r="AN689" i="2"/>
  <c r="AM689" i="2"/>
  <c r="AL689" i="2"/>
  <c r="AK689" i="2"/>
  <c r="AJ689" i="2"/>
  <c r="AI689" i="2"/>
  <c r="AH689" i="2"/>
  <c r="AG689" i="2"/>
  <c r="AF689" i="2"/>
  <c r="AE689" i="2"/>
  <c r="AD689" i="2"/>
  <c r="AC689" i="2"/>
  <c r="AB689" i="2"/>
  <c r="AA689" i="2"/>
  <c r="Z689" i="2"/>
  <c r="Y689" i="2"/>
  <c r="X689" i="2"/>
  <c r="W689" i="2"/>
  <c r="V689" i="2"/>
  <c r="U689" i="2"/>
  <c r="T689" i="2"/>
  <c r="S689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DQ683" i="2"/>
  <c r="DP683" i="2"/>
  <c r="DO683" i="2"/>
  <c r="DN683" i="2"/>
  <c r="DM683" i="2"/>
  <c r="DL683" i="2"/>
  <c r="DK683" i="2"/>
  <c r="DJ683" i="2"/>
  <c r="DI683" i="2"/>
  <c r="DH683" i="2"/>
  <c r="DG683" i="2"/>
  <c r="DF683" i="2"/>
  <c r="DE683" i="2"/>
  <c r="DD683" i="2"/>
  <c r="DC683" i="2"/>
  <c r="DB683" i="2"/>
  <c r="DA683" i="2"/>
  <c r="CZ683" i="2"/>
  <c r="CY683" i="2"/>
  <c r="CX683" i="2"/>
  <c r="CW683" i="2"/>
  <c r="CV683" i="2"/>
  <c r="CU683" i="2"/>
  <c r="CT683" i="2"/>
  <c r="CS683" i="2"/>
  <c r="CR683" i="2"/>
  <c r="CQ683" i="2"/>
  <c r="CP683" i="2"/>
  <c r="CO683" i="2"/>
  <c r="CN683" i="2"/>
  <c r="CM683" i="2"/>
  <c r="CL683" i="2"/>
  <c r="CK683" i="2"/>
  <c r="CJ683" i="2"/>
  <c r="CI683" i="2"/>
  <c r="CH683" i="2"/>
  <c r="CG683" i="2"/>
  <c r="CF683" i="2"/>
  <c r="CE683" i="2"/>
  <c r="CD683" i="2"/>
  <c r="CC683" i="2"/>
  <c r="CB683" i="2"/>
  <c r="CA683" i="2"/>
  <c r="BZ683" i="2"/>
  <c r="BY683" i="2"/>
  <c r="BX683" i="2"/>
  <c r="BW683" i="2"/>
  <c r="BV683" i="2"/>
  <c r="BU683" i="2"/>
  <c r="BT683" i="2"/>
  <c r="BS683" i="2"/>
  <c r="BR683" i="2"/>
  <c r="BQ683" i="2"/>
  <c r="BP683" i="2"/>
  <c r="BO683" i="2"/>
  <c r="BN683" i="2"/>
  <c r="BM683" i="2"/>
  <c r="BL683" i="2"/>
  <c r="BK683" i="2"/>
  <c r="BJ683" i="2"/>
  <c r="BI683" i="2"/>
  <c r="BH683" i="2"/>
  <c r="BG683" i="2"/>
  <c r="BF683" i="2"/>
  <c r="BE683" i="2"/>
  <c r="BD683" i="2"/>
  <c r="BC683" i="2"/>
  <c r="BB683" i="2"/>
  <c r="BA683" i="2"/>
  <c r="AZ683" i="2"/>
  <c r="AY683" i="2"/>
  <c r="AX683" i="2"/>
  <c r="AW683" i="2"/>
  <c r="AV683" i="2"/>
  <c r="AU683" i="2"/>
  <c r="AT683" i="2"/>
  <c r="AS683" i="2"/>
  <c r="AR683" i="2"/>
  <c r="AQ683" i="2"/>
  <c r="AP683" i="2"/>
  <c r="AO683" i="2"/>
  <c r="AN683" i="2"/>
  <c r="AM683" i="2"/>
  <c r="AL683" i="2"/>
  <c r="AK683" i="2"/>
  <c r="AJ683" i="2"/>
  <c r="AI683" i="2"/>
  <c r="AH683" i="2"/>
  <c r="AG683" i="2"/>
  <c r="AF683" i="2"/>
  <c r="AE683" i="2"/>
  <c r="AD683" i="2"/>
  <c r="AC683" i="2"/>
  <c r="AB683" i="2"/>
  <c r="AA683" i="2"/>
  <c r="Z683" i="2"/>
  <c r="Y683" i="2"/>
  <c r="X683" i="2"/>
  <c r="W683" i="2"/>
  <c r="V683" i="2"/>
  <c r="U683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C13" i="15"/>
  <c r="C12" i="15" s="1"/>
  <c r="C17" i="18" s="1"/>
  <c r="D13" i="15"/>
  <c r="D12" i="15" s="1"/>
  <c r="D17" i="18" s="1"/>
  <c r="E13" i="15"/>
  <c r="E12" i="15" s="1"/>
  <c r="E17" i="18" s="1"/>
  <c r="F13" i="15"/>
  <c r="F12" i="15" s="1"/>
  <c r="F17" i="18" s="1"/>
  <c r="G13" i="15"/>
  <c r="G12" i="15" s="1"/>
  <c r="G17" i="18" s="1"/>
  <c r="H13" i="15"/>
  <c r="H12" i="15" s="1"/>
  <c r="H17" i="18" s="1"/>
  <c r="I13" i="15"/>
  <c r="I12" i="15" s="1"/>
  <c r="I17" i="18" s="1"/>
  <c r="J13" i="15"/>
  <c r="J12" i="15" s="1"/>
  <c r="J17" i="18" s="1"/>
  <c r="K13" i="15"/>
  <c r="K12" i="15" s="1"/>
  <c r="K17" i="18" s="1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BD13" i="15"/>
  <c r="BE13" i="15"/>
  <c r="BF13" i="15"/>
  <c r="BG13" i="15"/>
  <c r="BH13" i="15"/>
  <c r="BI13" i="15"/>
  <c r="BJ13" i="15"/>
  <c r="BK13" i="15"/>
  <c r="BL13" i="15"/>
  <c r="BM13" i="15"/>
  <c r="BN13" i="15"/>
  <c r="BO13" i="15"/>
  <c r="BP13" i="15"/>
  <c r="BQ13" i="15"/>
  <c r="BR13" i="15"/>
  <c r="BS13" i="15"/>
  <c r="BT13" i="15"/>
  <c r="BU13" i="15"/>
  <c r="BV13" i="15"/>
  <c r="BW13" i="15"/>
  <c r="BX13" i="15"/>
  <c r="BY13" i="15"/>
  <c r="BZ13" i="15"/>
  <c r="CA13" i="15"/>
  <c r="CB13" i="15"/>
  <c r="CC13" i="15"/>
  <c r="CD13" i="15"/>
  <c r="CE13" i="15"/>
  <c r="CF13" i="15"/>
  <c r="CG13" i="15"/>
  <c r="CH13" i="15"/>
  <c r="CI13" i="15"/>
  <c r="CJ13" i="15"/>
  <c r="CK13" i="15"/>
  <c r="CL13" i="15"/>
  <c r="CM13" i="15"/>
  <c r="CN13" i="15"/>
  <c r="CO13" i="15"/>
  <c r="CP13" i="15"/>
  <c r="CQ13" i="15"/>
  <c r="CR13" i="15"/>
  <c r="CS13" i="15"/>
  <c r="CT13" i="15"/>
  <c r="CU13" i="15"/>
  <c r="CV13" i="15"/>
  <c r="CW13" i="15"/>
  <c r="CX13" i="15"/>
  <c r="CY13" i="15"/>
  <c r="CZ13" i="15"/>
  <c r="DA13" i="15"/>
  <c r="DB13" i="15"/>
  <c r="DC13" i="15"/>
  <c r="DD13" i="15"/>
  <c r="DE13" i="15"/>
  <c r="DF13" i="15"/>
  <c r="DG13" i="15"/>
  <c r="DH13" i="15"/>
  <c r="DI13" i="15"/>
  <c r="DJ13" i="15"/>
  <c r="DK13" i="15"/>
  <c r="DL13" i="15"/>
  <c r="DM13" i="15"/>
  <c r="DN13" i="15"/>
  <c r="DO13" i="15"/>
  <c r="DP13" i="15"/>
  <c r="DQ13" i="15"/>
  <c r="DR13" i="15"/>
  <c r="DQ678" i="2"/>
  <c r="DP678" i="2"/>
  <c r="DO678" i="2"/>
  <c r="DN678" i="2"/>
  <c r="DM678" i="2"/>
  <c r="DL678" i="2"/>
  <c r="DK678" i="2"/>
  <c r="DJ678" i="2"/>
  <c r="DI678" i="2"/>
  <c r="DH678" i="2"/>
  <c r="DG678" i="2"/>
  <c r="DF678" i="2"/>
  <c r="DE678" i="2"/>
  <c r="DD678" i="2"/>
  <c r="DC678" i="2"/>
  <c r="DB678" i="2"/>
  <c r="DA678" i="2"/>
  <c r="CZ678" i="2"/>
  <c r="CY678" i="2"/>
  <c r="CX678" i="2"/>
  <c r="CW678" i="2"/>
  <c r="CV678" i="2"/>
  <c r="CU678" i="2"/>
  <c r="CT678" i="2"/>
  <c r="CS678" i="2"/>
  <c r="CR678" i="2"/>
  <c r="CQ678" i="2"/>
  <c r="CP678" i="2"/>
  <c r="CO678" i="2"/>
  <c r="CN678" i="2"/>
  <c r="CM678" i="2"/>
  <c r="CL678" i="2"/>
  <c r="CK678" i="2"/>
  <c r="CJ678" i="2"/>
  <c r="CI678" i="2"/>
  <c r="CH678" i="2"/>
  <c r="CG678" i="2"/>
  <c r="CF678" i="2"/>
  <c r="CE678" i="2"/>
  <c r="CD678" i="2"/>
  <c r="CC678" i="2"/>
  <c r="CB678" i="2"/>
  <c r="CA678" i="2"/>
  <c r="BZ678" i="2"/>
  <c r="BY678" i="2"/>
  <c r="BX678" i="2"/>
  <c r="BW678" i="2"/>
  <c r="BV678" i="2"/>
  <c r="BU678" i="2"/>
  <c r="BT678" i="2"/>
  <c r="BS678" i="2"/>
  <c r="BR678" i="2"/>
  <c r="BQ678" i="2"/>
  <c r="BP678" i="2"/>
  <c r="BO678" i="2"/>
  <c r="BN678" i="2"/>
  <c r="BM678" i="2"/>
  <c r="BL678" i="2"/>
  <c r="BK678" i="2"/>
  <c r="BJ678" i="2"/>
  <c r="BI678" i="2"/>
  <c r="BH678" i="2"/>
  <c r="BG678" i="2"/>
  <c r="BF678" i="2"/>
  <c r="BE678" i="2"/>
  <c r="BD678" i="2"/>
  <c r="BC678" i="2"/>
  <c r="BB678" i="2"/>
  <c r="BA678" i="2"/>
  <c r="AZ678" i="2"/>
  <c r="AY678" i="2"/>
  <c r="AX678" i="2"/>
  <c r="AW678" i="2"/>
  <c r="AV678" i="2"/>
  <c r="AU678" i="2"/>
  <c r="AT678" i="2"/>
  <c r="AS678" i="2"/>
  <c r="AR678" i="2"/>
  <c r="AQ678" i="2"/>
  <c r="AP678" i="2"/>
  <c r="AO678" i="2"/>
  <c r="AN678" i="2"/>
  <c r="AM678" i="2"/>
  <c r="AL678" i="2"/>
  <c r="AK678" i="2"/>
  <c r="AJ678" i="2"/>
  <c r="AI678" i="2"/>
  <c r="AH678" i="2"/>
  <c r="AG678" i="2"/>
  <c r="AF678" i="2"/>
  <c r="AE678" i="2"/>
  <c r="AD678" i="2"/>
  <c r="AC678" i="2"/>
  <c r="AB678" i="2"/>
  <c r="AA678" i="2"/>
  <c r="Z678" i="2"/>
  <c r="Y678" i="2"/>
  <c r="X678" i="2"/>
  <c r="W678" i="2"/>
  <c r="V678" i="2"/>
  <c r="U678" i="2"/>
  <c r="T678" i="2"/>
  <c r="S678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C4" i="15"/>
  <c r="D4" i="15"/>
  <c r="D22" i="15" s="1"/>
  <c r="D37" i="15" s="1"/>
  <c r="E4" i="15"/>
  <c r="F4" i="15"/>
  <c r="G4" i="15"/>
  <c r="H4" i="15"/>
  <c r="I4" i="15"/>
  <c r="I22" i="15" s="1"/>
  <c r="I37" i="15" s="1"/>
  <c r="J4" i="15"/>
  <c r="J22" i="15" s="1"/>
  <c r="J37" i="15" s="1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X4" i="15"/>
  <c r="AY4" i="15"/>
  <c r="AZ4" i="15"/>
  <c r="BA4" i="15"/>
  <c r="BB4" i="15"/>
  <c r="BC4" i="15"/>
  <c r="BD4" i="15"/>
  <c r="BE4" i="15"/>
  <c r="BF4" i="15"/>
  <c r="BG4" i="15"/>
  <c r="BH4" i="15"/>
  <c r="BI4" i="15"/>
  <c r="BJ4" i="15"/>
  <c r="BK4" i="15"/>
  <c r="BL4" i="15"/>
  <c r="BM4" i="15"/>
  <c r="BN4" i="15"/>
  <c r="BO4" i="15"/>
  <c r="BP4" i="15"/>
  <c r="BQ4" i="15"/>
  <c r="BR4" i="15"/>
  <c r="BS4" i="15"/>
  <c r="BT4" i="15"/>
  <c r="BU4" i="15"/>
  <c r="BV4" i="15"/>
  <c r="BW4" i="15"/>
  <c r="BX4" i="15"/>
  <c r="BY4" i="15"/>
  <c r="BZ4" i="15"/>
  <c r="CA4" i="15"/>
  <c r="CB4" i="15"/>
  <c r="CC4" i="15"/>
  <c r="CD4" i="15"/>
  <c r="CE4" i="15"/>
  <c r="CF4" i="15"/>
  <c r="CG4" i="15"/>
  <c r="CH4" i="15"/>
  <c r="CI4" i="15"/>
  <c r="CJ4" i="15"/>
  <c r="CK4" i="15"/>
  <c r="CL4" i="15"/>
  <c r="CM4" i="15"/>
  <c r="CN4" i="15"/>
  <c r="CO4" i="15"/>
  <c r="CP4" i="15"/>
  <c r="CQ4" i="15"/>
  <c r="CR4" i="15"/>
  <c r="CS4" i="15"/>
  <c r="CT4" i="15"/>
  <c r="CU4" i="15"/>
  <c r="CV4" i="15"/>
  <c r="CW4" i="15"/>
  <c r="CX4" i="15"/>
  <c r="CY4" i="15"/>
  <c r="CZ4" i="15"/>
  <c r="DA4" i="15"/>
  <c r="DB4" i="15"/>
  <c r="DC4" i="15"/>
  <c r="DD4" i="15"/>
  <c r="DE4" i="15"/>
  <c r="DF4" i="15"/>
  <c r="DG4" i="15"/>
  <c r="DH4" i="15"/>
  <c r="DI4" i="15"/>
  <c r="DJ4" i="15"/>
  <c r="DK4" i="15"/>
  <c r="DL4" i="15"/>
  <c r="DM4" i="15"/>
  <c r="DN4" i="15"/>
  <c r="DO4" i="15"/>
  <c r="DP4" i="15"/>
  <c r="DQ4" i="15"/>
  <c r="DR4" i="15"/>
  <c r="C107" i="13"/>
  <c r="D107" i="13"/>
  <c r="E107" i="13"/>
  <c r="F107" i="13"/>
  <c r="G107" i="13"/>
  <c r="H107" i="13"/>
  <c r="I107" i="13"/>
  <c r="J107" i="13"/>
  <c r="K107" i="13"/>
  <c r="L107" i="13"/>
  <c r="M107" i="13"/>
  <c r="N107" i="13"/>
  <c r="O107" i="13"/>
  <c r="C108" i="13"/>
  <c r="D108" i="13"/>
  <c r="E108" i="13"/>
  <c r="F108" i="13"/>
  <c r="G108" i="13"/>
  <c r="H108" i="13"/>
  <c r="I108" i="13"/>
  <c r="J108" i="13"/>
  <c r="K108" i="13"/>
  <c r="L108" i="13"/>
  <c r="M108" i="13"/>
  <c r="N108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AJ108" i="13"/>
  <c r="AK108" i="13"/>
  <c r="AL108" i="13"/>
  <c r="AM108" i="13"/>
  <c r="AN108" i="13"/>
  <c r="AO108" i="13"/>
  <c r="AP108" i="13"/>
  <c r="AQ108" i="13"/>
  <c r="AR108" i="13"/>
  <c r="AS108" i="13"/>
  <c r="AT108" i="13"/>
  <c r="AU108" i="13"/>
  <c r="AV108" i="13"/>
  <c r="AW108" i="13"/>
  <c r="AX108" i="13"/>
  <c r="AY108" i="13"/>
  <c r="AZ108" i="13"/>
  <c r="BA108" i="13"/>
  <c r="BB108" i="13"/>
  <c r="BC108" i="13"/>
  <c r="BD108" i="13"/>
  <c r="BE108" i="13"/>
  <c r="BF108" i="13"/>
  <c r="BG108" i="13"/>
  <c r="BH108" i="13"/>
  <c r="BI108" i="13"/>
  <c r="BJ108" i="13"/>
  <c r="BK108" i="13"/>
  <c r="BL108" i="13"/>
  <c r="BM108" i="13"/>
  <c r="BN108" i="13"/>
  <c r="BO108" i="13"/>
  <c r="BP108" i="13"/>
  <c r="BQ108" i="13"/>
  <c r="BR108" i="13"/>
  <c r="BS108" i="13"/>
  <c r="BT108" i="13"/>
  <c r="C109" i="13"/>
  <c r="D109" i="13"/>
  <c r="E109" i="13"/>
  <c r="F109" i="13"/>
  <c r="G109" i="13"/>
  <c r="H109" i="13"/>
  <c r="I109" i="13"/>
  <c r="J109" i="13"/>
  <c r="K109" i="13"/>
  <c r="L109" i="13"/>
  <c r="M109" i="13"/>
  <c r="N109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AJ109" i="13"/>
  <c r="AK109" i="13"/>
  <c r="AL109" i="13"/>
  <c r="AM109" i="13"/>
  <c r="AN109" i="13"/>
  <c r="AO109" i="13"/>
  <c r="AP109" i="13"/>
  <c r="AQ109" i="13"/>
  <c r="AR109" i="13"/>
  <c r="AS109" i="13"/>
  <c r="AT109" i="13"/>
  <c r="AU109" i="13"/>
  <c r="AV109" i="13"/>
  <c r="AW109" i="13"/>
  <c r="AX109" i="13"/>
  <c r="AY109" i="13"/>
  <c r="AZ109" i="13"/>
  <c r="BA109" i="13"/>
  <c r="BB109" i="13"/>
  <c r="BC109" i="13"/>
  <c r="BD109" i="13"/>
  <c r="BE109" i="13"/>
  <c r="BF109" i="13"/>
  <c r="BG109" i="13"/>
  <c r="BH109" i="13"/>
  <c r="BI109" i="13"/>
  <c r="BJ109" i="13"/>
  <c r="BK109" i="13"/>
  <c r="BL109" i="13"/>
  <c r="BM109" i="13"/>
  <c r="BN109" i="13"/>
  <c r="BO109" i="13"/>
  <c r="BP109" i="13"/>
  <c r="BQ109" i="13"/>
  <c r="BR109" i="13"/>
  <c r="BS109" i="13"/>
  <c r="BT109" i="13"/>
  <c r="C110" i="13"/>
  <c r="D110" i="13"/>
  <c r="E110" i="13"/>
  <c r="F110" i="13"/>
  <c r="G110" i="13"/>
  <c r="H110" i="13"/>
  <c r="I110" i="13"/>
  <c r="J110" i="13"/>
  <c r="K110" i="13"/>
  <c r="L110" i="13"/>
  <c r="M110" i="13"/>
  <c r="N110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AJ110" i="13"/>
  <c r="AK110" i="13"/>
  <c r="AL110" i="13"/>
  <c r="AM110" i="13"/>
  <c r="AN110" i="13"/>
  <c r="AO110" i="13"/>
  <c r="AP110" i="13"/>
  <c r="AQ110" i="13"/>
  <c r="AR110" i="13"/>
  <c r="AS110" i="13"/>
  <c r="AT110" i="13"/>
  <c r="AU110" i="13"/>
  <c r="AV110" i="13"/>
  <c r="AW110" i="13"/>
  <c r="AX110" i="13"/>
  <c r="AY110" i="13"/>
  <c r="AZ110" i="13"/>
  <c r="BA110" i="13"/>
  <c r="BB110" i="13"/>
  <c r="BC110" i="13"/>
  <c r="BD110" i="13"/>
  <c r="BE110" i="13"/>
  <c r="BF110" i="13"/>
  <c r="BG110" i="13"/>
  <c r="BH110" i="13"/>
  <c r="BI110" i="13"/>
  <c r="BJ110" i="13"/>
  <c r="BK110" i="13"/>
  <c r="BL110" i="13"/>
  <c r="BM110" i="13"/>
  <c r="BN110" i="13"/>
  <c r="BO110" i="13"/>
  <c r="BP110" i="13"/>
  <c r="BQ110" i="13"/>
  <c r="BR110" i="13"/>
  <c r="BS110" i="13"/>
  <c r="BT110" i="13"/>
  <c r="C112" i="13"/>
  <c r="D112" i="13"/>
  <c r="E112" i="13"/>
  <c r="F112" i="13"/>
  <c r="G112" i="13"/>
  <c r="H112" i="13"/>
  <c r="I112" i="13"/>
  <c r="J112" i="13"/>
  <c r="K112" i="13"/>
  <c r="L112" i="13"/>
  <c r="M112" i="13"/>
  <c r="N112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AJ112" i="13"/>
  <c r="AK112" i="13"/>
  <c r="AL112" i="13"/>
  <c r="AM112" i="13"/>
  <c r="AN112" i="13"/>
  <c r="AO112" i="13"/>
  <c r="AP112" i="13"/>
  <c r="AQ112" i="13"/>
  <c r="AR112" i="13"/>
  <c r="AS112" i="13"/>
  <c r="AT112" i="13"/>
  <c r="AU112" i="13"/>
  <c r="AV112" i="13"/>
  <c r="AW112" i="13"/>
  <c r="AX112" i="13"/>
  <c r="AY112" i="13"/>
  <c r="AZ112" i="13"/>
  <c r="BA112" i="13"/>
  <c r="BB112" i="13"/>
  <c r="BC112" i="13"/>
  <c r="BD112" i="13"/>
  <c r="BE112" i="13"/>
  <c r="BF112" i="13"/>
  <c r="BG112" i="13"/>
  <c r="BH112" i="13"/>
  <c r="BI112" i="13"/>
  <c r="BJ112" i="13"/>
  <c r="BK112" i="13"/>
  <c r="BL112" i="13"/>
  <c r="BM112" i="13"/>
  <c r="BN112" i="13"/>
  <c r="BO112" i="13"/>
  <c r="BP112" i="13"/>
  <c r="BQ112" i="13"/>
  <c r="BR112" i="13"/>
  <c r="BS112" i="13"/>
  <c r="BT112" i="13"/>
  <c r="C113" i="13"/>
  <c r="D113" i="13"/>
  <c r="E113" i="13"/>
  <c r="F113" i="13"/>
  <c r="G113" i="13"/>
  <c r="H113" i="13"/>
  <c r="I113" i="13"/>
  <c r="J113" i="13"/>
  <c r="K113" i="13"/>
  <c r="L113" i="13"/>
  <c r="M113" i="13"/>
  <c r="N113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AJ113" i="13"/>
  <c r="AK113" i="13"/>
  <c r="AL113" i="13"/>
  <c r="AM113" i="13"/>
  <c r="AN113" i="13"/>
  <c r="AO113" i="13"/>
  <c r="AP113" i="13"/>
  <c r="AQ113" i="13"/>
  <c r="AR113" i="13"/>
  <c r="AS113" i="13"/>
  <c r="AT113" i="13"/>
  <c r="AU113" i="13"/>
  <c r="AV113" i="13"/>
  <c r="AW113" i="13"/>
  <c r="AX113" i="13"/>
  <c r="AY113" i="13"/>
  <c r="AZ113" i="13"/>
  <c r="BA113" i="13"/>
  <c r="BB113" i="13"/>
  <c r="BC113" i="13"/>
  <c r="BD113" i="13"/>
  <c r="BE113" i="13"/>
  <c r="BF113" i="13"/>
  <c r="BG113" i="13"/>
  <c r="BH113" i="13"/>
  <c r="BI113" i="13"/>
  <c r="BJ113" i="13"/>
  <c r="BK113" i="13"/>
  <c r="BL113" i="13"/>
  <c r="BM113" i="13"/>
  <c r="BN113" i="13"/>
  <c r="BO113" i="13"/>
  <c r="BP113" i="13"/>
  <c r="BQ113" i="13"/>
  <c r="BR113" i="13"/>
  <c r="BS113" i="13"/>
  <c r="BT113" i="13"/>
  <c r="C114" i="13"/>
  <c r="D114" i="13"/>
  <c r="E114" i="13"/>
  <c r="F114" i="13"/>
  <c r="G114" i="13"/>
  <c r="H114" i="13"/>
  <c r="I114" i="13"/>
  <c r="J114" i="13"/>
  <c r="K114" i="13"/>
  <c r="L114" i="13"/>
  <c r="M114" i="13"/>
  <c r="N114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AJ114" i="13"/>
  <c r="AK114" i="13"/>
  <c r="AL114" i="13"/>
  <c r="AM114" i="13"/>
  <c r="AN114" i="13"/>
  <c r="AO114" i="13"/>
  <c r="AP114" i="13"/>
  <c r="AQ114" i="13"/>
  <c r="AR114" i="13"/>
  <c r="AS114" i="13"/>
  <c r="AT114" i="13"/>
  <c r="AU114" i="13"/>
  <c r="AV114" i="13"/>
  <c r="AW114" i="13"/>
  <c r="AX114" i="13"/>
  <c r="AY114" i="13"/>
  <c r="AZ114" i="13"/>
  <c r="BA114" i="13"/>
  <c r="BB114" i="13"/>
  <c r="BC114" i="13"/>
  <c r="BD114" i="13"/>
  <c r="BE114" i="13"/>
  <c r="BF114" i="13"/>
  <c r="BG114" i="13"/>
  <c r="BH114" i="13"/>
  <c r="BI114" i="13"/>
  <c r="BJ114" i="13"/>
  <c r="BK114" i="13"/>
  <c r="BL114" i="13"/>
  <c r="BM114" i="13"/>
  <c r="BN114" i="13"/>
  <c r="BO114" i="13"/>
  <c r="BP114" i="13"/>
  <c r="BQ114" i="13"/>
  <c r="BR114" i="13"/>
  <c r="BS114" i="13"/>
  <c r="BT114" i="13"/>
  <c r="C115" i="13"/>
  <c r="D115" i="13"/>
  <c r="E115" i="13"/>
  <c r="F115" i="13"/>
  <c r="G115" i="13"/>
  <c r="H115" i="13"/>
  <c r="I115" i="13"/>
  <c r="J115" i="13"/>
  <c r="K115" i="13"/>
  <c r="L115" i="13"/>
  <c r="M115" i="13"/>
  <c r="N115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AB115" i="13"/>
  <c r="AC115" i="13"/>
  <c r="AD115" i="13"/>
  <c r="AE115" i="13"/>
  <c r="AF115" i="13"/>
  <c r="AG115" i="13"/>
  <c r="AH115" i="13"/>
  <c r="AI115" i="13"/>
  <c r="AJ115" i="13"/>
  <c r="AK115" i="13"/>
  <c r="AL115" i="13"/>
  <c r="AM115" i="13"/>
  <c r="AN115" i="13"/>
  <c r="AO115" i="13"/>
  <c r="AP115" i="13"/>
  <c r="AQ115" i="13"/>
  <c r="AR115" i="13"/>
  <c r="AS115" i="13"/>
  <c r="AT115" i="13"/>
  <c r="AU115" i="13"/>
  <c r="AV115" i="13"/>
  <c r="AW115" i="13"/>
  <c r="AX115" i="13"/>
  <c r="AY115" i="13"/>
  <c r="AZ115" i="13"/>
  <c r="BA115" i="13"/>
  <c r="BB115" i="13"/>
  <c r="BC115" i="13"/>
  <c r="BD115" i="13"/>
  <c r="BE115" i="13"/>
  <c r="BF115" i="13"/>
  <c r="BG115" i="13"/>
  <c r="BH115" i="13"/>
  <c r="BI115" i="13"/>
  <c r="BJ115" i="13"/>
  <c r="BK115" i="13"/>
  <c r="BL115" i="13"/>
  <c r="BM115" i="13"/>
  <c r="BN115" i="13"/>
  <c r="BO115" i="13"/>
  <c r="BP115" i="13"/>
  <c r="BQ115" i="13"/>
  <c r="BR115" i="13"/>
  <c r="BS115" i="13"/>
  <c r="BT115" i="13"/>
  <c r="C116" i="13"/>
  <c r="D116" i="13"/>
  <c r="E116" i="13"/>
  <c r="F116" i="13"/>
  <c r="G116" i="13"/>
  <c r="H116" i="13"/>
  <c r="I116" i="13"/>
  <c r="J116" i="13"/>
  <c r="C77" i="11" s="1"/>
  <c r="K116" i="13"/>
  <c r="D77" i="11" s="1"/>
  <c r="L116" i="13"/>
  <c r="E77" i="11" s="1"/>
  <c r="M116" i="13"/>
  <c r="F77" i="11" s="1"/>
  <c r="N116" i="13"/>
  <c r="G77" i="11" s="1"/>
  <c r="O116" i="13"/>
  <c r="H77" i="11" s="1"/>
  <c r="P116" i="13"/>
  <c r="I77" i="11" s="1"/>
  <c r="Q116" i="13"/>
  <c r="J77" i="11" s="1"/>
  <c r="R116" i="13"/>
  <c r="K77" i="11" s="1"/>
  <c r="S116" i="13"/>
  <c r="L77" i="11" s="1"/>
  <c r="T116" i="13"/>
  <c r="M77" i="11" s="1"/>
  <c r="U116" i="13"/>
  <c r="N77" i="11" s="1"/>
  <c r="V116" i="13"/>
  <c r="O77" i="11" s="1"/>
  <c r="W116" i="13"/>
  <c r="P77" i="11" s="1"/>
  <c r="X116" i="13"/>
  <c r="Q77" i="11" s="1"/>
  <c r="Y116" i="13"/>
  <c r="R77" i="11" s="1"/>
  <c r="Z116" i="13"/>
  <c r="S77" i="11" s="1"/>
  <c r="AA116" i="13"/>
  <c r="T77" i="11" s="1"/>
  <c r="AB116" i="13"/>
  <c r="U77" i="11" s="1"/>
  <c r="AC116" i="13"/>
  <c r="V77" i="11" s="1"/>
  <c r="AD116" i="13"/>
  <c r="W77" i="11" s="1"/>
  <c r="AE116" i="13"/>
  <c r="X77" i="11" s="1"/>
  <c r="AF116" i="13"/>
  <c r="Y77" i="11" s="1"/>
  <c r="AG116" i="13"/>
  <c r="Z77" i="11" s="1"/>
  <c r="AH116" i="13"/>
  <c r="AA77" i="11" s="1"/>
  <c r="AI116" i="13"/>
  <c r="AB77" i="11" s="1"/>
  <c r="AJ116" i="13"/>
  <c r="AC77" i="11" s="1"/>
  <c r="AK116" i="13"/>
  <c r="AL116" i="13"/>
  <c r="AE77" i="11" s="1"/>
  <c r="AM116" i="13"/>
  <c r="AF77" i="11" s="1"/>
  <c r="AN116" i="13"/>
  <c r="AO116" i="13"/>
  <c r="AH77" i="11" s="1"/>
  <c r="AP116" i="13"/>
  <c r="AI77" i="11" s="1"/>
  <c r="AQ116" i="13"/>
  <c r="AR116" i="13"/>
  <c r="AK77" i="11" s="1"/>
  <c r="AS116" i="13"/>
  <c r="AL77" i="11" s="1"/>
  <c r="AT116" i="13"/>
  <c r="AU116" i="13"/>
  <c r="AN77" i="11" s="1"/>
  <c r="AV116" i="13"/>
  <c r="AO77" i="11" s="1"/>
  <c r="AW116" i="13"/>
  <c r="AX116" i="13"/>
  <c r="AQ77" i="11" s="1"/>
  <c r="AY116" i="13"/>
  <c r="AR77" i="11" s="1"/>
  <c r="AZ116" i="13"/>
  <c r="BA116" i="13"/>
  <c r="AT77" i="11" s="1"/>
  <c r="BB116" i="13"/>
  <c r="AU77" i="11" s="1"/>
  <c r="BC116" i="13"/>
  <c r="BD116" i="13"/>
  <c r="AW77" i="11" s="1"/>
  <c r="BE116" i="13"/>
  <c r="AX77" i="11" s="1"/>
  <c r="BF116" i="13"/>
  <c r="BG116" i="13"/>
  <c r="AZ77" i="11" s="1"/>
  <c r="BH116" i="13"/>
  <c r="BA77" i="11" s="1"/>
  <c r="BI116" i="13"/>
  <c r="BJ116" i="13"/>
  <c r="BC77" i="11" s="1"/>
  <c r="BK116" i="13"/>
  <c r="BD77" i="11" s="1"/>
  <c r="BL116" i="13"/>
  <c r="BM116" i="13"/>
  <c r="BF77" i="11" s="1"/>
  <c r="BN116" i="13"/>
  <c r="BG77" i="11" s="1"/>
  <c r="BO116" i="13"/>
  <c r="BP116" i="13"/>
  <c r="BI77" i="11" s="1"/>
  <c r="BQ116" i="13"/>
  <c r="BJ77" i="11" s="1"/>
  <c r="BR116" i="13"/>
  <c r="BS116" i="13"/>
  <c r="BL77" i="11" s="1"/>
  <c r="BT116" i="13"/>
  <c r="BM77" i="11" s="1"/>
  <c r="CS398" i="2"/>
  <c r="CR398" i="2"/>
  <c r="CQ398" i="2"/>
  <c r="CP398" i="2"/>
  <c r="CO398" i="2"/>
  <c r="CN398" i="2"/>
  <c r="CM398" i="2"/>
  <c r="CL398" i="2"/>
  <c r="CK398" i="2"/>
  <c r="CJ398" i="2"/>
  <c r="CI398" i="2"/>
  <c r="CH398" i="2"/>
  <c r="CG398" i="2"/>
  <c r="CF398" i="2"/>
  <c r="CE398" i="2"/>
  <c r="CD398" i="2"/>
  <c r="CC398" i="2"/>
  <c r="CB398" i="2"/>
  <c r="CA398" i="2"/>
  <c r="BZ398" i="2"/>
  <c r="BY398" i="2"/>
  <c r="BX398" i="2"/>
  <c r="BW398" i="2"/>
  <c r="BV398" i="2"/>
  <c r="BU398" i="2"/>
  <c r="BT398" i="2"/>
  <c r="BS398" i="2"/>
  <c r="BR398" i="2"/>
  <c r="BQ398" i="2"/>
  <c r="BP398" i="2"/>
  <c r="BO398" i="2"/>
  <c r="BN398" i="2"/>
  <c r="BM398" i="2"/>
  <c r="BL398" i="2"/>
  <c r="BK398" i="2"/>
  <c r="BJ398" i="2"/>
  <c r="BI398" i="2"/>
  <c r="BH398" i="2"/>
  <c r="BG398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CS407" i="2"/>
  <c r="CR407" i="2"/>
  <c r="CQ407" i="2"/>
  <c r="CP407" i="2"/>
  <c r="CO407" i="2"/>
  <c r="CN407" i="2"/>
  <c r="CM407" i="2"/>
  <c r="CL407" i="2"/>
  <c r="CK407" i="2"/>
  <c r="CJ407" i="2"/>
  <c r="CI407" i="2"/>
  <c r="CH407" i="2"/>
  <c r="CG407" i="2"/>
  <c r="CF407" i="2"/>
  <c r="CE407" i="2"/>
  <c r="CD407" i="2"/>
  <c r="CC407" i="2"/>
  <c r="CB407" i="2"/>
  <c r="CA407" i="2"/>
  <c r="BZ407" i="2"/>
  <c r="BY407" i="2"/>
  <c r="BX407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AJ96" i="13"/>
  <c r="AK96" i="13"/>
  <c r="AL96" i="13"/>
  <c r="AM96" i="13"/>
  <c r="DF96" i="13" s="1"/>
  <c r="AN96" i="13"/>
  <c r="AO96" i="13"/>
  <c r="AP96" i="13"/>
  <c r="DG96" i="13" s="1"/>
  <c r="AQ96" i="13"/>
  <c r="AR96" i="13"/>
  <c r="AS96" i="13"/>
  <c r="DH96" i="13" s="1"/>
  <c r="AT96" i="13"/>
  <c r="AU96" i="13"/>
  <c r="AV96" i="13"/>
  <c r="DI96" i="13" s="1"/>
  <c r="EE96" i="13" s="1"/>
  <c r="AW96" i="13"/>
  <c r="AX96" i="13"/>
  <c r="AY96" i="13"/>
  <c r="DJ96" i="13" s="1"/>
  <c r="AZ96" i="13"/>
  <c r="BA96" i="13"/>
  <c r="BB96" i="13"/>
  <c r="DK96" i="13" s="1"/>
  <c r="BC96" i="13"/>
  <c r="BD96" i="13"/>
  <c r="BE96" i="13"/>
  <c r="DL96" i="13" s="1"/>
  <c r="BF96" i="13"/>
  <c r="BG96" i="13"/>
  <c r="BH96" i="13"/>
  <c r="DM96" i="13" s="1"/>
  <c r="EF96" i="13" s="1"/>
  <c r="BI96" i="13"/>
  <c r="BJ96" i="13"/>
  <c r="BK96" i="13"/>
  <c r="DN96" i="13" s="1"/>
  <c r="BL96" i="13"/>
  <c r="BM96" i="13"/>
  <c r="BN96" i="13"/>
  <c r="DO96" i="13" s="1"/>
  <c r="BO96" i="13"/>
  <c r="BP96" i="13"/>
  <c r="BQ96" i="13"/>
  <c r="DP96" i="13" s="1"/>
  <c r="BR96" i="13"/>
  <c r="BS96" i="13"/>
  <c r="BT96" i="13"/>
  <c r="DQ96" i="13" s="1"/>
  <c r="EG96" i="13" s="1"/>
  <c r="BU96" i="13"/>
  <c r="BV96" i="13"/>
  <c r="BW96" i="13"/>
  <c r="DR96" i="13" s="1"/>
  <c r="BX96" i="13"/>
  <c r="BY96" i="13"/>
  <c r="BZ96" i="13"/>
  <c r="DS96" i="13" s="1"/>
  <c r="CA96" i="13"/>
  <c r="CB96" i="13"/>
  <c r="CC96" i="13"/>
  <c r="DT96" i="13" s="1"/>
  <c r="CD96" i="13"/>
  <c r="CE96" i="13"/>
  <c r="CF96" i="13"/>
  <c r="DU96" i="13" s="1"/>
  <c r="EH96" i="13" s="1"/>
  <c r="CG96" i="13"/>
  <c r="CH96" i="13"/>
  <c r="CI96" i="13"/>
  <c r="DV96" i="13" s="1"/>
  <c r="CJ96" i="13"/>
  <c r="CK96" i="13"/>
  <c r="CL96" i="13"/>
  <c r="DW96" i="13" s="1"/>
  <c r="CM96" i="13"/>
  <c r="CN96" i="13"/>
  <c r="CO96" i="13"/>
  <c r="DX96" i="13" s="1"/>
  <c r="CP96" i="13"/>
  <c r="CQ96" i="13"/>
  <c r="CR96" i="13"/>
  <c r="DY96" i="13" s="1"/>
  <c r="EI96" i="13" s="1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AJ97" i="13"/>
  <c r="AK97" i="13"/>
  <c r="AL97" i="13"/>
  <c r="AM97" i="13"/>
  <c r="DF97" i="13" s="1"/>
  <c r="AN97" i="13"/>
  <c r="AO97" i="13"/>
  <c r="AP97" i="13"/>
  <c r="DG97" i="13" s="1"/>
  <c r="AQ97" i="13"/>
  <c r="AR97" i="13"/>
  <c r="AS97" i="13"/>
  <c r="DH97" i="13" s="1"/>
  <c r="AT97" i="13"/>
  <c r="AU97" i="13"/>
  <c r="AV97" i="13"/>
  <c r="DI97" i="13" s="1"/>
  <c r="EE97" i="13" s="1"/>
  <c r="AW97" i="13"/>
  <c r="AX97" i="13"/>
  <c r="AY97" i="13"/>
  <c r="DJ97" i="13" s="1"/>
  <c r="AZ97" i="13"/>
  <c r="BA97" i="13"/>
  <c r="BB97" i="13"/>
  <c r="DK97" i="13" s="1"/>
  <c r="BC97" i="13"/>
  <c r="BD97" i="13"/>
  <c r="BE97" i="13"/>
  <c r="DL97" i="13" s="1"/>
  <c r="BF97" i="13"/>
  <c r="BG97" i="13"/>
  <c r="BH97" i="13"/>
  <c r="DM97" i="13" s="1"/>
  <c r="EF97" i="13" s="1"/>
  <c r="BI97" i="13"/>
  <c r="BJ97" i="13"/>
  <c r="BK97" i="13"/>
  <c r="DN97" i="13" s="1"/>
  <c r="BL97" i="13"/>
  <c r="BM97" i="13"/>
  <c r="BN97" i="13"/>
  <c r="DO97" i="13" s="1"/>
  <c r="BO97" i="13"/>
  <c r="BP97" i="13"/>
  <c r="BQ97" i="13"/>
  <c r="DP97" i="13" s="1"/>
  <c r="BR97" i="13"/>
  <c r="BS97" i="13"/>
  <c r="BT97" i="13"/>
  <c r="DQ97" i="13" s="1"/>
  <c r="EG97" i="13" s="1"/>
  <c r="BU97" i="13"/>
  <c r="BV97" i="13"/>
  <c r="BW97" i="13"/>
  <c r="DR97" i="13" s="1"/>
  <c r="BX97" i="13"/>
  <c r="BY97" i="13"/>
  <c r="BZ97" i="13"/>
  <c r="DS97" i="13" s="1"/>
  <c r="CA97" i="13"/>
  <c r="CB97" i="13"/>
  <c r="CC97" i="13"/>
  <c r="DT97" i="13" s="1"/>
  <c r="CD97" i="13"/>
  <c r="CE97" i="13"/>
  <c r="CF97" i="13"/>
  <c r="DU97" i="13" s="1"/>
  <c r="EH97" i="13" s="1"/>
  <c r="CG97" i="13"/>
  <c r="CH97" i="13"/>
  <c r="CI97" i="13"/>
  <c r="DV97" i="13" s="1"/>
  <c r="CJ97" i="13"/>
  <c r="CK97" i="13"/>
  <c r="CL97" i="13"/>
  <c r="DW97" i="13" s="1"/>
  <c r="CM97" i="13"/>
  <c r="CN97" i="13"/>
  <c r="CO97" i="13"/>
  <c r="DX97" i="13" s="1"/>
  <c r="CP97" i="13"/>
  <c r="CQ97" i="13"/>
  <c r="CR97" i="13"/>
  <c r="DY97" i="13" s="1"/>
  <c r="EI97" i="13" s="1"/>
  <c r="K99" i="13"/>
  <c r="L99" i="13"/>
  <c r="M99" i="13"/>
  <c r="N99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AB99" i="13"/>
  <c r="AC99" i="13"/>
  <c r="AD99" i="13"/>
  <c r="AE99" i="13"/>
  <c r="AF99" i="13"/>
  <c r="AG99" i="13"/>
  <c r="AH99" i="13"/>
  <c r="AI99" i="13"/>
  <c r="AJ99" i="13"/>
  <c r="AK99" i="13"/>
  <c r="AL99" i="13"/>
  <c r="AM99" i="13"/>
  <c r="DF99" i="13" s="1"/>
  <c r="AN99" i="13"/>
  <c r="AO99" i="13"/>
  <c r="AP99" i="13"/>
  <c r="DG99" i="13" s="1"/>
  <c r="AQ99" i="13"/>
  <c r="AR99" i="13"/>
  <c r="AS99" i="13"/>
  <c r="DH99" i="13" s="1"/>
  <c r="AT99" i="13"/>
  <c r="AU99" i="13"/>
  <c r="AV99" i="13"/>
  <c r="DI99" i="13" s="1"/>
  <c r="EE99" i="13" s="1"/>
  <c r="AW99" i="13"/>
  <c r="AX99" i="13"/>
  <c r="AY99" i="13"/>
  <c r="DJ99" i="13" s="1"/>
  <c r="AZ99" i="13"/>
  <c r="BA99" i="13"/>
  <c r="BB99" i="13"/>
  <c r="DK99" i="13" s="1"/>
  <c r="BC99" i="13"/>
  <c r="BD99" i="13"/>
  <c r="BE99" i="13"/>
  <c r="DL99" i="13" s="1"/>
  <c r="BF99" i="13"/>
  <c r="BG99" i="13"/>
  <c r="BH99" i="13"/>
  <c r="DM99" i="13" s="1"/>
  <c r="EF99" i="13" s="1"/>
  <c r="BI99" i="13"/>
  <c r="BJ99" i="13"/>
  <c r="BK99" i="13"/>
  <c r="DN99" i="13" s="1"/>
  <c r="BL99" i="13"/>
  <c r="BM99" i="13"/>
  <c r="BN99" i="13"/>
  <c r="DO99" i="13" s="1"/>
  <c r="BO99" i="13"/>
  <c r="BP99" i="13"/>
  <c r="BQ99" i="13"/>
  <c r="DP99" i="13" s="1"/>
  <c r="BR99" i="13"/>
  <c r="BS99" i="13"/>
  <c r="BT99" i="13"/>
  <c r="DQ99" i="13" s="1"/>
  <c r="EG99" i="13" s="1"/>
  <c r="K100" i="13"/>
  <c r="L100" i="13"/>
  <c r="M100" i="13"/>
  <c r="N100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AJ100" i="13"/>
  <c r="AK100" i="13"/>
  <c r="AL100" i="13"/>
  <c r="AM100" i="13"/>
  <c r="DF100" i="13" s="1"/>
  <c r="AN100" i="13"/>
  <c r="AO100" i="13"/>
  <c r="AP100" i="13"/>
  <c r="DG100" i="13" s="1"/>
  <c r="AQ100" i="13"/>
  <c r="AR100" i="13"/>
  <c r="AS100" i="13"/>
  <c r="DH100" i="13" s="1"/>
  <c r="AT100" i="13"/>
  <c r="AU100" i="13"/>
  <c r="AV100" i="13"/>
  <c r="DI100" i="13" s="1"/>
  <c r="EE100" i="13" s="1"/>
  <c r="AW100" i="13"/>
  <c r="AX100" i="13"/>
  <c r="AY100" i="13"/>
  <c r="DJ100" i="13" s="1"/>
  <c r="AZ100" i="13"/>
  <c r="BA100" i="13"/>
  <c r="BB100" i="13"/>
  <c r="DK100" i="13" s="1"/>
  <c r="BC100" i="13"/>
  <c r="BD100" i="13"/>
  <c r="BE100" i="13"/>
  <c r="DL100" i="13" s="1"/>
  <c r="BF100" i="13"/>
  <c r="BG100" i="13"/>
  <c r="BH100" i="13"/>
  <c r="DM100" i="13" s="1"/>
  <c r="EF100" i="13" s="1"/>
  <c r="BI100" i="13"/>
  <c r="BJ100" i="13"/>
  <c r="BK100" i="13"/>
  <c r="DN100" i="13" s="1"/>
  <c r="BL100" i="13"/>
  <c r="BM100" i="13"/>
  <c r="BN100" i="13"/>
  <c r="DO100" i="13" s="1"/>
  <c r="BO100" i="13"/>
  <c r="BP100" i="13"/>
  <c r="BQ100" i="13"/>
  <c r="DP100" i="13" s="1"/>
  <c r="BR100" i="13"/>
  <c r="BS100" i="13"/>
  <c r="BT100" i="13"/>
  <c r="DQ100" i="13" s="1"/>
  <c r="EG100" i="13" s="1"/>
  <c r="BU100" i="13"/>
  <c r="BV100" i="13"/>
  <c r="BW100" i="13"/>
  <c r="DR100" i="13" s="1"/>
  <c r="BX100" i="13"/>
  <c r="BY100" i="13"/>
  <c r="BZ100" i="13"/>
  <c r="DS100" i="13" s="1"/>
  <c r="CA100" i="13"/>
  <c r="CB100" i="13"/>
  <c r="CC100" i="13"/>
  <c r="DT100" i="13" s="1"/>
  <c r="CD100" i="13"/>
  <c r="CE100" i="13"/>
  <c r="CF100" i="13"/>
  <c r="DU100" i="13" s="1"/>
  <c r="EH100" i="13" s="1"/>
  <c r="CG100" i="13"/>
  <c r="CH100" i="13"/>
  <c r="CI100" i="13"/>
  <c r="DV100" i="13" s="1"/>
  <c r="CJ100" i="13"/>
  <c r="CK100" i="13"/>
  <c r="CL100" i="13"/>
  <c r="DW100" i="13" s="1"/>
  <c r="CM100" i="13"/>
  <c r="CN100" i="13"/>
  <c r="CO100" i="13"/>
  <c r="DX100" i="13" s="1"/>
  <c r="CP100" i="13"/>
  <c r="CQ100" i="13"/>
  <c r="CR100" i="13"/>
  <c r="DY100" i="13" s="1"/>
  <c r="EI100" i="13" s="1"/>
  <c r="C70" i="13"/>
  <c r="D70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AO70" i="13"/>
  <c r="AP70" i="13"/>
  <c r="AQ70" i="13"/>
  <c r="AR70" i="13"/>
  <c r="AS70" i="13"/>
  <c r="AT70" i="13"/>
  <c r="AU70" i="13"/>
  <c r="AV70" i="13"/>
  <c r="AW70" i="13"/>
  <c r="AX70" i="13"/>
  <c r="AY70" i="13"/>
  <c r="AZ70" i="13"/>
  <c r="BA70" i="13"/>
  <c r="BB70" i="13"/>
  <c r="BC70" i="13"/>
  <c r="BD70" i="13"/>
  <c r="BE70" i="13"/>
  <c r="BF70" i="13"/>
  <c r="BG70" i="13"/>
  <c r="BH70" i="13"/>
  <c r="BI70" i="13"/>
  <c r="BJ70" i="13"/>
  <c r="BK70" i="13"/>
  <c r="BL70" i="13"/>
  <c r="BM70" i="13"/>
  <c r="BN70" i="13"/>
  <c r="BO70" i="13"/>
  <c r="BP70" i="13"/>
  <c r="BQ70" i="13"/>
  <c r="BR70" i="13"/>
  <c r="BS70" i="13"/>
  <c r="BT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AM71" i="13"/>
  <c r="AN71" i="13"/>
  <c r="AO71" i="13"/>
  <c r="AP71" i="13"/>
  <c r="AQ71" i="13"/>
  <c r="AR71" i="13"/>
  <c r="AS71" i="13"/>
  <c r="AT71" i="13"/>
  <c r="AU71" i="13"/>
  <c r="AV71" i="13"/>
  <c r="AW71" i="13"/>
  <c r="AX71" i="13"/>
  <c r="AY71" i="13"/>
  <c r="AZ71" i="13"/>
  <c r="BA71" i="13"/>
  <c r="BB71" i="13"/>
  <c r="BC71" i="13"/>
  <c r="BD71" i="13"/>
  <c r="BE71" i="13"/>
  <c r="BF71" i="13"/>
  <c r="BG71" i="13"/>
  <c r="BH71" i="13"/>
  <c r="BI71" i="13"/>
  <c r="BJ71" i="13"/>
  <c r="BK71" i="13"/>
  <c r="BL71" i="13"/>
  <c r="BM71" i="13"/>
  <c r="BN71" i="13"/>
  <c r="BO71" i="13"/>
  <c r="BP71" i="13"/>
  <c r="BQ71" i="13"/>
  <c r="BR71" i="13"/>
  <c r="BS71" i="13"/>
  <c r="BT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AM72" i="13"/>
  <c r="AN72" i="13"/>
  <c r="AO72" i="13"/>
  <c r="AP72" i="13"/>
  <c r="AQ72" i="13"/>
  <c r="AR72" i="13"/>
  <c r="AS72" i="13"/>
  <c r="AT72" i="13"/>
  <c r="AU72" i="13"/>
  <c r="AV72" i="13"/>
  <c r="AW72" i="13"/>
  <c r="AX72" i="13"/>
  <c r="AY72" i="13"/>
  <c r="AZ72" i="13"/>
  <c r="BA72" i="13"/>
  <c r="BB72" i="13"/>
  <c r="BC72" i="13"/>
  <c r="BD72" i="13"/>
  <c r="BE72" i="13"/>
  <c r="BF72" i="13"/>
  <c r="BG72" i="13"/>
  <c r="BH72" i="13"/>
  <c r="BI72" i="13"/>
  <c r="BJ72" i="13"/>
  <c r="BK72" i="13"/>
  <c r="BL72" i="13"/>
  <c r="BM72" i="13"/>
  <c r="BN72" i="13"/>
  <c r="BO72" i="13"/>
  <c r="BP72" i="13"/>
  <c r="BQ72" i="13"/>
  <c r="BR72" i="13"/>
  <c r="BS72" i="13"/>
  <c r="BT72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G65" i="13"/>
  <c r="BH65" i="13"/>
  <c r="BI65" i="13"/>
  <c r="BJ65" i="13"/>
  <c r="BK65" i="13"/>
  <c r="BL65" i="13"/>
  <c r="BM65" i="13"/>
  <c r="BN65" i="13"/>
  <c r="BO65" i="13"/>
  <c r="BP65" i="13"/>
  <c r="BQ65" i="13"/>
  <c r="BR65" i="13"/>
  <c r="BS65" i="13"/>
  <c r="BT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G66" i="13"/>
  <c r="BH66" i="13"/>
  <c r="BI66" i="13"/>
  <c r="BJ66" i="13"/>
  <c r="BK66" i="13"/>
  <c r="BL66" i="13"/>
  <c r="BM66" i="13"/>
  <c r="BN66" i="13"/>
  <c r="BO66" i="13"/>
  <c r="BP66" i="13"/>
  <c r="BQ66" i="13"/>
  <c r="BR66" i="13"/>
  <c r="BS66" i="13"/>
  <c r="BT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G67" i="13"/>
  <c r="BH67" i="13"/>
  <c r="BI67" i="13"/>
  <c r="BJ67" i="13"/>
  <c r="BK67" i="13"/>
  <c r="BL67" i="13"/>
  <c r="BM67" i="13"/>
  <c r="BN67" i="13"/>
  <c r="BO67" i="13"/>
  <c r="BP67" i="13"/>
  <c r="BQ67" i="13"/>
  <c r="BR67" i="13"/>
  <c r="BS67" i="13"/>
  <c r="BT67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AU57" i="13"/>
  <c r="AV57" i="13"/>
  <c r="AW57" i="13"/>
  <c r="AX57" i="13"/>
  <c r="AY57" i="13"/>
  <c r="AZ57" i="13"/>
  <c r="BA57" i="13"/>
  <c r="BB57" i="13"/>
  <c r="BC57" i="13"/>
  <c r="BD57" i="13"/>
  <c r="BE57" i="13"/>
  <c r="BF57" i="13"/>
  <c r="BG57" i="13"/>
  <c r="BH57" i="13"/>
  <c r="BI57" i="13"/>
  <c r="BJ57" i="13"/>
  <c r="BK57" i="13"/>
  <c r="BL57" i="13"/>
  <c r="BM57" i="13"/>
  <c r="BN57" i="13"/>
  <c r="BO57" i="13"/>
  <c r="BP57" i="13"/>
  <c r="BQ57" i="13"/>
  <c r="BR57" i="13"/>
  <c r="BS57" i="13"/>
  <c r="BT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AU58" i="13"/>
  <c r="AV58" i="13"/>
  <c r="AW58" i="13"/>
  <c r="AX58" i="13"/>
  <c r="AY58" i="13"/>
  <c r="AZ58" i="13"/>
  <c r="BA58" i="13"/>
  <c r="BB58" i="13"/>
  <c r="BC58" i="13"/>
  <c r="BD58" i="13"/>
  <c r="BE58" i="13"/>
  <c r="BF58" i="13"/>
  <c r="BG58" i="13"/>
  <c r="BH58" i="13"/>
  <c r="BI58" i="13"/>
  <c r="BJ58" i="13"/>
  <c r="BK58" i="13"/>
  <c r="BL58" i="13"/>
  <c r="BM58" i="13"/>
  <c r="BN58" i="13"/>
  <c r="BO58" i="13"/>
  <c r="BP58" i="13"/>
  <c r="BQ58" i="13"/>
  <c r="BR58" i="13"/>
  <c r="BS58" i="13"/>
  <c r="BT58" i="13"/>
  <c r="C59" i="13"/>
  <c r="D59" i="13"/>
  <c r="E59" i="13"/>
  <c r="F59" i="13"/>
  <c r="G59" i="13"/>
  <c r="H59" i="13"/>
  <c r="I59" i="13"/>
  <c r="J59" i="13"/>
  <c r="C43" i="11" s="1"/>
  <c r="K59" i="13"/>
  <c r="D43" i="11" s="1"/>
  <c r="L59" i="13"/>
  <c r="E43" i="11" s="1"/>
  <c r="M59" i="13"/>
  <c r="F43" i="11" s="1"/>
  <c r="N59" i="13"/>
  <c r="G43" i="11" s="1"/>
  <c r="O59" i="13"/>
  <c r="H43" i="11" s="1"/>
  <c r="P59" i="13"/>
  <c r="I43" i="11" s="1"/>
  <c r="Q59" i="13"/>
  <c r="J43" i="11" s="1"/>
  <c r="R59" i="13"/>
  <c r="K43" i="11" s="1"/>
  <c r="S59" i="13"/>
  <c r="L43" i="11" s="1"/>
  <c r="T59" i="13"/>
  <c r="M43" i="11" s="1"/>
  <c r="U59" i="13"/>
  <c r="N43" i="11" s="1"/>
  <c r="V59" i="13"/>
  <c r="O43" i="11" s="1"/>
  <c r="W59" i="13"/>
  <c r="P43" i="11" s="1"/>
  <c r="X59" i="13"/>
  <c r="Q43" i="11" s="1"/>
  <c r="Y59" i="13"/>
  <c r="R43" i="11" s="1"/>
  <c r="Z59" i="13"/>
  <c r="S43" i="11" s="1"/>
  <c r="AA59" i="13"/>
  <c r="T43" i="11" s="1"/>
  <c r="AB59" i="13"/>
  <c r="U43" i="11" s="1"/>
  <c r="AC59" i="13"/>
  <c r="V43" i="11" s="1"/>
  <c r="AD59" i="13"/>
  <c r="W43" i="11" s="1"/>
  <c r="AE59" i="13"/>
  <c r="X43" i="11" s="1"/>
  <c r="AF59" i="13"/>
  <c r="Y43" i="11" s="1"/>
  <c r="AG59" i="13"/>
  <c r="Z43" i="11" s="1"/>
  <c r="AH59" i="13"/>
  <c r="AA43" i="11" s="1"/>
  <c r="AI59" i="13"/>
  <c r="AB43" i="11" s="1"/>
  <c r="AJ59" i="13"/>
  <c r="AC43" i="11" s="1"/>
  <c r="AK59" i="13"/>
  <c r="AL59" i="13"/>
  <c r="AE43" i="11" s="1"/>
  <c r="AM59" i="13"/>
  <c r="AF43" i="11" s="1"/>
  <c r="AN59" i="13"/>
  <c r="AO59" i="13"/>
  <c r="AH43" i="11" s="1"/>
  <c r="AP59" i="13"/>
  <c r="AI43" i="11" s="1"/>
  <c r="AQ59" i="13"/>
  <c r="AR59" i="13"/>
  <c r="AK43" i="11" s="1"/>
  <c r="AS59" i="13"/>
  <c r="AL43" i="11" s="1"/>
  <c r="AT59" i="13"/>
  <c r="AU59" i="13"/>
  <c r="AN43" i="11" s="1"/>
  <c r="AV59" i="13"/>
  <c r="AO43" i="11" s="1"/>
  <c r="AW59" i="13"/>
  <c r="AX59" i="13"/>
  <c r="AQ43" i="11" s="1"/>
  <c r="AY59" i="13"/>
  <c r="AR43" i="11" s="1"/>
  <c r="AZ59" i="13"/>
  <c r="BA59" i="13"/>
  <c r="AT43" i="11" s="1"/>
  <c r="BB59" i="13"/>
  <c r="AU43" i="11" s="1"/>
  <c r="BC59" i="13"/>
  <c r="BD59" i="13"/>
  <c r="AW43" i="11" s="1"/>
  <c r="BE59" i="13"/>
  <c r="AX43" i="11" s="1"/>
  <c r="BF59" i="13"/>
  <c r="BG59" i="13"/>
  <c r="AZ43" i="11" s="1"/>
  <c r="BH59" i="13"/>
  <c r="BA43" i="11" s="1"/>
  <c r="BI59" i="13"/>
  <c r="BJ59" i="13"/>
  <c r="BC43" i="11" s="1"/>
  <c r="BK59" i="13"/>
  <c r="BD43" i="11" s="1"/>
  <c r="BL59" i="13"/>
  <c r="BM59" i="13"/>
  <c r="BF43" i="11" s="1"/>
  <c r="BN59" i="13"/>
  <c r="BG43" i="11" s="1"/>
  <c r="BO59" i="13"/>
  <c r="BP59" i="13"/>
  <c r="BI43" i="11" s="1"/>
  <c r="BQ59" i="13"/>
  <c r="BJ43" i="11" s="1"/>
  <c r="BR59" i="13"/>
  <c r="BS59" i="13"/>
  <c r="BL43" i="11" s="1"/>
  <c r="BT59" i="13"/>
  <c r="BM43" i="11" s="1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BF60" i="13"/>
  <c r="BG60" i="13"/>
  <c r="BH60" i="13"/>
  <c r="BI60" i="13"/>
  <c r="BJ60" i="13"/>
  <c r="BK60" i="13"/>
  <c r="BL60" i="13"/>
  <c r="BM60" i="13"/>
  <c r="BN60" i="13"/>
  <c r="BO60" i="13"/>
  <c r="BP60" i="13"/>
  <c r="BQ60" i="13"/>
  <c r="BR60" i="13"/>
  <c r="BS60" i="13"/>
  <c r="BT60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AU50" i="13"/>
  <c r="AV50" i="13"/>
  <c r="AW50" i="13"/>
  <c r="AX50" i="13"/>
  <c r="AY50" i="13"/>
  <c r="AZ50" i="13"/>
  <c r="BA50" i="13"/>
  <c r="BB50" i="13"/>
  <c r="BC50" i="13"/>
  <c r="BD50" i="13"/>
  <c r="BE50" i="13"/>
  <c r="BF50" i="13"/>
  <c r="BG50" i="13"/>
  <c r="BH50" i="13"/>
  <c r="BI50" i="13"/>
  <c r="BJ50" i="13"/>
  <c r="BK50" i="13"/>
  <c r="BL50" i="13"/>
  <c r="BM50" i="13"/>
  <c r="BN50" i="13"/>
  <c r="BO50" i="13"/>
  <c r="BP50" i="13"/>
  <c r="BQ50" i="13"/>
  <c r="BR50" i="13"/>
  <c r="BS50" i="13"/>
  <c r="BT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AX51" i="13"/>
  <c r="AY51" i="13"/>
  <c r="AZ51" i="13"/>
  <c r="BA51" i="13"/>
  <c r="BB51" i="13"/>
  <c r="BC51" i="13"/>
  <c r="BD51" i="13"/>
  <c r="BE51" i="13"/>
  <c r="BF51" i="13"/>
  <c r="BG51" i="13"/>
  <c r="BH51" i="13"/>
  <c r="BI51" i="13"/>
  <c r="BJ51" i="13"/>
  <c r="BK51" i="13"/>
  <c r="BL51" i="13"/>
  <c r="BM51" i="13"/>
  <c r="BN51" i="13"/>
  <c r="BO51" i="13"/>
  <c r="BP51" i="13"/>
  <c r="BQ51" i="13"/>
  <c r="BR51" i="13"/>
  <c r="BS51" i="13"/>
  <c r="BT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AU52" i="13"/>
  <c r="AV52" i="13"/>
  <c r="AW52" i="13"/>
  <c r="AX52" i="13"/>
  <c r="AY52" i="13"/>
  <c r="AZ52" i="13"/>
  <c r="BA52" i="13"/>
  <c r="BB52" i="13"/>
  <c r="BC52" i="13"/>
  <c r="BD52" i="13"/>
  <c r="BE52" i="13"/>
  <c r="BF52" i="13"/>
  <c r="BG52" i="13"/>
  <c r="BH52" i="13"/>
  <c r="BI52" i="13"/>
  <c r="BJ52" i="13"/>
  <c r="BK52" i="13"/>
  <c r="BL52" i="13"/>
  <c r="BM52" i="13"/>
  <c r="BN52" i="13"/>
  <c r="BO52" i="13"/>
  <c r="BP52" i="13"/>
  <c r="BQ52" i="13"/>
  <c r="BR52" i="13"/>
  <c r="BS52" i="13"/>
  <c r="BT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AU53" i="13"/>
  <c r="AV53" i="13"/>
  <c r="AW53" i="13"/>
  <c r="AX53" i="13"/>
  <c r="AY53" i="13"/>
  <c r="AZ53" i="13"/>
  <c r="BA53" i="13"/>
  <c r="BB53" i="13"/>
  <c r="BC53" i="13"/>
  <c r="BD53" i="13"/>
  <c r="BE53" i="13"/>
  <c r="BF53" i="13"/>
  <c r="BG53" i="13"/>
  <c r="BH53" i="13"/>
  <c r="BI53" i="13"/>
  <c r="BJ53" i="13"/>
  <c r="BK53" i="13"/>
  <c r="BL53" i="13"/>
  <c r="BM53" i="13"/>
  <c r="BN53" i="13"/>
  <c r="BO53" i="13"/>
  <c r="BP53" i="13"/>
  <c r="BQ53" i="13"/>
  <c r="BR53" i="13"/>
  <c r="BS53" i="13"/>
  <c r="BT5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AU44" i="13"/>
  <c r="AV44" i="13"/>
  <c r="AW44" i="13"/>
  <c r="AX44" i="13"/>
  <c r="AY44" i="13"/>
  <c r="AZ44" i="13"/>
  <c r="BA44" i="13"/>
  <c r="BB44" i="13"/>
  <c r="BC44" i="13"/>
  <c r="BD44" i="13"/>
  <c r="BE44" i="13"/>
  <c r="BF44" i="13"/>
  <c r="BG44" i="13"/>
  <c r="BH44" i="13"/>
  <c r="BI44" i="13"/>
  <c r="BJ44" i="13"/>
  <c r="BK44" i="13"/>
  <c r="BL44" i="13"/>
  <c r="BM44" i="13"/>
  <c r="BN44" i="13"/>
  <c r="BO44" i="13"/>
  <c r="BP44" i="13"/>
  <c r="BQ44" i="13"/>
  <c r="BR44" i="13"/>
  <c r="BS44" i="13"/>
  <c r="BT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AX45" i="13"/>
  <c r="AY45" i="13"/>
  <c r="AZ45" i="13"/>
  <c r="BA45" i="13"/>
  <c r="BB45" i="13"/>
  <c r="BC45" i="13"/>
  <c r="BD45" i="13"/>
  <c r="BE45" i="13"/>
  <c r="BF45" i="13"/>
  <c r="BG45" i="13"/>
  <c r="BH45" i="13"/>
  <c r="BI45" i="13"/>
  <c r="BJ45" i="13"/>
  <c r="BK45" i="13"/>
  <c r="BL45" i="13"/>
  <c r="BM45" i="13"/>
  <c r="BN45" i="13"/>
  <c r="BO45" i="13"/>
  <c r="BP45" i="13"/>
  <c r="BQ45" i="13"/>
  <c r="BR45" i="13"/>
  <c r="BS45" i="13"/>
  <c r="BT45" i="13"/>
  <c r="BU45" i="13"/>
  <c r="BV45" i="13"/>
  <c r="BW45" i="13"/>
  <c r="BX45" i="13"/>
  <c r="BY45" i="13"/>
  <c r="BZ45" i="13"/>
  <c r="CA45" i="13"/>
  <c r="CB45" i="13"/>
  <c r="CC45" i="13"/>
  <c r="CD45" i="13"/>
  <c r="CE45" i="13"/>
  <c r="CF45" i="13"/>
  <c r="CG45" i="13"/>
  <c r="CH45" i="13"/>
  <c r="CI45" i="13"/>
  <c r="CJ45" i="13"/>
  <c r="CK45" i="13"/>
  <c r="CL45" i="13"/>
  <c r="CM45" i="13"/>
  <c r="CN45" i="13"/>
  <c r="CO45" i="13"/>
  <c r="CP45" i="13"/>
  <c r="CQ45" i="13"/>
  <c r="CR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AX46" i="13"/>
  <c r="AY46" i="13"/>
  <c r="AZ46" i="13"/>
  <c r="BA46" i="13"/>
  <c r="BB46" i="13"/>
  <c r="BC46" i="13"/>
  <c r="BD46" i="13"/>
  <c r="BE46" i="13"/>
  <c r="BF46" i="13"/>
  <c r="BG46" i="13"/>
  <c r="BH46" i="13"/>
  <c r="BI46" i="13"/>
  <c r="BJ46" i="13"/>
  <c r="BK46" i="13"/>
  <c r="BL46" i="13"/>
  <c r="BM46" i="13"/>
  <c r="BN46" i="13"/>
  <c r="BO46" i="13"/>
  <c r="BP46" i="13"/>
  <c r="BQ46" i="13"/>
  <c r="BR46" i="13"/>
  <c r="BS46" i="13"/>
  <c r="BT46" i="13"/>
  <c r="BU46" i="13"/>
  <c r="BV46" i="13"/>
  <c r="BW46" i="13"/>
  <c r="BX46" i="13"/>
  <c r="BY46" i="13"/>
  <c r="BZ46" i="13"/>
  <c r="CA46" i="13"/>
  <c r="CB46" i="13"/>
  <c r="CC46" i="13"/>
  <c r="CD46" i="13"/>
  <c r="CE46" i="13"/>
  <c r="CF46" i="13"/>
  <c r="CG46" i="13"/>
  <c r="CH46" i="13"/>
  <c r="CI46" i="13"/>
  <c r="CJ46" i="13"/>
  <c r="CK46" i="13"/>
  <c r="CL46" i="13"/>
  <c r="CM46" i="13"/>
  <c r="CN46" i="13"/>
  <c r="CO46" i="13"/>
  <c r="CP46" i="13"/>
  <c r="CQ46" i="13"/>
  <c r="CR46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AY39" i="13"/>
  <c r="AZ39" i="13"/>
  <c r="BA39" i="13"/>
  <c r="BB39" i="13"/>
  <c r="BC39" i="13"/>
  <c r="BD39" i="13"/>
  <c r="BE39" i="13"/>
  <c r="BF39" i="13"/>
  <c r="BG39" i="13"/>
  <c r="BH39" i="13"/>
  <c r="BI39" i="13"/>
  <c r="BJ39" i="13"/>
  <c r="BK39" i="13"/>
  <c r="BL39" i="13"/>
  <c r="BM39" i="13"/>
  <c r="BN39" i="13"/>
  <c r="BO39" i="13"/>
  <c r="BP39" i="13"/>
  <c r="BQ39" i="13"/>
  <c r="BR39" i="13"/>
  <c r="BS39" i="13"/>
  <c r="BT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AX40" i="13"/>
  <c r="AY40" i="13"/>
  <c r="AZ40" i="13"/>
  <c r="BA40" i="13"/>
  <c r="BB40" i="13"/>
  <c r="BC40" i="13"/>
  <c r="BD40" i="13"/>
  <c r="BE40" i="13"/>
  <c r="BF40" i="13"/>
  <c r="BG40" i="13"/>
  <c r="BH40" i="13"/>
  <c r="BI40" i="13"/>
  <c r="BJ40" i="13"/>
  <c r="BK40" i="13"/>
  <c r="BL40" i="13"/>
  <c r="BM40" i="13"/>
  <c r="BN40" i="13"/>
  <c r="BO40" i="13"/>
  <c r="BP40" i="13"/>
  <c r="BQ40" i="13"/>
  <c r="BR40" i="13"/>
  <c r="BS40" i="13"/>
  <c r="BT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AU41" i="13"/>
  <c r="AV41" i="13"/>
  <c r="AW41" i="13"/>
  <c r="AX41" i="13"/>
  <c r="AY41" i="13"/>
  <c r="AZ41" i="13"/>
  <c r="BA41" i="13"/>
  <c r="BB41" i="13"/>
  <c r="BC41" i="13"/>
  <c r="BD41" i="13"/>
  <c r="BE41" i="13"/>
  <c r="BF41" i="13"/>
  <c r="BG41" i="13"/>
  <c r="BH41" i="13"/>
  <c r="BI41" i="13"/>
  <c r="BJ41" i="13"/>
  <c r="BK41" i="13"/>
  <c r="BL41" i="13"/>
  <c r="BM41" i="13"/>
  <c r="BN41" i="13"/>
  <c r="BO41" i="13"/>
  <c r="BP41" i="13"/>
  <c r="BQ41" i="13"/>
  <c r="BR41" i="13"/>
  <c r="BS41" i="13"/>
  <c r="BT41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AY33" i="13"/>
  <c r="AZ33" i="13"/>
  <c r="BA33" i="13"/>
  <c r="BB33" i="13"/>
  <c r="BC33" i="13"/>
  <c r="BD33" i="13"/>
  <c r="BE33" i="13"/>
  <c r="BF33" i="13"/>
  <c r="BG33" i="13"/>
  <c r="BH33" i="13"/>
  <c r="BI33" i="13"/>
  <c r="BJ33" i="13"/>
  <c r="BK33" i="13"/>
  <c r="BL33" i="13"/>
  <c r="BM33" i="13"/>
  <c r="BN33" i="13"/>
  <c r="BO33" i="13"/>
  <c r="BP33" i="13"/>
  <c r="BQ33" i="13"/>
  <c r="BR33" i="13"/>
  <c r="BS33" i="13"/>
  <c r="BT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AU34" i="13"/>
  <c r="AV34" i="13"/>
  <c r="AW34" i="13"/>
  <c r="AX34" i="13"/>
  <c r="AY34" i="13"/>
  <c r="AZ34" i="13"/>
  <c r="BA34" i="13"/>
  <c r="BB34" i="13"/>
  <c r="BC34" i="13"/>
  <c r="BD34" i="13"/>
  <c r="BE34" i="13"/>
  <c r="BF34" i="13"/>
  <c r="BG34" i="13"/>
  <c r="BH34" i="13"/>
  <c r="BI34" i="13"/>
  <c r="BJ34" i="13"/>
  <c r="BK34" i="13"/>
  <c r="BL34" i="13"/>
  <c r="BM34" i="13"/>
  <c r="BN34" i="13"/>
  <c r="BO34" i="13"/>
  <c r="BP34" i="13"/>
  <c r="BQ34" i="13"/>
  <c r="BR34" i="13"/>
  <c r="BS34" i="13"/>
  <c r="BT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AU35" i="13"/>
  <c r="AV35" i="13"/>
  <c r="AW35" i="13"/>
  <c r="AX35" i="13"/>
  <c r="AY35" i="13"/>
  <c r="AZ35" i="13"/>
  <c r="BA35" i="13"/>
  <c r="BB35" i="13"/>
  <c r="BC35" i="13"/>
  <c r="BD35" i="13"/>
  <c r="BE35" i="13"/>
  <c r="BF35" i="13"/>
  <c r="BG35" i="13"/>
  <c r="BH35" i="13"/>
  <c r="BI35" i="13"/>
  <c r="BJ35" i="13"/>
  <c r="BK35" i="13"/>
  <c r="BL35" i="13"/>
  <c r="BM35" i="13"/>
  <c r="BN35" i="13"/>
  <c r="BO35" i="13"/>
  <c r="BP35" i="13"/>
  <c r="BQ35" i="13"/>
  <c r="BR35" i="13"/>
  <c r="BS35" i="13"/>
  <c r="BT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Y36" i="13"/>
  <c r="AZ36" i="13"/>
  <c r="BA36" i="13"/>
  <c r="BB36" i="13"/>
  <c r="BC36" i="13"/>
  <c r="BD36" i="13"/>
  <c r="BE36" i="13"/>
  <c r="BF36" i="13"/>
  <c r="BG36" i="13"/>
  <c r="BH36" i="13"/>
  <c r="BI36" i="13"/>
  <c r="BJ36" i="13"/>
  <c r="BK36" i="13"/>
  <c r="BL36" i="13"/>
  <c r="BM36" i="13"/>
  <c r="BN36" i="13"/>
  <c r="BO36" i="13"/>
  <c r="BP36" i="13"/>
  <c r="BQ36" i="13"/>
  <c r="BR36" i="13"/>
  <c r="BS36" i="13"/>
  <c r="BT36" i="13"/>
  <c r="C26" i="13"/>
  <c r="D26" i="13"/>
  <c r="E26" i="13"/>
  <c r="F26" i="13"/>
  <c r="G26" i="13"/>
  <c r="H26" i="13"/>
  <c r="I26" i="13"/>
  <c r="J26" i="13"/>
  <c r="C14" i="12" s="1"/>
  <c r="K26" i="13"/>
  <c r="D14" i="12" s="1"/>
  <c r="L26" i="13"/>
  <c r="E14" i="12" s="1"/>
  <c r="M26" i="13"/>
  <c r="F14" i="12" s="1"/>
  <c r="N26" i="13"/>
  <c r="G14" i="12" s="1"/>
  <c r="O26" i="13"/>
  <c r="H14" i="12" s="1"/>
  <c r="P26" i="13"/>
  <c r="I14" i="12" s="1"/>
  <c r="Q26" i="13"/>
  <c r="J14" i="12" s="1"/>
  <c r="R26" i="13"/>
  <c r="K14" i="12" s="1"/>
  <c r="S26" i="13"/>
  <c r="L14" i="12" s="1"/>
  <c r="T26" i="13"/>
  <c r="M14" i="12" s="1"/>
  <c r="U26" i="13"/>
  <c r="N14" i="12" s="1"/>
  <c r="V26" i="13"/>
  <c r="O14" i="12" s="1"/>
  <c r="W26" i="13"/>
  <c r="P14" i="12" s="1"/>
  <c r="X26" i="13"/>
  <c r="Q14" i="12" s="1"/>
  <c r="Y26" i="13"/>
  <c r="R14" i="12" s="1"/>
  <c r="Z26" i="13"/>
  <c r="S14" i="12" s="1"/>
  <c r="AA26" i="13"/>
  <c r="T14" i="12" s="1"/>
  <c r="AB26" i="13"/>
  <c r="AC26" i="13"/>
  <c r="V14" i="12" s="1"/>
  <c r="AD26" i="13"/>
  <c r="W14" i="12" s="1"/>
  <c r="AE26" i="13"/>
  <c r="X14" i="12" s="1"/>
  <c r="AF26" i="13"/>
  <c r="Y14" i="12" s="1"/>
  <c r="AG26" i="13"/>
  <c r="Z14" i="12" s="1"/>
  <c r="AH26" i="13"/>
  <c r="AA14" i="12" s="1"/>
  <c r="AI26" i="13"/>
  <c r="AB14" i="12" s="1"/>
  <c r="AJ26" i="13"/>
  <c r="AK26" i="13"/>
  <c r="AL26" i="13"/>
  <c r="AE14" i="12" s="1"/>
  <c r="AM26" i="13"/>
  <c r="AF14" i="12" s="1"/>
  <c r="AN26" i="13"/>
  <c r="AO26" i="13"/>
  <c r="AH14" i="12" s="1"/>
  <c r="AP26" i="13"/>
  <c r="AI14" i="12" s="1"/>
  <c r="AQ26" i="13"/>
  <c r="AR26" i="13"/>
  <c r="AK14" i="12" s="1"/>
  <c r="AS26" i="13"/>
  <c r="AL14" i="12" s="1"/>
  <c r="AT26" i="13"/>
  <c r="AU26" i="13"/>
  <c r="AN14" i="12" s="1"/>
  <c r="AV26" i="13"/>
  <c r="AO14" i="12" s="1"/>
  <c r="AW26" i="13"/>
  <c r="AX26" i="13"/>
  <c r="AQ14" i="12" s="1"/>
  <c r="AY26" i="13"/>
  <c r="AR14" i="12" s="1"/>
  <c r="AZ26" i="13"/>
  <c r="BA26" i="13"/>
  <c r="AT14" i="12" s="1"/>
  <c r="BB26" i="13"/>
  <c r="AU14" i="12" s="1"/>
  <c r="BC26" i="13"/>
  <c r="BD26" i="13"/>
  <c r="AW14" i="12" s="1"/>
  <c r="BE26" i="13"/>
  <c r="AX14" i="12" s="1"/>
  <c r="BF26" i="13"/>
  <c r="BG26" i="13"/>
  <c r="AZ14" i="12" s="1"/>
  <c r="BH26" i="13"/>
  <c r="BI26" i="13"/>
  <c r="BJ26" i="13"/>
  <c r="BC14" i="12" s="1"/>
  <c r="BK26" i="13"/>
  <c r="BD14" i="12" s="1"/>
  <c r="BL26" i="13"/>
  <c r="BM26" i="13"/>
  <c r="BF14" i="12" s="1"/>
  <c r="BN26" i="13"/>
  <c r="BG14" i="12" s="1"/>
  <c r="BO26" i="13"/>
  <c r="BP26" i="13"/>
  <c r="BI14" i="12" s="1"/>
  <c r="BQ26" i="13"/>
  <c r="BJ14" i="12" s="1"/>
  <c r="BR26" i="13"/>
  <c r="BS26" i="13"/>
  <c r="BL14" i="12" s="1"/>
  <c r="BT26" i="13"/>
  <c r="C27" i="13"/>
  <c r="D27" i="13"/>
  <c r="E27" i="13"/>
  <c r="F27" i="13"/>
  <c r="G27" i="13"/>
  <c r="H27" i="13"/>
  <c r="I27" i="13"/>
  <c r="J27" i="13"/>
  <c r="C15" i="12" s="1"/>
  <c r="K27" i="13"/>
  <c r="D15" i="12" s="1"/>
  <c r="L27" i="13"/>
  <c r="E15" i="12" s="1"/>
  <c r="M27" i="13"/>
  <c r="F15" i="12" s="1"/>
  <c r="N27" i="13"/>
  <c r="G15" i="12" s="1"/>
  <c r="O27" i="13"/>
  <c r="H15" i="12" s="1"/>
  <c r="P27" i="13"/>
  <c r="I15" i="12" s="1"/>
  <c r="Q27" i="13"/>
  <c r="J15" i="12" s="1"/>
  <c r="R27" i="13"/>
  <c r="K15" i="12" s="1"/>
  <c r="S27" i="13"/>
  <c r="L15" i="12" s="1"/>
  <c r="T27" i="13"/>
  <c r="M15" i="12" s="1"/>
  <c r="U27" i="13"/>
  <c r="N15" i="12" s="1"/>
  <c r="V27" i="13"/>
  <c r="O15" i="12" s="1"/>
  <c r="W27" i="13"/>
  <c r="P15" i="12" s="1"/>
  <c r="X27" i="13"/>
  <c r="Q15" i="12" s="1"/>
  <c r="Y27" i="13"/>
  <c r="R15" i="12" s="1"/>
  <c r="Z27" i="13"/>
  <c r="S15" i="12" s="1"/>
  <c r="AA27" i="13"/>
  <c r="T15" i="12" s="1"/>
  <c r="AB27" i="13"/>
  <c r="U15" i="12" s="1"/>
  <c r="AC27" i="13"/>
  <c r="V15" i="12" s="1"/>
  <c r="AD27" i="13"/>
  <c r="W15" i="12" s="1"/>
  <c r="AE27" i="13"/>
  <c r="X15" i="12" s="1"/>
  <c r="AF27" i="13"/>
  <c r="Y15" i="12" s="1"/>
  <c r="AG27" i="13"/>
  <c r="Z15" i="12" s="1"/>
  <c r="AH27" i="13"/>
  <c r="AA15" i="12" s="1"/>
  <c r="AI27" i="13"/>
  <c r="AB15" i="12" s="1"/>
  <c r="AJ27" i="13"/>
  <c r="AC15" i="12" s="1"/>
  <c r="AK27" i="13"/>
  <c r="AL27" i="13"/>
  <c r="AE15" i="12" s="1"/>
  <c r="AM27" i="13"/>
  <c r="AF15" i="12" s="1"/>
  <c r="AN27" i="13"/>
  <c r="AO27" i="13"/>
  <c r="AH15" i="12" s="1"/>
  <c r="AP27" i="13"/>
  <c r="AI15" i="12" s="1"/>
  <c r="AQ27" i="13"/>
  <c r="AR27" i="13"/>
  <c r="AK15" i="12" s="1"/>
  <c r="AS27" i="13"/>
  <c r="AL15" i="12" s="1"/>
  <c r="AT27" i="13"/>
  <c r="AU27" i="13"/>
  <c r="AN15" i="12" s="1"/>
  <c r="AV27" i="13"/>
  <c r="AO15" i="12" s="1"/>
  <c r="AW27" i="13"/>
  <c r="AX27" i="13"/>
  <c r="AQ15" i="12" s="1"/>
  <c r="AY27" i="13"/>
  <c r="AR15" i="12" s="1"/>
  <c r="AZ27" i="13"/>
  <c r="BA27" i="13"/>
  <c r="AT15" i="12" s="1"/>
  <c r="BB27" i="13"/>
  <c r="AU15" i="12" s="1"/>
  <c r="BC27" i="13"/>
  <c r="BD27" i="13"/>
  <c r="AW15" i="12" s="1"/>
  <c r="BE27" i="13"/>
  <c r="AX15" i="12" s="1"/>
  <c r="BF27" i="13"/>
  <c r="BG27" i="13"/>
  <c r="AZ15" i="12" s="1"/>
  <c r="BH27" i="13"/>
  <c r="BA15" i="12" s="1"/>
  <c r="BI27" i="13"/>
  <c r="BJ27" i="13"/>
  <c r="BC15" i="12" s="1"/>
  <c r="BK27" i="13"/>
  <c r="BD15" i="12" s="1"/>
  <c r="BL27" i="13"/>
  <c r="BM27" i="13"/>
  <c r="BF15" i="12" s="1"/>
  <c r="BN27" i="13"/>
  <c r="BG15" i="12" s="1"/>
  <c r="BO27" i="13"/>
  <c r="BP27" i="13"/>
  <c r="BI15" i="12" s="1"/>
  <c r="BQ27" i="13"/>
  <c r="BJ15" i="12" s="1"/>
  <c r="BR27" i="13"/>
  <c r="BS27" i="13"/>
  <c r="BL15" i="12" s="1"/>
  <c r="BT27" i="13"/>
  <c r="BM15" i="12" s="1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AX22" i="13"/>
  <c r="AY22" i="13"/>
  <c r="AZ22" i="13"/>
  <c r="BA22" i="13"/>
  <c r="BB22" i="13"/>
  <c r="BC22" i="13"/>
  <c r="BD22" i="13"/>
  <c r="BE22" i="13"/>
  <c r="BF22" i="13"/>
  <c r="BG22" i="13"/>
  <c r="BH22" i="13"/>
  <c r="BI22" i="13"/>
  <c r="BJ22" i="13"/>
  <c r="BK22" i="13"/>
  <c r="BL22" i="13"/>
  <c r="BM22" i="13"/>
  <c r="BN22" i="13"/>
  <c r="BO22" i="13"/>
  <c r="BP22" i="13"/>
  <c r="BQ22" i="13"/>
  <c r="BR22" i="13"/>
  <c r="BS22" i="13"/>
  <c r="BT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AX23" i="13"/>
  <c r="AY23" i="13"/>
  <c r="AZ23" i="13"/>
  <c r="BA23" i="13"/>
  <c r="BB23" i="13"/>
  <c r="BC23" i="13"/>
  <c r="BD23" i="13"/>
  <c r="BE23" i="13"/>
  <c r="BF23" i="13"/>
  <c r="BG23" i="13"/>
  <c r="BH23" i="13"/>
  <c r="BI23" i="13"/>
  <c r="BJ23" i="13"/>
  <c r="BK23" i="13"/>
  <c r="BL23" i="13"/>
  <c r="BM23" i="13"/>
  <c r="BN23" i="13"/>
  <c r="BO23" i="13"/>
  <c r="BP23" i="13"/>
  <c r="BQ23" i="13"/>
  <c r="BR23" i="13"/>
  <c r="BS23" i="13"/>
  <c r="BT23" i="13"/>
  <c r="C18" i="13"/>
  <c r="AC15" i="15" s="1"/>
  <c r="D18" i="13"/>
  <c r="AD15" i="15" s="1"/>
  <c r="E18" i="13"/>
  <c r="AE15" i="15" s="1"/>
  <c r="F18" i="13"/>
  <c r="AF15" i="15" s="1"/>
  <c r="G18" i="13"/>
  <c r="AG15" i="15" s="1"/>
  <c r="H18" i="13"/>
  <c r="AH15" i="15" s="1"/>
  <c r="I18" i="13"/>
  <c r="AI15" i="15" s="1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AX18" i="13"/>
  <c r="AY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BL18" i="13"/>
  <c r="BM18" i="13"/>
  <c r="BN18" i="13"/>
  <c r="BO18" i="13"/>
  <c r="BP18" i="13"/>
  <c r="BQ18" i="13"/>
  <c r="BR18" i="13"/>
  <c r="BS18" i="13"/>
  <c r="BT18" i="13"/>
  <c r="C19" i="13"/>
  <c r="D19" i="13"/>
  <c r="E19" i="13"/>
  <c r="F19" i="13"/>
  <c r="G19" i="13"/>
  <c r="H19" i="13"/>
  <c r="I19" i="13"/>
  <c r="J19" i="13"/>
  <c r="C17" i="11" s="1"/>
  <c r="K19" i="13"/>
  <c r="D17" i="11" s="1"/>
  <c r="L19" i="13"/>
  <c r="E17" i="11" s="1"/>
  <c r="M19" i="13"/>
  <c r="F17" i="11" s="1"/>
  <c r="N19" i="13"/>
  <c r="G17" i="11" s="1"/>
  <c r="O19" i="13"/>
  <c r="H17" i="11" s="1"/>
  <c r="P19" i="13"/>
  <c r="I17" i="11" s="1"/>
  <c r="Q19" i="13"/>
  <c r="J17" i="11" s="1"/>
  <c r="R19" i="13"/>
  <c r="K17" i="11" s="1"/>
  <c r="S19" i="13"/>
  <c r="L17" i="11" s="1"/>
  <c r="T19" i="13"/>
  <c r="M17" i="11" s="1"/>
  <c r="U19" i="13"/>
  <c r="N17" i="11" s="1"/>
  <c r="V19" i="13"/>
  <c r="O17" i="11" s="1"/>
  <c r="W19" i="13"/>
  <c r="P17" i="11" s="1"/>
  <c r="X19" i="13"/>
  <c r="Q17" i="11" s="1"/>
  <c r="Y19" i="13"/>
  <c r="R17" i="11" s="1"/>
  <c r="Z19" i="13"/>
  <c r="S17" i="11" s="1"/>
  <c r="AA19" i="13"/>
  <c r="T17" i="11" s="1"/>
  <c r="AB19" i="13"/>
  <c r="U17" i="11" s="1"/>
  <c r="AC19" i="13"/>
  <c r="V17" i="11" s="1"/>
  <c r="AD19" i="13"/>
  <c r="W17" i="11" s="1"/>
  <c r="AE19" i="13"/>
  <c r="X17" i="11" s="1"/>
  <c r="AF19" i="13"/>
  <c r="Y17" i="11" s="1"/>
  <c r="AG19" i="13"/>
  <c r="Z17" i="11" s="1"/>
  <c r="AH19" i="13"/>
  <c r="AA17" i="11" s="1"/>
  <c r="AI19" i="13"/>
  <c r="AB17" i="11" s="1"/>
  <c r="AJ19" i="13"/>
  <c r="AC17" i="11" s="1"/>
  <c r="AK19" i="13"/>
  <c r="AL19" i="13"/>
  <c r="AE17" i="11" s="1"/>
  <c r="AM19" i="13"/>
  <c r="AF17" i="11" s="1"/>
  <c r="AN19" i="13"/>
  <c r="AO19" i="13"/>
  <c r="AH17" i="11" s="1"/>
  <c r="AP19" i="13"/>
  <c r="AI17" i="11" s="1"/>
  <c r="AQ19" i="13"/>
  <c r="AR19" i="13"/>
  <c r="AK17" i="11" s="1"/>
  <c r="AS19" i="13"/>
  <c r="AL17" i="11" s="1"/>
  <c r="AT19" i="13"/>
  <c r="AU19" i="13"/>
  <c r="AN17" i="11" s="1"/>
  <c r="AV19" i="13"/>
  <c r="AO17" i="11" s="1"/>
  <c r="AW19" i="13"/>
  <c r="AX19" i="13"/>
  <c r="AQ17" i="11" s="1"/>
  <c r="AY19" i="13"/>
  <c r="AR17" i="11" s="1"/>
  <c r="AZ19" i="13"/>
  <c r="BA19" i="13"/>
  <c r="AT17" i="11" s="1"/>
  <c r="BB19" i="13"/>
  <c r="AU17" i="11" s="1"/>
  <c r="BC19" i="13"/>
  <c r="BD19" i="13"/>
  <c r="AW17" i="11" s="1"/>
  <c r="BE19" i="13"/>
  <c r="AX17" i="11" s="1"/>
  <c r="BF19" i="13"/>
  <c r="BG19" i="13"/>
  <c r="AZ17" i="11" s="1"/>
  <c r="BH19" i="13"/>
  <c r="BA17" i="11" s="1"/>
  <c r="BI19" i="13"/>
  <c r="BJ19" i="13"/>
  <c r="BC17" i="11" s="1"/>
  <c r="BK19" i="13"/>
  <c r="BD17" i="11" s="1"/>
  <c r="BL19" i="13"/>
  <c r="BM19" i="13"/>
  <c r="BF17" i="11" s="1"/>
  <c r="BN19" i="13"/>
  <c r="BG17" i="11" s="1"/>
  <c r="BO19" i="13"/>
  <c r="BP19" i="13"/>
  <c r="BI17" i="11" s="1"/>
  <c r="BQ19" i="13"/>
  <c r="BJ17" i="11" s="1"/>
  <c r="BR19" i="13"/>
  <c r="BS19" i="13"/>
  <c r="BL17" i="11" s="1"/>
  <c r="BT19" i="13"/>
  <c r="BM17" i="11" s="1"/>
  <c r="BU19" i="13"/>
  <c r="BV19" i="13"/>
  <c r="BO17" i="11" s="1"/>
  <c r="BW19" i="13"/>
  <c r="BP17" i="11" s="1"/>
  <c r="BX19" i="13"/>
  <c r="BY19" i="13"/>
  <c r="BR17" i="11" s="1"/>
  <c r="BZ19" i="13"/>
  <c r="BS17" i="11" s="1"/>
  <c r="CA19" i="13"/>
  <c r="CB19" i="13"/>
  <c r="BU17" i="11" s="1"/>
  <c r="CC19" i="13"/>
  <c r="BV17" i="11" s="1"/>
  <c r="CD19" i="13"/>
  <c r="CE19" i="13"/>
  <c r="BX17" i="11" s="1"/>
  <c r="CF19" i="13"/>
  <c r="BY17" i="11" s="1"/>
  <c r="CG19" i="13"/>
  <c r="CH19" i="13"/>
  <c r="CA17" i="11" s="1"/>
  <c r="CI19" i="13"/>
  <c r="CB17" i="11" s="1"/>
  <c r="CJ19" i="13"/>
  <c r="CK19" i="13"/>
  <c r="CD17" i="11" s="1"/>
  <c r="CL19" i="13"/>
  <c r="CE17" i="11" s="1"/>
  <c r="CM19" i="13"/>
  <c r="CN19" i="13"/>
  <c r="CG17" i="11" s="1"/>
  <c r="CO19" i="13"/>
  <c r="CH17" i="11" s="1"/>
  <c r="CP19" i="13"/>
  <c r="CQ19" i="13"/>
  <c r="CJ17" i="11" s="1"/>
  <c r="CR19" i="13"/>
  <c r="CK17" i="11" s="1"/>
  <c r="C20" i="13"/>
  <c r="D20" i="13"/>
  <c r="E20" i="13"/>
  <c r="F20" i="13"/>
  <c r="G20" i="13"/>
  <c r="H20" i="13"/>
  <c r="I20" i="13"/>
  <c r="J20" i="13"/>
  <c r="C18" i="11" s="1"/>
  <c r="K20" i="13"/>
  <c r="D18" i="11" s="1"/>
  <c r="L20" i="13"/>
  <c r="E18" i="11" s="1"/>
  <c r="M20" i="13"/>
  <c r="F18" i="11" s="1"/>
  <c r="N20" i="13"/>
  <c r="G18" i="11" s="1"/>
  <c r="O20" i="13"/>
  <c r="H18" i="11" s="1"/>
  <c r="P20" i="13"/>
  <c r="I18" i="11" s="1"/>
  <c r="Q20" i="13"/>
  <c r="J18" i="11" s="1"/>
  <c r="R20" i="13"/>
  <c r="K18" i="11" s="1"/>
  <c r="S20" i="13"/>
  <c r="L18" i="11" s="1"/>
  <c r="T20" i="13"/>
  <c r="M18" i="11" s="1"/>
  <c r="U20" i="13"/>
  <c r="N18" i="11" s="1"/>
  <c r="V20" i="13"/>
  <c r="O18" i="11" s="1"/>
  <c r="W20" i="13"/>
  <c r="P18" i="11" s="1"/>
  <c r="X20" i="13"/>
  <c r="Q18" i="11" s="1"/>
  <c r="Y20" i="13"/>
  <c r="R18" i="11" s="1"/>
  <c r="Z20" i="13"/>
  <c r="S18" i="11" s="1"/>
  <c r="AA20" i="13"/>
  <c r="T18" i="11" s="1"/>
  <c r="AB20" i="13"/>
  <c r="U18" i="11" s="1"/>
  <c r="AC20" i="13"/>
  <c r="V18" i="11" s="1"/>
  <c r="AD20" i="13"/>
  <c r="W18" i="11" s="1"/>
  <c r="AE20" i="13"/>
  <c r="X18" i="11" s="1"/>
  <c r="AF20" i="13"/>
  <c r="Y18" i="11" s="1"/>
  <c r="AG20" i="13"/>
  <c r="Z18" i="11" s="1"/>
  <c r="AH20" i="13"/>
  <c r="AA18" i="11" s="1"/>
  <c r="AI20" i="13"/>
  <c r="AB18" i="11" s="1"/>
  <c r="AJ20" i="13"/>
  <c r="AC18" i="11" s="1"/>
  <c r="AK20" i="13"/>
  <c r="AL20" i="13"/>
  <c r="AE18" i="11" s="1"/>
  <c r="AM20" i="13"/>
  <c r="AF18" i="11" s="1"/>
  <c r="AN20" i="13"/>
  <c r="AO20" i="13"/>
  <c r="AH18" i="11" s="1"/>
  <c r="AP20" i="13"/>
  <c r="AI18" i="11" s="1"/>
  <c r="AQ20" i="13"/>
  <c r="AR20" i="13"/>
  <c r="AK18" i="11" s="1"/>
  <c r="AS20" i="13"/>
  <c r="AL18" i="11" s="1"/>
  <c r="AT20" i="13"/>
  <c r="AU20" i="13"/>
  <c r="AN18" i="11" s="1"/>
  <c r="AV20" i="13"/>
  <c r="AO18" i="11" s="1"/>
  <c r="AW20" i="13"/>
  <c r="AX20" i="13"/>
  <c r="AQ18" i="11" s="1"/>
  <c r="AY20" i="13"/>
  <c r="AR18" i="11" s="1"/>
  <c r="AZ20" i="13"/>
  <c r="BA20" i="13"/>
  <c r="AT18" i="11" s="1"/>
  <c r="BB20" i="13"/>
  <c r="AU18" i="11" s="1"/>
  <c r="BC20" i="13"/>
  <c r="BD20" i="13"/>
  <c r="AW18" i="11" s="1"/>
  <c r="BE20" i="13"/>
  <c r="AX18" i="11" s="1"/>
  <c r="BF20" i="13"/>
  <c r="BG20" i="13"/>
  <c r="AZ18" i="11" s="1"/>
  <c r="BH20" i="13"/>
  <c r="BA18" i="11" s="1"/>
  <c r="BI20" i="13"/>
  <c r="BJ20" i="13"/>
  <c r="BC18" i="11" s="1"/>
  <c r="BK20" i="13"/>
  <c r="BD18" i="11" s="1"/>
  <c r="BL20" i="13"/>
  <c r="BM20" i="13"/>
  <c r="BF18" i="11" s="1"/>
  <c r="BN20" i="13"/>
  <c r="BG18" i="11" s="1"/>
  <c r="BO20" i="13"/>
  <c r="BP20" i="13"/>
  <c r="BI18" i="11" s="1"/>
  <c r="BQ20" i="13"/>
  <c r="BJ18" i="11" s="1"/>
  <c r="BR20" i="13"/>
  <c r="BS20" i="13"/>
  <c r="BL18" i="11" s="1"/>
  <c r="BT20" i="13"/>
  <c r="BM18" i="11" s="1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BF14" i="13"/>
  <c r="BG14" i="13"/>
  <c r="BH14" i="13"/>
  <c r="BI14" i="13"/>
  <c r="BJ14" i="13"/>
  <c r="BK14" i="13"/>
  <c r="BL14" i="13"/>
  <c r="BM14" i="13"/>
  <c r="BN14" i="13"/>
  <c r="BO14" i="13"/>
  <c r="BP14" i="13"/>
  <c r="BQ14" i="13"/>
  <c r="BR14" i="13"/>
  <c r="BS14" i="13"/>
  <c r="BT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X15" i="13"/>
  <c r="AY15" i="13"/>
  <c r="AZ15" i="13"/>
  <c r="BA15" i="13"/>
  <c r="BB15" i="13"/>
  <c r="BC15" i="13"/>
  <c r="BD15" i="13"/>
  <c r="BE15" i="13"/>
  <c r="BF15" i="13"/>
  <c r="BG15" i="13"/>
  <c r="BH15" i="13"/>
  <c r="BI15" i="13"/>
  <c r="BJ15" i="13"/>
  <c r="BK15" i="13"/>
  <c r="BL15" i="13"/>
  <c r="BM15" i="13"/>
  <c r="BN15" i="13"/>
  <c r="BO15" i="13"/>
  <c r="BP15" i="13"/>
  <c r="BQ15" i="13"/>
  <c r="BR15" i="13"/>
  <c r="BS15" i="13"/>
  <c r="BT15" i="13"/>
  <c r="CR2" i="15"/>
  <c r="CS2" i="15" s="1"/>
  <c r="CT2" i="15" s="1"/>
  <c r="CU2" i="15" s="1"/>
  <c r="CV2" i="15" s="1"/>
  <c r="CW2" i="15" s="1"/>
  <c r="CX2" i="15" s="1"/>
  <c r="CY2" i="15" s="1"/>
  <c r="CZ2" i="15" s="1"/>
  <c r="DA2" i="15" s="1"/>
  <c r="DB2" i="15" s="1"/>
  <c r="DC2" i="15" s="1"/>
  <c r="DD2" i="15" s="1"/>
  <c r="DE2" i="15" s="1"/>
  <c r="DF2" i="15" s="1"/>
  <c r="DG2" i="15" s="1"/>
  <c r="DH2" i="15" s="1"/>
  <c r="DI2" i="15" s="1"/>
  <c r="DJ2" i="15" s="1"/>
  <c r="DK2" i="15" s="1"/>
  <c r="DL2" i="15" s="1"/>
  <c r="DM2" i="15" s="1"/>
  <c r="DN2" i="15" s="1"/>
  <c r="DO2" i="15" s="1"/>
  <c r="DP2" i="15" s="1"/>
  <c r="DQ2" i="15" s="1"/>
  <c r="DR2" i="15" s="1"/>
  <c r="C47" i="16"/>
  <c r="D47" i="16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C45" i="16"/>
  <c r="D45" i="16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CS618" i="2"/>
  <c r="CU618" i="2" s="1"/>
  <c r="CV618" i="2" s="1"/>
  <c r="CW618" i="2" s="1"/>
  <c r="CX618" i="2" s="1"/>
  <c r="CY618" i="2" s="1"/>
  <c r="CZ618" i="2" s="1"/>
  <c r="DA618" i="2" s="1"/>
  <c r="DB618" i="2" s="1"/>
  <c r="DC618" i="2" s="1"/>
  <c r="DD618" i="2" s="1"/>
  <c r="DE618" i="2" s="1"/>
  <c r="DF618" i="2" s="1"/>
  <c r="DG618" i="2" s="1"/>
  <c r="DH618" i="2" s="1"/>
  <c r="DI618" i="2" s="1"/>
  <c r="DJ618" i="2" s="1"/>
  <c r="DK618" i="2" s="1"/>
  <c r="DL618" i="2" s="1"/>
  <c r="DM618" i="2" s="1"/>
  <c r="DN618" i="2" s="1"/>
  <c r="DO618" i="2" s="1"/>
  <c r="DP618" i="2" s="1"/>
  <c r="DQ618" i="2" s="1"/>
  <c r="DR618" i="2" s="1"/>
  <c r="DS618" i="2" s="1"/>
  <c r="DT618" i="2" s="1"/>
  <c r="DU618" i="2" s="1"/>
  <c r="DV618" i="2" s="1"/>
  <c r="DW618" i="2" s="1"/>
  <c r="DX618" i="2" s="1"/>
  <c r="DY618" i="2" s="1"/>
  <c r="DZ618" i="2" s="1"/>
  <c r="EA618" i="2" s="1"/>
  <c r="EB618" i="2" s="1"/>
  <c r="EC618" i="2" s="1"/>
  <c r="CR618" i="2"/>
  <c r="CQ618" i="2"/>
  <c r="CP618" i="2"/>
  <c r="CO618" i="2"/>
  <c r="CN618" i="2"/>
  <c r="CM618" i="2"/>
  <c r="CL618" i="2"/>
  <c r="CS617" i="2"/>
  <c r="CU617" i="2" s="1"/>
  <c r="CR617" i="2"/>
  <c r="CQ617" i="2"/>
  <c r="CP617" i="2"/>
  <c r="CO617" i="2"/>
  <c r="CN617" i="2"/>
  <c r="CM617" i="2"/>
  <c r="CL617" i="2"/>
  <c r="CK618" i="2"/>
  <c r="CJ618" i="2"/>
  <c r="CI618" i="2"/>
  <c r="CH618" i="2"/>
  <c r="CG618" i="2"/>
  <c r="CF618" i="2"/>
  <c r="CE618" i="2"/>
  <c r="CD618" i="2"/>
  <c r="CC618" i="2"/>
  <c r="CB618" i="2"/>
  <c r="CA618" i="2"/>
  <c r="BZ618" i="2"/>
  <c r="CK617" i="2"/>
  <c r="CJ617" i="2"/>
  <c r="CI617" i="2"/>
  <c r="CH617" i="2"/>
  <c r="CG617" i="2"/>
  <c r="CF617" i="2"/>
  <c r="CE617" i="2"/>
  <c r="CD617" i="2"/>
  <c r="CC617" i="2"/>
  <c r="CB617" i="2"/>
  <c r="CA617" i="2"/>
  <c r="BZ617" i="2"/>
  <c r="BY618" i="2"/>
  <c r="BY617" i="2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2" i="16"/>
  <c r="Y2" i="16" s="1"/>
  <c r="Z2" i="16" s="1"/>
  <c r="AA2" i="16" s="1"/>
  <c r="AB2" i="16" s="1"/>
  <c r="AC2" i="16" s="1"/>
  <c r="AD2" i="16" s="1"/>
  <c r="AE2" i="16" s="1"/>
  <c r="AF2" i="16" s="1"/>
  <c r="AG2" i="16" s="1"/>
  <c r="AH2" i="16" s="1"/>
  <c r="AI2" i="16" s="1"/>
  <c r="AJ2" i="16" s="1"/>
  <c r="AK2" i="16" s="1"/>
  <c r="AL2" i="16" s="1"/>
  <c r="AM2" i="16" s="1"/>
  <c r="AN2" i="16" s="1"/>
  <c r="AO2" i="16" s="1"/>
  <c r="AP2" i="16" s="1"/>
  <c r="AQ2" i="16" s="1"/>
  <c r="AR2" i="16" s="1"/>
  <c r="AS2" i="16" s="1"/>
  <c r="AT2" i="16" s="1"/>
  <c r="AU2" i="16" s="1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CS656" i="2"/>
  <c r="CR656" i="2"/>
  <c r="CQ656" i="2"/>
  <c r="CP656" i="2"/>
  <c r="CO656" i="2"/>
  <c r="CN656" i="2"/>
  <c r="CM656" i="2"/>
  <c r="CL656" i="2"/>
  <c r="CK656" i="2"/>
  <c r="CJ656" i="2"/>
  <c r="CI656" i="2"/>
  <c r="CH656" i="2"/>
  <c r="CG656" i="2"/>
  <c r="CF656" i="2"/>
  <c r="CE656" i="2"/>
  <c r="CD656" i="2"/>
  <c r="CC656" i="2"/>
  <c r="CB656" i="2"/>
  <c r="CA656" i="2"/>
  <c r="BZ656" i="2"/>
  <c r="BY656" i="2"/>
  <c r="CS645" i="2"/>
  <c r="CR645" i="2"/>
  <c r="CQ645" i="2"/>
  <c r="CP645" i="2"/>
  <c r="CO645" i="2"/>
  <c r="CN645" i="2"/>
  <c r="CM645" i="2"/>
  <c r="CL645" i="2"/>
  <c r="CK645" i="2"/>
  <c r="CJ645" i="2"/>
  <c r="CI645" i="2"/>
  <c r="CH645" i="2"/>
  <c r="CG645" i="2"/>
  <c r="CF645" i="2"/>
  <c r="CE645" i="2"/>
  <c r="CD645" i="2"/>
  <c r="CC645" i="2"/>
  <c r="CB645" i="2"/>
  <c r="CA645" i="2"/>
  <c r="BZ645" i="2"/>
  <c r="BY645" i="2"/>
  <c r="CS643" i="2"/>
  <c r="CR643" i="2"/>
  <c r="CR654" i="2" s="1"/>
  <c r="CQ643" i="2"/>
  <c r="CQ654" i="2" s="1"/>
  <c r="CP643" i="2"/>
  <c r="CP654" i="2" s="1"/>
  <c r="CO643" i="2"/>
  <c r="CO654" i="2" s="1"/>
  <c r="CN643" i="2"/>
  <c r="CN654" i="2" s="1"/>
  <c r="CM643" i="2"/>
  <c r="CM654" i="2" s="1"/>
  <c r="CL643" i="2"/>
  <c r="CL654" i="2" s="1"/>
  <c r="CK643" i="2"/>
  <c r="CK654" i="2" s="1"/>
  <c r="CJ643" i="2"/>
  <c r="CJ654" i="2" s="1"/>
  <c r="CI643" i="2"/>
  <c r="CH643" i="2"/>
  <c r="CG643" i="2"/>
  <c r="CF643" i="2"/>
  <c r="CF654" i="2" s="1"/>
  <c r="CE643" i="2"/>
  <c r="CE654" i="2" s="1"/>
  <c r="CD643" i="2"/>
  <c r="CD654" i="2" s="1"/>
  <c r="CC643" i="2"/>
  <c r="CC654" i="2" s="1"/>
  <c r="CB643" i="2"/>
  <c r="CB654" i="2" s="1"/>
  <c r="CA643" i="2"/>
  <c r="CA654" i="2" s="1"/>
  <c r="BZ643" i="2"/>
  <c r="BZ654" i="2" s="1"/>
  <c r="CS642" i="2"/>
  <c r="CS653" i="2" s="1"/>
  <c r="CR642" i="2"/>
  <c r="CQ642" i="2"/>
  <c r="CP642" i="2"/>
  <c r="CP653" i="2" s="1"/>
  <c r="CO642" i="2"/>
  <c r="CO653" i="2" s="1"/>
  <c r="CN642" i="2"/>
  <c r="CN653" i="2" s="1"/>
  <c r="CM642" i="2"/>
  <c r="CM653" i="2" s="1"/>
  <c r="CL642" i="2"/>
  <c r="CL653" i="2" s="1"/>
  <c r="CK642" i="2"/>
  <c r="CK653" i="2" s="1"/>
  <c r="CJ642" i="2"/>
  <c r="CJ653" i="2" s="1"/>
  <c r="CI642" i="2"/>
  <c r="CI653" i="2" s="1"/>
  <c r="CH642" i="2"/>
  <c r="CH653" i="2" s="1"/>
  <c r="CG642" i="2"/>
  <c r="CG653" i="2" s="1"/>
  <c r="CF642" i="2"/>
  <c r="CE642" i="2"/>
  <c r="CD642" i="2"/>
  <c r="CD653" i="2" s="1"/>
  <c r="CC642" i="2"/>
  <c r="CC653" i="2" s="1"/>
  <c r="CB642" i="2"/>
  <c r="CB653" i="2" s="1"/>
  <c r="CA642" i="2"/>
  <c r="CA653" i="2" s="1"/>
  <c r="BZ642" i="2"/>
  <c r="BZ653" i="2" s="1"/>
  <c r="BY643" i="2"/>
  <c r="BY654" i="2" s="1"/>
  <c r="BY642" i="2"/>
  <c r="CR639" i="2"/>
  <c r="CR651" i="2" s="1"/>
  <c r="CR669" i="2" s="1"/>
  <c r="CR673" i="2" s="1"/>
  <c r="CQ639" i="2"/>
  <c r="CQ651" i="2" s="1"/>
  <c r="CQ669" i="2" s="1"/>
  <c r="CQ673" i="2" s="1"/>
  <c r="CP639" i="2"/>
  <c r="CP651" i="2" s="1"/>
  <c r="CP669" i="2" s="1"/>
  <c r="CP673" i="2" s="1"/>
  <c r="CO639" i="2"/>
  <c r="CO651" i="2" s="1"/>
  <c r="CN639" i="2"/>
  <c r="CN651" i="2" s="1"/>
  <c r="CM639" i="2"/>
  <c r="CM651" i="2" s="1"/>
  <c r="CM669" i="2" s="1"/>
  <c r="CM673" i="2" s="1"/>
  <c r="CL639" i="2"/>
  <c r="CL651" i="2" s="1"/>
  <c r="CL669" i="2" s="1"/>
  <c r="CL673" i="2" s="1"/>
  <c r="CK639" i="2"/>
  <c r="CK651" i="2" s="1"/>
  <c r="CK669" i="2" s="1"/>
  <c r="CK673" i="2" s="1"/>
  <c r="CJ639" i="2"/>
  <c r="CJ651" i="2" s="1"/>
  <c r="CJ669" i="2" s="1"/>
  <c r="CJ673" i="2" s="1"/>
  <c r="CI639" i="2"/>
  <c r="CI651" i="2" s="1"/>
  <c r="CI669" i="2" s="1"/>
  <c r="CI673" i="2" s="1"/>
  <c r="CH639" i="2"/>
  <c r="CH651" i="2" s="1"/>
  <c r="CH669" i="2" s="1"/>
  <c r="CH673" i="2" s="1"/>
  <c r="CG639" i="2"/>
  <c r="CG651" i="2" s="1"/>
  <c r="CG669" i="2" s="1"/>
  <c r="CG673" i="2" s="1"/>
  <c r="CF639" i="2"/>
  <c r="CF651" i="2" s="1"/>
  <c r="CF669" i="2" s="1"/>
  <c r="CF673" i="2" s="1"/>
  <c r="CE639" i="2"/>
  <c r="CE651" i="2" s="1"/>
  <c r="CD639" i="2"/>
  <c r="CD651" i="2" s="1"/>
  <c r="CC639" i="2"/>
  <c r="CC651" i="2" s="1"/>
  <c r="CB639" i="2"/>
  <c r="CB651" i="2" s="1"/>
  <c r="CA639" i="2"/>
  <c r="CA651" i="2" s="1"/>
  <c r="CA669" i="2" s="1"/>
  <c r="CA673" i="2" s="1"/>
  <c r="BZ639" i="2"/>
  <c r="BZ651" i="2" s="1"/>
  <c r="BZ669" i="2" s="1"/>
  <c r="BZ673" i="2" s="1"/>
  <c r="CR638" i="2"/>
  <c r="CQ638" i="2"/>
  <c r="CP638" i="2"/>
  <c r="CO638" i="2"/>
  <c r="CN638" i="2"/>
  <c r="CM638" i="2"/>
  <c r="CL638" i="2"/>
  <c r="CL650" i="2" s="1"/>
  <c r="CL668" i="2" s="1"/>
  <c r="CL672" i="2" s="1"/>
  <c r="CK638" i="2"/>
  <c r="CK650" i="2" s="1"/>
  <c r="CJ638" i="2"/>
  <c r="CI638" i="2"/>
  <c r="CI650" i="2" s="1"/>
  <c r="CI664" i="2" s="1"/>
  <c r="CH638" i="2"/>
  <c r="CH650" i="2" s="1"/>
  <c r="CH664" i="2" s="1"/>
  <c r="CG638" i="2"/>
  <c r="CF638" i="2"/>
  <c r="CF650" i="2" s="1"/>
  <c r="CF664" i="2" s="1"/>
  <c r="CE638" i="2"/>
  <c r="CE650" i="2" s="1"/>
  <c r="CE664" i="2" s="1"/>
  <c r="CD638" i="2"/>
  <c r="CD650" i="2" s="1"/>
  <c r="CD664" i="2" s="1"/>
  <c r="CC638" i="2"/>
  <c r="CC650" i="2" s="1"/>
  <c r="CC664" i="2" s="1"/>
  <c r="CB638" i="2"/>
  <c r="CB650" i="2" s="1"/>
  <c r="CB664" i="2" s="1"/>
  <c r="CA638" i="2"/>
  <c r="BZ638" i="2"/>
  <c r="BZ650" i="2" s="1"/>
  <c r="BZ668" i="2" s="1"/>
  <c r="BZ672" i="2" s="1"/>
  <c r="BY639" i="2"/>
  <c r="BY651" i="2" s="1"/>
  <c r="BY669" i="2" s="1"/>
  <c r="BY638" i="2"/>
  <c r="CS635" i="2"/>
  <c r="CR635" i="2"/>
  <c r="CQ635" i="2"/>
  <c r="CP635" i="2"/>
  <c r="CO635" i="2"/>
  <c r="CN635" i="2"/>
  <c r="CM635" i="2"/>
  <c r="CL635" i="2"/>
  <c r="CK635" i="2"/>
  <c r="CJ635" i="2"/>
  <c r="CI635" i="2"/>
  <c r="CH635" i="2"/>
  <c r="CG635" i="2"/>
  <c r="CF635" i="2"/>
  <c r="CE635" i="2"/>
  <c r="CD635" i="2"/>
  <c r="CC635" i="2"/>
  <c r="CB635" i="2"/>
  <c r="CA635" i="2"/>
  <c r="BZ635" i="2"/>
  <c r="CS634" i="2"/>
  <c r="CR634" i="2"/>
  <c r="CQ634" i="2"/>
  <c r="CP634" i="2"/>
  <c r="CO634" i="2"/>
  <c r="CN634" i="2"/>
  <c r="CM634" i="2"/>
  <c r="CL634" i="2"/>
  <c r="CK634" i="2"/>
  <c r="CJ634" i="2"/>
  <c r="CI634" i="2"/>
  <c r="CH634" i="2"/>
  <c r="CG634" i="2"/>
  <c r="CF634" i="2"/>
  <c r="CE634" i="2"/>
  <c r="CD634" i="2"/>
  <c r="CC634" i="2"/>
  <c r="CB634" i="2"/>
  <c r="CA634" i="2"/>
  <c r="BZ634" i="2"/>
  <c r="BY635" i="2"/>
  <c r="BY634" i="2"/>
  <c r="BZ629" i="2"/>
  <c r="CA629" i="2"/>
  <c r="CB629" i="2"/>
  <c r="CC629" i="2"/>
  <c r="CD629" i="2"/>
  <c r="CE629" i="2"/>
  <c r="CF629" i="2"/>
  <c r="CG629" i="2"/>
  <c r="CH629" i="2"/>
  <c r="CI629" i="2"/>
  <c r="CJ629" i="2"/>
  <c r="CK629" i="2"/>
  <c r="CL629" i="2"/>
  <c r="CM629" i="2"/>
  <c r="CN629" i="2"/>
  <c r="CO629" i="2"/>
  <c r="CP629" i="2"/>
  <c r="CQ629" i="2"/>
  <c r="CR629" i="2"/>
  <c r="CS629" i="2"/>
  <c r="BY629" i="2"/>
  <c r="CS639" i="2"/>
  <c r="CS651" i="2" s="1"/>
  <c r="CS669" i="2" s="1"/>
  <c r="CS673" i="2" s="1"/>
  <c r="CR625" i="2"/>
  <c r="CQ625" i="2"/>
  <c r="CP625" i="2"/>
  <c r="CO625" i="2"/>
  <c r="CN625" i="2"/>
  <c r="CM625" i="2"/>
  <c r="CL625" i="2"/>
  <c r="CK625" i="2"/>
  <c r="CJ625" i="2"/>
  <c r="CI625" i="2"/>
  <c r="CH625" i="2"/>
  <c r="CG625" i="2"/>
  <c r="CF625" i="2"/>
  <c r="CE625" i="2"/>
  <c r="CD625" i="2"/>
  <c r="CC625" i="2"/>
  <c r="CB625" i="2"/>
  <c r="CA625" i="2"/>
  <c r="BZ625" i="2"/>
  <c r="BY625" i="2"/>
  <c r="CS609" i="2"/>
  <c r="CR609" i="2"/>
  <c r="CQ609" i="2"/>
  <c r="CP609" i="2"/>
  <c r="CO609" i="2"/>
  <c r="CN609" i="2"/>
  <c r="CM609" i="2"/>
  <c r="CL609" i="2"/>
  <c r="CK609" i="2"/>
  <c r="CJ609" i="2"/>
  <c r="CI609" i="2"/>
  <c r="CH609" i="2"/>
  <c r="CG609" i="2"/>
  <c r="CF609" i="2"/>
  <c r="CE609" i="2"/>
  <c r="CD609" i="2"/>
  <c r="CC609" i="2"/>
  <c r="CB609" i="2"/>
  <c r="CA609" i="2"/>
  <c r="BZ609" i="2"/>
  <c r="BY609" i="2"/>
  <c r="CS605" i="2"/>
  <c r="CR605" i="2"/>
  <c r="CQ605" i="2"/>
  <c r="CP605" i="2"/>
  <c r="CO605" i="2"/>
  <c r="CN605" i="2"/>
  <c r="CM605" i="2"/>
  <c r="CL605" i="2"/>
  <c r="CK605" i="2"/>
  <c r="CJ605" i="2"/>
  <c r="CI605" i="2"/>
  <c r="CH605" i="2"/>
  <c r="CG605" i="2"/>
  <c r="CF605" i="2"/>
  <c r="CE605" i="2"/>
  <c r="CD605" i="2"/>
  <c r="CC605" i="2"/>
  <c r="CB605" i="2"/>
  <c r="CA605" i="2"/>
  <c r="BZ605" i="2"/>
  <c r="BY605" i="2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AY4" i="13"/>
  <c r="AZ4" i="13"/>
  <c r="BA4" i="13"/>
  <c r="BB4" i="13"/>
  <c r="BC4" i="13"/>
  <c r="BD4" i="13"/>
  <c r="BE4" i="13"/>
  <c r="BF4" i="13"/>
  <c r="BG4" i="13"/>
  <c r="BH4" i="13"/>
  <c r="BI4" i="13"/>
  <c r="BJ4" i="13"/>
  <c r="BK4" i="13"/>
  <c r="BL4" i="13"/>
  <c r="BM4" i="13"/>
  <c r="BN4" i="13"/>
  <c r="BO4" i="13"/>
  <c r="BP4" i="13"/>
  <c r="BQ4" i="13"/>
  <c r="BR4" i="13"/>
  <c r="BS4" i="13"/>
  <c r="BT4" i="13"/>
  <c r="C5" i="13"/>
  <c r="D5" i="13"/>
  <c r="E5" i="13"/>
  <c r="F5" i="13"/>
  <c r="G5" i="13"/>
  <c r="H5" i="13"/>
  <c r="I5" i="13"/>
  <c r="J5" i="13"/>
  <c r="C5" i="11" s="1"/>
  <c r="K5" i="13"/>
  <c r="D5" i="11" s="1"/>
  <c r="L5" i="13"/>
  <c r="E5" i="11" s="1"/>
  <c r="M5" i="13"/>
  <c r="F5" i="11" s="1"/>
  <c r="N5" i="13"/>
  <c r="G5" i="11" s="1"/>
  <c r="O5" i="13"/>
  <c r="H5" i="11" s="1"/>
  <c r="P5" i="13"/>
  <c r="I5" i="11" s="1"/>
  <c r="Q5" i="13"/>
  <c r="J5" i="11" s="1"/>
  <c r="R5" i="13"/>
  <c r="K5" i="11" s="1"/>
  <c r="S5" i="13"/>
  <c r="L5" i="11" s="1"/>
  <c r="T5" i="13"/>
  <c r="M5" i="11" s="1"/>
  <c r="U5" i="13"/>
  <c r="N5" i="11" s="1"/>
  <c r="V5" i="13"/>
  <c r="O5" i="11" s="1"/>
  <c r="W5" i="13"/>
  <c r="P5" i="11" s="1"/>
  <c r="X5" i="13"/>
  <c r="Q5" i="11" s="1"/>
  <c r="Y5" i="13"/>
  <c r="R5" i="11" s="1"/>
  <c r="Z5" i="13"/>
  <c r="S5" i="11" s="1"/>
  <c r="AA5" i="13"/>
  <c r="T5" i="11" s="1"/>
  <c r="AB5" i="13"/>
  <c r="U5" i="11" s="1"/>
  <c r="AC5" i="13"/>
  <c r="V5" i="11" s="1"/>
  <c r="AD5" i="13"/>
  <c r="W5" i="11" s="1"/>
  <c r="AE5" i="13"/>
  <c r="X5" i="11" s="1"/>
  <c r="AF5" i="13"/>
  <c r="Y5" i="11" s="1"/>
  <c r="AG5" i="13"/>
  <c r="Z5" i="11" s="1"/>
  <c r="AH5" i="13"/>
  <c r="AA5" i="11" s="1"/>
  <c r="AI5" i="13"/>
  <c r="AB5" i="11" s="1"/>
  <c r="AJ5" i="13"/>
  <c r="AC5" i="11" s="1"/>
  <c r="AK5" i="13"/>
  <c r="AL5" i="13"/>
  <c r="AE5" i="11" s="1"/>
  <c r="AM5" i="13"/>
  <c r="AF5" i="11" s="1"/>
  <c r="AN5" i="13"/>
  <c r="AO5" i="13"/>
  <c r="AH5" i="11" s="1"/>
  <c r="AP5" i="13"/>
  <c r="AI5" i="11" s="1"/>
  <c r="AQ5" i="13"/>
  <c r="AR5" i="13"/>
  <c r="AK5" i="11" s="1"/>
  <c r="AS5" i="13"/>
  <c r="AL5" i="11" s="1"/>
  <c r="AT5" i="13"/>
  <c r="AU5" i="13"/>
  <c r="AN5" i="11" s="1"/>
  <c r="AV5" i="13"/>
  <c r="AO5" i="11" s="1"/>
  <c r="AW5" i="13"/>
  <c r="AX5" i="13"/>
  <c r="AQ5" i="11" s="1"/>
  <c r="AY5" i="13"/>
  <c r="AR5" i="11" s="1"/>
  <c r="AZ5" i="13"/>
  <c r="BA5" i="13"/>
  <c r="AT5" i="11" s="1"/>
  <c r="BB5" i="13"/>
  <c r="AU5" i="11" s="1"/>
  <c r="BC5" i="13"/>
  <c r="BD5" i="13"/>
  <c r="AW5" i="11" s="1"/>
  <c r="BE5" i="13"/>
  <c r="AX5" i="11" s="1"/>
  <c r="BF5" i="13"/>
  <c r="BG5" i="13"/>
  <c r="AZ5" i="11" s="1"/>
  <c r="BH5" i="13"/>
  <c r="BA5" i="11" s="1"/>
  <c r="BI5" i="13"/>
  <c r="BJ5" i="13"/>
  <c r="BC5" i="11" s="1"/>
  <c r="BK5" i="13"/>
  <c r="BD5" i="11" s="1"/>
  <c r="BL5" i="13"/>
  <c r="BM5" i="13"/>
  <c r="BF5" i="11" s="1"/>
  <c r="BN5" i="13"/>
  <c r="BG5" i="11" s="1"/>
  <c r="BO5" i="13"/>
  <c r="BP5" i="13"/>
  <c r="BI5" i="11" s="1"/>
  <c r="BQ5" i="13"/>
  <c r="BJ5" i="11" s="1"/>
  <c r="BR5" i="13"/>
  <c r="BS5" i="13"/>
  <c r="BL5" i="11" s="1"/>
  <c r="BT5" i="13"/>
  <c r="BM5" i="11" s="1"/>
  <c r="C6" i="13"/>
  <c r="D6" i="13"/>
  <c r="E6" i="13"/>
  <c r="F6" i="13"/>
  <c r="G6" i="13"/>
  <c r="H6" i="13"/>
  <c r="I6" i="13"/>
  <c r="J6" i="13"/>
  <c r="C6" i="11" s="1"/>
  <c r="K6" i="13"/>
  <c r="D6" i="11" s="1"/>
  <c r="L6" i="13"/>
  <c r="E6" i="11" s="1"/>
  <c r="M6" i="13"/>
  <c r="F6" i="11" s="1"/>
  <c r="N6" i="13"/>
  <c r="G6" i="11" s="1"/>
  <c r="O6" i="13"/>
  <c r="H6" i="11" s="1"/>
  <c r="P6" i="13"/>
  <c r="I6" i="11" s="1"/>
  <c r="Q6" i="13"/>
  <c r="J6" i="11" s="1"/>
  <c r="R6" i="13"/>
  <c r="K6" i="11" s="1"/>
  <c r="S6" i="13"/>
  <c r="L6" i="11" s="1"/>
  <c r="T6" i="13"/>
  <c r="M6" i="11" s="1"/>
  <c r="U6" i="13"/>
  <c r="N6" i="11" s="1"/>
  <c r="V6" i="13"/>
  <c r="O6" i="11" s="1"/>
  <c r="W6" i="13"/>
  <c r="P6" i="11" s="1"/>
  <c r="X6" i="13"/>
  <c r="Q6" i="11" s="1"/>
  <c r="Y6" i="13"/>
  <c r="R6" i="11" s="1"/>
  <c r="Z6" i="13"/>
  <c r="S6" i="11" s="1"/>
  <c r="AA6" i="13"/>
  <c r="T6" i="11" s="1"/>
  <c r="AB6" i="13"/>
  <c r="U6" i="11" s="1"/>
  <c r="AC6" i="13"/>
  <c r="V6" i="11" s="1"/>
  <c r="AD6" i="13"/>
  <c r="W6" i="11" s="1"/>
  <c r="AE6" i="13"/>
  <c r="X6" i="11" s="1"/>
  <c r="AF6" i="13"/>
  <c r="Y6" i="11" s="1"/>
  <c r="AG6" i="13"/>
  <c r="Z6" i="11" s="1"/>
  <c r="AH6" i="13"/>
  <c r="AA6" i="11" s="1"/>
  <c r="AI6" i="13"/>
  <c r="AB6" i="11" s="1"/>
  <c r="AJ6" i="13"/>
  <c r="AC6" i="11" s="1"/>
  <c r="AK6" i="13"/>
  <c r="AL6" i="13"/>
  <c r="AE6" i="11" s="1"/>
  <c r="AM6" i="13"/>
  <c r="AF6" i="11" s="1"/>
  <c r="AN6" i="13"/>
  <c r="AO6" i="13"/>
  <c r="AH6" i="11" s="1"/>
  <c r="AP6" i="13"/>
  <c r="AI6" i="11" s="1"/>
  <c r="AQ6" i="13"/>
  <c r="AR6" i="13"/>
  <c r="AK6" i="11" s="1"/>
  <c r="AS6" i="13"/>
  <c r="AL6" i="11" s="1"/>
  <c r="AT6" i="13"/>
  <c r="AU6" i="13"/>
  <c r="AN6" i="11" s="1"/>
  <c r="AV6" i="13"/>
  <c r="AO6" i="11" s="1"/>
  <c r="AW6" i="13"/>
  <c r="AX6" i="13"/>
  <c r="AQ6" i="11" s="1"/>
  <c r="AY6" i="13"/>
  <c r="AR6" i="11" s="1"/>
  <c r="AZ6" i="13"/>
  <c r="BA6" i="13"/>
  <c r="AT6" i="11" s="1"/>
  <c r="BB6" i="13"/>
  <c r="AU6" i="11" s="1"/>
  <c r="BC6" i="13"/>
  <c r="BD6" i="13"/>
  <c r="AW6" i="11" s="1"/>
  <c r="BE6" i="13"/>
  <c r="AX6" i="11" s="1"/>
  <c r="BF6" i="13"/>
  <c r="BG6" i="13"/>
  <c r="AZ6" i="11" s="1"/>
  <c r="BH6" i="13"/>
  <c r="BA6" i="11" s="1"/>
  <c r="BI6" i="13"/>
  <c r="BJ6" i="13"/>
  <c r="BC6" i="11" s="1"/>
  <c r="BK6" i="13"/>
  <c r="BD6" i="11" s="1"/>
  <c r="BL6" i="13"/>
  <c r="BM6" i="13"/>
  <c r="BF6" i="11" s="1"/>
  <c r="BN6" i="13"/>
  <c r="BG6" i="11" s="1"/>
  <c r="BO6" i="13"/>
  <c r="BP6" i="13"/>
  <c r="BI6" i="11" s="1"/>
  <c r="BQ6" i="13"/>
  <c r="BJ6" i="11" s="1"/>
  <c r="BR6" i="13"/>
  <c r="BS6" i="13"/>
  <c r="BL6" i="11" s="1"/>
  <c r="BT6" i="13"/>
  <c r="BM6" i="11" s="1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AZ7" i="13"/>
  <c r="BA7" i="13"/>
  <c r="BB7" i="13"/>
  <c r="BC7" i="13"/>
  <c r="BD7" i="13"/>
  <c r="BE7" i="13"/>
  <c r="BF7" i="13"/>
  <c r="BG7" i="13"/>
  <c r="BH7" i="13"/>
  <c r="BI7" i="13"/>
  <c r="BJ7" i="13"/>
  <c r="BK7" i="13"/>
  <c r="BL7" i="13"/>
  <c r="BM7" i="13"/>
  <c r="BN7" i="13"/>
  <c r="BO7" i="13"/>
  <c r="BP7" i="13"/>
  <c r="BQ7" i="13"/>
  <c r="BR7" i="13"/>
  <c r="BS7" i="13"/>
  <c r="BT7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AY10" i="13"/>
  <c r="AZ10" i="13"/>
  <c r="BA10" i="13"/>
  <c r="BB10" i="13"/>
  <c r="BC10" i="13"/>
  <c r="BD10" i="13"/>
  <c r="BE10" i="13"/>
  <c r="BF10" i="13"/>
  <c r="BG10" i="13"/>
  <c r="BH10" i="13"/>
  <c r="BI10" i="13"/>
  <c r="BJ10" i="13"/>
  <c r="BK10" i="13"/>
  <c r="BL10" i="13"/>
  <c r="BM10" i="13"/>
  <c r="BN10" i="13"/>
  <c r="BO10" i="13"/>
  <c r="BP10" i="13"/>
  <c r="BQ10" i="13"/>
  <c r="BR10" i="13"/>
  <c r="BS10" i="13"/>
  <c r="BT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AY11" i="13"/>
  <c r="AZ11" i="13"/>
  <c r="BA11" i="13"/>
  <c r="BB11" i="13"/>
  <c r="BC11" i="13"/>
  <c r="BD11" i="13"/>
  <c r="BE11" i="13"/>
  <c r="BF11" i="13"/>
  <c r="BG11" i="13"/>
  <c r="BH11" i="13"/>
  <c r="BI11" i="13"/>
  <c r="BJ11" i="13"/>
  <c r="BK11" i="13"/>
  <c r="BL11" i="13"/>
  <c r="BM11" i="13"/>
  <c r="BN11" i="13"/>
  <c r="BO11" i="13"/>
  <c r="BP11" i="13"/>
  <c r="BQ11" i="13"/>
  <c r="BR11" i="13"/>
  <c r="BS11" i="13"/>
  <c r="BT11" i="13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AY46" i="14"/>
  <c r="AZ46" i="14"/>
  <c r="BA46" i="14"/>
  <c r="BB46" i="14"/>
  <c r="BC46" i="14"/>
  <c r="BD46" i="14"/>
  <c r="BE46" i="14"/>
  <c r="BF46" i="14"/>
  <c r="BG46" i="14"/>
  <c r="BH46" i="14"/>
  <c r="BI46" i="14"/>
  <c r="BJ46" i="14"/>
  <c r="BK46" i="14"/>
  <c r="BL46" i="14"/>
  <c r="BM46" i="14"/>
  <c r="BN46" i="14"/>
  <c r="BO46" i="14"/>
  <c r="BP46" i="14"/>
  <c r="BQ46" i="14"/>
  <c r="BR46" i="14"/>
  <c r="BS46" i="14"/>
  <c r="BT46" i="14"/>
  <c r="BU46" i="14"/>
  <c r="BV46" i="14"/>
  <c r="BW46" i="14"/>
  <c r="BX46" i="14"/>
  <c r="BY46" i="14"/>
  <c r="BZ46" i="14"/>
  <c r="CA46" i="14"/>
  <c r="CB46" i="14"/>
  <c r="CC46" i="14"/>
  <c r="CD46" i="14"/>
  <c r="CE46" i="14"/>
  <c r="CF46" i="14"/>
  <c r="CG46" i="14"/>
  <c r="CH46" i="14"/>
  <c r="CI46" i="14"/>
  <c r="CJ46" i="14"/>
  <c r="CK46" i="14"/>
  <c r="CL46" i="14"/>
  <c r="CM46" i="14"/>
  <c r="CN46" i="14"/>
  <c r="CO46" i="14"/>
  <c r="CP46" i="14"/>
  <c r="CQ46" i="14"/>
  <c r="CR46" i="14"/>
  <c r="CS46" i="14"/>
  <c r="CT46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AY47" i="14"/>
  <c r="AZ47" i="14"/>
  <c r="BA47" i="14"/>
  <c r="BB47" i="14"/>
  <c r="BC47" i="14"/>
  <c r="BD47" i="14"/>
  <c r="BE47" i="14"/>
  <c r="BF47" i="14"/>
  <c r="BG47" i="14"/>
  <c r="BH47" i="14"/>
  <c r="BI47" i="14"/>
  <c r="BJ47" i="14"/>
  <c r="BK47" i="14"/>
  <c r="BL47" i="14"/>
  <c r="BM47" i="14"/>
  <c r="BN47" i="14"/>
  <c r="BO47" i="14"/>
  <c r="BP47" i="14"/>
  <c r="BQ47" i="14"/>
  <c r="BR47" i="14"/>
  <c r="BS47" i="14"/>
  <c r="BT47" i="14"/>
  <c r="BU47" i="14"/>
  <c r="BV47" i="14"/>
  <c r="BW47" i="14"/>
  <c r="BX47" i="14"/>
  <c r="BY47" i="14"/>
  <c r="BZ47" i="14"/>
  <c r="CA47" i="14"/>
  <c r="CB47" i="14"/>
  <c r="CC47" i="14"/>
  <c r="CD47" i="14"/>
  <c r="CE47" i="14"/>
  <c r="CF47" i="14"/>
  <c r="CG47" i="14"/>
  <c r="CH47" i="14"/>
  <c r="CI47" i="14"/>
  <c r="CJ47" i="14"/>
  <c r="CK47" i="14"/>
  <c r="CL47" i="14"/>
  <c r="CM47" i="14"/>
  <c r="CN47" i="14"/>
  <c r="CO47" i="14"/>
  <c r="CP47" i="14"/>
  <c r="CQ47" i="14"/>
  <c r="CR47" i="14"/>
  <c r="CS47" i="14"/>
  <c r="CT47" i="14"/>
  <c r="CS364" i="2"/>
  <c r="CT364" i="2" s="1"/>
  <c r="CU364" i="2" s="1"/>
  <c r="CV364" i="2" s="1"/>
  <c r="CW364" i="2" s="1"/>
  <c r="CX364" i="2" s="1"/>
  <c r="CY364" i="2" s="1"/>
  <c r="CZ364" i="2" s="1"/>
  <c r="DA364" i="2" s="1"/>
  <c r="DB364" i="2" s="1"/>
  <c r="DC364" i="2" s="1"/>
  <c r="DD364" i="2" s="1"/>
  <c r="DE364" i="2" s="1"/>
  <c r="DF364" i="2" s="1"/>
  <c r="DG364" i="2" s="1"/>
  <c r="DH364" i="2" s="1"/>
  <c r="DI364" i="2" s="1"/>
  <c r="DJ364" i="2" s="1"/>
  <c r="DK364" i="2" s="1"/>
  <c r="DL364" i="2" s="1"/>
  <c r="DM364" i="2" s="1"/>
  <c r="DN364" i="2" s="1"/>
  <c r="DO364" i="2" s="1"/>
  <c r="DP364" i="2" s="1"/>
  <c r="DQ364" i="2" s="1"/>
  <c r="DR364" i="2" s="1"/>
  <c r="CR364" i="2"/>
  <c r="CR362" i="2" s="1"/>
  <c r="CQ364" i="2"/>
  <c r="CQ358" i="2" s="1"/>
  <c r="CP364" i="2"/>
  <c r="CP358" i="2" s="1"/>
  <c r="CO364" i="2"/>
  <c r="CO362" i="2" s="1"/>
  <c r="CN364" i="2"/>
  <c r="CN362" i="2" s="1"/>
  <c r="CM364" i="2"/>
  <c r="CM362" i="2" s="1"/>
  <c r="CL364" i="2"/>
  <c r="CL358" i="2" s="1"/>
  <c r="CK364" i="2"/>
  <c r="CK358" i="2" s="1"/>
  <c r="CJ364" i="2"/>
  <c r="CJ362" i="2" s="1"/>
  <c r="CI364" i="2"/>
  <c r="CI362" i="2" s="1"/>
  <c r="CH364" i="2"/>
  <c r="CH358" i="2" s="1"/>
  <c r="CG364" i="2"/>
  <c r="CG358" i="2" s="1"/>
  <c r="CF364" i="2"/>
  <c r="CF362" i="2" s="1"/>
  <c r="CE364" i="2"/>
  <c r="CE358" i="2" s="1"/>
  <c r="CD364" i="2"/>
  <c r="CD358" i="2" s="1"/>
  <c r="CC364" i="2"/>
  <c r="CC358" i="2" s="1"/>
  <c r="CB364" i="2"/>
  <c r="CB358" i="2" s="1"/>
  <c r="CA364" i="2"/>
  <c r="CA362" i="2" s="1"/>
  <c r="BZ364" i="2"/>
  <c r="BZ358" i="2" s="1"/>
  <c r="BY364" i="2"/>
  <c r="BY358" i="2" s="1"/>
  <c r="BX364" i="2"/>
  <c r="BX362" i="2" s="1"/>
  <c r="BW364" i="2"/>
  <c r="BW362" i="2" s="1"/>
  <c r="BV364" i="2"/>
  <c r="BV358" i="2" s="1"/>
  <c r="BU364" i="2"/>
  <c r="BU362" i="2" s="1"/>
  <c r="BT364" i="2"/>
  <c r="BT362" i="2" s="1"/>
  <c r="BS364" i="2"/>
  <c r="BS358" i="2" s="1"/>
  <c r="BR364" i="2"/>
  <c r="BR358" i="2" s="1"/>
  <c r="BQ364" i="2"/>
  <c r="BQ362" i="2" s="1"/>
  <c r="BP364" i="2"/>
  <c r="BP362" i="2" s="1"/>
  <c r="BO364" i="2"/>
  <c r="BO362" i="2" s="1"/>
  <c r="BN364" i="2"/>
  <c r="BN358" i="2" s="1"/>
  <c r="BM364" i="2"/>
  <c r="BM358" i="2" s="1"/>
  <c r="BL364" i="2"/>
  <c r="BL358" i="2" s="1"/>
  <c r="BK364" i="2"/>
  <c r="BK358" i="2" s="1"/>
  <c r="BJ364" i="2"/>
  <c r="BJ358" i="2" s="1"/>
  <c r="BI364" i="2"/>
  <c r="BI358" i="2" s="1"/>
  <c r="BH364" i="2"/>
  <c r="BH362" i="2" s="1"/>
  <c r="BG364" i="2"/>
  <c r="BG362" i="2" s="1"/>
  <c r="BF364" i="2"/>
  <c r="BF358" i="2" s="1"/>
  <c r="BE364" i="2"/>
  <c r="BE358" i="2" s="1"/>
  <c r="BD364" i="2"/>
  <c r="BD358" i="2" s="1"/>
  <c r="BC364" i="2"/>
  <c r="BC362" i="2" s="1"/>
  <c r="BB364" i="2"/>
  <c r="BB362" i="2" s="1"/>
  <c r="BA364" i="2"/>
  <c r="BA358" i="2" s="1"/>
  <c r="AZ364" i="2"/>
  <c r="AZ358" i="2" s="1"/>
  <c r="AY364" i="2"/>
  <c r="AY362" i="2" s="1"/>
  <c r="AX364" i="2"/>
  <c r="AX362" i="2" s="1"/>
  <c r="AW364" i="2"/>
  <c r="AW358" i="2" s="1"/>
  <c r="AV364" i="2"/>
  <c r="AV362" i="2" s="1"/>
  <c r="AU364" i="2"/>
  <c r="AU362" i="2" s="1"/>
  <c r="AT364" i="2"/>
  <c r="AT358" i="2" s="1"/>
  <c r="AS364" i="2"/>
  <c r="AS358" i="2" s="1"/>
  <c r="AR364" i="2"/>
  <c r="AR358" i="2" s="1"/>
  <c r="AQ364" i="2"/>
  <c r="AQ362" i="2" s="1"/>
  <c r="AP364" i="2"/>
  <c r="AP362" i="2" s="1"/>
  <c r="AO364" i="2"/>
  <c r="AO358" i="2" s="1"/>
  <c r="AN364" i="2"/>
  <c r="AN362" i="2" s="1"/>
  <c r="AM364" i="2"/>
  <c r="AM358" i="2" s="1"/>
  <c r="AL364" i="2"/>
  <c r="AL358" i="2" s="1"/>
  <c r="AK364" i="2"/>
  <c r="AK358" i="2" s="1"/>
  <c r="AJ364" i="2"/>
  <c r="AJ362" i="2" s="1"/>
  <c r="AI364" i="2"/>
  <c r="AI362" i="2" s="1"/>
  <c r="AH364" i="2"/>
  <c r="AH358" i="2" s="1"/>
  <c r="AG364" i="2"/>
  <c r="AG358" i="2" s="1"/>
  <c r="AF364" i="2"/>
  <c r="AF358" i="2" s="1"/>
  <c r="AE364" i="2"/>
  <c r="AE362" i="2" s="1"/>
  <c r="AD364" i="2"/>
  <c r="AD362" i="2" s="1"/>
  <c r="AC364" i="2"/>
  <c r="AC358" i="2" s="1"/>
  <c r="AB364" i="2"/>
  <c r="AB362" i="2" s="1"/>
  <c r="AA364" i="2"/>
  <c r="AA358" i="2" s="1"/>
  <c r="Z364" i="2"/>
  <c r="Z358" i="2" s="1"/>
  <c r="Y364" i="2"/>
  <c r="Y358" i="2" s="1"/>
  <c r="X364" i="2"/>
  <c r="X362" i="2" s="1"/>
  <c r="W364" i="2"/>
  <c r="W362" i="2" s="1"/>
  <c r="V364" i="2"/>
  <c r="V362" i="2" s="1"/>
  <c r="U364" i="2"/>
  <c r="U358" i="2" s="1"/>
  <c r="T364" i="2"/>
  <c r="T358" i="2" s="1"/>
  <c r="S364" i="2"/>
  <c r="S362" i="2" s="1"/>
  <c r="R364" i="2"/>
  <c r="R358" i="2" s="1"/>
  <c r="Q364" i="2"/>
  <c r="Q358" i="2" s="1"/>
  <c r="P364" i="2"/>
  <c r="P358" i="2" s="1"/>
  <c r="O364" i="2"/>
  <c r="O358" i="2" s="1"/>
  <c r="N364" i="2"/>
  <c r="N358" i="2" s="1"/>
  <c r="M364" i="2"/>
  <c r="M358" i="2" s="1"/>
  <c r="L364" i="2"/>
  <c r="L362" i="2" s="1"/>
  <c r="K364" i="2"/>
  <c r="K362" i="2" s="1"/>
  <c r="DX561" i="2" l="1"/>
  <c r="DX560" i="2" s="1"/>
  <c r="CY146" i="13"/>
  <c r="CT635" i="2"/>
  <c r="CU635" i="2" s="1"/>
  <c r="CV635" i="2" s="1"/>
  <c r="CW635" i="2" s="1"/>
  <c r="CX635" i="2" s="1"/>
  <c r="CY635" i="2" s="1"/>
  <c r="CZ635" i="2" s="1"/>
  <c r="DA635" i="2" s="1"/>
  <c r="DB635" i="2" s="1"/>
  <c r="DC635" i="2" s="1"/>
  <c r="DD635" i="2" s="1"/>
  <c r="DE635" i="2" s="1"/>
  <c r="DF635" i="2" s="1"/>
  <c r="DG635" i="2" s="1"/>
  <c r="DH635" i="2" s="1"/>
  <c r="DI635" i="2" s="1"/>
  <c r="DJ635" i="2" s="1"/>
  <c r="DK635" i="2" s="1"/>
  <c r="DL635" i="2" s="1"/>
  <c r="DM635" i="2" s="1"/>
  <c r="DN635" i="2" s="1"/>
  <c r="DO635" i="2" s="1"/>
  <c r="DP635" i="2" s="1"/>
  <c r="DQ635" i="2" s="1"/>
  <c r="DR635" i="2" s="1"/>
  <c r="DR631" i="2" s="1"/>
  <c r="CX145" i="13"/>
  <c r="EA145" i="13" s="1"/>
  <c r="CQ122" i="11"/>
  <c r="CQ121" i="11" s="1"/>
  <c r="CQ92" i="12"/>
  <c r="DT92" i="12" s="1"/>
  <c r="CS123" i="11"/>
  <c r="CT634" i="2"/>
  <c r="CU634" i="2" s="1"/>
  <c r="CV634" i="2" s="1"/>
  <c r="CW634" i="2" s="1"/>
  <c r="CX634" i="2" s="1"/>
  <c r="CY634" i="2" s="1"/>
  <c r="CZ634" i="2" s="1"/>
  <c r="DA634" i="2" s="1"/>
  <c r="DB634" i="2" s="1"/>
  <c r="DC634" i="2" s="1"/>
  <c r="DD634" i="2" s="1"/>
  <c r="DE634" i="2" s="1"/>
  <c r="DF634" i="2" s="1"/>
  <c r="DG634" i="2" s="1"/>
  <c r="DH634" i="2" s="1"/>
  <c r="DI634" i="2" s="1"/>
  <c r="DJ634" i="2" s="1"/>
  <c r="DK634" i="2" s="1"/>
  <c r="DL634" i="2" s="1"/>
  <c r="DM634" i="2" s="1"/>
  <c r="DN634" i="2" s="1"/>
  <c r="DO634" i="2" s="1"/>
  <c r="DP634" i="2" s="1"/>
  <c r="DQ634" i="2" s="1"/>
  <c r="DR634" i="2" s="1"/>
  <c r="DS634" i="2" s="1"/>
  <c r="DZ564" i="2"/>
  <c r="DA148" i="13" s="1"/>
  <c r="EB148" i="13" s="1"/>
  <c r="EA565" i="2"/>
  <c r="DB149" i="13" s="1"/>
  <c r="DZ563" i="2"/>
  <c r="DA147" i="13" s="1"/>
  <c r="EB147" i="13" s="1"/>
  <c r="DY562" i="2"/>
  <c r="CT529" i="2"/>
  <c r="CU529" i="2" s="1"/>
  <c r="CV529" i="2" s="1"/>
  <c r="CW529" i="2" s="1"/>
  <c r="CX529" i="2" s="1"/>
  <c r="CY529" i="2" s="1"/>
  <c r="CZ529" i="2" s="1"/>
  <c r="DA529" i="2" s="1"/>
  <c r="DB529" i="2" s="1"/>
  <c r="DC529" i="2" s="1"/>
  <c r="DD529" i="2" s="1"/>
  <c r="DE529" i="2" s="1"/>
  <c r="DF529" i="2" s="1"/>
  <c r="DG529" i="2" s="1"/>
  <c r="DH529" i="2" s="1"/>
  <c r="DI529" i="2" s="1"/>
  <c r="DJ529" i="2" s="1"/>
  <c r="DK529" i="2" s="1"/>
  <c r="DL529" i="2" s="1"/>
  <c r="DM529" i="2" s="1"/>
  <c r="DN529" i="2" s="1"/>
  <c r="DO529" i="2" s="1"/>
  <c r="DP529" i="2" s="1"/>
  <c r="DQ529" i="2" s="1"/>
  <c r="DR529" i="2" s="1"/>
  <c r="DS529" i="2" s="1"/>
  <c r="CT531" i="2"/>
  <c r="CU531" i="2" s="1"/>
  <c r="CV531" i="2" s="1"/>
  <c r="CW531" i="2" s="1"/>
  <c r="CX531" i="2" s="1"/>
  <c r="CY531" i="2" s="1"/>
  <c r="CZ531" i="2" s="1"/>
  <c r="DA531" i="2" s="1"/>
  <c r="DB531" i="2" s="1"/>
  <c r="DC531" i="2" s="1"/>
  <c r="DD531" i="2" s="1"/>
  <c r="DE531" i="2" s="1"/>
  <c r="DF531" i="2" s="1"/>
  <c r="DG531" i="2" s="1"/>
  <c r="DH531" i="2" s="1"/>
  <c r="DI531" i="2" s="1"/>
  <c r="DJ531" i="2" s="1"/>
  <c r="DK531" i="2" s="1"/>
  <c r="DL531" i="2" s="1"/>
  <c r="DM531" i="2" s="1"/>
  <c r="DN531" i="2" s="1"/>
  <c r="DO531" i="2" s="1"/>
  <c r="DP531" i="2" s="1"/>
  <c r="DQ531" i="2" s="1"/>
  <c r="DR531" i="2" s="1"/>
  <c r="DS531" i="2" s="1"/>
  <c r="K22" i="15"/>
  <c r="K37" i="15" s="1"/>
  <c r="K36" i="15" s="1"/>
  <c r="K65" i="18" s="1"/>
  <c r="L22" i="15"/>
  <c r="L37" i="15" s="1"/>
  <c r="L66" i="15" s="1"/>
  <c r="CT414" i="2"/>
  <c r="CU414" i="2" s="1"/>
  <c r="CV414" i="2" s="1"/>
  <c r="CW414" i="2" s="1"/>
  <c r="CX414" i="2" s="1"/>
  <c r="CY414" i="2" s="1"/>
  <c r="CZ414" i="2" s="1"/>
  <c r="DA414" i="2" s="1"/>
  <c r="DB414" i="2" s="1"/>
  <c r="DC414" i="2" s="1"/>
  <c r="DD414" i="2" s="1"/>
  <c r="DE414" i="2" s="1"/>
  <c r="DF414" i="2" s="1"/>
  <c r="DG414" i="2" s="1"/>
  <c r="DH414" i="2" s="1"/>
  <c r="DI414" i="2" s="1"/>
  <c r="DJ414" i="2" s="1"/>
  <c r="DK414" i="2" s="1"/>
  <c r="DL414" i="2" s="1"/>
  <c r="DM414" i="2" s="1"/>
  <c r="DN414" i="2" s="1"/>
  <c r="DO414" i="2" s="1"/>
  <c r="DP414" i="2" s="1"/>
  <c r="DQ414" i="2" s="1"/>
  <c r="DR414" i="2" s="1"/>
  <c r="DS414" i="2" s="1"/>
  <c r="DT414" i="2" s="1"/>
  <c r="DU414" i="2" s="1"/>
  <c r="DV414" i="2" s="1"/>
  <c r="DW414" i="2" s="1"/>
  <c r="DX414" i="2" s="1"/>
  <c r="DY414" i="2" s="1"/>
  <c r="DZ414" i="2" s="1"/>
  <c r="EA414" i="2" s="1"/>
  <c r="EB414" i="2" s="1"/>
  <c r="EC414" i="2" s="1"/>
  <c r="DS364" i="2"/>
  <c r="DZ108" i="12"/>
  <c r="DS108" i="2"/>
  <c r="DT93" i="3" s="1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AY78" i="13"/>
  <c r="AZ78" i="13"/>
  <c r="BA78" i="13"/>
  <c r="BB78" i="13"/>
  <c r="BC78" i="13"/>
  <c r="AK78" i="13"/>
  <c r="Y78" i="13"/>
  <c r="AU76" i="13"/>
  <c r="AN52" i="11" s="1"/>
  <c r="AV76" i="13"/>
  <c r="AO52" i="11" s="1"/>
  <c r="AW76" i="13"/>
  <c r="AX76" i="13"/>
  <c r="AQ52" i="11" s="1"/>
  <c r="AY76" i="13"/>
  <c r="AR52" i="11" s="1"/>
  <c r="AZ76" i="13"/>
  <c r="BA76" i="13"/>
  <c r="AT52" i="11" s="1"/>
  <c r="BB76" i="13"/>
  <c r="AU52" i="11" s="1"/>
  <c r="BC76" i="13"/>
  <c r="BD76" i="13"/>
  <c r="AW52" i="11" s="1"/>
  <c r="BE76" i="13"/>
  <c r="AX52" i="11" s="1"/>
  <c r="BF76" i="13"/>
  <c r="BG76" i="13"/>
  <c r="BH76" i="13"/>
  <c r="BI76" i="13"/>
  <c r="BJ76" i="13"/>
  <c r="BK76" i="13"/>
  <c r="BL76" i="13"/>
  <c r="BM76" i="13"/>
  <c r="BN76" i="13"/>
  <c r="BO76" i="13"/>
  <c r="BP76" i="13"/>
  <c r="BQ76" i="13"/>
  <c r="BJ52" i="11" s="1"/>
  <c r="BR76" i="13"/>
  <c r="BS76" i="13"/>
  <c r="BL52" i="11" s="1"/>
  <c r="BT76" i="13"/>
  <c r="BM52" i="11" s="1"/>
  <c r="C77" i="13"/>
  <c r="D77" i="13"/>
  <c r="E77" i="13"/>
  <c r="F77" i="13"/>
  <c r="G77" i="13"/>
  <c r="H77" i="13"/>
  <c r="I77" i="13"/>
  <c r="J77" i="13"/>
  <c r="C53" i="11" s="1"/>
  <c r="K77" i="13"/>
  <c r="D53" i="11" s="1"/>
  <c r="L77" i="13"/>
  <c r="E53" i="11" s="1"/>
  <c r="M77" i="13"/>
  <c r="F53" i="11" s="1"/>
  <c r="N77" i="13"/>
  <c r="G53" i="11" s="1"/>
  <c r="O77" i="13"/>
  <c r="H53" i="11" s="1"/>
  <c r="P77" i="13"/>
  <c r="I53" i="11" s="1"/>
  <c r="Q77" i="13"/>
  <c r="J53" i="11" s="1"/>
  <c r="R77" i="13"/>
  <c r="K53" i="11" s="1"/>
  <c r="S77" i="13"/>
  <c r="L53" i="11" s="1"/>
  <c r="T77" i="13"/>
  <c r="M53" i="11" s="1"/>
  <c r="U77" i="13"/>
  <c r="N53" i="11" s="1"/>
  <c r="V77" i="13"/>
  <c r="O53" i="11" s="1"/>
  <c r="W77" i="13"/>
  <c r="P53" i="11" s="1"/>
  <c r="X77" i="13"/>
  <c r="Q53" i="11" s="1"/>
  <c r="Y77" i="13"/>
  <c r="R53" i="11" s="1"/>
  <c r="Z77" i="13"/>
  <c r="S53" i="11" s="1"/>
  <c r="AA77" i="13"/>
  <c r="T53" i="11" s="1"/>
  <c r="AB77" i="13"/>
  <c r="U53" i="11" s="1"/>
  <c r="AC77" i="13"/>
  <c r="V53" i="11" s="1"/>
  <c r="AD77" i="13"/>
  <c r="W53" i="11" s="1"/>
  <c r="AE77" i="13"/>
  <c r="X53" i="11" s="1"/>
  <c r="AF77" i="13"/>
  <c r="Y53" i="11" s="1"/>
  <c r="AG77" i="13"/>
  <c r="Z53" i="11" s="1"/>
  <c r="AH77" i="13"/>
  <c r="AA53" i="11" s="1"/>
  <c r="AI77" i="13"/>
  <c r="AB53" i="11" s="1"/>
  <c r="AJ77" i="13"/>
  <c r="AC53" i="11" s="1"/>
  <c r="AK77" i="13"/>
  <c r="AL77" i="13"/>
  <c r="AE53" i="11" s="1"/>
  <c r="AM77" i="13"/>
  <c r="AF53" i="11" s="1"/>
  <c r="AN77" i="13"/>
  <c r="AO77" i="13"/>
  <c r="AH53" i="11" s="1"/>
  <c r="AP77" i="13"/>
  <c r="AI53" i="11" s="1"/>
  <c r="AQ77" i="13"/>
  <c r="AR77" i="13"/>
  <c r="AK53" i="11" s="1"/>
  <c r="AS77" i="13"/>
  <c r="AL53" i="11" s="1"/>
  <c r="AT77" i="13"/>
  <c r="AU77" i="13"/>
  <c r="AN53" i="11" s="1"/>
  <c r="AV77" i="13"/>
  <c r="AO53" i="11" s="1"/>
  <c r="AW77" i="13"/>
  <c r="AX77" i="13"/>
  <c r="AQ53" i="11" s="1"/>
  <c r="AY77" i="13"/>
  <c r="AR53" i="11" s="1"/>
  <c r="AZ77" i="13"/>
  <c r="BA77" i="13"/>
  <c r="AT53" i="11" s="1"/>
  <c r="BB77" i="13"/>
  <c r="AU53" i="11" s="1"/>
  <c r="BC77" i="13"/>
  <c r="BD77" i="13"/>
  <c r="AW53" i="11" s="1"/>
  <c r="BE77" i="13"/>
  <c r="AX53" i="11" s="1"/>
  <c r="BF77" i="13"/>
  <c r="BG77" i="13"/>
  <c r="AZ53" i="11" s="1"/>
  <c r="BH77" i="13"/>
  <c r="BA53" i="11" s="1"/>
  <c r="BI77" i="13"/>
  <c r="BB53" i="11" s="1"/>
  <c r="BJ77" i="13"/>
  <c r="BC53" i="11" s="1"/>
  <c r="BK77" i="13"/>
  <c r="BD53" i="11" s="1"/>
  <c r="BL77" i="13"/>
  <c r="BE53" i="11" s="1"/>
  <c r="BM77" i="13"/>
  <c r="BF53" i="11" s="1"/>
  <c r="BN77" i="13"/>
  <c r="BG53" i="11" s="1"/>
  <c r="BO77" i="13"/>
  <c r="BP77" i="13"/>
  <c r="BI53" i="11" s="1"/>
  <c r="BQ77" i="13"/>
  <c r="BR77" i="13"/>
  <c r="BS77" i="13"/>
  <c r="BT77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Z78" i="13"/>
  <c r="AA78" i="13"/>
  <c r="AB78" i="13"/>
  <c r="AC78" i="13"/>
  <c r="AD78" i="13"/>
  <c r="AE78" i="13"/>
  <c r="AF78" i="13"/>
  <c r="AG78" i="13"/>
  <c r="AH78" i="13"/>
  <c r="AI78" i="13"/>
  <c r="AJ78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AU75" i="13"/>
  <c r="AV75" i="13"/>
  <c r="AW75" i="13"/>
  <c r="AX75" i="13"/>
  <c r="AY75" i="13"/>
  <c r="AZ75" i="13"/>
  <c r="BA75" i="13"/>
  <c r="BB75" i="13"/>
  <c r="BC75" i="13"/>
  <c r="BD75" i="13"/>
  <c r="BE75" i="13"/>
  <c r="BF75" i="13"/>
  <c r="BG75" i="13"/>
  <c r="BH75" i="13"/>
  <c r="BI75" i="13"/>
  <c r="BJ75" i="13"/>
  <c r="BK75" i="13"/>
  <c r="BL75" i="13"/>
  <c r="BM75" i="13"/>
  <c r="BN75" i="13"/>
  <c r="BO75" i="13"/>
  <c r="BP75" i="13"/>
  <c r="BQ75" i="13"/>
  <c r="BR75" i="13"/>
  <c r="BS75" i="13"/>
  <c r="C76" i="13"/>
  <c r="D76" i="13"/>
  <c r="E76" i="13"/>
  <c r="F76" i="13"/>
  <c r="G76" i="13"/>
  <c r="H76" i="13"/>
  <c r="I76" i="13"/>
  <c r="J76" i="13"/>
  <c r="C52" i="11" s="1"/>
  <c r="K76" i="13"/>
  <c r="D52" i="11" s="1"/>
  <c r="L76" i="13"/>
  <c r="E52" i="11" s="1"/>
  <c r="M76" i="13"/>
  <c r="F52" i="11" s="1"/>
  <c r="N76" i="13"/>
  <c r="O76" i="13"/>
  <c r="P76" i="13"/>
  <c r="Q76" i="13"/>
  <c r="J52" i="11" s="1"/>
  <c r="R76" i="13"/>
  <c r="S76" i="13"/>
  <c r="T76" i="13"/>
  <c r="M52" i="11" s="1"/>
  <c r="U76" i="13"/>
  <c r="N52" i="11" s="1"/>
  <c r="V76" i="13"/>
  <c r="O52" i="11" s="1"/>
  <c r="W76" i="13"/>
  <c r="X76" i="13"/>
  <c r="Y76" i="13"/>
  <c r="Z76" i="13"/>
  <c r="S52" i="11" s="1"/>
  <c r="AA76" i="13"/>
  <c r="T52" i="11" s="1"/>
  <c r="AB76" i="13"/>
  <c r="U52" i="11" s="1"/>
  <c r="AC76" i="13"/>
  <c r="V52" i="11" s="1"/>
  <c r="AD76" i="13"/>
  <c r="W52" i="11" s="1"/>
  <c r="AE76" i="13"/>
  <c r="X52" i="11" s="1"/>
  <c r="AF76" i="13"/>
  <c r="Y52" i="11" s="1"/>
  <c r="AG76" i="13"/>
  <c r="Z52" i="11" s="1"/>
  <c r="AH76" i="13"/>
  <c r="AA52" i="11" s="1"/>
  <c r="AI76" i="13"/>
  <c r="AB52" i="11" s="1"/>
  <c r="AJ76" i="13"/>
  <c r="AC52" i="11" s="1"/>
  <c r="AK76" i="13"/>
  <c r="AL76" i="13"/>
  <c r="AE52" i="11" s="1"/>
  <c r="AM76" i="13"/>
  <c r="AF52" i="11" s="1"/>
  <c r="AN76" i="13"/>
  <c r="AO76" i="13"/>
  <c r="AH52" i="11" s="1"/>
  <c r="AP76" i="13"/>
  <c r="AI52" i="11" s="1"/>
  <c r="AQ76" i="13"/>
  <c r="AR76" i="13"/>
  <c r="AK52" i="11" s="1"/>
  <c r="AS76" i="13"/>
  <c r="AL52" i="11" s="1"/>
  <c r="AT76" i="13"/>
  <c r="BD78" i="13"/>
  <c r="BE78" i="13"/>
  <c r="BF78" i="13"/>
  <c r="BG78" i="13"/>
  <c r="BH78" i="13"/>
  <c r="BI78" i="13"/>
  <c r="BJ78" i="13"/>
  <c r="BK78" i="13"/>
  <c r="BL78" i="13"/>
  <c r="BM78" i="13"/>
  <c r="BN78" i="13"/>
  <c r="BO78" i="13"/>
  <c r="BP78" i="13"/>
  <c r="BQ78" i="13"/>
  <c r="BR78" i="13"/>
  <c r="BS78" i="13"/>
  <c r="BT78" i="13"/>
  <c r="FF138" i="15"/>
  <c r="FE138" i="15"/>
  <c r="FG138" i="15"/>
  <c r="R22" i="15"/>
  <c r="R37" i="15" s="1"/>
  <c r="S22" i="15"/>
  <c r="S37" i="15" s="1"/>
  <c r="U22" i="15"/>
  <c r="U37" i="15" s="1"/>
  <c r="W22" i="15"/>
  <c r="W37" i="15" s="1"/>
  <c r="X22" i="15"/>
  <c r="X37" i="15" s="1"/>
  <c r="Y22" i="15"/>
  <c r="Y37" i="15" s="1"/>
  <c r="AA22" i="15"/>
  <c r="AA37" i="15" s="1"/>
  <c r="AE22" i="15"/>
  <c r="AE37" i="15" s="1"/>
  <c r="AG22" i="15"/>
  <c r="AG37" i="15" s="1"/>
  <c r="AH22" i="15"/>
  <c r="AH37" i="15" s="1"/>
  <c r="AJ22" i="15"/>
  <c r="AJ37" i="15" s="1"/>
  <c r="AK22" i="15"/>
  <c r="AK37" i="15" s="1"/>
  <c r="AL22" i="15"/>
  <c r="AL37" i="15" s="1"/>
  <c r="AP22" i="15"/>
  <c r="AP37" i="15" s="1"/>
  <c r="AS22" i="15"/>
  <c r="AS37" i="15" s="1"/>
  <c r="AT22" i="15"/>
  <c r="AT37" i="15" s="1"/>
  <c r="AU22" i="15"/>
  <c r="AU37" i="15" s="1"/>
  <c r="AV22" i="15"/>
  <c r="AV37" i="15" s="1"/>
  <c r="AY22" i="15"/>
  <c r="AY37" i="15" s="1"/>
  <c r="BB22" i="15"/>
  <c r="BB37" i="15" s="1"/>
  <c r="BC22" i="15"/>
  <c r="BC37" i="15" s="1"/>
  <c r="BE22" i="15"/>
  <c r="BE37" i="15" s="1"/>
  <c r="BF22" i="15"/>
  <c r="BF37" i="15" s="1"/>
  <c r="BG22" i="15"/>
  <c r="BG37" i="15" s="1"/>
  <c r="BH22" i="15"/>
  <c r="BH37" i="15" s="1"/>
  <c r="BJ22" i="15"/>
  <c r="BJ37" i="15" s="1"/>
  <c r="BO22" i="15"/>
  <c r="BO37" i="15" s="1"/>
  <c r="BR22" i="15"/>
  <c r="BR37" i="15" s="1"/>
  <c r="CQ22" i="15"/>
  <c r="CQ37" i="15" s="1"/>
  <c r="DB22" i="15"/>
  <c r="DB37" i="15" s="1"/>
  <c r="DO22" i="15"/>
  <c r="DO37" i="15" s="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E42" i="11"/>
  <c r="AF42" i="11"/>
  <c r="AH42" i="11"/>
  <c r="AI42" i="11"/>
  <c r="AK42" i="11"/>
  <c r="AL42" i="11"/>
  <c r="AN42" i="11"/>
  <c r="AO42" i="11"/>
  <c r="AQ42" i="11"/>
  <c r="AR42" i="11"/>
  <c r="AT42" i="11"/>
  <c r="AU42" i="11"/>
  <c r="AW42" i="11"/>
  <c r="AX42" i="11"/>
  <c r="AZ42" i="11"/>
  <c r="BA42" i="11"/>
  <c r="BC42" i="11"/>
  <c r="BD42" i="11"/>
  <c r="BF42" i="11"/>
  <c r="BG42" i="11"/>
  <c r="BI42" i="11"/>
  <c r="BJ42" i="11"/>
  <c r="BL42" i="11"/>
  <c r="BM42" i="11"/>
  <c r="DX137" i="11"/>
  <c r="DY77" i="12"/>
  <c r="F30" i="11"/>
  <c r="DY142" i="11"/>
  <c r="EB142" i="11"/>
  <c r="DZ137" i="11"/>
  <c r="DN36" i="13"/>
  <c r="DF36" i="13"/>
  <c r="DP35" i="13"/>
  <c r="DH35" i="13"/>
  <c r="DJ34" i="13"/>
  <c r="DL33" i="13"/>
  <c r="DN41" i="13"/>
  <c r="DF41" i="13"/>
  <c r="DP40" i="13"/>
  <c r="DH40" i="13"/>
  <c r="DJ39" i="13"/>
  <c r="DT46" i="13"/>
  <c r="DL46" i="13"/>
  <c r="DV45" i="13"/>
  <c r="DN45" i="13"/>
  <c r="DF45" i="13"/>
  <c r="DP44" i="13"/>
  <c r="DH44" i="13"/>
  <c r="DJ53" i="13"/>
  <c r="DL52" i="13"/>
  <c r="DN51" i="13"/>
  <c r="DF51" i="13"/>
  <c r="DP50" i="13"/>
  <c r="DH50" i="13"/>
  <c r="DJ60" i="13"/>
  <c r="H31" i="11"/>
  <c r="V30" i="11"/>
  <c r="N30" i="11"/>
  <c r="EB113" i="12"/>
  <c r="FI126" i="15"/>
  <c r="DX142" i="11"/>
  <c r="DZ73" i="12"/>
  <c r="DM18" i="13"/>
  <c r="DO36" i="13"/>
  <c r="DG36" i="13"/>
  <c r="DQ35" i="13"/>
  <c r="DI35" i="13"/>
  <c r="DK34" i="13"/>
  <c r="DM33" i="13"/>
  <c r="DO41" i="13"/>
  <c r="DG41" i="13"/>
  <c r="DQ40" i="13"/>
  <c r="DI40" i="13"/>
  <c r="DK39" i="13"/>
  <c r="DJ152" i="11"/>
  <c r="DC123" i="12"/>
  <c r="DZ74" i="12"/>
  <c r="DZ77" i="12"/>
  <c r="DX108" i="12"/>
  <c r="DO4" i="13"/>
  <c r="DG4" i="13"/>
  <c r="BP4" i="16"/>
  <c r="BJ9" i="16"/>
  <c r="DU46" i="13"/>
  <c r="DM46" i="13"/>
  <c r="FG126" i="15"/>
  <c r="DF123" i="12"/>
  <c r="DZ76" i="12"/>
  <c r="FF126" i="15"/>
  <c r="EQ47" i="14"/>
  <c r="EQ46" i="14"/>
  <c r="EI46" i="14"/>
  <c r="DQ11" i="13"/>
  <c r="DI11" i="13"/>
  <c r="DK10" i="13"/>
  <c r="DM7" i="13"/>
  <c r="DK4" i="13"/>
  <c r="BM5" i="16"/>
  <c r="BL4" i="16"/>
  <c r="DX75" i="12"/>
  <c r="EL47" i="14"/>
  <c r="EL46" i="14"/>
  <c r="DL11" i="13"/>
  <c r="DN10" i="13"/>
  <c r="DF10" i="13"/>
  <c r="DP7" i="13"/>
  <c r="DH7" i="13"/>
  <c r="DN4" i="13"/>
  <c r="DF4" i="13"/>
  <c r="BP5" i="16"/>
  <c r="BO4" i="16"/>
  <c r="BP8" i="16"/>
  <c r="BJ13" i="16"/>
  <c r="BN12" i="16"/>
  <c r="BM17" i="16"/>
  <c r="BL16" i="16"/>
  <c r="BK33" i="16"/>
  <c r="BJ32" i="16"/>
  <c r="BP44" i="16"/>
  <c r="BO48" i="16"/>
  <c r="BN47" i="16"/>
  <c r="DL15" i="13"/>
  <c r="DN14" i="13"/>
  <c r="DF14" i="13"/>
  <c r="FE126" i="15"/>
  <c r="DY118" i="11"/>
  <c r="DN18" i="13"/>
  <c r="DF18" i="13"/>
  <c r="DP23" i="13"/>
  <c r="DH23" i="13"/>
  <c r="DJ22" i="13"/>
  <c r="DP36" i="13"/>
  <c r="DH36" i="13"/>
  <c r="DJ35" i="13"/>
  <c r="DL34" i="13"/>
  <c r="DN33" i="13"/>
  <c r="DF33" i="13"/>
  <c r="DP41" i="13"/>
  <c r="DH41" i="13"/>
  <c r="DJ40" i="13"/>
  <c r="DL39" i="13"/>
  <c r="DV46" i="13"/>
  <c r="DN46" i="13"/>
  <c r="DF46" i="13"/>
  <c r="DX45" i="13"/>
  <c r="DP45" i="13"/>
  <c r="DH45" i="13"/>
  <c r="DJ44" i="13"/>
  <c r="DL53" i="13"/>
  <c r="DN52" i="13"/>
  <c r="DF52" i="13"/>
  <c r="DP51" i="13"/>
  <c r="DH51" i="13"/>
  <c r="DJ50" i="13"/>
  <c r="DL60" i="13"/>
  <c r="DJ57" i="13"/>
  <c r="DL67" i="13"/>
  <c r="DN66" i="13"/>
  <c r="DF66" i="13"/>
  <c r="DP65" i="13"/>
  <c r="DH65" i="13"/>
  <c r="DJ72" i="13"/>
  <c r="DL71" i="13"/>
  <c r="DN70" i="13"/>
  <c r="DF70" i="13"/>
  <c r="DN115" i="13"/>
  <c r="DF115" i="13"/>
  <c r="DP114" i="13"/>
  <c r="DH114" i="13"/>
  <c r="DJ113" i="13"/>
  <c r="DL112" i="13"/>
  <c r="DN110" i="13"/>
  <c r="DF110" i="13"/>
  <c r="DP109" i="13"/>
  <c r="DH109" i="13"/>
  <c r="DJ108" i="13"/>
  <c r="DA123" i="12"/>
  <c r="DA152" i="11"/>
  <c r="DZ142" i="11"/>
  <c r="BJ5" i="16"/>
  <c r="DZ75" i="12"/>
  <c r="DY137" i="11"/>
  <c r="DH10" i="13"/>
  <c r="BK13" i="16"/>
  <c r="BO12" i="16"/>
  <c r="BN17" i="16"/>
  <c r="BM16" i="16"/>
  <c r="BL33" i="16"/>
  <c r="BK32" i="16"/>
  <c r="BJ45" i="16"/>
  <c r="BP48" i="16"/>
  <c r="BO47" i="16"/>
  <c r="DM15" i="13"/>
  <c r="DO14" i="13"/>
  <c r="DG14" i="13"/>
  <c r="DO23" i="13"/>
  <c r="DG23" i="13"/>
  <c r="DQ22" i="13"/>
  <c r="DI22" i="13"/>
  <c r="DW45" i="13"/>
  <c r="DO45" i="13"/>
  <c r="DG45" i="13"/>
  <c r="DQ44" i="13"/>
  <c r="DI44" i="13"/>
  <c r="DK53" i="13"/>
  <c r="DM52" i="13"/>
  <c r="DO51" i="13"/>
  <c r="DG51" i="13"/>
  <c r="DQ50" i="13"/>
  <c r="DI50" i="13"/>
  <c r="DK60" i="13"/>
  <c r="DQ57" i="13"/>
  <c r="DI57" i="13"/>
  <c r="DK67" i="13"/>
  <c r="DM66" i="13"/>
  <c r="DO65" i="13"/>
  <c r="DG65" i="13"/>
  <c r="DQ72" i="13"/>
  <c r="DI72" i="13"/>
  <c r="DK71" i="13"/>
  <c r="DM70" i="13"/>
  <c r="DM115" i="13"/>
  <c r="DO114" i="13"/>
  <c r="DG114" i="13"/>
  <c r="DQ113" i="13"/>
  <c r="DI113" i="13"/>
  <c r="DK112" i="13"/>
  <c r="DM110" i="13"/>
  <c r="DO109" i="13"/>
  <c r="DG109" i="13"/>
  <c r="DQ108" i="13"/>
  <c r="DI108" i="13"/>
  <c r="DB152" i="11"/>
  <c r="FH126" i="15"/>
  <c r="DN11" i="13"/>
  <c r="DF11" i="13"/>
  <c r="DP10" i="13"/>
  <c r="DJ7" i="13"/>
  <c r="DP4" i="13"/>
  <c r="DH4" i="13"/>
  <c r="BK9" i="16"/>
  <c r="BJ8" i="16"/>
  <c r="BL13" i="16"/>
  <c r="BO17" i="16"/>
  <c r="BN16" i="16"/>
  <c r="BM33" i="16"/>
  <c r="BL32" i="16"/>
  <c r="BK45" i="16"/>
  <c r="BJ44" i="16"/>
  <c r="BP47" i="16"/>
  <c r="DN15" i="13"/>
  <c r="DF15" i="13"/>
  <c r="DP14" i="13"/>
  <c r="DH14" i="13"/>
  <c r="DM11" i="13"/>
  <c r="DO10" i="13"/>
  <c r="DG10" i="13"/>
  <c r="DQ7" i="13"/>
  <c r="DI7" i="13"/>
  <c r="DY76" i="12"/>
  <c r="FE132" i="18"/>
  <c r="AP18" i="11"/>
  <c r="DC18" i="11" s="1"/>
  <c r="DJ20" i="13"/>
  <c r="BE6" i="11"/>
  <c r="DH6" i="11" s="1"/>
  <c r="DO6" i="13"/>
  <c r="AG6" i="11"/>
  <c r="CZ6" i="11" s="1"/>
  <c r="DG6" i="13"/>
  <c r="BK5" i="11"/>
  <c r="DJ5" i="11" s="1"/>
  <c r="DQ5" i="13"/>
  <c r="AM5" i="11"/>
  <c r="DB5" i="11" s="1"/>
  <c r="DI5" i="13"/>
  <c r="AV15" i="12"/>
  <c r="DE15" i="12" s="1"/>
  <c r="DL27" i="13"/>
  <c r="AD5" i="11"/>
  <c r="CY5" i="11" s="1"/>
  <c r="DF5" i="13"/>
  <c r="BT17" i="11"/>
  <c r="DM17" i="11" s="1"/>
  <c r="DT19" i="13"/>
  <c r="AV17" i="11"/>
  <c r="DE17" i="11" s="1"/>
  <c r="DL19" i="13"/>
  <c r="AV6" i="11"/>
  <c r="DE6" i="11" s="1"/>
  <c r="DL6" i="13"/>
  <c r="AS6" i="11"/>
  <c r="DD6" i="11" s="1"/>
  <c r="DK6" i="13"/>
  <c r="AY5" i="11"/>
  <c r="DF5" i="11" s="1"/>
  <c r="DM5" i="13"/>
  <c r="BB5" i="11"/>
  <c r="DG5" i="11" s="1"/>
  <c r="DN5" i="13"/>
  <c r="AP6" i="11"/>
  <c r="DJ6" i="13"/>
  <c r="AV5" i="11"/>
  <c r="DL5" i="13"/>
  <c r="DJ11" i="13"/>
  <c r="DL10" i="13"/>
  <c r="DF7" i="13"/>
  <c r="BH6" i="11"/>
  <c r="DI6" i="11" s="1"/>
  <c r="DP6" i="13"/>
  <c r="AJ6" i="11"/>
  <c r="DA6" i="11" s="1"/>
  <c r="DH6" i="13"/>
  <c r="AP5" i="11"/>
  <c r="DC5" i="11" s="1"/>
  <c r="DJ5" i="13"/>
  <c r="DL4" i="13"/>
  <c r="BN8" i="16"/>
  <c r="BL12" i="16"/>
  <c r="BK17" i="16"/>
  <c r="BJ16" i="16"/>
  <c r="BP32" i="16"/>
  <c r="BO45" i="16"/>
  <c r="BN44" i="16"/>
  <c r="BM48" i="16"/>
  <c r="BL47" i="16"/>
  <c r="DJ15" i="13"/>
  <c r="DL14" i="13"/>
  <c r="BB18" i="11"/>
  <c r="DG18" i="11" s="1"/>
  <c r="DN20" i="13"/>
  <c r="AD18" i="11"/>
  <c r="CY18" i="11" s="1"/>
  <c r="DF20" i="13"/>
  <c r="CF17" i="11"/>
  <c r="DQ17" i="11" s="1"/>
  <c r="DX19" i="13"/>
  <c r="BH17" i="11"/>
  <c r="DI17" i="11" s="1"/>
  <c r="DP19" i="13"/>
  <c r="AJ17" i="11"/>
  <c r="DA17" i="11" s="1"/>
  <c r="DH19" i="13"/>
  <c r="DJ18" i="13"/>
  <c r="DL23" i="13"/>
  <c r="DN22" i="13"/>
  <c r="DF22" i="13"/>
  <c r="BH15" i="12"/>
  <c r="DI15" i="12" s="1"/>
  <c r="DP27" i="13"/>
  <c r="AJ15" i="12"/>
  <c r="DA15" i="12" s="1"/>
  <c r="DH27" i="13"/>
  <c r="AP14" i="12"/>
  <c r="DC14" i="12" s="1"/>
  <c r="DJ26" i="13"/>
  <c r="DL36" i="13"/>
  <c r="DN35" i="13"/>
  <c r="DF35" i="13"/>
  <c r="DP34" i="13"/>
  <c r="DH34" i="13"/>
  <c r="DJ33" i="13"/>
  <c r="DL41" i="13"/>
  <c r="DN40" i="13"/>
  <c r="DF40" i="13"/>
  <c r="DP39" i="13"/>
  <c r="DH39" i="13"/>
  <c r="DR46" i="13"/>
  <c r="DJ46" i="13"/>
  <c r="DT45" i="13"/>
  <c r="DL45" i="13"/>
  <c r="DN44" i="13"/>
  <c r="DF44" i="13"/>
  <c r="DP53" i="13"/>
  <c r="DH53" i="13"/>
  <c r="DJ52" i="13"/>
  <c r="DL51" i="13"/>
  <c r="DN50" i="13"/>
  <c r="DF50" i="13"/>
  <c r="DP60" i="13"/>
  <c r="DH60" i="13"/>
  <c r="AP43" i="11"/>
  <c r="DC43" i="11" s="1"/>
  <c r="DJ59" i="13"/>
  <c r="AV42" i="11"/>
  <c r="DL58" i="13"/>
  <c r="DN57" i="13"/>
  <c r="DF57" i="13"/>
  <c r="DP67" i="13"/>
  <c r="DH67" i="13"/>
  <c r="DJ66" i="13"/>
  <c r="DL65" i="13"/>
  <c r="DN72" i="13"/>
  <c r="DF72" i="13"/>
  <c r="DP71" i="13"/>
  <c r="DH71" i="13"/>
  <c r="DJ70" i="13"/>
  <c r="BH77" i="11"/>
  <c r="DI77" i="11" s="1"/>
  <c r="DP116" i="13"/>
  <c r="AJ77" i="11"/>
  <c r="DA77" i="11" s="1"/>
  <c r="DH116" i="13"/>
  <c r="DJ115" i="13"/>
  <c r="DL114" i="13"/>
  <c r="DN113" i="13"/>
  <c r="DF113" i="13"/>
  <c r="DP112" i="13"/>
  <c r="DH112" i="13"/>
  <c r="DJ110" i="13"/>
  <c r="DL109" i="13"/>
  <c r="DN108" i="13"/>
  <c r="DF108" i="13"/>
  <c r="DH123" i="12"/>
  <c r="BK101" i="11"/>
  <c r="DJ101" i="11" s="1"/>
  <c r="DJ102" i="11"/>
  <c r="DY108" i="12"/>
  <c r="DY74" i="12"/>
  <c r="DZ118" i="11"/>
  <c r="DX118" i="11"/>
  <c r="EA113" i="12"/>
  <c r="AV101" i="11"/>
  <c r="DE101" i="11" s="1"/>
  <c r="DE102" i="11"/>
  <c r="DX74" i="12"/>
  <c r="DN7" i="13"/>
  <c r="BN5" i="16"/>
  <c r="BM4" i="16"/>
  <c r="BO9" i="16"/>
  <c r="EG46" i="14"/>
  <c r="DO11" i="13"/>
  <c r="DG11" i="13"/>
  <c r="DQ10" i="13"/>
  <c r="DI10" i="13"/>
  <c r="DK7" i="13"/>
  <c r="AY6" i="11"/>
  <c r="DF6" i="11" s="1"/>
  <c r="DM6" i="13"/>
  <c r="BE5" i="11"/>
  <c r="DH5" i="11" s="1"/>
  <c r="DO5" i="13"/>
  <c r="AG5" i="11"/>
  <c r="CZ5" i="11" s="1"/>
  <c r="DG5" i="13"/>
  <c r="DQ4" i="13"/>
  <c r="DI4" i="13"/>
  <c r="BK5" i="16"/>
  <c r="BJ4" i="16"/>
  <c r="BL9" i="16"/>
  <c r="BK8" i="16"/>
  <c r="BM13" i="16"/>
  <c r="BP17" i="16"/>
  <c r="BO16" i="16"/>
  <c r="BN33" i="16"/>
  <c r="BM32" i="16"/>
  <c r="BL45" i="16"/>
  <c r="BK44" i="16"/>
  <c r="BJ48" i="16"/>
  <c r="DO15" i="13"/>
  <c r="DG15" i="13"/>
  <c r="DQ14" i="13"/>
  <c r="DI14" i="13"/>
  <c r="AS18" i="11"/>
  <c r="DD18" i="11" s="1"/>
  <c r="DK20" i="13"/>
  <c r="BW17" i="11"/>
  <c r="DN17" i="11" s="1"/>
  <c r="DU19" i="13"/>
  <c r="AY17" i="11"/>
  <c r="DF17" i="11" s="1"/>
  <c r="DM19" i="13"/>
  <c r="DO18" i="13"/>
  <c r="DG18" i="13"/>
  <c r="DQ23" i="13"/>
  <c r="DI23" i="13"/>
  <c r="DK22" i="13"/>
  <c r="AY15" i="12"/>
  <c r="DF15" i="12" s="1"/>
  <c r="DM27" i="13"/>
  <c r="BE14" i="12"/>
  <c r="DH14" i="12" s="1"/>
  <c r="DO26" i="13"/>
  <c r="AG14" i="12"/>
  <c r="CZ14" i="12" s="1"/>
  <c r="DG26" i="13"/>
  <c r="DQ36" i="13"/>
  <c r="DI36" i="13"/>
  <c r="DK35" i="13"/>
  <c r="DM34" i="13"/>
  <c r="DO33" i="13"/>
  <c r="DG33" i="13"/>
  <c r="DQ41" i="13"/>
  <c r="DI41" i="13"/>
  <c r="DK40" i="13"/>
  <c r="DM39" i="13"/>
  <c r="DW46" i="13"/>
  <c r="DO46" i="13"/>
  <c r="DG46" i="13"/>
  <c r="DY45" i="13"/>
  <c r="DQ45" i="13"/>
  <c r="DI45" i="13"/>
  <c r="DK44" i="13"/>
  <c r="DM53" i="13"/>
  <c r="DO52" i="13"/>
  <c r="DG52" i="13"/>
  <c r="DQ51" i="13"/>
  <c r="DI51" i="13"/>
  <c r="DK50" i="13"/>
  <c r="DM60" i="13"/>
  <c r="BE43" i="11"/>
  <c r="DH43" i="11" s="1"/>
  <c r="DO59" i="13"/>
  <c r="AG43" i="11"/>
  <c r="CZ43" i="11" s="1"/>
  <c r="DG59" i="13"/>
  <c r="BK42" i="11"/>
  <c r="DQ58" i="13"/>
  <c r="AM42" i="11"/>
  <c r="DI58" i="13"/>
  <c r="DK57" i="13"/>
  <c r="DM67" i="13"/>
  <c r="DO66" i="13"/>
  <c r="DG66" i="13"/>
  <c r="DQ65" i="13"/>
  <c r="DI65" i="13"/>
  <c r="DK72" i="13"/>
  <c r="DM71" i="13"/>
  <c r="DO70" i="13"/>
  <c r="DG70" i="13"/>
  <c r="AY77" i="11"/>
  <c r="DF77" i="11" s="1"/>
  <c r="DM116" i="13"/>
  <c r="DO115" i="13"/>
  <c r="DG115" i="13"/>
  <c r="DQ114" i="13"/>
  <c r="DI114" i="13"/>
  <c r="DK113" i="13"/>
  <c r="DM112" i="13"/>
  <c r="DO110" i="13"/>
  <c r="DG110" i="13"/>
  <c r="DQ109" i="13"/>
  <c r="DI109" i="13"/>
  <c r="DK108" i="13"/>
  <c r="AV69" i="12"/>
  <c r="DE69" i="12" s="1"/>
  <c r="DE70" i="12"/>
  <c r="BH69" i="12"/>
  <c r="DI69" i="12" s="1"/>
  <c r="DI70" i="12"/>
  <c r="AM69" i="12"/>
  <c r="DB69" i="12" s="1"/>
  <c r="DB70" i="12"/>
  <c r="AG69" i="12"/>
  <c r="CZ69" i="12" s="1"/>
  <c r="CZ70" i="12"/>
  <c r="AP69" i="12"/>
  <c r="DC69" i="12" s="1"/>
  <c r="DC70" i="12"/>
  <c r="DF152" i="11"/>
  <c r="DE123" i="12"/>
  <c r="CZ123" i="12"/>
  <c r="DH152" i="11"/>
  <c r="BK69" i="12"/>
  <c r="DJ69" i="12" s="1"/>
  <c r="DJ70" i="12"/>
  <c r="DX76" i="12"/>
  <c r="AS101" i="11"/>
  <c r="DD101" i="11" s="1"/>
  <c r="DD102" i="11"/>
  <c r="BH101" i="11"/>
  <c r="DI101" i="11" s="1"/>
  <c r="DI102" i="11"/>
  <c r="EF133" i="13"/>
  <c r="BH18" i="11"/>
  <c r="DI18" i="11" s="1"/>
  <c r="DP20" i="13"/>
  <c r="AJ18" i="11"/>
  <c r="DA18" i="11" s="1"/>
  <c r="DH20" i="13"/>
  <c r="BN17" i="11"/>
  <c r="DK17" i="11" s="1"/>
  <c r="DR19" i="13"/>
  <c r="AP17" i="11"/>
  <c r="DC17" i="11" s="1"/>
  <c r="DJ19" i="13"/>
  <c r="DL18" i="13"/>
  <c r="DN23" i="13"/>
  <c r="DF23" i="13"/>
  <c r="DP22" i="13"/>
  <c r="DH22" i="13"/>
  <c r="AP15" i="12"/>
  <c r="DC15" i="12" s="1"/>
  <c r="DJ27" i="13"/>
  <c r="AV14" i="12"/>
  <c r="DE14" i="12" s="1"/>
  <c r="DL26" i="13"/>
  <c r="AV43" i="11"/>
  <c r="DE43" i="11" s="1"/>
  <c r="DL59" i="13"/>
  <c r="BB42" i="11"/>
  <c r="DN58" i="13"/>
  <c r="AD42" i="11"/>
  <c r="DF58" i="13"/>
  <c r="DP57" i="13"/>
  <c r="DH57" i="13"/>
  <c r="DJ67" i="13"/>
  <c r="DL66" i="13"/>
  <c r="DN65" i="13"/>
  <c r="DF65" i="13"/>
  <c r="DP72" i="13"/>
  <c r="DH72" i="13"/>
  <c r="DJ71" i="13"/>
  <c r="DL70" i="13"/>
  <c r="AP77" i="11"/>
  <c r="DC77" i="11" s="1"/>
  <c r="DJ116" i="13"/>
  <c r="DL115" i="13"/>
  <c r="DN114" i="13"/>
  <c r="DF114" i="13"/>
  <c r="DP113" i="13"/>
  <c r="DH113" i="13"/>
  <c r="DJ112" i="13"/>
  <c r="DL110" i="13"/>
  <c r="DN109" i="13"/>
  <c r="DF109" i="13"/>
  <c r="DP108" i="13"/>
  <c r="DH108" i="13"/>
  <c r="DG123" i="12"/>
  <c r="DE152" i="11"/>
  <c r="CZ152" i="11"/>
  <c r="FF120" i="15"/>
  <c r="DY105" i="11"/>
  <c r="EE133" i="13"/>
  <c r="AP101" i="11"/>
  <c r="DC101" i="11" s="1"/>
  <c r="DC102" i="11"/>
  <c r="DY113" i="12"/>
  <c r="BN9" i="16"/>
  <c r="BM8" i="16"/>
  <c r="BO13" i="16"/>
  <c r="BK12" i="16"/>
  <c r="BJ17" i="16"/>
  <c r="BP33" i="16"/>
  <c r="BO32" i="16"/>
  <c r="BN45" i="16"/>
  <c r="BM44" i="16"/>
  <c r="BL48" i="16"/>
  <c r="BK47" i="16"/>
  <c r="DQ15" i="13"/>
  <c r="DI15" i="13"/>
  <c r="DK14" i="13"/>
  <c r="AY18" i="11"/>
  <c r="DF18" i="11" s="1"/>
  <c r="DM20" i="13"/>
  <c r="CC17" i="11"/>
  <c r="DP17" i="11" s="1"/>
  <c r="DW19" i="13"/>
  <c r="BE17" i="11"/>
  <c r="DH17" i="11" s="1"/>
  <c r="DO19" i="13"/>
  <c r="AG17" i="11"/>
  <c r="CZ17" i="11" s="1"/>
  <c r="DG19" i="13"/>
  <c r="DQ18" i="13"/>
  <c r="DI18" i="13"/>
  <c r="DK23" i="13"/>
  <c r="DM22" i="13"/>
  <c r="BE15" i="12"/>
  <c r="DH15" i="12" s="1"/>
  <c r="DO27" i="13"/>
  <c r="AG15" i="12"/>
  <c r="CZ15" i="12" s="1"/>
  <c r="DG27" i="13"/>
  <c r="BK14" i="12"/>
  <c r="DQ26" i="13"/>
  <c r="AM14" i="12"/>
  <c r="DB14" i="12" s="1"/>
  <c r="DI26" i="13"/>
  <c r="DK36" i="13"/>
  <c r="DM35" i="13"/>
  <c r="DO34" i="13"/>
  <c r="DG34" i="13"/>
  <c r="DQ33" i="13"/>
  <c r="DI33" i="13"/>
  <c r="DK41" i="13"/>
  <c r="DM40" i="13"/>
  <c r="DO39" i="13"/>
  <c r="DG39" i="13"/>
  <c r="DY46" i="13"/>
  <c r="DQ46" i="13"/>
  <c r="DI46" i="13"/>
  <c r="DS45" i="13"/>
  <c r="DK45" i="13"/>
  <c r="DM44" i="13"/>
  <c r="DO53" i="13"/>
  <c r="DG53" i="13"/>
  <c r="DQ52" i="13"/>
  <c r="DI52" i="13"/>
  <c r="DK51" i="13"/>
  <c r="DM50" i="13"/>
  <c r="DO60" i="13"/>
  <c r="DG60" i="13"/>
  <c r="BK43" i="11"/>
  <c r="DJ43" i="11" s="1"/>
  <c r="DQ59" i="13"/>
  <c r="AM43" i="11"/>
  <c r="DB43" i="11" s="1"/>
  <c r="DI59" i="13"/>
  <c r="AS42" i="11"/>
  <c r="DK58" i="13"/>
  <c r="DM57" i="13"/>
  <c r="DO67" i="13"/>
  <c r="DG67" i="13"/>
  <c r="DQ66" i="13"/>
  <c r="DI66" i="13"/>
  <c r="DK65" i="13"/>
  <c r="DM72" i="13"/>
  <c r="DO71" i="13"/>
  <c r="DG71" i="13"/>
  <c r="DQ70" i="13"/>
  <c r="DI70" i="13"/>
  <c r="BE77" i="11"/>
  <c r="DH77" i="11" s="1"/>
  <c r="DO116" i="13"/>
  <c r="AG77" i="11"/>
  <c r="CZ77" i="11" s="1"/>
  <c r="DG116" i="13"/>
  <c r="DQ115" i="13"/>
  <c r="DI115" i="13"/>
  <c r="DK114" i="13"/>
  <c r="DM113" i="13"/>
  <c r="DO112" i="13"/>
  <c r="DG112" i="13"/>
  <c r="DQ110" i="13"/>
  <c r="DI110" i="13"/>
  <c r="DK109" i="13"/>
  <c r="DM108" i="13"/>
  <c r="BB69" i="12"/>
  <c r="DG69" i="12" s="1"/>
  <c r="DG70" i="12"/>
  <c r="FG120" i="15"/>
  <c r="DC152" i="11"/>
  <c r="CY123" i="12"/>
  <c r="DG152" i="11"/>
  <c r="DD123" i="12"/>
  <c r="FE120" i="15"/>
  <c r="AD101" i="11"/>
  <c r="CY101" i="11" s="1"/>
  <c r="CY102" i="11"/>
  <c r="BE101" i="11"/>
  <c r="DH101" i="11" s="1"/>
  <c r="DH102" i="11"/>
  <c r="AJ101" i="11"/>
  <c r="DA101" i="11" s="1"/>
  <c r="DA102" i="11"/>
  <c r="DX73" i="12"/>
  <c r="BB14" i="12"/>
  <c r="DG14" i="12" s="1"/>
  <c r="DN26" i="13"/>
  <c r="AD43" i="11"/>
  <c r="CY43" i="11" s="1"/>
  <c r="DF59" i="13"/>
  <c r="BH42" i="11"/>
  <c r="DP58" i="13"/>
  <c r="AJ42" i="11"/>
  <c r="DH58" i="13"/>
  <c r="AV77" i="11"/>
  <c r="DE77" i="11" s="1"/>
  <c r="DL116" i="13"/>
  <c r="CY152" i="11"/>
  <c r="DD152" i="11"/>
  <c r="EG133" i="13"/>
  <c r="AG101" i="11"/>
  <c r="CZ101" i="11" s="1"/>
  <c r="CZ102" i="11"/>
  <c r="EG144" i="13"/>
  <c r="AD14" i="12"/>
  <c r="CY14" i="12" s="1"/>
  <c r="DF26" i="13"/>
  <c r="BB43" i="11"/>
  <c r="DG43" i="11" s="1"/>
  <c r="DN59" i="13"/>
  <c r="DK11" i="13"/>
  <c r="DM10" i="13"/>
  <c r="DO7" i="13"/>
  <c r="DG7" i="13"/>
  <c r="BK6" i="11"/>
  <c r="DJ6" i="11" s="1"/>
  <c r="DQ6" i="13"/>
  <c r="AM6" i="11"/>
  <c r="DB6" i="11" s="1"/>
  <c r="DI6" i="13"/>
  <c r="AS5" i="11"/>
  <c r="DD5" i="11" s="1"/>
  <c r="DK5" i="13"/>
  <c r="DM4" i="13"/>
  <c r="BO5" i="16"/>
  <c r="BN4" i="16"/>
  <c r="BP9" i="16"/>
  <c r="BO8" i="16"/>
  <c r="BM12" i="16"/>
  <c r="BL17" i="16"/>
  <c r="BK16" i="16"/>
  <c r="BJ33" i="16"/>
  <c r="BP45" i="16"/>
  <c r="BO44" i="16"/>
  <c r="BN48" i="16"/>
  <c r="BM47" i="16"/>
  <c r="DK15" i="13"/>
  <c r="DM14" i="13"/>
  <c r="BE18" i="11"/>
  <c r="DH18" i="11" s="1"/>
  <c r="DO20" i="13"/>
  <c r="AG18" i="11"/>
  <c r="CZ18" i="11" s="1"/>
  <c r="DG20" i="13"/>
  <c r="CI17" i="11"/>
  <c r="DR17" i="11" s="1"/>
  <c r="DY19" i="13"/>
  <c r="BK17" i="11"/>
  <c r="DJ17" i="11" s="1"/>
  <c r="DQ19" i="13"/>
  <c r="AM17" i="11"/>
  <c r="DB17" i="11" s="1"/>
  <c r="DI19" i="13"/>
  <c r="DK18" i="13"/>
  <c r="DM23" i="13"/>
  <c r="DO22" i="13"/>
  <c r="DG22" i="13"/>
  <c r="BK15" i="12"/>
  <c r="DJ15" i="12" s="1"/>
  <c r="DQ27" i="13"/>
  <c r="AM15" i="12"/>
  <c r="DB15" i="12" s="1"/>
  <c r="DI27" i="13"/>
  <c r="AS14" i="12"/>
  <c r="DD14" i="12" s="1"/>
  <c r="DK26" i="13"/>
  <c r="DM36" i="13"/>
  <c r="DO35" i="13"/>
  <c r="DG35" i="13"/>
  <c r="DQ34" i="13"/>
  <c r="DI34" i="13"/>
  <c r="DK33" i="13"/>
  <c r="DM41" i="13"/>
  <c r="DO40" i="13"/>
  <c r="DG40" i="13"/>
  <c r="DQ39" i="13"/>
  <c r="DI39" i="13"/>
  <c r="DS46" i="13"/>
  <c r="DK46" i="13"/>
  <c r="DU45" i="13"/>
  <c r="DM45" i="13"/>
  <c r="DO44" i="13"/>
  <c r="DG44" i="13"/>
  <c r="DQ53" i="13"/>
  <c r="DI53" i="13"/>
  <c r="DK52" i="13"/>
  <c r="DM51" i="13"/>
  <c r="DO50" i="13"/>
  <c r="DG50" i="13"/>
  <c r="DQ60" i="13"/>
  <c r="DI60" i="13"/>
  <c r="AS43" i="11"/>
  <c r="DD43" i="11" s="1"/>
  <c r="DK59" i="13"/>
  <c r="AY42" i="11"/>
  <c r="DM58" i="13"/>
  <c r="DO57" i="13"/>
  <c r="DG57" i="13"/>
  <c r="DQ67" i="13"/>
  <c r="DI67" i="13"/>
  <c r="DK66" i="13"/>
  <c r="DM65" i="13"/>
  <c r="DO72" i="13"/>
  <c r="DG72" i="13"/>
  <c r="DQ71" i="13"/>
  <c r="DI71" i="13"/>
  <c r="DK70" i="13"/>
  <c r="BK77" i="11"/>
  <c r="DJ77" i="11" s="1"/>
  <c r="DQ116" i="13"/>
  <c r="AM77" i="11"/>
  <c r="DB77" i="11" s="1"/>
  <c r="DI116" i="13"/>
  <c r="DK115" i="13"/>
  <c r="DM114" i="13"/>
  <c r="DO113" i="13"/>
  <c r="DG113" i="13"/>
  <c r="DQ112" i="13"/>
  <c r="DI112" i="13"/>
  <c r="DK110" i="13"/>
  <c r="DM109" i="13"/>
  <c r="DO108" i="13"/>
  <c r="DG108" i="13"/>
  <c r="AS69" i="12"/>
  <c r="DD69" i="12" s="1"/>
  <c r="DD70" i="12"/>
  <c r="DI123" i="12"/>
  <c r="EF170" i="13"/>
  <c r="EE170" i="13"/>
  <c r="DY73" i="12"/>
  <c r="EA142" i="11"/>
  <c r="BB101" i="11"/>
  <c r="DG101" i="11" s="1"/>
  <c r="DG102" i="11"/>
  <c r="DZ113" i="12"/>
  <c r="DP11" i="13"/>
  <c r="DH11" i="13"/>
  <c r="DJ10" i="13"/>
  <c r="DL7" i="13"/>
  <c r="BB6" i="11"/>
  <c r="DG6" i="11" s="1"/>
  <c r="DN6" i="13"/>
  <c r="AD6" i="11"/>
  <c r="CY6" i="11" s="1"/>
  <c r="DF6" i="13"/>
  <c r="BH5" i="11"/>
  <c r="DI5" i="11" s="1"/>
  <c r="DP5" i="13"/>
  <c r="AJ5" i="11"/>
  <c r="DA5" i="11" s="1"/>
  <c r="DH5" i="13"/>
  <c r="DJ4" i="13"/>
  <c r="BL5" i="16"/>
  <c r="BK4" i="16"/>
  <c r="BM9" i="16"/>
  <c r="BL8" i="16"/>
  <c r="BN13" i="16"/>
  <c r="BJ12" i="16"/>
  <c r="BP16" i="16"/>
  <c r="BO33" i="16"/>
  <c r="BN32" i="16"/>
  <c r="BM45" i="16"/>
  <c r="BL44" i="16"/>
  <c r="BK48" i="16"/>
  <c r="BJ47" i="16"/>
  <c r="DP15" i="13"/>
  <c r="DH15" i="13"/>
  <c r="DJ14" i="13"/>
  <c r="AV18" i="11"/>
  <c r="DE18" i="11" s="1"/>
  <c r="DL20" i="13"/>
  <c r="BZ17" i="11"/>
  <c r="DO17" i="11" s="1"/>
  <c r="DV19" i="13"/>
  <c r="BB17" i="11"/>
  <c r="DG17" i="11" s="1"/>
  <c r="DN19" i="13"/>
  <c r="AD17" i="11"/>
  <c r="CY17" i="11" s="1"/>
  <c r="DF19" i="13"/>
  <c r="DP18" i="13"/>
  <c r="DH18" i="13"/>
  <c r="DJ23" i="13"/>
  <c r="DL22" i="13"/>
  <c r="BB15" i="12"/>
  <c r="DG15" i="12" s="1"/>
  <c r="DN27" i="13"/>
  <c r="AD15" i="12"/>
  <c r="CY15" i="12" s="1"/>
  <c r="DF27" i="13"/>
  <c r="BH14" i="12"/>
  <c r="DI14" i="12" s="1"/>
  <c r="DP26" i="13"/>
  <c r="AJ14" i="12"/>
  <c r="DA14" i="12" s="1"/>
  <c r="DH26" i="13"/>
  <c r="DJ36" i="13"/>
  <c r="DL35" i="13"/>
  <c r="DN34" i="13"/>
  <c r="DF34" i="13"/>
  <c r="DP33" i="13"/>
  <c r="DH33" i="13"/>
  <c r="DJ41" i="13"/>
  <c r="DL40" i="13"/>
  <c r="DN39" i="13"/>
  <c r="DF39" i="13"/>
  <c r="DX46" i="13"/>
  <c r="DP46" i="13"/>
  <c r="DH46" i="13"/>
  <c r="DR45" i="13"/>
  <c r="DJ45" i="13"/>
  <c r="DL44" i="13"/>
  <c r="DN53" i="13"/>
  <c r="DF53" i="13"/>
  <c r="DP52" i="13"/>
  <c r="DH52" i="13"/>
  <c r="DJ51" i="13"/>
  <c r="DL50" i="13"/>
  <c r="DN60" i="13"/>
  <c r="DF60" i="13"/>
  <c r="BH43" i="11"/>
  <c r="DI43" i="11" s="1"/>
  <c r="DP59" i="13"/>
  <c r="AJ43" i="11"/>
  <c r="DA43" i="11" s="1"/>
  <c r="DH59" i="13"/>
  <c r="AP42" i="11"/>
  <c r="DJ58" i="13"/>
  <c r="DL57" i="13"/>
  <c r="DN67" i="13"/>
  <c r="DF67" i="13"/>
  <c r="DP66" i="13"/>
  <c r="DH66" i="13"/>
  <c r="DJ65" i="13"/>
  <c r="DL72" i="13"/>
  <c r="DN71" i="13"/>
  <c r="DF71" i="13"/>
  <c r="DP70" i="13"/>
  <c r="DH70" i="13"/>
  <c r="BB77" i="11"/>
  <c r="DG77" i="11" s="1"/>
  <c r="DN116" i="13"/>
  <c r="AD77" i="11"/>
  <c r="CY77" i="11" s="1"/>
  <c r="DF116" i="13"/>
  <c r="DP115" i="13"/>
  <c r="DH115" i="13"/>
  <c r="DJ114" i="13"/>
  <c r="DL113" i="13"/>
  <c r="DN112" i="13"/>
  <c r="DF112" i="13"/>
  <c r="DP110" i="13"/>
  <c r="DH110" i="13"/>
  <c r="DJ109" i="13"/>
  <c r="DL108" i="13"/>
  <c r="DI152" i="11"/>
  <c r="DJ123" i="12"/>
  <c r="DB123" i="12"/>
  <c r="EF144" i="13"/>
  <c r="DY75" i="12"/>
  <c r="EG170" i="13"/>
  <c r="AY101" i="11"/>
  <c r="DF101" i="11" s="1"/>
  <c r="DF102" i="11"/>
  <c r="BK18" i="11"/>
  <c r="DJ18" i="11" s="1"/>
  <c r="DQ20" i="13"/>
  <c r="AM18" i="11"/>
  <c r="DB18" i="11" s="1"/>
  <c r="DI20" i="13"/>
  <c r="BQ17" i="11"/>
  <c r="DL17" i="11" s="1"/>
  <c r="DS19" i="13"/>
  <c r="AS17" i="11"/>
  <c r="DD17" i="11" s="1"/>
  <c r="DK19" i="13"/>
  <c r="AS15" i="12"/>
  <c r="DD15" i="12" s="1"/>
  <c r="DK27" i="13"/>
  <c r="AY14" i="12"/>
  <c r="DM26" i="13"/>
  <c r="AY43" i="11"/>
  <c r="DF43" i="11" s="1"/>
  <c r="DM59" i="13"/>
  <c r="BE42" i="11"/>
  <c r="DO58" i="13"/>
  <c r="AG42" i="11"/>
  <c r="DG58" i="13"/>
  <c r="AS77" i="11"/>
  <c r="DD77" i="11" s="1"/>
  <c r="DK116" i="13"/>
  <c r="AD69" i="12"/>
  <c r="CY69" i="12" s="1"/>
  <c r="CY70" i="12"/>
  <c r="AJ69" i="12"/>
  <c r="DA69" i="12" s="1"/>
  <c r="DA70" i="12"/>
  <c r="BE69" i="12"/>
  <c r="DH69" i="12" s="1"/>
  <c r="DH70" i="12"/>
  <c r="AY69" i="12"/>
  <c r="DF69" i="12" s="1"/>
  <c r="DF70" i="12"/>
  <c r="EE144" i="13"/>
  <c r="DX77" i="12"/>
  <c r="DX113" i="12"/>
  <c r="AM101" i="11"/>
  <c r="DB101" i="11" s="1"/>
  <c r="DB102" i="11"/>
  <c r="DY109" i="11"/>
  <c r="DX105" i="11"/>
  <c r="DZ108" i="11"/>
  <c r="DY107" i="11"/>
  <c r="DX108" i="11"/>
  <c r="DZ106" i="11"/>
  <c r="DX109" i="11"/>
  <c r="DX107" i="11"/>
  <c r="DX106" i="11"/>
  <c r="DZ105" i="11"/>
  <c r="DZ109" i="11"/>
  <c r="DY108" i="11"/>
  <c r="DY106" i="11"/>
  <c r="DZ107" i="11"/>
  <c r="EI80" i="15"/>
  <c r="EK47" i="14"/>
  <c r="EO47" i="14"/>
  <c r="EG47" i="14"/>
  <c r="EO46" i="14"/>
  <c r="EK46" i="14"/>
  <c r="EI47" i="14"/>
  <c r="EN46" i="14"/>
  <c r="EF46" i="14"/>
  <c r="EP47" i="14"/>
  <c r="EH47" i="14"/>
  <c r="EP46" i="14"/>
  <c r="EH46" i="14"/>
  <c r="EN47" i="14"/>
  <c r="EM47" i="14"/>
  <c r="EM46" i="14"/>
  <c r="EF47" i="14"/>
  <c r="EJ47" i="14"/>
  <c r="EJ46" i="14"/>
  <c r="BC31" i="11"/>
  <c r="AU31" i="11"/>
  <c r="AE31" i="11"/>
  <c r="W31" i="11"/>
  <c r="BI30" i="11"/>
  <c r="BA30" i="11"/>
  <c r="AK30" i="11"/>
  <c r="AC30" i="11"/>
  <c r="U30" i="11"/>
  <c r="M30" i="11"/>
  <c r="E30" i="11"/>
  <c r="BM31" i="11"/>
  <c r="AW31" i="11"/>
  <c r="AO31" i="11"/>
  <c r="Y31" i="11"/>
  <c r="Q31" i="11"/>
  <c r="I31" i="11"/>
  <c r="BC30" i="11"/>
  <c r="AU30" i="11"/>
  <c r="AE30" i="11"/>
  <c r="W30" i="11"/>
  <c r="O30" i="11"/>
  <c r="F31" i="11"/>
  <c r="AB30" i="11"/>
  <c r="BJ31" i="11"/>
  <c r="AT31" i="11"/>
  <c r="AL31" i="11"/>
  <c r="V31" i="11"/>
  <c r="N31" i="11"/>
  <c r="AZ30" i="11"/>
  <c r="AR30" i="11"/>
  <c r="T30" i="11"/>
  <c r="L30" i="11"/>
  <c r="D30" i="11"/>
  <c r="EL80" i="15"/>
  <c r="EJ80" i="15"/>
  <c r="G30" i="11"/>
  <c r="BI31" i="11"/>
  <c r="BA31" i="11"/>
  <c r="AK31" i="11"/>
  <c r="AC31" i="11"/>
  <c r="U31" i="11"/>
  <c r="M31" i="11"/>
  <c r="E31" i="11"/>
  <c r="BG30" i="11"/>
  <c r="AQ30" i="11"/>
  <c r="AI30" i="11"/>
  <c r="AA30" i="11"/>
  <c r="S30" i="11"/>
  <c r="K30" i="11"/>
  <c r="C30" i="11"/>
  <c r="AZ31" i="11"/>
  <c r="AR31" i="11"/>
  <c r="AB31" i="11"/>
  <c r="T31" i="11"/>
  <c r="L31" i="11"/>
  <c r="D31" i="11"/>
  <c r="BF30" i="11"/>
  <c r="AX30" i="11"/>
  <c r="AH30" i="11"/>
  <c r="Z30" i="11"/>
  <c r="R30" i="11"/>
  <c r="J30" i="11"/>
  <c r="EW13" i="15"/>
  <c r="EG13" i="15"/>
  <c r="EM80" i="15"/>
  <c r="EW4" i="15"/>
  <c r="EG4" i="15"/>
  <c r="BG31" i="11"/>
  <c r="AQ31" i="11"/>
  <c r="AI31" i="11"/>
  <c r="AA31" i="11"/>
  <c r="S31" i="11"/>
  <c r="K31" i="11"/>
  <c r="C31" i="11"/>
  <c r="BM30" i="11"/>
  <c r="AW30" i="11"/>
  <c r="AO30" i="11"/>
  <c r="Y30" i="11"/>
  <c r="Q30" i="11"/>
  <c r="I30" i="11"/>
  <c r="BF31" i="11"/>
  <c r="AX31" i="11"/>
  <c r="AH31" i="11"/>
  <c r="Z31" i="11"/>
  <c r="R31" i="11"/>
  <c r="J31" i="11"/>
  <c r="BL30" i="11"/>
  <c r="BD30" i="11"/>
  <c r="AN30" i="11"/>
  <c r="AF30" i="11"/>
  <c r="X30" i="11"/>
  <c r="P30" i="11"/>
  <c r="H30" i="11"/>
  <c r="EP80" i="15"/>
  <c r="EG80" i="15"/>
  <c r="O31" i="11"/>
  <c r="G31" i="11"/>
  <c r="EX4" i="15"/>
  <c r="EX13" i="15"/>
  <c r="EP13" i="15"/>
  <c r="EH13" i="15"/>
  <c r="BL31" i="11"/>
  <c r="BD31" i="11"/>
  <c r="AN31" i="11"/>
  <c r="AF31" i="11"/>
  <c r="X31" i="11"/>
  <c r="P31" i="11"/>
  <c r="BJ30" i="11"/>
  <c r="AT30" i="11"/>
  <c r="AL30" i="11"/>
  <c r="ES4" i="15"/>
  <c r="ES13" i="15"/>
  <c r="EQ80" i="15"/>
  <c r="EN80" i="15"/>
  <c r="CO22" i="15"/>
  <c r="EP4" i="15"/>
  <c r="BQ22" i="15"/>
  <c r="EH4" i="15"/>
  <c r="BL25" i="12"/>
  <c r="AN25" i="12"/>
  <c r="DD22" i="15"/>
  <c r="EU4" i="15"/>
  <c r="CF22" i="15"/>
  <c r="EM4" i="15"/>
  <c r="EU13" i="15"/>
  <c r="EM13" i="15"/>
  <c r="ER4" i="15"/>
  <c r="BW22" i="15"/>
  <c r="EJ4" i="15"/>
  <c r="ER13" i="15"/>
  <c r="EJ13" i="15"/>
  <c r="CL22" i="15"/>
  <c r="EK4" i="15"/>
  <c r="EO4" i="15"/>
  <c r="EO13" i="15"/>
  <c r="EK13" i="15"/>
  <c r="EF80" i="15"/>
  <c r="EH80" i="15"/>
  <c r="EK80" i="15"/>
  <c r="EO80" i="15"/>
  <c r="ET4" i="15"/>
  <c r="EL4" i="15"/>
  <c r="ET13" i="15"/>
  <c r="EL13" i="15"/>
  <c r="AZ25" i="12"/>
  <c r="DP22" i="15"/>
  <c r="EY4" i="15"/>
  <c r="CR22" i="15"/>
  <c r="EQ4" i="15"/>
  <c r="BT22" i="15"/>
  <c r="EI4" i="15"/>
  <c r="EY13" i="15"/>
  <c r="EQ13" i="15"/>
  <c r="EI13" i="15"/>
  <c r="EV4" i="15"/>
  <c r="EN4" i="15"/>
  <c r="BK22" i="15"/>
  <c r="EF4" i="15"/>
  <c r="EV13" i="15"/>
  <c r="EN13" i="15"/>
  <c r="EF13" i="15"/>
  <c r="BE25" i="12"/>
  <c r="AS25" i="12"/>
  <c r="AG25" i="12"/>
  <c r="BJ4" i="12"/>
  <c r="BH4" i="12"/>
  <c r="AV4" i="12"/>
  <c r="BN17" i="13"/>
  <c r="BG20" i="11" s="1"/>
  <c r="BB17" i="13"/>
  <c r="AU20" i="11" s="1"/>
  <c r="AB25" i="12"/>
  <c r="BJ25" i="12"/>
  <c r="BC4" i="12"/>
  <c r="AQ4" i="12"/>
  <c r="AE4" i="12"/>
  <c r="S4" i="12"/>
  <c r="G4" i="12"/>
  <c r="BI25" i="12"/>
  <c r="AW25" i="12"/>
  <c r="AX25" i="12"/>
  <c r="AL25" i="12"/>
  <c r="Z25" i="12"/>
  <c r="N25" i="12"/>
  <c r="AK25" i="12"/>
  <c r="BR17" i="13"/>
  <c r="BF17" i="13"/>
  <c r="AT17" i="13"/>
  <c r="AH17" i="13"/>
  <c r="AA20" i="11" s="1"/>
  <c r="V17" i="13"/>
  <c r="O20" i="11" s="1"/>
  <c r="J17" i="13"/>
  <c r="C20" i="11" s="1"/>
  <c r="AX4" i="12"/>
  <c r="BB25" i="12"/>
  <c r="AP25" i="12"/>
  <c r="AD25" i="12"/>
  <c r="BM25" i="12"/>
  <c r="BA25" i="12"/>
  <c r="AO25" i="12"/>
  <c r="AC25" i="12"/>
  <c r="BE4" i="12"/>
  <c r="AS4" i="12"/>
  <c r="AG4" i="12"/>
  <c r="BJ17" i="13"/>
  <c r="BC20" i="11" s="1"/>
  <c r="AX17" i="13"/>
  <c r="AQ20" i="11" s="1"/>
  <c r="AL17" i="13"/>
  <c r="AE20" i="11" s="1"/>
  <c r="Z17" i="13"/>
  <c r="S20" i="11" s="1"/>
  <c r="N17" i="13"/>
  <c r="G20" i="11" s="1"/>
  <c r="BL4" i="12"/>
  <c r="AZ4" i="12"/>
  <c r="AN4" i="12"/>
  <c r="AB4" i="12"/>
  <c r="U25" i="12"/>
  <c r="I25" i="12"/>
  <c r="AL4" i="12"/>
  <c r="Z4" i="12"/>
  <c r="N4" i="12"/>
  <c r="BP17" i="13"/>
  <c r="BI20" i="11" s="1"/>
  <c r="BD17" i="13"/>
  <c r="AW20" i="11" s="1"/>
  <c r="AR17" i="13"/>
  <c r="AK20" i="11" s="1"/>
  <c r="AF17" i="13"/>
  <c r="Y20" i="11" s="1"/>
  <c r="T17" i="13"/>
  <c r="M20" i="11" s="1"/>
  <c r="H17" i="13"/>
  <c r="AJ4" i="12"/>
  <c r="X4" i="12"/>
  <c r="L4" i="12"/>
  <c r="BO17" i="13"/>
  <c r="BC17" i="13"/>
  <c r="AQ17" i="13"/>
  <c r="AE17" i="13"/>
  <c r="X20" i="11" s="1"/>
  <c r="S17" i="13"/>
  <c r="L20" i="11" s="1"/>
  <c r="G17" i="13"/>
  <c r="R25" i="12"/>
  <c r="F25" i="12"/>
  <c r="AP17" i="13"/>
  <c r="AI20" i="11" s="1"/>
  <c r="AD17" i="13"/>
  <c r="W20" i="11" s="1"/>
  <c r="R17" i="13"/>
  <c r="K20" i="11" s="1"/>
  <c r="F17" i="13"/>
  <c r="Q25" i="12"/>
  <c r="E25" i="12"/>
  <c r="P25" i="12"/>
  <c r="D25" i="12"/>
  <c r="U4" i="12"/>
  <c r="I4" i="12"/>
  <c r="Y25" i="12"/>
  <c r="M25" i="12"/>
  <c r="BM4" i="12"/>
  <c r="BA4" i="12"/>
  <c r="AO4" i="12"/>
  <c r="AC4" i="12"/>
  <c r="Q4" i="12"/>
  <c r="E4" i="12"/>
  <c r="P4" i="12"/>
  <c r="D4" i="12"/>
  <c r="BS17" i="13"/>
  <c r="BL20" i="11" s="1"/>
  <c r="BG17" i="13"/>
  <c r="AZ20" i="11" s="1"/>
  <c r="AU17" i="13"/>
  <c r="AN20" i="11" s="1"/>
  <c r="AI17" i="13"/>
  <c r="AB20" i="11" s="1"/>
  <c r="W17" i="13"/>
  <c r="P20" i="11" s="1"/>
  <c r="K17" i="13"/>
  <c r="D20" i="11" s="1"/>
  <c r="BL17" i="13"/>
  <c r="AZ17" i="13"/>
  <c r="AN17" i="13"/>
  <c r="AB17" i="13"/>
  <c r="U20" i="11" s="1"/>
  <c r="P17" i="13"/>
  <c r="I20" i="11" s="1"/>
  <c r="D17" i="13"/>
  <c r="BK25" i="12"/>
  <c r="AY25" i="12"/>
  <c r="AM25" i="12"/>
  <c r="AA25" i="12"/>
  <c r="O25" i="12"/>
  <c r="C25" i="12"/>
  <c r="BG4" i="12"/>
  <c r="AU4" i="12"/>
  <c r="AI4" i="12"/>
  <c r="W4" i="12"/>
  <c r="K4" i="12"/>
  <c r="BF4" i="12"/>
  <c r="AT4" i="12"/>
  <c r="AH4" i="12"/>
  <c r="V4" i="12"/>
  <c r="J4" i="12"/>
  <c r="BM17" i="13"/>
  <c r="BF20" i="11" s="1"/>
  <c r="BA17" i="13"/>
  <c r="AT20" i="11" s="1"/>
  <c r="AO17" i="13"/>
  <c r="AH20" i="11" s="1"/>
  <c r="AC17" i="13"/>
  <c r="V20" i="11" s="1"/>
  <c r="Q17" i="13"/>
  <c r="J20" i="11" s="1"/>
  <c r="E17" i="13"/>
  <c r="BD4" i="12"/>
  <c r="AR4" i="12"/>
  <c r="AF4" i="12"/>
  <c r="T4" i="12"/>
  <c r="H4" i="12"/>
  <c r="BK17" i="13"/>
  <c r="BD20" i="11" s="1"/>
  <c r="AY17" i="13"/>
  <c r="AR20" i="11" s="1"/>
  <c r="AM17" i="13"/>
  <c r="AF20" i="11" s="1"/>
  <c r="AA17" i="13"/>
  <c r="T20" i="11" s="1"/>
  <c r="O17" i="13"/>
  <c r="H20" i="11" s="1"/>
  <c r="C17" i="13"/>
  <c r="BB4" i="12"/>
  <c r="AP4" i="12"/>
  <c r="AD4" i="12"/>
  <c r="R4" i="12"/>
  <c r="F4" i="12"/>
  <c r="BI17" i="13"/>
  <c r="AW17" i="13"/>
  <c r="AK17" i="13"/>
  <c r="Y17" i="13"/>
  <c r="R20" i="11" s="1"/>
  <c r="M17" i="13"/>
  <c r="F20" i="11" s="1"/>
  <c r="BH25" i="12"/>
  <c r="AV25" i="12"/>
  <c r="AJ25" i="12"/>
  <c r="X25" i="12"/>
  <c r="L25" i="12"/>
  <c r="BT17" i="13"/>
  <c r="BM20" i="11" s="1"/>
  <c r="BH17" i="13"/>
  <c r="BA20" i="11" s="1"/>
  <c r="AV17" i="13"/>
  <c r="AO20" i="11" s="1"/>
  <c r="AJ17" i="13"/>
  <c r="AC20" i="11" s="1"/>
  <c r="X17" i="13"/>
  <c r="Q20" i="11" s="1"/>
  <c r="L17" i="13"/>
  <c r="E20" i="11" s="1"/>
  <c r="BG25" i="12"/>
  <c r="AU25" i="12"/>
  <c r="AI25" i="12"/>
  <c r="W25" i="12"/>
  <c r="K25" i="12"/>
  <c r="BF25" i="12"/>
  <c r="AT25" i="12"/>
  <c r="AH25" i="12"/>
  <c r="V25" i="12"/>
  <c r="J25" i="12"/>
  <c r="BK4" i="12"/>
  <c r="AY4" i="12"/>
  <c r="AM4" i="12"/>
  <c r="AA4" i="12"/>
  <c r="O4" i="12"/>
  <c r="C4" i="12"/>
  <c r="BQ17" i="13"/>
  <c r="BJ20" i="11" s="1"/>
  <c r="BE17" i="13"/>
  <c r="AX20" i="11" s="1"/>
  <c r="AS17" i="13"/>
  <c r="AL20" i="11" s="1"/>
  <c r="AG17" i="13"/>
  <c r="Z20" i="11" s="1"/>
  <c r="U17" i="13"/>
  <c r="N20" i="11" s="1"/>
  <c r="I17" i="13"/>
  <c r="BD25" i="12"/>
  <c r="AR25" i="12"/>
  <c r="AF25" i="12"/>
  <c r="T25" i="12"/>
  <c r="H25" i="12"/>
  <c r="BI4" i="12"/>
  <c r="AW4" i="12"/>
  <c r="AK4" i="12"/>
  <c r="Y4" i="12"/>
  <c r="M4" i="12"/>
  <c r="BC25" i="12"/>
  <c r="AQ25" i="12"/>
  <c r="AE25" i="12"/>
  <c r="S25" i="12"/>
  <c r="G25" i="12"/>
  <c r="CL33" i="15"/>
  <c r="BZ33" i="15"/>
  <c r="CI33" i="15"/>
  <c r="BW33" i="15"/>
  <c r="BK33" i="15"/>
  <c r="AY33" i="15"/>
  <c r="AM33" i="15"/>
  <c r="CS6" i="15"/>
  <c r="CG6" i="15"/>
  <c r="BU6" i="15"/>
  <c r="BI6" i="15"/>
  <c r="CM33" i="15"/>
  <c r="CA33" i="15"/>
  <c r="BQ6" i="15"/>
  <c r="CC6" i="15"/>
  <c r="AS6" i="15"/>
  <c r="BE6" i="15"/>
  <c r="CO6" i="15"/>
  <c r="AG6" i="15"/>
  <c r="AG24" i="15" s="1"/>
  <c r="CT6" i="15"/>
  <c r="CH6" i="15"/>
  <c r="BV6" i="15"/>
  <c r="BJ6" i="15"/>
  <c r="AX6" i="15"/>
  <c r="AL6" i="15"/>
  <c r="BO33" i="15"/>
  <c r="BC33" i="15"/>
  <c r="AQ33" i="15"/>
  <c r="CJ6" i="15"/>
  <c r="CP33" i="15"/>
  <c r="BX6" i="15"/>
  <c r="BL6" i="15"/>
  <c r="AE33" i="15"/>
  <c r="CR6" i="15"/>
  <c r="CF6" i="15"/>
  <c r="BT6" i="15"/>
  <c r="BH6" i="15"/>
  <c r="AV6" i="15"/>
  <c r="AJ6" i="15"/>
  <c r="BN33" i="15"/>
  <c r="BB33" i="15"/>
  <c r="AP33" i="15"/>
  <c r="AD33" i="15"/>
  <c r="CQ6" i="15"/>
  <c r="BG6" i="15"/>
  <c r="AU6" i="15"/>
  <c r="AI6" i="15"/>
  <c r="AI24" i="15" s="1"/>
  <c r="CK33" i="15"/>
  <c r="BY33" i="15"/>
  <c r="BM33" i="15"/>
  <c r="BA33" i="15"/>
  <c r="AO33" i="15"/>
  <c r="AC33" i="15"/>
  <c r="CE6" i="15"/>
  <c r="BS6" i="15"/>
  <c r="AH6" i="15"/>
  <c r="AH24" i="15" s="1"/>
  <c r="CT33" i="15"/>
  <c r="CH33" i="15"/>
  <c r="BV33" i="15"/>
  <c r="BJ33" i="15"/>
  <c r="AX33" i="15"/>
  <c r="AL33" i="15"/>
  <c r="CD33" i="15"/>
  <c r="BR33" i="15"/>
  <c r="BF33" i="15"/>
  <c r="AT33" i="15"/>
  <c r="AH33" i="15"/>
  <c r="AW6" i="15"/>
  <c r="AK6" i="15"/>
  <c r="CJ33" i="15"/>
  <c r="BX33" i="15"/>
  <c r="BL33" i="15"/>
  <c r="AZ33" i="15"/>
  <c r="AN33" i="15"/>
  <c r="CP6" i="15"/>
  <c r="CD6" i="15"/>
  <c r="BR6" i="15"/>
  <c r="BF6" i="15"/>
  <c r="AT6" i="15"/>
  <c r="CN6" i="15"/>
  <c r="CB6" i="15"/>
  <c r="BP6" i="15"/>
  <c r="BD6" i="15"/>
  <c r="AR6" i="15"/>
  <c r="AF6" i="15"/>
  <c r="AF24" i="15" s="1"/>
  <c r="CM6" i="15"/>
  <c r="CA6" i="15"/>
  <c r="BO6" i="15"/>
  <c r="BC6" i="15"/>
  <c r="AQ6" i="15"/>
  <c r="AE6" i="15"/>
  <c r="AE24" i="15" s="1"/>
  <c r="CS33" i="15"/>
  <c r="CG33" i="15"/>
  <c r="BU33" i="15"/>
  <c r="BI33" i="15"/>
  <c r="AW33" i="15"/>
  <c r="AK33" i="15"/>
  <c r="BZ6" i="15"/>
  <c r="CL6" i="15"/>
  <c r="BN6" i="15"/>
  <c r="BB6" i="15"/>
  <c r="AP6" i="15"/>
  <c r="AD6" i="15"/>
  <c r="AD24" i="15" s="1"/>
  <c r="CR33" i="15"/>
  <c r="CF33" i="15"/>
  <c r="BT33" i="15"/>
  <c r="BH33" i="15"/>
  <c r="AV33" i="15"/>
  <c r="AJ33" i="15"/>
  <c r="CK6" i="15"/>
  <c r="BY6" i="15"/>
  <c r="BM6" i="15"/>
  <c r="BA6" i="15"/>
  <c r="AO6" i="15"/>
  <c r="AC6" i="15"/>
  <c r="AC24" i="15" s="1"/>
  <c r="CQ33" i="15"/>
  <c r="CE33" i="15"/>
  <c r="BS33" i="15"/>
  <c r="BG33" i="15"/>
  <c r="AU33" i="15"/>
  <c r="AI33" i="15"/>
  <c r="AZ6" i="15"/>
  <c r="AN6" i="15"/>
  <c r="CI6" i="15"/>
  <c r="BW6" i="15"/>
  <c r="BK6" i="15"/>
  <c r="AY6" i="15"/>
  <c r="AM6" i="15"/>
  <c r="CO33" i="15"/>
  <c r="CC33" i="15"/>
  <c r="BQ33" i="15"/>
  <c r="BE33" i="15"/>
  <c r="AS33" i="15"/>
  <c r="AG33" i="15"/>
  <c r="CN33" i="15"/>
  <c r="CB33" i="15"/>
  <c r="BP33" i="15"/>
  <c r="BD33" i="15"/>
  <c r="AR33" i="15"/>
  <c r="AF33" i="15"/>
  <c r="J36" i="15"/>
  <c r="J65" i="18" s="1"/>
  <c r="J72" i="15"/>
  <c r="J91" i="15" s="1"/>
  <c r="J112" i="15" s="1"/>
  <c r="J130" i="15" s="1"/>
  <c r="J142" i="15" s="1"/>
  <c r="J66" i="15"/>
  <c r="I36" i="15"/>
  <c r="I65" i="18" s="1"/>
  <c r="I66" i="15"/>
  <c r="I72" i="15"/>
  <c r="I91" i="15" s="1"/>
  <c r="I112" i="15" s="1"/>
  <c r="I130" i="15" s="1"/>
  <c r="I142" i="15" s="1"/>
  <c r="D36" i="15"/>
  <c r="D65" i="18" s="1"/>
  <c r="D72" i="15"/>
  <c r="D91" i="15" s="1"/>
  <c r="D112" i="15" s="1"/>
  <c r="D130" i="15" s="1"/>
  <c r="D142" i="15" s="1"/>
  <c r="D66" i="15"/>
  <c r="AR11" i="12"/>
  <c r="BY15" i="15"/>
  <c r="BJ11" i="12"/>
  <c r="CQ15" i="15"/>
  <c r="AX11" i="12"/>
  <c r="CE15" i="15"/>
  <c r="AL11" i="12"/>
  <c r="BS15" i="15"/>
  <c r="Z11" i="12"/>
  <c r="BG15" i="15"/>
  <c r="N11" i="12"/>
  <c r="AU15" i="15"/>
  <c r="DJ22" i="15"/>
  <c r="CX22" i="15"/>
  <c r="BZ22" i="15"/>
  <c r="BZ37" i="15" s="1"/>
  <c r="BN22" i="15"/>
  <c r="AD22" i="15"/>
  <c r="AD37" i="15" s="1"/>
  <c r="F22" i="15"/>
  <c r="F37" i="15" s="1"/>
  <c r="BI11" i="12"/>
  <c r="CP15" i="15"/>
  <c r="AW11" i="12"/>
  <c r="CD15" i="15"/>
  <c r="AK11" i="12"/>
  <c r="BR15" i="15"/>
  <c r="Y11" i="12"/>
  <c r="BF15" i="15"/>
  <c r="M11" i="12"/>
  <c r="AT15" i="15"/>
  <c r="DI22" i="15"/>
  <c r="DI37" i="15" s="1"/>
  <c r="CW22" i="15"/>
  <c r="CW37" i="15" s="1"/>
  <c r="CK22" i="15"/>
  <c r="CK37" i="15" s="1"/>
  <c r="BY22" i="15"/>
  <c r="BY37" i="15" s="1"/>
  <c r="BM22" i="15"/>
  <c r="BM37" i="15" s="1"/>
  <c r="BA22" i="15"/>
  <c r="BA37" i="15" s="1"/>
  <c r="AO22" i="15"/>
  <c r="AO37" i="15" s="1"/>
  <c r="AC22" i="15"/>
  <c r="AC37" i="15" s="1"/>
  <c r="Q22" i="15"/>
  <c r="Q37" i="15" s="1"/>
  <c r="E22" i="15"/>
  <c r="E37" i="15" s="1"/>
  <c r="BH11" i="12"/>
  <c r="CO15" i="15"/>
  <c r="AV11" i="12"/>
  <c r="CC15" i="15"/>
  <c r="AJ11" i="12"/>
  <c r="BQ15" i="15"/>
  <c r="X11" i="12"/>
  <c r="BE15" i="15"/>
  <c r="L11" i="12"/>
  <c r="AS15" i="15"/>
  <c r="DH22" i="15"/>
  <c r="DH37" i="15" s="1"/>
  <c r="CV22" i="15"/>
  <c r="CV37" i="15" s="1"/>
  <c r="CJ22" i="15"/>
  <c r="CJ37" i="15" s="1"/>
  <c r="BX22" i="15"/>
  <c r="BX37" i="15" s="1"/>
  <c r="BL22" i="15"/>
  <c r="BL37" i="15" s="1"/>
  <c r="AZ22" i="15"/>
  <c r="AZ37" i="15" s="1"/>
  <c r="AN22" i="15"/>
  <c r="AN37" i="15" s="1"/>
  <c r="AB22" i="15"/>
  <c r="AB37" i="15" s="1"/>
  <c r="P22" i="15"/>
  <c r="P37" i="15" s="1"/>
  <c r="BG11" i="12"/>
  <c r="CN15" i="15"/>
  <c r="AU11" i="12"/>
  <c r="CB15" i="15"/>
  <c r="AI11" i="12"/>
  <c r="BP15" i="15"/>
  <c r="W11" i="12"/>
  <c r="BD15" i="15"/>
  <c r="K11" i="12"/>
  <c r="AR15" i="15"/>
  <c r="DG22" i="15"/>
  <c r="CU22" i="15"/>
  <c r="CI22" i="15"/>
  <c r="AM22" i="15"/>
  <c r="AM37" i="15" s="1"/>
  <c r="O22" i="15"/>
  <c r="O37" i="15" s="1"/>
  <c r="BD11" i="12"/>
  <c r="CK15" i="15"/>
  <c r="AF11" i="12"/>
  <c r="BM15" i="15"/>
  <c r="H11" i="12"/>
  <c r="AO15" i="15"/>
  <c r="BF11" i="12"/>
  <c r="CM15" i="15"/>
  <c r="AT11" i="12"/>
  <c r="CA15" i="15"/>
  <c r="AH11" i="12"/>
  <c r="BO15" i="15"/>
  <c r="V11" i="12"/>
  <c r="BC15" i="15"/>
  <c r="J11" i="12"/>
  <c r="AQ15" i="15"/>
  <c r="DR22" i="15"/>
  <c r="DR37" i="15" s="1"/>
  <c r="DF22" i="15"/>
  <c r="DF37" i="15" s="1"/>
  <c r="CT22" i="15"/>
  <c r="CT37" i="15" s="1"/>
  <c r="CH22" i="15"/>
  <c r="CH37" i="15" s="1"/>
  <c r="BV22" i="15"/>
  <c r="BV37" i="15" s="1"/>
  <c r="AX22" i="15"/>
  <c r="AX37" i="15" s="1"/>
  <c r="Z22" i="15"/>
  <c r="Z37" i="15" s="1"/>
  <c r="N22" i="15"/>
  <c r="N37" i="15" s="1"/>
  <c r="BE11" i="12"/>
  <c r="CL15" i="15"/>
  <c r="AS11" i="12"/>
  <c r="BZ15" i="15"/>
  <c r="AG11" i="12"/>
  <c r="BN15" i="15"/>
  <c r="I11" i="12"/>
  <c r="AP15" i="15"/>
  <c r="DQ22" i="15"/>
  <c r="DQ37" i="15" s="1"/>
  <c r="DE22" i="15"/>
  <c r="DE37" i="15" s="1"/>
  <c r="CS22" i="15"/>
  <c r="CS37" i="15" s="1"/>
  <c r="CG22" i="15"/>
  <c r="CG37" i="15" s="1"/>
  <c r="BU22" i="15"/>
  <c r="BU37" i="15" s="1"/>
  <c r="BI22" i="15"/>
  <c r="BI37" i="15" s="1"/>
  <c r="AW22" i="15"/>
  <c r="AW37" i="15" s="1"/>
  <c r="M22" i="15"/>
  <c r="M37" i="15" s="1"/>
  <c r="CU545" i="2"/>
  <c r="BU135" i="13"/>
  <c r="T11" i="12"/>
  <c r="BA15" i="15"/>
  <c r="BC11" i="12"/>
  <c r="CJ15" i="15"/>
  <c r="AQ11" i="12"/>
  <c r="BX15" i="15"/>
  <c r="AE11" i="12"/>
  <c r="BL15" i="15"/>
  <c r="S11" i="12"/>
  <c r="AZ15" i="15"/>
  <c r="G11" i="12"/>
  <c r="AN15" i="15"/>
  <c r="DC22" i="15"/>
  <c r="DC37" i="15" s="1"/>
  <c r="CE22" i="15"/>
  <c r="CE37" i="15" s="1"/>
  <c r="BS22" i="15"/>
  <c r="BS37" i="15" s="1"/>
  <c r="AI22" i="15"/>
  <c r="AI37" i="15" s="1"/>
  <c r="BB11" i="12"/>
  <c r="CI15" i="15"/>
  <c r="AP11" i="12"/>
  <c r="BW15" i="15"/>
  <c r="AD11" i="12"/>
  <c r="BK15" i="15"/>
  <c r="R11" i="12"/>
  <c r="AY15" i="15"/>
  <c r="F11" i="12"/>
  <c r="AM15" i="15"/>
  <c r="DN22" i="15"/>
  <c r="DN37" i="15" s="1"/>
  <c r="CP22" i="15"/>
  <c r="CP37" i="15" s="1"/>
  <c r="CD22" i="15"/>
  <c r="CD37" i="15" s="1"/>
  <c r="V22" i="15"/>
  <c r="V37" i="15" s="1"/>
  <c r="U11" i="12"/>
  <c r="BB15" i="15"/>
  <c r="DM22" i="15"/>
  <c r="DA22" i="15"/>
  <c r="CC22" i="15"/>
  <c r="BM11" i="12"/>
  <c r="CT15" i="15"/>
  <c r="BA11" i="12"/>
  <c r="CH15" i="15"/>
  <c r="AO11" i="12"/>
  <c r="BV15" i="15"/>
  <c r="AC11" i="12"/>
  <c r="BJ15" i="15"/>
  <c r="Q11" i="12"/>
  <c r="AX15" i="15"/>
  <c r="E11" i="12"/>
  <c r="AL15" i="15"/>
  <c r="BL11" i="12"/>
  <c r="CS15" i="15"/>
  <c r="AZ11" i="12"/>
  <c r="CG15" i="15"/>
  <c r="AN11" i="12"/>
  <c r="BU15" i="15"/>
  <c r="AB11" i="12"/>
  <c r="BI15" i="15"/>
  <c r="P11" i="12"/>
  <c r="AW15" i="15"/>
  <c r="D11" i="12"/>
  <c r="AK15" i="15"/>
  <c r="DL22" i="15"/>
  <c r="DL37" i="15" s="1"/>
  <c r="CZ22" i="15"/>
  <c r="CZ37" i="15" s="1"/>
  <c r="CN22" i="15"/>
  <c r="CN37" i="15" s="1"/>
  <c r="CB22" i="15"/>
  <c r="CB37" i="15" s="1"/>
  <c r="BP22" i="15"/>
  <c r="BP37" i="15" s="1"/>
  <c r="BD22" i="15"/>
  <c r="BD37" i="15" s="1"/>
  <c r="AR22" i="15"/>
  <c r="AR37" i="15" s="1"/>
  <c r="AF22" i="15"/>
  <c r="AF37" i="15" s="1"/>
  <c r="T22" i="15"/>
  <c r="T37" i="15" s="1"/>
  <c r="H22" i="15"/>
  <c r="H37" i="15" s="1"/>
  <c r="BK11" i="12"/>
  <c r="CR15" i="15"/>
  <c r="AY11" i="12"/>
  <c r="CF15" i="15"/>
  <c r="AM11" i="12"/>
  <c r="BT15" i="15"/>
  <c r="AA11" i="12"/>
  <c r="BH15" i="15"/>
  <c r="O11" i="12"/>
  <c r="AV15" i="15"/>
  <c r="C11" i="12"/>
  <c r="AJ15" i="15"/>
  <c r="DK22" i="15"/>
  <c r="DK37" i="15" s="1"/>
  <c r="CY22" i="15"/>
  <c r="CY37" i="15" s="1"/>
  <c r="CM22" i="15"/>
  <c r="CM37" i="15" s="1"/>
  <c r="CA22" i="15"/>
  <c r="CA37" i="15" s="1"/>
  <c r="AQ22" i="15"/>
  <c r="AQ37" i="15" s="1"/>
  <c r="G22" i="15"/>
  <c r="G37" i="15" s="1"/>
  <c r="CU475" i="2"/>
  <c r="BV72" i="13"/>
  <c r="BV88" i="13" s="1"/>
  <c r="BU72" i="13"/>
  <c r="CU106" i="2"/>
  <c r="D21" i="15"/>
  <c r="E3" i="15"/>
  <c r="E5" i="18" s="1"/>
  <c r="F3" i="15"/>
  <c r="F5" i="18" s="1"/>
  <c r="G3" i="15"/>
  <c r="G5" i="18" s="1"/>
  <c r="H3" i="15"/>
  <c r="H5" i="18" s="1"/>
  <c r="BM98" i="13"/>
  <c r="BB95" i="13"/>
  <c r="DK95" i="13" s="1"/>
  <c r="Q98" i="13"/>
  <c r="AG95" i="13"/>
  <c r="AR64" i="13"/>
  <c r="C78" i="13"/>
  <c r="D25" i="13"/>
  <c r="AD19" i="15" s="1"/>
  <c r="BA95" i="13"/>
  <c r="P98" i="13"/>
  <c r="BE64" i="13"/>
  <c r="U64" i="13"/>
  <c r="BK98" i="13"/>
  <c r="DN98" i="13" s="1"/>
  <c r="AZ95" i="13"/>
  <c r="C22" i="15"/>
  <c r="C3" i="15"/>
  <c r="C5" i="18" s="1"/>
  <c r="D3" i="15"/>
  <c r="D5" i="18" s="1"/>
  <c r="BC64" i="13"/>
  <c r="BS98" i="13"/>
  <c r="AU98" i="13"/>
  <c r="AF95" i="13"/>
  <c r="BN98" i="13"/>
  <c r="DO98" i="13" s="1"/>
  <c r="R98" i="13"/>
  <c r="AF13" i="13"/>
  <c r="Y12" i="11" s="1"/>
  <c r="BJ49" i="13"/>
  <c r="BC39" i="12" s="1"/>
  <c r="AX49" i="13"/>
  <c r="AQ39" i="12" s="1"/>
  <c r="AB25" i="13"/>
  <c r="U14" i="12"/>
  <c r="AQ13" i="13"/>
  <c r="G64" i="13"/>
  <c r="S64" i="13"/>
  <c r="P24" i="16"/>
  <c r="P36" i="16" s="1"/>
  <c r="P51" i="16" s="1"/>
  <c r="P55" i="16" s="1"/>
  <c r="K3" i="15"/>
  <c r="K5" i="18" s="1"/>
  <c r="BT25" i="13"/>
  <c r="BM14" i="12"/>
  <c r="BH25" i="13"/>
  <c r="BA14" i="12"/>
  <c r="AJ25" i="13"/>
  <c r="AC14" i="12"/>
  <c r="BT38" i="13"/>
  <c r="AV38" i="13"/>
  <c r="X38" i="13"/>
  <c r="J3" i="15"/>
  <c r="J5" i="18" s="1"/>
  <c r="J21" i="15"/>
  <c r="BA43" i="13"/>
  <c r="AQ64" i="13"/>
  <c r="E64" i="13"/>
  <c r="AO98" i="13"/>
  <c r="AD95" i="13"/>
  <c r="BP95" i="13"/>
  <c r="BC98" i="13"/>
  <c r="AR95" i="13"/>
  <c r="AE98" i="13"/>
  <c r="T95" i="13"/>
  <c r="I3" i="15"/>
  <c r="I5" i="18" s="1"/>
  <c r="I21" i="15"/>
  <c r="BF64" i="13"/>
  <c r="BL98" i="13"/>
  <c r="AP98" i="13"/>
  <c r="DG98" i="13" s="1"/>
  <c r="AE95" i="13"/>
  <c r="AM98" i="13"/>
  <c r="DF98" i="13" s="1"/>
  <c r="P95" i="13"/>
  <c r="X25" i="13"/>
  <c r="L25" i="13"/>
  <c r="S25" i="16"/>
  <c r="S37" i="16" s="1"/>
  <c r="S52" i="16" s="1"/>
  <c r="S56" i="16" s="1"/>
  <c r="BE49" i="13"/>
  <c r="AX39" i="12" s="1"/>
  <c r="BO64" i="13"/>
  <c r="BP64" i="13"/>
  <c r="BD64" i="13"/>
  <c r="H64" i="13"/>
  <c r="BB69" i="13"/>
  <c r="AD69" i="13"/>
  <c r="BD95" i="13"/>
  <c r="BT75" i="13"/>
  <c r="BM69" i="13"/>
  <c r="BQ95" i="13"/>
  <c r="DP95" i="13" s="1"/>
  <c r="BD98" i="13"/>
  <c r="AS95" i="13"/>
  <c r="DH95" i="13" s="1"/>
  <c r="AF98" i="13"/>
  <c r="U95" i="13"/>
  <c r="F64" i="13"/>
  <c r="BL69" i="13"/>
  <c r="AB69" i="13"/>
  <c r="D69" i="13"/>
  <c r="AQ98" i="13"/>
  <c r="BK49" i="13"/>
  <c r="BD39" i="12" s="1"/>
  <c r="AY49" i="13"/>
  <c r="AR39" i="12" s="1"/>
  <c r="AM49" i="13"/>
  <c r="AF39" i="12" s="1"/>
  <c r="AA49" i="13"/>
  <c r="T39" i="12" s="1"/>
  <c r="O49" i="13"/>
  <c r="H39" i="12" s="1"/>
  <c r="C49" i="13"/>
  <c r="C48" i="13" s="1"/>
  <c r="M56" i="13"/>
  <c r="F45" i="11" s="1"/>
  <c r="BK69" i="13"/>
  <c r="C69" i="13"/>
  <c r="BC95" i="13"/>
  <c r="AR98" i="13"/>
  <c r="AL49" i="13"/>
  <c r="AE39" i="12" s="1"/>
  <c r="Z49" i="13"/>
  <c r="S39" i="12" s="1"/>
  <c r="N49" i="13"/>
  <c r="BH64" i="13"/>
  <c r="AV64" i="13"/>
  <c r="AJ64" i="13"/>
  <c r="L64" i="13"/>
  <c r="BJ69" i="13"/>
  <c r="AX69" i="13"/>
  <c r="AL69" i="13"/>
  <c r="Z69" i="13"/>
  <c r="N69" i="13"/>
  <c r="BI49" i="13"/>
  <c r="BB39" i="12" s="1"/>
  <c r="AW49" i="13"/>
  <c r="AP39" i="12" s="1"/>
  <c r="AK49" i="13"/>
  <c r="AD39" i="12" s="1"/>
  <c r="Y49" i="13"/>
  <c r="R39" i="12" s="1"/>
  <c r="M49" i="13"/>
  <c r="F39" i="12" s="1"/>
  <c r="BS64" i="13"/>
  <c r="BG64" i="13"/>
  <c r="AU64" i="13"/>
  <c r="AI64" i="13"/>
  <c r="W64" i="13"/>
  <c r="K64" i="13"/>
  <c r="BI69" i="13"/>
  <c r="AW69" i="13"/>
  <c r="AK69" i="13"/>
  <c r="Y69" i="13"/>
  <c r="M69" i="13"/>
  <c r="AL98" i="13"/>
  <c r="AA95" i="13"/>
  <c r="AE32" i="13"/>
  <c r="V64" i="13"/>
  <c r="AB95" i="13"/>
  <c r="CD669" i="2"/>
  <c r="CD673" i="2" s="1"/>
  <c r="CD665" i="2"/>
  <c r="BY665" i="2"/>
  <c r="AC69" i="13"/>
  <c r="AA69" i="13"/>
  <c r="S98" i="13"/>
  <c r="BO98" i="13"/>
  <c r="BC30" i="13"/>
  <c r="S30" i="13"/>
  <c r="BA29" i="13"/>
  <c r="CO669" i="2"/>
  <c r="CO673" i="2" s="1"/>
  <c r="CO665" i="2"/>
  <c r="AY64" i="13"/>
  <c r="O64" i="13"/>
  <c r="AK64" i="13"/>
  <c r="BO69" i="13"/>
  <c r="AE69" i="13"/>
  <c r="BN69" i="13"/>
  <c r="AZ69" i="13"/>
  <c r="P69" i="13"/>
  <c r="BB98" i="13"/>
  <c r="DK98" i="13" s="1"/>
  <c r="AD98" i="13"/>
  <c r="T98" i="13"/>
  <c r="T64" i="13"/>
  <c r="AP64" i="13"/>
  <c r="BN95" i="13"/>
  <c r="DO95" i="13" s="1"/>
  <c r="BA98" i="13"/>
  <c r="AP95" i="13"/>
  <c r="DG95" i="13" s="1"/>
  <c r="AC98" i="13"/>
  <c r="R95" i="13"/>
  <c r="AA98" i="13"/>
  <c r="BE95" i="13"/>
  <c r="DL95" i="13" s="1"/>
  <c r="BO30" i="13"/>
  <c r="E29" i="13"/>
  <c r="BK64" i="13"/>
  <c r="C64" i="13"/>
  <c r="BI64" i="13"/>
  <c r="Y64" i="13"/>
  <c r="AQ69" i="13"/>
  <c r="S69" i="13"/>
  <c r="AP69" i="13"/>
  <c r="R69" i="13"/>
  <c r="BO95" i="13"/>
  <c r="AQ95" i="13"/>
  <c r="S95" i="13"/>
  <c r="BP98" i="13"/>
  <c r="BM64" i="13"/>
  <c r="BA64" i="13"/>
  <c r="AO64" i="13"/>
  <c r="AC64" i="13"/>
  <c r="Q64" i="13"/>
  <c r="BM95" i="13"/>
  <c r="AZ98" i="13"/>
  <c r="AO95" i="13"/>
  <c r="AB98" i="13"/>
  <c r="Q95" i="13"/>
  <c r="AQ30" i="13"/>
  <c r="G30" i="13"/>
  <c r="BM29" i="13"/>
  <c r="AM64" i="13"/>
  <c r="AW64" i="13"/>
  <c r="M64" i="13"/>
  <c r="BC69" i="13"/>
  <c r="G69" i="13"/>
  <c r="CE669" i="2"/>
  <c r="CE673" i="2" s="1"/>
  <c r="CE665" i="2"/>
  <c r="L43" i="16"/>
  <c r="F69" i="13"/>
  <c r="AN69" i="13"/>
  <c r="BM49" i="13"/>
  <c r="BA49" i="13"/>
  <c r="AO49" i="13"/>
  <c r="AH39" i="12" s="1"/>
  <c r="AC49" i="13"/>
  <c r="Q49" i="13"/>
  <c r="E49" i="13"/>
  <c r="E48" i="13" s="1"/>
  <c r="BN64" i="13"/>
  <c r="BB64" i="13"/>
  <c r="R64" i="13"/>
  <c r="AS69" i="13"/>
  <c r="BL95" i="13"/>
  <c r="AY98" i="13"/>
  <c r="DJ98" i="13" s="1"/>
  <c r="AN95" i="13"/>
  <c r="O98" i="13"/>
  <c r="AN98" i="13"/>
  <c r="AC95" i="13"/>
  <c r="AA64" i="13"/>
  <c r="BK56" i="13"/>
  <c r="BD45" i="11" s="1"/>
  <c r="AY56" i="13"/>
  <c r="AR45" i="11" s="1"/>
  <c r="AM56" i="13"/>
  <c r="AF45" i="11" s="1"/>
  <c r="AA56" i="13"/>
  <c r="T45" i="11" s="1"/>
  <c r="O56" i="13"/>
  <c r="H45" i="11" s="1"/>
  <c r="C56" i="13"/>
  <c r="BR64" i="13"/>
  <c r="AT64" i="13"/>
  <c r="AH64" i="13"/>
  <c r="J64" i="13"/>
  <c r="AM95" i="13"/>
  <c r="DF95" i="13" s="1"/>
  <c r="Z98" i="13"/>
  <c r="O95" i="13"/>
  <c r="BJ56" i="13"/>
  <c r="BC45" i="11" s="1"/>
  <c r="AX56" i="13"/>
  <c r="AQ45" i="11" s="1"/>
  <c r="AL56" i="13"/>
  <c r="AE45" i="11" s="1"/>
  <c r="Z56" i="13"/>
  <c r="S45" i="11" s="1"/>
  <c r="N56" i="13"/>
  <c r="G45" i="11" s="1"/>
  <c r="BQ64" i="13"/>
  <c r="AS64" i="13"/>
  <c r="AG64" i="13"/>
  <c r="I64" i="13"/>
  <c r="Y56" i="13"/>
  <c r="R45" i="11" s="1"/>
  <c r="BQ69" i="13"/>
  <c r="BE69" i="13"/>
  <c r="AG69" i="13"/>
  <c r="U69" i="13"/>
  <c r="I69" i="13"/>
  <c r="M29" i="16"/>
  <c r="V28" i="16"/>
  <c r="J28" i="16"/>
  <c r="N15" i="16"/>
  <c r="BT56" i="13"/>
  <c r="BM45" i="11" s="1"/>
  <c r="BH56" i="13"/>
  <c r="BA45" i="11" s="1"/>
  <c r="AV56" i="13"/>
  <c r="AO45" i="11" s="1"/>
  <c r="AJ56" i="13"/>
  <c r="AC45" i="11" s="1"/>
  <c r="X56" i="13"/>
  <c r="Q45" i="11" s="1"/>
  <c r="L56" i="13"/>
  <c r="E45" i="11" s="1"/>
  <c r="AE64" i="13"/>
  <c r="BP69" i="13"/>
  <c r="BD69" i="13"/>
  <c r="AR69" i="13"/>
  <c r="T69" i="13"/>
  <c r="H69" i="13"/>
  <c r="N43" i="16"/>
  <c r="BP25" i="13"/>
  <c r="BD25" i="13"/>
  <c r="AR25" i="13"/>
  <c r="AF25" i="13"/>
  <c r="T25" i="13"/>
  <c r="H25" i="13"/>
  <c r="AH19" i="15" s="1"/>
  <c r="U38" i="13"/>
  <c r="I38" i="13"/>
  <c r="CB669" i="2"/>
  <c r="CB673" i="2" s="1"/>
  <c r="CB665" i="2"/>
  <c r="CN669" i="2"/>
  <c r="CN673" i="2" s="1"/>
  <c r="CN665" i="2"/>
  <c r="BT64" i="13"/>
  <c r="X64" i="13"/>
  <c r="BL38" i="13"/>
  <c r="AB38" i="13"/>
  <c r="BJ95" i="13"/>
  <c r="BI98" i="13"/>
  <c r="AW98" i="13"/>
  <c r="AX95" i="13"/>
  <c r="AK98" i="13"/>
  <c r="AL95" i="13"/>
  <c r="Z95" i="13"/>
  <c r="Y98" i="13"/>
  <c r="BO32" i="13"/>
  <c r="G32" i="13"/>
  <c r="AW43" i="13"/>
  <c r="AK43" i="13"/>
  <c r="BG43" i="13"/>
  <c r="CC669" i="2"/>
  <c r="CC673" i="2" s="1"/>
  <c r="CC665" i="2"/>
  <c r="BO13" i="13"/>
  <c r="AE13" i="13"/>
  <c r="X12" i="11" s="1"/>
  <c r="AF69" i="13"/>
  <c r="CK668" i="2"/>
  <c r="CK672" i="2" s="1"/>
  <c r="CK664" i="2"/>
  <c r="AQ32" i="13"/>
  <c r="BC32" i="13"/>
  <c r="BM56" i="13"/>
  <c r="BF45" i="11" s="1"/>
  <c r="BA56" i="13"/>
  <c r="AT45" i="11" s="1"/>
  <c r="AO56" i="13"/>
  <c r="AH45" i="11" s="1"/>
  <c r="AC56" i="13"/>
  <c r="V45" i="11" s="1"/>
  <c r="Q56" i="13"/>
  <c r="J45" i="11" s="1"/>
  <c r="E56" i="13"/>
  <c r="BI56" i="13"/>
  <c r="AW56" i="13"/>
  <c r="AK56" i="13"/>
  <c r="BO38" i="13"/>
  <c r="BC38" i="13"/>
  <c r="AQ38" i="13"/>
  <c r="AE38" i="13"/>
  <c r="S38" i="13"/>
  <c r="G38" i="13"/>
  <c r="BM38" i="13"/>
  <c r="BA38" i="13"/>
  <c r="AO38" i="13"/>
  <c r="AC38" i="13"/>
  <c r="Q38" i="13"/>
  <c r="E38" i="13"/>
  <c r="BK38" i="13"/>
  <c r="AY38" i="13"/>
  <c r="AM38" i="13"/>
  <c r="AA38" i="13"/>
  <c r="O38" i="13"/>
  <c r="C38" i="13"/>
  <c r="BI43" i="13"/>
  <c r="M43" i="13"/>
  <c r="BL64" i="13"/>
  <c r="AZ64" i="13"/>
  <c r="AN64" i="13"/>
  <c r="AB64" i="13"/>
  <c r="P64" i="13"/>
  <c r="D64" i="13"/>
  <c r="BR25" i="13"/>
  <c r="BF25" i="13"/>
  <c r="AT25" i="13"/>
  <c r="AH25" i="13"/>
  <c r="V25" i="13"/>
  <c r="J25" i="13"/>
  <c r="AL38" i="13"/>
  <c r="X43" i="13"/>
  <c r="BS56" i="13"/>
  <c r="BL45" i="11" s="1"/>
  <c r="BG56" i="13"/>
  <c r="AZ45" i="11" s="1"/>
  <c r="AU56" i="13"/>
  <c r="AN45" i="11" s="1"/>
  <c r="AI56" i="13"/>
  <c r="AB45" i="11" s="1"/>
  <c r="W56" i="13"/>
  <c r="P45" i="11" s="1"/>
  <c r="K56" i="13"/>
  <c r="D45" i="11" s="1"/>
  <c r="S32" i="13"/>
  <c r="C75" i="13"/>
  <c r="BI38" i="13"/>
  <c r="AW38" i="13"/>
  <c r="AK38" i="13"/>
  <c r="Y38" i="13"/>
  <c r="M38" i="13"/>
  <c r="Y43" i="13"/>
  <c r="AI43" i="13"/>
  <c r="K43" i="13"/>
  <c r="BL49" i="13"/>
  <c r="BE39" i="12" s="1"/>
  <c r="AN49" i="13"/>
  <c r="AG39" i="12" s="1"/>
  <c r="P49" i="13"/>
  <c r="I39" i="12" s="1"/>
  <c r="BJ64" i="13"/>
  <c r="AX64" i="13"/>
  <c r="AL64" i="13"/>
  <c r="Z64" i="13"/>
  <c r="N64" i="13"/>
  <c r="BA69" i="13"/>
  <c r="AO69" i="13"/>
  <c r="Q69" i="13"/>
  <c r="E69" i="13"/>
  <c r="AY69" i="13"/>
  <c r="AM69" i="13"/>
  <c r="O69" i="13"/>
  <c r="BH38" i="13"/>
  <c r="AJ38" i="13"/>
  <c r="L38" i="13"/>
  <c r="AM32" i="13"/>
  <c r="AA32" i="13"/>
  <c r="O32" i="13"/>
  <c r="C32" i="13"/>
  <c r="BI32" i="13"/>
  <c r="AW32" i="13"/>
  <c r="AK32" i="13"/>
  <c r="Y32" i="13"/>
  <c r="M32" i="13"/>
  <c r="CQ613" i="2"/>
  <c r="W31" i="16"/>
  <c r="K31" i="16"/>
  <c r="Q43" i="16"/>
  <c r="E43" i="16"/>
  <c r="P43" i="16"/>
  <c r="D43" i="16"/>
  <c r="BQ29" i="13"/>
  <c r="BQ38" i="13"/>
  <c r="BL56" i="13"/>
  <c r="AZ56" i="13"/>
  <c r="AN56" i="13"/>
  <c r="AB56" i="13"/>
  <c r="U45" i="11" s="1"/>
  <c r="P56" i="13"/>
  <c r="I45" i="11" s="1"/>
  <c r="D56" i="13"/>
  <c r="AF64" i="13"/>
  <c r="BK95" i="13"/>
  <c r="DN95" i="13" s="1"/>
  <c r="BJ98" i="13"/>
  <c r="AX98" i="13"/>
  <c r="AY95" i="13"/>
  <c r="DJ95" i="13" s="1"/>
  <c r="BR56" i="13"/>
  <c r="BF56" i="13"/>
  <c r="AT56" i="13"/>
  <c r="AH56" i="13"/>
  <c r="AA45" i="11" s="1"/>
  <c r="V56" i="13"/>
  <c r="O45" i="11" s="1"/>
  <c r="J56" i="13"/>
  <c r="C45" i="11" s="1"/>
  <c r="BS95" i="13"/>
  <c r="BR98" i="13"/>
  <c r="BG95" i="13"/>
  <c r="BF98" i="13"/>
  <c r="AU95" i="13"/>
  <c r="AT98" i="13"/>
  <c r="AI95" i="13"/>
  <c r="AH98" i="13"/>
  <c r="W95" i="13"/>
  <c r="V98" i="13"/>
  <c r="BU95" i="13"/>
  <c r="BT98" i="13"/>
  <c r="DQ98" i="13" s="1"/>
  <c r="EG98" i="13" s="1"/>
  <c r="BI95" i="13"/>
  <c r="BH98" i="13"/>
  <c r="DM98" i="13" s="1"/>
  <c r="EF98" i="13" s="1"/>
  <c r="AW95" i="13"/>
  <c r="AV98" i="13"/>
  <c r="DI98" i="13" s="1"/>
  <c r="EE98" i="13" s="1"/>
  <c r="AJ98" i="13"/>
  <c r="Y95" i="13"/>
  <c r="X98" i="13"/>
  <c r="BE38" i="13"/>
  <c r="AS38" i="13"/>
  <c r="AG38" i="13"/>
  <c r="BQ56" i="13"/>
  <c r="BJ45" i="11" s="1"/>
  <c r="BE56" i="13"/>
  <c r="AX45" i="11" s="1"/>
  <c r="AS56" i="13"/>
  <c r="AL45" i="11" s="1"/>
  <c r="AG56" i="13"/>
  <c r="Z45" i="11" s="1"/>
  <c r="U56" i="13"/>
  <c r="N45" i="11" s="1"/>
  <c r="I56" i="13"/>
  <c r="BQ98" i="13"/>
  <c r="DP98" i="13" s="1"/>
  <c r="BR95" i="13"/>
  <c r="BE98" i="13"/>
  <c r="DL98" i="13" s="1"/>
  <c r="BF95" i="13"/>
  <c r="AS98" i="13"/>
  <c r="DH98" i="13" s="1"/>
  <c r="AT95" i="13"/>
  <c r="AG98" i="13"/>
  <c r="AH95" i="13"/>
  <c r="U98" i="13"/>
  <c r="V95" i="13"/>
  <c r="BT95" i="13"/>
  <c r="DQ95" i="13" s="1"/>
  <c r="EG95" i="13" s="1"/>
  <c r="BH95" i="13"/>
  <c r="DM95" i="13" s="1"/>
  <c r="EF95" i="13" s="1"/>
  <c r="BG98" i="13"/>
  <c r="AV95" i="13"/>
  <c r="DI95" i="13" s="1"/>
  <c r="EE95" i="13" s="1"/>
  <c r="AJ95" i="13"/>
  <c r="AI98" i="13"/>
  <c r="X95" i="13"/>
  <c r="W98" i="13"/>
  <c r="AK95" i="13"/>
  <c r="BN43" i="13"/>
  <c r="BB43" i="13"/>
  <c r="AP43" i="13"/>
  <c r="AD43" i="13"/>
  <c r="R43" i="13"/>
  <c r="F43" i="13"/>
  <c r="BP56" i="13"/>
  <c r="BI45" i="11" s="1"/>
  <c r="BD56" i="13"/>
  <c r="AW45" i="11" s="1"/>
  <c r="AR56" i="13"/>
  <c r="AK45" i="11" s="1"/>
  <c r="AF56" i="13"/>
  <c r="Y45" i="11" s="1"/>
  <c r="T56" i="13"/>
  <c r="M45" i="11" s="1"/>
  <c r="H56" i="13"/>
  <c r="AD64" i="13"/>
  <c r="BR69" i="13"/>
  <c r="BF69" i="13"/>
  <c r="AT69" i="13"/>
  <c r="AH69" i="13"/>
  <c r="V69" i="13"/>
  <c r="J69" i="13"/>
  <c r="AG49" i="13"/>
  <c r="I49" i="13"/>
  <c r="I48" i="13" s="1"/>
  <c r="BN56" i="13"/>
  <c r="BG45" i="11" s="1"/>
  <c r="BB56" i="13"/>
  <c r="AU45" i="11" s="1"/>
  <c r="AP56" i="13"/>
  <c r="AI45" i="11" s="1"/>
  <c r="AD56" i="13"/>
  <c r="W45" i="11" s="1"/>
  <c r="R56" i="13"/>
  <c r="K45" i="11" s="1"/>
  <c r="F56" i="13"/>
  <c r="BT69" i="13"/>
  <c r="BH69" i="13"/>
  <c r="AV69" i="13"/>
  <c r="AJ69" i="13"/>
  <c r="X69" i="13"/>
  <c r="L69" i="13"/>
  <c r="BO56" i="13"/>
  <c r="BC56" i="13"/>
  <c r="AQ56" i="13"/>
  <c r="AE56" i="13"/>
  <c r="X45" i="11" s="1"/>
  <c r="S56" i="13"/>
  <c r="L45" i="11" s="1"/>
  <c r="G56" i="13"/>
  <c r="BS69" i="13"/>
  <c r="BG69" i="13"/>
  <c r="AU69" i="13"/>
  <c r="AI69" i="13"/>
  <c r="W69" i="13"/>
  <c r="K69" i="13"/>
  <c r="N13" i="13"/>
  <c r="G12" i="11" s="1"/>
  <c r="BT32" i="13"/>
  <c r="BH32" i="13"/>
  <c r="AV32" i="13"/>
  <c r="AJ32" i="13"/>
  <c r="X32" i="13"/>
  <c r="L32" i="13"/>
  <c r="BN38" i="13"/>
  <c r="BB38" i="13"/>
  <c r="AP38" i="13"/>
  <c r="AD38" i="13"/>
  <c r="R38" i="13"/>
  <c r="F38" i="13"/>
  <c r="AZ38" i="13"/>
  <c r="AN38" i="13"/>
  <c r="P38" i="13"/>
  <c r="D38" i="13"/>
  <c r="BJ38" i="13"/>
  <c r="AX38" i="13"/>
  <c r="Z38" i="13"/>
  <c r="N38" i="13"/>
  <c r="BI13" i="13"/>
  <c r="AW13" i="13"/>
  <c r="Y13" i="13"/>
  <c r="R12" i="11" s="1"/>
  <c r="BS43" i="13"/>
  <c r="AU43" i="13"/>
  <c r="W43" i="13"/>
  <c r="AZ49" i="13"/>
  <c r="AS39" i="12" s="1"/>
  <c r="AB49" i="13"/>
  <c r="D49" i="13"/>
  <c r="D48" i="13" s="1"/>
  <c r="BT13" i="13"/>
  <c r="BM12" i="11" s="1"/>
  <c r="BH13" i="13"/>
  <c r="BA12" i="11" s="1"/>
  <c r="AV13" i="13"/>
  <c r="AO12" i="11" s="1"/>
  <c r="AJ13" i="13"/>
  <c r="AC12" i="11" s="1"/>
  <c r="X13" i="13"/>
  <c r="Q12" i="11" s="1"/>
  <c r="L13" i="13"/>
  <c r="E12" i="11" s="1"/>
  <c r="BB25" i="13"/>
  <c r="AP25" i="13"/>
  <c r="AD25" i="13"/>
  <c r="R25" i="13"/>
  <c r="F25" i="13"/>
  <c r="AF19" i="15" s="1"/>
  <c r="BR43" i="13"/>
  <c r="BF43" i="13"/>
  <c r="AT43" i="13"/>
  <c r="AH43" i="13"/>
  <c r="V43" i="13"/>
  <c r="J43" i="13"/>
  <c r="BE13" i="13"/>
  <c r="AX12" i="11" s="1"/>
  <c r="AS13" i="13"/>
  <c r="AL12" i="11" s="1"/>
  <c r="U13" i="13"/>
  <c r="N12" i="11" s="1"/>
  <c r="I13" i="13"/>
  <c r="AI10" i="15" s="1"/>
  <c r="BM30" i="13"/>
  <c r="BA30" i="13"/>
  <c r="AO30" i="13"/>
  <c r="AC30" i="13"/>
  <c r="Q30" i="13"/>
  <c r="E30" i="13"/>
  <c r="BK29" i="13"/>
  <c r="AM29" i="13"/>
  <c r="C29" i="13"/>
  <c r="BS38" i="13"/>
  <c r="BG38" i="13"/>
  <c r="AU38" i="13"/>
  <c r="AI38" i="13"/>
  <c r="W38" i="13"/>
  <c r="K38" i="13"/>
  <c r="BM43" i="13"/>
  <c r="AO43" i="13"/>
  <c r="AC43" i="13"/>
  <c r="Q43" i="13"/>
  <c r="E43" i="13"/>
  <c r="BT49" i="13"/>
  <c r="BH49" i="13"/>
  <c r="AV49" i="13"/>
  <c r="AJ49" i="13"/>
  <c r="X49" i="13"/>
  <c r="L49" i="13"/>
  <c r="BP13" i="13"/>
  <c r="BI12" i="11" s="1"/>
  <c r="BD13" i="13"/>
  <c r="AW12" i="11" s="1"/>
  <c r="AR13" i="13"/>
  <c r="AK12" i="11" s="1"/>
  <c r="T13" i="13"/>
  <c r="M12" i="11" s="1"/>
  <c r="H13" i="13"/>
  <c r="AH10" i="15" s="1"/>
  <c r="BJ29" i="13"/>
  <c r="AX25" i="13"/>
  <c r="AL29" i="13"/>
  <c r="BR38" i="13"/>
  <c r="BF38" i="13"/>
  <c r="AT38" i="13"/>
  <c r="AH38" i="13"/>
  <c r="V38" i="13"/>
  <c r="J38" i="13"/>
  <c r="BL43" i="13"/>
  <c r="AZ43" i="13"/>
  <c r="AN43" i="13"/>
  <c r="AB43" i="13"/>
  <c r="P43" i="13"/>
  <c r="D43" i="13"/>
  <c r="BQ30" i="13"/>
  <c r="BE30" i="13"/>
  <c r="AS30" i="13"/>
  <c r="AG30" i="13"/>
  <c r="U30" i="13"/>
  <c r="I30" i="13"/>
  <c r="BO29" i="13"/>
  <c r="AQ29" i="13"/>
  <c r="AE29" i="13"/>
  <c r="S29" i="13"/>
  <c r="G29" i="13"/>
  <c r="BK30" i="13"/>
  <c r="AY30" i="13"/>
  <c r="AM30" i="13"/>
  <c r="AA30" i="13"/>
  <c r="O30" i="13"/>
  <c r="C30" i="13"/>
  <c r="AK29" i="13"/>
  <c r="BK43" i="13"/>
  <c r="AY43" i="13"/>
  <c r="AM43" i="13"/>
  <c r="AA43" i="13"/>
  <c r="O43" i="13"/>
  <c r="C43" i="13"/>
  <c r="BR49" i="13"/>
  <c r="BK39" i="12" s="1"/>
  <c r="BF49" i="13"/>
  <c r="AY39" i="12" s="1"/>
  <c r="AT49" i="13"/>
  <c r="AM39" i="12" s="1"/>
  <c r="AH49" i="13"/>
  <c r="V49" i="13"/>
  <c r="J49" i="13"/>
  <c r="BP30" i="13"/>
  <c r="BD30" i="13"/>
  <c r="AR30" i="13"/>
  <c r="AF30" i="13"/>
  <c r="T30" i="13"/>
  <c r="H30" i="13"/>
  <c r="BP32" i="13"/>
  <c r="BD32" i="13"/>
  <c r="AR32" i="13"/>
  <c r="AF32" i="13"/>
  <c r="T32" i="13"/>
  <c r="H32" i="13"/>
  <c r="BN32" i="13"/>
  <c r="BB32" i="13"/>
  <c r="AP32" i="13"/>
  <c r="AD32" i="13"/>
  <c r="R32" i="13"/>
  <c r="F32" i="13"/>
  <c r="BP38" i="13"/>
  <c r="BD38" i="13"/>
  <c r="AR38" i="13"/>
  <c r="AF38" i="13"/>
  <c r="T38" i="13"/>
  <c r="H38" i="13"/>
  <c r="BS49" i="13"/>
  <c r="BG49" i="13"/>
  <c r="AU49" i="13"/>
  <c r="AI49" i="13"/>
  <c r="W49" i="13"/>
  <c r="K49" i="13"/>
  <c r="BQ49" i="13"/>
  <c r="AS49" i="13"/>
  <c r="AL39" i="12" s="1"/>
  <c r="U49" i="13"/>
  <c r="AE30" i="13"/>
  <c r="BM13" i="13"/>
  <c r="BF12" i="11" s="1"/>
  <c r="BA13" i="13"/>
  <c r="AT12" i="11" s="1"/>
  <c r="AO13" i="13"/>
  <c r="AH12" i="11" s="1"/>
  <c r="AC13" i="13"/>
  <c r="V12" i="11" s="1"/>
  <c r="Q13" i="13"/>
  <c r="J12" i="11" s="1"/>
  <c r="E13" i="13"/>
  <c r="AE10" i="15" s="1"/>
  <c r="BP49" i="13"/>
  <c r="BD49" i="13"/>
  <c r="AR49" i="13"/>
  <c r="AF49" i="13"/>
  <c r="T49" i="13"/>
  <c r="H49" i="13"/>
  <c r="H48" i="13" s="1"/>
  <c r="BL13" i="13"/>
  <c r="AZ13" i="13"/>
  <c r="AN13" i="13"/>
  <c r="AB13" i="13"/>
  <c r="U12" i="11" s="1"/>
  <c r="P13" i="13"/>
  <c r="I12" i="11" s="1"/>
  <c r="D13" i="13"/>
  <c r="AD10" i="15" s="1"/>
  <c r="BJ43" i="13"/>
  <c r="AX43" i="13"/>
  <c r="AL43" i="13"/>
  <c r="Z43" i="13"/>
  <c r="N43" i="13"/>
  <c r="BT43" i="13"/>
  <c r="BH43" i="13"/>
  <c r="AV43" i="13"/>
  <c r="AJ43" i="13"/>
  <c r="L43" i="13"/>
  <c r="BO49" i="13"/>
  <c r="BH39" i="12" s="1"/>
  <c r="BC49" i="13"/>
  <c r="AV39" i="12" s="1"/>
  <c r="AQ49" i="13"/>
  <c r="AJ39" i="12" s="1"/>
  <c r="AE49" i="13"/>
  <c r="S49" i="13"/>
  <c r="G49" i="13"/>
  <c r="G48" i="13" s="1"/>
  <c r="BQ25" i="13"/>
  <c r="BE25" i="13"/>
  <c r="AS25" i="13"/>
  <c r="AG25" i="13"/>
  <c r="U25" i="13"/>
  <c r="I25" i="13"/>
  <c r="AI19" i="15" s="1"/>
  <c r="BN49" i="13"/>
  <c r="BB49" i="13"/>
  <c r="AU39" i="12" s="1"/>
  <c r="AP49" i="13"/>
  <c r="AI39" i="12" s="1"/>
  <c r="AD49" i="13"/>
  <c r="R49" i="13"/>
  <c r="F49" i="13"/>
  <c r="F48" i="13" s="1"/>
  <c r="BL32" i="13"/>
  <c r="AZ32" i="13"/>
  <c r="AN32" i="13"/>
  <c r="AB32" i="13"/>
  <c r="P32" i="13"/>
  <c r="BS13" i="13"/>
  <c r="BL12" i="11" s="1"/>
  <c r="BG13" i="13"/>
  <c r="AZ12" i="11" s="1"/>
  <c r="AU13" i="13"/>
  <c r="AN12" i="11" s="1"/>
  <c r="AI13" i="13"/>
  <c r="AB12" i="11" s="1"/>
  <c r="W13" i="13"/>
  <c r="P12" i="11" s="1"/>
  <c r="K13" i="13"/>
  <c r="D12" i="11" s="1"/>
  <c r="AG29" i="13"/>
  <c r="AG13" i="13"/>
  <c r="Z12" i="11" s="1"/>
  <c r="X30" i="13"/>
  <c r="BN25" i="13"/>
  <c r="BN30" i="13"/>
  <c r="P25" i="13"/>
  <c r="P29" i="13"/>
  <c r="Y30" i="13"/>
  <c r="BC29" i="13"/>
  <c r="BC13" i="13"/>
  <c r="AY25" i="13"/>
  <c r="AA29" i="13"/>
  <c r="AA25" i="13"/>
  <c r="O25" i="13"/>
  <c r="O29" i="13"/>
  <c r="BQ13" i="13"/>
  <c r="BJ12" i="11" s="1"/>
  <c r="Z29" i="13"/>
  <c r="Z25" i="13"/>
  <c r="N29" i="13"/>
  <c r="N25" i="13"/>
  <c r="BS32" i="13"/>
  <c r="BG32" i="13"/>
  <c r="AU32" i="13"/>
  <c r="AI32" i="13"/>
  <c r="W32" i="13"/>
  <c r="K32" i="13"/>
  <c r="BI29" i="13"/>
  <c r="BI25" i="13"/>
  <c r="AW29" i="13"/>
  <c r="AW25" i="13"/>
  <c r="Y29" i="13"/>
  <c r="Y25" i="13"/>
  <c r="M29" i="13"/>
  <c r="M25" i="13"/>
  <c r="BR32" i="13"/>
  <c r="BF32" i="13"/>
  <c r="AT32" i="13"/>
  <c r="AH32" i="13"/>
  <c r="V32" i="13"/>
  <c r="J32" i="13"/>
  <c r="AK13" i="13"/>
  <c r="AK30" i="13"/>
  <c r="M13" i="13"/>
  <c r="F12" i="11" s="1"/>
  <c r="M30" i="13"/>
  <c r="BQ32" i="13"/>
  <c r="BE32" i="13"/>
  <c r="AS32" i="13"/>
  <c r="AG32" i="13"/>
  <c r="U32" i="13"/>
  <c r="I32" i="13"/>
  <c r="D32" i="13"/>
  <c r="BI30" i="13"/>
  <c r="AW30" i="13"/>
  <c r="AC29" i="13"/>
  <c r="AX13" i="13"/>
  <c r="AQ12" i="11" s="1"/>
  <c r="AL13" i="13"/>
  <c r="AE12" i="11" s="1"/>
  <c r="AK25" i="13"/>
  <c r="AO29" i="13"/>
  <c r="S13" i="13"/>
  <c r="L12" i="11" s="1"/>
  <c r="AM25" i="13"/>
  <c r="AS29" i="13"/>
  <c r="BP43" i="13"/>
  <c r="BD43" i="13"/>
  <c r="AR43" i="13"/>
  <c r="AF43" i="13"/>
  <c r="T43" i="13"/>
  <c r="H43" i="13"/>
  <c r="AX29" i="13"/>
  <c r="BM32" i="13"/>
  <c r="BA32" i="13"/>
  <c r="AO32" i="13"/>
  <c r="AC32" i="13"/>
  <c r="Q32" i="13"/>
  <c r="E32" i="13"/>
  <c r="BQ43" i="13"/>
  <c r="BE43" i="13"/>
  <c r="AS43" i="13"/>
  <c r="AG43" i="13"/>
  <c r="U43" i="13"/>
  <c r="I43" i="13"/>
  <c r="BO43" i="13"/>
  <c r="BC43" i="13"/>
  <c r="AQ43" i="13"/>
  <c r="AE43" i="13"/>
  <c r="S43" i="13"/>
  <c r="G43" i="13"/>
  <c r="BJ30" i="13"/>
  <c r="AX30" i="13"/>
  <c r="AL30" i="13"/>
  <c r="Z30" i="13"/>
  <c r="N30" i="13"/>
  <c r="BT29" i="13"/>
  <c r="BH29" i="13"/>
  <c r="AV29" i="13"/>
  <c r="AJ29" i="13"/>
  <c r="X29" i="13"/>
  <c r="L29" i="13"/>
  <c r="AV25" i="13"/>
  <c r="BS25" i="13"/>
  <c r="BG25" i="13"/>
  <c r="AU25" i="13"/>
  <c r="AI25" i="13"/>
  <c r="W25" i="13"/>
  <c r="K25" i="13"/>
  <c r="BN13" i="13"/>
  <c r="BG12" i="11" s="1"/>
  <c r="BB13" i="13"/>
  <c r="AU12" i="11" s="1"/>
  <c r="AP13" i="13"/>
  <c r="AI12" i="11" s="1"/>
  <c r="AD13" i="13"/>
  <c r="W12" i="11" s="1"/>
  <c r="R13" i="13"/>
  <c r="K12" i="11" s="1"/>
  <c r="F13" i="13"/>
  <c r="AF10" i="15" s="1"/>
  <c r="N32" i="13"/>
  <c r="Z32" i="13"/>
  <c r="AL32" i="13"/>
  <c r="AX32" i="13"/>
  <c r="BJ32" i="13"/>
  <c r="BK13" i="13"/>
  <c r="BD12" i="11" s="1"/>
  <c r="AY13" i="13"/>
  <c r="AR12" i="11" s="1"/>
  <c r="AM13" i="13"/>
  <c r="AF12" i="11" s="1"/>
  <c r="AA13" i="13"/>
  <c r="T12" i="11" s="1"/>
  <c r="O13" i="13"/>
  <c r="H12" i="11" s="1"/>
  <c r="C13" i="13"/>
  <c r="AC10" i="15" s="1"/>
  <c r="BO25" i="13"/>
  <c r="BC25" i="13"/>
  <c r="AQ25" i="13"/>
  <c r="AE25" i="13"/>
  <c r="S25" i="13"/>
  <c r="G25" i="13"/>
  <c r="AG19" i="15" s="1"/>
  <c r="AY32" i="13"/>
  <c r="BK32" i="13"/>
  <c r="BJ13" i="13"/>
  <c r="BC12" i="11" s="1"/>
  <c r="Z13" i="13"/>
  <c r="S12" i="11" s="1"/>
  <c r="G13" i="13"/>
  <c r="AG10" i="15" s="1"/>
  <c r="BM25" i="13"/>
  <c r="BA25" i="13"/>
  <c r="AO25" i="13"/>
  <c r="AC25" i="13"/>
  <c r="Q25" i="13"/>
  <c r="E25" i="13"/>
  <c r="AE19" i="15" s="1"/>
  <c r="Q29" i="13"/>
  <c r="BL25" i="13"/>
  <c r="BL29" i="13"/>
  <c r="AZ25" i="13"/>
  <c r="AZ29" i="13"/>
  <c r="AN25" i="13"/>
  <c r="AN29" i="13"/>
  <c r="AY29" i="13"/>
  <c r="BB30" i="13"/>
  <c r="U29" i="13"/>
  <c r="BL30" i="13"/>
  <c r="AZ30" i="13"/>
  <c r="AN30" i="13"/>
  <c r="AB30" i="13"/>
  <c r="P30" i="13"/>
  <c r="D30" i="13"/>
  <c r="C25" i="13"/>
  <c r="AC19" i="15" s="1"/>
  <c r="BJ25" i="13"/>
  <c r="BE29" i="13"/>
  <c r="AD30" i="13"/>
  <c r="BH30" i="13"/>
  <c r="BK25" i="13"/>
  <c r="AL25" i="13"/>
  <c r="AB29" i="13"/>
  <c r="F30" i="13"/>
  <c r="AJ30" i="13"/>
  <c r="BR29" i="13"/>
  <c r="BR13" i="13"/>
  <c r="J29" i="13"/>
  <c r="J13" i="13"/>
  <c r="C12" i="11" s="1"/>
  <c r="D29" i="13"/>
  <c r="L30" i="13"/>
  <c r="BS30" i="13"/>
  <c r="BG30" i="13"/>
  <c r="AU30" i="13"/>
  <c r="AI30" i="13"/>
  <c r="W30" i="13"/>
  <c r="K30" i="13"/>
  <c r="AP30" i="13"/>
  <c r="BT30" i="13"/>
  <c r="BF29" i="13"/>
  <c r="BF13" i="13"/>
  <c r="AT29" i="13"/>
  <c r="AT13" i="13"/>
  <c r="AH29" i="13"/>
  <c r="AH13" i="13"/>
  <c r="AA12" i="11" s="1"/>
  <c r="V29" i="13"/>
  <c r="V13" i="13"/>
  <c r="O12" i="11" s="1"/>
  <c r="BP29" i="13"/>
  <c r="BD29" i="13"/>
  <c r="AR29" i="13"/>
  <c r="AF29" i="13"/>
  <c r="T29" i="13"/>
  <c r="H29" i="13"/>
  <c r="I29" i="13"/>
  <c r="R30" i="13"/>
  <c r="AV30" i="13"/>
  <c r="F29" i="13"/>
  <c r="R29" i="13"/>
  <c r="AD29" i="13"/>
  <c r="AP29" i="13"/>
  <c r="BB29" i="13"/>
  <c r="BN29" i="13"/>
  <c r="J30" i="13"/>
  <c r="V30" i="13"/>
  <c r="AH30" i="13"/>
  <c r="AT30" i="13"/>
  <c r="BF30" i="13"/>
  <c r="BR30" i="13"/>
  <c r="K29" i="13"/>
  <c r="W29" i="13"/>
  <c r="AI29" i="13"/>
  <c r="AU29" i="13"/>
  <c r="BG29" i="13"/>
  <c r="BS29" i="13"/>
  <c r="BZ664" i="2"/>
  <c r="CF665" i="2"/>
  <c r="U43" i="16"/>
  <c r="CG665" i="2"/>
  <c r="CH665" i="2"/>
  <c r="CR613" i="2"/>
  <c r="S43" i="16"/>
  <c r="G43" i="16"/>
  <c r="CM665" i="2"/>
  <c r="L31" i="16"/>
  <c r="L20" i="16"/>
  <c r="CL664" i="2"/>
  <c r="CP665" i="2"/>
  <c r="O25" i="16"/>
  <c r="C25" i="16"/>
  <c r="CA665" i="2"/>
  <c r="CQ665" i="2"/>
  <c r="K24" i="16"/>
  <c r="K36" i="16" s="1"/>
  <c r="CR665" i="2"/>
  <c r="M43" i="16"/>
  <c r="CS665" i="2"/>
  <c r="CT665" i="2" s="1"/>
  <c r="CS625" i="2"/>
  <c r="W43" i="16"/>
  <c r="K43" i="16"/>
  <c r="CI665" i="2"/>
  <c r="V43" i="16"/>
  <c r="J43" i="16"/>
  <c r="CJ665" i="2"/>
  <c r="CS613" i="2"/>
  <c r="CK665" i="2"/>
  <c r="BZ665" i="2"/>
  <c r="CL665" i="2"/>
  <c r="R25" i="16"/>
  <c r="F25" i="16"/>
  <c r="O24" i="16"/>
  <c r="C24" i="16"/>
  <c r="P25" i="16"/>
  <c r="D25" i="16"/>
  <c r="D37" i="16" s="1"/>
  <c r="D52" i="16" s="1"/>
  <c r="D56" i="16" s="1"/>
  <c r="M24" i="16"/>
  <c r="M36" i="16" s="1"/>
  <c r="W13" i="16"/>
  <c r="W25" i="16" s="1"/>
  <c r="W37" i="16" s="1"/>
  <c r="W52" i="16" s="1"/>
  <c r="W56" i="16" s="1"/>
  <c r="L24" i="16"/>
  <c r="R24" i="16"/>
  <c r="Q25" i="16"/>
  <c r="Q37" i="16" s="1"/>
  <c r="Q52" i="16" s="1"/>
  <c r="Q56" i="16" s="1"/>
  <c r="N24" i="16"/>
  <c r="N36" i="16" s="1"/>
  <c r="E25" i="16"/>
  <c r="E37" i="16" s="1"/>
  <c r="E52" i="16" s="1"/>
  <c r="E56" i="16" s="1"/>
  <c r="R43" i="16"/>
  <c r="F43" i="16"/>
  <c r="V31" i="16"/>
  <c r="J31" i="16"/>
  <c r="L25" i="16"/>
  <c r="K25" i="16"/>
  <c r="K37" i="16" s="1"/>
  <c r="K52" i="16" s="1"/>
  <c r="K56" i="16" s="1"/>
  <c r="T24" i="16"/>
  <c r="H24" i="16"/>
  <c r="H36" i="16" s="1"/>
  <c r="H51" i="16" s="1"/>
  <c r="H55" i="16" s="1"/>
  <c r="R21" i="16"/>
  <c r="F21" i="16"/>
  <c r="O20" i="16"/>
  <c r="C20" i="16"/>
  <c r="V25" i="16"/>
  <c r="V37" i="16" s="1"/>
  <c r="V52" i="16" s="1"/>
  <c r="V56" i="16" s="1"/>
  <c r="J25" i="16"/>
  <c r="J37" i="16" s="1"/>
  <c r="J52" i="16" s="1"/>
  <c r="J56" i="16" s="1"/>
  <c r="N28" i="16"/>
  <c r="I43" i="16"/>
  <c r="M31" i="16"/>
  <c r="CI613" i="2"/>
  <c r="O43" i="16"/>
  <c r="C43" i="16"/>
  <c r="Q21" i="16"/>
  <c r="N25" i="16"/>
  <c r="N37" i="16" s="1"/>
  <c r="N52" i="16" s="1"/>
  <c r="N56" i="16" s="1"/>
  <c r="T29" i="16"/>
  <c r="T41" i="16" s="1"/>
  <c r="H29" i="16"/>
  <c r="H41" i="16" s="1"/>
  <c r="Q28" i="16"/>
  <c r="E28" i="16"/>
  <c r="U31" i="16"/>
  <c r="I31" i="16"/>
  <c r="U24" i="16"/>
  <c r="I24" i="16"/>
  <c r="S21" i="16"/>
  <c r="G21" i="16"/>
  <c r="P20" i="16"/>
  <c r="D20" i="16"/>
  <c r="U25" i="16"/>
  <c r="I25" i="16"/>
  <c r="P29" i="16"/>
  <c r="P41" i="16" s="1"/>
  <c r="D29" i="16"/>
  <c r="D41" i="16" s="1"/>
  <c r="M28" i="16"/>
  <c r="M40" i="16" s="1"/>
  <c r="T15" i="16"/>
  <c r="T43" i="16"/>
  <c r="H43" i="16"/>
  <c r="T25" i="16"/>
  <c r="T37" i="16" s="1"/>
  <c r="T52" i="16" s="1"/>
  <c r="T56" i="16" s="1"/>
  <c r="H25" i="16"/>
  <c r="H37" i="16" s="1"/>
  <c r="Q24" i="16"/>
  <c r="Q36" i="16" s="1"/>
  <c r="Q51" i="16" s="1"/>
  <c r="E24" i="16"/>
  <c r="E36" i="16" s="1"/>
  <c r="E51" i="16" s="1"/>
  <c r="E55" i="16" s="1"/>
  <c r="O29" i="16"/>
  <c r="C29" i="16"/>
  <c r="L28" i="16"/>
  <c r="V21" i="16"/>
  <c r="J21" i="16"/>
  <c r="S20" i="16"/>
  <c r="G20" i="16"/>
  <c r="P31" i="16"/>
  <c r="D31" i="16"/>
  <c r="L29" i="16"/>
  <c r="G25" i="16"/>
  <c r="G37" i="16" s="1"/>
  <c r="G52" i="16" s="1"/>
  <c r="G56" i="16" s="1"/>
  <c r="D24" i="16"/>
  <c r="D36" i="16" s="1"/>
  <c r="D51" i="16" s="1"/>
  <c r="D55" i="16" s="1"/>
  <c r="N29" i="16"/>
  <c r="N41" i="16" s="1"/>
  <c r="W28" i="16"/>
  <c r="K28" i="16"/>
  <c r="U21" i="16"/>
  <c r="I21" i="16"/>
  <c r="R20" i="16"/>
  <c r="F20" i="16"/>
  <c r="R31" i="16"/>
  <c r="F31" i="16"/>
  <c r="O31" i="16"/>
  <c r="C31" i="16"/>
  <c r="H15" i="16"/>
  <c r="H28" i="16"/>
  <c r="T28" i="16"/>
  <c r="M25" i="16"/>
  <c r="M37" i="16" s="1"/>
  <c r="M52" i="16" s="1"/>
  <c r="M56" i="16" s="1"/>
  <c r="V24" i="16"/>
  <c r="V36" i="16" s="1"/>
  <c r="J24" i="16"/>
  <c r="J36" i="16" s="1"/>
  <c r="G24" i="16"/>
  <c r="N31" i="16"/>
  <c r="S24" i="16"/>
  <c r="BY637" i="2"/>
  <c r="E21" i="16"/>
  <c r="U28" i="16"/>
  <c r="I28" i="16"/>
  <c r="P15" i="16"/>
  <c r="D15" i="16"/>
  <c r="M15" i="16"/>
  <c r="T31" i="16"/>
  <c r="H31" i="16"/>
  <c r="AZ362" i="2"/>
  <c r="CA637" i="2"/>
  <c r="CM637" i="2"/>
  <c r="W29" i="16"/>
  <c r="W41" i="16" s="1"/>
  <c r="K29" i="16"/>
  <c r="K41" i="16" s="1"/>
  <c r="S31" i="16"/>
  <c r="G31" i="16"/>
  <c r="CI358" i="2"/>
  <c r="V29" i="16"/>
  <c r="V41" i="16" s="1"/>
  <c r="J29" i="16"/>
  <c r="J41" i="16" s="1"/>
  <c r="S28" i="16"/>
  <c r="G28" i="16"/>
  <c r="W15" i="16"/>
  <c r="K15" i="16"/>
  <c r="Q29" i="16"/>
  <c r="Q41" i="16" s="1"/>
  <c r="F15" i="16"/>
  <c r="CJ358" i="2"/>
  <c r="BY641" i="2"/>
  <c r="U29" i="16"/>
  <c r="I29" i="16"/>
  <c r="R28" i="16"/>
  <c r="F28" i="16"/>
  <c r="W12" i="16"/>
  <c r="W24" i="16" s="1"/>
  <c r="Q31" i="16"/>
  <c r="E31" i="16"/>
  <c r="M20" i="16"/>
  <c r="M11" i="16"/>
  <c r="O15" i="16"/>
  <c r="C15" i="16"/>
  <c r="N20" i="16"/>
  <c r="O28" i="16"/>
  <c r="G29" i="16"/>
  <c r="S29" i="16"/>
  <c r="S41" i="16" s="1"/>
  <c r="C28" i="16"/>
  <c r="R29" i="16"/>
  <c r="N21" i="16"/>
  <c r="R15" i="16"/>
  <c r="D21" i="16"/>
  <c r="D28" i="16"/>
  <c r="P28" i="16"/>
  <c r="E29" i="16"/>
  <c r="G15" i="16"/>
  <c r="N11" i="16"/>
  <c r="K11" i="16"/>
  <c r="M21" i="16"/>
  <c r="V20" i="16"/>
  <c r="J20" i="16"/>
  <c r="S15" i="16"/>
  <c r="F29" i="16"/>
  <c r="T21" i="16"/>
  <c r="H21" i="16"/>
  <c r="Q7" i="16"/>
  <c r="E7" i="16"/>
  <c r="V11" i="16"/>
  <c r="J11" i="16"/>
  <c r="L21" i="16"/>
  <c r="U20" i="16"/>
  <c r="I20" i="16"/>
  <c r="O21" i="16"/>
  <c r="L11" i="16"/>
  <c r="U11" i="16"/>
  <c r="I11" i="16"/>
  <c r="W21" i="16"/>
  <c r="K21" i="16"/>
  <c r="T20" i="16"/>
  <c r="H20" i="16"/>
  <c r="P21" i="16"/>
  <c r="R3" i="16"/>
  <c r="F3" i="16"/>
  <c r="R11" i="16"/>
  <c r="F11" i="16"/>
  <c r="Q15" i="16"/>
  <c r="E15" i="16"/>
  <c r="F24" i="16"/>
  <c r="Q11" i="16"/>
  <c r="E11" i="16"/>
  <c r="K20" i="16"/>
  <c r="W20" i="16"/>
  <c r="I15" i="16"/>
  <c r="T11" i="16"/>
  <c r="H11" i="16"/>
  <c r="L15" i="16"/>
  <c r="E20" i="16"/>
  <c r="Q20" i="16"/>
  <c r="U15" i="16"/>
  <c r="W7" i="16"/>
  <c r="K7" i="16"/>
  <c r="S11" i="16"/>
  <c r="G11" i="16"/>
  <c r="P11" i="16"/>
  <c r="D11" i="16"/>
  <c r="C21" i="16"/>
  <c r="O11" i="16"/>
  <c r="C11" i="16"/>
  <c r="V15" i="16"/>
  <c r="J15" i="16"/>
  <c r="S3" i="16"/>
  <c r="G3" i="16"/>
  <c r="CV617" i="2"/>
  <c r="CN613" i="2"/>
  <c r="CM650" i="2"/>
  <c r="CH613" i="2"/>
  <c r="CE641" i="2"/>
  <c r="CQ641" i="2"/>
  <c r="CI641" i="2"/>
  <c r="BI362" i="2"/>
  <c r="CJ637" i="2"/>
  <c r="CF641" i="2"/>
  <c r="CR641" i="2"/>
  <c r="V7" i="16"/>
  <c r="J7" i="16"/>
  <c r="CD613" i="2"/>
  <c r="AN358" i="2"/>
  <c r="U7" i="16"/>
  <c r="I7" i="16"/>
  <c r="CB613" i="2"/>
  <c r="CK641" i="2"/>
  <c r="BU358" i="2"/>
  <c r="BZ613" i="2"/>
  <c r="CL613" i="2"/>
  <c r="CS358" i="2"/>
  <c r="CT358" i="2" s="1"/>
  <c r="CU358" i="2" s="1"/>
  <c r="CV358" i="2" s="1"/>
  <c r="CW358" i="2" s="1"/>
  <c r="CX358" i="2" s="1"/>
  <c r="CY358" i="2" s="1"/>
  <c r="CA613" i="2"/>
  <c r="CM613" i="2"/>
  <c r="BY653" i="2"/>
  <c r="M7" i="16"/>
  <c r="CJ613" i="2"/>
  <c r="N3" i="16"/>
  <c r="L7" i="16"/>
  <c r="CK613" i="2"/>
  <c r="AK362" i="2"/>
  <c r="CC613" i="2"/>
  <c r="CO613" i="2"/>
  <c r="N7" i="16"/>
  <c r="CP613" i="2"/>
  <c r="CD362" i="2"/>
  <c r="CF613" i="2"/>
  <c r="CG362" i="2"/>
  <c r="CG613" i="2"/>
  <c r="CG641" i="2"/>
  <c r="CS641" i="2"/>
  <c r="U3" i="16"/>
  <c r="I3" i="16"/>
  <c r="CE613" i="2"/>
  <c r="CS362" i="2"/>
  <c r="CT362" i="2" s="1"/>
  <c r="CU362" i="2" s="1"/>
  <c r="CV362" i="2" s="1"/>
  <c r="CW362" i="2" s="1"/>
  <c r="CX362" i="2" s="1"/>
  <c r="CX360" i="2" s="1"/>
  <c r="CH641" i="2"/>
  <c r="T3" i="16"/>
  <c r="H3" i="16"/>
  <c r="CJ641" i="2"/>
  <c r="BY650" i="2"/>
  <c r="BY664" i="2" s="1"/>
  <c r="CI654" i="2"/>
  <c r="CP362" i="2"/>
  <c r="CN637" i="2"/>
  <c r="CP637" i="2"/>
  <c r="CE653" i="2"/>
  <c r="T7" i="16"/>
  <c r="H7" i="16"/>
  <c r="M362" i="2"/>
  <c r="CQ637" i="2"/>
  <c r="CF653" i="2"/>
  <c r="S7" i="16"/>
  <c r="Y362" i="2"/>
  <c r="BP358" i="2"/>
  <c r="CR637" i="2"/>
  <c r="R7" i="16"/>
  <c r="F7" i="16"/>
  <c r="P7" i="16"/>
  <c r="D7" i="16"/>
  <c r="CG654" i="2"/>
  <c r="CH654" i="2"/>
  <c r="CQ653" i="2"/>
  <c r="CO637" i="2"/>
  <c r="CR653" i="2"/>
  <c r="V358" i="2"/>
  <c r="AG362" i="2"/>
  <c r="BQ358" i="2"/>
  <c r="CB641" i="2"/>
  <c r="CN641" i="2"/>
  <c r="CJ650" i="2"/>
  <c r="O7" i="16"/>
  <c r="C7" i="16"/>
  <c r="CA650" i="2"/>
  <c r="G7" i="16"/>
  <c r="AH362" i="2"/>
  <c r="BT358" i="2"/>
  <c r="CC641" i="2"/>
  <c r="CO641" i="2"/>
  <c r="CS654" i="2"/>
  <c r="V3" i="16"/>
  <c r="J3" i="16"/>
  <c r="CB649" i="2"/>
  <c r="CB668" i="2"/>
  <c r="CB672" i="2" s="1"/>
  <c r="CE649" i="2"/>
  <c r="CE668" i="2"/>
  <c r="BY673" i="2"/>
  <c r="CD649" i="2"/>
  <c r="CD668" i="2"/>
  <c r="CC649" i="2"/>
  <c r="CC668" i="2"/>
  <c r="CC672" i="2" s="1"/>
  <c r="CF649" i="2"/>
  <c r="CF668" i="2"/>
  <c r="CL641" i="2"/>
  <c r="BZ641" i="2"/>
  <c r="CH649" i="2"/>
  <c r="BZ649" i="2"/>
  <c r="CI649" i="2"/>
  <c r="CB637" i="2"/>
  <c r="CC637" i="2"/>
  <c r="S358" i="2"/>
  <c r="CD637" i="2"/>
  <c r="CK649" i="2"/>
  <c r="M3" i="16"/>
  <c r="CG637" i="2"/>
  <c r="CS638" i="2"/>
  <c r="CE637" i="2"/>
  <c r="CL649" i="2"/>
  <c r="L3" i="16"/>
  <c r="W358" i="2"/>
  <c r="AM3" i="13"/>
  <c r="AF8" i="11" s="1"/>
  <c r="AA3" i="13"/>
  <c r="T8" i="11" s="1"/>
  <c r="O3" i="13"/>
  <c r="H8" i="11" s="1"/>
  <c r="BI3" i="13"/>
  <c r="M3" i="13"/>
  <c r="F8" i="11" s="1"/>
  <c r="BS3" i="13"/>
  <c r="BL8" i="11" s="1"/>
  <c r="W3" i="13"/>
  <c r="P8" i="11" s="1"/>
  <c r="K3" i="13"/>
  <c r="D8" i="11" s="1"/>
  <c r="BQ3" i="13"/>
  <c r="BJ8" i="11" s="1"/>
  <c r="BE3" i="13"/>
  <c r="AX8" i="11" s="1"/>
  <c r="AS3" i="13"/>
  <c r="AL8" i="11" s="1"/>
  <c r="AG3" i="13"/>
  <c r="Z8" i="11" s="1"/>
  <c r="U3" i="13"/>
  <c r="N8" i="11" s="1"/>
  <c r="I3" i="13"/>
  <c r="CH637" i="2"/>
  <c r="CF637" i="2"/>
  <c r="CN650" i="2"/>
  <c r="CN664" i="2" s="1"/>
  <c r="CH668" i="2"/>
  <c r="W3" i="16"/>
  <c r="K3" i="16"/>
  <c r="BE362" i="2"/>
  <c r="BF362" i="2"/>
  <c r="CN358" i="2"/>
  <c r="BR3" i="13"/>
  <c r="BF3" i="13"/>
  <c r="AT3" i="13"/>
  <c r="AH3" i="13"/>
  <c r="AA8" i="11" s="1"/>
  <c r="V3" i="13"/>
  <c r="O8" i="11" s="1"/>
  <c r="J3" i="13"/>
  <c r="C8" i="11" s="1"/>
  <c r="CI637" i="2"/>
  <c r="CO650" i="2"/>
  <c r="CO664" i="2" s="1"/>
  <c r="CI668" i="2"/>
  <c r="AP358" i="2"/>
  <c r="CO358" i="2"/>
  <c r="BO3" i="13"/>
  <c r="AQ3" i="13"/>
  <c r="CP641" i="2"/>
  <c r="CD641" i="2"/>
  <c r="CP650" i="2"/>
  <c r="CP664" i="2" s="1"/>
  <c r="T362" i="2"/>
  <c r="BR362" i="2"/>
  <c r="AQ358" i="2"/>
  <c r="CR358" i="2"/>
  <c r="AD3" i="13"/>
  <c r="W8" i="11" s="1"/>
  <c r="CK637" i="2"/>
  <c r="CQ650" i="2"/>
  <c r="CQ664" i="2" s="1"/>
  <c r="Q3" i="16"/>
  <c r="E3" i="16"/>
  <c r="CM358" i="2"/>
  <c r="U362" i="2"/>
  <c r="CB362" i="2"/>
  <c r="AU358" i="2"/>
  <c r="BM3" i="13"/>
  <c r="BF8" i="11" s="1"/>
  <c r="AO3" i="13"/>
  <c r="AH8" i="11" s="1"/>
  <c r="AC3" i="13"/>
  <c r="V8" i="11" s="1"/>
  <c r="Q3" i="13"/>
  <c r="J8" i="11" s="1"/>
  <c r="E3" i="13"/>
  <c r="BZ637" i="2"/>
  <c r="CL637" i="2"/>
  <c r="CR650" i="2"/>
  <c r="CR664" i="2" s="1"/>
  <c r="P3" i="16"/>
  <c r="D3" i="16"/>
  <c r="BD362" i="2"/>
  <c r="CC362" i="2"/>
  <c r="BO358" i="2"/>
  <c r="CM641" i="2"/>
  <c r="CA641" i="2"/>
  <c r="CG650" i="2"/>
  <c r="CG664" i="2" s="1"/>
  <c r="O3" i="16"/>
  <c r="C3" i="16"/>
  <c r="CL667" i="2"/>
  <c r="BZ667" i="2"/>
  <c r="P362" i="2"/>
  <c r="AM362" i="2"/>
  <c r="AX358" i="2"/>
  <c r="BJ362" i="2"/>
  <c r="AR362" i="2"/>
  <c r="BK362" i="2"/>
  <c r="AB358" i="2"/>
  <c r="BX358" i="2"/>
  <c r="AY3" i="13"/>
  <c r="AR8" i="11" s="1"/>
  <c r="AS362" i="2"/>
  <c r="BL362" i="2"/>
  <c r="CH362" i="2"/>
  <c r="AD358" i="2"/>
  <c r="BP3" i="13"/>
  <c r="BI8" i="11" s="1"/>
  <c r="BD3" i="13"/>
  <c r="AW8" i="11" s="1"/>
  <c r="T3" i="13"/>
  <c r="M8" i="11" s="1"/>
  <c r="BN3" i="13"/>
  <c r="BG8" i="11" s="1"/>
  <c r="AP3" i="13"/>
  <c r="AI8" i="11" s="1"/>
  <c r="R3" i="13"/>
  <c r="K8" i="11" s="1"/>
  <c r="BL3" i="13"/>
  <c r="AZ3" i="13"/>
  <c r="AN3" i="13"/>
  <c r="AB3" i="13"/>
  <c r="U8" i="11" s="1"/>
  <c r="BJ3" i="13"/>
  <c r="BC8" i="11" s="1"/>
  <c r="AL3" i="13"/>
  <c r="AE8" i="11" s="1"/>
  <c r="Z3" i="13"/>
  <c r="S8" i="11" s="1"/>
  <c r="Z362" i="2"/>
  <c r="AT362" i="2"/>
  <c r="AE358" i="2"/>
  <c r="BC358" i="2"/>
  <c r="AA362" i="2"/>
  <c r="AW362" i="2"/>
  <c r="AI358" i="2"/>
  <c r="BG358" i="2"/>
  <c r="BT3" i="13"/>
  <c r="BM8" i="11" s="1"/>
  <c r="AL362" i="2"/>
  <c r="BW358" i="2"/>
  <c r="BB358" i="2"/>
  <c r="H3" i="13"/>
  <c r="P3" i="13"/>
  <c r="I8" i="11" s="1"/>
  <c r="CF358" i="2"/>
  <c r="BV362" i="2"/>
  <c r="N362" i="2"/>
  <c r="O362" i="2"/>
  <c r="AY358" i="2"/>
  <c r="CA358" i="2"/>
  <c r="AF3" i="13"/>
  <c r="Y8" i="11" s="1"/>
  <c r="AF362" i="2"/>
  <c r="AR3" i="13"/>
  <c r="AK8" i="11" s="1"/>
  <c r="K358" i="2"/>
  <c r="X358" i="2"/>
  <c r="BC3" i="13"/>
  <c r="AE3" i="13"/>
  <c r="X8" i="11" s="1"/>
  <c r="S3" i="13"/>
  <c r="L8" i="11" s="1"/>
  <c r="G3" i="13"/>
  <c r="AJ358" i="2"/>
  <c r="AV358" i="2"/>
  <c r="BH358" i="2"/>
  <c r="Q362" i="2"/>
  <c r="AC362" i="2"/>
  <c r="AO362" i="2"/>
  <c r="BA362" i="2"/>
  <c r="BM362" i="2"/>
  <c r="BY362" i="2"/>
  <c r="CK362" i="2"/>
  <c r="R362" i="2"/>
  <c r="BN362" i="2"/>
  <c r="BZ362" i="2"/>
  <c r="CL362" i="2"/>
  <c r="BB3" i="13"/>
  <c r="AU8" i="11" s="1"/>
  <c r="F3" i="13"/>
  <c r="D3" i="13"/>
  <c r="L358" i="2"/>
  <c r="AX3" i="13"/>
  <c r="AQ8" i="11" s="1"/>
  <c r="BH3" i="13"/>
  <c r="BA8" i="11" s="1"/>
  <c r="AV3" i="13"/>
  <c r="AO8" i="11" s="1"/>
  <c r="AJ3" i="13"/>
  <c r="AC8" i="11" s="1"/>
  <c r="L3" i="13"/>
  <c r="E8" i="11" s="1"/>
  <c r="BS362" i="2"/>
  <c r="CE362" i="2"/>
  <c r="CQ362" i="2"/>
  <c r="BA3" i="13"/>
  <c r="AT8" i="11" s="1"/>
  <c r="BK3" i="13"/>
  <c r="BD8" i="11" s="1"/>
  <c r="C3" i="13"/>
  <c r="AW3" i="13"/>
  <c r="AK3" i="13"/>
  <c r="Y3" i="13"/>
  <c r="R8" i="11" s="1"/>
  <c r="BG3" i="13"/>
  <c r="AZ8" i="11" s="1"/>
  <c r="AU3" i="13"/>
  <c r="AN8" i="11" s="1"/>
  <c r="AI3" i="13"/>
  <c r="AB8" i="11" s="1"/>
  <c r="N3" i="13"/>
  <c r="G8" i="11" s="1"/>
  <c r="X3" i="13"/>
  <c r="Q8" i="11" s="1"/>
  <c r="DT121" i="11" l="1"/>
  <c r="DT122" i="11"/>
  <c r="I27" i="16"/>
  <c r="T40" i="16"/>
  <c r="T27" i="16"/>
  <c r="J40" i="16"/>
  <c r="J39" i="16" s="1"/>
  <c r="J27" i="16"/>
  <c r="H40" i="16"/>
  <c r="H39" i="16" s="1"/>
  <c r="H27" i="16"/>
  <c r="V40" i="16"/>
  <c r="V39" i="16" s="1"/>
  <c r="V27" i="16"/>
  <c r="O27" i="16"/>
  <c r="BN28" i="16"/>
  <c r="O40" i="16"/>
  <c r="BL28" i="16"/>
  <c r="I40" i="16"/>
  <c r="M27" i="16"/>
  <c r="E40" i="16"/>
  <c r="E27" i="16"/>
  <c r="BJ28" i="16"/>
  <c r="C40" i="16"/>
  <c r="C27" i="16"/>
  <c r="K40" i="16"/>
  <c r="K27" i="16"/>
  <c r="Q40" i="16"/>
  <c r="Q39" i="16" s="1"/>
  <c r="Q27" i="16"/>
  <c r="R40" i="16"/>
  <c r="R27" i="16"/>
  <c r="P27" i="16"/>
  <c r="P40" i="16"/>
  <c r="W40" i="16"/>
  <c r="W27" i="16"/>
  <c r="U27" i="16"/>
  <c r="U40" i="16"/>
  <c r="BP28" i="16"/>
  <c r="D40" i="16"/>
  <c r="D39" i="16" s="1"/>
  <c r="D27" i="16"/>
  <c r="BK28" i="16"/>
  <c r="F40" i="16"/>
  <c r="F27" i="16"/>
  <c r="L27" i="16"/>
  <c r="BM28" i="16"/>
  <c r="L40" i="16"/>
  <c r="G40" i="16"/>
  <c r="G27" i="16"/>
  <c r="N40" i="16"/>
  <c r="BM40" i="16" s="1"/>
  <c r="N27" i="16"/>
  <c r="S40" i="16"/>
  <c r="BO28" i="16"/>
  <c r="S27" i="16"/>
  <c r="M41" i="16"/>
  <c r="M39" i="16" s="1"/>
  <c r="DR643" i="2"/>
  <c r="DR654" i="2" s="1"/>
  <c r="AV17" i="16"/>
  <c r="DS635" i="2"/>
  <c r="DS631" i="2" s="1"/>
  <c r="CY145" i="13"/>
  <c r="CR92" i="12"/>
  <c r="CR122" i="11"/>
  <c r="DY561" i="2"/>
  <c r="DY560" i="2" s="1"/>
  <c r="CZ146" i="13"/>
  <c r="DR630" i="2"/>
  <c r="CT123" i="11"/>
  <c r="DU123" i="11" s="1"/>
  <c r="L72" i="15"/>
  <c r="L91" i="15" s="1"/>
  <c r="L112" i="15" s="1"/>
  <c r="L130" i="15" s="1"/>
  <c r="L142" i="15" s="1"/>
  <c r="K21" i="15"/>
  <c r="K34" i="15" s="1"/>
  <c r="K66" i="15"/>
  <c r="K72" i="15"/>
  <c r="K91" i="15" s="1"/>
  <c r="K112" i="15" s="1"/>
  <c r="K130" i="15" s="1"/>
  <c r="K142" i="15" s="1"/>
  <c r="DT634" i="2"/>
  <c r="DS630" i="2"/>
  <c r="AW16" i="16" s="1"/>
  <c r="EA564" i="2"/>
  <c r="DB148" i="13" s="1"/>
  <c r="EB565" i="2"/>
  <c r="DC149" i="13" s="1"/>
  <c r="EA563" i="2"/>
  <c r="DB147" i="13" s="1"/>
  <c r="DZ562" i="2"/>
  <c r="DT531" i="2"/>
  <c r="DT529" i="2"/>
  <c r="CR67" i="18"/>
  <c r="DT364" i="2"/>
  <c r="DT108" i="2"/>
  <c r="DU93" i="3" s="1"/>
  <c r="FA93" i="3" s="1"/>
  <c r="DE42" i="11"/>
  <c r="DH42" i="11"/>
  <c r="CZ42" i="11"/>
  <c r="DC42" i="11"/>
  <c r="DG53" i="11"/>
  <c r="AP52" i="11"/>
  <c r="DC52" i="11" s="1"/>
  <c r="DJ76" i="13"/>
  <c r="AS52" i="11"/>
  <c r="DD52" i="11" s="1"/>
  <c r="DK76" i="13"/>
  <c r="AV52" i="11"/>
  <c r="DE52" i="11" s="1"/>
  <c r="DL76" i="13"/>
  <c r="AY52" i="11"/>
  <c r="DM76" i="13"/>
  <c r="AZ52" i="11"/>
  <c r="CG67" i="18"/>
  <c r="BA52" i="11"/>
  <c r="CH67" i="18"/>
  <c r="BB52" i="11"/>
  <c r="DN76" i="13"/>
  <c r="CI67" i="18"/>
  <c r="BC52" i="11"/>
  <c r="CJ67" i="18"/>
  <c r="BD52" i="11"/>
  <c r="CK67" i="18"/>
  <c r="BE52" i="11"/>
  <c r="DO76" i="13"/>
  <c r="CL67" i="18"/>
  <c r="BF52" i="11"/>
  <c r="CM67" i="18"/>
  <c r="BG52" i="11"/>
  <c r="CN67" i="18"/>
  <c r="BH52" i="11"/>
  <c r="DP76" i="13"/>
  <c r="CO67" i="18"/>
  <c r="BI52" i="11"/>
  <c r="CP67" i="18"/>
  <c r="BK52" i="11"/>
  <c r="DJ52" i="11" s="1"/>
  <c r="DQ76" i="13"/>
  <c r="AD53" i="11"/>
  <c r="CY53" i="11" s="1"/>
  <c r="DF77" i="13"/>
  <c r="AG53" i="11"/>
  <c r="CZ53" i="11" s="1"/>
  <c r="DG77" i="13"/>
  <c r="AJ53" i="11"/>
  <c r="DA53" i="11" s="1"/>
  <c r="DH77" i="13"/>
  <c r="AM53" i="11"/>
  <c r="DB53" i="11" s="1"/>
  <c r="DI77" i="13"/>
  <c r="AP53" i="11"/>
  <c r="DC53" i="11" s="1"/>
  <c r="DJ77" i="13"/>
  <c r="AS53" i="11"/>
  <c r="DD53" i="11" s="1"/>
  <c r="DK77" i="13"/>
  <c r="AV53" i="11"/>
  <c r="DE53" i="11" s="1"/>
  <c r="DL77" i="13"/>
  <c r="AY53" i="11"/>
  <c r="DF53" i="11" s="1"/>
  <c r="DM77" i="13"/>
  <c r="BL53" i="11"/>
  <c r="CS67" i="18"/>
  <c r="BM53" i="11"/>
  <c r="CT67" i="18"/>
  <c r="D74" i="13"/>
  <c r="D156" i="13" s="1"/>
  <c r="DQ29" i="13"/>
  <c r="DI42" i="11"/>
  <c r="DA42" i="11"/>
  <c r="P98" i="12"/>
  <c r="BJ53" i="11"/>
  <c r="CQ67" i="18"/>
  <c r="R97" i="12"/>
  <c r="R95" i="12"/>
  <c r="R88" i="12"/>
  <c r="S98" i="12"/>
  <c r="AZ99" i="15"/>
  <c r="S88" i="12"/>
  <c r="S97" i="12"/>
  <c r="S95" i="12"/>
  <c r="T88" i="12"/>
  <c r="BA99" i="15"/>
  <c r="T98" i="12"/>
  <c r="T97" i="12"/>
  <c r="T95" i="12"/>
  <c r="U98" i="12"/>
  <c r="U88" i="12"/>
  <c r="BB99" i="15"/>
  <c r="U97" i="12"/>
  <c r="U95" i="12"/>
  <c r="BC99" i="15"/>
  <c r="V97" i="12"/>
  <c r="V95" i="12"/>
  <c r="V88" i="12"/>
  <c r="V98" i="12"/>
  <c r="BD99" i="15"/>
  <c r="W97" i="12"/>
  <c r="W95" i="12"/>
  <c r="W98" i="12"/>
  <c r="W88" i="12"/>
  <c r="X88" i="12"/>
  <c r="BE99" i="15"/>
  <c r="X98" i="12"/>
  <c r="X97" i="12"/>
  <c r="X95" i="12"/>
  <c r="Y98" i="12"/>
  <c r="Y88" i="12"/>
  <c r="BF99" i="15"/>
  <c r="Y97" i="12"/>
  <c r="Y95" i="12"/>
  <c r="Z88" i="12"/>
  <c r="Z97" i="12"/>
  <c r="Z95" i="12"/>
  <c r="Z98" i="12"/>
  <c r="BG99" i="15"/>
  <c r="AQ95" i="12"/>
  <c r="AQ88" i="12"/>
  <c r="AQ97" i="12"/>
  <c r="AR88" i="12"/>
  <c r="BY99" i="15"/>
  <c r="AR98" i="12"/>
  <c r="AR97" i="12"/>
  <c r="AR95" i="12"/>
  <c r="AS88" i="12"/>
  <c r="BZ99" i="15"/>
  <c r="AS95" i="12"/>
  <c r="AS98" i="12"/>
  <c r="AS97" i="12"/>
  <c r="AT98" i="12"/>
  <c r="AT88" i="12"/>
  <c r="CA99" i="15"/>
  <c r="AT95" i="12"/>
  <c r="AT97" i="12"/>
  <c r="CB99" i="15"/>
  <c r="AU97" i="12"/>
  <c r="AU95" i="12"/>
  <c r="AU98" i="12"/>
  <c r="AU88" i="12"/>
  <c r="AV88" i="12"/>
  <c r="AV98" i="12"/>
  <c r="AV97" i="12"/>
  <c r="CC99" i="15"/>
  <c r="AV95" i="12"/>
  <c r="AW88" i="12"/>
  <c r="CD99" i="15"/>
  <c r="AW98" i="12"/>
  <c r="AW97" i="12"/>
  <c r="AW95" i="12"/>
  <c r="CE99" i="15"/>
  <c r="AX97" i="12"/>
  <c r="AX95" i="12"/>
  <c r="AX98" i="12"/>
  <c r="AX88" i="12"/>
  <c r="AY95" i="12"/>
  <c r="AY98" i="12"/>
  <c r="AY97" i="12"/>
  <c r="AY88" i="12"/>
  <c r="CF99" i="15"/>
  <c r="CG99" i="15"/>
  <c r="AZ88" i="12"/>
  <c r="AZ98" i="12"/>
  <c r="AZ97" i="12"/>
  <c r="AZ95" i="12"/>
  <c r="BA98" i="12"/>
  <c r="BA88" i="12"/>
  <c r="CH99" i="15"/>
  <c r="BA97" i="12"/>
  <c r="BA95" i="12"/>
  <c r="BB88" i="12"/>
  <c r="CI99" i="15"/>
  <c r="BB95" i="12"/>
  <c r="BB98" i="12"/>
  <c r="BB97" i="12"/>
  <c r="BC88" i="12"/>
  <c r="BC98" i="12"/>
  <c r="BC95" i="12"/>
  <c r="BC97" i="12"/>
  <c r="CJ99" i="15"/>
  <c r="BD98" i="12"/>
  <c r="BD97" i="12"/>
  <c r="BD95" i="12"/>
  <c r="CK99" i="15"/>
  <c r="BD88" i="12"/>
  <c r="BE88" i="12"/>
  <c r="CL99" i="15"/>
  <c r="BE95" i="12"/>
  <c r="BE98" i="12"/>
  <c r="BE97" i="12"/>
  <c r="BF88" i="12"/>
  <c r="CM99" i="15"/>
  <c r="BF98" i="12"/>
  <c r="BF97" i="12"/>
  <c r="BF95" i="12"/>
  <c r="CN99" i="15"/>
  <c r="BG97" i="12"/>
  <c r="BG95" i="12"/>
  <c r="BG98" i="12"/>
  <c r="BG88" i="12"/>
  <c r="BH95" i="12"/>
  <c r="BH98" i="12"/>
  <c r="BH97" i="12"/>
  <c r="CO99" i="15"/>
  <c r="BH88" i="12"/>
  <c r="BI88" i="12"/>
  <c r="CP99" i="15"/>
  <c r="BI98" i="12"/>
  <c r="BI97" i="12"/>
  <c r="BI95" i="12"/>
  <c r="BJ98" i="12"/>
  <c r="CQ99" i="15"/>
  <c r="BJ88" i="12"/>
  <c r="BJ97" i="12"/>
  <c r="BJ95" i="12"/>
  <c r="BK95" i="12"/>
  <c r="BK98" i="12"/>
  <c r="BK97" i="12"/>
  <c r="CR99" i="15"/>
  <c r="BK88" i="12"/>
  <c r="BL98" i="12"/>
  <c r="BL97" i="12"/>
  <c r="BL95" i="12"/>
  <c r="CS99" i="15"/>
  <c r="BL88" i="12"/>
  <c r="DF76" i="13"/>
  <c r="AD52" i="11"/>
  <c r="CY52" i="11" s="1"/>
  <c r="AG52" i="11"/>
  <c r="CZ52" i="11" s="1"/>
  <c r="DG76" i="13"/>
  <c r="AJ52" i="11"/>
  <c r="DA52" i="11" s="1"/>
  <c r="DH76" i="13"/>
  <c r="AM52" i="11"/>
  <c r="DB52" i="11" s="1"/>
  <c r="DI76" i="13"/>
  <c r="AT99" i="15"/>
  <c r="M88" i="12"/>
  <c r="M98" i="12"/>
  <c r="M97" i="12"/>
  <c r="M95" i="12"/>
  <c r="N88" i="12"/>
  <c r="AU99" i="15"/>
  <c r="N98" i="12"/>
  <c r="N97" i="12"/>
  <c r="N95" i="12"/>
  <c r="O88" i="12"/>
  <c r="AV99" i="15"/>
  <c r="O98" i="12"/>
  <c r="O97" i="12"/>
  <c r="O95" i="12"/>
  <c r="P52" i="11"/>
  <c r="AW99" i="15"/>
  <c r="P88" i="12"/>
  <c r="P97" i="12"/>
  <c r="P95" i="12"/>
  <c r="Q52" i="11"/>
  <c r="AX99" i="15"/>
  <c r="Q88" i="12"/>
  <c r="Q98" i="12"/>
  <c r="Q97" i="12"/>
  <c r="Q95" i="12"/>
  <c r="R52" i="11"/>
  <c r="R98" i="12"/>
  <c r="AY99" i="15"/>
  <c r="DN77" i="13"/>
  <c r="DH53" i="11"/>
  <c r="G88" i="12"/>
  <c r="I88" i="12"/>
  <c r="I98" i="12"/>
  <c r="I97" i="12"/>
  <c r="I95" i="12"/>
  <c r="AQ99" i="15"/>
  <c r="J88" i="12"/>
  <c r="J98" i="12"/>
  <c r="J97" i="12"/>
  <c r="J95" i="12"/>
  <c r="K52" i="11"/>
  <c r="AR99" i="15"/>
  <c r="K88" i="12"/>
  <c r="K98" i="12"/>
  <c r="K97" i="12"/>
  <c r="K95" i="12"/>
  <c r="L52" i="11"/>
  <c r="L98" i="12"/>
  <c r="L88" i="12"/>
  <c r="AS99" i="15"/>
  <c r="L97" i="12"/>
  <c r="L95" i="12"/>
  <c r="DO77" i="13"/>
  <c r="DD42" i="11"/>
  <c r="C98" i="12"/>
  <c r="C97" i="12"/>
  <c r="C88" i="12"/>
  <c r="C95" i="12"/>
  <c r="D98" i="12"/>
  <c r="D97" i="12"/>
  <c r="D88" i="12"/>
  <c r="D95" i="12"/>
  <c r="AL99" i="15"/>
  <c r="E88" i="12"/>
  <c r="E98" i="12"/>
  <c r="E97" i="12"/>
  <c r="E95" i="12"/>
  <c r="F88" i="12"/>
  <c r="AM99" i="15"/>
  <c r="F98" i="12"/>
  <c r="F97" i="12"/>
  <c r="F95" i="12"/>
  <c r="G52" i="11"/>
  <c r="AN99" i="15"/>
  <c r="G98" i="12"/>
  <c r="G97" i="12"/>
  <c r="G95" i="12"/>
  <c r="H52" i="11"/>
  <c r="H88" i="12"/>
  <c r="AO99" i="15"/>
  <c r="H98" i="12"/>
  <c r="H97" i="12"/>
  <c r="H95" i="12"/>
  <c r="I52" i="11"/>
  <c r="AP99" i="15"/>
  <c r="DQ78" i="13"/>
  <c r="BH53" i="11"/>
  <c r="DP77" i="13"/>
  <c r="BK53" i="11"/>
  <c r="DQ77" i="13"/>
  <c r="EE36" i="13"/>
  <c r="EG41" i="13"/>
  <c r="EG45" i="13"/>
  <c r="DJ42" i="11"/>
  <c r="DB42" i="11"/>
  <c r="DG42" i="11"/>
  <c r="CY42" i="11"/>
  <c r="DF42" i="11"/>
  <c r="BP20" i="16"/>
  <c r="DP29" i="13"/>
  <c r="AA88" i="12"/>
  <c r="BH99" i="15"/>
  <c r="AA98" i="12"/>
  <c r="AA97" i="12"/>
  <c r="AA95" i="12"/>
  <c r="AB98" i="12"/>
  <c r="BI99" i="15"/>
  <c r="AB88" i="12"/>
  <c r="AB97" i="12"/>
  <c r="AB95" i="12"/>
  <c r="BJ99" i="15"/>
  <c r="AC88" i="12"/>
  <c r="AC98" i="12"/>
  <c r="AC97" i="12"/>
  <c r="AC95" i="12"/>
  <c r="BK99" i="15"/>
  <c r="AD88" i="12"/>
  <c r="AD95" i="12"/>
  <c r="AD98" i="12"/>
  <c r="AD97" i="12"/>
  <c r="AE98" i="12"/>
  <c r="BL99" i="15"/>
  <c r="AE88" i="12"/>
  <c r="AE97" i="12"/>
  <c r="AE95" i="12"/>
  <c r="BM99" i="15"/>
  <c r="AF88" i="12"/>
  <c r="AF98" i="12"/>
  <c r="AF97" i="12"/>
  <c r="AF95" i="12"/>
  <c r="BN99" i="15"/>
  <c r="AG88" i="12"/>
  <c r="AG95" i="12"/>
  <c r="AG98" i="12"/>
  <c r="AG97" i="12"/>
  <c r="AH98" i="12"/>
  <c r="AH88" i="12"/>
  <c r="BO99" i="15"/>
  <c r="AH97" i="12"/>
  <c r="AH95" i="12"/>
  <c r="AI88" i="12"/>
  <c r="BP99" i="15"/>
  <c r="AI98" i="12"/>
  <c r="AI97" i="12"/>
  <c r="AI95" i="12"/>
  <c r="AJ88" i="12"/>
  <c r="BQ99" i="15"/>
  <c r="AJ95" i="12"/>
  <c r="AJ98" i="12"/>
  <c r="AJ97" i="12"/>
  <c r="AK98" i="12"/>
  <c r="AK88" i="12"/>
  <c r="BR99" i="15"/>
  <c r="AK97" i="12"/>
  <c r="AK95" i="12"/>
  <c r="AL88" i="12"/>
  <c r="BS99" i="15"/>
  <c r="AL98" i="12"/>
  <c r="AL97" i="12"/>
  <c r="AL95" i="12"/>
  <c r="AM88" i="12"/>
  <c r="BT99" i="15"/>
  <c r="AM95" i="12"/>
  <c r="AM98" i="12"/>
  <c r="AM97" i="12"/>
  <c r="AN98" i="12"/>
  <c r="AN88" i="12"/>
  <c r="BU99" i="15"/>
  <c r="AN97" i="12"/>
  <c r="AN95" i="12"/>
  <c r="AO88" i="12"/>
  <c r="BV99" i="15"/>
  <c r="AO98" i="12"/>
  <c r="AO97" i="12"/>
  <c r="AO95" i="12"/>
  <c r="BW99" i="15"/>
  <c r="AP88" i="12"/>
  <c r="AP95" i="12"/>
  <c r="AP98" i="12"/>
  <c r="AP97" i="12"/>
  <c r="AQ98" i="12"/>
  <c r="BX99" i="15"/>
  <c r="R66" i="15"/>
  <c r="R72" i="15"/>
  <c r="R91" i="15" s="1"/>
  <c r="R112" i="15" s="1"/>
  <c r="R130" i="15" s="1"/>
  <c r="R142" i="15" s="1"/>
  <c r="S66" i="15"/>
  <c r="S72" i="15"/>
  <c r="S91" i="15" s="1"/>
  <c r="S112" i="15" s="1"/>
  <c r="S130" i="15" s="1"/>
  <c r="S142" i="15" s="1"/>
  <c r="U66" i="15"/>
  <c r="U72" i="15"/>
  <c r="U91" i="15" s="1"/>
  <c r="U112" i="15" s="1"/>
  <c r="U130" i="15" s="1"/>
  <c r="U142" i="15" s="1"/>
  <c r="W72" i="15"/>
  <c r="W91" i="15" s="1"/>
  <c r="W112" i="15" s="1"/>
  <c r="W130" i="15" s="1"/>
  <c r="W142" i="15" s="1"/>
  <c r="W66" i="15"/>
  <c r="X72" i="15"/>
  <c r="X91" i="15" s="1"/>
  <c r="X112" i="15" s="1"/>
  <c r="X130" i="15" s="1"/>
  <c r="X142" i="15" s="1"/>
  <c r="X66" i="15"/>
  <c r="Y72" i="15"/>
  <c r="Y91" i="15" s="1"/>
  <c r="Y112" i="15" s="1"/>
  <c r="Y130" i="15" s="1"/>
  <c r="Y142" i="15" s="1"/>
  <c r="Y66" i="15"/>
  <c r="AA72" i="15"/>
  <c r="AA91" i="15" s="1"/>
  <c r="AA112" i="15" s="1"/>
  <c r="AA130" i="15" s="1"/>
  <c r="AA142" i="15" s="1"/>
  <c r="AA66" i="15"/>
  <c r="AE66" i="15"/>
  <c r="AE72" i="15"/>
  <c r="AE91" i="15" s="1"/>
  <c r="AE112" i="15" s="1"/>
  <c r="AE130" i="15" s="1"/>
  <c r="AE142" i="15" s="1"/>
  <c r="AG66" i="15"/>
  <c r="AG72" i="15"/>
  <c r="AG91" i="15" s="1"/>
  <c r="AG112" i="15" s="1"/>
  <c r="AG130" i="15" s="1"/>
  <c r="AG142" i="15" s="1"/>
  <c r="AH66" i="15"/>
  <c r="AH72" i="15"/>
  <c r="AH91" i="15" s="1"/>
  <c r="AH112" i="15" s="1"/>
  <c r="AH130" i="15" s="1"/>
  <c r="AH142" i="15" s="1"/>
  <c r="AJ72" i="15"/>
  <c r="AJ91" i="15" s="1"/>
  <c r="AJ112" i="15" s="1"/>
  <c r="AJ130" i="15" s="1"/>
  <c r="AJ142" i="15" s="1"/>
  <c r="AJ66" i="15"/>
  <c r="AK72" i="15"/>
  <c r="AK91" i="15" s="1"/>
  <c r="AK112" i="15" s="1"/>
  <c r="AK130" i="15" s="1"/>
  <c r="AK142" i="15" s="1"/>
  <c r="AK66" i="15"/>
  <c r="AL72" i="15"/>
  <c r="AL91" i="15" s="1"/>
  <c r="AL112" i="15" s="1"/>
  <c r="AL130" i="15" s="1"/>
  <c r="AL142" i="15" s="1"/>
  <c r="AL66" i="15"/>
  <c r="AP72" i="15"/>
  <c r="AP91" i="15" s="1"/>
  <c r="AP112" i="15" s="1"/>
  <c r="AP130" i="15" s="1"/>
  <c r="AP142" i="15" s="1"/>
  <c r="AP66" i="15"/>
  <c r="AS66" i="15"/>
  <c r="AS72" i="15"/>
  <c r="AS91" i="15" s="1"/>
  <c r="AS112" i="15" s="1"/>
  <c r="AS130" i="15" s="1"/>
  <c r="AS142" i="15" s="1"/>
  <c r="AT72" i="15"/>
  <c r="AT91" i="15" s="1"/>
  <c r="AT112" i="15" s="1"/>
  <c r="AT130" i="15" s="1"/>
  <c r="AT142" i="15" s="1"/>
  <c r="AT66" i="15"/>
  <c r="AU72" i="15"/>
  <c r="AU91" i="15" s="1"/>
  <c r="AU112" i="15" s="1"/>
  <c r="AU130" i="15" s="1"/>
  <c r="AU142" i="15" s="1"/>
  <c r="AU66" i="15"/>
  <c r="AV66" i="15"/>
  <c r="AV72" i="15"/>
  <c r="AV91" i="15" s="1"/>
  <c r="AV112" i="15" s="1"/>
  <c r="AV130" i="15" s="1"/>
  <c r="AV142" i="15" s="1"/>
  <c r="AY72" i="15"/>
  <c r="AY91" i="15" s="1"/>
  <c r="AY112" i="15" s="1"/>
  <c r="AY130" i="15" s="1"/>
  <c r="AY142" i="15" s="1"/>
  <c r="AY66" i="15"/>
  <c r="BB66" i="15"/>
  <c r="BB72" i="15"/>
  <c r="BB91" i="15" s="1"/>
  <c r="BB112" i="15" s="1"/>
  <c r="BB130" i="15" s="1"/>
  <c r="BB142" i="15" s="1"/>
  <c r="BC72" i="15"/>
  <c r="BC91" i="15" s="1"/>
  <c r="BC112" i="15" s="1"/>
  <c r="BC130" i="15" s="1"/>
  <c r="BC142" i="15" s="1"/>
  <c r="BC66" i="15"/>
  <c r="BE66" i="15"/>
  <c r="BE72" i="15"/>
  <c r="BE91" i="15" s="1"/>
  <c r="BE112" i="15" s="1"/>
  <c r="BE130" i="15" s="1"/>
  <c r="BE142" i="15" s="1"/>
  <c r="BF72" i="15"/>
  <c r="BF91" i="15" s="1"/>
  <c r="BF112" i="15" s="1"/>
  <c r="BF130" i="15" s="1"/>
  <c r="BF142" i="15" s="1"/>
  <c r="BF66" i="15"/>
  <c r="BG66" i="15"/>
  <c r="BG72" i="15"/>
  <c r="BG91" i="15" s="1"/>
  <c r="BG112" i="15" s="1"/>
  <c r="BG130" i="15" s="1"/>
  <c r="BG142" i="15" s="1"/>
  <c r="BH72" i="15"/>
  <c r="BH91" i="15" s="1"/>
  <c r="BH112" i="15" s="1"/>
  <c r="BH130" i="15" s="1"/>
  <c r="BH142" i="15" s="1"/>
  <c r="BH66" i="15"/>
  <c r="BJ72" i="15"/>
  <c r="BJ91" i="15" s="1"/>
  <c r="BJ112" i="15" s="1"/>
  <c r="BJ130" i="15" s="1"/>
  <c r="BJ142" i="15" s="1"/>
  <c r="BJ66" i="15"/>
  <c r="BO72" i="15"/>
  <c r="BO91" i="15" s="1"/>
  <c r="BO112" i="15" s="1"/>
  <c r="BO130" i="15" s="1"/>
  <c r="BO142" i="15" s="1"/>
  <c r="BO66" i="15"/>
  <c r="BR66" i="15"/>
  <c r="BR72" i="15"/>
  <c r="BR91" i="15" s="1"/>
  <c r="BR112" i="15" s="1"/>
  <c r="BR130" i="15" s="1"/>
  <c r="BR142" i="15" s="1"/>
  <c r="CQ72" i="15"/>
  <c r="CQ91" i="15" s="1"/>
  <c r="CQ112" i="15" s="1"/>
  <c r="CQ130" i="15" s="1"/>
  <c r="CQ142" i="15" s="1"/>
  <c r="CQ66" i="15"/>
  <c r="DB66" i="15"/>
  <c r="DB72" i="15"/>
  <c r="DB91" i="15" s="1"/>
  <c r="DB112" i="15" s="1"/>
  <c r="DB130" i="15" s="1"/>
  <c r="DB142" i="15" s="1"/>
  <c r="DO66" i="15"/>
  <c r="DO72" i="15"/>
  <c r="DO91" i="15" s="1"/>
  <c r="DO112" i="15" s="1"/>
  <c r="DO130" i="15" s="1"/>
  <c r="DO142" i="15" s="1"/>
  <c r="EE35" i="13"/>
  <c r="EE11" i="13"/>
  <c r="DK43" i="13"/>
  <c r="DC6" i="11"/>
  <c r="DY6" i="11" s="1"/>
  <c r="AP31" i="11"/>
  <c r="DC31" i="11" s="1"/>
  <c r="DE5" i="11"/>
  <c r="DY5" i="11" s="1"/>
  <c r="AV30" i="11"/>
  <c r="DE30" i="11" s="1"/>
  <c r="BM98" i="12"/>
  <c r="BM95" i="12"/>
  <c r="BM97" i="12"/>
  <c r="BM88" i="12"/>
  <c r="CT99" i="15"/>
  <c r="G37" i="11"/>
  <c r="G39" i="12"/>
  <c r="BF37" i="11"/>
  <c r="BF39" i="12"/>
  <c r="AT37" i="11"/>
  <c r="AT39" i="12"/>
  <c r="V37" i="11"/>
  <c r="V39" i="12"/>
  <c r="J37" i="11"/>
  <c r="J39" i="12"/>
  <c r="Z37" i="11"/>
  <c r="Z39" i="12"/>
  <c r="U37" i="11"/>
  <c r="U39" i="12"/>
  <c r="BM37" i="11"/>
  <c r="BM39" i="12"/>
  <c r="BA37" i="11"/>
  <c r="BA39" i="12"/>
  <c r="AO37" i="11"/>
  <c r="AO39" i="12"/>
  <c r="AC37" i="11"/>
  <c r="AC39" i="12"/>
  <c r="Q37" i="11"/>
  <c r="Q39" i="12"/>
  <c r="E37" i="11"/>
  <c r="E39" i="12"/>
  <c r="AA37" i="11"/>
  <c r="AA39" i="12"/>
  <c r="O37" i="11"/>
  <c r="O39" i="12"/>
  <c r="C37" i="11"/>
  <c r="C39" i="12"/>
  <c r="BL37" i="11"/>
  <c r="BL39" i="12"/>
  <c r="AZ37" i="11"/>
  <c r="AZ39" i="12"/>
  <c r="AN37" i="11"/>
  <c r="AN39" i="12"/>
  <c r="AB37" i="11"/>
  <c r="AB39" i="12"/>
  <c r="P37" i="11"/>
  <c r="P39" i="12"/>
  <c r="D37" i="11"/>
  <c r="D39" i="12"/>
  <c r="BJ37" i="11"/>
  <c r="BJ39" i="12"/>
  <c r="N37" i="11"/>
  <c r="N39" i="12"/>
  <c r="BI37" i="11"/>
  <c r="BI39" i="12"/>
  <c r="AW37" i="11"/>
  <c r="AW39" i="12"/>
  <c r="AK37" i="11"/>
  <c r="AK39" i="12"/>
  <c r="Y37" i="11"/>
  <c r="Y39" i="12"/>
  <c r="M37" i="11"/>
  <c r="M39" i="12"/>
  <c r="X37" i="11"/>
  <c r="X39" i="12"/>
  <c r="L37" i="11"/>
  <c r="L39" i="12"/>
  <c r="BG37" i="11"/>
  <c r="BG39" i="12"/>
  <c r="W37" i="11"/>
  <c r="W39" i="12"/>
  <c r="K37" i="11"/>
  <c r="K39" i="12"/>
  <c r="BN21" i="16"/>
  <c r="BM20" i="16"/>
  <c r="BL20" i="16"/>
  <c r="BL31" i="16"/>
  <c r="EG36" i="13"/>
  <c r="EF34" i="13"/>
  <c r="EF53" i="13"/>
  <c r="EF39" i="13"/>
  <c r="EE45" i="13"/>
  <c r="BH31" i="11"/>
  <c r="DI31" i="11" s="1"/>
  <c r="EI45" i="13"/>
  <c r="CD9" i="16"/>
  <c r="EE23" i="13"/>
  <c r="BN43" i="16"/>
  <c r="DH29" i="13"/>
  <c r="EG51" i="13"/>
  <c r="CE47" i="16"/>
  <c r="BO21" i="16"/>
  <c r="DO75" i="13"/>
  <c r="AG30" i="11"/>
  <c r="CZ30" i="11" s="1"/>
  <c r="CD32" i="16"/>
  <c r="DK29" i="13"/>
  <c r="DO30" i="13"/>
  <c r="DY123" i="12"/>
  <c r="DM30" i="13"/>
  <c r="DQ30" i="13"/>
  <c r="BL21" i="16"/>
  <c r="EE39" i="13"/>
  <c r="BE31" i="11"/>
  <c r="DH31" i="11" s="1"/>
  <c r="DN78" i="13"/>
  <c r="EF112" i="13"/>
  <c r="DO29" i="13"/>
  <c r="EG66" i="13"/>
  <c r="EF35" i="13"/>
  <c r="CD12" i="16"/>
  <c r="DQ38" i="13"/>
  <c r="BK31" i="11"/>
  <c r="DJ31" i="11" s="1"/>
  <c r="EE41" i="13"/>
  <c r="CE17" i="16"/>
  <c r="AP30" i="11"/>
  <c r="DC30" i="11" s="1"/>
  <c r="AY30" i="11"/>
  <c r="DF30" i="11" s="1"/>
  <c r="EF10" i="13"/>
  <c r="BP31" i="16"/>
  <c r="DJ25" i="13"/>
  <c r="DG4" i="12"/>
  <c r="EG35" i="13"/>
  <c r="DG30" i="13"/>
  <c r="AY31" i="11"/>
  <c r="DF31" i="11" s="1"/>
  <c r="EE44" i="13"/>
  <c r="EG65" i="13"/>
  <c r="AJ30" i="11"/>
  <c r="DA30" i="11" s="1"/>
  <c r="DI29" i="13"/>
  <c r="EF60" i="13"/>
  <c r="DG29" i="13"/>
  <c r="BK21" i="16"/>
  <c r="AV31" i="11"/>
  <c r="DE31" i="11" s="1"/>
  <c r="BE30" i="11"/>
  <c r="DH30" i="11" s="1"/>
  <c r="EE70" i="13"/>
  <c r="CD47" i="16"/>
  <c r="AG31" i="11"/>
  <c r="CZ31" i="11" s="1"/>
  <c r="DH75" i="13"/>
  <c r="EE34" i="13"/>
  <c r="CE33" i="16"/>
  <c r="EE72" i="13"/>
  <c r="CD45" i="16"/>
  <c r="DH64" i="13"/>
  <c r="AD31" i="11"/>
  <c r="CY31" i="11" s="1"/>
  <c r="DX70" i="12"/>
  <c r="EF113" i="13"/>
  <c r="EG4" i="13"/>
  <c r="EE109" i="13"/>
  <c r="BK7" i="16"/>
  <c r="BO11" i="16"/>
  <c r="BL11" i="16"/>
  <c r="DF49" i="13"/>
  <c r="DI25" i="12"/>
  <c r="FG4" i="15"/>
  <c r="BB30" i="11"/>
  <c r="DG30" i="11" s="1"/>
  <c r="AS31" i="11"/>
  <c r="DD31" i="11" s="1"/>
  <c r="BB31" i="11"/>
  <c r="DG31" i="11" s="1"/>
  <c r="AM30" i="11"/>
  <c r="DB30" i="11" s="1"/>
  <c r="EE110" i="13"/>
  <c r="EF72" i="13"/>
  <c r="DI30" i="13"/>
  <c r="CD33" i="16"/>
  <c r="DI11" i="12"/>
  <c r="DK30" i="13"/>
  <c r="EE66" i="13"/>
  <c r="EI46" i="13"/>
  <c r="EG34" i="13"/>
  <c r="DX15" i="12"/>
  <c r="DX17" i="11"/>
  <c r="DY101" i="11"/>
  <c r="EE33" i="13"/>
  <c r="DL29" i="13"/>
  <c r="EG114" i="13"/>
  <c r="BL7" i="16"/>
  <c r="BO29" i="16"/>
  <c r="DL49" i="13"/>
  <c r="DM38" i="13"/>
  <c r="DG38" i="13"/>
  <c r="DG64" i="13"/>
  <c r="DP75" i="13"/>
  <c r="DL75" i="13"/>
  <c r="DJ4" i="12"/>
  <c r="DJ25" i="12"/>
  <c r="BK30" i="11"/>
  <c r="DJ30" i="11" s="1"/>
  <c r="EE46" i="13"/>
  <c r="EG33" i="13"/>
  <c r="EE108" i="13"/>
  <c r="EF33" i="13"/>
  <c r="DX101" i="11"/>
  <c r="EE51" i="13"/>
  <c r="EG14" i="13"/>
  <c r="BN20" i="16"/>
  <c r="DL30" i="13"/>
  <c r="DH25" i="13"/>
  <c r="DI78" i="13"/>
  <c r="DJ78" i="13"/>
  <c r="DQ75" i="13"/>
  <c r="DE4" i="12"/>
  <c r="DG43" i="13"/>
  <c r="EF67" i="13"/>
  <c r="CD13" i="16"/>
  <c r="FE4" i="15"/>
  <c r="EG52" i="13"/>
  <c r="DH11" i="12"/>
  <c r="DX152" i="11"/>
  <c r="EF108" i="13"/>
  <c r="EE115" i="13"/>
  <c r="EG60" i="13"/>
  <c r="EF45" i="13"/>
  <c r="EB17" i="11"/>
  <c r="CE9" i="16"/>
  <c r="EE6" i="13"/>
  <c r="EF70" i="13"/>
  <c r="EE20" i="13"/>
  <c r="BM7" i="16"/>
  <c r="BK15" i="16"/>
  <c r="DG75" i="13"/>
  <c r="DA25" i="12"/>
  <c r="AD30" i="11"/>
  <c r="CY30" i="11" s="1"/>
  <c r="FG47" i="14"/>
  <c r="CE8" i="16"/>
  <c r="EE10" i="13"/>
  <c r="DI32" i="13"/>
  <c r="DI69" i="13"/>
  <c r="DF11" i="12"/>
  <c r="EF65" i="13"/>
  <c r="EE52" i="13"/>
  <c r="EG46" i="13"/>
  <c r="EE27" i="13"/>
  <c r="EF4" i="13"/>
  <c r="BK20" i="16"/>
  <c r="EE15" i="13"/>
  <c r="EG10" i="13"/>
  <c r="BP43" i="16"/>
  <c r="DG25" i="13"/>
  <c r="DG32" i="13"/>
  <c r="DQ43" i="13"/>
  <c r="DM69" i="13"/>
  <c r="DL38" i="13"/>
  <c r="DF64" i="13"/>
  <c r="DE11" i="12"/>
  <c r="DD25" i="12"/>
  <c r="EG15" i="13"/>
  <c r="EG19" i="13"/>
  <c r="EG110" i="13"/>
  <c r="CD8" i="16"/>
  <c r="EG11" i="13"/>
  <c r="DF4" i="12"/>
  <c r="FH13" i="15"/>
  <c r="CE16" i="16"/>
  <c r="DZ43" i="11"/>
  <c r="DX43" i="11"/>
  <c r="EF22" i="13"/>
  <c r="CD44" i="16"/>
  <c r="DK25" i="13"/>
  <c r="DH32" i="13"/>
  <c r="DP69" i="13"/>
  <c r="DN75" i="13"/>
  <c r="DM75" i="13"/>
  <c r="DC25" i="12"/>
  <c r="FE13" i="15"/>
  <c r="EG67" i="13"/>
  <c r="EF44" i="13"/>
  <c r="EF40" i="13"/>
  <c r="EI19" i="13"/>
  <c r="EE65" i="13"/>
  <c r="DK38" i="13"/>
  <c r="DG69" i="13"/>
  <c r="FG46" i="14"/>
  <c r="CE32" i="16"/>
  <c r="CD5" i="16"/>
  <c r="BO31" i="16"/>
  <c r="DM32" i="13"/>
  <c r="DL25" i="13"/>
  <c r="DM29" i="13"/>
  <c r="EF109" i="13"/>
  <c r="EG115" i="13"/>
  <c r="EF58" i="13"/>
  <c r="EF50" i="13"/>
  <c r="EH45" i="13"/>
  <c r="CE45" i="16"/>
  <c r="EE14" i="13"/>
  <c r="EE4" i="13"/>
  <c r="EF7" i="13"/>
  <c r="CE5" i="16"/>
  <c r="EF59" i="13"/>
  <c r="AS8" i="11"/>
  <c r="DD8" i="11" s="1"/>
  <c r="DK3" i="13"/>
  <c r="BL15" i="16"/>
  <c r="BK11" i="16"/>
  <c r="I36" i="16"/>
  <c r="BL24" i="16"/>
  <c r="O36" i="16"/>
  <c r="BN24" i="16"/>
  <c r="DP43" i="13"/>
  <c r="DF25" i="13"/>
  <c r="AD12" i="11"/>
  <c r="CY12" i="11" s="1"/>
  <c r="DF13" i="13"/>
  <c r="AY37" i="11"/>
  <c r="DM49" i="13"/>
  <c r="DM43" i="13"/>
  <c r="BE37" i="11"/>
  <c r="DO49" i="13"/>
  <c r="DN38" i="13"/>
  <c r="DQ25" i="13"/>
  <c r="DN43" i="13"/>
  <c r="DH38" i="13"/>
  <c r="DJ43" i="13"/>
  <c r="DK75" i="13"/>
  <c r="DN69" i="13"/>
  <c r="DL64" i="13"/>
  <c r="DE25" i="12"/>
  <c r="AG20" i="11"/>
  <c r="CZ20" i="11" s="1"/>
  <c r="DG17" i="13"/>
  <c r="CZ25" i="12"/>
  <c r="DF14" i="12"/>
  <c r="DY14" i="12" s="1"/>
  <c r="EE112" i="13"/>
  <c r="EG116" i="13"/>
  <c r="DZ102" i="11"/>
  <c r="DX14" i="12"/>
  <c r="DY152" i="11"/>
  <c r="CD17" i="16"/>
  <c r="BJ21" i="16"/>
  <c r="DY102" i="11"/>
  <c r="EG58" i="13"/>
  <c r="EF27" i="13"/>
  <c r="DJ30" i="13"/>
  <c r="DY17" i="11"/>
  <c r="EG113" i="13"/>
  <c r="EE71" i="13"/>
  <c r="EE57" i="13"/>
  <c r="EE50" i="13"/>
  <c r="EF18" i="13"/>
  <c r="DX18" i="11"/>
  <c r="EF5" i="13"/>
  <c r="EF11" i="13"/>
  <c r="AP8" i="11"/>
  <c r="DC8" i="11" s="1"/>
  <c r="DJ3" i="13"/>
  <c r="AV8" i="11"/>
  <c r="DE8" i="11" s="1"/>
  <c r="DL3" i="13"/>
  <c r="BE8" i="11"/>
  <c r="DH8" i="11" s="1"/>
  <c r="DO3" i="13"/>
  <c r="BB8" i="11"/>
  <c r="DG8" i="11" s="1"/>
  <c r="DN3" i="13"/>
  <c r="BJ11" i="16"/>
  <c r="U36" i="16"/>
  <c r="BP24" i="16"/>
  <c r="F37" i="16"/>
  <c r="BK25" i="16"/>
  <c r="BK37" i="11"/>
  <c r="DQ49" i="13"/>
  <c r="DF32" i="13"/>
  <c r="DJ64" i="13"/>
  <c r="DK69" i="13"/>
  <c r="CY4" i="12"/>
  <c r="AS20" i="11"/>
  <c r="DK17" i="13"/>
  <c r="EG112" i="13"/>
  <c r="DZ77" i="11"/>
  <c r="EG27" i="13"/>
  <c r="DN30" i="13"/>
  <c r="EE53" i="13"/>
  <c r="EH19" i="13"/>
  <c r="CD48" i="16"/>
  <c r="EG71" i="13"/>
  <c r="EG57" i="13"/>
  <c r="EG50" i="13"/>
  <c r="DH30" i="13"/>
  <c r="EE19" i="13"/>
  <c r="EG20" i="13"/>
  <c r="AJ8" i="11"/>
  <c r="DA8" i="11" s="1"/>
  <c r="DH3" i="13"/>
  <c r="BJ31" i="16"/>
  <c r="L37" i="16"/>
  <c r="BM25" i="16"/>
  <c r="R36" i="16"/>
  <c r="BO24" i="16"/>
  <c r="BH8" i="11"/>
  <c r="DI8" i="11" s="1"/>
  <c r="DP3" i="13"/>
  <c r="BJ7" i="16"/>
  <c r="BO7" i="16"/>
  <c r="BN11" i="16"/>
  <c r="BP15" i="16"/>
  <c r="BO15" i="16"/>
  <c r="BJ15" i="16"/>
  <c r="BN31" i="16"/>
  <c r="I37" i="16"/>
  <c r="BL25" i="16"/>
  <c r="BJ43" i="16"/>
  <c r="L36" i="16"/>
  <c r="BM24" i="16"/>
  <c r="R37" i="16"/>
  <c r="BO25" i="16"/>
  <c r="BM31" i="16"/>
  <c r="DK32" i="13"/>
  <c r="DQ69" i="13"/>
  <c r="AM45" i="11"/>
  <c r="DB45" i="11" s="1"/>
  <c r="DI56" i="13"/>
  <c r="DJ32" i="13"/>
  <c r="DP38" i="13"/>
  <c r="DH78" i="13"/>
  <c r="DJ49" i="13"/>
  <c r="DF75" i="13"/>
  <c r="DM64" i="13"/>
  <c r="DJ11" i="12"/>
  <c r="DB4" i="12"/>
  <c r="DC4" i="12"/>
  <c r="DB25" i="12"/>
  <c r="BE20" i="11"/>
  <c r="DH20" i="11" s="1"/>
  <c r="DO17" i="13"/>
  <c r="AJ20" i="11"/>
  <c r="DA20" i="11" s="1"/>
  <c r="DH17" i="13"/>
  <c r="AM20" i="11"/>
  <c r="DB20" i="11" s="1"/>
  <c r="DI17" i="13"/>
  <c r="DH25" i="12"/>
  <c r="FI4" i="15"/>
  <c r="FF13" i="15"/>
  <c r="AJ31" i="11"/>
  <c r="DA31" i="11" s="1"/>
  <c r="AM31" i="11"/>
  <c r="DB31" i="11" s="1"/>
  <c r="DZ101" i="11"/>
  <c r="DY15" i="12"/>
  <c r="DZ123" i="12"/>
  <c r="EE67" i="13"/>
  <c r="EG53" i="13"/>
  <c r="EG39" i="13"/>
  <c r="EF36" i="13"/>
  <c r="DZ15" i="12"/>
  <c r="DZ17" i="11"/>
  <c r="EF110" i="13"/>
  <c r="EG59" i="13"/>
  <c r="DZ70" i="12"/>
  <c r="EG109" i="13"/>
  <c r="EF116" i="13"/>
  <c r="EA17" i="11"/>
  <c r="EG108" i="13"/>
  <c r="EF115" i="13"/>
  <c r="EF46" i="13"/>
  <c r="DZ18" i="11"/>
  <c r="BJ20" i="16"/>
  <c r="CD16" i="16"/>
  <c r="EF20" i="13"/>
  <c r="AM8" i="11"/>
  <c r="DB8" i="11" s="1"/>
  <c r="DI3" i="13"/>
  <c r="BN7" i="16"/>
  <c r="BO3" i="16"/>
  <c r="BM11" i="16"/>
  <c r="BN15" i="16"/>
  <c r="I41" i="16"/>
  <c r="BL41" i="16" s="1"/>
  <c r="BL29" i="16"/>
  <c r="BK31" i="16"/>
  <c r="U37" i="16"/>
  <c r="BP25" i="16"/>
  <c r="AM12" i="11"/>
  <c r="DB12" i="11" s="1"/>
  <c r="DI13" i="13"/>
  <c r="BK12" i="11"/>
  <c r="DJ12" i="11" s="1"/>
  <c r="DQ13" i="13"/>
  <c r="DO32" i="13"/>
  <c r="DH49" i="13"/>
  <c r="AG12" i="11"/>
  <c r="CZ12" i="11" s="1"/>
  <c r="DG13" i="13"/>
  <c r="DI38" i="13"/>
  <c r="AY45" i="11"/>
  <c r="DF45" i="11" s="1"/>
  <c r="DM56" i="13"/>
  <c r="DN32" i="13"/>
  <c r="AD45" i="11"/>
  <c r="CY45" i="11" s="1"/>
  <c r="DF56" i="13"/>
  <c r="DP78" i="13"/>
  <c r="BH12" i="11"/>
  <c r="DI12" i="11" s="1"/>
  <c r="DP13" i="13"/>
  <c r="DP32" i="13"/>
  <c r="DL69" i="13"/>
  <c r="DN64" i="13"/>
  <c r="DN49" i="13"/>
  <c r="DJ75" i="13"/>
  <c r="DG78" i="13"/>
  <c r="DI75" i="13"/>
  <c r="CY11" i="12"/>
  <c r="DF25" i="12"/>
  <c r="AV20" i="11"/>
  <c r="DE20" i="11" s="1"/>
  <c r="DL17" i="13"/>
  <c r="CY25" i="12"/>
  <c r="AY20" i="11"/>
  <c r="DF20" i="11" s="1"/>
  <c r="DM17" i="13"/>
  <c r="DZ69" i="12"/>
  <c r="EF114" i="13"/>
  <c r="EG70" i="13"/>
  <c r="DY77" i="11"/>
  <c r="DY70" i="12"/>
  <c r="EF57" i="13"/>
  <c r="CD4" i="16"/>
  <c r="EG72" i="13"/>
  <c r="EF52" i="13"/>
  <c r="EH46" i="13"/>
  <c r="DP30" i="13"/>
  <c r="EE5" i="13"/>
  <c r="DY18" i="11"/>
  <c r="BK43" i="16"/>
  <c r="AP45" i="11"/>
  <c r="DC45" i="11" s="1"/>
  <c r="DJ56" i="13"/>
  <c r="DK78" i="13"/>
  <c r="BU88" i="13"/>
  <c r="AD20" i="11"/>
  <c r="CY20" i="11" s="1"/>
  <c r="DF17" i="13"/>
  <c r="BH20" i="11"/>
  <c r="DI20" i="11" s="1"/>
  <c r="DP17" i="13"/>
  <c r="CZ4" i="12"/>
  <c r="BK20" i="11"/>
  <c r="DJ20" i="11" s="1"/>
  <c r="DQ17" i="13"/>
  <c r="FF4" i="15"/>
  <c r="DN29" i="13"/>
  <c r="EG26" i="13"/>
  <c r="EF41" i="13"/>
  <c r="EF23" i="13"/>
  <c r="CE44" i="16"/>
  <c r="DY69" i="12"/>
  <c r="CE4" i="16"/>
  <c r="EF15" i="13"/>
  <c r="EF6" i="13"/>
  <c r="DX5" i="11"/>
  <c r="U41" i="16"/>
  <c r="BP41" i="16" s="1"/>
  <c r="BP29" i="16"/>
  <c r="AS12" i="11"/>
  <c r="DD12" i="11" s="1"/>
  <c r="DK13" i="13"/>
  <c r="AP12" i="11"/>
  <c r="DC12" i="11" s="1"/>
  <c r="DJ13" i="13"/>
  <c r="AJ45" i="11"/>
  <c r="DA45" i="11" s="1"/>
  <c r="DH56" i="13"/>
  <c r="BK45" i="11"/>
  <c r="DJ45" i="11" s="1"/>
  <c r="DQ56" i="13"/>
  <c r="BK8" i="11"/>
  <c r="DJ8" i="11" s="1"/>
  <c r="DQ3" i="13"/>
  <c r="BP7" i="16"/>
  <c r="BM15" i="16"/>
  <c r="F36" i="16"/>
  <c r="BK24" i="16"/>
  <c r="BO43" i="16"/>
  <c r="C37" i="16"/>
  <c r="BJ25" i="16"/>
  <c r="AY12" i="11"/>
  <c r="DF12" i="11" s="1"/>
  <c r="DM13" i="13"/>
  <c r="DO25" i="13"/>
  <c r="DN25" i="13"/>
  <c r="BH37" i="11"/>
  <c r="DP49" i="13"/>
  <c r="BE12" i="11"/>
  <c r="DH12" i="11" s="1"/>
  <c r="DO13" i="13"/>
  <c r="BB12" i="11"/>
  <c r="DG12" i="11" s="1"/>
  <c r="DN13" i="13"/>
  <c r="AV45" i="11"/>
  <c r="DE45" i="11" s="1"/>
  <c r="DL56" i="13"/>
  <c r="AG45" i="11"/>
  <c r="CZ45" i="11" s="1"/>
  <c r="DG56" i="13"/>
  <c r="DK64" i="13"/>
  <c r="BB45" i="11"/>
  <c r="DG45" i="11" s="1"/>
  <c r="DN56" i="13"/>
  <c r="DI64" i="13"/>
  <c r="DL78" i="13"/>
  <c r="DC11" i="12"/>
  <c r="CZ11" i="12"/>
  <c r="AP20" i="11"/>
  <c r="DC20" i="11" s="1"/>
  <c r="DJ17" i="13"/>
  <c r="DD4" i="12"/>
  <c r="DG25" i="12"/>
  <c r="FG13" i="15"/>
  <c r="AS30" i="11"/>
  <c r="DD30" i="11" s="1"/>
  <c r="DX6" i="11"/>
  <c r="EE18" i="13"/>
  <c r="EF71" i="13"/>
  <c r="EG23" i="13"/>
  <c r="EF66" i="13"/>
  <c r="DY43" i="11"/>
  <c r="EE22" i="13"/>
  <c r="BP13" i="16"/>
  <c r="CE13" i="16" s="1"/>
  <c r="O37" i="16"/>
  <c r="BN25" i="16"/>
  <c r="DH43" i="13"/>
  <c r="DQ32" i="13"/>
  <c r="BH45" i="11"/>
  <c r="DI45" i="11" s="1"/>
  <c r="DP56" i="13"/>
  <c r="AS45" i="11"/>
  <c r="DD45" i="11" s="1"/>
  <c r="DK56" i="13"/>
  <c r="DF38" i="13"/>
  <c r="DI25" i="13"/>
  <c r="DO64" i="13"/>
  <c r="DL32" i="13"/>
  <c r="DO38" i="13"/>
  <c r="DM78" i="13"/>
  <c r="DQ64" i="13"/>
  <c r="DH69" i="13"/>
  <c r="DF69" i="13"/>
  <c r="DO69" i="13"/>
  <c r="DP64" i="13"/>
  <c r="DB11" i="12"/>
  <c r="BB20" i="11"/>
  <c r="DG20" i="11" s="1"/>
  <c r="DN17" i="13"/>
  <c r="DH4" i="12"/>
  <c r="DI4" i="12"/>
  <c r="FI13" i="15"/>
  <c r="FH4" i="15"/>
  <c r="EF51" i="13"/>
  <c r="EG6" i="13"/>
  <c r="DX102" i="11"/>
  <c r="DZ152" i="11"/>
  <c r="EE116" i="13"/>
  <c r="DJ14" i="12"/>
  <c r="DZ14" i="12" s="1"/>
  <c r="EG18" i="13"/>
  <c r="EE58" i="13"/>
  <c r="DX69" i="12"/>
  <c r="BO20" i="16"/>
  <c r="EG7" i="13"/>
  <c r="EE60" i="13"/>
  <c r="EE40" i="13"/>
  <c r="EG22" i="13"/>
  <c r="CE48" i="16"/>
  <c r="EE7" i="13"/>
  <c r="BM21" i="16"/>
  <c r="EG5" i="13"/>
  <c r="BP12" i="16"/>
  <c r="CE12" i="16" s="1"/>
  <c r="AY8" i="11"/>
  <c r="DF8" i="11" s="1"/>
  <c r="DM3" i="13"/>
  <c r="F41" i="16"/>
  <c r="BK29" i="16"/>
  <c r="L41" i="16"/>
  <c r="BM29" i="16"/>
  <c r="C41" i="16"/>
  <c r="BJ29" i="16"/>
  <c r="BL43" i="16"/>
  <c r="AD8" i="11"/>
  <c r="CY8" i="11" s="1"/>
  <c r="DF3" i="13"/>
  <c r="AG8" i="11"/>
  <c r="CZ8" i="11" s="1"/>
  <c r="DG3" i="13"/>
  <c r="O41" i="16"/>
  <c r="BN41" i="16" s="1"/>
  <c r="BN29" i="16"/>
  <c r="C36" i="16"/>
  <c r="BJ24" i="16"/>
  <c r="DP25" i="13"/>
  <c r="DL43" i="13"/>
  <c r="AV12" i="11"/>
  <c r="DE12" i="11" s="1"/>
  <c r="DL13" i="13"/>
  <c r="AM37" i="11"/>
  <c r="DI49" i="13"/>
  <c r="DO43" i="13"/>
  <c r="DI43" i="13"/>
  <c r="AS37" i="11"/>
  <c r="DK49" i="13"/>
  <c r="BE45" i="11"/>
  <c r="DH45" i="11" s="1"/>
  <c r="DO56" i="13"/>
  <c r="DG49" i="13"/>
  <c r="DJ38" i="13"/>
  <c r="DM25" i="13"/>
  <c r="DF43" i="13"/>
  <c r="BM43" i="16"/>
  <c r="DF78" i="13"/>
  <c r="DJ69" i="13"/>
  <c r="AJ12" i="11"/>
  <c r="DA12" i="11" s="1"/>
  <c r="DH13" i="13"/>
  <c r="DO78" i="13"/>
  <c r="DG11" i="12"/>
  <c r="DD11" i="12"/>
  <c r="DA11" i="12"/>
  <c r="DA4" i="12"/>
  <c r="BH30" i="11"/>
  <c r="DI30" i="11" s="1"/>
  <c r="DX77" i="11"/>
  <c r="EF14" i="13"/>
  <c r="DZ6" i="11"/>
  <c r="EE26" i="13"/>
  <c r="DX123" i="12"/>
  <c r="EE59" i="13"/>
  <c r="EE114" i="13"/>
  <c r="EF19" i="13"/>
  <c r="BP21" i="16"/>
  <c r="EE113" i="13"/>
  <c r="EG44" i="13"/>
  <c r="EG40" i="13"/>
  <c r="EF26" i="13"/>
  <c r="DJ29" i="13"/>
  <c r="DZ5" i="11"/>
  <c r="BP3" i="16"/>
  <c r="BK3" i="16"/>
  <c r="BJ3" i="16"/>
  <c r="BM3" i="16"/>
  <c r="BN3" i="16"/>
  <c r="BL3" i="16"/>
  <c r="FF80" i="15"/>
  <c r="FE80" i="15"/>
  <c r="FG80" i="15"/>
  <c r="FE47" i="14"/>
  <c r="FE46" i="14"/>
  <c r="FF46" i="14"/>
  <c r="FF47" i="14"/>
  <c r="BU24" i="15"/>
  <c r="BU39" i="15" s="1"/>
  <c r="EH6" i="15"/>
  <c r="EG6" i="15"/>
  <c r="EM15" i="15"/>
  <c r="EM6" i="15"/>
  <c r="EF6" i="15"/>
  <c r="EL15" i="15"/>
  <c r="K73" i="18"/>
  <c r="EP15" i="15"/>
  <c r="AC33" i="11"/>
  <c r="C33" i="11"/>
  <c r="BK19" i="15"/>
  <c r="AD24" i="11"/>
  <c r="AR33" i="11"/>
  <c r="E33" i="11"/>
  <c r="AU33" i="11"/>
  <c r="L33" i="11"/>
  <c r="BI33" i="11"/>
  <c r="AH33" i="11"/>
  <c r="BL33" i="11"/>
  <c r="CO19" i="15"/>
  <c r="BH24" i="11"/>
  <c r="BV19" i="15"/>
  <c r="AO24" i="11"/>
  <c r="AM19" i="15"/>
  <c r="F24" i="11"/>
  <c r="AZ19" i="15"/>
  <c r="S24" i="11"/>
  <c r="AI37" i="11"/>
  <c r="CQ19" i="15"/>
  <c r="BJ24" i="11"/>
  <c r="BX19" i="15"/>
  <c r="AQ24" i="11"/>
  <c r="P54" i="13"/>
  <c r="I37" i="11"/>
  <c r="BT19" i="15"/>
  <c r="AM24" i="11"/>
  <c r="Z54" i="13"/>
  <c r="S37" i="11"/>
  <c r="H37" i="11"/>
  <c r="D34" i="15"/>
  <c r="D48" i="18"/>
  <c r="D36" i="18"/>
  <c r="DA37" i="15"/>
  <c r="ET37" i="15" s="1"/>
  <c r="ET22" i="15"/>
  <c r="EN15" i="15"/>
  <c r="DG37" i="15"/>
  <c r="EV37" i="15" s="1"/>
  <c r="EV22" i="15"/>
  <c r="EH15" i="15"/>
  <c r="EQ33" i="15"/>
  <c r="EG33" i="15"/>
  <c r="AN54" i="13"/>
  <c r="AG37" i="11"/>
  <c r="CF19" i="15"/>
  <c r="AY24" i="11"/>
  <c r="M48" i="13"/>
  <c r="F37" i="11"/>
  <c r="AE37" i="11"/>
  <c r="AA54" i="13"/>
  <c r="T37" i="11"/>
  <c r="AX37" i="11"/>
  <c r="J34" i="15"/>
  <c r="J48" i="18"/>
  <c r="J36" i="18"/>
  <c r="CH19" i="15"/>
  <c r="BA24" i="11"/>
  <c r="DM37" i="15"/>
  <c r="EX37" i="15" s="1"/>
  <c r="EX22" i="15"/>
  <c r="AD39" i="15"/>
  <c r="EL6" i="15"/>
  <c r="O33" i="11"/>
  <c r="CR19" i="15"/>
  <c r="BK24" i="11"/>
  <c r="AT19" i="15"/>
  <c r="M24" i="11"/>
  <c r="Y48" i="13"/>
  <c r="R37" i="11"/>
  <c r="AM54" i="13"/>
  <c r="AF37" i="11"/>
  <c r="AQ37" i="11"/>
  <c r="EO15" i="15"/>
  <c r="EK15" i="15"/>
  <c r="BT37" i="15"/>
  <c r="EI22" i="15"/>
  <c r="BQ37" i="15"/>
  <c r="EH22" i="15"/>
  <c r="BF33" i="11"/>
  <c r="F33" i="11"/>
  <c r="BL19" i="15"/>
  <c r="AE24" i="11"/>
  <c r="AU37" i="11"/>
  <c r="Q33" i="11"/>
  <c r="CK19" i="15"/>
  <c r="BD24" i="11"/>
  <c r="BN19" i="15"/>
  <c r="AG24" i="11"/>
  <c r="BC19" i="15"/>
  <c r="V24" i="11"/>
  <c r="AK19" i="15"/>
  <c r="D24" i="11"/>
  <c r="AY19" i="15"/>
  <c r="R24" i="11"/>
  <c r="BM33" i="11"/>
  <c r="K33" i="11"/>
  <c r="AA33" i="11"/>
  <c r="AL33" i="11"/>
  <c r="BF19" i="15"/>
  <c r="Y24" i="11"/>
  <c r="AD37" i="11"/>
  <c r="AR37" i="11"/>
  <c r="CT19" i="15"/>
  <c r="BM24" i="11"/>
  <c r="BB19" i="15"/>
  <c r="U24" i="11"/>
  <c r="BC37" i="11"/>
  <c r="EQ15" i="15"/>
  <c r="EJ6" i="15"/>
  <c r="EF33" i="15"/>
  <c r="CF37" i="15"/>
  <c r="EM22" i="15"/>
  <c r="W33" i="11"/>
  <c r="Z33" i="11"/>
  <c r="G33" i="11"/>
  <c r="BD33" i="11"/>
  <c r="BA33" i="11"/>
  <c r="H33" i="11"/>
  <c r="BO19" i="15"/>
  <c r="AH24" i="11"/>
  <c r="AW19" i="15"/>
  <c r="P24" i="11"/>
  <c r="AB33" i="11"/>
  <c r="AT33" i="11"/>
  <c r="AQ33" i="11"/>
  <c r="S33" i="11"/>
  <c r="AI33" i="11"/>
  <c r="AX33" i="11"/>
  <c r="T33" i="11"/>
  <c r="BZ19" i="15"/>
  <c r="AS24" i="11"/>
  <c r="CA19" i="15"/>
  <c r="AT24" i="11"/>
  <c r="AS19" i="15"/>
  <c r="L24" i="11"/>
  <c r="BI19" i="15"/>
  <c r="AB24" i="11"/>
  <c r="BW19" i="15"/>
  <c r="AP24" i="11"/>
  <c r="AO19" i="15"/>
  <c r="H24" i="11"/>
  <c r="AP19" i="15"/>
  <c r="I24" i="11"/>
  <c r="AU19" i="15"/>
  <c r="N24" i="11"/>
  <c r="AJ37" i="11"/>
  <c r="AR19" i="15"/>
  <c r="K24" i="11"/>
  <c r="BR19" i="15"/>
  <c r="AK24" i="11"/>
  <c r="AO54" i="13"/>
  <c r="AH37" i="11"/>
  <c r="AP37" i="11"/>
  <c r="BK54" i="13"/>
  <c r="BD37" i="11"/>
  <c r="EF15" i="15"/>
  <c r="BN37" i="15"/>
  <c r="EG37" i="15" s="1"/>
  <c r="EG22" i="15"/>
  <c r="J73" i="18"/>
  <c r="EN6" i="15"/>
  <c r="EI6" i="15"/>
  <c r="EJ33" i="15"/>
  <c r="CR37" i="15"/>
  <c r="EQ22" i="15"/>
  <c r="CO37" i="15"/>
  <c r="EP22" i="15"/>
  <c r="X33" i="11"/>
  <c r="N33" i="11"/>
  <c r="AN33" i="11"/>
  <c r="AE33" i="11"/>
  <c r="BU19" i="15"/>
  <c r="AN24" i="11"/>
  <c r="BD19" i="15"/>
  <c r="W24" i="11"/>
  <c r="AJ19" i="15"/>
  <c r="C24" i="11"/>
  <c r="CD19" i="15"/>
  <c r="AW24" i="11"/>
  <c r="BB37" i="11"/>
  <c r="AL19" i="15"/>
  <c r="E24" i="11"/>
  <c r="I34" i="15"/>
  <c r="I36" i="18"/>
  <c r="I48" i="18"/>
  <c r="EH33" i="15"/>
  <c r="EK6" i="15"/>
  <c r="EO6" i="15"/>
  <c r="EN33" i="15"/>
  <c r="BK37" i="15"/>
  <c r="EF22" i="15"/>
  <c r="CL37" i="15"/>
  <c r="EO22" i="15"/>
  <c r="EK22" i="15"/>
  <c r="DD37" i="15"/>
  <c r="EU22" i="15"/>
  <c r="AQ19" i="15"/>
  <c r="J24" i="11"/>
  <c r="AO33" i="11"/>
  <c r="AK33" i="11"/>
  <c r="BG33" i="11"/>
  <c r="BJ33" i="11"/>
  <c r="AF33" i="11"/>
  <c r="CM19" i="15"/>
  <c r="BF24" i="11"/>
  <c r="AS54" i="13"/>
  <c r="AL37" i="11"/>
  <c r="AZ33" i="11"/>
  <c r="I33" i="11"/>
  <c r="BC33" i="11"/>
  <c r="M33" i="11"/>
  <c r="J33" i="11"/>
  <c r="D33" i="11"/>
  <c r="CJ19" i="15"/>
  <c r="BC24" i="11"/>
  <c r="CL19" i="15"/>
  <c r="BE24" i="11"/>
  <c r="BQ19" i="15"/>
  <c r="AJ24" i="11"/>
  <c r="CG19" i="15"/>
  <c r="AZ24" i="11"/>
  <c r="BM19" i="15"/>
  <c r="AF24" i="11"/>
  <c r="CI19" i="15"/>
  <c r="BB24" i="11"/>
  <c r="AN19" i="15"/>
  <c r="G24" i="11"/>
  <c r="CN19" i="15"/>
  <c r="BG24" i="11"/>
  <c r="BS19" i="15"/>
  <c r="AL24" i="11"/>
  <c r="BP19" i="15"/>
  <c r="AI24" i="11"/>
  <c r="AV19" i="15"/>
  <c r="O24" i="11"/>
  <c r="CP19" i="15"/>
  <c r="BI24" i="11"/>
  <c r="AX19" i="15"/>
  <c r="Q24" i="11"/>
  <c r="EJ15" i="15"/>
  <c r="EG15" i="15"/>
  <c r="CI37" i="15"/>
  <c r="EN37" i="15" s="1"/>
  <c r="EN22" i="15"/>
  <c r="CX37" i="15"/>
  <c r="ES37" i="15" s="1"/>
  <c r="ES22" i="15"/>
  <c r="EL33" i="15"/>
  <c r="EI33" i="15"/>
  <c r="EQ6" i="15"/>
  <c r="EP6" i="15"/>
  <c r="DP37" i="15"/>
  <c r="EY22" i="15"/>
  <c r="BE19" i="15"/>
  <c r="X24" i="11"/>
  <c r="BA19" i="15"/>
  <c r="T24" i="11"/>
  <c r="BG19" i="15"/>
  <c r="Z24" i="11"/>
  <c r="BC54" i="13"/>
  <c r="AV37" i="11"/>
  <c r="R33" i="11"/>
  <c r="Y33" i="11"/>
  <c r="U33" i="11"/>
  <c r="AW33" i="11"/>
  <c r="V33" i="11"/>
  <c r="P33" i="11"/>
  <c r="CC19" i="15"/>
  <c r="AV24" i="11"/>
  <c r="CS19" i="15"/>
  <c r="BL24" i="11"/>
  <c r="BY19" i="15"/>
  <c r="AR24" i="11"/>
  <c r="CE19" i="15"/>
  <c r="AX24" i="11"/>
  <c r="CB19" i="15"/>
  <c r="AU24" i="11"/>
  <c r="BH19" i="15"/>
  <c r="AA24" i="11"/>
  <c r="BJ19" i="15"/>
  <c r="AC24" i="11"/>
  <c r="EI15" i="15"/>
  <c r="CC37" i="15"/>
  <c r="EL37" i="15" s="1"/>
  <c r="EL22" i="15"/>
  <c r="CU37" i="15"/>
  <c r="ER37" i="15" s="1"/>
  <c r="ER22" i="15"/>
  <c r="DJ37" i="15"/>
  <c r="EW37" i="15" s="1"/>
  <c r="EW22" i="15"/>
  <c r="EP33" i="15"/>
  <c r="EM33" i="15"/>
  <c r="EO33" i="15"/>
  <c r="EK33" i="15"/>
  <c r="BW37" i="15"/>
  <c r="EJ22" i="15"/>
  <c r="BG24" i="15"/>
  <c r="BG39" i="15" s="1"/>
  <c r="I109" i="15"/>
  <c r="I139" i="15"/>
  <c r="I127" i="15"/>
  <c r="I121" i="15"/>
  <c r="D109" i="15"/>
  <c r="D139" i="15"/>
  <c r="D121" i="15"/>
  <c r="D127" i="15"/>
  <c r="J109" i="15"/>
  <c r="J139" i="15"/>
  <c r="J127" i="15"/>
  <c r="J121" i="15"/>
  <c r="K109" i="15"/>
  <c r="K139" i="15"/>
  <c r="K127" i="15"/>
  <c r="K121" i="15"/>
  <c r="AT18" i="12"/>
  <c r="AT31" i="12" s="1"/>
  <c r="P74" i="13"/>
  <c r="I55" i="11" s="1"/>
  <c r="AK74" i="13"/>
  <c r="M74" i="13"/>
  <c r="F55" i="11" s="1"/>
  <c r="AU24" i="15"/>
  <c r="AU39" i="15" s="1"/>
  <c r="CG24" i="15"/>
  <c r="CG39" i="15" s="1"/>
  <c r="BI74" i="13"/>
  <c r="AQ74" i="13"/>
  <c r="J74" i="13"/>
  <c r="C55" i="11" s="1"/>
  <c r="N74" i="13"/>
  <c r="G55" i="11" s="1"/>
  <c r="AM74" i="13"/>
  <c r="AF55" i="11" s="1"/>
  <c r="AV74" i="13"/>
  <c r="AO55" i="11" s="1"/>
  <c r="AB74" i="13"/>
  <c r="U55" i="11" s="1"/>
  <c r="AW24" i="15"/>
  <c r="AW39" i="15" s="1"/>
  <c r="AZ74" i="13"/>
  <c r="AC74" i="13"/>
  <c r="V55" i="11" s="1"/>
  <c r="F74" i="13"/>
  <c r="F156" i="13" s="1"/>
  <c r="I74" i="13"/>
  <c r="I156" i="13" s="1"/>
  <c r="AX74" i="13"/>
  <c r="AQ55" i="11" s="1"/>
  <c r="BL74" i="13"/>
  <c r="BL156" i="13" s="1"/>
  <c r="Y74" i="13"/>
  <c r="R55" i="11" s="1"/>
  <c r="BM74" i="13"/>
  <c r="BF55" i="11" s="1"/>
  <c r="AD28" i="15"/>
  <c r="AD48" i="15" s="1"/>
  <c r="AW74" i="13"/>
  <c r="W74" i="13"/>
  <c r="P55" i="11" s="1"/>
  <c r="BS24" i="15"/>
  <c r="BS39" i="15" s="1"/>
  <c r="AE74" i="13"/>
  <c r="X55" i="11" s="1"/>
  <c r="AF74" i="13"/>
  <c r="Y55" i="11" s="1"/>
  <c r="AA74" i="13"/>
  <c r="T55" i="11" s="1"/>
  <c r="K74" i="13"/>
  <c r="D55" i="11" s="1"/>
  <c r="BP74" i="13"/>
  <c r="BI55" i="11" s="1"/>
  <c r="BO74" i="13"/>
  <c r="T74" i="13"/>
  <c r="M55" i="11" s="1"/>
  <c r="AT74" i="13"/>
  <c r="Z74" i="13"/>
  <c r="S55" i="11" s="1"/>
  <c r="AY74" i="13"/>
  <c r="AR55" i="11" s="1"/>
  <c r="AI74" i="13"/>
  <c r="AN74" i="13"/>
  <c r="Q74" i="13"/>
  <c r="J55" i="11" s="1"/>
  <c r="BD74" i="13"/>
  <c r="AW55" i="11" s="1"/>
  <c r="AL74" i="13"/>
  <c r="AE55" i="11" s="1"/>
  <c r="BK74" i="13"/>
  <c r="BD55" i="11" s="1"/>
  <c r="L74" i="13"/>
  <c r="E55" i="11" s="1"/>
  <c r="X74" i="13"/>
  <c r="Q55" i="11" s="1"/>
  <c r="AU74" i="13"/>
  <c r="AN55" i="11" s="1"/>
  <c r="AG74" i="13"/>
  <c r="Z55" i="11" s="1"/>
  <c r="H74" i="13"/>
  <c r="H156" i="13" s="1"/>
  <c r="AJ74" i="13"/>
  <c r="AC55" i="11" s="1"/>
  <c r="BG74" i="13"/>
  <c r="AZ55" i="11" s="1"/>
  <c r="AO74" i="13"/>
  <c r="AH55" i="11" s="1"/>
  <c r="R74" i="13"/>
  <c r="K55" i="11" s="1"/>
  <c r="BQ74" i="13"/>
  <c r="BJ55" i="11" s="1"/>
  <c r="AS74" i="13"/>
  <c r="AL55" i="11" s="1"/>
  <c r="AR74" i="13"/>
  <c r="AK55" i="11" s="1"/>
  <c r="BJ74" i="13"/>
  <c r="BC55" i="11" s="1"/>
  <c r="BT74" i="13"/>
  <c r="BT156" i="13" s="1"/>
  <c r="BH74" i="13"/>
  <c r="BA55" i="11" s="1"/>
  <c r="BS74" i="13"/>
  <c r="BL55" i="11" s="1"/>
  <c r="AD74" i="13"/>
  <c r="W55" i="11" s="1"/>
  <c r="V74" i="13"/>
  <c r="O55" i="11" s="1"/>
  <c r="U74" i="13"/>
  <c r="N55" i="11" s="1"/>
  <c r="E74" i="13"/>
  <c r="E156" i="13" s="1"/>
  <c r="AP74" i="13"/>
  <c r="AI55" i="11" s="1"/>
  <c r="BF74" i="13"/>
  <c r="BE74" i="13"/>
  <c r="AX55" i="11" s="1"/>
  <c r="AH74" i="13"/>
  <c r="AA55" i="11" s="1"/>
  <c r="BB74" i="13"/>
  <c r="AU55" i="11" s="1"/>
  <c r="BR74" i="13"/>
  <c r="BC74" i="13"/>
  <c r="BN74" i="13"/>
  <c r="BG55" i="11" s="1"/>
  <c r="BA74" i="13"/>
  <c r="AT55" i="11" s="1"/>
  <c r="G74" i="13"/>
  <c r="G156" i="13" s="1"/>
  <c r="C74" i="13"/>
  <c r="C156" i="13" s="1"/>
  <c r="S74" i="13"/>
  <c r="L55" i="11" s="1"/>
  <c r="O74" i="13"/>
  <c r="H55" i="11" s="1"/>
  <c r="CQ24" i="15"/>
  <c r="CQ39" i="15" s="1"/>
  <c r="Z18" i="12"/>
  <c r="Z31" i="12" s="1"/>
  <c r="CE24" i="15"/>
  <c r="CE39" i="15" s="1"/>
  <c r="CT24" i="15"/>
  <c r="CT39" i="15" s="1"/>
  <c r="BR24" i="15"/>
  <c r="BR39" i="15" s="1"/>
  <c r="BY24" i="15"/>
  <c r="BY39" i="15" s="1"/>
  <c r="AI39" i="15"/>
  <c r="AS24" i="15"/>
  <c r="AS39" i="15" s="1"/>
  <c r="CD24" i="15"/>
  <c r="CD39" i="15" s="1"/>
  <c r="BW24" i="15"/>
  <c r="BA24" i="15"/>
  <c r="BA39" i="15" s="1"/>
  <c r="AY18" i="12"/>
  <c r="CI24" i="15"/>
  <c r="BQ24" i="15"/>
  <c r="AH39" i="15"/>
  <c r="AX24" i="15"/>
  <c r="AX39" i="15" s="1"/>
  <c r="BJ24" i="15"/>
  <c r="BJ39" i="15" s="1"/>
  <c r="AC39" i="15"/>
  <c r="AL24" i="15"/>
  <c r="AL39" i="15" s="1"/>
  <c r="K42" i="15"/>
  <c r="AZ24" i="15"/>
  <c r="AZ39" i="15" s="1"/>
  <c r="BV24" i="15"/>
  <c r="BV39" i="15" s="1"/>
  <c r="CH24" i="15"/>
  <c r="CH39" i="15" s="1"/>
  <c r="AK24" i="15"/>
  <c r="AK39" i="15" s="1"/>
  <c r="BM24" i="15"/>
  <c r="BM39" i="15" s="1"/>
  <c r="AE39" i="15"/>
  <c r="AY24" i="15"/>
  <c r="AY39" i="15" s="1"/>
  <c r="BX24" i="15"/>
  <c r="BX39" i="15" s="1"/>
  <c r="AT24" i="15"/>
  <c r="AT39" i="15" s="1"/>
  <c r="AF39" i="15"/>
  <c r="AE18" i="12"/>
  <c r="AE31" i="12" s="1"/>
  <c r="AG39" i="15"/>
  <c r="AM24" i="15"/>
  <c r="AM39" i="15" s="1"/>
  <c r="BL24" i="15"/>
  <c r="BL39" i="15" s="1"/>
  <c r="AA18" i="12"/>
  <c r="AA31" i="12" s="1"/>
  <c r="AO24" i="15"/>
  <c r="AO39" i="15" s="1"/>
  <c r="BK24" i="15"/>
  <c r="BF24" i="15"/>
  <c r="BF39" i="15" s="1"/>
  <c r="BE18" i="12"/>
  <c r="CP24" i="15"/>
  <c r="CP39" i="15" s="1"/>
  <c r="BG18" i="12"/>
  <c r="BG31" i="12" s="1"/>
  <c r="AV18" i="12"/>
  <c r="AD18" i="12"/>
  <c r="AQ18" i="12"/>
  <c r="AQ31" i="12" s="1"/>
  <c r="AB18" i="12"/>
  <c r="AB31" i="12" s="1"/>
  <c r="W18" i="12"/>
  <c r="W31" i="12" s="1"/>
  <c r="AR18" i="12"/>
  <c r="AR31" i="12" s="1"/>
  <c r="BJ18" i="12"/>
  <c r="BJ31" i="12" s="1"/>
  <c r="O18" i="12"/>
  <c r="O31" i="12" s="1"/>
  <c r="AX18" i="12"/>
  <c r="AX31" i="12" s="1"/>
  <c r="AI18" i="12"/>
  <c r="AI31" i="12" s="1"/>
  <c r="AL18" i="12"/>
  <c r="AL31" i="12" s="1"/>
  <c r="C18" i="12"/>
  <c r="C31" i="12" s="1"/>
  <c r="AM18" i="12"/>
  <c r="U18" i="12"/>
  <c r="U31" i="12" s="1"/>
  <c r="BK18" i="12"/>
  <c r="J18" i="12"/>
  <c r="J31" i="12" s="1"/>
  <c r="V18" i="12"/>
  <c r="V31" i="12" s="1"/>
  <c r="CO24" i="15"/>
  <c r="BB18" i="12"/>
  <c r="N18" i="12"/>
  <c r="N31" i="12" s="1"/>
  <c r="BD18" i="12"/>
  <c r="BD31" i="12" s="1"/>
  <c r="AH18" i="12"/>
  <c r="AH31" i="12" s="1"/>
  <c r="S18" i="12"/>
  <c r="S31" i="12" s="1"/>
  <c r="BH18" i="12"/>
  <c r="G18" i="12"/>
  <c r="G31" i="12" s="1"/>
  <c r="AG18" i="12"/>
  <c r="X18" i="12"/>
  <c r="X31" i="12" s="1"/>
  <c r="AF18" i="12"/>
  <c r="AF31" i="12" s="1"/>
  <c r="AO18" i="12"/>
  <c r="AO31" i="12" s="1"/>
  <c r="BI24" i="15"/>
  <c r="BI39" i="15" s="1"/>
  <c r="AF28" i="15"/>
  <c r="AF48" i="15" s="1"/>
  <c r="L18" i="12"/>
  <c r="L31" i="12" s="1"/>
  <c r="T18" i="12"/>
  <c r="T31" i="12" s="1"/>
  <c r="AH28" i="15"/>
  <c r="AH48" i="15" s="1"/>
  <c r="H18" i="12"/>
  <c r="H31" i="12" s="1"/>
  <c r="AS18" i="12"/>
  <c r="AU18" i="12"/>
  <c r="AU31" i="12" s="1"/>
  <c r="BF18" i="12"/>
  <c r="BF31" i="12" s="1"/>
  <c r="AN24" i="15"/>
  <c r="AN39" i="15" s="1"/>
  <c r="R18" i="12"/>
  <c r="R31" i="12" s="1"/>
  <c r="BP66" i="15"/>
  <c r="BP72" i="15"/>
  <c r="BP91" i="15" s="1"/>
  <c r="BP112" i="15" s="1"/>
  <c r="BP130" i="15" s="1"/>
  <c r="BP142" i="15" s="1"/>
  <c r="G36" i="15"/>
  <c r="G65" i="18" s="1"/>
  <c r="G72" i="15"/>
  <c r="G91" i="15" s="1"/>
  <c r="G112" i="15" s="1"/>
  <c r="G130" i="15" s="1"/>
  <c r="G142" i="15" s="1"/>
  <c r="G66" i="15"/>
  <c r="CB72" i="15"/>
  <c r="CB91" i="15" s="1"/>
  <c r="CB112" i="15" s="1"/>
  <c r="CB130" i="15" s="1"/>
  <c r="CB142" i="15" s="1"/>
  <c r="CB66" i="15"/>
  <c r="BU66" i="15"/>
  <c r="BU72" i="15"/>
  <c r="BU91" i="15" s="1"/>
  <c r="BU112" i="15" s="1"/>
  <c r="BU130" i="15" s="1"/>
  <c r="BU142" i="15" s="1"/>
  <c r="Z72" i="15"/>
  <c r="Z91" i="15" s="1"/>
  <c r="Z112" i="15" s="1"/>
  <c r="Z130" i="15" s="1"/>
  <c r="Z142" i="15" s="1"/>
  <c r="Z66" i="15"/>
  <c r="K18" i="12"/>
  <c r="K31" i="12" s="1"/>
  <c r="CV72" i="15"/>
  <c r="CV91" i="15" s="1"/>
  <c r="CV112" i="15" s="1"/>
  <c r="CV130" i="15" s="1"/>
  <c r="CV142" i="15" s="1"/>
  <c r="CV66" i="15"/>
  <c r="BI72" i="15"/>
  <c r="BI91" i="15" s="1"/>
  <c r="BI112" i="15" s="1"/>
  <c r="BI130" i="15" s="1"/>
  <c r="BI142" i="15" s="1"/>
  <c r="BI66" i="15"/>
  <c r="CJ66" i="15"/>
  <c r="CJ72" i="15"/>
  <c r="CJ91" i="15" s="1"/>
  <c r="CJ112" i="15" s="1"/>
  <c r="CJ130" i="15" s="1"/>
  <c r="CJ142" i="15" s="1"/>
  <c r="AQ72" i="15"/>
  <c r="AQ91" i="15" s="1"/>
  <c r="AQ112" i="15" s="1"/>
  <c r="AQ130" i="15" s="1"/>
  <c r="AQ142" i="15" s="1"/>
  <c r="AQ66" i="15"/>
  <c r="CN72" i="15"/>
  <c r="CN91" i="15" s="1"/>
  <c r="CN112" i="15" s="1"/>
  <c r="CN130" i="15" s="1"/>
  <c r="CN142" i="15" s="1"/>
  <c r="CN66" i="15"/>
  <c r="CG66" i="15"/>
  <c r="CG72" i="15"/>
  <c r="CG91" i="15" s="1"/>
  <c r="CG112" i="15" s="1"/>
  <c r="CG130" i="15" s="1"/>
  <c r="CG142" i="15" s="1"/>
  <c r="AX72" i="15"/>
  <c r="AX91" i="15" s="1"/>
  <c r="AX112" i="15" s="1"/>
  <c r="AX130" i="15" s="1"/>
  <c r="AX142" i="15" s="1"/>
  <c r="AX66" i="15"/>
  <c r="DH66" i="15"/>
  <c r="DH72" i="15"/>
  <c r="DH91" i="15" s="1"/>
  <c r="DH112" i="15" s="1"/>
  <c r="DH130" i="15" s="1"/>
  <c r="DH142" i="15" s="1"/>
  <c r="I71" i="15"/>
  <c r="I112" i="18" s="1"/>
  <c r="I65" i="15"/>
  <c r="I63" i="15"/>
  <c r="I88" i="15"/>
  <c r="N72" i="15"/>
  <c r="N91" i="15" s="1"/>
  <c r="N112" i="15" s="1"/>
  <c r="N130" i="15" s="1"/>
  <c r="N142" i="15" s="1"/>
  <c r="N66" i="15"/>
  <c r="DI66" i="15"/>
  <c r="DI72" i="15"/>
  <c r="DI91" i="15" s="1"/>
  <c r="DI112" i="15" s="1"/>
  <c r="DI130" i="15" s="1"/>
  <c r="DI142" i="15" s="1"/>
  <c r="CA72" i="15"/>
  <c r="CA91" i="15" s="1"/>
  <c r="CA112" i="15" s="1"/>
  <c r="CA130" i="15" s="1"/>
  <c r="CA142" i="15" s="1"/>
  <c r="CA66" i="15"/>
  <c r="CZ72" i="15"/>
  <c r="CZ91" i="15" s="1"/>
  <c r="CZ112" i="15" s="1"/>
  <c r="CZ130" i="15" s="1"/>
  <c r="CZ142" i="15" s="1"/>
  <c r="CZ66" i="15"/>
  <c r="V72" i="15"/>
  <c r="V91" i="15" s="1"/>
  <c r="V112" i="15" s="1"/>
  <c r="V130" i="15" s="1"/>
  <c r="V142" i="15" s="1"/>
  <c r="V66" i="15"/>
  <c r="CS72" i="15"/>
  <c r="CS91" i="15" s="1"/>
  <c r="CS112" i="15" s="1"/>
  <c r="CS130" i="15" s="1"/>
  <c r="CS142" i="15" s="1"/>
  <c r="CS66" i="15"/>
  <c r="BV72" i="15"/>
  <c r="BV91" i="15" s="1"/>
  <c r="BV112" i="15" s="1"/>
  <c r="BV130" i="15" s="1"/>
  <c r="BV142" i="15" s="1"/>
  <c r="BV66" i="15"/>
  <c r="E36" i="15"/>
  <c r="E65" i="18" s="1"/>
  <c r="E73" i="18" s="1"/>
  <c r="E72" i="15"/>
  <c r="E91" i="15" s="1"/>
  <c r="E112" i="15" s="1"/>
  <c r="E130" i="15" s="1"/>
  <c r="E142" i="15" s="1"/>
  <c r="E66" i="15"/>
  <c r="D65" i="15"/>
  <c r="D71" i="15"/>
  <c r="D112" i="18" s="1"/>
  <c r="D88" i="15"/>
  <c r="D63" i="15"/>
  <c r="CM72" i="15"/>
  <c r="CM91" i="15" s="1"/>
  <c r="CM112" i="15" s="1"/>
  <c r="CM130" i="15" s="1"/>
  <c r="CM142" i="15" s="1"/>
  <c r="CM66" i="15"/>
  <c r="DL72" i="15"/>
  <c r="DL91" i="15" s="1"/>
  <c r="DL112" i="15" s="1"/>
  <c r="DL130" i="15" s="1"/>
  <c r="DL142" i="15" s="1"/>
  <c r="DL66" i="15"/>
  <c r="CD72" i="15"/>
  <c r="CD91" i="15" s="1"/>
  <c r="CD112" i="15" s="1"/>
  <c r="CD130" i="15" s="1"/>
  <c r="CD142" i="15" s="1"/>
  <c r="CD66" i="15"/>
  <c r="AI72" i="15"/>
  <c r="AI91" i="15" s="1"/>
  <c r="AI112" i="15" s="1"/>
  <c r="AI130" i="15" s="1"/>
  <c r="AI142" i="15" s="1"/>
  <c r="AI66" i="15"/>
  <c r="DE66" i="15"/>
  <c r="DE72" i="15"/>
  <c r="DE91" i="15" s="1"/>
  <c r="DE112" i="15" s="1"/>
  <c r="DE130" i="15" s="1"/>
  <c r="DE142" i="15" s="1"/>
  <c r="CH72" i="15"/>
  <c r="CH91" i="15" s="1"/>
  <c r="CH112" i="15" s="1"/>
  <c r="CH130" i="15" s="1"/>
  <c r="CH142" i="15" s="1"/>
  <c r="CH66" i="15"/>
  <c r="Q72" i="15"/>
  <c r="Q91" i="15" s="1"/>
  <c r="Q112" i="15" s="1"/>
  <c r="Q130" i="15" s="1"/>
  <c r="Q142" i="15" s="1"/>
  <c r="Q66" i="15"/>
  <c r="CY72" i="15"/>
  <c r="CY91" i="15" s="1"/>
  <c r="CY112" i="15" s="1"/>
  <c r="CY130" i="15" s="1"/>
  <c r="CY142" i="15" s="1"/>
  <c r="CY66" i="15"/>
  <c r="CP72" i="15"/>
  <c r="CP91" i="15" s="1"/>
  <c r="CP112" i="15" s="1"/>
  <c r="CP130" i="15" s="1"/>
  <c r="CP142" i="15" s="1"/>
  <c r="CP66" i="15"/>
  <c r="BS72" i="15"/>
  <c r="BS91" i="15" s="1"/>
  <c r="BS112" i="15" s="1"/>
  <c r="BS130" i="15" s="1"/>
  <c r="BS142" i="15" s="1"/>
  <c r="BS66" i="15"/>
  <c r="DQ66" i="15"/>
  <c r="DQ72" i="15"/>
  <c r="DQ91" i="15" s="1"/>
  <c r="DQ112" i="15" s="1"/>
  <c r="DQ130" i="15" s="1"/>
  <c r="DQ142" i="15" s="1"/>
  <c r="CT72" i="15"/>
  <c r="CT91" i="15" s="1"/>
  <c r="CT112" i="15" s="1"/>
  <c r="CT130" i="15" s="1"/>
  <c r="CT142" i="15" s="1"/>
  <c r="CT66" i="15"/>
  <c r="AC72" i="15"/>
  <c r="AC91" i="15" s="1"/>
  <c r="AC112" i="15" s="1"/>
  <c r="AC130" i="15" s="1"/>
  <c r="AC142" i="15" s="1"/>
  <c r="AC66" i="15"/>
  <c r="F36" i="15"/>
  <c r="F65" i="18" s="1"/>
  <c r="F72" i="15"/>
  <c r="F91" i="15" s="1"/>
  <c r="F112" i="15" s="1"/>
  <c r="F130" i="15" s="1"/>
  <c r="F142" i="15" s="1"/>
  <c r="F66" i="15"/>
  <c r="J71" i="15"/>
  <c r="J112" i="18" s="1"/>
  <c r="J65" i="15"/>
  <c r="J63" i="15"/>
  <c r="J88" i="15"/>
  <c r="DK72" i="15"/>
  <c r="DK91" i="15" s="1"/>
  <c r="DK112" i="15" s="1"/>
  <c r="DK130" i="15" s="1"/>
  <c r="DK142" i="15" s="1"/>
  <c r="DK66" i="15"/>
  <c r="DN72" i="15"/>
  <c r="DN91" i="15" s="1"/>
  <c r="DN112" i="15" s="1"/>
  <c r="DN130" i="15" s="1"/>
  <c r="DN142" i="15" s="1"/>
  <c r="DN66" i="15"/>
  <c r="CE72" i="15"/>
  <c r="CE91" i="15" s="1"/>
  <c r="CE112" i="15" s="1"/>
  <c r="CE130" i="15" s="1"/>
  <c r="CE142" i="15" s="1"/>
  <c r="CE66" i="15"/>
  <c r="DF72" i="15"/>
  <c r="DF91" i="15" s="1"/>
  <c r="DF112" i="15" s="1"/>
  <c r="DF130" i="15" s="1"/>
  <c r="DF142" i="15" s="1"/>
  <c r="DF66" i="15"/>
  <c r="P72" i="15"/>
  <c r="P91" i="15" s="1"/>
  <c r="P112" i="15" s="1"/>
  <c r="P130" i="15" s="1"/>
  <c r="P142" i="15" s="1"/>
  <c r="P66" i="15"/>
  <c r="AO66" i="15"/>
  <c r="AO72" i="15"/>
  <c r="AO91" i="15" s="1"/>
  <c r="AO112" i="15" s="1"/>
  <c r="AO130" i="15" s="1"/>
  <c r="AO142" i="15" s="1"/>
  <c r="AD72" i="15"/>
  <c r="AD91" i="15" s="1"/>
  <c r="AD112" i="15" s="1"/>
  <c r="AD130" i="15" s="1"/>
  <c r="AD142" i="15" s="1"/>
  <c r="AD66" i="15"/>
  <c r="K65" i="15"/>
  <c r="K71" i="15"/>
  <c r="K112" i="18" s="1"/>
  <c r="K88" i="15"/>
  <c r="K63" i="15"/>
  <c r="H36" i="15"/>
  <c r="H65" i="18" s="1"/>
  <c r="H72" i="15"/>
  <c r="H91" i="15" s="1"/>
  <c r="H112" i="15" s="1"/>
  <c r="H130" i="15" s="1"/>
  <c r="H142" i="15" s="1"/>
  <c r="H66" i="15"/>
  <c r="DC72" i="15"/>
  <c r="DC91" i="15" s="1"/>
  <c r="DC112" i="15" s="1"/>
  <c r="DC130" i="15" s="1"/>
  <c r="DC142" i="15" s="1"/>
  <c r="DC66" i="15"/>
  <c r="DR72" i="15"/>
  <c r="DR91" i="15" s="1"/>
  <c r="DR112" i="15" s="1"/>
  <c r="DR130" i="15" s="1"/>
  <c r="DR142" i="15" s="1"/>
  <c r="DR66" i="15"/>
  <c r="O72" i="15"/>
  <c r="O91" i="15" s="1"/>
  <c r="O112" i="15" s="1"/>
  <c r="O130" i="15" s="1"/>
  <c r="O142" i="15" s="1"/>
  <c r="O66" i="15"/>
  <c r="AB72" i="15"/>
  <c r="AB91" i="15" s="1"/>
  <c r="AB112" i="15" s="1"/>
  <c r="AB130" i="15" s="1"/>
  <c r="AB142" i="15" s="1"/>
  <c r="AB66" i="15"/>
  <c r="BA66" i="15"/>
  <c r="BA72" i="15"/>
  <c r="BA91" i="15" s="1"/>
  <c r="BA112" i="15" s="1"/>
  <c r="BA130" i="15" s="1"/>
  <c r="BA142" i="15" s="1"/>
  <c r="T72" i="15"/>
  <c r="T91" i="15" s="1"/>
  <c r="T112" i="15" s="1"/>
  <c r="T130" i="15" s="1"/>
  <c r="T142" i="15" s="1"/>
  <c r="T66" i="15"/>
  <c r="AM66" i="15"/>
  <c r="AM72" i="15"/>
  <c r="AM91" i="15" s="1"/>
  <c r="AM112" i="15" s="1"/>
  <c r="AM130" i="15" s="1"/>
  <c r="AM142" i="15" s="1"/>
  <c r="AN66" i="15"/>
  <c r="AN72" i="15"/>
  <c r="AN91" i="15" s="1"/>
  <c r="AN112" i="15" s="1"/>
  <c r="AN130" i="15" s="1"/>
  <c r="AN142" i="15" s="1"/>
  <c r="BM66" i="15"/>
  <c r="BM72" i="15"/>
  <c r="BM91" i="15" s="1"/>
  <c r="BM112" i="15" s="1"/>
  <c r="BM130" i="15" s="1"/>
  <c r="BM142" i="15" s="1"/>
  <c r="BZ72" i="15"/>
  <c r="BZ91" i="15" s="1"/>
  <c r="BZ112" i="15" s="1"/>
  <c r="BZ130" i="15" s="1"/>
  <c r="BZ142" i="15" s="1"/>
  <c r="BZ66" i="15"/>
  <c r="AF72" i="15"/>
  <c r="AF91" i="15" s="1"/>
  <c r="AF112" i="15" s="1"/>
  <c r="AF130" i="15" s="1"/>
  <c r="AF142" i="15" s="1"/>
  <c r="AF66" i="15"/>
  <c r="BE24" i="15"/>
  <c r="BE39" i="15" s="1"/>
  <c r="AZ66" i="15"/>
  <c r="AZ72" i="15"/>
  <c r="AZ91" i="15" s="1"/>
  <c r="AZ112" i="15" s="1"/>
  <c r="AZ130" i="15" s="1"/>
  <c r="AZ142" i="15" s="1"/>
  <c r="BY72" i="15"/>
  <c r="BY91" i="15" s="1"/>
  <c r="BY112" i="15" s="1"/>
  <c r="BY130" i="15" s="1"/>
  <c r="BY142" i="15" s="1"/>
  <c r="BY66" i="15"/>
  <c r="AR72" i="15"/>
  <c r="AR91" i="15" s="1"/>
  <c r="AR112" i="15" s="1"/>
  <c r="AR130" i="15" s="1"/>
  <c r="AR142" i="15" s="1"/>
  <c r="AR66" i="15"/>
  <c r="M72" i="15"/>
  <c r="M91" i="15" s="1"/>
  <c r="M112" i="15" s="1"/>
  <c r="M130" i="15" s="1"/>
  <c r="M142" i="15" s="1"/>
  <c r="M66" i="15"/>
  <c r="BL66" i="15"/>
  <c r="BL72" i="15"/>
  <c r="BL91" i="15" s="1"/>
  <c r="BL112" i="15" s="1"/>
  <c r="BL130" i="15" s="1"/>
  <c r="BL142" i="15" s="1"/>
  <c r="CK66" i="15"/>
  <c r="CK72" i="15"/>
  <c r="CK91" i="15" s="1"/>
  <c r="CK112" i="15" s="1"/>
  <c r="CK130" i="15" s="1"/>
  <c r="CK142" i="15" s="1"/>
  <c r="AP18" i="12"/>
  <c r="BD66" i="15"/>
  <c r="BD72" i="15"/>
  <c r="BD91" i="15" s="1"/>
  <c r="BD112" i="15" s="1"/>
  <c r="BD130" i="15" s="1"/>
  <c r="BD142" i="15" s="1"/>
  <c r="AW66" i="15"/>
  <c r="AW72" i="15"/>
  <c r="AW91" i="15" s="1"/>
  <c r="AW112" i="15" s="1"/>
  <c r="AW130" i="15" s="1"/>
  <c r="AW142" i="15" s="1"/>
  <c r="BX72" i="15"/>
  <c r="BX91" i="15" s="1"/>
  <c r="BX112" i="15" s="1"/>
  <c r="BX130" i="15" s="1"/>
  <c r="BX142" i="15" s="1"/>
  <c r="BX66" i="15"/>
  <c r="CW72" i="15"/>
  <c r="CW91" i="15" s="1"/>
  <c r="CW112" i="15" s="1"/>
  <c r="CW130" i="15" s="1"/>
  <c r="CW142" i="15" s="1"/>
  <c r="CW66" i="15"/>
  <c r="J42" i="15"/>
  <c r="F21" i="15"/>
  <c r="AC18" i="12"/>
  <c r="AC31" i="12" s="1"/>
  <c r="BL18" i="12"/>
  <c r="BL31" i="12" s="1"/>
  <c r="AE28" i="15"/>
  <c r="AE48" i="15" s="1"/>
  <c r="I18" i="12"/>
  <c r="I31" i="12" s="1"/>
  <c r="G21" i="15"/>
  <c r="CK24" i="15"/>
  <c r="CK39" i="15" s="1"/>
  <c r="AG28" i="15"/>
  <c r="AG48" i="15" s="1"/>
  <c r="BC18" i="12"/>
  <c r="BC31" i="12" s="1"/>
  <c r="AQ24" i="15"/>
  <c r="AQ39" i="15" s="1"/>
  <c r="AM7" i="12"/>
  <c r="BT10" i="15"/>
  <c r="AB7" i="12"/>
  <c r="AB21" i="12" s="1"/>
  <c r="BI10" i="15"/>
  <c r="AC28" i="15"/>
  <c r="AC48" i="15" s="1"/>
  <c r="K7" i="12"/>
  <c r="K21" i="12" s="1"/>
  <c r="AR10" i="15"/>
  <c r="AN7" i="12"/>
  <c r="AN21" i="12" s="1"/>
  <c r="BU10" i="15"/>
  <c r="AI28" i="15"/>
  <c r="AI48" i="15" s="1"/>
  <c r="F18" i="12"/>
  <c r="F31" i="12" s="1"/>
  <c r="BD24" i="15"/>
  <c r="BD39" i="15" s="1"/>
  <c r="CF24" i="15"/>
  <c r="AY7" i="12"/>
  <c r="CF10" i="15"/>
  <c r="C7" i="12"/>
  <c r="C21" i="12" s="1"/>
  <c r="AJ10" i="15"/>
  <c r="H7" i="12"/>
  <c r="H21" i="12" s="1"/>
  <c r="AO10" i="15"/>
  <c r="W7" i="12"/>
  <c r="W21" i="12" s="1"/>
  <c r="BD10" i="15"/>
  <c r="AZ7" i="12"/>
  <c r="AZ21" i="12" s="1"/>
  <c r="CG10" i="15"/>
  <c r="I7" i="12"/>
  <c r="I21" i="12" s="1"/>
  <c r="AP10" i="15"/>
  <c r="N7" i="12"/>
  <c r="N21" i="12" s="1"/>
  <c r="AU10" i="15"/>
  <c r="AL7" i="12"/>
  <c r="AL21" i="12" s="1"/>
  <c r="BS10" i="15"/>
  <c r="AJ7" i="12"/>
  <c r="BQ10" i="15"/>
  <c r="AP24" i="15"/>
  <c r="AP39" i="15" s="1"/>
  <c r="BP24" i="15"/>
  <c r="BP39" i="15" s="1"/>
  <c r="CR24" i="15"/>
  <c r="AI7" i="12"/>
  <c r="AI21" i="12" s="1"/>
  <c r="BP10" i="15"/>
  <c r="L7" i="12"/>
  <c r="L21" i="12" s="1"/>
  <c r="AS10" i="15"/>
  <c r="BL7" i="12"/>
  <c r="BL21" i="12" s="1"/>
  <c r="CS10" i="15"/>
  <c r="G7" i="12"/>
  <c r="G21" i="12" s="1"/>
  <c r="AN10" i="15"/>
  <c r="BK7" i="12"/>
  <c r="CR10" i="15"/>
  <c r="BC7" i="12"/>
  <c r="BC21" i="12" s="1"/>
  <c r="CJ10" i="15"/>
  <c r="AF7" i="12"/>
  <c r="AF21" i="12" s="1"/>
  <c r="BM10" i="15"/>
  <c r="AU7" i="12"/>
  <c r="AU21" i="12" s="1"/>
  <c r="CB10" i="15"/>
  <c r="AG7" i="12"/>
  <c r="BN10" i="15"/>
  <c r="J7" i="12"/>
  <c r="J21" i="12" s="1"/>
  <c r="AQ10" i="15"/>
  <c r="AX7" i="12"/>
  <c r="AX21" i="12" s="1"/>
  <c r="CE10" i="15"/>
  <c r="E7" i="12"/>
  <c r="E21" i="12" s="1"/>
  <c r="AL10" i="15"/>
  <c r="R7" i="12"/>
  <c r="R21" i="12" s="1"/>
  <c r="AY10" i="15"/>
  <c r="CS24" i="15"/>
  <c r="CS39" i="15" s="1"/>
  <c r="BC24" i="15"/>
  <c r="BC39" i="15" s="1"/>
  <c r="AJ24" i="15"/>
  <c r="AJ39" i="15" s="1"/>
  <c r="U7" i="12"/>
  <c r="U21" i="12" s="1"/>
  <c r="BB10" i="15"/>
  <c r="AR7" i="12"/>
  <c r="AR21" i="12" s="1"/>
  <c r="BY10" i="15"/>
  <c r="BG7" i="12"/>
  <c r="BG21" i="12" s="1"/>
  <c r="CN10" i="15"/>
  <c r="BH24" i="15"/>
  <c r="BH39" i="15" s="1"/>
  <c r="BB24" i="15"/>
  <c r="BB39" i="15" s="1"/>
  <c r="CB24" i="15"/>
  <c r="CB39" i="15" s="1"/>
  <c r="V7" i="12"/>
  <c r="V21" i="12" s="1"/>
  <c r="BC10" i="15"/>
  <c r="Q7" i="12"/>
  <c r="Q21" i="12" s="1"/>
  <c r="AX10" i="15"/>
  <c r="AP7" i="12"/>
  <c r="BW10" i="15"/>
  <c r="BD7" i="12"/>
  <c r="BD21" i="12" s="1"/>
  <c r="CK10" i="15"/>
  <c r="AE7" i="12"/>
  <c r="AE21" i="12" s="1"/>
  <c r="BL10" i="15"/>
  <c r="BE7" i="12"/>
  <c r="CL10" i="15"/>
  <c r="AH7" i="12"/>
  <c r="AH21" i="12" s="1"/>
  <c r="BO10" i="15"/>
  <c r="M7" i="12"/>
  <c r="M21" i="12" s="1"/>
  <c r="AT10" i="15"/>
  <c r="AC7" i="12"/>
  <c r="AC21" i="12" s="1"/>
  <c r="BJ10" i="15"/>
  <c r="BB7" i="12"/>
  <c r="CI10" i="15"/>
  <c r="BO24" i="15"/>
  <c r="BO39" i="15" s="1"/>
  <c r="E21" i="15"/>
  <c r="T7" i="12"/>
  <c r="T21" i="12" s="1"/>
  <c r="BA10" i="15"/>
  <c r="AS7" i="12"/>
  <c r="BZ10" i="15"/>
  <c r="AQ7" i="12"/>
  <c r="AQ21" i="12" s="1"/>
  <c r="BX10" i="15"/>
  <c r="F7" i="12"/>
  <c r="F21" i="12" s="1"/>
  <c r="AM10" i="15"/>
  <c r="AT7" i="12"/>
  <c r="AT21" i="12" s="1"/>
  <c r="CA10" i="15"/>
  <c r="AK7" i="12"/>
  <c r="AK21" i="12" s="1"/>
  <c r="BR10" i="15"/>
  <c r="AO7" i="12"/>
  <c r="AO21" i="12" s="1"/>
  <c r="BV10" i="15"/>
  <c r="X7" i="12"/>
  <c r="X21" i="12" s="1"/>
  <c r="BE10" i="15"/>
  <c r="C21" i="15"/>
  <c r="C37" i="15"/>
  <c r="CV545" i="2"/>
  <c r="BV135" i="13"/>
  <c r="BN24" i="15"/>
  <c r="BT24" i="15"/>
  <c r="CN24" i="15"/>
  <c r="CN39" i="15" s="1"/>
  <c r="O7" i="12"/>
  <c r="O21" i="12" s="1"/>
  <c r="AV10" i="15"/>
  <c r="AV7" i="12"/>
  <c r="CC10" i="15"/>
  <c r="Z7" i="12"/>
  <c r="Z21" i="12" s="1"/>
  <c r="BG10" i="15"/>
  <c r="BF7" i="12"/>
  <c r="BF21" i="12" s="1"/>
  <c r="CM10" i="15"/>
  <c r="AW7" i="12"/>
  <c r="AW21" i="12" s="1"/>
  <c r="CD10" i="15"/>
  <c r="BA7" i="12"/>
  <c r="BA21" i="12" s="1"/>
  <c r="CH10" i="15"/>
  <c r="BH7" i="12"/>
  <c r="CO10" i="15"/>
  <c r="Y7" i="12"/>
  <c r="Y21" i="12" s="1"/>
  <c r="BF10" i="15"/>
  <c r="CA24" i="15"/>
  <c r="CA39" i="15" s="1"/>
  <c r="S7" i="12"/>
  <c r="S21" i="12" s="1"/>
  <c r="AZ10" i="15"/>
  <c r="AD7" i="12"/>
  <c r="BK10" i="15"/>
  <c r="BI7" i="12"/>
  <c r="BI21" i="12" s="1"/>
  <c r="CP10" i="15"/>
  <c r="BM7" i="12"/>
  <c r="BM21" i="12" s="1"/>
  <c r="CT10" i="15"/>
  <c r="CJ24" i="15"/>
  <c r="CJ39" i="15" s="1"/>
  <c r="H21" i="15"/>
  <c r="BZ24" i="15"/>
  <c r="BZ39" i="15" s="1"/>
  <c r="AA7" i="12"/>
  <c r="AA21" i="12" s="1"/>
  <c r="BH10" i="15"/>
  <c r="BJ7" i="12"/>
  <c r="BJ21" i="12" s="1"/>
  <c r="CQ10" i="15"/>
  <c r="D7" i="12"/>
  <c r="D21" i="12" s="1"/>
  <c r="AK10" i="15"/>
  <c r="CM24" i="15"/>
  <c r="CM39" i="15" s="1"/>
  <c r="CC24" i="15"/>
  <c r="P7" i="12"/>
  <c r="P21" i="12" s="1"/>
  <c r="AW10" i="15"/>
  <c r="AV24" i="15"/>
  <c r="AV39" i="15" s="1"/>
  <c r="CL24" i="15"/>
  <c r="AR24" i="15"/>
  <c r="AR39" i="15" s="1"/>
  <c r="BW72" i="13"/>
  <c r="BW88" i="13" s="1"/>
  <c r="CV475" i="2"/>
  <c r="BE54" i="13"/>
  <c r="CV106" i="2"/>
  <c r="BE48" i="13"/>
  <c r="AL48" i="13"/>
  <c r="AL54" i="13"/>
  <c r="C54" i="13"/>
  <c r="O48" i="13"/>
  <c r="AP80" i="13"/>
  <c r="AL85" i="13"/>
  <c r="AI85" i="13"/>
  <c r="O54" i="13"/>
  <c r="AE62" i="13"/>
  <c r="Z62" i="13"/>
  <c r="X62" i="13"/>
  <c r="AX85" i="13"/>
  <c r="BH85" i="13"/>
  <c r="AX54" i="13"/>
  <c r="AX48" i="13"/>
  <c r="AY54" i="13"/>
  <c r="AS80" i="13"/>
  <c r="AQ80" i="13"/>
  <c r="C80" i="13"/>
  <c r="BS85" i="13"/>
  <c r="BJ48" i="13"/>
  <c r="P80" i="13"/>
  <c r="G85" i="13"/>
  <c r="H80" i="13"/>
  <c r="AU85" i="13"/>
  <c r="AR80" i="13"/>
  <c r="BQ80" i="13"/>
  <c r="AC80" i="13"/>
  <c r="AQ85" i="13"/>
  <c r="BD80" i="13"/>
  <c r="BK85" i="13"/>
  <c r="BE85" i="13"/>
  <c r="AZ80" i="13"/>
  <c r="S80" i="13"/>
  <c r="CW360" i="2"/>
  <c r="BJ54" i="13"/>
  <c r="BD85" i="13"/>
  <c r="M62" i="13"/>
  <c r="BA80" i="13"/>
  <c r="Q85" i="13"/>
  <c r="U80" i="13"/>
  <c r="I85" i="13"/>
  <c r="F80" i="13"/>
  <c r="BT62" i="13"/>
  <c r="U85" i="13"/>
  <c r="AD80" i="13"/>
  <c r="W85" i="13"/>
  <c r="BN80" i="13"/>
  <c r="AZ85" i="13"/>
  <c r="AG85" i="13"/>
  <c r="BA48" i="13"/>
  <c r="Y18" i="12"/>
  <c r="BT54" i="13"/>
  <c r="AK18" i="12"/>
  <c r="AB48" i="13"/>
  <c r="BJ85" i="13"/>
  <c r="BM54" i="13"/>
  <c r="AK54" i="13"/>
  <c r="AZ48" i="13"/>
  <c r="N62" i="13"/>
  <c r="P18" i="12"/>
  <c r="BI18" i="12"/>
  <c r="BL48" i="13"/>
  <c r="AW48" i="13"/>
  <c r="BL54" i="13"/>
  <c r="AR48" i="13"/>
  <c r="AI48" i="13"/>
  <c r="L48" i="13"/>
  <c r="D85" i="13"/>
  <c r="AG48" i="13"/>
  <c r="J85" i="13"/>
  <c r="J80" i="13"/>
  <c r="BH80" i="13"/>
  <c r="X85" i="13"/>
  <c r="AE80" i="13"/>
  <c r="BO85" i="13"/>
  <c r="J48" i="13"/>
  <c r="AA48" i="13"/>
  <c r="BN48" i="13"/>
  <c r="V48" i="13"/>
  <c r="AM48" i="13"/>
  <c r="U48" i="13"/>
  <c r="AH48" i="13"/>
  <c r="AY48" i="13"/>
  <c r="AW54" i="13"/>
  <c r="BI54" i="13"/>
  <c r="BQ48" i="13"/>
  <c r="BF48" i="13"/>
  <c r="S48" i="13"/>
  <c r="T48" i="13"/>
  <c r="AW85" i="13"/>
  <c r="BI48" i="13"/>
  <c r="W54" i="13"/>
  <c r="BC85" i="13"/>
  <c r="CK667" i="2"/>
  <c r="CK671" i="2" s="1"/>
  <c r="S23" i="16"/>
  <c r="AK48" i="13"/>
  <c r="AG54" i="13"/>
  <c r="BC48" i="13"/>
  <c r="BD48" i="13"/>
  <c r="AU48" i="13"/>
  <c r="X48" i="13"/>
  <c r="BM48" i="13"/>
  <c r="P85" i="13"/>
  <c r="Y80" i="13"/>
  <c r="V80" i="13"/>
  <c r="O62" i="13"/>
  <c r="T80" i="13"/>
  <c r="AW18" i="12"/>
  <c r="G80" i="13"/>
  <c r="K48" i="13"/>
  <c r="AN48" i="13"/>
  <c r="N48" i="13"/>
  <c r="BM18" i="12"/>
  <c r="AE48" i="13"/>
  <c r="Z48" i="13"/>
  <c r="R48" i="13"/>
  <c r="BO48" i="13"/>
  <c r="BP48" i="13"/>
  <c r="BG54" i="13"/>
  <c r="AJ48" i="13"/>
  <c r="AH80" i="13"/>
  <c r="Q48" i="13"/>
  <c r="R80" i="13"/>
  <c r="AF80" i="13"/>
  <c r="AN18" i="12"/>
  <c r="BA18" i="12"/>
  <c r="AT48" i="13"/>
  <c r="L80" i="13"/>
  <c r="BK48" i="13"/>
  <c r="D18" i="12"/>
  <c r="Q18" i="12"/>
  <c r="BR48" i="13"/>
  <c r="AF48" i="13"/>
  <c r="AD48" i="13"/>
  <c r="BS54" i="13"/>
  <c r="AV48" i="13"/>
  <c r="BC62" i="13"/>
  <c r="AN85" i="13"/>
  <c r="AT80" i="13"/>
  <c r="AA62" i="13"/>
  <c r="AO85" i="13"/>
  <c r="AC48" i="13"/>
  <c r="BB80" i="13"/>
  <c r="M54" i="13"/>
  <c r="M18" i="12"/>
  <c r="AJ18" i="12"/>
  <c r="E18" i="12"/>
  <c r="T85" i="13"/>
  <c r="BP80" i="13"/>
  <c r="P23" i="16"/>
  <c r="AS48" i="13"/>
  <c r="P48" i="13"/>
  <c r="N54" i="13"/>
  <c r="BH48" i="13"/>
  <c r="BO62" i="13"/>
  <c r="BF85" i="13"/>
  <c r="AX80" i="13"/>
  <c r="BC80" i="13"/>
  <c r="AO48" i="13"/>
  <c r="Y54" i="13"/>
  <c r="AZ18" i="12"/>
  <c r="N19" i="16"/>
  <c r="BH62" i="13"/>
  <c r="AQ62" i="13"/>
  <c r="AV80" i="13"/>
  <c r="AK85" i="13"/>
  <c r="AC85" i="13"/>
  <c r="AG80" i="13"/>
  <c r="BI85" i="13"/>
  <c r="O80" i="13"/>
  <c r="BM80" i="13"/>
  <c r="BL85" i="13"/>
  <c r="I80" i="13"/>
  <c r="AH85" i="13"/>
  <c r="AF85" i="13"/>
  <c r="AD85" i="13"/>
  <c r="BM85" i="13"/>
  <c r="AJ85" i="13"/>
  <c r="J54" i="13"/>
  <c r="C85" i="13"/>
  <c r="BA85" i="13"/>
  <c r="R85" i="13"/>
  <c r="AT85" i="13"/>
  <c r="E80" i="13"/>
  <c r="AS85" i="13"/>
  <c r="AV85" i="13"/>
  <c r="AJ62" i="13"/>
  <c r="D54" i="13"/>
  <c r="BK62" i="13"/>
  <c r="BJ62" i="13"/>
  <c r="BA54" i="13"/>
  <c r="O85" i="13"/>
  <c r="AS62" i="13"/>
  <c r="BF80" i="13"/>
  <c r="BO80" i="13"/>
  <c r="M85" i="13"/>
  <c r="AV62" i="13"/>
  <c r="W80" i="13"/>
  <c r="G23" i="16"/>
  <c r="AX62" i="13"/>
  <c r="I54" i="13"/>
  <c r="N85" i="13"/>
  <c r="AA85" i="13"/>
  <c r="BE80" i="13"/>
  <c r="BR80" i="13"/>
  <c r="K85" i="13"/>
  <c r="BL80" i="13"/>
  <c r="AB85" i="13"/>
  <c r="S85" i="13"/>
  <c r="BQ85" i="13"/>
  <c r="BT85" i="13"/>
  <c r="AN80" i="13"/>
  <c r="AL62" i="13"/>
  <c r="AJ54" i="13"/>
  <c r="AH54" i="13"/>
  <c r="Z85" i="13"/>
  <c r="L85" i="13"/>
  <c r="BG85" i="13"/>
  <c r="AE85" i="13"/>
  <c r="Y85" i="13"/>
  <c r="BQ54" i="13"/>
  <c r="BN85" i="13"/>
  <c r="AY62" i="13"/>
  <c r="X54" i="13"/>
  <c r="K54" i="13"/>
  <c r="BG48" i="13"/>
  <c r="L62" i="13"/>
  <c r="BI62" i="13"/>
  <c r="AU54" i="13"/>
  <c r="AC54" i="13"/>
  <c r="AM85" i="13"/>
  <c r="AP85" i="13"/>
  <c r="V85" i="13"/>
  <c r="Z80" i="13"/>
  <c r="BG80" i="13"/>
  <c r="Q54" i="13"/>
  <c r="AJ80" i="13"/>
  <c r="AY85" i="13"/>
  <c r="BR85" i="13"/>
  <c r="D80" i="13"/>
  <c r="AW80" i="13"/>
  <c r="Q80" i="13"/>
  <c r="BS80" i="13"/>
  <c r="X80" i="13"/>
  <c r="N80" i="13"/>
  <c r="S62" i="13"/>
  <c r="AP62" i="13"/>
  <c r="BB85" i="13"/>
  <c r="AZ62" i="13"/>
  <c r="E54" i="13"/>
  <c r="AM62" i="13"/>
  <c r="AI80" i="13"/>
  <c r="AK80" i="13"/>
  <c r="AA80" i="13"/>
  <c r="BB62" i="13"/>
  <c r="H85" i="13"/>
  <c r="BJ80" i="13"/>
  <c r="F54" i="13"/>
  <c r="BN62" i="13"/>
  <c r="C62" i="13"/>
  <c r="E85" i="13"/>
  <c r="AR85" i="13"/>
  <c r="Y62" i="13"/>
  <c r="AO80" i="13"/>
  <c r="AC62" i="13"/>
  <c r="T54" i="13"/>
  <c r="R62" i="13"/>
  <c r="H62" i="13"/>
  <c r="BF62" i="13"/>
  <c r="AF54" i="13"/>
  <c r="G62" i="13"/>
  <c r="AD62" i="13"/>
  <c r="F85" i="13"/>
  <c r="T62" i="13"/>
  <c r="BR62" i="13"/>
  <c r="M80" i="13"/>
  <c r="AK62" i="13"/>
  <c r="AU80" i="13"/>
  <c r="AB80" i="13"/>
  <c r="AR54" i="13"/>
  <c r="AF62" i="13"/>
  <c r="AL80" i="13"/>
  <c r="AW62" i="13"/>
  <c r="BT80" i="13"/>
  <c r="AR62" i="13"/>
  <c r="I62" i="13"/>
  <c r="D62" i="13"/>
  <c r="BD62" i="13"/>
  <c r="U62" i="13"/>
  <c r="P62" i="13"/>
  <c r="E62" i="13"/>
  <c r="BP62" i="13"/>
  <c r="AG62" i="13"/>
  <c r="AB62" i="13"/>
  <c r="Q62" i="13"/>
  <c r="O19" i="16"/>
  <c r="BE62" i="13"/>
  <c r="W62" i="13"/>
  <c r="AM80" i="13"/>
  <c r="AO62" i="13"/>
  <c r="AN62" i="13"/>
  <c r="K62" i="13"/>
  <c r="AI54" i="13"/>
  <c r="AE54" i="13"/>
  <c r="BF54" i="13"/>
  <c r="BQ62" i="13"/>
  <c r="J62" i="13"/>
  <c r="BL62" i="13"/>
  <c r="BI80" i="13"/>
  <c r="AI62" i="13"/>
  <c r="BA62" i="13"/>
  <c r="V62" i="13"/>
  <c r="AU62" i="13"/>
  <c r="AY80" i="13"/>
  <c r="BM62" i="13"/>
  <c r="AH62" i="13"/>
  <c r="BP85" i="13"/>
  <c r="BG62" i="13"/>
  <c r="H54" i="13"/>
  <c r="F62" i="13"/>
  <c r="AT62" i="13"/>
  <c r="BS62" i="13"/>
  <c r="BK80" i="13"/>
  <c r="K80" i="13"/>
  <c r="S54" i="13"/>
  <c r="BR54" i="13"/>
  <c r="W48" i="13"/>
  <c r="U54" i="13"/>
  <c r="AV54" i="13"/>
  <c r="V54" i="13"/>
  <c r="BS48" i="13"/>
  <c r="L54" i="13"/>
  <c r="AB54" i="13"/>
  <c r="AP48" i="13"/>
  <c r="AP54" i="13"/>
  <c r="BB48" i="13"/>
  <c r="BB54" i="13"/>
  <c r="R54" i="13"/>
  <c r="BN54" i="13"/>
  <c r="AD54" i="13"/>
  <c r="BD54" i="13"/>
  <c r="AT54" i="13"/>
  <c r="AZ54" i="13"/>
  <c r="AQ48" i="13"/>
  <c r="AQ54" i="13"/>
  <c r="G54" i="13"/>
  <c r="BO54" i="13"/>
  <c r="BT48" i="13"/>
  <c r="BP54" i="13"/>
  <c r="BH54" i="13"/>
  <c r="F23" i="16"/>
  <c r="R23" i="16"/>
  <c r="T23" i="16"/>
  <c r="C23" i="16"/>
  <c r="S19" i="16"/>
  <c r="U23" i="16"/>
  <c r="V23" i="16"/>
  <c r="O23" i="16"/>
  <c r="CM668" i="2"/>
  <c r="CM672" i="2" s="1"/>
  <c r="CM664" i="2"/>
  <c r="CA668" i="2"/>
  <c r="CA672" i="2" s="1"/>
  <c r="CA664" i="2"/>
  <c r="J23" i="16"/>
  <c r="L23" i="16"/>
  <c r="Q50" i="16"/>
  <c r="Q55" i="16"/>
  <c r="P37" i="16"/>
  <c r="P52" i="16" s="1"/>
  <c r="P56" i="16" s="1"/>
  <c r="D35" i="16"/>
  <c r="N23" i="16"/>
  <c r="CU665" i="2"/>
  <c r="T36" i="16"/>
  <c r="T35" i="16" s="1"/>
  <c r="CJ668" i="2"/>
  <c r="CJ667" i="2" s="1"/>
  <c r="CJ664" i="2"/>
  <c r="T19" i="16"/>
  <c r="H52" i="16"/>
  <c r="H35" i="16"/>
  <c r="CT356" i="2"/>
  <c r="K23" i="16"/>
  <c r="P19" i="16"/>
  <c r="E50" i="16"/>
  <c r="M19" i="16"/>
  <c r="E35" i="16"/>
  <c r="H23" i="16"/>
  <c r="D19" i="16"/>
  <c r="I23" i="16"/>
  <c r="Q35" i="16"/>
  <c r="G36" i="16"/>
  <c r="G35" i="16" s="1"/>
  <c r="D50" i="16"/>
  <c r="K19" i="16"/>
  <c r="E23" i="16"/>
  <c r="D23" i="16"/>
  <c r="H19" i="16"/>
  <c r="W19" i="16"/>
  <c r="Q23" i="16"/>
  <c r="CT631" i="2"/>
  <c r="X17" i="16" s="1"/>
  <c r="CT607" i="2"/>
  <c r="W36" i="16"/>
  <c r="W23" i="16"/>
  <c r="CX356" i="2"/>
  <c r="CM649" i="2"/>
  <c r="E41" i="16"/>
  <c r="G19" i="16"/>
  <c r="M35" i="16"/>
  <c r="M51" i="16"/>
  <c r="W11" i="16"/>
  <c r="BP11" i="16" s="1"/>
  <c r="CW356" i="2"/>
  <c r="F19" i="16"/>
  <c r="CV356" i="2"/>
  <c r="S36" i="16"/>
  <c r="J35" i="16"/>
  <c r="J51" i="16"/>
  <c r="R41" i="16"/>
  <c r="M23" i="16"/>
  <c r="N35" i="16"/>
  <c r="N51" i="16"/>
  <c r="K35" i="16"/>
  <c r="K51" i="16"/>
  <c r="CU356" i="2"/>
  <c r="G41" i="16"/>
  <c r="V35" i="16"/>
  <c r="V51" i="16"/>
  <c r="Q19" i="16"/>
  <c r="C19" i="16"/>
  <c r="R19" i="16"/>
  <c r="E19" i="16"/>
  <c r="U19" i="16"/>
  <c r="L19" i="16"/>
  <c r="I19" i="16"/>
  <c r="V19" i="16"/>
  <c r="J19" i="16"/>
  <c r="CW617" i="2"/>
  <c r="CV360" i="2"/>
  <c r="CY362" i="2"/>
  <c r="CZ362" i="2" s="1"/>
  <c r="CT360" i="2"/>
  <c r="X9" i="16"/>
  <c r="CJ649" i="2"/>
  <c r="CU360" i="2"/>
  <c r="BY668" i="2"/>
  <c r="BY649" i="2"/>
  <c r="CB667" i="2"/>
  <c r="CB671" i="2" s="1"/>
  <c r="CA649" i="2"/>
  <c r="BZ671" i="2"/>
  <c r="CC667" i="2"/>
  <c r="CC671" i="2" s="1"/>
  <c r="CP649" i="2"/>
  <c r="CP668" i="2"/>
  <c r="CN649" i="2"/>
  <c r="CN668" i="2"/>
  <c r="CS637" i="2"/>
  <c r="CS650" i="2"/>
  <c r="CS664" i="2" s="1"/>
  <c r="CF672" i="2"/>
  <c r="CF667" i="2"/>
  <c r="CF671" i="2" s="1"/>
  <c r="CH667" i="2"/>
  <c r="CH671" i="2" s="1"/>
  <c r="CH672" i="2"/>
  <c r="CE672" i="2"/>
  <c r="CE667" i="2"/>
  <c r="CE671" i="2" s="1"/>
  <c r="CQ649" i="2"/>
  <c r="CQ668" i="2"/>
  <c r="CI667" i="2"/>
  <c r="CI671" i="2" s="1"/>
  <c r="CI672" i="2"/>
  <c r="CL671" i="2"/>
  <c r="CR649" i="2"/>
  <c r="CR668" i="2"/>
  <c r="CG649" i="2"/>
  <c r="CG668" i="2"/>
  <c r="CO649" i="2"/>
  <c r="CO668" i="2"/>
  <c r="CD667" i="2"/>
  <c r="CD671" i="2" s="1"/>
  <c r="CD672" i="2"/>
  <c r="CZ358" i="2"/>
  <c r="CY356" i="2"/>
  <c r="W39" i="16" l="1"/>
  <c r="K39" i="16"/>
  <c r="S39" i="16"/>
  <c r="T39" i="16"/>
  <c r="P39" i="16"/>
  <c r="G39" i="16"/>
  <c r="CR121" i="11"/>
  <c r="CE28" i="16"/>
  <c r="CD28" i="16"/>
  <c r="N39" i="16"/>
  <c r="E39" i="16"/>
  <c r="DT635" i="2"/>
  <c r="K36" i="18"/>
  <c r="K48" i="18"/>
  <c r="DR629" i="2"/>
  <c r="AV16" i="16"/>
  <c r="AW20" i="16"/>
  <c r="AW28" i="16"/>
  <c r="DR642" i="2"/>
  <c r="DR641" i="2" s="1"/>
  <c r="DS643" i="2"/>
  <c r="DS654" i="2" s="1"/>
  <c r="AW17" i="16"/>
  <c r="AV21" i="16"/>
  <c r="AV29" i="16"/>
  <c r="CU123" i="11"/>
  <c r="CZ145" i="13"/>
  <c r="CS122" i="11"/>
  <c r="CS121" i="11" s="1"/>
  <c r="CS92" i="12"/>
  <c r="DZ561" i="2"/>
  <c r="DZ560" i="2" s="1"/>
  <c r="DA146" i="13"/>
  <c r="EB146" i="13" s="1"/>
  <c r="DM80" i="13"/>
  <c r="DP80" i="13"/>
  <c r="DF80" i="13"/>
  <c r="DJ80" i="13"/>
  <c r="DQ80" i="13"/>
  <c r="DI85" i="13"/>
  <c r="DH85" i="13"/>
  <c r="DN85" i="13"/>
  <c r="DF85" i="13"/>
  <c r="DL85" i="13"/>
  <c r="DG80" i="13"/>
  <c r="DK80" i="13"/>
  <c r="DI80" i="13"/>
  <c r="DO80" i="13"/>
  <c r="DG85" i="13"/>
  <c r="DJ85" i="13"/>
  <c r="DO85" i="13"/>
  <c r="DH80" i="13"/>
  <c r="DP85" i="13"/>
  <c r="DQ85" i="13"/>
  <c r="DL80" i="13"/>
  <c r="DN80" i="13"/>
  <c r="DM85" i="13"/>
  <c r="DK85" i="13"/>
  <c r="DU635" i="2"/>
  <c r="DT631" i="2"/>
  <c r="DS629" i="2"/>
  <c r="DS642" i="2"/>
  <c r="DU634" i="2"/>
  <c r="DT630" i="2"/>
  <c r="AX16" i="16" s="1"/>
  <c r="EC565" i="2"/>
  <c r="EB564" i="2"/>
  <c r="DC148" i="13" s="1"/>
  <c r="EB563" i="2"/>
  <c r="DC147" i="13" s="1"/>
  <c r="EA562" i="2"/>
  <c r="DU529" i="2"/>
  <c r="DU531" i="2"/>
  <c r="DC97" i="12"/>
  <c r="DU364" i="2"/>
  <c r="DC95" i="12"/>
  <c r="DU108" i="2"/>
  <c r="DV93" i="3" s="1"/>
  <c r="EF76" i="13"/>
  <c r="DF52" i="11"/>
  <c r="DY52" i="11" s="1"/>
  <c r="DG52" i="11"/>
  <c r="DI52" i="11"/>
  <c r="DH52" i="11"/>
  <c r="EG76" i="13"/>
  <c r="DX53" i="11"/>
  <c r="EE77" i="13"/>
  <c r="DY53" i="11"/>
  <c r="EF77" i="13"/>
  <c r="DI53" i="11"/>
  <c r="DJ53" i="11"/>
  <c r="DZ42" i="11"/>
  <c r="DX42" i="11"/>
  <c r="DH95" i="12"/>
  <c r="DH97" i="12"/>
  <c r="EG77" i="13"/>
  <c r="DY42" i="11"/>
  <c r="DC88" i="12"/>
  <c r="BK19" i="16"/>
  <c r="EE76" i="13"/>
  <c r="DI98" i="12"/>
  <c r="DX52" i="11"/>
  <c r="DI95" i="12"/>
  <c r="DG88" i="12"/>
  <c r="DG97" i="12"/>
  <c r="DI97" i="12"/>
  <c r="DI88" i="12"/>
  <c r="DD98" i="12"/>
  <c r="DE98" i="12"/>
  <c r="DE97" i="12"/>
  <c r="DE95" i="12"/>
  <c r="DF95" i="12"/>
  <c r="DF98" i="12"/>
  <c r="DF88" i="12"/>
  <c r="DG95" i="12"/>
  <c r="DG98" i="12"/>
  <c r="DH98" i="12"/>
  <c r="EP99" i="15"/>
  <c r="DD88" i="12"/>
  <c r="DD95" i="12"/>
  <c r="DD97" i="12"/>
  <c r="DE88" i="12"/>
  <c r="EL99" i="15"/>
  <c r="DF97" i="12"/>
  <c r="EM99" i="15"/>
  <c r="EN99" i="15"/>
  <c r="DH88" i="12"/>
  <c r="DJ98" i="12"/>
  <c r="DJ95" i="12"/>
  <c r="DJ97" i="12"/>
  <c r="DJ88" i="12"/>
  <c r="EQ99" i="15"/>
  <c r="U35" i="16"/>
  <c r="EK99" i="15"/>
  <c r="EO99" i="15"/>
  <c r="EE30" i="13"/>
  <c r="DF37" i="11"/>
  <c r="DH37" i="11"/>
  <c r="EE29" i="13"/>
  <c r="DH62" i="13"/>
  <c r="EF25" i="13"/>
  <c r="CD21" i="16"/>
  <c r="DJ37" i="11"/>
  <c r="I35" i="16"/>
  <c r="BL35" i="16" s="1"/>
  <c r="CY95" i="12"/>
  <c r="CY98" i="12"/>
  <c r="CY97" i="12"/>
  <c r="CZ95" i="12"/>
  <c r="CZ98" i="12"/>
  <c r="EI99" i="15"/>
  <c r="EJ99" i="15"/>
  <c r="EF99" i="15"/>
  <c r="CZ88" i="12"/>
  <c r="DA97" i="12"/>
  <c r="DB88" i="12"/>
  <c r="DB98" i="12"/>
  <c r="CY88" i="12"/>
  <c r="EG99" i="15"/>
  <c r="DB95" i="12"/>
  <c r="DB97" i="12"/>
  <c r="DC98" i="12"/>
  <c r="DI37" i="11"/>
  <c r="DB37" i="11"/>
  <c r="DA98" i="12"/>
  <c r="EH99" i="15"/>
  <c r="DA88" i="12"/>
  <c r="CZ97" i="12"/>
  <c r="DA95" i="12"/>
  <c r="DD20" i="11"/>
  <c r="DY20" i="11" s="1"/>
  <c r="AS33" i="11"/>
  <c r="DD33" i="11" s="1"/>
  <c r="CE21" i="16"/>
  <c r="CT28" i="15"/>
  <c r="CT48" i="15" s="1"/>
  <c r="AS28" i="15"/>
  <c r="AS48" i="15" s="1"/>
  <c r="BL28" i="15"/>
  <c r="BL48" i="15" s="1"/>
  <c r="BO28" i="15"/>
  <c r="BO48" i="15" s="1"/>
  <c r="BX28" i="15"/>
  <c r="BX48" i="15" s="1"/>
  <c r="AM28" i="15"/>
  <c r="AM48" i="15" s="1"/>
  <c r="BN36" i="16"/>
  <c r="O51" i="16"/>
  <c r="O35" i="16"/>
  <c r="BK40" i="16"/>
  <c r="F39" i="16"/>
  <c r="R35" i="16"/>
  <c r="R51" i="16"/>
  <c r="R55" i="16" s="1"/>
  <c r="F35" i="16"/>
  <c r="BK35" i="16" s="1"/>
  <c r="F51" i="16"/>
  <c r="F55" i="16" s="1"/>
  <c r="BJ36" i="16"/>
  <c r="C35" i="16"/>
  <c r="BJ35" i="16" s="1"/>
  <c r="L35" i="16"/>
  <c r="BM35" i="16" s="1"/>
  <c r="BM36" i="16"/>
  <c r="L51" i="16"/>
  <c r="AB55" i="11"/>
  <c r="AI156" i="13"/>
  <c r="BM41" i="16"/>
  <c r="L39" i="16"/>
  <c r="EF38" i="13"/>
  <c r="EE64" i="13"/>
  <c r="AT28" i="15"/>
  <c r="AT48" i="15" s="1"/>
  <c r="DA66" i="15"/>
  <c r="ET66" i="15" s="1"/>
  <c r="AY28" i="15"/>
  <c r="AY48" i="15" s="1"/>
  <c r="DG39" i="12"/>
  <c r="U156" i="13"/>
  <c r="BH33" i="11"/>
  <c r="DI33" i="11" s="1"/>
  <c r="CE20" i="16"/>
  <c r="BL19" i="16"/>
  <c r="EG75" i="13"/>
  <c r="CD20" i="16"/>
  <c r="EG29" i="13"/>
  <c r="CK28" i="15"/>
  <c r="CK48" i="15" s="1"/>
  <c r="DG62" i="13"/>
  <c r="BV28" i="15"/>
  <c r="BV48" i="15" s="1"/>
  <c r="AJ33" i="11"/>
  <c r="DA33" i="11" s="1"/>
  <c r="AN28" i="15"/>
  <c r="AN48" i="15" s="1"/>
  <c r="AK28" i="15"/>
  <c r="AK48" i="15" s="1"/>
  <c r="DA72" i="15"/>
  <c r="DM72" i="15"/>
  <c r="BK33" i="11"/>
  <c r="DJ33" i="11" s="1"/>
  <c r="C51" i="16"/>
  <c r="CY39" i="12"/>
  <c r="DM66" i="15"/>
  <c r="EX66" i="15" s="1"/>
  <c r="DM62" i="13"/>
  <c r="DY31" i="11"/>
  <c r="CE31" i="16"/>
  <c r="CD7" i="16"/>
  <c r="EG30" i="13"/>
  <c r="BN72" i="15"/>
  <c r="EE69" i="13"/>
  <c r="AM156" i="13"/>
  <c r="CQ28" i="15"/>
  <c r="CQ48" i="15" s="1"/>
  <c r="DX30" i="11"/>
  <c r="AL28" i="15"/>
  <c r="AL48" i="15" s="1"/>
  <c r="AZ28" i="15"/>
  <c r="AZ48" i="15" s="1"/>
  <c r="DG66" i="15"/>
  <c r="EV66" i="15" s="1"/>
  <c r="BE33" i="11"/>
  <c r="DH33" i="11" s="1"/>
  <c r="CD25" i="16"/>
  <c r="EE38" i="13"/>
  <c r="CE43" i="16"/>
  <c r="AG33" i="11"/>
  <c r="CZ33" i="11" s="1"/>
  <c r="EG78" i="13"/>
  <c r="DY30" i="11"/>
  <c r="CE7" i="16"/>
  <c r="BK27" i="16"/>
  <c r="DC39" i="12"/>
  <c r="AW28" i="15"/>
  <c r="AW48" i="15" s="1"/>
  <c r="AU28" i="15"/>
  <c r="AU48" i="15" s="1"/>
  <c r="AV33" i="11"/>
  <c r="DE33" i="11" s="1"/>
  <c r="DI62" i="13"/>
  <c r="AP33" i="11"/>
  <c r="DC33" i="11" s="1"/>
  <c r="EF69" i="13"/>
  <c r="BY28" i="15"/>
  <c r="BY48" i="15" s="1"/>
  <c r="CE29" i="16"/>
  <c r="DQ54" i="13"/>
  <c r="BJ28" i="15"/>
  <c r="BJ48" i="15" s="1"/>
  <c r="Y156" i="13"/>
  <c r="CH28" i="15"/>
  <c r="CH48" i="15" s="1"/>
  <c r="AP28" i="15"/>
  <c r="AP48" i="15" s="1"/>
  <c r="AJ28" i="15"/>
  <c r="AJ48" i="15" s="1"/>
  <c r="BU28" i="15"/>
  <c r="BU48" i="15" s="1"/>
  <c r="EE32" i="13"/>
  <c r="DH39" i="12"/>
  <c r="CA28" i="15"/>
  <c r="CA48" i="15" s="1"/>
  <c r="BA28" i="15"/>
  <c r="BA48" i="15" s="1"/>
  <c r="BM28" i="15"/>
  <c r="BM48" i="15" s="1"/>
  <c r="DZ11" i="12"/>
  <c r="EF17" i="13"/>
  <c r="AM33" i="11"/>
  <c r="DB33" i="11" s="1"/>
  <c r="BB33" i="11"/>
  <c r="DG33" i="11" s="1"/>
  <c r="J156" i="13"/>
  <c r="FF15" i="15"/>
  <c r="CZ37" i="11"/>
  <c r="DK62" i="13"/>
  <c r="DY25" i="12"/>
  <c r="CJ28" i="15"/>
  <c r="CJ48" i="15" s="1"/>
  <c r="CX72" i="15"/>
  <c r="AD33" i="11"/>
  <c r="CY33" i="11" s="1"/>
  <c r="BL27" i="16"/>
  <c r="BP27" i="16"/>
  <c r="DN54" i="13"/>
  <c r="AU156" i="13"/>
  <c r="AV28" i="15"/>
  <c r="AV48" i="15" s="1"/>
  <c r="DG72" i="15"/>
  <c r="DQ62" i="13"/>
  <c r="DJ54" i="13"/>
  <c r="DZ25" i="12"/>
  <c r="CI66" i="15"/>
  <c r="EN66" i="15" s="1"/>
  <c r="DA18" i="12"/>
  <c r="CI72" i="15"/>
  <c r="CG28" i="15"/>
  <c r="CG48" i="15" s="1"/>
  <c r="DZ20" i="11"/>
  <c r="EG13" i="13"/>
  <c r="BJ23" i="16"/>
  <c r="DP54" i="13"/>
  <c r="BG156" i="13"/>
  <c r="CN28" i="15"/>
  <c r="CN48" i="15" s="1"/>
  <c r="BD28" i="15"/>
  <c r="BD48" i="15" s="1"/>
  <c r="DE24" i="11"/>
  <c r="DE37" i="11"/>
  <c r="DG37" i="11"/>
  <c r="EF49" i="13"/>
  <c r="DK48" i="13"/>
  <c r="DB39" i="12"/>
  <c r="AV156" i="13"/>
  <c r="DX45" i="11"/>
  <c r="EG64" i="13"/>
  <c r="DZ30" i="11"/>
  <c r="BN23" i="16"/>
  <c r="DK54" i="13"/>
  <c r="DP48" i="13"/>
  <c r="X156" i="13"/>
  <c r="DF48" i="13"/>
  <c r="CZ39" i="12"/>
  <c r="AX156" i="13"/>
  <c r="BB28" i="15"/>
  <c r="BB48" i="15" s="1"/>
  <c r="DZ4" i="12"/>
  <c r="BN19" i="16"/>
  <c r="FF6" i="15"/>
  <c r="EE49" i="13"/>
  <c r="DL62" i="13"/>
  <c r="EF32" i="13"/>
  <c r="CE24" i="16"/>
  <c r="EG43" i="13"/>
  <c r="CE11" i="16"/>
  <c r="R39" i="16"/>
  <c r="BO41" i="16"/>
  <c r="BM23" i="16"/>
  <c r="BK23" i="16"/>
  <c r="DH48" i="13"/>
  <c r="DI48" i="13"/>
  <c r="DJ39" i="12"/>
  <c r="BH21" i="12"/>
  <c r="DI21" i="12" s="1"/>
  <c r="DI7" i="12"/>
  <c r="BR28" i="15"/>
  <c r="BR48" i="15" s="1"/>
  <c r="BZ28" i="15"/>
  <c r="BZ48" i="15" s="1"/>
  <c r="BC28" i="15"/>
  <c r="BC48" i="15" s="1"/>
  <c r="CB28" i="15"/>
  <c r="CB48" i="15" s="1"/>
  <c r="AP31" i="12"/>
  <c r="DC31" i="12" s="1"/>
  <c r="DC18" i="12"/>
  <c r="BN66" i="15"/>
  <c r="EG66" i="15" s="1"/>
  <c r="BH31" i="12"/>
  <c r="DI18" i="12"/>
  <c r="BK55" i="11"/>
  <c r="DQ74" i="13"/>
  <c r="BE55" i="11"/>
  <c r="DH55" i="11" s="1"/>
  <c r="DO74" i="13"/>
  <c r="DG24" i="11"/>
  <c r="DH24" i="11"/>
  <c r="AY33" i="11"/>
  <c r="DF33" i="11" s="1"/>
  <c r="DF24" i="11"/>
  <c r="EE78" i="13"/>
  <c r="DO62" i="13"/>
  <c r="BJ41" i="16"/>
  <c r="EG25" i="13"/>
  <c r="EF13" i="13"/>
  <c r="EF78" i="13"/>
  <c r="EG49" i="13"/>
  <c r="EE56" i="13"/>
  <c r="DF62" i="13"/>
  <c r="U52" i="16"/>
  <c r="BP37" i="16"/>
  <c r="DX25" i="12"/>
  <c r="R52" i="16"/>
  <c r="BO37" i="16"/>
  <c r="BO40" i="16"/>
  <c r="EG3" i="13"/>
  <c r="BM27" i="16"/>
  <c r="DQ48" i="13"/>
  <c r="AD21" i="12"/>
  <c r="CY21" i="12" s="1"/>
  <c r="CY7" i="12"/>
  <c r="AS21" i="12"/>
  <c r="DD21" i="12" s="1"/>
  <c r="DD7" i="12"/>
  <c r="AM21" i="12"/>
  <c r="DB21" i="12" s="1"/>
  <c r="DB7" i="12"/>
  <c r="BK31" i="12"/>
  <c r="DJ18" i="12"/>
  <c r="AD55" i="11"/>
  <c r="CY55" i="11" s="1"/>
  <c r="DF74" i="13"/>
  <c r="FF33" i="15"/>
  <c r="DF39" i="12"/>
  <c r="FG15" i="15"/>
  <c r="DY12" i="11"/>
  <c r="DY4" i="12"/>
  <c r="CD15" i="16"/>
  <c r="BJ19" i="16"/>
  <c r="DX4" i="12"/>
  <c r="DZ8" i="11"/>
  <c r="EF43" i="13"/>
  <c r="C39" i="16"/>
  <c r="BJ40" i="16"/>
  <c r="O39" i="16"/>
  <c r="BN40" i="16"/>
  <c r="DO54" i="13"/>
  <c r="BE31" i="12"/>
  <c r="DH31" i="12" s="1"/>
  <c r="DH18" i="12"/>
  <c r="AM55" i="11"/>
  <c r="DB55" i="11" s="1"/>
  <c r="DI74" i="13"/>
  <c r="O52" i="16"/>
  <c r="BN37" i="16"/>
  <c r="EG32" i="13"/>
  <c r="BO19" i="16"/>
  <c r="I51" i="16"/>
  <c r="BL36" i="16"/>
  <c r="AV21" i="12"/>
  <c r="DE21" i="12" s="1"/>
  <c r="DE7" i="12"/>
  <c r="BJ27" i="16"/>
  <c r="BN27" i="16"/>
  <c r="BP23" i="16"/>
  <c r="DJ48" i="13"/>
  <c r="DF54" i="13"/>
  <c r="AM31" i="12"/>
  <c r="DB18" i="12"/>
  <c r="FE22" i="15"/>
  <c r="FG6" i="15"/>
  <c r="FE33" i="15"/>
  <c r="DJ24" i="11"/>
  <c r="DG54" i="13"/>
  <c r="DB24" i="11"/>
  <c r="DI24" i="11"/>
  <c r="EF29" i="13"/>
  <c r="DD37" i="11"/>
  <c r="EG56" i="13"/>
  <c r="DN62" i="13"/>
  <c r="DZ12" i="11"/>
  <c r="EE17" i="13"/>
  <c r="EF56" i="13"/>
  <c r="DJ62" i="13"/>
  <c r="CD43" i="16"/>
  <c r="BO36" i="16"/>
  <c r="F52" i="16"/>
  <c r="BK37" i="16"/>
  <c r="EE13" i="13"/>
  <c r="DI54" i="13"/>
  <c r="I39" i="16"/>
  <c r="BL40" i="16"/>
  <c r="U39" i="16"/>
  <c r="BP40" i="16"/>
  <c r="DG48" i="13"/>
  <c r="AJ21" i="12"/>
  <c r="DA21" i="12" s="1"/>
  <c r="DA7" i="12"/>
  <c r="AY21" i="12"/>
  <c r="DF21" i="12" s="1"/>
  <c r="DF7" i="12"/>
  <c r="AS31" i="12"/>
  <c r="DD31" i="12" s="1"/>
  <c r="DD18" i="12"/>
  <c r="AY55" i="11"/>
  <c r="DF55" i="11" s="1"/>
  <c r="DM74" i="13"/>
  <c r="BH55" i="11"/>
  <c r="DI55" i="11" s="1"/>
  <c r="DP74" i="13"/>
  <c r="AP55" i="11"/>
  <c r="DC55" i="11" s="1"/>
  <c r="DJ74" i="13"/>
  <c r="AJ55" i="11"/>
  <c r="DA55" i="11" s="1"/>
  <c r="DH74" i="13"/>
  <c r="DA39" i="12"/>
  <c r="EE43" i="13"/>
  <c r="CD24" i="16"/>
  <c r="EE3" i="13"/>
  <c r="BK41" i="16"/>
  <c r="DZ45" i="11"/>
  <c r="BK36" i="16"/>
  <c r="DZ31" i="11"/>
  <c r="DX20" i="11"/>
  <c r="DY45" i="11"/>
  <c r="BP19" i="16"/>
  <c r="EF64" i="13"/>
  <c r="DX31" i="11"/>
  <c r="DX12" i="11"/>
  <c r="DI39" i="12"/>
  <c r="DO48" i="13"/>
  <c r="BF28" i="15"/>
  <c r="BF48" i="15" s="1"/>
  <c r="AP21" i="12"/>
  <c r="DC21" i="12" s="1"/>
  <c r="DC7" i="12"/>
  <c r="BB31" i="12"/>
  <c r="DG31" i="12" s="1"/>
  <c r="DG18" i="12"/>
  <c r="AY31" i="12"/>
  <c r="DF18" i="12"/>
  <c r="AS55" i="11"/>
  <c r="DD55" i="11" s="1"/>
  <c r="DK74" i="13"/>
  <c r="BB55" i="11"/>
  <c r="DG55" i="11" s="1"/>
  <c r="DN74" i="13"/>
  <c r="FF22" i="15"/>
  <c r="FH22" i="15"/>
  <c r="FG33" i="15"/>
  <c r="DC37" i="11"/>
  <c r="DA37" i="11"/>
  <c r="DC24" i="11"/>
  <c r="DD24" i="11"/>
  <c r="DD39" i="12"/>
  <c r="CZ24" i="11"/>
  <c r="DE39" i="12"/>
  <c r="DX8" i="11"/>
  <c r="EG17" i="13"/>
  <c r="DP62" i="13"/>
  <c r="C52" i="16"/>
  <c r="BJ37" i="16"/>
  <c r="CE15" i="16"/>
  <c r="BM19" i="16"/>
  <c r="DR72" i="13"/>
  <c r="EE75" i="13"/>
  <c r="I52" i="16"/>
  <c r="BL37" i="16"/>
  <c r="L52" i="16"/>
  <c r="BM37" i="16"/>
  <c r="U51" i="16"/>
  <c r="BP36" i="16"/>
  <c r="EF30" i="13"/>
  <c r="EG38" i="13"/>
  <c r="EE25" i="13"/>
  <c r="AG31" i="12"/>
  <c r="CZ31" i="12" s="1"/>
  <c r="CZ18" i="12"/>
  <c r="AD31" i="12"/>
  <c r="CY31" i="12" s="1"/>
  <c r="CY18" i="12"/>
  <c r="AG55" i="11"/>
  <c r="CZ55" i="11" s="1"/>
  <c r="DG74" i="13"/>
  <c r="FG22" i="15"/>
  <c r="DA24" i="11"/>
  <c r="CY37" i="11"/>
  <c r="FE6" i="15"/>
  <c r="DX11" i="12"/>
  <c r="DR88" i="13"/>
  <c r="CD31" i="16"/>
  <c r="EF3" i="13"/>
  <c r="BO27" i="16"/>
  <c r="BL23" i="16"/>
  <c r="BO23" i="16"/>
  <c r="DH54" i="13"/>
  <c r="DM54" i="13"/>
  <c r="DL48" i="13"/>
  <c r="DN48" i="13"/>
  <c r="DM48" i="13"/>
  <c r="BB21" i="12"/>
  <c r="DG21" i="12" s="1"/>
  <c r="DG7" i="12"/>
  <c r="BE21" i="12"/>
  <c r="DH21" i="12" s="1"/>
  <c r="DH7" i="12"/>
  <c r="AG21" i="12"/>
  <c r="CZ21" i="12" s="1"/>
  <c r="CZ7" i="12"/>
  <c r="BK21" i="12"/>
  <c r="DJ21" i="12" s="1"/>
  <c r="DJ7" i="12"/>
  <c r="AV31" i="12"/>
  <c r="DE18" i="12"/>
  <c r="AV55" i="11"/>
  <c r="DE55" i="11" s="1"/>
  <c r="DL74" i="13"/>
  <c r="DL54" i="13"/>
  <c r="FE15" i="15"/>
  <c r="FI22" i="15"/>
  <c r="CY24" i="11"/>
  <c r="CD29" i="16"/>
  <c r="DY11" i="12"/>
  <c r="EF75" i="13"/>
  <c r="CE25" i="16"/>
  <c r="CD11" i="16"/>
  <c r="DY8" i="11"/>
  <c r="EG69" i="13"/>
  <c r="CD3" i="16"/>
  <c r="CE3" i="16"/>
  <c r="BE28" i="15"/>
  <c r="BE48" i="15" s="1"/>
  <c r="AQ28" i="15"/>
  <c r="AQ48" i="15" s="1"/>
  <c r="CP28" i="15"/>
  <c r="CP48" i="15" s="1"/>
  <c r="BP28" i="15"/>
  <c r="BP48" i="15" s="1"/>
  <c r="BI28" i="15"/>
  <c r="BI48" i="15" s="1"/>
  <c r="BH28" i="15"/>
  <c r="BH48" i="15" s="1"/>
  <c r="BG28" i="15"/>
  <c r="BG48" i="15" s="1"/>
  <c r="CE28" i="15"/>
  <c r="CE48" i="15" s="1"/>
  <c r="CS28" i="15"/>
  <c r="CS48" i="15" s="1"/>
  <c r="AN156" i="13"/>
  <c r="CM28" i="15"/>
  <c r="CM48" i="15" s="1"/>
  <c r="CU72" i="15"/>
  <c r="CU91" i="15" s="1"/>
  <c r="AG156" i="13"/>
  <c r="CD28" i="15"/>
  <c r="CD48" i="15" s="1"/>
  <c r="Z156" i="13"/>
  <c r="CX66" i="15"/>
  <c r="ES66" i="15" s="1"/>
  <c r="CC66" i="15"/>
  <c r="EL66" i="15" s="1"/>
  <c r="BS28" i="15"/>
  <c r="BS48" i="15" s="1"/>
  <c r="DJ66" i="15"/>
  <c r="EW66" i="15" s="1"/>
  <c r="V156" i="13"/>
  <c r="H73" i="18"/>
  <c r="AO28" i="15"/>
  <c r="AO48" i="15" s="1"/>
  <c r="CU66" i="15"/>
  <c r="ER66" i="15" s="1"/>
  <c r="BO156" i="13"/>
  <c r="AW156" i="13"/>
  <c r="AR28" i="15"/>
  <c r="AR48" i="15" s="1"/>
  <c r="DJ72" i="15"/>
  <c r="DJ91" i="15" s="1"/>
  <c r="AJ156" i="13"/>
  <c r="AQ156" i="13"/>
  <c r="EJ19" i="15"/>
  <c r="CC72" i="15"/>
  <c r="CC91" i="15" s="1"/>
  <c r="EN19" i="15"/>
  <c r="EM19" i="15"/>
  <c r="AB156" i="13"/>
  <c r="N156" i="13"/>
  <c r="C34" i="15"/>
  <c r="C48" i="18"/>
  <c r="C36" i="18"/>
  <c r="BQ28" i="15"/>
  <c r="EH10" i="15"/>
  <c r="CF28" i="15"/>
  <c r="EM10" i="15"/>
  <c r="F73" i="18"/>
  <c r="EH19" i="15"/>
  <c r="EP37" i="15"/>
  <c r="CO72" i="15"/>
  <c r="CO66" i="15"/>
  <c r="EP66" i="15" s="1"/>
  <c r="EM37" i="15"/>
  <c r="CF72" i="15"/>
  <c r="CF66" i="15"/>
  <c r="EM66" i="15" s="1"/>
  <c r="CL39" i="15"/>
  <c r="EO24" i="15"/>
  <c r="EK24" i="15"/>
  <c r="E34" i="15"/>
  <c r="E48" i="18"/>
  <c r="E36" i="18"/>
  <c r="BW28" i="15"/>
  <c r="EJ10" i="15"/>
  <c r="K69" i="15"/>
  <c r="K103" i="18"/>
  <c r="EL19" i="15"/>
  <c r="EY37" i="15"/>
  <c r="FI37" i="15" s="1"/>
  <c r="DP66" i="15"/>
  <c r="EY66" i="15" s="1"/>
  <c r="DP72" i="15"/>
  <c r="EO19" i="15"/>
  <c r="EK19" i="15"/>
  <c r="EK37" i="15"/>
  <c r="EO37" i="15"/>
  <c r="CL66" i="15"/>
  <c r="CL72" i="15"/>
  <c r="EQ37" i="15"/>
  <c r="CR72" i="15"/>
  <c r="CR66" i="15"/>
  <c r="EQ66" i="15" s="1"/>
  <c r="EP19" i="15"/>
  <c r="EF19" i="15"/>
  <c r="CF39" i="15"/>
  <c r="EM39" i="15" s="1"/>
  <c r="EM24" i="15"/>
  <c r="I69" i="15"/>
  <c r="I103" i="18"/>
  <c r="BT39" i="15"/>
  <c r="EI39" i="15" s="1"/>
  <c r="EI24" i="15"/>
  <c r="CI28" i="15"/>
  <c r="EN10" i="15"/>
  <c r="CL28" i="15"/>
  <c r="EK10" i="15"/>
  <c r="EO10" i="15"/>
  <c r="AX28" i="15"/>
  <c r="AX48" i="15" s="1"/>
  <c r="BN28" i="15"/>
  <c r="EG10" i="15"/>
  <c r="CR28" i="15"/>
  <c r="EQ10" i="15"/>
  <c r="BQ39" i="15"/>
  <c r="EH39" i="15" s="1"/>
  <c r="EH24" i="15"/>
  <c r="EI19" i="15"/>
  <c r="AT156" i="13"/>
  <c r="CO28" i="15"/>
  <c r="EP10" i="15"/>
  <c r="BN39" i="15"/>
  <c r="EG39" i="15" s="1"/>
  <c r="EG24" i="15"/>
  <c r="F34" i="15"/>
  <c r="F36" i="18"/>
  <c r="F48" i="18"/>
  <c r="J69" i="15"/>
  <c r="J103" i="18"/>
  <c r="BK39" i="15"/>
  <c r="EF39" i="15" s="1"/>
  <c r="EF24" i="15"/>
  <c r="CI39" i="15"/>
  <c r="EN39" i="15" s="1"/>
  <c r="EN24" i="15"/>
  <c r="EF37" i="15"/>
  <c r="BK72" i="15"/>
  <c r="BK66" i="15"/>
  <c r="EF66" i="15" s="1"/>
  <c r="EQ19" i="15"/>
  <c r="CC39" i="15"/>
  <c r="EL39" i="15" s="1"/>
  <c r="EL24" i="15"/>
  <c r="BK28" i="15"/>
  <c r="EF10" i="15"/>
  <c r="CR39" i="15"/>
  <c r="EQ39" i="15" s="1"/>
  <c r="EQ24" i="15"/>
  <c r="BT28" i="15"/>
  <c r="EI10" i="15"/>
  <c r="G34" i="15"/>
  <c r="G36" i="18"/>
  <c r="G48" i="18"/>
  <c r="G73" i="18"/>
  <c r="EG19" i="15"/>
  <c r="EH37" i="15"/>
  <c r="BQ66" i="15"/>
  <c r="EH66" i="15" s="1"/>
  <c r="BQ72" i="15"/>
  <c r="CC28" i="15"/>
  <c r="EL10" i="15"/>
  <c r="D69" i="15"/>
  <c r="D103" i="18"/>
  <c r="CO39" i="15"/>
  <c r="EP39" i="15" s="1"/>
  <c r="EP24" i="15"/>
  <c r="EJ37" i="15"/>
  <c r="BW72" i="15"/>
  <c r="BW66" i="15"/>
  <c r="EJ66" i="15" s="1"/>
  <c r="H34" i="15"/>
  <c r="H36" i="18"/>
  <c r="H48" i="18"/>
  <c r="BW39" i="15"/>
  <c r="EJ39" i="15" s="1"/>
  <c r="EJ24" i="15"/>
  <c r="EU37" i="15"/>
  <c r="FH37" i="15" s="1"/>
  <c r="DD72" i="15"/>
  <c r="DD66" i="15"/>
  <c r="EU66" i="15" s="1"/>
  <c r="I73" i="18"/>
  <c r="EI37" i="15"/>
  <c r="BT66" i="15"/>
  <c r="EI66" i="15" s="1"/>
  <c r="BT72" i="15"/>
  <c r="BC156" i="13"/>
  <c r="BA156" i="13"/>
  <c r="AD156" i="13"/>
  <c r="W156" i="13"/>
  <c r="AA156" i="13"/>
  <c r="M156" i="13"/>
  <c r="BD156" i="13"/>
  <c r="AY156" i="13"/>
  <c r="AF156" i="13"/>
  <c r="S156" i="13"/>
  <c r="R156" i="13"/>
  <c r="BS156" i="13"/>
  <c r="BN156" i="13"/>
  <c r="L156" i="13"/>
  <c r="AO156" i="13"/>
  <c r="AC156" i="13"/>
  <c r="BR156" i="13"/>
  <c r="AS156" i="13"/>
  <c r="P156" i="13"/>
  <c r="BF156" i="13"/>
  <c r="BQ156" i="13"/>
  <c r="T156" i="13"/>
  <c r="BM156" i="13"/>
  <c r="BJ156" i="13"/>
  <c r="BH156" i="13"/>
  <c r="BP156" i="13"/>
  <c r="AR156" i="13"/>
  <c r="BK156" i="13"/>
  <c r="Q156" i="13"/>
  <c r="K156" i="13"/>
  <c r="BB156" i="13"/>
  <c r="AP156" i="13"/>
  <c r="AL156" i="13"/>
  <c r="BI156" i="13"/>
  <c r="BE156" i="13"/>
  <c r="O156" i="13"/>
  <c r="AH156" i="13"/>
  <c r="AE156" i="13"/>
  <c r="AK156" i="13"/>
  <c r="AZ156" i="13"/>
  <c r="BM55" i="11"/>
  <c r="G109" i="15"/>
  <c r="G139" i="15"/>
  <c r="G121" i="15"/>
  <c r="G127" i="15"/>
  <c r="H109" i="15"/>
  <c r="H139" i="15"/>
  <c r="H127" i="15"/>
  <c r="H121" i="15"/>
  <c r="E109" i="15"/>
  <c r="E139" i="15"/>
  <c r="E121" i="15"/>
  <c r="E127" i="15"/>
  <c r="F109" i="15"/>
  <c r="F139" i="15"/>
  <c r="F127" i="15"/>
  <c r="F121" i="15"/>
  <c r="F42" i="15"/>
  <c r="H42" i="15"/>
  <c r="F71" i="15"/>
  <c r="F112" i="18" s="1"/>
  <c r="F65" i="15"/>
  <c r="F88" i="15"/>
  <c r="F63" i="15"/>
  <c r="D75" i="15"/>
  <c r="D90" i="15"/>
  <c r="D138" i="18" s="1"/>
  <c r="C36" i="15"/>
  <c r="C65" i="18" s="1"/>
  <c r="D73" i="18" s="1"/>
  <c r="C72" i="15"/>
  <c r="C91" i="15" s="1"/>
  <c r="C112" i="15" s="1"/>
  <c r="C130" i="15" s="1"/>
  <c r="C142" i="15" s="1"/>
  <c r="C66" i="15"/>
  <c r="E42" i="15"/>
  <c r="E65" i="15"/>
  <c r="E71" i="15"/>
  <c r="E112" i="18" s="1"/>
  <c r="E63" i="15"/>
  <c r="E88" i="15"/>
  <c r="G42" i="15"/>
  <c r="G71" i="15"/>
  <c r="G112" i="18" s="1"/>
  <c r="G65" i="15"/>
  <c r="G63" i="15"/>
  <c r="G88" i="15"/>
  <c r="H71" i="15"/>
  <c r="H112" i="18" s="1"/>
  <c r="H65" i="15"/>
  <c r="H88" i="15"/>
  <c r="H63" i="15"/>
  <c r="I75" i="15"/>
  <c r="I90" i="15"/>
  <c r="I138" i="18" s="1"/>
  <c r="J75" i="15"/>
  <c r="J90" i="15"/>
  <c r="J138" i="18" s="1"/>
  <c r="I42" i="15"/>
  <c r="K75" i="15"/>
  <c r="K90" i="15"/>
  <c r="K138" i="18" s="1"/>
  <c r="CW545" i="2"/>
  <c r="BW135" i="13"/>
  <c r="DR135" i="13" s="1"/>
  <c r="BB165" i="13"/>
  <c r="BB162" i="13"/>
  <c r="BB173" i="13"/>
  <c r="L162" i="13"/>
  <c r="L165" i="13"/>
  <c r="L173" i="13"/>
  <c r="BT162" i="13"/>
  <c r="BT165" i="13"/>
  <c r="BT173" i="13"/>
  <c r="AW162" i="13"/>
  <c r="AW165" i="13"/>
  <c r="AW173" i="13"/>
  <c r="BA165" i="13"/>
  <c r="BA173" i="13"/>
  <c r="BA162" i="13"/>
  <c r="BC173" i="13"/>
  <c r="BC165" i="13"/>
  <c r="BC162" i="13"/>
  <c r="BP162" i="13"/>
  <c r="BP165" i="13"/>
  <c r="BP173" i="13"/>
  <c r="AF162" i="13"/>
  <c r="AF165" i="13"/>
  <c r="AF173" i="13"/>
  <c r="BJ162" i="13"/>
  <c r="BJ165" i="13"/>
  <c r="BJ173" i="13"/>
  <c r="AL162" i="13"/>
  <c r="AL165" i="13"/>
  <c r="AL173" i="13"/>
  <c r="AS162" i="13"/>
  <c r="AS165" i="13"/>
  <c r="AS173" i="13"/>
  <c r="R165" i="13"/>
  <c r="R173" i="13"/>
  <c r="R162" i="13"/>
  <c r="AB165" i="13"/>
  <c r="AB162" i="13"/>
  <c r="AB173" i="13"/>
  <c r="C162" i="13"/>
  <c r="C173" i="13"/>
  <c r="C165" i="13"/>
  <c r="AD165" i="13"/>
  <c r="AD162" i="13"/>
  <c r="AD173" i="13"/>
  <c r="D165" i="13"/>
  <c r="D162" i="13"/>
  <c r="D173" i="13"/>
  <c r="AA162" i="13"/>
  <c r="AA173" i="13"/>
  <c r="AA165" i="13"/>
  <c r="T162" i="13"/>
  <c r="T165" i="13"/>
  <c r="T173" i="13"/>
  <c r="AK162" i="13"/>
  <c r="AK173" i="13"/>
  <c r="AK165" i="13"/>
  <c r="H162" i="13"/>
  <c r="H165" i="13"/>
  <c r="H173" i="13"/>
  <c r="F165" i="13"/>
  <c r="F173" i="13"/>
  <c r="F162" i="13"/>
  <c r="N162" i="13"/>
  <c r="N165" i="13"/>
  <c r="N173" i="13"/>
  <c r="J165" i="13"/>
  <c r="J162" i="13"/>
  <c r="J173" i="13"/>
  <c r="Y162" i="13"/>
  <c r="Y173" i="13"/>
  <c r="Y165" i="13"/>
  <c r="AT165" i="13"/>
  <c r="AT162" i="13"/>
  <c r="AT173" i="13"/>
  <c r="M162" i="13"/>
  <c r="M173" i="13"/>
  <c r="M165" i="13"/>
  <c r="AZ165" i="13"/>
  <c r="AZ162" i="13"/>
  <c r="AZ173" i="13"/>
  <c r="AO165" i="13"/>
  <c r="AO173" i="13"/>
  <c r="AO162" i="13"/>
  <c r="AC165" i="13"/>
  <c r="AC162" i="13"/>
  <c r="AC173" i="13"/>
  <c r="BN165" i="13"/>
  <c r="BN162" i="13"/>
  <c r="BN173" i="13"/>
  <c r="BS165" i="13"/>
  <c r="BS162" i="13"/>
  <c r="BS173" i="13"/>
  <c r="AX162" i="13"/>
  <c r="AX165" i="13"/>
  <c r="AX173" i="13"/>
  <c r="AR162" i="13"/>
  <c r="AR165" i="13"/>
  <c r="AR173" i="13"/>
  <c r="Q165" i="13"/>
  <c r="Q173" i="13"/>
  <c r="Q162" i="13"/>
  <c r="AN165" i="13"/>
  <c r="AN162" i="13"/>
  <c r="AN173" i="13"/>
  <c r="G165" i="13"/>
  <c r="G162" i="13"/>
  <c r="G173" i="13"/>
  <c r="AG162" i="13"/>
  <c r="AG165" i="13"/>
  <c r="AG173" i="13"/>
  <c r="AH165" i="13"/>
  <c r="AH162" i="13"/>
  <c r="AH173" i="13"/>
  <c r="AP165" i="13"/>
  <c r="AP173" i="13"/>
  <c r="AP162" i="13"/>
  <c r="BO173" i="13"/>
  <c r="BO162" i="13"/>
  <c r="BO165" i="13"/>
  <c r="BM165" i="13"/>
  <c r="BM162" i="13"/>
  <c r="BM173" i="13"/>
  <c r="W165" i="13"/>
  <c r="W162" i="13"/>
  <c r="W173" i="13"/>
  <c r="AJ162" i="13"/>
  <c r="AJ165" i="13"/>
  <c r="AJ173" i="13"/>
  <c r="P165" i="13"/>
  <c r="P162" i="13"/>
  <c r="P173" i="13"/>
  <c r="BR165" i="13"/>
  <c r="BR162" i="13"/>
  <c r="BR173" i="13"/>
  <c r="V165" i="13"/>
  <c r="V162" i="13"/>
  <c r="V173" i="13"/>
  <c r="AU165" i="13"/>
  <c r="AU162" i="13"/>
  <c r="AU173" i="13"/>
  <c r="AM165" i="13"/>
  <c r="AM173" i="13"/>
  <c r="AM162" i="13"/>
  <c r="O173" i="13"/>
  <c r="O162" i="13"/>
  <c r="O165" i="13"/>
  <c r="X162" i="13"/>
  <c r="X165" i="13"/>
  <c r="X173" i="13"/>
  <c r="BD162" i="13"/>
  <c r="BD165" i="13"/>
  <c r="BD173" i="13"/>
  <c r="BH162" i="13"/>
  <c r="BH165" i="13"/>
  <c r="BH173" i="13"/>
  <c r="AY173" i="13"/>
  <c r="AY165" i="13"/>
  <c r="AY162" i="13"/>
  <c r="Z162" i="13"/>
  <c r="Z165" i="13"/>
  <c r="Z173" i="13"/>
  <c r="AV162" i="13"/>
  <c r="AV165" i="13"/>
  <c r="AV173" i="13"/>
  <c r="I162" i="13"/>
  <c r="I165" i="13"/>
  <c r="I173" i="13"/>
  <c r="BG165" i="13"/>
  <c r="BG162" i="13"/>
  <c r="BG173" i="13"/>
  <c r="K165" i="13"/>
  <c r="K162" i="13"/>
  <c r="K173" i="13"/>
  <c r="AI165" i="13"/>
  <c r="AI162" i="13"/>
  <c r="AI173" i="13"/>
  <c r="BE162" i="13"/>
  <c r="BE165" i="13"/>
  <c r="BE173" i="13"/>
  <c r="AE162" i="13"/>
  <c r="AE173" i="13"/>
  <c r="AE165" i="13"/>
  <c r="U162" i="13"/>
  <c r="U165" i="13"/>
  <c r="U173" i="13"/>
  <c r="BQ162" i="13"/>
  <c r="BQ165" i="13"/>
  <c r="BQ173" i="13"/>
  <c r="AQ173" i="13"/>
  <c r="AQ162" i="13"/>
  <c r="AQ165" i="13"/>
  <c r="S173" i="13"/>
  <c r="S162" i="13"/>
  <c r="S165" i="13"/>
  <c r="BK173" i="13"/>
  <c r="BK165" i="13"/>
  <c r="BK162" i="13"/>
  <c r="E165" i="13"/>
  <c r="E173" i="13"/>
  <c r="E162" i="13"/>
  <c r="BL165" i="13"/>
  <c r="BL162" i="13"/>
  <c r="BL173" i="13"/>
  <c r="BI162" i="13"/>
  <c r="BI173" i="13"/>
  <c r="BI165" i="13"/>
  <c r="BF165" i="13"/>
  <c r="BF162" i="13"/>
  <c r="BF173" i="13"/>
  <c r="T139" i="13"/>
  <c r="AK139" i="13"/>
  <c r="H139" i="13"/>
  <c r="AB139" i="13"/>
  <c r="D139" i="13"/>
  <c r="F139" i="13"/>
  <c r="N139" i="13"/>
  <c r="L139" i="13"/>
  <c r="AF139" i="13"/>
  <c r="AA139" i="13"/>
  <c r="M139" i="13"/>
  <c r="AT139" i="13"/>
  <c r="AO139" i="13"/>
  <c r="BS139" i="13"/>
  <c r="AX139" i="13"/>
  <c r="BC139" i="13"/>
  <c r="BP139" i="13"/>
  <c r="BJ139" i="13"/>
  <c r="C139" i="13"/>
  <c r="AD139" i="13"/>
  <c r="BO139" i="13"/>
  <c r="Y139" i="13"/>
  <c r="AR139" i="13"/>
  <c r="AC139" i="13"/>
  <c r="BN139" i="13"/>
  <c r="Q139" i="13"/>
  <c r="G139" i="13"/>
  <c r="AG139" i="13"/>
  <c r="J139" i="13"/>
  <c r="BT139" i="13"/>
  <c r="AS139" i="13"/>
  <c r="R139" i="13"/>
  <c r="AN139" i="13"/>
  <c r="AH139" i="13"/>
  <c r="AP139" i="13"/>
  <c r="BM139" i="13"/>
  <c r="W139" i="13"/>
  <c r="AJ139" i="13"/>
  <c r="P139" i="13"/>
  <c r="AW139" i="13"/>
  <c r="BA139" i="13"/>
  <c r="AL139" i="13"/>
  <c r="BR139" i="13"/>
  <c r="V139" i="13"/>
  <c r="AU139" i="13"/>
  <c r="AM139" i="13"/>
  <c r="BE139" i="13"/>
  <c r="O139" i="13"/>
  <c r="X139" i="13"/>
  <c r="BD139" i="13"/>
  <c r="BH139" i="13"/>
  <c r="AY139" i="13"/>
  <c r="Z139" i="13"/>
  <c r="U139" i="13"/>
  <c r="BQ139" i="13"/>
  <c r="AV139" i="13"/>
  <c r="I139" i="13"/>
  <c r="BG139" i="13"/>
  <c r="K139" i="13"/>
  <c r="AI139" i="13"/>
  <c r="AZ139" i="13"/>
  <c r="BB139" i="13"/>
  <c r="AE139" i="13"/>
  <c r="AQ139" i="13"/>
  <c r="S139" i="13"/>
  <c r="BK139" i="13"/>
  <c r="E139" i="13"/>
  <c r="BL139" i="13"/>
  <c r="BI139" i="13"/>
  <c r="BF139" i="13"/>
  <c r="BX72" i="13"/>
  <c r="CW475" i="2"/>
  <c r="CW106" i="2"/>
  <c r="E31" i="12"/>
  <c r="AJ31" i="12"/>
  <c r="AK31" i="12"/>
  <c r="BA31" i="12"/>
  <c r="BM31" i="12"/>
  <c r="M31" i="12"/>
  <c r="Q31" i="12"/>
  <c r="Y31" i="12"/>
  <c r="D31" i="12"/>
  <c r="AN31" i="12"/>
  <c r="AW31" i="12"/>
  <c r="BI31" i="12"/>
  <c r="AZ31" i="12"/>
  <c r="P31" i="12"/>
  <c r="T51" i="16"/>
  <c r="T55" i="16" s="1"/>
  <c r="CJ671" i="2"/>
  <c r="CJ672" i="2"/>
  <c r="Q54" i="16"/>
  <c r="P35" i="16"/>
  <c r="D54" i="16"/>
  <c r="K50" i="16"/>
  <c r="K54" i="16" s="1"/>
  <c r="K55" i="16"/>
  <c r="E54" i="16"/>
  <c r="N50" i="16"/>
  <c r="N54" i="16" s="1"/>
  <c r="N55" i="16"/>
  <c r="CT643" i="2"/>
  <c r="CT654" i="2" s="1"/>
  <c r="V50" i="16"/>
  <c r="V54" i="16" s="1"/>
  <c r="V55" i="16"/>
  <c r="P50" i="16"/>
  <c r="H50" i="16"/>
  <c r="H54" i="16" s="1"/>
  <c r="H56" i="16"/>
  <c r="CV665" i="2"/>
  <c r="CA667" i="2"/>
  <c r="CA671" i="2" s="1"/>
  <c r="M50" i="16"/>
  <c r="M54" i="16" s="1"/>
  <c r="M55" i="16"/>
  <c r="CM667" i="2"/>
  <c r="CM671" i="2" s="1"/>
  <c r="J50" i="16"/>
  <c r="J54" i="16" s="1"/>
  <c r="J55" i="16"/>
  <c r="CY360" i="2"/>
  <c r="G51" i="16"/>
  <c r="S35" i="16"/>
  <c r="S51" i="16"/>
  <c r="CT606" i="2"/>
  <c r="CT630" i="2"/>
  <c r="CT642" i="2" s="1"/>
  <c r="W35" i="16"/>
  <c r="W51" i="16"/>
  <c r="CT627" i="2"/>
  <c r="CT639" i="2" s="1"/>
  <c r="X5" i="16"/>
  <c r="X21" i="16"/>
  <c r="X29" i="16"/>
  <c r="CX617" i="2"/>
  <c r="X8" i="16"/>
  <c r="BY672" i="2"/>
  <c r="BY667" i="2"/>
  <c r="BY671" i="2" s="1"/>
  <c r="CS649" i="2"/>
  <c r="CS668" i="2"/>
  <c r="CR667" i="2"/>
  <c r="CR671" i="2" s="1"/>
  <c r="CR672" i="2"/>
  <c r="CG672" i="2"/>
  <c r="CG667" i="2"/>
  <c r="CG671" i="2" s="1"/>
  <c r="CN667" i="2"/>
  <c r="CN671" i="2" s="1"/>
  <c r="CN672" i="2"/>
  <c r="CO667" i="2"/>
  <c r="CO671" i="2" s="1"/>
  <c r="CO672" i="2"/>
  <c r="CP667" i="2"/>
  <c r="CP671" i="2" s="1"/>
  <c r="CP672" i="2"/>
  <c r="CQ667" i="2"/>
  <c r="CQ671" i="2" s="1"/>
  <c r="CQ672" i="2"/>
  <c r="DA358" i="2"/>
  <c r="CZ356" i="2"/>
  <c r="DA362" i="2"/>
  <c r="CZ360" i="2"/>
  <c r="BJ39" i="16" l="1"/>
  <c r="BN39" i="16"/>
  <c r="BY16" i="16"/>
  <c r="BK39" i="16"/>
  <c r="BM39" i="16"/>
  <c r="BO39" i="16"/>
  <c r="BL39" i="16"/>
  <c r="BP39" i="16"/>
  <c r="BY20" i="16"/>
  <c r="CO48" i="15"/>
  <c r="EP28" i="15"/>
  <c r="CL48" i="15"/>
  <c r="EK28" i="15"/>
  <c r="EO28" i="15"/>
  <c r="CC48" i="15"/>
  <c r="EL48" i="15" s="1"/>
  <c r="EL28" i="15"/>
  <c r="EJ28" i="15"/>
  <c r="BW48" i="15"/>
  <c r="EJ48" i="15" s="1"/>
  <c r="EF28" i="15"/>
  <c r="BK48" i="15"/>
  <c r="EF48" i="15" s="1"/>
  <c r="EG28" i="15"/>
  <c r="BN48" i="15"/>
  <c r="EQ28" i="15"/>
  <c r="CR48" i="15"/>
  <c r="CF48" i="15"/>
  <c r="EM28" i="15"/>
  <c r="AW40" i="16"/>
  <c r="BQ48" i="15"/>
  <c r="EH48" i="15" s="1"/>
  <c r="EH28" i="15"/>
  <c r="BT48" i="15"/>
  <c r="EI48" i="15" s="1"/>
  <c r="EI28" i="15"/>
  <c r="CI48" i="15"/>
  <c r="EN48" i="15" s="1"/>
  <c r="EN28" i="15"/>
  <c r="EG48" i="15"/>
  <c r="AV41" i="16"/>
  <c r="DR653" i="2"/>
  <c r="DT643" i="2"/>
  <c r="DT654" i="2" s="1"/>
  <c r="AX17" i="16"/>
  <c r="AW21" i="16"/>
  <c r="AW29" i="16"/>
  <c r="EF80" i="13"/>
  <c r="AW15" i="16"/>
  <c r="AW19" i="16" s="1"/>
  <c r="AV20" i="16"/>
  <c r="AV15" i="16"/>
  <c r="AV28" i="16"/>
  <c r="AX20" i="16"/>
  <c r="AX28" i="16"/>
  <c r="EA561" i="2"/>
  <c r="EA560" i="2" s="1"/>
  <c r="DB146" i="13"/>
  <c r="EC564" i="2"/>
  <c r="DD148" i="13" s="1"/>
  <c r="EC148" i="13" s="1"/>
  <c r="EJ148" i="13" s="1"/>
  <c r="DD149" i="13"/>
  <c r="EC149" i="13" s="1"/>
  <c r="EJ149" i="13" s="1"/>
  <c r="CT122" i="11"/>
  <c r="CT121" i="11" s="1"/>
  <c r="CT92" i="12"/>
  <c r="DU92" i="12" s="1"/>
  <c r="DA145" i="13"/>
  <c r="EB145" i="13" s="1"/>
  <c r="CV123" i="11"/>
  <c r="DS641" i="2"/>
  <c r="DS653" i="2"/>
  <c r="EG85" i="13"/>
  <c r="EE85" i="13"/>
  <c r="EF85" i="13"/>
  <c r="EG80" i="13"/>
  <c r="EE80" i="13"/>
  <c r="DV635" i="2"/>
  <c r="DU631" i="2"/>
  <c r="DT642" i="2"/>
  <c r="DT629" i="2"/>
  <c r="DU630" i="2"/>
  <c r="AY16" i="16" s="1"/>
  <c r="DV634" i="2"/>
  <c r="EC563" i="2"/>
  <c r="EB562" i="2"/>
  <c r="DV531" i="2"/>
  <c r="DV529" i="2"/>
  <c r="DV364" i="2"/>
  <c r="DX88" i="12"/>
  <c r="DX97" i="12"/>
  <c r="FE99" i="15"/>
  <c r="FF99" i="15"/>
  <c r="DV108" i="2"/>
  <c r="DW93" i="3" s="1"/>
  <c r="DX95" i="12"/>
  <c r="DZ95" i="12"/>
  <c r="DZ97" i="12"/>
  <c r="DY98" i="12"/>
  <c r="DZ98" i="12"/>
  <c r="DY95" i="12"/>
  <c r="DY97" i="12"/>
  <c r="DY88" i="12"/>
  <c r="DZ53" i="11"/>
  <c r="DZ88" i="12"/>
  <c r="DX98" i="12"/>
  <c r="DZ52" i="11"/>
  <c r="CD19" i="16"/>
  <c r="FG99" i="15"/>
  <c r="CE19" i="16"/>
  <c r="BP35" i="16"/>
  <c r="O50" i="16"/>
  <c r="F50" i="16"/>
  <c r="F54" i="16" s="1"/>
  <c r="DA91" i="15"/>
  <c r="ET72" i="15"/>
  <c r="DM91" i="15"/>
  <c r="EX72" i="15"/>
  <c r="BJ51" i="16"/>
  <c r="BJ55" i="16" s="1"/>
  <c r="C55" i="16"/>
  <c r="DG91" i="15"/>
  <c r="EV72" i="15"/>
  <c r="EG72" i="15"/>
  <c r="BN91" i="15"/>
  <c r="DZ37" i="11"/>
  <c r="R50" i="16"/>
  <c r="R54" i="16" s="1"/>
  <c r="BO35" i="16"/>
  <c r="BK51" i="16"/>
  <c r="BK55" i="16" s="1"/>
  <c r="BN35" i="16"/>
  <c r="BN51" i="16"/>
  <c r="BN55" i="16" s="1"/>
  <c r="O55" i="16"/>
  <c r="ES72" i="15"/>
  <c r="CX91" i="15"/>
  <c r="CI91" i="15"/>
  <c r="EN72" i="15"/>
  <c r="ER91" i="15"/>
  <c r="CU112" i="15"/>
  <c r="EW91" i="15"/>
  <c r="DJ112" i="15"/>
  <c r="EL91" i="15"/>
  <c r="CC112" i="15"/>
  <c r="CE41" i="16"/>
  <c r="C50" i="16"/>
  <c r="L55" i="16"/>
  <c r="BM51" i="16"/>
  <c r="BM55" i="16" s="1"/>
  <c r="L50" i="16"/>
  <c r="EF54" i="13"/>
  <c r="CD27" i="16"/>
  <c r="EG62" i="13"/>
  <c r="DZ39" i="12"/>
  <c r="EF62" i="13"/>
  <c r="DX39" i="12"/>
  <c r="EE62" i="13"/>
  <c r="EE48" i="13"/>
  <c r="EG54" i="13"/>
  <c r="CD23" i="16"/>
  <c r="DA31" i="12"/>
  <c r="DY37" i="11"/>
  <c r="DY33" i="11"/>
  <c r="FF37" i="15"/>
  <c r="CD36" i="16"/>
  <c r="DZ33" i="11"/>
  <c r="CD37" i="16"/>
  <c r="DY39" i="12"/>
  <c r="DY55" i="11"/>
  <c r="FE37" i="15"/>
  <c r="DE31" i="12"/>
  <c r="DZ21" i="12"/>
  <c r="DX18" i="12"/>
  <c r="CD41" i="16"/>
  <c r="CE40" i="16"/>
  <c r="DX24" i="11"/>
  <c r="DX37" i="11"/>
  <c r="EG48" i="13"/>
  <c r="FE24" i="15"/>
  <c r="BO51" i="16"/>
  <c r="BO55" i="16" s="1"/>
  <c r="FG37" i="15"/>
  <c r="CE36" i="16"/>
  <c r="DZ24" i="11"/>
  <c r="DL162" i="13"/>
  <c r="DL165" i="13"/>
  <c r="DL139" i="13"/>
  <c r="DL173" i="13"/>
  <c r="DL156" i="13"/>
  <c r="I56" i="16"/>
  <c r="BL52" i="16"/>
  <c r="BL56" i="16" s="1"/>
  <c r="DF31" i="12"/>
  <c r="DH162" i="13"/>
  <c r="DH165" i="13"/>
  <c r="DH156" i="13"/>
  <c r="DH173" i="13"/>
  <c r="DH139" i="13"/>
  <c r="FF10" i="15"/>
  <c r="FI66" i="15"/>
  <c r="DZ7" i="12"/>
  <c r="DG165" i="13"/>
  <c r="DG162" i="13"/>
  <c r="DG173" i="13"/>
  <c r="DG156" i="13"/>
  <c r="DG139" i="13"/>
  <c r="C56" i="16"/>
  <c r="BJ52" i="16"/>
  <c r="EF74" i="13"/>
  <c r="DJ162" i="13"/>
  <c r="DJ165" i="13"/>
  <c r="DJ156" i="13"/>
  <c r="DJ173" i="13"/>
  <c r="DJ139" i="13"/>
  <c r="F56" i="16"/>
  <c r="BK52" i="16"/>
  <c r="BK56" i="16" s="1"/>
  <c r="EF48" i="13"/>
  <c r="DJ55" i="11"/>
  <c r="DZ55" i="11" s="1"/>
  <c r="EG74" i="13"/>
  <c r="DN165" i="13"/>
  <c r="DN162" i="13"/>
  <c r="DN173" i="13"/>
  <c r="DN139" i="13"/>
  <c r="DN156" i="13"/>
  <c r="O56" i="16"/>
  <c r="BN52" i="16"/>
  <c r="BN56" i="16" s="1"/>
  <c r="DJ31" i="12"/>
  <c r="R56" i="16"/>
  <c r="BO52" i="16"/>
  <c r="BO56" i="16" s="1"/>
  <c r="FE39" i="15"/>
  <c r="FG10" i="15"/>
  <c r="FG19" i="15"/>
  <c r="U55" i="16"/>
  <c r="BP51" i="16"/>
  <c r="BP55" i="16" s="1"/>
  <c r="U50" i="16"/>
  <c r="DY24" i="11"/>
  <c r="DY21" i="12"/>
  <c r="DP165" i="13"/>
  <c r="DP162" i="13"/>
  <c r="DP156" i="13"/>
  <c r="DP139" i="13"/>
  <c r="DP173" i="13"/>
  <c r="CD35" i="16"/>
  <c r="DI31" i="12"/>
  <c r="X41" i="16"/>
  <c r="CE37" i="16"/>
  <c r="DK165" i="13"/>
  <c r="DK162" i="13"/>
  <c r="DK173" i="13"/>
  <c r="DK156" i="13"/>
  <c r="DK139" i="13"/>
  <c r="CE27" i="16"/>
  <c r="CE23" i="16"/>
  <c r="BX88" i="13"/>
  <c r="FE66" i="15"/>
  <c r="FE19" i="15"/>
  <c r="FF19" i="15"/>
  <c r="L56" i="16"/>
  <c r="BM52" i="16"/>
  <c r="DX33" i="11"/>
  <c r="DM173" i="13"/>
  <c r="DM162" i="13"/>
  <c r="DM165" i="13"/>
  <c r="DM156" i="13"/>
  <c r="DM139" i="13"/>
  <c r="I55" i="16"/>
  <c r="BL51" i="16"/>
  <c r="BL55" i="16" s="1"/>
  <c r="I50" i="16"/>
  <c r="DI165" i="13"/>
  <c r="DI162" i="13"/>
  <c r="DI139" i="13"/>
  <c r="DI173" i="13"/>
  <c r="DI156" i="13"/>
  <c r="DY7" i="12"/>
  <c r="U56" i="16"/>
  <c r="BP52" i="16"/>
  <c r="BP56" i="16" s="1"/>
  <c r="DY18" i="12"/>
  <c r="FF24" i="15"/>
  <c r="FH66" i="15"/>
  <c r="DO165" i="13"/>
  <c r="DO162" i="13"/>
  <c r="DO173" i="13"/>
  <c r="DO139" i="13"/>
  <c r="DO156" i="13"/>
  <c r="DB31" i="12"/>
  <c r="EE74" i="13"/>
  <c r="DF162" i="13"/>
  <c r="DF165" i="13"/>
  <c r="DF139" i="13"/>
  <c r="DF173" i="13"/>
  <c r="DF156" i="13"/>
  <c r="DX7" i="12"/>
  <c r="FE10" i="15"/>
  <c r="FG24" i="15"/>
  <c r="DZ18" i="12"/>
  <c r="EE54" i="13"/>
  <c r="CD40" i="16"/>
  <c r="DX55" i="11"/>
  <c r="DX21" i="12"/>
  <c r="DQ165" i="13"/>
  <c r="DQ162" i="13"/>
  <c r="DQ139" i="13"/>
  <c r="DQ156" i="13"/>
  <c r="DQ173" i="13"/>
  <c r="ER72" i="15"/>
  <c r="EW72" i="15"/>
  <c r="EL72" i="15"/>
  <c r="F69" i="15"/>
  <c r="F103" i="18"/>
  <c r="CF91" i="15"/>
  <c r="EM72" i="15"/>
  <c r="G69" i="15"/>
  <c r="G103" i="18"/>
  <c r="BT91" i="15"/>
  <c r="EI72" i="15"/>
  <c r="BK91" i="15"/>
  <c r="EF72" i="15"/>
  <c r="CR91" i="15"/>
  <c r="EQ72" i="15"/>
  <c r="DD91" i="15"/>
  <c r="EU72" i="15"/>
  <c r="DP91" i="15"/>
  <c r="EY72" i="15"/>
  <c r="CO91" i="15"/>
  <c r="EP72" i="15"/>
  <c r="CL91" i="15"/>
  <c r="CL112" i="15" s="1"/>
  <c r="EK72" i="15"/>
  <c r="EO72" i="15"/>
  <c r="EK39" i="15"/>
  <c r="FF39" i="15" s="1"/>
  <c r="EO39" i="15"/>
  <c r="FG39" i="15" s="1"/>
  <c r="H69" i="15"/>
  <c r="H103" i="18"/>
  <c r="BW91" i="15"/>
  <c r="EJ72" i="15"/>
  <c r="BQ91" i="15"/>
  <c r="EH72" i="15"/>
  <c r="EO66" i="15"/>
  <c r="FG66" i="15" s="1"/>
  <c r="EK66" i="15"/>
  <c r="FF66" i="15" s="1"/>
  <c r="E69" i="15"/>
  <c r="E103" i="18"/>
  <c r="C109" i="15"/>
  <c r="C139" i="15"/>
  <c r="C121" i="15"/>
  <c r="C127" i="15"/>
  <c r="I111" i="15"/>
  <c r="I168" i="18" s="1"/>
  <c r="I94" i="15"/>
  <c r="G75" i="15"/>
  <c r="G90" i="15"/>
  <c r="G138" i="18" s="1"/>
  <c r="E75" i="15"/>
  <c r="E90" i="15"/>
  <c r="E138" i="18" s="1"/>
  <c r="H75" i="15"/>
  <c r="H90" i="15"/>
  <c r="H138" i="18" s="1"/>
  <c r="J94" i="15"/>
  <c r="J111" i="15"/>
  <c r="J168" i="18" s="1"/>
  <c r="F75" i="15"/>
  <c r="F90" i="15"/>
  <c r="F138" i="18" s="1"/>
  <c r="K94" i="15"/>
  <c r="K111" i="15"/>
  <c r="K168" i="18" s="1"/>
  <c r="D111" i="15"/>
  <c r="D168" i="18" s="1"/>
  <c r="D94" i="15"/>
  <c r="D42" i="15"/>
  <c r="C65" i="15"/>
  <c r="C71" i="15"/>
  <c r="C112" i="18" s="1"/>
  <c r="C63" i="15"/>
  <c r="C88" i="15"/>
  <c r="CX545" i="2"/>
  <c r="BX135" i="13"/>
  <c r="CX475" i="2"/>
  <c r="BY72" i="13"/>
  <c r="BY88" i="13" s="1"/>
  <c r="CX106" i="2"/>
  <c r="T50" i="16"/>
  <c r="T54" i="16" s="1"/>
  <c r="P54" i="16"/>
  <c r="W50" i="16"/>
  <c r="W54" i="16" s="1"/>
  <c r="W55" i="16"/>
  <c r="S50" i="16"/>
  <c r="S54" i="16" s="1"/>
  <c r="S55" i="16"/>
  <c r="G50" i="16"/>
  <c r="G54" i="16" s="1"/>
  <c r="G55" i="16"/>
  <c r="CW665" i="2"/>
  <c r="X13" i="16"/>
  <c r="CU607" i="2"/>
  <c r="CU627" i="2" s="1"/>
  <c r="CU631" i="2"/>
  <c r="Y17" i="16" s="1"/>
  <c r="CU630" i="2"/>
  <c r="CU606" i="2"/>
  <c r="X16" i="16"/>
  <c r="CT629" i="2"/>
  <c r="X4" i="16"/>
  <c r="CT605" i="2"/>
  <c r="CT626" i="2"/>
  <c r="X7" i="16"/>
  <c r="CY617" i="2"/>
  <c r="Y9" i="16"/>
  <c r="Y8" i="16"/>
  <c r="CT653" i="2"/>
  <c r="CT641" i="2"/>
  <c r="CS667" i="2"/>
  <c r="CS671" i="2" s="1"/>
  <c r="CS672" i="2"/>
  <c r="DB362" i="2"/>
  <c r="DA360" i="2"/>
  <c r="DB358" i="2"/>
  <c r="DA356" i="2"/>
  <c r="BY28" i="16" l="1"/>
  <c r="CE39" i="16"/>
  <c r="CD39" i="16"/>
  <c r="AX15" i="16"/>
  <c r="AX19" i="16" s="1"/>
  <c r="BY17" i="16"/>
  <c r="AW27" i="16"/>
  <c r="AV19" i="16"/>
  <c r="BY15" i="16"/>
  <c r="EM48" i="15"/>
  <c r="EP48" i="15"/>
  <c r="EQ48" i="15"/>
  <c r="DU122" i="11"/>
  <c r="DU121" i="11"/>
  <c r="FE28" i="15"/>
  <c r="FF28" i="15"/>
  <c r="AX40" i="16"/>
  <c r="AV27" i="16"/>
  <c r="AV40" i="16"/>
  <c r="FG28" i="15"/>
  <c r="AW41" i="16"/>
  <c r="DU643" i="2"/>
  <c r="DU654" i="2" s="1"/>
  <c r="AY17" i="16"/>
  <c r="AY20" i="16"/>
  <c r="AY28" i="16"/>
  <c r="AX21" i="16"/>
  <c r="AX29" i="16"/>
  <c r="AX27" i="16" s="1"/>
  <c r="EC562" i="2"/>
  <c r="DD147" i="13"/>
  <c r="EC147" i="13" s="1"/>
  <c r="EJ147" i="13" s="1"/>
  <c r="CW123" i="11"/>
  <c r="DV123" i="11" s="1"/>
  <c r="EC123" i="11" s="1"/>
  <c r="DT641" i="2"/>
  <c r="DT653" i="2"/>
  <c r="DB145" i="13"/>
  <c r="CU122" i="11"/>
  <c r="CU92" i="12"/>
  <c r="EB561" i="2"/>
  <c r="EB560" i="2" s="1"/>
  <c r="DC146" i="13"/>
  <c r="DV631" i="2"/>
  <c r="DW635" i="2"/>
  <c r="DU642" i="2"/>
  <c r="DU629" i="2"/>
  <c r="DV630" i="2"/>
  <c r="AZ16" i="16" s="1"/>
  <c r="DW634" i="2"/>
  <c r="DW529" i="2"/>
  <c r="DW531" i="2"/>
  <c r="DW364" i="2"/>
  <c r="DW108" i="2"/>
  <c r="DX93" i="3" s="1"/>
  <c r="FB93" i="3" s="1"/>
  <c r="EV91" i="15"/>
  <c r="DG112" i="15"/>
  <c r="CE35" i="16"/>
  <c r="O54" i="16"/>
  <c r="BN50" i="16"/>
  <c r="BN54" i="16" s="1"/>
  <c r="ET91" i="15"/>
  <c r="DA112" i="15"/>
  <c r="EX91" i="15"/>
  <c r="DM112" i="15"/>
  <c r="EG91" i="15"/>
  <c r="BN112" i="15"/>
  <c r="L54" i="16"/>
  <c r="BM50" i="16"/>
  <c r="BM54" i="16" s="1"/>
  <c r="CX112" i="15"/>
  <c r="ES91" i="15"/>
  <c r="CI112" i="15"/>
  <c r="EN91" i="15"/>
  <c r="ER112" i="15"/>
  <c r="CU130" i="15"/>
  <c r="EW112" i="15"/>
  <c r="DJ130" i="15"/>
  <c r="EL112" i="15"/>
  <c r="CC130" i="15"/>
  <c r="EM91" i="15"/>
  <c r="CF112" i="15"/>
  <c r="EI91" i="15"/>
  <c r="BT112" i="15"/>
  <c r="EF91" i="15"/>
  <c r="BK112" i="15"/>
  <c r="EQ91" i="15"/>
  <c r="CR112" i="15"/>
  <c r="EU91" i="15"/>
  <c r="DD112" i="15"/>
  <c r="EY91" i="15"/>
  <c r="DP112" i="15"/>
  <c r="EP91" i="15"/>
  <c r="CO112" i="15"/>
  <c r="EK112" i="15"/>
  <c r="EO112" i="15"/>
  <c r="CL130" i="15"/>
  <c r="EJ91" i="15"/>
  <c r="BW112" i="15"/>
  <c r="EH91" i="15"/>
  <c r="BQ112" i="15"/>
  <c r="C54" i="16"/>
  <c r="BJ50" i="16"/>
  <c r="BJ54" i="16" s="1"/>
  <c r="BK50" i="16"/>
  <c r="BK54" i="16" s="1"/>
  <c r="DX31" i="12"/>
  <c r="FI72" i="15"/>
  <c r="DZ31" i="12"/>
  <c r="DY31" i="12"/>
  <c r="FG72" i="15"/>
  <c r="CE52" i="16"/>
  <c r="CE56" i="16" s="1"/>
  <c r="X15" i="16"/>
  <c r="X19" i="16" s="1"/>
  <c r="FE48" i="15"/>
  <c r="BP50" i="16"/>
  <c r="BP54" i="16" s="1"/>
  <c r="U54" i="16"/>
  <c r="FE72" i="15"/>
  <c r="FH72" i="15"/>
  <c r="BL50" i="16"/>
  <c r="BL54" i="16" s="1"/>
  <c r="I54" i="16"/>
  <c r="EF165" i="13"/>
  <c r="EF162" i="13"/>
  <c r="EF139" i="13"/>
  <c r="EF156" i="13"/>
  <c r="EF173" i="13"/>
  <c r="X25" i="16"/>
  <c r="EE162" i="13"/>
  <c r="EE165" i="13"/>
  <c r="EE139" i="13"/>
  <c r="EE173" i="13"/>
  <c r="EE156" i="13"/>
  <c r="EG165" i="13"/>
  <c r="EG162" i="13"/>
  <c r="EG173" i="13"/>
  <c r="EG156" i="13"/>
  <c r="EG139" i="13"/>
  <c r="CD52" i="16"/>
  <c r="CD56" i="16" s="1"/>
  <c r="BJ56" i="16"/>
  <c r="FF72" i="15"/>
  <c r="BO50" i="16"/>
  <c r="BO54" i="16" s="1"/>
  <c r="CE51" i="16"/>
  <c r="CE55" i="16" s="1"/>
  <c r="CD51" i="16"/>
  <c r="CD55" i="16" s="1"/>
  <c r="BM56" i="16"/>
  <c r="EK48" i="15"/>
  <c r="EO48" i="15"/>
  <c r="C69" i="15"/>
  <c r="C103" i="18"/>
  <c r="EK91" i="15"/>
  <c r="EO91" i="15"/>
  <c r="J115" i="15"/>
  <c r="J129" i="15"/>
  <c r="F111" i="15"/>
  <c r="F168" i="18" s="1"/>
  <c r="F94" i="15"/>
  <c r="C75" i="15"/>
  <c r="C90" i="15"/>
  <c r="C138" i="18" s="1"/>
  <c r="E94" i="15"/>
  <c r="E111" i="15"/>
  <c r="E168" i="18" s="1"/>
  <c r="H111" i="15"/>
  <c r="H168" i="18" s="1"/>
  <c r="H94" i="15"/>
  <c r="G94" i="15"/>
  <c r="G111" i="15"/>
  <c r="G168" i="18" s="1"/>
  <c r="D115" i="15"/>
  <c r="D129" i="15"/>
  <c r="K129" i="15"/>
  <c r="K115" i="15"/>
  <c r="I115" i="15"/>
  <c r="I129" i="15"/>
  <c r="CY545" i="2"/>
  <c r="BY135" i="13"/>
  <c r="CY475" i="2"/>
  <c r="BZ72" i="13"/>
  <c r="BZ88" i="13" s="1"/>
  <c r="DS88" i="13" s="1"/>
  <c r="CY106" i="2"/>
  <c r="CX665" i="2"/>
  <c r="CU643" i="2"/>
  <c r="CU654" i="2" s="1"/>
  <c r="Y13" i="16"/>
  <c r="CV631" i="2"/>
  <c r="CV643" i="2" s="1"/>
  <c r="CV654" i="2" s="1"/>
  <c r="CV607" i="2"/>
  <c r="X20" i="16"/>
  <c r="X28" i="16"/>
  <c r="CU605" i="2"/>
  <c r="Y4" i="16"/>
  <c r="CU629" i="2"/>
  <c r="Y16" i="16"/>
  <c r="Y15" i="16" s="1"/>
  <c r="CU642" i="2"/>
  <c r="CU653" i="2" s="1"/>
  <c r="CV630" i="2"/>
  <c r="Z16" i="16" s="1"/>
  <c r="CV606" i="2"/>
  <c r="X12" i="16"/>
  <c r="CU626" i="2"/>
  <c r="CU638" i="2" s="1"/>
  <c r="CT625" i="2"/>
  <c r="X3" i="16"/>
  <c r="Y5" i="16"/>
  <c r="CU639" i="2"/>
  <c r="CT638" i="2"/>
  <c r="Y21" i="16"/>
  <c r="Y29" i="16"/>
  <c r="Y7" i="16"/>
  <c r="CZ617" i="2"/>
  <c r="Z8" i="16"/>
  <c r="BQ8" i="16" s="1"/>
  <c r="Z9" i="16"/>
  <c r="BQ9" i="16" s="1"/>
  <c r="DC362" i="2"/>
  <c r="DB360" i="2"/>
  <c r="DC358" i="2"/>
  <c r="DB356" i="2"/>
  <c r="BY29" i="16" l="1"/>
  <c r="BY27" i="16"/>
  <c r="BY21" i="16"/>
  <c r="BY19" i="16"/>
  <c r="AV39" i="16"/>
  <c r="BY40" i="16"/>
  <c r="AW39" i="16"/>
  <c r="AY15" i="16"/>
  <c r="FF48" i="15"/>
  <c r="FG48" i="15"/>
  <c r="CU121" i="11"/>
  <c r="X27" i="16"/>
  <c r="X40" i="16"/>
  <c r="AY40" i="16"/>
  <c r="AX41" i="16"/>
  <c r="AX39" i="16" s="1"/>
  <c r="AZ28" i="16"/>
  <c r="AZ20" i="16"/>
  <c r="AY21" i="16"/>
  <c r="AY29" i="16"/>
  <c r="DV643" i="2"/>
  <c r="DV654" i="2" s="1"/>
  <c r="AZ17" i="16"/>
  <c r="AZ15" i="16" s="1"/>
  <c r="AZ19" i="16" s="1"/>
  <c r="DC145" i="13"/>
  <c r="CV122" i="11"/>
  <c r="CV121" i="11" s="1"/>
  <c r="CV92" i="12"/>
  <c r="DU641" i="2"/>
  <c r="DU653" i="2"/>
  <c r="EC561" i="2"/>
  <c r="EC560" i="2" s="1"/>
  <c r="DD146" i="13"/>
  <c r="EC146" i="13" s="1"/>
  <c r="EJ146" i="13" s="1"/>
  <c r="DW631" i="2"/>
  <c r="DX635" i="2"/>
  <c r="DX634" i="2"/>
  <c r="DW630" i="2"/>
  <c r="BA16" i="16" s="1"/>
  <c r="BZ16" i="16" s="1"/>
  <c r="DV642" i="2"/>
  <c r="DV629" i="2"/>
  <c r="DX531" i="2"/>
  <c r="DX529" i="2"/>
  <c r="DX364" i="2"/>
  <c r="DX108" i="2"/>
  <c r="DY93" i="3" s="1"/>
  <c r="EV112" i="15"/>
  <c r="DG130" i="15"/>
  <c r="FI91" i="15"/>
  <c r="ET112" i="15"/>
  <c r="DA130" i="15"/>
  <c r="EG112" i="15"/>
  <c r="BN130" i="15"/>
  <c r="EX112" i="15"/>
  <c r="DM130" i="15"/>
  <c r="FE91" i="15"/>
  <c r="FF91" i="15"/>
  <c r="FG91" i="15"/>
  <c r="FH91" i="15"/>
  <c r="ES112" i="15"/>
  <c r="CX130" i="15"/>
  <c r="EN112" i="15"/>
  <c r="CI130" i="15"/>
  <c r="CU142" i="15"/>
  <c r="ER142" i="15" s="1"/>
  <c r="ER130" i="15"/>
  <c r="DJ142" i="15"/>
  <c r="EW142" i="15" s="1"/>
  <c r="EW130" i="15"/>
  <c r="CC142" i="15"/>
  <c r="EL142" i="15" s="1"/>
  <c r="EL130" i="15"/>
  <c r="EM112" i="15"/>
  <c r="CF130" i="15"/>
  <c r="EI112" i="15"/>
  <c r="BT130" i="15"/>
  <c r="EF112" i="15"/>
  <c r="BK130" i="15"/>
  <c r="EQ112" i="15"/>
  <c r="CR130" i="15"/>
  <c r="EU112" i="15"/>
  <c r="DD130" i="15"/>
  <c r="EY112" i="15"/>
  <c r="DP130" i="15"/>
  <c r="EP112" i="15"/>
  <c r="CO130" i="15"/>
  <c r="CL142" i="15"/>
  <c r="EO130" i="15"/>
  <c r="EK130" i="15"/>
  <c r="EJ112" i="15"/>
  <c r="BW130" i="15"/>
  <c r="EH112" i="15"/>
  <c r="BQ130" i="15"/>
  <c r="CD50" i="16"/>
  <c r="CD54" i="16" s="1"/>
  <c r="Y41" i="16"/>
  <c r="DS72" i="13"/>
  <c r="CE50" i="16"/>
  <c r="CE54" i="16" s="1"/>
  <c r="BQ16" i="16"/>
  <c r="X11" i="16"/>
  <c r="G115" i="15"/>
  <c r="G129" i="15"/>
  <c r="H115" i="15"/>
  <c r="H129" i="15"/>
  <c r="E129" i="15"/>
  <c r="E115" i="15"/>
  <c r="C111" i="15"/>
  <c r="C168" i="18" s="1"/>
  <c r="C94" i="15"/>
  <c r="I141" i="15"/>
  <c r="I145" i="15" s="1"/>
  <c r="I133" i="15"/>
  <c r="K133" i="15"/>
  <c r="K141" i="15"/>
  <c r="K145" i="15" s="1"/>
  <c r="F129" i="15"/>
  <c r="F115" i="15"/>
  <c r="D133" i="15"/>
  <c r="D141" i="15"/>
  <c r="D145" i="15" s="1"/>
  <c r="J141" i="15"/>
  <c r="J145" i="15" s="1"/>
  <c r="J133" i="15"/>
  <c r="CZ545" i="2"/>
  <c r="BZ135" i="13"/>
  <c r="DS135" i="13" s="1"/>
  <c r="CZ475" i="2"/>
  <c r="CA72" i="13"/>
  <c r="CZ106" i="2"/>
  <c r="CU641" i="2"/>
  <c r="CY665" i="2"/>
  <c r="Y25" i="16"/>
  <c r="CV642" i="2"/>
  <c r="CV641" i="2" s="1"/>
  <c r="X24" i="16"/>
  <c r="Y19" i="16"/>
  <c r="Y28" i="16"/>
  <c r="Y20" i="16"/>
  <c r="CW631" i="2"/>
  <c r="AA17" i="16" s="1"/>
  <c r="CW607" i="2"/>
  <c r="CV626" i="2"/>
  <c r="CV638" i="2" s="1"/>
  <c r="Y12" i="16"/>
  <c r="Y11" i="16" s="1"/>
  <c r="CU625" i="2"/>
  <c r="Z5" i="16"/>
  <c r="BQ5" i="16" s="1"/>
  <c r="Y3" i="16"/>
  <c r="CV605" i="2"/>
  <c r="Z4" i="16"/>
  <c r="BQ4" i="16" s="1"/>
  <c r="CV629" i="2"/>
  <c r="Z17" i="16"/>
  <c r="CV627" i="2"/>
  <c r="CV639" i="2" s="1"/>
  <c r="CU637" i="2"/>
  <c r="CW630" i="2"/>
  <c r="CW642" i="2" s="1"/>
  <c r="CW606" i="2"/>
  <c r="CT637" i="2"/>
  <c r="Z20" i="16"/>
  <c r="Z28" i="16"/>
  <c r="DA617" i="2"/>
  <c r="Z7" i="16"/>
  <c r="BQ7" i="16" s="1"/>
  <c r="AA8" i="16"/>
  <c r="AA9" i="16"/>
  <c r="DD358" i="2"/>
  <c r="DC356" i="2"/>
  <c r="DD362" i="2"/>
  <c r="DC360" i="2"/>
  <c r="BY41" i="16" l="1"/>
  <c r="BY39" i="16"/>
  <c r="AY19" i="16"/>
  <c r="AY27" i="16"/>
  <c r="BZ20" i="16"/>
  <c r="AZ40" i="16"/>
  <c r="Z40" i="16"/>
  <c r="BQ28" i="16"/>
  <c r="Y27" i="16"/>
  <c r="Y40" i="16"/>
  <c r="AY41" i="16"/>
  <c r="AZ21" i="16"/>
  <c r="AZ29" i="16"/>
  <c r="AZ27" i="16" s="1"/>
  <c r="DW643" i="2"/>
  <c r="DW654" i="2" s="1"/>
  <c r="BA17" i="16"/>
  <c r="BA20" i="16"/>
  <c r="BA28" i="16"/>
  <c r="BZ28" i="16" s="1"/>
  <c r="DD145" i="13"/>
  <c r="EC145" i="13" s="1"/>
  <c r="EJ145" i="13" s="1"/>
  <c r="CW122" i="11"/>
  <c r="CW92" i="12"/>
  <c r="DV92" i="12" s="1"/>
  <c r="EC92" i="12" s="1"/>
  <c r="DV641" i="2"/>
  <c r="DV653" i="2"/>
  <c r="DY635" i="2"/>
  <c r="DX631" i="2"/>
  <c r="DY634" i="2"/>
  <c r="DX630" i="2"/>
  <c r="BB16" i="16" s="1"/>
  <c r="DW642" i="2"/>
  <c r="DW629" i="2"/>
  <c r="DY529" i="2"/>
  <c r="DY531" i="2"/>
  <c r="DY364" i="2"/>
  <c r="DY108" i="2"/>
  <c r="DZ93" i="3" s="1"/>
  <c r="DG142" i="15"/>
  <c r="EV142" i="15" s="1"/>
  <c r="EV130" i="15"/>
  <c r="ET130" i="15"/>
  <c r="DA142" i="15"/>
  <c r="ET142" i="15" s="1"/>
  <c r="EX130" i="15"/>
  <c r="DM142" i="15"/>
  <c r="EX142" i="15" s="1"/>
  <c r="FI112" i="15"/>
  <c r="BN142" i="15"/>
  <c r="EG142" i="15" s="1"/>
  <c r="EG130" i="15"/>
  <c r="FE112" i="15"/>
  <c r="CX142" i="15"/>
  <c r="ES142" i="15" s="1"/>
  <c r="ES130" i="15"/>
  <c r="CI142" i="15"/>
  <c r="EN142" i="15" s="1"/>
  <c r="EN130" i="15"/>
  <c r="CF142" i="15"/>
  <c r="EM142" i="15" s="1"/>
  <c r="EM130" i="15"/>
  <c r="BT142" i="15"/>
  <c r="EI142" i="15" s="1"/>
  <c r="EI130" i="15"/>
  <c r="BK142" i="15"/>
  <c r="EF142" i="15" s="1"/>
  <c r="EF130" i="15"/>
  <c r="CR142" i="15"/>
  <c r="EQ142" i="15" s="1"/>
  <c r="EQ130" i="15"/>
  <c r="DD142" i="15"/>
  <c r="EU142" i="15" s="1"/>
  <c r="EU130" i="15"/>
  <c r="DP142" i="15"/>
  <c r="EY142" i="15" s="1"/>
  <c r="EY130" i="15"/>
  <c r="CO142" i="15"/>
  <c r="EP142" i="15" s="1"/>
  <c r="EP130" i="15"/>
  <c r="EK142" i="15"/>
  <c r="EO142" i="15"/>
  <c r="BW142" i="15"/>
  <c r="EJ142" i="15" s="1"/>
  <c r="EJ130" i="15"/>
  <c r="BQ142" i="15"/>
  <c r="EH142" i="15" s="1"/>
  <c r="EH130" i="15"/>
  <c r="FH112" i="15"/>
  <c r="FG112" i="15"/>
  <c r="FF112" i="15"/>
  <c r="CA88" i="13"/>
  <c r="BQ20" i="16"/>
  <c r="Z15" i="16"/>
  <c r="BQ15" i="16" s="1"/>
  <c r="BQ17" i="16"/>
  <c r="X39" i="16"/>
  <c r="C115" i="15"/>
  <c r="C129" i="15"/>
  <c r="E133" i="15"/>
  <c r="E141" i="15"/>
  <c r="E145" i="15" s="1"/>
  <c r="H133" i="15"/>
  <c r="H141" i="15"/>
  <c r="H145" i="15" s="1"/>
  <c r="G141" i="15"/>
  <c r="G145" i="15" s="1"/>
  <c r="G133" i="15"/>
  <c r="F133" i="15"/>
  <c r="F141" i="15"/>
  <c r="F145" i="15" s="1"/>
  <c r="DA545" i="2"/>
  <c r="CA135" i="13"/>
  <c r="CB72" i="13"/>
  <c r="CB88" i="13" s="1"/>
  <c r="DA475" i="2"/>
  <c r="DA106" i="2"/>
  <c r="CT646" i="2"/>
  <c r="CT647" i="2"/>
  <c r="Y24" i="16"/>
  <c r="Y23" i="16" s="1"/>
  <c r="CW643" i="2"/>
  <c r="CW654" i="2" s="1"/>
  <c r="CV653" i="2"/>
  <c r="X23" i="16"/>
  <c r="Z29" i="16"/>
  <c r="Z27" i="16" s="1"/>
  <c r="CZ665" i="2"/>
  <c r="Z21" i="16"/>
  <c r="CW629" i="2"/>
  <c r="AA16" i="16"/>
  <c r="CX631" i="2"/>
  <c r="AB17" i="16" s="1"/>
  <c r="CX607" i="2"/>
  <c r="Z13" i="16"/>
  <c r="CW627" i="2"/>
  <c r="CV637" i="2"/>
  <c r="Z12" i="16"/>
  <c r="BQ12" i="16" s="1"/>
  <c r="CW626" i="2"/>
  <c r="CW638" i="2" s="1"/>
  <c r="CV625" i="2"/>
  <c r="CX630" i="2"/>
  <c r="CX642" i="2" s="1"/>
  <c r="CX606" i="2"/>
  <c r="Z3" i="16"/>
  <c r="BQ3" i="16" s="1"/>
  <c r="AA5" i="16"/>
  <c r="AA4" i="16"/>
  <c r="CW605" i="2"/>
  <c r="AA21" i="16"/>
  <c r="AA29" i="16"/>
  <c r="DB617" i="2"/>
  <c r="AA7" i="16"/>
  <c r="CW653" i="2"/>
  <c r="AB9" i="16"/>
  <c r="AB8" i="16"/>
  <c r="DE362" i="2"/>
  <c r="DD360" i="2"/>
  <c r="DE358" i="2"/>
  <c r="DD356" i="2"/>
  <c r="Y39" i="16" l="1"/>
  <c r="AY39" i="16"/>
  <c r="BA15" i="16"/>
  <c r="BZ17" i="16"/>
  <c r="CW121" i="11"/>
  <c r="DV121" i="11" s="1"/>
  <c r="EC121" i="11" s="1"/>
  <c r="DV122" i="11"/>
  <c r="EC122" i="11" s="1"/>
  <c r="BA40" i="16"/>
  <c r="BZ40" i="16" s="1"/>
  <c r="AZ41" i="16"/>
  <c r="AZ39" i="16" s="1"/>
  <c r="BQ40" i="16"/>
  <c r="BQ27" i="16"/>
  <c r="BB20" i="16"/>
  <c r="BB28" i="16"/>
  <c r="DX643" i="2"/>
  <c r="DX654" i="2" s="1"/>
  <c r="BB17" i="16"/>
  <c r="BA21" i="16"/>
  <c r="BA29" i="16"/>
  <c r="BA27" i="16" s="1"/>
  <c r="DW641" i="2"/>
  <c r="DW653" i="2"/>
  <c r="DY631" i="2"/>
  <c r="DZ635" i="2"/>
  <c r="DZ634" i="2"/>
  <c r="DY630" i="2"/>
  <c r="BC16" i="16" s="1"/>
  <c r="DX642" i="2"/>
  <c r="DX629" i="2"/>
  <c r="DZ531" i="2"/>
  <c r="DZ529" i="2"/>
  <c r="DZ364" i="2"/>
  <c r="DZ108" i="2"/>
  <c r="EA93" i="3" s="1"/>
  <c r="FC93" i="3" s="1"/>
  <c r="FI130" i="15"/>
  <c r="FI142" i="15"/>
  <c r="FF130" i="15"/>
  <c r="FH142" i="15"/>
  <c r="FG142" i="15"/>
  <c r="FG130" i="15"/>
  <c r="FH130" i="15"/>
  <c r="FE142" i="15"/>
  <c r="FE130" i="15"/>
  <c r="FF142" i="15"/>
  <c r="Z25" i="16"/>
  <c r="BQ25" i="16" s="1"/>
  <c r="BQ13" i="16"/>
  <c r="BQ21" i="16"/>
  <c r="Z41" i="16"/>
  <c r="BQ41" i="16" s="1"/>
  <c r="BQ29" i="16"/>
  <c r="AA41" i="16"/>
  <c r="BQ19" i="16"/>
  <c r="AA15" i="16"/>
  <c r="Z19" i="16"/>
  <c r="C141" i="15"/>
  <c r="C145" i="15" s="1"/>
  <c r="C133" i="15"/>
  <c r="DB545" i="2"/>
  <c r="CB135" i="13"/>
  <c r="CC72" i="13"/>
  <c r="CC88" i="13" s="1"/>
  <c r="DT88" i="13" s="1"/>
  <c r="DB475" i="2"/>
  <c r="DB106" i="2"/>
  <c r="CU647" i="2"/>
  <c r="X33" i="16"/>
  <c r="CT651" i="2"/>
  <c r="CT645" i="2"/>
  <c r="X32" i="16"/>
  <c r="CU646" i="2"/>
  <c r="CT650" i="2"/>
  <c r="AA28" i="16"/>
  <c r="CW641" i="2"/>
  <c r="AA20" i="16"/>
  <c r="DA665" i="2"/>
  <c r="CX643" i="2"/>
  <c r="CX654" i="2" s="1"/>
  <c r="CY631" i="2"/>
  <c r="AC17" i="16" s="1"/>
  <c r="BR17" i="16" s="1"/>
  <c r="CY607" i="2"/>
  <c r="AB16" i="16"/>
  <c r="AB15" i="16" s="1"/>
  <c r="CX629" i="2"/>
  <c r="AA3" i="16"/>
  <c r="AA12" i="16"/>
  <c r="CX626" i="2"/>
  <c r="CW625" i="2"/>
  <c r="CX605" i="2"/>
  <c r="AB4" i="16"/>
  <c r="AB5" i="16"/>
  <c r="AA13" i="16"/>
  <c r="CX627" i="2"/>
  <c r="Z11" i="16"/>
  <c r="BQ11" i="16" s="1"/>
  <c r="CW639" i="2"/>
  <c r="CY630" i="2"/>
  <c r="CY642" i="2" s="1"/>
  <c r="CY606" i="2"/>
  <c r="Z24" i="16"/>
  <c r="BQ24" i="16" s="1"/>
  <c r="AB21" i="16"/>
  <c r="AB29" i="16"/>
  <c r="DC617" i="2"/>
  <c r="AC8" i="16"/>
  <c r="BR8" i="16" s="1"/>
  <c r="AB7" i="16"/>
  <c r="CX653" i="2"/>
  <c r="AC9" i="16"/>
  <c r="BR9" i="16" s="1"/>
  <c r="DF358" i="2"/>
  <c r="DE356" i="2"/>
  <c r="DF362" i="2"/>
  <c r="DE360" i="2"/>
  <c r="BZ15" i="16" l="1"/>
  <c r="BA19" i="16"/>
  <c r="BZ21" i="16"/>
  <c r="BZ27" i="16"/>
  <c r="BZ29" i="16"/>
  <c r="AA27" i="16"/>
  <c r="AA40" i="16"/>
  <c r="BB40" i="16"/>
  <c r="BA41" i="16"/>
  <c r="BA39" i="16" s="1"/>
  <c r="AB41" i="16"/>
  <c r="BB15" i="16"/>
  <c r="BB21" i="16"/>
  <c r="BB29" i="16"/>
  <c r="BC20" i="16"/>
  <c r="BC28" i="16"/>
  <c r="DY643" i="2"/>
  <c r="DY654" i="2" s="1"/>
  <c r="BC17" i="16"/>
  <c r="DX641" i="2"/>
  <c r="DX653" i="2"/>
  <c r="DZ631" i="2"/>
  <c r="EA635" i="2"/>
  <c r="DY642" i="2"/>
  <c r="DY629" i="2"/>
  <c r="EA634" i="2"/>
  <c r="DZ630" i="2"/>
  <c r="BD16" i="16" s="1"/>
  <c r="CA16" i="16" s="1"/>
  <c r="EA529" i="2"/>
  <c r="EA531" i="2"/>
  <c r="EA364" i="2"/>
  <c r="EA108" i="2"/>
  <c r="EB93" i="3" s="1"/>
  <c r="BR21" i="16"/>
  <c r="DT72" i="13"/>
  <c r="Z39" i="16"/>
  <c r="BQ39" i="16" s="1"/>
  <c r="AA25" i="16"/>
  <c r="X37" i="16"/>
  <c r="AA19" i="16"/>
  <c r="DC545" i="2"/>
  <c r="CC135" i="13"/>
  <c r="DT135" i="13" s="1"/>
  <c r="CD72" i="13"/>
  <c r="DC475" i="2"/>
  <c r="DC106" i="2"/>
  <c r="CT658" i="2"/>
  <c r="X45" i="16" s="1"/>
  <c r="CT649" i="2"/>
  <c r="CT657" i="2"/>
  <c r="CT668" i="2" s="1"/>
  <c r="Y32" i="16"/>
  <c r="CV646" i="2"/>
  <c r="CU645" i="2"/>
  <c r="CU650" i="2"/>
  <c r="X31" i="16"/>
  <c r="X36" i="16"/>
  <c r="CV647" i="2"/>
  <c r="Y33" i="16"/>
  <c r="Y37" i="16" s="1"/>
  <c r="CU651" i="2"/>
  <c r="CU658" i="2" s="1"/>
  <c r="CY643" i="2"/>
  <c r="CY654" i="2" s="1"/>
  <c r="CX641" i="2"/>
  <c r="AA11" i="16"/>
  <c r="DB665" i="2"/>
  <c r="AB28" i="16"/>
  <c r="AB20" i="16"/>
  <c r="CZ631" i="2"/>
  <c r="AD17" i="16" s="1"/>
  <c r="CZ607" i="2"/>
  <c r="AB12" i="16"/>
  <c r="AB24" i="16" s="1"/>
  <c r="CY626" i="2"/>
  <c r="CY638" i="2" s="1"/>
  <c r="CX625" i="2"/>
  <c r="AB19" i="16"/>
  <c r="CW637" i="2"/>
  <c r="AB13" i="16"/>
  <c r="AB25" i="16" s="1"/>
  <c r="CY627" i="2"/>
  <c r="AB3" i="16"/>
  <c r="AC5" i="16"/>
  <c r="BR5" i="16" s="1"/>
  <c r="AA24" i="16"/>
  <c r="Z23" i="16"/>
  <c r="BQ23" i="16" s="1"/>
  <c r="CX638" i="2"/>
  <c r="CZ630" i="2"/>
  <c r="CZ606" i="2"/>
  <c r="CX639" i="2"/>
  <c r="AC4" i="16"/>
  <c r="BR4" i="16" s="1"/>
  <c r="CY605" i="2"/>
  <c r="AC16" i="16"/>
  <c r="AC15" i="16" s="1"/>
  <c r="BR15" i="16" s="1"/>
  <c r="CY629" i="2"/>
  <c r="AC21" i="16"/>
  <c r="AC29" i="16"/>
  <c r="DD617" i="2"/>
  <c r="AD9" i="16"/>
  <c r="AD8" i="16"/>
  <c r="CY653" i="2"/>
  <c r="AC7" i="16"/>
  <c r="BR7" i="16" s="1"/>
  <c r="DG358" i="2"/>
  <c r="DF356" i="2"/>
  <c r="DG362" i="2"/>
  <c r="DF360" i="2"/>
  <c r="BZ41" i="16" l="1"/>
  <c r="BZ39" i="16"/>
  <c r="BZ19" i="16"/>
  <c r="BB19" i="16"/>
  <c r="BB27" i="16"/>
  <c r="CA20" i="16"/>
  <c r="AB27" i="16"/>
  <c r="AB40" i="16"/>
  <c r="BC40" i="16"/>
  <c r="AB39" i="16"/>
  <c r="BB41" i="16"/>
  <c r="AC41" i="16"/>
  <c r="BR41" i="16" s="1"/>
  <c r="BC21" i="16"/>
  <c r="BC29" i="16"/>
  <c r="BC27" i="16" s="1"/>
  <c r="BC15" i="16"/>
  <c r="BC19" i="16" s="1"/>
  <c r="BD20" i="16"/>
  <c r="BD28" i="16"/>
  <c r="CA28" i="16" s="1"/>
  <c r="DZ643" i="2"/>
  <c r="DZ654" i="2" s="1"/>
  <c r="BD17" i="16"/>
  <c r="DY641" i="2"/>
  <c r="DY653" i="2"/>
  <c r="EB635" i="2"/>
  <c r="EA631" i="2"/>
  <c r="DZ642" i="2"/>
  <c r="DZ629" i="2"/>
  <c r="EB634" i="2"/>
  <c r="EA630" i="2"/>
  <c r="BE16" i="16" s="1"/>
  <c r="EB529" i="2"/>
  <c r="EB531" i="2"/>
  <c r="EB364" i="2"/>
  <c r="EB108" i="2"/>
  <c r="EC93" i="3" s="1"/>
  <c r="BR19" i="16"/>
  <c r="CD88" i="13"/>
  <c r="X52" i="16"/>
  <c r="BR29" i="16"/>
  <c r="AA39" i="16"/>
  <c r="X35" i="16"/>
  <c r="BR16" i="16"/>
  <c r="DD545" i="2"/>
  <c r="CD135" i="13"/>
  <c r="DD475" i="2"/>
  <c r="CE72" i="13"/>
  <c r="CE88" i="13" s="1"/>
  <c r="AC20" i="16"/>
  <c r="DD106" i="2"/>
  <c r="CT669" i="2"/>
  <c r="CT673" i="2" s="1"/>
  <c r="CT672" i="2"/>
  <c r="Y31" i="16"/>
  <c r="Y36" i="16"/>
  <c r="Z32" i="16"/>
  <c r="BQ32" i="16" s="1"/>
  <c r="CV645" i="2"/>
  <c r="CW646" i="2"/>
  <c r="CV650" i="2"/>
  <c r="AC28" i="16"/>
  <c r="BR28" i="16" s="1"/>
  <c r="CU657" i="2"/>
  <c r="CU668" i="2" s="1"/>
  <c r="CU649" i="2"/>
  <c r="CT656" i="2"/>
  <c r="X44" i="16"/>
  <c r="Z33" i="16"/>
  <c r="CW647" i="2"/>
  <c r="CV651" i="2"/>
  <c r="CU669" i="2"/>
  <c r="CU673" i="2" s="1"/>
  <c r="Y45" i="16"/>
  <c r="AC19" i="16"/>
  <c r="CZ643" i="2"/>
  <c r="CZ654" i="2" s="1"/>
  <c r="CY641" i="2"/>
  <c r="DC665" i="2"/>
  <c r="CZ629" i="2"/>
  <c r="AD16" i="16"/>
  <c r="CX637" i="2"/>
  <c r="AC12" i="16"/>
  <c r="AC24" i="16" s="1"/>
  <c r="BR24" i="16" s="1"/>
  <c r="CZ626" i="2"/>
  <c r="CY625" i="2"/>
  <c r="AD4" i="16"/>
  <c r="CZ605" i="2"/>
  <c r="AA23" i="16"/>
  <c r="AB11" i="16"/>
  <c r="AB23" i="16"/>
  <c r="AC13" i="16"/>
  <c r="AC25" i="16" s="1"/>
  <c r="BR25" i="16" s="1"/>
  <c r="CZ627" i="2"/>
  <c r="DA630" i="2"/>
  <c r="AE16" i="16" s="1"/>
  <c r="DA606" i="2"/>
  <c r="CY639" i="2"/>
  <c r="AD5" i="16"/>
  <c r="CZ642" i="2"/>
  <c r="CZ653" i="2" s="1"/>
  <c r="DA631" i="2"/>
  <c r="DA607" i="2"/>
  <c r="AC3" i="16"/>
  <c r="BR3" i="16" s="1"/>
  <c r="AD21" i="16"/>
  <c r="AD29" i="16"/>
  <c r="AD7" i="16"/>
  <c r="DE617" i="2"/>
  <c r="AE8" i="16"/>
  <c r="AE9" i="16"/>
  <c r="DH358" i="2"/>
  <c r="DG356" i="2"/>
  <c r="DH362" i="2"/>
  <c r="DG360" i="2"/>
  <c r="BB39" i="16" l="1"/>
  <c r="BD15" i="16"/>
  <c r="BD19" i="16" s="1"/>
  <c r="CA17" i="16"/>
  <c r="AC27" i="16"/>
  <c r="BR27" i="16" s="1"/>
  <c r="AC40" i="16"/>
  <c r="BD40" i="16"/>
  <c r="CA40" i="16" s="1"/>
  <c r="BC41" i="16"/>
  <c r="BC39" i="16" s="1"/>
  <c r="BE20" i="16"/>
  <c r="BE28" i="16"/>
  <c r="BD21" i="16"/>
  <c r="BD29" i="16"/>
  <c r="BD27" i="16" s="1"/>
  <c r="EA643" i="2"/>
  <c r="EA654" i="2" s="1"/>
  <c r="BE17" i="16"/>
  <c r="DZ641" i="2"/>
  <c r="DZ653" i="2"/>
  <c r="EC635" i="2"/>
  <c r="EC631" i="2" s="1"/>
  <c r="EB631" i="2"/>
  <c r="EA642" i="2"/>
  <c r="EA629" i="2"/>
  <c r="EB630" i="2"/>
  <c r="BF16" i="16" s="1"/>
  <c r="EC634" i="2"/>
  <c r="EC630" i="2" s="1"/>
  <c r="BG16" i="16" s="1"/>
  <c r="EC531" i="2"/>
  <c r="EC529" i="2"/>
  <c r="EC364" i="2"/>
  <c r="EC108" i="2"/>
  <c r="ED93" i="3" s="1"/>
  <c r="FD93" i="3" s="1"/>
  <c r="FK93" i="3" s="1"/>
  <c r="BR12" i="16"/>
  <c r="AD15" i="16"/>
  <c r="BR20" i="16"/>
  <c r="Z37" i="16"/>
  <c r="BQ37" i="16" s="1"/>
  <c r="BQ33" i="16"/>
  <c r="X56" i="16"/>
  <c r="BR13" i="16"/>
  <c r="DE545" i="2"/>
  <c r="CE135" i="13"/>
  <c r="DE475" i="2"/>
  <c r="CF72" i="13"/>
  <c r="CF88" i="13" s="1"/>
  <c r="DU88" i="13" s="1"/>
  <c r="EH88" i="13" s="1"/>
  <c r="DE106" i="2"/>
  <c r="CT667" i="2"/>
  <c r="CT671" i="2" s="1"/>
  <c r="AA33" i="16"/>
  <c r="CX647" i="2"/>
  <c r="CW651" i="2"/>
  <c r="CT661" i="2"/>
  <c r="CT660" i="2"/>
  <c r="CU667" i="2"/>
  <c r="CU671" i="2" s="1"/>
  <c r="CU672" i="2"/>
  <c r="CU656" i="2"/>
  <c r="Y44" i="16"/>
  <c r="Y43" i="16" s="1"/>
  <c r="CV657" i="2"/>
  <c r="CV649" i="2"/>
  <c r="CV658" i="2"/>
  <c r="Z45" i="16" s="1"/>
  <c r="CW645" i="2"/>
  <c r="CX646" i="2"/>
  <c r="AA32" i="16"/>
  <c r="CW650" i="2"/>
  <c r="Z31" i="16"/>
  <c r="BQ31" i="16" s="1"/>
  <c r="Z36" i="16"/>
  <c r="BQ36" i="16" s="1"/>
  <c r="Y52" i="16"/>
  <c r="Y56" i="16" s="1"/>
  <c r="Y35" i="16"/>
  <c r="X43" i="16"/>
  <c r="X51" i="16"/>
  <c r="DD665" i="2"/>
  <c r="CY637" i="2"/>
  <c r="CZ641" i="2"/>
  <c r="AD13" i="16"/>
  <c r="DA627" i="2"/>
  <c r="DA639" i="2" s="1"/>
  <c r="AE5" i="16"/>
  <c r="AC11" i="16"/>
  <c r="BR11" i="16" s="1"/>
  <c r="AC23" i="16"/>
  <c r="BR23" i="16" s="1"/>
  <c r="AD12" i="16"/>
  <c r="DA626" i="2"/>
  <c r="CZ625" i="2"/>
  <c r="DA629" i="2"/>
  <c r="AE17" i="16"/>
  <c r="AD20" i="16"/>
  <c r="CZ639" i="2"/>
  <c r="DA643" i="2"/>
  <c r="DA654" i="2" s="1"/>
  <c r="AD41" i="16"/>
  <c r="AD28" i="16"/>
  <c r="DB631" i="2"/>
  <c r="AF17" i="16" s="1"/>
  <c r="DB607" i="2"/>
  <c r="CZ638" i="2"/>
  <c r="DA642" i="2"/>
  <c r="DA653" i="2" s="1"/>
  <c r="DB630" i="2"/>
  <c r="DB606" i="2"/>
  <c r="DA605" i="2"/>
  <c r="AE4" i="16"/>
  <c r="AD3" i="16"/>
  <c r="AE20" i="16"/>
  <c r="AE28" i="16"/>
  <c r="DF617" i="2"/>
  <c r="AF9" i="16"/>
  <c r="BS9" i="16" s="1"/>
  <c r="AE7" i="16"/>
  <c r="AF8" i="16"/>
  <c r="BS8" i="16" s="1"/>
  <c r="DI362" i="2"/>
  <c r="DH360" i="2"/>
  <c r="DI358" i="2"/>
  <c r="DH356" i="2"/>
  <c r="CA15" i="16" l="1"/>
  <c r="CA27" i="16"/>
  <c r="CA29" i="16"/>
  <c r="CB16" i="16"/>
  <c r="CA19" i="16"/>
  <c r="CA21" i="16"/>
  <c r="CB20" i="16"/>
  <c r="CH16" i="16"/>
  <c r="CH20" i="16" s="1"/>
  <c r="BE40" i="16"/>
  <c r="AD40" i="16"/>
  <c r="AD39" i="16" s="1"/>
  <c r="AD27" i="16"/>
  <c r="AE40" i="16"/>
  <c r="BD41" i="16"/>
  <c r="CA41" i="16" s="1"/>
  <c r="EC643" i="2"/>
  <c r="EC654" i="2" s="1"/>
  <c r="BG17" i="16"/>
  <c r="BG15" i="16" s="1"/>
  <c r="BG19" i="16" s="1"/>
  <c r="BE21" i="16"/>
  <c r="BE29" i="16"/>
  <c r="BG20" i="16"/>
  <c r="BG28" i="16"/>
  <c r="BF20" i="16"/>
  <c r="BF28" i="16"/>
  <c r="CB28" i="16" s="1"/>
  <c r="CH28" i="16" s="1"/>
  <c r="BE15" i="16"/>
  <c r="EB643" i="2"/>
  <c r="EB654" i="2" s="1"/>
  <c r="BF17" i="16"/>
  <c r="EA641" i="2"/>
  <c r="EA653" i="2"/>
  <c r="EC642" i="2"/>
  <c r="EC629" i="2"/>
  <c r="EB642" i="2"/>
  <c r="EB629" i="2"/>
  <c r="DU72" i="13"/>
  <c r="EH72" i="13" s="1"/>
  <c r="AE21" i="16"/>
  <c r="BS17" i="16"/>
  <c r="AD25" i="16"/>
  <c r="AA37" i="16"/>
  <c r="AD24" i="16"/>
  <c r="AD19" i="16"/>
  <c r="AC39" i="16"/>
  <c r="BR39" i="16" s="1"/>
  <c r="BR40" i="16"/>
  <c r="Z52" i="16"/>
  <c r="Z56" i="16" s="1"/>
  <c r="BQ45" i="16"/>
  <c r="DF545" i="2"/>
  <c r="CF135" i="13"/>
  <c r="DU135" i="13" s="1"/>
  <c r="EH135" i="13" s="1"/>
  <c r="DF475" i="2"/>
  <c r="CG72" i="13"/>
  <c r="DF106" i="2"/>
  <c r="AB32" i="16"/>
  <c r="CX645" i="2"/>
  <c r="CY646" i="2"/>
  <c r="CX650" i="2"/>
  <c r="CV669" i="2"/>
  <c r="CV673" i="2" s="1"/>
  <c r="CU660" i="2"/>
  <c r="X47" i="16"/>
  <c r="Z35" i="16"/>
  <c r="BQ35" i="16" s="1"/>
  <c r="X55" i="16"/>
  <c r="X50" i="16"/>
  <c r="X48" i="16"/>
  <c r="CU661" i="2"/>
  <c r="CW657" i="2"/>
  <c r="CW649" i="2"/>
  <c r="AA31" i="16"/>
  <c r="AA36" i="16"/>
  <c r="CW658" i="2"/>
  <c r="AA45" i="16" s="1"/>
  <c r="Y51" i="16"/>
  <c r="CV668" i="2"/>
  <c r="Z44" i="16"/>
  <c r="CV656" i="2"/>
  <c r="CY647" i="2"/>
  <c r="AB33" i="16"/>
  <c r="AB37" i="16" s="1"/>
  <c r="CX651" i="2"/>
  <c r="AE15" i="16"/>
  <c r="AE19" i="16" s="1"/>
  <c r="DE665" i="2"/>
  <c r="DG664" i="2"/>
  <c r="AE29" i="16"/>
  <c r="AE27" i="16" s="1"/>
  <c r="AD11" i="16"/>
  <c r="DB629" i="2"/>
  <c r="AF16" i="16"/>
  <c r="AF5" i="16"/>
  <c r="BS5" i="16" s="1"/>
  <c r="DC630" i="2"/>
  <c r="AG16" i="16" s="1"/>
  <c r="DC606" i="2"/>
  <c r="DB605" i="2"/>
  <c r="AF4" i="16"/>
  <c r="BS4" i="16" s="1"/>
  <c r="DB642" i="2"/>
  <c r="DB653" i="2" s="1"/>
  <c r="CZ637" i="2"/>
  <c r="DA641" i="2"/>
  <c r="DB643" i="2"/>
  <c r="DB654" i="2" s="1"/>
  <c r="DC631" i="2"/>
  <c r="DC643" i="2" s="1"/>
  <c r="DC654" i="2" s="1"/>
  <c r="DC607" i="2"/>
  <c r="AE3" i="16"/>
  <c r="AE12" i="16"/>
  <c r="DB626" i="2"/>
  <c r="DB638" i="2" s="1"/>
  <c r="DA625" i="2"/>
  <c r="AE13" i="16"/>
  <c r="AE25" i="16" s="1"/>
  <c r="DB627" i="2"/>
  <c r="DB639" i="2" s="1"/>
  <c r="DA638" i="2"/>
  <c r="AF21" i="16"/>
  <c r="AF29" i="16"/>
  <c r="AF7" i="16"/>
  <c r="BS7" i="16" s="1"/>
  <c r="DG617" i="2"/>
  <c r="AG8" i="16"/>
  <c r="AG9" i="16"/>
  <c r="DJ358" i="2"/>
  <c r="DI356" i="2"/>
  <c r="DJ362" i="2"/>
  <c r="DI360" i="2"/>
  <c r="BD39" i="16" l="1"/>
  <c r="CA39" i="16" s="1"/>
  <c r="BE27" i="16"/>
  <c r="BE19" i="16"/>
  <c r="BF15" i="16"/>
  <c r="BF19" i="16" s="1"/>
  <c r="CB17" i="16"/>
  <c r="BF40" i="16"/>
  <c r="BG40" i="16"/>
  <c r="BE41" i="16"/>
  <c r="BG21" i="16"/>
  <c r="BG29" i="16"/>
  <c r="BG27" i="16" s="1"/>
  <c r="BF21" i="16"/>
  <c r="BF29" i="16"/>
  <c r="BF27" i="16" s="1"/>
  <c r="EC641" i="2"/>
  <c r="EC653" i="2"/>
  <c r="EB641" i="2"/>
  <c r="EB653" i="2"/>
  <c r="AD23" i="16"/>
  <c r="AF15" i="16"/>
  <c r="AF19" i="16" s="1"/>
  <c r="BS16" i="16"/>
  <c r="CG88" i="13"/>
  <c r="AE41" i="16"/>
  <c r="AE39" i="16" s="1"/>
  <c r="BS29" i="16"/>
  <c r="Z43" i="16"/>
  <c r="BQ43" i="16" s="1"/>
  <c r="BQ44" i="16"/>
  <c r="BS21" i="16"/>
  <c r="X54" i="16"/>
  <c r="AA52" i="16"/>
  <c r="BQ52" i="16"/>
  <c r="DG545" i="2"/>
  <c r="CG135" i="13"/>
  <c r="DG475" i="2"/>
  <c r="CH72" i="13"/>
  <c r="CH88" i="13" s="1"/>
  <c r="DG106" i="2"/>
  <c r="CW669" i="2"/>
  <c r="CW673" i="2" s="1"/>
  <c r="Z51" i="16"/>
  <c r="Z50" i="16" s="1"/>
  <c r="Z54" i="16" s="1"/>
  <c r="Y48" i="16"/>
  <c r="CV661" i="2"/>
  <c r="CX657" i="2"/>
  <c r="CX649" i="2"/>
  <c r="AC33" i="16"/>
  <c r="AC37" i="16" s="1"/>
  <c r="BR37" i="16" s="1"/>
  <c r="CZ647" i="2"/>
  <c r="CY651" i="2"/>
  <c r="AC32" i="16"/>
  <c r="BR32" i="16" s="1"/>
  <c r="CY645" i="2"/>
  <c r="CZ646" i="2"/>
  <c r="CY650" i="2"/>
  <c r="CV672" i="2"/>
  <c r="CV667" i="2"/>
  <c r="CV671" i="2" s="1"/>
  <c r="Y55" i="16"/>
  <c r="Y50" i="16"/>
  <c r="Y54" i="16" s="1"/>
  <c r="AA35" i="16"/>
  <c r="CV660" i="2"/>
  <c r="Y47" i="16"/>
  <c r="CX658" i="2"/>
  <c r="AB45" i="16" s="1"/>
  <c r="AB52" i="16" s="1"/>
  <c r="AB56" i="16" s="1"/>
  <c r="CW668" i="2"/>
  <c r="AA44" i="16"/>
  <c r="CW656" i="2"/>
  <c r="AB31" i="16"/>
  <c r="AB36" i="16"/>
  <c r="DH664" i="2"/>
  <c r="AF28" i="16"/>
  <c r="DB641" i="2"/>
  <c r="AF20" i="16"/>
  <c r="AF12" i="16"/>
  <c r="AF24" i="16" s="1"/>
  <c r="DC626" i="2"/>
  <c r="DC638" i="2" s="1"/>
  <c r="DB625" i="2"/>
  <c r="AG4" i="16"/>
  <c r="DC605" i="2"/>
  <c r="DD630" i="2"/>
  <c r="DD606" i="2"/>
  <c r="AF3" i="16"/>
  <c r="BS3" i="16" s="1"/>
  <c r="DD631" i="2"/>
  <c r="AH17" i="16" s="1"/>
  <c r="DD607" i="2"/>
  <c r="DA637" i="2"/>
  <c r="AF13" i="16"/>
  <c r="DC627" i="2"/>
  <c r="DB637" i="2"/>
  <c r="AE11" i="16"/>
  <c r="AE24" i="16"/>
  <c r="AF41" i="16"/>
  <c r="AG5" i="16"/>
  <c r="DC642" i="2"/>
  <c r="DC653" i="2" s="1"/>
  <c r="DC629" i="2"/>
  <c r="AG17" i="16"/>
  <c r="AG20" i="16"/>
  <c r="AG28" i="16"/>
  <c r="DH617" i="2"/>
  <c r="AH9" i="16"/>
  <c r="AG7" i="16"/>
  <c r="AH8" i="16"/>
  <c r="DK362" i="2"/>
  <c r="DJ360" i="2"/>
  <c r="DK358" i="2"/>
  <c r="DJ356" i="2"/>
  <c r="CB15" i="16" l="1"/>
  <c r="CB40" i="16"/>
  <c r="CH40" i="16" s="1"/>
  <c r="CH15" i="16"/>
  <c r="CH19" i="16" s="1"/>
  <c r="CB19" i="16"/>
  <c r="CH17" i="16"/>
  <c r="CH21" i="16" s="1"/>
  <c r="CB21" i="16"/>
  <c r="CB27" i="16"/>
  <c r="CH27" i="16" s="1"/>
  <c r="CB29" i="16"/>
  <c r="CH29" i="16" s="1"/>
  <c r="BE39" i="16"/>
  <c r="AG40" i="16"/>
  <c r="AF40" i="16"/>
  <c r="AF27" i="16"/>
  <c r="BS28" i="16"/>
  <c r="BF41" i="16"/>
  <c r="BF39" i="16"/>
  <c r="BG41" i="16"/>
  <c r="BG39" i="16" s="1"/>
  <c r="BS24" i="16"/>
  <c r="BR33" i="16"/>
  <c r="BS12" i="16"/>
  <c r="BS20" i="16"/>
  <c r="AA43" i="16"/>
  <c r="BS15" i="16"/>
  <c r="AG21" i="16"/>
  <c r="AF25" i="16"/>
  <c r="BS25" i="16" s="1"/>
  <c r="BS13" i="16"/>
  <c r="AA56" i="16"/>
  <c r="BQ50" i="16"/>
  <c r="BS41" i="16"/>
  <c r="BQ51" i="16"/>
  <c r="BQ56" i="16"/>
  <c r="DH545" i="2"/>
  <c r="CH135" i="13"/>
  <c r="CI72" i="13"/>
  <c r="CI88" i="13" s="1"/>
  <c r="DV88" i="13" s="1"/>
  <c r="DH475" i="2"/>
  <c r="DH106" i="2"/>
  <c r="AA51" i="16"/>
  <c r="Z55" i="16"/>
  <c r="CW661" i="2"/>
  <c r="Z48" i="16"/>
  <c r="BQ48" i="16" s="1"/>
  <c r="CZ645" i="2"/>
  <c r="AD32" i="16"/>
  <c r="DA646" i="2"/>
  <c r="CZ650" i="2"/>
  <c r="AC31" i="16"/>
  <c r="BR31" i="16" s="1"/>
  <c r="AC36" i="16"/>
  <c r="BR36" i="16" s="1"/>
  <c r="CX668" i="2"/>
  <c r="AB44" i="16"/>
  <c r="AB43" i="16" s="1"/>
  <c r="CX656" i="2"/>
  <c r="CW672" i="2"/>
  <c r="CW667" i="2"/>
  <c r="CW671" i="2" s="1"/>
  <c r="CY657" i="2"/>
  <c r="CY649" i="2"/>
  <c r="CW660" i="2"/>
  <c r="Z47" i="16"/>
  <c r="BQ47" i="16" s="1"/>
  <c r="CY658" i="2"/>
  <c r="AC45" i="16" s="1"/>
  <c r="AC52" i="16" s="1"/>
  <c r="AC56" i="16" s="1"/>
  <c r="AD33" i="16"/>
  <c r="DA647" i="2"/>
  <c r="CZ651" i="2"/>
  <c r="AB35" i="16"/>
  <c r="CX669" i="2"/>
  <c r="CX673" i="2" s="1"/>
  <c r="DI664" i="2"/>
  <c r="DG665" i="2"/>
  <c r="DD643" i="2"/>
  <c r="DD654" i="2" s="1"/>
  <c r="DC641" i="2"/>
  <c r="AG15" i="16"/>
  <c r="AE23" i="16"/>
  <c r="AG13" i="16"/>
  <c r="DD627" i="2"/>
  <c r="DE607" i="2"/>
  <c r="DE631" i="2"/>
  <c r="AI17" i="16" s="1"/>
  <c r="BT17" i="16" s="1"/>
  <c r="AG29" i="16"/>
  <c r="AG27" i="16" s="1"/>
  <c r="DD605" i="2"/>
  <c r="AH4" i="16"/>
  <c r="AH16" i="16"/>
  <c r="DD629" i="2"/>
  <c r="DC639" i="2"/>
  <c r="AG3" i="16"/>
  <c r="DD642" i="2"/>
  <c r="DD653" i="2" s="1"/>
  <c r="DE630" i="2"/>
  <c r="DE606" i="2"/>
  <c r="AH5" i="16"/>
  <c r="AG12" i="16"/>
  <c r="DD626" i="2"/>
  <c r="DC625" i="2"/>
  <c r="AF11" i="16"/>
  <c r="BS11" i="16" s="1"/>
  <c r="AH21" i="16"/>
  <c r="AH29" i="16"/>
  <c r="DI617" i="2"/>
  <c r="AH7" i="16"/>
  <c r="AI8" i="16"/>
  <c r="BT8" i="16" s="1"/>
  <c r="CF8" i="16" s="1"/>
  <c r="AI9" i="16"/>
  <c r="BT9" i="16" s="1"/>
  <c r="CF9" i="16" s="1"/>
  <c r="DL358" i="2"/>
  <c r="DK356" i="2"/>
  <c r="DL362" i="2"/>
  <c r="DK360" i="2"/>
  <c r="BS40" i="16" l="1"/>
  <c r="CB39" i="16"/>
  <c r="CH39" i="16" s="1"/>
  <c r="BS27" i="16"/>
  <c r="CB41" i="16"/>
  <c r="CH41" i="16" s="1"/>
  <c r="AH41" i="16"/>
  <c r="AF23" i="16"/>
  <c r="BS23" i="16" s="1"/>
  <c r="AF39" i="16"/>
  <c r="BS39" i="16" s="1"/>
  <c r="BT21" i="16"/>
  <c r="CF17" i="16"/>
  <c r="CF21" i="16" s="1"/>
  <c r="BR45" i="16"/>
  <c r="DV72" i="13"/>
  <c r="AG41" i="16"/>
  <c r="AG19" i="16"/>
  <c r="AH15" i="16"/>
  <c r="AH19" i="16" s="1"/>
  <c r="AA55" i="16"/>
  <c r="BQ54" i="16"/>
  <c r="BS19" i="16"/>
  <c r="AD37" i="16"/>
  <c r="AG25" i="16"/>
  <c r="AG24" i="16"/>
  <c r="BQ55" i="16"/>
  <c r="BR52" i="16"/>
  <c r="DI545" i="2"/>
  <c r="CI135" i="13"/>
  <c r="DV135" i="13" s="1"/>
  <c r="CJ72" i="13"/>
  <c r="DI475" i="2"/>
  <c r="CY669" i="2"/>
  <c r="CY673" i="2" s="1"/>
  <c r="DI106" i="2"/>
  <c r="AB51" i="16"/>
  <c r="AB55" i="16" s="1"/>
  <c r="AA50" i="16"/>
  <c r="CZ657" i="2"/>
  <c r="CZ649" i="2"/>
  <c r="DB647" i="2"/>
  <c r="AE33" i="16"/>
  <c r="AE37" i="16" s="1"/>
  <c r="DA651" i="2"/>
  <c r="DA658" i="2" s="1"/>
  <c r="CX660" i="2"/>
  <c r="AA47" i="16"/>
  <c r="CY668" i="2"/>
  <c r="AC44" i="16"/>
  <c r="AC43" i="16" s="1"/>
  <c r="BR43" i="16" s="1"/>
  <c r="CY656" i="2"/>
  <c r="DB646" i="2"/>
  <c r="AE32" i="16"/>
  <c r="DA645" i="2"/>
  <c r="DA650" i="2"/>
  <c r="AD31" i="16"/>
  <c r="AD36" i="16"/>
  <c r="AC35" i="16"/>
  <c r="BR35" i="16" s="1"/>
  <c r="CX672" i="2"/>
  <c r="CX667" i="2"/>
  <c r="CX671" i="2" s="1"/>
  <c r="CZ658" i="2"/>
  <c r="AD45" i="16" s="1"/>
  <c r="CX661" i="2"/>
  <c r="AA48" i="16"/>
  <c r="DD641" i="2"/>
  <c r="DH665" i="2"/>
  <c r="DJ664" i="2"/>
  <c r="AG11" i="16"/>
  <c r="AI5" i="16"/>
  <c r="BT5" i="16" s="1"/>
  <c r="CF5" i="16" s="1"/>
  <c r="DE629" i="2"/>
  <c r="AI16" i="16"/>
  <c r="AI15" i="16" s="1"/>
  <c r="AH13" i="16"/>
  <c r="AH25" i="16" s="1"/>
  <c r="DE627" i="2"/>
  <c r="AH12" i="16"/>
  <c r="DE626" i="2"/>
  <c r="DE638" i="2" s="1"/>
  <c r="DD625" i="2"/>
  <c r="DD639" i="2"/>
  <c r="AH3" i="16"/>
  <c r="AH28" i="16"/>
  <c r="AH20" i="16"/>
  <c r="DE605" i="2"/>
  <c r="AI4" i="16"/>
  <c r="BT4" i="16" s="1"/>
  <c r="CF4" i="16" s="1"/>
  <c r="DD638" i="2"/>
  <c r="DE643" i="2"/>
  <c r="DE654" i="2" s="1"/>
  <c r="DE642" i="2"/>
  <c r="DC637" i="2"/>
  <c r="AI21" i="16"/>
  <c r="AI29" i="16"/>
  <c r="DJ617" i="2"/>
  <c r="AI7" i="16"/>
  <c r="BT7" i="16" s="1"/>
  <c r="CF7" i="16" s="1"/>
  <c r="DM358" i="2"/>
  <c r="DL356" i="2"/>
  <c r="DM362" i="2"/>
  <c r="DL360" i="2"/>
  <c r="AH27" i="16" l="1"/>
  <c r="AH40" i="16"/>
  <c r="AG39" i="16"/>
  <c r="AI41" i="16"/>
  <c r="BR44" i="16"/>
  <c r="BT16" i="16"/>
  <c r="BT15" i="16"/>
  <c r="AA54" i="16"/>
  <c r="BR56" i="16"/>
  <c r="AD52" i="16"/>
  <c r="BT29" i="16"/>
  <c r="AG23" i="16"/>
  <c r="CJ88" i="13"/>
  <c r="DJ545" i="2"/>
  <c r="CJ135" i="13"/>
  <c r="DJ475" i="2"/>
  <c r="CK72" i="13"/>
  <c r="CK88" i="13" s="1"/>
  <c r="DJ106" i="2"/>
  <c r="AB50" i="16"/>
  <c r="AB54" i="16" s="1"/>
  <c r="CZ669" i="2"/>
  <c r="CZ673" i="2" s="1"/>
  <c r="CY660" i="2"/>
  <c r="AB47" i="16"/>
  <c r="AD35" i="16"/>
  <c r="DB645" i="2"/>
  <c r="AF32" i="16"/>
  <c r="BS32" i="16" s="1"/>
  <c r="DC646" i="2"/>
  <c r="DB650" i="2"/>
  <c r="AC51" i="16"/>
  <c r="BR51" i="16" s="1"/>
  <c r="AF33" i="16"/>
  <c r="AF37" i="16" s="1"/>
  <c r="BS37" i="16" s="1"/>
  <c r="DC647" i="2"/>
  <c r="DB651" i="2"/>
  <c r="CY672" i="2"/>
  <c r="CY667" i="2"/>
  <c r="CY671" i="2" s="1"/>
  <c r="DA669" i="2"/>
  <c r="DA673" i="2" s="1"/>
  <c r="AE45" i="16"/>
  <c r="AE52" i="16" s="1"/>
  <c r="AE56" i="16" s="1"/>
  <c r="CY661" i="2"/>
  <c r="AB48" i="16"/>
  <c r="DA657" i="2"/>
  <c r="DA668" i="2" s="1"/>
  <c r="DA649" i="2"/>
  <c r="CZ668" i="2"/>
  <c r="AD44" i="16"/>
  <c r="CZ656" i="2"/>
  <c r="AE31" i="16"/>
  <c r="AE36" i="16"/>
  <c r="DE641" i="2"/>
  <c r="DE653" i="2"/>
  <c r="DK664" i="2"/>
  <c r="AH11" i="16"/>
  <c r="AI19" i="16"/>
  <c r="DI665" i="2"/>
  <c r="AI20" i="16"/>
  <c r="AI28" i="16"/>
  <c r="AI12" i="16"/>
  <c r="AI24" i="16" s="1"/>
  <c r="DE625" i="2"/>
  <c r="AI13" i="16"/>
  <c r="AI25" i="16" s="1"/>
  <c r="BT25" i="16" s="1"/>
  <c r="CF25" i="16" s="1"/>
  <c r="AI3" i="16"/>
  <c r="BT3" i="16" s="1"/>
  <c r="CF3" i="16" s="1"/>
  <c r="AH24" i="16"/>
  <c r="DE639" i="2"/>
  <c r="DD637" i="2"/>
  <c r="DK617" i="2"/>
  <c r="DN362" i="2"/>
  <c r="DM360" i="2"/>
  <c r="DN358" i="2"/>
  <c r="DM356" i="2"/>
  <c r="BT41" i="16" l="1"/>
  <c r="CF41" i="16" s="1"/>
  <c r="AI27" i="16"/>
  <c r="BT27" i="16" s="1"/>
  <c r="CF27" i="16" s="1"/>
  <c r="AI40" i="16"/>
  <c r="AI39" i="16" s="1"/>
  <c r="BT28" i="16"/>
  <c r="CF28" i="16" s="1"/>
  <c r="CF29" i="16"/>
  <c r="BT20" i="16"/>
  <c r="CF16" i="16"/>
  <c r="CF20" i="16" s="1"/>
  <c r="BT24" i="16"/>
  <c r="CF24" i="16" s="1"/>
  <c r="BS33" i="16"/>
  <c r="BR55" i="16"/>
  <c r="AH39" i="16"/>
  <c r="AD56" i="16"/>
  <c r="AD43" i="16"/>
  <c r="BT13" i="16"/>
  <c r="CF13" i="16" s="1"/>
  <c r="BT19" i="16"/>
  <c r="CF15" i="16"/>
  <c r="CF19" i="16" s="1"/>
  <c r="BT12" i="16"/>
  <c r="CF12" i="16" s="1"/>
  <c r="DK545" i="2"/>
  <c r="CK135" i="13"/>
  <c r="DK475" i="2"/>
  <c r="CL72" i="13"/>
  <c r="DK106" i="2"/>
  <c r="CZ672" i="2"/>
  <c r="CZ667" i="2"/>
  <c r="CZ671" i="2" s="1"/>
  <c r="DA667" i="2"/>
  <c r="DA671" i="2" s="1"/>
  <c r="DA672" i="2"/>
  <c r="AC55" i="16"/>
  <c r="AC50" i="16"/>
  <c r="AC54" i="16" s="1"/>
  <c r="DB657" i="2"/>
  <c r="DB649" i="2"/>
  <c r="AG32" i="16"/>
  <c r="DD646" i="2"/>
  <c r="DC645" i="2"/>
  <c r="DC650" i="2"/>
  <c r="AF31" i="16"/>
  <c r="BS31" i="16" s="1"/>
  <c r="AF36" i="16"/>
  <c r="BS36" i="16" s="1"/>
  <c r="DD647" i="2"/>
  <c r="AG33" i="16"/>
  <c r="DC651" i="2"/>
  <c r="DA656" i="2"/>
  <c r="AE44" i="16"/>
  <c r="AE43" i="16" s="1"/>
  <c r="AC48" i="16"/>
  <c r="BR48" i="16" s="1"/>
  <c r="CZ661" i="2"/>
  <c r="AE35" i="16"/>
  <c r="AD51" i="16"/>
  <c r="DB658" i="2"/>
  <c r="AF45" i="16" s="1"/>
  <c r="AF52" i="16" s="1"/>
  <c r="AF56" i="16" s="1"/>
  <c r="AC47" i="16"/>
  <c r="BR47" i="16" s="1"/>
  <c r="CZ660" i="2"/>
  <c r="DJ665" i="2"/>
  <c r="DL664" i="2"/>
  <c r="AH23" i="16"/>
  <c r="AI23" i="16"/>
  <c r="AI11" i="16"/>
  <c r="BT11" i="16" s="1"/>
  <c r="CF11" i="16" s="1"/>
  <c r="DE637" i="2"/>
  <c r="DL617" i="2"/>
  <c r="DO358" i="2"/>
  <c r="DN356" i="2"/>
  <c r="DO362" i="2"/>
  <c r="DN360" i="2"/>
  <c r="BT39" i="16" l="1"/>
  <c r="CF39" i="16" s="1"/>
  <c r="BT23" i="16"/>
  <c r="CF23" i="16" s="1"/>
  <c r="BT40" i="16"/>
  <c r="CF40" i="16" s="1"/>
  <c r="AG37" i="16"/>
  <c r="CL88" i="13"/>
  <c r="DW88" i="13" s="1"/>
  <c r="DW72" i="13"/>
  <c r="BR50" i="16"/>
  <c r="BS45" i="16"/>
  <c r="BS52" i="16"/>
  <c r="DL545" i="2"/>
  <c r="CL135" i="13"/>
  <c r="DW135" i="13" s="1"/>
  <c r="CM72" i="13"/>
  <c r="DL475" i="2"/>
  <c r="DL106" i="2"/>
  <c r="DB669" i="2"/>
  <c r="DB673" i="2" s="1"/>
  <c r="DC658" i="2"/>
  <c r="AG45" i="16" s="1"/>
  <c r="DC657" i="2"/>
  <c r="DC649" i="2"/>
  <c r="AD48" i="16"/>
  <c r="DA661" i="2"/>
  <c r="AD47" i="16"/>
  <c r="DA660" i="2"/>
  <c r="AH33" i="16"/>
  <c r="AH37" i="16" s="1"/>
  <c r="DE647" i="2"/>
  <c r="DD651" i="2"/>
  <c r="AD50" i="16"/>
  <c r="AD55" i="16"/>
  <c r="AE51" i="16"/>
  <c r="AF35" i="16"/>
  <c r="BS35" i="16" s="1"/>
  <c r="DE646" i="2"/>
  <c r="DD645" i="2"/>
  <c r="AH32" i="16"/>
  <c r="DD650" i="2"/>
  <c r="AG31" i="16"/>
  <c r="AG36" i="16"/>
  <c r="DB668" i="2"/>
  <c r="AF44" i="16"/>
  <c r="DB656" i="2"/>
  <c r="DK665" i="2"/>
  <c r="DM664" i="2"/>
  <c r="DM617" i="2"/>
  <c r="DP362" i="2"/>
  <c r="DO360" i="2"/>
  <c r="DP358" i="2"/>
  <c r="DO356" i="2"/>
  <c r="AF43" i="16" l="1"/>
  <c r="BS43" i="16" s="1"/>
  <c r="BS44" i="16"/>
  <c r="AD54" i="16"/>
  <c r="AG52" i="16"/>
  <c r="BS56" i="16"/>
  <c r="BR54" i="16"/>
  <c r="CM88" i="13"/>
  <c r="DM545" i="2"/>
  <c r="CM135" i="13"/>
  <c r="CN72" i="13"/>
  <c r="CN88" i="13" s="1"/>
  <c r="DM475" i="2"/>
  <c r="DM106" i="2"/>
  <c r="AF51" i="16"/>
  <c r="AF50" i="16" s="1"/>
  <c r="AF54" i="16" s="1"/>
  <c r="DC669" i="2"/>
  <c r="DC673" i="2" s="1"/>
  <c r="AG35" i="16"/>
  <c r="DD658" i="2"/>
  <c r="AH45" i="16" s="1"/>
  <c r="AH52" i="16" s="1"/>
  <c r="AH56" i="16" s="1"/>
  <c r="AI33" i="16"/>
  <c r="AI37" i="16" s="1"/>
  <c r="BT37" i="16" s="1"/>
  <c r="CF37" i="16" s="1"/>
  <c r="DE651" i="2"/>
  <c r="AH31" i="16"/>
  <c r="AH36" i="16"/>
  <c r="AE55" i="16"/>
  <c r="AE50" i="16"/>
  <c r="AE54" i="16" s="1"/>
  <c r="DD657" i="2"/>
  <c r="DD649" i="2"/>
  <c r="DB660" i="2"/>
  <c r="AE47" i="16"/>
  <c r="DE645" i="2"/>
  <c r="AI32" i="16"/>
  <c r="BT32" i="16" s="1"/>
  <c r="CF32" i="16" s="1"/>
  <c r="DE650" i="2"/>
  <c r="AE48" i="16"/>
  <c r="DB661" i="2"/>
  <c r="DC668" i="2"/>
  <c r="AG44" i="16"/>
  <c r="DC656" i="2"/>
  <c r="DB672" i="2"/>
  <c r="DB667" i="2"/>
  <c r="DB671" i="2" s="1"/>
  <c r="DN664" i="2"/>
  <c r="DL665" i="2"/>
  <c r="DN617" i="2"/>
  <c r="DQ358" i="2"/>
  <c r="DP356" i="2"/>
  <c r="DQ362" i="2"/>
  <c r="DP360" i="2"/>
  <c r="DQ360" i="2" l="1"/>
  <c r="DR362" i="2"/>
  <c r="DQ356" i="2"/>
  <c r="DR358" i="2"/>
  <c r="BT33" i="16"/>
  <c r="CF33" i="16" s="1"/>
  <c r="BS50" i="16"/>
  <c r="BS51" i="16"/>
  <c r="AG43" i="16"/>
  <c r="AG56" i="16"/>
  <c r="DN545" i="2"/>
  <c r="CN135" i="13"/>
  <c r="CO72" i="13"/>
  <c r="DN475" i="2"/>
  <c r="DN106" i="2"/>
  <c r="DD669" i="2"/>
  <c r="DD673" i="2" s="1"/>
  <c r="AF55" i="16"/>
  <c r="DE657" i="2"/>
  <c r="DE649" i="2"/>
  <c r="DE658" i="2"/>
  <c r="AI45" i="16" s="1"/>
  <c r="AI52" i="16" s="1"/>
  <c r="AI56" i="16" s="1"/>
  <c r="DC661" i="2"/>
  <c r="AF48" i="16"/>
  <c r="BS48" i="16" s="1"/>
  <c r="AI31" i="16"/>
  <c r="BT31" i="16" s="1"/>
  <c r="CF31" i="16" s="1"/>
  <c r="AI36" i="16"/>
  <c r="BT36" i="16" s="1"/>
  <c r="CF36" i="16" s="1"/>
  <c r="DD668" i="2"/>
  <c r="DD656" i="2"/>
  <c r="AH44" i="16"/>
  <c r="AH43" i="16" s="1"/>
  <c r="AH35" i="16"/>
  <c r="AF47" i="16"/>
  <c r="BS47" i="16" s="1"/>
  <c r="DC660" i="2"/>
  <c r="AG51" i="16"/>
  <c r="DC672" i="2"/>
  <c r="DC667" i="2"/>
  <c r="DC671" i="2" s="1"/>
  <c r="DO664" i="2"/>
  <c r="DM665" i="2"/>
  <c r="DO617" i="2"/>
  <c r="DS358" i="2" l="1"/>
  <c r="DR356" i="2"/>
  <c r="DS36" i="14" s="1"/>
  <c r="DS362" i="2"/>
  <c r="DR360" i="2"/>
  <c r="DS39" i="14" s="1"/>
  <c r="BT45" i="16"/>
  <c r="CF45" i="16" s="1"/>
  <c r="BS54" i="16"/>
  <c r="BS55" i="16"/>
  <c r="BT52" i="16"/>
  <c r="CO88" i="13"/>
  <c r="DX88" i="13" s="1"/>
  <c r="DX72" i="13"/>
  <c r="DO545" i="2"/>
  <c r="CO135" i="13"/>
  <c r="DX135" i="13" s="1"/>
  <c r="CP72" i="13"/>
  <c r="DO475" i="2"/>
  <c r="AH51" i="16"/>
  <c r="AH55" i="16" s="1"/>
  <c r="DO106" i="2"/>
  <c r="DE669" i="2"/>
  <c r="DE673" i="2" s="1"/>
  <c r="DD660" i="2"/>
  <c r="AG47" i="16"/>
  <c r="DD672" i="2"/>
  <c r="DD667" i="2"/>
  <c r="DD671" i="2" s="1"/>
  <c r="AI35" i="16"/>
  <c r="BT35" i="16" s="1"/>
  <c r="CF35" i="16" s="1"/>
  <c r="DE668" i="2"/>
  <c r="AI44" i="16"/>
  <c r="DE656" i="2"/>
  <c r="AG55" i="16"/>
  <c r="AG50" i="16"/>
  <c r="AG48" i="16"/>
  <c r="DD661" i="2"/>
  <c r="DP664" i="2"/>
  <c r="DN665" i="2"/>
  <c r="DP617" i="2"/>
  <c r="DS178" i="18" l="1"/>
  <c r="DT362" i="2"/>
  <c r="DS360" i="2"/>
  <c r="DT39" i="14" s="1"/>
  <c r="DT358" i="2"/>
  <c r="DS356" i="2"/>
  <c r="DT36" i="14" s="1"/>
  <c r="CP88" i="13"/>
  <c r="AI43" i="16"/>
  <c r="BT43" i="16" s="1"/>
  <c r="CF43" i="16" s="1"/>
  <c r="BT44" i="16"/>
  <c r="CF44" i="16" s="1"/>
  <c r="BT56" i="16"/>
  <c r="CF52" i="16"/>
  <c r="CF56" i="16" s="1"/>
  <c r="AG54" i="16"/>
  <c r="DP545" i="2"/>
  <c r="CP135" i="13"/>
  <c r="AH50" i="16"/>
  <c r="AH54" i="16" s="1"/>
  <c r="DP475" i="2"/>
  <c r="CQ72" i="13"/>
  <c r="CQ88" i="13" s="1"/>
  <c r="DP106" i="2"/>
  <c r="DE672" i="2"/>
  <c r="DE667" i="2"/>
  <c r="DE671" i="2" s="1"/>
  <c r="AH47" i="16"/>
  <c r="DE660" i="2"/>
  <c r="DE661" i="2"/>
  <c r="AH48" i="16"/>
  <c r="AI51" i="16"/>
  <c r="BT51" i="16" s="1"/>
  <c r="DQ664" i="2"/>
  <c r="DO665" i="2"/>
  <c r="DQ617" i="2"/>
  <c r="DR617" i="2" s="1"/>
  <c r="DS617" i="2" s="1"/>
  <c r="DT617" i="2" s="1"/>
  <c r="DU617" i="2" s="1"/>
  <c r="DV617" i="2" s="1"/>
  <c r="DW617" i="2" s="1"/>
  <c r="DX617" i="2" s="1"/>
  <c r="DY617" i="2" s="1"/>
  <c r="DZ617" i="2" s="1"/>
  <c r="EA617" i="2" s="1"/>
  <c r="EB617" i="2" s="1"/>
  <c r="EC617" i="2" s="1"/>
  <c r="DT178" i="18" l="1"/>
  <c r="DS664" i="2"/>
  <c r="DU358" i="2"/>
  <c r="DT356" i="2"/>
  <c r="DU36" i="14" s="1"/>
  <c r="EZ36" i="14" s="1"/>
  <c r="DU362" i="2"/>
  <c r="DT360" i="2"/>
  <c r="DU39" i="14" s="1"/>
  <c r="EZ39" i="14" s="1"/>
  <c r="BT55" i="16"/>
  <c r="CF51" i="16"/>
  <c r="CF55" i="16" s="1"/>
  <c r="DQ545" i="2"/>
  <c r="CQ135" i="13"/>
  <c r="DQ475" i="2"/>
  <c r="CR72" i="13"/>
  <c r="CR88" i="13" s="1"/>
  <c r="DY88" i="13" s="1"/>
  <c r="EI88" i="13" s="1"/>
  <c r="DQ106" i="2"/>
  <c r="DR106" i="2" s="1"/>
  <c r="DS91" i="3" s="1"/>
  <c r="DS87" i="3"/>
  <c r="AI50" i="16"/>
  <c r="AI55" i="16"/>
  <c r="AI48" i="16"/>
  <c r="BT48" i="16" s="1"/>
  <c r="CF48" i="16" s="1"/>
  <c r="AI47" i="16"/>
  <c r="BT47" i="16" s="1"/>
  <c r="CF47" i="16" s="1"/>
  <c r="DP665" i="2"/>
  <c r="DU178" i="18" l="1"/>
  <c r="EZ178" i="18" s="1"/>
  <c r="DT664" i="2"/>
  <c r="CR135" i="13"/>
  <c r="DY135" i="13" s="1"/>
  <c r="EI135" i="13" s="1"/>
  <c r="DR545" i="2"/>
  <c r="DV362" i="2"/>
  <c r="DU360" i="2"/>
  <c r="DV39" i="14" s="1"/>
  <c r="DV358" i="2"/>
  <c r="DU356" i="2"/>
  <c r="DV36" i="14" s="1"/>
  <c r="DT87" i="3"/>
  <c r="DS106" i="2"/>
  <c r="DT91" i="3" s="1"/>
  <c r="DY72" i="13"/>
  <c r="EI72" i="13" s="1"/>
  <c r="AI54" i="16"/>
  <c r="BT50" i="16"/>
  <c r="DQ665" i="2"/>
  <c r="DV178" i="18" l="1"/>
  <c r="DS545" i="2"/>
  <c r="CS135" i="13"/>
  <c r="DS665" i="2"/>
  <c r="DU664" i="2"/>
  <c r="DW358" i="2"/>
  <c r="DV356" i="2"/>
  <c r="DW36" i="14" s="1"/>
  <c r="DW362" i="2"/>
  <c r="DV360" i="2"/>
  <c r="DW39" i="14" s="1"/>
  <c r="DT106" i="2"/>
  <c r="DU91" i="3" s="1"/>
  <c r="FA91" i="3" s="1"/>
  <c r="DU87" i="3"/>
  <c r="FA87" i="3" s="1"/>
  <c r="BT54" i="16"/>
  <c r="CF50" i="16"/>
  <c r="CF54" i="16" s="1"/>
  <c r="DW178" i="18" l="1"/>
  <c r="DT545" i="2"/>
  <c r="CT135" i="13"/>
  <c r="DV664" i="2"/>
  <c r="DT665" i="2"/>
  <c r="DX362" i="2"/>
  <c r="DW360" i="2"/>
  <c r="DX39" i="14" s="1"/>
  <c r="FA39" i="14" s="1"/>
  <c r="DX358" i="2"/>
  <c r="DW356" i="2"/>
  <c r="DX36" i="14" s="1"/>
  <c r="FA36" i="14" s="1"/>
  <c r="DV87" i="3"/>
  <c r="DU106" i="2"/>
  <c r="DV91" i="3" s="1"/>
  <c r="DX178" i="18" l="1"/>
  <c r="FA178" i="18" s="1"/>
  <c r="DU545" i="2"/>
  <c r="CU135" i="13"/>
  <c r="DZ135" i="13" s="1"/>
  <c r="DU665" i="2"/>
  <c r="DW664" i="2"/>
  <c r="DY358" i="2"/>
  <c r="DX356" i="2"/>
  <c r="DY36" i="14" s="1"/>
  <c r="DY362" i="2"/>
  <c r="DX360" i="2"/>
  <c r="DY39" i="14" s="1"/>
  <c r="DV106" i="2"/>
  <c r="DW91" i="3" s="1"/>
  <c r="DW87" i="3"/>
  <c r="DY178" i="18" l="1"/>
  <c r="DV545" i="2"/>
  <c r="CV135" i="13"/>
  <c r="DX664" i="2"/>
  <c r="DV665" i="2"/>
  <c r="DZ362" i="2"/>
  <c r="DY360" i="2"/>
  <c r="DZ39" i="14" s="1"/>
  <c r="DZ358" i="2"/>
  <c r="DY356" i="2"/>
  <c r="DZ36" i="14" s="1"/>
  <c r="DX87" i="3"/>
  <c r="FB87" i="3" s="1"/>
  <c r="DW106" i="2"/>
  <c r="DX91" i="3" s="1"/>
  <c r="FB91" i="3" s="1"/>
  <c r="DZ178" i="18" l="1"/>
  <c r="DW545" i="2"/>
  <c r="CW135" i="13"/>
  <c r="DW665" i="2"/>
  <c r="DY664" i="2"/>
  <c r="EA358" i="2"/>
  <c r="DZ356" i="2"/>
  <c r="EA36" i="14" s="1"/>
  <c r="FB36" i="14" s="1"/>
  <c r="EA362" i="2"/>
  <c r="DZ360" i="2"/>
  <c r="EA39" i="14" s="1"/>
  <c r="FB39" i="14" s="1"/>
  <c r="DX106" i="2"/>
  <c r="DY91" i="3" s="1"/>
  <c r="DY87" i="3"/>
  <c r="EA178" i="18" l="1"/>
  <c r="FB178" i="18" s="1"/>
  <c r="DX545" i="2"/>
  <c r="CX135" i="13"/>
  <c r="EA135" i="13" s="1"/>
  <c r="DZ664" i="2"/>
  <c r="DX665" i="2"/>
  <c r="EB362" i="2"/>
  <c r="EA360" i="2"/>
  <c r="EB39" i="14" s="1"/>
  <c r="EB358" i="2"/>
  <c r="EA356" i="2"/>
  <c r="EB36" i="14" s="1"/>
  <c r="DZ87" i="3"/>
  <c r="DY106" i="2"/>
  <c r="DZ91" i="3" s="1"/>
  <c r="EB178" i="18" l="1"/>
  <c r="DY545" i="2"/>
  <c r="CY135" i="13"/>
  <c r="DY665" i="2"/>
  <c r="EA664" i="2"/>
  <c r="EC358" i="2"/>
  <c r="EC356" i="2" s="1"/>
  <c r="ED36" i="14" s="1"/>
  <c r="EB356" i="2"/>
  <c r="EC36" i="14" s="1"/>
  <c r="FC36" i="14" s="1"/>
  <c r="FJ36" i="14" s="1"/>
  <c r="EC362" i="2"/>
  <c r="EC360" i="2" s="1"/>
  <c r="ED39" i="14" s="1"/>
  <c r="EB360" i="2"/>
  <c r="EC39" i="14" s="1"/>
  <c r="FC39" i="14" s="1"/>
  <c r="FJ39" i="14" s="1"/>
  <c r="DZ106" i="2"/>
  <c r="EA91" i="3" s="1"/>
  <c r="FC91" i="3" s="1"/>
  <c r="EA87" i="3"/>
  <c r="FC87" i="3" s="1"/>
  <c r="ED178" i="18" l="1"/>
  <c r="EC178" i="18"/>
  <c r="DZ545" i="2"/>
  <c r="CZ135" i="13"/>
  <c r="EB664" i="2"/>
  <c r="DZ665" i="2"/>
  <c r="EB87" i="3"/>
  <c r="EA106" i="2"/>
  <c r="EB91" i="3" s="1"/>
  <c r="FC178" i="18" l="1"/>
  <c r="FJ178" i="18" s="1"/>
  <c r="EA545" i="2"/>
  <c r="DA135" i="13"/>
  <c r="EB135" i="13" s="1"/>
  <c r="EA665" i="2"/>
  <c r="EC664" i="2"/>
  <c r="EB106" i="2"/>
  <c r="EC91" i="3" s="1"/>
  <c r="EC87" i="3"/>
  <c r="J364" i="2"/>
  <c r="CV39" i="14"/>
  <c r="AK342" i="2"/>
  <c r="AK347" i="2" s="1"/>
  <c r="AJ342" i="2"/>
  <c r="AJ347" i="2" s="1"/>
  <c r="AI342" i="2"/>
  <c r="AI347" i="2" s="1"/>
  <c r="AH342" i="2"/>
  <c r="AH347" i="2" s="1"/>
  <c r="AG342" i="2"/>
  <c r="AG347" i="2" s="1"/>
  <c r="AF342" i="2"/>
  <c r="AF347" i="2" s="1"/>
  <c r="AE342" i="2"/>
  <c r="AE347" i="2" s="1"/>
  <c r="AD342" i="2"/>
  <c r="AD347" i="2" s="1"/>
  <c r="AC342" i="2"/>
  <c r="AC347" i="2" s="1"/>
  <c r="AB342" i="2"/>
  <c r="AB347" i="2" s="1"/>
  <c r="AA342" i="2"/>
  <c r="AA347" i="2" s="1"/>
  <c r="Z342" i="2"/>
  <c r="Z347" i="2" s="1"/>
  <c r="Y342" i="2"/>
  <c r="Y347" i="2" s="1"/>
  <c r="X342" i="2"/>
  <c r="X347" i="2" s="1"/>
  <c r="W342" i="2"/>
  <c r="W347" i="2" s="1"/>
  <c r="V342" i="2"/>
  <c r="V347" i="2" s="1"/>
  <c r="U342" i="2"/>
  <c r="U347" i="2" s="1"/>
  <c r="T342" i="2"/>
  <c r="T347" i="2" s="1"/>
  <c r="S342" i="2"/>
  <c r="S347" i="2" s="1"/>
  <c r="R342" i="2"/>
  <c r="R347" i="2" s="1"/>
  <c r="Q342" i="2"/>
  <c r="Q347" i="2" s="1"/>
  <c r="P342" i="2"/>
  <c r="P347" i="2" s="1"/>
  <c r="O342" i="2"/>
  <c r="O347" i="2" s="1"/>
  <c r="N342" i="2"/>
  <c r="N347" i="2" s="1"/>
  <c r="M342" i="2"/>
  <c r="M347" i="2" s="1"/>
  <c r="L342" i="2"/>
  <c r="L347" i="2" s="1"/>
  <c r="K342" i="2"/>
  <c r="K347" i="2" s="1"/>
  <c r="J342" i="2"/>
  <c r="J347" i="2" s="1"/>
  <c r="I342" i="2"/>
  <c r="I347" i="2" s="1"/>
  <c r="H342" i="2"/>
  <c r="H347" i="2" s="1"/>
  <c r="G342" i="2"/>
  <c r="G347" i="2" s="1"/>
  <c r="F342" i="2"/>
  <c r="F347" i="2" s="1"/>
  <c r="E342" i="2"/>
  <c r="E347" i="2" s="1"/>
  <c r="D342" i="2"/>
  <c r="D347" i="2" s="1"/>
  <c r="C342" i="2"/>
  <c r="C347" i="2" s="1"/>
  <c r="B342" i="2"/>
  <c r="B347" i="2" s="1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BO39" i="14"/>
  <c r="BP39" i="14"/>
  <c r="BQ39" i="14"/>
  <c r="BR39" i="14"/>
  <c r="BS39" i="14"/>
  <c r="BT39" i="14"/>
  <c r="BU39" i="14"/>
  <c r="BV39" i="14"/>
  <c r="BW39" i="14"/>
  <c r="BX39" i="14"/>
  <c r="BY39" i="14"/>
  <c r="BZ39" i="14"/>
  <c r="CA39" i="14"/>
  <c r="CB39" i="14"/>
  <c r="CC39" i="14"/>
  <c r="CD39" i="14"/>
  <c r="CE39" i="14"/>
  <c r="CF39" i="14"/>
  <c r="CG39" i="14"/>
  <c r="CH39" i="14"/>
  <c r="CI39" i="14"/>
  <c r="CJ39" i="14"/>
  <c r="CK39" i="14"/>
  <c r="CL39" i="14"/>
  <c r="CM39" i="14"/>
  <c r="CN39" i="14"/>
  <c r="CO39" i="14"/>
  <c r="CP39" i="14"/>
  <c r="CQ39" i="14"/>
  <c r="CR39" i="14"/>
  <c r="CS39" i="14"/>
  <c r="CT39" i="14"/>
  <c r="C36" i="14"/>
  <c r="C178" i="18" s="1"/>
  <c r="D36" i="14"/>
  <c r="D178" i="18" s="1"/>
  <c r="E36" i="14"/>
  <c r="E178" i="18" s="1"/>
  <c r="F36" i="14"/>
  <c r="F178" i="18" s="1"/>
  <c r="G36" i="14"/>
  <c r="G178" i="18" s="1"/>
  <c r="H36" i="14"/>
  <c r="H178" i="18" s="1"/>
  <c r="I36" i="14"/>
  <c r="I178" i="18" s="1"/>
  <c r="J36" i="14"/>
  <c r="J178" i="18" s="1"/>
  <c r="K36" i="14"/>
  <c r="K178" i="18" s="1"/>
  <c r="L36" i="14"/>
  <c r="L178" i="18" s="1"/>
  <c r="M36" i="14"/>
  <c r="M178" i="18" s="1"/>
  <c r="N36" i="14"/>
  <c r="N178" i="18" s="1"/>
  <c r="O36" i="14"/>
  <c r="O178" i="18" s="1"/>
  <c r="P36" i="14"/>
  <c r="P178" i="18" s="1"/>
  <c r="Q36" i="14"/>
  <c r="Q178" i="18" s="1"/>
  <c r="R36" i="14"/>
  <c r="R178" i="18" s="1"/>
  <c r="S36" i="14"/>
  <c r="S178" i="18" s="1"/>
  <c r="T36" i="14"/>
  <c r="T178" i="18" s="1"/>
  <c r="U36" i="14"/>
  <c r="U178" i="18" s="1"/>
  <c r="V36" i="14"/>
  <c r="V178" i="18" s="1"/>
  <c r="W36" i="14"/>
  <c r="W178" i="18" s="1"/>
  <c r="X36" i="14"/>
  <c r="X178" i="18" s="1"/>
  <c r="Y36" i="14"/>
  <c r="Y178" i="18" s="1"/>
  <c r="Z36" i="14"/>
  <c r="Z178" i="18" s="1"/>
  <c r="AA36" i="14"/>
  <c r="AA178" i="18" s="1"/>
  <c r="AB36" i="14"/>
  <c r="AB178" i="18" s="1"/>
  <c r="AC36" i="14"/>
  <c r="AC178" i="18" s="1"/>
  <c r="AD36" i="14"/>
  <c r="AD178" i="18" s="1"/>
  <c r="AE36" i="14"/>
  <c r="AE178" i="18" s="1"/>
  <c r="AF36" i="14"/>
  <c r="AF178" i="18" s="1"/>
  <c r="AG36" i="14"/>
  <c r="AG178" i="18" s="1"/>
  <c r="AH36" i="14"/>
  <c r="AH178" i="18" s="1"/>
  <c r="AI36" i="14"/>
  <c r="AI178" i="18" s="1"/>
  <c r="AJ36" i="14"/>
  <c r="AJ178" i="18" s="1"/>
  <c r="AK36" i="14"/>
  <c r="AK178" i="18" s="1"/>
  <c r="AL36" i="14"/>
  <c r="AL178" i="18" s="1"/>
  <c r="AM36" i="14"/>
  <c r="AM178" i="18" s="1"/>
  <c r="AN36" i="14"/>
  <c r="AN178" i="18" s="1"/>
  <c r="AO36" i="14"/>
  <c r="AO178" i="18" s="1"/>
  <c r="AP36" i="14"/>
  <c r="AP178" i="18" s="1"/>
  <c r="AQ36" i="14"/>
  <c r="AQ178" i="18" s="1"/>
  <c r="AR36" i="14"/>
  <c r="AR178" i="18" s="1"/>
  <c r="AS36" i="14"/>
  <c r="AS178" i="18" s="1"/>
  <c r="AT36" i="14"/>
  <c r="AT178" i="18" s="1"/>
  <c r="AU36" i="14"/>
  <c r="AU178" i="18" s="1"/>
  <c r="AV36" i="14"/>
  <c r="AV178" i="18" s="1"/>
  <c r="AW36" i="14"/>
  <c r="AW178" i="18" s="1"/>
  <c r="AX36" i="14"/>
  <c r="AX178" i="18" s="1"/>
  <c r="AY36" i="14"/>
  <c r="AY178" i="18" s="1"/>
  <c r="AZ36" i="14"/>
  <c r="AZ178" i="18" s="1"/>
  <c r="BA36" i="14"/>
  <c r="BA178" i="18" s="1"/>
  <c r="BB36" i="14"/>
  <c r="BB178" i="18" s="1"/>
  <c r="BC36" i="14"/>
  <c r="BC178" i="18" s="1"/>
  <c r="BD36" i="14"/>
  <c r="BD178" i="18" s="1"/>
  <c r="BE36" i="14"/>
  <c r="BE178" i="18" s="1"/>
  <c r="BF36" i="14"/>
  <c r="BF178" i="18" s="1"/>
  <c r="BG36" i="14"/>
  <c r="BG178" i="18" s="1"/>
  <c r="BH36" i="14"/>
  <c r="BH178" i="18" s="1"/>
  <c r="BI36" i="14"/>
  <c r="BI178" i="18" s="1"/>
  <c r="BJ36" i="14"/>
  <c r="BJ178" i="18" s="1"/>
  <c r="BK36" i="14"/>
  <c r="BL36" i="14"/>
  <c r="BL178" i="18" s="1"/>
  <c r="BM36" i="14"/>
  <c r="BM178" i="18" s="1"/>
  <c r="BN36" i="14"/>
  <c r="BO36" i="14"/>
  <c r="BO178" i="18" s="1"/>
  <c r="BP36" i="14"/>
  <c r="BP178" i="18" s="1"/>
  <c r="BQ36" i="14"/>
  <c r="BR36" i="14"/>
  <c r="BR178" i="18" s="1"/>
  <c r="BS36" i="14"/>
  <c r="BS178" i="18" s="1"/>
  <c r="BT36" i="14"/>
  <c r="BU36" i="14"/>
  <c r="BU178" i="18" s="1"/>
  <c r="BV36" i="14"/>
  <c r="BV178" i="18" s="1"/>
  <c r="BW36" i="14"/>
  <c r="BX36" i="14"/>
  <c r="BX178" i="18" s="1"/>
  <c r="BY36" i="14"/>
  <c r="BY178" i="18" s="1"/>
  <c r="BZ36" i="14"/>
  <c r="BZ178" i="18" s="1"/>
  <c r="CA36" i="14"/>
  <c r="CA178" i="18" s="1"/>
  <c r="CB36" i="14"/>
  <c r="CB178" i="18" s="1"/>
  <c r="CC36" i="14"/>
  <c r="CD36" i="14"/>
  <c r="CD178" i="18" s="1"/>
  <c r="CE36" i="14"/>
  <c r="CE178" i="18" s="1"/>
  <c r="CF36" i="14"/>
  <c r="CG36" i="14"/>
  <c r="CG178" i="18" s="1"/>
  <c r="CH36" i="14"/>
  <c r="CH178" i="18" s="1"/>
  <c r="CI36" i="14"/>
  <c r="CJ36" i="14"/>
  <c r="CJ178" i="18" s="1"/>
  <c r="CK36" i="14"/>
  <c r="CK178" i="18" s="1"/>
  <c r="CL36" i="14"/>
  <c r="CM36" i="14"/>
  <c r="CM178" i="18" s="1"/>
  <c r="CN36" i="14"/>
  <c r="CN178" i="18" s="1"/>
  <c r="CO36" i="14"/>
  <c r="CP36" i="14"/>
  <c r="CP178" i="18" s="1"/>
  <c r="CQ36" i="14"/>
  <c r="CQ178" i="18" s="1"/>
  <c r="CR36" i="14"/>
  <c r="CS36" i="14"/>
  <c r="CS178" i="18" s="1"/>
  <c r="CT36" i="14"/>
  <c r="CT178" i="18" s="1"/>
  <c r="CU36" i="14"/>
  <c r="CV36" i="14"/>
  <c r="CV178" i="18" s="1"/>
  <c r="CW36" i="14"/>
  <c r="CW178" i="18" s="1"/>
  <c r="CX36" i="14"/>
  <c r="CY36" i="14"/>
  <c r="CY178" i="18" s="1"/>
  <c r="CZ36" i="14"/>
  <c r="CZ178" i="18" s="1"/>
  <c r="DA36" i="14"/>
  <c r="DB36" i="14"/>
  <c r="DB178" i="18" s="1"/>
  <c r="DC36" i="14"/>
  <c r="DC178" i="18" s="1"/>
  <c r="DD36" i="14"/>
  <c r="DE36" i="14"/>
  <c r="DE178" i="18" s="1"/>
  <c r="DF36" i="14"/>
  <c r="DF178" i="18" s="1"/>
  <c r="DG36" i="14"/>
  <c r="DH36" i="14"/>
  <c r="DH178" i="18" s="1"/>
  <c r="DI36" i="14"/>
  <c r="DI178" i="18" s="1"/>
  <c r="DJ36" i="14"/>
  <c r="DK36" i="14"/>
  <c r="DK178" i="18" s="1"/>
  <c r="DL36" i="14"/>
  <c r="DL178" i="18" s="1"/>
  <c r="DM36" i="14"/>
  <c r="DN36" i="14"/>
  <c r="DN178" i="18" s="1"/>
  <c r="DO36" i="14"/>
  <c r="DO178" i="18" s="1"/>
  <c r="DP36" i="14"/>
  <c r="DQ36" i="14"/>
  <c r="DQ178" i="18" s="1"/>
  <c r="DR36" i="14"/>
  <c r="DR178" i="18" s="1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BN28" i="14"/>
  <c r="BO28" i="14"/>
  <c r="BP28" i="14"/>
  <c r="BQ28" i="14"/>
  <c r="BR28" i="14"/>
  <c r="BS28" i="14"/>
  <c r="BT28" i="14"/>
  <c r="BU28" i="14"/>
  <c r="BV28" i="14"/>
  <c r="BW28" i="14"/>
  <c r="BX28" i="14"/>
  <c r="BY28" i="14"/>
  <c r="BZ28" i="14"/>
  <c r="CA28" i="14"/>
  <c r="CB28" i="14"/>
  <c r="CC28" i="14"/>
  <c r="CD28" i="14"/>
  <c r="CE28" i="14"/>
  <c r="CF28" i="14"/>
  <c r="CG28" i="14"/>
  <c r="CH28" i="14"/>
  <c r="CI28" i="14"/>
  <c r="CJ28" i="14"/>
  <c r="CK28" i="14"/>
  <c r="CL28" i="14"/>
  <c r="CM28" i="14"/>
  <c r="CN28" i="14"/>
  <c r="CO28" i="14"/>
  <c r="CP28" i="14"/>
  <c r="CQ28" i="14"/>
  <c r="CR28" i="14"/>
  <c r="CS28" i="14"/>
  <c r="CT28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BN29" i="14"/>
  <c r="BO29" i="14"/>
  <c r="BP29" i="14"/>
  <c r="BQ29" i="14"/>
  <c r="BR29" i="14"/>
  <c r="BS29" i="14"/>
  <c r="BT29" i="14"/>
  <c r="BU29" i="14"/>
  <c r="BV29" i="14"/>
  <c r="BW29" i="14"/>
  <c r="BX29" i="14"/>
  <c r="BY29" i="14"/>
  <c r="BZ29" i="14"/>
  <c r="CA29" i="14"/>
  <c r="CB29" i="14"/>
  <c r="CC29" i="14"/>
  <c r="CD29" i="14"/>
  <c r="CE29" i="14"/>
  <c r="CF29" i="14"/>
  <c r="CG29" i="14"/>
  <c r="CH29" i="14"/>
  <c r="CI29" i="14"/>
  <c r="CJ29" i="14"/>
  <c r="CK29" i="14"/>
  <c r="CL29" i="14"/>
  <c r="CM29" i="14"/>
  <c r="CN29" i="14"/>
  <c r="CO29" i="14"/>
  <c r="CP29" i="14"/>
  <c r="CQ29" i="14"/>
  <c r="CR29" i="14"/>
  <c r="CS29" i="14"/>
  <c r="CT29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L30" i="14"/>
  <c r="BM30" i="14"/>
  <c r="BN30" i="14"/>
  <c r="BO30" i="14"/>
  <c r="BP30" i="14"/>
  <c r="BQ30" i="14"/>
  <c r="BR30" i="14"/>
  <c r="BS30" i="14"/>
  <c r="BT30" i="14"/>
  <c r="BU30" i="14"/>
  <c r="BV30" i="14"/>
  <c r="BW30" i="14"/>
  <c r="BX30" i="14"/>
  <c r="BY30" i="14"/>
  <c r="BZ30" i="14"/>
  <c r="CA30" i="14"/>
  <c r="CB30" i="14"/>
  <c r="CC30" i="14"/>
  <c r="CD30" i="14"/>
  <c r="CE30" i="14"/>
  <c r="CF30" i="14"/>
  <c r="CG30" i="14"/>
  <c r="CH30" i="14"/>
  <c r="CI30" i="14"/>
  <c r="CJ30" i="14"/>
  <c r="CK30" i="14"/>
  <c r="CL30" i="14"/>
  <c r="CM30" i="14"/>
  <c r="CN30" i="14"/>
  <c r="CO30" i="14"/>
  <c r="CP30" i="14"/>
  <c r="CQ30" i="14"/>
  <c r="CR30" i="14"/>
  <c r="CS30" i="14"/>
  <c r="CT30" i="14"/>
  <c r="CU30" i="14"/>
  <c r="CV30" i="14"/>
  <c r="CW30" i="14"/>
  <c r="CX30" i="14"/>
  <c r="CY30" i="14"/>
  <c r="CZ30" i="14"/>
  <c r="DA30" i="14"/>
  <c r="DB30" i="14"/>
  <c r="DC30" i="14"/>
  <c r="DD30" i="14"/>
  <c r="DE30" i="14"/>
  <c r="DF30" i="14"/>
  <c r="DG30" i="14"/>
  <c r="DH30" i="14"/>
  <c r="DI30" i="14"/>
  <c r="DJ30" i="14"/>
  <c r="DK30" i="14"/>
  <c r="DL30" i="14"/>
  <c r="DM30" i="14"/>
  <c r="DN30" i="14"/>
  <c r="DO30" i="14"/>
  <c r="DP30" i="14"/>
  <c r="DQ30" i="14"/>
  <c r="DR30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BN27" i="14"/>
  <c r="BO27" i="14"/>
  <c r="BP27" i="14"/>
  <c r="BQ27" i="14"/>
  <c r="BR27" i="14"/>
  <c r="BS27" i="14"/>
  <c r="BT27" i="14"/>
  <c r="BU27" i="14"/>
  <c r="BV27" i="14"/>
  <c r="BW27" i="14"/>
  <c r="BX27" i="14"/>
  <c r="BY27" i="14"/>
  <c r="BZ27" i="14"/>
  <c r="CA27" i="14"/>
  <c r="CB27" i="14"/>
  <c r="CC27" i="14"/>
  <c r="CD27" i="14"/>
  <c r="CE27" i="14"/>
  <c r="CF27" i="14"/>
  <c r="CG27" i="14"/>
  <c r="CH27" i="14"/>
  <c r="CI27" i="14"/>
  <c r="CJ27" i="14"/>
  <c r="CK27" i="14"/>
  <c r="CL27" i="14"/>
  <c r="CM27" i="14"/>
  <c r="CN27" i="14"/>
  <c r="CO27" i="14"/>
  <c r="CP27" i="14"/>
  <c r="CQ27" i="14"/>
  <c r="CR27" i="14"/>
  <c r="CS27" i="14"/>
  <c r="CT27" i="14"/>
  <c r="C17" i="14"/>
  <c r="C86" i="18" s="1"/>
  <c r="D17" i="14"/>
  <c r="D86" i="18" s="1"/>
  <c r="E17" i="14"/>
  <c r="E86" i="18" s="1"/>
  <c r="F17" i="14"/>
  <c r="F86" i="18" s="1"/>
  <c r="G17" i="14"/>
  <c r="G86" i="18" s="1"/>
  <c r="H17" i="14"/>
  <c r="H86" i="18" s="1"/>
  <c r="I17" i="14"/>
  <c r="I86" i="18" s="1"/>
  <c r="J17" i="14"/>
  <c r="J86" i="18" s="1"/>
  <c r="K17" i="14"/>
  <c r="K86" i="18" s="1"/>
  <c r="L17" i="14"/>
  <c r="L86" i="18" s="1"/>
  <c r="M17" i="14"/>
  <c r="M86" i="18" s="1"/>
  <c r="N17" i="14"/>
  <c r="N86" i="18" s="1"/>
  <c r="O17" i="14"/>
  <c r="O86" i="18" s="1"/>
  <c r="P17" i="14"/>
  <c r="P86" i="18" s="1"/>
  <c r="Q17" i="14"/>
  <c r="Q86" i="18" s="1"/>
  <c r="R17" i="14"/>
  <c r="R86" i="18" s="1"/>
  <c r="S17" i="14"/>
  <c r="S86" i="18" s="1"/>
  <c r="T17" i="14"/>
  <c r="T86" i="18" s="1"/>
  <c r="U17" i="14"/>
  <c r="U86" i="18" s="1"/>
  <c r="V17" i="14"/>
  <c r="V86" i="18" s="1"/>
  <c r="W17" i="14"/>
  <c r="W86" i="18" s="1"/>
  <c r="X17" i="14"/>
  <c r="X86" i="18" s="1"/>
  <c r="Y17" i="14"/>
  <c r="Y86" i="18" s="1"/>
  <c r="Z17" i="14"/>
  <c r="Z86" i="18" s="1"/>
  <c r="AA17" i="14"/>
  <c r="AA86" i="18" s="1"/>
  <c r="AB17" i="14"/>
  <c r="AB86" i="18" s="1"/>
  <c r="AC17" i="14"/>
  <c r="AC86" i="18" s="1"/>
  <c r="AD17" i="14"/>
  <c r="AD86" i="18" s="1"/>
  <c r="AE17" i="14"/>
  <c r="AE86" i="18" s="1"/>
  <c r="AF17" i="14"/>
  <c r="AF86" i="18" s="1"/>
  <c r="AG17" i="14"/>
  <c r="AG86" i="18" s="1"/>
  <c r="AH17" i="14"/>
  <c r="AH86" i="18" s="1"/>
  <c r="AI17" i="14"/>
  <c r="AI86" i="18" s="1"/>
  <c r="AJ17" i="14"/>
  <c r="AJ86" i="18" s="1"/>
  <c r="AK17" i="14"/>
  <c r="AK86" i="18" s="1"/>
  <c r="AL17" i="14"/>
  <c r="AL86" i="18" s="1"/>
  <c r="AM17" i="14"/>
  <c r="AM86" i="18" s="1"/>
  <c r="AN17" i="14"/>
  <c r="AN86" i="18" s="1"/>
  <c r="AO17" i="14"/>
  <c r="AO86" i="18" s="1"/>
  <c r="AP17" i="14"/>
  <c r="AP86" i="18" s="1"/>
  <c r="AQ17" i="14"/>
  <c r="AQ86" i="18" s="1"/>
  <c r="AR17" i="14"/>
  <c r="AR86" i="18" s="1"/>
  <c r="AS17" i="14"/>
  <c r="AS86" i="18" s="1"/>
  <c r="AT17" i="14"/>
  <c r="AT86" i="18" s="1"/>
  <c r="AU17" i="14"/>
  <c r="AU86" i="18" s="1"/>
  <c r="AV17" i="14"/>
  <c r="AV86" i="18" s="1"/>
  <c r="AW17" i="14"/>
  <c r="AW86" i="18" s="1"/>
  <c r="AX17" i="14"/>
  <c r="AX86" i="18" s="1"/>
  <c r="AY17" i="14"/>
  <c r="AY86" i="18" s="1"/>
  <c r="AZ17" i="14"/>
  <c r="AZ86" i="18" s="1"/>
  <c r="BA17" i="14"/>
  <c r="BA86" i="18" s="1"/>
  <c r="BB17" i="14"/>
  <c r="BB86" i="18" s="1"/>
  <c r="BC17" i="14"/>
  <c r="BC86" i="18" s="1"/>
  <c r="BD17" i="14"/>
  <c r="BD86" i="18" s="1"/>
  <c r="BE17" i="14"/>
  <c r="BE86" i="18" s="1"/>
  <c r="BF17" i="14"/>
  <c r="BF86" i="18" s="1"/>
  <c r="BG17" i="14"/>
  <c r="BG86" i="18" s="1"/>
  <c r="BH17" i="14"/>
  <c r="BH86" i="18" s="1"/>
  <c r="BI17" i="14"/>
  <c r="BI86" i="18" s="1"/>
  <c r="BJ17" i="14"/>
  <c r="BJ86" i="18" s="1"/>
  <c r="BK17" i="14"/>
  <c r="BL17" i="14"/>
  <c r="BL86" i="18" s="1"/>
  <c r="BM17" i="14"/>
  <c r="BM86" i="18" s="1"/>
  <c r="BN17" i="14"/>
  <c r="BO17" i="14"/>
  <c r="BO86" i="18" s="1"/>
  <c r="BP17" i="14"/>
  <c r="BP86" i="18" s="1"/>
  <c r="BQ17" i="14"/>
  <c r="BR17" i="14"/>
  <c r="BR86" i="18" s="1"/>
  <c r="BS17" i="14"/>
  <c r="BS86" i="18" s="1"/>
  <c r="BT17" i="14"/>
  <c r="BU17" i="14"/>
  <c r="BU86" i="18" s="1"/>
  <c r="BV17" i="14"/>
  <c r="BV86" i="18" s="1"/>
  <c r="BW17" i="14"/>
  <c r="BX17" i="14"/>
  <c r="BX86" i="18" s="1"/>
  <c r="BY17" i="14"/>
  <c r="BY86" i="18" s="1"/>
  <c r="BZ17" i="14"/>
  <c r="BZ86" i="18" s="1"/>
  <c r="CA17" i="14"/>
  <c r="CA86" i="18" s="1"/>
  <c r="CB17" i="14"/>
  <c r="CB86" i="18" s="1"/>
  <c r="CC17" i="14"/>
  <c r="CD17" i="14"/>
  <c r="CD86" i="18" s="1"/>
  <c r="CE17" i="14"/>
  <c r="CE86" i="18" s="1"/>
  <c r="CF17" i="14"/>
  <c r="CG17" i="14"/>
  <c r="CG86" i="18" s="1"/>
  <c r="CH17" i="14"/>
  <c r="CH86" i="18" s="1"/>
  <c r="CI17" i="14"/>
  <c r="CJ17" i="14"/>
  <c r="CJ86" i="18" s="1"/>
  <c r="CK17" i="14"/>
  <c r="CK86" i="18" s="1"/>
  <c r="CL17" i="14"/>
  <c r="CM17" i="14"/>
  <c r="CM86" i="18" s="1"/>
  <c r="CN17" i="14"/>
  <c r="CN86" i="18" s="1"/>
  <c r="CO17" i="14"/>
  <c r="CP17" i="14"/>
  <c r="CP86" i="18" s="1"/>
  <c r="CQ17" i="14"/>
  <c r="CQ86" i="18" s="1"/>
  <c r="CR17" i="14"/>
  <c r="CS17" i="14"/>
  <c r="CS86" i="18" s="1"/>
  <c r="CT17" i="14"/>
  <c r="CT86" i="18" s="1"/>
  <c r="CU17" i="14"/>
  <c r="CV17" i="14"/>
  <c r="CV86" i="18" s="1"/>
  <c r="CW17" i="14"/>
  <c r="CW86" i="18" s="1"/>
  <c r="CX17" i="14"/>
  <c r="CY17" i="14"/>
  <c r="CY86" i="18" s="1"/>
  <c r="CZ17" i="14"/>
  <c r="CZ86" i="18" s="1"/>
  <c r="DA17" i="14"/>
  <c r="DB17" i="14"/>
  <c r="DB86" i="18" s="1"/>
  <c r="DC17" i="14"/>
  <c r="DC86" i="18" s="1"/>
  <c r="DD17" i="14"/>
  <c r="DE17" i="14"/>
  <c r="DE86" i="18" s="1"/>
  <c r="DF17" i="14"/>
  <c r="DF86" i="18" s="1"/>
  <c r="DG17" i="14"/>
  <c r="DH17" i="14"/>
  <c r="DH86" i="18" s="1"/>
  <c r="DI17" i="14"/>
  <c r="DI86" i="18" s="1"/>
  <c r="DJ17" i="14"/>
  <c r="DK17" i="14"/>
  <c r="DK86" i="18" s="1"/>
  <c r="DL17" i="14"/>
  <c r="DL86" i="18" s="1"/>
  <c r="DM17" i="14"/>
  <c r="DN17" i="14"/>
  <c r="DN86" i="18" s="1"/>
  <c r="DO17" i="14"/>
  <c r="DO86" i="18" s="1"/>
  <c r="DP17" i="14"/>
  <c r="DQ17" i="14"/>
  <c r="DQ86" i="18" s="1"/>
  <c r="DR17" i="14"/>
  <c r="DR86" i="18" s="1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BQ10" i="14"/>
  <c r="BR10" i="14"/>
  <c r="BS10" i="14"/>
  <c r="BT10" i="14"/>
  <c r="BU10" i="14"/>
  <c r="BV10" i="14"/>
  <c r="BW10" i="14"/>
  <c r="BX10" i="14"/>
  <c r="BY10" i="14"/>
  <c r="BZ10" i="14"/>
  <c r="CA10" i="14"/>
  <c r="CB10" i="14"/>
  <c r="CC10" i="14"/>
  <c r="CD10" i="14"/>
  <c r="CE10" i="14"/>
  <c r="CF10" i="14"/>
  <c r="CG10" i="14"/>
  <c r="CH10" i="14"/>
  <c r="CI10" i="14"/>
  <c r="CJ10" i="14"/>
  <c r="CK10" i="14"/>
  <c r="CL10" i="14"/>
  <c r="CM10" i="14"/>
  <c r="CN10" i="14"/>
  <c r="CO10" i="14"/>
  <c r="CP10" i="14"/>
  <c r="CQ10" i="14"/>
  <c r="CR10" i="14"/>
  <c r="CS10" i="14"/>
  <c r="CT10" i="14"/>
  <c r="C6" i="14"/>
  <c r="C57" i="18" s="1"/>
  <c r="D6" i="14"/>
  <c r="D57" i="18" s="1"/>
  <c r="E6" i="14"/>
  <c r="E57" i="18" s="1"/>
  <c r="F6" i="14"/>
  <c r="F57" i="18" s="1"/>
  <c r="G6" i="14"/>
  <c r="G57" i="18" s="1"/>
  <c r="H6" i="14"/>
  <c r="H57" i="18" s="1"/>
  <c r="I6" i="14"/>
  <c r="I57" i="18" s="1"/>
  <c r="J6" i="14"/>
  <c r="J57" i="18" s="1"/>
  <c r="K6" i="14"/>
  <c r="K57" i="18" s="1"/>
  <c r="L6" i="14"/>
  <c r="L57" i="18" s="1"/>
  <c r="M6" i="14"/>
  <c r="M57" i="18" s="1"/>
  <c r="N6" i="14"/>
  <c r="N57" i="18" s="1"/>
  <c r="O6" i="14"/>
  <c r="O57" i="18" s="1"/>
  <c r="P6" i="14"/>
  <c r="P57" i="18" s="1"/>
  <c r="Q6" i="14"/>
  <c r="Q57" i="18" s="1"/>
  <c r="R6" i="14"/>
  <c r="R57" i="18" s="1"/>
  <c r="S6" i="14"/>
  <c r="S57" i="18" s="1"/>
  <c r="T6" i="14"/>
  <c r="T57" i="18" s="1"/>
  <c r="U6" i="14"/>
  <c r="U57" i="18" s="1"/>
  <c r="V6" i="14"/>
  <c r="V57" i="18" s="1"/>
  <c r="W6" i="14"/>
  <c r="W57" i="18" s="1"/>
  <c r="X6" i="14"/>
  <c r="X57" i="18" s="1"/>
  <c r="Y6" i="14"/>
  <c r="Y57" i="18" s="1"/>
  <c r="Z6" i="14"/>
  <c r="Z57" i="18" s="1"/>
  <c r="AA6" i="14"/>
  <c r="AA57" i="18" s="1"/>
  <c r="AB6" i="14"/>
  <c r="AB57" i="18" s="1"/>
  <c r="AC6" i="14"/>
  <c r="AC57" i="18" s="1"/>
  <c r="AD6" i="14"/>
  <c r="AD57" i="18" s="1"/>
  <c r="AE6" i="14"/>
  <c r="AE57" i="18" s="1"/>
  <c r="AF6" i="14"/>
  <c r="AF57" i="18" s="1"/>
  <c r="AG6" i="14"/>
  <c r="AG57" i="18" s="1"/>
  <c r="AH6" i="14"/>
  <c r="AH57" i="18" s="1"/>
  <c r="AI6" i="14"/>
  <c r="AI57" i="18" s="1"/>
  <c r="AJ6" i="14"/>
  <c r="AJ57" i="18" s="1"/>
  <c r="AK6" i="14"/>
  <c r="AK57" i="18" s="1"/>
  <c r="AL6" i="14"/>
  <c r="AL57" i="18" s="1"/>
  <c r="AM6" i="14"/>
  <c r="AM57" i="18" s="1"/>
  <c r="AN6" i="14"/>
  <c r="AN57" i="18" s="1"/>
  <c r="AO6" i="14"/>
  <c r="AO57" i="18" s="1"/>
  <c r="AP6" i="14"/>
  <c r="AP57" i="18" s="1"/>
  <c r="AQ6" i="14"/>
  <c r="AQ57" i="18" s="1"/>
  <c r="AR6" i="14"/>
  <c r="AR57" i="18" s="1"/>
  <c r="AS6" i="14"/>
  <c r="AS57" i="18" s="1"/>
  <c r="AT6" i="14"/>
  <c r="AT57" i="18" s="1"/>
  <c r="AU6" i="14"/>
  <c r="AU57" i="18" s="1"/>
  <c r="AV6" i="14"/>
  <c r="AV57" i="18" s="1"/>
  <c r="AW6" i="14"/>
  <c r="AW57" i="18" s="1"/>
  <c r="AX6" i="14"/>
  <c r="AX57" i="18" s="1"/>
  <c r="AY6" i="14"/>
  <c r="AY57" i="18" s="1"/>
  <c r="AZ6" i="14"/>
  <c r="AZ57" i="18" s="1"/>
  <c r="BA6" i="14"/>
  <c r="BA57" i="18" s="1"/>
  <c r="BB6" i="14"/>
  <c r="BB57" i="18" s="1"/>
  <c r="BC6" i="14"/>
  <c r="BC57" i="18" s="1"/>
  <c r="BD6" i="14"/>
  <c r="BD57" i="18" s="1"/>
  <c r="BE6" i="14"/>
  <c r="BE57" i="18" s="1"/>
  <c r="BF6" i="14"/>
  <c r="BF57" i="18" s="1"/>
  <c r="BG6" i="14"/>
  <c r="BG57" i="18" s="1"/>
  <c r="BH6" i="14"/>
  <c r="BH57" i="18" s="1"/>
  <c r="BI6" i="14"/>
  <c r="BI57" i="18" s="1"/>
  <c r="BJ6" i="14"/>
  <c r="BJ57" i="18" s="1"/>
  <c r="BK6" i="14"/>
  <c r="BL6" i="14"/>
  <c r="BL57" i="18" s="1"/>
  <c r="BM6" i="14"/>
  <c r="BM57" i="18" s="1"/>
  <c r="BN6" i="14"/>
  <c r="BO6" i="14"/>
  <c r="BO57" i="18" s="1"/>
  <c r="BP6" i="14"/>
  <c r="BP57" i="18" s="1"/>
  <c r="BQ6" i="14"/>
  <c r="BR6" i="14"/>
  <c r="BR57" i="18" s="1"/>
  <c r="BS6" i="14"/>
  <c r="BS57" i="18" s="1"/>
  <c r="BT6" i="14"/>
  <c r="BU6" i="14"/>
  <c r="BU57" i="18" s="1"/>
  <c r="BV6" i="14"/>
  <c r="BV57" i="18" s="1"/>
  <c r="BW6" i="14"/>
  <c r="BX6" i="14"/>
  <c r="BX57" i="18" s="1"/>
  <c r="BY6" i="14"/>
  <c r="BY57" i="18" s="1"/>
  <c r="BZ6" i="14"/>
  <c r="BZ57" i="18" s="1"/>
  <c r="CA6" i="14"/>
  <c r="CA57" i="18" s="1"/>
  <c r="CB6" i="14"/>
  <c r="CB57" i="18" s="1"/>
  <c r="CC6" i="14"/>
  <c r="CD6" i="14"/>
  <c r="CD57" i="18" s="1"/>
  <c r="CE6" i="14"/>
  <c r="CE57" i="18" s="1"/>
  <c r="CF6" i="14"/>
  <c r="CG6" i="14"/>
  <c r="CG57" i="18" s="1"/>
  <c r="CH6" i="14"/>
  <c r="CH57" i="18" s="1"/>
  <c r="CI6" i="14"/>
  <c r="CJ6" i="14"/>
  <c r="CJ57" i="18" s="1"/>
  <c r="CK6" i="14"/>
  <c r="CK57" i="18" s="1"/>
  <c r="CL6" i="14"/>
  <c r="CM6" i="14"/>
  <c r="CM57" i="18" s="1"/>
  <c r="CN6" i="14"/>
  <c r="CN57" i="18" s="1"/>
  <c r="CO6" i="14"/>
  <c r="CP6" i="14"/>
  <c r="CP57" i="18" s="1"/>
  <c r="CQ6" i="14"/>
  <c r="CQ57" i="18" s="1"/>
  <c r="CR6" i="14"/>
  <c r="CS6" i="14"/>
  <c r="CS57" i="18" s="1"/>
  <c r="CT6" i="14"/>
  <c r="CT57" i="18" s="1"/>
  <c r="C5" i="14"/>
  <c r="D5" i="14"/>
  <c r="D49" i="18" s="1"/>
  <c r="E5" i="14"/>
  <c r="E49" i="18" s="1"/>
  <c r="F5" i="14"/>
  <c r="F49" i="18" s="1"/>
  <c r="G5" i="14"/>
  <c r="G49" i="18" s="1"/>
  <c r="H5" i="14"/>
  <c r="H49" i="18" s="1"/>
  <c r="I5" i="14"/>
  <c r="I49" i="18" s="1"/>
  <c r="J5" i="14"/>
  <c r="K5" i="14"/>
  <c r="L5" i="14"/>
  <c r="L49" i="18" s="1"/>
  <c r="M5" i="14"/>
  <c r="M49" i="18" s="1"/>
  <c r="N5" i="14"/>
  <c r="N49" i="18" s="1"/>
  <c r="O5" i="14"/>
  <c r="P5" i="14"/>
  <c r="P49" i="18" s="1"/>
  <c r="Q5" i="14"/>
  <c r="Q49" i="18" s="1"/>
  <c r="R5" i="14"/>
  <c r="R49" i="18" s="1"/>
  <c r="S5" i="14"/>
  <c r="S49" i="18" s="1"/>
  <c r="T5" i="14"/>
  <c r="T49" i="18" s="1"/>
  <c r="U5" i="14"/>
  <c r="U49" i="18" s="1"/>
  <c r="V5" i="14"/>
  <c r="V49" i="18" s="1"/>
  <c r="W5" i="14"/>
  <c r="X5" i="14"/>
  <c r="Y5" i="14"/>
  <c r="Y49" i="18" s="1"/>
  <c r="Z5" i="14"/>
  <c r="AA5" i="14"/>
  <c r="AA49" i="18" s="1"/>
  <c r="AB5" i="14"/>
  <c r="AB49" i="18" s="1"/>
  <c r="AC5" i="14"/>
  <c r="AC49" i="18" s="1"/>
  <c r="AD5" i="14"/>
  <c r="AD49" i="18" s="1"/>
  <c r="AE5" i="14"/>
  <c r="AF5" i="14"/>
  <c r="AG5" i="14"/>
  <c r="AG49" i="18" s="1"/>
  <c r="AH5" i="14"/>
  <c r="AI5" i="14"/>
  <c r="AJ5" i="14"/>
  <c r="AK5" i="14"/>
  <c r="AK49" i="18" s="1"/>
  <c r="AL5" i="14"/>
  <c r="AM5" i="14"/>
  <c r="AN5" i="14"/>
  <c r="AN49" i="18" s="1"/>
  <c r="AO5" i="14"/>
  <c r="AO49" i="18" s="1"/>
  <c r="AP5" i="14"/>
  <c r="AP49" i="18" s="1"/>
  <c r="AQ5" i="14"/>
  <c r="AR5" i="14"/>
  <c r="AS5" i="14"/>
  <c r="AS49" i="18" s="1"/>
  <c r="AT5" i="14"/>
  <c r="AU5" i="14"/>
  <c r="AV5" i="14"/>
  <c r="AW5" i="14"/>
  <c r="AW49" i="18" s="1"/>
  <c r="AX5" i="14"/>
  <c r="AY5" i="14"/>
  <c r="AZ5" i="14"/>
  <c r="AZ49" i="18" s="1"/>
  <c r="BA5" i="14"/>
  <c r="BA49" i="18" s="1"/>
  <c r="BB5" i="14"/>
  <c r="BB49" i="18" s="1"/>
  <c r="BC5" i="14"/>
  <c r="BD5" i="14"/>
  <c r="BE5" i="14"/>
  <c r="BE49" i="18" s="1"/>
  <c r="BF5" i="14"/>
  <c r="BG5" i="14"/>
  <c r="BH5" i="14"/>
  <c r="BI5" i="14"/>
  <c r="BI49" i="18" s="1"/>
  <c r="BJ5" i="14"/>
  <c r="BK5" i="14"/>
  <c r="BL5" i="14"/>
  <c r="BL49" i="18" s="1"/>
  <c r="BM5" i="14"/>
  <c r="BM49" i="18" s="1"/>
  <c r="BN5" i="14"/>
  <c r="BO5" i="14"/>
  <c r="BO49" i="18" s="1"/>
  <c r="BP5" i="14"/>
  <c r="BQ5" i="14"/>
  <c r="BR5" i="14"/>
  <c r="BS5" i="14"/>
  <c r="BT5" i="14"/>
  <c r="BU5" i="14"/>
  <c r="BU49" i="18" s="1"/>
  <c r="BV5" i="14"/>
  <c r="BW5" i="14"/>
  <c r="BX5" i="14"/>
  <c r="BY5" i="14"/>
  <c r="BY49" i="18" s="1"/>
  <c r="BZ5" i="14"/>
  <c r="BZ49" i="18" s="1"/>
  <c r="CA5" i="14"/>
  <c r="CB5" i="14"/>
  <c r="CC5" i="14"/>
  <c r="CD5" i="14"/>
  <c r="CE5" i="14"/>
  <c r="CE49" i="18" s="1"/>
  <c r="CF5" i="14"/>
  <c r="CG5" i="14"/>
  <c r="CG49" i="18" s="1"/>
  <c r="CH5" i="14"/>
  <c r="CI5" i="14"/>
  <c r="CJ5" i="14"/>
  <c r="CK5" i="14"/>
  <c r="CK49" i="18" s="1"/>
  <c r="CL5" i="14"/>
  <c r="CM5" i="14"/>
  <c r="CN5" i="14"/>
  <c r="CO5" i="14"/>
  <c r="CP5" i="14"/>
  <c r="CP49" i="18" s="1"/>
  <c r="CQ5" i="14"/>
  <c r="CR5" i="14"/>
  <c r="CS5" i="14"/>
  <c r="CS49" i="18" s="1"/>
  <c r="CT5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G3" i="14"/>
  <c r="BH3" i="14"/>
  <c r="BI3" i="14"/>
  <c r="BJ3" i="14"/>
  <c r="BK3" i="14"/>
  <c r="BL3" i="14"/>
  <c r="BM3" i="14"/>
  <c r="BN3" i="14"/>
  <c r="BO3" i="14"/>
  <c r="BP3" i="14"/>
  <c r="BQ3" i="14"/>
  <c r="BR3" i="14"/>
  <c r="BS3" i="14"/>
  <c r="BT3" i="14"/>
  <c r="BU3" i="14"/>
  <c r="BV3" i="14"/>
  <c r="BW3" i="14"/>
  <c r="BX3" i="14"/>
  <c r="BY3" i="14"/>
  <c r="BZ3" i="14"/>
  <c r="CA3" i="14"/>
  <c r="CB3" i="14"/>
  <c r="CC3" i="14"/>
  <c r="CD3" i="14"/>
  <c r="CE3" i="14"/>
  <c r="CF3" i="14"/>
  <c r="CG3" i="14"/>
  <c r="CH3" i="14"/>
  <c r="CI3" i="14"/>
  <c r="CJ3" i="14"/>
  <c r="CK3" i="14"/>
  <c r="CL3" i="14"/>
  <c r="CM3" i="14"/>
  <c r="CN3" i="14"/>
  <c r="CO3" i="14"/>
  <c r="CP3" i="14"/>
  <c r="CQ3" i="14"/>
  <c r="CR3" i="14"/>
  <c r="CS3" i="14"/>
  <c r="CT3" i="14"/>
  <c r="CR2" i="14"/>
  <c r="CS2" i="14" s="1"/>
  <c r="CT2" i="14" s="1"/>
  <c r="CU2" i="14" s="1"/>
  <c r="CV2" i="14" s="1"/>
  <c r="CW2" i="14" s="1"/>
  <c r="CX2" i="14" s="1"/>
  <c r="CY2" i="14" s="1"/>
  <c r="CZ2" i="14" s="1"/>
  <c r="DA2" i="14" s="1"/>
  <c r="DB2" i="14" s="1"/>
  <c r="DC2" i="14" s="1"/>
  <c r="DD2" i="14" s="1"/>
  <c r="DE2" i="14" s="1"/>
  <c r="DF2" i="14" s="1"/>
  <c r="DG2" i="14" s="1"/>
  <c r="DH2" i="14" s="1"/>
  <c r="DI2" i="14" s="1"/>
  <c r="DJ2" i="14" s="1"/>
  <c r="DK2" i="14" s="1"/>
  <c r="DL2" i="14" s="1"/>
  <c r="DM2" i="14" s="1"/>
  <c r="DN2" i="14" s="1"/>
  <c r="DO2" i="14" s="1"/>
  <c r="DP2" i="14" s="1"/>
  <c r="DQ2" i="14" s="1"/>
  <c r="DR2" i="14" s="1"/>
  <c r="DS2" i="14" s="1"/>
  <c r="DT2" i="14" s="1"/>
  <c r="DU2" i="14" s="1"/>
  <c r="DV2" i="14" s="1"/>
  <c r="DW2" i="14" s="1"/>
  <c r="DX2" i="14" s="1"/>
  <c r="DY2" i="14" s="1"/>
  <c r="DZ2" i="14" s="1"/>
  <c r="EA2" i="14" s="1"/>
  <c r="EB2" i="14" s="1"/>
  <c r="EC2" i="14" s="1"/>
  <c r="ED2" i="14" s="1"/>
  <c r="C157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BC157" i="7"/>
  <c r="BD157" i="7"/>
  <c r="BE157" i="7"/>
  <c r="BF157" i="7"/>
  <c r="BG157" i="7"/>
  <c r="BH157" i="7"/>
  <c r="BI157" i="7"/>
  <c r="BJ157" i="7"/>
  <c r="BK157" i="7"/>
  <c r="BL157" i="7"/>
  <c r="BM157" i="7"/>
  <c r="BN157" i="7"/>
  <c r="BO157" i="7"/>
  <c r="BP157" i="7"/>
  <c r="BQ157" i="7"/>
  <c r="BR157" i="7"/>
  <c r="BS157" i="7"/>
  <c r="BT157" i="7"/>
  <c r="BU157" i="7"/>
  <c r="BV157" i="7"/>
  <c r="BW157" i="7"/>
  <c r="BX157" i="7"/>
  <c r="BY157" i="7"/>
  <c r="BZ157" i="7"/>
  <c r="CA157" i="7"/>
  <c r="CB157" i="7"/>
  <c r="CC157" i="7"/>
  <c r="CD157" i="7"/>
  <c r="CE157" i="7"/>
  <c r="CF157" i="7"/>
  <c r="CG157" i="7"/>
  <c r="CH157" i="7"/>
  <c r="CI157" i="7"/>
  <c r="CJ157" i="7"/>
  <c r="CK157" i="7"/>
  <c r="C158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K158" i="7"/>
  <c r="AL158" i="7"/>
  <c r="AM158" i="7"/>
  <c r="AN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BA158" i="7"/>
  <c r="BB158" i="7"/>
  <c r="BC158" i="7"/>
  <c r="BD158" i="7"/>
  <c r="BE158" i="7"/>
  <c r="BF158" i="7"/>
  <c r="BG158" i="7"/>
  <c r="BH158" i="7"/>
  <c r="BI158" i="7"/>
  <c r="BJ158" i="7"/>
  <c r="BK158" i="7"/>
  <c r="BL158" i="7"/>
  <c r="BM158" i="7"/>
  <c r="BN158" i="7"/>
  <c r="BO158" i="7"/>
  <c r="BP158" i="7"/>
  <c r="BQ158" i="7"/>
  <c r="BR158" i="7"/>
  <c r="BS158" i="7"/>
  <c r="BT158" i="7"/>
  <c r="BU158" i="7"/>
  <c r="BV158" i="7"/>
  <c r="BW158" i="7"/>
  <c r="BX158" i="7"/>
  <c r="BY158" i="7"/>
  <c r="BZ158" i="7"/>
  <c r="CA158" i="7"/>
  <c r="CB158" i="7"/>
  <c r="CC158" i="7"/>
  <c r="CD158" i="7"/>
  <c r="CE158" i="7"/>
  <c r="CF158" i="7"/>
  <c r="CG158" i="7"/>
  <c r="CH158" i="7"/>
  <c r="CI158" i="7"/>
  <c r="CJ158" i="7"/>
  <c r="CK158" i="7"/>
  <c r="CT313" i="2"/>
  <c r="CU313" i="2" s="1"/>
  <c r="CM150" i="7" s="1"/>
  <c r="C150" i="7"/>
  <c r="L125" i="15" s="1"/>
  <c r="L123" i="15" s="1"/>
  <c r="D150" i="7"/>
  <c r="M125" i="15" s="1"/>
  <c r="M123" i="15" s="1"/>
  <c r="E150" i="7"/>
  <c r="N125" i="15" s="1"/>
  <c r="N123" i="15" s="1"/>
  <c r="F150" i="7"/>
  <c r="O125" i="15" s="1"/>
  <c r="O123" i="15" s="1"/>
  <c r="G150" i="7"/>
  <c r="P125" i="15" s="1"/>
  <c r="P123" i="15" s="1"/>
  <c r="H150" i="7"/>
  <c r="Q125" i="15" s="1"/>
  <c r="Q123" i="15" s="1"/>
  <c r="I150" i="7"/>
  <c r="R125" i="15" s="1"/>
  <c r="R123" i="15" s="1"/>
  <c r="J150" i="7"/>
  <c r="S125" i="15" s="1"/>
  <c r="S123" i="15" s="1"/>
  <c r="K150" i="7"/>
  <c r="T125" i="15" s="1"/>
  <c r="T123" i="15" s="1"/>
  <c r="L150" i="7"/>
  <c r="U125" i="15" s="1"/>
  <c r="U123" i="15" s="1"/>
  <c r="M150" i="7"/>
  <c r="V125" i="15" s="1"/>
  <c r="V123" i="15" s="1"/>
  <c r="N150" i="7"/>
  <c r="W125" i="15" s="1"/>
  <c r="W123" i="15" s="1"/>
  <c r="O150" i="7"/>
  <c r="X125" i="15" s="1"/>
  <c r="X123" i="15" s="1"/>
  <c r="P150" i="7"/>
  <c r="Y125" i="15" s="1"/>
  <c r="Y123" i="15" s="1"/>
  <c r="Q150" i="7"/>
  <c r="Z125" i="15" s="1"/>
  <c r="Z123" i="15" s="1"/>
  <c r="R150" i="7"/>
  <c r="AA125" i="15" s="1"/>
  <c r="AA123" i="15" s="1"/>
  <c r="S150" i="7"/>
  <c r="AB125" i="15" s="1"/>
  <c r="AB123" i="15" s="1"/>
  <c r="T150" i="7"/>
  <c r="AC125" i="15" s="1"/>
  <c r="AC123" i="15" s="1"/>
  <c r="U150" i="7"/>
  <c r="AD125" i="15" s="1"/>
  <c r="AD123" i="15" s="1"/>
  <c r="V150" i="7"/>
  <c r="AE125" i="15" s="1"/>
  <c r="AE123" i="15" s="1"/>
  <c r="W150" i="7"/>
  <c r="AF125" i="15" s="1"/>
  <c r="AF123" i="15" s="1"/>
  <c r="X150" i="7"/>
  <c r="AG125" i="15" s="1"/>
  <c r="AG123" i="15" s="1"/>
  <c r="Y150" i="7"/>
  <c r="AH125" i="15" s="1"/>
  <c r="AH123" i="15" s="1"/>
  <c r="Z150" i="7"/>
  <c r="AI125" i="15" s="1"/>
  <c r="AI123" i="15" s="1"/>
  <c r="AA150" i="7"/>
  <c r="AB150" i="7"/>
  <c r="AC150" i="7"/>
  <c r="AD150" i="7"/>
  <c r="AE150" i="7"/>
  <c r="AF150" i="7"/>
  <c r="AG150" i="7"/>
  <c r="AH150" i="7"/>
  <c r="AI150" i="7"/>
  <c r="AJ150" i="7"/>
  <c r="AK150" i="7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BQ150" i="7"/>
  <c r="BR150" i="7"/>
  <c r="BS150" i="7"/>
  <c r="BT150" i="7"/>
  <c r="BU150" i="7"/>
  <c r="BV150" i="7"/>
  <c r="BW150" i="7"/>
  <c r="BX150" i="7"/>
  <c r="BY150" i="7"/>
  <c r="BZ150" i="7"/>
  <c r="CA150" i="7"/>
  <c r="CB150" i="7"/>
  <c r="CC150" i="7"/>
  <c r="CD150" i="7"/>
  <c r="CE150" i="7"/>
  <c r="CF150" i="7"/>
  <c r="CG150" i="7"/>
  <c r="CH150" i="7"/>
  <c r="CI150" i="7"/>
  <c r="CJ150" i="7"/>
  <c r="CK150" i="7"/>
  <c r="C147" i="7"/>
  <c r="L119" i="15" s="1"/>
  <c r="L117" i="15" s="1"/>
  <c r="L177" i="18" s="1"/>
  <c r="D147" i="7"/>
  <c r="M119" i="15" s="1"/>
  <c r="M117" i="15" s="1"/>
  <c r="M177" i="18" s="1"/>
  <c r="E147" i="7"/>
  <c r="N119" i="15" s="1"/>
  <c r="N117" i="15" s="1"/>
  <c r="N177" i="18" s="1"/>
  <c r="F147" i="7"/>
  <c r="O119" i="15" s="1"/>
  <c r="O117" i="15" s="1"/>
  <c r="O177" i="18" s="1"/>
  <c r="G147" i="7"/>
  <c r="P119" i="15" s="1"/>
  <c r="P117" i="15" s="1"/>
  <c r="P177" i="18" s="1"/>
  <c r="H147" i="7"/>
  <c r="Q119" i="15" s="1"/>
  <c r="Q117" i="15" s="1"/>
  <c r="Q177" i="18" s="1"/>
  <c r="I147" i="7"/>
  <c r="R119" i="15" s="1"/>
  <c r="R117" i="15" s="1"/>
  <c r="R177" i="18" s="1"/>
  <c r="J147" i="7"/>
  <c r="S119" i="15" s="1"/>
  <c r="S117" i="15" s="1"/>
  <c r="S177" i="18" s="1"/>
  <c r="K147" i="7"/>
  <c r="T119" i="15" s="1"/>
  <c r="T117" i="15" s="1"/>
  <c r="T177" i="18" s="1"/>
  <c r="L147" i="7"/>
  <c r="U119" i="15" s="1"/>
  <c r="U117" i="15" s="1"/>
  <c r="U177" i="18" s="1"/>
  <c r="M147" i="7"/>
  <c r="V119" i="15" s="1"/>
  <c r="V117" i="15" s="1"/>
  <c r="V177" i="18" s="1"/>
  <c r="N147" i="7"/>
  <c r="W119" i="15" s="1"/>
  <c r="W117" i="15" s="1"/>
  <c r="W177" i="18" s="1"/>
  <c r="O147" i="7"/>
  <c r="X119" i="15" s="1"/>
  <c r="X117" i="15" s="1"/>
  <c r="X177" i="18" s="1"/>
  <c r="P147" i="7"/>
  <c r="Y119" i="15" s="1"/>
  <c r="Y117" i="15" s="1"/>
  <c r="Y177" i="18" s="1"/>
  <c r="Q147" i="7"/>
  <c r="Z119" i="15" s="1"/>
  <c r="Z117" i="15" s="1"/>
  <c r="Z177" i="18" s="1"/>
  <c r="R147" i="7"/>
  <c r="AA119" i="15" s="1"/>
  <c r="AA117" i="15" s="1"/>
  <c r="AA177" i="18" s="1"/>
  <c r="S147" i="7"/>
  <c r="AB119" i="15" s="1"/>
  <c r="AB117" i="15" s="1"/>
  <c r="AB177" i="18" s="1"/>
  <c r="T147" i="7"/>
  <c r="AC119" i="15" s="1"/>
  <c r="AC117" i="15" s="1"/>
  <c r="AC177" i="18" s="1"/>
  <c r="U147" i="7"/>
  <c r="AD119" i="15" s="1"/>
  <c r="AD117" i="15" s="1"/>
  <c r="AD177" i="18" s="1"/>
  <c r="V147" i="7"/>
  <c r="AE119" i="15" s="1"/>
  <c r="AE117" i="15" s="1"/>
  <c r="AE177" i="18" s="1"/>
  <c r="W147" i="7"/>
  <c r="AF119" i="15" s="1"/>
  <c r="AF117" i="15" s="1"/>
  <c r="AF177" i="18" s="1"/>
  <c r="X147" i="7"/>
  <c r="AG119" i="15" s="1"/>
  <c r="AG117" i="15" s="1"/>
  <c r="AG177" i="18" s="1"/>
  <c r="Y147" i="7"/>
  <c r="AH119" i="15" s="1"/>
  <c r="AH117" i="15" s="1"/>
  <c r="AH177" i="18" s="1"/>
  <c r="Z147" i="7"/>
  <c r="AI119" i="15" s="1"/>
  <c r="AI117" i="15" s="1"/>
  <c r="AI177" i="18" s="1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BS147" i="7"/>
  <c r="BT147" i="7"/>
  <c r="BU147" i="7"/>
  <c r="BV147" i="7"/>
  <c r="BW147" i="7"/>
  <c r="BX147" i="7"/>
  <c r="BY147" i="7"/>
  <c r="BZ147" i="7"/>
  <c r="CA147" i="7"/>
  <c r="CB147" i="7"/>
  <c r="CC147" i="7"/>
  <c r="CD147" i="7"/>
  <c r="CE147" i="7"/>
  <c r="CF147" i="7"/>
  <c r="CG147" i="7"/>
  <c r="CH147" i="7"/>
  <c r="CI147" i="7"/>
  <c r="CJ147" i="7"/>
  <c r="CK147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AD94" i="12" s="1"/>
  <c r="BC138" i="7"/>
  <c r="BD138" i="7"/>
  <c r="BE138" i="7"/>
  <c r="AG94" i="12" s="1"/>
  <c r="BF138" i="7"/>
  <c r="BG138" i="7"/>
  <c r="BH138" i="7"/>
  <c r="AJ94" i="12" s="1"/>
  <c r="BI138" i="7"/>
  <c r="BJ138" i="7"/>
  <c r="BK138" i="7"/>
  <c r="AM94" i="12" s="1"/>
  <c r="BL138" i="7"/>
  <c r="BM138" i="7"/>
  <c r="BN138" i="7"/>
  <c r="AP94" i="12" s="1"/>
  <c r="BO138" i="7"/>
  <c r="BP138" i="7"/>
  <c r="BQ138" i="7"/>
  <c r="AS94" i="12" s="1"/>
  <c r="BR138" i="7"/>
  <c r="BS138" i="7"/>
  <c r="BT138" i="7"/>
  <c r="BU138" i="7"/>
  <c r="BV138" i="7"/>
  <c r="BW138" i="7"/>
  <c r="BX138" i="7"/>
  <c r="BY138" i="7"/>
  <c r="BZ138" i="7"/>
  <c r="CA138" i="7"/>
  <c r="CB138" i="7"/>
  <c r="CC138" i="7"/>
  <c r="CD138" i="7"/>
  <c r="CE138" i="7"/>
  <c r="CF138" i="7"/>
  <c r="CG138" i="7"/>
  <c r="CH138" i="7"/>
  <c r="CI138" i="7"/>
  <c r="CJ138" i="7"/>
  <c r="CK138" i="7"/>
  <c r="CL138" i="7"/>
  <c r="CU159" i="18" s="1"/>
  <c r="CM138" i="7"/>
  <c r="CN138" i="7"/>
  <c r="CO138" i="7"/>
  <c r="CX159" i="18" s="1"/>
  <c r="CP138" i="7"/>
  <c r="CQ138" i="7"/>
  <c r="CR138" i="7"/>
  <c r="DA159" i="18" s="1"/>
  <c r="CS138" i="7"/>
  <c r="CT138" i="7"/>
  <c r="CU138" i="7"/>
  <c r="DD159" i="18" s="1"/>
  <c r="CV138" i="7"/>
  <c r="CW138" i="7"/>
  <c r="CX138" i="7"/>
  <c r="DG159" i="18" s="1"/>
  <c r="CY138" i="7"/>
  <c r="CZ138" i="7"/>
  <c r="DA138" i="7"/>
  <c r="DJ159" i="18" s="1"/>
  <c r="DB138" i="7"/>
  <c r="DC138" i="7"/>
  <c r="DD138" i="7"/>
  <c r="DM159" i="18" s="1"/>
  <c r="DE138" i="7"/>
  <c r="DF138" i="7"/>
  <c r="DG138" i="7"/>
  <c r="DP159" i="18" s="1"/>
  <c r="DH138" i="7"/>
  <c r="DI138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BS137" i="7"/>
  <c r="BT137" i="7"/>
  <c r="BU137" i="7"/>
  <c r="BV137" i="7"/>
  <c r="BW137" i="7"/>
  <c r="BX137" i="7"/>
  <c r="BY137" i="7"/>
  <c r="BZ137" i="7"/>
  <c r="CA137" i="7"/>
  <c r="CB137" i="7"/>
  <c r="CC137" i="7"/>
  <c r="CD137" i="7"/>
  <c r="CE137" i="7"/>
  <c r="CF137" i="7"/>
  <c r="CG137" i="7"/>
  <c r="CH137" i="7"/>
  <c r="CI137" i="7"/>
  <c r="CJ137" i="7"/>
  <c r="CK137" i="7"/>
  <c r="CL137" i="7"/>
  <c r="CM137" i="7"/>
  <c r="CN137" i="7"/>
  <c r="CO137" i="7"/>
  <c r="CP137" i="7"/>
  <c r="CQ137" i="7"/>
  <c r="CR137" i="7"/>
  <c r="CS137" i="7"/>
  <c r="CT137" i="7"/>
  <c r="CU137" i="7"/>
  <c r="CV137" i="7"/>
  <c r="CW137" i="7"/>
  <c r="CX137" i="7"/>
  <c r="CY137" i="7"/>
  <c r="CZ137" i="7"/>
  <c r="DA137" i="7"/>
  <c r="DB137" i="7"/>
  <c r="DC137" i="7"/>
  <c r="DD137" i="7"/>
  <c r="DE137" i="7"/>
  <c r="DF137" i="7"/>
  <c r="DG137" i="7"/>
  <c r="DH137" i="7"/>
  <c r="DI137" i="7"/>
  <c r="C136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BC136" i="7"/>
  <c r="BD136" i="7"/>
  <c r="BE136" i="7"/>
  <c r="BF136" i="7"/>
  <c r="BG136" i="7"/>
  <c r="BH136" i="7"/>
  <c r="BI136" i="7"/>
  <c r="BJ136" i="7"/>
  <c r="BK136" i="7"/>
  <c r="BL136" i="7"/>
  <c r="BM136" i="7"/>
  <c r="BN136" i="7"/>
  <c r="BO136" i="7"/>
  <c r="BP136" i="7"/>
  <c r="BQ136" i="7"/>
  <c r="BR136" i="7"/>
  <c r="BS136" i="7"/>
  <c r="BT136" i="7"/>
  <c r="BU136" i="7"/>
  <c r="BV136" i="7"/>
  <c r="BW136" i="7"/>
  <c r="BX136" i="7"/>
  <c r="BY136" i="7"/>
  <c r="BZ136" i="7"/>
  <c r="CA136" i="7"/>
  <c r="CB136" i="7"/>
  <c r="CC136" i="7"/>
  <c r="CD136" i="7"/>
  <c r="CE136" i="7"/>
  <c r="CF136" i="7"/>
  <c r="CG136" i="7"/>
  <c r="CH136" i="7"/>
  <c r="CI136" i="7"/>
  <c r="CJ136" i="7"/>
  <c r="CK136" i="7"/>
  <c r="CL136" i="7"/>
  <c r="CM136" i="7"/>
  <c r="CN136" i="7"/>
  <c r="CO136" i="7"/>
  <c r="CP136" i="7"/>
  <c r="CQ136" i="7"/>
  <c r="CR136" i="7"/>
  <c r="CS136" i="7"/>
  <c r="CT136" i="7"/>
  <c r="CU136" i="7"/>
  <c r="CV136" i="7"/>
  <c r="CW136" i="7"/>
  <c r="CX136" i="7"/>
  <c r="CY136" i="7"/>
  <c r="CZ136" i="7"/>
  <c r="DA136" i="7"/>
  <c r="DB136" i="7"/>
  <c r="DC136" i="7"/>
  <c r="DD136" i="7"/>
  <c r="DE136" i="7"/>
  <c r="DF136" i="7"/>
  <c r="DG136" i="7"/>
  <c r="DH136" i="7"/>
  <c r="DI136" i="7"/>
  <c r="C108" i="7"/>
  <c r="L84" i="15" s="1"/>
  <c r="D108" i="7"/>
  <c r="M84" i="15" s="1"/>
  <c r="E108" i="7"/>
  <c r="N84" i="15" s="1"/>
  <c r="F108" i="7"/>
  <c r="O84" i="15" s="1"/>
  <c r="G108" i="7"/>
  <c r="P84" i="15" s="1"/>
  <c r="H108" i="7"/>
  <c r="Q84" i="15" s="1"/>
  <c r="I108" i="7"/>
  <c r="R84" i="15" s="1"/>
  <c r="J108" i="7"/>
  <c r="S84" i="15" s="1"/>
  <c r="K108" i="7"/>
  <c r="T84" i="15" s="1"/>
  <c r="L108" i="7"/>
  <c r="U84" i="15" s="1"/>
  <c r="M108" i="7"/>
  <c r="V84" i="15" s="1"/>
  <c r="N108" i="7"/>
  <c r="W84" i="15" s="1"/>
  <c r="O108" i="7"/>
  <c r="X84" i="15" s="1"/>
  <c r="P108" i="7"/>
  <c r="Y84" i="15" s="1"/>
  <c r="Q108" i="7"/>
  <c r="Z84" i="15" s="1"/>
  <c r="R108" i="7"/>
  <c r="AA84" i="15" s="1"/>
  <c r="S108" i="7"/>
  <c r="AB84" i="15" s="1"/>
  <c r="T108" i="7"/>
  <c r="AC84" i="15" s="1"/>
  <c r="U108" i="7"/>
  <c r="AD84" i="15" s="1"/>
  <c r="V108" i="7"/>
  <c r="AE84" i="15" s="1"/>
  <c r="W108" i="7"/>
  <c r="AF84" i="15" s="1"/>
  <c r="X108" i="7"/>
  <c r="AG84" i="15" s="1"/>
  <c r="Y108" i="7"/>
  <c r="AH84" i="15" s="1"/>
  <c r="Z108" i="7"/>
  <c r="AI84" i="15" s="1"/>
  <c r="AA108" i="7"/>
  <c r="AJ84" i="15" s="1"/>
  <c r="AB108" i="7"/>
  <c r="AK84" i="15" s="1"/>
  <c r="AC108" i="7"/>
  <c r="AL84" i="15" s="1"/>
  <c r="AD108" i="7"/>
  <c r="AM84" i="15" s="1"/>
  <c r="AE108" i="7"/>
  <c r="AN84" i="15" s="1"/>
  <c r="AF108" i="7"/>
  <c r="AO84" i="15" s="1"/>
  <c r="AG108" i="7"/>
  <c r="AP84" i="15" s="1"/>
  <c r="AH108" i="7"/>
  <c r="AQ84" i="15" s="1"/>
  <c r="AI108" i="7"/>
  <c r="AR84" i="15" s="1"/>
  <c r="AJ108" i="7"/>
  <c r="AS84" i="15" s="1"/>
  <c r="AK108" i="7"/>
  <c r="AT84" i="15" s="1"/>
  <c r="AL108" i="7"/>
  <c r="AU84" i="15" s="1"/>
  <c r="AM108" i="7"/>
  <c r="AV84" i="15" s="1"/>
  <c r="AN108" i="7"/>
  <c r="AW84" i="15" s="1"/>
  <c r="AO108" i="7"/>
  <c r="AX84" i="15" s="1"/>
  <c r="AP108" i="7"/>
  <c r="AY84" i="15" s="1"/>
  <c r="AQ108" i="7"/>
  <c r="AZ84" i="15" s="1"/>
  <c r="AR108" i="7"/>
  <c r="BA84" i="15" s="1"/>
  <c r="AS108" i="7"/>
  <c r="BB84" i="15" s="1"/>
  <c r="AT108" i="7"/>
  <c r="BC84" i="15" s="1"/>
  <c r="AU108" i="7"/>
  <c r="BD84" i="15" s="1"/>
  <c r="AV108" i="7"/>
  <c r="BE84" i="15" s="1"/>
  <c r="AW108" i="7"/>
  <c r="BF84" i="15" s="1"/>
  <c r="AX108" i="7"/>
  <c r="BG84" i="15" s="1"/>
  <c r="AY108" i="7"/>
  <c r="BH84" i="15" s="1"/>
  <c r="AZ108" i="7"/>
  <c r="BI84" i="15" s="1"/>
  <c r="BA108" i="7"/>
  <c r="BJ84" i="15" s="1"/>
  <c r="BB108" i="7"/>
  <c r="BC108" i="7"/>
  <c r="BL84" i="15" s="1"/>
  <c r="BD108" i="7"/>
  <c r="BM84" i="15" s="1"/>
  <c r="BE108" i="7"/>
  <c r="BF108" i="7"/>
  <c r="BO84" i="15" s="1"/>
  <c r="BG108" i="7"/>
  <c r="BP84" i="15" s="1"/>
  <c r="BH108" i="7"/>
  <c r="BI108" i="7"/>
  <c r="BR84" i="15" s="1"/>
  <c r="BJ108" i="7"/>
  <c r="BS84" i="15" s="1"/>
  <c r="BK108" i="7"/>
  <c r="BL108" i="7"/>
  <c r="BU84" i="15" s="1"/>
  <c r="BM108" i="7"/>
  <c r="BV84" i="15" s="1"/>
  <c r="BN108" i="7"/>
  <c r="BO108" i="7"/>
  <c r="BX84" i="15" s="1"/>
  <c r="BP108" i="7"/>
  <c r="BY84" i="15" s="1"/>
  <c r="BQ108" i="7"/>
  <c r="BR108" i="7"/>
  <c r="CA84" i="15" s="1"/>
  <c r="BS108" i="7"/>
  <c r="CB84" i="15" s="1"/>
  <c r="BT108" i="7"/>
  <c r="BU108" i="7"/>
  <c r="CD84" i="15" s="1"/>
  <c r="BV108" i="7"/>
  <c r="CE84" i="15" s="1"/>
  <c r="BW108" i="7"/>
  <c r="BX108" i="7"/>
  <c r="CG84" i="15" s="1"/>
  <c r="BY108" i="7"/>
  <c r="CH84" i="15" s="1"/>
  <c r="BZ108" i="7"/>
  <c r="CA108" i="7"/>
  <c r="CJ84" i="15" s="1"/>
  <c r="CB108" i="7"/>
  <c r="CK84" i="15" s="1"/>
  <c r="CC108" i="7"/>
  <c r="CD108" i="7"/>
  <c r="CM84" i="15" s="1"/>
  <c r="CE108" i="7"/>
  <c r="CN84" i="15" s="1"/>
  <c r="CF108" i="7"/>
  <c r="CG108" i="7"/>
  <c r="CP84" i="15" s="1"/>
  <c r="CH108" i="7"/>
  <c r="CQ84" i="15" s="1"/>
  <c r="CI108" i="7"/>
  <c r="CJ108" i="7"/>
  <c r="CS84" i="15" s="1"/>
  <c r="CK108" i="7"/>
  <c r="CT84" i="15" s="1"/>
  <c r="C109" i="7"/>
  <c r="L130" i="18" s="1"/>
  <c r="D109" i="7"/>
  <c r="M130" i="18" s="1"/>
  <c r="E109" i="7"/>
  <c r="N130" i="18" s="1"/>
  <c r="F109" i="7"/>
  <c r="O130" i="18" s="1"/>
  <c r="G109" i="7"/>
  <c r="P130" i="18" s="1"/>
  <c r="H109" i="7"/>
  <c r="Q130" i="18" s="1"/>
  <c r="I109" i="7"/>
  <c r="R130" i="18" s="1"/>
  <c r="J109" i="7"/>
  <c r="S130" i="18" s="1"/>
  <c r="K109" i="7"/>
  <c r="T130" i="18" s="1"/>
  <c r="L109" i="7"/>
  <c r="U130" i="18" s="1"/>
  <c r="M109" i="7"/>
  <c r="V130" i="18" s="1"/>
  <c r="N109" i="7"/>
  <c r="W130" i="18" s="1"/>
  <c r="O109" i="7"/>
  <c r="X130" i="18" s="1"/>
  <c r="P109" i="7"/>
  <c r="Y130" i="18" s="1"/>
  <c r="Q109" i="7"/>
  <c r="Z130" i="18" s="1"/>
  <c r="R109" i="7"/>
  <c r="AA130" i="18" s="1"/>
  <c r="S109" i="7"/>
  <c r="AB130" i="18" s="1"/>
  <c r="T109" i="7"/>
  <c r="AC130" i="18" s="1"/>
  <c r="U109" i="7"/>
  <c r="AD130" i="18" s="1"/>
  <c r="V109" i="7"/>
  <c r="AE130" i="18" s="1"/>
  <c r="W109" i="7"/>
  <c r="AF130" i="18" s="1"/>
  <c r="X109" i="7"/>
  <c r="AG130" i="18" s="1"/>
  <c r="Y109" i="7"/>
  <c r="AH130" i="18" s="1"/>
  <c r="Z109" i="7"/>
  <c r="AI130" i="18" s="1"/>
  <c r="AA109" i="7"/>
  <c r="AJ130" i="18" s="1"/>
  <c r="AB109" i="7"/>
  <c r="AK130" i="18" s="1"/>
  <c r="AC109" i="7"/>
  <c r="AL130" i="18" s="1"/>
  <c r="AD109" i="7"/>
  <c r="AM130" i="18" s="1"/>
  <c r="AE109" i="7"/>
  <c r="AN130" i="18" s="1"/>
  <c r="AF109" i="7"/>
  <c r="AO130" i="18" s="1"/>
  <c r="AG109" i="7"/>
  <c r="AP130" i="18" s="1"/>
  <c r="AH109" i="7"/>
  <c r="AQ130" i="18" s="1"/>
  <c r="AI109" i="7"/>
  <c r="AR130" i="18" s="1"/>
  <c r="AJ109" i="7"/>
  <c r="AS130" i="18" s="1"/>
  <c r="AK109" i="7"/>
  <c r="AT130" i="18" s="1"/>
  <c r="AL109" i="7"/>
  <c r="AU130" i="18" s="1"/>
  <c r="AM109" i="7"/>
  <c r="AV130" i="18" s="1"/>
  <c r="AN109" i="7"/>
  <c r="AW130" i="18" s="1"/>
  <c r="AO109" i="7"/>
  <c r="AX130" i="18" s="1"/>
  <c r="AP109" i="7"/>
  <c r="AY130" i="18" s="1"/>
  <c r="AQ109" i="7"/>
  <c r="AZ130" i="18" s="1"/>
  <c r="AR109" i="7"/>
  <c r="BA130" i="18" s="1"/>
  <c r="AS109" i="7"/>
  <c r="BB130" i="18" s="1"/>
  <c r="AT109" i="7"/>
  <c r="BC130" i="18" s="1"/>
  <c r="AU109" i="7"/>
  <c r="BD130" i="18" s="1"/>
  <c r="AV109" i="7"/>
  <c r="BE130" i="18" s="1"/>
  <c r="AW109" i="7"/>
  <c r="BF130" i="18" s="1"/>
  <c r="AX109" i="7"/>
  <c r="BG130" i="18" s="1"/>
  <c r="AY109" i="7"/>
  <c r="BH130" i="18" s="1"/>
  <c r="AZ109" i="7"/>
  <c r="BI130" i="18" s="1"/>
  <c r="BA109" i="7"/>
  <c r="BJ130" i="18" s="1"/>
  <c r="BB109" i="7"/>
  <c r="BK130" i="18" s="1"/>
  <c r="BC109" i="7"/>
  <c r="BL130" i="18" s="1"/>
  <c r="BD109" i="7"/>
  <c r="BM130" i="18" s="1"/>
  <c r="BE109" i="7"/>
  <c r="BN130" i="18" s="1"/>
  <c r="BF109" i="7"/>
  <c r="BO130" i="18" s="1"/>
  <c r="BG109" i="7"/>
  <c r="BP130" i="18" s="1"/>
  <c r="BH109" i="7"/>
  <c r="BQ130" i="18" s="1"/>
  <c r="BI109" i="7"/>
  <c r="BR130" i="18" s="1"/>
  <c r="BJ109" i="7"/>
  <c r="BS130" i="18" s="1"/>
  <c r="BK109" i="7"/>
  <c r="BT130" i="18" s="1"/>
  <c r="BL109" i="7"/>
  <c r="BU130" i="18" s="1"/>
  <c r="BM109" i="7"/>
  <c r="BV130" i="18" s="1"/>
  <c r="BN109" i="7"/>
  <c r="BW130" i="18" s="1"/>
  <c r="BO109" i="7"/>
  <c r="BX130" i="18" s="1"/>
  <c r="BP109" i="7"/>
  <c r="BY130" i="18" s="1"/>
  <c r="BQ109" i="7"/>
  <c r="BZ130" i="18" s="1"/>
  <c r="BR109" i="7"/>
  <c r="CA130" i="18" s="1"/>
  <c r="BS109" i="7"/>
  <c r="CB130" i="18" s="1"/>
  <c r="BT109" i="7"/>
  <c r="CC130" i="18" s="1"/>
  <c r="BU109" i="7"/>
  <c r="CD130" i="18" s="1"/>
  <c r="BV109" i="7"/>
  <c r="CE130" i="18" s="1"/>
  <c r="BW109" i="7"/>
  <c r="CF130" i="18" s="1"/>
  <c r="BX109" i="7"/>
  <c r="CG130" i="18" s="1"/>
  <c r="BY109" i="7"/>
  <c r="CH130" i="18" s="1"/>
  <c r="BZ109" i="7"/>
  <c r="CI130" i="18" s="1"/>
  <c r="CA109" i="7"/>
  <c r="CJ130" i="18" s="1"/>
  <c r="CB109" i="7"/>
  <c r="CK130" i="18" s="1"/>
  <c r="CC109" i="7"/>
  <c r="CL130" i="18" s="1"/>
  <c r="CD109" i="7"/>
  <c r="CM130" i="18" s="1"/>
  <c r="CE109" i="7"/>
  <c r="CN130" i="18" s="1"/>
  <c r="CF109" i="7"/>
  <c r="CO130" i="18" s="1"/>
  <c r="CG109" i="7"/>
  <c r="CP130" i="18" s="1"/>
  <c r="CH109" i="7"/>
  <c r="CQ130" i="18" s="1"/>
  <c r="CI109" i="7"/>
  <c r="CR130" i="18" s="1"/>
  <c r="CJ109" i="7"/>
  <c r="CS130" i="18" s="1"/>
  <c r="CK109" i="7"/>
  <c r="CT130" i="18" s="1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Y86" i="15" s="1"/>
  <c r="BQ110" i="7"/>
  <c r="BR110" i="7"/>
  <c r="CA86" i="15" s="1"/>
  <c r="CA132" i="18" s="1"/>
  <c r="BS110" i="7"/>
  <c r="CB86" i="15" s="1"/>
  <c r="CB132" i="18" s="1"/>
  <c r="BT110" i="7"/>
  <c r="BU110" i="7"/>
  <c r="CD86" i="15" s="1"/>
  <c r="CD132" i="18" s="1"/>
  <c r="BV110" i="7"/>
  <c r="CE86" i="15" s="1"/>
  <c r="CE132" i="18" s="1"/>
  <c r="BW110" i="7"/>
  <c r="BX110" i="7"/>
  <c r="CG86" i="15" s="1"/>
  <c r="CG132" i="18" s="1"/>
  <c r="BY110" i="7"/>
  <c r="CH86" i="15" s="1"/>
  <c r="CH132" i="18" s="1"/>
  <c r="BZ110" i="7"/>
  <c r="CA110" i="7"/>
  <c r="CJ86" i="15" s="1"/>
  <c r="CJ132" i="18" s="1"/>
  <c r="CB110" i="7"/>
  <c r="CK86" i="15" s="1"/>
  <c r="CK132" i="18" s="1"/>
  <c r="CC110" i="7"/>
  <c r="CD110" i="7"/>
  <c r="CM86" i="15" s="1"/>
  <c r="CM132" i="18" s="1"/>
  <c r="CE110" i="7"/>
  <c r="CN86" i="15" s="1"/>
  <c r="CN132" i="18" s="1"/>
  <c r="CF110" i="7"/>
  <c r="CG110" i="7"/>
  <c r="CP86" i="15" s="1"/>
  <c r="CP132" i="18" s="1"/>
  <c r="CH110" i="7"/>
  <c r="CQ86" i="15" s="1"/>
  <c r="CQ132" i="18" s="1"/>
  <c r="CI110" i="7"/>
  <c r="CJ110" i="7"/>
  <c r="CS86" i="15" s="1"/>
  <c r="CS132" i="18" s="1"/>
  <c r="CK110" i="7"/>
  <c r="CT86" i="15" s="1"/>
  <c r="CT132" i="18" s="1"/>
  <c r="C111" i="7"/>
  <c r="L87" i="15" s="1"/>
  <c r="L133" i="18" s="1"/>
  <c r="D111" i="7"/>
  <c r="M87" i="15" s="1"/>
  <c r="M133" i="18" s="1"/>
  <c r="E111" i="7"/>
  <c r="N87" i="15" s="1"/>
  <c r="N133" i="18" s="1"/>
  <c r="F111" i="7"/>
  <c r="O87" i="15" s="1"/>
  <c r="O133" i="18" s="1"/>
  <c r="G111" i="7"/>
  <c r="P87" i="15" s="1"/>
  <c r="P133" i="18" s="1"/>
  <c r="H111" i="7"/>
  <c r="Q87" i="15" s="1"/>
  <c r="Q133" i="18" s="1"/>
  <c r="I111" i="7"/>
  <c r="R87" i="15" s="1"/>
  <c r="R133" i="18" s="1"/>
  <c r="J111" i="7"/>
  <c r="S87" i="15" s="1"/>
  <c r="S133" i="18" s="1"/>
  <c r="K111" i="7"/>
  <c r="T87" i="15" s="1"/>
  <c r="T133" i="18" s="1"/>
  <c r="L111" i="7"/>
  <c r="U87" i="15" s="1"/>
  <c r="U133" i="18" s="1"/>
  <c r="M111" i="7"/>
  <c r="V87" i="15" s="1"/>
  <c r="V133" i="18" s="1"/>
  <c r="N111" i="7"/>
  <c r="W87" i="15" s="1"/>
  <c r="W133" i="18" s="1"/>
  <c r="O111" i="7"/>
  <c r="X87" i="15" s="1"/>
  <c r="X133" i="18" s="1"/>
  <c r="P111" i="7"/>
  <c r="Y87" i="15" s="1"/>
  <c r="Y133" i="18" s="1"/>
  <c r="Q111" i="7"/>
  <c r="Z87" i="15" s="1"/>
  <c r="Z133" i="18" s="1"/>
  <c r="R111" i="7"/>
  <c r="AA87" i="15" s="1"/>
  <c r="AA133" i="18" s="1"/>
  <c r="S111" i="7"/>
  <c r="AB87" i="15" s="1"/>
  <c r="AB133" i="18" s="1"/>
  <c r="T111" i="7"/>
  <c r="AC87" i="15" s="1"/>
  <c r="AC133" i="18" s="1"/>
  <c r="U111" i="7"/>
  <c r="AD87" i="15" s="1"/>
  <c r="AD133" i="18" s="1"/>
  <c r="V111" i="7"/>
  <c r="AE87" i="15" s="1"/>
  <c r="AE133" i="18" s="1"/>
  <c r="W111" i="7"/>
  <c r="AF87" i="15" s="1"/>
  <c r="AF133" i="18" s="1"/>
  <c r="X111" i="7"/>
  <c r="AG87" i="15" s="1"/>
  <c r="AG133" i="18" s="1"/>
  <c r="Y111" i="7"/>
  <c r="AH87" i="15" s="1"/>
  <c r="AH133" i="18" s="1"/>
  <c r="Z111" i="7"/>
  <c r="AI87" i="15" s="1"/>
  <c r="AI133" i="18" s="1"/>
  <c r="AA111" i="7"/>
  <c r="AJ87" i="15" s="1"/>
  <c r="AJ133" i="18" s="1"/>
  <c r="AB111" i="7"/>
  <c r="AK87" i="15" s="1"/>
  <c r="AK133" i="18" s="1"/>
  <c r="AC111" i="7"/>
  <c r="AL87" i="15" s="1"/>
  <c r="AL133" i="18" s="1"/>
  <c r="AD111" i="7"/>
  <c r="AM87" i="15" s="1"/>
  <c r="AM133" i="18" s="1"/>
  <c r="AE111" i="7"/>
  <c r="AN87" i="15" s="1"/>
  <c r="AN133" i="18" s="1"/>
  <c r="AF111" i="7"/>
  <c r="AO87" i="15" s="1"/>
  <c r="AO133" i="18" s="1"/>
  <c r="AG111" i="7"/>
  <c r="AP87" i="15" s="1"/>
  <c r="AP133" i="18" s="1"/>
  <c r="AH111" i="7"/>
  <c r="AQ87" i="15" s="1"/>
  <c r="AQ133" i="18" s="1"/>
  <c r="AI111" i="7"/>
  <c r="AR87" i="15" s="1"/>
  <c r="AR133" i="18" s="1"/>
  <c r="AJ111" i="7"/>
  <c r="AS87" i="15" s="1"/>
  <c r="AS133" i="18" s="1"/>
  <c r="AK111" i="7"/>
  <c r="AT87" i="15" s="1"/>
  <c r="AT133" i="18" s="1"/>
  <c r="AL111" i="7"/>
  <c r="AU87" i="15" s="1"/>
  <c r="AU133" i="18" s="1"/>
  <c r="AM111" i="7"/>
  <c r="AV87" i="15" s="1"/>
  <c r="AV133" i="18" s="1"/>
  <c r="AN111" i="7"/>
  <c r="AW87" i="15" s="1"/>
  <c r="AW133" i="18" s="1"/>
  <c r="AO111" i="7"/>
  <c r="AX87" i="15" s="1"/>
  <c r="AX133" i="18" s="1"/>
  <c r="AP111" i="7"/>
  <c r="AY87" i="15" s="1"/>
  <c r="AY133" i="18" s="1"/>
  <c r="AQ111" i="7"/>
  <c r="AZ87" i="15" s="1"/>
  <c r="AZ133" i="18" s="1"/>
  <c r="AR111" i="7"/>
  <c r="BA87" i="15" s="1"/>
  <c r="BA133" i="18" s="1"/>
  <c r="AS111" i="7"/>
  <c r="BB87" i="15" s="1"/>
  <c r="BB133" i="18" s="1"/>
  <c r="AT111" i="7"/>
  <c r="BC87" i="15" s="1"/>
  <c r="BC133" i="18" s="1"/>
  <c r="AU111" i="7"/>
  <c r="BD87" i="15" s="1"/>
  <c r="BD133" i="18" s="1"/>
  <c r="AV111" i="7"/>
  <c r="BE87" i="15" s="1"/>
  <c r="BE133" i="18" s="1"/>
  <c r="AW111" i="7"/>
  <c r="BF87" i="15" s="1"/>
  <c r="BF133" i="18" s="1"/>
  <c r="AX111" i="7"/>
  <c r="BG87" i="15" s="1"/>
  <c r="BG133" i="18" s="1"/>
  <c r="AY111" i="7"/>
  <c r="BH87" i="15" s="1"/>
  <c r="BH133" i="18" s="1"/>
  <c r="AZ111" i="7"/>
  <c r="BI87" i="15" s="1"/>
  <c r="BI133" i="18" s="1"/>
  <c r="BA111" i="7"/>
  <c r="BJ87" i="15" s="1"/>
  <c r="BJ133" i="18" s="1"/>
  <c r="BB111" i="7"/>
  <c r="BK87" i="15" s="1"/>
  <c r="BC111" i="7"/>
  <c r="BL87" i="15" s="1"/>
  <c r="BL133" i="18" s="1"/>
  <c r="BD111" i="7"/>
  <c r="BM87" i="15" s="1"/>
  <c r="BM133" i="18" s="1"/>
  <c r="BE111" i="7"/>
  <c r="BN87" i="15" s="1"/>
  <c r="BF111" i="7"/>
  <c r="BO87" i="15" s="1"/>
  <c r="BO133" i="18" s="1"/>
  <c r="BG111" i="7"/>
  <c r="BP87" i="15" s="1"/>
  <c r="BP133" i="18" s="1"/>
  <c r="BH111" i="7"/>
  <c r="BQ87" i="15" s="1"/>
  <c r="BI111" i="7"/>
  <c r="BR87" i="15" s="1"/>
  <c r="BR133" i="18" s="1"/>
  <c r="BJ111" i="7"/>
  <c r="BS87" i="15" s="1"/>
  <c r="BS133" i="18" s="1"/>
  <c r="BK111" i="7"/>
  <c r="BT87" i="15" s="1"/>
  <c r="BL111" i="7"/>
  <c r="BU87" i="15" s="1"/>
  <c r="BU133" i="18" s="1"/>
  <c r="BM111" i="7"/>
  <c r="BV87" i="15" s="1"/>
  <c r="BV133" i="18" s="1"/>
  <c r="BN111" i="7"/>
  <c r="BW87" i="15" s="1"/>
  <c r="BO111" i="7"/>
  <c r="BX87" i="15" s="1"/>
  <c r="BX133" i="18" s="1"/>
  <c r="BP111" i="7"/>
  <c r="BY87" i="15" s="1"/>
  <c r="BY133" i="18" s="1"/>
  <c r="BQ111" i="7"/>
  <c r="BZ87" i="15" s="1"/>
  <c r="BZ133" i="18" s="1"/>
  <c r="BR111" i="7"/>
  <c r="CA87" i="15" s="1"/>
  <c r="CA133" i="18" s="1"/>
  <c r="BS111" i="7"/>
  <c r="CB87" i="15" s="1"/>
  <c r="CB133" i="18" s="1"/>
  <c r="BT111" i="7"/>
  <c r="CC87" i="15" s="1"/>
  <c r="BU111" i="7"/>
  <c r="CD87" i="15" s="1"/>
  <c r="CD133" i="18" s="1"/>
  <c r="BV111" i="7"/>
  <c r="CE87" i="15" s="1"/>
  <c r="CE133" i="18" s="1"/>
  <c r="BW111" i="7"/>
  <c r="CF87" i="15" s="1"/>
  <c r="BX111" i="7"/>
  <c r="CG87" i="15" s="1"/>
  <c r="CG133" i="18" s="1"/>
  <c r="BY111" i="7"/>
  <c r="CH87" i="15" s="1"/>
  <c r="CH133" i="18" s="1"/>
  <c r="BZ111" i="7"/>
  <c r="CI87" i="15" s="1"/>
  <c r="CA111" i="7"/>
  <c r="CJ87" i="15" s="1"/>
  <c r="CJ133" i="18" s="1"/>
  <c r="CB111" i="7"/>
  <c r="CK87" i="15" s="1"/>
  <c r="CK133" i="18" s="1"/>
  <c r="CC111" i="7"/>
  <c r="CL87" i="15" s="1"/>
  <c r="CD111" i="7"/>
  <c r="CM87" i="15" s="1"/>
  <c r="CM133" i="18" s="1"/>
  <c r="CE111" i="7"/>
  <c r="CN87" i="15" s="1"/>
  <c r="CN133" i="18" s="1"/>
  <c r="CF111" i="7"/>
  <c r="CO87" i="15" s="1"/>
  <c r="CG111" i="7"/>
  <c r="CP87" i="15" s="1"/>
  <c r="CP133" i="18" s="1"/>
  <c r="CH111" i="7"/>
  <c r="CQ87" i="15" s="1"/>
  <c r="CQ133" i="18" s="1"/>
  <c r="CI111" i="7"/>
  <c r="CR87" i="15" s="1"/>
  <c r="CJ111" i="7"/>
  <c r="CS87" i="15" s="1"/>
  <c r="CS133" i="18" s="1"/>
  <c r="CK111" i="7"/>
  <c r="CT87" i="15" s="1"/>
  <c r="CT133" i="18" s="1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Y82" i="15" s="1"/>
  <c r="EJ82" i="15" s="1"/>
  <c r="BQ106" i="7"/>
  <c r="BR106" i="7"/>
  <c r="CA82" i="15" s="1"/>
  <c r="BS106" i="7"/>
  <c r="CB82" i="15" s="1"/>
  <c r="BT106" i="7"/>
  <c r="BU106" i="7"/>
  <c r="CD82" i="15" s="1"/>
  <c r="BV106" i="7"/>
  <c r="CE82" i="15" s="1"/>
  <c r="BW106" i="7"/>
  <c r="BX106" i="7"/>
  <c r="CG82" i="15" s="1"/>
  <c r="BY106" i="7"/>
  <c r="CH82" i="15" s="1"/>
  <c r="BZ106" i="7"/>
  <c r="CA106" i="7"/>
  <c r="CJ82" i="15" s="1"/>
  <c r="CB106" i="7"/>
  <c r="CK82" i="15" s="1"/>
  <c r="CC106" i="7"/>
  <c r="CD106" i="7"/>
  <c r="CM82" i="15" s="1"/>
  <c r="CE106" i="7"/>
  <c r="CN82" i="15" s="1"/>
  <c r="CF106" i="7"/>
  <c r="CG106" i="7"/>
  <c r="CP82" i="15" s="1"/>
  <c r="CH106" i="7"/>
  <c r="CQ82" i="15" s="1"/>
  <c r="CI106" i="7"/>
  <c r="CJ106" i="7"/>
  <c r="CS82" i="15" s="1"/>
  <c r="CK106" i="7"/>
  <c r="CT82" i="15" s="1"/>
  <c r="C107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AK107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BA107" i="7"/>
  <c r="BB107" i="7"/>
  <c r="BC107" i="7"/>
  <c r="BD107" i="7"/>
  <c r="BE107" i="7"/>
  <c r="BF107" i="7"/>
  <c r="BG107" i="7"/>
  <c r="BH107" i="7"/>
  <c r="BI107" i="7"/>
  <c r="BJ107" i="7"/>
  <c r="BK107" i="7"/>
  <c r="BL107" i="7"/>
  <c r="BM107" i="7"/>
  <c r="BN107" i="7"/>
  <c r="BO107" i="7"/>
  <c r="BP107" i="7"/>
  <c r="BY83" i="15" s="1"/>
  <c r="EJ83" i="15" s="1"/>
  <c r="BQ107" i="7"/>
  <c r="BR107" i="7"/>
  <c r="CA83" i="15" s="1"/>
  <c r="BS107" i="7"/>
  <c r="CB83" i="15" s="1"/>
  <c r="BT107" i="7"/>
  <c r="BU107" i="7"/>
  <c r="CD83" i="15" s="1"/>
  <c r="BV107" i="7"/>
  <c r="CE83" i="15" s="1"/>
  <c r="BW107" i="7"/>
  <c r="BX107" i="7"/>
  <c r="CG83" i="15" s="1"/>
  <c r="BY107" i="7"/>
  <c r="CH83" i="15" s="1"/>
  <c r="BZ107" i="7"/>
  <c r="CA107" i="7"/>
  <c r="CJ83" i="15" s="1"/>
  <c r="CB107" i="7"/>
  <c r="CK83" i="15" s="1"/>
  <c r="CC107" i="7"/>
  <c r="CD107" i="7"/>
  <c r="CM83" i="15" s="1"/>
  <c r="CE107" i="7"/>
  <c r="CN83" i="15" s="1"/>
  <c r="CF107" i="7"/>
  <c r="CG107" i="7"/>
  <c r="CP83" i="15" s="1"/>
  <c r="CH107" i="7"/>
  <c r="CQ83" i="15" s="1"/>
  <c r="CI107" i="7"/>
  <c r="CJ107" i="7"/>
  <c r="CS83" i="15" s="1"/>
  <c r="CK107" i="7"/>
  <c r="CT83" i="15" s="1"/>
  <c r="CT245" i="2"/>
  <c r="CU245" i="2" s="1"/>
  <c r="CM90" i="7" s="1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BV90" i="7"/>
  <c r="BW90" i="7"/>
  <c r="BX90" i="7"/>
  <c r="BY90" i="7"/>
  <c r="BZ90" i="7"/>
  <c r="CA90" i="7"/>
  <c r="CB90" i="7"/>
  <c r="CC90" i="7"/>
  <c r="CD90" i="7"/>
  <c r="CE90" i="7"/>
  <c r="CF90" i="7"/>
  <c r="CG90" i="7"/>
  <c r="CH90" i="7"/>
  <c r="CI90" i="7"/>
  <c r="CJ90" i="7"/>
  <c r="CK90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BV85" i="7"/>
  <c r="BW85" i="7"/>
  <c r="BX85" i="7"/>
  <c r="BY85" i="7"/>
  <c r="BZ85" i="7"/>
  <c r="CA85" i="7"/>
  <c r="CB85" i="7"/>
  <c r="CC85" i="7"/>
  <c r="CD85" i="7"/>
  <c r="CE85" i="7"/>
  <c r="CF85" i="7"/>
  <c r="CG85" i="7"/>
  <c r="CH85" i="7"/>
  <c r="CI85" i="7"/>
  <c r="CJ85" i="7"/>
  <c r="CK85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BV86" i="7"/>
  <c r="BW86" i="7"/>
  <c r="BX86" i="7"/>
  <c r="BY86" i="7"/>
  <c r="BZ86" i="7"/>
  <c r="CA86" i="7"/>
  <c r="CB86" i="7"/>
  <c r="CC86" i="7"/>
  <c r="CD86" i="7"/>
  <c r="CE86" i="7"/>
  <c r="CF86" i="7"/>
  <c r="CG86" i="7"/>
  <c r="CH86" i="7"/>
  <c r="CI86" i="7"/>
  <c r="CJ86" i="7"/>
  <c r="CK86" i="7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BA87" i="7"/>
  <c r="BB87" i="7"/>
  <c r="BC87" i="7"/>
  <c r="BD87" i="7"/>
  <c r="BE87" i="7"/>
  <c r="BF87" i="7"/>
  <c r="BG87" i="7"/>
  <c r="BH87" i="7"/>
  <c r="BI87" i="7"/>
  <c r="BJ87" i="7"/>
  <c r="BK87" i="7"/>
  <c r="BL87" i="7"/>
  <c r="BM87" i="7"/>
  <c r="BN87" i="7"/>
  <c r="BO87" i="7"/>
  <c r="BP87" i="7"/>
  <c r="BQ87" i="7"/>
  <c r="BR87" i="7"/>
  <c r="BS87" i="7"/>
  <c r="BT87" i="7"/>
  <c r="BU87" i="7"/>
  <c r="BV87" i="7"/>
  <c r="BW87" i="7"/>
  <c r="BX87" i="7"/>
  <c r="BY87" i="7"/>
  <c r="BZ87" i="7"/>
  <c r="CA87" i="7"/>
  <c r="CB87" i="7"/>
  <c r="CC87" i="7"/>
  <c r="CD87" i="7"/>
  <c r="CE87" i="7"/>
  <c r="CF87" i="7"/>
  <c r="CG87" i="7"/>
  <c r="CH87" i="7"/>
  <c r="CI87" i="7"/>
  <c r="CJ87" i="7"/>
  <c r="CK87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BV88" i="7"/>
  <c r="BW88" i="7"/>
  <c r="BX88" i="7"/>
  <c r="BY88" i="7"/>
  <c r="BZ88" i="7"/>
  <c r="CA88" i="7"/>
  <c r="CB88" i="7"/>
  <c r="CC88" i="7"/>
  <c r="CD88" i="7"/>
  <c r="CE88" i="7"/>
  <c r="CF88" i="7"/>
  <c r="CG88" i="7"/>
  <c r="CH88" i="7"/>
  <c r="CI88" i="7"/>
  <c r="CJ88" i="7"/>
  <c r="CK88" i="7"/>
  <c r="C82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BQ82" i="7"/>
  <c r="BR82" i="7"/>
  <c r="BS82" i="7"/>
  <c r="BT82" i="7"/>
  <c r="BU82" i="7"/>
  <c r="BV82" i="7"/>
  <c r="BW82" i="7"/>
  <c r="BX82" i="7"/>
  <c r="BY82" i="7"/>
  <c r="BZ82" i="7"/>
  <c r="CA82" i="7"/>
  <c r="CB82" i="7"/>
  <c r="CC82" i="7"/>
  <c r="CD82" i="7"/>
  <c r="CE82" i="7"/>
  <c r="CF82" i="7"/>
  <c r="CG82" i="7"/>
  <c r="CH82" i="7"/>
  <c r="CI82" i="7"/>
  <c r="CJ82" i="7"/>
  <c r="CK82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BV83" i="7"/>
  <c r="BW83" i="7"/>
  <c r="BX83" i="7"/>
  <c r="BY83" i="7"/>
  <c r="BZ83" i="7"/>
  <c r="CA83" i="7"/>
  <c r="CB83" i="7"/>
  <c r="CC83" i="7"/>
  <c r="CD83" i="7"/>
  <c r="CE83" i="7"/>
  <c r="CF83" i="7"/>
  <c r="CG83" i="7"/>
  <c r="CH83" i="7"/>
  <c r="CI83" i="7"/>
  <c r="CJ83" i="7"/>
  <c r="CK83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BV84" i="7"/>
  <c r="BW84" i="7"/>
  <c r="BX84" i="7"/>
  <c r="BY84" i="7"/>
  <c r="BZ84" i="7"/>
  <c r="CA84" i="7"/>
  <c r="CB84" i="7"/>
  <c r="CC84" i="7"/>
  <c r="CD84" i="7"/>
  <c r="CE84" i="7"/>
  <c r="CF84" i="7"/>
  <c r="CG84" i="7"/>
  <c r="CH84" i="7"/>
  <c r="CI84" i="7"/>
  <c r="CJ84" i="7"/>
  <c r="CK84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W59" i="15" s="1"/>
  <c r="BO75" i="7"/>
  <c r="BX59" i="15" s="1"/>
  <c r="BP75" i="7"/>
  <c r="BY59" i="15" s="1"/>
  <c r="BQ75" i="7"/>
  <c r="BZ59" i="15" s="1"/>
  <c r="BR75" i="7"/>
  <c r="CA59" i="15" s="1"/>
  <c r="BS75" i="7"/>
  <c r="CB59" i="15" s="1"/>
  <c r="BT75" i="7"/>
  <c r="CC59" i="15" s="1"/>
  <c r="BU75" i="7"/>
  <c r="CD59" i="15" s="1"/>
  <c r="BV75" i="7"/>
  <c r="CE59" i="15" s="1"/>
  <c r="BW75" i="7"/>
  <c r="CF59" i="15" s="1"/>
  <c r="BX75" i="7"/>
  <c r="CG59" i="15" s="1"/>
  <c r="BY75" i="7"/>
  <c r="CH59" i="15" s="1"/>
  <c r="BZ75" i="7"/>
  <c r="CI59" i="15" s="1"/>
  <c r="CA75" i="7"/>
  <c r="CJ59" i="15" s="1"/>
  <c r="CB75" i="7"/>
  <c r="CK59" i="15" s="1"/>
  <c r="CC75" i="7"/>
  <c r="CL59" i="15" s="1"/>
  <c r="CD75" i="7"/>
  <c r="CM59" i="15" s="1"/>
  <c r="CE75" i="7"/>
  <c r="CN59" i="15" s="1"/>
  <c r="CF75" i="7"/>
  <c r="CO59" i="15" s="1"/>
  <c r="CG75" i="7"/>
  <c r="CP59" i="15" s="1"/>
  <c r="CH75" i="7"/>
  <c r="CQ59" i="15" s="1"/>
  <c r="CI75" i="7"/>
  <c r="CR59" i="15" s="1"/>
  <c r="CJ75" i="7"/>
  <c r="CS59" i="15" s="1"/>
  <c r="CK75" i="7"/>
  <c r="CT59" i="15" s="1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W60" i="15" s="1"/>
  <c r="BO76" i="7"/>
  <c r="BX60" i="15" s="1"/>
  <c r="BP76" i="7"/>
  <c r="BY60" i="15" s="1"/>
  <c r="BQ76" i="7"/>
  <c r="BZ60" i="15" s="1"/>
  <c r="BR76" i="7"/>
  <c r="CA60" i="15" s="1"/>
  <c r="BS76" i="7"/>
  <c r="CB60" i="15" s="1"/>
  <c r="BT76" i="7"/>
  <c r="CC60" i="15" s="1"/>
  <c r="BU76" i="7"/>
  <c r="CD60" i="15" s="1"/>
  <c r="BV76" i="7"/>
  <c r="CE60" i="15" s="1"/>
  <c r="BW76" i="7"/>
  <c r="CF60" i="15" s="1"/>
  <c r="BX76" i="7"/>
  <c r="CG60" i="15" s="1"/>
  <c r="BY76" i="7"/>
  <c r="CH60" i="15" s="1"/>
  <c r="BZ76" i="7"/>
  <c r="CI60" i="15" s="1"/>
  <c r="CA76" i="7"/>
  <c r="CJ60" i="15" s="1"/>
  <c r="CB76" i="7"/>
  <c r="CK60" i="15" s="1"/>
  <c r="CC76" i="7"/>
  <c r="CL60" i="15" s="1"/>
  <c r="CD76" i="7"/>
  <c r="CM60" i="15" s="1"/>
  <c r="CE76" i="7"/>
  <c r="CN60" i="15" s="1"/>
  <c r="CF76" i="7"/>
  <c r="CO60" i="15" s="1"/>
  <c r="CG76" i="7"/>
  <c r="CP60" i="15" s="1"/>
  <c r="CH76" i="7"/>
  <c r="CQ60" i="15" s="1"/>
  <c r="CI76" i="7"/>
  <c r="CR60" i="15" s="1"/>
  <c r="CJ76" i="7"/>
  <c r="CS60" i="15" s="1"/>
  <c r="CK76" i="7"/>
  <c r="CT60" i="15" s="1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BD77" i="7"/>
  <c r="BE77" i="7"/>
  <c r="BF77" i="7"/>
  <c r="BG77" i="7"/>
  <c r="BH77" i="7"/>
  <c r="BI77" i="7"/>
  <c r="BJ77" i="7"/>
  <c r="BK77" i="7"/>
  <c r="BL77" i="7"/>
  <c r="BM77" i="7"/>
  <c r="BN77" i="7"/>
  <c r="BW61" i="15" s="1"/>
  <c r="BO77" i="7"/>
  <c r="BX61" i="15" s="1"/>
  <c r="BP77" i="7"/>
  <c r="BY61" i="15" s="1"/>
  <c r="BQ77" i="7"/>
  <c r="BZ61" i="15" s="1"/>
  <c r="BR77" i="7"/>
  <c r="CA61" i="15" s="1"/>
  <c r="BS77" i="7"/>
  <c r="CB61" i="15" s="1"/>
  <c r="BT77" i="7"/>
  <c r="CC61" i="15" s="1"/>
  <c r="BU77" i="7"/>
  <c r="CD61" i="15" s="1"/>
  <c r="BV77" i="7"/>
  <c r="CE61" i="15" s="1"/>
  <c r="BW77" i="7"/>
  <c r="CF61" i="15" s="1"/>
  <c r="BX77" i="7"/>
  <c r="CG61" i="15" s="1"/>
  <c r="BY77" i="7"/>
  <c r="CH61" i="15" s="1"/>
  <c r="BZ77" i="7"/>
  <c r="CI61" i="15" s="1"/>
  <c r="CA77" i="7"/>
  <c r="CJ61" i="15" s="1"/>
  <c r="CB77" i="7"/>
  <c r="CK61" i="15" s="1"/>
  <c r="CC77" i="7"/>
  <c r="CL61" i="15" s="1"/>
  <c r="CD77" i="7"/>
  <c r="CM61" i="15" s="1"/>
  <c r="CE77" i="7"/>
  <c r="CN61" i="15" s="1"/>
  <c r="CF77" i="7"/>
  <c r="CO61" i="15" s="1"/>
  <c r="CG77" i="7"/>
  <c r="CP61" i="15" s="1"/>
  <c r="CH77" i="7"/>
  <c r="CQ61" i="15" s="1"/>
  <c r="CI77" i="7"/>
  <c r="CR61" i="15" s="1"/>
  <c r="CJ77" i="7"/>
  <c r="CS61" i="15" s="1"/>
  <c r="CK77" i="7"/>
  <c r="CT61" i="15" s="1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W62" i="15" s="1"/>
  <c r="BO78" i="7"/>
  <c r="BX62" i="15" s="1"/>
  <c r="BP78" i="7"/>
  <c r="BY62" i="15" s="1"/>
  <c r="BQ78" i="7"/>
  <c r="BZ62" i="15" s="1"/>
  <c r="BR78" i="7"/>
  <c r="CA62" i="15" s="1"/>
  <c r="BS78" i="7"/>
  <c r="CB62" i="15" s="1"/>
  <c r="BT78" i="7"/>
  <c r="CC62" i="15" s="1"/>
  <c r="BU78" i="7"/>
  <c r="CD62" i="15" s="1"/>
  <c r="BV78" i="7"/>
  <c r="CE62" i="15" s="1"/>
  <c r="BW78" i="7"/>
  <c r="CF62" i="15" s="1"/>
  <c r="BX78" i="7"/>
  <c r="CG62" i="15" s="1"/>
  <c r="BY78" i="7"/>
  <c r="CH62" i="15" s="1"/>
  <c r="BZ78" i="7"/>
  <c r="CI62" i="15" s="1"/>
  <c r="CA78" i="7"/>
  <c r="CJ62" i="15" s="1"/>
  <c r="CB78" i="7"/>
  <c r="CK62" i="15" s="1"/>
  <c r="CC78" i="7"/>
  <c r="CL62" i="15" s="1"/>
  <c r="CD78" i="7"/>
  <c r="CM62" i="15" s="1"/>
  <c r="CE78" i="7"/>
  <c r="CN62" i="15" s="1"/>
  <c r="CF78" i="7"/>
  <c r="CO62" i="15" s="1"/>
  <c r="CG78" i="7"/>
  <c r="CP62" i="15" s="1"/>
  <c r="CH78" i="7"/>
  <c r="CQ62" i="15" s="1"/>
  <c r="CI78" i="7"/>
  <c r="CR62" i="15" s="1"/>
  <c r="CJ78" i="7"/>
  <c r="CS62" i="15" s="1"/>
  <c r="CK78" i="7"/>
  <c r="CT62" i="15" s="1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W58" i="15" s="1"/>
  <c r="BO73" i="7"/>
  <c r="BX58" i="15" s="1"/>
  <c r="BP73" i="7"/>
  <c r="BY58" i="15" s="1"/>
  <c r="BQ73" i="7"/>
  <c r="BZ58" i="15" s="1"/>
  <c r="BR73" i="7"/>
  <c r="CA58" i="15" s="1"/>
  <c r="BS73" i="7"/>
  <c r="CB58" i="15" s="1"/>
  <c r="BT73" i="7"/>
  <c r="CC58" i="15" s="1"/>
  <c r="BU73" i="7"/>
  <c r="CD58" i="15" s="1"/>
  <c r="BV73" i="7"/>
  <c r="CE58" i="15" s="1"/>
  <c r="BW73" i="7"/>
  <c r="CF58" i="15" s="1"/>
  <c r="BX73" i="7"/>
  <c r="CG58" i="15" s="1"/>
  <c r="BY73" i="7"/>
  <c r="CH58" i="15" s="1"/>
  <c r="BZ73" i="7"/>
  <c r="CI58" i="15" s="1"/>
  <c r="CA73" i="7"/>
  <c r="CJ58" i="15" s="1"/>
  <c r="CB73" i="7"/>
  <c r="CK58" i="15" s="1"/>
  <c r="CC73" i="7"/>
  <c r="CL58" i="15" s="1"/>
  <c r="CD73" i="7"/>
  <c r="CM58" i="15" s="1"/>
  <c r="CE73" i="7"/>
  <c r="CN58" i="15" s="1"/>
  <c r="CF73" i="7"/>
  <c r="CO58" i="15" s="1"/>
  <c r="CG73" i="7"/>
  <c r="CP58" i="15" s="1"/>
  <c r="CH73" i="7"/>
  <c r="CQ58" i="15" s="1"/>
  <c r="CI73" i="7"/>
  <c r="CR58" i="15" s="1"/>
  <c r="CJ73" i="7"/>
  <c r="CS58" i="15" s="1"/>
  <c r="CK73" i="7"/>
  <c r="CT58" i="15" s="1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BV70" i="7"/>
  <c r="BW70" i="7"/>
  <c r="BX70" i="7"/>
  <c r="BY70" i="7"/>
  <c r="BZ70" i="7"/>
  <c r="CA70" i="7"/>
  <c r="CB70" i="7"/>
  <c r="CC70" i="7"/>
  <c r="CD70" i="7"/>
  <c r="CE70" i="7"/>
  <c r="CF70" i="7"/>
  <c r="CG70" i="7"/>
  <c r="CH70" i="7"/>
  <c r="CI70" i="7"/>
  <c r="CJ70" i="7"/>
  <c r="CK70" i="7"/>
  <c r="C71" i="7"/>
  <c r="L87" i="18" s="1"/>
  <c r="D71" i="7"/>
  <c r="M87" i="18" s="1"/>
  <c r="E71" i="7"/>
  <c r="N87" i="18" s="1"/>
  <c r="F71" i="7"/>
  <c r="O87" i="18" s="1"/>
  <c r="G71" i="7"/>
  <c r="P87" i="18" s="1"/>
  <c r="H71" i="7"/>
  <c r="Q87" i="18" s="1"/>
  <c r="I71" i="7"/>
  <c r="R87" i="18" s="1"/>
  <c r="J71" i="7"/>
  <c r="S87" i="18" s="1"/>
  <c r="K71" i="7"/>
  <c r="T87" i="18" s="1"/>
  <c r="L71" i="7"/>
  <c r="U87" i="18" s="1"/>
  <c r="M71" i="7"/>
  <c r="V87" i="18" s="1"/>
  <c r="N71" i="7"/>
  <c r="W87" i="18" s="1"/>
  <c r="O71" i="7"/>
  <c r="X87" i="18" s="1"/>
  <c r="P71" i="7"/>
  <c r="Y87" i="18" s="1"/>
  <c r="Q71" i="7"/>
  <c r="Z87" i="18" s="1"/>
  <c r="R71" i="7"/>
  <c r="AA87" i="18" s="1"/>
  <c r="S71" i="7"/>
  <c r="AB87" i="18" s="1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BV71" i="7"/>
  <c r="BW71" i="7"/>
  <c r="BX71" i="7"/>
  <c r="BY71" i="7"/>
  <c r="BZ71" i="7"/>
  <c r="CA71" i="7"/>
  <c r="CB71" i="7"/>
  <c r="CC71" i="7"/>
  <c r="CD71" i="7"/>
  <c r="CE71" i="7"/>
  <c r="CF71" i="7"/>
  <c r="CG71" i="7"/>
  <c r="CH71" i="7"/>
  <c r="CI71" i="7"/>
  <c r="CJ71" i="7"/>
  <c r="CK71" i="7"/>
  <c r="CL71" i="7"/>
  <c r="CM71" i="7"/>
  <c r="CN71" i="7"/>
  <c r="CO71" i="7"/>
  <c r="CP71" i="7"/>
  <c r="CQ71" i="7"/>
  <c r="CR71" i="7"/>
  <c r="CS71" i="7"/>
  <c r="CT71" i="7"/>
  <c r="CU71" i="7"/>
  <c r="CV71" i="7"/>
  <c r="CW71" i="7"/>
  <c r="CX71" i="7"/>
  <c r="CY71" i="7"/>
  <c r="CZ71" i="7"/>
  <c r="DA71" i="7"/>
  <c r="DB71" i="7"/>
  <c r="DC71" i="7"/>
  <c r="DD71" i="7"/>
  <c r="DE71" i="7"/>
  <c r="DF71" i="7"/>
  <c r="DG71" i="7"/>
  <c r="DH71" i="7"/>
  <c r="DI71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AC32" i="15" s="1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55" i="7"/>
  <c r="L58" i="18" s="1"/>
  <c r="D55" i="7"/>
  <c r="M58" i="18" s="1"/>
  <c r="E55" i="7"/>
  <c r="N58" i="18" s="1"/>
  <c r="F55" i="7"/>
  <c r="O58" i="18" s="1"/>
  <c r="G55" i="7"/>
  <c r="P58" i="18" s="1"/>
  <c r="H55" i="7"/>
  <c r="Q58" i="18" s="1"/>
  <c r="I55" i="7"/>
  <c r="R58" i="18" s="1"/>
  <c r="J55" i="7"/>
  <c r="S58" i="18" s="1"/>
  <c r="K55" i="7"/>
  <c r="T58" i="18" s="1"/>
  <c r="L55" i="7"/>
  <c r="U58" i="18" s="1"/>
  <c r="M55" i="7"/>
  <c r="V58" i="18" s="1"/>
  <c r="N55" i="7"/>
  <c r="W58" i="18" s="1"/>
  <c r="O55" i="7"/>
  <c r="X58" i="18" s="1"/>
  <c r="P55" i="7"/>
  <c r="Y58" i="18" s="1"/>
  <c r="Q55" i="7"/>
  <c r="Z58" i="18" s="1"/>
  <c r="R55" i="7"/>
  <c r="AA58" i="18" s="1"/>
  <c r="S55" i="7"/>
  <c r="AB58" i="18" s="1"/>
  <c r="T55" i="7"/>
  <c r="AC58" i="18" s="1"/>
  <c r="U55" i="7"/>
  <c r="AD58" i="18" s="1"/>
  <c r="V55" i="7"/>
  <c r="AE58" i="18" s="1"/>
  <c r="W55" i="7"/>
  <c r="AF58" i="18" s="1"/>
  <c r="X55" i="7"/>
  <c r="AG58" i="18" s="1"/>
  <c r="Y55" i="7"/>
  <c r="AH58" i="18" s="1"/>
  <c r="Z55" i="7"/>
  <c r="AI58" i="18" s="1"/>
  <c r="AA55" i="7"/>
  <c r="AJ58" i="18" s="1"/>
  <c r="AB55" i="7"/>
  <c r="AK58" i="18" s="1"/>
  <c r="AC55" i="7"/>
  <c r="AL58" i="18" s="1"/>
  <c r="AD55" i="7"/>
  <c r="AM58" i="18" s="1"/>
  <c r="AE55" i="7"/>
  <c r="AN58" i="18" s="1"/>
  <c r="AF55" i="7"/>
  <c r="AO58" i="18" s="1"/>
  <c r="AG55" i="7"/>
  <c r="AP58" i="18" s="1"/>
  <c r="AH55" i="7"/>
  <c r="AQ58" i="18" s="1"/>
  <c r="AI55" i="7"/>
  <c r="AR58" i="18" s="1"/>
  <c r="AJ55" i="7"/>
  <c r="AS58" i="18" s="1"/>
  <c r="AK55" i="7"/>
  <c r="AT58" i="18" s="1"/>
  <c r="AL55" i="7"/>
  <c r="AU58" i="18" s="1"/>
  <c r="AM55" i="7"/>
  <c r="AV58" i="18" s="1"/>
  <c r="AN55" i="7"/>
  <c r="AW58" i="18" s="1"/>
  <c r="AO55" i="7"/>
  <c r="AX58" i="18" s="1"/>
  <c r="AP55" i="7"/>
  <c r="AY58" i="18" s="1"/>
  <c r="AQ55" i="7"/>
  <c r="AZ58" i="18" s="1"/>
  <c r="AR55" i="7"/>
  <c r="BA58" i="18" s="1"/>
  <c r="AS55" i="7"/>
  <c r="BB58" i="18" s="1"/>
  <c r="AT55" i="7"/>
  <c r="BC58" i="18" s="1"/>
  <c r="AU55" i="7"/>
  <c r="BD58" i="18" s="1"/>
  <c r="AV55" i="7"/>
  <c r="BE58" i="18" s="1"/>
  <c r="AW55" i="7"/>
  <c r="BF58" i="18" s="1"/>
  <c r="AX55" i="7"/>
  <c r="BG58" i="18" s="1"/>
  <c r="AY55" i="7"/>
  <c r="BH58" i="18" s="1"/>
  <c r="AZ55" i="7"/>
  <c r="BI58" i="18" s="1"/>
  <c r="BA55" i="7"/>
  <c r="BJ58" i="18" s="1"/>
  <c r="BB55" i="7"/>
  <c r="BK58" i="18" s="1"/>
  <c r="BC55" i="7"/>
  <c r="BL58" i="18" s="1"/>
  <c r="BD55" i="7"/>
  <c r="BM58" i="18" s="1"/>
  <c r="BE55" i="7"/>
  <c r="BN58" i="18" s="1"/>
  <c r="BF55" i="7"/>
  <c r="BO58" i="18" s="1"/>
  <c r="BG55" i="7"/>
  <c r="BP58" i="18" s="1"/>
  <c r="BH55" i="7"/>
  <c r="BQ58" i="18" s="1"/>
  <c r="BI55" i="7"/>
  <c r="BR58" i="18" s="1"/>
  <c r="BJ55" i="7"/>
  <c r="BS58" i="18" s="1"/>
  <c r="BK55" i="7"/>
  <c r="BT58" i="18" s="1"/>
  <c r="BL55" i="7"/>
  <c r="BU58" i="18" s="1"/>
  <c r="BM55" i="7"/>
  <c r="BV58" i="18" s="1"/>
  <c r="BN55" i="7"/>
  <c r="BW58" i="18" s="1"/>
  <c r="BO55" i="7"/>
  <c r="BX58" i="18" s="1"/>
  <c r="BP55" i="7"/>
  <c r="BY58" i="18" s="1"/>
  <c r="BQ55" i="7"/>
  <c r="BZ58" i="18" s="1"/>
  <c r="BR55" i="7"/>
  <c r="CA58" i="18" s="1"/>
  <c r="BS55" i="7"/>
  <c r="CB58" i="18" s="1"/>
  <c r="BT55" i="7"/>
  <c r="CC58" i="18" s="1"/>
  <c r="BU55" i="7"/>
  <c r="CD58" i="18" s="1"/>
  <c r="BV55" i="7"/>
  <c r="CE58" i="18" s="1"/>
  <c r="BW55" i="7"/>
  <c r="CF58" i="18" s="1"/>
  <c r="BX55" i="7"/>
  <c r="CG58" i="18" s="1"/>
  <c r="BY55" i="7"/>
  <c r="CH58" i="18" s="1"/>
  <c r="BZ55" i="7"/>
  <c r="CI58" i="18" s="1"/>
  <c r="CA55" i="7"/>
  <c r="CJ58" i="18" s="1"/>
  <c r="CB55" i="7"/>
  <c r="CK58" i="18" s="1"/>
  <c r="CC55" i="7"/>
  <c r="CL58" i="18" s="1"/>
  <c r="CD55" i="7"/>
  <c r="CM58" i="18" s="1"/>
  <c r="CE55" i="7"/>
  <c r="CN58" i="18" s="1"/>
  <c r="CF55" i="7"/>
  <c r="CO58" i="18" s="1"/>
  <c r="CG55" i="7"/>
  <c r="CP58" i="18" s="1"/>
  <c r="CH55" i="7"/>
  <c r="CQ58" i="18" s="1"/>
  <c r="CI55" i="7"/>
  <c r="CR58" i="18" s="1"/>
  <c r="CJ55" i="7"/>
  <c r="CS58" i="18" s="1"/>
  <c r="CK55" i="7"/>
  <c r="CT58" i="18" s="1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I51" i="7"/>
  <c r="CJ51" i="7"/>
  <c r="CK51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CY46" i="7"/>
  <c r="CZ46" i="7"/>
  <c r="DA46" i="7"/>
  <c r="DB46" i="7"/>
  <c r="DC46" i="7"/>
  <c r="DD46" i="7"/>
  <c r="DE46" i="7"/>
  <c r="DF46" i="7"/>
  <c r="DG46" i="7"/>
  <c r="DH46" i="7"/>
  <c r="DI46" i="7"/>
  <c r="CS207" i="2"/>
  <c r="CR207" i="2"/>
  <c r="CQ207" i="2"/>
  <c r="CP207" i="2"/>
  <c r="CO207" i="2"/>
  <c r="CN207" i="2"/>
  <c r="CM207" i="2"/>
  <c r="CL207" i="2"/>
  <c r="CK207" i="2"/>
  <c r="CJ207" i="2"/>
  <c r="CI207" i="2"/>
  <c r="CH207" i="2"/>
  <c r="CG207" i="2"/>
  <c r="CF207" i="2"/>
  <c r="CE207" i="2"/>
  <c r="CD207" i="2"/>
  <c r="CC207" i="2"/>
  <c r="CB207" i="2"/>
  <c r="CA207" i="2"/>
  <c r="BZ207" i="2"/>
  <c r="BY207" i="2"/>
  <c r="BX207" i="2"/>
  <c r="BW207" i="2"/>
  <c r="BV207" i="2"/>
  <c r="BU207" i="2"/>
  <c r="BT207" i="2"/>
  <c r="BS207" i="2"/>
  <c r="BR207" i="2"/>
  <c r="BQ207" i="2"/>
  <c r="BP207" i="2"/>
  <c r="BO207" i="2"/>
  <c r="BN207" i="2"/>
  <c r="BM207" i="2"/>
  <c r="BL207" i="2"/>
  <c r="BK207" i="2"/>
  <c r="BJ207" i="2"/>
  <c r="BI207" i="2"/>
  <c r="BH207" i="2"/>
  <c r="BG207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K38" i="18" s="1"/>
  <c r="BC40" i="7"/>
  <c r="BD40" i="7"/>
  <c r="BE40" i="7"/>
  <c r="BN38" i="18" s="1"/>
  <c r="BF40" i="7"/>
  <c r="BG40" i="7"/>
  <c r="BH40" i="7"/>
  <c r="BQ38" i="18" s="1"/>
  <c r="BI40" i="7"/>
  <c r="BJ40" i="7"/>
  <c r="BK40" i="7"/>
  <c r="BT38" i="18" s="1"/>
  <c r="BL40" i="7"/>
  <c r="BM40" i="7"/>
  <c r="BN40" i="7"/>
  <c r="BW38" i="18" s="1"/>
  <c r="BO40" i="7"/>
  <c r="BP40" i="7"/>
  <c r="BQ40" i="7"/>
  <c r="BZ38" i="18" s="1"/>
  <c r="BR40" i="7"/>
  <c r="BS40" i="7"/>
  <c r="BT40" i="7"/>
  <c r="CC38" i="18" s="1"/>
  <c r="BU40" i="7"/>
  <c r="BV40" i="7"/>
  <c r="BW40" i="7"/>
  <c r="CF38" i="18" s="1"/>
  <c r="BX40" i="7"/>
  <c r="BY40" i="7"/>
  <c r="BZ40" i="7"/>
  <c r="CI38" i="18" s="1"/>
  <c r="CA40" i="7"/>
  <c r="CB40" i="7"/>
  <c r="CC40" i="7"/>
  <c r="CL38" i="18" s="1"/>
  <c r="CD40" i="7"/>
  <c r="CE40" i="7"/>
  <c r="CF40" i="7"/>
  <c r="CO38" i="18" s="1"/>
  <c r="CG40" i="7"/>
  <c r="CH40" i="7"/>
  <c r="CI40" i="7"/>
  <c r="CR38" i="18" s="1"/>
  <c r="CJ40" i="7"/>
  <c r="CK40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CW29" i="7"/>
  <c r="CX29" i="7"/>
  <c r="CY29" i="7"/>
  <c r="CZ29" i="7"/>
  <c r="DA29" i="7"/>
  <c r="DB29" i="7"/>
  <c r="DC29" i="7"/>
  <c r="DD29" i="7"/>
  <c r="DE29" i="7"/>
  <c r="DF29" i="7"/>
  <c r="DG29" i="7"/>
  <c r="DH29" i="7"/>
  <c r="DI29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CW30" i="7"/>
  <c r="CX30" i="7"/>
  <c r="CY30" i="7"/>
  <c r="CZ30" i="7"/>
  <c r="DA30" i="7"/>
  <c r="DB30" i="7"/>
  <c r="DC30" i="7"/>
  <c r="DD30" i="7"/>
  <c r="DE30" i="7"/>
  <c r="DF30" i="7"/>
  <c r="DG30" i="7"/>
  <c r="DH30" i="7"/>
  <c r="DI30" i="7"/>
  <c r="C23" i="7"/>
  <c r="C22" i="7" s="1"/>
  <c r="D23" i="7"/>
  <c r="D22" i="7" s="1"/>
  <c r="E23" i="7"/>
  <c r="E22" i="7" s="1"/>
  <c r="F23" i="7"/>
  <c r="F22" i="7" s="1"/>
  <c r="G23" i="7"/>
  <c r="G22" i="7" s="1"/>
  <c r="H23" i="7"/>
  <c r="H22" i="7" s="1"/>
  <c r="I23" i="7"/>
  <c r="I22" i="7" s="1"/>
  <c r="J23" i="7"/>
  <c r="J22" i="7" s="1"/>
  <c r="K23" i="7"/>
  <c r="K22" i="7" s="1"/>
  <c r="L23" i="7"/>
  <c r="M23" i="7"/>
  <c r="M22" i="7" s="1"/>
  <c r="N23" i="7"/>
  <c r="N22" i="7" s="1"/>
  <c r="O23" i="7"/>
  <c r="P23" i="7"/>
  <c r="P22" i="7" s="1"/>
  <c r="Q23" i="7"/>
  <c r="Q22" i="7" s="1"/>
  <c r="R23" i="7"/>
  <c r="R22" i="7" s="1"/>
  <c r="S23" i="7"/>
  <c r="S22" i="7" s="1"/>
  <c r="T23" i="7"/>
  <c r="T22" i="7" s="1"/>
  <c r="U23" i="7"/>
  <c r="U22" i="7" s="1"/>
  <c r="V23" i="7"/>
  <c r="V22" i="7" s="1"/>
  <c r="W23" i="7"/>
  <c r="W22" i="7" s="1"/>
  <c r="X23" i="7"/>
  <c r="X22" i="7" s="1"/>
  <c r="Y23" i="7"/>
  <c r="Y22" i="7" s="1"/>
  <c r="Z23" i="7"/>
  <c r="Z22" i="7" s="1"/>
  <c r="AA23" i="7"/>
  <c r="AA22" i="7" s="1"/>
  <c r="AB23" i="7"/>
  <c r="AB22" i="7" s="1"/>
  <c r="AC23" i="7"/>
  <c r="AC22" i="7" s="1"/>
  <c r="AD23" i="7"/>
  <c r="AD22" i="7" s="1"/>
  <c r="AE23" i="7"/>
  <c r="AE22" i="7" s="1"/>
  <c r="AF23" i="7"/>
  <c r="AF22" i="7" s="1"/>
  <c r="AG23" i="7"/>
  <c r="AG22" i="7" s="1"/>
  <c r="AH23" i="7"/>
  <c r="AH22" i="7" s="1"/>
  <c r="AI23" i="7"/>
  <c r="AI22" i="7" s="1"/>
  <c r="AJ23" i="7"/>
  <c r="AJ22" i="7" s="1"/>
  <c r="AK23" i="7"/>
  <c r="AK22" i="7" s="1"/>
  <c r="AL23" i="7"/>
  <c r="AL22" i="7" s="1"/>
  <c r="AM23" i="7"/>
  <c r="AM22" i="7" s="1"/>
  <c r="AN23" i="7"/>
  <c r="AN22" i="7" s="1"/>
  <c r="AO23" i="7"/>
  <c r="AO22" i="7" s="1"/>
  <c r="AP23" i="7"/>
  <c r="AP22" i="7" s="1"/>
  <c r="AQ23" i="7"/>
  <c r="AQ22" i="7" s="1"/>
  <c r="AR23" i="7"/>
  <c r="AR22" i="7" s="1"/>
  <c r="AS23" i="7"/>
  <c r="AS22" i="7" s="1"/>
  <c r="AT23" i="7"/>
  <c r="AT22" i="7" s="1"/>
  <c r="AU23" i="7"/>
  <c r="AU22" i="7" s="1"/>
  <c r="AV23" i="7"/>
  <c r="AV22" i="7" s="1"/>
  <c r="AW23" i="7"/>
  <c r="AW22" i="7" s="1"/>
  <c r="AX23" i="7"/>
  <c r="AX22" i="7" s="1"/>
  <c r="AY23" i="7"/>
  <c r="AY22" i="7" s="1"/>
  <c r="AZ23" i="7"/>
  <c r="AZ22" i="7" s="1"/>
  <c r="BA23" i="7"/>
  <c r="BA22" i="7" s="1"/>
  <c r="BB23" i="7"/>
  <c r="BB22" i="7" s="1"/>
  <c r="BC23" i="7"/>
  <c r="BC22" i="7" s="1"/>
  <c r="BD23" i="7"/>
  <c r="BD22" i="7" s="1"/>
  <c r="BE23" i="7"/>
  <c r="BE22" i="7" s="1"/>
  <c r="BF23" i="7"/>
  <c r="BF22" i="7" s="1"/>
  <c r="BG23" i="7"/>
  <c r="BG22" i="7" s="1"/>
  <c r="BH23" i="7"/>
  <c r="BH22" i="7" s="1"/>
  <c r="BI23" i="7"/>
  <c r="BI22" i="7" s="1"/>
  <c r="BJ23" i="7"/>
  <c r="BJ22" i="7" s="1"/>
  <c r="BK23" i="7"/>
  <c r="BK22" i="7" s="1"/>
  <c r="BL23" i="7"/>
  <c r="BL22" i="7" s="1"/>
  <c r="BM23" i="7"/>
  <c r="BM22" i="7" s="1"/>
  <c r="BN23" i="7"/>
  <c r="BN22" i="7" s="1"/>
  <c r="BO23" i="7"/>
  <c r="BO22" i="7" s="1"/>
  <c r="BP23" i="7"/>
  <c r="BP22" i="7" s="1"/>
  <c r="BQ23" i="7"/>
  <c r="BQ22" i="7" s="1"/>
  <c r="BR23" i="7"/>
  <c r="BR22" i="7" s="1"/>
  <c r="BS23" i="7"/>
  <c r="BS22" i="7" s="1"/>
  <c r="BT23" i="7"/>
  <c r="BT22" i="7" s="1"/>
  <c r="BU23" i="7"/>
  <c r="BU22" i="7" s="1"/>
  <c r="BV23" i="7"/>
  <c r="BV22" i="7" s="1"/>
  <c r="BW23" i="7"/>
  <c r="BW22" i="7" s="1"/>
  <c r="BX23" i="7"/>
  <c r="BX22" i="7" s="1"/>
  <c r="BY23" i="7"/>
  <c r="BY22" i="7" s="1"/>
  <c r="BZ23" i="7"/>
  <c r="BZ22" i="7" s="1"/>
  <c r="CA23" i="7"/>
  <c r="CA22" i="7" s="1"/>
  <c r="CB23" i="7"/>
  <c r="CB22" i="7" s="1"/>
  <c r="CC23" i="7"/>
  <c r="CC22" i="7" s="1"/>
  <c r="CD23" i="7"/>
  <c r="CD22" i="7" s="1"/>
  <c r="CE23" i="7"/>
  <c r="CE22" i="7" s="1"/>
  <c r="CF23" i="7"/>
  <c r="CF22" i="7" s="1"/>
  <c r="CG23" i="7"/>
  <c r="CG22" i="7" s="1"/>
  <c r="CH23" i="7"/>
  <c r="CH22" i="7" s="1"/>
  <c r="CI23" i="7"/>
  <c r="CI22" i="7" s="1"/>
  <c r="CJ23" i="7"/>
  <c r="CJ22" i="7" s="1"/>
  <c r="CK23" i="7"/>
  <c r="CK22" i="7" s="1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25" i="7"/>
  <c r="L29" i="18" s="1"/>
  <c r="D25" i="7"/>
  <c r="M29" i="18" s="1"/>
  <c r="E25" i="7"/>
  <c r="N29" i="18" s="1"/>
  <c r="F25" i="7"/>
  <c r="O29" i="18" s="1"/>
  <c r="G25" i="7"/>
  <c r="P29" i="18" s="1"/>
  <c r="H25" i="7"/>
  <c r="Q29" i="18" s="1"/>
  <c r="I25" i="7"/>
  <c r="R29" i="18" s="1"/>
  <c r="J25" i="7"/>
  <c r="S29" i="18" s="1"/>
  <c r="K25" i="7"/>
  <c r="T29" i="18" s="1"/>
  <c r="L25" i="7"/>
  <c r="U29" i="18" s="1"/>
  <c r="M25" i="7"/>
  <c r="V29" i="18" s="1"/>
  <c r="N25" i="7"/>
  <c r="W29" i="18" s="1"/>
  <c r="O25" i="7"/>
  <c r="X29" i="18" s="1"/>
  <c r="P25" i="7"/>
  <c r="Y29" i="18" s="1"/>
  <c r="Q25" i="7"/>
  <c r="Z29" i="18" s="1"/>
  <c r="R25" i="7"/>
  <c r="AA29" i="18" s="1"/>
  <c r="S25" i="7"/>
  <c r="AB29" i="18" s="1"/>
  <c r="T25" i="7"/>
  <c r="AC29" i="18" s="1"/>
  <c r="U25" i="7"/>
  <c r="AD29" i="18" s="1"/>
  <c r="V25" i="7"/>
  <c r="AE29" i="18" s="1"/>
  <c r="W25" i="7"/>
  <c r="AF29" i="18" s="1"/>
  <c r="X25" i="7"/>
  <c r="AG29" i="18" s="1"/>
  <c r="Y25" i="7"/>
  <c r="AH29" i="18" s="1"/>
  <c r="Z25" i="7"/>
  <c r="AI29" i="18" s="1"/>
  <c r="AA25" i="7"/>
  <c r="AJ29" i="18" s="1"/>
  <c r="AB25" i="7"/>
  <c r="AK29" i="18" s="1"/>
  <c r="AC25" i="7"/>
  <c r="AL29" i="18" s="1"/>
  <c r="AD25" i="7"/>
  <c r="AM29" i="18" s="1"/>
  <c r="AE25" i="7"/>
  <c r="AN29" i="18" s="1"/>
  <c r="AF25" i="7"/>
  <c r="AO29" i="18" s="1"/>
  <c r="AG25" i="7"/>
  <c r="AP29" i="18" s="1"/>
  <c r="AH25" i="7"/>
  <c r="AQ29" i="18" s="1"/>
  <c r="AI25" i="7"/>
  <c r="AR29" i="18" s="1"/>
  <c r="AJ25" i="7"/>
  <c r="AS29" i="18" s="1"/>
  <c r="AK25" i="7"/>
  <c r="AT29" i="18" s="1"/>
  <c r="AL25" i="7"/>
  <c r="AU29" i="18" s="1"/>
  <c r="AM25" i="7"/>
  <c r="AV29" i="18" s="1"/>
  <c r="AN25" i="7"/>
  <c r="AW29" i="18" s="1"/>
  <c r="AO25" i="7"/>
  <c r="AX29" i="18" s="1"/>
  <c r="AP25" i="7"/>
  <c r="AY29" i="18" s="1"/>
  <c r="AQ25" i="7"/>
  <c r="AZ29" i="18" s="1"/>
  <c r="AR25" i="7"/>
  <c r="BA29" i="18" s="1"/>
  <c r="AS25" i="7"/>
  <c r="BB29" i="18" s="1"/>
  <c r="AT25" i="7"/>
  <c r="BC29" i="18" s="1"/>
  <c r="AU25" i="7"/>
  <c r="BD29" i="18" s="1"/>
  <c r="AV25" i="7"/>
  <c r="BE29" i="18" s="1"/>
  <c r="AW25" i="7"/>
  <c r="BF29" i="18" s="1"/>
  <c r="AX25" i="7"/>
  <c r="BG29" i="18" s="1"/>
  <c r="AY25" i="7"/>
  <c r="BH29" i="18" s="1"/>
  <c r="AZ25" i="7"/>
  <c r="BI29" i="18" s="1"/>
  <c r="BA25" i="7"/>
  <c r="BJ29" i="18" s="1"/>
  <c r="BB25" i="7"/>
  <c r="BC25" i="7"/>
  <c r="BL29" i="18" s="1"/>
  <c r="BD25" i="7"/>
  <c r="BM29" i="18" s="1"/>
  <c r="BE25" i="7"/>
  <c r="BF25" i="7"/>
  <c r="BO29" i="18" s="1"/>
  <c r="BG25" i="7"/>
  <c r="BP29" i="18" s="1"/>
  <c r="BH25" i="7"/>
  <c r="BI25" i="7"/>
  <c r="BR29" i="18" s="1"/>
  <c r="BJ25" i="7"/>
  <c r="BS29" i="18" s="1"/>
  <c r="BK25" i="7"/>
  <c r="BL25" i="7"/>
  <c r="BU29" i="18" s="1"/>
  <c r="BM25" i="7"/>
  <c r="BV29" i="18" s="1"/>
  <c r="BN25" i="7"/>
  <c r="BO25" i="7"/>
  <c r="BX29" i="18" s="1"/>
  <c r="BP25" i="7"/>
  <c r="BY29" i="18" s="1"/>
  <c r="BQ25" i="7"/>
  <c r="BR25" i="7"/>
  <c r="CA29" i="18" s="1"/>
  <c r="BS25" i="7"/>
  <c r="CB29" i="18" s="1"/>
  <c r="BT25" i="7"/>
  <c r="BU25" i="7"/>
  <c r="CD29" i="18" s="1"/>
  <c r="BV25" i="7"/>
  <c r="CE29" i="18" s="1"/>
  <c r="BW25" i="7"/>
  <c r="BX25" i="7"/>
  <c r="CG29" i="18" s="1"/>
  <c r="BY25" i="7"/>
  <c r="CH29" i="18" s="1"/>
  <c r="BZ25" i="7"/>
  <c r="CA25" i="7"/>
  <c r="CJ29" i="18" s="1"/>
  <c r="CB25" i="7"/>
  <c r="CK29" i="18" s="1"/>
  <c r="CC25" i="7"/>
  <c r="CD25" i="7"/>
  <c r="CM29" i="18" s="1"/>
  <c r="CE25" i="7"/>
  <c r="CN29" i="18" s="1"/>
  <c r="CF25" i="7"/>
  <c r="CG25" i="7"/>
  <c r="CP29" i="18" s="1"/>
  <c r="CH25" i="7"/>
  <c r="CQ29" i="18" s="1"/>
  <c r="CI25" i="7"/>
  <c r="CJ25" i="7"/>
  <c r="CS29" i="18" s="1"/>
  <c r="CK25" i="7"/>
  <c r="CT29" i="18" s="1"/>
  <c r="C26" i="7"/>
  <c r="L30" i="18" s="1"/>
  <c r="D26" i="7"/>
  <c r="M30" i="18" s="1"/>
  <c r="E26" i="7"/>
  <c r="N30" i="18" s="1"/>
  <c r="F26" i="7"/>
  <c r="O30" i="18" s="1"/>
  <c r="G26" i="7"/>
  <c r="P30" i="18" s="1"/>
  <c r="H26" i="7"/>
  <c r="Q30" i="18" s="1"/>
  <c r="I26" i="7"/>
  <c r="R30" i="18" s="1"/>
  <c r="J26" i="7"/>
  <c r="S30" i="18" s="1"/>
  <c r="K26" i="7"/>
  <c r="T30" i="18" s="1"/>
  <c r="L26" i="7"/>
  <c r="U30" i="18" s="1"/>
  <c r="M26" i="7"/>
  <c r="V30" i="18" s="1"/>
  <c r="N26" i="7"/>
  <c r="W30" i="18" s="1"/>
  <c r="O26" i="7"/>
  <c r="X30" i="18" s="1"/>
  <c r="P26" i="7"/>
  <c r="Y30" i="18" s="1"/>
  <c r="Q26" i="7"/>
  <c r="Z30" i="18" s="1"/>
  <c r="R26" i="7"/>
  <c r="AA30" i="18" s="1"/>
  <c r="S26" i="7"/>
  <c r="AB30" i="18" s="1"/>
  <c r="T26" i="7"/>
  <c r="AC30" i="18" s="1"/>
  <c r="U26" i="7"/>
  <c r="AD30" i="18" s="1"/>
  <c r="V26" i="7"/>
  <c r="AE30" i="18" s="1"/>
  <c r="W26" i="7"/>
  <c r="AF30" i="18" s="1"/>
  <c r="X26" i="7"/>
  <c r="AG30" i="18" s="1"/>
  <c r="Y26" i="7"/>
  <c r="AH30" i="18" s="1"/>
  <c r="Z26" i="7"/>
  <c r="AI30" i="18" s="1"/>
  <c r="AA26" i="7"/>
  <c r="AJ30" i="18" s="1"/>
  <c r="AB26" i="7"/>
  <c r="AK30" i="18" s="1"/>
  <c r="AC26" i="7"/>
  <c r="AL30" i="18" s="1"/>
  <c r="AD26" i="7"/>
  <c r="AM30" i="18" s="1"/>
  <c r="AE26" i="7"/>
  <c r="AN30" i="18" s="1"/>
  <c r="AF26" i="7"/>
  <c r="AO30" i="18" s="1"/>
  <c r="AG26" i="7"/>
  <c r="AP30" i="18" s="1"/>
  <c r="AH26" i="7"/>
  <c r="AQ30" i="18" s="1"/>
  <c r="AI26" i="7"/>
  <c r="AR30" i="18" s="1"/>
  <c r="AJ26" i="7"/>
  <c r="AS30" i="18" s="1"/>
  <c r="AK26" i="7"/>
  <c r="AT30" i="18" s="1"/>
  <c r="AL26" i="7"/>
  <c r="AU30" i="18" s="1"/>
  <c r="AM26" i="7"/>
  <c r="AV30" i="18" s="1"/>
  <c r="AN26" i="7"/>
  <c r="AW30" i="18" s="1"/>
  <c r="AO26" i="7"/>
  <c r="AX30" i="18" s="1"/>
  <c r="AP26" i="7"/>
  <c r="AY30" i="18" s="1"/>
  <c r="AQ26" i="7"/>
  <c r="AZ30" i="18" s="1"/>
  <c r="AR26" i="7"/>
  <c r="BA30" i="18" s="1"/>
  <c r="AS26" i="7"/>
  <c r="BB30" i="18" s="1"/>
  <c r="AT26" i="7"/>
  <c r="BC30" i="18" s="1"/>
  <c r="AU26" i="7"/>
  <c r="BD30" i="18" s="1"/>
  <c r="AV26" i="7"/>
  <c r="BE30" i="18" s="1"/>
  <c r="AW26" i="7"/>
  <c r="BF30" i="18" s="1"/>
  <c r="AX26" i="7"/>
  <c r="BG30" i="18" s="1"/>
  <c r="AY26" i="7"/>
  <c r="BH30" i="18" s="1"/>
  <c r="AZ26" i="7"/>
  <c r="BI30" i="18" s="1"/>
  <c r="BA26" i="7"/>
  <c r="BJ30" i="18" s="1"/>
  <c r="BB26" i="7"/>
  <c r="BC26" i="7"/>
  <c r="BL30" i="18" s="1"/>
  <c r="BD26" i="7"/>
  <c r="BM30" i="18" s="1"/>
  <c r="BE26" i="7"/>
  <c r="BF26" i="7"/>
  <c r="BO30" i="18" s="1"/>
  <c r="BG26" i="7"/>
  <c r="BP30" i="18" s="1"/>
  <c r="BH26" i="7"/>
  <c r="BI26" i="7"/>
  <c r="BR30" i="18" s="1"/>
  <c r="BJ26" i="7"/>
  <c r="BS30" i="18" s="1"/>
  <c r="BK26" i="7"/>
  <c r="BL26" i="7"/>
  <c r="BU30" i="18" s="1"/>
  <c r="BM26" i="7"/>
  <c r="BV30" i="18" s="1"/>
  <c r="BN26" i="7"/>
  <c r="BO26" i="7"/>
  <c r="BX30" i="18" s="1"/>
  <c r="BP26" i="7"/>
  <c r="BY30" i="18" s="1"/>
  <c r="BQ26" i="7"/>
  <c r="BR26" i="7"/>
  <c r="CA30" i="18" s="1"/>
  <c r="BS26" i="7"/>
  <c r="CB30" i="18" s="1"/>
  <c r="BT26" i="7"/>
  <c r="BU26" i="7"/>
  <c r="CD30" i="18" s="1"/>
  <c r="BV26" i="7"/>
  <c r="CE30" i="18" s="1"/>
  <c r="BW26" i="7"/>
  <c r="BX26" i="7"/>
  <c r="CG30" i="18" s="1"/>
  <c r="BY26" i="7"/>
  <c r="CH30" i="18" s="1"/>
  <c r="BZ26" i="7"/>
  <c r="CA26" i="7"/>
  <c r="CJ30" i="18" s="1"/>
  <c r="CB26" i="7"/>
  <c r="CK30" i="18" s="1"/>
  <c r="CC26" i="7"/>
  <c r="CD26" i="7"/>
  <c r="CM30" i="18" s="1"/>
  <c r="CE26" i="7"/>
  <c r="CN30" i="18" s="1"/>
  <c r="CF26" i="7"/>
  <c r="CG26" i="7"/>
  <c r="CP30" i="18" s="1"/>
  <c r="CH26" i="7"/>
  <c r="CQ30" i="18" s="1"/>
  <c r="CI26" i="7"/>
  <c r="CJ26" i="7"/>
  <c r="CS30" i="18" s="1"/>
  <c r="CK26" i="7"/>
  <c r="CT30" i="18" s="1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BV27" i="7"/>
  <c r="BW27" i="7"/>
  <c r="BX27" i="7"/>
  <c r="BY27" i="7"/>
  <c r="BZ27" i="7"/>
  <c r="CA27" i="7"/>
  <c r="CB27" i="7"/>
  <c r="CC27" i="7"/>
  <c r="CD27" i="7"/>
  <c r="CE27" i="7"/>
  <c r="CF27" i="7"/>
  <c r="CG27" i="7"/>
  <c r="CH27" i="7"/>
  <c r="CI27" i="7"/>
  <c r="CJ27" i="7"/>
  <c r="CK27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BV17" i="7"/>
  <c r="BW17" i="7"/>
  <c r="BX17" i="7"/>
  <c r="BY17" i="7"/>
  <c r="BZ17" i="7"/>
  <c r="CA17" i="7"/>
  <c r="CB17" i="7"/>
  <c r="CC17" i="7"/>
  <c r="CD17" i="7"/>
  <c r="CE17" i="7"/>
  <c r="CF17" i="7"/>
  <c r="CG17" i="7"/>
  <c r="CH17" i="7"/>
  <c r="CI17" i="7"/>
  <c r="CJ17" i="7"/>
  <c r="CK17" i="7"/>
  <c r="CL17" i="7"/>
  <c r="CM17" i="7"/>
  <c r="CN17" i="7"/>
  <c r="CO17" i="7"/>
  <c r="CP17" i="7"/>
  <c r="CQ17" i="7"/>
  <c r="CR17" i="7"/>
  <c r="CS17" i="7"/>
  <c r="CT17" i="7"/>
  <c r="CU17" i="7"/>
  <c r="CV17" i="7"/>
  <c r="CW17" i="7"/>
  <c r="CX17" i="7"/>
  <c r="CY17" i="7"/>
  <c r="CZ17" i="7"/>
  <c r="DA17" i="7"/>
  <c r="DB17" i="7"/>
  <c r="DC17" i="7"/>
  <c r="DD17" i="7"/>
  <c r="DE17" i="7"/>
  <c r="DF17" i="7"/>
  <c r="DG17" i="7"/>
  <c r="DH17" i="7"/>
  <c r="DI1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BV12" i="7"/>
  <c r="BW12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CX13" i="7"/>
  <c r="CY13" i="7"/>
  <c r="CZ13" i="7"/>
  <c r="DA13" i="7"/>
  <c r="DB13" i="7"/>
  <c r="DC13" i="7"/>
  <c r="DD13" i="7"/>
  <c r="DE13" i="7"/>
  <c r="DF13" i="7"/>
  <c r="DG13" i="7"/>
  <c r="DH13" i="7"/>
  <c r="DI13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CA4" i="7"/>
  <c r="CB4" i="7"/>
  <c r="CC4" i="7"/>
  <c r="CD4" i="7"/>
  <c r="CE4" i="7"/>
  <c r="CF4" i="7"/>
  <c r="CG4" i="7"/>
  <c r="CH4" i="7"/>
  <c r="CI4" i="7"/>
  <c r="CJ4" i="7"/>
  <c r="CK4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BV5" i="7"/>
  <c r="BW5" i="7"/>
  <c r="BX5" i="7"/>
  <c r="BY5" i="7"/>
  <c r="BZ5" i="7"/>
  <c r="CA5" i="7"/>
  <c r="CB5" i="7"/>
  <c r="CC5" i="7"/>
  <c r="CD5" i="7"/>
  <c r="CE5" i="7"/>
  <c r="CF5" i="7"/>
  <c r="CG5" i="7"/>
  <c r="CH5" i="7"/>
  <c r="CI5" i="7"/>
  <c r="CJ5" i="7"/>
  <c r="CK5" i="7"/>
  <c r="CL5" i="7"/>
  <c r="CM5" i="7"/>
  <c r="CN5" i="7"/>
  <c r="CO5" i="7"/>
  <c r="CP5" i="7"/>
  <c r="CQ5" i="7"/>
  <c r="CR5" i="7"/>
  <c r="CS5" i="7"/>
  <c r="CT5" i="7"/>
  <c r="CU5" i="7"/>
  <c r="CV5" i="7"/>
  <c r="CW5" i="7"/>
  <c r="CX5" i="7"/>
  <c r="CY5" i="7"/>
  <c r="CZ5" i="7"/>
  <c r="DA5" i="7"/>
  <c r="DB5" i="7"/>
  <c r="DC5" i="7"/>
  <c r="DD5" i="7"/>
  <c r="DE5" i="7"/>
  <c r="DF5" i="7"/>
  <c r="DG5" i="7"/>
  <c r="DH5" i="7"/>
  <c r="DI5" i="7"/>
  <c r="DW28" i="7" l="1"/>
  <c r="DX28" i="7"/>
  <c r="DY28" i="7"/>
  <c r="DZ28" i="7"/>
  <c r="EA28" i="7"/>
  <c r="EB28" i="7"/>
  <c r="EC28" i="7"/>
  <c r="ED28" i="7"/>
  <c r="EE28" i="7"/>
  <c r="EF28" i="7"/>
  <c r="EG28" i="7"/>
  <c r="EH28" i="7"/>
  <c r="L45" i="7"/>
  <c r="EG28" i="14"/>
  <c r="EV28" i="7"/>
  <c r="EW28" i="7"/>
  <c r="EX28" i="7"/>
  <c r="O33" i="7"/>
  <c r="EQ28" i="14"/>
  <c r="EM28" i="14"/>
  <c r="EI28" i="14"/>
  <c r="EF28" i="14"/>
  <c r="EN28" i="14"/>
  <c r="EP28" i="14"/>
  <c r="EL28" i="14"/>
  <c r="EJ28" i="14"/>
  <c r="EO28" i="14"/>
  <c r="EK28" i="14"/>
  <c r="BD33" i="7"/>
  <c r="BD45" i="7"/>
  <c r="CA33" i="7"/>
  <c r="CA45" i="7"/>
  <c r="AD45" i="7"/>
  <c r="AD33" i="7"/>
  <c r="BY45" i="7"/>
  <c r="BY33" i="7"/>
  <c r="CJ33" i="7"/>
  <c r="CJ45" i="7"/>
  <c r="BX45" i="7"/>
  <c r="BX33" i="7"/>
  <c r="BL33" i="7"/>
  <c r="BL45" i="7"/>
  <c r="AZ45" i="7"/>
  <c r="AZ33" i="7"/>
  <c r="AN45" i="7"/>
  <c r="AN33" i="7"/>
  <c r="AB33" i="7"/>
  <c r="AB45" i="7"/>
  <c r="P45" i="7"/>
  <c r="P33" i="7"/>
  <c r="D33" i="7"/>
  <c r="D45" i="7"/>
  <c r="AF33" i="7"/>
  <c r="AF45" i="7"/>
  <c r="BO33" i="7"/>
  <c r="BO45" i="7"/>
  <c r="AO45" i="7"/>
  <c r="AO33" i="7"/>
  <c r="CI33" i="7"/>
  <c r="CI45" i="7"/>
  <c r="BW33" i="7"/>
  <c r="BW45" i="7"/>
  <c r="BK33" i="7"/>
  <c r="BK45" i="7"/>
  <c r="AY33" i="7"/>
  <c r="AY45" i="7"/>
  <c r="AM45" i="7"/>
  <c r="AM33" i="7"/>
  <c r="AA33" i="7"/>
  <c r="AA45" i="7"/>
  <c r="O45" i="7"/>
  <c r="C45" i="7"/>
  <c r="C33" i="7"/>
  <c r="O22" i="7"/>
  <c r="L33" i="7"/>
  <c r="CB33" i="7"/>
  <c r="CB45" i="7"/>
  <c r="H33" i="7"/>
  <c r="H45" i="7"/>
  <c r="BB45" i="7"/>
  <c r="BB33" i="7"/>
  <c r="R45" i="7"/>
  <c r="R33" i="7"/>
  <c r="BM33" i="7"/>
  <c r="BM45" i="7"/>
  <c r="Q45" i="7"/>
  <c r="Q33" i="7"/>
  <c r="CH33" i="7"/>
  <c r="CH45" i="7"/>
  <c r="BV45" i="7"/>
  <c r="BV33" i="7"/>
  <c r="BJ45" i="7"/>
  <c r="BJ33" i="7"/>
  <c r="AX33" i="7"/>
  <c r="AX45" i="7"/>
  <c r="AL45" i="7"/>
  <c r="AL33" i="7"/>
  <c r="Z45" i="7"/>
  <c r="Z33" i="7"/>
  <c r="N33" i="7"/>
  <c r="N45" i="7"/>
  <c r="EH28" i="14"/>
  <c r="AR33" i="7"/>
  <c r="AR45" i="7"/>
  <c r="BC33" i="7"/>
  <c r="BC45" i="7"/>
  <c r="AE33" i="7"/>
  <c r="AE45" i="7"/>
  <c r="BA45" i="7"/>
  <c r="BA33" i="7"/>
  <c r="CG45" i="7"/>
  <c r="CG33" i="7"/>
  <c r="BU45" i="7"/>
  <c r="BU33" i="7"/>
  <c r="BI45" i="7"/>
  <c r="BI33" i="7"/>
  <c r="AW45" i="7"/>
  <c r="AW33" i="7"/>
  <c r="AK45" i="7"/>
  <c r="AK33" i="7"/>
  <c r="Y45" i="7"/>
  <c r="Y33" i="7"/>
  <c r="M45" i="7"/>
  <c r="M33" i="7"/>
  <c r="T33" i="7"/>
  <c r="T45" i="7"/>
  <c r="G33" i="7"/>
  <c r="G45" i="7"/>
  <c r="BN45" i="7"/>
  <c r="BN33" i="7"/>
  <c r="CK33" i="7"/>
  <c r="CK45" i="7"/>
  <c r="E33" i="7"/>
  <c r="E45" i="7"/>
  <c r="CF45" i="7"/>
  <c r="CF33" i="7"/>
  <c r="BT45" i="7"/>
  <c r="BT33" i="7"/>
  <c r="BH45" i="7"/>
  <c r="BH33" i="7"/>
  <c r="AV45" i="7"/>
  <c r="AV33" i="7"/>
  <c r="AJ45" i="7"/>
  <c r="AJ33" i="7"/>
  <c r="X45" i="7"/>
  <c r="X33" i="7"/>
  <c r="L22" i="7"/>
  <c r="AQ33" i="7"/>
  <c r="AQ45" i="7"/>
  <c r="BZ45" i="7"/>
  <c r="BZ33" i="7"/>
  <c r="F45" i="7"/>
  <c r="F33" i="7"/>
  <c r="AC33" i="7"/>
  <c r="AC45" i="7"/>
  <c r="CE45" i="7"/>
  <c r="CE33" i="7"/>
  <c r="BS45" i="7"/>
  <c r="BS33" i="7"/>
  <c r="BG45" i="7"/>
  <c r="BG33" i="7"/>
  <c r="AU45" i="7"/>
  <c r="AU33" i="7"/>
  <c r="AI45" i="7"/>
  <c r="AI33" i="7"/>
  <c r="W45" i="7"/>
  <c r="W33" i="7"/>
  <c r="K45" i="7"/>
  <c r="K33" i="7"/>
  <c r="S33" i="7"/>
  <c r="S45" i="7"/>
  <c r="AP45" i="7"/>
  <c r="AP33" i="7"/>
  <c r="CD33" i="7"/>
  <c r="CD45" i="7"/>
  <c r="BF33" i="7"/>
  <c r="BF45" i="7"/>
  <c r="V33" i="7"/>
  <c r="V45" i="7"/>
  <c r="BP33" i="7"/>
  <c r="BP45" i="7"/>
  <c r="BR33" i="7"/>
  <c r="BR45" i="7"/>
  <c r="AT33" i="7"/>
  <c r="AT45" i="7"/>
  <c r="AH33" i="7"/>
  <c r="AH45" i="7"/>
  <c r="J33" i="7"/>
  <c r="J45" i="7"/>
  <c r="CC33" i="7"/>
  <c r="CC45" i="7"/>
  <c r="BQ33" i="7"/>
  <c r="BQ45" i="7"/>
  <c r="BE33" i="7"/>
  <c r="BE45" i="7"/>
  <c r="AS33" i="7"/>
  <c r="AS45" i="7"/>
  <c r="AG33" i="7"/>
  <c r="AG45" i="7"/>
  <c r="U33" i="7"/>
  <c r="U45" i="7"/>
  <c r="I33" i="7"/>
  <c r="I45" i="7"/>
  <c r="U25" i="11"/>
  <c r="U23" i="11" s="1"/>
  <c r="BB18" i="15"/>
  <c r="BB27" i="18" s="1"/>
  <c r="I25" i="11"/>
  <c r="I23" i="11" s="1"/>
  <c r="AP18" i="15"/>
  <c r="AP27" i="18" s="1"/>
  <c r="AQ25" i="11"/>
  <c r="AQ23" i="11" s="1"/>
  <c r="BD25" i="11"/>
  <c r="BD23" i="11" s="1"/>
  <c r="AR25" i="11"/>
  <c r="AR23" i="11" s="1"/>
  <c r="AF25" i="11"/>
  <c r="AF23" i="11" s="1"/>
  <c r="T25" i="11"/>
  <c r="T23" i="11" s="1"/>
  <c r="H25" i="11"/>
  <c r="H23" i="11" s="1"/>
  <c r="AO18" i="15"/>
  <c r="AO27" i="18" s="1"/>
  <c r="F25" i="11"/>
  <c r="F23" i="11" s="1"/>
  <c r="S25" i="11"/>
  <c r="S23" i="11" s="1"/>
  <c r="R25" i="11"/>
  <c r="R23" i="11" s="1"/>
  <c r="BM25" i="11"/>
  <c r="BM23" i="11" s="1"/>
  <c r="BA25" i="11"/>
  <c r="BA23" i="11" s="1"/>
  <c r="AO25" i="11"/>
  <c r="AO23" i="11" s="1"/>
  <c r="AC25" i="11"/>
  <c r="AC23" i="11" s="1"/>
  <c r="Q25" i="11"/>
  <c r="Q23" i="11" s="1"/>
  <c r="E25" i="11"/>
  <c r="E23" i="11" s="1"/>
  <c r="AL18" i="15"/>
  <c r="AL27" i="18" s="1"/>
  <c r="BC25" i="11"/>
  <c r="BC23" i="11" s="1"/>
  <c r="CJ18" i="15"/>
  <c r="CJ27" i="18" s="1"/>
  <c r="BL25" i="11"/>
  <c r="BL23" i="11" s="1"/>
  <c r="AN25" i="11"/>
  <c r="AN23" i="11" s="1"/>
  <c r="AA25" i="11"/>
  <c r="AA23" i="11" s="1"/>
  <c r="O25" i="11"/>
  <c r="O23" i="11" s="1"/>
  <c r="C25" i="11"/>
  <c r="C23" i="11" s="1"/>
  <c r="AJ18" i="15"/>
  <c r="AJ27" i="18" s="1"/>
  <c r="G25" i="11"/>
  <c r="G23" i="11" s="1"/>
  <c r="AZ25" i="11"/>
  <c r="AZ23" i="11" s="1"/>
  <c r="AB25" i="11"/>
  <c r="AB23" i="11" s="1"/>
  <c r="P25" i="11"/>
  <c r="P23" i="11" s="1"/>
  <c r="D25" i="11"/>
  <c r="D23" i="11" s="1"/>
  <c r="BJ25" i="11"/>
  <c r="BJ23" i="11" s="1"/>
  <c r="AX25" i="11"/>
  <c r="AX23" i="11" s="1"/>
  <c r="AL25" i="11"/>
  <c r="AL23" i="11" s="1"/>
  <c r="Z25" i="11"/>
  <c r="Z23" i="11" s="1"/>
  <c r="N25" i="11"/>
  <c r="N23" i="11" s="1"/>
  <c r="M25" i="11"/>
  <c r="M23" i="11" s="1"/>
  <c r="AK25" i="11"/>
  <c r="AK23" i="11" s="1"/>
  <c r="L25" i="11"/>
  <c r="L23" i="11" s="1"/>
  <c r="AS18" i="15"/>
  <c r="AS27" i="18" s="1"/>
  <c r="AE25" i="11"/>
  <c r="AE23" i="11" s="1"/>
  <c r="BI25" i="11"/>
  <c r="BI23" i="11" s="1"/>
  <c r="CP18" i="15"/>
  <c r="CP27" i="18" s="1"/>
  <c r="X25" i="11"/>
  <c r="X23" i="11" s="1"/>
  <c r="BG25" i="11"/>
  <c r="BG23" i="11" s="1"/>
  <c r="CN18" i="15"/>
  <c r="CN27" i="18" s="1"/>
  <c r="AU25" i="11"/>
  <c r="AU23" i="11" s="1"/>
  <c r="AI25" i="11"/>
  <c r="AI23" i="11" s="1"/>
  <c r="W25" i="11"/>
  <c r="W23" i="11" s="1"/>
  <c r="K25" i="11"/>
  <c r="K23" i="11" s="1"/>
  <c r="AW25" i="11"/>
  <c r="AW23" i="11" s="1"/>
  <c r="Y25" i="11"/>
  <c r="Y23" i="11" s="1"/>
  <c r="BF25" i="11"/>
  <c r="BF23" i="11" s="1"/>
  <c r="AT25" i="11"/>
  <c r="AT23" i="11" s="1"/>
  <c r="AH25" i="11"/>
  <c r="AH23" i="11" s="1"/>
  <c r="BO18" i="15"/>
  <c r="BO27" i="18" s="1"/>
  <c r="V25" i="11"/>
  <c r="V23" i="11" s="1"/>
  <c r="J25" i="11"/>
  <c r="J23" i="11" s="1"/>
  <c r="EQ61" i="15"/>
  <c r="EM60" i="15"/>
  <c r="EN59" i="15"/>
  <c r="EP58" i="15"/>
  <c r="EL58" i="15"/>
  <c r="EN62" i="15"/>
  <c r="EJ62" i="15"/>
  <c r="EO61" i="15"/>
  <c r="EK61" i="15"/>
  <c r="EP60" i="15"/>
  <c r="EL60" i="15"/>
  <c r="EQ59" i="15"/>
  <c r="EM59" i="15"/>
  <c r="EN60" i="15"/>
  <c r="EM58" i="15"/>
  <c r="EP61" i="15"/>
  <c r="EJ59" i="15"/>
  <c r="EJ58" i="15"/>
  <c r="EO59" i="15"/>
  <c r="EK59" i="15"/>
  <c r="EQ58" i="15"/>
  <c r="EQ60" i="15"/>
  <c r="EN58" i="15"/>
  <c r="EL62" i="15"/>
  <c r="EM61" i="15"/>
  <c r="EK62" i="15"/>
  <c r="EO62" i="15"/>
  <c r="EL61" i="15"/>
  <c r="EK58" i="15"/>
  <c r="EO58" i="15"/>
  <c r="EQ62" i="15"/>
  <c r="EM62" i="15"/>
  <c r="EN61" i="15"/>
  <c r="EJ61" i="15"/>
  <c r="EO60" i="15"/>
  <c r="EK60" i="15"/>
  <c r="EP59" i="15"/>
  <c r="EL59" i="15"/>
  <c r="EP62" i="15"/>
  <c r="EJ60" i="15"/>
  <c r="EB545" i="2"/>
  <c r="DB135" i="13"/>
  <c r="EB665" i="2"/>
  <c r="ED87" i="3"/>
  <c r="FD87" i="3" s="1"/>
  <c r="FK87" i="3" s="1"/>
  <c r="EC106" i="2"/>
  <c r="ED91" i="3" s="1"/>
  <c r="FD91" i="3" s="1"/>
  <c r="FK91" i="3" s="1"/>
  <c r="AC31" i="18"/>
  <c r="AD31" i="18"/>
  <c r="AE31" i="18"/>
  <c r="AF31" i="18"/>
  <c r="AG31" i="18"/>
  <c r="AH31" i="18"/>
  <c r="AI31" i="18"/>
  <c r="AJ31" i="18"/>
  <c r="AK31" i="18"/>
  <c r="AL31" i="18"/>
  <c r="AM31" i="18"/>
  <c r="AN31" i="18"/>
  <c r="AO31" i="18"/>
  <c r="AP31" i="18"/>
  <c r="AQ31" i="18"/>
  <c r="AR31" i="18"/>
  <c r="AS31" i="18"/>
  <c r="AT31" i="18"/>
  <c r="AU31" i="18"/>
  <c r="AV31" i="18"/>
  <c r="AW31" i="18"/>
  <c r="AX31" i="18"/>
  <c r="AY31" i="18"/>
  <c r="AZ31" i="18"/>
  <c r="BA31" i="18"/>
  <c r="BB31" i="18"/>
  <c r="BC31" i="18"/>
  <c r="BD31" i="18"/>
  <c r="BE31" i="18"/>
  <c r="BF31" i="18"/>
  <c r="BG31" i="18"/>
  <c r="BH31" i="18"/>
  <c r="BI31" i="18"/>
  <c r="BJ31" i="18"/>
  <c r="BK31" i="18"/>
  <c r="BL31" i="18"/>
  <c r="BM31" i="18"/>
  <c r="BN31" i="18"/>
  <c r="BO31" i="18"/>
  <c r="BP31" i="18"/>
  <c r="BQ31" i="18"/>
  <c r="BR31" i="18"/>
  <c r="BS31" i="18"/>
  <c r="BT31" i="18"/>
  <c r="BU31" i="18"/>
  <c r="BV31" i="18"/>
  <c r="BW31" i="18"/>
  <c r="BX31" i="18"/>
  <c r="BY31" i="18"/>
  <c r="BZ31" i="18"/>
  <c r="CA31" i="18"/>
  <c r="CB31" i="18"/>
  <c r="CC31" i="18"/>
  <c r="CD31" i="18"/>
  <c r="CE31" i="18"/>
  <c r="CF31" i="18"/>
  <c r="CG31" i="18"/>
  <c r="CH31" i="18"/>
  <c r="CI31" i="18"/>
  <c r="CJ31" i="18"/>
  <c r="CK31" i="18"/>
  <c r="CL31" i="18"/>
  <c r="CM31" i="18"/>
  <c r="CN31" i="18"/>
  <c r="CO31" i="18"/>
  <c r="CP31" i="18"/>
  <c r="CQ31" i="18"/>
  <c r="CR31" i="18"/>
  <c r="CS31" i="18"/>
  <c r="CT31" i="18"/>
  <c r="C26" i="14"/>
  <c r="C148" i="18" s="1"/>
  <c r="D26" i="14"/>
  <c r="D148" i="18" s="1"/>
  <c r="I26" i="14"/>
  <c r="I148" i="18" s="1"/>
  <c r="L26" i="14"/>
  <c r="L148" i="18" s="1"/>
  <c r="O26" i="14"/>
  <c r="O148" i="18" s="1"/>
  <c r="P26" i="14"/>
  <c r="P148" i="18" s="1"/>
  <c r="U26" i="14"/>
  <c r="U148" i="18" s="1"/>
  <c r="W26" i="14"/>
  <c r="W148" i="18" s="1"/>
  <c r="X26" i="14"/>
  <c r="X148" i="18" s="1"/>
  <c r="AA26" i="14"/>
  <c r="AA148" i="18" s="1"/>
  <c r="AG26" i="14"/>
  <c r="AG148" i="18" s="1"/>
  <c r="AI26" i="14"/>
  <c r="AI148" i="18" s="1"/>
  <c r="AJ26" i="14"/>
  <c r="AJ148" i="18" s="1"/>
  <c r="AM26" i="14"/>
  <c r="AM148" i="18" s="1"/>
  <c r="AN26" i="14"/>
  <c r="AN148" i="18" s="1"/>
  <c r="AO26" i="14"/>
  <c r="AO148" i="18" s="1"/>
  <c r="AP26" i="14"/>
  <c r="AP148" i="18" s="1"/>
  <c r="AS26" i="14"/>
  <c r="AS148" i="18" s="1"/>
  <c r="AU26" i="14"/>
  <c r="AU148" i="18" s="1"/>
  <c r="AV26" i="14"/>
  <c r="AV148" i="18" s="1"/>
  <c r="AX26" i="14"/>
  <c r="AX148" i="18" s="1"/>
  <c r="AY26" i="14"/>
  <c r="AY148" i="18" s="1"/>
  <c r="AZ26" i="14"/>
  <c r="AZ148" i="18" s="1"/>
  <c r="BA26" i="14"/>
  <c r="BA148" i="18" s="1"/>
  <c r="BB26" i="14"/>
  <c r="BB148" i="18" s="1"/>
  <c r="BE26" i="14"/>
  <c r="BE148" i="18" s="1"/>
  <c r="BH26" i="14"/>
  <c r="BH148" i="18" s="1"/>
  <c r="BJ26" i="14"/>
  <c r="BJ148" i="18" s="1"/>
  <c r="BM26" i="14"/>
  <c r="BM148" i="18" s="1"/>
  <c r="BP26" i="14"/>
  <c r="BP148" i="18" s="1"/>
  <c r="BV26" i="14"/>
  <c r="BV148" i="18" s="1"/>
  <c r="BX26" i="14"/>
  <c r="BX148" i="18" s="1"/>
  <c r="BY26" i="14"/>
  <c r="BY148" i="18" s="1"/>
  <c r="CA26" i="14"/>
  <c r="CA148" i="18" s="1"/>
  <c r="CB26" i="14"/>
  <c r="CB148" i="18" s="1"/>
  <c r="CH26" i="14"/>
  <c r="CH148" i="18" s="1"/>
  <c r="CJ26" i="14"/>
  <c r="CJ148" i="18" s="1"/>
  <c r="CK26" i="14"/>
  <c r="CK148" i="18" s="1"/>
  <c r="CN26" i="14"/>
  <c r="CN148" i="18" s="1"/>
  <c r="CT26" i="14"/>
  <c r="CT148" i="18" s="1"/>
  <c r="C123" i="11"/>
  <c r="C94" i="12"/>
  <c r="D123" i="11"/>
  <c r="D94" i="12"/>
  <c r="E123" i="11"/>
  <c r="E94" i="12"/>
  <c r="F123" i="11"/>
  <c r="F94" i="12"/>
  <c r="G123" i="11"/>
  <c r="G94" i="12"/>
  <c r="H123" i="11"/>
  <c r="H94" i="12"/>
  <c r="I123" i="11"/>
  <c r="I94" i="12"/>
  <c r="J123" i="11"/>
  <c r="J94" i="12"/>
  <c r="K123" i="11"/>
  <c r="K94" i="12"/>
  <c r="L123" i="11"/>
  <c r="L94" i="12"/>
  <c r="M123" i="11"/>
  <c r="M94" i="12"/>
  <c r="N123" i="11"/>
  <c r="N94" i="12"/>
  <c r="O123" i="11"/>
  <c r="O94" i="12"/>
  <c r="P123" i="11"/>
  <c r="P94" i="12"/>
  <c r="Q123" i="11"/>
  <c r="Q94" i="12"/>
  <c r="R123" i="11"/>
  <c r="R94" i="12"/>
  <c r="S123" i="11"/>
  <c r="S94" i="12"/>
  <c r="T123" i="11"/>
  <c r="T94" i="12"/>
  <c r="U123" i="11"/>
  <c r="U94" i="12"/>
  <c r="V123" i="11"/>
  <c r="V94" i="12"/>
  <c r="W123" i="11"/>
  <c r="W94" i="12"/>
  <c r="X123" i="11"/>
  <c r="X94" i="12"/>
  <c r="Y123" i="11"/>
  <c r="Y94" i="12"/>
  <c r="Z123" i="11"/>
  <c r="Z94" i="12"/>
  <c r="AA123" i="11"/>
  <c r="AA94" i="12"/>
  <c r="AB123" i="11"/>
  <c r="AB94" i="12"/>
  <c r="AC123" i="11"/>
  <c r="AC94" i="12"/>
  <c r="AE123" i="11"/>
  <c r="AE94" i="12"/>
  <c r="AF123" i="11"/>
  <c r="AF94" i="12"/>
  <c r="AH123" i="11"/>
  <c r="AH94" i="12"/>
  <c r="AI123" i="11"/>
  <c r="AI94" i="12"/>
  <c r="AK123" i="11"/>
  <c r="AK94" i="12"/>
  <c r="AL123" i="11"/>
  <c r="AL94" i="12"/>
  <c r="AN123" i="11"/>
  <c r="AN94" i="12"/>
  <c r="AO123" i="11"/>
  <c r="AO94" i="12"/>
  <c r="AQ123" i="11"/>
  <c r="AQ94" i="12"/>
  <c r="AR123" i="11"/>
  <c r="AR94" i="12"/>
  <c r="AT123" i="11"/>
  <c r="AT94" i="12"/>
  <c r="AU123" i="11"/>
  <c r="AU94" i="12"/>
  <c r="CC159" i="18"/>
  <c r="AV94" i="12"/>
  <c r="AW123" i="11"/>
  <c r="AW94" i="12"/>
  <c r="CD159" i="18"/>
  <c r="AX123" i="11"/>
  <c r="AX94" i="12"/>
  <c r="CE159" i="18"/>
  <c r="AY94" i="12"/>
  <c r="CF159" i="18"/>
  <c r="AZ123" i="11"/>
  <c r="AZ94" i="12"/>
  <c r="CG159" i="18"/>
  <c r="BA123" i="11"/>
  <c r="BA94" i="12"/>
  <c r="CH159" i="18"/>
  <c r="BB94" i="12"/>
  <c r="CI159" i="18"/>
  <c r="BC123" i="11"/>
  <c r="BC94" i="12"/>
  <c r="CJ159" i="18"/>
  <c r="BD123" i="11"/>
  <c r="BD94" i="12"/>
  <c r="CK159" i="18"/>
  <c r="BE94" i="12"/>
  <c r="CL159" i="18"/>
  <c r="BF123" i="11"/>
  <c r="BF94" i="12"/>
  <c r="CM159" i="18"/>
  <c r="BG123" i="11"/>
  <c r="BG94" i="12"/>
  <c r="CN159" i="18"/>
  <c r="BH94" i="12"/>
  <c r="CO159" i="18"/>
  <c r="BI123" i="11"/>
  <c r="CP159" i="18"/>
  <c r="BI94" i="12"/>
  <c r="BJ123" i="11"/>
  <c r="BJ94" i="12"/>
  <c r="CQ159" i="18"/>
  <c r="CR159" i="18"/>
  <c r="BK94" i="12"/>
  <c r="BL123" i="11"/>
  <c r="CS159" i="18"/>
  <c r="BL94" i="12"/>
  <c r="BM123" i="11"/>
  <c r="CT159" i="18"/>
  <c r="BM94" i="12"/>
  <c r="BO123" i="11"/>
  <c r="CV159" i="18"/>
  <c r="BP123" i="11"/>
  <c r="CW159" i="18"/>
  <c r="BR123" i="11"/>
  <c r="CY159" i="18"/>
  <c r="BS123" i="11"/>
  <c r="CZ159" i="18"/>
  <c r="BU123" i="11"/>
  <c r="DB159" i="18"/>
  <c r="BV123" i="11"/>
  <c r="DC159" i="18"/>
  <c r="BX123" i="11"/>
  <c r="DE159" i="18"/>
  <c r="BY123" i="11"/>
  <c r="DF159" i="18"/>
  <c r="CA123" i="11"/>
  <c r="DH159" i="18"/>
  <c r="CB123" i="11"/>
  <c r="DI159" i="18"/>
  <c r="CD123" i="11"/>
  <c r="DK159" i="18"/>
  <c r="CE123" i="11"/>
  <c r="DL159" i="18"/>
  <c r="CG123" i="11"/>
  <c r="DN159" i="18"/>
  <c r="CH123" i="11"/>
  <c r="DO159" i="18"/>
  <c r="CJ123" i="11"/>
  <c r="DQ159" i="18"/>
  <c r="CK123" i="11"/>
  <c r="DR159" i="18"/>
  <c r="EJ86" i="15"/>
  <c r="BY132" i="18"/>
  <c r="EJ132" i="18" s="1"/>
  <c r="L50" i="18"/>
  <c r="L38" i="18"/>
  <c r="M50" i="18"/>
  <c r="M38" i="18"/>
  <c r="N50" i="18"/>
  <c r="N38" i="18"/>
  <c r="O50" i="18"/>
  <c r="O38" i="18"/>
  <c r="P50" i="18"/>
  <c r="P38" i="18"/>
  <c r="Q50" i="18"/>
  <c r="Q38" i="18"/>
  <c r="R50" i="18"/>
  <c r="R38" i="18"/>
  <c r="S50" i="18"/>
  <c r="S38" i="18"/>
  <c r="T50" i="18"/>
  <c r="T38" i="18"/>
  <c r="U50" i="18"/>
  <c r="U38" i="18"/>
  <c r="V50" i="18"/>
  <c r="V38" i="18"/>
  <c r="W50" i="18"/>
  <c r="W38" i="18"/>
  <c r="X50" i="18"/>
  <c r="X38" i="18"/>
  <c r="Y50" i="18"/>
  <c r="Y38" i="18"/>
  <c r="Z50" i="18"/>
  <c r="Z38" i="18"/>
  <c r="AA50" i="18"/>
  <c r="AA38" i="18"/>
  <c r="AB50" i="18"/>
  <c r="AB38" i="18"/>
  <c r="AC50" i="18"/>
  <c r="AC38" i="18"/>
  <c r="AD50" i="18"/>
  <c r="AD38" i="18"/>
  <c r="AE50" i="18"/>
  <c r="AE38" i="18"/>
  <c r="AF50" i="18"/>
  <c r="AF38" i="18"/>
  <c r="AG50" i="18"/>
  <c r="AG38" i="18"/>
  <c r="AH50" i="18"/>
  <c r="AH38" i="18"/>
  <c r="AI50" i="18"/>
  <c r="AI38" i="18"/>
  <c r="AJ50" i="18"/>
  <c r="AJ38" i="18"/>
  <c r="AK50" i="18"/>
  <c r="AK38" i="18"/>
  <c r="AL50" i="18"/>
  <c r="AL38" i="18"/>
  <c r="AM50" i="18"/>
  <c r="AM38" i="18"/>
  <c r="AN50" i="18"/>
  <c r="AN38" i="18"/>
  <c r="AO50" i="18"/>
  <c r="AO38" i="18"/>
  <c r="AP50" i="18"/>
  <c r="AP38" i="18"/>
  <c r="AQ50" i="18"/>
  <c r="AQ38" i="18"/>
  <c r="AR50" i="18"/>
  <c r="AR38" i="18"/>
  <c r="AS50" i="18"/>
  <c r="AS38" i="18"/>
  <c r="AT50" i="18"/>
  <c r="AT38" i="18"/>
  <c r="AU50" i="18"/>
  <c r="AU38" i="18"/>
  <c r="AV50" i="18"/>
  <c r="AV38" i="18"/>
  <c r="AW50" i="18"/>
  <c r="AW38" i="18"/>
  <c r="AX50" i="18"/>
  <c r="AX38" i="18"/>
  <c r="AY50" i="18"/>
  <c r="AY38" i="18"/>
  <c r="AZ50" i="18"/>
  <c r="AZ38" i="18"/>
  <c r="BA50" i="18"/>
  <c r="BA38" i="18"/>
  <c r="BB50" i="18"/>
  <c r="BB38" i="18"/>
  <c r="BC50" i="18"/>
  <c r="BC38" i="18"/>
  <c r="BD50" i="18"/>
  <c r="BD38" i="18"/>
  <c r="BE50" i="18"/>
  <c r="BE38" i="18"/>
  <c r="BF50" i="18"/>
  <c r="BF38" i="18"/>
  <c r="BG50" i="18"/>
  <c r="BG38" i="18"/>
  <c r="BH50" i="18"/>
  <c r="BH38" i="18"/>
  <c r="BI50" i="18"/>
  <c r="BI38" i="18"/>
  <c r="BJ50" i="18"/>
  <c r="BJ38" i="18"/>
  <c r="BL50" i="18"/>
  <c r="BL38" i="18"/>
  <c r="BM50" i="18"/>
  <c r="BM38" i="18"/>
  <c r="BO50" i="18"/>
  <c r="BO38" i="18"/>
  <c r="BP50" i="18"/>
  <c r="BP38" i="18"/>
  <c r="BR50" i="18"/>
  <c r="BR38" i="18"/>
  <c r="BS50" i="18"/>
  <c r="BS38" i="18"/>
  <c r="BU50" i="18"/>
  <c r="BU38" i="18"/>
  <c r="BV50" i="18"/>
  <c r="BV38" i="18"/>
  <c r="BX50" i="18"/>
  <c r="BX38" i="18"/>
  <c r="BY50" i="18"/>
  <c r="BY38" i="18"/>
  <c r="CA50" i="18"/>
  <c r="CA38" i="18"/>
  <c r="CB50" i="18"/>
  <c r="CB38" i="18"/>
  <c r="CD50" i="18"/>
  <c r="CD38" i="18"/>
  <c r="CE50" i="18"/>
  <c r="CE38" i="18"/>
  <c r="CG50" i="18"/>
  <c r="CG38" i="18"/>
  <c r="CH50" i="18"/>
  <c r="CH38" i="18"/>
  <c r="CJ50" i="18"/>
  <c r="CJ38" i="18"/>
  <c r="CK50" i="18"/>
  <c r="CK38" i="18"/>
  <c r="CM50" i="18"/>
  <c r="CM38" i="18"/>
  <c r="CN50" i="18"/>
  <c r="CN38" i="18"/>
  <c r="CP50" i="18"/>
  <c r="CP38" i="18"/>
  <c r="CQ50" i="18"/>
  <c r="CQ38" i="18"/>
  <c r="CS50" i="18"/>
  <c r="CS38" i="18"/>
  <c r="CT50" i="18"/>
  <c r="CT38" i="18"/>
  <c r="EB39" i="7"/>
  <c r="EG43" i="7"/>
  <c r="DY43" i="7"/>
  <c r="V31" i="18"/>
  <c r="N31" i="18"/>
  <c r="EP3" i="14"/>
  <c r="EH3" i="14"/>
  <c r="EF158" i="7"/>
  <c r="DX158" i="7"/>
  <c r="EC157" i="7"/>
  <c r="EP10" i="14"/>
  <c r="EH10" i="14"/>
  <c r="EI46" i="7"/>
  <c r="EA46" i="7"/>
  <c r="EC50" i="7"/>
  <c r="EK133" i="18"/>
  <c r="EK57" i="18"/>
  <c r="EK86" i="18"/>
  <c r="EK178" i="18"/>
  <c r="EN30" i="7"/>
  <c r="EF30" i="7"/>
  <c r="DX30" i="7"/>
  <c r="EK29" i="7"/>
  <c r="EC29" i="7"/>
  <c r="EE37" i="7"/>
  <c r="DW37" i="7"/>
  <c r="EB36" i="7"/>
  <c r="CE28" i="18"/>
  <c r="BO28" i="18"/>
  <c r="BG28" i="18"/>
  <c r="AY28" i="18"/>
  <c r="AQ28" i="18"/>
  <c r="ED37" i="7"/>
  <c r="EA36" i="7"/>
  <c r="EC39" i="7"/>
  <c r="EH43" i="7"/>
  <c r="DZ43" i="7"/>
  <c r="EJ46" i="7"/>
  <c r="EB46" i="7"/>
  <c r="ED50" i="7"/>
  <c r="EF54" i="7"/>
  <c r="DX54" i="7"/>
  <c r="EK71" i="7"/>
  <c r="EC71" i="7"/>
  <c r="EH70" i="7"/>
  <c r="DZ70" i="7"/>
  <c r="EE73" i="7"/>
  <c r="DW73" i="7"/>
  <c r="EB72" i="7"/>
  <c r="EG78" i="7"/>
  <c r="DY78" i="7"/>
  <c r="ED77" i="7"/>
  <c r="EA76" i="7"/>
  <c r="EF75" i="7"/>
  <c r="DX75" i="7"/>
  <c r="EC84" i="7"/>
  <c r="EH83" i="7"/>
  <c r="DZ83" i="7"/>
  <c r="EE82" i="7"/>
  <c r="DW82" i="7"/>
  <c r="EB88" i="7"/>
  <c r="EG87" i="7"/>
  <c r="DY87" i="7"/>
  <c r="ED86" i="7"/>
  <c r="EA85" i="7"/>
  <c r="EF90" i="7"/>
  <c r="DX90" i="7"/>
  <c r="DX107" i="7"/>
  <c r="DW110" i="7"/>
  <c r="EB109" i="7"/>
  <c r="EL136" i="7"/>
  <c r="ED136" i="7"/>
  <c r="EC147" i="7"/>
  <c r="EH150" i="7"/>
  <c r="DZ150" i="7"/>
  <c r="EN27" i="14"/>
  <c r="EF27" i="14"/>
  <c r="EV30" i="14"/>
  <c r="EN30" i="14"/>
  <c r="EF30" i="14"/>
  <c r="EN29" i="14"/>
  <c r="EF29" i="14"/>
  <c r="EA109" i="7"/>
  <c r="EK136" i="7"/>
  <c r="EC136" i="7"/>
  <c r="EB147" i="7"/>
  <c r="EM3" i="14"/>
  <c r="EM5" i="14"/>
  <c r="EU30" i="14"/>
  <c r="EM30" i="14"/>
  <c r="EM29" i="14"/>
  <c r="EH37" i="7"/>
  <c r="DZ37" i="7"/>
  <c r="EE36" i="7"/>
  <c r="DW36" i="7"/>
  <c r="EG39" i="7"/>
  <c r="DY39" i="7"/>
  <c r="ED43" i="7"/>
  <c r="EN46" i="7"/>
  <c r="EF46" i="7"/>
  <c r="DX46" i="7"/>
  <c r="EH50" i="7"/>
  <c r="DZ50" i="7"/>
  <c r="EB54" i="7"/>
  <c r="EO71" i="7"/>
  <c r="EG71" i="7"/>
  <c r="DY71" i="7"/>
  <c r="ED70" i="7"/>
  <c r="EA73" i="7"/>
  <c r="EF72" i="7"/>
  <c r="DX72" i="7"/>
  <c r="EC78" i="7"/>
  <c r="EH77" i="7"/>
  <c r="DZ77" i="7"/>
  <c r="EE76" i="7"/>
  <c r="DW76" i="7"/>
  <c r="EB75" i="7"/>
  <c r="EG84" i="7"/>
  <c r="DY84" i="7"/>
  <c r="ED83" i="7"/>
  <c r="EA82" i="7"/>
  <c r="EF88" i="7"/>
  <c r="DX88" i="7"/>
  <c r="EC87" i="7"/>
  <c r="EH86" i="7"/>
  <c r="DZ86" i="7"/>
  <c r="EE85" i="7"/>
  <c r="DW85" i="7"/>
  <c r="EB90" i="7"/>
  <c r="DY106" i="7"/>
  <c r="EA110" i="7"/>
  <c r="EF109" i="7"/>
  <c r="DX109" i="7"/>
  <c r="EP136" i="7"/>
  <c r="EH136" i="7"/>
  <c r="DZ136" i="7"/>
  <c r="EG147" i="7"/>
  <c r="DY147" i="7"/>
  <c r="ED158" i="7"/>
  <c r="EA157" i="7"/>
  <c r="EJ39" i="14"/>
  <c r="ED39" i="7"/>
  <c r="EA43" i="7"/>
  <c r="EK46" i="7"/>
  <c r="EC46" i="7"/>
  <c r="EE50" i="7"/>
  <c r="DW50" i="7"/>
  <c r="EG54" i="7"/>
  <c r="DY54" i="7"/>
  <c r="EL71" i="7"/>
  <c r="ED71" i="7"/>
  <c r="DX110" i="7"/>
  <c r="EC109" i="7"/>
  <c r="EM136" i="7"/>
  <c r="EE136" i="7"/>
  <c r="DW136" i="7"/>
  <c r="ED147" i="7"/>
  <c r="EA150" i="7"/>
  <c r="EA158" i="7"/>
  <c r="EF157" i="7"/>
  <c r="DX157" i="7"/>
  <c r="EG3" i="14"/>
  <c r="EG10" i="14"/>
  <c r="EW30" i="14"/>
  <c r="EG30" i="14"/>
  <c r="EG29" i="14"/>
  <c r="EG39" i="14"/>
  <c r="ED24" i="7"/>
  <c r="CM28" i="18"/>
  <c r="BZ50" i="18"/>
  <c r="EB40" i="7"/>
  <c r="EN58" i="18"/>
  <c r="EE55" i="7"/>
  <c r="EF58" i="18"/>
  <c r="DW55" i="7"/>
  <c r="BZ83" i="15"/>
  <c r="EB107" i="7"/>
  <c r="CO82" i="15"/>
  <c r="EP82" i="15" s="1"/>
  <c r="EG106" i="7"/>
  <c r="CC84" i="15"/>
  <c r="EL84" i="15" s="1"/>
  <c r="EC108" i="7"/>
  <c r="BQ123" i="11"/>
  <c r="EJ138" i="7"/>
  <c r="AS123" i="11"/>
  <c r="EB138" i="7"/>
  <c r="ED150" i="7"/>
  <c r="CO50" i="18"/>
  <c r="EG40" i="7"/>
  <c r="BQ50" i="18"/>
  <c r="DY40" i="7"/>
  <c r="EK58" i="18"/>
  <c r="EB55" i="7"/>
  <c r="EA70" i="7"/>
  <c r="EF73" i="7"/>
  <c r="DX73" i="7"/>
  <c r="EC72" i="7"/>
  <c r="EH78" i="7"/>
  <c r="DZ78" i="7"/>
  <c r="EE77" i="7"/>
  <c r="DW77" i="7"/>
  <c r="EB76" i="7"/>
  <c r="EG75" i="7"/>
  <c r="DY75" i="7"/>
  <c r="ED84" i="7"/>
  <c r="EA83" i="7"/>
  <c r="EF82" i="7"/>
  <c r="DX82" i="7"/>
  <c r="EC88" i="7"/>
  <c r="EH87" i="7"/>
  <c r="DZ87" i="7"/>
  <c r="EE86" i="7"/>
  <c r="DW86" i="7"/>
  <c r="EB85" i="7"/>
  <c r="EG90" i="7"/>
  <c r="DY90" i="7"/>
  <c r="CO83" i="15"/>
  <c r="EP83" i="15" s="1"/>
  <c r="EG107" i="7"/>
  <c r="DY107" i="7"/>
  <c r="CF82" i="15"/>
  <c r="EM82" i="15" s="1"/>
  <c r="ED106" i="7"/>
  <c r="CL86" i="15"/>
  <c r="CL132" i="18" s="1"/>
  <c r="EO132" i="18" s="1"/>
  <c r="EF110" i="7"/>
  <c r="CR84" i="15"/>
  <c r="EQ84" i="15" s="1"/>
  <c r="EH108" i="7"/>
  <c r="BT84" i="15"/>
  <c r="EI84" i="15" s="1"/>
  <c r="DZ108" i="7"/>
  <c r="CF123" i="11"/>
  <c r="EO138" i="7"/>
  <c r="BH123" i="11"/>
  <c r="EG138" i="7"/>
  <c r="AJ123" i="11"/>
  <c r="DY138" i="7"/>
  <c r="EH5" i="7"/>
  <c r="DZ5" i="7"/>
  <c r="ED8" i="7"/>
  <c r="EA7" i="7"/>
  <c r="EC16" i="7"/>
  <c r="EP20" i="7"/>
  <c r="DZ20" i="7"/>
  <c r="DW19" i="7"/>
  <c r="EB37" i="7"/>
  <c r="EG36" i="7"/>
  <c r="DY36" i="7"/>
  <c r="CF50" i="18"/>
  <c r="ED40" i="7"/>
  <c r="EA39" i="7"/>
  <c r="EF43" i="7"/>
  <c r="DX43" i="7"/>
  <c r="EP46" i="7"/>
  <c r="EH46" i="7"/>
  <c r="DZ46" i="7"/>
  <c r="EB50" i="7"/>
  <c r="EP58" i="18"/>
  <c r="EG55" i="7"/>
  <c r="EH58" i="18"/>
  <c r="DY55" i="7"/>
  <c r="ED54" i="7"/>
  <c r="EI71" i="7"/>
  <c r="EA71" i="7"/>
  <c r="EF70" i="7"/>
  <c r="DX70" i="7"/>
  <c r="EC73" i="7"/>
  <c r="EH72" i="7"/>
  <c r="DZ72" i="7"/>
  <c r="EE78" i="7"/>
  <c r="DW78" i="7"/>
  <c r="EB77" i="7"/>
  <c r="EG76" i="7"/>
  <c r="DY76" i="7"/>
  <c r="ED75" i="7"/>
  <c r="EA84" i="7"/>
  <c r="EF83" i="7"/>
  <c r="DX83" i="7"/>
  <c r="EC82" i="7"/>
  <c r="EH88" i="7"/>
  <c r="DZ88" i="7"/>
  <c r="EE87" i="7"/>
  <c r="DW87" i="7"/>
  <c r="EB86" i="7"/>
  <c r="EG85" i="7"/>
  <c r="DY85" i="7"/>
  <c r="ED90" i="7"/>
  <c r="CF83" i="15"/>
  <c r="EM83" i="15" s="1"/>
  <c r="ED107" i="7"/>
  <c r="EA106" i="7"/>
  <c r="CC86" i="15"/>
  <c r="EC110" i="7"/>
  <c r="EH109" i="7"/>
  <c r="DZ109" i="7"/>
  <c r="CI84" i="15"/>
  <c r="EN84" i="15" s="1"/>
  <c r="EE108" i="7"/>
  <c r="BK84" i="15"/>
  <c r="EF84" i="15" s="1"/>
  <c r="DW108" i="7"/>
  <c r="EJ136" i="7"/>
  <c r="EB136" i="7"/>
  <c r="BW123" i="11"/>
  <c r="EL138" i="7"/>
  <c r="AY123" i="11"/>
  <c r="ED138" i="7"/>
  <c r="EA147" i="7"/>
  <c r="EF150" i="7"/>
  <c r="DX150" i="7"/>
  <c r="DW4" i="7"/>
  <c r="EB13" i="7"/>
  <c r="EB33" i="7" s="1"/>
  <c r="EG12" i="7"/>
  <c r="EF17" i="7"/>
  <c r="EG37" i="7"/>
  <c r="DY37" i="7"/>
  <c r="ED36" i="7"/>
  <c r="BW50" i="18"/>
  <c r="EA40" i="7"/>
  <c r="EF39" i="7"/>
  <c r="DX39" i="7"/>
  <c r="EC43" i="7"/>
  <c r="EM46" i="7"/>
  <c r="EE46" i="7"/>
  <c r="DW46" i="7"/>
  <c r="EG50" i="7"/>
  <c r="DY50" i="7"/>
  <c r="EM58" i="18"/>
  <c r="ED55" i="7"/>
  <c r="EA54" i="7"/>
  <c r="EN71" i="7"/>
  <c r="EF71" i="7"/>
  <c r="DX71" i="7"/>
  <c r="EC70" i="7"/>
  <c r="EH73" i="7"/>
  <c r="DZ73" i="7"/>
  <c r="EE72" i="7"/>
  <c r="DW72" i="7"/>
  <c r="EB78" i="7"/>
  <c r="EG77" i="7"/>
  <c r="DY77" i="7"/>
  <c r="ED76" i="7"/>
  <c r="EA75" i="7"/>
  <c r="EF84" i="7"/>
  <c r="DX84" i="7"/>
  <c r="EC83" i="7"/>
  <c r="EH82" i="7"/>
  <c r="DZ82" i="7"/>
  <c r="EE88" i="7"/>
  <c r="DW88" i="7"/>
  <c r="EB87" i="7"/>
  <c r="EG86" i="7"/>
  <c r="DY86" i="7"/>
  <c r="ED85" i="7"/>
  <c r="EA90" i="7"/>
  <c r="EA107" i="7"/>
  <c r="CL82" i="15"/>
  <c r="EF106" i="7"/>
  <c r="DX106" i="7"/>
  <c r="CR86" i="15"/>
  <c r="EH110" i="7"/>
  <c r="DZ110" i="7"/>
  <c r="EE109" i="7"/>
  <c r="DW109" i="7"/>
  <c r="BZ84" i="15"/>
  <c r="EB108" i="7"/>
  <c r="EO136" i="7"/>
  <c r="EG136" i="7"/>
  <c r="DY136" i="7"/>
  <c r="BN123" i="11"/>
  <c r="EI138" i="7"/>
  <c r="AP123" i="11"/>
  <c r="EA138" i="7"/>
  <c r="EF147" i="7"/>
  <c r="DX147" i="7"/>
  <c r="EC150" i="7"/>
  <c r="EC158" i="7"/>
  <c r="EH157" i="7"/>
  <c r="DZ157" i="7"/>
  <c r="CL50" i="18"/>
  <c r="EF40" i="7"/>
  <c r="BN50" i="18"/>
  <c r="DX40" i="7"/>
  <c r="CC82" i="15"/>
  <c r="EL82" i="15" s="1"/>
  <c r="EC106" i="7"/>
  <c r="CI86" i="15"/>
  <c r="EE110" i="7"/>
  <c r="CO84" i="15"/>
  <c r="EP84" i="15" s="1"/>
  <c r="EG108" i="7"/>
  <c r="BQ84" i="15"/>
  <c r="EH84" i="15" s="1"/>
  <c r="DY108" i="7"/>
  <c r="CC123" i="11"/>
  <c r="EN138" i="7"/>
  <c r="BE123" i="11"/>
  <c r="EF138" i="7"/>
  <c r="AG123" i="11"/>
  <c r="DX138" i="7"/>
  <c r="EH158" i="7"/>
  <c r="DZ158" i="7"/>
  <c r="EE157" i="7"/>
  <c r="DW157" i="7"/>
  <c r="EP5" i="7"/>
  <c r="CL83" i="15"/>
  <c r="EF107" i="7"/>
  <c r="EA37" i="7"/>
  <c r="EF36" i="7"/>
  <c r="DX36" i="7"/>
  <c r="CC50" i="18"/>
  <c r="EC40" i="7"/>
  <c r="EH39" i="7"/>
  <c r="DZ39" i="7"/>
  <c r="EE43" i="7"/>
  <c r="DW43" i="7"/>
  <c r="EO46" i="7"/>
  <c r="EG46" i="7"/>
  <c r="DY46" i="7"/>
  <c r="EA50" i="7"/>
  <c r="EO58" i="18"/>
  <c r="EF55" i="7"/>
  <c r="EG58" i="18"/>
  <c r="DX55" i="7"/>
  <c r="EC54" i="7"/>
  <c r="EP71" i="7"/>
  <c r="EH71" i="7"/>
  <c r="DZ71" i="7"/>
  <c r="EE70" i="7"/>
  <c r="DW70" i="7"/>
  <c r="EB73" i="7"/>
  <c r="EG72" i="7"/>
  <c r="DY72" i="7"/>
  <c r="ED78" i="7"/>
  <c r="EA77" i="7"/>
  <c r="EF76" i="7"/>
  <c r="DX76" i="7"/>
  <c r="EC75" i="7"/>
  <c r="EH84" i="7"/>
  <c r="DZ84" i="7"/>
  <c r="EE83" i="7"/>
  <c r="DW83" i="7"/>
  <c r="EB82" i="7"/>
  <c r="EG88" i="7"/>
  <c r="DY88" i="7"/>
  <c r="ED87" i="7"/>
  <c r="EA86" i="7"/>
  <c r="EF85" i="7"/>
  <c r="DX85" i="7"/>
  <c r="EC90" i="7"/>
  <c r="CC83" i="15"/>
  <c r="EL83" i="15" s="1"/>
  <c r="EC107" i="7"/>
  <c r="CR82" i="15"/>
  <c r="EQ82" i="15" s="1"/>
  <c r="EH106" i="7"/>
  <c r="DZ106" i="7"/>
  <c r="BZ86" i="15"/>
  <c r="BZ132" i="18" s="1"/>
  <c r="EK132" i="18" s="1"/>
  <c r="EB110" i="7"/>
  <c r="EG109" i="7"/>
  <c r="DY109" i="7"/>
  <c r="CF84" i="15"/>
  <c r="EM84" i="15" s="1"/>
  <c r="ED108" i="7"/>
  <c r="EI136" i="7"/>
  <c r="EA136" i="7"/>
  <c r="BT123" i="11"/>
  <c r="EK138" i="7"/>
  <c r="AV123" i="11"/>
  <c r="EC138" i="7"/>
  <c r="EH147" i="7"/>
  <c r="DZ147" i="7"/>
  <c r="EE150" i="7"/>
  <c r="DW150" i="7"/>
  <c r="EE158" i="7"/>
  <c r="DW158" i="7"/>
  <c r="EB157" i="7"/>
  <c r="EE4" i="7"/>
  <c r="EJ13" i="7"/>
  <c r="DY12" i="7"/>
  <c r="EN17" i="7"/>
  <c r="DX17" i="7"/>
  <c r="EH20" i="7"/>
  <c r="EE19" i="7"/>
  <c r="EJ58" i="18"/>
  <c r="EA55" i="7"/>
  <c r="EF37" i="7"/>
  <c r="DX37" i="7"/>
  <c r="EC36" i="7"/>
  <c r="CR50" i="18"/>
  <c r="EH40" i="7"/>
  <c r="BT50" i="18"/>
  <c r="DZ40" i="7"/>
  <c r="EE39" i="7"/>
  <c r="DW39" i="7"/>
  <c r="EB43" i="7"/>
  <c r="EL46" i="7"/>
  <c r="ED46" i="7"/>
  <c r="EF50" i="7"/>
  <c r="DX50" i="7"/>
  <c r="EL58" i="18"/>
  <c r="EC55" i="7"/>
  <c r="EH54" i="7"/>
  <c r="DZ54" i="7"/>
  <c r="EM71" i="7"/>
  <c r="EE71" i="7"/>
  <c r="DW71" i="7"/>
  <c r="EB70" i="7"/>
  <c r="EG73" i="7"/>
  <c r="DY73" i="7"/>
  <c r="ED72" i="7"/>
  <c r="EA78" i="7"/>
  <c r="EF77" i="7"/>
  <c r="DX77" i="7"/>
  <c r="EC76" i="7"/>
  <c r="EH75" i="7"/>
  <c r="DZ75" i="7"/>
  <c r="EE84" i="7"/>
  <c r="DW84" i="7"/>
  <c r="EB83" i="7"/>
  <c r="EG82" i="7"/>
  <c r="DY82" i="7"/>
  <c r="ED88" i="7"/>
  <c r="EA87" i="7"/>
  <c r="EF86" i="7"/>
  <c r="DX86" i="7"/>
  <c r="EC85" i="7"/>
  <c r="EH90" i="7"/>
  <c r="DZ90" i="7"/>
  <c r="CR83" i="15"/>
  <c r="EQ83" i="15" s="1"/>
  <c r="EH107" i="7"/>
  <c r="DZ107" i="7"/>
  <c r="CI82" i="15"/>
  <c r="EN82" i="15" s="1"/>
  <c r="EE106" i="7"/>
  <c r="DW106" i="7"/>
  <c r="CO86" i="15"/>
  <c r="EG110" i="7"/>
  <c r="DY110" i="7"/>
  <c r="ED109" i="7"/>
  <c r="BW84" i="15"/>
  <c r="EJ84" i="15" s="1"/>
  <c r="EA108" i="7"/>
  <c r="EN136" i="7"/>
  <c r="EF136" i="7"/>
  <c r="DX136" i="7"/>
  <c r="CI123" i="11"/>
  <c r="EP138" i="7"/>
  <c r="BK123" i="11"/>
  <c r="EH138" i="7"/>
  <c r="AM123" i="11"/>
  <c r="DZ138" i="7"/>
  <c r="EE147" i="7"/>
  <c r="DW147" i="7"/>
  <c r="EB150" i="7"/>
  <c r="EB158" i="7"/>
  <c r="EG157" i="7"/>
  <c r="DY157" i="7"/>
  <c r="EC37" i="7"/>
  <c r="EH36" i="7"/>
  <c r="DZ36" i="7"/>
  <c r="CI50" i="18"/>
  <c r="EE40" i="7"/>
  <c r="BK50" i="18"/>
  <c r="DW40" i="7"/>
  <c r="EQ58" i="18"/>
  <c r="EH55" i="7"/>
  <c r="EI58" i="18"/>
  <c r="DZ55" i="7"/>
  <c r="EE54" i="7"/>
  <c r="DW54" i="7"/>
  <c r="EJ71" i="7"/>
  <c r="EB71" i="7"/>
  <c r="EG70" i="7"/>
  <c r="DY70" i="7"/>
  <c r="ED73" i="7"/>
  <c r="EA72" i="7"/>
  <c r="EF78" i="7"/>
  <c r="DX78" i="7"/>
  <c r="EC77" i="7"/>
  <c r="EH76" i="7"/>
  <c r="DZ76" i="7"/>
  <c r="EE75" i="7"/>
  <c r="DW75" i="7"/>
  <c r="EB84" i="7"/>
  <c r="EG83" i="7"/>
  <c r="DY83" i="7"/>
  <c r="ED82" i="7"/>
  <c r="EA88" i="7"/>
  <c r="EF87" i="7"/>
  <c r="DX87" i="7"/>
  <c r="EC86" i="7"/>
  <c r="EH85" i="7"/>
  <c r="DZ85" i="7"/>
  <c r="EE90" i="7"/>
  <c r="DW90" i="7"/>
  <c r="CI83" i="15"/>
  <c r="EN83" i="15" s="1"/>
  <c r="EE107" i="7"/>
  <c r="DW107" i="7"/>
  <c r="BZ82" i="15"/>
  <c r="EB106" i="7"/>
  <c r="CF86" i="15"/>
  <c r="ED110" i="7"/>
  <c r="CL84" i="15"/>
  <c r="EF108" i="7"/>
  <c r="BN84" i="15"/>
  <c r="EG84" i="15" s="1"/>
  <c r="DX108" i="7"/>
  <c r="BZ123" i="11"/>
  <c r="EM138" i="7"/>
  <c r="BB123" i="11"/>
  <c r="EE138" i="7"/>
  <c r="AD123" i="11"/>
  <c r="DW138" i="7"/>
  <c r="EG150" i="7"/>
  <c r="DY150" i="7"/>
  <c r="EG158" i="7"/>
  <c r="DY158" i="7"/>
  <c r="ED157" i="7"/>
  <c r="EN5" i="7"/>
  <c r="EF5" i="7"/>
  <c r="DX5" i="7"/>
  <c r="EC4" i="7"/>
  <c r="EP13" i="7"/>
  <c r="EH13" i="7"/>
  <c r="EH33" i="7" s="1"/>
  <c r="DZ13" i="7"/>
  <c r="DZ33" i="7" s="1"/>
  <c r="EE12" i="7"/>
  <c r="DW12" i="7"/>
  <c r="EB8" i="7"/>
  <c r="EG7" i="7"/>
  <c r="DY7" i="7"/>
  <c r="EL17" i="7"/>
  <c r="ED17" i="7"/>
  <c r="EA16" i="7"/>
  <c r="EN20" i="7"/>
  <c r="EF20" i="7"/>
  <c r="DX20" i="7"/>
  <c r="EC19" i="7"/>
  <c r="EH27" i="7"/>
  <c r="DZ27" i="7"/>
  <c r="EG24" i="7"/>
  <c r="DY24" i="7"/>
  <c r="EI30" i="7"/>
  <c r="EA30" i="7"/>
  <c r="EN29" i="7"/>
  <c r="EF29" i="7"/>
  <c r="DX29" i="7"/>
  <c r="EK5" i="7"/>
  <c r="EC5" i="7"/>
  <c r="EH4" i="7"/>
  <c r="DZ4" i="7"/>
  <c r="EM13" i="7"/>
  <c r="EK30" i="7"/>
  <c r="EC30" i="7"/>
  <c r="EP29" i="7"/>
  <c r="EH29" i="7"/>
  <c r="DZ29" i="7"/>
  <c r="EE30" i="7"/>
  <c r="EB27" i="7"/>
  <c r="CO30" i="18"/>
  <c r="EP30" i="18" s="1"/>
  <c r="EG26" i="7"/>
  <c r="CI30" i="18"/>
  <c r="EN30" i="18" s="1"/>
  <c r="EE26" i="7"/>
  <c r="BK30" i="18"/>
  <c r="EF30" i="18" s="1"/>
  <c r="DW26" i="7"/>
  <c r="BZ29" i="18"/>
  <c r="EK29" i="18" s="1"/>
  <c r="EB25" i="7"/>
  <c r="AY25" i="11"/>
  <c r="AY23" i="11" s="1"/>
  <c r="ED23" i="7"/>
  <c r="EE13" i="7"/>
  <c r="EE33" i="7" s="1"/>
  <c r="DW13" i="7"/>
  <c r="DW33" i="7" s="1"/>
  <c r="EB12" i="7"/>
  <c r="EG8" i="7"/>
  <c r="DY8" i="7"/>
  <c r="ED7" i="7"/>
  <c r="EI17" i="7"/>
  <c r="EA17" i="7"/>
  <c r="EF16" i="7"/>
  <c r="DX16" i="7"/>
  <c r="EK20" i="7"/>
  <c r="EC20" i="7"/>
  <c r="EH19" i="7"/>
  <c r="DZ19" i="7"/>
  <c r="EE27" i="7"/>
  <c r="DW27" i="7"/>
  <c r="BZ30" i="18"/>
  <c r="EK30" i="18" s="1"/>
  <c r="EB26" i="7"/>
  <c r="CO29" i="18"/>
  <c r="EP29" i="18" s="1"/>
  <c r="EG25" i="7"/>
  <c r="BQ29" i="18"/>
  <c r="EH29" i="18" s="1"/>
  <c r="DY25" i="7"/>
  <c r="AP25" i="11"/>
  <c r="EA23" i="7"/>
  <c r="AG25" i="11"/>
  <c r="DX23" i="7"/>
  <c r="BW28" i="18"/>
  <c r="EA24" i="7"/>
  <c r="BE25" i="11"/>
  <c r="BE23" i="11" s="1"/>
  <c r="EF23" i="7"/>
  <c r="EM5" i="7"/>
  <c r="EE5" i="7"/>
  <c r="DW5" i="7"/>
  <c r="EB4" i="7"/>
  <c r="EO13" i="7"/>
  <c r="EG13" i="7"/>
  <c r="EG33" i="7" s="1"/>
  <c r="DY13" i="7"/>
  <c r="DY33" i="7" s="1"/>
  <c r="ED12" i="7"/>
  <c r="EA8" i="7"/>
  <c r="EF7" i="7"/>
  <c r="DX7" i="7"/>
  <c r="EK17" i="7"/>
  <c r="EC17" i="7"/>
  <c r="EH16" i="7"/>
  <c r="DZ16" i="7"/>
  <c r="EM20" i="7"/>
  <c r="EE20" i="7"/>
  <c r="DW20" i="7"/>
  <c r="EB19" i="7"/>
  <c r="EG27" i="7"/>
  <c r="DY27" i="7"/>
  <c r="CF30" i="18"/>
  <c r="EM30" i="18" s="1"/>
  <c r="ED26" i="7"/>
  <c r="BW29" i="18"/>
  <c r="EJ29" i="18" s="1"/>
  <c r="EA25" i="7"/>
  <c r="EF24" i="7"/>
  <c r="DX24" i="7"/>
  <c r="AV25" i="11"/>
  <c r="EC23" i="7"/>
  <c r="EP30" i="7"/>
  <c r="EH30" i="7"/>
  <c r="DZ30" i="7"/>
  <c r="EM29" i="7"/>
  <c r="EE29" i="7"/>
  <c r="DW29" i="7"/>
  <c r="CL29" i="18"/>
  <c r="EO29" i="18" s="1"/>
  <c r="EF25" i="7"/>
  <c r="CF29" i="18"/>
  <c r="EM29" i="18" s="1"/>
  <c r="ED25" i="7"/>
  <c r="EG4" i="7"/>
  <c r="EC7" i="7"/>
  <c r="EC24" i="7"/>
  <c r="BK25" i="11"/>
  <c r="EH23" i="7"/>
  <c r="AM25" i="11"/>
  <c r="AM23" i="11" s="1"/>
  <c r="DZ23" i="7"/>
  <c r="EM30" i="7"/>
  <c r="DW30" i="7"/>
  <c r="EJ29" i="7"/>
  <c r="EB29" i="7"/>
  <c r="EA27" i="7"/>
  <c r="CL30" i="18"/>
  <c r="EO30" i="18" s="1"/>
  <c r="EF26" i="7"/>
  <c r="BN30" i="18"/>
  <c r="EG30" i="18" s="1"/>
  <c r="DX26" i="7"/>
  <c r="CC29" i="18"/>
  <c r="EL29" i="18" s="1"/>
  <c r="EC25" i="7"/>
  <c r="EH24" i="7"/>
  <c r="DZ24" i="7"/>
  <c r="BB25" i="11"/>
  <c r="BB23" i="11" s="1"/>
  <c r="EE23" i="7"/>
  <c r="AD25" i="11"/>
  <c r="AD23" i="11" s="1"/>
  <c r="DW23" i="7"/>
  <c r="EJ30" i="7"/>
  <c r="EB30" i="7"/>
  <c r="EO29" i="7"/>
  <c r="EG29" i="7"/>
  <c r="DY29" i="7"/>
  <c r="BQ30" i="18"/>
  <c r="EH30" i="18" s="1"/>
  <c r="DY26" i="7"/>
  <c r="EJ5" i="7"/>
  <c r="DY4" i="7"/>
  <c r="ED13" i="7"/>
  <c r="ED33" i="7" s="1"/>
  <c r="EA12" i="7"/>
  <c r="DX8" i="7"/>
  <c r="EP17" i="7"/>
  <c r="DW16" i="7"/>
  <c r="EJ20" i="7"/>
  <c r="EB20" i="7"/>
  <c r="EG19" i="7"/>
  <c r="DY19" i="7"/>
  <c r="ED27" i="7"/>
  <c r="BW30" i="18"/>
  <c r="EJ30" i="18" s="1"/>
  <c r="EA26" i="7"/>
  <c r="BN29" i="18"/>
  <c r="EG29" i="18" s="1"/>
  <c r="DX25" i="7"/>
  <c r="EO5" i="7"/>
  <c r="EG5" i="7"/>
  <c r="DY5" i="7"/>
  <c r="ED4" i="7"/>
  <c r="EI13" i="7"/>
  <c r="EA13" i="7"/>
  <c r="EA33" i="7" s="1"/>
  <c r="EF12" i="7"/>
  <c r="DX12" i="7"/>
  <c r="EC8" i="7"/>
  <c r="EH7" i="7"/>
  <c r="DZ7" i="7"/>
  <c r="EM17" i="7"/>
  <c r="EE17" i="7"/>
  <c r="DW17" i="7"/>
  <c r="EB16" i="7"/>
  <c r="EO20" i="7"/>
  <c r="EG20" i="7"/>
  <c r="DY20" i="7"/>
  <c r="ED19" i="7"/>
  <c r="EL5" i="7"/>
  <c r="ED5" i="7"/>
  <c r="EA4" i="7"/>
  <c r="EN13" i="7"/>
  <c r="EF13" i="7"/>
  <c r="EF33" i="7" s="1"/>
  <c r="DX13" i="7"/>
  <c r="DX33" i="7" s="1"/>
  <c r="EC12" i="7"/>
  <c r="EH8" i="7"/>
  <c r="DZ8" i="7"/>
  <c r="EE7" i="7"/>
  <c r="DW7" i="7"/>
  <c r="EJ17" i="7"/>
  <c r="EB17" i="7"/>
  <c r="DY16" i="7"/>
  <c r="EL20" i="7"/>
  <c r="ED20" i="7"/>
  <c r="EA19" i="7"/>
  <c r="EF27" i="7"/>
  <c r="DX27" i="7"/>
  <c r="AS25" i="11"/>
  <c r="EB23" i="7"/>
  <c r="EO30" i="7"/>
  <c r="EG30" i="7"/>
  <c r="DY30" i="7"/>
  <c r="EL29" i="7"/>
  <c r="ED29" i="7"/>
  <c r="EB5" i="7"/>
  <c r="EL13" i="7"/>
  <c r="EF8" i="7"/>
  <c r="EH17" i="7"/>
  <c r="DZ17" i="7"/>
  <c r="EE16" i="7"/>
  <c r="EG16" i="7"/>
  <c r="CC30" i="18"/>
  <c r="EL30" i="18" s="1"/>
  <c r="EC26" i="7"/>
  <c r="CR29" i="18"/>
  <c r="EQ29" i="18" s="1"/>
  <c r="EH25" i="7"/>
  <c r="BT29" i="18"/>
  <c r="EI29" i="18" s="1"/>
  <c r="DZ25" i="7"/>
  <c r="EE24" i="7"/>
  <c r="DW24" i="7"/>
  <c r="EI5" i="7"/>
  <c r="EA5" i="7"/>
  <c r="EF4" i="7"/>
  <c r="DX4" i="7"/>
  <c r="EK13" i="7"/>
  <c r="EC13" i="7"/>
  <c r="EC33" i="7" s="1"/>
  <c r="EH12" i="7"/>
  <c r="DZ12" i="7"/>
  <c r="EE8" i="7"/>
  <c r="DW8" i="7"/>
  <c r="EB7" i="7"/>
  <c r="EO17" i="7"/>
  <c r="EG17" i="7"/>
  <c r="DY17" i="7"/>
  <c r="ED16" i="7"/>
  <c r="EI20" i="7"/>
  <c r="EA20" i="7"/>
  <c r="EF19" i="7"/>
  <c r="DX19" i="7"/>
  <c r="EC27" i="7"/>
  <c r="CR30" i="18"/>
  <c r="EQ30" i="18" s="1"/>
  <c r="EH26" i="7"/>
  <c r="BT30" i="18"/>
  <c r="EI30" i="18" s="1"/>
  <c r="DZ26" i="7"/>
  <c r="CI29" i="18"/>
  <c r="EE25" i="7"/>
  <c r="BK29" i="18"/>
  <c r="EF29" i="18" s="1"/>
  <c r="DW25" i="7"/>
  <c r="EB24" i="7"/>
  <c r="BH25" i="11"/>
  <c r="EG23" i="7"/>
  <c r="AJ25" i="11"/>
  <c r="AJ23" i="11" s="1"/>
  <c r="DY23" i="7"/>
  <c r="EL30" i="7"/>
  <c r="ED30" i="7"/>
  <c r="EI29" i="7"/>
  <c r="EA29" i="7"/>
  <c r="CF57" i="18"/>
  <c r="EM57" i="18" s="1"/>
  <c r="EM6" i="14"/>
  <c r="EM10" i="14"/>
  <c r="DD86" i="18"/>
  <c r="EU86" i="18" s="1"/>
  <c r="EU17" i="14"/>
  <c r="CF86" i="18"/>
  <c r="EM86" i="18" s="1"/>
  <c r="EM17" i="14"/>
  <c r="EJ3" i="14"/>
  <c r="EJ5" i="14"/>
  <c r="BW57" i="18"/>
  <c r="EJ57" i="18" s="1"/>
  <c r="EJ6" i="14"/>
  <c r="EJ10" i="14"/>
  <c r="CU86" i="18"/>
  <c r="ER86" i="18" s="1"/>
  <c r="ER17" i="14"/>
  <c r="BW86" i="18"/>
  <c r="EJ86" i="18" s="1"/>
  <c r="EJ17" i="14"/>
  <c r="EJ27" i="14"/>
  <c r="ER30" i="14"/>
  <c r="EJ30" i="14"/>
  <c r="EJ29" i="14"/>
  <c r="CU178" i="18"/>
  <c r="ER178" i="18" s="1"/>
  <c r="ER36" i="14"/>
  <c r="BW178" i="18"/>
  <c r="EJ178" i="18" s="1"/>
  <c r="EJ36" i="14"/>
  <c r="EO3" i="14"/>
  <c r="EK3" i="14"/>
  <c r="CL49" i="18"/>
  <c r="EK5" i="14"/>
  <c r="EO5" i="14"/>
  <c r="BN49" i="18"/>
  <c r="EG5" i="14"/>
  <c r="CL57" i="18"/>
  <c r="EO57" i="18" s="1"/>
  <c r="EO6" i="14"/>
  <c r="EK6" i="14"/>
  <c r="BN57" i="18"/>
  <c r="EG57" i="18" s="1"/>
  <c r="EG6" i="14"/>
  <c r="EK10" i="14"/>
  <c r="EO10" i="14"/>
  <c r="DJ86" i="18"/>
  <c r="EW86" i="18" s="1"/>
  <c r="EW17" i="14"/>
  <c r="CL86" i="18"/>
  <c r="EO86" i="18" s="1"/>
  <c r="EK17" i="14"/>
  <c r="EO17" i="14"/>
  <c r="BN86" i="18"/>
  <c r="EG86" i="18" s="1"/>
  <c r="EG17" i="14"/>
  <c r="CL26" i="14"/>
  <c r="EO27" i="14"/>
  <c r="EK27" i="14"/>
  <c r="BN26" i="14"/>
  <c r="EG27" i="14"/>
  <c r="EK30" i="14"/>
  <c r="EO30" i="14"/>
  <c r="EO29" i="14"/>
  <c r="EK29" i="14"/>
  <c r="DJ178" i="18"/>
  <c r="EW178" i="18" s="1"/>
  <c r="EW36" i="14"/>
  <c r="CL178" i="18"/>
  <c r="EO178" i="18" s="1"/>
  <c r="EK36" i="14"/>
  <c r="EO36" i="14"/>
  <c r="BN178" i="18"/>
  <c r="EG178" i="18" s="1"/>
  <c r="EG36" i="14"/>
  <c r="EO39" i="14"/>
  <c r="EK39" i="14"/>
  <c r="EL3" i="14"/>
  <c r="CC49" i="18"/>
  <c r="EL5" i="14"/>
  <c r="CC57" i="18"/>
  <c r="EL57" i="18" s="1"/>
  <c r="EL6" i="14"/>
  <c r="EL10" i="14"/>
  <c r="DA86" i="18"/>
  <c r="ET86" i="18" s="1"/>
  <c r="ET17" i="14"/>
  <c r="CC86" i="18"/>
  <c r="EL86" i="18" s="1"/>
  <c r="EL17" i="14"/>
  <c r="CC26" i="14"/>
  <c r="EL27" i="14"/>
  <c r="ET30" i="14"/>
  <c r="EL30" i="14"/>
  <c r="EL29" i="14"/>
  <c r="DA178" i="18"/>
  <c r="ET178" i="18" s="1"/>
  <c r="ET36" i="14"/>
  <c r="CC178" i="18"/>
  <c r="EL178" i="18" s="1"/>
  <c r="EL36" i="14"/>
  <c r="EL39" i="14"/>
  <c r="EQ10" i="14"/>
  <c r="EI10" i="14"/>
  <c r="DP86" i="18"/>
  <c r="EY86" i="18" s="1"/>
  <c r="EY17" i="14"/>
  <c r="CR86" i="18"/>
  <c r="EQ86" i="18" s="1"/>
  <c r="EQ17" i="14"/>
  <c r="BT86" i="18"/>
  <c r="EI86" i="18" s="1"/>
  <c r="EI17" i="14"/>
  <c r="CR26" i="14"/>
  <c r="EQ27" i="14"/>
  <c r="BT26" i="14"/>
  <c r="EI27" i="14"/>
  <c r="EY30" i="14"/>
  <c r="EQ30" i="14"/>
  <c r="EI30" i="14"/>
  <c r="EQ29" i="14"/>
  <c r="EI29" i="14"/>
  <c r="DP178" i="18"/>
  <c r="EY178" i="18" s="1"/>
  <c r="EY36" i="14"/>
  <c r="CR178" i="18"/>
  <c r="EQ178" i="18" s="1"/>
  <c r="EQ36" i="14"/>
  <c r="BT178" i="18"/>
  <c r="EI178" i="18" s="1"/>
  <c r="EI36" i="14"/>
  <c r="EQ39" i="14"/>
  <c r="EI39" i="14"/>
  <c r="EQ3" i="14"/>
  <c r="EI3" i="14"/>
  <c r="EQ5" i="14"/>
  <c r="EI5" i="14"/>
  <c r="EN3" i="14"/>
  <c r="EF3" i="14"/>
  <c r="EN5" i="14"/>
  <c r="EF5" i="14"/>
  <c r="CI57" i="18"/>
  <c r="EN57" i="18" s="1"/>
  <c r="EN6" i="14"/>
  <c r="BK57" i="18"/>
  <c r="EF57" i="18" s="1"/>
  <c r="EF6" i="14"/>
  <c r="EN10" i="14"/>
  <c r="EF10" i="14"/>
  <c r="DG86" i="18"/>
  <c r="EV86" i="18" s="1"/>
  <c r="EV17" i="14"/>
  <c r="CI86" i="18"/>
  <c r="EN86" i="18" s="1"/>
  <c r="EN17" i="14"/>
  <c r="BK86" i="18"/>
  <c r="EF86" i="18" s="1"/>
  <c r="EF17" i="14"/>
  <c r="DG178" i="18"/>
  <c r="EV178" i="18" s="1"/>
  <c r="EV36" i="14"/>
  <c r="CI178" i="18"/>
  <c r="EN178" i="18" s="1"/>
  <c r="EN36" i="14"/>
  <c r="BK178" i="18"/>
  <c r="EF178" i="18" s="1"/>
  <c r="EF36" i="14"/>
  <c r="EN39" i="14"/>
  <c r="EF39" i="14"/>
  <c r="CR57" i="18"/>
  <c r="EQ57" i="18" s="1"/>
  <c r="EQ6" i="14"/>
  <c r="CX86" i="18"/>
  <c r="ES86" i="18" s="1"/>
  <c r="ES17" i="14"/>
  <c r="ES30" i="14"/>
  <c r="CX178" i="18"/>
  <c r="ES178" i="18" s="1"/>
  <c r="ES36" i="14"/>
  <c r="BT57" i="18"/>
  <c r="EI57" i="18" s="1"/>
  <c r="EI6" i="14"/>
  <c r="CO49" i="18"/>
  <c r="EP5" i="14"/>
  <c r="BQ49" i="18"/>
  <c r="EH5" i="14"/>
  <c r="CO57" i="18"/>
  <c r="EP57" i="18" s="1"/>
  <c r="EP6" i="14"/>
  <c r="BQ57" i="18"/>
  <c r="EH57" i="18" s="1"/>
  <c r="EH6" i="14"/>
  <c r="DM86" i="18"/>
  <c r="EX86" i="18" s="1"/>
  <c r="EX17" i="14"/>
  <c r="CO86" i="18"/>
  <c r="EP86" i="18" s="1"/>
  <c r="EP17" i="14"/>
  <c r="BQ86" i="18"/>
  <c r="EH86" i="18" s="1"/>
  <c r="EH17" i="14"/>
  <c r="CO26" i="14"/>
  <c r="EP27" i="14"/>
  <c r="BQ26" i="14"/>
  <c r="EH27" i="14"/>
  <c r="EX30" i="14"/>
  <c r="EP30" i="14"/>
  <c r="EH30" i="14"/>
  <c r="EP29" i="14"/>
  <c r="EH29" i="14"/>
  <c r="DM178" i="18"/>
  <c r="EX178" i="18" s="1"/>
  <c r="EX36" i="14"/>
  <c r="CO178" i="18"/>
  <c r="EP178" i="18" s="1"/>
  <c r="EP36" i="14"/>
  <c r="BQ178" i="18"/>
  <c r="EH178" i="18" s="1"/>
  <c r="EH36" i="14"/>
  <c r="EP39" i="14"/>
  <c r="EH39" i="14"/>
  <c r="CF26" i="14"/>
  <c r="EM27" i="14"/>
  <c r="DD178" i="18"/>
  <c r="EU178" i="18" s="1"/>
  <c r="EU36" i="14"/>
  <c r="CF178" i="18"/>
  <c r="EM178" i="18" s="1"/>
  <c r="EM36" i="14"/>
  <c r="EM39" i="14"/>
  <c r="AB31" i="18"/>
  <c r="T31" i="18"/>
  <c r="L31" i="18"/>
  <c r="W31" i="18"/>
  <c r="O31" i="18"/>
  <c r="X31" i="18"/>
  <c r="P31" i="18"/>
  <c r="CO28" i="18"/>
  <c r="Y31" i="18"/>
  <c r="Q31" i="18"/>
  <c r="CP28" i="18"/>
  <c r="CH28" i="18"/>
  <c r="BZ28" i="18"/>
  <c r="EK28" i="18" s="1"/>
  <c r="BR28" i="18"/>
  <c r="BJ28" i="18"/>
  <c r="BB28" i="18"/>
  <c r="AT28" i="18"/>
  <c r="AL28" i="18"/>
  <c r="AD28" i="18"/>
  <c r="V28" i="18"/>
  <c r="N28" i="18"/>
  <c r="CG28" i="18"/>
  <c r="BY28" i="18"/>
  <c r="BQ28" i="18"/>
  <c r="EH28" i="18" s="1"/>
  <c r="BI28" i="18"/>
  <c r="BA28" i="18"/>
  <c r="AS28" i="18"/>
  <c r="AK28" i="18"/>
  <c r="AC28" i="18"/>
  <c r="U28" i="18"/>
  <c r="M28" i="18"/>
  <c r="CC28" i="18"/>
  <c r="AK53" i="15"/>
  <c r="AI28" i="18"/>
  <c r="AA28" i="18"/>
  <c r="S28" i="18"/>
  <c r="AH53" i="15"/>
  <c r="Z53" i="15"/>
  <c r="Z51" i="15" s="1"/>
  <c r="Z85" i="18" s="1"/>
  <c r="R53" i="15"/>
  <c r="R51" i="15" s="1"/>
  <c r="R85" i="18" s="1"/>
  <c r="CT28" i="18"/>
  <c r="CL28" i="18"/>
  <c r="CD28" i="18"/>
  <c r="BV28" i="18"/>
  <c r="BN28" i="18"/>
  <c r="BF28" i="18"/>
  <c r="AX28" i="18"/>
  <c r="AP28" i="18"/>
  <c r="AH28" i="18"/>
  <c r="Z28" i="18"/>
  <c r="R28" i="18"/>
  <c r="BE28" i="18"/>
  <c r="AO28" i="18"/>
  <c r="CS28" i="18"/>
  <c r="CK28" i="18"/>
  <c r="BU28" i="18"/>
  <c r="BM28" i="18"/>
  <c r="AW28" i="18"/>
  <c r="AG28" i="18"/>
  <c r="Y28" i="18"/>
  <c r="Q28" i="18"/>
  <c r="AA31" i="18"/>
  <c r="S31" i="18"/>
  <c r="Z31" i="18"/>
  <c r="R31" i="18"/>
  <c r="AC53" i="15"/>
  <c r="U53" i="15"/>
  <c r="U51" i="15" s="1"/>
  <c r="U85" i="18" s="1"/>
  <c r="M53" i="15"/>
  <c r="M51" i="15" s="1"/>
  <c r="M85" i="18" s="1"/>
  <c r="CT53" i="15"/>
  <c r="CL53" i="15"/>
  <c r="CD53" i="15"/>
  <c r="BV53" i="15"/>
  <c r="BN53" i="15"/>
  <c r="BF53" i="15"/>
  <c r="U31" i="18"/>
  <c r="M31" i="18"/>
  <c r="AG53" i="15"/>
  <c r="Y53" i="15"/>
  <c r="Y51" i="15" s="1"/>
  <c r="Y85" i="18" s="1"/>
  <c r="Q53" i="15"/>
  <c r="Q51" i="15" s="1"/>
  <c r="Q85" i="18" s="1"/>
  <c r="AD9" i="11"/>
  <c r="AD4" i="11"/>
  <c r="AR8" i="12"/>
  <c r="AR22" i="12" s="1"/>
  <c r="AR13" i="11"/>
  <c r="AR11" i="11" s="1"/>
  <c r="BL12" i="12"/>
  <c r="BL10" i="12" s="1"/>
  <c r="BL21" i="11"/>
  <c r="BL15" i="11" s="1"/>
  <c r="BL16" i="11"/>
  <c r="BD12" i="12"/>
  <c r="BD10" i="12" s="1"/>
  <c r="BD21" i="11"/>
  <c r="BD15" i="11" s="1"/>
  <c r="BD16" i="11"/>
  <c r="AV12" i="12"/>
  <c r="AV21" i="11"/>
  <c r="AV16" i="11"/>
  <c r="X12" i="12"/>
  <c r="X10" i="12" s="1"/>
  <c r="X21" i="11"/>
  <c r="X15" i="11" s="1"/>
  <c r="X16" i="11"/>
  <c r="P12" i="12"/>
  <c r="P10" i="12" s="1"/>
  <c r="P21" i="11"/>
  <c r="P15" i="11" s="1"/>
  <c r="P16" i="11"/>
  <c r="H12" i="12"/>
  <c r="H10" i="12" s="1"/>
  <c r="H21" i="11"/>
  <c r="H15" i="11" s="1"/>
  <c r="H16" i="11"/>
  <c r="AS9" i="11"/>
  <c r="AS4" i="11"/>
  <c r="M9" i="11"/>
  <c r="M4" i="11"/>
  <c r="AI8" i="12"/>
  <c r="AI22" i="12" s="1"/>
  <c r="AI13" i="11"/>
  <c r="AI11" i="11" s="1"/>
  <c r="S8" i="12"/>
  <c r="S22" i="12" s="1"/>
  <c r="S13" i="11"/>
  <c r="S11" i="11" s="1"/>
  <c r="BC12" i="12"/>
  <c r="BC10" i="12" s="1"/>
  <c r="BC21" i="11"/>
  <c r="BC15" i="11" s="1"/>
  <c r="BC16" i="11"/>
  <c r="AM12" i="12"/>
  <c r="AM21" i="11"/>
  <c r="AM16" i="11"/>
  <c r="W12" i="12"/>
  <c r="W10" i="12" s="1"/>
  <c r="W21" i="11"/>
  <c r="W15" i="11" s="1"/>
  <c r="W16" i="11"/>
  <c r="G12" i="12"/>
  <c r="G10" i="12" s="1"/>
  <c r="G21" i="11"/>
  <c r="G15" i="11" s="1"/>
  <c r="G16" i="11"/>
  <c r="BM9" i="11"/>
  <c r="BM4" i="11"/>
  <c r="AW9" i="11"/>
  <c r="AW4" i="11"/>
  <c r="Y9" i="11"/>
  <c r="Y4" i="11"/>
  <c r="I9" i="11"/>
  <c r="I4" i="11"/>
  <c r="BK8" i="12"/>
  <c r="BK13" i="11"/>
  <c r="AU8" i="12"/>
  <c r="AU22" i="12" s="1"/>
  <c r="AU13" i="11"/>
  <c r="AU11" i="11" s="1"/>
  <c r="AM8" i="12"/>
  <c r="AM13" i="11"/>
  <c r="W8" i="12"/>
  <c r="W22" i="12" s="1"/>
  <c r="W13" i="11"/>
  <c r="W11" i="11" s="1"/>
  <c r="G8" i="12"/>
  <c r="G22" i="12" s="1"/>
  <c r="G13" i="11"/>
  <c r="G11" i="11" s="1"/>
  <c r="BK26" i="12"/>
  <c r="BK46" i="11"/>
  <c r="BK41" i="11"/>
  <c r="BC26" i="12"/>
  <c r="BC24" i="12" s="1"/>
  <c r="BC46" i="11"/>
  <c r="BC40" i="11" s="1"/>
  <c r="BC41" i="11"/>
  <c r="AU26" i="12"/>
  <c r="AU24" i="12" s="1"/>
  <c r="AU46" i="11"/>
  <c r="AU40" i="11" s="1"/>
  <c r="AU41" i="11"/>
  <c r="AM26" i="12"/>
  <c r="AM46" i="11"/>
  <c r="AM41" i="11"/>
  <c r="AE26" i="12"/>
  <c r="AE24" i="12" s="1"/>
  <c r="AE46" i="11"/>
  <c r="AE40" i="11" s="1"/>
  <c r="AE41" i="11"/>
  <c r="W26" i="12"/>
  <c r="W24" i="12" s="1"/>
  <c r="W46" i="11"/>
  <c r="W40" i="11" s="1"/>
  <c r="W41" i="11"/>
  <c r="O26" i="12"/>
  <c r="O24" i="12" s="1"/>
  <c r="O46" i="11"/>
  <c r="O40" i="11" s="1"/>
  <c r="O41" i="11"/>
  <c r="G26" i="12"/>
  <c r="G24" i="12" s="1"/>
  <c r="G46" i="11"/>
  <c r="G40" i="11" s="1"/>
  <c r="G41" i="11"/>
  <c r="CN53" i="15"/>
  <c r="CF53" i="15"/>
  <c r="BX53" i="15"/>
  <c r="BP53" i="15"/>
  <c r="BH53" i="15"/>
  <c r="AJ53" i="15"/>
  <c r="AB53" i="15"/>
  <c r="AB51" i="15" s="1"/>
  <c r="AB85" i="18" s="1"/>
  <c r="T53" i="15"/>
  <c r="T51" i="15" s="1"/>
  <c r="T85" i="18" s="1"/>
  <c r="L53" i="15"/>
  <c r="L51" i="15" s="1"/>
  <c r="L85" i="18" s="1"/>
  <c r="BH50" i="12"/>
  <c r="BH72" i="11"/>
  <c r="AZ50" i="12"/>
  <c r="AZ72" i="11"/>
  <c r="AR50" i="12"/>
  <c r="AR72" i="11"/>
  <c r="AJ50" i="12"/>
  <c r="AJ72" i="11"/>
  <c r="AB50" i="12"/>
  <c r="AB72" i="11"/>
  <c r="T50" i="12"/>
  <c r="T72" i="11"/>
  <c r="L50" i="12"/>
  <c r="L72" i="11"/>
  <c r="D50" i="12"/>
  <c r="D72" i="11"/>
  <c r="C49" i="12"/>
  <c r="C71" i="11"/>
  <c r="BM54" i="12"/>
  <c r="BM76" i="11"/>
  <c r="BE54" i="12"/>
  <c r="BE76" i="11"/>
  <c r="AW54" i="12"/>
  <c r="AW76" i="11"/>
  <c r="AO54" i="12"/>
  <c r="AO76" i="11"/>
  <c r="AG54" i="12"/>
  <c r="AG76" i="11"/>
  <c r="Y54" i="12"/>
  <c r="Y76" i="11"/>
  <c r="Q54" i="12"/>
  <c r="Q76" i="11"/>
  <c r="I54" i="12"/>
  <c r="I76" i="11"/>
  <c r="BL53" i="12"/>
  <c r="BL75" i="11"/>
  <c r="BD53" i="12"/>
  <c r="BD75" i="11"/>
  <c r="AV53" i="12"/>
  <c r="AV75" i="11"/>
  <c r="AN53" i="12"/>
  <c r="AN75" i="11"/>
  <c r="AF53" i="12"/>
  <c r="AF75" i="11"/>
  <c r="X53" i="12"/>
  <c r="X75" i="11"/>
  <c r="P53" i="12"/>
  <c r="P75" i="11"/>
  <c r="H53" i="12"/>
  <c r="H75" i="11"/>
  <c r="BK52" i="12"/>
  <c r="BK74" i="11"/>
  <c r="BC52" i="12"/>
  <c r="BC74" i="11"/>
  <c r="AU52" i="12"/>
  <c r="AU74" i="11"/>
  <c r="AM52" i="12"/>
  <c r="AM74" i="11"/>
  <c r="AE52" i="12"/>
  <c r="AE74" i="11"/>
  <c r="W52" i="12"/>
  <c r="W74" i="11"/>
  <c r="O52" i="12"/>
  <c r="O74" i="11"/>
  <c r="G52" i="12"/>
  <c r="G74" i="11"/>
  <c r="BJ51" i="12"/>
  <c r="BJ73" i="11"/>
  <c r="BB51" i="12"/>
  <c r="BB73" i="11"/>
  <c r="AT51" i="12"/>
  <c r="AT73" i="11"/>
  <c r="AL51" i="12"/>
  <c r="AL73" i="11"/>
  <c r="AD51" i="12"/>
  <c r="AD73" i="11"/>
  <c r="V51" i="12"/>
  <c r="V73" i="11"/>
  <c r="N51" i="12"/>
  <c r="N73" i="11"/>
  <c r="F51" i="12"/>
  <c r="F73" i="11"/>
  <c r="EM87" i="15"/>
  <c r="CF133" i="18"/>
  <c r="EM133" i="18" s="1"/>
  <c r="CT85" i="15"/>
  <c r="CL85" i="15"/>
  <c r="CD85" i="15"/>
  <c r="BV85" i="15"/>
  <c r="BN85" i="15"/>
  <c r="BF85" i="15"/>
  <c r="AX85" i="15"/>
  <c r="AP85" i="15"/>
  <c r="AH85" i="15"/>
  <c r="Z85" i="15"/>
  <c r="R85" i="15"/>
  <c r="CI92" i="12"/>
  <c r="CI122" i="11"/>
  <c r="CA92" i="12"/>
  <c r="CA122" i="11"/>
  <c r="BS92" i="12"/>
  <c r="BS122" i="11"/>
  <c r="BK92" i="12"/>
  <c r="BK122" i="11"/>
  <c r="BC92" i="12"/>
  <c r="BC122" i="11"/>
  <c r="AU92" i="12"/>
  <c r="AU122" i="11"/>
  <c r="AM92" i="12"/>
  <c r="AM91" i="12" s="1"/>
  <c r="AM122" i="11"/>
  <c r="AE92" i="12"/>
  <c r="AE122" i="11"/>
  <c r="W92" i="12"/>
  <c r="W122" i="11"/>
  <c r="O92" i="12"/>
  <c r="O122" i="11"/>
  <c r="G92" i="12"/>
  <c r="G122" i="11"/>
  <c r="BH138" i="11"/>
  <c r="BH109" i="12"/>
  <c r="CO119" i="15"/>
  <c r="AZ138" i="11"/>
  <c r="AZ136" i="11" s="1"/>
  <c r="AZ109" i="12"/>
  <c r="AZ107" i="12" s="1"/>
  <c r="CG119" i="15"/>
  <c r="CG117" i="15" s="1"/>
  <c r="CG177" i="18" s="1"/>
  <c r="AR138" i="11"/>
  <c r="AR136" i="11" s="1"/>
  <c r="AR109" i="12"/>
  <c r="AR107" i="12" s="1"/>
  <c r="BY119" i="15"/>
  <c r="BY117" i="15" s="1"/>
  <c r="BY177" i="18" s="1"/>
  <c r="AJ138" i="11"/>
  <c r="AJ109" i="12"/>
  <c r="BQ119" i="15"/>
  <c r="AB138" i="11"/>
  <c r="AB136" i="11" s="1"/>
  <c r="AB109" i="12"/>
  <c r="AB107" i="12" s="1"/>
  <c r="BI119" i="15"/>
  <c r="BI117" i="15" s="1"/>
  <c r="BI177" i="18" s="1"/>
  <c r="T138" i="11"/>
  <c r="T136" i="11" s="1"/>
  <c r="T109" i="12"/>
  <c r="T107" i="12" s="1"/>
  <c r="BA119" i="15"/>
  <c r="BA117" i="15" s="1"/>
  <c r="BA177" i="18" s="1"/>
  <c r="L138" i="11"/>
  <c r="L136" i="11" s="1"/>
  <c r="L109" i="12"/>
  <c r="L107" i="12" s="1"/>
  <c r="AS119" i="15"/>
  <c r="AS117" i="15" s="1"/>
  <c r="AS177" i="18" s="1"/>
  <c r="D138" i="11"/>
  <c r="D136" i="11" s="1"/>
  <c r="D109" i="12"/>
  <c r="D107" i="12" s="1"/>
  <c r="AK119" i="15"/>
  <c r="AK117" i="15" s="1"/>
  <c r="AK177" i="18" s="1"/>
  <c r="BG143" i="11"/>
  <c r="BG141" i="11" s="1"/>
  <c r="CN125" i="15"/>
  <c r="CN123" i="15" s="1"/>
  <c r="BG114" i="12"/>
  <c r="BG112" i="12" s="1"/>
  <c r="AY143" i="11"/>
  <c r="CF125" i="15"/>
  <c r="AY114" i="12"/>
  <c r="AQ143" i="11"/>
  <c r="AQ141" i="11" s="1"/>
  <c r="BX125" i="15"/>
  <c r="BX123" i="15" s="1"/>
  <c r="AQ114" i="12"/>
  <c r="AQ112" i="12" s="1"/>
  <c r="AI143" i="11"/>
  <c r="AI141" i="11" s="1"/>
  <c r="BP125" i="15"/>
  <c r="BP123" i="15" s="1"/>
  <c r="AI114" i="12"/>
  <c r="AI112" i="12" s="1"/>
  <c r="AA143" i="11"/>
  <c r="AA141" i="11" s="1"/>
  <c r="BH125" i="15"/>
  <c r="BH123" i="15" s="1"/>
  <c r="AA114" i="12"/>
  <c r="AA112" i="12" s="1"/>
  <c r="S143" i="11"/>
  <c r="S141" i="11" s="1"/>
  <c r="AZ125" i="15"/>
  <c r="AZ123" i="15" s="1"/>
  <c r="S114" i="12"/>
  <c r="S112" i="12" s="1"/>
  <c r="K143" i="11"/>
  <c r="K141" i="11" s="1"/>
  <c r="AR125" i="15"/>
  <c r="AR123" i="15" s="1"/>
  <c r="K114" i="12"/>
  <c r="K112" i="12" s="1"/>
  <c r="C143" i="11"/>
  <c r="C141" i="11" s="1"/>
  <c r="AJ125" i="15"/>
  <c r="AJ123" i="15" s="1"/>
  <c r="C114" i="12"/>
  <c r="C112" i="12" s="1"/>
  <c r="CM6" i="18"/>
  <c r="CM37" i="18"/>
  <c r="CE6" i="18"/>
  <c r="CE37" i="18"/>
  <c r="BW6" i="18"/>
  <c r="BW37" i="18"/>
  <c r="BO6" i="18"/>
  <c r="BO37" i="18"/>
  <c r="BG6" i="18"/>
  <c r="BG37" i="18"/>
  <c r="AY6" i="18"/>
  <c r="AY37" i="18"/>
  <c r="AQ6" i="18"/>
  <c r="AQ37" i="18"/>
  <c r="AI6" i="18"/>
  <c r="AI37" i="18"/>
  <c r="AA6" i="18"/>
  <c r="AA37" i="18"/>
  <c r="S6" i="18"/>
  <c r="S37" i="18"/>
  <c r="K6" i="18"/>
  <c r="K37" i="18"/>
  <c r="C6" i="18"/>
  <c r="C37" i="18"/>
  <c r="CM9" i="14"/>
  <c r="CM49" i="18"/>
  <c r="BW9" i="14"/>
  <c r="BW49" i="18"/>
  <c r="BG9" i="14"/>
  <c r="BG49" i="18"/>
  <c r="AY9" i="14"/>
  <c r="AY49" i="18"/>
  <c r="AQ9" i="14"/>
  <c r="AQ49" i="18"/>
  <c r="AI9" i="14"/>
  <c r="AI49" i="18"/>
  <c r="K9" i="14"/>
  <c r="K49" i="18"/>
  <c r="C9" i="14"/>
  <c r="C49" i="18"/>
  <c r="CM81" i="18"/>
  <c r="CM13" i="18"/>
  <c r="CM44" i="18" s="1"/>
  <c r="CE81" i="18"/>
  <c r="CE13" i="18"/>
  <c r="CE44" i="18" s="1"/>
  <c r="BW81" i="18"/>
  <c r="BW13" i="18"/>
  <c r="BO81" i="18"/>
  <c r="BO13" i="18"/>
  <c r="BO44" i="18" s="1"/>
  <c r="BG81" i="18"/>
  <c r="BG13" i="18"/>
  <c r="BG44" i="18" s="1"/>
  <c r="AY81" i="18"/>
  <c r="AY13" i="18"/>
  <c r="AY44" i="18" s="1"/>
  <c r="AQ81" i="18"/>
  <c r="AQ13" i="18"/>
  <c r="AQ44" i="18" s="1"/>
  <c r="AI81" i="18"/>
  <c r="AI13" i="18"/>
  <c r="AI44" i="18" s="1"/>
  <c r="AA81" i="18"/>
  <c r="AA13" i="18"/>
  <c r="AA44" i="18" s="1"/>
  <c r="S81" i="18"/>
  <c r="S13" i="18"/>
  <c r="S44" i="18" s="1"/>
  <c r="K81" i="18"/>
  <c r="K13" i="18"/>
  <c r="K44" i="18" s="1"/>
  <c r="C81" i="18"/>
  <c r="C13" i="18"/>
  <c r="C44" i="18" s="1"/>
  <c r="BB9" i="11"/>
  <c r="BB4" i="11"/>
  <c r="N9" i="11"/>
  <c r="N4" i="11"/>
  <c r="AB8" i="12"/>
  <c r="AB22" i="12" s="1"/>
  <c r="AB13" i="11"/>
  <c r="AB11" i="11" s="1"/>
  <c r="AF12" i="12"/>
  <c r="AF10" i="12" s="1"/>
  <c r="AF21" i="11"/>
  <c r="AF15" i="11" s="1"/>
  <c r="AF16" i="11"/>
  <c r="BL9" i="11"/>
  <c r="BL4" i="11"/>
  <c r="BD9" i="11"/>
  <c r="BD4" i="11"/>
  <c r="AV9" i="11"/>
  <c r="AV4" i="11"/>
  <c r="AN9" i="11"/>
  <c r="AN4" i="11"/>
  <c r="AF9" i="11"/>
  <c r="AF4" i="11"/>
  <c r="X9" i="11"/>
  <c r="X4" i="11"/>
  <c r="P9" i="11"/>
  <c r="P4" i="11"/>
  <c r="H9" i="11"/>
  <c r="H4" i="11"/>
  <c r="BJ8" i="12"/>
  <c r="BJ22" i="12" s="1"/>
  <c r="BJ13" i="11"/>
  <c r="BJ11" i="11" s="1"/>
  <c r="BB8" i="12"/>
  <c r="BB13" i="11"/>
  <c r="AT8" i="12"/>
  <c r="AT22" i="12" s="1"/>
  <c r="AT13" i="11"/>
  <c r="AT11" i="11" s="1"/>
  <c r="AL8" i="12"/>
  <c r="AL22" i="12" s="1"/>
  <c r="AL13" i="11"/>
  <c r="AL11" i="11" s="1"/>
  <c r="AD8" i="12"/>
  <c r="AD13" i="11"/>
  <c r="V8" i="12"/>
  <c r="V22" i="12" s="1"/>
  <c r="V13" i="11"/>
  <c r="V11" i="11" s="1"/>
  <c r="N8" i="12"/>
  <c r="N22" i="12" s="1"/>
  <c r="N13" i="11"/>
  <c r="N11" i="11" s="1"/>
  <c r="F8" i="12"/>
  <c r="F22" i="12" s="1"/>
  <c r="F13" i="11"/>
  <c r="F11" i="11" s="1"/>
  <c r="BF12" i="12"/>
  <c r="BF10" i="12" s="1"/>
  <c r="BF21" i="11"/>
  <c r="BF15" i="11" s="1"/>
  <c r="BF16" i="11"/>
  <c r="AX12" i="12"/>
  <c r="AX10" i="12" s="1"/>
  <c r="AX21" i="11"/>
  <c r="AX15" i="11" s="1"/>
  <c r="AX16" i="11"/>
  <c r="AP12" i="12"/>
  <c r="AP21" i="11"/>
  <c r="AP16" i="11"/>
  <c r="AH12" i="12"/>
  <c r="AH10" i="12" s="1"/>
  <c r="AH21" i="11"/>
  <c r="AH15" i="11" s="1"/>
  <c r="AH16" i="11"/>
  <c r="Z12" i="12"/>
  <c r="Z10" i="12" s="1"/>
  <c r="Z21" i="11"/>
  <c r="Z15" i="11" s="1"/>
  <c r="Z16" i="11"/>
  <c r="R12" i="12"/>
  <c r="R10" i="12" s="1"/>
  <c r="R21" i="11"/>
  <c r="R15" i="11" s="1"/>
  <c r="R16" i="11"/>
  <c r="J12" i="12"/>
  <c r="J10" i="12" s="1"/>
  <c r="J21" i="11"/>
  <c r="J15" i="11" s="1"/>
  <c r="J16" i="11"/>
  <c r="BK9" i="11"/>
  <c r="BK4" i="11"/>
  <c r="BC9" i="11"/>
  <c r="BC4" i="11"/>
  <c r="AU9" i="11"/>
  <c r="AU4" i="11"/>
  <c r="AM9" i="11"/>
  <c r="AM4" i="11"/>
  <c r="AE9" i="11"/>
  <c r="AE4" i="11"/>
  <c r="W9" i="11"/>
  <c r="W4" i="11"/>
  <c r="O9" i="11"/>
  <c r="O4" i="11"/>
  <c r="G9" i="11"/>
  <c r="G4" i="11"/>
  <c r="BI8" i="12"/>
  <c r="BI22" i="12" s="1"/>
  <c r="BI13" i="11"/>
  <c r="BI11" i="11" s="1"/>
  <c r="BA8" i="12"/>
  <c r="BA22" i="12" s="1"/>
  <c r="BA13" i="11"/>
  <c r="BA11" i="11" s="1"/>
  <c r="AS8" i="12"/>
  <c r="AS13" i="11"/>
  <c r="AK8" i="12"/>
  <c r="AK22" i="12" s="1"/>
  <c r="AK13" i="11"/>
  <c r="AK11" i="11" s="1"/>
  <c r="AC8" i="12"/>
  <c r="AC22" i="12" s="1"/>
  <c r="AC13" i="11"/>
  <c r="AC11" i="11" s="1"/>
  <c r="U8" i="12"/>
  <c r="U22" i="12" s="1"/>
  <c r="U13" i="11"/>
  <c r="U11" i="11" s="1"/>
  <c r="M8" i="12"/>
  <c r="M22" i="12" s="1"/>
  <c r="M13" i="11"/>
  <c r="M11" i="11" s="1"/>
  <c r="E8" i="12"/>
  <c r="E22" i="12" s="1"/>
  <c r="E13" i="11"/>
  <c r="E11" i="11" s="1"/>
  <c r="BM12" i="12"/>
  <c r="BM10" i="12" s="1"/>
  <c r="BM21" i="11"/>
  <c r="BM15" i="11" s="1"/>
  <c r="BM16" i="11"/>
  <c r="BE12" i="12"/>
  <c r="BE21" i="11"/>
  <c r="BE16" i="11"/>
  <c r="AW12" i="12"/>
  <c r="AW10" i="12" s="1"/>
  <c r="AW21" i="11"/>
  <c r="AW15" i="11" s="1"/>
  <c r="AW16" i="11"/>
  <c r="AO12" i="12"/>
  <c r="AO10" i="12" s="1"/>
  <c r="AO21" i="11"/>
  <c r="AO15" i="11" s="1"/>
  <c r="AO16" i="11"/>
  <c r="AG12" i="12"/>
  <c r="AG21" i="11"/>
  <c r="AG16" i="11"/>
  <c r="Y12" i="12"/>
  <c r="Y10" i="12" s="1"/>
  <c r="Y21" i="11"/>
  <c r="Y15" i="11" s="1"/>
  <c r="Y16" i="11"/>
  <c r="Q12" i="12"/>
  <c r="Q10" i="12" s="1"/>
  <c r="Q21" i="11"/>
  <c r="Q15" i="11" s="1"/>
  <c r="Q16" i="11"/>
  <c r="I12" i="12"/>
  <c r="I10" i="12" s="1"/>
  <c r="I21" i="11"/>
  <c r="I15" i="11" s="1"/>
  <c r="I16" i="11"/>
  <c r="CN28" i="18"/>
  <c r="CF28" i="18"/>
  <c r="EM28" i="18" s="1"/>
  <c r="BX28" i="18"/>
  <c r="BP28" i="18"/>
  <c r="BH28" i="18"/>
  <c r="AZ28" i="18"/>
  <c r="AR28" i="18"/>
  <c r="AJ28" i="18"/>
  <c r="AB28" i="18"/>
  <c r="T28" i="18"/>
  <c r="L28" i="18"/>
  <c r="BJ26" i="12"/>
  <c r="BJ24" i="12" s="1"/>
  <c r="BJ46" i="11"/>
  <c r="BJ40" i="11" s="1"/>
  <c r="BJ41" i="11"/>
  <c r="BB26" i="12"/>
  <c r="BB46" i="11"/>
  <c r="BB41" i="11"/>
  <c r="AT26" i="12"/>
  <c r="AT24" i="12" s="1"/>
  <c r="AT46" i="11"/>
  <c r="AT40" i="11" s="1"/>
  <c r="AT41" i="11"/>
  <c r="AL26" i="12"/>
  <c r="AL24" i="12" s="1"/>
  <c r="AL46" i="11"/>
  <c r="AL40" i="11" s="1"/>
  <c r="AL41" i="11"/>
  <c r="AD26" i="12"/>
  <c r="AD46" i="11"/>
  <c r="AD41" i="11"/>
  <c r="V26" i="12"/>
  <c r="V24" i="12" s="1"/>
  <c r="V46" i="11"/>
  <c r="V40" i="11" s="1"/>
  <c r="V41" i="11"/>
  <c r="N26" i="12"/>
  <c r="N24" i="12" s="1"/>
  <c r="N46" i="11"/>
  <c r="N40" i="11" s="1"/>
  <c r="N41" i="11"/>
  <c r="F26" i="12"/>
  <c r="F24" i="12" s="1"/>
  <c r="F46" i="11"/>
  <c r="F40" i="11" s="1"/>
  <c r="F41" i="11"/>
  <c r="CM53" i="15"/>
  <c r="CE53" i="15"/>
  <c r="BW53" i="15"/>
  <c r="BO53" i="15"/>
  <c r="BG53" i="15"/>
  <c r="AI53" i="15"/>
  <c r="AA53" i="15"/>
  <c r="AA51" i="15" s="1"/>
  <c r="AA85" i="18" s="1"/>
  <c r="S53" i="15"/>
  <c r="S51" i="15" s="1"/>
  <c r="S85" i="18" s="1"/>
  <c r="BG50" i="12"/>
  <c r="BG72" i="11"/>
  <c r="AY50" i="12"/>
  <c r="AY72" i="11"/>
  <c r="AQ50" i="12"/>
  <c r="AQ72" i="11"/>
  <c r="AI50" i="12"/>
  <c r="AI72" i="11"/>
  <c r="AA50" i="12"/>
  <c r="AA72" i="11"/>
  <c r="S50" i="12"/>
  <c r="S72" i="11"/>
  <c r="K50" i="12"/>
  <c r="K72" i="11"/>
  <c r="C50" i="12"/>
  <c r="C72" i="11"/>
  <c r="BL54" i="12"/>
  <c r="BL76" i="11"/>
  <c r="BD54" i="12"/>
  <c r="BD76" i="11"/>
  <c r="AV54" i="12"/>
  <c r="AV76" i="11"/>
  <c r="AN54" i="12"/>
  <c r="AN76" i="11"/>
  <c r="AF54" i="12"/>
  <c r="AF76" i="11"/>
  <c r="X54" i="12"/>
  <c r="X76" i="11"/>
  <c r="P54" i="12"/>
  <c r="P76" i="11"/>
  <c r="H54" i="12"/>
  <c r="H76" i="11"/>
  <c r="BK53" i="12"/>
  <c r="BK75" i="11"/>
  <c r="BC53" i="12"/>
  <c r="BC75" i="11"/>
  <c r="AU53" i="12"/>
  <c r="AU75" i="11"/>
  <c r="AM53" i="12"/>
  <c r="AM75" i="11"/>
  <c r="AE53" i="12"/>
  <c r="AE75" i="11"/>
  <c r="W53" i="12"/>
  <c r="W75" i="11"/>
  <c r="O53" i="12"/>
  <c r="O75" i="11"/>
  <c r="G53" i="12"/>
  <c r="G75" i="11"/>
  <c r="BJ52" i="12"/>
  <c r="BJ74" i="11"/>
  <c r="BB52" i="12"/>
  <c r="BB74" i="11"/>
  <c r="AT52" i="12"/>
  <c r="AT74" i="11"/>
  <c r="AL52" i="12"/>
  <c r="AL74" i="11"/>
  <c r="AD52" i="12"/>
  <c r="AD74" i="11"/>
  <c r="V52" i="12"/>
  <c r="V74" i="11"/>
  <c r="N52" i="12"/>
  <c r="N74" i="11"/>
  <c r="F52" i="12"/>
  <c r="F74" i="11"/>
  <c r="BI51" i="12"/>
  <c r="BI73" i="11"/>
  <c r="BA51" i="12"/>
  <c r="BA73" i="11"/>
  <c r="AS51" i="12"/>
  <c r="AS73" i="11"/>
  <c r="AK51" i="12"/>
  <c r="AK73" i="11"/>
  <c r="AC51" i="12"/>
  <c r="AC73" i="11"/>
  <c r="U51" i="12"/>
  <c r="U73" i="11"/>
  <c r="M51" i="12"/>
  <c r="M73" i="11"/>
  <c r="E51" i="12"/>
  <c r="E73" i="11"/>
  <c r="EJ87" i="15"/>
  <c r="BW133" i="18"/>
  <c r="EJ133" i="18" s="1"/>
  <c r="CS85" i="15"/>
  <c r="CK85" i="15"/>
  <c r="CC85" i="15"/>
  <c r="BU85" i="15"/>
  <c r="BM85" i="15"/>
  <c r="BE85" i="15"/>
  <c r="AW85" i="15"/>
  <c r="AO85" i="15"/>
  <c r="AG85" i="15"/>
  <c r="Y85" i="15"/>
  <c r="Q85" i="15"/>
  <c r="CH92" i="12"/>
  <c r="CH122" i="11"/>
  <c r="BZ92" i="12"/>
  <c r="BZ122" i="11"/>
  <c r="BR92" i="12"/>
  <c r="BR122" i="11"/>
  <c r="BJ122" i="11"/>
  <c r="BJ92" i="12"/>
  <c r="BB92" i="12"/>
  <c r="BB122" i="11"/>
  <c r="AT92" i="12"/>
  <c r="AT122" i="11"/>
  <c r="AL92" i="12"/>
  <c r="AL122" i="11"/>
  <c r="AD122" i="11"/>
  <c r="AD92" i="12"/>
  <c r="AD91" i="12" s="1"/>
  <c r="V92" i="12"/>
  <c r="V122" i="11"/>
  <c r="N92" i="12"/>
  <c r="N122" i="11"/>
  <c r="F92" i="12"/>
  <c r="F122" i="11"/>
  <c r="BG138" i="11"/>
  <c r="BG136" i="11" s="1"/>
  <c r="CN119" i="15"/>
  <c r="CN117" i="15" s="1"/>
  <c r="CN177" i="18" s="1"/>
  <c r="BG109" i="12"/>
  <c r="BG107" i="12" s="1"/>
  <c r="AY138" i="11"/>
  <c r="CF119" i="15"/>
  <c r="AY109" i="12"/>
  <c r="AQ138" i="11"/>
  <c r="AQ136" i="11" s="1"/>
  <c r="BX119" i="15"/>
  <c r="BX117" i="15" s="1"/>
  <c r="BX177" i="18" s="1"/>
  <c r="AQ109" i="12"/>
  <c r="AQ107" i="12" s="1"/>
  <c r="AI138" i="11"/>
  <c r="AI136" i="11" s="1"/>
  <c r="AI109" i="12"/>
  <c r="AI107" i="12" s="1"/>
  <c r="BP119" i="15"/>
  <c r="BP117" i="15" s="1"/>
  <c r="BP177" i="18" s="1"/>
  <c r="AA138" i="11"/>
  <c r="AA136" i="11" s="1"/>
  <c r="BH119" i="15"/>
  <c r="BH117" i="15" s="1"/>
  <c r="BH177" i="18" s="1"/>
  <c r="AA109" i="12"/>
  <c r="AA107" i="12" s="1"/>
  <c r="S138" i="11"/>
  <c r="S136" i="11" s="1"/>
  <c r="AZ119" i="15"/>
  <c r="AZ117" i="15" s="1"/>
  <c r="AZ177" i="18" s="1"/>
  <c r="S109" i="12"/>
  <c r="S107" i="12" s="1"/>
  <c r="K138" i="11"/>
  <c r="K136" i="11" s="1"/>
  <c r="AR119" i="15"/>
  <c r="AR117" i="15" s="1"/>
  <c r="AR177" i="18" s="1"/>
  <c r="K109" i="12"/>
  <c r="K107" i="12" s="1"/>
  <c r="C138" i="11"/>
  <c r="C136" i="11" s="1"/>
  <c r="AJ119" i="15"/>
  <c r="AJ117" i="15" s="1"/>
  <c r="AJ177" i="18" s="1"/>
  <c r="C109" i="12"/>
  <c r="C107" i="12" s="1"/>
  <c r="BF143" i="11"/>
  <c r="BF141" i="11" s="1"/>
  <c r="CM125" i="15"/>
  <c r="CM123" i="15" s="1"/>
  <c r="BF114" i="12"/>
  <c r="BF112" i="12" s="1"/>
  <c r="AX143" i="11"/>
  <c r="AX141" i="11" s="1"/>
  <c r="CE125" i="15"/>
  <c r="CE123" i="15" s="1"/>
  <c r="AX114" i="12"/>
  <c r="AX112" i="12" s="1"/>
  <c r="AP143" i="11"/>
  <c r="BW125" i="15"/>
  <c r="AP114" i="12"/>
  <c r="AH143" i="11"/>
  <c r="AH141" i="11" s="1"/>
  <c r="BO125" i="15"/>
  <c r="BO123" i="15" s="1"/>
  <c r="AH114" i="12"/>
  <c r="AH112" i="12" s="1"/>
  <c r="Z143" i="11"/>
  <c r="Z141" i="11" s="1"/>
  <c r="BG125" i="15"/>
  <c r="BG123" i="15" s="1"/>
  <c r="Z114" i="12"/>
  <c r="Z112" i="12" s="1"/>
  <c r="R143" i="11"/>
  <c r="R141" i="11" s="1"/>
  <c r="AY125" i="15"/>
  <c r="AY123" i="15" s="1"/>
  <c r="R114" i="12"/>
  <c r="R112" i="12" s="1"/>
  <c r="J143" i="11"/>
  <c r="J141" i="11" s="1"/>
  <c r="AQ125" i="15"/>
  <c r="AQ123" i="15" s="1"/>
  <c r="J114" i="12"/>
  <c r="J112" i="12" s="1"/>
  <c r="BO143" i="11"/>
  <c r="BO141" i="11" s="1"/>
  <c r="CV125" i="15"/>
  <c r="CV123" i="15" s="1"/>
  <c r="CW185" i="18" s="1"/>
  <c r="CW184" i="18" s="1"/>
  <c r="BO114" i="12"/>
  <c r="BO112" i="12" s="1"/>
  <c r="CT37" i="18"/>
  <c r="CT6" i="18"/>
  <c r="CL6" i="18"/>
  <c r="CL37" i="18"/>
  <c r="CD37" i="18"/>
  <c r="CD6" i="18"/>
  <c r="BV6" i="18"/>
  <c r="BV37" i="18"/>
  <c r="BN37" i="18"/>
  <c r="BN6" i="18"/>
  <c r="BF6" i="18"/>
  <c r="BF37" i="18"/>
  <c r="AX37" i="18"/>
  <c r="AX6" i="18"/>
  <c r="AP6" i="18"/>
  <c r="AP37" i="18"/>
  <c r="AH37" i="18"/>
  <c r="AH6" i="18"/>
  <c r="Z6" i="18"/>
  <c r="Z37" i="18"/>
  <c r="R37" i="18"/>
  <c r="R6" i="18"/>
  <c r="J6" i="18"/>
  <c r="J37" i="18"/>
  <c r="CT9" i="14"/>
  <c r="CT49" i="18"/>
  <c r="CD9" i="14"/>
  <c r="CD49" i="18"/>
  <c r="BV9" i="14"/>
  <c r="BV49" i="18"/>
  <c r="BF9" i="14"/>
  <c r="BF49" i="18"/>
  <c r="AX9" i="14"/>
  <c r="AX49" i="18"/>
  <c r="AH9" i="14"/>
  <c r="AH49" i="18"/>
  <c r="Z9" i="14"/>
  <c r="Z49" i="18"/>
  <c r="J9" i="14"/>
  <c r="J49" i="18"/>
  <c r="CT81" i="18"/>
  <c r="CT13" i="18"/>
  <c r="CT44" i="18" s="1"/>
  <c r="CL81" i="18"/>
  <c r="CL13" i="18"/>
  <c r="CD81" i="18"/>
  <c r="CD13" i="18"/>
  <c r="CD44" i="18" s="1"/>
  <c r="BV81" i="18"/>
  <c r="BV13" i="18"/>
  <c r="BV44" i="18" s="1"/>
  <c r="BN81" i="18"/>
  <c r="BN13" i="18"/>
  <c r="BF81" i="18"/>
  <c r="BF13" i="18"/>
  <c r="BF44" i="18" s="1"/>
  <c r="AX81" i="18"/>
  <c r="AX13" i="18"/>
  <c r="AX44" i="18" s="1"/>
  <c r="AP81" i="18"/>
  <c r="AP13" i="18"/>
  <c r="AP44" i="18" s="1"/>
  <c r="AH81" i="18"/>
  <c r="AH13" i="18"/>
  <c r="AH44" i="18" s="1"/>
  <c r="Z81" i="18"/>
  <c r="Z13" i="18"/>
  <c r="Z44" i="18" s="1"/>
  <c r="R81" i="18"/>
  <c r="R13" i="18"/>
  <c r="R44" i="18" s="1"/>
  <c r="J81" i="18"/>
  <c r="J13" i="18"/>
  <c r="J44" i="18" s="1"/>
  <c r="F9" i="11"/>
  <c r="F4" i="11"/>
  <c r="BH8" i="12"/>
  <c r="BH13" i="11"/>
  <c r="BI26" i="12"/>
  <c r="BI24" i="12" s="1"/>
  <c r="BI46" i="11"/>
  <c r="BI40" i="11" s="1"/>
  <c r="BI41" i="11"/>
  <c r="BA26" i="12"/>
  <c r="BA24" i="12" s="1"/>
  <c r="BA46" i="11"/>
  <c r="BA40" i="11" s="1"/>
  <c r="BA41" i="11"/>
  <c r="AS26" i="12"/>
  <c r="AS46" i="11"/>
  <c r="AS41" i="11"/>
  <c r="AK26" i="12"/>
  <c r="AK24" i="12" s="1"/>
  <c r="AK46" i="11"/>
  <c r="AK40" i="11" s="1"/>
  <c r="AK41" i="11"/>
  <c r="AC26" i="12"/>
  <c r="AC24" i="12" s="1"/>
  <c r="AC46" i="11"/>
  <c r="AC40" i="11" s="1"/>
  <c r="AC41" i="11"/>
  <c r="U26" i="12"/>
  <c r="U24" i="12" s="1"/>
  <c r="U46" i="11"/>
  <c r="U40" i="11" s="1"/>
  <c r="U41" i="11"/>
  <c r="M26" i="12"/>
  <c r="M24" i="12" s="1"/>
  <c r="M46" i="11"/>
  <c r="M40" i="11" s="1"/>
  <c r="M41" i="11"/>
  <c r="E26" i="12"/>
  <c r="E24" i="12" s="1"/>
  <c r="E46" i="11"/>
  <c r="E40" i="11" s="1"/>
  <c r="E41" i="11"/>
  <c r="BF50" i="12"/>
  <c r="BF72" i="11"/>
  <c r="AX50" i="12"/>
  <c r="AX72" i="11"/>
  <c r="AP50" i="12"/>
  <c r="AP72" i="11"/>
  <c r="AH50" i="12"/>
  <c r="AH72" i="11"/>
  <c r="Z50" i="12"/>
  <c r="Z72" i="11"/>
  <c r="R50" i="12"/>
  <c r="R72" i="11"/>
  <c r="J50" i="12"/>
  <c r="J72" i="11"/>
  <c r="BK54" i="12"/>
  <c r="BK76" i="11"/>
  <c r="BC54" i="12"/>
  <c r="BC76" i="11"/>
  <c r="AU54" i="12"/>
  <c r="AU76" i="11"/>
  <c r="AM54" i="12"/>
  <c r="AM76" i="11"/>
  <c r="AE54" i="12"/>
  <c r="AE76" i="11"/>
  <c r="W54" i="12"/>
  <c r="W76" i="11"/>
  <c r="O54" i="12"/>
  <c r="O76" i="11"/>
  <c r="G54" i="12"/>
  <c r="G76" i="11"/>
  <c r="BJ53" i="12"/>
  <c r="BJ75" i="11"/>
  <c r="BB53" i="12"/>
  <c r="BB75" i="11"/>
  <c r="AT53" i="12"/>
  <c r="AT75" i="11"/>
  <c r="AL53" i="12"/>
  <c r="AL75" i="11"/>
  <c r="AD53" i="12"/>
  <c r="AD75" i="11"/>
  <c r="V53" i="12"/>
  <c r="V75" i="11"/>
  <c r="N53" i="12"/>
  <c r="N75" i="11"/>
  <c r="F53" i="12"/>
  <c r="F75" i="11"/>
  <c r="BI52" i="12"/>
  <c r="BI74" i="11"/>
  <c r="BA52" i="12"/>
  <c r="BA74" i="11"/>
  <c r="AS52" i="12"/>
  <c r="AS74" i="11"/>
  <c r="AK52" i="12"/>
  <c r="AK74" i="11"/>
  <c r="AC52" i="12"/>
  <c r="AC74" i="11"/>
  <c r="U52" i="12"/>
  <c r="U74" i="11"/>
  <c r="M52" i="12"/>
  <c r="M74" i="11"/>
  <c r="E52" i="12"/>
  <c r="E74" i="11"/>
  <c r="BH51" i="12"/>
  <c r="BH73" i="11"/>
  <c r="AZ51" i="12"/>
  <c r="AZ73" i="11"/>
  <c r="AR51" i="12"/>
  <c r="AR73" i="11"/>
  <c r="AJ51" i="12"/>
  <c r="AJ73" i="11"/>
  <c r="AB51" i="12"/>
  <c r="AB73" i="11"/>
  <c r="T51" i="12"/>
  <c r="T73" i="11"/>
  <c r="L51" i="12"/>
  <c r="L73" i="11"/>
  <c r="D51" i="12"/>
  <c r="D73" i="11"/>
  <c r="EK87" i="15"/>
  <c r="EO87" i="15"/>
  <c r="CL133" i="18"/>
  <c r="EO133" i="18" s="1"/>
  <c r="EG87" i="15"/>
  <c r="BN133" i="18"/>
  <c r="EG133" i="18" s="1"/>
  <c r="CR85" i="15"/>
  <c r="CJ85" i="15"/>
  <c r="CB85" i="15"/>
  <c r="BT85" i="15"/>
  <c r="BL85" i="15"/>
  <c r="BD85" i="15"/>
  <c r="AV85" i="15"/>
  <c r="AN85" i="15"/>
  <c r="AF85" i="15"/>
  <c r="X85" i="15"/>
  <c r="P85" i="15"/>
  <c r="CG92" i="12"/>
  <c r="CG122" i="11"/>
  <c r="BY122" i="11"/>
  <c r="BY92" i="12"/>
  <c r="BQ122" i="11"/>
  <c r="BQ92" i="12"/>
  <c r="BI92" i="12"/>
  <c r="BI122" i="11"/>
  <c r="BA92" i="12"/>
  <c r="BA122" i="11"/>
  <c r="AS92" i="12"/>
  <c r="AS91" i="12" s="1"/>
  <c r="AS122" i="11"/>
  <c r="AK122" i="11"/>
  <c r="AK92" i="12"/>
  <c r="AC92" i="12"/>
  <c r="AC122" i="11"/>
  <c r="U122" i="11"/>
  <c r="U92" i="12"/>
  <c r="M92" i="12"/>
  <c r="M122" i="11"/>
  <c r="E92" i="12"/>
  <c r="E122" i="11"/>
  <c r="BF138" i="11"/>
  <c r="BF136" i="11" s="1"/>
  <c r="BF109" i="12"/>
  <c r="BF107" i="12" s="1"/>
  <c r="CM119" i="15"/>
  <c r="CM117" i="15" s="1"/>
  <c r="CM177" i="18" s="1"/>
  <c r="AX138" i="11"/>
  <c r="AX136" i="11" s="1"/>
  <c r="AX109" i="12"/>
  <c r="AX107" i="12" s="1"/>
  <c r="CE119" i="15"/>
  <c r="CE117" i="15" s="1"/>
  <c r="CE177" i="18" s="1"/>
  <c r="AP138" i="11"/>
  <c r="AP109" i="12"/>
  <c r="BW119" i="15"/>
  <c r="AH138" i="11"/>
  <c r="AH136" i="11" s="1"/>
  <c r="AH109" i="12"/>
  <c r="AH107" i="12" s="1"/>
  <c r="BO119" i="15"/>
  <c r="BO117" i="15" s="1"/>
  <c r="BO177" i="18" s="1"/>
  <c r="Z138" i="11"/>
  <c r="Z136" i="11" s="1"/>
  <c r="Z109" i="12"/>
  <c r="Z107" i="12" s="1"/>
  <c r="BG119" i="15"/>
  <c r="BG117" i="15" s="1"/>
  <c r="BG177" i="18" s="1"/>
  <c r="R138" i="11"/>
  <c r="R136" i="11" s="1"/>
  <c r="R109" i="12"/>
  <c r="R107" i="12" s="1"/>
  <c r="AY119" i="15"/>
  <c r="AY117" i="15" s="1"/>
  <c r="AY177" i="18" s="1"/>
  <c r="J138" i="11"/>
  <c r="J136" i="11" s="1"/>
  <c r="J109" i="12"/>
  <c r="J107" i="12" s="1"/>
  <c r="AQ119" i="15"/>
  <c r="AQ117" i="15" s="1"/>
  <c r="AQ177" i="18" s="1"/>
  <c r="BM143" i="11"/>
  <c r="BM141" i="11" s="1"/>
  <c r="CT125" i="15"/>
  <c r="CT123" i="15" s="1"/>
  <c r="BM114" i="12"/>
  <c r="BM112" i="12" s="1"/>
  <c r="BE143" i="11"/>
  <c r="CL125" i="15"/>
  <c r="BE114" i="12"/>
  <c r="AW143" i="11"/>
  <c r="AW141" i="11" s="1"/>
  <c r="CD125" i="15"/>
  <c r="CD123" i="15" s="1"/>
  <c r="AW114" i="12"/>
  <c r="AW112" i="12" s="1"/>
  <c r="AO143" i="11"/>
  <c r="AO141" i="11" s="1"/>
  <c r="BV125" i="15"/>
  <c r="BV123" i="15" s="1"/>
  <c r="AO114" i="12"/>
  <c r="AO112" i="12" s="1"/>
  <c r="AG143" i="11"/>
  <c r="BN125" i="15"/>
  <c r="AG114" i="12"/>
  <c r="Y143" i="11"/>
  <c r="Y141" i="11" s="1"/>
  <c r="BF125" i="15"/>
  <c r="BF123" i="15" s="1"/>
  <c r="Y114" i="12"/>
  <c r="Y112" i="12" s="1"/>
  <c r="Q143" i="11"/>
  <c r="Q141" i="11" s="1"/>
  <c r="AX125" i="15"/>
  <c r="AX123" i="15" s="1"/>
  <c r="Q114" i="12"/>
  <c r="Q112" i="12" s="1"/>
  <c r="I143" i="11"/>
  <c r="I141" i="11" s="1"/>
  <c r="AP125" i="15"/>
  <c r="AP123" i="15" s="1"/>
  <c r="I114" i="12"/>
  <c r="I112" i="12" s="1"/>
  <c r="CS37" i="18"/>
  <c r="CS6" i="18"/>
  <c r="CK37" i="18"/>
  <c r="CK6" i="18"/>
  <c r="CC37" i="18"/>
  <c r="CC6" i="18"/>
  <c r="BU37" i="18"/>
  <c r="BU6" i="18"/>
  <c r="BM37" i="18"/>
  <c r="BM6" i="18"/>
  <c r="BE37" i="18"/>
  <c r="BE6" i="18"/>
  <c r="AW37" i="18"/>
  <c r="AW6" i="18"/>
  <c r="AO37" i="18"/>
  <c r="AO6" i="18"/>
  <c r="AG37" i="18"/>
  <c r="AG6" i="18"/>
  <c r="Y37" i="18"/>
  <c r="Y6" i="18"/>
  <c r="Q37" i="18"/>
  <c r="Q6" i="18"/>
  <c r="I37" i="18"/>
  <c r="I6" i="18"/>
  <c r="CS81" i="18"/>
  <c r="CS13" i="18"/>
  <c r="CS44" i="18" s="1"/>
  <c r="CK81" i="18"/>
  <c r="CK13" i="18"/>
  <c r="CK44" i="18" s="1"/>
  <c r="CC81" i="18"/>
  <c r="CC13" i="18"/>
  <c r="BU81" i="18"/>
  <c r="BU13" i="18"/>
  <c r="BU44" i="18" s="1"/>
  <c r="BM81" i="18"/>
  <c r="BM13" i="18"/>
  <c r="BM44" i="18" s="1"/>
  <c r="BE81" i="18"/>
  <c r="BE13" i="18"/>
  <c r="BE44" i="18" s="1"/>
  <c r="AW81" i="18"/>
  <c r="AW13" i="18"/>
  <c r="AW44" i="18" s="1"/>
  <c r="AO81" i="18"/>
  <c r="AO13" i="18"/>
  <c r="AO44" i="18" s="1"/>
  <c r="AG81" i="18"/>
  <c r="AG13" i="18"/>
  <c r="AG44" i="18" s="1"/>
  <c r="Y81" i="18"/>
  <c r="Y13" i="18"/>
  <c r="Y44" i="18" s="1"/>
  <c r="Q81" i="18"/>
  <c r="Q13" i="18"/>
  <c r="Q44" i="18" s="1"/>
  <c r="I81" i="18"/>
  <c r="I13" i="18"/>
  <c r="I44" i="18" s="1"/>
  <c r="AT9" i="11"/>
  <c r="AT4" i="11"/>
  <c r="BH26" i="12"/>
  <c r="BH46" i="11"/>
  <c r="BH41" i="11"/>
  <c r="AZ26" i="12"/>
  <c r="AZ24" i="12" s="1"/>
  <c r="AZ46" i="11"/>
  <c r="AZ40" i="11" s="1"/>
  <c r="AZ41" i="11"/>
  <c r="AR26" i="12"/>
  <c r="AR24" i="12" s="1"/>
  <c r="AR46" i="11"/>
  <c r="AR40" i="11" s="1"/>
  <c r="AR41" i="11"/>
  <c r="AJ26" i="12"/>
  <c r="AJ46" i="11"/>
  <c r="AJ41" i="11"/>
  <c r="AB26" i="12"/>
  <c r="AB24" i="12" s="1"/>
  <c r="AB46" i="11"/>
  <c r="AB40" i="11" s="1"/>
  <c r="AB41" i="11"/>
  <c r="T26" i="12"/>
  <c r="T24" i="12" s="1"/>
  <c r="T46" i="11"/>
  <c r="T40" i="11" s="1"/>
  <c r="T41" i="11"/>
  <c r="L26" i="12"/>
  <c r="L24" i="12" s="1"/>
  <c r="L46" i="11"/>
  <c r="L40" i="11" s="1"/>
  <c r="L41" i="11"/>
  <c r="D26" i="12"/>
  <c r="D24" i="12" s="1"/>
  <c r="D46" i="11"/>
  <c r="D40" i="11" s="1"/>
  <c r="D41" i="11"/>
  <c r="CS53" i="15"/>
  <c r="CK53" i="15"/>
  <c r="CC53" i="15"/>
  <c r="BU53" i="15"/>
  <c r="BM53" i="15"/>
  <c r="BE53" i="15"/>
  <c r="BM50" i="12"/>
  <c r="BM72" i="11"/>
  <c r="BE50" i="12"/>
  <c r="BE72" i="11"/>
  <c r="AW50" i="12"/>
  <c r="AW72" i="11"/>
  <c r="AO50" i="12"/>
  <c r="AO72" i="11"/>
  <c r="AG50" i="12"/>
  <c r="AG72" i="11"/>
  <c r="Y50" i="12"/>
  <c r="Y72" i="11"/>
  <c r="Q50" i="12"/>
  <c r="Q72" i="11"/>
  <c r="I50" i="12"/>
  <c r="I72" i="11"/>
  <c r="H49" i="12"/>
  <c r="H71" i="11"/>
  <c r="BJ54" i="12"/>
  <c r="BJ76" i="11"/>
  <c r="BB54" i="12"/>
  <c r="BB76" i="11"/>
  <c r="AT54" i="12"/>
  <c r="AT76" i="11"/>
  <c r="AL54" i="12"/>
  <c r="AL76" i="11"/>
  <c r="AD54" i="12"/>
  <c r="AD76" i="11"/>
  <c r="V54" i="12"/>
  <c r="V76" i="11"/>
  <c r="N54" i="12"/>
  <c r="N76" i="11"/>
  <c r="F54" i="12"/>
  <c r="F76" i="11"/>
  <c r="BI53" i="12"/>
  <c r="BI75" i="11"/>
  <c r="BA53" i="12"/>
  <c r="BA75" i="11"/>
  <c r="AS53" i="12"/>
  <c r="AS75" i="11"/>
  <c r="AK53" i="12"/>
  <c r="AK75" i="11"/>
  <c r="AC53" i="12"/>
  <c r="AC75" i="11"/>
  <c r="U53" i="12"/>
  <c r="U75" i="11"/>
  <c r="M53" i="12"/>
  <c r="M75" i="11"/>
  <c r="E53" i="12"/>
  <c r="E75" i="11"/>
  <c r="BH52" i="12"/>
  <c r="BH74" i="11"/>
  <c r="AZ52" i="12"/>
  <c r="AZ74" i="11"/>
  <c r="AR52" i="12"/>
  <c r="AR74" i="11"/>
  <c r="AJ52" i="12"/>
  <c r="AJ74" i="11"/>
  <c r="AB52" i="12"/>
  <c r="AB74" i="11"/>
  <c r="T52" i="12"/>
  <c r="T74" i="11"/>
  <c r="L52" i="12"/>
  <c r="L74" i="11"/>
  <c r="D52" i="12"/>
  <c r="D74" i="11"/>
  <c r="BG51" i="12"/>
  <c r="BG73" i="11"/>
  <c r="AY51" i="12"/>
  <c r="AY73" i="11"/>
  <c r="AQ51" i="12"/>
  <c r="AQ73" i="11"/>
  <c r="AI51" i="12"/>
  <c r="AI73" i="11"/>
  <c r="AA51" i="12"/>
  <c r="AA73" i="11"/>
  <c r="S51" i="12"/>
  <c r="S73" i="11"/>
  <c r="K51" i="12"/>
  <c r="K73" i="11"/>
  <c r="C51" i="12"/>
  <c r="C73" i="11"/>
  <c r="EL87" i="15"/>
  <c r="CC133" i="18"/>
  <c r="EL133" i="18" s="1"/>
  <c r="CQ85" i="15"/>
  <c r="CI85" i="15"/>
  <c r="CA85" i="15"/>
  <c r="BS85" i="15"/>
  <c r="BK85" i="15"/>
  <c r="BC85" i="15"/>
  <c r="AU85" i="15"/>
  <c r="AM85" i="15"/>
  <c r="AE85" i="15"/>
  <c r="W85" i="15"/>
  <c r="O85" i="15"/>
  <c r="CF92" i="12"/>
  <c r="CF122" i="11"/>
  <c r="BX92" i="12"/>
  <c r="BX122" i="11"/>
  <c r="BP92" i="12"/>
  <c r="BP122" i="11"/>
  <c r="BH92" i="12"/>
  <c r="BH122" i="11"/>
  <c r="AZ92" i="12"/>
  <c r="AZ122" i="11"/>
  <c r="AR92" i="12"/>
  <c r="AR122" i="11"/>
  <c r="AJ92" i="12"/>
  <c r="AJ91" i="12" s="1"/>
  <c r="AJ122" i="11"/>
  <c r="AB92" i="12"/>
  <c r="AB122" i="11"/>
  <c r="T92" i="12"/>
  <c r="T122" i="11"/>
  <c r="L92" i="12"/>
  <c r="L122" i="11"/>
  <c r="D92" i="12"/>
  <c r="D122" i="11"/>
  <c r="BM138" i="11"/>
  <c r="BM136" i="11" s="1"/>
  <c r="CT119" i="15"/>
  <c r="CT117" i="15" s="1"/>
  <c r="CT177" i="18" s="1"/>
  <c r="BM109" i="12"/>
  <c r="BM107" i="12" s="1"/>
  <c r="BE138" i="11"/>
  <c r="CL119" i="15"/>
  <c r="BE109" i="12"/>
  <c r="AW138" i="11"/>
  <c r="AW136" i="11" s="1"/>
  <c r="CD119" i="15"/>
  <c r="CD117" i="15" s="1"/>
  <c r="CD177" i="18" s="1"/>
  <c r="AW109" i="12"/>
  <c r="AW107" i="12" s="1"/>
  <c r="AO138" i="11"/>
  <c r="AO136" i="11" s="1"/>
  <c r="BV119" i="15"/>
  <c r="BV117" i="15" s="1"/>
  <c r="BV177" i="18" s="1"/>
  <c r="AO109" i="12"/>
  <c r="AO107" i="12" s="1"/>
  <c r="AG138" i="11"/>
  <c r="BN119" i="15"/>
  <c r="AG109" i="12"/>
  <c r="Y138" i="11"/>
  <c r="Y136" i="11" s="1"/>
  <c r="BF119" i="15"/>
  <c r="BF117" i="15" s="1"/>
  <c r="BF177" i="18" s="1"/>
  <c r="Y109" i="12"/>
  <c r="Y107" i="12" s="1"/>
  <c r="Q138" i="11"/>
  <c r="Q136" i="11" s="1"/>
  <c r="AX119" i="15"/>
  <c r="AX117" i="15" s="1"/>
  <c r="AX177" i="18" s="1"/>
  <c r="Q109" i="12"/>
  <c r="Q107" i="12" s="1"/>
  <c r="I138" i="11"/>
  <c r="I136" i="11" s="1"/>
  <c r="AP119" i="15"/>
  <c r="AP117" i="15" s="1"/>
  <c r="AP177" i="18" s="1"/>
  <c r="I109" i="12"/>
  <c r="I107" i="12" s="1"/>
  <c r="BL143" i="11"/>
  <c r="BL141" i="11" s="1"/>
  <c r="BL114" i="12"/>
  <c r="BL112" i="12" s="1"/>
  <c r="CS125" i="15"/>
  <c r="CS123" i="15" s="1"/>
  <c r="BD143" i="11"/>
  <c r="BD141" i="11" s="1"/>
  <c r="BD114" i="12"/>
  <c r="BD112" i="12" s="1"/>
  <c r="CK125" i="15"/>
  <c r="CK123" i="15" s="1"/>
  <c r="AV143" i="11"/>
  <c r="AV114" i="12"/>
  <c r="CC125" i="15"/>
  <c r="AN143" i="11"/>
  <c r="AN141" i="11" s="1"/>
  <c r="AN114" i="12"/>
  <c r="AN112" i="12" s="1"/>
  <c r="BU125" i="15"/>
  <c r="BU123" i="15" s="1"/>
  <c r="AF143" i="11"/>
  <c r="AF141" i="11" s="1"/>
  <c r="AF114" i="12"/>
  <c r="AF112" i="12" s="1"/>
  <c r="BM125" i="15"/>
  <c r="BM123" i="15" s="1"/>
  <c r="X143" i="11"/>
  <c r="X141" i="11" s="1"/>
  <c r="X114" i="12"/>
  <c r="X112" i="12" s="1"/>
  <c r="BE125" i="15"/>
  <c r="BE123" i="15" s="1"/>
  <c r="P143" i="11"/>
  <c r="P141" i="11" s="1"/>
  <c r="P114" i="12"/>
  <c r="P112" i="12" s="1"/>
  <c r="AW125" i="15"/>
  <c r="AW123" i="15" s="1"/>
  <c r="H143" i="11"/>
  <c r="H141" i="11" s="1"/>
  <c r="H114" i="12"/>
  <c r="H112" i="12" s="1"/>
  <c r="AO125" i="15"/>
  <c r="AO123" i="15" s="1"/>
  <c r="CR37" i="18"/>
  <c r="CR6" i="18"/>
  <c r="CJ37" i="18"/>
  <c r="CJ6" i="18"/>
  <c r="CB37" i="18"/>
  <c r="CB6" i="18"/>
  <c r="BT37" i="18"/>
  <c r="BT6" i="18"/>
  <c r="BL37" i="18"/>
  <c r="BL6" i="18"/>
  <c r="BD37" i="18"/>
  <c r="BD6" i="18"/>
  <c r="AV37" i="18"/>
  <c r="AV6" i="18"/>
  <c r="AN37" i="18"/>
  <c r="AN6" i="18"/>
  <c r="AF37" i="18"/>
  <c r="AF6" i="18"/>
  <c r="X37" i="18"/>
  <c r="X6" i="18"/>
  <c r="P37" i="18"/>
  <c r="P6" i="18"/>
  <c r="H37" i="18"/>
  <c r="H6" i="18"/>
  <c r="CR9" i="14"/>
  <c r="CR49" i="18"/>
  <c r="CJ9" i="14"/>
  <c r="CJ49" i="18"/>
  <c r="CB9" i="14"/>
  <c r="CB49" i="18"/>
  <c r="BT9" i="14"/>
  <c r="BT49" i="18"/>
  <c r="BD9" i="14"/>
  <c r="BD49" i="18"/>
  <c r="AV9" i="14"/>
  <c r="AV49" i="18"/>
  <c r="AF9" i="14"/>
  <c r="AF49" i="18"/>
  <c r="X9" i="14"/>
  <c r="X49" i="18"/>
  <c r="CR81" i="18"/>
  <c r="CR13" i="18"/>
  <c r="CJ81" i="18"/>
  <c r="CJ13" i="18"/>
  <c r="CJ44" i="18" s="1"/>
  <c r="CB81" i="18"/>
  <c r="CB13" i="18"/>
  <c r="CB44" i="18" s="1"/>
  <c r="BT81" i="18"/>
  <c r="BT13" i="18"/>
  <c r="BL81" i="18"/>
  <c r="BL13" i="18"/>
  <c r="BL44" i="18" s="1"/>
  <c r="BD81" i="18"/>
  <c r="BD13" i="18"/>
  <c r="BD44" i="18" s="1"/>
  <c r="AV81" i="18"/>
  <c r="AV13" i="18"/>
  <c r="AV44" i="18" s="1"/>
  <c r="AN81" i="18"/>
  <c r="AN13" i="18"/>
  <c r="AN44" i="18" s="1"/>
  <c r="AF81" i="18"/>
  <c r="AF13" i="18"/>
  <c r="AF44" i="18" s="1"/>
  <c r="X81" i="18"/>
  <c r="X13" i="18"/>
  <c r="X44" i="18" s="1"/>
  <c r="P81" i="18"/>
  <c r="P13" i="18"/>
  <c r="P44" i="18" s="1"/>
  <c r="H81" i="18"/>
  <c r="H13" i="18"/>
  <c r="H44" i="18" s="1"/>
  <c r="V9" i="11"/>
  <c r="V4" i="11"/>
  <c r="T8" i="12"/>
  <c r="T22" i="12" s="1"/>
  <c r="T13" i="11"/>
  <c r="T11" i="11" s="1"/>
  <c r="AJ9" i="11"/>
  <c r="AJ4" i="11"/>
  <c r="L9" i="11"/>
  <c r="L4" i="11"/>
  <c r="AH8" i="12"/>
  <c r="AH22" i="12" s="1"/>
  <c r="AH13" i="11"/>
  <c r="AH11" i="11" s="1"/>
  <c r="R8" i="12"/>
  <c r="R22" i="12" s="1"/>
  <c r="R13" i="11"/>
  <c r="R11" i="11" s="1"/>
  <c r="BJ12" i="12"/>
  <c r="BJ10" i="12" s="1"/>
  <c r="BJ21" i="11"/>
  <c r="BJ15" i="11" s="1"/>
  <c r="BJ16" i="11"/>
  <c r="BB12" i="12"/>
  <c r="BB21" i="11"/>
  <c r="BB16" i="11"/>
  <c r="AT12" i="12"/>
  <c r="AT10" i="12" s="1"/>
  <c r="AT21" i="11"/>
  <c r="AT15" i="11" s="1"/>
  <c r="AT16" i="11"/>
  <c r="AL12" i="12"/>
  <c r="AL10" i="12" s="1"/>
  <c r="AL21" i="11"/>
  <c r="AL15" i="11" s="1"/>
  <c r="AL16" i="11"/>
  <c r="AD12" i="12"/>
  <c r="AD21" i="11"/>
  <c r="AD16" i="11"/>
  <c r="V12" i="12"/>
  <c r="V10" i="12" s="1"/>
  <c r="V21" i="11"/>
  <c r="V15" i="11" s="1"/>
  <c r="V16" i="11"/>
  <c r="N12" i="12"/>
  <c r="N10" i="12" s="1"/>
  <c r="N21" i="11"/>
  <c r="N15" i="11" s="1"/>
  <c r="N16" i="11"/>
  <c r="F12" i="12"/>
  <c r="F10" i="12" s="1"/>
  <c r="F21" i="11"/>
  <c r="F15" i="11" s="1"/>
  <c r="F16" i="11"/>
  <c r="BG26" i="12"/>
  <c r="BG24" i="12" s="1"/>
  <c r="BG46" i="11"/>
  <c r="BG40" i="11" s="1"/>
  <c r="BG41" i="11"/>
  <c r="AY26" i="12"/>
  <c r="AY46" i="11"/>
  <c r="AY41" i="11"/>
  <c r="AQ26" i="12"/>
  <c r="AQ24" i="12" s="1"/>
  <c r="AQ46" i="11"/>
  <c r="AQ40" i="11" s="1"/>
  <c r="AQ41" i="11"/>
  <c r="AI26" i="12"/>
  <c r="AI24" i="12" s="1"/>
  <c r="AI46" i="11"/>
  <c r="AI40" i="11" s="1"/>
  <c r="AI41" i="11"/>
  <c r="AA26" i="12"/>
  <c r="AA24" i="12" s="1"/>
  <c r="AA46" i="11"/>
  <c r="AA40" i="11" s="1"/>
  <c r="AA41" i="11"/>
  <c r="S26" i="12"/>
  <c r="S24" i="12" s="1"/>
  <c r="S46" i="11"/>
  <c r="S40" i="11" s="1"/>
  <c r="S41" i="11"/>
  <c r="K26" i="12"/>
  <c r="K24" i="12" s="1"/>
  <c r="K46" i="11"/>
  <c r="K40" i="11" s="1"/>
  <c r="K41" i="11"/>
  <c r="C26" i="12"/>
  <c r="C24" i="12" s="1"/>
  <c r="C46" i="11"/>
  <c r="C40" i="11" s="1"/>
  <c r="C41" i="11"/>
  <c r="CR53" i="15"/>
  <c r="CJ53" i="15"/>
  <c r="CB53" i="15"/>
  <c r="BT53" i="15"/>
  <c r="BL53" i="15"/>
  <c r="BD53" i="15"/>
  <c r="AF53" i="15"/>
  <c r="X53" i="15"/>
  <c r="X51" i="15" s="1"/>
  <c r="X85" i="18" s="1"/>
  <c r="P53" i="15"/>
  <c r="P51" i="15" s="1"/>
  <c r="P85" i="18" s="1"/>
  <c r="BL50" i="12"/>
  <c r="BL72" i="11"/>
  <c r="BD50" i="12"/>
  <c r="BD72" i="11"/>
  <c r="AV50" i="12"/>
  <c r="AV72" i="11"/>
  <c r="AN50" i="12"/>
  <c r="AN72" i="11"/>
  <c r="AF50" i="12"/>
  <c r="AF72" i="11"/>
  <c r="X50" i="12"/>
  <c r="X72" i="11"/>
  <c r="P50" i="12"/>
  <c r="P72" i="11"/>
  <c r="H50" i="12"/>
  <c r="H72" i="11"/>
  <c r="G49" i="12"/>
  <c r="G71" i="11"/>
  <c r="BI54" i="12"/>
  <c r="BI76" i="11"/>
  <c r="BA54" i="12"/>
  <c r="BA76" i="11"/>
  <c r="AS54" i="12"/>
  <c r="AS76" i="11"/>
  <c r="AK54" i="12"/>
  <c r="AK76" i="11"/>
  <c r="AC54" i="12"/>
  <c r="AC76" i="11"/>
  <c r="U54" i="12"/>
  <c r="U76" i="11"/>
  <c r="M54" i="12"/>
  <c r="M76" i="11"/>
  <c r="E54" i="12"/>
  <c r="E76" i="11"/>
  <c r="BH53" i="12"/>
  <c r="BH75" i="11"/>
  <c r="AZ53" i="12"/>
  <c r="AZ75" i="11"/>
  <c r="AR53" i="12"/>
  <c r="AR75" i="11"/>
  <c r="AJ53" i="12"/>
  <c r="AJ75" i="11"/>
  <c r="AB53" i="12"/>
  <c r="AB75" i="11"/>
  <c r="T53" i="12"/>
  <c r="T75" i="11"/>
  <c r="L53" i="12"/>
  <c r="L75" i="11"/>
  <c r="D53" i="12"/>
  <c r="D75" i="11"/>
  <c r="BG52" i="12"/>
  <c r="BG74" i="11"/>
  <c r="AY52" i="12"/>
  <c r="AY74" i="11"/>
  <c r="AQ52" i="12"/>
  <c r="AQ74" i="11"/>
  <c r="AI52" i="12"/>
  <c r="AI74" i="11"/>
  <c r="AA52" i="12"/>
  <c r="AA74" i="11"/>
  <c r="S52" i="12"/>
  <c r="S74" i="11"/>
  <c r="K52" i="12"/>
  <c r="K74" i="11"/>
  <c r="C52" i="12"/>
  <c r="C74" i="11"/>
  <c r="BF51" i="12"/>
  <c r="BF73" i="11"/>
  <c r="AX51" i="12"/>
  <c r="AX73" i="11"/>
  <c r="AP51" i="12"/>
  <c r="AP73" i="11"/>
  <c r="AH51" i="12"/>
  <c r="AH73" i="11"/>
  <c r="Z51" i="12"/>
  <c r="Z73" i="11"/>
  <c r="R51" i="12"/>
  <c r="R73" i="11"/>
  <c r="J51" i="12"/>
  <c r="J73" i="11"/>
  <c r="EQ87" i="15"/>
  <c r="CR133" i="18"/>
  <c r="EQ133" i="18" s="1"/>
  <c r="EI87" i="15"/>
  <c r="BT133" i="18"/>
  <c r="EI133" i="18" s="1"/>
  <c r="CP85" i="15"/>
  <c r="CH85" i="15"/>
  <c r="BZ85" i="15"/>
  <c r="BR85" i="15"/>
  <c r="BJ85" i="15"/>
  <c r="BB85" i="15"/>
  <c r="AT85" i="15"/>
  <c r="AL85" i="15"/>
  <c r="AD85" i="15"/>
  <c r="V85" i="15"/>
  <c r="N85" i="15"/>
  <c r="CE122" i="11"/>
  <c r="CE92" i="12"/>
  <c r="BW122" i="11"/>
  <c r="BW92" i="12"/>
  <c r="BO92" i="12"/>
  <c r="BO122" i="11"/>
  <c r="BG92" i="12"/>
  <c r="BG122" i="11"/>
  <c r="AY92" i="12"/>
  <c r="AY122" i="11"/>
  <c r="AQ92" i="12"/>
  <c r="AQ122" i="11"/>
  <c r="AI92" i="12"/>
  <c r="AI122" i="11"/>
  <c r="AA122" i="11"/>
  <c r="AA92" i="12"/>
  <c r="S92" i="12"/>
  <c r="S122" i="11"/>
  <c r="K92" i="12"/>
  <c r="K122" i="11"/>
  <c r="C92" i="12"/>
  <c r="C122" i="11"/>
  <c r="BL138" i="11"/>
  <c r="BL136" i="11" s="1"/>
  <c r="CS119" i="15"/>
  <c r="CS117" i="15" s="1"/>
  <c r="CS177" i="18" s="1"/>
  <c r="BL109" i="12"/>
  <c r="BL107" i="12" s="1"/>
  <c r="BD138" i="11"/>
  <c r="BD136" i="11" s="1"/>
  <c r="CK119" i="15"/>
  <c r="CK117" i="15" s="1"/>
  <c r="CK177" i="18" s="1"/>
  <c r="BD109" i="12"/>
  <c r="BD107" i="12" s="1"/>
  <c r="AV138" i="11"/>
  <c r="CC119" i="15"/>
  <c r="AV109" i="12"/>
  <c r="AN138" i="11"/>
  <c r="AN136" i="11" s="1"/>
  <c r="BU119" i="15"/>
  <c r="BU117" i="15" s="1"/>
  <c r="BU177" i="18" s="1"/>
  <c r="AN109" i="12"/>
  <c r="AN107" i="12" s="1"/>
  <c r="AF138" i="11"/>
  <c r="AF136" i="11" s="1"/>
  <c r="BM119" i="15"/>
  <c r="BM117" i="15" s="1"/>
  <c r="BM177" i="18" s="1"/>
  <c r="AF109" i="12"/>
  <c r="AF107" i="12" s="1"/>
  <c r="X138" i="11"/>
  <c r="X136" i="11" s="1"/>
  <c r="BE119" i="15"/>
  <c r="BE117" i="15" s="1"/>
  <c r="BE177" i="18" s="1"/>
  <c r="X109" i="12"/>
  <c r="X107" i="12" s="1"/>
  <c r="P138" i="11"/>
  <c r="P136" i="11" s="1"/>
  <c r="AW119" i="15"/>
  <c r="AW117" i="15" s="1"/>
  <c r="AW177" i="18" s="1"/>
  <c r="P109" i="12"/>
  <c r="P107" i="12" s="1"/>
  <c r="H138" i="11"/>
  <c r="H136" i="11" s="1"/>
  <c r="AO119" i="15"/>
  <c r="AO117" i="15" s="1"/>
  <c r="AO177" i="18" s="1"/>
  <c r="H109" i="12"/>
  <c r="H107" i="12" s="1"/>
  <c r="BK143" i="11"/>
  <c r="BK114" i="12"/>
  <c r="CR125" i="15"/>
  <c r="BC143" i="11"/>
  <c r="BC141" i="11" s="1"/>
  <c r="CJ125" i="15"/>
  <c r="CJ123" i="15" s="1"/>
  <c r="BC114" i="12"/>
  <c r="BC112" i="12" s="1"/>
  <c r="AU143" i="11"/>
  <c r="AU141" i="11" s="1"/>
  <c r="CB125" i="15"/>
  <c r="CB123" i="15" s="1"/>
  <c r="AU114" i="12"/>
  <c r="AU112" i="12" s="1"/>
  <c r="AM143" i="11"/>
  <c r="BT125" i="15"/>
  <c r="AM114" i="12"/>
  <c r="AE143" i="11"/>
  <c r="AE141" i="11" s="1"/>
  <c r="AE114" i="12"/>
  <c r="AE112" i="12" s="1"/>
  <c r="BL125" i="15"/>
  <c r="BL123" i="15" s="1"/>
  <c r="W143" i="11"/>
  <c r="W141" i="11" s="1"/>
  <c r="BD125" i="15"/>
  <c r="BD123" i="15" s="1"/>
  <c r="W114" i="12"/>
  <c r="W112" i="12" s="1"/>
  <c r="O143" i="11"/>
  <c r="O141" i="11" s="1"/>
  <c r="AV125" i="15"/>
  <c r="AV123" i="15" s="1"/>
  <c r="O114" i="12"/>
  <c r="O112" i="12" s="1"/>
  <c r="G143" i="11"/>
  <c r="G141" i="11" s="1"/>
  <c r="AN125" i="15"/>
  <c r="AN123" i="15" s="1"/>
  <c r="G114" i="12"/>
  <c r="G112" i="12" s="1"/>
  <c r="CQ37" i="18"/>
  <c r="CQ6" i="18"/>
  <c r="CI37" i="18"/>
  <c r="CI6" i="18"/>
  <c r="CA37" i="18"/>
  <c r="CA6" i="18"/>
  <c r="BS37" i="18"/>
  <c r="BS6" i="18"/>
  <c r="BK37" i="18"/>
  <c r="BK6" i="18"/>
  <c r="BC37" i="18"/>
  <c r="BC6" i="18"/>
  <c r="AU37" i="18"/>
  <c r="AU6" i="18"/>
  <c r="AM37" i="18"/>
  <c r="AM6" i="18"/>
  <c r="AE37" i="18"/>
  <c r="AE6" i="18"/>
  <c r="W37" i="18"/>
  <c r="W6" i="18"/>
  <c r="O37" i="18"/>
  <c r="O6" i="18"/>
  <c r="G37" i="18"/>
  <c r="G6" i="18"/>
  <c r="CQ9" i="14"/>
  <c r="CQ49" i="18"/>
  <c r="CI9" i="14"/>
  <c r="CI37" i="14" s="1"/>
  <c r="CI49" i="18"/>
  <c r="CA9" i="14"/>
  <c r="CA20" i="14" s="1"/>
  <c r="CA49" i="18"/>
  <c r="BS9" i="14"/>
  <c r="BS49" i="18"/>
  <c r="BK9" i="14"/>
  <c r="BK49" i="18"/>
  <c r="EF49" i="18" s="1"/>
  <c r="BC9" i="14"/>
  <c r="BC49" i="18"/>
  <c r="AU9" i="14"/>
  <c r="AU49" i="18"/>
  <c r="AM9" i="14"/>
  <c r="AM49" i="18"/>
  <c r="AE9" i="14"/>
  <c r="AE20" i="14" s="1"/>
  <c r="AE49" i="18"/>
  <c r="W9" i="14"/>
  <c r="W49" i="18"/>
  <c r="O9" i="14"/>
  <c r="O40" i="14" s="1"/>
  <c r="O49" i="18"/>
  <c r="CQ81" i="18"/>
  <c r="CQ13" i="18"/>
  <c r="CQ44" i="18" s="1"/>
  <c r="CI81" i="18"/>
  <c r="CI13" i="18"/>
  <c r="CA81" i="18"/>
  <c r="CA13" i="18"/>
  <c r="CA44" i="18" s="1"/>
  <c r="BS81" i="18"/>
  <c r="BS13" i="18"/>
  <c r="BS44" i="18" s="1"/>
  <c r="BK81" i="18"/>
  <c r="BK13" i="18"/>
  <c r="BC81" i="18"/>
  <c r="BC13" i="18"/>
  <c r="BC44" i="18" s="1"/>
  <c r="AU81" i="18"/>
  <c r="AU13" i="18"/>
  <c r="AU44" i="18" s="1"/>
  <c r="AM81" i="18"/>
  <c r="AM13" i="18"/>
  <c r="AM44" i="18" s="1"/>
  <c r="AE81" i="18"/>
  <c r="AE13" i="18"/>
  <c r="AE44" i="18" s="1"/>
  <c r="W81" i="18"/>
  <c r="W13" i="18"/>
  <c r="W44" i="18" s="1"/>
  <c r="O81" i="18"/>
  <c r="O13" i="18"/>
  <c r="O44" i="18" s="1"/>
  <c r="G81" i="18"/>
  <c r="G13" i="18"/>
  <c r="G44" i="18" s="1"/>
  <c r="AL9" i="11"/>
  <c r="AL4" i="11"/>
  <c r="AJ8" i="12"/>
  <c r="AJ13" i="11"/>
  <c r="L8" i="12"/>
  <c r="L22" i="12" s="1"/>
  <c r="L13" i="11"/>
  <c r="L11" i="11" s="1"/>
  <c r="AN12" i="12"/>
  <c r="AN10" i="12" s="1"/>
  <c r="AN21" i="11"/>
  <c r="AN15" i="11" s="1"/>
  <c r="AN16" i="11"/>
  <c r="BH9" i="11"/>
  <c r="BH4" i="11"/>
  <c r="AZ9" i="11"/>
  <c r="AZ4" i="11"/>
  <c r="AR9" i="11"/>
  <c r="AR4" i="11"/>
  <c r="AB9" i="11"/>
  <c r="AB4" i="11"/>
  <c r="T9" i="11"/>
  <c r="T4" i="11"/>
  <c r="D9" i="11"/>
  <c r="D4" i="11"/>
  <c r="BF8" i="12"/>
  <c r="BF22" i="12" s="1"/>
  <c r="BF13" i="11"/>
  <c r="BF11" i="11" s="1"/>
  <c r="AX8" i="12"/>
  <c r="AX22" i="12" s="1"/>
  <c r="AX13" i="11"/>
  <c r="AX11" i="11" s="1"/>
  <c r="AP8" i="12"/>
  <c r="AP13" i="11"/>
  <c r="Z8" i="12"/>
  <c r="Z22" i="12" s="1"/>
  <c r="Z13" i="11"/>
  <c r="Z11" i="11" s="1"/>
  <c r="J8" i="12"/>
  <c r="J22" i="12" s="1"/>
  <c r="J13" i="11"/>
  <c r="J11" i="11" s="1"/>
  <c r="BG9" i="11"/>
  <c r="BG4" i="11"/>
  <c r="AY9" i="11"/>
  <c r="AY4" i="11"/>
  <c r="AQ9" i="11"/>
  <c r="AQ4" i="11"/>
  <c r="AI9" i="11"/>
  <c r="AI4" i="11"/>
  <c r="AA9" i="11"/>
  <c r="AA4" i="11"/>
  <c r="S9" i="11"/>
  <c r="S4" i="11"/>
  <c r="K9" i="11"/>
  <c r="K4" i="11"/>
  <c r="C9" i="11"/>
  <c r="C4" i="11"/>
  <c r="BM8" i="12"/>
  <c r="BM22" i="12" s="1"/>
  <c r="BM13" i="11"/>
  <c r="BM11" i="11" s="1"/>
  <c r="BE8" i="12"/>
  <c r="BE13" i="11"/>
  <c r="AW8" i="12"/>
  <c r="AW22" i="12" s="1"/>
  <c r="AW13" i="11"/>
  <c r="AW11" i="11" s="1"/>
  <c r="AO8" i="12"/>
  <c r="AO22" i="12" s="1"/>
  <c r="AO13" i="11"/>
  <c r="AO11" i="11" s="1"/>
  <c r="AG8" i="12"/>
  <c r="AG13" i="11"/>
  <c r="Y8" i="12"/>
  <c r="Y22" i="12" s="1"/>
  <c r="Y13" i="11"/>
  <c r="Y11" i="11" s="1"/>
  <c r="Q8" i="12"/>
  <c r="Q22" i="12" s="1"/>
  <c r="Q13" i="11"/>
  <c r="Q11" i="11" s="1"/>
  <c r="I8" i="12"/>
  <c r="I22" i="12" s="1"/>
  <c r="I13" i="11"/>
  <c r="I11" i="11" s="1"/>
  <c r="BI12" i="12"/>
  <c r="BI10" i="12" s="1"/>
  <c r="BI21" i="11"/>
  <c r="BI15" i="11" s="1"/>
  <c r="BI16" i="11"/>
  <c r="BA12" i="12"/>
  <c r="BA10" i="12" s="1"/>
  <c r="BA21" i="11"/>
  <c r="BA15" i="11" s="1"/>
  <c r="BA16" i="11"/>
  <c r="AS12" i="12"/>
  <c r="AS21" i="11"/>
  <c r="AS16" i="11"/>
  <c r="AK12" i="12"/>
  <c r="AK10" i="12" s="1"/>
  <c r="AK21" i="11"/>
  <c r="AK15" i="11" s="1"/>
  <c r="AK16" i="11"/>
  <c r="AC12" i="12"/>
  <c r="AC10" i="12" s="1"/>
  <c r="AC21" i="11"/>
  <c r="AC15" i="11" s="1"/>
  <c r="AC16" i="11"/>
  <c r="U12" i="12"/>
  <c r="U10" i="12" s="1"/>
  <c r="U21" i="11"/>
  <c r="U15" i="11" s="1"/>
  <c r="U16" i="11"/>
  <c r="M12" i="12"/>
  <c r="M10" i="12" s="1"/>
  <c r="M21" i="11"/>
  <c r="M15" i="11" s="1"/>
  <c r="M16" i="11"/>
  <c r="E12" i="12"/>
  <c r="E10" i="12" s="1"/>
  <c r="E21" i="11"/>
  <c r="E15" i="11" s="1"/>
  <c r="E16" i="11"/>
  <c r="CR28" i="18"/>
  <c r="CJ28" i="18"/>
  <c r="CB28" i="18"/>
  <c r="BT28" i="18"/>
  <c r="BL28" i="18"/>
  <c r="BD28" i="18"/>
  <c r="AV28" i="18"/>
  <c r="AN28" i="18"/>
  <c r="AF28" i="18"/>
  <c r="X28" i="18"/>
  <c r="P28" i="18"/>
  <c r="BF26" i="12"/>
  <c r="BF24" i="12" s="1"/>
  <c r="BF46" i="11"/>
  <c r="BF40" i="11" s="1"/>
  <c r="BF41" i="11"/>
  <c r="AX26" i="12"/>
  <c r="AX24" i="12" s="1"/>
  <c r="AX46" i="11"/>
  <c r="AX40" i="11" s="1"/>
  <c r="AX41" i="11"/>
  <c r="AP26" i="12"/>
  <c r="AP46" i="11"/>
  <c r="AP41" i="11"/>
  <c r="AH26" i="12"/>
  <c r="AH24" i="12" s="1"/>
  <c r="AH46" i="11"/>
  <c r="AH40" i="11" s="1"/>
  <c r="AH41" i="11"/>
  <c r="Z26" i="12"/>
  <c r="Z24" i="12" s="1"/>
  <c r="Z46" i="11"/>
  <c r="Z40" i="11" s="1"/>
  <c r="Z41" i="11"/>
  <c r="R26" i="12"/>
  <c r="R24" i="12" s="1"/>
  <c r="R46" i="11"/>
  <c r="R40" i="11" s="1"/>
  <c r="R41" i="11"/>
  <c r="J26" i="12"/>
  <c r="J24" i="12" s="1"/>
  <c r="J46" i="11"/>
  <c r="J40" i="11" s="1"/>
  <c r="J41" i="11"/>
  <c r="CQ53" i="15"/>
  <c r="CI53" i="15"/>
  <c r="CA53" i="15"/>
  <c r="BS53" i="15"/>
  <c r="BK53" i="15"/>
  <c r="AE53" i="15"/>
  <c r="W53" i="15"/>
  <c r="W51" i="15" s="1"/>
  <c r="W85" i="18" s="1"/>
  <c r="O53" i="15"/>
  <c r="O51" i="15" s="1"/>
  <c r="O85" i="18" s="1"/>
  <c r="BK50" i="12"/>
  <c r="BK72" i="11"/>
  <c r="BC50" i="12"/>
  <c r="BC72" i="11"/>
  <c r="AU50" i="12"/>
  <c r="AU72" i="11"/>
  <c r="AM50" i="12"/>
  <c r="AM72" i="11"/>
  <c r="AE50" i="12"/>
  <c r="AE72" i="11"/>
  <c r="W50" i="12"/>
  <c r="W72" i="11"/>
  <c r="O50" i="12"/>
  <c r="O72" i="11"/>
  <c r="G50" i="12"/>
  <c r="G72" i="11"/>
  <c r="F49" i="12"/>
  <c r="F71" i="11"/>
  <c r="BH54" i="12"/>
  <c r="BH76" i="11"/>
  <c r="AZ54" i="12"/>
  <c r="AZ76" i="11"/>
  <c r="AR54" i="12"/>
  <c r="AR76" i="11"/>
  <c r="AJ54" i="12"/>
  <c r="AJ76" i="11"/>
  <c r="AB54" i="12"/>
  <c r="AB76" i="11"/>
  <c r="T54" i="12"/>
  <c r="T76" i="11"/>
  <c r="L54" i="12"/>
  <c r="L76" i="11"/>
  <c r="D54" i="12"/>
  <c r="D76" i="11"/>
  <c r="BG53" i="12"/>
  <c r="BG75" i="11"/>
  <c r="AY53" i="12"/>
  <c r="AY75" i="11"/>
  <c r="AQ53" i="12"/>
  <c r="AQ75" i="11"/>
  <c r="AI53" i="12"/>
  <c r="AI75" i="11"/>
  <c r="AA53" i="12"/>
  <c r="AA75" i="11"/>
  <c r="S53" i="12"/>
  <c r="S75" i="11"/>
  <c r="K53" i="12"/>
  <c r="K75" i="11"/>
  <c r="C53" i="12"/>
  <c r="C75" i="11"/>
  <c r="BF52" i="12"/>
  <c r="BF74" i="11"/>
  <c r="AX52" i="12"/>
  <c r="AX74" i="11"/>
  <c r="AP52" i="12"/>
  <c r="AP74" i="11"/>
  <c r="AH52" i="12"/>
  <c r="AH74" i="11"/>
  <c r="Z52" i="12"/>
  <c r="Z74" i="11"/>
  <c r="R52" i="12"/>
  <c r="R74" i="11"/>
  <c r="J52" i="12"/>
  <c r="J74" i="11"/>
  <c r="BM51" i="12"/>
  <c r="BM73" i="11"/>
  <c r="BE51" i="12"/>
  <c r="BE73" i="11"/>
  <c r="AW51" i="12"/>
  <c r="AW73" i="11"/>
  <c r="AO51" i="12"/>
  <c r="AO73" i="11"/>
  <c r="AG51" i="12"/>
  <c r="AG73" i="11"/>
  <c r="Y51" i="12"/>
  <c r="Y73" i="11"/>
  <c r="Q51" i="12"/>
  <c r="Q73" i="11"/>
  <c r="I51" i="12"/>
  <c r="I73" i="11"/>
  <c r="EN87" i="15"/>
  <c r="CI133" i="18"/>
  <c r="EN133" i="18" s="1"/>
  <c r="EF87" i="15"/>
  <c r="BK133" i="18"/>
  <c r="EF133" i="18" s="1"/>
  <c r="CO85" i="15"/>
  <c r="CG85" i="15"/>
  <c r="BY85" i="15"/>
  <c r="BQ85" i="15"/>
  <c r="BI85" i="15"/>
  <c r="BA85" i="15"/>
  <c r="AS85" i="15"/>
  <c r="AK85" i="15"/>
  <c r="AC85" i="15"/>
  <c r="U85" i="15"/>
  <c r="M85" i="15"/>
  <c r="CD92" i="12"/>
  <c r="CD122" i="11"/>
  <c r="BV92" i="12"/>
  <c r="BV122" i="11"/>
  <c r="BN92" i="12"/>
  <c r="BN122" i="11"/>
  <c r="BF92" i="12"/>
  <c r="BF122" i="11"/>
  <c r="AX92" i="12"/>
  <c r="AX122" i="11"/>
  <c r="AP92" i="12"/>
  <c r="AP91" i="12" s="1"/>
  <c r="AP122" i="11"/>
  <c r="AH92" i="12"/>
  <c r="AH122" i="11"/>
  <c r="Z92" i="12"/>
  <c r="Z122" i="11"/>
  <c r="R92" i="12"/>
  <c r="R122" i="11"/>
  <c r="J92" i="12"/>
  <c r="J122" i="11"/>
  <c r="BK138" i="11"/>
  <c r="CR119" i="15"/>
  <c r="BK109" i="12"/>
  <c r="BC138" i="11"/>
  <c r="BC136" i="11" s="1"/>
  <c r="CJ119" i="15"/>
  <c r="CJ117" i="15" s="1"/>
  <c r="CJ177" i="18" s="1"/>
  <c r="BC109" i="12"/>
  <c r="BC107" i="12" s="1"/>
  <c r="AU138" i="11"/>
  <c r="AU136" i="11" s="1"/>
  <c r="CB119" i="15"/>
  <c r="CB117" i="15" s="1"/>
  <c r="CB177" i="18" s="1"/>
  <c r="AU109" i="12"/>
  <c r="AU107" i="12" s="1"/>
  <c r="AM138" i="11"/>
  <c r="BT119" i="15"/>
  <c r="AM109" i="12"/>
  <c r="AE138" i="11"/>
  <c r="AE136" i="11" s="1"/>
  <c r="BL119" i="15"/>
  <c r="BL117" i="15" s="1"/>
  <c r="BL177" i="18" s="1"/>
  <c r="AE109" i="12"/>
  <c r="AE107" i="12" s="1"/>
  <c r="W138" i="11"/>
  <c r="W136" i="11" s="1"/>
  <c r="BD119" i="15"/>
  <c r="BD117" i="15" s="1"/>
  <c r="BD177" i="18" s="1"/>
  <c r="W109" i="12"/>
  <c r="W107" i="12" s="1"/>
  <c r="O138" i="11"/>
  <c r="O136" i="11" s="1"/>
  <c r="AV119" i="15"/>
  <c r="AV117" i="15" s="1"/>
  <c r="AV177" i="18" s="1"/>
  <c r="O109" i="12"/>
  <c r="O107" i="12" s="1"/>
  <c r="G138" i="11"/>
  <c r="G136" i="11" s="1"/>
  <c r="AN119" i="15"/>
  <c r="AN117" i="15" s="1"/>
  <c r="AN177" i="18" s="1"/>
  <c r="G109" i="12"/>
  <c r="G107" i="12" s="1"/>
  <c r="BJ143" i="11"/>
  <c r="BJ141" i="11" s="1"/>
  <c r="BJ114" i="12"/>
  <c r="BJ112" i="12" s="1"/>
  <c r="CQ125" i="15"/>
  <c r="CQ123" i="15" s="1"/>
  <c r="BB143" i="11"/>
  <c r="BB114" i="12"/>
  <c r="CI125" i="15"/>
  <c r="AT143" i="11"/>
  <c r="AT141" i="11" s="1"/>
  <c r="AT114" i="12"/>
  <c r="AT112" i="12" s="1"/>
  <c r="CA125" i="15"/>
  <c r="CA123" i="15" s="1"/>
  <c r="AL143" i="11"/>
  <c r="AL141" i="11" s="1"/>
  <c r="AL114" i="12"/>
  <c r="AL112" i="12" s="1"/>
  <c r="BS125" i="15"/>
  <c r="BS123" i="15" s="1"/>
  <c r="AD143" i="11"/>
  <c r="AD114" i="12"/>
  <c r="BK125" i="15"/>
  <c r="V143" i="11"/>
  <c r="V141" i="11" s="1"/>
  <c r="V114" i="12"/>
  <c r="V112" i="12" s="1"/>
  <c r="BC125" i="15"/>
  <c r="BC123" i="15" s="1"/>
  <c r="N143" i="11"/>
  <c r="N141" i="11" s="1"/>
  <c r="N114" i="12"/>
  <c r="N112" i="12" s="1"/>
  <c r="AU125" i="15"/>
  <c r="AU123" i="15" s="1"/>
  <c r="F143" i="11"/>
  <c r="F141" i="11" s="1"/>
  <c r="F114" i="12"/>
  <c r="F112" i="12" s="1"/>
  <c r="AM125" i="15"/>
  <c r="AM123" i="15" s="1"/>
  <c r="CP37" i="18"/>
  <c r="CP6" i="18"/>
  <c r="CH37" i="18"/>
  <c r="CH6" i="18"/>
  <c r="BZ37" i="18"/>
  <c r="BZ6" i="18"/>
  <c r="BR37" i="18"/>
  <c r="BR6" i="18"/>
  <c r="BJ37" i="18"/>
  <c r="BJ6" i="18"/>
  <c r="BB37" i="18"/>
  <c r="BB6" i="18"/>
  <c r="AT37" i="18"/>
  <c r="AT6" i="18"/>
  <c r="AL37" i="18"/>
  <c r="AL6" i="18"/>
  <c r="AD37" i="18"/>
  <c r="AD6" i="18"/>
  <c r="V37" i="18"/>
  <c r="V6" i="18"/>
  <c r="N37" i="18"/>
  <c r="N6" i="18"/>
  <c r="F37" i="18"/>
  <c r="F6" i="18"/>
  <c r="CH9" i="14"/>
  <c r="CH49" i="18"/>
  <c r="BR9" i="14"/>
  <c r="BR49" i="18"/>
  <c r="BJ9" i="14"/>
  <c r="BJ49" i="18"/>
  <c r="AT9" i="14"/>
  <c r="AT49" i="18"/>
  <c r="AL9" i="14"/>
  <c r="AL49" i="18"/>
  <c r="CP81" i="18"/>
  <c r="CP13" i="18"/>
  <c r="CP44" i="18" s="1"/>
  <c r="CH81" i="18"/>
  <c r="CH13" i="18"/>
  <c r="CH44" i="18" s="1"/>
  <c r="BZ81" i="18"/>
  <c r="BZ13" i="18"/>
  <c r="BR81" i="18"/>
  <c r="BR13" i="18"/>
  <c r="BR44" i="18" s="1"/>
  <c r="BJ81" i="18"/>
  <c r="BJ13" i="18"/>
  <c r="BJ44" i="18" s="1"/>
  <c r="BB81" i="18"/>
  <c r="BB13" i="18"/>
  <c r="BB44" i="18" s="1"/>
  <c r="AT81" i="18"/>
  <c r="AT13" i="18"/>
  <c r="AT44" i="18" s="1"/>
  <c r="AL81" i="18"/>
  <c r="AL13" i="18"/>
  <c r="AL44" i="18" s="1"/>
  <c r="AD81" i="18"/>
  <c r="AD13" i="18"/>
  <c r="AD44" i="18" s="1"/>
  <c r="V81" i="18"/>
  <c r="V13" i="18"/>
  <c r="V44" i="18" s="1"/>
  <c r="N81" i="18"/>
  <c r="N13" i="18"/>
  <c r="N44" i="18" s="1"/>
  <c r="F81" i="18"/>
  <c r="F13" i="18"/>
  <c r="F44" i="18" s="1"/>
  <c r="BJ9" i="11"/>
  <c r="BJ4" i="11"/>
  <c r="AZ8" i="12"/>
  <c r="AZ22" i="12" s="1"/>
  <c r="AZ13" i="11"/>
  <c r="AZ11" i="11" s="1"/>
  <c r="D8" i="12"/>
  <c r="D22" i="12" s="1"/>
  <c r="D13" i="11"/>
  <c r="D11" i="11" s="1"/>
  <c r="BF9" i="11"/>
  <c r="BF4" i="11"/>
  <c r="AX9" i="11"/>
  <c r="AX4" i="11"/>
  <c r="AP9" i="11"/>
  <c r="AP4" i="11"/>
  <c r="AH9" i="11"/>
  <c r="AH4" i="11"/>
  <c r="Z9" i="11"/>
  <c r="Z4" i="11"/>
  <c r="R9" i="11"/>
  <c r="R4" i="11"/>
  <c r="J9" i="11"/>
  <c r="J4" i="11"/>
  <c r="BL8" i="12"/>
  <c r="BL22" i="12" s="1"/>
  <c r="BL13" i="11"/>
  <c r="BL11" i="11" s="1"/>
  <c r="BD8" i="12"/>
  <c r="BD22" i="12" s="1"/>
  <c r="BD13" i="11"/>
  <c r="BD11" i="11" s="1"/>
  <c r="AV8" i="12"/>
  <c r="AV13" i="11"/>
  <c r="AN8" i="12"/>
  <c r="AN22" i="12" s="1"/>
  <c r="AN13" i="11"/>
  <c r="AN11" i="11" s="1"/>
  <c r="AF8" i="12"/>
  <c r="AF22" i="12" s="1"/>
  <c r="AF13" i="11"/>
  <c r="AF11" i="11" s="1"/>
  <c r="X8" i="12"/>
  <c r="X22" i="12" s="1"/>
  <c r="X13" i="11"/>
  <c r="X11" i="11" s="1"/>
  <c r="P8" i="12"/>
  <c r="P22" i="12" s="1"/>
  <c r="P13" i="11"/>
  <c r="P11" i="11" s="1"/>
  <c r="H8" i="12"/>
  <c r="H22" i="12" s="1"/>
  <c r="H13" i="11"/>
  <c r="H11" i="11" s="1"/>
  <c r="BH12" i="12"/>
  <c r="BH21" i="11"/>
  <c r="BH16" i="11"/>
  <c r="AZ12" i="12"/>
  <c r="AZ10" i="12" s="1"/>
  <c r="AZ21" i="11"/>
  <c r="AZ15" i="11" s="1"/>
  <c r="AZ16" i="11"/>
  <c r="AR12" i="12"/>
  <c r="AR10" i="12" s="1"/>
  <c r="AR21" i="11"/>
  <c r="AR15" i="11" s="1"/>
  <c r="AR16" i="11"/>
  <c r="AJ12" i="12"/>
  <c r="AJ21" i="11"/>
  <c r="AJ16" i="11"/>
  <c r="AB12" i="12"/>
  <c r="AB10" i="12" s="1"/>
  <c r="AB21" i="11"/>
  <c r="AB15" i="11" s="1"/>
  <c r="AB16" i="11"/>
  <c r="T12" i="12"/>
  <c r="T10" i="12" s="1"/>
  <c r="T21" i="11"/>
  <c r="T15" i="11" s="1"/>
  <c r="T16" i="11"/>
  <c r="L12" i="12"/>
  <c r="L10" i="12" s="1"/>
  <c r="L21" i="11"/>
  <c r="L15" i="11" s="1"/>
  <c r="L16" i="11"/>
  <c r="D12" i="12"/>
  <c r="D10" i="12" s="1"/>
  <c r="D21" i="11"/>
  <c r="D15" i="11" s="1"/>
  <c r="D16" i="11"/>
  <c r="CQ28" i="18"/>
  <c r="CI28" i="18"/>
  <c r="CA28" i="18"/>
  <c r="BS28" i="18"/>
  <c r="BK28" i="18"/>
  <c r="BC28" i="18"/>
  <c r="AU28" i="18"/>
  <c r="AM28" i="18"/>
  <c r="AE28" i="18"/>
  <c r="W28" i="18"/>
  <c r="O28" i="18"/>
  <c r="BM26" i="12"/>
  <c r="BM24" i="12" s="1"/>
  <c r="BM46" i="11"/>
  <c r="BM40" i="11" s="1"/>
  <c r="BM41" i="11"/>
  <c r="BE26" i="12"/>
  <c r="BE46" i="11"/>
  <c r="BE41" i="11"/>
  <c r="AW26" i="12"/>
  <c r="AW24" i="12" s="1"/>
  <c r="AW46" i="11"/>
  <c r="AW40" i="11" s="1"/>
  <c r="AW41" i="11"/>
  <c r="AO26" i="12"/>
  <c r="AO24" i="12" s="1"/>
  <c r="AO46" i="11"/>
  <c r="AO40" i="11" s="1"/>
  <c r="AO41" i="11"/>
  <c r="AG26" i="12"/>
  <c r="AG46" i="11"/>
  <c r="AG41" i="11"/>
  <c r="Y26" i="12"/>
  <c r="Y24" i="12" s="1"/>
  <c r="Y46" i="11"/>
  <c r="Y40" i="11" s="1"/>
  <c r="Y41" i="11"/>
  <c r="Q26" i="12"/>
  <c r="Q24" i="12" s="1"/>
  <c r="Q46" i="11"/>
  <c r="Q40" i="11" s="1"/>
  <c r="Q41" i="11"/>
  <c r="I26" i="12"/>
  <c r="I24" i="12" s="1"/>
  <c r="I46" i="11"/>
  <c r="I40" i="11" s="1"/>
  <c r="I41" i="11"/>
  <c r="CP53" i="15"/>
  <c r="CH53" i="15"/>
  <c r="BZ53" i="15"/>
  <c r="BR53" i="15"/>
  <c r="BJ53" i="15"/>
  <c r="AL53" i="15"/>
  <c r="AD53" i="15"/>
  <c r="V53" i="15"/>
  <c r="V51" i="15" s="1"/>
  <c r="V85" i="18" s="1"/>
  <c r="N53" i="15"/>
  <c r="N51" i="15" s="1"/>
  <c r="N85" i="18" s="1"/>
  <c r="BJ50" i="12"/>
  <c r="BJ72" i="11"/>
  <c r="BB50" i="12"/>
  <c r="BB72" i="11"/>
  <c r="AT50" i="12"/>
  <c r="AT72" i="11"/>
  <c r="AL50" i="12"/>
  <c r="AL72" i="11"/>
  <c r="AD50" i="12"/>
  <c r="AD72" i="11"/>
  <c r="V50" i="12"/>
  <c r="V72" i="11"/>
  <c r="N50" i="12"/>
  <c r="N72" i="11"/>
  <c r="F50" i="12"/>
  <c r="F72" i="11"/>
  <c r="E49" i="12"/>
  <c r="E71" i="11"/>
  <c r="BG54" i="12"/>
  <c r="BG76" i="11"/>
  <c r="AY54" i="12"/>
  <c r="AY76" i="11"/>
  <c r="AQ54" i="12"/>
  <c r="AQ76" i="11"/>
  <c r="AI54" i="12"/>
  <c r="AI76" i="11"/>
  <c r="AA54" i="12"/>
  <c r="AA76" i="11"/>
  <c r="S54" i="12"/>
  <c r="S76" i="11"/>
  <c r="K54" i="12"/>
  <c r="K76" i="11"/>
  <c r="C54" i="12"/>
  <c r="C76" i="11"/>
  <c r="BF53" i="12"/>
  <c r="BF75" i="11"/>
  <c r="AX53" i="12"/>
  <c r="AX75" i="11"/>
  <c r="AP53" i="12"/>
  <c r="AP75" i="11"/>
  <c r="AH53" i="12"/>
  <c r="AH75" i="11"/>
  <c r="Z53" i="12"/>
  <c r="Z75" i="11"/>
  <c r="R53" i="12"/>
  <c r="R75" i="11"/>
  <c r="J53" i="12"/>
  <c r="J75" i="11"/>
  <c r="BM52" i="12"/>
  <c r="BM74" i="11"/>
  <c r="BE52" i="12"/>
  <c r="BE74" i="11"/>
  <c r="AW52" i="12"/>
  <c r="AW74" i="11"/>
  <c r="AO52" i="12"/>
  <c r="AO74" i="11"/>
  <c r="AG52" i="12"/>
  <c r="AG74" i="11"/>
  <c r="Y52" i="12"/>
  <c r="Y74" i="11"/>
  <c r="Q52" i="12"/>
  <c r="Q74" i="11"/>
  <c r="I52" i="12"/>
  <c r="I74" i="11"/>
  <c r="BL51" i="12"/>
  <c r="BL73" i="11"/>
  <c r="BD51" i="12"/>
  <c r="BD73" i="11"/>
  <c r="AV51" i="12"/>
  <c r="AV73" i="11"/>
  <c r="AN51" i="12"/>
  <c r="AN73" i="11"/>
  <c r="AF51" i="12"/>
  <c r="AF73" i="11"/>
  <c r="X51" i="12"/>
  <c r="X73" i="11"/>
  <c r="P51" i="12"/>
  <c r="P73" i="11"/>
  <c r="H51" i="12"/>
  <c r="H73" i="11"/>
  <c r="CN85" i="15"/>
  <c r="CF85" i="15"/>
  <c r="BX85" i="15"/>
  <c r="BP85" i="15"/>
  <c r="BH85" i="15"/>
  <c r="AZ85" i="15"/>
  <c r="AR85" i="15"/>
  <c r="AJ85" i="15"/>
  <c r="AB85" i="15"/>
  <c r="T85" i="15"/>
  <c r="L85" i="15"/>
  <c r="CK92" i="12"/>
  <c r="CK122" i="11"/>
  <c r="CC92" i="12"/>
  <c r="CC122" i="11"/>
  <c r="BU92" i="12"/>
  <c r="BU122" i="11"/>
  <c r="BM92" i="12"/>
  <c r="BM122" i="11"/>
  <c r="BE92" i="12"/>
  <c r="BE122" i="11"/>
  <c r="AW92" i="12"/>
  <c r="AW122" i="11"/>
  <c r="AO92" i="12"/>
  <c r="AO122" i="11"/>
  <c r="AG92" i="12"/>
  <c r="AG91" i="12" s="1"/>
  <c r="AG122" i="11"/>
  <c r="Y92" i="12"/>
  <c r="Y122" i="11"/>
  <c r="Q92" i="12"/>
  <c r="Q122" i="11"/>
  <c r="I92" i="12"/>
  <c r="I122" i="11"/>
  <c r="BJ138" i="11"/>
  <c r="BJ136" i="11" s="1"/>
  <c r="CQ119" i="15"/>
  <c r="CQ117" i="15" s="1"/>
  <c r="CQ177" i="18" s="1"/>
  <c r="BJ109" i="12"/>
  <c r="BJ107" i="12" s="1"/>
  <c r="BB138" i="11"/>
  <c r="CI119" i="15"/>
  <c r="BB109" i="12"/>
  <c r="AT138" i="11"/>
  <c r="AT136" i="11" s="1"/>
  <c r="CA119" i="15"/>
  <c r="CA117" i="15" s="1"/>
  <c r="CA177" i="18" s="1"/>
  <c r="AT109" i="12"/>
  <c r="AT107" i="12" s="1"/>
  <c r="AL138" i="11"/>
  <c r="AL136" i="11" s="1"/>
  <c r="BS119" i="15"/>
  <c r="BS117" i="15" s="1"/>
  <c r="BS177" i="18" s="1"/>
  <c r="AL109" i="12"/>
  <c r="AL107" i="12" s="1"/>
  <c r="AD138" i="11"/>
  <c r="BK119" i="15"/>
  <c r="AD109" i="12"/>
  <c r="V138" i="11"/>
  <c r="V136" i="11" s="1"/>
  <c r="BC119" i="15"/>
  <c r="BC117" i="15" s="1"/>
  <c r="BC177" i="18" s="1"/>
  <c r="V109" i="12"/>
  <c r="V107" i="12" s="1"/>
  <c r="N138" i="11"/>
  <c r="N136" i="11" s="1"/>
  <c r="AU119" i="15"/>
  <c r="AU117" i="15" s="1"/>
  <c r="AU177" i="18" s="1"/>
  <c r="N109" i="12"/>
  <c r="N107" i="12" s="1"/>
  <c r="F138" i="11"/>
  <c r="F136" i="11" s="1"/>
  <c r="AM119" i="15"/>
  <c r="AM117" i="15" s="1"/>
  <c r="AM177" i="18" s="1"/>
  <c r="F109" i="12"/>
  <c r="F107" i="12" s="1"/>
  <c r="BI143" i="11"/>
  <c r="BI141" i="11" s="1"/>
  <c r="BI114" i="12"/>
  <c r="BI112" i="12" s="1"/>
  <c r="CP125" i="15"/>
  <c r="CP123" i="15" s="1"/>
  <c r="BA143" i="11"/>
  <c r="BA141" i="11" s="1"/>
  <c r="BA114" i="12"/>
  <c r="BA112" i="12" s="1"/>
  <c r="CH125" i="15"/>
  <c r="CH123" i="15" s="1"/>
  <c r="AS143" i="11"/>
  <c r="AS114" i="12"/>
  <c r="BZ125" i="15"/>
  <c r="BZ123" i="15" s="1"/>
  <c r="AK143" i="11"/>
  <c r="AK141" i="11" s="1"/>
  <c r="BR125" i="15"/>
  <c r="BR123" i="15" s="1"/>
  <c r="AK114" i="12"/>
  <c r="AK112" i="12" s="1"/>
  <c r="AC143" i="11"/>
  <c r="AC141" i="11" s="1"/>
  <c r="AC114" i="12"/>
  <c r="AC112" i="12" s="1"/>
  <c r="BJ125" i="15"/>
  <c r="BJ123" i="15" s="1"/>
  <c r="U143" i="11"/>
  <c r="U141" i="11" s="1"/>
  <c r="U114" i="12"/>
  <c r="U112" i="12" s="1"/>
  <c r="BB125" i="15"/>
  <c r="BB123" i="15" s="1"/>
  <c r="M143" i="11"/>
  <c r="M141" i="11" s="1"/>
  <c r="M114" i="12"/>
  <c r="M112" i="12" s="1"/>
  <c r="AT125" i="15"/>
  <c r="AT123" i="15" s="1"/>
  <c r="E143" i="11"/>
  <c r="E141" i="11" s="1"/>
  <c r="AL125" i="15"/>
  <c r="AL123" i="15" s="1"/>
  <c r="E114" i="12"/>
  <c r="E112" i="12" s="1"/>
  <c r="CO37" i="18"/>
  <c r="CO6" i="18"/>
  <c r="CG6" i="18"/>
  <c r="CG37" i="18"/>
  <c r="BY37" i="18"/>
  <c r="BY6" i="18"/>
  <c r="BQ6" i="18"/>
  <c r="BQ37" i="18"/>
  <c r="BI37" i="18"/>
  <c r="BI6" i="18"/>
  <c r="BA37" i="18"/>
  <c r="BA6" i="18"/>
  <c r="AS37" i="18"/>
  <c r="AS6" i="18"/>
  <c r="AK6" i="18"/>
  <c r="AK37" i="18"/>
  <c r="AC37" i="18"/>
  <c r="AC6" i="18"/>
  <c r="U6" i="18"/>
  <c r="U37" i="18"/>
  <c r="M37" i="18"/>
  <c r="M6" i="18"/>
  <c r="E6" i="18"/>
  <c r="E37" i="18"/>
  <c r="CO81" i="18"/>
  <c r="CO13" i="18"/>
  <c r="CG81" i="18"/>
  <c r="CG13" i="18"/>
  <c r="CG44" i="18" s="1"/>
  <c r="BY81" i="18"/>
  <c r="BY13" i="18"/>
  <c r="BY44" i="18" s="1"/>
  <c r="BQ81" i="18"/>
  <c r="BQ13" i="18"/>
  <c r="BI81" i="18"/>
  <c r="BI13" i="18"/>
  <c r="BI44" i="18" s="1"/>
  <c r="BA81" i="18"/>
  <c r="BA13" i="18"/>
  <c r="BA44" i="18" s="1"/>
  <c r="AS81" i="18"/>
  <c r="AS13" i="18"/>
  <c r="AS44" i="18" s="1"/>
  <c r="AK81" i="18"/>
  <c r="AK13" i="18"/>
  <c r="AK44" i="18" s="1"/>
  <c r="AC81" i="18"/>
  <c r="AC13" i="18"/>
  <c r="AC44" i="18" s="1"/>
  <c r="U81" i="18"/>
  <c r="U13" i="18"/>
  <c r="U44" i="18" s="1"/>
  <c r="M81" i="18"/>
  <c r="M13" i="18"/>
  <c r="M44" i="18" s="1"/>
  <c r="E81" i="18"/>
  <c r="E13" i="18"/>
  <c r="E44" i="18" s="1"/>
  <c r="BI9" i="11"/>
  <c r="BI4" i="11"/>
  <c r="BA9" i="11"/>
  <c r="BA4" i="11"/>
  <c r="AK9" i="11"/>
  <c r="AK4" i="11"/>
  <c r="AC9" i="11"/>
  <c r="AC4" i="11"/>
  <c r="U9" i="11"/>
  <c r="U4" i="11"/>
  <c r="E9" i="11"/>
  <c r="E4" i="11"/>
  <c r="BG8" i="12"/>
  <c r="BG22" i="12" s="1"/>
  <c r="BG13" i="11"/>
  <c r="BG11" i="11" s="1"/>
  <c r="AY8" i="12"/>
  <c r="AY13" i="11"/>
  <c r="AQ8" i="12"/>
  <c r="AQ22" i="12" s="1"/>
  <c r="AQ13" i="11"/>
  <c r="AQ11" i="11" s="1"/>
  <c r="AA8" i="12"/>
  <c r="AA22" i="12" s="1"/>
  <c r="AA13" i="11"/>
  <c r="AA11" i="11" s="1"/>
  <c r="K8" i="12"/>
  <c r="K22" i="12" s="1"/>
  <c r="K13" i="11"/>
  <c r="K11" i="11" s="1"/>
  <c r="C8" i="12"/>
  <c r="C22" i="12" s="1"/>
  <c r="C13" i="11"/>
  <c r="C11" i="11" s="1"/>
  <c r="BK12" i="12"/>
  <c r="BK21" i="11"/>
  <c r="BK16" i="11"/>
  <c r="AU12" i="12"/>
  <c r="AU10" i="12" s="1"/>
  <c r="AU21" i="11"/>
  <c r="AU15" i="11" s="1"/>
  <c r="AU16" i="11"/>
  <c r="AE12" i="12"/>
  <c r="AE10" i="12" s="1"/>
  <c r="AE21" i="11"/>
  <c r="AE15" i="11" s="1"/>
  <c r="AE16" i="11"/>
  <c r="O12" i="12"/>
  <c r="O10" i="12" s="1"/>
  <c r="O21" i="11"/>
  <c r="O15" i="11" s="1"/>
  <c r="O16" i="11"/>
  <c r="BE9" i="11"/>
  <c r="BE4" i="11"/>
  <c r="AO9" i="11"/>
  <c r="AO4" i="11"/>
  <c r="AG9" i="11"/>
  <c r="AG4" i="11"/>
  <c r="Q9" i="11"/>
  <c r="Q4" i="11"/>
  <c r="BC8" i="12"/>
  <c r="BC22" i="12" s="1"/>
  <c r="BC13" i="11"/>
  <c r="BC11" i="11" s="1"/>
  <c r="AE8" i="12"/>
  <c r="AE22" i="12" s="1"/>
  <c r="AE13" i="11"/>
  <c r="AE11" i="11" s="1"/>
  <c r="O8" i="12"/>
  <c r="O22" i="12" s="1"/>
  <c r="O13" i="11"/>
  <c r="O11" i="11" s="1"/>
  <c r="BG12" i="12"/>
  <c r="BG10" i="12" s="1"/>
  <c r="BG21" i="11"/>
  <c r="BG15" i="11" s="1"/>
  <c r="BG16" i="11"/>
  <c r="AY12" i="12"/>
  <c r="AY21" i="11"/>
  <c r="AY16" i="11"/>
  <c r="AQ12" i="12"/>
  <c r="AQ10" i="12" s="1"/>
  <c r="AQ21" i="11"/>
  <c r="AQ15" i="11" s="1"/>
  <c r="AQ16" i="11"/>
  <c r="AI12" i="12"/>
  <c r="AI10" i="12" s="1"/>
  <c r="AI21" i="11"/>
  <c r="AI15" i="11" s="1"/>
  <c r="AI16" i="11"/>
  <c r="AA12" i="12"/>
  <c r="AA10" i="12" s="1"/>
  <c r="AA21" i="11"/>
  <c r="AA15" i="11" s="1"/>
  <c r="AA16" i="11"/>
  <c r="S12" i="12"/>
  <c r="S10" i="12" s="1"/>
  <c r="S21" i="11"/>
  <c r="S15" i="11" s="1"/>
  <c r="S16" i="11"/>
  <c r="K12" i="12"/>
  <c r="K10" i="12" s="1"/>
  <c r="K21" i="11"/>
  <c r="K15" i="11" s="1"/>
  <c r="K16" i="11"/>
  <c r="C12" i="12"/>
  <c r="C10" i="12" s="1"/>
  <c r="C21" i="11"/>
  <c r="C15" i="11" s="1"/>
  <c r="C16" i="11"/>
  <c r="BL26" i="12"/>
  <c r="BL24" i="12" s="1"/>
  <c r="BL46" i="11"/>
  <c r="BL40" i="11" s="1"/>
  <c r="BL41" i="11"/>
  <c r="BD26" i="12"/>
  <c r="BD24" i="12" s="1"/>
  <c r="BD46" i="11"/>
  <c r="BD40" i="11" s="1"/>
  <c r="BD41" i="11"/>
  <c r="AV26" i="12"/>
  <c r="AV46" i="11"/>
  <c r="AV41" i="11"/>
  <c r="AN26" i="12"/>
  <c r="AN24" i="12" s="1"/>
  <c r="AN46" i="11"/>
  <c r="AN40" i="11" s="1"/>
  <c r="AN41" i="11"/>
  <c r="AF26" i="12"/>
  <c r="AF24" i="12" s="1"/>
  <c r="AF46" i="11"/>
  <c r="AF40" i="11" s="1"/>
  <c r="AF41" i="11"/>
  <c r="X26" i="12"/>
  <c r="X24" i="12" s="1"/>
  <c r="X46" i="11"/>
  <c r="X40" i="11" s="1"/>
  <c r="X41" i="11"/>
  <c r="P26" i="12"/>
  <c r="P24" i="12" s="1"/>
  <c r="P46" i="11"/>
  <c r="P40" i="11" s="1"/>
  <c r="P41" i="11"/>
  <c r="H26" i="12"/>
  <c r="H24" i="12" s="1"/>
  <c r="H46" i="11"/>
  <c r="H40" i="11" s="1"/>
  <c r="H41" i="11"/>
  <c r="CO53" i="15"/>
  <c r="CG53" i="15"/>
  <c r="BY53" i="15"/>
  <c r="BQ53" i="15"/>
  <c r="BI53" i="15"/>
  <c r="BI50" i="12"/>
  <c r="BI72" i="11"/>
  <c r="BA50" i="12"/>
  <c r="BA72" i="11"/>
  <c r="AS50" i="12"/>
  <c r="AS72" i="11"/>
  <c r="AK50" i="12"/>
  <c r="AK72" i="11"/>
  <c r="AC50" i="12"/>
  <c r="AC72" i="11"/>
  <c r="U50" i="12"/>
  <c r="U72" i="11"/>
  <c r="M50" i="12"/>
  <c r="M72" i="11"/>
  <c r="E50" i="12"/>
  <c r="E72" i="11"/>
  <c r="D49" i="12"/>
  <c r="D71" i="11"/>
  <c r="BF54" i="12"/>
  <c r="BF76" i="11"/>
  <c r="AX54" i="12"/>
  <c r="AX76" i="11"/>
  <c r="AP54" i="12"/>
  <c r="AP76" i="11"/>
  <c r="AH54" i="12"/>
  <c r="AH76" i="11"/>
  <c r="Z54" i="12"/>
  <c r="Z76" i="11"/>
  <c r="R54" i="12"/>
  <c r="R76" i="11"/>
  <c r="J54" i="12"/>
  <c r="J76" i="11"/>
  <c r="BM53" i="12"/>
  <c r="BM75" i="11"/>
  <c r="BE53" i="12"/>
  <c r="BE75" i="11"/>
  <c r="AW53" i="12"/>
  <c r="AW75" i="11"/>
  <c r="AO53" i="12"/>
  <c r="AO75" i="11"/>
  <c r="AG53" i="12"/>
  <c r="AG75" i="11"/>
  <c r="Y53" i="12"/>
  <c r="Y75" i="11"/>
  <c r="Q53" i="12"/>
  <c r="Q75" i="11"/>
  <c r="I53" i="12"/>
  <c r="I75" i="11"/>
  <c r="BL52" i="12"/>
  <c r="BL74" i="11"/>
  <c r="BD52" i="12"/>
  <c r="BD74" i="11"/>
  <c r="AV52" i="12"/>
  <c r="AV74" i="11"/>
  <c r="AN52" i="12"/>
  <c r="AN74" i="11"/>
  <c r="AF52" i="12"/>
  <c r="AF74" i="11"/>
  <c r="X52" i="12"/>
  <c r="X74" i="11"/>
  <c r="P52" i="12"/>
  <c r="P74" i="11"/>
  <c r="H52" i="12"/>
  <c r="H74" i="11"/>
  <c r="BK51" i="12"/>
  <c r="BK73" i="11"/>
  <c r="BC51" i="12"/>
  <c r="BC73" i="11"/>
  <c r="AU51" i="12"/>
  <c r="AU73" i="11"/>
  <c r="AM51" i="12"/>
  <c r="AM73" i="11"/>
  <c r="AE51" i="12"/>
  <c r="AE73" i="11"/>
  <c r="W51" i="12"/>
  <c r="W73" i="11"/>
  <c r="O51" i="12"/>
  <c r="O73" i="11"/>
  <c r="G51" i="12"/>
  <c r="G73" i="11"/>
  <c r="EP87" i="15"/>
  <c r="CO133" i="18"/>
  <c r="EP133" i="18" s="1"/>
  <c r="EH87" i="15"/>
  <c r="BQ133" i="18"/>
  <c r="EH133" i="18" s="1"/>
  <c r="CM85" i="15"/>
  <c r="CE85" i="15"/>
  <c r="BW85" i="15"/>
  <c r="BO85" i="15"/>
  <c r="BG85" i="15"/>
  <c r="AY85" i="15"/>
  <c r="AQ85" i="15"/>
  <c r="AI85" i="15"/>
  <c r="AA85" i="15"/>
  <c r="S85" i="15"/>
  <c r="CJ92" i="12"/>
  <c r="CJ122" i="11"/>
  <c r="CB92" i="12"/>
  <c r="CB122" i="11"/>
  <c r="BT92" i="12"/>
  <c r="BT122" i="11"/>
  <c r="BL92" i="12"/>
  <c r="BL122" i="11"/>
  <c r="BD92" i="12"/>
  <c r="BD122" i="11"/>
  <c r="AV92" i="12"/>
  <c r="AV122" i="11"/>
  <c r="AN92" i="12"/>
  <c r="AN122" i="11"/>
  <c r="AF92" i="12"/>
  <c r="AF122" i="11"/>
  <c r="X92" i="12"/>
  <c r="X122" i="11"/>
  <c r="P92" i="12"/>
  <c r="P122" i="11"/>
  <c r="H92" i="12"/>
  <c r="H122" i="11"/>
  <c r="BI138" i="11"/>
  <c r="BI136" i="11" s="1"/>
  <c r="CP119" i="15"/>
  <c r="CP117" i="15" s="1"/>
  <c r="CP177" i="18" s="1"/>
  <c r="BI109" i="12"/>
  <c r="BI107" i="12" s="1"/>
  <c r="BA138" i="11"/>
  <c r="BA136" i="11" s="1"/>
  <c r="BA109" i="12"/>
  <c r="BA107" i="12" s="1"/>
  <c r="CH119" i="15"/>
  <c r="CH117" i="15" s="1"/>
  <c r="CH177" i="18" s="1"/>
  <c r="AS138" i="11"/>
  <c r="BZ119" i="15"/>
  <c r="BZ117" i="15" s="1"/>
  <c r="BZ177" i="18" s="1"/>
  <c r="AS109" i="12"/>
  <c r="AK138" i="11"/>
  <c r="AK136" i="11" s="1"/>
  <c r="BR119" i="15"/>
  <c r="BR117" i="15" s="1"/>
  <c r="BR177" i="18" s="1"/>
  <c r="AK109" i="12"/>
  <c r="AK107" i="12" s="1"/>
  <c r="AC138" i="11"/>
  <c r="AC136" i="11" s="1"/>
  <c r="BJ119" i="15"/>
  <c r="BJ117" i="15" s="1"/>
  <c r="BJ177" i="18" s="1"/>
  <c r="AC109" i="12"/>
  <c r="AC107" i="12" s="1"/>
  <c r="U138" i="11"/>
  <c r="U136" i="11" s="1"/>
  <c r="U109" i="12"/>
  <c r="U107" i="12" s="1"/>
  <c r="BB119" i="15"/>
  <c r="BB117" i="15" s="1"/>
  <c r="BB177" i="18" s="1"/>
  <c r="M138" i="11"/>
  <c r="M136" i="11" s="1"/>
  <c r="AT119" i="15"/>
  <c r="AT117" i="15" s="1"/>
  <c r="AT177" i="18" s="1"/>
  <c r="M109" i="12"/>
  <c r="M107" i="12" s="1"/>
  <c r="E138" i="11"/>
  <c r="E136" i="11" s="1"/>
  <c r="AL119" i="15"/>
  <c r="AL117" i="15" s="1"/>
  <c r="AL177" i="18" s="1"/>
  <c r="E109" i="12"/>
  <c r="E107" i="12" s="1"/>
  <c r="BH143" i="11"/>
  <c r="CO125" i="15"/>
  <c r="BH114" i="12"/>
  <c r="AZ143" i="11"/>
  <c r="AZ141" i="11" s="1"/>
  <c r="CG125" i="15"/>
  <c r="CG123" i="15" s="1"/>
  <c r="AZ114" i="12"/>
  <c r="AZ112" i="12" s="1"/>
  <c r="AR143" i="11"/>
  <c r="AR141" i="11" s="1"/>
  <c r="BY125" i="15"/>
  <c r="BY123" i="15" s="1"/>
  <c r="AR114" i="12"/>
  <c r="AR112" i="12" s="1"/>
  <c r="AJ143" i="11"/>
  <c r="BQ125" i="15"/>
  <c r="AJ114" i="12"/>
  <c r="AB143" i="11"/>
  <c r="AB141" i="11" s="1"/>
  <c r="BI125" i="15"/>
  <c r="BI123" i="15" s="1"/>
  <c r="AB114" i="12"/>
  <c r="AB112" i="12" s="1"/>
  <c r="T143" i="11"/>
  <c r="T141" i="11" s="1"/>
  <c r="BA125" i="15"/>
  <c r="BA123" i="15" s="1"/>
  <c r="T114" i="12"/>
  <c r="T112" i="12" s="1"/>
  <c r="L143" i="11"/>
  <c r="L141" i="11" s="1"/>
  <c r="AS125" i="15"/>
  <c r="AS123" i="15" s="1"/>
  <c r="L114" i="12"/>
  <c r="L112" i="12" s="1"/>
  <c r="D143" i="11"/>
  <c r="D141" i="11" s="1"/>
  <c r="AK125" i="15"/>
  <c r="AK123" i="15" s="1"/>
  <c r="D114" i="12"/>
  <c r="D112" i="12" s="1"/>
  <c r="CN37" i="18"/>
  <c r="CN6" i="18"/>
  <c r="CF6" i="18"/>
  <c r="CF37" i="18"/>
  <c r="BX37" i="18"/>
  <c r="BX6" i="18"/>
  <c r="BP6" i="18"/>
  <c r="BP37" i="18"/>
  <c r="BH37" i="18"/>
  <c r="BH6" i="18"/>
  <c r="AZ6" i="18"/>
  <c r="AZ37" i="18"/>
  <c r="AR37" i="18"/>
  <c r="AR6" i="18"/>
  <c r="AJ6" i="18"/>
  <c r="AJ37" i="18"/>
  <c r="AB37" i="18"/>
  <c r="AB6" i="18"/>
  <c r="T6" i="18"/>
  <c r="T37" i="18"/>
  <c r="L37" i="18"/>
  <c r="L6" i="18"/>
  <c r="D6" i="18"/>
  <c r="D37" i="18"/>
  <c r="CN9" i="14"/>
  <c r="CN49" i="18"/>
  <c r="CF9" i="14"/>
  <c r="CF23" i="14" s="1"/>
  <c r="CF49" i="18"/>
  <c r="BX9" i="14"/>
  <c r="BX66" i="18" s="1"/>
  <c r="BX49" i="18"/>
  <c r="BP9" i="14"/>
  <c r="BP49" i="18"/>
  <c r="BH9" i="14"/>
  <c r="BH49" i="18"/>
  <c r="AR9" i="14"/>
  <c r="AR49" i="18"/>
  <c r="AJ9" i="14"/>
  <c r="AJ66" i="18" s="1"/>
  <c r="AJ49" i="18"/>
  <c r="CN81" i="18"/>
  <c r="CN13" i="18"/>
  <c r="CN44" i="18" s="1"/>
  <c r="CF81" i="18"/>
  <c r="CF13" i="18"/>
  <c r="BX81" i="18"/>
  <c r="BX13" i="18"/>
  <c r="BX44" i="18" s="1"/>
  <c r="BP81" i="18"/>
  <c r="BP13" i="18"/>
  <c r="BP44" i="18" s="1"/>
  <c r="BH81" i="18"/>
  <c r="BH13" i="18"/>
  <c r="BH44" i="18" s="1"/>
  <c r="AZ81" i="18"/>
  <c r="AZ13" i="18"/>
  <c r="AZ44" i="18" s="1"/>
  <c r="AR81" i="18"/>
  <c r="AR13" i="18"/>
  <c r="AR44" i="18" s="1"/>
  <c r="AJ81" i="18"/>
  <c r="AJ13" i="18"/>
  <c r="AJ44" i="18" s="1"/>
  <c r="AB81" i="18"/>
  <c r="AB13" i="18"/>
  <c r="AB44" i="18" s="1"/>
  <c r="T81" i="18"/>
  <c r="T13" i="18"/>
  <c r="T44" i="18" s="1"/>
  <c r="L81" i="18"/>
  <c r="L13" i="18"/>
  <c r="L44" i="18" s="1"/>
  <c r="D81" i="18"/>
  <c r="D13" i="18"/>
  <c r="D44" i="18" s="1"/>
  <c r="T9" i="14"/>
  <c r="T40" i="14" s="1"/>
  <c r="V9" i="14"/>
  <c r="V66" i="18" s="1"/>
  <c r="AT53" i="15"/>
  <c r="AR53" i="15"/>
  <c r="BA53" i="15"/>
  <c r="AO53" i="15"/>
  <c r="BB53" i="15"/>
  <c r="AP53" i="15"/>
  <c r="BS32" i="15"/>
  <c r="BS30" i="15" s="1"/>
  <c r="BS56" i="18" s="1"/>
  <c r="BG32" i="15"/>
  <c r="BG30" i="15" s="1"/>
  <c r="BG56" i="18" s="1"/>
  <c r="AU32" i="15"/>
  <c r="AU30" i="15" s="1"/>
  <c r="AU56" i="18" s="1"/>
  <c r="AI32" i="15"/>
  <c r="AI30" i="15" s="1"/>
  <c r="AI56" i="18" s="1"/>
  <c r="W32" i="15"/>
  <c r="W30" i="15" s="1"/>
  <c r="W56" i="18" s="1"/>
  <c r="BR32" i="15"/>
  <c r="BR30" i="15" s="1"/>
  <c r="BR56" i="18" s="1"/>
  <c r="BF32" i="15"/>
  <c r="BF30" i="15" s="1"/>
  <c r="BF56" i="18" s="1"/>
  <c r="AT32" i="15"/>
  <c r="AT30" i="15" s="1"/>
  <c r="AT56" i="18" s="1"/>
  <c r="AH32" i="15"/>
  <c r="AH30" i="15" s="1"/>
  <c r="AH56" i="18" s="1"/>
  <c r="V32" i="15"/>
  <c r="V30" i="15" s="1"/>
  <c r="V56" i="18" s="1"/>
  <c r="AZ53" i="15"/>
  <c r="AN53" i="15"/>
  <c r="BQ32" i="15"/>
  <c r="BE32" i="15"/>
  <c r="BE30" i="15" s="1"/>
  <c r="BE56" i="18" s="1"/>
  <c r="AS32" i="15"/>
  <c r="AS30" i="15" s="1"/>
  <c r="AS56" i="18" s="1"/>
  <c r="AG32" i="15"/>
  <c r="AG30" i="15" s="1"/>
  <c r="AG56" i="18" s="1"/>
  <c r="U32" i="15"/>
  <c r="U30" i="15" s="1"/>
  <c r="U56" i="18" s="1"/>
  <c r="AY53" i="15"/>
  <c r="AM53" i="15"/>
  <c r="BP32" i="15"/>
  <c r="BP30" i="15" s="1"/>
  <c r="BP56" i="18" s="1"/>
  <c r="BD32" i="15"/>
  <c r="BD30" i="15" s="1"/>
  <c r="BD56" i="18" s="1"/>
  <c r="AR32" i="15"/>
  <c r="AR30" i="15" s="1"/>
  <c r="AR56" i="18" s="1"/>
  <c r="AF32" i="15"/>
  <c r="AF30" i="15" s="1"/>
  <c r="AF56" i="18" s="1"/>
  <c r="T32" i="15"/>
  <c r="T30" i="15" s="1"/>
  <c r="T56" i="18" s="1"/>
  <c r="BO32" i="15"/>
  <c r="BO30" i="15" s="1"/>
  <c r="BO56" i="18" s="1"/>
  <c r="BC32" i="15"/>
  <c r="BC30" i="15" s="1"/>
  <c r="BC56" i="18" s="1"/>
  <c r="AQ32" i="15"/>
  <c r="AQ30" i="15" s="1"/>
  <c r="AQ56" i="18" s="1"/>
  <c r="AE32" i="15"/>
  <c r="AE30" i="15" s="1"/>
  <c r="AE56" i="18" s="1"/>
  <c r="S32" i="15"/>
  <c r="S30" i="15" s="1"/>
  <c r="S56" i="18" s="1"/>
  <c r="AW53" i="15"/>
  <c r="AX53" i="15"/>
  <c r="BN32" i="15"/>
  <c r="BB32" i="15"/>
  <c r="BB30" i="15" s="1"/>
  <c r="BB56" i="18" s="1"/>
  <c r="AP32" i="15"/>
  <c r="AP30" i="15" s="1"/>
  <c r="AP56" i="18" s="1"/>
  <c r="AD32" i="15"/>
  <c r="AD30" i="15" s="1"/>
  <c r="AD56" i="18" s="1"/>
  <c r="R32" i="15"/>
  <c r="R30" i="15" s="1"/>
  <c r="R56" i="18" s="1"/>
  <c r="AV53" i="15"/>
  <c r="BM32" i="15"/>
  <c r="BM30" i="15" s="1"/>
  <c r="BM56" i="18" s="1"/>
  <c r="BA32" i="15"/>
  <c r="BA30" i="15" s="1"/>
  <c r="BA56" i="18" s="1"/>
  <c r="BA54" i="18" s="1"/>
  <c r="AO32" i="15"/>
  <c r="AO30" i="15" s="1"/>
  <c r="AO56" i="18" s="1"/>
  <c r="AC30" i="15"/>
  <c r="AC56" i="18" s="1"/>
  <c r="Q32" i="15"/>
  <c r="Q30" i="15" s="1"/>
  <c r="Q56" i="18" s="1"/>
  <c r="AU53" i="15"/>
  <c r="BX32" i="15"/>
  <c r="BX30" i="15" s="1"/>
  <c r="BX56" i="18" s="1"/>
  <c r="BL32" i="15"/>
  <c r="BL30" i="15" s="1"/>
  <c r="BL56" i="18" s="1"/>
  <c r="AZ32" i="15"/>
  <c r="AZ30" i="15" s="1"/>
  <c r="AZ56" i="18" s="1"/>
  <c r="AN32" i="15"/>
  <c r="AN30" i="15" s="1"/>
  <c r="AN56" i="18" s="1"/>
  <c r="AB32" i="15"/>
  <c r="AB30" i="15" s="1"/>
  <c r="AB56" i="18" s="1"/>
  <c r="P32" i="15"/>
  <c r="P30" i="15" s="1"/>
  <c r="P56" i="18" s="1"/>
  <c r="BW32" i="15"/>
  <c r="BK32" i="15"/>
  <c r="AY32" i="15"/>
  <c r="AY30" i="15" s="1"/>
  <c r="AY56" i="18" s="1"/>
  <c r="AM32" i="15"/>
  <c r="AM30" i="15" s="1"/>
  <c r="AM56" i="18" s="1"/>
  <c r="AA32" i="15"/>
  <c r="AA30" i="15" s="1"/>
  <c r="AA56" i="18" s="1"/>
  <c r="O32" i="15"/>
  <c r="O30" i="15" s="1"/>
  <c r="O56" i="18" s="1"/>
  <c r="AS53" i="15"/>
  <c r="BV32" i="15"/>
  <c r="BV30" i="15" s="1"/>
  <c r="BV56" i="18" s="1"/>
  <c r="BJ32" i="15"/>
  <c r="BJ30" i="15" s="1"/>
  <c r="BJ56" i="18" s="1"/>
  <c r="AX32" i="15"/>
  <c r="AX30" i="15" s="1"/>
  <c r="AX56" i="18" s="1"/>
  <c r="AL32" i="15"/>
  <c r="AL30" i="15" s="1"/>
  <c r="AL56" i="18" s="1"/>
  <c r="Z32" i="15"/>
  <c r="Z30" i="15" s="1"/>
  <c r="Z56" i="18" s="1"/>
  <c r="N32" i="15"/>
  <c r="N30" i="15" s="1"/>
  <c r="N56" i="18" s="1"/>
  <c r="BU32" i="15"/>
  <c r="BU30" i="15" s="1"/>
  <c r="BU56" i="18" s="1"/>
  <c r="BI32" i="15"/>
  <c r="BI30" i="15" s="1"/>
  <c r="BI56" i="18" s="1"/>
  <c r="AW32" i="15"/>
  <c r="AW30" i="15" s="1"/>
  <c r="AW56" i="18" s="1"/>
  <c r="AK32" i="15"/>
  <c r="AK30" i="15" s="1"/>
  <c r="AK56" i="18" s="1"/>
  <c r="Y32" i="15"/>
  <c r="Y30" i="15" s="1"/>
  <c r="Y56" i="18" s="1"/>
  <c r="M32" i="15"/>
  <c r="M30" i="15" s="1"/>
  <c r="M56" i="18" s="1"/>
  <c r="BC53" i="15"/>
  <c r="AQ53" i="15"/>
  <c r="BT32" i="15"/>
  <c r="BH32" i="15"/>
  <c r="BH30" i="15" s="1"/>
  <c r="BH56" i="18" s="1"/>
  <c r="AV32" i="15"/>
  <c r="AV30" i="15" s="1"/>
  <c r="AV56" i="18" s="1"/>
  <c r="AJ32" i="15"/>
  <c r="AJ30" i="15" s="1"/>
  <c r="AJ56" i="18" s="1"/>
  <c r="X32" i="15"/>
  <c r="X30" i="15" s="1"/>
  <c r="X56" i="18" s="1"/>
  <c r="L32" i="15"/>
  <c r="L30" i="15" s="1"/>
  <c r="L56" i="18" s="1"/>
  <c r="BX18" i="15"/>
  <c r="BX27" i="18" s="1"/>
  <c r="BL18" i="15"/>
  <c r="BL27" i="18" s="1"/>
  <c r="AZ18" i="15"/>
  <c r="AZ27" i="18" s="1"/>
  <c r="BE18" i="15"/>
  <c r="BE27" i="18" s="1"/>
  <c r="AG18" i="15"/>
  <c r="AG27" i="18" s="1"/>
  <c r="CM18" i="15"/>
  <c r="CM27" i="18" s="1"/>
  <c r="CA18" i="15"/>
  <c r="CA27" i="18" s="1"/>
  <c r="BC18" i="15"/>
  <c r="BC27" i="18" s="1"/>
  <c r="CB18" i="15"/>
  <c r="CB27" i="18" s="1"/>
  <c r="BP18" i="15"/>
  <c r="BP27" i="18" s="1"/>
  <c r="BD18" i="15"/>
  <c r="BD27" i="18" s="1"/>
  <c r="AR18" i="15"/>
  <c r="AR27" i="18" s="1"/>
  <c r="AF18" i="15"/>
  <c r="AF27" i="18" s="1"/>
  <c r="T18" i="15"/>
  <c r="T27" i="18" s="1"/>
  <c r="CK18" i="15"/>
  <c r="CK27" i="18" s="1"/>
  <c r="BY18" i="15"/>
  <c r="BY27" i="18" s="1"/>
  <c r="BM18" i="15"/>
  <c r="BM27" i="18" s="1"/>
  <c r="BA18" i="15"/>
  <c r="BA27" i="18" s="1"/>
  <c r="AC18" i="15"/>
  <c r="AC27" i="18" s="1"/>
  <c r="Q18" i="15"/>
  <c r="Q27" i="18" s="1"/>
  <c r="AN18" i="15"/>
  <c r="AN27" i="18" s="1"/>
  <c r="AB18" i="15"/>
  <c r="AB27" i="18" s="1"/>
  <c r="P18" i="15"/>
  <c r="P27" i="18" s="1"/>
  <c r="AY18" i="15"/>
  <c r="AY27" i="18" s="1"/>
  <c r="AM18" i="15"/>
  <c r="AM27" i="18" s="1"/>
  <c r="AA18" i="15"/>
  <c r="AA27" i="18" s="1"/>
  <c r="O18" i="15"/>
  <c r="O27" i="18" s="1"/>
  <c r="CQ18" i="15"/>
  <c r="CQ27" i="18" s="1"/>
  <c r="CE18" i="15"/>
  <c r="CE27" i="18" s="1"/>
  <c r="BS18" i="15"/>
  <c r="BS27" i="18" s="1"/>
  <c r="BG18" i="15"/>
  <c r="BG27" i="18" s="1"/>
  <c r="AU18" i="15"/>
  <c r="AU27" i="18" s="1"/>
  <c r="AI18" i="15"/>
  <c r="AI27" i="18" s="1"/>
  <c r="W18" i="15"/>
  <c r="W27" i="18" s="1"/>
  <c r="CD18" i="15"/>
  <c r="CD27" i="18" s="1"/>
  <c r="BR18" i="15"/>
  <c r="BR27" i="18" s="1"/>
  <c r="BF18" i="15"/>
  <c r="BF27" i="18" s="1"/>
  <c r="AT18" i="15"/>
  <c r="AT27" i="18" s="1"/>
  <c r="AH18" i="15"/>
  <c r="AH27" i="18" s="1"/>
  <c r="CT18" i="15"/>
  <c r="CT27" i="18" s="1"/>
  <c r="CH18" i="15"/>
  <c r="CH27" i="18" s="1"/>
  <c r="BV18" i="15"/>
  <c r="BV27" i="18" s="1"/>
  <c r="BJ18" i="15"/>
  <c r="BJ27" i="18" s="1"/>
  <c r="AX18" i="15"/>
  <c r="AX27" i="18" s="1"/>
  <c r="Z18" i="15"/>
  <c r="Z27" i="18" s="1"/>
  <c r="N18" i="15"/>
  <c r="N27" i="18" s="1"/>
  <c r="CS18" i="15"/>
  <c r="CS27" i="18" s="1"/>
  <c r="CG18" i="15"/>
  <c r="CG27" i="18" s="1"/>
  <c r="BU18" i="15"/>
  <c r="BU27" i="18" s="1"/>
  <c r="BI18" i="15"/>
  <c r="BI27" i="18" s="1"/>
  <c r="AW18" i="15"/>
  <c r="AW27" i="18" s="1"/>
  <c r="AK18" i="15"/>
  <c r="AK27" i="18" s="1"/>
  <c r="Y18" i="15"/>
  <c r="Y27" i="18" s="1"/>
  <c r="M18" i="15"/>
  <c r="M27" i="18" s="1"/>
  <c r="BH18" i="15"/>
  <c r="BH27" i="18" s="1"/>
  <c r="AV18" i="15"/>
  <c r="AV27" i="18" s="1"/>
  <c r="L18" i="15"/>
  <c r="L27" i="18" s="1"/>
  <c r="V18" i="15"/>
  <c r="V27" i="18" s="1"/>
  <c r="AQ18" i="15"/>
  <c r="AQ27" i="18" s="1"/>
  <c r="AE18" i="15"/>
  <c r="AE27" i="18" s="1"/>
  <c r="S18" i="15"/>
  <c r="S27" i="18" s="1"/>
  <c r="AD18" i="15"/>
  <c r="AD27" i="18" s="1"/>
  <c r="R18" i="15"/>
  <c r="R27" i="18" s="1"/>
  <c r="AR26" i="14"/>
  <c r="G9" i="14"/>
  <c r="G48" i="14" s="1"/>
  <c r="S9" i="14"/>
  <c r="S48" i="14" s="1"/>
  <c r="CE26" i="14"/>
  <c r="CE148" i="18" s="1"/>
  <c r="BS26" i="14"/>
  <c r="K26" i="14"/>
  <c r="BL9" i="14"/>
  <c r="BL26" i="14"/>
  <c r="BL148" i="18" s="1"/>
  <c r="BW26" i="14"/>
  <c r="CP9" i="14"/>
  <c r="BG26" i="14"/>
  <c r="AB26" i="14"/>
  <c r="AB148" i="18" s="1"/>
  <c r="AZ9" i="14"/>
  <c r="H9" i="14"/>
  <c r="H48" i="14" s="1"/>
  <c r="CQ26" i="14"/>
  <c r="CI26" i="14"/>
  <c r="CE9" i="14"/>
  <c r="BK26" i="14"/>
  <c r="N9" i="14"/>
  <c r="N48" i="14" s="1"/>
  <c r="AA9" i="14"/>
  <c r="AA48" i="14" s="1"/>
  <c r="AO5" i="12"/>
  <c r="BL5" i="12"/>
  <c r="AZ5" i="12"/>
  <c r="AB5" i="12"/>
  <c r="BK5" i="12"/>
  <c r="O5" i="12"/>
  <c r="BI5" i="12"/>
  <c r="Y5" i="12"/>
  <c r="X5" i="12"/>
  <c r="BZ26" i="14"/>
  <c r="BZ148" i="18" s="1"/>
  <c r="BG5" i="12"/>
  <c r="AU5" i="12"/>
  <c r="AI5" i="12"/>
  <c r="W5" i="12"/>
  <c r="K5" i="12"/>
  <c r="P5" i="12"/>
  <c r="AM5" i="12"/>
  <c r="AX5" i="12"/>
  <c r="AW5" i="12"/>
  <c r="BH5" i="12"/>
  <c r="L5" i="12"/>
  <c r="BF5" i="12"/>
  <c r="AT5" i="12"/>
  <c r="AH5" i="12"/>
  <c r="V5" i="12"/>
  <c r="J5" i="12"/>
  <c r="E5" i="12"/>
  <c r="D5" i="12"/>
  <c r="AA5" i="12"/>
  <c r="BJ5" i="12"/>
  <c r="AL5" i="12"/>
  <c r="N5" i="12"/>
  <c r="M5" i="12"/>
  <c r="AJ5" i="12"/>
  <c r="BE5" i="12"/>
  <c r="AS5" i="12"/>
  <c r="AG5" i="12"/>
  <c r="U5" i="12"/>
  <c r="I5" i="12"/>
  <c r="AR5" i="12"/>
  <c r="BM5" i="12"/>
  <c r="BA5" i="12"/>
  <c r="AC5" i="12"/>
  <c r="Q5" i="12"/>
  <c r="AN5" i="12"/>
  <c r="AY5" i="12"/>
  <c r="C5" i="12"/>
  <c r="Z5" i="12"/>
  <c r="AK5" i="12"/>
  <c r="AV5" i="12"/>
  <c r="BD5" i="12"/>
  <c r="AF5" i="12"/>
  <c r="T5" i="12"/>
  <c r="H5" i="12"/>
  <c r="BC5" i="12"/>
  <c r="AQ5" i="12"/>
  <c r="AE5" i="12"/>
  <c r="S5" i="12"/>
  <c r="G5" i="12"/>
  <c r="BB5" i="12"/>
  <c r="AP5" i="12"/>
  <c r="AD5" i="12"/>
  <c r="R5" i="12"/>
  <c r="F5" i="12"/>
  <c r="S59" i="7"/>
  <c r="CQ135" i="7"/>
  <c r="BG135" i="7"/>
  <c r="BG134" i="7" s="1"/>
  <c r="E156" i="7"/>
  <c r="CJ15" i="14"/>
  <c r="BX15" i="14"/>
  <c r="BL15" i="14"/>
  <c r="AZ15" i="14"/>
  <c r="AN15" i="14"/>
  <c r="AB15" i="14"/>
  <c r="CN15" i="14"/>
  <c r="P15" i="14"/>
  <c r="CD49" i="7"/>
  <c r="CM32" i="15" s="1"/>
  <c r="CM30" i="15" s="1"/>
  <c r="CM56" i="18" s="1"/>
  <c r="CF135" i="7"/>
  <c r="D15" i="14"/>
  <c r="CG49" i="7"/>
  <c r="CP32" i="15" s="1"/>
  <c r="CP30" i="15" s="1"/>
  <c r="CP56" i="18" s="1"/>
  <c r="BU49" i="7"/>
  <c r="CD32" i="15" s="1"/>
  <c r="CD30" i="15" s="1"/>
  <c r="CD56" i="18" s="1"/>
  <c r="BI49" i="7"/>
  <c r="AW49" i="7"/>
  <c r="AK49" i="7"/>
  <c r="Y49" i="7"/>
  <c r="M49" i="7"/>
  <c r="C156" i="7"/>
  <c r="AN9" i="14"/>
  <c r="AB9" i="14"/>
  <c r="AB48" i="14" s="1"/>
  <c r="P9" i="14"/>
  <c r="P48" i="14" s="1"/>
  <c r="D9" i="14"/>
  <c r="D48" i="14" s="1"/>
  <c r="BO9" i="14"/>
  <c r="CI135" i="7"/>
  <c r="BW135" i="7"/>
  <c r="AY135" i="7"/>
  <c r="AY134" i="7" s="1"/>
  <c r="O135" i="7"/>
  <c r="O134" i="7" s="1"/>
  <c r="CR15" i="14"/>
  <c r="BZ156" i="7"/>
  <c r="CI137" i="15" s="1"/>
  <c r="BN156" i="7"/>
  <c r="BW137" i="15" s="1"/>
  <c r="BB156" i="7"/>
  <c r="BK137" i="15" s="1"/>
  <c r="AP156" i="7"/>
  <c r="AY137" i="15" s="1"/>
  <c r="AY135" i="15" s="1"/>
  <c r="R156" i="7"/>
  <c r="F156" i="7"/>
  <c r="CQ15" i="14"/>
  <c r="CE15" i="14"/>
  <c r="BS15" i="14"/>
  <c r="BG15" i="14"/>
  <c r="AU15" i="14"/>
  <c r="AI15" i="14"/>
  <c r="W15" i="14"/>
  <c r="K15" i="14"/>
  <c r="AC156" i="7"/>
  <c r="CC69" i="7"/>
  <c r="BQ69" i="7"/>
  <c r="BE69" i="7"/>
  <c r="AS69" i="7"/>
  <c r="AS68" i="7" s="1"/>
  <c r="AG69" i="7"/>
  <c r="AG68" i="7" s="1"/>
  <c r="DE135" i="7"/>
  <c r="CS135" i="7"/>
  <c r="CG135" i="7"/>
  <c r="CG134" i="7" s="1"/>
  <c r="BU135" i="7"/>
  <c r="BU134" i="7" s="1"/>
  <c r="BI135" i="7"/>
  <c r="BI134" i="7" s="1"/>
  <c r="AW135" i="7"/>
  <c r="AW134" i="7" s="1"/>
  <c r="AK135" i="7"/>
  <c r="AK134" i="7" s="1"/>
  <c r="Y135" i="7"/>
  <c r="Y134" i="7" s="1"/>
  <c r="M135" i="7"/>
  <c r="M134" i="7" s="1"/>
  <c r="AR156" i="7"/>
  <c r="BA137" i="15" s="1"/>
  <c r="BA135" i="15" s="1"/>
  <c r="H156" i="7"/>
  <c r="BK15" i="14"/>
  <c r="AY15" i="14"/>
  <c r="AE156" i="7"/>
  <c r="AN137" i="15" s="1"/>
  <c r="AN135" i="15" s="1"/>
  <c r="J362" i="2"/>
  <c r="J358" i="2"/>
  <c r="AD156" i="7"/>
  <c r="AM137" i="15" s="1"/>
  <c r="AM135" i="15" s="1"/>
  <c r="BP156" i="7"/>
  <c r="BY137" i="15" s="1"/>
  <c r="BY135" i="15" s="1"/>
  <c r="AF156" i="7"/>
  <c r="AO137" i="15" s="1"/>
  <c r="AO135" i="15" s="1"/>
  <c r="CA156" i="7"/>
  <c r="CJ137" i="15" s="1"/>
  <c r="CJ135" i="15" s="1"/>
  <c r="BO156" i="7"/>
  <c r="BX137" i="15" s="1"/>
  <c r="BX135" i="15" s="1"/>
  <c r="BC156" i="7"/>
  <c r="BL137" i="15" s="1"/>
  <c r="BL135" i="15" s="1"/>
  <c r="S156" i="7"/>
  <c r="CP7" i="14"/>
  <c r="AL15" i="14"/>
  <c r="CK156" i="7"/>
  <c r="CT137" i="15" s="1"/>
  <c r="CT135" i="15" s="1"/>
  <c r="BY156" i="7"/>
  <c r="CH137" i="15" s="1"/>
  <c r="CH135" i="15" s="1"/>
  <c r="AO156" i="7"/>
  <c r="AX137" i="15" s="1"/>
  <c r="AX135" i="15" s="1"/>
  <c r="CH69" i="7"/>
  <c r="CH68" i="7" s="1"/>
  <c r="BW156" i="7"/>
  <c r="CF137" i="15" s="1"/>
  <c r="BK156" i="7"/>
  <c r="BT137" i="15" s="1"/>
  <c r="BR156" i="7"/>
  <c r="CA137" i="15" s="1"/>
  <c r="CA135" i="15" s="1"/>
  <c r="L9" i="14"/>
  <c r="L48" i="14" s="1"/>
  <c r="CD7" i="14"/>
  <c r="AT7" i="14"/>
  <c r="AH7" i="14"/>
  <c r="CZ135" i="7"/>
  <c r="CN135" i="7"/>
  <c r="CB135" i="7"/>
  <c r="CB134" i="7" s="1"/>
  <c r="BP135" i="7"/>
  <c r="BP134" i="7" s="1"/>
  <c r="BD135" i="7"/>
  <c r="BD134" i="7" s="1"/>
  <c r="AR135" i="7"/>
  <c r="AR134" i="7" s="1"/>
  <c r="AF135" i="7"/>
  <c r="AF134" i="7" s="1"/>
  <c r="T135" i="7"/>
  <c r="T134" i="7" s="1"/>
  <c r="H135" i="7"/>
  <c r="H134" i="7" s="1"/>
  <c r="G156" i="7"/>
  <c r="AT156" i="7"/>
  <c r="BC137" i="15" s="1"/>
  <c r="BC135" i="15" s="1"/>
  <c r="AH156" i="7"/>
  <c r="AQ137" i="15" s="1"/>
  <c r="AQ135" i="15" s="1"/>
  <c r="V156" i="7"/>
  <c r="CI81" i="7"/>
  <c r="AE135" i="7"/>
  <c r="AE134" i="7" s="1"/>
  <c r="S135" i="7"/>
  <c r="S134" i="7" s="1"/>
  <c r="G135" i="7"/>
  <c r="G134" i="7" s="1"/>
  <c r="BQ156" i="7"/>
  <c r="BZ137" i="15" s="1"/>
  <c r="BZ135" i="15" s="1"/>
  <c r="BJ69" i="7"/>
  <c r="BJ68" i="7" s="1"/>
  <c r="AX69" i="7"/>
  <c r="AX68" i="7" s="1"/>
  <c r="Z69" i="7"/>
  <c r="Z68" i="7" s="1"/>
  <c r="N69" i="7"/>
  <c r="N68" i="7" s="1"/>
  <c r="CX135" i="7"/>
  <c r="CL135" i="7"/>
  <c r="BZ135" i="7"/>
  <c r="BN135" i="7"/>
  <c r="BB135" i="7"/>
  <c r="AP135" i="7"/>
  <c r="AP134" i="7" s="1"/>
  <c r="AD135" i="7"/>
  <c r="AD134" i="7" s="1"/>
  <c r="R135" i="7"/>
  <c r="R134" i="7" s="1"/>
  <c r="F135" i="7"/>
  <c r="F134" i="7" s="1"/>
  <c r="DG135" i="7"/>
  <c r="CU135" i="7"/>
  <c r="AM135" i="7"/>
  <c r="AM134" i="7" s="1"/>
  <c r="AA135" i="7"/>
  <c r="AA134" i="7" s="1"/>
  <c r="C135" i="7"/>
  <c r="C134" i="7" s="1"/>
  <c r="CB156" i="7"/>
  <c r="CK137" i="15" s="1"/>
  <c r="CK135" i="15" s="1"/>
  <c r="BD156" i="7"/>
  <c r="BM137" i="15" s="1"/>
  <c r="BM135" i="15" s="1"/>
  <c r="T156" i="7"/>
  <c r="BJ135" i="7"/>
  <c r="BJ134" i="7" s="1"/>
  <c r="L135" i="7"/>
  <c r="L134" i="7" s="1"/>
  <c r="AN7" i="14"/>
  <c r="AU135" i="7"/>
  <c r="AU134" i="7" s="1"/>
  <c r="W135" i="7"/>
  <c r="W134" i="7" s="1"/>
  <c r="CJ156" i="7"/>
  <c r="CS137" i="15" s="1"/>
  <c r="CS135" i="15" s="1"/>
  <c r="BX156" i="7"/>
  <c r="CG137" i="15" s="1"/>
  <c r="CG135" i="15" s="1"/>
  <c r="BL156" i="7"/>
  <c r="BU137" i="15" s="1"/>
  <c r="BU135" i="15" s="1"/>
  <c r="AZ156" i="7"/>
  <c r="BI137" i="15" s="1"/>
  <c r="BI135" i="15" s="1"/>
  <c r="AN156" i="7"/>
  <c r="AW137" i="15" s="1"/>
  <c r="AW135" i="15" s="1"/>
  <c r="P156" i="7"/>
  <c r="D156" i="7"/>
  <c r="AK15" i="14"/>
  <c r="U69" i="7"/>
  <c r="U68" i="7" s="1"/>
  <c r="BT156" i="7"/>
  <c r="CC137" i="15" s="1"/>
  <c r="AY156" i="7"/>
  <c r="BH137" i="15" s="1"/>
  <c r="BH135" i="15" s="1"/>
  <c r="AM156" i="7"/>
  <c r="AV137" i="15" s="1"/>
  <c r="AV135" i="15" s="1"/>
  <c r="AA156" i="7"/>
  <c r="O156" i="7"/>
  <c r="AQ15" i="14"/>
  <c r="CH156" i="7"/>
  <c r="CQ137" i="15" s="1"/>
  <c r="CQ135" i="15" s="1"/>
  <c r="BV156" i="7"/>
  <c r="CE137" i="15" s="1"/>
  <c r="CE135" i="15" s="1"/>
  <c r="BJ156" i="7"/>
  <c r="BS137" i="15" s="1"/>
  <c r="BS135" i="15" s="1"/>
  <c r="AX156" i="7"/>
  <c r="BG137" i="15" s="1"/>
  <c r="BG135" i="15" s="1"/>
  <c r="AL156" i="7"/>
  <c r="AU137" i="15" s="1"/>
  <c r="AU135" i="15" s="1"/>
  <c r="Z156" i="7"/>
  <c r="N156" i="7"/>
  <c r="BO26" i="14"/>
  <c r="BO148" i="18" s="1"/>
  <c r="BW81" i="7"/>
  <c r="AY81" i="7"/>
  <c r="AM81" i="7"/>
  <c r="AA81" i="7"/>
  <c r="O81" i="7"/>
  <c r="C81" i="7"/>
  <c r="Q15" i="14"/>
  <c r="BI69" i="7"/>
  <c r="BI68" i="7" s="1"/>
  <c r="M69" i="7"/>
  <c r="M68" i="7" s="1"/>
  <c r="DI135" i="7"/>
  <c r="CW135" i="7"/>
  <c r="CK135" i="7"/>
  <c r="CK134" i="7" s="1"/>
  <c r="BY135" i="7"/>
  <c r="BY134" i="7" s="1"/>
  <c r="BM135" i="7"/>
  <c r="BM134" i="7" s="1"/>
  <c r="BA135" i="7"/>
  <c r="BA134" i="7" s="1"/>
  <c r="AO135" i="7"/>
  <c r="AO134" i="7" s="1"/>
  <c r="AC135" i="7"/>
  <c r="AC134" i="7" s="1"/>
  <c r="Q135" i="7"/>
  <c r="Q134" i="7" s="1"/>
  <c r="E135" i="7"/>
  <c r="E134" i="7" s="1"/>
  <c r="AJ69" i="7"/>
  <c r="AJ68" i="7" s="1"/>
  <c r="CF156" i="7"/>
  <c r="CO137" i="15" s="1"/>
  <c r="BH156" i="7"/>
  <c r="BQ137" i="15" s="1"/>
  <c r="AV156" i="7"/>
  <c r="BE137" i="15" s="1"/>
  <c r="BE135" i="15" s="1"/>
  <c r="AJ156" i="7"/>
  <c r="AS137" i="15" s="1"/>
  <c r="AS135" i="15" s="1"/>
  <c r="X156" i="7"/>
  <c r="L156" i="7"/>
  <c r="BJ15" i="14"/>
  <c r="AM15" i="14"/>
  <c r="AA15" i="14"/>
  <c r="O15" i="14"/>
  <c r="CH58" i="7"/>
  <c r="BV58" i="7"/>
  <c r="BK135" i="7"/>
  <c r="CS15" i="14"/>
  <c r="CG15" i="14"/>
  <c r="BU15" i="14"/>
  <c r="BI15" i="14"/>
  <c r="AW15" i="14"/>
  <c r="M15" i="14"/>
  <c r="CD59" i="7"/>
  <c r="BR59" i="7"/>
  <c r="BF59" i="7"/>
  <c r="AT59" i="7"/>
  <c r="AH59" i="7"/>
  <c r="V59" i="7"/>
  <c r="J59" i="7"/>
  <c r="BR81" i="7"/>
  <c r="BF81" i="7"/>
  <c r="AT81" i="7"/>
  <c r="AH81" i="7"/>
  <c r="V81" i="7"/>
  <c r="J81" i="7"/>
  <c r="CT135" i="7"/>
  <c r="BV135" i="7"/>
  <c r="BV134" i="7" s="1"/>
  <c r="AX135" i="7"/>
  <c r="AX134" i="7" s="1"/>
  <c r="Z135" i="7"/>
  <c r="Z134" i="7" s="1"/>
  <c r="CD156" i="7"/>
  <c r="CM137" i="15" s="1"/>
  <c r="CM135" i="15" s="1"/>
  <c r="CF15" i="14"/>
  <c r="BT15" i="14"/>
  <c r="BH15" i="14"/>
  <c r="AV15" i="14"/>
  <c r="AJ15" i="14"/>
  <c r="X15" i="14"/>
  <c r="L15" i="14"/>
  <c r="AQ26" i="14"/>
  <c r="AQ148" i="18" s="1"/>
  <c r="I69" i="7"/>
  <c r="I68" i="7" s="1"/>
  <c r="CM26" i="14"/>
  <c r="BC26" i="14"/>
  <c r="BB105" i="7"/>
  <c r="AD105" i="7"/>
  <c r="AM79" i="15" s="1"/>
  <c r="AM77" i="15" s="1"/>
  <c r="AM121" i="18" s="1"/>
  <c r="DD135" i="7"/>
  <c r="CR135" i="7"/>
  <c r="BT135" i="7"/>
  <c r="BH135" i="7"/>
  <c r="AV135" i="7"/>
  <c r="AV134" i="7" s="1"/>
  <c r="AJ135" i="7"/>
  <c r="AJ134" i="7" s="1"/>
  <c r="X135" i="7"/>
  <c r="X134" i="7" s="1"/>
  <c r="DA135" i="7"/>
  <c r="CC135" i="7"/>
  <c r="AS135" i="7"/>
  <c r="AS134" i="7" s="1"/>
  <c r="AG135" i="7"/>
  <c r="AG134" i="7" s="1"/>
  <c r="I135" i="7"/>
  <c r="I134" i="7" s="1"/>
  <c r="V15" i="14"/>
  <c r="CU39" i="14"/>
  <c r="BP105" i="7"/>
  <c r="BY79" i="15" s="1"/>
  <c r="BY77" i="15" s="1"/>
  <c r="BY121" i="18" s="1"/>
  <c r="DC135" i="7"/>
  <c r="CE135" i="7"/>
  <c r="CE134" i="7" s="1"/>
  <c r="BS135" i="7"/>
  <c r="BS134" i="7" s="1"/>
  <c r="AI135" i="7"/>
  <c r="AI134" i="7" s="1"/>
  <c r="K135" i="7"/>
  <c r="K134" i="7" s="1"/>
  <c r="AB156" i="7"/>
  <c r="AQ156" i="7"/>
  <c r="AZ137" i="15" s="1"/>
  <c r="AZ135" i="15" s="1"/>
  <c r="CO15" i="14"/>
  <c r="CC15" i="14"/>
  <c r="BQ15" i="14"/>
  <c r="BE15" i="14"/>
  <c r="AS15" i="14"/>
  <c r="AG15" i="14"/>
  <c r="U15" i="14"/>
  <c r="I15" i="14"/>
  <c r="DB135" i="7"/>
  <c r="CP135" i="7"/>
  <c r="CD135" i="7"/>
  <c r="CD134" i="7" s="1"/>
  <c r="BR135" i="7"/>
  <c r="BR134" i="7" s="1"/>
  <c r="BF135" i="7"/>
  <c r="BF134" i="7" s="1"/>
  <c r="AT135" i="7"/>
  <c r="AT134" i="7" s="1"/>
  <c r="AH135" i="7"/>
  <c r="AH134" i="7" s="1"/>
  <c r="V135" i="7"/>
  <c r="V134" i="7" s="1"/>
  <c r="J135" i="7"/>
  <c r="J134" i="7" s="1"/>
  <c r="CY135" i="7"/>
  <c r="CM135" i="7"/>
  <c r="BO135" i="7"/>
  <c r="BO134" i="7" s="1"/>
  <c r="CI156" i="7"/>
  <c r="CR137" i="15" s="1"/>
  <c r="BN105" i="7"/>
  <c r="BM156" i="7"/>
  <c r="BV137" i="15" s="1"/>
  <c r="BV135" i="15" s="1"/>
  <c r="BA156" i="7"/>
  <c r="BJ137" i="15" s="1"/>
  <c r="BJ135" i="15" s="1"/>
  <c r="Q156" i="7"/>
  <c r="CM15" i="14"/>
  <c r="CA15" i="14"/>
  <c r="BO15" i="14"/>
  <c r="AE15" i="14"/>
  <c r="S15" i="14"/>
  <c r="G15" i="14"/>
  <c r="BD26" i="14"/>
  <c r="CD81" i="7"/>
  <c r="BZ81" i="7"/>
  <c r="BN81" i="7"/>
  <c r="BB81" i="7"/>
  <c r="AP81" i="7"/>
  <c r="AD81" i="7"/>
  <c r="R81" i="7"/>
  <c r="F81" i="7"/>
  <c r="CJ62" i="7"/>
  <c r="BX62" i="7"/>
  <c r="BL62" i="7"/>
  <c r="AZ62" i="7"/>
  <c r="AN62" i="7"/>
  <c r="AB62" i="7"/>
  <c r="P62" i="7"/>
  <c r="D62" i="7"/>
  <c r="CA61" i="7"/>
  <c r="CA99" i="7" s="1"/>
  <c r="BO61" i="7"/>
  <c r="BO99" i="7" s="1"/>
  <c r="BC61" i="7"/>
  <c r="BC99" i="7" s="1"/>
  <c r="AQ61" i="7"/>
  <c r="AQ99" i="7" s="1"/>
  <c r="AE61" i="7"/>
  <c r="AE99" i="7" s="1"/>
  <c r="S61" i="7"/>
  <c r="S99" i="7" s="1"/>
  <c r="G61" i="7"/>
  <c r="G99" i="7" s="1"/>
  <c r="CL90" i="7"/>
  <c r="CB81" i="7"/>
  <c r="BP81" i="7"/>
  <c r="BD81" i="7"/>
  <c r="AR81" i="7"/>
  <c r="AF81" i="7"/>
  <c r="T81" i="7"/>
  <c r="H81" i="7"/>
  <c r="CA105" i="7"/>
  <c r="CJ79" i="15" s="1"/>
  <c r="CJ77" i="15" s="1"/>
  <c r="CJ121" i="18" s="1"/>
  <c r="BO105" i="7"/>
  <c r="BX79" i="15" s="1"/>
  <c r="BX77" i="15" s="1"/>
  <c r="BX121" i="18" s="1"/>
  <c r="BC105" i="7"/>
  <c r="BL79" i="15" s="1"/>
  <c r="BL77" i="15" s="1"/>
  <c r="BL121" i="18" s="1"/>
  <c r="AQ105" i="7"/>
  <c r="AZ79" i="15" s="1"/>
  <c r="AZ77" i="15" s="1"/>
  <c r="AZ121" i="18" s="1"/>
  <c r="AE105" i="7"/>
  <c r="AN79" i="15" s="1"/>
  <c r="AN77" i="15" s="1"/>
  <c r="AN121" i="18" s="1"/>
  <c r="S105" i="7"/>
  <c r="AB79" i="15" s="1"/>
  <c r="AB77" i="15" s="1"/>
  <c r="AB121" i="18" s="1"/>
  <c r="G105" i="7"/>
  <c r="P79" i="15" s="1"/>
  <c r="P77" i="15" s="1"/>
  <c r="P121" i="18" s="1"/>
  <c r="BJ58" i="7"/>
  <c r="AX58" i="7"/>
  <c r="AL58" i="7"/>
  <c r="Z58" i="7"/>
  <c r="N58" i="7"/>
  <c r="CJ61" i="7"/>
  <c r="CJ99" i="7" s="1"/>
  <c r="BX61" i="7"/>
  <c r="BX99" i="7" s="1"/>
  <c r="BL61" i="7"/>
  <c r="BL99" i="7" s="1"/>
  <c r="AZ61" i="7"/>
  <c r="AZ99" i="7" s="1"/>
  <c r="AN61" i="7"/>
  <c r="AN99" i="7" s="1"/>
  <c r="AB61" i="7"/>
  <c r="AB99" i="7" s="1"/>
  <c r="P61" i="7"/>
  <c r="P99" i="7" s="1"/>
  <c r="D61" i="7"/>
  <c r="D99" i="7" s="1"/>
  <c r="BK81" i="7"/>
  <c r="CO135" i="7"/>
  <c r="CC156" i="7"/>
  <c r="CL137" i="15" s="1"/>
  <c r="BE156" i="7"/>
  <c r="BN137" i="15" s="1"/>
  <c r="AS156" i="7"/>
  <c r="BB137" i="15" s="1"/>
  <c r="BB135" i="15" s="1"/>
  <c r="AG156" i="7"/>
  <c r="AP137" i="15" s="1"/>
  <c r="AP135" i="15" s="1"/>
  <c r="U156" i="7"/>
  <c r="I156" i="7"/>
  <c r="CH62" i="7"/>
  <c r="AX62" i="7"/>
  <c r="CH81" i="7"/>
  <c r="BV81" i="7"/>
  <c r="BJ81" i="7"/>
  <c r="AX81" i="7"/>
  <c r="AL81" i="7"/>
  <c r="Z81" i="7"/>
  <c r="N81" i="7"/>
  <c r="CC81" i="7"/>
  <c r="BQ81" i="7"/>
  <c r="BE81" i="7"/>
  <c r="AS81" i="7"/>
  <c r="AG81" i="7"/>
  <c r="U81" i="7"/>
  <c r="I81" i="7"/>
  <c r="BZ105" i="7"/>
  <c r="AP105" i="7"/>
  <c r="AY79" i="15" s="1"/>
  <c r="AY77" i="15" s="1"/>
  <c r="AY121" i="18" s="1"/>
  <c r="R105" i="7"/>
  <c r="AA79" i="15" s="1"/>
  <c r="AA77" i="15" s="1"/>
  <c r="AA121" i="18" s="1"/>
  <c r="F105" i="7"/>
  <c r="O79" i="15" s="1"/>
  <c r="O77" i="15" s="1"/>
  <c r="O121" i="18" s="1"/>
  <c r="CE59" i="7"/>
  <c r="BS59" i="7"/>
  <c r="BG59" i="7"/>
  <c r="AU59" i="7"/>
  <c r="AI59" i="7"/>
  <c r="W59" i="7"/>
  <c r="K59" i="7"/>
  <c r="CG62" i="7"/>
  <c r="BU62" i="7"/>
  <c r="BI62" i="7"/>
  <c r="AW62" i="7"/>
  <c r="AK62" i="7"/>
  <c r="Y62" i="7"/>
  <c r="M62" i="7"/>
  <c r="CH61" i="7"/>
  <c r="CH99" i="7" s="1"/>
  <c r="BV61" i="7"/>
  <c r="BV99" i="7" s="1"/>
  <c r="BJ61" i="7"/>
  <c r="BJ99" i="7" s="1"/>
  <c r="AX61" i="7"/>
  <c r="AX99" i="7" s="1"/>
  <c r="AL61" i="7"/>
  <c r="AL99" i="7" s="1"/>
  <c r="Z61" i="7"/>
  <c r="Z99" i="7" s="1"/>
  <c r="N61" i="7"/>
  <c r="N99" i="7" s="1"/>
  <c r="CB49" i="7"/>
  <c r="CK32" i="15" s="1"/>
  <c r="CK30" i="15" s="1"/>
  <c r="CK56" i="18" s="1"/>
  <c r="BP49" i="7"/>
  <c r="BY32" i="15" s="1"/>
  <c r="BY30" i="15" s="1"/>
  <c r="BY56" i="18" s="1"/>
  <c r="BD49" i="7"/>
  <c r="AR49" i="7"/>
  <c r="AF49" i="7"/>
  <c r="H49" i="7"/>
  <c r="CK81" i="7"/>
  <c r="BY81" i="7"/>
  <c r="BM81" i="7"/>
  <c r="BA81" i="7"/>
  <c r="AO81" i="7"/>
  <c r="AC81" i="7"/>
  <c r="Q81" i="7"/>
  <c r="E81" i="7"/>
  <c r="CG81" i="7"/>
  <c r="BU81" i="7"/>
  <c r="BI81" i="7"/>
  <c r="AW81" i="7"/>
  <c r="AK81" i="7"/>
  <c r="Y81" i="7"/>
  <c r="M81" i="7"/>
  <c r="CK105" i="7"/>
  <c r="CT79" i="15" s="1"/>
  <c r="CT77" i="15" s="1"/>
  <c r="CT121" i="18" s="1"/>
  <c r="BY105" i="7"/>
  <c r="CH79" i="15" s="1"/>
  <c r="CH77" i="15" s="1"/>
  <c r="CH121" i="18" s="1"/>
  <c r="BM105" i="7"/>
  <c r="BV79" i="15" s="1"/>
  <c r="BV77" i="15" s="1"/>
  <c r="BV121" i="18" s="1"/>
  <c r="BA105" i="7"/>
  <c r="BJ79" i="15" s="1"/>
  <c r="BJ77" i="15" s="1"/>
  <c r="BJ121" i="18" s="1"/>
  <c r="AO105" i="7"/>
  <c r="AX79" i="15" s="1"/>
  <c r="AX77" i="15" s="1"/>
  <c r="AX121" i="18" s="1"/>
  <c r="AC105" i="7"/>
  <c r="AL79" i="15" s="1"/>
  <c r="AL77" i="15" s="1"/>
  <c r="AL121" i="18" s="1"/>
  <c r="Q105" i="7"/>
  <c r="Z79" i="15" s="1"/>
  <c r="Z77" i="15" s="1"/>
  <c r="Z121" i="18" s="1"/>
  <c r="E105" i="7"/>
  <c r="N79" i="15" s="1"/>
  <c r="N77" i="15" s="1"/>
  <c r="N121" i="18" s="1"/>
  <c r="CA135" i="7"/>
  <c r="CA134" i="7" s="1"/>
  <c r="BC135" i="7"/>
  <c r="BC134" i="7" s="1"/>
  <c r="AQ135" i="7"/>
  <c r="AQ134" i="7" s="1"/>
  <c r="BU69" i="7"/>
  <c r="BU68" i="7" s="1"/>
  <c r="CK15" i="14"/>
  <c r="CL15" i="14"/>
  <c r="BZ15" i="14"/>
  <c r="BY15" i="14"/>
  <c r="BM15" i="14"/>
  <c r="BN15" i="14"/>
  <c r="BB15" i="14"/>
  <c r="BA15" i="14"/>
  <c r="AP15" i="14"/>
  <c r="AO15" i="14"/>
  <c r="AC15" i="14"/>
  <c r="AD15" i="14"/>
  <c r="F15" i="14"/>
  <c r="E15" i="14"/>
  <c r="BF58" i="7"/>
  <c r="V58" i="7"/>
  <c r="CE62" i="7"/>
  <c r="BS62" i="7"/>
  <c r="BG62" i="7"/>
  <c r="AU62" i="7"/>
  <c r="AI62" i="7"/>
  <c r="W62" i="7"/>
  <c r="K62" i="7"/>
  <c r="CF69" i="7"/>
  <c r="AV69" i="7"/>
  <c r="AV68" i="7" s="1"/>
  <c r="L69" i="7"/>
  <c r="L68" i="7" s="1"/>
  <c r="CE81" i="7"/>
  <c r="BS81" i="7"/>
  <c r="BG81" i="7"/>
  <c r="AU81" i="7"/>
  <c r="AI81" i="7"/>
  <c r="W81" i="7"/>
  <c r="K81" i="7"/>
  <c r="CJ81" i="7"/>
  <c r="BX81" i="7"/>
  <c r="BL81" i="7"/>
  <c r="AZ81" i="7"/>
  <c r="AN81" i="7"/>
  <c r="AB81" i="7"/>
  <c r="P81" i="7"/>
  <c r="D81" i="7"/>
  <c r="CD105" i="7"/>
  <c r="CM79" i="15" s="1"/>
  <c r="CM77" i="15" s="1"/>
  <c r="CM121" i="18" s="1"/>
  <c r="BR105" i="7"/>
  <c r="CA79" i="15" s="1"/>
  <c r="CA77" i="15" s="1"/>
  <c r="CA121" i="18" s="1"/>
  <c r="BF105" i="7"/>
  <c r="BO79" i="15" s="1"/>
  <c r="BO77" i="15" s="1"/>
  <c r="BO121" i="18" s="1"/>
  <c r="AT105" i="7"/>
  <c r="BC79" i="15" s="1"/>
  <c r="BC77" i="15" s="1"/>
  <c r="BC121" i="18" s="1"/>
  <c r="AH105" i="7"/>
  <c r="AQ79" i="15" s="1"/>
  <c r="AQ77" i="15" s="1"/>
  <c r="AQ121" i="18" s="1"/>
  <c r="V105" i="7"/>
  <c r="AE79" i="15" s="1"/>
  <c r="AE77" i="15" s="1"/>
  <c r="AE121" i="18" s="1"/>
  <c r="J105" i="7"/>
  <c r="S79" i="15" s="1"/>
  <c r="S77" i="15" s="1"/>
  <c r="S121" i="18" s="1"/>
  <c r="DF135" i="7"/>
  <c r="CH135" i="7"/>
  <c r="CH134" i="7" s="1"/>
  <c r="AL135" i="7"/>
  <c r="AL134" i="7" s="1"/>
  <c r="N135" i="7"/>
  <c r="N134" i="7" s="1"/>
  <c r="CS9" i="14"/>
  <c r="CG9" i="14"/>
  <c r="BU9" i="14"/>
  <c r="BI9" i="14"/>
  <c r="Z15" i="14"/>
  <c r="Y15" i="14"/>
  <c r="N15" i="14"/>
  <c r="BQ135" i="7"/>
  <c r="BE135" i="7"/>
  <c r="U135" i="7"/>
  <c r="U134" i="7" s="1"/>
  <c r="CI105" i="7"/>
  <c r="BW105" i="7"/>
  <c r="BK105" i="7"/>
  <c r="AY105" i="7"/>
  <c r="BH79" i="15" s="1"/>
  <c r="BH77" i="15" s="1"/>
  <c r="BH121" i="18" s="1"/>
  <c r="AM105" i="7"/>
  <c r="AV79" i="15" s="1"/>
  <c r="AV77" i="15" s="1"/>
  <c r="AV121" i="18" s="1"/>
  <c r="AA105" i="7"/>
  <c r="AJ79" i="15" s="1"/>
  <c r="AJ77" i="15" s="1"/>
  <c r="AJ121" i="18" s="1"/>
  <c r="O105" i="7"/>
  <c r="X79" i="15" s="1"/>
  <c r="X77" i="15" s="1"/>
  <c r="X121" i="18" s="1"/>
  <c r="C105" i="7"/>
  <c r="L79" i="15" s="1"/>
  <c r="L77" i="15" s="1"/>
  <c r="L121" i="18" s="1"/>
  <c r="CH105" i="7"/>
  <c r="CQ79" i="15" s="1"/>
  <c r="CQ77" i="15" s="1"/>
  <c r="CQ121" i="18" s="1"/>
  <c r="BV105" i="7"/>
  <c r="CE79" i="15" s="1"/>
  <c r="CE77" i="15" s="1"/>
  <c r="CE121" i="18" s="1"/>
  <c r="BJ105" i="7"/>
  <c r="BS79" i="15" s="1"/>
  <c r="BS77" i="15" s="1"/>
  <c r="BS121" i="18" s="1"/>
  <c r="AX105" i="7"/>
  <c r="BG79" i="15" s="1"/>
  <c r="BG77" i="15" s="1"/>
  <c r="BG121" i="18" s="1"/>
  <c r="AL105" i="7"/>
  <c r="AU79" i="15" s="1"/>
  <c r="AU77" i="15" s="1"/>
  <c r="AU121" i="18" s="1"/>
  <c r="Z105" i="7"/>
  <c r="AI79" i="15" s="1"/>
  <c r="AI77" i="15" s="1"/>
  <c r="AI121" i="18" s="1"/>
  <c r="N105" i="7"/>
  <c r="W79" i="15" s="1"/>
  <c r="W77" i="15" s="1"/>
  <c r="W121" i="18" s="1"/>
  <c r="CF105" i="7"/>
  <c r="BT105" i="7"/>
  <c r="BH105" i="7"/>
  <c r="AV105" i="7"/>
  <c r="BE79" i="15" s="1"/>
  <c r="BE77" i="15" s="1"/>
  <c r="BE121" i="18" s="1"/>
  <c r="AJ105" i="7"/>
  <c r="AS79" i="15" s="1"/>
  <c r="AS77" i="15" s="1"/>
  <c r="AS121" i="18" s="1"/>
  <c r="X105" i="7"/>
  <c r="AG79" i="15" s="1"/>
  <c r="AG77" i="15" s="1"/>
  <c r="AG121" i="18" s="1"/>
  <c r="L105" i="7"/>
  <c r="U79" i="15" s="1"/>
  <c r="U77" i="15" s="1"/>
  <c r="U121" i="18" s="1"/>
  <c r="CJ7" i="14"/>
  <c r="BX7" i="14"/>
  <c r="BL7" i="14"/>
  <c r="AZ7" i="14"/>
  <c r="AB7" i="14"/>
  <c r="P7" i="14"/>
  <c r="D7" i="14"/>
  <c r="AX15" i="14"/>
  <c r="CF62" i="7"/>
  <c r="BT62" i="7"/>
  <c r="BH62" i="7"/>
  <c r="AV62" i="7"/>
  <c r="AJ62" i="7"/>
  <c r="X62" i="7"/>
  <c r="L62" i="7"/>
  <c r="CI61" i="7"/>
  <c r="BW61" i="7"/>
  <c r="BK61" i="7"/>
  <c r="AY61" i="7"/>
  <c r="AY99" i="7" s="1"/>
  <c r="AM61" i="7"/>
  <c r="AM99" i="7" s="1"/>
  <c r="AA61" i="7"/>
  <c r="AA99" i="7" s="1"/>
  <c r="O61" i="7"/>
  <c r="O99" i="7" s="1"/>
  <c r="C61" i="7"/>
  <c r="C99" i="7" s="1"/>
  <c r="BZ49" i="7"/>
  <c r="CI32" i="15" s="1"/>
  <c r="CA81" i="7"/>
  <c r="BO81" i="7"/>
  <c r="BC81" i="7"/>
  <c r="AQ81" i="7"/>
  <c r="AE81" i="7"/>
  <c r="S81" i="7"/>
  <c r="G81" i="7"/>
  <c r="CG105" i="7"/>
  <c r="CP79" i="15" s="1"/>
  <c r="CP77" i="15" s="1"/>
  <c r="CP121" i="18" s="1"/>
  <c r="BU105" i="7"/>
  <c r="CD79" i="15" s="1"/>
  <c r="CD77" i="15" s="1"/>
  <c r="CD121" i="18" s="1"/>
  <c r="BI105" i="7"/>
  <c r="BR79" i="15" s="1"/>
  <c r="BR77" i="15" s="1"/>
  <c r="BR121" i="18" s="1"/>
  <c r="AW105" i="7"/>
  <c r="BF79" i="15" s="1"/>
  <c r="BF77" i="15" s="1"/>
  <c r="BF121" i="18" s="1"/>
  <c r="AK105" i="7"/>
  <c r="AT79" i="15" s="1"/>
  <c r="AT77" i="15" s="1"/>
  <c r="AT121" i="18" s="1"/>
  <c r="Y105" i="7"/>
  <c r="AH79" i="15" s="1"/>
  <c r="AH77" i="15" s="1"/>
  <c r="AH121" i="18" s="1"/>
  <c r="M105" i="7"/>
  <c r="V79" i="15" s="1"/>
  <c r="V77" i="15" s="1"/>
  <c r="V121" i="18" s="1"/>
  <c r="DH135" i="7"/>
  <c r="CV135" i="7"/>
  <c r="CJ135" i="7"/>
  <c r="CJ134" i="7" s="1"/>
  <c r="BX135" i="7"/>
  <c r="BX134" i="7" s="1"/>
  <c r="BL135" i="7"/>
  <c r="BL134" i="7" s="1"/>
  <c r="AZ135" i="7"/>
  <c r="AZ134" i="7" s="1"/>
  <c r="AN135" i="7"/>
  <c r="AN134" i="7" s="1"/>
  <c r="AB135" i="7"/>
  <c r="AB134" i="7" s="1"/>
  <c r="P135" i="7"/>
  <c r="P134" i="7" s="1"/>
  <c r="D135" i="7"/>
  <c r="D134" i="7" s="1"/>
  <c r="CT7" i="14"/>
  <c r="R15" i="14"/>
  <c r="CS26" i="14"/>
  <c r="CS148" i="18" s="1"/>
  <c r="CG26" i="14"/>
  <c r="CG148" i="18" s="1"/>
  <c r="BU26" i="14"/>
  <c r="BU148" i="18" s="1"/>
  <c r="BI26" i="14"/>
  <c r="BI148" i="18" s="1"/>
  <c r="AW26" i="14"/>
  <c r="AW148" i="18" s="1"/>
  <c r="Y26" i="14"/>
  <c r="Y148" i="18" s="1"/>
  <c r="CJ105" i="7"/>
  <c r="CS79" i="15" s="1"/>
  <c r="CS77" i="15" s="1"/>
  <c r="CS121" i="18" s="1"/>
  <c r="BX105" i="7"/>
  <c r="CG79" i="15" s="1"/>
  <c r="CG77" i="15" s="1"/>
  <c r="CG121" i="18" s="1"/>
  <c r="BL105" i="7"/>
  <c r="BU79" i="15" s="1"/>
  <c r="BU77" i="15" s="1"/>
  <c r="BU121" i="18" s="1"/>
  <c r="AZ105" i="7"/>
  <c r="BI79" i="15" s="1"/>
  <c r="BI77" i="15" s="1"/>
  <c r="BI121" i="18" s="1"/>
  <c r="AN105" i="7"/>
  <c r="AW79" i="15" s="1"/>
  <c r="AW77" i="15" s="1"/>
  <c r="AW121" i="18" s="1"/>
  <c r="AB105" i="7"/>
  <c r="AK79" i="15" s="1"/>
  <c r="AK77" i="15" s="1"/>
  <c r="AK121" i="18" s="1"/>
  <c r="P105" i="7"/>
  <c r="Y79" i="15" s="1"/>
  <c r="Y77" i="15" s="1"/>
  <c r="Y121" i="18" s="1"/>
  <c r="D105" i="7"/>
  <c r="M79" i="15" s="1"/>
  <c r="M77" i="15" s="1"/>
  <c r="M121" i="18" s="1"/>
  <c r="CH7" i="14"/>
  <c r="BV7" i="14"/>
  <c r="BJ7" i="14"/>
  <c r="AX7" i="14"/>
  <c r="AL7" i="14"/>
  <c r="Z7" i="14"/>
  <c r="N7" i="14"/>
  <c r="CT15" i="14"/>
  <c r="CH15" i="14"/>
  <c r="BV15" i="14"/>
  <c r="BW15" i="14"/>
  <c r="CP26" i="14"/>
  <c r="CP148" i="18" s="1"/>
  <c r="CD26" i="14"/>
  <c r="BR26" i="14"/>
  <c r="BF26" i="14"/>
  <c r="AT26" i="14"/>
  <c r="AH26" i="14"/>
  <c r="V26" i="14"/>
  <c r="J26" i="14"/>
  <c r="CO9" i="14"/>
  <c r="CC9" i="14"/>
  <c r="BQ9" i="14"/>
  <c r="BE9" i="14"/>
  <c r="AS9" i="14"/>
  <c r="AG9" i="14"/>
  <c r="AG48" i="14" s="1"/>
  <c r="U9" i="14"/>
  <c r="U48" i="14" s="1"/>
  <c r="I9" i="14"/>
  <c r="I48" i="14" s="1"/>
  <c r="CG156" i="7"/>
  <c r="CP137" i="15" s="1"/>
  <c r="CP135" i="15" s="1"/>
  <c r="BU156" i="7"/>
  <c r="CD137" i="15" s="1"/>
  <c r="CD135" i="15" s="1"/>
  <c r="BI156" i="7"/>
  <c r="BR137" i="15" s="1"/>
  <c r="BR135" i="15" s="1"/>
  <c r="AW156" i="7"/>
  <c r="BF137" i="15" s="1"/>
  <c r="BF135" i="15" s="1"/>
  <c r="AK156" i="7"/>
  <c r="AT137" i="15" s="1"/>
  <c r="AT135" i="15" s="1"/>
  <c r="Y156" i="7"/>
  <c r="M156" i="7"/>
  <c r="CP15" i="14"/>
  <c r="CD15" i="14"/>
  <c r="BR15" i="14"/>
  <c r="BF15" i="14"/>
  <c r="AT15" i="14"/>
  <c r="AH15" i="14"/>
  <c r="J15" i="14"/>
  <c r="CE156" i="7"/>
  <c r="CN137" i="15" s="1"/>
  <c r="CN135" i="15" s="1"/>
  <c r="BS156" i="7"/>
  <c r="CB137" i="15" s="1"/>
  <c r="CB135" i="15" s="1"/>
  <c r="BG156" i="7"/>
  <c r="BP137" i="15" s="1"/>
  <c r="BP135" i="15" s="1"/>
  <c r="AU156" i="7"/>
  <c r="BD137" i="15" s="1"/>
  <c r="BD135" i="15" s="1"/>
  <c r="AI156" i="7"/>
  <c r="AR137" i="15" s="1"/>
  <c r="AR135" i="15" s="1"/>
  <c r="W156" i="7"/>
  <c r="K156" i="7"/>
  <c r="Q26" i="14"/>
  <c r="Q148" i="18" s="1"/>
  <c r="CF81" i="7"/>
  <c r="BT81" i="7"/>
  <c r="BH81" i="7"/>
  <c r="AV81" i="7"/>
  <c r="AJ81" i="7"/>
  <c r="X81" i="7"/>
  <c r="L81" i="7"/>
  <c r="CC105" i="7"/>
  <c r="BQ105" i="7"/>
  <c r="BE105" i="7"/>
  <c r="AS105" i="7"/>
  <c r="BB79" i="15" s="1"/>
  <c r="BB77" i="15" s="1"/>
  <c r="BB121" i="18" s="1"/>
  <c r="AG105" i="7"/>
  <c r="AP79" i="15" s="1"/>
  <c r="AP77" i="15" s="1"/>
  <c r="AP121" i="18" s="1"/>
  <c r="U105" i="7"/>
  <c r="AD79" i="15" s="1"/>
  <c r="AD77" i="15" s="1"/>
  <c r="AD121" i="18" s="1"/>
  <c r="I105" i="7"/>
  <c r="R79" i="15" s="1"/>
  <c r="R77" i="15" s="1"/>
  <c r="R121" i="18" s="1"/>
  <c r="BF156" i="7"/>
  <c r="BO137" i="15" s="1"/>
  <c r="BO135" i="15" s="1"/>
  <c r="J156" i="7"/>
  <c r="AW9" i="14"/>
  <c r="AK9" i="14"/>
  <c r="AK48" i="14" s="1"/>
  <c r="Y9" i="14"/>
  <c r="Y48" i="14" s="1"/>
  <c r="M9" i="14"/>
  <c r="M66" i="18" s="1"/>
  <c r="CI15" i="14"/>
  <c r="CB105" i="7"/>
  <c r="CK79" i="15" s="1"/>
  <c r="CK77" i="15" s="1"/>
  <c r="CK121" i="18" s="1"/>
  <c r="BD105" i="7"/>
  <c r="BM79" i="15" s="1"/>
  <c r="BM77" i="15" s="1"/>
  <c r="BM121" i="18" s="1"/>
  <c r="AR105" i="7"/>
  <c r="BA79" i="15" s="1"/>
  <c r="BA77" i="15" s="1"/>
  <c r="BA121" i="18" s="1"/>
  <c r="AF105" i="7"/>
  <c r="AO79" i="15" s="1"/>
  <c r="AO77" i="15" s="1"/>
  <c r="AO121" i="18" s="1"/>
  <c r="T105" i="7"/>
  <c r="AC79" i="15" s="1"/>
  <c r="AC77" i="15" s="1"/>
  <c r="AC121" i="18" s="1"/>
  <c r="H105" i="7"/>
  <c r="Q79" i="15" s="1"/>
  <c r="Q77" i="15" s="1"/>
  <c r="Q121" i="18" s="1"/>
  <c r="CE105" i="7"/>
  <c r="CN79" i="15" s="1"/>
  <c r="CN77" i="15" s="1"/>
  <c r="CN121" i="18" s="1"/>
  <c r="BS105" i="7"/>
  <c r="CB79" i="15" s="1"/>
  <c r="CB77" i="15" s="1"/>
  <c r="CB121" i="18" s="1"/>
  <c r="BG105" i="7"/>
  <c r="BP79" i="15" s="1"/>
  <c r="BP77" i="15" s="1"/>
  <c r="BP121" i="18" s="1"/>
  <c r="AU105" i="7"/>
  <c r="BD79" i="15" s="1"/>
  <c r="BD77" i="15" s="1"/>
  <c r="BD121" i="18" s="1"/>
  <c r="AI105" i="7"/>
  <c r="AR79" i="15" s="1"/>
  <c r="AR77" i="15" s="1"/>
  <c r="AR121" i="18" s="1"/>
  <c r="W105" i="7"/>
  <c r="AF79" i="15" s="1"/>
  <c r="AF77" i="15" s="1"/>
  <c r="AF121" i="18" s="1"/>
  <c r="K105" i="7"/>
  <c r="T79" i="15" s="1"/>
  <c r="T77" i="15" s="1"/>
  <c r="T121" i="18" s="1"/>
  <c r="CL9" i="14"/>
  <c r="BZ9" i="14"/>
  <c r="BN9" i="14"/>
  <c r="BB9" i="14"/>
  <c r="BB66" i="18" s="1"/>
  <c r="AP9" i="14"/>
  <c r="AP66" i="18" s="1"/>
  <c r="AD9" i="14"/>
  <c r="AD66" i="18" s="1"/>
  <c r="R9" i="14"/>
  <c r="R48" i="14" s="1"/>
  <c r="F9" i="14"/>
  <c r="F48" i="14" s="1"/>
  <c r="CB15" i="14"/>
  <c r="BP15" i="14"/>
  <c r="AR15" i="14"/>
  <c r="AF15" i="14"/>
  <c r="T15" i="14"/>
  <c r="H15" i="14"/>
  <c r="CK9" i="14"/>
  <c r="BY9" i="14"/>
  <c r="BM9" i="14"/>
  <c r="BA9" i="14"/>
  <c r="AO9" i="14"/>
  <c r="AC9" i="14"/>
  <c r="AC66" i="18" s="1"/>
  <c r="Q9" i="14"/>
  <c r="Q48" i="14" s="1"/>
  <c r="E9" i="14"/>
  <c r="E48" i="14" s="1"/>
  <c r="BC15" i="14"/>
  <c r="BD15" i="14"/>
  <c r="BR7" i="14"/>
  <c r="BF7" i="14"/>
  <c r="V7" i="14"/>
  <c r="J7" i="14"/>
  <c r="R26" i="14"/>
  <c r="R148" i="18" s="1"/>
  <c r="AF26" i="14"/>
  <c r="T26" i="14"/>
  <c r="H26" i="14"/>
  <c r="H148" i="18" s="1"/>
  <c r="AE26" i="14"/>
  <c r="S26" i="14"/>
  <c r="S148" i="18" s="1"/>
  <c r="G26" i="14"/>
  <c r="G148" i="18" s="1"/>
  <c r="AD26" i="14"/>
  <c r="AD148" i="18" s="1"/>
  <c r="F26" i="14"/>
  <c r="F148" i="18" s="1"/>
  <c r="AC26" i="14"/>
  <c r="AC148" i="18" s="1"/>
  <c r="E26" i="14"/>
  <c r="E148" i="18" s="1"/>
  <c r="AL26" i="14"/>
  <c r="Z26" i="14"/>
  <c r="N26" i="14"/>
  <c r="N148" i="18" s="1"/>
  <c r="AK26" i="14"/>
  <c r="AK148" i="18" s="1"/>
  <c r="M26" i="14"/>
  <c r="M148" i="18" s="1"/>
  <c r="CC7" i="14"/>
  <c r="BQ7" i="14"/>
  <c r="AS7" i="14"/>
  <c r="AG7" i="14"/>
  <c r="U7" i="14"/>
  <c r="CN7" i="14"/>
  <c r="CB7" i="14"/>
  <c r="BP7" i="14"/>
  <c r="BD7" i="14"/>
  <c r="AR7" i="14"/>
  <c r="AF7" i="14"/>
  <c r="T7" i="14"/>
  <c r="H7" i="14"/>
  <c r="CO7" i="14"/>
  <c r="BE7" i="14"/>
  <c r="I7" i="14"/>
  <c r="CM7" i="14"/>
  <c r="CA7" i="14"/>
  <c r="BO7" i="14"/>
  <c r="BC7" i="14"/>
  <c r="AQ7" i="14"/>
  <c r="AE7" i="14"/>
  <c r="S7" i="14"/>
  <c r="G7" i="14"/>
  <c r="CL7" i="14"/>
  <c r="BZ7" i="14"/>
  <c r="BN7" i="14"/>
  <c r="BB7" i="14"/>
  <c r="AP7" i="14"/>
  <c r="AD7" i="14"/>
  <c r="R7" i="14"/>
  <c r="F7" i="14"/>
  <c r="CK7" i="14"/>
  <c r="BY7" i="14"/>
  <c r="BM7" i="14"/>
  <c r="BA7" i="14"/>
  <c r="AO7" i="14"/>
  <c r="AC7" i="14"/>
  <c r="Q7" i="14"/>
  <c r="E7" i="14"/>
  <c r="CI7" i="14"/>
  <c r="BW7" i="14"/>
  <c r="BK7" i="14"/>
  <c r="AY7" i="14"/>
  <c r="AM7" i="14"/>
  <c r="AA7" i="14"/>
  <c r="O7" i="14"/>
  <c r="C7" i="14"/>
  <c r="CS7" i="14"/>
  <c r="CG7" i="14"/>
  <c r="BU7" i="14"/>
  <c r="BI7" i="14"/>
  <c r="AW7" i="14"/>
  <c r="AK7" i="14"/>
  <c r="Y7" i="14"/>
  <c r="M7" i="14"/>
  <c r="CR7" i="14"/>
  <c r="CF7" i="14"/>
  <c r="BT7" i="14"/>
  <c r="BH7" i="14"/>
  <c r="AV7" i="14"/>
  <c r="AJ7" i="14"/>
  <c r="X7" i="14"/>
  <c r="L7" i="14"/>
  <c r="CQ7" i="14"/>
  <c r="CE7" i="14"/>
  <c r="BS7" i="14"/>
  <c r="BG7" i="14"/>
  <c r="AU7" i="14"/>
  <c r="AI7" i="14"/>
  <c r="W7" i="14"/>
  <c r="K7" i="14"/>
  <c r="CL150" i="7"/>
  <c r="CV313" i="2"/>
  <c r="BV69" i="7"/>
  <c r="BV68" i="7" s="1"/>
  <c r="AL69" i="7"/>
  <c r="AL68" i="7" s="1"/>
  <c r="CJ69" i="7"/>
  <c r="CJ68" i="7" s="1"/>
  <c r="BX69" i="7"/>
  <c r="BX68" i="7" s="1"/>
  <c r="BL69" i="7"/>
  <c r="BL68" i="7" s="1"/>
  <c r="AZ69" i="7"/>
  <c r="AZ68" i="7" s="1"/>
  <c r="AN69" i="7"/>
  <c r="AN68" i="7" s="1"/>
  <c r="AB69" i="7"/>
  <c r="AB68" i="7" s="1"/>
  <c r="P69" i="7"/>
  <c r="P68" i="7" s="1"/>
  <c r="D69" i="7"/>
  <c r="D68" i="7" s="1"/>
  <c r="CA62" i="7"/>
  <c r="BO62" i="7"/>
  <c r="BC62" i="7"/>
  <c r="AQ62" i="7"/>
  <c r="AE62" i="7"/>
  <c r="S62" i="7"/>
  <c r="G62" i="7"/>
  <c r="CD61" i="7"/>
  <c r="CD99" i="7" s="1"/>
  <c r="BR61" i="7"/>
  <c r="BR99" i="7" s="1"/>
  <c r="BF61" i="7"/>
  <c r="BF99" i="7" s="1"/>
  <c r="AT61" i="7"/>
  <c r="AT99" i="7" s="1"/>
  <c r="AH61" i="7"/>
  <c r="AH99" i="7" s="1"/>
  <c r="V61" i="7"/>
  <c r="V99" i="7" s="1"/>
  <c r="J61" i="7"/>
  <c r="J99" i="7" s="1"/>
  <c r="CI69" i="7"/>
  <c r="BW69" i="7"/>
  <c r="BK69" i="7"/>
  <c r="AY69" i="7"/>
  <c r="AY68" i="7" s="1"/>
  <c r="AM69" i="7"/>
  <c r="AM68" i="7" s="1"/>
  <c r="AA69" i="7"/>
  <c r="AA68" i="7" s="1"/>
  <c r="O69" i="7"/>
  <c r="O68" i="7" s="1"/>
  <c r="C69" i="7"/>
  <c r="C68" i="7" s="1"/>
  <c r="CG69" i="7"/>
  <c r="CG68" i="7" s="1"/>
  <c r="AW69" i="7"/>
  <c r="AW68" i="7" s="1"/>
  <c r="AK69" i="7"/>
  <c r="AK68" i="7" s="1"/>
  <c r="Y69" i="7"/>
  <c r="Y68" i="7" s="1"/>
  <c r="BT69" i="7"/>
  <c r="BH69" i="7"/>
  <c r="X69" i="7"/>
  <c r="X68" i="7" s="1"/>
  <c r="CE69" i="7"/>
  <c r="CE68" i="7" s="1"/>
  <c r="BS69" i="7"/>
  <c r="BS68" i="7" s="1"/>
  <c r="BG69" i="7"/>
  <c r="BG68" i="7" s="1"/>
  <c r="AU69" i="7"/>
  <c r="AU68" i="7" s="1"/>
  <c r="AI69" i="7"/>
  <c r="AI68" i="7" s="1"/>
  <c r="W69" i="7"/>
  <c r="W68" i="7" s="1"/>
  <c r="CD69" i="7"/>
  <c r="CD68" i="7" s="1"/>
  <c r="BR69" i="7"/>
  <c r="BR68" i="7" s="1"/>
  <c r="BF69" i="7"/>
  <c r="BF68" i="7" s="1"/>
  <c r="AT69" i="7"/>
  <c r="AT68" i="7" s="1"/>
  <c r="AH69" i="7"/>
  <c r="AH68" i="7" s="1"/>
  <c r="V69" i="7"/>
  <c r="V68" i="7" s="1"/>
  <c r="J69" i="7"/>
  <c r="J68" i="7" s="1"/>
  <c r="CV245" i="2"/>
  <c r="BI61" i="7"/>
  <c r="BI99" i="7" s="1"/>
  <c r="CI59" i="7"/>
  <c r="BW59" i="7"/>
  <c r="BK59" i="7"/>
  <c r="AY59" i="7"/>
  <c r="AM59" i="7"/>
  <c r="AA59" i="7"/>
  <c r="O59" i="7"/>
  <c r="C59" i="7"/>
  <c r="BZ58" i="7"/>
  <c r="BN58" i="7"/>
  <c r="BB58" i="7"/>
  <c r="AP58" i="7"/>
  <c r="AD58" i="7"/>
  <c r="R58" i="7"/>
  <c r="F58" i="7"/>
  <c r="CC62" i="7"/>
  <c r="AS62" i="7"/>
  <c r="CH59" i="7"/>
  <c r="BV59" i="7"/>
  <c r="BJ59" i="7"/>
  <c r="AX59" i="7"/>
  <c r="AL59" i="7"/>
  <c r="Z59" i="7"/>
  <c r="N59" i="7"/>
  <c r="CK58" i="7"/>
  <c r="BY58" i="7"/>
  <c r="BM58" i="7"/>
  <c r="BA58" i="7"/>
  <c r="AO58" i="7"/>
  <c r="AC58" i="7"/>
  <c r="Q58" i="7"/>
  <c r="E58" i="7"/>
  <c r="BZ69" i="7"/>
  <c r="BN69" i="7"/>
  <c r="BB69" i="7"/>
  <c r="AP69" i="7"/>
  <c r="AP68" i="7" s="1"/>
  <c r="AD69" i="7"/>
  <c r="AD68" i="7" s="1"/>
  <c r="R69" i="7"/>
  <c r="R68" i="7" s="1"/>
  <c r="F69" i="7"/>
  <c r="F68" i="7" s="1"/>
  <c r="V62" i="7"/>
  <c r="CK69" i="7"/>
  <c r="CK68" i="7" s="1"/>
  <c r="BY69" i="7"/>
  <c r="BY68" i="7" s="1"/>
  <c r="BM69" i="7"/>
  <c r="BM68" i="7" s="1"/>
  <c r="BA69" i="7"/>
  <c r="BA68" i="7" s="1"/>
  <c r="AO69" i="7"/>
  <c r="AO68" i="7" s="1"/>
  <c r="AC69" i="7"/>
  <c r="AC68" i="7" s="1"/>
  <c r="Q69" i="7"/>
  <c r="Q68" i="7" s="1"/>
  <c r="E69" i="7"/>
  <c r="E68" i="7" s="1"/>
  <c r="AW61" i="7"/>
  <c r="AW99" i="7" s="1"/>
  <c r="BF62" i="7"/>
  <c r="AH62" i="7"/>
  <c r="J62" i="7"/>
  <c r="BU61" i="7"/>
  <c r="BU99" i="7" s="1"/>
  <c r="M61" i="7"/>
  <c r="M99" i="7" s="1"/>
  <c r="AT62" i="7"/>
  <c r="CG61" i="7"/>
  <c r="CG99" i="7" s="1"/>
  <c r="AK61" i="7"/>
  <c r="AK99" i="7" s="1"/>
  <c r="BR49" i="7"/>
  <c r="CA32" i="15" s="1"/>
  <c r="CA30" i="15" s="1"/>
  <c r="CA56" i="18" s="1"/>
  <c r="BF49" i="7"/>
  <c r="AT49" i="7"/>
  <c r="AH49" i="7"/>
  <c r="V49" i="7"/>
  <c r="CD62" i="7"/>
  <c r="CI62" i="7"/>
  <c r="BW62" i="7"/>
  <c r="BK62" i="7"/>
  <c r="AY62" i="7"/>
  <c r="AM62" i="7"/>
  <c r="AA62" i="7"/>
  <c r="O62" i="7"/>
  <c r="C62" i="7"/>
  <c r="BZ61" i="7"/>
  <c r="BN61" i="7"/>
  <c r="BB61" i="7"/>
  <c r="AP61" i="7"/>
  <c r="AP99" i="7" s="1"/>
  <c r="AD61" i="7"/>
  <c r="AD99" i="7" s="1"/>
  <c r="R61" i="7"/>
  <c r="R99" i="7" s="1"/>
  <c r="F61" i="7"/>
  <c r="F99" i="7" s="1"/>
  <c r="BB49" i="7"/>
  <c r="AP49" i="7"/>
  <c r="R49" i="7"/>
  <c r="F49" i="7"/>
  <c r="Y61" i="7"/>
  <c r="Y99" i="7" s="1"/>
  <c r="BR62" i="7"/>
  <c r="K69" i="7"/>
  <c r="K68" i="7" s="1"/>
  <c r="CB69" i="7"/>
  <c r="CB68" i="7" s="1"/>
  <c r="BP69" i="7"/>
  <c r="BP68" i="7" s="1"/>
  <c r="BD69" i="7"/>
  <c r="BD68" i="7" s="1"/>
  <c r="AR69" i="7"/>
  <c r="AR68" i="7" s="1"/>
  <c r="AF69" i="7"/>
  <c r="AF68" i="7" s="1"/>
  <c r="T69" i="7"/>
  <c r="T68" i="7" s="1"/>
  <c r="H69" i="7"/>
  <c r="H68" i="7" s="1"/>
  <c r="CA69" i="7"/>
  <c r="CA68" i="7" s="1"/>
  <c r="BO69" i="7"/>
  <c r="BO68" i="7" s="1"/>
  <c r="BC69" i="7"/>
  <c r="BC68" i="7" s="1"/>
  <c r="AQ69" i="7"/>
  <c r="AQ68" i="7" s="1"/>
  <c r="AE69" i="7"/>
  <c r="AE68" i="7" s="1"/>
  <c r="S69" i="7"/>
  <c r="S68" i="7" s="1"/>
  <c r="G69" i="7"/>
  <c r="G68" i="7" s="1"/>
  <c r="CC59" i="7"/>
  <c r="BQ59" i="7"/>
  <c r="BE59" i="7"/>
  <c r="AS59" i="7"/>
  <c r="AG59" i="7"/>
  <c r="U59" i="7"/>
  <c r="I59" i="7"/>
  <c r="CF58" i="7"/>
  <c r="BT58" i="7"/>
  <c r="BH58" i="7"/>
  <c r="AV58" i="7"/>
  <c r="AJ58" i="7"/>
  <c r="X58" i="7"/>
  <c r="L58" i="7"/>
  <c r="CC49" i="7"/>
  <c r="CL32" i="15" s="1"/>
  <c r="BQ49" i="7"/>
  <c r="BZ32" i="15" s="1"/>
  <c r="BZ30" i="15" s="1"/>
  <c r="BZ56" i="18" s="1"/>
  <c r="BE49" i="7"/>
  <c r="AS49" i="7"/>
  <c r="AG49" i="7"/>
  <c r="U49" i="7"/>
  <c r="I49" i="7"/>
  <c r="AH58" i="7"/>
  <c r="AT58" i="7"/>
  <c r="CK59" i="7"/>
  <c r="BY59" i="7"/>
  <c r="BM59" i="7"/>
  <c r="BA59" i="7"/>
  <c r="AO59" i="7"/>
  <c r="AC59" i="7"/>
  <c r="Q59" i="7"/>
  <c r="E59" i="7"/>
  <c r="CB58" i="7"/>
  <c r="BP58" i="7"/>
  <c r="BD58" i="7"/>
  <c r="AR58" i="7"/>
  <c r="AF58" i="7"/>
  <c r="T58" i="7"/>
  <c r="H58" i="7"/>
  <c r="CK49" i="7"/>
  <c r="CT32" i="15" s="1"/>
  <c r="CT30" i="15" s="1"/>
  <c r="CT56" i="18" s="1"/>
  <c r="BY49" i="7"/>
  <c r="CH32" i="15" s="1"/>
  <c r="CH30" i="15" s="1"/>
  <c r="CH56" i="18" s="1"/>
  <c r="BM49" i="7"/>
  <c r="BA49" i="7"/>
  <c r="AO49" i="7"/>
  <c r="AC49" i="7"/>
  <c r="Q49" i="7"/>
  <c r="E49" i="7"/>
  <c r="BP59" i="7"/>
  <c r="AR59" i="7"/>
  <c r="CE58" i="7"/>
  <c r="BS58" i="7"/>
  <c r="K58" i="7"/>
  <c r="CJ59" i="7"/>
  <c r="BX59" i="7"/>
  <c r="BL59" i="7"/>
  <c r="AZ59" i="7"/>
  <c r="AN59" i="7"/>
  <c r="AB59" i="7"/>
  <c r="P59" i="7"/>
  <c r="D59" i="7"/>
  <c r="CA58" i="7"/>
  <c r="BO58" i="7"/>
  <c r="BC58" i="7"/>
  <c r="AQ58" i="7"/>
  <c r="AE58" i="7"/>
  <c r="S58" i="7"/>
  <c r="G58" i="7"/>
  <c r="J58" i="7"/>
  <c r="I62" i="7"/>
  <c r="CB59" i="7"/>
  <c r="AF59" i="7"/>
  <c r="AU58" i="7"/>
  <c r="N62" i="7"/>
  <c r="Z49" i="7"/>
  <c r="N49" i="7"/>
  <c r="H59" i="7"/>
  <c r="AI58" i="7"/>
  <c r="J49" i="7"/>
  <c r="BH61" i="7"/>
  <c r="CB62" i="7"/>
  <c r="BP62" i="7"/>
  <c r="BD62" i="7"/>
  <c r="AR62" i="7"/>
  <c r="AF62" i="7"/>
  <c r="T62" i="7"/>
  <c r="H62" i="7"/>
  <c r="CE61" i="7"/>
  <c r="CE99" i="7" s="1"/>
  <c r="BS61" i="7"/>
  <c r="BS99" i="7" s="1"/>
  <c r="BG61" i="7"/>
  <c r="BG99" i="7" s="1"/>
  <c r="AU61" i="7"/>
  <c r="AU99" i="7" s="1"/>
  <c r="AI61" i="7"/>
  <c r="AI99" i="7" s="1"/>
  <c r="W61" i="7"/>
  <c r="W99" i="7" s="1"/>
  <c r="K61" i="7"/>
  <c r="K99" i="7" s="1"/>
  <c r="CH49" i="7"/>
  <c r="CQ32" i="15" s="1"/>
  <c r="CQ30" i="15" s="1"/>
  <c r="CQ56" i="18" s="1"/>
  <c r="BV49" i="7"/>
  <c r="CE32" i="15" s="1"/>
  <c r="CE30" i="15" s="1"/>
  <c r="CE56" i="18" s="1"/>
  <c r="BJ49" i="7"/>
  <c r="AX49" i="7"/>
  <c r="AL49" i="7"/>
  <c r="CF61" i="7"/>
  <c r="X61" i="7"/>
  <c r="X99" i="7" s="1"/>
  <c r="CJ44" i="7"/>
  <c r="BL40" i="12" s="1"/>
  <c r="BX44" i="7"/>
  <c r="AZ40" i="12" s="1"/>
  <c r="BL44" i="7"/>
  <c r="AN40" i="12" s="1"/>
  <c r="AZ44" i="7"/>
  <c r="AB40" i="12" s="1"/>
  <c r="D44" i="7"/>
  <c r="CG59" i="7"/>
  <c r="BU59" i="7"/>
  <c r="BI59" i="7"/>
  <c r="AW59" i="7"/>
  <c r="AK59" i="7"/>
  <c r="Y59" i="7"/>
  <c r="M59" i="7"/>
  <c r="CJ58" i="7"/>
  <c r="BX58" i="7"/>
  <c r="BL58" i="7"/>
  <c r="AZ58" i="7"/>
  <c r="AN58" i="7"/>
  <c r="AB58" i="7"/>
  <c r="P58" i="7"/>
  <c r="D58" i="7"/>
  <c r="BQ62" i="7"/>
  <c r="BT61" i="7"/>
  <c r="L61" i="7"/>
  <c r="L99" i="7" s="1"/>
  <c r="AN44" i="7"/>
  <c r="P40" i="12" s="1"/>
  <c r="CI44" i="7"/>
  <c r="BK40" i="12" s="1"/>
  <c r="BW44" i="7"/>
  <c r="AY40" i="12" s="1"/>
  <c r="BK44" i="7"/>
  <c r="AM40" i="12" s="1"/>
  <c r="AY44" i="7"/>
  <c r="AA40" i="12" s="1"/>
  <c r="AM44" i="7"/>
  <c r="O40" i="12" s="1"/>
  <c r="AA44" i="7"/>
  <c r="C40" i="12" s="1"/>
  <c r="C38" i="12" s="1"/>
  <c r="O44" i="7"/>
  <c r="C44" i="7"/>
  <c r="CF59" i="7"/>
  <c r="BT59" i="7"/>
  <c r="BH59" i="7"/>
  <c r="AV59" i="7"/>
  <c r="AJ59" i="7"/>
  <c r="X59" i="7"/>
  <c r="L59" i="7"/>
  <c r="CI58" i="7"/>
  <c r="BW58" i="7"/>
  <c r="BK58" i="7"/>
  <c r="AY58" i="7"/>
  <c r="AM58" i="7"/>
  <c r="AA58" i="7"/>
  <c r="O58" i="7"/>
  <c r="C58" i="7"/>
  <c r="BZ62" i="7"/>
  <c r="BN62" i="7"/>
  <c r="BB62" i="7"/>
  <c r="AP62" i="7"/>
  <c r="AD62" i="7"/>
  <c r="R62" i="7"/>
  <c r="F62" i="7"/>
  <c r="CC61" i="7"/>
  <c r="BQ61" i="7"/>
  <c r="BE61" i="7"/>
  <c r="AS61" i="7"/>
  <c r="AS99" i="7" s="1"/>
  <c r="AG61" i="7"/>
  <c r="AG99" i="7" s="1"/>
  <c r="U61" i="7"/>
  <c r="U99" i="7" s="1"/>
  <c r="I61" i="7"/>
  <c r="I99" i="7" s="1"/>
  <c r="CF49" i="7"/>
  <c r="CO32" i="15" s="1"/>
  <c r="BT49" i="7"/>
  <c r="CC32" i="15" s="1"/>
  <c r="BH49" i="7"/>
  <c r="AV49" i="7"/>
  <c r="AJ49" i="7"/>
  <c r="X49" i="7"/>
  <c r="L49" i="7"/>
  <c r="AJ61" i="7"/>
  <c r="AJ99" i="7" s="1"/>
  <c r="P44" i="7"/>
  <c r="W42" i="7"/>
  <c r="T59" i="7"/>
  <c r="CE49" i="7"/>
  <c r="CN32" i="15" s="1"/>
  <c r="CN30" i="15" s="1"/>
  <c r="CN56" i="18" s="1"/>
  <c r="BS49" i="7"/>
  <c r="CB32" i="15" s="1"/>
  <c r="CB30" i="15" s="1"/>
  <c r="CB56" i="18" s="1"/>
  <c r="BG49" i="7"/>
  <c r="AU49" i="7"/>
  <c r="AI49" i="7"/>
  <c r="W49" i="7"/>
  <c r="K49" i="7"/>
  <c r="AV61" i="7"/>
  <c r="AV99" i="7" s="1"/>
  <c r="AB44" i="7"/>
  <c r="D40" i="12" s="1"/>
  <c r="CG58" i="7"/>
  <c r="BU58" i="7"/>
  <c r="BI58" i="7"/>
  <c r="AW58" i="7"/>
  <c r="AK58" i="7"/>
  <c r="Y58" i="7"/>
  <c r="M58" i="7"/>
  <c r="BE62" i="7"/>
  <c r="BV62" i="7"/>
  <c r="BJ62" i="7"/>
  <c r="AL62" i="7"/>
  <c r="Z62" i="7"/>
  <c r="CK61" i="7"/>
  <c r="CK99" i="7" s="1"/>
  <c r="BY61" i="7"/>
  <c r="BY99" i="7" s="1"/>
  <c r="BM61" i="7"/>
  <c r="BM99" i="7" s="1"/>
  <c r="BA61" i="7"/>
  <c r="BA99" i="7" s="1"/>
  <c r="AO61" i="7"/>
  <c r="AO99" i="7" s="1"/>
  <c r="AC61" i="7"/>
  <c r="AC99" i="7" s="1"/>
  <c r="Q61" i="7"/>
  <c r="Q99" i="7" s="1"/>
  <c r="E61" i="7"/>
  <c r="E99" i="7" s="1"/>
  <c r="CA35" i="7"/>
  <c r="BO35" i="7"/>
  <c r="BC35" i="7"/>
  <c r="AQ35" i="7"/>
  <c r="AE35" i="7"/>
  <c r="G35" i="7"/>
  <c r="CD58" i="7"/>
  <c r="BR58" i="7"/>
  <c r="CA49" i="7"/>
  <c r="CJ32" i="15" s="1"/>
  <c r="CJ30" i="15" s="1"/>
  <c r="CJ56" i="18" s="1"/>
  <c r="BO49" i="7"/>
  <c r="BC49" i="7"/>
  <c r="AQ49" i="7"/>
  <c r="AE49" i="7"/>
  <c r="S49" i="7"/>
  <c r="G49" i="7"/>
  <c r="BC59" i="7"/>
  <c r="AG62" i="7"/>
  <c r="BZ59" i="7"/>
  <c r="BN59" i="7"/>
  <c r="BB59" i="7"/>
  <c r="AP59" i="7"/>
  <c r="AD59" i="7"/>
  <c r="R59" i="7"/>
  <c r="F59" i="7"/>
  <c r="CC58" i="7"/>
  <c r="BQ58" i="7"/>
  <c r="BE58" i="7"/>
  <c r="AS58" i="7"/>
  <c r="AG58" i="7"/>
  <c r="U58" i="7"/>
  <c r="I58" i="7"/>
  <c r="BN49" i="7"/>
  <c r="AD49" i="7"/>
  <c r="U62" i="7"/>
  <c r="BY62" i="7"/>
  <c r="AO62" i="7"/>
  <c r="E62" i="7"/>
  <c r="CB61" i="7"/>
  <c r="CB99" i="7" s="1"/>
  <c r="AF61" i="7"/>
  <c r="AF99" i="7" s="1"/>
  <c r="BG58" i="7"/>
  <c r="BM62" i="7"/>
  <c r="Q62" i="7"/>
  <c r="AR61" i="7"/>
  <c r="AR99" i="7" s="1"/>
  <c r="H61" i="7"/>
  <c r="H99" i="7" s="1"/>
  <c r="W58" i="7"/>
  <c r="BD59" i="7"/>
  <c r="T49" i="7"/>
  <c r="AE59" i="7"/>
  <c r="BO59" i="7"/>
  <c r="CK62" i="7"/>
  <c r="AC62" i="7"/>
  <c r="BP61" i="7"/>
  <c r="BP99" i="7" s="1"/>
  <c r="BA62" i="7"/>
  <c r="BD61" i="7"/>
  <c r="BD99" i="7" s="1"/>
  <c r="T61" i="7"/>
  <c r="T99" i="7" s="1"/>
  <c r="CJ49" i="7"/>
  <c r="CS32" i="15" s="1"/>
  <c r="CS30" i="15" s="1"/>
  <c r="CS56" i="18" s="1"/>
  <c r="BX49" i="7"/>
  <c r="CG32" i="15" s="1"/>
  <c r="CG30" i="15" s="1"/>
  <c r="CG56" i="18" s="1"/>
  <c r="BL49" i="7"/>
  <c r="AZ49" i="7"/>
  <c r="AN49" i="7"/>
  <c r="AB49" i="7"/>
  <c r="P49" i="7"/>
  <c r="D49" i="7"/>
  <c r="G59" i="7"/>
  <c r="AQ59" i="7"/>
  <c r="CA59" i="7"/>
  <c r="CI49" i="7"/>
  <c r="CR32" i="15" s="1"/>
  <c r="BW49" i="7"/>
  <c r="CF32" i="15" s="1"/>
  <c r="BK49" i="7"/>
  <c r="AY49" i="7"/>
  <c r="AM49" i="7"/>
  <c r="AA49" i="7"/>
  <c r="O49" i="7"/>
  <c r="C49" i="7"/>
  <c r="BM44" i="7"/>
  <c r="AO40" i="12" s="1"/>
  <c r="CD42" i="7"/>
  <c r="BR42" i="7"/>
  <c r="N44" i="7"/>
  <c r="CH44" i="7"/>
  <c r="BJ40" i="12" s="1"/>
  <c r="AX44" i="7"/>
  <c r="Z40" i="12" s="1"/>
  <c r="BV44" i="7"/>
  <c r="AX40" i="12" s="1"/>
  <c r="AL44" i="7"/>
  <c r="N40" i="12" s="1"/>
  <c r="AA42" i="7"/>
  <c r="BJ44" i="7"/>
  <c r="AL40" i="12" s="1"/>
  <c r="Z44" i="7"/>
  <c r="BP42" i="7"/>
  <c r="BZ35" i="7"/>
  <c r="BN35" i="7"/>
  <c r="BB35" i="7"/>
  <c r="AP35" i="7"/>
  <c r="AD35" i="7"/>
  <c r="R35" i="7"/>
  <c r="F35" i="7"/>
  <c r="E35" i="7"/>
  <c r="BF44" i="7"/>
  <c r="AH40" i="12" s="1"/>
  <c r="CD35" i="7"/>
  <c r="BR35" i="7"/>
  <c r="BF35" i="7"/>
  <c r="AH35" i="7"/>
  <c r="V35" i="7"/>
  <c r="J35" i="7"/>
  <c r="BO42" i="7"/>
  <c r="BC42" i="7"/>
  <c r="AE42" i="7"/>
  <c r="S42" i="7"/>
  <c r="V44" i="7"/>
  <c r="BZ42" i="7"/>
  <c r="BN42" i="7"/>
  <c r="BB42" i="7"/>
  <c r="AP42" i="7"/>
  <c r="AD42" i="7"/>
  <c r="R42" i="7"/>
  <c r="F42" i="7"/>
  <c r="J44" i="7"/>
  <c r="CK42" i="7"/>
  <c r="BY42" i="7"/>
  <c r="BM42" i="7"/>
  <c r="BA42" i="7"/>
  <c r="AO42" i="7"/>
  <c r="AC42" i="7"/>
  <c r="Q42" i="7"/>
  <c r="E42" i="7"/>
  <c r="CD44" i="7"/>
  <c r="BF40" i="12" s="1"/>
  <c r="CJ42" i="7"/>
  <c r="Q44" i="7"/>
  <c r="BR44" i="7"/>
  <c r="AT40" i="12" s="1"/>
  <c r="AT44" i="7"/>
  <c r="V40" i="12" s="1"/>
  <c r="CI35" i="7"/>
  <c r="BW35" i="7"/>
  <c r="BK35" i="7"/>
  <c r="AY35" i="7"/>
  <c r="AM35" i="7"/>
  <c r="AA35" i="7"/>
  <c r="O35" i="7"/>
  <c r="C35" i="7"/>
  <c r="AH44" i="7"/>
  <c r="J40" i="12" s="1"/>
  <c r="AF44" i="7"/>
  <c r="H40" i="12" s="1"/>
  <c r="BO44" i="7"/>
  <c r="AQ40" i="12" s="1"/>
  <c r="G44" i="7"/>
  <c r="S35" i="7"/>
  <c r="BX42" i="7"/>
  <c r="BL42" i="7"/>
  <c r="AZ42" i="7"/>
  <c r="AN42" i="7"/>
  <c r="AB42" i="7"/>
  <c r="P42" i="7"/>
  <c r="D42" i="7"/>
  <c r="H44" i="7"/>
  <c r="BC44" i="7"/>
  <c r="AE40" i="12" s="1"/>
  <c r="AE44" i="7"/>
  <c r="G40" i="12" s="1"/>
  <c r="R44" i="7"/>
  <c r="BD44" i="7"/>
  <c r="AF40" i="12" s="1"/>
  <c r="CA44" i="7"/>
  <c r="BC40" i="12" s="1"/>
  <c r="AQ44" i="7"/>
  <c r="S40" i="12" s="1"/>
  <c r="S44" i="7"/>
  <c r="BZ44" i="7"/>
  <c r="BB40" i="12" s="1"/>
  <c r="BN44" i="7"/>
  <c r="AP40" i="12" s="1"/>
  <c r="BB44" i="7"/>
  <c r="AD40" i="12" s="1"/>
  <c r="AP44" i="7"/>
  <c r="R40" i="12" s="1"/>
  <c r="AD44" i="7"/>
  <c r="F40" i="12" s="1"/>
  <c r="F44" i="7"/>
  <c r="BK42" i="7"/>
  <c r="AY42" i="7"/>
  <c r="AM42" i="7"/>
  <c r="O42" i="7"/>
  <c r="C42" i="7"/>
  <c r="CK44" i="7"/>
  <c r="BM40" i="12" s="1"/>
  <c r="BY44" i="7"/>
  <c r="BA40" i="12" s="1"/>
  <c r="BA44" i="7"/>
  <c r="AC40" i="12" s="1"/>
  <c r="AO44" i="7"/>
  <c r="Q40" i="12" s="1"/>
  <c r="AC44" i="7"/>
  <c r="E40" i="12" s="1"/>
  <c r="E44" i="7"/>
  <c r="CK35" i="7"/>
  <c r="BY35" i="7"/>
  <c r="BM35" i="7"/>
  <c r="BA35" i="7"/>
  <c r="AO35" i="7"/>
  <c r="AC35" i="7"/>
  <c r="Q35" i="7"/>
  <c r="CB44" i="7"/>
  <c r="BD40" i="12" s="1"/>
  <c r="BP44" i="7"/>
  <c r="AR40" i="12" s="1"/>
  <c r="AR44" i="7"/>
  <c r="T40" i="12" s="1"/>
  <c r="T44" i="7"/>
  <c r="BS35" i="7"/>
  <c r="BG35" i="7"/>
  <c r="AU35" i="7"/>
  <c r="W35" i="7"/>
  <c r="K35" i="7"/>
  <c r="CE42" i="7"/>
  <c r="BS42" i="7"/>
  <c r="BG42" i="7"/>
  <c r="AU42" i="7"/>
  <c r="AI42" i="7"/>
  <c r="K42" i="7"/>
  <c r="CG44" i="7"/>
  <c r="BI40" i="12" s="1"/>
  <c r="BI44" i="7"/>
  <c r="AK40" i="12" s="1"/>
  <c r="AK44" i="7"/>
  <c r="M40" i="12" s="1"/>
  <c r="M44" i="7"/>
  <c r="AT35" i="7"/>
  <c r="CG35" i="7"/>
  <c r="BU35" i="7"/>
  <c r="BI35" i="7"/>
  <c r="AW35" i="7"/>
  <c r="AK35" i="7"/>
  <c r="Y35" i="7"/>
  <c r="M35" i="7"/>
  <c r="BF42" i="7"/>
  <c r="AT42" i="7"/>
  <c r="AH42" i="7"/>
  <c r="V42" i="7"/>
  <c r="J42" i="7"/>
  <c r="CE35" i="7"/>
  <c r="AI35" i="7"/>
  <c r="BU44" i="7"/>
  <c r="AW40" i="12" s="1"/>
  <c r="AW44" i="7"/>
  <c r="Y40" i="12" s="1"/>
  <c r="Y44" i="7"/>
  <c r="CF44" i="7"/>
  <c r="BH40" i="12" s="1"/>
  <c r="BT44" i="7"/>
  <c r="AV40" i="12" s="1"/>
  <c r="BH44" i="7"/>
  <c r="AJ40" i="12" s="1"/>
  <c r="AV44" i="7"/>
  <c r="X40" i="12" s="1"/>
  <c r="AJ44" i="7"/>
  <c r="L40" i="12" s="1"/>
  <c r="X44" i="7"/>
  <c r="L44" i="7"/>
  <c r="CF35" i="7"/>
  <c r="BT35" i="7"/>
  <c r="BH35" i="7"/>
  <c r="AV35" i="7"/>
  <c r="AJ35" i="7"/>
  <c r="X35" i="7"/>
  <c r="L35" i="7"/>
  <c r="CC44" i="7"/>
  <c r="BE40" i="12" s="1"/>
  <c r="BQ44" i="7"/>
  <c r="AS40" i="12" s="1"/>
  <c r="BE44" i="7"/>
  <c r="AG40" i="12" s="1"/>
  <c r="AS44" i="7"/>
  <c r="U40" i="12" s="1"/>
  <c r="AG44" i="7"/>
  <c r="I40" i="12" s="1"/>
  <c r="U44" i="7"/>
  <c r="I44" i="7"/>
  <c r="CC35" i="7"/>
  <c r="BQ35" i="7"/>
  <c r="BE35" i="7"/>
  <c r="AS35" i="7"/>
  <c r="AG35" i="7"/>
  <c r="U35" i="7"/>
  <c r="I35" i="7"/>
  <c r="CB35" i="7"/>
  <c r="BP35" i="7"/>
  <c r="BD35" i="7"/>
  <c r="AR35" i="7"/>
  <c r="AF35" i="7"/>
  <c r="T35" i="7"/>
  <c r="H35" i="7"/>
  <c r="CB42" i="7"/>
  <c r="BD42" i="7"/>
  <c r="AR42" i="7"/>
  <c r="AF42" i="7"/>
  <c r="T42" i="7"/>
  <c r="H42" i="7"/>
  <c r="CA42" i="7"/>
  <c r="AQ42" i="7"/>
  <c r="G42" i="7"/>
  <c r="CJ35" i="7"/>
  <c r="BX35" i="7"/>
  <c r="BL35" i="7"/>
  <c r="AZ35" i="7"/>
  <c r="AN35" i="7"/>
  <c r="AB35" i="7"/>
  <c r="P35" i="7"/>
  <c r="D35" i="7"/>
  <c r="CF42" i="7"/>
  <c r="BT42" i="7"/>
  <c r="BH42" i="7"/>
  <c r="AV42" i="7"/>
  <c r="AJ42" i="7"/>
  <c r="X42" i="7"/>
  <c r="CE44" i="7"/>
  <c r="BG40" i="12" s="1"/>
  <c r="BS44" i="7"/>
  <c r="AU40" i="12" s="1"/>
  <c r="BG44" i="7"/>
  <c r="AI40" i="12" s="1"/>
  <c r="AU44" i="7"/>
  <c r="W40" i="12" s="1"/>
  <c r="AI44" i="7"/>
  <c r="K40" i="12" s="1"/>
  <c r="W44" i="7"/>
  <c r="K44" i="7"/>
  <c r="CH35" i="7"/>
  <c r="BV35" i="7"/>
  <c r="BJ35" i="7"/>
  <c r="AX35" i="7"/>
  <c r="AL35" i="7"/>
  <c r="Z35" i="7"/>
  <c r="N35" i="7"/>
  <c r="CH42" i="7"/>
  <c r="BV42" i="7"/>
  <c r="BJ42" i="7"/>
  <c r="AX42" i="7"/>
  <c r="AL42" i="7"/>
  <c r="Z42" i="7"/>
  <c r="N42" i="7"/>
  <c r="BU42" i="7"/>
  <c r="Y42" i="7"/>
  <c r="AK42" i="7"/>
  <c r="BI42" i="7"/>
  <c r="M42" i="7"/>
  <c r="CC42" i="7"/>
  <c r="BQ42" i="7"/>
  <c r="BE42" i="7"/>
  <c r="AS42" i="7"/>
  <c r="AG42" i="7"/>
  <c r="U42" i="7"/>
  <c r="I42" i="7"/>
  <c r="CG42" i="7"/>
  <c r="AW42" i="7"/>
  <c r="L42" i="7"/>
  <c r="BZ32" i="7"/>
  <c r="BN32" i="7"/>
  <c r="BB32" i="7"/>
  <c r="AP32" i="7"/>
  <c r="AD32" i="7"/>
  <c r="R32" i="7"/>
  <c r="F32" i="7"/>
  <c r="CI42" i="7"/>
  <c r="BW42" i="7"/>
  <c r="CC32" i="7"/>
  <c r="BQ32" i="7"/>
  <c r="BE32" i="7"/>
  <c r="AS32" i="7"/>
  <c r="AG32" i="7"/>
  <c r="U32" i="7"/>
  <c r="I32" i="7"/>
  <c r="CE32" i="7"/>
  <c r="K32" i="7"/>
  <c r="W32" i="7"/>
  <c r="AU32" i="7"/>
  <c r="BG32" i="7"/>
  <c r="CA32" i="7"/>
  <c r="BO32" i="7"/>
  <c r="BC32" i="7"/>
  <c r="AQ32" i="7"/>
  <c r="AE32" i="7"/>
  <c r="S32" i="7"/>
  <c r="G32" i="7"/>
  <c r="CI32" i="7"/>
  <c r="BW32" i="7"/>
  <c r="BK32" i="7"/>
  <c r="AY32" i="7"/>
  <c r="AM32" i="7"/>
  <c r="AA32" i="7"/>
  <c r="O32" i="7"/>
  <c r="C32" i="7"/>
  <c r="BS32" i="7"/>
  <c r="AI32" i="7"/>
  <c r="CB32" i="7"/>
  <c r="BP32" i="7"/>
  <c r="BD32" i="7"/>
  <c r="AR32" i="7"/>
  <c r="AF32" i="7"/>
  <c r="T32" i="7"/>
  <c r="H32" i="7"/>
  <c r="CK32" i="7"/>
  <c r="BY32" i="7"/>
  <c r="BM32" i="7"/>
  <c r="BA32" i="7"/>
  <c r="AO32" i="7"/>
  <c r="AC32" i="7"/>
  <c r="Q32" i="7"/>
  <c r="E32" i="7"/>
  <c r="CJ32" i="7"/>
  <c r="BX32" i="7"/>
  <c r="BL32" i="7"/>
  <c r="AZ32" i="7"/>
  <c r="AN32" i="7"/>
  <c r="AB32" i="7"/>
  <c r="P32" i="7"/>
  <c r="D32" i="7"/>
  <c r="CH32" i="7"/>
  <c r="BV32" i="7"/>
  <c r="BJ32" i="7"/>
  <c r="AX32" i="7"/>
  <c r="AL32" i="7"/>
  <c r="Z32" i="7"/>
  <c r="N32" i="7"/>
  <c r="CG32" i="7"/>
  <c r="BU32" i="7"/>
  <c r="BI32" i="7"/>
  <c r="AW32" i="7"/>
  <c r="AK32" i="7"/>
  <c r="Y32" i="7"/>
  <c r="M32" i="7"/>
  <c r="CF32" i="7"/>
  <c r="BT32" i="7"/>
  <c r="BH32" i="7"/>
  <c r="AV32" i="7"/>
  <c r="AJ32" i="7"/>
  <c r="X32" i="7"/>
  <c r="L32" i="7"/>
  <c r="CD32" i="7"/>
  <c r="BR32" i="7"/>
  <c r="BF32" i="7"/>
  <c r="AT32" i="7"/>
  <c r="AH32" i="7"/>
  <c r="V32" i="7"/>
  <c r="J32" i="7"/>
  <c r="CI11" i="7"/>
  <c r="BW11" i="7"/>
  <c r="BK11" i="7"/>
  <c r="AY11" i="7"/>
  <c r="BH9" i="15" s="1"/>
  <c r="AM11" i="7"/>
  <c r="AV9" i="15" s="1"/>
  <c r="AA11" i="7"/>
  <c r="AJ9" i="15" s="1"/>
  <c r="O11" i="7"/>
  <c r="X9" i="15" s="1"/>
  <c r="X12" i="18" s="1"/>
  <c r="C11" i="7"/>
  <c r="L9" i="15" s="1"/>
  <c r="CI15" i="7"/>
  <c r="BW15" i="7"/>
  <c r="BK15" i="7"/>
  <c r="AY15" i="7"/>
  <c r="BH14" i="15" s="1"/>
  <c r="BH12" i="15" s="1"/>
  <c r="BH17" i="18" s="1"/>
  <c r="AM15" i="7"/>
  <c r="AV14" i="15" s="1"/>
  <c r="AV12" i="15" s="1"/>
  <c r="AV17" i="18" s="1"/>
  <c r="AA15" i="7"/>
  <c r="AJ14" i="15" s="1"/>
  <c r="AJ12" i="15" s="1"/>
  <c r="AJ17" i="18" s="1"/>
  <c r="O15" i="7"/>
  <c r="X14" i="15" s="1"/>
  <c r="X12" i="15" s="1"/>
  <c r="X17" i="18" s="1"/>
  <c r="BZ15" i="7"/>
  <c r="BN15" i="7"/>
  <c r="BB15" i="7"/>
  <c r="AP15" i="7"/>
  <c r="AY14" i="15" s="1"/>
  <c r="AY12" i="15" s="1"/>
  <c r="AY17" i="18" s="1"/>
  <c r="AD15" i="7"/>
  <c r="AM14" i="15" s="1"/>
  <c r="AM12" i="15" s="1"/>
  <c r="AM17" i="18" s="1"/>
  <c r="R15" i="7"/>
  <c r="AA14" i="15" s="1"/>
  <c r="AA12" i="15" s="1"/>
  <c r="AA17" i="18" s="1"/>
  <c r="F15" i="7"/>
  <c r="O14" i="15" s="1"/>
  <c r="O12" i="15" s="1"/>
  <c r="O17" i="18" s="1"/>
  <c r="L15" i="7"/>
  <c r="U14" i="15" s="1"/>
  <c r="U12" i="15" s="1"/>
  <c r="U17" i="18" s="1"/>
  <c r="CA15" i="7"/>
  <c r="CJ14" i="15" s="1"/>
  <c r="CJ12" i="15" s="1"/>
  <c r="CJ17" i="18" s="1"/>
  <c r="BO15" i="7"/>
  <c r="BX14" i="15" s="1"/>
  <c r="BX12" i="15" s="1"/>
  <c r="BX17" i="18" s="1"/>
  <c r="BC15" i="7"/>
  <c r="BL14" i="15" s="1"/>
  <c r="BL12" i="15" s="1"/>
  <c r="BL17" i="18" s="1"/>
  <c r="AQ15" i="7"/>
  <c r="AZ14" i="15" s="1"/>
  <c r="AZ12" i="15" s="1"/>
  <c r="AZ17" i="18" s="1"/>
  <c r="AE15" i="7"/>
  <c r="AN14" i="15" s="1"/>
  <c r="AN12" i="15" s="1"/>
  <c r="AN17" i="18" s="1"/>
  <c r="S15" i="7"/>
  <c r="AB14" i="15" s="1"/>
  <c r="AB12" i="15" s="1"/>
  <c r="AB17" i="18" s="1"/>
  <c r="G15" i="7"/>
  <c r="P14" i="15" s="1"/>
  <c r="P12" i="15" s="1"/>
  <c r="P17" i="18" s="1"/>
  <c r="AP11" i="7"/>
  <c r="AY9" i="15" s="1"/>
  <c r="C15" i="7"/>
  <c r="L14" i="15" s="1"/>
  <c r="L12" i="15" s="1"/>
  <c r="L17" i="18" s="1"/>
  <c r="CF15" i="7"/>
  <c r="BT15" i="7"/>
  <c r="BH15" i="7"/>
  <c r="AV15" i="7"/>
  <c r="BE14" i="15" s="1"/>
  <c r="BE12" i="15" s="1"/>
  <c r="BE17" i="18" s="1"/>
  <c r="AJ15" i="7"/>
  <c r="AS14" i="15" s="1"/>
  <c r="AS12" i="15" s="1"/>
  <c r="AS17" i="18" s="1"/>
  <c r="X15" i="7"/>
  <c r="AG14" i="15" s="1"/>
  <c r="AG12" i="15" s="1"/>
  <c r="AG17" i="18" s="1"/>
  <c r="CB11" i="7"/>
  <c r="CK9" i="15" s="1"/>
  <c r="BP11" i="7"/>
  <c r="BY9" i="15" s="1"/>
  <c r="BD11" i="7"/>
  <c r="BM9" i="15" s="1"/>
  <c r="AR11" i="7"/>
  <c r="BA9" i="15" s="1"/>
  <c r="AF11" i="7"/>
  <c r="AO9" i="15" s="1"/>
  <c r="AO12" i="18" s="1"/>
  <c r="T11" i="7"/>
  <c r="AC9" i="15" s="1"/>
  <c r="H11" i="7"/>
  <c r="Q9" i="15" s="1"/>
  <c r="Q12" i="18" s="1"/>
  <c r="CB15" i="7"/>
  <c r="CK14" i="15" s="1"/>
  <c r="CK12" i="15" s="1"/>
  <c r="CK17" i="18" s="1"/>
  <c r="BP15" i="7"/>
  <c r="BY14" i="15" s="1"/>
  <c r="BY12" i="15" s="1"/>
  <c r="BY17" i="18" s="1"/>
  <c r="BD15" i="7"/>
  <c r="BM14" i="15" s="1"/>
  <c r="BM12" i="15" s="1"/>
  <c r="BM17" i="18" s="1"/>
  <c r="AR15" i="7"/>
  <c r="BA14" i="15" s="1"/>
  <c r="BA12" i="15" s="1"/>
  <c r="BA17" i="18" s="1"/>
  <c r="BA15" i="18" s="1"/>
  <c r="AF15" i="7"/>
  <c r="AO14" i="15" s="1"/>
  <c r="AO12" i="15" s="1"/>
  <c r="AO17" i="18" s="1"/>
  <c r="T15" i="7"/>
  <c r="AC14" i="15" s="1"/>
  <c r="AC12" i="15" s="1"/>
  <c r="AC17" i="18" s="1"/>
  <c r="H15" i="7"/>
  <c r="Q14" i="15" s="1"/>
  <c r="Q12" i="15" s="1"/>
  <c r="Q17" i="18" s="1"/>
  <c r="CE15" i="7"/>
  <c r="CN14" i="15" s="1"/>
  <c r="CN12" i="15" s="1"/>
  <c r="CN17" i="18" s="1"/>
  <c r="BS15" i="7"/>
  <c r="CB14" i="15" s="1"/>
  <c r="CB12" i="15" s="1"/>
  <c r="CB17" i="18" s="1"/>
  <c r="BG15" i="7"/>
  <c r="BP14" i="15" s="1"/>
  <c r="BP12" i="15" s="1"/>
  <c r="BP17" i="18" s="1"/>
  <c r="AU15" i="7"/>
  <c r="BD14" i="15" s="1"/>
  <c r="BD12" i="15" s="1"/>
  <c r="BD17" i="18" s="1"/>
  <c r="AI15" i="7"/>
  <c r="AR14" i="15" s="1"/>
  <c r="AR12" i="15" s="1"/>
  <c r="AR17" i="18" s="1"/>
  <c r="W15" i="7"/>
  <c r="AF14" i="15" s="1"/>
  <c r="AF12" i="15" s="1"/>
  <c r="AF17" i="18" s="1"/>
  <c r="K15" i="7"/>
  <c r="T14" i="15" s="1"/>
  <c r="T12" i="15" s="1"/>
  <c r="T17" i="18" s="1"/>
  <c r="CD15" i="7"/>
  <c r="CM14" i="15" s="1"/>
  <c r="CM12" i="15" s="1"/>
  <c r="CM17" i="18" s="1"/>
  <c r="BR15" i="7"/>
  <c r="CA14" i="15" s="1"/>
  <c r="CA12" i="15" s="1"/>
  <c r="CA17" i="18" s="1"/>
  <c r="BF15" i="7"/>
  <c r="BO14" i="15" s="1"/>
  <c r="BO12" i="15" s="1"/>
  <c r="BO17" i="18" s="1"/>
  <c r="AT15" i="7"/>
  <c r="BC14" i="15" s="1"/>
  <c r="BC12" i="15" s="1"/>
  <c r="BC17" i="18" s="1"/>
  <c r="AH15" i="7"/>
  <c r="AQ14" i="15" s="1"/>
  <c r="AQ12" i="15" s="1"/>
  <c r="AQ17" i="18" s="1"/>
  <c r="V15" i="7"/>
  <c r="AE14" i="15" s="1"/>
  <c r="AE12" i="15" s="1"/>
  <c r="AE17" i="18" s="1"/>
  <c r="J15" i="7"/>
  <c r="S14" i="15" s="1"/>
  <c r="S12" i="15" s="1"/>
  <c r="S17" i="18" s="1"/>
  <c r="CC15" i="7"/>
  <c r="BQ15" i="7"/>
  <c r="BE15" i="7"/>
  <c r="AS15" i="7"/>
  <c r="BB14" i="15" s="1"/>
  <c r="BB12" i="15" s="1"/>
  <c r="BB17" i="18" s="1"/>
  <c r="AG15" i="7"/>
  <c r="AP14" i="15" s="1"/>
  <c r="AP12" i="15" s="1"/>
  <c r="AP17" i="18" s="1"/>
  <c r="U15" i="7"/>
  <c r="AD14" i="15" s="1"/>
  <c r="AD12" i="15" s="1"/>
  <c r="AD17" i="18" s="1"/>
  <c r="I15" i="7"/>
  <c r="R14" i="15" s="1"/>
  <c r="R12" i="15" s="1"/>
  <c r="R17" i="18" s="1"/>
  <c r="CK15" i="7"/>
  <c r="CT14" i="15" s="1"/>
  <c r="CT12" i="15" s="1"/>
  <c r="CT17" i="18" s="1"/>
  <c r="BY15" i="7"/>
  <c r="CH14" i="15" s="1"/>
  <c r="CH12" i="15" s="1"/>
  <c r="CH17" i="18" s="1"/>
  <c r="BM15" i="7"/>
  <c r="BV14" i="15" s="1"/>
  <c r="BV12" i="15" s="1"/>
  <c r="BV17" i="18" s="1"/>
  <c r="BA15" i="7"/>
  <c r="BJ14" i="15" s="1"/>
  <c r="BJ12" i="15" s="1"/>
  <c r="BJ17" i="18" s="1"/>
  <c r="AO15" i="7"/>
  <c r="AX14" i="15" s="1"/>
  <c r="AX12" i="15" s="1"/>
  <c r="AX17" i="18" s="1"/>
  <c r="AC15" i="7"/>
  <c r="AL14" i="15" s="1"/>
  <c r="AL12" i="15" s="1"/>
  <c r="AL17" i="18" s="1"/>
  <c r="Q15" i="7"/>
  <c r="Z14" i="15" s="1"/>
  <c r="Z12" i="15" s="1"/>
  <c r="Z17" i="18" s="1"/>
  <c r="E15" i="7"/>
  <c r="N14" i="15" s="1"/>
  <c r="N12" i="15" s="1"/>
  <c r="N17" i="18" s="1"/>
  <c r="CG15" i="7"/>
  <c r="CP14" i="15" s="1"/>
  <c r="CP12" i="15" s="1"/>
  <c r="CP17" i="18" s="1"/>
  <c r="BU15" i="7"/>
  <c r="CD14" i="15" s="1"/>
  <c r="CD12" i="15" s="1"/>
  <c r="CD17" i="18" s="1"/>
  <c r="BI15" i="7"/>
  <c r="BR14" i="15" s="1"/>
  <c r="BR12" i="15" s="1"/>
  <c r="BR17" i="18" s="1"/>
  <c r="AW15" i="7"/>
  <c r="BF14" i="15" s="1"/>
  <c r="BF12" i="15" s="1"/>
  <c r="BF17" i="18" s="1"/>
  <c r="AK15" i="7"/>
  <c r="AT14" i="15" s="1"/>
  <c r="AT12" i="15" s="1"/>
  <c r="AT17" i="18" s="1"/>
  <c r="Y15" i="7"/>
  <c r="AH14" i="15" s="1"/>
  <c r="AH12" i="15" s="1"/>
  <c r="AH17" i="18" s="1"/>
  <c r="M15" i="7"/>
  <c r="V14" i="15" s="1"/>
  <c r="V12" i="15" s="1"/>
  <c r="V17" i="18" s="1"/>
  <c r="CJ15" i="7"/>
  <c r="CS14" i="15" s="1"/>
  <c r="CS12" i="15" s="1"/>
  <c r="CS17" i="18" s="1"/>
  <c r="BX15" i="7"/>
  <c r="CG14" i="15" s="1"/>
  <c r="CG12" i="15" s="1"/>
  <c r="CG17" i="18" s="1"/>
  <c r="BL15" i="7"/>
  <c r="BU14" i="15" s="1"/>
  <c r="BU12" i="15" s="1"/>
  <c r="BU17" i="18" s="1"/>
  <c r="AZ15" i="7"/>
  <c r="BI14" i="15" s="1"/>
  <c r="BI12" i="15" s="1"/>
  <c r="BI17" i="18" s="1"/>
  <c r="AN15" i="7"/>
  <c r="AW14" i="15" s="1"/>
  <c r="AW12" i="15" s="1"/>
  <c r="AW17" i="18" s="1"/>
  <c r="AB15" i="7"/>
  <c r="AK14" i="15" s="1"/>
  <c r="AK12" i="15" s="1"/>
  <c r="AK17" i="18" s="1"/>
  <c r="P15" i="7"/>
  <c r="Y14" i="15" s="1"/>
  <c r="Y12" i="15" s="1"/>
  <c r="Y17" i="18" s="1"/>
  <c r="D15" i="7"/>
  <c r="M14" i="15" s="1"/>
  <c r="M12" i="15" s="1"/>
  <c r="M17" i="18" s="1"/>
  <c r="CH15" i="7"/>
  <c r="CQ14" i="15" s="1"/>
  <c r="CQ12" i="15" s="1"/>
  <c r="CQ17" i="18" s="1"/>
  <c r="BV15" i="7"/>
  <c r="CE14" i="15" s="1"/>
  <c r="CE12" i="15" s="1"/>
  <c r="CE17" i="18" s="1"/>
  <c r="BJ15" i="7"/>
  <c r="BS14" i="15" s="1"/>
  <c r="BS12" i="15" s="1"/>
  <c r="BS17" i="18" s="1"/>
  <c r="AX15" i="7"/>
  <c r="BG14" i="15" s="1"/>
  <c r="BG12" i="15" s="1"/>
  <c r="BG17" i="18" s="1"/>
  <c r="AL15" i="7"/>
  <c r="AU14" i="15" s="1"/>
  <c r="AU12" i="15" s="1"/>
  <c r="AU17" i="18" s="1"/>
  <c r="Z15" i="7"/>
  <c r="AI14" i="15" s="1"/>
  <c r="AI12" i="15" s="1"/>
  <c r="AI17" i="18" s="1"/>
  <c r="N15" i="7"/>
  <c r="W14" i="15" s="1"/>
  <c r="W12" i="15" s="1"/>
  <c r="W17" i="18" s="1"/>
  <c r="BA11" i="7"/>
  <c r="BJ9" i="15" s="1"/>
  <c r="CE11" i="7"/>
  <c r="CN9" i="15" s="1"/>
  <c r="BS11" i="7"/>
  <c r="CB9" i="15" s="1"/>
  <c r="BG11" i="7"/>
  <c r="BP9" i="15" s="1"/>
  <c r="AU11" i="7"/>
  <c r="BD9" i="15" s="1"/>
  <c r="AI11" i="7"/>
  <c r="AR9" i="15" s="1"/>
  <c r="AR12" i="18" s="1"/>
  <c r="W11" i="7"/>
  <c r="AF9" i="15" s="1"/>
  <c r="AF12" i="18" s="1"/>
  <c r="K11" i="7"/>
  <c r="T9" i="15" s="1"/>
  <c r="T12" i="18" s="1"/>
  <c r="CA11" i="7"/>
  <c r="CJ9" i="15" s="1"/>
  <c r="CJ12" i="18" s="1"/>
  <c r="BO11" i="7"/>
  <c r="BX9" i="15" s="1"/>
  <c r="BC11" i="7"/>
  <c r="BL9" i="15" s="1"/>
  <c r="BL12" i="18" s="1"/>
  <c r="AQ11" i="7"/>
  <c r="AZ9" i="15" s="1"/>
  <c r="AE11" i="7"/>
  <c r="AN9" i="15" s="1"/>
  <c r="S11" i="7"/>
  <c r="AB9" i="15" s="1"/>
  <c r="AB12" i="18" s="1"/>
  <c r="G11" i="7"/>
  <c r="P9" i="15" s="1"/>
  <c r="P12" i="18" s="1"/>
  <c r="BZ11" i="7"/>
  <c r="BN11" i="7"/>
  <c r="BB11" i="7"/>
  <c r="AD11" i="7"/>
  <c r="AM9" i="15" s="1"/>
  <c r="R11" i="7"/>
  <c r="AA9" i="15" s="1"/>
  <c r="F11" i="7"/>
  <c r="O9" i="15" s="1"/>
  <c r="O12" i="18" s="1"/>
  <c r="CK11" i="7"/>
  <c r="CT9" i="15" s="1"/>
  <c r="CT12" i="18" s="1"/>
  <c r="BY11" i="7"/>
  <c r="CH9" i="15" s="1"/>
  <c r="CH12" i="18" s="1"/>
  <c r="BM11" i="7"/>
  <c r="BV9" i="15" s="1"/>
  <c r="AO11" i="7"/>
  <c r="AX9" i="15" s="1"/>
  <c r="AC11" i="7"/>
  <c r="AL9" i="15" s="1"/>
  <c r="AL12" i="18" s="1"/>
  <c r="Q11" i="7"/>
  <c r="Z9" i="15" s="1"/>
  <c r="E11" i="7"/>
  <c r="N9" i="15" s="1"/>
  <c r="CG11" i="7"/>
  <c r="CP9" i="15" s="1"/>
  <c r="BU11" i="7"/>
  <c r="CD9" i="15" s="1"/>
  <c r="BI11" i="7"/>
  <c r="BR9" i="15" s="1"/>
  <c r="AW11" i="7"/>
  <c r="BF9" i="15" s="1"/>
  <c r="AK11" i="7"/>
  <c r="AT9" i="15" s="1"/>
  <c r="AT12" i="18" s="1"/>
  <c r="Y11" i="7"/>
  <c r="AH9" i="15" s="1"/>
  <c r="M11" i="7"/>
  <c r="V9" i="15" s="1"/>
  <c r="D11" i="7"/>
  <c r="M9" i="15" s="1"/>
  <c r="CH11" i="7"/>
  <c r="CQ9" i="15" s="1"/>
  <c r="BV11" i="7"/>
  <c r="CE9" i="15" s="1"/>
  <c r="CE12" i="18" s="1"/>
  <c r="BJ11" i="7"/>
  <c r="BS9" i="15" s="1"/>
  <c r="BS12" i="18" s="1"/>
  <c r="AX11" i="7"/>
  <c r="BG9" i="15" s="1"/>
  <c r="BG12" i="18" s="1"/>
  <c r="AL11" i="7"/>
  <c r="AU9" i="15" s="1"/>
  <c r="AU12" i="18" s="1"/>
  <c r="Z11" i="7"/>
  <c r="AI9" i="15" s="1"/>
  <c r="AI12" i="18" s="1"/>
  <c r="N11" i="7"/>
  <c r="W9" i="15" s="1"/>
  <c r="W12" i="18" s="1"/>
  <c r="P11" i="7"/>
  <c r="Y9" i="15" s="1"/>
  <c r="Y12" i="18" s="1"/>
  <c r="CJ11" i="7"/>
  <c r="CS9" i="15" s="1"/>
  <c r="AB11" i="7"/>
  <c r="AK9" i="15" s="1"/>
  <c r="CF11" i="7"/>
  <c r="BT11" i="7"/>
  <c r="BH11" i="7"/>
  <c r="AV11" i="7"/>
  <c r="BE9" i="15" s="1"/>
  <c r="BE12" i="18" s="1"/>
  <c r="AJ11" i="7"/>
  <c r="AS9" i="15" s="1"/>
  <c r="AS12" i="18" s="1"/>
  <c r="X11" i="7"/>
  <c r="AG9" i="15" s="1"/>
  <c r="AG12" i="18" s="1"/>
  <c r="L11" i="7"/>
  <c r="U9" i="15" s="1"/>
  <c r="U12" i="18" s="1"/>
  <c r="BX11" i="7"/>
  <c r="CG9" i="15" s="1"/>
  <c r="AZ11" i="7"/>
  <c r="BI9" i="15" s="1"/>
  <c r="CD11" i="7"/>
  <c r="CM9" i="15" s="1"/>
  <c r="CM12" i="18" s="1"/>
  <c r="BR11" i="7"/>
  <c r="CA9" i="15" s="1"/>
  <c r="CA12" i="18" s="1"/>
  <c r="BF11" i="7"/>
  <c r="BO9" i="15" s="1"/>
  <c r="AT11" i="7"/>
  <c r="BC9" i="15" s="1"/>
  <c r="BC12" i="18" s="1"/>
  <c r="AH11" i="7"/>
  <c r="AQ9" i="15" s="1"/>
  <c r="AQ12" i="18" s="1"/>
  <c r="V11" i="7"/>
  <c r="AE9" i="15" s="1"/>
  <c r="J11" i="7"/>
  <c r="S9" i="15" s="1"/>
  <c r="S12" i="18" s="1"/>
  <c r="AN11" i="7"/>
  <c r="AW9" i="15" s="1"/>
  <c r="CC11" i="7"/>
  <c r="BQ11" i="7"/>
  <c r="BE11" i="7"/>
  <c r="AS11" i="7"/>
  <c r="BB9" i="15" s="1"/>
  <c r="AG11" i="7"/>
  <c r="AP9" i="15" s="1"/>
  <c r="U11" i="7"/>
  <c r="AD9" i="15" s="1"/>
  <c r="I11" i="7"/>
  <c r="R9" i="15" s="1"/>
  <c r="BL11" i="7"/>
  <c r="BU9" i="15" s="1"/>
  <c r="BU12" i="18" s="1"/>
  <c r="EJ28" i="18" l="1"/>
  <c r="EL28" i="18"/>
  <c r="EQ28" i="18"/>
  <c r="EI28" i="18"/>
  <c r="EF28" i="18"/>
  <c r="EP28" i="18"/>
  <c r="EO28" i="18"/>
  <c r="EG28" i="18"/>
  <c r="FE28" i="18" s="1"/>
  <c r="EN28" i="18"/>
  <c r="FG28" i="18" s="1"/>
  <c r="FF28" i="18"/>
  <c r="X18" i="15"/>
  <c r="X27" i="18" s="1"/>
  <c r="U18" i="15"/>
  <c r="U27" i="18" s="1"/>
  <c r="DI25" i="11"/>
  <c r="CY23" i="11"/>
  <c r="DB23" i="11"/>
  <c r="FG28" i="14"/>
  <c r="FE28" i="14"/>
  <c r="FF28" i="14"/>
  <c r="CZ25" i="11"/>
  <c r="DC25" i="11"/>
  <c r="DA23" i="11"/>
  <c r="DF23" i="11"/>
  <c r="EN29" i="18"/>
  <c r="DG23" i="11"/>
  <c r="DH23" i="11"/>
  <c r="DJ25" i="11"/>
  <c r="DD25" i="11"/>
  <c r="DE25" i="11"/>
  <c r="FF61" i="15"/>
  <c r="FG58" i="15"/>
  <c r="FF58" i="15"/>
  <c r="FG61" i="15"/>
  <c r="FF60" i="15"/>
  <c r="FG62" i="15"/>
  <c r="FG60" i="15"/>
  <c r="FG59" i="15"/>
  <c r="FF59" i="15"/>
  <c r="FF62" i="15"/>
  <c r="EC545" i="2"/>
  <c r="DD135" i="13" s="1"/>
  <c r="DC135" i="13"/>
  <c r="EC665" i="2"/>
  <c r="EK50" i="18"/>
  <c r="EJ26" i="14"/>
  <c r="DG123" i="11"/>
  <c r="CY123" i="11"/>
  <c r="O91" i="12"/>
  <c r="O121" i="11"/>
  <c r="G91" i="12"/>
  <c r="G121" i="11"/>
  <c r="DL123" i="11"/>
  <c r="DD123" i="11"/>
  <c r="EP50" i="18"/>
  <c r="EH50" i="18"/>
  <c r="DQ123" i="11"/>
  <c r="DI123" i="11"/>
  <c r="DA123" i="11"/>
  <c r="BK18" i="14"/>
  <c r="BK37" i="14"/>
  <c r="BK40" i="14"/>
  <c r="BC11" i="14"/>
  <c r="BC23" i="14"/>
  <c r="AM37" i="14"/>
  <c r="AM40" i="14"/>
  <c r="CA121" i="11"/>
  <c r="BS121" i="11"/>
  <c r="BK91" i="12"/>
  <c r="BC91" i="12"/>
  <c r="BC121" i="11"/>
  <c r="AU91" i="12"/>
  <c r="AU121" i="11"/>
  <c r="AE91" i="12"/>
  <c r="AE121" i="11"/>
  <c r="W91" i="12"/>
  <c r="W121" i="11"/>
  <c r="CH121" i="11"/>
  <c r="BR121" i="11"/>
  <c r="BJ121" i="11"/>
  <c r="BJ91" i="12"/>
  <c r="BB91" i="12"/>
  <c r="AT91" i="12"/>
  <c r="AT121" i="11"/>
  <c r="AL91" i="12"/>
  <c r="AL121" i="11"/>
  <c r="V91" i="12"/>
  <c r="V121" i="11"/>
  <c r="N91" i="12"/>
  <c r="N121" i="11"/>
  <c r="F91" i="12"/>
  <c r="F121" i="11"/>
  <c r="CB121" i="11"/>
  <c r="AB91" i="12"/>
  <c r="AB121" i="11"/>
  <c r="T91" i="12"/>
  <c r="T121" i="11"/>
  <c r="L91" i="12"/>
  <c r="L121" i="11"/>
  <c r="D121" i="11"/>
  <c r="AM31" i="14"/>
  <c r="CD121" i="11"/>
  <c r="BV121" i="11"/>
  <c r="BF91" i="12"/>
  <c r="BF121" i="11"/>
  <c r="AX91" i="12"/>
  <c r="AX121" i="11"/>
  <c r="AH91" i="12"/>
  <c r="AH121" i="11"/>
  <c r="Z91" i="12"/>
  <c r="Z121" i="11"/>
  <c r="R91" i="12"/>
  <c r="R121" i="11"/>
  <c r="J91" i="12"/>
  <c r="J121" i="11"/>
  <c r="Y91" i="12"/>
  <c r="Y121" i="11"/>
  <c r="Q91" i="12"/>
  <c r="Q121" i="11"/>
  <c r="I91" i="12"/>
  <c r="I121" i="11"/>
  <c r="CJ121" i="11"/>
  <c r="BL91" i="12"/>
  <c r="BL121" i="11"/>
  <c r="BD91" i="12"/>
  <c r="BD121" i="11"/>
  <c r="AV91" i="12"/>
  <c r="AN91" i="12"/>
  <c r="AN121" i="11"/>
  <c r="AF91" i="12"/>
  <c r="AF121" i="11"/>
  <c r="X91" i="12"/>
  <c r="X121" i="11"/>
  <c r="P91" i="12"/>
  <c r="CQ18" i="14"/>
  <c r="CQ37" i="14"/>
  <c r="CQ40" i="14"/>
  <c r="BS18" i="14"/>
  <c r="BS37" i="14"/>
  <c r="BS40" i="14"/>
  <c r="BC40" i="14"/>
  <c r="BC37" i="14"/>
  <c r="BC18" i="14"/>
  <c r="AU18" i="14"/>
  <c r="AU37" i="14"/>
  <c r="AE40" i="14"/>
  <c r="AE23" i="14"/>
  <c r="W18" i="14"/>
  <c r="W37" i="14"/>
  <c r="W40" i="14"/>
  <c r="CN66" i="18"/>
  <c r="CN20" i="14"/>
  <c r="CN11" i="14"/>
  <c r="CN37" i="14"/>
  <c r="BP66" i="18"/>
  <c r="BP23" i="14"/>
  <c r="BH66" i="18"/>
  <c r="BH20" i="14"/>
  <c r="BH23" i="14"/>
  <c r="BH40" i="14"/>
  <c r="AR66" i="18"/>
  <c r="AR11" i="14"/>
  <c r="DG16" i="11"/>
  <c r="P121" i="11"/>
  <c r="EM50" i="18"/>
  <c r="DC123" i="11"/>
  <c r="DH123" i="11"/>
  <c r="CZ123" i="11"/>
  <c r="DM123" i="11"/>
  <c r="DE123" i="11"/>
  <c r="DR123" i="11"/>
  <c r="DJ123" i="11"/>
  <c r="DB123" i="11"/>
  <c r="EN50" i="18"/>
  <c r="EF50" i="18"/>
  <c r="DO123" i="11"/>
  <c r="M91" i="12"/>
  <c r="M121" i="11"/>
  <c r="E121" i="11"/>
  <c r="BX121" i="11"/>
  <c r="BP121" i="11"/>
  <c r="BH91" i="12"/>
  <c r="AZ91" i="12"/>
  <c r="AZ121" i="11"/>
  <c r="AR91" i="12"/>
  <c r="AR121" i="11"/>
  <c r="K91" i="12"/>
  <c r="K121" i="11"/>
  <c r="C121" i="11"/>
  <c r="CA31" i="14"/>
  <c r="CK121" i="11"/>
  <c r="BU121" i="11"/>
  <c r="BM91" i="12"/>
  <c r="BM121" i="11"/>
  <c r="BE91" i="12"/>
  <c r="AW91" i="12"/>
  <c r="AW121" i="11"/>
  <c r="AO91" i="12"/>
  <c r="AO121" i="11"/>
  <c r="AU29" i="11"/>
  <c r="AO29" i="11"/>
  <c r="CM43" i="18"/>
  <c r="BC43" i="18"/>
  <c r="CM37" i="14"/>
  <c r="CM40" i="14"/>
  <c r="CM20" i="14"/>
  <c r="CM23" i="14"/>
  <c r="CM18" i="14"/>
  <c r="BW37" i="14"/>
  <c r="BW40" i="14"/>
  <c r="BG20" i="14"/>
  <c r="BG11" i="14"/>
  <c r="BH14" i="14"/>
  <c r="BG18" i="14"/>
  <c r="BG37" i="14"/>
  <c r="BG40" i="14"/>
  <c r="AQ20" i="14"/>
  <c r="AQ37" i="14"/>
  <c r="AQ40" i="14"/>
  <c r="AQ11" i="14"/>
  <c r="AQ18" i="14"/>
  <c r="AI18" i="14"/>
  <c r="AI37" i="14"/>
  <c r="AI40" i="14"/>
  <c r="K18" i="14"/>
  <c r="K37" i="14"/>
  <c r="K40" i="14"/>
  <c r="C40" i="14"/>
  <c r="C31" i="14"/>
  <c r="DK123" i="11"/>
  <c r="DP123" i="11"/>
  <c r="EI50" i="18"/>
  <c r="S121" i="11"/>
  <c r="H91" i="12"/>
  <c r="H121" i="11"/>
  <c r="DJ16" i="11"/>
  <c r="BW20" i="14"/>
  <c r="BW11" i="14"/>
  <c r="BW18" i="14"/>
  <c r="BW23" i="14"/>
  <c r="BW113" i="18" s="1"/>
  <c r="BG66" i="18"/>
  <c r="BH74" i="18" s="1"/>
  <c r="BG23" i="14"/>
  <c r="AY66" i="18"/>
  <c r="AY23" i="14"/>
  <c r="AY20" i="14"/>
  <c r="AI66" i="18"/>
  <c r="AJ74" i="18" s="1"/>
  <c r="AI31" i="14"/>
  <c r="AI23" i="14"/>
  <c r="AI20" i="14"/>
  <c r="K66" i="18"/>
  <c r="K20" i="14"/>
  <c r="C66" i="18"/>
  <c r="C23" i="14"/>
  <c r="C18" i="14"/>
  <c r="Z23" i="14"/>
  <c r="Z20" i="14"/>
  <c r="S91" i="12"/>
  <c r="EQ50" i="18"/>
  <c r="U121" i="11"/>
  <c r="U91" i="12"/>
  <c r="AA121" i="11"/>
  <c r="AA91" i="12"/>
  <c r="BR66" i="18"/>
  <c r="BR37" i="14"/>
  <c r="BR40" i="14"/>
  <c r="BR20" i="14"/>
  <c r="BR11" i="14"/>
  <c r="BR23" i="14"/>
  <c r="AT66" i="18"/>
  <c r="AT20" i="14"/>
  <c r="DN123" i="11"/>
  <c r="DF123" i="11"/>
  <c r="EJ50" i="18"/>
  <c r="EO50" i="18"/>
  <c r="EG50" i="18"/>
  <c r="EL50" i="18"/>
  <c r="EQ15" i="14"/>
  <c r="EI15" i="14"/>
  <c r="BB121" i="11"/>
  <c r="AD121" i="11"/>
  <c r="CG121" i="11"/>
  <c r="BY121" i="11"/>
  <c r="BI91" i="12"/>
  <c r="BI121" i="11"/>
  <c r="BA91" i="12"/>
  <c r="BA121" i="11"/>
  <c r="AK121" i="11"/>
  <c r="AK91" i="12"/>
  <c r="AC91" i="12"/>
  <c r="AC121" i="11"/>
  <c r="CE121" i="11"/>
  <c r="BO121" i="11"/>
  <c r="BG91" i="12"/>
  <c r="BG121" i="11"/>
  <c r="AY91" i="12"/>
  <c r="AQ91" i="12"/>
  <c r="AQ121" i="11"/>
  <c r="AI91" i="12"/>
  <c r="AI121" i="11"/>
  <c r="EH9" i="14"/>
  <c r="CH66" i="18"/>
  <c r="CH20" i="14"/>
  <c r="CH31" i="14"/>
  <c r="CH18" i="14"/>
  <c r="CH37" i="14"/>
  <c r="CH40" i="14"/>
  <c r="BJ66" i="18"/>
  <c r="BJ37" i="14"/>
  <c r="AL66" i="18"/>
  <c r="AL20" i="14"/>
  <c r="AL18" i="14"/>
  <c r="AL37" i="14"/>
  <c r="C91" i="12"/>
  <c r="D91" i="12"/>
  <c r="E91" i="12"/>
  <c r="CY94" i="12"/>
  <c r="CZ94" i="12"/>
  <c r="DA94" i="12"/>
  <c r="DB94" i="12"/>
  <c r="DC94" i="12"/>
  <c r="DD94" i="12"/>
  <c r="EL159" i="18"/>
  <c r="DE94" i="12"/>
  <c r="DF94" i="12"/>
  <c r="EM159" i="18"/>
  <c r="DG94" i="12"/>
  <c r="EN159" i="18"/>
  <c r="DH94" i="12"/>
  <c r="EO159" i="18"/>
  <c r="DI94" i="12"/>
  <c r="EP159" i="18"/>
  <c r="EQ159" i="18"/>
  <c r="DJ94" i="12"/>
  <c r="ER159" i="18"/>
  <c r="ES159" i="18"/>
  <c r="ET159" i="18"/>
  <c r="EU159" i="18"/>
  <c r="EV159" i="18"/>
  <c r="EW159" i="18"/>
  <c r="EX159" i="18"/>
  <c r="EY159" i="18"/>
  <c r="EG32" i="7"/>
  <c r="EM7" i="14"/>
  <c r="EP15" i="14"/>
  <c r="EL6" i="18"/>
  <c r="DI53" i="12"/>
  <c r="DI75" i="11"/>
  <c r="DA53" i="12"/>
  <c r="DA75" i="11"/>
  <c r="DF52" i="12"/>
  <c r="DF74" i="11"/>
  <c r="DC51" i="12"/>
  <c r="DC73" i="11"/>
  <c r="M29" i="11"/>
  <c r="AX29" i="11"/>
  <c r="Z29" i="11"/>
  <c r="EN26" i="14"/>
  <c r="EK148" i="18"/>
  <c r="BS43" i="18"/>
  <c r="O43" i="18"/>
  <c r="CE43" i="18"/>
  <c r="BG43" i="18"/>
  <c r="EL86" i="15"/>
  <c r="CC132" i="18"/>
  <c r="EL132" i="18" s="1"/>
  <c r="EQ86" i="15"/>
  <c r="CR132" i="18"/>
  <c r="EQ132" i="18" s="1"/>
  <c r="EN86" i="15"/>
  <c r="CI132" i="18"/>
  <c r="EN132" i="18" s="1"/>
  <c r="EP86" i="15"/>
  <c r="CO132" i="18"/>
  <c r="EP132" i="18" s="1"/>
  <c r="EM86" i="15"/>
  <c r="CF132" i="18"/>
  <c r="EM132" i="18" s="1"/>
  <c r="CT66" i="18"/>
  <c r="CT23" i="14"/>
  <c r="CT20" i="14"/>
  <c r="CD66" i="18"/>
  <c r="CD11" i="14"/>
  <c r="CD20" i="14"/>
  <c r="CD37" i="14"/>
  <c r="CD23" i="14"/>
  <c r="CD18" i="14"/>
  <c r="BV66" i="18"/>
  <c r="BV18" i="14"/>
  <c r="BV40" i="14"/>
  <c r="BW14" i="14"/>
  <c r="BV37" i="14"/>
  <c r="BV11" i="14"/>
  <c r="BV23" i="14"/>
  <c r="BV20" i="14"/>
  <c r="BV31" i="14"/>
  <c r="BF66" i="18"/>
  <c r="BF20" i="14"/>
  <c r="BF18" i="14"/>
  <c r="BG14" i="14"/>
  <c r="BF40" i="14"/>
  <c r="BF37" i="14"/>
  <c r="BF23" i="14"/>
  <c r="BF11" i="14"/>
  <c r="AX66" i="18"/>
  <c r="AY14" i="14"/>
  <c r="AX18" i="14"/>
  <c r="AX31" i="14"/>
  <c r="AX11" i="14"/>
  <c r="AX40" i="14"/>
  <c r="AX37" i="14"/>
  <c r="AH66" i="18"/>
  <c r="AH23" i="14"/>
  <c r="AH33" i="14" s="1"/>
  <c r="AH18" i="14"/>
  <c r="AI14" i="14"/>
  <c r="AH40" i="14"/>
  <c r="Z66" i="18"/>
  <c r="Z18" i="14"/>
  <c r="Z37" i="14"/>
  <c r="Z40" i="14"/>
  <c r="J66" i="18"/>
  <c r="K14" i="14"/>
  <c r="J37" i="14"/>
  <c r="J23" i="14"/>
  <c r="J20" i="14"/>
  <c r="J40" i="14"/>
  <c r="J18" i="14"/>
  <c r="CR11" i="14"/>
  <c r="CR40" i="14"/>
  <c r="CR31" i="14"/>
  <c r="CR37" i="14"/>
  <c r="CR18" i="14"/>
  <c r="CR23" i="14"/>
  <c r="CR14" i="14"/>
  <c r="CJ66" i="18"/>
  <c r="CJ31" i="14"/>
  <c r="CJ40" i="14"/>
  <c r="CJ23" i="14"/>
  <c r="CJ11" i="14"/>
  <c r="CJ20" i="14"/>
  <c r="CJ18" i="14"/>
  <c r="CJ37" i="14"/>
  <c r="CB66" i="18"/>
  <c r="CB20" i="14"/>
  <c r="CB31" i="14"/>
  <c r="CB11" i="14"/>
  <c r="CB14" i="14"/>
  <c r="BT11" i="14"/>
  <c r="BT37" i="14"/>
  <c r="BT14" i="14"/>
  <c r="BT20" i="14"/>
  <c r="BT23" i="14"/>
  <c r="BT113" i="18" s="1"/>
  <c r="BD66" i="18"/>
  <c r="BD23" i="14"/>
  <c r="BD33" i="14" s="1"/>
  <c r="BD18" i="14"/>
  <c r="BD11" i="14"/>
  <c r="BD20" i="14"/>
  <c r="BD37" i="14"/>
  <c r="BD14" i="14"/>
  <c r="BD40" i="14"/>
  <c r="AV66" i="18"/>
  <c r="AV18" i="14"/>
  <c r="AV31" i="14"/>
  <c r="AV14" i="14"/>
  <c r="AV20" i="14"/>
  <c r="AV37" i="14"/>
  <c r="AV40" i="14"/>
  <c r="AV11" i="14"/>
  <c r="AV23" i="14"/>
  <c r="AF66" i="18"/>
  <c r="AF18" i="14"/>
  <c r="AF40" i="14"/>
  <c r="X66" i="18"/>
  <c r="X37" i="14"/>
  <c r="X23" i="14"/>
  <c r="CQ66" i="18"/>
  <c r="CQ20" i="14"/>
  <c r="CQ11" i="14"/>
  <c r="CQ23" i="14"/>
  <c r="CI11" i="14"/>
  <c r="CI18" i="14"/>
  <c r="CI40" i="14"/>
  <c r="BS66" i="18"/>
  <c r="BS11" i="14"/>
  <c r="BS14" i="14"/>
  <c r="BS23" i="14"/>
  <c r="BS20" i="14"/>
  <c r="BK20" i="14"/>
  <c r="BK11" i="14"/>
  <c r="BK23" i="14"/>
  <c r="BK113" i="18" s="1"/>
  <c r="AU66" i="18"/>
  <c r="AU20" i="14"/>
  <c r="AU23" i="14"/>
  <c r="AU31" i="14"/>
  <c r="AM66" i="18"/>
  <c r="AM20" i="14"/>
  <c r="AM11" i="14"/>
  <c r="AM23" i="14"/>
  <c r="AM18" i="14"/>
  <c r="AM14" i="14"/>
  <c r="AE48" i="14"/>
  <c r="AE37" i="14"/>
  <c r="W66" i="18"/>
  <c r="W14" i="14"/>
  <c r="W20" i="14"/>
  <c r="W23" i="14"/>
  <c r="W31" i="14"/>
  <c r="O66" i="18"/>
  <c r="O20" i="14"/>
  <c r="EN137" i="15"/>
  <c r="CI135" i="15"/>
  <c r="EN135" i="15" s="1"/>
  <c r="EJ137" i="15"/>
  <c r="BW135" i="15"/>
  <c r="EJ135" i="15" s="1"/>
  <c r="EF137" i="15"/>
  <c r="BK135" i="15"/>
  <c r="EF135" i="15" s="1"/>
  <c r="EM137" i="15"/>
  <c r="CF135" i="15"/>
  <c r="EM135" i="15" s="1"/>
  <c r="EI137" i="15"/>
  <c r="BT135" i="15"/>
  <c r="EI135" i="15" s="1"/>
  <c r="EL137" i="15"/>
  <c r="CC135" i="15"/>
  <c r="EL135" i="15" s="1"/>
  <c r="EP137" i="15"/>
  <c r="CO135" i="15"/>
  <c r="EP135" i="15" s="1"/>
  <c r="EH137" i="15"/>
  <c r="BQ135" i="15"/>
  <c r="EH135" i="15" s="1"/>
  <c r="EQ137" i="15"/>
  <c r="CR135" i="15"/>
  <c r="EQ135" i="15" s="1"/>
  <c r="EK137" i="15"/>
  <c r="EO137" i="15"/>
  <c r="CL135" i="15"/>
  <c r="EG137" i="15"/>
  <c r="BN135" i="15"/>
  <c r="EG135" i="15" s="1"/>
  <c r="X43" i="18"/>
  <c r="EK86" i="15"/>
  <c r="EO86" i="15"/>
  <c r="EK82" i="15"/>
  <c r="FF82" i="15" s="1"/>
  <c r="EO82" i="15"/>
  <c r="FG82" i="15" s="1"/>
  <c r="EK83" i="15"/>
  <c r="FF83" i="15" s="1"/>
  <c r="EO83" i="15"/>
  <c r="FG83" i="15" s="1"/>
  <c r="EK84" i="15"/>
  <c r="FF84" i="15" s="1"/>
  <c r="EO84" i="15"/>
  <c r="FG84" i="15" s="1"/>
  <c r="DD54" i="12"/>
  <c r="DD76" i="11"/>
  <c r="DF25" i="11"/>
  <c r="DI52" i="12"/>
  <c r="CY54" i="12"/>
  <c r="BH11" i="14"/>
  <c r="V18" i="14"/>
  <c r="AT40" i="14"/>
  <c r="AT18" i="14"/>
  <c r="V20" i="14"/>
  <c r="AL40" i="14"/>
  <c r="CH11" i="14"/>
  <c r="AL23" i="14"/>
  <c r="CH23" i="14"/>
  <c r="X31" i="14"/>
  <c r="CN23" i="14"/>
  <c r="BH31" i="14"/>
  <c r="EH31" i="18"/>
  <c r="CJ43" i="18"/>
  <c r="DC50" i="12"/>
  <c r="BR18" i="14"/>
  <c r="BH18" i="14"/>
  <c r="CF40" i="14"/>
  <c r="DC72" i="11"/>
  <c r="BG29" i="11"/>
  <c r="V23" i="14"/>
  <c r="V33" i="14" s="1"/>
  <c r="DA74" i="11"/>
  <c r="DC92" i="12"/>
  <c r="DH50" i="12"/>
  <c r="DI51" i="12"/>
  <c r="CY53" i="12"/>
  <c r="DJ54" i="12"/>
  <c r="EY46" i="7"/>
  <c r="DD53" i="12"/>
  <c r="EN130" i="18"/>
  <c r="DB25" i="11"/>
  <c r="EM49" i="18"/>
  <c r="DH52" i="12"/>
  <c r="DG50" i="12"/>
  <c r="EN37" i="18"/>
  <c r="DF92" i="12"/>
  <c r="CZ92" i="12"/>
  <c r="EH15" i="14"/>
  <c r="EH156" i="7"/>
  <c r="DN92" i="12"/>
  <c r="EH81" i="18"/>
  <c r="DH92" i="12"/>
  <c r="EK37" i="18"/>
  <c r="EW157" i="7"/>
  <c r="EW85" i="7"/>
  <c r="EV84" i="7"/>
  <c r="EV39" i="7"/>
  <c r="EH130" i="18"/>
  <c r="EV50" i="7"/>
  <c r="FE27" i="14"/>
  <c r="EM37" i="18"/>
  <c r="EE45" i="7"/>
  <c r="DB5" i="12"/>
  <c r="EK56" i="18"/>
  <c r="EM6" i="18"/>
  <c r="DB51" i="12"/>
  <c r="DC54" i="12"/>
  <c r="DF53" i="12"/>
  <c r="DD92" i="12"/>
  <c r="FI30" i="14"/>
  <c r="EV8" i="7"/>
  <c r="EW5" i="7"/>
  <c r="EV85" i="7"/>
  <c r="EV90" i="7"/>
  <c r="EW76" i="7"/>
  <c r="EX50" i="7"/>
  <c r="DH5" i="12"/>
  <c r="DI92" i="12"/>
  <c r="FG3" i="14"/>
  <c r="FH30" i="14"/>
  <c r="EL7" i="14"/>
  <c r="EV110" i="7"/>
  <c r="EV82" i="7"/>
  <c r="EW46" i="7"/>
  <c r="EW136" i="7"/>
  <c r="EX43" i="7"/>
  <c r="EI49" i="18"/>
  <c r="DL92" i="12"/>
  <c r="EP7" i="14"/>
  <c r="EF7" i="14"/>
  <c r="EK15" i="14"/>
  <c r="FH17" i="14"/>
  <c r="ED42" i="7"/>
  <c r="DX42" i="7"/>
  <c r="EV75" i="7"/>
  <c r="EX136" i="7"/>
  <c r="EX73" i="7"/>
  <c r="DD5" i="12"/>
  <c r="EM130" i="18"/>
  <c r="DC53" i="12"/>
  <c r="DK92" i="12"/>
  <c r="DE50" i="12"/>
  <c r="DF51" i="12"/>
  <c r="DG54" i="12"/>
  <c r="EL81" i="18"/>
  <c r="DG53" i="12"/>
  <c r="FG27" i="14"/>
  <c r="FE3" i="14"/>
  <c r="DY32" i="7"/>
  <c r="EW20" i="7"/>
  <c r="EX8" i="7"/>
  <c r="EZ136" i="7"/>
  <c r="EJ31" i="18"/>
  <c r="FE57" i="18"/>
  <c r="EG7" i="14"/>
  <c r="AP23" i="11"/>
  <c r="DC23" i="11" s="1"/>
  <c r="EB32" i="7"/>
  <c r="EW82" i="7"/>
  <c r="EW109" i="7"/>
  <c r="EX85" i="7"/>
  <c r="EV43" i="7"/>
  <c r="CY5" i="12"/>
  <c r="DF5" i="12"/>
  <c r="EH6" i="18"/>
  <c r="EF130" i="18"/>
  <c r="DA52" i="12"/>
  <c r="CZ50" i="12"/>
  <c r="EQ130" i="18"/>
  <c r="DA51" i="12"/>
  <c r="DB54" i="12"/>
  <c r="DW44" i="7"/>
  <c r="EG58" i="7"/>
  <c r="DC5" i="12"/>
  <c r="DE92" i="12"/>
  <c r="EF6" i="18"/>
  <c r="FF133" i="18"/>
  <c r="DG5" i="12"/>
  <c r="EN81" i="18"/>
  <c r="BU43" i="18"/>
  <c r="AB43" i="18"/>
  <c r="EP81" i="18"/>
  <c r="EP37" i="18"/>
  <c r="EI6" i="18"/>
  <c r="EQ31" i="18"/>
  <c r="EN31" i="18"/>
  <c r="EO31" i="18"/>
  <c r="EF37" i="18"/>
  <c r="EI130" i="18"/>
  <c r="CA43" i="18"/>
  <c r="T43" i="18"/>
  <c r="EK177" i="18"/>
  <c r="EQ49" i="18"/>
  <c r="EQ6" i="18"/>
  <c r="EL37" i="18"/>
  <c r="CH43" i="18"/>
  <c r="P43" i="18"/>
  <c r="AF43" i="18"/>
  <c r="EJ130" i="18"/>
  <c r="EK49" i="18"/>
  <c r="EF31" i="18"/>
  <c r="FF86" i="18"/>
  <c r="EF42" i="7"/>
  <c r="DY81" i="7"/>
  <c r="EK135" i="7"/>
  <c r="AR18" i="14"/>
  <c r="EB156" i="7"/>
  <c r="DE5" i="12"/>
  <c r="FE133" i="18"/>
  <c r="AP24" i="12"/>
  <c r="DC24" i="12" s="1"/>
  <c r="DC26" i="12"/>
  <c r="EF81" i="18"/>
  <c r="CR44" i="18"/>
  <c r="EQ44" i="18" s="1"/>
  <c r="EQ13" i="18"/>
  <c r="DO92" i="12"/>
  <c r="CY52" i="12"/>
  <c r="DJ53" i="12"/>
  <c r="BE10" i="12"/>
  <c r="DH10" i="12" s="1"/>
  <c r="DH12" i="12"/>
  <c r="AD22" i="12"/>
  <c r="CY22" i="12" s="1"/>
  <c r="CY8" i="12"/>
  <c r="BH107" i="12"/>
  <c r="DI107" i="12" s="1"/>
  <c r="DI109" i="12"/>
  <c r="CY51" i="12"/>
  <c r="DJ52" i="12"/>
  <c r="CZ54" i="12"/>
  <c r="EI31" i="18"/>
  <c r="FE39" i="14"/>
  <c r="EP49" i="18"/>
  <c r="FG178" i="18"/>
  <c r="FG86" i="18"/>
  <c r="FG57" i="18"/>
  <c r="FH178" i="18"/>
  <c r="EK7" i="14"/>
  <c r="EJ7" i="14"/>
  <c r="EM15" i="14"/>
  <c r="AV23" i="11"/>
  <c r="DE23" i="11" s="1"/>
  <c r="EX25" i="7"/>
  <c r="EW19" i="7"/>
  <c r="EZ17" i="7"/>
  <c r="EW12" i="7"/>
  <c r="DX32" i="7"/>
  <c r="FG30" i="18"/>
  <c r="EZ138" i="7"/>
  <c r="EV136" i="7"/>
  <c r="EW78" i="7"/>
  <c r="EW43" i="7"/>
  <c r="EV76" i="7"/>
  <c r="EW138" i="7"/>
  <c r="EX88" i="7"/>
  <c r="EV46" i="7"/>
  <c r="EW106" i="7"/>
  <c r="EX87" i="7"/>
  <c r="AD48" i="14"/>
  <c r="AF48" i="14"/>
  <c r="T48" i="14"/>
  <c r="DJ5" i="12"/>
  <c r="DH53" i="12"/>
  <c r="CO44" i="18"/>
  <c r="EP44" i="18" s="1"/>
  <c r="EP13" i="18"/>
  <c r="EP6" i="18"/>
  <c r="AJ10" i="12"/>
  <c r="DA10" i="12" s="1"/>
  <c r="DA12" i="12"/>
  <c r="BZ44" i="18"/>
  <c r="EK44" i="18" s="1"/>
  <c r="EK13" i="18"/>
  <c r="CZ51" i="12"/>
  <c r="DA54" i="12"/>
  <c r="DJ50" i="12"/>
  <c r="AG22" i="12"/>
  <c r="CZ22" i="12" s="1"/>
  <c r="CZ8" i="12"/>
  <c r="AD10" i="12"/>
  <c r="CY10" i="12" s="1"/>
  <c r="CY12" i="12"/>
  <c r="EQ81" i="18"/>
  <c r="EQ37" i="18"/>
  <c r="AJ24" i="12"/>
  <c r="DA24" i="12" s="1"/>
  <c r="DA26" i="12"/>
  <c r="CL44" i="18"/>
  <c r="EO44" i="18" s="1"/>
  <c r="EO13" i="18"/>
  <c r="EO37" i="18"/>
  <c r="DJ92" i="12"/>
  <c r="AM22" i="12"/>
  <c r="DB22" i="12" s="1"/>
  <c r="DB8" i="12"/>
  <c r="EH7" i="14"/>
  <c r="FG6" i="14"/>
  <c r="EQ7" i="14"/>
  <c r="FF39" i="14"/>
  <c r="EO7" i="14"/>
  <c r="FF57" i="18"/>
  <c r="EX76" i="7"/>
  <c r="EX110" i="7"/>
  <c r="EV109" i="7"/>
  <c r="EW107" i="7"/>
  <c r="EX46" i="7"/>
  <c r="AC48" i="14"/>
  <c r="AL48" i="14"/>
  <c r="EA42" i="7"/>
  <c r="DA5" i="12"/>
  <c r="DI5" i="12"/>
  <c r="AV24" i="12"/>
  <c r="DE24" i="12" s="1"/>
  <c r="DE26" i="12"/>
  <c r="BK10" i="12"/>
  <c r="DJ10" i="12" s="1"/>
  <c r="DJ12" i="12"/>
  <c r="DP92" i="12"/>
  <c r="DE51" i="12"/>
  <c r="DF54" i="12"/>
  <c r="BH10" i="12"/>
  <c r="DI10" i="12" s="1"/>
  <c r="DI12" i="12"/>
  <c r="EK81" i="18"/>
  <c r="EP130" i="18"/>
  <c r="AY24" i="12"/>
  <c r="DF24" i="12" s="1"/>
  <c r="DF26" i="12"/>
  <c r="BB10" i="12"/>
  <c r="DG10" i="12" s="1"/>
  <c r="DG12" i="12"/>
  <c r="BT44" i="18"/>
  <c r="EI44" i="18" s="1"/>
  <c r="EI13" i="18"/>
  <c r="AV112" i="12"/>
  <c r="DE112" i="12" s="1"/>
  <c r="DE114" i="12"/>
  <c r="BH24" i="12"/>
  <c r="DI24" i="12" s="1"/>
  <c r="DI26" i="12"/>
  <c r="AP107" i="12"/>
  <c r="DC107" i="12" s="1"/>
  <c r="DC109" i="12"/>
  <c r="AS24" i="12"/>
  <c r="DD24" i="12" s="1"/>
  <c r="DD26" i="12"/>
  <c r="BH22" i="12"/>
  <c r="DI22" i="12" s="1"/>
  <c r="DI8" i="12"/>
  <c r="EO81" i="18"/>
  <c r="EO6" i="18"/>
  <c r="DG92" i="12"/>
  <c r="DB53" i="12"/>
  <c r="AP10" i="12"/>
  <c r="DC10" i="12" s="1"/>
  <c r="DC12" i="12"/>
  <c r="DB52" i="12"/>
  <c r="DI50" i="12"/>
  <c r="AM24" i="12"/>
  <c r="DB24" i="12" s="1"/>
  <c r="DB26" i="12"/>
  <c r="EI7" i="14"/>
  <c r="FI178" i="18"/>
  <c r="FI86" i="18"/>
  <c r="EY20" i="7"/>
  <c r="EV24" i="7"/>
  <c r="EV107" i="7"/>
  <c r="EX75" i="7"/>
  <c r="EX39" i="7"/>
  <c r="EV86" i="7"/>
  <c r="FG58" i="18"/>
  <c r="J48" i="14"/>
  <c r="AJ48" i="14"/>
  <c r="DX44" i="7"/>
  <c r="EA45" i="7"/>
  <c r="EE42" i="7"/>
  <c r="EA59" i="7"/>
  <c r="DY45" i="7"/>
  <c r="DX49" i="7"/>
  <c r="EC58" i="7"/>
  <c r="EF59" i="7"/>
  <c r="EE81" i="7"/>
  <c r="EC156" i="7"/>
  <c r="DW156" i="7"/>
  <c r="DM92" i="12"/>
  <c r="DJ51" i="12"/>
  <c r="CZ53" i="12"/>
  <c r="BQ44" i="18"/>
  <c r="EH44" i="18" s="1"/>
  <c r="EH13" i="18"/>
  <c r="EH37" i="18"/>
  <c r="AS112" i="12"/>
  <c r="DD112" i="12" s="1"/>
  <c r="DD114" i="12"/>
  <c r="AG24" i="12"/>
  <c r="CZ24" i="12" s="1"/>
  <c r="CZ26" i="12"/>
  <c r="EK6" i="18"/>
  <c r="AD112" i="12"/>
  <c r="CY112" i="12" s="1"/>
  <c r="CY114" i="12"/>
  <c r="DC52" i="12"/>
  <c r="DB50" i="12"/>
  <c r="AS10" i="12"/>
  <c r="DD10" i="12" s="1"/>
  <c r="DD12" i="12"/>
  <c r="EN49" i="18"/>
  <c r="EN6" i="18"/>
  <c r="AM112" i="12"/>
  <c r="DB112" i="12" s="1"/>
  <c r="DB114" i="12"/>
  <c r="EI81" i="18"/>
  <c r="EI37" i="18"/>
  <c r="AG107" i="12"/>
  <c r="CZ107" i="12" s="1"/>
  <c r="CZ109" i="12"/>
  <c r="DA92" i="12"/>
  <c r="BN44" i="18"/>
  <c r="EG44" i="18" s="1"/>
  <c r="EG13" i="18"/>
  <c r="EG6" i="18"/>
  <c r="CY92" i="12"/>
  <c r="DB92" i="12"/>
  <c r="EO130" i="18"/>
  <c r="BK24" i="12"/>
  <c r="DJ24" i="12" s="1"/>
  <c r="DJ26" i="12"/>
  <c r="EP31" i="18"/>
  <c r="FE10" i="14"/>
  <c r="FE29" i="14"/>
  <c r="EL15" i="14"/>
  <c r="FF178" i="18"/>
  <c r="EX24" i="7"/>
  <c r="EZ13" i="7"/>
  <c r="FF58" i="18"/>
  <c r="EX157" i="7"/>
  <c r="EX86" i="7"/>
  <c r="EV73" i="7"/>
  <c r="C48" i="14"/>
  <c r="EA156" i="7"/>
  <c r="AJ112" i="12"/>
  <c r="DA112" i="12" s="1"/>
  <c r="DA114" i="12"/>
  <c r="AY22" i="12"/>
  <c r="DF22" i="12" s="1"/>
  <c r="DF8" i="12"/>
  <c r="AD107" i="12"/>
  <c r="CY107" i="12" s="1"/>
  <c r="CY109" i="12"/>
  <c r="BE24" i="12"/>
  <c r="DH24" i="12" s="1"/>
  <c r="DH26" i="12"/>
  <c r="BB112" i="12"/>
  <c r="DG112" i="12" s="1"/>
  <c r="DG114" i="12"/>
  <c r="BE107" i="12"/>
  <c r="DH107" i="12" s="1"/>
  <c r="DH109" i="12"/>
  <c r="EG81" i="18"/>
  <c r="EG37" i="18"/>
  <c r="AP112" i="12"/>
  <c r="DC112" i="12" s="1"/>
  <c r="DC114" i="12"/>
  <c r="DD51" i="12"/>
  <c r="DE54" i="12"/>
  <c r="AD24" i="12"/>
  <c r="CY24" i="12" s="1"/>
  <c r="CY26" i="12"/>
  <c r="BW44" i="18"/>
  <c r="EJ44" i="18" s="1"/>
  <c r="EJ13" i="18"/>
  <c r="EJ37" i="18"/>
  <c r="AY112" i="12"/>
  <c r="DF112" i="12" s="1"/>
  <c r="DF114" i="12"/>
  <c r="DE53" i="12"/>
  <c r="DA50" i="12"/>
  <c r="EG31" i="18"/>
  <c r="FG10" i="14"/>
  <c r="EN15" i="14"/>
  <c r="FG29" i="14"/>
  <c r="EO15" i="14"/>
  <c r="EG49" i="18"/>
  <c r="FF29" i="18"/>
  <c r="EK31" i="18"/>
  <c r="Z48" i="14"/>
  <c r="K48" i="14"/>
  <c r="BH112" i="12"/>
  <c r="DI112" i="12" s="1"/>
  <c r="DI114" i="12"/>
  <c r="AY10" i="12"/>
  <c r="DF10" i="12" s="1"/>
  <c r="DF12" i="12"/>
  <c r="BB107" i="12"/>
  <c r="DG107" i="12" s="1"/>
  <c r="DG109" i="12"/>
  <c r="AM107" i="12"/>
  <c r="DB107" i="12" s="1"/>
  <c r="DB109" i="12"/>
  <c r="CI44" i="18"/>
  <c r="EN44" i="18" s="1"/>
  <c r="EN13" i="18"/>
  <c r="BK112" i="12"/>
  <c r="DJ112" i="12" s="1"/>
  <c r="DJ114" i="12"/>
  <c r="EL130" i="18"/>
  <c r="BB24" i="12"/>
  <c r="DG24" i="12" s="1"/>
  <c r="DG26" i="12"/>
  <c r="EJ81" i="18"/>
  <c r="EJ6" i="18"/>
  <c r="EG130" i="18"/>
  <c r="BK22" i="12"/>
  <c r="DJ22" i="12" s="1"/>
  <c r="DJ8" i="12"/>
  <c r="AV10" i="12"/>
  <c r="DE10" i="12" s="1"/>
  <c r="DE12" i="12"/>
  <c r="EL31" i="18"/>
  <c r="EV40" i="7"/>
  <c r="AH48" i="14"/>
  <c r="EC42" i="7"/>
  <c r="EF35" i="7"/>
  <c r="EE44" i="7"/>
  <c r="DW35" i="7"/>
  <c r="EA49" i="7"/>
  <c r="ED58" i="7"/>
  <c r="EG59" i="7"/>
  <c r="EH44" i="7"/>
  <c r="EE58" i="7"/>
  <c r="EH59" i="7"/>
  <c r="DX81" i="7"/>
  <c r="DX156" i="7"/>
  <c r="CF44" i="18"/>
  <c r="EM44" i="18" s="1"/>
  <c r="EM13" i="18"/>
  <c r="CZ52" i="12"/>
  <c r="CY50" i="12"/>
  <c r="AV22" i="12"/>
  <c r="DE22" i="12" s="1"/>
  <c r="DE8" i="12"/>
  <c r="BK107" i="12"/>
  <c r="DJ107" i="12" s="1"/>
  <c r="DJ109" i="12"/>
  <c r="FG133" i="18"/>
  <c r="AJ22" i="12"/>
  <c r="DA22" i="12" s="1"/>
  <c r="DA8" i="12"/>
  <c r="AV107" i="12"/>
  <c r="DE107" i="12" s="1"/>
  <c r="DE109" i="12"/>
  <c r="AG112" i="12"/>
  <c r="CZ112" i="12" s="1"/>
  <c r="CZ114" i="12"/>
  <c r="DD52" i="12"/>
  <c r="DG52" i="12"/>
  <c r="DF50" i="12"/>
  <c r="BB22" i="12"/>
  <c r="DG22" i="12" s="1"/>
  <c r="DG8" i="12"/>
  <c r="EJ49" i="18"/>
  <c r="DG51" i="12"/>
  <c r="DH54" i="12"/>
  <c r="AM10" i="12"/>
  <c r="DB10" i="12" s="1"/>
  <c r="DB12" i="12"/>
  <c r="EH49" i="18"/>
  <c r="FE178" i="18"/>
  <c r="FE86" i="18"/>
  <c r="AS23" i="11"/>
  <c r="DD23" i="11" s="1"/>
  <c r="FE30" i="18"/>
  <c r="EW110" i="7"/>
  <c r="EW158" i="7"/>
  <c r="EW73" i="7"/>
  <c r="FE58" i="18"/>
  <c r="O48" i="14"/>
  <c r="EH42" i="7"/>
  <c r="EG42" i="7"/>
  <c r="DY49" i="7"/>
  <c r="EB81" i="7"/>
  <c r="EG156" i="7"/>
  <c r="CZ5" i="12"/>
  <c r="EM81" i="18"/>
  <c r="AS107" i="12"/>
  <c r="DD107" i="12" s="1"/>
  <c r="DD109" i="12"/>
  <c r="DE52" i="12"/>
  <c r="DD50" i="12"/>
  <c r="DH51" i="12"/>
  <c r="DI54" i="12"/>
  <c r="BE22" i="12"/>
  <c r="DH22" i="12" s="1"/>
  <c r="DH8" i="12"/>
  <c r="AP22" i="12"/>
  <c r="DC22" i="12" s="1"/>
  <c r="DC8" i="12"/>
  <c r="BK44" i="18"/>
  <c r="EF44" i="18" s="1"/>
  <c r="EF13" i="18"/>
  <c r="EK130" i="18"/>
  <c r="DE72" i="11"/>
  <c r="DQ92" i="12"/>
  <c r="DF73" i="11"/>
  <c r="DG76" i="11"/>
  <c r="DA41" i="11"/>
  <c r="CC44" i="18"/>
  <c r="EL44" i="18" s="1"/>
  <c r="EL13" i="18"/>
  <c r="BE112" i="12"/>
  <c r="DH112" i="12" s="1"/>
  <c r="DH114" i="12"/>
  <c r="DG75" i="11"/>
  <c r="AY107" i="12"/>
  <c r="DF107" i="12" s="1"/>
  <c r="DF109" i="12"/>
  <c r="AG10" i="12"/>
  <c r="CZ10" i="12" s="1"/>
  <c r="CZ12" i="12"/>
  <c r="AS22" i="12"/>
  <c r="DD22" i="12" s="1"/>
  <c r="DD8" i="12"/>
  <c r="AJ107" i="12"/>
  <c r="DA107" i="12" s="1"/>
  <c r="DA109" i="12"/>
  <c r="DR92" i="12"/>
  <c r="EM31" i="18"/>
  <c r="EN7" i="14"/>
  <c r="EL49" i="18"/>
  <c r="EO49" i="18"/>
  <c r="EJ15" i="14"/>
  <c r="FH86" i="18"/>
  <c r="AG23" i="11"/>
  <c r="CZ23" i="11" s="1"/>
  <c r="FE29" i="18"/>
  <c r="FF30" i="18"/>
  <c r="EX82" i="7"/>
  <c r="EY136" i="7"/>
  <c r="EW39" i="7"/>
  <c r="M48" i="14"/>
  <c r="V48" i="14"/>
  <c r="EG15" i="14"/>
  <c r="W48" i="14"/>
  <c r="X48" i="14"/>
  <c r="AI48" i="14"/>
  <c r="AU43" i="18"/>
  <c r="AT43" i="18"/>
  <c r="AQ43" i="18"/>
  <c r="W43" i="18"/>
  <c r="AR43" i="18"/>
  <c r="AG43" i="18"/>
  <c r="Y43" i="18"/>
  <c r="AO43" i="18"/>
  <c r="BL43" i="18"/>
  <c r="BW68" i="7"/>
  <c r="ED68" i="7" s="1"/>
  <c r="ED69" i="7"/>
  <c r="DX35" i="7"/>
  <c r="EB44" i="7"/>
  <c r="EB58" i="7"/>
  <c r="EE59" i="7"/>
  <c r="DZ44" i="7"/>
  <c r="BW99" i="7"/>
  <c r="ED61" i="7"/>
  <c r="ED99" i="7" s="1"/>
  <c r="EP38" i="18"/>
  <c r="EG62" i="7"/>
  <c r="CO79" i="15"/>
  <c r="EG105" i="7"/>
  <c r="EH81" i="7"/>
  <c r="EY5" i="7"/>
  <c r="EE32" i="7"/>
  <c r="EX23" i="7"/>
  <c r="EX27" i="7"/>
  <c r="EY17" i="7"/>
  <c r="EW16" i="7"/>
  <c r="EX90" i="7"/>
  <c r="EV54" i="7"/>
  <c r="EV71" i="7"/>
  <c r="EV83" i="7"/>
  <c r="EV19" i="7"/>
  <c r="EX77" i="7"/>
  <c r="EV55" i="7"/>
  <c r="EG35" i="7"/>
  <c r="EH49" i="7"/>
  <c r="DX58" i="7"/>
  <c r="CL79" i="15"/>
  <c r="EF105" i="7"/>
  <c r="DY59" i="7"/>
  <c r="EC45" i="7"/>
  <c r="EB49" i="7"/>
  <c r="BB68" i="7"/>
  <c r="DW68" i="7" s="1"/>
  <c r="DW69" i="7"/>
  <c r="DW58" i="7"/>
  <c r="DZ59" i="7"/>
  <c r="CI68" i="7"/>
  <c r="EH68" i="7" s="1"/>
  <c r="EH69" i="7"/>
  <c r="DY42" i="7"/>
  <c r="EB35" i="7"/>
  <c r="EF44" i="7"/>
  <c r="EA44" i="7"/>
  <c r="DZ35" i="7"/>
  <c r="EF58" i="7"/>
  <c r="EF38" i="18"/>
  <c r="DW62" i="7"/>
  <c r="DZ58" i="7"/>
  <c r="EC59" i="7"/>
  <c r="ED44" i="7"/>
  <c r="EG45" i="7"/>
  <c r="EF49" i="7"/>
  <c r="BB99" i="7"/>
  <c r="DW61" i="7"/>
  <c r="EI38" i="18"/>
  <c r="DZ62" i="7"/>
  <c r="BN68" i="7"/>
  <c r="EA68" i="7" s="1"/>
  <c r="EA69" i="7"/>
  <c r="EA58" i="7"/>
  <c r="ED59" i="7"/>
  <c r="EE49" i="7"/>
  <c r="CI99" i="7"/>
  <c r="EH61" i="7"/>
  <c r="EH99" i="7" s="1"/>
  <c r="EE156" i="7"/>
  <c r="EV30" i="7"/>
  <c r="EX54" i="7"/>
  <c r="EX71" i="7"/>
  <c r="EX19" i="7"/>
  <c r="EV158" i="7"/>
  <c r="EX83" i="7"/>
  <c r="EW75" i="7"/>
  <c r="EW40" i="7"/>
  <c r="EV4" i="7"/>
  <c r="EW84" i="7"/>
  <c r="CF68" i="7"/>
  <c r="EG68" i="7" s="1"/>
  <c r="EG69" i="7"/>
  <c r="BH134" i="7"/>
  <c r="DY135" i="7"/>
  <c r="BK134" i="7"/>
  <c r="DZ135" i="7"/>
  <c r="DY156" i="7"/>
  <c r="BE68" i="7"/>
  <c r="DX68" i="7" s="1"/>
  <c r="DX69" i="7"/>
  <c r="EX16" i="7"/>
  <c r="EW27" i="7"/>
  <c r="EZ30" i="7"/>
  <c r="EW72" i="7"/>
  <c r="EX40" i="7"/>
  <c r="EZ71" i="7"/>
  <c r="EX158" i="7"/>
  <c r="EV157" i="7"/>
  <c r="EV88" i="7"/>
  <c r="EV87" i="7"/>
  <c r="EW150" i="7"/>
  <c r="EW83" i="7"/>
  <c r="EX55" i="7"/>
  <c r="ED35" i="7"/>
  <c r="BZ68" i="7"/>
  <c r="EE68" i="7" s="1"/>
  <c r="EE69" i="7"/>
  <c r="EF156" i="7"/>
  <c r="BT134" i="7"/>
  <c r="EC135" i="7"/>
  <c r="BB134" i="7"/>
  <c r="DW135" i="7"/>
  <c r="BQ68" i="7"/>
  <c r="EB68" i="7" s="1"/>
  <c r="EB69" i="7"/>
  <c r="EV147" i="7"/>
  <c r="EV150" i="7"/>
  <c r="EW86" i="7"/>
  <c r="EV108" i="7"/>
  <c r="BZ99" i="7"/>
  <c r="EE61" i="7"/>
  <c r="EE99" i="7" s="1"/>
  <c r="EH62" i="7"/>
  <c r="EO38" i="18"/>
  <c r="EF62" i="7"/>
  <c r="BH68" i="7"/>
  <c r="DY68" i="7" s="1"/>
  <c r="DY69" i="7"/>
  <c r="DY44" i="7"/>
  <c r="EB45" i="7"/>
  <c r="DZ42" i="7"/>
  <c r="EH45" i="7"/>
  <c r="EE35" i="7"/>
  <c r="EC49" i="7"/>
  <c r="CC99" i="7"/>
  <c r="EF61" i="7"/>
  <c r="EF99" i="7" s="1"/>
  <c r="BT99" i="7"/>
  <c r="EC61" i="7"/>
  <c r="EC99" i="7" s="1"/>
  <c r="BT68" i="7"/>
  <c r="EC68" i="7" s="1"/>
  <c r="EC69" i="7"/>
  <c r="DI41" i="11"/>
  <c r="EW29" i="7"/>
  <c r="EV16" i="7"/>
  <c r="EV29" i="7"/>
  <c r="EV5" i="7"/>
  <c r="EX147" i="7"/>
  <c r="EV106" i="7"/>
  <c r="EX150" i="7"/>
  <c r="EV70" i="7"/>
  <c r="EW147" i="7"/>
  <c r="EW7" i="7"/>
  <c r="EJ38" i="18"/>
  <c r="EA62" i="7"/>
  <c r="BN99" i="7"/>
  <c r="EA61" i="7"/>
  <c r="EB42" i="7"/>
  <c r="DX45" i="7"/>
  <c r="DZ45" i="7"/>
  <c r="EH35" i="7"/>
  <c r="EA35" i="7"/>
  <c r="BQ99" i="7"/>
  <c r="EB61" i="7"/>
  <c r="EB99" i="7" s="1"/>
  <c r="EN38" i="18"/>
  <c r="EE62" i="7"/>
  <c r="EH58" i="7"/>
  <c r="EF81" i="7"/>
  <c r="EJ135" i="7"/>
  <c r="CT43" i="18"/>
  <c r="Q43" i="18"/>
  <c r="DY35" i="7"/>
  <c r="EC44" i="7"/>
  <c r="EF45" i="7"/>
  <c r="DW42" i="7"/>
  <c r="DZ49" i="7"/>
  <c r="EG49" i="7"/>
  <c r="EK38" i="18"/>
  <c r="EB62" i="7"/>
  <c r="DX59" i="7"/>
  <c r="BN79" i="15"/>
  <c r="DX105" i="7"/>
  <c r="EC81" i="7"/>
  <c r="BT79" i="15"/>
  <c r="DZ105" i="7"/>
  <c r="CI79" i="15"/>
  <c r="EE105" i="7"/>
  <c r="DZ81" i="7"/>
  <c r="DW81" i="7"/>
  <c r="CC134" i="7"/>
  <c r="EF135" i="7"/>
  <c r="EO135" i="7"/>
  <c r="EL135" i="7"/>
  <c r="BZ134" i="7"/>
  <c r="EE135" i="7"/>
  <c r="DZ156" i="7"/>
  <c r="BW134" i="7"/>
  <c r="ED135" i="7"/>
  <c r="CF134" i="7"/>
  <c r="EG135" i="7"/>
  <c r="DE73" i="11"/>
  <c r="DF76" i="11"/>
  <c r="DH25" i="11"/>
  <c r="EY29" i="7"/>
  <c r="EV25" i="7"/>
  <c r="EV7" i="7"/>
  <c r="EW4" i="7"/>
  <c r="EV17" i="7"/>
  <c r="EW13" i="7"/>
  <c r="EW33" i="7" s="1"/>
  <c r="EW26" i="7"/>
  <c r="EX29" i="7"/>
  <c r="EV20" i="7"/>
  <c r="EX5" i="7"/>
  <c r="EW24" i="7"/>
  <c r="EV13" i="7"/>
  <c r="EV33" i="7" s="1"/>
  <c r="EV26" i="7"/>
  <c r="EX30" i="7"/>
  <c r="EV138" i="7"/>
  <c r="EX107" i="7"/>
  <c r="EX106" i="7"/>
  <c r="EX84" i="7"/>
  <c r="EX70" i="7"/>
  <c r="EY138" i="7"/>
  <c r="EX109" i="7"/>
  <c r="EW90" i="7"/>
  <c r="EZ46" i="7"/>
  <c r="EX108" i="7"/>
  <c r="EW71" i="7"/>
  <c r="BE99" i="7"/>
  <c r="DX61" i="7"/>
  <c r="DX99" i="7" s="1"/>
  <c r="BH99" i="7"/>
  <c r="DY61" i="7"/>
  <c r="DY99" i="7" s="1"/>
  <c r="EM38" i="18"/>
  <c r="ED62" i="7"/>
  <c r="DW49" i="7"/>
  <c r="ED81" i="7"/>
  <c r="BN134" i="7"/>
  <c r="EA135" i="7"/>
  <c r="CC68" i="7"/>
  <c r="EF68" i="7" s="1"/>
  <c r="EF69" i="7"/>
  <c r="S43" i="18"/>
  <c r="DW45" i="7"/>
  <c r="EC35" i="7"/>
  <c r="EG44" i="7"/>
  <c r="ED45" i="7"/>
  <c r="ED49" i="7"/>
  <c r="DW59" i="7"/>
  <c r="EG38" i="18"/>
  <c r="DX62" i="7"/>
  <c r="CF99" i="7"/>
  <c r="EG61" i="7"/>
  <c r="EG99" i="7" s="1"/>
  <c r="DY58" i="7"/>
  <c r="EB59" i="7"/>
  <c r="BK68" i="7"/>
  <c r="DZ68" i="7" s="1"/>
  <c r="DZ69" i="7"/>
  <c r="BZ79" i="15"/>
  <c r="BZ77" i="15" s="1"/>
  <c r="BZ121" i="18" s="1"/>
  <c r="EK121" i="18" s="1"/>
  <c r="EB105" i="7"/>
  <c r="EG81" i="7"/>
  <c r="EH38" i="18"/>
  <c r="DY62" i="7"/>
  <c r="BQ79" i="15"/>
  <c r="DY105" i="7"/>
  <c r="CF79" i="15"/>
  <c r="ED105" i="7"/>
  <c r="BE134" i="7"/>
  <c r="DX135" i="7"/>
  <c r="EA81" i="7"/>
  <c r="EN135" i="7"/>
  <c r="EP135" i="7"/>
  <c r="EI135" i="7"/>
  <c r="ED156" i="7"/>
  <c r="CI134" i="7"/>
  <c r="EH135" i="7"/>
  <c r="DJ73" i="11"/>
  <c r="CZ75" i="11"/>
  <c r="CZ9" i="11"/>
  <c r="DH41" i="11"/>
  <c r="DC74" i="11"/>
  <c r="DB72" i="11"/>
  <c r="BH23" i="11"/>
  <c r="DI23" i="11" s="1"/>
  <c r="EX7" i="7"/>
  <c r="EX17" i="7"/>
  <c r="EY13" i="7"/>
  <c r="DW32" i="7"/>
  <c r="EV23" i="7"/>
  <c r="EZ29" i="7"/>
  <c r="EW25" i="7"/>
  <c r="EX20" i="7"/>
  <c r="EW8" i="7"/>
  <c r="EZ5" i="7"/>
  <c r="EX13" i="7"/>
  <c r="EX33" i="7" s="1"/>
  <c r="EW30" i="7"/>
  <c r="EV12" i="7"/>
  <c r="EW88" i="7"/>
  <c r="EW108" i="7"/>
  <c r="EW50" i="7"/>
  <c r="EV72" i="7"/>
  <c r="EW54" i="7"/>
  <c r="EV78" i="7"/>
  <c r="EY71" i="7"/>
  <c r="EW70" i="7"/>
  <c r="BK99" i="7"/>
  <c r="DZ61" i="7"/>
  <c r="DZ99" i="7" s="1"/>
  <c r="EL38" i="18"/>
  <c r="EC62" i="7"/>
  <c r="CC79" i="15"/>
  <c r="EC105" i="7"/>
  <c r="CR79" i="15"/>
  <c r="EH105" i="7"/>
  <c r="BQ134" i="7"/>
  <c r="EB135" i="7"/>
  <c r="BW79" i="15"/>
  <c r="EA105" i="7"/>
  <c r="BK79" i="15"/>
  <c r="BK77" i="15" s="1"/>
  <c r="DW105" i="7"/>
  <c r="EM135" i="7"/>
  <c r="EZ20" i="7"/>
  <c r="EW23" i="7"/>
  <c r="EV27" i="7"/>
  <c r="EW17" i="7"/>
  <c r="EX26" i="7"/>
  <c r="EY30" i="7"/>
  <c r="EX12" i="7"/>
  <c r="EX138" i="7"/>
  <c r="EW87" i="7"/>
  <c r="EW55" i="7"/>
  <c r="EX4" i="7"/>
  <c r="EW77" i="7"/>
  <c r="EX72" i="7"/>
  <c r="EX78" i="7"/>
  <c r="EV77" i="7"/>
  <c r="DE41" i="11"/>
  <c r="DI16" i="11"/>
  <c r="CZ73" i="11"/>
  <c r="DA76" i="11"/>
  <c r="DJ72" i="11"/>
  <c r="AN29" i="11"/>
  <c r="DF41" i="11"/>
  <c r="EL53" i="15"/>
  <c r="DD41" i="11"/>
  <c r="W29" i="11"/>
  <c r="DF16" i="11"/>
  <c r="CZ72" i="11"/>
  <c r="DA73" i="11"/>
  <c r="DB76" i="11"/>
  <c r="DE74" i="11"/>
  <c r="DD72" i="11"/>
  <c r="DH9" i="11"/>
  <c r="DH73" i="11"/>
  <c r="DI76" i="11"/>
  <c r="BZ9" i="15"/>
  <c r="EB11" i="7"/>
  <c r="BQ9" i="15"/>
  <c r="BQ12" i="18" s="1"/>
  <c r="DY11" i="7"/>
  <c r="CI14" i="15"/>
  <c r="EN14" i="15" s="1"/>
  <c r="EE15" i="7"/>
  <c r="Y98" i="15"/>
  <c r="Y96" i="15" s="1"/>
  <c r="Y147" i="18" s="1"/>
  <c r="J119" i="11"/>
  <c r="J117" i="11" s="1"/>
  <c r="R98" i="15"/>
  <c r="R96" i="15" s="1"/>
  <c r="R147" i="18" s="1"/>
  <c r="AX119" i="11"/>
  <c r="AX117" i="11" s="1"/>
  <c r="E119" i="11"/>
  <c r="E117" i="11" s="1"/>
  <c r="AL119" i="11"/>
  <c r="AL117" i="11" s="1"/>
  <c r="L98" i="15"/>
  <c r="L96" i="15" s="1"/>
  <c r="L147" i="18" s="1"/>
  <c r="R119" i="11"/>
  <c r="R117" i="11" s="1"/>
  <c r="AR119" i="11"/>
  <c r="AR117" i="11" s="1"/>
  <c r="Y119" i="11"/>
  <c r="Y117" i="11" s="1"/>
  <c r="CR18" i="15"/>
  <c r="EH22" i="7"/>
  <c r="CO18" i="15"/>
  <c r="EG22" i="7"/>
  <c r="DC41" i="11"/>
  <c r="DF4" i="11"/>
  <c r="DI4" i="11"/>
  <c r="DG25" i="11"/>
  <c r="BK23" i="11"/>
  <c r="DJ23" i="11" s="1"/>
  <c r="EH32" i="7"/>
  <c r="BW9" i="15"/>
  <c r="EA11" i="7"/>
  <c r="CL9" i="15"/>
  <c r="EF11" i="7"/>
  <c r="CC9" i="15"/>
  <c r="EC11" i="7"/>
  <c r="CI9" i="15"/>
  <c r="EE11" i="7"/>
  <c r="D119" i="11"/>
  <c r="D117" i="11" s="1"/>
  <c r="V119" i="11"/>
  <c r="V117" i="11" s="1"/>
  <c r="T98" i="15"/>
  <c r="T96" i="15" s="1"/>
  <c r="T147" i="18" s="1"/>
  <c r="I119" i="11"/>
  <c r="I117" i="11" s="1"/>
  <c r="Q119" i="11"/>
  <c r="Q117" i="11" s="1"/>
  <c r="C119" i="11"/>
  <c r="C117" i="11" s="1"/>
  <c r="BD119" i="11"/>
  <c r="BD117" i="11" s="1"/>
  <c r="AK119" i="11"/>
  <c r="AK117" i="11" s="1"/>
  <c r="X98" i="15"/>
  <c r="X96" i="15" s="1"/>
  <c r="X147" i="18" s="1"/>
  <c r="CO9" i="15"/>
  <c r="EG11" i="7"/>
  <c r="P119" i="11"/>
  <c r="P117" i="11" s="1"/>
  <c r="AH119" i="11"/>
  <c r="AH117" i="11" s="1"/>
  <c r="K119" i="11"/>
  <c r="K117" i="11" s="1"/>
  <c r="U119" i="11"/>
  <c r="U117" i="11" s="1"/>
  <c r="AC119" i="11"/>
  <c r="AC117" i="11" s="1"/>
  <c r="O119" i="11"/>
  <c r="O117" i="11" s="1"/>
  <c r="AW119" i="11"/>
  <c r="AW117" i="11" s="1"/>
  <c r="AA119" i="11"/>
  <c r="AA117" i="11" s="1"/>
  <c r="BN18" i="15"/>
  <c r="DX22" i="7"/>
  <c r="BK18" i="15"/>
  <c r="EF18" i="15" s="1"/>
  <c r="DW22" i="7"/>
  <c r="EA32" i="7"/>
  <c r="BN14" i="15"/>
  <c r="EG14" i="15" s="1"/>
  <c r="DX15" i="7"/>
  <c r="AB119" i="11"/>
  <c r="AB117" i="11" s="1"/>
  <c r="AD98" i="15"/>
  <c r="AD96" i="15" s="1"/>
  <c r="AD147" i="18" s="1"/>
  <c r="AD149" i="18" s="1"/>
  <c r="S119" i="11"/>
  <c r="S117" i="11" s="1"/>
  <c r="AQ119" i="11"/>
  <c r="AQ117" i="11" s="1"/>
  <c r="AT119" i="11"/>
  <c r="AT117" i="11" s="1"/>
  <c r="AU119" i="11"/>
  <c r="AU117" i="11" s="1"/>
  <c r="AO119" i="11"/>
  <c r="AO117" i="11" s="1"/>
  <c r="AF98" i="15"/>
  <c r="AF96" i="15" s="1"/>
  <c r="AF147" i="18" s="1"/>
  <c r="AF149" i="18" s="1"/>
  <c r="P98" i="15"/>
  <c r="P96" i="15" s="1"/>
  <c r="P147" i="18" s="1"/>
  <c r="Q98" i="15"/>
  <c r="Q96" i="15" s="1"/>
  <c r="Q147" i="18" s="1"/>
  <c r="BI119" i="11"/>
  <c r="BI117" i="11" s="1"/>
  <c r="BZ18" i="15"/>
  <c r="BZ27" i="18" s="1"/>
  <c r="EB22" i="7"/>
  <c r="BW18" i="15"/>
  <c r="EA22" i="7"/>
  <c r="AN119" i="11"/>
  <c r="AN117" i="11" s="1"/>
  <c r="W98" i="15"/>
  <c r="W96" i="15" s="1"/>
  <c r="W147" i="18" s="1"/>
  <c r="AE119" i="11"/>
  <c r="AE117" i="11" s="1"/>
  <c r="BF119" i="11"/>
  <c r="BF117" i="11" s="1"/>
  <c r="BG119" i="11"/>
  <c r="BG117" i="11" s="1"/>
  <c r="BA119" i="11"/>
  <c r="BA117" i="11" s="1"/>
  <c r="W119" i="11"/>
  <c r="W117" i="11" s="1"/>
  <c r="AB98" i="15"/>
  <c r="AB96" i="15" s="1"/>
  <c r="AB147" i="18" s="1"/>
  <c r="AB149" i="18" s="1"/>
  <c r="AC98" i="15"/>
  <c r="AC96" i="15" s="1"/>
  <c r="AC147" i="18" s="1"/>
  <c r="AC149" i="18" s="1"/>
  <c r="CL18" i="15"/>
  <c r="EO18" i="15" s="1"/>
  <c r="EF22" i="7"/>
  <c r="CI18" i="15"/>
  <c r="EN18" i="15" s="1"/>
  <c r="EE22" i="7"/>
  <c r="ED32" i="7"/>
  <c r="BZ14" i="15"/>
  <c r="BZ12" i="15" s="1"/>
  <c r="BZ17" i="18" s="1"/>
  <c r="EK17" i="18" s="1"/>
  <c r="EB15" i="7"/>
  <c r="N119" i="11"/>
  <c r="N117" i="11" s="1"/>
  <c r="BM119" i="11"/>
  <c r="BM117" i="11" s="1"/>
  <c r="O98" i="15"/>
  <c r="O96" i="15" s="1"/>
  <c r="O147" i="18" s="1"/>
  <c r="G119" i="11"/>
  <c r="G117" i="11" s="1"/>
  <c r="H119" i="11"/>
  <c r="H117" i="11" s="1"/>
  <c r="V98" i="15"/>
  <c r="V96" i="15" s="1"/>
  <c r="V147" i="18" s="1"/>
  <c r="EC32" i="7"/>
  <c r="CL14" i="15"/>
  <c r="EF15" i="7"/>
  <c r="BQ14" i="15"/>
  <c r="DY15" i="7"/>
  <c r="AZ119" i="11"/>
  <c r="AZ117" i="11" s="1"/>
  <c r="AG98" i="15"/>
  <c r="AG96" i="15" s="1"/>
  <c r="AG147" i="18" s="1"/>
  <c r="AG149" i="18" s="1"/>
  <c r="CC14" i="15"/>
  <c r="EC15" i="7"/>
  <c r="BK14" i="15"/>
  <c r="DW15" i="7"/>
  <c r="CF14" i="15"/>
  <c r="ED15" i="7"/>
  <c r="CF9" i="15"/>
  <c r="ED11" i="7"/>
  <c r="BL119" i="11"/>
  <c r="BL117" i="11" s="1"/>
  <c r="BJ119" i="11"/>
  <c r="BJ117" i="11" s="1"/>
  <c r="S98" i="15"/>
  <c r="S96" i="15" s="1"/>
  <c r="S147" i="18" s="1"/>
  <c r="L119" i="11"/>
  <c r="L117" i="11" s="1"/>
  <c r="AI98" i="15"/>
  <c r="AI96" i="15" s="1"/>
  <c r="AI147" i="18" s="1"/>
  <c r="AI149" i="18" s="1"/>
  <c r="N98" i="15"/>
  <c r="N96" i="15" s="1"/>
  <c r="N147" i="18" s="1"/>
  <c r="U98" i="15"/>
  <c r="U96" i="15" s="1"/>
  <c r="U147" i="18" s="1"/>
  <c r="AA98" i="15"/>
  <c r="AA96" i="15" s="1"/>
  <c r="AA147" i="18" s="1"/>
  <c r="AA149" i="18" s="1"/>
  <c r="T119" i="11"/>
  <c r="T117" i="11" s="1"/>
  <c r="AH98" i="15"/>
  <c r="AH96" i="15" s="1"/>
  <c r="AH147" i="18" s="1"/>
  <c r="AH149" i="18" s="1"/>
  <c r="BT18" i="15"/>
  <c r="DZ22" i="7"/>
  <c r="BQ18" i="15"/>
  <c r="DY22" i="7"/>
  <c r="CY25" i="11"/>
  <c r="DA25" i="11"/>
  <c r="DZ32" i="7"/>
  <c r="EF32" i="7"/>
  <c r="BT14" i="15"/>
  <c r="DZ15" i="7"/>
  <c r="BT9" i="15"/>
  <c r="EI9" i="15" s="1"/>
  <c r="DZ11" i="7"/>
  <c r="BC119" i="11"/>
  <c r="BC117" i="11" s="1"/>
  <c r="AS43" i="18"/>
  <c r="BN9" i="15"/>
  <c r="EG9" i="15" s="1"/>
  <c r="DX11" i="7"/>
  <c r="BE43" i="18"/>
  <c r="AI43" i="18"/>
  <c r="AL43" i="18"/>
  <c r="BK9" i="15"/>
  <c r="DW11" i="7"/>
  <c r="CO14" i="15"/>
  <c r="EG15" i="7"/>
  <c r="BW14" i="15"/>
  <c r="EA15" i="7"/>
  <c r="CR14" i="15"/>
  <c r="EH15" i="7"/>
  <c r="CR9" i="15"/>
  <c r="EH11" i="7"/>
  <c r="M98" i="15"/>
  <c r="M96" i="15" s="1"/>
  <c r="M147" i="18" s="1"/>
  <c r="AE98" i="15"/>
  <c r="AE96" i="15" s="1"/>
  <c r="AE147" i="18" s="1"/>
  <c r="AE149" i="18" s="1"/>
  <c r="X119" i="11"/>
  <c r="X117" i="11" s="1"/>
  <c r="Z119" i="11"/>
  <c r="Z117" i="11" s="1"/>
  <c r="Z98" i="15"/>
  <c r="Z96" i="15" s="1"/>
  <c r="Z147" i="18" s="1"/>
  <c r="F119" i="11"/>
  <c r="F117" i="11" s="1"/>
  <c r="AF119" i="11"/>
  <c r="AF117" i="11" s="1"/>
  <c r="M119" i="11"/>
  <c r="M117" i="11" s="1"/>
  <c r="AI119" i="11"/>
  <c r="AI117" i="11" s="1"/>
  <c r="CF18" i="15"/>
  <c r="ED22" i="7"/>
  <c r="CC18" i="15"/>
  <c r="EC22" i="7"/>
  <c r="BJ29" i="11"/>
  <c r="DD75" i="11"/>
  <c r="EG53" i="15"/>
  <c r="BE29" i="11"/>
  <c r="DH4" i="11"/>
  <c r="AG121" i="11"/>
  <c r="CZ122" i="11"/>
  <c r="CZ74" i="11"/>
  <c r="CY72" i="11"/>
  <c r="AV11" i="11"/>
  <c r="DE11" i="11" s="1"/>
  <c r="DE13" i="11"/>
  <c r="BB141" i="11"/>
  <c r="DG141" i="11" s="1"/>
  <c r="DG143" i="11"/>
  <c r="FE87" i="15"/>
  <c r="AJ11" i="11"/>
  <c r="DA11" i="11" s="1"/>
  <c r="DA13" i="11"/>
  <c r="AM141" i="11"/>
  <c r="DB141" i="11" s="1"/>
  <c r="DB143" i="11"/>
  <c r="DA9" i="11"/>
  <c r="AG136" i="11"/>
  <c r="CZ136" i="11" s="1"/>
  <c r="CZ138" i="11"/>
  <c r="DD74" i="11"/>
  <c r="DG74" i="11"/>
  <c r="DF72" i="11"/>
  <c r="CZ16" i="11"/>
  <c r="DB9" i="11"/>
  <c r="BB11" i="11"/>
  <c r="DG11" i="11" s="1"/>
  <c r="DG13" i="11"/>
  <c r="DG73" i="11"/>
  <c r="DH76" i="11"/>
  <c r="AM15" i="11"/>
  <c r="DB15" i="11" s="1"/>
  <c r="DB21" i="11"/>
  <c r="AJ141" i="11"/>
  <c r="DA141" i="11" s="1"/>
  <c r="DA143" i="11"/>
  <c r="AD136" i="11"/>
  <c r="CY136" i="11" s="1"/>
  <c r="CY138" i="11"/>
  <c r="BE11" i="11"/>
  <c r="DH11" i="11" s="1"/>
  <c r="DH13" i="11"/>
  <c r="AP11" i="11"/>
  <c r="DC11" i="11" s="1"/>
  <c r="DC13" i="11"/>
  <c r="BK141" i="11"/>
  <c r="DJ141" i="11" s="1"/>
  <c r="DJ143" i="11"/>
  <c r="BE136" i="11"/>
  <c r="DH136" i="11" s="1"/>
  <c r="DH138" i="11"/>
  <c r="CF121" i="11"/>
  <c r="DQ122" i="11"/>
  <c r="AP141" i="11"/>
  <c r="DC141" i="11" s="1"/>
  <c r="DC143" i="11"/>
  <c r="FF87" i="15"/>
  <c r="AG15" i="11"/>
  <c r="CZ15" i="11" s="1"/>
  <c r="CZ21" i="11"/>
  <c r="DH16" i="11"/>
  <c r="AS11" i="11"/>
  <c r="DD11" i="11" s="1"/>
  <c r="DD13" i="11"/>
  <c r="AY141" i="11"/>
  <c r="DF141" i="11" s="1"/>
  <c r="DF143" i="11"/>
  <c r="CI121" i="11"/>
  <c r="DR122" i="11"/>
  <c r="CY4" i="11"/>
  <c r="BH141" i="11"/>
  <c r="DI141" i="11" s="1"/>
  <c r="DI143" i="11"/>
  <c r="BB136" i="11"/>
  <c r="DG136" i="11" s="1"/>
  <c r="DG138" i="11"/>
  <c r="DC75" i="11"/>
  <c r="DA16" i="11"/>
  <c r="AM136" i="11"/>
  <c r="DB136" i="11" s="1"/>
  <c r="DB138" i="11"/>
  <c r="BN121" i="11"/>
  <c r="DK122" i="11"/>
  <c r="FG87" i="15"/>
  <c r="AP40" i="11"/>
  <c r="DC46" i="11"/>
  <c r="DF9" i="11"/>
  <c r="DI9" i="11"/>
  <c r="CY16" i="11"/>
  <c r="BZ121" i="11"/>
  <c r="DO122" i="11"/>
  <c r="CY74" i="11"/>
  <c r="DJ75" i="11"/>
  <c r="BE15" i="11"/>
  <c r="DH15" i="11" s="1"/>
  <c r="DH21" i="11"/>
  <c r="AD11" i="11"/>
  <c r="CY11" i="11" s="1"/>
  <c r="CY13" i="11"/>
  <c r="CY73" i="11"/>
  <c r="DJ74" i="11"/>
  <c r="CZ76" i="11"/>
  <c r="CY9" i="11"/>
  <c r="DH75" i="11"/>
  <c r="AJ15" i="11"/>
  <c r="DA15" i="11" s="1"/>
  <c r="DA21" i="11"/>
  <c r="BK136" i="11"/>
  <c r="DJ136" i="11" s="1"/>
  <c r="DJ138" i="11"/>
  <c r="AG11" i="11"/>
  <c r="CZ11" i="11" s="1"/>
  <c r="CZ13" i="11"/>
  <c r="AV136" i="11"/>
  <c r="DE136" i="11" s="1"/>
  <c r="DE138" i="11"/>
  <c r="AD15" i="11"/>
  <c r="CY15" i="11" s="1"/>
  <c r="CY21" i="11"/>
  <c r="BH121" i="11"/>
  <c r="DI122" i="11"/>
  <c r="AJ40" i="11"/>
  <c r="DA46" i="11"/>
  <c r="AG141" i="11"/>
  <c r="CZ141" i="11" s="1"/>
  <c r="CZ143" i="11"/>
  <c r="DC16" i="11"/>
  <c r="DG4" i="11"/>
  <c r="AJ136" i="11"/>
  <c r="DA136" i="11" s="1"/>
  <c r="DA138" i="11"/>
  <c r="BK121" i="11"/>
  <c r="DJ122" i="11"/>
  <c r="DB41" i="11"/>
  <c r="AM11" i="11"/>
  <c r="DB11" i="11" s="1"/>
  <c r="DB13" i="11"/>
  <c r="DD4" i="11"/>
  <c r="AS136" i="11"/>
  <c r="DD136" i="11" s="1"/>
  <c r="DD138" i="11"/>
  <c r="AV40" i="11"/>
  <c r="DE46" i="11"/>
  <c r="CZ4" i="11"/>
  <c r="BK15" i="11"/>
  <c r="DJ15" i="11" s="1"/>
  <c r="DJ21" i="11"/>
  <c r="CC121" i="11"/>
  <c r="DP122" i="11"/>
  <c r="CZ41" i="11"/>
  <c r="BH15" i="11"/>
  <c r="DI15" i="11" s="1"/>
  <c r="DI21" i="11"/>
  <c r="AP121" i="11"/>
  <c r="DC122" i="11"/>
  <c r="AS29" i="11"/>
  <c r="DD16" i="11"/>
  <c r="AY40" i="11"/>
  <c r="DF46" i="11"/>
  <c r="BB15" i="11"/>
  <c r="DG15" i="11" s="1"/>
  <c r="DG21" i="11"/>
  <c r="DI74" i="11"/>
  <c r="CY76" i="11"/>
  <c r="DH72" i="11"/>
  <c r="BH40" i="11"/>
  <c r="DI46" i="11"/>
  <c r="BE141" i="11"/>
  <c r="DH141" i="11" s="1"/>
  <c r="DH143" i="11"/>
  <c r="DI73" i="11"/>
  <c r="CY75" i="11"/>
  <c r="DJ76" i="11"/>
  <c r="AS40" i="11"/>
  <c r="DD46" i="11"/>
  <c r="BH11" i="11"/>
  <c r="DI11" i="11" s="1"/>
  <c r="DI13" i="11"/>
  <c r="AY136" i="11"/>
  <c r="DF136" i="11" s="1"/>
  <c r="DF138" i="11"/>
  <c r="DG122" i="11"/>
  <c r="DB75" i="11"/>
  <c r="AP15" i="11"/>
  <c r="DC15" i="11" s="1"/>
  <c r="DC21" i="11"/>
  <c r="H29" i="11"/>
  <c r="DG9" i="11"/>
  <c r="BH136" i="11"/>
  <c r="DI136" i="11" s="1"/>
  <c r="DI138" i="11"/>
  <c r="DB74" i="11"/>
  <c r="DI72" i="11"/>
  <c r="AM40" i="11"/>
  <c r="DB46" i="11"/>
  <c r="DJ41" i="11"/>
  <c r="DD9" i="11"/>
  <c r="BT121" i="11"/>
  <c r="DM122" i="11"/>
  <c r="AG40" i="11"/>
  <c r="CZ46" i="11"/>
  <c r="AS15" i="11"/>
  <c r="DD15" i="11" s="1"/>
  <c r="DD21" i="11"/>
  <c r="BW121" i="11"/>
  <c r="DN122" i="11"/>
  <c r="AJ121" i="11"/>
  <c r="DA122" i="11"/>
  <c r="CY41" i="11"/>
  <c r="DJ4" i="11"/>
  <c r="AM121" i="11"/>
  <c r="DB122" i="11"/>
  <c r="BK40" i="11"/>
  <c r="DJ46" i="11"/>
  <c r="AY11" i="11"/>
  <c r="DF11" i="11" s="1"/>
  <c r="DF13" i="11"/>
  <c r="BE121" i="11"/>
  <c r="DH122" i="11"/>
  <c r="DH74" i="11"/>
  <c r="DG72" i="11"/>
  <c r="BE40" i="11"/>
  <c r="DH46" i="11"/>
  <c r="AP29" i="11"/>
  <c r="DC4" i="11"/>
  <c r="AY121" i="11"/>
  <c r="DF122" i="11"/>
  <c r="AV141" i="11"/>
  <c r="DE141" i="11" s="1"/>
  <c r="DE143" i="11"/>
  <c r="AP136" i="11"/>
  <c r="DC136" i="11" s="1"/>
  <c r="DC138" i="11"/>
  <c r="BQ121" i="11"/>
  <c r="DL122" i="11"/>
  <c r="DD73" i="11"/>
  <c r="DE76" i="11"/>
  <c r="AD40" i="11"/>
  <c r="CY46" i="11"/>
  <c r="DG41" i="11"/>
  <c r="DJ9" i="11"/>
  <c r="DE4" i="11"/>
  <c r="DE75" i="11"/>
  <c r="DA72" i="11"/>
  <c r="EO53" i="15"/>
  <c r="DE16" i="11"/>
  <c r="AV121" i="11"/>
  <c r="DE122" i="11"/>
  <c r="DB73" i="11"/>
  <c r="DC76" i="11"/>
  <c r="AY15" i="11"/>
  <c r="DF15" i="11" s="1"/>
  <c r="DF21" i="11"/>
  <c r="AS141" i="11"/>
  <c r="DD141" i="11" s="1"/>
  <c r="DD143" i="11"/>
  <c r="DC9" i="11"/>
  <c r="AD141" i="11"/>
  <c r="CY141" i="11" s="1"/>
  <c r="CY143" i="11"/>
  <c r="DF75" i="11"/>
  <c r="DA4" i="11"/>
  <c r="AS121" i="11"/>
  <c r="DD122" i="11"/>
  <c r="CY122" i="11"/>
  <c r="BB40" i="11"/>
  <c r="DG46" i="11"/>
  <c r="AM29" i="11"/>
  <c r="DB4" i="11"/>
  <c r="DE9" i="11"/>
  <c r="BK11" i="11"/>
  <c r="DJ11" i="11" s="1"/>
  <c r="DJ13" i="11"/>
  <c r="DB16" i="11"/>
  <c r="AV15" i="11"/>
  <c r="DE15" i="11" s="1"/>
  <c r="DE21" i="11"/>
  <c r="FE84" i="15"/>
  <c r="CF113" i="18"/>
  <c r="AJ37" i="14"/>
  <c r="BJ40" i="14"/>
  <c r="BJ18" i="14"/>
  <c r="X20" i="14"/>
  <c r="X21" i="14" s="1"/>
  <c r="CF11" i="14"/>
  <c r="BK14" i="14"/>
  <c r="AX20" i="14"/>
  <c r="AX21" i="14" s="1"/>
  <c r="C20" i="14"/>
  <c r="C21" i="14" s="1"/>
  <c r="AY31" i="14"/>
  <c r="CI14" i="14"/>
  <c r="BX31" i="14"/>
  <c r="CA37" i="14"/>
  <c r="AF20" i="14"/>
  <c r="CD40" i="14"/>
  <c r="AJ31" i="14"/>
  <c r="X18" i="14"/>
  <c r="AF23" i="14"/>
  <c r="AT11" i="14"/>
  <c r="BK66" i="18"/>
  <c r="EF9" i="14"/>
  <c r="FG30" i="14"/>
  <c r="CC148" i="18"/>
  <c r="EL26" i="14"/>
  <c r="CL148" i="18"/>
  <c r="EK26" i="14"/>
  <c r="EO26" i="14"/>
  <c r="FF17" i="14"/>
  <c r="FF3" i="14"/>
  <c r="AX23" i="14"/>
  <c r="O37" i="14"/>
  <c r="AY40" i="14"/>
  <c r="CI20" i="14"/>
  <c r="CI21" i="14" s="1"/>
  <c r="CJ14" i="14"/>
  <c r="BX20" i="14"/>
  <c r="BX104" i="18" s="1"/>
  <c r="CA40" i="14"/>
  <c r="CA18" i="14"/>
  <c r="CB40" i="14"/>
  <c r="BW66" i="18"/>
  <c r="EJ9" i="14"/>
  <c r="FG39" i="14"/>
  <c r="FG17" i="14"/>
  <c r="FH36" i="14"/>
  <c r="O31" i="14"/>
  <c r="BX37" i="14"/>
  <c r="AU40" i="14"/>
  <c r="CF37" i="14"/>
  <c r="EP9" i="14"/>
  <c r="CT37" i="14"/>
  <c r="AJ20" i="14"/>
  <c r="AU14" i="14"/>
  <c r="BJ11" i="14"/>
  <c r="O23" i="14"/>
  <c r="AY18" i="14"/>
  <c r="CI23" i="14"/>
  <c r="BX11" i="14"/>
  <c r="AH20" i="14"/>
  <c r="CA11" i="14"/>
  <c r="AH37" i="14"/>
  <c r="CB23" i="14"/>
  <c r="AF37" i="14"/>
  <c r="FE36" i="14"/>
  <c r="EG9" i="14"/>
  <c r="CF66" i="18"/>
  <c r="EM9" i="14"/>
  <c r="CB37" i="14"/>
  <c r="EO9" i="14"/>
  <c r="EK9" i="14"/>
  <c r="X40" i="14"/>
  <c r="EL9" i="14"/>
  <c r="X14" i="14"/>
  <c r="CF20" i="14"/>
  <c r="CF21" i="14" s="1"/>
  <c r="BJ31" i="14"/>
  <c r="AY37" i="14"/>
  <c r="CT40" i="14"/>
  <c r="C37" i="14"/>
  <c r="CT18" i="14"/>
  <c r="AJ14" i="14"/>
  <c r="CT31" i="14"/>
  <c r="K23" i="14"/>
  <c r="AU11" i="14"/>
  <c r="BJ20" i="14"/>
  <c r="CT11" i="14"/>
  <c r="O18" i="14"/>
  <c r="AY11" i="14"/>
  <c r="BX18" i="14"/>
  <c r="AT23" i="14"/>
  <c r="AT33" i="14" s="1"/>
  <c r="CN31" i="14"/>
  <c r="CN40" i="14"/>
  <c r="AT37" i="14"/>
  <c r="BT31" i="14"/>
  <c r="BT18" i="14"/>
  <c r="AR23" i="14"/>
  <c r="EF26" i="14"/>
  <c r="EQ9" i="14"/>
  <c r="FI17" i="14"/>
  <c r="FE5" i="14"/>
  <c r="BT148" i="18"/>
  <c r="EI148" i="18" s="1"/>
  <c r="EI26" i="14"/>
  <c r="BT40" i="14"/>
  <c r="AJ23" i="14"/>
  <c r="BJ23" i="14"/>
  <c r="AF14" i="14"/>
  <c r="CF31" i="14"/>
  <c r="AR14" i="14"/>
  <c r="CB18" i="14"/>
  <c r="CF148" i="18"/>
  <c r="EM148" i="18" s="1"/>
  <c r="EM26" i="14"/>
  <c r="FG36" i="14"/>
  <c r="FG5" i="14"/>
  <c r="FF6" i="14"/>
  <c r="FF29" i="14"/>
  <c r="FF10" i="14"/>
  <c r="BT66" i="18"/>
  <c r="EI9" i="14"/>
  <c r="BQ148" i="18"/>
  <c r="EH26" i="14"/>
  <c r="CR148" i="18"/>
  <c r="EQ148" i="18" s="1"/>
  <c r="EQ26" i="14"/>
  <c r="BN148" i="18"/>
  <c r="EG148" i="18" s="1"/>
  <c r="EG26" i="14"/>
  <c r="FF30" i="14"/>
  <c r="CI66" i="18"/>
  <c r="EN9" i="14"/>
  <c r="FI36" i="14"/>
  <c r="CO148" i="18"/>
  <c r="EP26" i="14"/>
  <c r="FE6" i="14"/>
  <c r="FE17" i="14"/>
  <c r="FE30" i="14"/>
  <c r="FF36" i="14"/>
  <c r="FF27" i="14"/>
  <c r="FF5" i="14"/>
  <c r="EK53" i="15"/>
  <c r="CN14" i="14"/>
  <c r="CN18" i="14"/>
  <c r="EP53" i="15"/>
  <c r="AJ40" i="14"/>
  <c r="BX14" i="14"/>
  <c r="AJ18" i="14"/>
  <c r="EI85" i="15"/>
  <c r="BX23" i="14"/>
  <c r="EN53" i="15"/>
  <c r="BX40" i="14"/>
  <c r="BP11" i="14"/>
  <c r="V40" i="14"/>
  <c r="AB29" i="11"/>
  <c r="BC29" i="11"/>
  <c r="I29" i="11"/>
  <c r="BP40" i="14"/>
  <c r="BH37" i="14"/>
  <c r="AK29" i="11"/>
  <c r="G29" i="11"/>
  <c r="L29" i="11"/>
  <c r="AL29" i="11"/>
  <c r="C29" i="11"/>
  <c r="EM85" i="15"/>
  <c r="EN85" i="15"/>
  <c r="AR20" i="14"/>
  <c r="BH29" i="11"/>
  <c r="AR40" i="14"/>
  <c r="EI53" i="15"/>
  <c r="AR37" i="14"/>
  <c r="CF18" i="14"/>
  <c r="BM29" i="11"/>
  <c r="U29" i="11"/>
  <c r="BI29" i="11"/>
  <c r="AD74" i="18"/>
  <c r="AR29" i="11"/>
  <c r="V29" i="11"/>
  <c r="BD29" i="11"/>
  <c r="V37" i="14"/>
  <c r="EH53" i="15"/>
  <c r="BA29" i="11"/>
  <c r="AQ29" i="11"/>
  <c r="EH85" i="15"/>
  <c r="EF53" i="15"/>
  <c r="EQ53" i="15"/>
  <c r="EF85" i="15"/>
  <c r="EQ85" i="15"/>
  <c r="AX27" i="15"/>
  <c r="AX47" i="15" s="1"/>
  <c r="AX45" i="15" s="1"/>
  <c r="AX80" i="18" s="1"/>
  <c r="AX12" i="18"/>
  <c r="AX43" i="18" s="1"/>
  <c r="AQ56" i="11"/>
  <c r="AQ51" i="11"/>
  <c r="X46" i="12"/>
  <c r="X80" i="11"/>
  <c r="K153" i="11"/>
  <c r="K151" i="11" s="1"/>
  <c r="K124" i="12"/>
  <c r="K122" i="12" s="1"/>
  <c r="AK153" i="11"/>
  <c r="AK151" i="11" s="1"/>
  <c r="AK124" i="12"/>
  <c r="AK122" i="12" s="1"/>
  <c r="AG18" i="14"/>
  <c r="AG66" i="18"/>
  <c r="V31" i="14"/>
  <c r="V148" i="18"/>
  <c r="CD27" i="15"/>
  <c r="CD47" i="15" s="1"/>
  <c r="CD45" i="15" s="1"/>
  <c r="CD80" i="18" s="1"/>
  <c r="CD12" i="18"/>
  <c r="CD43" i="18" s="1"/>
  <c r="AV27" i="15"/>
  <c r="AV47" i="15" s="1"/>
  <c r="AV45" i="15" s="1"/>
  <c r="AV80" i="18" s="1"/>
  <c r="AV12" i="18"/>
  <c r="AV43" i="18" s="1"/>
  <c r="V38" i="12"/>
  <c r="U38" i="11"/>
  <c r="U36" i="11" s="1"/>
  <c r="BI38" i="12"/>
  <c r="BH38" i="11"/>
  <c r="BJ38" i="12"/>
  <c r="BI38" i="11"/>
  <c r="BI36" i="11" s="1"/>
  <c r="R38" i="12"/>
  <c r="Q38" i="11"/>
  <c r="Q36" i="11" s="1"/>
  <c r="G38" i="12"/>
  <c r="F38" i="11"/>
  <c r="F36" i="11" s="1"/>
  <c r="AF38" i="12"/>
  <c r="AE38" i="11"/>
  <c r="AE36" i="11" s="1"/>
  <c r="AU38" i="12"/>
  <c r="AT38" i="11"/>
  <c r="AT36" i="11" s="1"/>
  <c r="U56" i="11"/>
  <c r="U51" i="11"/>
  <c r="E38" i="12"/>
  <c r="D38" i="11"/>
  <c r="D36" i="11" s="1"/>
  <c r="C56" i="11"/>
  <c r="C51" i="11"/>
  <c r="P38" i="12"/>
  <c r="O38" i="11"/>
  <c r="O36" i="11" s="1"/>
  <c r="AC38" i="12"/>
  <c r="AB38" i="11"/>
  <c r="AB36" i="11" s="1"/>
  <c r="AU56" i="11"/>
  <c r="AU51" i="11"/>
  <c r="AF56" i="11"/>
  <c r="AF51" i="11"/>
  <c r="AJ56" i="11"/>
  <c r="AJ51" i="11"/>
  <c r="Q56" i="11"/>
  <c r="Q51" i="11"/>
  <c r="F56" i="11"/>
  <c r="F51" i="11"/>
  <c r="Z31" i="14"/>
  <c r="Z148" i="18"/>
  <c r="AE31" i="14"/>
  <c r="AE148" i="18"/>
  <c r="AO31" i="14"/>
  <c r="AO66" i="18"/>
  <c r="AP74" i="18" s="1"/>
  <c r="F37" i="14"/>
  <c r="F66" i="18"/>
  <c r="AW40" i="14"/>
  <c r="AW66" i="18"/>
  <c r="BH46" i="12"/>
  <c r="BH80" i="11"/>
  <c r="AU153" i="11"/>
  <c r="AU151" i="11" s="1"/>
  <c r="AU124" i="12"/>
  <c r="AU122" i="12" s="1"/>
  <c r="BQ40" i="14"/>
  <c r="BQ66" i="18"/>
  <c r="BF31" i="14"/>
  <c r="BF148" i="18"/>
  <c r="AZ46" i="12"/>
  <c r="AZ80" i="11"/>
  <c r="M46" i="12"/>
  <c r="M80" i="11"/>
  <c r="Q46" i="12"/>
  <c r="Q80" i="11"/>
  <c r="AG46" i="12"/>
  <c r="AG80" i="11"/>
  <c r="AX46" i="12"/>
  <c r="AX80" i="11"/>
  <c r="AG153" i="11"/>
  <c r="AG124" i="12"/>
  <c r="AL56" i="11"/>
  <c r="AL51" i="11"/>
  <c r="BD31" i="14"/>
  <c r="BD148" i="18"/>
  <c r="AX56" i="11"/>
  <c r="AX51" i="11"/>
  <c r="BP31" i="14"/>
  <c r="X153" i="11"/>
  <c r="X151" i="11" s="1"/>
  <c r="X124" i="12"/>
  <c r="X122" i="12" s="1"/>
  <c r="AY46" i="12"/>
  <c r="AY80" i="11"/>
  <c r="C153" i="11"/>
  <c r="C151" i="11" s="1"/>
  <c r="C124" i="12"/>
  <c r="C122" i="12" s="1"/>
  <c r="AB153" i="11"/>
  <c r="AB151" i="11" s="1"/>
  <c r="AB124" i="12"/>
  <c r="AB122" i="12" s="1"/>
  <c r="BM153" i="11"/>
  <c r="BM151" i="11" s="1"/>
  <c r="BM124" i="12"/>
  <c r="BM122" i="12" s="1"/>
  <c r="H153" i="11"/>
  <c r="H151" i="11" s="1"/>
  <c r="H124" i="12"/>
  <c r="H122" i="12" s="1"/>
  <c r="AN18" i="14"/>
  <c r="AN66" i="18"/>
  <c r="O14" i="14"/>
  <c r="N66" i="18"/>
  <c r="N74" i="18" s="1"/>
  <c r="Y32" i="18"/>
  <c r="AT32" i="18"/>
  <c r="BG32" i="18"/>
  <c r="AO32" i="18"/>
  <c r="BL32" i="18"/>
  <c r="BT30" i="15"/>
  <c r="EI32" i="15"/>
  <c r="CL30" i="15"/>
  <c r="EK32" i="15"/>
  <c r="EO32" i="15"/>
  <c r="Q34" i="11"/>
  <c r="Q3" i="11"/>
  <c r="Q28" i="11" s="1"/>
  <c r="Q48" i="11" s="1"/>
  <c r="E34" i="11"/>
  <c r="E3" i="11"/>
  <c r="E28" i="11" s="1"/>
  <c r="E48" i="11" s="1"/>
  <c r="BA34" i="11"/>
  <c r="BA3" i="11"/>
  <c r="BA28" i="11" s="1"/>
  <c r="BA48" i="11" s="1"/>
  <c r="J34" i="11"/>
  <c r="J3" i="11"/>
  <c r="J28" i="11" s="1"/>
  <c r="J48" i="11" s="1"/>
  <c r="AP34" i="11"/>
  <c r="AP3" i="11"/>
  <c r="EP85" i="15"/>
  <c r="S34" i="11"/>
  <c r="S3" i="11"/>
  <c r="S28" i="11" s="1"/>
  <c r="S48" i="11" s="1"/>
  <c r="AY34" i="11"/>
  <c r="AY3" i="11"/>
  <c r="T34" i="11"/>
  <c r="T3" i="11"/>
  <c r="T28" i="11" s="1"/>
  <c r="T48" i="11" s="1"/>
  <c r="BH34" i="11"/>
  <c r="BH3" i="11"/>
  <c r="EL119" i="15"/>
  <c r="CC117" i="15"/>
  <c r="L34" i="11"/>
  <c r="L3" i="11"/>
  <c r="L28" i="11" s="1"/>
  <c r="L48" i="11" s="1"/>
  <c r="F29" i="11"/>
  <c r="J29" i="11"/>
  <c r="P34" i="11"/>
  <c r="P3" i="11"/>
  <c r="P28" i="11" s="1"/>
  <c r="P48" i="11" s="1"/>
  <c r="AV34" i="11"/>
  <c r="AV3" i="11"/>
  <c r="EO85" i="15"/>
  <c r="EK85" i="15"/>
  <c r="Y29" i="11"/>
  <c r="X29" i="11"/>
  <c r="AZ27" i="15"/>
  <c r="AZ47" i="15" s="1"/>
  <c r="AZ45" i="15" s="1"/>
  <c r="AZ80" i="18" s="1"/>
  <c r="AZ12" i="18"/>
  <c r="AZ43" i="18" s="1"/>
  <c r="L27" i="15"/>
  <c r="L47" i="15" s="1"/>
  <c r="L45" i="15" s="1"/>
  <c r="L12" i="18"/>
  <c r="L43" i="18" s="1"/>
  <c r="AI38" i="11"/>
  <c r="AI36" i="11" s="1"/>
  <c r="Y38" i="12"/>
  <c r="X38" i="11"/>
  <c r="X36" i="11" s="1"/>
  <c r="K38" i="12"/>
  <c r="J38" i="11"/>
  <c r="J36" i="11" s="1"/>
  <c r="O38" i="12"/>
  <c r="N38" i="11"/>
  <c r="N36" i="11" s="1"/>
  <c r="BF56" i="11"/>
  <c r="BF51" i="11"/>
  <c r="AK56" i="11"/>
  <c r="AK51" i="11"/>
  <c r="BK56" i="11"/>
  <c r="BK51" i="11"/>
  <c r="AN56" i="11"/>
  <c r="AN51" i="11"/>
  <c r="R27" i="15"/>
  <c r="R47" i="15" s="1"/>
  <c r="R45" i="15" s="1"/>
  <c r="R80" i="18" s="1"/>
  <c r="R12" i="18"/>
  <c r="R43" i="18" s="1"/>
  <c r="CG27" i="15"/>
  <c r="CG47" i="15" s="1"/>
  <c r="CG45" i="15" s="1"/>
  <c r="CG80" i="18" s="1"/>
  <c r="CG12" i="18"/>
  <c r="CG43" i="18" s="1"/>
  <c r="AK27" i="15"/>
  <c r="AK47" i="15" s="1"/>
  <c r="AK45" i="15" s="1"/>
  <c r="AK80" i="18" s="1"/>
  <c r="AK12" i="18"/>
  <c r="AK43" i="18" s="1"/>
  <c r="AD27" i="15"/>
  <c r="AD47" i="15" s="1"/>
  <c r="AD45" i="15" s="1"/>
  <c r="AD80" i="18" s="1"/>
  <c r="AD12" i="18"/>
  <c r="AD43" i="18" s="1"/>
  <c r="AE27" i="15"/>
  <c r="AE47" i="15" s="1"/>
  <c r="AE45" i="15" s="1"/>
  <c r="AE12" i="18"/>
  <c r="AE43" i="18" s="1"/>
  <c r="CS27" i="15"/>
  <c r="CS47" i="15" s="1"/>
  <c r="CS45" i="15" s="1"/>
  <c r="CS80" i="18" s="1"/>
  <c r="CS12" i="18"/>
  <c r="CS43" i="18" s="1"/>
  <c r="CQ27" i="15"/>
  <c r="CQ47" i="15" s="1"/>
  <c r="CQ45" i="15" s="1"/>
  <c r="CQ80" i="18" s="1"/>
  <c r="CQ12" i="18"/>
  <c r="CQ43" i="18" s="1"/>
  <c r="CP27" i="15"/>
  <c r="CP47" i="15" s="1"/>
  <c r="CP45" i="15" s="1"/>
  <c r="CP80" i="18" s="1"/>
  <c r="CP12" i="18"/>
  <c r="CP43" i="18" s="1"/>
  <c r="AN27" i="15"/>
  <c r="AN47" i="15" s="1"/>
  <c r="AN45" i="15" s="1"/>
  <c r="AN80" i="18" s="1"/>
  <c r="AN12" i="18"/>
  <c r="BD27" i="15"/>
  <c r="BD47" i="15" s="1"/>
  <c r="BD45" i="15" s="1"/>
  <c r="BD80" i="18" s="1"/>
  <c r="BD12" i="18"/>
  <c r="BD43" i="18" s="1"/>
  <c r="AC27" i="15"/>
  <c r="AC47" i="15" s="1"/>
  <c r="AC45" i="15" s="1"/>
  <c r="AC80" i="18" s="1"/>
  <c r="AC12" i="18"/>
  <c r="AC43" i="18" s="1"/>
  <c r="BH27" i="15"/>
  <c r="BH47" i="15" s="1"/>
  <c r="BH45" i="15" s="1"/>
  <c r="BH80" i="18" s="1"/>
  <c r="BH12" i="18"/>
  <c r="BH43" i="18" s="1"/>
  <c r="AH38" i="12"/>
  <c r="AG38" i="11"/>
  <c r="Z38" i="12"/>
  <c r="Y38" i="11"/>
  <c r="Y36" i="11" s="1"/>
  <c r="U38" i="12"/>
  <c r="T38" i="11"/>
  <c r="T36" i="11" s="1"/>
  <c r="AC38" i="11"/>
  <c r="AC36" i="11" s="1"/>
  <c r="S38" i="12"/>
  <c r="R38" i="11"/>
  <c r="R36" i="11" s="1"/>
  <c r="AL38" i="11"/>
  <c r="AL36" i="11" s="1"/>
  <c r="AA38" i="12"/>
  <c r="Z38" i="11"/>
  <c r="Z36" i="11" s="1"/>
  <c r="AO38" i="11"/>
  <c r="AO36" i="11" s="1"/>
  <c r="AG56" i="11"/>
  <c r="AG51" i="11"/>
  <c r="O56" i="11"/>
  <c r="O51" i="11"/>
  <c r="AB38" i="12"/>
  <c r="AA38" i="11"/>
  <c r="AA36" i="11" s="1"/>
  <c r="AO38" i="12"/>
  <c r="AN38" i="11"/>
  <c r="AN36" i="11" s="1"/>
  <c r="BG56" i="11"/>
  <c r="BG51" i="11"/>
  <c r="AR56" i="11"/>
  <c r="AR51" i="11"/>
  <c r="AV56" i="11"/>
  <c r="AV51" i="11"/>
  <c r="AC56" i="11"/>
  <c r="AC51" i="11"/>
  <c r="R56" i="11"/>
  <c r="R51" i="11"/>
  <c r="AL31" i="14"/>
  <c r="AL148" i="18"/>
  <c r="BA31" i="14"/>
  <c r="BA66" i="18"/>
  <c r="BB74" i="18" s="1"/>
  <c r="R40" i="14"/>
  <c r="R66" i="18"/>
  <c r="BG153" i="11"/>
  <c r="BG151" i="11" s="1"/>
  <c r="BG124" i="12"/>
  <c r="BG122" i="12" s="1"/>
  <c r="CC31" i="14"/>
  <c r="CC66" i="18"/>
  <c r="BR31" i="14"/>
  <c r="BR148" i="18"/>
  <c r="BL46" i="12"/>
  <c r="BL80" i="11"/>
  <c r="K46" i="12"/>
  <c r="K80" i="11"/>
  <c r="AH56" i="11"/>
  <c r="AH51" i="11"/>
  <c r="Y46" i="12"/>
  <c r="Y80" i="11"/>
  <c r="AC46" i="12"/>
  <c r="AC80" i="11"/>
  <c r="AS46" i="12"/>
  <c r="AS80" i="11"/>
  <c r="BJ46" i="12"/>
  <c r="BJ80" i="11"/>
  <c r="BE153" i="11"/>
  <c r="BE124" i="12"/>
  <c r="F46" i="12"/>
  <c r="F80" i="11"/>
  <c r="T20" i="14"/>
  <c r="S153" i="11"/>
  <c r="S151" i="11" s="1"/>
  <c r="S124" i="12"/>
  <c r="S122" i="12" s="1"/>
  <c r="BJ56" i="11"/>
  <c r="BJ51" i="11"/>
  <c r="AJ153" i="11"/>
  <c r="AJ124" i="12"/>
  <c r="N153" i="11"/>
  <c r="N151" i="11" s="1"/>
  <c r="N124" i="12"/>
  <c r="N122" i="12" s="1"/>
  <c r="O153" i="11"/>
  <c r="O151" i="11" s="1"/>
  <c r="O124" i="12"/>
  <c r="O122" i="12" s="1"/>
  <c r="AN153" i="11"/>
  <c r="AN151" i="11" s="1"/>
  <c r="AN124" i="12"/>
  <c r="AN122" i="12" s="1"/>
  <c r="BP20" i="14"/>
  <c r="AR153" i="11"/>
  <c r="AR151" i="11" s="1"/>
  <c r="AR124" i="12"/>
  <c r="AR122" i="12" s="1"/>
  <c r="BK31" i="14"/>
  <c r="BK148" i="18"/>
  <c r="EF148" i="18" s="1"/>
  <c r="BG31" i="14"/>
  <c r="BG148" i="18"/>
  <c r="S23" i="14"/>
  <c r="S33" i="14" s="1"/>
  <c r="S66" i="18"/>
  <c r="AL32" i="18"/>
  <c r="BS32" i="18"/>
  <c r="AG32" i="18"/>
  <c r="CF30" i="15"/>
  <c r="EM32" i="15"/>
  <c r="EH125" i="15"/>
  <c r="BQ123" i="15"/>
  <c r="EH123" i="15" s="1"/>
  <c r="AZ29" i="11"/>
  <c r="AA29" i="11"/>
  <c r="AL34" i="11"/>
  <c r="AL3" i="11"/>
  <c r="AL28" i="11" s="1"/>
  <c r="AL48" i="11" s="1"/>
  <c r="AJ29" i="11"/>
  <c r="EG119" i="15"/>
  <c r="BN117" i="15"/>
  <c r="EG125" i="15"/>
  <c r="BN123" i="15"/>
  <c r="EG123" i="15" s="1"/>
  <c r="F34" i="11"/>
  <c r="F3" i="11"/>
  <c r="F28" i="11" s="1"/>
  <c r="F48" i="11" s="1"/>
  <c r="AG29" i="11"/>
  <c r="G34" i="11"/>
  <c r="G3" i="11"/>
  <c r="G28" i="11" s="1"/>
  <c r="G48" i="11" s="1"/>
  <c r="AM34" i="11"/>
  <c r="AM3" i="11"/>
  <c r="AH29" i="11"/>
  <c r="EM125" i="15"/>
  <c r="CF123" i="15"/>
  <c r="EM123" i="15" s="1"/>
  <c r="Y34" i="11"/>
  <c r="Y3" i="11"/>
  <c r="Y28" i="11" s="1"/>
  <c r="Y48" i="11" s="1"/>
  <c r="AS34" i="11"/>
  <c r="AS3" i="11"/>
  <c r="BL29" i="11"/>
  <c r="AT38" i="12"/>
  <c r="AS38" i="11"/>
  <c r="AX38" i="12"/>
  <c r="AW38" i="11"/>
  <c r="AW36" i="11" s="1"/>
  <c r="AR38" i="11"/>
  <c r="AR36" i="11" s="1"/>
  <c r="BA38" i="11"/>
  <c r="BA36" i="11" s="1"/>
  <c r="AE38" i="12"/>
  <c r="AD38" i="11"/>
  <c r="T38" i="12"/>
  <c r="S38" i="11"/>
  <c r="S36" i="11" s="1"/>
  <c r="I38" i="12"/>
  <c r="H38" i="11"/>
  <c r="H36" i="11" s="1"/>
  <c r="BJ38" i="11"/>
  <c r="BJ36" i="11" s="1"/>
  <c r="AS56" i="11"/>
  <c r="AS51" i="11"/>
  <c r="AA56" i="11"/>
  <c r="AA51" i="11"/>
  <c r="AN38" i="12"/>
  <c r="AM38" i="11"/>
  <c r="D56" i="11"/>
  <c r="D51" i="11"/>
  <c r="BA38" i="12"/>
  <c r="AZ38" i="11"/>
  <c r="AZ36" i="11" s="1"/>
  <c r="G56" i="11"/>
  <c r="G51" i="11"/>
  <c r="BD56" i="11"/>
  <c r="BD51" i="11"/>
  <c r="BH56" i="11"/>
  <c r="BH51" i="11"/>
  <c r="AO56" i="11"/>
  <c r="AO51" i="11"/>
  <c r="AD56" i="11"/>
  <c r="AD51" i="11"/>
  <c r="T31" i="14"/>
  <c r="T148" i="18"/>
  <c r="BM37" i="14"/>
  <c r="BM66" i="18"/>
  <c r="AH153" i="11"/>
  <c r="AH151" i="11" s="1"/>
  <c r="AH124" i="12"/>
  <c r="AH122" i="12" s="1"/>
  <c r="CO18" i="14"/>
  <c r="CO66" i="18"/>
  <c r="CD31" i="14"/>
  <c r="CD148" i="18"/>
  <c r="G46" i="12"/>
  <c r="G80" i="11"/>
  <c r="BJ14" i="14"/>
  <c r="BI66" i="18"/>
  <c r="W46" i="12"/>
  <c r="W80" i="11"/>
  <c r="AK46" i="12"/>
  <c r="AK80" i="11"/>
  <c r="AO46" i="12"/>
  <c r="AO80" i="11"/>
  <c r="BE46" i="12"/>
  <c r="BE80" i="11"/>
  <c r="H46" i="12"/>
  <c r="H80" i="11"/>
  <c r="R46" i="12"/>
  <c r="R80" i="11"/>
  <c r="D153" i="11"/>
  <c r="D151" i="11" s="1"/>
  <c r="D124" i="12"/>
  <c r="D122" i="12" s="1"/>
  <c r="BC31" i="14"/>
  <c r="BC148" i="18"/>
  <c r="J46" i="12"/>
  <c r="J80" i="11"/>
  <c r="BH153" i="11"/>
  <c r="BH124" i="12"/>
  <c r="Z153" i="11"/>
  <c r="Z151" i="11" s="1"/>
  <c r="Z124" i="12"/>
  <c r="Z122" i="12" s="1"/>
  <c r="AA153" i="11"/>
  <c r="AA151" i="11" s="1"/>
  <c r="AA124" i="12"/>
  <c r="AA122" i="12" s="1"/>
  <c r="AZ153" i="11"/>
  <c r="AZ151" i="11" s="1"/>
  <c r="AZ124" i="12"/>
  <c r="AZ122" i="12" s="1"/>
  <c r="AF153" i="11"/>
  <c r="AF151" i="11" s="1"/>
  <c r="AF124" i="12"/>
  <c r="AF122" i="12" s="1"/>
  <c r="F153" i="11"/>
  <c r="F151" i="11" s="1"/>
  <c r="F124" i="12"/>
  <c r="F122" i="12" s="1"/>
  <c r="T153" i="11"/>
  <c r="T151" i="11" s="1"/>
  <c r="T124" i="12"/>
  <c r="T122" i="12" s="1"/>
  <c r="BP37" i="14"/>
  <c r="CP18" i="14"/>
  <c r="CP66" i="18"/>
  <c r="G20" i="14"/>
  <c r="G66" i="18"/>
  <c r="CE32" i="18"/>
  <c r="AS32" i="18"/>
  <c r="CJ32" i="18"/>
  <c r="CR30" i="15"/>
  <c r="EQ32" i="15"/>
  <c r="EP125" i="15"/>
  <c r="CO123" i="15"/>
  <c r="EP123" i="15" s="1"/>
  <c r="AG34" i="11"/>
  <c r="AG3" i="11"/>
  <c r="U34" i="11"/>
  <c r="U3" i="11"/>
  <c r="U28" i="11" s="1"/>
  <c r="U48" i="11" s="1"/>
  <c r="BI34" i="11"/>
  <c r="BI3" i="11"/>
  <c r="BI28" i="11" s="1"/>
  <c r="BI48" i="11" s="1"/>
  <c r="R34" i="11"/>
  <c r="R3" i="11"/>
  <c r="R28" i="11" s="1"/>
  <c r="R48" i="11" s="1"/>
  <c r="AX34" i="11"/>
  <c r="AX3" i="11"/>
  <c r="AX28" i="11" s="1"/>
  <c r="AX48" i="11" s="1"/>
  <c r="BJ34" i="11"/>
  <c r="BJ3" i="11"/>
  <c r="BJ28" i="11" s="1"/>
  <c r="BJ48" i="11" s="1"/>
  <c r="EI119" i="15"/>
  <c r="BT117" i="15"/>
  <c r="AA34" i="11"/>
  <c r="AA3" i="11"/>
  <c r="AA28" i="11" s="1"/>
  <c r="AA48" i="11" s="1"/>
  <c r="BG34" i="11"/>
  <c r="BG3" i="11"/>
  <c r="BG28" i="11" s="1"/>
  <c r="BG48" i="11" s="1"/>
  <c r="AB34" i="11"/>
  <c r="AB3" i="11"/>
  <c r="AB28" i="11" s="1"/>
  <c r="AB48" i="11" s="1"/>
  <c r="AT29" i="11"/>
  <c r="AJ34" i="11"/>
  <c r="AJ3" i="11"/>
  <c r="EK119" i="15"/>
  <c r="EO119" i="15"/>
  <c r="CL117" i="15"/>
  <c r="EO125" i="15"/>
  <c r="EK125" i="15"/>
  <c r="CL123" i="15"/>
  <c r="O29" i="11"/>
  <c r="BF29" i="11"/>
  <c r="X34" i="11"/>
  <c r="X3" i="11"/>
  <c r="X28" i="11" s="1"/>
  <c r="X48" i="11" s="1"/>
  <c r="BD34" i="11"/>
  <c r="BD3" i="11"/>
  <c r="BD28" i="11" s="1"/>
  <c r="BD48" i="11" s="1"/>
  <c r="N29" i="11"/>
  <c r="EH119" i="15"/>
  <c r="BQ117" i="15"/>
  <c r="EG85" i="15"/>
  <c r="AW29" i="11"/>
  <c r="M27" i="15"/>
  <c r="M47" i="15" s="1"/>
  <c r="M45" i="15" s="1"/>
  <c r="M80" i="18" s="1"/>
  <c r="M12" i="18"/>
  <c r="M43" i="18" s="1"/>
  <c r="N27" i="15"/>
  <c r="N47" i="15" s="1"/>
  <c r="N45" i="15" s="1"/>
  <c r="N80" i="18" s="1"/>
  <c r="N12" i="18"/>
  <c r="N43" i="18" s="1"/>
  <c r="AA27" i="15"/>
  <c r="AA47" i="15" s="1"/>
  <c r="AA45" i="15" s="1"/>
  <c r="AA80" i="18" s="1"/>
  <c r="AA12" i="18"/>
  <c r="AA43" i="18" s="1"/>
  <c r="BP27" i="15"/>
  <c r="BP47" i="15" s="1"/>
  <c r="BP45" i="15" s="1"/>
  <c r="BP80" i="18" s="1"/>
  <c r="BP12" i="18"/>
  <c r="BP43" i="18" s="1"/>
  <c r="V27" i="15"/>
  <c r="V47" i="15" s="1"/>
  <c r="V45" i="15" s="1"/>
  <c r="V80" i="18" s="1"/>
  <c r="V12" i="18"/>
  <c r="V43" i="18" s="1"/>
  <c r="Z27" i="15"/>
  <c r="Z47" i="15" s="1"/>
  <c r="Z45" i="15" s="1"/>
  <c r="Z80" i="18" s="1"/>
  <c r="Z12" i="18"/>
  <c r="Z43" i="18" s="1"/>
  <c r="AM27" i="15"/>
  <c r="AM47" i="15" s="1"/>
  <c r="AM45" i="15" s="1"/>
  <c r="AM80" i="18" s="1"/>
  <c r="AM12" i="18"/>
  <c r="AM43" i="18" s="1"/>
  <c r="CB27" i="15"/>
  <c r="CB47" i="15" s="1"/>
  <c r="CB45" i="15" s="1"/>
  <c r="CB80" i="18" s="1"/>
  <c r="CB12" i="18"/>
  <c r="CB43" i="18" s="1"/>
  <c r="BA27" i="15"/>
  <c r="BA47" i="15" s="1"/>
  <c r="BA45" i="15" s="1"/>
  <c r="BA80" i="18" s="1"/>
  <c r="BA12" i="18"/>
  <c r="BA43" i="18" s="1"/>
  <c r="L38" i="12"/>
  <c r="K38" i="11"/>
  <c r="K36" i="11" s="1"/>
  <c r="BF38" i="12"/>
  <c r="BE38" i="11"/>
  <c r="BM38" i="11"/>
  <c r="BM36" i="11" s="1"/>
  <c r="AQ38" i="12"/>
  <c r="AP38" i="11"/>
  <c r="BD38" i="12"/>
  <c r="BC38" i="11"/>
  <c r="BC36" i="11" s="1"/>
  <c r="BE56" i="11"/>
  <c r="BE51" i="11"/>
  <c r="M56" i="11"/>
  <c r="M51" i="11"/>
  <c r="AM56" i="11"/>
  <c r="AM51" i="11"/>
  <c r="AZ38" i="12"/>
  <c r="AY38" i="11"/>
  <c r="P56" i="11"/>
  <c r="P51" i="11"/>
  <c r="BM38" i="12"/>
  <c r="BL38" i="11"/>
  <c r="BL36" i="11" s="1"/>
  <c r="W56" i="11"/>
  <c r="W51" i="11"/>
  <c r="S56" i="11"/>
  <c r="S51" i="11"/>
  <c r="V56" i="11"/>
  <c r="V51" i="11"/>
  <c r="BA56" i="11"/>
  <c r="BA51" i="11"/>
  <c r="AP56" i="11"/>
  <c r="AP51" i="11"/>
  <c r="AF31" i="14"/>
  <c r="AF148" i="18"/>
  <c r="BY31" i="14"/>
  <c r="BY66" i="18"/>
  <c r="BY74" i="18" s="1"/>
  <c r="M153" i="11"/>
  <c r="M151" i="11" s="1"/>
  <c r="M124" i="12"/>
  <c r="M122" i="12" s="1"/>
  <c r="I18" i="14"/>
  <c r="I66" i="18"/>
  <c r="S46" i="12"/>
  <c r="S80" i="11"/>
  <c r="BV14" i="14"/>
  <c r="BU66" i="18"/>
  <c r="AI46" i="12"/>
  <c r="AI80" i="11"/>
  <c r="AW46" i="12"/>
  <c r="AW80" i="11"/>
  <c r="BA46" i="12"/>
  <c r="BA80" i="11"/>
  <c r="AM46" i="12"/>
  <c r="AM80" i="11"/>
  <c r="T46" i="12"/>
  <c r="T80" i="11"/>
  <c r="AD46" i="12"/>
  <c r="AD80" i="11"/>
  <c r="CM31" i="14"/>
  <c r="CM148" i="18"/>
  <c r="CA21" i="14"/>
  <c r="CA104" i="18"/>
  <c r="BF153" i="11"/>
  <c r="BF151" i="11" s="1"/>
  <c r="BF124" i="12"/>
  <c r="BF122" i="12" s="1"/>
  <c r="V46" i="12"/>
  <c r="V80" i="11"/>
  <c r="AL153" i="11"/>
  <c r="AL151" i="11" s="1"/>
  <c r="AL124" i="12"/>
  <c r="AL122" i="12" s="1"/>
  <c r="AV153" i="11"/>
  <c r="AV124" i="12"/>
  <c r="BP18" i="14"/>
  <c r="BL153" i="11"/>
  <c r="BL151" i="11" s="1"/>
  <c r="BL124" i="12"/>
  <c r="BL122" i="12" s="1"/>
  <c r="BD153" i="11"/>
  <c r="BD151" i="11" s="1"/>
  <c r="BD124" i="12"/>
  <c r="BD122" i="12" s="1"/>
  <c r="BK46" i="12"/>
  <c r="BK80" i="11"/>
  <c r="AM153" i="11"/>
  <c r="AM124" i="12"/>
  <c r="R153" i="11"/>
  <c r="R151" i="11" s="1"/>
  <c r="R124" i="12"/>
  <c r="R122" i="12" s="1"/>
  <c r="CE23" i="14"/>
  <c r="CE66" i="18"/>
  <c r="BW31" i="14"/>
  <c r="BW148" i="18"/>
  <c r="EJ148" i="18" s="1"/>
  <c r="AR31" i="14"/>
  <c r="AR148" i="18"/>
  <c r="S32" i="18"/>
  <c r="P32" i="18"/>
  <c r="BE32" i="18"/>
  <c r="EQ119" i="15"/>
  <c r="CR117" i="15"/>
  <c r="E29" i="11"/>
  <c r="AI29" i="11"/>
  <c r="CA23" i="14"/>
  <c r="CA66" i="18"/>
  <c r="EJ119" i="15"/>
  <c r="BW117" i="15"/>
  <c r="EJ125" i="15"/>
  <c r="BW123" i="15"/>
  <c r="EJ123" i="15" s="1"/>
  <c r="Q29" i="11"/>
  <c r="O34" i="11"/>
  <c r="O3" i="11"/>
  <c r="O28" i="11" s="1"/>
  <c r="O48" i="11" s="1"/>
  <c r="AU34" i="11"/>
  <c r="AU3" i="11"/>
  <c r="AU28" i="11" s="1"/>
  <c r="AU48" i="11" s="1"/>
  <c r="R29" i="11"/>
  <c r="AF29" i="11"/>
  <c r="N34" i="11"/>
  <c r="N3" i="11"/>
  <c r="N28" i="11" s="1"/>
  <c r="N48" i="11" s="1"/>
  <c r="EP119" i="15"/>
  <c r="CO117" i="15"/>
  <c r="AW34" i="11"/>
  <c r="AW3" i="11"/>
  <c r="AW28" i="11" s="1"/>
  <c r="AW48" i="11" s="1"/>
  <c r="BB27" i="15"/>
  <c r="BB47" i="15" s="1"/>
  <c r="BB45" i="15" s="1"/>
  <c r="BB80" i="18" s="1"/>
  <c r="BB12" i="18"/>
  <c r="BB43" i="18" s="1"/>
  <c r="BO27" i="15"/>
  <c r="BO47" i="15" s="1"/>
  <c r="BO45" i="15" s="1"/>
  <c r="BO80" i="18" s="1"/>
  <c r="BO12" i="18"/>
  <c r="BO43" i="18" s="1"/>
  <c r="AH27" i="15"/>
  <c r="AH47" i="15" s="1"/>
  <c r="AH45" i="15" s="1"/>
  <c r="AH80" i="18" s="1"/>
  <c r="AH12" i="18"/>
  <c r="AH43" i="18" s="1"/>
  <c r="BX27" i="15"/>
  <c r="BX47" i="15" s="1"/>
  <c r="BX45" i="15" s="1"/>
  <c r="BX80" i="18" s="1"/>
  <c r="BX12" i="18"/>
  <c r="BX43" i="18" s="1"/>
  <c r="CN27" i="15"/>
  <c r="CN47" i="15" s="1"/>
  <c r="CN45" i="15" s="1"/>
  <c r="CN80" i="18" s="1"/>
  <c r="CN12" i="18"/>
  <c r="CN43" i="18" s="1"/>
  <c r="BM27" i="15"/>
  <c r="BM47" i="15" s="1"/>
  <c r="BM45" i="15" s="1"/>
  <c r="BM80" i="18" s="1"/>
  <c r="BM12" i="18"/>
  <c r="BM43" i="18" s="1"/>
  <c r="X38" i="12"/>
  <c r="W38" i="11"/>
  <c r="W36" i="11" s="1"/>
  <c r="M38" i="12"/>
  <c r="L38" i="11"/>
  <c r="L36" i="11" s="1"/>
  <c r="BC38" i="12"/>
  <c r="BB38" i="11"/>
  <c r="AI56" i="11"/>
  <c r="AI51" i="11"/>
  <c r="AT56" i="11"/>
  <c r="AT51" i="11"/>
  <c r="Y56" i="11"/>
  <c r="Y51" i="11"/>
  <c r="AY56" i="11"/>
  <c r="AY51" i="11"/>
  <c r="BL38" i="12"/>
  <c r="BK38" i="11"/>
  <c r="Q38" i="12"/>
  <c r="P38" i="11"/>
  <c r="P36" i="11" s="1"/>
  <c r="AB56" i="11"/>
  <c r="AB51" i="11"/>
  <c r="AE56" i="11"/>
  <c r="AE51" i="11"/>
  <c r="J56" i="11"/>
  <c r="J51" i="11"/>
  <c r="BM56" i="11"/>
  <c r="BM51" i="11"/>
  <c r="BB56" i="11"/>
  <c r="BB51" i="11"/>
  <c r="BN143" i="11"/>
  <c r="CU125" i="15"/>
  <c r="BN114" i="12"/>
  <c r="CK18" i="14"/>
  <c r="CK66" i="18"/>
  <c r="L46" i="12"/>
  <c r="L80" i="11"/>
  <c r="Y153" i="11"/>
  <c r="Y151" i="11" s="1"/>
  <c r="Y124" i="12"/>
  <c r="Y122" i="12" s="1"/>
  <c r="U18" i="14"/>
  <c r="U66" i="18"/>
  <c r="J31" i="14"/>
  <c r="J148" i="18"/>
  <c r="AE46" i="12"/>
  <c r="AE80" i="11"/>
  <c r="CH14" i="14"/>
  <c r="CG66" i="18"/>
  <c r="D46" i="12"/>
  <c r="D80" i="11"/>
  <c r="AU46" i="12"/>
  <c r="AU80" i="11"/>
  <c r="BI46" i="12"/>
  <c r="BI80" i="11"/>
  <c r="BM46" i="12"/>
  <c r="BM80" i="11"/>
  <c r="AF46" i="12"/>
  <c r="AF80" i="11"/>
  <c r="AP46" i="12"/>
  <c r="AP80" i="11"/>
  <c r="AC153" i="11"/>
  <c r="AC151" i="11" s="1"/>
  <c r="AC124" i="12"/>
  <c r="AC122" i="12" s="1"/>
  <c r="BK153" i="11"/>
  <c r="BK124" i="12"/>
  <c r="AH46" i="12"/>
  <c r="AH80" i="11"/>
  <c r="AX153" i="11"/>
  <c r="AX151" i="11" s="1"/>
  <c r="AX124" i="12"/>
  <c r="AX122" i="12" s="1"/>
  <c r="AY153" i="11"/>
  <c r="AY124" i="12"/>
  <c r="AE153" i="11"/>
  <c r="AE151" i="11" s="1"/>
  <c r="AE124" i="12"/>
  <c r="AE122" i="12" s="1"/>
  <c r="E153" i="11"/>
  <c r="E151" i="11" s="1"/>
  <c r="E124" i="12"/>
  <c r="E122" i="12" s="1"/>
  <c r="AD153" i="11"/>
  <c r="AD124" i="12"/>
  <c r="BO23" i="14"/>
  <c r="BO33" i="14" s="1"/>
  <c r="BO169" i="18" s="1"/>
  <c r="BO66" i="18"/>
  <c r="CI31" i="14"/>
  <c r="CI148" i="18"/>
  <c r="EN148" i="18" s="1"/>
  <c r="BU32" i="18"/>
  <c r="O32" i="18"/>
  <c r="AB32" i="18"/>
  <c r="BC32" i="18"/>
  <c r="BK30" i="15"/>
  <c r="EF32" i="15"/>
  <c r="K29" i="11"/>
  <c r="AO34" i="11"/>
  <c r="AO3" i="11"/>
  <c r="AO28" i="11" s="1"/>
  <c r="AO48" i="11" s="1"/>
  <c r="AC34" i="11"/>
  <c r="AC3" i="11"/>
  <c r="AC28" i="11" s="1"/>
  <c r="AC48" i="11" s="1"/>
  <c r="Z34" i="11"/>
  <c r="Z3" i="11"/>
  <c r="Z28" i="11" s="1"/>
  <c r="Z48" i="11" s="1"/>
  <c r="BF34" i="11"/>
  <c r="BF3" i="11"/>
  <c r="BF28" i="11" s="1"/>
  <c r="BF48" i="11" s="1"/>
  <c r="AC29" i="11"/>
  <c r="C34" i="11"/>
  <c r="C3" i="11"/>
  <c r="C28" i="11" s="1"/>
  <c r="C48" i="11" s="1"/>
  <c r="AI34" i="11"/>
  <c r="AI3" i="11"/>
  <c r="AI28" i="11" s="1"/>
  <c r="AI48" i="11" s="1"/>
  <c r="AR34" i="11"/>
  <c r="AR3" i="11"/>
  <c r="AR28" i="11" s="1"/>
  <c r="AR48" i="11" s="1"/>
  <c r="CW191" i="18"/>
  <c r="AF34" i="11"/>
  <c r="AF3" i="11"/>
  <c r="AF28" i="11" s="1"/>
  <c r="AF48" i="11" s="1"/>
  <c r="BL34" i="11"/>
  <c r="BL3" i="11"/>
  <c r="BL28" i="11" s="1"/>
  <c r="BL48" i="11" s="1"/>
  <c r="BB29" i="11"/>
  <c r="BJ27" i="15"/>
  <c r="BJ47" i="15" s="1"/>
  <c r="BJ45" i="15" s="1"/>
  <c r="BJ80" i="18" s="1"/>
  <c r="BJ12" i="18"/>
  <c r="BJ43" i="18" s="1"/>
  <c r="BY27" i="15"/>
  <c r="BY47" i="15" s="1"/>
  <c r="BY45" i="15" s="1"/>
  <c r="BY80" i="18" s="1"/>
  <c r="BY12" i="18"/>
  <c r="BY43" i="18" s="1"/>
  <c r="AQ46" i="12"/>
  <c r="AQ80" i="11"/>
  <c r="BG46" i="12"/>
  <c r="BG80" i="11"/>
  <c r="N46" i="12"/>
  <c r="N80" i="11"/>
  <c r="AR46" i="12"/>
  <c r="AR80" i="11"/>
  <c r="BB46" i="12"/>
  <c r="BB80" i="11"/>
  <c r="AO153" i="11"/>
  <c r="AO151" i="11" s="1"/>
  <c r="AO124" i="12"/>
  <c r="AO122" i="12" s="1"/>
  <c r="AT46" i="12"/>
  <c r="AT80" i="11"/>
  <c r="C46" i="12"/>
  <c r="C80" i="11"/>
  <c r="BJ153" i="11"/>
  <c r="BJ151" i="11" s="1"/>
  <c r="BJ124" i="12"/>
  <c r="BJ122" i="12" s="1"/>
  <c r="J153" i="11"/>
  <c r="J151" i="11" s="1"/>
  <c r="J124" i="12"/>
  <c r="J122" i="12" s="1"/>
  <c r="AQ153" i="11"/>
  <c r="AQ151" i="11" s="1"/>
  <c r="AQ124" i="12"/>
  <c r="AQ122" i="12" s="1"/>
  <c r="G153" i="11"/>
  <c r="G151" i="11" s="1"/>
  <c r="G124" i="12"/>
  <c r="G122" i="12" s="1"/>
  <c r="AP153" i="11"/>
  <c r="AP124" i="12"/>
  <c r="D20" i="14"/>
  <c r="D66" i="18"/>
  <c r="CQ31" i="14"/>
  <c r="CQ148" i="18"/>
  <c r="BL23" i="14"/>
  <c r="BL113" i="18" s="1"/>
  <c r="BL139" i="18" s="1"/>
  <c r="BL66" i="18"/>
  <c r="AQ32" i="18"/>
  <c r="CH32" i="18"/>
  <c r="W32" i="18"/>
  <c r="T32" i="18"/>
  <c r="BW30" i="15"/>
  <c r="EJ32" i="15"/>
  <c r="BQ30" i="15"/>
  <c r="EH32" i="15"/>
  <c r="T23" i="14"/>
  <c r="T33" i="14" s="1"/>
  <c r="T66" i="18"/>
  <c r="EF119" i="15"/>
  <c r="BK117" i="15"/>
  <c r="BC20" i="14"/>
  <c r="BC66" i="18"/>
  <c r="BC74" i="18" s="1"/>
  <c r="EI125" i="15"/>
  <c r="BT123" i="15"/>
  <c r="EI123" i="15" s="1"/>
  <c r="EQ125" i="15"/>
  <c r="CR123" i="15"/>
  <c r="EQ123" i="15" s="1"/>
  <c r="AT34" i="11"/>
  <c r="AT3" i="11"/>
  <c r="AT28" i="11" s="1"/>
  <c r="AT48" i="11" s="1"/>
  <c r="W34" i="11"/>
  <c r="W3" i="11"/>
  <c r="W28" i="11" s="1"/>
  <c r="W48" i="11" s="1"/>
  <c r="BC34" i="11"/>
  <c r="BC3" i="11"/>
  <c r="BC28" i="11" s="1"/>
  <c r="BC48" i="11" s="1"/>
  <c r="BB34" i="11"/>
  <c r="BB3" i="11"/>
  <c r="AQ23" i="14"/>
  <c r="AQ33" i="14" s="1"/>
  <c r="AQ66" i="18"/>
  <c r="AQ74" i="18" s="1"/>
  <c r="CM11" i="14"/>
  <c r="CM66" i="18"/>
  <c r="BM34" i="11"/>
  <c r="BM3" i="11"/>
  <c r="BM28" i="11" s="1"/>
  <c r="BM48" i="11" s="1"/>
  <c r="P29" i="11"/>
  <c r="E40" i="14"/>
  <c r="E66" i="18"/>
  <c r="BN37" i="14"/>
  <c r="BN66" i="18"/>
  <c r="CT14" i="14"/>
  <c r="CS66" i="18"/>
  <c r="P46" i="12"/>
  <c r="P80" i="11"/>
  <c r="BF27" i="15"/>
  <c r="BF47" i="15" s="1"/>
  <c r="BF45" i="15" s="1"/>
  <c r="BF80" i="18" s="1"/>
  <c r="BF12" i="18"/>
  <c r="BF43" i="18" s="1"/>
  <c r="BV27" i="15"/>
  <c r="BV47" i="15" s="1"/>
  <c r="BV45" i="15" s="1"/>
  <c r="BV80" i="18" s="1"/>
  <c r="BV12" i="18"/>
  <c r="BV43" i="18" s="1"/>
  <c r="CK27" i="15"/>
  <c r="CK47" i="15" s="1"/>
  <c r="CK45" i="15" s="1"/>
  <c r="CK80" i="18" s="1"/>
  <c r="CK12" i="18"/>
  <c r="CK43" i="18" s="1"/>
  <c r="AY27" i="15"/>
  <c r="AY47" i="15" s="1"/>
  <c r="AY45" i="15" s="1"/>
  <c r="AY80" i="18" s="1"/>
  <c r="AY12" i="18"/>
  <c r="AY43" i="18" s="1"/>
  <c r="AU38" i="11"/>
  <c r="AU36" i="11" s="1"/>
  <c r="AK38" i="12"/>
  <c r="AJ38" i="11"/>
  <c r="N38" i="12"/>
  <c r="M38" i="11"/>
  <c r="M36" i="11" s="1"/>
  <c r="BD38" i="11"/>
  <c r="BD36" i="11" s="1"/>
  <c r="W38" i="12"/>
  <c r="V38" i="11"/>
  <c r="V36" i="11" s="1"/>
  <c r="BG38" i="12"/>
  <c r="BF38" i="11"/>
  <c r="BF36" i="11" s="1"/>
  <c r="AI38" i="12"/>
  <c r="AH38" i="11"/>
  <c r="AH36" i="11" s="1"/>
  <c r="AX38" i="11"/>
  <c r="AX36" i="11" s="1"/>
  <c r="AW56" i="11"/>
  <c r="AW51" i="11"/>
  <c r="AZ56" i="11"/>
  <c r="AZ51" i="11"/>
  <c r="K56" i="11"/>
  <c r="K51" i="11"/>
  <c r="BC56" i="11"/>
  <c r="BC51" i="11"/>
  <c r="H56" i="11"/>
  <c r="H51" i="11"/>
  <c r="L56" i="11"/>
  <c r="L51" i="11"/>
  <c r="Q40" i="14"/>
  <c r="Q66" i="18"/>
  <c r="BZ40" i="14"/>
  <c r="BZ66" i="18"/>
  <c r="Y40" i="14"/>
  <c r="Y66" i="18"/>
  <c r="AJ46" i="12"/>
  <c r="AJ80" i="11"/>
  <c r="W153" i="11"/>
  <c r="W151" i="11" s="1"/>
  <c r="W124" i="12"/>
  <c r="W122" i="12" s="1"/>
  <c r="AW153" i="11"/>
  <c r="AW151" i="11" s="1"/>
  <c r="AW124" i="12"/>
  <c r="AW122" i="12" s="1"/>
  <c r="AS18" i="14"/>
  <c r="AS66" i="18"/>
  <c r="AH31" i="14"/>
  <c r="AH148" i="18"/>
  <c r="BC46" i="12"/>
  <c r="BC80" i="11"/>
  <c r="AB46" i="12"/>
  <c r="AB80" i="11"/>
  <c r="I46" i="12"/>
  <c r="I80" i="11"/>
  <c r="Z46" i="12"/>
  <c r="Z80" i="11"/>
  <c r="I153" i="11"/>
  <c r="I151" i="11" s="1"/>
  <c r="I124" i="12"/>
  <c r="I122" i="12" s="1"/>
  <c r="N56" i="11"/>
  <c r="N51" i="11"/>
  <c r="BD46" i="12"/>
  <c r="BD80" i="11"/>
  <c r="BF46" i="12"/>
  <c r="BF80" i="11"/>
  <c r="O46" i="12"/>
  <c r="O80" i="11"/>
  <c r="V153" i="11"/>
  <c r="V151" i="11" s="1"/>
  <c r="V124" i="12"/>
  <c r="V122" i="12" s="1"/>
  <c r="L18" i="14"/>
  <c r="L66" i="18"/>
  <c r="Q153" i="11"/>
  <c r="Q151" i="11" s="1"/>
  <c r="Q124" i="12"/>
  <c r="Q122" i="12" s="1"/>
  <c r="BC153" i="11"/>
  <c r="BC151" i="11" s="1"/>
  <c r="BC124" i="12"/>
  <c r="BC122" i="12" s="1"/>
  <c r="BB153" i="11"/>
  <c r="BB124" i="12"/>
  <c r="P37" i="14"/>
  <c r="P66" i="18"/>
  <c r="H18" i="14"/>
  <c r="H66" i="18"/>
  <c r="K31" i="14"/>
  <c r="K148" i="18"/>
  <c r="CT32" i="18"/>
  <c r="AI32" i="18"/>
  <c r="Q32" i="18"/>
  <c r="AF32" i="18"/>
  <c r="CA32" i="18"/>
  <c r="CI30" i="15"/>
  <c r="EN32" i="15"/>
  <c r="BN30" i="15"/>
  <c r="EG32" i="15"/>
  <c r="CC30" i="15"/>
  <c r="EL32" i="15"/>
  <c r="EJ85" i="15"/>
  <c r="BE34" i="11"/>
  <c r="BE3" i="11"/>
  <c r="AK34" i="11"/>
  <c r="AK3" i="11"/>
  <c r="AK28" i="11" s="1"/>
  <c r="AK48" i="11" s="1"/>
  <c r="EN119" i="15"/>
  <c r="CI117" i="15"/>
  <c r="AH34" i="11"/>
  <c r="AH3" i="11"/>
  <c r="AH28" i="11" s="1"/>
  <c r="AH48" i="11" s="1"/>
  <c r="EF125" i="15"/>
  <c r="BK123" i="15"/>
  <c r="EF123" i="15" s="1"/>
  <c r="K34" i="11"/>
  <c r="K3" i="11"/>
  <c r="K28" i="11" s="1"/>
  <c r="K48" i="11" s="1"/>
  <c r="AQ34" i="11"/>
  <c r="AQ3" i="11"/>
  <c r="AQ28" i="11" s="1"/>
  <c r="AQ48" i="11" s="1"/>
  <c r="D34" i="11"/>
  <c r="D3" i="11"/>
  <c r="D28" i="11" s="1"/>
  <c r="D48" i="11" s="1"/>
  <c r="AZ34" i="11"/>
  <c r="AZ3" i="11"/>
  <c r="AZ28" i="11" s="1"/>
  <c r="AZ48" i="11" s="1"/>
  <c r="V34" i="11"/>
  <c r="V3" i="11"/>
  <c r="V28" i="11" s="1"/>
  <c r="V48" i="11" s="1"/>
  <c r="CR20" i="14"/>
  <c r="CR66" i="18"/>
  <c r="EL125" i="15"/>
  <c r="CC123" i="15"/>
  <c r="EL123" i="15" s="1"/>
  <c r="EM119" i="15"/>
  <c r="CF117" i="15"/>
  <c r="AE29" i="11"/>
  <c r="BK29" i="11"/>
  <c r="H34" i="11"/>
  <c r="H3" i="11"/>
  <c r="H28" i="11" s="1"/>
  <c r="H48" i="11" s="1"/>
  <c r="AN34" i="11"/>
  <c r="AN3" i="11"/>
  <c r="AN28" i="11" s="1"/>
  <c r="AN48" i="11" s="1"/>
  <c r="EM53" i="15"/>
  <c r="AD29" i="11"/>
  <c r="AP27" i="15"/>
  <c r="AP47" i="15" s="1"/>
  <c r="AP45" i="15" s="1"/>
  <c r="AP80" i="18" s="1"/>
  <c r="AP12" i="18"/>
  <c r="AP43" i="18" s="1"/>
  <c r="AW27" i="15"/>
  <c r="AW47" i="15" s="1"/>
  <c r="AW45" i="15" s="1"/>
  <c r="AW80" i="18" s="1"/>
  <c r="AW12" i="18"/>
  <c r="AW43" i="18" s="1"/>
  <c r="BI27" i="15"/>
  <c r="BI47" i="15" s="1"/>
  <c r="BI45" i="15" s="1"/>
  <c r="BI80" i="18" s="1"/>
  <c r="BI12" i="18"/>
  <c r="BI43" i="18" s="1"/>
  <c r="BR27" i="15"/>
  <c r="BR47" i="15" s="1"/>
  <c r="BR45" i="15" s="1"/>
  <c r="BR80" i="18" s="1"/>
  <c r="BR12" i="18"/>
  <c r="BR43" i="18" s="1"/>
  <c r="AJ27" i="15"/>
  <c r="AJ47" i="15" s="1"/>
  <c r="AJ45" i="15" s="1"/>
  <c r="AJ80" i="18" s="1"/>
  <c r="AJ12" i="18"/>
  <c r="AJ43" i="18" s="1"/>
  <c r="BG38" i="11"/>
  <c r="BG36" i="11" s="1"/>
  <c r="J38" i="12"/>
  <c r="I38" i="11"/>
  <c r="I36" i="11" s="1"/>
  <c r="AW38" i="12"/>
  <c r="AV38" i="11"/>
  <c r="AL38" i="12"/>
  <c r="AK38" i="11"/>
  <c r="AK36" i="11" s="1"/>
  <c r="F38" i="12"/>
  <c r="E38" i="11"/>
  <c r="E36" i="11" s="1"/>
  <c r="AF38" i="11"/>
  <c r="AF36" i="11" s="1"/>
  <c r="H38" i="12"/>
  <c r="G38" i="11"/>
  <c r="G36" i="11" s="1"/>
  <c r="AR38" i="12"/>
  <c r="AQ38" i="11"/>
  <c r="AQ36" i="11" s="1"/>
  <c r="I56" i="11"/>
  <c r="I51" i="11"/>
  <c r="BI56" i="11"/>
  <c r="BI51" i="11"/>
  <c r="D38" i="12"/>
  <c r="C38" i="11"/>
  <c r="C36" i="11" s="1"/>
  <c r="BL56" i="11"/>
  <c r="BL51" i="11"/>
  <c r="T56" i="11"/>
  <c r="T51" i="11"/>
  <c r="X56" i="11"/>
  <c r="X51" i="11"/>
  <c r="E56" i="11"/>
  <c r="E51" i="11"/>
  <c r="AE21" i="14"/>
  <c r="AE104" i="18"/>
  <c r="CL40" i="14"/>
  <c r="CL66" i="18"/>
  <c r="AK40" i="14"/>
  <c r="AK66" i="18"/>
  <c r="AK74" i="18" s="1"/>
  <c r="AV46" i="12"/>
  <c r="AV80" i="11"/>
  <c r="AI153" i="11"/>
  <c r="AI151" i="11" s="1"/>
  <c r="AI124" i="12"/>
  <c r="AI122" i="12" s="1"/>
  <c r="BI153" i="11"/>
  <c r="BI151" i="11" s="1"/>
  <c r="BI124" i="12"/>
  <c r="BI122" i="12" s="1"/>
  <c r="BE18" i="14"/>
  <c r="BE66" i="18"/>
  <c r="AT31" i="14"/>
  <c r="AT148" i="18"/>
  <c r="AN46" i="12"/>
  <c r="AN80" i="11"/>
  <c r="E46" i="12"/>
  <c r="E80" i="11"/>
  <c r="U46" i="12"/>
  <c r="U80" i="11"/>
  <c r="AL46" i="12"/>
  <c r="AL80" i="11"/>
  <c r="U153" i="11"/>
  <c r="U151" i="11" s="1"/>
  <c r="U124" i="12"/>
  <c r="U122" i="12" s="1"/>
  <c r="Z56" i="11"/>
  <c r="Z51" i="11"/>
  <c r="L153" i="11"/>
  <c r="L151" i="11" s="1"/>
  <c r="L124" i="12"/>
  <c r="L122" i="12" s="1"/>
  <c r="AA46" i="12"/>
  <c r="AA80" i="11"/>
  <c r="T18" i="14"/>
  <c r="P153" i="11"/>
  <c r="P151" i="11" s="1"/>
  <c r="P124" i="12"/>
  <c r="P122" i="12" s="1"/>
  <c r="AS153" i="11"/>
  <c r="AS124" i="12"/>
  <c r="AT153" i="11"/>
  <c r="AT151" i="11" s="1"/>
  <c r="AT124" i="12"/>
  <c r="AT122" i="12" s="1"/>
  <c r="BA153" i="11"/>
  <c r="BA151" i="11" s="1"/>
  <c r="BA124" i="12"/>
  <c r="BA122" i="12" s="1"/>
  <c r="T37" i="14"/>
  <c r="AB23" i="14"/>
  <c r="AB113" i="18" s="1"/>
  <c r="AB139" i="18" s="1"/>
  <c r="AB66" i="18"/>
  <c r="AA37" i="14"/>
  <c r="AA66" i="18"/>
  <c r="AZ18" i="14"/>
  <c r="AZ66" i="18"/>
  <c r="BS31" i="14"/>
  <c r="BS148" i="18"/>
  <c r="AU32" i="18"/>
  <c r="AR32" i="18"/>
  <c r="CM32" i="18"/>
  <c r="CO30" i="15"/>
  <c r="EP32" i="15"/>
  <c r="D29" i="11"/>
  <c r="EN125" i="15"/>
  <c r="CI123" i="15"/>
  <c r="EN123" i="15" s="1"/>
  <c r="S29" i="11"/>
  <c r="AY29" i="11"/>
  <c r="T29" i="11"/>
  <c r="AE18" i="14"/>
  <c r="AE66" i="18"/>
  <c r="AE74" i="18" s="1"/>
  <c r="EL85" i="15"/>
  <c r="EJ53" i="15"/>
  <c r="AE34" i="11"/>
  <c r="AE3" i="11"/>
  <c r="AE28" i="11" s="1"/>
  <c r="AE48" i="11" s="1"/>
  <c r="BK34" i="11"/>
  <c r="BK3" i="11"/>
  <c r="AV29" i="11"/>
  <c r="I34" i="11"/>
  <c r="I3" i="11"/>
  <c r="I28" i="11" s="1"/>
  <c r="I48" i="11" s="1"/>
  <c r="M34" i="11"/>
  <c r="M3" i="11"/>
  <c r="M28" i="11" s="1"/>
  <c r="M48" i="11" s="1"/>
  <c r="AD34" i="11"/>
  <c r="AD3" i="11"/>
  <c r="AC67" i="18"/>
  <c r="CE67" i="18"/>
  <c r="AB67" i="18"/>
  <c r="AJ67" i="18"/>
  <c r="BQ67" i="18"/>
  <c r="BD67" i="18"/>
  <c r="AM67" i="18"/>
  <c r="AV67" i="18"/>
  <c r="AZ67" i="18"/>
  <c r="CC67" i="18"/>
  <c r="BP67" i="18"/>
  <c r="AU67" i="18"/>
  <c r="Q67" i="18"/>
  <c r="S67" i="18"/>
  <c r="AE67" i="18"/>
  <c r="BF67" i="18"/>
  <c r="BR67" i="18"/>
  <c r="CA67" i="18"/>
  <c r="AG67" i="18"/>
  <c r="AK67" i="18"/>
  <c r="L67" i="18"/>
  <c r="L114" i="18" s="1"/>
  <c r="AS67" i="18"/>
  <c r="AF67" i="18"/>
  <c r="O67" i="18"/>
  <c r="BE67" i="18"/>
  <c r="AR67" i="18"/>
  <c r="BI67" i="18"/>
  <c r="BU67" i="18"/>
  <c r="Z67" i="18"/>
  <c r="AY67" i="18"/>
  <c r="BH67" i="18"/>
  <c r="BC67" i="18"/>
  <c r="BL67" i="18"/>
  <c r="CB67" i="18"/>
  <c r="V67" i="18"/>
  <c r="V114" i="18" s="1"/>
  <c r="AO67" i="18"/>
  <c r="BO67" i="18"/>
  <c r="CD67" i="18"/>
  <c r="M67" i="18"/>
  <c r="M114" i="18" s="1"/>
  <c r="AX67" i="18"/>
  <c r="BN67" i="18"/>
  <c r="BA67" i="18"/>
  <c r="U67" i="18"/>
  <c r="T67" i="18"/>
  <c r="R67" i="18"/>
  <c r="AW67" i="18"/>
  <c r="X67" i="18"/>
  <c r="X114" i="18" s="1"/>
  <c r="AN67" i="18"/>
  <c r="BJ67" i="18"/>
  <c r="BV67" i="18"/>
  <c r="AP67" i="18"/>
  <c r="BK67" i="18"/>
  <c r="BZ67" i="18"/>
  <c r="BT67" i="18"/>
  <c r="BX67" i="18"/>
  <c r="AH67" i="18"/>
  <c r="AL67" i="18"/>
  <c r="BS67" i="18"/>
  <c r="W67" i="18"/>
  <c r="AQ67" i="18"/>
  <c r="N67" i="18"/>
  <c r="N114" i="18" s="1"/>
  <c r="Y67" i="18"/>
  <c r="BM67" i="18"/>
  <c r="AD67" i="18"/>
  <c r="BY67" i="18"/>
  <c r="P67" i="18"/>
  <c r="P114" i="18" s="1"/>
  <c r="BG67" i="18"/>
  <c r="AA67" i="18"/>
  <c r="AA114" i="18" s="1"/>
  <c r="AI67" i="18"/>
  <c r="BW67" i="18"/>
  <c r="CF67" i="18"/>
  <c r="BB67" i="18"/>
  <c r="AT67" i="18"/>
  <c r="AT27" i="15"/>
  <c r="AT47" i="15" s="1"/>
  <c r="AT45" i="15" s="1"/>
  <c r="AT80" i="18" s="1"/>
  <c r="O27" i="15"/>
  <c r="O47" i="15" s="1"/>
  <c r="O45" i="15" s="1"/>
  <c r="O80" i="18" s="1"/>
  <c r="AO27" i="15"/>
  <c r="AO47" i="15" s="1"/>
  <c r="AO45" i="15" s="1"/>
  <c r="AO80" i="18" s="1"/>
  <c r="BU27" i="15"/>
  <c r="BU47" i="15" s="1"/>
  <c r="BU45" i="15" s="1"/>
  <c r="BU80" i="18" s="1"/>
  <c r="BC27" i="15"/>
  <c r="BC47" i="15" s="1"/>
  <c r="BC45" i="15" s="1"/>
  <c r="BC80" i="18" s="1"/>
  <c r="BL27" i="15"/>
  <c r="BL47" i="15" s="1"/>
  <c r="BL45" i="15" s="1"/>
  <c r="BL80" i="18" s="1"/>
  <c r="AR98" i="15"/>
  <c r="AR96" i="15" s="1"/>
  <c r="AR147" i="18" s="1"/>
  <c r="AR149" i="18" s="1"/>
  <c r="K89" i="12"/>
  <c r="K87" i="12" s="1"/>
  <c r="CD98" i="15"/>
  <c r="CD96" i="15" s="1"/>
  <c r="CD147" i="18" s="1"/>
  <c r="CD149" i="18" s="1"/>
  <c r="AW89" i="12"/>
  <c r="AW87" i="12" s="1"/>
  <c r="BX98" i="15"/>
  <c r="BX96" i="15" s="1"/>
  <c r="BX147" i="18" s="1"/>
  <c r="BX149" i="18" s="1"/>
  <c r="AQ89" i="12"/>
  <c r="AQ87" i="12" s="1"/>
  <c r="CB98" i="15"/>
  <c r="CB96" i="15" s="1"/>
  <c r="CB147" i="18" s="1"/>
  <c r="CB149" i="18" s="1"/>
  <c r="AU89" i="12"/>
  <c r="AU87" i="12" s="1"/>
  <c r="BG98" i="15"/>
  <c r="BG96" i="15" s="1"/>
  <c r="BG147" i="18" s="1"/>
  <c r="BG149" i="18" s="1"/>
  <c r="Z89" i="12"/>
  <c r="Z87" i="12" s="1"/>
  <c r="AJ98" i="15"/>
  <c r="AJ96" i="15" s="1"/>
  <c r="AJ147" i="18" s="1"/>
  <c r="AJ149" i="18" s="1"/>
  <c r="C89" i="12"/>
  <c r="C87" i="12" s="1"/>
  <c r="CP98" i="15"/>
  <c r="CP96" i="15" s="1"/>
  <c r="CP147" i="18" s="1"/>
  <c r="CP149" i="18" s="1"/>
  <c r="BI89" i="12"/>
  <c r="BI87" i="12" s="1"/>
  <c r="CN98" i="15"/>
  <c r="CN96" i="15" s="1"/>
  <c r="CN147" i="18" s="1"/>
  <c r="CN149" i="18" s="1"/>
  <c r="BG89" i="12"/>
  <c r="BG87" i="12" s="1"/>
  <c r="CE98" i="15"/>
  <c r="CE96" i="15" s="1"/>
  <c r="CE147" i="18" s="1"/>
  <c r="CE149" i="18" s="1"/>
  <c r="AX89" i="12"/>
  <c r="AX87" i="12" s="1"/>
  <c r="BS98" i="15"/>
  <c r="BS96" i="15" s="1"/>
  <c r="BS147" i="18" s="1"/>
  <c r="BS149" i="18" s="1"/>
  <c r="AL89" i="12"/>
  <c r="AL87" i="12" s="1"/>
  <c r="AV98" i="15"/>
  <c r="AV96" i="15" s="1"/>
  <c r="AV147" i="18" s="1"/>
  <c r="AV149" i="18" s="1"/>
  <c r="O89" i="12"/>
  <c r="O87" i="12" s="1"/>
  <c r="AZ98" i="15"/>
  <c r="AZ96" i="15" s="1"/>
  <c r="AZ147" i="18" s="1"/>
  <c r="AZ149" i="18" s="1"/>
  <c r="S89" i="12"/>
  <c r="S87" i="12" s="1"/>
  <c r="AK98" i="15"/>
  <c r="AK96" i="15" s="1"/>
  <c r="AK147" i="18" s="1"/>
  <c r="AK149" i="18" s="1"/>
  <c r="D89" i="12"/>
  <c r="D87" i="12" s="1"/>
  <c r="AU98" i="15"/>
  <c r="AU96" i="15" s="1"/>
  <c r="AU147" i="18" s="1"/>
  <c r="AU149" i="18" s="1"/>
  <c r="N89" i="12"/>
  <c r="N87" i="12" s="1"/>
  <c r="BL98" i="15"/>
  <c r="BL96" i="15" s="1"/>
  <c r="BL147" i="18" s="1"/>
  <c r="BL149" i="18" s="1"/>
  <c r="AE89" i="12"/>
  <c r="AE87" i="12" s="1"/>
  <c r="AP98" i="15"/>
  <c r="AP96" i="15" s="1"/>
  <c r="AP147" i="18" s="1"/>
  <c r="AP149" i="18" s="1"/>
  <c r="I89" i="12"/>
  <c r="I87" i="12" s="1"/>
  <c r="BH98" i="15"/>
  <c r="BH96" i="15" s="1"/>
  <c r="BH147" i="18" s="1"/>
  <c r="BH149" i="18" s="1"/>
  <c r="AA89" i="12"/>
  <c r="AA87" i="12" s="1"/>
  <c r="AW98" i="15"/>
  <c r="AW96" i="15" s="1"/>
  <c r="AW147" i="18" s="1"/>
  <c r="AW149" i="18" s="1"/>
  <c r="P89" i="12"/>
  <c r="P87" i="12" s="1"/>
  <c r="CQ98" i="15"/>
  <c r="CQ96" i="15" s="1"/>
  <c r="CQ147" i="18" s="1"/>
  <c r="CQ149" i="18" s="1"/>
  <c r="BJ89" i="12"/>
  <c r="BJ87" i="12" s="1"/>
  <c r="CJ98" i="15"/>
  <c r="CJ96" i="15" s="1"/>
  <c r="CJ147" i="18" s="1"/>
  <c r="CJ149" i="18" s="1"/>
  <c r="BC89" i="12"/>
  <c r="BC87" i="12" s="1"/>
  <c r="BI98" i="15"/>
  <c r="BI96" i="15" s="1"/>
  <c r="BI147" i="18" s="1"/>
  <c r="BI149" i="18" s="1"/>
  <c r="AB89" i="12"/>
  <c r="AB87" i="12" s="1"/>
  <c r="AQ98" i="15"/>
  <c r="AQ96" i="15" s="1"/>
  <c r="AQ147" i="18" s="1"/>
  <c r="AQ149" i="18" s="1"/>
  <c r="J89" i="12"/>
  <c r="J87" i="12" s="1"/>
  <c r="BB98" i="15"/>
  <c r="BB96" i="15" s="1"/>
  <c r="BB147" i="18" s="1"/>
  <c r="BB149" i="18" s="1"/>
  <c r="U89" i="12"/>
  <c r="U87" i="12" s="1"/>
  <c r="AL98" i="15"/>
  <c r="AL96" i="15" s="1"/>
  <c r="AL147" i="18" s="1"/>
  <c r="AL149" i="18" s="1"/>
  <c r="E89" i="12"/>
  <c r="E87" i="12" s="1"/>
  <c r="AO98" i="15"/>
  <c r="AO96" i="15" s="1"/>
  <c r="AO147" i="18" s="1"/>
  <c r="AO149" i="18" s="1"/>
  <c r="H89" i="12"/>
  <c r="H87" i="12" s="1"/>
  <c r="BU98" i="15"/>
  <c r="BU96" i="15" s="1"/>
  <c r="BU147" i="18" s="1"/>
  <c r="BU149" i="18" s="1"/>
  <c r="AN89" i="12"/>
  <c r="AN87" i="12" s="1"/>
  <c r="BC98" i="15"/>
  <c r="BC96" i="15" s="1"/>
  <c r="BC147" i="18" s="1"/>
  <c r="BC149" i="18" s="1"/>
  <c r="V89" i="12"/>
  <c r="V87" i="12" s="1"/>
  <c r="AX98" i="15"/>
  <c r="AX96" i="15" s="1"/>
  <c r="AX147" i="18" s="1"/>
  <c r="AX149" i="18" s="1"/>
  <c r="Q89" i="12"/>
  <c r="Q87" i="12" s="1"/>
  <c r="AM98" i="15"/>
  <c r="AM96" i="15" s="1"/>
  <c r="AM147" i="18" s="1"/>
  <c r="AM149" i="18" s="1"/>
  <c r="F89" i="12"/>
  <c r="F87" i="12" s="1"/>
  <c r="BA98" i="15"/>
  <c r="BA96" i="15" s="1"/>
  <c r="BA147" i="18" s="1"/>
  <c r="BA149" i="18" s="1"/>
  <c r="T89" i="12"/>
  <c r="T87" i="12" s="1"/>
  <c r="BJ98" i="15"/>
  <c r="BJ96" i="15" s="1"/>
  <c r="BJ147" i="18" s="1"/>
  <c r="BJ149" i="18" s="1"/>
  <c r="AC89" i="12"/>
  <c r="AC87" i="12" s="1"/>
  <c r="AY98" i="15"/>
  <c r="AY96" i="15" s="1"/>
  <c r="AY147" i="18" s="1"/>
  <c r="AY149" i="18" s="1"/>
  <c r="R89" i="12"/>
  <c r="R87" i="12" s="1"/>
  <c r="BM98" i="15"/>
  <c r="BM96" i="15" s="1"/>
  <c r="BM147" i="18" s="1"/>
  <c r="BM149" i="18" s="1"/>
  <c r="AF89" i="12"/>
  <c r="AF87" i="12" s="1"/>
  <c r="CG98" i="15"/>
  <c r="CG96" i="15" s="1"/>
  <c r="CG147" i="18" s="1"/>
  <c r="CG149" i="18" s="1"/>
  <c r="AZ89" i="12"/>
  <c r="AZ87" i="12" s="1"/>
  <c r="BO98" i="15"/>
  <c r="BO96" i="15" s="1"/>
  <c r="BO147" i="18" s="1"/>
  <c r="BO149" i="18" s="1"/>
  <c r="AH89" i="12"/>
  <c r="AH87" i="12" s="1"/>
  <c r="CS98" i="15"/>
  <c r="CS96" i="15" s="1"/>
  <c r="CS147" i="18" s="1"/>
  <c r="CS149" i="18" s="1"/>
  <c r="BL89" i="12"/>
  <c r="BL87" i="12" s="1"/>
  <c r="CA98" i="15"/>
  <c r="CA96" i="15" s="1"/>
  <c r="CA147" i="18" s="1"/>
  <c r="CA149" i="18" s="1"/>
  <c r="AT89" i="12"/>
  <c r="AT87" i="12" s="1"/>
  <c r="BV98" i="15"/>
  <c r="BV96" i="15" s="1"/>
  <c r="BV147" i="18" s="1"/>
  <c r="BV149" i="18" s="1"/>
  <c r="AO89" i="12"/>
  <c r="AO87" i="12" s="1"/>
  <c r="BD98" i="15"/>
  <c r="BD96" i="15" s="1"/>
  <c r="BD147" i="18" s="1"/>
  <c r="BD149" i="18" s="1"/>
  <c r="W89" i="12"/>
  <c r="W87" i="12" s="1"/>
  <c r="BY98" i="15"/>
  <c r="BY96" i="15" s="1"/>
  <c r="BY147" i="18" s="1"/>
  <c r="BY149" i="18" s="1"/>
  <c r="AR89" i="12"/>
  <c r="AR87" i="12" s="1"/>
  <c r="AT98" i="15"/>
  <c r="AT96" i="15" s="1"/>
  <c r="AT147" i="18" s="1"/>
  <c r="AT149" i="18" s="1"/>
  <c r="M89" i="12"/>
  <c r="M87" i="12" s="1"/>
  <c r="BP98" i="15"/>
  <c r="BP96" i="15" s="1"/>
  <c r="BP147" i="18" s="1"/>
  <c r="BP149" i="18" s="1"/>
  <c r="AI89" i="12"/>
  <c r="AI87" i="12" s="1"/>
  <c r="CM98" i="15"/>
  <c r="CM96" i="15" s="1"/>
  <c r="CM147" i="18" s="1"/>
  <c r="CM149" i="18" s="1"/>
  <c r="BF89" i="12"/>
  <c r="BF87" i="12" s="1"/>
  <c r="AS98" i="15"/>
  <c r="AS96" i="15" s="1"/>
  <c r="AS147" i="18" s="1"/>
  <c r="AS149" i="18" s="1"/>
  <c r="L89" i="12"/>
  <c r="L87" i="12" s="1"/>
  <c r="CH98" i="15"/>
  <c r="CH96" i="15" s="1"/>
  <c r="CH147" i="18" s="1"/>
  <c r="CH149" i="18" s="1"/>
  <c r="BA89" i="12"/>
  <c r="BA87" i="12" s="1"/>
  <c r="AN98" i="15"/>
  <c r="AN96" i="15" s="1"/>
  <c r="AN147" i="18" s="1"/>
  <c r="AN149" i="18" s="1"/>
  <c r="G89" i="12"/>
  <c r="G87" i="12" s="1"/>
  <c r="CK98" i="15"/>
  <c r="CK96" i="15" s="1"/>
  <c r="CK147" i="18" s="1"/>
  <c r="CK149" i="18" s="1"/>
  <c r="BD89" i="12"/>
  <c r="BD87" i="12" s="1"/>
  <c r="BF98" i="15"/>
  <c r="BF96" i="15" s="1"/>
  <c r="BF147" i="18" s="1"/>
  <c r="BF149" i="18" s="1"/>
  <c r="Y89" i="12"/>
  <c r="Y87" i="12" s="1"/>
  <c r="BE98" i="15"/>
  <c r="BE96" i="15" s="1"/>
  <c r="BE147" i="18" s="1"/>
  <c r="BE149" i="18" s="1"/>
  <c r="X89" i="12"/>
  <c r="X87" i="12" s="1"/>
  <c r="CT98" i="15"/>
  <c r="CT96" i="15" s="1"/>
  <c r="CT147" i="18" s="1"/>
  <c r="CT149" i="18" s="1"/>
  <c r="BM89" i="12"/>
  <c r="BM87" i="12" s="1"/>
  <c r="BR98" i="15"/>
  <c r="BR96" i="15" s="1"/>
  <c r="BR147" i="18" s="1"/>
  <c r="BR149" i="18" s="1"/>
  <c r="AK89" i="12"/>
  <c r="AK87" i="12" s="1"/>
  <c r="G31" i="14"/>
  <c r="AS27" i="15"/>
  <c r="AS47" i="15" s="1"/>
  <c r="AS45" i="15" s="1"/>
  <c r="AS80" i="18" s="1"/>
  <c r="BS27" i="15"/>
  <c r="BS47" i="15" s="1"/>
  <c r="BS45" i="15" s="1"/>
  <c r="BE27" i="15"/>
  <c r="BE47" i="15" s="1"/>
  <c r="BE45" i="15" s="1"/>
  <c r="CE27" i="15"/>
  <c r="CE47" i="15" s="1"/>
  <c r="CE45" i="15" s="1"/>
  <c r="Q27" i="15"/>
  <c r="Q47" i="15" s="1"/>
  <c r="Q45" i="15" s="1"/>
  <c r="G18" i="14"/>
  <c r="G40" i="14"/>
  <c r="AQ27" i="15"/>
  <c r="AQ47" i="15" s="1"/>
  <c r="AQ45" i="15" s="1"/>
  <c r="CH27" i="15"/>
  <c r="CH47" i="15" s="1"/>
  <c r="CH45" i="15" s="1"/>
  <c r="CT27" i="15"/>
  <c r="CT47" i="15" s="1"/>
  <c r="CT45" i="15" s="1"/>
  <c r="W27" i="15"/>
  <c r="W47" i="15" s="1"/>
  <c r="W45" i="15" s="1"/>
  <c r="AF27" i="15"/>
  <c r="AF47" i="15" s="1"/>
  <c r="AF45" i="15" s="1"/>
  <c r="G37" i="14"/>
  <c r="CJ27" i="15"/>
  <c r="CJ47" i="15" s="1"/>
  <c r="CJ45" i="15" s="1"/>
  <c r="CJ80" i="18" s="1"/>
  <c r="T27" i="15"/>
  <c r="T47" i="15" s="1"/>
  <c r="T45" i="15" s="1"/>
  <c r="T80" i="18" s="1"/>
  <c r="AI27" i="15"/>
  <c r="AI47" i="15" s="1"/>
  <c r="AI45" i="15" s="1"/>
  <c r="AR27" i="15"/>
  <c r="AR47" i="15" s="1"/>
  <c r="AR45" i="15" s="1"/>
  <c r="AR80" i="18" s="1"/>
  <c r="CM27" i="15"/>
  <c r="CM47" i="15" s="1"/>
  <c r="CM45" i="15" s="1"/>
  <c r="Y27" i="15"/>
  <c r="Y47" i="15" s="1"/>
  <c r="Y45" i="15" s="1"/>
  <c r="AU27" i="15"/>
  <c r="AU47" i="15" s="1"/>
  <c r="AU45" i="15" s="1"/>
  <c r="CA27" i="15"/>
  <c r="CA47" i="15" s="1"/>
  <c r="CA45" i="15" s="1"/>
  <c r="P27" i="15"/>
  <c r="P47" i="15" s="1"/>
  <c r="P45" i="15" s="1"/>
  <c r="S31" i="14"/>
  <c r="AG27" i="15"/>
  <c r="AG47" i="15" s="1"/>
  <c r="AG45" i="15" s="1"/>
  <c r="BG27" i="15"/>
  <c r="BG47" i="15" s="1"/>
  <c r="BG45" i="15" s="1"/>
  <c r="S27" i="15"/>
  <c r="S47" i="15" s="1"/>
  <c r="S45" i="15" s="1"/>
  <c r="S80" i="18" s="1"/>
  <c r="AL27" i="15"/>
  <c r="AL47" i="15" s="1"/>
  <c r="AL45" i="15" s="1"/>
  <c r="AB27" i="15"/>
  <c r="AB47" i="15" s="1"/>
  <c r="AB45" i="15" s="1"/>
  <c r="G23" i="14"/>
  <c r="S20" i="14"/>
  <c r="S40" i="14"/>
  <c r="S37" i="14"/>
  <c r="S18" i="14"/>
  <c r="AA31" i="14"/>
  <c r="AA40" i="14"/>
  <c r="AA18" i="14"/>
  <c r="BL31" i="14"/>
  <c r="CP23" i="14"/>
  <c r="BL40" i="14"/>
  <c r="BL18" i="14"/>
  <c r="BL11" i="14"/>
  <c r="BL20" i="14"/>
  <c r="BL37" i="14"/>
  <c r="BL14" i="14"/>
  <c r="T14" i="14"/>
  <c r="AK52" i="7"/>
  <c r="CP40" i="14"/>
  <c r="N18" i="14"/>
  <c r="CP20" i="14"/>
  <c r="CQ14" i="14"/>
  <c r="AZ31" i="14"/>
  <c r="AZ14" i="14"/>
  <c r="AZ11" i="14"/>
  <c r="AZ40" i="14"/>
  <c r="AA14" i="14"/>
  <c r="H31" i="14"/>
  <c r="H37" i="14"/>
  <c r="CP11" i="14"/>
  <c r="AA23" i="14"/>
  <c r="AZ20" i="14"/>
  <c r="AZ37" i="14"/>
  <c r="AA20" i="14"/>
  <c r="AZ23" i="14"/>
  <c r="CE40" i="14"/>
  <c r="CP37" i="14"/>
  <c r="CP31" i="14"/>
  <c r="CF14" i="14"/>
  <c r="CE31" i="14"/>
  <c r="CE11" i="14"/>
  <c r="CE37" i="14"/>
  <c r="CE14" i="14"/>
  <c r="CE18" i="14"/>
  <c r="CE20" i="14"/>
  <c r="H20" i="14"/>
  <c r="H14" i="14"/>
  <c r="H40" i="14"/>
  <c r="H23" i="14"/>
  <c r="N14" i="14"/>
  <c r="N37" i="14"/>
  <c r="S57" i="7"/>
  <c r="S142" i="7" s="1"/>
  <c r="N40" i="14"/>
  <c r="N20" i="14"/>
  <c r="N23" i="14"/>
  <c r="N31" i="14"/>
  <c r="AB37" i="14"/>
  <c r="AW52" i="7"/>
  <c r="BV57" i="7"/>
  <c r="BV142" i="7" s="1"/>
  <c r="BI52" i="7"/>
  <c r="D23" i="14"/>
  <c r="D37" i="14"/>
  <c r="BO18" i="14"/>
  <c r="BO11" i="14"/>
  <c r="D18" i="14"/>
  <c r="V3" i="12"/>
  <c r="V19" i="12"/>
  <c r="BK19" i="12"/>
  <c r="BK3" i="12"/>
  <c r="T19" i="12"/>
  <c r="T3" i="12"/>
  <c r="E19" i="12"/>
  <c r="E3" i="12"/>
  <c r="AH3" i="12"/>
  <c r="AH19" i="12"/>
  <c r="R19" i="12"/>
  <c r="R3" i="12"/>
  <c r="Q19" i="12"/>
  <c r="Q3" i="12"/>
  <c r="BJ19" i="12"/>
  <c r="BJ3" i="12"/>
  <c r="AT3" i="12"/>
  <c r="AT19" i="12"/>
  <c r="P19" i="12"/>
  <c r="P3" i="12"/>
  <c r="AI19" i="12"/>
  <c r="AI3" i="12"/>
  <c r="Y19" i="12"/>
  <c r="Y3" i="12"/>
  <c r="AD19" i="12"/>
  <c r="AD3" i="12"/>
  <c r="AE19" i="12"/>
  <c r="AE3" i="12"/>
  <c r="BD19" i="12"/>
  <c r="BD3" i="12"/>
  <c r="C19" i="12"/>
  <c r="C3" i="12"/>
  <c r="I3" i="12"/>
  <c r="I19" i="12"/>
  <c r="AJ19" i="12"/>
  <c r="AJ3" i="12"/>
  <c r="AW19" i="12"/>
  <c r="AW3" i="12"/>
  <c r="AZ19" i="12"/>
  <c r="AZ3" i="12"/>
  <c r="AC19" i="12"/>
  <c r="AC3" i="12"/>
  <c r="BF3" i="12"/>
  <c r="BF19" i="12"/>
  <c r="AU19" i="12"/>
  <c r="AU3" i="12"/>
  <c r="BI19" i="12"/>
  <c r="BI3" i="12"/>
  <c r="X3" i="12"/>
  <c r="X19" i="12"/>
  <c r="W3" i="12"/>
  <c r="W19" i="12"/>
  <c r="AF19" i="12"/>
  <c r="AF3" i="12"/>
  <c r="AB19" i="12"/>
  <c r="AB3" i="12"/>
  <c r="D40" i="14"/>
  <c r="AP19" i="12"/>
  <c r="AP3" i="12"/>
  <c r="AQ19" i="12"/>
  <c r="AQ3" i="12"/>
  <c r="AV19" i="12"/>
  <c r="AV3" i="12"/>
  <c r="AY19" i="12"/>
  <c r="AY3" i="12"/>
  <c r="U3" i="12"/>
  <c r="U19" i="12"/>
  <c r="AA19" i="12"/>
  <c r="AA3" i="12"/>
  <c r="BL19" i="12"/>
  <c r="BL3" i="12"/>
  <c r="K19" i="12"/>
  <c r="K3" i="12"/>
  <c r="F19" i="12"/>
  <c r="F3" i="12"/>
  <c r="AL19" i="12"/>
  <c r="AL3" i="12"/>
  <c r="D31" i="14"/>
  <c r="D14" i="14"/>
  <c r="BA19" i="12"/>
  <c r="BA3" i="12"/>
  <c r="AR19" i="12"/>
  <c r="AR3" i="12"/>
  <c r="M19" i="12"/>
  <c r="M3" i="12"/>
  <c r="BG3" i="12"/>
  <c r="BG19" i="12"/>
  <c r="P18" i="14"/>
  <c r="BB19" i="12"/>
  <c r="BB3" i="12"/>
  <c r="BC19" i="12"/>
  <c r="BC3" i="12"/>
  <c r="AG19" i="12"/>
  <c r="AG3" i="12"/>
  <c r="AX19" i="12"/>
  <c r="AX3" i="12"/>
  <c r="G19" i="12"/>
  <c r="G3" i="12"/>
  <c r="AB18" i="14"/>
  <c r="AK19" i="12"/>
  <c r="AK3" i="12"/>
  <c r="BM19" i="12"/>
  <c r="BM3" i="12"/>
  <c r="D19" i="12"/>
  <c r="D3" i="12"/>
  <c r="J3" i="12"/>
  <c r="J19" i="12"/>
  <c r="O19" i="12"/>
  <c r="O3" i="12"/>
  <c r="AO19" i="12"/>
  <c r="AO3" i="12"/>
  <c r="AN19" i="12"/>
  <c r="AN3" i="12"/>
  <c r="N19" i="12"/>
  <c r="N3" i="12"/>
  <c r="AM19" i="12"/>
  <c r="AM3" i="12"/>
  <c r="Z19" i="12"/>
  <c r="Z3" i="12"/>
  <c r="BE3" i="12"/>
  <c r="BE19" i="12"/>
  <c r="BH3" i="12"/>
  <c r="BH19" i="12"/>
  <c r="BP14" i="14"/>
  <c r="S19" i="12"/>
  <c r="S3" i="12"/>
  <c r="CG52" i="7"/>
  <c r="BR57" i="7"/>
  <c r="BR142" i="7" s="1"/>
  <c r="BO40" i="14"/>
  <c r="H19" i="12"/>
  <c r="H3" i="12"/>
  <c r="AS3" i="12"/>
  <c r="AS19" i="12"/>
  <c r="L19" i="12"/>
  <c r="L3" i="12"/>
  <c r="P14" i="14"/>
  <c r="P31" i="14"/>
  <c r="P40" i="14"/>
  <c r="AB20" i="14"/>
  <c r="P23" i="14"/>
  <c r="Y52" i="7"/>
  <c r="P20" i="14"/>
  <c r="AB31" i="14"/>
  <c r="AB14" i="14"/>
  <c r="AB40" i="14"/>
  <c r="BO20" i="14"/>
  <c r="BO37" i="14"/>
  <c r="BO31" i="14"/>
  <c r="AT57" i="7"/>
  <c r="AT142" i="7" s="1"/>
  <c r="K57" i="7"/>
  <c r="K142" i="7" s="1"/>
  <c r="BF57" i="7"/>
  <c r="BF142" i="7" s="1"/>
  <c r="L66" i="7"/>
  <c r="M52" i="7"/>
  <c r="CD57" i="7"/>
  <c r="CD142" i="7" s="1"/>
  <c r="Z57" i="7"/>
  <c r="Z142" i="7" s="1"/>
  <c r="AN14" i="14"/>
  <c r="L31" i="14"/>
  <c r="BA57" i="7"/>
  <c r="BA142" i="7" s="1"/>
  <c r="AN11" i="14"/>
  <c r="AI47" i="7"/>
  <c r="AN37" i="14"/>
  <c r="L20" i="14"/>
  <c r="AN20" i="14"/>
  <c r="L14" i="14"/>
  <c r="AN23" i="14"/>
  <c r="L37" i="14"/>
  <c r="L23" i="14"/>
  <c r="AN31" i="14"/>
  <c r="H52" i="7"/>
  <c r="AN40" i="14"/>
  <c r="L40" i="14"/>
  <c r="BU37" i="14"/>
  <c r="AX57" i="7"/>
  <c r="AX142" i="7" s="1"/>
  <c r="CE57" i="7"/>
  <c r="CE142" i="7" s="1"/>
  <c r="BD52" i="7"/>
  <c r="BI31" i="14"/>
  <c r="BB52" i="7"/>
  <c r="AG57" i="7"/>
  <c r="AG142" i="7" s="1"/>
  <c r="CG31" i="14"/>
  <c r="CB52" i="7"/>
  <c r="AD31" i="14"/>
  <c r="BM57" i="7"/>
  <c r="BM142" i="7" s="1"/>
  <c r="CO37" i="14"/>
  <c r="BF52" i="7"/>
  <c r="F31" i="14"/>
  <c r="J57" i="7"/>
  <c r="J142" i="7" s="1"/>
  <c r="M18" i="14"/>
  <c r="G52" i="7"/>
  <c r="AF52" i="7"/>
  <c r="CG18" i="14"/>
  <c r="V57" i="7"/>
  <c r="V142" i="7" s="1"/>
  <c r="CS18" i="14"/>
  <c r="BS57" i="7"/>
  <c r="BS142" i="7" s="1"/>
  <c r="V52" i="7"/>
  <c r="BC52" i="7"/>
  <c r="AU57" i="7"/>
  <c r="AU142" i="7" s="1"/>
  <c r="AL57" i="7"/>
  <c r="AL142" i="7" s="1"/>
  <c r="BY40" i="14"/>
  <c r="CC40" i="14"/>
  <c r="CG40" i="14"/>
  <c r="CE47" i="7"/>
  <c r="AP57" i="7"/>
  <c r="AP142" i="7" s="1"/>
  <c r="BJ57" i="7"/>
  <c r="BJ142" i="7" s="1"/>
  <c r="CG37" i="14"/>
  <c r="X57" i="7"/>
  <c r="X142" i="7" s="1"/>
  <c r="BI40" i="14"/>
  <c r="AN66" i="7"/>
  <c r="BK57" i="7"/>
  <c r="CJ57" i="7"/>
  <c r="CJ142" i="7" s="1"/>
  <c r="BB57" i="7"/>
  <c r="AK57" i="7"/>
  <c r="AK142" i="7" s="1"/>
  <c r="AS66" i="7"/>
  <c r="BQ52" i="7"/>
  <c r="CP14" i="14"/>
  <c r="BF14" i="14"/>
  <c r="BQ31" i="14"/>
  <c r="R52" i="7"/>
  <c r="AP52" i="7"/>
  <c r="BE40" i="14"/>
  <c r="BP52" i="7"/>
  <c r="X52" i="7"/>
  <c r="CO31" i="14"/>
  <c r="AB57" i="7"/>
  <c r="AB142" i="7" s="1"/>
  <c r="BT57" i="7"/>
  <c r="AH14" i="14"/>
  <c r="AT52" i="7"/>
  <c r="CF57" i="7"/>
  <c r="AH57" i="7"/>
  <c r="AH142" i="7" s="1"/>
  <c r="J14" i="14"/>
  <c r="N57" i="7"/>
  <c r="N142" i="7" s="1"/>
  <c r="BW57" i="7"/>
  <c r="Q57" i="7"/>
  <c r="Q142" i="7" s="1"/>
  <c r="R31" i="14"/>
  <c r="BU31" i="14"/>
  <c r="CH57" i="7"/>
  <c r="CH142" i="7" s="1"/>
  <c r="BU57" i="7"/>
  <c r="BU142" i="7" s="1"/>
  <c r="CC66" i="7"/>
  <c r="AR52" i="7"/>
  <c r="BG57" i="7"/>
  <c r="BG142" i="7" s="1"/>
  <c r="BC57" i="7"/>
  <c r="BC142" i="7" s="1"/>
  <c r="I37" i="14"/>
  <c r="BQ18" i="14"/>
  <c r="AU47" i="7"/>
  <c r="BZ57" i="7"/>
  <c r="BU18" i="14"/>
  <c r="E57" i="7"/>
  <c r="E142" i="7" s="1"/>
  <c r="AJ52" i="7"/>
  <c r="CK47" i="7"/>
  <c r="AI57" i="7"/>
  <c r="AI142" i="7" s="1"/>
  <c r="AO57" i="7"/>
  <c r="AO142" i="7" s="1"/>
  <c r="E31" i="14"/>
  <c r="CS40" i="14"/>
  <c r="CS31" i="14"/>
  <c r="AH52" i="7"/>
  <c r="BO57" i="7"/>
  <c r="BO142" i="7" s="1"/>
  <c r="F40" i="14"/>
  <c r="AQ52" i="7"/>
  <c r="N52" i="7"/>
  <c r="CK40" i="14"/>
  <c r="CK31" i="14"/>
  <c r="J52" i="7"/>
  <c r="AG52" i="7"/>
  <c r="BA37" i="14"/>
  <c r="CS37" i="14"/>
  <c r="AQ31" i="14"/>
  <c r="AL66" i="7"/>
  <c r="CB66" i="7"/>
  <c r="W57" i="7"/>
  <c r="W142" i="7" s="1"/>
  <c r="AN57" i="7"/>
  <c r="AN142" i="7" s="1"/>
  <c r="CO40" i="14"/>
  <c r="AZ57" i="7"/>
  <c r="AZ142" i="7" s="1"/>
  <c r="BH57" i="7"/>
  <c r="W47" i="7"/>
  <c r="AA47" i="7"/>
  <c r="BN57" i="7"/>
  <c r="AM57" i="7"/>
  <c r="AM142" i="7" s="1"/>
  <c r="V14" i="14"/>
  <c r="AS37" i="14"/>
  <c r="BI18" i="14"/>
  <c r="CW39" i="14"/>
  <c r="ER39" i="14" s="1"/>
  <c r="AP20" i="14"/>
  <c r="AQ14" i="14"/>
  <c r="AP18" i="14"/>
  <c r="AP14" i="14"/>
  <c r="AP23" i="14"/>
  <c r="AP113" i="18" s="1"/>
  <c r="AP139" i="18" s="1"/>
  <c r="AP11" i="14"/>
  <c r="AP37" i="14"/>
  <c r="AP31" i="14"/>
  <c r="Y23" i="14"/>
  <c r="Y113" i="18" s="1"/>
  <c r="Y139" i="18" s="1"/>
  <c r="Y14" i="14"/>
  <c r="Y20" i="14"/>
  <c r="L57" i="7"/>
  <c r="L142" i="7" s="1"/>
  <c r="BV52" i="7"/>
  <c r="AV66" i="7"/>
  <c r="F52" i="7"/>
  <c r="CA57" i="7"/>
  <c r="CA142" i="7" s="1"/>
  <c r="CG57" i="7"/>
  <c r="CG142" i="7" s="1"/>
  <c r="AT14" i="14"/>
  <c r="BB23" i="14"/>
  <c r="BB113" i="18" s="1"/>
  <c r="BB139" i="18" s="1"/>
  <c r="BB20" i="14"/>
  <c r="BB40" i="14"/>
  <c r="BC14" i="14"/>
  <c r="BB37" i="14"/>
  <c r="BB14" i="14"/>
  <c r="BB18" i="14"/>
  <c r="BB11" i="14"/>
  <c r="M14" i="14"/>
  <c r="M23" i="14"/>
  <c r="M113" i="18" s="1"/>
  <c r="M139" i="18" s="1"/>
  <c r="M20" i="14"/>
  <c r="M37" i="14"/>
  <c r="BB31" i="14"/>
  <c r="CF33" i="14"/>
  <c r="CF24" i="14"/>
  <c r="BE31" i="14"/>
  <c r="AS31" i="14"/>
  <c r="AP40" i="14"/>
  <c r="Q31" i="14"/>
  <c r="I20" i="14"/>
  <c r="I23" i="14"/>
  <c r="I113" i="18" s="1"/>
  <c r="I139" i="18" s="1"/>
  <c r="I14" i="14"/>
  <c r="BM31" i="14"/>
  <c r="E37" i="14"/>
  <c r="E20" i="14"/>
  <c r="E14" i="14"/>
  <c r="E23" i="14"/>
  <c r="E113" i="18" s="1"/>
  <c r="E139" i="18" s="1"/>
  <c r="CA14" i="14"/>
  <c r="BZ14" i="14"/>
  <c r="BZ31" i="14"/>
  <c r="BZ23" i="14"/>
  <c r="BZ113" i="18" s="1"/>
  <c r="BZ11" i="14"/>
  <c r="BZ37" i="14"/>
  <c r="BZ20" i="14"/>
  <c r="BZ18" i="14"/>
  <c r="AK14" i="14"/>
  <c r="AK23" i="14"/>
  <c r="AK113" i="18" s="1"/>
  <c r="AK139" i="18" s="1"/>
  <c r="AK20" i="14"/>
  <c r="U20" i="14"/>
  <c r="U14" i="14"/>
  <c r="U23" i="14"/>
  <c r="U113" i="18" s="1"/>
  <c r="U139" i="18" s="1"/>
  <c r="Y31" i="14"/>
  <c r="AC31" i="14"/>
  <c r="Q20" i="14"/>
  <c r="Q23" i="14"/>
  <c r="Q113" i="18" s="1"/>
  <c r="Q139" i="18" s="1"/>
  <c r="Q37" i="14"/>
  <c r="Q14" i="14"/>
  <c r="CL20" i="14"/>
  <c r="CM14" i="14"/>
  <c r="CL37" i="14"/>
  <c r="CL18" i="14"/>
  <c r="CL23" i="14"/>
  <c r="CL11" i="14"/>
  <c r="CL14" i="14"/>
  <c r="CL31" i="14"/>
  <c r="AW11" i="14"/>
  <c r="AW14" i="14"/>
  <c r="AW23" i="14"/>
  <c r="AW113" i="18" s="1"/>
  <c r="AW139" i="18" s="1"/>
  <c r="AW20" i="14"/>
  <c r="AG23" i="14"/>
  <c r="AG113" i="18" s="1"/>
  <c r="AG139" i="18" s="1"/>
  <c r="AG20" i="14"/>
  <c r="AG14" i="14"/>
  <c r="AG37" i="14"/>
  <c r="AW31" i="14"/>
  <c r="Z14" i="14"/>
  <c r="AV52" i="7"/>
  <c r="AV57" i="7"/>
  <c r="AV142" i="7" s="1"/>
  <c r="AC23" i="14"/>
  <c r="AC113" i="18" s="1"/>
  <c r="AC139" i="18" s="1"/>
  <c r="AC14" i="14"/>
  <c r="AC40" i="14"/>
  <c r="AC20" i="14"/>
  <c r="AS20" i="14"/>
  <c r="AS23" i="14"/>
  <c r="AS113" i="18" s="1"/>
  <c r="AS139" i="18" s="1"/>
  <c r="AS14" i="14"/>
  <c r="AS11" i="14"/>
  <c r="E18" i="14"/>
  <c r="AO23" i="14"/>
  <c r="AO113" i="18" s="1"/>
  <c r="AO139" i="18" s="1"/>
  <c r="AO20" i="14"/>
  <c r="AO37" i="14"/>
  <c r="AO11" i="14"/>
  <c r="AO14" i="14"/>
  <c r="AO40" i="14"/>
  <c r="BE20" i="14"/>
  <c r="BE14" i="14"/>
  <c r="BE11" i="14"/>
  <c r="BE23" i="14"/>
  <c r="BE113" i="18" s="1"/>
  <c r="BE139" i="18" s="1"/>
  <c r="AL14" i="14"/>
  <c r="Q18" i="14"/>
  <c r="I66" i="7"/>
  <c r="BT52" i="7"/>
  <c r="AC52" i="7"/>
  <c r="BZ52" i="7"/>
  <c r="M57" i="7"/>
  <c r="M142" i="7" s="1"/>
  <c r="BA23" i="14"/>
  <c r="BA113" i="18" s="1"/>
  <c r="BA139" i="18" s="1"/>
  <c r="BA40" i="14"/>
  <c r="BA20" i="14"/>
  <c r="BA14" i="14"/>
  <c r="BA11" i="14"/>
  <c r="AC37" i="14"/>
  <c r="U37" i="14"/>
  <c r="BQ23" i="14"/>
  <c r="BQ20" i="14"/>
  <c r="BQ11" i="14"/>
  <c r="BQ14" i="14"/>
  <c r="AC18" i="14"/>
  <c r="BM23" i="14"/>
  <c r="BM113" i="18" s="1"/>
  <c r="BM139" i="18" s="1"/>
  <c r="BM14" i="14"/>
  <c r="BM40" i="14"/>
  <c r="BM11" i="14"/>
  <c r="BM20" i="14"/>
  <c r="CC20" i="14"/>
  <c r="CC11" i="14"/>
  <c r="CC23" i="14"/>
  <c r="CC14" i="14"/>
  <c r="Y37" i="14"/>
  <c r="I40" i="14"/>
  <c r="BI14" i="14"/>
  <c r="BI11" i="14"/>
  <c r="BI23" i="14"/>
  <c r="BI113" i="18" s="1"/>
  <c r="BI139" i="18" s="1"/>
  <c r="BI20" i="14"/>
  <c r="AO18" i="14"/>
  <c r="BN23" i="14"/>
  <c r="BN20" i="14"/>
  <c r="BO14" i="14"/>
  <c r="BN14" i="14"/>
  <c r="BN40" i="14"/>
  <c r="BN11" i="14"/>
  <c r="BN31" i="14"/>
  <c r="BN18" i="14"/>
  <c r="BA52" i="7"/>
  <c r="CI57" i="7"/>
  <c r="BY37" i="14"/>
  <c r="BY11" i="14"/>
  <c r="BY23" i="14"/>
  <c r="BY113" i="18" s="1"/>
  <c r="BY139" i="18" s="1"/>
  <c r="BY14" i="14"/>
  <c r="BY20" i="14"/>
  <c r="G14" i="14"/>
  <c r="F20" i="14"/>
  <c r="F18" i="14"/>
  <c r="F14" i="14"/>
  <c r="F23" i="14"/>
  <c r="F113" i="18" s="1"/>
  <c r="F139" i="18" s="1"/>
  <c r="I31" i="14"/>
  <c r="U40" i="14"/>
  <c r="BE37" i="14"/>
  <c r="CO23" i="14"/>
  <c r="CO14" i="14"/>
  <c r="CO20" i="14"/>
  <c r="CO11" i="14"/>
  <c r="AK37" i="14"/>
  <c r="Y18" i="14"/>
  <c r="BU20" i="14"/>
  <c r="BU14" i="14"/>
  <c r="BU11" i="14"/>
  <c r="BU23" i="14"/>
  <c r="BU113" i="18" s="1"/>
  <c r="BU139" i="18" s="1"/>
  <c r="BU40" i="14"/>
  <c r="BA18" i="14"/>
  <c r="BM52" i="7"/>
  <c r="M31" i="14"/>
  <c r="CD14" i="14"/>
  <c r="CK20" i="14"/>
  <c r="CK23" i="14"/>
  <c r="CK113" i="18" s="1"/>
  <c r="CK139" i="18" s="1"/>
  <c r="CK37" i="14"/>
  <c r="CK11" i="14"/>
  <c r="CK14" i="14"/>
  <c r="R23" i="14"/>
  <c r="R113" i="18" s="1"/>
  <c r="R139" i="18" s="1"/>
  <c r="R37" i="14"/>
  <c r="S14" i="14"/>
  <c r="R20" i="14"/>
  <c r="R14" i="14"/>
  <c r="R18" i="14"/>
  <c r="U31" i="14"/>
  <c r="AG40" i="14"/>
  <c r="BQ37" i="14"/>
  <c r="AW37" i="14"/>
  <c r="AK18" i="14"/>
  <c r="CG14" i="14"/>
  <c r="CG23" i="14"/>
  <c r="CG113" i="18" s="1"/>
  <c r="CG139" i="18" s="1"/>
  <c r="CG20" i="14"/>
  <c r="CG11" i="14"/>
  <c r="AX14" i="14"/>
  <c r="BM18" i="14"/>
  <c r="BE57" i="7"/>
  <c r="P57" i="7"/>
  <c r="P142" i="7" s="1"/>
  <c r="BY57" i="7"/>
  <c r="BY142" i="7" s="1"/>
  <c r="AK31" i="14"/>
  <c r="BR14" i="14"/>
  <c r="AD23" i="14"/>
  <c r="AD113" i="18" s="1"/>
  <c r="AD139" i="18" s="1"/>
  <c r="AE14" i="14"/>
  <c r="AD40" i="14"/>
  <c r="AD18" i="14"/>
  <c r="AD37" i="14"/>
  <c r="AD20" i="14"/>
  <c r="AD14" i="14"/>
  <c r="AG31" i="14"/>
  <c r="AS40" i="14"/>
  <c r="CC37" i="14"/>
  <c r="M40" i="14"/>
  <c r="BI37" i="14"/>
  <c r="AW18" i="14"/>
  <c r="CS23" i="14"/>
  <c r="CS113" i="18" s="1"/>
  <c r="CS139" i="18" s="1"/>
  <c r="CS14" i="14"/>
  <c r="CS20" i="14"/>
  <c r="CS11" i="14"/>
  <c r="BY18" i="14"/>
  <c r="CC18" i="14"/>
  <c r="CN150" i="7"/>
  <c r="EI150" i="7" s="1"/>
  <c r="CW313" i="2"/>
  <c r="CC52" i="7"/>
  <c r="AH66" i="7"/>
  <c r="Q52" i="7"/>
  <c r="P52" i="7"/>
  <c r="BD57" i="7"/>
  <c r="BD142" i="7" s="1"/>
  <c r="CF52" i="7"/>
  <c r="CC57" i="7"/>
  <c r="I57" i="7"/>
  <c r="I142" i="7" s="1"/>
  <c r="AY57" i="7"/>
  <c r="AY142" i="7" s="1"/>
  <c r="U57" i="7"/>
  <c r="U142" i="7" s="1"/>
  <c r="BY66" i="7"/>
  <c r="D66" i="7"/>
  <c r="CK66" i="7"/>
  <c r="AS57" i="7"/>
  <c r="AS142" i="7" s="1"/>
  <c r="AW57" i="7"/>
  <c r="AW142" i="7" s="1"/>
  <c r="T57" i="7"/>
  <c r="T142" i="7" s="1"/>
  <c r="L52" i="7"/>
  <c r="BI57" i="7"/>
  <c r="BI142" i="7" s="1"/>
  <c r="CK57" i="7"/>
  <c r="CK142" i="7" s="1"/>
  <c r="C57" i="7"/>
  <c r="C142" i="7" s="1"/>
  <c r="CN90" i="7"/>
  <c r="EI90" i="7" s="1"/>
  <c r="CW245" i="2"/>
  <c r="AX66" i="7"/>
  <c r="CH52" i="7"/>
  <c r="AS52" i="7"/>
  <c r="K52" i="7"/>
  <c r="Y57" i="7"/>
  <c r="Y142" i="7" s="1"/>
  <c r="AC57" i="7"/>
  <c r="AC142" i="7" s="1"/>
  <c r="H57" i="7"/>
  <c r="H142" i="7" s="1"/>
  <c r="D57" i="7"/>
  <c r="D142" i="7" s="1"/>
  <c r="AE57" i="7"/>
  <c r="AE142" i="7" s="1"/>
  <c r="CI52" i="7"/>
  <c r="Z52" i="7"/>
  <c r="T66" i="7"/>
  <c r="BG66" i="7"/>
  <c r="R66" i="7"/>
  <c r="F57" i="7"/>
  <c r="F142" i="7" s="1"/>
  <c r="BU66" i="7"/>
  <c r="R57" i="7"/>
  <c r="R142" i="7" s="1"/>
  <c r="O57" i="7"/>
  <c r="O142" i="7" s="1"/>
  <c r="AQ57" i="7"/>
  <c r="AQ142" i="7" s="1"/>
  <c r="AD57" i="7"/>
  <c r="AD142" i="7" s="1"/>
  <c r="AA57" i="7"/>
  <c r="AA142" i="7" s="1"/>
  <c r="AJ57" i="7"/>
  <c r="AJ142" i="7" s="1"/>
  <c r="BW66" i="7"/>
  <c r="BJ66" i="7"/>
  <c r="BE52" i="7"/>
  <c r="P66" i="7"/>
  <c r="W66" i="7"/>
  <c r="CI66" i="7"/>
  <c r="AE52" i="7"/>
  <c r="AT47" i="7"/>
  <c r="AF57" i="7"/>
  <c r="AF142" i="7" s="1"/>
  <c r="CA52" i="7"/>
  <c r="AR57" i="7"/>
  <c r="AR142" i="7" s="1"/>
  <c r="AO47" i="7"/>
  <c r="AC66" i="7"/>
  <c r="AL52" i="7"/>
  <c r="AN47" i="7"/>
  <c r="AO66" i="7"/>
  <c r="BS52" i="7"/>
  <c r="BP57" i="7"/>
  <c r="BP142" i="7" s="1"/>
  <c r="AX52" i="7"/>
  <c r="X66" i="7"/>
  <c r="I52" i="7"/>
  <c r="S52" i="7"/>
  <c r="G57" i="7"/>
  <c r="G142" i="7" s="1"/>
  <c r="BQ57" i="7"/>
  <c r="BL57" i="7"/>
  <c r="BL142" i="7" s="1"/>
  <c r="CB57" i="7"/>
  <c r="CB142" i="7" s="1"/>
  <c r="Z66" i="7"/>
  <c r="BJ47" i="7"/>
  <c r="AJ66" i="7"/>
  <c r="BL47" i="7"/>
  <c r="BD66" i="7"/>
  <c r="U52" i="7"/>
  <c r="BY52" i="7"/>
  <c r="BM66" i="7"/>
  <c r="E52" i="7"/>
  <c r="BX57" i="7"/>
  <c r="BX142" i="7" s="1"/>
  <c r="AY66" i="7"/>
  <c r="BE66" i="7"/>
  <c r="AF66" i="7"/>
  <c r="BS66" i="7"/>
  <c r="BK66" i="7"/>
  <c r="CE52" i="7"/>
  <c r="AD52" i="7"/>
  <c r="CG66" i="7"/>
  <c r="BO52" i="7"/>
  <c r="BH52" i="7"/>
  <c r="K66" i="7"/>
  <c r="BN52" i="7"/>
  <c r="AA66" i="7"/>
  <c r="AA52" i="7"/>
  <c r="D52" i="7"/>
  <c r="S66" i="7"/>
  <c r="C52" i="7"/>
  <c r="BQ66" i="7"/>
  <c r="N66" i="7"/>
  <c r="AR66" i="7"/>
  <c r="CE66" i="7"/>
  <c r="BA66" i="7"/>
  <c r="AD47" i="7"/>
  <c r="AD66" i="7"/>
  <c r="AE47" i="7"/>
  <c r="AE66" i="7"/>
  <c r="BR66" i="7"/>
  <c r="O52" i="7"/>
  <c r="AP66" i="7"/>
  <c r="BC47" i="7"/>
  <c r="BC66" i="7"/>
  <c r="CD66" i="7"/>
  <c r="BP66" i="7"/>
  <c r="AO52" i="7"/>
  <c r="AM52" i="7"/>
  <c r="CD47" i="7"/>
  <c r="CD52" i="7"/>
  <c r="BH66" i="7"/>
  <c r="BU47" i="7"/>
  <c r="BN47" i="7"/>
  <c r="BN66" i="7"/>
  <c r="AY52" i="7"/>
  <c r="AB52" i="7"/>
  <c r="BT66" i="7"/>
  <c r="BZ47" i="7"/>
  <c r="BZ66" i="7"/>
  <c r="AN52" i="7"/>
  <c r="BU52" i="7"/>
  <c r="BO47" i="7"/>
  <c r="BO66" i="7"/>
  <c r="M66" i="7"/>
  <c r="BK52" i="7"/>
  <c r="AW47" i="7"/>
  <c r="AW66" i="7"/>
  <c r="BI66" i="7"/>
  <c r="BV66" i="7"/>
  <c r="CF66" i="7"/>
  <c r="AJ47" i="7"/>
  <c r="J47" i="7"/>
  <c r="J66" i="7"/>
  <c r="AB66" i="7"/>
  <c r="CJ66" i="7"/>
  <c r="BW52" i="7"/>
  <c r="AZ52" i="7"/>
  <c r="CH66" i="7"/>
  <c r="G47" i="7"/>
  <c r="G66" i="7"/>
  <c r="V47" i="7"/>
  <c r="V66" i="7"/>
  <c r="BG47" i="7"/>
  <c r="BJ52" i="7"/>
  <c r="CK52" i="7"/>
  <c r="BL52" i="7"/>
  <c r="W52" i="7"/>
  <c r="F47" i="7"/>
  <c r="F66" i="7"/>
  <c r="AK66" i="7"/>
  <c r="AZ66" i="7"/>
  <c r="R47" i="7"/>
  <c r="BX52" i="7"/>
  <c r="AI52" i="7"/>
  <c r="BB47" i="7"/>
  <c r="BB66" i="7"/>
  <c r="AQ47" i="7"/>
  <c r="AQ66" i="7"/>
  <c r="U66" i="7"/>
  <c r="CA47" i="7"/>
  <c r="CA66" i="7"/>
  <c r="BP47" i="7"/>
  <c r="AT66" i="7"/>
  <c r="AI66" i="7"/>
  <c r="O47" i="7"/>
  <c r="O66" i="7"/>
  <c r="BL66" i="7"/>
  <c r="E66" i="7"/>
  <c r="AP47" i="7"/>
  <c r="CJ52" i="7"/>
  <c r="AU52" i="7"/>
  <c r="AG66" i="7"/>
  <c r="Y66" i="7"/>
  <c r="H66" i="7"/>
  <c r="BF66" i="7"/>
  <c r="AU66" i="7"/>
  <c r="AM66" i="7"/>
  <c r="BX66" i="7"/>
  <c r="Q66" i="7"/>
  <c r="BR47" i="7"/>
  <c r="BR52" i="7"/>
  <c r="T52" i="7"/>
  <c r="BG52" i="7"/>
  <c r="AY47" i="7"/>
  <c r="Y47" i="7"/>
  <c r="AH47" i="7"/>
  <c r="BS47" i="7"/>
  <c r="BQ47" i="7"/>
  <c r="C47" i="7"/>
  <c r="CC47" i="7"/>
  <c r="E47" i="7"/>
  <c r="BV47" i="7"/>
  <c r="AC47" i="7"/>
  <c r="CI47" i="7"/>
  <c r="L47" i="7"/>
  <c r="M47" i="7"/>
  <c r="BH47" i="7"/>
  <c r="BA47" i="7"/>
  <c r="CF47" i="7"/>
  <c r="BY47" i="7"/>
  <c r="AM47" i="7"/>
  <c r="AB47" i="7"/>
  <c r="K47" i="7"/>
  <c r="AS47" i="7"/>
  <c r="CJ47" i="7"/>
  <c r="U47" i="7"/>
  <c r="AG47" i="7"/>
  <c r="BF47" i="7"/>
  <c r="Q47" i="7"/>
  <c r="H47" i="7"/>
  <c r="BX47" i="7"/>
  <c r="T47" i="7"/>
  <c r="BE47" i="7"/>
  <c r="N47" i="7"/>
  <c r="AF47" i="7"/>
  <c r="BK47" i="7"/>
  <c r="BW47" i="7"/>
  <c r="BM47" i="7"/>
  <c r="S47" i="7"/>
  <c r="BT47" i="7"/>
  <c r="BI47" i="7"/>
  <c r="D47" i="7"/>
  <c r="CG47" i="7"/>
  <c r="P47" i="7"/>
  <c r="AR47" i="7"/>
  <c r="I47" i="7"/>
  <c r="AK47" i="7"/>
  <c r="X47" i="7"/>
  <c r="BD47" i="7"/>
  <c r="AV47" i="7"/>
  <c r="AZ47" i="7"/>
  <c r="CH47" i="7"/>
  <c r="Z47" i="7"/>
  <c r="AL47" i="7"/>
  <c r="CB47" i="7"/>
  <c r="AX47" i="7"/>
  <c r="FG29" i="18" l="1"/>
  <c r="U43" i="18"/>
  <c r="X32" i="18"/>
  <c r="U32" i="18"/>
  <c r="X27" i="15"/>
  <c r="X47" i="15" s="1"/>
  <c r="X45" i="15" s="1"/>
  <c r="X80" i="18" s="1"/>
  <c r="U27" i="15"/>
  <c r="U47" i="15" s="1"/>
  <c r="U45" i="15" s="1"/>
  <c r="U80" i="18" s="1"/>
  <c r="EC135" i="13"/>
  <c r="EJ135" i="13" s="1"/>
  <c r="DX23" i="11"/>
  <c r="DH40" i="11"/>
  <c r="DI40" i="11"/>
  <c r="DB40" i="11"/>
  <c r="DA40" i="11"/>
  <c r="DD40" i="11"/>
  <c r="DY25" i="11"/>
  <c r="DJ40" i="11"/>
  <c r="CZ40" i="11"/>
  <c r="DF40" i="11"/>
  <c r="DC40" i="11"/>
  <c r="DG40" i="11"/>
  <c r="CY40" i="11"/>
  <c r="DE40" i="11"/>
  <c r="EW36" i="7"/>
  <c r="EW58" i="7" s="1"/>
  <c r="EZ37" i="7"/>
  <c r="EZ59" i="7" s="1"/>
  <c r="EV37" i="7"/>
  <c r="EV59" i="7" s="1"/>
  <c r="EY37" i="7"/>
  <c r="EY59" i="7" s="1"/>
  <c r="EX36" i="7"/>
  <c r="EX58" i="7" s="1"/>
  <c r="EW37" i="7"/>
  <c r="EW59" i="7" s="1"/>
  <c r="EX81" i="7"/>
  <c r="EV81" i="7"/>
  <c r="EV36" i="7"/>
  <c r="EV58" i="7" s="1"/>
  <c r="EX37" i="7"/>
  <c r="EX59" i="7" s="1"/>
  <c r="EW81" i="7"/>
  <c r="DG121" i="11"/>
  <c r="CZ91" i="12"/>
  <c r="DH91" i="12"/>
  <c r="CY121" i="11"/>
  <c r="DA91" i="12"/>
  <c r="DJ91" i="12"/>
  <c r="DC91" i="12"/>
  <c r="AI74" i="18"/>
  <c r="DB91" i="12"/>
  <c r="EB123" i="11"/>
  <c r="CY91" i="12"/>
  <c r="DG91" i="12"/>
  <c r="DE91" i="12"/>
  <c r="K74" i="18"/>
  <c r="BG74" i="18"/>
  <c r="FE50" i="18"/>
  <c r="DD91" i="12"/>
  <c r="FG50" i="18"/>
  <c r="DF91" i="12"/>
  <c r="AY74" i="18"/>
  <c r="DY123" i="11"/>
  <c r="EJ31" i="14"/>
  <c r="DD121" i="11"/>
  <c r="DX123" i="11"/>
  <c r="DZ123" i="11"/>
  <c r="DL121" i="11"/>
  <c r="BC113" i="18"/>
  <c r="BC139" i="18" s="1"/>
  <c r="BC33" i="14"/>
  <c r="BC24" i="14"/>
  <c r="EA123" i="11"/>
  <c r="FF50" i="18"/>
  <c r="DO121" i="11"/>
  <c r="DJ121" i="11"/>
  <c r="DM121" i="11"/>
  <c r="DB121" i="11"/>
  <c r="DE121" i="11"/>
  <c r="BP74" i="18"/>
  <c r="D74" i="18"/>
  <c r="CN21" i="14"/>
  <c r="CN104" i="18"/>
  <c r="BH113" i="18"/>
  <c r="BH139" i="18" s="1"/>
  <c r="BH24" i="14"/>
  <c r="BH33" i="14"/>
  <c r="BH34" i="14" s="1"/>
  <c r="CM21" i="14"/>
  <c r="CM104" i="18"/>
  <c r="CM33" i="14"/>
  <c r="CM24" i="14"/>
  <c r="CM113" i="18"/>
  <c r="CM139" i="18" s="1"/>
  <c r="AQ21" i="14"/>
  <c r="AQ104" i="18"/>
  <c r="BI74" i="18"/>
  <c r="AS74" i="18"/>
  <c r="AE113" i="18"/>
  <c r="AE139" i="18" s="1"/>
  <c r="AE33" i="14"/>
  <c r="AE24" i="14"/>
  <c r="BP113" i="18"/>
  <c r="BP139" i="18" s="1"/>
  <c r="BP33" i="14"/>
  <c r="BP24" i="14"/>
  <c r="BH21" i="14"/>
  <c r="BH104" i="18"/>
  <c r="BS74" i="18"/>
  <c r="AU74" i="18"/>
  <c r="AM74" i="18"/>
  <c r="DI91" i="12"/>
  <c r="CH104" i="18"/>
  <c r="CH21" i="14"/>
  <c r="DX66" i="7"/>
  <c r="EK14" i="14"/>
  <c r="DR121" i="11"/>
  <c r="AY113" i="18"/>
  <c r="AY139" i="18" s="1"/>
  <c r="AY33" i="14"/>
  <c r="AY24" i="14"/>
  <c r="BR113" i="18"/>
  <c r="BR139" i="18" s="1"/>
  <c r="BR33" i="14"/>
  <c r="BR24" i="14"/>
  <c r="CT113" i="18"/>
  <c r="CT139" i="18" s="1"/>
  <c r="CT33" i="14"/>
  <c r="CT24" i="14"/>
  <c r="CD113" i="18"/>
  <c r="CD139" i="18" s="1"/>
  <c r="CD24" i="14"/>
  <c r="CD33" i="14"/>
  <c r="AL104" i="18"/>
  <c r="AL21" i="14"/>
  <c r="AE80" i="18"/>
  <c r="AE43" i="15"/>
  <c r="AF60" i="11"/>
  <c r="D60" i="11"/>
  <c r="AZ74" i="18"/>
  <c r="BG21" i="14"/>
  <c r="BG104" i="18"/>
  <c r="BW21" i="14"/>
  <c r="BW104" i="18"/>
  <c r="AY104" i="18"/>
  <c r="AY21" i="14"/>
  <c r="J113" i="18"/>
  <c r="J139" i="18" s="1"/>
  <c r="J33" i="14"/>
  <c r="J24" i="14"/>
  <c r="CR113" i="18"/>
  <c r="CR33" i="14"/>
  <c r="CR24" i="14"/>
  <c r="CJ113" i="18"/>
  <c r="CJ139" i="18" s="1"/>
  <c r="CJ24" i="14"/>
  <c r="CJ33" i="14"/>
  <c r="FF86" i="15"/>
  <c r="CR27" i="15"/>
  <c r="CC27" i="15"/>
  <c r="CZ121" i="11"/>
  <c r="EI14" i="14"/>
  <c r="AA60" i="11"/>
  <c r="X113" i="18"/>
  <c r="X139" i="18" s="1"/>
  <c r="X24" i="14"/>
  <c r="X33" i="14"/>
  <c r="AU113" i="18"/>
  <c r="AU139" i="18" s="1"/>
  <c r="AU33" i="14"/>
  <c r="AU24" i="14"/>
  <c r="CI33" i="14"/>
  <c r="CI42" i="14" s="1"/>
  <c r="CI24" i="14"/>
  <c r="FG86" i="15"/>
  <c r="ED66" i="7"/>
  <c r="L74" i="18"/>
  <c r="EH31" i="14"/>
  <c r="DK121" i="11"/>
  <c r="DI121" i="11"/>
  <c r="DP121" i="11"/>
  <c r="DC121" i="11"/>
  <c r="DN121" i="11"/>
  <c r="DA121" i="11"/>
  <c r="DH121" i="11"/>
  <c r="DF121" i="11"/>
  <c r="CJ74" i="18"/>
  <c r="EH40" i="14"/>
  <c r="J74" i="18"/>
  <c r="CE74" i="18"/>
  <c r="CT74" i="18"/>
  <c r="Y74" i="18"/>
  <c r="AA74" i="18"/>
  <c r="EH37" i="14"/>
  <c r="BW33" i="14"/>
  <c r="BW24" i="14"/>
  <c r="BG113" i="18"/>
  <c r="BG139" i="18" s="1"/>
  <c r="BG24" i="14"/>
  <c r="BG33" i="14"/>
  <c r="AI113" i="18"/>
  <c r="AI139" i="18" s="1"/>
  <c r="AI24" i="14"/>
  <c r="AI33" i="14"/>
  <c r="AI21" i="14"/>
  <c r="AI104" i="18"/>
  <c r="K21" i="14"/>
  <c r="K104" i="18"/>
  <c r="C113" i="18"/>
  <c r="C139" i="18" s="1"/>
  <c r="C24" i="14"/>
  <c r="C33" i="14"/>
  <c r="Z113" i="18"/>
  <c r="Z139" i="18" s="1"/>
  <c r="Z33" i="14"/>
  <c r="Z24" i="14"/>
  <c r="Z21" i="14"/>
  <c r="Z104" i="18"/>
  <c r="AT104" i="18"/>
  <c r="AT21" i="14"/>
  <c r="CT21" i="14"/>
  <c r="CT104" i="18"/>
  <c r="BF21" i="14"/>
  <c r="BF104" i="18"/>
  <c r="BT104" i="18"/>
  <c r="BT21" i="14"/>
  <c r="CQ21" i="14"/>
  <c r="CQ104" i="18"/>
  <c r="BS21" i="14"/>
  <c r="BS104" i="18"/>
  <c r="BK104" i="18"/>
  <c r="BK21" i="14"/>
  <c r="AU21" i="14"/>
  <c r="AU104" i="18"/>
  <c r="AM104" i="18"/>
  <c r="AM21" i="14"/>
  <c r="O21" i="14"/>
  <c r="O104" i="18"/>
  <c r="EW32" i="7"/>
  <c r="BW27" i="15"/>
  <c r="DQ121" i="11"/>
  <c r="P74" i="18"/>
  <c r="BR21" i="14"/>
  <c r="BR104" i="18"/>
  <c r="AH24" i="14"/>
  <c r="AH113" i="18"/>
  <c r="AH139" i="18" s="1"/>
  <c r="X74" i="18"/>
  <c r="W74" i="18"/>
  <c r="CN24" i="14"/>
  <c r="CN33" i="14"/>
  <c r="CN113" i="18"/>
  <c r="CN139" i="18" s="1"/>
  <c r="AV74" i="18"/>
  <c r="AG74" i="18"/>
  <c r="AW74" i="18"/>
  <c r="AN74" i="18"/>
  <c r="CQ74" i="18"/>
  <c r="BE74" i="18"/>
  <c r="EI37" i="14"/>
  <c r="EM40" i="14"/>
  <c r="EH18" i="14"/>
  <c r="EQ40" i="14"/>
  <c r="EN40" i="14"/>
  <c r="EQ37" i="14"/>
  <c r="CD21" i="14"/>
  <c r="CD104" i="18"/>
  <c r="BV21" i="14"/>
  <c r="BV104" i="18"/>
  <c r="CB104" i="18"/>
  <c r="CB21" i="14"/>
  <c r="BD21" i="14"/>
  <c r="BD104" i="18"/>
  <c r="AV104" i="18"/>
  <c r="AV21" i="14"/>
  <c r="AV24" i="14"/>
  <c r="AV113" i="18"/>
  <c r="AV139" i="18" s="1"/>
  <c r="AV33" i="14"/>
  <c r="W104" i="18"/>
  <c r="W21" i="14"/>
  <c r="CH113" i="18"/>
  <c r="CH24" i="14"/>
  <c r="CH33" i="14"/>
  <c r="CH34" i="14" s="1"/>
  <c r="CO77" i="15"/>
  <c r="EP79" i="15"/>
  <c r="EK79" i="15"/>
  <c r="CL77" i="15"/>
  <c r="AJ89" i="12"/>
  <c r="BQ98" i="15"/>
  <c r="BT98" i="15"/>
  <c r="AM89" i="12"/>
  <c r="CC98" i="15"/>
  <c r="AV89" i="12"/>
  <c r="AD89" i="12"/>
  <c r="BK98" i="15"/>
  <c r="CI77" i="15"/>
  <c r="EN79" i="15"/>
  <c r="BE89" i="12"/>
  <c r="CL98" i="15"/>
  <c r="CI98" i="15"/>
  <c r="BB89" i="12"/>
  <c r="BH89" i="12"/>
  <c r="CO98" i="15"/>
  <c r="BW98" i="15"/>
  <c r="AP89" i="12"/>
  <c r="BQ77" i="15"/>
  <c r="EH79" i="15"/>
  <c r="CF77" i="15"/>
  <c r="EM79" i="15"/>
  <c r="BZ12" i="18"/>
  <c r="BZ27" i="15"/>
  <c r="BZ47" i="15" s="1"/>
  <c r="BZ45" i="15" s="1"/>
  <c r="CR27" i="18"/>
  <c r="EQ18" i="15"/>
  <c r="CO27" i="18"/>
  <c r="EP27" i="18" s="1"/>
  <c r="EP18" i="15"/>
  <c r="CL27" i="15"/>
  <c r="EO9" i="15"/>
  <c r="CL12" i="18"/>
  <c r="EO12" i="18" s="1"/>
  <c r="EK9" i="15"/>
  <c r="CC12" i="18"/>
  <c r="EL12" i="18" s="1"/>
  <c r="EL9" i="15"/>
  <c r="CI12" i="18"/>
  <c r="EN12" i="18" s="1"/>
  <c r="EN9" i="15"/>
  <c r="CI27" i="15"/>
  <c r="CO27" i="15"/>
  <c r="CO12" i="18"/>
  <c r="EP9" i="15"/>
  <c r="BN27" i="18"/>
  <c r="EG18" i="15"/>
  <c r="EJ18" i="15"/>
  <c r="BW27" i="18"/>
  <c r="CC12" i="15"/>
  <c r="EL14" i="15"/>
  <c r="EF14" i="15"/>
  <c r="BK12" i="15"/>
  <c r="CF12" i="15"/>
  <c r="EM14" i="15"/>
  <c r="CF12" i="18"/>
  <c r="EM12" i="18" s="1"/>
  <c r="CF27" i="15"/>
  <c r="EM9" i="15"/>
  <c r="BK12" i="18"/>
  <c r="EF12" i="18" s="1"/>
  <c r="EF9" i="15"/>
  <c r="BK27" i="15"/>
  <c r="AF24" i="14"/>
  <c r="AF33" i="14"/>
  <c r="AX113" i="18"/>
  <c r="AX139" i="18" s="1"/>
  <c r="AX33" i="14"/>
  <c r="AX24" i="14"/>
  <c r="K113" i="18"/>
  <c r="K139" i="18" s="1"/>
  <c r="K33" i="14"/>
  <c r="K24" i="14"/>
  <c r="BJ113" i="18"/>
  <c r="BJ139" i="18" s="1"/>
  <c r="BJ33" i="14"/>
  <c r="BJ24" i="14"/>
  <c r="BX33" i="14"/>
  <c r="BX24" i="14"/>
  <c r="DY23" i="11"/>
  <c r="EW156" i="7"/>
  <c r="CK74" i="18"/>
  <c r="V60" i="11"/>
  <c r="BD113" i="18"/>
  <c r="BD139" i="18" s="1"/>
  <c r="BD24" i="14"/>
  <c r="CQ113" i="18"/>
  <c r="CQ139" i="18" s="1"/>
  <c r="CQ33" i="14"/>
  <c r="CQ24" i="14"/>
  <c r="BK24" i="14"/>
  <c r="BK33" i="14"/>
  <c r="AM113" i="18"/>
  <c r="AM139" i="18" s="1"/>
  <c r="AM33" i="14"/>
  <c r="AM24" i="14"/>
  <c r="V21" i="14"/>
  <c r="V104" i="18"/>
  <c r="V24" i="14"/>
  <c r="V113" i="18"/>
  <c r="V139" i="18" s="1"/>
  <c r="CF98" i="15"/>
  <c r="AY89" i="12"/>
  <c r="BN98" i="15"/>
  <c r="AG89" i="12"/>
  <c r="CR98" i="15"/>
  <c r="BK89" i="12"/>
  <c r="BZ98" i="15"/>
  <c r="BZ96" i="15" s="1"/>
  <c r="BZ147" i="18" s="1"/>
  <c r="AS89" i="12"/>
  <c r="BW77" i="15"/>
  <c r="EJ79" i="15"/>
  <c r="AF104" i="18"/>
  <c r="AF21" i="14"/>
  <c r="AH21" i="14"/>
  <c r="AH104" i="18"/>
  <c r="BJ21" i="14"/>
  <c r="BJ104" i="18"/>
  <c r="CE113" i="18"/>
  <c r="CE139" i="18" s="1"/>
  <c r="CE33" i="14"/>
  <c r="EK135" i="15"/>
  <c r="FF135" i="15" s="1"/>
  <c r="EO135" i="15"/>
  <c r="FG135" i="15" s="1"/>
  <c r="DX94" i="12"/>
  <c r="DY94" i="12"/>
  <c r="FF159" i="18"/>
  <c r="DZ94" i="12"/>
  <c r="FG159" i="18"/>
  <c r="FH159" i="18"/>
  <c r="FI159" i="18"/>
  <c r="FF132" i="18"/>
  <c r="FG132" i="18"/>
  <c r="FG137" i="15"/>
  <c r="FF137" i="15"/>
  <c r="FE137" i="15"/>
  <c r="FE135" i="15"/>
  <c r="DY53" i="12"/>
  <c r="DY66" i="7"/>
  <c r="EN18" i="14"/>
  <c r="DG29" i="11"/>
  <c r="BL99" i="11"/>
  <c r="BL114" i="11" s="1"/>
  <c r="BL133" i="11" s="1"/>
  <c r="BL148" i="11" s="1"/>
  <c r="BL158" i="11" s="1"/>
  <c r="X99" i="11"/>
  <c r="X114" i="11" s="1"/>
  <c r="X133" i="11" s="1"/>
  <c r="X148" i="11" s="1"/>
  <c r="X158" i="11" s="1"/>
  <c r="EQ18" i="14"/>
  <c r="EJ40" i="14"/>
  <c r="EH20" i="14"/>
  <c r="EH21" i="14" s="1"/>
  <c r="EH11" i="14"/>
  <c r="EJ37" i="14"/>
  <c r="EJ20" i="14"/>
  <c r="EJ21" i="14" s="1"/>
  <c r="EI20" i="14"/>
  <c r="EI21" i="14" s="1"/>
  <c r="EI11" i="14"/>
  <c r="EN37" i="14"/>
  <c r="EN11" i="14"/>
  <c r="EQ11" i="14"/>
  <c r="BV113" i="18"/>
  <c r="BV24" i="14"/>
  <c r="BV33" i="14"/>
  <c r="BF113" i="18"/>
  <c r="BF139" i="18" s="1"/>
  <c r="BF33" i="14"/>
  <c r="BF24" i="14"/>
  <c r="J21" i="14"/>
  <c r="J104" i="18"/>
  <c r="CJ21" i="14"/>
  <c r="CJ104" i="18"/>
  <c r="BT33" i="14"/>
  <c r="BT24" i="14"/>
  <c r="BS113" i="18"/>
  <c r="BS139" i="18" s="1"/>
  <c r="BS24" i="14"/>
  <c r="BS33" i="14"/>
  <c r="W113" i="18"/>
  <c r="W139" i="18" s="1"/>
  <c r="W24" i="14"/>
  <c r="W33" i="14"/>
  <c r="AL113" i="18"/>
  <c r="AL139" i="18" s="1"/>
  <c r="AL33" i="14"/>
  <c r="AL24" i="14"/>
  <c r="DY134" i="7"/>
  <c r="DZ134" i="7"/>
  <c r="EC134" i="7"/>
  <c r="DW134" i="7"/>
  <c r="BN77" i="15"/>
  <c r="EG79" i="15"/>
  <c r="BT77" i="15"/>
  <c r="EI79" i="15"/>
  <c r="EF134" i="7"/>
  <c r="EE134" i="7"/>
  <c r="ED134" i="7"/>
  <c r="EG134" i="7"/>
  <c r="EA134" i="7"/>
  <c r="DX134" i="7"/>
  <c r="EH134" i="7"/>
  <c r="EL79" i="15"/>
  <c r="CC77" i="15"/>
  <c r="CR77" i="15"/>
  <c r="EQ79" i="15"/>
  <c r="EB134" i="7"/>
  <c r="BQ12" i="15"/>
  <c r="EH14" i="15"/>
  <c r="EI18" i="15"/>
  <c r="BT27" i="18"/>
  <c r="EH18" i="15"/>
  <c r="BQ27" i="18"/>
  <c r="EI14" i="15"/>
  <c r="BT12" i="15"/>
  <c r="CO12" i="15"/>
  <c r="EP14" i="15"/>
  <c r="EJ14" i="15"/>
  <c r="BW12" i="15"/>
  <c r="CR12" i="15"/>
  <c r="EQ14" i="15"/>
  <c r="CR12" i="18"/>
  <c r="EQ9" i="15"/>
  <c r="AJ104" i="18"/>
  <c r="AJ21" i="14"/>
  <c r="O113" i="18"/>
  <c r="O139" i="18" s="1"/>
  <c r="O24" i="14"/>
  <c r="O33" i="14"/>
  <c r="CB24" i="14"/>
  <c r="CB33" i="14"/>
  <c r="AT24" i="14"/>
  <c r="AT113" i="18"/>
  <c r="AT139" i="18" s="1"/>
  <c r="AR24" i="14"/>
  <c r="AR33" i="14"/>
  <c r="AJ113" i="18"/>
  <c r="AJ139" i="18" s="1"/>
  <c r="AJ33" i="14"/>
  <c r="AJ24" i="14"/>
  <c r="AR21" i="14"/>
  <c r="AR104" i="18"/>
  <c r="BQ27" i="15"/>
  <c r="EH9" i="15"/>
  <c r="EJ9" i="15"/>
  <c r="BW12" i="18"/>
  <c r="EO14" i="15"/>
  <c r="CL12" i="15"/>
  <c r="EK14" i="15"/>
  <c r="EM18" i="15"/>
  <c r="CF27" i="18"/>
  <c r="CC27" i="18"/>
  <c r="EL18" i="15"/>
  <c r="BL24" i="14"/>
  <c r="CS32" i="18"/>
  <c r="AF113" i="18"/>
  <c r="AF139" i="18" s="1"/>
  <c r="EF79" i="15"/>
  <c r="DE29" i="11"/>
  <c r="BN12" i="18"/>
  <c r="EG12" i="18" s="1"/>
  <c r="BN27" i="15"/>
  <c r="CE24" i="14"/>
  <c r="CB113" i="18"/>
  <c r="CB139" i="18" s="1"/>
  <c r="DX5" i="12"/>
  <c r="CL27" i="18"/>
  <c r="EO79" i="15"/>
  <c r="FF15" i="14"/>
  <c r="EA92" i="12"/>
  <c r="BX21" i="14"/>
  <c r="EK18" i="15"/>
  <c r="FE119" i="15"/>
  <c r="EB66" i="7"/>
  <c r="FE130" i="18"/>
  <c r="FF37" i="18"/>
  <c r="D8" i="24" s="1"/>
  <c r="AZ99" i="11"/>
  <c r="AZ114" i="11" s="1"/>
  <c r="AZ133" i="11" s="1"/>
  <c r="AZ148" i="11" s="1"/>
  <c r="AZ158" i="11" s="1"/>
  <c r="CI104" i="18"/>
  <c r="P60" i="11"/>
  <c r="DZ50" i="12"/>
  <c r="AZ32" i="18"/>
  <c r="DJ29" i="11"/>
  <c r="DX53" i="12"/>
  <c r="E60" i="11"/>
  <c r="EF66" i="7"/>
  <c r="EG66" i="7"/>
  <c r="DE80" i="11"/>
  <c r="CI12" i="15"/>
  <c r="M43" i="15"/>
  <c r="AD43" i="15"/>
  <c r="AX32" i="18"/>
  <c r="DX26" i="12"/>
  <c r="DY54" i="12"/>
  <c r="C104" i="18"/>
  <c r="DE46" i="12"/>
  <c r="EF37" i="14"/>
  <c r="EP11" i="14"/>
  <c r="N43" i="15"/>
  <c r="DY5" i="12"/>
  <c r="BK27" i="18"/>
  <c r="FE6" i="18"/>
  <c r="EE66" i="7"/>
  <c r="EC47" i="7"/>
  <c r="DF29" i="11"/>
  <c r="CI27" i="18"/>
  <c r="DY92" i="12"/>
  <c r="BJ60" i="11"/>
  <c r="K99" i="11"/>
  <c r="K114" i="11" s="1"/>
  <c r="K133" i="11" s="1"/>
  <c r="K148" i="11" s="1"/>
  <c r="K158" i="11" s="1"/>
  <c r="EG52" i="7"/>
  <c r="CZ3" i="12"/>
  <c r="X104" i="18"/>
  <c r="DY73" i="11"/>
  <c r="FG37" i="18"/>
  <c r="E8" i="24" s="1"/>
  <c r="EG11" i="14"/>
  <c r="EV156" i="7"/>
  <c r="BI43" i="15"/>
  <c r="EL14" i="14"/>
  <c r="AY119" i="11"/>
  <c r="DZ23" i="11"/>
  <c r="DX52" i="7"/>
  <c r="K60" i="11"/>
  <c r="DY74" i="11"/>
  <c r="AS119" i="11"/>
  <c r="BP43" i="15"/>
  <c r="AX60" i="11"/>
  <c r="BX113" i="18"/>
  <c r="BX139" i="18" s="1"/>
  <c r="DB29" i="11"/>
  <c r="FG81" i="18"/>
  <c r="E23" i="24" s="1"/>
  <c r="AR113" i="18"/>
  <c r="AR139" i="18" s="1"/>
  <c r="BT12" i="18"/>
  <c r="CF104" i="18"/>
  <c r="DY72" i="11"/>
  <c r="BH119" i="11"/>
  <c r="BE119" i="11"/>
  <c r="EV44" i="7"/>
  <c r="EF52" i="7"/>
  <c r="EF11" i="14"/>
  <c r="EP20" i="14"/>
  <c r="EP21" i="14" s="1"/>
  <c r="EG20" i="14"/>
  <c r="EG21" i="14" s="1"/>
  <c r="AX104" i="18"/>
  <c r="DY51" i="12"/>
  <c r="FG130" i="18"/>
  <c r="BB119" i="11"/>
  <c r="ED52" i="7"/>
  <c r="DZ66" i="7"/>
  <c r="DZ54" i="12"/>
  <c r="DD19" i="12"/>
  <c r="DB3" i="12"/>
  <c r="CZ19" i="12"/>
  <c r="EG67" i="18"/>
  <c r="DA46" i="12"/>
  <c r="EM31" i="14"/>
  <c r="EG14" i="14"/>
  <c r="EP14" i="14"/>
  <c r="EO31" i="14"/>
  <c r="EX22" i="7"/>
  <c r="FF130" i="18"/>
  <c r="DZ53" i="12"/>
  <c r="DJ3" i="12"/>
  <c r="DG46" i="12"/>
  <c r="FE7" i="14"/>
  <c r="DY52" i="7"/>
  <c r="FE44" i="18"/>
  <c r="DZ51" i="12"/>
  <c r="DI19" i="12"/>
  <c r="EL37" i="14"/>
  <c r="DI3" i="12"/>
  <c r="FG13" i="18"/>
  <c r="DZ5" i="12"/>
  <c r="AG119" i="11"/>
  <c r="AP119" i="11"/>
  <c r="FE13" i="18"/>
  <c r="DY50" i="12"/>
  <c r="FE49" i="18"/>
  <c r="DD3" i="12"/>
  <c r="DB19" i="12"/>
  <c r="DY41" i="11"/>
  <c r="EX135" i="7"/>
  <c r="DJ19" i="12"/>
  <c r="EF31" i="14"/>
  <c r="DY8" i="12"/>
  <c r="EH66" i="7"/>
  <c r="DG3" i="12"/>
  <c r="CY3" i="12"/>
  <c r="EH52" i="7"/>
  <c r="FE37" i="18"/>
  <c r="C8" i="24" s="1"/>
  <c r="EX42" i="7"/>
  <c r="EG40" i="14"/>
  <c r="AB24" i="14"/>
  <c r="DH3" i="12"/>
  <c r="AN43" i="15"/>
  <c r="DX109" i="12"/>
  <c r="FG31" i="18"/>
  <c r="AB33" i="14"/>
  <c r="DG34" i="11"/>
  <c r="DJ46" i="12"/>
  <c r="FF31" i="18"/>
  <c r="FG49" i="18"/>
  <c r="DD46" i="12"/>
  <c r="FF44" i="18"/>
  <c r="FE81" i="18"/>
  <c r="C23" i="24" s="1"/>
  <c r="EK66" i="18"/>
  <c r="FF81" i="18"/>
  <c r="D23" i="24" s="1"/>
  <c r="FG44" i="18"/>
  <c r="EH12" i="18"/>
  <c r="FF38" i="18"/>
  <c r="D9" i="24" s="1"/>
  <c r="FF6" i="18"/>
  <c r="R32" i="18"/>
  <c r="DH19" i="12"/>
  <c r="DG19" i="12"/>
  <c r="DF3" i="12"/>
  <c r="CY19" i="12"/>
  <c r="EF18" i="14"/>
  <c r="EM67" i="18"/>
  <c r="EI67" i="18"/>
  <c r="EG66" i="18"/>
  <c r="CY46" i="12"/>
  <c r="AV32" i="18"/>
  <c r="BH122" i="12"/>
  <c r="DI122" i="12" s="1"/>
  <c r="DI124" i="12"/>
  <c r="CO74" i="18"/>
  <c r="EP66" i="18"/>
  <c r="CC74" i="18"/>
  <c r="EL66" i="18"/>
  <c r="AJ38" i="12"/>
  <c r="DA38" i="12" s="1"/>
  <c r="DA40" i="12"/>
  <c r="DI46" i="12"/>
  <c r="EQ31" i="14"/>
  <c r="EO14" i="14"/>
  <c r="BX74" i="18"/>
  <c r="EJ66" i="18"/>
  <c r="EL31" i="14"/>
  <c r="CF139" i="18"/>
  <c r="AM119" i="11"/>
  <c r="EW42" i="7"/>
  <c r="EC66" i="7"/>
  <c r="FE38" i="18"/>
  <c r="C9" i="24" s="1"/>
  <c r="DZ26" i="12"/>
  <c r="DX107" i="12"/>
  <c r="DX112" i="12"/>
  <c r="DZ12" i="12"/>
  <c r="DX8" i="12"/>
  <c r="AP122" i="12"/>
  <c r="DC122" i="12" s="1"/>
  <c r="DC124" i="12"/>
  <c r="EH47" i="7"/>
  <c r="DF19" i="12"/>
  <c r="EF40" i="14"/>
  <c r="EJ67" i="18"/>
  <c r="EK67" i="18"/>
  <c r="EL67" i="18"/>
  <c r="BB32" i="18"/>
  <c r="AS122" i="12"/>
  <c r="DD122" i="12" s="1"/>
  <c r="DD124" i="12"/>
  <c r="AG38" i="12"/>
  <c r="CZ38" i="12" s="1"/>
  <c r="CZ40" i="12"/>
  <c r="AV38" i="12"/>
  <c r="DE38" i="12" s="1"/>
  <c r="DE40" i="12"/>
  <c r="EG37" i="14"/>
  <c r="AD122" i="12"/>
  <c r="CY122" i="12" s="1"/>
  <c r="CY124" i="12"/>
  <c r="BK122" i="12"/>
  <c r="DJ122" i="12" s="1"/>
  <c r="DJ124" i="12"/>
  <c r="BU74" i="18"/>
  <c r="EP18" i="14"/>
  <c r="FF7" i="14"/>
  <c r="EL148" i="18"/>
  <c r="FF148" i="18" s="1"/>
  <c r="EV15" i="7"/>
  <c r="AV119" i="11"/>
  <c r="DZ25" i="11"/>
  <c r="DZ24" i="12"/>
  <c r="DY114" i="12"/>
  <c r="FG6" i="18"/>
  <c r="DZ10" i="12"/>
  <c r="FG7" i="14"/>
  <c r="FE31" i="18"/>
  <c r="DX22" i="12"/>
  <c r="DE3" i="12"/>
  <c r="CQ43" i="15"/>
  <c r="EO67" i="18"/>
  <c r="EF67" i="18"/>
  <c r="EO66" i="18"/>
  <c r="BB122" i="12"/>
  <c r="DG122" i="12" s="1"/>
  <c r="DG124" i="12"/>
  <c r="BD60" i="11"/>
  <c r="AM122" i="12"/>
  <c r="DB122" i="12" s="1"/>
  <c r="DB124" i="12"/>
  <c r="DC56" i="11"/>
  <c r="DB56" i="11"/>
  <c r="BE122" i="12"/>
  <c r="DH122" i="12" s="1"/>
  <c r="DH124" i="12"/>
  <c r="AP38" i="12"/>
  <c r="DC38" i="12" s="1"/>
  <c r="DC40" i="12"/>
  <c r="AD38" i="12"/>
  <c r="CY38" i="12" s="1"/>
  <c r="CY40" i="12"/>
  <c r="CZ46" i="12"/>
  <c r="EM14" i="14"/>
  <c r="EV11" i="7"/>
  <c r="BK119" i="11"/>
  <c r="EK27" i="18"/>
  <c r="AJ119" i="11"/>
  <c r="EX45" i="7"/>
  <c r="EX62" i="7"/>
  <c r="EC52" i="7"/>
  <c r="DY22" i="12"/>
  <c r="DY52" i="12"/>
  <c r="DX50" i="12"/>
  <c r="DZ109" i="12"/>
  <c r="DZ114" i="12"/>
  <c r="DC19" i="12"/>
  <c r="EP67" i="18"/>
  <c r="ED47" i="7"/>
  <c r="BZ139" i="18"/>
  <c r="DE19" i="12"/>
  <c r="EN67" i="18"/>
  <c r="BH38" i="12"/>
  <c r="DI38" i="12" s="1"/>
  <c r="DI40" i="12"/>
  <c r="AY38" i="12"/>
  <c r="DF38" i="12" s="1"/>
  <c r="DF40" i="12"/>
  <c r="BE38" i="12"/>
  <c r="DH38" i="12" s="1"/>
  <c r="DH40" i="12"/>
  <c r="AV122" i="12"/>
  <c r="DE122" i="12" s="1"/>
  <c r="DE124" i="12"/>
  <c r="AJ122" i="12"/>
  <c r="DA122" i="12" s="1"/>
  <c r="DA124" i="12"/>
  <c r="DF46" i="12"/>
  <c r="BQ74" i="18"/>
  <c r="EH66" i="18"/>
  <c r="FG9" i="14"/>
  <c r="EN14" i="14"/>
  <c r="EH148" i="18"/>
  <c r="FE148" i="18" s="1"/>
  <c r="EQ14" i="14"/>
  <c r="EM66" i="18"/>
  <c r="EX44" i="7"/>
  <c r="EW44" i="7"/>
  <c r="DX114" i="12"/>
  <c r="DZ107" i="12"/>
  <c r="FG15" i="14"/>
  <c r="EF23" i="14"/>
  <c r="EF24" i="14" s="1"/>
  <c r="DX54" i="12"/>
  <c r="EQ67" i="18"/>
  <c r="DB46" i="12"/>
  <c r="CI74" i="18"/>
  <c r="EN66" i="18"/>
  <c r="EJ18" i="14"/>
  <c r="BT139" i="18"/>
  <c r="BK74" i="18"/>
  <c r="EF66" i="18"/>
  <c r="DZ112" i="12"/>
  <c r="DY12" i="12"/>
  <c r="FF13" i="18"/>
  <c r="DZ52" i="12"/>
  <c r="DY26" i="12"/>
  <c r="DA3" i="12"/>
  <c r="CR74" i="18"/>
  <c r="EQ66" i="18"/>
  <c r="DH51" i="11"/>
  <c r="DH46" i="12"/>
  <c r="BK38" i="12"/>
  <c r="DJ38" i="12" s="1"/>
  <c r="DJ40" i="12"/>
  <c r="BB38" i="12"/>
  <c r="DG38" i="12" s="1"/>
  <c r="DG40" i="12"/>
  <c r="AG122" i="12"/>
  <c r="CZ122" i="12" s="1"/>
  <c r="CZ124" i="12"/>
  <c r="BT74" i="18"/>
  <c r="EI66" i="18"/>
  <c r="EJ11" i="14"/>
  <c r="EH14" i="14"/>
  <c r="FF49" i="18"/>
  <c r="DY112" i="12"/>
  <c r="DY10" i="12"/>
  <c r="DX12" i="12"/>
  <c r="DX51" i="12"/>
  <c r="DX52" i="12"/>
  <c r="DY24" i="12"/>
  <c r="EB47" i="7"/>
  <c r="DC3" i="12"/>
  <c r="DA19" i="12"/>
  <c r="EF20" i="14"/>
  <c r="EF21" i="14" s="1"/>
  <c r="EH67" i="18"/>
  <c r="DC46" i="12"/>
  <c r="AM38" i="12"/>
  <c r="DB38" i="12" s="1"/>
  <c r="DB40" i="12"/>
  <c r="FG26" i="14"/>
  <c r="EP31" i="14"/>
  <c r="EG31" i="14"/>
  <c r="FF26" i="14"/>
  <c r="EI31" i="14"/>
  <c r="EK31" i="14"/>
  <c r="BK139" i="18"/>
  <c r="EF139" i="18" s="1"/>
  <c r="EF113" i="18"/>
  <c r="EY135" i="7"/>
  <c r="EW45" i="7"/>
  <c r="EQ38" i="18"/>
  <c r="FG38" i="18" s="1"/>
  <c r="E9" i="24" s="1"/>
  <c r="DZ8" i="12"/>
  <c r="DX24" i="12"/>
  <c r="EN31" i="14"/>
  <c r="DX92" i="12"/>
  <c r="DY109" i="12"/>
  <c r="EB92" i="12"/>
  <c r="AY122" i="12"/>
  <c r="DF122" i="12" s="1"/>
  <c r="DF124" i="12"/>
  <c r="BN112" i="12"/>
  <c r="AS38" i="12"/>
  <c r="DD38" i="12" s="1"/>
  <c r="DD40" i="12"/>
  <c r="EP148" i="18"/>
  <c r="EJ14" i="14"/>
  <c r="BW139" i="18"/>
  <c r="EO148" i="18"/>
  <c r="EA66" i="7"/>
  <c r="DZ22" i="12"/>
  <c r="DZ92" i="12"/>
  <c r="DY107" i="12"/>
  <c r="DX10" i="12"/>
  <c r="G74" i="18"/>
  <c r="CP32" i="18"/>
  <c r="L32" i="18"/>
  <c r="BN74" i="18"/>
  <c r="AD32" i="18"/>
  <c r="M32" i="18"/>
  <c r="CG74" i="18"/>
  <c r="BR74" i="18"/>
  <c r="AX74" i="18"/>
  <c r="AC32" i="18"/>
  <c r="BH32" i="18"/>
  <c r="BW74" i="18"/>
  <c r="AE32" i="18"/>
  <c r="CD32" i="18"/>
  <c r="BL74" i="18"/>
  <c r="CD74" i="18"/>
  <c r="AH74" i="18"/>
  <c r="CG32" i="18"/>
  <c r="BN12" i="15"/>
  <c r="EG12" i="15" s="1"/>
  <c r="DZ122" i="11"/>
  <c r="EV45" i="7"/>
  <c r="EA99" i="7"/>
  <c r="EW61" i="7"/>
  <c r="EW99" i="7" s="1"/>
  <c r="EX61" i="7"/>
  <c r="EX99" i="7" s="1"/>
  <c r="EV135" i="7"/>
  <c r="EE52" i="7"/>
  <c r="EX49" i="7"/>
  <c r="EG47" i="7"/>
  <c r="BH142" i="7"/>
  <c r="DY57" i="7"/>
  <c r="DY79" i="7" s="1"/>
  <c r="BZ142" i="7"/>
  <c r="EE57" i="7"/>
  <c r="EE112" i="7" s="1"/>
  <c r="BK142" i="7"/>
  <c r="DZ57" i="7"/>
  <c r="DZ79" i="7" s="1"/>
  <c r="EW105" i="7"/>
  <c r="EX105" i="7"/>
  <c r="BT142" i="7"/>
  <c r="EC57" i="7"/>
  <c r="DZ47" i="7"/>
  <c r="CC142" i="7"/>
  <c r="EF57" i="7"/>
  <c r="BE142" i="7"/>
  <c r="DX57" i="7"/>
  <c r="DX112" i="7" s="1"/>
  <c r="EF47" i="7"/>
  <c r="EE47" i="7"/>
  <c r="CI142" i="7"/>
  <c r="EH57" i="7"/>
  <c r="EH112" i="7" s="1"/>
  <c r="DX47" i="7"/>
  <c r="DY47" i="7"/>
  <c r="BQ142" i="7"/>
  <c r="EB57" i="7"/>
  <c r="EB79" i="7" s="1"/>
  <c r="BB43" i="15"/>
  <c r="DA29" i="11"/>
  <c r="EW62" i="7"/>
  <c r="EV69" i="7"/>
  <c r="EV68" i="7" s="1"/>
  <c r="BN142" i="7"/>
  <c r="EA57" i="7"/>
  <c r="EA79" i="7" s="1"/>
  <c r="BW142" i="7"/>
  <c r="ED57" i="7"/>
  <c r="ED112" i="7" s="1"/>
  <c r="BB142" i="7"/>
  <c r="DW57" i="7"/>
  <c r="CF142" i="7"/>
  <c r="EG57" i="7"/>
  <c r="EW69" i="7"/>
  <c r="EW68" i="7" s="1"/>
  <c r="EX32" i="7"/>
  <c r="DW47" i="7"/>
  <c r="EW135" i="7"/>
  <c r="DZ52" i="7"/>
  <c r="EA52" i="7"/>
  <c r="EX156" i="7"/>
  <c r="EB52" i="7"/>
  <c r="DZ143" i="11"/>
  <c r="DX25" i="11"/>
  <c r="EV22" i="7"/>
  <c r="EW11" i="7"/>
  <c r="DW66" i="7"/>
  <c r="EV42" i="7"/>
  <c r="EW49" i="7"/>
  <c r="EW15" i="7"/>
  <c r="EZ135" i="7"/>
  <c r="EV62" i="7"/>
  <c r="EA47" i="7"/>
  <c r="FF53" i="15"/>
  <c r="DX76" i="11"/>
  <c r="DZ16" i="11"/>
  <c r="EW22" i="7"/>
  <c r="AD119" i="11"/>
  <c r="AD117" i="11" s="1"/>
  <c r="CY117" i="11" s="1"/>
  <c r="EX11" i="7"/>
  <c r="EX15" i="7"/>
  <c r="EV105" i="7"/>
  <c r="EV32" i="7"/>
  <c r="DW52" i="7"/>
  <c r="EV49" i="7"/>
  <c r="EX69" i="7"/>
  <c r="EX68" i="7" s="1"/>
  <c r="EV61" i="7"/>
  <c r="EV99" i="7" s="1"/>
  <c r="DW99" i="7"/>
  <c r="I60" i="11"/>
  <c r="AU60" i="11"/>
  <c r="CQ32" i="18"/>
  <c r="DY122" i="11"/>
  <c r="AK32" i="18"/>
  <c r="DX46" i="11"/>
  <c r="DC51" i="11"/>
  <c r="DB51" i="11"/>
  <c r="DX9" i="11"/>
  <c r="BT27" i="15"/>
  <c r="BT47" i="15" s="1"/>
  <c r="DD51" i="11"/>
  <c r="N32" i="18"/>
  <c r="M99" i="11"/>
  <c r="M114" i="11" s="1"/>
  <c r="M133" i="11" s="1"/>
  <c r="M148" i="11" s="1"/>
  <c r="M158" i="11" s="1"/>
  <c r="R60" i="11"/>
  <c r="DX41" i="11"/>
  <c r="DZ73" i="11"/>
  <c r="FG32" i="15"/>
  <c r="FE123" i="15"/>
  <c r="H99" i="11"/>
  <c r="H114" i="11" s="1"/>
  <c r="H133" i="11" s="1"/>
  <c r="H148" i="11" s="1"/>
  <c r="H158" i="11" s="1"/>
  <c r="FE125" i="15"/>
  <c r="DZ13" i="11"/>
  <c r="DZ41" i="11"/>
  <c r="FG125" i="15"/>
  <c r="DZ72" i="11"/>
  <c r="DX75" i="11"/>
  <c r="DZ4" i="11"/>
  <c r="FE85" i="15"/>
  <c r="FG53" i="15"/>
  <c r="DX143" i="11"/>
  <c r="DX21" i="11"/>
  <c r="DG51" i="11"/>
  <c r="FF119" i="15"/>
  <c r="DX15" i="11"/>
  <c r="DJ34" i="11"/>
  <c r="DZ75" i="11"/>
  <c r="DZ76" i="11"/>
  <c r="BB151" i="11"/>
  <c r="DG151" i="11" s="1"/>
  <c r="DG153" i="11"/>
  <c r="BB28" i="11"/>
  <c r="DG28" i="11" s="1"/>
  <c r="DG3" i="11"/>
  <c r="BK36" i="11"/>
  <c r="DJ36" i="11" s="1"/>
  <c r="DJ38" i="11"/>
  <c r="AP36" i="11"/>
  <c r="AQ60" i="11" s="1"/>
  <c r="DC38" i="11"/>
  <c r="CY51" i="11"/>
  <c r="BE151" i="11"/>
  <c r="DH151" i="11" s="1"/>
  <c r="DH153" i="11"/>
  <c r="DE51" i="11"/>
  <c r="DJ51" i="11"/>
  <c r="AV28" i="11"/>
  <c r="DE28" i="11" s="1"/>
  <c r="DE3" i="11"/>
  <c r="AY28" i="11"/>
  <c r="DF28" i="11" s="1"/>
  <c r="DF3" i="11"/>
  <c r="CZ80" i="11"/>
  <c r="BH36" i="11"/>
  <c r="DI36" i="11" s="1"/>
  <c r="DI38" i="11"/>
  <c r="DY138" i="11"/>
  <c r="DY21" i="11"/>
  <c r="DX11" i="11"/>
  <c r="DY143" i="11"/>
  <c r="DY13" i="11"/>
  <c r="DZ74" i="11"/>
  <c r="DX72" i="11"/>
  <c r="FE32" i="15"/>
  <c r="AY151" i="11"/>
  <c r="DF151" i="11" s="1"/>
  <c r="DF153" i="11"/>
  <c r="J99" i="11"/>
  <c r="J114" i="11" s="1"/>
  <c r="J133" i="11" s="1"/>
  <c r="J148" i="11" s="1"/>
  <c r="J158" i="11" s="1"/>
  <c r="BH151" i="11"/>
  <c r="DI151" i="11" s="1"/>
  <c r="DI153" i="11"/>
  <c r="CY56" i="11"/>
  <c r="AJ151" i="11"/>
  <c r="DA151" i="11" s="1"/>
  <c r="DA153" i="11"/>
  <c r="DE56" i="11"/>
  <c r="DJ56" i="11"/>
  <c r="DE34" i="11"/>
  <c r="DF34" i="11"/>
  <c r="DF80" i="11"/>
  <c r="DY136" i="11"/>
  <c r="DY15" i="11"/>
  <c r="DD29" i="11"/>
  <c r="DX16" i="11"/>
  <c r="DY141" i="11"/>
  <c r="DY11" i="11"/>
  <c r="AD28" i="11"/>
  <c r="CY28" i="11" s="1"/>
  <c r="CY3" i="11"/>
  <c r="BK28" i="11"/>
  <c r="DJ28" i="11" s="1"/>
  <c r="DJ3" i="11"/>
  <c r="AV36" i="11"/>
  <c r="DE36" i="11" s="1"/>
  <c r="DE38" i="11"/>
  <c r="FG119" i="15"/>
  <c r="DF51" i="11"/>
  <c r="BB36" i="11"/>
  <c r="BC60" i="11" s="1"/>
  <c r="DG38" i="11"/>
  <c r="FF125" i="15"/>
  <c r="AM151" i="11"/>
  <c r="DB151" i="11" s="1"/>
  <c r="DB153" i="11"/>
  <c r="DB80" i="11"/>
  <c r="AD36" i="11"/>
  <c r="CY36" i="11" s="1"/>
  <c r="CY38" i="11"/>
  <c r="AS36" i="11"/>
  <c r="DD36" i="11" s="1"/>
  <c r="DD38" i="11"/>
  <c r="DI29" i="11"/>
  <c r="DY76" i="11"/>
  <c r="CY34" i="11"/>
  <c r="AM32" i="18"/>
  <c r="DA80" i="11"/>
  <c r="AJ36" i="11"/>
  <c r="AK60" i="11" s="1"/>
  <c r="DA38" i="11"/>
  <c r="AD151" i="11"/>
  <c r="CY151" i="11" s="1"/>
  <c r="CY153" i="11"/>
  <c r="BK151" i="11"/>
  <c r="DJ151" i="11" s="1"/>
  <c r="DJ153" i="11"/>
  <c r="BN141" i="11"/>
  <c r="AY99" i="11"/>
  <c r="DF56" i="11"/>
  <c r="DJ80" i="11"/>
  <c r="AV151" i="11"/>
  <c r="DE151" i="11" s="1"/>
  <c r="DE153" i="11"/>
  <c r="AS99" i="11"/>
  <c r="DD56" i="11"/>
  <c r="AM28" i="11"/>
  <c r="DB28" i="11" s="1"/>
  <c r="DB3" i="11"/>
  <c r="DD80" i="11"/>
  <c r="FF32" i="15"/>
  <c r="BE36" i="11"/>
  <c r="DH36" i="11" s="1"/>
  <c r="DH38" i="11"/>
  <c r="AG28" i="11"/>
  <c r="CZ28" i="11" s="1"/>
  <c r="CZ3" i="11"/>
  <c r="DH80" i="11"/>
  <c r="DI51" i="11"/>
  <c r="AS28" i="11"/>
  <c r="DD28" i="11" s="1"/>
  <c r="DD3" i="11"/>
  <c r="DB34" i="11"/>
  <c r="CZ51" i="11"/>
  <c r="AG36" i="11"/>
  <c r="CZ36" i="11" s="1"/>
  <c r="CZ38" i="11"/>
  <c r="BH28" i="11"/>
  <c r="DI28" i="11" s="1"/>
  <c r="DI3" i="11"/>
  <c r="FG85" i="15"/>
  <c r="DZ46" i="11"/>
  <c r="DX141" i="11"/>
  <c r="DZ21" i="11"/>
  <c r="DY16" i="11"/>
  <c r="DX74" i="11"/>
  <c r="DY46" i="11"/>
  <c r="DY75" i="11"/>
  <c r="DX138" i="11"/>
  <c r="DZ11" i="11"/>
  <c r="CY29" i="11"/>
  <c r="BE28" i="11"/>
  <c r="DH28" i="11" s="1"/>
  <c r="DH3" i="11"/>
  <c r="DG56" i="11"/>
  <c r="BE99" i="11"/>
  <c r="DH56" i="11"/>
  <c r="CZ34" i="11"/>
  <c r="BH99" i="11"/>
  <c r="DI56" i="11"/>
  <c r="DD34" i="11"/>
  <c r="AG99" i="11"/>
  <c r="CZ56" i="11"/>
  <c r="DI34" i="11"/>
  <c r="AP28" i="11"/>
  <c r="DC28" i="11" s="1"/>
  <c r="DC3" i="11"/>
  <c r="AG151" i="11"/>
  <c r="CZ151" i="11" s="1"/>
  <c r="CZ153" i="11"/>
  <c r="FE53" i="15"/>
  <c r="DY9" i="11"/>
  <c r="DZ15" i="11"/>
  <c r="EB122" i="11"/>
  <c r="DZ138" i="11"/>
  <c r="DX4" i="11"/>
  <c r="DX136" i="11"/>
  <c r="DZ141" i="11"/>
  <c r="BC43" i="15"/>
  <c r="AS151" i="11"/>
  <c r="DD151" i="11" s="1"/>
  <c r="DD153" i="11"/>
  <c r="DH34" i="11"/>
  <c r="DG80" i="11"/>
  <c r="DC80" i="11"/>
  <c r="CY80" i="11"/>
  <c r="AY36" i="11"/>
  <c r="DF36" i="11" s="1"/>
  <c r="DF38" i="11"/>
  <c r="AJ28" i="11"/>
  <c r="DA28" i="11" s="1"/>
  <c r="DA3" i="11"/>
  <c r="AM36" i="11"/>
  <c r="DB36" i="11" s="1"/>
  <c r="DB38" i="11"/>
  <c r="DC34" i="11"/>
  <c r="DI80" i="11"/>
  <c r="DA51" i="11"/>
  <c r="DX122" i="11"/>
  <c r="DY4" i="11"/>
  <c r="DZ9" i="11"/>
  <c r="DX73" i="11"/>
  <c r="DZ136" i="11"/>
  <c r="FF85" i="15"/>
  <c r="AP151" i="11"/>
  <c r="DC151" i="11" s="1"/>
  <c r="DC153" i="11"/>
  <c r="DA34" i="11"/>
  <c r="CZ29" i="11"/>
  <c r="DA56" i="11"/>
  <c r="DC29" i="11"/>
  <c r="DX13" i="11"/>
  <c r="EA122" i="11"/>
  <c r="DH29" i="11"/>
  <c r="CL113" i="18"/>
  <c r="EK23" i="14"/>
  <c r="EK24" i="14" s="1"/>
  <c r="EO23" i="14"/>
  <c r="EO24" i="14" s="1"/>
  <c r="BN113" i="18"/>
  <c r="EG23" i="14"/>
  <c r="EG24" i="14" s="1"/>
  <c r="CC113" i="18"/>
  <c r="EL23" i="14"/>
  <c r="EL24" i="14" s="1"/>
  <c r="BQ113" i="18"/>
  <c r="EH23" i="14"/>
  <c r="EO18" i="14"/>
  <c r="EK18" i="14"/>
  <c r="EO20" i="14"/>
  <c r="EO21" i="14" s="1"/>
  <c r="EK20" i="14"/>
  <c r="EK21" i="14" s="1"/>
  <c r="EQ20" i="14"/>
  <c r="EQ21" i="14" s="1"/>
  <c r="EI18" i="14"/>
  <c r="EI23" i="14"/>
  <c r="EI24" i="14" s="1"/>
  <c r="EI40" i="14"/>
  <c r="CI113" i="18"/>
  <c r="EN23" i="14"/>
  <c r="EN24" i="14" s="1"/>
  <c r="EN20" i="14"/>
  <c r="EN21" i="14" s="1"/>
  <c r="EQ23" i="14"/>
  <c r="EQ24" i="14" s="1"/>
  <c r="EM37" i="14"/>
  <c r="FF9" i="14"/>
  <c r="EJ23" i="14"/>
  <c r="EJ24" i="14" s="1"/>
  <c r="FE9" i="14"/>
  <c r="EL18" i="14"/>
  <c r="EO11" i="14"/>
  <c r="EK11" i="14"/>
  <c r="EM23" i="14"/>
  <c r="EM24" i="14" s="1"/>
  <c r="EL40" i="14"/>
  <c r="EM20" i="14"/>
  <c r="EM21" i="14" s="1"/>
  <c r="EK40" i="14"/>
  <c r="EO40" i="14"/>
  <c r="EM11" i="14"/>
  <c r="EO37" i="14"/>
  <c r="EK37" i="14"/>
  <c r="EP37" i="14"/>
  <c r="FE26" i="14"/>
  <c r="CO113" i="18"/>
  <c r="EP23" i="14"/>
  <c r="EP24" i="14" s="1"/>
  <c r="EG18" i="14"/>
  <c r="EL11" i="14"/>
  <c r="EL20" i="14"/>
  <c r="EL21" i="14" s="1"/>
  <c r="EP40" i="14"/>
  <c r="EM18" i="14"/>
  <c r="BG60" i="11"/>
  <c r="AZ43" i="15"/>
  <c r="T99" i="11"/>
  <c r="T114" i="11" s="1"/>
  <c r="T133" i="11" s="1"/>
  <c r="T148" i="11" s="1"/>
  <c r="T158" i="11" s="1"/>
  <c r="AT74" i="18"/>
  <c r="S74" i="18"/>
  <c r="L60" i="11"/>
  <c r="BL33" i="14"/>
  <c r="T74" i="18"/>
  <c r="AC60" i="11"/>
  <c r="Y99" i="11"/>
  <c r="Y114" i="11" s="1"/>
  <c r="Y133" i="11" s="1"/>
  <c r="Y148" i="11" s="1"/>
  <c r="Y158" i="11" s="1"/>
  <c r="AA43" i="15"/>
  <c r="O74" i="18"/>
  <c r="V32" i="18"/>
  <c r="N99" i="11"/>
  <c r="N114" i="11" s="1"/>
  <c r="N133" i="11" s="1"/>
  <c r="N148" i="11" s="1"/>
  <c r="N158" i="11" s="1"/>
  <c r="AA32" i="18"/>
  <c r="CH74" i="18"/>
  <c r="BM43" i="15"/>
  <c r="BI99" i="11"/>
  <c r="BI114" i="11" s="1"/>
  <c r="BI133" i="11" s="1"/>
  <c r="BI148" i="11" s="1"/>
  <c r="BI158" i="11" s="1"/>
  <c r="AW99" i="11"/>
  <c r="AW114" i="11" s="1"/>
  <c r="AW133" i="11" s="1"/>
  <c r="AW148" i="11" s="1"/>
  <c r="AW158" i="11" s="1"/>
  <c r="BV74" i="18"/>
  <c r="AY43" i="15"/>
  <c r="AH32" i="18"/>
  <c r="Z99" i="11"/>
  <c r="Z114" i="11" s="1"/>
  <c r="Z133" i="11" s="1"/>
  <c r="Z148" i="11" s="1"/>
  <c r="Z158" i="11" s="1"/>
  <c r="AW43" i="15"/>
  <c r="E99" i="11"/>
  <c r="E114" i="11" s="1"/>
  <c r="E133" i="11" s="1"/>
  <c r="E148" i="11" s="1"/>
  <c r="E158" i="11" s="1"/>
  <c r="BD74" i="18"/>
  <c r="BV43" i="15"/>
  <c r="BD43" i="15"/>
  <c r="W99" i="11"/>
  <c r="W114" i="11" s="1"/>
  <c r="W133" i="11" s="1"/>
  <c r="W148" i="11" s="1"/>
  <c r="W158" i="11" s="1"/>
  <c r="BJ43" i="15"/>
  <c r="CL74" i="18"/>
  <c r="H74" i="18"/>
  <c r="AL74" i="18"/>
  <c r="AX43" i="15"/>
  <c r="AP99" i="11"/>
  <c r="AM99" i="11"/>
  <c r="AP43" i="15"/>
  <c r="O43" i="15"/>
  <c r="CA74" i="18"/>
  <c r="CN32" i="18"/>
  <c r="G99" i="11"/>
  <c r="G114" i="11" s="1"/>
  <c r="G133" i="11" s="1"/>
  <c r="G148" i="11" s="1"/>
  <c r="G158" i="11" s="1"/>
  <c r="I99" i="11"/>
  <c r="I114" i="11" s="1"/>
  <c r="I133" i="11" s="1"/>
  <c r="I148" i="11" s="1"/>
  <c r="I158" i="11" s="1"/>
  <c r="U74" i="18"/>
  <c r="W60" i="11"/>
  <c r="BX32" i="18"/>
  <c r="AY32" i="18"/>
  <c r="AO43" i="15"/>
  <c r="BM99" i="11"/>
  <c r="BM114" i="11" s="1"/>
  <c r="BM133" i="11" s="1"/>
  <c r="BM148" i="11" s="1"/>
  <c r="BM158" i="11" s="1"/>
  <c r="AT99" i="11"/>
  <c r="AT114" i="11" s="1"/>
  <c r="AT133" i="11" s="1"/>
  <c r="AT148" i="11" s="1"/>
  <c r="AT158" i="11" s="1"/>
  <c r="BV32" i="18"/>
  <c r="CP74" i="18"/>
  <c r="Q99" i="11"/>
  <c r="Q114" i="11" s="1"/>
  <c r="Q133" i="11" s="1"/>
  <c r="Q148" i="11" s="1"/>
  <c r="Q158" i="11" s="1"/>
  <c r="Q74" i="18"/>
  <c r="M60" i="11"/>
  <c r="AE99" i="11"/>
  <c r="AE114" i="11" s="1"/>
  <c r="AE133" i="11" s="1"/>
  <c r="AE148" i="11" s="1"/>
  <c r="AE158" i="11" s="1"/>
  <c r="R21" i="14"/>
  <c r="R104" i="18"/>
  <c r="CK21" i="14"/>
  <c r="CK104" i="18"/>
  <c r="F21" i="14"/>
  <c r="F104" i="18"/>
  <c r="AZ24" i="14"/>
  <c r="AZ113" i="18"/>
  <c r="AZ139" i="18" s="1"/>
  <c r="G24" i="14"/>
  <c r="G113" i="18"/>
  <c r="G139" i="18" s="1"/>
  <c r="Y80" i="18"/>
  <c r="W43" i="15"/>
  <c r="W80" i="18"/>
  <c r="BM21" i="14"/>
  <c r="BM104" i="18"/>
  <c r="E21" i="14"/>
  <c r="E104" i="18"/>
  <c r="D33" i="14"/>
  <c r="D34" i="14" s="1"/>
  <c r="D113" i="18"/>
  <c r="D139" i="18" s="1"/>
  <c r="N21" i="14"/>
  <c r="N104" i="18"/>
  <c r="H21" i="14"/>
  <c r="H104" i="18"/>
  <c r="BL21" i="14"/>
  <c r="BL104" i="18"/>
  <c r="AT43" i="15"/>
  <c r="AH43" i="15"/>
  <c r="AG80" i="18"/>
  <c r="AV43" i="15"/>
  <c r="AU80" i="18"/>
  <c r="EM117" i="15"/>
  <c r="CF177" i="18"/>
  <c r="EM177" i="18" s="1"/>
  <c r="BN56" i="18"/>
  <c r="EG56" i="18" s="1"/>
  <c r="EG30" i="15"/>
  <c r="CM74" i="18"/>
  <c r="BF74" i="18"/>
  <c r="V99" i="11"/>
  <c r="V114" i="11" s="1"/>
  <c r="V133" i="11" s="1"/>
  <c r="V148" i="11" s="1"/>
  <c r="V158" i="11" s="1"/>
  <c r="P99" i="11"/>
  <c r="P114" i="11" s="1"/>
  <c r="P133" i="11" s="1"/>
  <c r="P148" i="11" s="1"/>
  <c r="P158" i="11" s="1"/>
  <c r="BD50" i="11"/>
  <c r="BD154" i="11" s="1"/>
  <c r="H60" i="11"/>
  <c r="BJ50" i="11"/>
  <c r="BJ154" i="11" s="1"/>
  <c r="AC99" i="11"/>
  <c r="AC114" i="11" s="1"/>
  <c r="AC133" i="11" s="1"/>
  <c r="AC148" i="11" s="1"/>
  <c r="AC158" i="11" s="1"/>
  <c r="AN50" i="11"/>
  <c r="AN154" i="11" s="1"/>
  <c r="N60" i="11"/>
  <c r="BJ74" i="18"/>
  <c r="CL56" i="18"/>
  <c r="EO56" i="18" s="1"/>
  <c r="EK30" i="15"/>
  <c r="EO30" i="15"/>
  <c r="Z32" i="18"/>
  <c r="AJ50" i="11"/>
  <c r="O60" i="11"/>
  <c r="CE43" i="15"/>
  <c r="CE80" i="18"/>
  <c r="CL21" i="14"/>
  <c r="CL104" i="18"/>
  <c r="BZ21" i="14"/>
  <c r="BZ104" i="18"/>
  <c r="BB21" i="14"/>
  <c r="BB104" i="18"/>
  <c r="BP143" i="11"/>
  <c r="BP141" i="11" s="1"/>
  <c r="CW125" i="15"/>
  <c r="CW123" i="15" s="1"/>
  <c r="CX185" i="18" s="1"/>
  <c r="BP114" i="12"/>
  <c r="BP112" i="12" s="1"/>
  <c r="CG21" i="14"/>
  <c r="CG104" i="18"/>
  <c r="S42" i="14"/>
  <c r="S169" i="18"/>
  <c r="BE21" i="14"/>
  <c r="BE104" i="18"/>
  <c r="AT42" i="14"/>
  <c r="AT169" i="18"/>
  <c r="L24" i="14"/>
  <c r="L113" i="18"/>
  <c r="L139" i="18" s="1"/>
  <c r="AB21" i="14"/>
  <c r="AB104" i="18"/>
  <c r="BA21" i="14"/>
  <c r="BA104" i="18"/>
  <c r="AS21" i="14"/>
  <c r="AS104" i="18"/>
  <c r="I21" i="14"/>
  <c r="I104" i="18"/>
  <c r="BO21" i="14"/>
  <c r="BO104" i="18"/>
  <c r="CE21" i="14"/>
  <c r="CE104" i="18"/>
  <c r="CP21" i="14"/>
  <c r="CP104" i="18"/>
  <c r="X43" i="15"/>
  <c r="BA43" i="15"/>
  <c r="AK43" i="15"/>
  <c r="E50" i="11"/>
  <c r="E154" i="11" s="1"/>
  <c r="CR21" i="14"/>
  <c r="CR104" i="18"/>
  <c r="N50" i="11"/>
  <c r="N154" i="11" s="1"/>
  <c r="BZ74" i="18"/>
  <c r="BC50" i="11"/>
  <c r="BC154" i="11" s="1"/>
  <c r="BC21" i="14"/>
  <c r="BC104" i="18"/>
  <c r="D21" i="14"/>
  <c r="D104" i="18"/>
  <c r="BB50" i="11"/>
  <c r="AB50" i="11"/>
  <c r="AB154" i="11" s="1"/>
  <c r="Y50" i="11"/>
  <c r="Y154" i="11" s="1"/>
  <c r="EP117" i="15"/>
  <c r="CO177" i="18"/>
  <c r="EP177" i="18" s="1"/>
  <c r="CA113" i="18"/>
  <c r="CA139" i="18" s="1"/>
  <c r="CA33" i="14"/>
  <c r="CA24" i="14"/>
  <c r="BY32" i="18"/>
  <c r="S50" i="11"/>
  <c r="S154" i="11" s="1"/>
  <c r="BD99" i="11"/>
  <c r="BD114" i="11" s="1"/>
  <c r="BD133" i="11" s="1"/>
  <c r="BD148" i="11" s="1"/>
  <c r="BD158" i="11" s="1"/>
  <c r="BP32" i="18"/>
  <c r="AJ32" i="18"/>
  <c r="BJ99" i="11"/>
  <c r="BJ114" i="11" s="1"/>
  <c r="BJ133" i="11" s="1"/>
  <c r="BJ148" i="11" s="1"/>
  <c r="BJ158" i="11" s="1"/>
  <c r="BA74" i="18"/>
  <c r="AV50" i="11"/>
  <c r="Z60" i="11"/>
  <c r="AN99" i="11"/>
  <c r="AN114" i="11" s="1"/>
  <c r="AN133" i="11" s="1"/>
  <c r="AN148" i="11" s="1"/>
  <c r="AN158" i="11" s="1"/>
  <c r="L43" i="15"/>
  <c r="L80" i="18"/>
  <c r="AX50" i="11"/>
  <c r="AX154" i="11" s="1"/>
  <c r="AL50" i="11"/>
  <c r="AJ99" i="11"/>
  <c r="CO21" i="14"/>
  <c r="CO104" i="18"/>
  <c r="BN21" i="14"/>
  <c r="BN104" i="18"/>
  <c r="AC21" i="14"/>
  <c r="AC104" i="18"/>
  <c r="AG21" i="14"/>
  <c r="AG104" i="18"/>
  <c r="U21" i="14"/>
  <c r="U104" i="18"/>
  <c r="Y21" i="14"/>
  <c r="Y104" i="18"/>
  <c r="AN24" i="14"/>
  <c r="AN113" i="18"/>
  <c r="AN139" i="18" s="1"/>
  <c r="S21" i="14"/>
  <c r="S104" i="18"/>
  <c r="Q43" i="15"/>
  <c r="P80" i="18"/>
  <c r="AF43" i="15"/>
  <c r="AF80" i="18"/>
  <c r="R43" i="15"/>
  <c r="Q80" i="18"/>
  <c r="BC99" i="11"/>
  <c r="BC114" i="11" s="1"/>
  <c r="BC133" i="11" s="1"/>
  <c r="BC148" i="11" s="1"/>
  <c r="BC158" i="11" s="1"/>
  <c r="T113" i="18"/>
  <c r="T139" i="18" s="1"/>
  <c r="T24" i="14"/>
  <c r="BO32" i="18"/>
  <c r="BO74" i="18"/>
  <c r="BB99" i="11"/>
  <c r="AB99" i="11"/>
  <c r="AB114" i="11" s="1"/>
  <c r="AB133" i="11" s="1"/>
  <c r="AB148" i="11" s="1"/>
  <c r="AB158" i="11" s="1"/>
  <c r="S99" i="11"/>
  <c r="S114" i="11" s="1"/>
  <c r="S133" i="11" s="1"/>
  <c r="S148" i="11" s="1"/>
  <c r="S158" i="11" s="1"/>
  <c r="CB74" i="18"/>
  <c r="CR56" i="18"/>
  <c r="EQ56" i="18" s="1"/>
  <c r="EQ30" i="15"/>
  <c r="BR32" i="18"/>
  <c r="G21" i="14"/>
  <c r="G104" i="18"/>
  <c r="AD50" i="11"/>
  <c r="G50" i="11"/>
  <c r="G154" i="11" s="1"/>
  <c r="AA50" i="11"/>
  <c r="AA154" i="11" s="1"/>
  <c r="T60" i="11"/>
  <c r="S60" i="11"/>
  <c r="CF74" i="18"/>
  <c r="BA32" i="18"/>
  <c r="T21" i="14"/>
  <c r="T104" i="18"/>
  <c r="AH50" i="11"/>
  <c r="AH154" i="11" s="1"/>
  <c r="AV99" i="11"/>
  <c r="BK50" i="11"/>
  <c r="J60" i="11"/>
  <c r="BD32" i="18"/>
  <c r="AX99" i="11"/>
  <c r="AX114" i="11" s="1"/>
  <c r="AX133" i="11" s="1"/>
  <c r="AX148" i="11" s="1"/>
  <c r="AX158" i="11" s="1"/>
  <c r="AL99" i="11"/>
  <c r="AL114" i="11" s="1"/>
  <c r="AL133" i="11" s="1"/>
  <c r="AL148" i="11" s="1"/>
  <c r="AL158" i="11" s="1"/>
  <c r="AF50" i="11"/>
  <c r="AF154" i="11" s="1"/>
  <c r="C50" i="11"/>
  <c r="M74" i="18"/>
  <c r="CO56" i="18"/>
  <c r="EP56" i="18" s="1"/>
  <c r="EP30" i="15"/>
  <c r="X50" i="11"/>
  <c r="X154" i="11" s="1"/>
  <c r="BI50" i="11"/>
  <c r="EN117" i="15"/>
  <c r="CI177" i="18"/>
  <c r="EN177" i="18" s="1"/>
  <c r="CI56" i="18"/>
  <c r="EN56" i="18" s="1"/>
  <c r="EN30" i="15"/>
  <c r="AP32" i="18"/>
  <c r="K50" i="11"/>
  <c r="K154" i="11" s="1"/>
  <c r="AQ24" i="14"/>
  <c r="AQ113" i="18"/>
  <c r="AQ139" i="18" s="1"/>
  <c r="BO24" i="14"/>
  <c r="BO113" i="18"/>
  <c r="BO139" i="18" s="1"/>
  <c r="BM50" i="11"/>
  <c r="BM154" i="11" s="1"/>
  <c r="AT50" i="11"/>
  <c r="AT154" i="11" s="1"/>
  <c r="EJ117" i="15"/>
  <c r="BW177" i="18"/>
  <c r="EJ177" i="18" s="1"/>
  <c r="AP50" i="11"/>
  <c r="W50" i="11"/>
  <c r="W154" i="11" s="1"/>
  <c r="AM50" i="11"/>
  <c r="EH117" i="15"/>
  <c r="BQ177" i="18"/>
  <c r="EH177" i="18" s="1"/>
  <c r="EK117" i="15"/>
  <c r="EO117" i="15"/>
  <c r="CL177" i="18"/>
  <c r="EO177" i="18" s="1"/>
  <c r="AF74" i="18"/>
  <c r="EI117" i="15"/>
  <c r="BT177" i="18"/>
  <c r="EI177" i="18" s="1"/>
  <c r="AD99" i="11"/>
  <c r="AA99" i="11"/>
  <c r="AA114" i="11" s="1"/>
  <c r="AA133" i="11" s="1"/>
  <c r="AA148" i="11" s="1"/>
  <c r="AA158" i="11" s="1"/>
  <c r="AR74" i="18"/>
  <c r="BK121" i="18"/>
  <c r="EF121" i="18" s="1"/>
  <c r="EF77" i="15"/>
  <c r="AH99" i="11"/>
  <c r="AH114" i="11" s="1"/>
  <c r="AH133" i="11" s="1"/>
  <c r="AH148" i="11" s="1"/>
  <c r="AH158" i="11" s="1"/>
  <c r="AR50" i="11"/>
  <c r="O50" i="11"/>
  <c r="AL60" i="11"/>
  <c r="Y60" i="11"/>
  <c r="BK99" i="11"/>
  <c r="AF99" i="11"/>
  <c r="AF114" i="11" s="1"/>
  <c r="AF133" i="11" s="1"/>
  <c r="AF148" i="11" s="1"/>
  <c r="AF158" i="11" s="1"/>
  <c r="C99" i="11"/>
  <c r="C114" i="11" s="1"/>
  <c r="C133" i="11" s="1"/>
  <c r="C148" i="11" s="1"/>
  <c r="C158" i="11" s="1"/>
  <c r="CC56" i="18"/>
  <c r="EL56" i="18" s="1"/>
  <c r="EL30" i="15"/>
  <c r="BW56" i="18"/>
  <c r="EJ56" i="18" s="1"/>
  <c r="EJ30" i="15"/>
  <c r="AW32" i="18"/>
  <c r="AO50" i="11"/>
  <c r="AO154" i="11" s="1"/>
  <c r="AS50" i="11"/>
  <c r="S24" i="14"/>
  <c r="S113" i="18"/>
  <c r="S139" i="18" s="1"/>
  <c r="AR99" i="11"/>
  <c r="AR114" i="11" s="1"/>
  <c r="AR133" i="11" s="1"/>
  <c r="AR148" i="11" s="1"/>
  <c r="AR158" i="11" s="1"/>
  <c r="O99" i="11"/>
  <c r="O114" i="11" s="1"/>
  <c r="O133" i="11" s="1"/>
  <c r="O148" i="11" s="1"/>
  <c r="O158" i="11" s="1"/>
  <c r="AK50" i="11"/>
  <c r="AK154" i="11" s="1"/>
  <c r="X60" i="11"/>
  <c r="F74" i="18"/>
  <c r="F50" i="11"/>
  <c r="AU50" i="11"/>
  <c r="AU154" i="11" s="1"/>
  <c r="G60" i="11"/>
  <c r="F60" i="11"/>
  <c r="U60" i="11"/>
  <c r="AQ50" i="11"/>
  <c r="AQ154" i="11" s="1"/>
  <c r="BQ21" i="14"/>
  <c r="BQ104" i="18"/>
  <c r="Q21" i="14"/>
  <c r="Q104" i="18"/>
  <c r="AK21" i="14"/>
  <c r="AK104" i="18"/>
  <c r="CF42" i="14"/>
  <c r="CF169" i="18"/>
  <c r="AN21" i="14"/>
  <c r="AN104" i="18"/>
  <c r="CP33" i="14"/>
  <c r="CP34" i="14" s="1"/>
  <c r="CP113" i="18"/>
  <c r="CP139" i="18" s="1"/>
  <c r="CN43" i="15"/>
  <c r="CM80" i="18"/>
  <c r="BY21" i="14"/>
  <c r="BY104" i="18"/>
  <c r="L21" i="14"/>
  <c r="L104" i="18"/>
  <c r="P21" i="14"/>
  <c r="P104" i="18"/>
  <c r="H24" i="14"/>
  <c r="H113" i="18"/>
  <c r="H139" i="18" s="1"/>
  <c r="AM43" i="15"/>
  <c r="AL80" i="18"/>
  <c r="BS43" i="15"/>
  <c r="BS80" i="18"/>
  <c r="AB74" i="18"/>
  <c r="Z50" i="11"/>
  <c r="Z154" i="11" s="1"/>
  <c r="T50" i="11"/>
  <c r="I50" i="11"/>
  <c r="L50" i="11"/>
  <c r="L154" i="11" s="1"/>
  <c r="AZ50" i="11"/>
  <c r="AZ154" i="11" s="1"/>
  <c r="J50" i="11"/>
  <c r="J154" i="11" s="1"/>
  <c r="AI50" i="11"/>
  <c r="AI154" i="11" s="1"/>
  <c r="EQ117" i="15"/>
  <c r="CR177" i="18"/>
  <c r="EQ177" i="18" s="1"/>
  <c r="CN74" i="18"/>
  <c r="BJ32" i="18"/>
  <c r="BA50" i="11"/>
  <c r="M50" i="11"/>
  <c r="M154" i="11" s="1"/>
  <c r="BM60" i="11"/>
  <c r="CB32" i="18"/>
  <c r="AO99" i="11"/>
  <c r="AO114" i="11" s="1"/>
  <c r="AO133" i="11" s="1"/>
  <c r="AO148" i="11" s="1"/>
  <c r="AO158" i="11" s="1"/>
  <c r="EG117" i="15"/>
  <c r="BN177" i="18"/>
  <c r="EG177" i="18" s="1"/>
  <c r="BP21" i="14"/>
  <c r="BP104" i="18"/>
  <c r="R50" i="11"/>
  <c r="BG50" i="11"/>
  <c r="BG154" i="11" s="1"/>
  <c r="AG50" i="11"/>
  <c r="AN32" i="18"/>
  <c r="AN43" i="18"/>
  <c r="AK99" i="11"/>
  <c r="AK114" i="11" s="1"/>
  <c r="AK133" i="11" s="1"/>
  <c r="AK148" i="11" s="1"/>
  <c r="AK158" i="11" s="1"/>
  <c r="EL117" i="15"/>
  <c r="CC177" i="18"/>
  <c r="EL177" i="18" s="1"/>
  <c r="F99" i="11"/>
  <c r="F114" i="11" s="1"/>
  <c r="F133" i="11" s="1"/>
  <c r="F148" i="11" s="1"/>
  <c r="F158" i="11" s="1"/>
  <c r="AU99" i="11"/>
  <c r="AU114" i="11" s="1"/>
  <c r="AU133" i="11" s="1"/>
  <c r="AU148" i="11" s="1"/>
  <c r="AU158" i="11" s="1"/>
  <c r="AQ99" i="11"/>
  <c r="AQ114" i="11" s="1"/>
  <c r="AQ133" i="11" s="1"/>
  <c r="AQ148" i="11" s="1"/>
  <c r="AQ158" i="11" s="1"/>
  <c r="BD42" i="14"/>
  <c r="BD169" i="18"/>
  <c r="T42" i="14"/>
  <c r="T169" i="18"/>
  <c r="CS21" i="14"/>
  <c r="CS104" i="18"/>
  <c r="BU21" i="14"/>
  <c r="BU104" i="18"/>
  <c r="AW21" i="14"/>
  <c r="AW104" i="18"/>
  <c r="V42" i="14"/>
  <c r="V169" i="18"/>
  <c r="AQ42" i="14"/>
  <c r="AQ169" i="18"/>
  <c r="AA21" i="14"/>
  <c r="AA104" i="18"/>
  <c r="AB43" i="15"/>
  <c r="AB80" i="18"/>
  <c r="BF43" i="15"/>
  <c r="BE80" i="18"/>
  <c r="BI21" i="14"/>
  <c r="BI104" i="18"/>
  <c r="AO21" i="14"/>
  <c r="AO104" i="18"/>
  <c r="AH42" i="14"/>
  <c r="AH169" i="18"/>
  <c r="CT43" i="15"/>
  <c r="CT80" i="18"/>
  <c r="AD21" i="14"/>
  <c r="AD104" i="18"/>
  <c r="CC21" i="14"/>
  <c r="CC104" i="18"/>
  <c r="M21" i="14"/>
  <c r="M104" i="18"/>
  <c r="AZ21" i="14"/>
  <c r="AZ104" i="18"/>
  <c r="CB43" i="15"/>
  <c r="CA80" i="18"/>
  <c r="AJ43" i="15"/>
  <c r="AI80" i="18"/>
  <c r="CH43" i="15"/>
  <c r="CH80" i="18"/>
  <c r="AC74" i="18"/>
  <c r="L99" i="11"/>
  <c r="L114" i="11" s="1"/>
  <c r="L133" i="11" s="1"/>
  <c r="L148" i="11" s="1"/>
  <c r="L158" i="11" s="1"/>
  <c r="BQ56" i="18"/>
  <c r="EH56" i="18" s="1"/>
  <c r="EH30" i="15"/>
  <c r="V74" i="18"/>
  <c r="CK32" i="18"/>
  <c r="AI99" i="11"/>
  <c r="AI114" i="11" s="1"/>
  <c r="AI133" i="11" s="1"/>
  <c r="AI148" i="11" s="1"/>
  <c r="AI158" i="11" s="1"/>
  <c r="BI32" i="18"/>
  <c r="BA99" i="11"/>
  <c r="BA114" i="11" s="1"/>
  <c r="BA133" i="11" s="1"/>
  <c r="BA148" i="11" s="1"/>
  <c r="BA158" i="11" s="1"/>
  <c r="EO123" i="15"/>
  <c r="FG123" i="15" s="1"/>
  <c r="EK123" i="15"/>
  <c r="FF123" i="15" s="1"/>
  <c r="BM32" i="18"/>
  <c r="BM74" i="18"/>
  <c r="BH50" i="11"/>
  <c r="D50" i="11"/>
  <c r="D154" i="11" s="1"/>
  <c r="BA60" i="11"/>
  <c r="CF56" i="18"/>
  <c r="EM56" i="18" s="1"/>
  <c r="EM30" i="15"/>
  <c r="BF32" i="18"/>
  <c r="R99" i="11"/>
  <c r="R114" i="11" s="1"/>
  <c r="R133" i="11" s="1"/>
  <c r="R148" i="11" s="1"/>
  <c r="R158" i="11" s="1"/>
  <c r="BG99" i="11"/>
  <c r="BG114" i="11" s="1"/>
  <c r="BG133" i="11" s="1"/>
  <c r="BG148" i="11" s="1"/>
  <c r="BG158" i="11" s="1"/>
  <c r="BF50" i="11"/>
  <c r="BF154" i="11" s="1"/>
  <c r="AI60" i="11"/>
  <c r="AO74" i="18"/>
  <c r="Q50" i="11"/>
  <c r="Q154" i="11" s="1"/>
  <c r="AB60" i="11"/>
  <c r="U50" i="11"/>
  <c r="Q60" i="11"/>
  <c r="AP21" i="14"/>
  <c r="AP104" i="18"/>
  <c r="P33" i="14"/>
  <c r="P34" i="14" s="1"/>
  <c r="P113" i="18"/>
  <c r="P139" i="18" s="1"/>
  <c r="N33" i="14"/>
  <c r="N34" i="14" s="1"/>
  <c r="N113" i="18"/>
  <c r="N139" i="18" s="1"/>
  <c r="AA33" i="14"/>
  <c r="AA34" i="14" s="1"/>
  <c r="AA113" i="18"/>
  <c r="AA139" i="18" s="1"/>
  <c r="BY43" i="15"/>
  <c r="BG43" i="15"/>
  <c r="BG80" i="18"/>
  <c r="AQ43" i="15"/>
  <c r="AQ80" i="18"/>
  <c r="BL50" i="11"/>
  <c r="BL154" i="11" s="1"/>
  <c r="AR60" i="11"/>
  <c r="H50" i="11"/>
  <c r="H154" i="11" s="1"/>
  <c r="AW50" i="11"/>
  <c r="CS74" i="18"/>
  <c r="E74" i="18"/>
  <c r="Z74" i="18"/>
  <c r="EF117" i="15"/>
  <c r="BK177" i="18"/>
  <c r="EF177" i="18" s="1"/>
  <c r="BK56" i="18"/>
  <c r="EF56" i="18" s="1"/>
  <c r="EF30" i="15"/>
  <c r="CU123" i="15"/>
  <c r="AE50" i="11"/>
  <c r="AY50" i="11"/>
  <c r="I74" i="18"/>
  <c r="V50" i="11"/>
  <c r="P50" i="11"/>
  <c r="P154" i="11" s="1"/>
  <c r="BE50" i="11"/>
  <c r="D99" i="11"/>
  <c r="D114" i="11" s="1"/>
  <c r="D133" i="11" s="1"/>
  <c r="D148" i="11" s="1"/>
  <c r="D158" i="11" s="1"/>
  <c r="R74" i="18"/>
  <c r="AC50" i="11"/>
  <c r="AO60" i="11"/>
  <c r="BF99" i="11"/>
  <c r="BF114" i="11" s="1"/>
  <c r="BF133" i="11" s="1"/>
  <c r="BF148" i="11" s="1"/>
  <c r="BF158" i="11" s="1"/>
  <c r="BT56" i="18"/>
  <c r="EI56" i="18" s="1"/>
  <c r="EI30" i="15"/>
  <c r="U99" i="11"/>
  <c r="U114" i="11" s="1"/>
  <c r="U133" i="11" s="1"/>
  <c r="U148" i="11" s="1"/>
  <c r="U158" i="11" s="1"/>
  <c r="P140" i="18"/>
  <c r="P170" i="18" s="1"/>
  <c r="X140" i="18"/>
  <c r="X170" i="18" s="1"/>
  <c r="V140" i="18"/>
  <c r="V170" i="18" s="1"/>
  <c r="M140" i="18"/>
  <c r="M170" i="18" s="1"/>
  <c r="N140" i="18"/>
  <c r="N170" i="18" s="1"/>
  <c r="L140" i="18"/>
  <c r="L170" i="18" s="1"/>
  <c r="AA140" i="18"/>
  <c r="AA170" i="18" s="1"/>
  <c r="W105" i="18"/>
  <c r="W114" i="18"/>
  <c r="S105" i="18"/>
  <c r="S114" i="18"/>
  <c r="AB105" i="18"/>
  <c r="AB114" i="18"/>
  <c r="Z105" i="18"/>
  <c r="Z114" i="18"/>
  <c r="R105" i="18"/>
  <c r="R114" i="18"/>
  <c r="O105" i="18"/>
  <c r="O114" i="18"/>
  <c r="Q105" i="18"/>
  <c r="Q114" i="18"/>
  <c r="T105" i="18"/>
  <c r="T114" i="18"/>
  <c r="Y105" i="18"/>
  <c r="Y114" i="18"/>
  <c r="U105" i="18"/>
  <c r="U114" i="18"/>
  <c r="AI75" i="18"/>
  <c r="BK75" i="18"/>
  <c r="AG75" i="18"/>
  <c r="AA75" i="18"/>
  <c r="AA105" i="18"/>
  <c r="BV75" i="18"/>
  <c r="M75" i="18"/>
  <c r="M105" i="18"/>
  <c r="CH75" i="18"/>
  <c r="BZ75" i="18"/>
  <c r="CL75" i="18"/>
  <c r="BQ75" i="18"/>
  <c r="P75" i="18"/>
  <c r="P105" i="18"/>
  <c r="CI75" i="18"/>
  <c r="X75" i="18"/>
  <c r="X105" i="18"/>
  <c r="AO75" i="18"/>
  <c r="AR75" i="18"/>
  <c r="BG75" i="18"/>
  <c r="BY75" i="18"/>
  <c r="CS75" i="18"/>
  <c r="BE75" i="18"/>
  <c r="CC75" i="18"/>
  <c r="CE75" i="18"/>
  <c r="CJ75" i="18"/>
  <c r="V75" i="18"/>
  <c r="V105" i="18"/>
  <c r="CP75" i="18"/>
  <c r="CO75" i="18"/>
  <c r="BW75" i="18"/>
  <c r="BR75" i="18"/>
  <c r="AT75" i="18"/>
  <c r="AD75" i="18"/>
  <c r="CF75" i="18"/>
  <c r="N75" i="18"/>
  <c r="N105" i="18"/>
  <c r="L75" i="18"/>
  <c r="L105" i="18"/>
  <c r="AK75" i="18"/>
  <c r="AX75" i="18"/>
  <c r="Q75" i="18"/>
  <c r="AM75" i="18"/>
  <c r="AF75" i="18"/>
  <c r="AU75" i="18"/>
  <c r="BX75" i="18"/>
  <c r="BD75" i="18"/>
  <c r="BB75" i="18"/>
  <c r="AN75" i="18"/>
  <c r="BO75" i="18"/>
  <c r="Y75" i="18"/>
  <c r="BT75" i="18"/>
  <c r="BR7" i="18"/>
  <c r="BY7" i="18"/>
  <c r="AP7" i="18"/>
  <c r="U7" i="18"/>
  <c r="CM7" i="18"/>
  <c r="CQ75" i="18"/>
  <c r="AQ75" i="18"/>
  <c r="CN75" i="18"/>
  <c r="BV7" i="18"/>
  <c r="U75" i="18"/>
  <c r="CO7" i="18"/>
  <c r="BU7" i="18"/>
  <c r="CH7" i="18"/>
  <c r="BF75" i="18"/>
  <c r="AB7" i="18"/>
  <c r="AC75" i="18"/>
  <c r="BB7" i="18"/>
  <c r="CQ7" i="18"/>
  <c r="AD7" i="18"/>
  <c r="AQ7" i="18"/>
  <c r="CI7" i="18"/>
  <c r="CN7" i="18"/>
  <c r="AW75" i="18"/>
  <c r="BA75" i="18"/>
  <c r="M7" i="18"/>
  <c r="BL75" i="18"/>
  <c r="BU75" i="18"/>
  <c r="AS7" i="18"/>
  <c r="AE75" i="18"/>
  <c r="AM7" i="18"/>
  <c r="AB75" i="18"/>
  <c r="AC7" i="18"/>
  <c r="Y7" i="18"/>
  <c r="T7" i="18"/>
  <c r="AR7" i="18"/>
  <c r="CT75" i="18"/>
  <c r="V7" i="18"/>
  <c r="AT7" i="18"/>
  <c r="P7" i="18"/>
  <c r="BE7" i="18"/>
  <c r="AJ75" i="18"/>
  <c r="X7" i="18"/>
  <c r="AP75" i="18"/>
  <c r="Z75" i="18"/>
  <c r="CB75" i="18"/>
  <c r="CA75" i="18"/>
  <c r="AE7" i="18"/>
  <c r="BG7" i="18"/>
  <c r="AN7" i="18"/>
  <c r="CC7" i="18"/>
  <c r="AZ75" i="18"/>
  <c r="CP7" i="18"/>
  <c r="AZ7" i="18"/>
  <c r="CB7" i="18"/>
  <c r="AV75" i="18"/>
  <c r="CL7" i="18"/>
  <c r="AF7" i="18"/>
  <c r="CA7" i="18"/>
  <c r="CK75" i="18"/>
  <c r="W7" i="18"/>
  <c r="AL7" i="18"/>
  <c r="BJ7" i="18"/>
  <c r="AW7" i="18"/>
  <c r="BL7" i="18"/>
  <c r="AS75" i="18"/>
  <c r="CG7" i="18"/>
  <c r="CF7" i="18"/>
  <c r="CK7" i="18"/>
  <c r="BM75" i="18"/>
  <c r="W75" i="18"/>
  <c r="AL75" i="18"/>
  <c r="BX7" i="18"/>
  <c r="BJ75" i="18"/>
  <c r="R7" i="18"/>
  <c r="BN75" i="18"/>
  <c r="CD7" i="18"/>
  <c r="BC75" i="18"/>
  <c r="BI7" i="18"/>
  <c r="L7" i="18"/>
  <c r="S7" i="18"/>
  <c r="CG75" i="18"/>
  <c r="AU7" i="18"/>
  <c r="CJ7" i="18"/>
  <c r="AH75" i="18"/>
  <c r="AV7" i="18"/>
  <c r="BA7" i="18"/>
  <c r="BM7" i="18"/>
  <c r="BS75" i="18"/>
  <c r="BT7" i="18"/>
  <c r="R75" i="18"/>
  <c r="BN7" i="18"/>
  <c r="CD75" i="18"/>
  <c r="BC7" i="18"/>
  <c r="BI75" i="18"/>
  <c r="T75" i="18"/>
  <c r="S75" i="18"/>
  <c r="BP75" i="18"/>
  <c r="CE7" i="18"/>
  <c r="CR7" i="18"/>
  <c r="AI7" i="18"/>
  <c r="CT7" i="18"/>
  <c r="BO7" i="18"/>
  <c r="BH7" i="18"/>
  <c r="AK7" i="18"/>
  <c r="BQ7" i="18"/>
  <c r="BZ7" i="18"/>
  <c r="AY75" i="18"/>
  <c r="N7" i="18"/>
  <c r="AO7" i="18"/>
  <c r="AY7" i="18"/>
  <c r="AG7" i="18"/>
  <c r="AA7" i="18"/>
  <c r="BK7" i="18"/>
  <c r="Z7" i="18"/>
  <c r="O7" i="18"/>
  <c r="AJ7" i="18"/>
  <c r="AH7" i="18"/>
  <c r="O75" i="18"/>
  <c r="CM75" i="18"/>
  <c r="BF7" i="18"/>
  <c r="BW7" i="18"/>
  <c r="BS7" i="18"/>
  <c r="AX7" i="18"/>
  <c r="CS7" i="18"/>
  <c r="BH75" i="18"/>
  <c r="Q7" i="18"/>
  <c r="BP7" i="18"/>
  <c r="BD7" i="18"/>
  <c r="CR75" i="18"/>
  <c r="T43" i="15"/>
  <c r="BE43" i="15"/>
  <c r="BO34" i="14"/>
  <c r="BO42" i="14"/>
  <c r="BO43" i="14" s="1"/>
  <c r="P43" i="15"/>
  <c r="U43" i="15"/>
  <c r="AI43" i="15"/>
  <c r="AS43" i="15"/>
  <c r="AL43" i="15"/>
  <c r="AU43" i="15"/>
  <c r="AR43" i="15"/>
  <c r="AC43" i="15"/>
  <c r="CK43" i="15"/>
  <c r="Z43" i="15"/>
  <c r="BH43" i="15"/>
  <c r="V43" i="15"/>
  <c r="S43" i="15"/>
  <c r="G33" i="14"/>
  <c r="G34" i="14" s="1"/>
  <c r="AG43" i="15"/>
  <c r="BF79" i="7"/>
  <c r="BF148" i="7"/>
  <c r="BF151" i="7"/>
  <c r="O151" i="7"/>
  <c r="O148" i="7"/>
  <c r="G151" i="7"/>
  <c r="G148" i="7"/>
  <c r="AR148" i="7"/>
  <c r="AR151" i="7"/>
  <c r="AA151" i="7"/>
  <c r="AA148" i="7"/>
  <c r="AE151" i="7"/>
  <c r="AE148" i="7"/>
  <c r="CC148" i="7"/>
  <c r="CC151" i="7"/>
  <c r="AK151" i="7"/>
  <c r="AK148" i="7"/>
  <c r="BM148" i="7"/>
  <c r="BM151" i="7"/>
  <c r="AD151" i="7"/>
  <c r="AD148" i="7"/>
  <c r="D148" i="7"/>
  <c r="D151" i="7"/>
  <c r="BI151" i="7"/>
  <c r="BI148" i="7"/>
  <c r="L151" i="7"/>
  <c r="L148" i="7"/>
  <c r="BB79" i="7"/>
  <c r="BB151" i="7"/>
  <c r="BB148" i="7"/>
  <c r="V148" i="7"/>
  <c r="V151" i="7"/>
  <c r="K79" i="7"/>
  <c r="K148" i="7"/>
  <c r="K151" i="7"/>
  <c r="T148" i="7"/>
  <c r="T151" i="7"/>
  <c r="Y151" i="7"/>
  <c r="Y148" i="7"/>
  <c r="CK148" i="7"/>
  <c r="CK151" i="7"/>
  <c r="AV148" i="7"/>
  <c r="AV151" i="7"/>
  <c r="BW148" i="7"/>
  <c r="BW151" i="7"/>
  <c r="AF148" i="7"/>
  <c r="AF151" i="7"/>
  <c r="AQ148" i="7"/>
  <c r="AQ151" i="7"/>
  <c r="H148" i="7"/>
  <c r="H151" i="7"/>
  <c r="BD148" i="7"/>
  <c r="BD151" i="7"/>
  <c r="CI148" i="7"/>
  <c r="CI151" i="7"/>
  <c r="BH148" i="7"/>
  <c r="BH151" i="7"/>
  <c r="BA148" i="7"/>
  <c r="BA151" i="7"/>
  <c r="AT79" i="7"/>
  <c r="AT148" i="7"/>
  <c r="AT151" i="7"/>
  <c r="BV79" i="7"/>
  <c r="BV151" i="7"/>
  <c r="BV148" i="7"/>
  <c r="AZ112" i="7"/>
  <c r="AZ148" i="7"/>
  <c r="AZ151" i="7"/>
  <c r="BC151" i="7"/>
  <c r="BC148" i="7"/>
  <c r="N151" i="7"/>
  <c r="N148" i="7"/>
  <c r="CJ148" i="7"/>
  <c r="CJ151" i="7"/>
  <c r="BK148" i="7"/>
  <c r="BK151" i="7"/>
  <c r="AG151" i="7"/>
  <c r="AG148" i="7"/>
  <c r="AI151" i="7"/>
  <c r="AI148" i="7"/>
  <c r="AH148" i="7"/>
  <c r="AH151" i="7"/>
  <c r="AL151" i="7"/>
  <c r="AL148" i="7"/>
  <c r="Z151" i="7"/>
  <c r="Z148" i="7"/>
  <c r="AO148" i="7"/>
  <c r="AO151" i="7"/>
  <c r="BP148" i="7"/>
  <c r="BP151" i="7"/>
  <c r="AS148" i="7"/>
  <c r="AS151" i="7"/>
  <c r="F151" i="7"/>
  <c r="F148" i="7"/>
  <c r="CF148" i="7"/>
  <c r="CF151" i="7"/>
  <c r="AU151" i="7"/>
  <c r="AU148" i="7"/>
  <c r="BY148" i="7"/>
  <c r="BY151" i="7"/>
  <c r="P148" i="7"/>
  <c r="P151" i="7"/>
  <c r="AN148" i="7"/>
  <c r="AN151" i="7"/>
  <c r="BU151" i="7"/>
  <c r="BU148" i="7"/>
  <c r="X151" i="7"/>
  <c r="X148" i="7"/>
  <c r="CD79" i="7"/>
  <c r="CD148" i="7"/>
  <c r="CD151" i="7"/>
  <c r="AW151" i="7"/>
  <c r="AW148" i="7"/>
  <c r="BE148" i="7"/>
  <c r="BE151" i="7"/>
  <c r="CG148" i="7"/>
  <c r="CG151" i="7"/>
  <c r="W151" i="7"/>
  <c r="W148" i="7"/>
  <c r="E148" i="7"/>
  <c r="E151" i="7"/>
  <c r="CH151" i="7"/>
  <c r="CH148" i="7"/>
  <c r="J148" i="7"/>
  <c r="J151" i="7"/>
  <c r="CE148" i="7"/>
  <c r="CE151" i="7"/>
  <c r="M151" i="7"/>
  <c r="M148" i="7"/>
  <c r="BG112" i="7"/>
  <c r="BG151" i="7"/>
  <c r="BG148" i="7"/>
  <c r="CB148" i="7"/>
  <c r="CB151" i="7"/>
  <c r="U151" i="7"/>
  <c r="U148" i="7"/>
  <c r="CA151" i="7"/>
  <c r="CA148" i="7"/>
  <c r="BT148" i="7"/>
  <c r="BT151" i="7"/>
  <c r="BJ151" i="7"/>
  <c r="BJ148" i="7"/>
  <c r="BS151" i="7"/>
  <c r="BS148" i="7"/>
  <c r="AC148" i="7"/>
  <c r="AC151" i="7"/>
  <c r="AX151" i="7"/>
  <c r="AX148" i="7"/>
  <c r="S97" i="7"/>
  <c r="S151" i="7"/>
  <c r="S148" i="7"/>
  <c r="R151" i="7"/>
  <c r="R148" i="7"/>
  <c r="BL148" i="7"/>
  <c r="BL151" i="7"/>
  <c r="AY148" i="7"/>
  <c r="AY151" i="7"/>
  <c r="AM151" i="7"/>
  <c r="AM148" i="7"/>
  <c r="BO151" i="7"/>
  <c r="BO148" i="7"/>
  <c r="AB148" i="7"/>
  <c r="AB151" i="7"/>
  <c r="AP151" i="7"/>
  <c r="AP148" i="7"/>
  <c r="BX148" i="7"/>
  <c r="BX151" i="7"/>
  <c r="BQ148" i="7"/>
  <c r="BQ151" i="7"/>
  <c r="AJ148" i="7"/>
  <c r="AJ151" i="7"/>
  <c r="C151" i="7"/>
  <c r="C148" i="7"/>
  <c r="I151" i="7"/>
  <c r="I148" i="7"/>
  <c r="BN151" i="7"/>
  <c r="BN148" i="7"/>
  <c r="BZ151" i="7"/>
  <c r="BZ148" i="7"/>
  <c r="Q148" i="7"/>
  <c r="Q151" i="7"/>
  <c r="BR92" i="7"/>
  <c r="BR148" i="7"/>
  <c r="BR151" i="7"/>
  <c r="AZ33" i="14"/>
  <c r="AZ169" i="18" s="1"/>
  <c r="S79" i="7"/>
  <c r="CP24" i="14"/>
  <c r="AA24" i="14"/>
  <c r="H33" i="14"/>
  <c r="S112" i="7"/>
  <c r="S92" i="7"/>
  <c r="S93" i="7" s="1"/>
  <c r="S94" i="7" s="1"/>
  <c r="N24" i="14"/>
  <c r="BV112" i="7"/>
  <c r="D24" i="14"/>
  <c r="BV97" i="7"/>
  <c r="BV92" i="7"/>
  <c r="BR112" i="7"/>
  <c r="BR79" i="7"/>
  <c r="J32" i="12"/>
  <c r="J17" i="12"/>
  <c r="J28" i="12" s="1"/>
  <c r="R32" i="12"/>
  <c r="R17" i="12"/>
  <c r="R28" i="12" s="1"/>
  <c r="AH32" i="12"/>
  <c r="AH17" i="12"/>
  <c r="AH28" i="12" s="1"/>
  <c r="AI32" i="12"/>
  <c r="AI17" i="12"/>
  <c r="AI28" i="12" s="1"/>
  <c r="BR97" i="7"/>
  <c r="AB32" i="12"/>
  <c r="AB17" i="12"/>
  <c r="AB28" i="12" s="1"/>
  <c r="E32" i="12"/>
  <c r="E17" i="12"/>
  <c r="E28" i="12" s="1"/>
  <c r="N32" i="12"/>
  <c r="N17" i="12"/>
  <c r="N28" i="12" s="1"/>
  <c r="BM32" i="12"/>
  <c r="BM17" i="12"/>
  <c r="BM28" i="12" s="1"/>
  <c r="AT32" i="12"/>
  <c r="AT17" i="12"/>
  <c r="AT28" i="12" s="1"/>
  <c r="AX32" i="12"/>
  <c r="AX17" i="12"/>
  <c r="AX28" i="12" s="1"/>
  <c r="Y32" i="12"/>
  <c r="Y17" i="12"/>
  <c r="Y28" i="12" s="1"/>
  <c r="H32" i="12"/>
  <c r="H17" i="12"/>
  <c r="H28" i="12" s="1"/>
  <c r="BC32" i="12"/>
  <c r="BC17" i="12"/>
  <c r="BC28" i="12" s="1"/>
  <c r="U32" i="12"/>
  <c r="U17" i="12"/>
  <c r="U28" i="12" s="1"/>
  <c r="C32" i="12"/>
  <c r="C17" i="12"/>
  <c r="C28" i="12" s="1"/>
  <c r="P32" i="12"/>
  <c r="P17" i="12"/>
  <c r="P28" i="12" s="1"/>
  <c r="S32" i="12"/>
  <c r="S17" i="12"/>
  <c r="S28" i="12" s="1"/>
  <c r="BB32" i="12"/>
  <c r="BB17" i="12"/>
  <c r="AF32" i="12"/>
  <c r="AF17" i="12"/>
  <c r="AF28" i="12" s="1"/>
  <c r="AC32" i="12"/>
  <c r="AC17" i="12"/>
  <c r="AC28" i="12" s="1"/>
  <c r="BD32" i="12"/>
  <c r="BD17" i="12"/>
  <c r="BD28" i="12" s="1"/>
  <c r="T32" i="12"/>
  <c r="T17" i="12"/>
  <c r="T28" i="12" s="1"/>
  <c r="BI32" i="12"/>
  <c r="BI17" i="12"/>
  <c r="BI28" i="12" s="1"/>
  <c r="AR32" i="12"/>
  <c r="AR17" i="12"/>
  <c r="AR28" i="12" s="1"/>
  <c r="AG32" i="12"/>
  <c r="AG17" i="12"/>
  <c r="AU32" i="12"/>
  <c r="AU17" i="12"/>
  <c r="AU28" i="12" s="1"/>
  <c r="AM32" i="12"/>
  <c r="AM17" i="12"/>
  <c r="D32" i="12"/>
  <c r="D17" i="12"/>
  <c r="D28" i="12" s="1"/>
  <c r="BA32" i="12"/>
  <c r="BA17" i="12"/>
  <c r="BA28" i="12" s="1"/>
  <c r="AA32" i="12"/>
  <c r="AA17" i="12"/>
  <c r="AA28" i="12" s="1"/>
  <c r="BF32" i="12"/>
  <c r="BF17" i="12"/>
  <c r="BF28" i="12" s="1"/>
  <c r="P24" i="14"/>
  <c r="AN32" i="12"/>
  <c r="AN17" i="12"/>
  <c r="AN28" i="12" s="1"/>
  <c r="AK32" i="12"/>
  <c r="AK17" i="12"/>
  <c r="AK28" i="12" s="1"/>
  <c r="AL32" i="12"/>
  <c r="AL17" i="12"/>
  <c r="AL28" i="12" s="1"/>
  <c r="AY32" i="12"/>
  <c r="AY17" i="12"/>
  <c r="W32" i="12"/>
  <c r="W17" i="12"/>
  <c r="W28" i="12" s="1"/>
  <c r="AQ32" i="12"/>
  <c r="AQ17" i="12"/>
  <c r="AQ28" i="12" s="1"/>
  <c r="AP32" i="12"/>
  <c r="AP17" i="12"/>
  <c r="BH32" i="12"/>
  <c r="BH17" i="12"/>
  <c r="BG32" i="12"/>
  <c r="BG17" i="12"/>
  <c r="BG28" i="12" s="1"/>
  <c r="AZ32" i="12"/>
  <c r="AZ17" i="12"/>
  <c r="AZ28" i="12" s="1"/>
  <c r="AE32" i="12"/>
  <c r="AE17" i="12"/>
  <c r="AE28" i="12" s="1"/>
  <c r="BJ32" i="12"/>
  <c r="BJ17" i="12"/>
  <c r="BJ28" i="12" s="1"/>
  <c r="BK32" i="12"/>
  <c r="BK17" i="12"/>
  <c r="M32" i="12"/>
  <c r="M17" i="12"/>
  <c r="M28" i="12" s="1"/>
  <c r="BL32" i="12"/>
  <c r="BL17" i="12"/>
  <c r="BL28" i="12" s="1"/>
  <c r="L32" i="12"/>
  <c r="L17" i="12"/>
  <c r="L28" i="12" s="1"/>
  <c r="AO32" i="12"/>
  <c r="AO17" i="12"/>
  <c r="AO28" i="12" s="1"/>
  <c r="AV32" i="12"/>
  <c r="AV17" i="12"/>
  <c r="X32" i="12"/>
  <c r="X17" i="12"/>
  <c r="X28" i="12" s="1"/>
  <c r="V32" i="12"/>
  <c r="V17" i="12"/>
  <c r="V28" i="12" s="1"/>
  <c r="O32" i="12"/>
  <c r="O17" i="12"/>
  <c r="O28" i="12" s="1"/>
  <c r="K32" i="12"/>
  <c r="K17" i="12"/>
  <c r="K28" i="12" s="1"/>
  <c r="AJ32" i="12"/>
  <c r="AJ17" i="12"/>
  <c r="Z32" i="12"/>
  <c r="Z17" i="12"/>
  <c r="Z28" i="12" s="1"/>
  <c r="I32" i="12"/>
  <c r="I17" i="12"/>
  <c r="I28" i="12" s="1"/>
  <c r="F32" i="12"/>
  <c r="F17" i="12"/>
  <c r="F28" i="12" s="1"/>
  <c r="AS32" i="12"/>
  <c r="AS17" i="12"/>
  <c r="BE32" i="12"/>
  <c r="BE17" i="12"/>
  <c r="G32" i="12"/>
  <c r="G17" i="12"/>
  <c r="G28" i="12" s="1"/>
  <c r="AW32" i="12"/>
  <c r="AW17" i="12"/>
  <c r="AW28" i="12" s="1"/>
  <c r="AD32" i="12"/>
  <c r="AD17" i="12"/>
  <c r="Q32" i="12"/>
  <c r="Q17" i="12"/>
  <c r="Q28" i="12" s="1"/>
  <c r="BF112" i="7"/>
  <c r="BC65" i="7"/>
  <c r="BC112" i="7"/>
  <c r="AT112" i="7"/>
  <c r="K112" i="7"/>
  <c r="R79" i="7"/>
  <c r="R97" i="7"/>
  <c r="R92" i="7"/>
  <c r="R93" i="7" s="1"/>
  <c r="R94" i="7" s="1"/>
  <c r="AC92" i="7"/>
  <c r="AC97" i="7"/>
  <c r="T65" i="7"/>
  <c r="T92" i="7"/>
  <c r="T93" i="7" s="1"/>
  <c r="T94" i="7" s="1"/>
  <c r="T97" i="7"/>
  <c r="BC79" i="7"/>
  <c r="BC92" i="7"/>
  <c r="BC97" i="7"/>
  <c r="N112" i="7"/>
  <c r="N92" i="7"/>
  <c r="N93" i="7" s="1"/>
  <c r="N94" i="7" s="1"/>
  <c r="N97" i="7"/>
  <c r="BB112" i="7"/>
  <c r="BB97" i="7"/>
  <c r="BB92" i="7"/>
  <c r="AX112" i="7"/>
  <c r="AX92" i="7"/>
  <c r="AX97" i="7"/>
  <c r="CB92" i="7"/>
  <c r="CB97" i="7"/>
  <c r="Y97" i="7"/>
  <c r="Y92" i="7"/>
  <c r="Y93" i="7" s="1"/>
  <c r="Y94" i="7" s="1"/>
  <c r="BD92" i="7"/>
  <c r="BD97" i="7"/>
  <c r="AO112" i="7"/>
  <c r="AO92" i="7"/>
  <c r="AO97" i="7"/>
  <c r="BG79" i="7"/>
  <c r="BG97" i="7"/>
  <c r="BG92" i="7"/>
  <c r="AI79" i="7"/>
  <c r="AI97" i="7"/>
  <c r="AI92" i="7"/>
  <c r="CJ112" i="7"/>
  <c r="CJ92" i="7"/>
  <c r="CJ97" i="7"/>
  <c r="BM112" i="7"/>
  <c r="BM92" i="7"/>
  <c r="BM97" i="7"/>
  <c r="BF92" i="7"/>
  <c r="BF97" i="7"/>
  <c r="BX79" i="7"/>
  <c r="BX92" i="7"/>
  <c r="BX97" i="7"/>
  <c r="BR65" i="7"/>
  <c r="BQ92" i="7"/>
  <c r="BQ97" i="7"/>
  <c r="AT65" i="7"/>
  <c r="AS92" i="7"/>
  <c r="AS97" i="7"/>
  <c r="CG79" i="7"/>
  <c r="CG97" i="7"/>
  <c r="CG92" i="7"/>
  <c r="AN112" i="7"/>
  <c r="AN92" i="7"/>
  <c r="AN97" i="7"/>
  <c r="AH92" i="7"/>
  <c r="AH97" i="7"/>
  <c r="BK79" i="7"/>
  <c r="BK92" i="7"/>
  <c r="BK97" i="7"/>
  <c r="V112" i="7"/>
  <c r="V92" i="7"/>
  <c r="V93" i="7" s="1"/>
  <c r="V94" i="7" s="1"/>
  <c r="V97" i="7"/>
  <c r="K97" i="7"/>
  <c r="K92" i="7"/>
  <c r="K93" i="7" s="1"/>
  <c r="K94" i="7" s="1"/>
  <c r="G112" i="7"/>
  <c r="G92" i="7"/>
  <c r="G93" i="7" s="1"/>
  <c r="G94" i="7" s="1"/>
  <c r="G97" i="7"/>
  <c r="CA79" i="7"/>
  <c r="CA92" i="7"/>
  <c r="CA97" i="7"/>
  <c r="W97" i="7"/>
  <c r="W92" i="7"/>
  <c r="W93" i="7" s="1"/>
  <c r="W94" i="7" s="1"/>
  <c r="BV65" i="7"/>
  <c r="BU97" i="7"/>
  <c r="BU92" i="7"/>
  <c r="CF79" i="7"/>
  <c r="CF97" i="7"/>
  <c r="CF92" i="7"/>
  <c r="BA97" i="7"/>
  <c r="BA92" i="7"/>
  <c r="AT92" i="7"/>
  <c r="AT97" i="7"/>
  <c r="BY92" i="7"/>
  <c r="BY97" i="7"/>
  <c r="CJ65" i="7"/>
  <c r="CI97" i="7"/>
  <c r="CI92" i="7"/>
  <c r="E112" i="7"/>
  <c r="E97" i="7"/>
  <c r="E92" i="7"/>
  <c r="E93" i="7" s="1"/>
  <c r="E94" i="7" s="1"/>
  <c r="CH112" i="7"/>
  <c r="CH97" i="7"/>
  <c r="CH92" i="7"/>
  <c r="AL112" i="7"/>
  <c r="AL97" i="7"/>
  <c r="AL92" i="7"/>
  <c r="AW112" i="7"/>
  <c r="AW97" i="7"/>
  <c r="AW92" i="7"/>
  <c r="AR92" i="7"/>
  <c r="AR97" i="7"/>
  <c r="AM97" i="7"/>
  <c r="AM92" i="7"/>
  <c r="X79" i="7"/>
  <c r="X97" i="7"/>
  <c r="X92" i="7"/>
  <c r="X93" i="7" s="1"/>
  <c r="X94" i="7" s="1"/>
  <c r="AU65" i="7"/>
  <c r="AU97" i="7"/>
  <c r="AU92" i="7"/>
  <c r="AG112" i="7"/>
  <c r="AG92" i="7"/>
  <c r="AG97" i="7"/>
  <c r="BL79" i="7"/>
  <c r="BL92" i="7"/>
  <c r="BL97" i="7"/>
  <c r="F79" i="7"/>
  <c r="F97" i="7"/>
  <c r="F92" i="7"/>
  <c r="F93" i="7" s="1"/>
  <c r="F94" i="7" s="1"/>
  <c r="AJ97" i="7"/>
  <c r="AJ92" i="7"/>
  <c r="BE79" i="7"/>
  <c r="BE92" i="7"/>
  <c r="BE97" i="7"/>
  <c r="M97" i="7"/>
  <c r="M92" i="7"/>
  <c r="M93" i="7" s="1"/>
  <c r="M94" i="7" s="1"/>
  <c r="BN112" i="7"/>
  <c r="BN97" i="7"/>
  <c r="BN92" i="7"/>
  <c r="BO79" i="7"/>
  <c r="BO97" i="7"/>
  <c r="BO92" i="7"/>
  <c r="BT97" i="7"/>
  <c r="BT92" i="7"/>
  <c r="Z79" i="7"/>
  <c r="Z92" i="7"/>
  <c r="Z93" i="7" s="1"/>
  <c r="Z94" i="7" s="1"/>
  <c r="Z97" i="7"/>
  <c r="O79" i="7"/>
  <c r="O92" i="7"/>
  <c r="O93" i="7" s="1"/>
  <c r="O94" i="7" s="1"/>
  <c r="O97" i="7"/>
  <c r="CC112" i="7"/>
  <c r="CC92" i="7"/>
  <c r="CC97" i="7"/>
  <c r="AF79" i="7"/>
  <c r="AF92" i="7"/>
  <c r="AF97" i="7"/>
  <c r="AA112" i="7"/>
  <c r="AA92" i="7"/>
  <c r="AA97" i="7"/>
  <c r="AE79" i="7"/>
  <c r="AE92" i="7"/>
  <c r="AE97" i="7"/>
  <c r="C79" i="7"/>
  <c r="C97" i="7"/>
  <c r="C92" i="7"/>
  <c r="C93" i="7" s="1"/>
  <c r="C94" i="7" s="1"/>
  <c r="U79" i="7"/>
  <c r="U92" i="7"/>
  <c r="U93" i="7" s="1"/>
  <c r="U94" i="7" s="1"/>
  <c r="U97" i="7"/>
  <c r="L65" i="7"/>
  <c r="L97" i="7"/>
  <c r="L92" i="7"/>
  <c r="L93" i="7" s="1"/>
  <c r="L94" i="7" s="1"/>
  <c r="BZ112" i="7"/>
  <c r="BZ92" i="7"/>
  <c r="BZ97" i="7"/>
  <c r="Q112" i="7"/>
  <c r="Q92" i="7"/>
  <c r="Q93" i="7" s="1"/>
  <c r="Q94" i="7" s="1"/>
  <c r="Q97" i="7"/>
  <c r="AB112" i="7"/>
  <c r="AB92" i="7"/>
  <c r="AB97" i="7"/>
  <c r="BJ112" i="7"/>
  <c r="BJ92" i="7"/>
  <c r="BJ97" i="7"/>
  <c r="AD92" i="7"/>
  <c r="AD97" i="7"/>
  <c r="D112" i="7"/>
  <c r="D97" i="7"/>
  <c r="D92" i="7"/>
  <c r="D93" i="7" s="1"/>
  <c r="D94" i="7" s="1"/>
  <c r="CK112" i="7"/>
  <c r="CK97" i="7"/>
  <c r="CK92" i="7"/>
  <c r="AY97" i="7"/>
  <c r="AY92" i="7"/>
  <c r="BW65" i="7"/>
  <c r="BW92" i="7"/>
  <c r="BW97" i="7"/>
  <c r="AP79" i="7"/>
  <c r="AP92" i="7"/>
  <c r="AP97" i="7"/>
  <c r="BS112" i="7"/>
  <c r="BS97" i="7"/>
  <c r="BS92" i="7"/>
  <c r="CD112" i="7"/>
  <c r="CD92" i="7"/>
  <c r="CD97" i="7"/>
  <c r="P79" i="7"/>
  <c r="P92" i="7"/>
  <c r="P93" i="7" s="1"/>
  <c r="P94" i="7" s="1"/>
  <c r="P97" i="7"/>
  <c r="BP92" i="7"/>
  <c r="BP97" i="7"/>
  <c r="CJ79" i="7"/>
  <c r="AQ79" i="7"/>
  <c r="AQ92" i="7"/>
  <c r="AQ97" i="7"/>
  <c r="H112" i="7"/>
  <c r="H92" i="7"/>
  <c r="H93" i="7" s="1"/>
  <c r="H94" i="7" s="1"/>
  <c r="H97" i="7"/>
  <c r="BI97" i="7"/>
  <c r="BI92" i="7"/>
  <c r="I92" i="7"/>
  <c r="I93" i="7" s="1"/>
  <c r="I94" i="7" s="1"/>
  <c r="I97" i="7"/>
  <c r="BH79" i="7"/>
  <c r="BH97" i="7"/>
  <c r="BH92" i="7"/>
  <c r="K65" i="7"/>
  <c r="J92" i="7"/>
  <c r="J93" i="7" s="1"/>
  <c r="J94" i="7" s="1"/>
  <c r="J97" i="7"/>
  <c r="CE112" i="7"/>
  <c r="CE97" i="7"/>
  <c r="CE92" i="7"/>
  <c r="AV112" i="7"/>
  <c r="AV97" i="7"/>
  <c r="AV92" i="7"/>
  <c r="AZ79" i="7"/>
  <c r="AZ97" i="7"/>
  <c r="AZ92" i="7"/>
  <c r="AK112" i="7"/>
  <c r="AK97" i="7"/>
  <c r="AK92" i="7"/>
  <c r="Z65" i="7"/>
  <c r="BB65" i="7"/>
  <c r="Q79" i="7"/>
  <c r="AK79" i="7"/>
  <c r="BA112" i="7"/>
  <c r="X112" i="7"/>
  <c r="AP65" i="7"/>
  <c r="AV79" i="7"/>
  <c r="AB79" i="7"/>
  <c r="BJ79" i="7"/>
  <c r="AG79" i="7"/>
  <c r="BJ65" i="7"/>
  <c r="AH65" i="7"/>
  <c r="L33" i="14"/>
  <c r="AC65" i="7"/>
  <c r="AX79" i="7"/>
  <c r="Z112" i="7"/>
  <c r="BA79" i="7"/>
  <c r="AL79" i="7"/>
  <c r="BM79" i="7"/>
  <c r="CE65" i="7"/>
  <c r="CE79" i="7"/>
  <c r="BZ79" i="7"/>
  <c r="BO112" i="7"/>
  <c r="AP112" i="7"/>
  <c r="AN33" i="14"/>
  <c r="AN169" i="18" s="1"/>
  <c r="BU65" i="7"/>
  <c r="BU112" i="7"/>
  <c r="CH65" i="7"/>
  <c r="AU79" i="7"/>
  <c r="J112" i="7"/>
  <c r="AU112" i="7"/>
  <c r="BU79" i="7"/>
  <c r="J79" i="7"/>
  <c r="X65" i="7"/>
  <c r="AM65" i="7"/>
  <c r="AV65" i="7"/>
  <c r="CF112" i="7"/>
  <c r="V79" i="7"/>
  <c r="CF65" i="7"/>
  <c r="BS65" i="7"/>
  <c r="BS79" i="7"/>
  <c r="AZ65" i="7"/>
  <c r="Q65" i="7"/>
  <c r="BT65" i="7"/>
  <c r="BA65" i="7"/>
  <c r="AI112" i="7"/>
  <c r="CG112" i="7"/>
  <c r="AA65" i="7"/>
  <c r="BK65" i="7"/>
  <c r="BK112" i="7"/>
  <c r="T34" i="14"/>
  <c r="CF34" i="14"/>
  <c r="AQ34" i="14"/>
  <c r="CC79" i="7"/>
  <c r="S34" i="14"/>
  <c r="AT34" i="14"/>
  <c r="BD34" i="14"/>
  <c r="AH79" i="7"/>
  <c r="V34" i="14"/>
  <c r="AH34" i="14"/>
  <c r="BN65" i="7"/>
  <c r="BT112" i="7"/>
  <c r="BW79" i="7"/>
  <c r="BD65" i="7"/>
  <c r="AC79" i="7"/>
  <c r="AW79" i="7"/>
  <c r="AO65" i="7"/>
  <c r="AL65" i="7"/>
  <c r="N79" i="7"/>
  <c r="AM79" i="7"/>
  <c r="BW112" i="7"/>
  <c r="AK65" i="7"/>
  <c r="I65" i="7"/>
  <c r="CA112" i="7"/>
  <c r="BQ112" i="7"/>
  <c r="BH112" i="7"/>
  <c r="BG65" i="7"/>
  <c r="N65" i="7"/>
  <c r="R112" i="7"/>
  <c r="AG65" i="7"/>
  <c r="E65" i="7"/>
  <c r="R65" i="7"/>
  <c r="BT79" i="7"/>
  <c r="AH112" i="7"/>
  <c r="BZ65" i="7"/>
  <c r="CD65" i="7"/>
  <c r="CH79" i="7"/>
  <c r="AM112" i="7"/>
  <c r="CA65" i="7"/>
  <c r="AQ65" i="7"/>
  <c r="CG65" i="7"/>
  <c r="CC65" i="7"/>
  <c r="BN79" i="7"/>
  <c r="BD112" i="7"/>
  <c r="BO65" i="7"/>
  <c r="CI79" i="7"/>
  <c r="BH65" i="7"/>
  <c r="AN65" i="7"/>
  <c r="BE112" i="7"/>
  <c r="AC112" i="7"/>
  <c r="BI65" i="7"/>
  <c r="CI65" i="7"/>
  <c r="AI65" i="7"/>
  <c r="BL112" i="7"/>
  <c r="W112" i="7"/>
  <c r="AA79" i="7"/>
  <c r="AO79" i="7"/>
  <c r="W79" i="7"/>
  <c r="AF112" i="7"/>
  <c r="BE65" i="7"/>
  <c r="E79" i="7"/>
  <c r="BI79" i="7"/>
  <c r="W65" i="7"/>
  <c r="CI112" i="7"/>
  <c r="AR65" i="7"/>
  <c r="AY79" i="7"/>
  <c r="AE65" i="7"/>
  <c r="AQ112" i="7"/>
  <c r="AR79" i="7"/>
  <c r="L112" i="7"/>
  <c r="AS112" i="7"/>
  <c r="V65" i="7"/>
  <c r="J65" i="7"/>
  <c r="AN79" i="7"/>
  <c r="BF65" i="7"/>
  <c r="M112" i="7"/>
  <c r="CX39" i="14"/>
  <c r="BN33" i="14"/>
  <c r="BN24" i="14"/>
  <c r="AJ65" i="7"/>
  <c r="CO33" i="14"/>
  <c r="CO24" i="14"/>
  <c r="Q24" i="14"/>
  <c r="Q33" i="14"/>
  <c r="CK24" i="14"/>
  <c r="CK33" i="14"/>
  <c r="BI33" i="14"/>
  <c r="BI24" i="14"/>
  <c r="AS24" i="14"/>
  <c r="AS33" i="14"/>
  <c r="BD79" i="7"/>
  <c r="BZ33" i="14"/>
  <c r="BZ24" i="14"/>
  <c r="BB33" i="14"/>
  <c r="BB24" i="14"/>
  <c r="P112" i="7"/>
  <c r="AO24" i="14"/>
  <c r="AO33" i="14"/>
  <c r="CB112" i="7"/>
  <c r="U24" i="14"/>
  <c r="U33" i="14"/>
  <c r="AP24" i="14"/>
  <c r="AP33" i="14"/>
  <c r="AY65" i="7"/>
  <c r="BA33" i="14"/>
  <c r="BA24" i="14"/>
  <c r="BE24" i="14"/>
  <c r="BE33" i="14"/>
  <c r="CL33" i="14"/>
  <c r="CL24" i="14"/>
  <c r="F112" i="7"/>
  <c r="I33" i="14"/>
  <c r="I24" i="14"/>
  <c r="M33" i="14"/>
  <c r="M24" i="14"/>
  <c r="Y24" i="14"/>
  <c r="Y33" i="14"/>
  <c r="AD24" i="14"/>
  <c r="AD33" i="14"/>
  <c r="BM33" i="14"/>
  <c r="BM24" i="14"/>
  <c r="AB65" i="7"/>
  <c r="AX65" i="7"/>
  <c r="AS79" i="7"/>
  <c r="M65" i="7"/>
  <c r="L79" i="7"/>
  <c r="AD79" i="7"/>
  <c r="AD112" i="7"/>
  <c r="CG33" i="14"/>
  <c r="CG24" i="14"/>
  <c r="AE112" i="7"/>
  <c r="E33" i="14"/>
  <c r="E24" i="14"/>
  <c r="T112" i="7"/>
  <c r="BY33" i="14"/>
  <c r="BY24" i="14"/>
  <c r="AF65" i="7"/>
  <c r="AW65" i="7"/>
  <c r="BY112" i="7"/>
  <c r="BQ24" i="14"/>
  <c r="BQ33" i="14"/>
  <c r="AG33" i="14"/>
  <c r="AG24" i="14"/>
  <c r="AK33" i="14"/>
  <c r="AK24" i="14"/>
  <c r="CS24" i="14"/>
  <c r="CS33" i="14"/>
  <c r="BP65" i="7"/>
  <c r="BP112" i="7"/>
  <c r="D79" i="7"/>
  <c r="BY79" i="7"/>
  <c r="CC24" i="14"/>
  <c r="CC33" i="14"/>
  <c r="I112" i="7"/>
  <c r="AC24" i="14"/>
  <c r="AC33" i="14"/>
  <c r="O112" i="7"/>
  <c r="C112" i="7"/>
  <c r="F24" i="14"/>
  <c r="F33" i="14"/>
  <c r="M79" i="7"/>
  <c r="I79" i="7"/>
  <c r="Y112" i="7"/>
  <c r="R33" i="14"/>
  <c r="R24" i="14"/>
  <c r="U112" i="7"/>
  <c r="AW33" i="14"/>
  <c r="AW24" i="14"/>
  <c r="AR112" i="7"/>
  <c r="AJ112" i="7"/>
  <c r="BX65" i="7"/>
  <c r="BX112" i="7"/>
  <c r="BU24" i="14"/>
  <c r="BU33" i="14"/>
  <c r="AY112" i="7"/>
  <c r="BI112" i="7"/>
  <c r="CO150" i="7"/>
  <c r="CX313" i="2"/>
  <c r="AD65" i="7"/>
  <c r="CK65" i="7"/>
  <c r="Y79" i="7"/>
  <c r="AJ79" i="7"/>
  <c r="CK79" i="7"/>
  <c r="CB65" i="7"/>
  <c r="U65" i="7"/>
  <c r="G65" i="7"/>
  <c r="D65" i="7"/>
  <c r="S65" i="7"/>
  <c r="H65" i="7"/>
  <c r="F65" i="7"/>
  <c r="T79" i="7"/>
  <c r="CO90" i="7"/>
  <c r="CX245" i="2"/>
  <c r="H79" i="7"/>
  <c r="O65" i="7"/>
  <c r="Y65" i="7"/>
  <c r="G79" i="7"/>
  <c r="BL65" i="7"/>
  <c r="P65" i="7"/>
  <c r="BM65" i="7"/>
  <c r="BQ65" i="7"/>
  <c r="BQ79" i="7"/>
  <c r="BP79" i="7"/>
  <c r="BY65" i="7"/>
  <c r="CB79" i="7"/>
  <c r="AS65" i="7"/>
  <c r="Y43" i="15" l="1"/>
  <c r="FG40" i="14"/>
  <c r="FG37" i="14"/>
  <c r="FF40" i="14"/>
  <c r="FF37" i="14"/>
  <c r="FE40" i="14"/>
  <c r="FE37" i="14"/>
  <c r="DY40" i="11"/>
  <c r="DZ28" i="11"/>
  <c r="CY48" i="11"/>
  <c r="AV48" i="11"/>
  <c r="DC48" i="11"/>
  <c r="BB48" i="11"/>
  <c r="DF48" i="11"/>
  <c r="AP48" i="11"/>
  <c r="CZ48" i="11"/>
  <c r="AY48" i="11"/>
  <c r="DJ48" i="11"/>
  <c r="AG48" i="11"/>
  <c r="BK48" i="11"/>
  <c r="AD48" i="11"/>
  <c r="DY28" i="11"/>
  <c r="DD48" i="11"/>
  <c r="AS48" i="11"/>
  <c r="DG48" i="11"/>
  <c r="DA48" i="11"/>
  <c r="AJ48" i="11"/>
  <c r="DX28" i="11"/>
  <c r="DB48" i="11"/>
  <c r="AM48" i="11"/>
  <c r="DI48" i="11"/>
  <c r="BH48" i="11"/>
  <c r="DE48" i="11"/>
  <c r="DH48" i="11"/>
  <c r="BE48" i="11"/>
  <c r="DX40" i="11"/>
  <c r="DX48" i="11" s="1"/>
  <c r="DZ40" i="11"/>
  <c r="DZ48" i="11" s="1"/>
  <c r="DX91" i="12"/>
  <c r="DZ121" i="11"/>
  <c r="DY91" i="12"/>
  <c r="DZ91" i="12"/>
  <c r="FG18" i="15"/>
  <c r="EO104" i="18"/>
  <c r="BC34" i="14"/>
  <c r="BC42" i="14"/>
  <c r="BC43" i="14" s="1"/>
  <c r="BC169" i="18"/>
  <c r="AE34" i="14"/>
  <c r="AE42" i="14"/>
  <c r="AE169" i="18"/>
  <c r="CO43" i="18"/>
  <c r="EP43" i="18" s="1"/>
  <c r="EJ104" i="18"/>
  <c r="BH42" i="14"/>
  <c r="BH43" i="14" s="1"/>
  <c r="BH169" i="18"/>
  <c r="CM169" i="18"/>
  <c r="CM34" i="14"/>
  <c r="CM42" i="14"/>
  <c r="CM43" i="14" s="1"/>
  <c r="BR34" i="14"/>
  <c r="BR42" i="14"/>
  <c r="BR43" i="14" s="1"/>
  <c r="BR169" i="18"/>
  <c r="EG33" i="14"/>
  <c r="EG34" i="14" s="1"/>
  <c r="BP42" i="14"/>
  <c r="BP43" i="14" s="1"/>
  <c r="BP169" i="18"/>
  <c r="BP34" i="14"/>
  <c r="J34" i="14"/>
  <c r="J42" i="14"/>
  <c r="J169" i="18"/>
  <c r="CR34" i="14"/>
  <c r="CR42" i="14"/>
  <c r="CR169" i="18"/>
  <c r="DX121" i="11"/>
  <c r="AY34" i="14"/>
  <c r="AY42" i="14"/>
  <c r="AY43" i="14" s="1"/>
  <c r="AY169" i="18"/>
  <c r="CD34" i="14"/>
  <c r="CD42" i="14"/>
  <c r="CD43" i="14" s="1"/>
  <c r="CD169" i="18"/>
  <c r="EQ113" i="18"/>
  <c r="CR139" i="18"/>
  <c r="EQ139" i="18" s="1"/>
  <c r="EA121" i="11"/>
  <c r="CI34" i="14"/>
  <c r="CI169" i="18"/>
  <c r="EQ33" i="14"/>
  <c r="EQ34" i="14" s="1"/>
  <c r="CT169" i="18"/>
  <c r="CT34" i="14"/>
  <c r="CT42" i="14"/>
  <c r="CT43" i="14" s="1"/>
  <c r="DY121" i="11"/>
  <c r="EN33" i="14"/>
  <c r="EN34" i="14" s="1"/>
  <c r="CJ42" i="14"/>
  <c r="CJ169" i="18"/>
  <c r="CJ34" i="14"/>
  <c r="CR47" i="15"/>
  <c r="EQ27" i="15"/>
  <c r="CC47" i="15"/>
  <c r="EL27" i="15"/>
  <c r="X42" i="14"/>
  <c r="X169" i="18"/>
  <c r="X34" i="14"/>
  <c r="AU42" i="14"/>
  <c r="AU43" i="14" s="1"/>
  <c r="AU169" i="18"/>
  <c r="AU34" i="14"/>
  <c r="Z34" i="14"/>
  <c r="Z42" i="14"/>
  <c r="Z169" i="18"/>
  <c r="EB121" i="11"/>
  <c r="BE117" i="11"/>
  <c r="DH119" i="11"/>
  <c r="EH104" i="18"/>
  <c r="BG34" i="14"/>
  <c r="BG42" i="14"/>
  <c r="BG43" i="14" s="1"/>
  <c r="BG169" i="18"/>
  <c r="BW47" i="15"/>
  <c r="EJ27" i="15"/>
  <c r="CN34" i="14"/>
  <c r="CN169" i="18"/>
  <c r="CN42" i="14"/>
  <c r="CN43" i="14" s="1"/>
  <c r="EP77" i="15"/>
  <c r="CO121" i="18"/>
  <c r="EP121" i="18" s="1"/>
  <c r="AJ87" i="12"/>
  <c r="DA87" i="12" s="1"/>
  <c r="DA89" i="12"/>
  <c r="AM87" i="12"/>
  <c r="DB87" i="12" s="1"/>
  <c r="DB89" i="12"/>
  <c r="AV87" i="12"/>
  <c r="DE87" i="12" s="1"/>
  <c r="DE89" i="12"/>
  <c r="CY89" i="12"/>
  <c r="AD87" i="12"/>
  <c r="CY87" i="12" s="1"/>
  <c r="CI121" i="18"/>
  <c r="EN121" i="18" s="1"/>
  <c r="EN77" i="15"/>
  <c r="BB87" i="12"/>
  <c r="DG87" i="12" s="1"/>
  <c r="DG89" i="12"/>
  <c r="BH87" i="12"/>
  <c r="DI87" i="12" s="1"/>
  <c r="DI89" i="12"/>
  <c r="AP87" i="12"/>
  <c r="DC87" i="12" s="1"/>
  <c r="DC89" i="12"/>
  <c r="BZ43" i="18"/>
  <c r="EK43" i="18" s="1"/>
  <c r="EK12" i="18"/>
  <c r="BZ32" i="18"/>
  <c r="EQ27" i="18"/>
  <c r="CR43" i="18"/>
  <c r="EQ43" i="18" s="1"/>
  <c r="CL47" i="15"/>
  <c r="EO27" i="15"/>
  <c r="EK27" i="15"/>
  <c r="CO47" i="15"/>
  <c r="EP27" i="15"/>
  <c r="BK47" i="15"/>
  <c r="EF27" i="15"/>
  <c r="AY87" i="12"/>
  <c r="DF87" i="12" s="1"/>
  <c r="DF89" i="12"/>
  <c r="CZ89" i="12"/>
  <c r="AG87" i="12"/>
  <c r="CZ87" i="12" s="1"/>
  <c r="DD89" i="12"/>
  <c r="AS87" i="12"/>
  <c r="DD87" i="12" s="1"/>
  <c r="EV134" i="7"/>
  <c r="EX134" i="7"/>
  <c r="FF79" i="15"/>
  <c r="EI104" i="18"/>
  <c r="EM33" i="14"/>
  <c r="EM34" i="14" s="1"/>
  <c r="BW169" i="18"/>
  <c r="BW42" i="14"/>
  <c r="BW34" i="14"/>
  <c r="AI42" i="14"/>
  <c r="AI169" i="18"/>
  <c r="AI34" i="14"/>
  <c r="C169" i="18"/>
  <c r="C42" i="14"/>
  <c r="C34" i="14"/>
  <c r="EK77" i="15"/>
  <c r="EO77" i="15"/>
  <c r="CL121" i="18"/>
  <c r="EO121" i="18" s="1"/>
  <c r="EF98" i="15"/>
  <c r="BK96" i="15"/>
  <c r="DH89" i="12"/>
  <c r="BE87" i="12"/>
  <c r="DH87" i="12" s="1"/>
  <c r="CL96" i="15"/>
  <c r="EK98" i="15"/>
  <c r="EO98" i="15"/>
  <c r="EH77" i="15"/>
  <c r="BQ121" i="18"/>
  <c r="EH121" i="18" s="1"/>
  <c r="CC17" i="18"/>
  <c r="EL17" i="18" s="1"/>
  <c r="EL12" i="15"/>
  <c r="EM27" i="15"/>
  <c r="CF47" i="15"/>
  <c r="BJ34" i="14"/>
  <c r="BJ169" i="18"/>
  <c r="BJ42" i="14"/>
  <c r="BJ43" i="14" s="1"/>
  <c r="CF96" i="15"/>
  <c r="EM98" i="15"/>
  <c r="EG98" i="15"/>
  <c r="BN96" i="15"/>
  <c r="BK87" i="12"/>
  <c r="DJ87" i="12" s="1"/>
  <c r="DJ89" i="12"/>
  <c r="BZ149" i="18"/>
  <c r="EK149" i="18" s="1"/>
  <c r="EK147" i="18"/>
  <c r="BF34" i="14"/>
  <c r="BF42" i="14"/>
  <c r="BF43" i="14" s="1"/>
  <c r="BF169" i="18"/>
  <c r="AL34" i="14"/>
  <c r="AL42" i="14"/>
  <c r="AL169" i="18"/>
  <c r="O34" i="14"/>
  <c r="O42" i="14"/>
  <c r="O169" i="18"/>
  <c r="FE18" i="15"/>
  <c r="FG9" i="15"/>
  <c r="FF18" i="15"/>
  <c r="EC142" i="7"/>
  <c r="EF142" i="7"/>
  <c r="DW142" i="7"/>
  <c r="EG142" i="7"/>
  <c r="EJ33" i="14"/>
  <c r="EJ34" i="14" s="1"/>
  <c r="EL33" i="14"/>
  <c r="EL34" i="14" s="1"/>
  <c r="CH139" i="18"/>
  <c r="EM139" i="18" s="1"/>
  <c r="EM113" i="18"/>
  <c r="CC96" i="15"/>
  <c r="EL98" i="15"/>
  <c r="EG27" i="18"/>
  <c r="BN43" i="18"/>
  <c r="EG43" i="18" s="1"/>
  <c r="EJ27" i="18"/>
  <c r="BW43" i="18"/>
  <c r="EJ43" i="18" s="1"/>
  <c r="EM12" i="15"/>
  <c r="CF17" i="18"/>
  <c r="EM17" i="18" s="1"/>
  <c r="BX34" i="14"/>
  <c r="BX42" i="14"/>
  <c r="BX43" i="14" s="1"/>
  <c r="BX169" i="18"/>
  <c r="BV139" i="18"/>
  <c r="EI139" i="18" s="1"/>
  <c r="EI113" i="18"/>
  <c r="FE9" i="15"/>
  <c r="FF9" i="15"/>
  <c r="FG14" i="15"/>
  <c r="FF14" i="15"/>
  <c r="CF43" i="18"/>
  <c r="EM43" i="18" s="1"/>
  <c r="FE79" i="15"/>
  <c r="BN32" i="18"/>
  <c r="CL32" i="18"/>
  <c r="FG79" i="15"/>
  <c r="BK43" i="18"/>
  <c r="EF43" i="18" s="1"/>
  <c r="CI32" i="18"/>
  <c r="FE11" i="14"/>
  <c r="EK104" i="18"/>
  <c r="EW134" i="7"/>
  <c r="EF33" i="14"/>
  <c r="EF34" i="14" s="1"/>
  <c r="AV169" i="18"/>
  <c r="AV42" i="14"/>
  <c r="AV43" i="14" s="1"/>
  <c r="AV34" i="14"/>
  <c r="CH169" i="18"/>
  <c r="CH42" i="14"/>
  <c r="CH43" i="14" s="1"/>
  <c r="EH98" i="15"/>
  <c r="BQ96" i="15"/>
  <c r="EI98" i="15"/>
  <c r="BT96" i="15"/>
  <c r="CI96" i="15"/>
  <c r="EN98" i="15"/>
  <c r="CO96" i="15"/>
  <c r="EP98" i="15"/>
  <c r="BW96" i="15"/>
  <c r="EJ98" i="15"/>
  <c r="EM77" i="15"/>
  <c r="CF121" i="18"/>
  <c r="EM121" i="18" s="1"/>
  <c r="BZ80" i="18"/>
  <c r="EK80" i="18" s="1"/>
  <c r="BZ43" i="15"/>
  <c r="CA43" i="15"/>
  <c r="CI47" i="15"/>
  <c r="EN27" i="15"/>
  <c r="EP12" i="18"/>
  <c r="CO32" i="18"/>
  <c r="BK17" i="18"/>
  <c r="EF17" i="18" s="1"/>
  <c r="EF12" i="15"/>
  <c r="AF169" i="18"/>
  <c r="AF42" i="14"/>
  <c r="AF34" i="14"/>
  <c r="AX169" i="18"/>
  <c r="AX42" i="14"/>
  <c r="AX43" i="14" s="1"/>
  <c r="AX34" i="14"/>
  <c r="K169" i="18"/>
  <c r="K42" i="14"/>
  <c r="K34" i="14"/>
  <c r="CQ42" i="14"/>
  <c r="CQ43" i="14" s="1"/>
  <c r="CQ169" i="18"/>
  <c r="CQ34" i="14"/>
  <c r="BK42" i="14"/>
  <c r="BK169" i="18"/>
  <c r="BK34" i="14"/>
  <c r="AM34" i="14"/>
  <c r="AM169" i="18"/>
  <c r="AM42" i="14"/>
  <c r="AM43" i="14" s="1"/>
  <c r="EQ98" i="15"/>
  <c r="CR96" i="15"/>
  <c r="BW121" i="18"/>
  <c r="EJ121" i="18" s="1"/>
  <c r="EJ77" i="15"/>
  <c r="CE42" i="14"/>
  <c r="CE43" i="14" s="1"/>
  <c r="CE169" i="18"/>
  <c r="CE34" i="14"/>
  <c r="BT34" i="14"/>
  <c r="BT42" i="14"/>
  <c r="BT169" i="18"/>
  <c r="BS34" i="14"/>
  <c r="BS42" i="14"/>
  <c r="BS43" i="14" s="1"/>
  <c r="BS169" i="18"/>
  <c r="EI77" i="15"/>
  <c r="BT121" i="18"/>
  <c r="EI121" i="18" s="1"/>
  <c r="CR121" i="18"/>
  <c r="EQ121" i="18" s="1"/>
  <c r="EQ77" i="15"/>
  <c r="EQ12" i="15"/>
  <c r="CR17" i="18"/>
  <c r="EQ17" i="18" s="1"/>
  <c r="CR32" i="18"/>
  <c r="EQ12" i="18"/>
  <c r="FE14" i="15"/>
  <c r="DX3" i="12"/>
  <c r="EJ139" i="18"/>
  <c r="FG18" i="14"/>
  <c r="AY117" i="11"/>
  <c r="DF119" i="11"/>
  <c r="AS117" i="11"/>
  <c r="DD119" i="11"/>
  <c r="BH117" i="11"/>
  <c r="DI119" i="11"/>
  <c r="BB117" i="11"/>
  <c r="DG119" i="11"/>
  <c r="AG117" i="11"/>
  <c r="CZ119" i="11"/>
  <c r="DC119" i="11"/>
  <c r="AP117" i="11"/>
  <c r="FG11" i="14"/>
  <c r="EN104" i="18"/>
  <c r="EM104" i="18"/>
  <c r="EH33" i="14"/>
  <c r="EI33" i="14"/>
  <c r="EI34" i="14" s="1"/>
  <c r="BV34" i="14"/>
  <c r="BV42" i="14"/>
  <c r="BV43" i="14" s="1"/>
  <c r="BV169" i="18"/>
  <c r="W34" i="14"/>
  <c r="W42" i="14"/>
  <c r="W169" i="18"/>
  <c r="BN121" i="18"/>
  <c r="EG121" i="18" s="1"/>
  <c r="EG77" i="15"/>
  <c r="CC121" i="18"/>
  <c r="EL121" i="18" s="1"/>
  <c r="EL77" i="15"/>
  <c r="EH12" i="15"/>
  <c r="BQ17" i="18"/>
  <c r="EH17" i="18" s="1"/>
  <c r="EI27" i="18"/>
  <c r="BT43" i="18"/>
  <c r="EI43" i="18" s="1"/>
  <c r="EH27" i="18"/>
  <c r="BQ32" i="18"/>
  <c r="BQ43" i="18"/>
  <c r="EH43" i="18" s="1"/>
  <c r="BT17" i="18"/>
  <c r="EI17" i="18" s="1"/>
  <c r="EI12" i="15"/>
  <c r="CO17" i="18"/>
  <c r="EP17" i="18" s="1"/>
  <c r="EP12" i="15"/>
  <c r="BW17" i="18"/>
  <c r="EJ17" i="18" s="1"/>
  <c r="EJ12" i="15"/>
  <c r="CB169" i="18"/>
  <c r="CB34" i="14"/>
  <c r="CB42" i="14"/>
  <c r="CB43" i="14" s="1"/>
  <c r="AR169" i="18"/>
  <c r="AR34" i="14"/>
  <c r="AR42" i="14"/>
  <c r="AR43" i="14" s="1"/>
  <c r="AJ169" i="18"/>
  <c r="AJ42" i="14"/>
  <c r="AJ34" i="14"/>
  <c r="EH27" i="15"/>
  <c r="BQ47" i="15"/>
  <c r="EJ12" i="18"/>
  <c r="BW32" i="18"/>
  <c r="EO12" i="15"/>
  <c r="CL17" i="18"/>
  <c r="EO17" i="18" s="1"/>
  <c r="EK12" i="15"/>
  <c r="EL27" i="18"/>
  <c r="CC32" i="18"/>
  <c r="CC43" i="18"/>
  <c r="EL43" i="18" s="1"/>
  <c r="BN47" i="15"/>
  <c r="EG27" i="15"/>
  <c r="CI17" i="18"/>
  <c r="EN17" i="18" s="1"/>
  <c r="EN12" i="15"/>
  <c r="EF27" i="18"/>
  <c r="BK32" i="18"/>
  <c r="AB42" i="14"/>
  <c r="AB169" i="18"/>
  <c r="AB34" i="14"/>
  <c r="BL42" i="14"/>
  <c r="BL43" i="14" s="1"/>
  <c r="BL34" i="14"/>
  <c r="EM27" i="18"/>
  <c r="CF32" i="18"/>
  <c r="EO27" i="18"/>
  <c r="CL43" i="18"/>
  <c r="EO43" i="18" s="1"/>
  <c r="EN27" i="18"/>
  <c r="CI43" i="18"/>
  <c r="EN43" i="18" s="1"/>
  <c r="EI12" i="18"/>
  <c r="FE12" i="18" s="1"/>
  <c r="BT32" i="18"/>
  <c r="EG75" i="18"/>
  <c r="DX19" i="12"/>
  <c r="EJ113" i="18"/>
  <c r="BN17" i="18"/>
  <c r="EG17" i="18" s="1"/>
  <c r="AG60" i="11"/>
  <c r="AN60" i="11"/>
  <c r="EX66" i="7"/>
  <c r="FE20" i="14"/>
  <c r="FE21" i="14" s="1"/>
  <c r="EH142" i="7"/>
  <c r="EB142" i="7"/>
  <c r="AV154" i="11"/>
  <c r="ER125" i="15"/>
  <c r="AY60" i="11"/>
  <c r="AZ60" i="11"/>
  <c r="EI27" i="15"/>
  <c r="EP33" i="14"/>
  <c r="EP34" i="14" s="1"/>
  <c r="EK74" i="18"/>
  <c r="AE60" i="11"/>
  <c r="AW60" i="11"/>
  <c r="EB112" i="7"/>
  <c r="EV47" i="7"/>
  <c r="EH79" i="7"/>
  <c r="BL169" i="18"/>
  <c r="FG148" i="18"/>
  <c r="DZ40" i="12"/>
  <c r="FE31" i="14"/>
  <c r="FF14" i="14"/>
  <c r="DX142" i="7"/>
  <c r="FG31" i="14"/>
  <c r="EW47" i="7"/>
  <c r="DY3" i="12"/>
  <c r="EL74" i="18"/>
  <c r="EX47" i="7"/>
  <c r="DZ46" i="12"/>
  <c r="EM75" i="18"/>
  <c r="FE18" i="14"/>
  <c r="EF79" i="7"/>
  <c r="DZ19" i="12"/>
  <c r="EF112" i="7"/>
  <c r="DZ3" i="12"/>
  <c r="DH32" i="12"/>
  <c r="DB32" i="12"/>
  <c r="EQ104" i="18"/>
  <c r="EF104" i="18"/>
  <c r="DY142" i="7"/>
  <c r="DZ124" i="12"/>
  <c r="DG32" i="12"/>
  <c r="EP104" i="18"/>
  <c r="FF11" i="14"/>
  <c r="DY153" i="11"/>
  <c r="EN7" i="18"/>
  <c r="DX124" i="12"/>
  <c r="DW112" i="7"/>
  <c r="DW79" i="7"/>
  <c r="EI7" i="18"/>
  <c r="EF7" i="18"/>
  <c r="FF177" i="18"/>
  <c r="EH74" i="18"/>
  <c r="EP75" i="18"/>
  <c r="EO74" i="18"/>
  <c r="FG177" i="18"/>
  <c r="EK7" i="18"/>
  <c r="EM74" i="18"/>
  <c r="DX97" i="7"/>
  <c r="DX98" i="7" s="1"/>
  <c r="AV28" i="12"/>
  <c r="DE17" i="12"/>
  <c r="DE28" i="12" s="1"/>
  <c r="CC139" i="18"/>
  <c r="EL139" i="18" s="1"/>
  <c r="EL113" i="18"/>
  <c r="FF31" i="14"/>
  <c r="FE66" i="18"/>
  <c r="DY38" i="12"/>
  <c r="AV117" i="11"/>
  <c r="DE117" i="11" s="1"/>
  <c r="DE119" i="11"/>
  <c r="DX38" i="12"/>
  <c r="EI75" i="18"/>
  <c r="FF56" i="18"/>
  <c r="FE67" i="18"/>
  <c r="EH75" i="18"/>
  <c r="EI74" i="18"/>
  <c r="DJ119" i="11"/>
  <c r="BK117" i="11"/>
  <c r="DJ117" i="11" s="1"/>
  <c r="BE28" i="12"/>
  <c r="DH17" i="12"/>
  <c r="DH28" i="12" s="1"/>
  <c r="BH28" i="12"/>
  <c r="DI17" i="12"/>
  <c r="DI28" i="12" s="1"/>
  <c r="AY28" i="12"/>
  <c r="DF17" i="12"/>
  <c r="DF28" i="12" s="1"/>
  <c r="DE32" i="12"/>
  <c r="AG28" i="12"/>
  <c r="CZ17" i="12"/>
  <c r="CZ28" i="12" s="1"/>
  <c r="BK28" i="12"/>
  <c r="DJ17" i="12"/>
  <c r="DJ28" i="12" s="1"/>
  <c r="CZ32" i="12"/>
  <c r="FE56" i="18"/>
  <c r="EG104" i="18"/>
  <c r="BN139" i="18"/>
  <c r="EG139" i="18" s="1"/>
  <c r="EG113" i="18"/>
  <c r="EG79" i="7"/>
  <c r="DY124" i="12"/>
  <c r="AM117" i="11"/>
  <c r="DB117" i="11" s="1"/>
  <c r="DB119" i="11"/>
  <c r="ED97" i="7"/>
  <c r="ED98" i="7" s="1"/>
  <c r="DJ32" i="12"/>
  <c r="EQ7" i="18"/>
  <c r="EG7" i="18"/>
  <c r="EM7" i="18"/>
  <c r="EP7" i="18"/>
  <c r="FE177" i="18"/>
  <c r="EL104" i="18"/>
  <c r="FG56" i="18"/>
  <c r="FF18" i="14"/>
  <c r="ED142" i="7"/>
  <c r="DZ112" i="7"/>
  <c r="DY19" i="12"/>
  <c r="DX122" i="12"/>
  <c r="DY122" i="12"/>
  <c r="EL7" i="18"/>
  <c r="CO139" i="18"/>
  <c r="EP139" i="18" s="1"/>
  <c r="EP113" i="18"/>
  <c r="CI139" i="18"/>
  <c r="EN139" i="18" s="1"/>
  <c r="EN113" i="18"/>
  <c r="DK114" i="12"/>
  <c r="FG67" i="18"/>
  <c r="E16" i="24" s="1"/>
  <c r="EN75" i="18"/>
  <c r="DX46" i="12"/>
  <c r="DZ122" i="12"/>
  <c r="EF97" i="7"/>
  <c r="EF98" i="7" s="1"/>
  <c r="EH97" i="7"/>
  <c r="EH98" i="7" s="1"/>
  <c r="EG92" i="7"/>
  <c r="EG93" i="7" s="1"/>
  <c r="EG94" i="7" s="1"/>
  <c r="DI32" i="12"/>
  <c r="DF32" i="12"/>
  <c r="AM28" i="12"/>
  <c r="DB17" i="12"/>
  <c r="DB28" i="12" s="1"/>
  <c r="EJ7" i="18"/>
  <c r="EH7" i="18"/>
  <c r="BH60" i="11"/>
  <c r="CX184" i="18"/>
  <c r="CX191" i="18" s="1"/>
  <c r="BI60" i="11"/>
  <c r="FE23" i="14"/>
  <c r="FE24" i="14" s="1"/>
  <c r="EH24" i="14"/>
  <c r="CL139" i="18"/>
  <c r="EO139" i="18" s="1"/>
  <c r="EO113" i="18"/>
  <c r="DK112" i="12"/>
  <c r="FG14" i="14"/>
  <c r="DX40" i="12"/>
  <c r="EL75" i="18"/>
  <c r="EK75" i="18"/>
  <c r="EG97" i="7"/>
  <c r="EG98" i="7" s="1"/>
  <c r="AD28" i="12"/>
  <c r="CY17" i="12"/>
  <c r="AS28" i="12"/>
  <c r="DD17" i="12"/>
  <c r="DD28" i="12" s="1"/>
  <c r="AJ28" i="12"/>
  <c r="DA17" i="12"/>
  <c r="DA28" i="12" s="1"/>
  <c r="AP28" i="12"/>
  <c r="DC17" i="12"/>
  <c r="EO7" i="18"/>
  <c r="BK60" i="11"/>
  <c r="BQ139" i="18"/>
  <c r="EH139" i="18" s="1"/>
  <c r="EH113" i="18"/>
  <c r="DZ142" i="7"/>
  <c r="DZ38" i="12"/>
  <c r="EQ74" i="18"/>
  <c r="EK113" i="18"/>
  <c r="AJ117" i="11"/>
  <c r="DA119" i="11"/>
  <c r="EJ75" i="18"/>
  <c r="FF67" i="18"/>
  <c r="D16" i="24" s="1"/>
  <c r="EJ74" i="18"/>
  <c r="FF66" i="18"/>
  <c r="D15" i="24" s="1"/>
  <c r="EG74" i="18"/>
  <c r="DY97" i="7"/>
  <c r="DY98" i="7" s="1"/>
  <c r="EC97" i="7"/>
  <c r="EC98" i="7" s="1"/>
  <c r="EB92" i="7"/>
  <c r="EB93" i="7" s="1"/>
  <c r="EB94" i="7" s="1"/>
  <c r="CY32" i="12"/>
  <c r="DD32" i="12"/>
  <c r="DA32" i="12"/>
  <c r="DC32" i="12"/>
  <c r="BB28" i="12"/>
  <c r="DG17" i="12"/>
  <c r="BL60" i="11"/>
  <c r="DY3" i="11"/>
  <c r="DX29" i="11"/>
  <c r="DY46" i="12"/>
  <c r="FG66" i="18"/>
  <c r="E15" i="24" s="1"/>
  <c r="EN74" i="18"/>
  <c r="EQ75" i="18"/>
  <c r="EK139" i="18"/>
  <c r="DY40" i="12"/>
  <c r="EO75" i="18"/>
  <c r="EP74" i="18"/>
  <c r="BE60" i="11"/>
  <c r="CY119" i="11"/>
  <c r="EH65" i="7"/>
  <c r="EH151" i="7"/>
  <c r="EH148" i="7"/>
  <c r="EC92" i="7"/>
  <c r="EC93" i="7" s="1"/>
  <c r="EC94" i="7" s="1"/>
  <c r="ED65" i="7"/>
  <c r="ED148" i="7"/>
  <c r="ED151" i="7"/>
  <c r="EC65" i="7"/>
  <c r="EC148" i="7"/>
  <c r="EC151" i="7"/>
  <c r="EE65" i="7"/>
  <c r="EE148" i="7"/>
  <c r="EE151" i="7"/>
  <c r="EC112" i="7"/>
  <c r="DY92" i="7"/>
  <c r="DY93" i="7" s="1"/>
  <c r="DY94" i="7" s="1"/>
  <c r="EF92" i="7"/>
  <c r="EF93" i="7" s="1"/>
  <c r="EF94" i="7" s="1"/>
  <c r="EB97" i="7"/>
  <c r="EB98" i="7" s="1"/>
  <c r="DW92" i="7"/>
  <c r="DW97" i="7"/>
  <c r="EE79" i="7"/>
  <c r="ED79" i="7"/>
  <c r="EA65" i="7"/>
  <c r="EA151" i="7"/>
  <c r="EA148" i="7"/>
  <c r="DY65" i="7"/>
  <c r="DY148" i="7"/>
  <c r="DY151" i="7"/>
  <c r="EE97" i="7"/>
  <c r="DZ97" i="7"/>
  <c r="DZ98" i="7" s="1"/>
  <c r="EE92" i="7"/>
  <c r="DX92" i="7"/>
  <c r="DX93" i="7" s="1"/>
  <c r="DX94" i="7" s="1"/>
  <c r="DZ92" i="7"/>
  <c r="DZ93" i="7" s="1"/>
  <c r="DZ94" i="7" s="1"/>
  <c r="EW66" i="7"/>
  <c r="EB65" i="7"/>
  <c r="EB148" i="7"/>
  <c r="EB151" i="7"/>
  <c r="DX65" i="7"/>
  <c r="DX148" i="7"/>
  <c r="DX151" i="7"/>
  <c r="DX79" i="7"/>
  <c r="DY112" i="7"/>
  <c r="EG65" i="7"/>
  <c r="EG148" i="7"/>
  <c r="EG151" i="7"/>
  <c r="EA112" i="7"/>
  <c r="EF65" i="7"/>
  <c r="EF148" i="7"/>
  <c r="EF151" i="7"/>
  <c r="EG112" i="7"/>
  <c r="ED92" i="7"/>
  <c r="ED93" i="7" s="1"/>
  <c r="ED94" i="7" s="1"/>
  <c r="EA92" i="7"/>
  <c r="EA97" i="7"/>
  <c r="EH92" i="7"/>
  <c r="EH93" i="7" s="1"/>
  <c r="EH94" i="7" s="1"/>
  <c r="EC79" i="7"/>
  <c r="EA142" i="7"/>
  <c r="DW65" i="7"/>
  <c r="DW151" i="7"/>
  <c r="DW148" i="7"/>
  <c r="EE142" i="7"/>
  <c r="DZ65" i="7"/>
  <c r="DZ151" i="7"/>
  <c r="DZ148" i="7"/>
  <c r="FE117" i="15"/>
  <c r="DZ29" i="11"/>
  <c r="AM60" i="11"/>
  <c r="DY29" i="11"/>
  <c r="DY80" i="11"/>
  <c r="CZ60" i="11"/>
  <c r="BF60" i="11"/>
  <c r="DY34" i="11"/>
  <c r="DZ80" i="11"/>
  <c r="DJ60" i="11"/>
  <c r="AV60" i="11"/>
  <c r="DZ34" i="11"/>
  <c r="DY56" i="11"/>
  <c r="DF60" i="11"/>
  <c r="DX80" i="11"/>
  <c r="DZ56" i="11"/>
  <c r="DZ38" i="11"/>
  <c r="AP154" i="11"/>
  <c r="DC50" i="11"/>
  <c r="DC154" i="11" s="1"/>
  <c r="AD154" i="11"/>
  <c r="CY50" i="11"/>
  <c r="CY154" i="11" s="1"/>
  <c r="AP114" i="11"/>
  <c r="DC99" i="11"/>
  <c r="DX151" i="11"/>
  <c r="DE60" i="11"/>
  <c r="DY51" i="11"/>
  <c r="BB154" i="11"/>
  <c r="DG50" i="11"/>
  <c r="DG154" i="11" s="1"/>
  <c r="AG154" i="11"/>
  <c r="CZ50" i="11"/>
  <c r="CZ154" i="11" s="1"/>
  <c r="AS154" i="11"/>
  <c r="DD50" i="11"/>
  <c r="DD154" i="11" s="1"/>
  <c r="AD114" i="11"/>
  <c r="CY99" i="11"/>
  <c r="FF117" i="15"/>
  <c r="FG117" i="15"/>
  <c r="BK154" i="11"/>
  <c r="DJ50" i="11"/>
  <c r="DZ51" i="11"/>
  <c r="AY114" i="11"/>
  <c r="DF99" i="11"/>
  <c r="AJ60" i="11"/>
  <c r="DA36" i="11"/>
  <c r="DA60" i="11" s="1"/>
  <c r="DX38" i="11"/>
  <c r="AV114" i="11"/>
  <c r="DE99" i="11"/>
  <c r="DY151" i="11"/>
  <c r="BE114" i="11"/>
  <c r="DH99" i="11"/>
  <c r="DK143" i="11"/>
  <c r="CY60" i="11"/>
  <c r="BB60" i="11"/>
  <c r="DG36" i="11"/>
  <c r="DX3" i="11"/>
  <c r="DX56" i="11"/>
  <c r="DX51" i="11"/>
  <c r="DZ3" i="11"/>
  <c r="FF30" i="15"/>
  <c r="AG114" i="11"/>
  <c r="CZ99" i="11"/>
  <c r="DK141" i="11"/>
  <c r="DY38" i="11"/>
  <c r="BH154" i="11"/>
  <c r="DI50" i="11"/>
  <c r="DE50" i="11"/>
  <c r="DE154" i="11" s="1"/>
  <c r="AT60" i="11"/>
  <c r="AS60" i="11"/>
  <c r="AS114" i="11"/>
  <c r="DD99" i="11"/>
  <c r="DX34" i="11"/>
  <c r="AP60" i="11"/>
  <c r="DC36" i="11"/>
  <c r="DZ153" i="11"/>
  <c r="FE30" i="15"/>
  <c r="AY154" i="11"/>
  <c r="DF50" i="11"/>
  <c r="DF154" i="11" s="1"/>
  <c r="BK114" i="11"/>
  <c r="DJ99" i="11"/>
  <c r="AM154" i="11"/>
  <c r="DB50" i="11"/>
  <c r="BB114" i="11"/>
  <c r="DG99" i="11"/>
  <c r="AJ114" i="11"/>
  <c r="DA99" i="11"/>
  <c r="AD60" i="11"/>
  <c r="AH60" i="11"/>
  <c r="DZ151" i="11"/>
  <c r="BE154" i="11"/>
  <c r="DH50" i="11"/>
  <c r="DH154" i="11" s="1"/>
  <c r="FG30" i="15"/>
  <c r="AJ154" i="11"/>
  <c r="DA50" i="11"/>
  <c r="AM114" i="11"/>
  <c r="DB99" i="11"/>
  <c r="BH114" i="11"/>
  <c r="DI99" i="11"/>
  <c r="DX153" i="11"/>
  <c r="DI60" i="11"/>
  <c r="FG20" i="14"/>
  <c r="FG21" i="14" s="1"/>
  <c r="FG23" i="14"/>
  <c r="FG24" i="14" s="1"/>
  <c r="FF20" i="14"/>
  <c r="FF21" i="14" s="1"/>
  <c r="FF23" i="14"/>
  <c r="FF24" i="14" s="1"/>
  <c r="EO33" i="14"/>
  <c r="EK33" i="14"/>
  <c r="BX93" i="7"/>
  <c r="BX94" i="7" s="1"/>
  <c r="AZ90" i="11"/>
  <c r="V110" i="11"/>
  <c r="V59" i="11"/>
  <c r="V144" i="11"/>
  <c r="V129" i="11"/>
  <c r="V139" i="11"/>
  <c r="BA59" i="11"/>
  <c r="BA110" i="11"/>
  <c r="BA139" i="11"/>
  <c r="BA129" i="11"/>
  <c r="BA144" i="11"/>
  <c r="T59" i="11"/>
  <c r="T110" i="11"/>
  <c r="T139" i="11"/>
  <c r="T129" i="11"/>
  <c r="T144" i="11"/>
  <c r="AU59" i="11"/>
  <c r="AU110" i="11"/>
  <c r="AU144" i="11"/>
  <c r="AU139" i="11"/>
  <c r="AU129" i="11"/>
  <c r="AO59" i="11"/>
  <c r="AO110" i="11"/>
  <c r="AO129" i="11"/>
  <c r="AO139" i="11"/>
  <c r="AO144" i="11"/>
  <c r="AT59" i="11"/>
  <c r="AT110" i="11"/>
  <c r="AT144" i="11"/>
  <c r="AT139" i="11"/>
  <c r="AT129" i="11"/>
  <c r="C110" i="11"/>
  <c r="C144" i="11"/>
  <c r="C139" i="11"/>
  <c r="C129" i="11"/>
  <c r="C154" i="11"/>
  <c r="T154" i="11"/>
  <c r="AL59" i="11"/>
  <c r="AL110" i="11"/>
  <c r="AL129" i="11"/>
  <c r="AL144" i="11"/>
  <c r="AL139" i="11"/>
  <c r="BB59" i="11"/>
  <c r="BB110" i="11"/>
  <c r="BB139" i="11"/>
  <c r="BB144" i="11"/>
  <c r="BJ59" i="11"/>
  <c r="BJ110" i="11"/>
  <c r="BJ139" i="11"/>
  <c r="BJ144" i="11"/>
  <c r="BJ129" i="11"/>
  <c r="AC59" i="11"/>
  <c r="AC110" i="11"/>
  <c r="AC139" i="11"/>
  <c r="AC129" i="11"/>
  <c r="AC144" i="11"/>
  <c r="AA42" i="14"/>
  <c r="AA169" i="18"/>
  <c r="R59" i="11"/>
  <c r="R110" i="11"/>
  <c r="R144" i="11"/>
  <c r="R129" i="11"/>
  <c r="R139" i="11"/>
  <c r="AQ59" i="11"/>
  <c r="AQ110" i="11"/>
  <c r="AQ139" i="11"/>
  <c r="AQ144" i="11"/>
  <c r="AQ129" i="11"/>
  <c r="AP59" i="11"/>
  <c r="AP110" i="11"/>
  <c r="AP144" i="11"/>
  <c r="AP139" i="11"/>
  <c r="BA154" i="11"/>
  <c r="AL154" i="11"/>
  <c r="BM42" i="14"/>
  <c r="BM169" i="18"/>
  <c r="BZ93" i="7"/>
  <c r="BZ94" i="7" s="1"/>
  <c r="BB90" i="11"/>
  <c r="BE93" i="7"/>
  <c r="BE94" i="7" s="1"/>
  <c r="AG90" i="11"/>
  <c r="BK93" i="7"/>
  <c r="BK94" i="7" s="1"/>
  <c r="AM90" i="11"/>
  <c r="BU42" i="14"/>
  <c r="BU169" i="18"/>
  <c r="AG42" i="14"/>
  <c r="AG169" i="18"/>
  <c r="BB42" i="14"/>
  <c r="BB169" i="18"/>
  <c r="CK42" i="14"/>
  <c r="CK169" i="18"/>
  <c r="BN42" i="14"/>
  <c r="BN169" i="18"/>
  <c r="BI93" i="7"/>
  <c r="BI94" i="7" s="1"/>
  <c r="AK90" i="11"/>
  <c r="BW93" i="7"/>
  <c r="BW94" i="7" s="1"/>
  <c r="AY90" i="11"/>
  <c r="AB93" i="7"/>
  <c r="AB94" i="7" s="1"/>
  <c r="D90" i="11"/>
  <c r="AF93" i="7"/>
  <c r="AF94" i="7" s="1"/>
  <c r="H90" i="11"/>
  <c r="BN93" i="7"/>
  <c r="BN94" i="7" s="1"/>
  <c r="AP90" i="11"/>
  <c r="AJ93" i="7"/>
  <c r="AJ94" i="7" s="1"/>
  <c r="L90" i="11"/>
  <c r="AL93" i="7"/>
  <c r="AL94" i="7" s="1"/>
  <c r="N90" i="11"/>
  <c r="BA93" i="7"/>
  <c r="BA94" i="7" s="1"/>
  <c r="AC90" i="11"/>
  <c r="AO93" i="7"/>
  <c r="AO94" i="7" s="1"/>
  <c r="Q90" i="11"/>
  <c r="AC93" i="7"/>
  <c r="AC94" i="7" s="1"/>
  <c r="E90" i="11"/>
  <c r="BQ42" i="14"/>
  <c r="BQ169" i="18"/>
  <c r="Y42" i="14"/>
  <c r="Y169" i="18"/>
  <c r="CL42" i="14"/>
  <c r="CL169" i="18"/>
  <c r="U42" i="14"/>
  <c r="U169" i="18"/>
  <c r="BS93" i="7"/>
  <c r="BS94" i="7" s="1"/>
  <c r="AU90" i="11"/>
  <c r="AG93" i="7"/>
  <c r="AG94" i="7" s="1"/>
  <c r="I90" i="11"/>
  <c r="AM93" i="7"/>
  <c r="AM94" i="7" s="1"/>
  <c r="O90" i="11"/>
  <c r="CI93" i="7"/>
  <c r="CI94" i="7" s="1"/>
  <c r="BK90" i="11"/>
  <c r="AH93" i="7"/>
  <c r="AH94" i="7" s="1"/>
  <c r="J90" i="11"/>
  <c r="AS93" i="7"/>
  <c r="AS94" i="7" s="1"/>
  <c r="U90" i="11"/>
  <c r="AI93" i="7"/>
  <c r="AI94" i="7" s="1"/>
  <c r="K90" i="11"/>
  <c r="AX93" i="7"/>
  <c r="AX94" i="7" s="1"/>
  <c r="Z90" i="11"/>
  <c r="G42" i="14"/>
  <c r="G43" i="14" s="1"/>
  <c r="G169" i="18"/>
  <c r="BE59" i="11"/>
  <c r="BE110" i="11"/>
  <c r="BE144" i="11"/>
  <c r="BE139" i="11"/>
  <c r="AE59" i="11"/>
  <c r="AE110" i="11"/>
  <c r="AE144" i="11"/>
  <c r="AE139" i="11"/>
  <c r="AE129" i="11"/>
  <c r="AW59" i="11"/>
  <c r="AW110" i="11"/>
  <c r="AW139" i="11"/>
  <c r="AW144" i="11"/>
  <c r="AW129" i="11"/>
  <c r="U59" i="11"/>
  <c r="U110" i="11"/>
  <c r="U144" i="11"/>
  <c r="U129" i="11"/>
  <c r="U139" i="11"/>
  <c r="D59" i="11"/>
  <c r="D110" i="11"/>
  <c r="D129" i="11"/>
  <c r="D139" i="11"/>
  <c r="D144" i="11"/>
  <c r="J59" i="11"/>
  <c r="J110" i="11"/>
  <c r="J144" i="11"/>
  <c r="J139" i="11"/>
  <c r="J129" i="11"/>
  <c r="CP42" i="14"/>
  <c r="CP43" i="14" s="1"/>
  <c r="CP169" i="18"/>
  <c r="K59" i="11"/>
  <c r="K110" i="11"/>
  <c r="K144" i="11"/>
  <c r="K139" i="11"/>
  <c r="K129" i="11"/>
  <c r="X59" i="11"/>
  <c r="X110" i="11"/>
  <c r="X139" i="11"/>
  <c r="X129" i="11"/>
  <c r="X144" i="11"/>
  <c r="AD59" i="11"/>
  <c r="AD110" i="11"/>
  <c r="AD144" i="11"/>
  <c r="AD139" i="11"/>
  <c r="AD129" i="11"/>
  <c r="Y59" i="11"/>
  <c r="Y110" i="11"/>
  <c r="Y129" i="11"/>
  <c r="Y144" i="11"/>
  <c r="Y139" i="11"/>
  <c r="BC59" i="11"/>
  <c r="BC110" i="11"/>
  <c r="BC144" i="11"/>
  <c r="BC139" i="11"/>
  <c r="BC129" i="11"/>
  <c r="AW42" i="14"/>
  <c r="AW169" i="18"/>
  <c r="BY42" i="14"/>
  <c r="BY169" i="18"/>
  <c r="AD42" i="14"/>
  <c r="AD169" i="18"/>
  <c r="AP42" i="14"/>
  <c r="AP169" i="18"/>
  <c r="BI42" i="14"/>
  <c r="BI169" i="18"/>
  <c r="AC42" i="14"/>
  <c r="AC169" i="18"/>
  <c r="E42" i="14"/>
  <c r="E169" i="18"/>
  <c r="BE42" i="14"/>
  <c r="BE169" i="18"/>
  <c r="BZ42" i="14"/>
  <c r="BZ169" i="18"/>
  <c r="Q42" i="14"/>
  <c r="Q169" i="18"/>
  <c r="AV93" i="7"/>
  <c r="AV94" i="7" s="1"/>
  <c r="X90" i="11"/>
  <c r="BP93" i="7"/>
  <c r="BP94" i="7" s="1"/>
  <c r="AR90" i="11"/>
  <c r="AY93" i="7"/>
  <c r="AY94" i="7" s="1"/>
  <c r="AA90" i="11"/>
  <c r="AE93" i="7"/>
  <c r="AE94" i="7" s="1"/>
  <c r="G90" i="11"/>
  <c r="CF93" i="7"/>
  <c r="CF94" i="7" s="1"/>
  <c r="BH90" i="11"/>
  <c r="BF93" i="7"/>
  <c r="BF94" i="7" s="1"/>
  <c r="AH90" i="11"/>
  <c r="BC93" i="7"/>
  <c r="BC94" i="7" s="1"/>
  <c r="AE90" i="11"/>
  <c r="BR93" i="7"/>
  <c r="BR94" i="7" s="1"/>
  <c r="AT90" i="11"/>
  <c r="N42" i="14"/>
  <c r="N43" i="14" s="1"/>
  <c r="N169" i="18"/>
  <c r="AG110" i="11"/>
  <c r="AG59" i="11"/>
  <c r="AG139" i="11"/>
  <c r="AG144" i="11"/>
  <c r="AZ59" i="11"/>
  <c r="AZ110" i="11"/>
  <c r="AZ129" i="11"/>
  <c r="AZ139" i="11"/>
  <c r="AZ144" i="11"/>
  <c r="Z59" i="11"/>
  <c r="Z110" i="11"/>
  <c r="Z139" i="11"/>
  <c r="Z129" i="11"/>
  <c r="Z144" i="11"/>
  <c r="F59" i="11"/>
  <c r="F110" i="11"/>
  <c r="F144" i="11"/>
  <c r="F139" i="11"/>
  <c r="F129" i="11"/>
  <c r="O59" i="11"/>
  <c r="O110" i="11"/>
  <c r="O144" i="11"/>
  <c r="O139" i="11"/>
  <c r="O129" i="11"/>
  <c r="AN59" i="11"/>
  <c r="AM59" i="11"/>
  <c r="AM110" i="11"/>
  <c r="AM139" i="11"/>
  <c r="AM144" i="11"/>
  <c r="BM129" i="11"/>
  <c r="BM59" i="11"/>
  <c r="BM110" i="11"/>
  <c r="BM144" i="11"/>
  <c r="BM139" i="11"/>
  <c r="AF59" i="11"/>
  <c r="AF110" i="11"/>
  <c r="AF139" i="11"/>
  <c r="AF129" i="11"/>
  <c r="AF144" i="11"/>
  <c r="BK59" i="11"/>
  <c r="BK110" i="11"/>
  <c r="BK144" i="11"/>
  <c r="BK139" i="11"/>
  <c r="AX59" i="11"/>
  <c r="AX110" i="11"/>
  <c r="AX129" i="11"/>
  <c r="AX139" i="11"/>
  <c r="AX144" i="11"/>
  <c r="AV59" i="11"/>
  <c r="AV110" i="11"/>
  <c r="AV144" i="11"/>
  <c r="AV139" i="11"/>
  <c r="R154" i="11"/>
  <c r="AE154" i="11"/>
  <c r="AK59" i="11"/>
  <c r="AK110" i="11"/>
  <c r="AK144" i="11"/>
  <c r="AK139" i="11"/>
  <c r="AK129" i="11"/>
  <c r="F154" i="11"/>
  <c r="O154" i="11"/>
  <c r="AA59" i="11"/>
  <c r="AA110" i="11"/>
  <c r="AA144" i="11"/>
  <c r="AA139" i="11"/>
  <c r="AA129" i="11"/>
  <c r="F42" i="14"/>
  <c r="F169" i="18"/>
  <c r="I42" i="14"/>
  <c r="I169" i="18"/>
  <c r="AZ93" i="7"/>
  <c r="AZ94" i="7" s="1"/>
  <c r="AB90" i="11"/>
  <c r="CD93" i="7"/>
  <c r="CD94" i="7" s="1"/>
  <c r="BF90" i="11"/>
  <c r="AT93" i="7"/>
  <c r="AT94" i="7" s="1"/>
  <c r="V90" i="11"/>
  <c r="CJ93" i="7"/>
  <c r="CJ94" i="7" s="1"/>
  <c r="BL90" i="11"/>
  <c r="CB93" i="7"/>
  <c r="CB94" i="7" s="1"/>
  <c r="BD90" i="11"/>
  <c r="BH93" i="7"/>
  <c r="BH94" i="7" s="1"/>
  <c r="AJ90" i="11"/>
  <c r="AD93" i="7"/>
  <c r="AD94" i="7" s="1"/>
  <c r="F90" i="11"/>
  <c r="CC93" i="7"/>
  <c r="CC94" i="7" s="1"/>
  <c r="BE90" i="11"/>
  <c r="BT93" i="7"/>
  <c r="BT94" i="7" s="1"/>
  <c r="AV90" i="11"/>
  <c r="AU93" i="7"/>
  <c r="AU94" i="7" s="1"/>
  <c r="W90" i="11"/>
  <c r="CH93" i="7"/>
  <c r="CH94" i="7" s="1"/>
  <c r="BJ90" i="11"/>
  <c r="CA93" i="7"/>
  <c r="CA94" i="7" s="1"/>
  <c r="BC90" i="11"/>
  <c r="AN93" i="7"/>
  <c r="AN94" i="7" s="1"/>
  <c r="P90" i="11"/>
  <c r="BD93" i="7"/>
  <c r="BD94" i="7" s="1"/>
  <c r="AF90" i="11"/>
  <c r="BB93" i="7"/>
  <c r="BB94" i="7" s="1"/>
  <c r="AD90" i="11"/>
  <c r="H42" i="14"/>
  <c r="H50" i="14" s="1"/>
  <c r="H51" i="14" s="1"/>
  <c r="H169" i="18"/>
  <c r="M42" i="14"/>
  <c r="M169" i="18"/>
  <c r="AO42" i="14"/>
  <c r="AO169" i="18"/>
  <c r="AS42" i="14"/>
  <c r="AS169" i="18"/>
  <c r="AK93" i="7"/>
  <c r="AK94" i="7" s="1"/>
  <c r="M90" i="11"/>
  <c r="CK93" i="7"/>
  <c r="CK94" i="7" s="1"/>
  <c r="BM90" i="11"/>
  <c r="AR93" i="7"/>
  <c r="AR94" i="7" s="1"/>
  <c r="T90" i="11"/>
  <c r="BQ93" i="7"/>
  <c r="BQ94" i="7" s="1"/>
  <c r="AS90" i="11"/>
  <c r="BM93" i="7"/>
  <c r="BM94" i="7" s="1"/>
  <c r="AO90" i="11"/>
  <c r="BG93" i="7"/>
  <c r="BG94" i="7" s="1"/>
  <c r="AI90" i="11"/>
  <c r="BV93" i="7"/>
  <c r="BV94" i="7" s="1"/>
  <c r="AX90" i="11"/>
  <c r="ER123" i="15"/>
  <c r="CV185" i="18"/>
  <c r="H59" i="11"/>
  <c r="H110" i="11"/>
  <c r="H144" i="11"/>
  <c r="H129" i="11"/>
  <c r="H139" i="11"/>
  <c r="P42" i="14"/>
  <c r="P43" i="14" s="1"/>
  <c r="P169" i="18"/>
  <c r="BF59" i="11"/>
  <c r="BF110" i="11"/>
  <c r="BF139" i="11"/>
  <c r="BF144" i="11"/>
  <c r="BF129" i="11"/>
  <c r="BH59" i="11"/>
  <c r="BH110" i="11"/>
  <c r="BH139" i="11"/>
  <c r="BH144" i="11"/>
  <c r="M59" i="11"/>
  <c r="M110" i="11"/>
  <c r="M144" i="11"/>
  <c r="M129" i="11"/>
  <c r="M139" i="11"/>
  <c r="AI59" i="11"/>
  <c r="AI110" i="11"/>
  <c r="AI139" i="11"/>
  <c r="AI144" i="11"/>
  <c r="AI129" i="11"/>
  <c r="AC154" i="11"/>
  <c r="I110" i="11"/>
  <c r="I59" i="11"/>
  <c r="I139" i="11"/>
  <c r="I144" i="11"/>
  <c r="I129" i="11"/>
  <c r="AS59" i="11"/>
  <c r="AS110" i="11"/>
  <c r="AS144" i="11"/>
  <c r="AS139" i="11"/>
  <c r="V154" i="11"/>
  <c r="S59" i="11"/>
  <c r="S110" i="11"/>
  <c r="S129" i="11"/>
  <c r="S139" i="11"/>
  <c r="S144" i="11"/>
  <c r="AB59" i="11"/>
  <c r="AB110" i="11"/>
  <c r="AB144" i="11"/>
  <c r="AB139" i="11"/>
  <c r="AB129" i="11"/>
  <c r="AN110" i="11"/>
  <c r="AN139" i="11"/>
  <c r="AN129" i="11"/>
  <c r="AN144" i="11"/>
  <c r="BT45" i="15"/>
  <c r="EI47" i="15"/>
  <c r="AW154" i="11"/>
  <c r="U154" i="11"/>
  <c r="AK42" i="14"/>
  <c r="AK169" i="18"/>
  <c r="AQ93" i="7"/>
  <c r="AQ94" i="7" s="1"/>
  <c r="S90" i="11"/>
  <c r="BL93" i="7"/>
  <c r="BL94" i="7" s="1"/>
  <c r="AN90" i="11"/>
  <c r="R42" i="14"/>
  <c r="R169" i="18"/>
  <c r="CS42" i="14"/>
  <c r="CS169" i="18"/>
  <c r="BQ143" i="11"/>
  <c r="CX125" i="15"/>
  <c r="BQ114" i="12"/>
  <c r="CC42" i="14"/>
  <c r="CC169" i="18"/>
  <c r="CG42" i="14"/>
  <c r="CG169" i="18"/>
  <c r="BA42" i="14"/>
  <c r="BA169" i="18"/>
  <c r="CO42" i="14"/>
  <c r="CO169" i="18"/>
  <c r="L42" i="14"/>
  <c r="L50" i="14" s="1"/>
  <c r="L51" i="14" s="1"/>
  <c r="L169" i="18"/>
  <c r="CE93" i="7"/>
  <c r="CE94" i="7" s="1"/>
  <c r="BG90" i="11"/>
  <c r="AP93" i="7"/>
  <c r="AP94" i="7" s="1"/>
  <c r="R90" i="11"/>
  <c r="BJ93" i="7"/>
  <c r="BJ94" i="7" s="1"/>
  <c r="AL90" i="11"/>
  <c r="AA93" i="7"/>
  <c r="AA94" i="7" s="1"/>
  <c r="C90" i="11"/>
  <c r="BO93" i="7"/>
  <c r="BO94" i="7" s="1"/>
  <c r="AQ90" i="11"/>
  <c r="AW93" i="7"/>
  <c r="AW94" i="7" s="1"/>
  <c r="Y90" i="11"/>
  <c r="BY93" i="7"/>
  <c r="BY94" i="7" s="1"/>
  <c r="BA90" i="11"/>
  <c r="BU93" i="7"/>
  <c r="BU94" i="7" s="1"/>
  <c r="AW90" i="11"/>
  <c r="CG93" i="7"/>
  <c r="CG94" i="7" s="1"/>
  <c r="BI90" i="11"/>
  <c r="BL59" i="11"/>
  <c r="BL110" i="11"/>
  <c r="BL129" i="11"/>
  <c r="BL144" i="11"/>
  <c r="BL139" i="11"/>
  <c r="Q59" i="11"/>
  <c r="Q110" i="11"/>
  <c r="Q144" i="11"/>
  <c r="Q129" i="11"/>
  <c r="Q139" i="11"/>
  <c r="BG110" i="11"/>
  <c r="BG59" i="11"/>
  <c r="BG139" i="11"/>
  <c r="BG129" i="11"/>
  <c r="BG144" i="11"/>
  <c r="L59" i="11"/>
  <c r="L110" i="11"/>
  <c r="L129" i="11"/>
  <c r="L139" i="11"/>
  <c r="L144" i="11"/>
  <c r="AR59" i="11"/>
  <c r="AR110" i="11"/>
  <c r="AR144" i="11"/>
  <c r="AR129" i="11"/>
  <c r="AR139" i="11"/>
  <c r="W59" i="11"/>
  <c r="W110" i="11"/>
  <c r="W129" i="11"/>
  <c r="W139" i="11"/>
  <c r="W144" i="11"/>
  <c r="CA42" i="14"/>
  <c r="CA43" i="14" s="1"/>
  <c r="CA169" i="18"/>
  <c r="CA34" i="14"/>
  <c r="P59" i="11"/>
  <c r="P110" i="11"/>
  <c r="P129" i="11"/>
  <c r="P144" i="11"/>
  <c r="P139" i="11"/>
  <c r="AY59" i="11"/>
  <c r="AY110" i="11"/>
  <c r="AY139" i="11"/>
  <c r="AY144" i="11"/>
  <c r="AR154" i="11"/>
  <c r="I154" i="11"/>
  <c r="BI59" i="11"/>
  <c r="BI110" i="11"/>
  <c r="BI129" i="11"/>
  <c r="BI144" i="11"/>
  <c r="BI139" i="11"/>
  <c r="AH110" i="11"/>
  <c r="AH59" i="11"/>
  <c r="AH139" i="11"/>
  <c r="AH129" i="11"/>
  <c r="AH144" i="11"/>
  <c r="G59" i="11"/>
  <c r="G110" i="11"/>
  <c r="G144" i="11"/>
  <c r="G129" i="11"/>
  <c r="G139" i="11"/>
  <c r="BI154" i="11"/>
  <c r="N59" i="11"/>
  <c r="N110" i="11"/>
  <c r="N144" i="11"/>
  <c r="N139" i="11"/>
  <c r="N129" i="11"/>
  <c r="E59" i="11"/>
  <c r="E110" i="11"/>
  <c r="E139" i="11"/>
  <c r="E129" i="11"/>
  <c r="E144" i="11"/>
  <c r="AJ59" i="11"/>
  <c r="AJ110" i="11"/>
  <c r="AJ139" i="11"/>
  <c r="AJ144" i="11"/>
  <c r="BD59" i="11"/>
  <c r="BD110" i="11"/>
  <c r="BD139" i="11"/>
  <c r="BD144" i="11"/>
  <c r="BD129" i="11"/>
  <c r="D42" i="14"/>
  <c r="D50" i="14" s="1"/>
  <c r="D51" i="14" s="1"/>
  <c r="D169" i="18"/>
  <c r="Y140" i="18"/>
  <c r="Y170" i="18" s="1"/>
  <c r="T140" i="18"/>
  <c r="T170" i="18" s="1"/>
  <c r="O140" i="18"/>
  <c r="O170" i="18" s="1"/>
  <c r="U140" i="18"/>
  <c r="U170" i="18" s="1"/>
  <c r="Q140" i="18"/>
  <c r="Q170" i="18" s="1"/>
  <c r="W140" i="18"/>
  <c r="W170" i="18" s="1"/>
  <c r="R140" i="18"/>
  <c r="R170" i="18" s="1"/>
  <c r="Z140" i="18"/>
  <c r="Z170" i="18" s="1"/>
  <c r="S140" i="18"/>
  <c r="S170" i="18" s="1"/>
  <c r="AB140" i="18"/>
  <c r="AB170" i="18" s="1"/>
  <c r="O30" i="12"/>
  <c r="O42" i="12" s="1"/>
  <c r="O65" i="12"/>
  <c r="O83" i="12" s="1"/>
  <c r="O104" i="12" s="1"/>
  <c r="O119" i="12" s="1"/>
  <c r="O129" i="12" s="1"/>
  <c r="O59" i="12"/>
  <c r="BL30" i="12"/>
  <c r="BL42" i="12" s="1"/>
  <c r="BL65" i="12"/>
  <c r="BL83" i="12" s="1"/>
  <c r="BL104" i="12" s="1"/>
  <c r="BL119" i="12" s="1"/>
  <c r="BL129" i="12" s="1"/>
  <c r="BL59" i="12"/>
  <c r="BG30" i="12"/>
  <c r="BG42" i="12" s="1"/>
  <c r="BG65" i="12"/>
  <c r="BG83" i="12" s="1"/>
  <c r="BG104" i="12" s="1"/>
  <c r="BG119" i="12" s="1"/>
  <c r="BG129" i="12" s="1"/>
  <c r="BG59" i="12"/>
  <c r="AL30" i="12"/>
  <c r="AL59" i="12"/>
  <c r="AL65" i="12"/>
  <c r="AL83" i="12" s="1"/>
  <c r="AL104" i="12" s="1"/>
  <c r="AL119" i="12" s="1"/>
  <c r="AL129" i="12" s="1"/>
  <c r="Q30" i="12"/>
  <c r="Q42" i="12" s="1"/>
  <c r="Q65" i="12"/>
  <c r="Q83" i="12" s="1"/>
  <c r="Q104" i="12" s="1"/>
  <c r="Q119" i="12" s="1"/>
  <c r="Q129" i="12" s="1"/>
  <c r="Q59" i="12"/>
  <c r="D30" i="12"/>
  <c r="D42" i="12" s="1"/>
  <c r="D65" i="12"/>
  <c r="D83" i="12" s="1"/>
  <c r="D104" i="12" s="1"/>
  <c r="D119" i="12" s="1"/>
  <c r="D129" i="12" s="1"/>
  <c r="D59" i="12"/>
  <c r="T30" i="12"/>
  <c r="T42" i="12" s="1"/>
  <c r="T59" i="12"/>
  <c r="T65" i="12"/>
  <c r="T83" i="12" s="1"/>
  <c r="T104" i="12" s="1"/>
  <c r="T119" i="12" s="1"/>
  <c r="T129" i="12" s="1"/>
  <c r="P30" i="12"/>
  <c r="P65" i="12"/>
  <c r="P83" i="12" s="1"/>
  <c r="P104" i="12" s="1"/>
  <c r="P119" i="12" s="1"/>
  <c r="P129" i="12" s="1"/>
  <c r="P59" i="12"/>
  <c r="AX30" i="12"/>
  <c r="AX59" i="12"/>
  <c r="AX65" i="12"/>
  <c r="AX83" i="12" s="1"/>
  <c r="AX104" i="12" s="1"/>
  <c r="AX119" i="12" s="1"/>
  <c r="AX129" i="12" s="1"/>
  <c r="F30" i="12"/>
  <c r="F65" i="12"/>
  <c r="F83" i="12" s="1"/>
  <c r="F104" i="12" s="1"/>
  <c r="F119" i="12" s="1"/>
  <c r="F129" i="12" s="1"/>
  <c r="F59" i="12"/>
  <c r="V30" i="12"/>
  <c r="V42" i="12" s="1"/>
  <c r="V59" i="12"/>
  <c r="V65" i="12"/>
  <c r="V83" i="12" s="1"/>
  <c r="V104" i="12" s="1"/>
  <c r="V119" i="12" s="1"/>
  <c r="V129" i="12" s="1"/>
  <c r="M30" i="12"/>
  <c r="M59" i="12"/>
  <c r="M65" i="12"/>
  <c r="M83" i="12" s="1"/>
  <c r="M104" i="12" s="1"/>
  <c r="M119" i="12" s="1"/>
  <c r="M129" i="12" s="1"/>
  <c r="AK30" i="12"/>
  <c r="AK42" i="12" s="1"/>
  <c r="AK59" i="12"/>
  <c r="AK65" i="12"/>
  <c r="AK83" i="12" s="1"/>
  <c r="AK104" i="12" s="1"/>
  <c r="AK119" i="12" s="1"/>
  <c r="AK129" i="12" s="1"/>
  <c r="AI30" i="12"/>
  <c r="AI42" i="12" s="1"/>
  <c r="AI65" i="12"/>
  <c r="AI83" i="12" s="1"/>
  <c r="AI104" i="12" s="1"/>
  <c r="AI119" i="12" s="1"/>
  <c r="AI129" i="12" s="1"/>
  <c r="AI59" i="12"/>
  <c r="AD30" i="12"/>
  <c r="AD65" i="12"/>
  <c r="AD59" i="12"/>
  <c r="AM30" i="12"/>
  <c r="AM65" i="12"/>
  <c r="AM59" i="12"/>
  <c r="BD30" i="12"/>
  <c r="BD42" i="12" s="1"/>
  <c r="BD59" i="12"/>
  <c r="BD65" i="12"/>
  <c r="BD83" i="12" s="1"/>
  <c r="BD104" i="12" s="1"/>
  <c r="BD119" i="12" s="1"/>
  <c r="BD129" i="12" s="1"/>
  <c r="C30" i="12"/>
  <c r="C42" i="12" s="1"/>
  <c r="C59" i="12"/>
  <c r="C65" i="12"/>
  <c r="C83" i="12" s="1"/>
  <c r="C104" i="12" s="1"/>
  <c r="C119" i="12" s="1"/>
  <c r="C129" i="12" s="1"/>
  <c r="AT30" i="12"/>
  <c r="AT59" i="12"/>
  <c r="AT65" i="12"/>
  <c r="AT83" i="12" s="1"/>
  <c r="AT104" i="12" s="1"/>
  <c r="AT119" i="12" s="1"/>
  <c r="AT129" i="12" s="1"/>
  <c r="I30" i="12"/>
  <c r="I59" i="12"/>
  <c r="I65" i="12"/>
  <c r="I83" i="12" s="1"/>
  <c r="I104" i="12" s="1"/>
  <c r="I119" i="12" s="1"/>
  <c r="I129" i="12" s="1"/>
  <c r="X30" i="12"/>
  <c r="X42" i="12" s="1"/>
  <c r="X65" i="12"/>
  <c r="X83" i="12" s="1"/>
  <c r="X104" i="12" s="1"/>
  <c r="X119" i="12" s="1"/>
  <c r="X129" i="12" s="1"/>
  <c r="X59" i="12"/>
  <c r="BK30" i="12"/>
  <c r="BK65" i="12"/>
  <c r="BK59" i="12"/>
  <c r="AP30" i="12"/>
  <c r="AP59" i="12"/>
  <c r="AP65" i="12"/>
  <c r="AN30" i="12"/>
  <c r="AN65" i="12"/>
  <c r="AN83" i="12" s="1"/>
  <c r="AN104" i="12" s="1"/>
  <c r="AN119" i="12" s="1"/>
  <c r="AN129" i="12" s="1"/>
  <c r="AN59" i="12"/>
  <c r="AH30" i="12"/>
  <c r="AH42" i="12" s="1"/>
  <c r="AH59" i="12"/>
  <c r="AH65" i="12"/>
  <c r="AH83" i="12" s="1"/>
  <c r="AH104" i="12" s="1"/>
  <c r="AH119" i="12" s="1"/>
  <c r="AH129" i="12" s="1"/>
  <c r="AW30" i="12"/>
  <c r="AW42" i="12" s="1"/>
  <c r="AW65" i="12"/>
  <c r="AW83" i="12" s="1"/>
  <c r="AW104" i="12" s="1"/>
  <c r="AW119" i="12" s="1"/>
  <c r="AW129" i="12" s="1"/>
  <c r="AW59" i="12"/>
  <c r="AU30" i="12"/>
  <c r="AU59" i="12"/>
  <c r="AU65" i="12"/>
  <c r="AU83" i="12" s="1"/>
  <c r="AU104" i="12" s="1"/>
  <c r="AU119" i="12" s="1"/>
  <c r="AU129" i="12" s="1"/>
  <c r="AC30" i="12"/>
  <c r="AC65" i="12"/>
  <c r="AC83" i="12" s="1"/>
  <c r="AC104" i="12" s="1"/>
  <c r="AC119" i="12" s="1"/>
  <c r="AC129" i="12" s="1"/>
  <c r="AC59" i="12"/>
  <c r="U30" i="12"/>
  <c r="U42" i="12" s="1"/>
  <c r="U59" i="12"/>
  <c r="U65" i="12"/>
  <c r="U83" i="12" s="1"/>
  <c r="U104" i="12" s="1"/>
  <c r="U119" i="12" s="1"/>
  <c r="U129" i="12" s="1"/>
  <c r="BM30" i="12"/>
  <c r="BM42" i="12" s="1"/>
  <c r="BM59" i="12"/>
  <c r="BM65" i="12"/>
  <c r="BM83" i="12" s="1"/>
  <c r="BM104" i="12" s="1"/>
  <c r="BM119" i="12" s="1"/>
  <c r="BM129" i="12" s="1"/>
  <c r="Z30" i="12"/>
  <c r="Z59" i="12"/>
  <c r="Z65" i="12"/>
  <c r="Z83" i="12" s="1"/>
  <c r="Z104" i="12" s="1"/>
  <c r="Z119" i="12" s="1"/>
  <c r="Z129" i="12" s="1"/>
  <c r="AV30" i="12"/>
  <c r="AV59" i="12"/>
  <c r="AV65" i="12"/>
  <c r="BJ30" i="12"/>
  <c r="BJ59" i="12"/>
  <c r="BJ65" i="12"/>
  <c r="BJ83" i="12" s="1"/>
  <c r="BJ104" i="12" s="1"/>
  <c r="BJ119" i="12" s="1"/>
  <c r="BJ129" i="12" s="1"/>
  <c r="AQ30" i="12"/>
  <c r="AQ65" i="12"/>
  <c r="AQ83" i="12" s="1"/>
  <c r="AQ104" i="12" s="1"/>
  <c r="AQ119" i="12" s="1"/>
  <c r="AQ129" i="12" s="1"/>
  <c r="AQ59" i="12"/>
  <c r="R30" i="12"/>
  <c r="R42" i="12" s="1"/>
  <c r="R59" i="12"/>
  <c r="R65" i="12"/>
  <c r="R83" i="12" s="1"/>
  <c r="R104" i="12" s="1"/>
  <c r="R119" i="12" s="1"/>
  <c r="R129" i="12" s="1"/>
  <c r="BH30" i="12"/>
  <c r="BH65" i="12"/>
  <c r="BH59" i="12"/>
  <c r="G30" i="12"/>
  <c r="G42" i="12" s="1"/>
  <c r="G59" i="12"/>
  <c r="G65" i="12"/>
  <c r="G83" i="12" s="1"/>
  <c r="G104" i="12" s="1"/>
  <c r="G119" i="12" s="1"/>
  <c r="G129" i="12" s="1"/>
  <c r="BF30" i="12"/>
  <c r="BF42" i="12" s="1"/>
  <c r="BF59" i="12"/>
  <c r="BF65" i="12"/>
  <c r="BF83" i="12" s="1"/>
  <c r="BF104" i="12" s="1"/>
  <c r="BF119" i="12" s="1"/>
  <c r="BF129" i="12" s="1"/>
  <c r="AG30" i="12"/>
  <c r="AG59" i="12"/>
  <c r="AG65" i="12"/>
  <c r="AF30" i="12"/>
  <c r="AF59" i="12"/>
  <c r="AF65" i="12"/>
  <c r="AF83" i="12" s="1"/>
  <c r="AF104" i="12" s="1"/>
  <c r="AF119" i="12" s="1"/>
  <c r="AF129" i="12" s="1"/>
  <c r="BC30" i="12"/>
  <c r="BC42" i="12" s="1"/>
  <c r="BC59" i="12"/>
  <c r="BC65" i="12"/>
  <c r="BC83" i="12" s="1"/>
  <c r="BC104" i="12" s="1"/>
  <c r="BC119" i="12" s="1"/>
  <c r="BC129" i="12" s="1"/>
  <c r="N30" i="12"/>
  <c r="N42" i="12" s="1"/>
  <c r="N59" i="12"/>
  <c r="N65" i="12"/>
  <c r="N83" i="12" s="1"/>
  <c r="N104" i="12" s="1"/>
  <c r="N119" i="12" s="1"/>
  <c r="N129" i="12" s="1"/>
  <c r="AJ30" i="12"/>
  <c r="AJ65" i="12"/>
  <c r="AJ59" i="12"/>
  <c r="AO30" i="12"/>
  <c r="AO59" i="12"/>
  <c r="AO65" i="12"/>
  <c r="AO83" i="12" s="1"/>
  <c r="AO104" i="12" s="1"/>
  <c r="AO119" i="12" s="1"/>
  <c r="AO129" i="12" s="1"/>
  <c r="AE30" i="12"/>
  <c r="AE42" i="12" s="1"/>
  <c r="AE65" i="12"/>
  <c r="AE83" i="12" s="1"/>
  <c r="AE104" i="12" s="1"/>
  <c r="AE119" i="12" s="1"/>
  <c r="AE129" i="12" s="1"/>
  <c r="AE59" i="12"/>
  <c r="W30" i="12"/>
  <c r="W42" i="12" s="1"/>
  <c r="W59" i="12"/>
  <c r="W65" i="12"/>
  <c r="W83" i="12" s="1"/>
  <c r="W104" i="12" s="1"/>
  <c r="W119" i="12" s="1"/>
  <c r="W129" i="12" s="1"/>
  <c r="J30" i="12"/>
  <c r="J42" i="12" s="1"/>
  <c r="J59" i="12"/>
  <c r="J65" i="12"/>
  <c r="J83" i="12" s="1"/>
  <c r="J104" i="12" s="1"/>
  <c r="J119" i="12" s="1"/>
  <c r="J129" i="12" s="1"/>
  <c r="AN34" i="14"/>
  <c r="AN42" i="14"/>
  <c r="AN43" i="14" s="1"/>
  <c r="BE30" i="12"/>
  <c r="BE59" i="12"/>
  <c r="BE65" i="12"/>
  <c r="AA30" i="12"/>
  <c r="AA42" i="12" s="1"/>
  <c r="AA65" i="12"/>
  <c r="AA83" i="12" s="1"/>
  <c r="AA104" i="12" s="1"/>
  <c r="AA119" i="12" s="1"/>
  <c r="AA129" i="12" s="1"/>
  <c r="AA59" i="12"/>
  <c r="AR30" i="12"/>
  <c r="AR65" i="12"/>
  <c r="AR83" i="12" s="1"/>
  <c r="AR104" i="12" s="1"/>
  <c r="AR119" i="12" s="1"/>
  <c r="AR129" i="12" s="1"/>
  <c r="AR59" i="12"/>
  <c r="BB30" i="12"/>
  <c r="BB59" i="12"/>
  <c r="BB65" i="12"/>
  <c r="H30" i="12"/>
  <c r="H59" i="12"/>
  <c r="H65" i="12"/>
  <c r="H83" i="12" s="1"/>
  <c r="H104" i="12" s="1"/>
  <c r="H119" i="12" s="1"/>
  <c r="H129" i="12" s="1"/>
  <c r="E30" i="12"/>
  <c r="E65" i="12"/>
  <c r="E83" i="12" s="1"/>
  <c r="E104" i="12" s="1"/>
  <c r="E119" i="12" s="1"/>
  <c r="E129" i="12" s="1"/>
  <c r="E59" i="12"/>
  <c r="K30" i="12"/>
  <c r="K65" i="12"/>
  <c r="K83" i="12" s="1"/>
  <c r="K104" i="12" s="1"/>
  <c r="K119" i="12" s="1"/>
  <c r="K129" i="12" s="1"/>
  <c r="K59" i="12"/>
  <c r="L30" i="12"/>
  <c r="L59" i="12"/>
  <c r="L65" i="12"/>
  <c r="L83" i="12" s="1"/>
  <c r="L104" i="12" s="1"/>
  <c r="L119" i="12" s="1"/>
  <c r="L129" i="12" s="1"/>
  <c r="AZ30" i="12"/>
  <c r="AZ65" i="12"/>
  <c r="AZ83" i="12" s="1"/>
  <c r="AZ104" i="12" s="1"/>
  <c r="AZ119" i="12" s="1"/>
  <c r="AZ129" i="12" s="1"/>
  <c r="AZ59" i="12"/>
  <c r="AY30" i="12"/>
  <c r="AY65" i="12"/>
  <c r="AY59" i="12"/>
  <c r="AZ34" i="14"/>
  <c r="AZ42" i="14"/>
  <c r="AZ43" i="14" s="1"/>
  <c r="AS30" i="12"/>
  <c r="AS59" i="12"/>
  <c r="AS65" i="12"/>
  <c r="BA30" i="12"/>
  <c r="BA65" i="12"/>
  <c r="BA83" i="12" s="1"/>
  <c r="BA104" i="12" s="1"/>
  <c r="BA119" i="12" s="1"/>
  <c r="BA129" i="12" s="1"/>
  <c r="BA59" i="12"/>
  <c r="BI30" i="12"/>
  <c r="BI59" i="12"/>
  <c r="BI65" i="12"/>
  <c r="BI83" i="12" s="1"/>
  <c r="BI104" i="12" s="1"/>
  <c r="BI119" i="12" s="1"/>
  <c r="BI129" i="12" s="1"/>
  <c r="S30" i="12"/>
  <c r="S59" i="12"/>
  <c r="S65" i="12"/>
  <c r="S83" i="12" s="1"/>
  <c r="S104" i="12" s="1"/>
  <c r="S119" i="12" s="1"/>
  <c r="S129" i="12" s="1"/>
  <c r="Y30" i="12"/>
  <c r="Y65" i="12"/>
  <c r="Y83" i="12" s="1"/>
  <c r="Y104" i="12" s="1"/>
  <c r="Y119" i="12" s="1"/>
  <c r="Y129" i="12" s="1"/>
  <c r="Y59" i="12"/>
  <c r="AB30" i="12"/>
  <c r="AB65" i="12"/>
  <c r="AB83" i="12" s="1"/>
  <c r="AB104" i="12" s="1"/>
  <c r="AB119" i="12" s="1"/>
  <c r="AB129" i="12" s="1"/>
  <c r="AB59" i="12"/>
  <c r="AQ98" i="7"/>
  <c r="AQ129" i="7"/>
  <c r="CK98" i="7"/>
  <c r="CK129" i="7"/>
  <c r="AJ98" i="7"/>
  <c r="AJ129" i="7"/>
  <c r="AL98" i="7"/>
  <c r="AL129" i="7"/>
  <c r="W98" i="7"/>
  <c r="W129" i="7"/>
  <c r="BK98" i="7"/>
  <c r="BK129" i="7"/>
  <c r="BS98" i="7"/>
  <c r="BS129" i="7"/>
  <c r="Q98" i="7"/>
  <c r="Q129" i="7"/>
  <c r="CC98" i="7"/>
  <c r="CC129" i="7"/>
  <c r="BO98" i="7"/>
  <c r="BO129" i="7"/>
  <c r="AT98" i="7"/>
  <c r="AT129" i="7"/>
  <c r="CA98" i="7"/>
  <c r="CA129" i="7"/>
  <c r="CJ98" i="7"/>
  <c r="CJ129" i="7"/>
  <c r="BD98" i="7"/>
  <c r="BD129" i="7"/>
  <c r="N98" i="7"/>
  <c r="N129" i="7"/>
  <c r="R98" i="7"/>
  <c r="R129" i="7"/>
  <c r="AZ98" i="7"/>
  <c r="AZ129" i="7"/>
  <c r="C98" i="7"/>
  <c r="C129" i="7"/>
  <c r="F98" i="7"/>
  <c r="F129" i="7"/>
  <c r="X98" i="7"/>
  <c r="X129" i="7"/>
  <c r="BQ98" i="7"/>
  <c r="BQ129" i="7"/>
  <c r="BH98" i="7"/>
  <c r="BH129" i="7"/>
  <c r="AP98" i="7"/>
  <c r="AP129" i="7"/>
  <c r="D98" i="7"/>
  <c r="D129" i="7"/>
  <c r="CH98" i="7"/>
  <c r="CH129" i="7"/>
  <c r="AH98" i="7"/>
  <c r="AH129" i="7"/>
  <c r="BP98" i="7"/>
  <c r="BP129" i="7"/>
  <c r="BZ98" i="7"/>
  <c r="BZ129" i="7"/>
  <c r="AE98" i="7"/>
  <c r="AE129" i="7"/>
  <c r="O98" i="7"/>
  <c r="O129" i="7"/>
  <c r="BN98" i="7"/>
  <c r="BN129" i="7"/>
  <c r="BL98" i="7"/>
  <c r="BL129" i="7"/>
  <c r="BA98" i="7"/>
  <c r="BA129" i="7"/>
  <c r="G98" i="7"/>
  <c r="G129" i="7"/>
  <c r="Y98" i="7"/>
  <c r="Y129" i="7"/>
  <c r="BC98" i="7"/>
  <c r="BC129" i="7"/>
  <c r="AV98" i="7"/>
  <c r="AV129" i="7"/>
  <c r="I98" i="7"/>
  <c r="I129" i="7"/>
  <c r="AD98" i="7"/>
  <c r="AD129" i="7"/>
  <c r="AM98" i="7"/>
  <c r="AM129" i="7"/>
  <c r="AN98" i="7"/>
  <c r="AN129" i="7"/>
  <c r="BX98" i="7"/>
  <c r="BX129" i="7"/>
  <c r="AI98" i="7"/>
  <c r="AI129" i="7"/>
  <c r="CB98" i="7"/>
  <c r="CB129" i="7"/>
  <c r="P98" i="7"/>
  <c r="P129" i="7"/>
  <c r="BW98" i="7"/>
  <c r="BW129" i="7"/>
  <c r="AR98" i="7"/>
  <c r="AR129" i="7"/>
  <c r="E98" i="7"/>
  <c r="E129" i="7"/>
  <c r="CF98" i="7"/>
  <c r="CF129" i="7"/>
  <c r="S98" i="7"/>
  <c r="S129" i="7"/>
  <c r="BJ98" i="7"/>
  <c r="BJ129" i="7"/>
  <c r="AA98" i="7"/>
  <c r="AA129" i="7"/>
  <c r="Z98" i="7"/>
  <c r="Z129" i="7"/>
  <c r="M98" i="7"/>
  <c r="M129" i="7"/>
  <c r="AG98" i="7"/>
  <c r="AG129" i="7"/>
  <c r="AX98" i="7"/>
  <c r="AX129" i="7"/>
  <c r="T98" i="7"/>
  <c r="T129" i="7"/>
  <c r="CE98" i="7"/>
  <c r="CE129" i="7"/>
  <c r="BI98" i="7"/>
  <c r="BI129" i="7"/>
  <c r="L98" i="7"/>
  <c r="L129" i="7"/>
  <c r="BE98" i="7"/>
  <c r="BE129" i="7"/>
  <c r="K98" i="7"/>
  <c r="K129" i="7"/>
  <c r="BF98" i="7"/>
  <c r="BF129" i="7"/>
  <c r="BG98" i="7"/>
  <c r="BG129" i="7"/>
  <c r="BR98" i="7"/>
  <c r="BR129" i="7"/>
  <c r="BV98" i="7"/>
  <c r="BV129" i="7"/>
  <c r="H98" i="7"/>
  <c r="H129" i="7"/>
  <c r="CD98" i="7"/>
  <c r="CD129" i="7"/>
  <c r="AW98" i="7"/>
  <c r="AW129" i="7"/>
  <c r="CI98" i="7"/>
  <c r="CI129" i="7"/>
  <c r="BU98" i="7"/>
  <c r="BU129" i="7"/>
  <c r="V98" i="7"/>
  <c r="V129" i="7"/>
  <c r="CG98" i="7"/>
  <c r="CG129" i="7"/>
  <c r="J98" i="7"/>
  <c r="J129" i="7"/>
  <c r="AY98" i="7"/>
  <c r="AY129" i="7"/>
  <c r="AB98" i="7"/>
  <c r="AB129" i="7"/>
  <c r="U98" i="7"/>
  <c r="U129" i="7"/>
  <c r="AF98" i="7"/>
  <c r="AF129" i="7"/>
  <c r="BM98" i="7"/>
  <c r="BM129" i="7"/>
  <c r="AO98" i="7"/>
  <c r="AO129" i="7"/>
  <c r="AC98" i="7"/>
  <c r="AC129" i="7"/>
  <c r="AK98" i="7"/>
  <c r="AK129" i="7"/>
  <c r="BT98" i="7"/>
  <c r="BT129" i="7"/>
  <c r="AU98" i="7"/>
  <c r="AU129" i="7"/>
  <c r="BY98" i="7"/>
  <c r="BY129" i="7"/>
  <c r="AS98" i="7"/>
  <c r="AS129" i="7"/>
  <c r="BB98" i="7"/>
  <c r="BB129" i="7"/>
  <c r="H34" i="14"/>
  <c r="L34" i="14"/>
  <c r="CC34" i="14"/>
  <c r="BQ34" i="14"/>
  <c r="CG34" i="14"/>
  <c r="Y34" i="14"/>
  <c r="BA34" i="14"/>
  <c r="S43" i="14"/>
  <c r="S50" i="14"/>
  <c r="S51" i="14" s="1"/>
  <c r="CO34" i="14"/>
  <c r="R34" i="14"/>
  <c r="BZ34" i="14"/>
  <c r="AP34" i="14"/>
  <c r="BD43" i="14"/>
  <c r="BU34" i="14"/>
  <c r="M34" i="14"/>
  <c r="AS34" i="14"/>
  <c r="BN34" i="14"/>
  <c r="U34" i="14"/>
  <c r="AT43" i="14"/>
  <c r="F34" i="14"/>
  <c r="I34" i="14"/>
  <c r="AH43" i="14"/>
  <c r="AH50" i="14"/>
  <c r="AH51" i="14" s="1"/>
  <c r="T43" i="14"/>
  <c r="T50" i="14"/>
  <c r="T51" i="14" s="1"/>
  <c r="CS34" i="14"/>
  <c r="BY34" i="14"/>
  <c r="BI34" i="14"/>
  <c r="AO34" i="14"/>
  <c r="CK34" i="14"/>
  <c r="V43" i="14"/>
  <c r="V50" i="14"/>
  <c r="V51" i="14" s="1"/>
  <c r="AQ43" i="14"/>
  <c r="CL34" i="14"/>
  <c r="AC34" i="14"/>
  <c r="AK34" i="14"/>
  <c r="E34" i="14"/>
  <c r="BM34" i="14"/>
  <c r="Q34" i="14"/>
  <c r="CI43" i="14"/>
  <c r="CF43" i="14"/>
  <c r="AD34" i="14"/>
  <c r="BE34" i="14"/>
  <c r="AW34" i="14"/>
  <c r="AG34" i="14"/>
  <c r="BB34" i="14"/>
  <c r="CY39" i="14"/>
  <c r="CY313" i="2"/>
  <c r="CP150" i="7"/>
  <c r="CY245" i="2"/>
  <c r="CP90" i="7"/>
  <c r="EP42" i="14" l="1"/>
  <c r="EH42" i="14"/>
  <c r="EM42" i="14"/>
  <c r="EG42" i="14"/>
  <c r="EL42" i="14"/>
  <c r="CR43" i="14"/>
  <c r="EQ42" i="14"/>
  <c r="CJ43" i="14"/>
  <c r="EN42" i="14"/>
  <c r="BW43" i="14"/>
  <c r="EJ42" i="14"/>
  <c r="BK43" i="14"/>
  <c r="EF42" i="14"/>
  <c r="BT43" i="14"/>
  <c r="EI42" i="14"/>
  <c r="EK42" i="14"/>
  <c r="EO42" i="14"/>
  <c r="DY48" i="11"/>
  <c r="FE75" i="18"/>
  <c r="C16" i="24"/>
  <c r="FE74" i="18"/>
  <c r="C15" i="24"/>
  <c r="EX92" i="7"/>
  <c r="EW92" i="7"/>
  <c r="DY89" i="12"/>
  <c r="DX87" i="12"/>
  <c r="AE43" i="14"/>
  <c r="AE50" i="14"/>
  <c r="AE51" i="14" s="1"/>
  <c r="FF27" i="15"/>
  <c r="DH117" i="11"/>
  <c r="DH129" i="11" s="1"/>
  <c r="BE129" i="11"/>
  <c r="EN169" i="18"/>
  <c r="EG169" i="18"/>
  <c r="EO169" i="18"/>
  <c r="EQ169" i="18"/>
  <c r="J50" i="14"/>
  <c r="J51" i="14" s="1"/>
  <c r="J43" i="14"/>
  <c r="CC45" i="15"/>
  <c r="EL47" i="15"/>
  <c r="CL45" i="15"/>
  <c r="EO47" i="15"/>
  <c r="EK47" i="15"/>
  <c r="X43" i="14"/>
  <c r="X50" i="14"/>
  <c r="X51" i="14" s="1"/>
  <c r="Z50" i="14"/>
  <c r="Z51" i="14" s="1"/>
  <c r="Z43" i="14"/>
  <c r="BW45" i="15"/>
  <c r="EJ47" i="15"/>
  <c r="FG12" i="15"/>
  <c r="CR45" i="15"/>
  <c r="EQ47" i="15"/>
  <c r="DX89" i="12"/>
  <c r="DY87" i="12"/>
  <c r="FG27" i="18"/>
  <c r="DZ87" i="12"/>
  <c r="FF98" i="15"/>
  <c r="FG27" i="15"/>
  <c r="FG121" i="18"/>
  <c r="FF17" i="18"/>
  <c r="FF12" i="18"/>
  <c r="FF43" i="18"/>
  <c r="FG43" i="18"/>
  <c r="CO45" i="15"/>
  <c r="EP47" i="15"/>
  <c r="BK45" i="15"/>
  <c r="EF47" i="15"/>
  <c r="AI50" i="14"/>
  <c r="AI51" i="14" s="1"/>
  <c r="AI43" i="14"/>
  <c r="C50" i="14"/>
  <c r="C51" i="14" s="1"/>
  <c r="C43" i="14"/>
  <c r="AL43" i="14"/>
  <c r="AL50" i="14"/>
  <c r="AL51" i="14" s="1"/>
  <c r="DZ89" i="12"/>
  <c r="FE43" i="18"/>
  <c r="FE98" i="15"/>
  <c r="FG98" i="15"/>
  <c r="FG12" i="18"/>
  <c r="FF121" i="18"/>
  <c r="FF12" i="15"/>
  <c r="FG77" i="15"/>
  <c r="FE121" i="18"/>
  <c r="FE77" i="15"/>
  <c r="FF77" i="15"/>
  <c r="FE12" i="15"/>
  <c r="EL169" i="18"/>
  <c r="EM169" i="18"/>
  <c r="DG30" i="12"/>
  <c r="FE17" i="18"/>
  <c r="EF96" i="15"/>
  <c r="BK147" i="18"/>
  <c r="EO96" i="15"/>
  <c r="EK96" i="15"/>
  <c r="CL147" i="18"/>
  <c r="EM47" i="15"/>
  <c r="CF45" i="15"/>
  <c r="EM96" i="15"/>
  <c r="CF147" i="18"/>
  <c r="EG96" i="15"/>
  <c r="BN147" i="18"/>
  <c r="O50" i="14"/>
  <c r="O51" i="14" s="1"/>
  <c r="O43" i="14"/>
  <c r="EL96" i="15"/>
  <c r="CC147" i="18"/>
  <c r="BQ147" i="18"/>
  <c r="EH96" i="15"/>
  <c r="BT147" i="18"/>
  <c r="EI96" i="15"/>
  <c r="CI45" i="15"/>
  <c r="EN47" i="15"/>
  <c r="AF43" i="14"/>
  <c r="AF50" i="14"/>
  <c r="AF51" i="14" s="1"/>
  <c r="K50" i="14"/>
  <c r="K51" i="14" s="1"/>
  <c r="K43" i="14"/>
  <c r="CR147" i="18"/>
  <c r="EQ96" i="15"/>
  <c r="DF117" i="11"/>
  <c r="DF129" i="11" s="1"/>
  <c r="AY129" i="11"/>
  <c r="AB43" i="14"/>
  <c r="AB50" i="14"/>
  <c r="AB51" i="14" s="1"/>
  <c r="FG17" i="18"/>
  <c r="DY119" i="11"/>
  <c r="DZ119" i="11"/>
  <c r="FF104" i="18"/>
  <c r="D28" i="24" s="1"/>
  <c r="EI169" i="18"/>
  <c r="EH169" i="18"/>
  <c r="EJ169" i="18"/>
  <c r="EP96" i="15"/>
  <c r="CO147" i="18"/>
  <c r="EJ96" i="15"/>
  <c r="BW147" i="18"/>
  <c r="DD117" i="11"/>
  <c r="DD129" i="11" s="1"/>
  <c r="AS129" i="11"/>
  <c r="DI117" i="11"/>
  <c r="DI129" i="11" s="1"/>
  <c r="BH129" i="11"/>
  <c r="CZ117" i="11"/>
  <c r="CZ129" i="11" s="1"/>
  <c r="AG129" i="11"/>
  <c r="DC117" i="11"/>
  <c r="AP129" i="11"/>
  <c r="FE27" i="18"/>
  <c r="FF27" i="18"/>
  <c r="FE27" i="15"/>
  <c r="EN96" i="15"/>
  <c r="CI147" i="18"/>
  <c r="DG117" i="11"/>
  <c r="BB129" i="11"/>
  <c r="EH34" i="14"/>
  <c r="FE33" i="14"/>
  <c r="FE34" i="14" s="1"/>
  <c r="W43" i="14"/>
  <c r="W50" i="14"/>
  <c r="W51" i="14" s="1"/>
  <c r="AJ50" i="14"/>
  <c r="AJ51" i="14" s="1"/>
  <c r="AJ43" i="14"/>
  <c r="BQ45" i="15"/>
  <c r="EH47" i="15"/>
  <c r="BN45" i="15"/>
  <c r="EG47" i="15"/>
  <c r="DA117" i="11"/>
  <c r="AJ129" i="11"/>
  <c r="DH59" i="12"/>
  <c r="AA43" i="14"/>
  <c r="AA50" i="14"/>
  <c r="AA51" i="14" s="1"/>
  <c r="H43" i="14"/>
  <c r="FF74" i="18"/>
  <c r="DG59" i="12"/>
  <c r="AV129" i="11"/>
  <c r="BK129" i="11"/>
  <c r="FF139" i="18"/>
  <c r="D46" i="24" s="1"/>
  <c r="FF113" i="18"/>
  <c r="D37" i="24" s="1"/>
  <c r="FG104" i="18"/>
  <c r="E28" i="24" s="1"/>
  <c r="FF75" i="18"/>
  <c r="AM129" i="11"/>
  <c r="EF169" i="18"/>
  <c r="FE104" i="18"/>
  <c r="C28" i="24" s="1"/>
  <c r="EP169" i="18"/>
  <c r="DX119" i="11"/>
  <c r="EC129" i="7"/>
  <c r="EC132" i="7" s="1"/>
  <c r="EA129" i="7"/>
  <c r="EA132" i="7" s="1"/>
  <c r="DE30" i="12"/>
  <c r="DE125" i="12" s="1"/>
  <c r="DD30" i="12"/>
  <c r="DD125" i="12" s="1"/>
  <c r="DH30" i="12"/>
  <c r="DH125" i="12" s="1"/>
  <c r="FE139" i="18"/>
  <c r="C46" i="24" s="1"/>
  <c r="FG113" i="18"/>
  <c r="E37" i="24" s="1"/>
  <c r="DY32" i="12"/>
  <c r="CY59" i="12"/>
  <c r="DI30" i="12"/>
  <c r="DI100" i="12" s="1"/>
  <c r="DJ59" i="12"/>
  <c r="DD59" i="12"/>
  <c r="DA59" i="12"/>
  <c r="DZ32" i="12"/>
  <c r="FF7" i="18"/>
  <c r="FE7" i="18"/>
  <c r="EK169" i="18"/>
  <c r="FG7" i="18"/>
  <c r="FE113" i="18"/>
  <c r="C37" i="24" s="1"/>
  <c r="BE83" i="12"/>
  <c r="DH65" i="12"/>
  <c r="AY42" i="12"/>
  <c r="DF30" i="12"/>
  <c r="BB83" i="12"/>
  <c r="DG65" i="12"/>
  <c r="AG42" i="12"/>
  <c r="CZ42" i="12" s="1"/>
  <c r="CZ30" i="12"/>
  <c r="BH83" i="12"/>
  <c r="DI65" i="12"/>
  <c r="DC30" i="12"/>
  <c r="CY30" i="12"/>
  <c r="BK83" i="12"/>
  <c r="DJ65" i="12"/>
  <c r="AJ83" i="12"/>
  <c r="DA65" i="12"/>
  <c r="AV83" i="12"/>
  <c r="DE65" i="12"/>
  <c r="DJ30" i="12"/>
  <c r="DB59" i="12"/>
  <c r="DX17" i="12"/>
  <c r="DX28" i="12" s="1"/>
  <c r="CY28" i="12"/>
  <c r="DW129" i="7"/>
  <c r="DW132" i="7" s="1"/>
  <c r="AJ42" i="12"/>
  <c r="DA30" i="12"/>
  <c r="DE59" i="12"/>
  <c r="AM83" i="12"/>
  <c r="DB65" i="12"/>
  <c r="BQ112" i="12"/>
  <c r="FF33" i="14"/>
  <c r="FF34" i="14" s="1"/>
  <c r="EK34" i="14"/>
  <c r="DX32" i="12"/>
  <c r="FG33" i="14"/>
  <c r="FG34" i="14" s="1"/>
  <c r="EO34" i="14"/>
  <c r="DY17" i="12"/>
  <c r="DY28" i="12" s="1"/>
  <c r="DC28" i="12"/>
  <c r="AS83" i="12"/>
  <c r="DD65" i="12"/>
  <c r="EH129" i="7"/>
  <c r="EH132" i="7" s="1"/>
  <c r="ED129" i="7"/>
  <c r="ED132" i="7" s="1"/>
  <c r="DF59" i="12"/>
  <c r="AG83" i="12"/>
  <c r="CZ65" i="12"/>
  <c r="AP83" i="12"/>
  <c r="DC65" i="12"/>
  <c r="CV184" i="18"/>
  <c r="ER184" i="18" s="1"/>
  <c r="ER185" i="18"/>
  <c r="FG74" i="18"/>
  <c r="DB30" i="12"/>
  <c r="AY83" i="12"/>
  <c r="DF65" i="12"/>
  <c r="CZ59" i="12"/>
  <c r="DI59" i="12"/>
  <c r="DC59" i="12"/>
  <c r="AD83" i="12"/>
  <c r="CY65" i="12"/>
  <c r="DZ17" i="12"/>
  <c r="DZ28" i="12" s="1"/>
  <c r="DG28" i="12"/>
  <c r="FG75" i="18"/>
  <c r="FG139" i="18"/>
  <c r="E46" i="24" s="1"/>
  <c r="DX129" i="7"/>
  <c r="DX132" i="7" s="1"/>
  <c r="EG129" i="7"/>
  <c r="EG132" i="7" s="1"/>
  <c r="EB129" i="7"/>
  <c r="EB132" i="7" s="1"/>
  <c r="EF129" i="7"/>
  <c r="EF132" i="7" s="1"/>
  <c r="EE129" i="7"/>
  <c r="EE93" i="7"/>
  <c r="EE94" i="7" s="1"/>
  <c r="DW98" i="7"/>
  <c r="EV97" i="7"/>
  <c r="EE98" i="7"/>
  <c r="EX97" i="7"/>
  <c r="DW93" i="7"/>
  <c r="DW94" i="7" s="1"/>
  <c r="DY129" i="7"/>
  <c r="DY132" i="7" s="1"/>
  <c r="DZ129" i="7"/>
  <c r="DZ132" i="7" s="1"/>
  <c r="EW97" i="7"/>
  <c r="EA98" i="7"/>
  <c r="EA93" i="7"/>
  <c r="EA94" i="7" s="1"/>
  <c r="DX36" i="11"/>
  <c r="DX60" i="11" s="1"/>
  <c r="DB60" i="11"/>
  <c r="DA90" i="11"/>
  <c r="DB90" i="11"/>
  <c r="DF90" i="11"/>
  <c r="AV133" i="11"/>
  <c r="DE114" i="11"/>
  <c r="DZ50" i="11"/>
  <c r="DG59" i="11"/>
  <c r="DG110" i="11"/>
  <c r="DG139" i="11"/>
  <c r="DG144" i="11"/>
  <c r="AP133" i="11"/>
  <c r="DC114" i="11"/>
  <c r="BK133" i="11"/>
  <c r="DJ114" i="11"/>
  <c r="DC60" i="11"/>
  <c r="DY36" i="11"/>
  <c r="DY60" i="11" s="1"/>
  <c r="BE133" i="11"/>
  <c r="DH114" i="11"/>
  <c r="AY133" i="11"/>
  <c r="DF114" i="11"/>
  <c r="DX99" i="11"/>
  <c r="DX50" i="11"/>
  <c r="CY59" i="11"/>
  <c r="CY110" i="11"/>
  <c r="CY129" i="11"/>
  <c r="CY144" i="11"/>
  <c r="CY139" i="11"/>
  <c r="DH59" i="11"/>
  <c r="DH110" i="11"/>
  <c r="DH139" i="11"/>
  <c r="DH144" i="11"/>
  <c r="AD133" i="11"/>
  <c r="CY114" i="11"/>
  <c r="DE90" i="11"/>
  <c r="CZ90" i="11"/>
  <c r="AJ133" i="11"/>
  <c r="DA114" i="11"/>
  <c r="DE59" i="11"/>
  <c r="DE110" i="11"/>
  <c r="DE129" i="11"/>
  <c r="DE144" i="11"/>
  <c r="DE139" i="11"/>
  <c r="DD59" i="11"/>
  <c r="DD110" i="11"/>
  <c r="DD144" i="11"/>
  <c r="DD139" i="11"/>
  <c r="DY50" i="11"/>
  <c r="DC59" i="11"/>
  <c r="DC110" i="11"/>
  <c r="DC144" i="11"/>
  <c r="DC139" i="11"/>
  <c r="DI90" i="11"/>
  <c r="DJ90" i="11"/>
  <c r="AM133" i="11"/>
  <c r="DB114" i="11"/>
  <c r="DZ99" i="11"/>
  <c r="DF59" i="11"/>
  <c r="DF110" i="11"/>
  <c r="DF139" i="11"/>
  <c r="DF144" i="11"/>
  <c r="AG133" i="11"/>
  <c r="CZ114" i="11"/>
  <c r="DH90" i="11"/>
  <c r="DC90" i="11"/>
  <c r="DG90" i="11"/>
  <c r="DA154" i="11"/>
  <c r="DA59" i="11"/>
  <c r="DA110" i="11"/>
  <c r="DA144" i="11"/>
  <c r="DA139" i="11"/>
  <c r="BB133" i="11"/>
  <c r="DG114" i="11"/>
  <c r="DJ154" i="11"/>
  <c r="DJ59" i="11"/>
  <c r="DJ110" i="11"/>
  <c r="DJ129" i="11"/>
  <c r="DJ139" i="11"/>
  <c r="DJ144" i="11"/>
  <c r="CZ59" i="11"/>
  <c r="CZ110" i="11"/>
  <c r="CZ139" i="11"/>
  <c r="CZ144" i="11"/>
  <c r="BH133" i="11"/>
  <c r="DI114" i="11"/>
  <c r="DB154" i="11"/>
  <c r="DB59" i="11"/>
  <c r="DB110" i="11"/>
  <c r="DB129" i="11"/>
  <c r="DB144" i="11"/>
  <c r="DB139" i="11"/>
  <c r="DZ36" i="11"/>
  <c r="DG60" i="11"/>
  <c r="BQ141" i="11"/>
  <c r="DD90" i="11"/>
  <c r="CY90" i="11"/>
  <c r="DH60" i="11"/>
  <c r="AS133" i="11"/>
  <c r="DD114" i="11"/>
  <c r="DI154" i="11"/>
  <c r="DI59" i="11"/>
  <c r="DI110" i="11"/>
  <c r="DI139" i="11"/>
  <c r="DI144" i="11"/>
  <c r="DD60" i="11"/>
  <c r="DY99" i="11"/>
  <c r="P50" i="14"/>
  <c r="P51" i="14" s="1"/>
  <c r="N50" i="14"/>
  <c r="N51" i="14" s="1"/>
  <c r="L43" i="14"/>
  <c r="BG35" i="12"/>
  <c r="G50" i="14"/>
  <c r="G51" i="14" s="1"/>
  <c r="D43" i="14"/>
  <c r="AK35" i="12"/>
  <c r="BL35" i="12"/>
  <c r="AJ35" i="12"/>
  <c r="O35" i="12"/>
  <c r="R35" i="12"/>
  <c r="BK42" i="12"/>
  <c r="DJ42" i="12" s="1"/>
  <c r="AA35" i="12"/>
  <c r="J35" i="12"/>
  <c r="D35" i="12"/>
  <c r="W35" i="12"/>
  <c r="BK35" i="12"/>
  <c r="BD35" i="12"/>
  <c r="AY35" i="12"/>
  <c r="BJ42" i="12"/>
  <c r="AE35" i="12"/>
  <c r="G35" i="12"/>
  <c r="AI35" i="12"/>
  <c r="AB115" i="12"/>
  <c r="AB110" i="12"/>
  <c r="AB125" i="12"/>
  <c r="AB100" i="12"/>
  <c r="E115" i="12"/>
  <c r="E110" i="12"/>
  <c r="E100" i="12"/>
  <c r="E125" i="12"/>
  <c r="AJ110" i="12"/>
  <c r="AJ115" i="12"/>
  <c r="AJ100" i="12"/>
  <c r="AJ125" i="12"/>
  <c r="R110" i="12"/>
  <c r="R115" i="12"/>
  <c r="R100" i="12"/>
  <c r="R125" i="12"/>
  <c r="AU35" i="12"/>
  <c r="AU115" i="12"/>
  <c r="AU110" i="12"/>
  <c r="AU125" i="12"/>
  <c r="AU100" i="12"/>
  <c r="AT42" i="12"/>
  <c r="AT115" i="12"/>
  <c r="AT110" i="12"/>
  <c r="AT125" i="12"/>
  <c r="AT100" i="12"/>
  <c r="V115" i="12"/>
  <c r="V110" i="12"/>
  <c r="V100" i="12"/>
  <c r="V125" i="12"/>
  <c r="BG115" i="12"/>
  <c r="BG110" i="12"/>
  <c r="BG100" i="12"/>
  <c r="BG125" i="12"/>
  <c r="BI110" i="12"/>
  <c r="BI115" i="12"/>
  <c r="BI100" i="12"/>
  <c r="BI125" i="12"/>
  <c r="AR110" i="12"/>
  <c r="AR115" i="12"/>
  <c r="AR125" i="12"/>
  <c r="AR100" i="12"/>
  <c r="AF35" i="12"/>
  <c r="AF110" i="12"/>
  <c r="AF115" i="12"/>
  <c r="AF125" i="12"/>
  <c r="AF100" i="12"/>
  <c r="AV35" i="12"/>
  <c r="AV110" i="12"/>
  <c r="AV115" i="12"/>
  <c r="AV125" i="12"/>
  <c r="AV100" i="12"/>
  <c r="AN35" i="12"/>
  <c r="AN110" i="12"/>
  <c r="AN115" i="12"/>
  <c r="AN100" i="12"/>
  <c r="AN125" i="12"/>
  <c r="AM110" i="12"/>
  <c r="AM115" i="12"/>
  <c r="AM125" i="12"/>
  <c r="AM100" i="12"/>
  <c r="Q35" i="12"/>
  <c r="P110" i="12"/>
  <c r="P115" i="12"/>
  <c r="P125" i="12"/>
  <c r="P100" i="12"/>
  <c r="L115" i="12"/>
  <c r="L110" i="12"/>
  <c r="L100" i="12"/>
  <c r="L125" i="12"/>
  <c r="AE110" i="12"/>
  <c r="AE115" i="12"/>
  <c r="AE100" i="12"/>
  <c r="AE125" i="12"/>
  <c r="G110" i="12"/>
  <c r="G115" i="12"/>
  <c r="G125" i="12"/>
  <c r="G100" i="12"/>
  <c r="U115" i="12"/>
  <c r="U110" i="12"/>
  <c r="U125" i="12"/>
  <c r="U100" i="12"/>
  <c r="X115" i="12"/>
  <c r="X110" i="12"/>
  <c r="X125" i="12"/>
  <c r="X100" i="12"/>
  <c r="AK110" i="12"/>
  <c r="AK115" i="12"/>
  <c r="AK125" i="12"/>
  <c r="AK100" i="12"/>
  <c r="Q110" i="12"/>
  <c r="Q115" i="12"/>
  <c r="Q125" i="12"/>
  <c r="Q100" i="12"/>
  <c r="BR143" i="11"/>
  <c r="BR141" i="11" s="1"/>
  <c r="BR114" i="12"/>
  <c r="BR112" i="12" s="1"/>
  <c r="CY125" i="15"/>
  <c r="CY123" i="15" s="1"/>
  <c r="CZ185" i="18" s="1"/>
  <c r="CZ184" i="18" s="1"/>
  <c r="Y42" i="12"/>
  <c r="Y110" i="12"/>
  <c r="Y115" i="12"/>
  <c r="Y100" i="12"/>
  <c r="Y125" i="12"/>
  <c r="BL115" i="12"/>
  <c r="BL110" i="12"/>
  <c r="BL125" i="12"/>
  <c r="BL100" i="12"/>
  <c r="H110" i="12"/>
  <c r="H115" i="12"/>
  <c r="H100" i="12"/>
  <c r="H125" i="12"/>
  <c r="AQ115" i="12"/>
  <c r="AQ110" i="12"/>
  <c r="AQ125" i="12"/>
  <c r="AQ100" i="12"/>
  <c r="AW110" i="12"/>
  <c r="AW115" i="12"/>
  <c r="AW100" i="12"/>
  <c r="AW125" i="12"/>
  <c r="C110" i="12"/>
  <c r="C115" i="12"/>
  <c r="C125" i="12"/>
  <c r="C100" i="12"/>
  <c r="F115" i="12"/>
  <c r="F110" i="12"/>
  <c r="F100" i="12"/>
  <c r="F125" i="12"/>
  <c r="AQ35" i="12"/>
  <c r="BM35" i="12"/>
  <c r="BI42" i="12"/>
  <c r="V35" i="12"/>
  <c r="E42" i="12"/>
  <c r="BA115" i="12"/>
  <c r="BA110" i="12"/>
  <c r="BA125" i="12"/>
  <c r="BA100" i="12"/>
  <c r="AY115" i="12"/>
  <c r="AY110" i="12"/>
  <c r="AY125" i="12"/>
  <c r="AY100" i="12"/>
  <c r="AA110" i="12"/>
  <c r="AA115" i="12"/>
  <c r="AA125" i="12"/>
  <c r="AA100" i="12"/>
  <c r="J115" i="12"/>
  <c r="J110" i="12"/>
  <c r="J125" i="12"/>
  <c r="J100" i="12"/>
  <c r="AH35" i="12"/>
  <c r="AG110" i="12"/>
  <c r="AG115" i="12"/>
  <c r="AG125" i="12"/>
  <c r="AG100" i="12"/>
  <c r="Z42" i="12"/>
  <c r="Z110" i="12"/>
  <c r="Z115" i="12"/>
  <c r="Z125" i="12"/>
  <c r="Z100" i="12"/>
  <c r="AP42" i="12"/>
  <c r="AP110" i="12"/>
  <c r="AP115" i="12"/>
  <c r="AP125" i="12"/>
  <c r="AP100" i="12"/>
  <c r="AD42" i="12"/>
  <c r="AD110" i="12"/>
  <c r="AD115" i="12"/>
  <c r="AD100" i="12"/>
  <c r="AD125" i="12"/>
  <c r="T115" i="12"/>
  <c r="T110" i="12"/>
  <c r="T100" i="12"/>
  <c r="T125" i="12"/>
  <c r="N115" i="12"/>
  <c r="N110" i="12"/>
  <c r="N125" i="12"/>
  <c r="N100" i="12"/>
  <c r="AQ42" i="12"/>
  <c r="F42" i="12"/>
  <c r="AR35" i="12"/>
  <c r="K35" i="12"/>
  <c r="K115" i="12"/>
  <c r="K110" i="12"/>
  <c r="K100" i="12"/>
  <c r="K125" i="12"/>
  <c r="AO42" i="12"/>
  <c r="AO115" i="12"/>
  <c r="AO110" i="12"/>
  <c r="AO125" i="12"/>
  <c r="AO100" i="12"/>
  <c r="BH35" i="12"/>
  <c r="BH115" i="12"/>
  <c r="BH110" i="12"/>
  <c r="BH100" i="12"/>
  <c r="BH125" i="12"/>
  <c r="AD35" i="12"/>
  <c r="AC110" i="12"/>
  <c r="AC115" i="12"/>
  <c r="AC100" i="12"/>
  <c r="AC125" i="12"/>
  <c r="I42" i="12"/>
  <c r="I115" i="12"/>
  <c r="I110" i="12"/>
  <c r="I125" i="12"/>
  <c r="I100" i="12"/>
  <c r="M42" i="12"/>
  <c r="M110" i="12"/>
  <c r="M115" i="12"/>
  <c r="M100" i="12"/>
  <c r="M125" i="12"/>
  <c r="AL35" i="12"/>
  <c r="AL110" i="12"/>
  <c r="AL115" i="12"/>
  <c r="AL100" i="12"/>
  <c r="AL125" i="12"/>
  <c r="AX35" i="12"/>
  <c r="AH110" i="12"/>
  <c r="AH115" i="12"/>
  <c r="AH125" i="12"/>
  <c r="AH100" i="12"/>
  <c r="O115" i="12"/>
  <c r="O110" i="12"/>
  <c r="O125" i="12"/>
  <c r="O100" i="12"/>
  <c r="CX123" i="15"/>
  <c r="AR42" i="12"/>
  <c r="S42" i="12"/>
  <c r="S110" i="12"/>
  <c r="S115" i="12"/>
  <c r="S125" i="12"/>
  <c r="S100" i="12"/>
  <c r="BB42" i="12"/>
  <c r="DG42" i="12" s="1"/>
  <c r="BB115" i="12"/>
  <c r="BB110" i="12"/>
  <c r="BB100" i="12"/>
  <c r="BB125" i="12"/>
  <c r="BC110" i="12"/>
  <c r="BC115" i="12"/>
  <c r="BC125" i="12"/>
  <c r="BC100" i="12"/>
  <c r="BJ110" i="12"/>
  <c r="BJ115" i="12"/>
  <c r="BJ125" i="12"/>
  <c r="BJ100" i="12"/>
  <c r="BD110" i="12"/>
  <c r="BD115" i="12"/>
  <c r="BD100" i="12"/>
  <c r="BD125" i="12"/>
  <c r="AX115" i="12"/>
  <c r="AX110" i="12"/>
  <c r="AX100" i="12"/>
  <c r="AX125" i="12"/>
  <c r="BJ35" i="12"/>
  <c r="U35" i="12"/>
  <c r="X35" i="12"/>
  <c r="AX42" i="12"/>
  <c r="AT35" i="12"/>
  <c r="AS115" i="12"/>
  <c r="AS110" i="12"/>
  <c r="AS125" i="12"/>
  <c r="AS100" i="12"/>
  <c r="AZ115" i="12"/>
  <c r="AZ110" i="12"/>
  <c r="AZ125" i="12"/>
  <c r="AZ100" i="12"/>
  <c r="BE110" i="12"/>
  <c r="BE115" i="12"/>
  <c r="BE100" i="12"/>
  <c r="BE125" i="12"/>
  <c r="W115" i="12"/>
  <c r="W110" i="12"/>
  <c r="W125" i="12"/>
  <c r="W100" i="12"/>
  <c r="BF115" i="12"/>
  <c r="BF110" i="12"/>
  <c r="BF125" i="12"/>
  <c r="BF100" i="12"/>
  <c r="BM110" i="12"/>
  <c r="BM115" i="12"/>
  <c r="BM100" i="12"/>
  <c r="BM125" i="12"/>
  <c r="BK115" i="12"/>
  <c r="BK110" i="12"/>
  <c r="BK125" i="12"/>
  <c r="BK100" i="12"/>
  <c r="AI115" i="12"/>
  <c r="AI110" i="12"/>
  <c r="AI125" i="12"/>
  <c r="AI100" i="12"/>
  <c r="D115" i="12"/>
  <c r="D110" i="12"/>
  <c r="D125" i="12"/>
  <c r="D100" i="12"/>
  <c r="EI45" i="15"/>
  <c r="BT80" i="18"/>
  <c r="EI80" i="18" s="1"/>
  <c r="BU43" i="15"/>
  <c r="BT43" i="15"/>
  <c r="K42" i="12"/>
  <c r="AM35" i="12"/>
  <c r="E35" i="12"/>
  <c r="BH42" i="12"/>
  <c r="BC35" i="12"/>
  <c r="P35" i="12"/>
  <c r="BI35" i="12"/>
  <c r="AN42" i="12"/>
  <c r="S35" i="12"/>
  <c r="AS35" i="12"/>
  <c r="AS42" i="12"/>
  <c r="AU42" i="12"/>
  <c r="AZ35" i="12"/>
  <c r="L35" i="12"/>
  <c r="M35" i="12"/>
  <c r="N35" i="12"/>
  <c r="AW35" i="12"/>
  <c r="AP35" i="12"/>
  <c r="Z35" i="12"/>
  <c r="P42" i="12"/>
  <c r="AO35" i="12"/>
  <c r="T35" i="12"/>
  <c r="AL42" i="12"/>
  <c r="Y35" i="12"/>
  <c r="AF42" i="12"/>
  <c r="AM42" i="12"/>
  <c r="AV42" i="12"/>
  <c r="AC42" i="12"/>
  <c r="L42" i="12"/>
  <c r="AG35" i="12"/>
  <c r="F35" i="12"/>
  <c r="AZ79" i="12"/>
  <c r="H79" i="12"/>
  <c r="BE79" i="12"/>
  <c r="AB79" i="12"/>
  <c r="AO79" i="12"/>
  <c r="AF79" i="12"/>
  <c r="BH79" i="12"/>
  <c r="AV79" i="12"/>
  <c r="AC79" i="12"/>
  <c r="AN79" i="12"/>
  <c r="I79" i="12"/>
  <c r="AM79" i="12"/>
  <c r="M79" i="12"/>
  <c r="P79" i="12"/>
  <c r="AL79" i="12"/>
  <c r="L79" i="12"/>
  <c r="BB79" i="12"/>
  <c r="Y79" i="12"/>
  <c r="AS79" i="12"/>
  <c r="BB35" i="12"/>
  <c r="J79" i="12"/>
  <c r="AJ79" i="12"/>
  <c r="AG79" i="12"/>
  <c r="R79" i="12"/>
  <c r="Z79" i="12"/>
  <c r="AU79" i="12"/>
  <c r="AP79" i="12"/>
  <c r="AT79" i="12"/>
  <c r="AD79" i="12"/>
  <c r="V79" i="12"/>
  <c r="T79" i="12"/>
  <c r="BG79" i="12"/>
  <c r="BF35" i="12"/>
  <c r="K79" i="12"/>
  <c r="AR79" i="12"/>
  <c r="BA79" i="12"/>
  <c r="AC35" i="12"/>
  <c r="BE35" i="12"/>
  <c r="S79" i="12"/>
  <c r="BE42" i="12"/>
  <c r="DH42" i="12" s="1"/>
  <c r="W79" i="12"/>
  <c r="N79" i="12"/>
  <c r="BF79" i="12"/>
  <c r="AQ79" i="12"/>
  <c r="BM79" i="12"/>
  <c r="AW79" i="12"/>
  <c r="BK79" i="12"/>
  <c r="C79" i="12"/>
  <c r="AI79" i="12"/>
  <c r="F79" i="12"/>
  <c r="D79" i="12"/>
  <c r="BL79" i="12"/>
  <c r="AB35" i="12"/>
  <c r="BA35" i="12"/>
  <c r="H35" i="12"/>
  <c r="I35" i="12"/>
  <c r="AY79" i="12"/>
  <c r="E79" i="12"/>
  <c r="AA79" i="12"/>
  <c r="AB42" i="12"/>
  <c r="BA42" i="12"/>
  <c r="H42" i="12"/>
  <c r="BI79" i="12"/>
  <c r="AZ42" i="12"/>
  <c r="AE79" i="12"/>
  <c r="BC79" i="12"/>
  <c r="G79" i="12"/>
  <c r="BJ79" i="12"/>
  <c r="U79" i="12"/>
  <c r="AH79" i="12"/>
  <c r="X79" i="12"/>
  <c r="BD79" i="12"/>
  <c r="AK79" i="12"/>
  <c r="AX79" i="12"/>
  <c r="Q79" i="12"/>
  <c r="O79" i="12"/>
  <c r="AZ132" i="7"/>
  <c r="AZ144" i="7"/>
  <c r="BH132" i="7"/>
  <c r="BH144" i="7"/>
  <c r="AP144" i="7"/>
  <c r="AP132" i="7"/>
  <c r="BP144" i="7"/>
  <c r="BP132" i="7"/>
  <c r="CA144" i="7"/>
  <c r="CA132" i="7"/>
  <c r="AT144" i="7"/>
  <c r="AT132" i="7"/>
  <c r="BO132" i="7"/>
  <c r="BO144" i="7"/>
  <c r="AC132" i="7"/>
  <c r="AC144" i="7"/>
  <c r="P132" i="7"/>
  <c r="P144" i="7"/>
  <c r="CC132" i="7"/>
  <c r="CC144" i="7"/>
  <c r="AO144" i="7"/>
  <c r="AO132" i="7"/>
  <c r="K132" i="7"/>
  <c r="K144" i="7"/>
  <c r="CB132" i="7"/>
  <c r="CB144" i="7"/>
  <c r="BL144" i="7"/>
  <c r="BL132" i="7"/>
  <c r="X144" i="7"/>
  <c r="X132" i="7"/>
  <c r="BD132" i="7"/>
  <c r="BD144" i="7"/>
  <c r="Q132" i="7"/>
  <c r="Q144" i="7"/>
  <c r="CJ144" i="7"/>
  <c r="CJ132" i="7"/>
  <c r="BS132" i="7"/>
  <c r="BS144" i="7"/>
  <c r="AQ144" i="7"/>
  <c r="AQ132" i="7"/>
  <c r="BK144" i="7"/>
  <c r="BK132" i="7"/>
  <c r="BT144" i="7"/>
  <c r="BT132" i="7"/>
  <c r="U132" i="7"/>
  <c r="U144" i="7"/>
  <c r="BU132" i="7"/>
  <c r="BU144" i="7"/>
  <c r="BR144" i="7"/>
  <c r="BR132" i="7"/>
  <c r="BI144" i="7"/>
  <c r="BI132" i="7"/>
  <c r="Z144" i="7"/>
  <c r="Z132" i="7"/>
  <c r="AR144" i="7"/>
  <c r="AR132" i="7"/>
  <c r="AN144" i="7"/>
  <c r="AN132" i="7"/>
  <c r="Y144" i="7"/>
  <c r="Y132" i="7"/>
  <c r="AE132" i="7"/>
  <c r="AE144" i="7"/>
  <c r="W144" i="7"/>
  <c r="W132" i="7"/>
  <c r="AK144" i="7"/>
  <c r="AK132" i="7"/>
  <c r="AB132" i="7"/>
  <c r="AB144" i="7"/>
  <c r="CI132" i="7"/>
  <c r="CI144" i="7"/>
  <c r="BG144" i="7"/>
  <c r="BG132" i="7"/>
  <c r="CE144" i="7"/>
  <c r="CE132" i="7"/>
  <c r="AA132" i="7"/>
  <c r="AA144" i="7"/>
  <c r="BW144" i="7"/>
  <c r="BW132" i="7"/>
  <c r="AM144" i="7"/>
  <c r="AM132" i="7"/>
  <c r="G144" i="7"/>
  <c r="G132" i="7"/>
  <c r="BZ144" i="7"/>
  <c r="BZ132" i="7"/>
  <c r="R144" i="7"/>
  <c r="R132" i="7"/>
  <c r="AL144" i="7"/>
  <c r="AL132" i="7"/>
  <c r="BB144" i="7"/>
  <c r="BB132" i="7"/>
  <c r="AY144" i="7"/>
  <c r="AY132" i="7"/>
  <c r="AW144" i="7"/>
  <c r="AW132" i="7"/>
  <c r="BF144" i="7"/>
  <c r="BF132" i="7"/>
  <c r="T144" i="7"/>
  <c r="T132" i="7"/>
  <c r="BJ144" i="7"/>
  <c r="BJ132" i="7"/>
  <c r="AD144" i="7"/>
  <c r="AD132" i="7"/>
  <c r="BA132" i="7"/>
  <c r="BA144" i="7"/>
  <c r="BQ132" i="7"/>
  <c r="BQ144" i="7"/>
  <c r="N132" i="7"/>
  <c r="N144" i="7"/>
  <c r="AJ132" i="7"/>
  <c r="AJ144" i="7"/>
  <c r="AS132" i="7"/>
  <c r="AS144" i="7"/>
  <c r="J144" i="7"/>
  <c r="J132" i="7"/>
  <c r="CD144" i="7"/>
  <c r="CD132" i="7"/>
  <c r="AX144" i="7"/>
  <c r="AX132" i="7"/>
  <c r="S144" i="7"/>
  <c r="S132" i="7"/>
  <c r="I132" i="7"/>
  <c r="I144" i="7"/>
  <c r="AH144" i="7"/>
  <c r="AH132" i="7"/>
  <c r="CK144" i="7"/>
  <c r="CK132" i="7"/>
  <c r="BY144" i="7"/>
  <c r="BY132" i="7"/>
  <c r="BM144" i="7"/>
  <c r="BM132" i="7"/>
  <c r="CG144" i="7"/>
  <c r="CG132" i="7"/>
  <c r="H144" i="7"/>
  <c r="H132" i="7"/>
  <c r="BE132" i="7"/>
  <c r="BE144" i="7"/>
  <c r="AG132" i="7"/>
  <c r="AG144" i="7"/>
  <c r="CF132" i="7"/>
  <c r="CF144" i="7"/>
  <c r="AI144" i="7"/>
  <c r="AI132" i="7"/>
  <c r="AV144" i="7"/>
  <c r="AV132" i="7"/>
  <c r="BN132" i="7"/>
  <c r="BN144" i="7"/>
  <c r="CH144" i="7"/>
  <c r="CH132" i="7"/>
  <c r="F144" i="7"/>
  <c r="F132" i="7"/>
  <c r="AU132" i="7"/>
  <c r="AU144" i="7"/>
  <c r="AF132" i="7"/>
  <c r="AF144" i="7"/>
  <c r="V144" i="7"/>
  <c r="V132" i="7"/>
  <c r="BV132" i="7"/>
  <c r="BV144" i="7"/>
  <c r="L132" i="7"/>
  <c r="L144" i="7"/>
  <c r="M144" i="7"/>
  <c r="M132" i="7"/>
  <c r="E144" i="7"/>
  <c r="E132" i="7"/>
  <c r="BX144" i="7"/>
  <c r="BX132" i="7"/>
  <c r="BC144" i="7"/>
  <c r="BC132" i="7"/>
  <c r="O144" i="7"/>
  <c r="O132" i="7"/>
  <c r="D144" i="7"/>
  <c r="D132" i="7"/>
  <c r="C144" i="7"/>
  <c r="C132" i="7"/>
  <c r="R43" i="14"/>
  <c r="R50" i="14"/>
  <c r="R51" i="14" s="1"/>
  <c r="BB43" i="14"/>
  <c r="E43" i="14"/>
  <c r="E50" i="14"/>
  <c r="E51" i="14" s="1"/>
  <c r="CL43" i="14"/>
  <c r="F43" i="14"/>
  <c r="F50" i="14"/>
  <c r="F51" i="14" s="1"/>
  <c r="CO43" i="14"/>
  <c r="BA43" i="14"/>
  <c r="BU43" i="14"/>
  <c r="AG43" i="14"/>
  <c r="AG50" i="14"/>
  <c r="AG51" i="14" s="1"/>
  <c r="AK50" i="14"/>
  <c r="AK51" i="14" s="1"/>
  <c r="AK43" i="14"/>
  <c r="BI43" i="14"/>
  <c r="Y50" i="14"/>
  <c r="Y51" i="14" s="1"/>
  <c r="Y43" i="14"/>
  <c r="I43" i="14"/>
  <c r="I50" i="14"/>
  <c r="I51" i="14" s="1"/>
  <c r="AW43" i="14"/>
  <c r="AD43" i="14"/>
  <c r="AD50" i="14"/>
  <c r="AD51" i="14" s="1"/>
  <c r="AC43" i="14"/>
  <c r="AC50" i="14"/>
  <c r="AC51" i="14" s="1"/>
  <c r="CK43" i="14"/>
  <c r="BY43" i="14"/>
  <c r="BN43" i="14"/>
  <c r="CG43" i="14"/>
  <c r="BE43" i="14"/>
  <c r="AO43" i="14"/>
  <c r="CS43" i="14"/>
  <c r="U43" i="14"/>
  <c r="U50" i="14"/>
  <c r="U51" i="14" s="1"/>
  <c r="AS43" i="14"/>
  <c r="BQ43" i="14"/>
  <c r="Q43" i="14"/>
  <c r="Q50" i="14"/>
  <c r="Q51" i="14" s="1"/>
  <c r="M43" i="14"/>
  <c r="M50" i="14"/>
  <c r="M51" i="14" s="1"/>
  <c r="BZ43" i="14"/>
  <c r="CC43" i="14"/>
  <c r="BM43" i="14"/>
  <c r="AP43" i="14"/>
  <c r="CZ39" i="14"/>
  <c r="ES39" i="14" s="1"/>
  <c r="CZ313" i="2"/>
  <c r="CQ150" i="7"/>
  <c r="EJ150" i="7" s="1"/>
  <c r="CZ245" i="2"/>
  <c r="CQ90" i="7"/>
  <c r="EJ90" i="7" s="1"/>
  <c r="DZ60" i="11" l="1"/>
  <c r="FG42" i="14"/>
  <c r="FF42" i="14"/>
  <c r="FE42" i="14"/>
  <c r="DZ144" i="11"/>
  <c r="DZ59" i="11"/>
  <c r="DZ139" i="11"/>
  <c r="DZ154" i="11"/>
  <c r="DZ110" i="11"/>
  <c r="DX154" i="11"/>
  <c r="DX59" i="11"/>
  <c r="DY144" i="11"/>
  <c r="DY139" i="11"/>
  <c r="DY154" i="11"/>
  <c r="DY59" i="11"/>
  <c r="DY110" i="11"/>
  <c r="FF47" i="15"/>
  <c r="FG47" i="15"/>
  <c r="FG169" i="18"/>
  <c r="E54" i="24" s="1"/>
  <c r="EL45" i="15"/>
  <c r="CC80" i="18"/>
  <c r="EL80" i="18" s="1"/>
  <c r="CD43" i="15"/>
  <c r="CC43" i="15"/>
  <c r="CL43" i="15"/>
  <c r="EO45" i="15"/>
  <c r="EK45" i="15"/>
  <c r="CL80" i="18"/>
  <c r="EO80" i="18" s="1"/>
  <c r="CM43" i="15"/>
  <c r="FF96" i="15"/>
  <c r="BX43" i="15"/>
  <c r="EJ45" i="15"/>
  <c r="BW80" i="18"/>
  <c r="EJ80" i="18" s="1"/>
  <c r="BW43" i="15"/>
  <c r="FE47" i="15"/>
  <c r="EP45" i="15"/>
  <c r="CO80" i="18"/>
  <c r="EP80" i="18" s="1"/>
  <c r="CP43" i="15"/>
  <c r="CO43" i="15"/>
  <c r="CS43" i="15"/>
  <c r="EQ45" i="15"/>
  <c r="CR80" i="18"/>
  <c r="EQ80" i="18" s="1"/>
  <c r="CR43" i="15"/>
  <c r="EF45" i="15"/>
  <c r="BK80" i="18"/>
  <c r="EF80" i="18" s="1"/>
  <c r="BK43" i="15"/>
  <c r="BL43" i="15"/>
  <c r="FE96" i="15"/>
  <c r="FG96" i="15"/>
  <c r="EF147" i="18"/>
  <c r="BK149" i="18"/>
  <c r="EF149" i="18" s="1"/>
  <c r="FE169" i="18"/>
  <c r="C54" i="24" s="1"/>
  <c r="FF169" i="18"/>
  <c r="D54" i="24" s="1"/>
  <c r="DG100" i="12"/>
  <c r="DG125" i="12"/>
  <c r="DG110" i="12"/>
  <c r="DG79" i="12"/>
  <c r="DG115" i="12"/>
  <c r="EO147" i="18"/>
  <c r="CL149" i="18"/>
  <c r="EO149" i="18" s="1"/>
  <c r="CG43" i="15"/>
  <c r="CF43" i="15"/>
  <c r="EM45" i="15"/>
  <c r="CF80" i="18"/>
  <c r="EM80" i="18" s="1"/>
  <c r="CF149" i="18"/>
  <c r="EM149" i="18" s="1"/>
  <c r="EM147" i="18"/>
  <c r="EG147" i="18"/>
  <c r="BN149" i="18"/>
  <c r="EG149" i="18" s="1"/>
  <c r="EL147" i="18"/>
  <c r="CC149" i="18"/>
  <c r="EL149" i="18" s="1"/>
  <c r="BQ149" i="18"/>
  <c r="EH149" i="18" s="1"/>
  <c r="EH147" i="18"/>
  <c r="BT149" i="18"/>
  <c r="EI149" i="18" s="1"/>
  <c r="EI147" i="18"/>
  <c r="EN45" i="15"/>
  <c r="CJ43" i="15"/>
  <c r="CI43" i="15"/>
  <c r="CI80" i="18"/>
  <c r="EN80" i="18" s="1"/>
  <c r="CR149" i="18"/>
  <c r="EQ149" i="18" s="1"/>
  <c r="EQ147" i="18"/>
  <c r="CO149" i="18"/>
  <c r="EP149" i="18" s="1"/>
  <c r="EP147" i="18"/>
  <c r="EJ147" i="18"/>
  <c r="BW149" i="18"/>
  <c r="EJ149" i="18" s="1"/>
  <c r="DY117" i="11"/>
  <c r="DC129" i="11"/>
  <c r="EN147" i="18"/>
  <c r="CI149" i="18"/>
  <c r="EN149" i="18" s="1"/>
  <c r="BQ80" i="18"/>
  <c r="EH80" i="18" s="1"/>
  <c r="EH45" i="15"/>
  <c r="BQ43" i="15"/>
  <c r="BR43" i="15"/>
  <c r="DG35" i="12"/>
  <c r="EG45" i="15"/>
  <c r="BN80" i="18"/>
  <c r="EG80" i="18" s="1"/>
  <c r="BN43" i="15"/>
  <c r="BO43" i="15"/>
  <c r="DX117" i="11"/>
  <c r="DX129" i="11" s="1"/>
  <c r="DA129" i="11"/>
  <c r="DG129" i="11"/>
  <c r="DZ117" i="11"/>
  <c r="DH79" i="12"/>
  <c r="CV191" i="18"/>
  <c r="ER191" i="18" s="1"/>
  <c r="DE42" i="12"/>
  <c r="DI125" i="12"/>
  <c r="DH110" i="12"/>
  <c r="DE100" i="12"/>
  <c r="DZ59" i="12"/>
  <c r="DD42" i="12"/>
  <c r="DE79" i="12"/>
  <c r="EB144" i="7"/>
  <c r="EB145" i="7" s="1"/>
  <c r="DE115" i="12"/>
  <c r="DE110" i="12"/>
  <c r="DI79" i="12"/>
  <c r="DI35" i="12"/>
  <c r="DH115" i="12"/>
  <c r="DD100" i="12"/>
  <c r="DE35" i="12"/>
  <c r="DD115" i="12"/>
  <c r="DD110" i="12"/>
  <c r="DI110" i="12"/>
  <c r="DH100" i="12"/>
  <c r="DD79" i="12"/>
  <c r="DI115" i="12"/>
  <c r="DB42" i="12"/>
  <c r="DX65" i="12"/>
  <c r="DX59" i="12"/>
  <c r="DH35" i="12"/>
  <c r="AD104" i="12"/>
  <c r="CY83" i="12"/>
  <c r="AP104" i="12"/>
  <c r="DC83" i="12"/>
  <c r="DZ65" i="12"/>
  <c r="DW144" i="7"/>
  <c r="DW145" i="7" s="1"/>
  <c r="DI42" i="12"/>
  <c r="DZ42" i="12" s="1"/>
  <c r="DY59" i="12"/>
  <c r="BB104" i="12"/>
  <c r="DG83" i="12"/>
  <c r="DX144" i="7"/>
  <c r="DX145" i="7" s="1"/>
  <c r="AG104" i="12"/>
  <c r="CZ83" i="12"/>
  <c r="AM104" i="12"/>
  <c r="DB83" i="12"/>
  <c r="DX30" i="12"/>
  <c r="CY35" i="12"/>
  <c r="CY79" i="12"/>
  <c r="CY115" i="12"/>
  <c r="CY110" i="12"/>
  <c r="CY125" i="12"/>
  <c r="CY100" i="12"/>
  <c r="DF35" i="12"/>
  <c r="DF79" i="12"/>
  <c r="DF115" i="12"/>
  <c r="DF110" i="12"/>
  <c r="DF100" i="12"/>
  <c r="DF125" i="12"/>
  <c r="DC42" i="12"/>
  <c r="DJ35" i="12"/>
  <c r="DJ79" i="12"/>
  <c r="DJ110" i="12"/>
  <c r="DJ115" i="12"/>
  <c r="DJ100" i="12"/>
  <c r="DJ125" i="12"/>
  <c r="BK104" i="12"/>
  <c r="DJ83" i="12"/>
  <c r="DC35" i="12"/>
  <c r="DY30" i="12"/>
  <c r="DC79" i="12"/>
  <c r="DC115" i="12"/>
  <c r="DC110" i="12"/>
  <c r="DC100" i="12"/>
  <c r="DC125" i="12"/>
  <c r="DF42" i="12"/>
  <c r="EH144" i="7"/>
  <c r="EH145" i="7" s="1"/>
  <c r="DA35" i="12"/>
  <c r="DA79" i="12"/>
  <c r="DA110" i="12"/>
  <c r="DA115" i="12"/>
  <c r="DA125" i="12"/>
  <c r="DA100" i="12"/>
  <c r="EA144" i="7"/>
  <c r="EA145" i="7" s="1"/>
  <c r="AY104" i="12"/>
  <c r="DF83" i="12"/>
  <c r="DA42" i="12"/>
  <c r="AV104" i="12"/>
  <c r="DE83" i="12"/>
  <c r="BH104" i="12"/>
  <c r="DI83" i="12"/>
  <c r="BE104" i="12"/>
  <c r="DH83" i="12"/>
  <c r="CY42" i="12"/>
  <c r="DB35" i="12"/>
  <c r="DB79" i="12"/>
  <c r="DB110" i="12"/>
  <c r="DB115" i="12"/>
  <c r="DB100" i="12"/>
  <c r="DB125" i="12"/>
  <c r="CZ35" i="12"/>
  <c r="CZ79" i="12"/>
  <c r="CZ115" i="12"/>
  <c r="CZ110" i="12"/>
  <c r="CZ125" i="12"/>
  <c r="CZ100" i="12"/>
  <c r="DY65" i="12"/>
  <c r="AS104" i="12"/>
  <c r="DD83" i="12"/>
  <c r="AJ104" i="12"/>
  <c r="DA83" i="12"/>
  <c r="DD35" i="12"/>
  <c r="DZ30" i="12"/>
  <c r="ED144" i="7"/>
  <c r="ED145" i="7" s="1"/>
  <c r="EE144" i="7"/>
  <c r="EC144" i="7"/>
  <c r="EC145" i="7" s="1"/>
  <c r="EV129" i="7"/>
  <c r="EE132" i="7"/>
  <c r="EX129" i="7"/>
  <c r="EW129" i="7"/>
  <c r="DZ144" i="7"/>
  <c r="DZ145" i="7" s="1"/>
  <c r="EG144" i="7"/>
  <c r="EG145" i="7" s="1"/>
  <c r="EF144" i="7"/>
  <c r="EF145" i="7" s="1"/>
  <c r="DY144" i="7"/>
  <c r="DY145" i="7" s="1"/>
  <c r="DX90" i="11"/>
  <c r="DZ114" i="11"/>
  <c r="AS148" i="11"/>
  <c r="DD133" i="11"/>
  <c r="AJ148" i="11"/>
  <c r="DA133" i="11"/>
  <c r="DX110" i="11"/>
  <c r="DX144" i="11"/>
  <c r="DX139" i="11"/>
  <c r="AP148" i="11"/>
  <c r="DC133" i="11"/>
  <c r="AV148" i="11"/>
  <c r="DE133" i="11"/>
  <c r="BB148" i="11"/>
  <c r="DG133" i="11"/>
  <c r="BH148" i="11"/>
  <c r="DI133" i="11"/>
  <c r="AG148" i="11"/>
  <c r="CZ133" i="11"/>
  <c r="DZ90" i="11"/>
  <c r="AY148" i="11"/>
  <c r="DF133" i="11"/>
  <c r="DY90" i="11"/>
  <c r="AM148" i="11"/>
  <c r="DB133" i="11"/>
  <c r="DX114" i="11"/>
  <c r="BK148" i="11"/>
  <c r="DJ133" i="11"/>
  <c r="AD148" i="11"/>
  <c r="CY133" i="11"/>
  <c r="BE148" i="11"/>
  <c r="DH133" i="11"/>
  <c r="DY114" i="11"/>
  <c r="CZ191" i="18"/>
  <c r="BS143" i="11"/>
  <c r="BS141" i="11" s="1"/>
  <c r="DL141" i="11" s="1"/>
  <c r="CZ125" i="15"/>
  <c r="CZ123" i="15" s="1"/>
  <c r="DA185" i="18" s="1"/>
  <c r="BS114" i="12"/>
  <c r="BS112" i="12" s="1"/>
  <c r="DL112" i="12" s="1"/>
  <c r="CY185" i="18"/>
  <c r="AU153" i="7"/>
  <c r="AU145" i="7"/>
  <c r="CF145" i="7"/>
  <c r="CF153" i="7"/>
  <c r="AX153" i="7"/>
  <c r="AX145" i="7"/>
  <c r="AW145" i="7"/>
  <c r="AW153" i="7"/>
  <c r="AN145" i="7"/>
  <c r="AN153" i="7"/>
  <c r="BC145" i="7"/>
  <c r="BC153" i="7"/>
  <c r="V153" i="7"/>
  <c r="V145" i="7"/>
  <c r="AV153" i="7"/>
  <c r="AV145" i="7"/>
  <c r="CG145" i="7"/>
  <c r="CG153" i="7"/>
  <c r="N145" i="7"/>
  <c r="N153" i="7"/>
  <c r="BU153" i="7"/>
  <c r="BU145" i="7"/>
  <c r="K153" i="7"/>
  <c r="K145" i="7"/>
  <c r="AF145" i="7"/>
  <c r="AF153" i="7"/>
  <c r="S145" i="7"/>
  <c r="S153" i="7"/>
  <c r="BF145" i="7"/>
  <c r="BF153" i="7"/>
  <c r="BZ145" i="7"/>
  <c r="BZ153" i="7"/>
  <c r="BG145" i="7"/>
  <c r="BG153" i="7"/>
  <c r="Y145" i="7"/>
  <c r="Y153" i="7"/>
  <c r="CJ153" i="7"/>
  <c r="CJ145" i="7"/>
  <c r="AT145" i="7"/>
  <c r="AT153" i="7"/>
  <c r="BX153" i="7"/>
  <c r="BX145" i="7"/>
  <c r="AI145" i="7"/>
  <c r="AI153" i="7"/>
  <c r="BM153" i="7"/>
  <c r="BM145" i="7"/>
  <c r="BQ153" i="7"/>
  <c r="BQ145" i="7"/>
  <c r="CI145" i="7"/>
  <c r="CI153" i="7"/>
  <c r="U145" i="7"/>
  <c r="U153" i="7"/>
  <c r="Q145" i="7"/>
  <c r="Q153" i="7"/>
  <c r="AO145" i="7"/>
  <c r="AO153" i="7"/>
  <c r="CA145" i="7"/>
  <c r="CA153" i="7"/>
  <c r="G153" i="7"/>
  <c r="G145" i="7"/>
  <c r="E145" i="7"/>
  <c r="E153" i="7"/>
  <c r="BY145" i="7"/>
  <c r="BY153" i="7"/>
  <c r="BA153" i="7"/>
  <c r="BA145" i="7"/>
  <c r="AB145" i="7"/>
  <c r="AB153" i="7"/>
  <c r="BD145" i="7"/>
  <c r="BD153" i="7"/>
  <c r="CC153" i="7"/>
  <c r="CC145" i="7"/>
  <c r="CD145" i="7"/>
  <c r="CD153" i="7"/>
  <c r="AM153" i="7"/>
  <c r="AM145" i="7"/>
  <c r="AR153" i="7"/>
  <c r="AR145" i="7"/>
  <c r="BT145" i="7"/>
  <c r="BT153" i="7"/>
  <c r="BP145" i="7"/>
  <c r="BP153" i="7"/>
  <c r="C153" i="7"/>
  <c r="C145" i="7"/>
  <c r="M145" i="7"/>
  <c r="M153" i="7"/>
  <c r="F153" i="7"/>
  <c r="F145" i="7"/>
  <c r="CK145" i="7"/>
  <c r="CK153" i="7"/>
  <c r="P145" i="7"/>
  <c r="P153" i="7"/>
  <c r="L153" i="7"/>
  <c r="L145" i="7"/>
  <c r="BE153" i="7"/>
  <c r="BE145" i="7"/>
  <c r="J145" i="7"/>
  <c r="J153" i="7"/>
  <c r="AD153" i="7"/>
  <c r="AD145" i="7"/>
  <c r="BB145" i="7"/>
  <c r="BB153" i="7"/>
  <c r="BW145" i="7"/>
  <c r="BW153" i="7"/>
  <c r="AK153" i="7"/>
  <c r="AK145" i="7"/>
  <c r="Z145" i="7"/>
  <c r="Z153" i="7"/>
  <c r="BK145" i="7"/>
  <c r="BK153" i="7"/>
  <c r="X153" i="7"/>
  <c r="X145" i="7"/>
  <c r="AP145" i="7"/>
  <c r="AP153" i="7"/>
  <c r="D153" i="7"/>
  <c r="D145" i="7"/>
  <c r="CH153" i="7"/>
  <c r="CH145" i="7"/>
  <c r="AA145" i="7"/>
  <c r="AA153" i="7"/>
  <c r="AC145" i="7"/>
  <c r="AC153" i="7"/>
  <c r="BH145" i="7"/>
  <c r="BH153" i="7"/>
  <c r="AY145" i="7"/>
  <c r="AY153" i="7"/>
  <c r="BV153" i="7"/>
  <c r="BV145" i="7"/>
  <c r="W153" i="7"/>
  <c r="W145" i="7"/>
  <c r="BL153" i="7"/>
  <c r="BL145" i="7"/>
  <c r="AS145" i="7"/>
  <c r="AS153" i="7"/>
  <c r="BO145" i="7"/>
  <c r="BO153" i="7"/>
  <c r="AG145" i="7"/>
  <c r="AG153" i="7"/>
  <c r="BN153" i="7"/>
  <c r="BN145" i="7"/>
  <c r="AH153" i="7"/>
  <c r="AH145" i="7"/>
  <c r="BJ145" i="7"/>
  <c r="BJ153" i="7"/>
  <c r="AL145" i="7"/>
  <c r="AL153" i="7"/>
  <c r="BI153" i="7"/>
  <c r="BI145" i="7"/>
  <c r="AQ145" i="7"/>
  <c r="AQ153" i="7"/>
  <c r="O145" i="7"/>
  <c r="O153" i="7"/>
  <c r="H145" i="7"/>
  <c r="H153" i="7"/>
  <c r="I153" i="7"/>
  <c r="I145" i="7"/>
  <c r="AJ153" i="7"/>
  <c r="AJ145" i="7"/>
  <c r="AE145" i="7"/>
  <c r="AE153" i="7"/>
  <c r="BS145" i="7"/>
  <c r="BS153" i="7"/>
  <c r="CB153" i="7"/>
  <c r="CB145" i="7"/>
  <c r="AZ145" i="7"/>
  <c r="AZ153" i="7"/>
  <c r="T145" i="7"/>
  <c r="T153" i="7"/>
  <c r="R145" i="7"/>
  <c r="R153" i="7"/>
  <c r="CE145" i="7"/>
  <c r="CE153" i="7"/>
  <c r="BR145" i="7"/>
  <c r="BR153" i="7"/>
  <c r="DA39" i="14"/>
  <c r="DA313" i="2"/>
  <c r="CR150" i="7"/>
  <c r="DA245" i="2"/>
  <c r="CR90" i="7"/>
  <c r="DZ129" i="11" l="1"/>
  <c r="DY129" i="11"/>
  <c r="EP43" i="15"/>
  <c r="EQ43" i="15"/>
  <c r="EO43" i="15"/>
  <c r="EL43" i="15"/>
  <c r="FF80" i="18"/>
  <c r="D22" i="24" s="1"/>
  <c r="EJ43" i="15"/>
  <c r="EK43" i="15"/>
  <c r="FG80" i="18"/>
  <c r="E22" i="24" s="1"/>
  <c r="FE80" i="18"/>
  <c r="C22" i="24" s="1"/>
  <c r="FF149" i="18"/>
  <c r="FE147" i="18"/>
  <c r="FF147" i="18"/>
  <c r="FG147" i="18"/>
  <c r="FE149" i="18"/>
  <c r="FG149" i="18"/>
  <c r="FF45" i="15"/>
  <c r="EM43" i="15"/>
  <c r="EI43" i="15"/>
  <c r="EH43" i="15"/>
  <c r="FE45" i="15"/>
  <c r="EG43" i="15"/>
  <c r="FG45" i="15"/>
  <c r="EN43" i="15"/>
  <c r="DY42" i="12"/>
  <c r="DW153" i="7"/>
  <c r="DW154" i="7" s="1"/>
  <c r="EC153" i="7"/>
  <c r="EC154" i="7" s="1"/>
  <c r="AJ119" i="12"/>
  <c r="DA104" i="12"/>
  <c r="BH119" i="12"/>
  <c r="DI104" i="12"/>
  <c r="BK119" i="12"/>
  <c r="DJ104" i="12"/>
  <c r="DL114" i="12"/>
  <c r="AG119" i="12"/>
  <c r="CZ104" i="12"/>
  <c r="AV119" i="12"/>
  <c r="DE104" i="12"/>
  <c r="AS119" i="12"/>
  <c r="DD104" i="12"/>
  <c r="DX42" i="12"/>
  <c r="DY83" i="12"/>
  <c r="EA153" i="7"/>
  <c r="EA154" i="7" s="1"/>
  <c r="DZ35" i="12"/>
  <c r="DZ79" i="12"/>
  <c r="DZ110" i="12"/>
  <c r="DZ115" i="12"/>
  <c r="DZ100" i="12"/>
  <c r="DZ125" i="12"/>
  <c r="DY35" i="12"/>
  <c r="DY79" i="12"/>
  <c r="DY115" i="12"/>
  <c r="DY110" i="12"/>
  <c r="DY100" i="12"/>
  <c r="DY125" i="12"/>
  <c r="DX35" i="12"/>
  <c r="DX79" i="12"/>
  <c r="DX115" i="12"/>
  <c r="DX110" i="12"/>
  <c r="DX125" i="12"/>
  <c r="DX100" i="12"/>
  <c r="DZ83" i="12"/>
  <c r="AP119" i="12"/>
  <c r="DC104" i="12"/>
  <c r="CY184" i="18"/>
  <c r="ES184" i="18" s="1"/>
  <c r="ES185" i="18"/>
  <c r="BE119" i="12"/>
  <c r="DH104" i="12"/>
  <c r="AY119" i="12"/>
  <c r="DF104" i="12"/>
  <c r="BB119" i="12"/>
  <c r="DG104" i="12"/>
  <c r="DX83" i="12"/>
  <c r="DA184" i="18"/>
  <c r="DA191" i="18" s="1"/>
  <c r="AM119" i="12"/>
  <c r="DB104" i="12"/>
  <c r="AD119" i="12"/>
  <c r="CY104" i="12"/>
  <c r="ED153" i="7"/>
  <c r="ED154" i="7" s="1"/>
  <c r="DY153" i="7"/>
  <c r="DY154" i="7" s="1"/>
  <c r="EG153" i="7"/>
  <c r="EG154" i="7" s="1"/>
  <c r="DZ133" i="11"/>
  <c r="EE145" i="7"/>
  <c r="EX144" i="7"/>
  <c r="EH153" i="7"/>
  <c r="EH154" i="7" s="1"/>
  <c r="EE153" i="7"/>
  <c r="EV144" i="7"/>
  <c r="EW144" i="7"/>
  <c r="DX153" i="7"/>
  <c r="DX154" i="7" s="1"/>
  <c r="EF153" i="7"/>
  <c r="EF154" i="7" s="1"/>
  <c r="EB153" i="7"/>
  <c r="EB154" i="7" s="1"/>
  <c r="DZ153" i="7"/>
  <c r="DZ154" i="7" s="1"/>
  <c r="DL143" i="11"/>
  <c r="DF148" i="11"/>
  <c r="AY158" i="11"/>
  <c r="DF158" i="11" s="1"/>
  <c r="AD158" i="11"/>
  <c r="CY158" i="11" s="1"/>
  <c r="CY148" i="11"/>
  <c r="DI148" i="11"/>
  <c r="BH158" i="11"/>
  <c r="DI158" i="11" s="1"/>
  <c r="BB158" i="11"/>
  <c r="DG158" i="11" s="1"/>
  <c r="DG148" i="11"/>
  <c r="BK158" i="11"/>
  <c r="DJ158" i="11" s="1"/>
  <c r="DJ148" i="11"/>
  <c r="AV158" i="11"/>
  <c r="DE158" i="11" s="1"/>
  <c r="DE148" i="11"/>
  <c r="AP158" i="11"/>
  <c r="DC158" i="11" s="1"/>
  <c r="DC148" i="11"/>
  <c r="AJ158" i="11"/>
  <c r="DA158" i="11" s="1"/>
  <c r="DA148" i="11"/>
  <c r="DH148" i="11"/>
  <c r="BE158" i="11"/>
  <c r="DH158" i="11" s="1"/>
  <c r="DY133" i="11"/>
  <c r="DX133" i="11"/>
  <c r="DB148" i="11"/>
  <c r="AM158" i="11"/>
  <c r="DB158" i="11" s="1"/>
  <c r="AG158" i="11"/>
  <c r="CZ158" i="11" s="1"/>
  <c r="CZ148" i="11"/>
  <c r="DD148" i="11"/>
  <c r="AS158" i="11"/>
  <c r="DD158" i="11" s="1"/>
  <c r="ES125" i="15"/>
  <c r="BT143" i="11"/>
  <c r="BT114" i="12"/>
  <c r="DA125" i="15"/>
  <c r="ES123" i="15"/>
  <c r="CA154" i="7"/>
  <c r="CA161" i="7"/>
  <c r="CA162" i="7" s="1"/>
  <c r="BC154" i="7"/>
  <c r="BC161" i="7"/>
  <c r="BC162" i="7" s="1"/>
  <c r="C154" i="7"/>
  <c r="C161" i="7"/>
  <c r="C162" i="7" s="1"/>
  <c r="K154" i="7"/>
  <c r="K161" i="7"/>
  <c r="K162" i="7" s="1"/>
  <c r="O161" i="7"/>
  <c r="O162" i="7" s="1"/>
  <c r="O154" i="7"/>
  <c r="H161" i="7"/>
  <c r="H162" i="7" s="1"/>
  <c r="H154" i="7"/>
  <c r="Z161" i="7"/>
  <c r="Z162" i="7" s="1"/>
  <c r="Z154" i="7"/>
  <c r="BQ161" i="7"/>
  <c r="BQ154" i="7"/>
  <c r="AN154" i="7"/>
  <c r="AN161" i="7"/>
  <c r="AN162" i="7" s="1"/>
  <c r="AB154" i="7"/>
  <c r="AB161" i="7"/>
  <c r="AB162" i="7" s="1"/>
  <c r="AG154" i="7"/>
  <c r="AG161" i="7"/>
  <c r="AG162" i="7" s="1"/>
  <c r="BE161" i="7"/>
  <c r="BE154" i="7"/>
  <c r="AH154" i="7"/>
  <c r="AH161" i="7"/>
  <c r="AH162" i="7" s="1"/>
  <c r="BG154" i="7"/>
  <c r="BG161" i="7"/>
  <c r="BG162" i="7" s="1"/>
  <c r="CH154" i="7"/>
  <c r="CH161" i="7"/>
  <c r="CH162" i="7" s="1"/>
  <c r="BT154" i="7"/>
  <c r="BT161" i="7"/>
  <c r="AI154" i="7"/>
  <c r="AI161" i="7"/>
  <c r="AI162" i="7" s="1"/>
  <c r="BR154" i="7"/>
  <c r="BR161" i="7"/>
  <c r="BR162" i="7" s="1"/>
  <c r="AY154" i="7"/>
  <c r="AY161" i="7"/>
  <c r="AY162" i="7" s="1"/>
  <c r="Q161" i="7"/>
  <c r="Q162" i="7" s="1"/>
  <c r="Q154" i="7"/>
  <c r="AX161" i="7"/>
  <c r="AX162" i="7" s="1"/>
  <c r="AX154" i="7"/>
  <c r="L161" i="7"/>
  <c r="L162" i="7" s="1"/>
  <c r="L154" i="7"/>
  <c r="BW154" i="7"/>
  <c r="BW161" i="7"/>
  <c r="N154" i="7"/>
  <c r="N161" i="7"/>
  <c r="N162" i="7" s="1"/>
  <c r="D161" i="7"/>
  <c r="D162" i="7" s="1"/>
  <c r="D154" i="7"/>
  <c r="BB161" i="7"/>
  <c r="BB154" i="7"/>
  <c r="S161" i="7"/>
  <c r="S162" i="7" s="1"/>
  <c r="S154" i="7"/>
  <c r="I161" i="7"/>
  <c r="I162" i="7" s="1"/>
  <c r="I154" i="7"/>
  <c r="P161" i="7"/>
  <c r="P162" i="7" s="1"/>
  <c r="P154" i="7"/>
  <c r="BZ154" i="7"/>
  <c r="BZ161" i="7"/>
  <c r="AQ154" i="7"/>
  <c r="AQ161" i="7"/>
  <c r="AQ162" i="7" s="1"/>
  <c r="CK161" i="7"/>
  <c r="CK162" i="7" s="1"/>
  <c r="CK154" i="7"/>
  <c r="CG154" i="7"/>
  <c r="CG161" i="7"/>
  <c r="CG162" i="7" s="1"/>
  <c r="AR154" i="7"/>
  <c r="AR161" i="7"/>
  <c r="AR162" i="7" s="1"/>
  <c r="BO154" i="7"/>
  <c r="BO161" i="7"/>
  <c r="BO162" i="7" s="1"/>
  <c r="BY154" i="7"/>
  <c r="BY161" i="7"/>
  <c r="BY162" i="7" s="1"/>
  <c r="AL154" i="7"/>
  <c r="AL161" i="7"/>
  <c r="AL162" i="7" s="1"/>
  <c r="AA161" i="7"/>
  <c r="AA162" i="7" s="1"/>
  <c r="AA154" i="7"/>
  <c r="Y161" i="7"/>
  <c r="Y162" i="7" s="1"/>
  <c r="Y154" i="7"/>
  <c r="BL154" i="7"/>
  <c r="BL161" i="7"/>
  <c r="BL162" i="7" s="1"/>
  <c r="G161" i="7"/>
  <c r="G162" i="7" s="1"/>
  <c r="G154" i="7"/>
  <c r="BP154" i="7"/>
  <c r="BP161" i="7"/>
  <c r="BP162" i="7" s="1"/>
  <c r="AK161" i="7"/>
  <c r="AK162" i="7" s="1"/>
  <c r="AK154" i="7"/>
  <c r="BU154" i="7"/>
  <c r="BU161" i="7"/>
  <c r="BU162" i="7" s="1"/>
  <c r="BN154" i="7"/>
  <c r="BN161" i="7"/>
  <c r="AO154" i="7"/>
  <c r="AO161" i="7"/>
  <c r="AO162" i="7" s="1"/>
  <c r="BF154" i="7"/>
  <c r="BF161" i="7"/>
  <c r="BF162" i="7" s="1"/>
  <c r="CE154" i="7"/>
  <c r="CE161" i="7"/>
  <c r="CE162" i="7" s="1"/>
  <c r="BA161" i="7"/>
  <c r="BA162" i="7" s="1"/>
  <c r="BA154" i="7"/>
  <c r="BH154" i="7"/>
  <c r="BH161" i="7"/>
  <c r="AT154" i="7"/>
  <c r="AT161" i="7"/>
  <c r="AT162" i="7" s="1"/>
  <c r="R161" i="7"/>
  <c r="R162" i="7" s="1"/>
  <c r="R154" i="7"/>
  <c r="AZ161" i="7"/>
  <c r="AZ162" i="7" s="1"/>
  <c r="AZ154" i="7"/>
  <c r="CC154" i="7"/>
  <c r="CC161" i="7"/>
  <c r="BD154" i="7"/>
  <c r="BD161" i="7"/>
  <c r="BD162" i="7" s="1"/>
  <c r="W154" i="7"/>
  <c r="W161" i="7"/>
  <c r="W162" i="7" s="1"/>
  <c r="BM154" i="7"/>
  <c r="BM161" i="7"/>
  <c r="BM162" i="7" s="1"/>
  <c r="CB154" i="7"/>
  <c r="CB161" i="7"/>
  <c r="CB162" i="7" s="1"/>
  <c r="AW154" i="7"/>
  <c r="AW161" i="7"/>
  <c r="AW162" i="7" s="1"/>
  <c r="BS154" i="7"/>
  <c r="BS161" i="7"/>
  <c r="BS162" i="7" s="1"/>
  <c r="BV161" i="7"/>
  <c r="BV162" i="7" s="1"/>
  <c r="BV154" i="7"/>
  <c r="AP161" i="7"/>
  <c r="AP162" i="7" s="1"/>
  <c r="AP154" i="7"/>
  <c r="AE154" i="7"/>
  <c r="AE161" i="7"/>
  <c r="AE162" i="7" s="1"/>
  <c r="BX154" i="7"/>
  <c r="BX161" i="7"/>
  <c r="BX162" i="7" s="1"/>
  <c r="BI154" i="7"/>
  <c r="BI161" i="7"/>
  <c r="BI162" i="7" s="1"/>
  <c r="U161" i="7"/>
  <c r="U162" i="7" s="1"/>
  <c r="U154" i="7"/>
  <c r="CF154" i="7"/>
  <c r="CF161" i="7"/>
  <c r="X161" i="7"/>
  <c r="X162" i="7" s="1"/>
  <c r="X154" i="7"/>
  <c r="AD154" i="7"/>
  <c r="AD161" i="7"/>
  <c r="AD162" i="7" s="1"/>
  <c r="F161" i="7"/>
  <c r="F162" i="7" s="1"/>
  <c r="F154" i="7"/>
  <c r="AM161" i="7"/>
  <c r="AM162" i="7" s="1"/>
  <c r="AM154" i="7"/>
  <c r="AV154" i="7"/>
  <c r="AV161" i="7"/>
  <c r="AV162" i="7" s="1"/>
  <c r="AJ154" i="7"/>
  <c r="AJ161" i="7"/>
  <c r="AJ162" i="7" s="1"/>
  <c r="AS154" i="7"/>
  <c r="AS161" i="7"/>
  <c r="AS162" i="7" s="1"/>
  <c r="AC154" i="7"/>
  <c r="AC161" i="7"/>
  <c r="AC162" i="7" s="1"/>
  <c r="BK154" i="7"/>
  <c r="BK161" i="7"/>
  <c r="J161" i="7"/>
  <c r="J162" i="7" s="1"/>
  <c r="J154" i="7"/>
  <c r="M154" i="7"/>
  <c r="M161" i="7"/>
  <c r="M162" i="7" s="1"/>
  <c r="CD154" i="7"/>
  <c r="CD161" i="7"/>
  <c r="CD162" i="7" s="1"/>
  <c r="E161" i="7"/>
  <c r="E162" i="7" s="1"/>
  <c r="E154" i="7"/>
  <c r="CI154" i="7"/>
  <c r="CI161" i="7"/>
  <c r="AF154" i="7"/>
  <c r="AF161" i="7"/>
  <c r="AF162" i="7" s="1"/>
  <c r="T161" i="7"/>
  <c r="T162" i="7" s="1"/>
  <c r="T154" i="7"/>
  <c r="BJ154" i="7"/>
  <c r="BJ161" i="7"/>
  <c r="BJ162" i="7" s="1"/>
  <c r="CJ154" i="7"/>
  <c r="CJ161" i="7"/>
  <c r="CJ162" i="7" s="1"/>
  <c r="V161" i="7"/>
  <c r="V162" i="7" s="1"/>
  <c r="V154" i="7"/>
  <c r="AU154" i="7"/>
  <c r="AU161" i="7"/>
  <c r="AU162" i="7" s="1"/>
  <c r="DB39" i="14"/>
  <c r="DB313" i="2"/>
  <c r="CS150" i="7"/>
  <c r="DB245" i="2"/>
  <c r="CS90" i="7"/>
  <c r="FG43" i="15" l="1"/>
  <c r="FF43" i="15"/>
  <c r="EV153" i="7"/>
  <c r="CY191" i="18"/>
  <c r="ES191" i="18" s="1"/>
  <c r="DZ104" i="12"/>
  <c r="DY104" i="12"/>
  <c r="EW153" i="7"/>
  <c r="BB129" i="12"/>
  <c r="DG119" i="12"/>
  <c r="AP129" i="12"/>
  <c r="DC119" i="12"/>
  <c r="AS129" i="12"/>
  <c r="DD119" i="12"/>
  <c r="AD129" i="12"/>
  <c r="CY119" i="12"/>
  <c r="BK129" i="12"/>
  <c r="DJ119" i="12"/>
  <c r="AY129" i="12"/>
  <c r="DF119" i="12"/>
  <c r="AM129" i="12"/>
  <c r="DB119" i="12"/>
  <c r="BH129" i="12"/>
  <c r="DI119" i="12"/>
  <c r="BE129" i="12"/>
  <c r="DH119" i="12"/>
  <c r="AV129" i="12"/>
  <c r="DE119" i="12"/>
  <c r="BT112" i="12"/>
  <c r="DX104" i="12"/>
  <c r="AJ129" i="12"/>
  <c r="DA119" i="12"/>
  <c r="AG129" i="12"/>
  <c r="CZ119" i="12"/>
  <c r="BB162" i="7"/>
  <c r="DW161" i="7"/>
  <c r="CI162" i="7"/>
  <c r="EH161" i="7"/>
  <c r="EH162" i="7" s="1"/>
  <c r="BK162" i="7"/>
  <c r="DZ161" i="7"/>
  <c r="DZ162" i="7" s="1"/>
  <c r="BT162" i="7"/>
  <c r="EC161" i="7"/>
  <c r="EC162" i="7" s="1"/>
  <c r="BQ162" i="7"/>
  <c r="EB161" i="7"/>
  <c r="EB162" i="7" s="1"/>
  <c r="BE162" i="7"/>
  <c r="DX161" i="7"/>
  <c r="DX162" i="7" s="1"/>
  <c r="CC162" i="7"/>
  <c r="EF161" i="7"/>
  <c r="EF162" i="7" s="1"/>
  <c r="BH162" i="7"/>
  <c r="DY161" i="7"/>
  <c r="DY162" i="7" s="1"/>
  <c r="BZ162" i="7"/>
  <c r="EE161" i="7"/>
  <c r="EX153" i="7"/>
  <c r="EE154" i="7"/>
  <c r="CF162" i="7"/>
  <c r="EG161" i="7"/>
  <c r="EG162" i="7" s="1"/>
  <c r="BW162" i="7"/>
  <c r="ED161" i="7"/>
  <c r="ED162" i="7" s="1"/>
  <c r="BN162" i="7"/>
  <c r="EA161" i="7"/>
  <c r="DX148" i="11"/>
  <c r="DX158" i="11"/>
  <c r="DY158" i="11"/>
  <c r="DZ148" i="11"/>
  <c r="DZ158" i="11"/>
  <c r="BT141" i="11"/>
  <c r="DY148" i="11"/>
  <c r="BU143" i="11"/>
  <c r="BU141" i="11" s="1"/>
  <c r="DB125" i="15"/>
  <c r="DB123" i="15" s="1"/>
  <c r="DC185" i="18" s="1"/>
  <c r="DC184" i="18" s="1"/>
  <c r="BU114" i="12"/>
  <c r="BU112" i="12" s="1"/>
  <c r="DA123" i="15"/>
  <c r="DC39" i="14"/>
  <c r="ET39" i="14" s="1"/>
  <c r="DC313" i="2"/>
  <c r="CT150" i="7"/>
  <c r="EK150" i="7" s="1"/>
  <c r="DC245" i="2"/>
  <c r="CT90" i="7"/>
  <c r="EK90" i="7" s="1"/>
  <c r="DG129" i="12" l="1"/>
  <c r="DD129" i="12"/>
  <c r="DC129" i="12"/>
  <c r="CZ129" i="12"/>
  <c r="DF129" i="12"/>
  <c r="DI129" i="12"/>
  <c r="DB129" i="12"/>
  <c r="DA129" i="12"/>
  <c r="DE129" i="12"/>
  <c r="CY129" i="12"/>
  <c r="DH129" i="12"/>
  <c r="DJ129" i="12"/>
  <c r="DX119" i="12"/>
  <c r="DZ119" i="12"/>
  <c r="DY119" i="12"/>
  <c r="EW161" i="7"/>
  <c r="EA162" i="7"/>
  <c r="EV161" i="7"/>
  <c r="DW162" i="7"/>
  <c r="EE162" i="7"/>
  <c r="EX161" i="7"/>
  <c r="DB185" i="18"/>
  <c r="DC191" i="18"/>
  <c r="BV143" i="11"/>
  <c r="DC125" i="15"/>
  <c r="BV114" i="12"/>
  <c r="BV112" i="12" s="1"/>
  <c r="DM112" i="12" s="1"/>
  <c r="DD39" i="14"/>
  <c r="CU150" i="7"/>
  <c r="DD313" i="2"/>
  <c r="CU90" i="7"/>
  <c r="DD245" i="2"/>
  <c r="DX129" i="12" l="1"/>
  <c r="DY129" i="12"/>
  <c r="DZ129" i="12"/>
  <c r="DM114" i="12"/>
  <c r="DB184" i="18"/>
  <c r="ET184" i="18" s="1"/>
  <c r="ET185" i="18"/>
  <c r="BV141" i="11"/>
  <c r="DM141" i="11" s="1"/>
  <c r="DM143" i="11"/>
  <c r="DC123" i="15"/>
  <c r="ET125" i="15"/>
  <c r="BW143" i="11"/>
  <c r="DD125" i="15"/>
  <c r="BW114" i="12"/>
  <c r="DE39" i="14"/>
  <c r="DE313" i="2"/>
  <c r="CV150" i="7"/>
  <c r="DE245" i="2"/>
  <c r="CV90" i="7"/>
  <c r="DB191" i="18" l="1"/>
  <c r="ET191" i="18" s="1"/>
  <c r="BW112" i="12"/>
  <c r="BW141" i="11"/>
  <c r="DD123" i="15"/>
  <c r="BX143" i="11"/>
  <c r="BX141" i="11" s="1"/>
  <c r="DE125" i="15"/>
  <c r="DE123" i="15" s="1"/>
  <c r="DF185" i="18" s="1"/>
  <c r="DF184" i="18" s="1"/>
  <c r="BX114" i="12"/>
  <c r="BX112" i="12" s="1"/>
  <c r="DD185" i="18"/>
  <c r="ET123" i="15"/>
  <c r="DF39" i="14"/>
  <c r="EU39" i="14" s="1"/>
  <c r="FH39" i="14" s="1"/>
  <c r="DF313" i="2"/>
  <c r="CW150" i="7"/>
  <c r="EL150" i="7" s="1"/>
  <c r="CW90" i="7"/>
  <c r="EL90" i="7" s="1"/>
  <c r="EY90" i="7" s="1"/>
  <c r="DF245" i="2"/>
  <c r="DD184" i="18" l="1"/>
  <c r="DD191" i="18" s="1"/>
  <c r="EY150" i="7"/>
  <c r="DF191" i="18"/>
  <c r="BY143" i="11"/>
  <c r="BY141" i="11" s="1"/>
  <c r="DN141" i="11" s="1"/>
  <c r="BY114" i="12"/>
  <c r="BY112" i="12" s="1"/>
  <c r="DN112" i="12" s="1"/>
  <c r="DF125" i="15"/>
  <c r="DF123" i="15" s="1"/>
  <c r="DG185" i="18" s="1"/>
  <c r="DE185" i="18"/>
  <c r="DE184" i="18" s="1"/>
  <c r="DG39" i="14"/>
  <c r="CX150" i="7"/>
  <c r="DG313" i="2"/>
  <c r="CX90" i="7"/>
  <c r="DG245" i="2"/>
  <c r="EA112" i="12" l="1"/>
  <c r="DN114" i="12"/>
  <c r="EA114" i="12" s="1"/>
  <c r="EU185" i="18"/>
  <c r="FH185" i="18" s="1"/>
  <c r="DG184" i="18"/>
  <c r="EU184" i="18"/>
  <c r="EA141" i="11"/>
  <c r="EU123" i="15"/>
  <c r="FH123" i="15" s="1"/>
  <c r="DN143" i="11"/>
  <c r="EA143" i="11" s="1"/>
  <c r="EU125" i="15"/>
  <c r="FH125" i="15" s="1"/>
  <c r="DE191" i="18"/>
  <c r="EU191" i="18" s="1"/>
  <c r="FH191" i="18" s="1"/>
  <c r="BZ143" i="11"/>
  <c r="BZ114" i="12"/>
  <c r="DG125" i="15"/>
  <c r="DH39" i="14"/>
  <c r="CY150" i="7"/>
  <c r="DH313" i="2"/>
  <c r="CY90" i="7"/>
  <c r="DH245" i="2"/>
  <c r="FH184" i="18" l="1"/>
  <c r="BZ112" i="12"/>
  <c r="DG191" i="18"/>
  <c r="BZ141" i="11"/>
  <c r="DG123" i="15"/>
  <c r="CA143" i="11"/>
  <c r="CA141" i="11" s="1"/>
  <c r="DH125" i="15"/>
  <c r="DH123" i="15" s="1"/>
  <c r="DI185" i="18" s="1"/>
  <c r="DI184" i="18" s="1"/>
  <c r="CA114" i="12"/>
  <c r="CA112" i="12" s="1"/>
  <c r="DI39" i="14"/>
  <c r="EV39" i="14" s="1"/>
  <c r="CZ150" i="7"/>
  <c r="EM150" i="7" s="1"/>
  <c r="DI313" i="2"/>
  <c r="CZ90" i="7"/>
  <c r="EM90" i="7" s="1"/>
  <c r="DI245" i="2"/>
  <c r="DI191" i="18" l="1"/>
  <c r="DH185" i="18"/>
  <c r="CB143" i="11"/>
  <c r="CB141" i="11" s="1"/>
  <c r="DO141" i="11" s="1"/>
  <c r="CB114" i="12"/>
  <c r="CB112" i="12" s="1"/>
  <c r="DO112" i="12" s="1"/>
  <c r="DI125" i="15"/>
  <c r="DI123" i="15" s="1"/>
  <c r="DJ185" i="18" s="1"/>
  <c r="DJ39" i="14"/>
  <c r="DA150" i="7"/>
  <c r="DJ313" i="2"/>
  <c r="DA90" i="7"/>
  <c r="DJ245" i="2"/>
  <c r="DH184" i="18" l="1"/>
  <c r="EV184" i="18" s="1"/>
  <c r="EV185" i="18"/>
  <c r="DJ184" i="18"/>
  <c r="DJ191" i="18" s="1"/>
  <c r="DO114" i="12"/>
  <c r="DO143" i="11"/>
  <c r="EV125" i="15"/>
  <c r="EV123" i="15"/>
  <c r="CC143" i="11"/>
  <c r="DJ125" i="15"/>
  <c r="CC114" i="12"/>
  <c r="DK39" i="14"/>
  <c r="DK313" i="2"/>
  <c r="DB150" i="7"/>
  <c r="DK245" i="2"/>
  <c r="DB90" i="7"/>
  <c r="DH191" i="18" l="1"/>
  <c r="EV191" i="18" s="1"/>
  <c r="CC112" i="12"/>
  <c r="CC141" i="11"/>
  <c r="CD143" i="11"/>
  <c r="CD141" i="11" s="1"/>
  <c r="DK125" i="15"/>
  <c r="DK123" i="15" s="1"/>
  <c r="DL185" i="18" s="1"/>
  <c r="DL184" i="18" s="1"/>
  <c r="CD114" i="12"/>
  <c r="CD112" i="12" s="1"/>
  <c r="DJ123" i="15"/>
  <c r="DL39" i="14"/>
  <c r="EW39" i="14" s="1"/>
  <c r="DL313" i="2"/>
  <c r="DC150" i="7"/>
  <c r="EN150" i="7" s="1"/>
  <c r="DL245" i="2"/>
  <c r="DC90" i="7"/>
  <c r="EN90" i="7" s="1"/>
  <c r="DL191" i="18" l="1"/>
  <c r="DK185" i="18"/>
  <c r="CE143" i="11"/>
  <c r="CE141" i="11" s="1"/>
  <c r="DP141" i="11" s="1"/>
  <c r="DL125" i="15"/>
  <c r="CE114" i="12"/>
  <c r="CE112" i="12" s="1"/>
  <c r="DP112" i="12" s="1"/>
  <c r="DM39" i="14"/>
  <c r="DM313" i="2"/>
  <c r="DD150" i="7"/>
  <c r="DM245" i="2"/>
  <c r="DD90" i="7"/>
  <c r="DK184" i="18" l="1"/>
  <c r="EW184" i="18" s="1"/>
  <c r="EW185" i="18"/>
  <c r="DP114" i="12"/>
  <c r="DP143" i="11"/>
  <c r="CF143" i="11"/>
  <c r="DM125" i="15"/>
  <c r="CF114" i="12"/>
  <c r="DL123" i="15"/>
  <c r="EW125" i="15"/>
  <c r="DN39" i="14"/>
  <c r="DE150" i="7"/>
  <c r="DN313" i="2"/>
  <c r="DN245" i="2"/>
  <c r="DE90" i="7"/>
  <c r="DK191" i="18" l="1"/>
  <c r="EW191" i="18" s="1"/>
  <c r="CF112" i="12"/>
  <c r="CF141" i="11"/>
  <c r="DM123" i="15"/>
  <c r="DM185" i="18"/>
  <c r="EW123" i="15"/>
  <c r="CG143" i="11"/>
  <c r="CG141" i="11" s="1"/>
  <c r="CG114" i="12"/>
  <c r="CG112" i="12" s="1"/>
  <c r="DN125" i="15"/>
  <c r="DN123" i="15" s="1"/>
  <c r="DO185" i="18" s="1"/>
  <c r="DO184" i="18" s="1"/>
  <c r="DO39" i="14"/>
  <c r="EX39" i="14" s="1"/>
  <c r="DO313" i="2"/>
  <c r="DF150" i="7"/>
  <c r="EO150" i="7" s="1"/>
  <c r="DO245" i="2"/>
  <c r="DF90" i="7"/>
  <c r="EO90" i="7" s="1"/>
  <c r="DM184" i="18" l="1"/>
  <c r="DM191" i="18" s="1"/>
  <c r="DO191" i="18"/>
  <c r="CH143" i="11"/>
  <c r="CH141" i="11" s="1"/>
  <c r="DQ141" i="11" s="1"/>
  <c r="CH114" i="12"/>
  <c r="DO125" i="15"/>
  <c r="DO123" i="15" s="1"/>
  <c r="DP185" i="18" s="1"/>
  <c r="DN185" i="18"/>
  <c r="DN184" i="18" s="1"/>
  <c r="DP39" i="14"/>
  <c r="DG150" i="7"/>
  <c r="DP313" i="2"/>
  <c r="DG90" i="7"/>
  <c r="DP245" i="2"/>
  <c r="EX185" i="18" l="1"/>
  <c r="EX184" i="18"/>
  <c r="DP184" i="18"/>
  <c r="DP191" i="18" s="1"/>
  <c r="CH112" i="12"/>
  <c r="DQ112" i="12" s="1"/>
  <c r="DQ114" i="12"/>
  <c r="DQ143" i="11"/>
  <c r="EX123" i="15"/>
  <c r="EX125" i="15"/>
  <c r="CI143" i="11"/>
  <c r="DP125" i="15"/>
  <c r="CI114" i="12"/>
  <c r="DN191" i="18"/>
  <c r="EX191" i="18" s="1"/>
  <c r="DR39" i="14"/>
  <c r="DQ39" i="14"/>
  <c r="DQ313" i="2"/>
  <c r="DH150" i="7"/>
  <c r="DQ245" i="2"/>
  <c r="DI90" i="7" s="1"/>
  <c r="DH90" i="7"/>
  <c r="DI150" i="7" l="1"/>
  <c r="EP150" i="7" s="1"/>
  <c r="EZ150" i="7" s="1"/>
  <c r="DR313" i="2"/>
  <c r="EY39" i="14"/>
  <c r="FI39" i="14" s="1"/>
  <c r="EP90" i="7"/>
  <c r="EZ90" i="7" s="1"/>
  <c r="CI112" i="12"/>
  <c r="CI141" i="11"/>
  <c r="DP123" i="15"/>
  <c r="CJ143" i="11"/>
  <c r="CJ141" i="11" s="1"/>
  <c r="CJ114" i="12"/>
  <c r="CJ112" i="12" s="1"/>
  <c r="DQ125" i="15"/>
  <c r="DQ123" i="15" s="1"/>
  <c r="DR185" i="18" s="1"/>
  <c r="DR184" i="18" s="1"/>
  <c r="AC543" i="2"/>
  <c r="AD543" i="2"/>
  <c r="AE543" i="2"/>
  <c r="AF543" i="2"/>
  <c r="AG543" i="2"/>
  <c r="AH543" i="2"/>
  <c r="AI543" i="2"/>
  <c r="AJ543" i="2"/>
  <c r="AK543" i="2"/>
  <c r="AL543" i="2"/>
  <c r="AM543" i="2"/>
  <c r="AN543" i="2"/>
  <c r="AO543" i="2"/>
  <c r="AP543" i="2"/>
  <c r="AQ543" i="2"/>
  <c r="AR543" i="2"/>
  <c r="AS543" i="2"/>
  <c r="AT543" i="2"/>
  <c r="AU543" i="2"/>
  <c r="AV543" i="2"/>
  <c r="AW543" i="2"/>
  <c r="AX543" i="2"/>
  <c r="AY543" i="2"/>
  <c r="AZ543" i="2"/>
  <c r="BA543" i="2"/>
  <c r="BB543" i="2"/>
  <c r="BC543" i="2"/>
  <c r="BD543" i="2"/>
  <c r="BE543" i="2"/>
  <c r="BF543" i="2"/>
  <c r="BG543" i="2"/>
  <c r="BH543" i="2"/>
  <c r="BI543" i="2"/>
  <c r="BJ543" i="2"/>
  <c r="BK543" i="2"/>
  <c r="BL543" i="2"/>
  <c r="BM543" i="2"/>
  <c r="BN543" i="2"/>
  <c r="BO543" i="2"/>
  <c r="BP543" i="2"/>
  <c r="BQ543" i="2"/>
  <c r="BR543" i="2"/>
  <c r="BS543" i="2"/>
  <c r="BT543" i="2"/>
  <c r="BU543" i="2"/>
  <c r="BV543" i="2"/>
  <c r="BW543" i="2"/>
  <c r="BX543" i="2"/>
  <c r="BY543" i="2"/>
  <c r="BZ543" i="2"/>
  <c r="CA543" i="2"/>
  <c r="CB543" i="2"/>
  <c r="CC543" i="2"/>
  <c r="CD543" i="2"/>
  <c r="CE543" i="2"/>
  <c r="CF543" i="2"/>
  <c r="CG543" i="2"/>
  <c r="CH543" i="2"/>
  <c r="CI543" i="2"/>
  <c r="CJ543" i="2"/>
  <c r="CK543" i="2"/>
  <c r="CL543" i="2"/>
  <c r="CM543" i="2"/>
  <c r="CN543" i="2"/>
  <c r="CO543" i="2"/>
  <c r="CP543" i="2"/>
  <c r="CQ543" i="2"/>
  <c r="CR543" i="2"/>
  <c r="CS543" i="2"/>
  <c r="AB543" i="2"/>
  <c r="CS493" i="2"/>
  <c r="BT107" i="13" s="1"/>
  <c r="CT57" i="15" s="1"/>
  <c r="CR493" i="2"/>
  <c r="BS107" i="13" s="1"/>
  <c r="CS57" i="15" s="1"/>
  <c r="CQ493" i="2"/>
  <c r="BR107" i="13" s="1"/>
  <c r="CR57" i="15" s="1"/>
  <c r="CP493" i="2"/>
  <c r="BQ107" i="13" s="1"/>
  <c r="CQ57" i="15" s="1"/>
  <c r="CO493" i="2"/>
  <c r="BP107" i="13" s="1"/>
  <c r="CP57" i="15" s="1"/>
  <c r="CN493" i="2"/>
  <c r="BO107" i="13" s="1"/>
  <c r="CO57" i="15" s="1"/>
  <c r="CM493" i="2"/>
  <c r="BN107" i="13" s="1"/>
  <c r="CN57" i="15" s="1"/>
  <c r="CL493" i="2"/>
  <c r="BM107" i="13" s="1"/>
  <c r="CM57" i="15" s="1"/>
  <c r="CK493" i="2"/>
  <c r="BL107" i="13" s="1"/>
  <c r="CL57" i="15" s="1"/>
  <c r="CJ493" i="2"/>
  <c r="BK107" i="13" s="1"/>
  <c r="CK57" i="15" s="1"/>
  <c r="CI493" i="2"/>
  <c r="BJ107" i="13" s="1"/>
  <c r="CJ57" i="15" s="1"/>
  <c r="CH493" i="2"/>
  <c r="BI107" i="13" s="1"/>
  <c r="CI57" i="15" s="1"/>
  <c r="CG493" i="2"/>
  <c r="BH107" i="13" s="1"/>
  <c r="CH57" i="15" s="1"/>
  <c r="CF493" i="2"/>
  <c r="BG107" i="13" s="1"/>
  <c r="CG57" i="15" s="1"/>
  <c r="CE493" i="2"/>
  <c r="BF107" i="13" s="1"/>
  <c r="CF57" i="15" s="1"/>
  <c r="CD493" i="2"/>
  <c r="BE107" i="13" s="1"/>
  <c r="CE57" i="15" s="1"/>
  <c r="CC493" i="2"/>
  <c r="BD107" i="13" s="1"/>
  <c r="CD57" i="15" s="1"/>
  <c r="CB493" i="2"/>
  <c r="BC107" i="13" s="1"/>
  <c r="CC57" i="15" s="1"/>
  <c r="CA493" i="2"/>
  <c r="BB107" i="13" s="1"/>
  <c r="CB57" i="15" s="1"/>
  <c r="BZ493" i="2"/>
  <c r="BA107" i="13" s="1"/>
  <c r="CA57" i="15" s="1"/>
  <c r="BY493" i="2"/>
  <c r="AZ107" i="13" s="1"/>
  <c r="BZ57" i="15" s="1"/>
  <c r="BX493" i="2"/>
  <c r="AY107" i="13" s="1"/>
  <c r="BY57" i="15" s="1"/>
  <c r="BW493" i="2"/>
  <c r="AX107" i="13" s="1"/>
  <c r="BX57" i="15" s="1"/>
  <c r="BV493" i="2"/>
  <c r="AW107" i="13" s="1"/>
  <c r="BW57" i="15" s="1"/>
  <c r="BU493" i="2"/>
  <c r="AV107" i="13" s="1"/>
  <c r="BT493" i="2"/>
  <c r="AU107" i="13" s="1"/>
  <c r="BS493" i="2"/>
  <c r="AT107" i="13" s="1"/>
  <c r="BR493" i="2"/>
  <c r="AS107" i="13" s="1"/>
  <c r="BQ493" i="2"/>
  <c r="AR107" i="13" s="1"/>
  <c r="BP493" i="2"/>
  <c r="AQ107" i="13" s="1"/>
  <c r="BO493" i="2"/>
  <c r="AP107" i="13" s="1"/>
  <c r="BN493" i="2"/>
  <c r="AO107" i="13" s="1"/>
  <c r="BM493" i="2"/>
  <c r="AN107" i="13" s="1"/>
  <c r="BL493" i="2"/>
  <c r="AM107" i="13" s="1"/>
  <c r="BK493" i="2"/>
  <c r="AL107" i="13" s="1"/>
  <c r="BJ493" i="2"/>
  <c r="AK107" i="13" s="1"/>
  <c r="BI493" i="2"/>
  <c r="AJ107" i="13" s="1"/>
  <c r="BH493" i="2"/>
  <c r="AI107" i="13" s="1"/>
  <c r="BG493" i="2"/>
  <c r="AH107" i="13" s="1"/>
  <c r="BF493" i="2"/>
  <c r="AG107" i="13" s="1"/>
  <c r="BE493" i="2"/>
  <c r="AF107" i="13" s="1"/>
  <c r="BD493" i="2"/>
  <c r="AE107" i="13" s="1"/>
  <c r="BC493" i="2"/>
  <c r="AD107" i="13" s="1"/>
  <c r="BB493" i="2"/>
  <c r="AC107" i="13" s="1"/>
  <c r="BA493" i="2"/>
  <c r="AB107" i="13" s="1"/>
  <c r="AZ493" i="2"/>
  <c r="AA107" i="13" s="1"/>
  <c r="AY493" i="2"/>
  <c r="Z107" i="13" s="1"/>
  <c r="AX493" i="2"/>
  <c r="Y107" i="13" s="1"/>
  <c r="AW493" i="2"/>
  <c r="X107" i="13" s="1"/>
  <c r="AV493" i="2"/>
  <c r="W107" i="13" s="1"/>
  <c r="AU493" i="2"/>
  <c r="V107" i="13" s="1"/>
  <c r="AT493" i="2"/>
  <c r="U107" i="13" s="1"/>
  <c r="AS493" i="2"/>
  <c r="T107" i="13" s="1"/>
  <c r="AR493" i="2"/>
  <c r="S107" i="13" s="1"/>
  <c r="AQ493" i="2"/>
  <c r="R107" i="13" s="1"/>
  <c r="AP493" i="2"/>
  <c r="Q107" i="13" s="1"/>
  <c r="AO493" i="2"/>
  <c r="P107" i="13" s="1"/>
  <c r="CS492" i="2"/>
  <c r="BT106" i="13" s="1"/>
  <c r="CR492" i="2"/>
  <c r="BS106" i="13" s="1"/>
  <c r="CQ492" i="2"/>
  <c r="BR106" i="13" s="1"/>
  <c r="CP492" i="2"/>
  <c r="BQ106" i="13" s="1"/>
  <c r="CO492" i="2"/>
  <c r="BP106" i="13" s="1"/>
  <c r="CN492" i="2"/>
  <c r="BO106" i="13" s="1"/>
  <c r="CM492" i="2"/>
  <c r="BN106" i="13" s="1"/>
  <c r="CL492" i="2"/>
  <c r="BM106" i="13" s="1"/>
  <c r="CK492" i="2"/>
  <c r="BL106" i="13" s="1"/>
  <c r="CJ492" i="2"/>
  <c r="BK106" i="13" s="1"/>
  <c r="CI492" i="2"/>
  <c r="BJ106" i="13" s="1"/>
  <c r="CH492" i="2"/>
  <c r="BI106" i="13" s="1"/>
  <c r="CG492" i="2"/>
  <c r="BH106" i="13" s="1"/>
  <c r="CF492" i="2"/>
  <c r="BG106" i="13" s="1"/>
  <c r="CE492" i="2"/>
  <c r="BF106" i="13" s="1"/>
  <c r="CD492" i="2"/>
  <c r="BE106" i="13" s="1"/>
  <c r="CC492" i="2"/>
  <c r="BD106" i="13" s="1"/>
  <c r="CB492" i="2"/>
  <c r="BC106" i="13" s="1"/>
  <c r="CA492" i="2"/>
  <c r="BB106" i="13" s="1"/>
  <c r="BZ492" i="2"/>
  <c r="BA106" i="13" s="1"/>
  <c r="BY492" i="2"/>
  <c r="AZ106" i="13" s="1"/>
  <c r="BX492" i="2"/>
  <c r="AY106" i="13" s="1"/>
  <c r="BW492" i="2"/>
  <c r="AX106" i="13" s="1"/>
  <c r="BV492" i="2"/>
  <c r="AW106" i="13" s="1"/>
  <c r="BU492" i="2"/>
  <c r="AV106" i="13" s="1"/>
  <c r="BT492" i="2"/>
  <c r="AU106" i="13" s="1"/>
  <c r="BS492" i="2"/>
  <c r="AT106" i="13" s="1"/>
  <c r="BR492" i="2"/>
  <c r="AS106" i="13" s="1"/>
  <c r="BQ492" i="2"/>
  <c r="AR106" i="13" s="1"/>
  <c r="BP492" i="2"/>
  <c r="AQ106" i="13" s="1"/>
  <c r="BO492" i="2"/>
  <c r="AP106" i="13" s="1"/>
  <c r="BN492" i="2"/>
  <c r="AO106" i="13" s="1"/>
  <c r="BM492" i="2"/>
  <c r="AN106" i="13" s="1"/>
  <c r="BL492" i="2"/>
  <c r="AM106" i="13" s="1"/>
  <c r="BK492" i="2"/>
  <c r="AL106" i="13" s="1"/>
  <c r="BJ492" i="2"/>
  <c r="AK106" i="13" s="1"/>
  <c r="BI492" i="2"/>
  <c r="AJ106" i="13" s="1"/>
  <c r="BH492" i="2"/>
  <c r="AI106" i="13" s="1"/>
  <c r="BG492" i="2"/>
  <c r="AH106" i="13" s="1"/>
  <c r="BF492" i="2"/>
  <c r="AG106" i="13" s="1"/>
  <c r="BE492" i="2"/>
  <c r="AF106" i="13" s="1"/>
  <c r="BD492" i="2"/>
  <c r="AE106" i="13" s="1"/>
  <c r="BC492" i="2"/>
  <c r="AD106" i="13" s="1"/>
  <c r="BB492" i="2"/>
  <c r="AC106" i="13" s="1"/>
  <c r="BA492" i="2"/>
  <c r="AB106" i="13" s="1"/>
  <c r="AZ492" i="2"/>
  <c r="AA106" i="13" s="1"/>
  <c r="AY492" i="2"/>
  <c r="Z106" i="13" s="1"/>
  <c r="AX492" i="2"/>
  <c r="Y106" i="13" s="1"/>
  <c r="AW492" i="2"/>
  <c r="X106" i="13" s="1"/>
  <c r="AV492" i="2"/>
  <c r="W106" i="13" s="1"/>
  <c r="AU492" i="2"/>
  <c r="V106" i="13" s="1"/>
  <c r="AT492" i="2"/>
  <c r="U106" i="13" s="1"/>
  <c r="AS492" i="2"/>
  <c r="T106" i="13" s="1"/>
  <c r="AR492" i="2"/>
  <c r="S106" i="13" s="1"/>
  <c r="AQ492" i="2"/>
  <c r="R106" i="13" s="1"/>
  <c r="AP492" i="2"/>
  <c r="Q106" i="13" s="1"/>
  <c r="AO492" i="2"/>
  <c r="P106" i="13" s="1"/>
  <c r="AN492" i="2"/>
  <c r="O106" i="13" s="1"/>
  <c r="AM492" i="2"/>
  <c r="N106" i="13" s="1"/>
  <c r="AL492" i="2"/>
  <c r="M106" i="13" s="1"/>
  <c r="AK492" i="2"/>
  <c r="L106" i="13" s="1"/>
  <c r="AJ492" i="2"/>
  <c r="K106" i="13" s="1"/>
  <c r="AI492" i="2"/>
  <c r="J106" i="13" s="1"/>
  <c r="AH492" i="2"/>
  <c r="I106" i="13" s="1"/>
  <c r="AG492" i="2"/>
  <c r="H106" i="13" s="1"/>
  <c r="AF492" i="2"/>
  <c r="G106" i="13" s="1"/>
  <c r="AE492" i="2"/>
  <c r="F106" i="13" s="1"/>
  <c r="AD492" i="2"/>
  <c r="E106" i="13" s="1"/>
  <c r="AC492" i="2"/>
  <c r="D106" i="13" s="1"/>
  <c r="CS491" i="2"/>
  <c r="BT105" i="13" s="1"/>
  <c r="CR491" i="2"/>
  <c r="BS105" i="13" s="1"/>
  <c r="CQ491" i="2"/>
  <c r="BR105" i="13" s="1"/>
  <c r="CP491" i="2"/>
  <c r="BQ105" i="13" s="1"/>
  <c r="CO491" i="2"/>
  <c r="BP105" i="13" s="1"/>
  <c r="CN491" i="2"/>
  <c r="BO105" i="13" s="1"/>
  <c r="CM491" i="2"/>
  <c r="BN105" i="13" s="1"/>
  <c r="CL491" i="2"/>
  <c r="BM105" i="13" s="1"/>
  <c r="CK491" i="2"/>
  <c r="BL105" i="13" s="1"/>
  <c r="CJ491" i="2"/>
  <c r="BK105" i="13" s="1"/>
  <c r="CI491" i="2"/>
  <c r="BJ105" i="13" s="1"/>
  <c r="CH491" i="2"/>
  <c r="BI105" i="13" s="1"/>
  <c r="CG491" i="2"/>
  <c r="BH105" i="13" s="1"/>
  <c r="CF491" i="2"/>
  <c r="BG105" i="13" s="1"/>
  <c r="CE491" i="2"/>
  <c r="BF105" i="13" s="1"/>
  <c r="CD491" i="2"/>
  <c r="BE105" i="13" s="1"/>
  <c r="CC491" i="2"/>
  <c r="BD105" i="13" s="1"/>
  <c r="CB491" i="2"/>
  <c r="BC105" i="13" s="1"/>
  <c r="CA491" i="2"/>
  <c r="BB105" i="13" s="1"/>
  <c r="BZ491" i="2"/>
  <c r="BA105" i="13" s="1"/>
  <c r="BY491" i="2"/>
  <c r="AZ105" i="13" s="1"/>
  <c r="BX491" i="2"/>
  <c r="AY105" i="13" s="1"/>
  <c r="BW491" i="2"/>
  <c r="AX105" i="13" s="1"/>
  <c r="BV491" i="2"/>
  <c r="AW105" i="13" s="1"/>
  <c r="BU491" i="2"/>
  <c r="AV105" i="13" s="1"/>
  <c r="BT491" i="2"/>
  <c r="AU105" i="13" s="1"/>
  <c r="BS491" i="2"/>
  <c r="AT105" i="13" s="1"/>
  <c r="BR491" i="2"/>
  <c r="AS105" i="13" s="1"/>
  <c r="BQ491" i="2"/>
  <c r="AR105" i="13" s="1"/>
  <c r="BP491" i="2"/>
  <c r="AQ105" i="13" s="1"/>
  <c r="BO491" i="2"/>
  <c r="AP105" i="13" s="1"/>
  <c r="BN491" i="2"/>
  <c r="AO105" i="13" s="1"/>
  <c r="BM491" i="2"/>
  <c r="AN105" i="13" s="1"/>
  <c r="BL491" i="2"/>
  <c r="AM105" i="13" s="1"/>
  <c r="BK491" i="2"/>
  <c r="AL105" i="13" s="1"/>
  <c r="BJ491" i="2"/>
  <c r="AK105" i="13" s="1"/>
  <c r="BI491" i="2"/>
  <c r="AJ105" i="13" s="1"/>
  <c r="BH491" i="2"/>
  <c r="AI105" i="13" s="1"/>
  <c r="BG491" i="2"/>
  <c r="AH105" i="13" s="1"/>
  <c r="BF491" i="2"/>
  <c r="AG105" i="13" s="1"/>
  <c r="BE491" i="2"/>
  <c r="AF105" i="13" s="1"/>
  <c r="BD491" i="2"/>
  <c r="AE105" i="13" s="1"/>
  <c r="BC491" i="2"/>
  <c r="AD105" i="13" s="1"/>
  <c r="BB491" i="2"/>
  <c r="AC105" i="13" s="1"/>
  <c r="BA491" i="2"/>
  <c r="AB105" i="13" s="1"/>
  <c r="AZ491" i="2"/>
  <c r="AA105" i="13" s="1"/>
  <c r="AY491" i="2"/>
  <c r="Z105" i="13" s="1"/>
  <c r="AX491" i="2"/>
  <c r="Y105" i="13" s="1"/>
  <c r="AW491" i="2"/>
  <c r="X105" i="13" s="1"/>
  <c r="AV491" i="2"/>
  <c r="W105" i="13" s="1"/>
  <c r="AU491" i="2"/>
  <c r="V105" i="13" s="1"/>
  <c r="AT491" i="2"/>
  <c r="U105" i="13" s="1"/>
  <c r="AS491" i="2"/>
  <c r="T105" i="13" s="1"/>
  <c r="AR491" i="2"/>
  <c r="S105" i="13" s="1"/>
  <c r="AQ491" i="2"/>
  <c r="R105" i="13" s="1"/>
  <c r="AP491" i="2"/>
  <c r="Q105" i="13" s="1"/>
  <c r="AO491" i="2"/>
  <c r="P105" i="13" s="1"/>
  <c r="AN491" i="2"/>
  <c r="O105" i="13" s="1"/>
  <c r="AM491" i="2"/>
  <c r="N105" i="13" s="1"/>
  <c r="AL491" i="2"/>
  <c r="M105" i="13" s="1"/>
  <c r="AK491" i="2"/>
  <c r="L105" i="13" s="1"/>
  <c r="AJ491" i="2"/>
  <c r="K105" i="13" s="1"/>
  <c r="AI491" i="2"/>
  <c r="J105" i="13" s="1"/>
  <c r="AH491" i="2"/>
  <c r="I105" i="13" s="1"/>
  <c r="AG491" i="2"/>
  <c r="H105" i="13" s="1"/>
  <c r="AF491" i="2"/>
  <c r="G105" i="13" s="1"/>
  <c r="AE491" i="2"/>
  <c r="F105" i="13" s="1"/>
  <c r="AD491" i="2"/>
  <c r="E105" i="13" s="1"/>
  <c r="AC491" i="2"/>
  <c r="D105" i="13" s="1"/>
  <c r="CS490" i="2"/>
  <c r="BT104" i="13" s="1"/>
  <c r="CT56" i="15" s="1"/>
  <c r="CR490" i="2"/>
  <c r="BS104" i="13" s="1"/>
  <c r="CS56" i="15" s="1"/>
  <c r="CQ490" i="2"/>
  <c r="BR104" i="13" s="1"/>
  <c r="CR56" i="15" s="1"/>
  <c r="CP490" i="2"/>
  <c r="BQ104" i="13" s="1"/>
  <c r="CQ56" i="15" s="1"/>
  <c r="CO490" i="2"/>
  <c r="BP104" i="13" s="1"/>
  <c r="CP56" i="15" s="1"/>
  <c r="CN490" i="2"/>
  <c r="BO104" i="13" s="1"/>
  <c r="CO56" i="15" s="1"/>
  <c r="CM490" i="2"/>
  <c r="BN104" i="13" s="1"/>
  <c r="CN56" i="15" s="1"/>
  <c r="CL490" i="2"/>
  <c r="BM104" i="13" s="1"/>
  <c r="CM56" i="15" s="1"/>
  <c r="CK490" i="2"/>
  <c r="BL104" i="13" s="1"/>
  <c r="CL56" i="15" s="1"/>
  <c r="CJ490" i="2"/>
  <c r="BK104" i="13" s="1"/>
  <c r="CK56" i="15" s="1"/>
  <c r="CI490" i="2"/>
  <c r="BJ104" i="13" s="1"/>
  <c r="CJ56" i="15" s="1"/>
  <c r="CH490" i="2"/>
  <c r="BI104" i="13" s="1"/>
  <c r="CI56" i="15" s="1"/>
  <c r="CG490" i="2"/>
  <c r="BH104" i="13" s="1"/>
  <c r="CH56" i="15" s="1"/>
  <c r="CF490" i="2"/>
  <c r="BG104" i="13" s="1"/>
  <c r="CG56" i="15" s="1"/>
  <c r="CE490" i="2"/>
  <c r="BF104" i="13" s="1"/>
  <c r="CF56" i="15" s="1"/>
  <c r="CD490" i="2"/>
  <c r="BE104" i="13" s="1"/>
  <c r="CE56" i="15" s="1"/>
  <c r="CC490" i="2"/>
  <c r="BD104" i="13" s="1"/>
  <c r="CD56" i="15" s="1"/>
  <c r="CB490" i="2"/>
  <c r="BC104" i="13" s="1"/>
  <c r="CC56" i="15" s="1"/>
  <c r="CA490" i="2"/>
  <c r="BB104" i="13" s="1"/>
  <c r="CB56" i="15" s="1"/>
  <c r="BZ490" i="2"/>
  <c r="BA104" i="13" s="1"/>
  <c r="CA56" i="15" s="1"/>
  <c r="BY490" i="2"/>
  <c r="AZ104" i="13" s="1"/>
  <c r="BZ56" i="15" s="1"/>
  <c r="BX490" i="2"/>
  <c r="AY104" i="13" s="1"/>
  <c r="BY56" i="15" s="1"/>
  <c r="BW490" i="2"/>
  <c r="AX104" i="13" s="1"/>
  <c r="BX56" i="15" s="1"/>
  <c r="BV490" i="2"/>
  <c r="AW104" i="13" s="1"/>
  <c r="BW56" i="15" s="1"/>
  <c r="BU490" i="2"/>
  <c r="AV104" i="13" s="1"/>
  <c r="BT490" i="2"/>
  <c r="AU104" i="13" s="1"/>
  <c r="BS490" i="2"/>
  <c r="AT104" i="13" s="1"/>
  <c r="BR490" i="2"/>
  <c r="AS104" i="13" s="1"/>
  <c r="BQ490" i="2"/>
  <c r="AR104" i="13" s="1"/>
  <c r="BP490" i="2"/>
  <c r="AQ104" i="13" s="1"/>
  <c r="BO490" i="2"/>
  <c r="AP104" i="13" s="1"/>
  <c r="BN490" i="2"/>
  <c r="AO104" i="13" s="1"/>
  <c r="BM490" i="2"/>
  <c r="AN104" i="13" s="1"/>
  <c r="BL490" i="2"/>
  <c r="AM104" i="13" s="1"/>
  <c r="BK490" i="2"/>
  <c r="AL104" i="13" s="1"/>
  <c r="BJ490" i="2"/>
  <c r="AK104" i="13" s="1"/>
  <c r="BI490" i="2"/>
  <c r="AJ104" i="13" s="1"/>
  <c r="BH490" i="2"/>
  <c r="AI104" i="13" s="1"/>
  <c r="BG490" i="2"/>
  <c r="AH104" i="13" s="1"/>
  <c r="BF490" i="2"/>
  <c r="AG104" i="13" s="1"/>
  <c r="BE490" i="2"/>
  <c r="AF104" i="13" s="1"/>
  <c r="BD490" i="2"/>
  <c r="AE104" i="13" s="1"/>
  <c r="BC490" i="2"/>
  <c r="AD104" i="13" s="1"/>
  <c r="BB490" i="2"/>
  <c r="AC104" i="13" s="1"/>
  <c r="BA490" i="2"/>
  <c r="AB104" i="13" s="1"/>
  <c r="AZ490" i="2"/>
  <c r="AA104" i="13" s="1"/>
  <c r="AY490" i="2"/>
  <c r="Z104" i="13" s="1"/>
  <c r="AX490" i="2"/>
  <c r="Y104" i="13" s="1"/>
  <c r="AW490" i="2"/>
  <c r="X104" i="13" s="1"/>
  <c r="AV490" i="2"/>
  <c r="W104" i="13" s="1"/>
  <c r="AU490" i="2"/>
  <c r="V104" i="13" s="1"/>
  <c r="AT490" i="2"/>
  <c r="U104" i="13" s="1"/>
  <c r="AS490" i="2"/>
  <c r="T104" i="13" s="1"/>
  <c r="AR490" i="2"/>
  <c r="S104" i="13" s="1"/>
  <c r="AQ490" i="2"/>
  <c r="R104" i="13" s="1"/>
  <c r="AP490" i="2"/>
  <c r="Q104" i="13" s="1"/>
  <c r="AO490" i="2"/>
  <c r="P104" i="13" s="1"/>
  <c r="AN490" i="2"/>
  <c r="O104" i="13" s="1"/>
  <c r="AM490" i="2"/>
  <c r="N104" i="13" s="1"/>
  <c r="AL490" i="2"/>
  <c r="M104" i="13" s="1"/>
  <c r="AK490" i="2"/>
  <c r="L104" i="13" s="1"/>
  <c r="AJ490" i="2"/>
  <c r="K104" i="13" s="1"/>
  <c r="AI490" i="2"/>
  <c r="J104" i="13" s="1"/>
  <c r="AH490" i="2"/>
  <c r="I104" i="13" s="1"/>
  <c r="AI54" i="15" s="1"/>
  <c r="AG490" i="2"/>
  <c r="H104" i="13" s="1"/>
  <c r="AH54" i="15" s="1"/>
  <c r="AF490" i="2"/>
  <c r="G104" i="13" s="1"/>
  <c r="AG54" i="15" s="1"/>
  <c r="AE490" i="2"/>
  <c r="F104" i="13" s="1"/>
  <c r="AF54" i="15" s="1"/>
  <c r="AD490" i="2"/>
  <c r="E104" i="13" s="1"/>
  <c r="AE54" i="15" s="1"/>
  <c r="AC490" i="2"/>
  <c r="D104" i="13" s="1"/>
  <c r="AD54" i="15" s="1"/>
  <c r="AB492" i="2"/>
  <c r="C106" i="13" s="1"/>
  <c r="AB491" i="2"/>
  <c r="C105" i="13" s="1"/>
  <c r="AB490" i="2"/>
  <c r="C104" i="13" s="1"/>
  <c r="AC54" i="15" s="1"/>
  <c r="CS510" i="2"/>
  <c r="CR510" i="2"/>
  <c r="CQ510" i="2"/>
  <c r="CP510" i="2"/>
  <c r="CO510" i="2"/>
  <c r="CN510" i="2"/>
  <c r="CM510" i="2"/>
  <c r="CL510" i="2"/>
  <c r="CK510" i="2"/>
  <c r="CJ510" i="2"/>
  <c r="CI510" i="2"/>
  <c r="CH510" i="2"/>
  <c r="CG510" i="2"/>
  <c r="CF510" i="2"/>
  <c r="CE510" i="2"/>
  <c r="CD510" i="2"/>
  <c r="CC510" i="2"/>
  <c r="CB510" i="2"/>
  <c r="CA510" i="2"/>
  <c r="BZ510" i="2"/>
  <c r="BY510" i="2"/>
  <c r="BX510" i="2"/>
  <c r="BW510" i="2"/>
  <c r="BV510" i="2"/>
  <c r="BU510" i="2"/>
  <c r="BT510" i="2"/>
  <c r="BS510" i="2"/>
  <c r="BR510" i="2"/>
  <c r="BQ510" i="2"/>
  <c r="BP510" i="2"/>
  <c r="BO510" i="2"/>
  <c r="BN510" i="2"/>
  <c r="BM510" i="2"/>
  <c r="BL510" i="2"/>
  <c r="BK510" i="2"/>
  <c r="BJ510" i="2"/>
  <c r="BI510" i="2"/>
  <c r="BH510" i="2"/>
  <c r="BG510" i="2"/>
  <c r="BF510" i="2"/>
  <c r="BE510" i="2"/>
  <c r="BD510" i="2"/>
  <c r="BC510" i="2"/>
  <c r="BB510" i="2"/>
  <c r="BA510" i="2"/>
  <c r="AZ510" i="2"/>
  <c r="AY510" i="2"/>
  <c r="AX510" i="2"/>
  <c r="AW510" i="2"/>
  <c r="AV510" i="2"/>
  <c r="AU510" i="2"/>
  <c r="AT510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C505" i="2"/>
  <c r="AD505" i="2"/>
  <c r="AE505" i="2"/>
  <c r="AF505" i="2"/>
  <c r="AG505" i="2"/>
  <c r="AH505" i="2"/>
  <c r="AI505" i="2"/>
  <c r="AJ505" i="2"/>
  <c r="AK505" i="2"/>
  <c r="AL505" i="2"/>
  <c r="AM505" i="2"/>
  <c r="AN505" i="2"/>
  <c r="AO505" i="2"/>
  <c r="AP505" i="2"/>
  <c r="AQ505" i="2"/>
  <c r="AR505" i="2"/>
  <c r="AS505" i="2"/>
  <c r="AT505" i="2"/>
  <c r="AU505" i="2"/>
  <c r="AV505" i="2"/>
  <c r="AW505" i="2"/>
  <c r="AX505" i="2"/>
  <c r="AY505" i="2"/>
  <c r="AZ505" i="2"/>
  <c r="BA505" i="2"/>
  <c r="BB505" i="2"/>
  <c r="BC505" i="2"/>
  <c r="BD505" i="2"/>
  <c r="BE505" i="2"/>
  <c r="BF505" i="2"/>
  <c r="BG505" i="2"/>
  <c r="BH505" i="2"/>
  <c r="BI505" i="2"/>
  <c r="BJ505" i="2"/>
  <c r="BK505" i="2"/>
  <c r="BL505" i="2"/>
  <c r="BM505" i="2"/>
  <c r="BN505" i="2"/>
  <c r="BO505" i="2"/>
  <c r="BP505" i="2"/>
  <c r="BQ505" i="2"/>
  <c r="BR505" i="2"/>
  <c r="BS505" i="2"/>
  <c r="BT505" i="2"/>
  <c r="BU505" i="2"/>
  <c r="BV505" i="2"/>
  <c r="BW505" i="2"/>
  <c r="BX505" i="2"/>
  <c r="BY505" i="2"/>
  <c r="BZ505" i="2"/>
  <c r="CA505" i="2"/>
  <c r="CB505" i="2"/>
  <c r="CC505" i="2"/>
  <c r="CD505" i="2"/>
  <c r="CE505" i="2"/>
  <c r="CF505" i="2"/>
  <c r="CG505" i="2"/>
  <c r="CH505" i="2"/>
  <c r="CI505" i="2"/>
  <c r="CJ505" i="2"/>
  <c r="CK505" i="2"/>
  <c r="CL505" i="2"/>
  <c r="CM505" i="2"/>
  <c r="CN505" i="2"/>
  <c r="CO505" i="2"/>
  <c r="CP505" i="2"/>
  <c r="CQ505" i="2"/>
  <c r="CR505" i="2"/>
  <c r="CS505" i="2"/>
  <c r="AB505" i="2"/>
  <c r="AO482" i="2"/>
  <c r="AP482" i="2"/>
  <c r="AQ482" i="2"/>
  <c r="AR482" i="2"/>
  <c r="AS482" i="2"/>
  <c r="AT482" i="2"/>
  <c r="AU482" i="2"/>
  <c r="AV482" i="2"/>
  <c r="AW482" i="2"/>
  <c r="AX482" i="2"/>
  <c r="AY482" i="2"/>
  <c r="AZ482" i="2"/>
  <c r="BA482" i="2"/>
  <c r="BB482" i="2"/>
  <c r="BC482" i="2"/>
  <c r="BD482" i="2"/>
  <c r="BE482" i="2"/>
  <c r="BF482" i="2"/>
  <c r="BG482" i="2"/>
  <c r="BH482" i="2"/>
  <c r="BI482" i="2"/>
  <c r="BJ482" i="2"/>
  <c r="BK482" i="2"/>
  <c r="BL482" i="2"/>
  <c r="BM482" i="2"/>
  <c r="BN482" i="2"/>
  <c r="BO482" i="2"/>
  <c r="BP482" i="2"/>
  <c r="BQ482" i="2"/>
  <c r="BR482" i="2"/>
  <c r="BS482" i="2"/>
  <c r="BT482" i="2"/>
  <c r="BU482" i="2"/>
  <c r="BV482" i="2"/>
  <c r="BW482" i="2"/>
  <c r="BX482" i="2"/>
  <c r="BY482" i="2"/>
  <c r="BZ482" i="2"/>
  <c r="CA482" i="2"/>
  <c r="CB482" i="2"/>
  <c r="CC482" i="2"/>
  <c r="CD482" i="2"/>
  <c r="CE482" i="2"/>
  <c r="CF482" i="2"/>
  <c r="CG482" i="2"/>
  <c r="CH482" i="2"/>
  <c r="CI482" i="2"/>
  <c r="CJ482" i="2"/>
  <c r="CK482" i="2"/>
  <c r="CL482" i="2"/>
  <c r="CM482" i="2"/>
  <c r="CN482" i="2"/>
  <c r="CO482" i="2"/>
  <c r="CP482" i="2"/>
  <c r="CQ482" i="2"/>
  <c r="CR482" i="2"/>
  <c r="CS482" i="2"/>
  <c r="AN482" i="2"/>
  <c r="CT479" i="2"/>
  <c r="CT483" i="2" s="1"/>
  <c r="CS479" i="2"/>
  <c r="CR479" i="2"/>
  <c r="CQ479" i="2"/>
  <c r="CP479" i="2"/>
  <c r="CO479" i="2"/>
  <c r="CN479" i="2"/>
  <c r="CM479" i="2"/>
  <c r="CL479" i="2"/>
  <c r="CK479" i="2"/>
  <c r="CJ479" i="2"/>
  <c r="CI479" i="2"/>
  <c r="CH479" i="2"/>
  <c r="CG479" i="2"/>
  <c r="CF479" i="2"/>
  <c r="CE479" i="2"/>
  <c r="CD479" i="2"/>
  <c r="CC479" i="2"/>
  <c r="CB479" i="2"/>
  <c r="CA479" i="2"/>
  <c r="BZ479" i="2"/>
  <c r="BY479" i="2"/>
  <c r="BX479" i="2"/>
  <c r="BW479" i="2"/>
  <c r="BV479" i="2"/>
  <c r="BU479" i="2"/>
  <c r="BT479" i="2"/>
  <c r="BS479" i="2"/>
  <c r="BR479" i="2"/>
  <c r="BQ479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CS475" i="2"/>
  <c r="CS526" i="2" s="1"/>
  <c r="CR475" i="2"/>
  <c r="CR526" i="2" s="1"/>
  <c r="CQ475" i="2"/>
  <c r="CQ526" i="2" s="1"/>
  <c r="CP475" i="2"/>
  <c r="CP526" i="2" s="1"/>
  <c r="CO475" i="2"/>
  <c r="CO526" i="2" s="1"/>
  <c r="CN475" i="2"/>
  <c r="CN526" i="2" s="1"/>
  <c r="CM475" i="2"/>
  <c r="CM526" i="2" s="1"/>
  <c r="CL475" i="2"/>
  <c r="CL526" i="2" s="1"/>
  <c r="CK475" i="2"/>
  <c r="CK526" i="2" s="1"/>
  <c r="CJ475" i="2"/>
  <c r="CJ526" i="2" s="1"/>
  <c r="CI475" i="2"/>
  <c r="CI526" i="2" s="1"/>
  <c r="CH475" i="2"/>
  <c r="CH526" i="2" s="1"/>
  <c r="CG475" i="2"/>
  <c r="CG526" i="2" s="1"/>
  <c r="CF475" i="2"/>
  <c r="CF526" i="2" s="1"/>
  <c r="CE475" i="2"/>
  <c r="CE526" i="2" s="1"/>
  <c r="CD475" i="2"/>
  <c r="CD526" i="2" s="1"/>
  <c r="CC475" i="2"/>
  <c r="CC526" i="2" s="1"/>
  <c r="CB475" i="2"/>
  <c r="CB526" i="2" s="1"/>
  <c r="CA475" i="2"/>
  <c r="CA526" i="2" s="1"/>
  <c r="BZ475" i="2"/>
  <c r="BZ526" i="2" s="1"/>
  <c r="BY475" i="2"/>
  <c r="BY526" i="2" s="1"/>
  <c r="BX475" i="2"/>
  <c r="BX526" i="2" s="1"/>
  <c r="BW475" i="2"/>
  <c r="BW526" i="2" s="1"/>
  <c r="BV475" i="2"/>
  <c r="BV526" i="2" s="1"/>
  <c r="BU475" i="2"/>
  <c r="BU526" i="2" s="1"/>
  <c r="BT475" i="2"/>
  <c r="BT526" i="2" s="1"/>
  <c r="BS475" i="2"/>
  <c r="BS526" i="2" s="1"/>
  <c r="BR475" i="2"/>
  <c r="BR526" i="2" s="1"/>
  <c r="BQ475" i="2"/>
  <c r="BQ526" i="2" s="1"/>
  <c r="BP475" i="2"/>
  <c r="BP526" i="2" s="1"/>
  <c r="BO475" i="2"/>
  <c r="BO526" i="2" s="1"/>
  <c r="BN475" i="2"/>
  <c r="BN526" i="2" s="1"/>
  <c r="BM475" i="2"/>
  <c r="BM526" i="2" s="1"/>
  <c r="BL475" i="2"/>
  <c r="BL526" i="2" s="1"/>
  <c r="BK475" i="2"/>
  <c r="BK526" i="2" s="1"/>
  <c r="BJ475" i="2"/>
  <c r="BJ526" i="2" s="1"/>
  <c r="BI475" i="2"/>
  <c r="BI526" i="2" s="1"/>
  <c r="BH475" i="2"/>
  <c r="BH526" i="2" s="1"/>
  <c r="BG475" i="2"/>
  <c r="BG526" i="2" s="1"/>
  <c r="BF475" i="2"/>
  <c r="BF526" i="2" s="1"/>
  <c r="BE475" i="2"/>
  <c r="BE526" i="2" s="1"/>
  <c r="BD475" i="2"/>
  <c r="BD526" i="2" s="1"/>
  <c r="BC475" i="2"/>
  <c r="BC526" i="2" s="1"/>
  <c r="BB475" i="2"/>
  <c r="BB526" i="2" s="1"/>
  <c r="BA475" i="2"/>
  <c r="BA526" i="2" s="1"/>
  <c r="AZ475" i="2"/>
  <c r="AZ526" i="2" s="1"/>
  <c r="AY475" i="2"/>
  <c r="AY526" i="2" s="1"/>
  <c r="AX475" i="2"/>
  <c r="AX526" i="2" s="1"/>
  <c r="AW475" i="2"/>
  <c r="AW526" i="2" s="1"/>
  <c r="AV475" i="2"/>
  <c r="AV526" i="2" s="1"/>
  <c r="AU475" i="2"/>
  <c r="AU526" i="2" s="1"/>
  <c r="AT475" i="2"/>
  <c r="AT526" i="2" s="1"/>
  <c r="AS475" i="2"/>
  <c r="AS526" i="2" s="1"/>
  <c r="AR475" i="2"/>
  <c r="AR526" i="2" s="1"/>
  <c r="AQ475" i="2"/>
  <c r="AQ526" i="2" s="1"/>
  <c r="AP475" i="2"/>
  <c r="AP526" i="2" s="1"/>
  <c r="AO475" i="2"/>
  <c r="AO526" i="2" s="1"/>
  <c r="AN475" i="2"/>
  <c r="AN526" i="2" s="1"/>
  <c r="AM475" i="2"/>
  <c r="AM526" i="2" s="1"/>
  <c r="AL475" i="2"/>
  <c r="AL526" i="2" s="1"/>
  <c r="AK475" i="2"/>
  <c r="AK526" i="2" s="1"/>
  <c r="AJ475" i="2"/>
  <c r="AJ526" i="2" s="1"/>
  <c r="AI475" i="2"/>
  <c r="AI526" i="2" s="1"/>
  <c r="AH475" i="2"/>
  <c r="AG475" i="2"/>
  <c r="AF475" i="2"/>
  <c r="AE475" i="2"/>
  <c r="AD475" i="2"/>
  <c r="AC475" i="2"/>
  <c r="CS474" i="2"/>
  <c r="CR474" i="2"/>
  <c r="CQ474" i="2"/>
  <c r="CP474" i="2"/>
  <c r="CO474" i="2"/>
  <c r="CN474" i="2"/>
  <c r="CM474" i="2"/>
  <c r="CL474" i="2"/>
  <c r="CK474" i="2"/>
  <c r="CJ474" i="2"/>
  <c r="CI474" i="2"/>
  <c r="CH474" i="2"/>
  <c r="CG474" i="2"/>
  <c r="CF474" i="2"/>
  <c r="CE474" i="2"/>
  <c r="CD474" i="2"/>
  <c r="CC474" i="2"/>
  <c r="CB474" i="2"/>
  <c r="CA474" i="2"/>
  <c r="BZ474" i="2"/>
  <c r="BY474" i="2"/>
  <c r="BX474" i="2"/>
  <c r="BW474" i="2"/>
  <c r="BV474" i="2"/>
  <c r="BU474" i="2"/>
  <c r="BT474" i="2"/>
  <c r="BS474" i="2"/>
  <c r="BR474" i="2"/>
  <c r="BQ474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CS473" i="2"/>
  <c r="CS524" i="2" s="1"/>
  <c r="CR473" i="2"/>
  <c r="CR524" i="2" s="1"/>
  <c r="CQ473" i="2"/>
  <c r="CQ524" i="2" s="1"/>
  <c r="CP473" i="2"/>
  <c r="CP524" i="2" s="1"/>
  <c r="CO473" i="2"/>
  <c r="CO524" i="2" s="1"/>
  <c r="CN473" i="2"/>
  <c r="CN524" i="2" s="1"/>
  <c r="CM473" i="2"/>
  <c r="CM524" i="2" s="1"/>
  <c r="CL473" i="2"/>
  <c r="CL524" i="2" s="1"/>
  <c r="CK473" i="2"/>
  <c r="CK524" i="2" s="1"/>
  <c r="CJ473" i="2"/>
  <c r="CJ524" i="2" s="1"/>
  <c r="CI473" i="2"/>
  <c r="CI524" i="2" s="1"/>
  <c r="CH473" i="2"/>
  <c r="CH524" i="2" s="1"/>
  <c r="CG473" i="2"/>
  <c r="CG524" i="2" s="1"/>
  <c r="CF473" i="2"/>
  <c r="CF524" i="2" s="1"/>
  <c r="CE473" i="2"/>
  <c r="CE524" i="2" s="1"/>
  <c r="CD473" i="2"/>
  <c r="CD524" i="2" s="1"/>
  <c r="CC473" i="2"/>
  <c r="CC524" i="2" s="1"/>
  <c r="CB473" i="2"/>
  <c r="CB524" i="2" s="1"/>
  <c r="CA473" i="2"/>
  <c r="CA524" i="2" s="1"/>
  <c r="BZ473" i="2"/>
  <c r="BZ524" i="2" s="1"/>
  <c r="BY473" i="2"/>
  <c r="BY524" i="2" s="1"/>
  <c r="BX473" i="2"/>
  <c r="BX524" i="2" s="1"/>
  <c r="BW473" i="2"/>
  <c r="BW524" i="2" s="1"/>
  <c r="BV473" i="2"/>
  <c r="BV524" i="2" s="1"/>
  <c r="BU473" i="2"/>
  <c r="BU524" i="2" s="1"/>
  <c r="BT473" i="2"/>
  <c r="BT524" i="2" s="1"/>
  <c r="BS473" i="2"/>
  <c r="BS524" i="2" s="1"/>
  <c r="BR473" i="2"/>
  <c r="BR524" i="2" s="1"/>
  <c r="BQ473" i="2"/>
  <c r="BQ524" i="2" s="1"/>
  <c r="BP473" i="2"/>
  <c r="BP524" i="2" s="1"/>
  <c r="BO473" i="2"/>
  <c r="BO524" i="2" s="1"/>
  <c r="BN473" i="2"/>
  <c r="BN524" i="2" s="1"/>
  <c r="BM473" i="2"/>
  <c r="BM524" i="2" s="1"/>
  <c r="BL473" i="2"/>
  <c r="BL524" i="2" s="1"/>
  <c r="BK473" i="2"/>
  <c r="BK524" i="2" s="1"/>
  <c r="BJ473" i="2"/>
  <c r="BJ524" i="2" s="1"/>
  <c r="BI473" i="2"/>
  <c r="BI524" i="2" s="1"/>
  <c r="BH473" i="2"/>
  <c r="BH524" i="2" s="1"/>
  <c r="BG473" i="2"/>
  <c r="BG524" i="2" s="1"/>
  <c r="BF473" i="2"/>
  <c r="BF524" i="2" s="1"/>
  <c r="BE473" i="2"/>
  <c r="BE524" i="2" s="1"/>
  <c r="BD473" i="2"/>
  <c r="BD524" i="2" s="1"/>
  <c r="BC473" i="2"/>
  <c r="BC524" i="2" s="1"/>
  <c r="BB473" i="2"/>
  <c r="BB524" i="2" s="1"/>
  <c r="BA473" i="2"/>
  <c r="BA524" i="2" s="1"/>
  <c r="AZ473" i="2"/>
  <c r="AZ524" i="2" s="1"/>
  <c r="AY473" i="2"/>
  <c r="AY524" i="2" s="1"/>
  <c r="AX473" i="2"/>
  <c r="AX524" i="2" s="1"/>
  <c r="AW473" i="2"/>
  <c r="AW524" i="2" s="1"/>
  <c r="AV473" i="2"/>
  <c r="AV524" i="2" s="1"/>
  <c r="AU473" i="2"/>
  <c r="AU524" i="2" s="1"/>
  <c r="AT473" i="2"/>
  <c r="AT524" i="2" s="1"/>
  <c r="AS473" i="2"/>
  <c r="AS524" i="2" s="1"/>
  <c r="AR473" i="2"/>
  <c r="AR524" i="2" s="1"/>
  <c r="AQ473" i="2"/>
  <c r="AQ524" i="2" s="1"/>
  <c r="AP473" i="2"/>
  <c r="AP524" i="2" s="1"/>
  <c r="AO473" i="2"/>
  <c r="AO524" i="2" s="1"/>
  <c r="AN473" i="2"/>
  <c r="AN524" i="2" s="1"/>
  <c r="AM473" i="2"/>
  <c r="AM524" i="2" s="1"/>
  <c r="AL473" i="2"/>
  <c r="AL524" i="2" s="1"/>
  <c r="AK473" i="2"/>
  <c r="AK524" i="2" s="1"/>
  <c r="AJ473" i="2"/>
  <c r="AJ524" i="2" s="1"/>
  <c r="AI473" i="2"/>
  <c r="AI524" i="2" s="1"/>
  <c r="AH473" i="2"/>
  <c r="AG473" i="2"/>
  <c r="AF473" i="2"/>
  <c r="AE473" i="2"/>
  <c r="AD473" i="2"/>
  <c r="AC473" i="2"/>
  <c r="AB475" i="2"/>
  <c r="AB474" i="2"/>
  <c r="AB473" i="2"/>
  <c r="CS470" i="2"/>
  <c r="CS521" i="2" s="1"/>
  <c r="CR470" i="2"/>
  <c r="CR521" i="2" s="1"/>
  <c r="CQ470" i="2"/>
  <c r="CQ521" i="2" s="1"/>
  <c r="CP470" i="2"/>
  <c r="CP521" i="2" s="1"/>
  <c r="CO470" i="2"/>
  <c r="CO521" i="2" s="1"/>
  <c r="CN470" i="2"/>
  <c r="CN521" i="2" s="1"/>
  <c r="CM470" i="2"/>
  <c r="CM521" i="2" s="1"/>
  <c r="CL470" i="2"/>
  <c r="CL521" i="2" s="1"/>
  <c r="CK470" i="2"/>
  <c r="CK521" i="2" s="1"/>
  <c r="CJ470" i="2"/>
  <c r="CJ521" i="2" s="1"/>
  <c r="CI470" i="2"/>
  <c r="CI521" i="2" s="1"/>
  <c r="CH470" i="2"/>
  <c r="CH521" i="2" s="1"/>
  <c r="CG470" i="2"/>
  <c r="CG521" i="2" s="1"/>
  <c r="CF470" i="2"/>
  <c r="CF521" i="2" s="1"/>
  <c r="CE470" i="2"/>
  <c r="CE521" i="2" s="1"/>
  <c r="CD470" i="2"/>
  <c r="CD521" i="2" s="1"/>
  <c r="CC470" i="2"/>
  <c r="CC521" i="2" s="1"/>
  <c r="CB470" i="2"/>
  <c r="CB521" i="2" s="1"/>
  <c r="CA470" i="2"/>
  <c r="CA521" i="2" s="1"/>
  <c r="BZ470" i="2"/>
  <c r="BZ521" i="2" s="1"/>
  <c r="BY470" i="2"/>
  <c r="BY521" i="2" s="1"/>
  <c r="BX470" i="2"/>
  <c r="BX521" i="2" s="1"/>
  <c r="BW470" i="2"/>
  <c r="BW521" i="2" s="1"/>
  <c r="BV470" i="2"/>
  <c r="BV521" i="2" s="1"/>
  <c r="BU470" i="2"/>
  <c r="BU521" i="2" s="1"/>
  <c r="BT470" i="2"/>
  <c r="BT521" i="2" s="1"/>
  <c r="BS470" i="2"/>
  <c r="BS521" i="2" s="1"/>
  <c r="BR470" i="2"/>
  <c r="BR521" i="2" s="1"/>
  <c r="BQ470" i="2"/>
  <c r="BQ521" i="2" s="1"/>
  <c r="BP470" i="2"/>
  <c r="BP521" i="2" s="1"/>
  <c r="BO470" i="2"/>
  <c r="BO521" i="2" s="1"/>
  <c r="BN470" i="2"/>
  <c r="BN521" i="2" s="1"/>
  <c r="BM470" i="2"/>
  <c r="BM521" i="2" s="1"/>
  <c r="BL470" i="2"/>
  <c r="BL521" i="2" s="1"/>
  <c r="BK470" i="2"/>
  <c r="BK521" i="2" s="1"/>
  <c r="BJ470" i="2"/>
  <c r="BJ521" i="2" s="1"/>
  <c r="BI470" i="2"/>
  <c r="BI521" i="2" s="1"/>
  <c r="BH470" i="2"/>
  <c r="BH521" i="2" s="1"/>
  <c r="BG470" i="2"/>
  <c r="BG521" i="2" s="1"/>
  <c r="BF470" i="2"/>
  <c r="BF521" i="2" s="1"/>
  <c r="BE470" i="2"/>
  <c r="BE521" i="2" s="1"/>
  <c r="BD470" i="2"/>
  <c r="BD521" i="2" s="1"/>
  <c r="BC470" i="2"/>
  <c r="BC521" i="2" s="1"/>
  <c r="BB470" i="2"/>
  <c r="BB521" i="2" s="1"/>
  <c r="BA470" i="2"/>
  <c r="BA521" i="2" s="1"/>
  <c r="AZ470" i="2"/>
  <c r="AZ521" i="2" s="1"/>
  <c r="AY470" i="2"/>
  <c r="AY521" i="2" s="1"/>
  <c r="AX470" i="2"/>
  <c r="AX521" i="2" s="1"/>
  <c r="AW470" i="2"/>
  <c r="AW521" i="2" s="1"/>
  <c r="AV470" i="2"/>
  <c r="AV521" i="2" s="1"/>
  <c r="AU470" i="2"/>
  <c r="AU521" i="2" s="1"/>
  <c r="AT470" i="2"/>
  <c r="AT521" i="2" s="1"/>
  <c r="AS470" i="2"/>
  <c r="AS521" i="2" s="1"/>
  <c r="AR470" i="2"/>
  <c r="AR521" i="2" s="1"/>
  <c r="AQ470" i="2"/>
  <c r="AQ521" i="2" s="1"/>
  <c r="AP470" i="2"/>
  <c r="AP521" i="2" s="1"/>
  <c r="AO470" i="2"/>
  <c r="AO521" i="2" s="1"/>
  <c r="AN470" i="2"/>
  <c r="AN521" i="2" s="1"/>
  <c r="AM470" i="2"/>
  <c r="AM521" i="2" s="1"/>
  <c r="AL470" i="2"/>
  <c r="AL521" i="2" s="1"/>
  <c r="AK470" i="2"/>
  <c r="AK521" i="2" s="1"/>
  <c r="AJ470" i="2"/>
  <c r="AJ521" i="2" s="1"/>
  <c r="AI470" i="2"/>
  <c r="AI521" i="2" s="1"/>
  <c r="AH470" i="2"/>
  <c r="AH521" i="2" s="1"/>
  <c r="AG470" i="2"/>
  <c r="AG521" i="2" s="1"/>
  <c r="AF470" i="2"/>
  <c r="AF521" i="2" s="1"/>
  <c r="AE470" i="2"/>
  <c r="AE521" i="2" s="1"/>
  <c r="AD470" i="2"/>
  <c r="AD521" i="2" s="1"/>
  <c r="AC470" i="2"/>
  <c r="AC521" i="2" s="1"/>
  <c r="AB470" i="2"/>
  <c r="AB521" i="2" s="1"/>
  <c r="CS469" i="2"/>
  <c r="CS520" i="2" s="1"/>
  <c r="CR469" i="2"/>
  <c r="CR520" i="2" s="1"/>
  <c r="CQ469" i="2"/>
  <c r="CQ520" i="2" s="1"/>
  <c r="CP469" i="2"/>
  <c r="CP520" i="2" s="1"/>
  <c r="CO469" i="2"/>
  <c r="CO520" i="2" s="1"/>
  <c r="CN469" i="2"/>
  <c r="CN520" i="2" s="1"/>
  <c r="CM469" i="2"/>
  <c r="CM520" i="2" s="1"/>
  <c r="CL469" i="2"/>
  <c r="CL520" i="2" s="1"/>
  <c r="CK469" i="2"/>
  <c r="CK520" i="2" s="1"/>
  <c r="CJ469" i="2"/>
  <c r="CJ520" i="2" s="1"/>
  <c r="CI469" i="2"/>
  <c r="CI520" i="2" s="1"/>
  <c r="CH469" i="2"/>
  <c r="CH520" i="2" s="1"/>
  <c r="CG469" i="2"/>
  <c r="CG520" i="2" s="1"/>
  <c r="CF469" i="2"/>
  <c r="CF520" i="2" s="1"/>
  <c r="CE469" i="2"/>
  <c r="CE520" i="2" s="1"/>
  <c r="CD469" i="2"/>
  <c r="CD520" i="2" s="1"/>
  <c r="CC469" i="2"/>
  <c r="CC520" i="2" s="1"/>
  <c r="CB469" i="2"/>
  <c r="CB520" i="2" s="1"/>
  <c r="CA469" i="2"/>
  <c r="CA520" i="2" s="1"/>
  <c r="BZ469" i="2"/>
  <c r="BZ520" i="2" s="1"/>
  <c r="BY469" i="2"/>
  <c r="BY520" i="2" s="1"/>
  <c r="BX469" i="2"/>
  <c r="BX520" i="2" s="1"/>
  <c r="BW469" i="2"/>
  <c r="BW520" i="2" s="1"/>
  <c r="BV469" i="2"/>
  <c r="BV520" i="2" s="1"/>
  <c r="BU469" i="2"/>
  <c r="BU520" i="2" s="1"/>
  <c r="BT469" i="2"/>
  <c r="BT520" i="2" s="1"/>
  <c r="BS469" i="2"/>
  <c r="BS520" i="2" s="1"/>
  <c r="BR469" i="2"/>
  <c r="BR520" i="2" s="1"/>
  <c r="BQ469" i="2"/>
  <c r="BQ520" i="2" s="1"/>
  <c r="BP469" i="2"/>
  <c r="BP520" i="2" s="1"/>
  <c r="BO469" i="2"/>
  <c r="BO520" i="2" s="1"/>
  <c r="BN469" i="2"/>
  <c r="BN520" i="2" s="1"/>
  <c r="BM469" i="2"/>
  <c r="BM520" i="2" s="1"/>
  <c r="BL469" i="2"/>
  <c r="BL520" i="2" s="1"/>
  <c r="BK469" i="2"/>
  <c r="BK520" i="2" s="1"/>
  <c r="BJ469" i="2"/>
  <c r="BJ520" i="2" s="1"/>
  <c r="BI469" i="2"/>
  <c r="BI520" i="2" s="1"/>
  <c r="BH469" i="2"/>
  <c r="BH520" i="2" s="1"/>
  <c r="BG469" i="2"/>
  <c r="BG520" i="2" s="1"/>
  <c r="BF469" i="2"/>
  <c r="BF520" i="2" s="1"/>
  <c r="BE469" i="2"/>
  <c r="BE520" i="2" s="1"/>
  <c r="BD469" i="2"/>
  <c r="BD520" i="2" s="1"/>
  <c r="BC469" i="2"/>
  <c r="BC520" i="2" s="1"/>
  <c r="BB469" i="2"/>
  <c r="BB520" i="2" s="1"/>
  <c r="BA469" i="2"/>
  <c r="BA520" i="2" s="1"/>
  <c r="AZ469" i="2"/>
  <c r="AZ520" i="2" s="1"/>
  <c r="AY469" i="2"/>
  <c r="AY520" i="2" s="1"/>
  <c r="AX469" i="2"/>
  <c r="AX520" i="2" s="1"/>
  <c r="AW469" i="2"/>
  <c r="AW520" i="2" s="1"/>
  <c r="AV469" i="2"/>
  <c r="AV520" i="2" s="1"/>
  <c r="AU469" i="2"/>
  <c r="AU520" i="2" s="1"/>
  <c r="AT469" i="2"/>
  <c r="AT520" i="2" s="1"/>
  <c r="AS469" i="2"/>
  <c r="AS520" i="2" s="1"/>
  <c r="AR469" i="2"/>
  <c r="AR520" i="2" s="1"/>
  <c r="AQ469" i="2"/>
  <c r="AQ520" i="2" s="1"/>
  <c r="AP469" i="2"/>
  <c r="AP520" i="2" s="1"/>
  <c r="AO469" i="2"/>
  <c r="AO520" i="2" s="1"/>
  <c r="AN469" i="2"/>
  <c r="AN520" i="2" s="1"/>
  <c r="AM469" i="2"/>
  <c r="AL469" i="2"/>
  <c r="AL520" i="2" s="1"/>
  <c r="AK469" i="2"/>
  <c r="AK520" i="2" s="1"/>
  <c r="AJ469" i="2"/>
  <c r="AJ520" i="2" s="1"/>
  <c r="AI469" i="2"/>
  <c r="AI520" i="2" s="1"/>
  <c r="AH469" i="2"/>
  <c r="AH520" i="2" s="1"/>
  <c r="AG469" i="2"/>
  <c r="AG520" i="2" s="1"/>
  <c r="AF469" i="2"/>
  <c r="AF520" i="2" s="1"/>
  <c r="AE469" i="2"/>
  <c r="AE520" i="2" s="1"/>
  <c r="AD469" i="2"/>
  <c r="AD520" i="2" s="1"/>
  <c r="AC469" i="2"/>
  <c r="AC520" i="2" s="1"/>
  <c r="AB469" i="2"/>
  <c r="AB520" i="2" s="1"/>
  <c r="CS468" i="2"/>
  <c r="CS519" i="2" s="1"/>
  <c r="CR468" i="2"/>
  <c r="CR519" i="2" s="1"/>
  <c r="CQ468" i="2"/>
  <c r="CQ519" i="2" s="1"/>
  <c r="CP468" i="2"/>
  <c r="CP519" i="2" s="1"/>
  <c r="CO468" i="2"/>
  <c r="CO519" i="2" s="1"/>
  <c r="CN468" i="2"/>
  <c r="CN519" i="2" s="1"/>
  <c r="CM468" i="2"/>
  <c r="CM519" i="2" s="1"/>
  <c r="CL468" i="2"/>
  <c r="CL519" i="2" s="1"/>
  <c r="CK468" i="2"/>
  <c r="CK519" i="2" s="1"/>
  <c r="CJ468" i="2"/>
  <c r="CJ519" i="2" s="1"/>
  <c r="CI468" i="2"/>
  <c r="CI519" i="2" s="1"/>
  <c r="CH468" i="2"/>
  <c r="CH519" i="2" s="1"/>
  <c r="CG468" i="2"/>
  <c r="CG519" i="2" s="1"/>
  <c r="CF468" i="2"/>
  <c r="CF519" i="2" s="1"/>
  <c r="CE468" i="2"/>
  <c r="CE519" i="2" s="1"/>
  <c r="CD468" i="2"/>
  <c r="CD519" i="2" s="1"/>
  <c r="CC468" i="2"/>
  <c r="CC519" i="2" s="1"/>
  <c r="CB468" i="2"/>
  <c r="CB519" i="2" s="1"/>
  <c r="CA468" i="2"/>
  <c r="CA519" i="2" s="1"/>
  <c r="BZ468" i="2"/>
  <c r="BZ519" i="2" s="1"/>
  <c r="BY468" i="2"/>
  <c r="BY519" i="2" s="1"/>
  <c r="BX468" i="2"/>
  <c r="BX519" i="2" s="1"/>
  <c r="BW468" i="2"/>
  <c r="BW519" i="2" s="1"/>
  <c r="BV468" i="2"/>
  <c r="BV519" i="2" s="1"/>
  <c r="BU468" i="2"/>
  <c r="BU519" i="2" s="1"/>
  <c r="BT468" i="2"/>
  <c r="BT519" i="2" s="1"/>
  <c r="BS468" i="2"/>
  <c r="BS519" i="2" s="1"/>
  <c r="BR468" i="2"/>
  <c r="BR519" i="2" s="1"/>
  <c r="BQ468" i="2"/>
  <c r="BQ519" i="2" s="1"/>
  <c r="BP468" i="2"/>
  <c r="BP519" i="2" s="1"/>
  <c r="BO468" i="2"/>
  <c r="BO519" i="2" s="1"/>
  <c r="BN468" i="2"/>
  <c r="BN519" i="2" s="1"/>
  <c r="BM468" i="2"/>
  <c r="BM519" i="2" s="1"/>
  <c r="BL468" i="2"/>
  <c r="BL519" i="2" s="1"/>
  <c r="BK468" i="2"/>
  <c r="BK519" i="2" s="1"/>
  <c r="BJ468" i="2"/>
  <c r="BJ519" i="2" s="1"/>
  <c r="BI468" i="2"/>
  <c r="BI519" i="2" s="1"/>
  <c r="BH468" i="2"/>
  <c r="BH519" i="2" s="1"/>
  <c r="BG468" i="2"/>
  <c r="BG519" i="2" s="1"/>
  <c r="BF468" i="2"/>
  <c r="BF519" i="2" s="1"/>
  <c r="BE468" i="2"/>
  <c r="BE519" i="2" s="1"/>
  <c r="BD468" i="2"/>
  <c r="BD519" i="2" s="1"/>
  <c r="BC468" i="2"/>
  <c r="BC519" i="2" s="1"/>
  <c r="BB468" i="2"/>
  <c r="BB519" i="2" s="1"/>
  <c r="BA468" i="2"/>
  <c r="BA519" i="2" s="1"/>
  <c r="AZ468" i="2"/>
  <c r="AZ519" i="2" s="1"/>
  <c r="AY468" i="2"/>
  <c r="AY519" i="2" s="1"/>
  <c r="AX468" i="2"/>
  <c r="AX519" i="2" s="1"/>
  <c r="AW468" i="2"/>
  <c r="AW519" i="2" s="1"/>
  <c r="AV468" i="2"/>
  <c r="AV519" i="2" s="1"/>
  <c r="AU468" i="2"/>
  <c r="AU519" i="2" s="1"/>
  <c r="AT468" i="2"/>
  <c r="AT519" i="2" s="1"/>
  <c r="AS468" i="2"/>
  <c r="AS519" i="2" s="1"/>
  <c r="AR468" i="2"/>
  <c r="AR519" i="2" s="1"/>
  <c r="AQ468" i="2"/>
  <c r="AQ519" i="2" s="1"/>
  <c r="AP468" i="2"/>
  <c r="AP519" i="2" s="1"/>
  <c r="AO468" i="2"/>
  <c r="AO519" i="2" s="1"/>
  <c r="AN468" i="2"/>
  <c r="AN519" i="2" s="1"/>
  <c r="AM468" i="2"/>
  <c r="AM519" i="2" s="1"/>
  <c r="AL468" i="2"/>
  <c r="AL519" i="2" s="1"/>
  <c r="AK468" i="2"/>
  <c r="AK519" i="2" s="1"/>
  <c r="AJ468" i="2"/>
  <c r="AJ519" i="2" s="1"/>
  <c r="AI468" i="2"/>
  <c r="AI519" i="2" s="1"/>
  <c r="AH468" i="2"/>
  <c r="AH519" i="2" s="1"/>
  <c r="AG468" i="2"/>
  <c r="AG519" i="2" s="1"/>
  <c r="AF468" i="2"/>
  <c r="AF519" i="2" s="1"/>
  <c r="AE468" i="2"/>
  <c r="AE519" i="2" s="1"/>
  <c r="AD468" i="2"/>
  <c r="AD519" i="2" s="1"/>
  <c r="AC468" i="2"/>
  <c r="AC519" i="2" s="1"/>
  <c r="AB468" i="2"/>
  <c r="AB519" i="2" s="1"/>
  <c r="CS465" i="2"/>
  <c r="CR465" i="2"/>
  <c r="CQ465" i="2"/>
  <c r="CP465" i="2"/>
  <c r="CO465" i="2"/>
  <c r="CN465" i="2"/>
  <c r="CM465" i="2"/>
  <c r="CL465" i="2"/>
  <c r="CK465" i="2"/>
  <c r="CJ465" i="2"/>
  <c r="CI465" i="2"/>
  <c r="CH465" i="2"/>
  <c r="CG465" i="2"/>
  <c r="CF465" i="2"/>
  <c r="CE465" i="2"/>
  <c r="CD465" i="2"/>
  <c r="CC465" i="2"/>
  <c r="CB465" i="2"/>
  <c r="CA465" i="2"/>
  <c r="BZ465" i="2"/>
  <c r="BY465" i="2"/>
  <c r="BX465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CS464" i="2"/>
  <c r="CR464" i="2"/>
  <c r="CQ464" i="2"/>
  <c r="CP464" i="2"/>
  <c r="CO464" i="2"/>
  <c r="CN464" i="2"/>
  <c r="CM464" i="2"/>
  <c r="CL464" i="2"/>
  <c r="CK464" i="2"/>
  <c r="CJ464" i="2"/>
  <c r="CI464" i="2"/>
  <c r="CH464" i="2"/>
  <c r="CG464" i="2"/>
  <c r="CF464" i="2"/>
  <c r="CE464" i="2"/>
  <c r="CD464" i="2"/>
  <c r="CC464" i="2"/>
  <c r="CB464" i="2"/>
  <c r="CA464" i="2"/>
  <c r="BZ464" i="2"/>
  <c r="BY464" i="2"/>
  <c r="BX464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CS463" i="2"/>
  <c r="CR463" i="2"/>
  <c r="CQ463" i="2"/>
  <c r="CP463" i="2"/>
  <c r="CO463" i="2"/>
  <c r="CN463" i="2"/>
  <c r="CM463" i="2"/>
  <c r="CL463" i="2"/>
  <c r="CK463" i="2"/>
  <c r="CJ463" i="2"/>
  <c r="CI463" i="2"/>
  <c r="CH463" i="2"/>
  <c r="CG463" i="2"/>
  <c r="CF463" i="2"/>
  <c r="CE463" i="2"/>
  <c r="CD463" i="2"/>
  <c r="CC463" i="2"/>
  <c r="CB463" i="2"/>
  <c r="CA463" i="2"/>
  <c r="BZ463" i="2"/>
  <c r="BY463" i="2"/>
  <c r="BX463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CS462" i="2"/>
  <c r="CR462" i="2"/>
  <c r="CQ462" i="2"/>
  <c r="CP462" i="2"/>
  <c r="CO462" i="2"/>
  <c r="CN462" i="2"/>
  <c r="CM462" i="2"/>
  <c r="CL462" i="2"/>
  <c r="CK462" i="2"/>
  <c r="CJ462" i="2"/>
  <c r="CI462" i="2"/>
  <c r="CH462" i="2"/>
  <c r="CG462" i="2"/>
  <c r="CF462" i="2"/>
  <c r="CE462" i="2"/>
  <c r="CD462" i="2"/>
  <c r="CC462" i="2"/>
  <c r="CB462" i="2"/>
  <c r="CA462" i="2"/>
  <c r="BZ462" i="2"/>
  <c r="BY462" i="2"/>
  <c r="BX462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4" i="2"/>
  <c r="AB463" i="2"/>
  <c r="AB462" i="2"/>
  <c r="CS456" i="2"/>
  <c r="CR456" i="2"/>
  <c r="CQ456" i="2"/>
  <c r="CP456" i="2"/>
  <c r="CO456" i="2"/>
  <c r="CN456" i="2"/>
  <c r="CM456" i="2"/>
  <c r="CL456" i="2"/>
  <c r="CK456" i="2"/>
  <c r="CJ456" i="2"/>
  <c r="CI456" i="2"/>
  <c r="CH456" i="2"/>
  <c r="CG456" i="2"/>
  <c r="CF456" i="2"/>
  <c r="CE456" i="2"/>
  <c r="CD456" i="2"/>
  <c r="CC456" i="2"/>
  <c r="CB456" i="2"/>
  <c r="CA456" i="2"/>
  <c r="BZ456" i="2"/>
  <c r="BY456" i="2"/>
  <c r="BX456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C451" i="2"/>
  <c r="AD451" i="2"/>
  <c r="AE451" i="2"/>
  <c r="AF451" i="2"/>
  <c r="AG451" i="2"/>
  <c r="AH451" i="2"/>
  <c r="AI451" i="2"/>
  <c r="AJ451" i="2"/>
  <c r="AK451" i="2"/>
  <c r="AL451" i="2"/>
  <c r="AM451" i="2"/>
  <c r="AN451" i="2"/>
  <c r="AO451" i="2"/>
  <c r="AP451" i="2"/>
  <c r="AQ451" i="2"/>
  <c r="AR451" i="2"/>
  <c r="AS451" i="2"/>
  <c r="AT451" i="2"/>
  <c r="AU451" i="2"/>
  <c r="AV451" i="2"/>
  <c r="AW451" i="2"/>
  <c r="AX451" i="2"/>
  <c r="AY451" i="2"/>
  <c r="AZ451" i="2"/>
  <c r="BA451" i="2"/>
  <c r="BB451" i="2"/>
  <c r="BC451" i="2"/>
  <c r="BD451" i="2"/>
  <c r="BE451" i="2"/>
  <c r="BF451" i="2"/>
  <c r="BG451" i="2"/>
  <c r="BH451" i="2"/>
  <c r="BI451" i="2"/>
  <c r="BJ451" i="2"/>
  <c r="BK451" i="2"/>
  <c r="BL451" i="2"/>
  <c r="BM451" i="2"/>
  <c r="BN451" i="2"/>
  <c r="BO451" i="2"/>
  <c r="BP451" i="2"/>
  <c r="BQ451" i="2"/>
  <c r="BR451" i="2"/>
  <c r="BS451" i="2"/>
  <c r="BT451" i="2"/>
  <c r="BU451" i="2"/>
  <c r="BV451" i="2"/>
  <c r="BW451" i="2"/>
  <c r="BX451" i="2"/>
  <c r="BY451" i="2"/>
  <c r="BZ451" i="2"/>
  <c r="CA451" i="2"/>
  <c r="CB451" i="2"/>
  <c r="CC451" i="2"/>
  <c r="CD451" i="2"/>
  <c r="CE451" i="2"/>
  <c r="CF451" i="2"/>
  <c r="CG451" i="2"/>
  <c r="CH451" i="2"/>
  <c r="CI451" i="2"/>
  <c r="CJ451" i="2"/>
  <c r="CK451" i="2"/>
  <c r="CL451" i="2"/>
  <c r="CM451" i="2"/>
  <c r="CN451" i="2"/>
  <c r="CO451" i="2"/>
  <c r="CP451" i="2"/>
  <c r="CQ451" i="2"/>
  <c r="CR451" i="2"/>
  <c r="CS451" i="2"/>
  <c r="AB451" i="2"/>
  <c r="CS444" i="2"/>
  <c r="CR444" i="2"/>
  <c r="CQ444" i="2"/>
  <c r="CP444" i="2"/>
  <c r="CO444" i="2"/>
  <c r="CN444" i="2"/>
  <c r="CM444" i="2"/>
  <c r="CL444" i="2"/>
  <c r="CK444" i="2"/>
  <c r="CJ444" i="2"/>
  <c r="CI444" i="2"/>
  <c r="CH444" i="2"/>
  <c r="CG444" i="2"/>
  <c r="CF444" i="2"/>
  <c r="CE444" i="2"/>
  <c r="CD444" i="2"/>
  <c r="CC444" i="2"/>
  <c r="CB444" i="2"/>
  <c r="CA444" i="2"/>
  <c r="BZ444" i="2"/>
  <c r="BY444" i="2"/>
  <c r="BX444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CS434" i="2"/>
  <c r="CS557" i="2" s="1"/>
  <c r="CU557" i="2" s="1"/>
  <c r="CV557" i="2" s="1"/>
  <c r="CW557" i="2" s="1"/>
  <c r="CX557" i="2" s="1"/>
  <c r="CY557" i="2" s="1"/>
  <c r="CZ557" i="2" s="1"/>
  <c r="DA557" i="2" s="1"/>
  <c r="DB557" i="2" s="1"/>
  <c r="DC557" i="2" s="1"/>
  <c r="DD557" i="2" s="1"/>
  <c r="DE557" i="2" s="1"/>
  <c r="DF557" i="2" s="1"/>
  <c r="DG557" i="2" s="1"/>
  <c r="DH557" i="2" s="1"/>
  <c r="DI557" i="2" s="1"/>
  <c r="DJ557" i="2" s="1"/>
  <c r="DK557" i="2" s="1"/>
  <c r="DL557" i="2" s="1"/>
  <c r="DM557" i="2" s="1"/>
  <c r="DN557" i="2" s="1"/>
  <c r="DO557" i="2" s="1"/>
  <c r="DP557" i="2" s="1"/>
  <c r="DQ557" i="2" s="1"/>
  <c r="DR557" i="2" s="1"/>
  <c r="DS557" i="2" s="1"/>
  <c r="DT557" i="2" s="1"/>
  <c r="DU557" i="2" s="1"/>
  <c r="DV557" i="2" s="1"/>
  <c r="DW557" i="2" s="1"/>
  <c r="DX557" i="2" s="1"/>
  <c r="DY557" i="2" s="1"/>
  <c r="DZ557" i="2" s="1"/>
  <c r="EA557" i="2" s="1"/>
  <c r="EB557" i="2" s="1"/>
  <c r="EC557" i="2" s="1"/>
  <c r="CR434" i="2"/>
  <c r="CR557" i="2" s="1"/>
  <c r="CQ434" i="2"/>
  <c r="CQ557" i="2" s="1"/>
  <c r="CP434" i="2"/>
  <c r="CP557" i="2" s="1"/>
  <c r="CO434" i="2"/>
  <c r="CO557" i="2" s="1"/>
  <c r="CN434" i="2"/>
  <c r="CN557" i="2" s="1"/>
  <c r="CM434" i="2"/>
  <c r="CM557" i="2" s="1"/>
  <c r="CL434" i="2"/>
  <c r="CL557" i="2" s="1"/>
  <c r="CK434" i="2"/>
  <c r="CK557" i="2" s="1"/>
  <c r="CJ434" i="2"/>
  <c r="CJ557" i="2" s="1"/>
  <c r="CI434" i="2"/>
  <c r="CI557" i="2" s="1"/>
  <c r="CH434" i="2"/>
  <c r="CH557" i="2" s="1"/>
  <c r="CG434" i="2"/>
  <c r="CG557" i="2" s="1"/>
  <c r="CF434" i="2"/>
  <c r="CF557" i="2" s="1"/>
  <c r="CE434" i="2"/>
  <c r="CE557" i="2" s="1"/>
  <c r="CD434" i="2"/>
  <c r="CD557" i="2" s="1"/>
  <c r="CC434" i="2"/>
  <c r="CC557" i="2" s="1"/>
  <c r="CB434" i="2"/>
  <c r="CB557" i="2" s="1"/>
  <c r="CA434" i="2"/>
  <c r="CA557" i="2" s="1"/>
  <c r="BZ434" i="2"/>
  <c r="BZ557" i="2" s="1"/>
  <c r="BY434" i="2"/>
  <c r="BY557" i="2" s="1"/>
  <c r="BX434" i="2"/>
  <c r="BX557" i="2" s="1"/>
  <c r="BW434" i="2"/>
  <c r="BW557" i="2" s="1"/>
  <c r="BV434" i="2"/>
  <c r="BV557" i="2" s="1"/>
  <c r="BU434" i="2"/>
  <c r="BT434" i="2"/>
  <c r="BS434" i="2"/>
  <c r="BR434" i="2"/>
  <c r="BQ434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Q434" i="2"/>
  <c r="AP434" i="2"/>
  <c r="AO434" i="2"/>
  <c r="AN434" i="2"/>
  <c r="AN552" i="2" s="1"/>
  <c r="AM434" i="2"/>
  <c r="AM552" i="2" s="1"/>
  <c r="AL434" i="2"/>
  <c r="AL552" i="2" s="1"/>
  <c r="AK434" i="2"/>
  <c r="AK552" i="2" s="1"/>
  <c r="AJ434" i="2"/>
  <c r="AJ552" i="2" s="1"/>
  <c r="AI434" i="2"/>
  <c r="AI552" i="2" s="1"/>
  <c r="AH434" i="2"/>
  <c r="AH552" i="2" s="1"/>
  <c r="AG434" i="2"/>
  <c r="AG552" i="2" s="1"/>
  <c r="AF434" i="2"/>
  <c r="AF552" i="2" s="1"/>
  <c r="AE434" i="2"/>
  <c r="AE552" i="2" s="1"/>
  <c r="AD434" i="2"/>
  <c r="AD552" i="2" s="1"/>
  <c r="AC434" i="2"/>
  <c r="AC552" i="2" s="1"/>
  <c r="AB434" i="2"/>
  <c r="AB552" i="2" s="1"/>
  <c r="CS428" i="2"/>
  <c r="CR428" i="2"/>
  <c r="CQ428" i="2"/>
  <c r="CP428" i="2"/>
  <c r="CO428" i="2"/>
  <c r="CN428" i="2"/>
  <c r="CM428" i="2"/>
  <c r="CL428" i="2"/>
  <c r="CK428" i="2"/>
  <c r="CJ428" i="2"/>
  <c r="CI428" i="2"/>
  <c r="CH428" i="2"/>
  <c r="CG428" i="2"/>
  <c r="CF428" i="2"/>
  <c r="CE428" i="2"/>
  <c r="CD428" i="2"/>
  <c r="CC428" i="2"/>
  <c r="CB428" i="2"/>
  <c r="CA428" i="2"/>
  <c r="BZ428" i="2"/>
  <c r="BY428" i="2"/>
  <c r="BX428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C416" i="2"/>
  <c r="AD416" i="2"/>
  <c r="AE416" i="2"/>
  <c r="AF416" i="2"/>
  <c r="AG416" i="2"/>
  <c r="AH416" i="2"/>
  <c r="AI416" i="2"/>
  <c r="AJ416" i="2"/>
  <c r="AK416" i="2"/>
  <c r="AL416" i="2"/>
  <c r="AM416" i="2"/>
  <c r="AN416" i="2"/>
  <c r="AO416" i="2"/>
  <c r="AP416" i="2"/>
  <c r="AQ416" i="2"/>
  <c r="AR416" i="2"/>
  <c r="AS416" i="2"/>
  <c r="AT416" i="2"/>
  <c r="AU416" i="2"/>
  <c r="AV416" i="2"/>
  <c r="AW416" i="2"/>
  <c r="AX416" i="2"/>
  <c r="AY416" i="2"/>
  <c r="AZ416" i="2"/>
  <c r="BA416" i="2"/>
  <c r="BB416" i="2"/>
  <c r="BC416" i="2"/>
  <c r="BD416" i="2"/>
  <c r="BE416" i="2"/>
  <c r="BF416" i="2"/>
  <c r="BG416" i="2"/>
  <c r="BH416" i="2"/>
  <c r="BI416" i="2"/>
  <c r="BJ416" i="2"/>
  <c r="BK416" i="2"/>
  <c r="BL416" i="2"/>
  <c r="BM416" i="2"/>
  <c r="BN416" i="2"/>
  <c r="BO416" i="2"/>
  <c r="BP416" i="2"/>
  <c r="BQ416" i="2"/>
  <c r="BR416" i="2"/>
  <c r="BS416" i="2"/>
  <c r="BT416" i="2"/>
  <c r="BU416" i="2"/>
  <c r="BV416" i="2"/>
  <c r="BW416" i="2"/>
  <c r="BX416" i="2"/>
  <c r="BY416" i="2"/>
  <c r="BZ416" i="2"/>
  <c r="CA416" i="2"/>
  <c r="CB416" i="2"/>
  <c r="CC416" i="2"/>
  <c r="CD416" i="2"/>
  <c r="CE416" i="2"/>
  <c r="CF416" i="2"/>
  <c r="CG416" i="2"/>
  <c r="CH416" i="2"/>
  <c r="CI416" i="2"/>
  <c r="CJ416" i="2"/>
  <c r="CK416" i="2"/>
  <c r="CL416" i="2"/>
  <c r="CM416" i="2"/>
  <c r="CN416" i="2"/>
  <c r="CO416" i="2"/>
  <c r="CP416" i="2"/>
  <c r="CQ416" i="2"/>
  <c r="CR416" i="2"/>
  <c r="CS416" i="2"/>
  <c r="AB416" i="2"/>
  <c r="CS412" i="2"/>
  <c r="CR412" i="2"/>
  <c r="CQ412" i="2"/>
  <c r="CP412" i="2"/>
  <c r="CO412" i="2"/>
  <c r="CN412" i="2"/>
  <c r="CM412" i="2"/>
  <c r="CL412" i="2"/>
  <c r="CK412" i="2"/>
  <c r="CJ412" i="2"/>
  <c r="CI412" i="2"/>
  <c r="CH412" i="2"/>
  <c r="CG412" i="2"/>
  <c r="CF412" i="2"/>
  <c r="CE412" i="2"/>
  <c r="CD412" i="2"/>
  <c r="CC412" i="2"/>
  <c r="CB412" i="2"/>
  <c r="CA412" i="2"/>
  <c r="BZ412" i="2"/>
  <c r="BY412" i="2"/>
  <c r="BX412" i="2"/>
  <c r="BW412" i="2"/>
  <c r="BV412" i="2"/>
  <c r="BU412" i="2"/>
  <c r="BT412" i="2"/>
  <c r="BS412" i="2"/>
  <c r="BR412" i="2"/>
  <c r="BQ412" i="2"/>
  <c r="BP412" i="2"/>
  <c r="BO412" i="2"/>
  <c r="BN412" i="2"/>
  <c r="BM412" i="2"/>
  <c r="BL412" i="2"/>
  <c r="BK412" i="2"/>
  <c r="BJ412" i="2"/>
  <c r="BI412" i="2"/>
  <c r="BH412" i="2"/>
  <c r="BG412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CS411" i="2"/>
  <c r="CR411" i="2"/>
  <c r="CQ411" i="2"/>
  <c r="CP411" i="2"/>
  <c r="CO411" i="2"/>
  <c r="CN411" i="2"/>
  <c r="CM411" i="2"/>
  <c r="CL411" i="2"/>
  <c r="CK411" i="2"/>
  <c r="CJ411" i="2"/>
  <c r="CI411" i="2"/>
  <c r="CH411" i="2"/>
  <c r="CG411" i="2"/>
  <c r="CF411" i="2"/>
  <c r="CE411" i="2"/>
  <c r="CD411" i="2"/>
  <c r="CC411" i="2"/>
  <c r="CB411" i="2"/>
  <c r="CA411" i="2"/>
  <c r="BZ411" i="2"/>
  <c r="BY411" i="2"/>
  <c r="BX411" i="2"/>
  <c r="BW411" i="2"/>
  <c r="BV411" i="2"/>
  <c r="BU411" i="2"/>
  <c r="BT411" i="2"/>
  <c r="BS411" i="2"/>
  <c r="BR411" i="2"/>
  <c r="BQ411" i="2"/>
  <c r="BP411" i="2"/>
  <c r="BO411" i="2"/>
  <c r="BN411" i="2"/>
  <c r="BM411" i="2"/>
  <c r="BL411" i="2"/>
  <c r="BK411" i="2"/>
  <c r="BJ411" i="2"/>
  <c r="BI411" i="2"/>
  <c r="BH411" i="2"/>
  <c r="BG411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CS394" i="2"/>
  <c r="CR394" i="2"/>
  <c r="CQ394" i="2"/>
  <c r="CP394" i="2"/>
  <c r="CO394" i="2"/>
  <c r="CN394" i="2"/>
  <c r="CM394" i="2"/>
  <c r="CL394" i="2"/>
  <c r="CK394" i="2"/>
  <c r="CJ394" i="2"/>
  <c r="CI394" i="2"/>
  <c r="CH394" i="2"/>
  <c r="CT387" i="2" s="1"/>
  <c r="CG394" i="2"/>
  <c r="CG387" i="2" s="1"/>
  <c r="CF394" i="2"/>
  <c r="CE394" i="2"/>
  <c r="CD394" i="2"/>
  <c r="CC394" i="2"/>
  <c r="CB394" i="2"/>
  <c r="CA394" i="2"/>
  <c r="BZ394" i="2"/>
  <c r="BY394" i="2"/>
  <c r="BX394" i="2"/>
  <c r="BW394" i="2"/>
  <c r="BV394" i="2"/>
  <c r="BU394" i="2"/>
  <c r="BU387" i="2" s="1"/>
  <c r="BT394" i="2"/>
  <c r="BS394" i="2"/>
  <c r="BR394" i="2"/>
  <c r="BQ394" i="2"/>
  <c r="BP394" i="2"/>
  <c r="BO394" i="2"/>
  <c r="BN394" i="2"/>
  <c r="BM394" i="2"/>
  <c r="BL394" i="2"/>
  <c r="BK394" i="2"/>
  <c r="BJ394" i="2"/>
  <c r="BI394" i="2"/>
  <c r="BI387" i="2" s="1"/>
  <c r="BH394" i="2"/>
  <c r="BG394" i="2"/>
  <c r="BF394" i="2"/>
  <c r="BE394" i="2"/>
  <c r="BD394" i="2"/>
  <c r="BC394" i="2"/>
  <c r="BB394" i="2"/>
  <c r="BA394" i="2"/>
  <c r="AZ394" i="2"/>
  <c r="AY394" i="2"/>
  <c r="AX394" i="2"/>
  <c r="AW394" i="2"/>
  <c r="AW387" i="2" s="1"/>
  <c r="AV394" i="2"/>
  <c r="AU394" i="2"/>
  <c r="AT394" i="2"/>
  <c r="AS394" i="2"/>
  <c r="AR394" i="2"/>
  <c r="AQ394" i="2"/>
  <c r="AP394" i="2"/>
  <c r="AO394" i="2"/>
  <c r="AN394" i="2"/>
  <c r="AM394" i="2"/>
  <c r="AM387" i="2" s="1"/>
  <c r="AL394" i="2"/>
  <c r="AL387" i="2" s="1"/>
  <c r="AK394" i="2"/>
  <c r="AK387" i="2" s="1"/>
  <c r="AJ394" i="2"/>
  <c r="AJ387" i="2" s="1"/>
  <c r="AI394" i="2"/>
  <c r="AI387" i="2" s="1"/>
  <c r="AH394" i="2"/>
  <c r="AH387" i="2" s="1"/>
  <c r="AG394" i="2"/>
  <c r="AG387" i="2" s="1"/>
  <c r="AF394" i="2"/>
  <c r="AF387" i="2" s="1"/>
  <c r="AE394" i="2"/>
  <c r="AE387" i="2" s="1"/>
  <c r="AD394" i="2"/>
  <c r="AD387" i="2" s="1"/>
  <c r="AC394" i="2"/>
  <c r="AC387" i="2" s="1"/>
  <c r="AB394" i="2"/>
  <c r="AB387" i="2" s="1"/>
  <c r="CS376" i="2"/>
  <c r="CR376" i="2"/>
  <c r="CQ376" i="2"/>
  <c r="CP376" i="2"/>
  <c r="CO376" i="2"/>
  <c r="CN376" i="2"/>
  <c r="CM376" i="2"/>
  <c r="CL376" i="2"/>
  <c r="CK376" i="2"/>
  <c r="CJ376" i="2"/>
  <c r="CI376" i="2"/>
  <c r="CH376" i="2"/>
  <c r="CG376" i="2"/>
  <c r="CF376" i="2"/>
  <c r="CE376" i="2"/>
  <c r="CD376" i="2"/>
  <c r="CC376" i="2"/>
  <c r="CB376" i="2"/>
  <c r="CA376" i="2"/>
  <c r="BZ376" i="2"/>
  <c r="BY376" i="2"/>
  <c r="BX376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CT379" i="2" l="1"/>
  <c r="CT378" i="2"/>
  <c r="EJ57" i="15"/>
  <c r="EN57" i="15"/>
  <c r="EN56" i="15"/>
  <c r="EQ57" i="15"/>
  <c r="EJ56" i="15"/>
  <c r="EM57" i="15"/>
  <c r="EO56" i="15"/>
  <c r="EK56" i="15"/>
  <c r="EL56" i="15"/>
  <c r="EP56" i="15"/>
  <c r="EK57" i="15"/>
  <c r="EO57" i="15"/>
  <c r="EM56" i="15"/>
  <c r="EQ56" i="15"/>
  <c r="EL57" i="15"/>
  <c r="EP57" i="15"/>
  <c r="CT521" i="2"/>
  <c r="CU521" i="2" s="1"/>
  <c r="CV521" i="2" s="1"/>
  <c r="CW521" i="2" s="1"/>
  <c r="CX521" i="2" s="1"/>
  <c r="CY521" i="2" s="1"/>
  <c r="CZ521" i="2" s="1"/>
  <c r="DA521" i="2" s="1"/>
  <c r="DB521" i="2" s="1"/>
  <c r="DC521" i="2" s="1"/>
  <c r="DD521" i="2" s="1"/>
  <c r="DE521" i="2" s="1"/>
  <c r="DF521" i="2" s="1"/>
  <c r="DG521" i="2" s="1"/>
  <c r="DH521" i="2" s="1"/>
  <c r="DI521" i="2" s="1"/>
  <c r="DJ521" i="2" s="1"/>
  <c r="DK521" i="2" s="1"/>
  <c r="DL521" i="2" s="1"/>
  <c r="DM521" i="2" s="1"/>
  <c r="DN521" i="2" s="1"/>
  <c r="DO521" i="2" s="1"/>
  <c r="DP521" i="2" s="1"/>
  <c r="DQ521" i="2" s="1"/>
  <c r="DR521" i="2" s="1"/>
  <c r="DS521" i="2" s="1"/>
  <c r="DT521" i="2" s="1"/>
  <c r="DU521" i="2" s="1"/>
  <c r="DV521" i="2" s="1"/>
  <c r="DW521" i="2" s="1"/>
  <c r="DX521" i="2" s="1"/>
  <c r="DY521" i="2" s="1"/>
  <c r="DZ521" i="2" s="1"/>
  <c r="EA521" i="2" s="1"/>
  <c r="EB521" i="2" s="1"/>
  <c r="EC521" i="2" s="1"/>
  <c r="CT524" i="2"/>
  <c r="CU524" i="2" s="1"/>
  <c r="CV524" i="2" s="1"/>
  <c r="CW524" i="2" s="1"/>
  <c r="CX524" i="2" s="1"/>
  <c r="CY524" i="2" s="1"/>
  <c r="CZ524" i="2" s="1"/>
  <c r="DA524" i="2" s="1"/>
  <c r="DB524" i="2" s="1"/>
  <c r="DC524" i="2" s="1"/>
  <c r="DD524" i="2" s="1"/>
  <c r="DE524" i="2" s="1"/>
  <c r="DF524" i="2" s="1"/>
  <c r="DG524" i="2" s="1"/>
  <c r="DH524" i="2" s="1"/>
  <c r="DI524" i="2" s="1"/>
  <c r="DJ524" i="2" s="1"/>
  <c r="DK524" i="2" s="1"/>
  <c r="DL524" i="2" s="1"/>
  <c r="DM524" i="2" s="1"/>
  <c r="DN524" i="2" s="1"/>
  <c r="DO524" i="2" s="1"/>
  <c r="DP524" i="2" s="1"/>
  <c r="DQ524" i="2" s="1"/>
  <c r="DR524" i="2" s="1"/>
  <c r="CT520" i="2"/>
  <c r="CU520" i="2" s="1"/>
  <c r="CV520" i="2" s="1"/>
  <c r="CW520" i="2" s="1"/>
  <c r="CX520" i="2" s="1"/>
  <c r="CY520" i="2" s="1"/>
  <c r="CZ520" i="2" s="1"/>
  <c r="DA520" i="2" s="1"/>
  <c r="DB520" i="2" s="1"/>
  <c r="DC520" i="2" s="1"/>
  <c r="DD520" i="2" s="1"/>
  <c r="DE520" i="2" s="1"/>
  <c r="DF520" i="2" s="1"/>
  <c r="DG520" i="2" s="1"/>
  <c r="DH520" i="2" s="1"/>
  <c r="DI520" i="2" s="1"/>
  <c r="DJ520" i="2" s="1"/>
  <c r="DK520" i="2" s="1"/>
  <c r="DL520" i="2" s="1"/>
  <c r="DM520" i="2" s="1"/>
  <c r="DN520" i="2" s="1"/>
  <c r="DO520" i="2" s="1"/>
  <c r="DP520" i="2" s="1"/>
  <c r="DQ520" i="2" s="1"/>
  <c r="DR520" i="2" s="1"/>
  <c r="DS520" i="2" s="1"/>
  <c r="DT520" i="2" s="1"/>
  <c r="DU520" i="2" s="1"/>
  <c r="DV520" i="2" s="1"/>
  <c r="DW520" i="2" s="1"/>
  <c r="DX520" i="2" s="1"/>
  <c r="DY520" i="2" s="1"/>
  <c r="DZ520" i="2" s="1"/>
  <c r="EA520" i="2" s="1"/>
  <c r="EB520" i="2" s="1"/>
  <c r="EC520" i="2" s="1"/>
  <c r="CT519" i="2"/>
  <c r="CU519" i="2" s="1"/>
  <c r="CV519" i="2" s="1"/>
  <c r="CW519" i="2" s="1"/>
  <c r="CX519" i="2" s="1"/>
  <c r="CY519" i="2" s="1"/>
  <c r="CZ519" i="2" s="1"/>
  <c r="DA519" i="2" s="1"/>
  <c r="DB519" i="2" s="1"/>
  <c r="DC519" i="2" s="1"/>
  <c r="DD519" i="2" s="1"/>
  <c r="DE519" i="2" s="1"/>
  <c r="DF519" i="2" s="1"/>
  <c r="DG519" i="2" s="1"/>
  <c r="DH519" i="2" s="1"/>
  <c r="DI519" i="2" s="1"/>
  <c r="DJ519" i="2" s="1"/>
  <c r="DK519" i="2" s="1"/>
  <c r="DL519" i="2" s="1"/>
  <c r="DM519" i="2" s="1"/>
  <c r="DN519" i="2" s="1"/>
  <c r="DO519" i="2" s="1"/>
  <c r="DP519" i="2" s="1"/>
  <c r="DQ519" i="2" s="1"/>
  <c r="DR519" i="2" s="1"/>
  <c r="DS519" i="2" s="1"/>
  <c r="DT519" i="2" s="1"/>
  <c r="DU519" i="2" s="1"/>
  <c r="DV519" i="2" s="1"/>
  <c r="DW519" i="2" s="1"/>
  <c r="DX519" i="2" s="1"/>
  <c r="DY519" i="2" s="1"/>
  <c r="DZ519" i="2" s="1"/>
  <c r="EA519" i="2" s="1"/>
  <c r="EB519" i="2" s="1"/>
  <c r="EC519" i="2" s="1"/>
  <c r="CT526" i="2"/>
  <c r="CU526" i="2" s="1"/>
  <c r="CK114" i="12"/>
  <c r="CK112" i="12" s="1"/>
  <c r="DR112" i="12" s="1"/>
  <c r="DR125" i="15"/>
  <c r="DR123" i="15" s="1"/>
  <c r="CK143" i="11"/>
  <c r="CK141" i="11" s="1"/>
  <c r="DR141" i="11" s="1"/>
  <c r="CT411" i="2"/>
  <c r="CT412" i="2"/>
  <c r="CU412" i="2" s="1"/>
  <c r="CV412" i="2" s="1"/>
  <c r="CW412" i="2" s="1"/>
  <c r="CX412" i="2" s="1"/>
  <c r="CY412" i="2" s="1"/>
  <c r="CZ412" i="2" s="1"/>
  <c r="DA412" i="2" s="1"/>
  <c r="DB412" i="2" s="1"/>
  <c r="DC412" i="2" s="1"/>
  <c r="DD412" i="2" s="1"/>
  <c r="DE412" i="2" s="1"/>
  <c r="DF412" i="2" s="1"/>
  <c r="DG412" i="2" s="1"/>
  <c r="DH412" i="2" s="1"/>
  <c r="DI412" i="2" s="1"/>
  <c r="DJ412" i="2" s="1"/>
  <c r="DK412" i="2" s="1"/>
  <c r="DL412" i="2" s="1"/>
  <c r="DM412" i="2" s="1"/>
  <c r="DN412" i="2" s="1"/>
  <c r="DO412" i="2" s="1"/>
  <c r="DP412" i="2" s="1"/>
  <c r="DQ412" i="2" s="1"/>
  <c r="DR412" i="2" s="1"/>
  <c r="DS412" i="2" s="1"/>
  <c r="DS313" i="2"/>
  <c r="DJ150" i="7"/>
  <c r="DS125" i="15" s="1"/>
  <c r="DM104" i="13"/>
  <c r="DK105" i="13"/>
  <c r="DK124" i="13" s="1"/>
  <c r="DG107" i="13"/>
  <c r="DO107" i="13"/>
  <c r="DL106" i="13"/>
  <c r="DL131" i="13" s="1"/>
  <c r="DI107" i="13"/>
  <c r="DO106" i="13"/>
  <c r="DO131" i="13" s="1"/>
  <c r="DI104" i="13"/>
  <c r="DQ104" i="13"/>
  <c r="DJ105" i="13"/>
  <c r="DJ124" i="13" s="1"/>
  <c r="DJ104" i="13"/>
  <c r="DQ107" i="13"/>
  <c r="DF105" i="13"/>
  <c r="DF124" i="13" s="1"/>
  <c r="DG106" i="13"/>
  <c r="DG125" i="13" s="1"/>
  <c r="DJ106" i="13"/>
  <c r="DJ125" i="13" s="1"/>
  <c r="DH107" i="13"/>
  <c r="DK104" i="13"/>
  <c r="DL105" i="13"/>
  <c r="DF104" i="13"/>
  <c r="DN104" i="13"/>
  <c r="DG105" i="13"/>
  <c r="DO105" i="13"/>
  <c r="DH106" i="13"/>
  <c r="DP106" i="13"/>
  <c r="DM107" i="13"/>
  <c r="DK106" i="13"/>
  <c r="DP107" i="13"/>
  <c r="DL104" i="13"/>
  <c r="DM105" i="13"/>
  <c r="DF106" i="13"/>
  <c r="DN106" i="13"/>
  <c r="DK107" i="13"/>
  <c r="DG104" i="13"/>
  <c r="DO104" i="13"/>
  <c r="DH105" i="13"/>
  <c r="DP105" i="13"/>
  <c r="DI106" i="13"/>
  <c r="DQ106" i="13"/>
  <c r="DF107" i="13"/>
  <c r="DN107" i="13"/>
  <c r="DN105" i="13"/>
  <c r="DL107" i="13"/>
  <c r="DH104" i="13"/>
  <c r="DP104" i="13"/>
  <c r="DI105" i="13"/>
  <c r="DQ105" i="13"/>
  <c r="DM106" i="13"/>
  <c r="DJ107" i="13"/>
  <c r="AG87" i="18"/>
  <c r="AC87" i="18"/>
  <c r="AC114" i="18" s="1"/>
  <c r="AC140" i="18" s="1"/>
  <c r="AC170" i="18" s="1"/>
  <c r="AE87" i="18"/>
  <c r="AE105" i="18" s="1"/>
  <c r="AI87" i="18"/>
  <c r="AI105" i="18" s="1"/>
  <c r="AH87" i="18"/>
  <c r="AH105" i="18" s="1"/>
  <c r="AD87" i="18"/>
  <c r="C63" i="11"/>
  <c r="C68" i="11"/>
  <c r="C85" i="11" s="1"/>
  <c r="K68" i="11"/>
  <c r="K63" i="11"/>
  <c r="S63" i="11"/>
  <c r="S68" i="11"/>
  <c r="AA63" i="11"/>
  <c r="AA68" i="11"/>
  <c r="AI63" i="11"/>
  <c r="AI68" i="11"/>
  <c r="AQ68" i="11"/>
  <c r="AQ63" i="11"/>
  <c r="AY63" i="11"/>
  <c r="AY68" i="11"/>
  <c r="BG68" i="11"/>
  <c r="BG63" i="11"/>
  <c r="F64" i="11"/>
  <c r="F69" i="11"/>
  <c r="AM87" i="18"/>
  <c r="D68" i="11"/>
  <c r="D85" i="11" s="1"/>
  <c r="D63" i="11"/>
  <c r="L68" i="11"/>
  <c r="L63" i="11"/>
  <c r="AJ63" i="11"/>
  <c r="AJ68" i="11"/>
  <c r="E68" i="11"/>
  <c r="E85" i="11" s="1"/>
  <c r="E63" i="11"/>
  <c r="M63" i="11"/>
  <c r="M68" i="11"/>
  <c r="U68" i="11"/>
  <c r="U63" i="11"/>
  <c r="AC63" i="11"/>
  <c r="AC68" i="11"/>
  <c r="AK63" i="11"/>
  <c r="AK68" i="11"/>
  <c r="AS63" i="11"/>
  <c r="AS68" i="11"/>
  <c r="BA63" i="11"/>
  <c r="BA68" i="11"/>
  <c r="BI68" i="11"/>
  <c r="BI63" i="11"/>
  <c r="H69" i="11"/>
  <c r="H64" i="11"/>
  <c r="AO87" i="18"/>
  <c r="P69" i="11"/>
  <c r="P64" i="11"/>
  <c r="AW87" i="18"/>
  <c r="X69" i="11"/>
  <c r="X64" i="11"/>
  <c r="BE87" i="18"/>
  <c r="AF64" i="11"/>
  <c r="AF69" i="11"/>
  <c r="BM87" i="18"/>
  <c r="AN69" i="11"/>
  <c r="AN64" i="11"/>
  <c r="BU87" i="18"/>
  <c r="AV69" i="11"/>
  <c r="AV64" i="11"/>
  <c r="CC87" i="18"/>
  <c r="BD69" i="11"/>
  <c r="BD64" i="11"/>
  <c r="CK87" i="18"/>
  <c r="BL69" i="11"/>
  <c r="BL64" i="11"/>
  <c r="CS87" i="18"/>
  <c r="C70" i="11"/>
  <c r="C65" i="11"/>
  <c r="K70" i="11"/>
  <c r="K65" i="11"/>
  <c r="S70" i="11"/>
  <c r="S65" i="11"/>
  <c r="AA70" i="11"/>
  <c r="AA65" i="11"/>
  <c r="AI70" i="11"/>
  <c r="AI65" i="11"/>
  <c r="AQ70" i="11"/>
  <c r="AQ65" i="11"/>
  <c r="AY70" i="11"/>
  <c r="AY65" i="11"/>
  <c r="BG70" i="11"/>
  <c r="BG65" i="11"/>
  <c r="J49" i="12"/>
  <c r="J71" i="11"/>
  <c r="R49" i="12"/>
  <c r="R71" i="11"/>
  <c r="Z49" i="12"/>
  <c r="Z71" i="11"/>
  <c r="AH49" i="12"/>
  <c r="AH71" i="11"/>
  <c r="AP49" i="12"/>
  <c r="AP71" i="11"/>
  <c r="AX49" i="12"/>
  <c r="AX71" i="11"/>
  <c r="BF49" i="12"/>
  <c r="BF71" i="11"/>
  <c r="DR191" i="18"/>
  <c r="F68" i="11"/>
  <c r="F85" i="11" s="1"/>
  <c r="F63" i="11"/>
  <c r="V68" i="11"/>
  <c r="V63" i="11"/>
  <c r="AD68" i="11"/>
  <c r="AD63" i="11"/>
  <c r="AL68" i="11"/>
  <c r="AL63" i="11"/>
  <c r="BB68" i="11"/>
  <c r="BB63" i="11"/>
  <c r="Y69" i="11"/>
  <c r="Y64" i="11"/>
  <c r="BF87" i="18"/>
  <c r="AG69" i="11"/>
  <c r="AG64" i="11"/>
  <c r="BN87" i="18"/>
  <c r="AO64" i="11"/>
  <c r="AO69" i="11"/>
  <c r="BV87" i="18"/>
  <c r="AW69" i="11"/>
  <c r="AW64" i="11"/>
  <c r="CD87" i="18"/>
  <c r="BE69" i="11"/>
  <c r="BE64" i="11"/>
  <c r="CL87" i="18"/>
  <c r="BM69" i="11"/>
  <c r="BM64" i="11"/>
  <c r="CT87" i="18"/>
  <c r="D65" i="11"/>
  <c r="D70" i="11"/>
  <c r="L65" i="11"/>
  <c r="L70" i="11"/>
  <c r="T65" i="11"/>
  <c r="T70" i="11"/>
  <c r="AB65" i="11"/>
  <c r="AB70" i="11"/>
  <c r="AJ65" i="11"/>
  <c r="AJ70" i="11"/>
  <c r="AR65" i="11"/>
  <c r="AR70" i="11"/>
  <c r="AZ65" i="11"/>
  <c r="AZ70" i="11"/>
  <c r="BH65" i="11"/>
  <c r="BH70" i="11"/>
  <c r="K49" i="12"/>
  <c r="K71" i="11"/>
  <c r="S49" i="12"/>
  <c r="S71" i="11"/>
  <c r="AA49" i="12"/>
  <c r="AA71" i="11"/>
  <c r="AI49" i="12"/>
  <c r="AI71" i="11"/>
  <c r="AQ49" i="12"/>
  <c r="AQ71" i="11"/>
  <c r="AY49" i="12"/>
  <c r="AY71" i="11"/>
  <c r="BG49" i="12"/>
  <c r="BG71" i="11"/>
  <c r="N68" i="11"/>
  <c r="N63" i="11"/>
  <c r="AT68" i="11"/>
  <c r="AT63" i="11"/>
  <c r="AT94" i="11" s="1"/>
  <c r="BJ68" i="11"/>
  <c r="BJ63" i="11"/>
  <c r="I69" i="11"/>
  <c r="I64" i="11"/>
  <c r="AP87" i="18"/>
  <c r="Q69" i="11"/>
  <c r="Q64" i="11"/>
  <c r="AX87" i="18"/>
  <c r="G68" i="11"/>
  <c r="G85" i="11" s="1"/>
  <c r="G63" i="11"/>
  <c r="O68" i="11"/>
  <c r="O63" i="11"/>
  <c r="W68" i="11"/>
  <c r="W63" i="11"/>
  <c r="AE68" i="11"/>
  <c r="AE63" i="11"/>
  <c r="AM63" i="11"/>
  <c r="AM68" i="11"/>
  <c r="AU68" i="11"/>
  <c r="AU63" i="11"/>
  <c r="BC63" i="11"/>
  <c r="BC68" i="11"/>
  <c r="BK68" i="11"/>
  <c r="BK63" i="11"/>
  <c r="J69" i="11"/>
  <c r="J64" i="11"/>
  <c r="AQ87" i="18"/>
  <c r="R69" i="11"/>
  <c r="R64" i="11"/>
  <c r="AY87" i="18"/>
  <c r="Z69" i="11"/>
  <c r="Z64" i="11"/>
  <c r="BG87" i="18"/>
  <c r="AH69" i="11"/>
  <c r="AH64" i="11"/>
  <c r="BO87" i="18"/>
  <c r="AP69" i="11"/>
  <c r="AP64" i="11"/>
  <c r="BW87" i="18"/>
  <c r="AX69" i="11"/>
  <c r="AX64" i="11"/>
  <c r="CE87" i="18"/>
  <c r="BF69" i="11"/>
  <c r="BF64" i="11"/>
  <c r="CM87" i="18"/>
  <c r="E70" i="11"/>
  <c r="E65" i="11"/>
  <c r="M65" i="11"/>
  <c r="M70" i="11"/>
  <c r="U70" i="11"/>
  <c r="U65" i="11"/>
  <c r="AC70" i="11"/>
  <c r="AC65" i="11"/>
  <c r="AK70" i="11"/>
  <c r="AK65" i="11"/>
  <c r="AS65" i="11"/>
  <c r="AS70" i="11"/>
  <c r="BA65" i="11"/>
  <c r="BA70" i="11"/>
  <c r="BI70" i="11"/>
  <c r="BI65" i="11"/>
  <c r="L49" i="12"/>
  <c r="L71" i="11"/>
  <c r="T49" i="12"/>
  <c r="T71" i="11"/>
  <c r="AB49" i="12"/>
  <c r="AB71" i="11"/>
  <c r="AJ49" i="12"/>
  <c r="AJ71" i="11"/>
  <c r="AR49" i="12"/>
  <c r="AR71" i="11"/>
  <c r="AZ49" i="12"/>
  <c r="AZ71" i="11"/>
  <c r="BH49" i="12"/>
  <c r="BH71" i="11"/>
  <c r="H68" i="11"/>
  <c r="H85" i="11" s="1"/>
  <c r="H63" i="11"/>
  <c r="P68" i="11"/>
  <c r="P63" i="11"/>
  <c r="X68" i="11"/>
  <c r="X63" i="11"/>
  <c r="AF68" i="11"/>
  <c r="AF63" i="11"/>
  <c r="AN68" i="11"/>
  <c r="AN63" i="11"/>
  <c r="AV68" i="11"/>
  <c r="AV63" i="11"/>
  <c r="BD68" i="11"/>
  <c r="BD63" i="11"/>
  <c r="BL63" i="11"/>
  <c r="BL68" i="11"/>
  <c r="C64" i="11"/>
  <c r="C69" i="11"/>
  <c r="AJ87" i="18"/>
  <c r="K69" i="11"/>
  <c r="K64" i="11"/>
  <c r="AR87" i="18"/>
  <c r="S69" i="11"/>
  <c r="S64" i="11"/>
  <c r="AZ87" i="18"/>
  <c r="AA69" i="11"/>
  <c r="AA64" i="11"/>
  <c r="BH87" i="18"/>
  <c r="AI69" i="11"/>
  <c r="AI64" i="11"/>
  <c r="BP87" i="18"/>
  <c r="AQ64" i="11"/>
  <c r="AQ69" i="11"/>
  <c r="BX87" i="18"/>
  <c r="AY69" i="11"/>
  <c r="AY64" i="11"/>
  <c r="CF87" i="18"/>
  <c r="BG64" i="11"/>
  <c r="BG69" i="11"/>
  <c r="CN87" i="18"/>
  <c r="F70" i="11"/>
  <c r="F65" i="11"/>
  <c r="N70" i="11"/>
  <c r="N65" i="11"/>
  <c r="V70" i="11"/>
  <c r="V65" i="11"/>
  <c r="AD70" i="11"/>
  <c r="AD65" i="11"/>
  <c r="AL70" i="11"/>
  <c r="AL65" i="11"/>
  <c r="AT70" i="11"/>
  <c r="AT65" i="11"/>
  <c r="BB65" i="11"/>
  <c r="BB70" i="11"/>
  <c r="BJ65" i="11"/>
  <c r="BJ70" i="11"/>
  <c r="M49" i="12"/>
  <c r="M71" i="11"/>
  <c r="U49" i="12"/>
  <c r="U71" i="11"/>
  <c r="AC49" i="12"/>
  <c r="AC71" i="11"/>
  <c r="AK49" i="12"/>
  <c r="AK71" i="11"/>
  <c r="AS49" i="12"/>
  <c r="AS71" i="11"/>
  <c r="BA49" i="12"/>
  <c r="BA71" i="11"/>
  <c r="BI49" i="12"/>
  <c r="BI71" i="11"/>
  <c r="DQ185" i="18"/>
  <c r="I68" i="11"/>
  <c r="I63" i="11"/>
  <c r="Q68" i="11"/>
  <c r="Q63" i="11"/>
  <c r="Y68" i="11"/>
  <c r="Y63" i="11"/>
  <c r="AG68" i="11"/>
  <c r="AG63" i="11"/>
  <c r="AO68" i="11"/>
  <c r="AO63" i="11"/>
  <c r="AW68" i="11"/>
  <c r="AW63" i="11"/>
  <c r="BE68" i="11"/>
  <c r="BE63" i="11"/>
  <c r="BM68" i="11"/>
  <c r="BM63" i="11"/>
  <c r="D64" i="11"/>
  <c r="D69" i="11"/>
  <c r="AK87" i="18"/>
  <c r="L64" i="11"/>
  <c r="L69" i="11"/>
  <c r="AS87" i="18"/>
  <c r="T69" i="11"/>
  <c r="T64" i="11"/>
  <c r="BA87" i="18"/>
  <c r="AB69" i="11"/>
  <c r="AB64" i="11"/>
  <c r="BI87" i="18"/>
  <c r="AJ64" i="11"/>
  <c r="AJ69" i="11"/>
  <c r="BQ87" i="18"/>
  <c r="AR69" i="11"/>
  <c r="AR64" i="11"/>
  <c r="BY87" i="18"/>
  <c r="AZ64" i="11"/>
  <c r="AZ69" i="11"/>
  <c r="CG87" i="18"/>
  <c r="BH64" i="11"/>
  <c r="BH69" i="11"/>
  <c r="CO87" i="18"/>
  <c r="G65" i="11"/>
  <c r="G70" i="11"/>
  <c r="O70" i="11"/>
  <c r="O65" i="11"/>
  <c r="W70" i="11"/>
  <c r="W65" i="11"/>
  <c r="AE70" i="11"/>
  <c r="AE65" i="11"/>
  <c r="AM65" i="11"/>
  <c r="AM70" i="11"/>
  <c r="AU70" i="11"/>
  <c r="AU65" i="11"/>
  <c r="BC70" i="11"/>
  <c r="BC65" i="11"/>
  <c r="BK65" i="11"/>
  <c r="BK70" i="11"/>
  <c r="N49" i="12"/>
  <c r="N71" i="11"/>
  <c r="V49" i="12"/>
  <c r="V71" i="11"/>
  <c r="AD49" i="12"/>
  <c r="AD71" i="11"/>
  <c r="AL49" i="12"/>
  <c r="AL71" i="11"/>
  <c r="AT49" i="12"/>
  <c r="AT71" i="11"/>
  <c r="BB49" i="12"/>
  <c r="BB71" i="11"/>
  <c r="BJ49" i="12"/>
  <c r="BJ71" i="11"/>
  <c r="J68" i="11"/>
  <c r="J63" i="11"/>
  <c r="R63" i="11"/>
  <c r="R68" i="11"/>
  <c r="Z63" i="11"/>
  <c r="Z68" i="11"/>
  <c r="AH68" i="11"/>
  <c r="AH63" i="11"/>
  <c r="AP68" i="11"/>
  <c r="AP63" i="11"/>
  <c r="AX68" i="11"/>
  <c r="AX63" i="11"/>
  <c r="BF68" i="11"/>
  <c r="BF63" i="11"/>
  <c r="E69" i="11"/>
  <c r="E64" i="11"/>
  <c r="AL87" i="18"/>
  <c r="M64" i="11"/>
  <c r="M69" i="11"/>
  <c r="AT87" i="18"/>
  <c r="U64" i="11"/>
  <c r="U69" i="11"/>
  <c r="BB87" i="18"/>
  <c r="AC69" i="11"/>
  <c r="AC64" i="11"/>
  <c r="BJ87" i="18"/>
  <c r="AK69" i="11"/>
  <c r="AK64" i="11"/>
  <c r="BR87" i="18"/>
  <c r="AS69" i="11"/>
  <c r="AS64" i="11"/>
  <c r="BZ87" i="18"/>
  <c r="BA69" i="11"/>
  <c r="BA64" i="11"/>
  <c r="CH87" i="18"/>
  <c r="BI64" i="11"/>
  <c r="BI69" i="11"/>
  <c r="CP87" i="18"/>
  <c r="H70" i="11"/>
  <c r="H65" i="11"/>
  <c r="P70" i="11"/>
  <c r="P65" i="11"/>
  <c r="X70" i="11"/>
  <c r="X65" i="11"/>
  <c r="AF70" i="11"/>
  <c r="AF65" i="11"/>
  <c r="AN70" i="11"/>
  <c r="AN65" i="11"/>
  <c r="AV70" i="11"/>
  <c r="AV65" i="11"/>
  <c r="BD70" i="11"/>
  <c r="BD65" i="11"/>
  <c r="BL70" i="11"/>
  <c r="BL65" i="11"/>
  <c r="O49" i="12"/>
  <c r="O71" i="11"/>
  <c r="W49" i="12"/>
  <c r="W71" i="11"/>
  <c r="AE49" i="12"/>
  <c r="AE71" i="11"/>
  <c r="AM49" i="12"/>
  <c r="AM71" i="11"/>
  <c r="AU49" i="12"/>
  <c r="AU71" i="11"/>
  <c r="BC49" i="12"/>
  <c r="BC71" i="11"/>
  <c r="BK49" i="12"/>
  <c r="BK71" i="11"/>
  <c r="N64" i="11"/>
  <c r="N69" i="11"/>
  <c r="AU87" i="18"/>
  <c r="V64" i="11"/>
  <c r="V69" i="11"/>
  <c r="BC87" i="18"/>
  <c r="AD64" i="11"/>
  <c r="AD69" i="11"/>
  <c r="BK87" i="18"/>
  <c r="AL69" i="11"/>
  <c r="AL64" i="11"/>
  <c r="BS87" i="18"/>
  <c r="AT69" i="11"/>
  <c r="AT64" i="11"/>
  <c r="CA87" i="18"/>
  <c r="BB64" i="11"/>
  <c r="BB69" i="11"/>
  <c r="CI87" i="18"/>
  <c r="BJ64" i="11"/>
  <c r="BJ69" i="11"/>
  <c r="CQ87" i="18"/>
  <c r="I65" i="11"/>
  <c r="I70" i="11"/>
  <c r="Q70" i="11"/>
  <c r="Q65" i="11"/>
  <c r="Y70" i="11"/>
  <c r="Y65" i="11"/>
  <c r="AG70" i="11"/>
  <c r="AG65" i="11"/>
  <c r="AO70" i="11"/>
  <c r="AO65" i="11"/>
  <c r="AW65" i="11"/>
  <c r="AW70" i="11"/>
  <c r="BE65" i="11"/>
  <c r="BE70" i="11"/>
  <c r="BM70" i="11"/>
  <c r="BM65" i="11"/>
  <c r="P49" i="12"/>
  <c r="P71" i="11"/>
  <c r="X49" i="12"/>
  <c r="X71" i="11"/>
  <c r="AF49" i="12"/>
  <c r="AF71" i="11"/>
  <c r="AN49" i="12"/>
  <c r="AN71" i="11"/>
  <c r="AV49" i="12"/>
  <c r="AV71" i="11"/>
  <c r="BD49" i="12"/>
  <c r="BD71" i="11"/>
  <c r="BL49" i="12"/>
  <c r="BL71" i="11"/>
  <c r="T68" i="11"/>
  <c r="T63" i="11"/>
  <c r="AB68" i="11"/>
  <c r="AB63" i="11"/>
  <c r="AR63" i="11"/>
  <c r="AR68" i="11"/>
  <c r="AZ68" i="11"/>
  <c r="AZ63" i="11"/>
  <c r="BH68" i="11"/>
  <c r="BH63" i="11"/>
  <c r="AF87" i="18"/>
  <c r="G69" i="11"/>
  <c r="G64" i="11"/>
  <c r="AN87" i="18"/>
  <c r="O69" i="11"/>
  <c r="O64" i="11"/>
  <c r="AV87" i="18"/>
  <c r="W69" i="11"/>
  <c r="W64" i="11"/>
  <c r="BD87" i="18"/>
  <c r="AE69" i="11"/>
  <c r="AE64" i="11"/>
  <c r="BL87" i="18"/>
  <c r="AM69" i="11"/>
  <c r="AM64" i="11"/>
  <c r="BT87" i="18"/>
  <c r="AU69" i="11"/>
  <c r="AU64" i="11"/>
  <c r="CB87" i="18"/>
  <c r="BC69" i="11"/>
  <c r="BC64" i="11"/>
  <c r="CJ87" i="18"/>
  <c r="BK69" i="11"/>
  <c r="BK64" i="11"/>
  <c r="CR87" i="18"/>
  <c r="J70" i="11"/>
  <c r="J65" i="11"/>
  <c r="R65" i="11"/>
  <c r="R70" i="11"/>
  <c r="Z70" i="11"/>
  <c r="Z65" i="11"/>
  <c r="AH70" i="11"/>
  <c r="AH65" i="11"/>
  <c r="AP70" i="11"/>
  <c r="AP65" i="11"/>
  <c r="AX70" i="11"/>
  <c r="AX65" i="11"/>
  <c r="BF70" i="11"/>
  <c r="BF65" i="11"/>
  <c r="I49" i="12"/>
  <c r="I71" i="11"/>
  <c r="Q49" i="12"/>
  <c r="Q71" i="11"/>
  <c r="Y49" i="12"/>
  <c r="Y71" i="11"/>
  <c r="AG49" i="12"/>
  <c r="AG71" i="11"/>
  <c r="AO49" i="12"/>
  <c r="AO71" i="11"/>
  <c r="AW49" i="12"/>
  <c r="AW71" i="11"/>
  <c r="BE49" i="12"/>
  <c r="BE71" i="11"/>
  <c r="BM49" i="12"/>
  <c r="BM71" i="11"/>
  <c r="AN54" i="15"/>
  <c r="AN51" i="15" s="1"/>
  <c r="AN85" i="18" s="1"/>
  <c r="G45" i="12"/>
  <c r="G48" i="12"/>
  <c r="G57" i="12" s="1"/>
  <c r="G61" i="12" s="1"/>
  <c r="G58" i="12"/>
  <c r="AN68" i="15" s="1"/>
  <c r="S45" i="12"/>
  <c r="S48" i="12"/>
  <c r="S58" i="12"/>
  <c r="AZ68" i="15" s="1"/>
  <c r="AE45" i="12"/>
  <c r="AE48" i="12"/>
  <c r="AE58" i="12"/>
  <c r="BL68" i="15" s="1"/>
  <c r="AQ45" i="12"/>
  <c r="AQ48" i="12"/>
  <c r="AQ58" i="12"/>
  <c r="BX68" i="15" s="1"/>
  <c r="BC45" i="12"/>
  <c r="BC48" i="12"/>
  <c r="BC58" i="12"/>
  <c r="CJ68" i="15" s="1"/>
  <c r="AO54" i="15"/>
  <c r="AO74" i="15" s="1"/>
  <c r="AO93" i="15" s="1"/>
  <c r="AO114" i="15" s="1"/>
  <c r="AO132" i="15" s="1"/>
  <c r="AO144" i="15" s="1"/>
  <c r="H45" i="12"/>
  <c r="H48" i="12"/>
  <c r="H57" i="12" s="1"/>
  <c r="H61" i="12" s="1"/>
  <c r="H58" i="12"/>
  <c r="AO68" i="15" s="1"/>
  <c r="BA54" i="15"/>
  <c r="BA51" i="15" s="1"/>
  <c r="BA85" i="18" s="1"/>
  <c r="T45" i="12"/>
  <c r="T48" i="12"/>
  <c r="T58" i="12"/>
  <c r="BA68" i="15" s="1"/>
  <c r="BM54" i="15"/>
  <c r="BM51" i="15" s="1"/>
  <c r="BM85" i="18" s="1"/>
  <c r="AF45" i="12"/>
  <c r="AF48" i="12"/>
  <c r="AF58" i="12"/>
  <c r="BM68" i="15" s="1"/>
  <c r="BY54" i="15"/>
  <c r="BY51" i="15" s="1"/>
  <c r="BY85" i="18" s="1"/>
  <c r="AR45" i="12"/>
  <c r="AR48" i="12"/>
  <c r="AR58" i="12"/>
  <c r="BY68" i="15" s="1"/>
  <c r="CK54" i="15"/>
  <c r="BD45" i="12"/>
  <c r="BD48" i="12"/>
  <c r="BD58" i="12"/>
  <c r="CK68" i="15" s="1"/>
  <c r="AP54" i="15"/>
  <c r="AP74" i="15" s="1"/>
  <c r="AP93" i="15" s="1"/>
  <c r="AP114" i="15" s="1"/>
  <c r="AP132" i="15" s="1"/>
  <c r="AP144" i="15" s="1"/>
  <c r="I45" i="12"/>
  <c r="I48" i="12"/>
  <c r="I58" i="12"/>
  <c r="AP68" i="15" s="1"/>
  <c r="BB54" i="15"/>
  <c r="BB51" i="15" s="1"/>
  <c r="BB85" i="18" s="1"/>
  <c r="U45" i="12"/>
  <c r="U48" i="12"/>
  <c r="U58" i="12"/>
  <c r="BB68" i="15" s="1"/>
  <c r="BN54" i="15"/>
  <c r="AG45" i="12"/>
  <c r="AG48" i="12"/>
  <c r="AG58" i="12"/>
  <c r="BN68" i="15" s="1"/>
  <c r="BZ54" i="15"/>
  <c r="BZ74" i="15" s="1"/>
  <c r="BZ93" i="15" s="1"/>
  <c r="BZ114" i="15" s="1"/>
  <c r="BZ132" i="15" s="1"/>
  <c r="BZ144" i="15" s="1"/>
  <c r="AS45" i="12"/>
  <c r="AS48" i="12"/>
  <c r="AS58" i="12"/>
  <c r="BZ68" i="15" s="1"/>
  <c r="CL54" i="15"/>
  <c r="CL51" i="15" s="1"/>
  <c r="BE45" i="12"/>
  <c r="BE48" i="12"/>
  <c r="BE58" i="12"/>
  <c r="CL68" i="15" s="1"/>
  <c r="AQ54" i="15"/>
  <c r="AQ51" i="15" s="1"/>
  <c r="AQ85" i="18" s="1"/>
  <c r="J45" i="12"/>
  <c r="J48" i="12"/>
  <c r="J58" i="12"/>
  <c r="AQ68" i="15" s="1"/>
  <c r="BC54" i="15"/>
  <c r="BC51" i="15" s="1"/>
  <c r="BC85" i="18" s="1"/>
  <c r="V48" i="12"/>
  <c r="V45" i="12"/>
  <c r="V58" i="12"/>
  <c r="BC68" i="15" s="1"/>
  <c r="BO54" i="15"/>
  <c r="BO51" i="15" s="1"/>
  <c r="BO85" i="18" s="1"/>
  <c r="AH48" i="12"/>
  <c r="AH45" i="12"/>
  <c r="AH58" i="12"/>
  <c r="BO68" i="15" s="1"/>
  <c r="CA54" i="15"/>
  <c r="CA51" i="15" s="1"/>
  <c r="CA85" i="18" s="1"/>
  <c r="AT48" i="12"/>
  <c r="AT45" i="12"/>
  <c r="AT58" i="12"/>
  <c r="CA68" i="15" s="1"/>
  <c r="CM54" i="15"/>
  <c r="CM51" i="15" s="1"/>
  <c r="CM85" i="18" s="1"/>
  <c r="BF48" i="12"/>
  <c r="BF45" i="12"/>
  <c r="BF58" i="12"/>
  <c r="CM68" i="15" s="1"/>
  <c r="AR54" i="15"/>
  <c r="K48" i="12"/>
  <c r="K45" i="12"/>
  <c r="K58" i="12"/>
  <c r="AR68" i="15" s="1"/>
  <c r="BP54" i="15"/>
  <c r="BP51" i="15" s="1"/>
  <c r="BP85" i="18" s="1"/>
  <c r="AI48" i="12"/>
  <c r="AI45" i="12"/>
  <c r="AI58" i="12"/>
  <c r="BP68" i="15" s="1"/>
  <c r="AU48" i="12"/>
  <c r="AU45" i="12"/>
  <c r="AU58" i="12"/>
  <c r="CB68" i="15" s="1"/>
  <c r="BG48" i="12"/>
  <c r="BG45" i="12"/>
  <c r="BG58" i="12"/>
  <c r="CN68" i="15" s="1"/>
  <c r="W48" i="12"/>
  <c r="W45" i="12"/>
  <c r="W58" i="12"/>
  <c r="BD68" i="15" s="1"/>
  <c r="AS54" i="15"/>
  <c r="AS51" i="15" s="1"/>
  <c r="AS85" i="18" s="1"/>
  <c r="L48" i="12"/>
  <c r="L45" i="12"/>
  <c r="L58" i="12"/>
  <c r="AS68" i="15" s="1"/>
  <c r="BE54" i="15"/>
  <c r="BE51" i="15" s="1"/>
  <c r="BE85" i="18" s="1"/>
  <c r="X45" i="12"/>
  <c r="X48" i="12"/>
  <c r="X58" i="12"/>
  <c r="BE68" i="15" s="1"/>
  <c r="BQ54" i="15"/>
  <c r="BQ74" i="15" s="1"/>
  <c r="AJ48" i="12"/>
  <c r="AJ45" i="12"/>
  <c r="AJ58" i="12"/>
  <c r="BQ68" i="15" s="1"/>
  <c r="CC54" i="15"/>
  <c r="AV48" i="12"/>
  <c r="AV45" i="12"/>
  <c r="AV58" i="12"/>
  <c r="CC68" i="15" s="1"/>
  <c r="CO54" i="15"/>
  <c r="BH48" i="12"/>
  <c r="BH45" i="12"/>
  <c r="BH58" i="12"/>
  <c r="CO68" i="15" s="1"/>
  <c r="AT54" i="15"/>
  <c r="AT51" i="15" s="1"/>
  <c r="AT85" i="18" s="1"/>
  <c r="M48" i="12"/>
  <c r="M45" i="12"/>
  <c r="M58" i="12"/>
  <c r="AT68" i="15" s="1"/>
  <c r="BF54" i="15"/>
  <c r="BF51" i="15" s="1"/>
  <c r="BF85" i="18" s="1"/>
  <c r="Y48" i="12"/>
  <c r="Y45" i="12"/>
  <c r="Y58" i="12"/>
  <c r="BF68" i="15" s="1"/>
  <c r="BR54" i="15"/>
  <c r="BR74" i="15" s="1"/>
  <c r="BR93" i="15" s="1"/>
  <c r="BR114" i="15" s="1"/>
  <c r="BR132" i="15" s="1"/>
  <c r="BR144" i="15" s="1"/>
  <c r="AK48" i="12"/>
  <c r="AK45" i="12"/>
  <c r="AK58" i="12"/>
  <c r="BR68" i="15" s="1"/>
  <c r="CD54" i="15"/>
  <c r="CD51" i="15" s="1"/>
  <c r="CD85" i="18" s="1"/>
  <c r="AW48" i="12"/>
  <c r="AW45" i="12"/>
  <c r="AW58" i="12"/>
  <c r="CD68" i="15" s="1"/>
  <c r="CP54" i="15"/>
  <c r="CP74" i="15" s="1"/>
  <c r="CP93" i="15" s="1"/>
  <c r="CP114" i="15" s="1"/>
  <c r="CP132" i="15" s="1"/>
  <c r="CP144" i="15" s="1"/>
  <c r="BI48" i="12"/>
  <c r="BI45" i="12"/>
  <c r="BI58" i="12"/>
  <c r="CP68" i="15" s="1"/>
  <c r="AU54" i="15"/>
  <c r="N48" i="12"/>
  <c r="N45" i="12"/>
  <c r="N58" i="12"/>
  <c r="AU68" i="15" s="1"/>
  <c r="BG54" i="15"/>
  <c r="Z48" i="12"/>
  <c r="Z45" i="12"/>
  <c r="Z58" i="12"/>
  <c r="BG68" i="15" s="1"/>
  <c r="BS54" i="15"/>
  <c r="AL45" i="12"/>
  <c r="AL48" i="12"/>
  <c r="AL58" i="12"/>
  <c r="BS68" i="15" s="1"/>
  <c r="CE54" i="15"/>
  <c r="AX48" i="12"/>
  <c r="AX45" i="12"/>
  <c r="AX58" i="12"/>
  <c r="CE68" i="15" s="1"/>
  <c r="CQ54" i="15"/>
  <c r="BJ48" i="12"/>
  <c r="BJ45" i="12"/>
  <c r="BJ58" i="12"/>
  <c r="CQ68" i="15" s="1"/>
  <c r="AJ54" i="15"/>
  <c r="C48" i="12"/>
  <c r="C57" i="12" s="1"/>
  <c r="C61" i="12" s="1"/>
  <c r="C45" i="12"/>
  <c r="C58" i="12"/>
  <c r="AJ68" i="15" s="1"/>
  <c r="AV54" i="15"/>
  <c r="AV74" i="15" s="1"/>
  <c r="AV93" i="15" s="1"/>
  <c r="AV114" i="15" s="1"/>
  <c r="AV132" i="15" s="1"/>
  <c r="AV144" i="15" s="1"/>
  <c r="O48" i="12"/>
  <c r="O45" i="12"/>
  <c r="O58" i="12"/>
  <c r="AV68" i="15" s="1"/>
  <c r="BH54" i="15"/>
  <c r="BH74" i="15" s="1"/>
  <c r="BH93" i="15" s="1"/>
  <c r="BH114" i="15" s="1"/>
  <c r="BH132" i="15" s="1"/>
  <c r="BH144" i="15" s="1"/>
  <c r="AA48" i="12"/>
  <c r="AA45" i="12"/>
  <c r="AA58" i="12"/>
  <c r="BH68" i="15" s="1"/>
  <c r="BT54" i="15"/>
  <c r="AM48" i="12"/>
  <c r="AM45" i="12"/>
  <c r="AM58" i="12"/>
  <c r="BT68" i="15" s="1"/>
  <c r="CF54" i="15"/>
  <c r="CF74" i="15" s="1"/>
  <c r="AY48" i="12"/>
  <c r="AY45" i="12"/>
  <c r="AY58" i="12"/>
  <c r="CF68" i="15" s="1"/>
  <c r="CR54" i="15"/>
  <c r="BK45" i="12"/>
  <c r="BK48" i="12"/>
  <c r="BK58" i="12"/>
  <c r="CR68" i="15" s="1"/>
  <c r="AK54" i="15"/>
  <c r="AK51" i="15" s="1"/>
  <c r="AK85" i="18" s="1"/>
  <c r="D48" i="12"/>
  <c r="D57" i="12" s="1"/>
  <c r="D61" i="12" s="1"/>
  <c r="D45" i="12"/>
  <c r="D58" i="12"/>
  <c r="AK68" i="15" s="1"/>
  <c r="P48" i="12"/>
  <c r="P45" i="12"/>
  <c r="P58" i="12"/>
  <c r="AW68" i="15" s="1"/>
  <c r="AB48" i="12"/>
  <c r="AB45" i="12"/>
  <c r="AB58" i="12"/>
  <c r="BI68" i="15" s="1"/>
  <c r="AN48" i="12"/>
  <c r="AN45" i="12"/>
  <c r="AN58" i="12"/>
  <c r="BU68" i="15" s="1"/>
  <c r="AZ45" i="12"/>
  <c r="AZ48" i="12"/>
  <c r="AZ58" i="12"/>
  <c r="CG68" i="15" s="1"/>
  <c r="BL48" i="12"/>
  <c r="BL45" i="12"/>
  <c r="BL58" i="12"/>
  <c r="CS68" i="15" s="1"/>
  <c r="Q48" i="12"/>
  <c r="Q45" i="12"/>
  <c r="Q58" i="12"/>
  <c r="AX68" i="15" s="1"/>
  <c r="AO48" i="12"/>
  <c r="AO45" i="12"/>
  <c r="AO58" i="12"/>
  <c r="BV68" i="15" s="1"/>
  <c r="BM48" i="12"/>
  <c r="BM45" i="12"/>
  <c r="BM58" i="12"/>
  <c r="CT68" i="15" s="1"/>
  <c r="AL54" i="15"/>
  <c r="E48" i="12"/>
  <c r="E57" i="12" s="1"/>
  <c r="E61" i="12" s="1"/>
  <c r="E45" i="12"/>
  <c r="E58" i="12"/>
  <c r="AL68" i="15" s="1"/>
  <c r="AC48" i="12"/>
  <c r="AC45" i="12"/>
  <c r="AC58" i="12"/>
  <c r="BJ68" i="15" s="1"/>
  <c r="BA48" i="12"/>
  <c r="BA45" i="12"/>
  <c r="BA58" i="12"/>
  <c r="CH68" i="15" s="1"/>
  <c r="AM54" i="15"/>
  <c r="AM51" i="15" s="1"/>
  <c r="AM85" i="18" s="1"/>
  <c r="F48" i="12"/>
  <c r="F57" i="12" s="1"/>
  <c r="F61" i="12" s="1"/>
  <c r="F45" i="12"/>
  <c r="F58" i="12"/>
  <c r="AM68" i="15" s="1"/>
  <c r="R48" i="12"/>
  <c r="R45" i="12"/>
  <c r="R58" i="12"/>
  <c r="AY68" i="15" s="1"/>
  <c r="AD48" i="12"/>
  <c r="AD45" i="12"/>
  <c r="AD58" i="12"/>
  <c r="BK68" i="15" s="1"/>
  <c r="AP48" i="12"/>
  <c r="AP45" i="12"/>
  <c r="AP58" i="12"/>
  <c r="BW68" i="15" s="1"/>
  <c r="BB48" i="12"/>
  <c r="BB45" i="12"/>
  <c r="BB58" i="12"/>
  <c r="CI68" i="15" s="1"/>
  <c r="CG54" i="15"/>
  <c r="CS54" i="15"/>
  <c r="CS51" i="15" s="1"/>
  <c r="CS85" i="18" s="1"/>
  <c r="AY54" i="15"/>
  <c r="AY51" i="15" s="1"/>
  <c r="AY85" i="18" s="1"/>
  <c r="BK54" i="15"/>
  <c r="BW54" i="15"/>
  <c r="CI54" i="15"/>
  <c r="AW54" i="15"/>
  <c r="BI54" i="15"/>
  <c r="BI51" i="15" s="1"/>
  <c r="BI85" i="18" s="1"/>
  <c r="BU54" i="15"/>
  <c r="BU51" i="15" s="1"/>
  <c r="BU85" i="18" s="1"/>
  <c r="BD54" i="15"/>
  <c r="CB54" i="15"/>
  <c r="CN54" i="15"/>
  <c r="AX54" i="15"/>
  <c r="AX51" i="15" s="1"/>
  <c r="AX85" i="18" s="1"/>
  <c r="BJ54" i="15"/>
  <c r="BJ74" i="15" s="1"/>
  <c r="BJ93" i="15" s="1"/>
  <c r="BJ114" i="15" s="1"/>
  <c r="BJ132" i="15" s="1"/>
  <c r="BJ144" i="15" s="1"/>
  <c r="BV54" i="15"/>
  <c r="CH54" i="15"/>
  <c r="CH74" i="15" s="1"/>
  <c r="CH93" i="15" s="1"/>
  <c r="CH114" i="15" s="1"/>
  <c r="CH132" i="15" s="1"/>
  <c r="CH144" i="15" s="1"/>
  <c r="CT54" i="15"/>
  <c r="AZ54" i="15"/>
  <c r="AZ51" i="15" s="1"/>
  <c r="AZ85" i="18" s="1"/>
  <c r="BL54" i="15"/>
  <c r="BX54" i="15"/>
  <c r="CJ54" i="15"/>
  <c r="CJ51" i="15" s="1"/>
  <c r="CJ85" i="18" s="1"/>
  <c r="AD51" i="15"/>
  <c r="AD85" i="18" s="1"/>
  <c r="AD74" i="15"/>
  <c r="AD93" i="15" s="1"/>
  <c r="AD114" i="15" s="1"/>
  <c r="AD132" i="15" s="1"/>
  <c r="AD144" i="15" s="1"/>
  <c r="AE51" i="15"/>
  <c r="AE85" i="18" s="1"/>
  <c r="AE74" i="15"/>
  <c r="AE93" i="15" s="1"/>
  <c r="AE114" i="15" s="1"/>
  <c r="AE132" i="15" s="1"/>
  <c r="AE144" i="15" s="1"/>
  <c r="AF51" i="15"/>
  <c r="AF85" i="18" s="1"/>
  <c r="AF74" i="15"/>
  <c r="AF93" i="15" s="1"/>
  <c r="AF114" i="15" s="1"/>
  <c r="AF132" i="15" s="1"/>
  <c r="AF144" i="15" s="1"/>
  <c r="AG51" i="15"/>
  <c r="AG85" i="18" s="1"/>
  <c r="AG74" i="15"/>
  <c r="AG93" i="15" s="1"/>
  <c r="AG114" i="15" s="1"/>
  <c r="AG132" i="15" s="1"/>
  <c r="AG144" i="15" s="1"/>
  <c r="AH51" i="15"/>
  <c r="AH85" i="18" s="1"/>
  <c r="AH74" i="15"/>
  <c r="AH93" i="15" s="1"/>
  <c r="AH114" i="15" s="1"/>
  <c r="AH132" i="15" s="1"/>
  <c r="AH144" i="15" s="1"/>
  <c r="AI51" i="15"/>
  <c r="AI85" i="18" s="1"/>
  <c r="AI74" i="15"/>
  <c r="AI93" i="15" s="1"/>
  <c r="AI114" i="15" s="1"/>
  <c r="AI132" i="15" s="1"/>
  <c r="AI144" i="15" s="1"/>
  <c r="AC51" i="15"/>
  <c r="AC85" i="18" s="1"/>
  <c r="AC74" i="15"/>
  <c r="AC93" i="15" s="1"/>
  <c r="AC114" i="15" s="1"/>
  <c r="AC132" i="15" s="1"/>
  <c r="AC144" i="15" s="1"/>
  <c r="U129" i="13"/>
  <c r="AG129" i="13"/>
  <c r="AS129" i="13"/>
  <c r="BE129" i="13"/>
  <c r="BQ129" i="13"/>
  <c r="CU411" i="2"/>
  <c r="CV411" i="2" s="1"/>
  <c r="CW411" i="2" s="1"/>
  <c r="CX411" i="2" s="1"/>
  <c r="CY411" i="2" s="1"/>
  <c r="CZ411" i="2" s="1"/>
  <c r="DA411" i="2" s="1"/>
  <c r="DB411" i="2" s="1"/>
  <c r="DC411" i="2" s="1"/>
  <c r="DD411" i="2" s="1"/>
  <c r="DE411" i="2" s="1"/>
  <c r="DF411" i="2" s="1"/>
  <c r="DG411" i="2" s="1"/>
  <c r="DH411" i="2" s="1"/>
  <c r="DI411" i="2" s="1"/>
  <c r="DJ411" i="2" s="1"/>
  <c r="DK411" i="2" s="1"/>
  <c r="DL411" i="2" s="1"/>
  <c r="DM411" i="2" s="1"/>
  <c r="DN411" i="2" s="1"/>
  <c r="DO411" i="2" s="1"/>
  <c r="DP411" i="2" s="1"/>
  <c r="DQ411" i="2" s="1"/>
  <c r="DR411" i="2" s="1"/>
  <c r="Z123" i="13"/>
  <c r="Z129" i="13"/>
  <c r="AX123" i="13"/>
  <c r="AX129" i="13"/>
  <c r="E124" i="13"/>
  <c r="E130" i="13"/>
  <c r="AC124" i="13"/>
  <c r="AC130" i="13"/>
  <c r="BA124" i="13"/>
  <c r="BA130" i="13"/>
  <c r="H125" i="13"/>
  <c r="H131" i="13"/>
  <c r="AF125" i="13"/>
  <c r="AF131" i="13"/>
  <c r="BD125" i="13"/>
  <c r="BD131" i="13"/>
  <c r="C125" i="13"/>
  <c r="C131" i="13"/>
  <c r="AA123" i="13"/>
  <c r="AA129" i="13"/>
  <c r="AY123" i="13"/>
  <c r="AY129" i="13"/>
  <c r="F124" i="13"/>
  <c r="F130" i="13"/>
  <c r="AD124" i="13"/>
  <c r="AD130" i="13"/>
  <c r="BB124" i="13"/>
  <c r="BB130" i="13"/>
  <c r="I125" i="13"/>
  <c r="I131" i="13"/>
  <c r="AG125" i="13"/>
  <c r="AG131" i="13"/>
  <c r="BE125" i="13"/>
  <c r="BE131" i="13"/>
  <c r="D123" i="13"/>
  <c r="D129" i="13"/>
  <c r="AB123" i="13"/>
  <c r="AB129" i="13"/>
  <c r="AZ123" i="13"/>
  <c r="AZ129" i="13"/>
  <c r="G124" i="13"/>
  <c r="G130" i="13"/>
  <c r="AE124" i="13"/>
  <c r="AE130" i="13"/>
  <c r="BC124" i="13"/>
  <c r="BC130" i="13"/>
  <c r="J125" i="13"/>
  <c r="J131" i="13"/>
  <c r="AH125" i="13"/>
  <c r="AH131" i="13"/>
  <c r="BF125" i="13"/>
  <c r="BF131" i="13"/>
  <c r="BR125" i="13"/>
  <c r="BR131" i="13"/>
  <c r="E123" i="13"/>
  <c r="E129" i="13"/>
  <c r="AC123" i="13"/>
  <c r="AC129" i="13"/>
  <c r="BM123" i="13"/>
  <c r="BM129" i="13"/>
  <c r="T124" i="13"/>
  <c r="T130" i="13"/>
  <c r="AR124" i="13"/>
  <c r="AR130" i="13"/>
  <c r="BP124" i="13"/>
  <c r="BP130" i="13"/>
  <c r="W125" i="13"/>
  <c r="W131" i="13"/>
  <c r="AU125" i="13"/>
  <c r="AU131" i="13"/>
  <c r="BS125" i="13"/>
  <c r="BS131" i="13"/>
  <c r="F123" i="13"/>
  <c r="F129" i="13"/>
  <c r="AD123" i="13"/>
  <c r="AD129" i="13"/>
  <c r="BN123" i="13"/>
  <c r="BN129" i="13"/>
  <c r="AG124" i="13"/>
  <c r="AG130" i="13"/>
  <c r="BQ124" i="13"/>
  <c r="BQ130" i="13"/>
  <c r="X125" i="13"/>
  <c r="X131" i="13"/>
  <c r="BH125" i="13"/>
  <c r="BH131" i="13"/>
  <c r="G123" i="13"/>
  <c r="G129" i="13"/>
  <c r="AE123" i="13"/>
  <c r="AE129" i="13"/>
  <c r="BC123" i="13"/>
  <c r="BC129" i="13"/>
  <c r="J124" i="13"/>
  <c r="J130" i="13"/>
  <c r="AH124" i="13"/>
  <c r="AH130" i="13"/>
  <c r="BF124" i="13"/>
  <c r="BF130" i="13"/>
  <c r="M125" i="13"/>
  <c r="M131" i="13"/>
  <c r="AK125" i="13"/>
  <c r="AK131" i="13"/>
  <c r="BI125" i="13"/>
  <c r="BI131" i="13"/>
  <c r="T123" i="13"/>
  <c r="T129" i="13"/>
  <c r="AR123" i="13"/>
  <c r="AR129" i="13"/>
  <c r="BP123" i="13"/>
  <c r="BP129" i="13"/>
  <c r="W124" i="13"/>
  <c r="W130" i="13"/>
  <c r="AU124" i="13"/>
  <c r="AU130" i="13"/>
  <c r="BS124" i="13"/>
  <c r="BS130" i="13"/>
  <c r="N125" i="13"/>
  <c r="N131" i="13"/>
  <c r="AL125" i="13"/>
  <c r="AL131" i="13"/>
  <c r="AX125" i="13"/>
  <c r="AX131" i="13"/>
  <c r="I123" i="13"/>
  <c r="I129" i="13"/>
  <c r="L124" i="13"/>
  <c r="L130" i="13"/>
  <c r="X124" i="13"/>
  <c r="X130" i="13"/>
  <c r="AJ124" i="13"/>
  <c r="AJ130" i="13"/>
  <c r="AV124" i="13"/>
  <c r="AV130" i="13"/>
  <c r="BH124" i="13"/>
  <c r="BH130" i="13"/>
  <c r="BT124" i="13"/>
  <c r="BT130" i="13"/>
  <c r="O125" i="13"/>
  <c r="O131" i="13"/>
  <c r="AA125" i="13"/>
  <c r="AA131" i="13"/>
  <c r="AM125" i="13"/>
  <c r="AM131" i="13"/>
  <c r="AY125" i="13"/>
  <c r="AY131" i="13"/>
  <c r="BK125" i="13"/>
  <c r="BK131" i="13"/>
  <c r="AS124" i="13"/>
  <c r="AS130" i="13"/>
  <c r="J123" i="13"/>
  <c r="J129" i="13"/>
  <c r="V123" i="13"/>
  <c r="V129" i="13"/>
  <c r="AH123" i="13"/>
  <c r="AH129" i="13"/>
  <c r="AT123" i="13"/>
  <c r="AT129" i="13"/>
  <c r="BF123" i="13"/>
  <c r="BF129" i="13"/>
  <c r="BR123" i="13"/>
  <c r="BR129" i="13"/>
  <c r="M124" i="13"/>
  <c r="M130" i="13"/>
  <c r="Y124" i="13"/>
  <c r="Y130" i="13"/>
  <c r="AK124" i="13"/>
  <c r="AK130" i="13"/>
  <c r="AW124" i="13"/>
  <c r="AW130" i="13"/>
  <c r="BI124" i="13"/>
  <c r="BI130" i="13"/>
  <c r="D125" i="13"/>
  <c r="D131" i="13"/>
  <c r="P125" i="13"/>
  <c r="P131" i="13"/>
  <c r="AB125" i="13"/>
  <c r="AB131" i="13"/>
  <c r="AN125" i="13"/>
  <c r="AN131" i="13"/>
  <c r="AZ125" i="13"/>
  <c r="AZ131" i="13"/>
  <c r="BL125" i="13"/>
  <c r="BL131" i="13"/>
  <c r="C124" i="13"/>
  <c r="C130" i="13"/>
  <c r="AJ125" i="13"/>
  <c r="AJ131" i="13"/>
  <c r="K123" i="13"/>
  <c r="K129" i="13"/>
  <c r="W129" i="13"/>
  <c r="AI129" i="13"/>
  <c r="AU129" i="13"/>
  <c r="BG129" i="13"/>
  <c r="BS129" i="13"/>
  <c r="N124" i="13"/>
  <c r="N130" i="13"/>
  <c r="Z124" i="13"/>
  <c r="Z130" i="13"/>
  <c r="AL124" i="13"/>
  <c r="AL130" i="13"/>
  <c r="AX124" i="13"/>
  <c r="AX130" i="13"/>
  <c r="BJ124" i="13"/>
  <c r="BJ130" i="13"/>
  <c r="E125" i="13"/>
  <c r="E131" i="13"/>
  <c r="Q125" i="13"/>
  <c r="Q131" i="13"/>
  <c r="AC125" i="13"/>
  <c r="AC131" i="13"/>
  <c r="AO125" i="13"/>
  <c r="AO131" i="13"/>
  <c r="BA125" i="13"/>
  <c r="BA131" i="13"/>
  <c r="BM125" i="13"/>
  <c r="BM131" i="13"/>
  <c r="I124" i="13"/>
  <c r="I130" i="13"/>
  <c r="L123" i="13"/>
  <c r="L129" i="13"/>
  <c r="X129" i="13"/>
  <c r="AJ129" i="13"/>
  <c r="AV129" i="13"/>
  <c r="BH129" i="13"/>
  <c r="BT129" i="13"/>
  <c r="O124" i="13"/>
  <c r="O130" i="13"/>
  <c r="AA124" i="13"/>
  <c r="AA130" i="13"/>
  <c r="AM124" i="13"/>
  <c r="AM130" i="13"/>
  <c r="AY124" i="13"/>
  <c r="AY130" i="13"/>
  <c r="BK124" i="13"/>
  <c r="BK130" i="13"/>
  <c r="F125" i="13"/>
  <c r="F131" i="13"/>
  <c r="R125" i="13"/>
  <c r="R131" i="13"/>
  <c r="AD125" i="13"/>
  <c r="AD131" i="13"/>
  <c r="AP125" i="13"/>
  <c r="AP131" i="13"/>
  <c r="BB125" i="13"/>
  <c r="BB131" i="13"/>
  <c r="BN125" i="13"/>
  <c r="BN131" i="13"/>
  <c r="N123" i="13"/>
  <c r="N129" i="13"/>
  <c r="AL123" i="13"/>
  <c r="AL129" i="13"/>
  <c r="BJ123" i="13"/>
  <c r="BJ129" i="13"/>
  <c r="Q124" i="13"/>
  <c r="Q130" i="13"/>
  <c r="AO124" i="13"/>
  <c r="AO130" i="13"/>
  <c r="BM124" i="13"/>
  <c r="BM130" i="13"/>
  <c r="T125" i="13"/>
  <c r="T131" i="13"/>
  <c r="AR125" i="13"/>
  <c r="AR131" i="13"/>
  <c r="BP125" i="13"/>
  <c r="BP131" i="13"/>
  <c r="O123" i="13"/>
  <c r="O129" i="13"/>
  <c r="AM123" i="13"/>
  <c r="AM129" i="13"/>
  <c r="BK123" i="13"/>
  <c r="BK129" i="13"/>
  <c r="R124" i="13"/>
  <c r="R130" i="13"/>
  <c r="AP124" i="13"/>
  <c r="AP130" i="13"/>
  <c r="BN124" i="13"/>
  <c r="BN130" i="13"/>
  <c r="U125" i="13"/>
  <c r="U131" i="13"/>
  <c r="AS125" i="13"/>
  <c r="AS131" i="13"/>
  <c r="BQ125" i="13"/>
  <c r="BQ131" i="13"/>
  <c r="P123" i="13"/>
  <c r="P129" i="13"/>
  <c r="AN123" i="13"/>
  <c r="AN129" i="13"/>
  <c r="BL123" i="13"/>
  <c r="BL129" i="13"/>
  <c r="S124" i="13"/>
  <c r="S130" i="13"/>
  <c r="AQ124" i="13"/>
  <c r="AQ130" i="13"/>
  <c r="BO124" i="13"/>
  <c r="BO130" i="13"/>
  <c r="V125" i="13"/>
  <c r="V131" i="13"/>
  <c r="AT125" i="13"/>
  <c r="AT131" i="13"/>
  <c r="Q123" i="13"/>
  <c r="Q129" i="13"/>
  <c r="AO123" i="13"/>
  <c r="AO129" i="13"/>
  <c r="BA123" i="13"/>
  <c r="BA129" i="13"/>
  <c r="H124" i="13"/>
  <c r="H130" i="13"/>
  <c r="AF124" i="13"/>
  <c r="AF130" i="13"/>
  <c r="BD124" i="13"/>
  <c r="BD130" i="13"/>
  <c r="K125" i="13"/>
  <c r="K131" i="13"/>
  <c r="AI125" i="13"/>
  <c r="AI131" i="13"/>
  <c r="BG125" i="13"/>
  <c r="BG131" i="13"/>
  <c r="R123" i="13"/>
  <c r="R129" i="13"/>
  <c r="AP123" i="13"/>
  <c r="AP129" i="13"/>
  <c r="BB123" i="13"/>
  <c r="BB129" i="13"/>
  <c r="U124" i="13"/>
  <c r="U130" i="13"/>
  <c r="BE124" i="13"/>
  <c r="BE130" i="13"/>
  <c r="L125" i="13"/>
  <c r="L131" i="13"/>
  <c r="AV125" i="13"/>
  <c r="AV131" i="13"/>
  <c r="BT125" i="13"/>
  <c r="BT131" i="13"/>
  <c r="S123" i="13"/>
  <c r="S129" i="13"/>
  <c r="AQ123" i="13"/>
  <c r="AQ129" i="13"/>
  <c r="BO123" i="13"/>
  <c r="BO129" i="13"/>
  <c r="V124" i="13"/>
  <c r="V130" i="13"/>
  <c r="AT124" i="13"/>
  <c r="AT130" i="13"/>
  <c r="BR124" i="13"/>
  <c r="BR130" i="13"/>
  <c r="Y125" i="13"/>
  <c r="Y131" i="13"/>
  <c r="AW125" i="13"/>
  <c r="AW131" i="13"/>
  <c r="H123" i="13"/>
  <c r="H129" i="13"/>
  <c r="AF123" i="13"/>
  <c r="AF129" i="13"/>
  <c r="BD123" i="13"/>
  <c r="BD129" i="13"/>
  <c r="K124" i="13"/>
  <c r="K130" i="13"/>
  <c r="AI124" i="13"/>
  <c r="AI130" i="13"/>
  <c r="BG124" i="13"/>
  <c r="BG130" i="13"/>
  <c r="Z125" i="13"/>
  <c r="Z131" i="13"/>
  <c r="BJ125" i="13"/>
  <c r="BJ131" i="13"/>
  <c r="C123" i="13"/>
  <c r="C129" i="13"/>
  <c r="M123" i="13"/>
  <c r="M129" i="13"/>
  <c r="Y129" i="13"/>
  <c r="AK129" i="13"/>
  <c r="AW129" i="13"/>
  <c r="BI129" i="13"/>
  <c r="D124" i="13"/>
  <c r="D130" i="13"/>
  <c r="P124" i="13"/>
  <c r="P130" i="13"/>
  <c r="AB124" i="13"/>
  <c r="AB130" i="13"/>
  <c r="AN124" i="13"/>
  <c r="AN130" i="13"/>
  <c r="AZ124" i="13"/>
  <c r="AZ130" i="13"/>
  <c r="BL124" i="13"/>
  <c r="BL130" i="13"/>
  <c r="G125" i="13"/>
  <c r="G131" i="13"/>
  <c r="S125" i="13"/>
  <c r="S131" i="13"/>
  <c r="AE125" i="13"/>
  <c r="AE131" i="13"/>
  <c r="AQ125" i="13"/>
  <c r="AQ131" i="13"/>
  <c r="BC125" i="13"/>
  <c r="BC131" i="13"/>
  <c r="BO125" i="13"/>
  <c r="BO131" i="13"/>
  <c r="U123" i="13"/>
  <c r="AG123" i="13"/>
  <c r="AS123" i="13"/>
  <c r="BE123" i="13"/>
  <c r="BQ123" i="13"/>
  <c r="W123" i="13"/>
  <c r="AI123" i="13"/>
  <c r="AU123" i="13"/>
  <c r="BG123" i="13"/>
  <c r="BS123" i="13"/>
  <c r="X123" i="13"/>
  <c r="AJ123" i="13"/>
  <c r="AV123" i="13"/>
  <c r="BH123" i="13"/>
  <c r="BT123" i="13"/>
  <c r="Y123" i="13"/>
  <c r="AK123" i="13"/>
  <c r="AW123" i="13"/>
  <c r="BI123" i="13"/>
  <c r="BD552" i="2"/>
  <c r="BD557" i="2"/>
  <c r="AT552" i="2"/>
  <c r="AT557" i="2"/>
  <c r="AV552" i="2"/>
  <c r="AV557" i="2"/>
  <c r="BH552" i="2"/>
  <c r="BH557" i="2"/>
  <c r="BT552" i="2"/>
  <c r="BT557" i="2"/>
  <c r="BE552" i="2"/>
  <c r="BE557" i="2"/>
  <c r="AU552" i="2"/>
  <c r="AU557" i="2"/>
  <c r="BG552" i="2"/>
  <c r="BG557" i="2"/>
  <c r="BS552" i="2"/>
  <c r="BS557" i="2"/>
  <c r="AW552" i="2"/>
  <c r="AW557" i="2"/>
  <c r="BI552" i="2"/>
  <c r="BI557" i="2"/>
  <c r="BU552" i="2"/>
  <c r="BU557" i="2"/>
  <c r="BB552" i="2"/>
  <c r="BB557" i="2"/>
  <c r="BN552" i="2"/>
  <c r="BN557" i="2"/>
  <c r="BC552" i="2"/>
  <c r="BC557" i="2"/>
  <c r="BO552" i="2"/>
  <c r="BO557" i="2"/>
  <c r="AR552" i="2"/>
  <c r="AR557" i="2"/>
  <c r="BF552" i="2"/>
  <c r="BF557" i="2"/>
  <c r="AX552" i="2"/>
  <c r="AX557" i="2"/>
  <c r="BJ552" i="2"/>
  <c r="BJ557" i="2"/>
  <c r="AP552" i="2"/>
  <c r="AP557" i="2"/>
  <c r="AQ552" i="2"/>
  <c r="AQ557" i="2"/>
  <c r="AS552" i="2"/>
  <c r="AS557" i="2"/>
  <c r="BQ552" i="2"/>
  <c r="BQ557" i="2"/>
  <c r="BR552" i="2"/>
  <c r="BR557" i="2"/>
  <c r="AY552" i="2"/>
  <c r="AY557" i="2"/>
  <c r="BK552" i="2"/>
  <c r="BK557" i="2"/>
  <c r="AZ552" i="2"/>
  <c r="AZ557" i="2"/>
  <c r="BP552" i="2"/>
  <c r="BP557" i="2"/>
  <c r="BL552" i="2"/>
  <c r="BL557" i="2"/>
  <c r="AO552" i="2"/>
  <c r="AO557" i="2"/>
  <c r="BA552" i="2"/>
  <c r="BA557" i="2"/>
  <c r="BM552" i="2"/>
  <c r="BM557" i="2"/>
  <c r="CP540" i="2"/>
  <c r="CP552" i="2"/>
  <c r="CE540" i="2"/>
  <c r="CE552" i="2"/>
  <c r="CQ540" i="2"/>
  <c r="CQ552" i="2"/>
  <c r="CC540" i="2"/>
  <c r="CC552" i="2"/>
  <c r="CD540" i="2"/>
  <c r="CD552" i="2"/>
  <c r="CR540" i="2"/>
  <c r="CR552" i="2"/>
  <c r="CG540" i="2"/>
  <c r="CG552" i="2"/>
  <c r="BV540" i="2"/>
  <c r="BV552" i="2"/>
  <c r="BW540" i="2"/>
  <c r="BW552" i="2"/>
  <c r="CI540" i="2"/>
  <c r="CI552" i="2"/>
  <c r="CL540" i="2"/>
  <c r="CL552" i="2"/>
  <c r="CM540" i="2"/>
  <c r="CM552" i="2"/>
  <c r="CN540" i="2"/>
  <c r="CN552" i="2"/>
  <c r="CO540" i="2"/>
  <c r="CO552" i="2"/>
  <c r="CS540" i="2"/>
  <c r="CS552" i="2"/>
  <c r="CV552" i="2" s="1"/>
  <c r="CW552" i="2" s="1"/>
  <c r="CX552" i="2" s="1"/>
  <c r="CY552" i="2" s="1"/>
  <c r="CZ552" i="2" s="1"/>
  <c r="DA552" i="2" s="1"/>
  <c r="DB552" i="2" s="1"/>
  <c r="DC552" i="2" s="1"/>
  <c r="DD552" i="2" s="1"/>
  <c r="DE552" i="2" s="1"/>
  <c r="DF552" i="2" s="1"/>
  <c r="DG552" i="2" s="1"/>
  <c r="DH552" i="2" s="1"/>
  <c r="DI552" i="2" s="1"/>
  <c r="DJ552" i="2" s="1"/>
  <c r="DK552" i="2" s="1"/>
  <c r="DL552" i="2" s="1"/>
  <c r="DM552" i="2" s="1"/>
  <c r="DN552" i="2" s="1"/>
  <c r="DO552" i="2" s="1"/>
  <c r="DP552" i="2" s="1"/>
  <c r="DQ552" i="2" s="1"/>
  <c r="DR552" i="2" s="1"/>
  <c r="BX540" i="2"/>
  <c r="BX552" i="2"/>
  <c r="CJ540" i="2"/>
  <c r="CJ552" i="2"/>
  <c r="BZ540" i="2"/>
  <c r="BZ552" i="2"/>
  <c r="CA540" i="2"/>
  <c r="CA552" i="2"/>
  <c r="CB540" i="2"/>
  <c r="CB552" i="2"/>
  <c r="CF540" i="2"/>
  <c r="CF552" i="2"/>
  <c r="CH540" i="2"/>
  <c r="CH552" i="2"/>
  <c r="BY540" i="2"/>
  <c r="BY552" i="2"/>
  <c r="CK540" i="2"/>
  <c r="CK552" i="2"/>
  <c r="AH433" i="2"/>
  <c r="AH540" i="2"/>
  <c r="AH537" i="2"/>
  <c r="AQ433" i="2"/>
  <c r="AQ540" i="2"/>
  <c r="AQ537" i="2"/>
  <c r="BO433" i="2"/>
  <c r="BO540" i="2"/>
  <c r="BO537" i="2"/>
  <c r="AR439" i="2"/>
  <c r="AR540" i="2"/>
  <c r="AR537" i="2"/>
  <c r="AP433" i="2"/>
  <c r="AP540" i="2"/>
  <c r="AP537" i="2"/>
  <c r="BN433" i="2"/>
  <c r="BN540" i="2"/>
  <c r="BN537" i="2"/>
  <c r="BP439" i="2"/>
  <c r="BP540" i="2"/>
  <c r="BP537" i="2"/>
  <c r="AG439" i="2"/>
  <c r="AG540" i="2"/>
  <c r="AG537" i="2"/>
  <c r="BE433" i="2"/>
  <c r="BE537" i="2"/>
  <c r="BE540" i="2"/>
  <c r="BQ433" i="2"/>
  <c r="BQ537" i="2"/>
  <c r="BQ540" i="2"/>
  <c r="AT433" i="2"/>
  <c r="AT540" i="2"/>
  <c r="AT537" i="2"/>
  <c r="BS439" i="2"/>
  <c r="BS537" i="2"/>
  <c r="BS540" i="2"/>
  <c r="BH433" i="2"/>
  <c r="BH537" i="2"/>
  <c r="BH540" i="2"/>
  <c r="AW433" i="2"/>
  <c r="AW540" i="2"/>
  <c r="AW537" i="2"/>
  <c r="BU433" i="2"/>
  <c r="BU540" i="2"/>
  <c r="BU537" i="2"/>
  <c r="AX433" i="2"/>
  <c r="AX540" i="2"/>
  <c r="AX537" i="2"/>
  <c r="AM433" i="2"/>
  <c r="AM540" i="2"/>
  <c r="AM537" i="2"/>
  <c r="AY433" i="2"/>
  <c r="AY540" i="2"/>
  <c r="AY537" i="2"/>
  <c r="BK433" i="2"/>
  <c r="BK540" i="2"/>
  <c r="BK537" i="2"/>
  <c r="BB433" i="2"/>
  <c r="BB540" i="2"/>
  <c r="BB537" i="2"/>
  <c r="AE439" i="2"/>
  <c r="AE540" i="2"/>
  <c r="AE537" i="2"/>
  <c r="BC433" i="2"/>
  <c r="BC540" i="2"/>
  <c r="BC537" i="2"/>
  <c r="AF439" i="2"/>
  <c r="AF540" i="2"/>
  <c r="AF537" i="2"/>
  <c r="BD433" i="2"/>
  <c r="BD540" i="2"/>
  <c r="BD537" i="2"/>
  <c r="AS439" i="2"/>
  <c r="AS540" i="2"/>
  <c r="AS537" i="2"/>
  <c r="BF433" i="2"/>
  <c r="BF537" i="2"/>
  <c r="BF540" i="2"/>
  <c r="BR433" i="2"/>
  <c r="BR537" i="2"/>
  <c r="BR540" i="2"/>
  <c r="BG439" i="2"/>
  <c r="BG537" i="2"/>
  <c r="BG540" i="2"/>
  <c r="AV433" i="2"/>
  <c r="AV537" i="2"/>
  <c r="AV540" i="2"/>
  <c r="AB433" i="2"/>
  <c r="AB540" i="2"/>
  <c r="AB537" i="2"/>
  <c r="AN433" i="2"/>
  <c r="AN540" i="2"/>
  <c r="AN537" i="2"/>
  <c r="AZ433" i="2"/>
  <c r="AZ540" i="2"/>
  <c r="AZ537" i="2"/>
  <c r="BL433" i="2"/>
  <c r="BL540" i="2"/>
  <c r="BL537" i="2"/>
  <c r="AD433" i="2"/>
  <c r="AD540" i="2"/>
  <c r="AD537" i="2"/>
  <c r="AI439" i="2"/>
  <c r="AI537" i="2"/>
  <c r="AI540" i="2"/>
  <c r="AU433" i="2"/>
  <c r="AU537" i="2"/>
  <c r="AU540" i="2"/>
  <c r="AJ439" i="2"/>
  <c r="AJ537" i="2"/>
  <c r="AJ540" i="2"/>
  <c r="BT433" i="2"/>
  <c r="BT537" i="2"/>
  <c r="BT540" i="2"/>
  <c r="AK433" i="2"/>
  <c r="AK540" i="2"/>
  <c r="AK537" i="2"/>
  <c r="BI433" i="2"/>
  <c r="BI540" i="2"/>
  <c r="BI537" i="2"/>
  <c r="AL433" i="2"/>
  <c r="AL540" i="2"/>
  <c r="AL537" i="2"/>
  <c r="BJ433" i="2"/>
  <c r="BJ540" i="2"/>
  <c r="BJ537" i="2"/>
  <c r="AC433" i="2"/>
  <c r="AC540" i="2"/>
  <c r="AC537" i="2"/>
  <c r="AO433" i="2"/>
  <c r="AO540" i="2"/>
  <c r="AO537" i="2"/>
  <c r="BA433" i="2"/>
  <c r="BA540" i="2"/>
  <c r="BA537" i="2"/>
  <c r="BM433" i="2"/>
  <c r="BM540" i="2"/>
  <c r="BM537" i="2"/>
  <c r="CL433" i="2"/>
  <c r="CL537" i="2"/>
  <c r="CM433" i="2"/>
  <c r="CM537" i="2"/>
  <c r="CQ439" i="2"/>
  <c r="CQ537" i="2"/>
  <c r="CO433" i="2"/>
  <c r="CO537" i="2"/>
  <c r="CD433" i="2"/>
  <c r="CD537" i="2"/>
  <c r="CF433" i="2"/>
  <c r="CF537" i="2"/>
  <c r="BZ433" i="2"/>
  <c r="BZ537" i="2"/>
  <c r="CN439" i="2"/>
  <c r="CN537" i="2"/>
  <c r="CC433" i="2"/>
  <c r="CC537" i="2"/>
  <c r="CP433" i="2"/>
  <c r="CP537" i="2"/>
  <c r="CR433" i="2"/>
  <c r="CR537" i="2"/>
  <c r="BV433" i="2"/>
  <c r="BV537" i="2"/>
  <c r="BW433" i="2"/>
  <c r="BW537" i="2"/>
  <c r="CI433" i="2"/>
  <c r="CI537" i="2"/>
  <c r="CA439" i="2"/>
  <c r="CA537" i="2"/>
  <c r="CB439" i="2"/>
  <c r="CB537" i="2"/>
  <c r="CE433" i="2"/>
  <c r="CE537" i="2"/>
  <c r="CG433" i="2"/>
  <c r="CG537" i="2"/>
  <c r="CH433" i="2"/>
  <c r="CH537" i="2"/>
  <c r="BX433" i="2"/>
  <c r="BX537" i="2"/>
  <c r="CJ433" i="2"/>
  <c r="CJ537" i="2"/>
  <c r="CS439" i="2"/>
  <c r="CS537" i="2"/>
  <c r="BY433" i="2"/>
  <c r="BY537" i="2"/>
  <c r="CK433" i="2"/>
  <c r="CK537" i="2"/>
  <c r="CS449" i="2"/>
  <c r="AL103" i="13"/>
  <c r="BJ103" i="13"/>
  <c r="AX103" i="13"/>
  <c r="Z103" i="13"/>
  <c r="N103" i="13"/>
  <c r="BK103" i="13"/>
  <c r="O103" i="13"/>
  <c r="AY103" i="13"/>
  <c r="AA103" i="13"/>
  <c r="G103" i="13"/>
  <c r="G102" i="13" s="1"/>
  <c r="S103" i="13"/>
  <c r="AE103" i="13"/>
  <c r="AQ103" i="13"/>
  <c r="BC103" i="13"/>
  <c r="BO103" i="13"/>
  <c r="L103" i="13"/>
  <c r="X103" i="13"/>
  <c r="AV103" i="13"/>
  <c r="BH103" i="13"/>
  <c r="BT103" i="13"/>
  <c r="M103" i="13"/>
  <c r="Y103" i="13"/>
  <c r="AK103" i="13"/>
  <c r="AW103" i="13"/>
  <c r="BI103" i="13"/>
  <c r="AM103" i="13"/>
  <c r="K103" i="13"/>
  <c r="W103" i="13"/>
  <c r="AI103" i="13"/>
  <c r="AU103" i="13"/>
  <c r="BG103" i="13"/>
  <c r="AJ103" i="13"/>
  <c r="D103" i="13"/>
  <c r="D102" i="13" s="1"/>
  <c r="P103" i="13"/>
  <c r="AB103" i="13"/>
  <c r="AN103" i="13"/>
  <c r="AZ103" i="13"/>
  <c r="BL103" i="13"/>
  <c r="E103" i="13"/>
  <c r="E102" i="13" s="1"/>
  <c r="Q103" i="13"/>
  <c r="AC103" i="13"/>
  <c r="AO103" i="13"/>
  <c r="BA103" i="13"/>
  <c r="BM103" i="13"/>
  <c r="F103" i="13"/>
  <c r="F102" i="13" s="1"/>
  <c r="R103" i="13"/>
  <c r="AD103" i="13"/>
  <c r="AP103" i="13"/>
  <c r="BB103" i="13"/>
  <c r="BN103" i="13"/>
  <c r="H103" i="13"/>
  <c r="H102" i="13" s="1"/>
  <c r="T103" i="13"/>
  <c r="AF103" i="13"/>
  <c r="AR103" i="13"/>
  <c r="BD103" i="13"/>
  <c r="BP103" i="13"/>
  <c r="I103" i="13"/>
  <c r="I102" i="13" s="1"/>
  <c r="U103" i="13"/>
  <c r="AG103" i="13"/>
  <c r="AS103" i="13"/>
  <c r="BE103" i="13"/>
  <c r="BQ103" i="13"/>
  <c r="J103" i="13"/>
  <c r="V103" i="13"/>
  <c r="AH103" i="13"/>
  <c r="AT103" i="13"/>
  <c r="BF103" i="13"/>
  <c r="BR103" i="13"/>
  <c r="CS387" i="2"/>
  <c r="BS103" i="13"/>
  <c r="C103" i="13"/>
  <c r="C102" i="13" s="1"/>
  <c r="BG486" i="2"/>
  <c r="BG387" i="2"/>
  <c r="CE486" i="2"/>
  <c r="CE387" i="2"/>
  <c r="BT486" i="2"/>
  <c r="BT387" i="2"/>
  <c r="CF486" i="2"/>
  <c r="CF387" i="2"/>
  <c r="AX486" i="2"/>
  <c r="AX387" i="2"/>
  <c r="BJ486" i="2"/>
  <c r="BJ387" i="2"/>
  <c r="BV486" i="2"/>
  <c r="BV387" i="2"/>
  <c r="CH486" i="2"/>
  <c r="CT486" i="2" s="1"/>
  <c r="DF486" i="2" s="1"/>
  <c r="DR486" i="2" s="1"/>
  <c r="CH387" i="2"/>
  <c r="AU486" i="2"/>
  <c r="AU387" i="2"/>
  <c r="BS486" i="2"/>
  <c r="BS387" i="2"/>
  <c r="CQ486" i="2"/>
  <c r="DC486" i="2" s="1"/>
  <c r="DO486" i="2" s="1"/>
  <c r="EA486" i="2" s="1"/>
  <c r="CQ387" i="2"/>
  <c r="AV486" i="2"/>
  <c r="AV387" i="2"/>
  <c r="BH486" i="2"/>
  <c r="BH387" i="2"/>
  <c r="CR486" i="2"/>
  <c r="DD486" i="2" s="1"/>
  <c r="DP486" i="2" s="1"/>
  <c r="EB486" i="2" s="1"/>
  <c r="CR387" i="2"/>
  <c r="AY486" i="2"/>
  <c r="AY387" i="2"/>
  <c r="BK486" i="2"/>
  <c r="BK387" i="2"/>
  <c r="BW486" i="2"/>
  <c r="BW387" i="2"/>
  <c r="CI486" i="2"/>
  <c r="CU486" i="2" s="1"/>
  <c r="DG486" i="2" s="1"/>
  <c r="DS486" i="2" s="1"/>
  <c r="CI387" i="2"/>
  <c r="CL486" i="2"/>
  <c r="CX486" i="2" s="1"/>
  <c r="DJ486" i="2" s="1"/>
  <c r="DV486" i="2" s="1"/>
  <c r="CL387" i="2"/>
  <c r="AN486" i="2"/>
  <c r="AN387" i="2"/>
  <c r="AZ486" i="2"/>
  <c r="AZ387" i="2"/>
  <c r="BX486" i="2"/>
  <c r="BX387" i="2"/>
  <c r="BL486" i="2"/>
  <c r="BL387" i="2"/>
  <c r="CJ486" i="2"/>
  <c r="CV486" i="2" s="1"/>
  <c r="DH486" i="2" s="1"/>
  <c r="DT486" i="2" s="1"/>
  <c r="CJ387" i="2"/>
  <c r="AO486" i="2"/>
  <c r="AO387" i="2"/>
  <c r="BA486" i="2"/>
  <c r="BA387" i="2"/>
  <c r="BM486" i="2"/>
  <c r="BM387" i="2"/>
  <c r="BY486" i="2"/>
  <c r="BY387" i="2"/>
  <c r="CK486" i="2"/>
  <c r="CW486" i="2" s="1"/>
  <c r="DI486" i="2" s="1"/>
  <c r="DU486" i="2" s="1"/>
  <c r="CK387" i="2"/>
  <c r="BN486" i="2"/>
  <c r="BN387" i="2"/>
  <c r="AP486" i="2"/>
  <c r="AP387" i="2"/>
  <c r="AQ486" i="2"/>
  <c r="AQ387" i="2"/>
  <c r="BC486" i="2"/>
  <c r="BC387" i="2"/>
  <c r="BO486" i="2"/>
  <c r="BO387" i="2"/>
  <c r="CA486" i="2"/>
  <c r="CA387" i="2"/>
  <c r="CM486" i="2"/>
  <c r="CY486" i="2" s="1"/>
  <c r="DK486" i="2" s="1"/>
  <c r="DW486" i="2" s="1"/>
  <c r="CM387" i="2"/>
  <c r="BZ486" i="2"/>
  <c r="BZ387" i="2"/>
  <c r="AR486" i="2"/>
  <c r="AR387" i="2"/>
  <c r="CB486" i="2"/>
  <c r="CB387" i="2"/>
  <c r="BD486" i="2"/>
  <c r="BD387" i="2"/>
  <c r="BP486" i="2"/>
  <c r="BP387" i="2"/>
  <c r="CN486" i="2"/>
  <c r="CZ486" i="2" s="1"/>
  <c r="DL486" i="2" s="1"/>
  <c r="DX486" i="2" s="1"/>
  <c r="CN387" i="2"/>
  <c r="AS486" i="2"/>
  <c r="AS387" i="2"/>
  <c r="BE486" i="2"/>
  <c r="BE387" i="2"/>
  <c r="BQ486" i="2"/>
  <c r="BQ387" i="2"/>
  <c r="CC486" i="2"/>
  <c r="CC387" i="2"/>
  <c r="CO486" i="2"/>
  <c r="DA486" i="2" s="1"/>
  <c r="DM486" i="2" s="1"/>
  <c r="DY486" i="2" s="1"/>
  <c r="CO387" i="2"/>
  <c r="AT486" i="2"/>
  <c r="AT387" i="2"/>
  <c r="BF486" i="2"/>
  <c r="BF387" i="2"/>
  <c r="BR486" i="2"/>
  <c r="BR387" i="2"/>
  <c r="CD486" i="2"/>
  <c r="CD387" i="2"/>
  <c r="CP486" i="2"/>
  <c r="DB486" i="2" s="1"/>
  <c r="DN486" i="2" s="1"/>
  <c r="DZ486" i="2" s="1"/>
  <c r="CP387" i="2"/>
  <c r="BB486" i="2"/>
  <c r="BB387" i="2"/>
  <c r="AW486" i="2"/>
  <c r="BI486" i="2"/>
  <c r="BU486" i="2"/>
  <c r="CG486" i="2"/>
  <c r="CS486" i="2"/>
  <c r="DE486" i="2" s="1"/>
  <c r="DQ486" i="2" s="1"/>
  <c r="EC486" i="2" s="1"/>
  <c r="CT482" i="2"/>
  <c r="CU479" i="2"/>
  <c r="BU99" i="13"/>
  <c r="AL489" i="2"/>
  <c r="AL488" i="2" s="1"/>
  <c r="AX489" i="2"/>
  <c r="AX488" i="2" s="1"/>
  <c r="BJ489" i="2"/>
  <c r="BJ488" i="2" s="1"/>
  <c r="BV489" i="2"/>
  <c r="BV488" i="2" s="1"/>
  <c r="CH489" i="2"/>
  <c r="CH488" i="2" s="1"/>
  <c r="CC489" i="2"/>
  <c r="CC488" i="2" s="1"/>
  <c r="CO489" i="2"/>
  <c r="CO488" i="2" s="1"/>
  <c r="CF489" i="2"/>
  <c r="CF488" i="2" s="1"/>
  <c r="AG489" i="2"/>
  <c r="AG488" i="2" s="1"/>
  <c r="CR489" i="2"/>
  <c r="CR488" i="2" s="1"/>
  <c r="BE489" i="2"/>
  <c r="BE488" i="2" s="1"/>
  <c r="BD489" i="2"/>
  <c r="BD488" i="2" s="1"/>
  <c r="CB489" i="2"/>
  <c r="CB488" i="2" s="1"/>
  <c r="AU489" i="2"/>
  <c r="AU488" i="2" s="1"/>
  <c r="BG489" i="2"/>
  <c r="BG488" i="2" s="1"/>
  <c r="CE489" i="2"/>
  <c r="CE488" i="2" s="1"/>
  <c r="CQ489" i="2"/>
  <c r="CQ488" i="2" s="1"/>
  <c r="AS489" i="2"/>
  <c r="AS488" i="2" s="1"/>
  <c r="AF489" i="2"/>
  <c r="AF488" i="2" s="1"/>
  <c r="AR489" i="2"/>
  <c r="AR488" i="2" s="1"/>
  <c r="BP489" i="2"/>
  <c r="BP488" i="2" s="1"/>
  <c r="CN489" i="2"/>
  <c r="CN488" i="2" s="1"/>
  <c r="AI489" i="2"/>
  <c r="AI488" i="2" s="1"/>
  <c r="BS489" i="2"/>
  <c r="BS488" i="2" s="1"/>
  <c r="BQ489" i="2"/>
  <c r="BQ488" i="2" s="1"/>
  <c r="CJ489" i="2"/>
  <c r="CJ488" i="2" s="1"/>
  <c r="BX489" i="2"/>
  <c r="BX488" i="2" s="1"/>
  <c r="AN489" i="2"/>
  <c r="AN488" i="2" s="1"/>
  <c r="AZ489" i="2"/>
  <c r="AZ488" i="2" s="1"/>
  <c r="BL489" i="2"/>
  <c r="BL488" i="2" s="1"/>
  <c r="BU449" i="2"/>
  <c r="AJ489" i="2"/>
  <c r="AJ488" i="2" s="1"/>
  <c r="AV489" i="2"/>
  <c r="AV488" i="2" s="1"/>
  <c r="BH489" i="2"/>
  <c r="BH488" i="2" s="1"/>
  <c r="BT489" i="2"/>
  <c r="BT488" i="2" s="1"/>
  <c r="AB489" i="2"/>
  <c r="AB488" i="2" s="1"/>
  <c r="AM489" i="2"/>
  <c r="AM488" i="2" s="1"/>
  <c r="AY489" i="2"/>
  <c r="AY488" i="2" s="1"/>
  <c r="BK489" i="2"/>
  <c r="BK488" i="2" s="1"/>
  <c r="BW489" i="2"/>
  <c r="BW488" i="2" s="1"/>
  <c r="CI489" i="2"/>
  <c r="CI488" i="2" s="1"/>
  <c r="AC489" i="2"/>
  <c r="AC488" i="2" s="1"/>
  <c r="BA489" i="2"/>
  <c r="BA488" i="2" s="1"/>
  <c r="BY489" i="2"/>
  <c r="BY488" i="2" s="1"/>
  <c r="AD489" i="2"/>
  <c r="AD488" i="2" s="1"/>
  <c r="AP489" i="2"/>
  <c r="AP488" i="2" s="1"/>
  <c r="BB489" i="2"/>
  <c r="BB488" i="2" s="1"/>
  <c r="BN489" i="2"/>
  <c r="BN488" i="2" s="1"/>
  <c r="BZ489" i="2"/>
  <c r="BZ488" i="2" s="1"/>
  <c r="CL489" i="2"/>
  <c r="CL488" i="2" s="1"/>
  <c r="AO489" i="2"/>
  <c r="AO488" i="2" s="1"/>
  <c r="BM489" i="2"/>
  <c r="BM488" i="2" s="1"/>
  <c r="CK489" i="2"/>
  <c r="CK488" i="2" s="1"/>
  <c r="AE489" i="2"/>
  <c r="AE488" i="2" s="1"/>
  <c r="AQ489" i="2"/>
  <c r="AQ488" i="2" s="1"/>
  <c r="BC489" i="2"/>
  <c r="BC488" i="2" s="1"/>
  <c r="BO489" i="2"/>
  <c r="BO488" i="2" s="1"/>
  <c r="CA489" i="2"/>
  <c r="CA488" i="2" s="1"/>
  <c r="CM489" i="2"/>
  <c r="CM488" i="2" s="1"/>
  <c r="AH489" i="2"/>
  <c r="AH488" i="2" s="1"/>
  <c r="AT489" i="2"/>
  <c r="AT488" i="2" s="1"/>
  <c r="BF489" i="2"/>
  <c r="BF488" i="2" s="1"/>
  <c r="BR489" i="2"/>
  <c r="BR488" i="2" s="1"/>
  <c r="CD489" i="2"/>
  <c r="CD488" i="2" s="1"/>
  <c r="CP489" i="2"/>
  <c r="CP488" i="2" s="1"/>
  <c r="AK489" i="2"/>
  <c r="AK488" i="2" s="1"/>
  <c r="AW489" i="2"/>
  <c r="AW488" i="2" s="1"/>
  <c r="BI489" i="2"/>
  <c r="BI488" i="2" s="1"/>
  <c r="BU489" i="2"/>
  <c r="BU488" i="2" s="1"/>
  <c r="CG489" i="2"/>
  <c r="CG488" i="2" s="1"/>
  <c r="CS489" i="2"/>
  <c r="CS488" i="2" s="1"/>
  <c r="BH449" i="2"/>
  <c r="CR449" i="2"/>
  <c r="AH461" i="2"/>
  <c r="AT461" i="2"/>
  <c r="AT549" i="2" s="1"/>
  <c r="BF461" i="2"/>
  <c r="BF549" i="2" s="1"/>
  <c r="BR461" i="2"/>
  <c r="BR549" i="2" s="1"/>
  <c r="CD461" i="2"/>
  <c r="CD549" i="2" s="1"/>
  <c r="CP461" i="2"/>
  <c r="AI461" i="2"/>
  <c r="AU461" i="2"/>
  <c r="AU549" i="2" s="1"/>
  <c r="BG461" i="2"/>
  <c r="BS461" i="2"/>
  <c r="BS549" i="2" s="1"/>
  <c r="CE461" i="2"/>
  <c r="CQ461" i="2"/>
  <c r="AG449" i="2"/>
  <c r="AS449" i="2"/>
  <c r="BE449" i="2"/>
  <c r="AM461" i="2"/>
  <c r="AM549" i="2" s="1"/>
  <c r="CI461" i="2"/>
  <c r="BW461" i="2"/>
  <c r="BK461" i="2"/>
  <c r="AY461" i="2"/>
  <c r="AY549" i="2" s="1"/>
  <c r="AL461" i="2"/>
  <c r="BJ461" i="2"/>
  <c r="BV461" i="2"/>
  <c r="BV549" i="2" s="1"/>
  <c r="AW449" i="2"/>
  <c r="BI449" i="2"/>
  <c r="BX461" i="2"/>
  <c r="BT449" i="2"/>
  <c r="AV449" i="2"/>
  <c r="BV449" i="2"/>
  <c r="CH461" i="2"/>
  <c r="CH549" i="2" s="1"/>
  <c r="BL461" i="2"/>
  <c r="AX461" i="2"/>
  <c r="AX449" i="2"/>
  <c r="AJ461" i="2"/>
  <c r="AJ549" i="2" s="1"/>
  <c r="AV461" i="2"/>
  <c r="AV549" i="2" s="1"/>
  <c r="BH461" i="2"/>
  <c r="BT461" i="2"/>
  <c r="CF461" i="2"/>
  <c r="CF549" i="2" s="1"/>
  <c r="CR461" i="2"/>
  <c r="CR549" i="2" s="1"/>
  <c r="AF449" i="2"/>
  <c r="AR449" i="2"/>
  <c r="BD449" i="2"/>
  <c r="BP449" i="2"/>
  <c r="CB449" i="2"/>
  <c r="CN449" i="2"/>
  <c r="AB461" i="2"/>
  <c r="AN461" i="2"/>
  <c r="AN549" i="2" s="1"/>
  <c r="AZ461" i="2"/>
  <c r="AZ549" i="2" s="1"/>
  <c r="CJ461" i="2"/>
  <c r="BQ449" i="2"/>
  <c r="CC449" i="2"/>
  <c r="CO449" i="2"/>
  <c r="AC461" i="2"/>
  <c r="AC549" i="2" s="1"/>
  <c r="AO461" i="2"/>
  <c r="AO549" i="2" s="1"/>
  <c r="BA461" i="2"/>
  <c r="BM461" i="2"/>
  <c r="BM549" i="2" s="1"/>
  <c r="BY461" i="2"/>
  <c r="BY549" i="2" s="1"/>
  <c r="CK461" i="2"/>
  <c r="CK549" i="2" s="1"/>
  <c r="AK449" i="2"/>
  <c r="CJ449" i="2"/>
  <c r="BL449" i="2"/>
  <c r="AZ449" i="2"/>
  <c r="AD461" i="2"/>
  <c r="AP461" i="2"/>
  <c r="BB461" i="2"/>
  <c r="BN461" i="2"/>
  <c r="BZ461" i="2"/>
  <c r="CL461" i="2"/>
  <c r="CL549" i="2" s="1"/>
  <c r="CI449" i="2"/>
  <c r="BW449" i="2"/>
  <c r="BK449" i="2"/>
  <c r="AY449" i="2"/>
  <c r="AM449" i="2"/>
  <c r="AI449" i="2"/>
  <c r="AU449" i="2"/>
  <c r="BG449" i="2"/>
  <c r="BS449" i="2"/>
  <c r="CE449" i="2"/>
  <c r="CQ449" i="2"/>
  <c r="AE461" i="2"/>
  <c r="AQ461" i="2"/>
  <c r="AQ549" i="2" s="1"/>
  <c r="BC461" i="2"/>
  <c r="BC549" i="2" s="1"/>
  <c r="BO461" i="2"/>
  <c r="BO549" i="2" s="1"/>
  <c r="CA461" i="2"/>
  <c r="CA549" i="2" s="1"/>
  <c r="CM461" i="2"/>
  <c r="CM549" i="2" s="1"/>
  <c r="BX449" i="2"/>
  <c r="AN449" i="2"/>
  <c r="AB449" i="2"/>
  <c r="CH449" i="2"/>
  <c r="BJ449" i="2"/>
  <c r="AL449" i="2"/>
  <c r="AJ449" i="2"/>
  <c r="CF449" i="2"/>
  <c r="AF461" i="2"/>
  <c r="AF549" i="2" s="1"/>
  <c r="AR461" i="2"/>
  <c r="AR549" i="2" s="1"/>
  <c r="BD461" i="2"/>
  <c r="BP461" i="2"/>
  <c r="BP549" i="2" s="1"/>
  <c r="CB461" i="2"/>
  <c r="CB549" i="2" s="1"/>
  <c r="CN461" i="2"/>
  <c r="CN549" i="2" s="1"/>
  <c r="CG449" i="2"/>
  <c r="AG461" i="2"/>
  <c r="AS461" i="2"/>
  <c r="BE461" i="2"/>
  <c r="BQ461" i="2"/>
  <c r="CC461" i="2"/>
  <c r="CO461" i="2"/>
  <c r="CO549" i="2" s="1"/>
  <c r="AK461" i="2"/>
  <c r="AK549" i="2" s="1"/>
  <c r="AW461" i="2"/>
  <c r="AW549" i="2" s="1"/>
  <c r="BI461" i="2"/>
  <c r="BI549" i="2" s="1"/>
  <c r="BU461" i="2"/>
  <c r="BU549" i="2" s="1"/>
  <c r="CG461" i="2"/>
  <c r="CG549" i="2" s="1"/>
  <c r="CS461" i="2"/>
  <c r="AO449" i="2"/>
  <c r="AP449" i="2"/>
  <c r="CK449" i="2"/>
  <c r="AD449" i="2"/>
  <c r="AC449" i="2"/>
  <c r="CL449" i="2"/>
  <c r="CP449" i="2"/>
  <c r="CD449" i="2"/>
  <c r="BR449" i="2"/>
  <c r="BF449" i="2"/>
  <c r="AT449" i="2"/>
  <c r="AH449" i="2"/>
  <c r="BM449" i="2"/>
  <c r="BZ449" i="2"/>
  <c r="BX439" i="2"/>
  <c r="BA449" i="2"/>
  <c r="BB449" i="2"/>
  <c r="CA433" i="2"/>
  <c r="AZ439" i="2"/>
  <c r="BY449" i="2"/>
  <c r="BN449" i="2"/>
  <c r="CM449" i="2"/>
  <c r="CA449" i="2"/>
  <c r="BO449" i="2"/>
  <c r="BC449" i="2"/>
  <c r="AQ449" i="2"/>
  <c r="AE449" i="2"/>
  <c r="AE433" i="2"/>
  <c r="BP433" i="2"/>
  <c r="CN433" i="2"/>
  <c r="AF433" i="2"/>
  <c r="AR433" i="2"/>
  <c r="CB433" i="2"/>
  <c r="CE439" i="2"/>
  <c r="BW439" i="2"/>
  <c r="BF439" i="2"/>
  <c r="AY439" i="2"/>
  <c r="BS433" i="2"/>
  <c r="AM439" i="2"/>
  <c r="AU439" i="2"/>
  <c r="AB439" i="2"/>
  <c r="BV439" i="2"/>
  <c r="AT439" i="2"/>
  <c r="AS433" i="2"/>
  <c r="CQ433" i="2"/>
  <c r="AI433" i="2"/>
  <c r="CP439" i="2"/>
  <c r="BR439" i="2"/>
  <c r="AN439" i="2"/>
  <c r="BE439" i="2"/>
  <c r="CC439" i="2"/>
  <c r="AG433" i="2"/>
  <c r="BG433" i="2"/>
  <c r="CJ439" i="2"/>
  <c r="BL439" i="2"/>
  <c r="CD439" i="2"/>
  <c r="BQ439" i="2"/>
  <c r="CI439" i="2"/>
  <c r="BK439" i="2"/>
  <c r="AH439" i="2"/>
  <c r="CO439" i="2"/>
  <c r="CH439" i="2"/>
  <c r="CS433" i="2"/>
  <c r="CG439" i="2"/>
  <c r="BT439" i="2"/>
  <c r="CR439" i="2"/>
  <c r="AX439" i="2"/>
  <c r="AK439" i="2"/>
  <c r="BH439" i="2"/>
  <c r="AJ433" i="2"/>
  <c r="BD439" i="2"/>
  <c r="AL439" i="2"/>
  <c r="AW439" i="2"/>
  <c r="AV439" i="2"/>
  <c r="CM439" i="2"/>
  <c r="BO439" i="2"/>
  <c r="BC439" i="2"/>
  <c r="AQ439" i="2"/>
  <c r="BJ439" i="2"/>
  <c r="BU439" i="2"/>
  <c r="CF439" i="2"/>
  <c r="CL439" i="2"/>
  <c r="BZ439" i="2"/>
  <c r="BN439" i="2"/>
  <c r="BB439" i="2"/>
  <c r="AP439" i="2"/>
  <c r="AD439" i="2"/>
  <c r="BI439" i="2"/>
  <c r="CK439" i="2"/>
  <c r="BY439" i="2"/>
  <c r="BM439" i="2"/>
  <c r="BA439" i="2"/>
  <c r="AO439" i="2"/>
  <c r="AC439" i="2"/>
  <c r="DS123" i="15" l="1"/>
  <c r="DT185" i="18" s="1"/>
  <c r="DT184" i="18" s="1"/>
  <c r="CT513" i="2"/>
  <c r="FG57" i="15"/>
  <c r="EY123" i="15"/>
  <c r="FI123" i="15" s="1"/>
  <c r="DS185" i="18"/>
  <c r="CL114" i="12"/>
  <c r="CL143" i="11"/>
  <c r="FF57" i="15"/>
  <c r="FF56" i="15"/>
  <c r="FG56" i="15"/>
  <c r="DR143" i="11"/>
  <c r="EB143" i="11" s="1"/>
  <c r="DS524" i="2"/>
  <c r="DT524" i="2" s="1"/>
  <c r="DU524" i="2" s="1"/>
  <c r="DV524" i="2" s="1"/>
  <c r="DW524" i="2" s="1"/>
  <c r="DX524" i="2" s="1"/>
  <c r="DY524" i="2" s="1"/>
  <c r="DZ524" i="2" s="1"/>
  <c r="EA524" i="2" s="1"/>
  <c r="EB524" i="2" s="1"/>
  <c r="EC524" i="2" s="1"/>
  <c r="EY125" i="15"/>
  <c r="FI125" i="15" s="1"/>
  <c r="CT449" i="2"/>
  <c r="CU449" i="2" s="1"/>
  <c r="CU537" i="2"/>
  <c r="CV537" i="2" s="1"/>
  <c r="CW537" i="2" s="1"/>
  <c r="CX537" i="2" s="1"/>
  <c r="CY537" i="2" s="1"/>
  <c r="CZ537" i="2" s="1"/>
  <c r="DA537" i="2" s="1"/>
  <c r="DB537" i="2" s="1"/>
  <c r="DC537" i="2" s="1"/>
  <c r="DD537" i="2" s="1"/>
  <c r="DE537" i="2" s="1"/>
  <c r="DF537" i="2" s="1"/>
  <c r="DG537" i="2" s="1"/>
  <c r="DH537" i="2" s="1"/>
  <c r="DI537" i="2" s="1"/>
  <c r="DJ537" i="2" s="1"/>
  <c r="DK537" i="2" s="1"/>
  <c r="DL537" i="2" s="1"/>
  <c r="DM537" i="2" s="1"/>
  <c r="DN537" i="2" s="1"/>
  <c r="DO537" i="2" s="1"/>
  <c r="DP537" i="2" s="1"/>
  <c r="DQ537" i="2" s="1"/>
  <c r="DR537" i="2" s="1"/>
  <c r="DS537" i="2" s="1"/>
  <c r="CU540" i="2"/>
  <c r="CV540" i="2" s="1"/>
  <c r="CW540" i="2" s="1"/>
  <c r="CX540" i="2" s="1"/>
  <c r="CY540" i="2" s="1"/>
  <c r="CZ540" i="2" s="1"/>
  <c r="DA540" i="2" s="1"/>
  <c r="DB540" i="2" s="1"/>
  <c r="DC540" i="2" s="1"/>
  <c r="DD540" i="2" s="1"/>
  <c r="DE540" i="2" s="1"/>
  <c r="DF540" i="2" s="1"/>
  <c r="DG540" i="2" s="1"/>
  <c r="DH540" i="2" s="1"/>
  <c r="DI540" i="2" s="1"/>
  <c r="DJ540" i="2" s="1"/>
  <c r="DK540" i="2" s="1"/>
  <c r="DL540" i="2" s="1"/>
  <c r="DM540" i="2" s="1"/>
  <c r="DN540" i="2" s="1"/>
  <c r="DO540" i="2" s="1"/>
  <c r="DP540" i="2" s="1"/>
  <c r="DQ540" i="2" s="1"/>
  <c r="DR540" i="2" s="1"/>
  <c r="DS540" i="2" s="1"/>
  <c r="DT540" i="2" s="1"/>
  <c r="DU540" i="2" s="1"/>
  <c r="DV540" i="2" s="1"/>
  <c r="DW540" i="2" s="1"/>
  <c r="DX540" i="2" s="1"/>
  <c r="DY540" i="2" s="1"/>
  <c r="DZ540" i="2" s="1"/>
  <c r="EA540" i="2" s="1"/>
  <c r="EB540" i="2" s="1"/>
  <c r="EC540" i="2" s="1"/>
  <c r="DS552" i="2"/>
  <c r="DR114" i="12"/>
  <c r="EB114" i="12" s="1"/>
  <c r="DT313" i="2"/>
  <c r="DK150" i="7"/>
  <c r="DT125" i="15" s="1"/>
  <c r="DT123" i="15" s="1"/>
  <c r="DT412" i="2"/>
  <c r="DS411" i="2"/>
  <c r="DL125" i="13"/>
  <c r="DJ130" i="13"/>
  <c r="DK130" i="13"/>
  <c r="L57" i="12"/>
  <c r="L61" i="12" s="1"/>
  <c r="S57" i="12"/>
  <c r="S61" i="12" s="1"/>
  <c r="J57" i="12"/>
  <c r="J61" i="12" s="1"/>
  <c r="AR57" i="12"/>
  <c r="AR61" i="12" s="1"/>
  <c r="DH49" i="12"/>
  <c r="DH71" i="11"/>
  <c r="AD105" i="18"/>
  <c r="AD114" i="18"/>
  <c r="AD140" i="18" s="1"/>
  <c r="AD170" i="18" s="1"/>
  <c r="AG105" i="18"/>
  <c r="AG114" i="18"/>
  <c r="AG140" i="18" s="1"/>
  <c r="AG170" i="18" s="1"/>
  <c r="AZ85" i="11"/>
  <c r="DM123" i="13"/>
  <c r="EF104" i="13"/>
  <c r="DM129" i="13"/>
  <c r="AX85" i="11"/>
  <c r="Z57" i="12"/>
  <c r="Z61" i="12" s="1"/>
  <c r="BF57" i="12"/>
  <c r="BF61" i="12" s="1"/>
  <c r="DB69" i="11"/>
  <c r="BI57" i="12"/>
  <c r="BI61" i="12" s="1"/>
  <c r="K57" i="12"/>
  <c r="K61" i="12" s="1"/>
  <c r="DC65" i="11"/>
  <c r="DC87" i="11" s="1"/>
  <c r="DQ129" i="13"/>
  <c r="DI129" i="13"/>
  <c r="DL129" i="13"/>
  <c r="DO125" i="13"/>
  <c r="EF106" i="13"/>
  <c r="EF131" i="13" s="1"/>
  <c r="DG131" i="13"/>
  <c r="DF130" i="13"/>
  <c r="EF107" i="13"/>
  <c r="DF64" i="11"/>
  <c r="DF86" i="11" s="1"/>
  <c r="DJ64" i="11"/>
  <c r="EE107" i="13"/>
  <c r="DQ123" i="13"/>
  <c r="DI103" i="13"/>
  <c r="DJ45" i="12"/>
  <c r="CZ49" i="12"/>
  <c r="DI123" i="13"/>
  <c r="DG45" i="12"/>
  <c r="CZ45" i="12"/>
  <c r="DI64" i="11"/>
  <c r="DI86" i="11" s="1"/>
  <c r="EE105" i="13"/>
  <c r="EE124" i="13" s="1"/>
  <c r="DG48" i="12"/>
  <c r="AU57" i="12"/>
  <c r="AU61" i="12" s="1"/>
  <c r="EJ87" i="18"/>
  <c r="DH129" i="13"/>
  <c r="BF85" i="11"/>
  <c r="CY58" i="12"/>
  <c r="DJ58" i="12"/>
  <c r="DB58" i="12"/>
  <c r="CZ65" i="11"/>
  <c r="CZ96" i="11" s="1"/>
  <c r="DA49" i="12"/>
  <c r="DJ131" i="13"/>
  <c r="DP123" i="13"/>
  <c r="DM103" i="13"/>
  <c r="CY45" i="12"/>
  <c r="DJ48" i="12"/>
  <c r="DA45" i="12"/>
  <c r="DH58" i="12"/>
  <c r="CZ58" i="12"/>
  <c r="DJ69" i="11"/>
  <c r="DB64" i="11"/>
  <c r="DB86" i="11" s="1"/>
  <c r="DI68" i="11"/>
  <c r="CY65" i="11"/>
  <c r="CY96" i="11" s="1"/>
  <c r="DH123" i="13"/>
  <c r="EI87" i="18"/>
  <c r="EK87" i="18"/>
  <c r="EN87" i="18"/>
  <c r="DB45" i="12"/>
  <c r="EO87" i="18"/>
  <c r="EG106" i="13"/>
  <c r="DQ131" i="13"/>
  <c r="DQ125" i="13"/>
  <c r="EE106" i="13"/>
  <c r="DF131" i="13"/>
  <c r="DF125" i="13"/>
  <c r="DO124" i="13"/>
  <c r="DO130" i="13"/>
  <c r="DI58" i="12"/>
  <c r="DI45" i="12"/>
  <c r="EP87" i="18"/>
  <c r="DQ184" i="18"/>
  <c r="EY184" i="18" s="1"/>
  <c r="EY185" i="18"/>
  <c r="FI185" i="18" s="1"/>
  <c r="DN103" i="13"/>
  <c r="DG58" i="12"/>
  <c r="CY48" i="12"/>
  <c r="DB48" i="12"/>
  <c r="N57" i="12"/>
  <c r="N61" i="12" s="1"/>
  <c r="DI48" i="12"/>
  <c r="AJ57" i="12"/>
  <c r="DA48" i="12"/>
  <c r="DH48" i="12"/>
  <c r="AG57" i="12"/>
  <c r="CZ48" i="12"/>
  <c r="BC57" i="12"/>
  <c r="BC61" i="12" s="1"/>
  <c r="DD64" i="11"/>
  <c r="DJ65" i="11"/>
  <c r="EH87" i="18"/>
  <c r="DI49" i="12"/>
  <c r="DH64" i="11"/>
  <c r="EG87" i="18"/>
  <c r="DI125" i="13"/>
  <c r="DI131" i="13"/>
  <c r="DM124" i="13"/>
  <c r="DM130" i="13"/>
  <c r="DG124" i="13"/>
  <c r="DG130" i="13"/>
  <c r="DH45" i="12"/>
  <c r="DH65" i="11"/>
  <c r="DB63" i="11"/>
  <c r="DB94" i="11" s="1"/>
  <c r="DF49" i="12"/>
  <c r="CZ64" i="11"/>
  <c r="DF65" i="11"/>
  <c r="DP130" i="13"/>
  <c r="DP124" i="13"/>
  <c r="DL123" i="13"/>
  <c r="DN123" i="13"/>
  <c r="EG104" i="13"/>
  <c r="DN129" i="13"/>
  <c r="EF87" i="18"/>
  <c r="DB49" i="12"/>
  <c r="AH85" i="11"/>
  <c r="CY49" i="12"/>
  <c r="DA64" i="11"/>
  <c r="DH68" i="11"/>
  <c r="DG65" i="11"/>
  <c r="EM87" i="18"/>
  <c r="DD65" i="11"/>
  <c r="DH124" i="13"/>
  <c r="DH130" i="13"/>
  <c r="EE104" i="13"/>
  <c r="DF129" i="13"/>
  <c r="DF123" i="13"/>
  <c r="DA58" i="12"/>
  <c r="DJ103" i="13"/>
  <c r="DF103" i="13"/>
  <c r="DF58" i="12"/>
  <c r="DC58" i="12"/>
  <c r="DF45" i="12"/>
  <c r="DE45" i="12"/>
  <c r="DD58" i="12"/>
  <c r="DG64" i="11"/>
  <c r="DA65" i="11"/>
  <c r="DQ124" i="13"/>
  <c r="DQ130" i="13"/>
  <c r="DO123" i="13"/>
  <c r="DO129" i="13"/>
  <c r="DL130" i="13"/>
  <c r="DL124" i="13"/>
  <c r="DP103" i="13"/>
  <c r="DC45" i="12"/>
  <c r="AY57" i="12"/>
  <c r="DF48" i="12"/>
  <c r="AA57" i="12"/>
  <c r="AA61" i="12" s="1"/>
  <c r="DE48" i="12"/>
  <c r="DD48" i="12"/>
  <c r="CY64" i="11"/>
  <c r="DJ49" i="12"/>
  <c r="DG49" i="12"/>
  <c r="DC64" i="11"/>
  <c r="DM125" i="13"/>
  <c r="DM131" i="13"/>
  <c r="DI124" i="13"/>
  <c r="DI130" i="13"/>
  <c r="EG105" i="13"/>
  <c r="DN124" i="13"/>
  <c r="DN130" i="13"/>
  <c r="EB112" i="12"/>
  <c r="DG123" i="13"/>
  <c r="DG129" i="13"/>
  <c r="DK131" i="13"/>
  <c r="DK125" i="13"/>
  <c r="DK129" i="13"/>
  <c r="DK123" i="13"/>
  <c r="DE58" i="12"/>
  <c r="DO103" i="13"/>
  <c r="DL103" i="13"/>
  <c r="DK103" i="13"/>
  <c r="DH103" i="13"/>
  <c r="DQ103" i="13"/>
  <c r="DG103" i="13"/>
  <c r="AN74" i="15"/>
  <c r="AN93" i="15" s="1"/>
  <c r="AN114" i="15" s="1"/>
  <c r="AN132" i="15" s="1"/>
  <c r="AN144" i="15" s="1"/>
  <c r="DC48" i="12"/>
  <c r="DD45" i="12"/>
  <c r="EQ87" i="18"/>
  <c r="DE49" i="12"/>
  <c r="DE65" i="11"/>
  <c r="DI65" i="11"/>
  <c r="EL87" i="18"/>
  <c r="DJ123" i="13"/>
  <c r="DP129" i="13"/>
  <c r="EG107" i="13"/>
  <c r="EF105" i="13"/>
  <c r="DP131" i="13"/>
  <c r="DP125" i="13"/>
  <c r="DB65" i="11"/>
  <c r="DD49" i="12"/>
  <c r="DC49" i="12"/>
  <c r="DE64" i="11"/>
  <c r="DJ129" i="13"/>
  <c r="DN131" i="13"/>
  <c r="DN125" i="13"/>
  <c r="DH125" i="13"/>
  <c r="DH131" i="13"/>
  <c r="AI114" i="18"/>
  <c r="AI140" i="18" s="1"/>
  <c r="AI170" i="18" s="1"/>
  <c r="AE114" i="18"/>
  <c r="AE140" i="18" s="1"/>
  <c r="AE170" i="18" s="1"/>
  <c r="AH114" i="18"/>
  <c r="AH140" i="18" s="1"/>
  <c r="AH170" i="18" s="1"/>
  <c r="AX57" i="12"/>
  <c r="AX61" i="12" s="1"/>
  <c r="AP57" i="12"/>
  <c r="R57" i="12"/>
  <c r="R61" i="12" s="1"/>
  <c r="AB57" i="12"/>
  <c r="AB61" i="12" s="1"/>
  <c r="DC70" i="11"/>
  <c r="BH57" i="12"/>
  <c r="CY68" i="11"/>
  <c r="DG69" i="11"/>
  <c r="DB68" i="11"/>
  <c r="CY69" i="11"/>
  <c r="DJ71" i="11"/>
  <c r="DI63" i="11"/>
  <c r="DI94" i="11" s="1"/>
  <c r="DE71" i="11"/>
  <c r="DJ63" i="11"/>
  <c r="DJ94" i="11" s="1"/>
  <c r="CZ70" i="11"/>
  <c r="DC63" i="11"/>
  <c r="DJ70" i="11"/>
  <c r="CZ63" i="11"/>
  <c r="CZ94" i="11" s="1"/>
  <c r="DI71" i="11"/>
  <c r="DI70" i="11"/>
  <c r="DF68" i="11"/>
  <c r="AD57" i="12"/>
  <c r="DE70" i="11"/>
  <c r="BA57" i="12"/>
  <c r="BA61" i="12" s="1"/>
  <c r="DC68" i="11"/>
  <c r="DI69" i="11"/>
  <c r="CZ68" i="11"/>
  <c r="CY70" i="11"/>
  <c r="DC71" i="11"/>
  <c r="DD68" i="11"/>
  <c r="DF63" i="11"/>
  <c r="DF94" i="11" s="1"/>
  <c r="DH70" i="11"/>
  <c r="AQ57" i="12"/>
  <c r="AQ61" i="12" s="1"/>
  <c r="DB71" i="11"/>
  <c r="DD69" i="11"/>
  <c r="CY71" i="11"/>
  <c r="DA69" i="11"/>
  <c r="DH63" i="11"/>
  <c r="DH94" i="11" s="1"/>
  <c r="DG70" i="11"/>
  <c r="DD70" i="11"/>
  <c r="DG63" i="11"/>
  <c r="DD63" i="11"/>
  <c r="DD94" i="11" s="1"/>
  <c r="DG68" i="11"/>
  <c r="DE69" i="11"/>
  <c r="DG71" i="11"/>
  <c r="DE63" i="11"/>
  <c r="DE94" i="11" s="1"/>
  <c r="DF71" i="11"/>
  <c r="DH69" i="11"/>
  <c r="DA68" i="11"/>
  <c r="AC57" i="12"/>
  <c r="AC61" i="12" s="1"/>
  <c r="DF69" i="11"/>
  <c r="DE68" i="11"/>
  <c r="CZ71" i="11"/>
  <c r="DB70" i="11"/>
  <c r="DD71" i="11"/>
  <c r="DA71" i="11"/>
  <c r="DC69" i="11"/>
  <c r="DJ68" i="11"/>
  <c r="DA70" i="11"/>
  <c r="CZ69" i="11"/>
  <c r="CY63" i="11"/>
  <c r="DF70" i="11"/>
  <c r="DA63" i="11"/>
  <c r="DA94" i="11" s="1"/>
  <c r="AC105" i="18"/>
  <c r="EB141" i="11"/>
  <c r="BJ57" i="12"/>
  <c r="BJ61" i="12" s="1"/>
  <c r="T57" i="12"/>
  <c r="T61" i="12" s="1"/>
  <c r="BY74" i="15"/>
  <c r="BY93" i="15" s="1"/>
  <c r="BY114" i="15" s="1"/>
  <c r="BY132" i="15" s="1"/>
  <c r="BY144" i="15" s="1"/>
  <c r="BC74" i="15"/>
  <c r="BC93" i="15" s="1"/>
  <c r="BC114" i="15" s="1"/>
  <c r="BC132" i="15" s="1"/>
  <c r="BC144" i="15" s="1"/>
  <c r="M57" i="12"/>
  <c r="M61" i="12" s="1"/>
  <c r="AS57" i="12"/>
  <c r="BH51" i="15"/>
  <c r="BH85" i="18" s="1"/>
  <c r="AI57" i="12"/>
  <c r="AI61" i="12" s="1"/>
  <c r="CL74" i="15"/>
  <c r="CL93" i="15" s="1"/>
  <c r="CL114" i="15" s="1"/>
  <c r="AT74" i="15"/>
  <c r="AT93" i="15" s="1"/>
  <c r="AT114" i="15" s="1"/>
  <c r="AT132" i="15" s="1"/>
  <c r="AT144" i="15" s="1"/>
  <c r="BH85" i="11"/>
  <c r="T85" i="11"/>
  <c r="R85" i="11"/>
  <c r="AM57" i="12"/>
  <c r="Q57" i="12"/>
  <c r="Q61" i="12" s="1"/>
  <c r="AZ57" i="12"/>
  <c r="AZ61" i="12" s="1"/>
  <c r="BG57" i="12"/>
  <c r="BG61" i="12" s="1"/>
  <c r="CD74" i="15"/>
  <c r="CD93" i="15" s="1"/>
  <c r="CD114" i="15" s="1"/>
  <c r="CD132" i="15" s="1"/>
  <c r="CD144" i="15" s="1"/>
  <c r="AL51" i="15"/>
  <c r="AL85" i="18" s="1"/>
  <c r="CF51" i="15"/>
  <c r="CF85" i="18" s="1"/>
  <c r="BR51" i="15"/>
  <c r="BR85" i="18" s="1"/>
  <c r="AO51" i="15"/>
  <c r="AO85" i="18" s="1"/>
  <c r="AP51" i="15"/>
  <c r="AP85" i="18" s="1"/>
  <c r="AT57" i="12"/>
  <c r="AT61" i="12" s="1"/>
  <c r="BZ51" i="15"/>
  <c r="BZ85" i="18" s="1"/>
  <c r="BM57" i="12"/>
  <c r="BM61" i="12" s="1"/>
  <c r="AK57" i="12"/>
  <c r="AK61" i="12" s="1"/>
  <c r="W57" i="12"/>
  <c r="W61" i="12" s="1"/>
  <c r="U57" i="12"/>
  <c r="U61" i="12" s="1"/>
  <c r="AF57" i="12"/>
  <c r="AF61" i="12" s="1"/>
  <c r="BQ51" i="15"/>
  <c r="BQ85" i="18" s="1"/>
  <c r="BL57" i="12"/>
  <c r="BL61" i="12" s="1"/>
  <c r="AH57" i="12"/>
  <c r="AH61" i="12" s="1"/>
  <c r="AB85" i="11"/>
  <c r="Z85" i="11"/>
  <c r="AQ85" i="11"/>
  <c r="K85" i="11"/>
  <c r="BD57" i="12"/>
  <c r="BD61" i="12" s="1"/>
  <c r="AW85" i="11"/>
  <c r="Q85" i="11"/>
  <c r="BE74" i="15"/>
  <c r="BE93" i="15" s="1"/>
  <c r="BE114" i="15" s="1"/>
  <c r="BE132" i="15" s="1"/>
  <c r="BE144" i="15" s="1"/>
  <c r="AO57" i="12"/>
  <c r="AO61" i="12" s="1"/>
  <c r="AL57" i="12"/>
  <c r="AL61" i="12" s="1"/>
  <c r="O57" i="12"/>
  <c r="O61" i="12" s="1"/>
  <c r="AW57" i="12"/>
  <c r="AW61" i="12" s="1"/>
  <c r="Y57" i="12"/>
  <c r="Y61" i="12" s="1"/>
  <c r="BE57" i="12"/>
  <c r="I57" i="12"/>
  <c r="I61" i="12" s="1"/>
  <c r="AV51" i="15"/>
  <c r="AV85" i="18" s="1"/>
  <c r="BR102" i="13"/>
  <c r="BK67" i="11"/>
  <c r="AS102" i="13"/>
  <c r="AL67" i="11"/>
  <c r="AL83" i="11" s="1"/>
  <c r="AL84" i="11" s="1"/>
  <c r="T102" i="13"/>
  <c r="M67" i="11"/>
  <c r="M83" i="11" s="1"/>
  <c r="M84" i="11" s="1"/>
  <c r="BM102" i="13"/>
  <c r="BF67" i="11"/>
  <c r="BF83" i="11" s="1"/>
  <c r="BF84" i="11" s="1"/>
  <c r="AN102" i="13"/>
  <c r="AG67" i="11"/>
  <c r="W102" i="13"/>
  <c r="P67" i="11"/>
  <c r="P83" i="11" s="1"/>
  <c r="P84" i="11" s="1"/>
  <c r="BT102" i="13"/>
  <c r="BM67" i="11"/>
  <c r="BM83" i="11" s="1"/>
  <c r="BM84" i="11" s="1"/>
  <c r="AE102" i="13"/>
  <c r="X67" i="11"/>
  <c r="X83" i="11" s="1"/>
  <c r="X84" i="11" s="1"/>
  <c r="Z102" i="13"/>
  <c r="S67" i="11"/>
  <c r="S83" i="11" s="1"/>
  <c r="S84" i="11" s="1"/>
  <c r="BQ93" i="15"/>
  <c r="BQ114" i="15" s="1"/>
  <c r="BF102" i="13"/>
  <c r="AY67" i="11"/>
  <c r="AG102" i="13"/>
  <c r="Z67" i="11"/>
  <c r="Z83" i="11" s="1"/>
  <c r="Z84" i="11" s="1"/>
  <c r="BA102" i="13"/>
  <c r="AT67" i="11"/>
  <c r="AT83" i="11" s="1"/>
  <c r="AT84" i="11" s="1"/>
  <c r="AB102" i="13"/>
  <c r="U67" i="11"/>
  <c r="U83" i="11" s="1"/>
  <c r="U84" i="11" s="1"/>
  <c r="K102" i="13"/>
  <c r="D67" i="11"/>
  <c r="D83" i="11" s="1"/>
  <c r="D84" i="11" s="1"/>
  <c r="BH102" i="13"/>
  <c r="BA67" i="11"/>
  <c r="BA83" i="11" s="1"/>
  <c r="BA84" i="11" s="1"/>
  <c r="S102" i="13"/>
  <c r="L67" i="11"/>
  <c r="L83" i="11" s="1"/>
  <c r="L84" i="11" s="1"/>
  <c r="AX102" i="13"/>
  <c r="AQ67" i="11"/>
  <c r="AQ83" i="11" s="1"/>
  <c r="AQ84" i="11" s="1"/>
  <c r="CF93" i="15"/>
  <c r="CF114" i="15" s="1"/>
  <c r="BK57" i="12"/>
  <c r="BK95" i="11"/>
  <c r="BK86" i="11"/>
  <c r="BT105" i="18"/>
  <c r="BT114" i="18"/>
  <c r="BH62" i="11"/>
  <c r="BH94" i="11"/>
  <c r="T62" i="11"/>
  <c r="T94" i="11"/>
  <c r="AO87" i="11"/>
  <c r="AO96" i="11"/>
  <c r="CA105" i="18"/>
  <c r="CA114" i="18"/>
  <c r="CA140" i="18" s="1"/>
  <c r="CA170" i="18" s="1"/>
  <c r="AD95" i="11"/>
  <c r="AD86" i="11"/>
  <c r="BD96" i="11"/>
  <c r="BD87" i="11"/>
  <c r="X96" i="11"/>
  <c r="X87" i="11"/>
  <c r="BI86" i="11"/>
  <c r="BI95" i="11"/>
  <c r="AK95" i="11"/>
  <c r="AK86" i="11"/>
  <c r="AT114" i="18"/>
  <c r="AT140" i="18" s="1"/>
  <c r="AT170" i="18" s="1"/>
  <c r="AT105" i="18"/>
  <c r="BF62" i="11"/>
  <c r="BF94" i="11"/>
  <c r="AU87" i="11"/>
  <c r="AU96" i="11"/>
  <c r="O87" i="11"/>
  <c r="O96" i="11"/>
  <c r="BI105" i="18"/>
  <c r="BI114" i="18"/>
  <c r="BI140" i="18" s="1"/>
  <c r="BI170" i="18" s="1"/>
  <c r="L95" i="11"/>
  <c r="L86" i="11"/>
  <c r="AW62" i="11"/>
  <c r="AW94" i="11"/>
  <c r="Q62" i="11"/>
  <c r="Q94" i="11"/>
  <c r="AT87" i="11"/>
  <c r="AT96" i="11"/>
  <c r="N87" i="11"/>
  <c r="N96" i="11"/>
  <c r="AY86" i="11"/>
  <c r="AY95" i="11"/>
  <c r="BH105" i="18"/>
  <c r="BH114" i="18"/>
  <c r="BH140" i="18" s="1"/>
  <c r="BH170" i="18" s="1"/>
  <c r="AV62" i="11"/>
  <c r="AV94" i="11"/>
  <c r="P62" i="11"/>
  <c r="P94" i="11"/>
  <c r="AS87" i="11"/>
  <c r="AS96" i="11"/>
  <c r="M96" i="11"/>
  <c r="M87" i="11"/>
  <c r="Z86" i="11"/>
  <c r="Z95" i="11"/>
  <c r="AM85" i="11"/>
  <c r="G62" i="11"/>
  <c r="G94" i="11"/>
  <c r="BH96" i="11"/>
  <c r="BH87" i="11"/>
  <c r="AB87" i="11"/>
  <c r="AB96" i="11"/>
  <c r="BM95" i="11"/>
  <c r="BM86" i="11"/>
  <c r="BV114" i="18"/>
  <c r="BV140" i="18" s="1"/>
  <c r="BV170" i="18" s="1"/>
  <c r="BV105" i="18"/>
  <c r="V85" i="11"/>
  <c r="AO105" i="18"/>
  <c r="AO114" i="18"/>
  <c r="AO140" i="18" s="1"/>
  <c r="AO170" i="18" s="1"/>
  <c r="BA62" i="11"/>
  <c r="BA94" i="11"/>
  <c r="U85" i="11"/>
  <c r="L85" i="11"/>
  <c r="AY85" i="11"/>
  <c r="S85" i="11"/>
  <c r="BF87" i="11"/>
  <c r="BF96" i="11"/>
  <c r="Z87" i="11"/>
  <c r="Z96" i="11"/>
  <c r="AM95" i="11"/>
  <c r="AM86" i="11"/>
  <c r="AV105" i="18"/>
  <c r="AV114" i="18"/>
  <c r="AV140" i="18" s="1"/>
  <c r="AV170" i="18" s="1"/>
  <c r="I96" i="11"/>
  <c r="I87" i="11"/>
  <c r="AT62" i="11"/>
  <c r="AT95" i="11"/>
  <c r="AT86" i="11"/>
  <c r="BC105" i="18"/>
  <c r="BC114" i="18"/>
  <c r="BC140" i="18" s="1"/>
  <c r="BC170" i="18" s="1"/>
  <c r="CH114" i="18"/>
  <c r="CH140" i="18" s="1"/>
  <c r="CH170" i="18" s="1"/>
  <c r="CH105" i="18"/>
  <c r="Z62" i="11"/>
  <c r="Z94" i="11"/>
  <c r="AZ86" i="11"/>
  <c r="AZ95" i="11"/>
  <c r="AB86" i="11"/>
  <c r="AB95" i="11"/>
  <c r="AK105" i="18"/>
  <c r="AK114" i="18"/>
  <c r="AK140" i="18" s="1"/>
  <c r="AK170" i="18" s="1"/>
  <c r="AA95" i="11"/>
  <c r="AA86" i="11"/>
  <c r="AJ114" i="18"/>
  <c r="AJ140" i="18" s="1"/>
  <c r="AJ170" i="18" s="1"/>
  <c r="AJ105" i="18"/>
  <c r="AV85" i="11"/>
  <c r="P85" i="11"/>
  <c r="AK96" i="11"/>
  <c r="AK87" i="11"/>
  <c r="E96" i="11"/>
  <c r="E87" i="11"/>
  <c r="BW105" i="18"/>
  <c r="BW114" i="18"/>
  <c r="AM62" i="11"/>
  <c r="AM94" i="11"/>
  <c r="BB62" i="11"/>
  <c r="BB94" i="11"/>
  <c r="F62" i="11"/>
  <c r="F94" i="11"/>
  <c r="AI87" i="11"/>
  <c r="AI96" i="11"/>
  <c r="C96" i="11"/>
  <c r="C87" i="11"/>
  <c r="CC105" i="18"/>
  <c r="CC114" i="18"/>
  <c r="AF95" i="11"/>
  <c r="AF86" i="11"/>
  <c r="H86" i="11"/>
  <c r="H95" i="11"/>
  <c r="AS85" i="11"/>
  <c r="M85" i="11"/>
  <c r="D62" i="11"/>
  <c r="D94" i="11"/>
  <c r="AY62" i="11"/>
  <c r="AY94" i="11"/>
  <c r="S62" i="11"/>
  <c r="S94" i="11"/>
  <c r="AA102" i="13"/>
  <c r="T67" i="11"/>
  <c r="T83" i="11" s="1"/>
  <c r="T84" i="11" s="1"/>
  <c r="CM74" i="15"/>
  <c r="CM93" i="15" s="1"/>
  <c r="CM114" i="15" s="1"/>
  <c r="CM132" i="15" s="1"/>
  <c r="CM144" i="15" s="1"/>
  <c r="BB74" i="15"/>
  <c r="BB93" i="15" s="1"/>
  <c r="BB114" i="15" s="1"/>
  <c r="BB132" i="15" s="1"/>
  <c r="BB144" i="15" s="1"/>
  <c r="P57" i="12"/>
  <c r="P61" i="12" s="1"/>
  <c r="CR51" i="15"/>
  <c r="EQ54" i="15"/>
  <c r="BT51" i="15"/>
  <c r="EI54" i="15"/>
  <c r="CO51" i="15"/>
  <c r="EP54" i="15"/>
  <c r="EH54" i="15"/>
  <c r="V57" i="12"/>
  <c r="V61" i="12" s="1"/>
  <c r="CJ114" i="18"/>
  <c r="CJ140" i="18" s="1"/>
  <c r="CJ170" i="18" s="1"/>
  <c r="CJ105" i="18"/>
  <c r="O86" i="11"/>
  <c r="O95" i="11"/>
  <c r="AZ62" i="11"/>
  <c r="AZ94" i="11"/>
  <c r="BM96" i="11"/>
  <c r="BM87" i="11"/>
  <c r="AG96" i="11"/>
  <c r="AG87" i="11"/>
  <c r="CQ114" i="18"/>
  <c r="CQ140" i="18" s="1"/>
  <c r="CQ170" i="18" s="1"/>
  <c r="CQ105" i="18"/>
  <c r="AV96" i="11"/>
  <c r="AV87" i="11"/>
  <c r="P96" i="11"/>
  <c r="P87" i="11"/>
  <c r="BA95" i="11"/>
  <c r="BA86" i="11"/>
  <c r="BJ105" i="18"/>
  <c r="BJ114" i="18"/>
  <c r="BJ140" i="18" s="1"/>
  <c r="BJ170" i="18" s="1"/>
  <c r="M95" i="11"/>
  <c r="M86" i="11"/>
  <c r="AX62" i="11"/>
  <c r="AX94" i="11"/>
  <c r="BY105" i="18"/>
  <c r="BY114" i="18"/>
  <c r="BY140" i="18" s="1"/>
  <c r="BY170" i="18" s="1"/>
  <c r="AO62" i="11"/>
  <c r="AO94" i="11"/>
  <c r="I62" i="11"/>
  <c r="I94" i="11"/>
  <c r="AL96" i="11"/>
  <c r="AL87" i="11"/>
  <c r="F96" i="11"/>
  <c r="F87" i="11"/>
  <c r="BX105" i="18"/>
  <c r="BX114" i="18"/>
  <c r="BX140" i="18" s="1"/>
  <c r="BX170" i="18" s="1"/>
  <c r="AN62" i="11"/>
  <c r="AN94" i="11"/>
  <c r="H62" i="11"/>
  <c r="H94" i="11"/>
  <c r="AP95" i="11"/>
  <c r="AP86" i="11"/>
  <c r="AY114" i="18"/>
  <c r="AY140" i="18" s="1"/>
  <c r="AY170" i="18" s="1"/>
  <c r="AY105" i="18"/>
  <c r="BK62" i="11"/>
  <c r="BK94" i="11"/>
  <c r="AE62" i="11"/>
  <c r="AE94" i="11"/>
  <c r="AX105" i="18"/>
  <c r="AX114" i="18"/>
  <c r="AX140" i="18" s="1"/>
  <c r="AX170" i="18" s="1"/>
  <c r="BJ62" i="11"/>
  <c r="BJ94" i="11"/>
  <c r="AZ87" i="11"/>
  <c r="AZ96" i="11"/>
  <c r="T87" i="11"/>
  <c r="T96" i="11"/>
  <c r="CL105" i="18"/>
  <c r="CL114" i="18"/>
  <c r="AO86" i="11"/>
  <c r="AO95" i="11"/>
  <c r="BB85" i="11"/>
  <c r="AV95" i="11"/>
  <c r="AV86" i="11"/>
  <c r="BE105" i="18"/>
  <c r="BE114" i="18"/>
  <c r="BE140" i="18" s="1"/>
  <c r="BE170" i="18" s="1"/>
  <c r="AS62" i="11"/>
  <c r="AS94" i="11"/>
  <c r="M62" i="11"/>
  <c r="M94" i="11"/>
  <c r="AQ62" i="11"/>
  <c r="AQ94" i="11"/>
  <c r="K62" i="11"/>
  <c r="K94" i="11"/>
  <c r="AT102" i="13"/>
  <c r="AT121" i="13" s="1"/>
  <c r="AM67" i="11"/>
  <c r="BN102" i="13"/>
  <c r="BG79" i="11" s="1"/>
  <c r="BG67" i="11"/>
  <c r="BG83" i="11" s="1"/>
  <c r="BG84" i="11" s="1"/>
  <c r="P102" i="13"/>
  <c r="I67" i="11"/>
  <c r="I83" i="11" s="1"/>
  <c r="I84" i="11" s="1"/>
  <c r="AM102" i="13"/>
  <c r="AF67" i="11"/>
  <c r="AF83" i="11" s="1"/>
  <c r="AF84" i="11" s="1"/>
  <c r="AV102" i="13"/>
  <c r="AO67" i="11"/>
  <c r="AO83" i="11" s="1"/>
  <c r="AO84" i="11" s="1"/>
  <c r="BJ102" i="13"/>
  <c r="BC79" i="11" s="1"/>
  <c r="BC67" i="11"/>
  <c r="BC83" i="11" s="1"/>
  <c r="BC84" i="11" s="1"/>
  <c r="X102" i="13"/>
  <c r="Q67" i="11"/>
  <c r="Q83" i="11" s="1"/>
  <c r="Q84" i="11" s="1"/>
  <c r="Q102" i="13"/>
  <c r="J67" i="11"/>
  <c r="J83" i="11" s="1"/>
  <c r="J84" i="11" s="1"/>
  <c r="BL105" i="18"/>
  <c r="BL114" i="18"/>
  <c r="BL140" i="18" s="1"/>
  <c r="BL170" i="18" s="1"/>
  <c r="BS105" i="18"/>
  <c r="BS114" i="18"/>
  <c r="BS140" i="18" s="1"/>
  <c r="BS170" i="18" s="1"/>
  <c r="V95" i="11"/>
  <c r="V86" i="11"/>
  <c r="AC86" i="11"/>
  <c r="AC95" i="11"/>
  <c r="AL105" i="18"/>
  <c r="AL114" i="18"/>
  <c r="AL140" i="18" s="1"/>
  <c r="AL170" i="18" s="1"/>
  <c r="R62" i="11"/>
  <c r="R94" i="11"/>
  <c r="AM96" i="11"/>
  <c r="AM87" i="11"/>
  <c r="G96" i="11"/>
  <c r="G87" i="11"/>
  <c r="AR95" i="11"/>
  <c r="AR86" i="11"/>
  <c r="BA105" i="18"/>
  <c r="BA114" i="18"/>
  <c r="BA140" i="18" s="1"/>
  <c r="BA170" i="18" s="1"/>
  <c r="D86" i="11"/>
  <c r="D95" i="11"/>
  <c r="AO85" i="11"/>
  <c r="I85" i="11"/>
  <c r="AZ114" i="18"/>
  <c r="AZ140" i="18" s="1"/>
  <c r="AZ170" i="18" s="1"/>
  <c r="AZ105" i="18"/>
  <c r="C86" i="11"/>
  <c r="C95" i="11"/>
  <c r="AN85" i="11"/>
  <c r="BI87" i="11"/>
  <c r="BI96" i="11"/>
  <c r="AC87" i="11"/>
  <c r="AC96" i="11"/>
  <c r="CM105" i="18"/>
  <c r="CM114" i="18"/>
  <c r="CM140" i="18" s="1"/>
  <c r="CM170" i="18" s="1"/>
  <c r="R95" i="11"/>
  <c r="R86" i="11"/>
  <c r="BK85" i="11"/>
  <c r="AE85" i="11"/>
  <c r="Q95" i="11"/>
  <c r="Q86" i="11"/>
  <c r="BJ85" i="11"/>
  <c r="BE86" i="11"/>
  <c r="BE95" i="11"/>
  <c r="BN105" i="18"/>
  <c r="BN114" i="18"/>
  <c r="AL62" i="11"/>
  <c r="AL94" i="11"/>
  <c r="BG87" i="11"/>
  <c r="BG96" i="11"/>
  <c r="AA96" i="11"/>
  <c r="AA87" i="11"/>
  <c r="CS114" i="18"/>
  <c r="CS140" i="18" s="1"/>
  <c r="CS170" i="18" s="1"/>
  <c r="CS105" i="18"/>
  <c r="X95" i="11"/>
  <c r="X86" i="11"/>
  <c r="AK85" i="11"/>
  <c r="E62" i="11"/>
  <c r="E94" i="11"/>
  <c r="AM105" i="18"/>
  <c r="AM114" i="18"/>
  <c r="AM140" i="18" s="1"/>
  <c r="AM170" i="18" s="1"/>
  <c r="AL102" i="13"/>
  <c r="AE67" i="11"/>
  <c r="AE83" i="11" s="1"/>
  <c r="AE84" i="11" s="1"/>
  <c r="V102" i="13"/>
  <c r="O67" i="11"/>
  <c r="O83" i="11" s="1"/>
  <c r="O84" i="11" s="1"/>
  <c r="AP102" i="13"/>
  <c r="AI67" i="11"/>
  <c r="AI83" i="11" s="1"/>
  <c r="AI84" i="11" s="1"/>
  <c r="AJ102" i="13"/>
  <c r="AC79" i="11" s="1"/>
  <c r="AC67" i="11"/>
  <c r="AC83" i="11" s="1"/>
  <c r="AC84" i="11" s="1"/>
  <c r="L102" i="13"/>
  <c r="E67" i="11"/>
  <c r="E83" i="11" s="1"/>
  <c r="E84" i="11" s="1"/>
  <c r="AY102" i="13"/>
  <c r="AR67" i="11"/>
  <c r="AR83" i="11" s="1"/>
  <c r="AR84" i="11" s="1"/>
  <c r="BM74" i="15"/>
  <c r="BM93" i="15" s="1"/>
  <c r="BM114" i="15" s="1"/>
  <c r="BM132" i="15" s="1"/>
  <c r="BM144" i="15" s="1"/>
  <c r="BD74" i="15"/>
  <c r="BD93" i="15" s="1"/>
  <c r="BD114" i="15" s="1"/>
  <c r="BD132" i="15" s="1"/>
  <c r="BD144" i="15" s="1"/>
  <c r="CI74" i="15"/>
  <c r="EN54" i="15"/>
  <c r="BB57" i="12"/>
  <c r="EK54" i="15"/>
  <c r="EO54" i="15"/>
  <c r="BN51" i="15"/>
  <c r="EG54" i="15"/>
  <c r="AX87" i="11"/>
  <c r="AX96" i="11"/>
  <c r="BC95" i="11"/>
  <c r="BC86" i="11"/>
  <c r="J102" i="13"/>
  <c r="C67" i="11"/>
  <c r="C83" i="11" s="1"/>
  <c r="C84" i="11" s="1"/>
  <c r="BD102" i="13"/>
  <c r="AW79" i="11" s="1"/>
  <c r="AW67" i="11"/>
  <c r="AW83" i="11" s="1"/>
  <c r="AW84" i="11" s="1"/>
  <c r="AD102" i="13"/>
  <c r="W79" i="11" s="1"/>
  <c r="W67" i="11"/>
  <c r="W83" i="11" s="1"/>
  <c r="W84" i="11" s="1"/>
  <c r="BG102" i="13"/>
  <c r="AZ67" i="11"/>
  <c r="AZ83" i="11" s="1"/>
  <c r="AZ84" i="11" s="1"/>
  <c r="AK102" i="13"/>
  <c r="AD67" i="11"/>
  <c r="BO102" i="13"/>
  <c r="BO118" i="13" s="1"/>
  <c r="BH67" i="11"/>
  <c r="O102" i="13"/>
  <c r="H79" i="11" s="1"/>
  <c r="H67" i="11"/>
  <c r="H83" i="11" s="1"/>
  <c r="H84" i="11" s="1"/>
  <c r="CO74" i="15"/>
  <c r="EJ54" i="15"/>
  <c r="AN57" i="12"/>
  <c r="AN61" i="12" s="1"/>
  <c r="X57" i="12"/>
  <c r="X61" i="12" s="1"/>
  <c r="R87" i="11"/>
  <c r="R96" i="11"/>
  <c r="AE86" i="11"/>
  <c r="AE95" i="11"/>
  <c r="AN105" i="18"/>
  <c r="AN114" i="18"/>
  <c r="AN140" i="18" s="1"/>
  <c r="AN170" i="18" s="1"/>
  <c r="AR85" i="11"/>
  <c r="Y96" i="11"/>
  <c r="Y87" i="11"/>
  <c r="BJ95" i="11"/>
  <c r="BJ86" i="11"/>
  <c r="AL86" i="11"/>
  <c r="AL95" i="11"/>
  <c r="AU105" i="18"/>
  <c r="AU114" i="18"/>
  <c r="AU140" i="18" s="1"/>
  <c r="AU170" i="18" s="1"/>
  <c r="AN87" i="11"/>
  <c r="AN96" i="11"/>
  <c r="H87" i="11"/>
  <c r="H96" i="11"/>
  <c r="BZ114" i="18"/>
  <c r="BZ105" i="18"/>
  <c r="E95" i="11"/>
  <c r="E86" i="11"/>
  <c r="AP62" i="11"/>
  <c r="AP94" i="11"/>
  <c r="J62" i="11"/>
  <c r="J94" i="11"/>
  <c r="AE87" i="11"/>
  <c r="AE96" i="11"/>
  <c r="CO105" i="18"/>
  <c r="CO114" i="18"/>
  <c r="T95" i="11"/>
  <c r="T86" i="11"/>
  <c r="BM62" i="11"/>
  <c r="BM94" i="11"/>
  <c r="AG62" i="11"/>
  <c r="AG94" i="11"/>
  <c r="AD96" i="11"/>
  <c r="AD87" i="11"/>
  <c r="CN105" i="18"/>
  <c r="CN114" i="18"/>
  <c r="CN140" i="18" s="1"/>
  <c r="CN170" i="18" s="1"/>
  <c r="AQ95" i="11"/>
  <c r="AQ86" i="11"/>
  <c r="S86" i="11"/>
  <c r="S95" i="11"/>
  <c r="BL85" i="11"/>
  <c r="AF62" i="11"/>
  <c r="AF94" i="11"/>
  <c r="BF86" i="11"/>
  <c r="BF95" i="11"/>
  <c r="BO114" i="18"/>
  <c r="BO140" i="18" s="1"/>
  <c r="BO170" i="18" s="1"/>
  <c r="BO105" i="18"/>
  <c r="BC85" i="11"/>
  <c r="W62" i="11"/>
  <c r="W94" i="11"/>
  <c r="AR87" i="11"/>
  <c r="AR96" i="11"/>
  <c r="L96" i="11"/>
  <c r="L87" i="11"/>
  <c r="AG86" i="11"/>
  <c r="AG95" i="11"/>
  <c r="AL85" i="11"/>
  <c r="BL86" i="11"/>
  <c r="BL95" i="11"/>
  <c r="BU114" i="18"/>
  <c r="BU140" i="18" s="1"/>
  <c r="BU170" i="18" s="1"/>
  <c r="BU105" i="18"/>
  <c r="AK62" i="11"/>
  <c r="AK94" i="11"/>
  <c r="AI85" i="11"/>
  <c r="U102" i="13"/>
  <c r="N79" i="11" s="1"/>
  <c r="N67" i="11"/>
  <c r="N83" i="11" s="1"/>
  <c r="N84" i="11" s="1"/>
  <c r="AO102" i="13"/>
  <c r="AH79" i="11" s="1"/>
  <c r="AH67" i="11"/>
  <c r="AH83" i="11" s="1"/>
  <c r="AH84" i="11" s="1"/>
  <c r="AH102" i="13"/>
  <c r="AA79" i="11" s="1"/>
  <c r="AA67" i="11"/>
  <c r="AA83" i="11" s="1"/>
  <c r="AA84" i="11" s="1"/>
  <c r="BB102" i="13"/>
  <c r="AU79" i="11" s="1"/>
  <c r="AU67" i="11"/>
  <c r="AU83" i="11" s="1"/>
  <c r="AU84" i="11" s="1"/>
  <c r="AC102" i="13"/>
  <c r="V79" i="11" s="1"/>
  <c r="V67" i="11"/>
  <c r="V83" i="11" s="1"/>
  <c r="V84" i="11" s="1"/>
  <c r="BI102" i="13"/>
  <c r="BI121" i="13" s="1"/>
  <c r="BB67" i="11"/>
  <c r="BP102" i="13"/>
  <c r="BI79" i="11" s="1"/>
  <c r="BI67" i="11"/>
  <c r="BI83" i="11" s="1"/>
  <c r="BI84" i="11" s="1"/>
  <c r="AW102" i="13"/>
  <c r="AW118" i="13" s="1"/>
  <c r="AP67" i="11"/>
  <c r="BS102" i="13"/>
  <c r="BL79" i="11" s="1"/>
  <c r="BL67" i="11"/>
  <c r="BL83" i="11" s="1"/>
  <c r="BL84" i="11" s="1"/>
  <c r="BQ102" i="13"/>
  <c r="BJ79" i="11" s="1"/>
  <c r="BJ67" i="11"/>
  <c r="BJ83" i="11" s="1"/>
  <c r="BJ84" i="11" s="1"/>
  <c r="AR102" i="13"/>
  <c r="AK79" i="11" s="1"/>
  <c r="AK67" i="11"/>
  <c r="AK83" i="11" s="1"/>
  <c r="AK84" i="11" s="1"/>
  <c r="R102" i="13"/>
  <c r="K79" i="11" s="1"/>
  <c r="K67" i="11"/>
  <c r="K83" i="11" s="1"/>
  <c r="K84" i="11" s="1"/>
  <c r="BL102" i="13"/>
  <c r="BL118" i="13" s="1"/>
  <c r="BE67" i="11"/>
  <c r="AU102" i="13"/>
  <c r="AN79" i="11" s="1"/>
  <c r="AN67" i="11"/>
  <c r="AN83" i="11" s="1"/>
  <c r="AN84" i="11" s="1"/>
  <c r="Y102" i="13"/>
  <c r="R79" i="11" s="1"/>
  <c r="R67" i="11"/>
  <c r="R83" i="11" s="1"/>
  <c r="R84" i="11" s="1"/>
  <c r="BC102" i="13"/>
  <c r="BC121" i="13" s="1"/>
  <c r="AV67" i="11"/>
  <c r="BK102" i="13"/>
  <c r="BD79" i="11" s="1"/>
  <c r="BD67" i="11"/>
  <c r="BD83" i="11" s="1"/>
  <c r="BD84" i="11" s="1"/>
  <c r="BO74" i="15"/>
  <c r="BO93" i="15" s="1"/>
  <c r="BO114" i="15" s="1"/>
  <c r="BO132" i="15" s="1"/>
  <c r="BO144" i="15" s="1"/>
  <c r="BK51" i="15"/>
  <c r="EF54" i="15"/>
  <c r="AV57" i="12"/>
  <c r="AP96" i="11"/>
  <c r="AP87" i="11"/>
  <c r="J96" i="11"/>
  <c r="J87" i="11"/>
  <c r="CB114" i="18"/>
  <c r="CB140" i="18" s="1"/>
  <c r="CB170" i="18" s="1"/>
  <c r="CB105" i="18"/>
  <c r="G95" i="11"/>
  <c r="G86" i="11"/>
  <c r="AR62" i="11"/>
  <c r="AR94" i="11"/>
  <c r="BE96" i="11"/>
  <c r="BE87" i="11"/>
  <c r="CI114" i="18"/>
  <c r="CI105" i="18"/>
  <c r="AS86" i="11"/>
  <c r="AS95" i="11"/>
  <c r="BB105" i="18"/>
  <c r="BB114" i="18"/>
  <c r="BB140" i="18" s="1"/>
  <c r="BB170" i="18" s="1"/>
  <c r="AP85" i="11"/>
  <c r="J85" i="11"/>
  <c r="BK87" i="11"/>
  <c r="BK96" i="11"/>
  <c r="BQ105" i="18"/>
  <c r="BQ114" i="18"/>
  <c r="BM85" i="11"/>
  <c r="AG85" i="11"/>
  <c r="BJ87" i="11"/>
  <c r="BJ96" i="11"/>
  <c r="BP105" i="18"/>
  <c r="BP114" i="18"/>
  <c r="BP140" i="18" s="1"/>
  <c r="BP170" i="18" s="1"/>
  <c r="BL62" i="11"/>
  <c r="BL94" i="11"/>
  <c r="AF85" i="11"/>
  <c r="U87" i="11"/>
  <c r="U96" i="11"/>
  <c r="AH95" i="11"/>
  <c r="AH86" i="11"/>
  <c r="AQ105" i="18"/>
  <c r="AQ114" i="18"/>
  <c r="AQ140" i="18" s="1"/>
  <c r="AQ170" i="18" s="1"/>
  <c r="BC62" i="11"/>
  <c r="BC94" i="11"/>
  <c r="W85" i="11"/>
  <c r="AP105" i="18"/>
  <c r="AP114" i="18"/>
  <c r="AP140" i="18" s="1"/>
  <c r="AP170" i="18" s="1"/>
  <c r="AT85" i="11"/>
  <c r="CD105" i="18"/>
  <c r="CD114" i="18"/>
  <c r="CD140" i="18" s="1"/>
  <c r="CD170" i="18" s="1"/>
  <c r="AD62" i="11"/>
  <c r="AD94" i="11"/>
  <c r="AY87" i="11"/>
  <c r="AY96" i="11"/>
  <c r="S87" i="11"/>
  <c r="S96" i="11"/>
  <c r="AN86" i="11"/>
  <c r="AN95" i="11"/>
  <c r="AW105" i="18"/>
  <c r="AW114" i="18"/>
  <c r="AW140" i="18" s="1"/>
  <c r="AW170" i="18" s="1"/>
  <c r="BI62" i="11"/>
  <c r="BI94" i="11"/>
  <c r="AC85" i="11"/>
  <c r="AJ85" i="11"/>
  <c r="F86" i="11"/>
  <c r="F95" i="11"/>
  <c r="AI62" i="11"/>
  <c r="AI94" i="11"/>
  <c r="C62" i="11"/>
  <c r="C94" i="11"/>
  <c r="BE102" i="13"/>
  <c r="AX79" i="11" s="1"/>
  <c r="AX67" i="11"/>
  <c r="AX83" i="11" s="1"/>
  <c r="AX84" i="11" s="1"/>
  <c r="AF102" i="13"/>
  <c r="Y79" i="11" s="1"/>
  <c r="Y67" i="11"/>
  <c r="Y83" i="11" s="1"/>
  <c r="Y84" i="11" s="1"/>
  <c r="AZ102" i="13"/>
  <c r="AS67" i="11"/>
  <c r="AI102" i="13"/>
  <c r="AB79" i="11" s="1"/>
  <c r="AB67" i="11"/>
  <c r="AB83" i="11" s="1"/>
  <c r="AB84" i="11" s="1"/>
  <c r="M102" i="13"/>
  <c r="F79" i="11" s="1"/>
  <c r="F67" i="11"/>
  <c r="F83" i="11" s="1"/>
  <c r="F84" i="11" s="1"/>
  <c r="AQ102" i="13"/>
  <c r="AJ67" i="11"/>
  <c r="N102" i="13"/>
  <c r="G79" i="11" s="1"/>
  <c r="G67" i="11"/>
  <c r="G83" i="11" s="1"/>
  <c r="G84" i="11" s="1"/>
  <c r="CL85" i="18"/>
  <c r="EM54" i="15"/>
  <c r="CC51" i="15"/>
  <c r="EL54" i="15"/>
  <c r="AU95" i="11"/>
  <c r="AU86" i="11"/>
  <c r="BD105" i="18"/>
  <c r="BD114" i="18"/>
  <c r="BD140" i="18" s="1"/>
  <c r="BD170" i="18" s="1"/>
  <c r="AB62" i="11"/>
  <c r="AB94" i="11"/>
  <c r="Q96" i="11"/>
  <c r="Q87" i="11"/>
  <c r="BK105" i="18"/>
  <c r="BK114" i="18"/>
  <c r="N95" i="11"/>
  <c r="N86" i="11"/>
  <c r="BL96" i="11"/>
  <c r="BL87" i="11"/>
  <c r="AF87" i="11"/>
  <c r="AF96" i="11"/>
  <c r="CP114" i="18"/>
  <c r="CP140" i="18" s="1"/>
  <c r="CP170" i="18" s="1"/>
  <c r="CP105" i="18"/>
  <c r="AH62" i="11"/>
  <c r="AH94" i="11"/>
  <c r="BC87" i="11"/>
  <c r="BC96" i="11"/>
  <c r="W87" i="11"/>
  <c r="W96" i="11"/>
  <c r="BH86" i="11"/>
  <c r="BH95" i="11"/>
  <c r="AS105" i="18"/>
  <c r="AS114" i="18"/>
  <c r="AS140" i="18" s="1"/>
  <c r="AS170" i="18" s="1"/>
  <c r="BE62" i="11"/>
  <c r="BE94" i="11"/>
  <c r="Y62" i="11"/>
  <c r="Y94" i="11"/>
  <c r="V96" i="11"/>
  <c r="V87" i="11"/>
  <c r="BG95" i="11"/>
  <c r="BG86" i="11"/>
  <c r="AI95" i="11"/>
  <c r="AI86" i="11"/>
  <c r="AR105" i="18"/>
  <c r="AR114" i="18"/>
  <c r="AR140" i="18" s="1"/>
  <c r="AR170" i="18" s="1"/>
  <c r="BD62" i="11"/>
  <c r="BD94" i="11"/>
  <c r="X62" i="11"/>
  <c r="X94" i="11"/>
  <c r="BA96" i="11"/>
  <c r="BA87" i="11"/>
  <c r="CE114" i="18"/>
  <c r="CE140" i="18" s="1"/>
  <c r="CE170" i="18" s="1"/>
  <c r="CE105" i="18"/>
  <c r="J95" i="11"/>
  <c r="J86" i="11"/>
  <c r="AU62" i="11"/>
  <c r="AU94" i="11"/>
  <c r="O62" i="11"/>
  <c r="O94" i="11"/>
  <c r="I95" i="11"/>
  <c r="I86" i="11"/>
  <c r="N62" i="11"/>
  <c r="N94" i="11"/>
  <c r="AJ96" i="11"/>
  <c r="AJ87" i="11"/>
  <c r="D87" i="11"/>
  <c r="D96" i="11"/>
  <c r="AW95" i="11"/>
  <c r="AW86" i="11"/>
  <c r="BF105" i="18"/>
  <c r="BF114" i="18"/>
  <c r="BF140" i="18" s="1"/>
  <c r="BF170" i="18" s="1"/>
  <c r="AD85" i="11"/>
  <c r="CK114" i="18"/>
  <c r="CK140" i="18" s="1"/>
  <c r="CK170" i="18" s="1"/>
  <c r="CK105" i="18"/>
  <c r="P86" i="11"/>
  <c r="P95" i="11"/>
  <c r="BI85" i="11"/>
  <c r="AC62" i="11"/>
  <c r="AC94" i="11"/>
  <c r="AJ62" i="11"/>
  <c r="AJ94" i="11"/>
  <c r="BG62" i="11"/>
  <c r="BG94" i="11"/>
  <c r="AA85" i="11"/>
  <c r="AE57" i="12"/>
  <c r="AE61" i="12" s="1"/>
  <c r="AH96" i="11"/>
  <c r="AH87" i="11"/>
  <c r="CR105" i="18"/>
  <c r="CR114" i="18"/>
  <c r="W86" i="11"/>
  <c r="W95" i="11"/>
  <c r="AF105" i="18"/>
  <c r="AF114" i="18"/>
  <c r="AF140" i="18" s="1"/>
  <c r="AF170" i="18" s="1"/>
  <c r="AW87" i="11"/>
  <c r="AW96" i="11"/>
  <c r="BB95" i="11"/>
  <c r="BB86" i="11"/>
  <c r="BR105" i="18"/>
  <c r="BR114" i="18"/>
  <c r="BR140" i="18" s="1"/>
  <c r="BR170" i="18" s="1"/>
  <c r="U86" i="11"/>
  <c r="U95" i="11"/>
  <c r="CG114" i="18"/>
  <c r="CG140" i="18" s="1"/>
  <c r="CG170" i="18" s="1"/>
  <c r="CG105" i="18"/>
  <c r="AJ95" i="11"/>
  <c r="AJ86" i="11"/>
  <c r="BE85" i="11"/>
  <c r="Y85" i="11"/>
  <c r="BB87" i="11"/>
  <c r="BB96" i="11"/>
  <c r="CF105" i="18"/>
  <c r="CF114" i="18"/>
  <c r="K86" i="11"/>
  <c r="K95" i="11"/>
  <c r="BD85" i="11"/>
  <c r="X85" i="11"/>
  <c r="AX86" i="11"/>
  <c r="AX95" i="11"/>
  <c r="BG114" i="18"/>
  <c r="BG140" i="18" s="1"/>
  <c r="BG170" i="18" s="1"/>
  <c r="BG105" i="18"/>
  <c r="AU85" i="11"/>
  <c r="O85" i="11"/>
  <c r="N85" i="11"/>
  <c r="CT105" i="18"/>
  <c r="CT114" i="18"/>
  <c r="CT140" i="18" s="1"/>
  <c r="CT170" i="18" s="1"/>
  <c r="Y95" i="11"/>
  <c r="Y86" i="11"/>
  <c r="V62" i="11"/>
  <c r="V94" i="11"/>
  <c r="AQ96" i="11"/>
  <c r="AQ87" i="11"/>
  <c r="K96" i="11"/>
  <c r="K87" i="11"/>
  <c r="BD95" i="11"/>
  <c r="BD86" i="11"/>
  <c r="BM105" i="18"/>
  <c r="BM114" i="18"/>
  <c r="BM140" i="18" s="1"/>
  <c r="BM170" i="18" s="1"/>
  <c r="BA85" i="11"/>
  <c r="U62" i="11"/>
  <c r="U94" i="11"/>
  <c r="L62" i="11"/>
  <c r="L94" i="11"/>
  <c r="BG85" i="11"/>
  <c r="AA62" i="11"/>
  <c r="AA94" i="11"/>
  <c r="CR74" i="15"/>
  <c r="AS74" i="15"/>
  <c r="AS93" i="15" s="1"/>
  <c r="AS114" i="15" s="1"/>
  <c r="AS132" i="15" s="1"/>
  <c r="AS144" i="15" s="1"/>
  <c r="BT74" i="15"/>
  <c r="CP51" i="15"/>
  <c r="CP85" i="18" s="1"/>
  <c r="AL74" i="15"/>
  <c r="AL93" i="15" s="1"/>
  <c r="AL114" i="15" s="1"/>
  <c r="AL132" i="15" s="1"/>
  <c r="AL144" i="15" s="1"/>
  <c r="AJ74" i="15"/>
  <c r="AJ93" i="15" s="1"/>
  <c r="AJ114" i="15" s="1"/>
  <c r="AJ132" i="15" s="1"/>
  <c r="AJ144" i="15" s="1"/>
  <c r="AJ51" i="15"/>
  <c r="AJ85" i="18" s="1"/>
  <c r="BL51" i="15"/>
  <c r="BL85" i="18" s="1"/>
  <c r="BA74" i="15"/>
  <c r="BA93" i="15" s="1"/>
  <c r="BA114" i="15" s="1"/>
  <c r="BA132" i="15" s="1"/>
  <c r="BA144" i="15" s="1"/>
  <c r="CA74" i="15"/>
  <c r="CA93" i="15" s="1"/>
  <c r="CA114" i="15" s="1"/>
  <c r="CA132" i="15" s="1"/>
  <c r="CA144" i="15" s="1"/>
  <c r="CK74" i="15"/>
  <c r="CK93" i="15" s="1"/>
  <c r="CK114" i="15" s="1"/>
  <c r="CK132" i="15" s="1"/>
  <c r="CK144" i="15" s="1"/>
  <c r="CK51" i="15"/>
  <c r="CK85" i="18" s="1"/>
  <c r="CJ74" i="15"/>
  <c r="CJ93" i="15" s="1"/>
  <c r="CJ114" i="15" s="1"/>
  <c r="CJ132" i="15" s="1"/>
  <c r="CJ144" i="15" s="1"/>
  <c r="BX74" i="15"/>
  <c r="BX93" i="15" s="1"/>
  <c r="BX114" i="15" s="1"/>
  <c r="BX132" i="15" s="1"/>
  <c r="BX144" i="15" s="1"/>
  <c r="BM44" i="12"/>
  <c r="BM64" i="12"/>
  <c r="BM82" i="12" s="1"/>
  <c r="BM103" i="12" s="1"/>
  <c r="BM118" i="12" s="1"/>
  <c r="BM128" i="12" s="1"/>
  <c r="D44" i="12"/>
  <c r="D64" i="12"/>
  <c r="D82" i="12" s="1"/>
  <c r="D103" i="12" s="1"/>
  <c r="D118" i="12" s="1"/>
  <c r="D128" i="12" s="1"/>
  <c r="AM44" i="12"/>
  <c r="AM64" i="12"/>
  <c r="C44" i="12"/>
  <c r="C64" i="12"/>
  <c r="C82" i="12" s="1"/>
  <c r="C103" i="12" s="1"/>
  <c r="C118" i="12" s="1"/>
  <c r="C128" i="12" s="1"/>
  <c r="BI44" i="12"/>
  <c r="BI64" i="12"/>
  <c r="BI82" i="12" s="1"/>
  <c r="BI103" i="12" s="1"/>
  <c r="BI118" i="12" s="1"/>
  <c r="BI128" i="12" s="1"/>
  <c r="Y44" i="12"/>
  <c r="Y64" i="12"/>
  <c r="Y82" i="12" s="1"/>
  <c r="Y103" i="12" s="1"/>
  <c r="Y118" i="12" s="1"/>
  <c r="Y128" i="12" s="1"/>
  <c r="AV44" i="12"/>
  <c r="AV64" i="12"/>
  <c r="L44" i="12"/>
  <c r="L64" i="12"/>
  <c r="L82" i="12" s="1"/>
  <c r="L103" i="12" s="1"/>
  <c r="L118" i="12" s="1"/>
  <c r="L128" i="12" s="1"/>
  <c r="AP44" i="12"/>
  <c r="AP64" i="12"/>
  <c r="AZ44" i="12"/>
  <c r="AZ64" i="12"/>
  <c r="AZ82" i="12" s="1"/>
  <c r="AZ103" i="12" s="1"/>
  <c r="AZ118" i="12" s="1"/>
  <c r="AZ128" i="12" s="1"/>
  <c r="AL44" i="12"/>
  <c r="AL64" i="12"/>
  <c r="AL82" i="12" s="1"/>
  <c r="AL103" i="12" s="1"/>
  <c r="AL118" i="12" s="1"/>
  <c r="AL128" i="12" s="1"/>
  <c r="AI44" i="12"/>
  <c r="AI64" i="12"/>
  <c r="AI82" i="12" s="1"/>
  <c r="AI103" i="12" s="1"/>
  <c r="AI118" i="12" s="1"/>
  <c r="AI128" i="12" s="1"/>
  <c r="AT44" i="12"/>
  <c r="AT64" i="12"/>
  <c r="AT82" i="12" s="1"/>
  <c r="AT103" i="12" s="1"/>
  <c r="AT118" i="12" s="1"/>
  <c r="AT128" i="12" s="1"/>
  <c r="AQ44" i="12"/>
  <c r="AQ64" i="12"/>
  <c r="AQ82" i="12" s="1"/>
  <c r="AQ103" i="12" s="1"/>
  <c r="AQ118" i="12" s="1"/>
  <c r="AQ128" i="12" s="1"/>
  <c r="BA44" i="12"/>
  <c r="BA64" i="12"/>
  <c r="BA82" i="12" s="1"/>
  <c r="BA103" i="12" s="1"/>
  <c r="BA118" i="12" s="1"/>
  <c r="BA128" i="12" s="1"/>
  <c r="J44" i="12"/>
  <c r="J64" i="12"/>
  <c r="J82" i="12" s="1"/>
  <c r="J103" i="12" s="1"/>
  <c r="J118" i="12" s="1"/>
  <c r="J128" i="12" s="1"/>
  <c r="AG44" i="12"/>
  <c r="AG64" i="12"/>
  <c r="BD44" i="12"/>
  <c r="BD64" i="12"/>
  <c r="BD82" i="12" s="1"/>
  <c r="BD103" i="12" s="1"/>
  <c r="BD118" i="12" s="1"/>
  <c r="BD128" i="12" s="1"/>
  <c r="T44" i="12"/>
  <c r="T64" i="12"/>
  <c r="T82" i="12" s="1"/>
  <c r="T103" i="12" s="1"/>
  <c r="T118" i="12" s="1"/>
  <c r="T128" i="12" s="1"/>
  <c r="AO44" i="12"/>
  <c r="AO64" i="12"/>
  <c r="AO82" i="12" s="1"/>
  <c r="AO103" i="12" s="1"/>
  <c r="AO118" i="12" s="1"/>
  <c r="AO128" i="12" s="1"/>
  <c r="AN44" i="12"/>
  <c r="AN64" i="12"/>
  <c r="AN82" i="12" s="1"/>
  <c r="AN103" i="12" s="1"/>
  <c r="AN118" i="12" s="1"/>
  <c r="AN128" i="12" s="1"/>
  <c r="AD44" i="12"/>
  <c r="AD64" i="12"/>
  <c r="AA44" i="12"/>
  <c r="AA64" i="12"/>
  <c r="AA82" i="12" s="1"/>
  <c r="AA103" i="12" s="1"/>
  <c r="AA118" i="12" s="1"/>
  <c r="AA128" i="12" s="1"/>
  <c r="BJ44" i="12"/>
  <c r="BJ64" i="12"/>
  <c r="BJ82" i="12" s="1"/>
  <c r="BJ103" i="12" s="1"/>
  <c r="BJ118" i="12" s="1"/>
  <c r="BJ128" i="12" s="1"/>
  <c r="Z44" i="12"/>
  <c r="Z64" i="12"/>
  <c r="Z82" i="12" s="1"/>
  <c r="Z103" i="12" s="1"/>
  <c r="Z118" i="12" s="1"/>
  <c r="Z128" i="12" s="1"/>
  <c r="AW44" i="12"/>
  <c r="AW64" i="12"/>
  <c r="AW82" i="12" s="1"/>
  <c r="AW103" i="12" s="1"/>
  <c r="AW118" i="12" s="1"/>
  <c r="AW128" i="12" s="1"/>
  <c r="M44" i="12"/>
  <c r="M64" i="12"/>
  <c r="M82" i="12" s="1"/>
  <c r="M103" i="12" s="1"/>
  <c r="M118" i="12" s="1"/>
  <c r="M128" i="12" s="1"/>
  <c r="AJ44" i="12"/>
  <c r="AJ64" i="12"/>
  <c r="W44" i="12"/>
  <c r="W64" i="12"/>
  <c r="W82" i="12" s="1"/>
  <c r="W103" i="12" s="1"/>
  <c r="W118" i="12" s="1"/>
  <c r="W128" i="12" s="1"/>
  <c r="AE44" i="12"/>
  <c r="AE64" i="12"/>
  <c r="AE82" i="12" s="1"/>
  <c r="AE103" i="12" s="1"/>
  <c r="AE118" i="12" s="1"/>
  <c r="AE128" i="12" s="1"/>
  <c r="AC44" i="12"/>
  <c r="AC64" i="12"/>
  <c r="AC82" i="12" s="1"/>
  <c r="AC103" i="12" s="1"/>
  <c r="AC118" i="12" s="1"/>
  <c r="AC128" i="12" s="1"/>
  <c r="BK44" i="12"/>
  <c r="BK64" i="12"/>
  <c r="K44" i="12"/>
  <c r="K64" i="12"/>
  <c r="K82" i="12" s="1"/>
  <c r="K103" i="12" s="1"/>
  <c r="K118" i="12" s="1"/>
  <c r="K128" i="12" s="1"/>
  <c r="AH44" i="12"/>
  <c r="AH64" i="12"/>
  <c r="AH82" i="12" s="1"/>
  <c r="AH103" i="12" s="1"/>
  <c r="AH118" i="12" s="1"/>
  <c r="AH128" i="12" s="1"/>
  <c r="BN74" i="15"/>
  <c r="Q44" i="12"/>
  <c r="Q64" i="12"/>
  <c r="Q82" i="12" s="1"/>
  <c r="Q103" i="12" s="1"/>
  <c r="Q118" i="12" s="1"/>
  <c r="Q128" i="12" s="1"/>
  <c r="AB44" i="12"/>
  <c r="AB64" i="12"/>
  <c r="AB82" i="12" s="1"/>
  <c r="AB103" i="12" s="1"/>
  <c r="AB118" i="12" s="1"/>
  <c r="AB128" i="12" s="1"/>
  <c r="BE44" i="12"/>
  <c r="BE64" i="12"/>
  <c r="U44" i="12"/>
  <c r="U64" i="12"/>
  <c r="U82" i="12" s="1"/>
  <c r="U103" i="12" s="1"/>
  <c r="U118" i="12" s="1"/>
  <c r="U128" i="12" s="1"/>
  <c r="AR44" i="12"/>
  <c r="AR64" i="12"/>
  <c r="AR82" i="12" s="1"/>
  <c r="AR103" i="12" s="1"/>
  <c r="AR118" i="12" s="1"/>
  <c r="AR128" i="12" s="1"/>
  <c r="H44" i="12"/>
  <c r="H64" i="12"/>
  <c r="H82" i="12" s="1"/>
  <c r="H103" i="12" s="1"/>
  <c r="H118" i="12" s="1"/>
  <c r="H128" i="12" s="1"/>
  <c r="AK74" i="15"/>
  <c r="AK93" i="15" s="1"/>
  <c r="AK114" i="15" s="1"/>
  <c r="AK132" i="15" s="1"/>
  <c r="AK144" i="15" s="1"/>
  <c r="CC74" i="15"/>
  <c r="R44" i="12"/>
  <c r="R64" i="12"/>
  <c r="R82" i="12" s="1"/>
  <c r="R103" i="12" s="1"/>
  <c r="R118" i="12" s="1"/>
  <c r="R128" i="12" s="1"/>
  <c r="BG44" i="12"/>
  <c r="BG64" i="12"/>
  <c r="BG82" i="12" s="1"/>
  <c r="BG103" i="12" s="1"/>
  <c r="BG118" i="12" s="1"/>
  <c r="BG128" i="12" s="1"/>
  <c r="S44" i="12"/>
  <c r="S64" i="12"/>
  <c r="S82" i="12" s="1"/>
  <c r="S103" i="12" s="1"/>
  <c r="S118" i="12" s="1"/>
  <c r="S128" i="12" s="1"/>
  <c r="E44" i="12"/>
  <c r="E64" i="12"/>
  <c r="E82" i="12" s="1"/>
  <c r="E103" i="12" s="1"/>
  <c r="E118" i="12" s="1"/>
  <c r="E128" i="12" s="1"/>
  <c r="AY44" i="12"/>
  <c r="AY64" i="12"/>
  <c r="O44" i="12"/>
  <c r="O64" i="12"/>
  <c r="O82" i="12" s="1"/>
  <c r="O103" i="12" s="1"/>
  <c r="O118" i="12" s="1"/>
  <c r="O128" i="12" s="1"/>
  <c r="AX44" i="12"/>
  <c r="AX64" i="12"/>
  <c r="AX82" i="12" s="1"/>
  <c r="AX103" i="12" s="1"/>
  <c r="AX118" i="12" s="1"/>
  <c r="AX128" i="12" s="1"/>
  <c r="N44" i="12"/>
  <c r="N64" i="12"/>
  <c r="N82" i="12" s="1"/>
  <c r="N103" i="12" s="1"/>
  <c r="N118" i="12" s="1"/>
  <c r="N128" i="12" s="1"/>
  <c r="AK44" i="12"/>
  <c r="AK64" i="12"/>
  <c r="AK82" i="12" s="1"/>
  <c r="AK103" i="12" s="1"/>
  <c r="AK118" i="12" s="1"/>
  <c r="AK128" i="12" s="1"/>
  <c r="BH44" i="12"/>
  <c r="BH64" i="12"/>
  <c r="BL44" i="12"/>
  <c r="BL64" i="12"/>
  <c r="BL82" i="12" s="1"/>
  <c r="BL103" i="12" s="1"/>
  <c r="BL118" i="12" s="1"/>
  <c r="BL128" i="12" s="1"/>
  <c r="P44" i="12"/>
  <c r="P64" i="12"/>
  <c r="P82" i="12" s="1"/>
  <c r="P103" i="12" s="1"/>
  <c r="P118" i="12" s="1"/>
  <c r="P128" i="12" s="1"/>
  <c r="X44" i="12"/>
  <c r="X64" i="12"/>
  <c r="X82" i="12" s="1"/>
  <c r="X103" i="12" s="1"/>
  <c r="X118" i="12" s="1"/>
  <c r="X128" i="12" s="1"/>
  <c r="BF44" i="12"/>
  <c r="BF64" i="12"/>
  <c r="BF82" i="12" s="1"/>
  <c r="BF103" i="12" s="1"/>
  <c r="BF118" i="12" s="1"/>
  <c r="BF128" i="12" s="1"/>
  <c r="V44" i="12"/>
  <c r="V64" i="12"/>
  <c r="V82" i="12" s="1"/>
  <c r="V103" i="12" s="1"/>
  <c r="V118" i="12" s="1"/>
  <c r="V128" i="12" s="1"/>
  <c r="AM74" i="15"/>
  <c r="AM93" i="15" s="1"/>
  <c r="AM114" i="15" s="1"/>
  <c r="AM132" i="15" s="1"/>
  <c r="AM144" i="15" s="1"/>
  <c r="BF74" i="15"/>
  <c r="BF93" i="15" s="1"/>
  <c r="BF114" i="15" s="1"/>
  <c r="BF132" i="15" s="1"/>
  <c r="BF144" i="15" s="1"/>
  <c r="BB44" i="12"/>
  <c r="BB64" i="12"/>
  <c r="F44" i="12"/>
  <c r="F64" i="12"/>
  <c r="F82" i="12" s="1"/>
  <c r="F103" i="12" s="1"/>
  <c r="F118" i="12" s="1"/>
  <c r="F128" i="12" s="1"/>
  <c r="AU44" i="12"/>
  <c r="AU64" i="12"/>
  <c r="AU82" i="12" s="1"/>
  <c r="AU103" i="12" s="1"/>
  <c r="AU118" i="12" s="1"/>
  <c r="AU128" i="12" s="1"/>
  <c r="AS44" i="12"/>
  <c r="AS64" i="12"/>
  <c r="I44" i="12"/>
  <c r="I64" i="12"/>
  <c r="I82" i="12" s="1"/>
  <c r="I103" i="12" s="1"/>
  <c r="I118" i="12" s="1"/>
  <c r="I128" i="12" s="1"/>
  <c r="AF44" i="12"/>
  <c r="AF64" i="12"/>
  <c r="AF82" i="12" s="1"/>
  <c r="AF103" i="12" s="1"/>
  <c r="AF118" i="12" s="1"/>
  <c r="AF128" i="12" s="1"/>
  <c r="BC44" i="12"/>
  <c r="BC64" i="12"/>
  <c r="BC82" i="12" s="1"/>
  <c r="BC103" i="12" s="1"/>
  <c r="BC118" i="12" s="1"/>
  <c r="BC128" i="12" s="1"/>
  <c r="G44" i="12"/>
  <c r="G64" i="12"/>
  <c r="G82" i="12" s="1"/>
  <c r="G103" i="12" s="1"/>
  <c r="G118" i="12" s="1"/>
  <c r="G128" i="12" s="1"/>
  <c r="BL74" i="15"/>
  <c r="BL93" i="15" s="1"/>
  <c r="BL114" i="15" s="1"/>
  <c r="BL132" i="15" s="1"/>
  <c r="BL144" i="15" s="1"/>
  <c r="CH51" i="15"/>
  <c r="CH85" i="18" s="1"/>
  <c r="BX51" i="15"/>
  <c r="BX85" i="18" s="1"/>
  <c r="AZ74" i="15"/>
  <c r="AZ93" i="15" s="1"/>
  <c r="AZ114" i="15" s="1"/>
  <c r="AZ132" i="15" s="1"/>
  <c r="AZ144" i="15" s="1"/>
  <c r="CN74" i="15"/>
  <c r="CN93" i="15" s="1"/>
  <c r="CN114" i="15" s="1"/>
  <c r="CN132" i="15" s="1"/>
  <c r="CN144" i="15" s="1"/>
  <c r="AR51" i="15"/>
  <c r="AR85" i="18" s="1"/>
  <c r="BV74" i="15"/>
  <c r="BV93" i="15" s="1"/>
  <c r="BV114" i="15" s="1"/>
  <c r="BV132" i="15" s="1"/>
  <c r="BV144" i="15" s="1"/>
  <c r="AQ74" i="15"/>
  <c r="AQ93" i="15" s="1"/>
  <c r="AQ114" i="15" s="1"/>
  <c r="AQ132" i="15" s="1"/>
  <c r="AQ144" i="15" s="1"/>
  <c r="BV51" i="15"/>
  <c r="BV85" i="18" s="1"/>
  <c r="CN51" i="15"/>
  <c r="CN85" i="18" s="1"/>
  <c r="CT51" i="15"/>
  <c r="CT85" i="18" s="1"/>
  <c r="BD51" i="15"/>
  <c r="BD85" i="18" s="1"/>
  <c r="BU74" i="15"/>
  <c r="BU93" i="15" s="1"/>
  <c r="BU114" i="15" s="1"/>
  <c r="BU132" i="15" s="1"/>
  <c r="BU144" i="15" s="1"/>
  <c r="CB51" i="15"/>
  <c r="CB85" i="18" s="1"/>
  <c r="CI51" i="15"/>
  <c r="BW51" i="15"/>
  <c r="AR74" i="15"/>
  <c r="AR93" i="15" s="1"/>
  <c r="AR114" i="15" s="1"/>
  <c r="AR132" i="15" s="1"/>
  <c r="AR144" i="15" s="1"/>
  <c r="CG74" i="15"/>
  <c r="CG93" i="15" s="1"/>
  <c r="CG114" i="15" s="1"/>
  <c r="CG132" i="15" s="1"/>
  <c r="CG144" i="15" s="1"/>
  <c r="CB74" i="15"/>
  <c r="CB93" i="15" s="1"/>
  <c r="CB114" i="15" s="1"/>
  <c r="CB132" i="15" s="1"/>
  <c r="CB144" i="15" s="1"/>
  <c r="AY74" i="15"/>
  <c r="AY93" i="15" s="1"/>
  <c r="AY114" i="15" s="1"/>
  <c r="AY132" i="15" s="1"/>
  <c r="AY144" i="15" s="1"/>
  <c r="CT74" i="15"/>
  <c r="CT93" i="15" s="1"/>
  <c r="CT114" i="15" s="1"/>
  <c r="CT132" i="15" s="1"/>
  <c r="CT144" i="15" s="1"/>
  <c r="BP74" i="15"/>
  <c r="BP93" i="15" s="1"/>
  <c r="BP114" i="15" s="1"/>
  <c r="BP132" i="15" s="1"/>
  <c r="BP144" i="15" s="1"/>
  <c r="BW74" i="15"/>
  <c r="AW51" i="15"/>
  <c r="AW85" i="18" s="1"/>
  <c r="CG51" i="15"/>
  <c r="CG85" i="18" s="1"/>
  <c r="BI74" i="15"/>
  <c r="BI93" i="15" s="1"/>
  <c r="BI114" i="15" s="1"/>
  <c r="BI132" i="15" s="1"/>
  <c r="BI144" i="15" s="1"/>
  <c r="AW74" i="15"/>
  <c r="AW93" i="15" s="1"/>
  <c r="AW114" i="15" s="1"/>
  <c r="AW132" i="15" s="1"/>
  <c r="AW144" i="15" s="1"/>
  <c r="BK74" i="15"/>
  <c r="AX74" i="15"/>
  <c r="AX93" i="15" s="1"/>
  <c r="AX114" i="15" s="1"/>
  <c r="AX132" i="15" s="1"/>
  <c r="AX144" i="15" s="1"/>
  <c r="BJ51" i="15"/>
  <c r="BJ85" i="18" s="1"/>
  <c r="CS74" i="15"/>
  <c r="CS93" i="15" s="1"/>
  <c r="CS114" i="15" s="1"/>
  <c r="CS132" i="15" s="1"/>
  <c r="CS144" i="15" s="1"/>
  <c r="EQ68" i="15"/>
  <c r="CE51" i="15"/>
  <c r="CE85" i="18" s="1"/>
  <c r="CE74" i="15"/>
  <c r="CE93" i="15" s="1"/>
  <c r="CE114" i="15" s="1"/>
  <c r="CE132" i="15" s="1"/>
  <c r="CE144" i="15" s="1"/>
  <c r="BS51" i="15"/>
  <c r="BS85" i="18" s="1"/>
  <c r="BS74" i="15"/>
  <c r="BS93" i="15" s="1"/>
  <c r="BS114" i="15" s="1"/>
  <c r="BS132" i="15" s="1"/>
  <c r="BS144" i="15" s="1"/>
  <c r="BG51" i="15"/>
  <c r="BG85" i="18" s="1"/>
  <c r="BG74" i="15"/>
  <c r="BG93" i="15" s="1"/>
  <c r="BG114" i="15" s="1"/>
  <c r="BG132" i="15" s="1"/>
  <c r="BG144" i="15" s="1"/>
  <c r="AU51" i="15"/>
  <c r="AU85" i="18" s="1"/>
  <c r="AU74" i="15"/>
  <c r="AU93" i="15" s="1"/>
  <c r="AU114" i="15" s="1"/>
  <c r="AU132" i="15" s="1"/>
  <c r="AU144" i="15" s="1"/>
  <c r="CQ51" i="15"/>
  <c r="CQ85" i="18" s="1"/>
  <c r="CQ74" i="15"/>
  <c r="CQ93" i="15" s="1"/>
  <c r="CQ114" i="15" s="1"/>
  <c r="CQ132" i="15" s="1"/>
  <c r="CQ144" i="15" s="1"/>
  <c r="AE594" i="2"/>
  <c r="AE591" i="2"/>
  <c r="AE570" i="2"/>
  <c r="AE599" i="2"/>
  <c r="CC534" i="2"/>
  <c r="CC594" i="2"/>
  <c r="CC591" i="2"/>
  <c r="CC599" i="2"/>
  <c r="CC570" i="2"/>
  <c r="BG591" i="2"/>
  <c r="BG594" i="2"/>
  <c r="BG570" i="2"/>
  <c r="BG599" i="2"/>
  <c r="BQ594" i="2"/>
  <c r="BQ591" i="2"/>
  <c r="BQ599" i="2"/>
  <c r="BQ570" i="2"/>
  <c r="BE594" i="2"/>
  <c r="BE591" i="2"/>
  <c r="BE570" i="2"/>
  <c r="BE599" i="2"/>
  <c r="BZ534" i="2"/>
  <c r="BZ594" i="2"/>
  <c r="BZ591" i="2"/>
  <c r="BZ599" i="2"/>
  <c r="BZ570" i="2"/>
  <c r="BA591" i="2"/>
  <c r="BA594" i="2"/>
  <c r="BA570" i="2"/>
  <c r="BA599" i="2"/>
  <c r="BL594" i="2"/>
  <c r="BL599" i="2"/>
  <c r="BL591" i="2"/>
  <c r="BL570" i="2"/>
  <c r="BK591" i="2"/>
  <c r="BK594" i="2"/>
  <c r="BK599" i="2"/>
  <c r="BK570" i="2"/>
  <c r="AI591" i="2"/>
  <c r="AI594" i="2"/>
  <c r="AI599" i="2"/>
  <c r="AI570" i="2"/>
  <c r="AE549" i="2"/>
  <c r="AO591" i="2"/>
  <c r="AO594" i="2"/>
  <c r="AO599" i="2"/>
  <c r="AO570" i="2"/>
  <c r="BW534" i="2"/>
  <c r="BW591" i="2"/>
  <c r="BW594" i="2"/>
  <c r="BW599" i="2"/>
  <c r="BW570" i="2"/>
  <c r="BA549" i="2"/>
  <c r="AL591" i="2"/>
  <c r="AL594" i="2"/>
  <c r="AL599" i="2"/>
  <c r="AL570" i="2"/>
  <c r="AS594" i="2"/>
  <c r="AS591" i="2"/>
  <c r="AS599" i="2"/>
  <c r="AS570" i="2"/>
  <c r="BN594" i="2"/>
  <c r="BN591" i="2"/>
  <c r="BN599" i="2"/>
  <c r="BN570" i="2"/>
  <c r="CH534" i="2"/>
  <c r="CH591" i="2"/>
  <c r="CH599" i="2"/>
  <c r="CH594" i="2"/>
  <c r="CH570" i="2"/>
  <c r="CP534" i="2"/>
  <c r="CP594" i="2"/>
  <c r="CP591" i="2"/>
  <c r="CP570" i="2"/>
  <c r="CP599" i="2"/>
  <c r="AG594" i="2"/>
  <c r="AG591" i="2"/>
  <c r="AG570" i="2"/>
  <c r="AG599" i="2"/>
  <c r="BB594" i="2"/>
  <c r="BB591" i="2"/>
  <c r="BB570" i="2"/>
  <c r="BB599" i="2"/>
  <c r="AC591" i="2"/>
  <c r="AC594" i="2"/>
  <c r="AC570" i="2"/>
  <c r="AC599" i="2"/>
  <c r="CI534" i="2"/>
  <c r="CI591" i="2"/>
  <c r="CI594" i="2"/>
  <c r="CI599" i="2"/>
  <c r="CI570" i="2"/>
  <c r="CD534" i="2"/>
  <c r="CD594" i="2"/>
  <c r="CD591" i="2"/>
  <c r="CD570" i="2"/>
  <c r="CD599" i="2"/>
  <c r="AG549" i="2"/>
  <c r="CP549" i="2"/>
  <c r="BK549" i="2"/>
  <c r="AY591" i="2"/>
  <c r="AY594" i="2"/>
  <c r="AY570" i="2"/>
  <c r="AY599" i="2"/>
  <c r="AP594" i="2"/>
  <c r="AP591" i="2"/>
  <c r="AP599" i="2"/>
  <c r="AP570" i="2"/>
  <c r="AM591" i="2"/>
  <c r="AM594" i="2"/>
  <c r="AM570" i="2"/>
  <c r="AM599" i="2"/>
  <c r="BR594" i="2"/>
  <c r="BR591" i="2"/>
  <c r="BR599" i="2"/>
  <c r="BR570" i="2"/>
  <c r="AS549" i="2"/>
  <c r="BW549" i="2"/>
  <c r="BY534" i="2"/>
  <c r="BY591" i="2"/>
  <c r="BY599" i="2"/>
  <c r="BY594" i="2"/>
  <c r="BY570" i="2"/>
  <c r="BM599" i="2"/>
  <c r="BM591" i="2"/>
  <c r="BM594" i="2"/>
  <c r="BM570" i="2"/>
  <c r="CS591" i="2"/>
  <c r="CT591" i="2" s="1"/>
  <c r="CU591" i="2" s="1"/>
  <c r="CV591" i="2" s="1"/>
  <c r="CW591" i="2" s="1"/>
  <c r="CX591" i="2" s="1"/>
  <c r="CY591" i="2" s="1"/>
  <c r="CZ591" i="2" s="1"/>
  <c r="DA591" i="2" s="1"/>
  <c r="DB591" i="2" s="1"/>
  <c r="DC591" i="2" s="1"/>
  <c r="DD591" i="2" s="1"/>
  <c r="DE591" i="2" s="1"/>
  <c r="DF591" i="2" s="1"/>
  <c r="DG591" i="2" s="1"/>
  <c r="DH591" i="2" s="1"/>
  <c r="DI591" i="2" s="1"/>
  <c r="DJ591" i="2" s="1"/>
  <c r="DK591" i="2" s="1"/>
  <c r="DL591" i="2" s="1"/>
  <c r="DM591" i="2" s="1"/>
  <c r="DN591" i="2" s="1"/>
  <c r="DO591" i="2" s="1"/>
  <c r="DP591" i="2" s="1"/>
  <c r="DQ591" i="2" s="1"/>
  <c r="DR591" i="2" s="1"/>
  <c r="DS591" i="2" s="1"/>
  <c r="DT591" i="2" s="1"/>
  <c r="DU591" i="2" s="1"/>
  <c r="DV591" i="2" s="1"/>
  <c r="DW591" i="2" s="1"/>
  <c r="DX591" i="2" s="1"/>
  <c r="DY591" i="2" s="1"/>
  <c r="DZ591" i="2" s="1"/>
  <c r="EA591" i="2" s="1"/>
  <c r="EB591" i="2" s="1"/>
  <c r="EC591" i="2" s="1"/>
  <c r="CS594" i="2"/>
  <c r="CS599" i="2"/>
  <c r="CS570" i="2"/>
  <c r="CG534" i="2"/>
  <c r="CG591" i="2"/>
  <c r="CG594" i="2"/>
  <c r="CG599" i="2"/>
  <c r="CG570" i="2"/>
  <c r="CN534" i="2"/>
  <c r="CN594" i="2"/>
  <c r="CN591" i="2"/>
  <c r="CN599" i="2"/>
  <c r="CN570" i="2"/>
  <c r="AD594" i="2"/>
  <c r="AD591" i="2"/>
  <c r="AD570" i="2"/>
  <c r="AD599" i="2"/>
  <c r="CR534" i="2"/>
  <c r="CR591" i="2"/>
  <c r="CR594" i="2"/>
  <c r="CR570" i="2"/>
  <c r="CR599" i="2"/>
  <c r="BF594" i="2"/>
  <c r="BF591" i="2"/>
  <c r="BF570" i="2"/>
  <c r="BF599" i="2"/>
  <c r="BE549" i="2"/>
  <c r="AI549" i="2"/>
  <c r="CS549" i="2"/>
  <c r="CI549" i="2"/>
  <c r="AX591" i="2"/>
  <c r="AX594" i="2"/>
  <c r="AX599" i="2"/>
  <c r="AX570" i="2"/>
  <c r="BX534" i="2"/>
  <c r="BX594" i="2"/>
  <c r="BX599" i="2"/>
  <c r="BX591" i="2"/>
  <c r="BX570" i="2"/>
  <c r="AD549" i="2"/>
  <c r="BQ549" i="2"/>
  <c r="AQ594" i="2"/>
  <c r="AQ591" i="2"/>
  <c r="AQ599" i="2"/>
  <c r="AQ570" i="2"/>
  <c r="CF534" i="2"/>
  <c r="CF591" i="2"/>
  <c r="CF594" i="2"/>
  <c r="CF599" i="2"/>
  <c r="CF570" i="2"/>
  <c r="BI591" i="2"/>
  <c r="BI594" i="2"/>
  <c r="BI570" i="2"/>
  <c r="BI599" i="2"/>
  <c r="BP594" i="2"/>
  <c r="BP591" i="2"/>
  <c r="BP599" i="2"/>
  <c r="BP570" i="2"/>
  <c r="CM534" i="2"/>
  <c r="CM594" i="2"/>
  <c r="CM591" i="2"/>
  <c r="CM599" i="2"/>
  <c r="CM570" i="2"/>
  <c r="CJ534" i="2"/>
  <c r="CJ599" i="2"/>
  <c r="CJ594" i="2"/>
  <c r="CJ591" i="2"/>
  <c r="CJ570" i="2"/>
  <c r="BT591" i="2"/>
  <c r="BT594" i="2"/>
  <c r="BT599" i="2"/>
  <c r="BT570" i="2"/>
  <c r="AH594" i="2"/>
  <c r="AH591" i="2"/>
  <c r="AH599" i="2"/>
  <c r="AH570" i="2"/>
  <c r="AP549" i="2"/>
  <c r="BT549" i="2"/>
  <c r="CC549" i="2"/>
  <c r="BG549" i="2"/>
  <c r="AU591" i="2"/>
  <c r="AU594" i="2"/>
  <c r="AU570" i="2"/>
  <c r="AU599" i="2"/>
  <c r="AT594" i="2"/>
  <c r="AT591" i="2"/>
  <c r="AT570" i="2"/>
  <c r="AT599" i="2"/>
  <c r="AW591" i="2"/>
  <c r="AW594" i="2"/>
  <c r="AW570" i="2"/>
  <c r="AW599" i="2"/>
  <c r="BD594" i="2"/>
  <c r="BD591" i="2"/>
  <c r="BD599" i="2"/>
  <c r="BD570" i="2"/>
  <c r="CA534" i="2"/>
  <c r="CA594" i="2"/>
  <c r="CA591" i="2"/>
  <c r="CA599" i="2"/>
  <c r="CA570" i="2"/>
  <c r="AZ594" i="2"/>
  <c r="AZ599" i="2"/>
  <c r="AZ570" i="2"/>
  <c r="AZ591" i="2"/>
  <c r="BH591" i="2"/>
  <c r="BH594" i="2"/>
  <c r="BH570" i="2"/>
  <c r="BH599" i="2"/>
  <c r="CQ534" i="2"/>
  <c r="CQ599" i="2"/>
  <c r="CQ591" i="2"/>
  <c r="CQ594" i="2"/>
  <c r="CQ570" i="2"/>
  <c r="BB549" i="2"/>
  <c r="AL549" i="2"/>
  <c r="BL549" i="2"/>
  <c r="BU591" i="2"/>
  <c r="BU594" i="2"/>
  <c r="BU570" i="2"/>
  <c r="BU599" i="2"/>
  <c r="AK591" i="2"/>
  <c r="AK594" i="2"/>
  <c r="AK570" i="2"/>
  <c r="AK599" i="2"/>
  <c r="BO594" i="2"/>
  <c r="BO591" i="2"/>
  <c r="BO570" i="2"/>
  <c r="BO599" i="2"/>
  <c r="AN594" i="2"/>
  <c r="AN591" i="2"/>
  <c r="AN570" i="2"/>
  <c r="AN599" i="2"/>
  <c r="AV591" i="2"/>
  <c r="AV594" i="2"/>
  <c r="AV570" i="2"/>
  <c r="AV599" i="2"/>
  <c r="BV534" i="2"/>
  <c r="BV591" i="2"/>
  <c r="BV599" i="2"/>
  <c r="BV594" i="2"/>
  <c r="BV570" i="2"/>
  <c r="CE534" i="2"/>
  <c r="CE599" i="2"/>
  <c r="CE591" i="2"/>
  <c r="CE594" i="2"/>
  <c r="CE570" i="2"/>
  <c r="BN549" i="2"/>
  <c r="BH549" i="2"/>
  <c r="CE549" i="2"/>
  <c r="AX549" i="2"/>
  <c r="BX549" i="2"/>
  <c r="CL534" i="2"/>
  <c r="CL594" i="2"/>
  <c r="CL591" i="2"/>
  <c r="CL570" i="2"/>
  <c r="CL599" i="2"/>
  <c r="CB534" i="2"/>
  <c r="CB594" i="2"/>
  <c r="CB591" i="2"/>
  <c r="CB599" i="2"/>
  <c r="CB570" i="2"/>
  <c r="AR594" i="2"/>
  <c r="AR591" i="2"/>
  <c r="AR599" i="2"/>
  <c r="AR570" i="2"/>
  <c r="CO534" i="2"/>
  <c r="CO594" i="2"/>
  <c r="CO591" i="2"/>
  <c r="CO570" i="2"/>
  <c r="CO599" i="2"/>
  <c r="AF594" i="2"/>
  <c r="AF591" i="2"/>
  <c r="AF599" i="2"/>
  <c r="AF570" i="2"/>
  <c r="BC594" i="2"/>
  <c r="BC591" i="2"/>
  <c r="BC599" i="2"/>
  <c r="BC570" i="2"/>
  <c r="CK534" i="2"/>
  <c r="CK591" i="2"/>
  <c r="CK599" i="2"/>
  <c r="CK594" i="2"/>
  <c r="CK570" i="2"/>
  <c r="AJ591" i="2"/>
  <c r="AJ594" i="2"/>
  <c r="AJ570" i="2"/>
  <c r="AJ599" i="2"/>
  <c r="BJ591" i="2"/>
  <c r="BJ599" i="2"/>
  <c r="BJ594" i="2"/>
  <c r="BJ570" i="2"/>
  <c r="BS599" i="2"/>
  <c r="BS591" i="2"/>
  <c r="BS594" i="2"/>
  <c r="BS570" i="2"/>
  <c r="BZ549" i="2"/>
  <c r="BD549" i="2"/>
  <c r="AH549" i="2"/>
  <c r="CQ549" i="2"/>
  <c r="BJ549" i="2"/>
  <c r="CJ549" i="2"/>
  <c r="G118" i="13"/>
  <c r="G127" i="13"/>
  <c r="G121" i="13"/>
  <c r="G122" i="13" s="1"/>
  <c r="I118" i="13"/>
  <c r="I127" i="13"/>
  <c r="I121" i="13"/>
  <c r="I122" i="13" s="1"/>
  <c r="C118" i="13"/>
  <c r="C127" i="13"/>
  <c r="C121" i="13"/>
  <c r="C122" i="13" s="1"/>
  <c r="F118" i="13"/>
  <c r="F127" i="13"/>
  <c r="F121" i="13"/>
  <c r="F122" i="13" s="1"/>
  <c r="D118" i="13"/>
  <c r="D121" i="13"/>
  <c r="D122" i="13" s="1"/>
  <c r="D127" i="13"/>
  <c r="H118" i="13"/>
  <c r="H127" i="13"/>
  <c r="H121" i="13"/>
  <c r="H122" i="13" s="1"/>
  <c r="E118" i="13"/>
  <c r="E127" i="13"/>
  <c r="E121" i="13"/>
  <c r="E122" i="13" s="1"/>
  <c r="AB591" i="2"/>
  <c r="AB599" i="2"/>
  <c r="AB570" i="2"/>
  <c r="AB594" i="2"/>
  <c r="AB549" i="2"/>
  <c r="CS534" i="2"/>
  <c r="CV526" i="2"/>
  <c r="CU513" i="2"/>
  <c r="CU482" i="2"/>
  <c r="CU394" i="2" s="1"/>
  <c r="CU483" i="2"/>
  <c r="BV99" i="13" s="1"/>
  <c r="CU387" i="2"/>
  <c r="BV95" i="13"/>
  <c r="BU98" i="13"/>
  <c r="CT394" i="2"/>
  <c r="CT377" i="2" s="1"/>
  <c r="AE502" i="2"/>
  <c r="BU502" i="2"/>
  <c r="CB502" i="2"/>
  <c r="CD502" i="2"/>
  <c r="AD502" i="2"/>
  <c r="AB502" i="2"/>
  <c r="BX502" i="2"/>
  <c r="AS502" i="2"/>
  <c r="CF502" i="2"/>
  <c r="BR502" i="2"/>
  <c r="BF502" i="2"/>
  <c r="CJ502" i="2"/>
  <c r="CS502" i="2"/>
  <c r="AT502" i="2"/>
  <c r="BT502" i="2"/>
  <c r="CG502" i="2"/>
  <c r="AH502" i="2"/>
  <c r="CQ502" i="2"/>
  <c r="BH502" i="2"/>
  <c r="AW502" i="2"/>
  <c r="BD502" i="2"/>
  <c r="CA502" i="2"/>
  <c r="AZ502" i="2"/>
  <c r="BI502" i="2"/>
  <c r="BA502" i="2"/>
  <c r="AO502" i="2"/>
  <c r="AC502" i="2"/>
  <c r="CM502" i="2"/>
  <c r="CR502" i="2"/>
  <c r="BY502" i="2"/>
  <c r="CE502" i="2"/>
  <c r="BG502" i="2"/>
  <c r="AI502" i="2"/>
  <c r="CL502" i="2"/>
  <c r="AK502" i="2"/>
  <c r="BZ502" i="2"/>
  <c r="BW502" i="2"/>
  <c r="CN502" i="2"/>
  <c r="BV502" i="2"/>
  <c r="CK502" i="2"/>
  <c r="BM502" i="2"/>
  <c r="CO502" i="2"/>
  <c r="AV502" i="2"/>
  <c r="AU502" i="2"/>
  <c r="AJ502" i="2"/>
  <c r="CI502" i="2"/>
  <c r="CH502" i="2"/>
  <c r="BO502" i="2"/>
  <c r="BN502" i="2"/>
  <c r="BK502" i="2"/>
  <c r="BL502" i="2"/>
  <c r="BP502" i="2"/>
  <c r="BE502" i="2"/>
  <c r="BJ502" i="2"/>
  <c r="CC502" i="2"/>
  <c r="BQ502" i="2"/>
  <c r="BS502" i="2"/>
  <c r="BC502" i="2"/>
  <c r="BB502" i="2"/>
  <c r="AY502" i="2"/>
  <c r="AR502" i="2"/>
  <c r="AX502" i="2"/>
  <c r="CP502" i="2"/>
  <c r="AQ502" i="2"/>
  <c r="AP502" i="2"/>
  <c r="AM502" i="2"/>
  <c r="AN502" i="2"/>
  <c r="AF502" i="2"/>
  <c r="AG502" i="2"/>
  <c r="AL502" i="2"/>
  <c r="CL112" i="12" l="1"/>
  <c r="CL141" i="11"/>
  <c r="DC96" i="11"/>
  <c r="CS52" i="13"/>
  <c r="CS53" i="13"/>
  <c r="DS184" i="18"/>
  <c r="DS191" i="18" s="1"/>
  <c r="DU185" i="18"/>
  <c r="DU184" i="18" s="1"/>
  <c r="DT191" i="18"/>
  <c r="CM114" i="12"/>
  <c r="CM112" i="12" s="1"/>
  <c r="CM143" i="11"/>
  <c r="CM141" i="11" s="1"/>
  <c r="CT380" i="2"/>
  <c r="CT426" i="2" s="1"/>
  <c r="CT534" i="2"/>
  <c r="CU534" i="2" s="1"/>
  <c r="CV534" i="2" s="1"/>
  <c r="CW534" i="2" s="1"/>
  <c r="CX534" i="2" s="1"/>
  <c r="CY534" i="2" s="1"/>
  <c r="CZ534" i="2" s="1"/>
  <c r="DA534" i="2" s="1"/>
  <c r="DB534" i="2" s="1"/>
  <c r="DC534" i="2" s="1"/>
  <c r="DD534" i="2" s="1"/>
  <c r="DE534" i="2" s="1"/>
  <c r="DF534" i="2" s="1"/>
  <c r="DG534" i="2" s="1"/>
  <c r="DH534" i="2" s="1"/>
  <c r="DI534" i="2" s="1"/>
  <c r="DJ534" i="2" s="1"/>
  <c r="DK534" i="2" s="1"/>
  <c r="DL534" i="2" s="1"/>
  <c r="DM534" i="2" s="1"/>
  <c r="DN534" i="2" s="1"/>
  <c r="DO534" i="2" s="1"/>
  <c r="DP534" i="2" s="1"/>
  <c r="DQ534" i="2" s="1"/>
  <c r="DR534" i="2" s="1"/>
  <c r="DS534" i="2" s="1"/>
  <c r="DT534" i="2" s="1"/>
  <c r="DU534" i="2" s="1"/>
  <c r="DV534" i="2" s="1"/>
  <c r="DW534" i="2" s="1"/>
  <c r="DX534" i="2" s="1"/>
  <c r="DY534" i="2" s="1"/>
  <c r="DZ534" i="2" s="1"/>
  <c r="EA534" i="2" s="1"/>
  <c r="EB534" i="2" s="1"/>
  <c r="EC534" i="2" s="1"/>
  <c r="DT552" i="2"/>
  <c r="DT537" i="2"/>
  <c r="DU313" i="2"/>
  <c r="DL150" i="7"/>
  <c r="DU125" i="15" s="1"/>
  <c r="DU123" i="15" s="1"/>
  <c r="EZ123" i="15" s="1"/>
  <c r="DU412" i="2"/>
  <c r="DT411" i="2"/>
  <c r="DH85" i="11"/>
  <c r="DF95" i="11"/>
  <c r="EF129" i="13"/>
  <c r="DJ86" i="11"/>
  <c r="DJ95" i="11"/>
  <c r="U79" i="11"/>
  <c r="AB118" i="13"/>
  <c r="AB121" i="13"/>
  <c r="AB127" i="13"/>
  <c r="D79" i="11"/>
  <c r="K118" i="13"/>
  <c r="K121" i="13"/>
  <c r="K127" i="13"/>
  <c r="BA79" i="11"/>
  <c r="BH118" i="13"/>
  <c r="BH121" i="13"/>
  <c r="BH127" i="13"/>
  <c r="AQ79" i="11"/>
  <c r="AX118" i="13"/>
  <c r="AX127" i="13"/>
  <c r="AX121" i="13"/>
  <c r="EO114" i="15"/>
  <c r="EK114" i="15"/>
  <c r="CL132" i="15"/>
  <c r="BR121" i="13"/>
  <c r="BR118" i="13"/>
  <c r="BR127" i="13"/>
  <c r="AL79" i="11"/>
  <c r="AS121" i="13"/>
  <c r="AS118" i="13"/>
  <c r="M79" i="11"/>
  <c r="T118" i="13"/>
  <c r="BF79" i="11"/>
  <c r="BM127" i="13"/>
  <c r="BM121" i="13"/>
  <c r="AN118" i="13"/>
  <c r="AN121" i="13"/>
  <c r="AN127" i="13"/>
  <c r="P79" i="11"/>
  <c r="W118" i="13"/>
  <c r="W121" i="13"/>
  <c r="BM79" i="11"/>
  <c r="BT118" i="13"/>
  <c r="BU118" i="13" s="1"/>
  <c r="BV118" i="13" s="1"/>
  <c r="BW118" i="13" s="1"/>
  <c r="BX118" i="13" s="1"/>
  <c r="BY118" i="13" s="1"/>
  <c r="BZ118" i="13" s="1"/>
  <c r="CA118" i="13" s="1"/>
  <c r="CB118" i="13" s="1"/>
  <c r="CC118" i="13" s="1"/>
  <c r="CD118" i="13" s="1"/>
  <c r="CE118" i="13" s="1"/>
  <c r="CF118" i="13" s="1"/>
  <c r="CG118" i="13" s="1"/>
  <c r="CH118" i="13" s="1"/>
  <c r="CI118" i="13" s="1"/>
  <c r="CJ118" i="13" s="1"/>
  <c r="CK118" i="13" s="1"/>
  <c r="CL118" i="13" s="1"/>
  <c r="CM118" i="13" s="1"/>
  <c r="CN118" i="13" s="1"/>
  <c r="CO118" i="13" s="1"/>
  <c r="CP118" i="13" s="1"/>
  <c r="CQ118" i="13" s="1"/>
  <c r="CR118" i="13" s="1"/>
  <c r="CS118" i="13" s="1"/>
  <c r="CT118" i="13" s="1"/>
  <c r="CU118" i="13" s="1"/>
  <c r="CV118" i="13" s="1"/>
  <c r="CW118" i="13" s="1"/>
  <c r="CX118" i="13" s="1"/>
  <c r="CY118" i="13" s="1"/>
  <c r="CZ118" i="13" s="1"/>
  <c r="DA118" i="13" s="1"/>
  <c r="DB118" i="13" s="1"/>
  <c r="DC118" i="13" s="1"/>
  <c r="DD118" i="13" s="1"/>
  <c r="BT127" i="13"/>
  <c r="X79" i="11"/>
  <c r="AE118" i="13"/>
  <c r="AE127" i="13"/>
  <c r="S79" i="11"/>
  <c r="Z121" i="13"/>
  <c r="Z118" i="13"/>
  <c r="Z127" i="13"/>
  <c r="EH114" i="15"/>
  <c r="BQ132" i="15"/>
  <c r="BF118" i="13"/>
  <c r="BF127" i="13"/>
  <c r="AY98" i="11" s="1"/>
  <c r="BF121" i="13"/>
  <c r="Z79" i="11"/>
  <c r="AG127" i="13"/>
  <c r="AG121" i="13"/>
  <c r="AG118" i="13"/>
  <c r="AT79" i="11"/>
  <c r="BA118" i="13"/>
  <c r="BA127" i="13"/>
  <c r="BA121" i="13"/>
  <c r="L79" i="11"/>
  <c r="S121" i="13"/>
  <c r="S118" i="13"/>
  <c r="EM114" i="15"/>
  <c r="CF132" i="15"/>
  <c r="T79" i="11"/>
  <c r="AA127" i="13"/>
  <c r="AA121" i="13"/>
  <c r="I79" i="11"/>
  <c r="P121" i="13"/>
  <c r="AF79" i="11"/>
  <c r="AM127" i="13"/>
  <c r="AM121" i="13"/>
  <c r="AM118" i="13"/>
  <c r="AO79" i="11"/>
  <c r="AV121" i="13"/>
  <c r="Q79" i="11"/>
  <c r="X118" i="13"/>
  <c r="J79" i="11"/>
  <c r="Q121" i="13"/>
  <c r="AE79" i="11"/>
  <c r="AL121" i="13"/>
  <c r="AL127" i="13"/>
  <c r="O79" i="11"/>
  <c r="V127" i="13"/>
  <c r="V118" i="13"/>
  <c r="AI79" i="11"/>
  <c r="AP118" i="13"/>
  <c r="AP121" i="13"/>
  <c r="E79" i="11"/>
  <c r="L121" i="13"/>
  <c r="L118" i="13"/>
  <c r="AR79" i="11"/>
  <c r="AY118" i="13"/>
  <c r="AY121" i="13"/>
  <c r="C79" i="11"/>
  <c r="J127" i="13"/>
  <c r="AZ79" i="11"/>
  <c r="BG127" i="13"/>
  <c r="AK127" i="13"/>
  <c r="AK118" i="13"/>
  <c r="W127" i="13"/>
  <c r="BJ121" i="13"/>
  <c r="BO121" i="13"/>
  <c r="BG118" i="13"/>
  <c r="BD121" i="13"/>
  <c r="AL118" i="13"/>
  <c r="BD118" i="13"/>
  <c r="BJ127" i="13"/>
  <c r="V121" i="13"/>
  <c r="AY127" i="13"/>
  <c r="BB118" i="13"/>
  <c r="AT127" i="13"/>
  <c r="AM98" i="11" s="1"/>
  <c r="J121" i="13"/>
  <c r="AT118" i="13"/>
  <c r="AA118" i="13"/>
  <c r="AK121" i="13"/>
  <c r="S127" i="13"/>
  <c r="DI95" i="11"/>
  <c r="DX58" i="12"/>
  <c r="X121" i="13"/>
  <c r="DB95" i="11"/>
  <c r="EE129" i="13"/>
  <c r="DZ48" i="12"/>
  <c r="FG87" i="18"/>
  <c r="CY87" i="11"/>
  <c r="J118" i="13"/>
  <c r="U121" i="13"/>
  <c r="EF125" i="13"/>
  <c r="AO121" i="13"/>
  <c r="AO127" i="13"/>
  <c r="BG121" i="13"/>
  <c r="M121" i="13"/>
  <c r="P127" i="13"/>
  <c r="AO118" i="13"/>
  <c r="P118" i="13"/>
  <c r="BQ118" i="13"/>
  <c r="AJ118" i="13"/>
  <c r="T121" i="13"/>
  <c r="X127" i="13"/>
  <c r="O127" i="13"/>
  <c r="EF68" i="15"/>
  <c r="BB121" i="13"/>
  <c r="AV127" i="13"/>
  <c r="AS127" i="13"/>
  <c r="EJ68" i="15"/>
  <c r="AV118" i="13"/>
  <c r="Y127" i="13"/>
  <c r="L127" i="13"/>
  <c r="T127" i="13"/>
  <c r="BQ127" i="13"/>
  <c r="BT121" i="13"/>
  <c r="BP121" i="13"/>
  <c r="DX49" i="12"/>
  <c r="BO127" i="13"/>
  <c r="BH98" i="11" s="1"/>
  <c r="AU127" i="13"/>
  <c r="DY65" i="11"/>
  <c r="EF123" i="13"/>
  <c r="BK127" i="13"/>
  <c r="AU118" i="13"/>
  <c r="DI85" i="11"/>
  <c r="DX45" i="12"/>
  <c r="O118" i="13"/>
  <c r="AI121" i="13"/>
  <c r="AI127" i="13"/>
  <c r="DF44" i="12"/>
  <c r="DF55" i="12" s="1"/>
  <c r="CZ87" i="11"/>
  <c r="EE130" i="13"/>
  <c r="BJ118" i="13"/>
  <c r="AJ127" i="13"/>
  <c r="AD121" i="13"/>
  <c r="O121" i="13"/>
  <c r="AJ121" i="13"/>
  <c r="BN121" i="13"/>
  <c r="AD127" i="13"/>
  <c r="DZ49" i="12"/>
  <c r="DY45" i="12"/>
  <c r="DZ45" i="12"/>
  <c r="AR121" i="13"/>
  <c r="EE123" i="13"/>
  <c r="BS121" i="13"/>
  <c r="AC121" i="13"/>
  <c r="AH118" i="13"/>
  <c r="BP127" i="13"/>
  <c r="DE44" i="12"/>
  <c r="DE55" i="12" s="1"/>
  <c r="Q127" i="13"/>
  <c r="AC127" i="13"/>
  <c r="BD127" i="13"/>
  <c r="BM118" i="13"/>
  <c r="M127" i="13"/>
  <c r="AE121" i="13"/>
  <c r="AP127" i="13"/>
  <c r="BP118" i="13"/>
  <c r="AD118" i="13"/>
  <c r="DH44" i="12"/>
  <c r="DH55" i="12" s="1"/>
  <c r="AC118" i="13"/>
  <c r="BL121" i="13"/>
  <c r="BK121" i="13"/>
  <c r="U127" i="13"/>
  <c r="BL127" i="13"/>
  <c r="BK118" i="13"/>
  <c r="BS127" i="13"/>
  <c r="FE54" i="15"/>
  <c r="DX65" i="11"/>
  <c r="BS118" i="13"/>
  <c r="DQ191" i="18"/>
  <c r="EY191" i="18" s="1"/>
  <c r="FI191" i="18" s="1"/>
  <c r="EM105" i="18"/>
  <c r="EF105" i="18"/>
  <c r="EK105" i="18"/>
  <c r="FF87" i="18"/>
  <c r="CY44" i="12"/>
  <c r="CR140" i="18"/>
  <c r="EQ114" i="18"/>
  <c r="EO85" i="18"/>
  <c r="EG105" i="18"/>
  <c r="BE61" i="12"/>
  <c r="DH57" i="12"/>
  <c r="DH61" i="12" s="1"/>
  <c r="EK85" i="18"/>
  <c r="EF124" i="13"/>
  <c r="EF130" i="13"/>
  <c r="EG124" i="13"/>
  <c r="EG130" i="13"/>
  <c r="CY86" i="11"/>
  <c r="CY95" i="11"/>
  <c r="DX64" i="11"/>
  <c r="DX48" i="12"/>
  <c r="BH82" i="12"/>
  <c r="DI64" i="12"/>
  <c r="AG82" i="12"/>
  <c r="CZ64" i="12"/>
  <c r="AP82" i="12"/>
  <c r="DC64" i="12"/>
  <c r="EQ105" i="18"/>
  <c r="DA62" i="11"/>
  <c r="DA81" i="11" s="1"/>
  <c r="BE79" i="11"/>
  <c r="DO102" i="13"/>
  <c r="CO140" i="18"/>
  <c r="EP114" i="18"/>
  <c r="CC140" i="18"/>
  <c r="EL114" i="18"/>
  <c r="AY79" i="11"/>
  <c r="DM102" i="13"/>
  <c r="EH85" i="18"/>
  <c r="AS61" i="12"/>
  <c r="DD57" i="12"/>
  <c r="DD61" i="12" s="1"/>
  <c r="DY58" i="12"/>
  <c r="DH87" i="11"/>
  <c r="DH96" i="11"/>
  <c r="AG61" i="12"/>
  <c r="CZ57" i="12"/>
  <c r="CZ61" i="12" s="1"/>
  <c r="EE125" i="13"/>
  <c r="EE131" i="13"/>
  <c r="AD82" i="12"/>
  <c r="CY64" i="12"/>
  <c r="BB82" i="12"/>
  <c r="DG64" i="12"/>
  <c r="DI44" i="12"/>
  <c r="DI55" i="12" s="1"/>
  <c r="CZ44" i="12"/>
  <c r="CZ55" i="12" s="1"/>
  <c r="DC44" i="12"/>
  <c r="DC55" i="12" s="1"/>
  <c r="CF140" i="18"/>
  <c r="EM114" i="18"/>
  <c r="BK140" i="18"/>
  <c r="EF114" i="18"/>
  <c r="AS79" i="11"/>
  <c r="DK102" i="13"/>
  <c r="BQ140" i="18"/>
  <c r="EH114" i="18"/>
  <c r="AV61" i="12"/>
  <c r="DE57" i="12"/>
  <c r="DE61" i="12" s="1"/>
  <c r="EP105" i="18"/>
  <c r="FF54" i="15"/>
  <c r="EL105" i="18"/>
  <c r="AD61" i="12"/>
  <c r="CY57" i="12"/>
  <c r="DE86" i="11"/>
  <c r="DE95" i="11"/>
  <c r="DY48" i="12"/>
  <c r="DG86" i="11"/>
  <c r="DG95" i="11"/>
  <c r="DZ64" i="11"/>
  <c r="DF87" i="11"/>
  <c r="DF96" i="11"/>
  <c r="DH95" i="11"/>
  <c r="DH86" i="11"/>
  <c r="EG103" i="13"/>
  <c r="DG44" i="12"/>
  <c r="DG55" i="12" s="1"/>
  <c r="AY82" i="12"/>
  <c r="DF64" i="12"/>
  <c r="BK82" i="12"/>
  <c r="DJ64" i="12"/>
  <c r="AJ82" i="12"/>
  <c r="DA64" i="12"/>
  <c r="EH105" i="18"/>
  <c r="AV79" i="11"/>
  <c r="DE79" i="11" s="1"/>
  <c r="DL102" i="13"/>
  <c r="AP79" i="11"/>
  <c r="DJ102" i="13"/>
  <c r="BH79" i="11"/>
  <c r="DI79" i="11" s="1"/>
  <c r="DP102" i="13"/>
  <c r="BT140" i="18"/>
  <c r="EI114" i="18"/>
  <c r="BH61" i="12"/>
  <c r="DI57" i="12"/>
  <c r="DI61" i="12" s="1"/>
  <c r="DY49" i="12"/>
  <c r="EE103" i="13"/>
  <c r="DD87" i="11"/>
  <c r="DD96" i="11"/>
  <c r="FE87" i="18"/>
  <c r="CZ86" i="11"/>
  <c r="CZ95" i="11"/>
  <c r="AS82" i="12"/>
  <c r="DD64" i="12"/>
  <c r="DJ44" i="12"/>
  <c r="DA44" i="12"/>
  <c r="DA55" i="12" s="1"/>
  <c r="AJ79" i="11"/>
  <c r="DH102" i="13"/>
  <c r="EN105" i="18"/>
  <c r="BZ140" i="18"/>
  <c r="EK114" i="18"/>
  <c r="AM79" i="11"/>
  <c r="DI102" i="13"/>
  <c r="CL140" i="18"/>
  <c r="EO114" i="18"/>
  <c r="EI105" i="18"/>
  <c r="AG79" i="11"/>
  <c r="DG102" i="13"/>
  <c r="BK79" i="11"/>
  <c r="DQ102" i="13"/>
  <c r="EF103" i="13"/>
  <c r="AJ61" i="12"/>
  <c r="DA57" i="12"/>
  <c r="DA61" i="12" s="1"/>
  <c r="FI184" i="18"/>
  <c r="DZ58" i="12"/>
  <c r="EG125" i="13"/>
  <c r="EG131" i="13"/>
  <c r="DD44" i="12"/>
  <c r="AV82" i="12"/>
  <c r="DE64" i="12"/>
  <c r="AM82" i="12"/>
  <c r="DB64" i="12"/>
  <c r="CI140" i="18"/>
  <c r="EN114" i="18"/>
  <c r="AD79" i="11"/>
  <c r="DF102" i="13"/>
  <c r="EO105" i="18"/>
  <c r="BW140" i="18"/>
  <c r="EJ114" i="18"/>
  <c r="EM85" i="18"/>
  <c r="DB87" i="11"/>
  <c r="DB96" i="11"/>
  <c r="DI87" i="11"/>
  <c r="DI96" i="11"/>
  <c r="DC95" i="11"/>
  <c r="DC86" i="11"/>
  <c r="DY64" i="11"/>
  <c r="AY61" i="12"/>
  <c r="DF57" i="12"/>
  <c r="DF61" i="12" s="1"/>
  <c r="DG87" i="11"/>
  <c r="DG96" i="11"/>
  <c r="DZ65" i="11"/>
  <c r="EG129" i="13"/>
  <c r="EG123" i="13"/>
  <c r="DJ87" i="11"/>
  <c r="DJ96" i="11"/>
  <c r="BE82" i="12"/>
  <c r="DH64" i="12"/>
  <c r="DB44" i="12"/>
  <c r="DB55" i="12" s="1"/>
  <c r="BB61" i="12"/>
  <c r="DG57" i="12"/>
  <c r="EJ105" i="18"/>
  <c r="AM61" i="12"/>
  <c r="DB57" i="12"/>
  <c r="DB61" i="12" s="1"/>
  <c r="DB85" i="11"/>
  <c r="DX69" i="11"/>
  <c r="DE96" i="11"/>
  <c r="DE87" i="11"/>
  <c r="DA87" i="11"/>
  <c r="DA96" i="11"/>
  <c r="DD86" i="11"/>
  <c r="DD95" i="11"/>
  <c r="BB79" i="11"/>
  <c r="DG79" i="11" s="1"/>
  <c r="DN102" i="13"/>
  <c r="FG54" i="15"/>
  <c r="BN140" i="18"/>
  <c r="EG114" i="18"/>
  <c r="BK61" i="12"/>
  <c r="DJ57" i="12"/>
  <c r="DJ61" i="12" s="1"/>
  <c r="AP61" i="12"/>
  <c r="DC57" i="12"/>
  <c r="DA95" i="11"/>
  <c r="DA86" i="11"/>
  <c r="DY70" i="11"/>
  <c r="DE85" i="11"/>
  <c r="DZ69" i="11"/>
  <c r="DY71" i="11"/>
  <c r="DF85" i="11"/>
  <c r="DX70" i="11"/>
  <c r="CY62" i="11"/>
  <c r="CY81" i="11" s="1"/>
  <c r="DZ70" i="11"/>
  <c r="DJ85" i="11"/>
  <c r="AM83" i="11"/>
  <c r="DB67" i="11"/>
  <c r="AG83" i="11"/>
  <c r="CZ67" i="11"/>
  <c r="BK83" i="11"/>
  <c r="DJ67" i="11"/>
  <c r="CZ62" i="11"/>
  <c r="CZ81" i="11" s="1"/>
  <c r="AD83" i="11"/>
  <c r="CY67" i="11"/>
  <c r="DD62" i="11"/>
  <c r="DD81" i="11" s="1"/>
  <c r="DB62" i="11"/>
  <c r="DB81" i="11" s="1"/>
  <c r="DA85" i="11"/>
  <c r="DX71" i="11"/>
  <c r="DX68" i="11"/>
  <c r="DX85" i="11" s="1"/>
  <c r="DZ68" i="11"/>
  <c r="DG85" i="11"/>
  <c r="AJ83" i="11"/>
  <c r="DA67" i="11"/>
  <c r="BB83" i="11"/>
  <c r="DG67" i="11"/>
  <c r="CY85" i="11"/>
  <c r="DX63" i="11"/>
  <c r="DX94" i="11" s="1"/>
  <c r="CY94" i="11"/>
  <c r="CZ85" i="11"/>
  <c r="DH62" i="11"/>
  <c r="DH81" i="11" s="1"/>
  <c r="DG94" i="11"/>
  <c r="DZ63" i="11"/>
  <c r="DZ94" i="11" s="1"/>
  <c r="BE83" i="11"/>
  <c r="DH67" i="11"/>
  <c r="DC62" i="11"/>
  <c r="DF62" i="11"/>
  <c r="DF81" i="11" s="1"/>
  <c r="DE62" i="11"/>
  <c r="DE81" i="11" s="1"/>
  <c r="AY83" i="11"/>
  <c r="DF67" i="11"/>
  <c r="DZ71" i="11"/>
  <c r="DC85" i="11"/>
  <c r="DY68" i="11"/>
  <c r="DY85" i="11" s="1"/>
  <c r="AS83" i="11"/>
  <c r="DD67" i="11"/>
  <c r="DJ62" i="11"/>
  <c r="DJ81" i="11" s="1"/>
  <c r="DC94" i="11"/>
  <c r="DY63" i="11"/>
  <c r="DY94" i="11" s="1"/>
  <c r="AV83" i="11"/>
  <c r="DE67" i="11"/>
  <c r="AP83" i="11"/>
  <c r="DC67" i="11"/>
  <c r="BH83" i="11"/>
  <c r="DI67" i="11"/>
  <c r="DG62" i="11"/>
  <c r="DI62" i="11"/>
  <c r="DI81" i="11" s="1"/>
  <c r="DY69" i="11"/>
  <c r="DD85" i="11"/>
  <c r="EH68" i="15"/>
  <c r="Q118" i="13"/>
  <c r="BQ121" i="13"/>
  <c r="AI118" i="13"/>
  <c r="AF121" i="13"/>
  <c r="AF122" i="13" s="1"/>
  <c r="AF127" i="13"/>
  <c r="Y98" i="11" s="1"/>
  <c r="Y113" i="11" s="1"/>
  <c r="Y132" i="11" s="1"/>
  <c r="Y147" i="11" s="1"/>
  <c r="Y157" i="11" s="1"/>
  <c r="Y118" i="13"/>
  <c r="BC127" i="13"/>
  <c r="BC128" i="13" s="1"/>
  <c r="N118" i="13"/>
  <c r="AR127" i="13"/>
  <c r="AK98" i="11" s="1"/>
  <c r="AK113" i="11" s="1"/>
  <c r="AK132" i="11" s="1"/>
  <c r="AK147" i="11" s="1"/>
  <c r="AK157" i="11" s="1"/>
  <c r="AH121" i="13"/>
  <c r="AH122" i="13" s="1"/>
  <c r="AR118" i="13"/>
  <c r="BE127" i="13"/>
  <c r="AX98" i="11" s="1"/>
  <c r="AX113" i="11" s="1"/>
  <c r="AX132" i="11" s="1"/>
  <c r="AX147" i="11" s="1"/>
  <c r="AX157" i="11" s="1"/>
  <c r="BN127" i="13"/>
  <c r="BG98" i="11" s="1"/>
  <c r="BG113" i="11" s="1"/>
  <c r="BG132" i="11" s="1"/>
  <c r="BG147" i="11" s="1"/>
  <c r="BG157" i="11" s="1"/>
  <c r="R118" i="13"/>
  <c r="AZ118" i="13"/>
  <c r="AH127" i="13"/>
  <c r="AA98" i="11" s="1"/>
  <c r="AA113" i="11" s="1"/>
  <c r="AA132" i="11" s="1"/>
  <c r="AA147" i="11" s="1"/>
  <c r="AA157" i="11" s="1"/>
  <c r="U118" i="13"/>
  <c r="AW121" i="13"/>
  <c r="BE118" i="13"/>
  <c r="BN118" i="13"/>
  <c r="AQ121" i="13"/>
  <c r="R127" i="13"/>
  <c r="K98" i="11" s="1"/>
  <c r="K113" i="11" s="1"/>
  <c r="K132" i="11" s="1"/>
  <c r="K147" i="11" s="1"/>
  <c r="K157" i="11" s="1"/>
  <c r="BI127" i="13"/>
  <c r="BI141" i="13" s="1"/>
  <c r="AQ127" i="13"/>
  <c r="AQ128" i="13" s="1"/>
  <c r="AZ121" i="13"/>
  <c r="AQ118" i="13"/>
  <c r="AF118" i="13"/>
  <c r="AW127" i="13"/>
  <c r="AW128" i="13" s="1"/>
  <c r="BE121" i="13"/>
  <c r="BC118" i="13"/>
  <c r="Y121" i="13"/>
  <c r="R89" i="11" s="1"/>
  <c r="EN68" i="15"/>
  <c r="EP68" i="15"/>
  <c r="BB127" i="13"/>
  <c r="AU98" i="11" s="1"/>
  <c r="AU113" i="11" s="1"/>
  <c r="AU132" i="11" s="1"/>
  <c r="AU147" i="11" s="1"/>
  <c r="AU157" i="11" s="1"/>
  <c r="M118" i="13"/>
  <c r="R121" i="13"/>
  <c r="R122" i="13" s="1"/>
  <c r="BK93" i="15"/>
  <c r="EF74" i="15"/>
  <c r="BW93" i="15"/>
  <c r="EJ74" i="15"/>
  <c r="EJ51" i="15"/>
  <c r="BW85" i="18"/>
  <c r="EJ85" i="18" s="1"/>
  <c r="C81" i="11"/>
  <c r="C92" i="11"/>
  <c r="BI81" i="11"/>
  <c r="BI92" i="11"/>
  <c r="EO93" i="15"/>
  <c r="EK93" i="15"/>
  <c r="EG51" i="15"/>
  <c r="BN85" i="18"/>
  <c r="EG85" i="18" s="1"/>
  <c r="E81" i="11"/>
  <c r="E92" i="11"/>
  <c r="R81" i="11"/>
  <c r="R92" i="11"/>
  <c r="BK81" i="11"/>
  <c r="BK92" i="11"/>
  <c r="AN81" i="11"/>
  <c r="AN92" i="11"/>
  <c r="I81" i="11"/>
  <c r="I92" i="11"/>
  <c r="AY81" i="11"/>
  <c r="AY92" i="11"/>
  <c r="F81" i="11"/>
  <c r="F92" i="11"/>
  <c r="Q81" i="11"/>
  <c r="Q92" i="11"/>
  <c r="BH81" i="11"/>
  <c r="BH92" i="11"/>
  <c r="EM74" i="15"/>
  <c r="AG81" i="11"/>
  <c r="AG92" i="11"/>
  <c r="EO68" i="15"/>
  <c r="EK68" i="15"/>
  <c r="M81" i="11"/>
  <c r="M92" i="11"/>
  <c r="AZ81" i="11"/>
  <c r="AZ92" i="11"/>
  <c r="EP51" i="15"/>
  <c r="CO85" i="18"/>
  <c r="EP85" i="18" s="1"/>
  <c r="AT81" i="11"/>
  <c r="AT92" i="11"/>
  <c r="EM93" i="15"/>
  <c r="EN51" i="15"/>
  <c r="CI85" i="18"/>
  <c r="EN85" i="18" s="1"/>
  <c r="Y92" i="11"/>
  <c r="Y81" i="11"/>
  <c r="EL51" i="15"/>
  <c r="CC85" i="18"/>
  <c r="EL85" i="18" s="1"/>
  <c r="AI81" i="11"/>
  <c r="AI92" i="11"/>
  <c r="AD81" i="11"/>
  <c r="AD92" i="11"/>
  <c r="BC81" i="11"/>
  <c r="BC92" i="11"/>
  <c r="AR81" i="11"/>
  <c r="AR92" i="11"/>
  <c r="BJ81" i="11"/>
  <c r="BJ92" i="11"/>
  <c r="AO81" i="11"/>
  <c r="AO92" i="11"/>
  <c r="D81" i="11"/>
  <c r="D92" i="11"/>
  <c r="BB81" i="11"/>
  <c r="BB92" i="11"/>
  <c r="Z81" i="11"/>
  <c r="Z92" i="11"/>
  <c r="G81" i="11"/>
  <c r="G92" i="11"/>
  <c r="AW81" i="11"/>
  <c r="AW92" i="11"/>
  <c r="BG81" i="11"/>
  <c r="BG92" i="11"/>
  <c r="O81" i="11"/>
  <c r="O92" i="11"/>
  <c r="BE81" i="11"/>
  <c r="BE92" i="11"/>
  <c r="BL81" i="11"/>
  <c r="BL92" i="11"/>
  <c r="BM81" i="11"/>
  <c r="BM92" i="11"/>
  <c r="J81" i="11"/>
  <c r="J92" i="11"/>
  <c r="CO93" i="15"/>
  <c r="EP74" i="15"/>
  <c r="AS81" i="11"/>
  <c r="AS92" i="11"/>
  <c r="EI51" i="15"/>
  <c r="BT85" i="18"/>
  <c r="EI85" i="18" s="1"/>
  <c r="EH74" i="15"/>
  <c r="CR93" i="15"/>
  <c r="EQ74" i="15"/>
  <c r="U81" i="11"/>
  <c r="U92" i="11"/>
  <c r="AA81" i="11"/>
  <c r="AA92" i="11"/>
  <c r="V81" i="11"/>
  <c r="V92" i="11"/>
  <c r="AB81" i="11"/>
  <c r="AB92" i="11"/>
  <c r="EM68" i="15"/>
  <c r="AF81" i="11"/>
  <c r="AF92" i="11"/>
  <c r="AL81" i="11"/>
  <c r="AL92" i="11"/>
  <c r="BA81" i="11"/>
  <c r="BA92" i="11"/>
  <c r="P81" i="11"/>
  <c r="P92" i="11"/>
  <c r="BF81" i="11"/>
  <c r="BF92" i="11"/>
  <c r="EH93" i="15"/>
  <c r="N121" i="13"/>
  <c r="G89" i="11" s="1"/>
  <c r="BN93" i="15"/>
  <c r="EG74" i="15"/>
  <c r="BT93" i="15"/>
  <c r="EI74" i="15"/>
  <c r="AJ81" i="11"/>
  <c r="AJ92" i="11"/>
  <c r="AU81" i="11"/>
  <c r="AU92" i="11"/>
  <c r="X81" i="11"/>
  <c r="X92" i="11"/>
  <c r="AH81" i="11"/>
  <c r="AH92" i="11"/>
  <c r="EF51" i="15"/>
  <c r="BK85" i="18"/>
  <c r="EF85" i="18" s="1"/>
  <c r="W81" i="11"/>
  <c r="W92" i="11"/>
  <c r="AP81" i="11"/>
  <c r="AP92" i="11"/>
  <c r="CI93" i="15"/>
  <c r="EN74" i="15"/>
  <c r="K81" i="11"/>
  <c r="K92" i="11"/>
  <c r="EQ51" i="15"/>
  <c r="CR85" i="18"/>
  <c r="EQ85" i="18" s="1"/>
  <c r="AM81" i="11"/>
  <c r="AM92" i="11"/>
  <c r="N127" i="13"/>
  <c r="G98" i="11" s="1"/>
  <c r="G113" i="11" s="1"/>
  <c r="G132" i="11" s="1"/>
  <c r="G147" i="11" s="1"/>
  <c r="G157" i="11" s="1"/>
  <c r="AU121" i="13"/>
  <c r="AN89" i="11" s="1"/>
  <c r="BI118" i="13"/>
  <c r="AZ127" i="13"/>
  <c r="EG68" i="15"/>
  <c r="EL68" i="15"/>
  <c r="EK51" i="15"/>
  <c r="EO74" i="15"/>
  <c r="AE81" i="11"/>
  <c r="AE92" i="11"/>
  <c r="H81" i="11"/>
  <c r="H92" i="11"/>
  <c r="AX81" i="11"/>
  <c r="AX92" i="11"/>
  <c r="S81" i="11"/>
  <c r="S92" i="11"/>
  <c r="EM51" i="15"/>
  <c r="AV81" i="11"/>
  <c r="AV92" i="11"/>
  <c r="T81" i="11"/>
  <c r="T92" i="11"/>
  <c r="CC93" i="15"/>
  <c r="EL74" i="15"/>
  <c r="EI68" i="15"/>
  <c r="L81" i="11"/>
  <c r="L92" i="11"/>
  <c r="AC81" i="11"/>
  <c r="AC92" i="11"/>
  <c r="N81" i="11"/>
  <c r="N92" i="11"/>
  <c r="BD81" i="11"/>
  <c r="BD92" i="11"/>
  <c r="EO51" i="15"/>
  <c r="EK74" i="15"/>
  <c r="AK81" i="11"/>
  <c r="AK92" i="11"/>
  <c r="AQ81" i="11"/>
  <c r="AQ92" i="11"/>
  <c r="EH51" i="15"/>
  <c r="AT122" i="13"/>
  <c r="AM89" i="11"/>
  <c r="BC122" i="13"/>
  <c r="AV89" i="11"/>
  <c r="BI122" i="13"/>
  <c r="BB89" i="11"/>
  <c r="BC55" i="12"/>
  <c r="BC63" i="12"/>
  <c r="BB55" i="12"/>
  <c r="BB63" i="12"/>
  <c r="BL55" i="12"/>
  <c r="BL63" i="12"/>
  <c r="Q55" i="12"/>
  <c r="Q63" i="12"/>
  <c r="AY55" i="12"/>
  <c r="AY63" i="12"/>
  <c r="AE55" i="12"/>
  <c r="AE63" i="12"/>
  <c r="BJ55" i="12"/>
  <c r="BJ63" i="12"/>
  <c r="BD55" i="12"/>
  <c r="BD63" i="12"/>
  <c r="AI55" i="12"/>
  <c r="AI63" i="12"/>
  <c r="Y55" i="12"/>
  <c r="Y63" i="12"/>
  <c r="AF55" i="12"/>
  <c r="AF63" i="12"/>
  <c r="H55" i="12"/>
  <c r="H63" i="12"/>
  <c r="BH55" i="12"/>
  <c r="BH63" i="12"/>
  <c r="E55" i="12"/>
  <c r="E63" i="12"/>
  <c r="W55" i="12"/>
  <c r="W63" i="12"/>
  <c r="AA55" i="12"/>
  <c r="AA63" i="12"/>
  <c r="AG55" i="12"/>
  <c r="AG63" i="12"/>
  <c r="AL55" i="12"/>
  <c r="AL63" i="12"/>
  <c r="BI55" i="12"/>
  <c r="BI63" i="12"/>
  <c r="I55" i="12"/>
  <c r="I63" i="12"/>
  <c r="V55" i="12"/>
  <c r="V63" i="12"/>
  <c r="AR55" i="12"/>
  <c r="AR63" i="12"/>
  <c r="AK55" i="12"/>
  <c r="AK63" i="12"/>
  <c r="S55" i="12"/>
  <c r="S63" i="12"/>
  <c r="AH55" i="12"/>
  <c r="AH63" i="12"/>
  <c r="AJ55" i="12"/>
  <c r="AJ63" i="12"/>
  <c r="AD55" i="12"/>
  <c r="AD63" i="12"/>
  <c r="J55" i="12"/>
  <c r="J63" i="12"/>
  <c r="AZ55" i="12"/>
  <c r="AZ63" i="12"/>
  <c r="C55" i="12"/>
  <c r="C63" i="12"/>
  <c r="AS55" i="12"/>
  <c r="AS63" i="12"/>
  <c r="BF55" i="12"/>
  <c r="BF63" i="12"/>
  <c r="U55" i="12"/>
  <c r="U63" i="12"/>
  <c r="N55" i="12"/>
  <c r="N63" i="12"/>
  <c r="BG55" i="12"/>
  <c r="BG63" i="12"/>
  <c r="K55" i="12"/>
  <c r="K63" i="12"/>
  <c r="M55" i="12"/>
  <c r="M63" i="12"/>
  <c r="AN55" i="12"/>
  <c r="AN63" i="12"/>
  <c r="BA55" i="12"/>
  <c r="BA63" i="12"/>
  <c r="AP55" i="12"/>
  <c r="AP63" i="12"/>
  <c r="AM55" i="12"/>
  <c r="AM63" i="12"/>
  <c r="AU55" i="12"/>
  <c r="AU63" i="12"/>
  <c r="X55" i="12"/>
  <c r="X63" i="12"/>
  <c r="BE55" i="12"/>
  <c r="BE63" i="12"/>
  <c r="AX55" i="12"/>
  <c r="AX63" i="12"/>
  <c r="R55" i="12"/>
  <c r="R63" i="12"/>
  <c r="BK55" i="12"/>
  <c r="BK63" i="12"/>
  <c r="AW55" i="12"/>
  <c r="AW63" i="12"/>
  <c r="AO55" i="12"/>
  <c r="AO63" i="12"/>
  <c r="AQ55" i="12"/>
  <c r="AQ63" i="12"/>
  <c r="L55" i="12"/>
  <c r="L63" i="12"/>
  <c r="D55" i="12"/>
  <c r="D63" i="12"/>
  <c r="G55" i="12"/>
  <c r="G63" i="12"/>
  <c r="F55" i="12"/>
  <c r="F63" i="12"/>
  <c r="P55" i="12"/>
  <c r="P63" i="12"/>
  <c r="AB55" i="12"/>
  <c r="AB63" i="12"/>
  <c r="O55" i="12"/>
  <c r="O63" i="12"/>
  <c r="AC55" i="12"/>
  <c r="AC63" i="12"/>
  <c r="Z55" i="12"/>
  <c r="Z63" i="12"/>
  <c r="T55" i="12"/>
  <c r="T63" i="12"/>
  <c r="AT55" i="12"/>
  <c r="AT63" i="12"/>
  <c r="AV55" i="12"/>
  <c r="AV63" i="12"/>
  <c r="BM55" i="12"/>
  <c r="BM63" i="12"/>
  <c r="C128" i="13"/>
  <c r="C141" i="13"/>
  <c r="D128" i="13"/>
  <c r="D141" i="13"/>
  <c r="F128" i="13"/>
  <c r="F141" i="13"/>
  <c r="I128" i="13"/>
  <c r="I141" i="13"/>
  <c r="H128" i="13"/>
  <c r="H141" i="13"/>
  <c r="E128" i="13"/>
  <c r="E141" i="13"/>
  <c r="G128" i="13"/>
  <c r="G141" i="13"/>
  <c r="CU378" i="2"/>
  <c r="CU418" i="2" s="1"/>
  <c r="CW526" i="2"/>
  <c r="CV513" i="2"/>
  <c r="CV449" i="2"/>
  <c r="CW449" i="2" s="1"/>
  <c r="CX449" i="2" s="1"/>
  <c r="CY449" i="2" s="1"/>
  <c r="CZ449" i="2" s="1"/>
  <c r="DA449" i="2" s="1"/>
  <c r="DB449" i="2" s="1"/>
  <c r="DC449" i="2" s="1"/>
  <c r="DD449" i="2" s="1"/>
  <c r="DE449" i="2" s="1"/>
  <c r="DF449" i="2" s="1"/>
  <c r="DG449" i="2" s="1"/>
  <c r="DH449" i="2" s="1"/>
  <c r="DI449" i="2" s="1"/>
  <c r="DJ449" i="2" s="1"/>
  <c r="DK449" i="2" s="1"/>
  <c r="DL449" i="2" s="1"/>
  <c r="DM449" i="2" s="1"/>
  <c r="DN449" i="2" s="1"/>
  <c r="DO449" i="2" s="1"/>
  <c r="DP449" i="2" s="1"/>
  <c r="DQ449" i="2" s="1"/>
  <c r="DR449" i="2" s="1"/>
  <c r="DS449" i="2" s="1"/>
  <c r="DT449" i="2" s="1"/>
  <c r="DU449" i="2" s="1"/>
  <c r="DV449" i="2" s="1"/>
  <c r="DW449" i="2" s="1"/>
  <c r="DX449" i="2" s="1"/>
  <c r="DY449" i="2" s="1"/>
  <c r="DZ449" i="2" s="1"/>
  <c r="EA449" i="2" s="1"/>
  <c r="EB449" i="2" s="1"/>
  <c r="EC449" i="2" s="1"/>
  <c r="CU379" i="2"/>
  <c r="CU401" i="2" s="1"/>
  <c r="BV20" i="13" s="1"/>
  <c r="BO18" i="11" s="1"/>
  <c r="CT401" i="2"/>
  <c r="BU6" i="13"/>
  <c r="BU5" i="13"/>
  <c r="BU4" i="13"/>
  <c r="CT396" i="2"/>
  <c r="CT395" i="2"/>
  <c r="CV387" i="2"/>
  <c r="CU377" i="2"/>
  <c r="CT418" i="2"/>
  <c r="CT424" i="2"/>
  <c r="BV98" i="13"/>
  <c r="BW95" i="13"/>
  <c r="DR95" i="13" s="1"/>
  <c r="CV479" i="2"/>
  <c r="CV483" i="2" s="1"/>
  <c r="CT345" i="2"/>
  <c r="CT343" i="2"/>
  <c r="CU27" i="14" s="1"/>
  <c r="CS342" i="2"/>
  <c r="CS347" i="2" s="1"/>
  <c r="CR342" i="2"/>
  <c r="CR347" i="2" s="1"/>
  <c r="CT312" i="2"/>
  <c r="CU267" i="2"/>
  <c r="CT267" i="2"/>
  <c r="CU112" i="2"/>
  <c r="CV112" i="2" s="1"/>
  <c r="CW112" i="2" s="1"/>
  <c r="CX112" i="2" s="1"/>
  <c r="CY112" i="2" s="1"/>
  <c r="CZ112" i="2" s="1"/>
  <c r="DA112" i="2" s="1"/>
  <c r="DB112" i="2" s="1"/>
  <c r="DC112" i="2" s="1"/>
  <c r="DD112" i="2" s="1"/>
  <c r="DE112" i="2" s="1"/>
  <c r="DF112" i="2" s="1"/>
  <c r="DG112" i="2" s="1"/>
  <c r="DH112" i="2" s="1"/>
  <c r="DI112" i="2" s="1"/>
  <c r="DJ112" i="2" s="1"/>
  <c r="DK112" i="2" s="1"/>
  <c r="DL112" i="2" s="1"/>
  <c r="DM112" i="2" s="1"/>
  <c r="DN112" i="2" s="1"/>
  <c r="DO112" i="2" s="1"/>
  <c r="DP112" i="2" s="1"/>
  <c r="DQ112" i="2" s="1"/>
  <c r="DR112" i="2" s="1"/>
  <c r="CU111" i="2"/>
  <c r="CV111" i="2" s="1"/>
  <c r="CW111" i="2" s="1"/>
  <c r="CX111" i="2" s="1"/>
  <c r="CY111" i="2" s="1"/>
  <c r="CZ111" i="2" s="1"/>
  <c r="DA111" i="2" s="1"/>
  <c r="DB111" i="2" s="1"/>
  <c r="DC111" i="2" s="1"/>
  <c r="DD111" i="2" s="1"/>
  <c r="DE111" i="2" s="1"/>
  <c r="DF111" i="2" s="1"/>
  <c r="DG111" i="2" s="1"/>
  <c r="DH111" i="2" s="1"/>
  <c r="DI111" i="2" s="1"/>
  <c r="DJ111" i="2" s="1"/>
  <c r="DK111" i="2" s="1"/>
  <c r="DL111" i="2" s="1"/>
  <c r="DM111" i="2" s="1"/>
  <c r="DN111" i="2" s="1"/>
  <c r="DO111" i="2" s="1"/>
  <c r="DP111" i="2" s="1"/>
  <c r="DQ111" i="2" s="1"/>
  <c r="DR111" i="2" s="1"/>
  <c r="CT89" i="2"/>
  <c r="CU89" i="2" s="1"/>
  <c r="CV89" i="2" s="1"/>
  <c r="CW89" i="2" s="1"/>
  <c r="CX89" i="2" s="1"/>
  <c r="CY89" i="2" s="1"/>
  <c r="CZ89" i="2" s="1"/>
  <c r="DA89" i="2" s="1"/>
  <c r="DB89" i="2" s="1"/>
  <c r="DC89" i="2" s="1"/>
  <c r="DD89" i="2" s="1"/>
  <c r="DE89" i="2" s="1"/>
  <c r="DF89" i="2" s="1"/>
  <c r="DG89" i="2" s="1"/>
  <c r="DH89" i="2" s="1"/>
  <c r="DI89" i="2" s="1"/>
  <c r="DJ89" i="2" s="1"/>
  <c r="DK89" i="2" s="1"/>
  <c r="DL89" i="2" s="1"/>
  <c r="DM89" i="2" s="1"/>
  <c r="DN89" i="2" s="1"/>
  <c r="DO89" i="2" s="1"/>
  <c r="DP89" i="2" s="1"/>
  <c r="DQ89" i="2" s="1"/>
  <c r="DR89" i="2" s="1"/>
  <c r="CS99" i="2"/>
  <c r="CR99" i="2"/>
  <c r="CQ99" i="2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CO331" i="2"/>
  <c r="CK331" i="2"/>
  <c r="CJ331" i="2"/>
  <c r="CI331" i="2"/>
  <c r="CH331" i="2"/>
  <c r="BY331" i="2"/>
  <c r="BX331" i="2"/>
  <c r="BW331" i="2"/>
  <c r="BV331" i="2"/>
  <c r="BM331" i="2"/>
  <c r="BL331" i="2"/>
  <c r="BK331" i="2"/>
  <c r="BJ331" i="2"/>
  <c r="BA331" i="2"/>
  <c r="AZ331" i="2"/>
  <c r="AY331" i="2"/>
  <c r="AX331" i="2"/>
  <c r="AV331" i="2"/>
  <c r="AO331" i="2"/>
  <c r="AL331" i="2"/>
  <c r="AB331" i="2"/>
  <c r="AA331" i="2"/>
  <c r="Z331" i="2"/>
  <c r="U331" i="2"/>
  <c r="R331" i="2"/>
  <c r="Q331" i="2"/>
  <c r="CS331" i="2"/>
  <c r="CR331" i="2"/>
  <c r="CQ331" i="2"/>
  <c r="CP331" i="2"/>
  <c r="CN331" i="2"/>
  <c r="CM331" i="2"/>
  <c r="CL331" i="2"/>
  <c r="AU331" i="2"/>
  <c r="AT331" i="2"/>
  <c r="AS331" i="2"/>
  <c r="AR331" i="2"/>
  <c r="AQ331" i="2"/>
  <c r="AP331" i="2"/>
  <c r="AJ331" i="2"/>
  <c r="AI331" i="2"/>
  <c r="AH331" i="2"/>
  <c r="AG331" i="2"/>
  <c r="AF331" i="2"/>
  <c r="AE331" i="2"/>
  <c r="AD331" i="2"/>
  <c r="AC331" i="2"/>
  <c r="X331" i="2"/>
  <c r="W331" i="2"/>
  <c r="V331" i="2"/>
  <c r="T331" i="2"/>
  <c r="S331" i="2"/>
  <c r="CG331" i="2"/>
  <c r="CF331" i="2"/>
  <c r="CE331" i="2"/>
  <c r="CD331" i="2"/>
  <c r="CC331" i="2"/>
  <c r="CB331" i="2"/>
  <c r="CA331" i="2"/>
  <c r="BZ331" i="2"/>
  <c r="BU331" i="2"/>
  <c r="BT331" i="2"/>
  <c r="BS331" i="2"/>
  <c r="BR331" i="2"/>
  <c r="BQ331" i="2"/>
  <c r="BP331" i="2"/>
  <c r="BO331" i="2"/>
  <c r="BN331" i="2"/>
  <c r="BI331" i="2"/>
  <c r="BH331" i="2"/>
  <c r="BG331" i="2"/>
  <c r="BF331" i="2"/>
  <c r="BE331" i="2"/>
  <c r="BD331" i="2"/>
  <c r="BC331" i="2"/>
  <c r="BB331" i="2"/>
  <c r="AW331" i="2"/>
  <c r="AN331" i="2"/>
  <c r="AM331" i="2"/>
  <c r="AK331" i="2"/>
  <c r="Y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BF336" i="2"/>
  <c r="BG336" i="2"/>
  <c r="BH336" i="2"/>
  <c r="BI336" i="2"/>
  <c r="BJ336" i="2"/>
  <c r="BK336" i="2"/>
  <c r="BL336" i="2"/>
  <c r="BM336" i="2"/>
  <c r="BN336" i="2"/>
  <c r="BO336" i="2"/>
  <c r="BP336" i="2"/>
  <c r="BQ336" i="2"/>
  <c r="BR336" i="2"/>
  <c r="BS336" i="2"/>
  <c r="BT336" i="2"/>
  <c r="BU336" i="2"/>
  <c r="BV336" i="2"/>
  <c r="BW336" i="2"/>
  <c r="BX336" i="2"/>
  <c r="BY336" i="2"/>
  <c r="BZ336" i="2"/>
  <c r="CA336" i="2"/>
  <c r="CB336" i="2"/>
  <c r="CC336" i="2"/>
  <c r="CD336" i="2"/>
  <c r="CE336" i="2"/>
  <c r="CF336" i="2"/>
  <c r="CG336" i="2"/>
  <c r="CH336" i="2"/>
  <c r="CI336" i="2"/>
  <c r="CJ336" i="2"/>
  <c r="CK336" i="2"/>
  <c r="CL336" i="2"/>
  <c r="CM336" i="2"/>
  <c r="CN336" i="2"/>
  <c r="CO336" i="2"/>
  <c r="CP336" i="2"/>
  <c r="CQ336" i="2"/>
  <c r="CR336" i="2"/>
  <c r="CS336" i="2"/>
  <c r="AM336" i="2"/>
  <c r="CS367" i="2"/>
  <c r="CR367" i="2"/>
  <c r="CS45" i="14" s="1"/>
  <c r="CQ367" i="2"/>
  <c r="CR45" i="14" s="1"/>
  <c r="CR48" i="14" s="1"/>
  <c r="CP367" i="2"/>
  <c r="CQ45" i="14" s="1"/>
  <c r="CO367" i="2"/>
  <c r="CP45" i="14" s="1"/>
  <c r="CN367" i="2"/>
  <c r="CO45" i="14" s="1"/>
  <c r="CO48" i="14" s="1"/>
  <c r="CM367" i="2"/>
  <c r="CN45" i="14" s="1"/>
  <c r="CL367" i="2"/>
  <c r="CM45" i="14" s="1"/>
  <c r="CK367" i="2"/>
  <c r="CL45" i="14" s="1"/>
  <c r="CL48" i="14" s="1"/>
  <c r="CJ367" i="2"/>
  <c r="CK45" i="14" s="1"/>
  <c r="CI367" i="2"/>
  <c r="CJ45" i="14" s="1"/>
  <c r="CH367" i="2"/>
  <c r="CI45" i="14" s="1"/>
  <c r="CI48" i="14" s="1"/>
  <c r="CG367" i="2"/>
  <c r="CH45" i="14" s="1"/>
  <c r="CF367" i="2"/>
  <c r="CG45" i="14" s="1"/>
  <c r="CE367" i="2"/>
  <c r="CF45" i="14" s="1"/>
  <c r="CF48" i="14" s="1"/>
  <c r="CD367" i="2"/>
  <c r="CE45" i="14" s="1"/>
  <c r="CC367" i="2"/>
  <c r="CD45" i="14" s="1"/>
  <c r="CB367" i="2"/>
  <c r="CC45" i="14" s="1"/>
  <c r="CC48" i="14" s="1"/>
  <c r="CA367" i="2"/>
  <c r="CB45" i="14" s="1"/>
  <c r="BZ367" i="2"/>
  <c r="CA45" i="14" s="1"/>
  <c r="BY367" i="2"/>
  <c r="BZ45" i="14" s="1"/>
  <c r="BX367" i="2"/>
  <c r="BY45" i="14" s="1"/>
  <c r="BW367" i="2"/>
  <c r="BX45" i="14" s="1"/>
  <c r="BV367" i="2"/>
  <c r="BW45" i="14" s="1"/>
  <c r="BW48" i="14" s="1"/>
  <c r="BU367" i="2"/>
  <c r="BV45" i="14" s="1"/>
  <c r="BT367" i="2"/>
  <c r="BU45" i="14" s="1"/>
  <c r="BS367" i="2"/>
  <c r="BT45" i="14" s="1"/>
  <c r="BT48" i="14" s="1"/>
  <c r="BR367" i="2"/>
  <c r="BS45" i="14" s="1"/>
  <c r="BQ367" i="2"/>
  <c r="BR45" i="14" s="1"/>
  <c r="BP367" i="2"/>
  <c r="BQ45" i="14" s="1"/>
  <c r="BQ48" i="14" s="1"/>
  <c r="BO367" i="2"/>
  <c r="BP45" i="14" s="1"/>
  <c r="BN367" i="2"/>
  <c r="BO45" i="14" s="1"/>
  <c r="BM367" i="2"/>
  <c r="BN45" i="14" s="1"/>
  <c r="BN48" i="14" s="1"/>
  <c r="BL367" i="2"/>
  <c r="BM45" i="14" s="1"/>
  <c r="BK367" i="2"/>
  <c r="BL45" i="14" s="1"/>
  <c r="BJ367" i="2"/>
  <c r="BK45" i="14" s="1"/>
  <c r="BK48" i="14" s="1"/>
  <c r="BI367" i="2"/>
  <c r="BJ45" i="14" s="1"/>
  <c r="BH367" i="2"/>
  <c r="BI45" i="14" s="1"/>
  <c r="BG367" i="2"/>
  <c r="BH45" i="14" s="1"/>
  <c r="BF367" i="2"/>
  <c r="BG45" i="14" s="1"/>
  <c r="BE367" i="2"/>
  <c r="BF45" i="14" s="1"/>
  <c r="BD367" i="2"/>
  <c r="BE45" i="14" s="1"/>
  <c r="BC367" i="2"/>
  <c r="BD45" i="14" s="1"/>
  <c r="BB367" i="2"/>
  <c r="BC45" i="14" s="1"/>
  <c r="BA367" i="2"/>
  <c r="BB45" i="14" s="1"/>
  <c r="AZ367" i="2"/>
  <c r="BA45" i="14" s="1"/>
  <c r="AY367" i="2"/>
  <c r="AZ45" i="14" s="1"/>
  <c r="AX367" i="2"/>
  <c r="AY45" i="14" s="1"/>
  <c r="AW367" i="2"/>
  <c r="AX45" i="14" s="1"/>
  <c r="AV367" i="2"/>
  <c r="AW45" i="14" s="1"/>
  <c r="AU367" i="2"/>
  <c r="AV45" i="14" s="1"/>
  <c r="AT367" i="2"/>
  <c r="AU45" i="14" s="1"/>
  <c r="AS367" i="2"/>
  <c r="AT45" i="14" s="1"/>
  <c r="AR367" i="2"/>
  <c r="AS45" i="14" s="1"/>
  <c r="AQ367" i="2"/>
  <c r="AR45" i="14" s="1"/>
  <c r="AP367" i="2"/>
  <c r="AQ45" i="14" s="1"/>
  <c r="AO367" i="2"/>
  <c r="AP45" i="14" s="1"/>
  <c r="AN367" i="2"/>
  <c r="AO45" i="14" s="1"/>
  <c r="AM367" i="2"/>
  <c r="AN45" i="14" s="1"/>
  <c r="AL367" i="2"/>
  <c r="AM45" i="14" s="1"/>
  <c r="AM361" i="2"/>
  <c r="AN361" i="2"/>
  <c r="AO361" i="2"/>
  <c r="AP361" i="2"/>
  <c r="AQ361" i="2"/>
  <c r="AR361" i="2"/>
  <c r="AS361" i="2"/>
  <c r="AT361" i="2"/>
  <c r="AU361" i="2"/>
  <c r="AV361" i="2"/>
  <c r="AW361" i="2"/>
  <c r="AX361" i="2"/>
  <c r="AY361" i="2"/>
  <c r="AZ361" i="2"/>
  <c r="BA361" i="2"/>
  <c r="BB361" i="2"/>
  <c r="BC361" i="2"/>
  <c r="BD361" i="2"/>
  <c r="BE361" i="2"/>
  <c r="BF361" i="2"/>
  <c r="BG361" i="2"/>
  <c r="BH361" i="2"/>
  <c r="BI361" i="2"/>
  <c r="BJ361" i="2"/>
  <c r="BK361" i="2"/>
  <c r="BL361" i="2"/>
  <c r="BM361" i="2"/>
  <c r="BN361" i="2"/>
  <c r="BO361" i="2"/>
  <c r="BP361" i="2"/>
  <c r="BQ361" i="2"/>
  <c r="BR361" i="2"/>
  <c r="BS361" i="2"/>
  <c r="BT361" i="2"/>
  <c r="BU361" i="2"/>
  <c r="BV361" i="2"/>
  <c r="BW361" i="2"/>
  <c r="BX361" i="2"/>
  <c r="BY361" i="2"/>
  <c r="BZ361" i="2"/>
  <c r="CA361" i="2"/>
  <c r="CB361" i="2"/>
  <c r="CC361" i="2"/>
  <c r="CD361" i="2"/>
  <c r="CE361" i="2"/>
  <c r="CF361" i="2"/>
  <c r="CG361" i="2"/>
  <c r="CH361" i="2"/>
  <c r="CI361" i="2"/>
  <c r="CJ361" i="2"/>
  <c r="CK361" i="2"/>
  <c r="CL361" i="2"/>
  <c r="CM361" i="2"/>
  <c r="CN361" i="2"/>
  <c r="CO361" i="2"/>
  <c r="CP361" i="2"/>
  <c r="CQ361" i="2"/>
  <c r="CR361" i="2"/>
  <c r="CS361" i="2"/>
  <c r="AL361" i="2"/>
  <c r="AM357" i="2"/>
  <c r="AN357" i="2"/>
  <c r="AO357" i="2"/>
  <c r="AP357" i="2"/>
  <c r="AQ357" i="2"/>
  <c r="AR357" i="2"/>
  <c r="AS357" i="2"/>
  <c r="AT357" i="2"/>
  <c r="AU357" i="2"/>
  <c r="AV357" i="2"/>
  <c r="AW357" i="2"/>
  <c r="AX357" i="2"/>
  <c r="AY357" i="2"/>
  <c r="AZ357" i="2"/>
  <c r="BA357" i="2"/>
  <c r="BB357" i="2"/>
  <c r="BC357" i="2"/>
  <c r="BD357" i="2"/>
  <c r="BE357" i="2"/>
  <c r="BF357" i="2"/>
  <c r="BG357" i="2"/>
  <c r="BH357" i="2"/>
  <c r="BI357" i="2"/>
  <c r="BJ357" i="2"/>
  <c r="BK357" i="2"/>
  <c r="BL357" i="2"/>
  <c r="BM357" i="2"/>
  <c r="BN357" i="2"/>
  <c r="BO357" i="2"/>
  <c r="BP357" i="2"/>
  <c r="BQ357" i="2"/>
  <c r="BR357" i="2"/>
  <c r="BS357" i="2"/>
  <c r="BT357" i="2"/>
  <c r="BU357" i="2"/>
  <c r="BV357" i="2"/>
  <c r="BW357" i="2"/>
  <c r="BX357" i="2"/>
  <c r="BY357" i="2"/>
  <c r="BZ357" i="2"/>
  <c r="CA357" i="2"/>
  <c r="CB357" i="2"/>
  <c r="CC357" i="2"/>
  <c r="CD357" i="2"/>
  <c r="CE357" i="2"/>
  <c r="CF357" i="2"/>
  <c r="CG357" i="2"/>
  <c r="CH357" i="2"/>
  <c r="CI357" i="2"/>
  <c r="CJ357" i="2"/>
  <c r="CK357" i="2"/>
  <c r="CL357" i="2"/>
  <c r="CM357" i="2"/>
  <c r="CN357" i="2"/>
  <c r="CO357" i="2"/>
  <c r="CP357" i="2"/>
  <c r="CQ357" i="2"/>
  <c r="CR357" i="2"/>
  <c r="CS357" i="2"/>
  <c r="AL357" i="2"/>
  <c r="CQ342" i="2"/>
  <c r="CQ347" i="2" s="1"/>
  <c r="CP342" i="2"/>
  <c r="CP347" i="2" s="1"/>
  <c r="CO342" i="2"/>
  <c r="CO347" i="2" s="1"/>
  <c r="CN342" i="2"/>
  <c r="CN347" i="2" s="1"/>
  <c r="CM342" i="2"/>
  <c r="CM347" i="2" s="1"/>
  <c r="CL342" i="2"/>
  <c r="CL347" i="2" s="1"/>
  <c r="CK342" i="2"/>
  <c r="CK347" i="2" s="1"/>
  <c r="CJ342" i="2"/>
  <c r="CJ347" i="2" s="1"/>
  <c r="CI342" i="2"/>
  <c r="CI347" i="2" s="1"/>
  <c r="CH342" i="2"/>
  <c r="CH347" i="2" s="1"/>
  <c r="CG342" i="2"/>
  <c r="CG347" i="2" s="1"/>
  <c r="CF342" i="2"/>
  <c r="CF347" i="2" s="1"/>
  <c r="CE342" i="2"/>
  <c r="CE347" i="2" s="1"/>
  <c r="CD342" i="2"/>
  <c r="CD347" i="2" s="1"/>
  <c r="CC342" i="2"/>
  <c r="CC347" i="2" s="1"/>
  <c r="CB342" i="2"/>
  <c r="CB347" i="2" s="1"/>
  <c r="CA342" i="2"/>
  <c r="CA347" i="2" s="1"/>
  <c r="BZ342" i="2"/>
  <c r="BZ347" i="2" s="1"/>
  <c r="BY342" i="2"/>
  <c r="BY347" i="2" s="1"/>
  <c r="BX342" i="2"/>
  <c r="BX347" i="2" s="1"/>
  <c r="BW342" i="2"/>
  <c r="BW347" i="2" s="1"/>
  <c r="BV342" i="2"/>
  <c r="BV347" i="2" s="1"/>
  <c r="BU342" i="2"/>
  <c r="BU347" i="2" s="1"/>
  <c r="BT342" i="2"/>
  <c r="BT347" i="2" s="1"/>
  <c r="BS342" i="2"/>
  <c r="BS347" i="2" s="1"/>
  <c r="BR342" i="2"/>
  <c r="BR347" i="2" s="1"/>
  <c r="BQ342" i="2"/>
  <c r="BQ347" i="2" s="1"/>
  <c r="BP342" i="2"/>
  <c r="BP347" i="2" s="1"/>
  <c r="BO342" i="2"/>
  <c r="BO347" i="2" s="1"/>
  <c r="BN342" i="2"/>
  <c r="BN347" i="2" s="1"/>
  <c r="BM342" i="2"/>
  <c r="BM347" i="2" s="1"/>
  <c r="BL342" i="2"/>
  <c r="BL347" i="2" s="1"/>
  <c r="BK342" i="2"/>
  <c r="BK347" i="2" s="1"/>
  <c r="BJ342" i="2"/>
  <c r="BJ347" i="2" s="1"/>
  <c r="BI342" i="2"/>
  <c r="BI347" i="2" s="1"/>
  <c r="BH342" i="2"/>
  <c r="BH347" i="2" s="1"/>
  <c r="BG342" i="2"/>
  <c r="BG347" i="2" s="1"/>
  <c r="BF342" i="2"/>
  <c r="BF347" i="2" s="1"/>
  <c r="BE342" i="2"/>
  <c r="BE347" i="2" s="1"/>
  <c r="BD342" i="2"/>
  <c r="BD347" i="2" s="1"/>
  <c r="BC342" i="2"/>
  <c r="BC347" i="2" s="1"/>
  <c r="BB342" i="2"/>
  <c r="BB347" i="2" s="1"/>
  <c r="BA342" i="2"/>
  <c r="BA347" i="2" s="1"/>
  <c r="AZ342" i="2"/>
  <c r="AZ347" i="2" s="1"/>
  <c r="AY342" i="2"/>
  <c r="AY347" i="2" s="1"/>
  <c r="AX342" i="2"/>
  <c r="AX347" i="2" s="1"/>
  <c r="AW342" i="2"/>
  <c r="AW347" i="2" s="1"/>
  <c r="AV342" i="2"/>
  <c r="AV347" i="2" s="1"/>
  <c r="AU342" i="2"/>
  <c r="AU347" i="2" s="1"/>
  <c r="AT342" i="2"/>
  <c r="AT347" i="2" s="1"/>
  <c r="AS342" i="2"/>
  <c r="AS347" i="2" s="1"/>
  <c r="AR342" i="2"/>
  <c r="AR347" i="2" s="1"/>
  <c r="AQ342" i="2"/>
  <c r="AQ347" i="2" s="1"/>
  <c r="AP342" i="2"/>
  <c r="AP347" i="2" s="1"/>
  <c r="AO342" i="2"/>
  <c r="AO347" i="2" s="1"/>
  <c r="AN342" i="2"/>
  <c r="AN347" i="2" s="1"/>
  <c r="AM342" i="2"/>
  <c r="AM347" i="2" s="1"/>
  <c r="AL342" i="2"/>
  <c r="AL347" i="2" s="1"/>
  <c r="CU337" i="2"/>
  <c r="CV337" i="2" s="1"/>
  <c r="CW337" i="2" s="1"/>
  <c r="CX337" i="2" s="1"/>
  <c r="CY337" i="2" s="1"/>
  <c r="CZ337" i="2" s="1"/>
  <c r="DA337" i="2" s="1"/>
  <c r="DB337" i="2" s="1"/>
  <c r="DC337" i="2" s="1"/>
  <c r="DD337" i="2" s="1"/>
  <c r="DE337" i="2" s="1"/>
  <c r="DF337" i="2" s="1"/>
  <c r="DG337" i="2" s="1"/>
  <c r="DH337" i="2" s="1"/>
  <c r="DI337" i="2" s="1"/>
  <c r="DJ337" i="2" s="1"/>
  <c r="DK337" i="2" s="1"/>
  <c r="DL337" i="2" s="1"/>
  <c r="DM337" i="2" s="1"/>
  <c r="DN337" i="2" s="1"/>
  <c r="DO337" i="2" s="1"/>
  <c r="DP337" i="2" s="1"/>
  <c r="DQ337" i="2" s="1"/>
  <c r="DR337" i="2" s="1"/>
  <c r="DS337" i="2" s="1"/>
  <c r="DT337" i="2" s="1"/>
  <c r="DU337" i="2" s="1"/>
  <c r="DV337" i="2" s="1"/>
  <c r="DW337" i="2" s="1"/>
  <c r="DX337" i="2" s="1"/>
  <c r="DY337" i="2" s="1"/>
  <c r="DZ337" i="2" s="1"/>
  <c r="EA337" i="2" s="1"/>
  <c r="EB337" i="2" s="1"/>
  <c r="EC337" i="2" s="1"/>
  <c r="DZ85" i="11" l="1"/>
  <c r="DY96" i="11"/>
  <c r="DY87" i="11"/>
  <c r="DX87" i="11"/>
  <c r="DX96" i="11"/>
  <c r="DZ87" i="11"/>
  <c r="DZ96" i="11"/>
  <c r="DX95" i="11"/>
  <c r="DX86" i="11"/>
  <c r="DZ86" i="11"/>
  <c r="DZ95" i="11"/>
  <c r="DY95" i="11"/>
  <c r="DY86" i="11"/>
  <c r="AM84" i="11"/>
  <c r="DB83" i="11"/>
  <c r="DB84" i="11" s="1"/>
  <c r="AG84" i="11"/>
  <c r="CZ83" i="11"/>
  <c r="CZ84" i="11" s="1"/>
  <c r="BK84" i="11"/>
  <c r="DJ83" i="11"/>
  <c r="DJ84" i="11" s="1"/>
  <c r="AD84" i="11"/>
  <c r="CY83" i="11"/>
  <c r="AJ84" i="11"/>
  <c r="DA83" i="11"/>
  <c r="DA84" i="11" s="1"/>
  <c r="BB84" i="11"/>
  <c r="DG83" i="11"/>
  <c r="BE84" i="11"/>
  <c r="DH83" i="11"/>
  <c r="DH84" i="11" s="1"/>
  <c r="AY84" i="11"/>
  <c r="DF83" i="11"/>
  <c r="DF84" i="11" s="1"/>
  <c r="AS84" i="11"/>
  <c r="DD83" i="11"/>
  <c r="DD84" i="11" s="1"/>
  <c r="AV84" i="11"/>
  <c r="DE83" i="11"/>
  <c r="DE84" i="11" s="1"/>
  <c r="AP84" i="11"/>
  <c r="DC83" i="11"/>
  <c r="BH84" i="11"/>
  <c r="DI83" i="11"/>
  <c r="DI84" i="11" s="1"/>
  <c r="EZ125" i="15"/>
  <c r="CT53" i="13"/>
  <c r="CT52" i="13"/>
  <c r="EZ185" i="18"/>
  <c r="EZ184" i="18"/>
  <c r="DV185" i="18"/>
  <c r="DU191" i="18"/>
  <c r="EZ191" i="18" s="1"/>
  <c r="EQ150" i="7"/>
  <c r="CN114" i="12"/>
  <c r="CN112" i="12" s="1"/>
  <c r="CN143" i="11"/>
  <c r="CN141" i="11" s="1"/>
  <c r="CU380" i="2"/>
  <c r="CU426" i="2" s="1"/>
  <c r="DU552" i="2"/>
  <c r="DU537" i="2"/>
  <c r="DV313" i="2"/>
  <c r="DM150" i="7"/>
  <c r="DV125" i="15" s="1"/>
  <c r="DV412" i="2"/>
  <c r="DU411" i="2"/>
  <c r="DS89" i="2"/>
  <c r="DS76" i="3"/>
  <c r="DS111" i="2"/>
  <c r="DS95" i="3"/>
  <c r="DS112" i="2"/>
  <c r="DS96" i="3"/>
  <c r="BP122" i="13"/>
  <c r="BI89" i="11"/>
  <c r="BC98" i="11"/>
  <c r="BC113" i="11" s="1"/>
  <c r="BC132" i="11" s="1"/>
  <c r="BC147" i="11" s="1"/>
  <c r="BC157" i="11" s="1"/>
  <c r="BJ128" i="13"/>
  <c r="BJ141" i="13"/>
  <c r="L98" i="11"/>
  <c r="L113" i="11" s="1"/>
  <c r="L132" i="11" s="1"/>
  <c r="L147" i="11" s="1"/>
  <c r="L157" i="11" s="1"/>
  <c r="S128" i="13"/>
  <c r="S141" i="13"/>
  <c r="I98" i="11"/>
  <c r="I113" i="11" s="1"/>
  <c r="I132" i="11" s="1"/>
  <c r="I147" i="11" s="1"/>
  <c r="I157" i="11" s="1"/>
  <c r="P128" i="13"/>
  <c r="P141" i="13"/>
  <c r="H98" i="11"/>
  <c r="H113" i="11" s="1"/>
  <c r="H132" i="11" s="1"/>
  <c r="H147" i="11" s="1"/>
  <c r="H157" i="11" s="1"/>
  <c r="O128" i="13"/>
  <c r="O141" i="13"/>
  <c r="BJ98" i="11"/>
  <c r="BJ113" i="11" s="1"/>
  <c r="BJ132" i="11" s="1"/>
  <c r="BJ147" i="11" s="1"/>
  <c r="BJ157" i="11" s="1"/>
  <c r="BQ128" i="13"/>
  <c r="BQ141" i="13"/>
  <c r="BO128" i="13"/>
  <c r="BO141" i="13"/>
  <c r="BD98" i="11"/>
  <c r="BD113" i="11" s="1"/>
  <c r="BD132" i="11" s="1"/>
  <c r="BD147" i="11" s="1"/>
  <c r="BD157" i="11" s="1"/>
  <c r="BK128" i="13"/>
  <c r="BK141" i="13"/>
  <c r="BI98" i="11"/>
  <c r="BP128" i="13"/>
  <c r="BP141" i="13"/>
  <c r="BE98" i="11"/>
  <c r="BL128" i="13"/>
  <c r="BL141" i="13"/>
  <c r="BL98" i="11"/>
  <c r="BL113" i="11" s="1"/>
  <c r="BL132" i="11" s="1"/>
  <c r="BL147" i="11" s="1"/>
  <c r="BL157" i="11" s="1"/>
  <c r="BS128" i="13"/>
  <c r="BS141" i="13"/>
  <c r="U98" i="11"/>
  <c r="U113" i="11" s="1"/>
  <c r="U132" i="11" s="1"/>
  <c r="U147" i="11" s="1"/>
  <c r="U157" i="11" s="1"/>
  <c r="AB128" i="13"/>
  <c r="AB141" i="13"/>
  <c r="BO122" i="13"/>
  <c r="BH89" i="11"/>
  <c r="DH79" i="11"/>
  <c r="DD79" i="11"/>
  <c r="U89" i="11"/>
  <c r="AB122" i="13"/>
  <c r="D98" i="11"/>
  <c r="D113" i="11" s="1"/>
  <c r="D132" i="11" s="1"/>
  <c r="D147" i="11" s="1"/>
  <c r="D157" i="11" s="1"/>
  <c r="K128" i="13"/>
  <c r="K141" i="13"/>
  <c r="BA98" i="11"/>
  <c r="BA113" i="11" s="1"/>
  <c r="BA132" i="11" s="1"/>
  <c r="BA147" i="11" s="1"/>
  <c r="BA157" i="11" s="1"/>
  <c r="BH128" i="13"/>
  <c r="BH141" i="13"/>
  <c r="AQ98" i="11"/>
  <c r="AQ113" i="11" s="1"/>
  <c r="AQ132" i="11" s="1"/>
  <c r="AQ147" i="11" s="1"/>
  <c r="AQ157" i="11" s="1"/>
  <c r="AX128" i="13"/>
  <c r="AX141" i="13"/>
  <c r="BK98" i="11"/>
  <c r="BR128" i="13"/>
  <c r="BR141" i="13"/>
  <c r="BF98" i="11"/>
  <c r="BF113" i="11" s="1"/>
  <c r="BF132" i="11" s="1"/>
  <c r="BF147" i="11" s="1"/>
  <c r="BF157" i="11" s="1"/>
  <c r="BM128" i="13"/>
  <c r="BM141" i="13"/>
  <c r="BM122" i="13"/>
  <c r="BF89" i="11"/>
  <c r="AG98" i="11"/>
  <c r="AN128" i="13"/>
  <c r="AN141" i="13"/>
  <c r="BM98" i="11"/>
  <c r="BM113" i="11" s="1"/>
  <c r="BM132" i="11" s="1"/>
  <c r="BM147" i="11" s="1"/>
  <c r="BM157" i="11" s="1"/>
  <c r="BT128" i="13"/>
  <c r="BT141" i="13"/>
  <c r="X98" i="11"/>
  <c r="X113" i="11" s="1"/>
  <c r="X132" i="11" s="1"/>
  <c r="X147" i="11" s="1"/>
  <c r="X157" i="11" s="1"/>
  <c r="AE128" i="13"/>
  <c r="AE141" i="13"/>
  <c r="S98" i="11"/>
  <c r="S113" i="11" s="1"/>
  <c r="S132" i="11" s="1"/>
  <c r="S147" i="11" s="1"/>
  <c r="S157" i="11" s="1"/>
  <c r="Z128" i="13"/>
  <c r="Z141" i="13"/>
  <c r="Z98" i="11"/>
  <c r="Z113" i="11" s="1"/>
  <c r="Z132" i="11" s="1"/>
  <c r="Z147" i="11" s="1"/>
  <c r="Z157" i="11" s="1"/>
  <c r="AG128" i="13"/>
  <c r="AG141" i="13"/>
  <c r="AT98" i="11"/>
  <c r="AT113" i="11" s="1"/>
  <c r="AT132" i="11" s="1"/>
  <c r="AT147" i="11" s="1"/>
  <c r="AT157" i="11" s="1"/>
  <c r="BA128" i="13"/>
  <c r="BA141" i="13"/>
  <c r="M122" i="13"/>
  <c r="F89" i="11"/>
  <c r="BR122" i="13"/>
  <c r="BK89" i="11"/>
  <c r="AD89" i="11"/>
  <c r="AK122" i="13"/>
  <c r="AO122" i="13"/>
  <c r="AH89" i="11"/>
  <c r="K122" i="13"/>
  <c r="D89" i="11"/>
  <c r="BH122" i="13"/>
  <c r="BA89" i="11"/>
  <c r="AX122" i="13"/>
  <c r="AQ89" i="11"/>
  <c r="AS122" i="13"/>
  <c r="AL89" i="11"/>
  <c r="BF128" i="13"/>
  <c r="BF141" i="13"/>
  <c r="T98" i="11"/>
  <c r="T113" i="11" s="1"/>
  <c r="T132" i="11" s="1"/>
  <c r="T147" i="11" s="1"/>
  <c r="T157" i="11" s="1"/>
  <c r="AA128" i="13"/>
  <c r="AA141" i="13"/>
  <c r="AF98" i="11"/>
  <c r="AF113" i="11" s="1"/>
  <c r="AF132" i="11" s="1"/>
  <c r="AF147" i="11" s="1"/>
  <c r="AF157" i="11" s="1"/>
  <c r="AM128" i="13"/>
  <c r="AM141" i="13"/>
  <c r="AE98" i="11"/>
  <c r="AE113" i="11" s="1"/>
  <c r="AE132" i="11" s="1"/>
  <c r="AE147" i="11" s="1"/>
  <c r="AE157" i="11" s="1"/>
  <c r="AL128" i="13"/>
  <c r="AL141" i="13"/>
  <c r="BD122" i="13"/>
  <c r="AW89" i="11"/>
  <c r="V122" i="13"/>
  <c r="O89" i="11"/>
  <c r="T122" i="13"/>
  <c r="M89" i="11"/>
  <c r="DP121" i="13"/>
  <c r="DP122" i="13" s="1"/>
  <c r="DJ121" i="13"/>
  <c r="DJ122" i="13" s="1"/>
  <c r="DH121" i="13"/>
  <c r="DH122" i="13" s="1"/>
  <c r="DK121" i="13"/>
  <c r="DK122" i="13" s="1"/>
  <c r="DL121" i="13"/>
  <c r="DL122" i="13" s="1"/>
  <c r="W122" i="13"/>
  <c r="P89" i="11"/>
  <c r="BF122" i="13"/>
  <c r="AY89" i="11"/>
  <c r="AM122" i="13"/>
  <c r="AF89" i="11"/>
  <c r="DF121" i="13"/>
  <c r="DF122" i="13" s="1"/>
  <c r="AL122" i="13"/>
  <c r="AE89" i="11"/>
  <c r="L122" i="13"/>
  <c r="E89" i="11"/>
  <c r="AI122" i="13"/>
  <c r="AB89" i="11"/>
  <c r="AJ122" i="13"/>
  <c r="AC89" i="11"/>
  <c r="AR122" i="13"/>
  <c r="AK89" i="11"/>
  <c r="BS122" i="13"/>
  <c r="BL89" i="11"/>
  <c r="AC122" i="13"/>
  <c r="V89" i="11"/>
  <c r="AE122" i="13"/>
  <c r="X89" i="11"/>
  <c r="DA79" i="11"/>
  <c r="DB79" i="11"/>
  <c r="AN122" i="13"/>
  <c r="AG89" i="11"/>
  <c r="AP122" i="13"/>
  <c r="AI89" i="11"/>
  <c r="AR89" i="11"/>
  <c r="AY122" i="13"/>
  <c r="AK128" i="13"/>
  <c r="AK141" i="13"/>
  <c r="BG122" i="13"/>
  <c r="AZ89" i="11"/>
  <c r="CZ79" i="11"/>
  <c r="Z122" i="13"/>
  <c r="S89" i="11"/>
  <c r="O98" i="11"/>
  <c r="O113" i="11" s="1"/>
  <c r="O132" i="11" s="1"/>
  <c r="O147" i="11" s="1"/>
  <c r="O157" i="11" s="1"/>
  <c r="V128" i="13"/>
  <c r="V141" i="13"/>
  <c r="BG128" i="13"/>
  <c r="BG141" i="13"/>
  <c r="BJ122" i="13"/>
  <c r="BC89" i="11"/>
  <c r="X122" i="13"/>
  <c r="Q89" i="11"/>
  <c r="U122" i="13"/>
  <c r="N89" i="11"/>
  <c r="BB122" i="13"/>
  <c r="AU89" i="11"/>
  <c r="H89" i="11"/>
  <c r="O122" i="13"/>
  <c r="DC79" i="11"/>
  <c r="DJ79" i="11"/>
  <c r="CY79" i="11"/>
  <c r="C98" i="11"/>
  <c r="C113" i="11" s="1"/>
  <c r="C132" i="11" s="1"/>
  <c r="C147" i="11" s="1"/>
  <c r="C157" i="11" s="1"/>
  <c r="J128" i="13"/>
  <c r="J141" i="13"/>
  <c r="DF127" i="13"/>
  <c r="DF128" i="13" s="1"/>
  <c r="AD98" i="11"/>
  <c r="J122" i="13"/>
  <c r="C89" i="11"/>
  <c r="AD122" i="13"/>
  <c r="W89" i="11"/>
  <c r="BN122" i="13"/>
  <c r="BG89" i="11"/>
  <c r="DN121" i="13"/>
  <c r="DN122" i="13" s="1"/>
  <c r="BK122" i="13"/>
  <c r="BD89" i="11"/>
  <c r="DF79" i="11"/>
  <c r="CL144" i="15"/>
  <c r="EK132" i="15"/>
  <c r="EO132" i="15"/>
  <c r="BQ144" i="15"/>
  <c r="EH144" i="15" s="1"/>
  <c r="EH132" i="15"/>
  <c r="CF144" i="15"/>
  <c r="EM144" i="15" s="1"/>
  <c r="EM132" i="15"/>
  <c r="DM121" i="13"/>
  <c r="DG121" i="13"/>
  <c r="DG122" i="13" s="1"/>
  <c r="AG122" i="13"/>
  <c r="Z89" i="11"/>
  <c r="BA122" i="13"/>
  <c r="AT89" i="11"/>
  <c r="S122" i="13"/>
  <c r="L89" i="11"/>
  <c r="AA122" i="13"/>
  <c r="T89" i="11"/>
  <c r="P122" i="13"/>
  <c r="I89" i="11"/>
  <c r="AV122" i="13"/>
  <c r="AO89" i="11"/>
  <c r="DB89" i="11" s="1"/>
  <c r="Q122" i="13"/>
  <c r="J89" i="11"/>
  <c r="AZ98" i="11"/>
  <c r="DM127" i="13"/>
  <c r="DM128" i="13" s="1"/>
  <c r="BL122" i="13"/>
  <c r="BE89" i="11"/>
  <c r="EF93" i="15"/>
  <c r="BK114" i="15"/>
  <c r="EJ93" i="15"/>
  <c r="BW114" i="15"/>
  <c r="EP93" i="15"/>
  <c r="CO114" i="15"/>
  <c r="EQ93" i="15"/>
  <c r="CR114" i="15"/>
  <c r="EG93" i="15"/>
  <c r="BN114" i="15"/>
  <c r="EI93" i="15"/>
  <c r="BT114" i="15"/>
  <c r="EN93" i="15"/>
  <c r="CI114" i="15"/>
  <c r="EL93" i="15"/>
  <c r="CC114" i="15"/>
  <c r="P98" i="11"/>
  <c r="P113" i="11" s="1"/>
  <c r="P132" i="11" s="1"/>
  <c r="P147" i="11" s="1"/>
  <c r="P157" i="11" s="1"/>
  <c r="W128" i="13"/>
  <c r="W141" i="13"/>
  <c r="AR98" i="11"/>
  <c r="AR113" i="11" s="1"/>
  <c r="AR132" i="11" s="1"/>
  <c r="AR147" i="11" s="1"/>
  <c r="AR157" i="11" s="1"/>
  <c r="AY128" i="13"/>
  <c r="AY141" i="13"/>
  <c r="AT141" i="13"/>
  <c r="AT128" i="13"/>
  <c r="AH98" i="11"/>
  <c r="AH113" i="11" s="1"/>
  <c r="AH132" i="11" s="1"/>
  <c r="AH147" i="11" s="1"/>
  <c r="AH157" i="11" s="1"/>
  <c r="AO141" i="13"/>
  <c r="AO128" i="13"/>
  <c r="Q98" i="11"/>
  <c r="Q113" i="11" s="1"/>
  <c r="Q132" i="11" s="1"/>
  <c r="Q147" i="11" s="1"/>
  <c r="Q157" i="11" s="1"/>
  <c r="X128" i="13"/>
  <c r="X141" i="13"/>
  <c r="AO98" i="11"/>
  <c r="AO113" i="11" s="1"/>
  <c r="AO132" i="11" s="1"/>
  <c r="AO147" i="11" s="1"/>
  <c r="AO157" i="11" s="1"/>
  <c r="AV128" i="13"/>
  <c r="AV141" i="13"/>
  <c r="AL98" i="11"/>
  <c r="AL113" i="11" s="1"/>
  <c r="AL132" i="11" s="1"/>
  <c r="AL147" i="11" s="1"/>
  <c r="AL157" i="11" s="1"/>
  <c r="AS128" i="13"/>
  <c r="AS141" i="13"/>
  <c r="R98" i="11"/>
  <c r="R113" i="11" s="1"/>
  <c r="R132" i="11" s="1"/>
  <c r="R147" i="11" s="1"/>
  <c r="R157" i="11" s="1"/>
  <c r="Y128" i="13"/>
  <c r="Y141" i="13"/>
  <c r="E98" i="11"/>
  <c r="E113" i="11" s="1"/>
  <c r="E132" i="11" s="1"/>
  <c r="E147" i="11" s="1"/>
  <c r="E157" i="11" s="1"/>
  <c r="L128" i="13"/>
  <c r="L141" i="13"/>
  <c r="M98" i="11"/>
  <c r="M113" i="11" s="1"/>
  <c r="M132" i="11" s="1"/>
  <c r="M147" i="11" s="1"/>
  <c r="M157" i="11" s="1"/>
  <c r="T141" i="13"/>
  <c r="T128" i="13"/>
  <c r="AN98" i="11"/>
  <c r="AU128" i="13"/>
  <c r="AU141" i="13"/>
  <c r="AB98" i="11"/>
  <c r="AB113" i="11" s="1"/>
  <c r="AB132" i="11" s="1"/>
  <c r="AB147" i="11" s="1"/>
  <c r="AB157" i="11" s="1"/>
  <c r="AI128" i="13"/>
  <c r="AI141" i="13"/>
  <c r="AC98" i="11"/>
  <c r="AC113" i="11" s="1"/>
  <c r="AC132" i="11" s="1"/>
  <c r="AC147" i="11" s="1"/>
  <c r="AC157" i="11" s="1"/>
  <c r="AJ128" i="13"/>
  <c r="AJ141" i="13"/>
  <c r="W98" i="11"/>
  <c r="W113" i="11" s="1"/>
  <c r="W132" i="11" s="1"/>
  <c r="W147" i="11" s="1"/>
  <c r="W157" i="11" s="1"/>
  <c r="AD128" i="13"/>
  <c r="AD141" i="13"/>
  <c r="J98" i="11"/>
  <c r="J113" i="11" s="1"/>
  <c r="J132" i="11" s="1"/>
  <c r="J147" i="11" s="1"/>
  <c r="J157" i="11" s="1"/>
  <c r="Q141" i="13"/>
  <c r="Q128" i="13"/>
  <c r="V98" i="11"/>
  <c r="V113" i="11" s="1"/>
  <c r="V132" i="11" s="1"/>
  <c r="V147" i="11" s="1"/>
  <c r="V157" i="11" s="1"/>
  <c r="AC128" i="13"/>
  <c r="AC141" i="13"/>
  <c r="AW98" i="11"/>
  <c r="AW113" i="11" s="1"/>
  <c r="AW132" i="11" s="1"/>
  <c r="AW147" i="11" s="1"/>
  <c r="AW157" i="11" s="1"/>
  <c r="BD141" i="13"/>
  <c r="BD128" i="13"/>
  <c r="F98" i="11"/>
  <c r="F113" i="11" s="1"/>
  <c r="F132" i="11" s="1"/>
  <c r="F147" i="11" s="1"/>
  <c r="F157" i="11" s="1"/>
  <c r="M141" i="13"/>
  <c r="M128" i="13"/>
  <c r="AI98" i="11"/>
  <c r="AI113" i="11" s="1"/>
  <c r="AI132" i="11" s="1"/>
  <c r="AI147" i="11" s="1"/>
  <c r="AI157" i="11" s="1"/>
  <c r="AP141" i="13"/>
  <c r="AP128" i="13"/>
  <c r="N98" i="11"/>
  <c r="N113" i="11" s="1"/>
  <c r="N132" i="11" s="1"/>
  <c r="N147" i="11" s="1"/>
  <c r="N157" i="11" s="1"/>
  <c r="U141" i="13"/>
  <c r="U128" i="13"/>
  <c r="BM89" i="11"/>
  <c r="BT122" i="13"/>
  <c r="DQ121" i="13"/>
  <c r="DQ122" i="13" s="1"/>
  <c r="AR128" i="13"/>
  <c r="R128" i="13"/>
  <c r="AF141" i="13"/>
  <c r="AF128" i="13"/>
  <c r="BB141" i="13"/>
  <c r="AA89" i="11"/>
  <c r="BB128" i="13"/>
  <c r="AP89" i="11"/>
  <c r="BN141" i="13"/>
  <c r="AX89" i="11"/>
  <c r="BE122" i="13"/>
  <c r="DI127" i="13"/>
  <c r="DI128" i="13" s="1"/>
  <c r="DG127" i="13"/>
  <c r="DG128" i="13" s="1"/>
  <c r="BN128" i="13"/>
  <c r="BI128" i="13"/>
  <c r="AJ89" i="11"/>
  <c r="BC141" i="13"/>
  <c r="BE141" i="13"/>
  <c r="BE128" i="13"/>
  <c r="AW141" i="13"/>
  <c r="Y89" i="11"/>
  <c r="DO121" i="13"/>
  <c r="DO122" i="13" s="1"/>
  <c r="DA63" i="12"/>
  <c r="DA67" i="12" s="1"/>
  <c r="AQ141" i="13"/>
  <c r="AH141" i="13"/>
  <c r="DI63" i="12"/>
  <c r="DI67" i="12" s="1"/>
  <c r="AH128" i="13"/>
  <c r="BJ89" i="11"/>
  <c r="AW122" i="13"/>
  <c r="DP127" i="13"/>
  <c r="DP128" i="13" s="1"/>
  <c r="BQ122" i="13"/>
  <c r="Y122" i="13"/>
  <c r="EG102" i="13"/>
  <c r="FF105" i="18"/>
  <c r="D29" i="24" s="1"/>
  <c r="DH63" i="12"/>
  <c r="DH67" i="12" s="1"/>
  <c r="DQ127" i="13"/>
  <c r="DQ128" i="13" s="1"/>
  <c r="DO127" i="13"/>
  <c r="DO128" i="13" s="1"/>
  <c r="AQ122" i="13"/>
  <c r="R141" i="13"/>
  <c r="DE63" i="12"/>
  <c r="DE67" i="12" s="1"/>
  <c r="DG63" i="12"/>
  <c r="DG67" i="12" s="1"/>
  <c r="FF68" i="15"/>
  <c r="AS89" i="11"/>
  <c r="FE68" i="15"/>
  <c r="AR141" i="13"/>
  <c r="FF114" i="18"/>
  <c r="D38" i="24" s="1"/>
  <c r="CH50" i="14"/>
  <c r="CH51" i="14" s="1"/>
  <c r="CH48" i="14"/>
  <c r="CP50" i="14"/>
  <c r="CP51" i="14" s="1"/>
  <c r="CP48" i="14"/>
  <c r="BN5" i="11"/>
  <c r="DJ63" i="12"/>
  <c r="DD63" i="12"/>
  <c r="DD67" i="12" s="1"/>
  <c r="CY63" i="12"/>
  <c r="CY67" i="12" s="1"/>
  <c r="AM113" i="11"/>
  <c r="FG114" i="18"/>
  <c r="E38" i="24" s="1"/>
  <c r="DI121" i="13"/>
  <c r="DI122" i="13" s="1"/>
  <c r="FG105" i="18"/>
  <c r="E29" i="24" s="1"/>
  <c r="CF170" i="18"/>
  <c r="EM170" i="18" s="1"/>
  <c r="EM140" i="18"/>
  <c r="BH103" i="12"/>
  <c r="DI82" i="12"/>
  <c r="BJ50" i="14"/>
  <c r="BJ51" i="14" s="1"/>
  <c r="BJ48" i="14"/>
  <c r="AM50" i="14"/>
  <c r="AM51" i="14" s="1"/>
  <c r="AM48" i="14"/>
  <c r="AU50" i="14"/>
  <c r="AU51" i="14" s="1"/>
  <c r="AU48" i="14"/>
  <c r="BC50" i="14"/>
  <c r="BC51" i="14" s="1"/>
  <c r="BC48" i="14"/>
  <c r="BS50" i="14"/>
  <c r="BS51" i="14" s="1"/>
  <c r="BS48" i="14"/>
  <c r="CA50" i="14"/>
  <c r="CA51" i="14" s="1"/>
  <c r="CA48" i="14"/>
  <c r="CQ50" i="14"/>
  <c r="CQ51" i="14" s="1"/>
  <c r="CQ48" i="14"/>
  <c r="BN6" i="11"/>
  <c r="FG74" i="15"/>
  <c r="FG85" i="18"/>
  <c r="AP98" i="11"/>
  <c r="DJ127" i="13"/>
  <c r="FE114" i="18"/>
  <c r="C38" i="24" s="1"/>
  <c r="DG61" i="12"/>
  <c r="DZ57" i="12"/>
  <c r="DZ61" i="12" s="1"/>
  <c r="CI170" i="18"/>
  <c r="EN170" i="18" s="1"/>
  <c r="EN140" i="18"/>
  <c r="AY103" i="12"/>
  <c r="DF82" i="12"/>
  <c r="AQ50" i="14"/>
  <c r="AQ51" i="14" s="1"/>
  <c r="AQ48" i="14"/>
  <c r="AY50" i="14"/>
  <c r="AY51" i="14" s="1"/>
  <c r="AY48" i="14"/>
  <c r="BG50" i="14"/>
  <c r="BG51" i="14" s="1"/>
  <c r="BG48" i="14"/>
  <c r="BO50" i="14"/>
  <c r="BO51" i="14" s="1"/>
  <c r="BO48" i="14"/>
  <c r="AS50" i="14"/>
  <c r="AS51" i="14" s="1"/>
  <c r="AS48" i="14"/>
  <c r="BA50" i="14"/>
  <c r="BA51" i="14" s="1"/>
  <c r="BA48" i="14"/>
  <c r="BI50" i="14"/>
  <c r="BI51" i="14" s="1"/>
  <c r="BI48" i="14"/>
  <c r="AT50" i="14"/>
  <c r="AT51" i="14" s="1"/>
  <c r="AT48" i="14"/>
  <c r="BB50" i="14"/>
  <c r="BB51" i="14" s="1"/>
  <c r="BB48" i="14"/>
  <c r="BR50" i="14"/>
  <c r="BR51" i="14" s="1"/>
  <c r="BR48" i="14"/>
  <c r="AV50" i="14"/>
  <c r="AV51" i="14" s="1"/>
  <c r="AV48" i="14"/>
  <c r="BL50" i="14"/>
  <c r="BL51" i="14" s="1"/>
  <c r="BL48" i="14"/>
  <c r="CB50" i="14"/>
  <c r="CB51" i="14" s="1"/>
  <c r="CB48" i="14"/>
  <c r="CJ50" i="14"/>
  <c r="CJ51" i="14" s="1"/>
  <c r="CJ48" i="14"/>
  <c r="BN170" i="18"/>
  <c r="EG170" i="18" s="1"/>
  <c r="EG140" i="18"/>
  <c r="DX57" i="12"/>
  <c r="DX61" i="12" s="1"/>
  <c r="CY61" i="12"/>
  <c r="BQ170" i="18"/>
  <c r="EH170" i="18" s="1"/>
  <c r="EH140" i="18"/>
  <c r="CR170" i="18"/>
  <c r="EQ170" i="18" s="1"/>
  <c r="EQ140" i="18"/>
  <c r="BE50" i="14"/>
  <c r="BE51" i="14" s="1"/>
  <c r="BE48" i="14"/>
  <c r="BM50" i="14"/>
  <c r="BM51" i="14" s="1"/>
  <c r="BM48" i="14"/>
  <c r="BU50" i="14"/>
  <c r="BU51" i="14" s="1"/>
  <c r="BU48" i="14"/>
  <c r="CS50" i="14"/>
  <c r="CS51" i="14" s="1"/>
  <c r="CS48" i="14"/>
  <c r="FF85" i="18"/>
  <c r="AM103" i="12"/>
  <c r="DB82" i="12"/>
  <c r="CL170" i="18"/>
  <c r="EO170" i="18" s="1"/>
  <c r="EO140" i="18"/>
  <c r="BT170" i="18"/>
  <c r="EI170" i="18" s="1"/>
  <c r="EI140" i="18"/>
  <c r="BH113" i="11"/>
  <c r="DY64" i="12"/>
  <c r="DX44" i="12"/>
  <c r="DX55" i="12" s="1"/>
  <c r="CY55" i="12"/>
  <c r="BZ50" i="14"/>
  <c r="BZ51" i="14" s="1"/>
  <c r="BZ48" i="14"/>
  <c r="AN50" i="14"/>
  <c r="AN51" i="14" s="1"/>
  <c r="AN48" i="14"/>
  <c r="BD50" i="14"/>
  <c r="BD51" i="14" s="1"/>
  <c r="BD48" i="14"/>
  <c r="AO50" i="14"/>
  <c r="AO51" i="14" s="1"/>
  <c r="AO48" i="14"/>
  <c r="AW50" i="14"/>
  <c r="AW51" i="14" s="1"/>
  <c r="AW48" i="14"/>
  <c r="CK50" i="14"/>
  <c r="CK51" i="14" s="1"/>
  <c r="CK48" i="14"/>
  <c r="AP50" i="14"/>
  <c r="AP51" i="14" s="1"/>
  <c r="AP48" i="14"/>
  <c r="AX50" i="14"/>
  <c r="AX51" i="14" s="1"/>
  <c r="AX48" i="14"/>
  <c r="BF50" i="14"/>
  <c r="BF51" i="14" s="1"/>
  <c r="BF48" i="14"/>
  <c r="BV50" i="14"/>
  <c r="BV51" i="14" s="1"/>
  <c r="BV48" i="14"/>
  <c r="CD50" i="14"/>
  <c r="CD51" i="14" s="1"/>
  <c r="CD48" i="14"/>
  <c r="DB63" i="12"/>
  <c r="CZ63" i="12"/>
  <c r="CZ67" i="12" s="1"/>
  <c r="DF63" i="12"/>
  <c r="DF67" i="12" s="1"/>
  <c r="BW170" i="18"/>
  <c r="EJ170" i="18" s="1"/>
  <c r="EJ140" i="18"/>
  <c r="DZ44" i="12"/>
  <c r="DZ55" i="12" s="1"/>
  <c r="DJ55" i="12"/>
  <c r="DZ64" i="12"/>
  <c r="CC170" i="18"/>
  <c r="EL170" i="18" s="1"/>
  <c r="EL140" i="18"/>
  <c r="AP103" i="12"/>
  <c r="DC82" i="12"/>
  <c r="FF74" i="15"/>
  <c r="FG68" i="15"/>
  <c r="AJ98" i="11"/>
  <c r="DH127" i="13"/>
  <c r="DH128" i="13" s="1"/>
  <c r="DC61" i="12"/>
  <c r="DY57" i="12"/>
  <c r="DY61" i="12" s="1"/>
  <c r="BE103" i="12"/>
  <c r="DH82" i="12"/>
  <c r="AV103" i="12"/>
  <c r="DE82" i="12"/>
  <c r="AJ103" i="12"/>
  <c r="DA82" i="12"/>
  <c r="BB103" i="12"/>
  <c r="DG82" i="12"/>
  <c r="DX64" i="12"/>
  <c r="CE50" i="14"/>
  <c r="CE51" i="14" s="1"/>
  <c r="CE48" i="14"/>
  <c r="CM50" i="14"/>
  <c r="CM51" i="14" s="1"/>
  <c r="CM48" i="14"/>
  <c r="AR50" i="14"/>
  <c r="AR51" i="14" s="1"/>
  <c r="AR48" i="14"/>
  <c r="AZ50" i="14"/>
  <c r="AZ51" i="14" s="1"/>
  <c r="AZ48" i="14"/>
  <c r="BH50" i="14"/>
  <c r="BH51" i="14" s="1"/>
  <c r="BH48" i="14"/>
  <c r="BP50" i="14"/>
  <c r="BP51" i="14" s="1"/>
  <c r="BP48" i="14"/>
  <c r="BX50" i="14"/>
  <c r="BX51" i="14" s="1"/>
  <c r="BX48" i="14"/>
  <c r="CN50" i="14"/>
  <c r="CN51" i="14" s="1"/>
  <c r="CN48" i="14"/>
  <c r="DC63" i="12"/>
  <c r="AZ122" i="13"/>
  <c r="BB98" i="11"/>
  <c r="DN127" i="13"/>
  <c r="AV98" i="11"/>
  <c r="DL127" i="13"/>
  <c r="DL128" i="13" s="1"/>
  <c r="EE102" i="13"/>
  <c r="DY44" i="12"/>
  <c r="DY55" i="12" s="1"/>
  <c r="DD55" i="12"/>
  <c r="AS103" i="12"/>
  <c r="DD82" i="12"/>
  <c r="BK170" i="18"/>
  <c r="EF170" i="18" s="1"/>
  <c r="EF140" i="18"/>
  <c r="AD103" i="12"/>
  <c r="CY82" i="12"/>
  <c r="CO170" i="18"/>
  <c r="EP170" i="18" s="1"/>
  <c r="EP140" i="18"/>
  <c r="AG103" i="12"/>
  <c r="CZ82" i="12"/>
  <c r="BY50" i="14"/>
  <c r="BY51" i="14" s="1"/>
  <c r="BY48" i="14"/>
  <c r="CG50" i="14"/>
  <c r="CG51" i="14" s="1"/>
  <c r="CG48" i="14"/>
  <c r="AS98" i="11"/>
  <c r="DK127" i="13"/>
  <c r="DK128" i="13" s="1"/>
  <c r="FE85" i="18"/>
  <c r="FE74" i="15"/>
  <c r="BZ170" i="18"/>
  <c r="EK170" i="18" s="1"/>
  <c r="EK140" i="18"/>
  <c r="EF102" i="13"/>
  <c r="BK103" i="12"/>
  <c r="DJ82" i="12"/>
  <c r="AY113" i="11"/>
  <c r="FE105" i="18"/>
  <c r="C29" i="24" s="1"/>
  <c r="CZ92" i="11"/>
  <c r="CZ93" i="11" s="1"/>
  <c r="DD92" i="11"/>
  <c r="DD93" i="11" s="1"/>
  <c r="DF92" i="11"/>
  <c r="DF93" i="11" s="1"/>
  <c r="DX62" i="11"/>
  <c r="DZ67" i="11"/>
  <c r="DE92" i="11"/>
  <c r="DE93" i="11" s="1"/>
  <c r="DG92" i="11"/>
  <c r="DJ92" i="11"/>
  <c r="DJ93" i="11" s="1"/>
  <c r="DC81" i="11"/>
  <c r="DY62" i="11"/>
  <c r="DG81" i="11"/>
  <c r="DZ62" i="11"/>
  <c r="DA92" i="11"/>
  <c r="DA93" i="11" s="1"/>
  <c r="FE51" i="15"/>
  <c r="CY92" i="11"/>
  <c r="DI92" i="11"/>
  <c r="DI93" i="11" s="1"/>
  <c r="FG51" i="15"/>
  <c r="DH92" i="11"/>
  <c r="DH93" i="11" s="1"/>
  <c r="DB92" i="11"/>
  <c r="DB93" i="11" s="1"/>
  <c r="DC92" i="11"/>
  <c r="FF51" i="15"/>
  <c r="DY67" i="11"/>
  <c r="DX67" i="11"/>
  <c r="BQ50" i="14"/>
  <c r="EH45" i="14"/>
  <c r="EH48" i="14" s="1"/>
  <c r="CF50" i="14"/>
  <c r="EM45" i="14"/>
  <c r="CO50" i="14"/>
  <c r="EP45" i="14"/>
  <c r="CC50" i="14"/>
  <c r="EL45" i="14"/>
  <c r="EL48" i="14" s="1"/>
  <c r="BK50" i="14"/>
  <c r="EF45" i="14"/>
  <c r="EF48" i="14" s="1"/>
  <c r="CI50" i="14"/>
  <c r="EN45" i="14"/>
  <c r="EN48" i="14" s="1"/>
  <c r="BT50" i="14"/>
  <c r="EI45" i="14"/>
  <c r="CL50" i="14"/>
  <c r="EK45" i="14"/>
  <c r="EK48" i="14" s="1"/>
  <c r="EO45" i="14"/>
  <c r="EO48" i="14" s="1"/>
  <c r="CR50" i="14"/>
  <c r="BN50" i="14"/>
  <c r="EG45" i="14"/>
  <c r="BW50" i="14"/>
  <c r="EJ45" i="14"/>
  <c r="EJ48" i="14" s="1"/>
  <c r="K89" i="11"/>
  <c r="AZ141" i="13"/>
  <c r="AU122" i="13"/>
  <c r="N128" i="13"/>
  <c r="AZ128" i="13"/>
  <c r="N122" i="13"/>
  <c r="N93" i="11"/>
  <c r="N112" i="11"/>
  <c r="AV93" i="11"/>
  <c r="AV112" i="11"/>
  <c r="O112" i="11"/>
  <c r="O93" i="11"/>
  <c r="Y112" i="11"/>
  <c r="Y93" i="11"/>
  <c r="AT93" i="11"/>
  <c r="AT112" i="11"/>
  <c r="BH112" i="11"/>
  <c r="BH93" i="11"/>
  <c r="F93" i="11"/>
  <c r="F112" i="11"/>
  <c r="BK112" i="11"/>
  <c r="BK93" i="11"/>
  <c r="BI93" i="11"/>
  <c r="BI112" i="11"/>
  <c r="AU93" i="11"/>
  <c r="AU112" i="11"/>
  <c r="P112" i="11"/>
  <c r="P93" i="11"/>
  <c r="AA112" i="11"/>
  <c r="AA93" i="11"/>
  <c r="AW93" i="11"/>
  <c r="AW112" i="11"/>
  <c r="AR93" i="11"/>
  <c r="AR112" i="11"/>
  <c r="AI112" i="11"/>
  <c r="AI93" i="11"/>
  <c r="AP93" i="11"/>
  <c r="AP112" i="11"/>
  <c r="BL112" i="11"/>
  <c r="BL93" i="11"/>
  <c r="D112" i="11"/>
  <c r="D93" i="11"/>
  <c r="BJ93" i="11"/>
  <c r="BJ112" i="11"/>
  <c r="Q112" i="11"/>
  <c r="Q93" i="11"/>
  <c r="AY93" i="11"/>
  <c r="AY112" i="11"/>
  <c r="C112" i="11"/>
  <c r="C93" i="11"/>
  <c r="CM111" i="7"/>
  <c r="CV87" i="15" s="1"/>
  <c r="CV133" i="18" s="1"/>
  <c r="CM120" i="7"/>
  <c r="BO78" i="12" s="1"/>
  <c r="H93" i="11"/>
  <c r="H112" i="11"/>
  <c r="AC112" i="11"/>
  <c r="AC93" i="11"/>
  <c r="AE93" i="11"/>
  <c r="AE112" i="11"/>
  <c r="K112" i="11"/>
  <c r="K93" i="11"/>
  <c r="AJ112" i="11"/>
  <c r="AJ93" i="11"/>
  <c r="BA93" i="11"/>
  <c r="BA112" i="11"/>
  <c r="U93" i="11"/>
  <c r="U112" i="11"/>
  <c r="BG112" i="11"/>
  <c r="BG93" i="11"/>
  <c r="G93" i="11"/>
  <c r="G112" i="11"/>
  <c r="M93" i="11"/>
  <c r="M112" i="11"/>
  <c r="AG93" i="11"/>
  <c r="AG112" i="11"/>
  <c r="R93" i="11"/>
  <c r="R112" i="11"/>
  <c r="T112" i="11"/>
  <c r="T93" i="11"/>
  <c r="W112" i="11"/>
  <c r="W93" i="11"/>
  <c r="AH93" i="11"/>
  <c r="AH112" i="11"/>
  <c r="J93" i="11"/>
  <c r="J112" i="11"/>
  <c r="BC93" i="11"/>
  <c r="BC112" i="11"/>
  <c r="I93" i="11"/>
  <c r="I112" i="11"/>
  <c r="S93" i="11"/>
  <c r="S112" i="11"/>
  <c r="AM93" i="11"/>
  <c r="AM112" i="11"/>
  <c r="AL112" i="11"/>
  <c r="AL93" i="11"/>
  <c r="Z93" i="11"/>
  <c r="Z112" i="11"/>
  <c r="AZ112" i="11"/>
  <c r="AZ93" i="11"/>
  <c r="BD93" i="11"/>
  <c r="BD112" i="11"/>
  <c r="AB112" i="11"/>
  <c r="AB93" i="11"/>
  <c r="V112" i="11"/>
  <c r="V93" i="11"/>
  <c r="BM93" i="11"/>
  <c r="BM112" i="11"/>
  <c r="BE93" i="11"/>
  <c r="BE112" i="11"/>
  <c r="AO93" i="11"/>
  <c r="AO112" i="11"/>
  <c r="AD93" i="11"/>
  <c r="AD112" i="11"/>
  <c r="AN112" i="11"/>
  <c r="AN93" i="11"/>
  <c r="CL111" i="7"/>
  <c r="CU87" i="15" s="1"/>
  <c r="CL120" i="7"/>
  <c r="N141" i="13"/>
  <c r="N142" i="13" s="1"/>
  <c r="AQ93" i="11"/>
  <c r="AQ112" i="11"/>
  <c r="AK112" i="11"/>
  <c r="AK93" i="11"/>
  <c r="L112" i="11"/>
  <c r="L93" i="11"/>
  <c r="AX112" i="11"/>
  <c r="AX93" i="11"/>
  <c r="X93" i="11"/>
  <c r="X112" i="11"/>
  <c r="BF93" i="11"/>
  <c r="BF112" i="11"/>
  <c r="AF112" i="11"/>
  <c r="AF93" i="11"/>
  <c r="AS93" i="11"/>
  <c r="AS112" i="11"/>
  <c r="BB93" i="11"/>
  <c r="BB112" i="11"/>
  <c r="E93" i="11"/>
  <c r="E112" i="11"/>
  <c r="T81" i="12"/>
  <c r="T67" i="12"/>
  <c r="F81" i="12"/>
  <c r="F67" i="12"/>
  <c r="AW67" i="12"/>
  <c r="AW81" i="12"/>
  <c r="AU67" i="12"/>
  <c r="AU81" i="12"/>
  <c r="K81" i="12"/>
  <c r="K67" i="12"/>
  <c r="C81" i="12"/>
  <c r="C67" i="12"/>
  <c r="S81" i="12"/>
  <c r="S67" i="12"/>
  <c r="AL81" i="12"/>
  <c r="AL67" i="12"/>
  <c r="H81" i="12"/>
  <c r="H67" i="12"/>
  <c r="AE81" i="12"/>
  <c r="AE67" i="12"/>
  <c r="Z81" i="12"/>
  <c r="Z67" i="12"/>
  <c r="G81" i="12"/>
  <c r="G67" i="12"/>
  <c r="BK67" i="12"/>
  <c r="BK81" i="12"/>
  <c r="AM81" i="12"/>
  <c r="AM67" i="12"/>
  <c r="BG81" i="12"/>
  <c r="BG67" i="12"/>
  <c r="AZ81" i="12"/>
  <c r="AZ67" i="12"/>
  <c r="AK67" i="12"/>
  <c r="AK81" i="12"/>
  <c r="AG81" i="12"/>
  <c r="AG67" i="12"/>
  <c r="AF81" i="12"/>
  <c r="AF67" i="12"/>
  <c r="AY81" i="12"/>
  <c r="AY67" i="12"/>
  <c r="AC81" i="12"/>
  <c r="AC67" i="12"/>
  <c r="D81" i="12"/>
  <c r="D67" i="12"/>
  <c r="R81" i="12"/>
  <c r="R67" i="12"/>
  <c r="AP81" i="12"/>
  <c r="AP67" i="12"/>
  <c r="N81" i="12"/>
  <c r="N67" i="12"/>
  <c r="J81" i="12"/>
  <c r="J67" i="12"/>
  <c r="AR81" i="12"/>
  <c r="AR67" i="12"/>
  <c r="AA81" i="12"/>
  <c r="AA67" i="12"/>
  <c r="Y67" i="12"/>
  <c r="Y81" i="12"/>
  <c r="Q81" i="12"/>
  <c r="Q67" i="12"/>
  <c r="BM81" i="12"/>
  <c r="BM67" i="12"/>
  <c r="O81" i="12"/>
  <c r="O67" i="12"/>
  <c r="L67" i="12"/>
  <c r="L81" i="12"/>
  <c r="AX81" i="12"/>
  <c r="AX67" i="12"/>
  <c r="BA81" i="12"/>
  <c r="BA67" i="12"/>
  <c r="U81" i="12"/>
  <c r="U67" i="12"/>
  <c r="AD81" i="12"/>
  <c r="AD67" i="12"/>
  <c r="V81" i="12"/>
  <c r="V67" i="12"/>
  <c r="W81" i="12"/>
  <c r="W67" i="12"/>
  <c r="AI67" i="12"/>
  <c r="AI81" i="12"/>
  <c r="BL81" i="12"/>
  <c r="BL67" i="12"/>
  <c r="AV67" i="12"/>
  <c r="AV81" i="12"/>
  <c r="AB81" i="12"/>
  <c r="AB67" i="12"/>
  <c r="AQ81" i="12"/>
  <c r="AQ67" i="12"/>
  <c r="BE81" i="12"/>
  <c r="BE67" i="12"/>
  <c r="AN81" i="12"/>
  <c r="AN67" i="12"/>
  <c r="BF81" i="12"/>
  <c r="BF67" i="12"/>
  <c r="AJ67" i="12"/>
  <c r="AJ81" i="12"/>
  <c r="I81" i="12"/>
  <c r="I67" i="12"/>
  <c r="E81" i="12"/>
  <c r="E67" i="12"/>
  <c r="BD81" i="12"/>
  <c r="BD67" i="12"/>
  <c r="BB81" i="12"/>
  <c r="BB67" i="12"/>
  <c r="AT81" i="12"/>
  <c r="AT67" i="12"/>
  <c r="P81" i="12"/>
  <c r="P67" i="12"/>
  <c r="AO81" i="12"/>
  <c r="AO67" i="12"/>
  <c r="X81" i="12"/>
  <c r="X67" i="12"/>
  <c r="M67" i="12"/>
  <c r="M81" i="12"/>
  <c r="AS81" i="12"/>
  <c r="AS67" i="12"/>
  <c r="AH81" i="12"/>
  <c r="AH67" i="12"/>
  <c r="BI67" i="12"/>
  <c r="BI81" i="12"/>
  <c r="BH67" i="12"/>
  <c r="BH81" i="12"/>
  <c r="BJ81" i="12"/>
  <c r="BJ67" i="12"/>
  <c r="BC81" i="12"/>
  <c r="BC67" i="12"/>
  <c r="BI142" i="13"/>
  <c r="BI158" i="13"/>
  <c r="E158" i="13"/>
  <c r="E142" i="13"/>
  <c r="H142" i="13"/>
  <c r="H158" i="13"/>
  <c r="F158" i="13"/>
  <c r="F142" i="13"/>
  <c r="D158" i="13"/>
  <c r="D142" i="13"/>
  <c r="G158" i="13"/>
  <c r="G142" i="13"/>
  <c r="I158" i="13"/>
  <c r="I142" i="13"/>
  <c r="C142" i="13"/>
  <c r="C158" i="13"/>
  <c r="BV5" i="13"/>
  <c r="BO5" i="11" s="1"/>
  <c r="BO30" i="11" s="1"/>
  <c r="CU424" i="2"/>
  <c r="BV40" i="13" s="1"/>
  <c r="CU419" i="2"/>
  <c r="BV35" i="13" s="1"/>
  <c r="CU425" i="2"/>
  <c r="BV41" i="13" s="1"/>
  <c r="CX526" i="2"/>
  <c r="CW513" i="2"/>
  <c r="CT409" i="2"/>
  <c r="CT436" i="2" s="1"/>
  <c r="BV6" i="13"/>
  <c r="BO6" i="11" s="1"/>
  <c r="BO31" i="11" s="1"/>
  <c r="CT408" i="2"/>
  <c r="CT435" i="2" s="1"/>
  <c r="CT376" i="2"/>
  <c r="CT420" i="2"/>
  <c r="BU36" i="13" s="1"/>
  <c r="BU20" i="13"/>
  <c r="CT425" i="2"/>
  <c r="BU41" i="13" s="1"/>
  <c r="CT419" i="2"/>
  <c r="BU35" i="13" s="1"/>
  <c r="BU7" i="13"/>
  <c r="CW387" i="2"/>
  <c r="CX387" i="2" s="1"/>
  <c r="CY387" i="2" s="1"/>
  <c r="CZ387" i="2" s="1"/>
  <c r="DA387" i="2" s="1"/>
  <c r="DB387" i="2" s="1"/>
  <c r="DC387" i="2" s="1"/>
  <c r="DD387" i="2" s="1"/>
  <c r="DE387" i="2" s="1"/>
  <c r="DF387" i="2" s="1"/>
  <c r="DG387" i="2" s="1"/>
  <c r="DH387" i="2" s="1"/>
  <c r="DI387" i="2" s="1"/>
  <c r="DJ387" i="2" s="1"/>
  <c r="DK387" i="2" s="1"/>
  <c r="DL387" i="2" s="1"/>
  <c r="DM387" i="2" s="1"/>
  <c r="DN387" i="2" s="1"/>
  <c r="DO387" i="2" s="1"/>
  <c r="DP387" i="2" s="1"/>
  <c r="DQ387" i="2" s="1"/>
  <c r="DR387" i="2" s="1"/>
  <c r="BU15" i="13"/>
  <c r="CU396" i="2"/>
  <c r="CT392" i="2"/>
  <c r="BU40" i="13"/>
  <c r="BU14" i="13"/>
  <c r="CU395" i="2"/>
  <c r="CT391" i="2"/>
  <c r="BU10" i="13" s="1"/>
  <c r="BU34" i="13"/>
  <c r="BV34" i="13"/>
  <c r="BV4" i="13"/>
  <c r="CV482" i="2"/>
  <c r="CU344" i="2"/>
  <c r="CU28" i="14"/>
  <c r="CT367" i="2"/>
  <c r="CT45" i="14"/>
  <c r="CU10" i="14"/>
  <c r="CU345" i="2"/>
  <c r="CU29" i="14"/>
  <c r="CU312" i="2"/>
  <c r="CL147" i="7"/>
  <c r="CT342" i="2"/>
  <c r="CT333" i="2"/>
  <c r="CU343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CS140" i="2"/>
  <c r="CR140" i="2"/>
  <c r="CQ140" i="2"/>
  <c r="CP140" i="2"/>
  <c r="CO140" i="2"/>
  <c r="CN140" i="2"/>
  <c r="CM140" i="2"/>
  <c r="CL140" i="2"/>
  <c r="CK140" i="2"/>
  <c r="CJ140" i="2"/>
  <c r="CI140" i="2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BG196" i="2"/>
  <c r="BH196" i="2"/>
  <c r="BI196" i="2"/>
  <c r="BJ196" i="2"/>
  <c r="BK196" i="2"/>
  <c r="BL196" i="2"/>
  <c r="BM196" i="2"/>
  <c r="BN196" i="2"/>
  <c r="BO196" i="2"/>
  <c r="BP196" i="2"/>
  <c r="BQ196" i="2"/>
  <c r="BR196" i="2"/>
  <c r="BS196" i="2"/>
  <c r="BT196" i="2"/>
  <c r="BU196" i="2"/>
  <c r="BV196" i="2"/>
  <c r="BW196" i="2"/>
  <c r="BX196" i="2"/>
  <c r="BY196" i="2"/>
  <c r="BZ196" i="2"/>
  <c r="CA196" i="2"/>
  <c r="CB196" i="2"/>
  <c r="CC196" i="2"/>
  <c r="CD196" i="2"/>
  <c r="CE196" i="2"/>
  <c r="CF196" i="2"/>
  <c r="CG196" i="2"/>
  <c r="CH196" i="2"/>
  <c r="CI196" i="2"/>
  <c r="CJ196" i="2"/>
  <c r="CK196" i="2"/>
  <c r="CL196" i="2"/>
  <c r="CM196" i="2"/>
  <c r="CN196" i="2"/>
  <c r="CO196" i="2"/>
  <c r="CP196" i="2"/>
  <c r="CQ196" i="2"/>
  <c r="CR196" i="2"/>
  <c r="CS196" i="2"/>
  <c r="CL37" i="7"/>
  <c r="K204" i="2"/>
  <c r="L204" i="2"/>
  <c r="L252" i="2" s="1"/>
  <c r="M204" i="2"/>
  <c r="M252" i="2" s="1"/>
  <c r="N204" i="2"/>
  <c r="N252" i="2" s="1"/>
  <c r="O204" i="2"/>
  <c r="O252" i="2" s="1"/>
  <c r="P204" i="2"/>
  <c r="P252" i="2" s="1"/>
  <c r="Q204" i="2"/>
  <c r="Q252" i="2" s="1"/>
  <c r="R204" i="2"/>
  <c r="R252" i="2" s="1"/>
  <c r="S204" i="2"/>
  <c r="S252" i="2" s="1"/>
  <c r="T204" i="2"/>
  <c r="T252" i="2" s="1"/>
  <c r="U204" i="2"/>
  <c r="U252" i="2" s="1"/>
  <c r="V204" i="2"/>
  <c r="V252" i="2" s="1"/>
  <c r="W204" i="2"/>
  <c r="X204" i="2"/>
  <c r="X252" i="2" s="1"/>
  <c r="Y204" i="2"/>
  <c r="Y252" i="2" s="1"/>
  <c r="Z204" i="2"/>
  <c r="Z252" i="2" s="1"/>
  <c r="AA204" i="2"/>
  <c r="AA252" i="2" s="1"/>
  <c r="AB204" i="2"/>
  <c r="AB252" i="2" s="1"/>
  <c r="AC204" i="2"/>
  <c r="AC252" i="2" s="1"/>
  <c r="AD204" i="2"/>
  <c r="AD252" i="2" s="1"/>
  <c r="AE204" i="2"/>
  <c r="AE252" i="2" s="1"/>
  <c r="AF204" i="2"/>
  <c r="AF252" i="2" s="1"/>
  <c r="AG204" i="2"/>
  <c r="AG252" i="2" s="1"/>
  <c r="AH204" i="2"/>
  <c r="AH252" i="2" s="1"/>
  <c r="AI204" i="2"/>
  <c r="AJ204" i="2"/>
  <c r="AJ252" i="2" s="1"/>
  <c r="AK204" i="2"/>
  <c r="AK252" i="2" s="1"/>
  <c r="AL204" i="2"/>
  <c r="AL252" i="2" s="1"/>
  <c r="AM204" i="2"/>
  <c r="AM252" i="2" s="1"/>
  <c r="AN204" i="2"/>
  <c r="AN252" i="2" s="1"/>
  <c r="AO204" i="2"/>
  <c r="AP204" i="2"/>
  <c r="AQ204" i="2"/>
  <c r="AR204" i="2"/>
  <c r="AS204" i="2"/>
  <c r="AT204" i="2"/>
  <c r="AU204" i="2"/>
  <c r="AU252" i="2" s="1"/>
  <c r="AV204" i="2"/>
  <c r="AW204" i="2"/>
  <c r="AX204" i="2"/>
  <c r="AY204" i="2"/>
  <c r="AZ204" i="2"/>
  <c r="BA204" i="2"/>
  <c r="BB204" i="2"/>
  <c r="BC204" i="2"/>
  <c r="BD204" i="2"/>
  <c r="BE204" i="2"/>
  <c r="BF204" i="2"/>
  <c r="BG204" i="2"/>
  <c r="BG252" i="2" s="1"/>
  <c r="BH204" i="2"/>
  <c r="BI204" i="2"/>
  <c r="BJ204" i="2"/>
  <c r="BK204" i="2"/>
  <c r="BL204" i="2"/>
  <c r="BM204" i="2"/>
  <c r="BN204" i="2"/>
  <c r="BO204" i="2"/>
  <c r="BP204" i="2"/>
  <c r="BQ204" i="2"/>
  <c r="BR204" i="2"/>
  <c r="BS204" i="2"/>
  <c r="BS252" i="2" s="1"/>
  <c r="BT204" i="2"/>
  <c r="BU204" i="2"/>
  <c r="BV204" i="2"/>
  <c r="BW204" i="2"/>
  <c r="BX204" i="2"/>
  <c r="BY204" i="2"/>
  <c r="BZ204" i="2"/>
  <c r="CA204" i="2"/>
  <c r="CB204" i="2"/>
  <c r="CC204" i="2"/>
  <c r="CD204" i="2"/>
  <c r="CE204" i="2"/>
  <c r="CE252" i="2" s="1"/>
  <c r="CF204" i="2"/>
  <c r="CG204" i="2"/>
  <c r="CH204" i="2"/>
  <c r="CI204" i="2"/>
  <c r="CJ204" i="2"/>
  <c r="CJ252" i="2" s="1"/>
  <c r="CK204" i="2"/>
  <c r="CL204" i="2"/>
  <c r="CM204" i="2"/>
  <c r="CN204" i="2"/>
  <c r="CO204" i="2"/>
  <c r="CP204" i="2"/>
  <c r="CQ204" i="2"/>
  <c r="CQ252" i="2" s="1"/>
  <c r="CR204" i="2"/>
  <c r="CS204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BG206" i="2"/>
  <c r="BH206" i="2"/>
  <c r="BI206" i="2"/>
  <c r="BJ206" i="2"/>
  <c r="BK206" i="2"/>
  <c r="BL206" i="2"/>
  <c r="BM206" i="2"/>
  <c r="BN206" i="2"/>
  <c r="BO206" i="2"/>
  <c r="BP206" i="2"/>
  <c r="BQ206" i="2"/>
  <c r="BR206" i="2"/>
  <c r="BS206" i="2"/>
  <c r="BT206" i="2"/>
  <c r="BU206" i="2"/>
  <c r="BV206" i="2"/>
  <c r="BW206" i="2"/>
  <c r="BX206" i="2"/>
  <c r="BY206" i="2"/>
  <c r="BZ206" i="2"/>
  <c r="CA206" i="2"/>
  <c r="CB206" i="2"/>
  <c r="CC206" i="2"/>
  <c r="CD206" i="2"/>
  <c r="CE206" i="2"/>
  <c r="CF206" i="2"/>
  <c r="CG206" i="2"/>
  <c r="CH206" i="2"/>
  <c r="CI206" i="2"/>
  <c r="CJ206" i="2"/>
  <c r="CK206" i="2"/>
  <c r="CL206" i="2"/>
  <c r="CM206" i="2"/>
  <c r="CN206" i="2"/>
  <c r="CO206" i="2"/>
  <c r="CP206" i="2"/>
  <c r="CQ206" i="2"/>
  <c r="CR206" i="2"/>
  <c r="CS206" i="2"/>
  <c r="CS190" i="2"/>
  <c r="CT190" i="2" s="1"/>
  <c r="CR190" i="2"/>
  <c r="CQ190" i="2"/>
  <c r="CP190" i="2"/>
  <c r="CO190" i="2"/>
  <c r="CN190" i="2"/>
  <c r="CM190" i="2"/>
  <c r="CL190" i="2"/>
  <c r="CK190" i="2"/>
  <c r="CJ190" i="2"/>
  <c r="CI190" i="2"/>
  <c r="CH190" i="2"/>
  <c r="CG190" i="2"/>
  <c r="CF190" i="2"/>
  <c r="CE190" i="2"/>
  <c r="CD190" i="2"/>
  <c r="CC190" i="2"/>
  <c r="CB190" i="2"/>
  <c r="CA190" i="2"/>
  <c r="BZ190" i="2"/>
  <c r="BY190" i="2"/>
  <c r="BX190" i="2"/>
  <c r="BW190" i="2"/>
  <c r="BV190" i="2"/>
  <c r="BU190" i="2"/>
  <c r="BT190" i="2"/>
  <c r="BS190" i="2"/>
  <c r="CS189" i="2"/>
  <c r="CT189" i="2" s="1"/>
  <c r="CR189" i="2"/>
  <c r="CQ189" i="2"/>
  <c r="CP189" i="2"/>
  <c r="CO189" i="2"/>
  <c r="CN189" i="2"/>
  <c r="CM189" i="2"/>
  <c r="CL189" i="2"/>
  <c r="CK189" i="2"/>
  <c r="CJ189" i="2"/>
  <c r="CI189" i="2"/>
  <c r="CH189" i="2"/>
  <c r="CG189" i="2"/>
  <c r="CF189" i="2"/>
  <c r="CE189" i="2"/>
  <c r="CD189" i="2"/>
  <c r="CC189" i="2"/>
  <c r="CB189" i="2"/>
  <c r="CA189" i="2"/>
  <c r="BZ189" i="2"/>
  <c r="BY189" i="2"/>
  <c r="BX189" i="2"/>
  <c r="BW189" i="2"/>
  <c r="BV189" i="2"/>
  <c r="BU189" i="2"/>
  <c r="BT189" i="2"/>
  <c r="BS189" i="2"/>
  <c r="CS188" i="2"/>
  <c r="CT188" i="2" s="1"/>
  <c r="CR188" i="2"/>
  <c r="CQ188" i="2"/>
  <c r="CP188" i="2"/>
  <c r="CO188" i="2"/>
  <c r="CN188" i="2"/>
  <c r="CM188" i="2"/>
  <c r="CL188" i="2"/>
  <c r="CK188" i="2"/>
  <c r="CJ188" i="2"/>
  <c r="CI188" i="2"/>
  <c r="CH188" i="2"/>
  <c r="CG188" i="2"/>
  <c r="CF188" i="2"/>
  <c r="CE188" i="2"/>
  <c r="CD188" i="2"/>
  <c r="CC188" i="2"/>
  <c r="CB188" i="2"/>
  <c r="CA188" i="2"/>
  <c r="BZ188" i="2"/>
  <c r="BY188" i="2"/>
  <c r="BX188" i="2"/>
  <c r="BW188" i="2"/>
  <c r="BV188" i="2"/>
  <c r="BU188" i="2"/>
  <c r="BT188" i="2"/>
  <c r="BS188" i="2"/>
  <c r="CS187" i="2"/>
  <c r="CT187" i="2" s="1"/>
  <c r="CR187" i="2"/>
  <c r="CQ187" i="2"/>
  <c r="CP187" i="2"/>
  <c r="CO187" i="2"/>
  <c r="CN187" i="2"/>
  <c r="CM187" i="2"/>
  <c r="CL187" i="2"/>
  <c r="CK187" i="2"/>
  <c r="CJ187" i="2"/>
  <c r="CI187" i="2"/>
  <c r="CH187" i="2"/>
  <c r="CG187" i="2"/>
  <c r="CF187" i="2"/>
  <c r="CE187" i="2"/>
  <c r="CD187" i="2"/>
  <c r="CC187" i="2"/>
  <c r="CB187" i="2"/>
  <c r="CA187" i="2"/>
  <c r="BZ187" i="2"/>
  <c r="BY187" i="2"/>
  <c r="BX187" i="2"/>
  <c r="BW187" i="2"/>
  <c r="BV187" i="2"/>
  <c r="BU187" i="2"/>
  <c r="BT187" i="2"/>
  <c r="BS187" i="2"/>
  <c r="BR190" i="2"/>
  <c r="BQ190" i="2"/>
  <c r="BP190" i="2"/>
  <c r="BO190" i="2"/>
  <c r="BN190" i="2"/>
  <c r="BM190" i="2"/>
  <c r="BL190" i="2"/>
  <c r="BK190" i="2"/>
  <c r="BJ190" i="2"/>
  <c r="BR189" i="2"/>
  <c r="BQ189" i="2"/>
  <c r="BP189" i="2"/>
  <c r="BO189" i="2"/>
  <c r="BN189" i="2"/>
  <c r="BM189" i="2"/>
  <c r="BL189" i="2"/>
  <c r="BK189" i="2"/>
  <c r="BJ189" i="2"/>
  <c r="BR188" i="2"/>
  <c r="BQ188" i="2"/>
  <c r="BP188" i="2"/>
  <c r="BO188" i="2"/>
  <c r="BN188" i="2"/>
  <c r="BM188" i="2"/>
  <c r="BL188" i="2"/>
  <c r="BK188" i="2"/>
  <c r="BJ188" i="2"/>
  <c r="BR187" i="2"/>
  <c r="BQ187" i="2"/>
  <c r="BP187" i="2"/>
  <c r="BO187" i="2"/>
  <c r="BN187" i="2"/>
  <c r="BM187" i="2"/>
  <c r="BL187" i="2"/>
  <c r="BK187" i="2"/>
  <c r="BJ187" i="2"/>
  <c r="BI190" i="2"/>
  <c r="BI189" i="2"/>
  <c r="BI188" i="2"/>
  <c r="BI187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BG185" i="2"/>
  <c r="BH185" i="2"/>
  <c r="BI185" i="2"/>
  <c r="BJ185" i="2"/>
  <c r="BK185" i="2"/>
  <c r="BL185" i="2"/>
  <c r="BM185" i="2"/>
  <c r="BN185" i="2"/>
  <c r="BO185" i="2"/>
  <c r="BP185" i="2"/>
  <c r="BQ185" i="2"/>
  <c r="BR185" i="2"/>
  <c r="BS185" i="2"/>
  <c r="BT185" i="2"/>
  <c r="BU185" i="2"/>
  <c r="BV185" i="2"/>
  <c r="BW185" i="2"/>
  <c r="BX185" i="2"/>
  <c r="BY185" i="2"/>
  <c r="BZ185" i="2"/>
  <c r="CA185" i="2"/>
  <c r="CB185" i="2"/>
  <c r="CC185" i="2"/>
  <c r="CD185" i="2"/>
  <c r="CE185" i="2"/>
  <c r="CF185" i="2"/>
  <c r="CG185" i="2"/>
  <c r="CH185" i="2"/>
  <c r="CI185" i="2"/>
  <c r="CJ185" i="2"/>
  <c r="CK185" i="2"/>
  <c r="CL185" i="2"/>
  <c r="CM185" i="2"/>
  <c r="CN185" i="2"/>
  <c r="CO185" i="2"/>
  <c r="CP185" i="2"/>
  <c r="CQ185" i="2"/>
  <c r="CR185" i="2"/>
  <c r="CS185" i="2"/>
  <c r="CT185" i="2" s="1"/>
  <c r="CS193" i="2"/>
  <c r="CT193" i="2" s="1"/>
  <c r="CU193" i="2" s="1"/>
  <c r="CV193" i="2" s="1"/>
  <c r="CW193" i="2" s="1"/>
  <c r="CX193" i="2" s="1"/>
  <c r="CY193" i="2" s="1"/>
  <c r="CZ193" i="2" s="1"/>
  <c r="DA193" i="2" s="1"/>
  <c r="DB193" i="2" s="1"/>
  <c r="DC193" i="2" s="1"/>
  <c r="DD193" i="2" s="1"/>
  <c r="DE193" i="2" s="1"/>
  <c r="DF193" i="2" s="1"/>
  <c r="DG193" i="2" s="1"/>
  <c r="DH193" i="2" s="1"/>
  <c r="DI193" i="2" s="1"/>
  <c r="DJ193" i="2" s="1"/>
  <c r="DK193" i="2" s="1"/>
  <c r="DL193" i="2" s="1"/>
  <c r="DM193" i="2" s="1"/>
  <c r="DN193" i="2" s="1"/>
  <c r="DO193" i="2" s="1"/>
  <c r="DP193" i="2" s="1"/>
  <c r="DQ193" i="2" s="1"/>
  <c r="CR193" i="2"/>
  <c r="CQ193" i="2"/>
  <c r="CP193" i="2"/>
  <c r="CO193" i="2"/>
  <c r="CN193" i="2"/>
  <c r="CM193" i="2"/>
  <c r="CL193" i="2"/>
  <c r="CK193" i="2"/>
  <c r="CJ193" i="2"/>
  <c r="CI193" i="2"/>
  <c r="CH193" i="2"/>
  <c r="CG193" i="2"/>
  <c r="CF193" i="2"/>
  <c r="CE193" i="2"/>
  <c r="CD193" i="2"/>
  <c r="CC193" i="2"/>
  <c r="CB193" i="2"/>
  <c r="CA193" i="2"/>
  <c r="BZ193" i="2"/>
  <c r="BY193" i="2"/>
  <c r="BX193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CS186" i="2"/>
  <c r="CT186" i="2" s="1"/>
  <c r="CR186" i="2"/>
  <c r="CQ186" i="2"/>
  <c r="CP186" i="2"/>
  <c r="CO186" i="2"/>
  <c r="CN186" i="2"/>
  <c r="CM186" i="2"/>
  <c r="CL186" i="2"/>
  <c r="CK186" i="2"/>
  <c r="CJ186" i="2"/>
  <c r="CI186" i="2"/>
  <c r="CH186" i="2"/>
  <c r="CG186" i="2"/>
  <c r="CF186" i="2"/>
  <c r="CE186" i="2"/>
  <c r="CD186" i="2"/>
  <c r="CC186" i="2"/>
  <c r="CB186" i="2"/>
  <c r="CA186" i="2"/>
  <c r="BZ186" i="2"/>
  <c r="BY186" i="2"/>
  <c r="BX186" i="2"/>
  <c r="BW186" i="2"/>
  <c r="BV186" i="2"/>
  <c r="BU186" i="2"/>
  <c r="BT186" i="2"/>
  <c r="BS186" i="2"/>
  <c r="BR186" i="2"/>
  <c r="BQ186" i="2"/>
  <c r="BP186" i="2"/>
  <c r="BO186" i="2"/>
  <c r="BN186" i="2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AT186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K282" i="2" l="1"/>
  <c r="K252" i="2"/>
  <c r="W282" i="2"/>
  <c r="W252" i="2"/>
  <c r="AI282" i="2"/>
  <c r="AI252" i="2"/>
  <c r="AO288" i="2"/>
  <c r="AO252" i="2"/>
  <c r="AP288" i="2"/>
  <c r="AP252" i="2"/>
  <c r="AQ288" i="2"/>
  <c r="AQ252" i="2"/>
  <c r="AR288" i="2"/>
  <c r="AR252" i="2"/>
  <c r="AS288" i="2"/>
  <c r="AS252" i="2"/>
  <c r="AT288" i="2"/>
  <c r="AT252" i="2"/>
  <c r="AV288" i="2"/>
  <c r="AV252" i="2"/>
  <c r="AW288" i="2"/>
  <c r="AW252" i="2"/>
  <c r="AX288" i="2"/>
  <c r="AX252" i="2"/>
  <c r="AY288" i="2"/>
  <c r="AY252" i="2"/>
  <c r="AZ288" i="2"/>
  <c r="AZ252" i="2"/>
  <c r="BA288" i="2"/>
  <c r="BA252" i="2"/>
  <c r="BB288" i="2"/>
  <c r="BB252" i="2"/>
  <c r="BC288" i="2"/>
  <c r="BC252" i="2"/>
  <c r="BD288" i="2"/>
  <c r="BD252" i="2"/>
  <c r="BE288" i="2"/>
  <c r="BE252" i="2"/>
  <c r="BF288" i="2"/>
  <c r="BF252" i="2"/>
  <c r="BH288" i="2"/>
  <c r="BH252" i="2"/>
  <c r="BI288" i="2"/>
  <c r="BI252" i="2"/>
  <c r="BJ288" i="2"/>
  <c r="BJ252" i="2"/>
  <c r="BK288" i="2"/>
  <c r="BK252" i="2"/>
  <c r="BL288" i="2"/>
  <c r="BL252" i="2"/>
  <c r="BM288" i="2"/>
  <c r="BM252" i="2"/>
  <c r="BN288" i="2"/>
  <c r="BN252" i="2"/>
  <c r="BO288" i="2"/>
  <c r="BO252" i="2"/>
  <c r="BP288" i="2"/>
  <c r="BP252" i="2"/>
  <c r="BQ288" i="2"/>
  <c r="BQ252" i="2"/>
  <c r="BR288" i="2"/>
  <c r="BR252" i="2"/>
  <c r="BT288" i="2"/>
  <c r="BT252" i="2"/>
  <c r="BU288" i="2"/>
  <c r="BU252" i="2"/>
  <c r="BV288" i="2"/>
  <c r="BV252" i="2"/>
  <c r="BW288" i="2"/>
  <c r="BW252" i="2"/>
  <c r="BX288" i="2"/>
  <c r="BX252" i="2"/>
  <c r="BY288" i="2"/>
  <c r="BY252" i="2"/>
  <c r="BZ288" i="2"/>
  <c r="BZ252" i="2"/>
  <c r="CA288" i="2"/>
  <c r="CA252" i="2"/>
  <c r="CB288" i="2"/>
  <c r="CB252" i="2"/>
  <c r="CC288" i="2"/>
  <c r="CC252" i="2"/>
  <c r="CD288" i="2"/>
  <c r="CD252" i="2"/>
  <c r="CF288" i="2"/>
  <c r="CF252" i="2"/>
  <c r="CG288" i="2"/>
  <c r="CG252" i="2"/>
  <c r="CH288" i="2"/>
  <c r="CH252" i="2"/>
  <c r="CI288" i="2"/>
  <c r="CI252" i="2"/>
  <c r="CK288" i="2"/>
  <c r="CK252" i="2"/>
  <c r="CL288" i="2"/>
  <c r="CL252" i="2"/>
  <c r="CM288" i="2"/>
  <c r="CM252" i="2"/>
  <c r="CN288" i="2"/>
  <c r="CN252" i="2"/>
  <c r="CO288" i="2"/>
  <c r="CO252" i="2"/>
  <c r="CP288" i="2"/>
  <c r="CP252" i="2"/>
  <c r="CR288" i="2"/>
  <c r="CR252" i="2"/>
  <c r="CS288" i="2"/>
  <c r="CS252" i="2"/>
  <c r="DS143" i="11"/>
  <c r="DS114" i="12"/>
  <c r="DS141" i="11"/>
  <c r="DS112" i="12"/>
  <c r="CY84" i="11"/>
  <c r="DX83" i="11"/>
  <c r="DX84" i="11" s="1"/>
  <c r="DG84" i="11"/>
  <c r="DZ83" i="11"/>
  <c r="DZ84" i="11" s="1"/>
  <c r="DC84" i="11"/>
  <c r="DY83" i="11"/>
  <c r="DY84" i="11" s="1"/>
  <c r="DV123" i="15"/>
  <c r="DW185" i="18" s="1"/>
  <c r="DW184" i="18" s="1"/>
  <c r="CJ288" i="2"/>
  <c r="CU52" i="13"/>
  <c r="DZ52" i="13" s="1"/>
  <c r="CU53" i="13"/>
  <c r="DZ53" i="13" s="1"/>
  <c r="DV184" i="18"/>
  <c r="DV191" i="18" s="1"/>
  <c r="CO143" i="11"/>
  <c r="CO114" i="12"/>
  <c r="DV552" i="2"/>
  <c r="DV537" i="2"/>
  <c r="DW313" i="2"/>
  <c r="DN150" i="7"/>
  <c r="DW125" i="15" s="1"/>
  <c r="DW123" i="15" s="1"/>
  <c r="DS387" i="2"/>
  <c r="DW412" i="2"/>
  <c r="DV411" i="2"/>
  <c r="CU187" i="2"/>
  <c r="CV187" i="2" s="1"/>
  <c r="CW187" i="2" s="1"/>
  <c r="CX187" i="2" s="1"/>
  <c r="CY187" i="2" s="1"/>
  <c r="CZ187" i="2" s="1"/>
  <c r="DA187" i="2" s="1"/>
  <c r="DB187" i="2" s="1"/>
  <c r="DC187" i="2" s="1"/>
  <c r="DD187" i="2" s="1"/>
  <c r="DE187" i="2" s="1"/>
  <c r="DQ181" i="2"/>
  <c r="DI28" i="7" s="1"/>
  <c r="DR193" i="2"/>
  <c r="CU185" i="2"/>
  <c r="CV185" i="2" s="1"/>
  <c r="CW185" i="2" s="1"/>
  <c r="CX185" i="2" s="1"/>
  <c r="CY185" i="2" s="1"/>
  <c r="CZ185" i="2" s="1"/>
  <c r="DA185" i="2" s="1"/>
  <c r="DB185" i="2" s="1"/>
  <c r="DC185" i="2" s="1"/>
  <c r="DD185" i="2" s="1"/>
  <c r="DE185" i="2" s="1"/>
  <c r="CU188" i="2"/>
  <c r="CV188" i="2" s="1"/>
  <c r="CW188" i="2" s="1"/>
  <c r="CX188" i="2" s="1"/>
  <c r="CY188" i="2" s="1"/>
  <c r="CZ188" i="2" s="1"/>
  <c r="DA188" i="2" s="1"/>
  <c r="DB188" i="2" s="1"/>
  <c r="DC188" i="2" s="1"/>
  <c r="DD188" i="2" s="1"/>
  <c r="DE188" i="2" s="1"/>
  <c r="CU186" i="2"/>
  <c r="CV186" i="2" s="1"/>
  <c r="CW186" i="2" s="1"/>
  <c r="CX186" i="2" s="1"/>
  <c r="CY186" i="2" s="1"/>
  <c r="CZ186" i="2" s="1"/>
  <c r="DA186" i="2" s="1"/>
  <c r="DB186" i="2" s="1"/>
  <c r="DC186" i="2" s="1"/>
  <c r="DD186" i="2" s="1"/>
  <c r="DE186" i="2" s="1"/>
  <c r="DT112" i="2"/>
  <c r="DT96" i="3"/>
  <c r="CU189" i="2"/>
  <c r="CV189" i="2" s="1"/>
  <c r="CW189" i="2" s="1"/>
  <c r="CX189" i="2" s="1"/>
  <c r="CY189" i="2" s="1"/>
  <c r="CZ189" i="2" s="1"/>
  <c r="DA189" i="2" s="1"/>
  <c r="DB189" i="2" s="1"/>
  <c r="DC189" i="2" s="1"/>
  <c r="DD189" i="2" s="1"/>
  <c r="DE189" i="2" s="1"/>
  <c r="DT111" i="2"/>
  <c r="DT95" i="3"/>
  <c r="CU190" i="2"/>
  <c r="CV190" i="2" s="1"/>
  <c r="CW190" i="2" s="1"/>
  <c r="CX190" i="2" s="1"/>
  <c r="CY190" i="2" s="1"/>
  <c r="CZ190" i="2" s="1"/>
  <c r="DA190" i="2" s="1"/>
  <c r="DB190" i="2" s="1"/>
  <c r="DC190" i="2" s="1"/>
  <c r="DD190" i="2" s="1"/>
  <c r="DE190" i="2" s="1"/>
  <c r="DT89" i="2"/>
  <c r="DT76" i="3"/>
  <c r="DN141" i="13"/>
  <c r="DN142" i="13" s="1"/>
  <c r="DX79" i="11"/>
  <c r="DZ79" i="11"/>
  <c r="CY89" i="11"/>
  <c r="DF89" i="11"/>
  <c r="BJ142" i="13"/>
  <c r="BJ158" i="13"/>
  <c r="Y142" i="13"/>
  <c r="Y158" i="13"/>
  <c r="W142" i="13"/>
  <c r="W158" i="13"/>
  <c r="AY142" i="13"/>
  <c r="AY158" i="13"/>
  <c r="AT158" i="13"/>
  <c r="AT142" i="13"/>
  <c r="AO158" i="13"/>
  <c r="AO142" i="13"/>
  <c r="AV158" i="13"/>
  <c r="AV142" i="13"/>
  <c r="DP141" i="13"/>
  <c r="DP142" i="13" s="1"/>
  <c r="BE113" i="11"/>
  <c r="DH98" i="11"/>
  <c r="S142" i="13"/>
  <c r="S158" i="13"/>
  <c r="P158" i="13"/>
  <c r="P142" i="13"/>
  <c r="O142" i="13"/>
  <c r="O158" i="13"/>
  <c r="BQ158" i="13"/>
  <c r="BQ142" i="13"/>
  <c r="BO158" i="13"/>
  <c r="BO142" i="13"/>
  <c r="BK142" i="13"/>
  <c r="BK158" i="13"/>
  <c r="BK159" i="13" s="1"/>
  <c r="BP142" i="13"/>
  <c r="BP158" i="13"/>
  <c r="BL158" i="13"/>
  <c r="BL142" i="13"/>
  <c r="BS142" i="13"/>
  <c r="BS158" i="13"/>
  <c r="AB158" i="13"/>
  <c r="AB142" i="13"/>
  <c r="DH89" i="11"/>
  <c r="DL141" i="13"/>
  <c r="DL142" i="13" s="1"/>
  <c r="BI113" i="11"/>
  <c r="DI98" i="11"/>
  <c r="DJ89" i="11"/>
  <c r="FG93" i="15"/>
  <c r="DI89" i="11"/>
  <c r="AG113" i="11"/>
  <c r="CZ98" i="11"/>
  <c r="DK141" i="13"/>
  <c r="DK142" i="13" s="1"/>
  <c r="K142" i="13"/>
  <c r="K158" i="13"/>
  <c r="BH142" i="13"/>
  <c r="BH158" i="13"/>
  <c r="AX142" i="13"/>
  <c r="AX158" i="13"/>
  <c r="BK113" i="11"/>
  <c r="DJ98" i="11"/>
  <c r="DQ141" i="13"/>
  <c r="DQ142" i="13" s="1"/>
  <c r="BR158" i="13"/>
  <c r="BR142" i="13"/>
  <c r="BM158" i="13"/>
  <c r="BM142" i="13"/>
  <c r="AN142" i="13"/>
  <c r="DG141" i="13"/>
  <c r="DG142" i="13" s="1"/>
  <c r="AN158" i="13"/>
  <c r="BT142" i="13"/>
  <c r="BT158" i="13"/>
  <c r="AE142" i="13"/>
  <c r="AE158" i="13"/>
  <c r="Z142" i="13"/>
  <c r="Z158" i="13"/>
  <c r="AG142" i="13"/>
  <c r="AG158" i="13"/>
  <c r="BA142" i="13"/>
  <c r="BA158" i="13"/>
  <c r="BF158" i="13"/>
  <c r="BF142" i="13"/>
  <c r="AA158" i="13"/>
  <c r="AA142" i="13"/>
  <c r="AM142" i="13"/>
  <c r="AM158" i="13"/>
  <c r="DA89" i="11"/>
  <c r="DE89" i="11"/>
  <c r="DI141" i="13"/>
  <c r="DI142" i="13" s="1"/>
  <c r="AL142" i="13"/>
  <c r="AL158" i="13"/>
  <c r="AD158" i="13"/>
  <c r="AD142" i="13"/>
  <c r="CZ89" i="11"/>
  <c r="DG89" i="11"/>
  <c r="L142" i="13"/>
  <c r="L158" i="13"/>
  <c r="AI142" i="13"/>
  <c r="AI158" i="13"/>
  <c r="AJ142" i="13"/>
  <c r="AJ158" i="13"/>
  <c r="Q158" i="13"/>
  <c r="Q142" i="13"/>
  <c r="M142" i="13"/>
  <c r="M158" i="13"/>
  <c r="AP142" i="13"/>
  <c r="AP158" i="13"/>
  <c r="U142" i="13"/>
  <c r="U158" i="13"/>
  <c r="AF142" i="13"/>
  <c r="AF158" i="13"/>
  <c r="DO141" i="13"/>
  <c r="BN158" i="13"/>
  <c r="BN142" i="13"/>
  <c r="BC142" i="13"/>
  <c r="BC158" i="13"/>
  <c r="AH158" i="13"/>
  <c r="AH142" i="13"/>
  <c r="DC89" i="11"/>
  <c r="DD89" i="11"/>
  <c r="DY79" i="11"/>
  <c r="DF141" i="13"/>
  <c r="DF142" i="13" s="1"/>
  <c r="AK142" i="13"/>
  <c r="AK158" i="13"/>
  <c r="V158" i="13"/>
  <c r="V142" i="13"/>
  <c r="DM141" i="13"/>
  <c r="DM142" i="13" s="1"/>
  <c r="BG142" i="13"/>
  <c r="BG158" i="13"/>
  <c r="J158" i="13"/>
  <c r="J142" i="13"/>
  <c r="AZ113" i="11"/>
  <c r="DF98" i="11"/>
  <c r="AD113" i="11"/>
  <c r="CY98" i="11"/>
  <c r="AN113" i="11"/>
  <c r="DB98" i="11"/>
  <c r="FE93" i="15"/>
  <c r="FF93" i="15"/>
  <c r="DM122" i="13"/>
  <c r="EF121" i="13"/>
  <c r="EF122" i="13" s="1"/>
  <c r="EK144" i="15"/>
  <c r="EO144" i="15"/>
  <c r="EF114" i="15"/>
  <c r="BK132" i="15"/>
  <c r="EJ114" i="15"/>
  <c r="BW132" i="15"/>
  <c r="EP114" i="15"/>
  <c r="CO132" i="15"/>
  <c r="EQ114" i="15"/>
  <c r="CR132" i="15"/>
  <c r="EG114" i="15"/>
  <c r="BN132" i="15"/>
  <c r="EI114" i="15"/>
  <c r="BT132" i="15"/>
  <c r="EN114" i="15"/>
  <c r="CI132" i="15"/>
  <c r="EL114" i="15"/>
  <c r="CC132" i="15"/>
  <c r="X158" i="13"/>
  <c r="X142" i="13"/>
  <c r="AS158" i="13"/>
  <c r="AS142" i="13"/>
  <c r="T142" i="13"/>
  <c r="T158" i="13"/>
  <c r="AU142" i="13"/>
  <c r="AU158" i="13"/>
  <c r="AC158" i="13"/>
  <c r="AC142" i="13"/>
  <c r="BD142" i="13"/>
  <c r="BD158" i="13"/>
  <c r="BB158" i="13"/>
  <c r="BB142" i="13"/>
  <c r="BE142" i="13"/>
  <c r="BE158" i="13"/>
  <c r="DJ141" i="13"/>
  <c r="AW142" i="13"/>
  <c r="AQ142" i="13"/>
  <c r="AQ158" i="13"/>
  <c r="R142" i="13"/>
  <c r="R158" i="13"/>
  <c r="AR142" i="13"/>
  <c r="AR158" i="13"/>
  <c r="EG121" i="13"/>
  <c r="EG122" i="13" s="1"/>
  <c r="AW158" i="13"/>
  <c r="EE127" i="13"/>
  <c r="EE128" i="13" s="1"/>
  <c r="EE121" i="13"/>
  <c r="EE122" i="13" s="1"/>
  <c r="AZ158" i="13"/>
  <c r="DH141" i="13"/>
  <c r="DH142" i="13" s="1"/>
  <c r="AZ142" i="13"/>
  <c r="FE140" i="18"/>
  <c r="C47" i="24" s="1"/>
  <c r="FG170" i="18"/>
  <c r="E55" i="24" s="1"/>
  <c r="CZ81" i="12"/>
  <c r="CZ85" i="12" s="1"/>
  <c r="DI81" i="12"/>
  <c r="DI85" i="12" s="1"/>
  <c r="DH81" i="12"/>
  <c r="DH85" i="12" s="1"/>
  <c r="CY81" i="12"/>
  <c r="CY85" i="12" s="1"/>
  <c r="FF170" i="18"/>
  <c r="D55" i="24" s="1"/>
  <c r="DD81" i="12"/>
  <c r="DD85" i="12" s="1"/>
  <c r="DB81" i="12"/>
  <c r="DB85" i="12" s="1"/>
  <c r="EG43" i="14"/>
  <c r="EG48" i="14"/>
  <c r="EM43" i="14"/>
  <c r="EM48" i="14"/>
  <c r="AV113" i="11"/>
  <c r="DE98" i="11"/>
  <c r="AV118" i="12"/>
  <c r="DE103" i="12"/>
  <c r="FG140" i="18"/>
  <c r="E47" i="24" s="1"/>
  <c r="DJ81" i="12"/>
  <c r="DJ85" i="12" s="1"/>
  <c r="AG118" i="12"/>
  <c r="CZ103" i="12"/>
  <c r="AS118" i="12"/>
  <c r="DD103" i="12"/>
  <c r="EG127" i="13"/>
  <c r="EG128" i="13" s="1"/>
  <c r="DN128" i="13"/>
  <c r="BN30" i="11"/>
  <c r="AY132" i="11"/>
  <c r="BB113" i="11"/>
  <c r="DG98" i="11"/>
  <c r="BE118" i="12"/>
  <c r="DH103" i="12"/>
  <c r="DX63" i="12"/>
  <c r="DX67" i="12" s="1"/>
  <c r="DB67" i="12"/>
  <c r="CT50" i="14"/>
  <c r="CT51" i="14" s="1"/>
  <c r="CT48" i="14"/>
  <c r="DA81" i="12"/>
  <c r="DA85" i="12" s="1"/>
  <c r="DZ82" i="12"/>
  <c r="BU3" i="13"/>
  <c r="DG81" i="12"/>
  <c r="DC81" i="12"/>
  <c r="DF81" i="12"/>
  <c r="DF85" i="12" s="1"/>
  <c r="BK118" i="12"/>
  <c r="DJ103" i="12"/>
  <c r="DX82" i="12"/>
  <c r="DC67" i="12"/>
  <c r="DY63" i="12"/>
  <c r="DY67" i="12" s="1"/>
  <c r="BB118" i="12"/>
  <c r="DG103" i="12"/>
  <c r="DY82" i="12"/>
  <c r="DZ63" i="12"/>
  <c r="DZ67" i="12" s="1"/>
  <c r="DJ67" i="12"/>
  <c r="AD118" i="12"/>
  <c r="CY103" i="12"/>
  <c r="AP118" i="12"/>
  <c r="DC103" i="12"/>
  <c r="EF127" i="13"/>
  <c r="EF128" i="13" s="1"/>
  <c r="DJ128" i="13"/>
  <c r="BH118" i="12"/>
  <c r="DI103" i="12"/>
  <c r="EI43" i="14"/>
  <c r="EI48" i="14"/>
  <c r="EP43" i="14"/>
  <c r="EP48" i="14"/>
  <c r="AJ118" i="12"/>
  <c r="DA103" i="12"/>
  <c r="BH132" i="11"/>
  <c r="AM118" i="12"/>
  <c r="DB103" i="12"/>
  <c r="AP113" i="11"/>
  <c r="DC98" i="11"/>
  <c r="BN18" i="11"/>
  <c r="DE81" i="12"/>
  <c r="DE85" i="12" s="1"/>
  <c r="AS113" i="11"/>
  <c r="DD98" i="11"/>
  <c r="FE170" i="18"/>
  <c r="C55" i="24" s="1"/>
  <c r="AJ113" i="11"/>
  <c r="DA98" i="11"/>
  <c r="FF140" i="18"/>
  <c r="D47" i="24" s="1"/>
  <c r="AY118" i="12"/>
  <c r="DF103" i="12"/>
  <c r="AM132" i="11"/>
  <c r="BN78" i="12"/>
  <c r="DD112" i="11"/>
  <c r="DD115" i="11" s="1"/>
  <c r="DJ112" i="11"/>
  <c r="DJ115" i="11" s="1"/>
  <c r="DI112" i="11"/>
  <c r="DI115" i="11" s="1"/>
  <c r="DA112" i="11"/>
  <c r="DA115" i="11" s="1"/>
  <c r="CZ112" i="11"/>
  <c r="CZ115" i="11" s="1"/>
  <c r="DE112" i="11"/>
  <c r="DE115" i="11" s="1"/>
  <c r="CY112" i="11"/>
  <c r="DF112" i="11"/>
  <c r="DF115" i="11" s="1"/>
  <c r="DG112" i="11"/>
  <c r="DX92" i="11"/>
  <c r="DX93" i="11" s="1"/>
  <c r="CY93" i="11"/>
  <c r="DC112" i="11"/>
  <c r="DY92" i="11"/>
  <c r="DY93" i="11" s="1"/>
  <c r="DC93" i="11"/>
  <c r="DZ92" i="11"/>
  <c r="DZ93" i="11" s="1"/>
  <c r="DG93" i="11"/>
  <c r="DH112" i="11"/>
  <c r="DH115" i="11" s="1"/>
  <c r="DB112" i="11"/>
  <c r="DB115" i="11" s="1"/>
  <c r="BW51" i="14"/>
  <c r="EJ50" i="14"/>
  <c r="EJ51" i="14" s="1"/>
  <c r="CO51" i="14"/>
  <c r="EP50" i="14"/>
  <c r="EP51" i="14" s="1"/>
  <c r="EJ43" i="14"/>
  <c r="FF45" i="14"/>
  <c r="EK43" i="14"/>
  <c r="EL43" i="14"/>
  <c r="CL51" i="14"/>
  <c r="EO50" i="14"/>
  <c r="EO51" i="14" s="1"/>
  <c r="EK50" i="14"/>
  <c r="EK51" i="14" s="1"/>
  <c r="EQ45" i="14"/>
  <c r="FG45" i="14" s="1"/>
  <c r="CI51" i="14"/>
  <c r="EN50" i="14"/>
  <c r="EN51" i="14" s="1"/>
  <c r="CF51" i="14"/>
  <c r="EM50" i="14"/>
  <c r="EM51" i="14" s="1"/>
  <c r="CC51" i="14"/>
  <c r="EL50" i="14"/>
  <c r="EL51" i="14" s="1"/>
  <c r="BT51" i="14"/>
  <c r="EI50" i="14"/>
  <c r="EI51" i="14" s="1"/>
  <c r="EN43" i="14"/>
  <c r="CR51" i="14"/>
  <c r="FE45" i="14"/>
  <c r="FE48" i="14" s="1"/>
  <c r="EH43" i="14"/>
  <c r="BN51" i="14"/>
  <c r="EG50" i="14"/>
  <c r="EG51" i="14" s="1"/>
  <c r="EO43" i="14"/>
  <c r="BK51" i="14"/>
  <c r="EF50" i="14"/>
  <c r="EF51" i="14" s="1"/>
  <c r="BQ51" i="14"/>
  <c r="EH50" i="14"/>
  <c r="EH51" i="14" s="1"/>
  <c r="CU133" i="18"/>
  <c r="BN138" i="11"/>
  <c r="BN109" i="12"/>
  <c r="CU119" i="15"/>
  <c r="BI85" i="12"/>
  <c r="BI102" i="12"/>
  <c r="AJ85" i="12"/>
  <c r="AJ102" i="12"/>
  <c r="AI85" i="12"/>
  <c r="AI102" i="12"/>
  <c r="AU85" i="12"/>
  <c r="AU102" i="12"/>
  <c r="E115" i="11"/>
  <c r="E131" i="11"/>
  <c r="BF115" i="11"/>
  <c r="BF131" i="11"/>
  <c r="L131" i="11"/>
  <c r="L115" i="11"/>
  <c r="BD131" i="11"/>
  <c r="BD115" i="11"/>
  <c r="AM115" i="11"/>
  <c r="AM131" i="11"/>
  <c r="BC115" i="11"/>
  <c r="BC131" i="11"/>
  <c r="M115" i="11"/>
  <c r="M131" i="11"/>
  <c r="U115" i="11"/>
  <c r="U131" i="11"/>
  <c r="AE115" i="11"/>
  <c r="AE131" i="11"/>
  <c r="AP115" i="11"/>
  <c r="AP131" i="11"/>
  <c r="N131" i="11"/>
  <c r="N115" i="11"/>
  <c r="X85" i="12"/>
  <c r="X102" i="12"/>
  <c r="BB85" i="12"/>
  <c r="BB102" i="12"/>
  <c r="AQ85" i="12"/>
  <c r="AQ102" i="12"/>
  <c r="U85" i="12"/>
  <c r="U102" i="12"/>
  <c r="O85" i="12"/>
  <c r="O102" i="12"/>
  <c r="AA85" i="12"/>
  <c r="AA102" i="12"/>
  <c r="AP85" i="12"/>
  <c r="AP102" i="12"/>
  <c r="AY85" i="12"/>
  <c r="AY102" i="12"/>
  <c r="AZ85" i="12"/>
  <c r="AZ102" i="12"/>
  <c r="G85" i="12"/>
  <c r="G102" i="12"/>
  <c r="AL85" i="12"/>
  <c r="AL102" i="12"/>
  <c r="BM115" i="11"/>
  <c r="BM131" i="11"/>
  <c r="T115" i="11"/>
  <c r="T131" i="11"/>
  <c r="Q131" i="11"/>
  <c r="Q115" i="11"/>
  <c r="AW85" i="12"/>
  <c r="AW102" i="12"/>
  <c r="BB115" i="11"/>
  <c r="BB131" i="11"/>
  <c r="X131" i="11"/>
  <c r="X115" i="11"/>
  <c r="AK131" i="11"/>
  <c r="AK115" i="11"/>
  <c r="AN131" i="11"/>
  <c r="AN115" i="11"/>
  <c r="S115" i="11"/>
  <c r="S131" i="11"/>
  <c r="J115" i="11"/>
  <c r="J131" i="11"/>
  <c r="BA131" i="11"/>
  <c r="BA115" i="11"/>
  <c r="BJ131" i="11"/>
  <c r="BJ115" i="11"/>
  <c r="AA115" i="11"/>
  <c r="AA131" i="11"/>
  <c r="BK131" i="11"/>
  <c r="BK115" i="11"/>
  <c r="Y131" i="11"/>
  <c r="Y115" i="11"/>
  <c r="BC85" i="12"/>
  <c r="BC102" i="12"/>
  <c r="AH85" i="12"/>
  <c r="AH102" i="12"/>
  <c r="AO85" i="12"/>
  <c r="AO102" i="12"/>
  <c r="BD85" i="12"/>
  <c r="BD102" i="12"/>
  <c r="BF85" i="12"/>
  <c r="BF102" i="12"/>
  <c r="AB85" i="12"/>
  <c r="AB102" i="12"/>
  <c r="W85" i="12"/>
  <c r="W102" i="12"/>
  <c r="BA85" i="12"/>
  <c r="BA102" i="12"/>
  <c r="BM85" i="12"/>
  <c r="BM102" i="12"/>
  <c r="AR85" i="12"/>
  <c r="AR102" i="12"/>
  <c r="R85" i="12"/>
  <c r="R102" i="12"/>
  <c r="AF85" i="12"/>
  <c r="AF102" i="12"/>
  <c r="BG85" i="12"/>
  <c r="BG102" i="12"/>
  <c r="Z85" i="12"/>
  <c r="Z102" i="12"/>
  <c r="S85" i="12"/>
  <c r="S102" i="12"/>
  <c r="AQ115" i="11"/>
  <c r="AQ131" i="11"/>
  <c r="AD115" i="11"/>
  <c r="AD131" i="11"/>
  <c r="AZ131" i="11"/>
  <c r="AZ115" i="11"/>
  <c r="G115" i="11"/>
  <c r="G131" i="11"/>
  <c r="F115" i="11"/>
  <c r="F131" i="11"/>
  <c r="AV85" i="12"/>
  <c r="AV102" i="12"/>
  <c r="AS131" i="11"/>
  <c r="AS115" i="11"/>
  <c r="V115" i="11"/>
  <c r="V131" i="11"/>
  <c r="Z131" i="11"/>
  <c r="Z115" i="11"/>
  <c r="I115" i="11"/>
  <c r="I131" i="11"/>
  <c r="AH115" i="11"/>
  <c r="AH131" i="11"/>
  <c r="R131" i="11"/>
  <c r="R115" i="11"/>
  <c r="AC131" i="11"/>
  <c r="AC115" i="11"/>
  <c r="C131" i="11"/>
  <c r="C115" i="11"/>
  <c r="AI131" i="11"/>
  <c r="AI115" i="11"/>
  <c r="P131" i="11"/>
  <c r="P115" i="11"/>
  <c r="O131" i="11"/>
  <c r="O115" i="11"/>
  <c r="P85" i="12"/>
  <c r="P102" i="12"/>
  <c r="AN85" i="12"/>
  <c r="AN102" i="12"/>
  <c r="AX85" i="12"/>
  <c r="AX102" i="12"/>
  <c r="Q85" i="12"/>
  <c r="Q102" i="12"/>
  <c r="J85" i="12"/>
  <c r="J102" i="12"/>
  <c r="D85" i="12"/>
  <c r="D102" i="12"/>
  <c r="AG85" i="12"/>
  <c r="AG102" i="12"/>
  <c r="AM85" i="12"/>
  <c r="AM102" i="12"/>
  <c r="AE85" i="12"/>
  <c r="AE102" i="12"/>
  <c r="AO115" i="11"/>
  <c r="AO131" i="11"/>
  <c r="AJ131" i="11"/>
  <c r="AJ115" i="11"/>
  <c r="D131" i="11"/>
  <c r="D115" i="11"/>
  <c r="AR115" i="11"/>
  <c r="AR131" i="11"/>
  <c r="AU131" i="11"/>
  <c r="AU115" i="11"/>
  <c r="CU15" i="14"/>
  <c r="CU81" i="18"/>
  <c r="CU13" i="18"/>
  <c r="BJ85" i="12"/>
  <c r="BJ102" i="12"/>
  <c r="F85" i="12"/>
  <c r="F102" i="12"/>
  <c r="N158" i="13"/>
  <c r="N167" i="13" s="1"/>
  <c r="BH85" i="12"/>
  <c r="BH102" i="12"/>
  <c r="M85" i="12"/>
  <c r="M102" i="12"/>
  <c r="L85" i="12"/>
  <c r="L102" i="12"/>
  <c r="Y85" i="12"/>
  <c r="Y102" i="12"/>
  <c r="AK85" i="12"/>
  <c r="AK102" i="12"/>
  <c r="BK85" i="12"/>
  <c r="BK102" i="12"/>
  <c r="AX115" i="11"/>
  <c r="AX131" i="11"/>
  <c r="AB131" i="11"/>
  <c r="AB115" i="11"/>
  <c r="AG115" i="11"/>
  <c r="AG131" i="11"/>
  <c r="BG131" i="11"/>
  <c r="BG115" i="11"/>
  <c r="AY131" i="11"/>
  <c r="AY115" i="11"/>
  <c r="BH131" i="11"/>
  <c r="BH115" i="11"/>
  <c r="AV115" i="11"/>
  <c r="AV131" i="11"/>
  <c r="AS85" i="12"/>
  <c r="AS102" i="12"/>
  <c r="E85" i="12"/>
  <c r="E102" i="12"/>
  <c r="V85" i="12"/>
  <c r="V102" i="12"/>
  <c r="C85" i="12"/>
  <c r="C102" i="12"/>
  <c r="AT85" i="12"/>
  <c r="AT102" i="12"/>
  <c r="I85" i="12"/>
  <c r="I102" i="12"/>
  <c r="BE85" i="12"/>
  <c r="BE102" i="12"/>
  <c r="BL85" i="12"/>
  <c r="BL102" i="12"/>
  <c r="AD85" i="12"/>
  <c r="AD102" i="12"/>
  <c r="N85" i="12"/>
  <c r="N102" i="12"/>
  <c r="AC85" i="12"/>
  <c r="AC102" i="12"/>
  <c r="H85" i="12"/>
  <c r="H102" i="12"/>
  <c r="K85" i="12"/>
  <c r="K102" i="12"/>
  <c r="T85" i="12"/>
  <c r="T102" i="12"/>
  <c r="AF115" i="11"/>
  <c r="AF131" i="11"/>
  <c r="BE115" i="11"/>
  <c r="BE131" i="11"/>
  <c r="AL115" i="11"/>
  <c r="AL131" i="11"/>
  <c r="W131" i="11"/>
  <c r="W115" i="11"/>
  <c r="K131" i="11"/>
  <c r="K115" i="11"/>
  <c r="H115" i="11"/>
  <c r="H131" i="11"/>
  <c r="BL131" i="11"/>
  <c r="BL115" i="11"/>
  <c r="AW131" i="11"/>
  <c r="AW115" i="11"/>
  <c r="BI131" i="11"/>
  <c r="BI115" i="11"/>
  <c r="AT115" i="11"/>
  <c r="AT131" i="11"/>
  <c r="BN4" i="12"/>
  <c r="CU6" i="15"/>
  <c r="C159" i="13"/>
  <c r="C167" i="13"/>
  <c r="F159" i="13"/>
  <c r="F167" i="13"/>
  <c r="G159" i="13"/>
  <c r="G167" i="13"/>
  <c r="D159" i="13"/>
  <c r="D167" i="13"/>
  <c r="I167" i="13"/>
  <c r="I159" i="13"/>
  <c r="H167" i="13"/>
  <c r="H159" i="13"/>
  <c r="E159" i="13"/>
  <c r="E167" i="13"/>
  <c r="BI159" i="13"/>
  <c r="BI167" i="13"/>
  <c r="BU50" i="13"/>
  <c r="CT494" i="2"/>
  <c r="BU51" i="13"/>
  <c r="CT495" i="2"/>
  <c r="BU109" i="13" s="1"/>
  <c r="CY526" i="2"/>
  <c r="CX513" i="2"/>
  <c r="CU408" i="2"/>
  <c r="CU435" i="2" s="1"/>
  <c r="CT434" i="2"/>
  <c r="CU409" i="2"/>
  <c r="CU436" i="2" s="1"/>
  <c r="BU11" i="13"/>
  <c r="BV7" i="13"/>
  <c r="BV3" i="13" s="1"/>
  <c r="BO8" i="11" s="1"/>
  <c r="CU420" i="2"/>
  <c r="BV36" i="13" s="1"/>
  <c r="BZ143" i="2"/>
  <c r="CU376" i="2"/>
  <c r="CX181" i="2"/>
  <c r="CP28" i="7" s="1"/>
  <c r="CY181" i="2"/>
  <c r="CQ28" i="7" s="1"/>
  <c r="CZ181" i="2"/>
  <c r="CR28" i="7" s="1"/>
  <c r="DA181" i="2"/>
  <c r="DA207" i="2" s="1"/>
  <c r="DI181" i="2"/>
  <c r="DA28" i="7" s="1"/>
  <c r="DJ181" i="2"/>
  <c r="DB28" i="7" s="1"/>
  <c r="CM143" i="2"/>
  <c r="CL143" i="2"/>
  <c r="CC143" i="2"/>
  <c r="CO143" i="2"/>
  <c r="DK181" i="2"/>
  <c r="DK207" i="2" s="1"/>
  <c r="DL181" i="2"/>
  <c r="DL207" i="2" s="1"/>
  <c r="DM181" i="2"/>
  <c r="DM207" i="2" s="1"/>
  <c r="CW181" i="2"/>
  <c r="CO28" i="7" s="1"/>
  <c r="CD143" i="2"/>
  <c r="CP143" i="2"/>
  <c r="DB181" i="2"/>
  <c r="DB207" i="2" s="1"/>
  <c r="DN181" i="2"/>
  <c r="DN207" i="2" s="1"/>
  <c r="CE143" i="2"/>
  <c r="CQ143" i="2"/>
  <c r="DC181" i="2"/>
  <c r="CU28" i="7" s="1"/>
  <c r="CF143" i="2"/>
  <c r="CR143" i="2"/>
  <c r="CA143" i="2"/>
  <c r="CN143" i="2"/>
  <c r="DD181" i="2"/>
  <c r="DD207" i="2" s="1"/>
  <c r="DP181" i="2"/>
  <c r="DH28" i="7" s="1"/>
  <c r="CG143" i="2"/>
  <c r="CT140" i="2"/>
  <c r="CS143" i="2"/>
  <c r="DO181" i="2"/>
  <c r="DG28" i="7" s="1"/>
  <c r="DE181" i="2"/>
  <c r="CW28" i="7" s="1"/>
  <c r="BV143" i="2"/>
  <c r="CH143" i="2"/>
  <c r="CT181" i="2"/>
  <c r="CL28" i="7" s="1"/>
  <c r="BW143" i="2"/>
  <c r="CI143" i="2"/>
  <c r="DF181" i="2"/>
  <c r="DF207" i="2" s="1"/>
  <c r="BX143" i="2"/>
  <c r="CJ143" i="2"/>
  <c r="CB143" i="2"/>
  <c r="CU181" i="2"/>
  <c r="CU207" i="2" s="1"/>
  <c r="DG181" i="2"/>
  <c r="CY28" i="7" s="1"/>
  <c r="CV181" i="2"/>
  <c r="CV207" i="2" s="1"/>
  <c r="DH181" i="2"/>
  <c r="DH207" i="2" s="1"/>
  <c r="BY143" i="2"/>
  <c r="CK143" i="2"/>
  <c r="BU13" i="13"/>
  <c r="BV15" i="13"/>
  <c r="CU392" i="2"/>
  <c r="BU27" i="13"/>
  <c r="CT405" i="2"/>
  <c r="CT429" i="2" s="1"/>
  <c r="BV14" i="13"/>
  <c r="CU391" i="2"/>
  <c r="BV10" i="13" s="1"/>
  <c r="BU26" i="13"/>
  <c r="CT404" i="2"/>
  <c r="CT407" i="2"/>
  <c r="CV379" i="2"/>
  <c r="CV401" i="2" s="1"/>
  <c r="BW20" i="13" s="1"/>
  <c r="BP18" i="11" s="1"/>
  <c r="CV378" i="2"/>
  <c r="CV394" i="2"/>
  <c r="CV377" i="2" s="1"/>
  <c r="BW99" i="13"/>
  <c r="DR99" i="13" s="1"/>
  <c r="CW479" i="2"/>
  <c r="CW483" i="2" s="1"/>
  <c r="CT330" i="2"/>
  <c r="CT329" i="2" s="1"/>
  <c r="CT327" i="2" s="1"/>
  <c r="CT361" i="2"/>
  <c r="CT357" i="2"/>
  <c r="CU26" i="14"/>
  <c r="CV345" i="2"/>
  <c r="CV29" i="14"/>
  <c r="CV10" i="14"/>
  <c r="CU333" i="2"/>
  <c r="CU367" i="2"/>
  <c r="CU45" i="14"/>
  <c r="CV343" i="2"/>
  <c r="CV27" i="14"/>
  <c r="CV344" i="2"/>
  <c r="CV28" i="14"/>
  <c r="CV312" i="2"/>
  <c r="CM147" i="7"/>
  <c r="CT347" i="2"/>
  <c r="CU342" i="2"/>
  <c r="CQ282" i="2"/>
  <c r="CQ288" i="2"/>
  <c r="CE282" i="2"/>
  <c r="CE288" i="2"/>
  <c r="BS282" i="2"/>
  <c r="BS288" i="2"/>
  <c r="BG282" i="2"/>
  <c r="BG288" i="2"/>
  <c r="AU282" i="2"/>
  <c r="AU288" i="2"/>
  <c r="CV267" i="2"/>
  <c r="CN282" i="2"/>
  <c r="CB282" i="2"/>
  <c r="BP282" i="2"/>
  <c r="BD282" i="2"/>
  <c r="AR282" i="2"/>
  <c r="AF282" i="2"/>
  <c r="T282" i="2"/>
  <c r="CM282" i="2"/>
  <c r="CA282" i="2"/>
  <c r="BO255" i="2"/>
  <c r="BO282" i="2"/>
  <c r="BC282" i="2"/>
  <c r="AQ258" i="2"/>
  <c r="AQ282" i="2"/>
  <c r="AE282" i="2"/>
  <c r="S258" i="2"/>
  <c r="S282" i="2"/>
  <c r="CL258" i="2"/>
  <c r="CL282" i="2"/>
  <c r="BZ258" i="2"/>
  <c r="BZ282" i="2"/>
  <c r="BN258" i="2"/>
  <c r="BN282" i="2"/>
  <c r="BB255" i="2"/>
  <c r="BB282" i="2"/>
  <c r="AP258" i="2"/>
  <c r="AP282" i="2"/>
  <c r="AD258" i="2"/>
  <c r="AD282" i="2"/>
  <c r="R258" i="2"/>
  <c r="R282" i="2"/>
  <c r="BE282" i="2"/>
  <c r="CK255" i="2"/>
  <c r="CK282" i="2"/>
  <c r="BY255" i="2"/>
  <c r="BY282" i="2"/>
  <c r="AC255" i="2"/>
  <c r="AC282" i="2"/>
  <c r="CJ255" i="2"/>
  <c r="CJ282" i="2"/>
  <c r="BX255" i="2"/>
  <c r="BX282" i="2"/>
  <c r="BL255" i="2"/>
  <c r="BL282" i="2"/>
  <c r="AZ255" i="2"/>
  <c r="AZ282" i="2"/>
  <c r="AN255" i="2"/>
  <c r="AN282" i="2"/>
  <c r="AB255" i="2"/>
  <c r="AB282" i="2"/>
  <c r="P255" i="2"/>
  <c r="P282" i="2"/>
  <c r="AG282" i="2"/>
  <c r="BW255" i="2"/>
  <c r="BW282" i="2"/>
  <c r="AM255" i="2"/>
  <c r="AM282" i="2"/>
  <c r="AS282" i="2"/>
  <c r="AY255" i="2"/>
  <c r="AY282" i="2"/>
  <c r="CH282" i="2"/>
  <c r="BV282" i="2"/>
  <c r="BJ255" i="2"/>
  <c r="BJ282" i="2"/>
  <c r="AX282" i="2"/>
  <c r="AL258" i="2"/>
  <c r="AL282" i="2"/>
  <c r="Z282" i="2"/>
  <c r="N282" i="2"/>
  <c r="BQ282" i="2"/>
  <c r="BA255" i="2"/>
  <c r="BA282" i="2"/>
  <c r="BK255" i="2"/>
  <c r="BK282" i="2"/>
  <c r="CC282" i="2"/>
  <c r="BM255" i="2"/>
  <c r="BM282" i="2"/>
  <c r="CI255" i="2"/>
  <c r="CI282" i="2"/>
  <c r="Q255" i="2"/>
  <c r="Q282" i="2"/>
  <c r="AA255" i="2"/>
  <c r="AA282" i="2"/>
  <c r="AK255" i="2"/>
  <c r="AK282" i="2"/>
  <c r="Y282" i="2"/>
  <c r="M282" i="2"/>
  <c r="CF255" i="2"/>
  <c r="CF282" i="2"/>
  <c r="BH255" i="2"/>
  <c r="BH282" i="2"/>
  <c r="X255" i="2"/>
  <c r="X282" i="2"/>
  <c r="CO282" i="2"/>
  <c r="U282" i="2"/>
  <c r="AO255" i="2"/>
  <c r="AO282" i="2"/>
  <c r="O255" i="2"/>
  <c r="O282" i="2"/>
  <c r="CS255" i="2"/>
  <c r="CS282" i="2"/>
  <c r="CG282" i="2"/>
  <c r="BU258" i="2"/>
  <c r="BU282" i="2"/>
  <c r="BI282" i="2"/>
  <c r="AW282" i="2"/>
  <c r="CR255" i="2"/>
  <c r="CR282" i="2"/>
  <c r="BT255" i="2"/>
  <c r="BT282" i="2"/>
  <c r="AV255" i="2"/>
  <c r="AV282" i="2"/>
  <c r="AJ255" i="2"/>
  <c r="AJ282" i="2"/>
  <c r="L255" i="2"/>
  <c r="L282" i="2"/>
  <c r="CP282" i="2"/>
  <c r="CD282" i="2"/>
  <c r="BR282" i="2"/>
  <c r="BF282" i="2"/>
  <c r="AT282" i="2"/>
  <c r="AH282" i="2"/>
  <c r="V282" i="2"/>
  <c r="M255" i="2"/>
  <c r="BZ255" i="2"/>
  <c r="CA255" i="2"/>
  <c r="M258" i="2"/>
  <c r="N258" i="2"/>
  <c r="Z258" i="2"/>
  <c r="AX258" i="2"/>
  <c r="CS209" i="2"/>
  <c r="CG209" i="2"/>
  <c r="BU209" i="2"/>
  <c r="BI209" i="2"/>
  <c r="AW209" i="2"/>
  <c r="AK209" i="2"/>
  <c r="Y209" i="2"/>
  <c r="M209" i="2"/>
  <c r="BB258" i="2"/>
  <c r="BA258" i="2"/>
  <c r="CR209" i="2"/>
  <c r="AV209" i="2"/>
  <c r="AJ209" i="2"/>
  <c r="BI258" i="2"/>
  <c r="BJ258" i="2"/>
  <c r="BV258" i="2"/>
  <c r="R255" i="2"/>
  <c r="CM255" i="2"/>
  <c r="S255" i="2"/>
  <c r="AC258" i="2"/>
  <c r="BY258" i="2"/>
  <c r="CB255" i="2"/>
  <c r="BC258" i="2"/>
  <c r="T255" i="2"/>
  <c r="CJ209" i="2"/>
  <c r="BX209" i="2"/>
  <c r="BL209" i="2"/>
  <c r="AZ209" i="2"/>
  <c r="AN209" i="2"/>
  <c r="P209" i="2"/>
  <c r="Y255" i="2"/>
  <c r="AE258" i="2"/>
  <c r="CA258" i="2"/>
  <c r="CQ209" i="2"/>
  <c r="CE209" i="2"/>
  <c r="BS209" i="2"/>
  <c r="BG209" i="2"/>
  <c r="AU209" i="2"/>
  <c r="AI209" i="2"/>
  <c r="W209" i="2"/>
  <c r="K209" i="2"/>
  <c r="AL255" i="2"/>
  <c r="AK258" i="2"/>
  <c r="CG258" i="2"/>
  <c r="BV255" i="2"/>
  <c r="CH258" i="2"/>
  <c r="CF209" i="2"/>
  <c r="L209" i="2"/>
  <c r="AF258" i="2"/>
  <c r="BD258" i="2"/>
  <c r="CB258" i="2"/>
  <c r="AQ255" i="2"/>
  <c r="AR255" i="2"/>
  <c r="Q258" i="2"/>
  <c r="AO258" i="2"/>
  <c r="BM258" i="2"/>
  <c r="CK258" i="2"/>
  <c r="CN209" i="2"/>
  <c r="CB209" i="2"/>
  <c r="BP209" i="2"/>
  <c r="BD209" i="2"/>
  <c r="AR209" i="2"/>
  <c r="AF209" i="2"/>
  <c r="T209" i="2"/>
  <c r="X209" i="2"/>
  <c r="CM209" i="2"/>
  <c r="CA209" i="2"/>
  <c r="BO209" i="2"/>
  <c r="BC209" i="2"/>
  <c r="AQ209" i="2"/>
  <c r="AE209" i="2"/>
  <c r="S209" i="2"/>
  <c r="BC255" i="2"/>
  <c r="BO258" i="2"/>
  <c r="CM258" i="2"/>
  <c r="BT209" i="2"/>
  <c r="BD255" i="2"/>
  <c r="T258" i="2"/>
  <c r="AR258" i="2"/>
  <c r="BP258" i="2"/>
  <c r="CN258" i="2"/>
  <c r="BU255" i="2"/>
  <c r="Y258" i="2"/>
  <c r="AW258" i="2"/>
  <c r="CS258" i="2"/>
  <c r="AM258" i="2"/>
  <c r="AY258" i="2"/>
  <c r="BK258" i="2"/>
  <c r="BW258" i="2"/>
  <c r="CI258" i="2"/>
  <c r="N255" i="2"/>
  <c r="AW255" i="2"/>
  <c r="P258" i="2"/>
  <c r="AB258" i="2"/>
  <c r="AN258" i="2"/>
  <c r="AZ258" i="2"/>
  <c r="BL258" i="2"/>
  <c r="BX258" i="2"/>
  <c r="CJ258" i="2"/>
  <c r="AX255" i="2"/>
  <c r="CI209" i="2"/>
  <c r="BW209" i="2"/>
  <c r="BK209" i="2"/>
  <c r="AY209" i="2"/>
  <c r="AM209" i="2"/>
  <c r="AA209" i="2"/>
  <c r="O209" i="2"/>
  <c r="CG255" i="2"/>
  <c r="CH209" i="2"/>
  <c r="BV209" i="2"/>
  <c r="BJ209" i="2"/>
  <c r="AX209" i="2"/>
  <c r="AL209" i="2"/>
  <c r="Z209" i="2"/>
  <c r="N209" i="2"/>
  <c r="BH209" i="2"/>
  <c r="CH255" i="2"/>
  <c r="Z255" i="2"/>
  <c r="BI255" i="2"/>
  <c r="CN255" i="2"/>
  <c r="U258" i="2"/>
  <c r="AG258" i="2"/>
  <c r="AS258" i="2"/>
  <c r="BE258" i="2"/>
  <c r="BQ258" i="2"/>
  <c r="CC258" i="2"/>
  <c r="CO258" i="2"/>
  <c r="AA258" i="2"/>
  <c r="AE255" i="2"/>
  <c r="V258" i="2"/>
  <c r="AH258" i="2"/>
  <c r="AT258" i="2"/>
  <c r="BF258" i="2"/>
  <c r="BR258" i="2"/>
  <c r="CD258" i="2"/>
  <c r="CP258" i="2"/>
  <c r="AB209" i="2"/>
  <c r="O258" i="2"/>
  <c r="CP209" i="2"/>
  <c r="CD209" i="2"/>
  <c r="BR209" i="2"/>
  <c r="BF209" i="2"/>
  <c r="AT209" i="2"/>
  <c r="AH209" i="2"/>
  <c r="V209" i="2"/>
  <c r="AF255" i="2"/>
  <c r="K258" i="2"/>
  <c r="W258" i="2"/>
  <c r="AI258" i="2"/>
  <c r="AU258" i="2"/>
  <c r="BG258" i="2"/>
  <c r="BS258" i="2"/>
  <c r="CE258" i="2"/>
  <c r="CQ258" i="2"/>
  <c r="CO209" i="2"/>
  <c r="CC209" i="2"/>
  <c r="BQ209" i="2"/>
  <c r="BE209" i="2"/>
  <c r="AS209" i="2"/>
  <c r="AG209" i="2"/>
  <c r="U209" i="2"/>
  <c r="BP255" i="2"/>
  <c r="L258" i="2"/>
  <c r="X258" i="2"/>
  <c r="AJ258" i="2"/>
  <c r="AV258" i="2"/>
  <c r="BH258" i="2"/>
  <c r="BT258" i="2"/>
  <c r="CF258" i="2"/>
  <c r="CR258" i="2"/>
  <c r="BZ209" i="2"/>
  <c r="AP255" i="2"/>
  <c r="AP209" i="2"/>
  <c r="CL209" i="2"/>
  <c r="CL255" i="2"/>
  <c r="BN209" i="2"/>
  <c r="BB209" i="2"/>
  <c r="AD255" i="2"/>
  <c r="AD209" i="2"/>
  <c r="R209" i="2"/>
  <c r="BN255" i="2"/>
  <c r="U255" i="2"/>
  <c r="AG255" i="2"/>
  <c r="AS255" i="2"/>
  <c r="BE255" i="2"/>
  <c r="BQ255" i="2"/>
  <c r="CC255" i="2"/>
  <c r="CO255" i="2"/>
  <c r="V255" i="2"/>
  <c r="AH255" i="2"/>
  <c r="AT255" i="2"/>
  <c r="BF255" i="2"/>
  <c r="BR255" i="2"/>
  <c r="CD255" i="2"/>
  <c r="CP255" i="2"/>
  <c r="K255" i="2"/>
  <c r="W255" i="2"/>
  <c r="AI255" i="2"/>
  <c r="AU255" i="2"/>
  <c r="BG255" i="2"/>
  <c r="BS255" i="2"/>
  <c r="CE255" i="2"/>
  <c r="CQ255" i="2"/>
  <c r="Q209" i="2"/>
  <c r="BY209" i="2"/>
  <c r="AO209" i="2"/>
  <c r="BM209" i="2"/>
  <c r="AC209" i="2"/>
  <c r="BA209" i="2"/>
  <c r="CK209" i="2"/>
  <c r="CM37" i="7"/>
  <c r="CT141" i="2" l="1"/>
  <c r="CT142" i="2"/>
  <c r="CT288" i="2"/>
  <c r="CT282" i="2"/>
  <c r="CU282" i="2" s="1"/>
  <c r="CV282" i="2" s="1"/>
  <c r="CW282" i="2" s="1"/>
  <c r="CX282" i="2" s="1"/>
  <c r="CY282" i="2" s="1"/>
  <c r="CZ282" i="2" s="1"/>
  <c r="DA282" i="2" s="1"/>
  <c r="DB282" i="2" s="1"/>
  <c r="DC282" i="2" s="1"/>
  <c r="DD282" i="2" s="1"/>
  <c r="DE282" i="2" s="1"/>
  <c r="DF282" i="2" s="1"/>
  <c r="DG282" i="2" s="1"/>
  <c r="DH282" i="2" s="1"/>
  <c r="DI282" i="2" s="1"/>
  <c r="DJ282" i="2" s="1"/>
  <c r="DK282" i="2" s="1"/>
  <c r="DL282" i="2" s="1"/>
  <c r="DM282" i="2" s="1"/>
  <c r="DN282" i="2" s="1"/>
  <c r="DO282" i="2" s="1"/>
  <c r="DP282" i="2" s="1"/>
  <c r="DQ282" i="2" s="1"/>
  <c r="DR282" i="2" s="1"/>
  <c r="DS282" i="2" s="1"/>
  <c r="DT282" i="2" s="1"/>
  <c r="DU282" i="2" s="1"/>
  <c r="DV282" i="2" s="1"/>
  <c r="DW282" i="2" s="1"/>
  <c r="DX282" i="2" s="1"/>
  <c r="DY282" i="2" s="1"/>
  <c r="DZ282" i="2" s="1"/>
  <c r="EA282" i="2" s="1"/>
  <c r="EB282" i="2" s="1"/>
  <c r="EC282" i="2" s="1"/>
  <c r="CO141" i="11"/>
  <c r="CO112" i="12"/>
  <c r="DI33" i="7"/>
  <c r="DI45" i="7"/>
  <c r="CP45" i="7"/>
  <c r="CP33" i="7"/>
  <c r="CQ33" i="7"/>
  <c r="CQ45" i="7"/>
  <c r="CR45" i="7"/>
  <c r="EK28" i="7"/>
  <c r="EK33" i="7" s="1"/>
  <c r="CR33" i="7"/>
  <c r="DA45" i="7"/>
  <c r="EN28" i="7"/>
  <c r="EN33" i="7" s="1"/>
  <c r="DA33" i="7"/>
  <c r="DB45" i="7"/>
  <c r="DB33" i="7"/>
  <c r="CO45" i="7"/>
  <c r="EJ28" i="7"/>
  <c r="EJ33" i="7" s="1"/>
  <c r="CO33" i="7"/>
  <c r="CU33" i="7"/>
  <c r="EL28" i="7"/>
  <c r="EL33" i="7" s="1"/>
  <c r="CU45" i="7"/>
  <c r="DH45" i="7"/>
  <c r="DH33" i="7"/>
  <c r="DG45" i="7"/>
  <c r="DG33" i="7"/>
  <c r="EP28" i="7"/>
  <c r="EP33" i="7" s="1"/>
  <c r="CW33" i="7"/>
  <c r="CW45" i="7"/>
  <c r="CY45" i="7"/>
  <c r="CY33" i="7"/>
  <c r="EI28" i="7"/>
  <c r="CL33" i="7"/>
  <c r="CL45" i="7"/>
  <c r="CU288" i="2"/>
  <c r="CV53" i="13"/>
  <c r="CV52" i="13"/>
  <c r="DW191" i="18"/>
  <c r="DX185" i="18"/>
  <c r="DX184" i="18" s="1"/>
  <c r="FA184" i="18" s="1"/>
  <c r="DQ207" i="2"/>
  <c r="CP114" i="12"/>
  <c r="CP112" i="12" s="1"/>
  <c r="CP143" i="11"/>
  <c r="CP141" i="11" s="1"/>
  <c r="DF190" i="2"/>
  <c r="DG190" i="2" s="1"/>
  <c r="DH190" i="2" s="1"/>
  <c r="DI190" i="2" s="1"/>
  <c r="DJ190" i="2" s="1"/>
  <c r="DK190" i="2" s="1"/>
  <c r="DL190" i="2" s="1"/>
  <c r="DM190" i="2" s="1"/>
  <c r="DN190" i="2" s="1"/>
  <c r="DO190" i="2" s="1"/>
  <c r="DP190" i="2" s="1"/>
  <c r="DQ190" i="2" s="1"/>
  <c r="DR190" i="2" s="1"/>
  <c r="DS190" i="2" s="1"/>
  <c r="DT190" i="2" s="1"/>
  <c r="DU190" i="2" s="1"/>
  <c r="DV190" i="2" s="1"/>
  <c r="DW190" i="2" s="1"/>
  <c r="DX190" i="2" s="1"/>
  <c r="DY190" i="2" s="1"/>
  <c r="DZ190" i="2" s="1"/>
  <c r="EA190" i="2" s="1"/>
  <c r="EB190" i="2" s="1"/>
  <c r="EC190" i="2" s="1"/>
  <c r="DF188" i="2"/>
  <c r="DG188" i="2" s="1"/>
  <c r="DH188" i="2" s="1"/>
  <c r="DI188" i="2" s="1"/>
  <c r="DJ188" i="2" s="1"/>
  <c r="DK188" i="2" s="1"/>
  <c r="DL188" i="2" s="1"/>
  <c r="DM188" i="2" s="1"/>
  <c r="DN188" i="2" s="1"/>
  <c r="DO188" i="2" s="1"/>
  <c r="DP188" i="2" s="1"/>
  <c r="DQ188" i="2" s="1"/>
  <c r="DR188" i="2" s="1"/>
  <c r="DS188" i="2" s="1"/>
  <c r="DT188" i="2" s="1"/>
  <c r="DU188" i="2" s="1"/>
  <c r="DV188" i="2" s="1"/>
  <c r="DW188" i="2" s="1"/>
  <c r="DX188" i="2" s="1"/>
  <c r="DY188" i="2" s="1"/>
  <c r="DZ188" i="2" s="1"/>
  <c r="EA188" i="2" s="1"/>
  <c r="EB188" i="2" s="1"/>
  <c r="EC188" i="2" s="1"/>
  <c r="CV380" i="2"/>
  <c r="DW552" i="2"/>
  <c r="DW537" i="2"/>
  <c r="DF187" i="2"/>
  <c r="DG187" i="2" s="1"/>
  <c r="DH187" i="2" s="1"/>
  <c r="DI187" i="2" s="1"/>
  <c r="DJ187" i="2" s="1"/>
  <c r="DK187" i="2" s="1"/>
  <c r="DL187" i="2" s="1"/>
  <c r="DM187" i="2" s="1"/>
  <c r="DN187" i="2" s="1"/>
  <c r="DO187" i="2" s="1"/>
  <c r="DP187" i="2" s="1"/>
  <c r="DQ187" i="2" s="1"/>
  <c r="DR187" i="2" s="1"/>
  <c r="DS187" i="2" s="1"/>
  <c r="DT187" i="2" s="1"/>
  <c r="DU187" i="2" s="1"/>
  <c r="DV187" i="2" s="1"/>
  <c r="DW187" i="2" s="1"/>
  <c r="DX187" i="2" s="1"/>
  <c r="DY187" i="2" s="1"/>
  <c r="DZ187" i="2" s="1"/>
  <c r="EA187" i="2" s="1"/>
  <c r="EB187" i="2" s="1"/>
  <c r="EC187" i="2" s="1"/>
  <c r="DF189" i="2"/>
  <c r="DG189" i="2" s="1"/>
  <c r="DH189" i="2" s="1"/>
  <c r="DI189" i="2" s="1"/>
  <c r="DJ189" i="2" s="1"/>
  <c r="DK189" i="2" s="1"/>
  <c r="DL189" i="2" s="1"/>
  <c r="DM189" i="2" s="1"/>
  <c r="DN189" i="2" s="1"/>
  <c r="DO189" i="2" s="1"/>
  <c r="DP189" i="2" s="1"/>
  <c r="DQ189" i="2" s="1"/>
  <c r="DR189" i="2" s="1"/>
  <c r="DS189" i="2" s="1"/>
  <c r="DT189" i="2" s="1"/>
  <c r="DU189" i="2" s="1"/>
  <c r="DV189" i="2" s="1"/>
  <c r="DW189" i="2" s="1"/>
  <c r="DX189" i="2" s="1"/>
  <c r="DY189" i="2" s="1"/>
  <c r="DZ189" i="2" s="1"/>
  <c r="EA189" i="2" s="1"/>
  <c r="EB189" i="2" s="1"/>
  <c r="EC189" i="2" s="1"/>
  <c r="DT387" i="2"/>
  <c r="DX313" i="2"/>
  <c r="DO150" i="7"/>
  <c r="DX125" i="15" s="1"/>
  <c r="DX123" i="15" s="1"/>
  <c r="FA123" i="15" s="1"/>
  <c r="DX412" i="2"/>
  <c r="DW411" i="2"/>
  <c r="CT255" i="2"/>
  <c r="CU255" i="2" s="1"/>
  <c r="CV255" i="2" s="1"/>
  <c r="CW255" i="2" s="1"/>
  <c r="CX255" i="2" s="1"/>
  <c r="CY255" i="2" s="1"/>
  <c r="CZ255" i="2" s="1"/>
  <c r="DA255" i="2" s="1"/>
  <c r="DB255" i="2" s="1"/>
  <c r="DC255" i="2" s="1"/>
  <c r="DD255" i="2" s="1"/>
  <c r="DE255" i="2" s="1"/>
  <c r="DF255" i="2" s="1"/>
  <c r="DG255" i="2" s="1"/>
  <c r="DH255" i="2" s="1"/>
  <c r="DI255" i="2" s="1"/>
  <c r="DJ255" i="2" s="1"/>
  <c r="DK255" i="2" s="1"/>
  <c r="DL255" i="2" s="1"/>
  <c r="DM255" i="2" s="1"/>
  <c r="DN255" i="2" s="1"/>
  <c r="DO255" i="2" s="1"/>
  <c r="DP255" i="2" s="1"/>
  <c r="DQ255" i="2" s="1"/>
  <c r="DR255" i="2" s="1"/>
  <c r="DS255" i="2" s="1"/>
  <c r="DT255" i="2" s="1"/>
  <c r="DU255" i="2" s="1"/>
  <c r="DV255" i="2" s="1"/>
  <c r="DW255" i="2" s="1"/>
  <c r="DX255" i="2" s="1"/>
  <c r="DY255" i="2" s="1"/>
  <c r="DZ255" i="2" s="1"/>
  <c r="EA255" i="2" s="1"/>
  <c r="EB255" i="2" s="1"/>
  <c r="EC255" i="2" s="1"/>
  <c r="DU89" i="2"/>
  <c r="DU76" i="3"/>
  <c r="DF186" i="2"/>
  <c r="DG186" i="2" s="1"/>
  <c r="DH186" i="2" s="1"/>
  <c r="DI186" i="2" s="1"/>
  <c r="DJ186" i="2" s="1"/>
  <c r="DK186" i="2" s="1"/>
  <c r="DL186" i="2" s="1"/>
  <c r="DM186" i="2" s="1"/>
  <c r="DN186" i="2" s="1"/>
  <c r="DO186" i="2" s="1"/>
  <c r="DP186" i="2" s="1"/>
  <c r="DQ186" i="2" s="1"/>
  <c r="DR186" i="2" s="1"/>
  <c r="DS186" i="2" s="1"/>
  <c r="DT186" i="2" s="1"/>
  <c r="DU186" i="2" s="1"/>
  <c r="DV186" i="2" s="1"/>
  <c r="DW186" i="2" s="1"/>
  <c r="DX186" i="2" s="1"/>
  <c r="DY186" i="2" s="1"/>
  <c r="DZ186" i="2" s="1"/>
  <c r="EA186" i="2" s="1"/>
  <c r="EB186" i="2" s="1"/>
  <c r="EC186" i="2" s="1"/>
  <c r="CT252" i="2"/>
  <c r="CU252" i="2" s="1"/>
  <c r="DF185" i="2"/>
  <c r="DG185" i="2" s="1"/>
  <c r="DH185" i="2" s="1"/>
  <c r="DI185" i="2" s="1"/>
  <c r="DJ185" i="2" s="1"/>
  <c r="DK185" i="2" s="1"/>
  <c r="DL185" i="2" s="1"/>
  <c r="DM185" i="2" s="1"/>
  <c r="DN185" i="2" s="1"/>
  <c r="DO185" i="2" s="1"/>
  <c r="DP185" i="2" s="1"/>
  <c r="DQ185" i="2" s="1"/>
  <c r="DR185" i="2" s="1"/>
  <c r="DS185" i="2" s="1"/>
  <c r="DT185" i="2" s="1"/>
  <c r="DU185" i="2" s="1"/>
  <c r="DV185" i="2" s="1"/>
  <c r="DW185" i="2" s="1"/>
  <c r="DX185" i="2" s="1"/>
  <c r="DY185" i="2" s="1"/>
  <c r="DZ185" i="2" s="1"/>
  <c r="EA185" i="2" s="1"/>
  <c r="EB185" i="2" s="1"/>
  <c r="EC185" i="2" s="1"/>
  <c r="DU111" i="2"/>
  <c r="DU95" i="3"/>
  <c r="CT258" i="2"/>
  <c r="CU258" i="2" s="1"/>
  <c r="CV258" i="2" s="1"/>
  <c r="CW258" i="2" s="1"/>
  <c r="CX258" i="2" s="1"/>
  <c r="CY258" i="2" s="1"/>
  <c r="CZ258" i="2" s="1"/>
  <c r="DA258" i="2" s="1"/>
  <c r="DB258" i="2" s="1"/>
  <c r="DC258" i="2" s="1"/>
  <c r="DD258" i="2" s="1"/>
  <c r="DE258" i="2" s="1"/>
  <c r="DF258" i="2" s="1"/>
  <c r="DG258" i="2" s="1"/>
  <c r="DH258" i="2" s="1"/>
  <c r="DI258" i="2" s="1"/>
  <c r="DJ258" i="2" s="1"/>
  <c r="DK258" i="2" s="1"/>
  <c r="DL258" i="2" s="1"/>
  <c r="DM258" i="2" s="1"/>
  <c r="DN258" i="2" s="1"/>
  <c r="DO258" i="2" s="1"/>
  <c r="DP258" i="2" s="1"/>
  <c r="DQ258" i="2" s="1"/>
  <c r="DR258" i="2" s="1"/>
  <c r="DS258" i="2" s="1"/>
  <c r="DT258" i="2" s="1"/>
  <c r="DU258" i="2" s="1"/>
  <c r="DV258" i="2" s="1"/>
  <c r="DW258" i="2" s="1"/>
  <c r="DX258" i="2" s="1"/>
  <c r="DY258" i="2" s="1"/>
  <c r="DZ258" i="2" s="1"/>
  <c r="EA258" i="2" s="1"/>
  <c r="EB258" i="2" s="1"/>
  <c r="EC258" i="2" s="1"/>
  <c r="DS193" i="2"/>
  <c r="DR181" i="2"/>
  <c r="DJ28" i="7" s="1"/>
  <c r="DU112" i="2"/>
  <c r="DU96" i="3"/>
  <c r="FG114" i="15"/>
  <c r="DX89" i="11"/>
  <c r="BJ159" i="13"/>
  <c r="BJ167" i="13"/>
  <c r="Y159" i="13"/>
  <c r="Y167" i="13"/>
  <c r="S167" i="13"/>
  <c r="S159" i="13"/>
  <c r="P159" i="13"/>
  <c r="P167" i="13"/>
  <c r="O159" i="13"/>
  <c r="O167" i="13"/>
  <c r="BQ167" i="13"/>
  <c r="BQ159" i="13"/>
  <c r="BO159" i="13"/>
  <c r="BO167" i="13"/>
  <c r="BS167" i="13"/>
  <c r="BS159" i="13"/>
  <c r="DN158" i="13"/>
  <c r="DN159" i="13" s="1"/>
  <c r="BK167" i="13"/>
  <c r="BP159" i="13"/>
  <c r="BP167" i="13"/>
  <c r="BL159" i="13"/>
  <c r="BL167" i="13"/>
  <c r="AB167" i="13"/>
  <c r="AB159" i="13"/>
  <c r="DZ89" i="11"/>
  <c r="W167" i="13"/>
  <c r="W159" i="13"/>
  <c r="AY159" i="13"/>
  <c r="AY167" i="13"/>
  <c r="AT167" i="13"/>
  <c r="AT159" i="13"/>
  <c r="AO159" i="13"/>
  <c r="AO167" i="13"/>
  <c r="AV159" i="13"/>
  <c r="AV167" i="13"/>
  <c r="DP158" i="13"/>
  <c r="DP159" i="13" s="1"/>
  <c r="BE132" i="11"/>
  <c r="DH113" i="11"/>
  <c r="BI132" i="11"/>
  <c r="DI113" i="11"/>
  <c r="K167" i="13"/>
  <c r="K159" i="13"/>
  <c r="BH159" i="13"/>
  <c r="BH167" i="13"/>
  <c r="BM159" i="13"/>
  <c r="BM167" i="13"/>
  <c r="AN167" i="13"/>
  <c r="AN159" i="13"/>
  <c r="BT159" i="13"/>
  <c r="BT167" i="13"/>
  <c r="AE159" i="13"/>
  <c r="AE167" i="13"/>
  <c r="Z167" i="13"/>
  <c r="Z159" i="13"/>
  <c r="AG167" i="13"/>
  <c r="AG159" i="13"/>
  <c r="BF167" i="13"/>
  <c r="BF159" i="13"/>
  <c r="AA159" i="13"/>
  <c r="AA167" i="13"/>
  <c r="AM159" i="13"/>
  <c r="AM167" i="13"/>
  <c r="AL167" i="13"/>
  <c r="AL159" i="13"/>
  <c r="L159" i="13"/>
  <c r="L167" i="13"/>
  <c r="AW167" i="13"/>
  <c r="AW159" i="13"/>
  <c r="AZ167" i="13"/>
  <c r="AZ159" i="13"/>
  <c r="DZ98" i="11"/>
  <c r="AG132" i="11"/>
  <c r="CZ113" i="11"/>
  <c r="DJ158" i="13"/>
  <c r="DJ159" i="13" s="1"/>
  <c r="AX167" i="13"/>
  <c r="AX159" i="13"/>
  <c r="BK132" i="11"/>
  <c r="DJ113" i="11"/>
  <c r="DQ158" i="13"/>
  <c r="DQ159" i="13" s="1"/>
  <c r="BR167" i="13"/>
  <c r="BR159" i="13"/>
  <c r="BA159" i="13"/>
  <c r="BA167" i="13"/>
  <c r="AJ159" i="13"/>
  <c r="AJ167" i="13"/>
  <c r="M159" i="13"/>
  <c r="M167" i="13"/>
  <c r="U167" i="13"/>
  <c r="U159" i="13"/>
  <c r="AF167" i="13"/>
  <c r="AF159" i="13"/>
  <c r="DM158" i="13"/>
  <c r="DM159" i="13" s="1"/>
  <c r="BG167" i="13"/>
  <c r="BG159" i="13"/>
  <c r="AD159" i="13"/>
  <c r="AD167" i="13"/>
  <c r="AI167" i="13"/>
  <c r="AI159" i="13"/>
  <c r="Q159" i="13"/>
  <c r="Q167" i="13"/>
  <c r="DG158" i="13"/>
  <c r="DG159" i="13" s="1"/>
  <c r="AP159" i="13"/>
  <c r="AP167" i="13"/>
  <c r="DO142" i="13"/>
  <c r="EG141" i="13"/>
  <c r="EG142" i="13" s="1"/>
  <c r="DO158" i="13"/>
  <c r="BN159" i="13"/>
  <c r="BN167" i="13"/>
  <c r="BC159" i="13"/>
  <c r="BC167" i="13"/>
  <c r="AH167" i="13"/>
  <c r="AH159" i="13"/>
  <c r="DF158" i="13"/>
  <c r="DF159" i="13" s="1"/>
  <c r="AK159" i="13"/>
  <c r="AK167" i="13"/>
  <c r="V167" i="13"/>
  <c r="V159" i="13"/>
  <c r="J167" i="13"/>
  <c r="J159" i="13"/>
  <c r="DY89" i="11"/>
  <c r="AZ132" i="11"/>
  <c r="DF113" i="11"/>
  <c r="DX98" i="11"/>
  <c r="CY113" i="11"/>
  <c r="AD132" i="11"/>
  <c r="AN132" i="11"/>
  <c r="DB113" i="11"/>
  <c r="DI158" i="13"/>
  <c r="DI159" i="13" s="1"/>
  <c r="AU167" i="13"/>
  <c r="AU159" i="13"/>
  <c r="BE159" i="13"/>
  <c r="BE167" i="13"/>
  <c r="R159" i="13"/>
  <c r="R167" i="13"/>
  <c r="AC159" i="13"/>
  <c r="AC167" i="13"/>
  <c r="BD159" i="13"/>
  <c r="BD167" i="13"/>
  <c r="DL158" i="13"/>
  <c r="DL159" i="13" s="1"/>
  <c r="DH158" i="13"/>
  <c r="X159" i="13"/>
  <c r="X167" i="13"/>
  <c r="AS167" i="13"/>
  <c r="AS159" i="13"/>
  <c r="T167" i="13"/>
  <c r="T159" i="13"/>
  <c r="BB159" i="13"/>
  <c r="BB167" i="13"/>
  <c r="DJ142" i="13"/>
  <c r="EF141" i="13"/>
  <c r="EF142" i="13" s="1"/>
  <c r="AQ159" i="13"/>
  <c r="AQ167" i="13"/>
  <c r="AR167" i="13"/>
  <c r="AR159" i="13"/>
  <c r="BK144" i="15"/>
  <c r="EF144" i="15" s="1"/>
  <c r="EF132" i="15"/>
  <c r="BW144" i="15"/>
  <c r="EJ144" i="15" s="1"/>
  <c r="EJ132" i="15"/>
  <c r="CO144" i="15"/>
  <c r="EP144" i="15" s="1"/>
  <c r="EP132" i="15"/>
  <c r="CR144" i="15"/>
  <c r="EQ144" i="15" s="1"/>
  <c r="EQ132" i="15"/>
  <c r="BN144" i="15"/>
  <c r="EG144" i="15" s="1"/>
  <c r="EG132" i="15"/>
  <c r="BT144" i="15"/>
  <c r="EI144" i="15" s="1"/>
  <c r="EI132" i="15"/>
  <c r="CI144" i="15"/>
  <c r="EN144" i="15" s="1"/>
  <c r="EN132" i="15"/>
  <c r="CC144" i="15"/>
  <c r="EL144" i="15" s="1"/>
  <c r="EL132" i="15"/>
  <c r="FE114" i="15"/>
  <c r="FF114" i="15"/>
  <c r="DK158" i="13"/>
  <c r="EQ50" i="14"/>
  <c r="DB102" i="12"/>
  <c r="DB105" i="12" s="1"/>
  <c r="DH102" i="12"/>
  <c r="DH105" i="12" s="1"/>
  <c r="EE141" i="13"/>
  <c r="EE142" i="13" s="1"/>
  <c r="DX81" i="12"/>
  <c r="DX85" i="12" s="1"/>
  <c r="FG43" i="14"/>
  <c r="FG48" i="14"/>
  <c r="CU44" i="18"/>
  <c r="DY98" i="11"/>
  <c r="AP128" i="12"/>
  <c r="DC128" i="12" s="1"/>
  <c r="DC118" i="12"/>
  <c r="DG102" i="12"/>
  <c r="DG105" i="12" s="1"/>
  <c r="AY128" i="12"/>
  <c r="DF128" i="12" s="1"/>
  <c r="DF118" i="12"/>
  <c r="AP132" i="11"/>
  <c r="DC113" i="11"/>
  <c r="BN8" i="11"/>
  <c r="BE128" i="12"/>
  <c r="DH128" i="12" s="1"/>
  <c r="DH118" i="12"/>
  <c r="DI102" i="12"/>
  <c r="DI105" i="12" s="1"/>
  <c r="FF43" i="14"/>
  <c r="FF48" i="14"/>
  <c r="AS132" i="11"/>
  <c r="DD113" i="11"/>
  <c r="DZ103" i="12"/>
  <c r="AD128" i="12"/>
  <c r="CY128" i="12" s="1"/>
  <c r="CY118" i="12"/>
  <c r="CZ102" i="12"/>
  <c r="CZ105" i="12" s="1"/>
  <c r="AM128" i="12"/>
  <c r="DB128" i="12" s="1"/>
  <c r="DB118" i="12"/>
  <c r="BH128" i="12"/>
  <c r="DI128" i="12" s="1"/>
  <c r="DI118" i="12"/>
  <c r="BB132" i="11"/>
  <c r="DG113" i="11"/>
  <c r="AV128" i="12"/>
  <c r="DE128" i="12" s="1"/>
  <c r="DE118" i="12"/>
  <c r="EQ43" i="14"/>
  <c r="EQ48" i="14"/>
  <c r="BK128" i="12"/>
  <c r="DJ128" i="12" s="1"/>
  <c r="DJ118" i="12"/>
  <c r="AS128" i="12"/>
  <c r="DD128" i="12" s="1"/>
  <c r="DD118" i="12"/>
  <c r="DF102" i="12"/>
  <c r="DF105" i="12" s="1"/>
  <c r="BH147" i="11"/>
  <c r="AY147" i="11"/>
  <c r="AV132" i="11"/>
  <c r="DE113" i="11"/>
  <c r="DR20" i="13"/>
  <c r="DX103" i="12"/>
  <c r="DY81" i="12"/>
  <c r="DY85" i="12" s="1"/>
  <c r="DC85" i="12"/>
  <c r="AG128" i="12"/>
  <c r="CZ128" i="12" s="1"/>
  <c r="CZ118" i="12"/>
  <c r="BN12" i="11"/>
  <c r="CY102" i="12"/>
  <c r="DD102" i="12"/>
  <c r="DJ102" i="12"/>
  <c r="DE102" i="12"/>
  <c r="DE105" i="12" s="1"/>
  <c r="DC102" i="12"/>
  <c r="DC105" i="12" s="1"/>
  <c r="DA102" i="12"/>
  <c r="DA105" i="12" s="1"/>
  <c r="AM147" i="11"/>
  <c r="AJ132" i="11"/>
  <c r="DA113" i="11"/>
  <c r="BN31" i="11"/>
  <c r="DK18" i="11"/>
  <c r="AJ128" i="12"/>
  <c r="DA128" i="12" s="1"/>
  <c r="DA118" i="12"/>
  <c r="DY103" i="12"/>
  <c r="BB128" i="12"/>
  <c r="DG128" i="12" s="1"/>
  <c r="DG118" i="12"/>
  <c r="DZ81" i="12"/>
  <c r="DZ85" i="12" s="1"/>
  <c r="DG85" i="12"/>
  <c r="DG131" i="11"/>
  <c r="DG134" i="11" s="1"/>
  <c r="DG115" i="11"/>
  <c r="DZ112" i="11"/>
  <c r="DZ115" i="11" s="1"/>
  <c r="DI131" i="11"/>
  <c r="DI134" i="11" s="1"/>
  <c r="DA131" i="11"/>
  <c r="DA134" i="11" s="1"/>
  <c r="DJ131" i="11"/>
  <c r="DJ134" i="11" s="1"/>
  <c r="DX112" i="11"/>
  <c r="DX115" i="11" s="1"/>
  <c r="CY115" i="11"/>
  <c r="DD131" i="11"/>
  <c r="DD134" i="11" s="1"/>
  <c r="CY131" i="11"/>
  <c r="DC131" i="11"/>
  <c r="DF131" i="11"/>
  <c r="DF134" i="11" s="1"/>
  <c r="DY112" i="11"/>
  <c r="DY115" i="11" s="1"/>
  <c r="DC115" i="11"/>
  <c r="DH131" i="11"/>
  <c r="DH134" i="11" s="1"/>
  <c r="DE131" i="11"/>
  <c r="DE134" i="11" s="1"/>
  <c r="CZ131" i="11"/>
  <c r="CZ134" i="11" s="1"/>
  <c r="DB131" i="11"/>
  <c r="DB134" i="11" s="1"/>
  <c r="CU148" i="18"/>
  <c r="FE50" i="14"/>
  <c r="FE51" i="14" s="1"/>
  <c r="FF50" i="14"/>
  <c r="FF51" i="14" s="1"/>
  <c r="N159" i="13"/>
  <c r="BO138" i="11"/>
  <c r="BO109" i="12"/>
  <c r="CV119" i="15"/>
  <c r="T105" i="12"/>
  <c r="T117" i="12"/>
  <c r="N105" i="12"/>
  <c r="N117" i="12"/>
  <c r="I117" i="12"/>
  <c r="I105" i="12"/>
  <c r="E117" i="12"/>
  <c r="E105" i="12"/>
  <c r="AX146" i="11"/>
  <c r="AX134" i="11"/>
  <c r="L105" i="12"/>
  <c r="L117" i="12"/>
  <c r="AJ146" i="11"/>
  <c r="AJ134" i="11"/>
  <c r="P134" i="11"/>
  <c r="P146" i="11"/>
  <c r="R134" i="11"/>
  <c r="R146" i="11"/>
  <c r="J134" i="11"/>
  <c r="J146" i="11"/>
  <c r="T146" i="11"/>
  <c r="T134" i="11"/>
  <c r="AZ105" i="12"/>
  <c r="AZ117" i="12"/>
  <c r="O117" i="12"/>
  <c r="O105" i="12"/>
  <c r="X105" i="12"/>
  <c r="X117" i="12"/>
  <c r="U146" i="11"/>
  <c r="U134" i="11"/>
  <c r="AU117" i="12"/>
  <c r="AU105" i="12"/>
  <c r="AF134" i="11"/>
  <c r="AF146" i="11"/>
  <c r="AC117" i="12"/>
  <c r="AC105" i="12"/>
  <c r="BE117" i="12"/>
  <c r="BE105" i="12"/>
  <c r="V117" i="12"/>
  <c r="V105" i="12"/>
  <c r="CN111" i="7"/>
  <c r="CW87" i="15" s="1"/>
  <c r="CN120" i="7"/>
  <c r="AW146" i="11"/>
  <c r="AW134" i="11"/>
  <c r="W134" i="11"/>
  <c r="W146" i="11"/>
  <c r="AY146" i="11"/>
  <c r="AY134" i="11"/>
  <c r="BJ105" i="12"/>
  <c r="BJ117" i="12"/>
  <c r="AO146" i="11"/>
  <c r="AO134" i="11"/>
  <c r="D105" i="12"/>
  <c r="D117" i="12"/>
  <c r="AN105" i="12"/>
  <c r="AN117" i="12"/>
  <c r="AH134" i="11"/>
  <c r="AH146" i="11"/>
  <c r="Z117" i="12"/>
  <c r="Z105" i="12"/>
  <c r="AR105" i="12"/>
  <c r="AR117" i="12"/>
  <c r="AB117" i="12"/>
  <c r="AB105" i="12"/>
  <c r="AH117" i="12"/>
  <c r="AH105" i="12"/>
  <c r="BK134" i="11"/>
  <c r="BK146" i="11"/>
  <c r="X134" i="11"/>
  <c r="X146" i="11"/>
  <c r="BD134" i="11"/>
  <c r="BD146" i="11"/>
  <c r="AL134" i="11"/>
  <c r="AL146" i="11"/>
  <c r="K117" i="12"/>
  <c r="K105" i="12"/>
  <c r="AD105" i="12"/>
  <c r="AD117" i="12"/>
  <c r="AT117" i="12"/>
  <c r="AT105" i="12"/>
  <c r="AS117" i="12"/>
  <c r="AS105" i="12"/>
  <c r="BK117" i="12"/>
  <c r="BK105" i="12"/>
  <c r="M105" i="12"/>
  <c r="M117" i="12"/>
  <c r="AU134" i="11"/>
  <c r="AU146" i="11"/>
  <c r="AI134" i="11"/>
  <c r="AI146" i="11"/>
  <c r="AS146" i="11"/>
  <c r="AS134" i="11"/>
  <c r="AZ134" i="11"/>
  <c r="AZ146" i="11"/>
  <c r="AA146" i="11"/>
  <c r="AA134" i="11"/>
  <c r="S134" i="11"/>
  <c r="S146" i="11"/>
  <c r="BB134" i="11"/>
  <c r="BB146" i="11"/>
  <c r="BM146" i="11"/>
  <c r="BM134" i="11"/>
  <c r="AY105" i="12"/>
  <c r="AY117" i="12"/>
  <c r="U117" i="12"/>
  <c r="U105" i="12"/>
  <c r="M146" i="11"/>
  <c r="M134" i="11"/>
  <c r="AI117" i="12"/>
  <c r="AI105" i="12"/>
  <c r="CV15" i="14"/>
  <c r="CV81" i="18"/>
  <c r="CV13" i="18"/>
  <c r="CV44" i="18" s="1"/>
  <c r="AR146" i="11"/>
  <c r="AR134" i="11"/>
  <c r="AE105" i="12"/>
  <c r="AE117" i="12"/>
  <c r="J105" i="12"/>
  <c r="J117" i="12"/>
  <c r="P117" i="12"/>
  <c r="P105" i="12"/>
  <c r="I146" i="11"/>
  <c r="I134" i="11"/>
  <c r="AV117" i="12"/>
  <c r="AV105" i="12"/>
  <c r="AD134" i="11"/>
  <c r="AD146" i="11"/>
  <c r="BG117" i="12"/>
  <c r="BG105" i="12"/>
  <c r="BM117" i="12"/>
  <c r="BM105" i="12"/>
  <c r="BF117" i="12"/>
  <c r="BF105" i="12"/>
  <c r="BC117" i="12"/>
  <c r="BC105" i="12"/>
  <c r="N146" i="11"/>
  <c r="N134" i="11"/>
  <c r="L134" i="11"/>
  <c r="L146" i="11"/>
  <c r="BL146" i="11"/>
  <c r="BL134" i="11"/>
  <c r="BG146" i="11"/>
  <c r="BG134" i="11"/>
  <c r="AT134" i="11"/>
  <c r="AT146" i="11"/>
  <c r="H146" i="11"/>
  <c r="H134" i="11"/>
  <c r="BE134" i="11"/>
  <c r="BE146" i="11"/>
  <c r="H105" i="12"/>
  <c r="H117" i="12"/>
  <c r="BL105" i="12"/>
  <c r="BL117" i="12"/>
  <c r="C117" i="12"/>
  <c r="C105" i="12"/>
  <c r="AV134" i="11"/>
  <c r="AV146" i="11"/>
  <c r="AG146" i="11"/>
  <c r="AG134" i="11"/>
  <c r="AK105" i="12"/>
  <c r="AK117" i="12"/>
  <c r="BH117" i="12"/>
  <c r="BH105" i="12"/>
  <c r="C134" i="11"/>
  <c r="C146" i="11"/>
  <c r="AW105" i="12"/>
  <c r="AW117" i="12"/>
  <c r="AL105" i="12"/>
  <c r="AL117" i="12"/>
  <c r="AP105" i="12"/>
  <c r="AP117" i="12"/>
  <c r="AQ117" i="12"/>
  <c r="AQ105" i="12"/>
  <c r="AP134" i="11"/>
  <c r="AP146" i="11"/>
  <c r="BC134" i="11"/>
  <c r="BC146" i="11"/>
  <c r="BF134" i="11"/>
  <c r="BF146" i="11"/>
  <c r="AJ105" i="12"/>
  <c r="AJ117" i="12"/>
  <c r="AM117" i="12"/>
  <c r="AM105" i="12"/>
  <c r="Q117" i="12"/>
  <c r="Q105" i="12"/>
  <c r="F146" i="11"/>
  <c r="F134" i="11"/>
  <c r="AQ146" i="11"/>
  <c r="AQ134" i="11"/>
  <c r="AF105" i="12"/>
  <c r="AF117" i="12"/>
  <c r="BA105" i="12"/>
  <c r="BA117" i="12"/>
  <c r="BD105" i="12"/>
  <c r="BD117" i="12"/>
  <c r="BJ146" i="11"/>
  <c r="BJ134" i="11"/>
  <c r="AN134" i="11"/>
  <c r="AN146" i="11"/>
  <c r="Y105" i="12"/>
  <c r="Y117" i="12"/>
  <c r="D134" i="11"/>
  <c r="D146" i="11"/>
  <c r="O146" i="11"/>
  <c r="O134" i="11"/>
  <c r="AC146" i="11"/>
  <c r="AC134" i="11"/>
  <c r="Z146" i="11"/>
  <c r="Z134" i="11"/>
  <c r="G117" i="12"/>
  <c r="G105" i="12"/>
  <c r="AA117" i="12"/>
  <c r="AA105" i="12"/>
  <c r="BB105" i="12"/>
  <c r="BB117" i="12"/>
  <c r="AE134" i="11"/>
  <c r="AE146" i="11"/>
  <c r="AM134" i="11"/>
  <c r="AM146" i="11"/>
  <c r="E134" i="11"/>
  <c r="E146" i="11"/>
  <c r="BI105" i="12"/>
  <c r="BI117" i="12"/>
  <c r="BI134" i="11"/>
  <c r="BI146" i="11"/>
  <c r="K134" i="11"/>
  <c r="K146" i="11"/>
  <c r="BH134" i="11"/>
  <c r="BH146" i="11"/>
  <c r="AB134" i="11"/>
  <c r="AB146" i="11"/>
  <c r="F105" i="12"/>
  <c r="F117" i="12"/>
  <c r="AG117" i="12"/>
  <c r="AG105" i="12"/>
  <c r="AX117" i="12"/>
  <c r="AX105" i="12"/>
  <c r="V134" i="11"/>
  <c r="V146" i="11"/>
  <c r="G134" i="11"/>
  <c r="G146" i="11"/>
  <c r="S117" i="12"/>
  <c r="S105" i="12"/>
  <c r="R105" i="12"/>
  <c r="R117" i="12"/>
  <c r="W117" i="12"/>
  <c r="W105" i="12"/>
  <c r="AO117" i="12"/>
  <c r="AO105" i="12"/>
  <c r="Y134" i="11"/>
  <c r="Y146" i="11"/>
  <c r="BA146" i="11"/>
  <c r="BA134" i="11"/>
  <c r="AK134" i="11"/>
  <c r="AK146" i="11"/>
  <c r="Q146" i="11"/>
  <c r="Q134" i="11"/>
  <c r="BO4" i="12"/>
  <c r="CU3" i="14"/>
  <c r="CV6" i="15"/>
  <c r="D168" i="13"/>
  <c r="D175" i="13"/>
  <c r="D176" i="13" s="1"/>
  <c r="G168" i="13"/>
  <c r="G175" i="13"/>
  <c r="G176" i="13" s="1"/>
  <c r="E175" i="13"/>
  <c r="E176" i="13" s="1"/>
  <c r="E168" i="13"/>
  <c r="N175" i="13"/>
  <c r="N176" i="13" s="1"/>
  <c r="N168" i="13"/>
  <c r="BI168" i="13"/>
  <c r="BI175" i="13"/>
  <c r="C175" i="13"/>
  <c r="C176" i="13" s="1"/>
  <c r="C168" i="13"/>
  <c r="H175" i="13"/>
  <c r="H176" i="13" s="1"/>
  <c r="H168" i="13"/>
  <c r="BN7" i="12"/>
  <c r="CU10" i="15"/>
  <c r="I168" i="13"/>
  <c r="I175" i="13"/>
  <c r="I176" i="13" s="1"/>
  <c r="F175" i="13"/>
  <c r="F176" i="13" s="1"/>
  <c r="F168" i="13"/>
  <c r="CT544" i="2"/>
  <c r="BU134" i="13" s="1"/>
  <c r="CT546" i="2"/>
  <c r="BU136" i="13" s="1"/>
  <c r="CT497" i="2"/>
  <c r="BU112" i="13" s="1"/>
  <c r="CT498" i="2"/>
  <c r="BU113" i="13" s="1"/>
  <c r="BU49" i="13"/>
  <c r="BN39" i="12" s="1"/>
  <c r="BV50" i="13"/>
  <c r="CU494" i="2"/>
  <c r="BV51" i="13"/>
  <c r="CU495" i="2"/>
  <c r="BV109" i="13" s="1"/>
  <c r="CT493" i="2"/>
  <c r="BU107" i="13" s="1"/>
  <c r="BU108" i="13"/>
  <c r="CZ526" i="2"/>
  <c r="CY513" i="2"/>
  <c r="CU434" i="2"/>
  <c r="CT428" i="2"/>
  <c r="BU44" i="13"/>
  <c r="BV11" i="13"/>
  <c r="DE28" i="7"/>
  <c r="CW207" i="2"/>
  <c r="CY207" i="2"/>
  <c r="CS28" i="7"/>
  <c r="CX28" i="7"/>
  <c r="CX207" i="2"/>
  <c r="DJ207" i="2"/>
  <c r="DP207" i="2"/>
  <c r="CN28" i="7"/>
  <c r="CZ207" i="2"/>
  <c r="CM28" i="7"/>
  <c r="DE207" i="2"/>
  <c r="DG207" i="2"/>
  <c r="DO207" i="2"/>
  <c r="DC207" i="2"/>
  <c r="DI207" i="2"/>
  <c r="DD28" i="7"/>
  <c r="DC28" i="7"/>
  <c r="DF28" i="7"/>
  <c r="CZ28" i="7"/>
  <c r="CT28" i="7"/>
  <c r="CT207" i="2"/>
  <c r="CV28" i="7"/>
  <c r="CU140" i="2"/>
  <c r="CV140" i="2" s="1"/>
  <c r="CW140" i="2" s="1"/>
  <c r="CX140" i="2" s="1"/>
  <c r="CY140" i="2" s="1"/>
  <c r="CZ140" i="2" s="1"/>
  <c r="DA140" i="2" s="1"/>
  <c r="DB140" i="2" s="1"/>
  <c r="DC140" i="2" s="1"/>
  <c r="DD140" i="2" s="1"/>
  <c r="DE140" i="2" s="1"/>
  <c r="DF140" i="2" s="1"/>
  <c r="DG140" i="2" s="1"/>
  <c r="DH140" i="2" s="1"/>
  <c r="DI140" i="2" s="1"/>
  <c r="DJ140" i="2" s="1"/>
  <c r="DK140" i="2" s="1"/>
  <c r="DL140" i="2" s="1"/>
  <c r="DM140" i="2" s="1"/>
  <c r="DN140" i="2" s="1"/>
  <c r="DO140" i="2" s="1"/>
  <c r="DP140" i="2" s="1"/>
  <c r="DQ140" i="2" s="1"/>
  <c r="DR140" i="2" s="1"/>
  <c r="DS140" i="2" s="1"/>
  <c r="DT140" i="2" s="1"/>
  <c r="DU140" i="2" s="1"/>
  <c r="DV140" i="2" s="1"/>
  <c r="DW140" i="2" s="1"/>
  <c r="DX140" i="2" s="1"/>
  <c r="DY140" i="2" s="1"/>
  <c r="DZ140" i="2" s="1"/>
  <c r="EA140" i="2" s="1"/>
  <c r="EB140" i="2" s="1"/>
  <c r="EC140" i="2" s="1"/>
  <c r="BW4" i="13"/>
  <c r="DR4" i="13" s="1"/>
  <c r="CV424" i="2"/>
  <c r="CV418" i="2"/>
  <c r="BV27" i="13"/>
  <c r="BN15" i="12"/>
  <c r="BU30" i="13"/>
  <c r="BV26" i="13"/>
  <c r="CU407" i="2"/>
  <c r="CU404" i="2"/>
  <c r="BU22" i="13"/>
  <c r="CT399" i="2"/>
  <c r="BN14" i="12"/>
  <c r="BU25" i="13"/>
  <c r="BU29" i="13"/>
  <c r="CV395" i="2"/>
  <c r="BV13" i="13"/>
  <c r="BO12" i="11" s="1"/>
  <c r="CV396" i="2"/>
  <c r="BU23" i="13"/>
  <c r="CU405" i="2"/>
  <c r="CU429" i="2" s="1"/>
  <c r="CV425" i="2"/>
  <c r="CV419" i="2"/>
  <c r="CW482" i="2"/>
  <c r="CW394" i="2" s="1"/>
  <c r="BX95" i="13"/>
  <c r="BW98" i="13"/>
  <c r="DR98" i="13" s="1"/>
  <c r="BW5" i="13"/>
  <c r="BW6" i="13"/>
  <c r="CU6" i="14"/>
  <c r="CU330" i="2"/>
  <c r="CU329" i="2" s="1"/>
  <c r="CU327" i="2" s="1"/>
  <c r="CU361" i="2"/>
  <c r="CU357" i="2"/>
  <c r="CU347" i="2"/>
  <c r="CV342" i="2"/>
  <c r="CW27" i="14"/>
  <c r="ER27" i="14" s="1"/>
  <c r="CW10" i="14"/>
  <c r="ER10" i="14" s="1"/>
  <c r="ER15" i="14" s="1"/>
  <c r="CV333" i="2"/>
  <c r="CW345" i="2"/>
  <c r="CW29" i="14"/>
  <c r="ER29" i="14" s="1"/>
  <c r="CW343" i="2"/>
  <c r="CT331" i="2"/>
  <c r="CU5" i="14"/>
  <c r="CW344" i="2"/>
  <c r="CW28" i="14"/>
  <c r="CV367" i="2"/>
  <c r="CV45" i="14"/>
  <c r="CV26" i="14"/>
  <c r="CV148" i="18" s="1"/>
  <c r="CW312" i="2"/>
  <c r="CN147" i="7"/>
  <c r="EI147" i="7" s="1"/>
  <c r="CW267" i="2"/>
  <c r="DJ33" i="7" l="1"/>
  <c r="DJ45" i="7"/>
  <c r="DE33" i="7"/>
  <c r="DE45" i="7"/>
  <c r="CS33" i="7"/>
  <c r="CS45" i="7"/>
  <c r="EM28" i="7"/>
  <c r="CX45" i="7"/>
  <c r="CX33" i="7"/>
  <c r="CN45" i="7"/>
  <c r="CN33" i="7"/>
  <c r="CM45" i="7"/>
  <c r="CM33" i="7"/>
  <c r="DD45" i="7"/>
  <c r="DD33" i="7"/>
  <c r="EO28" i="7"/>
  <c r="EO33" i="7" s="1"/>
  <c r="DC45" i="7"/>
  <c r="DC33" i="7"/>
  <c r="DF45" i="7"/>
  <c r="DF33" i="7"/>
  <c r="CZ45" i="7"/>
  <c r="CZ33" i="7"/>
  <c r="CT33" i="7"/>
  <c r="CT45" i="7"/>
  <c r="CV33" i="7"/>
  <c r="CV45" i="7"/>
  <c r="DX128" i="12"/>
  <c r="ER28" i="14"/>
  <c r="CT458" i="2"/>
  <c r="CT457" i="2"/>
  <c r="DZ128" i="12"/>
  <c r="DY128" i="12"/>
  <c r="CV288" i="2"/>
  <c r="EI33" i="7"/>
  <c r="EY28" i="7"/>
  <c r="EY33" i="7" s="1"/>
  <c r="FA125" i="15"/>
  <c r="CW52" i="13"/>
  <c r="CW53" i="13"/>
  <c r="FA185" i="18"/>
  <c r="FA95" i="3"/>
  <c r="DY185" i="18"/>
  <c r="DX191" i="18"/>
  <c r="FA191" i="18" s="1"/>
  <c r="FA96" i="3"/>
  <c r="FA76" i="3"/>
  <c r="CQ143" i="11"/>
  <c r="CQ141" i="11" s="1"/>
  <c r="CQ114" i="12"/>
  <c r="CQ112" i="12" s="1"/>
  <c r="DX552" i="2"/>
  <c r="DX537" i="2"/>
  <c r="DY313" i="2"/>
  <c r="DP150" i="7"/>
  <c r="DY125" i="15" s="1"/>
  <c r="DU387" i="2"/>
  <c r="ER150" i="7"/>
  <c r="DY412" i="2"/>
  <c r="DX411" i="2"/>
  <c r="DV112" i="2"/>
  <c r="DV96" i="3"/>
  <c r="DR207" i="2"/>
  <c r="DT193" i="2"/>
  <c r="DS181" i="2"/>
  <c r="DV89" i="2"/>
  <c r="DV76" i="3"/>
  <c r="DV111" i="2"/>
  <c r="DV95" i="3"/>
  <c r="FG132" i="15"/>
  <c r="BJ175" i="13"/>
  <c r="BJ168" i="13"/>
  <c r="Y168" i="13"/>
  <c r="Y175" i="13"/>
  <c r="Y176" i="13" s="1"/>
  <c r="S168" i="13"/>
  <c r="S175" i="13"/>
  <c r="S176" i="13" s="1"/>
  <c r="P168" i="13"/>
  <c r="P175" i="13"/>
  <c r="P176" i="13" s="1"/>
  <c r="O175" i="13"/>
  <c r="O176" i="13" s="1"/>
  <c r="O168" i="13"/>
  <c r="BQ168" i="13"/>
  <c r="BQ175" i="13"/>
  <c r="BQ176" i="13" s="1"/>
  <c r="BO168" i="13"/>
  <c r="BO175" i="13"/>
  <c r="BS168" i="13"/>
  <c r="BS175" i="13"/>
  <c r="BS176" i="13" s="1"/>
  <c r="DN167" i="13"/>
  <c r="DN168" i="13" s="1"/>
  <c r="BK175" i="13"/>
  <c r="BK176" i="13" s="1"/>
  <c r="BK168" i="13"/>
  <c r="DP167" i="13"/>
  <c r="DP168" i="13" s="1"/>
  <c r="BP168" i="13"/>
  <c r="BP175" i="13"/>
  <c r="BP176" i="13" s="1"/>
  <c r="BL175" i="13"/>
  <c r="BL176" i="13" s="1"/>
  <c r="BL168" i="13"/>
  <c r="AB168" i="13"/>
  <c r="AB175" i="13"/>
  <c r="AB176" i="13" s="1"/>
  <c r="W168" i="13"/>
  <c r="W175" i="13"/>
  <c r="W176" i="13" s="1"/>
  <c r="DI167" i="13"/>
  <c r="DI168" i="13" s="1"/>
  <c r="AY175" i="13"/>
  <c r="AY176" i="13" s="1"/>
  <c r="AY168" i="13"/>
  <c r="AT175" i="13"/>
  <c r="AT176" i="13" s="1"/>
  <c r="AT168" i="13"/>
  <c r="AO175" i="13"/>
  <c r="AO176" i="13" s="1"/>
  <c r="AO168" i="13"/>
  <c r="AV168" i="13"/>
  <c r="AV175" i="13"/>
  <c r="AV176" i="13" s="1"/>
  <c r="FG144" i="15"/>
  <c r="DH132" i="11"/>
  <c r="BE147" i="11"/>
  <c r="BI147" i="11"/>
  <c r="DI132" i="11"/>
  <c r="DL167" i="13"/>
  <c r="DL168" i="13" s="1"/>
  <c r="K175" i="13"/>
  <c r="K176" i="13" s="1"/>
  <c r="K168" i="13"/>
  <c r="BH168" i="13"/>
  <c r="BH175" i="13"/>
  <c r="BH176" i="13" s="1"/>
  <c r="BM175" i="13"/>
  <c r="BM176" i="13" s="1"/>
  <c r="BM168" i="13"/>
  <c r="AN175" i="13"/>
  <c r="AN176" i="13" s="1"/>
  <c r="AN168" i="13"/>
  <c r="BT168" i="13"/>
  <c r="BT175" i="13"/>
  <c r="BT176" i="13" s="1"/>
  <c r="AE168" i="13"/>
  <c r="AE175" i="13"/>
  <c r="AE176" i="13" s="1"/>
  <c r="Z168" i="13"/>
  <c r="Z175" i="13"/>
  <c r="Z176" i="13" s="1"/>
  <c r="AG175" i="13"/>
  <c r="AG176" i="13" s="1"/>
  <c r="AG168" i="13"/>
  <c r="BF168" i="13"/>
  <c r="BF175" i="13"/>
  <c r="AA175" i="13"/>
  <c r="AA176" i="13" s="1"/>
  <c r="AA168" i="13"/>
  <c r="AM175" i="13"/>
  <c r="AM176" i="13" s="1"/>
  <c r="AM168" i="13"/>
  <c r="AL175" i="13"/>
  <c r="AL176" i="13" s="1"/>
  <c r="AL168" i="13"/>
  <c r="L175" i="13"/>
  <c r="L176" i="13" s="1"/>
  <c r="L168" i="13"/>
  <c r="AW168" i="13"/>
  <c r="AW175" i="13"/>
  <c r="AZ175" i="13"/>
  <c r="AZ176" i="13" s="1"/>
  <c r="AZ168" i="13"/>
  <c r="CZ132" i="11"/>
  <c r="AG147" i="11"/>
  <c r="DJ167" i="13"/>
  <c r="DJ168" i="13" s="1"/>
  <c r="AX175" i="13"/>
  <c r="AX176" i="13" s="1"/>
  <c r="AX168" i="13"/>
  <c r="BK147" i="11"/>
  <c r="DJ132" i="11"/>
  <c r="DQ167" i="13"/>
  <c r="DQ168" i="13" s="1"/>
  <c r="BR175" i="13"/>
  <c r="BR168" i="13"/>
  <c r="BA175" i="13"/>
  <c r="BA176" i="13" s="1"/>
  <c r="BA168" i="13"/>
  <c r="AJ168" i="13"/>
  <c r="AJ175" i="13"/>
  <c r="AJ176" i="13" s="1"/>
  <c r="M168" i="13"/>
  <c r="M175" i="13"/>
  <c r="M176" i="13" s="1"/>
  <c r="U175" i="13"/>
  <c r="U176" i="13" s="1"/>
  <c r="U168" i="13"/>
  <c r="AF168" i="13"/>
  <c r="AF175" i="13"/>
  <c r="AF176" i="13" s="1"/>
  <c r="DM167" i="13"/>
  <c r="DM168" i="13" s="1"/>
  <c r="BG168" i="13"/>
  <c r="BG175" i="13"/>
  <c r="BG176" i="13" s="1"/>
  <c r="DZ113" i="11"/>
  <c r="DO159" i="13"/>
  <c r="EG158" i="13"/>
  <c r="EG159" i="13" s="1"/>
  <c r="AD168" i="13"/>
  <c r="AD175" i="13"/>
  <c r="AD176" i="13" s="1"/>
  <c r="AI175" i="13"/>
  <c r="AI176" i="13" s="1"/>
  <c r="AI168" i="13"/>
  <c r="Q168" i="13"/>
  <c r="Q175" i="13"/>
  <c r="Q176" i="13" s="1"/>
  <c r="DG167" i="13"/>
  <c r="DG168" i="13" s="1"/>
  <c r="AP168" i="13"/>
  <c r="AP175" i="13"/>
  <c r="DO167" i="13"/>
  <c r="BN175" i="13"/>
  <c r="BN168" i="13"/>
  <c r="BC168" i="13"/>
  <c r="BC175" i="13"/>
  <c r="BC176" i="13" s="1"/>
  <c r="AH175" i="13"/>
  <c r="AH176" i="13" s="1"/>
  <c r="AH168" i="13"/>
  <c r="DF167" i="13"/>
  <c r="DF168" i="13" s="1"/>
  <c r="AK175" i="13"/>
  <c r="AK168" i="13"/>
  <c r="V175" i="13"/>
  <c r="V176" i="13" s="1"/>
  <c r="V168" i="13"/>
  <c r="J168" i="13"/>
  <c r="J175" i="13"/>
  <c r="J176" i="13" s="1"/>
  <c r="AZ147" i="11"/>
  <c r="DF132" i="11"/>
  <c r="DX113" i="11"/>
  <c r="CY132" i="11"/>
  <c r="AD147" i="11"/>
  <c r="AN147" i="11"/>
  <c r="DB132" i="11"/>
  <c r="DH159" i="13"/>
  <c r="EE158" i="13"/>
  <c r="EE159" i="13" s="1"/>
  <c r="AU168" i="13"/>
  <c r="AU175" i="13"/>
  <c r="BE168" i="13"/>
  <c r="BE175" i="13"/>
  <c r="BE176" i="13" s="1"/>
  <c r="R175" i="13"/>
  <c r="R176" i="13" s="1"/>
  <c r="R168" i="13"/>
  <c r="BD175" i="13"/>
  <c r="BD168" i="13"/>
  <c r="AS175" i="13"/>
  <c r="AS176" i="13" s="1"/>
  <c r="AS168" i="13"/>
  <c r="T168" i="13"/>
  <c r="T175" i="13"/>
  <c r="T176" i="13" s="1"/>
  <c r="DK167" i="13"/>
  <c r="BB175" i="13"/>
  <c r="BB168" i="13"/>
  <c r="AQ168" i="13"/>
  <c r="AQ175" i="13"/>
  <c r="AR175" i="13"/>
  <c r="AR176" i="13" s="1"/>
  <c r="AR168" i="13"/>
  <c r="EQ51" i="14"/>
  <c r="FG50" i="14"/>
  <c r="FG51" i="14" s="1"/>
  <c r="DH167" i="13"/>
  <c r="AC175" i="13"/>
  <c r="AC176" i="13" s="1"/>
  <c r="AC168" i="13"/>
  <c r="X168" i="13"/>
  <c r="X175" i="13"/>
  <c r="X176" i="13" s="1"/>
  <c r="DK159" i="13"/>
  <c r="EF158" i="13"/>
  <c r="EF159" i="13" s="1"/>
  <c r="FE144" i="15"/>
  <c r="FE132" i="15"/>
  <c r="FF144" i="15"/>
  <c r="FF132" i="15"/>
  <c r="DC117" i="12"/>
  <c r="DC120" i="12" s="1"/>
  <c r="DJ117" i="12"/>
  <c r="DJ120" i="12" s="1"/>
  <c r="DB117" i="12"/>
  <c r="DB120" i="12" s="1"/>
  <c r="AJ147" i="11"/>
  <c r="DA132" i="11"/>
  <c r="DX102" i="12"/>
  <c r="DX105" i="12" s="1"/>
  <c r="CY105" i="12"/>
  <c r="AY157" i="11"/>
  <c r="DD117" i="12"/>
  <c r="DD120" i="12" s="1"/>
  <c r="DF117" i="12"/>
  <c r="DF120" i="12" s="1"/>
  <c r="DZ118" i="12"/>
  <c r="BB147" i="11"/>
  <c r="DG132" i="11"/>
  <c r="DY113" i="11"/>
  <c r="DY118" i="12"/>
  <c r="BP6" i="11"/>
  <c r="DR6" i="13"/>
  <c r="DG117" i="12"/>
  <c r="BI176" i="13"/>
  <c r="CY117" i="12"/>
  <c r="DA117" i="12"/>
  <c r="DA120" i="12" s="1"/>
  <c r="DH117" i="12"/>
  <c r="DH120" i="12" s="1"/>
  <c r="AP147" i="11"/>
  <c r="DC132" i="11"/>
  <c r="AM157" i="11"/>
  <c r="BH157" i="11"/>
  <c r="BP5" i="11"/>
  <c r="DR5" i="13"/>
  <c r="DE117" i="12"/>
  <c r="DE120" i="12" s="1"/>
  <c r="AS147" i="11"/>
  <c r="DD132" i="11"/>
  <c r="DZ102" i="12"/>
  <c r="DZ105" i="12" s="1"/>
  <c r="DJ105" i="12"/>
  <c r="AV147" i="11"/>
  <c r="DE132" i="11"/>
  <c r="CZ117" i="12"/>
  <c r="CZ120" i="12" s="1"/>
  <c r="DI117" i="12"/>
  <c r="DI120" i="12" s="1"/>
  <c r="EP45" i="7"/>
  <c r="DY102" i="12"/>
  <c r="DY105" i="12" s="1"/>
  <c r="DD105" i="12"/>
  <c r="DX118" i="12"/>
  <c r="BP78" i="12"/>
  <c r="EI120" i="7"/>
  <c r="EJ45" i="7"/>
  <c r="CZ146" i="11"/>
  <c r="CZ149" i="11" s="1"/>
  <c r="DE146" i="11"/>
  <c r="DE149" i="11" s="1"/>
  <c r="DZ131" i="11"/>
  <c r="DZ134" i="11" s="1"/>
  <c r="DC146" i="11"/>
  <c r="CY146" i="11"/>
  <c r="CY149" i="11" s="1"/>
  <c r="DF146" i="11"/>
  <c r="DF149" i="11" s="1"/>
  <c r="DI146" i="11"/>
  <c r="DI149" i="11" s="1"/>
  <c r="DD146" i="11"/>
  <c r="DD149" i="11" s="1"/>
  <c r="DH146" i="11"/>
  <c r="DH149" i="11" s="1"/>
  <c r="DY131" i="11"/>
  <c r="DY134" i="11" s="1"/>
  <c r="DC134" i="11"/>
  <c r="DG146" i="11"/>
  <c r="DJ146" i="11"/>
  <c r="DJ149" i="11" s="1"/>
  <c r="DA146" i="11"/>
  <c r="DA149" i="11" s="1"/>
  <c r="DX131" i="11"/>
  <c r="DX134" i="11" s="1"/>
  <c r="CY134" i="11"/>
  <c r="DB146" i="11"/>
  <c r="DB149" i="11" s="1"/>
  <c r="CU57" i="18"/>
  <c r="CU49" i="18"/>
  <c r="AE127" i="12"/>
  <c r="AE130" i="12" s="1"/>
  <c r="AE120" i="12"/>
  <c r="AZ149" i="11"/>
  <c r="AZ156" i="11"/>
  <c r="AZ159" i="11" s="1"/>
  <c r="M120" i="12"/>
  <c r="M127" i="12"/>
  <c r="M130" i="12" s="1"/>
  <c r="AD120" i="12"/>
  <c r="AD127" i="12"/>
  <c r="BD149" i="11"/>
  <c r="BD156" i="11"/>
  <c r="BD159" i="11" s="1"/>
  <c r="AN127" i="12"/>
  <c r="AN130" i="12" s="1"/>
  <c r="AN120" i="12"/>
  <c r="R156" i="11"/>
  <c r="R159" i="11" s="1"/>
  <c r="R149" i="11"/>
  <c r="T127" i="12"/>
  <c r="T130" i="12" s="1"/>
  <c r="T120" i="12"/>
  <c r="BH149" i="11"/>
  <c r="BH156" i="11"/>
  <c r="CU6" i="18"/>
  <c r="CU37" i="18"/>
  <c r="Y149" i="11"/>
  <c r="Y156" i="11"/>
  <c r="Y159" i="11" s="1"/>
  <c r="K149" i="11"/>
  <c r="K156" i="11"/>
  <c r="K159" i="11" s="1"/>
  <c r="AM156" i="11"/>
  <c r="AM149" i="11"/>
  <c r="D149" i="11"/>
  <c r="D156" i="11"/>
  <c r="D159" i="11" s="1"/>
  <c r="BD120" i="12"/>
  <c r="BD127" i="12"/>
  <c r="BD130" i="12" s="1"/>
  <c r="BF149" i="11"/>
  <c r="BF156" i="11"/>
  <c r="BF159" i="11" s="1"/>
  <c r="AP120" i="12"/>
  <c r="AP127" i="12"/>
  <c r="S127" i="12"/>
  <c r="S130" i="12" s="1"/>
  <c r="S120" i="12"/>
  <c r="AG120" i="12"/>
  <c r="AG127" i="12"/>
  <c r="G127" i="12"/>
  <c r="G130" i="12" s="1"/>
  <c r="G120" i="12"/>
  <c r="F156" i="11"/>
  <c r="F159" i="11" s="1"/>
  <c r="F149" i="11"/>
  <c r="BH120" i="12"/>
  <c r="BH127" i="12"/>
  <c r="C127" i="12"/>
  <c r="C130" i="12" s="1"/>
  <c r="C120" i="12"/>
  <c r="H149" i="11"/>
  <c r="H156" i="11"/>
  <c r="H159" i="11" s="1"/>
  <c r="BF120" i="12"/>
  <c r="BF127" i="12"/>
  <c r="BF130" i="12" s="1"/>
  <c r="AV127" i="12"/>
  <c r="AV120" i="12"/>
  <c r="AI120" i="12"/>
  <c r="AI127" i="12"/>
  <c r="AI130" i="12" s="1"/>
  <c r="BM156" i="11"/>
  <c r="BM159" i="11" s="1"/>
  <c r="BM149" i="11"/>
  <c r="AB127" i="12"/>
  <c r="AB130" i="12" s="1"/>
  <c r="AB120" i="12"/>
  <c r="AY149" i="11"/>
  <c r="AY156" i="11"/>
  <c r="V127" i="12"/>
  <c r="V130" i="12" s="1"/>
  <c r="V120" i="12"/>
  <c r="O120" i="12"/>
  <c r="O127" i="12"/>
  <c r="O130" i="12" s="1"/>
  <c r="AX149" i="11"/>
  <c r="AX156" i="11"/>
  <c r="AX159" i="11" s="1"/>
  <c r="Y120" i="12"/>
  <c r="Y127" i="12"/>
  <c r="Y130" i="12" s="1"/>
  <c r="AL120" i="12"/>
  <c r="AL127" i="12"/>
  <c r="AL130" i="12" s="1"/>
  <c r="AK120" i="12"/>
  <c r="AK127" i="12"/>
  <c r="AK130" i="12" s="1"/>
  <c r="BL120" i="12"/>
  <c r="BL127" i="12"/>
  <c r="BL130" i="12" s="1"/>
  <c r="L149" i="11"/>
  <c r="L156" i="11"/>
  <c r="L159" i="11" s="1"/>
  <c r="BB156" i="11"/>
  <c r="BB149" i="11"/>
  <c r="X156" i="11"/>
  <c r="X159" i="11" s="1"/>
  <c r="X149" i="11"/>
  <c r="AR120" i="12"/>
  <c r="AR127" i="12"/>
  <c r="AR130" i="12" s="1"/>
  <c r="D120" i="12"/>
  <c r="D127" i="12"/>
  <c r="D130" i="12" s="1"/>
  <c r="W149" i="11"/>
  <c r="W156" i="11"/>
  <c r="W159" i="11" s="1"/>
  <c r="AZ127" i="12"/>
  <c r="AZ130" i="12" s="1"/>
  <c r="AZ120" i="12"/>
  <c r="P149" i="11"/>
  <c r="P156" i="11"/>
  <c r="P159" i="11" s="1"/>
  <c r="Q156" i="11"/>
  <c r="Q159" i="11" s="1"/>
  <c r="Q149" i="11"/>
  <c r="Q127" i="12"/>
  <c r="Q130" i="12" s="1"/>
  <c r="Q120" i="12"/>
  <c r="I149" i="11"/>
  <c r="I156" i="11"/>
  <c r="I159" i="11" s="1"/>
  <c r="BK120" i="12"/>
  <c r="BK127" i="12"/>
  <c r="BE120" i="12"/>
  <c r="BE127" i="12"/>
  <c r="AU120" i="12"/>
  <c r="AU127" i="12"/>
  <c r="AU130" i="12" s="1"/>
  <c r="E127" i="12"/>
  <c r="E130" i="12" s="1"/>
  <c r="E120" i="12"/>
  <c r="G156" i="11"/>
  <c r="G159" i="11" s="1"/>
  <c r="G149" i="11"/>
  <c r="F120" i="12"/>
  <c r="F127" i="12"/>
  <c r="F130" i="12" s="1"/>
  <c r="BI156" i="11"/>
  <c r="BI159" i="11" s="1"/>
  <c r="BI149" i="11"/>
  <c r="AE156" i="11"/>
  <c r="AE159" i="11" s="1"/>
  <c r="AE149" i="11"/>
  <c r="BA127" i="12"/>
  <c r="BA130" i="12" s="1"/>
  <c r="BA120" i="12"/>
  <c r="BC149" i="11"/>
  <c r="BC156" i="11"/>
  <c r="BC159" i="11" s="1"/>
  <c r="AT156" i="11"/>
  <c r="AT159" i="11" s="1"/>
  <c r="AT149" i="11"/>
  <c r="CW15" i="14"/>
  <c r="CW81" i="18"/>
  <c r="ER81" i="18" s="1"/>
  <c r="CW13" i="18"/>
  <c r="CW44" i="18" s="1"/>
  <c r="ER44" i="18" s="1"/>
  <c r="AO120" i="12"/>
  <c r="AO127" i="12"/>
  <c r="AO130" i="12" s="1"/>
  <c r="Z156" i="11"/>
  <c r="Z159" i="11" s="1"/>
  <c r="Z149" i="11"/>
  <c r="BM120" i="12"/>
  <c r="BM127" i="12"/>
  <c r="BM130" i="12" s="1"/>
  <c r="AR149" i="11"/>
  <c r="AR156" i="11"/>
  <c r="AR159" i="11" s="1"/>
  <c r="M156" i="11"/>
  <c r="M159" i="11" s="1"/>
  <c r="M149" i="11"/>
  <c r="AS156" i="11"/>
  <c r="AS149" i="11"/>
  <c r="K127" i="12"/>
  <c r="K130" i="12" s="1"/>
  <c r="K120" i="12"/>
  <c r="CO111" i="7"/>
  <c r="CX87" i="15" s="1"/>
  <c r="CO120" i="7"/>
  <c r="BN37" i="11"/>
  <c r="AK149" i="11"/>
  <c r="AK156" i="11"/>
  <c r="AK159" i="11" s="1"/>
  <c r="V156" i="11"/>
  <c r="V159" i="11" s="1"/>
  <c r="V149" i="11"/>
  <c r="AB156" i="11"/>
  <c r="AB159" i="11" s="1"/>
  <c r="AB149" i="11"/>
  <c r="BI127" i="12"/>
  <c r="BI130" i="12" s="1"/>
  <c r="BI120" i="12"/>
  <c r="BB127" i="12"/>
  <c r="BB120" i="12"/>
  <c r="AN149" i="11"/>
  <c r="AN156" i="11"/>
  <c r="AN159" i="11" s="1"/>
  <c r="AF120" i="12"/>
  <c r="AF127" i="12"/>
  <c r="AF130" i="12" s="1"/>
  <c r="AP156" i="11"/>
  <c r="AP149" i="11"/>
  <c r="AW127" i="12"/>
  <c r="AW130" i="12" s="1"/>
  <c r="AW120" i="12"/>
  <c r="H127" i="12"/>
  <c r="H130" i="12" s="1"/>
  <c r="H120" i="12"/>
  <c r="S149" i="11"/>
  <c r="S156" i="11"/>
  <c r="S159" i="11" s="1"/>
  <c r="AI149" i="11"/>
  <c r="AI156" i="11"/>
  <c r="AI159" i="11" s="1"/>
  <c r="AL156" i="11"/>
  <c r="AL159" i="11" s="1"/>
  <c r="AL149" i="11"/>
  <c r="BK149" i="11"/>
  <c r="BK156" i="11"/>
  <c r="AM120" i="12"/>
  <c r="AM127" i="12"/>
  <c r="AG156" i="11"/>
  <c r="AG149" i="11"/>
  <c r="BG156" i="11"/>
  <c r="BG159" i="11" s="1"/>
  <c r="BG149" i="11"/>
  <c r="N156" i="11"/>
  <c r="N159" i="11" s="1"/>
  <c r="N149" i="11"/>
  <c r="BG120" i="12"/>
  <c r="BG127" i="12"/>
  <c r="BG130" i="12" s="1"/>
  <c r="P120" i="12"/>
  <c r="P127" i="12"/>
  <c r="P130" i="12" s="1"/>
  <c r="U127" i="12"/>
  <c r="U130" i="12" s="1"/>
  <c r="U120" i="12"/>
  <c r="AS120" i="12"/>
  <c r="AS127" i="12"/>
  <c r="Z120" i="12"/>
  <c r="Z127" i="12"/>
  <c r="Z130" i="12" s="1"/>
  <c r="AO156" i="11"/>
  <c r="AO159" i="11" s="1"/>
  <c r="AO149" i="11"/>
  <c r="AW149" i="11"/>
  <c r="AW156" i="11"/>
  <c r="AW159" i="11" s="1"/>
  <c r="AC127" i="12"/>
  <c r="AC130" i="12" s="1"/>
  <c r="AC120" i="12"/>
  <c r="U149" i="11"/>
  <c r="U156" i="11"/>
  <c r="U159" i="11" s="1"/>
  <c r="T149" i="11"/>
  <c r="T156" i="11"/>
  <c r="T159" i="11" s="1"/>
  <c r="AJ149" i="11"/>
  <c r="AJ156" i="11"/>
  <c r="I120" i="12"/>
  <c r="I127" i="12"/>
  <c r="I130" i="12" s="1"/>
  <c r="CU19" i="15"/>
  <c r="CU28" i="15" s="1"/>
  <c r="BN24" i="11"/>
  <c r="W127" i="12"/>
  <c r="W130" i="12" s="1"/>
  <c r="W120" i="12"/>
  <c r="BP138" i="11"/>
  <c r="BP109" i="12"/>
  <c r="CW119" i="15"/>
  <c r="R127" i="12"/>
  <c r="R130" i="12" s="1"/>
  <c r="R120" i="12"/>
  <c r="E156" i="11"/>
  <c r="E159" i="11" s="1"/>
  <c r="E149" i="11"/>
  <c r="AJ120" i="12"/>
  <c r="AJ127" i="12"/>
  <c r="C149" i="11"/>
  <c r="C156" i="11"/>
  <c r="C159" i="11" s="1"/>
  <c r="AV149" i="11"/>
  <c r="AV156" i="11"/>
  <c r="BE156" i="11"/>
  <c r="BE149" i="11"/>
  <c r="AD156" i="11"/>
  <c r="AD149" i="11"/>
  <c r="J127" i="12"/>
  <c r="J130" i="12" s="1"/>
  <c r="J120" i="12"/>
  <c r="AY120" i="12"/>
  <c r="AY127" i="12"/>
  <c r="AU156" i="11"/>
  <c r="AU159" i="11" s="1"/>
  <c r="AU149" i="11"/>
  <c r="AH156" i="11"/>
  <c r="AH159" i="11" s="1"/>
  <c r="AH149" i="11"/>
  <c r="BJ127" i="12"/>
  <c r="BJ130" i="12" s="1"/>
  <c r="BJ120" i="12"/>
  <c r="AF149" i="11"/>
  <c r="AF156" i="11"/>
  <c r="AF159" i="11" s="1"/>
  <c r="X127" i="12"/>
  <c r="X130" i="12" s="1"/>
  <c r="X120" i="12"/>
  <c r="J149" i="11"/>
  <c r="J156" i="11"/>
  <c r="J159" i="11" s="1"/>
  <c r="L127" i="12"/>
  <c r="L130" i="12" s="1"/>
  <c r="L120" i="12"/>
  <c r="N127" i="12"/>
  <c r="N130" i="12" s="1"/>
  <c r="N120" i="12"/>
  <c r="AC149" i="11"/>
  <c r="AC156" i="11"/>
  <c r="AC159" i="11" s="1"/>
  <c r="BA149" i="11"/>
  <c r="BA156" i="11"/>
  <c r="BA159" i="11" s="1"/>
  <c r="AX127" i="12"/>
  <c r="AX130" i="12" s="1"/>
  <c r="AX120" i="12"/>
  <c r="AA120" i="12"/>
  <c r="AA127" i="12"/>
  <c r="AA130" i="12" s="1"/>
  <c r="O156" i="11"/>
  <c r="O159" i="11" s="1"/>
  <c r="O149" i="11"/>
  <c r="BJ156" i="11"/>
  <c r="BJ159" i="11" s="1"/>
  <c r="BJ149" i="11"/>
  <c r="AQ149" i="11"/>
  <c r="AQ156" i="11"/>
  <c r="AQ159" i="11" s="1"/>
  <c r="AQ120" i="12"/>
  <c r="AQ127" i="12"/>
  <c r="AQ130" i="12" s="1"/>
  <c r="BL149" i="11"/>
  <c r="BL156" i="11"/>
  <c r="BL159" i="11" s="1"/>
  <c r="BC120" i="12"/>
  <c r="BC127" i="12"/>
  <c r="BC130" i="12" s="1"/>
  <c r="AA156" i="11"/>
  <c r="AA159" i="11" s="1"/>
  <c r="AA149" i="11"/>
  <c r="AT127" i="12"/>
  <c r="AT130" i="12" s="1"/>
  <c r="AT120" i="12"/>
  <c r="AH127" i="12"/>
  <c r="AH130" i="12" s="1"/>
  <c r="AH120" i="12"/>
  <c r="CW133" i="18"/>
  <c r="ER133" i="18" s="1"/>
  <c r="ER87" i="15"/>
  <c r="BU17" i="13"/>
  <c r="CV3" i="14"/>
  <c r="BO7" i="12"/>
  <c r="CV10" i="15"/>
  <c r="BN21" i="12"/>
  <c r="CU544" i="2"/>
  <c r="BV134" i="13" s="1"/>
  <c r="CU546" i="2"/>
  <c r="BV136" i="13" s="1"/>
  <c r="CU497" i="2"/>
  <c r="BV112" i="13" s="1"/>
  <c r="CU498" i="2"/>
  <c r="BV113" i="13" s="1"/>
  <c r="BV49" i="13"/>
  <c r="BO39" i="12" s="1"/>
  <c r="BV108" i="13"/>
  <c r="CU493" i="2"/>
  <c r="BV107" i="13" s="1"/>
  <c r="DA526" i="2"/>
  <c r="CZ513" i="2"/>
  <c r="CV409" i="2"/>
  <c r="CV436" i="2" s="1"/>
  <c r="CV408" i="2"/>
  <c r="CV404" i="2" s="1"/>
  <c r="CU428" i="2"/>
  <c r="BV44" i="13"/>
  <c r="BU43" i="13"/>
  <c r="CV420" i="2"/>
  <c r="CV426" i="2"/>
  <c r="CU142" i="2"/>
  <c r="CV142" i="2" s="1"/>
  <c r="CW142" i="2" s="1"/>
  <c r="CX142" i="2" s="1"/>
  <c r="CY142" i="2" s="1"/>
  <c r="CZ142" i="2" s="1"/>
  <c r="DA142" i="2" s="1"/>
  <c r="DB142" i="2" s="1"/>
  <c r="DC142" i="2" s="1"/>
  <c r="DD142" i="2" s="1"/>
  <c r="DE142" i="2" s="1"/>
  <c r="DF142" i="2" s="1"/>
  <c r="DG142" i="2" s="1"/>
  <c r="DH142" i="2" s="1"/>
  <c r="DI142" i="2" s="1"/>
  <c r="DJ142" i="2" s="1"/>
  <c r="DK142" i="2" s="1"/>
  <c r="DL142" i="2" s="1"/>
  <c r="DM142" i="2" s="1"/>
  <c r="DN142" i="2" s="1"/>
  <c r="DO142" i="2" s="1"/>
  <c r="DP142" i="2" s="1"/>
  <c r="DQ142" i="2" s="1"/>
  <c r="DR142" i="2" s="1"/>
  <c r="CU141" i="2"/>
  <c r="CV141" i="2" s="1"/>
  <c r="CW141" i="2" s="1"/>
  <c r="CX141" i="2" s="1"/>
  <c r="CY141" i="2" s="1"/>
  <c r="CZ141" i="2" s="1"/>
  <c r="DA141" i="2" s="1"/>
  <c r="DB141" i="2" s="1"/>
  <c r="DC141" i="2" s="1"/>
  <c r="DD141" i="2" s="1"/>
  <c r="DE141" i="2" s="1"/>
  <c r="DF141" i="2" s="1"/>
  <c r="DG141" i="2" s="1"/>
  <c r="DH141" i="2" s="1"/>
  <c r="DI141" i="2" s="1"/>
  <c r="DJ141" i="2" s="1"/>
  <c r="DK141" i="2" s="1"/>
  <c r="DL141" i="2" s="1"/>
  <c r="DM141" i="2" s="1"/>
  <c r="DN141" i="2" s="1"/>
  <c r="DO141" i="2" s="1"/>
  <c r="DP141" i="2" s="1"/>
  <c r="DQ141" i="2" s="1"/>
  <c r="DR141" i="2" s="1"/>
  <c r="BV30" i="13"/>
  <c r="BO15" i="12"/>
  <c r="BW15" i="13"/>
  <c r="DR15" i="13" s="1"/>
  <c r="CV392" i="2"/>
  <c r="BV22" i="13"/>
  <c r="CU399" i="2"/>
  <c r="BW34" i="13"/>
  <c r="DR34" i="13" s="1"/>
  <c r="BU18" i="13"/>
  <c r="CT398" i="2"/>
  <c r="CT423" i="2"/>
  <c r="CT422" i="2" s="1"/>
  <c r="CT417" i="2"/>
  <c r="CT439" i="2" s="1"/>
  <c r="BW40" i="13"/>
  <c r="DR40" i="13" s="1"/>
  <c r="BW14" i="13"/>
  <c r="DR14" i="13" s="1"/>
  <c r="CV391" i="2"/>
  <c r="BW10" i="13" s="1"/>
  <c r="DR10" i="13" s="1"/>
  <c r="BO14" i="12"/>
  <c r="BV25" i="13"/>
  <c r="BV29" i="13"/>
  <c r="CU9" i="14"/>
  <c r="CU48" i="14" s="1"/>
  <c r="BV23" i="13"/>
  <c r="BW7" i="13"/>
  <c r="CW377" i="2"/>
  <c r="CW396" i="2"/>
  <c r="CW395" i="2"/>
  <c r="CV376" i="2"/>
  <c r="BW35" i="13"/>
  <c r="DR35" i="13" s="1"/>
  <c r="BW41" i="13"/>
  <c r="DR41" i="13" s="1"/>
  <c r="CW379" i="2"/>
  <c r="CW401" i="2" s="1"/>
  <c r="BX20" i="13" s="1"/>
  <c r="CW378" i="2"/>
  <c r="BX99" i="13"/>
  <c r="CX479" i="2"/>
  <c r="CX483" i="2" s="1"/>
  <c r="CV6" i="14"/>
  <c r="CV57" i="18" s="1"/>
  <c r="CV330" i="2"/>
  <c r="CW6" i="14" s="1"/>
  <c r="CW57" i="18" s="1"/>
  <c r="CV361" i="2"/>
  <c r="CV357" i="2"/>
  <c r="CW367" i="2"/>
  <c r="CW45" i="14"/>
  <c r="CX343" i="2"/>
  <c r="CX27" i="14"/>
  <c r="CW342" i="2"/>
  <c r="CX345" i="2"/>
  <c r="CX29" i="14"/>
  <c r="CU331" i="2"/>
  <c r="CV5" i="14"/>
  <c r="CV49" i="18" s="1"/>
  <c r="CX344" i="2"/>
  <c r="CX28" i="14"/>
  <c r="CX10" i="14"/>
  <c r="CW333" i="2"/>
  <c r="CW26" i="14"/>
  <c r="CW148" i="18" s="1"/>
  <c r="ER148" i="18" s="1"/>
  <c r="CO37" i="7"/>
  <c r="CN37" i="7"/>
  <c r="EI37" i="7" s="1"/>
  <c r="CV347" i="2"/>
  <c r="CU7" i="14"/>
  <c r="CX312" i="2"/>
  <c r="CO147" i="7"/>
  <c r="CX267" i="2"/>
  <c r="CV252" i="2"/>
  <c r="EM33" i="7" l="1"/>
  <c r="EZ28" i="7"/>
  <c r="EZ33" i="7" s="1"/>
  <c r="EL45" i="7"/>
  <c r="EN45" i="7"/>
  <c r="DT141" i="11"/>
  <c r="DT143" i="11"/>
  <c r="DT112" i="12"/>
  <c r="DT114" i="12"/>
  <c r="CU48" i="15"/>
  <c r="CW288" i="2"/>
  <c r="CU457" i="2"/>
  <c r="CU458" i="2"/>
  <c r="DY123" i="15"/>
  <c r="DZ185" i="18" s="1"/>
  <c r="DZ184" i="18" s="1"/>
  <c r="CX53" i="13"/>
  <c r="EA53" i="13" s="1"/>
  <c r="CX52" i="13"/>
  <c r="EA52" i="13" s="1"/>
  <c r="DY184" i="18"/>
  <c r="DY191" i="18" s="1"/>
  <c r="CR143" i="11"/>
  <c r="CR114" i="12"/>
  <c r="CW380" i="2"/>
  <c r="CW426" i="2" s="1"/>
  <c r="DY552" i="2"/>
  <c r="DY537" i="2"/>
  <c r="DS207" i="2"/>
  <c r="DK28" i="7"/>
  <c r="DV387" i="2"/>
  <c r="DZ313" i="2"/>
  <c r="DQ150" i="7"/>
  <c r="DZ125" i="15" s="1"/>
  <c r="DZ123" i="15" s="1"/>
  <c r="DZ412" i="2"/>
  <c r="DY411" i="2"/>
  <c r="DW89" i="2"/>
  <c r="DW76" i="3"/>
  <c r="DS141" i="2"/>
  <c r="DS110" i="3"/>
  <c r="DT181" i="2"/>
  <c r="DU193" i="2"/>
  <c r="DS142" i="2"/>
  <c r="DS111" i="3"/>
  <c r="DW112" i="2"/>
  <c r="DW96" i="3"/>
  <c r="DW111" i="2"/>
  <c r="DW95" i="3"/>
  <c r="BJ176" i="13"/>
  <c r="DN175" i="13"/>
  <c r="DN176" i="13" s="1"/>
  <c r="BO176" i="13"/>
  <c r="DP175" i="13"/>
  <c r="DP176" i="13" s="1"/>
  <c r="BE157" i="11"/>
  <c r="DH157" i="11" s="1"/>
  <c r="DH147" i="11"/>
  <c r="BI157" i="11"/>
  <c r="DI157" i="11" s="1"/>
  <c r="DI147" i="11"/>
  <c r="AG157" i="11"/>
  <c r="CZ157" i="11" s="1"/>
  <c r="CZ147" i="11"/>
  <c r="DZ132" i="11"/>
  <c r="BF176" i="13"/>
  <c r="DM175" i="13"/>
  <c r="DM176" i="13" s="1"/>
  <c r="DJ175" i="13"/>
  <c r="DJ176" i="13" s="1"/>
  <c r="AW176" i="13"/>
  <c r="BK157" i="11"/>
  <c r="DJ157" i="11" s="1"/>
  <c r="DJ147" i="11"/>
  <c r="BR176" i="13"/>
  <c r="DQ175" i="13"/>
  <c r="DQ176" i="13" s="1"/>
  <c r="AZ157" i="11"/>
  <c r="DF157" i="11" s="1"/>
  <c r="DF147" i="11"/>
  <c r="DX132" i="11"/>
  <c r="AP176" i="13"/>
  <c r="DG175" i="13"/>
  <c r="DG176" i="13" s="1"/>
  <c r="DO168" i="13"/>
  <c r="EG167" i="13"/>
  <c r="EG168" i="13" s="1"/>
  <c r="BN176" i="13"/>
  <c r="DO175" i="13"/>
  <c r="AK176" i="13"/>
  <c r="DF175" i="13"/>
  <c r="AN157" i="11"/>
  <c r="DB157" i="11" s="1"/>
  <c r="DB147" i="11"/>
  <c r="AD157" i="11"/>
  <c r="CY157" i="11" s="1"/>
  <c r="CY147" i="11"/>
  <c r="AU176" i="13"/>
  <c r="DI175" i="13"/>
  <c r="DI176" i="13" s="1"/>
  <c r="BD176" i="13"/>
  <c r="DL175" i="13"/>
  <c r="DL176" i="13" s="1"/>
  <c r="DK168" i="13"/>
  <c r="EF167" i="13"/>
  <c r="EF168" i="13" s="1"/>
  <c r="BB176" i="13"/>
  <c r="DK175" i="13"/>
  <c r="AQ176" i="13"/>
  <c r="DH175" i="13"/>
  <c r="DH176" i="13" s="1"/>
  <c r="EE167" i="13"/>
  <c r="EE168" i="13" s="1"/>
  <c r="DH168" i="13"/>
  <c r="EI45" i="7"/>
  <c r="EM45" i="7"/>
  <c r="BW3" i="13"/>
  <c r="DR7" i="13"/>
  <c r="ER57" i="18"/>
  <c r="BP30" i="11"/>
  <c r="DK30" i="11" s="1"/>
  <c r="DK5" i="11"/>
  <c r="AP157" i="11"/>
  <c r="DC157" i="11" s="1"/>
  <c r="DC147" i="11"/>
  <c r="BE130" i="12"/>
  <c r="DH127" i="12"/>
  <c r="DH130" i="12" s="1"/>
  <c r="AV157" i="11"/>
  <c r="DE157" i="11" s="1"/>
  <c r="DE147" i="11"/>
  <c r="DK109" i="12"/>
  <c r="DX117" i="12"/>
  <c r="DX120" i="12" s="1"/>
  <c r="CY120" i="12"/>
  <c r="DY117" i="12"/>
  <c r="DY120" i="12" s="1"/>
  <c r="ER45" i="14"/>
  <c r="BQ18" i="11"/>
  <c r="AM130" i="12"/>
  <c r="DB127" i="12"/>
  <c r="DB130" i="12" s="1"/>
  <c r="AV130" i="12"/>
  <c r="DE127" i="12"/>
  <c r="DE130" i="12" s="1"/>
  <c r="DZ117" i="12"/>
  <c r="DZ120" i="12" s="1"/>
  <c r="DG120" i="12"/>
  <c r="BB157" i="11"/>
  <c r="DG157" i="11" s="1"/>
  <c r="DG147" i="11"/>
  <c r="BH130" i="12"/>
  <c r="DI127" i="12"/>
  <c r="DI130" i="12" s="1"/>
  <c r="AY130" i="12"/>
  <c r="DF127" i="12"/>
  <c r="DF130" i="12" s="1"/>
  <c r="AP130" i="12"/>
  <c r="DC127" i="12"/>
  <c r="BN20" i="11"/>
  <c r="BN33" i="11" s="1"/>
  <c r="AS130" i="12"/>
  <c r="DD127" i="12"/>
  <c r="DD130" i="12" s="1"/>
  <c r="EK45" i="7"/>
  <c r="ER13" i="18"/>
  <c r="BK130" i="12"/>
  <c r="DJ127" i="12"/>
  <c r="DJ130" i="12" s="1"/>
  <c r="AD130" i="12"/>
  <c r="CY127" i="12"/>
  <c r="AS157" i="11"/>
  <c r="DD157" i="11" s="1"/>
  <c r="DD147" i="11"/>
  <c r="AJ130" i="12"/>
  <c r="DA127" i="12"/>
  <c r="DA130" i="12" s="1"/>
  <c r="BB130" i="12"/>
  <c r="DG127" i="12"/>
  <c r="AG130" i="12"/>
  <c r="CZ127" i="12"/>
  <c r="CZ130" i="12" s="1"/>
  <c r="ER6" i="14"/>
  <c r="DY132" i="11"/>
  <c r="BP31" i="11"/>
  <c r="DK31" i="11" s="1"/>
  <c r="DK6" i="11"/>
  <c r="AJ157" i="11"/>
  <c r="DA157" i="11" s="1"/>
  <c r="DA147" i="11"/>
  <c r="BQ78" i="12"/>
  <c r="EO45" i="7"/>
  <c r="DY146" i="11"/>
  <c r="DY149" i="11" s="1"/>
  <c r="DC149" i="11"/>
  <c r="AJ159" i="11"/>
  <c r="DA156" i="11"/>
  <c r="DA159" i="11" s="1"/>
  <c r="AD159" i="11"/>
  <c r="CY156" i="11"/>
  <c r="BB159" i="11"/>
  <c r="DG156" i="11"/>
  <c r="AP159" i="11"/>
  <c r="DC156" i="11"/>
  <c r="AY159" i="11"/>
  <c r="DF156" i="11"/>
  <c r="DF159" i="11" s="1"/>
  <c r="DK138" i="11"/>
  <c r="BH159" i="11"/>
  <c r="DI156" i="11"/>
  <c r="DI159" i="11" s="1"/>
  <c r="AM159" i="11"/>
  <c r="DB156" i="11"/>
  <c r="DB159" i="11" s="1"/>
  <c r="AG159" i="11"/>
  <c r="CZ156" i="11"/>
  <c r="CZ159" i="11" s="1"/>
  <c r="BE159" i="11"/>
  <c r="DH156" i="11"/>
  <c r="DH159" i="11" s="1"/>
  <c r="DX146" i="11"/>
  <c r="DX149" i="11" s="1"/>
  <c r="AV159" i="11"/>
  <c r="DE156" i="11"/>
  <c r="DE159" i="11" s="1"/>
  <c r="BK159" i="11"/>
  <c r="DJ156" i="11"/>
  <c r="DJ159" i="11" s="1"/>
  <c r="AS159" i="11"/>
  <c r="DD156" i="11"/>
  <c r="DD159" i="11" s="1"/>
  <c r="DZ146" i="11"/>
  <c r="DZ149" i="11" s="1"/>
  <c r="DG149" i="11"/>
  <c r="ER26" i="14"/>
  <c r="CX133" i="18"/>
  <c r="CU11" i="14"/>
  <c r="CU66" i="18"/>
  <c r="CP111" i="7"/>
  <c r="CY87" i="15" s="1"/>
  <c r="CY133" i="18" s="1"/>
  <c r="CP120" i="7"/>
  <c r="BR78" i="12" s="1"/>
  <c r="CV6" i="18"/>
  <c r="CV37" i="18"/>
  <c r="BO37" i="11"/>
  <c r="CV19" i="15"/>
  <c r="CV28" i="15" s="1"/>
  <c r="CV48" i="15" s="1"/>
  <c r="BO24" i="11"/>
  <c r="CU15" i="15"/>
  <c r="BQ138" i="11"/>
  <c r="CX119" i="15"/>
  <c r="BQ109" i="12"/>
  <c r="CX15" i="14"/>
  <c r="CX81" i="18"/>
  <c r="CX13" i="18"/>
  <c r="ER119" i="15"/>
  <c r="BO21" i="12"/>
  <c r="BP4" i="12"/>
  <c r="DK4" i="12" s="1"/>
  <c r="BV17" i="13"/>
  <c r="BO20" i="11" s="1"/>
  <c r="CW6" i="15"/>
  <c r="ER6" i="15" s="1"/>
  <c r="BW51" i="13"/>
  <c r="DR51" i="13" s="1"/>
  <c r="CV495" i="2"/>
  <c r="BW109" i="13" s="1"/>
  <c r="DR109" i="13" s="1"/>
  <c r="CV405" i="2"/>
  <c r="BW23" i="13" s="1"/>
  <c r="DR23" i="13" s="1"/>
  <c r="BW27" i="13"/>
  <c r="DB526" i="2"/>
  <c r="DA513" i="2"/>
  <c r="BW26" i="13"/>
  <c r="CV407" i="2"/>
  <c r="CV435" i="2"/>
  <c r="CW409" i="2"/>
  <c r="CW436" i="2" s="1"/>
  <c r="BU70" i="13"/>
  <c r="CT456" i="2"/>
  <c r="CT473" i="2"/>
  <c r="CT511" i="2" s="1"/>
  <c r="CT474" i="2"/>
  <c r="CT512" i="2" s="1"/>
  <c r="BU71" i="13"/>
  <c r="CW408" i="2"/>
  <c r="CW435" i="2" s="1"/>
  <c r="CW494" i="2" s="1"/>
  <c r="BX108" i="13" s="1"/>
  <c r="BW11" i="13"/>
  <c r="DR11" i="13" s="1"/>
  <c r="BV43" i="13"/>
  <c r="CU37" i="14"/>
  <c r="CU23" i="14"/>
  <c r="CU40" i="14"/>
  <c r="CU31" i="14"/>
  <c r="BW36" i="13"/>
  <c r="DR36" i="13" s="1"/>
  <c r="BW13" i="13"/>
  <c r="CT454" i="2"/>
  <c r="CT453" i="2"/>
  <c r="CT452" i="2"/>
  <c r="CT468" i="2" s="1"/>
  <c r="CT506" i="2" s="1"/>
  <c r="CU14" i="14"/>
  <c r="BN11" i="12"/>
  <c r="CU398" i="2"/>
  <c r="BV18" i="13"/>
  <c r="CU423" i="2"/>
  <c r="CU422" i="2" s="1"/>
  <c r="CU417" i="2"/>
  <c r="CU439" i="2" s="1"/>
  <c r="BU33" i="13"/>
  <c r="CT416" i="2"/>
  <c r="CT444" i="2" s="1"/>
  <c r="CT445" i="2" s="1"/>
  <c r="BU39" i="13"/>
  <c r="CU18" i="14"/>
  <c r="CU20" i="14"/>
  <c r="BW22" i="13"/>
  <c r="DR22" i="13" s="1"/>
  <c r="BX4" i="13"/>
  <c r="CW391" i="2"/>
  <c r="BX10" i="13" s="1"/>
  <c r="BX14" i="13"/>
  <c r="CW424" i="2"/>
  <c r="CW418" i="2"/>
  <c r="CW425" i="2"/>
  <c r="CW419" i="2"/>
  <c r="CW392" i="2"/>
  <c r="BX15" i="13"/>
  <c r="CX482" i="2"/>
  <c r="CX394" i="2" s="1"/>
  <c r="CX377" i="2" s="1"/>
  <c r="BY95" i="13"/>
  <c r="BX98" i="13"/>
  <c r="BX5" i="13"/>
  <c r="CV329" i="2"/>
  <c r="BX6" i="13"/>
  <c r="CV9" i="14"/>
  <c r="CV48" i="14" s="1"/>
  <c r="CW330" i="2"/>
  <c r="CX6" i="14" s="1"/>
  <c r="CW357" i="2"/>
  <c r="CW361" i="2"/>
  <c r="CP37" i="7"/>
  <c r="CV7" i="14"/>
  <c r="CY345" i="2"/>
  <c r="CY29" i="14"/>
  <c r="CW347" i="2"/>
  <c r="CY10" i="14"/>
  <c r="CX333" i="2"/>
  <c r="CX26" i="14"/>
  <c r="CY27" i="14"/>
  <c r="CX342" i="2"/>
  <c r="CY343" i="2"/>
  <c r="CY344" i="2"/>
  <c r="CY28" i="14"/>
  <c r="CX367" i="2"/>
  <c r="CX45" i="14"/>
  <c r="CY312" i="2"/>
  <c r="CP147" i="7"/>
  <c r="CY267" i="2"/>
  <c r="CW252" i="2"/>
  <c r="CR141" i="11" l="1"/>
  <c r="CR112" i="12"/>
  <c r="DK33" i="7"/>
  <c r="DK45" i="7"/>
  <c r="EQ28" i="7"/>
  <c r="CX288" i="2"/>
  <c r="CY52" i="13"/>
  <c r="CY53" i="13"/>
  <c r="EA185" i="18"/>
  <c r="EA184" i="18" s="1"/>
  <c r="FB184" i="18" s="1"/>
  <c r="DZ191" i="18"/>
  <c r="CS114" i="12"/>
  <c r="CS112" i="12" s="1"/>
  <c r="CS143" i="11"/>
  <c r="CS141" i="11" s="1"/>
  <c r="DZ552" i="2"/>
  <c r="DZ537" i="2"/>
  <c r="EA313" i="2"/>
  <c r="DR150" i="7"/>
  <c r="EA125" i="15" s="1"/>
  <c r="EA123" i="15" s="1"/>
  <c r="FB123" i="15" s="1"/>
  <c r="DT207" i="2"/>
  <c r="DL28" i="7"/>
  <c r="DW387" i="2"/>
  <c r="EA412" i="2"/>
  <c r="DZ411" i="2"/>
  <c r="DT142" i="2"/>
  <c r="DT111" i="3"/>
  <c r="DU181" i="2"/>
  <c r="DV193" i="2"/>
  <c r="DS109" i="3"/>
  <c r="DT141" i="2"/>
  <c r="DT110" i="3"/>
  <c r="DX111" i="2"/>
  <c r="DX95" i="3"/>
  <c r="DX89" i="2"/>
  <c r="DX76" i="3"/>
  <c r="DX112" i="2"/>
  <c r="DX96" i="3"/>
  <c r="EY45" i="7"/>
  <c r="DZ157" i="11"/>
  <c r="DZ147" i="11"/>
  <c r="DX147" i="11"/>
  <c r="DX157" i="11"/>
  <c r="DO176" i="13"/>
  <c r="EG175" i="13"/>
  <c r="EG176" i="13" s="1"/>
  <c r="DF176" i="13"/>
  <c r="EE175" i="13"/>
  <c r="EE176" i="13" s="1"/>
  <c r="DK176" i="13"/>
  <c r="EF175" i="13"/>
  <c r="EF176" i="13" s="1"/>
  <c r="EZ45" i="7"/>
  <c r="DY147" i="11"/>
  <c r="DY157" i="11"/>
  <c r="DX127" i="12"/>
  <c r="DX130" i="12" s="1"/>
  <c r="CY130" i="12"/>
  <c r="CU74" i="18"/>
  <c r="BP8" i="11"/>
  <c r="DK8" i="11" s="1"/>
  <c r="DR3" i="13"/>
  <c r="BQ6" i="11"/>
  <c r="BU87" i="13"/>
  <c r="CX44" i="18"/>
  <c r="ER43" i="14"/>
  <c r="DZ127" i="12"/>
  <c r="DZ130" i="12" s="1"/>
  <c r="DG130" i="12"/>
  <c r="BP12" i="11"/>
  <c r="DK12" i="11" s="1"/>
  <c r="DR13" i="13"/>
  <c r="BP15" i="12"/>
  <c r="DK15" i="12" s="1"/>
  <c r="DR27" i="13"/>
  <c r="BQ5" i="11"/>
  <c r="BW29" i="13"/>
  <c r="DR26" i="13"/>
  <c r="DY127" i="12"/>
  <c r="DY130" i="12" s="1"/>
  <c r="DC130" i="12"/>
  <c r="DZ156" i="11"/>
  <c r="DZ159" i="11" s="1"/>
  <c r="DG159" i="11"/>
  <c r="DX156" i="11"/>
  <c r="DX159" i="11" s="1"/>
  <c r="CY159" i="11"/>
  <c r="DY156" i="11"/>
  <c r="DY159" i="11" s="1"/>
  <c r="DC159" i="11"/>
  <c r="CX148" i="18"/>
  <c r="CX57" i="18"/>
  <c r="BW17" i="13"/>
  <c r="CV23" i="14"/>
  <c r="CV113" i="18" s="1"/>
  <c r="CV139" i="18" s="1"/>
  <c r="CV66" i="18"/>
  <c r="CV74" i="18" s="1"/>
  <c r="CQ111" i="7"/>
  <c r="CZ87" i="15" s="1"/>
  <c r="CZ133" i="18" s="1"/>
  <c r="ES133" i="18" s="1"/>
  <c r="CQ120" i="7"/>
  <c r="CV15" i="15"/>
  <c r="CV24" i="15" s="1"/>
  <c r="CU21" i="14"/>
  <c r="CU104" i="18"/>
  <c r="BR138" i="11"/>
  <c r="CY119" i="15"/>
  <c r="BR109" i="12"/>
  <c r="CU24" i="14"/>
  <c r="CU113" i="18"/>
  <c r="BO33" i="11"/>
  <c r="CU24" i="15"/>
  <c r="CY15" i="14"/>
  <c r="CY81" i="18"/>
  <c r="CY13" i="18"/>
  <c r="CY44" i="18" s="1"/>
  <c r="CV331" i="2"/>
  <c r="CV327" i="2"/>
  <c r="BP7" i="12"/>
  <c r="DK7" i="12" s="1"/>
  <c r="CW10" i="15"/>
  <c r="ER10" i="15" s="1"/>
  <c r="BP14" i="12"/>
  <c r="DK14" i="12" s="1"/>
  <c r="BX51" i="13"/>
  <c r="CW495" i="2"/>
  <c r="BW50" i="13"/>
  <c r="CV494" i="2"/>
  <c r="BW25" i="13"/>
  <c r="DR25" i="13" s="1"/>
  <c r="BW30" i="13"/>
  <c r="CV399" i="2"/>
  <c r="BW18" i="13" s="1"/>
  <c r="DR18" i="13" s="1"/>
  <c r="CV429" i="2"/>
  <c r="CV434" i="2"/>
  <c r="CT510" i="2"/>
  <c r="DC526" i="2"/>
  <c r="DB513" i="2"/>
  <c r="CT490" i="2"/>
  <c r="CU33" i="14"/>
  <c r="CW434" i="2"/>
  <c r="BX50" i="13"/>
  <c r="CU474" i="2"/>
  <c r="CU512" i="2" s="1"/>
  <c r="BV71" i="13"/>
  <c r="BV87" i="13" s="1"/>
  <c r="BU69" i="13"/>
  <c r="BU86" i="13"/>
  <c r="BV70" i="13"/>
  <c r="CU456" i="2"/>
  <c r="CU473" i="2"/>
  <c r="CU511" i="2" s="1"/>
  <c r="BX11" i="13"/>
  <c r="CW376" i="2"/>
  <c r="CW420" i="2"/>
  <c r="BX13" i="13"/>
  <c r="CV40" i="14"/>
  <c r="CV18" i="14"/>
  <c r="CV37" i="14"/>
  <c r="CX395" i="2"/>
  <c r="BX40" i="13"/>
  <c r="BU38" i="13"/>
  <c r="CX379" i="2"/>
  <c r="BX35" i="13"/>
  <c r="CT451" i="2"/>
  <c r="BU65" i="13"/>
  <c r="BX41" i="13"/>
  <c r="BV33" i="13"/>
  <c r="CU416" i="2"/>
  <c r="CU444" i="2" s="1"/>
  <c r="CU445" i="2" s="1"/>
  <c r="BU66" i="13"/>
  <c r="CT469" i="2"/>
  <c r="CT507" i="2" s="1"/>
  <c r="CT491" i="2" s="1"/>
  <c r="BU105" i="13" s="1"/>
  <c r="CT446" i="2"/>
  <c r="CT448" i="2"/>
  <c r="CT447" i="2"/>
  <c r="BU54" i="13"/>
  <c r="BU32" i="13"/>
  <c r="BV39" i="13"/>
  <c r="CU454" i="2"/>
  <c r="BU67" i="13"/>
  <c r="CT470" i="2"/>
  <c r="CT508" i="2" s="1"/>
  <c r="CT492" i="2" s="1"/>
  <c r="BU106" i="13" s="1"/>
  <c r="BX34" i="13"/>
  <c r="BO11" i="12"/>
  <c r="BN18" i="12"/>
  <c r="BY4" i="13"/>
  <c r="CW407" i="2"/>
  <c r="BX26" i="13"/>
  <c r="CW404" i="2"/>
  <c r="CX396" i="2"/>
  <c r="BX7" i="13"/>
  <c r="BX27" i="13"/>
  <c r="CW405" i="2"/>
  <c r="CW429" i="2" s="1"/>
  <c r="BY99" i="13"/>
  <c r="CY479" i="2"/>
  <c r="CY483" i="2" s="1"/>
  <c r="CV14" i="14"/>
  <c r="CV11" i="14"/>
  <c r="CX378" i="2"/>
  <c r="CV20" i="14"/>
  <c r="CW5" i="14"/>
  <c r="ER5" i="14" s="1"/>
  <c r="ER7" i="14" s="1"/>
  <c r="CV31" i="14"/>
  <c r="CW329" i="2"/>
  <c r="CW331" i="2" s="1"/>
  <c r="CX330" i="2"/>
  <c r="CY6" i="14" s="1"/>
  <c r="CY57" i="18" s="1"/>
  <c r="CX357" i="2"/>
  <c r="CX361" i="2"/>
  <c r="CQ37" i="7"/>
  <c r="EJ37" i="7" s="1"/>
  <c r="CX347" i="2"/>
  <c r="CY26" i="14"/>
  <c r="CY148" i="18" s="1"/>
  <c r="CZ345" i="2"/>
  <c r="CZ29" i="14"/>
  <c r="ES29" i="14" s="1"/>
  <c r="CY367" i="2"/>
  <c r="CY45" i="14"/>
  <c r="CZ344" i="2"/>
  <c r="CZ28" i="14"/>
  <c r="CZ10" i="14"/>
  <c r="ES10" i="14" s="1"/>
  <c r="ES15" i="14" s="1"/>
  <c r="CY333" i="2"/>
  <c r="CZ27" i="14"/>
  <c r="ES27" i="14" s="1"/>
  <c r="CZ343" i="2"/>
  <c r="CY342" i="2"/>
  <c r="CZ312" i="2"/>
  <c r="CQ147" i="7"/>
  <c r="EJ147" i="7" s="1"/>
  <c r="CZ267" i="2"/>
  <c r="CX252" i="2"/>
  <c r="EQ33" i="7" l="1"/>
  <c r="ES28" i="14"/>
  <c r="DL33" i="7"/>
  <c r="DL45" i="7"/>
  <c r="CY288" i="2"/>
  <c r="FB125" i="15"/>
  <c r="BW44" i="13"/>
  <c r="DR44" i="13" s="1"/>
  <c r="CZ53" i="13"/>
  <c r="CZ52" i="13"/>
  <c r="FB185" i="18"/>
  <c r="FB96" i="3"/>
  <c r="FB76" i="3"/>
  <c r="FB95" i="3"/>
  <c r="EA191" i="18"/>
  <c r="FB191" i="18" s="1"/>
  <c r="EB185" i="18"/>
  <c r="CT114" i="12"/>
  <c r="CT143" i="11"/>
  <c r="CX380" i="2"/>
  <c r="EA552" i="2"/>
  <c r="EA537" i="2"/>
  <c r="DT109" i="3"/>
  <c r="DU207" i="2"/>
  <c r="DM28" i="7"/>
  <c r="DX387" i="2"/>
  <c r="ES150" i="7"/>
  <c r="EB313" i="2"/>
  <c r="DS150" i="7"/>
  <c r="EB125" i="15" s="1"/>
  <c r="EB412" i="2"/>
  <c r="EA411" i="2"/>
  <c r="DY111" i="2"/>
  <c r="DY95" i="3"/>
  <c r="DU141" i="2"/>
  <c r="DU110" i="3"/>
  <c r="FA110" i="3" s="1"/>
  <c r="DV181" i="2"/>
  <c r="DW193" i="2"/>
  <c r="DY112" i="2"/>
  <c r="DY96" i="3"/>
  <c r="DU142" i="2"/>
  <c r="DU111" i="3"/>
  <c r="FA111" i="3" s="1"/>
  <c r="DY89" i="2"/>
  <c r="DY76" i="3"/>
  <c r="BX3" i="13"/>
  <c r="BU85" i="13"/>
  <c r="BU83" i="13"/>
  <c r="BQ12" i="11"/>
  <c r="BW49" i="13"/>
  <c r="DR50" i="13"/>
  <c r="BQ14" i="12"/>
  <c r="BU82" i="13"/>
  <c r="BP20" i="11"/>
  <c r="DR17" i="13"/>
  <c r="DR29" i="13"/>
  <c r="BQ31" i="11"/>
  <c r="DR30" i="13"/>
  <c r="CU139" i="18"/>
  <c r="BU81" i="13"/>
  <c r="BQ30" i="11"/>
  <c r="BS78" i="12"/>
  <c r="EJ120" i="7"/>
  <c r="CR111" i="7"/>
  <c r="DA87" i="15" s="1"/>
  <c r="CR120" i="7"/>
  <c r="CV33" i="14"/>
  <c r="CV169" i="18" s="1"/>
  <c r="CW15" i="15"/>
  <c r="CU34" i="14"/>
  <c r="CU169" i="18"/>
  <c r="CV21" i="14"/>
  <c r="CV104" i="18"/>
  <c r="BS138" i="11"/>
  <c r="CZ119" i="15"/>
  <c r="BS109" i="12"/>
  <c r="BN70" i="11"/>
  <c r="BN65" i="11"/>
  <c r="BN69" i="11"/>
  <c r="CZ15" i="14"/>
  <c r="CZ81" i="18"/>
  <c r="ES81" i="18" s="1"/>
  <c r="CZ13" i="18"/>
  <c r="CZ44" i="18" s="1"/>
  <c r="ES44" i="18" s="1"/>
  <c r="CW19" i="15"/>
  <c r="ER19" i="15" s="1"/>
  <c r="BP24" i="11"/>
  <c r="DK24" i="11" s="1"/>
  <c r="CW7" i="14"/>
  <c r="CW49" i="18"/>
  <c r="ER49" i="18" s="1"/>
  <c r="CV24" i="14"/>
  <c r="ES87" i="15"/>
  <c r="BQ4" i="12"/>
  <c r="CW327" i="2"/>
  <c r="CW3" i="14"/>
  <c r="ER3" i="14" s="1"/>
  <c r="CX6" i="15"/>
  <c r="BP21" i="12"/>
  <c r="DK21" i="12" s="1"/>
  <c r="BQ7" i="12"/>
  <c r="CX10" i="15"/>
  <c r="CW544" i="2"/>
  <c r="BX134" i="13" s="1"/>
  <c r="CW546" i="2"/>
  <c r="BX136" i="13" s="1"/>
  <c r="CV544" i="2"/>
  <c r="BW134" i="13" s="1"/>
  <c r="DR134" i="13" s="1"/>
  <c r="CV546" i="2"/>
  <c r="BW136" i="13" s="1"/>
  <c r="DR136" i="13" s="1"/>
  <c r="CV497" i="2"/>
  <c r="BW112" i="13" s="1"/>
  <c r="CV498" i="2"/>
  <c r="BW113" i="13" s="1"/>
  <c r="CW497" i="2"/>
  <c r="BX112" i="13" s="1"/>
  <c r="CW498" i="2"/>
  <c r="BX113" i="13" s="1"/>
  <c r="CV428" i="2"/>
  <c r="BX49" i="13"/>
  <c r="BQ39" i="12" s="1"/>
  <c r="CV493" i="2"/>
  <c r="BW107" i="13" s="1"/>
  <c r="BW108" i="13"/>
  <c r="DR108" i="13" s="1"/>
  <c r="CW493" i="2"/>
  <c r="BX107" i="13" s="1"/>
  <c r="BX109" i="13"/>
  <c r="CV423" i="2"/>
  <c r="CV422" i="2" s="1"/>
  <c r="CV454" i="2" s="1"/>
  <c r="CV417" i="2"/>
  <c r="CV439" i="2" s="1"/>
  <c r="CV398" i="2"/>
  <c r="DD526" i="2"/>
  <c r="DC513" i="2"/>
  <c r="CU510" i="2"/>
  <c r="CU42" i="14"/>
  <c r="BU104" i="13"/>
  <c r="CT489" i="2"/>
  <c r="CT505" i="2"/>
  <c r="CX408" i="2"/>
  <c r="BY26" i="13" s="1"/>
  <c r="BR14" i="12" s="1"/>
  <c r="BV69" i="13"/>
  <c r="BV86" i="13"/>
  <c r="BV85" i="13" s="1"/>
  <c r="CX409" i="2"/>
  <c r="CX405" i="2" s="1"/>
  <c r="BX44" i="13"/>
  <c r="CW428" i="2"/>
  <c r="BY6" i="13"/>
  <c r="CX401" i="2"/>
  <c r="BY20" i="13" s="1"/>
  <c r="CU452" i="2"/>
  <c r="CU468" i="2" s="1"/>
  <c r="CU506" i="2" s="1"/>
  <c r="CU490" i="2" s="1"/>
  <c r="CX391" i="2"/>
  <c r="BY10" i="13" s="1"/>
  <c r="BY14" i="13"/>
  <c r="BV67" i="13"/>
  <c r="BV83" i="13" s="1"/>
  <c r="BV77" i="13" s="1"/>
  <c r="BO53" i="11" s="1"/>
  <c r="CU470" i="2"/>
  <c r="CU508" i="2" s="1"/>
  <c r="CU492" i="2" s="1"/>
  <c r="BV106" i="13" s="1"/>
  <c r="CU448" i="2"/>
  <c r="BU60" i="13"/>
  <c r="CT465" i="2"/>
  <c r="BO18" i="12"/>
  <c r="CW9" i="14"/>
  <c r="CU453" i="2"/>
  <c r="BV38" i="13"/>
  <c r="BX30" i="13"/>
  <c r="BQ15" i="12"/>
  <c r="BP11" i="12"/>
  <c r="DK11" i="12" s="1"/>
  <c r="BX36" i="13"/>
  <c r="CU447" i="2"/>
  <c r="BU59" i="13"/>
  <c r="CT464" i="2"/>
  <c r="BV54" i="13"/>
  <c r="BV32" i="13"/>
  <c r="BU57" i="13"/>
  <c r="CT462" i="2"/>
  <c r="CU446" i="2"/>
  <c r="BU58" i="13"/>
  <c r="CT463" i="2"/>
  <c r="BU64" i="13"/>
  <c r="BX23" i="13"/>
  <c r="BX25" i="13"/>
  <c r="BX29" i="13"/>
  <c r="CX392" i="2"/>
  <c r="BY15" i="13"/>
  <c r="CX424" i="2"/>
  <c r="CX418" i="2"/>
  <c r="CW399" i="2"/>
  <c r="BX22" i="13"/>
  <c r="BY5" i="13"/>
  <c r="CX5" i="14"/>
  <c r="CY482" i="2"/>
  <c r="CY378" i="2" s="1"/>
  <c r="BZ95" i="13"/>
  <c r="DS95" i="13" s="1"/>
  <c r="BY98" i="13"/>
  <c r="CY330" i="2"/>
  <c r="CZ6" i="14" s="1"/>
  <c r="CZ57" i="18" s="1"/>
  <c r="ES57" i="18" s="1"/>
  <c r="CY357" i="2"/>
  <c r="CY361" i="2"/>
  <c r="CX329" i="2"/>
  <c r="CX331" i="2" s="1"/>
  <c r="CR37" i="7"/>
  <c r="CY347" i="2"/>
  <c r="DA10" i="14"/>
  <c r="CZ333" i="2"/>
  <c r="DA27" i="14"/>
  <c r="DA343" i="2"/>
  <c r="CZ342" i="2"/>
  <c r="DA344" i="2"/>
  <c r="DA28" i="14"/>
  <c r="DA345" i="2"/>
  <c r="DA29" i="14"/>
  <c r="CZ26" i="14"/>
  <c r="CZ148" i="18" s="1"/>
  <c r="ES148" i="18" s="1"/>
  <c r="CZ367" i="2"/>
  <c r="CZ45" i="14"/>
  <c r="DA312" i="2"/>
  <c r="CR147" i="7"/>
  <c r="DA267" i="2"/>
  <c r="CY252" i="2"/>
  <c r="EQ45" i="7" l="1"/>
  <c r="CT112" i="12"/>
  <c r="DU112" i="12" s="1"/>
  <c r="DU114" i="12"/>
  <c r="CT141" i="11"/>
  <c r="DU141" i="11" s="1"/>
  <c r="DU143" i="11"/>
  <c r="DM45" i="7"/>
  <c r="DM33" i="7"/>
  <c r="CU43" i="14"/>
  <c r="BW43" i="13"/>
  <c r="DR43" i="13" s="1"/>
  <c r="CV458" i="2"/>
  <c r="CW458" i="2" s="1"/>
  <c r="CV457" i="2"/>
  <c r="CW457" i="2" s="1"/>
  <c r="BX70" i="13" s="1"/>
  <c r="CZ288" i="2"/>
  <c r="EB123" i="15"/>
  <c r="EC185" i="18" s="1"/>
  <c r="EC184" i="18" s="1"/>
  <c r="DA52" i="13"/>
  <c r="EB52" i="13" s="1"/>
  <c r="DA53" i="13"/>
  <c r="EB53" i="13" s="1"/>
  <c r="EB184" i="18"/>
  <c r="EB191" i="18" s="1"/>
  <c r="CU143" i="11"/>
  <c r="CU114" i="12"/>
  <c r="DR113" i="13"/>
  <c r="DR112" i="13"/>
  <c r="DR107" i="13"/>
  <c r="EB552" i="2"/>
  <c r="EB537" i="2"/>
  <c r="DY387" i="2"/>
  <c r="EC313" i="2"/>
  <c r="DU150" i="7" s="1"/>
  <c r="ED125" i="15" s="1"/>
  <c r="ED123" i="15" s="1"/>
  <c r="DT150" i="7"/>
  <c r="EC125" i="15" s="1"/>
  <c r="EC123" i="15" s="1"/>
  <c r="DV207" i="2"/>
  <c r="DN28" i="7"/>
  <c r="EC412" i="2"/>
  <c r="EB411" i="2"/>
  <c r="FA109" i="3"/>
  <c r="DW181" i="2"/>
  <c r="DX193" i="2"/>
  <c r="DU109" i="3"/>
  <c r="DV141" i="2"/>
  <c r="DV110" i="3"/>
  <c r="DZ89" i="2"/>
  <c r="DZ76" i="3"/>
  <c r="DV142" i="2"/>
  <c r="DV111" i="3"/>
  <c r="DZ111" i="2"/>
  <c r="DZ95" i="3"/>
  <c r="DZ112" i="2"/>
  <c r="DZ96" i="3"/>
  <c r="DR49" i="13"/>
  <c r="BP39" i="12"/>
  <c r="DK39" i="12" s="1"/>
  <c r="CV42" i="14"/>
  <c r="BP37" i="11"/>
  <c r="DK37" i="11" s="1"/>
  <c r="ES6" i="14"/>
  <c r="ES13" i="18"/>
  <c r="BU77" i="13"/>
  <c r="BU125" i="13" s="1"/>
  <c r="BR18" i="11"/>
  <c r="DL109" i="12"/>
  <c r="ES26" i="14"/>
  <c r="BU76" i="13"/>
  <c r="BR6" i="11"/>
  <c r="BQ21" i="12"/>
  <c r="BP33" i="11"/>
  <c r="DK33" i="11" s="1"/>
  <c r="DK20" i="11"/>
  <c r="BR5" i="11"/>
  <c r="BN43" i="11"/>
  <c r="ER9" i="14"/>
  <c r="CW48" i="14"/>
  <c r="BQ8" i="11"/>
  <c r="BU78" i="13"/>
  <c r="ES45" i="14"/>
  <c r="ES43" i="14" s="1"/>
  <c r="BN42" i="11"/>
  <c r="BT78" i="12"/>
  <c r="DL138" i="11"/>
  <c r="CV34" i="14"/>
  <c r="CW28" i="15"/>
  <c r="BO65" i="11"/>
  <c r="BO96" i="11" s="1"/>
  <c r="BO70" i="11"/>
  <c r="CX9" i="14"/>
  <c r="CX48" i="14" s="1"/>
  <c r="CX49" i="18"/>
  <c r="CX19" i="15"/>
  <c r="CX28" i="15" s="1"/>
  <c r="BQ24" i="11"/>
  <c r="ES119" i="15"/>
  <c r="BT138" i="11"/>
  <c r="DA119" i="15"/>
  <c r="BT109" i="12"/>
  <c r="CW24" i="15"/>
  <c r="ER24" i="15" s="1"/>
  <c r="ER15" i="15"/>
  <c r="DA15" i="14"/>
  <c r="DA81" i="18"/>
  <c r="DA13" i="18"/>
  <c r="CS111" i="7"/>
  <c r="DB87" i="15" s="1"/>
  <c r="DB133" i="18" s="1"/>
  <c r="CS120" i="7"/>
  <c r="BU78" i="12" s="1"/>
  <c r="CW20" i="14"/>
  <c r="ER20" i="14" s="1"/>
  <c r="CW66" i="18"/>
  <c r="CW6" i="18"/>
  <c r="ER6" i="18" s="1"/>
  <c r="CW37" i="18"/>
  <c r="ER37" i="18" s="1"/>
  <c r="BQ37" i="11"/>
  <c r="DA133" i="18"/>
  <c r="BN25" i="12"/>
  <c r="BX17" i="13"/>
  <c r="CX327" i="2"/>
  <c r="CX3" i="14"/>
  <c r="CU33" i="15"/>
  <c r="BU103" i="13"/>
  <c r="CU50" i="14"/>
  <c r="CX425" i="2"/>
  <c r="BY41" i="13" s="1"/>
  <c r="BW39" i="13"/>
  <c r="CX404" i="2"/>
  <c r="CX399" i="2" s="1"/>
  <c r="CX435" i="2"/>
  <c r="CV416" i="2"/>
  <c r="CV444" i="2" s="1"/>
  <c r="CV446" i="2" s="1"/>
  <c r="BW33" i="13"/>
  <c r="CX419" i="2"/>
  <c r="BY35" i="13" s="1"/>
  <c r="DE526" i="2"/>
  <c r="DD513" i="2"/>
  <c r="BV104" i="13"/>
  <c r="CX407" i="2"/>
  <c r="BY27" i="13"/>
  <c r="CX436" i="2"/>
  <c r="BY11" i="13"/>
  <c r="CX429" i="2"/>
  <c r="BX43" i="13"/>
  <c r="CX420" i="2"/>
  <c r="BY36" i="13" s="1"/>
  <c r="CX426" i="2"/>
  <c r="CX376" i="2"/>
  <c r="BY7" i="13"/>
  <c r="BY13" i="13"/>
  <c r="BV65" i="13"/>
  <c r="CY329" i="2"/>
  <c r="CY331" i="2" s="1"/>
  <c r="CW31" i="14"/>
  <c r="CT461" i="2"/>
  <c r="CT590" i="2" s="1"/>
  <c r="BU161" i="13" s="1"/>
  <c r="CW14" i="14"/>
  <c r="CW11" i="14"/>
  <c r="ER11" i="14" s="1"/>
  <c r="CW37" i="14"/>
  <c r="ER37" i="14" s="1"/>
  <c r="CW18" i="14"/>
  <c r="ER18" i="14" s="1"/>
  <c r="BW67" i="13"/>
  <c r="BW83" i="13" s="1"/>
  <c r="BW77" i="13" s="1"/>
  <c r="BP53" i="11" s="1"/>
  <c r="CV470" i="2"/>
  <c r="CV508" i="2" s="1"/>
  <c r="CV492" i="2" s="1"/>
  <c r="BW106" i="13" s="1"/>
  <c r="DR106" i="13" s="1"/>
  <c r="BP18" i="12"/>
  <c r="DK18" i="12" s="1"/>
  <c r="CX7" i="14"/>
  <c r="BY40" i="13"/>
  <c r="BV58" i="13"/>
  <c r="BO42" i="11" s="1"/>
  <c r="CU463" i="2"/>
  <c r="CW23" i="14"/>
  <c r="ER23" i="14" s="1"/>
  <c r="BV59" i="13"/>
  <c r="BO43" i="11" s="1"/>
  <c r="CU464" i="2"/>
  <c r="CV453" i="2"/>
  <c r="BV66" i="13"/>
  <c r="CU469" i="2"/>
  <c r="CU507" i="2" s="1"/>
  <c r="BY34" i="13"/>
  <c r="CW40" i="14"/>
  <c r="ER40" i="14" s="1"/>
  <c r="CV452" i="2"/>
  <c r="BV57" i="13"/>
  <c r="CU462" i="2"/>
  <c r="CU451" i="2"/>
  <c r="BV60" i="13"/>
  <c r="BV78" i="13" s="1"/>
  <c r="CU465" i="2"/>
  <c r="BU56" i="13"/>
  <c r="BU75" i="13"/>
  <c r="CW398" i="2"/>
  <c r="BX18" i="13"/>
  <c r="CW417" i="2"/>
  <c r="CW439" i="2" s="1"/>
  <c r="CW423" i="2"/>
  <c r="CW422" i="2" s="1"/>
  <c r="BY29" i="13"/>
  <c r="BY23" i="13"/>
  <c r="CY418" i="2"/>
  <c r="CY424" i="2"/>
  <c r="BZ99" i="13"/>
  <c r="DS99" i="13" s="1"/>
  <c r="CZ479" i="2"/>
  <c r="CZ483" i="2" s="1"/>
  <c r="CY394" i="2"/>
  <c r="CY379" i="2"/>
  <c r="CY401" i="2" s="1"/>
  <c r="BZ20" i="13" s="1"/>
  <c r="BS18" i="11" s="1"/>
  <c r="CY5" i="14"/>
  <c r="BZ5" i="13"/>
  <c r="BS5" i="11" s="1"/>
  <c r="BS30" i="11" s="1"/>
  <c r="CZ347" i="2"/>
  <c r="CS37" i="7"/>
  <c r="CZ330" i="2"/>
  <c r="CZ329" i="2" s="1"/>
  <c r="CZ361" i="2"/>
  <c r="CZ357" i="2"/>
  <c r="DA367" i="2"/>
  <c r="DA45" i="14"/>
  <c r="DB345" i="2"/>
  <c r="DB29" i="14"/>
  <c r="DB344" i="2"/>
  <c r="DB28" i="14"/>
  <c r="DB27" i="14"/>
  <c r="DB343" i="2"/>
  <c r="DA342" i="2"/>
  <c r="DA26" i="14"/>
  <c r="DB10" i="14"/>
  <c r="DA333" i="2"/>
  <c r="DB312" i="2"/>
  <c r="CS147" i="7"/>
  <c r="DB267" i="2"/>
  <c r="CZ252" i="2"/>
  <c r="CU141" i="11" l="1"/>
  <c r="CU112" i="12"/>
  <c r="DN45" i="7"/>
  <c r="DN33" i="7"/>
  <c r="CV474" i="2"/>
  <c r="CV512" i="2" s="1"/>
  <c r="BW70" i="13"/>
  <c r="CU120" i="15"/>
  <c r="BN108" i="12"/>
  <c r="BN137" i="11"/>
  <c r="CV473" i="2"/>
  <c r="CV511" i="2" s="1"/>
  <c r="CW48" i="15"/>
  <c r="ER48" i="15" s="1"/>
  <c r="ER28" i="15"/>
  <c r="DA288" i="2"/>
  <c r="CX48" i="15"/>
  <c r="FC125" i="15"/>
  <c r="FJ125" i="15" s="1"/>
  <c r="CV510" i="2"/>
  <c r="FC123" i="15"/>
  <c r="FJ123" i="15" s="1"/>
  <c r="DB53" i="13"/>
  <c r="DB52" i="13"/>
  <c r="ED185" i="18"/>
  <c r="ED184" i="18" s="1"/>
  <c r="FC184" i="18" s="1"/>
  <c r="FJ184" i="18" s="1"/>
  <c r="EC191" i="18"/>
  <c r="CV114" i="12"/>
  <c r="CV112" i="12" s="1"/>
  <c r="CV143" i="11"/>
  <c r="CV141" i="11" s="1"/>
  <c r="CW114" i="12"/>
  <c r="CW112" i="12" s="1"/>
  <c r="CW143" i="11"/>
  <c r="CW141" i="11" s="1"/>
  <c r="EC552" i="2"/>
  <c r="EC537" i="2"/>
  <c r="ET150" i="7"/>
  <c r="FA150" i="7" s="1"/>
  <c r="DW207" i="2"/>
  <c r="DO28" i="7"/>
  <c r="DZ387" i="2"/>
  <c r="EC411" i="2"/>
  <c r="EA89" i="2"/>
  <c r="EA76" i="3"/>
  <c r="DV109" i="3"/>
  <c r="DW141" i="2"/>
  <c r="DW110" i="3"/>
  <c r="EA112" i="2"/>
  <c r="EA96" i="3"/>
  <c r="DY193" i="2"/>
  <c r="DX181" i="2"/>
  <c r="EA111" i="2"/>
  <c r="EA95" i="3"/>
  <c r="DW142" i="2"/>
  <c r="DW111" i="3"/>
  <c r="CV50" i="14"/>
  <c r="CV51" i="14" s="1"/>
  <c r="CV43" i="14"/>
  <c r="CU67" i="18"/>
  <c r="ER21" i="14"/>
  <c r="BN97" i="12"/>
  <c r="BN94" i="12"/>
  <c r="BN95" i="12"/>
  <c r="ER24" i="14"/>
  <c r="BR31" i="11"/>
  <c r="BU131" i="13"/>
  <c r="BV81" i="13"/>
  <c r="BW54" i="13"/>
  <c r="DR54" i="13" s="1"/>
  <c r="DR33" i="13"/>
  <c r="DR67" i="13"/>
  <c r="ER14" i="14"/>
  <c r="ER48" i="14"/>
  <c r="ER31" i="14"/>
  <c r="BN53" i="11"/>
  <c r="DR77" i="13"/>
  <c r="BQ20" i="11"/>
  <c r="BQ33" i="11" s="1"/>
  <c r="DA44" i="18"/>
  <c r="BR12" i="11"/>
  <c r="BR4" i="12"/>
  <c r="BR15" i="12"/>
  <c r="CW74" i="18"/>
  <c r="ER66" i="18"/>
  <c r="BW38" i="13"/>
  <c r="DR38" i="13" s="1"/>
  <c r="DR39" i="13"/>
  <c r="DS5" i="13"/>
  <c r="BV82" i="13"/>
  <c r="BR30" i="11"/>
  <c r="DL30" i="11" s="1"/>
  <c r="DL5" i="11"/>
  <c r="DS20" i="13"/>
  <c r="BN52" i="11"/>
  <c r="DL18" i="11"/>
  <c r="DR83" i="13"/>
  <c r="CX37" i="14"/>
  <c r="DA148" i="18"/>
  <c r="CX31" i="14"/>
  <c r="CU51" i="14"/>
  <c r="CX11" i="14"/>
  <c r="CX14" i="14"/>
  <c r="CX18" i="14"/>
  <c r="CX40" i="14"/>
  <c r="CX23" i="14"/>
  <c r="CT111" i="7"/>
  <c r="DC87" i="15" s="1"/>
  <c r="CT120" i="7"/>
  <c r="BU62" i="13"/>
  <c r="BN45" i="11"/>
  <c r="CX15" i="15"/>
  <c r="CY9" i="14"/>
  <c r="CY14" i="14" s="1"/>
  <c r="CY49" i="18"/>
  <c r="BU74" i="13"/>
  <c r="BP65" i="11"/>
  <c r="BP87" i="11" s="1"/>
  <c r="BP70" i="11"/>
  <c r="DK70" i="11" s="1"/>
  <c r="CU39" i="15"/>
  <c r="CX6" i="18"/>
  <c r="CX37" i="18"/>
  <c r="CW21" i="14"/>
  <c r="CW104" i="18"/>
  <c r="ER104" i="18" s="1"/>
  <c r="BU138" i="11"/>
  <c r="DB119" i="15"/>
  <c r="BU109" i="12"/>
  <c r="CW24" i="14"/>
  <c r="CW113" i="18"/>
  <c r="BO87" i="11"/>
  <c r="DB15" i="14"/>
  <c r="DB81" i="18"/>
  <c r="DB13" i="18"/>
  <c r="DB44" i="18" s="1"/>
  <c r="CX20" i="14"/>
  <c r="CX66" i="18"/>
  <c r="BO25" i="12"/>
  <c r="CY327" i="2"/>
  <c r="CY3" i="14"/>
  <c r="BY3" i="13"/>
  <c r="CY6" i="15"/>
  <c r="CT599" i="2"/>
  <c r="CT570" i="2"/>
  <c r="CV33" i="15"/>
  <c r="CV39" i="15" s="1"/>
  <c r="BR7" i="12"/>
  <c r="CY10" i="15"/>
  <c r="BX71" i="13"/>
  <c r="BV125" i="13"/>
  <c r="BV131" i="13"/>
  <c r="BU137" i="13"/>
  <c r="BU138" i="13"/>
  <c r="BW71" i="13"/>
  <c r="CV456" i="2"/>
  <c r="CW473" i="2"/>
  <c r="CW511" i="2" s="1"/>
  <c r="CT496" i="2"/>
  <c r="BU110" i="13" s="1"/>
  <c r="CT501" i="2"/>
  <c r="CT499" i="2"/>
  <c r="CT500" i="2"/>
  <c r="BY51" i="13"/>
  <c r="CX495" i="2"/>
  <c r="BY109" i="13" s="1"/>
  <c r="BW32" i="13"/>
  <c r="DR32" i="13" s="1"/>
  <c r="BY50" i="13"/>
  <c r="CX494" i="2"/>
  <c r="CV445" i="2"/>
  <c r="BW57" i="13" s="1"/>
  <c r="DR57" i="13" s="1"/>
  <c r="BY22" i="13"/>
  <c r="CV447" i="2"/>
  <c r="BW59" i="13" s="1"/>
  <c r="BP43" i="11" s="1"/>
  <c r="DK43" i="11" s="1"/>
  <c r="CV448" i="2"/>
  <c r="BW60" i="13" s="1"/>
  <c r="BW78" i="13" s="1"/>
  <c r="DR78" i="13" s="1"/>
  <c r="BY30" i="13"/>
  <c r="DF526" i="2"/>
  <c r="DE513" i="2"/>
  <c r="BY25" i="13"/>
  <c r="CU505" i="2"/>
  <c r="CU491" i="2"/>
  <c r="CX434" i="2"/>
  <c r="BX86" i="13"/>
  <c r="BY44" i="13"/>
  <c r="CX428" i="2"/>
  <c r="CX457" i="2" s="1"/>
  <c r="CT37" i="7"/>
  <c r="EK37" i="7" s="1"/>
  <c r="CZ5" i="14"/>
  <c r="ES5" i="14" s="1"/>
  <c r="ES7" i="14" s="1"/>
  <c r="CW33" i="14"/>
  <c r="ER33" i="14" s="1"/>
  <c r="ER34" i="14" s="1"/>
  <c r="BV64" i="13"/>
  <c r="BZ40" i="13"/>
  <c r="DS40" i="13" s="1"/>
  <c r="CY7" i="14"/>
  <c r="BQ11" i="12"/>
  <c r="BV56" i="13"/>
  <c r="BV75" i="13"/>
  <c r="CV451" i="2"/>
  <c r="BW65" i="13"/>
  <c r="DR65" i="13" s="1"/>
  <c r="CV468" i="2"/>
  <c r="CV506" i="2" s="1"/>
  <c r="BW58" i="13"/>
  <c r="BP42" i="11" s="1"/>
  <c r="DK42" i="11" s="1"/>
  <c r="CV463" i="2"/>
  <c r="BZ34" i="13"/>
  <c r="DS34" i="13" s="1"/>
  <c r="CU461" i="2"/>
  <c r="CU590" i="2" s="1"/>
  <c r="BV161" i="13" s="1"/>
  <c r="BN31" i="12"/>
  <c r="BW66" i="13"/>
  <c r="BW82" i="13" s="1"/>
  <c r="CV469" i="2"/>
  <c r="CV507" i="2" s="1"/>
  <c r="CX398" i="2"/>
  <c r="BY18" i="13"/>
  <c r="CX423" i="2"/>
  <c r="CX422" i="2" s="1"/>
  <c r="CX417" i="2"/>
  <c r="CY419" i="2"/>
  <c r="CY425" i="2"/>
  <c r="BX39" i="13"/>
  <c r="CW454" i="2"/>
  <c r="BX33" i="13"/>
  <c r="CW416" i="2"/>
  <c r="CW444" i="2" s="1"/>
  <c r="CW446" i="2" s="1"/>
  <c r="CY377" i="2"/>
  <c r="CY380" i="2" s="1"/>
  <c r="CY395" i="2"/>
  <c r="CY396" i="2"/>
  <c r="BZ6" i="13"/>
  <c r="CZ482" i="2"/>
  <c r="BZ98" i="13"/>
  <c r="DS98" i="13" s="1"/>
  <c r="CA95" i="13"/>
  <c r="DA6" i="14"/>
  <c r="DA330" i="2"/>
  <c r="DA329" i="2" s="1"/>
  <c r="DA357" i="2"/>
  <c r="DA361" i="2"/>
  <c r="CZ331" i="2"/>
  <c r="DA5" i="14"/>
  <c r="DC344" i="2"/>
  <c r="DC28" i="14"/>
  <c r="DC10" i="14"/>
  <c r="ET10" i="14" s="1"/>
  <c r="ET15" i="14" s="1"/>
  <c r="DB333" i="2"/>
  <c r="DC345" i="2"/>
  <c r="DC29" i="14"/>
  <c r="ET29" i="14" s="1"/>
  <c r="DB367" i="2"/>
  <c r="DB45" i="14"/>
  <c r="DA347" i="2"/>
  <c r="DC27" i="14"/>
  <c r="ET27" i="14" s="1"/>
  <c r="DC343" i="2"/>
  <c r="DB342" i="2"/>
  <c r="DB26" i="14"/>
  <c r="DB148" i="18" s="1"/>
  <c r="DC312" i="2"/>
  <c r="CT147" i="7"/>
  <c r="EK147" i="7" s="1"/>
  <c r="DC267" i="2"/>
  <c r="DA252" i="2"/>
  <c r="CU37" i="7"/>
  <c r="DV141" i="11" l="1"/>
  <c r="EC141" i="11" s="1"/>
  <c r="DV143" i="11"/>
  <c r="EC143" i="11" s="1"/>
  <c r="DV112" i="12"/>
  <c r="EC112" i="12" s="1"/>
  <c r="DV114" i="12"/>
  <c r="EC114" i="12" s="1"/>
  <c r="DO45" i="7"/>
  <c r="DO33" i="7"/>
  <c r="ER28" i="7"/>
  <c r="CV491" i="2"/>
  <c r="BW105" i="13" s="1"/>
  <c r="BW86" i="13"/>
  <c r="DR86" i="13" s="1"/>
  <c r="DR70" i="13"/>
  <c r="CU117" i="15"/>
  <c r="BN107" i="12"/>
  <c r="BN136" i="11"/>
  <c r="BO108" i="12"/>
  <c r="BO107" i="12" s="1"/>
  <c r="CV120" i="15"/>
  <c r="CV117" i="15" s="1"/>
  <c r="CV177" i="18" s="1"/>
  <c r="BO137" i="11"/>
  <c r="BO136" i="11" s="1"/>
  <c r="ET28" i="14"/>
  <c r="CX458" i="2"/>
  <c r="DB288" i="2"/>
  <c r="DD52" i="13"/>
  <c r="DC52" i="13"/>
  <c r="DD53" i="13"/>
  <c r="DC53" i="13"/>
  <c r="FC185" i="18"/>
  <c r="FJ185" i="18" s="1"/>
  <c r="FC95" i="3"/>
  <c r="ED191" i="18"/>
  <c r="FC191" i="18" s="1"/>
  <c r="FJ191" i="18" s="1"/>
  <c r="FC96" i="3"/>
  <c r="FC76" i="3"/>
  <c r="EA387" i="2"/>
  <c r="ER45" i="7"/>
  <c r="DX207" i="2"/>
  <c r="DP28" i="7"/>
  <c r="DZ193" i="2"/>
  <c r="DY181" i="2"/>
  <c r="EB112" i="2"/>
  <c r="EB96" i="3"/>
  <c r="DW109" i="3"/>
  <c r="DX141" i="2"/>
  <c r="DX110" i="3"/>
  <c r="DX142" i="2"/>
  <c r="DX111" i="3"/>
  <c r="FB111" i="3" s="1"/>
  <c r="EB89" i="2"/>
  <c r="EB76" i="3"/>
  <c r="EB111" i="2"/>
  <c r="EB95" i="3"/>
  <c r="BN91" i="12"/>
  <c r="BU155" i="13"/>
  <c r="BN99" i="12" s="1"/>
  <c r="BV80" i="13"/>
  <c r="DR66" i="13"/>
  <c r="BX87" i="13"/>
  <c r="BX85" i="13" s="1"/>
  <c r="BP96" i="11"/>
  <c r="DR58" i="13"/>
  <c r="BW87" i="13"/>
  <c r="DR87" i="13" s="1"/>
  <c r="DR71" i="13"/>
  <c r="BR21" i="12"/>
  <c r="DR60" i="13"/>
  <c r="ER74" i="18"/>
  <c r="DR59" i="13"/>
  <c r="DR131" i="13"/>
  <c r="DR125" i="13"/>
  <c r="CX74" i="18"/>
  <c r="BY17" i="13"/>
  <c r="CW139" i="18"/>
  <c r="ER139" i="18" s="1"/>
  <c r="ER113" i="18"/>
  <c r="BN55" i="11"/>
  <c r="BV76" i="13"/>
  <c r="DR82" i="13"/>
  <c r="DK53" i="11"/>
  <c r="BN87" i="11"/>
  <c r="BN96" i="11"/>
  <c r="BS6" i="11"/>
  <c r="DS6" i="13"/>
  <c r="DK65" i="11"/>
  <c r="BR8" i="11"/>
  <c r="CY40" i="14"/>
  <c r="CY48" i="14"/>
  <c r="BV78" i="12"/>
  <c r="EK120" i="7"/>
  <c r="DA49" i="18"/>
  <c r="DA57" i="18"/>
  <c r="CX33" i="14"/>
  <c r="CX34" i="14" s="1"/>
  <c r="CX24" i="14"/>
  <c r="CX113" i="18"/>
  <c r="CY11" i="14"/>
  <c r="CY18" i="14"/>
  <c r="CY37" i="14"/>
  <c r="CY31" i="14"/>
  <c r="CY20" i="14"/>
  <c r="CY21" i="14" s="1"/>
  <c r="CZ9" i="14"/>
  <c r="CZ49" i="18"/>
  <c r="ES49" i="18" s="1"/>
  <c r="DC15" i="14"/>
  <c r="DC81" i="18"/>
  <c r="ET81" i="18" s="1"/>
  <c r="DC13" i="18"/>
  <c r="DC44" i="18" s="1"/>
  <c r="ET44" i="18" s="1"/>
  <c r="CY6" i="18"/>
  <c r="CY37" i="18"/>
  <c r="CU111" i="7"/>
  <c r="DD87" i="15" s="1"/>
  <c r="CU120" i="7"/>
  <c r="CX24" i="15"/>
  <c r="BV138" i="11"/>
  <c r="BV109" i="12"/>
  <c r="DC119" i="15"/>
  <c r="CY15" i="15"/>
  <c r="CY24" i="15" s="1"/>
  <c r="CW34" i="14"/>
  <c r="CW169" i="18"/>
  <c r="ER169" i="18" s="1"/>
  <c r="CY23" i="14"/>
  <c r="CY66" i="18"/>
  <c r="CY74" i="18" s="1"/>
  <c r="BV62" i="13"/>
  <c r="BO45" i="11"/>
  <c r="CY19" i="15"/>
  <c r="CY28" i="15" s="1"/>
  <c r="BR24" i="11"/>
  <c r="CX21" i="14"/>
  <c r="CX104" i="18"/>
  <c r="DC133" i="18"/>
  <c r="ET133" i="18" s="1"/>
  <c r="ET87" i="15"/>
  <c r="BU123" i="13"/>
  <c r="BN58" i="12"/>
  <c r="CU68" i="15" s="1"/>
  <c r="BP25" i="12"/>
  <c r="DK25" i="12" s="1"/>
  <c r="CZ327" i="2"/>
  <c r="CZ3" i="14"/>
  <c r="ES3" i="14" s="1"/>
  <c r="CU496" i="2"/>
  <c r="BV110" i="13" s="1"/>
  <c r="CU570" i="2"/>
  <c r="CW33" i="15"/>
  <c r="CW39" i="15" s="1"/>
  <c r="ER39" i="15" s="1"/>
  <c r="CW474" i="2"/>
  <c r="CW512" i="2" s="1"/>
  <c r="CW510" i="2" s="1"/>
  <c r="CW456" i="2"/>
  <c r="BU133" i="13"/>
  <c r="BX69" i="13"/>
  <c r="BW125" i="13"/>
  <c r="BW131" i="13"/>
  <c r="BU165" i="13"/>
  <c r="BU162" i="13"/>
  <c r="CU548" i="2"/>
  <c r="BV138" i="13" s="1"/>
  <c r="CU547" i="2"/>
  <c r="BV137" i="13" s="1"/>
  <c r="CT543" i="2"/>
  <c r="CT549" i="2" s="1"/>
  <c r="BW69" i="13"/>
  <c r="DR69" i="13" s="1"/>
  <c r="BY49" i="13"/>
  <c r="BR39" i="12" s="1"/>
  <c r="CX544" i="2"/>
  <c r="BY134" i="13" s="1"/>
  <c r="CX546" i="2"/>
  <c r="BY136" i="13" s="1"/>
  <c r="CT488" i="2"/>
  <c r="BU102" i="13" s="1"/>
  <c r="CX497" i="2"/>
  <c r="BY112" i="13" s="1"/>
  <c r="CX498" i="2"/>
  <c r="BY113" i="13" s="1"/>
  <c r="CU500" i="2"/>
  <c r="BU115" i="13"/>
  <c r="BU114" i="13"/>
  <c r="CU499" i="2"/>
  <c r="BU116" i="13"/>
  <c r="CU501" i="2"/>
  <c r="CV462" i="2"/>
  <c r="CV464" i="2"/>
  <c r="BY108" i="13"/>
  <c r="CX493" i="2"/>
  <c r="BY107" i="13" s="1"/>
  <c r="CV465" i="2"/>
  <c r="DG526" i="2"/>
  <c r="DF513" i="2"/>
  <c r="CV505" i="2"/>
  <c r="CV490" i="2"/>
  <c r="BV105" i="13"/>
  <c r="CU489" i="2"/>
  <c r="CX439" i="2"/>
  <c r="CY409" i="2"/>
  <c r="CY436" i="2" s="1"/>
  <c r="CY408" i="2"/>
  <c r="CY435" i="2" s="1"/>
  <c r="CY494" i="2" s="1"/>
  <c r="BZ108" i="13" s="1"/>
  <c r="CW42" i="14"/>
  <c r="BY43" i="13"/>
  <c r="CZ7" i="14"/>
  <c r="CW447" i="2"/>
  <c r="CW464" i="2" s="1"/>
  <c r="BX58" i="13"/>
  <c r="CW463" i="2"/>
  <c r="BX67" i="13"/>
  <c r="CW470" i="2"/>
  <c r="CW508" i="2" s="1"/>
  <c r="CW492" i="2" s="1"/>
  <c r="BX106" i="13" s="1"/>
  <c r="BZ41" i="13"/>
  <c r="DS41" i="13" s="1"/>
  <c r="BZ35" i="13"/>
  <c r="DS35" i="13" s="1"/>
  <c r="CW445" i="2"/>
  <c r="CW448" i="2"/>
  <c r="CW453" i="2"/>
  <c r="BO31" i="12"/>
  <c r="BW56" i="13"/>
  <c r="DR56" i="13" s="1"/>
  <c r="BW75" i="13"/>
  <c r="BQ18" i="12"/>
  <c r="BR11" i="12"/>
  <c r="BW64" i="13"/>
  <c r="DR64" i="13" s="1"/>
  <c r="BW81" i="13"/>
  <c r="BW80" i="13" s="1"/>
  <c r="CW452" i="2"/>
  <c r="BX38" i="13"/>
  <c r="BY39" i="13"/>
  <c r="CX454" i="2"/>
  <c r="CY392" i="2"/>
  <c r="BZ15" i="13"/>
  <c r="DS15" i="13" s="1"/>
  <c r="CY391" i="2"/>
  <c r="BZ10" i="13" s="1"/>
  <c r="DS10" i="13" s="1"/>
  <c r="BZ14" i="13"/>
  <c r="DS14" i="13" s="1"/>
  <c r="BZ4" i="13"/>
  <c r="DS4" i="13" s="1"/>
  <c r="CY426" i="2"/>
  <c r="BX32" i="13"/>
  <c r="BX54" i="13"/>
  <c r="BY33" i="13"/>
  <c r="CX416" i="2"/>
  <c r="CX444" i="2" s="1"/>
  <c r="CX446" i="2" s="1"/>
  <c r="CZ394" i="2"/>
  <c r="CZ377" i="2" s="1"/>
  <c r="CZ378" i="2"/>
  <c r="CZ379" i="2"/>
  <c r="CZ401" i="2" s="1"/>
  <c r="CA20" i="13" s="1"/>
  <c r="CA99" i="13"/>
  <c r="DA479" i="2"/>
  <c r="DA483" i="2" s="1"/>
  <c r="DA9" i="14"/>
  <c r="DA48" i="14" s="1"/>
  <c r="DA7" i="14"/>
  <c r="DB330" i="2"/>
  <c r="DB329" i="2" s="1"/>
  <c r="DB357" i="2"/>
  <c r="DB361" i="2"/>
  <c r="DB6" i="14"/>
  <c r="DB57" i="18" s="1"/>
  <c r="DB347" i="2"/>
  <c r="DC26" i="14"/>
  <c r="DD10" i="14"/>
  <c r="DC333" i="2"/>
  <c r="DD27" i="14"/>
  <c r="DD343" i="2"/>
  <c r="DC342" i="2"/>
  <c r="DD344" i="2"/>
  <c r="DD28" i="14"/>
  <c r="DA331" i="2"/>
  <c r="DB5" i="14"/>
  <c r="DB49" i="18" s="1"/>
  <c r="DC367" i="2"/>
  <c r="DC45" i="14"/>
  <c r="DD345" i="2"/>
  <c r="DD29" i="14"/>
  <c r="DD312" i="2"/>
  <c r="CU147" i="7"/>
  <c r="DD267" i="2"/>
  <c r="DB252" i="2"/>
  <c r="CV37" i="7"/>
  <c r="ER33" i="7" l="1"/>
  <c r="DP33" i="7"/>
  <c r="DP45" i="7"/>
  <c r="CW43" i="14"/>
  <c r="ER42" i="14"/>
  <c r="EC53" i="13"/>
  <c r="EJ53" i="13" s="1"/>
  <c r="DR105" i="13"/>
  <c r="BP69" i="11"/>
  <c r="EC52" i="13"/>
  <c r="EJ52" i="13" s="1"/>
  <c r="CU177" i="18"/>
  <c r="CY48" i="15"/>
  <c r="DC288" i="2"/>
  <c r="CZ380" i="2"/>
  <c r="CZ426" i="2" s="1"/>
  <c r="EB387" i="2"/>
  <c r="DY207" i="2"/>
  <c r="DQ28" i="7"/>
  <c r="DY142" i="2"/>
  <c r="DY111" i="3"/>
  <c r="DX109" i="3"/>
  <c r="FB110" i="3"/>
  <c r="DY141" i="2"/>
  <c r="DY110" i="3"/>
  <c r="EC112" i="2"/>
  <c r="ED96" i="3" s="1"/>
  <c r="EC96" i="3"/>
  <c r="EC111" i="2"/>
  <c r="ED95" i="3" s="1"/>
  <c r="EC95" i="3"/>
  <c r="EC89" i="2"/>
  <c r="ED76" i="3" s="1"/>
  <c r="EC76" i="3"/>
  <c r="EA193" i="2"/>
  <c r="DZ181" i="2"/>
  <c r="BO94" i="12"/>
  <c r="BO91" i="12" s="1"/>
  <c r="BO95" i="12"/>
  <c r="BO97" i="12"/>
  <c r="CU162" i="18"/>
  <c r="CU108" i="15"/>
  <c r="BU144" i="13"/>
  <c r="CU99" i="15"/>
  <c r="BN88" i="12"/>
  <c r="BV74" i="13"/>
  <c r="BV155" i="13" s="1"/>
  <c r="CV67" i="18"/>
  <c r="DR75" i="13"/>
  <c r="BN128" i="11"/>
  <c r="BW85" i="13"/>
  <c r="DR85" i="13" s="1"/>
  <c r="BW76" i="13"/>
  <c r="BW74" i="13" s="1"/>
  <c r="BP55" i="11" s="1"/>
  <c r="CX42" i="14"/>
  <c r="DS108" i="13"/>
  <c r="CX169" i="18"/>
  <c r="DK87" i="11"/>
  <c r="DK96" i="11"/>
  <c r="ET45" i="14"/>
  <c r="ET43" i="14" s="1"/>
  <c r="ET13" i="18"/>
  <c r="CX139" i="18"/>
  <c r="DR81" i="13"/>
  <c r="BN79" i="11"/>
  <c r="CZ14" i="14"/>
  <c r="CZ48" i="14"/>
  <c r="BO52" i="11"/>
  <c r="BR20" i="11"/>
  <c r="DM109" i="12"/>
  <c r="DR62" i="13"/>
  <c r="BS31" i="11"/>
  <c r="DL31" i="11" s="1"/>
  <c r="DL6" i="11"/>
  <c r="BX83" i="13"/>
  <c r="BT18" i="11"/>
  <c r="BQ42" i="11"/>
  <c r="BW78" i="12"/>
  <c r="DM138" i="11"/>
  <c r="ES9" i="14"/>
  <c r="DC148" i="18"/>
  <c r="ET148" i="18" s="1"/>
  <c r="ET26" i="14"/>
  <c r="CZ11" i="14"/>
  <c r="ES11" i="14" s="1"/>
  <c r="CZ23" i="14"/>
  <c r="ES23" i="14" s="1"/>
  <c r="CZ40" i="14"/>
  <c r="ES40" i="14" s="1"/>
  <c r="CZ18" i="14"/>
  <c r="ES18" i="14" s="1"/>
  <c r="CZ20" i="14"/>
  <c r="CZ104" i="18" s="1"/>
  <c r="CY104" i="18"/>
  <c r="BR37" i="11"/>
  <c r="DD15" i="14"/>
  <c r="DD81" i="18"/>
  <c r="DD13" i="18"/>
  <c r="BW138" i="11"/>
  <c r="DD119" i="15"/>
  <c r="BW109" i="12"/>
  <c r="BW62" i="13"/>
  <c r="BP45" i="11"/>
  <c r="DK45" i="11" s="1"/>
  <c r="BO69" i="11"/>
  <c r="CY113" i="18"/>
  <c r="CY139" i="18" s="1"/>
  <c r="CY33" i="14"/>
  <c r="CY24" i="14"/>
  <c r="CV111" i="7"/>
  <c r="DE87" i="15" s="1"/>
  <c r="DE133" i="18" s="1"/>
  <c r="CV120" i="7"/>
  <c r="BX78" i="12" s="1"/>
  <c r="CZ31" i="14"/>
  <c r="CZ66" i="18"/>
  <c r="CZ74" i="18" s="1"/>
  <c r="BN70" i="12"/>
  <c r="BN102" i="11"/>
  <c r="DD133" i="18"/>
  <c r="CZ6" i="18"/>
  <c r="ES6" i="18" s="1"/>
  <c r="CZ37" i="18"/>
  <c r="ES37" i="18" s="1"/>
  <c r="DA31" i="14"/>
  <c r="DA66" i="18"/>
  <c r="CZ37" i="14"/>
  <c r="ES37" i="14" s="1"/>
  <c r="ER33" i="15"/>
  <c r="BQ70" i="11"/>
  <c r="BQ65" i="11"/>
  <c r="BN77" i="11"/>
  <c r="BN64" i="11"/>
  <c r="CU87" i="18"/>
  <c r="ET119" i="15"/>
  <c r="CU54" i="15"/>
  <c r="BV123" i="13"/>
  <c r="BN45" i="12"/>
  <c r="BO58" i="12"/>
  <c r="CV68" i="15" s="1"/>
  <c r="DA327" i="2"/>
  <c r="DA3" i="14"/>
  <c r="CU80" i="15"/>
  <c r="BU129" i="13"/>
  <c r="BU139" i="13"/>
  <c r="BV133" i="13"/>
  <c r="BU124" i="13"/>
  <c r="BU130" i="13"/>
  <c r="BU121" i="13"/>
  <c r="BU127" i="13"/>
  <c r="BV103" i="13"/>
  <c r="CU543" i="2"/>
  <c r="CU549" i="2" s="1"/>
  <c r="CT502" i="2"/>
  <c r="CU488" i="2"/>
  <c r="BV116" i="13"/>
  <c r="CV87" i="18" s="1"/>
  <c r="BV114" i="13"/>
  <c r="BV115" i="13"/>
  <c r="CV461" i="2"/>
  <c r="CV590" i="2" s="1"/>
  <c r="BW161" i="13" s="1"/>
  <c r="BZ51" i="13"/>
  <c r="DS51" i="13" s="1"/>
  <c r="CY495" i="2"/>
  <c r="DH526" i="2"/>
  <c r="DG513" i="2"/>
  <c r="BW104" i="13"/>
  <c r="CV489" i="2"/>
  <c r="CW50" i="14"/>
  <c r="BY70" i="13"/>
  <c r="CX456" i="2"/>
  <c r="CX473" i="2"/>
  <c r="CX511" i="2" s="1"/>
  <c r="CX474" i="2"/>
  <c r="CX512" i="2" s="1"/>
  <c r="BY71" i="13"/>
  <c r="CY434" i="2"/>
  <c r="BZ50" i="13"/>
  <c r="DS50" i="13" s="1"/>
  <c r="BZ11" i="13"/>
  <c r="DS11" i="13" s="1"/>
  <c r="CY376" i="2"/>
  <c r="CY420" i="2"/>
  <c r="BX59" i="13"/>
  <c r="DA20" i="14"/>
  <c r="BY58" i="13"/>
  <c r="BR42" i="11" s="1"/>
  <c r="CX463" i="2"/>
  <c r="DA18" i="14"/>
  <c r="DA37" i="14"/>
  <c r="CX447" i="2"/>
  <c r="CX453" i="2"/>
  <c r="BX66" i="13"/>
  <c r="CW469" i="2"/>
  <c r="CW507" i="2" s="1"/>
  <c r="CW491" i="2" s="1"/>
  <c r="BX105" i="13" s="1"/>
  <c r="CX452" i="2"/>
  <c r="CW451" i="2"/>
  <c r="BX65" i="13"/>
  <c r="CW468" i="2"/>
  <c r="CW506" i="2" s="1"/>
  <c r="DA40" i="14"/>
  <c r="DA14" i="14"/>
  <c r="DC347" i="2"/>
  <c r="BP31" i="12"/>
  <c r="DK31" i="12" s="1"/>
  <c r="CX445" i="2"/>
  <c r="BX57" i="13"/>
  <c r="CW462" i="2"/>
  <c r="BR18" i="12"/>
  <c r="BY67" i="13"/>
  <c r="BY83" i="13" s="1"/>
  <c r="BY77" i="13" s="1"/>
  <c r="BR53" i="11" s="1"/>
  <c r="CX470" i="2"/>
  <c r="CX508" i="2" s="1"/>
  <c r="CX492" i="2" s="1"/>
  <c r="BY106" i="13" s="1"/>
  <c r="CX448" i="2"/>
  <c r="BX60" i="13"/>
  <c r="CW465" i="2"/>
  <c r="CA4" i="13"/>
  <c r="BZ13" i="13"/>
  <c r="CZ395" i="2"/>
  <c r="CZ418" i="2"/>
  <c r="CZ424" i="2"/>
  <c r="CZ396" i="2"/>
  <c r="BZ27" i="13"/>
  <c r="DS27" i="13" s="1"/>
  <c r="CY405" i="2"/>
  <c r="CY429" i="2" s="1"/>
  <c r="BZ7" i="13"/>
  <c r="CY407" i="2"/>
  <c r="BZ26" i="13"/>
  <c r="CY404" i="2"/>
  <c r="BY38" i="13"/>
  <c r="BY54" i="13"/>
  <c r="BY32" i="13"/>
  <c r="CZ419" i="2"/>
  <c r="CZ425" i="2"/>
  <c r="CA5" i="13"/>
  <c r="DA482" i="2"/>
  <c r="DA394" i="2" s="1"/>
  <c r="DA377" i="2" s="1"/>
  <c r="CB95" i="13"/>
  <c r="CA98" i="13"/>
  <c r="CA6" i="13"/>
  <c r="DA23" i="14"/>
  <c r="DA11" i="14"/>
  <c r="DC6" i="14"/>
  <c r="DB7" i="14"/>
  <c r="DC330" i="2"/>
  <c r="DD6" i="14" s="1"/>
  <c r="DC361" i="2"/>
  <c r="DC357" i="2"/>
  <c r="DB9" i="14"/>
  <c r="DB48" i="14" s="1"/>
  <c r="DE27" i="14"/>
  <c r="DE343" i="2"/>
  <c r="DD342" i="2"/>
  <c r="DE345" i="2"/>
  <c r="DE29" i="14"/>
  <c r="DD26" i="14"/>
  <c r="DD367" i="2"/>
  <c r="DD45" i="14"/>
  <c r="DB331" i="2"/>
  <c r="DC5" i="14"/>
  <c r="DC49" i="18" s="1"/>
  <c r="ET49" i="18" s="1"/>
  <c r="DE10" i="14"/>
  <c r="DD333" i="2"/>
  <c r="DE344" i="2"/>
  <c r="DE28" i="14"/>
  <c r="DE312" i="2"/>
  <c r="CV147" i="7"/>
  <c r="DE267" i="2"/>
  <c r="DC252" i="2"/>
  <c r="CW37" i="7"/>
  <c r="EL37" i="7" s="1"/>
  <c r="DQ33" i="7" l="1"/>
  <c r="DQ45" i="7"/>
  <c r="DK69" i="11"/>
  <c r="DR161" i="13"/>
  <c r="BP108" i="12"/>
  <c r="CW120" i="15"/>
  <c r="BP137" i="11"/>
  <c r="DD288" i="2"/>
  <c r="DR104" i="13"/>
  <c r="FD76" i="3"/>
  <c r="FK76" i="3" s="1"/>
  <c r="FD95" i="3"/>
  <c r="FK95" i="3" s="1"/>
  <c r="FD96" i="3"/>
  <c r="FK96" i="3" s="1"/>
  <c r="EC387" i="2"/>
  <c r="DZ207" i="2"/>
  <c r="DR28" i="7"/>
  <c r="DY109" i="3"/>
  <c r="EB193" i="2"/>
  <c r="EA181" i="2"/>
  <c r="DZ141" i="2"/>
  <c r="DZ110" i="3"/>
  <c r="FB109" i="3"/>
  <c r="DZ142" i="2"/>
  <c r="DZ111" i="3"/>
  <c r="BO55" i="11"/>
  <c r="DK55" i="11" s="1"/>
  <c r="BV162" i="13"/>
  <c r="BV165" i="13"/>
  <c r="BP97" i="12"/>
  <c r="DK97" i="12" s="1"/>
  <c r="DR76" i="13"/>
  <c r="BP95" i="12"/>
  <c r="DK95" i="12" s="1"/>
  <c r="BP94" i="12"/>
  <c r="CX43" i="14"/>
  <c r="CX50" i="14"/>
  <c r="CX51" i="14" s="1"/>
  <c r="BU156" i="13"/>
  <c r="BN118" i="11"/>
  <c r="BP52" i="11"/>
  <c r="DK52" i="11" s="1"/>
  <c r="CW67" i="18"/>
  <c r="BO99" i="12"/>
  <c r="CV162" i="18"/>
  <c r="CV108" i="15"/>
  <c r="BV144" i="13"/>
  <c r="BO88" i="12"/>
  <c r="CV99" i="15"/>
  <c r="ES24" i="14"/>
  <c r="CZ113" i="18"/>
  <c r="CZ139" i="18" s="1"/>
  <c r="ES139" i="18" s="1"/>
  <c r="CZ33" i="14"/>
  <c r="CZ169" i="18" s="1"/>
  <c r="CZ24" i="14"/>
  <c r="ES104" i="18"/>
  <c r="DR74" i="13"/>
  <c r="ES66" i="18"/>
  <c r="ES74" i="18" s="1"/>
  <c r="BR33" i="11"/>
  <c r="BZ3" i="13"/>
  <c r="DS7" i="13"/>
  <c r="ES14" i="14"/>
  <c r="ES31" i="14"/>
  <c r="ES48" i="14"/>
  <c r="BY87" i="13"/>
  <c r="BX81" i="13"/>
  <c r="BN98" i="11"/>
  <c r="BN113" i="11" s="1"/>
  <c r="BT6" i="11"/>
  <c r="DS30" i="13"/>
  <c r="DD44" i="18"/>
  <c r="BS12" i="11"/>
  <c r="DL12" i="11" s="1"/>
  <c r="DS13" i="13"/>
  <c r="BS14" i="12"/>
  <c r="DL14" i="12" s="1"/>
  <c r="DS26" i="13"/>
  <c r="CZ21" i="14"/>
  <c r="ET5" i="14"/>
  <c r="BX77" i="13"/>
  <c r="BX131" i="13" s="1"/>
  <c r="BQ43" i="11"/>
  <c r="BT5" i="11"/>
  <c r="DD57" i="18"/>
  <c r="DD148" i="18"/>
  <c r="CW51" i="14"/>
  <c r="ER50" i="14"/>
  <c r="ER51" i="14" s="1"/>
  <c r="ES20" i="14"/>
  <c r="ES21" i="14" s="1"/>
  <c r="DC57" i="18"/>
  <c r="ET57" i="18" s="1"/>
  <c r="ET6" i="14"/>
  <c r="BO128" i="11"/>
  <c r="BW155" i="13"/>
  <c r="DA74" i="18"/>
  <c r="DE15" i="14"/>
  <c r="DE81" i="18"/>
  <c r="DE13" i="18"/>
  <c r="DE44" i="18" s="1"/>
  <c r="BQ69" i="11"/>
  <c r="DA21" i="14"/>
  <c r="DA104" i="18"/>
  <c r="BV124" i="13"/>
  <c r="BO77" i="11"/>
  <c r="CW111" i="7"/>
  <c r="DF87" i="15" s="1"/>
  <c r="DF133" i="18" s="1"/>
  <c r="EU133" i="18" s="1"/>
  <c r="FH133" i="18" s="1"/>
  <c r="CW120" i="7"/>
  <c r="BY78" i="12" s="1"/>
  <c r="DA6" i="18"/>
  <c r="DA37" i="18"/>
  <c r="BO64" i="11"/>
  <c r="CY169" i="18"/>
  <c r="CY42" i="14"/>
  <c r="CY34" i="14"/>
  <c r="BN95" i="11"/>
  <c r="BN86" i="11"/>
  <c r="BO70" i="12"/>
  <c r="BO102" i="11"/>
  <c r="BR70" i="11"/>
  <c r="BR65" i="11"/>
  <c r="BR87" i="11" s="1"/>
  <c r="BX138" i="11"/>
  <c r="BX109" i="12"/>
  <c r="DE119" i="15"/>
  <c r="DB20" i="14"/>
  <c r="DB66" i="18"/>
  <c r="DB74" i="18" s="1"/>
  <c r="DA33" i="14"/>
  <c r="DA113" i="18"/>
  <c r="BU122" i="13"/>
  <c r="BN89" i="11"/>
  <c r="BN64" i="12"/>
  <c r="BS4" i="12"/>
  <c r="DL4" i="12" s="1"/>
  <c r="BO45" i="12"/>
  <c r="BQ25" i="12"/>
  <c r="DB327" i="2"/>
  <c r="DB3" i="14"/>
  <c r="CV54" i="15"/>
  <c r="CX33" i="15"/>
  <c r="CV496" i="2"/>
  <c r="BW110" i="13" s="1"/>
  <c r="CV570" i="2"/>
  <c r="CV80" i="15"/>
  <c r="CZ6" i="15"/>
  <c r="ES6" i="15" s="1"/>
  <c r="BV139" i="13"/>
  <c r="CU74" i="15"/>
  <c r="BW103" i="13"/>
  <c r="DR103" i="13" s="1"/>
  <c r="BV130" i="13"/>
  <c r="BU128" i="13"/>
  <c r="BU141" i="13"/>
  <c r="BS7" i="12"/>
  <c r="CZ10" i="15"/>
  <c r="ES10" i="15" s="1"/>
  <c r="BV129" i="13"/>
  <c r="BW165" i="13"/>
  <c r="BW162" i="13"/>
  <c r="CV548" i="2"/>
  <c r="BW138" i="13" s="1"/>
  <c r="CV547" i="2"/>
  <c r="BW137" i="13" s="1"/>
  <c r="BZ49" i="13"/>
  <c r="CY544" i="2"/>
  <c r="BZ134" i="13" s="1"/>
  <c r="DS134" i="13" s="1"/>
  <c r="CY546" i="2"/>
  <c r="BZ136" i="13" s="1"/>
  <c r="DS136" i="13" s="1"/>
  <c r="CY497" i="2"/>
  <c r="BZ112" i="13" s="1"/>
  <c r="CY498" i="2"/>
  <c r="BZ113" i="13" s="1"/>
  <c r="BV102" i="13"/>
  <c r="CU502" i="2"/>
  <c r="CV500" i="2"/>
  <c r="CV499" i="2"/>
  <c r="CV501" i="2"/>
  <c r="CY493" i="2"/>
  <c r="BZ107" i="13" s="1"/>
  <c r="BZ109" i="13"/>
  <c r="DS109" i="13" s="1"/>
  <c r="CX510" i="2"/>
  <c r="DI526" i="2"/>
  <c r="DH513" i="2"/>
  <c r="CW505" i="2"/>
  <c r="CW490" i="2"/>
  <c r="CZ408" i="2"/>
  <c r="CZ435" i="2" s="1"/>
  <c r="CZ494" i="2" s="1"/>
  <c r="CZ409" i="2"/>
  <c r="CZ436" i="2" s="1"/>
  <c r="BY69" i="13"/>
  <c r="BY86" i="13"/>
  <c r="BZ44" i="13"/>
  <c r="DS44" i="13" s="1"/>
  <c r="CY428" i="2"/>
  <c r="CZ376" i="2"/>
  <c r="CZ420" i="2"/>
  <c r="DA24" i="14"/>
  <c r="CW461" i="2"/>
  <c r="CW590" i="2" s="1"/>
  <c r="BX161" i="13" s="1"/>
  <c r="CA34" i="13"/>
  <c r="CA41" i="13"/>
  <c r="BY59" i="13"/>
  <c r="BR43" i="11" s="1"/>
  <c r="CX464" i="2"/>
  <c r="DA379" i="2"/>
  <c r="BZ36" i="13"/>
  <c r="DS36" i="13" s="1"/>
  <c r="BX75" i="13"/>
  <c r="BY57" i="13"/>
  <c r="CX462" i="2"/>
  <c r="CX451" i="2"/>
  <c r="BY65" i="13"/>
  <c r="BY81" i="13" s="1"/>
  <c r="CX468" i="2"/>
  <c r="CX506" i="2" s="1"/>
  <c r="BX64" i="13"/>
  <c r="BX82" i="13"/>
  <c r="BY66" i="13"/>
  <c r="CX469" i="2"/>
  <c r="CX507" i="2" s="1"/>
  <c r="CX491" i="2" s="1"/>
  <c r="BY105" i="13" s="1"/>
  <c r="CA35" i="13"/>
  <c r="BX56" i="13"/>
  <c r="BX78" i="13"/>
  <c r="BZ30" i="13"/>
  <c r="BS15" i="12"/>
  <c r="DL15" i="12" s="1"/>
  <c r="BY60" i="13"/>
  <c r="BY78" i="13" s="1"/>
  <c r="CX465" i="2"/>
  <c r="BZ23" i="13"/>
  <c r="DS23" i="13" s="1"/>
  <c r="CB4" i="13"/>
  <c r="CY399" i="2"/>
  <c r="BZ22" i="13"/>
  <c r="DS22" i="13" s="1"/>
  <c r="CZ392" i="2"/>
  <c r="DA396" i="2"/>
  <c r="CA15" i="13"/>
  <c r="BZ25" i="13"/>
  <c r="DS25" i="13" s="1"/>
  <c r="BZ29" i="13"/>
  <c r="CA40" i="13"/>
  <c r="CZ391" i="2"/>
  <c r="CA10" i="13" s="1"/>
  <c r="CA14" i="13"/>
  <c r="DA395" i="2"/>
  <c r="CA7" i="13"/>
  <c r="DB479" i="2"/>
  <c r="DB483" i="2" s="1"/>
  <c r="CB99" i="13"/>
  <c r="DA378" i="2"/>
  <c r="DC9" i="14"/>
  <c r="DB14" i="14"/>
  <c r="DC329" i="2"/>
  <c r="DD5" i="14" s="1"/>
  <c r="DD330" i="2"/>
  <c r="DE6" i="14" s="1"/>
  <c r="DE57" i="18" s="1"/>
  <c r="DD357" i="2"/>
  <c r="DD361" i="2"/>
  <c r="DB11" i="14"/>
  <c r="DB31" i="14"/>
  <c r="DB37" i="14"/>
  <c r="DB18" i="14"/>
  <c r="DB40" i="14"/>
  <c r="DB23" i="14"/>
  <c r="DD347" i="2"/>
  <c r="DF345" i="2"/>
  <c r="DF29" i="14"/>
  <c r="EU29" i="14" s="1"/>
  <c r="FH29" i="14" s="1"/>
  <c r="DF344" i="2"/>
  <c r="DF28" i="14"/>
  <c r="DF27" i="14"/>
  <c r="EU27" i="14" s="1"/>
  <c r="FH27" i="14" s="1"/>
  <c r="DF343" i="2"/>
  <c r="DE342" i="2"/>
  <c r="DE26" i="14"/>
  <c r="DE148" i="18" s="1"/>
  <c r="DE367" i="2"/>
  <c r="DE45" i="14"/>
  <c r="DF10" i="14"/>
  <c r="EU10" i="14" s="1"/>
  <c r="DE333" i="2"/>
  <c r="DC7" i="14"/>
  <c r="DF312" i="2"/>
  <c r="CW147" i="7"/>
  <c r="EL147" i="7" s="1"/>
  <c r="DF267" i="2"/>
  <c r="DD252" i="2"/>
  <c r="CX37" i="7"/>
  <c r="ES28" i="7" l="1"/>
  <c r="DR45" i="7"/>
  <c r="DR33" i="7"/>
  <c r="DK108" i="12"/>
  <c r="BP107" i="12"/>
  <c r="DK107" i="12" s="1"/>
  <c r="ER120" i="15"/>
  <c r="CW117" i="15"/>
  <c r="DK137" i="11"/>
  <c r="BP136" i="11"/>
  <c r="DK136" i="11" s="1"/>
  <c r="BQ108" i="12"/>
  <c r="CX120" i="15"/>
  <c r="BQ137" i="11"/>
  <c r="EU28" i="14"/>
  <c r="FH28" i="14" s="1"/>
  <c r="CY457" i="2"/>
  <c r="CY458" i="2"/>
  <c r="DE288" i="2"/>
  <c r="DS112" i="13"/>
  <c r="DS113" i="13"/>
  <c r="DS107" i="13"/>
  <c r="DR110" i="13"/>
  <c r="DR123" i="13" s="1"/>
  <c r="DA380" i="2"/>
  <c r="DA426" i="2" s="1"/>
  <c r="EA207" i="2"/>
  <c r="DS28" i="7"/>
  <c r="EA142" i="2"/>
  <c r="EA111" i="3"/>
  <c r="FC111" i="3" s="1"/>
  <c r="DZ109" i="3"/>
  <c r="EA141" i="2"/>
  <c r="EA110" i="3"/>
  <c r="EC193" i="2"/>
  <c r="EC181" i="2" s="1"/>
  <c r="EB181" i="2"/>
  <c r="BP91" i="12"/>
  <c r="DK91" i="12" s="1"/>
  <c r="DK94" i="12"/>
  <c r="BV156" i="13"/>
  <c r="BO118" i="11"/>
  <c r="CW162" i="18"/>
  <c r="ER162" i="18" s="1"/>
  <c r="CW108" i="15"/>
  <c r="ER108" i="15" s="1"/>
  <c r="BW144" i="13"/>
  <c r="CW99" i="15"/>
  <c r="BP88" i="12"/>
  <c r="DK88" i="12" s="1"/>
  <c r="DR138" i="13"/>
  <c r="DR137" i="13"/>
  <c r="DS49" i="13"/>
  <c r="BS39" i="12"/>
  <c r="DL39" i="12" s="1"/>
  <c r="ES33" i="14"/>
  <c r="ES34" i="14" s="1"/>
  <c r="ES169" i="18"/>
  <c r="CZ42" i="14"/>
  <c r="ES113" i="18"/>
  <c r="CZ34" i="14"/>
  <c r="BP99" i="12"/>
  <c r="DK99" i="12" s="1"/>
  <c r="DR162" i="13"/>
  <c r="DR165" i="13"/>
  <c r="BP128" i="11"/>
  <c r="DK128" i="11" s="1"/>
  <c r="BX125" i="13"/>
  <c r="DA139" i="18"/>
  <c r="BN132" i="11"/>
  <c r="DS29" i="13"/>
  <c r="CA3" i="13"/>
  <c r="BS21" i="12"/>
  <c r="DL21" i="12" s="1"/>
  <c r="DL7" i="12"/>
  <c r="BT31" i="11"/>
  <c r="BO79" i="11"/>
  <c r="BQ53" i="11"/>
  <c r="DR155" i="13"/>
  <c r="FH10" i="14"/>
  <c r="FH15" i="14" s="1"/>
  <c r="EU15" i="14"/>
  <c r="BY85" i="13"/>
  <c r="ET9" i="14"/>
  <c r="DC48" i="14"/>
  <c r="BN82" i="12"/>
  <c r="ET7" i="14"/>
  <c r="EL120" i="7"/>
  <c r="EY120" i="7" s="1"/>
  <c r="BT30" i="11"/>
  <c r="BS8" i="11"/>
  <c r="DL8" i="11" s="1"/>
  <c r="DS3" i="13"/>
  <c r="EY147" i="7"/>
  <c r="DA169" i="18"/>
  <c r="DA34" i="14"/>
  <c r="DA42" i="14"/>
  <c r="BR96" i="11"/>
  <c r="DB6" i="18"/>
  <c r="DB37" i="18"/>
  <c r="CZ19" i="15"/>
  <c r="ES19" i="15" s="1"/>
  <c r="BS24" i="11"/>
  <c r="DL24" i="11" s="1"/>
  <c r="BX80" i="13"/>
  <c r="BX76" i="13"/>
  <c r="BS37" i="11"/>
  <c r="DL37" i="11" s="1"/>
  <c r="DF15" i="14"/>
  <c r="DF81" i="18"/>
  <c r="EU81" i="18" s="1"/>
  <c r="FH81" i="18" s="1"/>
  <c r="F23" i="24" s="1"/>
  <c r="DF13" i="18"/>
  <c r="DF44" i="18" s="1"/>
  <c r="EU44" i="18" s="1"/>
  <c r="FH44" i="18" s="1"/>
  <c r="BO86" i="11"/>
  <c r="BO95" i="11"/>
  <c r="CX111" i="7"/>
  <c r="DG87" i="15" s="1"/>
  <c r="CX120" i="7"/>
  <c r="DD9" i="14"/>
  <c r="DD48" i="14" s="1"/>
  <c r="DD49" i="18"/>
  <c r="DB33" i="14"/>
  <c r="DB169" i="18" s="1"/>
  <c r="DB113" i="18"/>
  <c r="DB139" i="18" s="1"/>
  <c r="BX62" i="13"/>
  <c r="BQ45" i="11"/>
  <c r="BY138" i="11"/>
  <c r="DF119" i="15"/>
  <c r="BY109" i="12"/>
  <c r="DC31" i="14"/>
  <c r="DC66" i="18"/>
  <c r="DC74" i="18" s="1"/>
  <c r="BP58" i="12"/>
  <c r="BR69" i="11"/>
  <c r="CU93" i="15"/>
  <c r="CU114" i="15" s="1"/>
  <c r="CX39" i="15"/>
  <c r="DB21" i="14"/>
  <c r="DB104" i="18"/>
  <c r="CY43" i="14"/>
  <c r="CY50" i="14"/>
  <c r="EU87" i="15"/>
  <c r="FH87" i="15" s="1"/>
  <c r="BZ17" i="13"/>
  <c r="BO64" i="12"/>
  <c r="BO82" i="12" s="1"/>
  <c r="BO103" i="12" s="1"/>
  <c r="BO118" i="12" s="1"/>
  <c r="BW123" i="13"/>
  <c r="BT4" i="12"/>
  <c r="BR25" i="12"/>
  <c r="DC327" i="2"/>
  <c r="DC3" i="14"/>
  <c r="ET3" i="14" s="1"/>
  <c r="CY33" i="15"/>
  <c r="CY39" i="15" s="1"/>
  <c r="CW496" i="2"/>
  <c r="BX110" i="13" s="1"/>
  <c r="CW570" i="2"/>
  <c r="DA6" i="15"/>
  <c r="CV74" i="15"/>
  <c r="CV93" i="15" s="1"/>
  <c r="CV114" i="15" s="1"/>
  <c r="CV132" i="15" s="1"/>
  <c r="BW133" i="13"/>
  <c r="BU142" i="13"/>
  <c r="BU158" i="13"/>
  <c r="BY125" i="13"/>
  <c r="BY131" i="13"/>
  <c r="BV127" i="13"/>
  <c r="BV121" i="13"/>
  <c r="CW547" i="2"/>
  <c r="BX137" i="13" s="1"/>
  <c r="CV543" i="2"/>
  <c r="CV549" i="2" s="1"/>
  <c r="CW548" i="2"/>
  <c r="BX138" i="13" s="1"/>
  <c r="BW115" i="13"/>
  <c r="CW500" i="2"/>
  <c r="BW116" i="13"/>
  <c r="DR116" i="13" s="1"/>
  <c r="CW501" i="2"/>
  <c r="CV488" i="2"/>
  <c r="CA26" i="13"/>
  <c r="CZ407" i="2"/>
  <c r="CZ404" i="2"/>
  <c r="CA22" i="13" s="1"/>
  <c r="CW499" i="2"/>
  <c r="BW114" i="13"/>
  <c r="CA51" i="13"/>
  <c r="CZ495" i="2"/>
  <c r="CA109" i="13" s="1"/>
  <c r="CA108" i="13"/>
  <c r="DJ526" i="2"/>
  <c r="DI513" i="2"/>
  <c r="CA27" i="13"/>
  <c r="BX104" i="13"/>
  <c r="CW489" i="2"/>
  <c r="CX505" i="2"/>
  <c r="CX490" i="2"/>
  <c r="CZ405" i="2"/>
  <c r="CZ429" i="2" s="1"/>
  <c r="DA408" i="2"/>
  <c r="DA435" i="2" s="1"/>
  <c r="DA494" i="2" s="1"/>
  <c r="CB108" i="13" s="1"/>
  <c r="DA409" i="2"/>
  <c r="CB27" i="13" s="1"/>
  <c r="BU15" i="12" s="1"/>
  <c r="CZ434" i="2"/>
  <c r="CA50" i="13"/>
  <c r="CA11" i="13"/>
  <c r="BZ43" i="13"/>
  <c r="DS43" i="13" s="1"/>
  <c r="CB6" i="13"/>
  <c r="DA401" i="2"/>
  <c r="CB20" i="13" s="1"/>
  <c r="DD329" i="2"/>
  <c r="DD331" i="2" s="1"/>
  <c r="DC331" i="2"/>
  <c r="DC18" i="14"/>
  <c r="ET18" i="14" s="1"/>
  <c r="BQ31" i="12"/>
  <c r="DC23" i="14"/>
  <c r="ET23" i="14" s="1"/>
  <c r="CA36" i="13"/>
  <c r="BY64" i="13"/>
  <c r="BY82" i="13"/>
  <c r="CX461" i="2"/>
  <c r="CX590" i="2" s="1"/>
  <c r="BY161" i="13" s="1"/>
  <c r="BY56" i="13"/>
  <c r="BY75" i="13"/>
  <c r="CA13" i="13"/>
  <c r="CY398" i="2"/>
  <c r="BZ18" i="13"/>
  <c r="DS18" i="13" s="1"/>
  <c r="CY417" i="2"/>
  <c r="CY439" i="2" s="1"/>
  <c r="CY423" i="2"/>
  <c r="CY422" i="2" s="1"/>
  <c r="DA391" i="2"/>
  <c r="CB10" i="13" s="1"/>
  <c r="CB14" i="13"/>
  <c r="DA418" i="2"/>
  <c r="DA424" i="2"/>
  <c r="DA392" i="2"/>
  <c r="CB15" i="13"/>
  <c r="CB5" i="13"/>
  <c r="CB98" i="13"/>
  <c r="CC95" i="13"/>
  <c r="DT95" i="13" s="1"/>
  <c r="DB482" i="2"/>
  <c r="DC37" i="14"/>
  <c r="ET37" i="14" s="1"/>
  <c r="DC40" i="14"/>
  <c r="ET40" i="14" s="1"/>
  <c r="DC11" i="14"/>
  <c r="ET11" i="14" s="1"/>
  <c r="DC14" i="14"/>
  <c r="DC20" i="14"/>
  <c r="ET20" i="14" s="1"/>
  <c r="DE347" i="2"/>
  <c r="DB24" i="14"/>
  <c r="DE330" i="2"/>
  <c r="DE329" i="2" s="1"/>
  <c r="DE361" i="2"/>
  <c r="DE357" i="2"/>
  <c r="DD7" i="14"/>
  <c r="DG345" i="2"/>
  <c r="DG29" i="14"/>
  <c r="DG344" i="2"/>
  <c r="DG28" i="14"/>
  <c r="DG27" i="14"/>
  <c r="DF342" i="2"/>
  <c r="DG343" i="2"/>
  <c r="DF26" i="14"/>
  <c r="DF148" i="18" s="1"/>
  <c r="EU148" i="18" s="1"/>
  <c r="FH148" i="18" s="1"/>
  <c r="DG10" i="14"/>
  <c r="DF333" i="2"/>
  <c r="DF367" i="2"/>
  <c r="DF45" i="14"/>
  <c r="DG312" i="2"/>
  <c r="CX147" i="7"/>
  <c r="DG267" i="2"/>
  <c r="DE252" i="2"/>
  <c r="CY37" i="7"/>
  <c r="ES33" i="7" l="1"/>
  <c r="ES45" i="7"/>
  <c r="ET28" i="7"/>
  <c r="ET33" i="7" s="1"/>
  <c r="DS45" i="7"/>
  <c r="DS33" i="7"/>
  <c r="CZ50" i="14"/>
  <c r="CZ51" i="14" s="1"/>
  <c r="ES42" i="14"/>
  <c r="DA43" i="14"/>
  <c r="ER117" i="15"/>
  <c r="CW177" i="18"/>
  <c r="ER177" i="18" s="1"/>
  <c r="BQ107" i="12"/>
  <c r="CX117" i="15"/>
  <c r="BQ136" i="11"/>
  <c r="BR108" i="12"/>
  <c r="BR107" i="12" s="1"/>
  <c r="CY120" i="15"/>
  <c r="CY117" i="15" s="1"/>
  <c r="CY177" i="18" s="1"/>
  <c r="BR137" i="11"/>
  <c r="BR136" i="11" s="1"/>
  <c r="DF288" i="2"/>
  <c r="DR115" i="13"/>
  <c r="DR114" i="13"/>
  <c r="EA109" i="3"/>
  <c r="EB207" i="2"/>
  <c r="DT28" i="7"/>
  <c r="EC207" i="2"/>
  <c r="DU28" i="7"/>
  <c r="FC110" i="3"/>
  <c r="EB141" i="2"/>
  <c r="EB110" i="3"/>
  <c r="EB142" i="2"/>
  <c r="EB111" i="3"/>
  <c r="DR144" i="13"/>
  <c r="BW156" i="13"/>
  <c r="BP118" i="11"/>
  <c r="DK118" i="11" s="1"/>
  <c r="ET21" i="14"/>
  <c r="BQ97" i="12"/>
  <c r="BQ95" i="12"/>
  <c r="BQ94" i="12"/>
  <c r="CX67" i="18"/>
  <c r="DK58" i="12"/>
  <c r="CW68" i="15"/>
  <c r="CU132" i="15"/>
  <c r="CZ43" i="14"/>
  <c r="ET24" i="14"/>
  <c r="ET66" i="18"/>
  <c r="ET74" i="18" s="1"/>
  <c r="BT12" i="11"/>
  <c r="DR130" i="13"/>
  <c r="DR124" i="13"/>
  <c r="BN147" i="11"/>
  <c r="BS20" i="11"/>
  <c r="DL20" i="11" s="1"/>
  <c r="DS17" i="13"/>
  <c r="BN103" i="12"/>
  <c r="ET14" i="14"/>
  <c r="ET48" i="14"/>
  <c r="ET31" i="14"/>
  <c r="BQ87" i="11"/>
  <c r="BQ96" i="11"/>
  <c r="BT15" i="12"/>
  <c r="BU5" i="11"/>
  <c r="BU18" i="11"/>
  <c r="BP102" i="11"/>
  <c r="DK102" i="11" s="1"/>
  <c r="DR133" i="13"/>
  <c r="DR139" i="13" s="1"/>
  <c r="EU13" i="18"/>
  <c r="FH13" i="18" s="1"/>
  <c r="BU6" i="11"/>
  <c r="BT14" i="12"/>
  <c r="BQ52" i="11"/>
  <c r="DN109" i="12"/>
  <c r="EA109" i="12" s="1"/>
  <c r="BO98" i="11"/>
  <c r="EU45" i="14"/>
  <c r="EU43" i="14" s="1"/>
  <c r="BT8" i="11"/>
  <c r="BZ78" i="12"/>
  <c r="DN138" i="11"/>
  <c r="EA138" i="11" s="1"/>
  <c r="CY51" i="14"/>
  <c r="EU26" i="14"/>
  <c r="DA50" i="14"/>
  <c r="DD20" i="14"/>
  <c r="DD104" i="18" s="1"/>
  <c r="DD14" i="14"/>
  <c r="DD23" i="14"/>
  <c r="DD11" i="14"/>
  <c r="DD37" i="14"/>
  <c r="DD40" i="14"/>
  <c r="DD18" i="14"/>
  <c r="BX74" i="13"/>
  <c r="BX165" i="13" s="1"/>
  <c r="CZ28" i="15"/>
  <c r="DC21" i="14"/>
  <c r="DC104" i="18"/>
  <c r="ET104" i="18" s="1"/>
  <c r="BY80" i="13"/>
  <c r="BY76" i="13"/>
  <c r="DC6" i="18"/>
  <c r="ET6" i="18" s="1"/>
  <c r="DC37" i="18"/>
  <c r="ET37" i="18" s="1"/>
  <c r="DD31" i="14"/>
  <c r="DD66" i="18"/>
  <c r="DG133" i="18"/>
  <c r="BZ138" i="11"/>
  <c r="DG119" i="15"/>
  <c r="BZ109" i="12"/>
  <c r="BP77" i="11"/>
  <c r="DK77" i="11" s="1"/>
  <c r="BP64" i="11"/>
  <c r="DK64" i="11" s="1"/>
  <c r="CW87" i="18"/>
  <c r="ER87" i="18" s="1"/>
  <c r="CZ15" i="15"/>
  <c r="EU119" i="15"/>
  <c r="FH119" i="15" s="1"/>
  <c r="DC33" i="14"/>
  <c r="DC169" i="18" s="1"/>
  <c r="ET169" i="18" s="1"/>
  <c r="DC113" i="18"/>
  <c r="DC139" i="18" s="1"/>
  <c r="ET139" i="18" s="1"/>
  <c r="DG15" i="14"/>
  <c r="DG81" i="18"/>
  <c r="DG13" i="18"/>
  <c r="DB42" i="14"/>
  <c r="DB43" i="14" s="1"/>
  <c r="BY62" i="13"/>
  <c r="BR45" i="11"/>
  <c r="CY111" i="7"/>
  <c r="DH87" i="15" s="1"/>
  <c r="DH133" i="18" s="1"/>
  <c r="CY120" i="7"/>
  <c r="CA78" i="12" s="1"/>
  <c r="DB34" i="14"/>
  <c r="BV122" i="13"/>
  <c r="BO89" i="11"/>
  <c r="BP70" i="12"/>
  <c r="DK70" i="12" s="1"/>
  <c r="BP45" i="12"/>
  <c r="DK45" i="12" s="1"/>
  <c r="BQ58" i="12"/>
  <c r="CX68" i="15" s="1"/>
  <c r="DD327" i="2"/>
  <c r="DD3" i="14"/>
  <c r="CW54" i="15"/>
  <c r="CX496" i="2"/>
  <c r="BY110" i="13" s="1"/>
  <c r="CX570" i="2"/>
  <c r="BW139" i="13"/>
  <c r="CW80" i="15"/>
  <c r="ER80" i="15" s="1"/>
  <c r="BX103" i="13"/>
  <c r="BX123" i="13"/>
  <c r="BT7" i="12"/>
  <c r="DA10" i="15"/>
  <c r="BV128" i="13"/>
  <c r="BV141" i="13"/>
  <c r="BU167" i="13"/>
  <c r="BU159" i="13"/>
  <c r="BX133" i="13"/>
  <c r="BW129" i="13"/>
  <c r="BW124" i="13"/>
  <c r="BW130" i="13"/>
  <c r="CA29" i="13"/>
  <c r="CX548" i="2"/>
  <c r="BY138" i="13" s="1"/>
  <c r="CX547" i="2"/>
  <c r="BY137" i="13" s="1"/>
  <c r="CW543" i="2"/>
  <c r="CW549" i="2" s="1"/>
  <c r="CZ544" i="2"/>
  <c r="CA134" i="13" s="1"/>
  <c r="CZ546" i="2"/>
  <c r="CA136" i="13" s="1"/>
  <c r="BW102" i="13"/>
  <c r="CV502" i="2"/>
  <c r="CZ497" i="2"/>
  <c r="CA112" i="13" s="1"/>
  <c r="CZ498" i="2"/>
  <c r="CA113" i="13" s="1"/>
  <c r="CX499" i="2"/>
  <c r="BX114" i="13"/>
  <c r="CW488" i="2"/>
  <c r="CX501" i="2"/>
  <c r="BX116" i="13"/>
  <c r="BX115" i="13"/>
  <c r="CX500" i="2"/>
  <c r="CZ493" i="2"/>
  <c r="CA107" i="13" s="1"/>
  <c r="CZ399" i="2"/>
  <c r="CZ423" i="2" s="1"/>
  <c r="CZ422" i="2" s="1"/>
  <c r="CA49" i="13"/>
  <c r="BT39" i="12" s="1"/>
  <c r="CA25" i="13"/>
  <c r="CA30" i="13"/>
  <c r="DK526" i="2"/>
  <c r="DJ513" i="2"/>
  <c r="CA23" i="13"/>
  <c r="BY104" i="13"/>
  <c r="CX489" i="2"/>
  <c r="DA436" i="2"/>
  <c r="DA434" i="2" s="1"/>
  <c r="DA405" i="2"/>
  <c r="DA429" i="2" s="1"/>
  <c r="CB50" i="13"/>
  <c r="CY474" i="2"/>
  <c r="CY512" i="2" s="1"/>
  <c r="BZ71" i="13"/>
  <c r="BZ70" i="13"/>
  <c r="DS70" i="13" s="1"/>
  <c r="CY456" i="2"/>
  <c r="CY473" i="2"/>
  <c r="CY511" i="2" s="1"/>
  <c r="CA44" i="13"/>
  <c r="CZ428" i="2"/>
  <c r="CZ458" i="2" s="1"/>
  <c r="CB11" i="13"/>
  <c r="DA419" i="2"/>
  <c r="CB35" i="13" s="1"/>
  <c r="CB7" i="13"/>
  <c r="DA420" i="2"/>
  <c r="CB36" i="13" s="1"/>
  <c r="DA425" i="2"/>
  <c r="CB41" i="13" s="1"/>
  <c r="DE5" i="14"/>
  <c r="DA376" i="2"/>
  <c r="BS11" i="12"/>
  <c r="DL11" i="12" s="1"/>
  <c r="CB34" i="13"/>
  <c r="BR31" i="12"/>
  <c r="DC24" i="14"/>
  <c r="CB13" i="13"/>
  <c r="BU12" i="11" s="1"/>
  <c r="CB26" i="13"/>
  <c r="BU14" i="12" s="1"/>
  <c r="DA407" i="2"/>
  <c r="CB30" i="13"/>
  <c r="DA404" i="2"/>
  <c r="BZ39" i="13"/>
  <c r="DS39" i="13" s="1"/>
  <c r="CB40" i="13"/>
  <c r="BZ33" i="13"/>
  <c r="DS33" i="13" s="1"/>
  <c r="CY416" i="2"/>
  <c r="CY444" i="2" s="1"/>
  <c r="DF347" i="2"/>
  <c r="CC99" i="13"/>
  <c r="DT99" i="13" s="1"/>
  <c r="DC479" i="2"/>
  <c r="DC483" i="2" s="1"/>
  <c r="DB394" i="2"/>
  <c r="DB379" i="2"/>
  <c r="DB401" i="2" s="1"/>
  <c r="CC20" i="13" s="1"/>
  <c r="BV18" i="11" s="1"/>
  <c r="DB378" i="2"/>
  <c r="DF6" i="14"/>
  <c r="DG26" i="14"/>
  <c r="DF330" i="2"/>
  <c r="DF329" i="2" s="1"/>
  <c r="DG5" i="14" s="1"/>
  <c r="DF361" i="2"/>
  <c r="DF357" i="2"/>
  <c r="DH344" i="2"/>
  <c r="DH28" i="14"/>
  <c r="DG367" i="2"/>
  <c r="DG45" i="14"/>
  <c r="DH10" i="14"/>
  <c r="DG333" i="2"/>
  <c r="DE331" i="2"/>
  <c r="DF5" i="14"/>
  <c r="DF49" i="18" s="1"/>
  <c r="DH345" i="2"/>
  <c r="DH29" i="14"/>
  <c r="DH27" i="14"/>
  <c r="DG342" i="2"/>
  <c r="DH343" i="2"/>
  <c r="DH312" i="2"/>
  <c r="CY147" i="7"/>
  <c r="DH267" i="2"/>
  <c r="DF252" i="2"/>
  <c r="CZ37" i="7"/>
  <c r="EM37" i="7" s="1"/>
  <c r="FA28" i="7" l="1"/>
  <c r="FA33" i="7" s="1"/>
  <c r="DT33" i="7"/>
  <c r="DT45" i="7"/>
  <c r="DU45" i="7"/>
  <c r="DU33" i="7"/>
  <c r="ES50" i="14"/>
  <c r="ES51" i="14" s="1"/>
  <c r="CX177" i="18"/>
  <c r="CZ457" i="2"/>
  <c r="CZ48" i="15"/>
  <c r="ES48" i="15" s="1"/>
  <c r="ES28" i="15"/>
  <c r="DG288" i="2"/>
  <c r="DR129" i="13"/>
  <c r="EC142" i="2"/>
  <c r="ED111" i="3" s="1"/>
  <c r="EC111" i="3"/>
  <c r="EB109" i="3"/>
  <c r="EC141" i="2"/>
  <c r="ED110" i="3" s="1"/>
  <c r="EC110" i="3"/>
  <c r="FC109" i="3"/>
  <c r="BR94" i="12"/>
  <c r="BR91" i="12" s="1"/>
  <c r="BR95" i="12"/>
  <c r="BR97" i="12"/>
  <c r="DR156" i="13"/>
  <c r="BQ91" i="12"/>
  <c r="DD33" i="14"/>
  <c r="DD169" i="18" s="1"/>
  <c r="DD24" i="14"/>
  <c r="BR52" i="11"/>
  <c r="CY67" i="18"/>
  <c r="BS33" i="11"/>
  <c r="DL33" i="11" s="1"/>
  <c r="FH45" i="14"/>
  <c r="FH43" i="14" s="1"/>
  <c r="DT20" i="13"/>
  <c r="BT21" i="12"/>
  <c r="FH26" i="14"/>
  <c r="DM18" i="11"/>
  <c r="BO113" i="11"/>
  <c r="BU30" i="11"/>
  <c r="DG44" i="18"/>
  <c r="BN118" i="12"/>
  <c r="BQ102" i="11"/>
  <c r="EU5" i="14"/>
  <c r="FH5" i="14" s="1"/>
  <c r="CA17" i="13"/>
  <c r="DD74" i="18"/>
  <c r="BP79" i="11"/>
  <c r="DK79" i="11" s="1"/>
  <c r="DR102" i="13"/>
  <c r="BU4" i="12"/>
  <c r="BZ87" i="13"/>
  <c r="DS87" i="13" s="1"/>
  <c r="DS71" i="13"/>
  <c r="BX155" i="13"/>
  <c r="DK95" i="11"/>
  <c r="DK86" i="11"/>
  <c r="BU31" i="11"/>
  <c r="ET113" i="18"/>
  <c r="DA51" i="14"/>
  <c r="DG148" i="18"/>
  <c r="DD113" i="18"/>
  <c r="DD21" i="14"/>
  <c r="DG49" i="18"/>
  <c r="DB50" i="14"/>
  <c r="DB51" i="14" s="1"/>
  <c r="DF57" i="18"/>
  <c r="EU57" i="18" s="1"/>
  <c r="FH57" i="18" s="1"/>
  <c r="EU6" i="14"/>
  <c r="ET33" i="14"/>
  <c r="ET34" i="14" s="1"/>
  <c r="BX162" i="13"/>
  <c r="BQ55" i="11"/>
  <c r="DC34" i="14"/>
  <c r="DC42" i="14"/>
  <c r="DC43" i="14" s="1"/>
  <c r="BY74" i="13"/>
  <c r="BR55" i="11" s="1"/>
  <c r="CA138" i="11"/>
  <c r="DH119" i="15"/>
  <c r="CA109" i="12"/>
  <c r="DH15" i="14"/>
  <c r="DH81" i="18"/>
  <c r="DH13" i="18"/>
  <c r="DH44" i="18" s="1"/>
  <c r="BQ77" i="11"/>
  <c r="CX87" i="18"/>
  <c r="BQ64" i="11"/>
  <c r="ER99" i="15"/>
  <c r="CZ24" i="15"/>
  <c r="ES24" i="15" s="1"/>
  <c r="ES15" i="15"/>
  <c r="DA19" i="15"/>
  <c r="DA28" i="15" s="1"/>
  <c r="BT24" i="11"/>
  <c r="CW74" i="15"/>
  <c r="ER74" i="15" s="1"/>
  <c r="ER54" i="15"/>
  <c r="BT37" i="11"/>
  <c r="DD6" i="18"/>
  <c r="DD37" i="18"/>
  <c r="CZ111" i="7"/>
  <c r="DI87" i="15" s="1"/>
  <c r="DI133" i="18" s="1"/>
  <c r="EV133" i="18" s="1"/>
  <c r="CZ120" i="7"/>
  <c r="DE9" i="14"/>
  <c r="DE48" i="14" s="1"/>
  <c r="DE49" i="18"/>
  <c r="EU49" i="18" s="1"/>
  <c r="FH49" i="18" s="1"/>
  <c r="BP86" i="11"/>
  <c r="BP95" i="11"/>
  <c r="BR58" i="12"/>
  <c r="CY68" i="15" s="1"/>
  <c r="BP64" i="12"/>
  <c r="BQ45" i="12"/>
  <c r="BQ70" i="12"/>
  <c r="DE327" i="2"/>
  <c r="DE3" i="14"/>
  <c r="CX54" i="15"/>
  <c r="ER68" i="15"/>
  <c r="CB3" i="13"/>
  <c r="DB6" i="15"/>
  <c r="BY133" i="13"/>
  <c r="BR102" i="11" s="1"/>
  <c r="BX139" i="13"/>
  <c r="CX80" i="15"/>
  <c r="BY103" i="13"/>
  <c r="BU7" i="12"/>
  <c r="BU21" i="12" s="1"/>
  <c r="DB10" i="15"/>
  <c r="BX129" i="13"/>
  <c r="BU168" i="13"/>
  <c r="BV142" i="13"/>
  <c r="BV158" i="13"/>
  <c r="BX124" i="13"/>
  <c r="BX130" i="13"/>
  <c r="BY123" i="13"/>
  <c r="BW127" i="13"/>
  <c r="BW121" i="13"/>
  <c r="DR121" i="13" s="1"/>
  <c r="CX543" i="2"/>
  <c r="CX549" i="2" s="1"/>
  <c r="DA544" i="2"/>
  <c r="CB134" i="13" s="1"/>
  <c r="DA546" i="2"/>
  <c r="CB136" i="13" s="1"/>
  <c r="DA497" i="2"/>
  <c r="CB112" i="13" s="1"/>
  <c r="DA498" i="2"/>
  <c r="CB113" i="13" s="1"/>
  <c r="BX102" i="13"/>
  <c r="CW502" i="2"/>
  <c r="BY115" i="13"/>
  <c r="CZ417" i="2"/>
  <c r="CZ439" i="2" s="1"/>
  <c r="BY116" i="13"/>
  <c r="CX488" i="2"/>
  <c r="BY114" i="13"/>
  <c r="CA18" i="13"/>
  <c r="CZ398" i="2"/>
  <c r="CB51" i="13"/>
  <c r="DA495" i="2"/>
  <c r="CY510" i="2"/>
  <c r="CB23" i="13"/>
  <c r="DL526" i="2"/>
  <c r="DK513" i="2"/>
  <c r="CA71" i="13"/>
  <c r="CZ474" i="2"/>
  <c r="CZ512" i="2" s="1"/>
  <c r="BZ69" i="13"/>
  <c r="DS69" i="13" s="1"/>
  <c r="BZ86" i="13"/>
  <c r="DA428" i="2"/>
  <c r="DA458" i="2" s="1"/>
  <c r="CB44" i="13"/>
  <c r="CA43" i="13"/>
  <c r="DE7" i="14"/>
  <c r="CY446" i="2"/>
  <c r="CY445" i="2"/>
  <c r="CY448" i="2"/>
  <c r="CY447" i="2"/>
  <c r="DF9" i="14"/>
  <c r="DF48" i="14" s="1"/>
  <c r="BS18" i="12"/>
  <c r="DL18" i="12" s="1"/>
  <c r="CY454" i="2"/>
  <c r="CY452" i="2"/>
  <c r="CY453" i="2"/>
  <c r="BZ32" i="13"/>
  <c r="DS32" i="13" s="1"/>
  <c r="BZ54" i="13"/>
  <c r="DS54" i="13" s="1"/>
  <c r="DB377" i="2"/>
  <c r="DB380" i="2" s="1"/>
  <c r="DB395" i="2"/>
  <c r="DB396" i="2"/>
  <c r="CA39" i="13"/>
  <c r="DB419" i="2"/>
  <c r="DB425" i="2"/>
  <c r="BZ38" i="13"/>
  <c r="DS38" i="13" s="1"/>
  <c r="CB29" i="13"/>
  <c r="CB25" i="13"/>
  <c r="DB418" i="2"/>
  <c r="DB424" i="2"/>
  <c r="DA399" i="2"/>
  <c r="CB22" i="13"/>
  <c r="CC6" i="13"/>
  <c r="CC5" i="13"/>
  <c r="DC482" i="2"/>
  <c r="DC394" i="2" s="1"/>
  <c r="DC377" i="2" s="1"/>
  <c r="CD95" i="13"/>
  <c r="CC98" i="13"/>
  <c r="DT98" i="13" s="1"/>
  <c r="DG6" i="14"/>
  <c r="DG330" i="2"/>
  <c r="DG329" i="2" s="1"/>
  <c r="DG361" i="2"/>
  <c r="DG357" i="2"/>
  <c r="DH26" i="14"/>
  <c r="DH148" i="18" s="1"/>
  <c r="DH367" i="2"/>
  <c r="DH45" i="14"/>
  <c r="DI10" i="14"/>
  <c r="EV10" i="14" s="1"/>
  <c r="EV15" i="14" s="1"/>
  <c r="DH333" i="2"/>
  <c r="DI27" i="14"/>
  <c r="EV27" i="14" s="1"/>
  <c r="DH342" i="2"/>
  <c r="DI343" i="2"/>
  <c r="DG347" i="2"/>
  <c r="DI345" i="2"/>
  <c r="DI29" i="14"/>
  <c r="EV29" i="14" s="1"/>
  <c r="DF7" i="14"/>
  <c r="DF331" i="2"/>
  <c r="DI344" i="2"/>
  <c r="DI28" i="14"/>
  <c r="DI312" i="2"/>
  <c r="CZ147" i="7"/>
  <c r="EM147" i="7" s="1"/>
  <c r="DI267" i="2"/>
  <c r="DG252" i="2"/>
  <c r="DA37" i="7"/>
  <c r="ET42" i="14" l="1"/>
  <c r="EV28" i="14"/>
  <c r="DA48" i="15"/>
  <c r="DH288" i="2"/>
  <c r="DA457" i="2"/>
  <c r="CB71" i="13"/>
  <c r="CB87" i="13" s="1"/>
  <c r="ED109" i="3"/>
  <c r="EC109" i="3"/>
  <c r="ET45" i="7"/>
  <c r="FA45" i="7" s="1"/>
  <c r="FD111" i="3"/>
  <c r="FK111" i="3" s="1"/>
  <c r="FD110" i="3"/>
  <c r="DD34" i="14"/>
  <c r="DD42" i="14"/>
  <c r="CX162" i="18"/>
  <c r="CX108" i="15"/>
  <c r="BX144" i="13"/>
  <c r="CX99" i="15"/>
  <c r="BQ88" i="12"/>
  <c r="DE11" i="14"/>
  <c r="CW93" i="15"/>
  <c r="BT20" i="11"/>
  <c r="FH6" i="14"/>
  <c r="FH7" i="14" s="1"/>
  <c r="EU7" i="14"/>
  <c r="BV5" i="11"/>
  <c r="DT5" i="13"/>
  <c r="BZ85" i="13"/>
  <c r="DS85" i="13" s="1"/>
  <c r="DS86" i="13"/>
  <c r="DR122" i="13"/>
  <c r="BV6" i="11"/>
  <c r="DT6" i="13"/>
  <c r="CB49" i="13"/>
  <c r="BP98" i="11"/>
  <c r="DR127" i="13"/>
  <c r="BU8" i="11"/>
  <c r="BP82" i="12"/>
  <c r="DK64" i="12"/>
  <c r="BQ79" i="11"/>
  <c r="CA87" i="13"/>
  <c r="BQ99" i="12"/>
  <c r="BQ128" i="11"/>
  <c r="DD139" i="18"/>
  <c r="BO132" i="11"/>
  <c r="CB78" i="12"/>
  <c r="EM120" i="7"/>
  <c r="DE18" i="14"/>
  <c r="EU9" i="14"/>
  <c r="DC50" i="14"/>
  <c r="BY155" i="13"/>
  <c r="BY165" i="13"/>
  <c r="BY162" i="13"/>
  <c r="DE6" i="18"/>
  <c r="DE37" i="18"/>
  <c r="DB19" i="15"/>
  <c r="DB28" i="15" s="1"/>
  <c r="DB48" i="15" s="1"/>
  <c r="BU24" i="11"/>
  <c r="EV87" i="15"/>
  <c r="BQ86" i="11"/>
  <c r="BQ95" i="11"/>
  <c r="CB138" i="11"/>
  <c r="DI119" i="15"/>
  <c r="CB109" i="12"/>
  <c r="DE14" i="14"/>
  <c r="DE66" i="18"/>
  <c r="DG7" i="14"/>
  <c r="DG57" i="18"/>
  <c r="DE20" i="14"/>
  <c r="BR77" i="11"/>
  <c r="BR64" i="11"/>
  <c r="CY87" i="18"/>
  <c r="DF37" i="14"/>
  <c r="DF66" i="18"/>
  <c r="CX74" i="15"/>
  <c r="CX93" i="15" s="1"/>
  <c r="DE37" i="14"/>
  <c r="DE31" i="14"/>
  <c r="DE23" i="14"/>
  <c r="DA111" i="7"/>
  <c r="DJ87" i="15" s="1"/>
  <c r="DA120" i="7"/>
  <c r="DI15" i="14"/>
  <c r="DI81" i="18"/>
  <c r="EV81" i="18" s="1"/>
  <c r="DI13" i="18"/>
  <c r="DI44" i="18" s="1"/>
  <c r="EV44" i="18" s="1"/>
  <c r="DE40" i="14"/>
  <c r="BR45" i="12"/>
  <c r="BR64" i="12" s="1"/>
  <c r="BW122" i="13"/>
  <c r="BP89" i="11"/>
  <c r="DK89" i="11" s="1"/>
  <c r="BY139" i="13"/>
  <c r="BR70" i="12"/>
  <c r="BQ64" i="12"/>
  <c r="CB17" i="13"/>
  <c r="BU20" i="11" s="1"/>
  <c r="DF327" i="2"/>
  <c r="DF3" i="14"/>
  <c r="EU3" i="14" s="1"/>
  <c r="FH3" i="14" s="1"/>
  <c r="CY54" i="15"/>
  <c r="CY74" i="15" s="1"/>
  <c r="CY80" i="15"/>
  <c r="BY129" i="13"/>
  <c r="BV167" i="13"/>
  <c r="BV159" i="13"/>
  <c r="DA15" i="15"/>
  <c r="BW128" i="13"/>
  <c r="BW141" i="13"/>
  <c r="DR141" i="13" s="1"/>
  <c r="BY124" i="13"/>
  <c r="BY130" i="13"/>
  <c r="BX127" i="13"/>
  <c r="BX121" i="13"/>
  <c r="CZ416" i="2"/>
  <c r="CZ444" i="2" s="1"/>
  <c r="CZ446" i="2" s="1"/>
  <c r="CA33" i="13"/>
  <c r="BY102" i="13"/>
  <c r="BR79" i="11" s="1"/>
  <c r="CX502" i="2"/>
  <c r="BT11" i="12"/>
  <c r="DA493" i="2"/>
  <c r="CB107" i="13" s="1"/>
  <c r="CB109" i="13"/>
  <c r="DM526" i="2"/>
  <c r="DL513" i="2"/>
  <c r="CA70" i="13"/>
  <c r="CZ456" i="2"/>
  <c r="CZ473" i="2"/>
  <c r="CZ511" i="2" s="1"/>
  <c r="CZ510" i="2" s="1"/>
  <c r="DB409" i="2"/>
  <c r="DB436" i="2" s="1"/>
  <c r="DB408" i="2"/>
  <c r="DB435" i="2" s="1"/>
  <c r="DB494" i="2" s="1"/>
  <c r="CC108" i="13" s="1"/>
  <c r="DT108" i="13" s="1"/>
  <c r="CB43" i="13"/>
  <c r="DF40" i="14"/>
  <c r="DF11" i="14"/>
  <c r="CC40" i="13"/>
  <c r="DT40" i="13" s="1"/>
  <c r="CY451" i="2"/>
  <c r="BZ65" i="13"/>
  <c r="CZ452" i="2"/>
  <c r="CY468" i="2"/>
  <c r="CY506" i="2" s="1"/>
  <c r="BZ60" i="13"/>
  <c r="CY465" i="2"/>
  <c r="CC34" i="13"/>
  <c r="DT34" i="13" s="1"/>
  <c r="BZ66" i="13"/>
  <c r="DS66" i="13" s="1"/>
  <c r="CZ453" i="2"/>
  <c r="CY469" i="2"/>
  <c r="CY507" i="2" s="1"/>
  <c r="CY491" i="2" s="1"/>
  <c r="BZ105" i="13" s="1"/>
  <c r="DS105" i="13" s="1"/>
  <c r="DF20" i="14"/>
  <c r="BZ67" i="13"/>
  <c r="CZ454" i="2"/>
  <c r="CY470" i="2"/>
  <c r="CY508" i="2" s="1"/>
  <c r="CY492" i="2" s="1"/>
  <c r="BZ106" i="13" s="1"/>
  <c r="DS106" i="13" s="1"/>
  <c r="BZ59" i="13"/>
  <c r="CY464" i="2"/>
  <c r="DF23" i="14"/>
  <c r="BZ57" i="13"/>
  <c r="DS57" i="13" s="1"/>
  <c r="CY462" i="2"/>
  <c r="DG9" i="14"/>
  <c r="DG48" i="14" s="1"/>
  <c r="BZ58" i="13"/>
  <c r="CY463" i="2"/>
  <c r="DF14" i="14"/>
  <c r="DF31" i="14"/>
  <c r="CC41" i="13"/>
  <c r="DT41" i="13" s="1"/>
  <c r="DF18" i="14"/>
  <c r="DC379" i="2"/>
  <c r="CC35" i="13"/>
  <c r="DT35" i="13" s="1"/>
  <c r="CC4" i="13"/>
  <c r="DT4" i="13" s="1"/>
  <c r="DB426" i="2"/>
  <c r="DA398" i="2"/>
  <c r="CB18" i="13"/>
  <c r="DA417" i="2"/>
  <c r="DA439" i="2" s="1"/>
  <c r="DA423" i="2"/>
  <c r="DA422" i="2" s="1"/>
  <c r="CA38" i="13"/>
  <c r="DB392" i="2"/>
  <c r="DC396" i="2"/>
  <c r="CC15" i="13"/>
  <c r="DT15" i="13" s="1"/>
  <c r="DB391" i="2"/>
  <c r="CC10" i="13" s="1"/>
  <c r="DT10" i="13" s="1"/>
  <c r="DC395" i="2"/>
  <c r="CC14" i="13"/>
  <c r="DT14" i="13" s="1"/>
  <c r="CD4" i="13"/>
  <c r="CD99" i="13"/>
  <c r="DD479" i="2"/>
  <c r="DD483" i="2" s="1"/>
  <c r="DC378" i="2"/>
  <c r="DH6" i="14"/>
  <c r="DH57" i="18" s="1"/>
  <c r="DH330" i="2"/>
  <c r="DI6" i="14" s="1"/>
  <c r="DI57" i="18" s="1"/>
  <c r="DH357" i="2"/>
  <c r="DH361" i="2"/>
  <c r="DH347" i="2"/>
  <c r="DJ345" i="2"/>
  <c r="DJ29" i="14"/>
  <c r="DJ27" i="14"/>
  <c r="DJ343" i="2"/>
  <c r="DI342" i="2"/>
  <c r="DJ344" i="2"/>
  <c r="DJ28" i="14"/>
  <c r="DI26" i="14"/>
  <c r="DI148" i="18" s="1"/>
  <c r="EV148" i="18" s="1"/>
  <c r="DI367" i="2"/>
  <c r="DI45" i="14"/>
  <c r="DJ10" i="14"/>
  <c r="DI333" i="2"/>
  <c r="DG331" i="2"/>
  <c r="DH5" i="14"/>
  <c r="DJ312" i="2"/>
  <c r="DA147" i="7"/>
  <c r="DJ267" i="2"/>
  <c r="DH252" i="2"/>
  <c r="DB37" i="7"/>
  <c r="DI288" i="2" l="1"/>
  <c r="DA474" i="2"/>
  <c r="DA512" i="2" s="1"/>
  <c r="DC380" i="2"/>
  <c r="DC426" i="2" s="1"/>
  <c r="FD109" i="3"/>
  <c r="FK110" i="3"/>
  <c r="FK109" i="3" s="1"/>
  <c r="DD43" i="14"/>
  <c r="DD50" i="14"/>
  <c r="DD51" i="14" s="1"/>
  <c r="CX114" i="15"/>
  <c r="CX132" i="15" s="1"/>
  <c r="BX156" i="13"/>
  <c r="BQ118" i="11"/>
  <c r="EU11" i="14"/>
  <c r="FH11" i="14" s="1"/>
  <c r="ER93" i="15"/>
  <c r="CW114" i="15"/>
  <c r="BU37" i="11"/>
  <c r="BU39" i="12"/>
  <c r="CY162" i="18"/>
  <c r="CY108" i="15"/>
  <c r="BY144" i="13"/>
  <c r="BR88" i="12"/>
  <c r="CY99" i="15"/>
  <c r="BU33" i="11"/>
  <c r="EU20" i="14"/>
  <c r="FH20" i="14" s="1"/>
  <c r="BZ83" i="13"/>
  <c r="DS67" i="13"/>
  <c r="EV13" i="18"/>
  <c r="BP103" i="12"/>
  <c r="DK82" i="12"/>
  <c r="BZ81" i="13"/>
  <c r="DS81" i="13" s="1"/>
  <c r="DS65" i="13"/>
  <c r="BQ98" i="11"/>
  <c r="BV31" i="11"/>
  <c r="DM31" i="11" s="1"/>
  <c r="DM6" i="11"/>
  <c r="BT33" i="11"/>
  <c r="DE74" i="18"/>
  <c r="EU66" i="18"/>
  <c r="BS43" i="11"/>
  <c r="DL43" i="11" s="1"/>
  <c r="DS59" i="13"/>
  <c r="DR142" i="13"/>
  <c r="BO147" i="11"/>
  <c r="BT18" i="12"/>
  <c r="DR128" i="13"/>
  <c r="EV57" i="18"/>
  <c r="BP113" i="11"/>
  <c r="DK98" i="11"/>
  <c r="BQ82" i="12"/>
  <c r="EV45" i="14"/>
  <c r="EV43" i="14" s="1"/>
  <c r="BR99" i="12"/>
  <c r="DO109" i="12"/>
  <c r="FH9" i="14"/>
  <c r="EU14" i="14"/>
  <c r="EU48" i="14"/>
  <c r="EU31" i="14"/>
  <c r="BS42" i="11"/>
  <c r="DL42" i="11" s="1"/>
  <c r="DS58" i="13"/>
  <c r="BZ78" i="13"/>
  <c r="DS78" i="13" s="1"/>
  <c r="DS60" i="13"/>
  <c r="CA32" i="13"/>
  <c r="BR128" i="11"/>
  <c r="BV30" i="11"/>
  <c r="DM30" i="11" s="1"/>
  <c r="DM5" i="11"/>
  <c r="CC78" i="12"/>
  <c r="DO138" i="11"/>
  <c r="DC51" i="14"/>
  <c r="ET50" i="14"/>
  <c r="ET51" i="14" s="1"/>
  <c r="EU37" i="14"/>
  <c r="EV26" i="14"/>
  <c r="EV6" i="14"/>
  <c r="EU40" i="14"/>
  <c r="DE33" i="14"/>
  <c r="DE42" i="14" s="1"/>
  <c r="EU23" i="14"/>
  <c r="DH49" i="18"/>
  <c r="EU18" i="14"/>
  <c r="FH18" i="14" s="1"/>
  <c r="DF74" i="18"/>
  <c r="BS69" i="11"/>
  <c r="DL69" i="11" s="1"/>
  <c r="DF6" i="18"/>
  <c r="EU6" i="18" s="1"/>
  <c r="FH6" i="18" s="1"/>
  <c r="DF37" i="18"/>
  <c r="EU37" i="18" s="1"/>
  <c r="FH37" i="18" s="1"/>
  <c r="F8" i="24" s="1"/>
  <c r="DE21" i="14"/>
  <c r="DE104" i="18"/>
  <c r="DF33" i="14"/>
  <c r="DF169" i="18" s="1"/>
  <c r="DF113" i="18"/>
  <c r="DF139" i="18" s="1"/>
  <c r="DB15" i="15"/>
  <c r="DB24" i="15" s="1"/>
  <c r="DJ133" i="18"/>
  <c r="DB111" i="7"/>
  <c r="DK87" i="15" s="1"/>
  <c r="DK133" i="18" s="1"/>
  <c r="DB120" i="7"/>
  <c r="CD78" i="12" s="1"/>
  <c r="DJ15" i="14"/>
  <c r="DJ81" i="18"/>
  <c r="DJ13" i="18"/>
  <c r="CC138" i="11"/>
  <c r="DJ119" i="15"/>
  <c r="CC109" i="12"/>
  <c r="EV119" i="15"/>
  <c r="BS65" i="11"/>
  <c r="BS70" i="11"/>
  <c r="DL70" i="11" s="1"/>
  <c r="DG14" i="14"/>
  <c r="DG66" i="18"/>
  <c r="DE24" i="14"/>
  <c r="DE113" i="18"/>
  <c r="BR95" i="11"/>
  <c r="BR86" i="11"/>
  <c r="BS25" i="12"/>
  <c r="DL25" i="12" s="1"/>
  <c r="DF21" i="14"/>
  <c r="DF104" i="18"/>
  <c r="DA24" i="15"/>
  <c r="BX122" i="13"/>
  <c r="BQ89" i="11"/>
  <c r="BR82" i="12"/>
  <c r="DG327" i="2"/>
  <c r="DG3" i="14"/>
  <c r="CZ33" i="15"/>
  <c r="CY93" i="15"/>
  <c r="CZ445" i="2"/>
  <c r="CA57" i="13" s="1"/>
  <c r="CZ448" i="2"/>
  <c r="CZ465" i="2" s="1"/>
  <c r="CZ447" i="2"/>
  <c r="CA59" i="13" s="1"/>
  <c r="BW142" i="13"/>
  <c r="BW158" i="13"/>
  <c r="DR158" i="13" s="1"/>
  <c r="BX128" i="13"/>
  <c r="BX141" i="13"/>
  <c r="BV168" i="13"/>
  <c r="BY127" i="13"/>
  <c r="BR98" i="11" s="1"/>
  <c r="BR113" i="11" s="1"/>
  <c r="BY121" i="13"/>
  <c r="CA54" i="13"/>
  <c r="CC51" i="13"/>
  <c r="DT51" i="13" s="1"/>
  <c r="DB495" i="2"/>
  <c r="DN526" i="2"/>
  <c r="DM513" i="2"/>
  <c r="CY505" i="2"/>
  <c r="CY490" i="2"/>
  <c r="CC50" i="13"/>
  <c r="DT50" i="13" s="1"/>
  <c r="DB434" i="2"/>
  <c r="DC408" i="2"/>
  <c r="DC435" i="2" s="1"/>
  <c r="DC494" i="2" s="1"/>
  <c r="CB70" i="13"/>
  <c r="DA456" i="2"/>
  <c r="DA473" i="2"/>
  <c r="DA511" i="2" s="1"/>
  <c r="CA69" i="13"/>
  <c r="CA86" i="13"/>
  <c r="DC409" i="2"/>
  <c r="DC436" i="2" s="1"/>
  <c r="CC11" i="13"/>
  <c r="DT11" i="13" s="1"/>
  <c r="CD6" i="13"/>
  <c r="DC401" i="2"/>
  <c r="CD20" i="13" s="1"/>
  <c r="DB376" i="2"/>
  <c r="DB420" i="2"/>
  <c r="DG11" i="14"/>
  <c r="DF24" i="14"/>
  <c r="CC13" i="13"/>
  <c r="CY461" i="2"/>
  <c r="DG18" i="14"/>
  <c r="CZ451" i="2"/>
  <c r="CA65" i="13"/>
  <c r="CZ468" i="2"/>
  <c r="CZ506" i="2" s="1"/>
  <c r="BZ64" i="13"/>
  <c r="DS64" i="13" s="1"/>
  <c r="BZ82" i="13"/>
  <c r="DS82" i="13" s="1"/>
  <c r="BU11" i="12"/>
  <c r="DG37" i="14"/>
  <c r="DG40" i="14"/>
  <c r="BZ56" i="13"/>
  <c r="DS56" i="13" s="1"/>
  <c r="BZ75" i="13"/>
  <c r="DG31" i="14"/>
  <c r="DG23" i="14"/>
  <c r="DH9" i="14"/>
  <c r="DH48" i="14" s="1"/>
  <c r="DG20" i="14"/>
  <c r="CA67" i="13"/>
  <c r="CZ470" i="2"/>
  <c r="CZ508" i="2" s="1"/>
  <c r="CZ492" i="2" s="1"/>
  <c r="CA106" i="13" s="1"/>
  <c r="CA58" i="13"/>
  <c r="CZ463" i="2"/>
  <c r="CA66" i="13"/>
  <c r="CZ469" i="2"/>
  <c r="CZ507" i="2" s="1"/>
  <c r="CZ491" i="2" s="1"/>
  <c r="CA105" i="13" s="1"/>
  <c r="DC424" i="2"/>
  <c r="DC418" i="2"/>
  <c r="DA416" i="2"/>
  <c r="DA444" i="2" s="1"/>
  <c r="CB33" i="13"/>
  <c r="DC391" i="2"/>
  <c r="CD10" i="13" s="1"/>
  <c r="CD14" i="13"/>
  <c r="CC7" i="13"/>
  <c r="CB39" i="13"/>
  <c r="DA453" i="2"/>
  <c r="DB407" i="2"/>
  <c r="CC26" i="13"/>
  <c r="DB404" i="2"/>
  <c r="DC392" i="2"/>
  <c r="CD15" i="13"/>
  <c r="CC27" i="13"/>
  <c r="DT27" i="13" s="1"/>
  <c r="DB405" i="2"/>
  <c r="DB429" i="2" s="1"/>
  <c r="CD5" i="13"/>
  <c r="DH329" i="2"/>
  <c r="DH331" i="2" s="1"/>
  <c r="DD482" i="2"/>
  <c r="CE95" i="13"/>
  <c r="CD98" i="13"/>
  <c r="DI330" i="2"/>
  <c r="DJ6" i="14" s="1"/>
  <c r="DI361" i="2"/>
  <c r="DI357" i="2"/>
  <c r="DH7" i="14"/>
  <c r="DI347" i="2"/>
  <c r="DJ367" i="2"/>
  <c r="DJ45" i="14"/>
  <c r="DK344" i="2"/>
  <c r="DK28" i="14"/>
  <c r="DK27" i="14"/>
  <c r="DK343" i="2"/>
  <c r="DJ342" i="2"/>
  <c r="DJ26" i="14"/>
  <c r="DK10" i="14"/>
  <c r="DJ333" i="2"/>
  <c r="DK345" i="2"/>
  <c r="DK29" i="14"/>
  <c r="DK312" i="2"/>
  <c r="DB147" i="7"/>
  <c r="DK267" i="2"/>
  <c r="DI252" i="2"/>
  <c r="DC37" i="7"/>
  <c r="EN37" i="7" s="1"/>
  <c r="FH40" i="14" l="1"/>
  <c r="FH37" i="14"/>
  <c r="DA510" i="2"/>
  <c r="CY570" i="2"/>
  <c r="CY590" i="2"/>
  <c r="BZ161" i="13" s="1"/>
  <c r="DJ288" i="2"/>
  <c r="BR103" i="12"/>
  <c r="BR118" i="12" s="1"/>
  <c r="CY114" i="15"/>
  <c r="CY132" i="15" s="1"/>
  <c r="ER114" i="15"/>
  <c r="CW132" i="15"/>
  <c r="BY156" i="13"/>
  <c r="BR118" i="11"/>
  <c r="DS75" i="13"/>
  <c r="EU21" i="14"/>
  <c r="DF34" i="14"/>
  <c r="FH21" i="14"/>
  <c r="DF42" i="14"/>
  <c r="EU42" i="14" s="1"/>
  <c r="FH42" i="14" s="1"/>
  <c r="DE34" i="14"/>
  <c r="DE43" i="14"/>
  <c r="DE50" i="14"/>
  <c r="DE51" i="14" s="1"/>
  <c r="DE169" i="18"/>
  <c r="EU169" i="18" s="1"/>
  <c r="FH169" i="18" s="1"/>
  <c r="F54" i="24" s="1"/>
  <c r="BV14" i="12"/>
  <c r="DM14" i="12" s="1"/>
  <c r="DT26" i="13"/>
  <c r="BW6" i="11"/>
  <c r="CA83" i="13"/>
  <c r="DR159" i="13"/>
  <c r="BQ103" i="12"/>
  <c r="BZ77" i="13"/>
  <c r="DS83" i="13"/>
  <c r="BW5" i="11"/>
  <c r="BV12" i="11"/>
  <c r="DM12" i="11" s="1"/>
  <c r="DT13" i="13"/>
  <c r="DG74" i="18"/>
  <c r="CA85" i="13"/>
  <c r="DJ44" i="18"/>
  <c r="EU74" i="18"/>
  <c r="FH66" i="18"/>
  <c r="DT30" i="13"/>
  <c r="BT43" i="11"/>
  <c r="CC3" i="13"/>
  <c r="DT7" i="13"/>
  <c r="BQ113" i="11"/>
  <c r="BP118" i="12"/>
  <c r="DK118" i="12" s="1"/>
  <c r="DK103" i="12"/>
  <c r="DL65" i="11"/>
  <c r="CA81" i="13"/>
  <c r="EU104" i="18"/>
  <c r="FH104" i="18" s="1"/>
  <c r="F28" i="24" s="1"/>
  <c r="FH14" i="14"/>
  <c r="FH48" i="14"/>
  <c r="FH31" i="14"/>
  <c r="BP132" i="11"/>
  <c r="DK113" i="11"/>
  <c r="BT42" i="11"/>
  <c r="DS62" i="13"/>
  <c r="BW18" i="11"/>
  <c r="DE139" i="18"/>
  <c r="EU139" i="18" s="1"/>
  <c r="FH139" i="18" s="1"/>
  <c r="F46" i="24" s="1"/>
  <c r="EU113" i="18"/>
  <c r="FH113" i="18" s="1"/>
  <c r="F37" i="24" s="1"/>
  <c r="FH23" i="14"/>
  <c r="FH24" i="14" s="1"/>
  <c r="EU24" i="14"/>
  <c r="DJ148" i="18"/>
  <c r="DJ57" i="18"/>
  <c r="EU33" i="14"/>
  <c r="DG33" i="14"/>
  <c r="DG113" i="18"/>
  <c r="BZ80" i="13"/>
  <c r="DS80" i="13" s="1"/>
  <c r="BZ76" i="13"/>
  <c r="DC111" i="7"/>
  <c r="DL87" i="15" s="1"/>
  <c r="DL133" i="18" s="1"/>
  <c r="EW133" i="18" s="1"/>
  <c r="DC120" i="7"/>
  <c r="DH37" i="14"/>
  <c r="DH66" i="18"/>
  <c r="DH74" i="18" s="1"/>
  <c r="DK15" i="14"/>
  <c r="DK81" i="18"/>
  <c r="DK13" i="18"/>
  <c r="DK44" i="18" s="1"/>
  <c r="BT69" i="11"/>
  <c r="CD138" i="11"/>
  <c r="CD109" i="12"/>
  <c r="DK119" i="15"/>
  <c r="BZ62" i="13"/>
  <c r="BS45" i="11"/>
  <c r="DL45" i="11" s="1"/>
  <c r="BT70" i="11"/>
  <c r="BT65" i="11"/>
  <c r="CZ39" i="15"/>
  <c r="ES39" i="15" s="1"/>
  <c r="ES33" i="15"/>
  <c r="DG21" i="14"/>
  <c r="DG104" i="18"/>
  <c r="DG6" i="18"/>
  <c r="DG37" i="18"/>
  <c r="BY122" i="13"/>
  <c r="BR89" i="11"/>
  <c r="BV4" i="12"/>
  <c r="DM4" i="12" s="1"/>
  <c r="DH327" i="2"/>
  <c r="DH3" i="14"/>
  <c r="CZ464" i="2"/>
  <c r="CZ462" i="2"/>
  <c r="CA60" i="13"/>
  <c r="DA445" i="2"/>
  <c r="CB57" i="13" s="1"/>
  <c r="DC6" i="15"/>
  <c r="ET6" i="15" s="1"/>
  <c r="BX158" i="13"/>
  <c r="BX142" i="13"/>
  <c r="BY128" i="13"/>
  <c r="BY141" i="13"/>
  <c r="BW159" i="13"/>
  <c r="BW167" i="13"/>
  <c r="DR167" i="13" s="1"/>
  <c r="BV7" i="12"/>
  <c r="DC10" i="15"/>
  <c r="ET10" i="15" s="1"/>
  <c r="CY547" i="2"/>
  <c r="BZ137" i="13" s="1"/>
  <c r="CY548" i="2"/>
  <c r="BZ138" i="13" s="1"/>
  <c r="DB544" i="2"/>
  <c r="CC134" i="13" s="1"/>
  <c r="DT134" i="13" s="1"/>
  <c r="DB546" i="2"/>
  <c r="CC136" i="13" s="1"/>
  <c r="DT136" i="13" s="1"/>
  <c r="DB497" i="2"/>
  <c r="CC112" i="13" s="1"/>
  <c r="DB498" i="2"/>
  <c r="CC113" i="13" s="1"/>
  <c r="CY496" i="2"/>
  <c r="BZ110" i="13" s="1"/>
  <c r="CY500" i="2"/>
  <c r="CY501" i="2"/>
  <c r="CY499" i="2"/>
  <c r="DC419" i="2"/>
  <c r="CD35" i="13" s="1"/>
  <c r="CC49" i="13"/>
  <c r="CD51" i="13"/>
  <c r="DC495" i="2"/>
  <c r="CD109" i="13" s="1"/>
  <c r="DB493" i="2"/>
  <c r="CC107" i="13" s="1"/>
  <c r="CC109" i="13"/>
  <c r="DT109" i="13" s="1"/>
  <c r="CD108" i="13"/>
  <c r="DO526" i="2"/>
  <c r="DN513" i="2"/>
  <c r="CZ505" i="2"/>
  <c r="CZ490" i="2"/>
  <c r="BZ104" i="13"/>
  <c r="CY489" i="2"/>
  <c r="CB69" i="13"/>
  <c r="CB86" i="13"/>
  <c r="CB85" i="13" s="1"/>
  <c r="CD50" i="13"/>
  <c r="DC434" i="2"/>
  <c r="DC425" i="2"/>
  <c r="CD41" i="13" s="1"/>
  <c r="DB428" i="2"/>
  <c r="CC44" i="13"/>
  <c r="DT44" i="13" s="1"/>
  <c r="CD11" i="13"/>
  <c r="DC376" i="2"/>
  <c r="DC420" i="2"/>
  <c r="DH31" i="14"/>
  <c r="DG24" i="14"/>
  <c r="DI5" i="14"/>
  <c r="EV5" i="14" s="1"/>
  <c r="EV7" i="14" s="1"/>
  <c r="DA447" i="2"/>
  <c r="CB59" i="13" s="1"/>
  <c r="BU43" i="11" s="1"/>
  <c r="DA448" i="2"/>
  <c r="DA465" i="2" s="1"/>
  <c r="DI329" i="2"/>
  <c r="DJ5" i="14" s="1"/>
  <c r="DH20" i="14"/>
  <c r="DH11" i="14"/>
  <c r="DA446" i="2"/>
  <c r="CB58" i="13" s="1"/>
  <c r="BU42" i="11" s="1"/>
  <c r="DA452" i="2"/>
  <c r="DA468" i="2" s="1"/>
  <c r="DA506" i="2" s="1"/>
  <c r="DH23" i="14"/>
  <c r="CB66" i="13"/>
  <c r="DA469" i="2"/>
  <c r="DA507" i="2" s="1"/>
  <c r="DA491" i="2" s="1"/>
  <c r="CB105" i="13" s="1"/>
  <c r="CD34" i="13"/>
  <c r="CC36" i="13"/>
  <c r="DT36" i="13" s="1"/>
  <c r="CA64" i="13"/>
  <c r="CA82" i="13"/>
  <c r="DA454" i="2"/>
  <c r="BU18" i="12"/>
  <c r="DH14" i="14"/>
  <c r="DH18" i="14"/>
  <c r="CC30" i="13"/>
  <c r="BV15" i="12"/>
  <c r="DM15" i="12" s="1"/>
  <c r="CD40" i="13"/>
  <c r="BS31" i="12"/>
  <c r="DL31" i="12" s="1"/>
  <c r="CA75" i="13"/>
  <c r="DH40" i="14"/>
  <c r="CC25" i="13"/>
  <c r="DT25" i="13" s="1"/>
  <c r="CC29" i="13"/>
  <c r="CB32" i="13"/>
  <c r="CB54" i="13"/>
  <c r="CB38" i="13"/>
  <c r="CD27" i="13"/>
  <c r="CD7" i="13"/>
  <c r="CD13" i="13"/>
  <c r="DB399" i="2"/>
  <c r="DC404" i="2"/>
  <c r="CC22" i="13"/>
  <c r="DT22" i="13" s="1"/>
  <c r="DC405" i="2"/>
  <c r="DC429" i="2" s="1"/>
  <c r="CC23" i="13"/>
  <c r="DT23" i="13" s="1"/>
  <c r="DC407" i="2"/>
  <c r="CD26" i="13"/>
  <c r="DD394" i="2"/>
  <c r="DD379" i="2"/>
  <c r="DD401" i="2" s="1"/>
  <c r="CE20" i="13" s="1"/>
  <c r="BX18" i="11" s="1"/>
  <c r="DE479" i="2"/>
  <c r="DE483" i="2" s="1"/>
  <c r="CE99" i="13"/>
  <c r="DD378" i="2"/>
  <c r="DJ330" i="2"/>
  <c r="DK6" i="14" s="1"/>
  <c r="DK57" i="18" s="1"/>
  <c r="DJ361" i="2"/>
  <c r="DJ357" i="2"/>
  <c r="DJ347" i="2"/>
  <c r="DL344" i="2"/>
  <c r="DL28" i="14"/>
  <c r="DL27" i="14"/>
  <c r="EW27" i="14" s="1"/>
  <c r="DL343" i="2"/>
  <c r="DK342" i="2"/>
  <c r="DK26" i="14"/>
  <c r="DK148" i="18" s="1"/>
  <c r="DK367" i="2"/>
  <c r="DK45" i="14"/>
  <c r="DL345" i="2"/>
  <c r="DL29" i="14"/>
  <c r="EW29" i="14" s="1"/>
  <c r="DL10" i="14"/>
  <c r="EW10" i="14" s="1"/>
  <c r="EW15" i="14" s="1"/>
  <c r="DK333" i="2"/>
  <c r="DL312" i="2"/>
  <c r="DC147" i="7"/>
  <c r="EN147" i="7" s="1"/>
  <c r="DL267" i="2"/>
  <c r="DJ252" i="2"/>
  <c r="DD37" i="7"/>
  <c r="DS161" i="13" l="1"/>
  <c r="BS108" i="12"/>
  <c r="BS137" i="11"/>
  <c r="CZ120" i="15"/>
  <c r="EW28" i="14"/>
  <c r="DB458" i="2"/>
  <c r="DB457" i="2"/>
  <c r="DK288" i="2"/>
  <c r="FH74" i="18"/>
  <c r="F15" i="24"/>
  <c r="DS104" i="13"/>
  <c r="DS110" i="13"/>
  <c r="DT113" i="13"/>
  <c r="DT107" i="13"/>
  <c r="DT112" i="13"/>
  <c r="ER132" i="15"/>
  <c r="BR132" i="11"/>
  <c r="BR147" i="11" s="1"/>
  <c r="DF50" i="14"/>
  <c r="DF43" i="14"/>
  <c r="BS94" i="12"/>
  <c r="BS95" i="12"/>
  <c r="DL95" i="12" s="1"/>
  <c r="BS97" i="12"/>
  <c r="DL97" i="12" s="1"/>
  <c r="CZ67" i="18"/>
  <c r="DS137" i="13"/>
  <c r="DS138" i="13"/>
  <c r="DT49" i="13"/>
  <c r="BV39" i="12"/>
  <c r="DM39" i="12" s="1"/>
  <c r="BW31" i="11"/>
  <c r="DR168" i="13"/>
  <c r="BQ132" i="11"/>
  <c r="DT29" i="13"/>
  <c r="BV21" i="12"/>
  <c r="DM21" i="12" s="1"/>
  <c r="DM7" i="12"/>
  <c r="BS53" i="11"/>
  <c r="DS77" i="13"/>
  <c r="BZ125" i="13"/>
  <c r="BZ131" i="13"/>
  <c r="BW12" i="11"/>
  <c r="CA78" i="13"/>
  <c r="BW14" i="12"/>
  <c r="BW4" i="12"/>
  <c r="BS52" i="11"/>
  <c r="DL52" i="11" s="1"/>
  <c r="DS76" i="13"/>
  <c r="FH33" i="14"/>
  <c r="FH34" i="14" s="1"/>
  <c r="EU34" i="14"/>
  <c r="DG139" i="18"/>
  <c r="CA77" i="13"/>
  <c r="BP147" i="11"/>
  <c r="DK147" i="11" s="1"/>
  <c r="DK132" i="11"/>
  <c r="BQ118" i="12"/>
  <c r="BV8" i="11"/>
  <c r="DM8" i="11" s="1"/>
  <c r="DT3" i="13"/>
  <c r="BW30" i="11"/>
  <c r="CE78" i="12"/>
  <c r="EN120" i="7"/>
  <c r="DG169" i="18"/>
  <c r="DG42" i="14"/>
  <c r="DG34" i="14"/>
  <c r="CZ461" i="2"/>
  <c r="CZ590" i="2" s="1"/>
  <c r="CA161" i="13" s="1"/>
  <c r="DH24" i="14"/>
  <c r="DH113" i="18"/>
  <c r="DH139" i="18" s="1"/>
  <c r="DI9" i="14"/>
  <c r="DI14" i="14" s="1"/>
  <c r="DI49" i="18"/>
  <c r="EV49" i="18" s="1"/>
  <c r="BV37" i="11"/>
  <c r="DM37" i="11" s="1"/>
  <c r="DL15" i="14"/>
  <c r="DL81" i="18"/>
  <c r="EW81" i="18" s="1"/>
  <c r="DL13" i="18"/>
  <c r="DL44" i="18" s="1"/>
  <c r="EW44" i="18" s="1"/>
  <c r="BZ74" i="13"/>
  <c r="BZ165" i="13" s="1"/>
  <c r="EW87" i="15"/>
  <c r="DD111" i="7"/>
  <c r="DM87" i="15" s="1"/>
  <c r="DD120" i="7"/>
  <c r="CA80" i="13"/>
  <c r="CA76" i="13"/>
  <c r="CE138" i="11"/>
  <c r="DL119" i="15"/>
  <c r="CE109" i="12"/>
  <c r="DH21" i="14"/>
  <c r="DH104" i="18"/>
  <c r="DH6" i="18"/>
  <c r="DH37" i="18"/>
  <c r="DJ9" i="14"/>
  <c r="DJ20" i="14" s="1"/>
  <c r="DJ49" i="18"/>
  <c r="DC19" i="15"/>
  <c r="ET19" i="15" s="1"/>
  <c r="BV24" i="11"/>
  <c r="DM24" i="11" s="1"/>
  <c r="BU69" i="11"/>
  <c r="BS58" i="12"/>
  <c r="BT25" i="12"/>
  <c r="CC17" i="13"/>
  <c r="DI327" i="2"/>
  <c r="DI3" i="14"/>
  <c r="EV3" i="14" s="1"/>
  <c r="DA462" i="2"/>
  <c r="CA56" i="13"/>
  <c r="DA33" i="15"/>
  <c r="CD3" i="13"/>
  <c r="DD6" i="15"/>
  <c r="BZ103" i="13"/>
  <c r="DS103" i="13" s="1"/>
  <c r="CD49" i="13"/>
  <c r="BW39" i="12" s="1"/>
  <c r="BW168" i="13"/>
  <c r="CB75" i="13"/>
  <c r="BY158" i="13"/>
  <c r="BY142" i="13"/>
  <c r="BW7" i="12"/>
  <c r="DD10" i="15"/>
  <c r="BX167" i="13"/>
  <c r="BX159" i="13"/>
  <c r="BZ133" i="13"/>
  <c r="BZ123" i="13"/>
  <c r="CY543" i="2"/>
  <c r="CY549" i="2" s="1"/>
  <c r="DC544" i="2"/>
  <c r="CD134" i="13" s="1"/>
  <c r="DC546" i="2"/>
  <c r="CD136" i="13" s="1"/>
  <c r="DC497" i="2"/>
  <c r="CD112" i="13" s="1"/>
  <c r="DC498" i="2"/>
  <c r="CD113" i="13" s="1"/>
  <c r="DC493" i="2"/>
  <c r="CD107" i="13" s="1"/>
  <c r="CY488" i="2"/>
  <c r="BZ114" i="13"/>
  <c r="BZ116" i="13"/>
  <c r="DS116" i="13" s="1"/>
  <c r="BZ115" i="13"/>
  <c r="DP526" i="2"/>
  <c r="DO513" i="2"/>
  <c r="DA490" i="2"/>
  <c r="CA104" i="13"/>
  <c r="CZ489" i="2"/>
  <c r="DC428" i="2"/>
  <c r="CD44" i="13"/>
  <c r="CC43" i="13"/>
  <c r="DT43" i="13" s="1"/>
  <c r="DI7" i="14"/>
  <c r="DI331" i="2"/>
  <c r="CB60" i="13"/>
  <c r="CB78" i="13" s="1"/>
  <c r="DA463" i="2"/>
  <c r="DH33" i="14"/>
  <c r="DA464" i="2"/>
  <c r="DA451" i="2"/>
  <c r="CB65" i="13"/>
  <c r="CB82" i="13"/>
  <c r="CB76" i="13" s="1"/>
  <c r="CD36" i="13"/>
  <c r="CD30" i="13"/>
  <c r="BW15" i="12"/>
  <c r="CB67" i="13"/>
  <c r="DA470" i="2"/>
  <c r="DA508" i="2" s="1"/>
  <c r="DA492" i="2" s="1"/>
  <c r="CB106" i="13" s="1"/>
  <c r="CD23" i="13"/>
  <c r="DD424" i="2"/>
  <c r="DD418" i="2"/>
  <c r="DD425" i="2"/>
  <c r="DD419" i="2"/>
  <c r="CD29" i="13"/>
  <c r="CD25" i="13"/>
  <c r="DC399" i="2"/>
  <c r="CD22" i="13"/>
  <c r="DB398" i="2"/>
  <c r="CC18" i="13"/>
  <c r="DT18" i="13" s="1"/>
  <c r="DB417" i="2"/>
  <c r="DB439" i="2" s="1"/>
  <c r="DB423" i="2"/>
  <c r="DB422" i="2" s="1"/>
  <c r="DD377" i="2"/>
  <c r="DD380" i="2" s="1"/>
  <c r="DD396" i="2"/>
  <c r="DD395" i="2"/>
  <c r="CE5" i="13"/>
  <c r="CE98" i="13"/>
  <c r="CF95" i="13"/>
  <c r="DU95" i="13" s="1"/>
  <c r="EH95" i="13" s="1"/>
  <c r="DE482" i="2"/>
  <c r="DE394" i="2" s="1"/>
  <c r="DE377" i="2" s="1"/>
  <c r="CE6" i="13"/>
  <c r="DJ329" i="2"/>
  <c r="DJ331" i="2" s="1"/>
  <c r="DK330" i="2"/>
  <c r="DL6" i="14" s="1"/>
  <c r="DL57" i="18" s="1"/>
  <c r="EW57" i="18" s="1"/>
  <c r="DK361" i="2"/>
  <c r="DK357" i="2"/>
  <c r="DK347" i="2"/>
  <c r="DL26" i="14"/>
  <c r="DL148" i="18" s="1"/>
  <c r="EW148" i="18" s="1"/>
  <c r="DJ7" i="14"/>
  <c r="DM27" i="14"/>
  <c r="DL342" i="2"/>
  <c r="DM343" i="2"/>
  <c r="DM10" i="14"/>
  <c r="DL333" i="2"/>
  <c r="DM345" i="2"/>
  <c r="DM29" i="14"/>
  <c r="DM344" i="2"/>
  <c r="DM28" i="14"/>
  <c r="DL367" i="2"/>
  <c r="DL45" i="14"/>
  <c r="DM312" i="2"/>
  <c r="DD147" i="7"/>
  <c r="DM267" i="2"/>
  <c r="DK252" i="2"/>
  <c r="DE37" i="7"/>
  <c r="DL108" i="12" l="1"/>
  <c r="BS107" i="12"/>
  <c r="DL107" i="12" s="1"/>
  <c r="DL137" i="11"/>
  <c r="BS136" i="11"/>
  <c r="DL136" i="11" s="1"/>
  <c r="ES120" i="15"/>
  <c r="CZ117" i="15"/>
  <c r="DA120" i="15"/>
  <c r="BT108" i="12"/>
  <c r="BT137" i="11"/>
  <c r="DL288" i="2"/>
  <c r="DC457" i="2"/>
  <c r="DC458" i="2"/>
  <c r="DS123" i="13"/>
  <c r="DS115" i="13"/>
  <c r="DS114" i="13"/>
  <c r="DF51" i="14"/>
  <c r="EU50" i="14"/>
  <c r="BS91" i="12"/>
  <c r="DL91" i="12" s="1"/>
  <c r="DL94" i="12"/>
  <c r="DG50" i="14"/>
  <c r="DG51" i="14" s="1"/>
  <c r="DG43" i="14"/>
  <c r="CZ547" i="2"/>
  <c r="CA137" i="13" s="1"/>
  <c r="CZ548" i="2"/>
  <c r="CZ501" i="2"/>
  <c r="CA116" i="13" s="1"/>
  <c r="BT97" i="12"/>
  <c r="BT94" i="12"/>
  <c r="BT95" i="12"/>
  <c r="DA67" i="18"/>
  <c r="DL58" i="12"/>
  <c r="CZ68" i="15"/>
  <c r="BU52" i="11"/>
  <c r="CZ500" i="2"/>
  <c r="CA115" i="13" s="1"/>
  <c r="DJ11" i="14"/>
  <c r="DI23" i="14"/>
  <c r="CZ570" i="2"/>
  <c r="EW13" i="18"/>
  <c r="EW6" i="14"/>
  <c r="BT53" i="11"/>
  <c r="CA125" i="13"/>
  <c r="CA131" i="13"/>
  <c r="BX6" i="11"/>
  <c r="BV20" i="11"/>
  <c r="DM20" i="11" s="1"/>
  <c r="DT17" i="13"/>
  <c r="BT52" i="11"/>
  <c r="CB81" i="13"/>
  <c r="DI11" i="14"/>
  <c r="EV11" i="14" s="1"/>
  <c r="BW21" i="12"/>
  <c r="BW8" i="11"/>
  <c r="BT31" i="12"/>
  <c r="DS124" i="13"/>
  <c r="DS130" i="13"/>
  <c r="BX5" i="11"/>
  <c r="DS131" i="13"/>
  <c r="DS125" i="13"/>
  <c r="EW26" i="14"/>
  <c r="DL53" i="11"/>
  <c r="BS87" i="11"/>
  <c r="BS96" i="11"/>
  <c r="CB83" i="13"/>
  <c r="EW45" i="14"/>
  <c r="EW43" i="14" s="1"/>
  <c r="BS102" i="11"/>
  <c r="DL102" i="11" s="1"/>
  <c r="DS133" i="13"/>
  <c r="BZ162" i="13"/>
  <c r="DS74" i="13"/>
  <c r="DP109" i="12"/>
  <c r="BQ147" i="11"/>
  <c r="DJ40" i="14"/>
  <c r="DJ48" i="14"/>
  <c r="DI40" i="14"/>
  <c r="EV40" i="14" s="1"/>
  <c r="DI48" i="14"/>
  <c r="CF78" i="12"/>
  <c r="DP138" i="11"/>
  <c r="DJ66" i="18"/>
  <c r="DI18" i="14"/>
  <c r="EV18" i="14" s="1"/>
  <c r="EV9" i="14"/>
  <c r="DI20" i="14"/>
  <c r="EV20" i="14" s="1"/>
  <c r="CZ496" i="2"/>
  <c r="CA110" i="13" s="1"/>
  <c r="CZ499" i="2"/>
  <c r="CA114" i="13" s="1"/>
  <c r="CD17" i="13"/>
  <c r="DC28" i="15"/>
  <c r="DJ31" i="14"/>
  <c r="DJ23" i="14"/>
  <c r="DJ33" i="14" s="1"/>
  <c r="DJ14" i="14"/>
  <c r="DI37" i="14"/>
  <c r="EV37" i="14" s="1"/>
  <c r="DJ18" i="14"/>
  <c r="DJ37" i="14"/>
  <c r="EW119" i="15"/>
  <c r="CA62" i="13"/>
  <c r="BT45" i="11"/>
  <c r="CA74" i="13"/>
  <c r="DJ21" i="14"/>
  <c r="DJ104" i="18"/>
  <c r="DC15" i="15"/>
  <c r="BW37" i="11"/>
  <c r="DD19" i="15"/>
  <c r="BW24" i="11"/>
  <c r="DE111" i="7"/>
  <c r="DN87" i="15" s="1"/>
  <c r="DN133" i="18" s="1"/>
  <c r="DE120" i="7"/>
  <c r="CG78" i="12" s="1"/>
  <c r="DH42" i="14"/>
  <c r="DH169" i="18"/>
  <c r="BS77" i="11"/>
  <c r="DL77" i="11" s="1"/>
  <c r="BS64" i="11"/>
  <c r="DL64" i="11" s="1"/>
  <c r="CZ87" i="18"/>
  <c r="ES87" i="18" s="1"/>
  <c r="DA39" i="15"/>
  <c r="CF138" i="11"/>
  <c r="CF109" i="12"/>
  <c r="DM119" i="15"/>
  <c r="DM15" i="14"/>
  <c r="DM81" i="18"/>
  <c r="DM13" i="18"/>
  <c r="DI6" i="18"/>
  <c r="EV6" i="18" s="1"/>
  <c r="DI37" i="18"/>
  <c r="EV37" i="18" s="1"/>
  <c r="BU65" i="11"/>
  <c r="BU70" i="11"/>
  <c r="DM133" i="18"/>
  <c r="DI31" i="14"/>
  <c r="DI66" i="18"/>
  <c r="BS55" i="11"/>
  <c r="DL55" i="11" s="1"/>
  <c r="BZ155" i="13"/>
  <c r="BS70" i="12"/>
  <c r="DL70" i="12" s="1"/>
  <c r="BS45" i="12"/>
  <c r="DL45" i="12" s="1"/>
  <c r="BU25" i="12"/>
  <c r="BU31" i="12" s="1"/>
  <c r="DJ327" i="2"/>
  <c r="DJ3" i="14"/>
  <c r="CZ54" i="15"/>
  <c r="ES54" i="15" s="1"/>
  <c r="DB33" i="15"/>
  <c r="DB39" i="15" s="1"/>
  <c r="BZ139" i="13"/>
  <c r="CZ80" i="15"/>
  <c r="ES80" i="15" s="1"/>
  <c r="CA103" i="13"/>
  <c r="BZ129" i="13"/>
  <c r="BX168" i="13"/>
  <c r="BY159" i="13"/>
  <c r="BY167" i="13"/>
  <c r="BZ124" i="13"/>
  <c r="BZ130" i="13"/>
  <c r="BZ102" i="13"/>
  <c r="CY502" i="2"/>
  <c r="DQ526" i="2"/>
  <c r="DP513" i="2"/>
  <c r="CB104" i="13"/>
  <c r="DA489" i="2"/>
  <c r="DA505" i="2"/>
  <c r="DD408" i="2"/>
  <c r="DD435" i="2" s="1"/>
  <c r="DD494" i="2" s="1"/>
  <c r="DD409" i="2"/>
  <c r="DD436" i="2" s="1"/>
  <c r="CC70" i="13"/>
  <c r="DT70" i="13" s="1"/>
  <c r="DB456" i="2"/>
  <c r="DB473" i="2"/>
  <c r="DB511" i="2" s="1"/>
  <c r="DB474" i="2"/>
  <c r="DB512" i="2" s="1"/>
  <c r="CC71" i="13"/>
  <c r="CD43" i="13"/>
  <c r="DA461" i="2"/>
  <c r="DA590" i="2" s="1"/>
  <c r="CB161" i="13" s="1"/>
  <c r="CB56" i="13"/>
  <c r="DH34" i="14"/>
  <c r="DK329" i="2"/>
  <c r="DK331" i="2" s="1"/>
  <c r="BV11" i="12"/>
  <c r="DM11" i="12" s="1"/>
  <c r="CE35" i="13"/>
  <c r="CB64" i="13"/>
  <c r="CE41" i="13"/>
  <c r="CE34" i="13"/>
  <c r="DC398" i="2"/>
  <c r="CD18" i="13"/>
  <c r="DC423" i="2"/>
  <c r="DC422" i="2" s="1"/>
  <c r="DC417" i="2"/>
  <c r="DC439" i="2" s="1"/>
  <c r="CE40" i="13"/>
  <c r="DD391" i="2"/>
  <c r="CE10" i="13" s="1"/>
  <c r="DE395" i="2"/>
  <c r="CE14" i="13"/>
  <c r="DD392" i="2"/>
  <c r="CE15" i="13"/>
  <c r="DE396" i="2"/>
  <c r="CE4" i="13"/>
  <c r="DB416" i="2"/>
  <c r="DB444" i="2" s="1"/>
  <c r="CC33" i="13"/>
  <c r="DT33" i="13" s="1"/>
  <c r="CF4" i="13"/>
  <c r="CC39" i="13"/>
  <c r="DT39" i="13" s="1"/>
  <c r="DE379" i="2"/>
  <c r="DE401" i="2" s="1"/>
  <c r="CF20" i="13" s="1"/>
  <c r="CF99" i="13"/>
  <c r="DU99" i="13" s="1"/>
  <c r="EH99" i="13" s="1"/>
  <c r="DF479" i="2"/>
  <c r="DF483" i="2" s="1"/>
  <c r="DE378" i="2"/>
  <c r="DK5" i="14"/>
  <c r="DL330" i="2"/>
  <c r="DM6" i="14" s="1"/>
  <c r="DL357" i="2"/>
  <c r="DL361" i="2"/>
  <c r="DN10" i="14"/>
  <c r="DM333" i="2"/>
  <c r="DL347" i="2"/>
  <c r="DN27" i="14"/>
  <c r="DN343" i="2"/>
  <c r="DM342" i="2"/>
  <c r="DM367" i="2"/>
  <c r="DM45" i="14"/>
  <c r="DM26" i="14"/>
  <c r="DN344" i="2"/>
  <c r="DN28" i="14"/>
  <c r="DN345" i="2"/>
  <c r="DN29" i="14"/>
  <c r="DN312" i="2"/>
  <c r="DE147" i="7"/>
  <c r="DN267" i="2"/>
  <c r="DL252" i="2"/>
  <c r="DF37" i="7"/>
  <c r="EO37" i="7" s="1"/>
  <c r="DH43" i="14" l="1"/>
  <c r="ES117" i="15"/>
  <c r="CZ177" i="18"/>
  <c r="ES177" i="18" s="1"/>
  <c r="DA117" i="15"/>
  <c r="BT107" i="12"/>
  <c r="BT136" i="11"/>
  <c r="DB120" i="15"/>
  <c r="DB117" i="15" s="1"/>
  <c r="DB177" i="18" s="1"/>
  <c r="BU108" i="12"/>
  <c r="BU107" i="12" s="1"/>
  <c r="BU137" i="11"/>
  <c r="BU136" i="11" s="1"/>
  <c r="DC48" i="15"/>
  <c r="ET48" i="15" s="1"/>
  <c r="ET28" i="15"/>
  <c r="DM288" i="2"/>
  <c r="DS129" i="13"/>
  <c r="CA123" i="13"/>
  <c r="DE380" i="2"/>
  <c r="DQ513" i="2"/>
  <c r="DR526" i="2"/>
  <c r="CB80" i="13"/>
  <c r="FH50" i="14"/>
  <c r="FH51" i="14" s="1"/>
  <c r="EU51" i="14"/>
  <c r="BT91" i="12"/>
  <c r="CA138" i="13"/>
  <c r="CA133" i="13" s="1"/>
  <c r="CZ543" i="2"/>
  <c r="CZ549" i="2" s="1"/>
  <c r="EV23" i="14"/>
  <c r="EV24" i="14" s="1"/>
  <c r="DI24" i="14"/>
  <c r="DI113" i="18"/>
  <c r="DI33" i="14"/>
  <c r="DS155" i="13"/>
  <c r="CZ162" i="18"/>
  <c r="ES162" i="18" s="1"/>
  <c r="CZ108" i="15"/>
  <c r="ES108" i="15" s="1"/>
  <c r="BZ144" i="13"/>
  <c r="BS88" i="12"/>
  <c r="DL88" i="12" s="1"/>
  <c r="CZ99" i="15"/>
  <c r="ES99" i="15" s="1"/>
  <c r="DU4" i="13"/>
  <c r="EH4" i="13" s="1"/>
  <c r="EL4" i="13" s="1"/>
  <c r="BV33" i="11"/>
  <c r="DM33" i="11" s="1"/>
  <c r="BT58" i="12"/>
  <c r="DA68" i="15" s="1"/>
  <c r="CC87" i="13"/>
  <c r="DT87" i="13" s="1"/>
  <c r="DT71" i="13"/>
  <c r="DS165" i="13"/>
  <c r="DS162" i="13"/>
  <c r="EV14" i="14"/>
  <c r="EV48" i="14"/>
  <c r="EV31" i="14"/>
  <c r="BX30" i="11"/>
  <c r="DI74" i="18"/>
  <c r="EV66" i="18"/>
  <c r="BW20" i="11"/>
  <c r="BS79" i="11"/>
  <c r="DL79" i="11" s="1"/>
  <c r="DS102" i="13"/>
  <c r="BY18" i="11"/>
  <c r="DN18" i="11" s="1"/>
  <c r="EA18" i="11" s="1"/>
  <c r="DU20" i="13"/>
  <c r="EH20" i="13" s="1"/>
  <c r="CZ488" i="2"/>
  <c r="CA102" i="13" s="1"/>
  <c r="DS139" i="13"/>
  <c r="CB77" i="13"/>
  <c r="BT87" i="11"/>
  <c r="BT96" i="11"/>
  <c r="DL96" i="11"/>
  <c r="DL87" i="11"/>
  <c r="BX31" i="11"/>
  <c r="DM44" i="18"/>
  <c r="DL86" i="11"/>
  <c r="CA162" i="13"/>
  <c r="EV21" i="14"/>
  <c r="DL95" i="11"/>
  <c r="DI21" i="14"/>
  <c r="DI104" i="18"/>
  <c r="EV104" i="18" s="1"/>
  <c r="DJ169" i="18"/>
  <c r="DJ113" i="18"/>
  <c r="DM57" i="18"/>
  <c r="DM148" i="18"/>
  <c r="DJ24" i="14"/>
  <c r="DH50" i="14"/>
  <c r="DD15" i="15"/>
  <c r="CG138" i="11"/>
  <c r="CG109" i="12"/>
  <c r="DN119" i="15"/>
  <c r="BT55" i="11"/>
  <c r="DK9" i="14"/>
  <c r="DK48" i="14" s="1"/>
  <c r="DK49" i="18"/>
  <c r="CA165" i="13"/>
  <c r="DD28" i="15"/>
  <c r="DJ6" i="18"/>
  <c r="DJ37" i="18"/>
  <c r="BS86" i="11"/>
  <c r="BS95" i="11"/>
  <c r="BT77" i="11"/>
  <c r="BT64" i="11"/>
  <c r="DA87" i="18"/>
  <c r="DJ74" i="18"/>
  <c r="CB62" i="13"/>
  <c r="BU45" i="11"/>
  <c r="DF111" i="7"/>
  <c r="DO87" i="15" s="1"/>
  <c r="DF120" i="7"/>
  <c r="DN15" i="14"/>
  <c r="DN81" i="18"/>
  <c r="DN13" i="18"/>
  <c r="DN44" i="18" s="1"/>
  <c r="CA155" i="13"/>
  <c r="BS128" i="11"/>
  <c r="DL128" i="11" s="1"/>
  <c r="BS99" i="12"/>
  <c r="DL99" i="12" s="1"/>
  <c r="DC24" i="15"/>
  <c r="ET24" i="15" s="1"/>
  <c r="ET15" i="15"/>
  <c r="BT45" i="12"/>
  <c r="BS64" i="12"/>
  <c r="DK327" i="2"/>
  <c r="DK3" i="14"/>
  <c r="DA54" i="15"/>
  <c r="DA496" i="2"/>
  <c r="CB110" i="13" s="1"/>
  <c r="DA570" i="2"/>
  <c r="CA129" i="13"/>
  <c r="CZ74" i="15"/>
  <c r="ES68" i="15"/>
  <c r="BY168" i="13"/>
  <c r="CA124" i="13"/>
  <c r="CA130" i="13"/>
  <c r="BZ127" i="13"/>
  <c r="BZ121" i="13"/>
  <c r="DS121" i="13" s="1"/>
  <c r="CB103" i="13"/>
  <c r="DA548" i="2"/>
  <c r="CB138" i="13" s="1"/>
  <c r="DA547" i="2"/>
  <c r="CB137" i="13" s="1"/>
  <c r="DA501" i="2"/>
  <c r="CB116" i="13" s="1"/>
  <c r="DA500" i="2"/>
  <c r="DA499" i="2"/>
  <c r="CE108" i="13"/>
  <c r="CE51" i="13"/>
  <c r="DD495" i="2"/>
  <c r="CE109" i="13" s="1"/>
  <c r="DB510" i="2"/>
  <c r="DC474" i="2"/>
  <c r="DC512" i="2" s="1"/>
  <c r="CD71" i="13"/>
  <c r="CC69" i="13"/>
  <c r="DT69" i="13" s="1"/>
  <c r="CC86" i="13"/>
  <c r="DE408" i="2"/>
  <c r="DE435" i="2" s="1"/>
  <c r="DE494" i="2" s="1"/>
  <c r="CD70" i="13"/>
  <c r="DC456" i="2"/>
  <c r="DC473" i="2"/>
  <c r="DC511" i="2" s="1"/>
  <c r="DE409" i="2"/>
  <c r="DE436" i="2" s="1"/>
  <c r="CE50" i="13"/>
  <c r="DD434" i="2"/>
  <c r="CE11" i="13"/>
  <c r="DD420" i="2"/>
  <c r="DD426" i="2"/>
  <c r="DL5" i="14"/>
  <c r="EW5" i="14" s="1"/>
  <c r="EW7" i="14" s="1"/>
  <c r="DK7" i="14"/>
  <c r="BW11" i="12"/>
  <c r="DB446" i="2"/>
  <c r="DB445" i="2"/>
  <c r="DB447" i="2"/>
  <c r="DB448" i="2"/>
  <c r="BV18" i="12"/>
  <c r="DM18" i="12" s="1"/>
  <c r="DL329" i="2"/>
  <c r="DL331" i="2" s="1"/>
  <c r="DB453" i="2"/>
  <c r="DB452" i="2"/>
  <c r="DB454" i="2"/>
  <c r="CE26" i="13"/>
  <c r="DD407" i="2"/>
  <c r="DD404" i="2"/>
  <c r="CC38" i="13"/>
  <c r="DT38" i="13" s="1"/>
  <c r="CC32" i="13"/>
  <c r="DT32" i="13" s="1"/>
  <c r="CC54" i="13"/>
  <c r="DT54" i="13" s="1"/>
  <c r="DE391" i="2"/>
  <c r="CF10" i="13" s="1"/>
  <c r="DU10" i="13" s="1"/>
  <c r="EH10" i="13" s="1"/>
  <c r="CF14" i="13"/>
  <c r="DU14" i="13" s="1"/>
  <c r="EH14" i="13" s="1"/>
  <c r="CE7" i="13"/>
  <c r="DD376" i="2"/>
  <c r="CE13" i="13"/>
  <c r="DE418" i="2"/>
  <c r="DE424" i="2"/>
  <c r="CD33" i="13"/>
  <c r="DC416" i="2"/>
  <c r="DC444" i="2" s="1"/>
  <c r="CD39" i="13"/>
  <c r="DE419" i="2"/>
  <c r="DE425" i="2"/>
  <c r="CE27" i="13"/>
  <c r="DD405" i="2"/>
  <c r="DD429" i="2" s="1"/>
  <c r="DE392" i="2"/>
  <c r="CF15" i="13"/>
  <c r="DU15" i="13" s="1"/>
  <c r="EH15" i="13" s="1"/>
  <c r="CF5" i="13"/>
  <c r="DF482" i="2"/>
  <c r="DF394" i="2" s="1"/>
  <c r="DF377" i="2" s="1"/>
  <c r="CF98" i="13"/>
  <c r="DU98" i="13" s="1"/>
  <c r="EH98" i="13" s="1"/>
  <c r="CG95" i="13"/>
  <c r="CF6" i="13"/>
  <c r="DM330" i="2"/>
  <c r="DN6" i="14" s="1"/>
  <c r="DN57" i="18" s="1"/>
  <c r="DM357" i="2"/>
  <c r="DM361" i="2"/>
  <c r="DJ34" i="14"/>
  <c r="DJ42" i="14"/>
  <c r="DM347" i="2"/>
  <c r="DO344" i="2"/>
  <c r="DO28" i="14"/>
  <c r="DO345" i="2"/>
  <c r="DO29" i="14"/>
  <c r="EX29" i="14" s="1"/>
  <c r="DN367" i="2"/>
  <c r="DN45" i="14"/>
  <c r="DO27" i="14"/>
  <c r="EX27" i="14" s="1"/>
  <c r="DN342" i="2"/>
  <c r="DO343" i="2"/>
  <c r="DN26" i="14"/>
  <c r="DN148" i="18" s="1"/>
  <c r="DO10" i="14"/>
  <c r="EX10" i="14" s="1"/>
  <c r="EX15" i="14" s="1"/>
  <c r="DN333" i="2"/>
  <c r="DO312" i="2"/>
  <c r="DF147" i="7"/>
  <c r="EO147" i="7" s="1"/>
  <c r="DO267" i="2"/>
  <c r="DM252" i="2"/>
  <c r="DG37" i="7"/>
  <c r="DA177" i="18" l="1"/>
  <c r="EX28" i="14"/>
  <c r="DD48" i="15"/>
  <c r="DN288" i="2"/>
  <c r="DR513" i="2"/>
  <c r="DS526" i="2"/>
  <c r="CA139" i="13"/>
  <c r="DA80" i="15"/>
  <c r="DI139" i="18"/>
  <c r="EV139" i="18" s="1"/>
  <c r="EV113" i="18"/>
  <c r="BZ156" i="13"/>
  <c r="DS144" i="13"/>
  <c r="BS118" i="11"/>
  <c r="DL118" i="11" s="1"/>
  <c r="BT70" i="12"/>
  <c r="BT102" i="11"/>
  <c r="EV33" i="14"/>
  <c r="EV34" i="14" s="1"/>
  <c r="DI42" i="14"/>
  <c r="EV42" i="14" s="1"/>
  <c r="DI169" i="18"/>
  <c r="EV169" i="18" s="1"/>
  <c r="DI34" i="14"/>
  <c r="BU94" i="12"/>
  <c r="BU95" i="12"/>
  <c r="BU97" i="12"/>
  <c r="DB67" i="18"/>
  <c r="DA162" i="18"/>
  <c r="DA108" i="15"/>
  <c r="CA144" i="13"/>
  <c r="BT88" i="12"/>
  <c r="DA99" i="15"/>
  <c r="CZ502" i="2"/>
  <c r="DK18" i="14"/>
  <c r="DK11" i="14"/>
  <c r="DK40" i="14"/>
  <c r="DK37" i="14"/>
  <c r="BT79" i="11"/>
  <c r="CC85" i="13"/>
  <c r="DT85" i="13" s="1"/>
  <c r="DT86" i="13"/>
  <c r="DS122" i="13"/>
  <c r="CE3" i="13"/>
  <c r="BX14" i="12"/>
  <c r="BS98" i="11"/>
  <c r="DS127" i="13"/>
  <c r="CD87" i="13"/>
  <c r="BW33" i="11"/>
  <c r="BS82" i="12"/>
  <c r="DL64" i="12"/>
  <c r="BY6" i="11"/>
  <c r="DU6" i="13"/>
  <c r="EH6" i="13" s="1"/>
  <c r="BX12" i="11"/>
  <c r="DK14" i="14"/>
  <c r="DK31" i="14"/>
  <c r="BT64" i="12"/>
  <c r="BU53" i="11"/>
  <c r="CB131" i="13"/>
  <c r="CB125" i="13"/>
  <c r="CB74" i="13"/>
  <c r="EV74" i="18"/>
  <c r="DJ139" i="18"/>
  <c r="DK20" i="14"/>
  <c r="DK21" i="14" s="1"/>
  <c r="BY5" i="11"/>
  <c r="DU5" i="13"/>
  <c r="EH5" i="13" s="1"/>
  <c r="CH78" i="12"/>
  <c r="EO120" i="7"/>
  <c r="DH51" i="14"/>
  <c r="DO133" i="18"/>
  <c r="EX133" i="18" s="1"/>
  <c r="EX87" i="15"/>
  <c r="BT86" i="11"/>
  <c r="BT95" i="11"/>
  <c r="DG111" i="7"/>
  <c r="DP87" i="15" s="1"/>
  <c r="DG120" i="7"/>
  <c r="CH138" i="11"/>
  <c r="DO119" i="15"/>
  <c r="CH109" i="12"/>
  <c r="CZ93" i="15"/>
  <c r="ES74" i="15"/>
  <c r="DK6" i="18"/>
  <c r="DK37" i="18"/>
  <c r="BT128" i="11"/>
  <c r="BT99" i="12"/>
  <c r="DO15" i="14"/>
  <c r="DO81" i="18"/>
  <c r="EX81" i="18" s="1"/>
  <c r="DO13" i="18"/>
  <c r="DO44" i="18" s="1"/>
  <c r="EX44" i="18" s="1"/>
  <c r="BU77" i="11"/>
  <c r="BU64" i="11"/>
  <c r="DB87" i="18"/>
  <c r="DL9" i="14"/>
  <c r="DL20" i="14" s="1"/>
  <c r="DL49" i="18"/>
  <c r="EW49" i="18" s="1"/>
  <c r="BU58" i="12"/>
  <c r="DB68" i="15" s="1"/>
  <c r="DD24" i="15"/>
  <c r="DK23" i="14"/>
  <c r="DK66" i="18"/>
  <c r="BZ122" i="13"/>
  <c r="BS89" i="11"/>
  <c r="DL89" i="11" s="1"/>
  <c r="CB123" i="13"/>
  <c r="BX4" i="12"/>
  <c r="DL327" i="2"/>
  <c r="DL3" i="14"/>
  <c r="EW3" i="14" s="1"/>
  <c r="DE6" i="15"/>
  <c r="CB133" i="13"/>
  <c r="DA74" i="15"/>
  <c r="BZ128" i="13"/>
  <c r="BZ141" i="13"/>
  <c r="DS141" i="13" s="1"/>
  <c r="BX7" i="12"/>
  <c r="DE10" i="15"/>
  <c r="CB124" i="13"/>
  <c r="CB130" i="13"/>
  <c r="CA127" i="13"/>
  <c r="CA121" i="13"/>
  <c r="DA543" i="2"/>
  <c r="DA549" i="2" s="1"/>
  <c r="DD544" i="2"/>
  <c r="CE134" i="13" s="1"/>
  <c r="DD546" i="2"/>
  <c r="CE136" i="13" s="1"/>
  <c r="DA488" i="2"/>
  <c r="DA502" i="2" s="1"/>
  <c r="DD497" i="2"/>
  <c r="CE112" i="13" s="1"/>
  <c r="DD498" i="2"/>
  <c r="CE113" i="13" s="1"/>
  <c r="CB114" i="13"/>
  <c r="CB115" i="13"/>
  <c r="CF108" i="13"/>
  <c r="DU108" i="13" s="1"/>
  <c r="EH108" i="13" s="1"/>
  <c r="CE49" i="13"/>
  <c r="BX39" i="12" s="1"/>
  <c r="CF51" i="13"/>
  <c r="DU51" i="13" s="1"/>
  <c r="EH51" i="13" s="1"/>
  <c r="DE495" i="2"/>
  <c r="CF109" i="13" s="1"/>
  <c r="DU109" i="13" s="1"/>
  <c r="EH109" i="13" s="1"/>
  <c r="DD493" i="2"/>
  <c r="CE107" i="13" s="1"/>
  <c r="DC510" i="2"/>
  <c r="CD69" i="13"/>
  <c r="CD86" i="13"/>
  <c r="CF50" i="13"/>
  <c r="DU50" i="13" s="1"/>
  <c r="EH50" i="13" s="1"/>
  <c r="DE434" i="2"/>
  <c r="DD428" i="2"/>
  <c r="CE44" i="13"/>
  <c r="CF11" i="13"/>
  <c r="DU11" i="13" s="1"/>
  <c r="EH11" i="13" s="1"/>
  <c r="DE420" i="2"/>
  <c r="DE426" i="2"/>
  <c r="DL7" i="14"/>
  <c r="DM329" i="2"/>
  <c r="DN5" i="14" s="1"/>
  <c r="CC57" i="13"/>
  <c r="DT57" i="13" s="1"/>
  <c r="DC445" i="2"/>
  <c r="DB462" i="2"/>
  <c r="CC58" i="13"/>
  <c r="DC446" i="2"/>
  <c r="DB463" i="2"/>
  <c r="CF41" i="13"/>
  <c r="DU41" i="13" s="1"/>
  <c r="EH41" i="13" s="1"/>
  <c r="BW18" i="12"/>
  <c r="CC59" i="13"/>
  <c r="DC447" i="2"/>
  <c r="DB464" i="2"/>
  <c r="CF34" i="13"/>
  <c r="DU34" i="13" s="1"/>
  <c r="EH34" i="13" s="1"/>
  <c r="DC454" i="2"/>
  <c r="CC67" i="13"/>
  <c r="DB470" i="2"/>
  <c r="DB508" i="2" s="1"/>
  <c r="DB492" i="2" s="1"/>
  <c r="CC106" i="13" s="1"/>
  <c r="DT106" i="13" s="1"/>
  <c r="DB451" i="2"/>
  <c r="CC65" i="13"/>
  <c r="DC452" i="2"/>
  <c r="DB468" i="2"/>
  <c r="DB506" i="2" s="1"/>
  <c r="CF35" i="13"/>
  <c r="DU35" i="13" s="1"/>
  <c r="EH35" i="13" s="1"/>
  <c r="CE36" i="13"/>
  <c r="DM5" i="14"/>
  <c r="DC453" i="2"/>
  <c r="CC66" i="13"/>
  <c r="DT66" i="13" s="1"/>
  <c r="DB469" i="2"/>
  <c r="DB507" i="2" s="1"/>
  <c r="DB491" i="2" s="1"/>
  <c r="CC105" i="13" s="1"/>
  <c r="DT105" i="13" s="1"/>
  <c r="CC60" i="13"/>
  <c r="DC448" i="2"/>
  <c r="DB465" i="2"/>
  <c r="CE30" i="13"/>
  <c r="BX15" i="12"/>
  <c r="DE405" i="2"/>
  <c r="DE429" i="2" s="1"/>
  <c r="CE23" i="13"/>
  <c r="DD399" i="2"/>
  <c r="CE22" i="13"/>
  <c r="DE404" i="2"/>
  <c r="CG4" i="13"/>
  <c r="CF26" i="13"/>
  <c r="BY14" i="12" s="1"/>
  <c r="DE407" i="2"/>
  <c r="DF395" i="2"/>
  <c r="CF40" i="13"/>
  <c r="DU40" i="13" s="1"/>
  <c r="EH40" i="13" s="1"/>
  <c r="CF13" i="13"/>
  <c r="BY12" i="11" s="1"/>
  <c r="CE25" i="13"/>
  <c r="CE29" i="13"/>
  <c r="CF27" i="13"/>
  <c r="DU27" i="13" s="1"/>
  <c r="CF7" i="13"/>
  <c r="BY4" i="12" s="1"/>
  <c r="CD38" i="13"/>
  <c r="DE376" i="2"/>
  <c r="DF396" i="2"/>
  <c r="CD32" i="13"/>
  <c r="CD54" i="13"/>
  <c r="DF379" i="2"/>
  <c r="DF401" i="2" s="1"/>
  <c r="CG20" i="13" s="1"/>
  <c r="CG99" i="13"/>
  <c r="DG479" i="2"/>
  <c r="DG483" i="2" s="1"/>
  <c r="DF378" i="2"/>
  <c r="DN330" i="2"/>
  <c r="DO6" i="14" s="1"/>
  <c r="DN361" i="2"/>
  <c r="DN357" i="2"/>
  <c r="DJ50" i="14"/>
  <c r="DJ43" i="14"/>
  <c r="DP27" i="14"/>
  <c r="DP343" i="2"/>
  <c r="DO342" i="2"/>
  <c r="DN347" i="2"/>
  <c r="DP10" i="14"/>
  <c r="DO333" i="2"/>
  <c r="DO26" i="14"/>
  <c r="DP345" i="2"/>
  <c r="DP29" i="14"/>
  <c r="DO367" i="2"/>
  <c r="DO45" i="14"/>
  <c r="DP344" i="2"/>
  <c r="DP28" i="14"/>
  <c r="DP312" i="2"/>
  <c r="DG147" i="7"/>
  <c r="DQ267" i="2"/>
  <c r="DP267" i="2"/>
  <c r="DN252" i="2"/>
  <c r="DH37" i="7"/>
  <c r="DD458" i="2" l="1"/>
  <c r="DD457" i="2"/>
  <c r="DO288" i="2"/>
  <c r="DF380" i="2"/>
  <c r="DF426" i="2" s="1"/>
  <c r="DS513" i="2"/>
  <c r="DT526" i="2"/>
  <c r="BT82" i="12"/>
  <c r="BT103" i="12" s="1"/>
  <c r="DI43" i="14"/>
  <c r="DI50" i="14"/>
  <c r="DS156" i="13"/>
  <c r="BU91" i="12"/>
  <c r="CA156" i="13"/>
  <c r="BT118" i="11"/>
  <c r="ES93" i="15"/>
  <c r="CZ114" i="15"/>
  <c r="EW20" i="14"/>
  <c r="DN4" i="12"/>
  <c r="EA4" i="12" s="1"/>
  <c r="DK104" i="18"/>
  <c r="DU30" i="13"/>
  <c r="EH27" i="13"/>
  <c r="EH30" i="13" s="1"/>
  <c r="DQ109" i="12"/>
  <c r="BX8" i="11"/>
  <c r="DK74" i="18"/>
  <c r="BV43" i="11"/>
  <c r="DM43" i="11" s="1"/>
  <c r="DT59" i="13"/>
  <c r="CC81" i="13"/>
  <c r="DT81" i="13" s="1"/>
  <c r="DT65" i="13"/>
  <c r="DS142" i="13"/>
  <c r="BY31" i="11"/>
  <c r="DN31" i="11" s="1"/>
  <c r="EA31" i="11" s="1"/>
  <c r="DN6" i="11"/>
  <c r="EA6" i="11" s="1"/>
  <c r="CC78" i="13"/>
  <c r="DT78" i="13" s="1"/>
  <c r="DT60" i="13"/>
  <c r="BX21" i="12"/>
  <c r="EX45" i="14"/>
  <c r="EX43" i="14" s="1"/>
  <c r="BY30" i="11"/>
  <c r="DN30" i="11" s="1"/>
  <c r="EA30" i="11" s="1"/>
  <c r="DN5" i="11"/>
  <c r="EA5" i="11" s="1"/>
  <c r="BU55" i="11"/>
  <c r="CB165" i="13"/>
  <c r="CB162" i="13"/>
  <c r="CB155" i="13"/>
  <c r="CC83" i="13"/>
  <c r="DT67" i="13"/>
  <c r="CD85" i="13"/>
  <c r="DU26" i="13"/>
  <c r="BT98" i="11"/>
  <c r="DL23" i="14"/>
  <c r="DL48" i="14"/>
  <c r="EX13" i="18"/>
  <c r="DS128" i="13"/>
  <c r="DN14" i="12"/>
  <c r="EA14" i="12" s="1"/>
  <c r="BV42" i="11"/>
  <c r="DM42" i="11" s="1"/>
  <c r="DT58" i="13"/>
  <c r="DU13" i="13"/>
  <c r="EH13" i="13" s="1"/>
  <c r="BS113" i="11"/>
  <c r="DL98" i="11"/>
  <c r="BZ18" i="11"/>
  <c r="BU96" i="11"/>
  <c r="BU87" i="11"/>
  <c r="DN12" i="11"/>
  <c r="EA12" i="11" s="1"/>
  <c r="BS103" i="12"/>
  <c r="DL82" i="12"/>
  <c r="DU7" i="13"/>
  <c r="EH7" i="13" s="1"/>
  <c r="CI78" i="12"/>
  <c r="DQ138" i="11"/>
  <c r="DO148" i="18"/>
  <c r="EX148" i="18" s="1"/>
  <c r="EX26" i="14"/>
  <c r="DL40" i="14"/>
  <c r="EW40" i="14" s="1"/>
  <c r="DL18" i="14"/>
  <c r="EW18" i="14" s="1"/>
  <c r="DJ51" i="14"/>
  <c r="EW9" i="14"/>
  <c r="DO57" i="18"/>
  <c r="EX57" i="18" s="1"/>
  <c r="EX6" i="14"/>
  <c r="DL11" i="14"/>
  <c r="EW11" i="14" s="1"/>
  <c r="DL37" i="14"/>
  <c r="EW37" i="14" s="1"/>
  <c r="DE19" i="15"/>
  <c r="DE28" i="15" s="1"/>
  <c r="BX24" i="11"/>
  <c r="CE17" i="13"/>
  <c r="DL21" i="14"/>
  <c r="DL104" i="18"/>
  <c r="BX37" i="11"/>
  <c r="DL14" i="14"/>
  <c r="DL66" i="18"/>
  <c r="DL74" i="18" s="1"/>
  <c r="DP133" i="18"/>
  <c r="BV69" i="11"/>
  <c r="DM69" i="11" s="1"/>
  <c r="DI111" i="7"/>
  <c r="DR87" i="15" s="1"/>
  <c r="DR133" i="18" s="1"/>
  <c r="DI120" i="7"/>
  <c r="CK78" i="12" s="1"/>
  <c r="DM9" i="14"/>
  <c r="DM48" i="14" s="1"/>
  <c r="DM49" i="18"/>
  <c r="DP15" i="14"/>
  <c r="DP81" i="18"/>
  <c r="DP13" i="18"/>
  <c r="DH111" i="7"/>
  <c r="DQ87" i="15" s="1"/>
  <c r="DQ133" i="18" s="1"/>
  <c r="DH120" i="7"/>
  <c r="CJ78" i="12" s="1"/>
  <c r="DN9" i="14"/>
  <c r="DN49" i="18"/>
  <c r="DA93" i="15"/>
  <c r="DA114" i="15" s="1"/>
  <c r="BV70" i="11"/>
  <c r="DM70" i="11" s="1"/>
  <c r="BV65" i="11"/>
  <c r="DB80" i="15"/>
  <c r="BU102" i="11"/>
  <c r="BU95" i="11"/>
  <c r="BU86" i="11"/>
  <c r="EX119" i="15"/>
  <c r="CI138" i="11"/>
  <c r="DP119" i="15"/>
  <c r="CI109" i="12"/>
  <c r="DL6" i="18"/>
  <c r="EW6" i="18" s="1"/>
  <c r="DL37" i="18"/>
  <c r="EW37" i="18" s="1"/>
  <c r="DL31" i="14"/>
  <c r="DK113" i="18"/>
  <c r="DK24" i="14"/>
  <c r="DK33" i="14"/>
  <c r="CA122" i="13"/>
  <c r="BT89" i="11"/>
  <c r="BU70" i="12"/>
  <c r="BV25" i="12"/>
  <c r="DM25" i="12" s="1"/>
  <c r="BU45" i="12"/>
  <c r="DM327" i="2"/>
  <c r="DM3" i="14"/>
  <c r="DC33" i="15"/>
  <c r="DB54" i="15"/>
  <c r="CF3" i="13"/>
  <c r="BY8" i="11" s="1"/>
  <c r="DF6" i="15"/>
  <c r="EU6" i="15" s="1"/>
  <c r="FH6" i="15" s="1"/>
  <c r="CB139" i="13"/>
  <c r="CB129" i="13"/>
  <c r="BY7" i="12"/>
  <c r="BY21" i="12" s="1"/>
  <c r="DF10" i="15"/>
  <c r="EU10" i="15" s="1"/>
  <c r="FH10" i="15" s="1"/>
  <c r="CA128" i="13"/>
  <c r="CA141" i="13"/>
  <c r="BZ142" i="13"/>
  <c r="BZ158" i="13"/>
  <c r="DS158" i="13" s="1"/>
  <c r="CB102" i="13"/>
  <c r="DE544" i="2"/>
  <c r="CF134" i="13" s="1"/>
  <c r="DU134" i="13" s="1"/>
  <c r="EH134" i="13" s="1"/>
  <c r="DE546" i="2"/>
  <c r="CF136" i="13" s="1"/>
  <c r="DU136" i="13" s="1"/>
  <c r="EH136" i="13" s="1"/>
  <c r="DE497" i="2"/>
  <c r="CF112" i="13" s="1"/>
  <c r="DE498" i="2"/>
  <c r="CF113" i="13" s="1"/>
  <c r="CF49" i="13"/>
  <c r="DE493" i="2"/>
  <c r="CF107" i="13" s="1"/>
  <c r="DB505" i="2"/>
  <c r="DB490" i="2"/>
  <c r="DF408" i="2"/>
  <c r="CG26" i="13" s="1"/>
  <c r="DF409" i="2"/>
  <c r="CG27" i="13" s="1"/>
  <c r="CF44" i="13"/>
  <c r="DU44" i="13" s="1"/>
  <c r="EH44" i="13" s="1"/>
  <c r="DE428" i="2"/>
  <c r="CE43" i="13"/>
  <c r="DM331" i="2"/>
  <c r="CC64" i="13"/>
  <c r="DT64" i="13" s="1"/>
  <c r="CC82" i="13"/>
  <c r="DT82" i="13" s="1"/>
  <c r="CF30" i="13"/>
  <c r="BY15" i="12"/>
  <c r="DN15" i="12" s="1"/>
  <c r="EA15" i="12" s="1"/>
  <c r="CD66" i="13"/>
  <c r="DC469" i="2"/>
  <c r="DC507" i="2" s="1"/>
  <c r="DC491" i="2" s="1"/>
  <c r="CD105" i="13" s="1"/>
  <c r="CD67" i="13"/>
  <c r="DC470" i="2"/>
  <c r="DC508" i="2" s="1"/>
  <c r="DC492" i="2" s="1"/>
  <c r="CD106" i="13" s="1"/>
  <c r="DC451" i="2"/>
  <c r="CD65" i="13"/>
  <c r="DC468" i="2"/>
  <c r="DC506" i="2" s="1"/>
  <c r="CF36" i="13"/>
  <c r="DU36" i="13" s="1"/>
  <c r="EH36" i="13" s="1"/>
  <c r="CD58" i="13"/>
  <c r="DC463" i="2"/>
  <c r="DN329" i="2"/>
  <c r="DN331" i="2" s="1"/>
  <c r="DM7" i="14"/>
  <c r="CD59" i="13"/>
  <c r="DC464" i="2"/>
  <c r="DB461" i="2"/>
  <c r="CD60" i="13"/>
  <c r="DC465" i="2"/>
  <c r="CD57" i="13"/>
  <c r="DC462" i="2"/>
  <c r="CC56" i="13"/>
  <c r="DT56" i="13" s="1"/>
  <c r="CC75" i="13"/>
  <c r="DF424" i="2"/>
  <c r="DF418" i="2"/>
  <c r="DF419" i="2"/>
  <c r="DF425" i="2"/>
  <c r="DD398" i="2"/>
  <c r="CE18" i="13"/>
  <c r="DD417" i="2"/>
  <c r="DD439" i="2" s="1"/>
  <c r="DD423" i="2"/>
  <c r="DD422" i="2" s="1"/>
  <c r="DF391" i="2"/>
  <c r="CG10" i="13" s="1"/>
  <c r="CG14" i="13"/>
  <c r="CF25" i="13"/>
  <c r="DU25" i="13" s="1"/>
  <c r="EH25" i="13" s="1"/>
  <c r="CF29" i="13"/>
  <c r="DF392" i="2"/>
  <c r="CG15" i="13"/>
  <c r="DE399" i="2"/>
  <c r="CF22" i="13"/>
  <c r="DU22" i="13" s="1"/>
  <c r="EH22" i="13" s="1"/>
  <c r="CF23" i="13"/>
  <c r="DU23" i="13" s="1"/>
  <c r="EH23" i="13" s="1"/>
  <c r="CG6" i="13"/>
  <c r="CG5" i="13"/>
  <c r="DG482" i="2"/>
  <c r="DG394" i="2" s="1"/>
  <c r="DG377" i="2" s="1"/>
  <c r="CH95" i="13"/>
  <c r="CG98" i="13"/>
  <c r="DO330" i="2"/>
  <c r="DO329" i="2" s="1"/>
  <c r="DO357" i="2"/>
  <c r="DO361" i="2"/>
  <c r="DQ345" i="2"/>
  <c r="DQ29" i="14"/>
  <c r="DP26" i="14"/>
  <c r="DQ10" i="14"/>
  <c r="DS10" i="14"/>
  <c r="DP333" i="2"/>
  <c r="DQ344" i="2"/>
  <c r="DQ28" i="14"/>
  <c r="DO347" i="2"/>
  <c r="DP367" i="2"/>
  <c r="DP45" i="14"/>
  <c r="DQ27" i="14"/>
  <c r="DP342" i="2"/>
  <c r="DQ343" i="2"/>
  <c r="DR343" i="2" s="1"/>
  <c r="DS27" i="14" s="1"/>
  <c r="DN7" i="14"/>
  <c r="DQ312" i="2"/>
  <c r="DH147" i="7"/>
  <c r="DO252" i="2"/>
  <c r="DI37" i="7"/>
  <c r="EP37" i="7" s="1"/>
  <c r="DB570" i="2" l="1"/>
  <c r="DB590" i="2"/>
  <c r="CC161" i="13" s="1"/>
  <c r="DE48" i="15"/>
  <c r="DP288" i="2"/>
  <c r="DE457" i="2"/>
  <c r="DE458" i="2"/>
  <c r="DS81" i="18"/>
  <c r="DS13" i="18"/>
  <c r="DU113" i="13"/>
  <c r="EH113" i="13" s="1"/>
  <c r="DU107" i="13"/>
  <c r="EH107" i="13" s="1"/>
  <c r="DU112" i="13"/>
  <c r="EH112" i="13" s="1"/>
  <c r="DU526" i="2"/>
  <c r="DT513" i="2"/>
  <c r="DI147" i="7"/>
  <c r="CK109" i="12" s="1"/>
  <c r="DR312" i="2"/>
  <c r="DR29" i="14"/>
  <c r="EY29" i="14" s="1"/>
  <c r="FI29" i="14" s="1"/>
  <c r="DR345" i="2"/>
  <c r="DS343" i="2"/>
  <c r="DT27" i="14" s="1"/>
  <c r="DR28" i="14"/>
  <c r="DR344" i="2"/>
  <c r="DT10" i="14"/>
  <c r="DR333" i="2"/>
  <c r="DI51" i="14"/>
  <c r="EV50" i="14"/>
  <c r="EV51" i="14" s="1"/>
  <c r="EW23" i="14"/>
  <c r="EW24" i="14" s="1"/>
  <c r="DL24" i="14"/>
  <c r="ES114" i="15"/>
  <c r="CZ132" i="15"/>
  <c r="EW21" i="14"/>
  <c r="DB162" i="18"/>
  <c r="DB108" i="15"/>
  <c r="CB144" i="13"/>
  <c r="DB99" i="15"/>
  <c r="BU88" i="12"/>
  <c r="DA132" i="15"/>
  <c r="DU49" i="13"/>
  <c r="EH49" i="13" s="1"/>
  <c r="BY39" i="12"/>
  <c r="DN39" i="12" s="1"/>
  <c r="EA39" i="12" s="1"/>
  <c r="DT75" i="13"/>
  <c r="EW104" i="18"/>
  <c r="DL33" i="14"/>
  <c r="DL34" i="14" s="1"/>
  <c r="EP120" i="7"/>
  <c r="EZ120" i="7" s="1"/>
  <c r="CC77" i="13"/>
  <c r="DT83" i="13"/>
  <c r="BU79" i="11"/>
  <c r="DN7" i="12"/>
  <c r="EA7" i="12" s="1"/>
  <c r="BT113" i="11"/>
  <c r="DN21" i="12"/>
  <c r="EA21" i="12" s="1"/>
  <c r="CD81" i="13"/>
  <c r="BZ14" i="12"/>
  <c r="DM65" i="11"/>
  <c r="DN66" i="18"/>
  <c r="DN48" i="14"/>
  <c r="CD83" i="13"/>
  <c r="BZ5" i="11"/>
  <c r="BW42" i="11"/>
  <c r="DS159" i="13"/>
  <c r="DK139" i="18"/>
  <c r="EW14" i="14"/>
  <c r="EW31" i="14"/>
  <c r="EW48" i="14"/>
  <c r="BS118" i="12"/>
  <c r="DL118" i="12" s="1"/>
  <c r="DL103" i="12"/>
  <c r="EW66" i="18"/>
  <c r="DT62" i="13"/>
  <c r="BZ6" i="11"/>
  <c r="CD78" i="13"/>
  <c r="BX20" i="11"/>
  <c r="BX33" i="11" s="1"/>
  <c r="BZ15" i="12"/>
  <c r="DL113" i="18"/>
  <c r="DL139" i="18" s="1"/>
  <c r="DP44" i="18"/>
  <c r="EY133" i="18"/>
  <c r="FI133" i="18" s="1"/>
  <c r="BU128" i="11"/>
  <c r="BU99" i="12"/>
  <c r="BS132" i="11"/>
  <c r="DL113" i="11"/>
  <c r="BT118" i="12"/>
  <c r="DU3" i="13"/>
  <c r="EH3" i="13" s="1"/>
  <c r="BW43" i="11"/>
  <c r="DU29" i="13"/>
  <c r="EH26" i="13"/>
  <c r="EH29" i="13" s="1"/>
  <c r="DN8" i="11"/>
  <c r="EA8" i="11" s="1"/>
  <c r="DM40" i="14"/>
  <c r="DP148" i="18"/>
  <c r="DN11" i="14"/>
  <c r="DM23" i="14"/>
  <c r="DM33" i="14" s="1"/>
  <c r="DN23" i="14"/>
  <c r="DN113" i="18" s="1"/>
  <c r="DN139" i="18" s="1"/>
  <c r="DM20" i="14"/>
  <c r="DM18" i="14"/>
  <c r="DN40" i="14"/>
  <c r="DM37" i="14"/>
  <c r="DN37" i="14"/>
  <c r="DN18" i="14"/>
  <c r="DM14" i="14"/>
  <c r="DN14" i="14"/>
  <c r="DN31" i="14"/>
  <c r="DN20" i="14"/>
  <c r="DN104" i="18" s="1"/>
  <c r="BY37" i="11"/>
  <c r="DN37" i="11" s="1"/>
  <c r="EA37" i="11" s="1"/>
  <c r="CC80" i="13"/>
  <c r="DT80" i="13" s="1"/>
  <c r="CC76" i="13"/>
  <c r="DQ15" i="14"/>
  <c r="DQ81" i="18"/>
  <c r="DQ13" i="18"/>
  <c r="DQ44" i="18" s="1"/>
  <c r="DC39" i="15"/>
  <c r="ET39" i="15" s="1"/>
  <c r="ET33" i="15"/>
  <c r="BW65" i="11"/>
  <c r="BW70" i="11"/>
  <c r="CC62" i="13"/>
  <c r="BV45" i="11"/>
  <c r="DM45" i="11" s="1"/>
  <c r="DM6" i="18"/>
  <c r="DM37" i="18"/>
  <c r="DK169" i="18"/>
  <c r="DK34" i="14"/>
  <c r="DK42" i="14"/>
  <c r="DM31" i="14"/>
  <c r="DM66" i="18"/>
  <c r="DE15" i="15"/>
  <c r="DM11" i="14"/>
  <c r="EY87" i="15"/>
  <c r="FI87" i="15" s="1"/>
  <c r="CJ138" i="11"/>
  <c r="DQ119" i="15"/>
  <c r="CJ109" i="12"/>
  <c r="BW69" i="11"/>
  <c r="DF19" i="15"/>
  <c r="EU19" i="15" s="1"/>
  <c r="FH19" i="15" s="1"/>
  <c r="BY24" i="11"/>
  <c r="DN24" i="11" s="1"/>
  <c r="EA24" i="11" s="1"/>
  <c r="BU64" i="12"/>
  <c r="BW25" i="12"/>
  <c r="CF17" i="13"/>
  <c r="BY20" i="11" s="1"/>
  <c r="BY33" i="11" s="1"/>
  <c r="DN327" i="2"/>
  <c r="DN3" i="14"/>
  <c r="DD33" i="15"/>
  <c r="DB74" i="15"/>
  <c r="BZ159" i="13"/>
  <c r="BZ167" i="13"/>
  <c r="DS167" i="13" s="1"/>
  <c r="CA142" i="13"/>
  <c r="CA158" i="13"/>
  <c r="CB127" i="13"/>
  <c r="CB121" i="13"/>
  <c r="DB547" i="2"/>
  <c r="CC137" i="13" s="1"/>
  <c r="DB548" i="2"/>
  <c r="CC138" i="13" s="1"/>
  <c r="DB496" i="2"/>
  <c r="CC110" i="13" s="1"/>
  <c r="DB501" i="2"/>
  <c r="DB499" i="2"/>
  <c r="DB500" i="2"/>
  <c r="DF407" i="2"/>
  <c r="DC505" i="2"/>
  <c r="DC490" i="2"/>
  <c r="CC104" i="13"/>
  <c r="DB489" i="2"/>
  <c r="DF404" i="2"/>
  <c r="CG22" i="13" s="1"/>
  <c r="DF436" i="2"/>
  <c r="DF435" i="2"/>
  <c r="DF494" i="2" s="1"/>
  <c r="DF405" i="2"/>
  <c r="DF429" i="2" s="1"/>
  <c r="DD456" i="2"/>
  <c r="CE70" i="13"/>
  <c r="DD473" i="2"/>
  <c r="DD511" i="2" s="1"/>
  <c r="CE71" i="13"/>
  <c r="DD474" i="2"/>
  <c r="DD512" i="2" s="1"/>
  <c r="CG11" i="13"/>
  <c r="CF43" i="13"/>
  <c r="DU43" i="13" s="1"/>
  <c r="EH43" i="13" s="1"/>
  <c r="DF376" i="2"/>
  <c r="DF420" i="2"/>
  <c r="DP6" i="14"/>
  <c r="DO5" i="14"/>
  <c r="EX5" i="14" s="1"/>
  <c r="EX7" i="14" s="1"/>
  <c r="DC461" i="2"/>
  <c r="DC590" i="2" s="1"/>
  <c r="CD161" i="13" s="1"/>
  <c r="CG40" i="13"/>
  <c r="CG41" i="13"/>
  <c r="CG35" i="13"/>
  <c r="CD64" i="13"/>
  <c r="CD82" i="13"/>
  <c r="CD56" i="13"/>
  <c r="CD75" i="13"/>
  <c r="CG34" i="13"/>
  <c r="BX11" i="12"/>
  <c r="BV31" i="12"/>
  <c r="DM31" i="12" s="1"/>
  <c r="CH4" i="13"/>
  <c r="CG25" i="13"/>
  <c r="CG29" i="13"/>
  <c r="DG395" i="2"/>
  <c r="CG13" i="13"/>
  <c r="CG30" i="13"/>
  <c r="DE398" i="2"/>
  <c r="CF18" i="13"/>
  <c r="DU18" i="13" s="1"/>
  <c r="EH18" i="13" s="1"/>
  <c r="DE423" i="2"/>
  <c r="DE422" i="2" s="1"/>
  <c r="DE417" i="2"/>
  <c r="DE439" i="2" s="1"/>
  <c r="CE33" i="13"/>
  <c r="DD416" i="2"/>
  <c r="DD444" i="2" s="1"/>
  <c r="CG7" i="13"/>
  <c r="CE39" i="13"/>
  <c r="DG396" i="2"/>
  <c r="DH479" i="2"/>
  <c r="DH483" i="2" s="1"/>
  <c r="CH99" i="13"/>
  <c r="DG378" i="2"/>
  <c r="DG379" i="2"/>
  <c r="DG401" i="2" s="1"/>
  <c r="CH20" i="13" s="1"/>
  <c r="DP330" i="2"/>
  <c r="DP329" i="2" s="1"/>
  <c r="DP361" i="2"/>
  <c r="DP357" i="2"/>
  <c r="DP347" i="2"/>
  <c r="DQ342" i="2"/>
  <c r="DR27" i="14"/>
  <c r="DQ26" i="14"/>
  <c r="DQ148" i="18" s="1"/>
  <c r="DQ333" i="2"/>
  <c r="DR10" i="14"/>
  <c r="EY10" i="14" s="1"/>
  <c r="DQ367" i="2"/>
  <c r="DQ45" i="14"/>
  <c r="DO331" i="2"/>
  <c r="DP5" i="14"/>
  <c r="DP252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BF236" i="2"/>
  <c r="BG236" i="2"/>
  <c r="BH236" i="2"/>
  <c r="BI236" i="2"/>
  <c r="BJ236" i="2"/>
  <c r="BK236" i="2"/>
  <c r="BL236" i="2"/>
  <c r="BM236" i="2"/>
  <c r="BN236" i="2"/>
  <c r="BO236" i="2"/>
  <c r="BP236" i="2"/>
  <c r="BQ236" i="2"/>
  <c r="BR236" i="2"/>
  <c r="BS236" i="2"/>
  <c r="BT236" i="2"/>
  <c r="BU236" i="2"/>
  <c r="BV236" i="2"/>
  <c r="BW236" i="2"/>
  <c r="BX236" i="2"/>
  <c r="BY236" i="2"/>
  <c r="BZ236" i="2"/>
  <c r="CA236" i="2"/>
  <c r="CB236" i="2"/>
  <c r="CC236" i="2"/>
  <c r="CD236" i="2"/>
  <c r="CE236" i="2"/>
  <c r="CF236" i="2"/>
  <c r="CG236" i="2"/>
  <c r="CH236" i="2"/>
  <c r="CI236" i="2"/>
  <c r="CJ236" i="2"/>
  <c r="CK236" i="2"/>
  <c r="CL236" i="2"/>
  <c r="CM236" i="2"/>
  <c r="CN236" i="2"/>
  <c r="CO236" i="2"/>
  <c r="CP236" i="2"/>
  <c r="CQ236" i="2"/>
  <c r="CR236" i="2"/>
  <c r="CS236" i="2"/>
  <c r="BK318" i="2"/>
  <c r="BL318" i="2"/>
  <c r="BM318" i="2"/>
  <c r="BN318" i="2"/>
  <c r="BO318" i="2"/>
  <c r="BP318" i="2"/>
  <c r="BQ318" i="2"/>
  <c r="BR318" i="2"/>
  <c r="BS318" i="2"/>
  <c r="BT318" i="2"/>
  <c r="BU318" i="2"/>
  <c r="BV318" i="2"/>
  <c r="BW318" i="2"/>
  <c r="BX318" i="2"/>
  <c r="BY318" i="2"/>
  <c r="BZ318" i="2"/>
  <c r="CA318" i="2"/>
  <c r="CB318" i="2"/>
  <c r="CC318" i="2"/>
  <c r="CD318" i="2"/>
  <c r="CE318" i="2"/>
  <c r="CF318" i="2"/>
  <c r="CG318" i="2"/>
  <c r="CH318" i="2"/>
  <c r="CI318" i="2"/>
  <c r="CJ318" i="2"/>
  <c r="CK318" i="2"/>
  <c r="CL318" i="2"/>
  <c r="CM318" i="2"/>
  <c r="CN318" i="2"/>
  <c r="CO318" i="2"/>
  <c r="CP318" i="2"/>
  <c r="CQ318" i="2"/>
  <c r="CR318" i="2"/>
  <c r="CS318" i="2"/>
  <c r="CT318" i="2" s="1"/>
  <c r="BJ318" i="2"/>
  <c r="L292" i="2"/>
  <c r="L291" i="2" s="1"/>
  <c r="M292" i="2"/>
  <c r="M291" i="2" s="1"/>
  <c r="N292" i="2"/>
  <c r="N291" i="2" s="1"/>
  <c r="O292" i="2"/>
  <c r="O291" i="2" s="1"/>
  <c r="P292" i="2"/>
  <c r="P291" i="2" s="1"/>
  <c r="Q292" i="2"/>
  <c r="Q291" i="2" s="1"/>
  <c r="R292" i="2"/>
  <c r="R291" i="2" s="1"/>
  <c r="S292" i="2"/>
  <c r="S291" i="2" s="1"/>
  <c r="T292" i="2"/>
  <c r="T291" i="2" s="1"/>
  <c r="U292" i="2"/>
  <c r="U291" i="2" s="1"/>
  <c r="V292" i="2"/>
  <c r="V291" i="2" s="1"/>
  <c r="W292" i="2"/>
  <c r="W291" i="2" s="1"/>
  <c r="X292" i="2"/>
  <c r="X291" i="2" s="1"/>
  <c r="Y292" i="2"/>
  <c r="Y291" i="2" s="1"/>
  <c r="Z292" i="2"/>
  <c r="Z291" i="2" s="1"/>
  <c r="AA292" i="2"/>
  <c r="AA291" i="2" s="1"/>
  <c r="AB292" i="2"/>
  <c r="AB291" i="2" s="1"/>
  <c r="AC292" i="2"/>
  <c r="AC291" i="2" s="1"/>
  <c r="AD292" i="2"/>
  <c r="AD291" i="2" s="1"/>
  <c r="AE292" i="2"/>
  <c r="AE291" i="2" s="1"/>
  <c r="AF292" i="2"/>
  <c r="AF291" i="2" s="1"/>
  <c r="AG292" i="2"/>
  <c r="AG291" i="2" s="1"/>
  <c r="AH292" i="2"/>
  <c r="AH291" i="2" s="1"/>
  <c r="AI292" i="2"/>
  <c r="AI291" i="2" s="1"/>
  <c r="AJ292" i="2"/>
  <c r="AJ291" i="2" s="1"/>
  <c r="AK292" i="2"/>
  <c r="AK291" i="2" s="1"/>
  <c r="AL292" i="2"/>
  <c r="AL291" i="2" s="1"/>
  <c r="AM292" i="2"/>
  <c r="AM291" i="2" s="1"/>
  <c r="AN292" i="2"/>
  <c r="AN291" i="2" s="1"/>
  <c r="AO292" i="2"/>
  <c r="AO291" i="2" s="1"/>
  <c r="AP292" i="2"/>
  <c r="AP291" i="2" s="1"/>
  <c r="AQ292" i="2"/>
  <c r="AQ291" i="2" s="1"/>
  <c r="AR292" i="2"/>
  <c r="AR291" i="2" s="1"/>
  <c r="AS292" i="2"/>
  <c r="AS291" i="2" s="1"/>
  <c r="AT292" i="2"/>
  <c r="AT291" i="2" s="1"/>
  <c r="AU292" i="2"/>
  <c r="AU291" i="2" s="1"/>
  <c r="AV292" i="2"/>
  <c r="AV291" i="2" s="1"/>
  <c r="AW292" i="2"/>
  <c r="AW291" i="2" s="1"/>
  <c r="AX292" i="2"/>
  <c r="AX291" i="2" s="1"/>
  <c r="AY292" i="2"/>
  <c r="AY291" i="2" s="1"/>
  <c r="AZ292" i="2"/>
  <c r="AZ291" i="2" s="1"/>
  <c r="BA292" i="2"/>
  <c r="BA291" i="2" s="1"/>
  <c r="BB292" i="2"/>
  <c r="BB291" i="2" s="1"/>
  <c r="BC292" i="2"/>
  <c r="BC291" i="2" s="1"/>
  <c r="BD292" i="2"/>
  <c r="BD291" i="2" s="1"/>
  <c r="BE292" i="2"/>
  <c r="BE291" i="2" s="1"/>
  <c r="BF292" i="2"/>
  <c r="BF291" i="2" s="1"/>
  <c r="BG292" i="2"/>
  <c r="BG291" i="2" s="1"/>
  <c r="BH292" i="2"/>
  <c r="BH291" i="2" s="1"/>
  <c r="BI292" i="2"/>
  <c r="BI291" i="2" s="1"/>
  <c r="BJ292" i="2"/>
  <c r="BJ291" i="2" s="1"/>
  <c r="BK292" i="2"/>
  <c r="BK291" i="2" s="1"/>
  <c r="BL292" i="2"/>
  <c r="BL291" i="2" s="1"/>
  <c r="BM292" i="2"/>
  <c r="BM291" i="2" s="1"/>
  <c r="BN292" i="2"/>
  <c r="BN291" i="2" s="1"/>
  <c r="BO292" i="2"/>
  <c r="BO291" i="2" s="1"/>
  <c r="BP292" i="2"/>
  <c r="BP291" i="2" s="1"/>
  <c r="BQ292" i="2"/>
  <c r="BQ291" i="2" s="1"/>
  <c r="BR292" i="2"/>
  <c r="BR291" i="2" s="1"/>
  <c r="BS292" i="2"/>
  <c r="BS291" i="2" s="1"/>
  <c r="BT292" i="2"/>
  <c r="BT291" i="2" s="1"/>
  <c r="BU292" i="2"/>
  <c r="BU291" i="2" s="1"/>
  <c r="BV292" i="2"/>
  <c r="BV291" i="2" s="1"/>
  <c r="BW292" i="2"/>
  <c r="BW291" i="2" s="1"/>
  <c r="BX292" i="2"/>
  <c r="BX291" i="2" s="1"/>
  <c r="BY292" i="2"/>
  <c r="BY291" i="2" s="1"/>
  <c r="BZ292" i="2"/>
  <c r="BZ291" i="2" s="1"/>
  <c r="CA292" i="2"/>
  <c r="CA291" i="2" s="1"/>
  <c r="CB292" i="2"/>
  <c r="CB291" i="2" s="1"/>
  <c r="CC292" i="2"/>
  <c r="CC291" i="2" s="1"/>
  <c r="CD292" i="2"/>
  <c r="CD291" i="2" s="1"/>
  <c r="CE292" i="2"/>
  <c r="CE291" i="2" s="1"/>
  <c r="CF292" i="2"/>
  <c r="CF291" i="2" s="1"/>
  <c r="CG292" i="2"/>
  <c r="CG291" i="2" s="1"/>
  <c r="CH292" i="2"/>
  <c r="CI292" i="2"/>
  <c r="CI291" i="2" s="1"/>
  <c r="CJ292" i="2"/>
  <c r="CJ291" i="2" s="1"/>
  <c r="CK292" i="2"/>
  <c r="CK291" i="2" s="1"/>
  <c r="CL292" i="2"/>
  <c r="CL291" i="2" s="1"/>
  <c r="CM292" i="2"/>
  <c r="CM291" i="2" s="1"/>
  <c r="CN292" i="2"/>
  <c r="CN291" i="2" s="1"/>
  <c r="CO292" i="2"/>
  <c r="CO291" i="2" s="1"/>
  <c r="CP292" i="2"/>
  <c r="CP291" i="2" s="1"/>
  <c r="CQ292" i="2"/>
  <c r="CQ291" i="2" s="1"/>
  <c r="CR292" i="2"/>
  <c r="CR291" i="2" s="1"/>
  <c r="CS292" i="2"/>
  <c r="CS291" i="2" s="1"/>
  <c r="K292" i="2"/>
  <c r="K291" i="2" s="1"/>
  <c r="CS261" i="2"/>
  <c r="CR261" i="2"/>
  <c r="CQ261" i="2"/>
  <c r="CP261" i="2"/>
  <c r="CO261" i="2"/>
  <c r="CN261" i="2"/>
  <c r="CM261" i="2"/>
  <c r="CL261" i="2"/>
  <c r="CK261" i="2"/>
  <c r="CJ261" i="2"/>
  <c r="CI261" i="2"/>
  <c r="CH261" i="2"/>
  <c r="CG261" i="2"/>
  <c r="CF261" i="2"/>
  <c r="CE261" i="2"/>
  <c r="CD261" i="2"/>
  <c r="CC261" i="2"/>
  <c r="CB261" i="2"/>
  <c r="CA261" i="2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CS221" i="2"/>
  <c r="CR221" i="2"/>
  <c r="CQ221" i="2"/>
  <c r="CP221" i="2"/>
  <c r="CO221" i="2"/>
  <c r="CN221" i="2"/>
  <c r="CM221" i="2"/>
  <c r="CL221" i="2"/>
  <c r="CK221" i="2"/>
  <c r="CJ221" i="2"/>
  <c r="CI221" i="2"/>
  <c r="CH221" i="2"/>
  <c r="CG221" i="2"/>
  <c r="CF221" i="2"/>
  <c r="CE221" i="2"/>
  <c r="CD221" i="2"/>
  <c r="CC221" i="2"/>
  <c r="CB221" i="2"/>
  <c r="CA221" i="2"/>
  <c r="BZ221" i="2"/>
  <c r="BY221" i="2"/>
  <c r="BX221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CS220" i="2"/>
  <c r="CR220" i="2"/>
  <c r="CQ220" i="2"/>
  <c r="CP220" i="2"/>
  <c r="CO220" i="2"/>
  <c r="CN220" i="2"/>
  <c r="CM220" i="2"/>
  <c r="CL220" i="2"/>
  <c r="CK220" i="2"/>
  <c r="CJ220" i="2"/>
  <c r="CI220" i="2"/>
  <c r="CH220" i="2"/>
  <c r="CG220" i="2"/>
  <c r="CF220" i="2"/>
  <c r="CE220" i="2"/>
  <c r="CD220" i="2"/>
  <c r="CC220" i="2"/>
  <c r="CB220" i="2"/>
  <c r="CA220" i="2"/>
  <c r="BZ220" i="2"/>
  <c r="BY220" i="2"/>
  <c r="BX220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1" i="2"/>
  <c r="K220" i="2"/>
  <c r="CS211" i="2"/>
  <c r="CS217" i="2" s="1"/>
  <c r="CR211" i="2"/>
  <c r="CR217" i="2" s="1"/>
  <c r="CQ211" i="2"/>
  <c r="CQ217" i="2" s="1"/>
  <c r="CP211" i="2"/>
  <c r="CP217" i="2" s="1"/>
  <c r="CO211" i="2"/>
  <c r="CO217" i="2" s="1"/>
  <c r="CN211" i="2"/>
  <c r="CN217" i="2" s="1"/>
  <c r="CM211" i="2"/>
  <c r="CM217" i="2" s="1"/>
  <c r="CL211" i="2"/>
  <c r="CL217" i="2" s="1"/>
  <c r="CK211" i="2"/>
  <c r="CK217" i="2" s="1"/>
  <c r="CJ211" i="2"/>
  <c r="CJ217" i="2" s="1"/>
  <c r="CI211" i="2"/>
  <c r="CI217" i="2" s="1"/>
  <c r="CH211" i="2"/>
  <c r="CH217" i="2" s="1"/>
  <c r="CG211" i="2"/>
  <c r="CG217" i="2" s="1"/>
  <c r="CF211" i="2"/>
  <c r="CF217" i="2" s="1"/>
  <c r="CE211" i="2"/>
  <c r="CE217" i="2" s="1"/>
  <c r="CD211" i="2"/>
  <c r="CD217" i="2" s="1"/>
  <c r="CC211" i="2"/>
  <c r="CC217" i="2" s="1"/>
  <c r="CB211" i="2"/>
  <c r="CB217" i="2" s="1"/>
  <c r="CA211" i="2"/>
  <c r="CA217" i="2" s="1"/>
  <c r="BZ211" i="2"/>
  <c r="BZ217" i="2" s="1"/>
  <c r="BY211" i="2"/>
  <c r="BY217" i="2" s="1"/>
  <c r="BX211" i="2"/>
  <c r="BX217" i="2" s="1"/>
  <c r="BW211" i="2"/>
  <c r="BW217" i="2" s="1"/>
  <c r="BV211" i="2"/>
  <c r="BV217" i="2" s="1"/>
  <c r="BU211" i="2"/>
  <c r="BU217" i="2" s="1"/>
  <c r="BT211" i="2"/>
  <c r="BT217" i="2" s="1"/>
  <c r="BS211" i="2"/>
  <c r="BS217" i="2" s="1"/>
  <c r="BR211" i="2"/>
  <c r="BR217" i="2" s="1"/>
  <c r="BQ211" i="2"/>
  <c r="BQ217" i="2" s="1"/>
  <c r="BP211" i="2"/>
  <c r="BP217" i="2" s="1"/>
  <c r="BO211" i="2"/>
  <c r="BO217" i="2" s="1"/>
  <c r="BN211" i="2"/>
  <c r="BN217" i="2" s="1"/>
  <c r="BM211" i="2"/>
  <c r="BM217" i="2" s="1"/>
  <c r="BL211" i="2"/>
  <c r="BL217" i="2" s="1"/>
  <c r="BK211" i="2"/>
  <c r="BK217" i="2" s="1"/>
  <c r="BJ211" i="2"/>
  <c r="BJ217" i="2" s="1"/>
  <c r="BI211" i="2"/>
  <c r="BI217" i="2" s="1"/>
  <c r="BH211" i="2"/>
  <c r="BH217" i="2" s="1"/>
  <c r="BG211" i="2"/>
  <c r="BG217" i="2" s="1"/>
  <c r="BF211" i="2"/>
  <c r="BF217" i="2" s="1"/>
  <c r="BE211" i="2"/>
  <c r="BE217" i="2" s="1"/>
  <c r="BD211" i="2"/>
  <c r="BD217" i="2" s="1"/>
  <c r="BC211" i="2"/>
  <c r="BC217" i="2" s="1"/>
  <c r="BB211" i="2"/>
  <c r="BB217" i="2" s="1"/>
  <c r="BA211" i="2"/>
  <c r="BA217" i="2" s="1"/>
  <c r="AZ211" i="2"/>
  <c r="AZ217" i="2" s="1"/>
  <c r="AY211" i="2"/>
  <c r="AY217" i="2" s="1"/>
  <c r="AX211" i="2"/>
  <c r="AX217" i="2" s="1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L225" i="2"/>
  <c r="L224" i="2" s="1"/>
  <c r="M225" i="2"/>
  <c r="M224" i="2" s="1"/>
  <c r="N225" i="2"/>
  <c r="N224" i="2" s="1"/>
  <c r="O225" i="2"/>
  <c r="O224" i="2" s="1"/>
  <c r="P225" i="2"/>
  <c r="P224" i="2" s="1"/>
  <c r="Q225" i="2"/>
  <c r="Q224" i="2" s="1"/>
  <c r="R225" i="2"/>
  <c r="R224" i="2" s="1"/>
  <c r="S225" i="2"/>
  <c r="S224" i="2" s="1"/>
  <c r="T225" i="2"/>
  <c r="T224" i="2" s="1"/>
  <c r="U225" i="2"/>
  <c r="U224" i="2" s="1"/>
  <c r="V225" i="2"/>
  <c r="V224" i="2" s="1"/>
  <c r="W225" i="2"/>
  <c r="W224" i="2" s="1"/>
  <c r="X225" i="2"/>
  <c r="X224" i="2" s="1"/>
  <c r="Y225" i="2"/>
  <c r="Y224" i="2" s="1"/>
  <c r="Z225" i="2"/>
  <c r="Z224" i="2" s="1"/>
  <c r="AA225" i="2"/>
  <c r="AA224" i="2" s="1"/>
  <c r="AB225" i="2"/>
  <c r="AB224" i="2" s="1"/>
  <c r="AC225" i="2"/>
  <c r="AC224" i="2" s="1"/>
  <c r="AD225" i="2"/>
  <c r="AD224" i="2" s="1"/>
  <c r="AE225" i="2"/>
  <c r="AE224" i="2" s="1"/>
  <c r="AF225" i="2"/>
  <c r="AF224" i="2" s="1"/>
  <c r="AG225" i="2"/>
  <c r="AG224" i="2" s="1"/>
  <c r="AH225" i="2"/>
  <c r="AH224" i="2" s="1"/>
  <c r="AI225" i="2"/>
  <c r="AI224" i="2" s="1"/>
  <c r="AJ225" i="2"/>
  <c r="AJ224" i="2" s="1"/>
  <c r="AK225" i="2"/>
  <c r="AK224" i="2" s="1"/>
  <c r="AL225" i="2"/>
  <c r="AL224" i="2" s="1"/>
  <c r="AM225" i="2"/>
  <c r="AM224" i="2" s="1"/>
  <c r="AN225" i="2"/>
  <c r="AN224" i="2" s="1"/>
  <c r="AO225" i="2"/>
  <c r="AO224" i="2" s="1"/>
  <c r="AP225" i="2"/>
  <c r="AP224" i="2" s="1"/>
  <c r="AQ225" i="2"/>
  <c r="AQ224" i="2" s="1"/>
  <c r="AR225" i="2"/>
  <c r="AR224" i="2" s="1"/>
  <c r="AS225" i="2"/>
  <c r="AS224" i="2" s="1"/>
  <c r="AT225" i="2"/>
  <c r="AT224" i="2" s="1"/>
  <c r="AU225" i="2"/>
  <c r="AU224" i="2" s="1"/>
  <c r="AV225" i="2"/>
  <c r="AV224" i="2" s="1"/>
  <c r="AW225" i="2"/>
  <c r="AW224" i="2" s="1"/>
  <c r="AX225" i="2"/>
  <c r="AX224" i="2" s="1"/>
  <c r="AY225" i="2"/>
  <c r="AY224" i="2" s="1"/>
  <c r="AZ225" i="2"/>
  <c r="AZ224" i="2" s="1"/>
  <c r="BA225" i="2"/>
  <c r="BA224" i="2" s="1"/>
  <c r="BB225" i="2"/>
  <c r="BB224" i="2" s="1"/>
  <c r="BC225" i="2"/>
  <c r="BC224" i="2" s="1"/>
  <c r="BD225" i="2"/>
  <c r="BD224" i="2" s="1"/>
  <c r="BE225" i="2"/>
  <c r="BE224" i="2" s="1"/>
  <c r="BF225" i="2"/>
  <c r="BF224" i="2" s="1"/>
  <c r="BG225" i="2"/>
  <c r="BG224" i="2" s="1"/>
  <c r="BH225" i="2"/>
  <c r="BH224" i="2" s="1"/>
  <c r="BI225" i="2"/>
  <c r="BI224" i="2" s="1"/>
  <c r="BJ225" i="2"/>
  <c r="BJ224" i="2" s="1"/>
  <c r="BK225" i="2"/>
  <c r="BK224" i="2" s="1"/>
  <c r="BL225" i="2"/>
  <c r="BL224" i="2" s="1"/>
  <c r="BM225" i="2"/>
  <c r="BM224" i="2" s="1"/>
  <c r="BN225" i="2"/>
  <c r="BN224" i="2" s="1"/>
  <c r="BO225" i="2"/>
  <c r="BO224" i="2" s="1"/>
  <c r="BP225" i="2"/>
  <c r="BP224" i="2" s="1"/>
  <c r="BQ225" i="2"/>
  <c r="BQ224" i="2" s="1"/>
  <c r="BR225" i="2"/>
  <c r="BR224" i="2" s="1"/>
  <c r="BS225" i="2"/>
  <c r="BS224" i="2" s="1"/>
  <c r="BT225" i="2"/>
  <c r="BT224" i="2" s="1"/>
  <c r="BU225" i="2"/>
  <c r="BU224" i="2" s="1"/>
  <c r="BV225" i="2"/>
  <c r="BV224" i="2" s="1"/>
  <c r="BW225" i="2"/>
  <c r="BW224" i="2" s="1"/>
  <c r="BX225" i="2"/>
  <c r="BX224" i="2" s="1"/>
  <c r="BY225" i="2"/>
  <c r="BY224" i="2" s="1"/>
  <c r="BZ225" i="2"/>
  <c r="BZ224" i="2" s="1"/>
  <c r="CA225" i="2"/>
  <c r="CA224" i="2" s="1"/>
  <c r="CB225" i="2"/>
  <c r="CB224" i="2" s="1"/>
  <c r="CC225" i="2"/>
  <c r="CC224" i="2" s="1"/>
  <c r="CD225" i="2"/>
  <c r="CD224" i="2" s="1"/>
  <c r="CE225" i="2"/>
  <c r="CE224" i="2" s="1"/>
  <c r="CF225" i="2"/>
  <c r="CF224" i="2" s="1"/>
  <c r="CG225" i="2"/>
  <c r="CG224" i="2" s="1"/>
  <c r="CH225" i="2"/>
  <c r="CH224" i="2" s="1"/>
  <c r="CI225" i="2"/>
  <c r="CI224" i="2" s="1"/>
  <c r="CJ225" i="2"/>
  <c r="CJ224" i="2" s="1"/>
  <c r="CK225" i="2"/>
  <c r="CK224" i="2" s="1"/>
  <c r="CL225" i="2"/>
  <c r="CL224" i="2" s="1"/>
  <c r="CM225" i="2"/>
  <c r="CM224" i="2" s="1"/>
  <c r="CN225" i="2"/>
  <c r="CN224" i="2" s="1"/>
  <c r="CO225" i="2"/>
  <c r="CO224" i="2" s="1"/>
  <c r="CP225" i="2"/>
  <c r="CP224" i="2" s="1"/>
  <c r="CQ225" i="2"/>
  <c r="CQ224" i="2" s="1"/>
  <c r="CR225" i="2"/>
  <c r="CR224" i="2" s="1"/>
  <c r="CS225" i="2"/>
  <c r="CS224" i="2" s="1"/>
  <c r="K225" i="2"/>
  <c r="K224" i="2" s="1"/>
  <c r="CG154" i="2"/>
  <c r="CF154" i="2"/>
  <c r="CE154" i="2"/>
  <c r="CD154" i="2"/>
  <c r="CC154" i="2"/>
  <c r="CB154" i="2"/>
  <c r="CA154" i="2"/>
  <c r="BZ154" i="2"/>
  <c r="BY154" i="2"/>
  <c r="BX154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CS167" i="2"/>
  <c r="CR167" i="2"/>
  <c r="CQ167" i="2"/>
  <c r="CP167" i="2"/>
  <c r="CO167" i="2"/>
  <c r="CN167" i="2"/>
  <c r="CM167" i="2"/>
  <c r="CL167" i="2"/>
  <c r="CK167" i="2"/>
  <c r="CJ167" i="2"/>
  <c r="CI167" i="2"/>
  <c r="CH167" i="2"/>
  <c r="CG167" i="2"/>
  <c r="CF167" i="2"/>
  <c r="CE167" i="2"/>
  <c r="CD167" i="2"/>
  <c r="CC167" i="2"/>
  <c r="CB167" i="2"/>
  <c r="CA167" i="2"/>
  <c r="BZ167" i="2"/>
  <c r="BY167" i="2"/>
  <c r="BX167" i="2"/>
  <c r="BW167" i="2"/>
  <c r="BV167" i="2"/>
  <c r="BU167" i="2"/>
  <c r="BT167" i="2"/>
  <c r="BS167" i="2"/>
  <c r="BR167" i="2"/>
  <c r="BQ167" i="2"/>
  <c r="BP167" i="2"/>
  <c r="BO167" i="2"/>
  <c r="BN167" i="2"/>
  <c r="BM167" i="2"/>
  <c r="BL167" i="2"/>
  <c r="BK167" i="2"/>
  <c r="BJ167" i="2"/>
  <c r="BI167" i="2"/>
  <c r="BH167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CG171" i="2"/>
  <c r="CF171" i="2"/>
  <c r="CE171" i="2"/>
  <c r="CD171" i="2"/>
  <c r="CC171" i="2"/>
  <c r="CB171" i="2"/>
  <c r="CA171" i="2"/>
  <c r="BZ171" i="2"/>
  <c r="BY171" i="2"/>
  <c r="BX171" i="2"/>
  <c r="BW171" i="2"/>
  <c r="BV171" i="2"/>
  <c r="BU171" i="2"/>
  <c r="BT171" i="2"/>
  <c r="BS171" i="2"/>
  <c r="BR171" i="2"/>
  <c r="BQ171" i="2"/>
  <c r="BP171" i="2"/>
  <c r="BO171" i="2"/>
  <c r="BN171" i="2"/>
  <c r="BM171" i="2"/>
  <c r="BL171" i="2"/>
  <c r="BK171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CS171" i="2"/>
  <c r="CR171" i="2"/>
  <c r="CQ171" i="2"/>
  <c r="CP171" i="2"/>
  <c r="CO171" i="2"/>
  <c r="CN171" i="2"/>
  <c r="CM171" i="2"/>
  <c r="CL171" i="2"/>
  <c r="CK171" i="2"/>
  <c r="CJ171" i="2"/>
  <c r="CI171" i="2"/>
  <c r="CH171" i="2"/>
  <c r="CS154" i="2"/>
  <c r="CR154" i="2"/>
  <c r="CQ154" i="2"/>
  <c r="CP154" i="2"/>
  <c r="CO154" i="2"/>
  <c r="CN154" i="2"/>
  <c r="CM154" i="2"/>
  <c r="CL154" i="2"/>
  <c r="CK154" i="2"/>
  <c r="CJ154" i="2"/>
  <c r="CI154" i="2"/>
  <c r="CH154" i="2"/>
  <c r="J158" i="2"/>
  <c r="J185" i="2" s="1"/>
  <c r="I158" i="2"/>
  <c r="I185" i="2" s="1"/>
  <c r="H158" i="2"/>
  <c r="H185" i="2" s="1"/>
  <c r="G158" i="2"/>
  <c r="G185" i="2" s="1"/>
  <c r="F158" i="2"/>
  <c r="F185" i="2" s="1"/>
  <c r="E158" i="2"/>
  <c r="E185" i="2" s="1"/>
  <c r="D158" i="2"/>
  <c r="D185" i="2" s="1"/>
  <c r="C158" i="2"/>
  <c r="C185" i="2" s="1"/>
  <c r="B158" i="2"/>
  <c r="B185" i="2" s="1"/>
  <c r="CS150" i="2"/>
  <c r="CR150" i="2"/>
  <c r="CR162" i="2" s="1"/>
  <c r="CQ150" i="2"/>
  <c r="CQ162" i="2" s="1"/>
  <c r="CP150" i="2"/>
  <c r="CO150" i="2"/>
  <c r="CO162" i="2" s="1"/>
  <c r="CN150" i="2"/>
  <c r="CN162" i="2" s="1"/>
  <c r="CM150" i="2"/>
  <c r="CM162" i="2" s="1"/>
  <c r="CL150" i="2"/>
  <c r="CL162" i="2" s="1"/>
  <c r="CK150" i="2"/>
  <c r="CK162" i="2" s="1"/>
  <c r="CJ150" i="2"/>
  <c r="CJ162" i="2" s="1"/>
  <c r="CI150" i="2"/>
  <c r="CI162" i="2" s="1"/>
  <c r="CH150" i="2"/>
  <c r="CH162" i="2" s="1"/>
  <c r="CG150" i="2"/>
  <c r="CG162" i="2" s="1"/>
  <c r="CF150" i="2"/>
  <c r="CE150" i="2"/>
  <c r="CD150" i="2"/>
  <c r="CC150" i="2"/>
  <c r="CC162" i="2" s="1"/>
  <c r="CB150" i="2"/>
  <c r="CB162" i="2" s="1"/>
  <c r="CA150" i="2"/>
  <c r="CA162" i="2" s="1"/>
  <c r="BZ150" i="2"/>
  <c r="BZ162" i="2" s="1"/>
  <c r="BY150" i="2"/>
  <c r="BY162" i="2" s="1"/>
  <c r="BX150" i="2"/>
  <c r="BX162" i="2" s="1"/>
  <c r="BW150" i="2"/>
  <c r="BW162" i="2" s="1"/>
  <c r="BV150" i="2"/>
  <c r="BV162" i="2" s="1"/>
  <c r="BU150" i="2"/>
  <c r="BU162" i="2" s="1"/>
  <c r="BT150" i="2"/>
  <c r="BT162" i="2" s="1"/>
  <c r="BS150" i="2"/>
  <c r="BR150" i="2"/>
  <c r="BQ150" i="2"/>
  <c r="BP150" i="2"/>
  <c r="BP162" i="2" s="1"/>
  <c r="BO150" i="2"/>
  <c r="BO162" i="2" s="1"/>
  <c r="BN150" i="2"/>
  <c r="BN162" i="2" s="1"/>
  <c r="BM150" i="2"/>
  <c r="BM162" i="2" s="1"/>
  <c r="BL150" i="2"/>
  <c r="BL162" i="2" s="1"/>
  <c r="BK150" i="2"/>
  <c r="BK162" i="2" s="1"/>
  <c r="BJ150" i="2"/>
  <c r="BJ162" i="2" s="1"/>
  <c r="BI150" i="2"/>
  <c r="BI162" i="2" s="1"/>
  <c r="BH150" i="2"/>
  <c r="BH162" i="2" s="1"/>
  <c r="BG150" i="2"/>
  <c r="BF150" i="2"/>
  <c r="BE150" i="2"/>
  <c r="BE162" i="2" s="1"/>
  <c r="BD150" i="2"/>
  <c r="BD162" i="2" s="1"/>
  <c r="BC150" i="2"/>
  <c r="BC162" i="2" s="1"/>
  <c r="BB150" i="2"/>
  <c r="BB162" i="2" s="1"/>
  <c r="BA150" i="2"/>
  <c r="BA162" i="2" s="1"/>
  <c r="AZ150" i="2"/>
  <c r="AZ162" i="2" s="1"/>
  <c r="AY150" i="2"/>
  <c r="AY162" i="2" s="1"/>
  <c r="AX150" i="2"/>
  <c r="AX162" i="2" s="1"/>
  <c r="AW150" i="2"/>
  <c r="AW162" i="2" s="1"/>
  <c r="AV150" i="2"/>
  <c r="AV162" i="2" s="1"/>
  <c r="AU150" i="2"/>
  <c r="AT150" i="2"/>
  <c r="AS150" i="2"/>
  <c r="AS162" i="2" s="1"/>
  <c r="AR150" i="2"/>
  <c r="AR162" i="2" s="1"/>
  <c r="AQ150" i="2"/>
  <c r="AQ162" i="2" s="1"/>
  <c r="AP150" i="2"/>
  <c r="AP162" i="2" s="1"/>
  <c r="AO150" i="2"/>
  <c r="AO162" i="2" s="1"/>
  <c r="AN150" i="2"/>
  <c r="AN162" i="2" s="1"/>
  <c r="AM150" i="2"/>
  <c r="AM162" i="2" s="1"/>
  <c r="AL150" i="2"/>
  <c r="AL162" i="2" s="1"/>
  <c r="AK150" i="2"/>
  <c r="AK162" i="2" s="1"/>
  <c r="AJ150" i="2"/>
  <c r="AJ162" i="2" s="1"/>
  <c r="AI150" i="2"/>
  <c r="AH150" i="2"/>
  <c r="AG150" i="2"/>
  <c r="AG162" i="2" s="1"/>
  <c r="AF150" i="2"/>
  <c r="AE150" i="2"/>
  <c r="AE162" i="2" s="1"/>
  <c r="AD150" i="2"/>
  <c r="AD162" i="2" s="1"/>
  <c r="AC150" i="2"/>
  <c r="AC162" i="2" s="1"/>
  <c r="AB150" i="2"/>
  <c r="AB162" i="2" s="1"/>
  <c r="AA150" i="2"/>
  <c r="AA162" i="2" s="1"/>
  <c r="Z150" i="2"/>
  <c r="Z162" i="2" s="1"/>
  <c r="Y150" i="2"/>
  <c r="Y162" i="2" s="1"/>
  <c r="X150" i="2"/>
  <c r="W150" i="2"/>
  <c r="V150" i="2"/>
  <c r="U150" i="2"/>
  <c r="U162" i="2" s="1"/>
  <c r="T150" i="2"/>
  <c r="T162" i="2" s="1"/>
  <c r="S150" i="2"/>
  <c r="S162" i="2" s="1"/>
  <c r="R150" i="2"/>
  <c r="R162" i="2" s="1"/>
  <c r="Q150" i="2"/>
  <c r="Q162" i="2" s="1"/>
  <c r="P150" i="2"/>
  <c r="P162" i="2" s="1"/>
  <c r="O150" i="2"/>
  <c r="O162" i="2" s="1"/>
  <c r="N150" i="2"/>
  <c r="N162" i="2" s="1"/>
  <c r="M150" i="2"/>
  <c r="M162" i="2" s="1"/>
  <c r="L150" i="2"/>
  <c r="K150" i="2"/>
  <c r="J150" i="2"/>
  <c r="I150" i="2"/>
  <c r="H150" i="2"/>
  <c r="G150" i="2"/>
  <c r="F150" i="2"/>
  <c r="E150" i="2"/>
  <c r="D150" i="2"/>
  <c r="C150" i="2"/>
  <c r="B150" i="2"/>
  <c r="CK3" i="7"/>
  <c r="CT5" i="15" s="1"/>
  <c r="CJ3" i="7"/>
  <c r="CS5" i="15" s="1"/>
  <c r="CI3" i="7"/>
  <c r="CH3" i="7"/>
  <c r="CQ5" i="15" s="1"/>
  <c r="CG3" i="7"/>
  <c r="CP5" i="15" s="1"/>
  <c r="CF3" i="7"/>
  <c r="CE3" i="7"/>
  <c r="CN5" i="15" s="1"/>
  <c r="CD3" i="7"/>
  <c r="CM5" i="15" s="1"/>
  <c r="CC3" i="7"/>
  <c r="CB3" i="7"/>
  <c r="CK5" i="15" s="1"/>
  <c r="CA3" i="7"/>
  <c r="CJ5" i="15" s="1"/>
  <c r="BZ3" i="7"/>
  <c r="BY3" i="7"/>
  <c r="CH5" i="15" s="1"/>
  <c r="BX3" i="7"/>
  <c r="CG5" i="15" s="1"/>
  <c r="BW3" i="7"/>
  <c r="BV3" i="7"/>
  <c r="CE5" i="15" s="1"/>
  <c r="BU3" i="7"/>
  <c r="CD5" i="15" s="1"/>
  <c r="BT3" i="7"/>
  <c r="BS3" i="7"/>
  <c r="CB5" i="15" s="1"/>
  <c r="BR3" i="7"/>
  <c r="CA5" i="15" s="1"/>
  <c r="BQ3" i="7"/>
  <c r="BP3" i="7"/>
  <c r="BY5" i="15" s="1"/>
  <c r="BO3" i="7"/>
  <c r="BX5" i="15" s="1"/>
  <c r="BN3" i="7"/>
  <c r="BM3" i="7"/>
  <c r="BV5" i="15" s="1"/>
  <c r="BL3" i="7"/>
  <c r="BU5" i="15" s="1"/>
  <c r="BK3" i="7"/>
  <c r="BJ3" i="7"/>
  <c r="BS5" i="15" s="1"/>
  <c r="BI3" i="7"/>
  <c r="BR5" i="15" s="1"/>
  <c r="BH3" i="7"/>
  <c r="BG3" i="7"/>
  <c r="BP5" i="15" s="1"/>
  <c r="BF3" i="7"/>
  <c r="BO5" i="15" s="1"/>
  <c r="BE3" i="7"/>
  <c r="BD3" i="7"/>
  <c r="BM5" i="15" s="1"/>
  <c r="BC3" i="7"/>
  <c r="BL5" i="15" s="1"/>
  <c r="BB3" i="7"/>
  <c r="BA3" i="7"/>
  <c r="BJ5" i="15" s="1"/>
  <c r="AZ3" i="7"/>
  <c r="BI5" i="15" s="1"/>
  <c r="AY3" i="7"/>
  <c r="BH5" i="15" s="1"/>
  <c r="AX3" i="7"/>
  <c r="BG5" i="15" s="1"/>
  <c r="AW3" i="7"/>
  <c r="BF5" i="15" s="1"/>
  <c r="AV3" i="7"/>
  <c r="BE5" i="15" s="1"/>
  <c r="AU3" i="7"/>
  <c r="BD5" i="15" s="1"/>
  <c r="AT3" i="7"/>
  <c r="BC5" i="15" s="1"/>
  <c r="AS3" i="7"/>
  <c r="BB5" i="15" s="1"/>
  <c r="AR3" i="7"/>
  <c r="BA5" i="15" s="1"/>
  <c r="AQ3" i="7"/>
  <c r="AZ5" i="15" s="1"/>
  <c r="AP3" i="7"/>
  <c r="AY5" i="15" s="1"/>
  <c r="AO3" i="7"/>
  <c r="AX5" i="15" s="1"/>
  <c r="AN3" i="7"/>
  <c r="AW5" i="15" s="1"/>
  <c r="AM3" i="7"/>
  <c r="AV5" i="15" s="1"/>
  <c r="AL3" i="7"/>
  <c r="AU5" i="15" s="1"/>
  <c r="AK3" i="7"/>
  <c r="AT5" i="15" s="1"/>
  <c r="AJ3" i="7"/>
  <c r="AS5" i="15" s="1"/>
  <c r="AI3" i="7"/>
  <c r="AR5" i="15" s="1"/>
  <c r="AH3" i="7"/>
  <c r="AQ5" i="15" s="1"/>
  <c r="AG3" i="7"/>
  <c r="AP5" i="15" s="1"/>
  <c r="AF3" i="7"/>
  <c r="AO5" i="15" s="1"/>
  <c r="AE3" i="7"/>
  <c r="AN5" i="15" s="1"/>
  <c r="AD3" i="7"/>
  <c r="AM5" i="15" s="1"/>
  <c r="AC3" i="7"/>
  <c r="AL5" i="15" s="1"/>
  <c r="AB3" i="7"/>
  <c r="AK5" i="15" s="1"/>
  <c r="AA3" i="7"/>
  <c r="AJ5" i="15" s="1"/>
  <c r="Z3" i="7"/>
  <c r="AI5" i="15" s="1"/>
  <c r="Y3" i="7"/>
  <c r="AH5" i="15" s="1"/>
  <c r="X3" i="7"/>
  <c r="AG5" i="15" s="1"/>
  <c r="W3" i="7"/>
  <c r="AF5" i="15" s="1"/>
  <c r="V3" i="7"/>
  <c r="AE5" i="15" s="1"/>
  <c r="U3" i="7"/>
  <c r="AD5" i="15" s="1"/>
  <c r="T3" i="7"/>
  <c r="AC5" i="15" s="1"/>
  <c r="S3" i="7"/>
  <c r="AB5" i="15" s="1"/>
  <c r="R3" i="7"/>
  <c r="AA5" i="15" s="1"/>
  <c r="Q3" i="7"/>
  <c r="Z5" i="15" s="1"/>
  <c r="P3" i="7"/>
  <c r="Y5" i="15" s="1"/>
  <c r="O3" i="7"/>
  <c r="X5" i="15" s="1"/>
  <c r="N3" i="7"/>
  <c r="W5" i="15" s="1"/>
  <c r="M3" i="7"/>
  <c r="V5" i="15" s="1"/>
  <c r="L3" i="7"/>
  <c r="U5" i="15" s="1"/>
  <c r="K3" i="7"/>
  <c r="T5" i="15" s="1"/>
  <c r="J3" i="7"/>
  <c r="S5" i="15" s="1"/>
  <c r="I3" i="7"/>
  <c r="R5" i="15" s="1"/>
  <c r="H3" i="7"/>
  <c r="Q5" i="15" s="1"/>
  <c r="G3" i="7"/>
  <c r="P5" i="15" s="1"/>
  <c r="F3" i="7"/>
  <c r="O5" i="15" s="1"/>
  <c r="E3" i="7"/>
  <c r="N5" i="15" s="1"/>
  <c r="D3" i="7"/>
  <c r="M5" i="15" s="1"/>
  <c r="C3" i="7"/>
  <c r="L5" i="15" s="1"/>
  <c r="J2" i="7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CE2" i="7" s="1"/>
  <c r="CF2" i="7" s="1"/>
  <c r="CG2" i="7" s="1"/>
  <c r="CH2" i="7" s="1"/>
  <c r="CI2" i="7" s="1"/>
  <c r="CJ2" i="7" s="1"/>
  <c r="CK2" i="7" s="1"/>
  <c r="CL2" i="7" s="1"/>
  <c r="CM2" i="7" s="1"/>
  <c r="CN2" i="7" s="1"/>
  <c r="CO2" i="7" s="1"/>
  <c r="CP2" i="7" s="1"/>
  <c r="CQ2" i="7" s="1"/>
  <c r="CR2" i="7" s="1"/>
  <c r="CS2" i="7" s="1"/>
  <c r="CT2" i="7" s="1"/>
  <c r="CU2" i="7" s="1"/>
  <c r="CV2" i="7" s="1"/>
  <c r="CW2" i="7" s="1"/>
  <c r="CX2" i="7" s="1"/>
  <c r="CY2" i="7" s="1"/>
  <c r="CZ2" i="7" s="1"/>
  <c r="DA2" i="7" s="1"/>
  <c r="DB2" i="7" s="1"/>
  <c r="DC2" i="7" s="1"/>
  <c r="DD2" i="7" s="1"/>
  <c r="DE2" i="7" s="1"/>
  <c r="DF2" i="7" s="1"/>
  <c r="DG2" i="7" s="1"/>
  <c r="DH2" i="7" s="1"/>
  <c r="DI2" i="7" s="1"/>
  <c r="DJ2" i="7" s="1"/>
  <c r="DK2" i="7" s="1"/>
  <c r="DL2" i="7" s="1"/>
  <c r="DM2" i="7" s="1"/>
  <c r="DN2" i="7" s="1"/>
  <c r="DO2" i="7" s="1"/>
  <c r="DP2" i="7" s="1"/>
  <c r="DQ2" i="7" s="1"/>
  <c r="DR2" i="7" s="1"/>
  <c r="DS2" i="7" s="1"/>
  <c r="DT2" i="7" s="1"/>
  <c r="DU2" i="7" s="1"/>
  <c r="FH93" i="3"/>
  <c r="FH91" i="3"/>
  <c r="FH89" i="3"/>
  <c r="FH88" i="3"/>
  <c r="FH87" i="3"/>
  <c r="EZ89" i="3"/>
  <c r="EY89" i="3"/>
  <c r="EX89" i="3"/>
  <c r="EW89" i="3"/>
  <c r="EV89" i="3"/>
  <c r="EU89" i="3"/>
  <c r="ET89" i="3"/>
  <c r="ES89" i="3"/>
  <c r="EZ88" i="3"/>
  <c r="EY88" i="3"/>
  <c r="EX88" i="3"/>
  <c r="EW88" i="3"/>
  <c r="EV88" i="3"/>
  <c r="EU88" i="3"/>
  <c r="ET88" i="3"/>
  <c r="ES88" i="3"/>
  <c r="EZ51" i="3"/>
  <c r="EY51" i="3"/>
  <c r="EX51" i="3"/>
  <c r="EW51" i="3"/>
  <c r="EV51" i="3"/>
  <c r="EU51" i="3"/>
  <c r="ET51" i="3"/>
  <c r="ES51" i="3"/>
  <c r="FG93" i="3"/>
  <c r="FG91" i="3"/>
  <c r="FG89" i="3"/>
  <c r="FG88" i="3"/>
  <c r="FG87" i="3"/>
  <c r="FG35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BT110" i="3"/>
  <c r="BU110" i="3"/>
  <c r="BV110" i="3"/>
  <c r="BW110" i="3"/>
  <c r="BX110" i="3"/>
  <c r="BY110" i="3"/>
  <c r="BZ110" i="3"/>
  <c r="CA110" i="3"/>
  <c r="CB110" i="3"/>
  <c r="CC110" i="3"/>
  <c r="CD110" i="3"/>
  <c r="CE110" i="3"/>
  <c r="CF110" i="3"/>
  <c r="CG110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BT111" i="3"/>
  <c r="BU111" i="3"/>
  <c r="BV111" i="3"/>
  <c r="BW111" i="3"/>
  <c r="BX111" i="3"/>
  <c r="BY111" i="3"/>
  <c r="BZ111" i="3"/>
  <c r="CA111" i="3"/>
  <c r="CB111" i="3"/>
  <c r="CC111" i="3"/>
  <c r="CD111" i="3"/>
  <c r="CE111" i="3"/>
  <c r="CF111" i="3"/>
  <c r="CG111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C94" i="3"/>
  <c r="C157" i="18" s="1"/>
  <c r="D94" i="3"/>
  <c r="D157" i="18" s="1"/>
  <c r="E94" i="3"/>
  <c r="E157" i="18" s="1"/>
  <c r="F94" i="3"/>
  <c r="F157" i="18" s="1"/>
  <c r="G94" i="3"/>
  <c r="G157" i="18" s="1"/>
  <c r="H94" i="3"/>
  <c r="H157" i="18" s="1"/>
  <c r="I94" i="3"/>
  <c r="I157" i="18" s="1"/>
  <c r="J94" i="3"/>
  <c r="J157" i="18" s="1"/>
  <c r="K94" i="3"/>
  <c r="K157" i="18" s="1"/>
  <c r="L94" i="3"/>
  <c r="L157" i="18" s="1"/>
  <c r="M94" i="3"/>
  <c r="M157" i="18" s="1"/>
  <c r="N94" i="3"/>
  <c r="N157" i="18" s="1"/>
  <c r="O94" i="3"/>
  <c r="O157" i="18" s="1"/>
  <c r="P94" i="3"/>
  <c r="P157" i="18" s="1"/>
  <c r="Q94" i="3"/>
  <c r="Q157" i="18" s="1"/>
  <c r="R94" i="3"/>
  <c r="R157" i="18" s="1"/>
  <c r="S94" i="3"/>
  <c r="S157" i="18" s="1"/>
  <c r="T94" i="3"/>
  <c r="T157" i="18" s="1"/>
  <c r="U94" i="3"/>
  <c r="U157" i="18" s="1"/>
  <c r="V94" i="3"/>
  <c r="V157" i="18" s="1"/>
  <c r="W94" i="3"/>
  <c r="W157" i="18" s="1"/>
  <c r="X94" i="3"/>
  <c r="X157" i="18" s="1"/>
  <c r="Y94" i="3"/>
  <c r="Y157" i="18" s="1"/>
  <c r="Z94" i="3"/>
  <c r="Z157" i="18" s="1"/>
  <c r="AA94" i="3"/>
  <c r="AA157" i="18" s="1"/>
  <c r="AB94" i="3"/>
  <c r="AB157" i="18" s="1"/>
  <c r="AC94" i="3"/>
  <c r="AC157" i="18" s="1"/>
  <c r="AD94" i="3"/>
  <c r="AD157" i="18" s="1"/>
  <c r="AE94" i="3"/>
  <c r="AE157" i="18" s="1"/>
  <c r="AF94" i="3"/>
  <c r="AF157" i="18" s="1"/>
  <c r="AG94" i="3"/>
  <c r="AG157" i="18" s="1"/>
  <c r="AH94" i="3"/>
  <c r="AH157" i="18" s="1"/>
  <c r="AI94" i="3"/>
  <c r="AI157" i="18" s="1"/>
  <c r="AJ94" i="3"/>
  <c r="AJ157" i="18" s="1"/>
  <c r="AK94" i="3"/>
  <c r="AK157" i="18" s="1"/>
  <c r="AL94" i="3"/>
  <c r="AL157" i="18" s="1"/>
  <c r="AM94" i="3"/>
  <c r="AM157" i="18" s="1"/>
  <c r="AN94" i="3"/>
  <c r="AN157" i="18" s="1"/>
  <c r="AO94" i="3"/>
  <c r="AO157" i="18" s="1"/>
  <c r="AP94" i="3"/>
  <c r="AP157" i="18" s="1"/>
  <c r="AQ94" i="3"/>
  <c r="AQ157" i="18" s="1"/>
  <c r="AR94" i="3"/>
  <c r="AR157" i="18" s="1"/>
  <c r="AS94" i="3"/>
  <c r="AS157" i="18" s="1"/>
  <c r="AT94" i="3"/>
  <c r="AT157" i="18" s="1"/>
  <c r="AU94" i="3"/>
  <c r="AU157" i="18" s="1"/>
  <c r="AV94" i="3"/>
  <c r="AV157" i="18" s="1"/>
  <c r="AW94" i="3"/>
  <c r="AW157" i="18" s="1"/>
  <c r="AX94" i="3"/>
  <c r="AX157" i="18" s="1"/>
  <c r="AY94" i="3"/>
  <c r="AY157" i="18" s="1"/>
  <c r="AZ94" i="3"/>
  <c r="AZ157" i="18" s="1"/>
  <c r="BA94" i="3"/>
  <c r="BA157" i="18" s="1"/>
  <c r="BB94" i="3"/>
  <c r="BB157" i="18" s="1"/>
  <c r="BC94" i="3"/>
  <c r="BC157" i="18" s="1"/>
  <c r="BD94" i="3"/>
  <c r="BD157" i="18" s="1"/>
  <c r="BE94" i="3"/>
  <c r="BE157" i="18" s="1"/>
  <c r="BF94" i="3"/>
  <c r="BF157" i="18" s="1"/>
  <c r="BG94" i="3"/>
  <c r="BG157" i="18" s="1"/>
  <c r="BH94" i="3"/>
  <c r="BH157" i="18" s="1"/>
  <c r="BI94" i="3"/>
  <c r="BI157" i="18" s="1"/>
  <c r="BJ94" i="3"/>
  <c r="BJ157" i="18" s="1"/>
  <c r="BK94" i="3"/>
  <c r="BK157" i="18" s="1"/>
  <c r="BL94" i="3"/>
  <c r="BL157" i="18" s="1"/>
  <c r="BM94" i="3"/>
  <c r="BM157" i="18" s="1"/>
  <c r="BN94" i="3"/>
  <c r="BN157" i="18" s="1"/>
  <c r="BO94" i="3"/>
  <c r="BO157" i="18" s="1"/>
  <c r="BP94" i="3"/>
  <c r="BP157" i="18" s="1"/>
  <c r="BQ94" i="3"/>
  <c r="BQ157" i="18" s="1"/>
  <c r="BR94" i="3"/>
  <c r="BR157" i="18" s="1"/>
  <c r="BS94" i="3"/>
  <c r="BS157" i="18" s="1"/>
  <c r="BT94" i="3"/>
  <c r="BT157" i="18" s="1"/>
  <c r="BU94" i="3"/>
  <c r="BU157" i="18" s="1"/>
  <c r="BV94" i="3"/>
  <c r="BV157" i="18" s="1"/>
  <c r="BW94" i="3"/>
  <c r="BW157" i="18" s="1"/>
  <c r="BX94" i="3"/>
  <c r="BX157" i="18" s="1"/>
  <c r="BY94" i="3"/>
  <c r="BY157" i="18" s="1"/>
  <c r="BZ94" i="3"/>
  <c r="BZ157" i="18" s="1"/>
  <c r="CA94" i="3"/>
  <c r="CA157" i="18" s="1"/>
  <c r="CB94" i="3"/>
  <c r="CB157" i="18" s="1"/>
  <c r="CC94" i="3"/>
  <c r="CC157" i="18" s="1"/>
  <c r="CD94" i="3"/>
  <c r="CD157" i="18" s="1"/>
  <c r="CE94" i="3"/>
  <c r="CE157" i="18" s="1"/>
  <c r="CF94" i="3"/>
  <c r="CF157" i="18" s="1"/>
  <c r="CG94" i="3"/>
  <c r="CG157" i="18" s="1"/>
  <c r="CH94" i="3"/>
  <c r="CH157" i="18" s="1"/>
  <c r="CI94" i="3"/>
  <c r="CI157" i="18" s="1"/>
  <c r="CJ94" i="3"/>
  <c r="CJ157" i="18" s="1"/>
  <c r="CK94" i="3"/>
  <c r="CK157" i="18" s="1"/>
  <c r="CL94" i="3"/>
  <c r="CL157" i="18" s="1"/>
  <c r="CM94" i="3"/>
  <c r="CM157" i="18" s="1"/>
  <c r="CN94" i="3"/>
  <c r="CN157" i="18" s="1"/>
  <c r="CO94" i="3"/>
  <c r="CO157" i="18" s="1"/>
  <c r="CP94" i="3"/>
  <c r="CP157" i="18" s="1"/>
  <c r="CQ94" i="3"/>
  <c r="CQ157" i="18" s="1"/>
  <c r="CR94" i="3"/>
  <c r="CR157" i="18" s="1"/>
  <c r="CS94" i="3"/>
  <c r="CS157" i="18" s="1"/>
  <c r="CT94" i="3"/>
  <c r="CT157" i="18" s="1"/>
  <c r="CU94" i="3"/>
  <c r="CU157" i="18" s="1"/>
  <c r="CV94" i="3"/>
  <c r="CV157" i="18" s="1"/>
  <c r="CW94" i="3"/>
  <c r="CW157" i="18" s="1"/>
  <c r="CX94" i="3"/>
  <c r="CX157" i="18" s="1"/>
  <c r="CY94" i="3"/>
  <c r="CY157" i="18" s="1"/>
  <c r="CZ94" i="3"/>
  <c r="CZ157" i="18" s="1"/>
  <c r="DA94" i="3"/>
  <c r="DA157" i="18" s="1"/>
  <c r="DB94" i="3"/>
  <c r="DB157" i="18" s="1"/>
  <c r="DC94" i="3"/>
  <c r="DC157" i="18" s="1"/>
  <c r="DD94" i="3"/>
  <c r="DD157" i="18" s="1"/>
  <c r="DE94" i="3"/>
  <c r="DE157" i="18" s="1"/>
  <c r="DF94" i="3"/>
  <c r="DF157" i="18" s="1"/>
  <c r="DG94" i="3"/>
  <c r="DG157" i="18" s="1"/>
  <c r="DH94" i="3"/>
  <c r="DH157" i="18" s="1"/>
  <c r="DI94" i="3"/>
  <c r="DI157" i="18" s="1"/>
  <c r="DJ94" i="3"/>
  <c r="DJ157" i="18" s="1"/>
  <c r="DK94" i="3"/>
  <c r="DK157" i="18" s="1"/>
  <c r="DL94" i="3"/>
  <c r="DL157" i="18" s="1"/>
  <c r="DM94" i="3"/>
  <c r="DM157" i="18" s="1"/>
  <c r="DN94" i="3"/>
  <c r="DN157" i="18" s="1"/>
  <c r="DO94" i="3"/>
  <c r="DO157" i="18" s="1"/>
  <c r="DP94" i="3"/>
  <c r="DP157" i="18" s="1"/>
  <c r="DQ94" i="3"/>
  <c r="DQ157" i="18" s="1"/>
  <c r="DR94" i="3"/>
  <c r="DR157" i="18" s="1"/>
  <c r="C95" i="3"/>
  <c r="C158" i="18" s="1"/>
  <c r="D95" i="3"/>
  <c r="D158" i="18" s="1"/>
  <c r="E95" i="3"/>
  <c r="E158" i="18" s="1"/>
  <c r="F95" i="3"/>
  <c r="F158" i="18" s="1"/>
  <c r="G95" i="3"/>
  <c r="G158" i="18" s="1"/>
  <c r="H95" i="3"/>
  <c r="H158" i="18" s="1"/>
  <c r="I95" i="3"/>
  <c r="I158" i="18" s="1"/>
  <c r="J95" i="3"/>
  <c r="J158" i="18" s="1"/>
  <c r="K95" i="3"/>
  <c r="K158" i="18" s="1"/>
  <c r="L95" i="3"/>
  <c r="L158" i="18" s="1"/>
  <c r="M95" i="3"/>
  <c r="M158" i="18" s="1"/>
  <c r="N95" i="3"/>
  <c r="N158" i="18" s="1"/>
  <c r="O95" i="3"/>
  <c r="O158" i="18" s="1"/>
  <c r="P95" i="3"/>
  <c r="P158" i="18" s="1"/>
  <c r="Q95" i="3"/>
  <c r="Q158" i="18" s="1"/>
  <c r="R95" i="3"/>
  <c r="R158" i="18" s="1"/>
  <c r="S95" i="3"/>
  <c r="S158" i="18" s="1"/>
  <c r="T95" i="3"/>
  <c r="T158" i="18" s="1"/>
  <c r="U95" i="3"/>
  <c r="U158" i="18" s="1"/>
  <c r="V95" i="3"/>
  <c r="V158" i="18" s="1"/>
  <c r="W95" i="3"/>
  <c r="W158" i="18" s="1"/>
  <c r="X95" i="3"/>
  <c r="X158" i="18" s="1"/>
  <c r="Y95" i="3"/>
  <c r="Y158" i="18" s="1"/>
  <c r="Z95" i="3"/>
  <c r="Z158" i="18" s="1"/>
  <c r="AA95" i="3"/>
  <c r="AA158" i="18" s="1"/>
  <c r="AB95" i="3"/>
  <c r="AB158" i="18" s="1"/>
  <c r="AC95" i="3"/>
  <c r="AC158" i="18" s="1"/>
  <c r="AD95" i="3"/>
  <c r="AD158" i="18" s="1"/>
  <c r="AE95" i="3"/>
  <c r="AE158" i="18" s="1"/>
  <c r="AF95" i="3"/>
  <c r="AF158" i="18" s="1"/>
  <c r="AG95" i="3"/>
  <c r="AG158" i="18" s="1"/>
  <c r="AH95" i="3"/>
  <c r="AH158" i="18" s="1"/>
  <c r="AI95" i="3"/>
  <c r="AI158" i="18" s="1"/>
  <c r="AJ95" i="3"/>
  <c r="AJ158" i="18" s="1"/>
  <c r="AK95" i="3"/>
  <c r="AK158" i="18" s="1"/>
  <c r="AL95" i="3"/>
  <c r="AL158" i="18" s="1"/>
  <c r="AM95" i="3"/>
  <c r="AM158" i="18" s="1"/>
  <c r="AN95" i="3"/>
  <c r="AN158" i="18" s="1"/>
  <c r="AO95" i="3"/>
  <c r="AO158" i="18" s="1"/>
  <c r="AP95" i="3"/>
  <c r="AP158" i="18" s="1"/>
  <c r="AQ95" i="3"/>
  <c r="AQ158" i="18" s="1"/>
  <c r="AR95" i="3"/>
  <c r="AR158" i="18" s="1"/>
  <c r="AS95" i="3"/>
  <c r="AS158" i="18" s="1"/>
  <c r="AT95" i="3"/>
  <c r="AT158" i="18" s="1"/>
  <c r="AU95" i="3"/>
  <c r="AU158" i="18" s="1"/>
  <c r="AV95" i="3"/>
  <c r="AV158" i="18" s="1"/>
  <c r="AW95" i="3"/>
  <c r="AW158" i="18" s="1"/>
  <c r="AX95" i="3"/>
  <c r="AX158" i="18" s="1"/>
  <c r="AY95" i="3"/>
  <c r="AY158" i="18" s="1"/>
  <c r="AZ95" i="3"/>
  <c r="AZ158" i="18" s="1"/>
  <c r="BA95" i="3"/>
  <c r="BA158" i="18" s="1"/>
  <c r="BB95" i="3"/>
  <c r="BB158" i="18" s="1"/>
  <c r="BC95" i="3"/>
  <c r="BC158" i="18" s="1"/>
  <c r="BD95" i="3"/>
  <c r="BD158" i="18" s="1"/>
  <c r="BE95" i="3"/>
  <c r="BE158" i="18" s="1"/>
  <c r="BF95" i="3"/>
  <c r="BF158" i="18" s="1"/>
  <c r="BG95" i="3"/>
  <c r="BG158" i="18" s="1"/>
  <c r="BH95" i="3"/>
  <c r="BH158" i="18" s="1"/>
  <c r="BI95" i="3"/>
  <c r="BI158" i="18" s="1"/>
  <c r="BJ95" i="3"/>
  <c r="BJ158" i="18" s="1"/>
  <c r="BK95" i="3"/>
  <c r="BK158" i="18" s="1"/>
  <c r="BL95" i="3"/>
  <c r="BL158" i="18" s="1"/>
  <c r="BM95" i="3"/>
  <c r="BM158" i="18" s="1"/>
  <c r="BN95" i="3"/>
  <c r="BN158" i="18" s="1"/>
  <c r="BO95" i="3"/>
  <c r="BO158" i="18" s="1"/>
  <c r="BP95" i="3"/>
  <c r="BP158" i="18" s="1"/>
  <c r="BQ95" i="3"/>
  <c r="BQ158" i="18" s="1"/>
  <c r="BR95" i="3"/>
  <c r="BR158" i="18" s="1"/>
  <c r="BS95" i="3"/>
  <c r="BS158" i="18" s="1"/>
  <c r="BT95" i="3"/>
  <c r="BT158" i="18" s="1"/>
  <c r="BU95" i="3"/>
  <c r="BU158" i="18" s="1"/>
  <c r="BV95" i="3"/>
  <c r="BV158" i="18" s="1"/>
  <c r="BW95" i="3"/>
  <c r="BW158" i="18" s="1"/>
  <c r="BX95" i="3"/>
  <c r="BX158" i="18" s="1"/>
  <c r="BY95" i="3"/>
  <c r="BY158" i="18" s="1"/>
  <c r="BZ95" i="3"/>
  <c r="BZ158" i="18" s="1"/>
  <c r="CA95" i="3"/>
  <c r="CA158" i="18" s="1"/>
  <c r="CB95" i="3"/>
  <c r="CB158" i="18" s="1"/>
  <c r="CC95" i="3"/>
  <c r="CC158" i="18" s="1"/>
  <c r="CD95" i="3"/>
  <c r="CD158" i="18" s="1"/>
  <c r="CE95" i="3"/>
  <c r="CE158" i="18" s="1"/>
  <c r="CF95" i="3"/>
  <c r="CF158" i="18" s="1"/>
  <c r="CG95" i="3"/>
  <c r="CG158" i="18" s="1"/>
  <c r="CH95" i="3"/>
  <c r="CH158" i="18" s="1"/>
  <c r="CI95" i="3"/>
  <c r="CI158" i="18" s="1"/>
  <c r="CJ95" i="3"/>
  <c r="CJ158" i="18" s="1"/>
  <c r="CK95" i="3"/>
  <c r="CK158" i="18" s="1"/>
  <c r="CL95" i="3"/>
  <c r="CL158" i="18" s="1"/>
  <c r="CM95" i="3"/>
  <c r="CM158" i="18" s="1"/>
  <c r="CN95" i="3"/>
  <c r="CN158" i="18" s="1"/>
  <c r="CO95" i="3"/>
  <c r="CO158" i="18" s="1"/>
  <c r="CP95" i="3"/>
  <c r="CP158" i="18" s="1"/>
  <c r="CQ95" i="3"/>
  <c r="CQ158" i="18" s="1"/>
  <c r="CR95" i="3"/>
  <c r="CR158" i="18" s="1"/>
  <c r="CS95" i="3"/>
  <c r="CS158" i="18" s="1"/>
  <c r="CT95" i="3"/>
  <c r="CT158" i="18" s="1"/>
  <c r="CU95" i="3"/>
  <c r="CU158" i="18" s="1"/>
  <c r="CV95" i="3"/>
  <c r="CV158" i="18" s="1"/>
  <c r="CW95" i="3"/>
  <c r="CW158" i="18" s="1"/>
  <c r="CX95" i="3"/>
  <c r="CX158" i="18" s="1"/>
  <c r="CY95" i="3"/>
  <c r="CY158" i="18" s="1"/>
  <c r="CZ95" i="3"/>
  <c r="CZ158" i="18" s="1"/>
  <c r="DA95" i="3"/>
  <c r="DA158" i="18" s="1"/>
  <c r="DB95" i="3"/>
  <c r="DB158" i="18" s="1"/>
  <c r="DC95" i="3"/>
  <c r="DC158" i="18" s="1"/>
  <c r="DD95" i="3"/>
  <c r="DD158" i="18" s="1"/>
  <c r="DE95" i="3"/>
  <c r="DE158" i="18" s="1"/>
  <c r="DF95" i="3"/>
  <c r="DF158" i="18" s="1"/>
  <c r="DG95" i="3"/>
  <c r="DG158" i="18" s="1"/>
  <c r="DH95" i="3"/>
  <c r="DH158" i="18" s="1"/>
  <c r="DI95" i="3"/>
  <c r="DI158" i="18" s="1"/>
  <c r="DJ95" i="3"/>
  <c r="DJ158" i="18" s="1"/>
  <c r="DK95" i="3"/>
  <c r="DK158" i="18" s="1"/>
  <c r="DL95" i="3"/>
  <c r="DL158" i="18" s="1"/>
  <c r="DM95" i="3"/>
  <c r="DM158" i="18" s="1"/>
  <c r="DN95" i="3"/>
  <c r="DN158" i="18" s="1"/>
  <c r="DO95" i="3"/>
  <c r="DO158" i="18" s="1"/>
  <c r="DP95" i="3"/>
  <c r="DP158" i="18" s="1"/>
  <c r="DQ95" i="3"/>
  <c r="DQ158" i="18" s="1"/>
  <c r="DR95" i="3"/>
  <c r="C96" i="3"/>
  <c r="C160" i="18" s="1"/>
  <c r="D96" i="3"/>
  <c r="D160" i="18" s="1"/>
  <c r="E96" i="3"/>
  <c r="E160" i="18" s="1"/>
  <c r="F96" i="3"/>
  <c r="F160" i="18" s="1"/>
  <c r="G96" i="3"/>
  <c r="G160" i="18" s="1"/>
  <c r="H96" i="3"/>
  <c r="H160" i="18" s="1"/>
  <c r="I96" i="3"/>
  <c r="I160" i="18" s="1"/>
  <c r="J96" i="3"/>
  <c r="J160" i="18" s="1"/>
  <c r="K96" i="3"/>
  <c r="K160" i="18" s="1"/>
  <c r="L96" i="3"/>
  <c r="L160" i="18" s="1"/>
  <c r="M96" i="3"/>
  <c r="M160" i="18" s="1"/>
  <c r="N96" i="3"/>
  <c r="N160" i="18" s="1"/>
  <c r="O96" i="3"/>
  <c r="O160" i="18" s="1"/>
  <c r="P96" i="3"/>
  <c r="P160" i="18" s="1"/>
  <c r="Q96" i="3"/>
  <c r="Q160" i="18" s="1"/>
  <c r="R96" i="3"/>
  <c r="R160" i="18" s="1"/>
  <c r="S96" i="3"/>
  <c r="S160" i="18" s="1"/>
  <c r="T96" i="3"/>
  <c r="T160" i="18" s="1"/>
  <c r="U96" i="3"/>
  <c r="U160" i="18" s="1"/>
  <c r="V96" i="3"/>
  <c r="V160" i="18" s="1"/>
  <c r="W96" i="3"/>
  <c r="W160" i="18" s="1"/>
  <c r="X96" i="3"/>
  <c r="X160" i="18" s="1"/>
  <c r="Y96" i="3"/>
  <c r="Y160" i="18" s="1"/>
  <c r="Z96" i="3"/>
  <c r="Z160" i="18" s="1"/>
  <c r="AA96" i="3"/>
  <c r="AA160" i="18" s="1"/>
  <c r="AB96" i="3"/>
  <c r="AB160" i="18" s="1"/>
  <c r="AC96" i="3"/>
  <c r="AC160" i="18" s="1"/>
  <c r="AD96" i="3"/>
  <c r="AD160" i="18" s="1"/>
  <c r="AE96" i="3"/>
  <c r="AE160" i="18" s="1"/>
  <c r="AF96" i="3"/>
  <c r="AF160" i="18" s="1"/>
  <c r="AG96" i="3"/>
  <c r="AG160" i="18" s="1"/>
  <c r="AH96" i="3"/>
  <c r="AH160" i="18" s="1"/>
  <c r="AI96" i="3"/>
  <c r="AI160" i="18" s="1"/>
  <c r="AJ96" i="3"/>
  <c r="AJ160" i="18" s="1"/>
  <c r="AK96" i="3"/>
  <c r="AK160" i="18" s="1"/>
  <c r="AL96" i="3"/>
  <c r="AL160" i="18" s="1"/>
  <c r="AM96" i="3"/>
  <c r="AM160" i="18" s="1"/>
  <c r="AN96" i="3"/>
  <c r="AN160" i="18" s="1"/>
  <c r="AO96" i="3"/>
  <c r="AO160" i="18" s="1"/>
  <c r="AP96" i="3"/>
  <c r="AP160" i="18" s="1"/>
  <c r="AQ96" i="3"/>
  <c r="AQ160" i="18" s="1"/>
  <c r="AR96" i="3"/>
  <c r="AR160" i="18" s="1"/>
  <c r="AS96" i="3"/>
  <c r="AS160" i="18" s="1"/>
  <c r="AT96" i="3"/>
  <c r="AT160" i="18" s="1"/>
  <c r="AU96" i="3"/>
  <c r="AU160" i="18" s="1"/>
  <c r="AV96" i="3"/>
  <c r="AV160" i="18" s="1"/>
  <c r="AW96" i="3"/>
  <c r="AW160" i="18" s="1"/>
  <c r="AX96" i="3"/>
  <c r="AX160" i="18" s="1"/>
  <c r="AY96" i="3"/>
  <c r="AY160" i="18" s="1"/>
  <c r="AZ96" i="3"/>
  <c r="AZ160" i="18" s="1"/>
  <c r="BA96" i="3"/>
  <c r="BA160" i="18" s="1"/>
  <c r="BB96" i="3"/>
  <c r="BB160" i="18" s="1"/>
  <c r="BC96" i="3"/>
  <c r="BC160" i="18" s="1"/>
  <c r="BD96" i="3"/>
  <c r="BD160" i="18" s="1"/>
  <c r="BE96" i="3"/>
  <c r="BE160" i="18" s="1"/>
  <c r="BF96" i="3"/>
  <c r="BF160" i="18" s="1"/>
  <c r="BG96" i="3"/>
  <c r="BG160" i="18" s="1"/>
  <c r="BH96" i="3"/>
  <c r="BH160" i="18" s="1"/>
  <c r="BI96" i="3"/>
  <c r="BI160" i="18" s="1"/>
  <c r="BJ96" i="3"/>
  <c r="BJ160" i="18" s="1"/>
  <c r="BK96" i="3"/>
  <c r="BK160" i="18" s="1"/>
  <c r="BL96" i="3"/>
  <c r="BL160" i="18" s="1"/>
  <c r="BM96" i="3"/>
  <c r="BM160" i="18" s="1"/>
  <c r="BN96" i="3"/>
  <c r="BN160" i="18" s="1"/>
  <c r="BO96" i="3"/>
  <c r="BO160" i="18" s="1"/>
  <c r="BP96" i="3"/>
  <c r="BP160" i="18" s="1"/>
  <c r="BQ96" i="3"/>
  <c r="BQ160" i="18" s="1"/>
  <c r="BR96" i="3"/>
  <c r="BR160" i="18" s="1"/>
  <c r="BS96" i="3"/>
  <c r="BS160" i="18" s="1"/>
  <c r="BT96" i="3"/>
  <c r="BT160" i="18" s="1"/>
  <c r="BU96" i="3"/>
  <c r="BU160" i="18" s="1"/>
  <c r="BV96" i="3"/>
  <c r="BV160" i="18" s="1"/>
  <c r="BW96" i="3"/>
  <c r="BW160" i="18" s="1"/>
  <c r="BX96" i="3"/>
  <c r="BX160" i="18" s="1"/>
  <c r="BY96" i="3"/>
  <c r="BY160" i="18" s="1"/>
  <c r="BZ96" i="3"/>
  <c r="BZ160" i="18" s="1"/>
  <c r="CA96" i="3"/>
  <c r="CA160" i="18" s="1"/>
  <c r="CB96" i="3"/>
  <c r="CB160" i="18" s="1"/>
  <c r="CC96" i="3"/>
  <c r="CC160" i="18" s="1"/>
  <c r="CD96" i="3"/>
  <c r="CD160" i="18" s="1"/>
  <c r="CE96" i="3"/>
  <c r="CE160" i="18" s="1"/>
  <c r="CF96" i="3"/>
  <c r="CF160" i="18" s="1"/>
  <c r="CG96" i="3"/>
  <c r="CG160" i="18" s="1"/>
  <c r="CH96" i="3"/>
  <c r="CH160" i="18" s="1"/>
  <c r="CI96" i="3"/>
  <c r="CI160" i="18" s="1"/>
  <c r="CJ96" i="3"/>
  <c r="CJ160" i="18" s="1"/>
  <c r="CK96" i="3"/>
  <c r="CK160" i="18" s="1"/>
  <c r="CL96" i="3"/>
  <c r="CL160" i="18" s="1"/>
  <c r="CM96" i="3"/>
  <c r="CM160" i="18" s="1"/>
  <c r="CN96" i="3"/>
  <c r="CN160" i="18" s="1"/>
  <c r="CO96" i="3"/>
  <c r="CO160" i="18" s="1"/>
  <c r="CP96" i="3"/>
  <c r="CP160" i="18" s="1"/>
  <c r="CQ96" i="3"/>
  <c r="CQ160" i="18" s="1"/>
  <c r="CR96" i="3"/>
  <c r="CR160" i="18" s="1"/>
  <c r="CS96" i="3"/>
  <c r="CS160" i="18" s="1"/>
  <c r="CT96" i="3"/>
  <c r="CT160" i="18" s="1"/>
  <c r="CU96" i="3"/>
  <c r="CU160" i="18" s="1"/>
  <c r="CV96" i="3"/>
  <c r="CV160" i="18" s="1"/>
  <c r="CW96" i="3"/>
  <c r="CW160" i="18" s="1"/>
  <c r="CX96" i="3"/>
  <c r="CX160" i="18" s="1"/>
  <c r="CY96" i="3"/>
  <c r="CY160" i="18" s="1"/>
  <c r="CZ96" i="3"/>
  <c r="CZ160" i="18" s="1"/>
  <c r="DA96" i="3"/>
  <c r="DA160" i="18" s="1"/>
  <c r="DB96" i="3"/>
  <c r="DB160" i="18" s="1"/>
  <c r="DC96" i="3"/>
  <c r="DC160" i="18" s="1"/>
  <c r="DD96" i="3"/>
  <c r="DD160" i="18" s="1"/>
  <c r="DE96" i="3"/>
  <c r="DE160" i="18" s="1"/>
  <c r="DF96" i="3"/>
  <c r="DF160" i="18" s="1"/>
  <c r="DG96" i="3"/>
  <c r="DG160" i="18" s="1"/>
  <c r="DH96" i="3"/>
  <c r="DH160" i="18" s="1"/>
  <c r="DI96" i="3"/>
  <c r="DI160" i="18" s="1"/>
  <c r="DJ96" i="3"/>
  <c r="DJ160" i="18" s="1"/>
  <c r="DK96" i="3"/>
  <c r="DK160" i="18" s="1"/>
  <c r="DL96" i="3"/>
  <c r="DL160" i="18" s="1"/>
  <c r="DM96" i="3"/>
  <c r="DM160" i="18" s="1"/>
  <c r="DN96" i="3"/>
  <c r="DN160" i="18" s="1"/>
  <c r="DO96" i="3"/>
  <c r="DO160" i="18" s="1"/>
  <c r="DP96" i="3"/>
  <c r="DP160" i="18" s="1"/>
  <c r="DQ96" i="3"/>
  <c r="DQ160" i="18" s="1"/>
  <c r="DR96" i="3"/>
  <c r="C97" i="3"/>
  <c r="C161" i="18" s="1"/>
  <c r="D97" i="3"/>
  <c r="D161" i="18" s="1"/>
  <c r="E97" i="3"/>
  <c r="E161" i="18" s="1"/>
  <c r="F97" i="3"/>
  <c r="F161" i="18" s="1"/>
  <c r="G97" i="3"/>
  <c r="G161" i="18" s="1"/>
  <c r="H97" i="3"/>
  <c r="H161" i="18" s="1"/>
  <c r="I97" i="3"/>
  <c r="I161" i="18" s="1"/>
  <c r="J97" i="3"/>
  <c r="J161" i="18" s="1"/>
  <c r="K97" i="3"/>
  <c r="K161" i="18" s="1"/>
  <c r="L97" i="3"/>
  <c r="L161" i="18" s="1"/>
  <c r="M97" i="3"/>
  <c r="M161" i="18" s="1"/>
  <c r="N97" i="3"/>
  <c r="N161" i="18" s="1"/>
  <c r="O97" i="3"/>
  <c r="O161" i="18" s="1"/>
  <c r="P97" i="3"/>
  <c r="P161" i="18" s="1"/>
  <c r="Q97" i="3"/>
  <c r="Q161" i="18" s="1"/>
  <c r="R97" i="3"/>
  <c r="R161" i="18" s="1"/>
  <c r="S97" i="3"/>
  <c r="S161" i="18" s="1"/>
  <c r="T97" i="3"/>
  <c r="T161" i="18" s="1"/>
  <c r="U97" i="3"/>
  <c r="U161" i="18" s="1"/>
  <c r="V97" i="3"/>
  <c r="V161" i="18" s="1"/>
  <c r="W97" i="3"/>
  <c r="W161" i="18" s="1"/>
  <c r="X97" i="3"/>
  <c r="X161" i="18" s="1"/>
  <c r="Y97" i="3"/>
  <c r="Y161" i="18" s="1"/>
  <c r="Z97" i="3"/>
  <c r="Z161" i="18" s="1"/>
  <c r="AA97" i="3"/>
  <c r="AA161" i="18" s="1"/>
  <c r="AB97" i="3"/>
  <c r="AB161" i="18" s="1"/>
  <c r="AC97" i="3"/>
  <c r="AC161" i="18" s="1"/>
  <c r="AD97" i="3"/>
  <c r="AD161" i="18" s="1"/>
  <c r="AE97" i="3"/>
  <c r="AE161" i="18" s="1"/>
  <c r="AF97" i="3"/>
  <c r="AF161" i="18" s="1"/>
  <c r="AG97" i="3"/>
  <c r="AG161" i="18" s="1"/>
  <c r="AH97" i="3"/>
  <c r="AH161" i="18" s="1"/>
  <c r="AI97" i="3"/>
  <c r="AI161" i="18" s="1"/>
  <c r="AJ97" i="3"/>
  <c r="AJ161" i="18" s="1"/>
  <c r="AK97" i="3"/>
  <c r="AK161" i="18" s="1"/>
  <c r="AL97" i="3"/>
  <c r="AL161" i="18" s="1"/>
  <c r="AM97" i="3"/>
  <c r="AM161" i="18" s="1"/>
  <c r="AN97" i="3"/>
  <c r="AN161" i="18" s="1"/>
  <c r="AO97" i="3"/>
  <c r="AO161" i="18" s="1"/>
  <c r="AP97" i="3"/>
  <c r="AP161" i="18" s="1"/>
  <c r="AQ97" i="3"/>
  <c r="AQ161" i="18" s="1"/>
  <c r="AR97" i="3"/>
  <c r="AR161" i="18" s="1"/>
  <c r="AS97" i="3"/>
  <c r="AS161" i="18" s="1"/>
  <c r="AT97" i="3"/>
  <c r="AT161" i="18" s="1"/>
  <c r="AU97" i="3"/>
  <c r="AU161" i="18" s="1"/>
  <c r="AV97" i="3"/>
  <c r="AV161" i="18" s="1"/>
  <c r="AW97" i="3"/>
  <c r="AW161" i="18" s="1"/>
  <c r="AX97" i="3"/>
  <c r="AX161" i="18" s="1"/>
  <c r="AY97" i="3"/>
  <c r="AY161" i="18" s="1"/>
  <c r="AZ97" i="3"/>
  <c r="AZ161" i="18" s="1"/>
  <c r="BA97" i="3"/>
  <c r="BA161" i="18" s="1"/>
  <c r="BB97" i="3"/>
  <c r="BB161" i="18" s="1"/>
  <c r="BC97" i="3"/>
  <c r="BC161" i="18" s="1"/>
  <c r="BD97" i="3"/>
  <c r="BD161" i="18" s="1"/>
  <c r="BE97" i="3"/>
  <c r="BE161" i="18" s="1"/>
  <c r="BF97" i="3"/>
  <c r="BF161" i="18" s="1"/>
  <c r="BG97" i="3"/>
  <c r="BG161" i="18" s="1"/>
  <c r="BH97" i="3"/>
  <c r="BH161" i="18" s="1"/>
  <c r="BI97" i="3"/>
  <c r="BI161" i="18" s="1"/>
  <c r="BJ97" i="3"/>
  <c r="BJ161" i="18" s="1"/>
  <c r="BK97" i="3"/>
  <c r="BK161" i="18" s="1"/>
  <c r="BL97" i="3"/>
  <c r="BL161" i="18" s="1"/>
  <c r="BM97" i="3"/>
  <c r="BM161" i="18" s="1"/>
  <c r="BN97" i="3"/>
  <c r="BN161" i="18" s="1"/>
  <c r="BO97" i="3"/>
  <c r="BO161" i="18" s="1"/>
  <c r="BP97" i="3"/>
  <c r="BP161" i="18" s="1"/>
  <c r="BQ97" i="3"/>
  <c r="BQ161" i="18" s="1"/>
  <c r="BR97" i="3"/>
  <c r="BR161" i="18" s="1"/>
  <c r="BS97" i="3"/>
  <c r="BS161" i="18" s="1"/>
  <c r="BT97" i="3"/>
  <c r="BT161" i="18" s="1"/>
  <c r="BU97" i="3"/>
  <c r="BU161" i="18" s="1"/>
  <c r="BV97" i="3"/>
  <c r="BV161" i="18" s="1"/>
  <c r="BW97" i="3"/>
  <c r="BW161" i="18" s="1"/>
  <c r="BX97" i="3"/>
  <c r="BX161" i="18" s="1"/>
  <c r="BY97" i="3"/>
  <c r="BY161" i="18" s="1"/>
  <c r="BZ97" i="3"/>
  <c r="BZ161" i="18" s="1"/>
  <c r="CA97" i="3"/>
  <c r="CA161" i="18" s="1"/>
  <c r="CB97" i="3"/>
  <c r="CB161" i="18" s="1"/>
  <c r="CC97" i="3"/>
  <c r="CC161" i="18" s="1"/>
  <c r="CD97" i="3"/>
  <c r="CD161" i="18" s="1"/>
  <c r="CE97" i="3"/>
  <c r="CE161" i="18" s="1"/>
  <c r="CF97" i="3"/>
  <c r="CF161" i="18" s="1"/>
  <c r="CG97" i="3"/>
  <c r="CG161" i="18" s="1"/>
  <c r="CH97" i="3"/>
  <c r="CH161" i="18" s="1"/>
  <c r="CI97" i="3"/>
  <c r="CI161" i="18" s="1"/>
  <c r="CJ97" i="3"/>
  <c r="CJ161" i="18" s="1"/>
  <c r="CK97" i="3"/>
  <c r="CK161" i="18" s="1"/>
  <c r="CL97" i="3"/>
  <c r="CL161" i="18" s="1"/>
  <c r="CM97" i="3"/>
  <c r="CM161" i="18" s="1"/>
  <c r="CN97" i="3"/>
  <c r="CN161" i="18" s="1"/>
  <c r="CO97" i="3"/>
  <c r="CO161" i="18" s="1"/>
  <c r="CP97" i="3"/>
  <c r="CP161" i="18" s="1"/>
  <c r="CQ97" i="3"/>
  <c r="CQ161" i="18" s="1"/>
  <c r="CR97" i="3"/>
  <c r="CR161" i="18" s="1"/>
  <c r="CS97" i="3"/>
  <c r="CS161" i="18" s="1"/>
  <c r="CT97" i="3"/>
  <c r="CT161" i="18" s="1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DJ97" i="3"/>
  <c r="DK97" i="3"/>
  <c r="DL97" i="3"/>
  <c r="DM97" i="3"/>
  <c r="DN97" i="3"/>
  <c r="DO97" i="3"/>
  <c r="DP97" i="3"/>
  <c r="DQ97" i="3"/>
  <c r="DR97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DJ87" i="3"/>
  <c r="DK87" i="3"/>
  <c r="DL87" i="3"/>
  <c r="DM87" i="3"/>
  <c r="DN87" i="3"/>
  <c r="DO87" i="3"/>
  <c r="DP87" i="3"/>
  <c r="DQ87" i="3"/>
  <c r="DR87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DQ91" i="3"/>
  <c r="DR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DJ93" i="3"/>
  <c r="DK93" i="3"/>
  <c r="DL93" i="3"/>
  <c r="DM93" i="3"/>
  <c r="DN93" i="3"/>
  <c r="DO93" i="3"/>
  <c r="DP93" i="3"/>
  <c r="DQ93" i="3"/>
  <c r="DR93" i="3"/>
  <c r="DR103" i="3"/>
  <c r="DR176" i="18" s="1"/>
  <c r="DQ103" i="3"/>
  <c r="DQ176" i="18" s="1"/>
  <c r="DP103" i="3"/>
  <c r="DP176" i="18" s="1"/>
  <c r="DO103" i="3"/>
  <c r="DO176" i="18" s="1"/>
  <c r="DN103" i="3"/>
  <c r="DN176" i="18" s="1"/>
  <c r="DM103" i="3"/>
  <c r="DM176" i="18" s="1"/>
  <c r="DL103" i="3"/>
  <c r="DL176" i="18" s="1"/>
  <c r="DK103" i="3"/>
  <c r="DK176" i="18" s="1"/>
  <c r="DJ103" i="3"/>
  <c r="DJ176" i="18" s="1"/>
  <c r="DI103" i="3"/>
  <c r="DI176" i="18" s="1"/>
  <c r="DH103" i="3"/>
  <c r="DH176" i="18" s="1"/>
  <c r="DG103" i="3"/>
  <c r="DF103" i="3"/>
  <c r="DF176" i="18" s="1"/>
  <c r="DE103" i="3"/>
  <c r="DE176" i="18" s="1"/>
  <c r="DD103" i="3"/>
  <c r="DC103" i="3"/>
  <c r="DB103" i="3"/>
  <c r="DA103" i="3"/>
  <c r="CZ103" i="3"/>
  <c r="CZ176" i="18" s="1"/>
  <c r="CZ175" i="18" s="1"/>
  <c r="CY103" i="3"/>
  <c r="CY176" i="18" s="1"/>
  <c r="CY175" i="18" s="1"/>
  <c r="CX103" i="3"/>
  <c r="CX176" i="18" s="1"/>
  <c r="CW103" i="3"/>
  <c r="CW176" i="18" s="1"/>
  <c r="CW175" i="18" s="1"/>
  <c r="CV103" i="3"/>
  <c r="CV176" i="18" s="1"/>
  <c r="CV175" i="18" s="1"/>
  <c r="CU103" i="3"/>
  <c r="CU176" i="18" s="1"/>
  <c r="CT103" i="3"/>
  <c r="CT176" i="18" s="1"/>
  <c r="CT175" i="18" s="1"/>
  <c r="CT190" i="18" s="1"/>
  <c r="CT189" i="18" s="1"/>
  <c r="C103" i="3"/>
  <c r="C176" i="18" s="1"/>
  <c r="C175" i="18" s="1"/>
  <c r="D103" i="3"/>
  <c r="D176" i="18" s="1"/>
  <c r="D175" i="18" s="1"/>
  <c r="E103" i="3"/>
  <c r="E176" i="18" s="1"/>
  <c r="E175" i="18" s="1"/>
  <c r="F103" i="3"/>
  <c r="F176" i="18" s="1"/>
  <c r="F175" i="18" s="1"/>
  <c r="G103" i="3"/>
  <c r="G176" i="18" s="1"/>
  <c r="G175" i="18" s="1"/>
  <c r="H103" i="3"/>
  <c r="H176" i="18" s="1"/>
  <c r="H175" i="18" s="1"/>
  <c r="I103" i="3"/>
  <c r="I176" i="18" s="1"/>
  <c r="I175" i="18" s="1"/>
  <c r="J103" i="3"/>
  <c r="J176" i="18" s="1"/>
  <c r="J175" i="18" s="1"/>
  <c r="K103" i="3"/>
  <c r="K176" i="18" s="1"/>
  <c r="K175" i="18" s="1"/>
  <c r="L103" i="3"/>
  <c r="L176" i="18" s="1"/>
  <c r="L175" i="18" s="1"/>
  <c r="L190" i="18" s="1"/>
  <c r="L189" i="18" s="1"/>
  <c r="M103" i="3"/>
  <c r="M176" i="18" s="1"/>
  <c r="M175" i="18" s="1"/>
  <c r="M190" i="18" s="1"/>
  <c r="M189" i="18" s="1"/>
  <c r="N103" i="3"/>
  <c r="N176" i="18" s="1"/>
  <c r="N175" i="18" s="1"/>
  <c r="N190" i="18" s="1"/>
  <c r="N189" i="18" s="1"/>
  <c r="O103" i="3"/>
  <c r="O176" i="18" s="1"/>
  <c r="O175" i="18" s="1"/>
  <c r="O190" i="18" s="1"/>
  <c r="O189" i="18" s="1"/>
  <c r="P103" i="3"/>
  <c r="P176" i="18" s="1"/>
  <c r="P175" i="18" s="1"/>
  <c r="P190" i="18" s="1"/>
  <c r="P189" i="18" s="1"/>
  <c r="Q103" i="3"/>
  <c r="Q176" i="18" s="1"/>
  <c r="Q175" i="18" s="1"/>
  <c r="Q190" i="18" s="1"/>
  <c r="Q189" i="18" s="1"/>
  <c r="R103" i="3"/>
  <c r="R176" i="18" s="1"/>
  <c r="R175" i="18" s="1"/>
  <c r="R190" i="18" s="1"/>
  <c r="R189" i="18" s="1"/>
  <c r="S103" i="3"/>
  <c r="S176" i="18" s="1"/>
  <c r="S175" i="18" s="1"/>
  <c r="S190" i="18" s="1"/>
  <c r="S189" i="18" s="1"/>
  <c r="T103" i="3"/>
  <c r="T176" i="18" s="1"/>
  <c r="T175" i="18" s="1"/>
  <c r="T190" i="18" s="1"/>
  <c r="T189" i="18" s="1"/>
  <c r="U103" i="3"/>
  <c r="U176" i="18" s="1"/>
  <c r="U175" i="18" s="1"/>
  <c r="U190" i="18" s="1"/>
  <c r="U189" i="18" s="1"/>
  <c r="V103" i="3"/>
  <c r="V176" i="18" s="1"/>
  <c r="V175" i="18" s="1"/>
  <c r="V190" i="18" s="1"/>
  <c r="V189" i="18" s="1"/>
  <c r="W103" i="3"/>
  <c r="W176" i="18" s="1"/>
  <c r="W175" i="18" s="1"/>
  <c r="W190" i="18" s="1"/>
  <c r="W189" i="18" s="1"/>
  <c r="X103" i="3"/>
  <c r="X176" i="18" s="1"/>
  <c r="X175" i="18" s="1"/>
  <c r="X190" i="18" s="1"/>
  <c r="X189" i="18" s="1"/>
  <c r="Y103" i="3"/>
  <c r="Y176" i="18" s="1"/>
  <c r="Y175" i="18" s="1"/>
  <c r="Y190" i="18" s="1"/>
  <c r="Y189" i="18" s="1"/>
  <c r="Z103" i="3"/>
  <c r="Z176" i="18" s="1"/>
  <c r="Z175" i="18" s="1"/>
  <c r="Z190" i="18" s="1"/>
  <c r="Z189" i="18" s="1"/>
  <c r="AA103" i="3"/>
  <c r="AA176" i="18" s="1"/>
  <c r="AA175" i="18" s="1"/>
  <c r="AA190" i="18" s="1"/>
  <c r="AA189" i="18" s="1"/>
  <c r="AB103" i="3"/>
  <c r="AB176" i="18" s="1"/>
  <c r="AB175" i="18" s="1"/>
  <c r="AB190" i="18" s="1"/>
  <c r="AB189" i="18" s="1"/>
  <c r="AC103" i="3"/>
  <c r="AC176" i="18" s="1"/>
  <c r="AC175" i="18" s="1"/>
  <c r="AD103" i="3"/>
  <c r="AD176" i="18" s="1"/>
  <c r="AD175" i="18" s="1"/>
  <c r="AD190" i="18" s="1"/>
  <c r="AD189" i="18" s="1"/>
  <c r="AE103" i="3"/>
  <c r="AE176" i="18" s="1"/>
  <c r="AE175" i="18" s="1"/>
  <c r="AE190" i="18" s="1"/>
  <c r="AE189" i="18" s="1"/>
  <c r="AF103" i="3"/>
  <c r="AF176" i="18" s="1"/>
  <c r="AF175" i="18" s="1"/>
  <c r="AF190" i="18" s="1"/>
  <c r="AF189" i="18" s="1"/>
  <c r="AG103" i="3"/>
  <c r="AG176" i="18" s="1"/>
  <c r="AG175" i="18" s="1"/>
  <c r="AG190" i="18" s="1"/>
  <c r="AG189" i="18" s="1"/>
  <c r="AH103" i="3"/>
  <c r="AH176" i="18" s="1"/>
  <c r="AH175" i="18" s="1"/>
  <c r="AH190" i="18" s="1"/>
  <c r="AH189" i="18" s="1"/>
  <c r="AI103" i="3"/>
  <c r="AI176" i="18" s="1"/>
  <c r="AI175" i="18" s="1"/>
  <c r="AI190" i="18" s="1"/>
  <c r="AI189" i="18" s="1"/>
  <c r="AJ103" i="3"/>
  <c r="AJ176" i="18" s="1"/>
  <c r="AJ175" i="18" s="1"/>
  <c r="AJ190" i="18" s="1"/>
  <c r="AJ189" i="18" s="1"/>
  <c r="AK103" i="3"/>
  <c r="AK176" i="18" s="1"/>
  <c r="AK175" i="18" s="1"/>
  <c r="AK190" i="18" s="1"/>
  <c r="AK189" i="18" s="1"/>
  <c r="AL103" i="3"/>
  <c r="AL176" i="18" s="1"/>
  <c r="AL175" i="18" s="1"/>
  <c r="AL190" i="18" s="1"/>
  <c r="AL189" i="18" s="1"/>
  <c r="AM103" i="3"/>
  <c r="AM176" i="18" s="1"/>
  <c r="AM175" i="18" s="1"/>
  <c r="AM190" i="18" s="1"/>
  <c r="AM189" i="18" s="1"/>
  <c r="AN103" i="3"/>
  <c r="AN176" i="18" s="1"/>
  <c r="AN175" i="18" s="1"/>
  <c r="AN190" i="18" s="1"/>
  <c r="AN189" i="18" s="1"/>
  <c r="AO103" i="3"/>
  <c r="AO176" i="18" s="1"/>
  <c r="AO175" i="18" s="1"/>
  <c r="AO190" i="18" s="1"/>
  <c r="AO189" i="18" s="1"/>
  <c r="AP103" i="3"/>
  <c r="AP176" i="18" s="1"/>
  <c r="AP175" i="18" s="1"/>
  <c r="AP190" i="18" s="1"/>
  <c r="AP189" i="18" s="1"/>
  <c r="AQ103" i="3"/>
  <c r="AQ176" i="18" s="1"/>
  <c r="AQ175" i="18" s="1"/>
  <c r="AQ190" i="18" s="1"/>
  <c r="AQ189" i="18" s="1"/>
  <c r="AR103" i="3"/>
  <c r="AR176" i="18" s="1"/>
  <c r="AR175" i="18" s="1"/>
  <c r="AR190" i="18" s="1"/>
  <c r="AR189" i="18" s="1"/>
  <c r="AS103" i="3"/>
  <c r="AS176" i="18" s="1"/>
  <c r="AS175" i="18" s="1"/>
  <c r="AS190" i="18" s="1"/>
  <c r="AS189" i="18" s="1"/>
  <c r="AT103" i="3"/>
  <c r="AT176" i="18" s="1"/>
  <c r="AT175" i="18" s="1"/>
  <c r="AT190" i="18" s="1"/>
  <c r="AT189" i="18" s="1"/>
  <c r="AU103" i="3"/>
  <c r="AU176" i="18" s="1"/>
  <c r="AU175" i="18" s="1"/>
  <c r="AU190" i="18" s="1"/>
  <c r="AU189" i="18" s="1"/>
  <c r="AV103" i="3"/>
  <c r="AV176" i="18" s="1"/>
  <c r="AV175" i="18" s="1"/>
  <c r="AV190" i="18" s="1"/>
  <c r="AV189" i="18" s="1"/>
  <c r="AW103" i="3"/>
  <c r="AW176" i="18" s="1"/>
  <c r="AW175" i="18" s="1"/>
  <c r="AW190" i="18" s="1"/>
  <c r="AW189" i="18" s="1"/>
  <c r="AX103" i="3"/>
  <c r="AX176" i="18" s="1"/>
  <c r="AX175" i="18" s="1"/>
  <c r="AX190" i="18" s="1"/>
  <c r="AX189" i="18" s="1"/>
  <c r="AY103" i="3"/>
  <c r="AY176" i="18" s="1"/>
  <c r="AY175" i="18" s="1"/>
  <c r="AY190" i="18" s="1"/>
  <c r="AY189" i="18" s="1"/>
  <c r="AZ103" i="3"/>
  <c r="AZ176" i="18" s="1"/>
  <c r="AZ175" i="18" s="1"/>
  <c r="AZ190" i="18" s="1"/>
  <c r="AZ189" i="18" s="1"/>
  <c r="BA103" i="3"/>
  <c r="BA176" i="18" s="1"/>
  <c r="BA175" i="18" s="1"/>
  <c r="BA190" i="18" s="1"/>
  <c r="BA189" i="18" s="1"/>
  <c r="BB103" i="3"/>
  <c r="BB176" i="18" s="1"/>
  <c r="BB175" i="18" s="1"/>
  <c r="BB190" i="18" s="1"/>
  <c r="BB189" i="18" s="1"/>
  <c r="BC103" i="3"/>
  <c r="BC176" i="18" s="1"/>
  <c r="BC175" i="18" s="1"/>
  <c r="BC190" i="18" s="1"/>
  <c r="BC189" i="18" s="1"/>
  <c r="BD103" i="3"/>
  <c r="BD176" i="18" s="1"/>
  <c r="BD175" i="18" s="1"/>
  <c r="BD190" i="18" s="1"/>
  <c r="BD189" i="18" s="1"/>
  <c r="BE103" i="3"/>
  <c r="BE176" i="18" s="1"/>
  <c r="BE175" i="18" s="1"/>
  <c r="BE190" i="18" s="1"/>
  <c r="BE189" i="18" s="1"/>
  <c r="BF103" i="3"/>
  <c r="BF176" i="18" s="1"/>
  <c r="BF175" i="18" s="1"/>
  <c r="BF190" i="18" s="1"/>
  <c r="BF189" i="18" s="1"/>
  <c r="BG103" i="3"/>
  <c r="BG176" i="18" s="1"/>
  <c r="BG175" i="18" s="1"/>
  <c r="BG190" i="18" s="1"/>
  <c r="BG189" i="18" s="1"/>
  <c r="BH103" i="3"/>
  <c r="BH176" i="18" s="1"/>
  <c r="BH175" i="18" s="1"/>
  <c r="BH190" i="18" s="1"/>
  <c r="BH189" i="18" s="1"/>
  <c r="BI103" i="3"/>
  <c r="BI176" i="18" s="1"/>
  <c r="BI175" i="18" s="1"/>
  <c r="BI190" i="18" s="1"/>
  <c r="BI189" i="18" s="1"/>
  <c r="BJ103" i="3"/>
  <c r="BJ176" i="18" s="1"/>
  <c r="BJ175" i="18" s="1"/>
  <c r="BJ190" i="18" s="1"/>
  <c r="BJ189" i="18" s="1"/>
  <c r="BK103" i="3"/>
  <c r="BK176" i="18" s="1"/>
  <c r="BL103" i="3"/>
  <c r="BL176" i="18" s="1"/>
  <c r="BL175" i="18" s="1"/>
  <c r="BL190" i="18" s="1"/>
  <c r="BL189" i="18" s="1"/>
  <c r="BM103" i="3"/>
  <c r="BM176" i="18" s="1"/>
  <c r="BM175" i="18" s="1"/>
  <c r="BM190" i="18" s="1"/>
  <c r="BM189" i="18" s="1"/>
  <c r="BN103" i="3"/>
  <c r="BN176" i="18" s="1"/>
  <c r="BO103" i="3"/>
  <c r="BO176" i="18" s="1"/>
  <c r="BO175" i="18" s="1"/>
  <c r="BO190" i="18" s="1"/>
  <c r="BO189" i="18" s="1"/>
  <c r="BP103" i="3"/>
  <c r="BP176" i="18" s="1"/>
  <c r="BP175" i="18" s="1"/>
  <c r="BP190" i="18" s="1"/>
  <c r="BP189" i="18" s="1"/>
  <c r="BQ103" i="3"/>
  <c r="BQ176" i="18" s="1"/>
  <c r="BR103" i="3"/>
  <c r="BR176" i="18" s="1"/>
  <c r="BR175" i="18" s="1"/>
  <c r="BR190" i="18" s="1"/>
  <c r="BR189" i="18" s="1"/>
  <c r="BS103" i="3"/>
  <c r="BS176" i="18" s="1"/>
  <c r="BS175" i="18" s="1"/>
  <c r="BS190" i="18" s="1"/>
  <c r="BS189" i="18" s="1"/>
  <c r="BT103" i="3"/>
  <c r="BT176" i="18" s="1"/>
  <c r="BU103" i="3"/>
  <c r="BU176" i="18" s="1"/>
  <c r="BU175" i="18" s="1"/>
  <c r="BU190" i="18" s="1"/>
  <c r="BU189" i="18" s="1"/>
  <c r="BV103" i="3"/>
  <c r="BV176" i="18" s="1"/>
  <c r="BV175" i="18" s="1"/>
  <c r="BV190" i="18" s="1"/>
  <c r="BV189" i="18" s="1"/>
  <c r="BW103" i="3"/>
  <c r="BW176" i="18" s="1"/>
  <c r="BX103" i="3"/>
  <c r="BX176" i="18" s="1"/>
  <c r="BX175" i="18" s="1"/>
  <c r="BX190" i="18" s="1"/>
  <c r="BX189" i="18" s="1"/>
  <c r="BY103" i="3"/>
  <c r="BY176" i="18" s="1"/>
  <c r="BY175" i="18" s="1"/>
  <c r="BY190" i="18" s="1"/>
  <c r="BY189" i="18" s="1"/>
  <c r="BZ103" i="3"/>
  <c r="BZ176" i="18" s="1"/>
  <c r="CA103" i="3"/>
  <c r="CA176" i="18" s="1"/>
  <c r="CA175" i="18" s="1"/>
  <c r="CA190" i="18" s="1"/>
  <c r="CA189" i="18" s="1"/>
  <c r="CB103" i="3"/>
  <c r="CB176" i="18" s="1"/>
  <c r="CB175" i="18" s="1"/>
  <c r="CB190" i="18" s="1"/>
  <c r="CB189" i="18" s="1"/>
  <c r="CC103" i="3"/>
  <c r="CC176" i="18" s="1"/>
  <c r="CD103" i="3"/>
  <c r="CD176" i="18" s="1"/>
  <c r="CD175" i="18" s="1"/>
  <c r="CD190" i="18" s="1"/>
  <c r="CD189" i="18" s="1"/>
  <c r="CE103" i="3"/>
  <c r="CE176" i="18" s="1"/>
  <c r="CE175" i="18" s="1"/>
  <c r="CE190" i="18" s="1"/>
  <c r="CE189" i="18" s="1"/>
  <c r="CF103" i="3"/>
  <c r="CF176" i="18" s="1"/>
  <c r="CG103" i="3"/>
  <c r="CG176" i="18" s="1"/>
  <c r="CG175" i="18" s="1"/>
  <c r="CG190" i="18" s="1"/>
  <c r="CG189" i="18" s="1"/>
  <c r="CH103" i="3"/>
  <c r="CH176" i="18" s="1"/>
  <c r="CH175" i="18" s="1"/>
  <c r="CH190" i="18" s="1"/>
  <c r="CH189" i="18" s="1"/>
  <c r="CI103" i="3"/>
  <c r="CI176" i="18" s="1"/>
  <c r="CJ103" i="3"/>
  <c r="CJ176" i="18" s="1"/>
  <c r="CJ175" i="18" s="1"/>
  <c r="CJ190" i="18" s="1"/>
  <c r="CJ189" i="18" s="1"/>
  <c r="CK103" i="3"/>
  <c r="CK176" i="18" s="1"/>
  <c r="CK175" i="18" s="1"/>
  <c r="CK190" i="18" s="1"/>
  <c r="CK189" i="18" s="1"/>
  <c r="CL103" i="3"/>
  <c r="CL176" i="18" s="1"/>
  <c r="CM103" i="3"/>
  <c r="CM176" i="18" s="1"/>
  <c r="CM175" i="18" s="1"/>
  <c r="CM190" i="18" s="1"/>
  <c r="CM189" i="18" s="1"/>
  <c r="CN103" i="3"/>
  <c r="CN176" i="18" s="1"/>
  <c r="CN175" i="18" s="1"/>
  <c r="CN190" i="18" s="1"/>
  <c r="CN189" i="18" s="1"/>
  <c r="CO103" i="3"/>
  <c r="CO176" i="18" s="1"/>
  <c r="CP103" i="3"/>
  <c r="CP176" i="18" s="1"/>
  <c r="CP175" i="18" s="1"/>
  <c r="CP190" i="18" s="1"/>
  <c r="CP189" i="18" s="1"/>
  <c r="CQ103" i="3"/>
  <c r="CQ176" i="18" s="1"/>
  <c r="CQ175" i="18" s="1"/>
  <c r="CQ190" i="18" s="1"/>
  <c r="CQ189" i="18" s="1"/>
  <c r="CR103" i="3"/>
  <c r="CR176" i="18" s="1"/>
  <c r="CS103" i="3"/>
  <c r="CS176" i="18" s="1"/>
  <c r="CS175" i="18" s="1"/>
  <c r="CS190" i="18" s="1"/>
  <c r="CS189" i="18" s="1"/>
  <c r="C75" i="3"/>
  <c r="C127" i="18" s="1"/>
  <c r="D75" i="3"/>
  <c r="D127" i="18" s="1"/>
  <c r="E75" i="3"/>
  <c r="E127" i="18" s="1"/>
  <c r="F75" i="3"/>
  <c r="F127" i="18" s="1"/>
  <c r="G75" i="3"/>
  <c r="G127" i="18" s="1"/>
  <c r="H75" i="3"/>
  <c r="H127" i="18" s="1"/>
  <c r="I75" i="3"/>
  <c r="I127" i="18" s="1"/>
  <c r="J75" i="3"/>
  <c r="J127" i="18" s="1"/>
  <c r="K75" i="3"/>
  <c r="K127" i="18" s="1"/>
  <c r="L75" i="3"/>
  <c r="L127" i="18" s="1"/>
  <c r="M75" i="3"/>
  <c r="M127" i="18" s="1"/>
  <c r="N75" i="3"/>
  <c r="N127" i="18" s="1"/>
  <c r="O75" i="3"/>
  <c r="O127" i="18" s="1"/>
  <c r="P75" i="3"/>
  <c r="P127" i="18" s="1"/>
  <c r="Q75" i="3"/>
  <c r="Q127" i="18" s="1"/>
  <c r="R75" i="3"/>
  <c r="R127" i="18" s="1"/>
  <c r="S75" i="3"/>
  <c r="S127" i="18" s="1"/>
  <c r="T75" i="3"/>
  <c r="T127" i="18" s="1"/>
  <c r="U75" i="3"/>
  <c r="U127" i="18" s="1"/>
  <c r="V75" i="3"/>
  <c r="V127" i="18" s="1"/>
  <c r="W75" i="3"/>
  <c r="W127" i="18" s="1"/>
  <c r="X75" i="3"/>
  <c r="X127" i="18" s="1"/>
  <c r="Y75" i="3"/>
  <c r="Y127" i="18" s="1"/>
  <c r="Z75" i="3"/>
  <c r="Z127" i="18" s="1"/>
  <c r="AA75" i="3"/>
  <c r="AA127" i="18" s="1"/>
  <c r="AB75" i="3"/>
  <c r="AB127" i="18" s="1"/>
  <c r="AC75" i="3"/>
  <c r="AC127" i="18" s="1"/>
  <c r="AD75" i="3"/>
  <c r="AD127" i="18" s="1"/>
  <c r="AE75" i="3"/>
  <c r="AE127" i="18" s="1"/>
  <c r="AF75" i="3"/>
  <c r="AF127" i="18" s="1"/>
  <c r="AG75" i="3"/>
  <c r="AG127" i="18" s="1"/>
  <c r="AH75" i="3"/>
  <c r="AH127" i="18" s="1"/>
  <c r="AI75" i="3"/>
  <c r="AI127" i="18" s="1"/>
  <c r="AJ75" i="3"/>
  <c r="AJ127" i="18" s="1"/>
  <c r="AK75" i="3"/>
  <c r="AK127" i="18" s="1"/>
  <c r="AL75" i="3"/>
  <c r="AL127" i="18" s="1"/>
  <c r="AM75" i="3"/>
  <c r="AM127" i="18" s="1"/>
  <c r="AN75" i="3"/>
  <c r="AN127" i="18" s="1"/>
  <c r="AO75" i="3"/>
  <c r="AO127" i="18" s="1"/>
  <c r="AP75" i="3"/>
  <c r="AP127" i="18" s="1"/>
  <c r="AQ75" i="3"/>
  <c r="AQ127" i="18" s="1"/>
  <c r="AR75" i="3"/>
  <c r="AR127" i="18" s="1"/>
  <c r="AS75" i="3"/>
  <c r="AS127" i="18" s="1"/>
  <c r="AT75" i="3"/>
  <c r="AT127" i="18" s="1"/>
  <c r="AU75" i="3"/>
  <c r="AU127" i="18" s="1"/>
  <c r="AV75" i="3"/>
  <c r="AV127" i="18" s="1"/>
  <c r="AW75" i="3"/>
  <c r="AW127" i="18" s="1"/>
  <c r="AX75" i="3"/>
  <c r="AX127" i="18" s="1"/>
  <c r="AY75" i="3"/>
  <c r="AY127" i="18" s="1"/>
  <c r="AZ75" i="3"/>
  <c r="AZ127" i="18" s="1"/>
  <c r="BA75" i="3"/>
  <c r="BA127" i="18" s="1"/>
  <c r="BB75" i="3"/>
  <c r="BB127" i="18" s="1"/>
  <c r="BC75" i="3"/>
  <c r="BC127" i="18" s="1"/>
  <c r="BD75" i="3"/>
  <c r="BD127" i="18" s="1"/>
  <c r="BE75" i="3"/>
  <c r="BE127" i="18" s="1"/>
  <c r="BF75" i="3"/>
  <c r="BF127" i="18" s="1"/>
  <c r="BG75" i="3"/>
  <c r="BG127" i="18" s="1"/>
  <c r="BH75" i="3"/>
  <c r="BH127" i="18" s="1"/>
  <c r="BI75" i="3"/>
  <c r="BI127" i="18" s="1"/>
  <c r="BJ75" i="3"/>
  <c r="BJ127" i="18" s="1"/>
  <c r="BK75" i="3"/>
  <c r="BK127" i="18" s="1"/>
  <c r="BL75" i="3"/>
  <c r="BL127" i="18" s="1"/>
  <c r="BM75" i="3"/>
  <c r="BM127" i="18" s="1"/>
  <c r="BN75" i="3"/>
  <c r="BN127" i="18" s="1"/>
  <c r="BO75" i="3"/>
  <c r="BO127" i="18" s="1"/>
  <c r="BP75" i="3"/>
  <c r="BP127" i="18" s="1"/>
  <c r="BQ75" i="3"/>
  <c r="BQ127" i="18" s="1"/>
  <c r="BR75" i="3"/>
  <c r="BR127" i="18" s="1"/>
  <c r="BS75" i="3"/>
  <c r="BS127" i="18" s="1"/>
  <c r="BT75" i="3"/>
  <c r="BT127" i="18" s="1"/>
  <c r="BU75" i="3"/>
  <c r="BU127" i="18" s="1"/>
  <c r="BV75" i="3"/>
  <c r="BV127" i="18" s="1"/>
  <c r="BW75" i="3"/>
  <c r="BW127" i="18" s="1"/>
  <c r="BX75" i="3"/>
  <c r="BX127" i="18" s="1"/>
  <c r="BY75" i="3"/>
  <c r="BY127" i="18" s="1"/>
  <c r="BZ75" i="3"/>
  <c r="BZ127" i="18" s="1"/>
  <c r="CA75" i="3"/>
  <c r="CA127" i="18" s="1"/>
  <c r="CB75" i="3"/>
  <c r="CB127" i="18" s="1"/>
  <c r="CC75" i="3"/>
  <c r="CC127" i="18" s="1"/>
  <c r="CD75" i="3"/>
  <c r="CD127" i="18" s="1"/>
  <c r="CE75" i="3"/>
  <c r="CE127" i="18" s="1"/>
  <c r="CF75" i="3"/>
  <c r="CF127" i="18" s="1"/>
  <c r="CG75" i="3"/>
  <c r="CG127" i="18" s="1"/>
  <c r="CH75" i="3"/>
  <c r="CH127" i="18" s="1"/>
  <c r="CI75" i="3"/>
  <c r="CI127" i="18" s="1"/>
  <c r="CJ75" i="3"/>
  <c r="CJ127" i="18" s="1"/>
  <c r="CK75" i="3"/>
  <c r="CK127" i="18" s="1"/>
  <c r="CL75" i="3"/>
  <c r="CL127" i="18" s="1"/>
  <c r="CM75" i="3"/>
  <c r="CM127" i="18" s="1"/>
  <c r="CN75" i="3"/>
  <c r="CN127" i="18" s="1"/>
  <c r="CO75" i="3"/>
  <c r="CO127" i="18" s="1"/>
  <c r="CP75" i="3"/>
  <c r="CP127" i="18" s="1"/>
  <c r="CQ75" i="3"/>
  <c r="CQ127" i="18" s="1"/>
  <c r="CR75" i="3"/>
  <c r="CR127" i="18" s="1"/>
  <c r="CS75" i="3"/>
  <c r="CS127" i="18" s="1"/>
  <c r="CT75" i="3"/>
  <c r="CT127" i="18" s="1"/>
  <c r="C76" i="3"/>
  <c r="C128" i="18" s="1"/>
  <c r="D76" i="3"/>
  <c r="D128" i="18" s="1"/>
  <c r="E76" i="3"/>
  <c r="E128" i="18" s="1"/>
  <c r="F76" i="3"/>
  <c r="F128" i="18" s="1"/>
  <c r="G76" i="3"/>
  <c r="G128" i="18" s="1"/>
  <c r="H76" i="3"/>
  <c r="H128" i="18" s="1"/>
  <c r="I76" i="3"/>
  <c r="I128" i="18" s="1"/>
  <c r="J76" i="3"/>
  <c r="J128" i="18" s="1"/>
  <c r="K76" i="3"/>
  <c r="K128" i="18" s="1"/>
  <c r="L76" i="3"/>
  <c r="L128" i="18" s="1"/>
  <c r="M76" i="3"/>
  <c r="M128" i="18" s="1"/>
  <c r="N76" i="3"/>
  <c r="N128" i="18" s="1"/>
  <c r="O76" i="3"/>
  <c r="O128" i="18" s="1"/>
  <c r="P76" i="3"/>
  <c r="P128" i="18" s="1"/>
  <c r="Q76" i="3"/>
  <c r="Q128" i="18" s="1"/>
  <c r="R76" i="3"/>
  <c r="R128" i="18" s="1"/>
  <c r="S76" i="3"/>
  <c r="S128" i="18" s="1"/>
  <c r="T76" i="3"/>
  <c r="T128" i="18" s="1"/>
  <c r="U76" i="3"/>
  <c r="U128" i="18" s="1"/>
  <c r="V76" i="3"/>
  <c r="V128" i="18" s="1"/>
  <c r="W76" i="3"/>
  <c r="W128" i="18" s="1"/>
  <c r="X76" i="3"/>
  <c r="X128" i="18" s="1"/>
  <c r="Y76" i="3"/>
  <c r="Y128" i="18" s="1"/>
  <c r="Z76" i="3"/>
  <c r="Z128" i="18" s="1"/>
  <c r="AA76" i="3"/>
  <c r="AA128" i="18" s="1"/>
  <c r="AB76" i="3"/>
  <c r="AB128" i="18" s="1"/>
  <c r="AC76" i="3"/>
  <c r="AC128" i="18" s="1"/>
  <c r="AD76" i="3"/>
  <c r="AD128" i="18" s="1"/>
  <c r="AE76" i="3"/>
  <c r="AE128" i="18" s="1"/>
  <c r="AF76" i="3"/>
  <c r="AF128" i="18" s="1"/>
  <c r="AG76" i="3"/>
  <c r="AG128" i="18" s="1"/>
  <c r="AH76" i="3"/>
  <c r="AH128" i="18" s="1"/>
  <c r="AI76" i="3"/>
  <c r="AI128" i="18" s="1"/>
  <c r="AJ76" i="3"/>
  <c r="AJ128" i="18" s="1"/>
  <c r="AK76" i="3"/>
  <c r="AK128" i="18" s="1"/>
  <c r="AL76" i="3"/>
  <c r="AL128" i="18" s="1"/>
  <c r="AM76" i="3"/>
  <c r="AM128" i="18" s="1"/>
  <c r="AN76" i="3"/>
  <c r="AN128" i="18" s="1"/>
  <c r="AO76" i="3"/>
  <c r="AO128" i="18" s="1"/>
  <c r="AP76" i="3"/>
  <c r="AP128" i="18" s="1"/>
  <c r="AQ76" i="3"/>
  <c r="AQ128" i="18" s="1"/>
  <c r="AR76" i="3"/>
  <c r="AR128" i="18" s="1"/>
  <c r="AS76" i="3"/>
  <c r="AS128" i="18" s="1"/>
  <c r="AT76" i="3"/>
  <c r="AT128" i="18" s="1"/>
  <c r="AU76" i="3"/>
  <c r="AU128" i="18" s="1"/>
  <c r="AV76" i="3"/>
  <c r="AV128" i="18" s="1"/>
  <c r="AW76" i="3"/>
  <c r="AW128" i="18" s="1"/>
  <c r="AX76" i="3"/>
  <c r="AX128" i="18" s="1"/>
  <c r="AY76" i="3"/>
  <c r="AY128" i="18" s="1"/>
  <c r="AZ76" i="3"/>
  <c r="AZ128" i="18" s="1"/>
  <c r="BA76" i="3"/>
  <c r="BA128" i="18" s="1"/>
  <c r="BB76" i="3"/>
  <c r="BB128" i="18" s="1"/>
  <c r="BC76" i="3"/>
  <c r="BC128" i="18" s="1"/>
  <c r="BD76" i="3"/>
  <c r="BD128" i="18" s="1"/>
  <c r="BE76" i="3"/>
  <c r="BE128" i="18" s="1"/>
  <c r="BF76" i="3"/>
  <c r="BF128" i="18" s="1"/>
  <c r="BG76" i="3"/>
  <c r="BG128" i="18" s="1"/>
  <c r="BH76" i="3"/>
  <c r="BH128" i="18" s="1"/>
  <c r="BI76" i="3"/>
  <c r="BI128" i="18" s="1"/>
  <c r="BJ76" i="3"/>
  <c r="BJ128" i="18" s="1"/>
  <c r="BK76" i="3"/>
  <c r="BK128" i="18" s="1"/>
  <c r="BL76" i="3"/>
  <c r="BL128" i="18" s="1"/>
  <c r="BM76" i="3"/>
  <c r="BM128" i="18" s="1"/>
  <c r="BN76" i="3"/>
  <c r="BN128" i="18" s="1"/>
  <c r="BO76" i="3"/>
  <c r="BO128" i="18" s="1"/>
  <c r="BP76" i="3"/>
  <c r="BP128" i="18" s="1"/>
  <c r="BQ76" i="3"/>
  <c r="BQ128" i="18" s="1"/>
  <c r="BR76" i="3"/>
  <c r="BR128" i="18" s="1"/>
  <c r="BS76" i="3"/>
  <c r="BS128" i="18" s="1"/>
  <c r="BT76" i="3"/>
  <c r="BT128" i="18" s="1"/>
  <c r="BU76" i="3"/>
  <c r="BU128" i="18" s="1"/>
  <c r="BV76" i="3"/>
  <c r="BV128" i="18" s="1"/>
  <c r="BW76" i="3"/>
  <c r="BW128" i="18" s="1"/>
  <c r="BX76" i="3"/>
  <c r="BX128" i="18" s="1"/>
  <c r="BY76" i="3"/>
  <c r="BY128" i="18" s="1"/>
  <c r="BZ76" i="3"/>
  <c r="BZ128" i="18" s="1"/>
  <c r="CA76" i="3"/>
  <c r="CA128" i="18" s="1"/>
  <c r="CB76" i="3"/>
  <c r="CB128" i="18" s="1"/>
  <c r="CC76" i="3"/>
  <c r="CC128" i="18" s="1"/>
  <c r="CD76" i="3"/>
  <c r="CD128" i="18" s="1"/>
  <c r="CE76" i="3"/>
  <c r="CE128" i="18" s="1"/>
  <c r="CF76" i="3"/>
  <c r="CF128" i="18" s="1"/>
  <c r="CG76" i="3"/>
  <c r="CG128" i="18" s="1"/>
  <c r="CH76" i="3"/>
  <c r="CH128" i="18" s="1"/>
  <c r="CI76" i="3"/>
  <c r="CI128" i="18" s="1"/>
  <c r="CJ76" i="3"/>
  <c r="CJ128" i="18" s="1"/>
  <c r="CK76" i="3"/>
  <c r="CK128" i="18" s="1"/>
  <c r="CL76" i="3"/>
  <c r="CL128" i="18" s="1"/>
  <c r="CM76" i="3"/>
  <c r="CM128" i="18" s="1"/>
  <c r="CN76" i="3"/>
  <c r="CN128" i="18" s="1"/>
  <c r="CO76" i="3"/>
  <c r="CO128" i="18" s="1"/>
  <c r="CP76" i="3"/>
  <c r="CP128" i="18" s="1"/>
  <c r="CQ76" i="3"/>
  <c r="CQ128" i="18" s="1"/>
  <c r="EP128" i="18" s="1"/>
  <c r="CR76" i="3"/>
  <c r="CR128" i="18" s="1"/>
  <c r="CS76" i="3"/>
  <c r="CS128" i="18" s="1"/>
  <c r="CT76" i="3"/>
  <c r="CT128" i="18" s="1"/>
  <c r="C77" i="3"/>
  <c r="C129" i="18" s="1"/>
  <c r="D77" i="3"/>
  <c r="D129" i="18" s="1"/>
  <c r="E77" i="3"/>
  <c r="E129" i="18" s="1"/>
  <c r="F77" i="3"/>
  <c r="F129" i="18" s="1"/>
  <c r="G77" i="3"/>
  <c r="G129" i="18" s="1"/>
  <c r="H77" i="3"/>
  <c r="H129" i="18" s="1"/>
  <c r="I77" i="3"/>
  <c r="I129" i="18" s="1"/>
  <c r="J77" i="3"/>
  <c r="J129" i="18" s="1"/>
  <c r="K77" i="3"/>
  <c r="K129" i="18" s="1"/>
  <c r="L77" i="3"/>
  <c r="L129" i="18" s="1"/>
  <c r="M77" i="3"/>
  <c r="M129" i="18" s="1"/>
  <c r="N77" i="3"/>
  <c r="N129" i="18" s="1"/>
  <c r="O77" i="3"/>
  <c r="O129" i="18" s="1"/>
  <c r="P77" i="3"/>
  <c r="P129" i="18" s="1"/>
  <c r="Q77" i="3"/>
  <c r="Q129" i="18" s="1"/>
  <c r="R77" i="3"/>
  <c r="R129" i="18" s="1"/>
  <c r="S77" i="3"/>
  <c r="S129" i="18" s="1"/>
  <c r="T77" i="3"/>
  <c r="T129" i="18" s="1"/>
  <c r="U77" i="3"/>
  <c r="U129" i="18" s="1"/>
  <c r="V77" i="3"/>
  <c r="V129" i="18" s="1"/>
  <c r="W77" i="3"/>
  <c r="W129" i="18" s="1"/>
  <c r="X77" i="3"/>
  <c r="X129" i="18" s="1"/>
  <c r="Y77" i="3"/>
  <c r="Y129" i="18" s="1"/>
  <c r="Z77" i="3"/>
  <c r="Z129" i="18" s="1"/>
  <c r="AA77" i="3"/>
  <c r="AA129" i="18" s="1"/>
  <c r="AB77" i="3"/>
  <c r="AB129" i="18" s="1"/>
  <c r="AC77" i="3"/>
  <c r="AC129" i="18" s="1"/>
  <c r="AD77" i="3"/>
  <c r="AD129" i="18" s="1"/>
  <c r="AE77" i="3"/>
  <c r="AE129" i="18" s="1"/>
  <c r="AF77" i="3"/>
  <c r="AF129" i="18" s="1"/>
  <c r="AG77" i="3"/>
  <c r="AG129" i="18" s="1"/>
  <c r="AH77" i="3"/>
  <c r="AH129" i="18" s="1"/>
  <c r="AI77" i="3"/>
  <c r="AI129" i="18" s="1"/>
  <c r="AJ77" i="3"/>
  <c r="AJ129" i="18" s="1"/>
  <c r="AK77" i="3"/>
  <c r="AK129" i="18" s="1"/>
  <c r="AL77" i="3"/>
  <c r="AL129" i="18" s="1"/>
  <c r="AM77" i="3"/>
  <c r="AM129" i="18" s="1"/>
  <c r="AN77" i="3"/>
  <c r="AN129" i="18" s="1"/>
  <c r="AO77" i="3"/>
  <c r="AO129" i="18" s="1"/>
  <c r="AP77" i="3"/>
  <c r="AP129" i="18" s="1"/>
  <c r="AQ77" i="3"/>
  <c r="AQ129" i="18" s="1"/>
  <c r="AR77" i="3"/>
  <c r="AR129" i="18" s="1"/>
  <c r="AS77" i="3"/>
  <c r="AS129" i="18" s="1"/>
  <c r="AT77" i="3"/>
  <c r="AT129" i="18" s="1"/>
  <c r="AU77" i="3"/>
  <c r="AU129" i="18" s="1"/>
  <c r="AV77" i="3"/>
  <c r="AV129" i="18" s="1"/>
  <c r="AW77" i="3"/>
  <c r="AW129" i="18" s="1"/>
  <c r="AX77" i="3"/>
  <c r="AX129" i="18" s="1"/>
  <c r="AY77" i="3"/>
  <c r="AY129" i="18" s="1"/>
  <c r="AZ77" i="3"/>
  <c r="AZ129" i="18" s="1"/>
  <c r="BA77" i="3"/>
  <c r="BA129" i="18" s="1"/>
  <c r="BB77" i="3"/>
  <c r="BB129" i="18" s="1"/>
  <c r="BC77" i="3"/>
  <c r="BC129" i="18" s="1"/>
  <c r="BD77" i="3"/>
  <c r="BD129" i="18" s="1"/>
  <c r="BE77" i="3"/>
  <c r="BE129" i="18" s="1"/>
  <c r="BF77" i="3"/>
  <c r="BF129" i="18" s="1"/>
  <c r="BG77" i="3"/>
  <c r="BG129" i="18" s="1"/>
  <c r="BH77" i="3"/>
  <c r="BH129" i="18" s="1"/>
  <c r="BI77" i="3"/>
  <c r="BI129" i="18" s="1"/>
  <c r="BJ77" i="3"/>
  <c r="BJ129" i="18" s="1"/>
  <c r="BK77" i="3"/>
  <c r="BK129" i="18" s="1"/>
  <c r="BL77" i="3"/>
  <c r="BL129" i="18" s="1"/>
  <c r="BM77" i="3"/>
  <c r="BM129" i="18" s="1"/>
  <c r="BN77" i="3"/>
  <c r="BN129" i="18" s="1"/>
  <c r="BO77" i="3"/>
  <c r="BO129" i="18" s="1"/>
  <c r="BP77" i="3"/>
  <c r="BP129" i="18" s="1"/>
  <c r="BQ77" i="3"/>
  <c r="BQ129" i="18" s="1"/>
  <c r="BR77" i="3"/>
  <c r="BR129" i="18" s="1"/>
  <c r="BS77" i="3"/>
  <c r="BS129" i="18" s="1"/>
  <c r="BT77" i="3"/>
  <c r="BT129" i="18" s="1"/>
  <c r="BU77" i="3"/>
  <c r="BU129" i="18" s="1"/>
  <c r="BV77" i="3"/>
  <c r="BV129" i="18" s="1"/>
  <c r="BW77" i="3"/>
  <c r="BW129" i="18" s="1"/>
  <c r="BX77" i="3"/>
  <c r="BX129" i="18" s="1"/>
  <c r="BY77" i="3"/>
  <c r="BY129" i="18" s="1"/>
  <c r="BZ77" i="3"/>
  <c r="BZ129" i="18" s="1"/>
  <c r="CA77" i="3"/>
  <c r="CA129" i="18" s="1"/>
  <c r="CB77" i="3"/>
  <c r="CB129" i="18" s="1"/>
  <c r="CC77" i="3"/>
  <c r="CC129" i="18" s="1"/>
  <c r="CD77" i="3"/>
  <c r="CD129" i="18" s="1"/>
  <c r="CE77" i="3"/>
  <c r="CE129" i="18" s="1"/>
  <c r="CF77" i="3"/>
  <c r="CF129" i="18" s="1"/>
  <c r="CG77" i="3"/>
  <c r="CG129" i="18" s="1"/>
  <c r="CH77" i="3"/>
  <c r="CH129" i="18" s="1"/>
  <c r="CI77" i="3"/>
  <c r="CI129" i="18" s="1"/>
  <c r="CJ77" i="3"/>
  <c r="CJ129" i="18" s="1"/>
  <c r="CK77" i="3"/>
  <c r="CK129" i="18" s="1"/>
  <c r="CL77" i="3"/>
  <c r="CL129" i="18" s="1"/>
  <c r="CM77" i="3"/>
  <c r="CM129" i="18" s="1"/>
  <c r="CN77" i="3"/>
  <c r="CN129" i="18" s="1"/>
  <c r="CO77" i="3"/>
  <c r="CO129" i="18" s="1"/>
  <c r="CP77" i="3"/>
  <c r="CP129" i="18" s="1"/>
  <c r="CQ77" i="3"/>
  <c r="CQ129" i="18" s="1"/>
  <c r="CR77" i="3"/>
  <c r="CR129" i="18" s="1"/>
  <c r="CS77" i="3"/>
  <c r="CS129" i="18" s="1"/>
  <c r="CT77" i="3"/>
  <c r="CT129" i="18" s="1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C78" i="3"/>
  <c r="C131" i="18" s="1"/>
  <c r="D78" i="3"/>
  <c r="D131" i="18" s="1"/>
  <c r="E78" i="3"/>
  <c r="E131" i="18" s="1"/>
  <c r="F78" i="3"/>
  <c r="F131" i="18" s="1"/>
  <c r="G78" i="3"/>
  <c r="G131" i="18" s="1"/>
  <c r="H78" i="3"/>
  <c r="H131" i="18" s="1"/>
  <c r="I78" i="3"/>
  <c r="I131" i="18" s="1"/>
  <c r="J78" i="3"/>
  <c r="J131" i="18" s="1"/>
  <c r="K78" i="3"/>
  <c r="K131" i="18" s="1"/>
  <c r="L78" i="3"/>
  <c r="L131" i="18" s="1"/>
  <c r="M78" i="3"/>
  <c r="M131" i="18" s="1"/>
  <c r="N78" i="3"/>
  <c r="N131" i="18" s="1"/>
  <c r="O78" i="3"/>
  <c r="O131" i="18" s="1"/>
  <c r="P78" i="3"/>
  <c r="P131" i="18" s="1"/>
  <c r="Q78" i="3"/>
  <c r="Q131" i="18" s="1"/>
  <c r="R78" i="3"/>
  <c r="R131" i="18" s="1"/>
  <c r="S78" i="3"/>
  <c r="S131" i="18" s="1"/>
  <c r="T78" i="3"/>
  <c r="T131" i="18" s="1"/>
  <c r="U78" i="3"/>
  <c r="U131" i="18" s="1"/>
  <c r="V78" i="3"/>
  <c r="V131" i="18" s="1"/>
  <c r="W78" i="3"/>
  <c r="W131" i="18" s="1"/>
  <c r="X78" i="3"/>
  <c r="X131" i="18" s="1"/>
  <c r="Y78" i="3"/>
  <c r="Y131" i="18" s="1"/>
  <c r="Z78" i="3"/>
  <c r="Z131" i="18" s="1"/>
  <c r="AA78" i="3"/>
  <c r="AA131" i="18" s="1"/>
  <c r="AB78" i="3"/>
  <c r="AB131" i="18" s="1"/>
  <c r="AC78" i="3"/>
  <c r="AC131" i="18" s="1"/>
  <c r="AD78" i="3"/>
  <c r="AD131" i="18" s="1"/>
  <c r="AE78" i="3"/>
  <c r="AE131" i="18" s="1"/>
  <c r="AF78" i="3"/>
  <c r="AF131" i="18" s="1"/>
  <c r="AG78" i="3"/>
  <c r="AG131" i="18" s="1"/>
  <c r="AH78" i="3"/>
  <c r="AH131" i="18" s="1"/>
  <c r="AI78" i="3"/>
  <c r="AI131" i="18" s="1"/>
  <c r="AJ78" i="3"/>
  <c r="AJ131" i="18" s="1"/>
  <c r="AK78" i="3"/>
  <c r="AK131" i="18" s="1"/>
  <c r="AL78" i="3"/>
  <c r="AL131" i="18" s="1"/>
  <c r="AM78" i="3"/>
  <c r="AM131" i="18" s="1"/>
  <c r="AN78" i="3"/>
  <c r="AN131" i="18" s="1"/>
  <c r="AO78" i="3"/>
  <c r="AO131" i="18" s="1"/>
  <c r="AP78" i="3"/>
  <c r="AP131" i="18" s="1"/>
  <c r="AQ78" i="3"/>
  <c r="AQ131" i="18" s="1"/>
  <c r="AR78" i="3"/>
  <c r="AR131" i="18" s="1"/>
  <c r="AS78" i="3"/>
  <c r="AS131" i="18" s="1"/>
  <c r="AT78" i="3"/>
  <c r="AT131" i="18" s="1"/>
  <c r="AU78" i="3"/>
  <c r="AU131" i="18" s="1"/>
  <c r="AV78" i="3"/>
  <c r="AV131" i="18" s="1"/>
  <c r="AW78" i="3"/>
  <c r="AW131" i="18" s="1"/>
  <c r="AX78" i="3"/>
  <c r="AX131" i="18" s="1"/>
  <c r="AY78" i="3"/>
  <c r="AY131" i="18" s="1"/>
  <c r="AZ78" i="3"/>
  <c r="AZ131" i="18" s="1"/>
  <c r="BA78" i="3"/>
  <c r="BA131" i="18" s="1"/>
  <c r="BB78" i="3"/>
  <c r="BB131" i="18" s="1"/>
  <c r="BC78" i="3"/>
  <c r="BC131" i="18" s="1"/>
  <c r="BD78" i="3"/>
  <c r="BD131" i="18" s="1"/>
  <c r="BE78" i="3"/>
  <c r="BE131" i="18" s="1"/>
  <c r="BF78" i="3"/>
  <c r="BF131" i="18" s="1"/>
  <c r="BG78" i="3"/>
  <c r="BG131" i="18" s="1"/>
  <c r="BH78" i="3"/>
  <c r="BH131" i="18" s="1"/>
  <c r="BI78" i="3"/>
  <c r="BI131" i="18" s="1"/>
  <c r="BJ78" i="3"/>
  <c r="BJ131" i="18" s="1"/>
  <c r="BK78" i="3"/>
  <c r="BK131" i="18" s="1"/>
  <c r="BL78" i="3"/>
  <c r="BL131" i="18" s="1"/>
  <c r="BM78" i="3"/>
  <c r="BM131" i="18" s="1"/>
  <c r="BN78" i="3"/>
  <c r="BN131" i="18" s="1"/>
  <c r="BO78" i="3"/>
  <c r="BO131" i="18" s="1"/>
  <c r="BP78" i="3"/>
  <c r="BP131" i="18" s="1"/>
  <c r="BQ78" i="3"/>
  <c r="BQ131" i="18" s="1"/>
  <c r="BR78" i="3"/>
  <c r="BR131" i="18" s="1"/>
  <c r="BS78" i="3"/>
  <c r="BS131" i="18" s="1"/>
  <c r="BT78" i="3"/>
  <c r="BT131" i="18" s="1"/>
  <c r="BU78" i="3"/>
  <c r="BU131" i="18" s="1"/>
  <c r="BV78" i="3"/>
  <c r="BV131" i="18" s="1"/>
  <c r="BW78" i="3"/>
  <c r="BW131" i="18" s="1"/>
  <c r="BX78" i="3"/>
  <c r="BX131" i="18" s="1"/>
  <c r="BY78" i="3"/>
  <c r="BY131" i="18" s="1"/>
  <c r="BZ78" i="3"/>
  <c r="BZ131" i="18" s="1"/>
  <c r="CA78" i="3"/>
  <c r="CA131" i="18" s="1"/>
  <c r="CB78" i="3"/>
  <c r="CB131" i="18" s="1"/>
  <c r="CC78" i="3"/>
  <c r="CC131" i="18" s="1"/>
  <c r="CD78" i="3"/>
  <c r="CD131" i="18" s="1"/>
  <c r="CE78" i="3"/>
  <c r="CE131" i="18" s="1"/>
  <c r="CF78" i="3"/>
  <c r="CF131" i="18" s="1"/>
  <c r="CG78" i="3"/>
  <c r="CG131" i="18" s="1"/>
  <c r="CH78" i="3"/>
  <c r="CH131" i="18" s="1"/>
  <c r="CI78" i="3"/>
  <c r="CI131" i="18" s="1"/>
  <c r="CJ78" i="3"/>
  <c r="CJ131" i="18" s="1"/>
  <c r="CK78" i="3"/>
  <c r="CK131" i="18" s="1"/>
  <c r="CL78" i="3"/>
  <c r="CL131" i="18" s="1"/>
  <c r="CM78" i="3"/>
  <c r="CM131" i="18" s="1"/>
  <c r="CN78" i="3"/>
  <c r="CN131" i="18" s="1"/>
  <c r="CO78" i="3"/>
  <c r="CO131" i="18" s="1"/>
  <c r="CP78" i="3"/>
  <c r="CP131" i="18" s="1"/>
  <c r="CQ78" i="3"/>
  <c r="CQ131" i="18" s="1"/>
  <c r="CR78" i="3"/>
  <c r="CR131" i="18" s="1"/>
  <c r="CS78" i="3"/>
  <c r="CS131" i="18" s="1"/>
  <c r="CT78" i="3"/>
  <c r="CT131" i="18" s="1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47" i="3"/>
  <c r="C90" i="18" s="1"/>
  <c r="D47" i="3"/>
  <c r="D90" i="18" s="1"/>
  <c r="E47" i="3"/>
  <c r="E90" i="18" s="1"/>
  <c r="F47" i="3"/>
  <c r="F90" i="18" s="1"/>
  <c r="G47" i="3"/>
  <c r="G90" i="18" s="1"/>
  <c r="H47" i="3"/>
  <c r="H90" i="18" s="1"/>
  <c r="I47" i="3"/>
  <c r="I90" i="18" s="1"/>
  <c r="J47" i="3"/>
  <c r="J90" i="18" s="1"/>
  <c r="K47" i="3"/>
  <c r="K90" i="18" s="1"/>
  <c r="L47" i="3"/>
  <c r="L90" i="18" s="1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244" i="18" s="1"/>
  <c r="AB778" i="2" s="1"/>
  <c r="AC47" i="3"/>
  <c r="AD244" i="18" s="1"/>
  <c r="AC778" i="2" s="1"/>
  <c r="AD47" i="3"/>
  <c r="AE244" i="18" s="1"/>
  <c r="AD778" i="2" s="1"/>
  <c r="AE47" i="3"/>
  <c r="AF244" i="18" s="1"/>
  <c r="AE778" i="2" s="1"/>
  <c r="AF47" i="3"/>
  <c r="AG244" i="18" s="1"/>
  <c r="AF778" i="2" s="1"/>
  <c r="AG47" i="3"/>
  <c r="AH244" i="18" s="1"/>
  <c r="AG778" i="2" s="1"/>
  <c r="AH47" i="3"/>
  <c r="AI244" i="18" s="1"/>
  <c r="AH778" i="2" s="1"/>
  <c r="AI47" i="3"/>
  <c r="AJ244" i="18" s="1"/>
  <c r="AI778" i="2" s="1"/>
  <c r="AJ47" i="3"/>
  <c r="AK244" i="18" s="1"/>
  <c r="AJ778" i="2" s="1"/>
  <c r="AK47" i="3"/>
  <c r="AL244" i="18" s="1"/>
  <c r="AK778" i="2" s="1"/>
  <c r="AL47" i="3"/>
  <c r="AM244" i="18" s="1"/>
  <c r="AL778" i="2" s="1"/>
  <c r="AM47" i="3"/>
  <c r="AN244" i="18" s="1"/>
  <c r="AM778" i="2" s="1"/>
  <c r="AN47" i="3"/>
  <c r="AO244" i="18" s="1"/>
  <c r="AN778" i="2" s="1"/>
  <c r="AO47" i="3"/>
  <c r="AP244" i="18" s="1"/>
  <c r="AO778" i="2" s="1"/>
  <c r="AP47" i="3"/>
  <c r="AQ244" i="18" s="1"/>
  <c r="AP778" i="2" s="1"/>
  <c r="AQ47" i="3"/>
  <c r="AR244" i="18" s="1"/>
  <c r="AQ778" i="2" s="1"/>
  <c r="AR47" i="3"/>
  <c r="AS244" i="18" s="1"/>
  <c r="AR778" i="2" s="1"/>
  <c r="AS47" i="3"/>
  <c r="AT244" i="18" s="1"/>
  <c r="AS778" i="2" s="1"/>
  <c r="AT47" i="3"/>
  <c r="AU244" i="18" s="1"/>
  <c r="AT778" i="2" s="1"/>
  <c r="AU47" i="3"/>
  <c r="AV244" i="18" s="1"/>
  <c r="AU778" i="2" s="1"/>
  <c r="AV47" i="3"/>
  <c r="AW244" i="18" s="1"/>
  <c r="AV778" i="2" s="1"/>
  <c r="AW47" i="3"/>
  <c r="AX244" i="18" s="1"/>
  <c r="AW778" i="2" s="1"/>
  <c r="AX47" i="3"/>
  <c r="AY244" i="18" s="1"/>
  <c r="AX778" i="2" s="1"/>
  <c r="AY47" i="3"/>
  <c r="AZ244" i="18" s="1"/>
  <c r="AY778" i="2" s="1"/>
  <c r="AZ47" i="3"/>
  <c r="BA244" i="18" s="1"/>
  <c r="AZ778" i="2" s="1"/>
  <c r="BA47" i="3"/>
  <c r="BB244" i="18" s="1"/>
  <c r="BA778" i="2" s="1"/>
  <c r="BB47" i="3"/>
  <c r="BC244" i="18" s="1"/>
  <c r="BB778" i="2" s="1"/>
  <c r="BC47" i="3"/>
  <c r="BD244" i="18" s="1"/>
  <c r="BC778" i="2" s="1"/>
  <c r="BD47" i="3"/>
  <c r="BE244" i="18" s="1"/>
  <c r="BD778" i="2" s="1"/>
  <c r="BE47" i="3"/>
  <c r="BF244" i="18" s="1"/>
  <c r="BE778" i="2" s="1"/>
  <c r="BF47" i="3"/>
  <c r="BG244" i="18" s="1"/>
  <c r="BF778" i="2" s="1"/>
  <c r="BG47" i="3"/>
  <c r="BH244" i="18" s="1"/>
  <c r="BG778" i="2" s="1"/>
  <c r="BH47" i="3"/>
  <c r="BI244" i="18" s="1"/>
  <c r="BH778" i="2" s="1"/>
  <c r="BI47" i="3"/>
  <c r="BJ244" i="18" s="1"/>
  <c r="BI778" i="2" s="1"/>
  <c r="BJ47" i="3"/>
  <c r="BK244" i="18" s="1"/>
  <c r="BJ778" i="2" s="1"/>
  <c r="BK47" i="3"/>
  <c r="BL244" i="18" s="1"/>
  <c r="BK778" i="2" s="1"/>
  <c r="BL47" i="3"/>
  <c r="BM244" i="18" s="1"/>
  <c r="BM47" i="3"/>
  <c r="BN244" i="18" s="1"/>
  <c r="BM778" i="2" s="1"/>
  <c r="BN47" i="3"/>
  <c r="BO244" i="18" s="1"/>
  <c r="BN778" i="2" s="1"/>
  <c r="BO47" i="3"/>
  <c r="BP244" i="18" s="1"/>
  <c r="BP47" i="3"/>
  <c r="BQ244" i="18" s="1"/>
  <c r="BP778" i="2" s="1"/>
  <c r="BQ47" i="3"/>
  <c r="BR244" i="18" s="1"/>
  <c r="BQ778" i="2" s="1"/>
  <c r="BR47" i="3"/>
  <c r="BS244" i="18" s="1"/>
  <c r="BS47" i="3"/>
  <c r="BT244" i="18" s="1"/>
  <c r="BS778" i="2" s="1"/>
  <c r="BT47" i="3"/>
  <c r="BU244" i="18" s="1"/>
  <c r="BT778" i="2" s="1"/>
  <c r="BU47" i="3"/>
  <c r="BV244" i="18" s="1"/>
  <c r="BV47" i="3"/>
  <c r="BW244" i="18" s="1"/>
  <c r="BV778" i="2" s="1"/>
  <c r="BW47" i="3"/>
  <c r="BX244" i="18" s="1"/>
  <c r="BW778" i="2" s="1"/>
  <c r="BX47" i="3"/>
  <c r="BY244" i="18" s="1"/>
  <c r="BY47" i="3"/>
  <c r="BZ244" i="18" s="1"/>
  <c r="BY778" i="2" s="1"/>
  <c r="BZ47" i="3"/>
  <c r="CA244" i="18" s="1"/>
  <c r="BZ778" i="2" s="1"/>
  <c r="CA47" i="3"/>
  <c r="CB244" i="18" s="1"/>
  <c r="CB47" i="3"/>
  <c r="CC244" i="18" s="1"/>
  <c r="CB778" i="2" s="1"/>
  <c r="CC47" i="3"/>
  <c r="CD244" i="18" s="1"/>
  <c r="CC778" i="2" s="1"/>
  <c r="CD47" i="3"/>
  <c r="CE244" i="18" s="1"/>
  <c r="CE47" i="3"/>
  <c r="CF244" i="18" s="1"/>
  <c r="CE778" i="2" s="1"/>
  <c r="CF47" i="3"/>
  <c r="CG244" i="18" s="1"/>
  <c r="CF778" i="2" s="1"/>
  <c r="CG47" i="3"/>
  <c r="CH244" i="18" s="1"/>
  <c r="CH47" i="3"/>
  <c r="CI244" i="18" s="1"/>
  <c r="CH778" i="2" s="1"/>
  <c r="CI47" i="3"/>
  <c r="CJ244" i="18" s="1"/>
  <c r="CI778" i="2" s="1"/>
  <c r="CJ47" i="3"/>
  <c r="CK244" i="18" s="1"/>
  <c r="CK47" i="3"/>
  <c r="CL244" i="18" s="1"/>
  <c r="CK778" i="2" s="1"/>
  <c r="CL47" i="3"/>
  <c r="CM244" i="18" s="1"/>
  <c r="CL778" i="2" s="1"/>
  <c r="CM47" i="3"/>
  <c r="CN244" i="18" s="1"/>
  <c r="CN47" i="3"/>
  <c r="CO244" i="18" s="1"/>
  <c r="CN778" i="2" s="1"/>
  <c r="CO47" i="3"/>
  <c r="CP244" i="18" s="1"/>
  <c r="CO778" i="2" s="1"/>
  <c r="CP47" i="3"/>
  <c r="CQ244" i="18" s="1"/>
  <c r="CQ47" i="3"/>
  <c r="CR244" i="18" s="1"/>
  <c r="CQ778" i="2" s="1"/>
  <c r="CR47" i="3"/>
  <c r="CS244" i="18" s="1"/>
  <c r="CR778" i="2" s="1"/>
  <c r="CS47" i="3"/>
  <c r="CT244" i="18" s="1"/>
  <c r="CT47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27" i="3"/>
  <c r="C55" i="18" s="1"/>
  <c r="D27" i="3"/>
  <c r="D55" i="18" s="1"/>
  <c r="D54" i="18" s="1"/>
  <c r="E27" i="3"/>
  <c r="E55" i="18" s="1"/>
  <c r="E54" i="18" s="1"/>
  <c r="F27" i="3"/>
  <c r="F55" i="18" s="1"/>
  <c r="F54" i="18" s="1"/>
  <c r="G27" i="3"/>
  <c r="G55" i="18" s="1"/>
  <c r="G54" i="18" s="1"/>
  <c r="H27" i="3"/>
  <c r="H55" i="18" s="1"/>
  <c r="H54" i="18" s="1"/>
  <c r="I27" i="3"/>
  <c r="I55" i="18" s="1"/>
  <c r="I54" i="18" s="1"/>
  <c r="J27" i="3"/>
  <c r="J55" i="18" s="1"/>
  <c r="J54" i="18" s="1"/>
  <c r="K27" i="3"/>
  <c r="K55" i="18" s="1"/>
  <c r="K54" i="18" s="1"/>
  <c r="L27" i="3"/>
  <c r="L55" i="18" s="1"/>
  <c r="L54" i="18" s="1"/>
  <c r="M27" i="3"/>
  <c r="M55" i="18" s="1"/>
  <c r="M54" i="18" s="1"/>
  <c r="N27" i="3"/>
  <c r="N55" i="18" s="1"/>
  <c r="N54" i="18" s="1"/>
  <c r="O27" i="3"/>
  <c r="O55" i="18" s="1"/>
  <c r="O54" i="18" s="1"/>
  <c r="P27" i="3"/>
  <c r="P55" i="18" s="1"/>
  <c r="P54" i="18" s="1"/>
  <c r="Q27" i="3"/>
  <c r="Q55" i="18" s="1"/>
  <c r="Q54" i="18" s="1"/>
  <c r="R27" i="3"/>
  <c r="R55" i="18" s="1"/>
  <c r="R54" i="18" s="1"/>
  <c r="S27" i="3"/>
  <c r="S55" i="18" s="1"/>
  <c r="S54" i="18" s="1"/>
  <c r="T27" i="3"/>
  <c r="T55" i="18" s="1"/>
  <c r="T54" i="18" s="1"/>
  <c r="U27" i="3"/>
  <c r="U55" i="18" s="1"/>
  <c r="U54" i="18" s="1"/>
  <c r="V27" i="3"/>
  <c r="V55" i="18" s="1"/>
  <c r="V54" i="18" s="1"/>
  <c r="W27" i="3"/>
  <c r="W55" i="18" s="1"/>
  <c r="W54" i="18" s="1"/>
  <c r="X27" i="3"/>
  <c r="X55" i="18" s="1"/>
  <c r="X54" i="18" s="1"/>
  <c r="Y27" i="3"/>
  <c r="Y55" i="18" s="1"/>
  <c r="Y54" i="18" s="1"/>
  <c r="Z27" i="3"/>
  <c r="Z55" i="18" s="1"/>
  <c r="Z54" i="18" s="1"/>
  <c r="AA27" i="3"/>
  <c r="AA55" i="18" s="1"/>
  <c r="AA54" i="18" s="1"/>
  <c r="AB27" i="3"/>
  <c r="AB55" i="18" s="1"/>
  <c r="AB54" i="18" s="1"/>
  <c r="AC27" i="3"/>
  <c r="AC55" i="18" s="1"/>
  <c r="AC54" i="18" s="1"/>
  <c r="AD27" i="3"/>
  <c r="AD55" i="18" s="1"/>
  <c r="AD54" i="18" s="1"/>
  <c r="AE27" i="3"/>
  <c r="AE55" i="18" s="1"/>
  <c r="AE54" i="18" s="1"/>
  <c r="AF27" i="3"/>
  <c r="AF55" i="18" s="1"/>
  <c r="AF54" i="18" s="1"/>
  <c r="AG27" i="3"/>
  <c r="AG55" i="18" s="1"/>
  <c r="AG54" i="18" s="1"/>
  <c r="AH27" i="3"/>
  <c r="AH55" i="18" s="1"/>
  <c r="AH54" i="18" s="1"/>
  <c r="AI27" i="3"/>
  <c r="AI55" i="18" s="1"/>
  <c r="AI54" i="18" s="1"/>
  <c r="AJ27" i="3"/>
  <c r="AJ55" i="18" s="1"/>
  <c r="AJ54" i="18" s="1"/>
  <c r="AK27" i="3"/>
  <c r="AK55" i="18" s="1"/>
  <c r="AK54" i="18" s="1"/>
  <c r="AL27" i="3"/>
  <c r="AL55" i="18" s="1"/>
  <c r="AL54" i="18" s="1"/>
  <c r="AM27" i="3"/>
  <c r="AM55" i="18" s="1"/>
  <c r="AM54" i="18" s="1"/>
  <c r="AN27" i="3"/>
  <c r="AN55" i="18" s="1"/>
  <c r="AN54" i="18" s="1"/>
  <c r="AO27" i="3"/>
  <c r="AO55" i="18" s="1"/>
  <c r="AO54" i="18" s="1"/>
  <c r="AP27" i="3"/>
  <c r="AP55" i="18" s="1"/>
  <c r="AP54" i="18" s="1"/>
  <c r="AQ27" i="3"/>
  <c r="AQ55" i="18" s="1"/>
  <c r="AQ54" i="18" s="1"/>
  <c r="AR27" i="3"/>
  <c r="AR55" i="18" s="1"/>
  <c r="AR54" i="18" s="1"/>
  <c r="AS27" i="3"/>
  <c r="AS55" i="18" s="1"/>
  <c r="AS54" i="18" s="1"/>
  <c r="AT27" i="3"/>
  <c r="AT55" i="18" s="1"/>
  <c r="AT54" i="18" s="1"/>
  <c r="AU27" i="3"/>
  <c r="AU55" i="18" s="1"/>
  <c r="AU54" i="18" s="1"/>
  <c r="AV27" i="3"/>
  <c r="AV55" i="18" s="1"/>
  <c r="AV54" i="18" s="1"/>
  <c r="AW27" i="3"/>
  <c r="AW55" i="18" s="1"/>
  <c r="AW54" i="18" s="1"/>
  <c r="AX27" i="3"/>
  <c r="AX55" i="18" s="1"/>
  <c r="AX54" i="18" s="1"/>
  <c r="AY27" i="3"/>
  <c r="AY55" i="18" s="1"/>
  <c r="AY54" i="18" s="1"/>
  <c r="AZ27" i="3"/>
  <c r="AZ55" i="18" s="1"/>
  <c r="AZ54" i="18" s="1"/>
  <c r="BK20" i="3"/>
  <c r="BK24" i="18" s="1"/>
  <c r="BL20" i="3"/>
  <c r="BL24" i="18" s="1"/>
  <c r="BM20" i="3"/>
  <c r="BM24" i="18" s="1"/>
  <c r="BN20" i="3"/>
  <c r="BN24" i="18" s="1"/>
  <c r="BO20" i="3"/>
  <c r="BO24" i="18" s="1"/>
  <c r="BP20" i="3"/>
  <c r="BP24" i="18" s="1"/>
  <c r="BQ20" i="3"/>
  <c r="BQ24" i="18" s="1"/>
  <c r="BR20" i="3"/>
  <c r="BR24" i="18" s="1"/>
  <c r="BS20" i="3"/>
  <c r="BS24" i="18" s="1"/>
  <c r="BT20" i="3"/>
  <c r="BT24" i="18" s="1"/>
  <c r="BU20" i="3"/>
  <c r="BU24" i="18" s="1"/>
  <c r="BV20" i="3"/>
  <c r="BV24" i="18" s="1"/>
  <c r="BW20" i="3"/>
  <c r="BW24" i="18" s="1"/>
  <c r="BX20" i="3"/>
  <c r="BX24" i="18" s="1"/>
  <c r="BY20" i="3"/>
  <c r="BY24" i="18" s="1"/>
  <c r="BZ20" i="3"/>
  <c r="BZ24" i="18" s="1"/>
  <c r="CA20" i="3"/>
  <c r="CA24" i="18" s="1"/>
  <c r="CB20" i="3"/>
  <c r="CB24" i="18" s="1"/>
  <c r="CC20" i="3"/>
  <c r="CC24" i="18" s="1"/>
  <c r="CD20" i="3"/>
  <c r="CD24" i="18" s="1"/>
  <c r="CE20" i="3"/>
  <c r="CE24" i="18" s="1"/>
  <c r="CF20" i="3"/>
  <c r="CF24" i="18" s="1"/>
  <c r="CG20" i="3"/>
  <c r="CG24" i="18" s="1"/>
  <c r="CH20" i="3"/>
  <c r="CH24" i="18" s="1"/>
  <c r="CI20" i="3"/>
  <c r="CI24" i="18" s="1"/>
  <c r="CJ20" i="3"/>
  <c r="CJ24" i="18" s="1"/>
  <c r="CK20" i="3"/>
  <c r="CK24" i="18" s="1"/>
  <c r="CL20" i="3"/>
  <c r="CL24" i="18" s="1"/>
  <c r="CM20" i="3"/>
  <c r="CM24" i="18" s="1"/>
  <c r="CN20" i="3"/>
  <c r="CN24" i="18" s="1"/>
  <c r="CO20" i="3"/>
  <c r="CO24" i="18" s="1"/>
  <c r="CP20" i="3"/>
  <c r="CP24" i="18" s="1"/>
  <c r="CQ20" i="3"/>
  <c r="CQ24" i="18" s="1"/>
  <c r="CR20" i="3"/>
  <c r="CR24" i="18" s="1"/>
  <c r="CS20" i="3"/>
  <c r="CS24" i="18" s="1"/>
  <c r="CT20" i="3"/>
  <c r="CT24" i="18" s="1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11" i="3"/>
  <c r="C16" i="18" s="1"/>
  <c r="C15" i="18" s="1"/>
  <c r="D11" i="3"/>
  <c r="D16" i="18" s="1"/>
  <c r="D15" i="18" s="1"/>
  <c r="E11" i="3"/>
  <c r="E16" i="18" s="1"/>
  <c r="E15" i="18" s="1"/>
  <c r="F11" i="3"/>
  <c r="F16" i="18" s="1"/>
  <c r="F15" i="18" s="1"/>
  <c r="G11" i="3"/>
  <c r="G16" i="18" s="1"/>
  <c r="G15" i="18" s="1"/>
  <c r="H11" i="3"/>
  <c r="H16" i="18" s="1"/>
  <c r="H15" i="18" s="1"/>
  <c r="I11" i="3"/>
  <c r="I16" i="18" s="1"/>
  <c r="I15" i="18" s="1"/>
  <c r="J11" i="3"/>
  <c r="J16" i="18" s="1"/>
  <c r="J15" i="18" s="1"/>
  <c r="K11" i="3"/>
  <c r="K16" i="18" s="1"/>
  <c r="K15" i="18" s="1"/>
  <c r="L11" i="3"/>
  <c r="L16" i="18" s="1"/>
  <c r="L15" i="18" s="1"/>
  <c r="M11" i="3"/>
  <c r="M16" i="18" s="1"/>
  <c r="M15" i="18" s="1"/>
  <c r="N11" i="3"/>
  <c r="N16" i="18" s="1"/>
  <c r="N15" i="18" s="1"/>
  <c r="O11" i="3"/>
  <c r="O16" i="18" s="1"/>
  <c r="O15" i="18" s="1"/>
  <c r="P11" i="3"/>
  <c r="P16" i="18" s="1"/>
  <c r="P15" i="18" s="1"/>
  <c r="Q11" i="3"/>
  <c r="Q16" i="18" s="1"/>
  <c r="Q15" i="18" s="1"/>
  <c r="R11" i="3"/>
  <c r="R16" i="18" s="1"/>
  <c r="R15" i="18" s="1"/>
  <c r="S11" i="3"/>
  <c r="S16" i="18" s="1"/>
  <c r="S15" i="18" s="1"/>
  <c r="T11" i="3"/>
  <c r="T16" i="18" s="1"/>
  <c r="T15" i="18" s="1"/>
  <c r="U11" i="3"/>
  <c r="U16" i="18" s="1"/>
  <c r="U15" i="18" s="1"/>
  <c r="V11" i="3"/>
  <c r="V16" i="18" s="1"/>
  <c r="V15" i="18" s="1"/>
  <c r="W11" i="3"/>
  <c r="W16" i="18" s="1"/>
  <c r="W15" i="18" s="1"/>
  <c r="X11" i="3"/>
  <c r="X16" i="18" s="1"/>
  <c r="X15" i="18" s="1"/>
  <c r="Y11" i="3"/>
  <c r="Y16" i="18" s="1"/>
  <c r="Y15" i="18" s="1"/>
  <c r="Z11" i="3"/>
  <c r="Z16" i="18" s="1"/>
  <c r="Z15" i="18" s="1"/>
  <c r="AA11" i="3"/>
  <c r="AA16" i="18" s="1"/>
  <c r="AA15" i="18" s="1"/>
  <c r="AB11" i="3"/>
  <c r="AB16" i="18" s="1"/>
  <c r="AB15" i="18" s="1"/>
  <c r="AC11" i="3"/>
  <c r="AC16" i="18" s="1"/>
  <c r="AC15" i="18" s="1"/>
  <c r="AD11" i="3"/>
  <c r="AD16" i="18" s="1"/>
  <c r="AD15" i="18" s="1"/>
  <c r="AE11" i="3"/>
  <c r="AE16" i="18" s="1"/>
  <c r="AE15" i="18" s="1"/>
  <c r="AF11" i="3"/>
  <c r="AF16" i="18" s="1"/>
  <c r="AF15" i="18" s="1"/>
  <c r="AG11" i="3"/>
  <c r="AG16" i="18" s="1"/>
  <c r="AG15" i="18" s="1"/>
  <c r="AH11" i="3"/>
  <c r="AH16" i="18" s="1"/>
  <c r="AH15" i="18" s="1"/>
  <c r="AI11" i="3"/>
  <c r="AI16" i="18" s="1"/>
  <c r="AI15" i="18" s="1"/>
  <c r="AJ11" i="3"/>
  <c r="AJ16" i="18" s="1"/>
  <c r="AJ15" i="18" s="1"/>
  <c r="AK11" i="3"/>
  <c r="AK16" i="18" s="1"/>
  <c r="AK15" i="18" s="1"/>
  <c r="AL11" i="3"/>
  <c r="AL16" i="18" s="1"/>
  <c r="AL15" i="18" s="1"/>
  <c r="AM11" i="3"/>
  <c r="AM16" i="18" s="1"/>
  <c r="AM15" i="18" s="1"/>
  <c r="AN11" i="3"/>
  <c r="AN16" i="18" s="1"/>
  <c r="AN15" i="18" s="1"/>
  <c r="AO11" i="3"/>
  <c r="AO16" i="18" s="1"/>
  <c r="AO15" i="18" s="1"/>
  <c r="AP11" i="3"/>
  <c r="AP16" i="18" s="1"/>
  <c r="AP15" i="18" s="1"/>
  <c r="AQ11" i="3"/>
  <c r="AQ16" i="18" s="1"/>
  <c r="AQ15" i="18" s="1"/>
  <c r="AR11" i="3"/>
  <c r="AR16" i="18" s="1"/>
  <c r="AR15" i="18" s="1"/>
  <c r="AS11" i="3"/>
  <c r="AS16" i="18" s="1"/>
  <c r="AS15" i="18" s="1"/>
  <c r="AT11" i="3"/>
  <c r="AT16" i="18" s="1"/>
  <c r="AT15" i="18" s="1"/>
  <c r="AU11" i="3"/>
  <c r="AU16" i="18" s="1"/>
  <c r="AU15" i="18" s="1"/>
  <c r="AV11" i="3"/>
  <c r="AV16" i="18" s="1"/>
  <c r="AV15" i="18" s="1"/>
  <c r="AW11" i="3"/>
  <c r="AW16" i="18" s="1"/>
  <c r="AW15" i="18" s="1"/>
  <c r="AX11" i="3"/>
  <c r="AX16" i="18" s="1"/>
  <c r="AX15" i="18" s="1"/>
  <c r="AY11" i="3"/>
  <c r="AY16" i="18" s="1"/>
  <c r="AY15" i="18" s="1"/>
  <c r="AZ11" i="3"/>
  <c r="AZ16" i="18" s="1"/>
  <c r="AZ15" i="18" s="1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3" i="3"/>
  <c r="C4" i="18" s="1"/>
  <c r="D3" i="3"/>
  <c r="D4" i="18" s="1"/>
  <c r="D3" i="18" s="1"/>
  <c r="E3" i="3"/>
  <c r="E4" i="18" s="1"/>
  <c r="E3" i="18" s="1"/>
  <c r="F3" i="3"/>
  <c r="F4" i="18" s="1"/>
  <c r="F3" i="18" s="1"/>
  <c r="G3" i="3"/>
  <c r="G4" i="18" s="1"/>
  <c r="G3" i="18" s="1"/>
  <c r="H3" i="3"/>
  <c r="H4" i="18" s="1"/>
  <c r="H3" i="18" s="1"/>
  <c r="I3" i="3"/>
  <c r="I4" i="18" s="1"/>
  <c r="I3" i="18" s="1"/>
  <c r="J3" i="3"/>
  <c r="J4" i="18" s="1"/>
  <c r="J3" i="18" s="1"/>
  <c r="K3" i="3"/>
  <c r="K4" i="18" s="1"/>
  <c r="K3" i="18" s="1"/>
  <c r="L3" i="3"/>
  <c r="L4" i="18" s="1"/>
  <c r="M3" i="3"/>
  <c r="M4" i="18" s="1"/>
  <c r="N3" i="3"/>
  <c r="N4" i="18" s="1"/>
  <c r="O3" i="3"/>
  <c r="O4" i="18" s="1"/>
  <c r="P3" i="3"/>
  <c r="P4" i="18" s="1"/>
  <c r="Q3" i="3"/>
  <c r="Q4" i="18" s="1"/>
  <c r="R3" i="3"/>
  <c r="R4" i="18" s="1"/>
  <c r="S3" i="3"/>
  <c r="S4" i="18" s="1"/>
  <c r="T3" i="3"/>
  <c r="T4" i="18" s="1"/>
  <c r="U3" i="3"/>
  <c r="U4" i="18" s="1"/>
  <c r="V3" i="3"/>
  <c r="V4" i="18" s="1"/>
  <c r="W3" i="3"/>
  <c r="W4" i="18" s="1"/>
  <c r="X3" i="3"/>
  <c r="X4" i="18" s="1"/>
  <c r="Y3" i="3"/>
  <c r="Y4" i="18" s="1"/>
  <c r="Z3" i="3"/>
  <c r="Z4" i="18" s="1"/>
  <c r="AA3" i="3"/>
  <c r="AA4" i="18" s="1"/>
  <c r="AB3" i="3"/>
  <c r="AB4" i="18" s="1"/>
  <c r="AC3" i="3"/>
  <c r="AC4" i="18" s="1"/>
  <c r="AD3" i="3"/>
  <c r="AD4" i="18" s="1"/>
  <c r="AE3" i="3"/>
  <c r="AE4" i="18" s="1"/>
  <c r="AF3" i="3"/>
  <c r="AF4" i="18" s="1"/>
  <c r="AG3" i="3"/>
  <c r="AG4" i="18" s="1"/>
  <c r="AH3" i="3"/>
  <c r="AH4" i="18" s="1"/>
  <c r="AI3" i="3"/>
  <c r="AI4" i="18" s="1"/>
  <c r="AJ3" i="3"/>
  <c r="AJ4" i="18" s="1"/>
  <c r="AK3" i="3"/>
  <c r="AK4" i="18" s="1"/>
  <c r="AL3" i="3"/>
  <c r="AL4" i="18" s="1"/>
  <c r="AM3" i="3"/>
  <c r="AM4" i="18" s="1"/>
  <c r="AN3" i="3"/>
  <c r="AN4" i="18" s="1"/>
  <c r="AO3" i="3"/>
  <c r="AO4" i="18" s="1"/>
  <c r="AP3" i="3"/>
  <c r="AP4" i="18" s="1"/>
  <c r="AQ3" i="3"/>
  <c r="AQ4" i="18" s="1"/>
  <c r="AR3" i="3"/>
  <c r="AR4" i="18" s="1"/>
  <c r="AS3" i="3"/>
  <c r="AS4" i="18" s="1"/>
  <c r="AT3" i="3"/>
  <c r="AT4" i="18" s="1"/>
  <c r="AU3" i="3"/>
  <c r="AU4" i="18" s="1"/>
  <c r="AV3" i="3"/>
  <c r="AV4" i="18" s="1"/>
  <c r="AW3" i="3"/>
  <c r="AW4" i="18" s="1"/>
  <c r="AX3" i="3"/>
  <c r="AX4" i="18" s="1"/>
  <c r="AY3" i="3"/>
  <c r="AY4" i="18" s="1"/>
  <c r="AZ3" i="3"/>
  <c r="AZ4" i="18" s="1"/>
  <c r="CS119" i="2"/>
  <c r="CR119" i="2"/>
  <c r="CQ119" i="2"/>
  <c r="CP119" i="2"/>
  <c r="CO119" i="2"/>
  <c r="CN119" i="2"/>
  <c r="CM119" i="2"/>
  <c r="CL119" i="2"/>
  <c r="CK119" i="2"/>
  <c r="CJ119" i="2"/>
  <c r="CI119" i="2"/>
  <c r="CH119" i="2"/>
  <c r="CG119" i="2"/>
  <c r="CF119" i="2"/>
  <c r="CE119" i="2"/>
  <c r="CD119" i="2"/>
  <c r="CC119" i="2"/>
  <c r="CB119" i="2"/>
  <c r="CA119" i="2"/>
  <c r="BZ119" i="2"/>
  <c r="BY119" i="2"/>
  <c r="BX119" i="2"/>
  <c r="BW119" i="2"/>
  <c r="BV119" i="2"/>
  <c r="BU119" i="2"/>
  <c r="BT119" i="2"/>
  <c r="BS119" i="2"/>
  <c r="BR119" i="2"/>
  <c r="BQ119" i="2"/>
  <c r="BP119" i="2"/>
  <c r="BO119" i="2"/>
  <c r="BN119" i="2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CS118" i="2"/>
  <c r="CR118" i="2"/>
  <c r="CQ118" i="2"/>
  <c r="CP118" i="2"/>
  <c r="CO118" i="2"/>
  <c r="CN118" i="2"/>
  <c r="CM118" i="2"/>
  <c r="CL118" i="2"/>
  <c r="CK118" i="2"/>
  <c r="CJ118" i="2"/>
  <c r="CI118" i="2"/>
  <c r="CH118" i="2"/>
  <c r="CG118" i="2"/>
  <c r="CF118" i="2"/>
  <c r="CE118" i="2"/>
  <c r="CD118" i="2"/>
  <c r="CC118" i="2"/>
  <c r="CB118" i="2"/>
  <c r="CA118" i="2"/>
  <c r="BZ118" i="2"/>
  <c r="BY118" i="2"/>
  <c r="BX118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CS117" i="2"/>
  <c r="CR117" i="2"/>
  <c r="CQ117" i="2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CS87" i="2"/>
  <c r="CR87" i="2"/>
  <c r="CQ87" i="2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CS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0" i="2"/>
  <c r="AY78" i="2" s="1"/>
  <c r="AX50" i="2"/>
  <c r="AX78" i="2" s="1"/>
  <c r="AW50" i="2"/>
  <c r="AW78" i="2" s="1"/>
  <c r="AV50" i="2"/>
  <c r="AV78" i="2" s="1"/>
  <c r="AU50" i="2"/>
  <c r="AU78" i="2" s="1"/>
  <c r="AT50" i="2"/>
  <c r="AT78" i="2" s="1"/>
  <c r="AS50" i="2"/>
  <c r="AS78" i="2" s="1"/>
  <c r="AR50" i="2"/>
  <c r="AR78" i="2" s="1"/>
  <c r="AQ50" i="2"/>
  <c r="AQ78" i="2" s="1"/>
  <c r="AP50" i="2"/>
  <c r="AP78" i="2" s="1"/>
  <c r="AO50" i="2"/>
  <c r="AO78" i="2" s="1"/>
  <c r="AN50" i="2"/>
  <c r="AN78" i="2" s="1"/>
  <c r="AM50" i="2"/>
  <c r="AM78" i="2" s="1"/>
  <c r="AL50" i="2"/>
  <c r="AL78" i="2" s="1"/>
  <c r="AK50" i="2"/>
  <c r="AK78" i="2" s="1"/>
  <c r="AJ50" i="2"/>
  <c r="AJ78" i="2" s="1"/>
  <c r="AI50" i="2"/>
  <c r="AI78" i="2" s="1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CS16" i="2"/>
  <c r="DR158" i="18" l="1"/>
  <c r="DT161" i="13"/>
  <c r="DC120" i="15"/>
  <c r="BV108" i="12"/>
  <c r="BV137" i="11"/>
  <c r="BW108" i="12"/>
  <c r="DD120" i="15"/>
  <c r="BW137" i="11"/>
  <c r="CD27" i="3"/>
  <c r="CK27" i="3"/>
  <c r="CA27" i="3"/>
  <c r="EN128" i="18"/>
  <c r="EJ128" i="18"/>
  <c r="EG128" i="18"/>
  <c r="EF128" i="18"/>
  <c r="EL128" i="18"/>
  <c r="EH128" i="18"/>
  <c r="EK128" i="18"/>
  <c r="EO128" i="18"/>
  <c r="EM128" i="18"/>
  <c r="EQ128" i="18"/>
  <c r="EI128" i="18"/>
  <c r="EY28" i="14"/>
  <c r="FI28" i="14" s="1"/>
  <c r="CN33" i="3"/>
  <c r="CN27" i="3"/>
  <c r="BP27" i="3"/>
  <c r="BP33" i="3"/>
  <c r="CM27" i="3"/>
  <c r="BC27" i="3"/>
  <c r="CB27" i="3"/>
  <c r="CB33" i="3"/>
  <c r="CL27" i="3"/>
  <c r="CL33" i="3"/>
  <c r="EP28" i="3"/>
  <c r="EL28" i="3"/>
  <c r="BZ27" i="3"/>
  <c r="BZ33" i="3"/>
  <c r="BN27" i="3"/>
  <c r="BN33" i="3"/>
  <c r="EH28" i="3"/>
  <c r="BB27" i="3"/>
  <c r="BB33" i="3"/>
  <c r="BO27" i="3"/>
  <c r="BY33" i="3"/>
  <c r="BY27" i="3"/>
  <c r="BM33" i="3"/>
  <c r="BM27" i="3"/>
  <c r="BR33" i="3"/>
  <c r="BR27" i="3"/>
  <c r="CJ33" i="3"/>
  <c r="CJ27" i="3"/>
  <c r="BX33" i="3"/>
  <c r="BX27" i="3"/>
  <c r="BL33" i="3"/>
  <c r="BL27" i="3"/>
  <c r="CO27" i="3"/>
  <c r="CO33" i="3"/>
  <c r="EQ28" i="3"/>
  <c r="CC27" i="3"/>
  <c r="CC33" i="3"/>
  <c r="EM28" i="3"/>
  <c r="BQ27" i="3"/>
  <c r="EI28" i="3"/>
  <c r="BD27" i="3"/>
  <c r="BD33" i="3"/>
  <c r="CI33" i="3"/>
  <c r="CI27" i="3"/>
  <c r="EO28" i="3"/>
  <c r="EK28" i="3"/>
  <c r="BW33" i="3"/>
  <c r="BW27" i="3"/>
  <c r="EG28" i="3"/>
  <c r="BK27" i="3"/>
  <c r="CT33" i="3"/>
  <c r="CT27" i="3"/>
  <c r="CT55" i="18" s="1"/>
  <c r="CT54" i="18" s="1"/>
  <c r="CH33" i="3"/>
  <c r="CH27" i="3"/>
  <c r="BV33" i="3"/>
  <c r="BV27" i="3"/>
  <c r="BJ33" i="3"/>
  <c r="BJ27" i="3"/>
  <c r="BF33" i="3"/>
  <c r="BF27" i="3"/>
  <c r="BE27" i="3"/>
  <c r="BE33" i="3"/>
  <c r="CS33" i="3"/>
  <c r="CS27" i="3"/>
  <c r="CG27" i="3"/>
  <c r="BU27" i="3"/>
  <c r="BI33" i="3"/>
  <c r="BI27" i="3"/>
  <c r="CK138" i="11"/>
  <c r="DQ288" i="2"/>
  <c r="ER28" i="3"/>
  <c r="CR27" i="3"/>
  <c r="CR33" i="3"/>
  <c r="CF33" i="3"/>
  <c r="CF27" i="3"/>
  <c r="EN28" i="3"/>
  <c r="EJ28" i="3"/>
  <c r="BT33" i="3"/>
  <c r="BT27" i="3"/>
  <c r="BH33" i="3"/>
  <c r="BH27" i="3"/>
  <c r="CP27" i="3"/>
  <c r="CP33" i="3"/>
  <c r="CQ27" i="3"/>
  <c r="CE27" i="3"/>
  <c r="CE33" i="3"/>
  <c r="BS33" i="3"/>
  <c r="BS27" i="3"/>
  <c r="BG33" i="3"/>
  <c r="BG27" i="3"/>
  <c r="CH291" i="2"/>
  <c r="DS44" i="18"/>
  <c r="DT15" i="14"/>
  <c r="DT81" i="18"/>
  <c r="DT13" i="18"/>
  <c r="DT44" i="18" s="1"/>
  <c r="DS344" i="2"/>
  <c r="DS28" i="14"/>
  <c r="DS15" i="14"/>
  <c r="DS345" i="2"/>
  <c r="DS29" i="14"/>
  <c r="EY158" i="18"/>
  <c r="DT110" i="13"/>
  <c r="DR160" i="18"/>
  <c r="EY160" i="18" s="1"/>
  <c r="DT104" i="13"/>
  <c r="DR119" i="15"/>
  <c r="EP147" i="7"/>
  <c r="EZ147" i="7" s="1"/>
  <c r="DG380" i="2"/>
  <c r="DG426" i="2" s="1"/>
  <c r="DV526" i="2"/>
  <c r="DU513" i="2"/>
  <c r="DR330" i="2"/>
  <c r="DS6" i="14" s="1"/>
  <c r="DR361" i="2"/>
  <c r="DR357" i="2"/>
  <c r="DR45" i="14"/>
  <c r="EY45" i="14" s="1"/>
  <c r="EY43" i="14" s="1"/>
  <c r="DR367" i="2"/>
  <c r="DS312" i="2"/>
  <c r="DJ147" i="7"/>
  <c r="DS119" i="15" s="1"/>
  <c r="DR26" i="14"/>
  <c r="DR148" i="18" s="1"/>
  <c r="EY148" i="18" s="1"/>
  <c r="FI148" i="18" s="1"/>
  <c r="DL42" i="14"/>
  <c r="DT343" i="2"/>
  <c r="DU27" i="14" s="1"/>
  <c r="EZ27" i="14" s="1"/>
  <c r="DR342" i="2"/>
  <c r="DR347" i="2" s="1"/>
  <c r="DU10" i="14"/>
  <c r="EZ10" i="14" s="1"/>
  <c r="DS333" i="2"/>
  <c r="DA176" i="18"/>
  <c r="DA175" i="18" s="1"/>
  <c r="FA103" i="3"/>
  <c r="CT217" i="2"/>
  <c r="DB176" i="18"/>
  <c r="DB175" i="18" s="1"/>
  <c r="DB190" i="18" s="1"/>
  <c r="DB189" i="18" s="1"/>
  <c r="FB103" i="3"/>
  <c r="DC176" i="18"/>
  <c r="FC103" i="3"/>
  <c r="DD176" i="18"/>
  <c r="FD103" i="3"/>
  <c r="DG176" i="18"/>
  <c r="FK103" i="3"/>
  <c r="FI51" i="3"/>
  <c r="EW33" i="14"/>
  <c r="EW34" i="14" s="1"/>
  <c r="DL169" i="18"/>
  <c r="EW169" i="18" s="1"/>
  <c r="CP778" i="2"/>
  <c r="EP244" i="18"/>
  <c r="DL778" i="2"/>
  <c r="DM244" i="18" s="1"/>
  <c r="CZ778" i="2"/>
  <c r="DA244" i="18" s="1"/>
  <c r="EO244" i="18"/>
  <c r="CM778" i="2"/>
  <c r="CA778" i="2"/>
  <c r="EK244" i="18"/>
  <c r="BO778" i="2"/>
  <c r="EG244" i="18"/>
  <c r="CD778" i="2"/>
  <c r="EL244" i="18"/>
  <c r="DJ778" i="2"/>
  <c r="DK244" i="18" s="1"/>
  <c r="CX778" i="2"/>
  <c r="CY244" i="18" s="1"/>
  <c r="DI778" i="2"/>
  <c r="DJ244" i="18" s="1"/>
  <c r="CW778" i="2"/>
  <c r="CX244" i="18" s="1"/>
  <c r="DG778" i="2"/>
  <c r="DH244" i="18" s="1"/>
  <c r="CU778" i="2"/>
  <c r="CV244" i="18" s="1"/>
  <c r="DF778" i="2"/>
  <c r="DG244" i="18" s="1"/>
  <c r="CT778" i="2"/>
  <c r="CU244" i="18" s="1"/>
  <c r="CJ778" i="2"/>
  <c r="EN244" i="18"/>
  <c r="BX778" i="2"/>
  <c r="EJ244" i="18"/>
  <c r="EF244" i="18"/>
  <c r="BL778" i="2"/>
  <c r="EQ244" i="18"/>
  <c r="FG244" i="18" s="1"/>
  <c r="CS778" i="2"/>
  <c r="EM244" i="18"/>
  <c r="FF244" i="18" s="1"/>
  <c r="CG778" i="2"/>
  <c r="EI244" i="18"/>
  <c r="FE244" i="18" s="1"/>
  <c r="BU778" i="2"/>
  <c r="DM778" i="2"/>
  <c r="DN244" i="18" s="1"/>
  <c r="DA778" i="2"/>
  <c r="DB244" i="18" s="1"/>
  <c r="DP778" i="2"/>
  <c r="DQ244" i="18" s="1"/>
  <c r="DD778" i="2"/>
  <c r="DE244" i="18" s="1"/>
  <c r="DO778" i="2"/>
  <c r="DP244" i="18" s="1"/>
  <c r="DC778" i="2"/>
  <c r="DD244" i="18" s="1"/>
  <c r="BR778" i="2"/>
  <c r="EH244" i="18"/>
  <c r="EG158" i="18"/>
  <c r="EK158" i="18"/>
  <c r="ER158" i="18"/>
  <c r="ET158" i="18"/>
  <c r="EX158" i="18"/>
  <c r="ES132" i="15"/>
  <c r="CB156" i="13"/>
  <c r="BU118" i="11"/>
  <c r="BV95" i="12"/>
  <c r="DM95" i="12" s="1"/>
  <c r="BV94" i="12"/>
  <c r="BV97" i="12"/>
  <c r="DM97" i="12" s="1"/>
  <c r="DC67" i="18"/>
  <c r="DT137" i="13"/>
  <c r="DT138" i="13"/>
  <c r="EF158" i="18"/>
  <c r="EH158" i="18"/>
  <c r="EI158" i="18"/>
  <c r="EJ158" i="18"/>
  <c r="EL158" i="18"/>
  <c r="EM158" i="18"/>
  <c r="EN158" i="18"/>
  <c r="EP158" i="18"/>
  <c r="EQ158" i="18"/>
  <c r="ES158" i="18"/>
  <c r="EU158" i="18"/>
  <c r="EV158" i="18"/>
  <c r="EW158" i="18"/>
  <c r="EO158" i="18"/>
  <c r="DN21" i="14"/>
  <c r="EJ157" i="18"/>
  <c r="EQ161" i="18"/>
  <c r="EI161" i="18"/>
  <c r="EQ160" i="18"/>
  <c r="EJ129" i="18"/>
  <c r="ER160" i="18"/>
  <c r="EJ160" i="18"/>
  <c r="EK24" i="18"/>
  <c r="EL131" i="18"/>
  <c r="EL129" i="18"/>
  <c r="EN161" i="18"/>
  <c r="EF161" i="18"/>
  <c r="EV160" i="18"/>
  <c r="EN160" i="18"/>
  <c r="EF160" i="18"/>
  <c r="EV157" i="18"/>
  <c r="EG127" i="18"/>
  <c r="EG157" i="18"/>
  <c r="DM24" i="14"/>
  <c r="EN131" i="18"/>
  <c r="EN129" i="18"/>
  <c r="EW157" i="18"/>
  <c r="EO157" i="18"/>
  <c r="EI160" i="18"/>
  <c r="EN157" i="18"/>
  <c r="EF157" i="18"/>
  <c r="EF131" i="18"/>
  <c r="EF129" i="18"/>
  <c r="EF127" i="18"/>
  <c r="EM160" i="18"/>
  <c r="EU157" i="18"/>
  <c r="EM157" i="18"/>
  <c r="EM24" i="18"/>
  <c r="EN127" i="18"/>
  <c r="ER157" i="18"/>
  <c r="DM34" i="14"/>
  <c r="DM42" i="14"/>
  <c r="EO24" i="18"/>
  <c r="EG24" i="18"/>
  <c r="EP131" i="18"/>
  <c r="EH131" i="18"/>
  <c r="EP129" i="18"/>
  <c r="EH129" i="18"/>
  <c r="EP127" i="18"/>
  <c r="EH127" i="18"/>
  <c r="CF175" i="18"/>
  <c r="EM176" i="18"/>
  <c r="EY176" i="18"/>
  <c r="EP161" i="18"/>
  <c r="EH161" i="18"/>
  <c r="EX160" i="18"/>
  <c r="EP160" i="18"/>
  <c r="EH160" i="18"/>
  <c r="EX157" i="18"/>
  <c r="EP157" i="18"/>
  <c r="EH157" i="18"/>
  <c r="BU82" i="12"/>
  <c r="BS147" i="11"/>
  <c r="DL147" i="11" s="1"/>
  <c r="DL132" i="11"/>
  <c r="EM131" i="18"/>
  <c r="EM129" i="18"/>
  <c r="EM127" i="18"/>
  <c r="BW175" i="18"/>
  <c r="EJ176" i="18"/>
  <c r="EM161" i="18"/>
  <c r="EU160" i="18"/>
  <c r="BV52" i="11"/>
  <c r="DM52" i="11" s="1"/>
  <c r="DT76" i="13"/>
  <c r="DU17" i="13"/>
  <c r="EH17" i="13" s="1"/>
  <c r="EI24" i="18"/>
  <c r="EJ131" i="18"/>
  <c r="EJ127" i="18"/>
  <c r="CL175" i="18"/>
  <c r="EO176" i="18"/>
  <c r="BN175" i="18"/>
  <c r="EG176" i="18"/>
  <c r="EW176" i="18"/>
  <c r="EJ161" i="18"/>
  <c r="FI10" i="14"/>
  <c r="FI15" i="14" s="1"/>
  <c r="EY15" i="14"/>
  <c r="DR109" i="12"/>
  <c r="EB109" i="12" s="1"/>
  <c r="DN20" i="11"/>
  <c r="EA20" i="11" s="1"/>
  <c r="EL24" i="18"/>
  <c r="EN24" i="18"/>
  <c r="EF24" i="18"/>
  <c r="EO131" i="18"/>
  <c r="EG131" i="18"/>
  <c r="EO129" i="18"/>
  <c r="EG129" i="18"/>
  <c r="EO127" i="18"/>
  <c r="CC175" i="18"/>
  <c r="EL176" i="18"/>
  <c r="CU175" i="18"/>
  <c r="ER175" i="18" s="1"/>
  <c r="ER176" i="18"/>
  <c r="EO161" i="18"/>
  <c r="EG161" i="18"/>
  <c r="EW160" i="18"/>
  <c r="EO160" i="18"/>
  <c r="EG160" i="18"/>
  <c r="BZ4" i="12"/>
  <c r="BZ12" i="11"/>
  <c r="BU98" i="11"/>
  <c r="CD77" i="13"/>
  <c r="BT132" i="11"/>
  <c r="BV53" i="11"/>
  <c r="DT77" i="13"/>
  <c r="CC131" i="13"/>
  <c r="CC125" i="13"/>
  <c r="EL127" i="18"/>
  <c r="CR175" i="18"/>
  <c r="EQ176" i="18"/>
  <c r="BT175" i="18"/>
  <c r="EI176" i="18"/>
  <c r="EL161" i="18"/>
  <c r="ET160" i="18"/>
  <c r="EL160" i="18"/>
  <c r="ET157" i="18"/>
  <c r="EL157" i="18"/>
  <c r="CE87" i="13"/>
  <c r="EP24" i="18"/>
  <c r="EH24" i="18"/>
  <c r="EQ131" i="18"/>
  <c r="EI131" i="18"/>
  <c r="EQ129" i="18"/>
  <c r="EI129" i="18"/>
  <c r="EQ127" i="18"/>
  <c r="EI127" i="18"/>
  <c r="CI175" i="18"/>
  <c r="EN176" i="18"/>
  <c r="BK175" i="18"/>
  <c r="EF176" i="18"/>
  <c r="EX176" i="18"/>
  <c r="EY157" i="18"/>
  <c r="EQ157" i="18"/>
  <c r="EI157" i="18"/>
  <c r="CA18" i="11"/>
  <c r="EW74" i="18"/>
  <c r="BZ175" i="18"/>
  <c r="EK176" i="18"/>
  <c r="CX175" i="18"/>
  <c r="ES175" i="18" s="1"/>
  <c r="ES176" i="18"/>
  <c r="EW113" i="18"/>
  <c r="EJ24" i="18"/>
  <c r="EK131" i="18"/>
  <c r="EK129" i="18"/>
  <c r="EK127" i="18"/>
  <c r="CO175" i="18"/>
  <c r="EP176" i="18"/>
  <c r="BQ175" i="18"/>
  <c r="EH176" i="18"/>
  <c r="EK161" i="18"/>
  <c r="ES160" i="18"/>
  <c r="EK160" i="18"/>
  <c r="ES157" i="18"/>
  <c r="EK157" i="18"/>
  <c r="DS168" i="13"/>
  <c r="DM74" i="18"/>
  <c r="BZ31" i="11"/>
  <c r="EW139" i="18"/>
  <c r="BZ30" i="11"/>
  <c r="CC5" i="15"/>
  <c r="EC3" i="7"/>
  <c r="BN5" i="15"/>
  <c r="EG5" i="15" s="1"/>
  <c r="DX3" i="7"/>
  <c r="CL5" i="15"/>
  <c r="CL23" i="15" s="1"/>
  <c r="EF3" i="7"/>
  <c r="BW5" i="15"/>
  <c r="EA3" i="7"/>
  <c r="CF5" i="15"/>
  <c r="ED3" i="7"/>
  <c r="BQ5" i="15"/>
  <c r="DY3" i="7"/>
  <c r="CO5" i="15"/>
  <c r="EG3" i="7"/>
  <c r="BZ5" i="15"/>
  <c r="EB3" i="7"/>
  <c r="BK5" i="15"/>
  <c r="DW3" i="7"/>
  <c r="CI5" i="15"/>
  <c r="EN5" i="15" s="1"/>
  <c r="EE3" i="7"/>
  <c r="BT5" i="15"/>
  <c r="DZ3" i="7"/>
  <c r="CR5" i="15"/>
  <c r="EH3" i="7"/>
  <c r="DN33" i="11"/>
  <c r="EA33" i="11" s="1"/>
  <c r="DN24" i="14"/>
  <c r="DM169" i="18"/>
  <c r="DP49" i="18"/>
  <c r="DP57" i="18"/>
  <c r="DM21" i="14"/>
  <c r="DN33" i="14"/>
  <c r="DM113" i="18"/>
  <c r="EY27" i="14"/>
  <c r="FI27" i="14" s="1"/>
  <c r="DM104" i="18"/>
  <c r="CN195" i="18"/>
  <c r="BX195" i="18"/>
  <c r="BP195" i="18"/>
  <c r="BH195" i="18"/>
  <c r="AZ195" i="18"/>
  <c r="AR195" i="18"/>
  <c r="AJ195" i="18"/>
  <c r="AB195" i="18"/>
  <c r="T195" i="18"/>
  <c r="D190" i="18"/>
  <c r="D189" i="18" s="1"/>
  <c r="CZ190" i="18"/>
  <c r="CZ189" i="18" s="1"/>
  <c r="DG19" i="15"/>
  <c r="BZ24" i="11"/>
  <c r="DF28" i="15"/>
  <c r="DN6" i="18"/>
  <c r="DN37" i="18"/>
  <c r="DN74" i="18"/>
  <c r="CM195" i="18"/>
  <c r="CE195" i="18"/>
  <c r="BO195" i="18"/>
  <c r="BG195" i="18"/>
  <c r="AY195" i="18"/>
  <c r="AQ195" i="18"/>
  <c r="AI195" i="18"/>
  <c r="AA195" i="18"/>
  <c r="S195" i="18"/>
  <c r="K190" i="18"/>
  <c r="K189" i="18" s="1"/>
  <c r="C190" i="18"/>
  <c r="C189" i="18" s="1"/>
  <c r="CD195" i="18"/>
  <c r="BV195" i="18"/>
  <c r="BF195" i="18"/>
  <c r="AX195" i="18"/>
  <c r="AP195" i="18"/>
  <c r="AH195" i="18"/>
  <c r="Z195" i="18"/>
  <c r="R195" i="18"/>
  <c r="J190" i="18"/>
  <c r="J189" i="18" s="1"/>
  <c r="CT195" i="18"/>
  <c r="DR15" i="14"/>
  <c r="DR81" i="18"/>
  <c r="EY81" i="18" s="1"/>
  <c r="FI81" i="18" s="1"/>
  <c r="G23" i="24" s="1"/>
  <c r="DR13" i="18"/>
  <c r="DR44" i="18" s="1"/>
  <c r="EY44" i="18" s="1"/>
  <c r="FI44" i="18" s="1"/>
  <c r="DF15" i="15"/>
  <c r="DF24" i="15" s="1"/>
  <c r="DE24" i="15"/>
  <c r="AS18" i="3"/>
  <c r="AS11" i="18"/>
  <c r="AK18" i="3"/>
  <c r="AK11" i="18"/>
  <c r="AK42" i="18" s="1"/>
  <c r="AC18" i="3"/>
  <c r="AC11" i="18"/>
  <c r="AC42" i="18" s="1"/>
  <c r="U18" i="3"/>
  <c r="U11" i="18"/>
  <c r="U42" i="18" s="1"/>
  <c r="M18" i="3"/>
  <c r="M11" i="18"/>
  <c r="M42" i="18" s="1"/>
  <c r="E18" i="3"/>
  <c r="E11" i="18"/>
  <c r="E42" i="18" s="1"/>
  <c r="AZ18" i="3"/>
  <c r="AZ11" i="18"/>
  <c r="AR18" i="3"/>
  <c r="AR11" i="18"/>
  <c r="AJ18" i="3"/>
  <c r="AJ11" i="18"/>
  <c r="AJ42" i="18" s="1"/>
  <c r="AB18" i="3"/>
  <c r="AB11" i="18"/>
  <c r="AB42" i="18" s="1"/>
  <c r="T18" i="3"/>
  <c r="T11" i="18"/>
  <c r="T42" i="18" s="1"/>
  <c r="L18" i="3"/>
  <c r="L11" i="18"/>
  <c r="L42" i="18" s="1"/>
  <c r="D18" i="3"/>
  <c r="D11" i="18"/>
  <c r="D42" i="18" s="1"/>
  <c r="AX18" i="3"/>
  <c r="AX11" i="18"/>
  <c r="AP18" i="3"/>
  <c r="AP11" i="18"/>
  <c r="AH18" i="3"/>
  <c r="AH11" i="18"/>
  <c r="AH42" i="18" s="1"/>
  <c r="Z18" i="3"/>
  <c r="Z11" i="18"/>
  <c r="Z42" i="18" s="1"/>
  <c r="R18" i="3"/>
  <c r="R11" i="18"/>
  <c r="R42" i="18" s="1"/>
  <c r="J18" i="3"/>
  <c r="J11" i="18"/>
  <c r="J42" i="18" s="1"/>
  <c r="CS195" i="18"/>
  <c r="CK195" i="18"/>
  <c r="BU195" i="18"/>
  <c r="BM195" i="18"/>
  <c r="BE195" i="18"/>
  <c r="AW195" i="18"/>
  <c r="AO195" i="18"/>
  <c r="AG195" i="18"/>
  <c r="Y195" i="18"/>
  <c r="Q195" i="18"/>
  <c r="I190" i="18"/>
  <c r="I189" i="18" s="1"/>
  <c r="AY18" i="3"/>
  <c r="AY11" i="18"/>
  <c r="AQ18" i="3"/>
  <c r="AQ11" i="18"/>
  <c r="AI18" i="3"/>
  <c r="AI11" i="18"/>
  <c r="AI42" i="18" s="1"/>
  <c r="AA18" i="3"/>
  <c r="AA11" i="18"/>
  <c r="AA42" i="18" s="1"/>
  <c r="S18" i="3"/>
  <c r="S11" i="18"/>
  <c r="S42" i="18" s="1"/>
  <c r="K18" i="3"/>
  <c r="K11" i="18"/>
  <c r="K42" i="18" s="1"/>
  <c r="C18" i="3"/>
  <c r="C11" i="18"/>
  <c r="C42" i="18" s="1"/>
  <c r="AW18" i="3"/>
  <c r="AW11" i="18"/>
  <c r="AO18" i="3"/>
  <c r="AO11" i="18"/>
  <c r="AG18" i="3"/>
  <c r="AG11" i="18"/>
  <c r="AG42" i="18" s="1"/>
  <c r="Y18" i="3"/>
  <c r="Y11" i="18"/>
  <c r="Y42" i="18" s="1"/>
  <c r="Q18" i="3"/>
  <c r="Q11" i="18"/>
  <c r="Q42" i="18" s="1"/>
  <c r="I18" i="3"/>
  <c r="I11" i="18"/>
  <c r="I42" i="18" s="1"/>
  <c r="CJ195" i="18"/>
  <c r="CB195" i="18"/>
  <c r="BL195" i="18"/>
  <c r="BD195" i="18"/>
  <c r="AV195" i="18"/>
  <c r="AN195" i="18"/>
  <c r="AF195" i="18"/>
  <c r="X195" i="18"/>
  <c r="H190" i="18"/>
  <c r="H189" i="18" s="1"/>
  <c r="CV190" i="18"/>
  <c r="CV189" i="18" s="1"/>
  <c r="AV18" i="3"/>
  <c r="AV11" i="18"/>
  <c r="AN18" i="3"/>
  <c r="AN11" i="18"/>
  <c r="AF18" i="3"/>
  <c r="AF11" i="18"/>
  <c r="AF42" i="18" s="1"/>
  <c r="X18" i="3"/>
  <c r="X11" i="18"/>
  <c r="X42" i="18" s="1"/>
  <c r="P18" i="3"/>
  <c r="P11" i="18"/>
  <c r="P42" i="18" s="1"/>
  <c r="H18" i="3"/>
  <c r="H11" i="18"/>
  <c r="H42" i="18" s="1"/>
  <c r="CQ195" i="18"/>
  <c r="CA195" i="18"/>
  <c r="BS195" i="18"/>
  <c r="BC195" i="18"/>
  <c r="AU195" i="18"/>
  <c r="AM195" i="18"/>
  <c r="AE195" i="18"/>
  <c r="W195" i="18"/>
  <c r="G190" i="18"/>
  <c r="G189" i="18" s="1"/>
  <c r="CW190" i="18"/>
  <c r="CW189" i="18" s="1"/>
  <c r="DO9" i="14"/>
  <c r="DO49" i="18"/>
  <c r="EX49" i="18" s="1"/>
  <c r="AU18" i="3"/>
  <c r="AU11" i="18"/>
  <c r="AM18" i="3"/>
  <c r="AM11" i="18"/>
  <c r="AE18" i="3"/>
  <c r="AE11" i="18"/>
  <c r="AE42" i="18" s="1"/>
  <c r="W18" i="3"/>
  <c r="W11" i="18"/>
  <c r="W42" i="18" s="1"/>
  <c r="O18" i="3"/>
  <c r="O11" i="18"/>
  <c r="O42" i="18" s="1"/>
  <c r="G18" i="3"/>
  <c r="G11" i="18"/>
  <c r="G42" i="18" s="1"/>
  <c r="CP195" i="18"/>
  <c r="CH195" i="18"/>
  <c r="BR195" i="18"/>
  <c r="BJ195" i="18"/>
  <c r="BB195" i="18"/>
  <c r="AT195" i="18"/>
  <c r="AL195" i="18"/>
  <c r="AD195" i="18"/>
  <c r="V195" i="18"/>
  <c r="F190" i="18"/>
  <c r="F189" i="18" s="1"/>
  <c r="CD62" i="13"/>
  <c r="BW45" i="11"/>
  <c r="DB93" i="15"/>
  <c r="DB114" i="15" s="1"/>
  <c r="DK50" i="14"/>
  <c r="DK43" i="14"/>
  <c r="CC74" i="13"/>
  <c r="DT74" i="13" s="1"/>
  <c r="AT18" i="3"/>
  <c r="AT11" i="18"/>
  <c r="AL18" i="3"/>
  <c r="AL11" i="18"/>
  <c r="AL42" i="18" s="1"/>
  <c r="AD18" i="3"/>
  <c r="AD11" i="18"/>
  <c r="AD42" i="18" s="1"/>
  <c r="V18" i="3"/>
  <c r="V11" i="18"/>
  <c r="V42" i="18" s="1"/>
  <c r="N18" i="3"/>
  <c r="N11" i="18"/>
  <c r="N42" i="18" s="1"/>
  <c r="F18" i="3"/>
  <c r="F11" i="18"/>
  <c r="F42" i="18" s="1"/>
  <c r="CG195" i="18"/>
  <c r="BY195" i="18"/>
  <c r="BI195" i="18"/>
  <c r="BA195" i="18"/>
  <c r="AS195" i="18"/>
  <c r="AK195" i="18"/>
  <c r="AC190" i="18"/>
  <c r="AC189" i="18" s="1"/>
  <c r="U195" i="18"/>
  <c r="E190" i="18"/>
  <c r="E189" i="18" s="1"/>
  <c r="CY190" i="18"/>
  <c r="CY189" i="18" s="1"/>
  <c r="CD80" i="13"/>
  <c r="CD76" i="13"/>
  <c r="DD39" i="15"/>
  <c r="CB122" i="13"/>
  <c r="BU89" i="11"/>
  <c r="CJ15" i="3"/>
  <c r="CJ23" i="18" s="1"/>
  <c r="CJ25" i="18" s="1"/>
  <c r="BX15" i="3"/>
  <c r="BX23" i="18" s="1"/>
  <c r="BX25" i="18" s="1"/>
  <c r="BL15" i="3"/>
  <c r="BL23" i="18" s="1"/>
  <c r="BL25" i="18" s="1"/>
  <c r="BV58" i="12"/>
  <c r="DO327" i="2"/>
  <c r="DO3" i="14"/>
  <c r="EX3" i="14" s="1"/>
  <c r="CS15" i="3"/>
  <c r="CS23" i="18" s="1"/>
  <c r="CS25" i="18" s="1"/>
  <c r="CG15" i="3"/>
  <c r="CG23" i="18" s="1"/>
  <c r="CG25" i="18" s="1"/>
  <c r="BU15" i="3"/>
  <c r="BU23" i="18" s="1"/>
  <c r="BU25" i="18" s="1"/>
  <c r="BI15" i="3"/>
  <c r="BI23" i="18" s="1"/>
  <c r="BI25" i="18" s="1"/>
  <c r="CI15" i="3"/>
  <c r="CI23" i="18" s="1"/>
  <c r="BW15" i="3"/>
  <c r="BW23" i="18" s="1"/>
  <c r="BK15" i="3"/>
  <c r="BK23" i="18" s="1"/>
  <c r="CG3" i="13"/>
  <c r="DG6" i="15"/>
  <c r="DC496" i="2"/>
  <c r="CD110" i="13" s="1"/>
  <c r="DC570" i="2"/>
  <c r="CP15" i="3"/>
  <c r="CP23" i="18" s="1"/>
  <c r="CP25" i="18" s="1"/>
  <c r="CD15" i="3"/>
  <c r="CD23" i="18" s="1"/>
  <c r="CD25" i="18" s="1"/>
  <c r="BR15" i="3"/>
  <c r="BR23" i="18" s="1"/>
  <c r="BR25" i="18" s="1"/>
  <c r="BF15" i="3"/>
  <c r="BF23" i="18" s="1"/>
  <c r="BF25" i="18" s="1"/>
  <c r="CO15" i="3"/>
  <c r="CO23" i="18" s="1"/>
  <c r="CC15" i="3"/>
  <c r="CC23" i="18" s="1"/>
  <c r="BQ15" i="3"/>
  <c r="BQ23" i="18" s="1"/>
  <c r="BE15" i="3"/>
  <c r="BE23" i="18" s="1"/>
  <c r="BE25" i="18" s="1"/>
  <c r="CN15" i="3"/>
  <c r="CN23" i="18" s="1"/>
  <c r="CN25" i="18" s="1"/>
  <c r="CB15" i="3"/>
  <c r="CB23" i="18" s="1"/>
  <c r="CB25" i="18" s="1"/>
  <c r="BP15" i="3"/>
  <c r="BP23" i="18" s="1"/>
  <c r="BP25" i="18" s="1"/>
  <c r="BD15" i="3"/>
  <c r="BD23" i="18" s="1"/>
  <c r="BD25" i="18" s="1"/>
  <c r="CM15" i="3"/>
  <c r="CM23" i="18" s="1"/>
  <c r="CM25" i="18" s="1"/>
  <c r="CA15" i="3"/>
  <c r="CA23" i="18" s="1"/>
  <c r="CA25" i="18" s="1"/>
  <c r="BO15" i="3"/>
  <c r="BO23" i="18" s="1"/>
  <c r="BO25" i="18" s="1"/>
  <c r="BC15" i="3"/>
  <c r="BC23" i="18" s="1"/>
  <c r="BC25" i="18" s="1"/>
  <c r="CL15" i="3"/>
  <c r="CL23" i="18" s="1"/>
  <c r="BZ15" i="3"/>
  <c r="BZ23" i="18" s="1"/>
  <c r="BN15" i="3"/>
  <c r="BN23" i="18" s="1"/>
  <c r="BB15" i="3"/>
  <c r="BB23" i="18" s="1"/>
  <c r="BB25" i="18" s="1"/>
  <c r="CK15" i="3"/>
  <c r="CK23" i="18" s="1"/>
  <c r="CK25" i="18" s="1"/>
  <c r="BY15" i="3"/>
  <c r="BY23" i="18" s="1"/>
  <c r="BY25" i="18" s="1"/>
  <c r="BM15" i="3"/>
  <c r="BM23" i="18" s="1"/>
  <c r="BM25" i="18" s="1"/>
  <c r="BA15" i="3"/>
  <c r="BA23" i="18" s="1"/>
  <c r="BA25" i="18" s="1"/>
  <c r="CT15" i="3"/>
  <c r="CT23" i="18" s="1"/>
  <c r="CH15" i="3"/>
  <c r="CH23" i="18" s="1"/>
  <c r="CH25" i="18" s="1"/>
  <c r="BV15" i="3"/>
  <c r="BV23" i="18" s="1"/>
  <c r="BV25" i="18" s="1"/>
  <c r="BJ15" i="3"/>
  <c r="BJ23" i="18" s="1"/>
  <c r="BJ25" i="18" s="1"/>
  <c r="CF15" i="3"/>
  <c r="CF23" i="18" s="1"/>
  <c r="BT15" i="3"/>
  <c r="BT23" i="18" s="1"/>
  <c r="BH15" i="3"/>
  <c r="BH23" i="18" s="1"/>
  <c r="BH25" i="18" s="1"/>
  <c r="CR15" i="3"/>
  <c r="CR23" i="18" s="1"/>
  <c r="CQ15" i="3"/>
  <c r="CQ23" i="18" s="1"/>
  <c r="CQ25" i="18" s="1"/>
  <c r="CE15" i="3"/>
  <c r="CE23" i="18" s="1"/>
  <c r="CE25" i="18" s="1"/>
  <c r="BS15" i="3"/>
  <c r="BS23" i="18" s="1"/>
  <c r="BS25" i="18" s="1"/>
  <c r="BG15" i="3"/>
  <c r="BG23" i="18" s="1"/>
  <c r="BG25" i="18" s="1"/>
  <c r="CC103" i="13"/>
  <c r="DT103" i="13" s="1"/>
  <c r="Z3" i="15"/>
  <c r="Z5" i="18" s="1"/>
  <c r="Z3" i="18" s="1"/>
  <c r="Z23" i="15"/>
  <c r="R3" i="15"/>
  <c r="R5" i="18" s="1"/>
  <c r="R3" i="18" s="1"/>
  <c r="R23" i="15"/>
  <c r="AD3" i="15"/>
  <c r="AD5" i="18" s="1"/>
  <c r="AD3" i="18" s="1"/>
  <c r="AD23" i="15"/>
  <c r="AP3" i="15"/>
  <c r="AP5" i="18" s="1"/>
  <c r="AP3" i="18" s="1"/>
  <c r="AP23" i="15"/>
  <c r="BB3" i="15"/>
  <c r="BB5" i="18" s="1"/>
  <c r="BB23" i="15"/>
  <c r="BZ7" i="12"/>
  <c r="DG10" i="15"/>
  <c r="AX3" i="15"/>
  <c r="AX5" i="18" s="1"/>
  <c r="AX3" i="18" s="1"/>
  <c r="AX23" i="15"/>
  <c r="AM3" i="15"/>
  <c r="AM5" i="18" s="1"/>
  <c r="AM3" i="18" s="1"/>
  <c r="AM23" i="15"/>
  <c r="S3" i="15"/>
  <c r="S5" i="18" s="1"/>
  <c r="S3" i="18" s="1"/>
  <c r="S23" i="15"/>
  <c r="AE3" i="15"/>
  <c r="AE5" i="18" s="1"/>
  <c r="AE3" i="18" s="1"/>
  <c r="AE23" i="15"/>
  <c r="AQ3" i="15"/>
  <c r="AQ5" i="18" s="1"/>
  <c r="AQ3" i="18" s="1"/>
  <c r="AQ23" i="15"/>
  <c r="BC3" i="15"/>
  <c r="BC5" i="18" s="1"/>
  <c r="BC23" i="15"/>
  <c r="BO3" i="15"/>
  <c r="BO5" i="18" s="1"/>
  <c r="BO23" i="15"/>
  <c r="CA3" i="15"/>
  <c r="CA5" i="18" s="1"/>
  <c r="CA23" i="15"/>
  <c r="CM3" i="15"/>
  <c r="CM5" i="18" s="1"/>
  <c r="CM23" i="15"/>
  <c r="O3" i="15"/>
  <c r="O5" i="18" s="1"/>
  <c r="O3" i="18" s="1"/>
  <c r="O23" i="15"/>
  <c r="T3" i="15"/>
  <c r="T5" i="18" s="1"/>
  <c r="T3" i="18" s="1"/>
  <c r="T23" i="15"/>
  <c r="AF3" i="15"/>
  <c r="AF5" i="18" s="1"/>
  <c r="AF3" i="18" s="1"/>
  <c r="AF23" i="15"/>
  <c r="AR3" i="15"/>
  <c r="AR5" i="18" s="1"/>
  <c r="AR3" i="18" s="1"/>
  <c r="AR23" i="15"/>
  <c r="BD3" i="15"/>
  <c r="BD5" i="18" s="1"/>
  <c r="BD23" i="15"/>
  <c r="BP3" i="15"/>
  <c r="BP5" i="18" s="1"/>
  <c r="BP23" i="15"/>
  <c r="CB3" i="15"/>
  <c r="CB5" i="18" s="1"/>
  <c r="CB23" i="15"/>
  <c r="CN3" i="15"/>
  <c r="CN5" i="18" s="1"/>
  <c r="CN23" i="15"/>
  <c r="CT3" i="15"/>
  <c r="CT5" i="18" s="1"/>
  <c r="CT23" i="15"/>
  <c r="U3" i="15"/>
  <c r="U5" i="18" s="1"/>
  <c r="U3" i="18" s="1"/>
  <c r="U23" i="15"/>
  <c r="AG3" i="15"/>
  <c r="AG5" i="18" s="1"/>
  <c r="AG3" i="18" s="1"/>
  <c r="AG23" i="15"/>
  <c r="AS3" i="15"/>
  <c r="AS5" i="18" s="1"/>
  <c r="AS3" i="18" s="1"/>
  <c r="AS23" i="15"/>
  <c r="BE3" i="15"/>
  <c r="BE5" i="18" s="1"/>
  <c r="BE23" i="15"/>
  <c r="CB128" i="13"/>
  <c r="CB141" i="13"/>
  <c r="N3" i="15"/>
  <c r="N5" i="18" s="1"/>
  <c r="N3" i="18" s="1"/>
  <c r="N23" i="15"/>
  <c r="AL3" i="15"/>
  <c r="AL5" i="18" s="1"/>
  <c r="AL3" i="18" s="1"/>
  <c r="AL23" i="15"/>
  <c r="BV3" i="15"/>
  <c r="BV5" i="18" s="1"/>
  <c r="BV23" i="15"/>
  <c r="AY3" i="15"/>
  <c r="AY5" i="18" s="1"/>
  <c r="AY3" i="18" s="1"/>
  <c r="AY23" i="15"/>
  <c r="V3" i="15"/>
  <c r="V5" i="18" s="1"/>
  <c r="V3" i="18" s="1"/>
  <c r="V23" i="15"/>
  <c r="AH3" i="15"/>
  <c r="AH5" i="18" s="1"/>
  <c r="AH3" i="18" s="1"/>
  <c r="AH23" i="15"/>
  <c r="AT3" i="15"/>
  <c r="AT5" i="18" s="1"/>
  <c r="AT3" i="18" s="1"/>
  <c r="AT23" i="15"/>
  <c r="BF3" i="15"/>
  <c r="BF5" i="18" s="1"/>
  <c r="BF23" i="15"/>
  <c r="BR3" i="15"/>
  <c r="BR5" i="18" s="1"/>
  <c r="BR23" i="15"/>
  <c r="CD3" i="15"/>
  <c r="CD5" i="18" s="1"/>
  <c r="CD23" i="15"/>
  <c r="CP3" i="15"/>
  <c r="CP5" i="18" s="1"/>
  <c r="CP23" i="15"/>
  <c r="AA3" i="15"/>
  <c r="AA5" i="18" s="1"/>
  <c r="AA3" i="18" s="1"/>
  <c r="AA23" i="15"/>
  <c r="W3" i="15"/>
  <c r="W5" i="18" s="1"/>
  <c r="W3" i="18" s="1"/>
  <c r="W23" i="15"/>
  <c r="AI3" i="15"/>
  <c r="AI5" i="18" s="1"/>
  <c r="AI3" i="18" s="1"/>
  <c r="AI23" i="15"/>
  <c r="AU3" i="15"/>
  <c r="AU5" i="18" s="1"/>
  <c r="AU3" i="18" s="1"/>
  <c r="AU23" i="15"/>
  <c r="BG3" i="15"/>
  <c r="BG5" i="18" s="1"/>
  <c r="BG23" i="15"/>
  <c r="BS3" i="15"/>
  <c r="BS5" i="18" s="1"/>
  <c r="BS23" i="15"/>
  <c r="CE3" i="15"/>
  <c r="CE5" i="18" s="1"/>
  <c r="CE23" i="15"/>
  <c r="CQ3" i="15"/>
  <c r="CQ5" i="18" s="1"/>
  <c r="CQ23" i="15"/>
  <c r="L3" i="15"/>
  <c r="L5" i="18" s="1"/>
  <c r="L3" i="18" s="1"/>
  <c r="L23" i="15"/>
  <c r="X3" i="15"/>
  <c r="X5" i="18" s="1"/>
  <c r="X3" i="18" s="1"/>
  <c r="X23" i="15"/>
  <c r="AJ3" i="15"/>
  <c r="AJ5" i="18" s="1"/>
  <c r="AJ3" i="18" s="1"/>
  <c r="AJ23" i="15"/>
  <c r="AV3" i="15"/>
  <c r="AV5" i="18" s="1"/>
  <c r="AV3" i="18" s="1"/>
  <c r="AV23" i="15"/>
  <c r="BH3" i="15"/>
  <c r="BH5" i="18" s="1"/>
  <c r="BH23" i="15"/>
  <c r="M3" i="15"/>
  <c r="M5" i="18" s="1"/>
  <c r="M3" i="18" s="1"/>
  <c r="M23" i="15"/>
  <c r="Y3" i="15"/>
  <c r="Y5" i="18" s="1"/>
  <c r="Y3" i="18" s="1"/>
  <c r="Y23" i="15"/>
  <c r="AK3" i="15"/>
  <c r="AK5" i="18" s="1"/>
  <c r="AK3" i="18" s="1"/>
  <c r="AK23" i="15"/>
  <c r="AW3" i="15"/>
  <c r="AW5" i="18" s="1"/>
  <c r="AW3" i="18" s="1"/>
  <c r="AW23" i="15"/>
  <c r="BI3" i="15"/>
  <c r="BI5" i="18" s="1"/>
  <c r="BI23" i="15"/>
  <c r="BU3" i="15"/>
  <c r="BU5" i="18" s="1"/>
  <c r="BU23" i="15"/>
  <c r="CG3" i="15"/>
  <c r="CG5" i="18" s="1"/>
  <c r="CG23" i="15"/>
  <c r="CS3" i="15"/>
  <c r="CS5" i="18" s="1"/>
  <c r="CS23" i="15"/>
  <c r="CA159" i="13"/>
  <c r="CA167" i="13"/>
  <c r="BJ3" i="15"/>
  <c r="BJ5" i="18" s="1"/>
  <c r="BJ23" i="15"/>
  <c r="P3" i="15"/>
  <c r="P5" i="18" s="1"/>
  <c r="P3" i="18" s="1"/>
  <c r="P23" i="15"/>
  <c r="AB3" i="15"/>
  <c r="AB5" i="18" s="1"/>
  <c r="AB3" i="18" s="1"/>
  <c r="AB23" i="15"/>
  <c r="AN3" i="15"/>
  <c r="AN5" i="18" s="1"/>
  <c r="AN3" i="18" s="1"/>
  <c r="AN23" i="15"/>
  <c r="AZ3" i="15"/>
  <c r="AZ5" i="18" s="1"/>
  <c r="AZ3" i="18" s="1"/>
  <c r="AZ23" i="15"/>
  <c r="BL3" i="15"/>
  <c r="BL5" i="18" s="1"/>
  <c r="BL23" i="15"/>
  <c r="BX3" i="15"/>
  <c r="BX5" i="18" s="1"/>
  <c r="BX23" i="15"/>
  <c r="CJ3" i="15"/>
  <c r="CJ5" i="18" s="1"/>
  <c r="CJ23" i="15"/>
  <c r="BZ168" i="13"/>
  <c r="CH3" i="15"/>
  <c r="CH5" i="18" s="1"/>
  <c r="CH23" i="15"/>
  <c r="Q3" i="15"/>
  <c r="Q5" i="18" s="1"/>
  <c r="Q3" i="18" s="1"/>
  <c r="Q23" i="15"/>
  <c r="AC3" i="15"/>
  <c r="AC5" i="18" s="1"/>
  <c r="AC3" i="18" s="1"/>
  <c r="AC23" i="15"/>
  <c r="AO3" i="15"/>
  <c r="AO5" i="18" s="1"/>
  <c r="AO3" i="18" s="1"/>
  <c r="AO23" i="15"/>
  <c r="BA3" i="15"/>
  <c r="BA5" i="18" s="1"/>
  <c r="BA23" i="15"/>
  <c r="BM3" i="15"/>
  <c r="BM5" i="18" s="1"/>
  <c r="BM23" i="15"/>
  <c r="BY3" i="15"/>
  <c r="BY5" i="18" s="1"/>
  <c r="BY23" i="15"/>
  <c r="CK3" i="15"/>
  <c r="CK5" i="18" s="1"/>
  <c r="CK23" i="15"/>
  <c r="CC133" i="13"/>
  <c r="DT133" i="13" s="1"/>
  <c r="CC123" i="13"/>
  <c r="DC548" i="2"/>
  <c r="CD138" i="13" s="1"/>
  <c r="DC547" i="2"/>
  <c r="CD137" i="13" s="1"/>
  <c r="DB543" i="2"/>
  <c r="DB549" i="2" s="1"/>
  <c r="DB488" i="2"/>
  <c r="CC102" i="13" s="1"/>
  <c r="DT102" i="13" s="1"/>
  <c r="C162" i="2"/>
  <c r="DC500" i="2"/>
  <c r="CC115" i="13"/>
  <c r="DC499" i="2"/>
  <c r="CC114" i="13"/>
  <c r="DC501" i="2"/>
  <c r="CC116" i="13"/>
  <c r="DT116" i="13" s="1"/>
  <c r="CG108" i="13"/>
  <c r="CG51" i="13"/>
  <c r="DF495" i="2"/>
  <c r="CG109" i="13" s="1"/>
  <c r="DF434" i="2"/>
  <c r="DD510" i="2"/>
  <c r="CD104" i="13"/>
  <c r="DC489" i="2"/>
  <c r="CG50" i="13"/>
  <c r="FJ51" i="3"/>
  <c r="DE474" i="2"/>
  <c r="DE512" i="2" s="1"/>
  <c r="CF71" i="13"/>
  <c r="CF87" i="13" s="1"/>
  <c r="CF70" i="13"/>
  <c r="DU70" i="13" s="1"/>
  <c r="EH70" i="13" s="1"/>
  <c r="DE456" i="2"/>
  <c r="DE473" i="2"/>
  <c r="DE511" i="2" s="1"/>
  <c r="DF399" i="2"/>
  <c r="CG18" i="13" s="1"/>
  <c r="CE69" i="13"/>
  <c r="CE86" i="13"/>
  <c r="DG409" i="2"/>
  <c r="DG436" i="2" s="1"/>
  <c r="DG408" i="2"/>
  <c r="DG435" i="2" s="1"/>
  <c r="DG494" i="2" s="1"/>
  <c r="CG23" i="13"/>
  <c r="CG44" i="13"/>
  <c r="DF428" i="2"/>
  <c r="DF458" i="2" s="1"/>
  <c r="DP9" i="14"/>
  <c r="DP48" i="14" s="1"/>
  <c r="CC163" i="2"/>
  <c r="CO163" i="2"/>
  <c r="BV163" i="2"/>
  <c r="CH163" i="2"/>
  <c r="BW163" i="2"/>
  <c r="CI163" i="2"/>
  <c r="BX163" i="2"/>
  <c r="CJ163" i="2"/>
  <c r="BY163" i="2"/>
  <c r="CK163" i="2"/>
  <c r="BZ163" i="2"/>
  <c r="CL163" i="2"/>
  <c r="CA163" i="2"/>
  <c r="CM163" i="2"/>
  <c r="CB163" i="2"/>
  <c r="CN163" i="2"/>
  <c r="CR163" i="2"/>
  <c r="CU117" i="2"/>
  <c r="CT103" i="2"/>
  <c r="CU86" i="3" s="1"/>
  <c r="CU154" i="18" s="1"/>
  <c r="CU118" i="2"/>
  <c r="CT105" i="2"/>
  <c r="CU90" i="3" s="1"/>
  <c r="CU155" i="18" s="1"/>
  <c r="CU119" i="2"/>
  <c r="CT107" i="2"/>
  <c r="CU92" i="3" s="1"/>
  <c r="CU156" i="18" s="1"/>
  <c r="E162" i="2"/>
  <c r="DO7" i="14"/>
  <c r="CG36" i="13"/>
  <c r="BW31" i="12"/>
  <c r="DD452" i="2"/>
  <c r="DD454" i="2"/>
  <c r="DD453" i="2"/>
  <c r="DD446" i="2"/>
  <c r="DD447" i="2"/>
  <c r="DD448" i="2"/>
  <c r="DD445" i="2"/>
  <c r="BY11" i="12"/>
  <c r="DN11" i="12" s="1"/>
  <c r="EA11" i="12" s="1"/>
  <c r="BX18" i="12"/>
  <c r="CE38" i="13"/>
  <c r="DG391" i="2"/>
  <c r="CH10" i="13" s="1"/>
  <c r="CH14" i="13"/>
  <c r="CE32" i="13"/>
  <c r="CE54" i="13"/>
  <c r="DG425" i="2"/>
  <c r="DG419" i="2"/>
  <c r="DE416" i="2"/>
  <c r="DE444" i="2" s="1"/>
  <c r="CF33" i="13"/>
  <c r="DU33" i="13" s="1"/>
  <c r="EH33" i="13" s="1"/>
  <c r="DG424" i="2"/>
  <c r="DG418" i="2"/>
  <c r="CF39" i="13"/>
  <c r="DU39" i="13" s="1"/>
  <c r="EH39" i="13" s="1"/>
  <c r="DG392" i="2"/>
  <c r="CH15" i="13"/>
  <c r="CH6" i="13"/>
  <c r="CH5" i="13"/>
  <c r="CH98" i="13"/>
  <c r="CI95" i="13"/>
  <c r="DV95" i="13" s="1"/>
  <c r="DH482" i="2"/>
  <c r="DH394" i="2" s="1"/>
  <c r="DH377" i="2" s="1"/>
  <c r="F162" i="2"/>
  <c r="G162" i="2"/>
  <c r="DQ330" i="2"/>
  <c r="DR6" i="14" s="1"/>
  <c r="DR57" i="18" s="1"/>
  <c r="DQ361" i="2"/>
  <c r="DQ357" i="2"/>
  <c r="DQ6" i="14"/>
  <c r="DQ57" i="18" s="1"/>
  <c r="DP7" i="14"/>
  <c r="DP331" i="2"/>
  <c r="DQ5" i="14"/>
  <c r="DQ49" i="18" s="1"/>
  <c r="DQ347" i="2"/>
  <c r="CU318" i="2"/>
  <c r="CL156" i="7"/>
  <c r="CU137" i="15" s="1"/>
  <c r="DQ252" i="2"/>
  <c r="DR252" i="2" s="1"/>
  <c r="DS252" i="2" s="1"/>
  <c r="DT252" i="2" s="1"/>
  <c r="DU252" i="2" s="1"/>
  <c r="DV252" i="2" s="1"/>
  <c r="DW252" i="2" s="1"/>
  <c r="DX252" i="2" s="1"/>
  <c r="DY252" i="2" s="1"/>
  <c r="DZ252" i="2" s="1"/>
  <c r="EA252" i="2" s="1"/>
  <c r="EB252" i="2" s="1"/>
  <c r="EC252" i="2" s="1"/>
  <c r="Q78" i="2"/>
  <c r="Q98" i="2"/>
  <c r="P78" i="2"/>
  <c r="P98" i="2"/>
  <c r="G78" i="2"/>
  <c r="G98" i="2"/>
  <c r="D78" i="2"/>
  <c r="D98" i="2"/>
  <c r="E78" i="2"/>
  <c r="E98" i="2"/>
  <c r="R78" i="2"/>
  <c r="R98" i="2"/>
  <c r="T78" i="2"/>
  <c r="T98" i="2"/>
  <c r="O78" i="2"/>
  <c r="O98" i="2"/>
  <c r="AC78" i="2"/>
  <c r="AC98" i="2"/>
  <c r="AD78" i="2"/>
  <c r="AD98" i="2"/>
  <c r="AE78" i="2"/>
  <c r="AE98" i="2"/>
  <c r="I78" i="2"/>
  <c r="I98" i="2"/>
  <c r="AA78" i="2"/>
  <c r="AA98" i="2"/>
  <c r="AB78" i="2"/>
  <c r="AB98" i="2"/>
  <c r="F78" i="2"/>
  <c r="F98" i="2"/>
  <c r="AF78" i="2"/>
  <c r="AF98" i="2"/>
  <c r="U78" i="2"/>
  <c r="U98" i="2"/>
  <c r="AG78" i="2"/>
  <c r="AG98" i="2"/>
  <c r="J78" i="2"/>
  <c r="J98" i="2"/>
  <c r="AH78" i="2"/>
  <c r="AH98" i="2"/>
  <c r="M78" i="2"/>
  <c r="M98" i="2"/>
  <c r="Y78" i="2"/>
  <c r="Y98" i="2"/>
  <c r="C78" i="2"/>
  <c r="C98" i="2"/>
  <c r="S78" i="2"/>
  <c r="S98" i="2"/>
  <c r="H78" i="2"/>
  <c r="H98" i="2"/>
  <c r="V78" i="2"/>
  <c r="V98" i="2"/>
  <c r="K78" i="2"/>
  <c r="K98" i="2"/>
  <c r="W78" i="2"/>
  <c r="W98" i="2"/>
  <c r="L78" i="2"/>
  <c r="L98" i="2"/>
  <c r="X78" i="2"/>
  <c r="X98" i="2"/>
  <c r="B78" i="2"/>
  <c r="B98" i="2"/>
  <c r="N78" i="2"/>
  <c r="N98" i="2"/>
  <c r="Z78" i="2"/>
  <c r="Z98" i="2"/>
  <c r="I162" i="2"/>
  <c r="B162" i="2"/>
  <c r="CS162" i="2"/>
  <c r="CS163" i="2" s="1"/>
  <c r="J162" i="2"/>
  <c r="Q219" i="2"/>
  <c r="AC219" i="2"/>
  <c r="K219" i="2"/>
  <c r="L219" i="2"/>
  <c r="L285" i="2" s="1"/>
  <c r="X219" i="2"/>
  <c r="X285" i="2" s="1"/>
  <c r="AJ219" i="2"/>
  <c r="AJ285" i="2" s="1"/>
  <c r="AV219" i="2"/>
  <c r="BH219" i="2"/>
  <c r="BT219" i="2"/>
  <c r="CF219" i="2"/>
  <c r="CR219" i="2"/>
  <c r="M219" i="2"/>
  <c r="Y219" i="2"/>
  <c r="AK219" i="2"/>
  <c r="AW219" i="2"/>
  <c r="BI219" i="2"/>
  <c r="BU219" i="2"/>
  <c r="CG219" i="2"/>
  <c r="CS219" i="2"/>
  <c r="P219" i="2"/>
  <c r="P285" i="2" s="1"/>
  <c r="AB219" i="2"/>
  <c r="AB285" i="2" s="1"/>
  <c r="AN219" i="2"/>
  <c r="AZ219" i="2"/>
  <c r="BL219" i="2"/>
  <c r="BX219" i="2"/>
  <c r="CJ219" i="2"/>
  <c r="AO219" i="2"/>
  <c r="BA219" i="2"/>
  <c r="BM219" i="2"/>
  <c r="BY219" i="2"/>
  <c r="CK219" i="2"/>
  <c r="R219" i="2"/>
  <c r="AD219" i="2"/>
  <c r="AP219" i="2"/>
  <c r="BB219" i="2"/>
  <c r="BN219" i="2"/>
  <c r="BZ219" i="2"/>
  <c r="CL219" i="2"/>
  <c r="M217" i="2"/>
  <c r="Y217" i="2"/>
  <c r="AK217" i="2"/>
  <c r="AW217" i="2"/>
  <c r="S219" i="2"/>
  <c r="AE219" i="2"/>
  <c r="AQ219" i="2"/>
  <c r="BC219" i="2"/>
  <c r="BO219" i="2"/>
  <c r="CA219" i="2"/>
  <c r="CM219" i="2"/>
  <c r="T219" i="2"/>
  <c r="T285" i="2" s="1"/>
  <c r="CN219" i="2"/>
  <c r="O219" i="2"/>
  <c r="O285" i="2" s="1"/>
  <c r="AA219" i="2"/>
  <c r="AM219" i="2"/>
  <c r="AY219" i="2"/>
  <c r="BK219" i="2"/>
  <c r="BW219" i="2"/>
  <c r="CI219" i="2"/>
  <c r="AF219" i="2"/>
  <c r="AR219" i="2"/>
  <c r="BD219" i="2"/>
  <c r="BP219" i="2"/>
  <c r="CB219" i="2"/>
  <c r="U219" i="2"/>
  <c r="AG219" i="2"/>
  <c r="AS219" i="2"/>
  <c r="BE219" i="2"/>
  <c r="BQ219" i="2"/>
  <c r="CC219" i="2"/>
  <c r="CO219" i="2"/>
  <c r="V219" i="2"/>
  <c r="V285" i="2" s="1"/>
  <c r="AH219" i="2"/>
  <c r="AH285" i="2" s="1"/>
  <c r="AT219" i="2"/>
  <c r="BF219" i="2"/>
  <c r="BR219" i="2"/>
  <c r="CD219" i="2"/>
  <c r="CP219" i="2"/>
  <c r="W219" i="2"/>
  <c r="AI219" i="2"/>
  <c r="AU219" i="2"/>
  <c r="BG219" i="2"/>
  <c r="BS219" i="2"/>
  <c r="CE219" i="2"/>
  <c r="CQ219" i="2"/>
  <c r="H162" i="2"/>
  <c r="N219" i="2"/>
  <c r="Z219" i="2"/>
  <c r="AL219" i="2"/>
  <c r="AX219" i="2"/>
  <c r="BJ219" i="2"/>
  <c r="BV219" i="2"/>
  <c r="CH219" i="2"/>
  <c r="U217" i="2"/>
  <c r="AG217" i="2"/>
  <c r="D162" i="2"/>
  <c r="V217" i="2"/>
  <c r="AH217" i="2"/>
  <c r="AN217" i="2"/>
  <c r="AB217" i="2"/>
  <c r="P217" i="2"/>
  <c r="O217" i="2"/>
  <c r="K217" i="2"/>
  <c r="AU217" i="2"/>
  <c r="AI217" i="2"/>
  <c r="W217" i="2"/>
  <c r="AT217" i="2"/>
  <c r="AS217" i="2"/>
  <c r="AR217" i="2"/>
  <c r="AF217" i="2"/>
  <c r="T217" i="2"/>
  <c r="AQ217" i="2"/>
  <c r="AE217" i="2"/>
  <c r="S217" i="2"/>
  <c r="AP217" i="2"/>
  <c r="AD217" i="2"/>
  <c r="R217" i="2"/>
  <c r="AO217" i="2"/>
  <c r="AC217" i="2"/>
  <c r="Q217" i="2"/>
  <c r="AL217" i="2"/>
  <c r="Z217" i="2"/>
  <c r="N217" i="2"/>
  <c r="AA217" i="2"/>
  <c r="AM217" i="2"/>
  <c r="AV217" i="2"/>
  <c r="AJ217" i="2"/>
  <c r="X217" i="2"/>
  <c r="L217" i="2"/>
  <c r="BQ162" i="2"/>
  <c r="AF162" i="2"/>
  <c r="X162" i="2"/>
  <c r="L162" i="2"/>
  <c r="FJ88" i="3"/>
  <c r="FJ89" i="3"/>
  <c r="FI89" i="3"/>
  <c r="FI88" i="3"/>
  <c r="CF162" i="2"/>
  <c r="EY103" i="3"/>
  <c r="AH162" i="2"/>
  <c r="BF162" i="2"/>
  <c r="CP162" i="2"/>
  <c r="CP163" i="2" s="1"/>
  <c r="EX93" i="3"/>
  <c r="ET93" i="3"/>
  <c r="EX91" i="3"/>
  <c r="ET91" i="3"/>
  <c r="EX87" i="3"/>
  <c r="ET87" i="3"/>
  <c r="V162" i="2"/>
  <c r="AT162" i="2"/>
  <c r="CD162" i="2"/>
  <c r="CD163" i="2" s="1"/>
  <c r="BR162" i="2"/>
  <c r="FG103" i="3"/>
  <c r="K162" i="2"/>
  <c r="W162" i="2"/>
  <c r="AI162" i="2"/>
  <c r="AU162" i="2"/>
  <c r="BG162" i="2"/>
  <c r="BS162" i="2"/>
  <c r="CE162" i="2"/>
  <c r="AG23" i="3"/>
  <c r="BQ25" i="3"/>
  <c r="BC24" i="3"/>
  <c r="AS23" i="3"/>
  <c r="CC25" i="3"/>
  <c r="CA24" i="3"/>
  <c r="CA33" i="3" s="1"/>
  <c r="U23" i="3"/>
  <c r="BO24" i="3"/>
  <c r="CO25" i="3"/>
  <c r="CM24" i="3"/>
  <c r="I23" i="3"/>
  <c r="BE25" i="3"/>
  <c r="EV77" i="3"/>
  <c r="FH103" i="3"/>
  <c r="FI103" i="3"/>
  <c r="ET103" i="3"/>
  <c r="FJ103" i="3"/>
  <c r="EX97" i="3"/>
  <c r="ET97" i="3"/>
  <c r="EX96" i="3"/>
  <c r="ET96" i="3"/>
  <c r="EX95" i="3"/>
  <c r="ET95" i="3"/>
  <c r="EX94" i="3"/>
  <c r="ET94" i="3"/>
  <c r="ES87" i="3"/>
  <c r="EW97" i="3"/>
  <c r="EW94" i="3"/>
  <c r="EU77" i="3"/>
  <c r="ES96" i="3"/>
  <c r="AD23" i="3"/>
  <c r="EU93" i="3"/>
  <c r="EU91" i="3"/>
  <c r="EU103" i="3"/>
  <c r="ES93" i="3"/>
  <c r="EV103" i="3"/>
  <c r="EY77" i="3"/>
  <c r="EW91" i="3"/>
  <c r="EW77" i="3"/>
  <c r="EY93" i="3"/>
  <c r="EY91" i="3"/>
  <c r="EY87" i="3"/>
  <c r="EU87" i="3"/>
  <c r="EY97" i="3"/>
  <c r="EU97" i="3"/>
  <c r="EY96" i="3"/>
  <c r="EU96" i="3"/>
  <c r="EY95" i="3"/>
  <c r="EU95" i="3"/>
  <c r="EY94" i="3"/>
  <c r="EU94" i="3"/>
  <c r="R23" i="3"/>
  <c r="ET77" i="3"/>
  <c r="EX77" i="3"/>
  <c r="ES91" i="3"/>
  <c r="EW96" i="3"/>
  <c r="EW95" i="3"/>
  <c r="ES95" i="3"/>
  <c r="ES94" i="3"/>
  <c r="ES103" i="3"/>
  <c r="AM23" i="3"/>
  <c r="C23" i="3"/>
  <c r="CI25" i="3"/>
  <c r="BK25" i="3"/>
  <c r="BU24" i="3"/>
  <c r="EZ93" i="3"/>
  <c r="EV93" i="3"/>
  <c r="EZ91" i="3"/>
  <c r="EV91" i="3"/>
  <c r="EZ87" i="3"/>
  <c r="EV87" i="3"/>
  <c r="EZ97" i="3"/>
  <c r="EV97" i="3"/>
  <c r="EZ96" i="3"/>
  <c r="EV96" i="3"/>
  <c r="EZ95" i="3"/>
  <c r="EV95" i="3"/>
  <c r="EZ94" i="3"/>
  <c r="EV94" i="3"/>
  <c r="AX23" i="3"/>
  <c r="AL23" i="3"/>
  <c r="Z23" i="3"/>
  <c r="N23" i="3"/>
  <c r="CT25" i="3"/>
  <c r="CT34" i="3" s="1"/>
  <c r="CH25" i="3"/>
  <c r="BV25" i="3"/>
  <c r="BJ25" i="3"/>
  <c r="CR24" i="3"/>
  <c r="CF24" i="3"/>
  <c r="BT24" i="3"/>
  <c r="BH24" i="3"/>
  <c r="EZ77" i="3"/>
  <c r="EW103" i="3"/>
  <c r="ES77" i="3"/>
  <c r="AY23" i="3"/>
  <c r="BW25" i="3"/>
  <c r="EX103" i="3"/>
  <c r="EW93" i="3"/>
  <c r="EW87" i="3"/>
  <c r="CS24" i="3"/>
  <c r="O23" i="3"/>
  <c r="CG24" i="3"/>
  <c r="CG33" i="3" s="1"/>
  <c r="AU23" i="3"/>
  <c r="AI23" i="3"/>
  <c r="W23" i="3"/>
  <c r="K23" i="3"/>
  <c r="CQ25" i="3"/>
  <c r="CE25" i="3"/>
  <c r="BS25" i="3"/>
  <c r="BG25" i="3"/>
  <c r="CO24" i="3"/>
  <c r="CC24" i="3"/>
  <c r="BQ24" i="3"/>
  <c r="BQ33" i="3" s="1"/>
  <c r="BE24" i="3"/>
  <c r="EZ103" i="3"/>
  <c r="ES97" i="3"/>
  <c r="AA23" i="3"/>
  <c r="BI24" i="3"/>
  <c r="CN25" i="3"/>
  <c r="CB25" i="3"/>
  <c r="BP25" i="3"/>
  <c r="BD25" i="3"/>
  <c r="BY24" i="3"/>
  <c r="BA24" i="3"/>
  <c r="BA33" i="3" s="1"/>
  <c r="ER47" i="3"/>
  <c r="ER49" i="3"/>
  <c r="ER48" i="3"/>
  <c r="ER50" i="3"/>
  <c r="ER52" i="3"/>
  <c r="ER53" i="3"/>
  <c r="ER75" i="3"/>
  <c r="BS24" i="3"/>
  <c r="BG24" i="3"/>
  <c r="AV23" i="3"/>
  <c r="AJ23" i="3"/>
  <c r="X23" i="3"/>
  <c r="L23" i="3"/>
  <c r="CR25" i="3"/>
  <c r="CF25" i="3"/>
  <c r="BT25" i="3"/>
  <c r="BH25" i="3"/>
  <c r="CP24" i="3"/>
  <c r="CD24" i="3"/>
  <c r="CD33" i="3" s="1"/>
  <c r="BR24" i="3"/>
  <c r="BF24" i="3"/>
  <c r="ER103" i="3"/>
  <c r="CP25" i="3"/>
  <c r="CD25" i="3"/>
  <c r="BR25" i="3"/>
  <c r="BF25" i="3"/>
  <c r="CN24" i="3"/>
  <c r="CB24" i="3"/>
  <c r="BP24" i="3"/>
  <c r="BD24" i="3"/>
  <c r="CL25" i="3"/>
  <c r="BN25" i="3"/>
  <c r="BB25" i="3"/>
  <c r="BX24" i="3"/>
  <c r="BL24" i="3"/>
  <c r="ER9" i="3"/>
  <c r="AZ23" i="3"/>
  <c r="AN23" i="3"/>
  <c r="AB23" i="3"/>
  <c r="P23" i="3"/>
  <c r="D23" i="3"/>
  <c r="CJ25" i="3"/>
  <c r="BX25" i="3"/>
  <c r="BL25" i="3"/>
  <c r="CT24" i="3"/>
  <c r="CH24" i="3"/>
  <c r="BV24" i="3"/>
  <c r="BJ24" i="3"/>
  <c r="ER92" i="3"/>
  <c r="ER90" i="3"/>
  <c r="ER97" i="3"/>
  <c r="ER96" i="3"/>
  <c r="ER95" i="3"/>
  <c r="ER111" i="3"/>
  <c r="ER110" i="3"/>
  <c r="AP23" i="3"/>
  <c r="F23" i="3"/>
  <c r="CT7" i="3"/>
  <c r="CT11" i="18" s="1"/>
  <c r="CS785" i="2" s="1"/>
  <c r="CT785" i="2" s="1"/>
  <c r="ER12" i="3"/>
  <c r="ER76" i="3"/>
  <c r="CT37" i="3"/>
  <c r="AQ23" i="3"/>
  <c r="AE23" i="3"/>
  <c r="S23" i="3"/>
  <c r="G23" i="3"/>
  <c r="CM25" i="3"/>
  <c r="CA25" i="3"/>
  <c r="BO25" i="3"/>
  <c r="BC25" i="3"/>
  <c r="CK24" i="3"/>
  <c r="CK33" i="3" s="1"/>
  <c r="BM24" i="3"/>
  <c r="AT23" i="3"/>
  <c r="J23" i="3"/>
  <c r="CJ24" i="3"/>
  <c r="ER16" i="3"/>
  <c r="AO23" i="3"/>
  <c r="AC23" i="3"/>
  <c r="Q23" i="3"/>
  <c r="E23" i="3"/>
  <c r="CK25" i="3"/>
  <c r="BY25" i="3"/>
  <c r="BM25" i="3"/>
  <c r="BA25" i="3"/>
  <c r="CI24" i="3"/>
  <c r="BW24" i="3"/>
  <c r="BK24" i="3"/>
  <c r="BK33" i="3" s="1"/>
  <c r="ER29" i="3"/>
  <c r="AH23" i="3"/>
  <c r="AR23" i="3"/>
  <c r="T23" i="3"/>
  <c r="CL24" i="3"/>
  <c r="BN24" i="3"/>
  <c r="ER17" i="3"/>
  <c r="V23" i="3"/>
  <c r="BZ25" i="3"/>
  <c r="AF23" i="3"/>
  <c r="H23" i="3"/>
  <c r="BZ24" i="3"/>
  <c r="BB24" i="3"/>
  <c r="CT85" i="3"/>
  <c r="CT84" i="3" s="1"/>
  <c r="CT146" i="18" s="1"/>
  <c r="CT145" i="18" s="1"/>
  <c r="CT38" i="3"/>
  <c r="CT45" i="3" s="1"/>
  <c r="ER8" i="3"/>
  <c r="ER13" i="3"/>
  <c r="ER86" i="3"/>
  <c r="AW23" i="3"/>
  <c r="AK23" i="3"/>
  <c r="Y23" i="3"/>
  <c r="M23" i="3"/>
  <c r="CS25" i="3"/>
  <c r="CG25" i="3"/>
  <c r="BU25" i="3"/>
  <c r="BI25" i="3"/>
  <c r="CQ24" i="3"/>
  <c r="CQ33" i="3" s="1"/>
  <c r="CE24" i="3"/>
  <c r="ER54" i="3"/>
  <c r="ER78" i="3"/>
  <c r="ER77" i="3"/>
  <c r="ER4" i="3"/>
  <c r="ER5" i="3"/>
  <c r="CT74" i="3"/>
  <c r="CT120" i="18" s="1"/>
  <c r="CT119" i="18" s="1"/>
  <c r="CT11" i="3"/>
  <c r="CT16" i="18" s="1"/>
  <c r="CT15" i="18" s="1"/>
  <c r="CT109" i="3"/>
  <c r="CT46" i="3"/>
  <c r="CT84" i="18" s="1"/>
  <c r="CT83" i="18" s="1"/>
  <c r="AH95" i="2"/>
  <c r="AI98" i="2"/>
  <c r="AJ98" i="2"/>
  <c r="AJ95" i="2"/>
  <c r="AU98" i="2"/>
  <c r="AI95" i="2"/>
  <c r="AV98" i="2"/>
  <c r="AN98" i="2"/>
  <c r="AO98" i="2"/>
  <c r="AP98" i="2"/>
  <c r="AQ98" i="2"/>
  <c r="L95" i="2"/>
  <c r="AR98" i="2"/>
  <c r="AG95" i="2"/>
  <c r="AS98" i="2"/>
  <c r="AT98" i="2"/>
  <c r="AK98" i="2"/>
  <c r="AW98" i="2"/>
  <c r="AL98" i="2"/>
  <c r="AX98" i="2"/>
  <c r="K95" i="2"/>
  <c r="AM98" i="2"/>
  <c r="AY98" i="2"/>
  <c r="R95" i="2"/>
  <c r="AQ95" i="2"/>
  <c r="AR95" i="2"/>
  <c r="W95" i="2"/>
  <c r="G95" i="2"/>
  <c r="H95" i="2"/>
  <c r="AD95" i="2"/>
  <c r="AU95" i="2"/>
  <c r="S95" i="2"/>
  <c r="AP95" i="2"/>
  <c r="AS95" i="2"/>
  <c r="AT95" i="2"/>
  <c r="I95" i="2"/>
  <c r="AE95" i="2"/>
  <c r="AV95" i="2"/>
  <c r="T95" i="2"/>
  <c r="U95" i="2"/>
  <c r="V95" i="2"/>
  <c r="F95" i="2"/>
  <c r="X95" i="2"/>
  <c r="J95" i="2"/>
  <c r="AF95" i="2"/>
  <c r="M95" i="2"/>
  <c r="Y95" i="2"/>
  <c r="AK95" i="2"/>
  <c r="AW95" i="2"/>
  <c r="B95" i="2"/>
  <c r="N95" i="2"/>
  <c r="Z95" i="2"/>
  <c r="AL95" i="2"/>
  <c r="AX95" i="2"/>
  <c r="AA95" i="2"/>
  <c r="C95" i="2"/>
  <c r="O95" i="2"/>
  <c r="AM95" i="2"/>
  <c r="AY95" i="2"/>
  <c r="D95" i="2"/>
  <c r="P95" i="2"/>
  <c r="AB95" i="2"/>
  <c r="AN95" i="2"/>
  <c r="E95" i="2"/>
  <c r="Q95" i="2"/>
  <c r="AC95" i="2"/>
  <c r="AO95" i="2"/>
  <c r="CS15" i="2"/>
  <c r="CM33" i="3" l="1"/>
  <c r="BC33" i="3"/>
  <c r="BO33" i="3"/>
  <c r="BU33" i="3"/>
  <c r="DR138" i="11"/>
  <c r="EB138" i="11" s="1"/>
  <c r="DS158" i="18"/>
  <c r="DS160" i="18"/>
  <c r="DL43" i="14"/>
  <c r="EW42" i="14"/>
  <c r="EZ15" i="14"/>
  <c r="ET120" i="15"/>
  <c r="DC117" i="15"/>
  <c r="DM108" i="12"/>
  <c r="BV107" i="12"/>
  <c r="DM107" i="12" s="1"/>
  <c r="DM137" i="11"/>
  <c r="BV136" i="11"/>
  <c r="DM136" i="11" s="1"/>
  <c r="BW107" i="12"/>
  <c r="DD117" i="15"/>
  <c r="BW136" i="11"/>
  <c r="FE128" i="18"/>
  <c r="FG128" i="18"/>
  <c r="FF128" i="18"/>
  <c r="DF48" i="15"/>
  <c r="EU48" i="15" s="1"/>
  <c r="FH48" i="15" s="1"/>
  <c r="EU28" i="15"/>
  <c r="FH28" i="15" s="1"/>
  <c r="DF457" i="2"/>
  <c r="ER27" i="3"/>
  <c r="DR288" i="2"/>
  <c r="FG28" i="3"/>
  <c r="FH28" i="3"/>
  <c r="DT123" i="13"/>
  <c r="DR329" i="2"/>
  <c r="DR331" i="2" s="1"/>
  <c r="DS342" i="2"/>
  <c r="DU15" i="14"/>
  <c r="DU13" i="18"/>
  <c r="DU44" i="18" s="1"/>
  <c r="EZ44" i="18" s="1"/>
  <c r="DU81" i="18"/>
  <c r="EZ81" i="18" s="1"/>
  <c r="DS57" i="18"/>
  <c r="DT345" i="2"/>
  <c r="DT29" i="14"/>
  <c r="DT160" i="18" s="1"/>
  <c r="DS26" i="14"/>
  <c r="DT344" i="2"/>
  <c r="DT28" i="14"/>
  <c r="DT158" i="18" s="1"/>
  <c r="DS367" i="2"/>
  <c r="DS45" i="14"/>
  <c r="DT114" i="13"/>
  <c r="DT115" i="13"/>
  <c r="CL109" i="12"/>
  <c r="CL138" i="11"/>
  <c r="EY119" i="15"/>
  <c r="FI119" i="15" s="1"/>
  <c r="EY26" i="14"/>
  <c r="FI26" i="14" s="1"/>
  <c r="EU176" i="18"/>
  <c r="EV176" i="18"/>
  <c r="DV513" i="2"/>
  <c r="DW526" i="2"/>
  <c r="ET176" i="18"/>
  <c r="DL50" i="14"/>
  <c r="DL51" i="14" s="1"/>
  <c r="CI268" i="2"/>
  <c r="CI285" i="2"/>
  <c r="AP268" i="2"/>
  <c r="AP285" i="2"/>
  <c r="CF298" i="2"/>
  <c r="CF285" i="2"/>
  <c r="CC268" i="2"/>
  <c r="CC285" i="2"/>
  <c r="BT298" i="2"/>
  <c r="BT285" i="2"/>
  <c r="CH268" i="2"/>
  <c r="CH285" i="2"/>
  <c r="AU268" i="2"/>
  <c r="AU285" i="2"/>
  <c r="BQ268" i="2"/>
  <c r="BQ285" i="2"/>
  <c r="BK268" i="2"/>
  <c r="BK285" i="2"/>
  <c r="AE268" i="2"/>
  <c r="AE285" i="2"/>
  <c r="R268" i="2"/>
  <c r="R285" i="2"/>
  <c r="BH298" i="2"/>
  <c r="BH285" i="2"/>
  <c r="BV268" i="2"/>
  <c r="BV285" i="2"/>
  <c r="AI268" i="2"/>
  <c r="AI285" i="2"/>
  <c r="BE268" i="2"/>
  <c r="BE285" i="2"/>
  <c r="AY268" i="2"/>
  <c r="AY285" i="2"/>
  <c r="S268" i="2"/>
  <c r="S285" i="2"/>
  <c r="CK321" i="2"/>
  <c r="CK285" i="2"/>
  <c r="CS248" i="2"/>
  <c r="CS285" i="2"/>
  <c r="AV298" i="2"/>
  <c r="AV285" i="2"/>
  <c r="BW268" i="2"/>
  <c r="BW285" i="2"/>
  <c r="CG321" i="2"/>
  <c r="CG285" i="2"/>
  <c r="AQ268" i="2"/>
  <c r="AQ285" i="2"/>
  <c r="BJ248" i="2"/>
  <c r="BJ285" i="2"/>
  <c r="W268" i="2"/>
  <c r="W285" i="2"/>
  <c r="AS268" i="2"/>
  <c r="AS285" i="2"/>
  <c r="AM268" i="2"/>
  <c r="AM285" i="2"/>
  <c r="BY248" i="2"/>
  <c r="BY285" i="2"/>
  <c r="AX268" i="2"/>
  <c r="AX285" i="2"/>
  <c r="CP268" i="2"/>
  <c r="CP285" i="2"/>
  <c r="AG268" i="2"/>
  <c r="AG285" i="2"/>
  <c r="AA268" i="2"/>
  <c r="AA285" i="2"/>
  <c r="BM248" i="2"/>
  <c r="BM285" i="2"/>
  <c r="BU321" i="2"/>
  <c r="BU285" i="2"/>
  <c r="CO268" i="2"/>
  <c r="CO285" i="2"/>
  <c r="DT312" i="2"/>
  <c r="DK147" i="7"/>
  <c r="DT119" i="15" s="1"/>
  <c r="BG268" i="2"/>
  <c r="BG285" i="2"/>
  <c r="Z268" i="2"/>
  <c r="Z285" i="2"/>
  <c r="BR248" i="2"/>
  <c r="BR285" i="2"/>
  <c r="CB268" i="2"/>
  <c r="CB285" i="2"/>
  <c r="CN248" i="2"/>
  <c r="CN285" i="2"/>
  <c r="AO248" i="2"/>
  <c r="AO285" i="2"/>
  <c r="AW268" i="2"/>
  <c r="AW285" i="2"/>
  <c r="K298" i="2"/>
  <c r="K285" i="2"/>
  <c r="AN268" i="2"/>
  <c r="AN285" i="2"/>
  <c r="AL268" i="2"/>
  <c r="AL285" i="2"/>
  <c r="CD321" i="2"/>
  <c r="CD285" i="2"/>
  <c r="U268" i="2"/>
  <c r="U285" i="2"/>
  <c r="BI298" i="2"/>
  <c r="BI285" i="2"/>
  <c r="N268" i="2"/>
  <c r="N285" i="2"/>
  <c r="BF268" i="2"/>
  <c r="BF285" i="2"/>
  <c r="BP268" i="2"/>
  <c r="BP285" i="2"/>
  <c r="CL298" i="2"/>
  <c r="CL285" i="2"/>
  <c r="CJ268" i="2"/>
  <c r="CJ285" i="2"/>
  <c r="AK268" i="2"/>
  <c r="AK285" i="2"/>
  <c r="AC298" i="2"/>
  <c r="AC285" i="2"/>
  <c r="DS330" i="2"/>
  <c r="DS357" i="2"/>
  <c r="DS361" i="2"/>
  <c r="BS248" i="2"/>
  <c r="BS285" i="2"/>
  <c r="BC248" i="2"/>
  <c r="BC285" i="2"/>
  <c r="AD268" i="2"/>
  <c r="AD285" i="2"/>
  <c r="BA268" i="2"/>
  <c r="BA285" i="2"/>
  <c r="AT268" i="2"/>
  <c r="AT285" i="2"/>
  <c r="BD268" i="2"/>
  <c r="BD285" i="2"/>
  <c r="CM321" i="2"/>
  <c r="CM285" i="2"/>
  <c r="BZ268" i="2"/>
  <c r="BZ285" i="2"/>
  <c r="BX248" i="2"/>
  <c r="BX285" i="2"/>
  <c r="Y298" i="2"/>
  <c r="Y285" i="2"/>
  <c r="Q268" i="2"/>
  <c r="Q285" i="2"/>
  <c r="CQ248" i="2"/>
  <c r="CQ285" i="2"/>
  <c r="AR248" i="2"/>
  <c r="AR285" i="2"/>
  <c r="CA248" i="2"/>
  <c r="CA285" i="2"/>
  <c r="BN268" i="2"/>
  <c r="BN285" i="2"/>
  <c r="BL248" i="2"/>
  <c r="BL285" i="2"/>
  <c r="M298" i="2"/>
  <c r="M285" i="2"/>
  <c r="CE248" i="2"/>
  <c r="CE285" i="2"/>
  <c r="AF268" i="2"/>
  <c r="AF285" i="2"/>
  <c r="BO268" i="2"/>
  <c r="BO285" i="2"/>
  <c r="BB268" i="2"/>
  <c r="BB285" i="2"/>
  <c r="AZ298" i="2"/>
  <c r="AZ285" i="2"/>
  <c r="CR248" i="2"/>
  <c r="CR285" i="2"/>
  <c r="DS347" i="2"/>
  <c r="DU343" i="2"/>
  <c r="DV27" i="14" s="1"/>
  <c r="DT333" i="2"/>
  <c r="DV10" i="14"/>
  <c r="CU162" i="2"/>
  <c r="CV162" i="2" s="1"/>
  <c r="CW162" i="2" s="1"/>
  <c r="CX162" i="2" s="1"/>
  <c r="CY162" i="2" s="1"/>
  <c r="CZ162" i="2" s="1"/>
  <c r="DA162" i="2" s="1"/>
  <c r="DB162" i="2" s="1"/>
  <c r="DC162" i="2" s="1"/>
  <c r="DD162" i="2" s="1"/>
  <c r="DE162" i="2" s="1"/>
  <c r="DF162" i="2" s="1"/>
  <c r="DG162" i="2" s="1"/>
  <c r="DH162" i="2" s="1"/>
  <c r="DI162" i="2" s="1"/>
  <c r="DJ162" i="2" s="1"/>
  <c r="DK162" i="2" s="1"/>
  <c r="DL162" i="2" s="1"/>
  <c r="DM162" i="2" s="1"/>
  <c r="DN162" i="2" s="1"/>
  <c r="DO162" i="2" s="1"/>
  <c r="DP162" i="2" s="1"/>
  <c r="DQ162" i="2" s="1"/>
  <c r="DR162" i="2" s="1"/>
  <c r="DS162" i="2" s="1"/>
  <c r="DT162" i="2" s="1"/>
  <c r="DU162" i="2" s="1"/>
  <c r="DV162" i="2" s="1"/>
  <c r="DW162" i="2" s="1"/>
  <c r="DX162" i="2" s="1"/>
  <c r="DY162" i="2" s="1"/>
  <c r="DZ162" i="2" s="1"/>
  <c r="EA162" i="2" s="1"/>
  <c r="EB162" i="2" s="1"/>
  <c r="EC162" i="2" s="1"/>
  <c r="ER74" i="3"/>
  <c r="CV778" i="2"/>
  <c r="CW244" i="18" s="1"/>
  <c r="ER244" i="18" s="1"/>
  <c r="DH778" i="2"/>
  <c r="DI244" i="18" s="1"/>
  <c r="EV244" i="18" s="1"/>
  <c r="DK778" i="2"/>
  <c r="DL244" i="18" s="1"/>
  <c r="EW244" i="18" s="1"/>
  <c r="CY778" i="2"/>
  <c r="CZ244" i="18" s="1"/>
  <c r="ES244" i="18" s="1"/>
  <c r="DQ778" i="2"/>
  <c r="DR244" i="18" s="1"/>
  <c r="EY244" i="18" s="1"/>
  <c r="FI244" i="18" s="1"/>
  <c r="DE778" i="2"/>
  <c r="DF244" i="18" s="1"/>
  <c r="EU244" i="18" s="1"/>
  <c r="FH244" i="18" s="1"/>
  <c r="DN778" i="2"/>
  <c r="DO244" i="18" s="1"/>
  <c r="EX244" i="18" s="1"/>
  <c r="DB778" i="2"/>
  <c r="DC244" i="18" s="1"/>
  <c r="ET244" i="18" s="1"/>
  <c r="CU785" i="2"/>
  <c r="AS42" i="18"/>
  <c r="AR785" i="2"/>
  <c r="AZ42" i="18"/>
  <c r="AY785" i="2"/>
  <c r="AR42" i="18"/>
  <c r="AQ785" i="2"/>
  <c r="AX42" i="18"/>
  <c r="AW785" i="2"/>
  <c r="AP42" i="18"/>
  <c r="AO785" i="2"/>
  <c r="AY42" i="18"/>
  <c r="AX785" i="2"/>
  <c r="AQ42" i="18"/>
  <c r="AP785" i="2"/>
  <c r="AW42" i="18"/>
  <c r="AV785" i="2"/>
  <c r="AO42" i="18"/>
  <c r="AN785" i="2"/>
  <c r="AV42" i="18"/>
  <c r="AU785" i="2"/>
  <c r="AN42" i="18"/>
  <c r="AM785" i="2"/>
  <c r="AU42" i="18"/>
  <c r="AT785" i="2"/>
  <c r="AM42" i="18"/>
  <c r="AL785" i="2"/>
  <c r="AT42" i="18"/>
  <c r="AS785" i="2"/>
  <c r="DM43" i="14"/>
  <c r="DM50" i="14"/>
  <c r="DM51" i="14" s="1"/>
  <c r="BZ23" i="15"/>
  <c r="BZ38" i="15" s="1"/>
  <c r="BZ67" i="15" s="1"/>
  <c r="BZ3" i="15"/>
  <c r="BZ5" i="18" s="1"/>
  <c r="EK5" i="18" s="1"/>
  <c r="DO23" i="14"/>
  <c r="DO33" i="14" s="1"/>
  <c r="DO11" i="14"/>
  <c r="EX11" i="14" s="1"/>
  <c r="BV91" i="12"/>
  <c r="DM91" i="12" s="1"/>
  <c r="DM94" i="12"/>
  <c r="FE158" i="18"/>
  <c r="FF158" i="18"/>
  <c r="FG158" i="18"/>
  <c r="FH158" i="18"/>
  <c r="FI158" i="18"/>
  <c r="EL5" i="15"/>
  <c r="CC23" i="15"/>
  <c r="CC38" i="15" s="1"/>
  <c r="CC67" i="15" s="1"/>
  <c r="EJ5" i="15"/>
  <c r="BW3" i="15"/>
  <c r="BW5" i="18" s="1"/>
  <c r="EJ5" i="18" s="1"/>
  <c r="BW23" i="15"/>
  <c r="EJ23" i="15" s="1"/>
  <c r="BQ23" i="15"/>
  <c r="EH23" i="15" s="1"/>
  <c r="BQ3" i="15"/>
  <c r="EH3" i="15" s="1"/>
  <c r="EP5" i="15"/>
  <c r="CO23" i="15"/>
  <c r="EP23" i="15" s="1"/>
  <c r="EF5" i="15"/>
  <c r="BK3" i="15"/>
  <c r="EF3" i="15" s="1"/>
  <c r="BK23" i="15"/>
  <c r="BK38" i="15" s="1"/>
  <c r="BK67" i="15" s="1"/>
  <c r="DN169" i="18"/>
  <c r="DN34" i="14"/>
  <c r="DN42" i="14"/>
  <c r="DB132" i="15"/>
  <c r="BW94" i="12"/>
  <c r="BW95" i="12"/>
  <c r="BW97" i="12"/>
  <c r="DD67" i="18"/>
  <c r="DM58" i="12"/>
  <c r="DC68" i="15"/>
  <c r="EM5" i="15"/>
  <c r="CF3" i="15"/>
  <c r="EM3" i="15" s="1"/>
  <c r="CF23" i="15"/>
  <c r="EM23" i="15" s="1"/>
  <c r="BT23" i="15"/>
  <c r="EI23" i="15" s="1"/>
  <c r="BT3" i="15"/>
  <c r="BT5" i="18" s="1"/>
  <c r="EI5" i="18" s="1"/>
  <c r="EQ5" i="15"/>
  <c r="CR3" i="15"/>
  <c r="CR5" i="18" s="1"/>
  <c r="EQ5" i="18" s="1"/>
  <c r="CR23" i="15"/>
  <c r="EQ23" i="15" s="1"/>
  <c r="DO40" i="14"/>
  <c r="EX40" i="14" s="1"/>
  <c r="BN23" i="15"/>
  <c r="CI3" i="15"/>
  <c r="EN3" i="15" s="1"/>
  <c r="DO14" i="14"/>
  <c r="CX190" i="18"/>
  <c r="CX189" i="18" s="1"/>
  <c r="ES189" i="18" s="1"/>
  <c r="CC3" i="15"/>
  <c r="CC5" i="18" s="1"/>
  <c r="EL5" i="18" s="1"/>
  <c r="FE127" i="18"/>
  <c r="FI45" i="14"/>
  <c r="FI43" i="14" s="1"/>
  <c r="FF129" i="18"/>
  <c r="FG129" i="18"/>
  <c r="EO5" i="15"/>
  <c r="FH160" i="18"/>
  <c r="FE129" i="18"/>
  <c r="FF24" i="18"/>
  <c r="FE157" i="18"/>
  <c r="FG157" i="18"/>
  <c r="FE160" i="18"/>
  <c r="FI160" i="18"/>
  <c r="CC165" i="13"/>
  <c r="DT139" i="13"/>
  <c r="FG160" i="18"/>
  <c r="FE161" i="18"/>
  <c r="CC162" i="13"/>
  <c r="FF161" i="18"/>
  <c r="FH157" i="18"/>
  <c r="FI176" i="18"/>
  <c r="FG127" i="18"/>
  <c r="FG131" i="18"/>
  <c r="FG161" i="18"/>
  <c r="DA190" i="18"/>
  <c r="FF157" i="18"/>
  <c r="FI157" i="18"/>
  <c r="CR25" i="18"/>
  <c r="EQ23" i="18"/>
  <c r="FE176" i="18"/>
  <c r="DU71" i="13"/>
  <c r="EH71" i="13" s="1"/>
  <c r="BW53" i="11"/>
  <c r="CD131" i="13"/>
  <c r="CD125" i="13"/>
  <c r="FF176" i="18"/>
  <c r="BQ25" i="18"/>
  <c r="EH25" i="18" s="1"/>
  <c r="EH23" i="18"/>
  <c r="DM139" i="18"/>
  <c r="BK190" i="18"/>
  <c r="EF175" i="18"/>
  <c r="FE131" i="18"/>
  <c r="DU87" i="13"/>
  <c r="EH87" i="13" s="1"/>
  <c r="BN190" i="18"/>
  <c r="EG175" i="18"/>
  <c r="BW190" i="18"/>
  <c r="EJ175" i="18"/>
  <c r="CF190" i="18"/>
  <c r="EM175" i="18"/>
  <c r="CA5" i="11"/>
  <c r="CG17" i="13"/>
  <c r="BT25" i="18"/>
  <c r="EI25" i="18" s="1"/>
  <c r="EI23" i="18"/>
  <c r="CC25" i="18"/>
  <c r="EL25" i="18" s="1"/>
  <c r="EL23" i="18"/>
  <c r="EX3" i="7"/>
  <c r="EX35" i="7" s="1"/>
  <c r="EY13" i="18"/>
  <c r="FI13" i="18" s="1"/>
  <c r="FG176" i="18"/>
  <c r="BU103" i="12"/>
  <c r="CA6" i="11"/>
  <c r="CF25" i="18"/>
  <c r="EM25" i="18" s="1"/>
  <c r="EM23" i="18"/>
  <c r="CO25" i="18"/>
  <c r="EP25" i="18" s="1"/>
  <c r="EP23" i="18"/>
  <c r="BZ8" i="11"/>
  <c r="DT165" i="13"/>
  <c r="DT162" i="13"/>
  <c r="CI190" i="18"/>
  <c r="EN175" i="18"/>
  <c r="FE24" i="18"/>
  <c r="BT190" i="18"/>
  <c r="EI175" i="18"/>
  <c r="DT131" i="13"/>
  <c r="DT125" i="13"/>
  <c r="CL190" i="18"/>
  <c r="EO175" i="18"/>
  <c r="BK25" i="18"/>
  <c r="EF25" i="18" s="1"/>
  <c r="EF23" i="18"/>
  <c r="BQ190" i="18"/>
  <c r="EH175" i="18"/>
  <c r="DM53" i="11"/>
  <c r="BV96" i="11"/>
  <c r="BV87" i="11"/>
  <c r="CC190" i="18"/>
  <c r="EL175" i="18"/>
  <c r="FF127" i="18"/>
  <c r="CE85" i="13"/>
  <c r="BN25" i="18"/>
  <c r="EG25" i="18" s="1"/>
  <c r="EG23" i="18"/>
  <c r="BW25" i="18"/>
  <c r="EJ25" i="18" s="1"/>
  <c r="EJ23" i="18"/>
  <c r="EY57" i="18"/>
  <c r="FI57" i="18" s="1"/>
  <c r="CR190" i="18"/>
  <c r="EQ175" i="18"/>
  <c r="DT124" i="13"/>
  <c r="DT130" i="13"/>
  <c r="BZ21" i="12"/>
  <c r="BZ25" i="18"/>
  <c r="EK25" i="18" s="1"/>
  <c r="EK23" i="18"/>
  <c r="CI25" i="18"/>
  <c r="EN25" i="18" s="1"/>
  <c r="EN23" i="18"/>
  <c r="BW52" i="11"/>
  <c r="EX9" i="14"/>
  <c r="DO48" i="14"/>
  <c r="CU190" i="18"/>
  <c r="FF160" i="18"/>
  <c r="CO190" i="18"/>
  <c r="EP175" i="18"/>
  <c r="BT147" i="11"/>
  <c r="BU113" i="11"/>
  <c r="FF131" i="18"/>
  <c r="CL25" i="18"/>
  <c r="EO25" i="18" s="1"/>
  <c r="EO23" i="18"/>
  <c r="EK5" i="15"/>
  <c r="BZ190" i="18"/>
  <c r="EK175" i="18"/>
  <c r="EV3" i="7"/>
  <c r="EV35" i="7" s="1"/>
  <c r="CO3" i="15"/>
  <c r="EP3" i="15" s="1"/>
  <c r="EW3" i="7"/>
  <c r="EW35" i="7" s="1"/>
  <c r="EI5" i="15"/>
  <c r="CL3" i="15"/>
  <c r="EO3" i="15" s="1"/>
  <c r="EH5" i="15"/>
  <c r="BN3" i="15"/>
  <c r="EG3" i="15" s="1"/>
  <c r="CI23" i="15"/>
  <c r="CI21" i="15" s="1"/>
  <c r="DO37" i="14"/>
  <c r="EX37" i="14" s="1"/>
  <c r="EY6" i="14"/>
  <c r="DO18" i="14"/>
  <c r="EX18" i="14" s="1"/>
  <c r="DK51" i="14"/>
  <c r="DO20" i="14"/>
  <c r="EX20" i="14" s="1"/>
  <c r="CT42" i="18"/>
  <c r="EU15" i="15"/>
  <c r="FH15" i="15" s="1"/>
  <c r="EU24" i="15"/>
  <c r="FH24" i="15" s="1"/>
  <c r="H35" i="18"/>
  <c r="H34" i="18" s="1"/>
  <c r="H61" i="18" s="1"/>
  <c r="H47" i="18"/>
  <c r="H46" i="18" s="1"/>
  <c r="AR47" i="18"/>
  <c r="AR35" i="18"/>
  <c r="J35" i="18"/>
  <c r="J34" i="18" s="1"/>
  <c r="J61" i="18" s="1"/>
  <c r="J47" i="18"/>
  <c r="J46" i="18" s="1"/>
  <c r="G35" i="18"/>
  <c r="G34" i="18" s="1"/>
  <c r="G61" i="18" s="1"/>
  <c r="G47" i="18"/>
  <c r="G46" i="18" s="1"/>
  <c r="F35" i="18"/>
  <c r="F34" i="18" s="1"/>
  <c r="F61" i="18" s="1"/>
  <c r="F47" i="18"/>
  <c r="F46" i="18" s="1"/>
  <c r="D47" i="18"/>
  <c r="D46" i="18" s="1"/>
  <c r="D35" i="18"/>
  <c r="D34" i="18" s="1"/>
  <c r="D61" i="18" s="1"/>
  <c r="AV35" i="18"/>
  <c r="AV47" i="18"/>
  <c r="C47" i="18"/>
  <c r="C46" i="18" s="1"/>
  <c r="C35" i="18"/>
  <c r="AF35" i="18"/>
  <c r="AF47" i="18"/>
  <c r="AP35" i="18"/>
  <c r="AP47" i="18"/>
  <c r="AA47" i="18"/>
  <c r="AA35" i="18"/>
  <c r="O35" i="18"/>
  <c r="O47" i="18"/>
  <c r="AM35" i="18"/>
  <c r="AM47" i="18"/>
  <c r="E47" i="18"/>
  <c r="E46" i="18" s="1"/>
  <c r="E35" i="18"/>
  <c r="E34" i="18" s="1"/>
  <c r="E61" i="18" s="1"/>
  <c r="AE35" i="18"/>
  <c r="AE47" i="18"/>
  <c r="AB47" i="18"/>
  <c r="AB35" i="18"/>
  <c r="R47" i="18"/>
  <c r="R35" i="18"/>
  <c r="AS47" i="18"/>
  <c r="AS35" i="18"/>
  <c r="AC47" i="18"/>
  <c r="AC35" i="18"/>
  <c r="AZ47" i="18"/>
  <c r="AZ35" i="18"/>
  <c r="DO31" i="14"/>
  <c r="DO66" i="18"/>
  <c r="AH47" i="18"/>
  <c r="AH35" i="18"/>
  <c r="S47" i="18"/>
  <c r="S35" i="18"/>
  <c r="P35" i="18"/>
  <c r="P47" i="18"/>
  <c r="Y35" i="18"/>
  <c r="Y47" i="18"/>
  <c r="AT35" i="18"/>
  <c r="AT47" i="18"/>
  <c r="M47" i="18"/>
  <c r="M35" i="18"/>
  <c r="K47" i="18"/>
  <c r="K46" i="18" s="1"/>
  <c r="K35" i="18"/>
  <c r="K34" i="18" s="1"/>
  <c r="K61" i="18" s="1"/>
  <c r="Z35" i="18"/>
  <c r="Z47" i="18"/>
  <c r="AO35" i="18"/>
  <c r="AO47" i="18"/>
  <c r="L47" i="18"/>
  <c r="L35" i="18"/>
  <c r="W35" i="18"/>
  <c r="W47" i="18"/>
  <c r="AL35" i="18"/>
  <c r="AL47" i="18"/>
  <c r="AG47" i="18"/>
  <c r="AG35" i="18"/>
  <c r="DG28" i="15"/>
  <c r="AK47" i="18"/>
  <c r="AK35" i="18"/>
  <c r="X35" i="18"/>
  <c r="X47" i="18"/>
  <c r="AI47" i="18"/>
  <c r="AI35" i="18"/>
  <c r="AX47" i="18"/>
  <c r="AX35" i="18"/>
  <c r="CD74" i="13"/>
  <c r="CD162" i="13" s="1"/>
  <c r="AW47" i="18"/>
  <c r="AW35" i="18"/>
  <c r="T47" i="18"/>
  <c r="T35" i="18"/>
  <c r="AJ47" i="18"/>
  <c r="AJ35" i="18"/>
  <c r="AU35" i="18"/>
  <c r="AU47" i="18"/>
  <c r="AY47" i="18"/>
  <c r="AY35" i="18"/>
  <c r="AD35" i="18"/>
  <c r="AD47" i="18"/>
  <c r="U47" i="18"/>
  <c r="U35" i="18"/>
  <c r="BN153" i="11"/>
  <c r="BN124" i="12"/>
  <c r="CL157" i="7"/>
  <c r="CL158" i="7"/>
  <c r="EO23" i="15"/>
  <c r="EK23" i="15"/>
  <c r="DO6" i="18"/>
  <c r="EX6" i="18" s="1"/>
  <c r="DO37" i="18"/>
  <c r="EX37" i="18" s="1"/>
  <c r="CC127" i="13"/>
  <c r="BV79" i="11"/>
  <c r="DM79" i="11" s="1"/>
  <c r="BV70" i="12"/>
  <c r="DM70" i="12" s="1"/>
  <c r="BV102" i="11"/>
  <c r="DM102" i="11" s="1"/>
  <c r="AC195" i="18"/>
  <c r="DP31" i="14"/>
  <c r="DP66" i="18"/>
  <c r="DG15" i="15"/>
  <c r="BV77" i="11"/>
  <c r="DM77" i="11" s="1"/>
  <c r="DC87" i="18"/>
  <c r="ET87" i="18" s="1"/>
  <c r="BV64" i="11"/>
  <c r="DM64" i="11" s="1"/>
  <c r="V35" i="18"/>
  <c r="V47" i="18"/>
  <c r="Q47" i="18"/>
  <c r="Q35" i="18"/>
  <c r="AQ47" i="18"/>
  <c r="AQ35" i="18"/>
  <c r="AN35" i="18"/>
  <c r="AN47" i="18"/>
  <c r="N35" i="18"/>
  <c r="N47" i="18"/>
  <c r="I35" i="18"/>
  <c r="I34" i="18" s="1"/>
  <c r="I61" i="18" s="1"/>
  <c r="I47" i="18"/>
  <c r="I46" i="18" s="1"/>
  <c r="CU153" i="18"/>
  <c r="BV55" i="11"/>
  <c r="DM55" i="11" s="1"/>
  <c r="CC155" i="13"/>
  <c r="BW58" i="12"/>
  <c r="DD68" i="15" s="1"/>
  <c r="BV45" i="12"/>
  <c r="DM45" i="12" s="1"/>
  <c r="DP327" i="2"/>
  <c r="DP3" i="14"/>
  <c r="DC54" i="15"/>
  <c r="ET54" i="15" s="1"/>
  <c r="DC80" i="15"/>
  <c r="ET80" i="15" s="1"/>
  <c r="CC139" i="13"/>
  <c r="CD103" i="13"/>
  <c r="CC129" i="13"/>
  <c r="BM38" i="15"/>
  <c r="BM67" i="15" s="1"/>
  <c r="BM21" i="15"/>
  <c r="CH38" i="15"/>
  <c r="CH67" i="15" s="1"/>
  <c r="CH21" i="15"/>
  <c r="AN38" i="15"/>
  <c r="AN67" i="15" s="1"/>
  <c r="AN21" i="15"/>
  <c r="AT38" i="15"/>
  <c r="AT67" i="15" s="1"/>
  <c r="AT21" i="15"/>
  <c r="N38" i="15"/>
  <c r="N67" i="15" s="1"/>
  <c r="N21" i="15"/>
  <c r="AS38" i="15"/>
  <c r="AS67" i="15" s="1"/>
  <c r="AS21" i="15"/>
  <c r="BP38" i="15"/>
  <c r="BP67" i="15" s="1"/>
  <c r="BP21" i="15"/>
  <c r="CM38" i="15"/>
  <c r="CM67" i="15" s="1"/>
  <c r="CM21" i="15"/>
  <c r="S38" i="15"/>
  <c r="S67" i="15" s="1"/>
  <c r="S21" i="15"/>
  <c r="CA168" i="13"/>
  <c r="AK38" i="15"/>
  <c r="AK67" i="15" s="1"/>
  <c r="AK21" i="15"/>
  <c r="BH38" i="15"/>
  <c r="BH67" i="15" s="1"/>
  <c r="BH21" i="15"/>
  <c r="CE38" i="15"/>
  <c r="CE67" i="15" s="1"/>
  <c r="CE21" i="15"/>
  <c r="AA38" i="15"/>
  <c r="AA67" i="15" s="1"/>
  <c r="AA21" i="15"/>
  <c r="BA38" i="15"/>
  <c r="BA67" i="15" s="1"/>
  <c r="BA21" i="15"/>
  <c r="AB38" i="15"/>
  <c r="AB67" i="15" s="1"/>
  <c r="AB21" i="15"/>
  <c r="AH38" i="15"/>
  <c r="AH67" i="15" s="1"/>
  <c r="AH21" i="15"/>
  <c r="CB142" i="13"/>
  <c r="CB158" i="13"/>
  <c r="AG38" i="15"/>
  <c r="AG67" i="15" s="1"/>
  <c r="AG21" i="15"/>
  <c r="BD38" i="15"/>
  <c r="BD67" i="15" s="1"/>
  <c r="BD21" i="15"/>
  <c r="CA38" i="15"/>
  <c r="CA67" i="15" s="1"/>
  <c r="CA21" i="15"/>
  <c r="AM38" i="15"/>
  <c r="AM67" i="15" s="1"/>
  <c r="AM21" i="15"/>
  <c r="BB38" i="15"/>
  <c r="BB67" i="15" s="1"/>
  <c r="BB21" i="15"/>
  <c r="CS38" i="15"/>
  <c r="CS67" i="15" s="1"/>
  <c r="CS21" i="15"/>
  <c r="Y38" i="15"/>
  <c r="Y67" i="15" s="1"/>
  <c r="Y21" i="15"/>
  <c r="AV38" i="15"/>
  <c r="AV67" i="15" s="1"/>
  <c r="AV21" i="15"/>
  <c r="BS38" i="15"/>
  <c r="BS67" i="15" s="1"/>
  <c r="BS21" i="15"/>
  <c r="AO38" i="15"/>
  <c r="AO67" i="15" s="1"/>
  <c r="AO21" i="15"/>
  <c r="CJ38" i="15"/>
  <c r="CJ67" i="15" s="1"/>
  <c r="CJ21" i="15"/>
  <c r="P38" i="15"/>
  <c r="P67" i="15" s="1"/>
  <c r="P21" i="15"/>
  <c r="CP38" i="15"/>
  <c r="CP67" i="15" s="1"/>
  <c r="CP21" i="15"/>
  <c r="V38" i="15"/>
  <c r="V67" i="15" s="1"/>
  <c r="V21" i="15"/>
  <c r="U38" i="15"/>
  <c r="U67" i="15" s="1"/>
  <c r="U21" i="15"/>
  <c r="AR38" i="15"/>
  <c r="AR67" i="15" s="1"/>
  <c r="AR21" i="15"/>
  <c r="BO38" i="15"/>
  <c r="BO67" i="15" s="1"/>
  <c r="BO21" i="15"/>
  <c r="AX38" i="15"/>
  <c r="AX67" i="15" s="1"/>
  <c r="AX21" i="15"/>
  <c r="AP38" i="15"/>
  <c r="AP67" i="15" s="1"/>
  <c r="AP21" i="15"/>
  <c r="CG38" i="15"/>
  <c r="CG67" i="15" s="1"/>
  <c r="CG21" i="15"/>
  <c r="M38" i="15"/>
  <c r="M67" i="15" s="1"/>
  <c r="M21" i="15"/>
  <c r="AJ38" i="15"/>
  <c r="AJ67" i="15" s="1"/>
  <c r="AJ21" i="15"/>
  <c r="BG38" i="15"/>
  <c r="BG67" i="15" s="1"/>
  <c r="BG21" i="15"/>
  <c r="AC38" i="15"/>
  <c r="AC67" i="15" s="1"/>
  <c r="AC21" i="15"/>
  <c r="BX38" i="15"/>
  <c r="BX67" i="15" s="1"/>
  <c r="BX21" i="15"/>
  <c r="CD38" i="15"/>
  <c r="CD67" i="15" s="1"/>
  <c r="CD21" i="15"/>
  <c r="AY38" i="15"/>
  <c r="AY67" i="15" s="1"/>
  <c r="AY21" i="15"/>
  <c r="CT38" i="15"/>
  <c r="CT67" i="15" s="1"/>
  <c r="CT21" i="15"/>
  <c r="AF38" i="15"/>
  <c r="AF67" i="15" s="1"/>
  <c r="AF21" i="15"/>
  <c r="BC38" i="15"/>
  <c r="BC67" i="15" s="1"/>
  <c r="BC21" i="15"/>
  <c r="AD38" i="15"/>
  <c r="AD67" i="15" s="1"/>
  <c r="AD21" i="15"/>
  <c r="BU38" i="15"/>
  <c r="BU67" i="15" s="1"/>
  <c r="BU21" i="15"/>
  <c r="X38" i="15"/>
  <c r="X67" i="15" s="1"/>
  <c r="X21" i="15"/>
  <c r="AU38" i="15"/>
  <c r="AU67" i="15" s="1"/>
  <c r="AU21" i="15"/>
  <c r="CK38" i="15"/>
  <c r="CK67" i="15" s="1"/>
  <c r="CK21" i="15"/>
  <c r="Q38" i="15"/>
  <c r="Q67" i="15" s="1"/>
  <c r="Q21" i="15"/>
  <c r="BL38" i="15"/>
  <c r="BL67" i="15" s="1"/>
  <c r="BL21" i="15"/>
  <c r="BJ38" i="15"/>
  <c r="BJ67" i="15" s="1"/>
  <c r="BJ21" i="15"/>
  <c r="BR38" i="15"/>
  <c r="BR67" i="15" s="1"/>
  <c r="BR21" i="15"/>
  <c r="BV38" i="15"/>
  <c r="BV67" i="15" s="1"/>
  <c r="BV21" i="15"/>
  <c r="CN38" i="15"/>
  <c r="CN67" i="15" s="1"/>
  <c r="CN21" i="15"/>
  <c r="T38" i="15"/>
  <c r="T67" i="15" s="1"/>
  <c r="T21" i="15"/>
  <c r="AQ38" i="15"/>
  <c r="AQ67" i="15" s="1"/>
  <c r="AQ21" i="15"/>
  <c r="CL38" i="15"/>
  <c r="CL67" i="15" s="1"/>
  <c r="CL21" i="15"/>
  <c r="R38" i="15"/>
  <c r="R67" i="15" s="1"/>
  <c r="R21" i="15"/>
  <c r="BI38" i="15"/>
  <c r="BI67" i="15" s="1"/>
  <c r="BI21" i="15"/>
  <c r="L38" i="15"/>
  <c r="L67" i="15" s="1"/>
  <c r="L21" i="15"/>
  <c r="AI38" i="15"/>
  <c r="AI67" i="15" s="1"/>
  <c r="AI21" i="15"/>
  <c r="BY38" i="15"/>
  <c r="BY67" i="15" s="1"/>
  <c r="BY21" i="15"/>
  <c r="AZ38" i="15"/>
  <c r="AZ67" i="15" s="1"/>
  <c r="AZ21" i="15"/>
  <c r="BF38" i="15"/>
  <c r="BF67" i="15" s="1"/>
  <c r="BF21" i="15"/>
  <c r="AL38" i="15"/>
  <c r="AL67" i="15" s="1"/>
  <c r="AL21" i="15"/>
  <c r="BE38" i="15"/>
  <c r="BE67" i="15" s="1"/>
  <c r="BE21" i="15"/>
  <c r="CB38" i="15"/>
  <c r="CB67" i="15" s="1"/>
  <c r="CB21" i="15"/>
  <c r="O38" i="15"/>
  <c r="O67" i="15" s="1"/>
  <c r="O21" i="15"/>
  <c r="AE38" i="15"/>
  <c r="AE67" i="15" s="1"/>
  <c r="AE21" i="15"/>
  <c r="Z38" i="15"/>
  <c r="Z67" i="15" s="1"/>
  <c r="Z21" i="15"/>
  <c r="CD133" i="13"/>
  <c r="AW38" i="15"/>
  <c r="AW67" i="15" s="1"/>
  <c r="AW21" i="15"/>
  <c r="CQ38" i="15"/>
  <c r="CQ67" i="15" s="1"/>
  <c r="CQ21" i="15"/>
  <c r="W38" i="15"/>
  <c r="W67" i="15" s="1"/>
  <c r="W21" i="15"/>
  <c r="CC124" i="13"/>
  <c r="CC130" i="13"/>
  <c r="CC121" i="13"/>
  <c r="DT121" i="13" s="1"/>
  <c r="CD123" i="13"/>
  <c r="DB502" i="2"/>
  <c r="DC543" i="2"/>
  <c r="DC549" i="2" s="1"/>
  <c r="DF544" i="2"/>
  <c r="CG134" i="13" s="1"/>
  <c r="DF546" i="2"/>
  <c r="CG136" i="13" s="1"/>
  <c r="DF497" i="2"/>
  <c r="CG112" i="13" s="1"/>
  <c r="DF498" i="2"/>
  <c r="CG113" i="13" s="1"/>
  <c r="CD116" i="13"/>
  <c r="CD114" i="13"/>
  <c r="DC488" i="2"/>
  <c r="CD115" i="13"/>
  <c r="CG49" i="13"/>
  <c r="BZ39" i="12" s="1"/>
  <c r="CH51" i="13"/>
  <c r="DG495" i="2"/>
  <c r="CH109" i="13" s="1"/>
  <c r="CH108" i="13"/>
  <c r="DE510" i="2"/>
  <c r="DF493" i="2"/>
  <c r="CG107" i="13" s="1"/>
  <c r="DP18" i="14"/>
  <c r="DP14" i="14"/>
  <c r="DP40" i="14"/>
  <c r="DP11" i="14"/>
  <c r="DP20" i="14"/>
  <c r="DF398" i="2"/>
  <c r="DP23" i="14"/>
  <c r="DF417" i="2"/>
  <c r="DF439" i="2" s="1"/>
  <c r="DG434" i="2"/>
  <c r="CH50" i="13"/>
  <c r="DF474" i="2"/>
  <c r="DF512" i="2" s="1"/>
  <c r="CG71" i="13"/>
  <c r="DF423" i="2"/>
  <c r="DF422" i="2" s="1"/>
  <c r="CF69" i="13"/>
  <c r="DU69" i="13" s="1"/>
  <c r="EH69" i="13" s="1"/>
  <c r="CF86" i="13"/>
  <c r="CF85" i="13" s="1"/>
  <c r="DP37" i="14"/>
  <c r="CH11" i="13"/>
  <c r="CG43" i="13"/>
  <c r="CH7" i="13"/>
  <c r="DG420" i="2"/>
  <c r="CH36" i="13" s="1"/>
  <c r="AX248" i="2"/>
  <c r="CL248" i="2"/>
  <c r="AN248" i="2"/>
  <c r="AQ248" i="2"/>
  <c r="CI248" i="2"/>
  <c r="CH248" i="2"/>
  <c r="AU248" i="2"/>
  <c r="AP248" i="2"/>
  <c r="BO248" i="2"/>
  <c r="BQ248" i="2"/>
  <c r="BK248" i="2"/>
  <c r="BB248" i="2"/>
  <c r="CO248" i="2"/>
  <c r="BW248" i="2"/>
  <c r="BE248" i="2"/>
  <c r="CJ248" i="2"/>
  <c r="CK248" i="2"/>
  <c r="BD248" i="2"/>
  <c r="CD248" i="2"/>
  <c r="AW248" i="2"/>
  <c r="BV248" i="2"/>
  <c r="BP248" i="2"/>
  <c r="CC248" i="2"/>
  <c r="CP248" i="2"/>
  <c r="AV248" i="2"/>
  <c r="BI248" i="2"/>
  <c r="CB248" i="2"/>
  <c r="BH248" i="2"/>
  <c r="BU248" i="2"/>
  <c r="AM248" i="2"/>
  <c r="AZ248" i="2"/>
  <c r="BA248" i="2"/>
  <c r="BN248" i="2"/>
  <c r="AT248" i="2"/>
  <c r="BG248" i="2"/>
  <c r="BT248" i="2"/>
  <c r="CG248" i="2"/>
  <c r="AL248" i="2"/>
  <c r="AY248" i="2"/>
  <c r="BZ248" i="2"/>
  <c r="CM248" i="2"/>
  <c r="AS248" i="2"/>
  <c r="BF248" i="2"/>
  <c r="CF248" i="2"/>
  <c r="CU85" i="3"/>
  <c r="CU84" i="3" s="1"/>
  <c r="CU146" i="18" s="1"/>
  <c r="CE163" i="2"/>
  <c r="CF163" i="2"/>
  <c r="CQ163" i="2"/>
  <c r="CG163" i="2"/>
  <c r="CV119" i="2"/>
  <c r="CU107" i="2"/>
  <c r="CV92" i="3" s="1"/>
  <c r="CV156" i="18" s="1"/>
  <c r="CV118" i="2"/>
  <c r="CU105" i="2"/>
  <c r="CV90" i="3" s="1"/>
  <c r="CV155" i="18" s="1"/>
  <c r="CV117" i="2"/>
  <c r="CU103" i="2"/>
  <c r="CV86" i="3" s="1"/>
  <c r="CV154" i="18" s="1"/>
  <c r="CE60" i="13"/>
  <c r="DE448" i="2"/>
  <c r="DD465" i="2"/>
  <c r="CE58" i="13"/>
  <c r="DE446" i="2"/>
  <c r="DD463" i="2"/>
  <c r="DE453" i="2"/>
  <c r="CE66" i="13"/>
  <c r="DD469" i="2"/>
  <c r="DD507" i="2" s="1"/>
  <c r="DD491" i="2" s="1"/>
  <c r="CE105" i="13" s="1"/>
  <c r="CH34" i="13"/>
  <c r="CE67" i="13"/>
  <c r="DE454" i="2"/>
  <c r="DD470" i="2"/>
  <c r="DD508" i="2" s="1"/>
  <c r="DD492" i="2" s="1"/>
  <c r="CE106" i="13" s="1"/>
  <c r="CH40" i="13"/>
  <c r="DD451" i="2"/>
  <c r="DE452" i="2"/>
  <c r="CE65" i="13"/>
  <c r="DD468" i="2"/>
  <c r="DD506" i="2" s="1"/>
  <c r="DE445" i="2"/>
  <c r="CE57" i="13"/>
  <c r="DD462" i="2"/>
  <c r="DE447" i="2"/>
  <c r="CE59" i="13"/>
  <c r="DD464" i="2"/>
  <c r="BY18" i="12"/>
  <c r="DN18" i="12" s="1"/>
  <c r="EA18" i="12" s="1"/>
  <c r="DG376" i="2"/>
  <c r="CH35" i="13"/>
  <c r="BZ11" i="12"/>
  <c r="CH41" i="13"/>
  <c r="CH13" i="13"/>
  <c r="CI4" i="13"/>
  <c r="DV4" i="13" s="1"/>
  <c r="DH395" i="2"/>
  <c r="CF32" i="13"/>
  <c r="DU32" i="13" s="1"/>
  <c r="EH32" i="13" s="1"/>
  <c r="CF54" i="13"/>
  <c r="DU54" i="13" s="1"/>
  <c r="EH54" i="13" s="1"/>
  <c r="CH27" i="13"/>
  <c r="DG405" i="2"/>
  <c r="DG429" i="2" s="1"/>
  <c r="CF38" i="13"/>
  <c r="DU38" i="13" s="1"/>
  <c r="EH38" i="13" s="1"/>
  <c r="DH396" i="2"/>
  <c r="DG407" i="2"/>
  <c r="CH26" i="13"/>
  <c r="DG404" i="2"/>
  <c r="CI99" i="13"/>
  <c r="DV99" i="13" s="1"/>
  <c r="DI479" i="2"/>
  <c r="DI483" i="2" s="1"/>
  <c r="DH378" i="2"/>
  <c r="DH379" i="2"/>
  <c r="DH401" i="2" s="1"/>
  <c r="CI20" i="13" s="1"/>
  <c r="DQ329" i="2"/>
  <c r="DQ331" i="2" s="1"/>
  <c r="DQ9" i="14"/>
  <c r="DQ48" i="14" s="1"/>
  <c r="CV318" i="2"/>
  <c r="CM156" i="7"/>
  <c r="CV137" i="15" s="1"/>
  <c r="DQ7" i="14"/>
  <c r="CT21" i="3"/>
  <c r="CT18" i="3"/>
  <c r="CS321" i="2"/>
  <c r="AC268" i="2"/>
  <c r="Q298" i="2"/>
  <c r="BY268" i="2"/>
  <c r="BM268" i="2"/>
  <c r="BI268" i="2"/>
  <c r="X268" i="2"/>
  <c r="CS298" i="2"/>
  <c r="BM321" i="2"/>
  <c r="BM298" i="2"/>
  <c r="CS268" i="2"/>
  <c r="CT268" i="2" s="1"/>
  <c r="CU268" i="2" s="1"/>
  <c r="CV268" i="2" s="1"/>
  <c r="CW268" i="2" s="1"/>
  <c r="CX268" i="2" s="1"/>
  <c r="CY268" i="2" s="1"/>
  <c r="CZ268" i="2" s="1"/>
  <c r="DA268" i="2" s="1"/>
  <c r="DB268" i="2" s="1"/>
  <c r="DC268" i="2" s="1"/>
  <c r="DD268" i="2" s="1"/>
  <c r="DE268" i="2" s="1"/>
  <c r="DF268" i="2" s="1"/>
  <c r="DG268" i="2" s="1"/>
  <c r="DH268" i="2" s="1"/>
  <c r="DI268" i="2" s="1"/>
  <c r="DJ268" i="2" s="1"/>
  <c r="DK268" i="2" s="1"/>
  <c r="DL268" i="2" s="1"/>
  <c r="DM268" i="2" s="1"/>
  <c r="DN268" i="2" s="1"/>
  <c r="DO268" i="2" s="1"/>
  <c r="DP268" i="2" s="1"/>
  <c r="DQ268" i="2" s="1"/>
  <c r="DR268" i="2" s="1"/>
  <c r="DS268" i="2" s="1"/>
  <c r="DT268" i="2" s="1"/>
  <c r="DU268" i="2" s="1"/>
  <c r="DV268" i="2" s="1"/>
  <c r="DW268" i="2" s="1"/>
  <c r="DX268" i="2" s="1"/>
  <c r="DY268" i="2" s="1"/>
  <c r="DZ268" i="2" s="1"/>
  <c r="EA268" i="2" s="1"/>
  <c r="EB268" i="2" s="1"/>
  <c r="EC268" i="2" s="1"/>
  <c r="BW321" i="2"/>
  <c r="AU298" i="2"/>
  <c r="BN321" i="2"/>
  <c r="AY298" i="2"/>
  <c r="BO298" i="2"/>
  <c r="BX268" i="2"/>
  <c r="BL268" i="2"/>
  <c r="K268" i="2"/>
  <c r="AZ268" i="2"/>
  <c r="BY321" i="2"/>
  <c r="BY298" i="2"/>
  <c r="BU298" i="2"/>
  <c r="AE298" i="2"/>
  <c r="BK321" i="2"/>
  <c r="CH298" i="2"/>
  <c r="BO321" i="2"/>
  <c r="AJ298" i="2"/>
  <c r="CR268" i="2"/>
  <c r="CI321" i="2"/>
  <c r="BZ298" i="2"/>
  <c r="BN298" i="2"/>
  <c r="AJ268" i="2"/>
  <c r="L298" i="2"/>
  <c r="X298" i="2"/>
  <c r="CR298" i="2"/>
  <c r="P268" i="2"/>
  <c r="L268" i="2"/>
  <c r="CG268" i="2"/>
  <c r="CD298" i="2"/>
  <c r="BW298" i="2"/>
  <c r="BU268" i="2"/>
  <c r="CA321" i="2"/>
  <c r="CI298" i="2"/>
  <c r="CG298" i="2"/>
  <c r="BG298" i="2"/>
  <c r="BA298" i="2"/>
  <c r="CB321" i="2"/>
  <c r="BJ298" i="2"/>
  <c r="BS298" i="2"/>
  <c r="AX298" i="2"/>
  <c r="BJ321" i="2"/>
  <c r="CB298" i="2"/>
  <c r="AK298" i="2"/>
  <c r="AB268" i="2"/>
  <c r="BP298" i="2"/>
  <c r="CK298" i="2"/>
  <c r="CK268" i="2"/>
  <c r="P298" i="2"/>
  <c r="BT321" i="2"/>
  <c r="CR321" i="2"/>
  <c r="AB298" i="2"/>
  <c r="AQ298" i="2"/>
  <c r="BC298" i="2"/>
  <c r="AW298" i="2"/>
  <c r="AN298" i="2"/>
  <c r="BL321" i="2"/>
  <c r="CF321" i="2"/>
  <c r="CN268" i="2"/>
  <c r="AI298" i="2"/>
  <c r="CA298" i="2"/>
  <c r="S298" i="2"/>
  <c r="CD268" i="2"/>
  <c r="CP298" i="2"/>
  <c r="BK298" i="2"/>
  <c r="BP321" i="2"/>
  <c r="BL298" i="2"/>
  <c r="U298" i="2"/>
  <c r="AL298" i="2"/>
  <c r="CE298" i="2"/>
  <c r="BX298" i="2"/>
  <c r="CJ298" i="2"/>
  <c r="AG298" i="2"/>
  <c r="CQ298" i="2"/>
  <c r="CM298" i="2"/>
  <c r="CN321" i="2"/>
  <c r="BQ321" i="2"/>
  <c r="AS298" i="2"/>
  <c r="AO298" i="2"/>
  <c r="CL268" i="2"/>
  <c r="CF268" i="2"/>
  <c r="Y268" i="2"/>
  <c r="BX321" i="2"/>
  <c r="T298" i="2"/>
  <c r="BZ321" i="2"/>
  <c r="CC321" i="2"/>
  <c r="BR321" i="2"/>
  <c r="BS321" i="2"/>
  <c r="BE298" i="2"/>
  <c r="BT268" i="2"/>
  <c r="M268" i="2"/>
  <c r="V298" i="2"/>
  <c r="CJ321" i="2"/>
  <c r="CL321" i="2"/>
  <c r="CO321" i="2"/>
  <c r="CE321" i="2"/>
  <c r="CN298" i="2"/>
  <c r="BQ298" i="2"/>
  <c r="CM268" i="2"/>
  <c r="BH268" i="2"/>
  <c r="AH298" i="2"/>
  <c r="R298" i="2"/>
  <c r="CP321" i="2"/>
  <c r="CQ321" i="2"/>
  <c r="AF298" i="2"/>
  <c r="CC298" i="2"/>
  <c r="CA268" i="2"/>
  <c r="AO268" i="2"/>
  <c r="O268" i="2"/>
  <c r="AV268" i="2"/>
  <c r="AT298" i="2"/>
  <c r="AP298" i="2"/>
  <c r="O298" i="2"/>
  <c r="BB298" i="2"/>
  <c r="Z298" i="2"/>
  <c r="AD298" i="2"/>
  <c r="BV321" i="2"/>
  <c r="CO298" i="2"/>
  <c r="BF298" i="2"/>
  <c r="N298" i="2"/>
  <c r="BV298" i="2"/>
  <c r="AA298" i="2"/>
  <c r="BD298" i="2"/>
  <c r="CH321" i="2"/>
  <c r="BR298" i="2"/>
  <c r="W298" i="2"/>
  <c r="AR298" i="2"/>
  <c r="AM298" i="2"/>
  <c r="BC268" i="2"/>
  <c r="T268" i="2"/>
  <c r="BJ268" i="2"/>
  <c r="BR268" i="2"/>
  <c r="AH268" i="2"/>
  <c r="CQ268" i="2"/>
  <c r="V268" i="2"/>
  <c r="CE268" i="2"/>
  <c r="BS268" i="2"/>
  <c r="AR268" i="2"/>
  <c r="FI93" i="3"/>
  <c r="FJ93" i="3"/>
  <c r="FJ77" i="3"/>
  <c r="FJ95" i="3"/>
  <c r="FI87" i="3"/>
  <c r="FJ97" i="3"/>
  <c r="FI95" i="3"/>
  <c r="FI77" i="3"/>
  <c r="FI91" i="3"/>
  <c r="FJ94" i="3"/>
  <c r="FI97" i="3"/>
  <c r="FI94" i="3"/>
  <c r="ER7" i="3"/>
  <c r="FI96" i="3"/>
  <c r="FJ96" i="3"/>
  <c r="FJ91" i="3"/>
  <c r="FJ87" i="3"/>
  <c r="ER11" i="3"/>
  <c r="ER46" i="3"/>
  <c r="ER38" i="3"/>
  <c r="ER109" i="3"/>
  <c r="ER25" i="3"/>
  <c r="ER15" i="3"/>
  <c r="ER21" i="3" s="1"/>
  <c r="CT36" i="3"/>
  <c r="CT79" i="18" s="1"/>
  <c r="ER37" i="3"/>
  <c r="ER24" i="3"/>
  <c r="ER3" i="3"/>
  <c r="CS54" i="2"/>
  <c r="CR54" i="2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CR50" i="2"/>
  <c r="BI50" i="2"/>
  <c r="BH50" i="2"/>
  <c r="BG50" i="2"/>
  <c r="BF50" i="2"/>
  <c r="BE50" i="2"/>
  <c r="BD50" i="2"/>
  <c r="BC50" i="2"/>
  <c r="BB50" i="2"/>
  <c r="BA50" i="2"/>
  <c r="AZ50" i="2"/>
  <c r="AZ98" i="2" s="1"/>
  <c r="CR39" i="2"/>
  <c r="CR48" i="2" s="1"/>
  <c r="CQ39" i="2"/>
  <c r="CQ48" i="2" s="1"/>
  <c r="CP39" i="2"/>
  <c r="CP48" i="2" s="1"/>
  <c r="CO39" i="2"/>
  <c r="CO48" i="2" s="1"/>
  <c r="CN39" i="2"/>
  <c r="CN48" i="2" s="1"/>
  <c r="CM39" i="2"/>
  <c r="CM48" i="2" s="1"/>
  <c r="CL39" i="2"/>
  <c r="CL48" i="2" s="1"/>
  <c r="CK39" i="2"/>
  <c r="CK48" i="2" s="1"/>
  <c r="CJ39" i="2"/>
  <c r="CJ48" i="2" s="1"/>
  <c r="CI39" i="2"/>
  <c r="CI48" i="2" s="1"/>
  <c r="CH39" i="2"/>
  <c r="CH48" i="2" s="1"/>
  <c r="CR38" i="2"/>
  <c r="CR47" i="2" s="1"/>
  <c r="CQ38" i="2"/>
  <c r="CQ47" i="2" s="1"/>
  <c r="CP38" i="2"/>
  <c r="CP47" i="2" s="1"/>
  <c r="CO38" i="2"/>
  <c r="CO47" i="2" s="1"/>
  <c r="CN38" i="2"/>
  <c r="CN47" i="2" s="1"/>
  <c r="CM38" i="2"/>
  <c r="CM47" i="2" s="1"/>
  <c r="CL38" i="2"/>
  <c r="CL47" i="2" s="1"/>
  <c r="CK38" i="2"/>
  <c r="CK47" i="2" s="1"/>
  <c r="CJ38" i="2"/>
  <c r="CJ47" i="2" s="1"/>
  <c r="CI38" i="2"/>
  <c r="CI47" i="2" s="1"/>
  <c r="CH38" i="2"/>
  <c r="CH47" i="2" s="1"/>
  <c r="CG39" i="2"/>
  <c r="CG48" i="2" s="1"/>
  <c r="CG38" i="2"/>
  <c r="CG47" i="2" s="1"/>
  <c r="CF39" i="2"/>
  <c r="CF48" i="2" s="1"/>
  <c r="CE39" i="2"/>
  <c r="CE48" i="2" s="1"/>
  <c r="CD39" i="2"/>
  <c r="CD48" i="2" s="1"/>
  <c r="CC39" i="2"/>
  <c r="CC48" i="2" s="1"/>
  <c r="CB39" i="2"/>
  <c r="CB48" i="2" s="1"/>
  <c r="CA39" i="2"/>
  <c r="CA48" i="2" s="1"/>
  <c r="BZ39" i="2"/>
  <c r="BZ48" i="2" s="1"/>
  <c r="BY39" i="2"/>
  <c r="BY48" i="2" s="1"/>
  <c r="BX39" i="2"/>
  <c r="BX48" i="2" s="1"/>
  <c r="BW39" i="2"/>
  <c r="BW48" i="2" s="1"/>
  <c r="BV39" i="2"/>
  <c r="BV48" i="2" s="1"/>
  <c r="BU39" i="2"/>
  <c r="BU48" i="2" s="1"/>
  <c r="BT39" i="2"/>
  <c r="BT48" i="2" s="1"/>
  <c r="BS39" i="2"/>
  <c r="BS48" i="2" s="1"/>
  <c r="BR39" i="2"/>
  <c r="BR48" i="2" s="1"/>
  <c r="BQ39" i="2"/>
  <c r="BQ48" i="2" s="1"/>
  <c r="BP39" i="2"/>
  <c r="BP48" i="2" s="1"/>
  <c r="BO39" i="2"/>
  <c r="BO48" i="2" s="1"/>
  <c r="BN39" i="2"/>
  <c r="BN48" i="2" s="1"/>
  <c r="BM39" i="2"/>
  <c r="BM48" i="2" s="1"/>
  <c r="BL39" i="2"/>
  <c r="BL48" i="2" s="1"/>
  <c r="BK39" i="2"/>
  <c r="BK48" i="2" s="1"/>
  <c r="BJ39" i="2"/>
  <c r="BJ48" i="2" s="1"/>
  <c r="BI39" i="2"/>
  <c r="BI48" i="2" s="1"/>
  <c r="BH39" i="2"/>
  <c r="BH48" i="2" s="1"/>
  <c r="BG39" i="2"/>
  <c r="BG48" i="2" s="1"/>
  <c r="BF39" i="2"/>
  <c r="BF48" i="2" s="1"/>
  <c r="BE39" i="2"/>
  <c r="BE48" i="2" s="1"/>
  <c r="BD39" i="2"/>
  <c r="BD48" i="2" s="1"/>
  <c r="BC39" i="2"/>
  <c r="BC48" i="2" s="1"/>
  <c r="BB39" i="2"/>
  <c r="BB48" i="2" s="1"/>
  <c r="BA39" i="2"/>
  <c r="BA48" i="2" s="1"/>
  <c r="CF38" i="2"/>
  <c r="CF47" i="2" s="1"/>
  <c r="CE38" i="2"/>
  <c r="CE47" i="2" s="1"/>
  <c r="CD38" i="2"/>
  <c r="CD47" i="2" s="1"/>
  <c r="CC38" i="2"/>
  <c r="CC47" i="2" s="1"/>
  <c r="CB38" i="2"/>
  <c r="CB47" i="2" s="1"/>
  <c r="CA38" i="2"/>
  <c r="CA47" i="2" s="1"/>
  <c r="BZ38" i="2"/>
  <c r="BZ47" i="2" s="1"/>
  <c r="BY38" i="2"/>
  <c r="BX38" i="2"/>
  <c r="BX47" i="2" s="1"/>
  <c r="BW38" i="2"/>
  <c r="BW47" i="2" s="1"/>
  <c r="BV38" i="2"/>
  <c r="BV47" i="2" s="1"/>
  <c r="BU38" i="2"/>
  <c r="BU47" i="2" s="1"/>
  <c r="BT38" i="2"/>
  <c r="BT47" i="2" s="1"/>
  <c r="BS38" i="2"/>
  <c r="BS47" i="2" s="1"/>
  <c r="BR38" i="2"/>
  <c r="BR47" i="2" s="1"/>
  <c r="BQ38" i="2"/>
  <c r="BQ47" i="2" s="1"/>
  <c r="BP38" i="2"/>
  <c r="BP47" i="2" s="1"/>
  <c r="BO38" i="2"/>
  <c r="BO47" i="2" s="1"/>
  <c r="BN38" i="2"/>
  <c r="BN47" i="2" s="1"/>
  <c r="BM38" i="2"/>
  <c r="BL38" i="2"/>
  <c r="BL47" i="2" s="1"/>
  <c r="BK38" i="2"/>
  <c r="BK47" i="2" s="1"/>
  <c r="BJ38" i="2"/>
  <c r="BJ47" i="2" s="1"/>
  <c r="BI38" i="2"/>
  <c r="BI47" i="2" s="1"/>
  <c r="BH38" i="2"/>
  <c r="BH47" i="2" s="1"/>
  <c r="BG38" i="2"/>
  <c r="BG47" i="2" s="1"/>
  <c r="BF38" i="2"/>
  <c r="BF47" i="2" s="1"/>
  <c r="BE38" i="2"/>
  <c r="BE47" i="2" s="1"/>
  <c r="BD38" i="2"/>
  <c r="BD47" i="2" s="1"/>
  <c r="BC38" i="2"/>
  <c r="BC47" i="2" s="1"/>
  <c r="BB38" i="2"/>
  <c r="BB47" i="2" s="1"/>
  <c r="BA38" i="2"/>
  <c r="AZ39" i="2"/>
  <c r="AZ48" i="2" s="1"/>
  <c r="AZ38" i="2"/>
  <c r="AZ47" i="2" s="1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B18" i="2"/>
  <c r="C32" i="2"/>
  <c r="D18" i="2"/>
  <c r="E18" i="2"/>
  <c r="F18" i="2"/>
  <c r="G18" i="2"/>
  <c r="H18" i="2"/>
  <c r="I18" i="2"/>
  <c r="J18" i="2"/>
  <c r="K18" i="2"/>
  <c r="L18" i="2"/>
  <c r="M18" i="2"/>
  <c r="N18" i="2"/>
  <c r="O32" i="2"/>
  <c r="P18" i="2"/>
  <c r="Q18" i="2"/>
  <c r="R18" i="2"/>
  <c r="S18" i="2"/>
  <c r="T18" i="2"/>
  <c r="U18" i="2"/>
  <c r="V18" i="2"/>
  <c r="W18" i="2"/>
  <c r="X18" i="2"/>
  <c r="Y32" i="2"/>
  <c r="Z18" i="2"/>
  <c r="AA32" i="2"/>
  <c r="AB18" i="2"/>
  <c r="AC18" i="2"/>
  <c r="AD18" i="2"/>
  <c r="AE18" i="2"/>
  <c r="AF18" i="2"/>
  <c r="AG18" i="2"/>
  <c r="AH18" i="2"/>
  <c r="AI18" i="2"/>
  <c r="AJ18" i="2"/>
  <c r="AK18" i="2"/>
  <c r="AL18" i="2"/>
  <c r="AM32" i="2"/>
  <c r="AN18" i="2"/>
  <c r="AO18" i="2"/>
  <c r="AP18" i="2"/>
  <c r="AQ18" i="2"/>
  <c r="AR18" i="2"/>
  <c r="AS18" i="2"/>
  <c r="AT18" i="2"/>
  <c r="AU18" i="2"/>
  <c r="AV18" i="2"/>
  <c r="AW32" i="2"/>
  <c r="AX18" i="2"/>
  <c r="AY32" i="2"/>
  <c r="CT3" i="3"/>
  <c r="EQ111" i="3"/>
  <c r="EP111" i="3"/>
  <c r="EO111" i="3"/>
  <c r="EN111" i="3"/>
  <c r="EM111" i="3"/>
  <c r="EL111" i="3"/>
  <c r="EK111" i="3"/>
  <c r="EJ111" i="3"/>
  <c r="EI111" i="3"/>
  <c r="EH111" i="3"/>
  <c r="EG111" i="3"/>
  <c r="EQ110" i="3"/>
  <c r="EP110" i="3"/>
  <c r="EO110" i="3"/>
  <c r="EN110" i="3"/>
  <c r="EM110" i="3"/>
  <c r="EL110" i="3"/>
  <c r="EK110" i="3"/>
  <c r="EJ110" i="3"/>
  <c r="EI110" i="3"/>
  <c r="EH110" i="3"/>
  <c r="EG110" i="3"/>
  <c r="CS109" i="3"/>
  <c r="CR109" i="3"/>
  <c r="CQ109" i="3"/>
  <c r="CP109" i="3"/>
  <c r="CO109" i="3"/>
  <c r="CN109" i="3"/>
  <c r="CM109" i="3"/>
  <c r="CL109" i="3"/>
  <c r="CK109" i="3"/>
  <c r="CJ109" i="3"/>
  <c r="CI109" i="3"/>
  <c r="CH109" i="3"/>
  <c r="CG109" i="3"/>
  <c r="CF109" i="3"/>
  <c r="CE109" i="3"/>
  <c r="CD109" i="3"/>
  <c r="CC109" i="3"/>
  <c r="CB109" i="3"/>
  <c r="CA109" i="3"/>
  <c r="BZ109" i="3"/>
  <c r="BY109" i="3"/>
  <c r="BX109" i="3"/>
  <c r="BW109" i="3"/>
  <c r="BV109" i="3"/>
  <c r="BU109" i="3"/>
  <c r="BT109" i="3"/>
  <c r="BS109" i="3"/>
  <c r="BR109" i="3"/>
  <c r="BQ109" i="3"/>
  <c r="BP109" i="3"/>
  <c r="BO109" i="3"/>
  <c r="BN109" i="3"/>
  <c r="BM109" i="3"/>
  <c r="BL109" i="3"/>
  <c r="BK109" i="3"/>
  <c r="EQ103" i="3"/>
  <c r="EP103" i="3"/>
  <c r="EO103" i="3"/>
  <c r="EN103" i="3"/>
  <c r="EM103" i="3"/>
  <c r="EL103" i="3"/>
  <c r="EK103" i="3"/>
  <c r="EJ103" i="3"/>
  <c r="EI103" i="3"/>
  <c r="EH103" i="3"/>
  <c r="EG103" i="3"/>
  <c r="EQ97" i="3"/>
  <c r="EP97" i="3"/>
  <c r="EO97" i="3"/>
  <c r="EN97" i="3"/>
  <c r="EM97" i="3"/>
  <c r="EL97" i="3"/>
  <c r="EK97" i="3"/>
  <c r="EJ97" i="3"/>
  <c r="EI97" i="3"/>
  <c r="EH97" i="3"/>
  <c r="EQ96" i="3"/>
  <c r="EP96" i="3"/>
  <c r="EO96" i="3"/>
  <c r="EN96" i="3"/>
  <c r="EM96" i="3"/>
  <c r="EL96" i="3"/>
  <c r="EJ96" i="3"/>
  <c r="EH96" i="3"/>
  <c r="EQ95" i="3"/>
  <c r="EP95" i="3"/>
  <c r="EO95" i="3"/>
  <c r="EN95" i="3"/>
  <c r="EM95" i="3"/>
  <c r="EL95" i="3"/>
  <c r="EK95" i="3"/>
  <c r="EJ95" i="3"/>
  <c r="EI95" i="3"/>
  <c r="EH95" i="3"/>
  <c r="EG95" i="3"/>
  <c r="EQ94" i="3"/>
  <c r="EP94" i="3"/>
  <c r="EO94" i="3"/>
  <c r="EN94" i="3"/>
  <c r="EM94" i="3"/>
  <c r="EL94" i="3"/>
  <c r="EK94" i="3"/>
  <c r="EJ94" i="3"/>
  <c r="EI94" i="3"/>
  <c r="EH94" i="3"/>
  <c r="EG94" i="3"/>
  <c r="EQ92" i="3"/>
  <c r="EP92" i="3"/>
  <c r="EL92" i="3"/>
  <c r="EM92" i="3"/>
  <c r="EJ92" i="3"/>
  <c r="EI92" i="3"/>
  <c r="EH92" i="3"/>
  <c r="AZ85" i="3"/>
  <c r="AZ84" i="3" s="1"/>
  <c r="AZ146" i="18" s="1"/>
  <c r="AZ145" i="18" s="1"/>
  <c r="AU85" i="3"/>
  <c r="AU84" i="3" s="1"/>
  <c r="AU146" i="18" s="1"/>
  <c r="AU145" i="18" s="1"/>
  <c r="EN90" i="3"/>
  <c r="EM90" i="3"/>
  <c r="EL90" i="3"/>
  <c r="EI90" i="3"/>
  <c r="EQ90" i="3"/>
  <c r="EP90" i="3"/>
  <c r="CI85" i="3"/>
  <c r="CI84" i="3" s="1"/>
  <c r="CI146" i="18" s="1"/>
  <c r="BW85" i="3"/>
  <c r="EJ90" i="3"/>
  <c r="EH90" i="3"/>
  <c r="BL85" i="3"/>
  <c r="AY85" i="3"/>
  <c r="AX85" i="3"/>
  <c r="AX84" i="3" s="1"/>
  <c r="AX146" i="18" s="1"/>
  <c r="AX145" i="18" s="1"/>
  <c r="AW85" i="3"/>
  <c r="AW84" i="3" s="1"/>
  <c r="AW146" i="18" s="1"/>
  <c r="AW145" i="18" s="1"/>
  <c r="AV85" i="3"/>
  <c r="W85" i="3"/>
  <c r="W84" i="3" s="1"/>
  <c r="W146" i="18" s="1"/>
  <c r="W145" i="18" s="1"/>
  <c r="EQ86" i="3"/>
  <c r="EP86" i="3"/>
  <c r="EH86" i="3"/>
  <c r="EG86" i="3"/>
  <c r="CQ85" i="3"/>
  <c r="CQ84" i="3" s="1"/>
  <c r="CQ146" i="18" s="1"/>
  <c r="CQ145" i="18" s="1"/>
  <c r="CP85" i="3"/>
  <c r="CP84" i="3" s="1"/>
  <c r="CP146" i="18" s="1"/>
  <c r="CP145" i="18" s="1"/>
  <c r="CO85" i="3"/>
  <c r="CO84" i="3" s="1"/>
  <c r="CO146" i="18" s="1"/>
  <c r="CN85" i="3"/>
  <c r="CN84" i="3" s="1"/>
  <c r="CN146" i="18" s="1"/>
  <c r="CN145" i="18" s="1"/>
  <c r="CM85" i="3"/>
  <c r="CM84" i="3" s="1"/>
  <c r="CM146" i="18" s="1"/>
  <c r="CM145" i="18" s="1"/>
  <c r="EO86" i="3"/>
  <c r="CG85" i="3"/>
  <c r="CG84" i="3" s="1"/>
  <c r="CG146" i="18" s="1"/>
  <c r="CG145" i="18" s="1"/>
  <c r="CE85" i="3"/>
  <c r="CE84" i="3" s="1"/>
  <c r="CE146" i="18" s="1"/>
  <c r="CE145" i="18" s="1"/>
  <c r="CD85" i="3"/>
  <c r="CD84" i="3" s="1"/>
  <c r="CD146" i="18" s="1"/>
  <c r="CD145" i="18" s="1"/>
  <c r="CB85" i="3"/>
  <c r="CB84" i="3" s="1"/>
  <c r="CB146" i="18" s="1"/>
  <c r="CB145" i="18" s="1"/>
  <c r="CA85" i="3"/>
  <c r="CA84" i="3" s="1"/>
  <c r="CA146" i="18" s="1"/>
  <c r="CA145" i="18" s="1"/>
  <c r="BU85" i="3"/>
  <c r="BS85" i="3"/>
  <c r="BS84" i="3" s="1"/>
  <c r="BS146" i="18" s="1"/>
  <c r="BS145" i="18" s="1"/>
  <c r="BR85" i="3"/>
  <c r="BI85" i="3"/>
  <c r="BI84" i="3" s="1"/>
  <c r="BI146" i="18" s="1"/>
  <c r="BI145" i="18" s="1"/>
  <c r="BH85" i="3"/>
  <c r="BH84" i="3" s="1"/>
  <c r="BH146" i="18" s="1"/>
  <c r="BH145" i="18" s="1"/>
  <c r="BG85" i="3"/>
  <c r="BG84" i="3" s="1"/>
  <c r="BG146" i="18" s="1"/>
  <c r="BG145" i="18" s="1"/>
  <c r="BF85" i="3"/>
  <c r="BF84" i="3" s="1"/>
  <c r="BF146" i="18" s="1"/>
  <c r="BF145" i="18" s="1"/>
  <c r="BE85" i="3"/>
  <c r="BE84" i="3" s="1"/>
  <c r="BE146" i="18" s="1"/>
  <c r="BE145" i="18" s="1"/>
  <c r="AO85" i="3"/>
  <c r="AO84" i="3" s="1"/>
  <c r="AO146" i="18" s="1"/>
  <c r="AO145" i="18" s="1"/>
  <c r="AN85" i="3"/>
  <c r="AL85" i="3"/>
  <c r="AK85" i="3"/>
  <c r="AJ85" i="3"/>
  <c r="AG85" i="3"/>
  <c r="AG84" i="3" s="1"/>
  <c r="AG146" i="18" s="1"/>
  <c r="AG145" i="18" s="1"/>
  <c r="AD85" i="3"/>
  <c r="AD84" i="3" s="1"/>
  <c r="AD146" i="18" s="1"/>
  <c r="AD145" i="18" s="1"/>
  <c r="CS85" i="3"/>
  <c r="CS84" i="3" s="1"/>
  <c r="CS146" i="18" s="1"/>
  <c r="CS145" i="18" s="1"/>
  <c r="CR85" i="3"/>
  <c r="CR84" i="3" s="1"/>
  <c r="CR146" i="18" s="1"/>
  <c r="CK85" i="3"/>
  <c r="CK84" i="3" s="1"/>
  <c r="CK146" i="18" s="1"/>
  <c r="CK145" i="18" s="1"/>
  <c r="CJ85" i="3"/>
  <c r="CJ84" i="3" s="1"/>
  <c r="CJ146" i="18" s="1"/>
  <c r="CJ145" i="18" s="1"/>
  <c r="CH85" i="3"/>
  <c r="CH84" i="3" s="1"/>
  <c r="CH146" i="18" s="1"/>
  <c r="CH145" i="18" s="1"/>
  <c r="CC85" i="3"/>
  <c r="CC84" i="3" s="1"/>
  <c r="CC146" i="18" s="1"/>
  <c r="BV85" i="3"/>
  <c r="BV84" i="3" s="1"/>
  <c r="BV146" i="18" s="1"/>
  <c r="BV145" i="18" s="1"/>
  <c r="BQ85" i="3"/>
  <c r="BP85" i="3"/>
  <c r="BO85" i="3"/>
  <c r="BO84" i="3" s="1"/>
  <c r="BO146" i="18" s="1"/>
  <c r="BO145" i="18" s="1"/>
  <c r="BN85" i="3"/>
  <c r="BJ85" i="3"/>
  <c r="BJ84" i="3" s="1"/>
  <c r="BJ146" i="18" s="1"/>
  <c r="BJ145" i="18" s="1"/>
  <c r="BD85" i="3"/>
  <c r="BD84" i="3" s="1"/>
  <c r="BD146" i="18" s="1"/>
  <c r="BD145" i="18" s="1"/>
  <c r="BC85" i="3"/>
  <c r="BC84" i="3" s="1"/>
  <c r="BC146" i="18" s="1"/>
  <c r="BC145" i="18" s="1"/>
  <c r="AT85" i="3"/>
  <c r="AT84" i="3" s="1"/>
  <c r="AT146" i="18" s="1"/>
  <c r="AT145" i="18" s="1"/>
  <c r="AS85" i="3"/>
  <c r="AS84" i="3" s="1"/>
  <c r="AS146" i="18" s="1"/>
  <c r="AS145" i="18" s="1"/>
  <c r="AR85" i="3"/>
  <c r="AQ85" i="3"/>
  <c r="AP85" i="3"/>
  <c r="AP84" i="3" s="1"/>
  <c r="AP146" i="18" s="1"/>
  <c r="AP145" i="18" s="1"/>
  <c r="AM85" i="3"/>
  <c r="AM84" i="3" s="1"/>
  <c r="AM146" i="18" s="1"/>
  <c r="AM145" i="18" s="1"/>
  <c r="AI85" i="3"/>
  <c r="AH85" i="3"/>
  <c r="AH84" i="3" s="1"/>
  <c r="AH146" i="18" s="1"/>
  <c r="AH145" i="18" s="1"/>
  <c r="AF85" i="3"/>
  <c r="AF84" i="3" s="1"/>
  <c r="AF146" i="18" s="1"/>
  <c r="AF145" i="18" s="1"/>
  <c r="AE85" i="3"/>
  <c r="AE84" i="3" s="1"/>
  <c r="AE146" i="18" s="1"/>
  <c r="AE145" i="18" s="1"/>
  <c r="AC85" i="3"/>
  <c r="AC84" i="3" s="1"/>
  <c r="AC146" i="18" s="1"/>
  <c r="AC145" i="18" s="1"/>
  <c r="AB85" i="3"/>
  <c r="AB84" i="3" s="1"/>
  <c r="AB146" i="18" s="1"/>
  <c r="AB145" i="18" s="1"/>
  <c r="AA85" i="3"/>
  <c r="AA84" i="3" s="1"/>
  <c r="AA146" i="18" s="1"/>
  <c r="AA145" i="18" s="1"/>
  <c r="Z85" i="3"/>
  <c r="Z84" i="3" s="1"/>
  <c r="Z146" i="18" s="1"/>
  <c r="Z145" i="18" s="1"/>
  <c r="Y85" i="3"/>
  <c r="Y84" i="3" s="1"/>
  <c r="Y146" i="18" s="1"/>
  <c r="Y145" i="18" s="1"/>
  <c r="X85" i="3"/>
  <c r="X84" i="3" s="1"/>
  <c r="X146" i="18" s="1"/>
  <c r="X145" i="18" s="1"/>
  <c r="V85" i="3"/>
  <c r="V84" i="3" s="1"/>
  <c r="V146" i="18" s="1"/>
  <c r="V145" i="18" s="1"/>
  <c r="U85" i="3"/>
  <c r="U84" i="3" s="1"/>
  <c r="U146" i="18" s="1"/>
  <c r="U145" i="18" s="1"/>
  <c r="T85" i="3"/>
  <c r="T84" i="3" s="1"/>
  <c r="T146" i="18" s="1"/>
  <c r="T145" i="18" s="1"/>
  <c r="S85" i="3"/>
  <c r="S84" i="3" s="1"/>
  <c r="S146" i="18" s="1"/>
  <c r="S145" i="18" s="1"/>
  <c r="R85" i="3"/>
  <c r="Q85" i="3"/>
  <c r="P85" i="3"/>
  <c r="P84" i="3" s="1"/>
  <c r="P146" i="18" s="1"/>
  <c r="P145" i="18" s="1"/>
  <c r="O85" i="3"/>
  <c r="O84" i="3" s="1"/>
  <c r="O146" i="18" s="1"/>
  <c r="O145" i="18" s="1"/>
  <c r="N85" i="3"/>
  <c r="N84" i="3" s="1"/>
  <c r="N146" i="18" s="1"/>
  <c r="N145" i="18" s="1"/>
  <c r="M85" i="3"/>
  <c r="M84" i="3" s="1"/>
  <c r="M146" i="18" s="1"/>
  <c r="M145" i="18" s="1"/>
  <c r="L85" i="3"/>
  <c r="L84" i="3" s="1"/>
  <c r="L146" i="18" s="1"/>
  <c r="L145" i="18" s="1"/>
  <c r="K85" i="3"/>
  <c r="K84" i="3" s="1"/>
  <c r="K146" i="18" s="1"/>
  <c r="K145" i="18" s="1"/>
  <c r="J85" i="3"/>
  <c r="J84" i="3" s="1"/>
  <c r="J146" i="18" s="1"/>
  <c r="J145" i="18" s="1"/>
  <c r="I85" i="3"/>
  <c r="I84" i="3" s="1"/>
  <c r="I146" i="18" s="1"/>
  <c r="I145" i="18" s="1"/>
  <c r="H85" i="3"/>
  <c r="H84" i="3" s="1"/>
  <c r="H146" i="18" s="1"/>
  <c r="H145" i="18" s="1"/>
  <c r="G85" i="3"/>
  <c r="G84" i="3" s="1"/>
  <c r="G146" i="18" s="1"/>
  <c r="G145" i="18" s="1"/>
  <c r="F85" i="3"/>
  <c r="F84" i="3" s="1"/>
  <c r="F146" i="18" s="1"/>
  <c r="F145" i="18" s="1"/>
  <c r="E85" i="3"/>
  <c r="E84" i="3" s="1"/>
  <c r="E146" i="18" s="1"/>
  <c r="E145" i="18" s="1"/>
  <c r="D85" i="3"/>
  <c r="D84" i="3" s="1"/>
  <c r="D146" i="18" s="1"/>
  <c r="D145" i="18" s="1"/>
  <c r="C85" i="3"/>
  <c r="C84" i="3" s="1"/>
  <c r="C146" i="18" s="1"/>
  <c r="C145" i="18" s="1"/>
  <c r="BI83" i="3"/>
  <c r="AZ74" i="3"/>
  <c r="AZ120" i="18" s="1"/>
  <c r="AZ119" i="18" s="1"/>
  <c r="AX74" i="3"/>
  <c r="AX120" i="18" s="1"/>
  <c r="AX119" i="18" s="1"/>
  <c r="AW74" i="3"/>
  <c r="AW120" i="18" s="1"/>
  <c r="AW119" i="18" s="1"/>
  <c r="AR74" i="3"/>
  <c r="AR120" i="18" s="1"/>
  <c r="AR119" i="18" s="1"/>
  <c r="AO74" i="3"/>
  <c r="AO120" i="18" s="1"/>
  <c r="AO119" i="18" s="1"/>
  <c r="EQ77" i="3"/>
  <c r="EP77" i="3"/>
  <c r="EO77" i="3"/>
  <c r="EN77" i="3"/>
  <c r="EM77" i="3"/>
  <c r="EL77" i="3"/>
  <c r="EK77" i="3"/>
  <c r="EJ77" i="3"/>
  <c r="EI77" i="3"/>
  <c r="EQ76" i="3"/>
  <c r="EP76" i="3"/>
  <c r="EO76" i="3"/>
  <c r="EN76" i="3"/>
  <c r="EM76" i="3"/>
  <c r="EL76" i="3"/>
  <c r="EK76" i="3"/>
  <c r="EJ76" i="3"/>
  <c r="EI76" i="3"/>
  <c r="EH76" i="3"/>
  <c r="EG76" i="3"/>
  <c r="EQ75" i="3"/>
  <c r="EP75" i="3"/>
  <c r="EO75" i="3"/>
  <c r="EN75" i="3"/>
  <c r="EM75" i="3"/>
  <c r="EL75" i="3"/>
  <c r="EK75" i="3"/>
  <c r="EJ75" i="3"/>
  <c r="EI75" i="3"/>
  <c r="EH75" i="3"/>
  <c r="EG75" i="3"/>
  <c r="R74" i="3"/>
  <c r="R120" i="18" s="1"/>
  <c r="R119" i="18" s="1"/>
  <c r="P74" i="3"/>
  <c r="P120" i="18" s="1"/>
  <c r="P119" i="18" s="1"/>
  <c r="O74" i="3"/>
  <c r="O120" i="18" s="1"/>
  <c r="O119" i="18" s="1"/>
  <c r="N74" i="3"/>
  <c r="N120" i="18" s="1"/>
  <c r="N119" i="18" s="1"/>
  <c r="M74" i="3"/>
  <c r="M120" i="18" s="1"/>
  <c r="M119" i="18" s="1"/>
  <c r="L74" i="3"/>
  <c r="L120" i="18" s="1"/>
  <c r="L119" i="18" s="1"/>
  <c r="AS74" i="3"/>
  <c r="AS120" i="18" s="1"/>
  <c r="AS119" i="18" s="1"/>
  <c r="AQ74" i="3"/>
  <c r="AQ120" i="18" s="1"/>
  <c r="AQ119" i="18" s="1"/>
  <c r="AI74" i="3"/>
  <c r="AI120" i="18" s="1"/>
  <c r="AI119" i="18" s="1"/>
  <c r="AH74" i="3"/>
  <c r="AH120" i="18" s="1"/>
  <c r="AH119" i="18" s="1"/>
  <c r="AG74" i="3"/>
  <c r="AG120" i="18" s="1"/>
  <c r="AG119" i="18" s="1"/>
  <c r="AF74" i="3"/>
  <c r="AF120" i="18" s="1"/>
  <c r="AF119" i="18" s="1"/>
  <c r="AE74" i="3"/>
  <c r="AE120" i="18" s="1"/>
  <c r="AE119" i="18" s="1"/>
  <c r="AD74" i="3"/>
  <c r="AD120" i="18" s="1"/>
  <c r="AD119" i="18" s="1"/>
  <c r="AC74" i="3"/>
  <c r="AC120" i="18" s="1"/>
  <c r="AC119" i="18" s="1"/>
  <c r="AB74" i="3"/>
  <c r="AB120" i="18" s="1"/>
  <c r="AB119" i="18" s="1"/>
  <c r="AA74" i="3"/>
  <c r="AA120" i="18" s="1"/>
  <c r="AA119" i="18" s="1"/>
  <c r="Z74" i="3"/>
  <c r="Z120" i="18" s="1"/>
  <c r="Z119" i="18" s="1"/>
  <c r="Y74" i="3"/>
  <c r="Y120" i="18" s="1"/>
  <c r="Y119" i="18" s="1"/>
  <c r="X74" i="3"/>
  <c r="X120" i="18" s="1"/>
  <c r="X119" i="18" s="1"/>
  <c r="W74" i="3"/>
  <c r="W120" i="18" s="1"/>
  <c r="W119" i="18" s="1"/>
  <c r="V74" i="3"/>
  <c r="V120" i="18" s="1"/>
  <c r="V119" i="18" s="1"/>
  <c r="U74" i="3"/>
  <c r="U120" i="18" s="1"/>
  <c r="U119" i="18" s="1"/>
  <c r="T74" i="3"/>
  <c r="T120" i="18" s="1"/>
  <c r="T119" i="18" s="1"/>
  <c r="S74" i="3"/>
  <c r="S120" i="18" s="1"/>
  <c r="S119" i="18" s="1"/>
  <c r="K74" i="3"/>
  <c r="K120" i="18" s="1"/>
  <c r="K119" i="18" s="1"/>
  <c r="J74" i="3"/>
  <c r="J120" i="18" s="1"/>
  <c r="J119" i="18" s="1"/>
  <c r="I74" i="3"/>
  <c r="I120" i="18" s="1"/>
  <c r="I119" i="18" s="1"/>
  <c r="H74" i="3"/>
  <c r="H120" i="18" s="1"/>
  <c r="H119" i="18" s="1"/>
  <c r="G74" i="3"/>
  <c r="G120" i="18" s="1"/>
  <c r="G119" i="18" s="1"/>
  <c r="F74" i="3"/>
  <c r="F120" i="18" s="1"/>
  <c r="F119" i="18" s="1"/>
  <c r="E74" i="3"/>
  <c r="E120" i="18" s="1"/>
  <c r="E119" i="18" s="1"/>
  <c r="D74" i="3"/>
  <c r="D120" i="18" s="1"/>
  <c r="D119" i="18" s="1"/>
  <c r="C74" i="3"/>
  <c r="C120" i="18" s="1"/>
  <c r="C119" i="18" s="1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EQ57" i="3"/>
  <c r="EP57" i="3"/>
  <c r="EO57" i="3"/>
  <c r="EN57" i="3"/>
  <c r="EM57" i="3"/>
  <c r="EL57" i="3"/>
  <c r="EJ57" i="3"/>
  <c r="EI57" i="3"/>
  <c r="EH57" i="3"/>
  <c r="EG57" i="3"/>
  <c r="EK57" i="3"/>
  <c r="EQ56" i="3"/>
  <c r="EP56" i="3"/>
  <c r="EO56" i="3"/>
  <c r="EN56" i="3"/>
  <c r="EM56" i="3"/>
  <c r="EL56" i="3"/>
  <c r="EK56" i="3"/>
  <c r="EJ56" i="3"/>
  <c r="EI56" i="3"/>
  <c r="EH56" i="3"/>
  <c r="EG56" i="3"/>
  <c r="EQ54" i="3"/>
  <c r="EP54" i="3"/>
  <c r="EO54" i="3"/>
  <c r="EN54" i="3"/>
  <c r="EM54" i="3"/>
  <c r="EL54" i="3"/>
  <c r="EK54" i="3"/>
  <c r="EJ54" i="3"/>
  <c r="EI54" i="3"/>
  <c r="EH54" i="3"/>
  <c r="EG54" i="3"/>
  <c r="EQ53" i="3"/>
  <c r="EP53" i="3"/>
  <c r="EO53" i="3"/>
  <c r="EN53" i="3"/>
  <c r="EM53" i="3"/>
  <c r="EL53" i="3"/>
  <c r="EK53" i="3"/>
  <c r="EJ53" i="3"/>
  <c r="EI53" i="3"/>
  <c r="EH53" i="3"/>
  <c r="EG53" i="3"/>
  <c r="EQ52" i="3"/>
  <c r="EP52" i="3"/>
  <c r="EO52" i="3"/>
  <c r="EN52" i="3"/>
  <c r="EM52" i="3"/>
  <c r="EL52" i="3"/>
  <c r="EK52" i="3"/>
  <c r="EJ52" i="3"/>
  <c r="EI52" i="3"/>
  <c r="EH52" i="3"/>
  <c r="EG52" i="3"/>
  <c r="EQ51" i="3"/>
  <c r="EP51" i="3"/>
  <c r="EO51" i="3"/>
  <c r="EN51" i="3"/>
  <c r="EM51" i="3"/>
  <c r="EL51" i="3"/>
  <c r="EQ50" i="3"/>
  <c r="EP50" i="3"/>
  <c r="EO50" i="3"/>
  <c r="EN50" i="3"/>
  <c r="EM50" i="3"/>
  <c r="EL50" i="3"/>
  <c r="EK50" i="3"/>
  <c r="EJ50" i="3"/>
  <c r="EI50" i="3"/>
  <c r="EH50" i="3"/>
  <c r="EG50" i="3"/>
  <c r="EQ49" i="3"/>
  <c r="EP49" i="3"/>
  <c r="EO49" i="3"/>
  <c r="EN49" i="3"/>
  <c r="EM49" i="3"/>
  <c r="EL49" i="3"/>
  <c r="EK49" i="3"/>
  <c r="EJ49" i="3"/>
  <c r="EI49" i="3"/>
  <c r="EH49" i="3"/>
  <c r="EG49" i="3"/>
  <c r="EQ48" i="3"/>
  <c r="EP48" i="3"/>
  <c r="EO48" i="3"/>
  <c r="EN48" i="3"/>
  <c r="EM48" i="3"/>
  <c r="EL48" i="3"/>
  <c r="EK48" i="3"/>
  <c r="EJ48" i="3"/>
  <c r="EI48" i="3"/>
  <c r="EH48" i="3"/>
  <c r="EG48" i="3"/>
  <c r="EQ47" i="3"/>
  <c r="EP47" i="3"/>
  <c r="EO47" i="3"/>
  <c r="EN47" i="3"/>
  <c r="EM47" i="3"/>
  <c r="EL47" i="3"/>
  <c r="EK47" i="3"/>
  <c r="EJ47" i="3"/>
  <c r="EI47" i="3"/>
  <c r="EH47" i="3"/>
  <c r="EG47" i="3"/>
  <c r="CS46" i="3"/>
  <c r="CS84" i="18" s="1"/>
  <c r="CS83" i="18" s="1"/>
  <c r="CR46" i="3"/>
  <c r="CR84" i="18" s="1"/>
  <c r="CQ46" i="3"/>
  <c r="CQ84" i="18" s="1"/>
  <c r="CQ83" i="18" s="1"/>
  <c r="CP46" i="3"/>
  <c r="CP84" i="18" s="1"/>
  <c r="CP83" i="18" s="1"/>
  <c r="CO46" i="3"/>
  <c r="CO84" i="18" s="1"/>
  <c r="CN46" i="3"/>
  <c r="CN84" i="18" s="1"/>
  <c r="CN83" i="18" s="1"/>
  <c r="CM46" i="3"/>
  <c r="CM84" i="18" s="1"/>
  <c r="CM83" i="18" s="1"/>
  <c r="CL46" i="3"/>
  <c r="CL84" i="18" s="1"/>
  <c r="CK46" i="3"/>
  <c r="CK84" i="18" s="1"/>
  <c r="CK83" i="18" s="1"/>
  <c r="CJ46" i="3"/>
  <c r="CJ84" i="18" s="1"/>
  <c r="CJ83" i="18" s="1"/>
  <c r="CI46" i="3"/>
  <c r="CI84" i="18" s="1"/>
  <c r="CH46" i="3"/>
  <c r="CH84" i="18" s="1"/>
  <c r="CH83" i="18" s="1"/>
  <c r="CG46" i="3"/>
  <c r="CG84" i="18" s="1"/>
  <c r="CG83" i="18" s="1"/>
  <c r="CF46" i="3"/>
  <c r="CF84" i="18" s="1"/>
  <c r="CE46" i="3"/>
  <c r="CE84" i="18" s="1"/>
  <c r="CE83" i="18" s="1"/>
  <c r="CD46" i="3"/>
  <c r="CD84" i="18" s="1"/>
  <c r="CD83" i="18" s="1"/>
  <c r="CC46" i="3"/>
  <c r="CC84" i="18" s="1"/>
  <c r="CB46" i="3"/>
  <c r="CB84" i="18" s="1"/>
  <c r="CB83" i="18" s="1"/>
  <c r="CA46" i="3"/>
  <c r="CA84" i="18" s="1"/>
  <c r="CA83" i="18" s="1"/>
  <c r="BZ46" i="3"/>
  <c r="BZ84" i="18" s="1"/>
  <c r="BY46" i="3"/>
  <c r="BY84" i="18" s="1"/>
  <c r="BY83" i="18" s="1"/>
  <c r="BX46" i="3"/>
  <c r="BX84" i="18" s="1"/>
  <c r="BX83" i="18" s="1"/>
  <c r="BW46" i="3"/>
  <c r="BW84" i="18" s="1"/>
  <c r="BV46" i="3"/>
  <c r="BV84" i="18" s="1"/>
  <c r="BV83" i="18" s="1"/>
  <c r="BU46" i="3"/>
  <c r="BU84" i="18" s="1"/>
  <c r="BU83" i="18" s="1"/>
  <c r="BT46" i="3"/>
  <c r="BT84" i="18" s="1"/>
  <c r="BS46" i="3"/>
  <c r="BS84" i="18" s="1"/>
  <c r="BS83" i="18" s="1"/>
  <c r="BR46" i="3"/>
  <c r="BR84" i="18" s="1"/>
  <c r="BR83" i="18" s="1"/>
  <c r="BQ46" i="3"/>
  <c r="BQ84" i="18" s="1"/>
  <c r="BP46" i="3"/>
  <c r="BP84" i="18" s="1"/>
  <c r="BP83" i="18" s="1"/>
  <c r="BO46" i="3"/>
  <c r="BO84" i="18" s="1"/>
  <c r="BO83" i="18" s="1"/>
  <c r="BN46" i="3"/>
  <c r="BN84" i="18" s="1"/>
  <c r="BM46" i="3"/>
  <c r="BM84" i="18" s="1"/>
  <c r="BM83" i="18" s="1"/>
  <c r="BL46" i="3"/>
  <c r="BL84" i="18" s="1"/>
  <c r="BL83" i="18" s="1"/>
  <c r="BK46" i="3"/>
  <c r="BK84" i="18" s="1"/>
  <c r="BJ46" i="3"/>
  <c r="BJ84" i="18" s="1"/>
  <c r="BJ83" i="18" s="1"/>
  <c r="BI46" i="3"/>
  <c r="BI84" i="18" s="1"/>
  <c r="BI83" i="18" s="1"/>
  <c r="BH46" i="3"/>
  <c r="BH84" i="18" s="1"/>
  <c r="BH83" i="18" s="1"/>
  <c r="BG46" i="3"/>
  <c r="BG84" i="18" s="1"/>
  <c r="BG83" i="18" s="1"/>
  <c r="BF46" i="3"/>
  <c r="BF84" i="18" s="1"/>
  <c r="BF83" i="18" s="1"/>
  <c r="BE46" i="3"/>
  <c r="BE84" i="18" s="1"/>
  <c r="BE83" i="18" s="1"/>
  <c r="BD46" i="3"/>
  <c r="BD84" i="18" s="1"/>
  <c r="BD83" i="18" s="1"/>
  <c r="BC46" i="3"/>
  <c r="BC84" i="18" s="1"/>
  <c r="BC83" i="18" s="1"/>
  <c r="BB46" i="3"/>
  <c r="BB84" i="18" s="1"/>
  <c r="BB83" i="18" s="1"/>
  <c r="BA46" i="3"/>
  <c r="BA84" i="18" s="1"/>
  <c r="BA83" i="18" s="1"/>
  <c r="AZ46" i="3"/>
  <c r="AZ84" i="18" s="1"/>
  <c r="AZ83" i="18" s="1"/>
  <c r="AY46" i="3"/>
  <c r="AY84" i="18" s="1"/>
  <c r="AY83" i="18" s="1"/>
  <c r="AX46" i="3"/>
  <c r="AX84" i="18" s="1"/>
  <c r="AX83" i="18" s="1"/>
  <c r="AW46" i="3"/>
  <c r="AW84" i="18" s="1"/>
  <c r="AW83" i="18" s="1"/>
  <c r="AV46" i="3"/>
  <c r="AV84" i="18" s="1"/>
  <c r="AV83" i="18" s="1"/>
  <c r="AU46" i="3"/>
  <c r="AU84" i="18" s="1"/>
  <c r="AU83" i="18" s="1"/>
  <c r="AT46" i="3"/>
  <c r="AT84" i="18" s="1"/>
  <c r="AT83" i="18" s="1"/>
  <c r="AS46" i="3"/>
  <c r="AS84" i="18" s="1"/>
  <c r="AS83" i="18" s="1"/>
  <c r="AR46" i="3"/>
  <c r="AR84" i="18" s="1"/>
  <c r="AR83" i="18" s="1"/>
  <c r="AQ46" i="3"/>
  <c r="AQ84" i="18" s="1"/>
  <c r="AQ83" i="18" s="1"/>
  <c r="AP46" i="3"/>
  <c r="AP84" i="18" s="1"/>
  <c r="AP83" i="18" s="1"/>
  <c r="AO46" i="3"/>
  <c r="AO84" i="18" s="1"/>
  <c r="AO83" i="18" s="1"/>
  <c r="AN46" i="3"/>
  <c r="AN84" i="18" s="1"/>
  <c r="AN83" i="18" s="1"/>
  <c r="AM46" i="3"/>
  <c r="AM84" i="18" s="1"/>
  <c r="AM83" i="18" s="1"/>
  <c r="AL46" i="3"/>
  <c r="AL84" i="18" s="1"/>
  <c r="AL83" i="18" s="1"/>
  <c r="AK46" i="3"/>
  <c r="AK84" i="18" s="1"/>
  <c r="AK83" i="18" s="1"/>
  <c r="AJ46" i="3"/>
  <c r="AJ84" i="18" s="1"/>
  <c r="AJ83" i="18" s="1"/>
  <c r="AI46" i="3"/>
  <c r="AI84" i="18" s="1"/>
  <c r="AI83" i="18" s="1"/>
  <c r="AH46" i="3"/>
  <c r="AH84" i="18" s="1"/>
  <c r="AH83" i="18" s="1"/>
  <c r="AG46" i="3"/>
  <c r="AG84" i="18" s="1"/>
  <c r="AG83" i="18" s="1"/>
  <c r="AF46" i="3"/>
  <c r="AF84" i="18" s="1"/>
  <c r="AF83" i="18" s="1"/>
  <c r="AE46" i="3"/>
  <c r="AE84" i="18" s="1"/>
  <c r="AE83" i="18" s="1"/>
  <c r="AD46" i="3"/>
  <c r="AD84" i="18" s="1"/>
  <c r="AD83" i="18" s="1"/>
  <c r="AC46" i="3"/>
  <c r="AC84" i="18" s="1"/>
  <c r="AC83" i="18" s="1"/>
  <c r="AB46" i="3"/>
  <c r="AB84" i="18" s="1"/>
  <c r="AB83" i="18" s="1"/>
  <c r="AA46" i="3"/>
  <c r="AA84" i="18" s="1"/>
  <c r="AA83" i="18" s="1"/>
  <c r="Z46" i="3"/>
  <c r="Z84" i="18" s="1"/>
  <c r="Z83" i="18" s="1"/>
  <c r="Y46" i="3"/>
  <c r="Y84" i="18" s="1"/>
  <c r="Y83" i="18" s="1"/>
  <c r="X46" i="3"/>
  <c r="X84" i="18" s="1"/>
  <c r="X83" i="18" s="1"/>
  <c r="W46" i="3"/>
  <c r="W84" i="18" s="1"/>
  <c r="W83" i="18" s="1"/>
  <c r="V46" i="3"/>
  <c r="V84" i="18" s="1"/>
  <c r="V83" i="18" s="1"/>
  <c r="U46" i="3"/>
  <c r="U84" i="18" s="1"/>
  <c r="U83" i="18" s="1"/>
  <c r="T46" i="3"/>
  <c r="T84" i="18" s="1"/>
  <c r="T83" i="18" s="1"/>
  <c r="S46" i="3"/>
  <c r="S84" i="18" s="1"/>
  <c r="S83" i="18" s="1"/>
  <c r="R46" i="3"/>
  <c r="R84" i="18" s="1"/>
  <c r="R83" i="18" s="1"/>
  <c r="Q46" i="3"/>
  <c r="Q84" i="18" s="1"/>
  <c r="Q83" i="18" s="1"/>
  <c r="P46" i="3"/>
  <c r="P84" i="18" s="1"/>
  <c r="P83" i="18" s="1"/>
  <c r="O46" i="3"/>
  <c r="O84" i="18" s="1"/>
  <c r="O83" i="18" s="1"/>
  <c r="N46" i="3"/>
  <c r="N84" i="18" s="1"/>
  <c r="N83" i="18" s="1"/>
  <c r="M46" i="3"/>
  <c r="M84" i="18" s="1"/>
  <c r="M83" i="18" s="1"/>
  <c r="L46" i="3"/>
  <c r="L84" i="18" s="1"/>
  <c r="L83" i="18" s="1"/>
  <c r="K46" i="3"/>
  <c r="K84" i="18" s="1"/>
  <c r="K83" i="18" s="1"/>
  <c r="J46" i="3"/>
  <c r="J84" i="18" s="1"/>
  <c r="J83" i="18" s="1"/>
  <c r="I46" i="3"/>
  <c r="I84" i="18" s="1"/>
  <c r="I83" i="18" s="1"/>
  <c r="H46" i="3"/>
  <c r="H84" i="18" s="1"/>
  <c r="H83" i="18" s="1"/>
  <c r="G46" i="3"/>
  <c r="G84" i="18" s="1"/>
  <c r="G83" i="18" s="1"/>
  <c r="F46" i="3"/>
  <c r="F84" i="18" s="1"/>
  <c r="F83" i="18" s="1"/>
  <c r="E46" i="3"/>
  <c r="E84" i="18" s="1"/>
  <c r="E83" i="18" s="1"/>
  <c r="D46" i="3"/>
  <c r="D84" i="18" s="1"/>
  <c r="D83" i="18" s="1"/>
  <c r="C46" i="3"/>
  <c r="C84" i="18" s="1"/>
  <c r="C83" i="18" s="1"/>
  <c r="CS38" i="3"/>
  <c r="CS45" i="3" s="1"/>
  <c r="CR38" i="3"/>
  <c r="CR45" i="3" s="1"/>
  <c r="CQ38" i="3"/>
  <c r="CQ45" i="3" s="1"/>
  <c r="CP38" i="3"/>
  <c r="CP45" i="3" s="1"/>
  <c r="CO38" i="3"/>
  <c r="CO45" i="3" s="1"/>
  <c r="CN38" i="3"/>
  <c r="CN45" i="3" s="1"/>
  <c r="CM38" i="3"/>
  <c r="CM45" i="3" s="1"/>
  <c r="CL38" i="3"/>
  <c r="CL45" i="3" s="1"/>
  <c r="CK38" i="3"/>
  <c r="CK45" i="3" s="1"/>
  <c r="CJ38" i="3"/>
  <c r="CJ45" i="3" s="1"/>
  <c r="CI38" i="3"/>
  <c r="CI45" i="3" s="1"/>
  <c r="CH38" i="3"/>
  <c r="CH45" i="3" s="1"/>
  <c r="CG38" i="3"/>
  <c r="CG45" i="3" s="1"/>
  <c r="CF38" i="3"/>
  <c r="CF45" i="3" s="1"/>
  <c r="CE38" i="3"/>
  <c r="CE45" i="3" s="1"/>
  <c r="CD38" i="3"/>
  <c r="CD45" i="3" s="1"/>
  <c r="CC38" i="3"/>
  <c r="CC45" i="3" s="1"/>
  <c r="CB38" i="3"/>
  <c r="CB45" i="3" s="1"/>
  <c r="CA38" i="3"/>
  <c r="CA45" i="3" s="1"/>
  <c r="BZ38" i="3"/>
  <c r="BZ45" i="3" s="1"/>
  <c r="BY38" i="3"/>
  <c r="BY45" i="3" s="1"/>
  <c r="BX38" i="3"/>
  <c r="BX45" i="3" s="1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6" i="3"/>
  <c r="AZ79" i="18" s="1"/>
  <c r="AY36" i="3"/>
  <c r="AY79" i="18" s="1"/>
  <c r="AX36" i="3"/>
  <c r="AX79" i="18" s="1"/>
  <c r="AW36" i="3"/>
  <c r="AW79" i="18" s="1"/>
  <c r="AV36" i="3"/>
  <c r="AV79" i="18" s="1"/>
  <c r="AU36" i="3"/>
  <c r="AU79" i="18" s="1"/>
  <c r="AT36" i="3"/>
  <c r="AT79" i="18" s="1"/>
  <c r="AS36" i="3"/>
  <c r="AS79" i="18" s="1"/>
  <c r="AR36" i="3"/>
  <c r="AR79" i="18" s="1"/>
  <c r="AQ36" i="3"/>
  <c r="AQ79" i="18" s="1"/>
  <c r="AP36" i="3"/>
  <c r="AP79" i="18" s="1"/>
  <c r="AO36" i="3"/>
  <c r="AO79" i="18" s="1"/>
  <c r="AN36" i="3"/>
  <c r="AN79" i="18" s="1"/>
  <c r="AM36" i="3"/>
  <c r="AM79" i="18" s="1"/>
  <c r="AL36" i="3"/>
  <c r="AL79" i="18" s="1"/>
  <c r="AL78" i="18" s="1"/>
  <c r="AK36" i="3"/>
  <c r="AK79" i="18" s="1"/>
  <c r="AK78" i="18" s="1"/>
  <c r="AJ36" i="3"/>
  <c r="AJ79" i="18" s="1"/>
  <c r="AJ78" i="18" s="1"/>
  <c r="AI36" i="3"/>
  <c r="AI79" i="18" s="1"/>
  <c r="AI78" i="18" s="1"/>
  <c r="AH36" i="3"/>
  <c r="AH79" i="18" s="1"/>
  <c r="AH78" i="18" s="1"/>
  <c r="AG36" i="3"/>
  <c r="AG79" i="18" s="1"/>
  <c r="AG78" i="18" s="1"/>
  <c r="AF36" i="3"/>
  <c r="AF79" i="18" s="1"/>
  <c r="AF78" i="18" s="1"/>
  <c r="AE36" i="3"/>
  <c r="AE79" i="18" s="1"/>
  <c r="AE78" i="18" s="1"/>
  <c r="AD36" i="3"/>
  <c r="AD79" i="18" s="1"/>
  <c r="AD78" i="18" s="1"/>
  <c r="AC36" i="3"/>
  <c r="AC79" i="18" s="1"/>
  <c r="AC78" i="18" s="1"/>
  <c r="AB36" i="3"/>
  <c r="AB79" i="18" s="1"/>
  <c r="AB78" i="18" s="1"/>
  <c r="AA36" i="3"/>
  <c r="AA79" i="18" s="1"/>
  <c r="AA78" i="18" s="1"/>
  <c r="Z36" i="3"/>
  <c r="Z79" i="18" s="1"/>
  <c r="Z78" i="18" s="1"/>
  <c r="Y36" i="3"/>
  <c r="Y79" i="18" s="1"/>
  <c r="Y78" i="18" s="1"/>
  <c r="X36" i="3"/>
  <c r="X79" i="18" s="1"/>
  <c r="X78" i="18" s="1"/>
  <c r="W36" i="3"/>
  <c r="W79" i="18" s="1"/>
  <c r="W78" i="18" s="1"/>
  <c r="V36" i="3"/>
  <c r="V79" i="18" s="1"/>
  <c r="V78" i="18" s="1"/>
  <c r="U36" i="3"/>
  <c r="U79" i="18" s="1"/>
  <c r="U78" i="18" s="1"/>
  <c r="T36" i="3"/>
  <c r="T79" i="18" s="1"/>
  <c r="T78" i="18" s="1"/>
  <c r="S36" i="3"/>
  <c r="S79" i="18" s="1"/>
  <c r="S78" i="18" s="1"/>
  <c r="R36" i="3"/>
  <c r="R79" i="18" s="1"/>
  <c r="R78" i="18" s="1"/>
  <c r="Q36" i="3"/>
  <c r="Q79" i="18" s="1"/>
  <c r="Q78" i="18" s="1"/>
  <c r="P36" i="3"/>
  <c r="P79" i="18" s="1"/>
  <c r="P78" i="18" s="1"/>
  <c r="O36" i="3"/>
  <c r="O79" i="18" s="1"/>
  <c r="O78" i="18" s="1"/>
  <c r="N36" i="3"/>
  <c r="N79" i="18" s="1"/>
  <c r="N78" i="18" s="1"/>
  <c r="M36" i="3"/>
  <c r="M79" i="18" s="1"/>
  <c r="M78" i="18" s="1"/>
  <c r="L36" i="3"/>
  <c r="L79" i="18" s="1"/>
  <c r="L78" i="18" s="1"/>
  <c r="K36" i="3"/>
  <c r="K79" i="18" s="1"/>
  <c r="K78" i="18" s="1"/>
  <c r="J36" i="3"/>
  <c r="J79" i="18" s="1"/>
  <c r="J78" i="18" s="1"/>
  <c r="I36" i="3"/>
  <c r="I79" i="18" s="1"/>
  <c r="I78" i="18" s="1"/>
  <c r="H36" i="3"/>
  <c r="H79" i="18" s="1"/>
  <c r="H78" i="18" s="1"/>
  <c r="G36" i="3"/>
  <c r="G79" i="18" s="1"/>
  <c r="G78" i="18" s="1"/>
  <c r="F36" i="3"/>
  <c r="F79" i="18" s="1"/>
  <c r="F78" i="18" s="1"/>
  <c r="E36" i="3"/>
  <c r="E79" i="18" s="1"/>
  <c r="E78" i="18" s="1"/>
  <c r="D36" i="3"/>
  <c r="D79" i="18" s="1"/>
  <c r="D78" i="18" s="1"/>
  <c r="C36" i="3"/>
  <c r="C79" i="18" s="1"/>
  <c r="C78" i="18" s="1"/>
  <c r="CS34" i="3"/>
  <c r="CS68" i="3" s="1"/>
  <c r="CR34" i="3"/>
  <c r="CR68" i="3" s="1"/>
  <c r="CQ34" i="3"/>
  <c r="CQ68" i="3" s="1"/>
  <c r="CP34" i="3"/>
  <c r="CO34" i="3"/>
  <c r="CN34" i="3"/>
  <c r="CM34" i="3"/>
  <c r="CL34" i="3"/>
  <c r="CK34" i="3"/>
  <c r="CJ34" i="3"/>
  <c r="CI34" i="3"/>
  <c r="CI68" i="3" s="1"/>
  <c r="CH34" i="3"/>
  <c r="CH68" i="3" s="1"/>
  <c r="CG34" i="3"/>
  <c r="CG68" i="3" s="1"/>
  <c r="CF34" i="3"/>
  <c r="CF68" i="3" s="1"/>
  <c r="CE34" i="3"/>
  <c r="CD34" i="3"/>
  <c r="CC34" i="3"/>
  <c r="CB34" i="3"/>
  <c r="CA34" i="3"/>
  <c r="BZ34" i="3"/>
  <c r="BZ68" i="3" s="1"/>
  <c r="CR67" i="3"/>
  <c r="CQ61" i="3"/>
  <c r="CP67" i="3"/>
  <c r="CO67" i="3"/>
  <c r="CK61" i="3"/>
  <c r="CJ61" i="3"/>
  <c r="CI61" i="3"/>
  <c r="CD67" i="3"/>
  <c r="CC67" i="3"/>
  <c r="CB67" i="3"/>
  <c r="EQ29" i="3"/>
  <c r="EQ27" i="3" s="1"/>
  <c r="EP29" i="3"/>
  <c r="EP27" i="3" s="1"/>
  <c r="EO29" i="3"/>
  <c r="EO27" i="3" s="1"/>
  <c r="EN29" i="3"/>
  <c r="EN27" i="3" s="1"/>
  <c r="EM29" i="3"/>
  <c r="EM27" i="3" s="1"/>
  <c r="EL29" i="3"/>
  <c r="EL27" i="3" s="1"/>
  <c r="EK29" i="3"/>
  <c r="EK27" i="3" s="1"/>
  <c r="EJ29" i="3"/>
  <c r="EJ27" i="3" s="1"/>
  <c r="EI29" i="3"/>
  <c r="EI27" i="3" s="1"/>
  <c r="EH29" i="3"/>
  <c r="EH27" i="3" s="1"/>
  <c r="EG29" i="3"/>
  <c r="EG27" i="3" s="1"/>
  <c r="CS55" i="18"/>
  <c r="CS54" i="18" s="1"/>
  <c r="CR55" i="18"/>
  <c r="CQ55" i="18"/>
  <c r="CQ54" i="18" s="1"/>
  <c r="CP55" i="18"/>
  <c r="CP54" i="18" s="1"/>
  <c r="CO55" i="18"/>
  <c r="CN55" i="18"/>
  <c r="CN54" i="18" s="1"/>
  <c r="CM55" i="18"/>
  <c r="CM54" i="18" s="1"/>
  <c r="CL55" i="18"/>
  <c r="CK55" i="18"/>
  <c r="CK54" i="18" s="1"/>
  <c r="CJ55" i="18"/>
  <c r="CJ54" i="18" s="1"/>
  <c r="CI55" i="18"/>
  <c r="CH55" i="18"/>
  <c r="CH54" i="18" s="1"/>
  <c r="CG55" i="18"/>
  <c r="CG54" i="18" s="1"/>
  <c r="CF55" i="18"/>
  <c r="CE55" i="18"/>
  <c r="CE54" i="18" s="1"/>
  <c r="CD55" i="18"/>
  <c r="CD54" i="18" s="1"/>
  <c r="CC55" i="18"/>
  <c r="CB55" i="18"/>
  <c r="CB54" i="18" s="1"/>
  <c r="CA55" i="18"/>
  <c r="CA54" i="18" s="1"/>
  <c r="BZ55" i="18"/>
  <c r="BY55" i="18"/>
  <c r="BY54" i="18" s="1"/>
  <c r="BX55" i="18"/>
  <c r="BX54" i="18" s="1"/>
  <c r="BW55" i="18"/>
  <c r="BV55" i="18"/>
  <c r="BV54" i="18" s="1"/>
  <c r="BU55" i="18"/>
  <c r="BU54" i="18" s="1"/>
  <c r="BT55" i="18"/>
  <c r="BS55" i="18"/>
  <c r="BS54" i="18" s="1"/>
  <c r="BR55" i="18"/>
  <c r="BR54" i="18" s="1"/>
  <c r="BQ55" i="18"/>
  <c r="BP55" i="18"/>
  <c r="BP54" i="18" s="1"/>
  <c r="BO55" i="18"/>
  <c r="BO54" i="18" s="1"/>
  <c r="BN55" i="18"/>
  <c r="BM55" i="18"/>
  <c r="BM54" i="18" s="1"/>
  <c r="BL55" i="18"/>
  <c r="BL54" i="18" s="1"/>
  <c r="BK55" i="18"/>
  <c r="BJ55" i="18"/>
  <c r="BJ54" i="18" s="1"/>
  <c r="BI55" i="18"/>
  <c r="BI54" i="18" s="1"/>
  <c r="BH55" i="18"/>
  <c r="BH54" i="18" s="1"/>
  <c r="BG55" i="18"/>
  <c r="BG54" i="18" s="1"/>
  <c r="BF55" i="18"/>
  <c r="BF54" i="18" s="1"/>
  <c r="BE55" i="18"/>
  <c r="BE54" i="18" s="1"/>
  <c r="BD55" i="18"/>
  <c r="BD54" i="18" s="1"/>
  <c r="BC55" i="18"/>
  <c r="BC54" i="18" s="1"/>
  <c r="BB55" i="18"/>
  <c r="BB54" i="18" s="1"/>
  <c r="BY34" i="3"/>
  <c r="BX34" i="3"/>
  <c r="BW34" i="3"/>
  <c r="BV34" i="3"/>
  <c r="BU34" i="3"/>
  <c r="BT34" i="3"/>
  <c r="BS34" i="3"/>
  <c r="BS62" i="3" s="1"/>
  <c r="BR34" i="3"/>
  <c r="BR62" i="3" s="1"/>
  <c r="BQ34" i="3"/>
  <c r="BQ62" i="3" s="1"/>
  <c r="BP34" i="3"/>
  <c r="BP68" i="3" s="1"/>
  <c r="BP72" i="3" s="1"/>
  <c r="BO34" i="3"/>
  <c r="BO68" i="3" s="1"/>
  <c r="BO72" i="3" s="1"/>
  <c r="BN34" i="3"/>
  <c r="BM34" i="3"/>
  <c r="BL34" i="3"/>
  <c r="BK34" i="3"/>
  <c r="BJ34" i="3"/>
  <c r="BI34" i="3"/>
  <c r="BH34" i="3"/>
  <c r="BG34" i="3"/>
  <c r="BF34" i="3"/>
  <c r="BE34" i="3"/>
  <c r="BE62" i="3" s="1"/>
  <c r="BD34" i="3"/>
  <c r="BD62" i="3" s="1"/>
  <c r="BC34" i="3"/>
  <c r="BB34" i="3"/>
  <c r="BT67" i="3"/>
  <c r="BT71" i="3" s="1"/>
  <c r="BR61" i="3"/>
  <c r="BQ67" i="3"/>
  <c r="BQ71" i="3" s="1"/>
  <c r="BO61" i="3"/>
  <c r="BN61" i="3"/>
  <c r="BM61" i="3"/>
  <c r="BL61" i="3"/>
  <c r="BK61" i="3"/>
  <c r="BD61" i="3"/>
  <c r="AZ30" i="3"/>
  <c r="AX32" i="3"/>
  <c r="AX64" i="18" s="1"/>
  <c r="AT30" i="3"/>
  <c r="AS30" i="3"/>
  <c r="AQ32" i="3"/>
  <c r="AQ64" i="18" s="1"/>
  <c r="AP32" i="3"/>
  <c r="AP64" i="18" s="1"/>
  <c r="AO32" i="3"/>
  <c r="AO64" i="18" s="1"/>
  <c r="AN32" i="3"/>
  <c r="AN64" i="18" s="1"/>
  <c r="AM32" i="3"/>
  <c r="AM64" i="18" s="1"/>
  <c r="AL32" i="3"/>
  <c r="AL64" i="18" s="1"/>
  <c r="AK32" i="3"/>
  <c r="AK64" i="18" s="1"/>
  <c r="AJ30" i="3"/>
  <c r="AI30" i="3"/>
  <c r="AH30" i="3"/>
  <c r="AG32" i="3"/>
  <c r="AG64" i="18" s="1"/>
  <c r="AF32" i="3"/>
  <c r="AF64" i="18" s="1"/>
  <c r="AE30" i="3"/>
  <c r="AD30" i="3"/>
  <c r="AB32" i="3"/>
  <c r="AB64" i="18" s="1"/>
  <c r="Z32" i="3"/>
  <c r="Z64" i="18" s="1"/>
  <c r="Y32" i="3"/>
  <c r="Y64" i="18" s="1"/>
  <c r="X30" i="3"/>
  <c r="W30" i="3"/>
  <c r="V30" i="3"/>
  <c r="U32" i="3"/>
  <c r="U64" i="18" s="1"/>
  <c r="T30" i="3"/>
  <c r="S30" i="3"/>
  <c r="M32" i="3"/>
  <c r="M64" i="18" s="1"/>
  <c r="L30" i="3"/>
  <c r="K30" i="3"/>
  <c r="J30" i="3"/>
  <c r="I32" i="3"/>
  <c r="I64" i="18" s="1"/>
  <c r="H30" i="3"/>
  <c r="G32" i="3"/>
  <c r="G64" i="18" s="1"/>
  <c r="E32" i="3"/>
  <c r="E64" i="18" s="1"/>
  <c r="D32" i="3"/>
  <c r="D64" i="18" s="1"/>
  <c r="C32" i="3"/>
  <c r="C64" i="18" s="1"/>
  <c r="C63" i="18" s="1"/>
  <c r="B775" i="2" s="1"/>
  <c r="EQ20" i="3"/>
  <c r="EP20" i="3"/>
  <c r="EO20" i="3"/>
  <c r="EN20" i="3"/>
  <c r="EM20" i="3"/>
  <c r="EL20" i="3"/>
  <c r="EK20" i="3"/>
  <c r="EJ20" i="3"/>
  <c r="EI20" i="3"/>
  <c r="EH20" i="3"/>
  <c r="EG20" i="3"/>
  <c r="EQ17" i="3"/>
  <c r="EP17" i="3"/>
  <c r="EO17" i="3"/>
  <c r="EN17" i="3"/>
  <c r="EM17" i="3"/>
  <c r="EL17" i="3"/>
  <c r="EK17" i="3"/>
  <c r="EJ17" i="3"/>
  <c r="EI17" i="3"/>
  <c r="EH17" i="3"/>
  <c r="EG17" i="3"/>
  <c r="BA38" i="3"/>
  <c r="EQ16" i="3"/>
  <c r="EP16" i="3"/>
  <c r="EO16" i="3"/>
  <c r="EN16" i="3"/>
  <c r="EM16" i="3"/>
  <c r="EL16" i="3"/>
  <c r="EK16" i="3"/>
  <c r="EJ16" i="3"/>
  <c r="EI16" i="3"/>
  <c r="EH16" i="3"/>
  <c r="EG16" i="3"/>
  <c r="EQ13" i="3"/>
  <c r="EP13" i="3"/>
  <c r="EO13" i="3"/>
  <c r="EN13" i="3"/>
  <c r="EM13" i="3"/>
  <c r="EL13" i="3"/>
  <c r="EK13" i="3"/>
  <c r="EJ13" i="3"/>
  <c r="EI13" i="3"/>
  <c r="EH13" i="3"/>
  <c r="EG13" i="3"/>
  <c r="EQ12" i="3"/>
  <c r="EP12" i="3"/>
  <c r="EO12" i="3"/>
  <c r="EN12" i="3"/>
  <c r="EM12" i="3"/>
  <c r="EL12" i="3"/>
  <c r="EK12" i="3"/>
  <c r="EJ12" i="3"/>
  <c r="EI12" i="3"/>
  <c r="EH12" i="3"/>
  <c r="EG12" i="3"/>
  <c r="CS11" i="3"/>
  <c r="CS16" i="18" s="1"/>
  <c r="CS15" i="18" s="1"/>
  <c r="CR11" i="3"/>
  <c r="CR16" i="18" s="1"/>
  <c r="CQ11" i="3"/>
  <c r="CQ16" i="18" s="1"/>
  <c r="CQ15" i="18" s="1"/>
  <c r="CP11" i="3"/>
  <c r="CP16" i="18" s="1"/>
  <c r="CP15" i="18" s="1"/>
  <c r="CO11" i="3"/>
  <c r="CO16" i="18" s="1"/>
  <c r="CN11" i="3"/>
  <c r="CN16" i="18" s="1"/>
  <c r="CN15" i="18" s="1"/>
  <c r="CM11" i="3"/>
  <c r="CM16" i="18" s="1"/>
  <c r="CM15" i="18" s="1"/>
  <c r="CL11" i="3"/>
  <c r="CL16" i="18" s="1"/>
  <c r="CK11" i="3"/>
  <c r="CK16" i="18" s="1"/>
  <c r="CK15" i="18" s="1"/>
  <c r="CJ11" i="3"/>
  <c r="CJ16" i="18" s="1"/>
  <c r="CJ15" i="18" s="1"/>
  <c r="CI11" i="3"/>
  <c r="CI16" i="18" s="1"/>
  <c r="CH11" i="3"/>
  <c r="CH16" i="18" s="1"/>
  <c r="CH15" i="18" s="1"/>
  <c r="CG11" i="3"/>
  <c r="CG16" i="18" s="1"/>
  <c r="CG15" i="18" s="1"/>
  <c r="CF11" i="3"/>
  <c r="CF16" i="18" s="1"/>
  <c r="CE11" i="3"/>
  <c r="CE16" i="18" s="1"/>
  <c r="CE15" i="18" s="1"/>
  <c r="CD11" i="3"/>
  <c r="CD16" i="18" s="1"/>
  <c r="CD15" i="18" s="1"/>
  <c r="CC11" i="3"/>
  <c r="CC16" i="18" s="1"/>
  <c r="CB11" i="3"/>
  <c r="CB16" i="18" s="1"/>
  <c r="CB15" i="18" s="1"/>
  <c r="CA11" i="3"/>
  <c r="CA16" i="18" s="1"/>
  <c r="CA15" i="18" s="1"/>
  <c r="BZ11" i="3"/>
  <c r="BZ16" i="18" s="1"/>
  <c r="BY11" i="3"/>
  <c r="BY16" i="18" s="1"/>
  <c r="BY15" i="18" s="1"/>
  <c r="BX11" i="3"/>
  <c r="BX16" i="18" s="1"/>
  <c r="BX15" i="18" s="1"/>
  <c r="BW11" i="3"/>
  <c r="BW16" i="18" s="1"/>
  <c r="BV11" i="3"/>
  <c r="BV16" i="18" s="1"/>
  <c r="BV15" i="18" s="1"/>
  <c r="BU11" i="3"/>
  <c r="BU16" i="18" s="1"/>
  <c r="BU15" i="18" s="1"/>
  <c r="BT11" i="3"/>
  <c r="BT16" i="18" s="1"/>
  <c r="BS11" i="3"/>
  <c r="BS16" i="18" s="1"/>
  <c r="BS15" i="18" s="1"/>
  <c r="BR11" i="3"/>
  <c r="BR16" i="18" s="1"/>
  <c r="BR15" i="18" s="1"/>
  <c r="BQ11" i="3"/>
  <c r="BQ16" i="18" s="1"/>
  <c r="BP11" i="3"/>
  <c r="BP16" i="18" s="1"/>
  <c r="BP15" i="18" s="1"/>
  <c r="BO11" i="3"/>
  <c r="BO16" i="18" s="1"/>
  <c r="BO15" i="18" s="1"/>
  <c r="BN11" i="3"/>
  <c r="BN16" i="18" s="1"/>
  <c r="BM11" i="3"/>
  <c r="BM16" i="18" s="1"/>
  <c r="BM15" i="18" s="1"/>
  <c r="BL11" i="3"/>
  <c r="BL16" i="18" s="1"/>
  <c r="BL15" i="18" s="1"/>
  <c r="BK11" i="3"/>
  <c r="BK16" i="18" s="1"/>
  <c r="BJ11" i="3"/>
  <c r="BJ16" i="18" s="1"/>
  <c r="BJ15" i="18" s="1"/>
  <c r="BI11" i="3"/>
  <c r="BI16" i="18" s="1"/>
  <c r="BI15" i="18" s="1"/>
  <c r="BH11" i="3"/>
  <c r="BH16" i="18" s="1"/>
  <c r="BH15" i="18" s="1"/>
  <c r="BG11" i="3"/>
  <c r="BG16" i="18" s="1"/>
  <c r="BG15" i="18" s="1"/>
  <c r="BF11" i="3"/>
  <c r="BF16" i="18" s="1"/>
  <c r="BF15" i="18" s="1"/>
  <c r="BE11" i="3"/>
  <c r="BE16" i="18" s="1"/>
  <c r="BE15" i="18" s="1"/>
  <c r="BD11" i="3"/>
  <c r="BD16" i="18" s="1"/>
  <c r="BD15" i="18" s="1"/>
  <c r="BC11" i="3"/>
  <c r="BC16" i="18" s="1"/>
  <c r="BC15" i="18" s="1"/>
  <c r="BB11" i="3"/>
  <c r="BB16" i="18" s="1"/>
  <c r="BB15" i="18" s="1"/>
  <c r="EQ9" i="3"/>
  <c r="EP9" i="3"/>
  <c r="EO9" i="3"/>
  <c r="EN9" i="3"/>
  <c r="EM9" i="3"/>
  <c r="EL9" i="3"/>
  <c r="EK9" i="3"/>
  <c r="EJ9" i="3"/>
  <c r="EI9" i="3"/>
  <c r="EH9" i="3"/>
  <c r="EG9" i="3"/>
  <c r="EQ8" i="3"/>
  <c r="EP8" i="3"/>
  <c r="EO8" i="3"/>
  <c r="EN8" i="3"/>
  <c r="EM8" i="3"/>
  <c r="EL8" i="3"/>
  <c r="EK8" i="3"/>
  <c r="EJ8" i="3"/>
  <c r="EI8" i="3"/>
  <c r="EH8" i="3"/>
  <c r="EG8" i="3"/>
  <c r="CS7" i="3"/>
  <c r="CR7" i="3"/>
  <c r="CR11" i="18" s="1"/>
  <c r="CQ785" i="2" s="1"/>
  <c r="CQ7" i="3"/>
  <c r="CP7" i="3"/>
  <c r="CP11" i="18" s="1"/>
  <c r="CO7" i="3"/>
  <c r="CO11" i="18" s="1"/>
  <c r="CN785" i="2" s="1"/>
  <c r="CN7" i="3"/>
  <c r="CN11" i="18" s="1"/>
  <c r="CM7" i="3"/>
  <c r="CM11" i="18" s="1"/>
  <c r="CL7" i="3"/>
  <c r="CL11" i="18" s="1"/>
  <c r="CK785" i="2" s="1"/>
  <c r="CK7" i="3"/>
  <c r="CJ7" i="3"/>
  <c r="CI7" i="3"/>
  <c r="CI11" i="18" s="1"/>
  <c r="CH785" i="2" s="1"/>
  <c r="CH7" i="3"/>
  <c r="CH11" i="18" s="1"/>
  <c r="CG7" i="3"/>
  <c r="CG11" i="18" s="1"/>
  <c r="CF7" i="3"/>
  <c r="CF11" i="18" s="1"/>
  <c r="CE785" i="2" s="1"/>
  <c r="CE7" i="3"/>
  <c r="CD7" i="3"/>
  <c r="CC7" i="3"/>
  <c r="CC11" i="18" s="1"/>
  <c r="CB785" i="2" s="1"/>
  <c r="CB7" i="3"/>
  <c r="CA7" i="3"/>
  <c r="CA11" i="18" s="1"/>
  <c r="BZ7" i="3"/>
  <c r="BZ11" i="18" s="1"/>
  <c r="BY785" i="2" s="1"/>
  <c r="BY7" i="3"/>
  <c r="BY11" i="18" s="1"/>
  <c r="BX7" i="3"/>
  <c r="BW7" i="3"/>
  <c r="BW11" i="18" s="1"/>
  <c r="BV785" i="2" s="1"/>
  <c r="BV7" i="3"/>
  <c r="BV11" i="18" s="1"/>
  <c r="BU7" i="3"/>
  <c r="BU11" i="18" s="1"/>
  <c r="BT7" i="3"/>
  <c r="BT11" i="18" s="1"/>
  <c r="BS785" i="2" s="1"/>
  <c r="BS7" i="3"/>
  <c r="BR7" i="3"/>
  <c r="BQ7" i="3"/>
  <c r="BQ11" i="18" s="1"/>
  <c r="BP785" i="2" s="1"/>
  <c r="BP7" i="3"/>
  <c r="BP11" i="18" s="1"/>
  <c r="BO7" i="3"/>
  <c r="BO11" i="18" s="1"/>
  <c r="BN7" i="3"/>
  <c r="BN11" i="18" s="1"/>
  <c r="BM785" i="2" s="1"/>
  <c r="BM7" i="3"/>
  <c r="BM11" i="18" s="1"/>
  <c r="BL7" i="3"/>
  <c r="BL11" i="18" s="1"/>
  <c r="BK7" i="3"/>
  <c r="BK11" i="18" s="1"/>
  <c r="BJ785" i="2" s="1"/>
  <c r="BJ7" i="3"/>
  <c r="BI7" i="3"/>
  <c r="BI11" i="18" s="1"/>
  <c r="BH7" i="3"/>
  <c r="BH11" i="18" s="1"/>
  <c r="BG7" i="3"/>
  <c r="BG11" i="18" s="1"/>
  <c r="BF7" i="3"/>
  <c r="BF11" i="18" s="1"/>
  <c r="BE7" i="3"/>
  <c r="BE11" i="18" s="1"/>
  <c r="BD7" i="3"/>
  <c r="BD11" i="18" s="1"/>
  <c r="BC7" i="3"/>
  <c r="BC11" i="18" s="1"/>
  <c r="BB7" i="3"/>
  <c r="BB11" i="18" s="1"/>
  <c r="BA7" i="3"/>
  <c r="EQ5" i="3"/>
  <c r="EP5" i="3"/>
  <c r="EO5" i="3"/>
  <c r="EN5" i="3"/>
  <c r="EM5" i="3"/>
  <c r="EL5" i="3"/>
  <c r="EK5" i="3"/>
  <c r="EJ5" i="3"/>
  <c r="EI5" i="3"/>
  <c r="EH5" i="3"/>
  <c r="EG5" i="3"/>
  <c r="EQ4" i="3"/>
  <c r="EP4" i="3"/>
  <c r="EO4" i="3"/>
  <c r="EN4" i="3"/>
  <c r="EM4" i="3"/>
  <c r="EL4" i="3"/>
  <c r="EK4" i="3"/>
  <c r="EJ4" i="3"/>
  <c r="EI4" i="3"/>
  <c r="EH4" i="3"/>
  <c r="EG4" i="3"/>
  <c r="CS3" i="3"/>
  <c r="CS4" i="18" s="1"/>
  <c r="CS3" i="18" s="1"/>
  <c r="CR3" i="3"/>
  <c r="CR4" i="18" s="1"/>
  <c r="CQ3" i="3"/>
  <c r="CQ4" i="18" s="1"/>
  <c r="CQ3" i="18" s="1"/>
  <c r="CP3" i="3"/>
  <c r="CP4" i="18" s="1"/>
  <c r="CP3" i="18" s="1"/>
  <c r="CO3" i="3"/>
  <c r="CO4" i="18" s="1"/>
  <c r="CN3" i="3"/>
  <c r="CN4" i="18" s="1"/>
  <c r="CN3" i="18" s="1"/>
  <c r="CM3" i="3"/>
  <c r="CM4" i="18" s="1"/>
  <c r="CM3" i="18" s="1"/>
  <c r="CL3" i="3"/>
  <c r="CL4" i="18" s="1"/>
  <c r="CK3" i="3"/>
  <c r="CK4" i="18" s="1"/>
  <c r="CK3" i="18" s="1"/>
  <c r="CJ3" i="3"/>
  <c r="CJ4" i="18" s="1"/>
  <c r="CJ3" i="18" s="1"/>
  <c r="CI3" i="3"/>
  <c r="CI4" i="18" s="1"/>
  <c r="CH3" i="3"/>
  <c r="CH4" i="18" s="1"/>
  <c r="CH3" i="18" s="1"/>
  <c r="CG3" i="3"/>
  <c r="CG4" i="18" s="1"/>
  <c r="CG3" i="18" s="1"/>
  <c r="CF3" i="3"/>
  <c r="CF4" i="18" s="1"/>
  <c r="CE3" i="3"/>
  <c r="CE4" i="18" s="1"/>
  <c r="CE3" i="18" s="1"/>
  <c r="CD3" i="3"/>
  <c r="CD4" i="18" s="1"/>
  <c r="CD3" i="18" s="1"/>
  <c r="CC3" i="3"/>
  <c r="CC4" i="18" s="1"/>
  <c r="CB3" i="3"/>
  <c r="CB4" i="18" s="1"/>
  <c r="CB3" i="18" s="1"/>
  <c r="CA3" i="3"/>
  <c r="CA4" i="18" s="1"/>
  <c r="CA3" i="18" s="1"/>
  <c r="BZ3" i="3"/>
  <c r="BZ4" i="18" s="1"/>
  <c r="BY3" i="3"/>
  <c r="BY4" i="18" s="1"/>
  <c r="BY3" i="18" s="1"/>
  <c r="BX3" i="3"/>
  <c r="BX4" i="18" s="1"/>
  <c r="BX3" i="18" s="1"/>
  <c r="BW3" i="3"/>
  <c r="BW4" i="18" s="1"/>
  <c r="BV3" i="3"/>
  <c r="BV4" i="18" s="1"/>
  <c r="BV3" i="18" s="1"/>
  <c r="BU3" i="3"/>
  <c r="BU4" i="18" s="1"/>
  <c r="BU3" i="18" s="1"/>
  <c r="BT3" i="3"/>
  <c r="BT4" i="18" s="1"/>
  <c r="BS3" i="3"/>
  <c r="BS4" i="18" s="1"/>
  <c r="BS3" i="18" s="1"/>
  <c r="BR3" i="3"/>
  <c r="BR4" i="18" s="1"/>
  <c r="BR3" i="18" s="1"/>
  <c r="BQ3" i="3"/>
  <c r="BQ4" i="18" s="1"/>
  <c r="BP3" i="3"/>
  <c r="BP4" i="18" s="1"/>
  <c r="BP3" i="18" s="1"/>
  <c r="BO3" i="3"/>
  <c r="BO4" i="18" s="1"/>
  <c r="BO3" i="18" s="1"/>
  <c r="BN3" i="3"/>
  <c r="BN4" i="18" s="1"/>
  <c r="BM3" i="3"/>
  <c r="BM4" i="18" s="1"/>
  <c r="BM3" i="18" s="1"/>
  <c r="BL3" i="3"/>
  <c r="BL4" i="18" s="1"/>
  <c r="BL3" i="18" s="1"/>
  <c r="BK3" i="3"/>
  <c r="BK4" i="18" s="1"/>
  <c r="BJ3" i="3"/>
  <c r="BJ4" i="18" s="1"/>
  <c r="BJ3" i="18" s="1"/>
  <c r="BI3" i="3"/>
  <c r="BI4" i="18" s="1"/>
  <c r="BI3" i="18" s="1"/>
  <c r="BH3" i="3"/>
  <c r="BH4" i="18" s="1"/>
  <c r="BH3" i="18" s="1"/>
  <c r="BG3" i="3"/>
  <c r="BG4" i="18" s="1"/>
  <c r="BG3" i="18" s="1"/>
  <c r="BF3" i="3"/>
  <c r="BF4" i="18" s="1"/>
  <c r="BF3" i="18" s="1"/>
  <c r="BE3" i="3"/>
  <c r="BE4" i="18" s="1"/>
  <c r="BE3" i="18" s="1"/>
  <c r="BD3" i="3"/>
  <c r="BD4" i="18" s="1"/>
  <c r="BD3" i="18" s="1"/>
  <c r="BC3" i="3"/>
  <c r="BC4" i="18" s="1"/>
  <c r="BC3" i="18" s="1"/>
  <c r="BB3" i="3"/>
  <c r="BB4" i="18" s="1"/>
  <c r="BB3" i="18" s="1"/>
  <c r="BA3" i="3"/>
  <c r="S2" i="3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BF2" i="3" s="1"/>
  <c r="BG2" i="3" s="1"/>
  <c r="BH2" i="3" s="1"/>
  <c r="BI2" i="3" s="1"/>
  <c r="BJ2" i="3" s="1"/>
  <c r="BK2" i="3" s="1"/>
  <c r="BL2" i="3" s="1"/>
  <c r="BM2" i="3" s="1"/>
  <c r="BN2" i="3" s="1"/>
  <c r="BO2" i="3" s="1"/>
  <c r="BP2" i="3" s="1"/>
  <c r="BQ2" i="3" s="1"/>
  <c r="BR2" i="3" s="1"/>
  <c r="BS2" i="3" s="1"/>
  <c r="BT2" i="3" s="1"/>
  <c r="BU2" i="3" s="1"/>
  <c r="BV2" i="3" s="1"/>
  <c r="BW2" i="3" s="1"/>
  <c r="BX2" i="3" s="1"/>
  <c r="BY2" i="3" s="1"/>
  <c r="BZ2" i="3" s="1"/>
  <c r="CA2" i="3" s="1"/>
  <c r="CB2" i="3" s="1"/>
  <c r="CC2" i="3" s="1"/>
  <c r="CD2" i="3" s="1"/>
  <c r="CE2" i="3" s="1"/>
  <c r="CF2" i="3" s="1"/>
  <c r="CG2" i="3" s="1"/>
  <c r="CH2" i="3" s="1"/>
  <c r="CI2" i="3" s="1"/>
  <c r="CJ2" i="3" s="1"/>
  <c r="CK2" i="3" s="1"/>
  <c r="CL2" i="3" s="1"/>
  <c r="CM2" i="3" s="1"/>
  <c r="CN2" i="3" s="1"/>
  <c r="CO2" i="3" s="1"/>
  <c r="CP2" i="3" s="1"/>
  <c r="CQ2" i="3" s="1"/>
  <c r="CR2" i="3" s="1"/>
  <c r="CS2" i="3" s="1"/>
  <c r="CT2" i="3" s="1"/>
  <c r="CU2" i="3" s="1"/>
  <c r="CV2" i="3" s="1"/>
  <c r="CW2" i="3" s="1"/>
  <c r="CX2" i="3" s="1"/>
  <c r="CY2" i="3" s="1"/>
  <c r="CZ2" i="3" s="1"/>
  <c r="DA2" i="3" s="1"/>
  <c r="DB2" i="3" s="1"/>
  <c r="DC2" i="3" s="1"/>
  <c r="DD2" i="3" s="1"/>
  <c r="DE2" i="3" s="1"/>
  <c r="DF2" i="3" s="1"/>
  <c r="DG2" i="3" s="1"/>
  <c r="DH2" i="3" s="1"/>
  <c r="DI2" i="3" s="1"/>
  <c r="DJ2" i="3" s="1"/>
  <c r="DK2" i="3" s="1"/>
  <c r="DL2" i="3" s="1"/>
  <c r="DM2" i="3" s="1"/>
  <c r="DN2" i="3" s="1"/>
  <c r="DO2" i="3" s="1"/>
  <c r="DP2" i="3" s="1"/>
  <c r="DQ2" i="3" s="1"/>
  <c r="DR2" i="3" s="1"/>
  <c r="DS2" i="3" s="1"/>
  <c r="DT2" i="3" s="1"/>
  <c r="DU2" i="3" s="1"/>
  <c r="DV2" i="3" s="1"/>
  <c r="DW2" i="3" s="1"/>
  <c r="DX2" i="3" s="1"/>
  <c r="DY2" i="3" s="1"/>
  <c r="DZ2" i="3" s="1"/>
  <c r="EA2" i="3" s="1"/>
  <c r="EB2" i="3" s="1"/>
  <c r="EC2" i="3" s="1"/>
  <c r="ED2" i="3" s="1"/>
  <c r="R1" i="2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DR1" i="2" s="1"/>
  <c r="DS1" i="2" s="1"/>
  <c r="DT1" i="2" s="1"/>
  <c r="DU1" i="2" s="1"/>
  <c r="DV1" i="2" s="1"/>
  <c r="DW1" i="2" s="1"/>
  <c r="DX1" i="2" s="1"/>
  <c r="DY1" i="2" s="1"/>
  <c r="DZ1" i="2" s="1"/>
  <c r="EA1" i="2" s="1"/>
  <c r="EB1" i="2" s="1"/>
  <c r="EC1" i="2" s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DN36" i="1"/>
  <c r="CP36" i="1"/>
  <c r="CD36" i="1"/>
  <c r="BF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DC34" i="1"/>
  <c r="DB34" i="1"/>
  <c r="CZ34" i="1"/>
  <c r="CQ34" i="1"/>
  <c r="CN34" i="1"/>
  <c r="CK34" i="1"/>
  <c r="CE34" i="1"/>
  <c r="BS34" i="1"/>
  <c r="BI34" i="1"/>
  <c r="BG34" i="1"/>
  <c r="DM33" i="1"/>
  <c r="DI33" i="1"/>
  <c r="DG33" i="1"/>
  <c r="DA33" i="1"/>
  <c r="CC33" i="1"/>
  <c r="BO33" i="1"/>
  <c r="BM33" i="1"/>
  <c r="BE33" i="1"/>
  <c r="BC33" i="1"/>
  <c r="BA33" i="1"/>
  <c r="DQ25" i="1"/>
  <c r="DQ34" i="1" s="1"/>
  <c r="DP25" i="1"/>
  <c r="DP34" i="1" s="1"/>
  <c r="DO25" i="1"/>
  <c r="DO34" i="1" s="1"/>
  <c r="DN25" i="1"/>
  <c r="DN34" i="1" s="1"/>
  <c r="DM25" i="1"/>
  <c r="DM34" i="1" s="1"/>
  <c r="DL25" i="1"/>
  <c r="DL34" i="1" s="1"/>
  <c r="DK25" i="1"/>
  <c r="DK34" i="1" s="1"/>
  <c r="DJ25" i="1"/>
  <c r="DJ34" i="1" s="1"/>
  <c r="DI25" i="1"/>
  <c r="DI34" i="1" s="1"/>
  <c r="DH25" i="1"/>
  <c r="DH34" i="1" s="1"/>
  <c r="DG25" i="1"/>
  <c r="DG34" i="1" s="1"/>
  <c r="DF25" i="1"/>
  <c r="DF34" i="1" s="1"/>
  <c r="DE25" i="1"/>
  <c r="DE34" i="1" s="1"/>
  <c r="DD25" i="1"/>
  <c r="DD34" i="1" s="1"/>
  <c r="DC25" i="1"/>
  <c r="DB25" i="1"/>
  <c r="DA25" i="1"/>
  <c r="DA34" i="1" s="1"/>
  <c r="CZ25" i="1"/>
  <c r="CY25" i="1"/>
  <c r="CY34" i="1" s="1"/>
  <c r="CX25" i="1"/>
  <c r="CX34" i="1" s="1"/>
  <c r="CW25" i="1"/>
  <c r="CW34" i="1" s="1"/>
  <c r="CV25" i="1"/>
  <c r="CV34" i="1" s="1"/>
  <c r="CU25" i="1"/>
  <c r="CU34" i="1" s="1"/>
  <c r="CT25" i="1"/>
  <c r="CT34" i="1" s="1"/>
  <c r="CS25" i="1"/>
  <c r="CS34" i="1" s="1"/>
  <c r="CR25" i="1"/>
  <c r="CR34" i="1" s="1"/>
  <c r="CQ25" i="1"/>
  <c r="CP25" i="1"/>
  <c r="CP34" i="1" s="1"/>
  <c r="CO25" i="1"/>
  <c r="CO34" i="1" s="1"/>
  <c r="CN25" i="1"/>
  <c r="CM25" i="1"/>
  <c r="CM34" i="1" s="1"/>
  <c r="CL25" i="1"/>
  <c r="CL34" i="1" s="1"/>
  <c r="CK25" i="1"/>
  <c r="CJ25" i="1"/>
  <c r="CJ34" i="1" s="1"/>
  <c r="CI25" i="1"/>
  <c r="CI34" i="1" s="1"/>
  <c r="CH25" i="1"/>
  <c r="CH34" i="1" s="1"/>
  <c r="CG25" i="1"/>
  <c r="CG34" i="1" s="1"/>
  <c r="CF25" i="1"/>
  <c r="CF34" i="1" s="1"/>
  <c r="CE25" i="1"/>
  <c r="CD25" i="1"/>
  <c r="CD34" i="1" s="1"/>
  <c r="CC25" i="1"/>
  <c r="CC34" i="1" s="1"/>
  <c r="CB25" i="1"/>
  <c r="CB34" i="1" s="1"/>
  <c r="CA25" i="1"/>
  <c r="CA34" i="1" s="1"/>
  <c r="BZ25" i="1"/>
  <c r="BZ34" i="1" s="1"/>
  <c r="BY25" i="1"/>
  <c r="BY34" i="1" s="1"/>
  <c r="BX25" i="1"/>
  <c r="BX34" i="1" s="1"/>
  <c r="BW25" i="1"/>
  <c r="BW34" i="1" s="1"/>
  <c r="BV25" i="1"/>
  <c r="BV34" i="1" s="1"/>
  <c r="BU25" i="1"/>
  <c r="BU34" i="1" s="1"/>
  <c r="BT25" i="1"/>
  <c r="BT34" i="1" s="1"/>
  <c r="BS25" i="1"/>
  <c r="BR25" i="1"/>
  <c r="BR34" i="1" s="1"/>
  <c r="BQ25" i="1"/>
  <c r="BQ34" i="1" s="1"/>
  <c r="BP25" i="1"/>
  <c r="BP34" i="1" s="1"/>
  <c r="BO25" i="1"/>
  <c r="BO34" i="1" s="1"/>
  <c r="BN25" i="1"/>
  <c r="BN34" i="1" s="1"/>
  <c r="BM25" i="1"/>
  <c r="BM34" i="1" s="1"/>
  <c r="BL25" i="1"/>
  <c r="BL34" i="1" s="1"/>
  <c r="BK25" i="1"/>
  <c r="BK34" i="1" s="1"/>
  <c r="BJ25" i="1"/>
  <c r="BJ34" i="1" s="1"/>
  <c r="BI25" i="1"/>
  <c r="BH25" i="1"/>
  <c r="BH34" i="1" s="1"/>
  <c r="BG25" i="1"/>
  <c r="BF25" i="1"/>
  <c r="BF34" i="1" s="1"/>
  <c r="BE25" i="1"/>
  <c r="BE34" i="1" s="1"/>
  <c r="BD25" i="1"/>
  <c r="BD34" i="1" s="1"/>
  <c r="BC25" i="1"/>
  <c r="BC34" i="1" s="1"/>
  <c r="BB25" i="1"/>
  <c r="BB34" i="1" s="1"/>
  <c r="BA25" i="1"/>
  <c r="BA34" i="1" s="1"/>
  <c r="AZ25" i="1"/>
  <c r="AZ34" i="1" s="1"/>
  <c r="DQ24" i="1"/>
  <c r="DQ33" i="1" s="1"/>
  <c r="DP24" i="1"/>
  <c r="DP33" i="1" s="1"/>
  <c r="DO24" i="1"/>
  <c r="DO33" i="1" s="1"/>
  <c r="DN24" i="1"/>
  <c r="DN33" i="1" s="1"/>
  <c r="DM24" i="1"/>
  <c r="DL24" i="1"/>
  <c r="DL33" i="1" s="1"/>
  <c r="DK24" i="1"/>
  <c r="DK33" i="1" s="1"/>
  <c r="DJ24" i="1"/>
  <c r="DJ33" i="1" s="1"/>
  <c r="DI24" i="1"/>
  <c r="DH24" i="1"/>
  <c r="DH33" i="1" s="1"/>
  <c r="DG24" i="1"/>
  <c r="DF24" i="1"/>
  <c r="DF33" i="1" s="1"/>
  <c r="DE24" i="1"/>
  <c r="DE33" i="1" s="1"/>
  <c r="DD24" i="1"/>
  <c r="DD33" i="1" s="1"/>
  <c r="DC24" i="1"/>
  <c r="DC33" i="1" s="1"/>
  <c r="DB24" i="1"/>
  <c r="DB33" i="1" s="1"/>
  <c r="DA24" i="1"/>
  <c r="CZ24" i="1"/>
  <c r="CZ33" i="1" s="1"/>
  <c r="CY24" i="1"/>
  <c r="CY33" i="1" s="1"/>
  <c r="CX24" i="1"/>
  <c r="CX33" i="1" s="1"/>
  <c r="CW24" i="1"/>
  <c r="CW33" i="1" s="1"/>
  <c r="CV24" i="1"/>
  <c r="CV33" i="1" s="1"/>
  <c r="CU24" i="1"/>
  <c r="CU33" i="1" s="1"/>
  <c r="CT24" i="1"/>
  <c r="CT33" i="1" s="1"/>
  <c r="CS24" i="1"/>
  <c r="CS33" i="1" s="1"/>
  <c r="CR24" i="1"/>
  <c r="CR33" i="1" s="1"/>
  <c r="CQ24" i="1"/>
  <c r="CQ33" i="1" s="1"/>
  <c r="CP24" i="1"/>
  <c r="CP33" i="1" s="1"/>
  <c r="CO24" i="1"/>
  <c r="CO33" i="1" s="1"/>
  <c r="CN24" i="1"/>
  <c r="CN33" i="1" s="1"/>
  <c r="CM24" i="1"/>
  <c r="CM33" i="1" s="1"/>
  <c r="CL24" i="1"/>
  <c r="CL33" i="1" s="1"/>
  <c r="CK24" i="1"/>
  <c r="CK33" i="1" s="1"/>
  <c r="CJ24" i="1"/>
  <c r="CJ33" i="1" s="1"/>
  <c r="CI24" i="1"/>
  <c r="CI33" i="1" s="1"/>
  <c r="CH24" i="1"/>
  <c r="CH33" i="1" s="1"/>
  <c r="CG24" i="1"/>
  <c r="CG33" i="1" s="1"/>
  <c r="CF24" i="1"/>
  <c r="CF33" i="1" s="1"/>
  <c r="CE24" i="1"/>
  <c r="CE33" i="1" s="1"/>
  <c r="CD24" i="1"/>
  <c r="CD33" i="1" s="1"/>
  <c r="CC24" i="1"/>
  <c r="CB24" i="1"/>
  <c r="CB33" i="1" s="1"/>
  <c r="CA24" i="1"/>
  <c r="CA33" i="1" s="1"/>
  <c r="BZ24" i="1"/>
  <c r="BZ33" i="1" s="1"/>
  <c r="BY24" i="1"/>
  <c r="BY33" i="1" s="1"/>
  <c r="BX24" i="1"/>
  <c r="BX33" i="1" s="1"/>
  <c r="BW24" i="1"/>
  <c r="BW33" i="1" s="1"/>
  <c r="BV24" i="1"/>
  <c r="BV33" i="1" s="1"/>
  <c r="BU24" i="1"/>
  <c r="BU33" i="1" s="1"/>
  <c r="BT24" i="1"/>
  <c r="BT33" i="1" s="1"/>
  <c r="BS24" i="1"/>
  <c r="BS33" i="1" s="1"/>
  <c r="BR24" i="1"/>
  <c r="BR33" i="1" s="1"/>
  <c r="BQ24" i="1"/>
  <c r="BQ33" i="1" s="1"/>
  <c r="BP24" i="1"/>
  <c r="BP33" i="1" s="1"/>
  <c r="BO24" i="1"/>
  <c r="BN24" i="1"/>
  <c r="BN33" i="1" s="1"/>
  <c r="BM24" i="1"/>
  <c r="BL24" i="1"/>
  <c r="BL33" i="1" s="1"/>
  <c r="BK24" i="1"/>
  <c r="BK33" i="1" s="1"/>
  <c r="BJ24" i="1"/>
  <c r="BJ33" i="1" s="1"/>
  <c r="BI24" i="1"/>
  <c r="BI33" i="1" s="1"/>
  <c r="BH24" i="1"/>
  <c r="BH33" i="1" s="1"/>
  <c r="BG24" i="1"/>
  <c r="BG33" i="1" s="1"/>
  <c r="BF24" i="1"/>
  <c r="BF33" i="1" s="1"/>
  <c r="BE24" i="1"/>
  <c r="BD24" i="1"/>
  <c r="BD33" i="1" s="1"/>
  <c r="BC24" i="1"/>
  <c r="BB24" i="1"/>
  <c r="BB33" i="1" s="1"/>
  <c r="BA24" i="1"/>
  <c r="AZ24" i="1"/>
  <c r="AZ33" i="1" s="1"/>
  <c r="DK27" i="1"/>
  <c r="CY27" i="1"/>
  <c r="CM27" i="1"/>
  <c r="CA27" i="1"/>
  <c r="BO27" i="1"/>
  <c r="BC27" i="1"/>
  <c r="DQ27" i="1"/>
  <c r="DP27" i="1"/>
  <c r="DO27" i="1"/>
  <c r="DJ27" i="1"/>
  <c r="DI27" i="1"/>
  <c r="DH27" i="1"/>
  <c r="DG27" i="1"/>
  <c r="DF27" i="1"/>
  <c r="DE27" i="1"/>
  <c r="DD27" i="1"/>
  <c r="DC27" i="1"/>
  <c r="CX27" i="1"/>
  <c r="CW27" i="1"/>
  <c r="CV27" i="1"/>
  <c r="CU27" i="1"/>
  <c r="CT27" i="1"/>
  <c r="CS27" i="1"/>
  <c r="CR27" i="1"/>
  <c r="CQ27" i="1"/>
  <c r="CL27" i="1"/>
  <c r="CK27" i="1"/>
  <c r="CJ27" i="1"/>
  <c r="CI27" i="1"/>
  <c r="CH27" i="1"/>
  <c r="CG27" i="1"/>
  <c r="CF27" i="1"/>
  <c r="CE27" i="1"/>
  <c r="BZ27" i="1"/>
  <c r="BY27" i="1"/>
  <c r="BX27" i="1"/>
  <c r="BW27" i="1"/>
  <c r="BV27" i="1"/>
  <c r="BU27" i="1"/>
  <c r="BT27" i="1"/>
  <c r="BS27" i="1"/>
  <c r="BN27" i="1"/>
  <c r="BM27" i="1"/>
  <c r="BL27" i="1"/>
  <c r="BK27" i="1"/>
  <c r="BJ27" i="1"/>
  <c r="BI27" i="1"/>
  <c r="BH27" i="1"/>
  <c r="BG27" i="1"/>
  <c r="BB27" i="1"/>
  <c r="BA27" i="1"/>
  <c r="AV32" i="1"/>
  <c r="AF32" i="1"/>
  <c r="V32" i="1"/>
  <c r="H32" i="1"/>
  <c r="C23" i="1"/>
  <c r="C32" i="1" s="1"/>
  <c r="D23" i="1"/>
  <c r="D32" i="1" s="1"/>
  <c r="E23" i="1"/>
  <c r="E32" i="1" s="1"/>
  <c r="F23" i="1"/>
  <c r="F32" i="1" s="1"/>
  <c r="G23" i="1"/>
  <c r="G32" i="1" s="1"/>
  <c r="H23" i="1"/>
  <c r="I23" i="1"/>
  <c r="I32" i="1" s="1"/>
  <c r="J23" i="1"/>
  <c r="J32" i="1" s="1"/>
  <c r="K23" i="1"/>
  <c r="K32" i="1" s="1"/>
  <c r="L23" i="1"/>
  <c r="L32" i="1" s="1"/>
  <c r="M23" i="1"/>
  <c r="M32" i="1" s="1"/>
  <c r="N23" i="1"/>
  <c r="N32" i="1" s="1"/>
  <c r="O23" i="1"/>
  <c r="O32" i="1" s="1"/>
  <c r="P23" i="1"/>
  <c r="P32" i="1" s="1"/>
  <c r="Q23" i="1"/>
  <c r="Q32" i="1" s="1"/>
  <c r="R23" i="1"/>
  <c r="R32" i="1" s="1"/>
  <c r="S23" i="1"/>
  <c r="S32" i="1" s="1"/>
  <c r="T23" i="1"/>
  <c r="T32" i="1" s="1"/>
  <c r="U23" i="1"/>
  <c r="U32" i="1" s="1"/>
  <c r="V23" i="1"/>
  <c r="W23" i="1"/>
  <c r="W32" i="1" s="1"/>
  <c r="X23" i="1"/>
  <c r="X32" i="1" s="1"/>
  <c r="Y23" i="1"/>
  <c r="Y32" i="1" s="1"/>
  <c r="Z23" i="1"/>
  <c r="Z32" i="1" s="1"/>
  <c r="AA23" i="1"/>
  <c r="AA32" i="1" s="1"/>
  <c r="AB23" i="1"/>
  <c r="AB32" i="1" s="1"/>
  <c r="AC23" i="1"/>
  <c r="AC32" i="1" s="1"/>
  <c r="AD23" i="1"/>
  <c r="AD32" i="1" s="1"/>
  <c r="AE23" i="1"/>
  <c r="AE32" i="1" s="1"/>
  <c r="AF23" i="1"/>
  <c r="AG23" i="1"/>
  <c r="AG32" i="1" s="1"/>
  <c r="AH23" i="1"/>
  <c r="AH32" i="1" s="1"/>
  <c r="AI23" i="1"/>
  <c r="AI32" i="1" s="1"/>
  <c r="AJ23" i="1"/>
  <c r="AJ32" i="1" s="1"/>
  <c r="AK23" i="1"/>
  <c r="AK32" i="1" s="1"/>
  <c r="AL23" i="1"/>
  <c r="AL32" i="1" s="1"/>
  <c r="AM23" i="1"/>
  <c r="AM32" i="1" s="1"/>
  <c r="AN23" i="1"/>
  <c r="AN32" i="1" s="1"/>
  <c r="AO23" i="1"/>
  <c r="AO32" i="1" s="1"/>
  <c r="AP23" i="1"/>
  <c r="AP32" i="1" s="1"/>
  <c r="AQ23" i="1"/>
  <c r="AQ32" i="1" s="1"/>
  <c r="AR23" i="1"/>
  <c r="AR32" i="1" s="1"/>
  <c r="AS23" i="1"/>
  <c r="AS32" i="1" s="1"/>
  <c r="AT23" i="1"/>
  <c r="AT32" i="1" s="1"/>
  <c r="AU23" i="1"/>
  <c r="AU32" i="1" s="1"/>
  <c r="AV23" i="1"/>
  <c r="AW23" i="1"/>
  <c r="AW32" i="1" s="1"/>
  <c r="AX23" i="1"/>
  <c r="AX32" i="1" s="1"/>
  <c r="AY23" i="1"/>
  <c r="AY32" i="1" s="1"/>
  <c r="BA23" i="1"/>
  <c r="BE23" i="1"/>
  <c r="BQ23" i="1"/>
  <c r="CA23" i="1"/>
  <c r="B23" i="1"/>
  <c r="B32" i="1" s="1"/>
  <c r="DN27" i="1"/>
  <c r="DM27" i="1"/>
  <c r="DL27" i="1"/>
  <c r="DB27" i="1"/>
  <c r="DA27" i="1"/>
  <c r="CZ27" i="1"/>
  <c r="CP27" i="1"/>
  <c r="CO27" i="1"/>
  <c r="CN27" i="1"/>
  <c r="CD27" i="1"/>
  <c r="CC27" i="1"/>
  <c r="CB27" i="1"/>
  <c r="BR27" i="1"/>
  <c r="BQ27" i="1"/>
  <c r="BP27" i="1"/>
  <c r="BF27" i="1"/>
  <c r="BE27" i="1"/>
  <c r="BD27" i="1"/>
  <c r="AZ27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EC14" i="1"/>
  <c r="DQ14" i="1"/>
  <c r="DP14" i="1"/>
  <c r="DO14" i="1"/>
  <c r="DN14" i="1"/>
  <c r="DM14" i="1"/>
  <c r="DM18" i="1" s="1"/>
  <c r="DL14" i="1"/>
  <c r="DL18" i="1" s="1"/>
  <c r="DK14" i="1"/>
  <c r="DJ14" i="1"/>
  <c r="DI14" i="1"/>
  <c r="DH14" i="1"/>
  <c r="DH18" i="1" s="1"/>
  <c r="DG14" i="1"/>
  <c r="DF14" i="1"/>
  <c r="DE14" i="1"/>
  <c r="DD14" i="1"/>
  <c r="DC14" i="1"/>
  <c r="DB14" i="1"/>
  <c r="DA14" i="1"/>
  <c r="DA18" i="1" s="1"/>
  <c r="CZ14" i="1"/>
  <c r="CZ18" i="1" s="1"/>
  <c r="CY14" i="1"/>
  <c r="CX14" i="1"/>
  <c r="CW14" i="1"/>
  <c r="CV14" i="1"/>
  <c r="CV18" i="1" s="1"/>
  <c r="CU14" i="1"/>
  <c r="CT14" i="1"/>
  <c r="CS14" i="1"/>
  <c r="CR14" i="1"/>
  <c r="CQ14" i="1"/>
  <c r="CP14" i="1"/>
  <c r="CO14" i="1"/>
  <c r="CO18" i="1" s="1"/>
  <c r="CN14" i="1"/>
  <c r="CN18" i="1" s="1"/>
  <c r="CM14" i="1"/>
  <c r="CL14" i="1"/>
  <c r="CK14" i="1"/>
  <c r="CJ14" i="1"/>
  <c r="CJ18" i="1" s="1"/>
  <c r="CI14" i="1"/>
  <c r="CH14" i="1"/>
  <c r="CG14" i="1"/>
  <c r="CF14" i="1"/>
  <c r="CE14" i="1"/>
  <c r="CD14" i="1"/>
  <c r="CC14" i="1"/>
  <c r="CC18" i="1" s="1"/>
  <c r="CB14" i="1"/>
  <c r="CB18" i="1" s="1"/>
  <c r="CA14" i="1"/>
  <c r="BZ14" i="1"/>
  <c r="BY14" i="1"/>
  <c r="BX14" i="1"/>
  <c r="BX18" i="1" s="1"/>
  <c r="BW14" i="1"/>
  <c r="BV14" i="1"/>
  <c r="BU14" i="1"/>
  <c r="BT14" i="1"/>
  <c r="BS14" i="1"/>
  <c r="BR14" i="1"/>
  <c r="BQ14" i="1"/>
  <c r="BQ18" i="1" s="1"/>
  <c r="BP14" i="1"/>
  <c r="BP18" i="1" s="1"/>
  <c r="BO14" i="1"/>
  <c r="BN14" i="1"/>
  <c r="BM14" i="1"/>
  <c r="BL14" i="1"/>
  <c r="BL18" i="1" s="1"/>
  <c r="BK14" i="1"/>
  <c r="BJ14" i="1"/>
  <c r="BI14" i="1"/>
  <c r="BH14" i="1"/>
  <c r="BG14" i="1"/>
  <c r="BF14" i="1"/>
  <c r="BE14" i="1"/>
  <c r="BE18" i="1" s="1"/>
  <c r="BD14" i="1"/>
  <c r="BD18" i="1" s="1"/>
  <c r="BC14" i="1"/>
  <c r="BB14" i="1"/>
  <c r="BA14" i="1"/>
  <c r="AZ14" i="1"/>
  <c r="AZ18" i="1" s="1"/>
  <c r="EC10" i="1"/>
  <c r="DQ10" i="1"/>
  <c r="DP10" i="1"/>
  <c r="DO10" i="1"/>
  <c r="DN10" i="1"/>
  <c r="DM10" i="1"/>
  <c r="DL10" i="1"/>
  <c r="DK10" i="1"/>
  <c r="DK23" i="1" s="1"/>
  <c r="DJ10" i="1"/>
  <c r="DI10" i="1"/>
  <c r="DH10" i="1"/>
  <c r="DG10" i="1"/>
  <c r="DG23" i="1" s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U23" i="1" s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I23" i="1" s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W23" i="1" s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K23" i="1" s="1"/>
  <c r="BJ10" i="1"/>
  <c r="BI10" i="1"/>
  <c r="BH10" i="1"/>
  <c r="BG10" i="1"/>
  <c r="BF10" i="1"/>
  <c r="BE10" i="1"/>
  <c r="BD10" i="1"/>
  <c r="BC10" i="1"/>
  <c r="BB10" i="1"/>
  <c r="BA10" i="1"/>
  <c r="AZ10" i="1"/>
  <c r="EC6" i="1"/>
  <c r="DQ6" i="1"/>
  <c r="DQ36" i="1" s="1"/>
  <c r="DP6" i="1"/>
  <c r="DP36" i="1" s="1"/>
  <c r="DO6" i="1"/>
  <c r="DN6" i="1"/>
  <c r="DM6" i="1"/>
  <c r="DL6" i="1"/>
  <c r="DK6" i="1"/>
  <c r="DK36" i="1" s="1"/>
  <c r="DJ6" i="1"/>
  <c r="DI6" i="1"/>
  <c r="DH6" i="1"/>
  <c r="DG6" i="1"/>
  <c r="DF6" i="1"/>
  <c r="DE6" i="1"/>
  <c r="DD6" i="1"/>
  <c r="DD36" i="1" s="1"/>
  <c r="DC6" i="1"/>
  <c r="DB6" i="1"/>
  <c r="DB36" i="1" s="1"/>
  <c r="DA6" i="1"/>
  <c r="CZ6" i="1"/>
  <c r="CY6" i="1"/>
  <c r="CY36" i="1" s="1"/>
  <c r="CX6" i="1"/>
  <c r="CW6" i="1"/>
  <c r="CV6" i="1"/>
  <c r="CU6" i="1"/>
  <c r="CT6" i="1"/>
  <c r="CS6" i="1"/>
  <c r="CS36" i="1" s="1"/>
  <c r="CR6" i="1"/>
  <c r="CR36" i="1" s="1"/>
  <c r="CQ6" i="1"/>
  <c r="CP6" i="1"/>
  <c r="CO6" i="1"/>
  <c r="CN6" i="1"/>
  <c r="CM6" i="1"/>
  <c r="CM36" i="1" s="1"/>
  <c r="CL6" i="1"/>
  <c r="CK6" i="1"/>
  <c r="CJ6" i="1"/>
  <c r="CI6" i="1"/>
  <c r="CH6" i="1"/>
  <c r="CG6" i="1"/>
  <c r="CG36" i="1" s="1"/>
  <c r="CF6" i="1"/>
  <c r="CF36" i="1" s="1"/>
  <c r="CE6" i="1"/>
  <c r="CD6" i="1"/>
  <c r="CC6" i="1"/>
  <c r="CB6" i="1"/>
  <c r="CA6" i="1"/>
  <c r="CA36" i="1" s="1"/>
  <c r="BZ6" i="1"/>
  <c r="BY6" i="1"/>
  <c r="BX6" i="1"/>
  <c r="BW6" i="1"/>
  <c r="BV6" i="1"/>
  <c r="BU6" i="1"/>
  <c r="BT6" i="1"/>
  <c r="BT36" i="1" s="1"/>
  <c r="BS6" i="1"/>
  <c r="BR6" i="1"/>
  <c r="BR36" i="1" s="1"/>
  <c r="BQ6" i="1"/>
  <c r="BP6" i="1"/>
  <c r="BO6" i="1"/>
  <c r="BO36" i="1" s="1"/>
  <c r="BN6" i="1"/>
  <c r="BM6" i="1"/>
  <c r="BL6" i="1"/>
  <c r="BK6" i="1"/>
  <c r="BJ6" i="1"/>
  <c r="BI6" i="1"/>
  <c r="BI36" i="1" s="1"/>
  <c r="BH6" i="1"/>
  <c r="BH36" i="1" s="1"/>
  <c r="BG6" i="1"/>
  <c r="BF6" i="1"/>
  <c r="BE6" i="1"/>
  <c r="BD6" i="1"/>
  <c r="BC6" i="1"/>
  <c r="BC36" i="1" s="1"/>
  <c r="BB6" i="1"/>
  <c r="BA6" i="1"/>
  <c r="AZ6" i="1"/>
  <c r="EC2" i="1"/>
  <c r="DQ2" i="1"/>
  <c r="DP2" i="1"/>
  <c r="DO2" i="1"/>
  <c r="DO23" i="1" s="1"/>
  <c r="DN2" i="1"/>
  <c r="DM2" i="1"/>
  <c r="DM23" i="1" s="1"/>
  <c r="DL2" i="1"/>
  <c r="DK2" i="1"/>
  <c r="DJ2" i="1"/>
  <c r="DJ23" i="1" s="1"/>
  <c r="DI2" i="1"/>
  <c r="DH2" i="1"/>
  <c r="DG2" i="1"/>
  <c r="DF2" i="1"/>
  <c r="DE2" i="1"/>
  <c r="DD2" i="1"/>
  <c r="DC2" i="1"/>
  <c r="DC23" i="1" s="1"/>
  <c r="DB2" i="1"/>
  <c r="DA2" i="1"/>
  <c r="DA23" i="1" s="1"/>
  <c r="CZ2" i="1"/>
  <c r="CY2" i="1"/>
  <c r="CX2" i="1"/>
  <c r="CX23" i="1" s="1"/>
  <c r="CW2" i="1"/>
  <c r="CV2" i="1"/>
  <c r="CU2" i="1"/>
  <c r="CT2" i="1"/>
  <c r="CS2" i="1"/>
  <c r="CR2" i="1"/>
  <c r="CQ2" i="1"/>
  <c r="CQ23" i="1" s="1"/>
  <c r="CP2" i="1"/>
  <c r="CO2" i="1"/>
  <c r="CO23" i="1" s="1"/>
  <c r="CN2" i="1"/>
  <c r="CM2" i="1"/>
  <c r="CL2" i="1"/>
  <c r="CL23" i="1" s="1"/>
  <c r="CK2" i="1"/>
  <c r="CJ2" i="1"/>
  <c r="CI2" i="1"/>
  <c r="CH2" i="1"/>
  <c r="CG2" i="1"/>
  <c r="CF2" i="1"/>
  <c r="CE2" i="1"/>
  <c r="CE23" i="1" s="1"/>
  <c r="CD2" i="1"/>
  <c r="CC2" i="1"/>
  <c r="CC23" i="1" s="1"/>
  <c r="CB2" i="1"/>
  <c r="CA2" i="1"/>
  <c r="BZ2" i="1"/>
  <c r="BZ23" i="1" s="1"/>
  <c r="BY2" i="1"/>
  <c r="BX2" i="1"/>
  <c r="BW2" i="1"/>
  <c r="BV2" i="1"/>
  <c r="BU2" i="1"/>
  <c r="BT2" i="1"/>
  <c r="BS2" i="1"/>
  <c r="BS23" i="1" s="1"/>
  <c r="BR2" i="1"/>
  <c r="BQ2" i="1"/>
  <c r="BP2" i="1"/>
  <c r="BO2" i="1"/>
  <c r="BN2" i="1"/>
  <c r="BN23" i="1" s="1"/>
  <c r="BM2" i="1"/>
  <c r="BL2" i="1"/>
  <c r="BK2" i="1"/>
  <c r="BJ2" i="1"/>
  <c r="BI2" i="1"/>
  <c r="BH2" i="1"/>
  <c r="BG2" i="1"/>
  <c r="BG23" i="1" s="1"/>
  <c r="BF2" i="1"/>
  <c r="BE2" i="1"/>
  <c r="BD2" i="1"/>
  <c r="BC2" i="1"/>
  <c r="BB2" i="1"/>
  <c r="BB23" i="1" s="1"/>
  <c r="BA2" i="1"/>
  <c r="AZ2" i="1"/>
  <c r="R1" i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R33" i="3" l="1"/>
  <c r="ET117" i="15"/>
  <c r="DC177" i="18"/>
  <c r="DD177" i="18"/>
  <c r="DD175" i="18" s="1"/>
  <c r="DG48" i="15"/>
  <c r="DS288" i="2"/>
  <c r="CT285" i="2"/>
  <c r="DT129" i="13"/>
  <c r="DS5" i="14"/>
  <c r="DT342" i="2"/>
  <c r="EZ13" i="18"/>
  <c r="BJ23" i="1"/>
  <c r="BC23" i="1"/>
  <c r="BO23" i="1"/>
  <c r="CM23" i="1"/>
  <c r="CY23" i="1"/>
  <c r="BD36" i="1"/>
  <c r="BP36" i="1"/>
  <c r="CB36" i="1"/>
  <c r="CN36" i="1"/>
  <c r="CZ36" i="1"/>
  <c r="DL36" i="1"/>
  <c r="BV23" i="1"/>
  <c r="BV32" i="1" s="1"/>
  <c r="CH23" i="1"/>
  <c r="BF23" i="1"/>
  <c r="BR23" i="1"/>
  <c r="BR32" i="1" s="1"/>
  <c r="CD23" i="1"/>
  <c r="CP23" i="1"/>
  <c r="DB23" i="1"/>
  <c r="DN23" i="1"/>
  <c r="DN32" i="1" s="1"/>
  <c r="BG36" i="1"/>
  <c r="BS36" i="1"/>
  <c r="CE36" i="1"/>
  <c r="CQ36" i="1"/>
  <c r="DC36" i="1"/>
  <c r="DO36" i="1"/>
  <c r="BU36" i="1"/>
  <c r="DE36" i="1"/>
  <c r="CT23" i="1"/>
  <c r="DF23" i="1"/>
  <c r="DF32" i="1" s="1"/>
  <c r="BM23" i="1"/>
  <c r="BY23" i="1"/>
  <c r="CK23" i="1"/>
  <c r="CW23" i="1"/>
  <c r="CW32" i="1" s="1"/>
  <c r="DI23" i="1"/>
  <c r="BB36" i="1"/>
  <c r="BN36" i="1"/>
  <c r="BZ36" i="1"/>
  <c r="CL36" i="1"/>
  <c r="CX36" i="1"/>
  <c r="DJ36" i="1"/>
  <c r="AZ36" i="1"/>
  <c r="BL36" i="1"/>
  <c r="BX36" i="1"/>
  <c r="CJ36" i="1"/>
  <c r="CV36" i="1"/>
  <c r="DH36" i="1"/>
  <c r="AZ23" i="1"/>
  <c r="BL23" i="1"/>
  <c r="BL32" i="1" s="1"/>
  <c r="BX23" i="1"/>
  <c r="BX32" i="1" s="1"/>
  <c r="CJ23" i="1"/>
  <c r="CV23" i="1"/>
  <c r="DH23" i="1"/>
  <c r="DH32" i="1" s="1"/>
  <c r="BA36" i="1"/>
  <c r="BM36" i="1"/>
  <c r="BY36" i="1"/>
  <c r="CK36" i="1"/>
  <c r="CW36" i="1"/>
  <c r="DI36" i="1"/>
  <c r="BE32" i="1"/>
  <c r="DA32" i="1"/>
  <c r="BD23" i="1"/>
  <c r="BP23" i="1"/>
  <c r="CB23" i="1"/>
  <c r="CB32" i="1" s="1"/>
  <c r="CN23" i="1"/>
  <c r="CZ23" i="1"/>
  <c r="DL23" i="1"/>
  <c r="DL32" i="1" s="1"/>
  <c r="BE36" i="1"/>
  <c r="BQ36" i="1"/>
  <c r="CC36" i="1"/>
  <c r="CO36" i="1"/>
  <c r="DA36" i="1"/>
  <c r="DM36" i="1"/>
  <c r="BG18" i="1"/>
  <c r="BS18" i="1"/>
  <c r="CE18" i="1"/>
  <c r="CQ18" i="1"/>
  <c r="DC18" i="1"/>
  <c r="DO18" i="1"/>
  <c r="BF32" i="1"/>
  <c r="CP32" i="1"/>
  <c r="DB32" i="1"/>
  <c r="BK32" i="1"/>
  <c r="CU32" i="1"/>
  <c r="CG23" i="1"/>
  <c r="DE23" i="1"/>
  <c r="BJ18" i="1"/>
  <c r="CH18" i="1"/>
  <c r="DF18" i="1"/>
  <c r="BI23" i="1"/>
  <c r="BU23" i="1"/>
  <c r="BU32" i="1" s="1"/>
  <c r="CS23" i="1"/>
  <c r="DQ23" i="1"/>
  <c r="DQ32" i="1" s="1"/>
  <c r="BV18" i="1"/>
  <c r="CT18" i="1"/>
  <c r="EC18" i="1"/>
  <c r="BH23" i="1"/>
  <c r="BT23" i="1"/>
  <c r="CF23" i="1"/>
  <c r="CF32" i="1" s="1"/>
  <c r="CR23" i="1"/>
  <c r="DD23" i="1"/>
  <c r="DP23" i="1"/>
  <c r="DP32" i="1" s="1"/>
  <c r="BK18" i="1"/>
  <c r="BW18" i="1"/>
  <c r="CI18" i="1"/>
  <c r="CU18" i="1"/>
  <c r="DG18" i="1"/>
  <c r="DS148" i="18"/>
  <c r="BG32" i="1"/>
  <c r="BW32" i="1"/>
  <c r="CQ32" i="1"/>
  <c r="DG32" i="1"/>
  <c r="DK32" i="1"/>
  <c r="DV13" i="18"/>
  <c r="DV81" i="18"/>
  <c r="DV15" i="14"/>
  <c r="BH18" i="1"/>
  <c r="BT18" i="1"/>
  <c r="CF18" i="1"/>
  <c r="CR18" i="1"/>
  <c r="DD18" i="1"/>
  <c r="DP18" i="1"/>
  <c r="BQ32" i="1"/>
  <c r="DM32" i="1"/>
  <c r="BI32" i="1"/>
  <c r="BY32" i="1"/>
  <c r="CS32" i="1"/>
  <c r="DI32" i="1"/>
  <c r="DT367" i="2"/>
  <c r="DT45" i="14"/>
  <c r="BI18" i="1"/>
  <c r="BU18" i="1"/>
  <c r="CG18" i="1"/>
  <c r="CS18" i="1"/>
  <c r="DE18" i="1"/>
  <c r="DQ18" i="1"/>
  <c r="BJ32" i="1"/>
  <c r="BZ32" i="1"/>
  <c r="CT32" i="1"/>
  <c r="DJ32" i="1"/>
  <c r="DU345" i="2"/>
  <c r="DU29" i="14"/>
  <c r="DU160" i="18" s="1"/>
  <c r="EZ160" i="18" s="1"/>
  <c r="CR32" i="1"/>
  <c r="CY32" i="1"/>
  <c r="BV36" i="1"/>
  <c r="CT36" i="1"/>
  <c r="BP32" i="1"/>
  <c r="BH32" i="1"/>
  <c r="CD32" i="1"/>
  <c r="BM32" i="1"/>
  <c r="CG32" i="1"/>
  <c r="BK36" i="1"/>
  <c r="BW36" i="1"/>
  <c r="CI36" i="1"/>
  <c r="CU36" i="1"/>
  <c r="DG36" i="1"/>
  <c r="CN32" i="1"/>
  <c r="BN32" i="1"/>
  <c r="CH32" i="1"/>
  <c r="CX32" i="1"/>
  <c r="BC32" i="1"/>
  <c r="DS329" i="2"/>
  <c r="DT6" i="14"/>
  <c r="CL32" i="1"/>
  <c r="DO32" i="1"/>
  <c r="CC32" i="1"/>
  <c r="CV32" i="1"/>
  <c r="BJ36" i="1"/>
  <c r="CH36" i="1"/>
  <c r="DF36" i="1"/>
  <c r="CO32" i="1"/>
  <c r="BS32" i="1"/>
  <c r="CI32" i="1"/>
  <c r="DC32" i="1"/>
  <c r="BO32" i="1"/>
  <c r="DT26" i="14"/>
  <c r="CE32" i="1"/>
  <c r="AZ32" i="1"/>
  <c r="BT32" i="1"/>
  <c r="CA32" i="1"/>
  <c r="DU344" i="2"/>
  <c r="DU28" i="14"/>
  <c r="DU158" i="18" s="1"/>
  <c r="BB32" i="1"/>
  <c r="CJ32" i="1"/>
  <c r="DD32" i="1"/>
  <c r="BB18" i="1"/>
  <c r="BN18" i="1"/>
  <c r="BZ18" i="1"/>
  <c r="CL18" i="1"/>
  <c r="CX18" i="1"/>
  <c r="DJ18" i="1"/>
  <c r="BD32" i="1"/>
  <c r="CZ32" i="1"/>
  <c r="BA32" i="1"/>
  <c r="CK32" i="1"/>
  <c r="DE32" i="1"/>
  <c r="CM32" i="1"/>
  <c r="EW50" i="14"/>
  <c r="EW51" i="14" s="1"/>
  <c r="CM109" i="12"/>
  <c r="CM138" i="11"/>
  <c r="BK5" i="18"/>
  <c r="EF5" i="18" s="1"/>
  <c r="FH176" i="18"/>
  <c r="DH380" i="2"/>
  <c r="CR21" i="15"/>
  <c r="CR34" i="15" s="1"/>
  <c r="DX526" i="2"/>
  <c r="DW513" i="2"/>
  <c r="EW57" i="7"/>
  <c r="EW52" i="7"/>
  <c r="EV57" i="7"/>
  <c r="EV52" i="7"/>
  <c r="EX57" i="7"/>
  <c r="EX52" i="7"/>
  <c r="DT330" i="2"/>
  <c r="DT361" i="2"/>
  <c r="DT357" i="2"/>
  <c r="DU312" i="2"/>
  <c r="DL147" i="7"/>
  <c r="DU119" i="15" s="1"/>
  <c r="DT347" i="2"/>
  <c r="DV343" i="2"/>
  <c r="DW27" i="14" s="1"/>
  <c r="DW10" i="14"/>
  <c r="DU333" i="2"/>
  <c r="EF23" i="15"/>
  <c r="CF21" i="15"/>
  <c r="CF48" i="18" s="1"/>
  <c r="CF38" i="15"/>
  <c r="CF67" i="15" s="1"/>
  <c r="CF5" i="18"/>
  <c r="EM5" i="18" s="1"/>
  <c r="FF5" i="18" s="1"/>
  <c r="BW21" i="15"/>
  <c r="EJ21" i="15" s="1"/>
  <c r="BT38" i="15"/>
  <c r="BT67" i="15" s="1"/>
  <c r="BK21" i="15"/>
  <c r="BK34" i="15" s="1"/>
  <c r="BW38" i="15"/>
  <c r="BW67" i="15" s="1"/>
  <c r="CT248" i="2"/>
  <c r="CU248" i="2" s="1"/>
  <c r="CV248" i="2" s="1"/>
  <c r="CW248" i="2" s="1"/>
  <c r="CX248" i="2" s="1"/>
  <c r="CY248" i="2" s="1"/>
  <c r="CZ248" i="2" s="1"/>
  <c r="DA248" i="2" s="1"/>
  <c r="DB248" i="2" s="1"/>
  <c r="DC248" i="2" s="1"/>
  <c r="DD248" i="2" s="1"/>
  <c r="DE248" i="2" s="1"/>
  <c r="DF248" i="2" s="1"/>
  <c r="DG248" i="2" s="1"/>
  <c r="DH248" i="2" s="1"/>
  <c r="DI248" i="2" s="1"/>
  <c r="DJ248" i="2" s="1"/>
  <c r="DK248" i="2" s="1"/>
  <c r="DL248" i="2" s="1"/>
  <c r="DM248" i="2" s="1"/>
  <c r="DN248" i="2" s="1"/>
  <c r="DO248" i="2" s="1"/>
  <c r="DP248" i="2" s="1"/>
  <c r="DQ248" i="2" s="1"/>
  <c r="DR248" i="2" s="1"/>
  <c r="DS248" i="2" s="1"/>
  <c r="DT248" i="2" s="1"/>
  <c r="DU248" i="2" s="1"/>
  <c r="DV248" i="2" s="1"/>
  <c r="DW248" i="2" s="1"/>
  <c r="DX248" i="2" s="1"/>
  <c r="DY248" i="2" s="1"/>
  <c r="DZ248" i="2" s="1"/>
  <c r="EA248" i="2" s="1"/>
  <c r="EB248" i="2" s="1"/>
  <c r="EC248" i="2" s="1"/>
  <c r="BQ21" i="15"/>
  <c r="EH21" i="15" s="1"/>
  <c r="EH34" i="15" s="1"/>
  <c r="BQ38" i="15"/>
  <c r="BQ67" i="15" s="1"/>
  <c r="CC21" i="15"/>
  <c r="CC36" i="18" s="1"/>
  <c r="BQ5" i="18"/>
  <c r="EH5" i="18" s="1"/>
  <c r="BZ21" i="15"/>
  <c r="BZ36" i="18" s="1"/>
  <c r="BT21" i="15"/>
  <c r="BT34" i="15" s="1"/>
  <c r="EL23" i="15"/>
  <c r="FF23" i="15" s="1"/>
  <c r="EI3" i="15"/>
  <c r="FE3" i="15" s="1"/>
  <c r="FF5" i="15"/>
  <c r="EQ3" i="15"/>
  <c r="FG3" i="15" s="1"/>
  <c r="EL3" i="15"/>
  <c r="ES190" i="18"/>
  <c r="DO113" i="18"/>
  <c r="DO139" i="18" s="1"/>
  <c r="EX139" i="18" s="1"/>
  <c r="EJ3" i="15"/>
  <c r="FG5" i="15"/>
  <c r="CR38" i="15"/>
  <c r="CR67" i="15" s="1"/>
  <c r="CT30" i="2"/>
  <c r="CU30" i="2" s="1"/>
  <c r="CV30" i="2" s="1"/>
  <c r="CW30" i="2" s="1"/>
  <c r="CX30" i="2" s="1"/>
  <c r="CY30" i="2" s="1"/>
  <c r="CZ30" i="2" s="1"/>
  <c r="DA30" i="2" s="1"/>
  <c r="DB30" i="2" s="1"/>
  <c r="DC30" i="2" s="1"/>
  <c r="DD30" i="2" s="1"/>
  <c r="DE30" i="2" s="1"/>
  <c r="DF30" i="2" s="1"/>
  <c r="DG30" i="2" s="1"/>
  <c r="DH30" i="2" s="1"/>
  <c r="DI30" i="2" s="1"/>
  <c r="DJ30" i="2" s="1"/>
  <c r="DK30" i="2" s="1"/>
  <c r="DL30" i="2" s="1"/>
  <c r="DM30" i="2" s="1"/>
  <c r="DN30" i="2" s="1"/>
  <c r="DO30" i="2" s="1"/>
  <c r="DP30" i="2" s="1"/>
  <c r="DQ30" i="2" s="1"/>
  <c r="DR30" i="2" s="1"/>
  <c r="DS30" i="2" s="1"/>
  <c r="DT30" i="2" s="1"/>
  <c r="DU30" i="2" s="1"/>
  <c r="DV30" i="2" s="1"/>
  <c r="DW30" i="2" s="1"/>
  <c r="DX30" i="2" s="1"/>
  <c r="DY30" i="2" s="1"/>
  <c r="DZ30" i="2" s="1"/>
  <c r="EA30" i="2" s="1"/>
  <c r="EB30" i="2" s="1"/>
  <c r="EC30" i="2" s="1"/>
  <c r="CT31" i="2"/>
  <c r="CU31" i="2" s="1"/>
  <c r="CV31" i="2" s="1"/>
  <c r="CW31" i="2" s="1"/>
  <c r="CX31" i="2" s="1"/>
  <c r="CY31" i="2" s="1"/>
  <c r="CZ31" i="2" s="1"/>
  <c r="DA31" i="2" s="1"/>
  <c r="DB31" i="2" s="1"/>
  <c r="DC31" i="2" s="1"/>
  <c r="DD31" i="2" s="1"/>
  <c r="DE31" i="2" s="1"/>
  <c r="DF31" i="2" s="1"/>
  <c r="DG31" i="2" s="1"/>
  <c r="DH31" i="2" s="1"/>
  <c r="DI31" i="2" s="1"/>
  <c r="DJ31" i="2" s="1"/>
  <c r="DK31" i="2" s="1"/>
  <c r="DL31" i="2" s="1"/>
  <c r="DM31" i="2" s="1"/>
  <c r="DN31" i="2" s="1"/>
  <c r="DO31" i="2" s="1"/>
  <c r="DP31" i="2" s="1"/>
  <c r="DQ31" i="2" s="1"/>
  <c r="DR31" i="2" s="1"/>
  <c r="DS31" i="2" s="1"/>
  <c r="DT31" i="2" s="1"/>
  <c r="DU31" i="2" s="1"/>
  <c r="DV31" i="2" s="1"/>
  <c r="DW31" i="2" s="1"/>
  <c r="DX31" i="2" s="1"/>
  <c r="DY31" i="2" s="1"/>
  <c r="DZ31" i="2" s="1"/>
  <c r="EA31" i="2" s="1"/>
  <c r="EB31" i="2" s="1"/>
  <c r="EC31" i="2" s="1"/>
  <c r="CO21" i="15"/>
  <c r="CO36" i="18" s="1"/>
  <c r="CI5" i="18"/>
  <c r="EN5" i="18" s="1"/>
  <c r="CO38" i="15"/>
  <c r="CO67" i="15" s="1"/>
  <c r="CV785" i="2"/>
  <c r="CP42" i="18"/>
  <c r="CO785" i="2"/>
  <c r="CN42" i="18"/>
  <c r="CM785" i="2"/>
  <c r="CM42" i="18"/>
  <c r="CL785" i="2"/>
  <c r="CH42" i="18"/>
  <c r="CG785" i="2"/>
  <c r="CG42" i="18"/>
  <c r="CF785" i="2"/>
  <c r="CA42" i="18"/>
  <c r="BZ785" i="2"/>
  <c r="BY42" i="18"/>
  <c r="BX785" i="2"/>
  <c r="BV42" i="18"/>
  <c r="BU785" i="2"/>
  <c r="BU42" i="18"/>
  <c r="BT785" i="2"/>
  <c r="BP42" i="18"/>
  <c r="BO785" i="2"/>
  <c r="BO42" i="18"/>
  <c r="BN785" i="2"/>
  <c r="BM42" i="18"/>
  <c r="BL785" i="2"/>
  <c r="BL42" i="18"/>
  <c r="BK785" i="2"/>
  <c r="BI42" i="18"/>
  <c r="BH785" i="2"/>
  <c r="BH42" i="18"/>
  <c r="BG785" i="2"/>
  <c r="BG42" i="18"/>
  <c r="BF785" i="2"/>
  <c r="BF42" i="18"/>
  <c r="BE785" i="2"/>
  <c r="BE42" i="18"/>
  <c r="BD785" i="2"/>
  <c r="BD42" i="18"/>
  <c r="BC785" i="2"/>
  <c r="BC42" i="18"/>
  <c r="BB785" i="2"/>
  <c r="BB42" i="18"/>
  <c r="BA785" i="2"/>
  <c r="EX23" i="14"/>
  <c r="EX24" i="14" s="1"/>
  <c r="DO24" i="14"/>
  <c r="DN50" i="14"/>
  <c r="DN51" i="14" s="1"/>
  <c r="DN43" i="14"/>
  <c r="EG23" i="15"/>
  <c r="BN38" i="15"/>
  <c r="EG38" i="15" s="1"/>
  <c r="BN21" i="15"/>
  <c r="BW91" i="12"/>
  <c r="DO169" i="18"/>
  <c r="EX169" i="18" s="1"/>
  <c r="DO34" i="14"/>
  <c r="DO42" i="14"/>
  <c r="EX42" i="14" s="1"/>
  <c r="DT155" i="13"/>
  <c r="DC162" i="18"/>
  <c r="ET162" i="18" s="1"/>
  <c r="DC108" i="15"/>
  <c r="ET108" i="15" s="1"/>
  <c r="CC144" i="13"/>
  <c r="DC99" i="15"/>
  <c r="ET99" i="15" s="1"/>
  <c r="BV88" i="12"/>
  <c r="DM88" i="12" s="1"/>
  <c r="DO104" i="18"/>
  <c r="EX104" i="18" s="1"/>
  <c r="CI38" i="15"/>
  <c r="FE5" i="15"/>
  <c r="EN23" i="15"/>
  <c r="FG23" i="15" s="1"/>
  <c r="DA189" i="18"/>
  <c r="EM4" i="18"/>
  <c r="BN5" i="18"/>
  <c r="EG5" i="18" s="1"/>
  <c r="EX21" i="14"/>
  <c r="EP4" i="18"/>
  <c r="BW54" i="18"/>
  <c r="EJ54" i="18" s="1"/>
  <c r="EJ55" i="18"/>
  <c r="AQ78" i="18"/>
  <c r="AQ245" i="18"/>
  <c r="AY78" i="18"/>
  <c r="AY245" i="18"/>
  <c r="EF4" i="18"/>
  <c r="EN4" i="18"/>
  <c r="BW42" i="18"/>
  <c r="BT15" i="18"/>
  <c r="EI15" i="18" s="1"/>
  <c r="EI16" i="18"/>
  <c r="CR15" i="18"/>
  <c r="EQ15" i="18" s="1"/>
  <c r="EQ16" i="18"/>
  <c r="CF54" i="18"/>
  <c r="EM54" i="18" s="1"/>
  <c r="EM55" i="18"/>
  <c r="AR78" i="18"/>
  <c r="AR245" i="18"/>
  <c r="AZ78" i="18"/>
  <c r="AZ245" i="18"/>
  <c r="BK83" i="18"/>
  <c r="EF83" i="18" s="1"/>
  <c r="EF84" i="18"/>
  <c r="CI83" i="18"/>
  <c r="EN83" i="18" s="1"/>
  <c r="EN84" i="18"/>
  <c r="CR145" i="18"/>
  <c r="EQ145" i="18" s="1"/>
  <c r="EQ146" i="18"/>
  <c r="BX42" i="11"/>
  <c r="DO21" i="14"/>
  <c r="BZ189" i="18"/>
  <c r="EK190" i="18"/>
  <c r="CC189" i="18"/>
  <c r="EL190" i="18"/>
  <c r="FE25" i="18"/>
  <c r="BU118" i="12"/>
  <c r="CA30" i="11"/>
  <c r="CR42" i="18"/>
  <c r="BN42" i="18"/>
  <c r="EG11" i="18"/>
  <c r="CL42" i="18"/>
  <c r="EO11" i="18"/>
  <c r="BQ54" i="18"/>
  <c r="EH54" i="18" s="1"/>
  <c r="EH55" i="18"/>
  <c r="CO54" i="18"/>
  <c r="EP54" i="18" s="1"/>
  <c r="EP55" i="18"/>
  <c r="BT83" i="18"/>
  <c r="EI83" i="18" s="1"/>
  <c r="EI84" i="18"/>
  <c r="CE83" i="13"/>
  <c r="CA4" i="12"/>
  <c r="CG87" i="13"/>
  <c r="DM86" i="11"/>
  <c r="BV98" i="11"/>
  <c r="DM98" i="11" s="1"/>
  <c r="DT127" i="13"/>
  <c r="CO189" i="18"/>
  <c r="EP190" i="18"/>
  <c r="CR189" i="18"/>
  <c r="EQ190" i="18"/>
  <c r="FF23" i="18"/>
  <c r="BK15" i="18"/>
  <c r="EF15" i="18" s="1"/>
  <c r="EF16" i="18"/>
  <c r="CI15" i="18"/>
  <c r="EN15" i="18" s="1"/>
  <c r="EN16" i="18"/>
  <c r="EI4" i="18"/>
  <c r="CF42" i="18"/>
  <c r="EM11" i="18"/>
  <c r="CC15" i="18"/>
  <c r="EL15" i="18" s="1"/>
  <c r="EL16" i="18"/>
  <c r="AS78" i="18"/>
  <c r="AS245" i="18"/>
  <c r="CR83" i="18"/>
  <c r="EQ83" i="18" s="1"/>
  <c r="EQ84" i="18"/>
  <c r="EL4" i="18"/>
  <c r="BQ42" i="18"/>
  <c r="CO42" i="18"/>
  <c r="BN15" i="18"/>
  <c r="EG15" i="18" s="1"/>
  <c r="EG16" i="18"/>
  <c r="CL15" i="18"/>
  <c r="EO15" i="18" s="1"/>
  <c r="EO16" i="18"/>
  <c r="BZ54" i="18"/>
  <c r="EK54" i="18" s="1"/>
  <c r="EK55" i="18"/>
  <c r="AT78" i="18"/>
  <c r="AT245" i="18"/>
  <c r="CC83" i="18"/>
  <c r="EL83" i="18" s="1"/>
  <c r="EL84" i="18"/>
  <c r="CO145" i="18"/>
  <c r="EP145" i="18" s="1"/>
  <c r="EP146" i="18"/>
  <c r="CI145" i="18"/>
  <c r="EN145" i="18" s="1"/>
  <c r="EN146" i="18"/>
  <c r="EK3" i="15"/>
  <c r="FI6" i="14"/>
  <c r="DM95" i="11"/>
  <c r="FG23" i="18"/>
  <c r="FF25" i="18"/>
  <c r="BT189" i="18"/>
  <c r="EI190" i="18"/>
  <c r="CA31" i="11"/>
  <c r="CF189" i="18"/>
  <c r="EM190" i="18"/>
  <c r="BZ3" i="18"/>
  <c r="EK3" i="18" s="1"/>
  <c r="EK4" i="18"/>
  <c r="EG4" i="18"/>
  <c r="EO4" i="18"/>
  <c r="BZ42" i="18"/>
  <c r="BW15" i="18"/>
  <c r="EJ15" i="18" s="1"/>
  <c r="EJ16" i="18"/>
  <c r="CI54" i="18"/>
  <c r="EN54" i="18" s="1"/>
  <c r="EN55" i="18"/>
  <c r="AM78" i="18"/>
  <c r="AM245" i="18"/>
  <c r="AU78" i="18"/>
  <c r="AU245" i="18"/>
  <c r="BN83" i="18"/>
  <c r="EG83" i="18" s="1"/>
  <c r="EG84" i="18"/>
  <c r="CL83" i="18"/>
  <c r="EO83" i="18" s="1"/>
  <c r="EO84" i="18"/>
  <c r="CE81" i="13"/>
  <c r="CE78" i="13"/>
  <c r="CD165" i="13"/>
  <c r="CO5" i="18"/>
  <c r="EP5" i="18" s="1"/>
  <c r="DM96" i="11"/>
  <c r="DM87" i="11"/>
  <c r="CL189" i="18"/>
  <c r="EO190" i="18"/>
  <c r="FE23" i="18"/>
  <c r="FF175" i="18"/>
  <c r="BK54" i="18"/>
  <c r="EF54" i="18" s="1"/>
  <c r="EF55" i="18"/>
  <c r="EJ4" i="18"/>
  <c r="BK42" i="18"/>
  <c r="EF11" i="18"/>
  <c r="CI42" i="18"/>
  <c r="CF15" i="18"/>
  <c r="EM15" i="18" s="1"/>
  <c r="EM16" i="18"/>
  <c r="BT54" i="18"/>
  <c r="EI54" i="18" s="1"/>
  <c r="EI55" i="18"/>
  <c r="CR54" i="18"/>
  <c r="EQ54" i="18" s="1"/>
  <c r="EQ55" i="18"/>
  <c r="AN78" i="18"/>
  <c r="AN245" i="18"/>
  <c r="AV78" i="18"/>
  <c r="AV245" i="18"/>
  <c r="BW83" i="18"/>
  <c r="EJ83" i="18" s="1"/>
  <c r="EJ84" i="18"/>
  <c r="CC145" i="18"/>
  <c r="EL145" i="18" s="1"/>
  <c r="EL146" i="18"/>
  <c r="CA14" i="12"/>
  <c r="FG175" i="18"/>
  <c r="BW189" i="18"/>
  <c r="EJ190" i="18"/>
  <c r="BQ15" i="18"/>
  <c r="EH15" i="18" s="1"/>
  <c r="EH16" i="18"/>
  <c r="CO15" i="18"/>
  <c r="EP15" i="18" s="1"/>
  <c r="EP16" i="18"/>
  <c r="CC54" i="18"/>
  <c r="EL54" i="18" s="1"/>
  <c r="EL55" i="18"/>
  <c r="AO78" i="18"/>
  <c r="AO245" i="18"/>
  <c r="AW78" i="18"/>
  <c r="AW245" i="18"/>
  <c r="CF83" i="18"/>
  <c r="EM83" i="18" s="1"/>
  <c r="EM84" i="18"/>
  <c r="BX43" i="11"/>
  <c r="BU132" i="11"/>
  <c r="CU189" i="18"/>
  <c r="ER189" i="18" s="1"/>
  <c r="ER190" i="18"/>
  <c r="BQ189" i="18"/>
  <c r="EH190" i="18"/>
  <c r="CI189" i="18"/>
  <c r="EN190" i="18"/>
  <c r="FE175" i="18"/>
  <c r="EH4" i="18"/>
  <c r="CC42" i="18"/>
  <c r="BZ15" i="18"/>
  <c r="EK15" i="18" s="1"/>
  <c r="EK16" i="18"/>
  <c r="BN54" i="18"/>
  <c r="EG54" i="18" s="1"/>
  <c r="EG55" i="18"/>
  <c r="CL54" i="18"/>
  <c r="EO54" i="18" s="1"/>
  <c r="EO55" i="18"/>
  <c r="AP78" i="18"/>
  <c r="AP245" i="18"/>
  <c r="AX78" i="18"/>
  <c r="AX245" i="18"/>
  <c r="BQ83" i="18"/>
  <c r="EH83" i="18" s="1"/>
  <c r="EH84" i="18"/>
  <c r="CO83" i="18"/>
  <c r="EP83" i="18" s="1"/>
  <c r="EP84" i="18"/>
  <c r="CT78" i="18"/>
  <c r="CT245" i="18"/>
  <c r="CU245" i="18" s="1"/>
  <c r="CV245" i="18" s="1"/>
  <c r="CW245" i="18" s="1"/>
  <c r="CX245" i="18" s="1"/>
  <c r="CY245" i="18" s="1"/>
  <c r="CZ245" i="18" s="1"/>
  <c r="DA245" i="18" s="1"/>
  <c r="DB245" i="18" s="1"/>
  <c r="DC245" i="18" s="1"/>
  <c r="DD245" i="18" s="1"/>
  <c r="DE245" i="18" s="1"/>
  <c r="DF245" i="18" s="1"/>
  <c r="DG245" i="18" s="1"/>
  <c r="DH245" i="18" s="1"/>
  <c r="DI245" i="18" s="1"/>
  <c r="DJ245" i="18" s="1"/>
  <c r="DK245" i="18" s="1"/>
  <c r="DL245" i="18" s="1"/>
  <c r="DM245" i="18" s="1"/>
  <c r="DN245" i="18" s="1"/>
  <c r="DO245" i="18" s="1"/>
  <c r="DP245" i="18" s="1"/>
  <c r="DQ245" i="18" s="1"/>
  <c r="DR245" i="18" s="1"/>
  <c r="CA12" i="11"/>
  <c r="DT122" i="13"/>
  <c r="DU86" i="13"/>
  <c r="EH86" i="13" s="1"/>
  <c r="BZ20" i="11"/>
  <c r="BN189" i="18"/>
  <c r="EG190" i="18"/>
  <c r="BK189" i="18"/>
  <c r="EF190" i="18"/>
  <c r="BT42" i="18"/>
  <c r="EI11" i="18"/>
  <c r="BZ83" i="18"/>
  <c r="EK83" i="18" s="1"/>
  <c r="EK84" i="18"/>
  <c r="CB18" i="11"/>
  <c r="DO18" i="11" s="1"/>
  <c r="DV20" i="13"/>
  <c r="DO74" i="18"/>
  <c r="EX66" i="18"/>
  <c r="EX14" i="14"/>
  <c r="EX31" i="14"/>
  <c r="EX48" i="14"/>
  <c r="DU85" i="13"/>
  <c r="EH85" i="13" s="1"/>
  <c r="BW87" i="11"/>
  <c r="BW96" i="11"/>
  <c r="CC3" i="18"/>
  <c r="EL3" i="18" s="1"/>
  <c r="BT3" i="18"/>
  <c r="EI3" i="18" s="1"/>
  <c r="CR3" i="18"/>
  <c r="CL5" i="18"/>
  <c r="BW3" i="18"/>
  <c r="EJ3" i="18" s="1"/>
  <c r="EX33" i="14"/>
  <c r="EX34" i="14" s="1"/>
  <c r="AQ72" i="18"/>
  <c r="DP74" i="18"/>
  <c r="AN72" i="18"/>
  <c r="Z72" i="18"/>
  <c r="EL38" i="15"/>
  <c r="BS74" i="3"/>
  <c r="BS120" i="18" s="1"/>
  <c r="BS119" i="18" s="1"/>
  <c r="BS11" i="18"/>
  <c r="CQ74" i="3"/>
  <c r="CQ120" i="18" s="1"/>
  <c r="CQ119" i="18" s="1"/>
  <c r="CQ11" i="18"/>
  <c r="C187" i="18"/>
  <c r="C209" i="18"/>
  <c r="C182" i="18"/>
  <c r="C99" i="18"/>
  <c r="O34" i="15"/>
  <c r="O36" i="18"/>
  <c r="O34" i="18" s="1"/>
  <c r="O61" i="18" s="1"/>
  <c r="O48" i="18"/>
  <c r="O46" i="18" s="1"/>
  <c r="BF34" i="15"/>
  <c r="BF48" i="18"/>
  <c r="BF36" i="18"/>
  <c r="AI34" i="15"/>
  <c r="AI48" i="18"/>
  <c r="AI46" i="18" s="1"/>
  <c r="AI36" i="18"/>
  <c r="AI34" i="18" s="1"/>
  <c r="AI61" i="18" s="1"/>
  <c r="CC141" i="13"/>
  <c r="T34" i="15"/>
  <c r="T48" i="18"/>
  <c r="T46" i="18" s="1"/>
  <c r="T36" i="18"/>
  <c r="T34" i="18" s="1"/>
  <c r="T61" i="18" s="1"/>
  <c r="BR34" i="15"/>
  <c r="BR36" i="18"/>
  <c r="BR48" i="18"/>
  <c r="CK34" i="15"/>
  <c r="CK36" i="18"/>
  <c r="CK48" i="18"/>
  <c r="BU34" i="15"/>
  <c r="BU36" i="18"/>
  <c r="BU48" i="18"/>
  <c r="CT34" i="15"/>
  <c r="CT36" i="18"/>
  <c r="CT48" i="18"/>
  <c r="AJ34" i="15"/>
  <c r="AJ48" i="18"/>
  <c r="AJ46" i="18" s="1"/>
  <c r="AJ36" i="18"/>
  <c r="AJ34" i="18" s="1"/>
  <c r="AJ61" i="18" s="1"/>
  <c r="AX34" i="15"/>
  <c r="AX36" i="18"/>
  <c r="AX34" i="18" s="1"/>
  <c r="AX61" i="18" s="1"/>
  <c r="AX48" i="18"/>
  <c r="AX46" i="18" s="1"/>
  <c r="CJ34" i="15"/>
  <c r="CJ36" i="18"/>
  <c r="CJ48" i="18"/>
  <c r="Y34" i="15"/>
  <c r="Y36" i="18"/>
  <c r="Y34" i="18" s="1"/>
  <c r="Y61" i="18" s="1"/>
  <c r="Y48" i="18"/>
  <c r="Y46" i="18" s="1"/>
  <c r="CA34" i="15"/>
  <c r="CA36" i="18"/>
  <c r="CA48" i="18"/>
  <c r="AH34" i="15"/>
  <c r="AH36" i="18"/>
  <c r="AH34" i="18" s="1"/>
  <c r="AH61" i="18" s="1"/>
  <c r="AH48" i="18"/>
  <c r="AH46" i="18" s="1"/>
  <c r="CE34" i="15"/>
  <c r="CE48" i="18"/>
  <c r="CE36" i="18"/>
  <c r="CB74" i="3"/>
  <c r="CB120" i="18" s="1"/>
  <c r="CB119" i="18" s="1"/>
  <c r="CB11" i="18"/>
  <c r="CJ74" i="3"/>
  <c r="CJ120" i="18" s="1"/>
  <c r="CJ119" i="18" s="1"/>
  <c r="CJ11" i="18"/>
  <c r="D72" i="18"/>
  <c r="D63" i="18"/>
  <c r="DQ18" i="14"/>
  <c r="DQ66" i="18"/>
  <c r="DQ74" i="18" s="1"/>
  <c r="CV153" i="18"/>
  <c r="CQ34" i="15"/>
  <c r="CQ36" i="18"/>
  <c r="CQ48" i="18"/>
  <c r="BW70" i="12"/>
  <c r="BW102" i="11"/>
  <c r="CC128" i="13"/>
  <c r="S34" i="15"/>
  <c r="S48" i="18"/>
  <c r="S46" i="18" s="1"/>
  <c r="S36" i="18"/>
  <c r="S34" i="18" s="1"/>
  <c r="S61" i="18" s="1"/>
  <c r="N34" i="15"/>
  <c r="N36" i="18"/>
  <c r="N34" i="18" s="1"/>
  <c r="N61" i="18" s="1"/>
  <c r="N48" i="18"/>
  <c r="N46" i="18" s="1"/>
  <c r="BM34" i="15"/>
  <c r="BM36" i="18"/>
  <c r="BM48" i="18"/>
  <c r="DP6" i="18"/>
  <c r="DP37" i="18"/>
  <c r="DG24" i="15"/>
  <c r="BA23" i="3"/>
  <c r="BA32" i="3" s="1"/>
  <c r="BA64" i="18" s="1"/>
  <c r="BA4" i="18"/>
  <c r="BA3" i="18" s="1"/>
  <c r="CK74" i="3"/>
  <c r="CK120" i="18" s="1"/>
  <c r="CK119" i="18" s="1"/>
  <c r="CK11" i="18"/>
  <c r="CS74" i="3"/>
  <c r="CS120" i="18" s="1"/>
  <c r="CS119" i="18" s="1"/>
  <c r="CS11" i="18"/>
  <c r="E72" i="18"/>
  <c r="E63" i="18"/>
  <c r="DP33" i="14"/>
  <c r="DP113" i="18"/>
  <c r="BW77" i="11"/>
  <c r="BW64" i="11"/>
  <c r="DD87" i="18"/>
  <c r="Z34" i="15"/>
  <c r="Z48" i="18"/>
  <c r="Z46" i="18" s="1"/>
  <c r="Z36" i="18"/>
  <c r="Z34" i="18" s="1"/>
  <c r="Z61" i="18" s="1"/>
  <c r="CB34" i="15"/>
  <c r="CB36" i="18"/>
  <c r="CB48" i="18"/>
  <c r="AZ34" i="15"/>
  <c r="AZ48" i="18"/>
  <c r="AZ46" i="18" s="1"/>
  <c r="AZ36" i="18"/>
  <c r="AZ34" i="18" s="1"/>
  <c r="AZ61" i="18" s="1"/>
  <c r="L34" i="15"/>
  <c r="L48" i="18"/>
  <c r="L46" i="18" s="1"/>
  <c r="L36" i="18"/>
  <c r="L34" i="18" s="1"/>
  <c r="L61" i="18" s="1"/>
  <c r="R34" i="15"/>
  <c r="R36" i="18"/>
  <c r="R34" i="18" s="1"/>
  <c r="R61" i="18" s="1"/>
  <c r="R48" i="18"/>
  <c r="R46" i="18" s="1"/>
  <c r="CN34" i="15"/>
  <c r="CN48" i="18"/>
  <c r="CN36" i="18"/>
  <c r="BJ34" i="15"/>
  <c r="BJ36" i="18"/>
  <c r="BJ48" i="18"/>
  <c r="AU34" i="15"/>
  <c r="AU36" i="18"/>
  <c r="AU34" i="18" s="1"/>
  <c r="AU61" i="18" s="1"/>
  <c r="AU48" i="18"/>
  <c r="AU46" i="18" s="1"/>
  <c r="AD34" i="15"/>
  <c r="AD36" i="18"/>
  <c r="AD34" i="18" s="1"/>
  <c r="AD61" i="18" s="1"/>
  <c r="AD48" i="18"/>
  <c r="AD46" i="18" s="1"/>
  <c r="BX34" i="15"/>
  <c r="BX48" i="18"/>
  <c r="BX36" i="18"/>
  <c r="M34" i="15"/>
  <c r="M48" i="18"/>
  <c r="M46" i="18" s="1"/>
  <c r="M36" i="18"/>
  <c r="M34" i="18" s="1"/>
  <c r="M61" i="18" s="1"/>
  <c r="BO34" i="15"/>
  <c r="BO48" i="18"/>
  <c r="BO36" i="18"/>
  <c r="V34" i="15"/>
  <c r="V36" i="18"/>
  <c r="V34" i="18" s="1"/>
  <c r="V61" i="18" s="1"/>
  <c r="V48" i="18"/>
  <c r="V46" i="18" s="1"/>
  <c r="AO34" i="15"/>
  <c r="AO36" i="18"/>
  <c r="AO34" i="18" s="1"/>
  <c r="AO61" i="18" s="1"/>
  <c r="AO48" i="18"/>
  <c r="AO46" i="18" s="1"/>
  <c r="CS34" i="15"/>
  <c r="CS36" i="18"/>
  <c r="CS48" i="18"/>
  <c r="BD34" i="15"/>
  <c r="BD36" i="18"/>
  <c r="BD48" i="18"/>
  <c r="AB34" i="15"/>
  <c r="AB48" i="18"/>
  <c r="AB46" i="18" s="1"/>
  <c r="AB36" i="18"/>
  <c r="AB34" i="18" s="1"/>
  <c r="AB61" i="18" s="1"/>
  <c r="BH34" i="15"/>
  <c r="BH48" i="18"/>
  <c r="BH36" i="18"/>
  <c r="CM158" i="7"/>
  <c r="CD74" i="3"/>
  <c r="CD120" i="18" s="1"/>
  <c r="CD119" i="18" s="1"/>
  <c r="CD11" i="18"/>
  <c r="G63" i="18"/>
  <c r="AL72" i="18"/>
  <c r="CT23" i="3"/>
  <c r="CT4" i="18"/>
  <c r="CT3" i="18" s="1"/>
  <c r="BO153" i="11"/>
  <c r="BO124" i="12"/>
  <c r="BX65" i="11"/>
  <c r="BX70" i="11"/>
  <c r="CM34" i="15"/>
  <c r="CM48" i="18"/>
  <c r="CM36" i="18"/>
  <c r="AT34" i="15"/>
  <c r="AT36" i="18"/>
  <c r="AT34" i="18" s="1"/>
  <c r="AT61" i="18" s="1"/>
  <c r="AT48" i="18"/>
  <c r="AT46" i="18" s="1"/>
  <c r="CD155" i="13"/>
  <c r="BV128" i="11"/>
  <c r="DM128" i="11" s="1"/>
  <c r="BV99" i="12"/>
  <c r="DM99" i="12" s="1"/>
  <c r="CM157" i="7"/>
  <c r="CE74" i="3"/>
  <c r="CE120" i="18" s="1"/>
  <c r="CE119" i="18" s="1"/>
  <c r="CE11" i="18"/>
  <c r="AM72" i="18"/>
  <c r="C164" i="18"/>
  <c r="BX25" i="12"/>
  <c r="DP21" i="14"/>
  <c r="DP104" i="18"/>
  <c r="BE34" i="15"/>
  <c r="BE36" i="18"/>
  <c r="BE48" i="18"/>
  <c r="CL34" i="15"/>
  <c r="EK21" i="15"/>
  <c r="EK34" i="15" s="1"/>
  <c r="EO21" i="15"/>
  <c r="EO34" i="15" s="1"/>
  <c r="CL48" i="18"/>
  <c r="CL36" i="18"/>
  <c r="BL34" i="15"/>
  <c r="BL36" i="18"/>
  <c r="BL48" i="18"/>
  <c r="X34" i="15"/>
  <c r="X36" i="18"/>
  <c r="X34" i="18" s="1"/>
  <c r="X61" i="18" s="1"/>
  <c r="X48" i="18"/>
  <c r="X46" i="18" s="1"/>
  <c r="BC34" i="15"/>
  <c r="BC36" i="18"/>
  <c r="BC48" i="18"/>
  <c r="AY34" i="15"/>
  <c r="AY48" i="18"/>
  <c r="AY46" i="18" s="1"/>
  <c r="AY36" i="18"/>
  <c r="AY34" i="18" s="1"/>
  <c r="AY61" i="18" s="1"/>
  <c r="AC34" i="15"/>
  <c r="AC48" i="18"/>
  <c r="AC46" i="18" s="1"/>
  <c r="AC36" i="18"/>
  <c r="AC34" i="18" s="1"/>
  <c r="AC61" i="18" s="1"/>
  <c r="CG34" i="15"/>
  <c r="CG48" i="18"/>
  <c r="CG36" i="18"/>
  <c r="AR34" i="15"/>
  <c r="AR48" i="18"/>
  <c r="AR46" i="18" s="1"/>
  <c r="AR36" i="18"/>
  <c r="AR34" i="18" s="1"/>
  <c r="AR61" i="18" s="1"/>
  <c r="CP34" i="15"/>
  <c r="CP36" i="18"/>
  <c r="CP48" i="18"/>
  <c r="BS34" i="15"/>
  <c r="BS36" i="18"/>
  <c r="BS48" i="18"/>
  <c r="BB34" i="15"/>
  <c r="BB36" i="18"/>
  <c r="BB48" i="18"/>
  <c r="AG34" i="15"/>
  <c r="AG36" i="18"/>
  <c r="AG34" i="18" s="1"/>
  <c r="AG61" i="18" s="1"/>
  <c r="AG48" i="18"/>
  <c r="AG46" i="18" s="1"/>
  <c r="BA34" i="15"/>
  <c r="BA48" i="18"/>
  <c r="BA36" i="18"/>
  <c r="AK34" i="15"/>
  <c r="AK48" i="18"/>
  <c r="AK46" i="18" s="1"/>
  <c r="AK36" i="18"/>
  <c r="AK34" i="18" s="1"/>
  <c r="AK61" i="18" s="1"/>
  <c r="C192" i="18"/>
  <c r="BX74" i="3"/>
  <c r="BX120" i="18" s="1"/>
  <c r="BX119" i="18" s="1"/>
  <c r="BX11" i="18"/>
  <c r="I63" i="18"/>
  <c r="C134" i="18"/>
  <c r="AW34" i="15"/>
  <c r="AW36" i="18"/>
  <c r="AW34" i="18" s="1"/>
  <c r="AW61" i="18" s="1"/>
  <c r="AW48" i="18"/>
  <c r="AW46" i="18" s="1"/>
  <c r="EF38" i="15"/>
  <c r="EO38" i="15"/>
  <c r="EK38" i="15"/>
  <c r="BP34" i="15"/>
  <c r="BP48" i="18"/>
  <c r="BP36" i="18"/>
  <c r="AN34" i="15"/>
  <c r="AN36" i="18"/>
  <c r="AN34" i="18" s="1"/>
  <c r="AN61" i="18" s="1"/>
  <c r="AN48" i="18"/>
  <c r="AN46" i="18" s="1"/>
  <c r="BV95" i="11"/>
  <c r="BV86" i="11"/>
  <c r="AG72" i="18"/>
  <c r="AO72" i="18"/>
  <c r="BZ37" i="11"/>
  <c r="AE34" i="15"/>
  <c r="AE36" i="18"/>
  <c r="AE34" i="18" s="1"/>
  <c r="AE61" i="18" s="1"/>
  <c r="AE48" i="18"/>
  <c r="AE46" i="18" s="1"/>
  <c r="AL34" i="15"/>
  <c r="AL36" i="18"/>
  <c r="AL34" i="18" s="1"/>
  <c r="AL61" i="18" s="1"/>
  <c r="AL48" i="18"/>
  <c r="AL46" i="18" s="1"/>
  <c r="BY34" i="15"/>
  <c r="BY48" i="18"/>
  <c r="BY36" i="18"/>
  <c r="BI34" i="15"/>
  <c r="BI48" i="18"/>
  <c r="BI36" i="18"/>
  <c r="AQ34" i="15"/>
  <c r="AQ48" i="18"/>
  <c r="AQ46" i="18" s="1"/>
  <c r="AQ36" i="18"/>
  <c r="AQ34" i="18" s="1"/>
  <c r="AQ61" i="18" s="1"/>
  <c r="BV34" i="15"/>
  <c r="BV48" i="18"/>
  <c r="BV36" i="18"/>
  <c r="Q34" i="15"/>
  <c r="Q36" i="18"/>
  <c r="Q34" i="18" s="1"/>
  <c r="Q61" i="18" s="1"/>
  <c r="Q48" i="18"/>
  <c r="Q46" i="18" s="1"/>
  <c r="AF34" i="15"/>
  <c r="AF36" i="18"/>
  <c r="AF34" i="18" s="1"/>
  <c r="AF61" i="18" s="1"/>
  <c r="AF48" i="18"/>
  <c r="AF46" i="18" s="1"/>
  <c r="CD34" i="15"/>
  <c r="CD36" i="18"/>
  <c r="CD48" i="18"/>
  <c r="BG34" i="15"/>
  <c r="BG48" i="18"/>
  <c r="BG36" i="18"/>
  <c r="AP34" i="15"/>
  <c r="AP48" i="18"/>
  <c r="AP46" i="18" s="1"/>
  <c r="AP36" i="18"/>
  <c r="AP34" i="18" s="1"/>
  <c r="AP61" i="18" s="1"/>
  <c r="U34" i="15"/>
  <c r="U48" i="18"/>
  <c r="U46" i="18" s="1"/>
  <c r="U36" i="18"/>
  <c r="U34" i="18" s="1"/>
  <c r="U61" i="18" s="1"/>
  <c r="P34" i="15"/>
  <c r="P36" i="18"/>
  <c r="P34" i="18" s="1"/>
  <c r="P61" i="18" s="1"/>
  <c r="P48" i="18"/>
  <c r="P46" i="18" s="1"/>
  <c r="AV34" i="15"/>
  <c r="AV36" i="18"/>
  <c r="AV34" i="18" s="1"/>
  <c r="AV61" i="18" s="1"/>
  <c r="AV48" i="18"/>
  <c r="AV46" i="18" s="1"/>
  <c r="AM34" i="15"/>
  <c r="AM36" i="18"/>
  <c r="AM34" i="18" s="1"/>
  <c r="AM61" i="18" s="1"/>
  <c r="AM48" i="18"/>
  <c r="AM46" i="18" s="1"/>
  <c r="AA34" i="15"/>
  <c r="AA48" i="18"/>
  <c r="AA46" i="18" s="1"/>
  <c r="AA36" i="18"/>
  <c r="AA34" i="18" s="1"/>
  <c r="AA61" i="18" s="1"/>
  <c r="BA18" i="3"/>
  <c r="BA11" i="18"/>
  <c r="BJ74" i="3"/>
  <c r="BJ120" i="18" s="1"/>
  <c r="BJ119" i="18" s="1"/>
  <c r="BJ11" i="18"/>
  <c r="BR74" i="3"/>
  <c r="BR120" i="18" s="1"/>
  <c r="BR119" i="18" s="1"/>
  <c r="BR11" i="18"/>
  <c r="AP72" i="18"/>
  <c r="BX69" i="11"/>
  <c r="W34" i="15"/>
  <c r="W36" i="18"/>
  <c r="W34" i="18" s="1"/>
  <c r="W61" i="18" s="1"/>
  <c r="W48" i="18"/>
  <c r="W46" i="18" s="1"/>
  <c r="CI34" i="15"/>
  <c r="EN21" i="15"/>
  <c r="CI36" i="18"/>
  <c r="CI48" i="18"/>
  <c r="AS34" i="15"/>
  <c r="AS48" i="18"/>
  <c r="AS46" i="18" s="1"/>
  <c r="AS36" i="18"/>
  <c r="AS34" i="18" s="1"/>
  <c r="AS61" i="18" s="1"/>
  <c r="CH34" i="15"/>
  <c r="CH36" i="18"/>
  <c r="CH48" i="18"/>
  <c r="BW55" i="11"/>
  <c r="CC122" i="13"/>
  <c r="BV89" i="11"/>
  <c r="DM89" i="11" s="1"/>
  <c r="BV64" i="12"/>
  <c r="BW45" i="12"/>
  <c r="DQ327" i="2"/>
  <c r="DQ3" i="14"/>
  <c r="FG56" i="3"/>
  <c r="FG57" i="3"/>
  <c r="DD54" i="15"/>
  <c r="CH3" i="13"/>
  <c r="DH6" i="15"/>
  <c r="DE33" i="15"/>
  <c r="DD80" i="15"/>
  <c r="AE36" i="15"/>
  <c r="AE65" i="18" s="1"/>
  <c r="AE73" i="15"/>
  <c r="AE92" i="15" s="1"/>
  <c r="AE113" i="15" s="1"/>
  <c r="AE131" i="15" s="1"/>
  <c r="AE143" i="15" s="1"/>
  <c r="AZ36" i="15"/>
  <c r="AZ65" i="18" s="1"/>
  <c r="AZ73" i="15"/>
  <c r="AZ92" i="15" s="1"/>
  <c r="AZ113" i="15" s="1"/>
  <c r="AZ131" i="15" s="1"/>
  <c r="AZ143" i="15" s="1"/>
  <c r="BI36" i="15"/>
  <c r="BI65" i="18" s="1"/>
  <c r="BI73" i="15"/>
  <c r="BI92" i="15" s="1"/>
  <c r="BI113" i="15" s="1"/>
  <c r="BI131" i="15" s="1"/>
  <c r="BI143" i="15" s="1"/>
  <c r="CN36" i="15"/>
  <c r="CN73" i="15"/>
  <c r="CN92" i="15" s="1"/>
  <c r="CN113" i="15" s="1"/>
  <c r="CN131" i="15" s="1"/>
  <c r="CN143" i="15" s="1"/>
  <c r="Q36" i="15"/>
  <c r="Q65" i="18" s="1"/>
  <c r="Q73" i="15"/>
  <c r="Q92" i="15" s="1"/>
  <c r="Q113" i="15" s="1"/>
  <c r="Q131" i="15" s="1"/>
  <c r="Q143" i="15" s="1"/>
  <c r="AD36" i="15"/>
  <c r="AD65" i="18" s="1"/>
  <c r="AD73" i="15"/>
  <c r="AD92" i="15" s="1"/>
  <c r="AD113" i="15" s="1"/>
  <c r="AD131" i="15" s="1"/>
  <c r="AD143" i="15" s="1"/>
  <c r="CD36" i="15"/>
  <c r="CD73" i="15"/>
  <c r="CD92" i="15" s="1"/>
  <c r="CD113" i="15" s="1"/>
  <c r="CD131" i="15" s="1"/>
  <c r="CD143" i="15" s="1"/>
  <c r="M36" i="15"/>
  <c r="M65" i="18" s="1"/>
  <c r="M73" i="15"/>
  <c r="M92" i="15" s="1"/>
  <c r="M113" i="15" s="1"/>
  <c r="M131" i="15" s="1"/>
  <c r="M143" i="15" s="1"/>
  <c r="U36" i="15"/>
  <c r="U65" i="18" s="1"/>
  <c r="U73" i="15"/>
  <c r="U92" i="15" s="1"/>
  <c r="U113" i="15" s="1"/>
  <c r="U131" i="15" s="1"/>
  <c r="U143" i="15" s="1"/>
  <c r="AO36" i="15"/>
  <c r="AO65" i="18" s="1"/>
  <c r="AO73" i="15"/>
  <c r="AO92" i="15" s="1"/>
  <c r="AO113" i="15" s="1"/>
  <c r="AO131" i="15" s="1"/>
  <c r="AO143" i="15" s="1"/>
  <c r="AM36" i="15"/>
  <c r="AM65" i="18" s="1"/>
  <c r="AM73" i="15"/>
  <c r="AM92" i="15" s="1"/>
  <c r="AM113" i="15" s="1"/>
  <c r="AM131" i="15" s="1"/>
  <c r="AM143" i="15" s="1"/>
  <c r="AB36" i="15"/>
  <c r="AB65" i="18" s="1"/>
  <c r="AB73" i="15"/>
  <c r="AB92" i="15" s="1"/>
  <c r="AB113" i="15" s="1"/>
  <c r="AB131" i="15" s="1"/>
  <c r="AB143" i="15" s="1"/>
  <c r="CD139" i="13"/>
  <c r="AT36" i="15"/>
  <c r="AT65" i="18" s="1"/>
  <c r="AT73" i="15"/>
  <c r="AT92" i="15" s="1"/>
  <c r="AT113" i="15" s="1"/>
  <c r="AT131" i="15" s="1"/>
  <c r="AT143" i="15" s="1"/>
  <c r="O36" i="15"/>
  <c r="O65" i="18" s="1"/>
  <c r="O73" i="15"/>
  <c r="O92" i="15" s="1"/>
  <c r="O113" i="15" s="1"/>
  <c r="O131" i="15" s="1"/>
  <c r="O143" i="15" s="1"/>
  <c r="BK36" i="15"/>
  <c r="BK73" i="15"/>
  <c r="CK36" i="15"/>
  <c r="CK73" i="15"/>
  <c r="CK92" i="15" s="1"/>
  <c r="CK113" i="15" s="1"/>
  <c r="CK131" i="15" s="1"/>
  <c r="CK143" i="15" s="1"/>
  <c r="BC36" i="15"/>
  <c r="BC65" i="18" s="1"/>
  <c r="BC73" i="15"/>
  <c r="BC92" i="15" s="1"/>
  <c r="BC113" i="15" s="1"/>
  <c r="BC131" i="15" s="1"/>
  <c r="BC143" i="15" s="1"/>
  <c r="CG36" i="15"/>
  <c r="CG73" i="15"/>
  <c r="CG92" i="15" s="1"/>
  <c r="CG113" i="15" s="1"/>
  <c r="CG131" i="15" s="1"/>
  <c r="CG143" i="15" s="1"/>
  <c r="BS36" i="15"/>
  <c r="BS65" i="18" s="1"/>
  <c r="BS73" i="15"/>
  <c r="BS92" i="15" s="1"/>
  <c r="BS113" i="15" s="1"/>
  <c r="BS131" i="15" s="1"/>
  <c r="BS143" i="15" s="1"/>
  <c r="CA36" i="15"/>
  <c r="CA73" i="15"/>
  <c r="CA92" i="15" s="1"/>
  <c r="CA113" i="15" s="1"/>
  <c r="CA131" i="15" s="1"/>
  <c r="CA143" i="15" s="1"/>
  <c r="BA36" i="15"/>
  <c r="BA65" i="18" s="1"/>
  <c r="BA73" i="15"/>
  <c r="BA92" i="15" s="1"/>
  <c r="BA113" i="15" s="1"/>
  <c r="BA131" i="15" s="1"/>
  <c r="BA143" i="15" s="1"/>
  <c r="AW36" i="15"/>
  <c r="AW65" i="18" s="1"/>
  <c r="AW73" i="15"/>
  <c r="AW92" i="15" s="1"/>
  <c r="AW113" i="15" s="1"/>
  <c r="AW131" i="15" s="1"/>
  <c r="AW143" i="15" s="1"/>
  <c r="S36" i="15"/>
  <c r="S65" i="18" s="1"/>
  <c r="S73" i="15"/>
  <c r="S92" i="15" s="1"/>
  <c r="S113" i="15" s="1"/>
  <c r="S131" i="15" s="1"/>
  <c r="S143" i="15" s="1"/>
  <c r="AN36" i="15"/>
  <c r="AN65" i="18" s="1"/>
  <c r="AN63" i="18" s="1"/>
  <c r="AM775" i="2" s="1"/>
  <c r="AN73" i="15"/>
  <c r="AN92" i="15" s="1"/>
  <c r="AN113" i="15" s="1"/>
  <c r="AN131" i="15" s="1"/>
  <c r="AN143" i="15" s="1"/>
  <c r="CB36" i="15"/>
  <c r="CB73" i="15"/>
  <c r="CB92" i="15" s="1"/>
  <c r="CB113" i="15" s="1"/>
  <c r="CB131" i="15" s="1"/>
  <c r="CB143" i="15" s="1"/>
  <c r="BY36" i="15"/>
  <c r="BY73" i="15"/>
  <c r="BY92" i="15" s="1"/>
  <c r="BY113" i="15" s="1"/>
  <c r="BY131" i="15" s="1"/>
  <c r="BY143" i="15" s="1"/>
  <c r="R36" i="15"/>
  <c r="R65" i="18" s="1"/>
  <c r="R73" i="15"/>
  <c r="R92" i="15" s="1"/>
  <c r="R113" i="15" s="1"/>
  <c r="R131" i="15" s="1"/>
  <c r="R143" i="15" s="1"/>
  <c r="BV36" i="15"/>
  <c r="BV65" i="18" s="1"/>
  <c r="BV73" i="15"/>
  <c r="BV92" i="15" s="1"/>
  <c r="BV113" i="15" s="1"/>
  <c r="BV131" i="15" s="1"/>
  <c r="BV143" i="15" s="1"/>
  <c r="AU36" i="15"/>
  <c r="AU65" i="18" s="1"/>
  <c r="AU73" i="15"/>
  <c r="AU92" i="15" s="1"/>
  <c r="AU113" i="15" s="1"/>
  <c r="AU131" i="15" s="1"/>
  <c r="AU143" i="15" s="1"/>
  <c r="AF36" i="15"/>
  <c r="AF65" i="18" s="1"/>
  <c r="AF73" i="15"/>
  <c r="AF92" i="15" s="1"/>
  <c r="AF113" i="15" s="1"/>
  <c r="AF131" i="15" s="1"/>
  <c r="AF143" i="15" s="1"/>
  <c r="BX36" i="15"/>
  <c r="BX73" i="15"/>
  <c r="BX92" i="15" s="1"/>
  <c r="BX113" i="15" s="1"/>
  <c r="BX131" i="15" s="1"/>
  <c r="BX143" i="15" s="1"/>
  <c r="AP36" i="15"/>
  <c r="AP65" i="18" s="1"/>
  <c r="AP73" i="15"/>
  <c r="AP92" i="15" s="1"/>
  <c r="AP113" i="15" s="1"/>
  <c r="AP131" i="15" s="1"/>
  <c r="AP143" i="15" s="1"/>
  <c r="V36" i="15"/>
  <c r="V65" i="18" s="1"/>
  <c r="V73" i="15"/>
  <c r="V92" i="15" s="1"/>
  <c r="V113" i="15" s="1"/>
  <c r="V131" i="15" s="1"/>
  <c r="V143" i="15" s="1"/>
  <c r="AV36" i="15"/>
  <c r="AV65" i="18" s="1"/>
  <c r="AV73" i="15"/>
  <c r="AV92" i="15" s="1"/>
  <c r="AV113" i="15" s="1"/>
  <c r="AV131" i="15" s="1"/>
  <c r="AV143" i="15" s="1"/>
  <c r="BD36" i="15"/>
  <c r="BD65" i="18" s="1"/>
  <c r="BD73" i="15"/>
  <c r="BD92" i="15" s="1"/>
  <c r="BD113" i="15" s="1"/>
  <c r="BD131" i="15" s="1"/>
  <c r="BD143" i="15" s="1"/>
  <c r="AA36" i="15"/>
  <c r="AA65" i="18" s="1"/>
  <c r="AA73" i="15"/>
  <c r="AA92" i="15" s="1"/>
  <c r="AA113" i="15" s="1"/>
  <c r="AA131" i="15" s="1"/>
  <c r="AA143" i="15" s="1"/>
  <c r="CM36" i="15"/>
  <c r="CM73" i="15"/>
  <c r="CM92" i="15" s="1"/>
  <c r="CM113" i="15" s="1"/>
  <c r="CM131" i="15" s="1"/>
  <c r="CM143" i="15" s="1"/>
  <c r="CH36" i="15"/>
  <c r="CH73" i="15"/>
  <c r="CH92" i="15" s="1"/>
  <c r="CH113" i="15" s="1"/>
  <c r="CH131" i="15" s="1"/>
  <c r="CH143" i="15" s="1"/>
  <c r="BE36" i="15"/>
  <c r="BE65" i="18" s="1"/>
  <c r="BE73" i="15"/>
  <c r="BE92" i="15" s="1"/>
  <c r="BE113" i="15" s="1"/>
  <c r="BE131" i="15" s="1"/>
  <c r="BE143" i="15" s="1"/>
  <c r="AI36" i="15"/>
  <c r="AI65" i="18" s="1"/>
  <c r="AI73" i="15"/>
  <c r="AI92" i="15" s="1"/>
  <c r="AI113" i="15" s="1"/>
  <c r="AI131" i="15" s="1"/>
  <c r="AI143" i="15" s="1"/>
  <c r="CL36" i="15"/>
  <c r="CL65" i="15" s="1"/>
  <c r="CL73" i="15"/>
  <c r="BR36" i="15"/>
  <c r="BR65" i="18" s="1"/>
  <c r="BR73" i="15"/>
  <c r="BR92" i="15" s="1"/>
  <c r="BR113" i="15" s="1"/>
  <c r="BR131" i="15" s="1"/>
  <c r="BR143" i="15" s="1"/>
  <c r="X36" i="15"/>
  <c r="X65" i="18" s="1"/>
  <c r="X73" i="15"/>
  <c r="X92" i="15" s="1"/>
  <c r="X113" i="15" s="1"/>
  <c r="X131" i="15" s="1"/>
  <c r="X143" i="15" s="1"/>
  <c r="CT36" i="15"/>
  <c r="CT73" i="15"/>
  <c r="CT92" i="15" s="1"/>
  <c r="CT113" i="15" s="1"/>
  <c r="CT131" i="15" s="1"/>
  <c r="CT143" i="15" s="1"/>
  <c r="AC36" i="15"/>
  <c r="AC65" i="18" s="1"/>
  <c r="AC73" i="15"/>
  <c r="AC92" i="15" s="1"/>
  <c r="AC113" i="15" s="1"/>
  <c r="AC131" i="15" s="1"/>
  <c r="AC143" i="15" s="1"/>
  <c r="AX36" i="15"/>
  <c r="AX65" i="18" s="1"/>
  <c r="AX73" i="15"/>
  <c r="AX92" i="15" s="1"/>
  <c r="AX113" i="15" s="1"/>
  <c r="AX131" i="15" s="1"/>
  <c r="AX143" i="15" s="1"/>
  <c r="CP36" i="15"/>
  <c r="CP73" i="15"/>
  <c r="CP92" i="15" s="1"/>
  <c r="CP113" i="15" s="1"/>
  <c r="CP131" i="15" s="1"/>
  <c r="CP143" i="15" s="1"/>
  <c r="Y36" i="15"/>
  <c r="Y65" i="18" s="1"/>
  <c r="Y73" i="15"/>
  <c r="Y92" i="15" s="1"/>
  <c r="Y113" i="15" s="1"/>
  <c r="Y131" i="15" s="1"/>
  <c r="Y143" i="15" s="1"/>
  <c r="AG36" i="15"/>
  <c r="AG65" i="18" s="1"/>
  <c r="AG73" i="15"/>
  <c r="AG92" i="15" s="1"/>
  <c r="AG113" i="15" s="1"/>
  <c r="AG131" i="15" s="1"/>
  <c r="AG143" i="15" s="1"/>
  <c r="CE36" i="15"/>
  <c r="CE73" i="15"/>
  <c r="CE92" i="15" s="1"/>
  <c r="CE113" i="15" s="1"/>
  <c r="CE131" i="15" s="1"/>
  <c r="CE143" i="15" s="1"/>
  <c r="BP36" i="15"/>
  <c r="BP65" i="18" s="1"/>
  <c r="BP73" i="15"/>
  <c r="BP92" i="15" s="1"/>
  <c r="BP113" i="15" s="1"/>
  <c r="BP131" i="15" s="1"/>
  <c r="BP143" i="15" s="1"/>
  <c r="BM36" i="15"/>
  <c r="BM65" i="18" s="1"/>
  <c r="BM73" i="15"/>
  <c r="BM92" i="15" s="1"/>
  <c r="BM113" i="15" s="1"/>
  <c r="BM131" i="15" s="1"/>
  <c r="BM143" i="15" s="1"/>
  <c r="Z36" i="15"/>
  <c r="Z65" i="18" s="1"/>
  <c r="Z73" i="15"/>
  <c r="Z92" i="15" s="1"/>
  <c r="Z113" i="15" s="1"/>
  <c r="Z131" i="15" s="1"/>
  <c r="Z143" i="15" s="1"/>
  <c r="AL36" i="15"/>
  <c r="AL65" i="18" s="1"/>
  <c r="AL73" i="15"/>
  <c r="AL92" i="15" s="1"/>
  <c r="AL113" i="15" s="1"/>
  <c r="AL131" i="15" s="1"/>
  <c r="AL143" i="15" s="1"/>
  <c r="L36" i="15"/>
  <c r="L65" i="18" s="1"/>
  <c r="L73" i="15"/>
  <c r="L92" i="15" s="1"/>
  <c r="L113" i="15" s="1"/>
  <c r="L131" i="15" s="1"/>
  <c r="L143" i="15" s="1"/>
  <c r="AQ36" i="15"/>
  <c r="AQ65" i="18" s="1"/>
  <c r="AQ73" i="15"/>
  <c r="AQ92" i="15" s="1"/>
  <c r="AQ113" i="15" s="1"/>
  <c r="AQ131" i="15" s="1"/>
  <c r="AQ143" i="15" s="1"/>
  <c r="BJ36" i="15"/>
  <c r="BJ65" i="18" s="1"/>
  <c r="BJ73" i="15"/>
  <c r="BJ92" i="15" s="1"/>
  <c r="BJ113" i="15" s="1"/>
  <c r="BJ131" i="15" s="1"/>
  <c r="BJ143" i="15" s="1"/>
  <c r="CC36" i="15"/>
  <c r="CC65" i="15" s="1"/>
  <c r="CC73" i="15"/>
  <c r="BG36" i="15"/>
  <c r="BG65" i="18" s="1"/>
  <c r="BG73" i="15"/>
  <c r="BG92" i="15" s="1"/>
  <c r="BG113" i="15" s="1"/>
  <c r="BG131" i="15" s="1"/>
  <c r="BG143" i="15" s="1"/>
  <c r="BO36" i="15"/>
  <c r="BO65" i="18" s="1"/>
  <c r="BO73" i="15"/>
  <c r="BO92" i="15" s="1"/>
  <c r="BO113" i="15" s="1"/>
  <c r="BO131" i="15" s="1"/>
  <c r="BO143" i="15" s="1"/>
  <c r="P36" i="15"/>
  <c r="P65" i="18" s="1"/>
  <c r="P73" i="15"/>
  <c r="P92" i="15" s="1"/>
  <c r="P113" i="15" s="1"/>
  <c r="P131" i="15" s="1"/>
  <c r="P143" i="15" s="1"/>
  <c r="CS36" i="15"/>
  <c r="CS73" i="15"/>
  <c r="CS92" i="15" s="1"/>
  <c r="CS113" i="15" s="1"/>
  <c r="CS131" i="15" s="1"/>
  <c r="CS143" i="15" s="1"/>
  <c r="BH36" i="15"/>
  <c r="BH65" i="18" s="1"/>
  <c r="BH73" i="15"/>
  <c r="BH92" i="15" s="1"/>
  <c r="BH113" i="15" s="1"/>
  <c r="BH131" i="15" s="1"/>
  <c r="BH143" i="15" s="1"/>
  <c r="W36" i="15"/>
  <c r="W65" i="18" s="1"/>
  <c r="W73" i="15"/>
  <c r="W92" i="15" s="1"/>
  <c r="W113" i="15" s="1"/>
  <c r="W131" i="15" s="1"/>
  <c r="W143" i="15" s="1"/>
  <c r="AS36" i="15"/>
  <c r="AS65" i="18" s="1"/>
  <c r="AS73" i="15"/>
  <c r="AS92" i="15" s="1"/>
  <c r="AS113" i="15" s="1"/>
  <c r="AS131" i="15" s="1"/>
  <c r="AS143" i="15" s="1"/>
  <c r="BZ36" i="15"/>
  <c r="BZ73" i="15"/>
  <c r="BZ92" i="15" s="1"/>
  <c r="BZ113" i="15" s="1"/>
  <c r="BZ131" i="15" s="1"/>
  <c r="BZ143" i="15" s="1"/>
  <c r="BF36" i="15"/>
  <c r="BF65" i="18" s="1"/>
  <c r="BF73" i="15"/>
  <c r="BF92" i="15" s="1"/>
  <c r="BF113" i="15" s="1"/>
  <c r="BF131" i="15" s="1"/>
  <c r="BF143" i="15" s="1"/>
  <c r="T36" i="15"/>
  <c r="T65" i="18" s="1"/>
  <c r="T73" i="15"/>
  <c r="T92" i="15" s="1"/>
  <c r="T113" i="15" s="1"/>
  <c r="T131" i="15" s="1"/>
  <c r="T143" i="15" s="1"/>
  <c r="BL36" i="15"/>
  <c r="BL65" i="18" s="1"/>
  <c r="BL73" i="15"/>
  <c r="BL92" i="15" s="1"/>
  <c r="BL113" i="15" s="1"/>
  <c r="BL131" i="15" s="1"/>
  <c r="BL143" i="15" s="1"/>
  <c r="BU36" i="15"/>
  <c r="BU65" i="18" s="1"/>
  <c r="BU73" i="15"/>
  <c r="BU92" i="15" s="1"/>
  <c r="BU113" i="15" s="1"/>
  <c r="BU131" i="15" s="1"/>
  <c r="BU143" i="15" s="1"/>
  <c r="AY36" i="15"/>
  <c r="AY65" i="18" s="1"/>
  <c r="AY73" i="15"/>
  <c r="AY92" i="15" s="1"/>
  <c r="AY113" i="15" s="1"/>
  <c r="AY131" i="15" s="1"/>
  <c r="AY143" i="15" s="1"/>
  <c r="AJ36" i="15"/>
  <c r="AJ65" i="18" s="1"/>
  <c r="AJ73" i="15"/>
  <c r="AJ92" i="15" s="1"/>
  <c r="AJ113" i="15" s="1"/>
  <c r="AJ131" i="15" s="1"/>
  <c r="AJ143" i="15" s="1"/>
  <c r="AR36" i="15"/>
  <c r="AR65" i="18" s="1"/>
  <c r="AR73" i="15"/>
  <c r="AR92" i="15" s="1"/>
  <c r="AR113" i="15" s="1"/>
  <c r="AR131" i="15" s="1"/>
  <c r="AR143" i="15" s="1"/>
  <c r="CJ36" i="15"/>
  <c r="CJ73" i="15"/>
  <c r="CJ92" i="15" s="1"/>
  <c r="CJ113" i="15" s="1"/>
  <c r="CJ131" i="15" s="1"/>
  <c r="CJ143" i="15" s="1"/>
  <c r="BB36" i="15"/>
  <c r="BB65" i="18" s="1"/>
  <c r="BB73" i="15"/>
  <c r="BB92" i="15" s="1"/>
  <c r="BB113" i="15" s="1"/>
  <c r="BB131" i="15" s="1"/>
  <c r="BB143" i="15" s="1"/>
  <c r="AH36" i="15"/>
  <c r="AH65" i="18" s="1"/>
  <c r="AH73" i="15"/>
  <c r="AH92" i="15" s="1"/>
  <c r="AH113" i="15" s="1"/>
  <c r="AH131" i="15" s="1"/>
  <c r="AH143" i="15" s="1"/>
  <c r="AK36" i="15"/>
  <c r="AK65" i="18" s="1"/>
  <c r="AK73" i="15"/>
  <c r="AK92" i="15" s="1"/>
  <c r="AK113" i="15" s="1"/>
  <c r="AK131" i="15" s="1"/>
  <c r="AK143" i="15" s="1"/>
  <c r="DC74" i="15"/>
  <c r="ET68" i="15"/>
  <c r="CQ36" i="15"/>
  <c r="CQ73" i="15"/>
  <c r="CQ92" i="15" s="1"/>
  <c r="CQ113" i="15" s="1"/>
  <c r="CQ131" i="15" s="1"/>
  <c r="CQ143" i="15" s="1"/>
  <c r="N36" i="15"/>
  <c r="N65" i="18" s="1"/>
  <c r="N73" i="15"/>
  <c r="N92" i="15" s="1"/>
  <c r="N113" i="15" s="1"/>
  <c r="N131" i="15" s="1"/>
  <c r="N143" i="15" s="1"/>
  <c r="CA7" i="12"/>
  <c r="DH10" i="15"/>
  <c r="CB159" i="13"/>
  <c r="CB167" i="13"/>
  <c r="CD129" i="13"/>
  <c r="CD124" i="13"/>
  <c r="CD130" i="13"/>
  <c r="DG544" i="2"/>
  <c r="CH134" i="13" s="1"/>
  <c r="DG546" i="2"/>
  <c r="CH136" i="13" s="1"/>
  <c r="DG493" i="2"/>
  <c r="CH107" i="13" s="1"/>
  <c r="DG497" i="2"/>
  <c r="CH112" i="13" s="1"/>
  <c r="DG498" i="2"/>
  <c r="CH113" i="13" s="1"/>
  <c r="CD102" i="13"/>
  <c r="DC502" i="2"/>
  <c r="CH49" i="13"/>
  <c r="CA39" i="12" s="1"/>
  <c r="DP24" i="14"/>
  <c r="DD505" i="2"/>
  <c r="DD490" i="2"/>
  <c r="CG39" i="13"/>
  <c r="CG33" i="13"/>
  <c r="DF416" i="2"/>
  <c r="DF444" i="2" s="1"/>
  <c r="DF445" i="2" s="1"/>
  <c r="DF456" i="2"/>
  <c r="CG70" i="13"/>
  <c r="DF473" i="2"/>
  <c r="DF511" i="2" s="1"/>
  <c r="DF510" i="2" s="1"/>
  <c r="DH408" i="2"/>
  <c r="DH435" i="2" s="1"/>
  <c r="DH494" i="2" s="1"/>
  <c r="DH409" i="2"/>
  <c r="DH436" i="2" s="1"/>
  <c r="CH44" i="13"/>
  <c r="DG428" i="2"/>
  <c r="DG458" i="2" s="1"/>
  <c r="CL12" i="7"/>
  <c r="CT176" i="2"/>
  <c r="CT158" i="2"/>
  <c r="CW117" i="2"/>
  <c r="CV103" i="2"/>
  <c r="CW86" i="3" s="1"/>
  <c r="CW154" i="18" s="1"/>
  <c r="ER154" i="18" s="1"/>
  <c r="CW118" i="2"/>
  <c r="CV105" i="2"/>
  <c r="CW90" i="3" s="1"/>
  <c r="CV85" i="3"/>
  <c r="CV84" i="3" s="1"/>
  <c r="CV146" i="18" s="1"/>
  <c r="CW119" i="2"/>
  <c r="CV107" i="2"/>
  <c r="CW92" i="3" s="1"/>
  <c r="J46" i="2"/>
  <c r="J67" i="2"/>
  <c r="V46" i="2"/>
  <c r="V67" i="2"/>
  <c r="AH46" i="2"/>
  <c r="AH67" i="2"/>
  <c r="AT46" i="2"/>
  <c r="AT67" i="2"/>
  <c r="K46" i="2"/>
  <c r="K67" i="2"/>
  <c r="W46" i="2"/>
  <c r="W67" i="2"/>
  <c r="AI46" i="2"/>
  <c r="AI67" i="2"/>
  <c r="AU46" i="2"/>
  <c r="AU67" i="2"/>
  <c r="L46" i="2"/>
  <c r="L67" i="2"/>
  <c r="X46" i="2"/>
  <c r="X67" i="2"/>
  <c r="AJ46" i="2"/>
  <c r="AJ67" i="2"/>
  <c r="AV46" i="2"/>
  <c r="AV67" i="2"/>
  <c r="I46" i="2"/>
  <c r="I67" i="2"/>
  <c r="U46" i="2"/>
  <c r="U67" i="2"/>
  <c r="AG46" i="2"/>
  <c r="AG67" i="2"/>
  <c r="M46" i="2"/>
  <c r="M67" i="2"/>
  <c r="Y46" i="2"/>
  <c r="Y67" i="2"/>
  <c r="AK46" i="2"/>
  <c r="AK67" i="2"/>
  <c r="AW46" i="2"/>
  <c r="AW67" i="2"/>
  <c r="B46" i="2"/>
  <c r="B67" i="2"/>
  <c r="N46" i="2"/>
  <c r="N67" i="2"/>
  <c r="Z46" i="2"/>
  <c r="Z67" i="2"/>
  <c r="AL46" i="2"/>
  <c r="AL67" i="2"/>
  <c r="AX46" i="2"/>
  <c r="AX67" i="2"/>
  <c r="C46" i="2"/>
  <c r="C67" i="2"/>
  <c r="O46" i="2"/>
  <c r="O67" i="2"/>
  <c r="AA46" i="2"/>
  <c r="AA67" i="2"/>
  <c r="AM46" i="2"/>
  <c r="AM67" i="2"/>
  <c r="AY46" i="2"/>
  <c r="AY67" i="2"/>
  <c r="D46" i="2"/>
  <c r="D67" i="2"/>
  <c r="P46" i="2"/>
  <c r="P67" i="2"/>
  <c r="AB46" i="2"/>
  <c r="AB67" i="2"/>
  <c r="AN46" i="2"/>
  <c r="AN67" i="2"/>
  <c r="E46" i="2"/>
  <c r="E67" i="2"/>
  <c r="Q46" i="2"/>
  <c r="Q67" i="2"/>
  <c r="AC46" i="2"/>
  <c r="AC67" i="2"/>
  <c r="AO46" i="2"/>
  <c r="AO67" i="2"/>
  <c r="F46" i="2"/>
  <c r="F67" i="2"/>
  <c r="R46" i="2"/>
  <c r="R67" i="2"/>
  <c r="AD46" i="2"/>
  <c r="AD67" i="2"/>
  <c r="AP46" i="2"/>
  <c r="AP67" i="2"/>
  <c r="AS46" i="2"/>
  <c r="AS67" i="2"/>
  <c r="G46" i="2"/>
  <c r="G67" i="2"/>
  <c r="S46" i="2"/>
  <c r="S67" i="2"/>
  <c r="AE46" i="2"/>
  <c r="AE67" i="2"/>
  <c r="AQ46" i="2"/>
  <c r="AQ67" i="2"/>
  <c r="H46" i="2"/>
  <c r="H67" i="2"/>
  <c r="T46" i="2"/>
  <c r="T67" i="2"/>
  <c r="AF46" i="2"/>
  <c r="AF67" i="2"/>
  <c r="AR46" i="2"/>
  <c r="AR67" i="2"/>
  <c r="DQ11" i="14"/>
  <c r="CH30" i="13"/>
  <c r="CA15" i="12"/>
  <c r="DE451" i="2"/>
  <c r="CF65" i="13"/>
  <c r="CF81" i="13" s="1"/>
  <c r="DF452" i="2"/>
  <c r="DE468" i="2"/>
  <c r="DE506" i="2" s="1"/>
  <c r="DQ20" i="14"/>
  <c r="CF58" i="13"/>
  <c r="BY42" i="11" s="1"/>
  <c r="DE463" i="2"/>
  <c r="DQ23" i="14"/>
  <c r="DF453" i="2"/>
  <c r="CF66" i="13"/>
  <c r="DU66" i="13" s="1"/>
  <c r="EH66" i="13" s="1"/>
  <c r="DE469" i="2"/>
  <c r="DE507" i="2" s="1"/>
  <c r="DE491" i="2" s="1"/>
  <c r="CF105" i="13" s="1"/>
  <c r="DU105" i="13" s="1"/>
  <c r="BZ18" i="12"/>
  <c r="CF59" i="13"/>
  <c r="BY43" i="11" s="1"/>
  <c r="DE464" i="2"/>
  <c r="DF454" i="2"/>
  <c r="CF67" i="13"/>
  <c r="CF83" i="13" s="1"/>
  <c r="CF77" i="13" s="1"/>
  <c r="BY53" i="11" s="1"/>
  <c r="DE470" i="2"/>
  <c r="DE508" i="2" s="1"/>
  <c r="DE492" i="2" s="1"/>
  <c r="CF106" i="13" s="1"/>
  <c r="DU106" i="13" s="1"/>
  <c r="CF60" i="13"/>
  <c r="CF78" i="13" s="1"/>
  <c r="DE465" i="2"/>
  <c r="DR5" i="14"/>
  <c r="EY5" i="14" s="1"/>
  <c r="FI5" i="14" s="1"/>
  <c r="DD461" i="2"/>
  <c r="CE56" i="13"/>
  <c r="CE75" i="13"/>
  <c r="CE64" i="13"/>
  <c r="CE82" i="13"/>
  <c r="DQ40" i="14"/>
  <c r="CF57" i="13"/>
  <c r="DU57" i="13" s="1"/>
  <c r="EH57" i="13" s="1"/>
  <c r="DE462" i="2"/>
  <c r="CH29" i="13"/>
  <c r="CH25" i="13"/>
  <c r="DH392" i="2"/>
  <c r="CI15" i="13"/>
  <c r="DV15" i="13" s="1"/>
  <c r="DH425" i="2"/>
  <c r="DH419" i="2"/>
  <c r="DH424" i="2"/>
  <c r="DH418" i="2"/>
  <c r="CH23" i="13"/>
  <c r="DH391" i="2"/>
  <c r="CI10" i="13" s="1"/>
  <c r="DV10" i="13" s="1"/>
  <c r="CI14" i="13"/>
  <c r="DV14" i="13" s="1"/>
  <c r="DG399" i="2"/>
  <c r="CH22" i="13"/>
  <c r="DQ14" i="14"/>
  <c r="CI6" i="13"/>
  <c r="DQ31" i="14"/>
  <c r="CI5" i="13"/>
  <c r="DI482" i="2"/>
  <c r="DI394" i="2" s="1"/>
  <c r="DI377" i="2" s="1"/>
  <c r="CJ95" i="13"/>
  <c r="CI98" i="13"/>
  <c r="DV98" i="13" s="1"/>
  <c r="DQ37" i="14"/>
  <c r="CW318" i="2"/>
  <c r="CN156" i="7"/>
  <c r="BH18" i="3"/>
  <c r="BT18" i="3"/>
  <c r="BJ18" i="3"/>
  <c r="BK18" i="3"/>
  <c r="BM18" i="3"/>
  <c r="BY18" i="3"/>
  <c r="BB18" i="3"/>
  <c r="CL18" i="3"/>
  <c r="CM21" i="3"/>
  <c r="CM18" i="3"/>
  <c r="CB21" i="3"/>
  <c r="CB18" i="3"/>
  <c r="BI18" i="3"/>
  <c r="BU21" i="3"/>
  <c r="BU18" i="3"/>
  <c r="CG21" i="3"/>
  <c r="CG18" i="3"/>
  <c r="CS21" i="3"/>
  <c r="CS18" i="3"/>
  <c r="BV21" i="3"/>
  <c r="BV18" i="3"/>
  <c r="BW21" i="3"/>
  <c r="BW18" i="3"/>
  <c r="CI21" i="3"/>
  <c r="CI18" i="3"/>
  <c r="CH21" i="3"/>
  <c r="CH18" i="3"/>
  <c r="BL18" i="3"/>
  <c r="BX18" i="3"/>
  <c r="CJ21" i="3"/>
  <c r="CJ18" i="3"/>
  <c r="CK21" i="3"/>
  <c r="CK18" i="3"/>
  <c r="BZ21" i="3"/>
  <c r="BZ18" i="3"/>
  <c r="BC18" i="3"/>
  <c r="CA21" i="3"/>
  <c r="CA18" i="3"/>
  <c r="BP21" i="3"/>
  <c r="BP18" i="3"/>
  <c r="BE18" i="3"/>
  <c r="BQ21" i="3"/>
  <c r="BQ18" i="3"/>
  <c r="CC21" i="3"/>
  <c r="CC18" i="3"/>
  <c r="CO21" i="3"/>
  <c r="CO18" i="3"/>
  <c r="BF18" i="3"/>
  <c r="BR21" i="3"/>
  <c r="BR18" i="3"/>
  <c r="CD21" i="3"/>
  <c r="CD18" i="3"/>
  <c r="CP18" i="3"/>
  <c r="BG18" i="3"/>
  <c r="BS18" i="3"/>
  <c r="CE21" i="3"/>
  <c r="CE18" i="3"/>
  <c r="CQ21" i="3"/>
  <c r="CQ18" i="3"/>
  <c r="BN21" i="3"/>
  <c r="BN18" i="3"/>
  <c r="BO21" i="3"/>
  <c r="BO18" i="3"/>
  <c r="BD18" i="3"/>
  <c r="CN21" i="3"/>
  <c r="CN18" i="3"/>
  <c r="CF21" i="3"/>
  <c r="CF18" i="3"/>
  <c r="CR21" i="3"/>
  <c r="CR18" i="3"/>
  <c r="FG51" i="3"/>
  <c r="EI15" i="3"/>
  <c r="EI21" i="3" s="1"/>
  <c r="EL15" i="3"/>
  <c r="EL21" i="3" s="1"/>
  <c r="EP15" i="3"/>
  <c r="EP21" i="3" s="1"/>
  <c r="FH51" i="3"/>
  <c r="EQ15" i="3"/>
  <c r="EQ21" i="3" s="1"/>
  <c r="EN15" i="3"/>
  <c r="EN21" i="3" s="1"/>
  <c r="EJ15" i="3"/>
  <c r="EJ21" i="3" s="1"/>
  <c r="EJ11" i="3"/>
  <c r="EM109" i="3"/>
  <c r="ER23" i="3"/>
  <c r="FG29" i="3"/>
  <c r="FG27" i="3" s="1"/>
  <c r="FG49" i="3"/>
  <c r="EM15" i="3"/>
  <c r="EM21" i="3" s="1"/>
  <c r="FG47" i="3"/>
  <c r="FG54" i="3"/>
  <c r="FG75" i="3"/>
  <c r="FH77" i="3"/>
  <c r="FG95" i="3"/>
  <c r="FH96" i="3"/>
  <c r="FG48" i="3"/>
  <c r="FG76" i="3"/>
  <c r="FG94" i="3"/>
  <c r="EJ25" i="3"/>
  <c r="EJ34" i="3" s="1"/>
  <c r="EN38" i="3"/>
  <c r="FH8" i="3"/>
  <c r="FH29" i="3"/>
  <c r="FH52" i="3"/>
  <c r="FH86" i="3"/>
  <c r="FG50" i="3"/>
  <c r="EP109" i="3"/>
  <c r="EJ38" i="3"/>
  <c r="FG77" i="3"/>
  <c r="FH97" i="3"/>
  <c r="EQ109" i="3"/>
  <c r="EO109" i="3"/>
  <c r="FH110" i="3"/>
  <c r="EH15" i="3"/>
  <c r="EH21" i="3" s="1"/>
  <c r="FG20" i="3"/>
  <c r="FH50" i="3"/>
  <c r="FG53" i="3"/>
  <c r="EJ109" i="3"/>
  <c r="FG111" i="3"/>
  <c r="FH49" i="3"/>
  <c r="FG52" i="3"/>
  <c r="FH95" i="3"/>
  <c r="FG110" i="3"/>
  <c r="EK109" i="3"/>
  <c r="FH48" i="3"/>
  <c r="FH76" i="3"/>
  <c r="FH94" i="3"/>
  <c r="EL109" i="3"/>
  <c r="FH47" i="3"/>
  <c r="FH54" i="3"/>
  <c r="FH75" i="3"/>
  <c r="FG97" i="3"/>
  <c r="FH20" i="3"/>
  <c r="FH53" i="3"/>
  <c r="EN109" i="3"/>
  <c r="FH111" i="3"/>
  <c r="FG16" i="3"/>
  <c r="FG17" i="3"/>
  <c r="EM25" i="3"/>
  <c r="EM34" i="3" s="1"/>
  <c r="EM62" i="3" s="1"/>
  <c r="EQ38" i="3"/>
  <c r="ER36" i="3"/>
  <c r="ER18" i="3"/>
  <c r="EQ25" i="3"/>
  <c r="EQ34" i="3" s="1"/>
  <c r="EQ62" i="3" s="1"/>
  <c r="EI38" i="3"/>
  <c r="FH13" i="3"/>
  <c r="FG9" i="3"/>
  <c r="EQ11" i="3"/>
  <c r="EO11" i="3"/>
  <c r="FH12" i="3"/>
  <c r="FG8" i="3"/>
  <c r="EP11" i="3"/>
  <c r="EK46" i="3"/>
  <c r="EK25" i="3"/>
  <c r="EK34" i="3" s="1"/>
  <c r="EK68" i="3" s="1"/>
  <c r="EK72" i="3" s="1"/>
  <c r="FG5" i="3"/>
  <c r="EO38" i="3"/>
  <c r="FH9" i="3"/>
  <c r="FG4" i="3"/>
  <c r="EL25" i="3"/>
  <c r="EL34" i="3" s="1"/>
  <c r="EL62" i="3" s="1"/>
  <c r="EP38" i="3"/>
  <c r="EN11" i="3"/>
  <c r="EN25" i="3"/>
  <c r="EN34" i="3" s="1"/>
  <c r="EN62" i="3" s="1"/>
  <c r="FG13" i="3"/>
  <c r="EO15" i="3"/>
  <c r="EO21" i="3" s="1"/>
  <c r="FH16" i="3"/>
  <c r="FH17" i="3"/>
  <c r="EO25" i="3"/>
  <c r="EO34" i="3" s="1"/>
  <c r="EO62" i="3" s="1"/>
  <c r="FH5" i="3"/>
  <c r="FG12" i="3"/>
  <c r="EP25" i="3"/>
  <c r="EP34" i="3" s="1"/>
  <c r="EP68" i="3" s="1"/>
  <c r="EP72" i="3" s="1"/>
  <c r="EH38" i="3"/>
  <c r="EM37" i="3"/>
  <c r="EM7" i="3"/>
  <c r="EN37" i="3"/>
  <c r="EN7" i="3"/>
  <c r="EO37" i="3"/>
  <c r="EO7" i="3"/>
  <c r="EL24" i="3"/>
  <c r="EL33" i="3" s="1"/>
  <c r="EL3" i="3"/>
  <c r="EP37" i="3"/>
  <c r="EP7" i="3"/>
  <c r="EI11" i="3"/>
  <c r="EN46" i="3"/>
  <c r="EK3" i="3"/>
  <c r="EK24" i="3"/>
  <c r="EK33" i="3" s="1"/>
  <c r="EO46" i="3"/>
  <c r="EK15" i="3"/>
  <c r="EQ37" i="3"/>
  <c r="EQ7" i="3"/>
  <c r="EN24" i="3"/>
  <c r="EN33" i="3" s="1"/>
  <c r="EN3" i="3"/>
  <c r="EK11" i="3"/>
  <c r="EP46" i="3"/>
  <c r="EM24" i="3"/>
  <c r="EM33" i="3" s="1"/>
  <c r="EM3" i="3"/>
  <c r="FH4" i="3"/>
  <c r="EO24" i="3"/>
  <c r="EO33" i="3" s="1"/>
  <c r="EO3" i="3"/>
  <c r="EL11" i="3"/>
  <c r="ER56" i="3"/>
  <c r="FH56" i="3" s="1"/>
  <c r="CT67" i="3"/>
  <c r="CT61" i="3"/>
  <c r="EQ46" i="3"/>
  <c r="EL46" i="3"/>
  <c r="EH11" i="3"/>
  <c r="EM46" i="3"/>
  <c r="EP24" i="3"/>
  <c r="EP33" i="3" s="1"/>
  <c r="EP3" i="3"/>
  <c r="EH7" i="3"/>
  <c r="EH37" i="3"/>
  <c r="EM11" i="3"/>
  <c r="EG11" i="3"/>
  <c r="EQ24" i="3"/>
  <c r="EQ33" i="3" s="1"/>
  <c r="EQ3" i="3"/>
  <c r="EI7" i="3"/>
  <c r="EI37" i="3"/>
  <c r="EJ37" i="3"/>
  <c r="EJ7" i="3"/>
  <c r="EK38" i="3"/>
  <c r="EH46" i="3"/>
  <c r="EI24" i="3"/>
  <c r="EI33" i="3" s="1"/>
  <c r="EI3" i="3"/>
  <c r="EH25" i="3"/>
  <c r="EH34" i="3" s="1"/>
  <c r="EH62" i="3" s="1"/>
  <c r="EK37" i="3"/>
  <c r="EK7" i="3"/>
  <c r="EL38" i="3"/>
  <c r="EI46" i="3"/>
  <c r="EJ3" i="3"/>
  <c r="EJ24" i="3"/>
  <c r="EJ33" i="3" s="1"/>
  <c r="EJ61" i="3" s="1"/>
  <c r="EH24" i="3"/>
  <c r="EH33" i="3" s="1"/>
  <c r="EH61" i="3" s="1"/>
  <c r="EH3" i="3"/>
  <c r="EI25" i="3"/>
  <c r="EI34" i="3" s="1"/>
  <c r="EI62" i="3" s="1"/>
  <c r="EL37" i="3"/>
  <c r="EL7" i="3"/>
  <c r="EM38" i="3"/>
  <c r="EJ46" i="3"/>
  <c r="BI95" i="2"/>
  <c r="BI98" i="2"/>
  <c r="BA95" i="2"/>
  <c r="BA98" i="2"/>
  <c r="BB95" i="2"/>
  <c r="BB98" i="2"/>
  <c r="BC95" i="2"/>
  <c r="BC98" i="2"/>
  <c r="BD95" i="2"/>
  <c r="BD98" i="2"/>
  <c r="BE95" i="2"/>
  <c r="BE98" i="2"/>
  <c r="BF95" i="2"/>
  <c r="BF98" i="2"/>
  <c r="BG95" i="2"/>
  <c r="BG98" i="2"/>
  <c r="BH95" i="2"/>
  <c r="BH98" i="2"/>
  <c r="CR95" i="2"/>
  <c r="CR98" i="2"/>
  <c r="AZ78" i="2"/>
  <c r="AZ95" i="2"/>
  <c r="BI78" i="2"/>
  <c r="BA78" i="2"/>
  <c r="BB78" i="2"/>
  <c r="BC78" i="2"/>
  <c r="BD78" i="2"/>
  <c r="BE78" i="2"/>
  <c r="BF78" i="2"/>
  <c r="BG78" i="2"/>
  <c r="BH78" i="2"/>
  <c r="CR78" i="2"/>
  <c r="CG35" i="2"/>
  <c r="CG50" i="2"/>
  <c r="BL35" i="2"/>
  <c r="BL50" i="2"/>
  <c r="BX35" i="2"/>
  <c r="BX50" i="2"/>
  <c r="CJ35" i="2"/>
  <c r="CJ50" i="2"/>
  <c r="BM35" i="2"/>
  <c r="BM50" i="2"/>
  <c r="BY35" i="2"/>
  <c r="BY50" i="2"/>
  <c r="CK35" i="2"/>
  <c r="CK50" i="2"/>
  <c r="BN35" i="2"/>
  <c r="BN50" i="2"/>
  <c r="BZ35" i="2"/>
  <c r="BZ50" i="2"/>
  <c r="CL35" i="2"/>
  <c r="CL50" i="2"/>
  <c r="BO35" i="2"/>
  <c r="BO50" i="2"/>
  <c r="CA35" i="2"/>
  <c r="CA50" i="2"/>
  <c r="CM35" i="2"/>
  <c r="CM50" i="2"/>
  <c r="BP35" i="2"/>
  <c r="BP50" i="2"/>
  <c r="CB35" i="2"/>
  <c r="CB50" i="2"/>
  <c r="CN35" i="2"/>
  <c r="CN50" i="2"/>
  <c r="BJ35" i="2"/>
  <c r="BJ50" i="2"/>
  <c r="BV35" i="2"/>
  <c r="BV50" i="2"/>
  <c r="CH35" i="2"/>
  <c r="CH50" i="2"/>
  <c r="BK35" i="2"/>
  <c r="BK50" i="2"/>
  <c r="BW35" i="2"/>
  <c r="BW50" i="2"/>
  <c r="CI35" i="2"/>
  <c r="CI50" i="2"/>
  <c r="BQ35" i="2"/>
  <c r="BQ50" i="2"/>
  <c r="CC35" i="2"/>
  <c r="CC50" i="2"/>
  <c r="CO35" i="2"/>
  <c r="CO50" i="2"/>
  <c r="BR35" i="2"/>
  <c r="BR50" i="2"/>
  <c r="CD35" i="2"/>
  <c r="CD50" i="2"/>
  <c r="CP35" i="2"/>
  <c r="CP50" i="2"/>
  <c r="BU35" i="2"/>
  <c r="BU50" i="2"/>
  <c r="BS35" i="2"/>
  <c r="BS50" i="2"/>
  <c r="CE35" i="2"/>
  <c r="CE50" i="2"/>
  <c r="CQ35" i="2"/>
  <c r="CQ50" i="2"/>
  <c r="BT35" i="2"/>
  <c r="BT50" i="2"/>
  <c r="CF35" i="2"/>
  <c r="CF50" i="2"/>
  <c r="BA37" i="2"/>
  <c r="BA47" i="2"/>
  <c r="BM37" i="2"/>
  <c r="BM47" i="2"/>
  <c r="BY37" i="2"/>
  <c r="BY47" i="2"/>
  <c r="AZ37" i="2"/>
  <c r="BK37" i="2"/>
  <c r="BW37" i="2"/>
  <c r="CL37" i="2"/>
  <c r="BN37" i="2"/>
  <c r="BR37" i="2"/>
  <c r="CK37" i="2"/>
  <c r="BL37" i="2"/>
  <c r="BX37" i="2"/>
  <c r="CC37" i="2"/>
  <c r="BE37" i="2"/>
  <c r="BF37" i="2"/>
  <c r="CD37" i="2"/>
  <c r="BG37" i="2"/>
  <c r="BS37" i="2"/>
  <c r="CE37" i="2"/>
  <c r="BH37" i="2"/>
  <c r="BT37" i="2"/>
  <c r="CF37" i="2"/>
  <c r="CQ37" i="2"/>
  <c r="CG37" i="2"/>
  <c r="BJ37" i="2"/>
  <c r="BV37" i="2"/>
  <c r="CH37" i="2"/>
  <c r="CI37" i="2"/>
  <c r="BB37" i="2"/>
  <c r="BZ37" i="2"/>
  <c r="CN37" i="2"/>
  <c r="BC37" i="2"/>
  <c r="BO37" i="2"/>
  <c r="CA37" i="2"/>
  <c r="CP37" i="2"/>
  <c r="BP37" i="2"/>
  <c r="CR37" i="2"/>
  <c r="BQ37" i="2"/>
  <c r="CJ37" i="2"/>
  <c r="CM37" i="2"/>
  <c r="BD37" i="2"/>
  <c r="CB37" i="2"/>
  <c r="CO37" i="2"/>
  <c r="BI37" i="2"/>
  <c r="BU37" i="2"/>
  <c r="CI32" i="2"/>
  <c r="CR35" i="2"/>
  <c r="AB32" i="2"/>
  <c r="AH32" i="2"/>
  <c r="BF32" i="2"/>
  <c r="BR32" i="2"/>
  <c r="CD32" i="2"/>
  <c r="CP32" i="2"/>
  <c r="BG32" i="2"/>
  <c r="BS32" i="2"/>
  <c r="CE32" i="2"/>
  <c r="CQ32" i="2"/>
  <c r="BH32" i="2"/>
  <c r="CF32" i="2"/>
  <c r="BI32" i="2"/>
  <c r="BU32" i="2"/>
  <c r="CG32" i="2"/>
  <c r="BT32" i="2"/>
  <c r="CR32" i="2"/>
  <c r="BJ32" i="2"/>
  <c r="BV32" i="2"/>
  <c r="CH32" i="2"/>
  <c r="J32" i="2"/>
  <c r="S32" i="2"/>
  <c r="V32" i="2"/>
  <c r="AC32" i="2"/>
  <c r="AD32" i="2"/>
  <c r="BK32" i="2"/>
  <c r="BW32" i="2"/>
  <c r="E32" i="2"/>
  <c r="AZ32" i="2"/>
  <c r="BL32" i="2"/>
  <c r="BX32" i="2"/>
  <c r="CJ32" i="2"/>
  <c r="BZ32" i="2"/>
  <c r="CL32" i="2"/>
  <c r="AO32" i="2"/>
  <c r="BC32" i="2"/>
  <c r="BO32" i="2"/>
  <c r="CA32" i="2"/>
  <c r="CM32" i="2"/>
  <c r="P32" i="2"/>
  <c r="AP32" i="2"/>
  <c r="D32" i="2"/>
  <c r="F32" i="2"/>
  <c r="BM32" i="2"/>
  <c r="CK32" i="2"/>
  <c r="AN32" i="2"/>
  <c r="BB32" i="2"/>
  <c r="BD32" i="2"/>
  <c r="BP32" i="2"/>
  <c r="CB32" i="2"/>
  <c r="CN32" i="2"/>
  <c r="Q32" i="2"/>
  <c r="AQ32" i="2"/>
  <c r="AE32" i="2"/>
  <c r="BA32" i="2"/>
  <c r="BY32" i="2"/>
  <c r="G32" i="2"/>
  <c r="BN32" i="2"/>
  <c r="BE32" i="2"/>
  <c r="BQ32" i="2"/>
  <c r="CC32" i="2"/>
  <c r="CO32" i="2"/>
  <c r="R32" i="2"/>
  <c r="AT32" i="2"/>
  <c r="CR18" i="2"/>
  <c r="BF18" i="2"/>
  <c r="BR18" i="2"/>
  <c r="CD18" i="2"/>
  <c r="H32" i="2"/>
  <c r="T32" i="2"/>
  <c r="AF32" i="2"/>
  <c r="AR32" i="2"/>
  <c r="BH18" i="2"/>
  <c r="BT18" i="2"/>
  <c r="CF18" i="2"/>
  <c r="I32" i="2"/>
  <c r="U32" i="2"/>
  <c r="AG32" i="2"/>
  <c r="AS32" i="2"/>
  <c r="K32" i="2"/>
  <c r="W32" i="2"/>
  <c r="AI32" i="2"/>
  <c r="AU32" i="2"/>
  <c r="CA18" i="2"/>
  <c r="L32" i="2"/>
  <c r="X32" i="2"/>
  <c r="AJ32" i="2"/>
  <c r="AV32" i="2"/>
  <c r="M32" i="2"/>
  <c r="AK32" i="2"/>
  <c r="B32" i="2"/>
  <c r="N32" i="2"/>
  <c r="Z32" i="2"/>
  <c r="AL32" i="2"/>
  <c r="AX32" i="2"/>
  <c r="BN18" i="2"/>
  <c r="BZ18" i="2"/>
  <c r="BG18" i="2"/>
  <c r="BS18" i="2"/>
  <c r="CE18" i="2"/>
  <c r="BD18" i="2"/>
  <c r="BP18" i="2"/>
  <c r="CB18" i="2"/>
  <c r="AY18" i="2"/>
  <c r="AZ18" i="2"/>
  <c r="O18" i="2"/>
  <c r="CH18" i="2"/>
  <c r="CI18" i="2"/>
  <c r="CJ18" i="2"/>
  <c r="CK18" i="2"/>
  <c r="BK18" i="2"/>
  <c r="CL18" i="2"/>
  <c r="C18" i="2"/>
  <c r="BB18" i="2"/>
  <c r="CO18" i="2"/>
  <c r="BC18" i="2"/>
  <c r="BO18" i="2"/>
  <c r="BW18" i="2"/>
  <c r="AA18" i="2"/>
  <c r="BL18" i="2"/>
  <c r="BX18" i="2"/>
  <c r="AM18" i="2"/>
  <c r="BE18" i="2"/>
  <c r="BQ18" i="2"/>
  <c r="CC18" i="2"/>
  <c r="BI18" i="2"/>
  <c r="BU18" i="2"/>
  <c r="BV18" i="2"/>
  <c r="BJ18" i="2"/>
  <c r="Y18" i="2"/>
  <c r="AW18" i="2"/>
  <c r="CM18" i="2"/>
  <c r="CN18" i="2"/>
  <c r="BA18" i="2"/>
  <c r="BM18" i="2"/>
  <c r="BY18" i="2"/>
  <c r="CP18" i="2"/>
  <c r="CQ18" i="2"/>
  <c r="CM15" i="2"/>
  <c r="CA15" i="2"/>
  <c r="BO15" i="2"/>
  <c r="BC15" i="2"/>
  <c r="CN16" i="2"/>
  <c r="CB16" i="2"/>
  <c r="BP16" i="2"/>
  <c r="BD16" i="2"/>
  <c r="CI16" i="2"/>
  <c r="BW16" i="2"/>
  <c r="BK16" i="2"/>
  <c r="CR15" i="2"/>
  <c r="CF15" i="2"/>
  <c r="BT15" i="2"/>
  <c r="BH15" i="2"/>
  <c r="BS15" i="2"/>
  <c r="BT16" i="2"/>
  <c r="CI15" i="2"/>
  <c r="CP16" i="2"/>
  <c r="CD16" i="2"/>
  <c r="BR16" i="2"/>
  <c r="BF16" i="2"/>
  <c r="BA16" i="2"/>
  <c r="CH15" i="2"/>
  <c r="CG16" i="2"/>
  <c r="BU16" i="2"/>
  <c r="BI16" i="2"/>
  <c r="BH16" i="2"/>
  <c r="BE15" i="2"/>
  <c r="BY15" i="2"/>
  <c r="CM16" i="2"/>
  <c r="CA16" i="2"/>
  <c r="BO16" i="2"/>
  <c r="BC16" i="2"/>
  <c r="CJ15" i="2"/>
  <c r="BX15" i="2"/>
  <c r="BL15" i="2"/>
  <c r="AZ15" i="2"/>
  <c r="BG15" i="2"/>
  <c r="CO15" i="2"/>
  <c r="BQ15" i="2"/>
  <c r="CK15" i="2"/>
  <c r="BM15" i="2"/>
  <c r="CL16" i="2"/>
  <c r="BZ16" i="2"/>
  <c r="BN16" i="2"/>
  <c r="BB16" i="2"/>
  <c r="BK15" i="2"/>
  <c r="CC15" i="2"/>
  <c r="BA15" i="2"/>
  <c r="BM16" i="2"/>
  <c r="BV15" i="2"/>
  <c r="BJ15" i="2"/>
  <c r="BW15" i="2"/>
  <c r="CL15" i="2"/>
  <c r="BZ15" i="2"/>
  <c r="BN15" i="2"/>
  <c r="BB15" i="2"/>
  <c r="CK16" i="2"/>
  <c r="BY16" i="2"/>
  <c r="CJ16" i="2"/>
  <c r="BX16" i="2"/>
  <c r="BL16" i="2"/>
  <c r="AZ16" i="2"/>
  <c r="CG15" i="2"/>
  <c r="BU15" i="2"/>
  <c r="BI15" i="2"/>
  <c r="CQ15" i="2"/>
  <c r="CR16" i="2"/>
  <c r="CF16" i="2"/>
  <c r="CE15" i="2"/>
  <c r="CQ16" i="2"/>
  <c r="CE16" i="2"/>
  <c r="CH16" i="2"/>
  <c r="BV16" i="2"/>
  <c r="BJ16" i="2"/>
  <c r="CP15" i="2"/>
  <c r="CD15" i="2"/>
  <c r="BR15" i="2"/>
  <c r="BF15" i="2"/>
  <c r="BS16" i="2"/>
  <c r="BG16" i="2"/>
  <c r="CN15" i="2"/>
  <c r="CB15" i="2"/>
  <c r="BP15" i="2"/>
  <c r="BD15" i="2"/>
  <c r="BQ16" i="2"/>
  <c r="BE16" i="2"/>
  <c r="CC16" i="2"/>
  <c r="CO16" i="2"/>
  <c r="AG30" i="3"/>
  <c r="V44" i="3"/>
  <c r="V32" i="3"/>
  <c r="J32" i="3"/>
  <c r="AM66" i="3"/>
  <c r="EG109" i="3"/>
  <c r="AN66" i="3"/>
  <c r="E44" i="3"/>
  <c r="EI96" i="3"/>
  <c r="EH109" i="3"/>
  <c r="EI109" i="3"/>
  <c r="AT44" i="3"/>
  <c r="X44" i="3"/>
  <c r="BC23" i="3"/>
  <c r="CA23" i="3"/>
  <c r="Y39" i="3"/>
  <c r="AO44" i="3"/>
  <c r="CB61" i="3"/>
  <c r="AD32" i="3"/>
  <c r="AT74" i="3"/>
  <c r="AT120" i="18" s="1"/>
  <c r="AT119" i="18" s="1"/>
  <c r="EK96" i="3"/>
  <c r="FG96" i="3" s="1"/>
  <c r="BK23" i="3"/>
  <c r="CI23" i="3"/>
  <c r="BL23" i="3"/>
  <c r="CJ23" i="3"/>
  <c r="AH32" i="3"/>
  <c r="CI62" i="3"/>
  <c r="CK23" i="3"/>
  <c r="BC36" i="3"/>
  <c r="BC79" i="18" s="1"/>
  <c r="BN67" i="3"/>
  <c r="BN71" i="3" s="1"/>
  <c r="CI67" i="3"/>
  <c r="BD23" i="3"/>
  <c r="CB23" i="3"/>
  <c r="EG15" i="3"/>
  <c r="EG21" i="3" s="1"/>
  <c r="S44" i="3"/>
  <c r="BQ23" i="3"/>
  <c r="T44" i="3"/>
  <c r="C58" i="3"/>
  <c r="BC74" i="3"/>
  <c r="BC120" i="18" s="1"/>
  <c r="BC119" i="18" s="1"/>
  <c r="R44" i="3"/>
  <c r="BR23" i="3"/>
  <c r="F44" i="3"/>
  <c r="AP44" i="3"/>
  <c r="CD23" i="3"/>
  <c r="BR67" i="3"/>
  <c r="BR71" i="3" s="1"/>
  <c r="CE36" i="3"/>
  <c r="CE79" i="18" s="1"/>
  <c r="AD44" i="3"/>
  <c r="BF23" i="3"/>
  <c r="CP23" i="3"/>
  <c r="CG23" i="3"/>
  <c r="EG37" i="3"/>
  <c r="I30" i="3"/>
  <c r="BJ23" i="3"/>
  <c r="BV23" i="3"/>
  <c r="CP21" i="3"/>
  <c r="U30" i="3"/>
  <c r="CH62" i="3"/>
  <c r="X32" i="3"/>
  <c r="CC61" i="3"/>
  <c r="Z43" i="3"/>
  <c r="CD61" i="3"/>
  <c r="BS21" i="3"/>
  <c r="AV30" i="3"/>
  <c r="C30" i="3"/>
  <c r="BZ62" i="3"/>
  <c r="M44" i="3"/>
  <c r="AK44" i="3"/>
  <c r="AI84" i="3"/>
  <c r="AI146" i="18" s="1"/>
  <c r="AI145" i="18" s="1"/>
  <c r="AK60" i="3"/>
  <c r="AU74" i="3"/>
  <c r="AU120" i="18" s="1"/>
  <c r="AU119" i="18" s="1"/>
  <c r="BM23" i="3"/>
  <c r="AO30" i="3"/>
  <c r="AX58" i="3"/>
  <c r="AV74" i="3"/>
  <c r="AV120" i="18" s="1"/>
  <c r="AV119" i="18" s="1"/>
  <c r="AJ84" i="3"/>
  <c r="AJ146" i="18" s="1"/>
  <c r="AJ145" i="18" s="1"/>
  <c r="L32" i="3"/>
  <c r="AU30" i="3"/>
  <c r="W32" i="3"/>
  <c r="Q74" i="3"/>
  <c r="Q120" i="18" s="1"/>
  <c r="Q119" i="18" s="1"/>
  <c r="Y44" i="3"/>
  <c r="BR84" i="3"/>
  <c r="BR146" i="18" s="1"/>
  <c r="BR145" i="18" s="1"/>
  <c r="U58" i="3"/>
  <c r="AP30" i="3"/>
  <c r="BK67" i="3"/>
  <c r="BK71" i="3" s="1"/>
  <c r="AY30" i="3"/>
  <c r="BL74" i="3"/>
  <c r="BL120" i="18" s="1"/>
  <c r="BL119" i="18" s="1"/>
  <c r="AW44" i="3"/>
  <c r="BN84" i="3"/>
  <c r="BN146" i="18" s="1"/>
  <c r="AJ32" i="3"/>
  <c r="CN36" i="3"/>
  <c r="CN79" i="18" s="1"/>
  <c r="EG24" i="3"/>
  <c r="EG33" i="3" s="1"/>
  <c r="CL21" i="3"/>
  <c r="AX30" i="3"/>
  <c r="Q44" i="3"/>
  <c r="CD36" i="3"/>
  <c r="CD79" i="18" s="1"/>
  <c r="BM67" i="3"/>
  <c r="BM71" i="3" s="1"/>
  <c r="I79" i="3"/>
  <c r="AP74" i="3"/>
  <c r="AL84" i="3"/>
  <c r="D98" i="3"/>
  <c r="D58" i="3"/>
  <c r="BI68" i="3"/>
  <c r="BI72" i="3" s="1"/>
  <c r="BI62" i="3"/>
  <c r="CL67" i="3"/>
  <c r="CL61" i="3"/>
  <c r="D30" i="3"/>
  <c r="CC36" i="3"/>
  <c r="CC79" i="18" s="1"/>
  <c r="BO67" i="3"/>
  <c r="BO71" i="3" s="1"/>
  <c r="E30" i="3"/>
  <c r="AV32" i="3"/>
  <c r="G44" i="3"/>
  <c r="AE44" i="3"/>
  <c r="AR44" i="3"/>
  <c r="AQ44" i="3"/>
  <c r="AY74" i="3"/>
  <c r="AY120" i="18" s="1"/>
  <c r="AY119" i="18" s="1"/>
  <c r="H44" i="3"/>
  <c r="AF44" i="3"/>
  <c r="P30" i="3"/>
  <c r="P32" i="3"/>
  <c r="R30" i="3"/>
  <c r="R32" i="3"/>
  <c r="AZ32" i="3"/>
  <c r="EG38" i="3"/>
  <c r="AU32" i="3"/>
  <c r="H32" i="3"/>
  <c r="CO62" i="3"/>
  <c r="CO68" i="3"/>
  <c r="I44" i="3"/>
  <c r="AG44" i="3"/>
  <c r="AS44" i="3"/>
  <c r="EG96" i="3"/>
  <c r="BD36" i="3"/>
  <c r="BD79" i="18" s="1"/>
  <c r="BD74" i="3"/>
  <c r="BD120" i="18" s="1"/>
  <c r="BD119" i="18" s="1"/>
  <c r="AQ43" i="3"/>
  <c r="CS23" i="3"/>
  <c r="EG3" i="3"/>
  <c r="EG25" i="3"/>
  <c r="EG34" i="3" s="1"/>
  <c r="EG62" i="3" s="1"/>
  <c r="BT21" i="3"/>
  <c r="BJ68" i="3"/>
  <c r="BJ72" i="3" s="1"/>
  <c r="BJ62" i="3"/>
  <c r="AB30" i="3"/>
  <c r="J44" i="3"/>
  <c r="AH44" i="3"/>
  <c r="AK74" i="3"/>
  <c r="BQ74" i="3"/>
  <c r="BQ120" i="18" s="1"/>
  <c r="CB36" i="3"/>
  <c r="CB79" i="18" s="1"/>
  <c r="BI23" i="3"/>
  <c r="BX21" i="3"/>
  <c r="M66" i="3"/>
  <c r="BW62" i="3"/>
  <c r="BW68" i="3"/>
  <c r="BW72" i="3" s="1"/>
  <c r="K44" i="3"/>
  <c r="W44" i="3"/>
  <c r="AI44" i="3"/>
  <c r="AU44" i="3"/>
  <c r="AX60" i="3"/>
  <c r="AL74" i="3"/>
  <c r="Q30" i="3"/>
  <c r="Q32" i="3"/>
  <c r="F32" i="3"/>
  <c r="F30" i="3"/>
  <c r="BU23" i="3"/>
  <c r="BZ36" i="3"/>
  <c r="BZ79" i="18" s="1"/>
  <c r="BM21" i="3"/>
  <c r="BY21" i="3"/>
  <c r="AM30" i="3"/>
  <c r="AB39" i="3"/>
  <c r="CR62" i="3"/>
  <c r="BA34" i="3"/>
  <c r="AA32" i="3"/>
  <c r="AA30" i="3"/>
  <c r="AY32" i="3"/>
  <c r="AN30" i="3"/>
  <c r="CS62" i="3"/>
  <c r="AJ74" i="3"/>
  <c r="AJ120" i="18" s="1"/>
  <c r="AJ119" i="18" s="1"/>
  <c r="BP84" i="3"/>
  <c r="BP146" i="18" s="1"/>
  <c r="BP145" i="18" s="1"/>
  <c r="AY84" i="3"/>
  <c r="AY146" i="18" s="1"/>
  <c r="AY145" i="18" s="1"/>
  <c r="EG97" i="3"/>
  <c r="BW23" i="3"/>
  <c r="K32" i="3"/>
  <c r="AI32" i="3"/>
  <c r="L44" i="3"/>
  <c r="AJ44" i="3"/>
  <c r="AV44" i="3"/>
  <c r="AN58" i="3"/>
  <c r="CR61" i="3"/>
  <c r="BG74" i="3"/>
  <c r="BG120" i="18" s="1"/>
  <c r="BG119" i="18" s="1"/>
  <c r="BQ84" i="3"/>
  <c r="BQ146" i="18" s="1"/>
  <c r="BU84" i="3"/>
  <c r="BU146" i="18" s="1"/>
  <c r="BU145" i="18" s="1"/>
  <c r="BL84" i="3"/>
  <c r="BL146" i="18" s="1"/>
  <c r="BL145" i="18" s="1"/>
  <c r="BX23" i="3"/>
  <c r="AK84" i="3"/>
  <c r="N44" i="3"/>
  <c r="AL44" i="3"/>
  <c r="AP58" i="3"/>
  <c r="AM74" i="3"/>
  <c r="AM120" i="18" s="1"/>
  <c r="AM119" i="18" s="1"/>
  <c r="AQ84" i="3"/>
  <c r="BB23" i="3"/>
  <c r="BN23" i="3"/>
  <c r="BZ23" i="3"/>
  <c r="CL23" i="3"/>
  <c r="Y30" i="3"/>
  <c r="AS32" i="3"/>
  <c r="D44" i="3"/>
  <c r="P44" i="3"/>
  <c r="AM39" i="3"/>
  <c r="AN74" i="3"/>
  <c r="AR84" i="3"/>
  <c r="AR146" i="18" s="1"/>
  <c r="AR145" i="18" s="1"/>
  <c r="EQ85" i="3"/>
  <c r="EQ84" i="3" s="1"/>
  <c r="BW84" i="3"/>
  <c r="BW146" i="18" s="1"/>
  <c r="AV84" i="3"/>
  <c r="AV146" i="18" s="1"/>
  <c r="AV145" i="18" s="1"/>
  <c r="EH85" i="3"/>
  <c r="EH84" i="3" s="1"/>
  <c r="BY23" i="3"/>
  <c r="CC23" i="3"/>
  <c r="Z44" i="3"/>
  <c r="AX44" i="3"/>
  <c r="EP85" i="3"/>
  <c r="EP84" i="3" s="1"/>
  <c r="BO23" i="3"/>
  <c r="CM23" i="3"/>
  <c r="CH36" i="3"/>
  <c r="CH79" i="18" s="1"/>
  <c r="M60" i="3"/>
  <c r="Z30" i="3"/>
  <c r="AT32" i="3"/>
  <c r="AC44" i="3"/>
  <c r="Y79" i="3"/>
  <c r="Q84" i="3"/>
  <c r="Q146" i="18" s="1"/>
  <c r="Q145" i="18" s="1"/>
  <c r="BP23" i="3"/>
  <c r="CN23" i="3"/>
  <c r="CI36" i="3"/>
  <c r="CI79" i="18" s="1"/>
  <c r="CQ36" i="3"/>
  <c r="CQ79" i="18" s="1"/>
  <c r="BS36" i="3"/>
  <c r="BS79" i="18" s="1"/>
  <c r="R84" i="3"/>
  <c r="R146" i="18" s="1"/>
  <c r="R145" i="18" s="1"/>
  <c r="BP67" i="3"/>
  <c r="BP71" i="3" s="1"/>
  <c r="BP61" i="3"/>
  <c r="G104" i="3"/>
  <c r="G60" i="3"/>
  <c r="G66" i="3"/>
  <c r="G111" i="18" s="1"/>
  <c r="G110" i="18" s="1"/>
  <c r="G39" i="3"/>
  <c r="G79" i="3"/>
  <c r="AO104" i="3"/>
  <c r="AO60" i="3"/>
  <c r="AO39" i="3"/>
  <c r="AO43" i="3"/>
  <c r="AO66" i="3"/>
  <c r="AO111" i="18" s="1"/>
  <c r="BX67" i="3"/>
  <c r="BX71" i="3" s="1"/>
  <c r="BX61" i="3"/>
  <c r="BS67" i="3"/>
  <c r="BS71" i="3" s="1"/>
  <c r="BS61" i="3"/>
  <c r="AF58" i="3"/>
  <c r="E104" i="3"/>
  <c r="E66" i="3"/>
  <c r="E111" i="18" s="1"/>
  <c r="E110" i="18" s="1"/>
  <c r="E60" i="3"/>
  <c r="E39" i="3"/>
  <c r="E43" i="3"/>
  <c r="AF104" i="3"/>
  <c r="AF66" i="3"/>
  <c r="AF111" i="18" s="1"/>
  <c r="AF60" i="3"/>
  <c r="AF39" i="3"/>
  <c r="AF98" i="3"/>
  <c r="BB68" i="3"/>
  <c r="BB72" i="3" s="1"/>
  <c r="BB62" i="3"/>
  <c r="N32" i="3"/>
  <c r="N30" i="3"/>
  <c r="BG68" i="3"/>
  <c r="BG72" i="3" s="1"/>
  <c r="BG62" i="3"/>
  <c r="AF30" i="3"/>
  <c r="S32" i="3"/>
  <c r="CF61" i="3"/>
  <c r="CF67" i="3"/>
  <c r="G58" i="3"/>
  <c r="AQ58" i="3"/>
  <c r="BQ61" i="3"/>
  <c r="CF62" i="3"/>
  <c r="AQ66" i="3"/>
  <c r="AQ111" i="18" s="1"/>
  <c r="BQ68" i="3"/>
  <c r="BQ72" i="3" s="1"/>
  <c r="BU74" i="3"/>
  <c r="BU120" i="18" s="1"/>
  <c r="BU119" i="18" s="1"/>
  <c r="BU36" i="3"/>
  <c r="BU79" i="18" s="1"/>
  <c r="BW67" i="3"/>
  <c r="BW71" i="3" s="1"/>
  <c r="BW61" i="3"/>
  <c r="BX62" i="3"/>
  <c r="BX68" i="3"/>
  <c r="BX72" i="3" s="1"/>
  <c r="BA67" i="3"/>
  <c r="BA71" i="3" s="1"/>
  <c r="BA61" i="3"/>
  <c r="BY61" i="3"/>
  <c r="BY67" i="3"/>
  <c r="BY71" i="3" s="1"/>
  <c r="BV74" i="3"/>
  <c r="BV120" i="18" s="1"/>
  <c r="BV119" i="18" s="1"/>
  <c r="BV36" i="3"/>
  <c r="BV79" i="18" s="1"/>
  <c r="BB67" i="3"/>
  <c r="BB71" i="3" s="1"/>
  <c r="BB61" i="3"/>
  <c r="AA44" i="3"/>
  <c r="AY44" i="3"/>
  <c r="AX39" i="3"/>
  <c r="EG7" i="3"/>
  <c r="I104" i="3"/>
  <c r="I66" i="3"/>
  <c r="I111" i="18" s="1"/>
  <c r="I110" i="18" s="1"/>
  <c r="I60" i="3"/>
  <c r="AE32" i="3"/>
  <c r="I58" i="3"/>
  <c r="E79" i="3"/>
  <c r="BI36" i="3"/>
  <c r="BI79" i="18" s="1"/>
  <c r="CG74" i="3"/>
  <c r="CG120" i="18" s="1"/>
  <c r="CG119" i="18" s="1"/>
  <c r="AG66" i="3"/>
  <c r="AG111" i="18" s="1"/>
  <c r="AG104" i="3"/>
  <c r="AG43" i="3"/>
  <c r="AG60" i="3"/>
  <c r="AG39" i="3"/>
  <c r="BJ36" i="3"/>
  <c r="BJ79" i="18" s="1"/>
  <c r="Z39" i="3"/>
  <c r="CG36" i="3"/>
  <c r="CG79" i="18" s="1"/>
  <c r="AG98" i="3"/>
  <c r="CM74" i="3"/>
  <c r="CM120" i="18" s="1"/>
  <c r="CM119" i="18" s="1"/>
  <c r="AK104" i="3"/>
  <c r="AK66" i="3"/>
  <c r="AK111" i="18" s="1"/>
  <c r="AK39" i="3"/>
  <c r="BF62" i="3"/>
  <c r="BF68" i="3"/>
  <c r="BF72" i="3" s="1"/>
  <c r="CM36" i="3"/>
  <c r="CM79" i="18" s="1"/>
  <c r="AP66" i="3"/>
  <c r="AP111" i="18" s="1"/>
  <c r="Z104" i="3"/>
  <c r="Z58" i="3"/>
  <c r="Z66" i="3"/>
  <c r="Z111" i="18" s="1"/>
  <c r="Z60" i="3"/>
  <c r="BE74" i="3"/>
  <c r="BE120" i="18" s="1"/>
  <c r="BE119" i="18" s="1"/>
  <c r="BE36" i="3"/>
  <c r="BE79" i="18" s="1"/>
  <c r="EM78" i="3"/>
  <c r="EM74" i="3" s="1"/>
  <c r="CC74" i="3"/>
  <c r="CC120" i="18" s="1"/>
  <c r="CO36" i="3"/>
  <c r="CO79" i="18" s="1"/>
  <c r="BL21" i="3"/>
  <c r="C104" i="3"/>
  <c r="C79" i="3"/>
  <c r="C60" i="3"/>
  <c r="C66" i="3"/>
  <c r="C111" i="18" s="1"/>
  <c r="C110" i="18" s="1"/>
  <c r="C39" i="3"/>
  <c r="O32" i="3"/>
  <c r="O64" i="18" s="1"/>
  <c r="O30" i="3"/>
  <c r="AM104" i="3"/>
  <c r="AM60" i="3"/>
  <c r="AM58" i="3"/>
  <c r="AM43" i="3"/>
  <c r="CO23" i="3"/>
  <c r="BG67" i="3"/>
  <c r="BG71" i="3" s="1"/>
  <c r="BG61" i="3"/>
  <c r="BH68" i="3"/>
  <c r="BH72" i="3" s="1"/>
  <c r="BH62" i="3"/>
  <c r="BT62" i="3"/>
  <c r="BT68" i="3"/>
  <c r="BT72" i="3" s="1"/>
  <c r="D104" i="3"/>
  <c r="D66" i="3"/>
  <c r="D111" i="18" s="1"/>
  <c r="D110" i="18" s="1"/>
  <c r="D60" i="3"/>
  <c r="D39" i="3"/>
  <c r="D43" i="3"/>
  <c r="D79" i="3"/>
  <c r="T32" i="3"/>
  <c r="AN104" i="3"/>
  <c r="AN60" i="3"/>
  <c r="AN43" i="3"/>
  <c r="BP36" i="3"/>
  <c r="BP79" i="18" s="1"/>
  <c r="CS36" i="3"/>
  <c r="AN39" i="3"/>
  <c r="CG62" i="3"/>
  <c r="CJ67" i="3"/>
  <c r="BR68" i="3"/>
  <c r="BR72" i="3" s="1"/>
  <c r="AQ104" i="3"/>
  <c r="AQ79" i="3"/>
  <c r="BN68" i="3"/>
  <c r="BN72" i="3" s="1"/>
  <c r="BN62" i="3"/>
  <c r="CE62" i="3"/>
  <c r="CE68" i="3"/>
  <c r="G98" i="3"/>
  <c r="AR32" i="3"/>
  <c r="AR64" i="18" s="1"/>
  <c r="AR72" i="18" s="1"/>
  <c r="AR30" i="3"/>
  <c r="AM44" i="3"/>
  <c r="BL67" i="3"/>
  <c r="BL71" i="3" s="1"/>
  <c r="BW36" i="3"/>
  <c r="BW79" i="18" s="1"/>
  <c r="BC67" i="3"/>
  <c r="BC71" i="3" s="1"/>
  <c r="BC61" i="3"/>
  <c r="AQ60" i="3"/>
  <c r="AQ30" i="3"/>
  <c r="BO62" i="3"/>
  <c r="CH23" i="3"/>
  <c r="CF36" i="3"/>
  <c r="CF79" i="18" s="1"/>
  <c r="CH74" i="3"/>
  <c r="CH120" i="18" s="1"/>
  <c r="CH119" i="18" s="1"/>
  <c r="BK36" i="3"/>
  <c r="BK79" i="18" s="1"/>
  <c r="Y104" i="3"/>
  <c r="Y66" i="3"/>
  <c r="Y111" i="18" s="1"/>
  <c r="AW32" i="3"/>
  <c r="AW64" i="18" s="1"/>
  <c r="AW30" i="3"/>
  <c r="BE67" i="3"/>
  <c r="BE71" i="3" s="1"/>
  <c r="BE61" i="3"/>
  <c r="BE68" i="3"/>
  <c r="BE72" i="3" s="1"/>
  <c r="BK21" i="3"/>
  <c r="AX104" i="3"/>
  <c r="AX79" i="3"/>
  <c r="AX66" i="3"/>
  <c r="AX111" i="18" s="1"/>
  <c r="BF67" i="3"/>
  <c r="BF71" i="3" s="1"/>
  <c r="BF61" i="3"/>
  <c r="BO36" i="3"/>
  <c r="BO79" i="18" s="1"/>
  <c r="BG23" i="3"/>
  <c r="BS23" i="3"/>
  <c r="CE23" i="3"/>
  <c r="CQ23" i="3"/>
  <c r="BF74" i="3"/>
  <c r="BF120" i="18" s="1"/>
  <c r="BF119" i="18" s="1"/>
  <c r="BF36" i="3"/>
  <c r="BF79" i="18" s="1"/>
  <c r="CP74" i="3"/>
  <c r="CP120" i="18" s="1"/>
  <c r="CP119" i="18" s="1"/>
  <c r="CP36" i="3"/>
  <c r="CP79" i="18" s="1"/>
  <c r="AB104" i="3"/>
  <c r="AB66" i="3"/>
  <c r="AB111" i="18" s="1"/>
  <c r="AB60" i="3"/>
  <c r="BH67" i="3"/>
  <c r="BH71" i="3" s="1"/>
  <c r="BH61" i="3"/>
  <c r="M30" i="3"/>
  <c r="AK30" i="3"/>
  <c r="U104" i="3"/>
  <c r="U66" i="3"/>
  <c r="U111" i="18" s="1"/>
  <c r="U60" i="3"/>
  <c r="U39" i="3"/>
  <c r="BQ36" i="3"/>
  <c r="BQ79" i="18" s="1"/>
  <c r="I39" i="3"/>
  <c r="AQ39" i="3"/>
  <c r="AN44" i="3"/>
  <c r="CK67" i="3"/>
  <c r="BS68" i="3"/>
  <c r="BS72" i="3" s="1"/>
  <c r="AB98" i="3"/>
  <c r="AX98" i="3"/>
  <c r="BC68" i="3"/>
  <c r="BC72" i="3" s="1"/>
  <c r="BC62" i="3"/>
  <c r="BP62" i="3"/>
  <c r="BD68" i="3"/>
  <c r="BD72" i="3" s="1"/>
  <c r="CA74" i="3"/>
  <c r="CA120" i="18" s="1"/>
  <c r="CA119" i="18" s="1"/>
  <c r="CA36" i="3"/>
  <c r="CA79" i="18" s="1"/>
  <c r="M104" i="3"/>
  <c r="M39" i="3"/>
  <c r="G30" i="3"/>
  <c r="CE67" i="3"/>
  <c r="CE61" i="3"/>
  <c r="BL36" i="3"/>
  <c r="BL79" i="18" s="1"/>
  <c r="BE23" i="3"/>
  <c r="CN74" i="3"/>
  <c r="CN120" i="18" s="1"/>
  <c r="CN119" i="18" s="1"/>
  <c r="AL104" i="3"/>
  <c r="AL66" i="3"/>
  <c r="AL111" i="18" s="1"/>
  <c r="AL60" i="3"/>
  <c r="AL39" i="3"/>
  <c r="AL58" i="3"/>
  <c r="AL43" i="3"/>
  <c r="BH23" i="3"/>
  <c r="BT23" i="3"/>
  <c r="CF23" i="3"/>
  <c r="CR23" i="3"/>
  <c r="AC32" i="3"/>
  <c r="AC30" i="3"/>
  <c r="BI67" i="3"/>
  <c r="BI71" i="3" s="1"/>
  <c r="BI61" i="3"/>
  <c r="BU67" i="3"/>
  <c r="BU71" i="3" s="1"/>
  <c r="BU61" i="3"/>
  <c r="AL30" i="3"/>
  <c r="BL62" i="3"/>
  <c r="BL68" i="3"/>
  <c r="BL72" i="3" s="1"/>
  <c r="CC68" i="3"/>
  <c r="CC62" i="3"/>
  <c r="BR36" i="3"/>
  <c r="BR79" i="18" s="1"/>
  <c r="O44" i="3"/>
  <c r="AG58" i="3"/>
  <c r="BT61" i="3"/>
  <c r="E98" i="3"/>
  <c r="BX85" i="3"/>
  <c r="BX84" i="3" s="1"/>
  <c r="BX146" i="18" s="1"/>
  <c r="BX145" i="18" s="1"/>
  <c r="EK90" i="3"/>
  <c r="FG90" i="3" s="1"/>
  <c r="BH36" i="3"/>
  <c r="BH79" i="18" s="1"/>
  <c r="BH74" i="3"/>
  <c r="BH120" i="18" s="1"/>
  <c r="BH119" i="18" s="1"/>
  <c r="BT36" i="3"/>
  <c r="BT79" i="18" s="1"/>
  <c r="CF74" i="3"/>
  <c r="CF120" i="18" s="1"/>
  <c r="CR74" i="3"/>
  <c r="CR120" i="18" s="1"/>
  <c r="CR36" i="3"/>
  <c r="CR79" i="18" s="1"/>
  <c r="AP104" i="3"/>
  <c r="AP60" i="3"/>
  <c r="AP39" i="3"/>
  <c r="AP43" i="3"/>
  <c r="BV67" i="3"/>
  <c r="BV71" i="3" s="1"/>
  <c r="BV61" i="3"/>
  <c r="BM62" i="3"/>
  <c r="BM68" i="3"/>
  <c r="BM72" i="3" s="1"/>
  <c r="CD62" i="3"/>
  <c r="CD68" i="3"/>
  <c r="CP62" i="3"/>
  <c r="CP68" i="3"/>
  <c r="Y60" i="3"/>
  <c r="CQ62" i="3"/>
  <c r="BD67" i="3"/>
  <c r="BD71" i="3" s="1"/>
  <c r="CQ67" i="3"/>
  <c r="M58" i="3"/>
  <c r="Y58" i="3"/>
  <c r="AK58" i="3"/>
  <c r="AO79" i="3"/>
  <c r="CJ36" i="3"/>
  <c r="CJ79" i="18" s="1"/>
  <c r="BU68" i="3"/>
  <c r="BU72" i="3" s="1"/>
  <c r="BU62" i="3"/>
  <c r="BZ61" i="3"/>
  <c r="BZ67" i="3"/>
  <c r="BY62" i="3"/>
  <c r="BY68" i="3"/>
  <c r="BY72" i="3" s="1"/>
  <c r="CK62" i="3"/>
  <c r="CK68" i="3"/>
  <c r="AZ44" i="3"/>
  <c r="AB44" i="3"/>
  <c r="M79" i="3"/>
  <c r="AM98" i="3"/>
  <c r="BA74" i="3"/>
  <c r="BA120" i="18" s="1"/>
  <c r="BA119" i="18" s="1"/>
  <c r="BA36" i="3"/>
  <c r="BM74" i="3"/>
  <c r="BM120" i="18" s="1"/>
  <c r="BM119" i="18" s="1"/>
  <c r="BM36" i="3"/>
  <c r="BM79" i="18" s="1"/>
  <c r="BY36" i="3"/>
  <c r="BY79" i="18" s="1"/>
  <c r="BY74" i="3"/>
  <c r="BY120" i="18" s="1"/>
  <c r="BY119" i="18" s="1"/>
  <c r="CK36" i="3"/>
  <c r="CK79" i="18" s="1"/>
  <c r="BV68" i="3"/>
  <c r="BV72" i="3" s="1"/>
  <c r="BV62" i="3"/>
  <c r="BJ67" i="3"/>
  <c r="BJ71" i="3" s="1"/>
  <c r="BJ61" i="3"/>
  <c r="CA61" i="3"/>
  <c r="CA67" i="3"/>
  <c r="CM61" i="3"/>
  <c r="CM67" i="3"/>
  <c r="CL68" i="3"/>
  <c r="CL62" i="3"/>
  <c r="BI74" i="3"/>
  <c r="BI120" i="18" s="1"/>
  <c r="BI119" i="18" s="1"/>
  <c r="BB74" i="3"/>
  <c r="BB120" i="18" s="1"/>
  <c r="BB119" i="18" s="1"/>
  <c r="BB36" i="3"/>
  <c r="BB79" i="18" s="1"/>
  <c r="BN36" i="3"/>
  <c r="BN79" i="18" s="1"/>
  <c r="CL36" i="3"/>
  <c r="CL79" i="18" s="1"/>
  <c r="CN61" i="3"/>
  <c r="CN67" i="3"/>
  <c r="CA68" i="3"/>
  <c r="CA62" i="3"/>
  <c r="CM68" i="3"/>
  <c r="CM62" i="3"/>
  <c r="BX36" i="3"/>
  <c r="BX79" i="18" s="1"/>
  <c r="AB58" i="3"/>
  <c r="EG77" i="3"/>
  <c r="BK74" i="3"/>
  <c r="BK120" i="18" s="1"/>
  <c r="AP98" i="3"/>
  <c r="EJ86" i="3"/>
  <c r="EJ85" i="3" s="1"/>
  <c r="EJ84" i="3" s="1"/>
  <c r="BT85" i="3"/>
  <c r="BT84" i="3" s="1"/>
  <c r="BT146" i="18" s="1"/>
  <c r="CF85" i="3"/>
  <c r="CF84" i="3" s="1"/>
  <c r="CF146" i="18" s="1"/>
  <c r="EN86" i="3"/>
  <c r="CB62" i="3"/>
  <c r="CB68" i="3"/>
  <c r="CN62" i="3"/>
  <c r="CN68" i="3"/>
  <c r="E58" i="3"/>
  <c r="AO58" i="3"/>
  <c r="C98" i="3"/>
  <c r="I98" i="3"/>
  <c r="U98" i="3"/>
  <c r="BK62" i="3"/>
  <c r="BK68" i="3"/>
  <c r="BK72" i="3" s="1"/>
  <c r="CG67" i="3"/>
  <c r="CG61" i="3"/>
  <c r="CS67" i="3"/>
  <c r="CS61" i="3"/>
  <c r="U44" i="3"/>
  <c r="CH67" i="3"/>
  <c r="CH61" i="3"/>
  <c r="BG36" i="3"/>
  <c r="BG79" i="18" s="1"/>
  <c r="EG46" i="3"/>
  <c r="AF79" i="3"/>
  <c r="CJ62" i="3"/>
  <c r="CJ68" i="3"/>
  <c r="U79" i="3"/>
  <c r="AG79" i="3"/>
  <c r="EH77" i="3"/>
  <c r="BO74" i="3"/>
  <c r="BO120" i="18" s="1"/>
  <c r="BO119" i="18" s="1"/>
  <c r="Z98" i="3"/>
  <c r="AO98" i="3"/>
  <c r="EI86" i="3"/>
  <c r="EI85" i="3" s="1"/>
  <c r="EM86" i="3"/>
  <c r="EM85" i="3" s="1"/>
  <c r="EM84" i="3" s="1"/>
  <c r="EK92" i="3"/>
  <c r="EG90" i="3"/>
  <c r="BK85" i="3"/>
  <c r="BK84" i="3" s="1"/>
  <c r="BK146" i="18" s="1"/>
  <c r="CO61" i="3"/>
  <c r="BP74" i="3"/>
  <c r="BP120" i="18" s="1"/>
  <c r="BP119" i="18" s="1"/>
  <c r="ER85" i="3"/>
  <c r="ER84" i="3" s="1"/>
  <c r="BA85" i="3"/>
  <c r="BA84" i="3" s="1"/>
  <c r="BA146" i="18" s="1"/>
  <c r="BA145" i="18" s="1"/>
  <c r="EO90" i="3"/>
  <c r="FH90" i="3" s="1"/>
  <c r="CP61" i="3"/>
  <c r="BB85" i="3"/>
  <c r="BB84" i="3" s="1"/>
  <c r="BB146" i="18" s="1"/>
  <c r="BB145" i="18" s="1"/>
  <c r="Y98" i="3"/>
  <c r="M98" i="3"/>
  <c r="AN84" i="3"/>
  <c r="Z79" i="3"/>
  <c r="BM85" i="3"/>
  <c r="BM84" i="3" s="1"/>
  <c r="BM146" i="18" s="1"/>
  <c r="BM145" i="18" s="1"/>
  <c r="BY85" i="3"/>
  <c r="BY84" i="3" s="1"/>
  <c r="BY146" i="18" s="1"/>
  <c r="BY145" i="18" s="1"/>
  <c r="BZ85" i="3"/>
  <c r="BZ84" i="3" s="1"/>
  <c r="BZ146" i="18" s="1"/>
  <c r="EL86" i="3"/>
  <c r="EL85" i="3" s="1"/>
  <c r="EL84" i="3" s="1"/>
  <c r="CL85" i="3"/>
  <c r="CL84" i="3" s="1"/>
  <c r="CL146" i="18" s="1"/>
  <c r="AB79" i="3"/>
  <c r="EG92" i="3"/>
  <c r="EO92" i="3"/>
  <c r="FH92" i="3" s="1"/>
  <c r="EK86" i="3"/>
  <c r="EN92" i="3"/>
  <c r="CD18" i="1"/>
  <c r="DB18" i="1"/>
  <c r="BA18" i="1"/>
  <c r="BM18" i="1"/>
  <c r="BY18" i="1"/>
  <c r="CK18" i="1"/>
  <c r="CW18" i="1"/>
  <c r="DI18" i="1"/>
  <c r="DN18" i="1"/>
  <c r="BF18" i="1"/>
  <c r="BR18" i="1"/>
  <c r="CP18" i="1"/>
  <c r="BC18" i="1"/>
  <c r="BO18" i="1"/>
  <c r="CA18" i="1"/>
  <c r="CM18" i="1"/>
  <c r="CY18" i="1"/>
  <c r="DK18" i="1"/>
  <c r="EZ28" i="14" l="1"/>
  <c r="EZ29" i="14"/>
  <c r="DS7" i="14"/>
  <c r="DC175" i="18"/>
  <c r="ET177" i="18"/>
  <c r="DD190" i="18"/>
  <c r="DD570" i="2"/>
  <c r="DD590" i="2"/>
  <c r="CE161" i="13" s="1"/>
  <c r="DG457" i="2"/>
  <c r="CU285" i="2"/>
  <c r="DT288" i="2"/>
  <c r="EZ119" i="15"/>
  <c r="EQ61" i="3"/>
  <c r="EI61" i="3"/>
  <c r="EO61" i="3"/>
  <c r="EP61" i="3"/>
  <c r="EM61" i="3"/>
  <c r="FG33" i="3"/>
  <c r="EL61" i="3"/>
  <c r="DS49" i="18"/>
  <c r="DS9" i="14"/>
  <c r="DV44" i="18"/>
  <c r="DV344" i="2"/>
  <c r="DV28" i="14"/>
  <c r="DW15" i="14"/>
  <c r="DW13" i="18"/>
  <c r="DW44" i="18" s="1"/>
  <c r="DW81" i="18"/>
  <c r="DU342" i="2"/>
  <c r="DU347" i="2" s="1"/>
  <c r="DT148" i="18"/>
  <c r="DV345" i="2"/>
  <c r="DV29" i="14"/>
  <c r="DU367" i="2"/>
  <c r="DU45" i="14"/>
  <c r="EZ45" i="14" s="1"/>
  <c r="DT57" i="18"/>
  <c r="DS331" i="2"/>
  <c r="DT5" i="14"/>
  <c r="DT7" i="14" s="1"/>
  <c r="DT329" i="2"/>
  <c r="DU6" i="14"/>
  <c r="EZ6" i="14" s="1"/>
  <c r="EZ158" i="18"/>
  <c r="DU26" i="14"/>
  <c r="EZ26" i="14" s="1"/>
  <c r="CN65" i="18"/>
  <c r="CN65" i="15"/>
  <c r="CH65" i="18"/>
  <c r="CH65" i="15"/>
  <c r="CQ65" i="18"/>
  <c r="CQ65" i="15"/>
  <c r="CM65" i="18"/>
  <c r="CM65" i="15"/>
  <c r="BX65" i="18"/>
  <c r="BX65" i="15"/>
  <c r="CB65" i="18"/>
  <c r="CB65" i="15"/>
  <c r="CK65" i="18"/>
  <c r="CK65" i="15"/>
  <c r="CS65" i="18"/>
  <c r="CS65" i="15"/>
  <c r="CD65" i="18"/>
  <c r="CD65" i="15"/>
  <c r="CJ65" i="18"/>
  <c r="CJ65" i="15"/>
  <c r="CT65" i="18"/>
  <c r="CT65" i="15"/>
  <c r="CA65" i="18"/>
  <c r="CA65" i="15"/>
  <c r="BZ65" i="18"/>
  <c r="BZ65" i="15"/>
  <c r="CG65" i="18"/>
  <c r="CG65" i="15"/>
  <c r="CF36" i="18"/>
  <c r="EM36" i="18" s="1"/>
  <c r="CE65" i="18"/>
  <c r="CE65" i="15"/>
  <c r="BY65" i="18"/>
  <c r="BY65" i="15"/>
  <c r="CP65" i="18"/>
  <c r="CP65" i="15"/>
  <c r="CN109" i="12"/>
  <c r="DS109" i="12" s="1"/>
  <c r="CN138" i="11"/>
  <c r="DS138" i="11" s="1"/>
  <c r="EM21" i="15"/>
  <c r="EM34" i="15" s="1"/>
  <c r="CC34" i="15"/>
  <c r="CF34" i="15"/>
  <c r="BT73" i="15"/>
  <c r="EI73" i="15" s="1"/>
  <c r="EI38" i="15"/>
  <c r="BW73" i="15"/>
  <c r="BW92" i="15" s="1"/>
  <c r="BT36" i="15"/>
  <c r="BT121" i="15" s="1"/>
  <c r="EL21" i="15"/>
  <c r="EL34" i="15" s="1"/>
  <c r="BK3" i="18"/>
  <c r="EF3" i="18" s="1"/>
  <c r="CR48" i="18"/>
  <c r="EQ48" i="18" s="1"/>
  <c r="CR36" i="18"/>
  <c r="EQ36" i="18" s="1"/>
  <c r="EQ21" i="15"/>
  <c r="EQ34" i="15" s="1"/>
  <c r="CF3" i="18"/>
  <c r="EM3" i="18" s="1"/>
  <c r="FF3" i="18" s="1"/>
  <c r="BW36" i="18"/>
  <c r="EJ36" i="18" s="1"/>
  <c r="BZ34" i="15"/>
  <c r="CF73" i="15"/>
  <c r="CF92" i="15" s="1"/>
  <c r="EM38" i="15"/>
  <c r="CF36" i="15"/>
  <c r="DY526" i="2"/>
  <c r="DX513" i="2"/>
  <c r="BK48" i="18"/>
  <c r="EF48" i="18" s="1"/>
  <c r="DV312" i="2"/>
  <c r="DM147" i="7"/>
  <c r="DV119" i="15" s="1"/>
  <c r="BW48" i="18"/>
  <c r="EJ48" i="18" s="1"/>
  <c r="DU330" i="2"/>
  <c r="DU357" i="2"/>
  <c r="DU361" i="2"/>
  <c r="EX65" i="7"/>
  <c r="EX142" i="7"/>
  <c r="EX93" i="7"/>
  <c r="EX94" i="7" s="1"/>
  <c r="EX151" i="7"/>
  <c r="EX112" i="7"/>
  <c r="EX148" i="7"/>
  <c r="EX79" i="7"/>
  <c r="EX98" i="7"/>
  <c r="EX132" i="7"/>
  <c r="EX145" i="7"/>
  <c r="EX154" i="7"/>
  <c r="EX162" i="7"/>
  <c r="EV92" i="7"/>
  <c r="EV93" i="7" s="1"/>
  <c r="EV94" i="7" s="1"/>
  <c r="EV79" i="7"/>
  <c r="EV112" i="7"/>
  <c r="EV142" i="7"/>
  <c r="EV151" i="7"/>
  <c r="EV148" i="7"/>
  <c r="EV98" i="7"/>
  <c r="EV132" i="7"/>
  <c r="EV145" i="7"/>
  <c r="EV154" i="7"/>
  <c r="EV162" i="7"/>
  <c r="EW112" i="7"/>
  <c r="EW142" i="7"/>
  <c r="EW79" i="7"/>
  <c r="EW65" i="7"/>
  <c r="EW151" i="7"/>
  <c r="EW148" i="7"/>
  <c r="EW93" i="7"/>
  <c r="EW94" i="7" s="1"/>
  <c r="EW98" i="7"/>
  <c r="EW132" i="7"/>
  <c r="EW145" i="7"/>
  <c r="EW154" i="7"/>
  <c r="EW162" i="7"/>
  <c r="EQ147" i="7"/>
  <c r="DW343" i="2"/>
  <c r="DX27" i="14" s="1"/>
  <c r="FA27" i="14" s="1"/>
  <c r="DR3" i="14"/>
  <c r="EY3" i="14" s="1"/>
  <c r="FI3" i="14" s="1"/>
  <c r="DR327" i="2"/>
  <c r="DX10" i="14"/>
  <c r="FA10" i="14" s="1"/>
  <c r="DV333" i="2"/>
  <c r="BW34" i="15"/>
  <c r="EJ38" i="15"/>
  <c r="BW36" i="15"/>
  <c r="FE23" i="15"/>
  <c r="BQ36" i="18"/>
  <c r="EH36" i="18" s="1"/>
  <c r="BK36" i="18"/>
  <c r="EF36" i="18" s="1"/>
  <c r="BQ34" i="15"/>
  <c r="EF21" i="15"/>
  <c r="EF34" i="15" s="1"/>
  <c r="CC48" i="18"/>
  <c r="EL48" i="18" s="1"/>
  <c r="FE5" i="18"/>
  <c r="BQ3" i="18"/>
  <c r="EH3" i="18" s="1"/>
  <c r="BQ48" i="18"/>
  <c r="EH48" i="18" s="1"/>
  <c r="BT36" i="18"/>
  <c r="EI36" i="18" s="1"/>
  <c r="BT48" i="18"/>
  <c r="EI48" i="18" s="1"/>
  <c r="BQ73" i="15"/>
  <c r="BQ92" i="15" s="1"/>
  <c r="EI21" i="15"/>
  <c r="EI34" i="15" s="1"/>
  <c r="BQ36" i="15"/>
  <c r="BQ65" i="18" s="1"/>
  <c r="EH38" i="15"/>
  <c r="BZ48" i="18"/>
  <c r="EK48" i="18" s="1"/>
  <c r="CO48" i="18"/>
  <c r="EP48" i="18" s="1"/>
  <c r="AE81" i="2"/>
  <c r="AE84" i="2"/>
  <c r="R81" i="2"/>
  <c r="R84" i="2"/>
  <c r="AN81" i="2"/>
  <c r="AN84" i="2"/>
  <c r="AA81" i="2"/>
  <c r="AA84" i="2"/>
  <c r="N81" i="2"/>
  <c r="N84" i="2"/>
  <c r="AG81" i="2"/>
  <c r="AG84" i="2"/>
  <c r="L81" i="2"/>
  <c r="L84" i="2"/>
  <c r="AH81" i="2"/>
  <c r="AH84" i="2"/>
  <c r="AR81" i="2"/>
  <c r="AR84" i="2"/>
  <c r="V81" i="2"/>
  <c r="V84" i="2"/>
  <c r="S81" i="2"/>
  <c r="S84" i="2"/>
  <c r="AF81" i="2"/>
  <c r="AF84" i="2"/>
  <c r="G81" i="2"/>
  <c r="G84" i="2"/>
  <c r="AO81" i="2"/>
  <c r="AO84" i="2"/>
  <c r="P81" i="2"/>
  <c r="P84" i="2"/>
  <c r="C81" i="2"/>
  <c r="C84" i="2"/>
  <c r="AW81" i="2"/>
  <c r="AW84" i="2"/>
  <c r="I81" i="2"/>
  <c r="I84" i="2"/>
  <c r="AI81" i="2"/>
  <c r="AI84" i="2"/>
  <c r="J81" i="2"/>
  <c r="J84" i="2"/>
  <c r="AB81" i="2"/>
  <c r="AB84" i="2"/>
  <c r="U81" i="2"/>
  <c r="U84" i="2"/>
  <c r="T81" i="2"/>
  <c r="T84" i="2"/>
  <c r="AS81" i="2"/>
  <c r="AS84" i="2"/>
  <c r="AC81" i="2"/>
  <c r="AC84" i="2"/>
  <c r="D81" i="2"/>
  <c r="D84" i="2"/>
  <c r="AX81" i="2"/>
  <c r="AX84" i="2"/>
  <c r="AK81" i="2"/>
  <c r="AK84" i="2"/>
  <c r="AV81" i="2"/>
  <c r="AV84" i="2"/>
  <c r="W81" i="2"/>
  <c r="W84" i="2"/>
  <c r="H81" i="2"/>
  <c r="H84" i="2"/>
  <c r="AP81" i="2"/>
  <c r="AP84" i="2"/>
  <c r="Q81" i="2"/>
  <c r="Q84" i="2"/>
  <c r="AY81" i="2"/>
  <c r="AY84" i="2"/>
  <c r="AL81" i="2"/>
  <c r="AL84" i="2"/>
  <c r="Y81" i="2"/>
  <c r="Y84" i="2"/>
  <c r="AJ81" i="2"/>
  <c r="AJ84" i="2"/>
  <c r="K81" i="2"/>
  <c r="K84" i="2"/>
  <c r="F81" i="2"/>
  <c r="F84" i="2"/>
  <c r="O81" i="2"/>
  <c r="O84" i="2"/>
  <c r="B81" i="2"/>
  <c r="B84" i="2"/>
  <c r="AU81" i="2"/>
  <c r="AU84" i="2"/>
  <c r="AQ81" i="2"/>
  <c r="AQ84" i="2"/>
  <c r="AD81" i="2"/>
  <c r="AD84" i="2"/>
  <c r="E81" i="2"/>
  <c r="E84" i="2"/>
  <c r="AM81" i="2"/>
  <c r="AM84" i="2"/>
  <c r="Z81" i="2"/>
  <c r="Z84" i="2"/>
  <c r="M81" i="2"/>
  <c r="M84" i="2"/>
  <c r="X81" i="2"/>
  <c r="X84" i="2"/>
  <c r="AT81" i="2"/>
  <c r="AT84" i="2"/>
  <c r="FF3" i="15"/>
  <c r="EQ38" i="15"/>
  <c r="CR73" i="15"/>
  <c r="EQ73" i="15" s="1"/>
  <c r="CR36" i="15"/>
  <c r="EP21" i="15"/>
  <c r="EP34" i="15" s="1"/>
  <c r="CO34" i="15"/>
  <c r="EX113" i="18"/>
  <c r="EP38" i="15"/>
  <c r="CO73" i="15"/>
  <c r="CO92" i="15" s="1"/>
  <c r="CO36" i="15"/>
  <c r="CI3" i="18"/>
  <c r="EN3" i="18" s="1"/>
  <c r="AR92" i="2"/>
  <c r="AR76" i="2"/>
  <c r="S92" i="2"/>
  <c r="S76" i="2"/>
  <c r="F92" i="2"/>
  <c r="F76" i="2"/>
  <c r="AB74" i="2"/>
  <c r="AB76" i="2"/>
  <c r="O69" i="2"/>
  <c r="O76" i="2"/>
  <c r="B74" i="2"/>
  <c r="B76" i="2"/>
  <c r="U69" i="2"/>
  <c r="U76" i="2"/>
  <c r="AU92" i="2"/>
  <c r="AU76" i="2"/>
  <c r="V92" i="2"/>
  <c r="V76" i="2"/>
  <c r="AF69" i="2"/>
  <c r="AF76" i="2"/>
  <c r="G92" i="2"/>
  <c r="G76" i="2"/>
  <c r="AO92" i="2"/>
  <c r="AO76" i="2"/>
  <c r="P74" i="2"/>
  <c r="P76" i="2"/>
  <c r="C92" i="2"/>
  <c r="C76" i="2"/>
  <c r="AW92" i="2"/>
  <c r="AW76" i="2"/>
  <c r="I92" i="2"/>
  <c r="I76" i="2"/>
  <c r="T74" i="2"/>
  <c r="T76" i="2"/>
  <c r="AS74" i="2"/>
  <c r="AS76" i="2"/>
  <c r="AC92" i="2"/>
  <c r="AC76" i="2"/>
  <c r="D69" i="2"/>
  <c r="D76" i="2"/>
  <c r="AX74" i="2"/>
  <c r="AX76" i="2"/>
  <c r="AK92" i="2"/>
  <c r="AK76" i="2"/>
  <c r="AV92" i="2"/>
  <c r="AV76" i="2"/>
  <c r="W92" i="2"/>
  <c r="W76" i="2"/>
  <c r="AI92" i="2"/>
  <c r="AI76" i="2"/>
  <c r="J92" i="2"/>
  <c r="J76" i="2"/>
  <c r="H92" i="2"/>
  <c r="H76" i="2"/>
  <c r="AP92" i="2"/>
  <c r="AP76" i="2"/>
  <c r="Q92" i="2"/>
  <c r="Q76" i="2"/>
  <c r="AY74" i="2"/>
  <c r="AY76" i="2"/>
  <c r="AL69" i="2"/>
  <c r="AL76" i="2"/>
  <c r="Y92" i="2"/>
  <c r="Y76" i="2"/>
  <c r="AJ92" i="2"/>
  <c r="AJ76" i="2"/>
  <c r="K92" i="2"/>
  <c r="K76" i="2"/>
  <c r="AQ92" i="2"/>
  <c r="AQ76" i="2"/>
  <c r="AD92" i="2"/>
  <c r="AD76" i="2"/>
  <c r="E92" i="2"/>
  <c r="E76" i="2"/>
  <c r="AM74" i="2"/>
  <c r="AM76" i="2"/>
  <c r="Z92" i="2"/>
  <c r="Z76" i="2"/>
  <c r="M92" i="2"/>
  <c r="M76" i="2"/>
  <c r="X92" i="2"/>
  <c r="X76" i="2"/>
  <c r="AT92" i="2"/>
  <c r="AT76" i="2"/>
  <c r="AE92" i="2"/>
  <c r="AE76" i="2"/>
  <c r="R92" i="2"/>
  <c r="R76" i="2"/>
  <c r="AN74" i="2"/>
  <c r="AN76" i="2"/>
  <c r="AA92" i="2"/>
  <c r="AA76" i="2"/>
  <c r="N92" i="2"/>
  <c r="N76" i="2"/>
  <c r="AG69" i="2"/>
  <c r="AG76" i="2"/>
  <c r="L92" i="2"/>
  <c r="L76" i="2"/>
  <c r="AH92" i="2"/>
  <c r="AH76" i="2"/>
  <c r="EO42" i="18"/>
  <c r="EF42" i="18"/>
  <c r="EM42" i="18"/>
  <c r="EG42" i="18"/>
  <c r="EI42" i="18"/>
  <c r="CW785" i="2"/>
  <c r="BS42" i="18"/>
  <c r="BR785" i="2"/>
  <c r="CQ42" i="18"/>
  <c r="EP42" i="18" s="1"/>
  <c r="CP785" i="2"/>
  <c r="CB42" i="18"/>
  <c r="EK42" i="18" s="1"/>
  <c r="CA785" i="2"/>
  <c r="CJ42" i="18"/>
  <c r="CI785" i="2"/>
  <c r="CK42" i="18"/>
  <c r="CJ785" i="2"/>
  <c r="CS42" i="18"/>
  <c r="EQ42" i="18" s="1"/>
  <c r="CR785" i="2"/>
  <c r="CD42" i="18"/>
  <c r="CC785" i="2"/>
  <c r="CE42" i="18"/>
  <c r="CD785" i="2"/>
  <c r="BX42" i="18"/>
  <c r="EJ42" i="18" s="1"/>
  <c r="BW785" i="2"/>
  <c r="BA42" i="18"/>
  <c r="AZ785" i="2"/>
  <c r="BJ42" i="18"/>
  <c r="BI785" i="2"/>
  <c r="BR42" i="18"/>
  <c r="BQ785" i="2"/>
  <c r="BN67" i="15"/>
  <c r="EG67" i="15" s="1"/>
  <c r="BN36" i="15"/>
  <c r="BN73" i="15"/>
  <c r="EG21" i="15"/>
  <c r="BN34" i="15"/>
  <c r="BN36" i="18"/>
  <c r="BN48" i="18"/>
  <c r="EG48" i="18" s="1"/>
  <c r="CI73" i="15"/>
  <c r="CI36" i="15"/>
  <c r="CI65" i="15" s="1"/>
  <c r="CT32" i="3"/>
  <c r="CT30" i="3"/>
  <c r="DO43" i="14"/>
  <c r="DO50" i="14"/>
  <c r="DT141" i="13"/>
  <c r="DT142" i="13" s="1"/>
  <c r="CC142" i="13"/>
  <c r="CC158" i="13"/>
  <c r="CC156" i="13"/>
  <c r="DT144" i="13"/>
  <c r="BV118" i="11"/>
  <c r="DM118" i="11" s="1"/>
  <c r="DP34" i="14"/>
  <c r="DP42" i="14"/>
  <c r="DD162" i="18"/>
  <c r="DD99" i="15"/>
  <c r="DD108" i="15"/>
  <c r="CD144" i="13"/>
  <c r="BW88" i="12"/>
  <c r="EI156" i="7"/>
  <c r="CW137" i="15"/>
  <c r="EN38" i="15"/>
  <c r="CI67" i="15"/>
  <c r="EN67" i="15" s="1"/>
  <c r="D134" i="18"/>
  <c r="C775" i="2"/>
  <c r="E99" i="18"/>
  <c r="D775" i="2"/>
  <c r="G164" i="18"/>
  <c r="F775" i="2"/>
  <c r="I99" i="18"/>
  <c r="H775" i="2"/>
  <c r="EG36" i="18"/>
  <c r="BV113" i="11"/>
  <c r="CO3" i="18"/>
  <c r="EP3" i="18" s="1"/>
  <c r="BN3" i="18"/>
  <c r="EG3" i="18" s="1"/>
  <c r="EK36" i="18"/>
  <c r="DU81" i="13"/>
  <c r="EH81" i="13" s="1"/>
  <c r="FE16" i="18"/>
  <c r="FF55" i="18"/>
  <c r="FF190" i="18"/>
  <c r="EN48" i="18"/>
  <c r="EN36" i="18"/>
  <c r="EO36" i="18"/>
  <c r="EL36" i="18"/>
  <c r="EP36" i="18"/>
  <c r="EM48" i="18"/>
  <c r="EO48" i="18"/>
  <c r="EQ3" i="18"/>
  <c r="EP11" i="18"/>
  <c r="EH106" i="13"/>
  <c r="EH105" i="13"/>
  <c r="BK145" i="18"/>
  <c r="EF145" i="18" s="1"/>
  <c r="EF146" i="18"/>
  <c r="BZ145" i="18"/>
  <c r="EK145" i="18" s="1"/>
  <c r="EK146" i="18"/>
  <c r="CR78" i="18"/>
  <c r="CR245" i="18"/>
  <c r="BF78" i="18"/>
  <c r="BF245" i="18"/>
  <c r="BG78" i="18"/>
  <c r="BG245" i="18"/>
  <c r="BH78" i="18"/>
  <c r="BH245" i="18"/>
  <c r="BW78" i="18"/>
  <c r="BW245" i="18"/>
  <c r="EJ79" i="18"/>
  <c r="CC119" i="18"/>
  <c r="EL119" i="18" s="1"/>
  <c r="EL120" i="18"/>
  <c r="CQ78" i="18"/>
  <c r="CQ245" i="18"/>
  <c r="CD78" i="18"/>
  <c r="CD245" i="18"/>
  <c r="BV82" i="12"/>
  <c r="DM64" i="12"/>
  <c r="FF16" i="18"/>
  <c r="FF84" i="18"/>
  <c r="FF4" i="18"/>
  <c r="EO189" i="18"/>
  <c r="CL195" i="18"/>
  <c r="EM189" i="18"/>
  <c r="CF195" i="18"/>
  <c r="FG190" i="18"/>
  <c r="EQ11" i="18"/>
  <c r="EK189" i="18"/>
  <c r="BZ195" i="18"/>
  <c r="CP78" i="18"/>
  <c r="CP245" i="18"/>
  <c r="BO78" i="18"/>
  <c r="BO245" i="18"/>
  <c r="CF78" i="18"/>
  <c r="CF245" i="18"/>
  <c r="EM79" i="18"/>
  <c r="BP78" i="18"/>
  <c r="BP245" i="18"/>
  <c r="CM78" i="18"/>
  <c r="CM245" i="18"/>
  <c r="CG78" i="18"/>
  <c r="CG245" i="18"/>
  <c r="BU78" i="18"/>
  <c r="BU245" i="18"/>
  <c r="CI78" i="18"/>
  <c r="CI245" i="18"/>
  <c r="EN79" i="18"/>
  <c r="CA8" i="11"/>
  <c r="EX74" i="18"/>
  <c r="EF189" i="18"/>
  <c r="BK195" i="18"/>
  <c r="EN189" i="18"/>
  <c r="CI195" i="18"/>
  <c r="FF83" i="18"/>
  <c r="FE55" i="18"/>
  <c r="DU65" i="13"/>
  <c r="EH65" i="13" s="1"/>
  <c r="EQ189" i="18"/>
  <c r="CR195" i="18"/>
  <c r="DU67" i="13"/>
  <c r="EH67" i="13" s="1"/>
  <c r="FE15" i="18"/>
  <c r="BD78" i="18"/>
  <c r="BD245" i="18"/>
  <c r="EL11" i="18"/>
  <c r="FE54" i="18"/>
  <c r="EY7" i="14"/>
  <c r="EH11" i="18"/>
  <c r="FE11" i="18" s="1"/>
  <c r="CE77" i="13"/>
  <c r="DU83" i="13"/>
  <c r="EH83" i="13" s="1"/>
  <c r="EJ11" i="18"/>
  <c r="BK119" i="18"/>
  <c r="EF119" i="18" s="1"/>
  <c r="EF120" i="18"/>
  <c r="BE78" i="18"/>
  <c r="BE245" i="18"/>
  <c r="BI78" i="18"/>
  <c r="BI245" i="18"/>
  <c r="CH78" i="18"/>
  <c r="CH245" i="18"/>
  <c r="BQ145" i="18"/>
  <c r="EH145" i="18" s="1"/>
  <c r="EH146" i="18"/>
  <c r="BZ78" i="18"/>
  <c r="BZ245" i="18"/>
  <c r="EK79" i="18"/>
  <c r="EG189" i="18"/>
  <c r="BN195" i="18"/>
  <c r="EH189" i="18"/>
  <c r="BQ195" i="18"/>
  <c r="DU59" i="13"/>
  <c r="EH59" i="13" s="1"/>
  <c r="EJ189" i="18"/>
  <c r="BW195" i="18"/>
  <c r="FG55" i="18"/>
  <c r="FI7" i="14"/>
  <c r="EQ4" i="18"/>
  <c r="FG4" i="18" s="1"/>
  <c r="FF54" i="18"/>
  <c r="CL145" i="18"/>
  <c r="EO145" i="18" s="1"/>
  <c r="EO146" i="18"/>
  <c r="FG146" i="18" s="1"/>
  <c r="CL78" i="18"/>
  <c r="CL245" i="18"/>
  <c r="EO79" i="18"/>
  <c r="CR119" i="18"/>
  <c r="EQ119" i="18" s="1"/>
  <c r="EQ120" i="18"/>
  <c r="BW79" i="11"/>
  <c r="DP139" i="18"/>
  <c r="DN43" i="11"/>
  <c r="EA43" i="11" s="1"/>
  <c r="EN11" i="18"/>
  <c r="FG54" i="18"/>
  <c r="FE190" i="18"/>
  <c r="EP189" i="18"/>
  <c r="CO195" i="18"/>
  <c r="EL189" i="18"/>
  <c r="CC195" i="18"/>
  <c r="FG84" i="18"/>
  <c r="BJ78" i="18"/>
  <c r="BJ245" i="18"/>
  <c r="CB6" i="11"/>
  <c r="DV6" i="13"/>
  <c r="CA21" i="12"/>
  <c r="BX78" i="18"/>
  <c r="BX245" i="18"/>
  <c r="BN78" i="18"/>
  <c r="BN245" i="18"/>
  <c r="EG79" i="18"/>
  <c r="BY78" i="18"/>
  <c r="BY245" i="18"/>
  <c r="CF119" i="18"/>
  <c r="EM119" i="18" s="1"/>
  <c r="EM120" i="18"/>
  <c r="CA78" i="18"/>
  <c r="CA245" i="18"/>
  <c r="BQ78" i="18"/>
  <c r="BQ245" i="18"/>
  <c r="EH79" i="18"/>
  <c r="BQ119" i="18"/>
  <c r="EH119" i="18" s="1"/>
  <c r="EH120" i="18"/>
  <c r="CN78" i="18"/>
  <c r="CN245" i="18"/>
  <c r="CG32" i="13"/>
  <c r="CL3" i="18"/>
  <c r="EO3" i="18" s="1"/>
  <c r="EO5" i="18"/>
  <c r="FG5" i="18" s="1"/>
  <c r="BZ33" i="11"/>
  <c r="EI189" i="18"/>
  <c r="BT195" i="18"/>
  <c r="FG83" i="18"/>
  <c r="FE4" i="18"/>
  <c r="CE78" i="18"/>
  <c r="CE245" i="18"/>
  <c r="CB5" i="11"/>
  <c r="DV5" i="13"/>
  <c r="CK78" i="18"/>
  <c r="CK245" i="18"/>
  <c r="BW145" i="18"/>
  <c r="EJ145" i="18" s="1"/>
  <c r="EJ146" i="18"/>
  <c r="CB78" i="18"/>
  <c r="CB245" i="18"/>
  <c r="CC78" i="18"/>
  <c r="CC245" i="18"/>
  <c r="EL79" i="18"/>
  <c r="BC78" i="18"/>
  <c r="BC245" i="18"/>
  <c r="CF145" i="18"/>
  <c r="EM145" i="18" s="1"/>
  <c r="EM146" i="18"/>
  <c r="BB78" i="18"/>
  <c r="BB245" i="18"/>
  <c r="BM78" i="18"/>
  <c r="BM245" i="18"/>
  <c r="CJ78" i="18"/>
  <c r="CJ245" i="18"/>
  <c r="BT78" i="18"/>
  <c r="BT245" i="18"/>
  <c r="EI79" i="18"/>
  <c r="DU60" i="13"/>
  <c r="EH60" i="13" s="1"/>
  <c r="FF15" i="18"/>
  <c r="FG16" i="18"/>
  <c r="DU58" i="13"/>
  <c r="EH58" i="13" s="1"/>
  <c r="FE84" i="18"/>
  <c r="CG38" i="13"/>
  <c r="BT145" i="18"/>
  <c r="EI145" i="18" s="1"/>
  <c r="EI146" i="18"/>
  <c r="BR78" i="18"/>
  <c r="BR245" i="18"/>
  <c r="BL78" i="18"/>
  <c r="BL245" i="18"/>
  <c r="BK78" i="18"/>
  <c r="BK245" i="18"/>
  <c r="EF79" i="18"/>
  <c r="CO78" i="18"/>
  <c r="CO245" i="18"/>
  <c r="EP79" i="18"/>
  <c r="BV78" i="18"/>
  <c r="BV245" i="18"/>
  <c r="BS78" i="18"/>
  <c r="BS245" i="18"/>
  <c r="BN145" i="18"/>
  <c r="EG145" i="18" s="1"/>
  <c r="EG146" i="18"/>
  <c r="BU147" i="11"/>
  <c r="DU78" i="13"/>
  <c r="EH78" i="13" s="1"/>
  <c r="EK11" i="18"/>
  <c r="FG15" i="18"/>
  <c r="DT128" i="13"/>
  <c r="DN42" i="11"/>
  <c r="EA42" i="11" s="1"/>
  <c r="FE83" i="18"/>
  <c r="D164" i="18"/>
  <c r="E134" i="18"/>
  <c r="BN13" i="11"/>
  <c r="BN11" i="11" s="1"/>
  <c r="EJ34" i="15"/>
  <c r="EN34" i="15"/>
  <c r="DP169" i="18"/>
  <c r="E164" i="18"/>
  <c r="G99" i="18"/>
  <c r="EM67" i="15"/>
  <c r="EJ67" i="15"/>
  <c r="EI67" i="15"/>
  <c r="G134" i="18"/>
  <c r="EH67" i="15"/>
  <c r="EL67" i="15"/>
  <c r="AP64" i="3"/>
  <c r="AP102" i="18"/>
  <c r="D64" i="3"/>
  <c r="D102" i="18"/>
  <c r="D101" i="18" s="1"/>
  <c r="BL32" i="3"/>
  <c r="BL35" i="18"/>
  <c r="BL34" i="18" s="1"/>
  <c r="BL61" i="18" s="1"/>
  <c r="BL47" i="18"/>
  <c r="BL46" i="18" s="1"/>
  <c r="CL65" i="18"/>
  <c r="EO36" i="15"/>
  <c r="EK36" i="15"/>
  <c r="EF67" i="15"/>
  <c r="CN157" i="7"/>
  <c r="EI157" i="7" s="1"/>
  <c r="CT47" i="18"/>
  <c r="CT46" i="18" s="1"/>
  <c r="CT35" i="18"/>
  <c r="CT34" i="18" s="1"/>
  <c r="CT61" i="18" s="1"/>
  <c r="D209" i="18"/>
  <c r="D187" i="18"/>
  <c r="D70" i="18"/>
  <c r="D182" i="18"/>
  <c r="D192" i="18"/>
  <c r="M64" i="3"/>
  <c r="M102" i="18"/>
  <c r="BY32" i="3"/>
  <c r="BY47" i="18"/>
  <c r="BY46" i="18" s="1"/>
  <c r="BY35" i="18"/>
  <c r="BY34" i="18" s="1"/>
  <c r="BY61" i="18" s="1"/>
  <c r="AI66" i="3"/>
  <c r="AI64" i="18"/>
  <c r="AI63" i="18" s="1"/>
  <c r="AH775" i="2" s="1"/>
  <c r="AL79" i="3"/>
  <c r="AL120" i="18"/>
  <c r="AL119" i="18" s="1"/>
  <c r="M70" i="3"/>
  <c r="M111" i="18"/>
  <c r="BD32" i="3"/>
  <c r="BD35" i="18"/>
  <c r="BD34" i="18" s="1"/>
  <c r="BD61" i="18" s="1"/>
  <c r="BD47" i="18"/>
  <c r="BD46" i="18" s="1"/>
  <c r="CH35" i="18"/>
  <c r="CH34" i="18" s="1"/>
  <c r="CH61" i="18" s="1"/>
  <c r="CH47" i="18"/>
  <c r="CH46" i="18" s="1"/>
  <c r="D116" i="18"/>
  <c r="D117" i="18"/>
  <c r="CO32" i="3"/>
  <c r="CO47" i="18"/>
  <c r="CO35" i="18"/>
  <c r="C117" i="18"/>
  <c r="C116" i="18"/>
  <c r="E64" i="3"/>
  <c r="E102" i="18"/>
  <c r="E101" i="18" s="1"/>
  <c r="G64" i="3"/>
  <c r="G102" i="18"/>
  <c r="G101" i="18" s="1"/>
  <c r="CN32" i="3"/>
  <c r="CN47" i="18"/>
  <c r="CN46" i="18" s="1"/>
  <c r="CN35" i="18"/>
  <c r="CN34" i="18" s="1"/>
  <c r="CN61" i="18" s="1"/>
  <c r="K58" i="3"/>
  <c r="K64" i="18"/>
  <c r="AY43" i="3"/>
  <c r="AY64" i="18"/>
  <c r="AY72" i="18" s="1"/>
  <c r="AX64" i="3"/>
  <c r="AX102" i="18"/>
  <c r="H39" i="3"/>
  <c r="H64" i="18"/>
  <c r="AK64" i="3"/>
  <c r="AK102" i="18"/>
  <c r="BV30" i="3"/>
  <c r="BV35" i="18"/>
  <c r="BV34" i="18" s="1"/>
  <c r="BV61" i="18" s="1"/>
  <c r="BV47" i="18"/>
  <c r="BV46" i="18" s="1"/>
  <c r="CI32" i="3"/>
  <c r="CI35" i="18"/>
  <c r="CI47" i="18"/>
  <c r="DQ21" i="14"/>
  <c r="DQ104" i="18"/>
  <c r="ES90" i="3"/>
  <c r="CW155" i="18"/>
  <c r="ER155" i="18" s="1"/>
  <c r="CA37" i="11"/>
  <c r="CC92" i="15"/>
  <c r="EL73" i="15"/>
  <c r="BK92" i="15"/>
  <c r="EF73" i="15"/>
  <c r="I187" i="18"/>
  <c r="I209" i="18"/>
  <c r="I182" i="18"/>
  <c r="I192" i="18"/>
  <c r="BW95" i="11"/>
  <c r="BW86" i="11"/>
  <c r="CE62" i="13"/>
  <c r="BX45" i="11"/>
  <c r="CR32" i="3"/>
  <c r="CR58" i="3" s="1"/>
  <c r="CR35" i="18"/>
  <c r="CR47" i="18"/>
  <c r="AN64" i="3"/>
  <c r="AN102" i="18"/>
  <c r="C64" i="3"/>
  <c r="C102" i="18"/>
  <c r="C101" i="18" s="1"/>
  <c r="AS104" i="3"/>
  <c r="AS64" i="18"/>
  <c r="AS72" i="18" s="1"/>
  <c r="BW32" i="3"/>
  <c r="BW47" i="18"/>
  <c r="BW35" i="18"/>
  <c r="BI32" i="3"/>
  <c r="BI47" i="18"/>
  <c r="BI46" i="18" s="1"/>
  <c r="BI35" i="18"/>
  <c r="BI34" i="18" s="1"/>
  <c r="BI61" i="18" s="1"/>
  <c r="AU39" i="3"/>
  <c r="AU64" i="18"/>
  <c r="AU63" i="18" s="1"/>
  <c r="L58" i="3"/>
  <c r="L64" i="18"/>
  <c r="L63" i="18" s="1"/>
  <c r="K775" i="2" s="1"/>
  <c r="BJ30" i="3"/>
  <c r="BJ35" i="18"/>
  <c r="BJ34" i="18" s="1"/>
  <c r="BJ61" i="18" s="1"/>
  <c r="BJ47" i="18"/>
  <c r="BJ46" i="18" s="1"/>
  <c r="BK30" i="3"/>
  <c r="BK35" i="18"/>
  <c r="BK47" i="18"/>
  <c r="CA32" i="3"/>
  <c r="CA35" i="18"/>
  <c r="CA34" i="18" s="1"/>
  <c r="CA61" i="18" s="1"/>
  <c r="CA47" i="18"/>
  <c r="CA46" i="18" s="1"/>
  <c r="AN70" i="3"/>
  <c r="AN111" i="18"/>
  <c r="DR9" i="14"/>
  <c r="DR49" i="18"/>
  <c r="EY49" i="18" s="1"/>
  <c r="FI49" i="18" s="1"/>
  <c r="CC65" i="18"/>
  <c r="EL36" i="15"/>
  <c r="BK65" i="18"/>
  <c r="BK73" i="18" s="1"/>
  <c r="EF36" i="15"/>
  <c r="I134" i="18"/>
  <c r="AC58" i="3"/>
  <c r="AC64" i="18"/>
  <c r="E116" i="18"/>
  <c r="E117" i="18"/>
  <c r="BP30" i="3"/>
  <c r="BP47" i="18"/>
  <c r="BP46" i="18" s="1"/>
  <c r="BP35" i="18"/>
  <c r="BP34" i="18" s="1"/>
  <c r="BP61" i="18" s="1"/>
  <c r="CM32" i="3"/>
  <c r="CM47" i="18"/>
  <c r="CM46" i="18" s="1"/>
  <c r="CM35" i="18"/>
  <c r="CM34" i="18" s="1"/>
  <c r="CM61" i="18" s="1"/>
  <c r="CF32" i="3"/>
  <c r="CF47" i="18"/>
  <c r="CF35" i="18"/>
  <c r="AL98" i="3"/>
  <c r="AL146" i="18"/>
  <c r="AL145" i="18" s="1"/>
  <c r="CD32" i="3"/>
  <c r="CD47" i="18"/>
  <c r="CD46" i="18" s="1"/>
  <c r="CD35" i="18"/>
  <c r="CD34" i="18" s="1"/>
  <c r="CD61" i="18" s="1"/>
  <c r="BQ30" i="3"/>
  <c r="BQ47" i="18"/>
  <c r="BQ35" i="18"/>
  <c r="BC32" i="3"/>
  <c r="BC35" i="18"/>
  <c r="BC34" i="18" s="1"/>
  <c r="BC61" i="18" s="1"/>
  <c r="BC47" i="18"/>
  <c r="BC46" i="18" s="1"/>
  <c r="BY69" i="11"/>
  <c r="DN69" i="11" s="1"/>
  <c r="EA69" i="11" s="1"/>
  <c r="DC93" i="15"/>
  <c r="ET74" i="15"/>
  <c r="EQ67" i="15"/>
  <c r="CN158" i="7"/>
  <c r="EI158" i="7" s="1"/>
  <c r="BA30" i="3"/>
  <c r="BA47" i="18"/>
  <c r="BA46" i="18" s="1"/>
  <c r="BA35" i="18"/>
  <c r="BA34" i="18" s="1"/>
  <c r="BA61" i="18" s="1"/>
  <c r="G117" i="18"/>
  <c r="G116" i="18"/>
  <c r="AQ98" i="3"/>
  <c r="AQ146" i="18"/>
  <c r="AQ145" i="18" s="1"/>
  <c r="AV66" i="3"/>
  <c r="AV64" i="18"/>
  <c r="W39" i="3"/>
  <c r="W64" i="18"/>
  <c r="W63" i="18" s="1"/>
  <c r="V775" i="2" s="1"/>
  <c r="AL64" i="3"/>
  <c r="AL102" i="18"/>
  <c r="S98" i="3"/>
  <c r="S64" i="18"/>
  <c r="S63" i="18" s="1"/>
  <c r="R775" i="2" s="1"/>
  <c r="Z64" i="3"/>
  <c r="Z102" i="18"/>
  <c r="AA43" i="3"/>
  <c r="AA64" i="18"/>
  <c r="AA63" i="18" s="1"/>
  <c r="Z775" i="2" s="1"/>
  <c r="BU32" i="3"/>
  <c r="BU35" i="18"/>
  <c r="BU34" i="18" s="1"/>
  <c r="BU61" i="18" s="1"/>
  <c r="BU47" i="18"/>
  <c r="BU46" i="18" s="1"/>
  <c r="AP79" i="3"/>
  <c r="AP120" i="18"/>
  <c r="AP119" i="18" s="1"/>
  <c r="X39" i="3"/>
  <c r="X64" i="18"/>
  <c r="X63" i="18" s="1"/>
  <c r="W775" i="2" s="1"/>
  <c r="AM70" i="3"/>
  <c r="AM111" i="18"/>
  <c r="DQ6" i="18"/>
  <c r="DQ37" i="18"/>
  <c r="AX72" i="18"/>
  <c r="E209" i="18"/>
  <c r="E187" i="18"/>
  <c r="E70" i="18"/>
  <c r="E182" i="18"/>
  <c r="E192" i="18"/>
  <c r="BT32" i="3"/>
  <c r="BT35" i="18"/>
  <c r="BT47" i="18"/>
  <c r="CQ32" i="3"/>
  <c r="CQ35" i="18"/>
  <c r="CQ34" i="18" s="1"/>
  <c r="CQ61" i="18" s="1"/>
  <c r="CQ47" i="18"/>
  <c r="CQ46" i="18" s="1"/>
  <c r="AB64" i="3"/>
  <c r="AB102" i="18"/>
  <c r="CE32" i="3"/>
  <c r="CE47" i="18"/>
  <c r="CE46" i="18" s="1"/>
  <c r="CE35" i="18"/>
  <c r="CE34" i="18" s="1"/>
  <c r="CE61" i="18" s="1"/>
  <c r="I64" i="3"/>
  <c r="I102" i="18"/>
  <c r="I101" i="18" s="1"/>
  <c r="BZ32" i="3"/>
  <c r="BZ35" i="18"/>
  <c r="BZ47" i="18"/>
  <c r="AK98" i="3"/>
  <c r="AK146" i="18"/>
  <c r="AK145" i="18" s="1"/>
  <c r="F58" i="3"/>
  <c r="F64" i="18"/>
  <c r="AK79" i="3"/>
  <c r="AK120" i="18"/>
  <c r="AK119" i="18" s="1"/>
  <c r="R79" i="3"/>
  <c r="R64" i="18"/>
  <c r="R63" i="18" s="1"/>
  <c r="Q775" i="2" s="1"/>
  <c r="AJ39" i="3"/>
  <c r="AJ64" i="18"/>
  <c r="AJ63" i="18" s="1"/>
  <c r="AI775" i="2" s="1"/>
  <c r="CG30" i="3"/>
  <c r="CG47" i="18"/>
  <c r="CG46" i="18" s="1"/>
  <c r="CG35" i="18"/>
  <c r="CG34" i="18" s="1"/>
  <c r="CG61" i="18" s="1"/>
  <c r="AD58" i="3"/>
  <c r="AD64" i="18"/>
  <c r="J60" i="3"/>
  <c r="J64" i="18"/>
  <c r="CE80" i="13"/>
  <c r="CE76" i="13"/>
  <c r="BY65" i="11"/>
  <c r="BY96" i="11" s="1"/>
  <c r="BY70" i="11"/>
  <c r="DN70" i="11" s="1"/>
  <c r="EA70" i="11" s="1"/>
  <c r="BW128" i="11"/>
  <c r="BW99" i="12"/>
  <c r="DH19" i="15"/>
  <c r="DH28" i="15" s="1"/>
  <c r="CA24" i="11"/>
  <c r="BO32" i="3"/>
  <c r="BO47" i="18"/>
  <c r="BO46" i="18" s="1"/>
  <c r="BO35" i="18"/>
  <c r="BO34" i="18" s="1"/>
  <c r="BO61" i="18" s="1"/>
  <c r="AQ64" i="3"/>
  <c r="AQ102" i="18"/>
  <c r="U43" i="3"/>
  <c r="T64" i="18"/>
  <c r="T63" i="18" s="1"/>
  <c r="S775" i="2" s="1"/>
  <c r="AM64" i="3"/>
  <c r="AM102" i="18"/>
  <c r="AG64" i="3"/>
  <c r="AG102" i="18"/>
  <c r="AE98" i="3"/>
  <c r="AE64" i="18"/>
  <c r="AE63" i="18" s="1"/>
  <c r="AD775" i="2" s="1"/>
  <c r="AF64" i="3"/>
  <c r="AF102" i="18"/>
  <c r="AO64" i="3"/>
  <c r="AO102" i="18"/>
  <c r="CL30" i="3"/>
  <c r="CL35" i="18"/>
  <c r="CL47" i="18"/>
  <c r="AZ98" i="3"/>
  <c r="AZ64" i="18"/>
  <c r="AZ63" i="18" s="1"/>
  <c r="AY775" i="2" s="1"/>
  <c r="CK30" i="3"/>
  <c r="CK35" i="18"/>
  <c r="CK34" i="18" s="1"/>
  <c r="CK61" i="18" s="1"/>
  <c r="CK47" i="18"/>
  <c r="CK46" i="18" s="1"/>
  <c r="Y64" i="3"/>
  <c r="Y102" i="18"/>
  <c r="BH32" i="3"/>
  <c r="BH47" i="18"/>
  <c r="BH46" i="18" s="1"/>
  <c r="BH35" i="18"/>
  <c r="BH34" i="18" s="1"/>
  <c r="BH61" i="18" s="1"/>
  <c r="BE32" i="3"/>
  <c r="BE35" i="18"/>
  <c r="BE34" i="18" s="1"/>
  <c r="BE61" i="18" s="1"/>
  <c r="BE47" i="18"/>
  <c r="BE46" i="18" s="1"/>
  <c r="AN98" i="3"/>
  <c r="AN146" i="18"/>
  <c r="AN145" i="18" s="1"/>
  <c r="AN164" i="18" s="1"/>
  <c r="U64" i="3"/>
  <c r="U102" i="18"/>
  <c r="BS32" i="3"/>
  <c r="BS35" i="18"/>
  <c r="BS34" i="18" s="1"/>
  <c r="BS61" i="18" s="1"/>
  <c r="BS47" i="18"/>
  <c r="BS46" i="18" s="1"/>
  <c r="I117" i="18"/>
  <c r="I116" i="18"/>
  <c r="AT66" i="3"/>
  <c r="AT64" i="18"/>
  <c r="AN79" i="3"/>
  <c r="AN120" i="18"/>
  <c r="AN119" i="18" s="1"/>
  <c r="AN134" i="18" s="1"/>
  <c r="BN30" i="3"/>
  <c r="BN47" i="18"/>
  <c r="BN35" i="18"/>
  <c r="BX32" i="3"/>
  <c r="BX47" i="18"/>
  <c r="BX46" i="18" s="1"/>
  <c r="BX35" i="18"/>
  <c r="BX34" i="18" s="1"/>
  <c r="BX61" i="18" s="1"/>
  <c r="Q58" i="3"/>
  <c r="Q64" i="18"/>
  <c r="CS32" i="3"/>
  <c r="CS47" i="18"/>
  <c r="CS46" i="18" s="1"/>
  <c r="CS35" i="18"/>
  <c r="CS34" i="18" s="1"/>
  <c r="CS61" i="18" s="1"/>
  <c r="CP32" i="3"/>
  <c r="CP79" i="3" s="1"/>
  <c r="CP35" i="18"/>
  <c r="CP34" i="18" s="1"/>
  <c r="CP61" i="18" s="1"/>
  <c r="CP47" i="18"/>
  <c r="CP46" i="18" s="1"/>
  <c r="BR32" i="3"/>
  <c r="BR35" i="18"/>
  <c r="BR34" i="18" s="1"/>
  <c r="BR61" i="18" s="1"/>
  <c r="BR47" i="18"/>
  <c r="BR46" i="18" s="1"/>
  <c r="AH104" i="3"/>
  <c r="AH64" i="18"/>
  <c r="AH72" i="18" s="1"/>
  <c r="V39" i="3"/>
  <c r="V64" i="18"/>
  <c r="V72" i="18" s="1"/>
  <c r="DQ24" i="14"/>
  <c r="DQ113" i="18"/>
  <c r="DQ139" i="18" s="1"/>
  <c r="ES92" i="3"/>
  <c r="CW156" i="18"/>
  <c r="EK67" i="15"/>
  <c r="EO67" i="15"/>
  <c r="AN187" i="18"/>
  <c r="AN209" i="18"/>
  <c r="AN192" i="18"/>
  <c r="EP67" i="15"/>
  <c r="DE39" i="15"/>
  <c r="G187" i="18"/>
  <c r="G209" i="18"/>
  <c r="G182" i="18"/>
  <c r="G192" i="18"/>
  <c r="I164" i="18"/>
  <c r="D99" i="18"/>
  <c r="BA44" i="3"/>
  <c r="BA79" i="18"/>
  <c r="BG32" i="3"/>
  <c r="BG79" i="3" s="1"/>
  <c r="BG47" i="18"/>
  <c r="BG46" i="18" s="1"/>
  <c r="BG35" i="18"/>
  <c r="BG34" i="18" s="1"/>
  <c r="BG61" i="18" s="1"/>
  <c r="CT44" i="3"/>
  <c r="CS79" i="18"/>
  <c r="EQ79" i="18" s="1"/>
  <c r="N79" i="3"/>
  <c r="N64" i="18"/>
  <c r="N72" i="18" s="1"/>
  <c r="CC32" i="3"/>
  <c r="CC47" i="18"/>
  <c r="CC35" i="18"/>
  <c r="BB32" i="3"/>
  <c r="BB35" i="18"/>
  <c r="BB34" i="18" s="1"/>
  <c r="BB61" i="18" s="1"/>
  <c r="BB47" i="18"/>
  <c r="BB46" i="18" s="1"/>
  <c r="P104" i="3"/>
  <c r="P64" i="18"/>
  <c r="P72" i="18" s="1"/>
  <c r="BM32" i="3"/>
  <c r="BM47" i="18"/>
  <c r="BM46" i="18" s="1"/>
  <c r="BM35" i="18"/>
  <c r="BM34" i="18" s="1"/>
  <c r="BM61" i="18" s="1"/>
  <c r="BF32" i="3"/>
  <c r="BF79" i="3" s="1"/>
  <c r="BF35" i="18"/>
  <c r="BF34" i="18" s="1"/>
  <c r="BF61" i="18" s="1"/>
  <c r="BF47" i="18"/>
  <c r="BF46" i="18" s="1"/>
  <c r="CB32" i="3"/>
  <c r="CB35" i="18"/>
  <c r="CB34" i="18" s="1"/>
  <c r="CB61" i="18" s="1"/>
  <c r="CB47" i="18"/>
  <c r="CB46" i="18" s="1"/>
  <c r="CJ32" i="3"/>
  <c r="CJ58" i="3" s="1"/>
  <c r="CJ35" i="18"/>
  <c r="CJ34" i="18" s="1"/>
  <c r="CJ61" i="18" s="1"/>
  <c r="CJ47" i="18"/>
  <c r="CJ46" i="18" s="1"/>
  <c r="BP153" i="11"/>
  <c r="DK153" i="11" s="1"/>
  <c r="BP124" i="12"/>
  <c r="DK124" i="12" s="1"/>
  <c r="CL92" i="15"/>
  <c r="CL113" i="15" s="1"/>
  <c r="EO73" i="15"/>
  <c r="EK73" i="15"/>
  <c r="AN182" i="18"/>
  <c r="M73" i="18"/>
  <c r="M63" i="18"/>
  <c r="L775" i="2" s="1"/>
  <c r="AY73" i="18"/>
  <c r="BH73" i="18"/>
  <c r="AQ73" i="18"/>
  <c r="AQ63" i="18"/>
  <c r="AP775" i="2" s="1"/>
  <c r="Y73" i="18"/>
  <c r="Y63" i="18"/>
  <c r="X775" i="2" s="1"/>
  <c r="AI73" i="18"/>
  <c r="V73" i="18"/>
  <c r="BA73" i="18"/>
  <c r="BA63" i="18"/>
  <c r="AZ775" i="2" s="1"/>
  <c r="AO73" i="18"/>
  <c r="AO63" i="18"/>
  <c r="AN775" i="2" s="1"/>
  <c r="AD73" i="18"/>
  <c r="AZ73" i="18"/>
  <c r="W73" i="18"/>
  <c r="AG73" i="18"/>
  <c r="AG63" i="18"/>
  <c r="AF775" i="2" s="1"/>
  <c r="BG73" i="18"/>
  <c r="BF73" i="18"/>
  <c r="AC73" i="18"/>
  <c r="AB73" i="18"/>
  <c r="AB63" i="18"/>
  <c r="AA775" i="2" s="1"/>
  <c r="AV73" i="18"/>
  <c r="AW73" i="18"/>
  <c r="AW63" i="18"/>
  <c r="AV775" i="2" s="1"/>
  <c r="BJ73" i="18"/>
  <c r="BI73" i="18"/>
  <c r="AK73" i="18"/>
  <c r="AK63" i="18"/>
  <c r="AJ775" i="2" s="1"/>
  <c r="AR73" i="18"/>
  <c r="AR63" i="18"/>
  <c r="AQ775" i="2" s="1"/>
  <c r="L73" i="18"/>
  <c r="BP73" i="18"/>
  <c r="X73" i="18"/>
  <c r="BE73" i="18"/>
  <c r="AP73" i="18"/>
  <c r="AP63" i="18"/>
  <c r="AO775" i="2" s="1"/>
  <c r="BV73" i="18"/>
  <c r="AN99" i="18"/>
  <c r="AF73" i="18"/>
  <c r="AF63" i="18"/>
  <c r="AE775" i="2" s="1"/>
  <c r="Q73" i="18"/>
  <c r="AE73" i="18"/>
  <c r="AU73" i="18"/>
  <c r="AT73" i="18"/>
  <c r="U73" i="18"/>
  <c r="U63" i="18"/>
  <c r="T775" i="2" s="1"/>
  <c r="N73" i="18"/>
  <c r="BB73" i="18"/>
  <c r="AA73" i="18"/>
  <c r="Z73" i="18"/>
  <c r="Z63" i="18"/>
  <c r="Y775" i="2" s="1"/>
  <c r="AN73" i="18"/>
  <c r="AM73" i="18"/>
  <c r="AM63" i="18"/>
  <c r="AL775" i="2" s="1"/>
  <c r="BM73" i="18"/>
  <c r="AH73" i="18"/>
  <c r="AJ73" i="18"/>
  <c r="T73" i="18"/>
  <c r="AS73" i="18"/>
  <c r="P73" i="18"/>
  <c r="AL73" i="18"/>
  <c r="AL63" i="18"/>
  <c r="AK775" i="2" s="1"/>
  <c r="AX73" i="18"/>
  <c r="AX63" i="18"/>
  <c r="AW775" i="2" s="1"/>
  <c r="BS73" i="18"/>
  <c r="BD73" i="18"/>
  <c r="R73" i="18"/>
  <c r="S73" i="18"/>
  <c r="BC73" i="18"/>
  <c r="O73" i="18"/>
  <c r="O63" i="18"/>
  <c r="N775" i="2" s="1"/>
  <c r="O109" i="15"/>
  <c r="O139" i="15"/>
  <c r="O121" i="15"/>
  <c r="O127" i="15"/>
  <c r="N139" i="15"/>
  <c r="N121" i="15"/>
  <c r="N127" i="15"/>
  <c r="AB109" i="15"/>
  <c r="AB139" i="15"/>
  <c r="AB121" i="15"/>
  <c r="AB127" i="15"/>
  <c r="M109" i="15"/>
  <c r="M139" i="15"/>
  <c r="M121" i="15"/>
  <c r="M127" i="15"/>
  <c r="CN109" i="15"/>
  <c r="CN139" i="15"/>
  <c r="CN127" i="15"/>
  <c r="CN121" i="15"/>
  <c r="AH109" i="15"/>
  <c r="AH139" i="15"/>
  <c r="AH127" i="15"/>
  <c r="AH121" i="15"/>
  <c r="AJ139" i="15"/>
  <c r="AJ121" i="15"/>
  <c r="AJ127" i="15"/>
  <c r="T139" i="15"/>
  <c r="T127" i="15"/>
  <c r="T121" i="15"/>
  <c r="AS139" i="15"/>
  <c r="AS121" i="15"/>
  <c r="AS127" i="15"/>
  <c r="P109" i="15"/>
  <c r="P139" i="15"/>
  <c r="P121" i="15"/>
  <c r="P127" i="15"/>
  <c r="AL139" i="15"/>
  <c r="AL121" i="15"/>
  <c r="AL127" i="15"/>
  <c r="CE109" i="15"/>
  <c r="CE139" i="15"/>
  <c r="CE127" i="15"/>
  <c r="CE121" i="15"/>
  <c r="AX109" i="15"/>
  <c r="AX139" i="15"/>
  <c r="AX121" i="15"/>
  <c r="AX127" i="15"/>
  <c r="BR139" i="15"/>
  <c r="BR121" i="15"/>
  <c r="BR127" i="15"/>
  <c r="CH139" i="15"/>
  <c r="CH127" i="15"/>
  <c r="CH121" i="15"/>
  <c r="BD139" i="15"/>
  <c r="BD127" i="15"/>
  <c r="BD121" i="15"/>
  <c r="BX109" i="15"/>
  <c r="BX139" i="15"/>
  <c r="BX121" i="15"/>
  <c r="BX127" i="15"/>
  <c r="R139" i="15"/>
  <c r="R121" i="15"/>
  <c r="R127" i="15"/>
  <c r="S109" i="15"/>
  <c r="S139" i="15"/>
  <c r="S121" i="15"/>
  <c r="S127" i="15"/>
  <c r="BS109" i="15"/>
  <c r="BS139" i="15"/>
  <c r="BS127" i="15"/>
  <c r="BS121" i="15"/>
  <c r="BC109" i="15"/>
  <c r="BC139" i="15"/>
  <c r="BC121" i="15"/>
  <c r="BC127" i="15"/>
  <c r="BB109" i="15"/>
  <c r="BB139" i="15"/>
  <c r="BB121" i="15"/>
  <c r="BB127" i="15"/>
  <c r="AY109" i="15"/>
  <c r="AY139" i="15"/>
  <c r="AY121" i="15"/>
  <c r="AY127" i="15"/>
  <c r="W139" i="15"/>
  <c r="W127" i="15"/>
  <c r="W121" i="15"/>
  <c r="BO109" i="15"/>
  <c r="BO139" i="15"/>
  <c r="BO121" i="15"/>
  <c r="BO127" i="15"/>
  <c r="BJ109" i="15"/>
  <c r="BJ139" i="15"/>
  <c r="BJ121" i="15"/>
  <c r="BJ127" i="15"/>
  <c r="Z139" i="15"/>
  <c r="Z127" i="15"/>
  <c r="Z121" i="15"/>
  <c r="AG109" i="15"/>
  <c r="AG139" i="15"/>
  <c r="AG121" i="15"/>
  <c r="AG127" i="15"/>
  <c r="AC109" i="15"/>
  <c r="AC139" i="15"/>
  <c r="AC121" i="15"/>
  <c r="AC127" i="15"/>
  <c r="CL109" i="15"/>
  <c r="CL139" i="15"/>
  <c r="CL127" i="15"/>
  <c r="CL121" i="15"/>
  <c r="CM109" i="15"/>
  <c r="CM139" i="15"/>
  <c r="CM121" i="15"/>
  <c r="CM127" i="15"/>
  <c r="AV139" i="15"/>
  <c r="AV127" i="15"/>
  <c r="AV121" i="15"/>
  <c r="AF139" i="15"/>
  <c r="AF127" i="15"/>
  <c r="AF121" i="15"/>
  <c r="BY109" i="15"/>
  <c r="BY139" i="15"/>
  <c r="BY121" i="15"/>
  <c r="BY127" i="15"/>
  <c r="AW109" i="15"/>
  <c r="AW139" i="15"/>
  <c r="AW121" i="15"/>
  <c r="AW127" i="15"/>
  <c r="CK109" i="15"/>
  <c r="CK139" i="15"/>
  <c r="CK121" i="15"/>
  <c r="CK127" i="15"/>
  <c r="AT109" i="15"/>
  <c r="AT139" i="15"/>
  <c r="AT121" i="15"/>
  <c r="AT127" i="15"/>
  <c r="CQ109" i="15"/>
  <c r="CQ139" i="15"/>
  <c r="CQ127" i="15"/>
  <c r="CQ121" i="15"/>
  <c r="AM139" i="15"/>
  <c r="AM127" i="15"/>
  <c r="AM121" i="15"/>
  <c r="CD109" i="15"/>
  <c r="CD139" i="15"/>
  <c r="CD127" i="15"/>
  <c r="CD121" i="15"/>
  <c r="BI109" i="15"/>
  <c r="BI139" i="15"/>
  <c r="BI121" i="15"/>
  <c r="BI127" i="15"/>
  <c r="CJ109" i="15"/>
  <c r="CJ139" i="15"/>
  <c r="CJ121" i="15"/>
  <c r="CJ127" i="15"/>
  <c r="BU139" i="15"/>
  <c r="BU127" i="15"/>
  <c r="BU121" i="15"/>
  <c r="BF109" i="15"/>
  <c r="BF139" i="15"/>
  <c r="BF121" i="15"/>
  <c r="BF127" i="15"/>
  <c r="BH109" i="15"/>
  <c r="BH139" i="15"/>
  <c r="BH127" i="15"/>
  <c r="BH121" i="15"/>
  <c r="BG109" i="15"/>
  <c r="BG139" i="15"/>
  <c r="BG127" i="15"/>
  <c r="BG121" i="15"/>
  <c r="AQ109" i="15"/>
  <c r="AQ139" i="15"/>
  <c r="AQ121" i="15"/>
  <c r="AQ127" i="15"/>
  <c r="BM109" i="15"/>
  <c r="BM139" i="15"/>
  <c r="BM121" i="15"/>
  <c r="BM127" i="15"/>
  <c r="Y139" i="15"/>
  <c r="Y121" i="15"/>
  <c r="Y127" i="15"/>
  <c r="CT109" i="15"/>
  <c r="CT139" i="15"/>
  <c r="CT127" i="15"/>
  <c r="CT121" i="15"/>
  <c r="AI109" i="15"/>
  <c r="AI139" i="15"/>
  <c r="AI127" i="15"/>
  <c r="AI121" i="15"/>
  <c r="V139" i="15"/>
  <c r="V121" i="15"/>
  <c r="V127" i="15"/>
  <c r="AU109" i="15"/>
  <c r="AU139" i="15"/>
  <c r="AU127" i="15"/>
  <c r="AU121" i="15"/>
  <c r="CB109" i="15"/>
  <c r="CB139" i="15"/>
  <c r="CB127" i="15"/>
  <c r="CB121" i="15"/>
  <c r="BA139" i="15"/>
  <c r="BA121" i="15"/>
  <c r="BA127" i="15"/>
  <c r="CG109" i="15"/>
  <c r="CG139" i="15"/>
  <c r="CG127" i="15"/>
  <c r="CG121" i="15"/>
  <c r="AO109" i="15"/>
  <c r="AO139" i="15"/>
  <c r="AO121" i="15"/>
  <c r="AO127" i="15"/>
  <c r="AD109" i="15"/>
  <c r="AD139" i="15"/>
  <c r="AD127" i="15"/>
  <c r="AD121" i="15"/>
  <c r="AZ109" i="15"/>
  <c r="AZ139" i="15"/>
  <c r="AZ127" i="15"/>
  <c r="AZ121" i="15"/>
  <c r="AK109" i="15"/>
  <c r="AK139" i="15"/>
  <c r="AK121" i="15"/>
  <c r="AK127" i="15"/>
  <c r="AR109" i="15"/>
  <c r="AR139" i="15"/>
  <c r="AR127" i="15"/>
  <c r="AR121" i="15"/>
  <c r="BL139" i="15"/>
  <c r="BL127" i="15"/>
  <c r="BL121" i="15"/>
  <c r="BZ109" i="15"/>
  <c r="BZ139" i="15"/>
  <c r="BZ121" i="15"/>
  <c r="BZ127" i="15"/>
  <c r="CS109" i="15"/>
  <c r="CS139" i="15"/>
  <c r="CS127" i="15"/>
  <c r="CS121" i="15"/>
  <c r="CC109" i="15"/>
  <c r="CC139" i="15"/>
  <c r="CC121" i="15"/>
  <c r="CC127" i="15"/>
  <c r="L109" i="15"/>
  <c r="L139" i="15"/>
  <c r="L121" i="15"/>
  <c r="L127" i="15"/>
  <c r="BP109" i="15"/>
  <c r="BP139" i="15"/>
  <c r="BP127" i="15"/>
  <c r="BP121" i="15"/>
  <c r="CP109" i="15"/>
  <c r="CP139" i="15"/>
  <c r="CP121" i="15"/>
  <c r="CP127" i="15"/>
  <c r="X109" i="15"/>
  <c r="X139" i="15"/>
  <c r="X121" i="15"/>
  <c r="X127" i="15"/>
  <c r="BE109" i="15"/>
  <c r="BE139" i="15"/>
  <c r="BE127" i="15"/>
  <c r="BE121" i="15"/>
  <c r="AA109" i="15"/>
  <c r="AA139" i="15"/>
  <c r="AA121" i="15"/>
  <c r="AA127" i="15"/>
  <c r="AP109" i="15"/>
  <c r="AP139" i="15"/>
  <c r="AP121" i="15"/>
  <c r="AP127" i="15"/>
  <c r="BV109" i="15"/>
  <c r="BV139" i="15"/>
  <c r="BV121" i="15"/>
  <c r="BV127" i="15"/>
  <c r="AN109" i="15"/>
  <c r="AN139" i="15"/>
  <c r="AN121" i="15"/>
  <c r="AN127" i="15"/>
  <c r="CA109" i="15"/>
  <c r="CA139" i="15"/>
  <c r="CA121" i="15"/>
  <c r="CA127" i="15"/>
  <c r="BK109" i="15"/>
  <c r="BK139" i="15"/>
  <c r="BK121" i="15"/>
  <c r="BK127" i="15"/>
  <c r="U109" i="15"/>
  <c r="U139" i="15"/>
  <c r="U127" i="15"/>
  <c r="U121" i="15"/>
  <c r="Q109" i="15"/>
  <c r="Q139" i="15"/>
  <c r="Q121" i="15"/>
  <c r="Q127" i="15"/>
  <c r="AE109" i="15"/>
  <c r="AE139" i="15"/>
  <c r="AE121" i="15"/>
  <c r="AE127" i="15"/>
  <c r="BY25" i="12"/>
  <c r="DN25" i="12" s="1"/>
  <c r="EA25" i="12" s="1"/>
  <c r="BW64" i="12"/>
  <c r="CH17" i="13"/>
  <c r="DF33" i="15"/>
  <c r="DF39" i="15" s="1"/>
  <c r="BU19" i="2"/>
  <c r="AP42" i="15"/>
  <c r="U42" i="15"/>
  <c r="T109" i="15"/>
  <c r="O42" i="15"/>
  <c r="N109" i="15"/>
  <c r="R42" i="15"/>
  <c r="R109" i="15"/>
  <c r="X42" i="15"/>
  <c r="W109" i="15"/>
  <c r="AA42" i="15"/>
  <c r="Z109" i="15"/>
  <c r="CA42" i="15"/>
  <c r="Y42" i="15"/>
  <c r="Y109" i="15"/>
  <c r="AE42" i="15"/>
  <c r="V42" i="15"/>
  <c r="V109" i="15"/>
  <c r="AK42" i="15"/>
  <c r="AJ109" i="15"/>
  <c r="BD42" i="15"/>
  <c r="BD109" i="15"/>
  <c r="AS42" i="15"/>
  <c r="AS109" i="15"/>
  <c r="AM42" i="15"/>
  <c r="AL109" i="15"/>
  <c r="CH42" i="15"/>
  <c r="CH109" i="15"/>
  <c r="AV42" i="15"/>
  <c r="AV109" i="15"/>
  <c r="AF42" i="15"/>
  <c r="AF109" i="15"/>
  <c r="AN42" i="15"/>
  <c r="AM109" i="15"/>
  <c r="BU109" i="15"/>
  <c r="BR109" i="15"/>
  <c r="BA42" i="15"/>
  <c r="BA109" i="15"/>
  <c r="CC42" i="15"/>
  <c r="BL42" i="15"/>
  <c r="BL109" i="15"/>
  <c r="M42" i="15"/>
  <c r="AG42" i="15"/>
  <c r="CL42" i="15"/>
  <c r="CD42" i="15"/>
  <c r="CE42" i="15"/>
  <c r="DF446" i="2"/>
  <c r="CG58" i="13" s="1"/>
  <c r="AH42" i="15"/>
  <c r="AX42" i="15"/>
  <c r="BY42" i="15"/>
  <c r="BG42" i="15"/>
  <c r="P42" i="15"/>
  <c r="AL42" i="15"/>
  <c r="CM42" i="15"/>
  <c r="BZ42" i="15"/>
  <c r="AT42" i="15"/>
  <c r="Q42" i="15"/>
  <c r="S42" i="15"/>
  <c r="BB42" i="15"/>
  <c r="AI42" i="15"/>
  <c r="N42" i="15"/>
  <c r="AR42" i="15"/>
  <c r="BV42" i="15"/>
  <c r="AJ42" i="15"/>
  <c r="AB42" i="15"/>
  <c r="AB65" i="15"/>
  <c r="AB71" i="15"/>
  <c r="AB112" i="18" s="1"/>
  <c r="AB110" i="18" s="1"/>
  <c r="AB63" i="15"/>
  <c r="AB88" i="15"/>
  <c r="M71" i="15"/>
  <c r="M112" i="18" s="1"/>
  <c r="M65" i="15"/>
  <c r="M63" i="15"/>
  <c r="M88" i="15"/>
  <c r="CN42" i="15"/>
  <c r="CN71" i="15"/>
  <c r="CN112" i="18" s="1"/>
  <c r="CN88" i="15"/>
  <c r="CN63" i="15"/>
  <c r="BB71" i="15"/>
  <c r="BB112" i="18" s="1"/>
  <c r="BB65" i="15"/>
  <c r="BB88" i="15"/>
  <c r="BB63" i="15"/>
  <c r="AY42" i="15"/>
  <c r="AY65" i="15"/>
  <c r="AY71" i="15"/>
  <c r="AY112" i="18" s="1"/>
  <c r="AY88" i="15"/>
  <c r="AY63" i="15"/>
  <c r="W42" i="15"/>
  <c r="W71" i="15"/>
  <c r="W112" i="18" s="1"/>
  <c r="W65" i="15"/>
  <c r="W63" i="15"/>
  <c r="W88" i="15"/>
  <c r="BO65" i="15"/>
  <c r="BO71" i="15"/>
  <c r="BO112" i="18" s="1"/>
  <c r="BO88" i="15"/>
  <c r="BO63" i="15"/>
  <c r="BJ65" i="15"/>
  <c r="BJ71" i="15"/>
  <c r="BJ112" i="18" s="1"/>
  <c r="BJ88" i="15"/>
  <c r="BJ63" i="15"/>
  <c r="Z42" i="15"/>
  <c r="Z71" i="15"/>
  <c r="Z112" i="18" s="1"/>
  <c r="Z110" i="18" s="1"/>
  <c r="Z65" i="15"/>
  <c r="Z63" i="15"/>
  <c r="Z88" i="15"/>
  <c r="AG71" i="15"/>
  <c r="AG112" i="18" s="1"/>
  <c r="AG110" i="18" s="1"/>
  <c r="AG65" i="15"/>
  <c r="AG88" i="15"/>
  <c r="AG63" i="15"/>
  <c r="AC65" i="15"/>
  <c r="AC71" i="15"/>
  <c r="AC112" i="18" s="1"/>
  <c r="AC88" i="15"/>
  <c r="AC63" i="15"/>
  <c r="CL71" i="15"/>
  <c r="CL88" i="15"/>
  <c r="CL63" i="15"/>
  <c r="CM71" i="15"/>
  <c r="CM112" i="18" s="1"/>
  <c r="CM88" i="15"/>
  <c r="CM63" i="15"/>
  <c r="CQ42" i="15"/>
  <c r="CQ71" i="15"/>
  <c r="CQ112" i="18" s="1"/>
  <c r="CQ88" i="15"/>
  <c r="CQ63" i="15"/>
  <c r="AV71" i="15"/>
  <c r="AV112" i="18" s="1"/>
  <c r="AV65" i="15"/>
  <c r="AV88" i="15"/>
  <c r="AV63" i="15"/>
  <c r="AF65" i="15"/>
  <c r="AF71" i="15"/>
  <c r="AF112" i="18" s="1"/>
  <c r="AF110" i="18" s="1"/>
  <c r="AF88" i="15"/>
  <c r="AF63" i="15"/>
  <c r="BY71" i="15"/>
  <c r="BY112" i="18" s="1"/>
  <c r="BY88" i="15"/>
  <c r="BY63" i="15"/>
  <c r="AW42" i="15"/>
  <c r="AW71" i="15"/>
  <c r="AW112" i="18" s="1"/>
  <c r="AW65" i="15"/>
  <c r="AW88" i="15"/>
  <c r="AW63" i="15"/>
  <c r="CK71" i="15"/>
  <c r="CK112" i="18" s="1"/>
  <c r="CK88" i="15"/>
  <c r="CK63" i="15"/>
  <c r="AT65" i="15"/>
  <c r="AT71" i="15"/>
  <c r="AT112" i="18" s="1"/>
  <c r="AT88" i="15"/>
  <c r="AT63" i="15"/>
  <c r="AM71" i="15"/>
  <c r="AM112" i="18" s="1"/>
  <c r="AM65" i="15"/>
  <c r="AM88" i="15"/>
  <c r="AM63" i="15"/>
  <c r="CD71" i="15"/>
  <c r="CD112" i="18" s="1"/>
  <c r="CD88" i="15"/>
  <c r="CD63" i="15"/>
  <c r="BI71" i="15"/>
  <c r="BI112" i="18" s="1"/>
  <c r="BI65" i="15"/>
  <c r="BI88" i="15"/>
  <c r="BI63" i="15"/>
  <c r="CJ71" i="15"/>
  <c r="CJ112" i="18" s="1"/>
  <c r="CJ88" i="15"/>
  <c r="CJ63" i="15"/>
  <c r="BU71" i="15"/>
  <c r="BU112" i="18" s="1"/>
  <c r="BU65" i="15"/>
  <c r="BU88" i="15"/>
  <c r="BU63" i="15"/>
  <c r="BF42" i="15"/>
  <c r="BF71" i="15"/>
  <c r="BF112" i="18" s="1"/>
  <c r="BF65" i="15"/>
  <c r="BF88" i="15"/>
  <c r="BF63" i="15"/>
  <c r="BH71" i="15"/>
  <c r="BH112" i="18" s="1"/>
  <c r="BH65" i="15"/>
  <c r="BH88" i="15"/>
  <c r="BH63" i="15"/>
  <c r="BG71" i="15"/>
  <c r="BG112" i="18" s="1"/>
  <c r="BG65" i="15"/>
  <c r="BG88" i="15"/>
  <c r="BG63" i="15"/>
  <c r="AQ42" i="15"/>
  <c r="AQ65" i="15"/>
  <c r="AQ71" i="15"/>
  <c r="AQ112" i="18" s="1"/>
  <c r="AQ110" i="18" s="1"/>
  <c r="AQ88" i="15"/>
  <c r="AQ63" i="15"/>
  <c r="BM65" i="15"/>
  <c r="BM71" i="15"/>
  <c r="BM112" i="18" s="1"/>
  <c r="BM88" i="15"/>
  <c r="BM63" i="15"/>
  <c r="Y71" i="15"/>
  <c r="Y112" i="18" s="1"/>
  <c r="Y110" i="18" s="1"/>
  <c r="Y65" i="15"/>
  <c r="Y63" i="15"/>
  <c r="Y88" i="15"/>
  <c r="CT71" i="15"/>
  <c r="CT112" i="18" s="1"/>
  <c r="CT88" i="15"/>
  <c r="CT63" i="15"/>
  <c r="AI65" i="15"/>
  <c r="AI71" i="15"/>
  <c r="AI112" i="18" s="1"/>
  <c r="AI88" i="15"/>
  <c r="AI63" i="15"/>
  <c r="DD74" i="15"/>
  <c r="V71" i="15"/>
  <c r="V112" i="18" s="1"/>
  <c r="V65" i="15"/>
  <c r="V63" i="15"/>
  <c r="V88" i="15"/>
  <c r="AU42" i="15"/>
  <c r="AU65" i="15"/>
  <c r="AU71" i="15"/>
  <c r="AU112" i="18" s="1"/>
  <c r="AU88" i="15"/>
  <c r="AU63" i="15"/>
  <c r="CB42" i="15"/>
  <c r="CB71" i="15"/>
  <c r="CB112" i="18" s="1"/>
  <c r="CB88" i="15"/>
  <c r="CB63" i="15"/>
  <c r="BA65" i="15"/>
  <c r="BA71" i="15"/>
  <c r="BA112" i="18" s="1"/>
  <c r="BA88" i="15"/>
  <c r="BA63" i="15"/>
  <c r="CG71" i="15"/>
  <c r="CG112" i="18" s="1"/>
  <c r="CG88" i="15"/>
  <c r="CG63" i="15"/>
  <c r="AO42" i="15"/>
  <c r="AO71" i="15"/>
  <c r="AO112" i="18" s="1"/>
  <c r="AO110" i="18" s="1"/>
  <c r="AO65" i="15"/>
  <c r="AO88" i="15"/>
  <c r="AO63" i="15"/>
  <c r="AD42" i="15"/>
  <c r="AD65" i="15"/>
  <c r="AD71" i="15"/>
  <c r="AD112" i="18" s="1"/>
  <c r="AD88" i="15"/>
  <c r="AD63" i="15"/>
  <c r="AZ71" i="15"/>
  <c r="AZ112" i="18" s="1"/>
  <c r="AZ65" i="15"/>
  <c r="AZ88" i="15"/>
  <c r="AZ63" i="15"/>
  <c r="BP42" i="15"/>
  <c r="AK71" i="15"/>
  <c r="AK112" i="18" s="1"/>
  <c r="AK110" i="18" s="1"/>
  <c r="AK65" i="15"/>
  <c r="AK88" i="15"/>
  <c r="AK63" i="15"/>
  <c r="AR65" i="15"/>
  <c r="AR71" i="15"/>
  <c r="AR112" i="18" s="1"/>
  <c r="AR88" i="15"/>
  <c r="AR63" i="15"/>
  <c r="BL71" i="15"/>
  <c r="BL112" i="18" s="1"/>
  <c r="BL65" i="15"/>
  <c r="BL88" i="15"/>
  <c r="BL63" i="15"/>
  <c r="BZ71" i="15"/>
  <c r="BZ112" i="18" s="1"/>
  <c r="BZ88" i="15"/>
  <c r="BZ63" i="15"/>
  <c r="CS71" i="15"/>
  <c r="CS112" i="18" s="1"/>
  <c r="CS88" i="15"/>
  <c r="CS63" i="15"/>
  <c r="CC71" i="15"/>
  <c r="CC88" i="15"/>
  <c r="CC63" i="15"/>
  <c r="L42" i="15"/>
  <c r="L71" i="15"/>
  <c r="L112" i="18" s="1"/>
  <c r="L65" i="15"/>
  <c r="L63" i="15"/>
  <c r="L88" i="15"/>
  <c r="BP65" i="15"/>
  <c r="BP71" i="15"/>
  <c r="BP112" i="18" s="1"/>
  <c r="BP88" i="15"/>
  <c r="BP63" i="15"/>
  <c r="CP71" i="15"/>
  <c r="CP112" i="18" s="1"/>
  <c r="CP88" i="15"/>
  <c r="CP63" i="15"/>
  <c r="X71" i="15"/>
  <c r="X112" i="18" s="1"/>
  <c r="X65" i="15"/>
  <c r="X88" i="15"/>
  <c r="X63" i="15"/>
  <c r="BE42" i="15"/>
  <c r="BE71" i="15"/>
  <c r="BE112" i="18" s="1"/>
  <c r="BE65" i="15"/>
  <c r="BE88" i="15"/>
  <c r="BE63" i="15"/>
  <c r="BH42" i="15"/>
  <c r="BI42" i="15"/>
  <c r="AA71" i="15"/>
  <c r="AA112" i="18" s="1"/>
  <c r="AA65" i="15"/>
  <c r="AA63" i="15"/>
  <c r="AA88" i="15"/>
  <c r="AP71" i="15"/>
  <c r="AP112" i="18" s="1"/>
  <c r="AP110" i="18" s="1"/>
  <c r="AP65" i="15"/>
  <c r="AP88" i="15"/>
  <c r="AP63" i="15"/>
  <c r="BV71" i="15"/>
  <c r="BV112" i="18" s="1"/>
  <c r="BV65" i="15"/>
  <c r="BV88" i="15"/>
  <c r="BV63" i="15"/>
  <c r="AN71" i="15"/>
  <c r="AN112" i="18" s="1"/>
  <c r="AN65" i="15"/>
  <c r="AN88" i="15"/>
  <c r="AN63" i="15"/>
  <c r="CA71" i="15"/>
  <c r="CA112" i="18" s="1"/>
  <c r="CA88" i="15"/>
  <c r="CA63" i="15"/>
  <c r="BK42" i="15"/>
  <c r="BK65" i="15"/>
  <c r="BK71" i="15"/>
  <c r="BK88" i="15"/>
  <c r="BK63" i="15"/>
  <c r="AZ42" i="15"/>
  <c r="BJ42" i="15"/>
  <c r="U71" i="15"/>
  <c r="U112" i="18" s="1"/>
  <c r="U110" i="18" s="1"/>
  <c r="U65" i="15"/>
  <c r="U63" i="15"/>
  <c r="U88" i="15"/>
  <c r="Q65" i="15"/>
  <c r="Q71" i="15"/>
  <c r="Q112" i="18" s="1"/>
  <c r="Q63" i="15"/>
  <c r="Q88" i="15"/>
  <c r="AE65" i="15"/>
  <c r="AE71" i="15"/>
  <c r="AE112" i="18" s="1"/>
  <c r="AE88" i="15"/>
  <c r="AE63" i="15"/>
  <c r="AC42" i="15"/>
  <c r="BC42" i="15"/>
  <c r="BM42" i="15"/>
  <c r="AH65" i="15"/>
  <c r="AH71" i="15"/>
  <c r="AH112" i="18" s="1"/>
  <c r="AH88" i="15"/>
  <c r="AH63" i="15"/>
  <c r="AJ71" i="15"/>
  <c r="AJ112" i="18" s="1"/>
  <c r="AJ65" i="15"/>
  <c r="AJ88" i="15"/>
  <c r="AJ63" i="15"/>
  <c r="T42" i="15"/>
  <c r="T65" i="15"/>
  <c r="T71" i="15"/>
  <c r="T112" i="18" s="1"/>
  <c r="T63" i="15"/>
  <c r="T88" i="15"/>
  <c r="AS71" i="15"/>
  <c r="AS112" i="18" s="1"/>
  <c r="AS65" i="15"/>
  <c r="AS88" i="15"/>
  <c r="AS63" i="15"/>
  <c r="P65" i="15"/>
  <c r="P71" i="15"/>
  <c r="P112" i="18" s="1"/>
  <c r="P63" i="15"/>
  <c r="P88" i="15"/>
  <c r="AL65" i="15"/>
  <c r="AL71" i="15"/>
  <c r="AL112" i="18" s="1"/>
  <c r="AL110" i="18" s="1"/>
  <c r="AL88" i="15"/>
  <c r="AL63" i="15"/>
  <c r="CE71" i="15"/>
  <c r="CE112" i="18" s="1"/>
  <c r="CE88" i="15"/>
  <c r="CE63" i="15"/>
  <c r="AX65" i="15"/>
  <c r="AX71" i="15"/>
  <c r="AX112" i="18" s="1"/>
  <c r="AX110" i="18" s="1"/>
  <c r="AX88" i="15"/>
  <c r="AX63" i="15"/>
  <c r="BR71" i="15"/>
  <c r="BR112" i="18" s="1"/>
  <c r="BR65" i="15"/>
  <c r="BR88" i="15"/>
  <c r="BR63" i="15"/>
  <c r="CH71" i="15"/>
  <c r="CH112" i="18" s="1"/>
  <c r="CH88" i="15"/>
  <c r="CH63" i="15"/>
  <c r="CT42" i="15"/>
  <c r="CK42" i="15"/>
  <c r="BS42" i="15"/>
  <c r="N65" i="15"/>
  <c r="N71" i="15"/>
  <c r="N112" i="18" s="1"/>
  <c r="N88" i="15"/>
  <c r="N63" i="15"/>
  <c r="BD71" i="15"/>
  <c r="BD112" i="18" s="1"/>
  <c r="BD65" i="15"/>
  <c r="BD88" i="15"/>
  <c r="BD63" i="15"/>
  <c r="BX71" i="15"/>
  <c r="BX112" i="18" s="1"/>
  <c r="BX88" i="15"/>
  <c r="BX63" i="15"/>
  <c r="R65" i="15"/>
  <c r="R71" i="15"/>
  <c r="R112" i="18" s="1"/>
  <c r="R63" i="15"/>
  <c r="R88" i="15"/>
  <c r="S65" i="15"/>
  <c r="S71" i="15"/>
  <c r="S112" i="18" s="1"/>
  <c r="S63" i="15"/>
  <c r="S88" i="15"/>
  <c r="BS71" i="15"/>
  <c r="BS112" i="18" s="1"/>
  <c r="BS65" i="15"/>
  <c r="BS88" i="15"/>
  <c r="BS63" i="15"/>
  <c r="BC71" i="15"/>
  <c r="BC112" i="18" s="1"/>
  <c r="BC65" i="15"/>
  <c r="BC88" i="15"/>
  <c r="BC63" i="15"/>
  <c r="O65" i="15"/>
  <c r="O71" i="15"/>
  <c r="O112" i="18" s="1"/>
  <c r="O63" i="15"/>
  <c r="O88" i="15"/>
  <c r="CB168" i="13"/>
  <c r="CF125" i="13"/>
  <c r="CF131" i="13"/>
  <c r="CD127" i="13"/>
  <c r="CD121" i="13"/>
  <c r="DD547" i="2"/>
  <c r="CE137" i="13" s="1"/>
  <c r="DD548" i="2"/>
  <c r="CE138" i="13" s="1"/>
  <c r="DD496" i="2"/>
  <c r="CE110" i="13" s="1"/>
  <c r="DD501" i="2"/>
  <c r="DD499" i="2"/>
  <c r="DD500" i="2"/>
  <c r="CI51" i="13"/>
  <c r="DV51" i="13" s="1"/>
  <c r="DH495" i="2"/>
  <c r="CI109" i="13" s="1"/>
  <c r="DV109" i="13" s="1"/>
  <c r="CI108" i="13"/>
  <c r="DV108" i="13" s="1"/>
  <c r="CI26" i="13"/>
  <c r="DH404" i="2"/>
  <c r="CI22" i="13" s="1"/>
  <c r="DV22" i="13" s="1"/>
  <c r="CG54" i="13"/>
  <c r="O92" i="2"/>
  <c r="AU74" i="2"/>
  <c r="AU69" i="2"/>
  <c r="DE505" i="2"/>
  <c r="DE490" i="2"/>
  <c r="CE104" i="13"/>
  <c r="DD489" i="2"/>
  <c r="AH69" i="2"/>
  <c r="DF447" i="2"/>
  <c r="CG59" i="13" s="1"/>
  <c r="AB69" i="2"/>
  <c r="F74" i="2"/>
  <c r="DF448" i="2"/>
  <c r="CG60" i="13" s="1"/>
  <c r="B69" i="2"/>
  <c r="B92" i="2"/>
  <c r="DH405" i="2"/>
  <c r="DH429" i="2" s="1"/>
  <c r="N69" i="2"/>
  <c r="O74" i="2"/>
  <c r="DG474" i="2"/>
  <c r="DG512" i="2" s="1"/>
  <c r="CH71" i="13"/>
  <c r="DH434" i="2"/>
  <c r="CI50" i="13"/>
  <c r="DV50" i="13" s="1"/>
  <c r="CG69" i="13"/>
  <c r="CG86" i="13"/>
  <c r="CI11" i="13"/>
  <c r="DV11" i="13" s="1"/>
  <c r="CH43" i="13"/>
  <c r="DH420" i="2"/>
  <c r="CI36" i="13" s="1"/>
  <c r="DV36" i="13" s="1"/>
  <c r="DH426" i="2"/>
  <c r="AG92" i="2"/>
  <c r="L69" i="2"/>
  <c r="J74" i="2"/>
  <c r="H74" i="2"/>
  <c r="C74" i="2"/>
  <c r="L74" i="2"/>
  <c r="AT74" i="2"/>
  <c r="AD74" i="2"/>
  <c r="AD69" i="2"/>
  <c r="AO74" i="2"/>
  <c r="I74" i="2"/>
  <c r="P69" i="2"/>
  <c r="AF92" i="2"/>
  <c r="AI74" i="2"/>
  <c r="AF74" i="2"/>
  <c r="C69" i="2"/>
  <c r="AI69" i="2"/>
  <c r="G69" i="2"/>
  <c r="P92" i="2"/>
  <c r="R69" i="2"/>
  <c r="AH74" i="2"/>
  <c r="AO69" i="2"/>
  <c r="N74" i="2"/>
  <c r="I69" i="2"/>
  <c r="J69" i="2"/>
  <c r="AG74" i="2"/>
  <c r="AW74" i="2"/>
  <c r="AQ69" i="2"/>
  <c r="U74" i="2"/>
  <c r="AN69" i="2"/>
  <c r="AW69" i="2"/>
  <c r="G74" i="2"/>
  <c r="AA74" i="2"/>
  <c r="CT175" i="2"/>
  <c r="CT178" i="2"/>
  <c r="CL25" i="7" s="1"/>
  <c r="CT177" i="2"/>
  <c r="CL24" i="7" s="1"/>
  <c r="CT180" i="2"/>
  <c r="CL27" i="7" s="1"/>
  <c r="CU31" i="18" s="1"/>
  <c r="CT179" i="2"/>
  <c r="CL26" i="7" s="1"/>
  <c r="CT206" i="2"/>
  <c r="CT205" i="2" s="1"/>
  <c r="CL23" i="7"/>
  <c r="CL22" i="7" s="1"/>
  <c r="BN8" i="12"/>
  <c r="CL11" i="7"/>
  <c r="CM12" i="7"/>
  <c r="BO13" i="11" s="1"/>
  <c r="BO11" i="11" s="1"/>
  <c r="CU158" i="2"/>
  <c r="CU176" i="2"/>
  <c r="CX118" i="2"/>
  <c r="CW105" i="2"/>
  <c r="CX90" i="3" s="1"/>
  <c r="CX155" i="18" s="1"/>
  <c r="CW85" i="3"/>
  <c r="CW84" i="3" s="1"/>
  <c r="CW146" i="18" s="1"/>
  <c r="ER146" i="18" s="1"/>
  <c r="CX117" i="2"/>
  <c r="CW103" i="2"/>
  <c r="CX86" i="3" s="1"/>
  <c r="CX154" i="18" s="1"/>
  <c r="CX119" i="2"/>
  <c r="CW107" i="2"/>
  <c r="CX92" i="3" s="1"/>
  <c r="CX156" i="18" s="1"/>
  <c r="ES86" i="3"/>
  <c r="U92" i="2"/>
  <c r="F69" i="2"/>
  <c r="V74" i="2"/>
  <c r="AB92" i="2"/>
  <c r="AR69" i="2"/>
  <c r="V69" i="2"/>
  <c r="AR74" i="2"/>
  <c r="Z69" i="2"/>
  <c r="AT69" i="2"/>
  <c r="E74" i="2"/>
  <c r="E69" i="2"/>
  <c r="BW19" i="2"/>
  <c r="CO19" i="2"/>
  <c r="CI19" i="2"/>
  <c r="AP74" i="2"/>
  <c r="H69" i="2"/>
  <c r="AP69" i="2"/>
  <c r="AJ69" i="2"/>
  <c r="X74" i="2"/>
  <c r="X69" i="2"/>
  <c r="AQ74" i="2"/>
  <c r="R74" i="2"/>
  <c r="AY69" i="2"/>
  <c r="Y74" i="2"/>
  <c r="AE74" i="2"/>
  <c r="AY92" i="2"/>
  <c r="AL74" i="2"/>
  <c r="AM69" i="2"/>
  <c r="K74" i="2"/>
  <c r="AM92" i="2"/>
  <c r="CB19" i="2"/>
  <c r="AA69" i="2"/>
  <c r="M74" i="2"/>
  <c r="K69" i="2"/>
  <c r="S74" i="2"/>
  <c r="AN92" i="2"/>
  <c r="Z74" i="2"/>
  <c r="AL92" i="2"/>
  <c r="CF19" i="2"/>
  <c r="Y69" i="2"/>
  <c r="AE69" i="2"/>
  <c r="BT19" i="2"/>
  <c r="M69" i="2"/>
  <c r="Q74" i="2"/>
  <c r="S69" i="2"/>
  <c r="AC69" i="2"/>
  <c r="DR7" i="14"/>
  <c r="AJ74" i="2"/>
  <c r="CN46" i="2"/>
  <c r="CN71" i="2" s="1"/>
  <c r="CN67" i="2"/>
  <c r="BD46" i="2"/>
  <c r="BD71" i="2" s="1"/>
  <c r="BD67" i="2"/>
  <c r="BB46" i="2"/>
  <c r="BB71" i="2" s="1"/>
  <c r="BB67" i="2"/>
  <c r="BG46" i="2"/>
  <c r="BG71" i="2" s="1"/>
  <c r="BG67" i="2"/>
  <c r="BK46" i="2"/>
  <c r="BK71" i="2" s="1"/>
  <c r="BK67" i="2"/>
  <c r="T69" i="2"/>
  <c r="CB46" i="2"/>
  <c r="CB71" i="2" s="1"/>
  <c r="CB67" i="2"/>
  <c r="CR19" i="2"/>
  <c r="CM46" i="2"/>
  <c r="CM71" i="2" s="1"/>
  <c r="CM67" i="2"/>
  <c r="CI46" i="2"/>
  <c r="CI71" i="2" s="1"/>
  <c r="CI67" i="2"/>
  <c r="CD46" i="2"/>
  <c r="CD71" i="2" s="1"/>
  <c r="CD67" i="2"/>
  <c r="AZ46" i="2"/>
  <c r="AZ67" i="2"/>
  <c r="BY46" i="2"/>
  <c r="BY71" i="2" s="1"/>
  <c r="BY67" i="2"/>
  <c r="AV74" i="2"/>
  <c r="D92" i="2"/>
  <c r="CE46" i="2"/>
  <c r="CE71" i="2" s="1"/>
  <c r="CE67" i="2"/>
  <c r="BS46" i="2"/>
  <c r="BS71" i="2" s="1"/>
  <c r="BS67" i="2"/>
  <c r="CJ46" i="2"/>
  <c r="CJ71" i="2" s="1"/>
  <c r="CJ67" i="2"/>
  <c r="CH46" i="2"/>
  <c r="CH67" i="2"/>
  <c r="BF46" i="2"/>
  <c r="BF71" i="2" s="1"/>
  <c r="BF67" i="2"/>
  <c r="AV69" i="2"/>
  <c r="D74" i="2"/>
  <c r="CL46" i="2"/>
  <c r="CL71" i="2" s="1"/>
  <c r="CL67" i="2"/>
  <c r="BQ46" i="2"/>
  <c r="BQ71" i="2" s="1"/>
  <c r="BQ67" i="2"/>
  <c r="BV46" i="2"/>
  <c r="BV71" i="2" s="1"/>
  <c r="BV67" i="2"/>
  <c r="BE46" i="2"/>
  <c r="BE71" i="2" s="1"/>
  <c r="BE67" i="2"/>
  <c r="BM46" i="2"/>
  <c r="BM71" i="2" s="1"/>
  <c r="BM67" i="2"/>
  <c r="W74" i="2"/>
  <c r="CR46" i="2"/>
  <c r="CR71" i="2" s="1"/>
  <c r="CR67" i="2"/>
  <c r="BJ46" i="2"/>
  <c r="BJ71" i="2" s="1"/>
  <c r="BJ67" i="2"/>
  <c r="CC46" i="2"/>
  <c r="CC71" i="2" s="1"/>
  <c r="CC67" i="2"/>
  <c r="W69" i="2"/>
  <c r="BP46" i="2"/>
  <c r="BP71" i="2" s="1"/>
  <c r="BP67" i="2"/>
  <c r="CG46" i="2"/>
  <c r="CG71" i="2" s="1"/>
  <c r="CG67" i="2"/>
  <c r="BX46" i="2"/>
  <c r="BX71" i="2" s="1"/>
  <c r="BX67" i="2"/>
  <c r="BA46" i="2"/>
  <c r="BA71" i="2" s="1"/>
  <c r="BA67" i="2"/>
  <c r="AS92" i="2"/>
  <c r="CP46" i="2"/>
  <c r="CP71" i="2" s="1"/>
  <c r="CP67" i="2"/>
  <c r="CQ46" i="2"/>
  <c r="CQ71" i="2" s="1"/>
  <c r="CQ67" i="2"/>
  <c r="BL46" i="2"/>
  <c r="BL71" i="2" s="1"/>
  <c r="BL67" i="2"/>
  <c r="AS69" i="2"/>
  <c r="CO46" i="2"/>
  <c r="CO71" i="2" s="1"/>
  <c r="CO67" i="2"/>
  <c r="BZ46" i="2"/>
  <c r="BZ71" i="2" s="1"/>
  <c r="BZ67" i="2"/>
  <c r="BW46" i="2"/>
  <c r="BW71" i="2" s="1"/>
  <c r="BW67" i="2"/>
  <c r="CA46" i="2"/>
  <c r="CA71" i="2" s="1"/>
  <c r="CA67" i="2"/>
  <c r="CF46" i="2"/>
  <c r="CF71" i="2" s="1"/>
  <c r="CF67" i="2"/>
  <c r="CK46" i="2"/>
  <c r="CK71" i="2" s="1"/>
  <c r="CK67" i="2"/>
  <c r="AX69" i="2"/>
  <c r="AK74" i="2"/>
  <c r="AX92" i="2"/>
  <c r="T92" i="2"/>
  <c r="BU46" i="2"/>
  <c r="BU71" i="2" s="1"/>
  <c r="BU67" i="2"/>
  <c r="BO46" i="2"/>
  <c r="BO71" i="2" s="1"/>
  <c r="BO67" i="2"/>
  <c r="BT46" i="2"/>
  <c r="BT71" i="2" s="1"/>
  <c r="BT67" i="2"/>
  <c r="BR46" i="2"/>
  <c r="BR71" i="2" s="1"/>
  <c r="BR67" i="2"/>
  <c r="AK69" i="2"/>
  <c r="Q69" i="2"/>
  <c r="BI46" i="2"/>
  <c r="BI71" i="2" s="1"/>
  <c r="BI67" i="2"/>
  <c r="BC46" i="2"/>
  <c r="BC71" i="2" s="1"/>
  <c r="BC67" i="2"/>
  <c r="BH46" i="2"/>
  <c r="BH71" i="2" s="1"/>
  <c r="BH67" i="2"/>
  <c r="BN46" i="2"/>
  <c r="BN71" i="2" s="1"/>
  <c r="BN67" i="2"/>
  <c r="AC74" i="2"/>
  <c r="BJ19" i="2"/>
  <c r="DH376" i="2"/>
  <c r="CI7" i="13"/>
  <c r="BQ19" i="2"/>
  <c r="CL19" i="2"/>
  <c r="BO19" i="2"/>
  <c r="BM19" i="2"/>
  <c r="BS19" i="2"/>
  <c r="BX19" i="2"/>
  <c r="CJ19" i="2"/>
  <c r="BZ19" i="2"/>
  <c r="CD19" i="2"/>
  <c r="CP19" i="2"/>
  <c r="BY19" i="2"/>
  <c r="BV19" i="2"/>
  <c r="CN19" i="2"/>
  <c r="BP19" i="2"/>
  <c r="CM19" i="2"/>
  <c r="CC19" i="2"/>
  <c r="CA19" i="2"/>
  <c r="CE19" i="2"/>
  <c r="BK19" i="2"/>
  <c r="CK19" i="2"/>
  <c r="BL19" i="2"/>
  <c r="BN19" i="2"/>
  <c r="BR19" i="2"/>
  <c r="CQ19" i="2"/>
  <c r="DQ33" i="14"/>
  <c r="CG57" i="13"/>
  <c r="DF462" i="2"/>
  <c r="DE461" i="2"/>
  <c r="DE590" i="2" s="1"/>
  <c r="CF161" i="13" s="1"/>
  <c r="CF56" i="13"/>
  <c r="DU56" i="13" s="1"/>
  <c r="CF75" i="13"/>
  <c r="BX31" i="12"/>
  <c r="DF451" i="2"/>
  <c r="CG65" i="13"/>
  <c r="DF468" i="2"/>
  <c r="DF506" i="2" s="1"/>
  <c r="CI41" i="13"/>
  <c r="DV41" i="13" s="1"/>
  <c r="CI34" i="13"/>
  <c r="DV34" i="13" s="1"/>
  <c r="CI40" i="13"/>
  <c r="DV40" i="13" s="1"/>
  <c r="CF64" i="13"/>
  <c r="DU64" i="13" s="1"/>
  <c r="EH64" i="13" s="1"/>
  <c r="CF82" i="13"/>
  <c r="DU82" i="13" s="1"/>
  <c r="EH82" i="13" s="1"/>
  <c r="CI35" i="13"/>
  <c r="DV35" i="13" s="1"/>
  <c r="CG67" i="13"/>
  <c r="DF470" i="2"/>
  <c r="DF508" i="2" s="1"/>
  <c r="DF492" i="2" s="1"/>
  <c r="CG106" i="13" s="1"/>
  <c r="CG66" i="13"/>
  <c r="DF469" i="2"/>
  <c r="DF507" i="2" s="1"/>
  <c r="DF491" i="2" s="1"/>
  <c r="CG105" i="13" s="1"/>
  <c r="DI396" i="2"/>
  <c r="DG398" i="2"/>
  <c r="CH18" i="13"/>
  <c r="DG423" i="2"/>
  <c r="DG422" i="2" s="1"/>
  <c r="DG417" i="2"/>
  <c r="DG439" i="2" s="1"/>
  <c r="CJ4" i="13"/>
  <c r="CI27" i="13"/>
  <c r="DV27" i="13" s="1"/>
  <c r="CI13" i="13"/>
  <c r="DH407" i="2"/>
  <c r="DI395" i="2"/>
  <c r="CJ99" i="13"/>
  <c r="DJ479" i="2"/>
  <c r="DJ483" i="2" s="1"/>
  <c r="DI378" i="2"/>
  <c r="DI379" i="2"/>
  <c r="DI401" i="2" s="1"/>
  <c r="CJ20" i="13" s="1"/>
  <c r="CX318" i="2"/>
  <c r="CO156" i="7"/>
  <c r="CX137" i="15" s="1"/>
  <c r="EQ67" i="3"/>
  <c r="EQ71" i="3" s="1"/>
  <c r="EI36" i="3"/>
  <c r="EI44" i="3" s="1"/>
  <c r="EL36" i="3"/>
  <c r="EQ36" i="3"/>
  <c r="EP36" i="3"/>
  <c r="EL68" i="3"/>
  <c r="EL72" i="3" s="1"/>
  <c r="EJ36" i="3"/>
  <c r="EN36" i="3"/>
  <c r="EJ23" i="3"/>
  <c r="EJ32" i="3" s="1"/>
  <c r="EP67" i="3"/>
  <c r="EP71" i="3" s="1"/>
  <c r="FH7" i="3"/>
  <c r="EM36" i="3"/>
  <c r="EO23" i="3"/>
  <c r="EO30" i="3" s="1"/>
  <c r="FG109" i="3"/>
  <c r="EH23" i="3"/>
  <c r="EH30" i="3" s="1"/>
  <c r="FG46" i="3"/>
  <c r="EJ62" i="3"/>
  <c r="EJ68" i="3"/>
  <c r="EJ72" i="3" s="1"/>
  <c r="EP23" i="3"/>
  <c r="EP32" i="3" s="1"/>
  <c r="EP60" i="3" s="1"/>
  <c r="EP64" i="3" s="1"/>
  <c r="FG37" i="3"/>
  <c r="EJ18" i="3"/>
  <c r="FH85" i="3"/>
  <c r="FH84" i="3" s="1"/>
  <c r="FH37" i="3"/>
  <c r="FG92" i="3"/>
  <c r="FH109" i="3"/>
  <c r="FG86" i="3"/>
  <c r="V60" i="3"/>
  <c r="EK61" i="3"/>
  <c r="EK62" i="3"/>
  <c r="FG34" i="3"/>
  <c r="V104" i="3"/>
  <c r="V43" i="3"/>
  <c r="EO67" i="3"/>
  <c r="FG38" i="3"/>
  <c r="FH46" i="3"/>
  <c r="V58" i="3"/>
  <c r="EM68" i="3"/>
  <c r="EM72" i="3" s="1"/>
  <c r="EH36" i="3"/>
  <c r="EH44" i="3" s="1"/>
  <c r="EQ18" i="3"/>
  <c r="EP62" i="3"/>
  <c r="FH25" i="3"/>
  <c r="FH34" i="3" s="1"/>
  <c r="EM23" i="3"/>
  <c r="EM32" i="3" s="1"/>
  <c r="FH11" i="3"/>
  <c r="FG15" i="3"/>
  <c r="FG21" i="3" s="1"/>
  <c r="EN23" i="3"/>
  <c r="EN32" i="3" s="1"/>
  <c r="EQ23" i="3"/>
  <c r="EQ30" i="3" s="1"/>
  <c r="CI30" i="3"/>
  <c r="EO18" i="3"/>
  <c r="FH15" i="3"/>
  <c r="FH21" i="3" s="1"/>
  <c r="FH38" i="3"/>
  <c r="EO68" i="3"/>
  <c r="EL67" i="3"/>
  <c r="EL71" i="3" s="1"/>
  <c r="EK23" i="3"/>
  <c r="EK32" i="3" s="1"/>
  <c r="EK60" i="3" s="1"/>
  <c r="EK64" i="3" s="1"/>
  <c r="FG25" i="3"/>
  <c r="EI18" i="3"/>
  <c r="FG11" i="3"/>
  <c r="EL23" i="3"/>
  <c r="FG3" i="3"/>
  <c r="FG24" i="3"/>
  <c r="FG7" i="3"/>
  <c r="EO36" i="3"/>
  <c r="EK21" i="3"/>
  <c r="EK18" i="3"/>
  <c r="EG23" i="3"/>
  <c r="EG32" i="3" s="1"/>
  <c r="EG104" i="3" s="1"/>
  <c r="EI23" i="3"/>
  <c r="EM18" i="3"/>
  <c r="ER57" i="3"/>
  <c r="FH57" i="3" s="1"/>
  <c r="CT68" i="3"/>
  <c r="CT62" i="3"/>
  <c r="EP18" i="3"/>
  <c r="EH18" i="3"/>
  <c r="EK36" i="3"/>
  <c r="FH24" i="3"/>
  <c r="FH33" i="3" s="1"/>
  <c r="FH3" i="3"/>
  <c r="EL18" i="3"/>
  <c r="EN18" i="3"/>
  <c r="AJ98" i="3"/>
  <c r="CO95" i="2"/>
  <c r="CO98" i="2"/>
  <c r="BV95" i="2"/>
  <c r="BV98" i="2"/>
  <c r="BU95" i="2"/>
  <c r="BU98" i="2"/>
  <c r="BQ95" i="2"/>
  <c r="BQ98" i="2"/>
  <c r="BJ95" i="2"/>
  <c r="BJ98" i="2"/>
  <c r="BO95" i="2"/>
  <c r="BO98" i="2"/>
  <c r="BM95" i="2"/>
  <c r="BM98" i="2"/>
  <c r="CF95" i="2"/>
  <c r="CF98" i="2"/>
  <c r="CP95" i="2"/>
  <c r="CP98" i="2"/>
  <c r="CI95" i="2"/>
  <c r="CI98" i="2"/>
  <c r="CN95" i="2"/>
  <c r="CN98" i="2"/>
  <c r="CL95" i="2"/>
  <c r="CL98" i="2"/>
  <c r="CJ95" i="2"/>
  <c r="CJ98" i="2"/>
  <c r="BS95" i="2"/>
  <c r="BS98" i="2"/>
  <c r="BT95" i="2"/>
  <c r="BT98" i="2"/>
  <c r="CD95" i="2"/>
  <c r="CD98" i="2"/>
  <c r="BW95" i="2"/>
  <c r="BW98" i="2"/>
  <c r="CB95" i="2"/>
  <c r="CB98" i="2"/>
  <c r="BZ95" i="2"/>
  <c r="BZ98" i="2"/>
  <c r="BX95" i="2"/>
  <c r="BX98" i="2"/>
  <c r="CH95" i="2"/>
  <c r="CH98" i="2"/>
  <c r="CK95" i="2"/>
  <c r="CK98" i="2"/>
  <c r="BY95" i="2"/>
  <c r="BY98" i="2"/>
  <c r="CE95" i="2"/>
  <c r="CE98" i="2"/>
  <c r="CM95" i="2"/>
  <c r="CM98" i="2"/>
  <c r="CG95" i="2"/>
  <c r="CG98" i="2"/>
  <c r="CA95" i="2"/>
  <c r="CA98" i="2"/>
  <c r="CQ95" i="2"/>
  <c r="CQ98" i="2"/>
  <c r="BR95" i="2"/>
  <c r="BR98" i="2"/>
  <c r="BK95" i="2"/>
  <c r="BK98" i="2"/>
  <c r="BP95" i="2"/>
  <c r="BP98" i="2"/>
  <c r="BN95" i="2"/>
  <c r="BN98" i="2"/>
  <c r="BL95" i="2"/>
  <c r="BL98" i="2"/>
  <c r="CC95" i="2"/>
  <c r="CC98" i="2"/>
  <c r="BU78" i="2"/>
  <c r="BQ78" i="2"/>
  <c r="BJ78" i="2"/>
  <c r="BO78" i="2"/>
  <c r="BM78" i="2"/>
  <c r="CF78" i="2"/>
  <c r="CP78" i="2"/>
  <c r="CI78" i="2"/>
  <c r="CN78" i="2"/>
  <c r="CL78" i="2"/>
  <c r="CJ78" i="2"/>
  <c r="BT78" i="2"/>
  <c r="CD78" i="2"/>
  <c r="CB78" i="2"/>
  <c r="BZ78" i="2"/>
  <c r="CQ78" i="2"/>
  <c r="BR78" i="2"/>
  <c r="BK78" i="2"/>
  <c r="BP78" i="2"/>
  <c r="BN78" i="2"/>
  <c r="BL78" i="2"/>
  <c r="BW78" i="2"/>
  <c r="BX78" i="2"/>
  <c r="CE78" i="2"/>
  <c r="CO78" i="2"/>
  <c r="CH78" i="2"/>
  <c r="CM78" i="2"/>
  <c r="CK78" i="2"/>
  <c r="CG78" i="2"/>
  <c r="BS78" i="2"/>
  <c r="CC78" i="2"/>
  <c r="BV78" i="2"/>
  <c r="CA78" i="2"/>
  <c r="BY78" i="2"/>
  <c r="BR30" i="3"/>
  <c r="J66" i="3"/>
  <c r="AM81" i="3"/>
  <c r="J79" i="3"/>
  <c r="J104" i="3"/>
  <c r="J98" i="3"/>
  <c r="J39" i="3"/>
  <c r="J58" i="3"/>
  <c r="J43" i="3"/>
  <c r="V98" i="3"/>
  <c r="V66" i="3"/>
  <c r="V111" i="18" s="1"/>
  <c r="V79" i="3"/>
  <c r="EJ67" i="3"/>
  <c r="EJ71" i="3" s="1"/>
  <c r="EI84" i="3"/>
  <c r="EK67" i="3"/>
  <c r="EK71" i="3" s="1"/>
  <c r="CD44" i="3"/>
  <c r="CG32" i="3"/>
  <c r="BK32" i="3"/>
  <c r="BM30" i="3"/>
  <c r="CB30" i="3"/>
  <c r="CA30" i="3"/>
  <c r="BW30" i="3"/>
  <c r="AA60" i="3"/>
  <c r="BL30" i="3"/>
  <c r="BJ32" i="3"/>
  <c r="BC30" i="3"/>
  <c r="CP30" i="3"/>
  <c r="X79" i="3"/>
  <c r="BD30" i="3"/>
  <c r="AA79" i="3"/>
  <c r="X104" i="3"/>
  <c r="AU104" i="3"/>
  <c r="BF30" i="3"/>
  <c r="K98" i="3"/>
  <c r="CK32" i="3"/>
  <c r="Q39" i="3"/>
  <c r="Q60" i="3"/>
  <c r="AD79" i="3"/>
  <c r="AD60" i="3"/>
  <c r="AY79" i="3"/>
  <c r="BQ32" i="3"/>
  <c r="AD98" i="3"/>
  <c r="Q66" i="3"/>
  <c r="Q111" i="18" s="1"/>
  <c r="AN81" i="3"/>
  <c r="Y43" i="3"/>
  <c r="AD104" i="3"/>
  <c r="X98" i="3"/>
  <c r="AD66" i="3"/>
  <c r="BD44" i="3"/>
  <c r="CE44" i="3"/>
  <c r="AD39" i="3"/>
  <c r="Q104" i="3"/>
  <c r="X66" i="3"/>
  <c r="X111" i="18" s="1"/>
  <c r="X60" i="3"/>
  <c r="AJ104" i="3"/>
  <c r="BY30" i="3"/>
  <c r="L66" i="3"/>
  <c r="F66" i="3"/>
  <c r="F111" i="18" s="1"/>
  <c r="F110" i="18" s="1"/>
  <c r="F43" i="3"/>
  <c r="AH60" i="3"/>
  <c r="AJ60" i="3"/>
  <c r="EG36" i="3"/>
  <c r="AH98" i="3"/>
  <c r="CR44" i="3"/>
  <c r="AU79" i="3"/>
  <c r="CS30" i="3"/>
  <c r="AH79" i="3"/>
  <c r="CD30" i="3"/>
  <c r="AJ79" i="3"/>
  <c r="AJ58" i="3"/>
  <c r="BJ44" i="3"/>
  <c r="BV32" i="3"/>
  <c r="AU98" i="3"/>
  <c r="AH58" i="3"/>
  <c r="CN44" i="3"/>
  <c r="P98" i="3"/>
  <c r="CJ30" i="3"/>
  <c r="AH43" i="3"/>
  <c r="AH39" i="3"/>
  <c r="AK43" i="3"/>
  <c r="AH66" i="3"/>
  <c r="CP44" i="3"/>
  <c r="CF44" i="3"/>
  <c r="AJ66" i="3"/>
  <c r="AJ111" i="18" s="1"/>
  <c r="Q98" i="3"/>
  <c r="AJ43" i="3"/>
  <c r="F39" i="3"/>
  <c r="AI104" i="3"/>
  <c r="AV98" i="3"/>
  <c r="W58" i="3"/>
  <c r="L60" i="3"/>
  <c r="EI78" i="3"/>
  <c r="EI74" i="3" s="1"/>
  <c r="AS58" i="3"/>
  <c r="W43" i="3"/>
  <c r="W60" i="3"/>
  <c r="M43" i="3"/>
  <c r="R58" i="3"/>
  <c r="M81" i="3"/>
  <c r="F60" i="3"/>
  <c r="F98" i="3"/>
  <c r="Q79" i="3"/>
  <c r="L79" i="3"/>
  <c r="F79" i="3"/>
  <c r="P79" i="3"/>
  <c r="CL44" i="3"/>
  <c r="CL32" i="3"/>
  <c r="BE44" i="3"/>
  <c r="L98" i="3"/>
  <c r="P58" i="3"/>
  <c r="L39" i="3"/>
  <c r="AV58" i="3"/>
  <c r="X58" i="3"/>
  <c r="CC44" i="3"/>
  <c r="BT44" i="3"/>
  <c r="K104" i="3"/>
  <c r="CJ44" i="3"/>
  <c r="W104" i="3"/>
  <c r="AT58" i="3"/>
  <c r="F104" i="3"/>
  <c r="EI67" i="3"/>
  <c r="EI71" i="3" s="1"/>
  <c r="G43" i="3"/>
  <c r="BI30" i="3"/>
  <c r="W79" i="3"/>
  <c r="EN68" i="3"/>
  <c r="EN72" i="3" s="1"/>
  <c r="CB44" i="3"/>
  <c r="BZ30" i="3"/>
  <c r="AI79" i="3"/>
  <c r="BN32" i="3"/>
  <c r="CH44" i="3"/>
  <c r="K79" i="3"/>
  <c r="AS66" i="3"/>
  <c r="R66" i="3"/>
  <c r="R111" i="18" s="1"/>
  <c r="AZ58" i="3"/>
  <c r="AS98" i="3"/>
  <c r="R104" i="3"/>
  <c r="AI43" i="3"/>
  <c r="EG68" i="3"/>
  <c r="EG72" i="3" s="1"/>
  <c r="AA66" i="3"/>
  <c r="BB30" i="3"/>
  <c r="AI98" i="3"/>
  <c r="AE79" i="3"/>
  <c r="L43" i="3"/>
  <c r="BA43" i="3"/>
  <c r="AA98" i="3"/>
  <c r="AS79" i="3"/>
  <c r="AS43" i="3"/>
  <c r="AT104" i="3"/>
  <c r="AI39" i="3"/>
  <c r="AA104" i="3"/>
  <c r="L104" i="3"/>
  <c r="BV44" i="3"/>
  <c r="AF43" i="3"/>
  <c r="R98" i="3"/>
  <c r="CS44" i="3"/>
  <c r="BH44" i="3"/>
  <c r="X43" i="3"/>
  <c r="R60" i="3"/>
  <c r="EO85" i="3"/>
  <c r="EO84" i="3" s="1"/>
  <c r="AA39" i="3"/>
  <c r="AI60" i="3"/>
  <c r="AZ104" i="3"/>
  <c r="AA58" i="3"/>
  <c r="R39" i="3"/>
  <c r="W98" i="3"/>
  <c r="AI58" i="3"/>
  <c r="W66" i="3"/>
  <c r="CN30" i="3"/>
  <c r="BX30" i="3"/>
  <c r="BT30" i="3"/>
  <c r="CO44" i="3"/>
  <c r="EL78" i="3"/>
  <c r="EL74" i="3" s="1"/>
  <c r="AM79" i="3"/>
  <c r="P39" i="3"/>
  <c r="H60" i="3"/>
  <c r="AY60" i="3"/>
  <c r="BZ74" i="3"/>
  <c r="AE58" i="3"/>
  <c r="T98" i="3"/>
  <c r="BX44" i="3"/>
  <c r="N98" i="3"/>
  <c r="EG78" i="3"/>
  <c r="EG74" i="3" s="1"/>
  <c r="AU43" i="3"/>
  <c r="P60" i="3"/>
  <c r="H43" i="3"/>
  <c r="AY66" i="3"/>
  <c r="CF30" i="3"/>
  <c r="AU66" i="3"/>
  <c r="AZ43" i="3"/>
  <c r="T79" i="3"/>
  <c r="AC98" i="3"/>
  <c r="P66" i="3"/>
  <c r="BA58" i="3"/>
  <c r="H104" i="3"/>
  <c r="AY104" i="3"/>
  <c r="Q43" i="3"/>
  <c r="BA66" i="3"/>
  <c r="BA111" i="18" s="1"/>
  <c r="BH30" i="3"/>
  <c r="AU58" i="3"/>
  <c r="BO30" i="3"/>
  <c r="EQ68" i="3"/>
  <c r="EQ72" i="3" s="1"/>
  <c r="BL44" i="3"/>
  <c r="AT43" i="3"/>
  <c r="AT60" i="3"/>
  <c r="AT39" i="3"/>
  <c r="BA98" i="3"/>
  <c r="BA79" i="3"/>
  <c r="BP44" i="3"/>
  <c r="CO30" i="3"/>
  <c r="EG85" i="3"/>
  <c r="EG84" i="3" s="1"/>
  <c r="AZ79" i="3"/>
  <c r="AT98" i="3"/>
  <c r="EG18" i="3"/>
  <c r="EI68" i="3"/>
  <c r="EI72" i="3" s="1"/>
  <c r="AZ39" i="3"/>
  <c r="BA104" i="3"/>
  <c r="AV39" i="3"/>
  <c r="AU60" i="3"/>
  <c r="BP32" i="3"/>
  <c r="AS39" i="3"/>
  <c r="AS60" i="3"/>
  <c r="BA62" i="3"/>
  <c r="BA68" i="3"/>
  <c r="BA72" i="3" s="1"/>
  <c r="CI44" i="3"/>
  <c r="H79" i="3"/>
  <c r="AY98" i="3"/>
  <c r="AY39" i="3"/>
  <c r="BA60" i="3"/>
  <c r="AV43" i="3"/>
  <c r="AV104" i="3"/>
  <c r="CK44" i="3"/>
  <c r="H66" i="3"/>
  <c r="H111" i="18" s="1"/>
  <c r="H110" i="18" s="1"/>
  <c r="AZ60" i="3"/>
  <c r="AV60" i="3"/>
  <c r="K66" i="3"/>
  <c r="K111" i="18" s="1"/>
  <c r="K110" i="18" s="1"/>
  <c r="K39" i="3"/>
  <c r="K43" i="3"/>
  <c r="K60" i="3"/>
  <c r="AV79" i="3"/>
  <c r="AB43" i="3"/>
  <c r="AY58" i="3"/>
  <c r="BN44" i="3"/>
  <c r="P43" i="3"/>
  <c r="EN78" i="3"/>
  <c r="EN74" i="3" s="1"/>
  <c r="BG44" i="3"/>
  <c r="AT79" i="3"/>
  <c r="R43" i="3"/>
  <c r="CA44" i="3"/>
  <c r="AZ66" i="3"/>
  <c r="H58" i="3"/>
  <c r="BG30" i="3"/>
  <c r="CM30" i="3"/>
  <c r="I43" i="3"/>
  <c r="H98" i="3"/>
  <c r="BU30" i="3"/>
  <c r="CC30" i="3"/>
  <c r="AO81" i="3"/>
  <c r="AO137" i="18" s="1"/>
  <c r="AO70" i="3"/>
  <c r="EH67" i="3"/>
  <c r="EH71" i="3" s="1"/>
  <c r="BU44" i="3"/>
  <c r="BW44" i="3"/>
  <c r="AR43" i="3"/>
  <c r="AR39" i="3"/>
  <c r="AR66" i="3"/>
  <c r="AR111" i="18" s="1"/>
  <c r="AR60" i="3"/>
  <c r="AR104" i="3"/>
  <c r="O98" i="3"/>
  <c r="BN74" i="3"/>
  <c r="BN120" i="18" s="1"/>
  <c r="EH78" i="3"/>
  <c r="EH74" i="3" s="1"/>
  <c r="D81" i="3"/>
  <c r="D137" i="18" s="1"/>
  <c r="D136" i="18" s="1"/>
  <c r="D70" i="3"/>
  <c r="O58" i="3"/>
  <c r="AL81" i="3"/>
  <c r="AL137" i="18" s="1"/>
  <c r="AL70" i="3"/>
  <c r="AW104" i="3"/>
  <c r="AW66" i="3"/>
  <c r="AW111" i="18" s="1"/>
  <c r="AW60" i="3"/>
  <c r="AW39" i="3"/>
  <c r="AW43" i="3"/>
  <c r="S104" i="3"/>
  <c r="S66" i="3"/>
  <c r="S111" i="18" s="1"/>
  <c r="S60" i="3"/>
  <c r="S43" i="3"/>
  <c r="S39" i="3"/>
  <c r="S79" i="3"/>
  <c r="AD43" i="3"/>
  <c r="EG67" i="3"/>
  <c r="EG71" i="3" s="1"/>
  <c r="EG61" i="3"/>
  <c r="BK44" i="3"/>
  <c r="EH68" i="3"/>
  <c r="EH72" i="3" s="1"/>
  <c r="I70" i="3"/>
  <c r="I81" i="3"/>
  <c r="I137" i="18" s="1"/>
  <c r="I136" i="18" s="1"/>
  <c r="EN85" i="3"/>
  <c r="EN84" i="3" s="1"/>
  <c r="AW58" i="3"/>
  <c r="AR58" i="3"/>
  <c r="AR79" i="3"/>
  <c r="CQ30" i="3"/>
  <c r="S58" i="3"/>
  <c r="BZ44" i="3"/>
  <c r="BY44" i="3"/>
  <c r="CR30" i="3"/>
  <c r="AP81" i="3"/>
  <c r="AP137" i="18" s="1"/>
  <c r="AP70" i="3"/>
  <c r="AK81" i="3"/>
  <c r="AK137" i="18" s="1"/>
  <c r="AK70" i="3"/>
  <c r="CG44" i="3"/>
  <c r="BS30" i="3"/>
  <c r="AF70" i="3"/>
  <c r="AF81" i="3"/>
  <c r="AF137" i="18" s="1"/>
  <c r="EP78" i="3"/>
  <c r="EP74" i="3" s="1"/>
  <c r="CL74" i="3"/>
  <c r="CL120" i="18" s="1"/>
  <c r="EM67" i="3"/>
  <c r="EM71" i="3" s="1"/>
  <c r="BI44" i="3"/>
  <c r="N104" i="3"/>
  <c r="N58" i="3"/>
  <c r="N39" i="3"/>
  <c r="N66" i="3"/>
  <c r="N111" i="18" s="1"/>
  <c r="N43" i="3"/>
  <c r="N60" i="3"/>
  <c r="E81" i="3"/>
  <c r="E137" i="18" s="1"/>
  <c r="E136" i="18" s="1"/>
  <c r="E70" i="3"/>
  <c r="AC104" i="3"/>
  <c r="AC60" i="3"/>
  <c r="AC39" i="3"/>
  <c r="AC66" i="3"/>
  <c r="AC111" i="18" s="1"/>
  <c r="AC43" i="3"/>
  <c r="Z81" i="3"/>
  <c r="Z137" i="18" s="1"/>
  <c r="Z70" i="3"/>
  <c r="AQ81" i="3"/>
  <c r="AQ137" i="18" s="1"/>
  <c r="AQ70" i="3"/>
  <c r="BT74" i="3"/>
  <c r="EJ78" i="3"/>
  <c r="EJ74" i="3" s="1"/>
  <c r="U70" i="3"/>
  <c r="U81" i="3"/>
  <c r="U137" i="18" s="1"/>
  <c r="EO78" i="3"/>
  <c r="EO74" i="3" s="1"/>
  <c r="CI74" i="3"/>
  <c r="EK78" i="3"/>
  <c r="EK74" i="3" s="1"/>
  <c r="BW74" i="3"/>
  <c r="C81" i="3"/>
  <c r="C137" i="18" s="1"/>
  <c r="C136" i="18" s="1"/>
  <c r="C70" i="3"/>
  <c r="BC44" i="3"/>
  <c r="BB44" i="3"/>
  <c r="BR44" i="3"/>
  <c r="BS44" i="3"/>
  <c r="BQ44" i="3"/>
  <c r="BO44" i="3"/>
  <c r="CH32" i="3"/>
  <c r="CH30" i="3"/>
  <c r="EK85" i="3"/>
  <c r="EK84" i="3" s="1"/>
  <c r="Y70" i="3"/>
  <c r="Y81" i="3"/>
  <c r="Y137" i="18" s="1"/>
  <c r="AC79" i="3"/>
  <c r="EQ78" i="3"/>
  <c r="EQ74" i="3" s="1"/>
  <c r="CO74" i="3"/>
  <c r="O79" i="3"/>
  <c r="AW98" i="3"/>
  <c r="AW79" i="3"/>
  <c r="BM44" i="3"/>
  <c r="BF44" i="3"/>
  <c r="AX70" i="3"/>
  <c r="AX81" i="3"/>
  <c r="AX137" i="18" s="1"/>
  <c r="T104" i="3"/>
  <c r="T66" i="3"/>
  <c r="T111" i="18" s="1"/>
  <c r="T60" i="3"/>
  <c r="T43" i="3"/>
  <c r="T39" i="3"/>
  <c r="T58" i="3"/>
  <c r="AG70" i="3"/>
  <c r="AG81" i="3"/>
  <c r="AG137" i="18" s="1"/>
  <c r="BA39" i="3"/>
  <c r="AE104" i="3"/>
  <c r="AE66" i="3"/>
  <c r="AE111" i="18" s="1"/>
  <c r="AE60" i="3"/>
  <c r="AE39" i="3"/>
  <c r="AE43" i="3"/>
  <c r="BE30" i="3"/>
  <c r="O104" i="3"/>
  <c r="O66" i="3"/>
  <c r="O111" i="18" s="1"/>
  <c r="O39" i="3"/>
  <c r="O60" i="3"/>
  <c r="O43" i="3"/>
  <c r="EN67" i="3"/>
  <c r="EN71" i="3" s="1"/>
  <c r="AR98" i="3"/>
  <c r="AB81" i="3"/>
  <c r="AB137" i="18" s="1"/>
  <c r="AB70" i="3"/>
  <c r="AX43" i="3"/>
  <c r="CE30" i="3"/>
  <c r="CM44" i="3"/>
  <c r="CQ44" i="3"/>
  <c r="G81" i="3"/>
  <c r="G137" i="18" s="1"/>
  <c r="G136" i="18" s="1"/>
  <c r="G70" i="3"/>
  <c r="CH71" i="2" l="1"/>
  <c r="DV158" i="18"/>
  <c r="DV160" i="18"/>
  <c r="EZ43" i="14"/>
  <c r="DS14" i="14"/>
  <c r="DS66" i="18"/>
  <c r="FA15" i="14"/>
  <c r="EM73" i="15"/>
  <c r="BT92" i="15"/>
  <c r="ET175" i="18"/>
  <c r="DC190" i="18"/>
  <c r="DD189" i="18"/>
  <c r="DU161" i="13"/>
  <c r="EH161" i="13" s="1"/>
  <c r="BX108" i="12"/>
  <c r="DE120" i="15"/>
  <c r="BX137" i="11"/>
  <c r="DF120" i="15"/>
  <c r="DF117" i="15" s="1"/>
  <c r="DF177" i="18" s="1"/>
  <c r="BY108" i="12"/>
  <c r="BY107" i="12" s="1"/>
  <c r="BY137" i="11"/>
  <c r="BY136" i="11" s="1"/>
  <c r="CA73" i="18"/>
  <c r="DH48" i="15"/>
  <c r="DU288" i="2"/>
  <c r="CV285" i="2"/>
  <c r="DS18" i="14"/>
  <c r="DS37" i="14"/>
  <c r="DS11" i="14"/>
  <c r="DS48" i="14"/>
  <c r="DS23" i="14"/>
  <c r="CH73" i="18"/>
  <c r="FH61" i="3"/>
  <c r="EN61" i="3"/>
  <c r="CK73" i="18"/>
  <c r="DS20" i="14"/>
  <c r="BZ73" i="18"/>
  <c r="DS31" i="14"/>
  <c r="DV342" i="2"/>
  <c r="DV347" i="2" s="1"/>
  <c r="DS40" i="14"/>
  <c r="FE38" i="15"/>
  <c r="CN73" i="18"/>
  <c r="EO65" i="18"/>
  <c r="CQ73" i="18"/>
  <c r="BY73" i="18"/>
  <c r="CT73" i="18"/>
  <c r="DU57" i="18"/>
  <c r="EZ57" i="18" s="1"/>
  <c r="DT331" i="2"/>
  <c r="DU5" i="14"/>
  <c r="CE73" i="18"/>
  <c r="DT9" i="14"/>
  <c r="DT49" i="18"/>
  <c r="CR92" i="15"/>
  <c r="CR113" i="15" s="1"/>
  <c r="DU329" i="2"/>
  <c r="DV6" i="14"/>
  <c r="DV367" i="2"/>
  <c r="DV45" i="14"/>
  <c r="DS21" i="14"/>
  <c r="DX15" i="14"/>
  <c r="DX81" i="18"/>
  <c r="FA81" i="18" s="1"/>
  <c r="DX13" i="18"/>
  <c r="EK65" i="18"/>
  <c r="DU148" i="18"/>
  <c r="EZ148" i="18" s="1"/>
  <c r="DW345" i="2"/>
  <c r="DW29" i="14"/>
  <c r="DW160" i="18" s="1"/>
  <c r="DV26" i="14"/>
  <c r="DS327" i="2"/>
  <c r="DS3" i="14"/>
  <c r="DW344" i="2"/>
  <c r="DW28" i="14"/>
  <c r="DW158" i="18" s="1"/>
  <c r="CR65" i="18"/>
  <c r="EQ65" i="18" s="1"/>
  <c r="CR65" i="15"/>
  <c r="CR103" i="18" s="1"/>
  <c r="CB73" i="18"/>
  <c r="BW139" i="15"/>
  <c r="BW65" i="15"/>
  <c r="BW103" i="18" s="1"/>
  <c r="CD73" i="18"/>
  <c r="EM36" i="15"/>
  <c r="EM42" i="15" s="1"/>
  <c r="CF65" i="15"/>
  <c r="CF69" i="15" s="1"/>
  <c r="CO65" i="18"/>
  <c r="CO73" i="18" s="1"/>
  <c r="CO65" i="15"/>
  <c r="CO103" i="18" s="1"/>
  <c r="CO109" i="12"/>
  <c r="CO138" i="11"/>
  <c r="FF38" i="15"/>
  <c r="BT127" i="15"/>
  <c r="BT139" i="15"/>
  <c r="BT71" i="15"/>
  <c r="BT90" i="15" s="1"/>
  <c r="BT42" i="15"/>
  <c r="BT109" i="15"/>
  <c r="FF21" i="15"/>
  <c r="FF34" i="15" s="1"/>
  <c r="EJ73" i="15"/>
  <c r="FF73" i="15" s="1"/>
  <c r="BU42" i="15"/>
  <c r="BT63" i="15"/>
  <c r="BT65" i="18"/>
  <c r="BU73" i="18" s="1"/>
  <c r="BT88" i="15"/>
  <c r="EI36" i="15"/>
  <c r="EI88" i="15" s="1"/>
  <c r="BT65" i="15"/>
  <c r="BT103" i="18" s="1"/>
  <c r="CG42" i="15"/>
  <c r="CS42" i="15"/>
  <c r="CF63" i="15"/>
  <c r="CR71" i="15"/>
  <c r="CR75" i="15" s="1"/>
  <c r="BQ63" i="15"/>
  <c r="BQ127" i="15"/>
  <c r="BQ121" i="15"/>
  <c r="BQ65" i="15"/>
  <c r="BQ69" i="15" s="1"/>
  <c r="BQ42" i="15"/>
  <c r="BQ71" i="15"/>
  <c r="BQ75" i="15" s="1"/>
  <c r="BQ88" i="15"/>
  <c r="BQ109" i="15"/>
  <c r="EH36" i="15"/>
  <c r="CR88" i="15"/>
  <c r="CR42" i="15"/>
  <c r="CF71" i="15"/>
  <c r="CF112" i="18" s="1"/>
  <c r="CF42" i="15"/>
  <c r="CF121" i="15"/>
  <c r="CF127" i="15"/>
  <c r="CF65" i="18"/>
  <c r="CG73" i="18" s="1"/>
  <c r="CF139" i="15"/>
  <c r="CF109" i="15"/>
  <c r="CF88" i="15"/>
  <c r="BR42" i="15"/>
  <c r="DI380" i="2"/>
  <c r="DI426" i="2" s="1"/>
  <c r="DZ526" i="2"/>
  <c r="DY513" i="2"/>
  <c r="CR127" i="15"/>
  <c r="EQ36" i="15"/>
  <c r="EQ139" i="15" s="1"/>
  <c r="CR139" i="15"/>
  <c r="CR109" i="15"/>
  <c r="CR63" i="15"/>
  <c r="BQ139" i="15"/>
  <c r="DR37" i="18"/>
  <c r="EY37" i="18" s="1"/>
  <c r="FI37" i="18" s="1"/>
  <c r="G8" i="24" s="1"/>
  <c r="DR6" i="18"/>
  <c r="EY6" i="18" s="1"/>
  <c r="FI6" i="18" s="1"/>
  <c r="CR121" i="15"/>
  <c r="DV330" i="2"/>
  <c r="DV361" i="2"/>
  <c r="DV357" i="2"/>
  <c r="DW312" i="2"/>
  <c r="DN147" i="7"/>
  <c r="DW119" i="15" s="1"/>
  <c r="BX42" i="15"/>
  <c r="BW109" i="15"/>
  <c r="BW63" i="15"/>
  <c r="BW88" i="15"/>
  <c r="EJ36" i="15"/>
  <c r="EJ121" i="15" s="1"/>
  <c r="BW65" i="18"/>
  <c r="BW73" i="18" s="1"/>
  <c r="BW71" i="15"/>
  <c r="BW75" i="15" s="1"/>
  <c r="BW42" i="15"/>
  <c r="BW127" i="15"/>
  <c r="BW121" i="15"/>
  <c r="DX343" i="2"/>
  <c r="DY27" i="14" s="1"/>
  <c r="DW342" i="2"/>
  <c r="DY10" i="14"/>
  <c r="DW333" i="2"/>
  <c r="CO71" i="15"/>
  <c r="CO75" i="15" s="1"/>
  <c r="CO109" i="15"/>
  <c r="CP42" i="15"/>
  <c r="CO42" i="15"/>
  <c r="CO121" i="15"/>
  <c r="CO63" i="15"/>
  <c r="CO127" i="15"/>
  <c r="CO88" i="15"/>
  <c r="CO139" i="15"/>
  <c r="EP36" i="15"/>
  <c r="EP42" i="15" s="1"/>
  <c r="EH73" i="15"/>
  <c r="FE3" i="18"/>
  <c r="EP73" i="15"/>
  <c r="FG21" i="15"/>
  <c r="FG34" i="15" s="1"/>
  <c r="BI81" i="2"/>
  <c r="BI84" i="2"/>
  <c r="BZ81" i="2"/>
  <c r="BZ84" i="2"/>
  <c r="BA81" i="2"/>
  <c r="BA84" i="2"/>
  <c r="CL81" i="2"/>
  <c r="CL84" i="2"/>
  <c r="CE81" i="2"/>
  <c r="CE84" i="2"/>
  <c r="CM81" i="2"/>
  <c r="CM84" i="2"/>
  <c r="BD81" i="2"/>
  <c r="BD84" i="2"/>
  <c r="CR81" i="2"/>
  <c r="CR84" i="2"/>
  <c r="CO81" i="2"/>
  <c r="CO84" i="2"/>
  <c r="BX81" i="2"/>
  <c r="BX84" i="2"/>
  <c r="CN81" i="2"/>
  <c r="CN84" i="2"/>
  <c r="CB81" i="2"/>
  <c r="CB84" i="2"/>
  <c r="BJ81" i="2"/>
  <c r="BJ84" i="2"/>
  <c r="BR81" i="2"/>
  <c r="BR84" i="2"/>
  <c r="BY81" i="2"/>
  <c r="BY84" i="2"/>
  <c r="CK81" i="2"/>
  <c r="CK84" i="2"/>
  <c r="CG81" i="2"/>
  <c r="CG84" i="2"/>
  <c r="BM81" i="2"/>
  <c r="BM84" i="2"/>
  <c r="BF81" i="2"/>
  <c r="BF84" i="2"/>
  <c r="BL81" i="2"/>
  <c r="BL84" i="2"/>
  <c r="BN81" i="2"/>
  <c r="BN84" i="2"/>
  <c r="BT81" i="2"/>
  <c r="BT84" i="2"/>
  <c r="CF81" i="2"/>
  <c r="CF84" i="2"/>
  <c r="BP81" i="2"/>
  <c r="BP84" i="2"/>
  <c r="BE81" i="2"/>
  <c r="BE84" i="2"/>
  <c r="CH81" i="2"/>
  <c r="CH84" i="2"/>
  <c r="AZ81" i="2"/>
  <c r="AZ84" i="2"/>
  <c r="BK81" i="2"/>
  <c r="BK84" i="2"/>
  <c r="CQ81" i="2"/>
  <c r="CQ84" i="2"/>
  <c r="BH81" i="2"/>
  <c r="BH84" i="2"/>
  <c r="BO81" i="2"/>
  <c r="BO84" i="2"/>
  <c r="CA81" i="2"/>
  <c r="CA84" i="2"/>
  <c r="BV81" i="2"/>
  <c r="BV84" i="2"/>
  <c r="CJ81" i="2"/>
  <c r="CJ84" i="2"/>
  <c r="CD81" i="2"/>
  <c r="CD84" i="2"/>
  <c r="BG81" i="2"/>
  <c r="BG84" i="2"/>
  <c r="CP81" i="2"/>
  <c r="CP84" i="2"/>
  <c r="CC81" i="2"/>
  <c r="CC84" i="2"/>
  <c r="BC81" i="2"/>
  <c r="BC84" i="2"/>
  <c r="BU81" i="2"/>
  <c r="BU84" i="2"/>
  <c r="BW81" i="2"/>
  <c r="BW84" i="2"/>
  <c r="BQ81" i="2"/>
  <c r="BQ84" i="2"/>
  <c r="BS81" i="2"/>
  <c r="BS84" i="2"/>
  <c r="CI81" i="2"/>
  <c r="CI84" i="2"/>
  <c r="BB81" i="2"/>
  <c r="BB84" i="2"/>
  <c r="FG38" i="15"/>
  <c r="EN42" i="18"/>
  <c r="FG42" i="18" s="1"/>
  <c r="BS92" i="2"/>
  <c r="BS76" i="2"/>
  <c r="BC92" i="2"/>
  <c r="BC76" i="2"/>
  <c r="BW92" i="2"/>
  <c r="BW76" i="2"/>
  <c r="CI92" i="2"/>
  <c r="CI76" i="2"/>
  <c r="BJ92" i="2"/>
  <c r="BJ76" i="2"/>
  <c r="BU92" i="2"/>
  <c r="BU76" i="2"/>
  <c r="BQ92" i="2"/>
  <c r="BQ76" i="2"/>
  <c r="BB92" i="2"/>
  <c r="BB76" i="2"/>
  <c r="BI92" i="2"/>
  <c r="BI76" i="2"/>
  <c r="BZ92" i="2"/>
  <c r="BZ76" i="2"/>
  <c r="BA92" i="2"/>
  <c r="BA76" i="2"/>
  <c r="CL92" i="2"/>
  <c r="CL76" i="2"/>
  <c r="CE92" i="2"/>
  <c r="CE76" i="2"/>
  <c r="CM92" i="2"/>
  <c r="CM76" i="2"/>
  <c r="BD92" i="2"/>
  <c r="BD76" i="2"/>
  <c r="CR92" i="2"/>
  <c r="CR76" i="2"/>
  <c r="CP92" i="2"/>
  <c r="CP76" i="2"/>
  <c r="BX92" i="2"/>
  <c r="BX76" i="2"/>
  <c r="CN92" i="2"/>
  <c r="CN76" i="2"/>
  <c r="BR92" i="2"/>
  <c r="BR76" i="2"/>
  <c r="CK92" i="2"/>
  <c r="CK76" i="2"/>
  <c r="CG92" i="2"/>
  <c r="CG76" i="2"/>
  <c r="BM92" i="2"/>
  <c r="BM76" i="2"/>
  <c r="BF92" i="2"/>
  <c r="BF76" i="2"/>
  <c r="BY92" i="2"/>
  <c r="BY76" i="2"/>
  <c r="BL92" i="2"/>
  <c r="BL76" i="2"/>
  <c r="CC92" i="2"/>
  <c r="CC76" i="2"/>
  <c r="CO92" i="2"/>
  <c r="CO76" i="2"/>
  <c r="BN92" i="2"/>
  <c r="BN76" i="2"/>
  <c r="BT92" i="2"/>
  <c r="BT76" i="2"/>
  <c r="CF92" i="2"/>
  <c r="CF76" i="2"/>
  <c r="BP92" i="2"/>
  <c r="BP76" i="2"/>
  <c r="BE92" i="2"/>
  <c r="BE76" i="2"/>
  <c r="CH92" i="2"/>
  <c r="CH76" i="2"/>
  <c r="AZ92" i="2"/>
  <c r="AZ76" i="2"/>
  <c r="BK92" i="2"/>
  <c r="BK76" i="2"/>
  <c r="CB92" i="2"/>
  <c r="CB76" i="2"/>
  <c r="CQ92" i="2"/>
  <c r="CQ76" i="2"/>
  <c r="BH92" i="2"/>
  <c r="BH76" i="2"/>
  <c r="BO92" i="2"/>
  <c r="BO76" i="2"/>
  <c r="CA92" i="2"/>
  <c r="CA76" i="2"/>
  <c r="BV92" i="2"/>
  <c r="BV76" i="2"/>
  <c r="CJ92" i="2"/>
  <c r="CJ76" i="2"/>
  <c r="CD92" i="2"/>
  <c r="CD76" i="2"/>
  <c r="BG92" i="2"/>
  <c r="BG76" i="2"/>
  <c r="EH42" i="18"/>
  <c r="FE42" i="18" s="1"/>
  <c r="EL42" i="18"/>
  <c r="FF42" i="18" s="1"/>
  <c r="CX785" i="2"/>
  <c r="BN65" i="18"/>
  <c r="EG36" i="15"/>
  <c r="BN139" i="15"/>
  <c r="BN121" i="15"/>
  <c r="BN88" i="15"/>
  <c r="BN109" i="15"/>
  <c r="BN65" i="15"/>
  <c r="BN127" i="15"/>
  <c r="BN42" i="15"/>
  <c r="BN71" i="15"/>
  <c r="BN63" i="15"/>
  <c r="BO42" i="15"/>
  <c r="BN92" i="15"/>
  <c r="EG73" i="15"/>
  <c r="CI65" i="18"/>
  <c r="EN36" i="15"/>
  <c r="EG34" i="15"/>
  <c r="FE21" i="15"/>
  <c r="FE34" i="15" s="1"/>
  <c r="CI109" i="15"/>
  <c r="CI139" i="15"/>
  <c r="CI127" i="15"/>
  <c r="CI121" i="15"/>
  <c r="CI42" i="15"/>
  <c r="CI71" i="15"/>
  <c r="CI88" i="15"/>
  <c r="CI63" i="15"/>
  <c r="CJ42" i="15"/>
  <c r="CT64" i="18"/>
  <c r="CT63" i="18" s="1"/>
  <c r="CT60" i="3"/>
  <c r="CT66" i="3"/>
  <c r="CT104" i="3"/>
  <c r="CT79" i="3"/>
  <c r="CT39" i="3"/>
  <c r="CT58" i="3"/>
  <c r="CT112" i="3"/>
  <c r="CT98" i="3"/>
  <c r="DO51" i="14"/>
  <c r="EX50" i="14"/>
  <c r="EX51" i="14" s="1"/>
  <c r="DT158" i="13"/>
  <c r="DT159" i="13" s="1"/>
  <c r="CC159" i="13"/>
  <c r="CC167" i="13"/>
  <c r="DR31" i="14"/>
  <c r="DR37" i="14"/>
  <c r="DR40" i="14"/>
  <c r="DR14" i="14"/>
  <c r="DR20" i="14"/>
  <c r="CI92" i="15"/>
  <c r="EN73" i="15"/>
  <c r="DP50" i="14"/>
  <c r="DP51" i="14" s="1"/>
  <c r="DP43" i="14"/>
  <c r="CA104" i="3"/>
  <c r="CA60" i="3"/>
  <c r="CA39" i="3"/>
  <c r="CA112" i="3"/>
  <c r="CM39" i="3"/>
  <c r="CM98" i="3"/>
  <c r="CF60" i="3"/>
  <c r="CF39" i="3"/>
  <c r="CF66" i="3"/>
  <c r="CD98" i="3"/>
  <c r="CD66" i="3"/>
  <c r="CD39" i="3"/>
  <c r="CD60" i="3"/>
  <c r="CD58" i="3"/>
  <c r="CA64" i="18"/>
  <c r="CA63" i="18" s="1"/>
  <c r="CA66" i="3"/>
  <c r="CM79" i="3"/>
  <c r="CM66" i="3"/>
  <c r="CM112" i="3"/>
  <c r="CM60" i="3"/>
  <c r="CM104" i="3"/>
  <c r="AV111" i="18"/>
  <c r="AV110" i="18" s="1"/>
  <c r="AV81" i="3"/>
  <c r="AT111" i="18"/>
  <c r="AT110" i="18" s="1"/>
  <c r="AT70" i="3"/>
  <c r="BX66" i="3"/>
  <c r="BX39" i="3"/>
  <c r="CS66" i="3"/>
  <c r="CS58" i="3"/>
  <c r="CF79" i="3"/>
  <c r="CF58" i="3"/>
  <c r="CF98" i="3"/>
  <c r="BC98" i="3"/>
  <c r="BC58" i="3"/>
  <c r="BC66" i="3"/>
  <c r="BC104" i="3"/>
  <c r="BC39" i="3"/>
  <c r="BC79" i="3"/>
  <c r="CP58" i="3"/>
  <c r="CP104" i="3"/>
  <c r="CP66" i="3"/>
  <c r="CP60" i="3"/>
  <c r="BV132" i="11"/>
  <c r="DM113" i="11"/>
  <c r="BL79" i="3"/>
  <c r="BL39" i="3"/>
  <c r="BL66" i="3"/>
  <c r="BL112" i="3"/>
  <c r="BL104" i="3"/>
  <c r="BL60" i="3"/>
  <c r="BL58" i="3"/>
  <c r="BY104" i="3"/>
  <c r="BY66" i="3"/>
  <c r="BY39" i="3"/>
  <c r="BY43" i="3"/>
  <c r="BY58" i="3"/>
  <c r="BY98" i="3"/>
  <c r="AI111" i="18"/>
  <c r="AI110" i="18" s="1"/>
  <c r="AI117" i="18" s="1"/>
  <c r="AI70" i="3"/>
  <c r="AI81" i="3"/>
  <c r="CO112" i="3"/>
  <c r="CP43" i="3"/>
  <c r="BU66" i="3"/>
  <c r="BU79" i="3"/>
  <c r="BU39" i="3"/>
  <c r="BT39" i="3"/>
  <c r="BT66" i="3"/>
  <c r="BT60" i="3"/>
  <c r="CQ58" i="3"/>
  <c r="CQ112" i="3"/>
  <c r="CQ79" i="3"/>
  <c r="CQ104" i="3"/>
  <c r="CQ60" i="3"/>
  <c r="CQ39" i="3"/>
  <c r="CQ66" i="3"/>
  <c r="CQ43" i="3"/>
  <c r="CE104" i="3"/>
  <c r="CE39" i="3"/>
  <c r="CE98" i="3"/>
  <c r="CE58" i="3"/>
  <c r="BZ104" i="3"/>
  <c r="BZ112" i="3"/>
  <c r="BZ60" i="3"/>
  <c r="BZ66" i="3"/>
  <c r="BZ39" i="3"/>
  <c r="BZ43" i="3"/>
  <c r="BO60" i="3"/>
  <c r="BO39" i="3"/>
  <c r="BO66" i="3"/>
  <c r="BO104" i="3"/>
  <c r="BH39" i="3"/>
  <c r="BH66" i="3"/>
  <c r="BE79" i="3"/>
  <c r="BE104" i="3"/>
  <c r="BE60" i="3"/>
  <c r="BE39" i="3"/>
  <c r="BS66" i="3"/>
  <c r="BS58" i="3"/>
  <c r="CS98" i="3"/>
  <c r="CS60" i="3"/>
  <c r="BR112" i="3"/>
  <c r="BR60" i="3"/>
  <c r="BR39" i="3"/>
  <c r="BR104" i="3"/>
  <c r="BR66" i="3"/>
  <c r="BG64" i="18"/>
  <c r="BG63" i="18" s="1"/>
  <c r="BG60" i="3"/>
  <c r="BG39" i="3"/>
  <c r="BG58" i="3"/>
  <c r="BG43" i="3"/>
  <c r="CC39" i="3"/>
  <c r="CC58" i="3"/>
  <c r="BB43" i="3"/>
  <c r="BB39" i="3"/>
  <c r="BB60" i="3"/>
  <c r="BB104" i="3"/>
  <c r="BB58" i="3"/>
  <c r="BF104" i="3"/>
  <c r="BF58" i="3"/>
  <c r="BF39" i="3"/>
  <c r="BF43" i="3"/>
  <c r="BF60" i="3"/>
  <c r="BF66" i="3"/>
  <c r="DT156" i="13"/>
  <c r="CD156" i="13"/>
  <c r="BW118" i="11"/>
  <c r="ER137" i="15"/>
  <c r="AV72" i="18"/>
  <c r="BL64" i="18"/>
  <c r="BL98" i="3"/>
  <c r="BY60" i="3"/>
  <c r="BY79" i="3"/>
  <c r="BD64" i="18"/>
  <c r="BD63" i="18" s="1"/>
  <c r="BD43" i="3"/>
  <c r="BD98" i="3"/>
  <c r="BD79" i="3"/>
  <c r="BD60" i="3"/>
  <c r="BD58" i="3"/>
  <c r="BD104" i="3"/>
  <c r="BD66" i="3"/>
  <c r="CO64" i="18"/>
  <c r="CO60" i="3"/>
  <c r="CO104" i="3"/>
  <c r="CO66" i="3"/>
  <c r="CO98" i="3"/>
  <c r="CO58" i="3"/>
  <c r="CO39" i="3"/>
  <c r="CN39" i="3"/>
  <c r="CN60" i="3"/>
  <c r="CN43" i="3"/>
  <c r="CN112" i="3"/>
  <c r="CN104" i="3"/>
  <c r="CN79" i="3"/>
  <c r="CI104" i="3"/>
  <c r="CI98" i="3"/>
  <c r="CI58" i="3"/>
  <c r="CI39" i="3"/>
  <c r="CI60" i="3"/>
  <c r="CI66" i="3"/>
  <c r="EL92" i="15"/>
  <c r="CC113" i="15"/>
  <c r="CR79" i="3"/>
  <c r="CR98" i="3"/>
  <c r="CR43" i="3"/>
  <c r="CR66" i="3"/>
  <c r="CR104" i="3"/>
  <c r="CR39" i="3"/>
  <c r="BW60" i="3"/>
  <c r="BW66" i="3"/>
  <c r="BW70" i="3" s="1"/>
  <c r="BW39" i="3"/>
  <c r="BW98" i="3"/>
  <c r="BW104" i="3"/>
  <c r="BI64" i="18"/>
  <c r="BI63" i="18" s="1"/>
  <c r="BI60" i="3"/>
  <c r="BI39" i="3"/>
  <c r="BI104" i="3"/>
  <c r="BI66" i="3"/>
  <c r="BI58" i="3"/>
  <c r="BI98" i="3"/>
  <c r="BI79" i="3"/>
  <c r="DR23" i="14"/>
  <c r="DR18" i="14"/>
  <c r="EY18" i="14" s="1"/>
  <c r="FI18" i="14" s="1"/>
  <c r="ET93" i="15"/>
  <c r="DC114" i="15"/>
  <c r="EM92" i="15"/>
  <c r="CF113" i="15"/>
  <c r="BU98" i="3"/>
  <c r="BU58" i="3"/>
  <c r="BU112" i="3"/>
  <c r="BU60" i="3"/>
  <c r="BT98" i="3"/>
  <c r="BT58" i="3"/>
  <c r="BZ64" i="18"/>
  <c r="BZ58" i="3"/>
  <c r="BX97" i="12"/>
  <c r="BX95" i="12"/>
  <c r="BX94" i="12"/>
  <c r="DE67" i="18"/>
  <c r="BO64" i="18"/>
  <c r="BO63" i="18" s="1"/>
  <c r="BO58" i="3"/>
  <c r="BO79" i="3"/>
  <c r="BO112" i="3"/>
  <c r="BH104" i="3"/>
  <c r="BH58" i="3"/>
  <c r="CT43" i="3"/>
  <c r="CS112" i="3"/>
  <c r="BR79" i="3"/>
  <c r="BR98" i="3"/>
  <c r="BB64" i="18"/>
  <c r="BB98" i="3"/>
  <c r="BM64" i="18"/>
  <c r="BM63" i="18" s="1"/>
  <c r="BM66" i="3"/>
  <c r="BM79" i="3"/>
  <c r="CB98" i="3"/>
  <c r="CB112" i="3"/>
  <c r="CJ112" i="3"/>
  <c r="CJ98" i="3"/>
  <c r="CJ43" i="3"/>
  <c r="CJ39" i="3"/>
  <c r="EK113" i="15"/>
  <c r="EO113" i="15"/>
  <c r="CL131" i="15"/>
  <c r="EP92" i="15"/>
  <c r="CO113" i="15"/>
  <c r="DU75" i="13"/>
  <c r="EH75" i="13" s="1"/>
  <c r="EF92" i="15"/>
  <c r="BK113" i="15"/>
  <c r="EJ92" i="15"/>
  <c r="BW113" i="15"/>
  <c r="EI92" i="15"/>
  <c r="BT113" i="15"/>
  <c r="EH92" i="15"/>
  <c r="BQ113" i="15"/>
  <c r="AU182" i="18"/>
  <c r="AT775" i="2"/>
  <c r="BS43" i="3"/>
  <c r="BG98" i="3"/>
  <c r="BG66" i="3"/>
  <c r="BE98" i="3"/>
  <c r="BE43" i="3"/>
  <c r="AV70" i="3"/>
  <c r="CJ60" i="3"/>
  <c r="BE66" i="3"/>
  <c r="CF104" i="3"/>
  <c r="AT81" i="3"/>
  <c r="CO43" i="3"/>
  <c r="CS39" i="3"/>
  <c r="BG104" i="3"/>
  <c r="CA43" i="3"/>
  <c r="CJ104" i="3"/>
  <c r="CJ66" i="3"/>
  <c r="CS104" i="3"/>
  <c r="CA79" i="3"/>
  <c r="CA98" i="3"/>
  <c r="CP39" i="3"/>
  <c r="BX79" i="3"/>
  <c r="BS104" i="3"/>
  <c r="BM104" i="3"/>
  <c r="CE60" i="3"/>
  <c r="BH79" i="3"/>
  <c r="CB39" i="3"/>
  <c r="CB66" i="3"/>
  <c r="CB70" i="3" s="1"/>
  <c r="BU43" i="3"/>
  <c r="CD43" i="3"/>
  <c r="BS112" i="3"/>
  <c r="BT43" i="3"/>
  <c r="CE43" i="3"/>
  <c r="BX104" i="3"/>
  <c r="BZ98" i="3"/>
  <c r="CB79" i="3"/>
  <c r="CB58" i="3"/>
  <c r="CS43" i="3"/>
  <c r="CP98" i="3"/>
  <c r="BX98" i="3"/>
  <c r="BH43" i="3"/>
  <c r="CB43" i="3"/>
  <c r="BH60" i="3"/>
  <c r="BT104" i="3"/>
  <c r="CF43" i="3"/>
  <c r="CD112" i="3"/>
  <c r="CD104" i="3"/>
  <c r="CE112" i="3"/>
  <c r="CR60" i="3"/>
  <c r="BD39" i="3"/>
  <c r="CN66" i="3"/>
  <c r="CN58" i="3"/>
  <c r="BI43" i="3"/>
  <c r="EP78" i="18"/>
  <c r="AC110" i="18"/>
  <c r="BM60" i="3"/>
  <c r="BS60" i="3"/>
  <c r="CE66" i="3"/>
  <c r="BS98" i="3"/>
  <c r="BS39" i="3"/>
  <c r="CC60" i="3"/>
  <c r="CC64" i="3" s="1"/>
  <c r="FG3" i="18"/>
  <c r="FF48" i="18"/>
  <c r="EJ78" i="18"/>
  <c r="CB60" i="3"/>
  <c r="CA58" i="3"/>
  <c r="BW112" i="3"/>
  <c r="EW245" i="18"/>
  <c r="EK245" i="18"/>
  <c r="ER245" i="18"/>
  <c r="EM245" i="18"/>
  <c r="EO245" i="18"/>
  <c r="ET245" i="18"/>
  <c r="EU245" i="18"/>
  <c r="EY245" i="18"/>
  <c r="EK78" i="18"/>
  <c r="EP245" i="18"/>
  <c r="EL245" i="18"/>
  <c r="EN245" i="18"/>
  <c r="EF245" i="18"/>
  <c r="EH245" i="18"/>
  <c r="EV245" i="18"/>
  <c r="EG78" i="18"/>
  <c r="EJ245" i="18"/>
  <c r="AS63" i="18"/>
  <c r="AS164" i="18" s="1"/>
  <c r="EX245" i="18"/>
  <c r="ES245" i="18"/>
  <c r="FG48" i="18"/>
  <c r="AT72" i="18"/>
  <c r="FE79" i="18"/>
  <c r="C21" i="24" s="1"/>
  <c r="FG36" i="18"/>
  <c r="E7" i="24" s="1"/>
  <c r="EI245" i="18"/>
  <c r="AY63" i="18"/>
  <c r="EQ245" i="18"/>
  <c r="EG245" i="18"/>
  <c r="EL78" i="18"/>
  <c r="DU62" i="13"/>
  <c r="EH56" i="13"/>
  <c r="EH62" i="13" s="1"/>
  <c r="CC46" i="18"/>
  <c r="EL46" i="18" s="1"/>
  <c r="EL47" i="18"/>
  <c r="CW153" i="18"/>
  <c r="ER153" i="18" s="1"/>
  <c r="ER156" i="18"/>
  <c r="BT34" i="18"/>
  <c r="EI35" i="18"/>
  <c r="CR34" i="18"/>
  <c r="EQ35" i="18"/>
  <c r="EI78" i="18"/>
  <c r="FF146" i="18"/>
  <c r="FG11" i="18"/>
  <c r="FG145" i="18"/>
  <c r="FE189" i="18"/>
  <c r="BV103" i="12"/>
  <c r="DM82" i="12"/>
  <c r="FE145" i="18"/>
  <c r="CL119" i="18"/>
  <c r="EO119" i="18" s="1"/>
  <c r="EO120" i="18"/>
  <c r="CG83" i="13"/>
  <c r="CG81" i="13"/>
  <c r="CG78" i="13"/>
  <c r="BA78" i="18"/>
  <c r="BA245" i="18"/>
  <c r="CC73" i="18"/>
  <c r="EL65" i="18"/>
  <c r="BK46" i="18"/>
  <c r="EF46" i="18" s="1"/>
  <c r="EF47" i="18"/>
  <c r="FF145" i="18"/>
  <c r="EN78" i="18"/>
  <c r="FF79" i="18"/>
  <c r="D21" i="24" s="1"/>
  <c r="BN119" i="18"/>
  <c r="EG119" i="18" s="1"/>
  <c r="EG120" i="18"/>
  <c r="CB4" i="12"/>
  <c r="DO4" i="12" s="1"/>
  <c r="DV7" i="13"/>
  <c r="CH87" i="13"/>
  <c r="BW98" i="11"/>
  <c r="CL73" i="18"/>
  <c r="CM73" i="18"/>
  <c r="BZ46" i="18"/>
  <c r="EK46" i="18" s="1"/>
  <c r="EK47" i="18"/>
  <c r="BK34" i="18"/>
  <c r="EF35" i="18"/>
  <c r="BN22" i="12"/>
  <c r="EK112" i="18"/>
  <c r="BR73" i="18"/>
  <c r="EH65" i="18"/>
  <c r="CL46" i="18"/>
  <c r="EO46" i="18" s="1"/>
  <c r="EO47" i="18"/>
  <c r="AD72" i="18"/>
  <c r="BZ34" i="18"/>
  <c r="EK35" i="18"/>
  <c r="EY9" i="14"/>
  <c r="DR48" i="14"/>
  <c r="EH78" i="18"/>
  <c r="CB31" i="11"/>
  <c r="DO31" i="11" s="1"/>
  <c r="DO6" i="11"/>
  <c r="BZ43" i="11"/>
  <c r="CS78" i="18"/>
  <c r="EQ78" i="18" s="1"/>
  <c r="CS245" i="18"/>
  <c r="CL34" i="18"/>
  <c r="EO35" i="18"/>
  <c r="FF36" i="18"/>
  <c r="D7" i="24" s="1"/>
  <c r="BX53" i="11"/>
  <c r="DU77" i="13"/>
  <c r="CE125" i="13"/>
  <c r="CE131" i="13"/>
  <c r="EM78" i="18"/>
  <c r="CI46" i="18"/>
  <c r="EN46" i="18" s="1"/>
  <c r="EN47" i="18"/>
  <c r="EF78" i="18"/>
  <c r="CB30" i="11"/>
  <c r="DO30" i="11" s="1"/>
  <c r="DO5" i="11"/>
  <c r="FF189" i="18"/>
  <c r="FE48" i="18"/>
  <c r="FG189" i="18"/>
  <c r="DV30" i="13"/>
  <c r="CC18" i="11"/>
  <c r="CB12" i="11"/>
  <c r="DO12" i="11" s="1"/>
  <c r="DV13" i="13"/>
  <c r="CG85" i="13"/>
  <c r="CA20" i="11"/>
  <c r="BN34" i="18"/>
  <c r="EG35" i="18"/>
  <c r="BQ34" i="18"/>
  <c r="EH35" i="18"/>
  <c r="CF34" i="18"/>
  <c r="EM35" i="18"/>
  <c r="BW34" i="18"/>
  <c r="EJ35" i="18"/>
  <c r="CI34" i="18"/>
  <c r="EN35" i="18"/>
  <c r="CO34" i="18"/>
  <c r="EP35" i="18"/>
  <c r="DN65" i="11"/>
  <c r="EA65" i="11" s="1"/>
  <c r="EO78" i="18"/>
  <c r="FF11" i="18"/>
  <c r="CB14" i="12"/>
  <c r="DO14" i="12" s="1"/>
  <c r="DV26" i="13"/>
  <c r="BZ42" i="11"/>
  <c r="BW82" i="12"/>
  <c r="CC34" i="18"/>
  <c r="EL35" i="18"/>
  <c r="BN46" i="18"/>
  <c r="EG46" i="18" s="1"/>
  <c r="EG47" i="18"/>
  <c r="BX52" i="11"/>
  <c r="BT46" i="18"/>
  <c r="EI46" i="18" s="1"/>
  <c r="EI47" i="18"/>
  <c r="BQ46" i="18"/>
  <c r="EH46" i="18" s="1"/>
  <c r="EH47" i="18"/>
  <c r="CF46" i="18"/>
  <c r="EM46" i="18" s="1"/>
  <c r="EM47" i="18"/>
  <c r="BL73" i="18"/>
  <c r="EF65" i="18"/>
  <c r="BW46" i="18"/>
  <c r="EJ46" i="18" s="1"/>
  <c r="EJ47" i="18"/>
  <c r="CR46" i="18"/>
  <c r="EQ46" i="18" s="1"/>
  <c r="EQ47" i="18"/>
  <c r="CO46" i="18"/>
  <c r="EP46" i="18" s="1"/>
  <c r="EP47" i="18"/>
  <c r="FE36" i="18"/>
  <c r="C7" i="24" s="1"/>
  <c r="FG79" i="18"/>
  <c r="E21" i="24" s="1"/>
  <c r="FE146" i="18"/>
  <c r="CU9" i="15"/>
  <c r="CU12" i="18" s="1"/>
  <c r="CU29" i="18"/>
  <c r="FF67" i="15"/>
  <c r="CU30" i="18"/>
  <c r="FE67" i="15"/>
  <c r="AW110" i="18"/>
  <c r="FG67" i="15"/>
  <c r="N110" i="18"/>
  <c r="BO98" i="3"/>
  <c r="BB66" i="3"/>
  <c r="BB79" i="3"/>
  <c r="Q110" i="18"/>
  <c r="BC43" i="3"/>
  <c r="V110" i="18"/>
  <c r="R110" i="18"/>
  <c r="AV63" i="18"/>
  <c r="AR110" i="18"/>
  <c r="AR117" i="18" s="1"/>
  <c r="CC66" i="3"/>
  <c r="CC104" i="3"/>
  <c r="BM39" i="3"/>
  <c r="O110" i="18"/>
  <c r="BM112" i="3"/>
  <c r="CC98" i="3"/>
  <c r="BM58" i="3"/>
  <c r="BM43" i="3"/>
  <c r="BM98" i="3"/>
  <c r="CC43" i="3"/>
  <c r="DF463" i="2"/>
  <c r="X110" i="18"/>
  <c r="X116" i="18" s="1"/>
  <c r="V63" i="18"/>
  <c r="AT63" i="18"/>
  <c r="CE74" i="13"/>
  <c r="AH63" i="18"/>
  <c r="AA164" i="18"/>
  <c r="AA182" i="18"/>
  <c r="AA134" i="18"/>
  <c r="AA99" i="18"/>
  <c r="AD63" i="18"/>
  <c r="AE110" i="18"/>
  <c r="AE116" i="18" s="1"/>
  <c r="T110" i="18"/>
  <c r="T116" i="18" s="1"/>
  <c r="CC79" i="3"/>
  <c r="BA110" i="18"/>
  <c r="BA116" i="18" s="1"/>
  <c r="AU99" i="18"/>
  <c r="EU39" i="15"/>
  <c r="FH39" i="15" s="1"/>
  <c r="AZ72" i="18"/>
  <c r="BQ73" i="18"/>
  <c r="AW72" i="18"/>
  <c r="S110" i="18"/>
  <c r="S117" i="18" s="1"/>
  <c r="AU134" i="18"/>
  <c r="S72" i="18"/>
  <c r="AU164" i="18"/>
  <c r="T209" i="18"/>
  <c r="T187" i="18"/>
  <c r="T192" i="18"/>
  <c r="AY64" i="3"/>
  <c r="AY102" i="18"/>
  <c r="AU70" i="3"/>
  <c r="AU111" i="18"/>
  <c r="AU110" i="18" s="1"/>
  <c r="L81" i="3"/>
  <c r="L111" i="18"/>
  <c r="L110" i="18" s="1"/>
  <c r="L117" i="18" s="1"/>
  <c r="Q64" i="3"/>
  <c r="Q102" i="18"/>
  <c r="BJ66" i="3"/>
  <c r="BJ64" i="18"/>
  <c r="BZ70" i="11"/>
  <c r="BZ65" i="11"/>
  <c r="CS69" i="15"/>
  <c r="CS103" i="18"/>
  <c r="BL69" i="15"/>
  <c r="BL103" i="18"/>
  <c r="AK69" i="15"/>
  <c r="AK103" i="18"/>
  <c r="AK101" i="18" s="1"/>
  <c r="AK108" i="18" s="1"/>
  <c r="BA69" i="15"/>
  <c r="BA103" i="18"/>
  <c r="DD93" i="15"/>
  <c r="DD114" i="15" s="1"/>
  <c r="O64" i="3"/>
  <c r="O102" i="18"/>
  <c r="AE64" i="3"/>
  <c r="AE102" i="18"/>
  <c r="AC64" i="3"/>
  <c r="AC102" i="18"/>
  <c r="AR64" i="3"/>
  <c r="AR102" i="18"/>
  <c r="AU64" i="3"/>
  <c r="AU102" i="18"/>
  <c r="P81" i="3"/>
  <c r="P111" i="18"/>
  <c r="P110" i="18" s="1"/>
  <c r="BX60" i="3"/>
  <c r="AA70" i="3"/>
  <c r="AA111" i="18"/>
  <c r="AA110" i="18" s="1"/>
  <c r="CM43" i="3"/>
  <c r="CL64" i="18"/>
  <c r="AJ110" i="18"/>
  <c r="AJ117" i="18" s="1"/>
  <c r="AN82" i="3"/>
  <c r="AN137" i="18"/>
  <c r="BK112" i="3"/>
  <c r="BK64" i="18"/>
  <c r="BN25" i="11"/>
  <c r="BC69" i="15"/>
  <c r="BC103" i="18"/>
  <c r="BX69" i="15"/>
  <c r="BX103" i="18"/>
  <c r="U69" i="15"/>
  <c r="U103" i="18"/>
  <c r="U101" i="18" s="1"/>
  <c r="U107" i="18" s="1"/>
  <c r="AU69" i="15"/>
  <c r="AU103" i="18"/>
  <c r="Y69" i="15"/>
  <c r="Y103" i="18"/>
  <c r="Y101" i="18" s="1"/>
  <c r="Y108" i="18" s="1"/>
  <c r="CM69" i="15"/>
  <c r="CM103" i="18"/>
  <c r="Z69" i="15"/>
  <c r="Z103" i="18"/>
  <c r="Z101" i="18" s="1"/>
  <c r="Z107" i="18" s="1"/>
  <c r="AY69" i="15"/>
  <c r="AY103" i="18"/>
  <c r="CN69" i="15"/>
  <c r="CN103" i="18"/>
  <c r="S187" i="18"/>
  <c r="S209" i="18"/>
  <c r="S192" i="18"/>
  <c r="CJ79" i="3"/>
  <c r="CJ64" i="18"/>
  <c r="AM110" i="18"/>
  <c r="AM116" i="18" s="1"/>
  <c r="BU104" i="3"/>
  <c r="BU64" i="18"/>
  <c r="BA72" i="18"/>
  <c r="CO158" i="7"/>
  <c r="G108" i="18"/>
  <c r="G107" i="18"/>
  <c r="AH81" i="3"/>
  <c r="AH111" i="18"/>
  <c r="AH110" i="18" s="1"/>
  <c r="AY70" i="3"/>
  <c r="AY111" i="18"/>
  <c r="AY110" i="18" s="1"/>
  <c r="BQ153" i="11"/>
  <c r="BQ124" i="12"/>
  <c r="S69" i="15"/>
  <c r="S103" i="18"/>
  <c r="N69" i="15"/>
  <c r="N103" i="18"/>
  <c r="CH69" i="15"/>
  <c r="CH103" i="18"/>
  <c r="AX69" i="15"/>
  <c r="AX103" i="18"/>
  <c r="AX101" i="18" s="1"/>
  <c r="AX108" i="18" s="1"/>
  <c r="AL69" i="15"/>
  <c r="AL103" i="18"/>
  <c r="AL101" i="18" s="1"/>
  <c r="T69" i="15"/>
  <c r="T103" i="18"/>
  <c r="AE69" i="15"/>
  <c r="AE103" i="18"/>
  <c r="AN69" i="15"/>
  <c r="AN103" i="18"/>
  <c r="AN101" i="18" s="1"/>
  <c r="AP69" i="15"/>
  <c r="AP103" i="18"/>
  <c r="AP101" i="18" s="1"/>
  <c r="AP107" i="18" s="1"/>
  <c r="AD69" i="15"/>
  <c r="AD103" i="18"/>
  <c r="AI69" i="15"/>
  <c r="AI103" i="18"/>
  <c r="AQ69" i="15"/>
  <c r="AQ103" i="18"/>
  <c r="AQ101" i="18" s="1"/>
  <c r="AQ107" i="18" s="1"/>
  <c r="BH69" i="15"/>
  <c r="BH103" i="18"/>
  <c r="AC69" i="15"/>
  <c r="AC103" i="18"/>
  <c r="AL209" i="18"/>
  <c r="AL187" i="18"/>
  <c r="AL192" i="18"/>
  <c r="AM187" i="18"/>
  <c r="AM209" i="18"/>
  <c r="AM192" i="18"/>
  <c r="AF187" i="18"/>
  <c r="AF209" i="18"/>
  <c r="AF192" i="18"/>
  <c r="L209" i="18"/>
  <c r="L187" i="18"/>
  <c r="L192" i="18"/>
  <c r="AG187" i="18"/>
  <c r="AG209" i="18"/>
  <c r="AG192" i="18"/>
  <c r="AO187" i="18"/>
  <c r="AO209" i="18"/>
  <c r="AO192" i="18"/>
  <c r="AI187" i="18"/>
  <c r="AI209" i="18"/>
  <c r="AI192" i="18"/>
  <c r="AU187" i="18"/>
  <c r="AU209" i="18"/>
  <c r="AU192" i="18"/>
  <c r="CC112" i="3"/>
  <c r="CC64" i="18"/>
  <c r="F72" i="18"/>
  <c r="F63" i="18"/>
  <c r="G72" i="18"/>
  <c r="I108" i="18"/>
  <c r="I107" i="18"/>
  <c r="AA72" i="18"/>
  <c r="AB72" i="18"/>
  <c r="DR11" i="14"/>
  <c r="EY11" i="14" s="1"/>
  <c r="FI11" i="14" s="1"/>
  <c r="DR66" i="18"/>
  <c r="C107" i="18"/>
  <c r="C108" i="18"/>
  <c r="M110" i="18"/>
  <c r="M117" i="18" s="1"/>
  <c r="BY112" i="3"/>
  <c r="BY64" i="18"/>
  <c r="AV64" i="3"/>
  <c r="AV102" i="18"/>
  <c r="R64" i="3"/>
  <c r="R102" i="18"/>
  <c r="CK66" i="3"/>
  <c r="CK70" i="3" s="1"/>
  <c r="CK64" i="18"/>
  <c r="AA64" i="3"/>
  <c r="AA102" i="18"/>
  <c r="P69" i="15"/>
  <c r="P103" i="18"/>
  <c r="CH79" i="3"/>
  <c r="CH64" i="18"/>
  <c r="BW79" i="3"/>
  <c r="BW120" i="18"/>
  <c r="BT79" i="3"/>
  <c r="BT120" i="18"/>
  <c r="N64" i="3"/>
  <c r="N102" i="18"/>
  <c r="BA64" i="3"/>
  <c r="BA102" i="18"/>
  <c r="AT64" i="3"/>
  <c r="AT102" i="18"/>
  <c r="F64" i="3"/>
  <c r="F102" i="18"/>
  <c r="F101" i="18" s="1"/>
  <c r="DH15" i="15"/>
  <c r="CF80" i="13"/>
  <c r="DU80" i="13" s="1"/>
  <c r="CF76" i="13"/>
  <c r="DQ34" i="14"/>
  <c r="DQ169" i="18"/>
  <c r="AH69" i="15"/>
  <c r="AH103" i="18"/>
  <c r="X69" i="15"/>
  <c r="X103" i="18"/>
  <c r="CG69" i="15"/>
  <c r="CG103" i="18"/>
  <c r="BU69" i="15"/>
  <c r="BU103" i="18"/>
  <c r="BI69" i="15"/>
  <c r="BI103" i="18"/>
  <c r="AM69" i="15"/>
  <c r="AM103" i="18"/>
  <c r="AM101" i="18" s="1"/>
  <c r="CK69" i="15"/>
  <c r="CK103" i="18"/>
  <c r="AW69" i="15"/>
  <c r="AW103" i="18"/>
  <c r="BO69" i="15"/>
  <c r="BO103" i="18"/>
  <c r="AB69" i="15"/>
  <c r="AB103" i="18"/>
  <c r="AB101" i="18" s="1"/>
  <c r="AB107" i="18" s="1"/>
  <c r="R187" i="18"/>
  <c r="R209" i="18"/>
  <c r="R192" i="18"/>
  <c r="Z209" i="18"/>
  <c r="Z187" i="18"/>
  <c r="Z192" i="18"/>
  <c r="CS79" i="3"/>
  <c r="CS64" i="18"/>
  <c r="CQ98" i="3"/>
  <c r="CQ64" i="18"/>
  <c r="X72" i="18"/>
  <c r="Y72" i="18"/>
  <c r="CF112" i="3"/>
  <c r="CF64" i="18"/>
  <c r="EF139" i="15"/>
  <c r="EF127" i="15"/>
  <c r="EF88" i="15"/>
  <c r="EF121" i="15"/>
  <c r="EF109" i="15"/>
  <c r="EF63" i="15"/>
  <c r="AN110" i="18"/>
  <c r="EK139" i="15"/>
  <c r="EK121" i="15"/>
  <c r="EK127" i="15"/>
  <c r="EK88" i="15"/>
  <c r="EK109" i="15"/>
  <c r="EK63" i="15"/>
  <c r="BP104" i="3"/>
  <c r="BP64" i="18"/>
  <c r="T64" i="3"/>
  <c r="T102" i="18"/>
  <c r="AW64" i="3"/>
  <c r="AW102" i="18"/>
  <c r="K64" i="3"/>
  <c r="K102" i="18"/>
  <c r="K101" i="18" s="1"/>
  <c r="AZ64" i="3"/>
  <c r="AZ102" i="18"/>
  <c r="AS64" i="3"/>
  <c r="AS102" i="18"/>
  <c r="P64" i="3"/>
  <c r="P102" i="18"/>
  <c r="AI64" i="3"/>
  <c r="AI102" i="18"/>
  <c r="BX58" i="3"/>
  <c r="BX43" i="3"/>
  <c r="BN58" i="3"/>
  <c r="BN64" i="18"/>
  <c r="AJ64" i="3"/>
  <c r="AJ102" i="18"/>
  <c r="BQ104" i="3"/>
  <c r="BQ64" i="18"/>
  <c r="CG112" i="3"/>
  <c r="CG64" i="18"/>
  <c r="V64" i="3"/>
  <c r="V102" i="18"/>
  <c r="BP69" i="15"/>
  <c r="BP103" i="18"/>
  <c r="CC69" i="15"/>
  <c r="EL65" i="15"/>
  <c r="EL69" i="15" s="1"/>
  <c r="CC103" i="18"/>
  <c r="BZ69" i="15"/>
  <c r="BZ103" i="18"/>
  <c r="CB69" i="15"/>
  <c r="CB103" i="18"/>
  <c r="CQ69" i="15"/>
  <c r="CQ103" i="18"/>
  <c r="O187" i="18"/>
  <c r="O209" i="18"/>
  <c r="O192" i="18"/>
  <c r="AJ209" i="18"/>
  <c r="AJ187" i="18"/>
  <c r="AJ192" i="18"/>
  <c r="AE187" i="18"/>
  <c r="AE209" i="18"/>
  <c r="AE192" i="18"/>
  <c r="X209" i="18"/>
  <c r="X187" i="18"/>
  <c r="X192" i="18"/>
  <c r="AR209" i="18"/>
  <c r="AR187" i="18"/>
  <c r="AR192" i="18"/>
  <c r="AW187" i="18"/>
  <c r="AW209" i="18"/>
  <c r="AW192" i="18"/>
  <c r="W209" i="18"/>
  <c r="W187" i="18"/>
  <c r="W192" i="18"/>
  <c r="Y187" i="18"/>
  <c r="Y209" i="18"/>
  <c r="Y192" i="18"/>
  <c r="CB104" i="3"/>
  <c r="CB64" i="18"/>
  <c r="Q72" i="18"/>
  <c r="BS79" i="3"/>
  <c r="BS64" i="18"/>
  <c r="BE58" i="3"/>
  <c r="BE64" i="18"/>
  <c r="AJ72" i="18"/>
  <c r="AK72" i="18"/>
  <c r="K72" i="18"/>
  <c r="K63" i="18"/>
  <c r="E107" i="18"/>
  <c r="E108" i="18"/>
  <c r="EO139" i="15"/>
  <c r="EO88" i="15"/>
  <c r="EO121" i="15"/>
  <c r="EO127" i="15"/>
  <c r="EO109" i="15"/>
  <c r="EO63" i="15"/>
  <c r="AZ81" i="3"/>
  <c r="AZ111" i="18"/>
  <c r="AZ110" i="18" s="1"/>
  <c r="AZ117" i="18" s="1"/>
  <c r="M82" i="3"/>
  <c r="M137" i="18"/>
  <c r="AH64" i="3"/>
  <c r="AH102" i="18"/>
  <c r="X64" i="3"/>
  <c r="X102" i="18"/>
  <c r="AD70" i="3"/>
  <c r="AD111" i="18"/>
  <c r="AD110" i="18" s="1"/>
  <c r="AM82" i="3"/>
  <c r="AM137" i="18"/>
  <c r="CU28" i="18"/>
  <c r="BS69" i="15"/>
  <c r="BS103" i="18"/>
  <c r="BD69" i="15"/>
  <c r="BD103" i="18"/>
  <c r="BR69" i="15"/>
  <c r="BR103" i="18"/>
  <c r="AS69" i="15"/>
  <c r="AS103" i="18"/>
  <c r="EF71" i="15"/>
  <c r="BK112" i="18"/>
  <c r="EF112" i="18" s="1"/>
  <c r="EL71" i="15"/>
  <c r="EL75" i="15" s="1"/>
  <c r="CC112" i="18"/>
  <c r="EL112" i="18" s="1"/>
  <c r="AR69" i="15"/>
  <c r="AR103" i="18"/>
  <c r="AZ69" i="15"/>
  <c r="AZ103" i="18"/>
  <c r="V69" i="15"/>
  <c r="V103" i="18"/>
  <c r="AF69" i="15"/>
  <c r="AF103" i="18"/>
  <c r="AF101" i="18" s="1"/>
  <c r="CL69" i="15"/>
  <c r="EK65" i="15"/>
  <c r="EK69" i="15" s="1"/>
  <c r="EO65" i="15"/>
  <c r="EO69" i="15" s="1"/>
  <c r="CL103" i="18"/>
  <c r="AG69" i="15"/>
  <c r="AG103" i="18"/>
  <c r="AG101" i="18" s="1"/>
  <c r="BB69" i="15"/>
  <c r="BB103" i="18"/>
  <c r="N63" i="18"/>
  <c r="BY87" i="11"/>
  <c r="BR58" i="3"/>
  <c r="BR64" i="18"/>
  <c r="J72" i="18"/>
  <c r="J63" i="18"/>
  <c r="I775" i="2" s="1"/>
  <c r="W72" i="18"/>
  <c r="AC72" i="18"/>
  <c r="AC63" i="18"/>
  <c r="AA187" i="18"/>
  <c r="AA209" i="18"/>
  <c r="AA192" i="18"/>
  <c r="CO157" i="7"/>
  <c r="D108" i="18"/>
  <c r="D107" i="18"/>
  <c r="CO79" i="3"/>
  <c r="CO120" i="18"/>
  <c r="CI79" i="3"/>
  <c r="CI120" i="18"/>
  <c r="S64" i="3"/>
  <c r="S102" i="18"/>
  <c r="BZ79" i="3"/>
  <c r="BZ120" i="18"/>
  <c r="W81" i="3"/>
  <c r="W111" i="18"/>
  <c r="W110" i="18" s="1"/>
  <c r="W116" i="18" s="1"/>
  <c r="L64" i="3"/>
  <c r="L102" i="18"/>
  <c r="BV43" i="3"/>
  <c r="BV64" i="18"/>
  <c r="AD64" i="3"/>
  <c r="AD102" i="18"/>
  <c r="J81" i="3"/>
  <c r="J111" i="18"/>
  <c r="J110" i="18" s="1"/>
  <c r="BZ69" i="11"/>
  <c r="CX153" i="18"/>
  <c r="O69" i="15"/>
  <c r="O103" i="18"/>
  <c r="R69" i="15"/>
  <c r="R103" i="18"/>
  <c r="CE69" i="15"/>
  <c r="CE103" i="18"/>
  <c r="AJ69" i="15"/>
  <c r="AJ103" i="18"/>
  <c r="Q69" i="15"/>
  <c r="Q103" i="18"/>
  <c r="BK69" i="15"/>
  <c r="EF65" i="15"/>
  <c r="BK103" i="18"/>
  <c r="BV69" i="15"/>
  <c r="BV103" i="18"/>
  <c r="AA69" i="15"/>
  <c r="AA103" i="18"/>
  <c r="BE69" i="15"/>
  <c r="BE103" i="18"/>
  <c r="AO69" i="15"/>
  <c r="AO103" i="18"/>
  <c r="AO101" i="18" s="1"/>
  <c r="CT69" i="15"/>
  <c r="CT103" i="18"/>
  <c r="BM69" i="15"/>
  <c r="BM103" i="18"/>
  <c r="BG69" i="15"/>
  <c r="BG103" i="18"/>
  <c r="BF69" i="15"/>
  <c r="BF103" i="18"/>
  <c r="EO71" i="15"/>
  <c r="EO75" i="15" s="1"/>
  <c r="EK71" i="15"/>
  <c r="EK75" i="15" s="1"/>
  <c r="CL112" i="18"/>
  <c r="EO112" i="18" s="1"/>
  <c r="W69" i="15"/>
  <c r="W103" i="18"/>
  <c r="M69" i="15"/>
  <c r="M103" i="18"/>
  <c r="M101" i="18" s="1"/>
  <c r="AX209" i="18"/>
  <c r="AX187" i="18"/>
  <c r="AX192" i="18"/>
  <c r="P63" i="18"/>
  <c r="Q63" i="18"/>
  <c r="AK209" i="18"/>
  <c r="AK187" i="18"/>
  <c r="AK192" i="18"/>
  <c r="AZ209" i="18"/>
  <c r="AZ187" i="18"/>
  <c r="AZ192" i="18"/>
  <c r="BA209" i="18"/>
  <c r="BA187" i="18"/>
  <c r="BA192" i="18"/>
  <c r="AQ209" i="18"/>
  <c r="AQ187" i="18"/>
  <c r="AQ192" i="18"/>
  <c r="AE72" i="18"/>
  <c r="AF72" i="18"/>
  <c r="T72" i="18"/>
  <c r="U72" i="18"/>
  <c r="J64" i="3"/>
  <c r="J102" i="18"/>
  <c r="J101" i="18" s="1"/>
  <c r="R72" i="18"/>
  <c r="CE79" i="3"/>
  <c r="CE64" i="18"/>
  <c r="BT112" i="3"/>
  <c r="BT64" i="18"/>
  <c r="CD79" i="3"/>
  <c r="CD64" i="18"/>
  <c r="CM58" i="3"/>
  <c r="CM64" i="18"/>
  <c r="EL42" i="15"/>
  <c r="EL139" i="15"/>
  <c r="EL127" i="15"/>
  <c r="EL121" i="15"/>
  <c r="EL88" i="15"/>
  <c r="EL109" i="15"/>
  <c r="EL63" i="15"/>
  <c r="L72" i="18"/>
  <c r="M72" i="18"/>
  <c r="H72" i="18"/>
  <c r="H63" i="18"/>
  <c r="I72" i="18"/>
  <c r="AI72" i="18"/>
  <c r="CF62" i="13"/>
  <c r="BY45" i="11"/>
  <c r="DN45" i="11" s="1"/>
  <c r="EA45" i="11" s="1"/>
  <c r="CA69" i="15"/>
  <c r="CA103" i="18"/>
  <c r="CP69" i="15"/>
  <c r="CP103" i="18"/>
  <c r="L69" i="15"/>
  <c r="L103" i="18"/>
  <c r="CJ69" i="15"/>
  <c r="CJ103" i="18"/>
  <c r="BJ69" i="15"/>
  <c r="BJ103" i="18"/>
  <c r="U209" i="18"/>
  <c r="U187" i="18"/>
  <c r="U192" i="18"/>
  <c r="AP209" i="18"/>
  <c r="AP187" i="18"/>
  <c r="AP192" i="18"/>
  <c r="EO92" i="15"/>
  <c r="EK92" i="15"/>
  <c r="BF98" i="3"/>
  <c r="BF64" i="18"/>
  <c r="O72" i="18"/>
  <c r="EU33" i="15"/>
  <c r="FH33" i="15" s="1"/>
  <c r="BH98" i="3"/>
  <c r="BH64" i="18"/>
  <c r="BW58" i="3"/>
  <c r="BW64" i="18"/>
  <c r="H64" i="3"/>
  <c r="H102" i="18"/>
  <c r="H101" i="18" s="1"/>
  <c r="AS81" i="3"/>
  <c r="AS111" i="18"/>
  <c r="AS110" i="18" s="1"/>
  <c r="W64" i="3"/>
  <c r="W102" i="18"/>
  <c r="CD69" i="15"/>
  <c r="CD103" i="18"/>
  <c r="AT69" i="15"/>
  <c r="AT103" i="18"/>
  <c r="BY69" i="15"/>
  <c r="BY103" i="18"/>
  <c r="AV69" i="15"/>
  <c r="AV103" i="18"/>
  <c r="AB209" i="18"/>
  <c r="AB187" i="18"/>
  <c r="AB192" i="18"/>
  <c r="M209" i="18"/>
  <c r="M187" i="18"/>
  <c r="M192" i="18"/>
  <c r="CP112" i="3"/>
  <c r="CP64" i="18"/>
  <c r="BX112" i="3"/>
  <c r="BX64" i="18"/>
  <c r="BC60" i="3"/>
  <c r="BC64" i="18"/>
  <c r="AU72" i="18"/>
  <c r="CR112" i="3"/>
  <c r="CR64" i="18"/>
  <c r="CI112" i="3"/>
  <c r="CI64" i="18"/>
  <c r="CN98" i="3"/>
  <c r="CN64" i="18"/>
  <c r="AX164" i="18"/>
  <c r="AX182" i="18"/>
  <c r="AX134" i="18"/>
  <c r="T164" i="18"/>
  <c r="T182" i="18"/>
  <c r="T134" i="18"/>
  <c r="AO182" i="18"/>
  <c r="AO164" i="18"/>
  <c r="AO134" i="18"/>
  <c r="AQ182" i="18"/>
  <c r="AQ164" i="18"/>
  <c r="AQ134" i="18"/>
  <c r="R182" i="18"/>
  <c r="R164" i="18"/>
  <c r="R134" i="18"/>
  <c r="AJ164" i="18"/>
  <c r="AJ182" i="18"/>
  <c r="AJ134" i="18"/>
  <c r="AR164" i="18"/>
  <c r="AR182" i="18"/>
  <c r="AR134" i="18"/>
  <c r="AL164" i="18"/>
  <c r="AL182" i="18"/>
  <c r="AL134" i="18"/>
  <c r="AF164" i="18"/>
  <c r="AF182" i="18"/>
  <c r="AF134" i="18"/>
  <c r="L164" i="18"/>
  <c r="L182" i="18"/>
  <c r="L134" i="18"/>
  <c r="AK164" i="18"/>
  <c r="AK182" i="18"/>
  <c r="AK134" i="18"/>
  <c r="AG182" i="18"/>
  <c r="AG164" i="18"/>
  <c r="AG134" i="18"/>
  <c r="BA182" i="18"/>
  <c r="BA164" i="18"/>
  <c r="BA134" i="18"/>
  <c r="Z182" i="18"/>
  <c r="Z164" i="18"/>
  <c r="Z134" i="18"/>
  <c r="U182" i="18"/>
  <c r="U164" i="18"/>
  <c r="U134" i="18"/>
  <c r="AP182" i="18"/>
  <c r="AP164" i="18"/>
  <c r="AP134" i="18"/>
  <c r="O164" i="18"/>
  <c r="O182" i="18"/>
  <c r="O134" i="18"/>
  <c r="AW164" i="18"/>
  <c r="AW182" i="18"/>
  <c r="AW134" i="18"/>
  <c r="W164" i="18"/>
  <c r="W182" i="18"/>
  <c r="W134" i="18"/>
  <c r="AM182" i="18"/>
  <c r="AM164" i="18"/>
  <c r="AM134" i="18"/>
  <c r="AZ182" i="18"/>
  <c r="AZ164" i="18"/>
  <c r="AZ134" i="18"/>
  <c r="AI164" i="18"/>
  <c r="AI182" i="18"/>
  <c r="AI134" i="18"/>
  <c r="AE164" i="18"/>
  <c r="AE182" i="18"/>
  <c r="AE134" i="18"/>
  <c r="X164" i="18"/>
  <c r="X182" i="18"/>
  <c r="X134" i="18"/>
  <c r="AB164" i="18"/>
  <c r="AB182" i="18"/>
  <c r="AB134" i="18"/>
  <c r="Y164" i="18"/>
  <c r="Y182" i="18"/>
  <c r="Y134" i="18"/>
  <c r="M182" i="18"/>
  <c r="M164" i="18"/>
  <c r="M134" i="18"/>
  <c r="S164" i="18"/>
  <c r="S182" i="18"/>
  <c r="S134" i="18"/>
  <c r="AO117" i="18"/>
  <c r="AO116" i="18"/>
  <c r="AL117" i="18"/>
  <c r="AL116" i="18"/>
  <c r="AF117" i="18"/>
  <c r="AF116" i="18"/>
  <c r="AK117" i="18"/>
  <c r="AK116" i="18"/>
  <c r="AG117" i="18"/>
  <c r="AG116" i="18"/>
  <c r="Z117" i="18"/>
  <c r="Z116" i="18"/>
  <c r="U117" i="18"/>
  <c r="U116" i="18"/>
  <c r="AP117" i="18"/>
  <c r="AP116" i="18"/>
  <c r="AQ117" i="18"/>
  <c r="AQ116" i="18"/>
  <c r="AB117" i="18"/>
  <c r="AB116" i="18"/>
  <c r="Y117" i="18"/>
  <c r="Y116" i="18"/>
  <c r="AX117" i="18"/>
  <c r="AX116" i="18"/>
  <c r="Z99" i="18"/>
  <c r="Z70" i="18"/>
  <c r="AF99" i="18"/>
  <c r="AF70" i="18"/>
  <c r="BA99" i="18"/>
  <c r="BA70" i="18"/>
  <c r="S99" i="18"/>
  <c r="S70" i="18"/>
  <c r="AE99" i="18"/>
  <c r="W99" i="18"/>
  <c r="AO99" i="18"/>
  <c r="AO70" i="18"/>
  <c r="AG99" i="18"/>
  <c r="AG70" i="18"/>
  <c r="AX99" i="18"/>
  <c r="AX70" i="18"/>
  <c r="T99" i="18"/>
  <c r="T70" i="18"/>
  <c r="O99" i="18"/>
  <c r="AP99" i="18"/>
  <c r="AP70" i="18"/>
  <c r="AM99" i="18"/>
  <c r="AM70" i="18"/>
  <c r="AW99" i="18"/>
  <c r="R99" i="18"/>
  <c r="X99" i="18"/>
  <c r="X70" i="18"/>
  <c r="AZ99" i="18"/>
  <c r="AI99" i="18"/>
  <c r="AR99" i="18"/>
  <c r="AR70" i="18"/>
  <c r="AK99" i="18"/>
  <c r="AK70" i="18"/>
  <c r="AJ99" i="18"/>
  <c r="AJ70" i="18"/>
  <c r="AB99" i="18"/>
  <c r="AB70" i="18"/>
  <c r="AN70" i="18"/>
  <c r="Y99" i="18"/>
  <c r="Y70" i="18"/>
  <c r="M99" i="18"/>
  <c r="M70" i="18"/>
  <c r="AQ99" i="18"/>
  <c r="AQ70" i="18"/>
  <c r="U99" i="18"/>
  <c r="U70" i="18"/>
  <c r="L99" i="18"/>
  <c r="AA70" i="18"/>
  <c r="AL99" i="18"/>
  <c r="AL70" i="18"/>
  <c r="CD122" i="13"/>
  <c r="BW89" i="11"/>
  <c r="DG33" i="15"/>
  <c r="BZ25" i="12"/>
  <c r="BX58" i="12"/>
  <c r="DE68" i="15" s="1"/>
  <c r="DE496" i="2"/>
  <c r="CF110" i="13" s="1"/>
  <c r="DE570" i="2"/>
  <c r="CT12" i="2"/>
  <c r="CI3" i="13"/>
  <c r="DI6" i="15"/>
  <c r="EV6" i="15" s="1"/>
  <c r="O75" i="15"/>
  <c r="O90" i="15"/>
  <c r="O138" i="18" s="1"/>
  <c r="S75" i="15"/>
  <c r="S90" i="15"/>
  <c r="S138" i="18" s="1"/>
  <c r="CH75" i="15"/>
  <c r="CH90" i="15"/>
  <c r="CH138" i="18" s="1"/>
  <c r="CE75" i="15"/>
  <c r="CE90" i="15"/>
  <c r="CE138" i="18" s="1"/>
  <c r="P75" i="15"/>
  <c r="P90" i="15"/>
  <c r="P138" i="18" s="1"/>
  <c r="AE75" i="15"/>
  <c r="AE90" i="15"/>
  <c r="AE138" i="18" s="1"/>
  <c r="BZ75" i="15"/>
  <c r="BZ90" i="15"/>
  <c r="BZ138" i="18" s="1"/>
  <c r="AK75" i="15"/>
  <c r="AK90" i="15"/>
  <c r="AK138" i="18" s="1"/>
  <c r="AK136" i="18" s="1"/>
  <c r="AK143" i="18" s="1"/>
  <c r="CT75" i="15"/>
  <c r="CT90" i="15"/>
  <c r="CT138" i="18" s="1"/>
  <c r="AQ75" i="15"/>
  <c r="AQ90" i="15"/>
  <c r="AQ138" i="18" s="1"/>
  <c r="AQ136" i="18" s="1"/>
  <c r="AQ143" i="18" s="1"/>
  <c r="BD75" i="15"/>
  <c r="BD90" i="15"/>
  <c r="BD138" i="18" s="1"/>
  <c r="CM75" i="15"/>
  <c r="CM90" i="15"/>
  <c r="CM138" i="18" s="1"/>
  <c r="AG75" i="15"/>
  <c r="AG90" i="15"/>
  <c r="AG138" i="18" s="1"/>
  <c r="AG136" i="18" s="1"/>
  <c r="AG143" i="18" s="1"/>
  <c r="BO75" i="15"/>
  <c r="BO90" i="15"/>
  <c r="BO138" i="18" s="1"/>
  <c r="CN75" i="15"/>
  <c r="CN90" i="15"/>
  <c r="CN138" i="18" s="1"/>
  <c r="AJ75" i="15"/>
  <c r="AJ90" i="15"/>
  <c r="AJ138" i="18" s="1"/>
  <c r="BV75" i="15"/>
  <c r="BV90" i="15"/>
  <c r="BV138" i="18" s="1"/>
  <c r="AO75" i="15"/>
  <c r="AO90" i="15"/>
  <c r="AO138" i="18" s="1"/>
  <c r="AO136" i="18" s="1"/>
  <c r="AO143" i="18" s="1"/>
  <c r="BF75" i="15"/>
  <c r="BF90" i="15"/>
  <c r="BF138" i="18" s="1"/>
  <c r="AT75" i="15"/>
  <c r="AT90" i="15"/>
  <c r="AT138" i="18" s="1"/>
  <c r="CP75" i="15"/>
  <c r="CP90" i="15"/>
  <c r="CP138" i="18" s="1"/>
  <c r="CG75" i="15"/>
  <c r="CG90" i="15"/>
  <c r="CG138" i="18" s="1"/>
  <c r="AU75" i="15"/>
  <c r="AU90" i="15"/>
  <c r="AU138" i="18" s="1"/>
  <c r="BI75" i="15"/>
  <c r="BI90" i="15"/>
  <c r="BI138" i="18" s="1"/>
  <c r="AW75" i="15"/>
  <c r="AW90" i="15"/>
  <c r="AW138" i="18" s="1"/>
  <c r="AY75" i="15"/>
  <c r="AY90" i="15"/>
  <c r="AY138" i="18" s="1"/>
  <c r="R75" i="15"/>
  <c r="R90" i="15"/>
  <c r="R138" i="18" s="1"/>
  <c r="N75" i="15"/>
  <c r="N90" i="15"/>
  <c r="N138" i="18" s="1"/>
  <c r="AL75" i="15"/>
  <c r="AL90" i="15"/>
  <c r="AL138" i="18" s="1"/>
  <c r="AL136" i="18" s="1"/>
  <c r="AL143" i="18" s="1"/>
  <c r="Q75" i="15"/>
  <c r="Q90" i="15"/>
  <c r="Q138" i="18" s="1"/>
  <c r="CC75" i="15"/>
  <c r="CC90" i="15"/>
  <c r="BL90" i="15"/>
  <c r="BL138" i="18" s="1"/>
  <c r="BL75" i="15"/>
  <c r="AV75" i="15"/>
  <c r="AV90" i="15"/>
  <c r="AV138" i="18" s="1"/>
  <c r="BC75" i="15"/>
  <c r="BC90" i="15"/>
  <c r="BC138" i="18" s="1"/>
  <c r="BR75" i="15"/>
  <c r="BR90" i="15"/>
  <c r="BR138" i="18" s="1"/>
  <c r="AS75" i="15"/>
  <c r="AS90" i="15"/>
  <c r="AS138" i="18" s="1"/>
  <c r="AH75" i="15"/>
  <c r="AH90" i="15"/>
  <c r="AH138" i="18" s="1"/>
  <c r="CA75" i="15"/>
  <c r="CA90" i="15"/>
  <c r="CA138" i="18" s="1"/>
  <c r="AZ90" i="15"/>
  <c r="AZ138" i="18" s="1"/>
  <c r="AZ75" i="15"/>
  <c r="Y75" i="15"/>
  <c r="Y90" i="15"/>
  <c r="Y138" i="18" s="1"/>
  <c r="Y136" i="18" s="1"/>
  <c r="CL75" i="15"/>
  <c r="CL90" i="15"/>
  <c r="Z75" i="15"/>
  <c r="Z90" i="15"/>
  <c r="Z138" i="18" s="1"/>
  <c r="Z136" i="18" s="1"/>
  <c r="AP75" i="15"/>
  <c r="AP90" i="15"/>
  <c r="AP138" i="18" s="1"/>
  <c r="AP136" i="18" s="1"/>
  <c r="AP143" i="18" s="1"/>
  <c r="BE75" i="15"/>
  <c r="BE90" i="15"/>
  <c r="BE138" i="18" s="1"/>
  <c r="BP75" i="15"/>
  <c r="BP90" i="15"/>
  <c r="BP138" i="18" s="1"/>
  <c r="BA90" i="15"/>
  <c r="BA138" i="18" s="1"/>
  <c r="BA75" i="15"/>
  <c r="BG75" i="15"/>
  <c r="BG90" i="15"/>
  <c r="BG138" i="18" s="1"/>
  <c r="CD75" i="15"/>
  <c r="CD90" i="15"/>
  <c r="CD138" i="18" s="1"/>
  <c r="W75" i="15"/>
  <c r="W90" i="15"/>
  <c r="W138" i="18" s="1"/>
  <c r="M75" i="15"/>
  <c r="M90" i="15"/>
  <c r="M138" i="18" s="1"/>
  <c r="AR75" i="15"/>
  <c r="AR90" i="15"/>
  <c r="AR138" i="18" s="1"/>
  <c r="BU75" i="15"/>
  <c r="BU90" i="15"/>
  <c r="BU138" i="18" s="1"/>
  <c r="CK75" i="15"/>
  <c r="CK90" i="15"/>
  <c r="CK138" i="18" s="1"/>
  <c r="AX75" i="15"/>
  <c r="AX90" i="15"/>
  <c r="AX138" i="18" s="1"/>
  <c r="AX136" i="18" s="1"/>
  <c r="AX143" i="18" s="1"/>
  <c r="T75" i="15"/>
  <c r="T90" i="15"/>
  <c r="T138" i="18" s="1"/>
  <c r="BK75" i="15"/>
  <c r="BK90" i="15"/>
  <c r="CS75" i="15"/>
  <c r="CS90" i="15"/>
  <c r="CS138" i="18" s="1"/>
  <c r="AD75" i="15"/>
  <c r="AD90" i="15"/>
  <c r="AD138" i="18" s="1"/>
  <c r="AI75" i="15"/>
  <c r="AI90" i="15"/>
  <c r="AI138" i="18" s="1"/>
  <c r="BM90" i="15"/>
  <c r="BM138" i="18" s="1"/>
  <c r="BM75" i="15"/>
  <c r="BY75" i="15"/>
  <c r="BY90" i="15"/>
  <c r="BY138" i="18" s="1"/>
  <c r="CQ75" i="15"/>
  <c r="CQ90" i="15"/>
  <c r="CQ138" i="18" s="1"/>
  <c r="AC75" i="15"/>
  <c r="AC90" i="15"/>
  <c r="AC138" i="18" s="1"/>
  <c r="BS75" i="15"/>
  <c r="BS90" i="15"/>
  <c r="BS138" i="18" s="1"/>
  <c r="BX75" i="15"/>
  <c r="BX90" i="15"/>
  <c r="BX138" i="18" s="1"/>
  <c r="U75" i="15"/>
  <c r="U90" i="15"/>
  <c r="U138" i="18" s="1"/>
  <c r="U136" i="18" s="1"/>
  <c r="V75" i="15"/>
  <c r="V90" i="15"/>
  <c r="V138" i="18" s="1"/>
  <c r="BJ75" i="15"/>
  <c r="BJ90" i="15"/>
  <c r="BJ138" i="18" s="1"/>
  <c r="BB75" i="15"/>
  <c r="BB90" i="15"/>
  <c r="BB138" i="18" s="1"/>
  <c r="AB75" i="15"/>
  <c r="AB90" i="15"/>
  <c r="AB138" i="18" s="1"/>
  <c r="AB136" i="18" s="1"/>
  <c r="AN75" i="15"/>
  <c r="AN90" i="15"/>
  <c r="AN138" i="18" s="1"/>
  <c r="AA75" i="15"/>
  <c r="AA90" i="15"/>
  <c r="AA138" i="18" s="1"/>
  <c r="CB75" i="15"/>
  <c r="CB90" i="15"/>
  <c r="CB138" i="18" s="1"/>
  <c r="BH75" i="15"/>
  <c r="BH90" i="15"/>
  <c r="BH138" i="18" s="1"/>
  <c r="X75" i="15"/>
  <c r="X90" i="15"/>
  <c r="X138" i="18" s="1"/>
  <c r="L75" i="15"/>
  <c r="L90" i="15"/>
  <c r="L138" i="18" s="1"/>
  <c r="CJ90" i="15"/>
  <c r="CJ138" i="18" s="1"/>
  <c r="CJ75" i="15"/>
  <c r="AM75" i="15"/>
  <c r="AM90" i="15"/>
  <c r="AM138" i="18" s="1"/>
  <c r="AF75" i="15"/>
  <c r="AF90" i="15"/>
  <c r="AF138" i="18" s="1"/>
  <c r="AF136" i="18" s="1"/>
  <c r="AF143" i="18" s="1"/>
  <c r="CE103" i="13"/>
  <c r="CD128" i="13"/>
  <c r="CD141" i="13"/>
  <c r="CB7" i="12"/>
  <c r="DI10" i="15"/>
  <c r="EV10" i="15" s="1"/>
  <c r="CE133" i="13"/>
  <c r="CE123" i="13"/>
  <c r="DE548" i="2"/>
  <c r="CF138" i="13" s="1"/>
  <c r="CI29" i="13"/>
  <c r="DE547" i="2"/>
  <c r="CF137" i="13" s="1"/>
  <c r="DD543" i="2"/>
  <c r="DD549" i="2" s="1"/>
  <c r="DH544" i="2"/>
  <c r="CI134" i="13" s="1"/>
  <c r="DV134" i="13" s="1"/>
  <c r="DH546" i="2"/>
  <c r="CI136" i="13" s="1"/>
  <c r="DV136" i="13" s="1"/>
  <c r="DH497" i="2"/>
  <c r="CI112" i="13" s="1"/>
  <c r="DH498" i="2"/>
  <c r="CI113" i="13" s="1"/>
  <c r="DD488" i="2"/>
  <c r="DE500" i="2"/>
  <c r="CE115" i="13"/>
  <c r="DE499" i="2"/>
  <c r="CE114" i="13"/>
  <c r="DE501" i="2"/>
  <c r="CE116" i="13"/>
  <c r="DH399" i="2"/>
  <c r="CI18" i="13" s="1"/>
  <c r="DV18" i="13" s="1"/>
  <c r="CI23" i="13"/>
  <c r="CI49" i="13"/>
  <c r="DH493" i="2"/>
  <c r="CI107" i="13" s="1"/>
  <c r="CF104" i="13"/>
  <c r="DE489" i="2"/>
  <c r="DF464" i="2"/>
  <c r="DF505" i="2"/>
  <c r="DF490" i="2"/>
  <c r="BB69" i="2"/>
  <c r="BC69" i="2"/>
  <c r="DF465" i="2"/>
  <c r="DG456" i="2"/>
  <c r="CH70" i="13"/>
  <c r="DG473" i="2"/>
  <c r="DG511" i="2" s="1"/>
  <c r="DG510" i="2" s="1"/>
  <c r="DI408" i="2"/>
  <c r="DI435" i="2" s="1"/>
  <c r="DI494" i="2" s="1"/>
  <c r="CJ108" i="13" s="1"/>
  <c r="DI409" i="2"/>
  <c r="DI436" i="2" s="1"/>
  <c r="CI44" i="13"/>
  <c r="DV44" i="13" s="1"/>
  <c r="DH428" i="2"/>
  <c r="DH458" i="2" s="1"/>
  <c r="CM74" i="2"/>
  <c r="BD74" i="2"/>
  <c r="BD69" i="2"/>
  <c r="CE74" i="2"/>
  <c r="CE69" i="2"/>
  <c r="BI74" i="2"/>
  <c r="BA74" i="2"/>
  <c r="BI69" i="2"/>
  <c r="BA69" i="2"/>
  <c r="BW74" i="2"/>
  <c r="BJ74" i="2"/>
  <c r="BZ74" i="2"/>
  <c r="BJ69" i="2"/>
  <c r="BZ69" i="2"/>
  <c r="CI74" i="2"/>
  <c r="CL69" i="2"/>
  <c r="BV74" i="2"/>
  <c r="BQ74" i="2"/>
  <c r="BK69" i="2"/>
  <c r="BU74" i="2"/>
  <c r="CP74" i="2"/>
  <c r="CP69" i="2"/>
  <c r="BO8" i="12"/>
  <c r="BO22" i="12" s="1"/>
  <c r="CM11" i="7"/>
  <c r="CV9" i="15" s="1"/>
  <c r="CV12" i="18" s="1"/>
  <c r="CN12" i="7"/>
  <c r="BP13" i="11" s="1"/>
  <c r="BP11" i="11" s="1"/>
  <c r="DK11" i="11" s="1"/>
  <c r="CV158" i="2"/>
  <c r="CV176" i="2"/>
  <c r="CL32" i="7"/>
  <c r="CL44" i="7"/>
  <c r="BN40" i="12" s="1"/>
  <c r="BN38" i="12" s="1"/>
  <c r="CT204" i="2"/>
  <c r="CL43" i="7"/>
  <c r="CU206" i="2"/>
  <c r="CU205" i="2" s="1"/>
  <c r="CM23" i="7"/>
  <c r="CM22" i="7" s="1"/>
  <c r="CU175" i="2"/>
  <c r="CU180" i="2"/>
  <c r="CM27" i="7" s="1"/>
  <c r="CV31" i="18" s="1"/>
  <c r="CU177" i="2"/>
  <c r="CM24" i="7" s="1"/>
  <c r="CU178" i="2"/>
  <c r="CM25" i="7" s="1"/>
  <c r="CV29" i="18" s="1"/>
  <c r="CU179" i="2"/>
  <c r="CM26" i="7" s="1"/>
  <c r="CV30" i="18" s="1"/>
  <c r="ES85" i="3"/>
  <c r="ES84" i="3" s="1"/>
  <c r="CY119" i="2"/>
  <c r="CX107" i="2"/>
  <c r="CY92" i="3" s="1"/>
  <c r="CY156" i="18" s="1"/>
  <c r="CX85" i="3"/>
  <c r="CX84" i="3" s="1"/>
  <c r="CX146" i="18" s="1"/>
  <c r="CY117" i="2"/>
  <c r="CX103" i="2"/>
  <c r="CY86" i="3" s="1"/>
  <c r="CY154" i="18" s="1"/>
  <c r="CY118" i="2"/>
  <c r="CX105" i="2"/>
  <c r="CY90" i="3" s="1"/>
  <c r="CY155" i="18" s="1"/>
  <c r="CJ69" i="2"/>
  <c r="BU69" i="2"/>
  <c r="CM69" i="2"/>
  <c r="CL74" i="2"/>
  <c r="BO69" i="2"/>
  <c r="BS69" i="2"/>
  <c r="BY74" i="2"/>
  <c r="BY69" i="2"/>
  <c r="CG74" i="2"/>
  <c r="CR74" i="2"/>
  <c r="CR69" i="2"/>
  <c r="BG74" i="2"/>
  <c r="BG69" i="2"/>
  <c r="BX69" i="2"/>
  <c r="CN74" i="2"/>
  <c r="CN69" i="2"/>
  <c r="CO69" i="2"/>
  <c r="BW69" i="2"/>
  <c r="CO74" i="2"/>
  <c r="BL74" i="2"/>
  <c r="BB74" i="2"/>
  <c r="BS74" i="2"/>
  <c r="BX74" i="2"/>
  <c r="CD74" i="2"/>
  <c r="BE74" i="2"/>
  <c r="AZ74" i="2"/>
  <c r="BE69" i="2"/>
  <c r="AZ69" i="2"/>
  <c r="CF69" i="2"/>
  <c r="BV69" i="2"/>
  <c r="CD69" i="2"/>
  <c r="CF74" i="2"/>
  <c r="BP74" i="2"/>
  <c r="CA74" i="2"/>
  <c r="CA69" i="2"/>
  <c r="BP69" i="2"/>
  <c r="BQ69" i="2"/>
  <c r="CI69" i="2"/>
  <c r="BT74" i="2"/>
  <c r="CC74" i="2"/>
  <c r="CH74" i="2"/>
  <c r="BH74" i="2"/>
  <c r="BT69" i="2"/>
  <c r="CQ74" i="2"/>
  <c r="CC69" i="2"/>
  <c r="CH69" i="2"/>
  <c r="BH69" i="2"/>
  <c r="BO74" i="2"/>
  <c r="CQ69" i="2"/>
  <c r="CJ74" i="2"/>
  <c r="BK74" i="2"/>
  <c r="BC74" i="2"/>
  <c r="BL69" i="2"/>
  <c r="CG69" i="2"/>
  <c r="BF74" i="2"/>
  <c r="BF69" i="2"/>
  <c r="CK69" i="2"/>
  <c r="CB69" i="2"/>
  <c r="CK74" i="2"/>
  <c r="CB74" i="2"/>
  <c r="BR74" i="2"/>
  <c r="BM74" i="2"/>
  <c r="BN74" i="2"/>
  <c r="BR69" i="2"/>
  <c r="BM69" i="2"/>
  <c r="BN69" i="2"/>
  <c r="DQ42" i="14"/>
  <c r="CJ15" i="13"/>
  <c r="DI392" i="2"/>
  <c r="CA11" i="12"/>
  <c r="CI30" i="13"/>
  <c r="CB15" i="12"/>
  <c r="DO15" i="12" s="1"/>
  <c r="CG56" i="13"/>
  <c r="CG75" i="13"/>
  <c r="BY31" i="12"/>
  <c r="DN31" i="12" s="1"/>
  <c r="EA31" i="12" s="1"/>
  <c r="CG64" i="13"/>
  <c r="CG82" i="13"/>
  <c r="DI391" i="2"/>
  <c r="CJ10" i="13" s="1"/>
  <c r="CJ14" i="13"/>
  <c r="CH33" i="13"/>
  <c r="DG416" i="2"/>
  <c r="DG444" i="2" s="1"/>
  <c r="DI425" i="2"/>
  <c r="DI419" i="2"/>
  <c r="DI424" i="2"/>
  <c r="DI418" i="2"/>
  <c r="CI25" i="13"/>
  <c r="DV25" i="13" s="1"/>
  <c r="CH39" i="13"/>
  <c r="CJ6" i="13"/>
  <c r="CJ5" i="13"/>
  <c r="DJ482" i="2"/>
  <c r="DJ394" i="2" s="1"/>
  <c r="CK95" i="13"/>
  <c r="CJ98" i="13"/>
  <c r="CY318" i="2"/>
  <c r="CP156" i="7"/>
  <c r="CY137" i="15" s="1"/>
  <c r="EL44" i="3"/>
  <c r="FG62" i="3"/>
  <c r="EQ44" i="3"/>
  <c r="EJ30" i="3"/>
  <c r="EM44" i="3"/>
  <c r="FG36" i="3"/>
  <c r="EO32" i="3"/>
  <c r="EO60" i="3" s="1"/>
  <c r="EO64" i="3" s="1"/>
  <c r="EJ58" i="3"/>
  <c r="EJ60" i="3"/>
  <c r="EJ64" i="3" s="1"/>
  <c r="EP44" i="3"/>
  <c r="EJ39" i="3"/>
  <c r="EP30" i="3"/>
  <c r="EG30" i="3"/>
  <c r="FG85" i="3"/>
  <c r="FG84" i="3" s="1"/>
  <c r="EH32" i="3"/>
  <c r="EH58" i="3" s="1"/>
  <c r="FH62" i="3"/>
  <c r="EP58" i="3"/>
  <c r="EP39" i="3"/>
  <c r="FH18" i="3"/>
  <c r="FG61" i="3"/>
  <c r="EN30" i="3"/>
  <c r="EK58" i="3"/>
  <c r="FG78" i="3"/>
  <c r="FG74" i="3" s="1"/>
  <c r="EO71" i="3"/>
  <c r="FH78" i="3"/>
  <c r="FH74" i="3" s="1"/>
  <c r="EO72" i="3"/>
  <c r="FH36" i="3"/>
  <c r="EM39" i="3"/>
  <c r="EM98" i="3"/>
  <c r="EM30" i="3"/>
  <c r="FH23" i="3"/>
  <c r="FG23" i="3"/>
  <c r="FG30" i="3" s="1"/>
  <c r="EQ32" i="3"/>
  <c r="EQ112" i="3" s="1"/>
  <c r="EK30" i="3"/>
  <c r="ER44" i="3"/>
  <c r="EO44" i="3"/>
  <c r="EP43" i="3"/>
  <c r="EL32" i="3"/>
  <c r="EL98" i="3" s="1"/>
  <c r="EL30" i="3"/>
  <c r="FG18" i="3"/>
  <c r="EN60" i="3"/>
  <c r="EN64" i="3" s="1"/>
  <c r="EN43" i="3"/>
  <c r="EJ43" i="3"/>
  <c r="EK39" i="3"/>
  <c r="EK44" i="3"/>
  <c r="EI32" i="3"/>
  <c r="EI30" i="3"/>
  <c r="EJ44" i="3"/>
  <c r="J70" i="3"/>
  <c r="EN44" i="3"/>
  <c r="EN39" i="3"/>
  <c r="EM60" i="3"/>
  <c r="EM64" i="3" s="1"/>
  <c r="EM43" i="3"/>
  <c r="EN58" i="3"/>
  <c r="EM58" i="3"/>
  <c r="AM100" i="3"/>
  <c r="V81" i="3"/>
  <c r="V70" i="3"/>
  <c r="L70" i="3"/>
  <c r="AH70" i="3"/>
  <c r="CG66" i="3"/>
  <c r="BJ104" i="3"/>
  <c r="BK43" i="3"/>
  <c r="BJ39" i="3"/>
  <c r="CK104" i="3"/>
  <c r="BK58" i="3"/>
  <c r="CG39" i="3"/>
  <c r="BJ98" i="3"/>
  <c r="CK98" i="3"/>
  <c r="CG43" i="3"/>
  <c r="BK98" i="3"/>
  <c r="CK39" i="3"/>
  <c r="BJ79" i="3"/>
  <c r="CG104" i="3"/>
  <c r="CG58" i="3"/>
  <c r="CG98" i="3"/>
  <c r="EP79" i="3"/>
  <c r="CG79" i="3"/>
  <c r="BJ43" i="3"/>
  <c r="BL43" i="3"/>
  <c r="CK112" i="3"/>
  <c r="CG60" i="3"/>
  <c r="BV98" i="3"/>
  <c r="F81" i="3"/>
  <c r="BK39" i="3"/>
  <c r="BK60" i="3"/>
  <c r="BV60" i="3"/>
  <c r="BK79" i="3"/>
  <c r="BK66" i="3"/>
  <c r="BK111" i="18" s="1"/>
  <c r="BK104" i="3"/>
  <c r="BQ79" i="3"/>
  <c r="CK43" i="3"/>
  <c r="AD81" i="3"/>
  <c r="BJ60" i="3"/>
  <c r="M100" i="3"/>
  <c r="CK58" i="3"/>
  <c r="BV112" i="3"/>
  <c r="EP104" i="3"/>
  <c r="BJ58" i="3"/>
  <c r="EG58" i="3"/>
  <c r="BN43" i="3"/>
  <c r="BO43" i="3"/>
  <c r="EG112" i="3"/>
  <c r="BN39" i="3"/>
  <c r="EG79" i="3"/>
  <c r="BN98" i="3"/>
  <c r="AA81" i="3"/>
  <c r="BN60" i="3"/>
  <c r="BN79" i="3"/>
  <c r="EG60" i="3"/>
  <c r="EG64" i="3" s="1"/>
  <c r="BN66" i="3"/>
  <c r="AN100" i="3"/>
  <c r="EG66" i="3"/>
  <c r="EG70" i="3" s="1"/>
  <c r="BN112" i="3"/>
  <c r="BN104" i="3"/>
  <c r="EG98" i="3"/>
  <c r="X70" i="3"/>
  <c r="BQ39" i="3"/>
  <c r="X81" i="3"/>
  <c r="BV66" i="3"/>
  <c r="Q70" i="3"/>
  <c r="BQ60" i="3"/>
  <c r="AS70" i="3"/>
  <c r="Q81" i="3"/>
  <c r="BQ112" i="3"/>
  <c r="BQ98" i="3"/>
  <c r="EG39" i="3"/>
  <c r="BQ66" i="3"/>
  <c r="BR43" i="3"/>
  <c r="CK60" i="3"/>
  <c r="AJ81" i="3"/>
  <c r="BQ58" i="3"/>
  <c r="F70" i="3"/>
  <c r="EN79" i="3"/>
  <c r="CK79" i="3"/>
  <c r="BV79" i="3"/>
  <c r="CL104" i="3"/>
  <c r="EP98" i="3"/>
  <c r="EP112" i="3"/>
  <c r="EP66" i="3"/>
  <c r="EP81" i="3" s="1"/>
  <c r="BV58" i="3"/>
  <c r="BV39" i="3"/>
  <c r="AJ70" i="3"/>
  <c r="BW43" i="3"/>
  <c r="BQ43" i="3"/>
  <c r="BV104" i="3"/>
  <c r="P70" i="3"/>
  <c r="CL98" i="3"/>
  <c r="W70" i="3"/>
  <c r="CL58" i="3"/>
  <c r="CL43" i="3"/>
  <c r="H81" i="3"/>
  <c r="CL39" i="3"/>
  <c r="CL79" i="3"/>
  <c r="H70" i="3"/>
  <c r="CL60" i="3"/>
  <c r="CL66" i="3"/>
  <c r="CL112" i="3"/>
  <c r="BP60" i="3"/>
  <c r="BP43" i="3"/>
  <c r="BP39" i="3"/>
  <c r="R70" i="3"/>
  <c r="BP66" i="3"/>
  <c r="EJ79" i="3"/>
  <c r="BA70" i="3"/>
  <c r="BA81" i="3"/>
  <c r="EJ98" i="3"/>
  <c r="R81" i="3"/>
  <c r="BP112" i="3"/>
  <c r="BP79" i="3"/>
  <c r="AY81" i="3"/>
  <c r="BP58" i="3"/>
  <c r="BP98" i="3"/>
  <c r="AU81" i="3"/>
  <c r="K81" i="3"/>
  <c r="K137" i="18" s="1"/>
  <c r="K136" i="18" s="1"/>
  <c r="K70" i="3"/>
  <c r="AZ70" i="3"/>
  <c r="U100" i="3"/>
  <c r="U167" i="18" s="1"/>
  <c r="U82" i="3"/>
  <c r="Y100" i="3"/>
  <c r="Y167" i="18" s="1"/>
  <c r="Y82" i="3"/>
  <c r="EN98" i="3"/>
  <c r="Z100" i="3"/>
  <c r="Z167" i="18" s="1"/>
  <c r="Z82" i="3"/>
  <c r="N81" i="3"/>
  <c r="N137" i="18" s="1"/>
  <c r="N70" i="3"/>
  <c r="C82" i="3"/>
  <c r="C100" i="3"/>
  <c r="C167" i="18" s="1"/>
  <c r="C166" i="18" s="1"/>
  <c r="AW70" i="3"/>
  <c r="AW81" i="3"/>
  <c r="AW137" i="18" s="1"/>
  <c r="EN66" i="3"/>
  <c r="EN112" i="3"/>
  <c r="EN104" i="3"/>
  <c r="EM79" i="3"/>
  <c r="CH104" i="3"/>
  <c r="CH112" i="3"/>
  <c r="CH66" i="3"/>
  <c r="CH111" i="18" s="1"/>
  <c r="CH110" i="18" s="1"/>
  <c r="CH58" i="3"/>
  <c r="CH60" i="3"/>
  <c r="CI43" i="3"/>
  <c r="CH43" i="3"/>
  <c r="CH39" i="3"/>
  <c r="CH98" i="3"/>
  <c r="EJ66" i="3"/>
  <c r="EJ112" i="3"/>
  <c r="EJ104" i="3"/>
  <c r="O81" i="3"/>
  <c r="O137" i="18" s="1"/>
  <c r="O70" i="3"/>
  <c r="I100" i="3"/>
  <c r="I167" i="18" s="1"/>
  <c r="I166" i="18" s="1"/>
  <c r="I82" i="3"/>
  <c r="AL100" i="3"/>
  <c r="AL167" i="18" s="1"/>
  <c r="AL82" i="3"/>
  <c r="EM66" i="3"/>
  <c r="EM112" i="3"/>
  <c r="EM104" i="3"/>
  <c r="AX100" i="3"/>
  <c r="AX167" i="18" s="1"/>
  <c r="AX82" i="3"/>
  <c r="AQ100" i="3"/>
  <c r="AQ167" i="18" s="1"/>
  <c r="AQ82" i="3"/>
  <c r="AP100" i="3"/>
  <c r="AP167" i="18" s="1"/>
  <c r="AP82" i="3"/>
  <c r="AF82" i="3"/>
  <c r="AF100" i="3"/>
  <c r="AF167" i="18" s="1"/>
  <c r="S81" i="3"/>
  <c r="S137" i="18" s="1"/>
  <c r="S70" i="3"/>
  <c r="AC81" i="3"/>
  <c r="AC137" i="18" s="1"/>
  <c r="AC70" i="3"/>
  <c r="G100" i="3"/>
  <c r="G167" i="18" s="1"/>
  <c r="G166" i="18" s="1"/>
  <c r="G82" i="3"/>
  <c r="AE81" i="3"/>
  <c r="AE137" i="18" s="1"/>
  <c r="AE70" i="3"/>
  <c r="D100" i="3"/>
  <c r="D167" i="18" s="1"/>
  <c r="D166" i="18" s="1"/>
  <c r="D82" i="3"/>
  <c r="AR81" i="3"/>
  <c r="AR137" i="18" s="1"/>
  <c r="AR70" i="3"/>
  <c r="AB82" i="3"/>
  <c r="AB100" i="3"/>
  <c r="AB167" i="18" s="1"/>
  <c r="AG100" i="3"/>
  <c r="AG167" i="18" s="1"/>
  <c r="AG82" i="3"/>
  <c r="T81" i="3"/>
  <c r="T137" i="18" s="1"/>
  <c r="T70" i="3"/>
  <c r="E100" i="3"/>
  <c r="E167" i="18" s="1"/>
  <c r="E166" i="18" s="1"/>
  <c r="E82" i="3"/>
  <c r="AK100" i="3"/>
  <c r="AK167" i="18" s="1"/>
  <c r="AK82" i="3"/>
  <c r="AO100" i="3"/>
  <c r="AO167" i="18" s="1"/>
  <c r="AO82" i="3"/>
  <c r="DS74" i="18" l="1"/>
  <c r="EZ5" i="14"/>
  <c r="DS33" i="14"/>
  <c r="DS104" i="18"/>
  <c r="EZ37" i="14"/>
  <c r="EY40" i="14"/>
  <c r="EZ40" i="14"/>
  <c r="DQ50" i="14"/>
  <c r="DQ51" i="14" s="1"/>
  <c r="ET190" i="18"/>
  <c r="DC189" i="18"/>
  <c r="ET189" i="18" s="1"/>
  <c r="DN108" i="12"/>
  <c r="EA108" i="12" s="1"/>
  <c r="BX107" i="12"/>
  <c r="DN107" i="12" s="1"/>
  <c r="EA107" i="12" s="1"/>
  <c r="EU120" i="15"/>
  <c r="FH120" i="15" s="1"/>
  <c r="DE117" i="15"/>
  <c r="DN137" i="11"/>
  <c r="EA137" i="11" s="1"/>
  <c r="BX136" i="11"/>
  <c r="DN136" i="11" s="1"/>
  <c r="EA136" i="11" s="1"/>
  <c r="DF175" i="18"/>
  <c r="DF190" i="18" s="1"/>
  <c r="DF189" i="18" s="1"/>
  <c r="EM63" i="15"/>
  <c r="EM109" i="15"/>
  <c r="EM127" i="15"/>
  <c r="EM139" i="15"/>
  <c r="EP65" i="18"/>
  <c r="EP73" i="18" s="1"/>
  <c r="EM88" i="15"/>
  <c r="EM121" i="15"/>
  <c r="CT272" i="2"/>
  <c r="CT274" i="2"/>
  <c r="DH457" i="2"/>
  <c r="CW285" i="2"/>
  <c r="DV288" i="2"/>
  <c r="DS24" i="14"/>
  <c r="DS113" i="18"/>
  <c r="DS139" i="18" s="1"/>
  <c r="FE73" i="15"/>
  <c r="EQ92" i="15"/>
  <c r="DX44" i="18"/>
  <c r="FA44" i="18" s="1"/>
  <c r="FA13" i="18"/>
  <c r="EL73" i="18"/>
  <c r="CR73" i="18"/>
  <c r="CS73" i="18"/>
  <c r="DX345" i="2"/>
  <c r="DX29" i="14"/>
  <c r="DX160" i="18" s="1"/>
  <c r="FA160" i="18" s="1"/>
  <c r="DT66" i="18"/>
  <c r="DT18" i="14"/>
  <c r="DT23" i="14"/>
  <c r="DT20" i="14"/>
  <c r="DT11" i="14"/>
  <c r="DT14" i="14"/>
  <c r="DT40" i="14"/>
  <c r="DT37" i="14"/>
  <c r="DT31" i="14"/>
  <c r="DT48" i="14"/>
  <c r="CO63" i="18"/>
  <c r="CO187" i="18" s="1"/>
  <c r="DV329" i="2"/>
  <c r="DW6" i="14"/>
  <c r="DW367" i="2"/>
  <c r="DW45" i="14"/>
  <c r="DU49" i="18"/>
  <c r="EZ49" i="18" s="1"/>
  <c r="DU9" i="14"/>
  <c r="DV57" i="18"/>
  <c r="DW26" i="14"/>
  <c r="DU331" i="2"/>
  <c r="DV5" i="14"/>
  <c r="DX344" i="2"/>
  <c r="DX342" i="2" s="1"/>
  <c r="DX28" i="14"/>
  <c r="DX158" i="18" s="1"/>
  <c r="DY15" i="14"/>
  <c r="DY81" i="18"/>
  <c r="DY13" i="18"/>
  <c r="DS37" i="18"/>
  <c r="DS6" i="18"/>
  <c r="DT327" i="2"/>
  <c r="DT3" i="14"/>
  <c r="DU7" i="14"/>
  <c r="DV148" i="18"/>
  <c r="CP73" i="18"/>
  <c r="EI65" i="15"/>
  <c r="EI69" i="15" s="1"/>
  <c r="DU110" i="13"/>
  <c r="EH110" i="13" s="1"/>
  <c r="BT69" i="15"/>
  <c r="DV112" i="13"/>
  <c r="CP109" i="12"/>
  <c r="CP138" i="11"/>
  <c r="DV113" i="13"/>
  <c r="BT75" i="15"/>
  <c r="DU104" i="13"/>
  <c r="BT112" i="18"/>
  <c r="EI112" i="18" s="1"/>
  <c r="DV107" i="13"/>
  <c r="EI71" i="15"/>
  <c r="EI75" i="15" s="1"/>
  <c r="CR112" i="18"/>
  <c r="EQ112" i="18" s="1"/>
  <c r="EH71" i="15"/>
  <c r="EH75" i="15" s="1"/>
  <c r="EQ71" i="15"/>
  <c r="EQ75" i="15" s="1"/>
  <c r="EI63" i="15"/>
  <c r="BT73" i="18"/>
  <c r="EI42" i="15"/>
  <c r="BQ112" i="18"/>
  <c r="EH112" i="18" s="1"/>
  <c r="EI121" i="15"/>
  <c r="EI65" i="18"/>
  <c r="EI73" i="18" s="1"/>
  <c r="EQ65" i="15"/>
  <c r="EQ69" i="15" s="1"/>
  <c r="EI127" i="15"/>
  <c r="CR69" i="15"/>
  <c r="EI139" i="15"/>
  <c r="EI109" i="15"/>
  <c r="CR90" i="15"/>
  <c r="CR94" i="15" s="1"/>
  <c r="EH65" i="15"/>
  <c r="EH69" i="15" s="1"/>
  <c r="EH63" i="15"/>
  <c r="EH121" i="15"/>
  <c r="EH88" i="15"/>
  <c r="EH109" i="15"/>
  <c r="BQ90" i="15"/>
  <c r="BQ111" i="15" s="1"/>
  <c r="EH127" i="15"/>
  <c r="EH139" i="15"/>
  <c r="CF103" i="18"/>
  <c r="EM103" i="18" s="1"/>
  <c r="EM65" i="15"/>
  <c r="EM69" i="15" s="1"/>
  <c r="BQ103" i="18"/>
  <c r="EH103" i="18" s="1"/>
  <c r="EM71" i="15"/>
  <c r="EM75" i="15" s="1"/>
  <c r="EM65" i="18"/>
  <c r="EM73" i="18" s="1"/>
  <c r="CF73" i="18"/>
  <c r="CF90" i="15"/>
  <c r="CF138" i="18" s="1"/>
  <c r="CF75" i="15"/>
  <c r="EJ71" i="15"/>
  <c r="EJ75" i="15" s="1"/>
  <c r="EQ109" i="15"/>
  <c r="EQ121" i="15"/>
  <c r="EQ63" i="15"/>
  <c r="EQ88" i="15"/>
  <c r="EQ127" i="15"/>
  <c r="BW112" i="18"/>
  <c r="EJ112" i="18" s="1"/>
  <c r="EJ65" i="15"/>
  <c r="EP65" i="15"/>
  <c r="EP69" i="15" s="1"/>
  <c r="EJ63" i="15"/>
  <c r="BW69" i="15"/>
  <c r="EJ88" i="15"/>
  <c r="EK42" i="15"/>
  <c r="EJ42" i="15"/>
  <c r="EJ65" i="18"/>
  <c r="EK73" i="18" s="1"/>
  <c r="EA526" i="2"/>
  <c r="DZ513" i="2"/>
  <c r="CO69" i="15"/>
  <c r="EJ127" i="15"/>
  <c r="EJ139" i="15"/>
  <c r="FF36" i="15"/>
  <c r="FF121" i="15" s="1"/>
  <c r="EJ109" i="15"/>
  <c r="DX312" i="2"/>
  <c r="DO147" i="7"/>
  <c r="DX119" i="15" s="1"/>
  <c r="DW330" i="2"/>
  <c r="DW357" i="2"/>
  <c r="DW361" i="2"/>
  <c r="CO112" i="18"/>
  <c r="EP112" i="18" s="1"/>
  <c r="BX73" i="18"/>
  <c r="EP71" i="15"/>
  <c r="EP75" i="15" s="1"/>
  <c r="BW90" i="15"/>
  <c r="BW111" i="15" s="1"/>
  <c r="CO90" i="15"/>
  <c r="CO138" i="18" s="1"/>
  <c r="DW347" i="2"/>
  <c r="DY343" i="2"/>
  <c r="DZ27" i="14" s="1"/>
  <c r="DZ10" i="14"/>
  <c r="DX333" i="2"/>
  <c r="EQ42" i="15"/>
  <c r="EP63" i="15"/>
  <c r="EP109" i="15"/>
  <c r="EP121" i="15"/>
  <c r="EP88" i="15"/>
  <c r="EP127" i="15"/>
  <c r="EP139" i="15"/>
  <c r="FG73" i="15"/>
  <c r="CY785" i="2"/>
  <c r="BO73" i="18"/>
  <c r="BN73" i="18"/>
  <c r="EG65" i="18"/>
  <c r="EH73" i="18" s="1"/>
  <c r="FE36" i="15"/>
  <c r="EG139" i="15"/>
  <c r="EG42" i="15"/>
  <c r="EG127" i="15"/>
  <c r="EG88" i="15"/>
  <c r="EG121" i="15"/>
  <c r="EG109" i="15"/>
  <c r="EG63" i="15"/>
  <c r="EH42" i="15"/>
  <c r="EG71" i="15"/>
  <c r="BN112" i="18"/>
  <c r="EG112" i="18" s="1"/>
  <c r="BN75" i="15"/>
  <c r="BN90" i="15"/>
  <c r="BN69" i="15"/>
  <c r="EG65" i="15"/>
  <c r="BN103" i="18"/>
  <c r="EG103" i="18" s="1"/>
  <c r="EG92" i="15"/>
  <c r="FE92" i="15" s="1"/>
  <c r="BN113" i="15"/>
  <c r="CJ73" i="18"/>
  <c r="CI73" i="18"/>
  <c r="EN65" i="18"/>
  <c r="FG36" i="15"/>
  <c r="EO42" i="15"/>
  <c r="EN139" i="15"/>
  <c r="EN42" i="15"/>
  <c r="EN127" i="15"/>
  <c r="EN88" i="15"/>
  <c r="EN121" i="15"/>
  <c r="EN109" i="15"/>
  <c r="EN63" i="15"/>
  <c r="EN71" i="15"/>
  <c r="CI112" i="18"/>
  <c r="EN112" i="18" s="1"/>
  <c r="EN65" i="15"/>
  <c r="CI103" i="18"/>
  <c r="EN103" i="18" s="1"/>
  <c r="CI69" i="15"/>
  <c r="CT64" i="3"/>
  <c r="CT102" i="18"/>
  <c r="CT101" i="18" s="1"/>
  <c r="CA99" i="18"/>
  <c r="CA134" i="18"/>
  <c r="CA164" i="18"/>
  <c r="CA182" i="18"/>
  <c r="CF111" i="18"/>
  <c r="CF110" i="18" s="1"/>
  <c r="CF70" i="3"/>
  <c r="CF81" i="3"/>
  <c r="AV137" i="18"/>
  <c r="AV136" i="18" s="1"/>
  <c r="AV143" i="18" s="1"/>
  <c r="AV100" i="3"/>
  <c r="AV82" i="3"/>
  <c r="CT134" i="18"/>
  <c r="CT182" i="18"/>
  <c r="CT164" i="18"/>
  <c r="CT192" i="18"/>
  <c r="CT187" i="18"/>
  <c r="CT209" i="18"/>
  <c r="CT99" i="18"/>
  <c r="CS775" i="2"/>
  <c r="CT111" i="18"/>
  <c r="CT110" i="18" s="1"/>
  <c r="CT70" i="3"/>
  <c r="CT81" i="3"/>
  <c r="CI75" i="15"/>
  <c r="CI90" i="15"/>
  <c r="DT167" i="13"/>
  <c r="DT168" i="13" s="1"/>
  <c r="CC168" i="13"/>
  <c r="CD111" i="18"/>
  <c r="CD110" i="18" s="1"/>
  <c r="CD81" i="3"/>
  <c r="CD70" i="3"/>
  <c r="EY37" i="14"/>
  <c r="EY20" i="14"/>
  <c r="DR21" i="14"/>
  <c r="DR104" i="18"/>
  <c r="EY104" i="18" s="1"/>
  <c r="FI104" i="18" s="1"/>
  <c r="G28" i="24" s="1"/>
  <c r="CA64" i="3"/>
  <c r="CA102" i="18"/>
  <c r="CA101" i="18" s="1"/>
  <c r="CF64" i="3"/>
  <c r="CF102" i="18"/>
  <c r="CD64" i="3"/>
  <c r="CD102" i="18"/>
  <c r="CD101" i="18" s="1"/>
  <c r="CA81" i="3"/>
  <c r="CA70" i="3"/>
  <c r="CA111" i="18"/>
  <c r="CA110" i="18" s="1"/>
  <c r="CM64" i="3"/>
  <c r="CM102" i="18"/>
  <c r="CM101" i="18" s="1"/>
  <c r="BD72" i="18"/>
  <c r="CO72" i="18"/>
  <c r="EN92" i="15"/>
  <c r="CI113" i="15"/>
  <c r="BX81" i="3"/>
  <c r="BX111" i="18"/>
  <c r="BX110" i="18" s="1"/>
  <c r="BX70" i="3"/>
  <c r="CS81" i="3"/>
  <c r="CS70" i="3"/>
  <c r="CS111" i="18"/>
  <c r="CS110" i="18" s="1"/>
  <c r="BG182" i="18"/>
  <c r="BG187" i="18"/>
  <c r="BG209" i="18"/>
  <c r="BG192" i="18"/>
  <c r="BZ775" i="2"/>
  <c r="CA187" i="18"/>
  <c r="CA209" i="18"/>
  <c r="CA192" i="18"/>
  <c r="BF64" i="3"/>
  <c r="BF102" i="18"/>
  <c r="BF101" i="18" s="1"/>
  <c r="CN64" i="3"/>
  <c r="CN102" i="18"/>
  <c r="CN101" i="18" s="1"/>
  <c r="CI64" i="3"/>
  <c r="CI102" i="18"/>
  <c r="DR33" i="14"/>
  <c r="DR113" i="18"/>
  <c r="CJ64" i="3"/>
  <c r="CJ102" i="18"/>
  <c r="CJ101" i="18" s="1"/>
  <c r="BG72" i="18"/>
  <c r="CM111" i="18"/>
  <c r="CM110" i="18" s="1"/>
  <c r="CM81" i="3"/>
  <c r="CM70" i="3"/>
  <c r="BC81" i="3"/>
  <c r="BC111" i="18"/>
  <c r="BC110" i="18" s="1"/>
  <c r="BC70" i="3"/>
  <c r="CP111" i="18"/>
  <c r="CP110" i="18" s="1"/>
  <c r="CP70" i="3"/>
  <c r="CP81" i="3"/>
  <c r="CP64" i="3"/>
  <c r="CP102" i="18"/>
  <c r="CP101" i="18" s="1"/>
  <c r="BL111" i="18"/>
  <c r="BL110" i="18" s="1"/>
  <c r="BL81" i="3"/>
  <c r="BL70" i="3"/>
  <c r="BL64" i="3"/>
  <c r="BL102" i="18"/>
  <c r="BL101" i="18" s="1"/>
  <c r="BY111" i="18"/>
  <c r="BY110" i="18" s="1"/>
  <c r="BY81" i="3"/>
  <c r="BY70" i="3"/>
  <c r="AI137" i="18"/>
  <c r="AI136" i="18" s="1"/>
  <c r="AI143" i="18" s="1"/>
  <c r="AI100" i="3"/>
  <c r="AI82" i="3"/>
  <c r="BT111" i="18"/>
  <c r="BT81" i="3"/>
  <c r="BT70" i="3"/>
  <c r="BT64" i="3"/>
  <c r="BT102" i="18"/>
  <c r="BT101" i="18" s="1"/>
  <c r="CQ111" i="18"/>
  <c r="CQ110" i="18" s="1"/>
  <c r="CQ81" i="3"/>
  <c r="CQ70" i="3"/>
  <c r="BZ111" i="18"/>
  <c r="BZ110" i="18" s="1"/>
  <c r="BZ70" i="3"/>
  <c r="BZ81" i="3"/>
  <c r="BO64" i="3"/>
  <c r="BO102" i="18"/>
  <c r="BO101" i="18" s="1"/>
  <c r="BO111" i="18"/>
  <c r="BO110" i="18" s="1"/>
  <c r="BO81" i="3"/>
  <c r="BO70" i="3"/>
  <c r="BH111" i="18"/>
  <c r="BH110" i="18" s="1"/>
  <c r="BH70" i="3"/>
  <c r="BH81" i="3"/>
  <c r="BE64" i="3"/>
  <c r="BE102" i="18"/>
  <c r="BE101" i="18" s="1"/>
  <c r="BS111" i="18"/>
  <c r="BS110" i="18" s="1"/>
  <c r="BS81" i="3"/>
  <c r="BS70" i="3"/>
  <c r="BR102" i="18"/>
  <c r="BR101" i="18" s="1"/>
  <c r="BR64" i="3"/>
  <c r="BR111" i="18"/>
  <c r="BR110" i="18" s="1"/>
  <c r="BR81" i="3"/>
  <c r="BR70" i="3"/>
  <c r="BG134" i="18"/>
  <c r="BG164" i="18"/>
  <c r="BF111" i="18"/>
  <c r="BF110" i="18" s="1"/>
  <c r="BF70" i="3"/>
  <c r="BF81" i="3"/>
  <c r="BD64" i="3"/>
  <c r="BD102" i="18"/>
  <c r="BD101" i="18" s="1"/>
  <c r="BD108" i="18" s="1"/>
  <c r="BD70" i="3"/>
  <c r="BD111" i="18"/>
  <c r="BD110" i="18" s="1"/>
  <c r="BD81" i="3"/>
  <c r="BW102" i="18"/>
  <c r="BW101" i="18" s="1"/>
  <c r="BW64" i="3"/>
  <c r="BI102" i="18"/>
  <c r="BI101" i="18" s="1"/>
  <c r="BI64" i="3"/>
  <c r="BI111" i="18"/>
  <c r="BI110" i="18" s="1"/>
  <c r="BI70" i="3"/>
  <c r="BI81" i="3"/>
  <c r="EY23" i="14"/>
  <c r="DR24" i="14"/>
  <c r="BM81" i="3"/>
  <c r="BM82" i="3" s="1"/>
  <c r="BM70" i="3"/>
  <c r="BM111" i="18"/>
  <c r="BG111" i="18"/>
  <c r="BG110" i="18" s="1"/>
  <c r="BG81" i="3"/>
  <c r="BG70" i="3"/>
  <c r="BH102" i="18"/>
  <c r="BH101" i="18" s="1"/>
  <c r="BH64" i="3"/>
  <c r="CN70" i="3"/>
  <c r="CN81" i="3"/>
  <c r="CN111" i="18"/>
  <c r="CN110" i="18" s="1"/>
  <c r="CB102" i="18"/>
  <c r="CB101" i="18" s="1"/>
  <c r="CB64" i="3"/>
  <c r="FF92" i="15"/>
  <c r="BV147" i="11"/>
  <c r="DM147" i="11" s="1"/>
  <c r="DM132" i="11"/>
  <c r="BZ102" i="18"/>
  <c r="BZ64" i="3"/>
  <c r="CS64" i="3"/>
  <c r="CS102" i="18"/>
  <c r="CS101" i="18" s="1"/>
  <c r="BG102" i="18"/>
  <c r="BG101" i="18" s="1"/>
  <c r="BG64" i="3"/>
  <c r="BB64" i="3"/>
  <c r="BB102" i="18"/>
  <c r="BB101" i="18" s="1"/>
  <c r="BL63" i="18"/>
  <c r="BK775" i="2" s="1"/>
  <c r="BM72" i="18"/>
  <c r="BD209" i="18"/>
  <c r="BD187" i="18"/>
  <c r="BD192" i="18"/>
  <c r="CO102" i="18"/>
  <c r="CO64" i="3"/>
  <c r="CI81" i="3"/>
  <c r="CI70" i="3"/>
  <c r="CI111" i="18"/>
  <c r="BI209" i="18"/>
  <c r="BI187" i="18"/>
  <c r="BI192" i="18"/>
  <c r="BZ63" i="18"/>
  <c r="CA72" i="18"/>
  <c r="BB72" i="18"/>
  <c r="BB63" i="18"/>
  <c r="BZ72" i="18"/>
  <c r="EK64" i="18"/>
  <c r="BU81" i="3"/>
  <c r="BU70" i="3"/>
  <c r="BU111" i="18"/>
  <c r="BU110" i="18" s="1"/>
  <c r="CQ64" i="3"/>
  <c r="CQ102" i="18"/>
  <c r="CQ101" i="18" s="1"/>
  <c r="BG99" i="18"/>
  <c r="BF775" i="2"/>
  <c r="BY64" i="3"/>
  <c r="BY102" i="18"/>
  <c r="BY101" i="18" s="1"/>
  <c r="BI164" i="18"/>
  <c r="BI182" i="18"/>
  <c r="BI134" i="18"/>
  <c r="BU64" i="3"/>
  <c r="BU102" i="18"/>
  <c r="BU101" i="18" s="1"/>
  <c r="BO187" i="18"/>
  <c r="BO209" i="18"/>
  <c r="BO192" i="18"/>
  <c r="CC111" i="18"/>
  <c r="CC110" i="18" s="1"/>
  <c r="CC70" i="3"/>
  <c r="CC81" i="3"/>
  <c r="CC100" i="3" s="1"/>
  <c r="BC775" i="2"/>
  <c r="BD164" i="18"/>
  <c r="BD182" i="18"/>
  <c r="BD134" i="18"/>
  <c r="BD99" i="18"/>
  <c r="CO111" i="18"/>
  <c r="CO70" i="3"/>
  <c r="CO81" i="3"/>
  <c r="CR111" i="18"/>
  <c r="CR70" i="3"/>
  <c r="CR81" i="3"/>
  <c r="BW111" i="18"/>
  <c r="BW81" i="3"/>
  <c r="BH775" i="2"/>
  <c r="BI99" i="18"/>
  <c r="BN775" i="2"/>
  <c r="BO164" i="18"/>
  <c r="BO182" i="18"/>
  <c r="BO99" i="18"/>
  <c r="BO134" i="18"/>
  <c r="CJ111" i="18"/>
  <c r="CJ110" i="18" s="1"/>
  <c r="CJ81" i="3"/>
  <c r="CJ82" i="3" s="1"/>
  <c r="CJ70" i="3"/>
  <c r="CE111" i="18"/>
  <c r="CE81" i="3"/>
  <c r="CE70" i="3"/>
  <c r="AY182" i="18"/>
  <c r="AY187" i="18"/>
  <c r="AY209" i="18"/>
  <c r="BM134" i="18"/>
  <c r="AH137" i="18"/>
  <c r="AH136" i="18" s="1"/>
  <c r="AH143" i="18" s="1"/>
  <c r="AH100" i="3"/>
  <c r="AH82" i="3"/>
  <c r="AZ137" i="18"/>
  <c r="AZ136" i="18" s="1"/>
  <c r="AZ143" i="18" s="1"/>
  <c r="AZ100" i="3"/>
  <c r="AZ82" i="3"/>
  <c r="W137" i="18"/>
  <c r="W136" i="18" s="1"/>
  <c r="W100" i="3"/>
  <c r="J137" i="18"/>
  <c r="J136" i="18" s="1"/>
  <c r="J100" i="3"/>
  <c r="EL113" i="15"/>
  <c r="CC131" i="15"/>
  <c r="ET114" i="15"/>
  <c r="DC132" i="15"/>
  <c r="EM113" i="15"/>
  <c r="CF131" i="15"/>
  <c r="EQ113" i="15"/>
  <c r="CR131" i="15"/>
  <c r="BX91" i="12"/>
  <c r="CL143" i="15"/>
  <c r="EK131" i="15"/>
  <c r="EO131" i="15"/>
  <c r="EP113" i="15"/>
  <c r="CO131" i="15"/>
  <c r="AD101" i="18"/>
  <c r="BE111" i="18"/>
  <c r="BE110" i="18" s="1"/>
  <c r="BE81" i="3"/>
  <c r="BE70" i="3"/>
  <c r="AT137" i="18"/>
  <c r="AT136" i="18" s="1"/>
  <c r="AT143" i="18" s="1"/>
  <c r="AT100" i="3"/>
  <c r="AT82" i="3"/>
  <c r="CE64" i="3"/>
  <c r="CE102" i="18"/>
  <c r="CE101" i="18" s="1"/>
  <c r="CB81" i="3"/>
  <c r="CB111" i="18"/>
  <c r="CR64" i="3"/>
  <c r="CR102" i="18"/>
  <c r="BM64" i="3"/>
  <c r="BM102" i="18"/>
  <c r="BM101" i="18" s="1"/>
  <c r="BS64" i="3"/>
  <c r="BS102" i="18"/>
  <c r="BS101" i="18" s="1"/>
  <c r="AW117" i="18"/>
  <c r="AW116" i="18"/>
  <c r="BB111" i="18"/>
  <c r="BB110" i="18" s="1"/>
  <c r="BB70" i="3"/>
  <c r="BB81" i="3"/>
  <c r="R117" i="18"/>
  <c r="R116" i="18"/>
  <c r="O116" i="18"/>
  <c r="O117" i="18"/>
  <c r="CE165" i="13"/>
  <c r="CE162" i="13"/>
  <c r="AD187" i="18"/>
  <c r="AE70" i="18"/>
  <c r="L137" i="18"/>
  <c r="L136" i="18" s="1"/>
  <c r="L82" i="3"/>
  <c r="L100" i="3"/>
  <c r="BJ111" i="18"/>
  <c r="BJ110" i="18" s="1"/>
  <c r="BJ81" i="3"/>
  <c r="BJ70" i="3"/>
  <c r="DD132" i="15"/>
  <c r="P137" i="18"/>
  <c r="P136" i="18" s="1"/>
  <c r="P100" i="3"/>
  <c r="P82" i="3"/>
  <c r="CF74" i="13"/>
  <c r="BY95" i="12"/>
  <c r="DN95" i="12" s="1"/>
  <c r="EA95" i="12" s="1"/>
  <c r="BY97" i="12"/>
  <c r="DN97" i="12" s="1"/>
  <c r="EA97" i="12" s="1"/>
  <c r="DF67" i="18"/>
  <c r="BY94" i="12"/>
  <c r="AS137" i="18"/>
  <c r="AS136" i="18" s="1"/>
  <c r="AS143" i="18" s="1"/>
  <c r="AS82" i="3"/>
  <c r="AS100" i="3"/>
  <c r="DU138" i="13"/>
  <c r="EH138" i="13" s="1"/>
  <c r="DU137" i="13"/>
  <c r="EH137" i="13" s="1"/>
  <c r="DV49" i="13"/>
  <c r="CB39" i="12"/>
  <c r="DO39" i="12" s="1"/>
  <c r="EF113" i="15"/>
  <c r="BK131" i="15"/>
  <c r="EJ113" i="15"/>
  <c r="BW131" i="15"/>
  <c r="EI113" i="15"/>
  <c r="BT131" i="15"/>
  <c r="EH113" i="15"/>
  <c r="BQ131" i="15"/>
  <c r="F117" i="18"/>
  <c r="E775" i="2"/>
  <c r="L70" i="18"/>
  <c r="J775" i="2"/>
  <c r="H116" i="18"/>
  <c r="G775" i="2"/>
  <c r="AS117" i="18"/>
  <c r="AS192" i="18"/>
  <c r="AS99" i="18"/>
  <c r="AS70" i="18"/>
  <c r="V209" i="18"/>
  <c r="U775" i="2"/>
  <c r="N182" i="18"/>
  <c r="M775" i="2"/>
  <c r="P182" i="18"/>
  <c r="O775" i="2"/>
  <c r="Q182" i="18"/>
  <c r="P775" i="2"/>
  <c r="AY117" i="18"/>
  <c r="AS187" i="18"/>
  <c r="AR775" i="2"/>
  <c r="AY134" i="18"/>
  <c r="AX775" i="2"/>
  <c r="AV99" i="18"/>
  <c r="AU775" i="2"/>
  <c r="AT192" i="18"/>
  <c r="AS775" i="2"/>
  <c r="AH192" i="18"/>
  <c r="AG775" i="2"/>
  <c r="AD182" i="18"/>
  <c r="AC775" i="2"/>
  <c r="BM192" i="18"/>
  <c r="BL775" i="2"/>
  <c r="AC70" i="18"/>
  <c r="AB775" i="2"/>
  <c r="CC102" i="18"/>
  <c r="BM209" i="18"/>
  <c r="J82" i="3"/>
  <c r="W82" i="3"/>
  <c r="BM99" i="18"/>
  <c r="BM182" i="18"/>
  <c r="BM187" i="18"/>
  <c r="EP64" i="18"/>
  <c r="S101" i="18"/>
  <c r="S108" i="18" s="1"/>
  <c r="BM164" i="18"/>
  <c r="BA101" i="18"/>
  <c r="BA107" i="18" s="1"/>
  <c r="EQ64" i="18"/>
  <c r="AI101" i="18"/>
  <c r="AI107" i="18" s="1"/>
  <c r="FG35" i="18"/>
  <c r="E6" i="24" s="1"/>
  <c r="FE35" i="18"/>
  <c r="C6" i="24" s="1"/>
  <c r="FF78" i="18"/>
  <c r="D20" i="24" s="1"/>
  <c r="EP103" i="18"/>
  <c r="AD99" i="18"/>
  <c r="AD164" i="18"/>
  <c r="AY164" i="18"/>
  <c r="AV134" i="18"/>
  <c r="EN64" i="18"/>
  <c r="AS209" i="18"/>
  <c r="AY192" i="18"/>
  <c r="AV187" i="18"/>
  <c r="EO103" i="18"/>
  <c r="FF46" i="18"/>
  <c r="AY70" i="18"/>
  <c r="AS134" i="18"/>
  <c r="AT134" i="18"/>
  <c r="AD209" i="18"/>
  <c r="EQ103" i="18"/>
  <c r="AY99" i="18"/>
  <c r="X117" i="18"/>
  <c r="AS182" i="18"/>
  <c r="EL103" i="18"/>
  <c r="EJ103" i="18"/>
  <c r="AZ70" i="18"/>
  <c r="AW70" i="18"/>
  <c r="AD134" i="18"/>
  <c r="EJ64" i="18"/>
  <c r="AV209" i="18"/>
  <c r="BX102" i="11"/>
  <c r="BO72" i="18"/>
  <c r="EG64" i="18"/>
  <c r="EI103" i="18"/>
  <c r="DU131" i="13"/>
  <c r="EH77" i="13"/>
  <c r="DU125" i="13"/>
  <c r="FI9" i="14"/>
  <c r="EY14" i="14"/>
  <c r="EY48" i="14"/>
  <c r="EY31" i="14"/>
  <c r="BW113" i="11"/>
  <c r="BV118" i="12"/>
  <c r="DM118" i="12" s="1"/>
  <c r="DM103" i="12"/>
  <c r="CO119" i="18"/>
  <c r="EP120" i="18"/>
  <c r="EK103" i="18"/>
  <c r="EO64" i="18"/>
  <c r="DV29" i="13"/>
  <c r="CI61" i="18"/>
  <c r="EN34" i="18"/>
  <c r="BN61" i="18"/>
  <c r="EG34" i="18"/>
  <c r="EG61" i="18" s="1"/>
  <c r="FG47" i="18"/>
  <c r="DN53" i="11"/>
  <c r="BX96" i="11"/>
  <c r="BX87" i="11"/>
  <c r="BK61" i="18"/>
  <c r="EF34" i="18"/>
  <c r="EF61" i="18" s="1"/>
  <c r="CR61" i="18"/>
  <c r="EQ34" i="18"/>
  <c r="EQ61" i="18" s="1"/>
  <c r="CI17" i="13"/>
  <c r="DV23" i="13"/>
  <c r="CB21" i="12"/>
  <c r="DO21" i="12" s="1"/>
  <c r="DO7" i="12"/>
  <c r="DR74" i="18"/>
  <c r="EY66" i="18"/>
  <c r="EL64" i="18"/>
  <c r="BL72" i="18"/>
  <c r="EF64" i="18"/>
  <c r="FF35" i="18"/>
  <c r="D6" i="24" s="1"/>
  <c r="FG46" i="18"/>
  <c r="BZ61" i="18"/>
  <c r="EK34" i="18"/>
  <c r="EK61" i="18" s="1"/>
  <c r="FF47" i="18"/>
  <c r="BW119" i="18"/>
  <c r="EJ119" i="18" s="1"/>
  <c r="EJ120" i="18"/>
  <c r="BX55" i="11"/>
  <c r="DU76" i="13"/>
  <c r="CC61" i="18"/>
  <c r="EL34" i="18"/>
  <c r="EL61" i="18" s="1"/>
  <c r="BW61" i="18"/>
  <c r="EJ34" i="18"/>
  <c r="EI64" i="18"/>
  <c r="CA33" i="11"/>
  <c r="CG77" i="13"/>
  <c r="BT61" i="18"/>
  <c r="EI34" i="18"/>
  <c r="EI61" i="18" s="1"/>
  <c r="CI119" i="18"/>
  <c r="EN119" i="18" s="1"/>
  <c r="EN120" i="18"/>
  <c r="EM112" i="18"/>
  <c r="CE155" i="13"/>
  <c r="BW103" i="12"/>
  <c r="CF61" i="18"/>
  <c r="EM34" i="18"/>
  <c r="EM61" i="18" s="1"/>
  <c r="FE47" i="18"/>
  <c r="CC5" i="11"/>
  <c r="CB8" i="11"/>
  <c r="DO8" i="11" s="1"/>
  <c r="DV3" i="13"/>
  <c r="EF103" i="18"/>
  <c r="EH64" i="18"/>
  <c r="FE78" i="18"/>
  <c r="C20" i="24" s="1"/>
  <c r="CL61" i="18"/>
  <c r="EO34" i="18"/>
  <c r="EO61" i="18" s="1"/>
  <c r="FG78" i="18"/>
  <c r="E20" i="24" s="1"/>
  <c r="FE46" i="18"/>
  <c r="CC6" i="11"/>
  <c r="EK138" i="18"/>
  <c r="BZ119" i="18"/>
  <c r="EK120" i="18"/>
  <c r="EM64" i="18"/>
  <c r="BT119" i="18"/>
  <c r="EI119" i="18" s="1"/>
  <c r="EI120" i="18"/>
  <c r="FE120" i="18" s="1"/>
  <c r="CO61" i="18"/>
  <c r="EP34" i="18"/>
  <c r="EP61" i="18" s="1"/>
  <c r="BQ61" i="18"/>
  <c r="EH34" i="18"/>
  <c r="V117" i="18"/>
  <c r="AT99" i="18"/>
  <c r="L116" i="18"/>
  <c r="AJ116" i="18"/>
  <c r="T117" i="18"/>
  <c r="BA117" i="18"/>
  <c r="M136" i="18"/>
  <c r="S116" i="18"/>
  <c r="AH209" i="18"/>
  <c r="AY116" i="18"/>
  <c r="AI70" i="18"/>
  <c r="AM117" i="18"/>
  <c r="V164" i="18"/>
  <c r="AH182" i="18"/>
  <c r="AM136" i="18"/>
  <c r="AM143" i="18" s="1"/>
  <c r="AN136" i="18"/>
  <c r="AN143" i="18" s="1"/>
  <c r="W70" i="18"/>
  <c r="V182" i="18"/>
  <c r="CL42" i="7"/>
  <c r="EI12" i="7"/>
  <c r="N164" i="18"/>
  <c r="CU18" i="15"/>
  <c r="CU27" i="15" s="1"/>
  <c r="CU47" i="15" s="1"/>
  <c r="BN23" i="11"/>
  <c r="DK13" i="11"/>
  <c r="O70" i="18"/>
  <c r="Q164" i="18"/>
  <c r="EF69" i="15"/>
  <c r="EF75" i="15"/>
  <c r="AT164" i="18"/>
  <c r="AT70" i="18"/>
  <c r="V70" i="18"/>
  <c r="V116" i="18"/>
  <c r="V134" i="18"/>
  <c r="AH164" i="18"/>
  <c r="AD192" i="18"/>
  <c r="AV192" i="18"/>
  <c r="AH187" i="18"/>
  <c r="AD116" i="18"/>
  <c r="AH70" i="18"/>
  <c r="M116" i="18"/>
  <c r="AH99" i="18"/>
  <c r="AV182" i="18"/>
  <c r="V192" i="18"/>
  <c r="AT182" i="18"/>
  <c r="AT209" i="18"/>
  <c r="AV70" i="18"/>
  <c r="AR116" i="18"/>
  <c r="AE117" i="18"/>
  <c r="AH117" i="18"/>
  <c r="AV164" i="18"/>
  <c r="V187" i="18"/>
  <c r="AT117" i="18"/>
  <c r="AT187" i="18"/>
  <c r="V99" i="18"/>
  <c r="AU70" i="18"/>
  <c r="AH116" i="18"/>
  <c r="AH134" i="18"/>
  <c r="AV116" i="18"/>
  <c r="AL108" i="18"/>
  <c r="AL107" i="18"/>
  <c r="AD117" i="18"/>
  <c r="N116" i="18"/>
  <c r="BK110" i="18"/>
  <c r="AQ108" i="18"/>
  <c r="Z108" i="18"/>
  <c r="N134" i="18"/>
  <c r="N117" i="18"/>
  <c r="T101" i="18"/>
  <c r="T107" i="18" s="1"/>
  <c r="CY153" i="18"/>
  <c r="P164" i="18"/>
  <c r="Y107" i="18"/>
  <c r="AS116" i="18"/>
  <c r="AI116" i="18"/>
  <c r="AK107" i="18"/>
  <c r="AZ116" i="18"/>
  <c r="AV117" i="18"/>
  <c r="AX107" i="18"/>
  <c r="W117" i="18"/>
  <c r="N70" i="18"/>
  <c r="N99" i="18"/>
  <c r="R70" i="18"/>
  <c r="AT116" i="18"/>
  <c r="AP108" i="18"/>
  <c r="Q117" i="18"/>
  <c r="AB108" i="18"/>
  <c r="AF107" i="18"/>
  <c r="AF108" i="18"/>
  <c r="N101" i="18"/>
  <c r="N107" i="18" s="1"/>
  <c r="P70" i="18"/>
  <c r="AT101" i="18"/>
  <c r="U108" i="18"/>
  <c r="AD70" i="18"/>
  <c r="Q70" i="18"/>
  <c r="P116" i="18"/>
  <c r="H117" i="18"/>
  <c r="AM107" i="18"/>
  <c r="AM108" i="18"/>
  <c r="AN108" i="18"/>
  <c r="AN107" i="18"/>
  <c r="AO107" i="18"/>
  <c r="AO108" i="18"/>
  <c r="AG108" i="18"/>
  <c r="AG107" i="18"/>
  <c r="M108" i="18"/>
  <c r="M107" i="18"/>
  <c r="R100" i="3"/>
  <c r="R137" i="18"/>
  <c r="R136" i="18" s="1"/>
  <c r="BV70" i="3"/>
  <c r="BV111" i="18"/>
  <c r="BV110" i="18" s="1"/>
  <c r="I197" i="18"/>
  <c r="I173" i="18"/>
  <c r="CH64" i="3"/>
  <c r="CH102" i="18"/>
  <c r="CH101" i="18" s="1"/>
  <c r="BP81" i="3"/>
  <c r="BP111" i="18"/>
  <c r="BP110" i="18" s="1"/>
  <c r="CL64" i="3"/>
  <c r="CL102" i="18"/>
  <c r="BN81" i="3"/>
  <c r="BN111" i="18"/>
  <c r="F100" i="3"/>
  <c r="F137" i="18"/>
  <c r="F136" i="18" s="1"/>
  <c r="CV18" i="15"/>
  <c r="CV27" i="18" s="1"/>
  <c r="CV32" i="18" s="1"/>
  <c r="BO25" i="11"/>
  <c r="BO23" i="11" s="1"/>
  <c r="DG39" i="15"/>
  <c r="BC64" i="3"/>
  <c r="BC102" i="18"/>
  <c r="BC101" i="18" s="1"/>
  <c r="CP72" i="18"/>
  <c r="CP63" i="18"/>
  <c r="CO775" i="2" s="1"/>
  <c r="CM72" i="18"/>
  <c r="CM63" i="18"/>
  <c r="CL775" i="2" s="1"/>
  <c r="F108" i="18"/>
  <c r="F107" i="18"/>
  <c r="CK72" i="18"/>
  <c r="CK63" i="18"/>
  <c r="CJ775" i="2" s="1"/>
  <c r="CP158" i="7"/>
  <c r="CL72" i="18"/>
  <c r="CL63" i="18"/>
  <c r="CK775" i="2" s="1"/>
  <c r="AY101" i="18"/>
  <c r="C197" i="18"/>
  <c r="C173" i="18"/>
  <c r="BQ81" i="3"/>
  <c r="BQ137" i="18" s="1"/>
  <c r="BQ111" i="18"/>
  <c r="BQ64" i="3"/>
  <c r="BQ102" i="18"/>
  <c r="DI19" i="15"/>
  <c r="EV19" i="15" s="1"/>
  <c r="CB24" i="11"/>
  <c r="DO24" i="11" s="1"/>
  <c r="BK138" i="18"/>
  <c r="EF138" i="18" s="1"/>
  <c r="EF90" i="15"/>
  <c r="CL138" i="18"/>
  <c r="EO138" i="18" s="1"/>
  <c r="EK90" i="15"/>
  <c r="EK94" i="15" s="1"/>
  <c r="EO90" i="15"/>
  <c r="EO94" i="15" s="1"/>
  <c r="BT138" i="18"/>
  <c r="EI90" i="15"/>
  <c r="EI94" i="15" s="1"/>
  <c r="P117" i="18"/>
  <c r="Q116" i="18"/>
  <c r="CI72" i="18"/>
  <c r="CI63" i="18"/>
  <c r="CH775" i="2" s="1"/>
  <c r="H108" i="18"/>
  <c r="H107" i="18"/>
  <c r="J108" i="18"/>
  <c r="J107" i="18"/>
  <c r="BV72" i="18"/>
  <c r="BV63" i="18"/>
  <c r="BU775" i="2" s="1"/>
  <c r="J209" i="18"/>
  <c r="J187" i="18"/>
  <c r="J70" i="18"/>
  <c r="J182" i="18"/>
  <c r="J192" i="18"/>
  <c r="J99" i="18"/>
  <c r="J164" i="18"/>
  <c r="J134" i="18"/>
  <c r="X101" i="18"/>
  <c r="CB72" i="18"/>
  <c r="CB63" i="18"/>
  <c r="BQ72" i="18"/>
  <c r="BQ63" i="18"/>
  <c r="BP775" i="2" s="1"/>
  <c r="P101" i="18"/>
  <c r="AW101" i="18"/>
  <c r="CQ72" i="18"/>
  <c r="CQ63" i="18"/>
  <c r="CP775" i="2" s="1"/>
  <c r="BY52" i="11"/>
  <c r="DN52" i="11" s="1"/>
  <c r="CK81" i="3"/>
  <c r="CK111" i="18"/>
  <c r="CK110" i="18" s="1"/>
  <c r="BK72" i="18"/>
  <c r="BK63" i="18"/>
  <c r="G197" i="18"/>
  <c r="G173" i="18"/>
  <c r="AY82" i="3"/>
  <c r="AY137" i="18"/>
  <c r="AY136" i="18" s="1"/>
  <c r="AY143" i="18" s="1"/>
  <c r="CL81" i="3"/>
  <c r="CL111" i="18"/>
  <c r="CK64" i="3"/>
  <c r="CK102" i="18"/>
  <c r="CK101" i="18" s="1"/>
  <c r="Q82" i="3"/>
  <c r="Q137" i="18"/>
  <c r="Q136" i="18" s="1"/>
  <c r="AN106" i="3"/>
  <c r="AN167" i="18"/>
  <c r="AD82" i="3"/>
  <c r="AD137" i="18"/>
  <c r="AD136" i="18" s="1"/>
  <c r="AD143" i="18" s="1"/>
  <c r="AM106" i="3"/>
  <c r="AM167" i="18"/>
  <c r="CG64" i="3"/>
  <c r="CG102" i="18"/>
  <c r="CG101" i="18" s="1"/>
  <c r="CG81" i="3"/>
  <c r="CG82" i="3" s="1"/>
  <c r="CG111" i="18"/>
  <c r="BH72" i="18"/>
  <c r="BH63" i="18"/>
  <c r="BG775" i="2" s="1"/>
  <c r="CD72" i="18"/>
  <c r="CD63" i="18"/>
  <c r="CC775" i="2" s="1"/>
  <c r="P187" i="18"/>
  <c r="P209" i="18"/>
  <c r="P192" i="18"/>
  <c r="CP157" i="7"/>
  <c r="K209" i="18"/>
  <c r="K187" i="18"/>
  <c r="K70" i="18"/>
  <c r="K182" i="18"/>
  <c r="K192" i="18"/>
  <c r="K164" i="18"/>
  <c r="K99" i="18"/>
  <c r="K134" i="18"/>
  <c r="R101" i="18"/>
  <c r="F209" i="18"/>
  <c r="F187" i="18"/>
  <c r="F70" i="18"/>
  <c r="F182" i="18"/>
  <c r="F192" i="18"/>
  <c r="F134" i="18"/>
  <c r="F99" i="18"/>
  <c r="F164" i="18"/>
  <c r="G70" i="18"/>
  <c r="BU72" i="18"/>
  <c r="BU63" i="18"/>
  <c r="BT775" i="2" s="1"/>
  <c r="AE101" i="18"/>
  <c r="BR153" i="11"/>
  <c r="BR124" i="12"/>
  <c r="CG80" i="13"/>
  <c r="CG76" i="13"/>
  <c r="CB37" i="11"/>
  <c r="DO37" i="11" s="1"/>
  <c r="AC136" i="18"/>
  <c r="AC143" i="18" s="1"/>
  <c r="T136" i="18"/>
  <c r="AR136" i="18"/>
  <c r="AR143" i="18" s="1"/>
  <c r="Q99" i="18"/>
  <c r="P99" i="18"/>
  <c r="Q134" i="18"/>
  <c r="W101" i="18"/>
  <c r="L101" i="18"/>
  <c r="AH101" i="18"/>
  <c r="BE72" i="18"/>
  <c r="BE63" i="18"/>
  <c r="BD775" i="2" s="1"/>
  <c r="V101" i="18"/>
  <c r="BN72" i="18"/>
  <c r="BN63" i="18"/>
  <c r="BM775" i="2" s="1"/>
  <c r="AS101" i="18"/>
  <c r="BP72" i="18"/>
  <c r="BP63" i="18"/>
  <c r="BO775" i="2" s="1"/>
  <c r="CS72" i="18"/>
  <c r="CS63" i="18"/>
  <c r="CR775" i="2" s="1"/>
  <c r="CT72" i="18"/>
  <c r="AC116" i="18"/>
  <c r="H100" i="3"/>
  <c r="H167" i="18" s="1"/>
  <c r="H166" i="18" s="1"/>
  <c r="H137" i="18"/>
  <c r="H136" i="18" s="1"/>
  <c r="X100" i="3"/>
  <c r="X167" i="18" s="1"/>
  <c r="X137" i="18"/>
  <c r="X136" i="18" s="1"/>
  <c r="BN64" i="3"/>
  <c r="BN102" i="18"/>
  <c r="M106" i="3"/>
  <c r="M167" i="18"/>
  <c r="BN38" i="11"/>
  <c r="CR72" i="18"/>
  <c r="CR63" i="18"/>
  <c r="CQ775" i="2" s="1"/>
  <c r="BT72" i="18"/>
  <c r="BT63" i="18"/>
  <c r="BS775" i="2" s="1"/>
  <c r="BR72" i="18"/>
  <c r="BR63" i="18"/>
  <c r="BQ775" i="2" s="1"/>
  <c r="CF72" i="18"/>
  <c r="CF63" i="18"/>
  <c r="CE775" i="2" s="1"/>
  <c r="DH24" i="15"/>
  <c r="AV101" i="18"/>
  <c r="AC117" i="18"/>
  <c r="CJ72" i="18"/>
  <c r="CJ63" i="18"/>
  <c r="CI775" i="2" s="1"/>
  <c r="AU101" i="18"/>
  <c r="O101" i="18"/>
  <c r="BJ72" i="18"/>
  <c r="BJ63" i="18"/>
  <c r="BI775" i="2" s="1"/>
  <c r="AU116" i="18"/>
  <c r="AU117" i="18"/>
  <c r="CV28" i="18"/>
  <c r="DI15" i="15"/>
  <c r="DI24" i="15" s="1"/>
  <c r="AW136" i="18"/>
  <c r="AW143" i="18" s="1"/>
  <c r="AE136" i="18"/>
  <c r="AE143" i="18" s="1"/>
  <c r="S136" i="18"/>
  <c r="BW72" i="18"/>
  <c r="BW63" i="18"/>
  <c r="BV775" i="2" s="1"/>
  <c r="F116" i="18"/>
  <c r="H187" i="18"/>
  <c r="H209" i="18"/>
  <c r="H70" i="18"/>
  <c r="H182" i="18"/>
  <c r="H192" i="18"/>
  <c r="H134" i="18"/>
  <c r="H99" i="18"/>
  <c r="H164" i="18"/>
  <c r="I70" i="18"/>
  <c r="J116" i="18"/>
  <c r="J117" i="18"/>
  <c r="BS72" i="18"/>
  <c r="BS63" i="18"/>
  <c r="BR775" i="2" s="1"/>
  <c r="CG72" i="18"/>
  <c r="CG63" i="18"/>
  <c r="CF775" i="2" s="1"/>
  <c r="AJ101" i="18"/>
  <c r="AZ101" i="18"/>
  <c r="AN117" i="18"/>
  <c r="AN116" i="18"/>
  <c r="AA117" i="18"/>
  <c r="AA116" i="18"/>
  <c r="BA100" i="3"/>
  <c r="BA167" i="18" s="1"/>
  <c r="BA137" i="18"/>
  <c r="BA136" i="18" s="1"/>
  <c r="BA143" i="18" s="1"/>
  <c r="BP64" i="3"/>
  <c r="BP102" i="18"/>
  <c r="BP101" i="18" s="1"/>
  <c r="AA82" i="3"/>
  <c r="AA137" i="18"/>
  <c r="AA136" i="18" s="1"/>
  <c r="BJ64" i="3"/>
  <c r="BJ102" i="18"/>
  <c r="BJ101" i="18" s="1"/>
  <c r="BV64" i="3"/>
  <c r="BV102" i="18"/>
  <c r="BV101" i="18" s="1"/>
  <c r="AJ100" i="3"/>
  <c r="AJ167" i="18" s="1"/>
  <c r="AJ137" i="18"/>
  <c r="AJ136" i="18" s="1"/>
  <c r="AJ143" i="18" s="1"/>
  <c r="BK64" i="3"/>
  <c r="BK102" i="18"/>
  <c r="V100" i="3"/>
  <c r="V167" i="18" s="1"/>
  <c r="V137" i="18"/>
  <c r="V136" i="18" s="1"/>
  <c r="BX77" i="11"/>
  <c r="BX64" i="11"/>
  <c r="DE87" i="18"/>
  <c r="CN72" i="18"/>
  <c r="CN63" i="18"/>
  <c r="CM775" i="2" s="1"/>
  <c r="BX72" i="18"/>
  <c r="BX63" i="18"/>
  <c r="BW775" i="2" s="1"/>
  <c r="CE72" i="18"/>
  <c r="CE63" i="18"/>
  <c r="CD775" i="2" s="1"/>
  <c r="Q187" i="18"/>
  <c r="Q209" i="18"/>
  <c r="Q192" i="18"/>
  <c r="AC209" i="18"/>
  <c r="AC187" i="18"/>
  <c r="AC182" i="18"/>
  <c r="AC192" i="18"/>
  <c r="AC134" i="18"/>
  <c r="AC164" i="18"/>
  <c r="AC99" i="18"/>
  <c r="BI72" i="18"/>
  <c r="CH72" i="18"/>
  <c r="CH63" i="18"/>
  <c r="AA101" i="18"/>
  <c r="BY72" i="18"/>
  <c r="BY63" i="18"/>
  <c r="BX775" i="2" s="1"/>
  <c r="AR101" i="18"/>
  <c r="Q101" i="18"/>
  <c r="K117" i="18"/>
  <c r="AU82" i="3"/>
  <c r="AU137" i="18"/>
  <c r="AU136" i="18" s="1"/>
  <c r="AU143" i="18" s="1"/>
  <c r="E197" i="18"/>
  <c r="E173" i="18"/>
  <c r="D197" i="18"/>
  <c r="D173" i="18"/>
  <c r="CG62" i="13"/>
  <c r="BZ45" i="11"/>
  <c r="CC138" i="18"/>
  <c r="EL138" i="18" s="1"/>
  <c r="EL90" i="15"/>
  <c r="EL94" i="15" s="1"/>
  <c r="N136" i="18"/>
  <c r="O136" i="18"/>
  <c r="P134" i="18"/>
  <c r="BC72" i="18"/>
  <c r="BC63" i="18"/>
  <c r="BB775" i="2" s="1"/>
  <c r="BF72" i="18"/>
  <c r="BF63" i="18"/>
  <c r="BE775" i="2" s="1"/>
  <c r="N209" i="18"/>
  <c r="N187" i="18"/>
  <c r="N192" i="18"/>
  <c r="K107" i="18"/>
  <c r="K108" i="18"/>
  <c r="CC72" i="18"/>
  <c r="CC63" i="18"/>
  <c r="CB775" i="2" s="1"/>
  <c r="BX64" i="3"/>
  <c r="BX102" i="18"/>
  <c r="BX101" i="18" s="1"/>
  <c r="AC101" i="18"/>
  <c r="K116" i="18"/>
  <c r="BX45" i="12"/>
  <c r="BX70" i="12"/>
  <c r="BY58" i="12"/>
  <c r="DE54" i="15"/>
  <c r="AA111" i="15"/>
  <c r="AA168" i="18" s="1"/>
  <c r="AA94" i="15"/>
  <c r="U111" i="15"/>
  <c r="U168" i="18" s="1"/>
  <c r="U166" i="18" s="1"/>
  <c r="U94" i="15"/>
  <c r="BY111" i="15"/>
  <c r="BY168" i="18" s="1"/>
  <c r="BY94" i="15"/>
  <c r="T111" i="15"/>
  <c r="T168" i="18" s="1"/>
  <c r="T94" i="15"/>
  <c r="M111" i="15"/>
  <c r="M168" i="18" s="1"/>
  <c r="M94" i="15"/>
  <c r="BP94" i="15"/>
  <c r="BP111" i="15"/>
  <c r="BP168" i="18" s="1"/>
  <c r="AV111" i="15"/>
  <c r="AV168" i="18" s="1"/>
  <c r="AV94" i="15"/>
  <c r="AL111" i="15"/>
  <c r="AL168" i="18" s="1"/>
  <c r="AL166" i="18" s="1"/>
  <c r="AL94" i="15"/>
  <c r="AU94" i="15"/>
  <c r="AU111" i="15"/>
  <c r="AU168" i="18" s="1"/>
  <c r="BV111" i="15"/>
  <c r="BV168" i="18" s="1"/>
  <c r="BV94" i="15"/>
  <c r="CM111" i="15"/>
  <c r="CM168" i="18" s="1"/>
  <c r="CM94" i="15"/>
  <c r="AE111" i="15"/>
  <c r="AE168" i="18" s="1"/>
  <c r="AE94" i="15"/>
  <c r="CJ111" i="15"/>
  <c r="CJ168" i="18" s="1"/>
  <c r="CJ94" i="15"/>
  <c r="AZ111" i="15"/>
  <c r="AZ168" i="18" s="1"/>
  <c r="AZ94" i="15"/>
  <c r="AN111" i="15"/>
  <c r="AN168" i="18" s="1"/>
  <c r="AN94" i="15"/>
  <c r="AX111" i="15"/>
  <c r="AX168" i="18" s="1"/>
  <c r="AX166" i="18" s="1"/>
  <c r="AX94" i="15"/>
  <c r="W111" i="15"/>
  <c r="W168" i="18" s="1"/>
  <c r="W94" i="15"/>
  <c r="BE111" i="15"/>
  <c r="BE168" i="18" s="1"/>
  <c r="BE94" i="15"/>
  <c r="CA111" i="15"/>
  <c r="CA168" i="18" s="1"/>
  <c r="CA94" i="15"/>
  <c r="N111" i="15"/>
  <c r="N168" i="18" s="1"/>
  <c r="N94" i="15"/>
  <c r="CG111" i="15"/>
  <c r="CG168" i="18" s="1"/>
  <c r="CG94" i="15"/>
  <c r="BD94" i="15"/>
  <c r="BD111" i="15"/>
  <c r="BD168" i="18" s="1"/>
  <c r="P111" i="15"/>
  <c r="P168" i="18" s="1"/>
  <c r="P94" i="15"/>
  <c r="BM111" i="15"/>
  <c r="BM168" i="18" s="1"/>
  <c r="BM94" i="15"/>
  <c r="L111" i="15"/>
  <c r="L168" i="18" s="1"/>
  <c r="L94" i="15"/>
  <c r="AB111" i="15"/>
  <c r="AB168" i="18" s="1"/>
  <c r="AB166" i="18" s="1"/>
  <c r="AB94" i="15"/>
  <c r="BX111" i="15"/>
  <c r="BX168" i="18" s="1"/>
  <c r="BX94" i="15"/>
  <c r="AI94" i="15"/>
  <c r="AI111" i="15"/>
  <c r="AI168" i="18" s="1"/>
  <c r="CK111" i="15"/>
  <c r="CK168" i="18" s="1"/>
  <c r="CK94" i="15"/>
  <c r="CD94" i="15"/>
  <c r="CD111" i="15"/>
  <c r="CD168" i="18" s="1"/>
  <c r="AP111" i="15"/>
  <c r="AP168" i="18" s="1"/>
  <c r="AP166" i="18" s="1"/>
  <c r="AP94" i="15"/>
  <c r="AH111" i="15"/>
  <c r="AH168" i="18" s="1"/>
  <c r="AH94" i="15"/>
  <c r="R111" i="15"/>
  <c r="R168" i="18" s="1"/>
  <c r="R94" i="15"/>
  <c r="CP94" i="15"/>
  <c r="CP111" i="15"/>
  <c r="CP168" i="18" s="1"/>
  <c r="AJ111" i="15"/>
  <c r="AJ168" i="18" s="1"/>
  <c r="AJ94" i="15"/>
  <c r="AQ111" i="15"/>
  <c r="AQ168" i="18" s="1"/>
  <c r="AQ166" i="18" s="1"/>
  <c r="AQ94" i="15"/>
  <c r="CE111" i="15"/>
  <c r="CE168" i="18" s="1"/>
  <c r="CE94" i="15"/>
  <c r="BL111" i="15"/>
  <c r="BL168" i="18" s="1"/>
  <c r="BL94" i="15"/>
  <c r="AF94" i="15"/>
  <c r="AF111" i="15"/>
  <c r="AF168" i="18" s="1"/>
  <c r="AF166" i="18" s="1"/>
  <c r="X111" i="15"/>
  <c r="X168" i="18" s="1"/>
  <c r="X94" i="15"/>
  <c r="BB111" i="15"/>
  <c r="BB168" i="18" s="1"/>
  <c r="BB94" i="15"/>
  <c r="BS111" i="15"/>
  <c r="BS168" i="18" s="1"/>
  <c r="BS94" i="15"/>
  <c r="AD111" i="15"/>
  <c r="AD168" i="18" s="1"/>
  <c r="AD94" i="15"/>
  <c r="BU111" i="15"/>
  <c r="BU168" i="18" s="1"/>
  <c r="BU94" i="15"/>
  <c r="BG94" i="15"/>
  <c r="BG111" i="15"/>
  <c r="BG168" i="18" s="1"/>
  <c r="Z111" i="15"/>
  <c r="Z168" i="18" s="1"/>
  <c r="Z166" i="18" s="1"/>
  <c r="Z94" i="15"/>
  <c r="AS111" i="15"/>
  <c r="AS168" i="18" s="1"/>
  <c r="AS94" i="15"/>
  <c r="CC94" i="15"/>
  <c r="CC111" i="15"/>
  <c r="AY111" i="15"/>
  <c r="AY168" i="18" s="1"/>
  <c r="AY94" i="15"/>
  <c r="AT111" i="15"/>
  <c r="AT168" i="18" s="1"/>
  <c r="AT94" i="15"/>
  <c r="CN111" i="15"/>
  <c r="CN168" i="18" s="1"/>
  <c r="CN94" i="15"/>
  <c r="CT111" i="15"/>
  <c r="CT168" i="18" s="1"/>
  <c r="CT94" i="15"/>
  <c r="CH111" i="15"/>
  <c r="CH168" i="18" s="1"/>
  <c r="CH94" i="15"/>
  <c r="CE139" i="13"/>
  <c r="DE80" i="15"/>
  <c r="BH94" i="15"/>
  <c r="BH111" i="15"/>
  <c r="BH168" i="18" s="1"/>
  <c r="BJ111" i="15"/>
  <c r="BJ168" i="18" s="1"/>
  <c r="BJ94" i="15"/>
  <c r="AC111" i="15"/>
  <c r="AC168" i="18" s="1"/>
  <c r="AC94" i="15"/>
  <c r="CS111" i="15"/>
  <c r="CS168" i="18" s="1"/>
  <c r="CS94" i="15"/>
  <c r="AR111" i="15"/>
  <c r="AR168" i="18" s="1"/>
  <c r="AR94" i="15"/>
  <c r="CL111" i="15"/>
  <c r="CL94" i="15"/>
  <c r="BR111" i="15"/>
  <c r="BR168" i="18" s="1"/>
  <c r="BR94" i="15"/>
  <c r="BT111" i="15"/>
  <c r="BT94" i="15"/>
  <c r="AW111" i="15"/>
  <c r="AW168" i="18" s="1"/>
  <c r="AW94" i="15"/>
  <c r="BF111" i="15"/>
  <c r="BF168" i="18" s="1"/>
  <c r="BF94" i="15"/>
  <c r="BO111" i="15"/>
  <c r="BO168" i="18" s="1"/>
  <c r="BO94" i="15"/>
  <c r="AK111" i="15"/>
  <c r="AK168" i="18" s="1"/>
  <c r="AK166" i="18" s="1"/>
  <c r="AK94" i="15"/>
  <c r="S111" i="15"/>
  <c r="S168" i="18" s="1"/>
  <c r="S94" i="15"/>
  <c r="BA111" i="15"/>
  <c r="BA168" i="18" s="1"/>
  <c r="BA94" i="15"/>
  <c r="AM111" i="15"/>
  <c r="AM168" i="18" s="1"/>
  <c r="AM94" i="15"/>
  <c r="CB94" i="15"/>
  <c r="CB111" i="15"/>
  <c r="CB168" i="18" s="1"/>
  <c r="V94" i="15"/>
  <c r="V111" i="15"/>
  <c r="V168" i="18" s="1"/>
  <c r="CQ94" i="15"/>
  <c r="CQ111" i="15"/>
  <c r="CQ168" i="18" s="1"/>
  <c r="BK94" i="15"/>
  <c r="BK111" i="15"/>
  <c r="Y111" i="15"/>
  <c r="Y168" i="18" s="1"/>
  <c r="Y166" i="18" s="1"/>
  <c r="Y94" i="15"/>
  <c r="BC94" i="15"/>
  <c r="BC111" i="15"/>
  <c r="BC168" i="18" s="1"/>
  <c r="Q111" i="15"/>
  <c r="Q168" i="18" s="1"/>
  <c r="Q94" i="15"/>
  <c r="BI111" i="15"/>
  <c r="BI168" i="18" s="1"/>
  <c r="BI94" i="15"/>
  <c r="AO111" i="15"/>
  <c r="AO168" i="18" s="1"/>
  <c r="AO166" i="18" s="1"/>
  <c r="AO94" i="15"/>
  <c r="AG111" i="15"/>
  <c r="AG168" i="18" s="1"/>
  <c r="AG166" i="18" s="1"/>
  <c r="AG94" i="15"/>
  <c r="BZ111" i="15"/>
  <c r="BZ168" i="18" s="1"/>
  <c r="BZ94" i="15"/>
  <c r="O111" i="15"/>
  <c r="O168" i="18" s="1"/>
  <c r="O94" i="15"/>
  <c r="CF133" i="13"/>
  <c r="DU133" i="13" s="1"/>
  <c r="CF103" i="13"/>
  <c r="DU103" i="13" s="1"/>
  <c r="EH103" i="13" s="1"/>
  <c r="CE129" i="13"/>
  <c r="CD158" i="13"/>
  <c r="CD142" i="13"/>
  <c r="CE124" i="13"/>
  <c r="CE130" i="13"/>
  <c r="CF123" i="13"/>
  <c r="DE543" i="2"/>
  <c r="DE549" i="2" s="1"/>
  <c r="CE102" i="13"/>
  <c r="DD502" i="2"/>
  <c r="DH417" i="2"/>
  <c r="DH439" i="2" s="1"/>
  <c r="DH423" i="2"/>
  <c r="DH422" i="2" s="1"/>
  <c r="CF116" i="13"/>
  <c r="DU116" i="13" s="1"/>
  <c r="EH116" i="13" s="1"/>
  <c r="DH398" i="2"/>
  <c r="CF114" i="13"/>
  <c r="DE488" i="2"/>
  <c r="CF115" i="13"/>
  <c r="CJ51" i="13"/>
  <c r="DI495" i="2"/>
  <c r="DF461" i="2"/>
  <c r="DF590" i="2" s="1"/>
  <c r="CG161" i="13" s="1"/>
  <c r="CG104" i="13"/>
  <c r="DF489" i="2"/>
  <c r="CJ27" i="13"/>
  <c r="DI405" i="2"/>
  <c r="CJ23" i="13" s="1"/>
  <c r="CJ50" i="13"/>
  <c r="DI434" i="2"/>
  <c r="DH474" i="2"/>
  <c r="DH512" i="2" s="1"/>
  <c r="CI71" i="13"/>
  <c r="CH69" i="13"/>
  <c r="CH86" i="13"/>
  <c r="CJ11" i="13"/>
  <c r="CI43" i="13"/>
  <c r="DV43" i="13" s="1"/>
  <c r="CJ7" i="13"/>
  <c r="DI420" i="2"/>
  <c r="CM32" i="7"/>
  <c r="CM44" i="7"/>
  <c r="BO40" i="12" s="1"/>
  <c r="CU204" i="2"/>
  <c r="CM43" i="7"/>
  <c r="CM42" i="7" s="1"/>
  <c r="CT240" i="2"/>
  <c r="CT241" i="2"/>
  <c r="CT238" i="2"/>
  <c r="CV179" i="2"/>
  <c r="CN26" i="7" s="1"/>
  <c r="CW30" i="18" s="1"/>
  <c r="ER30" i="18" s="1"/>
  <c r="CV206" i="2"/>
  <c r="CV205" i="2" s="1"/>
  <c r="CV180" i="2"/>
  <c r="CN27" i="7" s="1"/>
  <c r="CW31" i="18" s="1"/>
  <c r="ER31" i="18" s="1"/>
  <c r="CN23" i="7"/>
  <c r="CN22" i="7" s="1"/>
  <c r="CV175" i="2"/>
  <c r="CV177" i="2"/>
  <c r="CN24" i="7" s="1"/>
  <c r="EI24" i="7" s="1"/>
  <c r="CV178" i="2"/>
  <c r="CN25" i="7" s="1"/>
  <c r="CW29" i="18" s="1"/>
  <c r="ER29" i="18" s="1"/>
  <c r="BP8" i="12"/>
  <c r="BP22" i="12" s="1"/>
  <c r="DK22" i="12" s="1"/>
  <c r="CN11" i="7"/>
  <c r="CW9" i="15" s="1"/>
  <c r="CW12" i="18" s="1"/>
  <c r="ER12" i="18" s="1"/>
  <c r="CO12" i="7"/>
  <c r="CW158" i="2"/>
  <c r="CW176" i="2"/>
  <c r="CZ118" i="2"/>
  <c r="CY105" i="2"/>
  <c r="CZ90" i="3" s="1"/>
  <c r="CY85" i="3"/>
  <c r="CY84" i="3" s="1"/>
  <c r="CY146" i="18" s="1"/>
  <c r="CZ117" i="2"/>
  <c r="CY103" i="2"/>
  <c r="CZ86" i="3" s="1"/>
  <c r="CZ119" i="2"/>
  <c r="CY107" i="2"/>
  <c r="CZ92" i="3" s="1"/>
  <c r="DQ43" i="14"/>
  <c r="CJ13" i="13"/>
  <c r="CJ40" i="13"/>
  <c r="CJ41" i="13"/>
  <c r="CA18" i="12"/>
  <c r="DI376" i="2"/>
  <c r="DG445" i="2"/>
  <c r="DG448" i="2"/>
  <c r="DG446" i="2"/>
  <c r="DG447" i="2"/>
  <c r="CJ34" i="13"/>
  <c r="CJ35" i="13"/>
  <c r="BZ31" i="12"/>
  <c r="DG452" i="2"/>
  <c r="DG453" i="2"/>
  <c r="DG454" i="2"/>
  <c r="CB11" i="12"/>
  <c r="DO11" i="12" s="1"/>
  <c r="DJ377" i="2"/>
  <c r="DJ396" i="2"/>
  <c r="CH32" i="13"/>
  <c r="CH54" i="13"/>
  <c r="CJ26" i="13"/>
  <c r="DI407" i="2"/>
  <c r="DI404" i="2"/>
  <c r="DJ395" i="2"/>
  <c r="CH38" i="13"/>
  <c r="CK99" i="13"/>
  <c r="DK479" i="2"/>
  <c r="DK483" i="2" s="1"/>
  <c r="DJ378" i="2"/>
  <c r="DJ379" i="2"/>
  <c r="DJ401" i="2" s="1"/>
  <c r="CK20" i="13" s="1"/>
  <c r="CZ318" i="2"/>
  <c r="CQ156" i="7"/>
  <c r="EO98" i="3"/>
  <c r="EO66" i="3"/>
  <c r="EO81" i="3" s="1"/>
  <c r="EO100" i="3" s="1"/>
  <c r="EO101" i="3" s="1"/>
  <c r="EO79" i="3"/>
  <c r="EO104" i="3"/>
  <c r="EO39" i="3"/>
  <c r="EO112" i="3"/>
  <c r="EO58" i="3"/>
  <c r="EH66" i="3"/>
  <c r="EH70" i="3" s="1"/>
  <c r="EQ104" i="3"/>
  <c r="EQ98" i="3"/>
  <c r="EQ79" i="3"/>
  <c r="EH43" i="3"/>
  <c r="EH39" i="3"/>
  <c r="EH112" i="3"/>
  <c r="EH104" i="3"/>
  <c r="EH79" i="3"/>
  <c r="EK43" i="3"/>
  <c r="EH60" i="3"/>
  <c r="EH64" i="3" s="1"/>
  <c r="EH98" i="3"/>
  <c r="FG32" i="3"/>
  <c r="FG58" i="3" s="1"/>
  <c r="EQ43" i="3"/>
  <c r="EQ60" i="3"/>
  <c r="EQ64" i="3" s="1"/>
  <c r="EQ58" i="3"/>
  <c r="EQ66" i="3"/>
  <c r="EQ81" i="3" s="1"/>
  <c r="EQ39" i="3"/>
  <c r="EL60" i="3"/>
  <c r="EL64" i="3" s="1"/>
  <c r="EO43" i="3"/>
  <c r="EL58" i="3"/>
  <c r="EL39" i="3"/>
  <c r="FG39" i="3" s="1"/>
  <c r="EI39" i="3"/>
  <c r="EI60" i="3"/>
  <c r="EI64" i="3" s="1"/>
  <c r="EI43" i="3"/>
  <c r="EL43" i="3"/>
  <c r="EI58" i="3"/>
  <c r="AM101" i="3"/>
  <c r="V82" i="3"/>
  <c r="CG70" i="3"/>
  <c r="F82" i="3"/>
  <c r="M101" i="3"/>
  <c r="BK70" i="3"/>
  <c r="BK81" i="3"/>
  <c r="EL104" i="3"/>
  <c r="BN70" i="3"/>
  <c r="AA100" i="3"/>
  <c r="Q100" i="3"/>
  <c r="EL112" i="3"/>
  <c r="EK79" i="3"/>
  <c r="EK66" i="3"/>
  <c r="EK81" i="3" s="1"/>
  <c r="EL79" i="3"/>
  <c r="AD100" i="3"/>
  <c r="EL66" i="3"/>
  <c r="EL70" i="3" s="1"/>
  <c r="EK104" i="3"/>
  <c r="EK112" i="3"/>
  <c r="EK98" i="3"/>
  <c r="EG81" i="3"/>
  <c r="EG100" i="3" s="1"/>
  <c r="X82" i="3"/>
  <c r="AN101" i="3"/>
  <c r="CL70" i="3"/>
  <c r="BV81" i="3"/>
  <c r="BV137" i="18" s="1"/>
  <c r="BV136" i="18" s="1"/>
  <c r="BV143" i="18" s="1"/>
  <c r="AJ82" i="3"/>
  <c r="BQ70" i="3"/>
  <c r="EP70" i="3"/>
  <c r="BA82" i="3"/>
  <c r="H82" i="3"/>
  <c r="R82" i="3"/>
  <c r="BP70" i="3"/>
  <c r="AY100" i="3"/>
  <c r="AU100" i="3"/>
  <c r="K82" i="3"/>
  <c r="K100" i="3"/>
  <c r="K167" i="18" s="1"/>
  <c r="K166" i="18" s="1"/>
  <c r="D101" i="3"/>
  <c r="D106" i="3"/>
  <c r="AF106" i="3"/>
  <c r="AF101" i="3"/>
  <c r="AC82" i="3"/>
  <c r="AC100" i="3"/>
  <c r="AC167" i="18" s="1"/>
  <c r="O82" i="3"/>
  <c r="O100" i="3"/>
  <c r="O167" i="18" s="1"/>
  <c r="I106" i="3"/>
  <c r="I101" i="3"/>
  <c r="C101" i="3"/>
  <c r="C106" i="3"/>
  <c r="EI66" i="3"/>
  <c r="EI112" i="3"/>
  <c r="EI104" i="3"/>
  <c r="EI79" i="3"/>
  <c r="EI98" i="3"/>
  <c r="Z106" i="3"/>
  <c r="Z101" i="3"/>
  <c r="AB101" i="3"/>
  <c r="AB106" i="3"/>
  <c r="G101" i="3"/>
  <c r="G106" i="3"/>
  <c r="CH70" i="3"/>
  <c r="CH81" i="3"/>
  <c r="CH137" i="18" s="1"/>
  <c r="CH136" i="18" s="1"/>
  <c r="CH143" i="18" s="1"/>
  <c r="EP100" i="3"/>
  <c r="EP101" i="3" s="1"/>
  <c r="EP82" i="3"/>
  <c r="AL106" i="3"/>
  <c r="AL101" i="3"/>
  <c r="AW100" i="3"/>
  <c r="AW167" i="18" s="1"/>
  <c r="AW82" i="3"/>
  <c r="T100" i="3"/>
  <c r="T167" i="18" s="1"/>
  <c r="T82" i="3"/>
  <c r="AX106" i="3"/>
  <c r="AX101" i="3"/>
  <c r="EJ81" i="3"/>
  <c r="EJ70" i="3"/>
  <c r="AP101" i="3"/>
  <c r="AP106" i="3"/>
  <c r="N82" i="3"/>
  <c r="N100" i="3"/>
  <c r="N167" i="18" s="1"/>
  <c r="AQ101" i="3"/>
  <c r="AQ106" i="3"/>
  <c r="AO101" i="3"/>
  <c r="AO106" i="3"/>
  <c r="E101" i="3"/>
  <c r="E106" i="3"/>
  <c r="AG106" i="3"/>
  <c r="AG101" i="3"/>
  <c r="EN70" i="3"/>
  <c r="EN81" i="3"/>
  <c r="EM70" i="3"/>
  <c r="EM81" i="3"/>
  <c r="AK106" i="3"/>
  <c r="AK101" i="3"/>
  <c r="AR82" i="3"/>
  <c r="AR100" i="3"/>
  <c r="AR167" i="18" s="1"/>
  <c r="AE100" i="3"/>
  <c r="AE167" i="18" s="1"/>
  <c r="AE82" i="3"/>
  <c r="S100" i="3"/>
  <c r="S167" i="18" s="1"/>
  <c r="S82" i="3"/>
  <c r="Y101" i="3"/>
  <c r="Y106" i="3"/>
  <c r="U106" i="3"/>
  <c r="U101" i="3"/>
  <c r="FA28" i="14" l="1"/>
  <c r="FA29" i="14"/>
  <c r="DS42" i="14"/>
  <c r="DS34" i="14"/>
  <c r="DS169" i="18"/>
  <c r="EZ7" i="14"/>
  <c r="EZ9" i="14"/>
  <c r="FA37" i="14"/>
  <c r="FA40" i="14"/>
  <c r="FI40" i="14"/>
  <c r="FI37" i="14"/>
  <c r="EU117" i="15"/>
  <c r="FH117" i="15" s="1"/>
  <c r="DE177" i="18"/>
  <c r="EH104" i="13"/>
  <c r="BZ108" i="12"/>
  <c r="DG120" i="15"/>
  <c r="BZ137" i="11"/>
  <c r="EQ73" i="18"/>
  <c r="CT262" i="2"/>
  <c r="CU272" i="2"/>
  <c r="CU274" i="2"/>
  <c r="DW288" i="2"/>
  <c r="CX285" i="2"/>
  <c r="FA119" i="15"/>
  <c r="FG92" i="15"/>
  <c r="EI23" i="7"/>
  <c r="CO182" i="18"/>
  <c r="CN775" i="2"/>
  <c r="CO99" i="18"/>
  <c r="CO192" i="18"/>
  <c r="FF109" i="15"/>
  <c r="BT110" i="18"/>
  <c r="BT116" i="18" s="1"/>
  <c r="CO209" i="18"/>
  <c r="CO164" i="18"/>
  <c r="DT74" i="18"/>
  <c r="DY44" i="18"/>
  <c r="DU123" i="13"/>
  <c r="EH123" i="13"/>
  <c r="FA158" i="18"/>
  <c r="DX26" i="14"/>
  <c r="FA26" i="14" s="1"/>
  <c r="DT6" i="18"/>
  <c r="DT37" i="18"/>
  <c r="DY344" i="2"/>
  <c r="DY28" i="14"/>
  <c r="DT21" i="14"/>
  <c r="DT104" i="18"/>
  <c r="DU3" i="14"/>
  <c r="EZ3" i="14" s="1"/>
  <c r="DU327" i="2"/>
  <c r="DV9" i="14"/>
  <c r="DV49" i="18"/>
  <c r="DT113" i="18"/>
  <c r="DT24" i="14"/>
  <c r="DT33" i="14"/>
  <c r="DX367" i="2"/>
  <c r="DX45" i="14"/>
  <c r="FA45" i="14" s="1"/>
  <c r="DW148" i="18"/>
  <c r="DW57" i="18"/>
  <c r="DV331" i="2"/>
  <c r="DW5" i="14"/>
  <c r="DZ15" i="14"/>
  <c r="DZ13" i="18"/>
  <c r="DZ44" i="18" s="1"/>
  <c r="DZ81" i="18"/>
  <c r="DV7" i="14"/>
  <c r="DY345" i="2"/>
  <c r="DY29" i="14"/>
  <c r="DW329" i="2"/>
  <c r="DX5" i="14" s="1"/>
  <c r="DX6" i="14"/>
  <c r="FA6" i="14" s="1"/>
  <c r="DS50" i="14"/>
  <c r="DS43" i="14"/>
  <c r="DU66" i="18"/>
  <c r="DU74" i="18" s="1"/>
  <c r="DU18" i="14"/>
  <c r="EZ18" i="14" s="1"/>
  <c r="DU14" i="14"/>
  <c r="DU23" i="14"/>
  <c r="DU11" i="14"/>
  <c r="EZ11" i="14" s="1"/>
  <c r="DU20" i="14"/>
  <c r="DU40" i="14"/>
  <c r="DU37" i="14"/>
  <c r="DU48" i="14"/>
  <c r="DU31" i="14"/>
  <c r="ER147" i="7"/>
  <c r="CQ109" i="12"/>
  <c r="DT109" i="12" s="1"/>
  <c r="CQ138" i="11"/>
  <c r="DT138" i="11" s="1"/>
  <c r="DU114" i="13"/>
  <c r="EH114" i="13" s="1"/>
  <c r="DU115" i="13"/>
  <c r="EH115" i="13" s="1"/>
  <c r="CR111" i="15"/>
  <c r="CR115" i="15" s="1"/>
  <c r="EQ90" i="15"/>
  <c r="EQ94" i="15" s="1"/>
  <c r="CR138" i="18"/>
  <c r="EQ138" i="18" s="1"/>
  <c r="EJ73" i="18"/>
  <c r="BQ94" i="15"/>
  <c r="EH90" i="15"/>
  <c r="EH94" i="15" s="1"/>
  <c r="BQ138" i="18"/>
  <c r="EH138" i="18" s="1"/>
  <c r="FF71" i="15"/>
  <c r="FF75" i="15" s="1"/>
  <c r="FF65" i="15"/>
  <c r="FF69" i="15" s="1"/>
  <c r="EM90" i="15"/>
  <c r="EM94" i="15" s="1"/>
  <c r="FF127" i="15"/>
  <c r="CF94" i="15"/>
  <c r="CF101" i="18"/>
  <c r="CF108" i="18" s="1"/>
  <c r="CF111" i="15"/>
  <c r="CF115" i="15" s="1"/>
  <c r="EJ90" i="15"/>
  <c r="EJ94" i="15" s="1"/>
  <c r="BW138" i="18"/>
  <c r="EJ138" i="18" s="1"/>
  <c r="FF139" i="15"/>
  <c r="BW94" i="15"/>
  <c r="EP90" i="15"/>
  <c r="EP94" i="15" s="1"/>
  <c r="EJ69" i="15"/>
  <c r="CO94" i="15"/>
  <c r="CO111" i="15"/>
  <c r="CO168" i="18" s="1"/>
  <c r="FF63" i="15"/>
  <c r="FF65" i="18"/>
  <c r="D14" i="24" s="1"/>
  <c r="FF88" i="15"/>
  <c r="DJ380" i="2"/>
  <c r="DJ426" i="2" s="1"/>
  <c r="EB526" i="2"/>
  <c r="EA513" i="2"/>
  <c r="DX330" i="2"/>
  <c r="DX361" i="2"/>
  <c r="DX357" i="2"/>
  <c r="DY312" i="2"/>
  <c r="DP147" i="7"/>
  <c r="DY119" i="15" s="1"/>
  <c r="DX347" i="2"/>
  <c r="DZ343" i="2"/>
  <c r="EA27" i="14" s="1"/>
  <c r="FB27" i="14" s="1"/>
  <c r="DY333" i="2"/>
  <c r="EA10" i="14"/>
  <c r="FB10" i="14" s="1"/>
  <c r="CI101" i="18"/>
  <c r="CI107" i="18" s="1"/>
  <c r="BL192" i="18"/>
  <c r="EG75" i="15"/>
  <c r="FE71" i="15"/>
  <c r="FE75" i="15" s="1"/>
  <c r="CZ785" i="2"/>
  <c r="BN138" i="18"/>
  <c r="EG138" i="18" s="1"/>
  <c r="EG90" i="15"/>
  <c r="EG94" i="15" s="1"/>
  <c r="FE112" i="18"/>
  <c r="C36" i="24" s="1"/>
  <c r="EG73" i="18"/>
  <c r="FE65" i="18"/>
  <c r="C14" i="24" s="1"/>
  <c r="FE139" i="15"/>
  <c r="FE88" i="15"/>
  <c r="FE63" i="15"/>
  <c r="FE109" i="15"/>
  <c r="FE121" i="15"/>
  <c r="FE127" i="15"/>
  <c r="FF42" i="15"/>
  <c r="BN111" i="15"/>
  <c r="EG111" i="15" s="1"/>
  <c r="EG115" i="15" s="1"/>
  <c r="BN94" i="15"/>
  <c r="EG69" i="15"/>
  <c r="FE65" i="15"/>
  <c r="FE69" i="15" s="1"/>
  <c r="BN131" i="15"/>
  <c r="EG113" i="15"/>
  <c r="FE113" i="15" s="1"/>
  <c r="FG65" i="18"/>
  <c r="E14" i="24" s="1"/>
  <c r="EN73" i="18"/>
  <c r="EO73" i="18"/>
  <c r="FG42" i="15"/>
  <c r="FG88" i="15"/>
  <c r="FG127" i="15"/>
  <c r="FG109" i="15"/>
  <c r="FG139" i="15"/>
  <c r="FG121" i="15"/>
  <c r="FG63" i="15"/>
  <c r="EN75" i="15"/>
  <c r="FG71" i="15"/>
  <c r="FG75" i="15" s="1"/>
  <c r="FG65" i="15"/>
  <c r="FG69" i="15" s="1"/>
  <c r="EN69" i="15"/>
  <c r="CI110" i="18"/>
  <c r="CF137" i="18"/>
  <c r="CF136" i="18" s="1"/>
  <c r="CF143" i="18" s="1"/>
  <c r="CF100" i="3"/>
  <c r="CF82" i="3"/>
  <c r="AV167" i="18"/>
  <c r="AV166" i="18" s="1"/>
  <c r="AV106" i="3"/>
  <c r="AV101" i="3"/>
  <c r="CD137" i="18"/>
  <c r="CD136" i="18" s="1"/>
  <c r="CD143" i="18" s="1"/>
  <c r="CD100" i="3"/>
  <c r="CD82" i="3"/>
  <c r="CA82" i="3"/>
  <c r="CA100" i="3"/>
  <c r="CA137" i="18"/>
  <c r="CA136" i="18" s="1"/>
  <c r="CA143" i="18" s="1"/>
  <c r="BP137" i="18"/>
  <c r="BP136" i="18" s="1"/>
  <c r="BP143" i="18" s="1"/>
  <c r="BP82" i="3"/>
  <c r="BP100" i="3"/>
  <c r="CT137" i="18"/>
  <c r="CT136" i="18" s="1"/>
  <c r="CT143" i="18" s="1"/>
  <c r="CT82" i="3"/>
  <c r="CT100" i="3"/>
  <c r="CT116" i="18"/>
  <c r="CT117" i="18"/>
  <c r="CI138" i="18"/>
  <c r="EN138" i="18" s="1"/>
  <c r="EN90" i="15"/>
  <c r="CI111" i="15"/>
  <c r="CI94" i="15"/>
  <c r="CT775" i="2"/>
  <c r="CU775" i="2" s="1"/>
  <c r="CV775" i="2" s="1"/>
  <c r="CT753" i="2"/>
  <c r="FI20" i="14"/>
  <c r="FI21" i="14" s="1"/>
  <c r="EY21" i="14"/>
  <c r="DR42" i="14"/>
  <c r="EY42" i="14" s="1"/>
  <c r="FI42" i="14" s="1"/>
  <c r="DR34" i="14"/>
  <c r="DR139" i="18"/>
  <c r="EY139" i="18" s="1"/>
  <c r="FI139" i="18" s="1"/>
  <c r="G46" i="24" s="1"/>
  <c r="EY113" i="18"/>
  <c r="FI113" i="18" s="1"/>
  <c r="G37" i="24" s="1"/>
  <c r="CA116" i="18"/>
  <c r="CA117" i="18"/>
  <c r="EN113" i="15"/>
  <c r="FG113" i="15" s="1"/>
  <c r="CI131" i="15"/>
  <c r="CS82" i="3"/>
  <c r="CS137" i="18"/>
  <c r="CS136" i="18" s="1"/>
  <c r="CS143" i="18" s="1"/>
  <c r="CS100" i="3"/>
  <c r="BX137" i="18"/>
  <c r="BX136" i="18" s="1"/>
  <c r="BX143" i="18" s="1"/>
  <c r="BX82" i="3"/>
  <c r="BX100" i="3"/>
  <c r="BO117" i="18"/>
  <c r="BO116" i="18"/>
  <c r="EY24" i="14"/>
  <c r="FI23" i="14"/>
  <c r="FI24" i="14" s="1"/>
  <c r="CM66" i="7"/>
  <c r="CO137" i="18"/>
  <c r="CO136" i="18" s="1"/>
  <c r="CO143" i="18" s="1"/>
  <c r="CO100" i="3"/>
  <c r="CO82" i="3"/>
  <c r="CR137" i="18"/>
  <c r="CR100" i="3"/>
  <c r="CR82" i="3"/>
  <c r="BW137" i="18"/>
  <c r="BW100" i="3"/>
  <c r="BW82" i="3"/>
  <c r="CE137" i="18"/>
  <c r="CE136" i="18" s="1"/>
  <c r="CE143" i="18" s="1"/>
  <c r="CE100" i="3"/>
  <c r="CE82" i="3"/>
  <c r="W167" i="18"/>
  <c r="W166" i="18" s="1"/>
  <c r="W106" i="3"/>
  <c r="W101" i="3"/>
  <c r="AM114" i="3"/>
  <c r="AM115" i="3" s="1"/>
  <c r="AM107" i="3"/>
  <c r="M107" i="3"/>
  <c r="M114" i="3"/>
  <c r="M115" i="3" s="1"/>
  <c r="DR169" i="18"/>
  <c r="EY169" i="18" s="1"/>
  <c r="FI169" i="18" s="1"/>
  <c r="G54" i="24" s="1"/>
  <c r="EY33" i="14"/>
  <c r="BI117" i="18"/>
  <c r="BI116" i="18"/>
  <c r="BM100" i="3"/>
  <c r="BM137" i="18"/>
  <c r="BM136" i="18" s="1"/>
  <c r="BM143" i="18" s="1"/>
  <c r="BG116" i="18"/>
  <c r="BG117" i="18"/>
  <c r="AD108" i="18"/>
  <c r="AD107" i="18"/>
  <c r="FF113" i="15"/>
  <c r="EK72" i="18"/>
  <c r="EL72" i="18"/>
  <c r="CM82" i="3"/>
  <c r="CM100" i="3"/>
  <c r="CM137" i="18"/>
  <c r="CM136" i="18" s="1"/>
  <c r="CM143" i="18" s="1"/>
  <c r="BC137" i="18"/>
  <c r="BC136" i="18" s="1"/>
  <c r="BC143" i="18" s="1"/>
  <c r="BC100" i="3"/>
  <c r="BC82" i="3"/>
  <c r="CP137" i="18"/>
  <c r="CP82" i="3"/>
  <c r="CP100" i="3"/>
  <c r="BL137" i="18"/>
  <c r="BL136" i="18" s="1"/>
  <c r="BL143" i="18" s="1"/>
  <c r="BL100" i="3"/>
  <c r="BL82" i="3"/>
  <c r="BY137" i="18"/>
  <c r="BY82" i="3"/>
  <c r="BY100" i="3"/>
  <c r="AI167" i="18"/>
  <c r="AI166" i="18" s="1"/>
  <c r="AI106" i="3"/>
  <c r="AI101" i="3"/>
  <c r="BT137" i="18"/>
  <c r="BT136" i="18" s="1"/>
  <c r="BT143" i="18" s="1"/>
  <c r="BT82" i="3"/>
  <c r="BT100" i="3"/>
  <c r="CQ137" i="18"/>
  <c r="CQ136" i="18" s="1"/>
  <c r="CQ143" i="18" s="1"/>
  <c r="CQ82" i="3"/>
  <c r="CQ100" i="3"/>
  <c r="BZ137" i="18"/>
  <c r="BZ136" i="18" s="1"/>
  <c r="BZ143" i="18" s="1"/>
  <c r="BZ100" i="3"/>
  <c r="BZ82" i="3"/>
  <c r="BO137" i="18"/>
  <c r="BO136" i="18" s="1"/>
  <c r="BO143" i="18" s="1"/>
  <c r="BO82" i="3"/>
  <c r="BO100" i="3"/>
  <c r="BH137" i="18"/>
  <c r="BH136" i="18" s="1"/>
  <c r="BH143" i="18" s="1"/>
  <c r="BH82" i="3"/>
  <c r="BH100" i="3"/>
  <c r="BS137" i="18"/>
  <c r="BS136" i="18" s="1"/>
  <c r="BS143" i="18" s="1"/>
  <c r="BS82" i="3"/>
  <c r="BS100" i="3"/>
  <c r="BR137" i="18"/>
  <c r="BR82" i="3"/>
  <c r="BR100" i="3"/>
  <c r="BF137" i="18"/>
  <c r="BF136" i="18" s="1"/>
  <c r="BF143" i="18" s="1"/>
  <c r="BF82" i="3"/>
  <c r="BF100" i="3"/>
  <c r="BD116" i="18"/>
  <c r="BD117" i="18"/>
  <c r="BD100" i="3"/>
  <c r="BD82" i="3"/>
  <c r="BD137" i="18"/>
  <c r="BD136" i="18" s="1"/>
  <c r="BD143" i="18" s="1"/>
  <c r="BI137" i="18"/>
  <c r="BI136" i="18" s="1"/>
  <c r="BI143" i="18" s="1"/>
  <c r="BI100" i="3"/>
  <c r="BI82" i="3"/>
  <c r="BM110" i="18"/>
  <c r="EF111" i="18"/>
  <c r="BG137" i="18"/>
  <c r="BG136" i="18" s="1"/>
  <c r="BG143" i="18" s="1"/>
  <c r="BG82" i="3"/>
  <c r="BG100" i="3"/>
  <c r="CN82" i="3"/>
  <c r="CN100" i="3"/>
  <c r="CN137" i="18"/>
  <c r="CN136" i="18" s="1"/>
  <c r="CN143" i="18" s="1"/>
  <c r="EK102" i="18"/>
  <c r="BZ101" i="18"/>
  <c r="BL134" i="18"/>
  <c r="BM70" i="18"/>
  <c r="BL117" i="18"/>
  <c r="BL187" i="18"/>
  <c r="BL209" i="18"/>
  <c r="BL164" i="18"/>
  <c r="BL182" i="18"/>
  <c r="EP102" i="18"/>
  <c r="CO101" i="18"/>
  <c r="CI137" i="18"/>
  <c r="CI100" i="3"/>
  <c r="CI82" i="3"/>
  <c r="BZ164" i="18"/>
  <c r="BZ117" i="18"/>
  <c r="CA70" i="18"/>
  <c r="BZ116" i="18"/>
  <c r="BZ192" i="18"/>
  <c r="BZ209" i="18"/>
  <c r="BZ99" i="18"/>
  <c r="BY775" i="2"/>
  <c r="BZ182" i="18"/>
  <c r="BZ187" i="18"/>
  <c r="BB164" i="18"/>
  <c r="BB192" i="18"/>
  <c r="BB70" i="18"/>
  <c r="BB182" i="18"/>
  <c r="BA775" i="2"/>
  <c r="BB209" i="18"/>
  <c r="BB134" i="18"/>
  <c r="BU137" i="18"/>
  <c r="BU82" i="3"/>
  <c r="BU100" i="3"/>
  <c r="CC137" i="18"/>
  <c r="CC82" i="3"/>
  <c r="EP111" i="18"/>
  <c r="CO110" i="18"/>
  <c r="EQ111" i="18"/>
  <c r="CR110" i="18"/>
  <c r="BW110" i="18"/>
  <c r="EJ111" i="18"/>
  <c r="CJ137" i="18"/>
  <c r="CJ136" i="18" s="1"/>
  <c r="CJ143" i="18" s="1"/>
  <c r="CJ100" i="3"/>
  <c r="BY55" i="11"/>
  <c r="DN55" i="11" s="1"/>
  <c r="EA55" i="11" s="1"/>
  <c r="DU74" i="13"/>
  <c r="DU139" i="13" s="1"/>
  <c r="BL116" i="18"/>
  <c r="BL99" i="18"/>
  <c r="BB99" i="18"/>
  <c r="BB187" i="18"/>
  <c r="CC101" i="18"/>
  <c r="EL101" i="18" s="1"/>
  <c r="EL102" i="18"/>
  <c r="AN107" i="3"/>
  <c r="AN114" i="3"/>
  <c r="AN115" i="3" s="1"/>
  <c r="DG67" i="18"/>
  <c r="EL111" i="18"/>
  <c r="CE110" i="18"/>
  <c r="AH167" i="18"/>
  <c r="AH166" i="18" s="1"/>
  <c r="AH106" i="3"/>
  <c r="AH101" i="3"/>
  <c r="AZ167" i="18"/>
  <c r="AZ166" i="18" s="1"/>
  <c r="AZ101" i="3"/>
  <c r="AZ106" i="3"/>
  <c r="J167" i="18"/>
  <c r="J166" i="18" s="1"/>
  <c r="J106" i="3"/>
  <c r="J101" i="3"/>
  <c r="CF162" i="13"/>
  <c r="CF165" i="13"/>
  <c r="BZ97" i="12"/>
  <c r="BZ95" i="12"/>
  <c r="BZ94" i="12"/>
  <c r="BZ91" i="12" s="1"/>
  <c r="BN137" i="18"/>
  <c r="BN82" i="3"/>
  <c r="F167" i="18"/>
  <c r="F166" i="18" s="1"/>
  <c r="F106" i="3"/>
  <c r="F101" i="3"/>
  <c r="CC143" i="15"/>
  <c r="EL143" i="15" s="1"/>
  <c r="EL131" i="15"/>
  <c r="ET132" i="15"/>
  <c r="CF143" i="15"/>
  <c r="EM143" i="15" s="1"/>
  <c r="EM131" i="15"/>
  <c r="CR143" i="15"/>
  <c r="EQ143" i="15" s="1"/>
  <c r="EQ131" i="15"/>
  <c r="EO143" i="15"/>
  <c r="EK143" i="15"/>
  <c r="CO143" i="15"/>
  <c r="EP143" i="15" s="1"/>
  <c r="EP131" i="15"/>
  <c r="CB100" i="3"/>
  <c r="CB82" i="3"/>
  <c r="CB137" i="18"/>
  <c r="BB116" i="18"/>
  <c r="BB117" i="18"/>
  <c r="BE137" i="18"/>
  <c r="BE136" i="18" s="1"/>
  <c r="BE143" i="18" s="1"/>
  <c r="BE100" i="3"/>
  <c r="BE82" i="3"/>
  <c r="AT167" i="18"/>
  <c r="AT166" i="18" s="1"/>
  <c r="AT106" i="3"/>
  <c r="AT101" i="3"/>
  <c r="CB110" i="18"/>
  <c r="EK111" i="18"/>
  <c r="EQ102" i="18"/>
  <c r="CR101" i="18"/>
  <c r="BB137" i="18"/>
  <c r="BB136" i="18" s="1"/>
  <c r="BB143" i="18" s="1"/>
  <c r="BB82" i="3"/>
  <c r="BB100" i="3"/>
  <c r="L167" i="18"/>
  <c r="L166" i="18" s="1"/>
  <c r="L101" i="3"/>
  <c r="L106" i="3"/>
  <c r="BJ100" i="3"/>
  <c r="BJ137" i="18"/>
  <c r="BJ136" i="18" s="1"/>
  <c r="BJ143" i="18" s="1"/>
  <c r="BJ82" i="3"/>
  <c r="P167" i="18"/>
  <c r="P166" i="18" s="1"/>
  <c r="P106" i="3"/>
  <c r="P101" i="3"/>
  <c r="BY91" i="12"/>
  <c r="DN91" i="12" s="1"/>
  <c r="EA91" i="12" s="1"/>
  <c r="DN94" i="12"/>
  <c r="EA94" i="12" s="1"/>
  <c r="AS167" i="18"/>
  <c r="AS166" i="18" s="1"/>
  <c r="AS101" i="3"/>
  <c r="AS106" i="3"/>
  <c r="CF155" i="13"/>
  <c r="DE162" i="18"/>
  <c r="DE108" i="15"/>
  <c r="DE99" i="15"/>
  <c r="CE144" i="13"/>
  <c r="BX88" i="12"/>
  <c r="R167" i="18"/>
  <c r="R166" i="18" s="1"/>
  <c r="R106" i="3"/>
  <c r="R101" i="3"/>
  <c r="CL137" i="18"/>
  <c r="CL100" i="3"/>
  <c r="CL82" i="3"/>
  <c r="DN58" i="12"/>
  <c r="EA58" i="12" s="1"/>
  <c r="DF68" i="15"/>
  <c r="EJ156" i="7"/>
  <c r="CZ137" i="15"/>
  <c r="BK143" i="15"/>
  <c r="EF143" i="15" s="1"/>
  <c r="EF131" i="15"/>
  <c r="BW143" i="15"/>
  <c r="EJ143" i="15" s="1"/>
  <c r="EJ131" i="15"/>
  <c r="BT143" i="15"/>
  <c r="EI143" i="15" s="1"/>
  <c r="EI131" i="15"/>
  <c r="BQ143" i="15"/>
  <c r="EH143" i="15" s="1"/>
  <c r="EH131" i="15"/>
  <c r="EF63" i="18"/>
  <c r="BJ775" i="2"/>
  <c r="EK63" i="18"/>
  <c r="CA775" i="2"/>
  <c r="CH117" i="18"/>
  <c r="CG775" i="2"/>
  <c r="BQ100" i="3"/>
  <c r="AJ106" i="3"/>
  <c r="BA108" i="18"/>
  <c r="V106" i="3"/>
  <c r="BN100" i="3"/>
  <c r="EQ72" i="18"/>
  <c r="X101" i="3"/>
  <c r="V101" i="3"/>
  <c r="S107" i="18"/>
  <c r="AI108" i="18"/>
  <c r="H101" i="3"/>
  <c r="H106" i="3"/>
  <c r="BQ82" i="3"/>
  <c r="DI28" i="15"/>
  <c r="FG120" i="18"/>
  <c r="EN72" i="18"/>
  <c r="EM63" i="18"/>
  <c r="T108" i="18"/>
  <c r="EO72" i="18"/>
  <c r="FG103" i="18"/>
  <c r="E27" i="24" s="1"/>
  <c r="FG64" i="18"/>
  <c r="E13" i="24" s="1"/>
  <c r="EJ72" i="18"/>
  <c r="EI72" i="18"/>
  <c r="EH72" i="18"/>
  <c r="FF112" i="18"/>
  <c r="D36" i="24" s="1"/>
  <c r="EK168" i="18"/>
  <c r="EP63" i="18"/>
  <c r="EP209" i="18" s="1"/>
  <c r="FF64" i="18"/>
  <c r="D13" i="24" s="1"/>
  <c r="EH133" i="13"/>
  <c r="EA52" i="11"/>
  <c r="CC12" i="11"/>
  <c r="CL110" i="18"/>
  <c r="EO111" i="18"/>
  <c r="C198" i="18"/>
  <c r="C211" i="18"/>
  <c r="CL101" i="18"/>
  <c r="EO102" i="18"/>
  <c r="EJ101" i="18"/>
  <c r="CC4" i="12"/>
  <c r="E198" i="18"/>
  <c r="E211" i="18"/>
  <c r="BO38" i="12"/>
  <c r="EH63" i="18"/>
  <c r="EP138" i="18"/>
  <c r="FE34" i="18"/>
  <c r="EH61" i="18"/>
  <c r="EN111" i="18"/>
  <c r="BZ134" i="18"/>
  <c r="EK119" i="18"/>
  <c r="FE103" i="18"/>
  <c r="C27" i="24" s="1"/>
  <c r="BX128" i="11"/>
  <c r="BX99" i="12"/>
  <c r="BZ53" i="11"/>
  <c r="CG131" i="13"/>
  <c r="CG125" i="13"/>
  <c r="FF120" i="18"/>
  <c r="EJ63" i="18"/>
  <c r="EM138" i="18"/>
  <c r="EY74" i="18"/>
  <c r="FI66" i="18"/>
  <c r="CB20" i="11"/>
  <c r="DV17" i="13"/>
  <c r="EI102" i="18"/>
  <c r="FI14" i="14"/>
  <c r="FI48" i="14"/>
  <c r="FI31" i="14"/>
  <c r="EP72" i="18"/>
  <c r="CD18" i="11"/>
  <c r="CC14" i="12"/>
  <c r="BX79" i="11"/>
  <c r="EL63" i="18"/>
  <c r="EI63" i="18"/>
  <c r="EI134" i="18" s="1"/>
  <c r="BQ101" i="18"/>
  <c r="EH101" i="18" s="1"/>
  <c r="EH102" i="18"/>
  <c r="EI111" i="18"/>
  <c r="FE119" i="18"/>
  <c r="CC30" i="11"/>
  <c r="DU130" i="13"/>
  <c r="EH76" i="13"/>
  <c r="DU124" i="13"/>
  <c r="EM102" i="18"/>
  <c r="DK8" i="12"/>
  <c r="EI101" i="18"/>
  <c r="CI87" i="13"/>
  <c r="DV87" i="13" s="1"/>
  <c r="DV71" i="13"/>
  <c r="CH85" i="13"/>
  <c r="CJ30" i="13"/>
  <c r="BN101" i="18"/>
  <c r="EG101" i="18" s="1"/>
  <c r="EG102" i="18"/>
  <c r="EG63" i="18"/>
  <c r="CG110" i="18"/>
  <c r="EM111" i="18"/>
  <c r="EO63" i="18"/>
  <c r="FG34" i="18"/>
  <c r="EN61" i="18"/>
  <c r="FF103" i="18"/>
  <c r="D27" i="24" s="1"/>
  <c r="D198" i="18"/>
  <c r="D211" i="18"/>
  <c r="EQ63" i="18"/>
  <c r="BZ52" i="11"/>
  <c r="G198" i="18"/>
  <c r="G211" i="18"/>
  <c r="EI138" i="18"/>
  <c r="BQ110" i="18"/>
  <c r="EH111" i="18"/>
  <c r="EM72" i="18"/>
  <c r="EN102" i="18"/>
  <c r="EH131" i="13"/>
  <c r="EH125" i="13"/>
  <c r="EG72" i="18"/>
  <c r="EN63" i="18"/>
  <c r="BN110" i="18"/>
  <c r="EG110" i="18" s="1"/>
  <c r="EG111" i="18"/>
  <c r="BW118" i="12"/>
  <c r="BW132" i="11"/>
  <c r="BK101" i="18"/>
  <c r="EF102" i="18"/>
  <c r="I198" i="18"/>
  <c r="I211" i="18"/>
  <c r="CC31" i="11"/>
  <c r="EJ102" i="18"/>
  <c r="FG112" i="18"/>
  <c r="E36" i="24" s="1"/>
  <c r="EJ61" i="18"/>
  <c r="FF34" i="18"/>
  <c r="FE64" i="18"/>
  <c r="DN96" i="11"/>
  <c r="DN87" i="11"/>
  <c r="EA53" i="11"/>
  <c r="CO134" i="18"/>
  <c r="EP119" i="18"/>
  <c r="CL66" i="7"/>
  <c r="CU27" i="18"/>
  <c r="N166" i="18"/>
  <c r="N197" i="18" s="1"/>
  <c r="EI26" i="7"/>
  <c r="BQ13" i="11"/>
  <c r="BQ11" i="11" s="1"/>
  <c r="EI27" i="7"/>
  <c r="EI25" i="7"/>
  <c r="EI11" i="7"/>
  <c r="EF94" i="15"/>
  <c r="BN36" i="11"/>
  <c r="BN60" i="11" s="1"/>
  <c r="AR166" i="18"/>
  <c r="AR173" i="18" s="1"/>
  <c r="BK116" i="18"/>
  <c r="BL108" i="18"/>
  <c r="BL107" i="18"/>
  <c r="BA106" i="3"/>
  <c r="AJ101" i="3"/>
  <c r="CG74" i="13"/>
  <c r="CG165" i="13" s="1"/>
  <c r="CD108" i="18"/>
  <c r="BD107" i="18"/>
  <c r="CV27" i="15"/>
  <c r="CV47" i="15" s="1"/>
  <c r="CV45" i="15" s="1"/>
  <c r="CV80" i="18" s="1"/>
  <c r="X106" i="3"/>
  <c r="AC166" i="18"/>
  <c r="AC173" i="18" s="1"/>
  <c r="BI107" i="18"/>
  <c r="BI108" i="18"/>
  <c r="BO108" i="18"/>
  <c r="BO107" i="18"/>
  <c r="EV15" i="15"/>
  <c r="BA166" i="18"/>
  <c r="BA197" i="18" s="1"/>
  <c r="EV24" i="15"/>
  <c r="CT108" i="18"/>
  <c r="CT107" i="18"/>
  <c r="BK117" i="18"/>
  <c r="T166" i="18"/>
  <c r="T173" i="18" s="1"/>
  <c r="CV43" i="18"/>
  <c r="N108" i="18"/>
  <c r="AT108" i="18"/>
  <c r="AT107" i="18"/>
  <c r="AQ197" i="18"/>
  <c r="AQ173" i="18"/>
  <c r="AF197" i="18"/>
  <c r="AF173" i="18"/>
  <c r="AL197" i="18"/>
  <c r="AL173" i="18"/>
  <c r="Z197" i="18"/>
  <c r="Z173" i="18"/>
  <c r="AO197" i="18"/>
  <c r="AO173" i="18"/>
  <c r="AK197" i="18"/>
  <c r="AK173" i="18"/>
  <c r="AP197" i="18"/>
  <c r="AP173" i="18"/>
  <c r="Y197" i="18"/>
  <c r="Y173" i="18"/>
  <c r="AX197" i="18"/>
  <c r="AX173" i="18"/>
  <c r="U197" i="18"/>
  <c r="U173" i="18"/>
  <c r="ET92" i="3"/>
  <c r="CZ156" i="18"/>
  <c r="ES156" i="18" s="1"/>
  <c r="CW28" i="18"/>
  <c r="ER28" i="18" s="1"/>
  <c r="EL111" i="15"/>
  <c r="EL115" i="15" s="1"/>
  <c r="CC168" i="18"/>
  <c r="EL168" i="18" s="1"/>
  <c r="AA101" i="3"/>
  <c r="AA167" i="18"/>
  <c r="AA166" i="18" s="1"/>
  <c r="BS153" i="11"/>
  <c r="DL153" i="11" s="1"/>
  <c r="BS124" i="12"/>
  <c r="DL124" i="12" s="1"/>
  <c r="CC187" i="18"/>
  <c r="CC209" i="18"/>
  <c r="CC192" i="18"/>
  <c r="CC134" i="18"/>
  <c r="CC99" i="18"/>
  <c r="CC70" i="18"/>
  <c r="CC164" i="18"/>
  <c r="CC182" i="18"/>
  <c r="AR107" i="18"/>
  <c r="AR108" i="18"/>
  <c r="CE108" i="18"/>
  <c r="CE107" i="18"/>
  <c r="CN209" i="18"/>
  <c r="CN187" i="18"/>
  <c r="CN192" i="18"/>
  <c r="CN134" i="18"/>
  <c r="CO70" i="18"/>
  <c r="CN108" i="18"/>
  <c r="CN107" i="18"/>
  <c r="CN117" i="18"/>
  <c r="CN116" i="18"/>
  <c r="CN164" i="18"/>
  <c r="CN99" i="18"/>
  <c r="CN182" i="18"/>
  <c r="CN70" i="18"/>
  <c r="BV108" i="18"/>
  <c r="BV107" i="18"/>
  <c r="BP108" i="18"/>
  <c r="BP107" i="18"/>
  <c r="CA108" i="18"/>
  <c r="CA107" i="18"/>
  <c r="BR209" i="18"/>
  <c r="BR187" i="18"/>
  <c r="BR192" i="18"/>
  <c r="BR134" i="18"/>
  <c r="BR117" i="18"/>
  <c r="BR116" i="18"/>
  <c r="BR164" i="18"/>
  <c r="BR99" i="18"/>
  <c r="BR182" i="18"/>
  <c r="BR70" i="18"/>
  <c r="BR108" i="18"/>
  <c r="BR107" i="18"/>
  <c r="AH108" i="18"/>
  <c r="AH107" i="18"/>
  <c r="BY107" i="18"/>
  <c r="BY108" i="18"/>
  <c r="BE107" i="18"/>
  <c r="BE108" i="18"/>
  <c r="CG100" i="3"/>
  <c r="CG137" i="18"/>
  <c r="AW108" i="18"/>
  <c r="AW107" i="18"/>
  <c r="X107" i="18"/>
  <c r="X108" i="18"/>
  <c r="BG107" i="18"/>
  <c r="BG108" i="18"/>
  <c r="BY70" i="12"/>
  <c r="DN70" i="12" s="1"/>
  <c r="EA70" i="12" s="1"/>
  <c r="BY102" i="11"/>
  <c r="DN102" i="11" s="1"/>
  <c r="EA102" i="11" s="1"/>
  <c r="EJ111" i="15"/>
  <c r="BW168" i="18"/>
  <c r="S166" i="18"/>
  <c r="K197" i="18"/>
  <c r="K173" i="18"/>
  <c r="AD106" i="3"/>
  <c r="AD167" i="18"/>
  <c r="AD166" i="18" s="1"/>
  <c r="ET86" i="3"/>
  <c r="CZ154" i="18"/>
  <c r="ES154" i="18" s="1"/>
  <c r="CW18" i="15"/>
  <c r="CW27" i="15" s="1"/>
  <c r="CW47" i="15" s="1"/>
  <c r="CW45" i="15" s="1"/>
  <c r="BP25" i="11"/>
  <c r="BP23" i="11" s="1"/>
  <c r="DK23" i="11" s="1"/>
  <c r="BF209" i="18"/>
  <c r="BF187" i="18"/>
  <c r="BF192" i="18"/>
  <c r="BF134" i="18"/>
  <c r="BF107" i="18"/>
  <c r="BF99" i="18"/>
  <c r="BF70" i="18"/>
  <c r="BF182" i="18"/>
  <c r="BF117" i="18"/>
  <c r="BG70" i="18"/>
  <c r="BF164" i="18"/>
  <c r="BF116" i="18"/>
  <c r="BF108" i="18"/>
  <c r="BS108" i="18"/>
  <c r="BS107" i="18"/>
  <c r="BS187" i="18"/>
  <c r="BS209" i="18"/>
  <c r="BS192" i="18"/>
  <c r="BS99" i="18"/>
  <c r="BS164" i="18"/>
  <c r="BS182" i="18"/>
  <c r="BS134" i="18"/>
  <c r="BS70" i="18"/>
  <c r="BS117" i="18"/>
  <c r="BS116" i="18"/>
  <c r="BJ187" i="18"/>
  <c r="BJ209" i="18"/>
  <c r="BJ192" i="18"/>
  <c r="BJ182" i="18"/>
  <c r="BJ134" i="18"/>
  <c r="BJ99" i="18"/>
  <c r="BJ164" i="18"/>
  <c r="BJ70" i="18"/>
  <c r="AV108" i="18"/>
  <c r="AV107" i="18"/>
  <c r="AS108" i="18"/>
  <c r="AS107" i="18"/>
  <c r="L108" i="18"/>
  <c r="L107" i="18"/>
  <c r="CJ107" i="18"/>
  <c r="CJ108" i="18"/>
  <c r="CQ157" i="7"/>
  <c r="EJ157" i="7" s="1"/>
  <c r="CG107" i="18"/>
  <c r="CG108" i="18"/>
  <c r="AM166" i="18"/>
  <c r="CK117" i="18"/>
  <c r="CK116" i="18"/>
  <c r="P108" i="18"/>
  <c r="P107" i="18"/>
  <c r="BV209" i="18"/>
  <c r="BV187" i="18"/>
  <c r="BV192" i="18"/>
  <c r="BV182" i="18"/>
  <c r="BV164" i="18"/>
  <c r="BV134" i="18"/>
  <c r="BV99" i="18"/>
  <c r="BV70" i="18"/>
  <c r="CI209" i="18"/>
  <c r="CI187" i="18"/>
  <c r="CI192" i="18"/>
  <c r="CI164" i="18"/>
  <c r="CI182" i="18"/>
  <c r="CI99" i="18"/>
  <c r="CI70" i="18"/>
  <c r="CL209" i="18"/>
  <c r="CL187" i="18"/>
  <c r="CL192" i="18"/>
  <c r="CL99" i="18"/>
  <c r="CL182" i="18"/>
  <c r="CL70" i="18"/>
  <c r="CL164" i="18"/>
  <c r="CL134" i="18"/>
  <c r="CM187" i="18"/>
  <c r="CM209" i="18"/>
  <c r="CM192" i="18"/>
  <c r="CM117" i="18"/>
  <c r="CM116" i="18"/>
  <c r="CM164" i="18"/>
  <c r="CM108" i="18"/>
  <c r="CM182" i="18"/>
  <c r="CM107" i="18"/>
  <c r="CM134" i="18"/>
  <c r="CM99" i="18"/>
  <c r="CM70" i="18"/>
  <c r="CH108" i="18"/>
  <c r="CH107" i="18"/>
  <c r="AB197" i="18"/>
  <c r="AB173" i="18"/>
  <c r="BJ107" i="18"/>
  <c r="BJ108" i="18"/>
  <c r="BT187" i="18"/>
  <c r="BT209" i="18"/>
  <c r="BT192" i="18"/>
  <c r="BT99" i="18"/>
  <c r="BT70" i="18"/>
  <c r="BT164" i="18"/>
  <c r="BT182" i="18"/>
  <c r="BT108" i="18"/>
  <c r="BT134" i="18"/>
  <c r="BT107" i="18"/>
  <c r="BN209" i="18"/>
  <c r="BN187" i="18"/>
  <c r="BN192" i="18"/>
  <c r="BN134" i="18"/>
  <c r="BO70" i="18"/>
  <c r="BN182" i="18"/>
  <c r="BN99" i="18"/>
  <c r="BN164" i="18"/>
  <c r="BN70" i="18"/>
  <c r="W108" i="18"/>
  <c r="W107" i="18"/>
  <c r="BM108" i="18"/>
  <c r="BM107" i="18"/>
  <c r="CK137" i="18"/>
  <c r="CK136" i="18" s="1"/>
  <c r="CK143" i="18" s="1"/>
  <c r="CK82" i="3"/>
  <c r="CK100" i="3"/>
  <c r="BQ209" i="18"/>
  <c r="BQ187" i="18"/>
  <c r="BQ192" i="18"/>
  <c r="BQ134" i="18"/>
  <c r="BQ99" i="18"/>
  <c r="BQ70" i="18"/>
  <c r="BQ182" i="18"/>
  <c r="BQ164" i="18"/>
  <c r="CC116" i="18"/>
  <c r="BY209" i="18"/>
  <c r="BY187" i="18"/>
  <c r="BY192" i="18"/>
  <c r="BY182" i="18"/>
  <c r="BY116" i="18"/>
  <c r="BY164" i="18"/>
  <c r="BY117" i="18"/>
  <c r="BZ70" i="18"/>
  <c r="BY134" i="18"/>
  <c r="BY99" i="18"/>
  <c r="BY70" i="18"/>
  <c r="O108" i="18"/>
  <c r="O107" i="18"/>
  <c r="CK108" i="18"/>
  <c r="CK107" i="18"/>
  <c r="CQ158" i="7"/>
  <c r="EJ158" i="7" s="1"/>
  <c r="ER9" i="15"/>
  <c r="CC117" i="18"/>
  <c r="Q106" i="3"/>
  <c r="Q114" i="3" s="1"/>
  <c r="Q115" i="3" s="1"/>
  <c r="Q167" i="18"/>
  <c r="Q166" i="18" s="1"/>
  <c r="EI111" i="15"/>
  <c r="EI115" i="15" s="1"/>
  <c r="BT168" i="18"/>
  <c r="O166" i="18"/>
  <c r="CC106" i="3"/>
  <c r="CC114" i="3" s="1"/>
  <c r="CC115" i="3" s="1"/>
  <c r="CC167" i="18"/>
  <c r="EH111" i="15"/>
  <c r="EH115" i="15" s="1"/>
  <c r="BQ168" i="18"/>
  <c r="AC108" i="18"/>
  <c r="AC107" i="18"/>
  <c r="CB108" i="18"/>
  <c r="CB107" i="18"/>
  <c r="CE187" i="18"/>
  <c r="CE209" i="18"/>
  <c r="CE192" i="18"/>
  <c r="CE182" i="18"/>
  <c r="CE70" i="18"/>
  <c r="CE164" i="18"/>
  <c r="CE99" i="18"/>
  <c r="CE134" i="18"/>
  <c r="AJ166" i="18"/>
  <c r="BJ117" i="18"/>
  <c r="BB108" i="18"/>
  <c r="BB107" i="18"/>
  <c r="CF209" i="18"/>
  <c r="CF187" i="18"/>
  <c r="CF192" i="18"/>
  <c r="CF164" i="18"/>
  <c r="CF182" i="18"/>
  <c r="CF134" i="18"/>
  <c r="CF99" i="18"/>
  <c r="CF116" i="18"/>
  <c r="CF70" i="18"/>
  <c r="CR187" i="18"/>
  <c r="CR209" i="18"/>
  <c r="CR192" i="18"/>
  <c r="CR99" i="18"/>
  <c r="CR70" i="18"/>
  <c r="CR164" i="18"/>
  <c r="CR182" i="18"/>
  <c r="CR134" i="18"/>
  <c r="X166" i="18"/>
  <c r="CS187" i="18"/>
  <c r="CS209" i="18"/>
  <c r="CS192" i="18"/>
  <c r="CS134" i="18"/>
  <c r="CS99" i="18"/>
  <c r="CT70" i="18"/>
  <c r="CS70" i="18"/>
  <c r="CS108" i="18"/>
  <c r="CS164" i="18"/>
  <c r="CS117" i="18"/>
  <c r="CS182" i="18"/>
  <c r="CS116" i="18"/>
  <c r="V107" i="18"/>
  <c r="V108" i="18"/>
  <c r="BU187" i="18"/>
  <c r="BU209" i="18"/>
  <c r="BU192" i="18"/>
  <c r="BU164" i="18"/>
  <c r="BU182" i="18"/>
  <c r="BU99" i="18"/>
  <c r="BU134" i="18"/>
  <c r="BU117" i="18"/>
  <c r="BU70" i="18"/>
  <c r="BU116" i="18"/>
  <c r="CK187" i="18"/>
  <c r="CK209" i="18"/>
  <c r="CK192" i="18"/>
  <c r="CK182" i="18"/>
  <c r="CK99" i="18"/>
  <c r="CK164" i="18"/>
  <c r="CK70" i="18"/>
  <c r="CK134" i="18"/>
  <c r="CP209" i="18"/>
  <c r="CP187" i="18"/>
  <c r="CP192" i="18"/>
  <c r="CP164" i="18"/>
  <c r="CP182" i="18"/>
  <c r="CP134" i="18"/>
  <c r="CP116" i="18"/>
  <c r="CP117" i="18"/>
  <c r="CP108" i="18"/>
  <c r="CP107" i="18"/>
  <c r="CP99" i="18"/>
  <c r="CP70" i="18"/>
  <c r="AE166" i="18"/>
  <c r="EF111" i="15"/>
  <c r="BK168" i="18"/>
  <c r="EF168" i="18" s="1"/>
  <c r="BC209" i="18"/>
  <c r="BC187" i="18"/>
  <c r="BC192" i="18"/>
  <c r="BC182" i="18"/>
  <c r="BC164" i="18"/>
  <c r="BC134" i="18"/>
  <c r="BC116" i="18"/>
  <c r="BC117" i="18"/>
  <c r="BC99" i="18"/>
  <c r="BD70" i="18"/>
  <c r="BC70" i="18"/>
  <c r="BK100" i="3"/>
  <c r="BK167" i="18" s="1"/>
  <c r="BK137" i="18"/>
  <c r="ET90" i="3"/>
  <c r="CZ155" i="18"/>
  <c r="ES155" i="18" s="1"/>
  <c r="BO38" i="11"/>
  <c r="BO36" i="11" s="1"/>
  <c r="BY77" i="11"/>
  <c r="DN77" i="11" s="1"/>
  <c r="EA77" i="11" s="1"/>
  <c r="BY64" i="11"/>
  <c r="BY95" i="11" s="1"/>
  <c r="DF87" i="18"/>
  <c r="EU87" i="18" s="1"/>
  <c r="FH87" i="18" s="1"/>
  <c r="BA101" i="3"/>
  <c r="AW166" i="18"/>
  <c r="AU106" i="3"/>
  <c r="AU114" i="3" s="1"/>
  <c r="AU115" i="3" s="1"/>
  <c r="AU167" i="18"/>
  <c r="AU166" i="18" s="1"/>
  <c r="BX107" i="18"/>
  <c r="BX108" i="18"/>
  <c r="AA107" i="18"/>
  <c r="AA108" i="18"/>
  <c r="BJ116" i="18"/>
  <c r="AZ107" i="18"/>
  <c r="AZ108" i="18"/>
  <c r="AU107" i="18"/>
  <c r="AU108" i="18"/>
  <c r="CD187" i="18"/>
  <c r="CD209" i="18"/>
  <c r="CD192" i="18"/>
  <c r="CD182" i="18"/>
  <c r="CD99" i="18"/>
  <c r="CD164" i="18"/>
  <c r="CD70" i="18"/>
  <c r="CD134" i="18"/>
  <c r="CD117" i="18"/>
  <c r="CD116" i="18"/>
  <c r="CD107" i="18"/>
  <c r="CU45" i="15"/>
  <c r="CQ187" i="18"/>
  <c r="CQ209" i="18"/>
  <c r="CQ192" i="18"/>
  <c r="CQ182" i="18"/>
  <c r="CQ99" i="18"/>
  <c r="CQ164" i="18"/>
  <c r="CQ70" i="18"/>
  <c r="CQ134" i="18"/>
  <c r="CQ117" i="18"/>
  <c r="CQ116" i="18"/>
  <c r="CQ108" i="18"/>
  <c r="CQ107" i="18"/>
  <c r="CS107" i="18"/>
  <c r="AY101" i="3"/>
  <c r="AY167" i="18"/>
  <c r="AY166" i="18" s="1"/>
  <c r="EO111" i="15"/>
  <c r="EO115" i="15" s="1"/>
  <c r="EK111" i="15"/>
  <c r="EK115" i="15" s="1"/>
  <c r="CL168" i="18"/>
  <c r="BU108" i="18"/>
  <c r="BU107" i="18"/>
  <c r="CH209" i="18"/>
  <c r="CH187" i="18"/>
  <c r="CH192" i="18"/>
  <c r="CH134" i="18"/>
  <c r="CH99" i="18"/>
  <c r="CH70" i="18"/>
  <c r="CH164" i="18"/>
  <c r="CH182" i="18"/>
  <c r="BX209" i="18"/>
  <c r="BX187" i="18"/>
  <c r="BX192" i="18"/>
  <c r="BX134" i="18"/>
  <c r="BX70" i="18"/>
  <c r="BX164" i="18"/>
  <c r="BX116" i="18"/>
  <c r="BX182" i="18"/>
  <c r="BX117" i="18"/>
  <c r="BX99" i="18"/>
  <c r="V166" i="18"/>
  <c r="AJ108" i="18"/>
  <c r="AJ107" i="18"/>
  <c r="CJ209" i="18"/>
  <c r="CJ187" i="18"/>
  <c r="CJ192" i="18"/>
  <c r="CJ134" i="18"/>
  <c r="CJ116" i="18"/>
  <c r="CJ117" i="18"/>
  <c r="CJ99" i="18"/>
  <c r="CJ70" i="18"/>
  <c r="CJ182" i="18"/>
  <c r="CJ164" i="18"/>
  <c r="CH116" i="18"/>
  <c r="H197" i="18"/>
  <c r="H173" i="18"/>
  <c r="BP209" i="18"/>
  <c r="BP187" i="18"/>
  <c r="BP192" i="18"/>
  <c r="BP182" i="18"/>
  <c r="BP164" i="18"/>
  <c r="BP134" i="18"/>
  <c r="BP99" i="18"/>
  <c r="BP70" i="18"/>
  <c r="BE187" i="18"/>
  <c r="BE209" i="18"/>
  <c r="BE192" i="18"/>
  <c r="BE99" i="18"/>
  <c r="BE70" i="18"/>
  <c r="BE164" i="18"/>
  <c r="BE182" i="18"/>
  <c r="BE134" i="18"/>
  <c r="BE117" i="18"/>
  <c r="BE116" i="18"/>
  <c r="BK187" i="18"/>
  <c r="BK209" i="18"/>
  <c r="BK192" i="18"/>
  <c r="BK134" i="18"/>
  <c r="BL70" i="18"/>
  <c r="BK99" i="18"/>
  <c r="BK70" i="18"/>
  <c r="BK164" i="18"/>
  <c r="BK182" i="18"/>
  <c r="CB187" i="18"/>
  <c r="CB209" i="18"/>
  <c r="CB192" i="18"/>
  <c r="CB182" i="18"/>
  <c r="CB164" i="18"/>
  <c r="CB134" i="18"/>
  <c r="CB99" i="18"/>
  <c r="CB70" i="18"/>
  <c r="AY107" i="18"/>
  <c r="AY108" i="18"/>
  <c r="BC108" i="18"/>
  <c r="BC107" i="18"/>
  <c r="BP117" i="18"/>
  <c r="BP116" i="18"/>
  <c r="CI134" i="18"/>
  <c r="AG197" i="18"/>
  <c r="AG173" i="18"/>
  <c r="Q108" i="18"/>
  <c r="Q107" i="18"/>
  <c r="BX86" i="11"/>
  <c r="BX95" i="11"/>
  <c r="CG209" i="18"/>
  <c r="CG187" i="18"/>
  <c r="CG192" i="18"/>
  <c r="CG99" i="18"/>
  <c r="CG70" i="18"/>
  <c r="CG164" i="18"/>
  <c r="CG182" i="18"/>
  <c r="CG134" i="18"/>
  <c r="BW209" i="18"/>
  <c r="BW187" i="18"/>
  <c r="BW192" i="18"/>
  <c r="BW134" i="18"/>
  <c r="BW107" i="18"/>
  <c r="BW108" i="18"/>
  <c r="BW164" i="18"/>
  <c r="BW99" i="18"/>
  <c r="BW182" i="18"/>
  <c r="BW70" i="18"/>
  <c r="M166" i="18"/>
  <c r="AE108" i="18"/>
  <c r="AE107" i="18"/>
  <c r="R108" i="18"/>
  <c r="R107" i="18"/>
  <c r="BH209" i="18"/>
  <c r="BH187" i="18"/>
  <c r="BH192" i="18"/>
  <c r="BH116" i="18"/>
  <c r="BH117" i="18"/>
  <c r="BH164" i="18"/>
  <c r="BH99" i="18"/>
  <c r="BH182" i="18"/>
  <c r="BH70" i="18"/>
  <c r="BH134" i="18"/>
  <c r="BI70" i="18"/>
  <c r="AN166" i="18"/>
  <c r="BH107" i="18"/>
  <c r="BH108" i="18"/>
  <c r="BV117" i="18"/>
  <c r="BV116" i="18"/>
  <c r="CF117" i="18"/>
  <c r="DF54" i="15"/>
  <c r="EU54" i="15" s="1"/>
  <c r="FH54" i="15" s="1"/>
  <c r="BX64" i="12"/>
  <c r="BY45" i="12"/>
  <c r="DN45" i="12" s="1"/>
  <c r="EA45" i="12" s="1"/>
  <c r="CI33" i="13"/>
  <c r="CJ3" i="13"/>
  <c r="DJ6" i="15"/>
  <c r="DF496" i="2"/>
  <c r="CG110" i="13" s="1"/>
  <c r="DF570" i="2"/>
  <c r="DF80" i="15"/>
  <c r="EU80" i="15" s="1"/>
  <c r="FH80" i="15" s="1"/>
  <c r="Q129" i="15"/>
  <c r="Q115" i="15"/>
  <c r="BO115" i="15"/>
  <c r="BO129" i="15"/>
  <c r="AR115" i="15"/>
  <c r="AR129" i="15"/>
  <c r="AY115" i="15"/>
  <c r="AY129" i="15"/>
  <c r="AD115" i="15"/>
  <c r="AD129" i="15"/>
  <c r="CE129" i="15"/>
  <c r="CE115" i="15"/>
  <c r="AP115" i="15"/>
  <c r="AP129" i="15"/>
  <c r="L129" i="15"/>
  <c r="L115" i="15"/>
  <c r="CG129" i="15"/>
  <c r="CG115" i="15"/>
  <c r="AX129" i="15"/>
  <c r="AX115" i="15"/>
  <c r="AE115" i="15"/>
  <c r="AE129" i="15"/>
  <c r="BC115" i="15"/>
  <c r="BC129" i="15"/>
  <c r="CB115" i="15"/>
  <c r="CB129" i="15"/>
  <c r="CC115" i="15"/>
  <c r="CC129" i="15"/>
  <c r="CD115" i="15"/>
  <c r="CD129" i="15"/>
  <c r="O115" i="15"/>
  <c r="O129" i="15"/>
  <c r="BF115" i="15"/>
  <c r="BF129" i="15"/>
  <c r="CS129" i="15"/>
  <c r="CS115" i="15"/>
  <c r="BS115" i="15"/>
  <c r="BS129" i="15"/>
  <c r="AQ129" i="15"/>
  <c r="AQ115" i="15"/>
  <c r="N129" i="15"/>
  <c r="N115" i="15"/>
  <c r="CM129" i="15"/>
  <c r="CM115" i="15"/>
  <c r="M129" i="15"/>
  <c r="M115" i="15"/>
  <c r="BZ129" i="15"/>
  <c r="BZ115" i="15"/>
  <c r="Y129" i="15"/>
  <c r="Y115" i="15"/>
  <c r="AM115" i="15"/>
  <c r="AM129" i="15"/>
  <c r="AW129" i="15"/>
  <c r="AW115" i="15"/>
  <c r="AC115" i="15"/>
  <c r="AC129" i="15"/>
  <c r="CH129" i="15"/>
  <c r="CH115" i="15"/>
  <c r="AS129" i="15"/>
  <c r="AS115" i="15"/>
  <c r="BB115" i="15"/>
  <c r="BB129" i="15"/>
  <c r="AJ129" i="15"/>
  <c r="AJ115" i="15"/>
  <c r="CK129" i="15"/>
  <c r="CK115" i="15"/>
  <c r="BM129" i="15"/>
  <c r="BM115" i="15"/>
  <c r="AN115" i="15"/>
  <c r="AN129" i="15"/>
  <c r="BV129" i="15"/>
  <c r="BV115" i="15"/>
  <c r="T129" i="15"/>
  <c r="T115" i="15"/>
  <c r="CP129" i="15"/>
  <c r="CP115" i="15"/>
  <c r="AI129" i="15"/>
  <c r="AI115" i="15"/>
  <c r="AU129" i="15"/>
  <c r="AU115" i="15"/>
  <c r="AG129" i="15"/>
  <c r="AG115" i="15"/>
  <c r="BA115" i="15"/>
  <c r="BA129" i="15"/>
  <c r="BT115" i="15"/>
  <c r="BT129" i="15"/>
  <c r="BJ129" i="15"/>
  <c r="BJ115" i="15"/>
  <c r="CT129" i="15"/>
  <c r="CT115" i="15"/>
  <c r="Z129" i="15"/>
  <c r="Z115" i="15"/>
  <c r="X115" i="15"/>
  <c r="X129" i="15"/>
  <c r="P115" i="15"/>
  <c r="P129" i="15"/>
  <c r="CA115" i="15"/>
  <c r="CA129" i="15"/>
  <c r="BQ115" i="15"/>
  <c r="BQ129" i="15"/>
  <c r="BY129" i="15"/>
  <c r="BY115" i="15"/>
  <c r="BK129" i="15"/>
  <c r="BK115" i="15"/>
  <c r="BH115" i="15"/>
  <c r="BH129" i="15"/>
  <c r="BG115" i="15"/>
  <c r="BG129" i="15"/>
  <c r="AF115" i="15"/>
  <c r="AF129" i="15"/>
  <c r="BD129" i="15"/>
  <c r="BD115" i="15"/>
  <c r="AO129" i="15"/>
  <c r="AO115" i="15"/>
  <c r="S129" i="15"/>
  <c r="S115" i="15"/>
  <c r="BR115" i="15"/>
  <c r="BR129" i="15"/>
  <c r="CN129" i="15"/>
  <c r="CN115" i="15"/>
  <c r="R115" i="15"/>
  <c r="R129" i="15"/>
  <c r="BX129" i="15"/>
  <c r="BX115" i="15"/>
  <c r="BE129" i="15"/>
  <c r="BE115" i="15"/>
  <c r="AZ115" i="15"/>
  <c r="AZ129" i="15"/>
  <c r="AL129" i="15"/>
  <c r="AL115" i="15"/>
  <c r="U115" i="15"/>
  <c r="U129" i="15"/>
  <c r="CF139" i="13"/>
  <c r="CQ115" i="15"/>
  <c r="CQ129" i="15"/>
  <c r="BI129" i="15"/>
  <c r="BI115" i="15"/>
  <c r="AK129" i="15"/>
  <c r="AK115" i="15"/>
  <c r="CL129" i="15"/>
  <c r="CL115" i="15"/>
  <c r="AT115" i="15"/>
  <c r="AT129" i="15"/>
  <c r="BU129" i="15"/>
  <c r="BU115" i="15"/>
  <c r="BL129" i="15"/>
  <c r="BL115" i="15"/>
  <c r="AH129" i="15"/>
  <c r="AH115" i="15"/>
  <c r="AB115" i="15"/>
  <c r="AB129" i="15"/>
  <c r="BW129" i="15"/>
  <c r="BW115" i="15"/>
  <c r="W115" i="15"/>
  <c r="W129" i="15"/>
  <c r="CJ115" i="15"/>
  <c r="CJ129" i="15"/>
  <c r="AV129" i="15"/>
  <c r="AV115" i="15"/>
  <c r="AA115" i="15"/>
  <c r="AA129" i="15"/>
  <c r="V115" i="15"/>
  <c r="V129" i="15"/>
  <c r="BP115" i="15"/>
  <c r="BP129" i="15"/>
  <c r="DE74" i="15"/>
  <c r="CG103" i="13"/>
  <c r="CD167" i="13"/>
  <c r="CD159" i="13"/>
  <c r="CC7" i="12"/>
  <c r="DJ10" i="15"/>
  <c r="CC15" i="12"/>
  <c r="CF129" i="13"/>
  <c r="CI39" i="13"/>
  <c r="CF124" i="13"/>
  <c r="CF130" i="13"/>
  <c r="CE121" i="13"/>
  <c r="CE127" i="13"/>
  <c r="DF548" i="2"/>
  <c r="CG138" i="13" s="1"/>
  <c r="DF500" i="2"/>
  <c r="CG115" i="13" s="1"/>
  <c r="DF547" i="2"/>
  <c r="CG137" i="13" s="1"/>
  <c r="DH416" i="2"/>
  <c r="DH444" i="2" s="1"/>
  <c r="DH446" i="2" s="1"/>
  <c r="DF499" i="2"/>
  <c r="CG114" i="13" s="1"/>
  <c r="DI544" i="2"/>
  <c r="CJ134" i="13" s="1"/>
  <c r="DI546" i="2"/>
  <c r="CJ136" i="13" s="1"/>
  <c r="DF501" i="2"/>
  <c r="CG116" i="13" s="1"/>
  <c r="DI497" i="2"/>
  <c r="CJ112" i="13" s="1"/>
  <c r="DI498" i="2"/>
  <c r="CJ113" i="13" s="1"/>
  <c r="CF102" i="13"/>
  <c r="BY79" i="11" s="1"/>
  <c r="DE502" i="2"/>
  <c r="CJ49" i="13"/>
  <c r="CC39" i="12" s="1"/>
  <c r="DI493" i="2"/>
  <c r="CJ107" i="13" s="1"/>
  <c r="CJ109" i="13"/>
  <c r="DI429" i="2"/>
  <c r="DJ409" i="2"/>
  <c r="DJ436" i="2" s="1"/>
  <c r="DJ408" i="2"/>
  <c r="DJ435" i="2" s="1"/>
  <c r="DJ494" i="2" s="1"/>
  <c r="CI70" i="13"/>
  <c r="DV70" i="13" s="1"/>
  <c r="DH456" i="2"/>
  <c r="DH473" i="2"/>
  <c r="DH511" i="2" s="1"/>
  <c r="DH510" i="2" s="1"/>
  <c r="BQ8" i="12"/>
  <c r="CO11" i="7"/>
  <c r="CP12" i="7"/>
  <c r="BR13" i="11" s="1"/>
  <c r="BR11" i="11" s="1"/>
  <c r="CX176" i="2"/>
  <c r="CX158" i="2"/>
  <c r="CV204" i="2"/>
  <c r="CN43" i="7"/>
  <c r="CN42" i="7" s="1"/>
  <c r="CN66" i="7" s="1"/>
  <c r="CL83" i="7"/>
  <c r="CT228" i="2"/>
  <c r="CL72" i="7" s="1"/>
  <c r="CT231" i="2"/>
  <c r="CL76" i="7" s="1"/>
  <c r="CU60" i="15" s="1"/>
  <c r="CL86" i="7"/>
  <c r="CT230" i="2"/>
  <c r="CL75" i="7" s="1"/>
  <c r="CU59" i="15" s="1"/>
  <c r="CL85" i="7"/>
  <c r="CU240" i="2"/>
  <c r="CU241" i="2"/>
  <c r="CU238" i="2"/>
  <c r="CW206" i="2"/>
  <c r="CW205" i="2" s="1"/>
  <c r="CW179" i="2"/>
  <c r="CO26" i="7" s="1"/>
  <c r="CW175" i="2"/>
  <c r="CO23" i="7"/>
  <c r="CO22" i="7" s="1"/>
  <c r="CW178" i="2"/>
  <c r="CO25" i="7" s="1"/>
  <c r="CW180" i="2"/>
  <c r="CO27" i="7" s="1"/>
  <c r="CX31" i="18" s="1"/>
  <c r="CW177" i="2"/>
  <c r="CO24" i="7" s="1"/>
  <c r="CN32" i="7"/>
  <c r="CN44" i="7"/>
  <c r="DA119" i="2"/>
  <c r="CZ107" i="2"/>
  <c r="DA92" i="3" s="1"/>
  <c r="DA156" i="18" s="1"/>
  <c r="CZ85" i="3"/>
  <c r="CZ84" i="3" s="1"/>
  <c r="CZ146" i="18" s="1"/>
  <c r="ES146" i="18" s="1"/>
  <c r="DA117" i="2"/>
  <c r="CZ103" i="2"/>
  <c r="DA86" i="3" s="1"/>
  <c r="DA154" i="18" s="1"/>
  <c r="DA118" i="2"/>
  <c r="CZ105" i="2"/>
  <c r="DA90" i="3" s="1"/>
  <c r="DA155" i="18" s="1"/>
  <c r="CH57" i="13"/>
  <c r="DG462" i="2"/>
  <c r="CB18" i="12"/>
  <c r="DO18" i="12" s="1"/>
  <c r="CJ36" i="13"/>
  <c r="CH67" i="13"/>
  <c r="DH454" i="2"/>
  <c r="DG470" i="2"/>
  <c r="DG508" i="2" s="1"/>
  <c r="DG492" i="2" s="1"/>
  <c r="CH106" i="13" s="1"/>
  <c r="CH59" i="13"/>
  <c r="DG464" i="2"/>
  <c r="DH453" i="2"/>
  <c r="CH66" i="13"/>
  <c r="DG469" i="2"/>
  <c r="DG507" i="2" s="1"/>
  <c r="CH58" i="13"/>
  <c r="DG463" i="2"/>
  <c r="DG451" i="2"/>
  <c r="CH65" i="13"/>
  <c r="DH452" i="2"/>
  <c r="DG468" i="2"/>
  <c r="DG506" i="2" s="1"/>
  <c r="DG490" i="2" s="1"/>
  <c r="CH60" i="13"/>
  <c r="DG465" i="2"/>
  <c r="DJ425" i="2"/>
  <c r="DJ419" i="2"/>
  <c r="DJ424" i="2"/>
  <c r="DJ418" i="2"/>
  <c r="DI399" i="2"/>
  <c r="CJ22" i="13"/>
  <c r="CJ25" i="13"/>
  <c r="CJ29" i="13"/>
  <c r="DJ391" i="2"/>
  <c r="CK10" i="13" s="1"/>
  <c r="CK14" i="13"/>
  <c r="DJ392" i="2"/>
  <c r="CK15" i="13"/>
  <c r="CK4" i="13"/>
  <c r="CK6" i="13"/>
  <c r="CK5" i="13"/>
  <c r="DK482" i="2"/>
  <c r="DK394" i="2" s="1"/>
  <c r="DK377" i="2" s="1"/>
  <c r="CL95" i="13"/>
  <c r="DW95" i="13" s="1"/>
  <c r="CK98" i="13"/>
  <c r="DA318" i="2"/>
  <c r="CR156" i="7"/>
  <c r="DA137" i="15" s="1"/>
  <c r="EO70" i="3"/>
  <c r="EH81" i="3"/>
  <c r="EH100" i="3" s="1"/>
  <c r="EO82" i="3"/>
  <c r="FG60" i="3"/>
  <c r="FG64" i="3" s="1"/>
  <c r="EQ70" i="3"/>
  <c r="C6" i="5"/>
  <c r="FG66" i="3"/>
  <c r="FG104" i="3"/>
  <c r="FG112" i="3"/>
  <c r="Q101" i="3"/>
  <c r="BK82" i="3"/>
  <c r="EG82" i="3"/>
  <c r="AA106" i="3"/>
  <c r="AA107" i="3" s="1"/>
  <c r="EL81" i="3"/>
  <c r="EL100" i="3" s="1"/>
  <c r="EL101" i="3" s="1"/>
  <c r="CC101" i="3"/>
  <c r="AD101" i="3"/>
  <c r="EK70" i="3"/>
  <c r="BV100" i="3"/>
  <c r="BV167" i="18" s="1"/>
  <c r="BV166" i="18" s="1"/>
  <c r="BV82" i="3"/>
  <c r="AY106" i="3"/>
  <c r="AY114" i="3" s="1"/>
  <c r="AY115" i="3" s="1"/>
  <c r="AU101" i="3"/>
  <c r="K101" i="3"/>
  <c r="K106" i="3"/>
  <c r="AE101" i="3"/>
  <c r="AE106" i="3"/>
  <c r="EK82" i="3"/>
  <c r="EK100" i="3"/>
  <c r="EI70" i="3"/>
  <c r="EI81" i="3"/>
  <c r="Y114" i="3"/>
  <c r="Y115" i="3" s="1"/>
  <c r="Y107" i="3"/>
  <c r="EG101" i="3"/>
  <c r="EG106" i="3"/>
  <c r="EM100" i="3"/>
  <c r="EM101" i="3" s="1"/>
  <c r="EM82" i="3"/>
  <c r="U107" i="3"/>
  <c r="U114" i="3"/>
  <c r="U115" i="3" s="1"/>
  <c r="AR106" i="3"/>
  <c r="AR101" i="3"/>
  <c r="AW106" i="3"/>
  <c r="AW101" i="3"/>
  <c r="EJ82" i="3"/>
  <c r="EJ100" i="3"/>
  <c r="D107" i="3"/>
  <c r="D114" i="3"/>
  <c r="D115" i="3" s="1"/>
  <c r="AX114" i="3"/>
  <c r="AX115" i="3" s="1"/>
  <c r="AX107" i="3"/>
  <c r="AB114" i="3"/>
  <c r="AB115" i="3" s="1"/>
  <c r="AB107" i="3"/>
  <c r="O101" i="3"/>
  <c r="O106" i="3"/>
  <c r="EQ100" i="3"/>
  <c r="EQ101" i="3" s="1"/>
  <c r="EQ82" i="3"/>
  <c r="AK114" i="3"/>
  <c r="AK115" i="3" s="1"/>
  <c r="AK107" i="3"/>
  <c r="T106" i="3"/>
  <c r="T101" i="3"/>
  <c r="AL114" i="3"/>
  <c r="AL115" i="3" s="1"/>
  <c r="AL107" i="3"/>
  <c r="AO107" i="3"/>
  <c r="AO114" i="3"/>
  <c r="AO115" i="3" s="1"/>
  <c r="N106" i="3"/>
  <c r="N101" i="3"/>
  <c r="G107" i="3"/>
  <c r="G114" i="3"/>
  <c r="G115" i="3" s="1"/>
  <c r="Z107" i="3"/>
  <c r="Z114" i="3"/>
  <c r="Z115" i="3" s="1"/>
  <c r="AG114" i="3"/>
  <c r="AG115" i="3" s="1"/>
  <c r="AG107" i="3"/>
  <c r="I114" i="3"/>
  <c r="I115" i="3" s="1"/>
  <c r="I107" i="3"/>
  <c r="E107" i="3"/>
  <c r="E114" i="3"/>
  <c r="E115" i="3" s="1"/>
  <c r="CH82" i="3"/>
  <c r="CH100" i="3"/>
  <c r="CH167" i="18" s="1"/>
  <c r="CH166" i="18" s="1"/>
  <c r="AF114" i="3"/>
  <c r="AF115" i="3" s="1"/>
  <c r="AF107" i="3"/>
  <c r="EN100" i="3"/>
  <c r="EN101" i="3" s="1"/>
  <c r="EN82" i="3"/>
  <c r="S106" i="3"/>
  <c r="S101" i="3"/>
  <c r="AQ114" i="3"/>
  <c r="AQ115" i="3" s="1"/>
  <c r="AQ107" i="3"/>
  <c r="AP107" i="3"/>
  <c r="AP114" i="3"/>
  <c r="AP115" i="3" s="1"/>
  <c r="C114" i="3"/>
  <c r="C115" i="3" s="1"/>
  <c r="C107" i="3"/>
  <c r="AC101" i="3"/>
  <c r="AC106" i="3"/>
  <c r="DY158" i="18" l="1"/>
  <c r="FA43" i="14"/>
  <c r="DY160" i="18"/>
  <c r="EZ48" i="14"/>
  <c r="EZ31" i="14"/>
  <c r="EZ14" i="14"/>
  <c r="EZ23" i="14"/>
  <c r="EZ20" i="14"/>
  <c r="FB40" i="14"/>
  <c r="FB37" i="14"/>
  <c r="DW7" i="14"/>
  <c r="FA5" i="14"/>
  <c r="DS51" i="14"/>
  <c r="FB15" i="14"/>
  <c r="EU177" i="18"/>
  <c r="FH177" i="18" s="1"/>
  <c r="DE175" i="18"/>
  <c r="BZ107" i="12"/>
  <c r="DG117" i="15"/>
  <c r="BZ136" i="11"/>
  <c r="EA96" i="11"/>
  <c r="EA87" i="11"/>
  <c r="EI32" i="7"/>
  <c r="CL115" i="7"/>
  <c r="CL106" i="7"/>
  <c r="CU262" i="2"/>
  <c r="EI110" i="18"/>
  <c r="CV272" i="2"/>
  <c r="CV274" i="2"/>
  <c r="CY285" i="2"/>
  <c r="DX288" i="2"/>
  <c r="DI48" i="15"/>
  <c r="EV48" i="15" s="1"/>
  <c r="EV28" i="15"/>
  <c r="EN101" i="18"/>
  <c r="EN107" i="18" s="1"/>
  <c r="EH129" i="13"/>
  <c r="DU129" i="13"/>
  <c r="BT117" i="18"/>
  <c r="CJ44" i="13"/>
  <c r="CJ43" i="13" s="1"/>
  <c r="EZ66" i="18"/>
  <c r="EZ74" i="18" s="1"/>
  <c r="DY342" i="2"/>
  <c r="E5" i="24"/>
  <c r="FF61" i="18"/>
  <c r="D5" i="24"/>
  <c r="FE61" i="18"/>
  <c r="C5" i="24"/>
  <c r="DT139" i="18"/>
  <c r="FI74" i="18"/>
  <c r="G15" i="24"/>
  <c r="FE72" i="18"/>
  <c r="C13" i="24"/>
  <c r="DW331" i="2"/>
  <c r="DX9" i="14"/>
  <c r="DX31" i="14" s="1"/>
  <c r="DX49" i="18"/>
  <c r="DV66" i="18"/>
  <c r="DV18" i="14"/>
  <c r="DV14" i="14"/>
  <c r="DV20" i="14"/>
  <c r="DV23" i="14"/>
  <c r="DV11" i="14"/>
  <c r="DV40" i="14"/>
  <c r="DV37" i="14"/>
  <c r="DV31" i="14"/>
  <c r="DV48" i="14"/>
  <c r="DU113" i="18"/>
  <c r="DU139" i="18" s="1"/>
  <c r="DU24" i="14"/>
  <c r="DU33" i="14"/>
  <c r="EZ33" i="14" s="1"/>
  <c r="DV3" i="14"/>
  <c r="DV327" i="2"/>
  <c r="DU37" i="18"/>
  <c r="EZ37" i="18" s="1"/>
  <c r="DU6" i="18"/>
  <c r="EZ6" i="18" s="1"/>
  <c r="DZ345" i="2"/>
  <c r="DZ29" i="14"/>
  <c r="DZ160" i="18" s="1"/>
  <c r="DY367" i="2"/>
  <c r="DY45" i="14"/>
  <c r="DY26" i="14"/>
  <c r="DZ344" i="2"/>
  <c r="DZ28" i="14"/>
  <c r="DZ158" i="18" s="1"/>
  <c r="DT169" i="18"/>
  <c r="DT34" i="14"/>
  <c r="DT42" i="14"/>
  <c r="DX329" i="2"/>
  <c r="DY5" i="14" s="1"/>
  <c r="DY6" i="14"/>
  <c r="DX148" i="18"/>
  <c r="FA148" i="18" s="1"/>
  <c r="EA15" i="14"/>
  <c r="EA13" i="18"/>
  <c r="EA44" i="18" s="1"/>
  <c r="FB44" i="18" s="1"/>
  <c r="EA81" i="18"/>
  <c r="FB81" i="18" s="1"/>
  <c r="DW9" i="14"/>
  <c r="FA9" i="14" s="1"/>
  <c r="DW49" i="18"/>
  <c r="DU21" i="14"/>
  <c r="DU104" i="18"/>
  <c r="EZ104" i="18" s="1"/>
  <c r="DX7" i="14"/>
  <c r="DX57" i="18"/>
  <c r="FA57" i="18" s="1"/>
  <c r="EQ111" i="15"/>
  <c r="EQ115" i="15" s="1"/>
  <c r="CR168" i="18"/>
  <c r="EQ168" i="18" s="1"/>
  <c r="BQ136" i="18"/>
  <c r="BQ143" i="18" s="1"/>
  <c r="CR138" i="11"/>
  <c r="CR109" i="12"/>
  <c r="CR129" i="15"/>
  <c r="EQ129" i="15" s="1"/>
  <c r="EQ133" i="15" s="1"/>
  <c r="CF107" i="18"/>
  <c r="CF168" i="18"/>
  <c r="EM168" i="18" s="1"/>
  <c r="FF90" i="15"/>
  <c r="FF94" i="15" s="1"/>
  <c r="EP111" i="15"/>
  <c r="EP115" i="15" s="1"/>
  <c r="EM101" i="18"/>
  <c r="EM107" i="18" s="1"/>
  <c r="CF129" i="15"/>
  <c r="CF133" i="15" s="1"/>
  <c r="EM111" i="15"/>
  <c r="EM115" i="15" s="1"/>
  <c r="BW136" i="18"/>
  <c r="BW143" i="18" s="1"/>
  <c r="CO129" i="15"/>
  <c r="EP129" i="15" s="1"/>
  <c r="EP133" i="15" s="1"/>
  <c r="CO115" i="15"/>
  <c r="FG73" i="18"/>
  <c r="EC526" i="2"/>
  <c r="EC513" i="2" s="1"/>
  <c r="EB513" i="2"/>
  <c r="CI108" i="18"/>
  <c r="DZ312" i="2"/>
  <c r="DQ147" i="7"/>
  <c r="DZ119" i="15" s="1"/>
  <c r="DY330" i="2"/>
  <c r="DY357" i="2"/>
  <c r="DY361" i="2"/>
  <c r="FE90" i="15"/>
  <c r="FE94" i="15" s="1"/>
  <c r="DY347" i="2"/>
  <c r="EA343" i="2"/>
  <c r="EB27" i="14" s="1"/>
  <c r="EB10" i="14"/>
  <c r="DZ333" i="2"/>
  <c r="FE138" i="18"/>
  <c r="C45" i="24" s="1"/>
  <c r="BN168" i="18"/>
  <c r="EG168" i="18" s="1"/>
  <c r="BN136" i="18"/>
  <c r="BN143" i="18" s="1"/>
  <c r="FG63" i="18"/>
  <c r="FG61" i="18"/>
  <c r="DA785" i="2"/>
  <c r="FE73" i="18"/>
  <c r="FF73" i="18"/>
  <c r="BN129" i="15"/>
  <c r="EG129" i="15" s="1"/>
  <c r="EG133" i="15" s="1"/>
  <c r="BN115" i="15"/>
  <c r="BN143" i="15"/>
  <c r="EG143" i="15" s="1"/>
  <c r="FE143" i="15" s="1"/>
  <c r="EG131" i="15"/>
  <c r="FE131" i="15" s="1"/>
  <c r="EN110" i="18"/>
  <c r="CI117" i="18"/>
  <c r="CI116" i="18"/>
  <c r="CF167" i="18"/>
  <c r="CF106" i="3"/>
  <c r="CF101" i="3"/>
  <c r="AV107" i="3"/>
  <c r="AV114" i="3"/>
  <c r="AV115" i="3" s="1"/>
  <c r="CD167" i="18"/>
  <c r="CD166" i="18" s="1"/>
  <c r="CD106" i="3"/>
  <c r="CD101" i="3"/>
  <c r="CA167" i="18"/>
  <c r="CA166" i="18" s="1"/>
  <c r="CA197" i="18" s="1"/>
  <c r="CA106" i="3"/>
  <c r="CA101" i="3"/>
  <c r="BP167" i="18"/>
  <c r="BP166" i="18" s="1"/>
  <c r="BP106" i="3"/>
  <c r="BP101" i="3"/>
  <c r="AV197" i="18"/>
  <c r="AV173" i="18"/>
  <c r="CT167" i="18"/>
  <c r="CT166" i="18" s="1"/>
  <c r="CT106" i="3"/>
  <c r="CT101" i="3"/>
  <c r="DU155" i="13"/>
  <c r="EH155" i="13" s="1"/>
  <c r="BY99" i="12"/>
  <c r="DN99" i="12" s="1"/>
  <c r="EA99" i="12" s="1"/>
  <c r="BY128" i="11"/>
  <c r="DN128" i="11" s="1"/>
  <c r="EA128" i="11" s="1"/>
  <c r="CI136" i="18"/>
  <c r="CI143" i="18" s="1"/>
  <c r="EN94" i="15"/>
  <c r="FG90" i="15"/>
  <c r="FG94" i="15" s="1"/>
  <c r="EN111" i="15"/>
  <c r="CI168" i="18"/>
  <c r="EN168" i="18" s="1"/>
  <c r="CI129" i="15"/>
  <c r="CI115" i="15"/>
  <c r="DR43" i="14"/>
  <c r="DR50" i="14"/>
  <c r="CU753" i="2"/>
  <c r="CU200" i="18"/>
  <c r="CI143" i="15"/>
  <c r="EN143" i="15" s="1"/>
  <c r="FG143" i="15" s="1"/>
  <c r="EN131" i="15"/>
  <c r="FG131" i="15" s="1"/>
  <c r="CS167" i="18"/>
  <c r="CS166" i="18" s="1"/>
  <c r="CS101" i="3"/>
  <c r="CS106" i="3"/>
  <c r="BX167" i="18"/>
  <c r="BX166" i="18" s="1"/>
  <c r="BX101" i="3"/>
  <c r="BX106" i="3"/>
  <c r="CR136" i="18"/>
  <c r="CR143" i="18" s="1"/>
  <c r="EQ137" i="18"/>
  <c r="W197" i="18"/>
  <c r="W173" i="18"/>
  <c r="CC108" i="18"/>
  <c r="CC107" i="18"/>
  <c r="EL110" i="18"/>
  <c r="EL117" i="18" s="1"/>
  <c r="CE117" i="18"/>
  <c r="CE116" i="18"/>
  <c r="CO167" i="18"/>
  <c r="CO166" i="18" s="1"/>
  <c r="CO106" i="3"/>
  <c r="CO101" i="3"/>
  <c r="CR167" i="18"/>
  <c r="CR101" i="3"/>
  <c r="CR106" i="3"/>
  <c r="BW167" i="18"/>
  <c r="BW166" i="18" s="1"/>
  <c r="BW101" i="3"/>
  <c r="BW106" i="3"/>
  <c r="CE167" i="18"/>
  <c r="CE106" i="3"/>
  <c r="CE101" i="3"/>
  <c r="W107" i="3"/>
  <c r="W114" i="3"/>
  <c r="W115" i="3" s="1"/>
  <c r="BL167" i="18"/>
  <c r="BL101" i="3"/>
  <c r="BL106" i="3"/>
  <c r="AI107" i="3"/>
  <c r="AI114" i="3"/>
  <c r="AI115" i="3" s="1"/>
  <c r="BZ167" i="18"/>
  <c r="BZ166" i="18" s="1"/>
  <c r="BZ101" i="3"/>
  <c r="BZ106" i="3"/>
  <c r="BO167" i="18"/>
  <c r="BO166" i="18" s="1"/>
  <c r="BO106" i="3"/>
  <c r="BO101" i="3"/>
  <c r="DU162" i="13"/>
  <c r="DU165" i="13"/>
  <c r="EH74" i="13"/>
  <c r="AZ107" i="3"/>
  <c r="AZ114" i="3"/>
  <c r="AZ115" i="3" s="1"/>
  <c r="J107" i="3"/>
  <c r="J114" i="3"/>
  <c r="J115" i="3" s="1"/>
  <c r="EG137" i="18"/>
  <c r="FI33" i="14"/>
  <c r="FI34" i="14" s="1"/>
  <c r="EY34" i="14"/>
  <c r="BM167" i="18"/>
  <c r="BM166" i="18" s="1"/>
  <c r="BM106" i="3"/>
  <c r="BM101" i="3"/>
  <c r="CP136" i="18"/>
  <c r="CP143" i="18" s="1"/>
  <c r="EP137" i="18"/>
  <c r="BY136" i="18"/>
  <c r="BY143" i="18" s="1"/>
  <c r="EJ137" i="18"/>
  <c r="CJ167" i="18"/>
  <c r="CJ166" i="18" s="1"/>
  <c r="CJ106" i="3"/>
  <c r="CJ101" i="3"/>
  <c r="BC101" i="3"/>
  <c r="BC106" i="3"/>
  <c r="BC167" i="18"/>
  <c r="BC166" i="18" s="1"/>
  <c r="EH137" i="18"/>
  <c r="BR136" i="18"/>
  <c r="BR143" i="18" s="1"/>
  <c r="EF110" i="18"/>
  <c r="BM117" i="18"/>
  <c r="BM116" i="18"/>
  <c r="FF111" i="18"/>
  <c r="D35" i="24" s="1"/>
  <c r="CM167" i="18"/>
  <c r="CM166" i="18" s="1"/>
  <c r="CM106" i="3"/>
  <c r="CM101" i="3"/>
  <c r="CP167" i="18"/>
  <c r="CP106" i="3"/>
  <c r="CP101" i="3"/>
  <c r="BY167" i="18"/>
  <c r="BY101" i="3"/>
  <c r="BY106" i="3"/>
  <c r="AI173" i="18"/>
  <c r="AI197" i="18"/>
  <c r="BT167" i="18"/>
  <c r="BT166" i="18" s="1"/>
  <c r="BT106" i="3"/>
  <c r="BT101" i="3"/>
  <c r="CQ167" i="18"/>
  <c r="CQ166" i="18" s="1"/>
  <c r="CQ101" i="3"/>
  <c r="CQ106" i="3"/>
  <c r="BH167" i="18"/>
  <c r="BH166" i="18" s="1"/>
  <c r="BH106" i="3"/>
  <c r="BH101" i="3"/>
  <c r="BS167" i="18"/>
  <c r="BS166" i="18" s="1"/>
  <c r="BS101" i="3"/>
  <c r="BS106" i="3"/>
  <c r="BR167" i="18"/>
  <c r="BR166" i="18" s="1"/>
  <c r="BR106" i="3"/>
  <c r="BR101" i="3"/>
  <c r="BF167" i="18"/>
  <c r="BF166" i="18" s="1"/>
  <c r="BF101" i="3"/>
  <c r="BF106" i="3"/>
  <c r="BD101" i="3"/>
  <c r="BD106" i="3"/>
  <c r="BD167" i="18"/>
  <c r="BD166" i="18" s="1"/>
  <c r="BI167" i="18"/>
  <c r="BI166" i="18" s="1"/>
  <c r="BI101" i="3"/>
  <c r="BI106" i="3"/>
  <c r="BG167" i="18"/>
  <c r="BG166" i="18" s="1"/>
  <c r="BG106" i="3"/>
  <c r="BG101" i="3"/>
  <c r="CN106" i="3"/>
  <c r="CN101" i="3"/>
  <c r="CN167" i="18"/>
  <c r="CN166" i="18" s="1"/>
  <c r="EK101" i="18"/>
  <c r="BZ108" i="18"/>
  <c r="BZ107" i="18"/>
  <c r="CO107" i="18"/>
  <c r="CO108" i="18"/>
  <c r="EP101" i="18"/>
  <c r="CI167" i="18"/>
  <c r="CI106" i="3"/>
  <c r="CI101" i="3"/>
  <c r="BU136" i="18"/>
  <c r="BU143" i="18" s="1"/>
  <c r="EI137" i="18"/>
  <c r="BU106" i="3"/>
  <c r="BU101" i="3"/>
  <c r="BU167" i="18"/>
  <c r="EL137" i="18"/>
  <c r="CC136" i="18"/>
  <c r="CC143" i="18" s="1"/>
  <c r="EP110" i="18"/>
  <c r="CO117" i="18"/>
  <c r="CO116" i="18"/>
  <c r="EQ110" i="18"/>
  <c r="CR116" i="18"/>
  <c r="CR117" i="18"/>
  <c r="EJ110" i="18"/>
  <c r="BW116" i="18"/>
  <c r="BW117" i="18"/>
  <c r="F197" i="18"/>
  <c r="F173" i="18"/>
  <c r="CB136" i="18"/>
  <c r="CB143" i="18" s="1"/>
  <c r="EK137" i="18"/>
  <c r="AT197" i="18"/>
  <c r="AT173" i="18"/>
  <c r="FF143" i="15"/>
  <c r="FF131" i="15"/>
  <c r="AH197" i="18"/>
  <c r="AH173" i="18"/>
  <c r="AZ197" i="18"/>
  <c r="AZ173" i="18"/>
  <c r="J197" i="18"/>
  <c r="J173" i="18"/>
  <c r="AH107" i="3"/>
  <c r="AH114" i="3"/>
  <c r="AH115" i="3" s="1"/>
  <c r="F107" i="3"/>
  <c r="F114" i="3"/>
  <c r="F115" i="3" s="1"/>
  <c r="AT107" i="3"/>
  <c r="AT114" i="3"/>
  <c r="AT115" i="3" s="1"/>
  <c r="EK110" i="18"/>
  <c r="CB117" i="18"/>
  <c r="CB116" i="18"/>
  <c r="EQ101" i="18"/>
  <c r="CR108" i="18"/>
  <c r="CR107" i="18"/>
  <c r="EO137" i="18"/>
  <c r="CL136" i="18"/>
  <c r="CL143" i="18" s="1"/>
  <c r="X114" i="3"/>
  <c r="X115" i="3" s="1"/>
  <c r="X107" i="3"/>
  <c r="EK134" i="18"/>
  <c r="BY88" i="12"/>
  <c r="DN88" i="12" s="1"/>
  <c r="EA88" i="12" s="1"/>
  <c r="DF99" i="15"/>
  <c r="EU99" i="15" s="1"/>
  <c r="FH99" i="15" s="1"/>
  <c r="EF187" i="18"/>
  <c r="EF209" i="18"/>
  <c r="EF182" i="18"/>
  <c r="EF99" i="18"/>
  <c r="EF164" i="18"/>
  <c r="EF134" i="18"/>
  <c r="EF192" i="18"/>
  <c r="EK209" i="18"/>
  <c r="EK187" i="18"/>
  <c r="EK182" i="18"/>
  <c r="EK99" i="18"/>
  <c r="EK164" i="18"/>
  <c r="EK192" i="18"/>
  <c r="AJ107" i="3"/>
  <c r="AJ114" i="3"/>
  <c r="AJ115" i="3" s="1"/>
  <c r="V107" i="3"/>
  <c r="V114" i="3"/>
  <c r="V115" i="3" s="1"/>
  <c r="BN167" i="18"/>
  <c r="BN106" i="3"/>
  <c r="BN101" i="3"/>
  <c r="CB101" i="3"/>
  <c r="CB106" i="3"/>
  <c r="CB167" i="18"/>
  <c r="BJ101" i="3"/>
  <c r="BJ106" i="3"/>
  <c r="BJ167" i="18"/>
  <c r="BJ166" i="18" s="1"/>
  <c r="CF144" i="13"/>
  <c r="DU144" i="13" s="1"/>
  <c r="DF108" i="15"/>
  <c r="EU108" i="15" s="1"/>
  <c r="DF162" i="18"/>
  <c r="EU162" i="18" s="1"/>
  <c r="FH162" i="18" s="1"/>
  <c r="CE156" i="13"/>
  <c r="BX118" i="11"/>
  <c r="ES137" i="15"/>
  <c r="BE167" i="18"/>
  <c r="BE166" i="18" s="1"/>
  <c r="BE106" i="3"/>
  <c r="BE101" i="3"/>
  <c r="BB167" i="18"/>
  <c r="BB166" i="18" s="1"/>
  <c r="BB101" i="3"/>
  <c r="BB106" i="3"/>
  <c r="L173" i="18"/>
  <c r="L197" i="18"/>
  <c r="L107" i="3"/>
  <c r="L114" i="3"/>
  <c r="L115" i="3" s="1"/>
  <c r="P197" i="18"/>
  <c r="P173" i="18"/>
  <c r="P114" i="3"/>
  <c r="P115" i="3" s="1"/>
  <c r="P107" i="3"/>
  <c r="AS197" i="18"/>
  <c r="AS173" i="18"/>
  <c r="AS107" i="3"/>
  <c r="AS114" i="3"/>
  <c r="AS115" i="3" s="1"/>
  <c r="R114" i="3"/>
  <c r="R115" i="3" s="1"/>
  <c r="R107" i="3"/>
  <c r="CL167" i="18"/>
  <c r="CL106" i="3"/>
  <c r="CL101" i="3"/>
  <c r="BQ167" i="18"/>
  <c r="BQ106" i="3"/>
  <c r="BQ101" i="3"/>
  <c r="H114" i="3"/>
  <c r="H115" i="3" s="1"/>
  <c r="H107" i="3"/>
  <c r="BA114" i="3"/>
  <c r="BA115" i="3" s="1"/>
  <c r="BA107" i="3"/>
  <c r="AD114" i="3"/>
  <c r="AD115" i="3" s="1"/>
  <c r="AD107" i="3"/>
  <c r="EI44" i="7"/>
  <c r="BP40" i="12"/>
  <c r="EM110" i="18"/>
  <c r="CG117" i="18"/>
  <c r="CG116" i="18"/>
  <c r="EH110" i="18"/>
  <c r="BQ116" i="18"/>
  <c r="EF101" i="18"/>
  <c r="BK107" i="18"/>
  <c r="EM192" i="18"/>
  <c r="EM209" i="18"/>
  <c r="EM182" i="18"/>
  <c r="EM99" i="18"/>
  <c r="EO110" i="18"/>
  <c r="CL116" i="18"/>
  <c r="CL117" i="18"/>
  <c r="EO101" i="18"/>
  <c r="CL107" i="18"/>
  <c r="CL108" i="18"/>
  <c r="CW775" i="2"/>
  <c r="EM164" i="18"/>
  <c r="EM187" i="18"/>
  <c r="BK108" i="18"/>
  <c r="BQ108" i="18"/>
  <c r="EM134" i="18"/>
  <c r="BK101" i="3"/>
  <c r="BN108" i="18"/>
  <c r="EP134" i="18"/>
  <c r="FE63" i="18"/>
  <c r="C12" i="24" s="1"/>
  <c r="BQ117" i="18"/>
  <c r="BN107" i="18"/>
  <c r="EP70" i="18"/>
  <c r="EP164" i="18"/>
  <c r="BQ107" i="18"/>
  <c r="N173" i="18"/>
  <c r="FG72" i="18"/>
  <c r="FE111" i="18"/>
  <c r="C35" i="24" s="1"/>
  <c r="EP192" i="18"/>
  <c r="EP99" i="18"/>
  <c r="EP182" i="18"/>
  <c r="EP187" i="18"/>
  <c r="BN117" i="18"/>
  <c r="EM70" i="18"/>
  <c r="EN134" i="18"/>
  <c r="BN116" i="18"/>
  <c r="FF138" i="18"/>
  <c r="D45" i="24" s="1"/>
  <c r="U198" i="18"/>
  <c r="U211" i="18"/>
  <c r="AF198" i="18"/>
  <c r="AF211" i="18"/>
  <c r="BZ55" i="11"/>
  <c r="EI107" i="18"/>
  <c r="EI108" i="18"/>
  <c r="EH107" i="18"/>
  <c r="EH108" i="18"/>
  <c r="FF63" i="18"/>
  <c r="D12" i="24" s="1"/>
  <c r="EJ209" i="18"/>
  <c r="EJ70" i="18"/>
  <c r="EJ187" i="18"/>
  <c r="EJ182" i="18"/>
  <c r="EJ99" i="18"/>
  <c r="EJ164" i="18"/>
  <c r="EJ192" i="18"/>
  <c r="CH81" i="13"/>
  <c r="CA43" i="11"/>
  <c r="BQ22" i="12"/>
  <c r="BX98" i="11"/>
  <c r="EO168" i="18"/>
  <c r="N198" i="18"/>
  <c r="N211" i="18"/>
  <c r="EI168" i="18"/>
  <c r="EJ168" i="18"/>
  <c r="CU32" i="18"/>
  <c r="EG107" i="18"/>
  <c r="EG108" i="18"/>
  <c r="DN64" i="11"/>
  <c r="BX82" i="12"/>
  <c r="CD5" i="11"/>
  <c r="CA42" i="11"/>
  <c r="CH83" i="13"/>
  <c r="AP198" i="18"/>
  <c r="AP211" i="18"/>
  <c r="AQ198" i="18"/>
  <c r="AQ211" i="18"/>
  <c r="EQ209" i="18"/>
  <c r="EQ187" i="18"/>
  <c r="EQ70" i="18"/>
  <c r="EQ182" i="18"/>
  <c r="EQ164" i="18"/>
  <c r="EQ99" i="18"/>
  <c r="EQ134" i="18"/>
  <c r="EQ192" i="18"/>
  <c r="EJ134" i="18"/>
  <c r="E212" i="18"/>
  <c r="E232" i="18"/>
  <c r="E233" i="18" s="1"/>
  <c r="AB198" i="18"/>
  <c r="AB211" i="18"/>
  <c r="K198" i="18"/>
  <c r="K211" i="18"/>
  <c r="CG136" i="18"/>
  <c r="CG143" i="18" s="1"/>
  <c r="EM137" i="18"/>
  <c r="EO70" i="18"/>
  <c r="EO209" i="18"/>
  <c r="EO187" i="18"/>
  <c r="EO182" i="18"/>
  <c r="EO99" i="18"/>
  <c r="EO164" i="18"/>
  <c r="EO192" i="18"/>
  <c r="EO134" i="18"/>
  <c r="FF119" i="18"/>
  <c r="EK70" i="18"/>
  <c r="CD6" i="11"/>
  <c r="CJ17" i="13"/>
  <c r="CH78" i="13"/>
  <c r="AG198" i="18"/>
  <c r="AG211" i="18"/>
  <c r="H198" i="18"/>
  <c r="H211" i="18"/>
  <c r="AX198" i="18"/>
  <c r="AX211" i="18"/>
  <c r="AK198" i="18"/>
  <c r="AK211" i="18"/>
  <c r="Z198" i="18"/>
  <c r="Z211" i="18"/>
  <c r="I232" i="18"/>
  <c r="I233" i="18" s="1"/>
  <c r="I212" i="18"/>
  <c r="EG116" i="18"/>
  <c r="EG117" i="18"/>
  <c r="EI187" i="18"/>
  <c r="EI70" i="18"/>
  <c r="EI209" i="18"/>
  <c r="EI182" i="18"/>
  <c r="EI99" i="18"/>
  <c r="EI192" i="18"/>
  <c r="EI164" i="18"/>
  <c r="CC21" i="12"/>
  <c r="CC8" i="11"/>
  <c r="BW147" i="11"/>
  <c r="EN137" i="18"/>
  <c r="EH130" i="13"/>
  <c r="EH124" i="13"/>
  <c r="EH187" i="18"/>
  <c r="EH70" i="18"/>
  <c r="EH209" i="18"/>
  <c r="EH182" i="18"/>
  <c r="EH99" i="18"/>
  <c r="EH164" i="18"/>
  <c r="EH192" i="18"/>
  <c r="EH134" i="18"/>
  <c r="EJ107" i="18"/>
  <c r="EJ108" i="18"/>
  <c r="CI38" i="13"/>
  <c r="DV38" i="13" s="1"/>
  <c r="DV39" i="13"/>
  <c r="CI54" i="13"/>
  <c r="DV54" i="13" s="1"/>
  <c r="DV33" i="13"/>
  <c r="BK136" i="18"/>
  <c r="BK143" i="18" s="1"/>
  <c r="EF137" i="18"/>
  <c r="EH168" i="18"/>
  <c r="Y198" i="18"/>
  <c r="Y211" i="18"/>
  <c r="AO198" i="18"/>
  <c r="AO211" i="18"/>
  <c r="AL198" i="18"/>
  <c r="AL211" i="18"/>
  <c r="FE102" i="18"/>
  <c r="C26" i="24" s="1"/>
  <c r="EN209" i="18"/>
  <c r="EN187" i="18"/>
  <c r="EN70" i="18"/>
  <c r="EN182" i="18"/>
  <c r="EN164" i="18"/>
  <c r="EN99" i="18"/>
  <c r="EN192" i="18"/>
  <c r="FG119" i="18"/>
  <c r="G232" i="18"/>
  <c r="G233" i="18" s="1"/>
  <c r="G212" i="18"/>
  <c r="DU102" i="13"/>
  <c r="EH102" i="13" s="1"/>
  <c r="FG138" i="18"/>
  <c r="E45" i="24" s="1"/>
  <c r="BZ96" i="11"/>
  <c r="BZ87" i="11"/>
  <c r="EL108" i="18"/>
  <c r="EL107" i="18"/>
  <c r="C232" i="18"/>
  <c r="C233" i="18" s="1"/>
  <c r="C212" i="18"/>
  <c r="EP168" i="18"/>
  <c r="BA198" i="18"/>
  <c r="BA211" i="18"/>
  <c r="FF102" i="18"/>
  <c r="D26" i="24" s="1"/>
  <c r="FG102" i="18"/>
  <c r="E26" i="24" s="1"/>
  <c r="D212" i="18"/>
  <c r="D232" i="18"/>
  <c r="D233" i="18" s="1"/>
  <c r="EG70" i="18"/>
  <c r="EG209" i="18"/>
  <c r="EG187" i="18"/>
  <c r="EG182" i="18"/>
  <c r="EG99" i="18"/>
  <c r="EG164" i="18"/>
  <c r="EG192" i="18"/>
  <c r="EG134" i="18"/>
  <c r="EL164" i="18"/>
  <c r="EL209" i="18"/>
  <c r="EL70" i="18"/>
  <c r="EL187" i="18"/>
  <c r="EL182" i="18"/>
  <c r="EL99" i="18"/>
  <c r="EL134" i="18"/>
  <c r="EL192" i="18"/>
  <c r="DN79" i="11"/>
  <c r="EA79" i="11" s="1"/>
  <c r="DO20" i="11"/>
  <c r="CB33" i="11"/>
  <c r="DO33" i="11" s="1"/>
  <c r="FF72" i="18"/>
  <c r="FG111" i="18"/>
  <c r="E35" i="24" s="1"/>
  <c r="CU43" i="18"/>
  <c r="AR197" i="18"/>
  <c r="EI43" i="7"/>
  <c r="EI42" i="7"/>
  <c r="EI22" i="7"/>
  <c r="CX9" i="15"/>
  <c r="CX12" i="18" s="1"/>
  <c r="CX29" i="18"/>
  <c r="CX30" i="18"/>
  <c r="EF115" i="15"/>
  <c r="FE111" i="15"/>
  <c r="FE115" i="15" s="1"/>
  <c r="EJ115" i="15"/>
  <c r="DK25" i="11"/>
  <c r="ET85" i="3"/>
  <c r="ET84" i="3" s="1"/>
  <c r="Q107" i="3"/>
  <c r="CC166" i="18"/>
  <c r="CI32" i="13"/>
  <c r="DV32" i="13" s="1"/>
  <c r="CG162" i="13"/>
  <c r="BA173" i="18"/>
  <c r="CG155" i="13"/>
  <c r="AC197" i="18"/>
  <c r="AU107" i="3"/>
  <c r="T197" i="18"/>
  <c r="CV43" i="15"/>
  <c r="BK106" i="3"/>
  <c r="CC107" i="3"/>
  <c r="BK166" i="18"/>
  <c r="ER47" i="15"/>
  <c r="CA70" i="11"/>
  <c r="CA65" i="11"/>
  <c r="BN52" i="12"/>
  <c r="BN74" i="11"/>
  <c r="EK129" i="15"/>
  <c r="EK133" i="15" s="1"/>
  <c r="EO129" i="15"/>
  <c r="EO133" i="15" s="1"/>
  <c r="EH129" i="15"/>
  <c r="EH133" i="15" s="1"/>
  <c r="EL129" i="15"/>
  <c r="EL133" i="15" s="1"/>
  <c r="AY197" i="18"/>
  <c r="AY173" i="18"/>
  <c r="AJ197" i="18"/>
  <c r="AJ173" i="18"/>
  <c r="CR157" i="7"/>
  <c r="CX28" i="18"/>
  <c r="BZ58" i="12"/>
  <c r="DG68" i="15" s="1"/>
  <c r="M197" i="18"/>
  <c r="M173" i="18"/>
  <c r="ER27" i="15"/>
  <c r="O197" i="18"/>
  <c r="O173" i="18"/>
  <c r="CG167" i="18"/>
  <c r="CG101" i="3"/>
  <c r="CG106" i="3"/>
  <c r="X197" i="18"/>
  <c r="X173" i="18"/>
  <c r="CR158" i="7"/>
  <c r="DJ19" i="15"/>
  <c r="CC24" i="11"/>
  <c r="EJ129" i="15"/>
  <c r="Q197" i="18"/>
  <c r="Q173" i="18"/>
  <c r="R197" i="18"/>
  <c r="R173" i="18"/>
  <c r="CW27" i="18"/>
  <c r="ER27" i="18" s="1"/>
  <c r="ER18" i="15"/>
  <c r="BV197" i="18"/>
  <c r="BV173" i="18"/>
  <c r="BQ25" i="11"/>
  <c r="BP38" i="11"/>
  <c r="BP36" i="11" s="1"/>
  <c r="BP60" i="11" s="1"/>
  <c r="BN49" i="12"/>
  <c r="BN71" i="11"/>
  <c r="AU197" i="18"/>
  <c r="AU173" i="18"/>
  <c r="CH197" i="18"/>
  <c r="CH173" i="18"/>
  <c r="DE93" i="15"/>
  <c r="DE114" i="15" s="1"/>
  <c r="V197" i="18"/>
  <c r="V173" i="18"/>
  <c r="BO60" i="11"/>
  <c r="CZ153" i="18"/>
  <c r="ES153" i="18" s="1"/>
  <c r="BZ77" i="11"/>
  <c r="BZ64" i="11"/>
  <c r="DG87" i="18"/>
  <c r="BT153" i="11"/>
  <c r="BT124" i="12"/>
  <c r="DA153" i="18"/>
  <c r="CW43" i="15"/>
  <c r="CW80" i="18"/>
  <c r="EF129" i="15"/>
  <c r="BY86" i="11"/>
  <c r="AM197" i="18"/>
  <c r="AM173" i="18"/>
  <c r="AA197" i="18"/>
  <c r="AA173" i="18"/>
  <c r="BN51" i="12"/>
  <c r="BN73" i="11"/>
  <c r="CC37" i="11"/>
  <c r="EI129" i="15"/>
  <c r="EI133" i="15" s="1"/>
  <c r="AN197" i="18"/>
  <c r="AN173" i="18"/>
  <c r="AD197" i="18"/>
  <c r="AD173" i="18"/>
  <c r="S197" i="18"/>
  <c r="S173" i="18"/>
  <c r="CU43" i="15"/>
  <c r="ER45" i="15"/>
  <c r="CU80" i="18"/>
  <c r="AW197" i="18"/>
  <c r="AW173" i="18"/>
  <c r="AE197" i="18"/>
  <c r="AE173" i="18"/>
  <c r="CK167" i="18"/>
  <c r="CK101" i="3"/>
  <c r="CK106" i="3"/>
  <c r="CE122" i="13"/>
  <c r="BX89" i="11"/>
  <c r="BZ45" i="12"/>
  <c r="BY64" i="12"/>
  <c r="BY82" i="12" s="1"/>
  <c r="CG123" i="13"/>
  <c r="CA25" i="12"/>
  <c r="DG54" i="15"/>
  <c r="DH33" i="15"/>
  <c r="DH448" i="2"/>
  <c r="DH465" i="2" s="1"/>
  <c r="AV133" i="15"/>
  <c r="AV141" i="15"/>
  <c r="AV145" i="15" s="1"/>
  <c r="BL133" i="15"/>
  <c r="BL141" i="15"/>
  <c r="BL145" i="15" s="1"/>
  <c r="BI141" i="15"/>
  <c r="BI145" i="15" s="1"/>
  <c r="BI133" i="15"/>
  <c r="BQ133" i="15"/>
  <c r="BQ141" i="15"/>
  <c r="AC133" i="15"/>
  <c r="AC141" i="15"/>
  <c r="AC145" i="15" s="1"/>
  <c r="BC141" i="15"/>
  <c r="BC145" i="15" s="1"/>
  <c r="BC133" i="15"/>
  <c r="CJ133" i="15"/>
  <c r="CJ141" i="15"/>
  <c r="CJ145" i="15" s="1"/>
  <c r="CQ141" i="15"/>
  <c r="CQ145" i="15" s="1"/>
  <c r="CQ133" i="15"/>
  <c r="BX141" i="15"/>
  <c r="BX145" i="15" s="1"/>
  <c r="BX133" i="15"/>
  <c r="BD133" i="15"/>
  <c r="BD141" i="15"/>
  <c r="BD145" i="15" s="1"/>
  <c r="BJ141" i="15"/>
  <c r="BJ145" i="15" s="1"/>
  <c r="BJ133" i="15"/>
  <c r="AI133" i="15"/>
  <c r="AI141" i="15"/>
  <c r="AI145" i="15" s="1"/>
  <c r="BM141" i="15"/>
  <c r="BM145" i="15" s="1"/>
  <c r="BM133" i="15"/>
  <c r="CM141" i="15"/>
  <c r="CM145" i="15" s="1"/>
  <c r="CM133" i="15"/>
  <c r="CS141" i="15"/>
  <c r="CS145" i="15" s="1"/>
  <c r="CS133" i="15"/>
  <c r="CE133" i="15"/>
  <c r="CE141" i="15"/>
  <c r="CE145" i="15" s="1"/>
  <c r="AD133" i="15"/>
  <c r="AD141" i="15"/>
  <c r="AD145" i="15" s="1"/>
  <c r="CP141" i="15"/>
  <c r="CP145" i="15" s="1"/>
  <c r="CP133" i="15"/>
  <c r="CK133" i="15"/>
  <c r="CK141" i="15"/>
  <c r="CK145" i="15" s="1"/>
  <c r="AW141" i="15"/>
  <c r="AW145" i="15" s="1"/>
  <c r="AW133" i="15"/>
  <c r="BP141" i="15"/>
  <c r="BP145" i="15" s="1"/>
  <c r="BP133" i="15"/>
  <c r="U133" i="15"/>
  <c r="U141" i="15"/>
  <c r="U145" i="15" s="1"/>
  <c r="BG133" i="15"/>
  <c r="BG141" i="15"/>
  <c r="BG145" i="15" s="1"/>
  <c r="P133" i="15"/>
  <c r="P141" i="15"/>
  <c r="P145" i="15" s="1"/>
  <c r="BA141" i="15"/>
  <c r="BA145" i="15" s="1"/>
  <c r="BA133" i="15"/>
  <c r="AM141" i="15"/>
  <c r="AM145" i="15" s="1"/>
  <c r="AM133" i="15"/>
  <c r="O133" i="15"/>
  <c r="O141" i="15"/>
  <c r="O145" i="15" s="1"/>
  <c r="AY141" i="15"/>
  <c r="AY145" i="15" s="1"/>
  <c r="AY133" i="15"/>
  <c r="CN133" i="15"/>
  <c r="CN141" i="15"/>
  <c r="CN145" i="15" s="1"/>
  <c r="T133" i="15"/>
  <c r="T141" i="15"/>
  <c r="T145" i="15" s="1"/>
  <c r="AJ141" i="15"/>
  <c r="AJ145" i="15" s="1"/>
  <c r="AJ133" i="15"/>
  <c r="N141" i="15"/>
  <c r="N145" i="15" s="1"/>
  <c r="N133" i="15"/>
  <c r="AX141" i="15"/>
  <c r="AX145" i="15" s="1"/>
  <c r="AX133" i="15"/>
  <c r="AE133" i="15"/>
  <c r="AE141" i="15"/>
  <c r="AE145" i="15" s="1"/>
  <c r="V141" i="15"/>
  <c r="V145" i="15" s="1"/>
  <c r="V133" i="15"/>
  <c r="BW141" i="15"/>
  <c r="BW133" i="15"/>
  <c r="BR133" i="15"/>
  <c r="BR141" i="15"/>
  <c r="BR145" i="15" s="1"/>
  <c r="BH141" i="15"/>
  <c r="BH145" i="15" s="1"/>
  <c r="BH133" i="15"/>
  <c r="X141" i="15"/>
  <c r="X145" i="15" s="1"/>
  <c r="X133" i="15"/>
  <c r="BB141" i="15"/>
  <c r="BB145" i="15" s="1"/>
  <c r="BB133" i="15"/>
  <c r="CD141" i="15"/>
  <c r="CD145" i="15" s="1"/>
  <c r="CD133" i="15"/>
  <c r="AR133" i="15"/>
  <c r="AR141" i="15"/>
  <c r="AR145" i="15" s="1"/>
  <c r="AB141" i="15"/>
  <c r="AB145" i="15" s="1"/>
  <c r="AB133" i="15"/>
  <c r="AL141" i="15"/>
  <c r="AL145" i="15" s="1"/>
  <c r="AL133" i="15"/>
  <c r="BV141" i="15"/>
  <c r="BV145" i="15" s="1"/>
  <c r="BV133" i="15"/>
  <c r="Y141" i="15"/>
  <c r="Y145" i="15" s="1"/>
  <c r="Y133" i="15"/>
  <c r="CG141" i="15"/>
  <c r="CG145" i="15" s="1"/>
  <c r="CG133" i="15"/>
  <c r="EU68" i="15"/>
  <c r="FH68" i="15" s="1"/>
  <c r="DF74" i="15"/>
  <c r="DF93" i="15" s="1"/>
  <c r="CL133" i="15"/>
  <c r="CL141" i="15"/>
  <c r="AZ133" i="15"/>
  <c r="AZ141" i="15"/>
  <c r="AZ145" i="15" s="1"/>
  <c r="AN141" i="15"/>
  <c r="AN145" i="15" s="1"/>
  <c r="AN133" i="15"/>
  <c r="CC141" i="15"/>
  <c r="CC133" i="15"/>
  <c r="BO141" i="15"/>
  <c r="BO145" i="15" s="1"/>
  <c r="BO133" i="15"/>
  <c r="BU141" i="15"/>
  <c r="BU145" i="15" s="1"/>
  <c r="BU133" i="15"/>
  <c r="R133" i="15"/>
  <c r="R141" i="15"/>
  <c r="R145" i="15" s="1"/>
  <c r="BT133" i="15"/>
  <c r="BT141" i="15"/>
  <c r="BF133" i="15"/>
  <c r="BF141" i="15"/>
  <c r="BF145" i="15" s="1"/>
  <c r="W141" i="15"/>
  <c r="W145" i="15" s="1"/>
  <c r="W133" i="15"/>
  <c r="AA141" i="15"/>
  <c r="AA145" i="15" s="1"/>
  <c r="AA133" i="15"/>
  <c r="S133" i="15"/>
  <c r="S141" i="15"/>
  <c r="S145" i="15" s="1"/>
  <c r="BK133" i="15"/>
  <c r="BK141" i="15"/>
  <c r="Z141" i="15"/>
  <c r="Z145" i="15" s="1"/>
  <c r="Z133" i="15"/>
  <c r="AG133" i="15"/>
  <c r="AG141" i="15"/>
  <c r="AG145" i="15" s="1"/>
  <c r="AS133" i="15"/>
  <c r="AS141" i="15"/>
  <c r="AS145" i="15" s="1"/>
  <c r="BZ133" i="15"/>
  <c r="BZ141" i="15"/>
  <c r="BZ145" i="15" s="1"/>
  <c r="AQ133" i="15"/>
  <c r="AQ141" i="15"/>
  <c r="AQ145" i="15" s="1"/>
  <c r="L133" i="15"/>
  <c r="L141" i="15"/>
  <c r="L145" i="15" s="1"/>
  <c r="AT141" i="15"/>
  <c r="AT145" i="15" s="1"/>
  <c r="AT133" i="15"/>
  <c r="AH133" i="15"/>
  <c r="AH141" i="15"/>
  <c r="AH145" i="15" s="1"/>
  <c r="AK141" i="15"/>
  <c r="AK145" i="15" s="1"/>
  <c r="AK133" i="15"/>
  <c r="BS133" i="15"/>
  <c r="BS141" i="15"/>
  <c r="BS145" i="15" s="1"/>
  <c r="CB133" i="15"/>
  <c r="CB141" i="15"/>
  <c r="CB145" i="15" s="1"/>
  <c r="AP133" i="15"/>
  <c r="AP141" i="15"/>
  <c r="AP145" i="15" s="1"/>
  <c r="AF133" i="15"/>
  <c r="AF141" i="15"/>
  <c r="AF145" i="15" s="1"/>
  <c r="CA141" i="15"/>
  <c r="CA145" i="15" s="1"/>
  <c r="CA133" i="15"/>
  <c r="BE133" i="15"/>
  <c r="BE141" i="15"/>
  <c r="BE145" i="15" s="1"/>
  <c r="AO133" i="15"/>
  <c r="AO141" i="15"/>
  <c r="AO145" i="15" s="1"/>
  <c r="BY141" i="15"/>
  <c r="BY145" i="15" s="1"/>
  <c r="BY133" i="15"/>
  <c r="CT141" i="15"/>
  <c r="CT145" i="15" s="1"/>
  <c r="CT133" i="15"/>
  <c r="AU141" i="15"/>
  <c r="AU145" i="15" s="1"/>
  <c r="AU133" i="15"/>
  <c r="CH141" i="15"/>
  <c r="CH145" i="15" s="1"/>
  <c r="CH133" i="15"/>
  <c r="M141" i="15"/>
  <c r="M145" i="15" s="1"/>
  <c r="M133" i="15"/>
  <c r="Q133" i="15"/>
  <c r="Q141" i="15"/>
  <c r="Q145" i="15" s="1"/>
  <c r="CG129" i="13"/>
  <c r="CG133" i="13"/>
  <c r="CE128" i="13"/>
  <c r="CE141" i="13"/>
  <c r="DH445" i="2"/>
  <c r="DH462" i="2" s="1"/>
  <c r="DH447" i="2"/>
  <c r="DH464" i="2" s="1"/>
  <c r="CD168" i="13"/>
  <c r="CG124" i="13"/>
  <c r="CG130" i="13"/>
  <c r="CF121" i="13"/>
  <c r="DU121" i="13" s="1"/>
  <c r="CF127" i="13"/>
  <c r="BY98" i="11" s="1"/>
  <c r="BY113" i="11" s="1"/>
  <c r="DF543" i="2"/>
  <c r="DF549" i="2" s="1"/>
  <c r="DF488" i="2"/>
  <c r="DF502" i="2" s="1"/>
  <c r="CK26" i="13"/>
  <c r="CK108" i="13"/>
  <c r="CK51" i="13"/>
  <c r="DJ495" i="2"/>
  <c r="CK109" i="13" s="1"/>
  <c r="DI428" i="2"/>
  <c r="DJ404" i="2"/>
  <c r="CK22" i="13" s="1"/>
  <c r="DG505" i="2"/>
  <c r="DG491" i="2"/>
  <c r="CH105" i="13" s="1"/>
  <c r="CH104" i="13"/>
  <c r="DJ407" i="2"/>
  <c r="CI69" i="13"/>
  <c r="DV69" i="13" s="1"/>
  <c r="CI86" i="13"/>
  <c r="CK50" i="13"/>
  <c r="DJ434" i="2"/>
  <c r="CK11" i="13"/>
  <c r="DJ376" i="2"/>
  <c r="DJ420" i="2"/>
  <c r="CM83" i="7"/>
  <c r="CU228" i="2"/>
  <c r="CM72" i="7" s="1"/>
  <c r="CU231" i="2"/>
  <c r="CM76" i="7" s="1"/>
  <c r="CV60" i="15" s="1"/>
  <c r="CM86" i="7"/>
  <c r="CU230" i="2"/>
  <c r="CM75" i="7" s="1"/>
  <c r="CV59" i="15" s="1"/>
  <c r="CM85" i="7"/>
  <c r="CV241" i="2"/>
  <c r="CV240" i="2"/>
  <c r="CV238" i="2"/>
  <c r="CX180" i="2"/>
  <c r="CP27" i="7" s="1"/>
  <c r="CY31" i="18" s="1"/>
  <c r="CX177" i="2"/>
  <c r="CP24" i="7" s="1"/>
  <c r="CX179" i="2"/>
  <c r="CP26" i="7" s="1"/>
  <c r="CY30" i="18" s="1"/>
  <c r="CX178" i="2"/>
  <c r="CP25" i="7" s="1"/>
  <c r="CY29" i="18" s="1"/>
  <c r="CX206" i="2"/>
  <c r="CX205" i="2" s="1"/>
  <c r="CP23" i="7"/>
  <c r="CP22" i="7" s="1"/>
  <c r="CX175" i="2"/>
  <c r="BR8" i="12"/>
  <c r="BR22" i="12" s="1"/>
  <c r="CP11" i="7"/>
  <c r="CY9" i="15" s="1"/>
  <c r="CY12" i="18" s="1"/>
  <c r="CO44" i="7"/>
  <c r="BQ40" i="12" s="1"/>
  <c r="CO32" i="7"/>
  <c r="CQ12" i="7"/>
  <c r="BS13" i="11" s="1"/>
  <c r="CY176" i="2"/>
  <c r="CY158" i="2"/>
  <c r="CO43" i="7"/>
  <c r="CW204" i="2"/>
  <c r="DB118" i="2"/>
  <c r="DA105" i="2"/>
  <c r="DB90" i="3" s="1"/>
  <c r="DB155" i="18" s="1"/>
  <c r="DA85" i="3"/>
  <c r="DA84" i="3" s="1"/>
  <c r="DA146" i="18" s="1"/>
  <c r="DB117" i="2"/>
  <c r="DA103" i="2"/>
  <c r="DB86" i="3" s="1"/>
  <c r="DB154" i="18" s="1"/>
  <c r="DB119" i="2"/>
  <c r="DA107" i="2"/>
  <c r="DB92" i="3" s="1"/>
  <c r="DB156" i="18" s="1"/>
  <c r="DK396" i="2"/>
  <c r="CK34" i="13"/>
  <c r="CK40" i="13"/>
  <c r="CI67" i="13"/>
  <c r="CI83" i="13" s="1"/>
  <c r="CI77" i="13" s="1"/>
  <c r="CB53" i="11" s="1"/>
  <c r="DH470" i="2"/>
  <c r="DH508" i="2" s="1"/>
  <c r="DH492" i="2" s="1"/>
  <c r="CI106" i="13" s="1"/>
  <c r="DV106" i="13" s="1"/>
  <c r="DH451" i="2"/>
  <c r="CI65" i="13"/>
  <c r="CI81" i="13" s="1"/>
  <c r="DH468" i="2"/>
  <c r="DH506" i="2" s="1"/>
  <c r="CK35" i="13"/>
  <c r="CI58" i="13"/>
  <c r="CB42" i="11" s="1"/>
  <c r="DH463" i="2"/>
  <c r="CK41" i="13"/>
  <c r="CH64" i="13"/>
  <c r="CH82" i="13"/>
  <c r="CI66" i="13"/>
  <c r="DV66" i="13" s="1"/>
  <c r="DH469" i="2"/>
  <c r="DH507" i="2" s="1"/>
  <c r="DH491" i="2" s="1"/>
  <c r="CI105" i="13" s="1"/>
  <c r="DG461" i="2"/>
  <c r="DG590" i="2" s="1"/>
  <c r="CH161" i="13" s="1"/>
  <c r="CH56" i="13"/>
  <c r="CH75" i="13"/>
  <c r="CK13" i="13"/>
  <c r="CK7" i="13"/>
  <c r="CK27" i="13"/>
  <c r="DJ405" i="2"/>
  <c r="CL4" i="13"/>
  <c r="DW4" i="13" s="1"/>
  <c r="DK395" i="2"/>
  <c r="DI398" i="2"/>
  <c r="CJ18" i="13"/>
  <c r="DI417" i="2"/>
  <c r="DI439" i="2" s="1"/>
  <c r="DI423" i="2"/>
  <c r="DI422" i="2" s="1"/>
  <c r="CL99" i="13"/>
  <c r="DW99" i="13" s="1"/>
  <c r="DL479" i="2"/>
  <c r="DL483" i="2" s="1"/>
  <c r="DK378" i="2"/>
  <c r="DK379" i="2"/>
  <c r="DK401" i="2" s="1"/>
  <c r="CL20" i="13" s="1"/>
  <c r="DB318" i="2"/>
  <c r="CS156" i="7"/>
  <c r="DB137" i="15" s="1"/>
  <c r="EH82" i="3"/>
  <c r="FG81" i="3"/>
  <c r="FG70" i="3"/>
  <c r="C17" i="5" s="1"/>
  <c r="EL82" i="3"/>
  <c r="AY107" i="3"/>
  <c r="AA114" i="3"/>
  <c r="AA115" i="3" s="1"/>
  <c r="BV106" i="3"/>
  <c r="BV101" i="3"/>
  <c r="K107" i="3"/>
  <c r="K114" i="3"/>
  <c r="K115" i="3" s="1"/>
  <c r="EI100" i="3"/>
  <c r="EI82" i="3"/>
  <c r="AW114" i="3"/>
  <c r="AW115" i="3" s="1"/>
  <c r="AW107" i="3"/>
  <c r="AR107" i="3"/>
  <c r="AR114" i="3"/>
  <c r="AR115" i="3" s="1"/>
  <c r="EG114" i="3"/>
  <c r="EG115" i="3" s="1"/>
  <c r="EG107" i="3"/>
  <c r="N114" i="3"/>
  <c r="N115" i="3" s="1"/>
  <c r="N107" i="3"/>
  <c r="O114" i="3"/>
  <c r="O115" i="3" s="1"/>
  <c r="O107" i="3"/>
  <c r="S107" i="3"/>
  <c r="S114" i="3"/>
  <c r="S115" i="3" s="1"/>
  <c r="CH106" i="3"/>
  <c r="CH101" i="3"/>
  <c r="AE114" i="3"/>
  <c r="AE115" i="3" s="1"/>
  <c r="AE107" i="3"/>
  <c r="EK101" i="3"/>
  <c r="EK106" i="3"/>
  <c r="AC114" i="3"/>
  <c r="AC115" i="3" s="1"/>
  <c r="AC107" i="3"/>
  <c r="EH101" i="3"/>
  <c r="EH106" i="3"/>
  <c r="T107" i="3"/>
  <c r="T114" i="3"/>
  <c r="T115" i="3" s="1"/>
  <c r="EJ106" i="3"/>
  <c r="EJ101" i="3"/>
  <c r="FA7" i="14" l="1"/>
  <c r="EZ24" i="14"/>
  <c r="EZ21" i="14"/>
  <c r="FC40" i="14"/>
  <c r="FC37" i="14"/>
  <c r="EZ34" i="14"/>
  <c r="FA14" i="14"/>
  <c r="FA31" i="14"/>
  <c r="FA48" i="14"/>
  <c r="CM115" i="7"/>
  <c r="EU175" i="18"/>
  <c r="FH175" i="18" s="1"/>
  <c r="DE190" i="18"/>
  <c r="DG177" i="18"/>
  <c r="DG175" i="18" s="1"/>
  <c r="EN108" i="18"/>
  <c r="CA137" i="11"/>
  <c r="CA108" i="12"/>
  <c r="DH120" i="15"/>
  <c r="EI117" i="18"/>
  <c r="EI116" i="18"/>
  <c r="CU82" i="15"/>
  <c r="BN73" i="12"/>
  <c r="BN105" i="11"/>
  <c r="CM106" i="7"/>
  <c r="CV82" i="15" s="1"/>
  <c r="CV262" i="2"/>
  <c r="DY288" i="2"/>
  <c r="CZ285" i="2"/>
  <c r="DI458" i="2"/>
  <c r="DI457" i="2"/>
  <c r="CW272" i="2"/>
  <c r="CW274" i="2"/>
  <c r="DX48" i="14"/>
  <c r="CJ71" i="13"/>
  <c r="D18" i="24"/>
  <c r="BR25" i="11"/>
  <c r="BR23" i="11" s="1"/>
  <c r="FA49" i="18"/>
  <c r="CR133" i="15"/>
  <c r="CR141" i="15"/>
  <c r="EQ141" i="15" s="1"/>
  <c r="EQ145" i="15" s="1"/>
  <c r="EZ113" i="18"/>
  <c r="FB13" i="18"/>
  <c r="EZ139" i="18"/>
  <c r="DV74" i="18"/>
  <c r="E12" i="24"/>
  <c r="E18" i="24" s="1"/>
  <c r="DX331" i="2"/>
  <c r="EA344" i="2"/>
  <c r="EA28" i="14"/>
  <c r="EA158" i="18" s="1"/>
  <c r="DZ26" i="14"/>
  <c r="DV113" i="18"/>
  <c r="DV33" i="14"/>
  <c r="DV24" i="14"/>
  <c r="DW3" i="14"/>
  <c r="DW327" i="2"/>
  <c r="DV21" i="14"/>
  <c r="DV104" i="18"/>
  <c r="EB15" i="14"/>
  <c r="EB81" i="18"/>
  <c r="EB13" i="18"/>
  <c r="DY148" i="18"/>
  <c r="DV6" i="18"/>
  <c r="DV37" i="18"/>
  <c r="DZ342" i="2"/>
  <c r="DZ347" i="2" s="1"/>
  <c r="DY7" i="14"/>
  <c r="DY57" i="18"/>
  <c r="DU169" i="18"/>
  <c r="EZ169" i="18" s="1"/>
  <c r="DU34" i="14"/>
  <c r="DU42" i="14"/>
  <c r="EZ42" i="14" s="1"/>
  <c r="DY329" i="2"/>
  <c r="DZ5" i="14" s="1"/>
  <c r="DZ6" i="14"/>
  <c r="DW66" i="18"/>
  <c r="DW74" i="18" s="1"/>
  <c r="DW11" i="14"/>
  <c r="DW23" i="14"/>
  <c r="DW18" i="14"/>
  <c r="DW20" i="14"/>
  <c r="DW14" i="14"/>
  <c r="DW40" i="14"/>
  <c r="DW37" i="14"/>
  <c r="DW48" i="14"/>
  <c r="DW31" i="14"/>
  <c r="DY9" i="14"/>
  <c r="DY49" i="18"/>
  <c r="DZ367" i="2"/>
  <c r="DZ45" i="14"/>
  <c r="EA345" i="2"/>
  <c r="EA29" i="14"/>
  <c r="EA160" i="18" s="1"/>
  <c r="FB160" i="18" s="1"/>
  <c r="DT43" i="14"/>
  <c r="DT50" i="14"/>
  <c r="DX66" i="18"/>
  <c r="DX11" i="14"/>
  <c r="DX14" i="14"/>
  <c r="DX18" i="14"/>
  <c r="DX20" i="14"/>
  <c r="DX23" i="14"/>
  <c r="DX40" i="14"/>
  <c r="DX37" i="14"/>
  <c r="CF166" i="18"/>
  <c r="CF173" i="18" s="1"/>
  <c r="CS109" i="12"/>
  <c r="CS138" i="11"/>
  <c r="EM129" i="15"/>
  <c r="EM133" i="15" s="1"/>
  <c r="EM108" i="18"/>
  <c r="FF101" i="18"/>
  <c r="CO141" i="15"/>
  <c r="CO145" i="15" s="1"/>
  <c r="CF141" i="15"/>
  <c r="CF145" i="15" s="1"/>
  <c r="CO133" i="15"/>
  <c r="FF111" i="15"/>
  <c r="FF115" i="15" s="1"/>
  <c r="DK380" i="2"/>
  <c r="DK426" i="2" s="1"/>
  <c r="DZ330" i="2"/>
  <c r="DZ361" i="2"/>
  <c r="DZ357" i="2"/>
  <c r="EA312" i="2"/>
  <c r="DR147" i="7"/>
  <c r="EA119" i="15" s="1"/>
  <c r="EG136" i="18"/>
  <c r="EG143" i="18" s="1"/>
  <c r="EB343" i="2"/>
  <c r="EC27" i="14" s="1"/>
  <c r="EC10" i="14"/>
  <c r="EA333" i="2"/>
  <c r="CA173" i="18"/>
  <c r="EL116" i="18"/>
  <c r="DB785" i="2"/>
  <c r="BN133" i="15"/>
  <c r="BN141" i="15"/>
  <c r="BN145" i="15" s="1"/>
  <c r="CQ197" i="18"/>
  <c r="CQ173" i="18"/>
  <c r="EN116" i="18"/>
  <c r="EN117" i="18"/>
  <c r="CD197" i="18"/>
  <c r="CD173" i="18"/>
  <c r="CA198" i="18"/>
  <c r="CA211" i="18"/>
  <c r="AV198" i="18"/>
  <c r="AV211" i="18"/>
  <c r="CA107" i="3"/>
  <c r="CA114" i="3"/>
  <c r="CA115" i="3" s="1"/>
  <c r="BP173" i="18"/>
  <c r="BP197" i="18"/>
  <c r="CF107" i="3"/>
  <c r="CF114" i="3"/>
  <c r="CF115" i="3" s="1"/>
  <c r="CD107" i="3"/>
  <c r="CD114" i="3"/>
  <c r="CD115" i="3" s="1"/>
  <c r="BP107" i="3"/>
  <c r="BP114" i="3"/>
  <c r="BP115" i="3" s="1"/>
  <c r="EN129" i="15"/>
  <c r="CI133" i="15"/>
  <c r="CI141" i="15"/>
  <c r="CT173" i="18"/>
  <c r="CT197" i="18"/>
  <c r="CT107" i="3"/>
  <c r="CT114" i="3"/>
  <c r="CT115" i="3" s="1"/>
  <c r="BL166" i="18"/>
  <c r="EF166" i="18" s="1"/>
  <c r="EF167" i="18"/>
  <c r="CI166" i="18"/>
  <c r="EN136" i="18"/>
  <c r="EN143" i="18" s="1"/>
  <c r="EN115" i="15"/>
  <c r="FG111" i="15"/>
  <c r="FG115" i="15" s="1"/>
  <c r="BZ197" i="18"/>
  <c r="BZ173" i="18"/>
  <c r="BO197" i="18"/>
  <c r="BO198" i="18" s="1"/>
  <c r="BO173" i="18"/>
  <c r="EY50" i="14"/>
  <c r="DR51" i="14"/>
  <c r="CS197" i="18"/>
  <c r="CS173" i="18"/>
  <c r="CV200" i="18"/>
  <c r="CV753" i="2"/>
  <c r="CU208" i="18"/>
  <c r="CU206" i="18"/>
  <c r="CU204" i="18"/>
  <c r="CU207" i="18"/>
  <c r="CU202" i="18"/>
  <c r="CU203" i="18"/>
  <c r="CU205" i="18"/>
  <c r="CU201" i="18"/>
  <c r="BX197" i="18"/>
  <c r="BX173" i="18"/>
  <c r="BX114" i="3"/>
  <c r="BX115" i="3" s="1"/>
  <c r="BX107" i="3"/>
  <c r="CJ114" i="3"/>
  <c r="CJ115" i="3" s="1"/>
  <c r="CJ107" i="3"/>
  <c r="CS107" i="3"/>
  <c r="CS114" i="3"/>
  <c r="CS115" i="3" s="1"/>
  <c r="EQ136" i="18"/>
  <c r="EQ143" i="18" s="1"/>
  <c r="W198" i="18"/>
  <c r="W211" i="18"/>
  <c r="CR166" i="18"/>
  <c r="CR197" i="18" s="1"/>
  <c r="EQ167" i="18"/>
  <c r="CO114" i="3"/>
  <c r="CO115" i="3" s="1"/>
  <c r="CO107" i="3"/>
  <c r="CR107" i="3"/>
  <c r="CR114" i="3"/>
  <c r="CR115" i="3" s="1"/>
  <c r="BW107" i="3"/>
  <c r="BW114" i="3"/>
  <c r="BW115" i="3" s="1"/>
  <c r="EM106" i="3"/>
  <c r="CE107" i="3"/>
  <c r="CE114" i="3"/>
  <c r="CE115" i="3" s="1"/>
  <c r="BL114" i="3"/>
  <c r="BL115" i="3" s="1"/>
  <c r="BL107" i="3"/>
  <c r="BZ114" i="3"/>
  <c r="BZ115" i="3" s="1"/>
  <c r="BZ107" i="3"/>
  <c r="BO107" i="3"/>
  <c r="BO114" i="3"/>
  <c r="BO115" i="3" s="1"/>
  <c r="BM114" i="3"/>
  <c r="BM115" i="3" s="1"/>
  <c r="BM107" i="3"/>
  <c r="BR173" i="18"/>
  <c r="BR197" i="18"/>
  <c r="BF173" i="18"/>
  <c r="BF197" i="18"/>
  <c r="EL106" i="3"/>
  <c r="FG110" i="18"/>
  <c r="E34" i="24" s="1"/>
  <c r="EH139" i="13"/>
  <c r="EH165" i="13"/>
  <c r="EH162" i="13"/>
  <c r="EJ117" i="18"/>
  <c r="EJ116" i="18"/>
  <c r="FE110" i="18"/>
  <c r="C34" i="24" s="1"/>
  <c r="EH116" i="18"/>
  <c r="EH117" i="18"/>
  <c r="CE166" i="18"/>
  <c r="EL167" i="18"/>
  <c r="CN107" i="3"/>
  <c r="CN114" i="3"/>
  <c r="CN115" i="3" s="1"/>
  <c r="CN197" i="18"/>
  <c r="CN173" i="18"/>
  <c r="EP116" i="18"/>
  <c r="EP117" i="18"/>
  <c r="EK116" i="18"/>
  <c r="EK117" i="18"/>
  <c r="FE137" i="18"/>
  <c r="C44" i="24" s="1"/>
  <c r="BM173" i="18"/>
  <c r="BM197" i="18"/>
  <c r="EP136" i="18"/>
  <c r="EP143" i="18" s="1"/>
  <c r="EJ136" i="18"/>
  <c r="EJ143" i="18" s="1"/>
  <c r="CJ173" i="18"/>
  <c r="CJ197" i="18"/>
  <c r="EH136" i="18"/>
  <c r="EH143" i="18" s="1"/>
  <c r="CM197" i="18"/>
  <c r="CM173" i="18"/>
  <c r="AI198" i="18"/>
  <c r="AI211" i="18"/>
  <c r="EI136" i="18"/>
  <c r="EI143" i="18" s="1"/>
  <c r="EQ117" i="18"/>
  <c r="EQ116" i="18"/>
  <c r="AT198" i="18"/>
  <c r="AT211" i="18"/>
  <c r="FE101" i="18"/>
  <c r="C25" i="24" s="1"/>
  <c r="EF107" i="18"/>
  <c r="EF108" i="18"/>
  <c r="EO107" i="18"/>
  <c r="EO108" i="18"/>
  <c r="BS173" i="18"/>
  <c r="BS197" i="18"/>
  <c r="EK136" i="18"/>
  <c r="EK143" i="18" s="1"/>
  <c r="BP38" i="12"/>
  <c r="DK38" i="12" s="1"/>
  <c r="DK40" i="12"/>
  <c r="BC114" i="3"/>
  <c r="BC115" i="3" s="1"/>
  <c r="BC107" i="3"/>
  <c r="BC173" i="18"/>
  <c r="BC197" i="18"/>
  <c r="EP167" i="18"/>
  <c r="CP166" i="18"/>
  <c r="BY166" i="18"/>
  <c r="EJ167" i="18"/>
  <c r="BD114" i="3"/>
  <c r="BD115" i="3" s="1"/>
  <c r="BD107" i="3"/>
  <c r="BD173" i="18"/>
  <c r="BD197" i="18"/>
  <c r="FF137" i="18"/>
  <c r="D44" i="24" s="1"/>
  <c r="EO106" i="3"/>
  <c r="EF117" i="18"/>
  <c r="EF116" i="18"/>
  <c r="CM107" i="3"/>
  <c r="CM114" i="3"/>
  <c r="CM115" i="3" s="1"/>
  <c r="CP107" i="3"/>
  <c r="EQ106" i="3"/>
  <c r="CP114" i="3"/>
  <c r="CP115" i="3" s="1"/>
  <c r="BY114" i="3"/>
  <c r="BY115" i="3" s="1"/>
  <c r="BY107" i="3"/>
  <c r="BT114" i="3"/>
  <c r="BT115" i="3" s="1"/>
  <c r="BT107" i="3"/>
  <c r="CQ114" i="3"/>
  <c r="CQ115" i="3" s="1"/>
  <c r="CQ107" i="3"/>
  <c r="BH197" i="18"/>
  <c r="BH173" i="18"/>
  <c r="BH107" i="3"/>
  <c r="BH114" i="3"/>
  <c r="BH115" i="3" s="1"/>
  <c r="BS107" i="3"/>
  <c r="BS114" i="3"/>
  <c r="BS115" i="3" s="1"/>
  <c r="BR114" i="3"/>
  <c r="BR115" i="3" s="1"/>
  <c r="BR107" i="3"/>
  <c r="BF107" i="3"/>
  <c r="BF114" i="3"/>
  <c r="BF115" i="3" s="1"/>
  <c r="BI197" i="18"/>
  <c r="BI173" i="18"/>
  <c r="BI114" i="3"/>
  <c r="BI115" i="3" s="1"/>
  <c r="BI107" i="3"/>
  <c r="BG173" i="18"/>
  <c r="BG197" i="18"/>
  <c r="BG107" i="3"/>
  <c r="BG114" i="3"/>
  <c r="BG115" i="3" s="1"/>
  <c r="EK108" i="18"/>
  <c r="EK107" i="18"/>
  <c r="EP108" i="18"/>
  <c r="EP107" i="18"/>
  <c r="FG101" i="18"/>
  <c r="E25" i="24" s="1"/>
  <c r="M25" i="24" s="1"/>
  <c r="CI107" i="3"/>
  <c r="CI114" i="3"/>
  <c r="CI115" i="3" s="1"/>
  <c r="BU114" i="3"/>
  <c r="BU115" i="3" s="1"/>
  <c r="BU107" i="3"/>
  <c r="BU166" i="18"/>
  <c r="EI167" i="18"/>
  <c r="EL136" i="18"/>
  <c r="EL143" i="18" s="1"/>
  <c r="F198" i="18"/>
  <c r="F211" i="18"/>
  <c r="AZ198" i="18"/>
  <c r="AZ211" i="18"/>
  <c r="J211" i="18"/>
  <c r="J198" i="18"/>
  <c r="FG137" i="18"/>
  <c r="E44" i="24" s="1"/>
  <c r="AH198" i="18"/>
  <c r="AH211" i="18"/>
  <c r="EQ108" i="18"/>
  <c r="EQ107" i="18"/>
  <c r="EO136" i="18"/>
  <c r="EO143" i="18" s="1"/>
  <c r="EG167" i="18"/>
  <c r="BN166" i="18"/>
  <c r="L198" i="18"/>
  <c r="L211" i="18"/>
  <c r="BY103" i="12"/>
  <c r="BY118" i="12" s="1"/>
  <c r="DF114" i="15"/>
  <c r="BN114" i="3"/>
  <c r="BN115" i="3" s="1"/>
  <c r="BN107" i="3"/>
  <c r="BJ197" i="18"/>
  <c r="BJ173" i="18"/>
  <c r="BE173" i="18"/>
  <c r="BE197" i="18"/>
  <c r="BB173" i="18"/>
  <c r="BB197" i="18"/>
  <c r="BB114" i="3"/>
  <c r="BB115" i="3" s="1"/>
  <c r="BB107" i="3"/>
  <c r="P198" i="18"/>
  <c r="P211" i="18"/>
  <c r="AS198" i="18"/>
  <c r="AS211" i="18"/>
  <c r="EO167" i="18"/>
  <c r="CL166" i="18"/>
  <c r="BQ166" i="18"/>
  <c r="EH167" i="18"/>
  <c r="EM116" i="18"/>
  <c r="EM117" i="18"/>
  <c r="FF110" i="18"/>
  <c r="D34" i="24" s="1"/>
  <c r="CB107" i="3"/>
  <c r="CB114" i="3"/>
  <c r="CB115" i="3" s="1"/>
  <c r="EK167" i="18"/>
  <c r="CB166" i="18"/>
  <c r="BJ114" i="3"/>
  <c r="BJ115" i="3" s="1"/>
  <c r="BJ107" i="3"/>
  <c r="CF156" i="13"/>
  <c r="BY118" i="11"/>
  <c r="DU156" i="13"/>
  <c r="EH144" i="13"/>
  <c r="EH156" i="13" s="1"/>
  <c r="BE114" i="3"/>
  <c r="BE115" i="3" s="1"/>
  <c r="BE107" i="3"/>
  <c r="CL107" i="3"/>
  <c r="EP106" i="3"/>
  <c r="CL114" i="3"/>
  <c r="CL115" i="3" s="1"/>
  <c r="BQ107" i="3"/>
  <c r="BQ114" i="3"/>
  <c r="BQ115" i="3" s="1"/>
  <c r="BZ99" i="12"/>
  <c r="DG162" i="18"/>
  <c r="DG108" i="15"/>
  <c r="CG144" i="13"/>
  <c r="BZ88" i="12"/>
  <c r="DG99" i="15"/>
  <c r="BK114" i="3"/>
  <c r="BK115" i="3" s="1"/>
  <c r="BK107" i="3"/>
  <c r="DE132" i="15"/>
  <c r="EO116" i="18"/>
  <c r="EO117" i="18"/>
  <c r="CX775" i="2"/>
  <c r="FE99" i="18"/>
  <c r="BT197" i="18"/>
  <c r="BT211" i="18" s="1"/>
  <c r="FE182" i="18"/>
  <c r="FE134" i="18"/>
  <c r="BT173" i="18"/>
  <c r="FE209" i="18"/>
  <c r="FE164" i="18"/>
  <c r="FE187" i="18"/>
  <c r="FE192" i="18"/>
  <c r="BW173" i="18"/>
  <c r="BW197" i="18"/>
  <c r="BW198" i="18" s="1"/>
  <c r="FE168" i="18"/>
  <c r="C53" i="24" s="1"/>
  <c r="FG134" i="18"/>
  <c r="CC197" i="18"/>
  <c r="CC198" i="18" s="1"/>
  <c r="FF168" i="18"/>
  <c r="D53" i="24" s="1"/>
  <c r="EM136" i="18"/>
  <c r="EM143" i="18" s="1"/>
  <c r="FF134" i="18"/>
  <c r="DU122" i="13"/>
  <c r="EH121" i="13"/>
  <c r="EH122" i="13" s="1"/>
  <c r="CK166" i="18"/>
  <c r="EN167" i="18"/>
  <c r="AU198" i="18"/>
  <c r="AU211" i="18"/>
  <c r="R198" i="18"/>
  <c r="R211" i="18"/>
  <c r="AR198" i="18"/>
  <c r="AR211" i="18"/>
  <c r="AQ232" i="18"/>
  <c r="AQ233" i="18" s="1"/>
  <c r="AQ212" i="18"/>
  <c r="CH77" i="13"/>
  <c r="DV83" i="13"/>
  <c r="DV65" i="13"/>
  <c r="X198" i="18"/>
  <c r="X211" i="18"/>
  <c r="AL212" i="18"/>
  <c r="AL232" i="18"/>
  <c r="AL233" i="18" s="1"/>
  <c r="AK212" i="18"/>
  <c r="AK232" i="18"/>
  <c r="AK233" i="18" s="1"/>
  <c r="AB212" i="18"/>
  <c r="AB232" i="18"/>
  <c r="AB233" i="18" s="1"/>
  <c r="DV58" i="13"/>
  <c r="DV81" i="13"/>
  <c r="M198" i="18"/>
  <c r="M211" i="18"/>
  <c r="CD14" i="12"/>
  <c r="AE198" i="18"/>
  <c r="AE211" i="18"/>
  <c r="S198" i="18"/>
  <c r="S211" i="18"/>
  <c r="Q198" i="18"/>
  <c r="Q211" i="18"/>
  <c r="T198" i="18"/>
  <c r="T211" i="18"/>
  <c r="DO42" i="11"/>
  <c r="DV105" i="13"/>
  <c r="BZ102" i="11"/>
  <c r="AM198" i="18"/>
  <c r="AM211" i="18"/>
  <c r="BV198" i="18"/>
  <c r="BV211" i="18"/>
  <c r="O198" i="18"/>
  <c r="O211" i="18"/>
  <c r="BK173" i="18"/>
  <c r="BA212" i="18"/>
  <c r="BA232" i="18"/>
  <c r="BA233" i="18" s="1"/>
  <c r="FG187" i="18"/>
  <c r="FG70" i="18"/>
  <c r="FG209" i="18"/>
  <c r="FG182" i="18"/>
  <c r="FG99" i="18"/>
  <c r="FG192" i="18"/>
  <c r="FG164" i="18"/>
  <c r="AO232" i="18"/>
  <c r="AO233" i="18" s="1"/>
  <c r="AO212" i="18"/>
  <c r="H232" i="18"/>
  <c r="H233" i="18" s="1"/>
  <c r="H212" i="18"/>
  <c r="DN86" i="11"/>
  <c r="EA64" i="11"/>
  <c r="DN95" i="11"/>
  <c r="DU127" i="13"/>
  <c r="CK3" i="13"/>
  <c r="AW198" i="18"/>
  <c r="AW211" i="18"/>
  <c r="AP232" i="18"/>
  <c r="AP233" i="18" s="1"/>
  <c r="AP212" i="18"/>
  <c r="CD30" i="11"/>
  <c r="BX113" i="11"/>
  <c r="DN98" i="11"/>
  <c r="EA98" i="11" s="1"/>
  <c r="AF232" i="18"/>
  <c r="AF233" i="18" s="1"/>
  <c r="AF212" i="18"/>
  <c r="U212" i="18"/>
  <c r="U232" i="18"/>
  <c r="U233" i="18" s="1"/>
  <c r="AD198" i="18"/>
  <c r="AD211" i="18"/>
  <c r="ER80" i="18"/>
  <c r="CO173" i="18"/>
  <c r="Y232" i="18"/>
  <c r="Y233" i="18" s="1"/>
  <c r="Y212" i="18"/>
  <c r="AX232" i="18"/>
  <c r="AX233" i="18" s="1"/>
  <c r="AX212" i="18"/>
  <c r="AG232" i="18"/>
  <c r="AG233" i="18" s="1"/>
  <c r="AG212" i="18"/>
  <c r="CD31" i="11"/>
  <c r="FF70" i="18"/>
  <c r="FF209" i="18"/>
  <c r="FF187" i="18"/>
  <c r="FF182" i="18"/>
  <c r="FF99" i="18"/>
  <c r="FF164" i="18"/>
  <c r="FF192" i="18"/>
  <c r="CG166" i="18"/>
  <c r="CG197" i="18" s="1"/>
  <c r="EM167" i="18"/>
  <c r="CD12" i="11"/>
  <c r="BQ38" i="12"/>
  <c r="AY198" i="18"/>
  <c r="AY211" i="18"/>
  <c r="AC198" i="18"/>
  <c r="AC211" i="18"/>
  <c r="CI60" i="13"/>
  <c r="AN198" i="18"/>
  <c r="AN211" i="18"/>
  <c r="CO197" i="18"/>
  <c r="CH198" i="18"/>
  <c r="CH211" i="18"/>
  <c r="CC20" i="11"/>
  <c r="DN64" i="12"/>
  <c r="EA64" i="12" s="1"/>
  <c r="CE18" i="11"/>
  <c r="DP18" i="11" s="1"/>
  <c r="DW20" i="13"/>
  <c r="CI85" i="13"/>
  <c r="DV85" i="13" s="1"/>
  <c r="DV86" i="13"/>
  <c r="AA198" i="18"/>
  <c r="AA211" i="18"/>
  <c r="CC173" i="18"/>
  <c r="V198" i="18"/>
  <c r="V211" i="18"/>
  <c r="AJ198" i="18"/>
  <c r="AJ211" i="18"/>
  <c r="FG168" i="18"/>
  <c r="E53" i="24" s="1"/>
  <c r="EF136" i="18"/>
  <c r="EF143" i="18" s="1"/>
  <c r="Z232" i="18"/>
  <c r="Z233" i="18" s="1"/>
  <c r="Z212" i="18"/>
  <c r="K232" i="18"/>
  <c r="K233" i="18" s="1"/>
  <c r="K212" i="18"/>
  <c r="DV67" i="13"/>
  <c r="BX103" i="12"/>
  <c r="DN82" i="12"/>
  <c r="EA82" i="12" s="1"/>
  <c r="N212" i="18"/>
  <c r="N232" i="18"/>
  <c r="N233" i="18" s="1"/>
  <c r="EI66" i="7"/>
  <c r="CO42" i="7"/>
  <c r="EJ12" i="7"/>
  <c r="CX18" i="15"/>
  <c r="CX27" i="15" s="1"/>
  <c r="CX47" i="15" s="1"/>
  <c r="ER43" i="15"/>
  <c r="DK36" i="11"/>
  <c r="BQ23" i="11"/>
  <c r="BS11" i="11"/>
  <c r="DL11" i="11" s="1"/>
  <c r="DL13" i="11"/>
  <c r="EF133" i="15"/>
  <c r="FE129" i="15"/>
  <c r="FE133" i="15" s="1"/>
  <c r="EJ133" i="15"/>
  <c r="DK38" i="11"/>
  <c r="BK197" i="18"/>
  <c r="BZ128" i="11"/>
  <c r="EU93" i="15"/>
  <c r="FH93" i="15" s="1"/>
  <c r="CH62" i="13"/>
  <c r="CA45" i="11"/>
  <c r="CB69" i="11"/>
  <c r="BT145" i="15"/>
  <c r="EI141" i="15"/>
  <c r="EI145" i="15" s="1"/>
  <c r="EU74" i="15"/>
  <c r="FH74" i="15" s="1"/>
  <c r="DJ15" i="15"/>
  <c r="BO52" i="12"/>
  <c r="BO74" i="11"/>
  <c r="CA69" i="11"/>
  <c r="CC145" i="15"/>
  <c r="EL141" i="15"/>
  <c r="EL145" i="15" s="1"/>
  <c r="BU153" i="11"/>
  <c r="BU124" i="12"/>
  <c r="BQ38" i="11"/>
  <c r="CY28" i="18"/>
  <c r="CS158" i="7"/>
  <c r="BO51" i="12"/>
  <c r="BO73" i="11"/>
  <c r="BO49" i="12"/>
  <c r="BO71" i="11"/>
  <c r="CW32" i="18"/>
  <c r="CW43" i="18"/>
  <c r="ER43" i="18" s="1"/>
  <c r="CH80" i="13"/>
  <c r="CH76" i="13"/>
  <c r="CB70" i="11"/>
  <c r="DO70" i="11" s="1"/>
  <c r="CB65" i="11"/>
  <c r="CB96" i="11" s="1"/>
  <c r="DJ28" i="15"/>
  <c r="BK145" i="15"/>
  <c r="EF141" i="15"/>
  <c r="CL145" i="15"/>
  <c r="EK141" i="15"/>
  <c r="EK145" i="15" s="1"/>
  <c r="EO141" i="15"/>
  <c r="EO145" i="15" s="1"/>
  <c r="BQ145" i="15"/>
  <c r="EH141" i="15"/>
  <c r="EH145" i="15" s="1"/>
  <c r="BZ95" i="11"/>
  <c r="BZ86" i="11"/>
  <c r="CS157" i="7"/>
  <c r="DB153" i="18"/>
  <c r="BW145" i="15"/>
  <c r="EJ141" i="15"/>
  <c r="DH39" i="15"/>
  <c r="CK107" i="3"/>
  <c r="CK114" i="3"/>
  <c r="CK115" i="3" s="1"/>
  <c r="CG114" i="3"/>
  <c r="CG115" i="3" s="1"/>
  <c r="CG107" i="3"/>
  <c r="CF122" i="13"/>
  <c r="BY89" i="11"/>
  <c r="DN89" i="11" s="1"/>
  <c r="EA89" i="11" s="1"/>
  <c r="CD4" i="12"/>
  <c r="BZ64" i="12"/>
  <c r="BZ70" i="12"/>
  <c r="DK6" i="15"/>
  <c r="DG547" i="2"/>
  <c r="CH137" i="13" s="1"/>
  <c r="DG570" i="2"/>
  <c r="CI59" i="13"/>
  <c r="DV59" i="13" s="1"/>
  <c r="CI57" i="13"/>
  <c r="DV57" i="13" s="1"/>
  <c r="CG139" i="13"/>
  <c r="DG80" i="15"/>
  <c r="DG74" i="15"/>
  <c r="CG102" i="13"/>
  <c r="CD7" i="12"/>
  <c r="DK10" i="15"/>
  <c r="CF128" i="13"/>
  <c r="CF141" i="13"/>
  <c r="DU141" i="13" s="1"/>
  <c r="CP32" i="7"/>
  <c r="CY18" i="15"/>
  <c r="CE142" i="13"/>
  <c r="CE158" i="13"/>
  <c r="CK29" i="13"/>
  <c r="DG548" i="2"/>
  <c r="CH138" i="13" s="1"/>
  <c r="CK49" i="13"/>
  <c r="CD39" i="12" s="1"/>
  <c r="DJ544" i="2"/>
  <c r="CK134" i="13" s="1"/>
  <c r="DJ546" i="2"/>
  <c r="CK136" i="13" s="1"/>
  <c r="DJ497" i="2"/>
  <c r="CK112" i="13" s="1"/>
  <c r="DJ498" i="2"/>
  <c r="CK113" i="13" s="1"/>
  <c r="DG496" i="2"/>
  <c r="CH110" i="13" s="1"/>
  <c r="DG500" i="2"/>
  <c r="DG499" i="2"/>
  <c r="DG501" i="2"/>
  <c r="DJ399" i="2"/>
  <c r="DJ423" i="2" s="1"/>
  <c r="DJ422" i="2" s="1"/>
  <c r="DJ493" i="2"/>
  <c r="CK107" i="13" s="1"/>
  <c r="DG489" i="2"/>
  <c r="CH103" i="13"/>
  <c r="DH505" i="2"/>
  <c r="DH490" i="2"/>
  <c r="DK408" i="2"/>
  <c r="DK435" i="2" s="1"/>
  <c r="DK494" i="2" s="1"/>
  <c r="DK409" i="2"/>
  <c r="DK436" i="2" s="1"/>
  <c r="DJ429" i="2"/>
  <c r="CP44" i="7"/>
  <c r="BR40" i="12" s="1"/>
  <c r="BR38" i="12" s="1"/>
  <c r="CL15" i="13"/>
  <c r="DW15" i="13" s="1"/>
  <c r="DK392" i="2"/>
  <c r="CY175" i="2"/>
  <c r="CY180" i="2"/>
  <c r="CQ27" i="7" s="1"/>
  <c r="CZ31" i="18" s="1"/>
  <c r="CY177" i="2"/>
  <c r="CQ24" i="7" s="1"/>
  <c r="EJ24" i="7" s="1"/>
  <c r="CY206" i="2"/>
  <c r="CY205" i="2" s="1"/>
  <c r="CY178" i="2"/>
  <c r="CQ25" i="7" s="1"/>
  <c r="CZ29" i="18" s="1"/>
  <c r="ES29" i="18" s="1"/>
  <c r="CQ23" i="7"/>
  <c r="CQ22" i="7" s="1"/>
  <c r="CY179" i="2"/>
  <c r="CQ26" i="7" s="1"/>
  <c r="CZ30" i="18" s="1"/>
  <c r="ES30" i="18" s="1"/>
  <c r="BS8" i="12"/>
  <c r="BS22" i="12" s="1"/>
  <c r="DL22" i="12" s="1"/>
  <c r="CQ11" i="7"/>
  <c r="CZ9" i="15" s="1"/>
  <c r="CZ12" i="18" s="1"/>
  <c r="ES12" i="18" s="1"/>
  <c r="CR12" i="7"/>
  <c r="CZ158" i="2"/>
  <c r="CZ176" i="2"/>
  <c r="CV228" i="2"/>
  <c r="CN72" i="7" s="1"/>
  <c r="CN83" i="7"/>
  <c r="EI83" i="7" s="1"/>
  <c r="CV230" i="2"/>
  <c r="CN75" i="7" s="1"/>
  <c r="CW59" i="15" s="1"/>
  <c r="CN85" i="7"/>
  <c r="EI85" i="7" s="1"/>
  <c r="CN86" i="7"/>
  <c r="EI86" i="7" s="1"/>
  <c r="CV231" i="2"/>
  <c r="CN76" i="7" s="1"/>
  <c r="CW60" i="15" s="1"/>
  <c r="CW238" i="2"/>
  <c r="CW241" i="2"/>
  <c r="CW240" i="2"/>
  <c r="CX204" i="2"/>
  <c r="CP43" i="7"/>
  <c r="CP42" i="7" s="1"/>
  <c r="DC119" i="2"/>
  <c r="DB107" i="2"/>
  <c r="DC92" i="3" s="1"/>
  <c r="DC117" i="2"/>
  <c r="DB103" i="2"/>
  <c r="DC86" i="3" s="1"/>
  <c r="DC154" i="18" s="1"/>
  <c r="ET154" i="18" s="1"/>
  <c r="DC118" i="2"/>
  <c r="DB105" i="2"/>
  <c r="DC90" i="3" s="1"/>
  <c r="DB85" i="3"/>
  <c r="DB84" i="3" s="1"/>
  <c r="DB146" i="18" s="1"/>
  <c r="CK36" i="13"/>
  <c r="CI64" i="13"/>
  <c r="DV64" i="13" s="1"/>
  <c r="CI82" i="13"/>
  <c r="DV82" i="13" s="1"/>
  <c r="CK30" i="13"/>
  <c r="CD15" i="12"/>
  <c r="CA31" i="12"/>
  <c r="CC11" i="12"/>
  <c r="DH461" i="2"/>
  <c r="DH590" i="2" s="1"/>
  <c r="CI161" i="13" s="1"/>
  <c r="CJ39" i="13"/>
  <c r="CJ33" i="13"/>
  <c r="DI416" i="2"/>
  <c r="DI444" i="2" s="1"/>
  <c r="DK391" i="2"/>
  <c r="CL10" i="13" s="1"/>
  <c r="DW10" i="13" s="1"/>
  <c r="CL14" i="13"/>
  <c r="DW14" i="13" s="1"/>
  <c r="DK419" i="2"/>
  <c r="DK425" i="2"/>
  <c r="DK418" i="2"/>
  <c r="DK424" i="2"/>
  <c r="CK25" i="13"/>
  <c r="CK23" i="13"/>
  <c r="CL6" i="13"/>
  <c r="CL5" i="13"/>
  <c r="DL482" i="2"/>
  <c r="DL394" i="2" s="1"/>
  <c r="CM95" i="13"/>
  <c r="CL98" i="13"/>
  <c r="DW98" i="13" s="1"/>
  <c r="DC318" i="2"/>
  <c r="CT156" i="7"/>
  <c r="FG82" i="3"/>
  <c r="FG100" i="3"/>
  <c r="BV107" i="3"/>
  <c r="BV114" i="3"/>
  <c r="EJ114" i="3"/>
  <c r="EJ115" i="3" s="1"/>
  <c r="EJ107" i="3"/>
  <c r="EK107" i="3"/>
  <c r="EK114" i="3"/>
  <c r="EK115" i="3" s="1"/>
  <c r="EI101" i="3"/>
  <c r="EI106" i="3"/>
  <c r="CH114" i="3"/>
  <c r="CH115" i="3" s="1"/>
  <c r="CH107" i="3"/>
  <c r="EH107" i="3"/>
  <c r="EH114" i="3"/>
  <c r="EH115" i="3" s="1"/>
  <c r="EN106" i="3"/>
  <c r="FB28" i="14" l="1"/>
  <c r="FB29" i="14"/>
  <c r="FA23" i="14"/>
  <c r="FA20" i="14"/>
  <c r="FA11" i="14"/>
  <c r="FA18" i="14"/>
  <c r="FA24" i="14"/>
  <c r="FA21" i="14"/>
  <c r="DY48" i="14"/>
  <c r="DT51" i="14"/>
  <c r="BO73" i="12"/>
  <c r="BO105" i="11"/>
  <c r="DI474" i="2"/>
  <c r="DI512" i="2" s="1"/>
  <c r="DI473" i="2"/>
  <c r="DI511" i="2" s="1"/>
  <c r="EU190" i="18"/>
  <c r="FH190" i="18" s="1"/>
  <c r="DE189" i="18"/>
  <c r="EU189" i="18" s="1"/>
  <c r="FH189" i="18" s="1"/>
  <c r="DG190" i="18"/>
  <c r="CA136" i="11"/>
  <c r="CA107" i="12"/>
  <c r="DH117" i="15"/>
  <c r="CJ87" i="13"/>
  <c r="EA86" i="11"/>
  <c r="EA95" i="11"/>
  <c r="DV161" i="13"/>
  <c r="DI120" i="15"/>
  <c r="DI117" i="15" s="1"/>
  <c r="DI177" i="18" s="1"/>
  <c r="CB108" i="12"/>
  <c r="CB107" i="12" s="1"/>
  <c r="DO107" i="12" s="1"/>
  <c r="CB137" i="11"/>
  <c r="CB136" i="11" s="1"/>
  <c r="DO136" i="11" s="1"/>
  <c r="CR145" i="15"/>
  <c r="CN106" i="7"/>
  <c r="CN115" i="7"/>
  <c r="EI115" i="7" s="1"/>
  <c r="CW262" i="2"/>
  <c r="DJ48" i="15"/>
  <c r="CX272" i="2"/>
  <c r="CX274" i="2"/>
  <c r="DA285" i="2"/>
  <c r="DZ288" i="2"/>
  <c r="FB119" i="15"/>
  <c r="EJ23" i="7"/>
  <c r="EJ32" i="7" s="1"/>
  <c r="DY31" i="14"/>
  <c r="FF129" i="15"/>
  <c r="FF133" i="15" s="1"/>
  <c r="FA66" i="18"/>
  <c r="EB44" i="18"/>
  <c r="DV139" i="18"/>
  <c r="CF197" i="18"/>
  <c r="CF211" i="18" s="1"/>
  <c r="FF107" i="18"/>
  <c r="D31" i="24" s="1"/>
  <c r="D25" i="24"/>
  <c r="L25" i="24" s="1"/>
  <c r="EA342" i="2"/>
  <c r="EA347" i="2" s="1"/>
  <c r="DX74" i="18"/>
  <c r="DY331" i="2"/>
  <c r="EA367" i="2"/>
  <c r="EA45" i="14"/>
  <c r="FB45" i="14" s="1"/>
  <c r="DW113" i="18"/>
  <c r="DW139" i="18" s="1"/>
  <c r="DW33" i="14"/>
  <c r="DW24" i="14"/>
  <c r="DX113" i="18"/>
  <c r="DX139" i="18" s="1"/>
  <c r="DX33" i="14"/>
  <c r="DX24" i="14"/>
  <c r="DX21" i="14"/>
  <c r="DX104" i="18"/>
  <c r="DY66" i="18"/>
  <c r="DY20" i="14"/>
  <c r="DY14" i="14"/>
  <c r="DY23" i="14"/>
  <c r="DY11" i="14"/>
  <c r="DY18" i="14"/>
  <c r="DY37" i="14"/>
  <c r="DY40" i="14"/>
  <c r="DZ7" i="14"/>
  <c r="DZ57" i="18"/>
  <c r="DZ148" i="18"/>
  <c r="DZ9" i="14"/>
  <c r="DZ31" i="14" s="1"/>
  <c r="DZ49" i="18"/>
  <c r="DU50" i="14"/>
  <c r="DU51" i="14" s="1"/>
  <c r="DU43" i="14"/>
  <c r="EC15" i="14"/>
  <c r="EC13" i="18"/>
  <c r="EC44" i="18" s="1"/>
  <c r="EC81" i="18"/>
  <c r="DV169" i="18"/>
  <c r="DV34" i="14"/>
  <c r="DV42" i="14"/>
  <c r="DX3" i="14"/>
  <c r="FA3" i="14" s="1"/>
  <c r="DX327" i="2"/>
  <c r="FB158" i="18"/>
  <c r="EA26" i="14"/>
  <c r="FB26" i="14" s="1"/>
  <c r="DZ329" i="2"/>
  <c r="EA5" i="14" s="1"/>
  <c r="FB5" i="14" s="1"/>
  <c r="EA6" i="14"/>
  <c r="FB6" i="14" s="1"/>
  <c r="DW21" i="14"/>
  <c r="DW104" i="18"/>
  <c r="DW6" i="18"/>
  <c r="DW37" i="18"/>
  <c r="EB344" i="2"/>
  <c r="EB28" i="14"/>
  <c r="EB345" i="2"/>
  <c r="EB29" i="14"/>
  <c r="FF108" i="18"/>
  <c r="D32" i="24" s="1"/>
  <c r="ER60" i="15"/>
  <c r="CT109" i="12"/>
  <c r="DU109" i="12" s="1"/>
  <c r="CT138" i="11"/>
  <c r="DU138" i="11" s="1"/>
  <c r="ER59" i="15"/>
  <c r="EP141" i="15"/>
  <c r="EP145" i="15" s="1"/>
  <c r="EM141" i="15"/>
  <c r="EM145" i="15" s="1"/>
  <c r="ES147" i="7"/>
  <c r="EB312" i="2"/>
  <c r="DS147" i="7"/>
  <c r="EB119" i="15" s="1"/>
  <c r="EA330" i="2"/>
  <c r="EA357" i="2"/>
  <c r="EA361" i="2"/>
  <c r="EC343" i="2"/>
  <c r="EB333" i="2"/>
  <c r="EG141" i="15"/>
  <c r="EG145" i="15" s="1"/>
  <c r="BL173" i="18"/>
  <c r="CV207" i="18"/>
  <c r="CV208" i="18"/>
  <c r="BL197" i="18"/>
  <c r="BL211" i="18" s="1"/>
  <c r="BL232" i="18" s="1"/>
  <c r="BL233" i="18" s="1"/>
  <c r="BO211" i="18"/>
  <c r="BO232" i="18" s="1"/>
  <c r="BO233" i="18" s="1"/>
  <c r="DC785" i="2"/>
  <c r="CQ198" i="18"/>
  <c r="CQ211" i="18"/>
  <c r="CA232" i="18"/>
  <c r="CA233" i="18" s="1"/>
  <c r="CA212" i="18"/>
  <c r="AV232" i="18"/>
  <c r="AV233" i="18" s="1"/>
  <c r="AV212" i="18"/>
  <c r="CD211" i="18"/>
  <c r="CD198" i="18"/>
  <c r="BP211" i="18"/>
  <c r="BP198" i="18"/>
  <c r="FG129" i="15"/>
  <c r="FG133" i="15" s="1"/>
  <c r="EN133" i="15"/>
  <c r="EN141" i="15"/>
  <c r="CI145" i="15"/>
  <c r="CT198" i="18"/>
  <c r="CT211" i="18"/>
  <c r="BZ211" i="18"/>
  <c r="BZ198" i="18"/>
  <c r="EN166" i="18"/>
  <c r="EN173" i="18" s="1"/>
  <c r="CI173" i="18"/>
  <c r="CI197" i="18"/>
  <c r="CS198" i="18"/>
  <c r="CS211" i="18"/>
  <c r="FE117" i="18"/>
  <c r="C41" i="24" s="1"/>
  <c r="FE116" i="18"/>
  <c r="C40" i="24" s="1"/>
  <c r="FI50" i="14"/>
  <c r="FI51" i="14" s="1"/>
  <c r="EY51" i="14"/>
  <c r="BX198" i="18"/>
  <c r="BX211" i="18"/>
  <c r="CV203" i="18"/>
  <c r="CW200" i="18"/>
  <c r="ER200" i="18" s="1"/>
  <c r="CW753" i="2"/>
  <c r="CV206" i="18"/>
  <c r="CV204" i="18"/>
  <c r="CV202" i="18"/>
  <c r="CV205" i="18"/>
  <c r="CV201" i="18"/>
  <c r="EQ166" i="18"/>
  <c r="EQ173" i="18" s="1"/>
  <c r="CR173" i="18"/>
  <c r="W232" i="18"/>
  <c r="W233" i="18" s="1"/>
  <c r="W212" i="18"/>
  <c r="EM114" i="3"/>
  <c r="EM115" i="3" s="1"/>
  <c r="EM107" i="3"/>
  <c r="BR198" i="18"/>
  <c r="BR211" i="18"/>
  <c r="BF198" i="18"/>
  <c r="BF211" i="18"/>
  <c r="EL114" i="3"/>
  <c r="EL115" i="3" s="1"/>
  <c r="EL107" i="3"/>
  <c r="FG116" i="18"/>
  <c r="FG117" i="18"/>
  <c r="E41" i="24" s="1"/>
  <c r="CN198" i="18"/>
  <c r="CN211" i="18"/>
  <c r="EL166" i="18"/>
  <c r="EL173" i="18" s="1"/>
  <c r="CE173" i="18"/>
  <c r="CE197" i="18"/>
  <c r="EL197" i="18" s="1"/>
  <c r="EL198" i="18" s="1"/>
  <c r="FE167" i="18"/>
  <c r="C52" i="24" s="1"/>
  <c r="BM211" i="18"/>
  <c r="BM198" i="18"/>
  <c r="CJ198" i="18"/>
  <c r="CJ211" i="18"/>
  <c r="CM198" i="18"/>
  <c r="CM211" i="18"/>
  <c r="AI212" i="18"/>
  <c r="AI232" i="18"/>
  <c r="AI233" i="18" s="1"/>
  <c r="AT212" i="18"/>
  <c r="AT232" i="18"/>
  <c r="AT233" i="18" s="1"/>
  <c r="FE107" i="18"/>
  <c r="C31" i="24" s="1"/>
  <c r="FE108" i="18"/>
  <c r="C32" i="24" s="1"/>
  <c r="BH198" i="18"/>
  <c r="BH211" i="18"/>
  <c r="AZ212" i="18"/>
  <c r="AZ232" i="18"/>
  <c r="AZ233" i="18" s="1"/>
  <c r="BS198" i="18"/>
  <c r="BS211" i="18"/>
  <c r="BI198" i="18"/>
  <c r="BI211" i="18"/>
  <c r="BG198" i="18"/>
  <c r="BG211" i="18"/>
  <c r="FG107" i="18"/>
  <c r="FG108" i="18"/>
  <c r="E32" i="24" s="1"/>
  <c r="EI166" i="18"/>
  <c r="EI173" i="18" s="1"/>
  <c r="BU197" i="18"/>
  <c r="EI197" i="18" s="1"/>
  <c r="EI198" i="18" s="1"/>
  <c r="BU173" i="18"/>
  <c r="F212" i="18"/>
  <c r="F232" i="18"/>
  <c r="F233" i="18" s="1"/>
  <c r="BC211" i="18"/>
  <c r="BC198" i="18"/>
  <c r="CP173" i="18"/>
  <c r="CP197" i="18"/>
  <c r="EP197" i="18" s="1"/>
  <c r="EP198" i="18" s="1"/>
  <c r="EP166" i="18"/>
  <c r="EP173" i="18" s="1"/>
  <c r="BY173" i="18"/>
  <c r="EJ166" i="18"/>
  <c r="EJ173" i="18" s="1"/>
  <c r="BY197" i="18"/>
  <c r="EJ197" i="18" s="1"/>
  <c r="EJ198" i="18" s="1"/>
  <c r="BD211" i="18"/>
  <c r="BD198" i="18"/>
  <c r="EO107" i="3"/>
  <c r="EO114" i="3"/>
  <c r="EO115" i="3" s="1"/>
  <c r="EQ114" i="3"/>
  <c r="EQ115" i="3" s="1"/>
  <c r="EQ107" i="3"/>
  <c r="J212" i="18"/>
  <c r="J232" i="18"/>
  <c r="J233" i="18" s="1"/>
  <c r="FG167" i="18"/>
  <c r="E52" i="24" s="1"/>
  <c r="AH232" i="18"/>
  <c r="AH233" i="18" s="1"/>
  <c r="AH212" i="18"/>
  <c r="FG136" i="18"/>
  <c r="FG143" i="18" s="1"/>
  <c r="EG166" i="18"/>
  <c r="EG173" i="18" s="1"/>
  <c r="BN197" i="18"/>
  <c r="BN173" i="18"/>
  <c r="L212" i="18"/>
  <c r="L232" i="18"/>
  <c r="L233" i="18" s="1"/>
  <c r="DF132" i="15"/>
  <c r="EU132" i="15" s="1"/>
  <c r="FH132" i="15" s="1"/>
  <c r="EU114" i="15"/>
  <c r="FH114" i="15" s="1"/>
  <c r="EP114" i="3"/>
  <c r="EP115" i="3" s="1"/>
  <c r="EP107" i="3"/>
  <c r="DH67" i="18"/>
  <c r="BB211" i="18"/>
  <c r="BB198" i="18"/>
  <c r="FF167" i="18"/>
  <c r="D52" i="24" s="1"/>
  <c r="BJ198" i="18"/>
  <c r="BJ211" i="18"/>
  <c r="BE198" i="18"/>
  <c r="BE211" i="18"/>
  <c r="P232" i="18"/>
  <c r="P233" i="18" s="1"/>
  <c r="P212" i="18"/>
  <c r="AS212" i="18"/>
  <c r="AS232" i="18"/>
  <c r="AS233" i="18" s="1"/>
  <c r="EO166" i="18"/>
  <c r="CL173" i="18"/>
  <c r="CL197" i="18"/>
  <c r="EH166" i="18"/>
  <c r="BQ173" i="18"/>
  <c r="BQ197" i="18"/>
  <c r="FF116" i="18"/>
  <c r="D40" i="24" s="1"/>
  <c r="FF117" i="18"/>
  <c r="D41" i="24" s="1"/>
  <c r="EK166" i="18"/>
  <c r="EK173" i="18" s="1"/>
  <c r="CB173" i="18"/>
  <c r="CB197" i="18"/>
  <c r="BY132" i="11"/>
  <c r="BY147" i="11" s="1"/>
  <c r="DN118" i="11"/>
  <c r="EA118" i="11" s="1"/>
  <c r="CG156" i="13"/>
  <c r="BZ118" i="11"/>
  <c r="CA94" i="12"/>
  <c r="CA97" i="12"/>
  <c r="CA95" i="12"/>
  <c r="EK156" i="7"/>
  <c r="DC137" i="15"/>
  <c r="CY775" i="2"/>
  <c r="BT198" i="18"/>
  <c r="CK173" i="18"/>
  <c r="BW211" i="18"/>
  <c r="CK197" i="18"/>
  <c r="FF136" i="18"/>
  <c r="FF143" i="18" s="1"/>
  <c r="CP66" i="7"/>
  <c r="CC211" i="18"/>
  <c r="EM166" i="18"/>
  <c r="EM173" i="18" s="1"/>
  <c r="CG173" i="18"/>
  <c r="DO65" i="11"/>
  <c r="DL8" i="12"/>
  <c r="DU142" i="13"/>
  <c r="EH141" i="13"/>
  <c r="EH142" i="13" s="1"/>
  <c r="CK17" i="13"/>
  <c r="BX118" i="12"/>
  <c r="DN118" i="12" s="1"/>
  <c r="EA118" i="12" s="1"/>
  <c r="DN103" i="12"/>
  <c r="EA103" i="12" s="1"/>
  <c r="CE6" i="11"/>
  <c r="DW6" i="13"/>
  <c r="CA52" i="11"/>
  <c r="BT232" i="18"/>
  <c r="BT212" i="18"/>
  <c r="EF173" i="18"/>
  <c r="O232" i="18"/>
  <c r="O233" i="18" s="1"/>
  <c r="O212" i="18"/>
  <c r="AC212" i="18"/>
  <c r="AC232" i="18"/>
  <c r="AC233" i="18" s="1"/>
  <c r="AD212" i="18"/>
  <c r="AD232" i="18"/>
  <c r="AD233" i="18" s="1"/>
  <c r="AA232" i="18"/>
  <c r="AA233" i="18" s="1"/>
  <c r="AA212" i="18"/>
  <c r="AJ212" i="18"/>
  <c r="AJ232" i="18"/>
  <c r="AJ233" i="18" s="1"/>
  <c r="BX132" i="11"/>
  <c r="DN113" i="11"/>
  <c r="EA113" i="11" s="1"/>
  <c r="BV232" i="18"/>
  <c r="BV212" i="18"/>
  <c r="T212" i="18"/>
  <c r="T232" i="18"/>
  <c r="T233" i="18" s="1"/>
  <c r="AR212" i="18"/>
  <c r="AR232" i="18"/>
  <c r="AR233" i="18" s="1"/>
  <c r="CD21" i="12"/>
  <c r="CH212" i="18"/>
  <c r="CH232" i="18"/>
  <c r="CH233" i="18" s="1"/>
  <c r="CD8" i="11"/>
  <c r="AY232" i="18"/>
  <c r="AY233" i="18" s="1"/>
  <c r="AY212" i="18"/>
  <c r="DU128" i="13"/>
  <c r="EH127" i="13"/>
  <c r="EH128" i="13" s="1"/>
  <c r="M212" i="18"/>
  <c r="M232" i="18"/>
  <c r="M233" i="18" s="1"/>
  <c r="X232" i="18"/>
  <c r="X233" i="18" s="1"/>
  <c r="X212" i="18"/>
  <c r="V212" i="18"/>
  <c r="V232" i="18"/>
  <c r="V233" i="18" s="1"/>
  <c r="Q232" i="18"/>
  <c r="Q233" i="18" s="1"/>
  <c r="Q212" i="18"/>
  <c r="S232" i="18"/>
  <c r="S233" i="18" s="1"/>
  <c r="S212" i="18"/>
  <c r="CA53" i="11"/>
  <c r="DV77" i="13"/>
  <c r="CH131" i="13"/>
  <c r="CH125" i="13"/>
  <c r="R232" i="18"/>
  <c r="R233" i="18" s="1"/>
  <c r="R212" i="18"/>
  <c r="BK198" i="18"/>
  <c r="BK211" i="18"/>
  <c r="CG198" i="18"/>
  <c r="CG211" i="18"/>
  <c r="FE136" i="18"/>
  <c r="FE143" i="18" s="1"/>
  <c r="CR198" i="18"/>
  <c r="CR211" i="18"/>
  <c r="EQ197" i="18"/>
  <c r="EQ198" i="18" s="1"/>
  <c r="CO198" i="18"/>
  <c r="CO211" i="18"/>
  <c r="AW232" i="18"/>
  <c r="AW233" i="18" s="1"/>
  <c r="AW212" i="18"/>
  <c r="AM232" i="18"/>
  <c r="AM233" i="18" s="1"/>
  <c r="AM212" i="18"/>
  <c r="CE5" i="11"/>
  <c r="DW5" i="13"/>
  <c r="CC33" i="11"/>
  <c r="AN232" i="18"/>
  <c r="AN233" i="18" s="1"/>
  <c r="AN212" i="18"/>
  <c r="CI78" i="13"/>
  <c r="DV78" i="13" s="1"/>
  <c r="DV60" i="13"/>
  <c r="AE232" i="18"/>
  <c r="AE233" i="18" s="1"/>
  <c r="AE212" i="18"/>
  <c r="AU232" i="18"/>
  <c r="AU233" i="18" s="1"/>
  <c r="AU212" i="18"/>
  <c r="EI76" i="7"/>
  <c r="CO66" i="7"/>
  <c r="EI75" i="7"/>
  <c r="CX27" i="18"/>
  <c r="EJ11" i="7"/>
  <c r="EJ25" i="7"/>
  <c r="BT13" i="11"/>
  <c r="BT11" i="11" s="1"/>
  <c r="EJ26" i="7"/>
  <c r="ES31" i="18"/>
  <c r="EJ27" i="7"/>
  <c r="DO69" i="11"/>
  <c r="BQ36" i="11"/>
  <c r="EJ145" i="15"/>
  <c r="DK60" i="11"/>
  <c r="EF145" i="15"/>
  <c r="CT157" i="7"/>
  <c r="EK157" i="7" s="1"/>
  <c r="CB87" i="11"/>
  <c r="CZ18" i="15"/>
  <c r="CZ27" i="18" s="1"/>
  <c r="CZ32" i="18" s="1"/>
  <c r="BS25" i="11"/>
  <c r="CD37" i="11"/>
  <c r="BP52" i="12"/>
  <c r="DK52" i="12" s="1"/>
  <c r="BP74" i="11"/>
  <c r="DK74" i="11" s="1"/>
  <c r="CY27" i="15"/>
  <c r="CY27" i="18"/>
  <c r="CT158" i="7"/>
  <c r="EK158" i="7" s="1"/>
  <c r="CI80" i="13"/>
  <c r="DV80" i="13" s="1"/>
  <c r="CI76" i="13"/>
  <c r="BP49" i="12"/>
  <c r="DK49" i="12" s="1"/>
  <c r="BP71" i="11"/>
  <c r="DK71" i="11" s="1"/>
  <c r="BP51" i="12"/>
  <c r="DK51" i="12" s="1"/>
  <c r="BP73" i="11"/>
  <c r="DK73" i="11" s="1"/>
  <c r="ES9" i="15"/>
  <c r="CB25" i="12"/>
  <c r="CX45" i="15"/>
  <c r="EU90" i="3"/>
  <c r="DC155" i="18"/>
  <c r="ET155" i="18" s="1"/>
  <c r="BV153" i="11"/>
  <c r="DM153" i="11" s="1"/>
  <c r="BV124" i="12"/>
  <c r="DM124" i="12" s="1"/>
  <c r="CI131" i="13"/>
  <c r="CB43" i="11"/>
  <c r="DO43" i="11" s="1"/>
  <c r="DJ24" i="15"/>
  <c r="CZ28" i="18"/>
  <c r="ES28" i="18" s="1"/>
  <c r="BR38" i="11"/>
  <c r="BR36" i="11" s="1"/>
  <c r="DK19" i="15"/>
  <c r="DK28" i="15" s="1"/>
  <c r="DK48" i="15" s="1"/>
  <c r="CD24" i="11"/>
  <c r="EU92" i="3"/>
  <c r="DC156" i="18"/>
  <c r="ET156" i="18" s="1"/>
  <c r="CG127" i="13"/>
  <c r="BZ79" i="11"/>
  <c r="CH74" i="13"/>
  <c r="CA58" i="12"/>
  <c r="DH68" i="15" s="1"/>
  <c r="BZ82" i="12"/>
  <c r="CH123" i="13"/>
  <c r="DG93" i="15"/>
  <c r="DG114" i="15" s="1"/>
  <c r="CH133" i="13"/>
  <c r="DH496" i="2"/>
  <c r="CI110" i="13" s="1"/>
  <c r="DH570" i="2"/>
  <c r="DI33" i="15"/>
  <c r="CI75" i="13"/>
  <c r="CI56" i="13"/>
  <c r="DV56" i="13" s="1"/>
  <c r="CI125" i="13"/>
  <c r="CG121" i="13"/>
  <c r="CE167" i="13"/>
  <c r="CE159" i="13"/>
  <c r="CF142" i="13"/>
  <c r="CF158" i="13"/>
  <c r="DU158" i="13" s="1"/>
  <c r="DJ398" i="2"/>
  <c r="DH548" i="2"/>
  <c r="CI138" i="13" s="1"/>
  <c r="DG543" i="2"/>
  <c r="DG549" i="2" s="1"/>
  <c r="DH547" i="2"/>
  <c r="CI137" i="13" s="1"/>
  <c r="DJ417" i="2"/>
  <c r="DJ439" i="2" s="1"/>
  <c r="CK18" i="13"/>
  <c r="DG488" i="2"/>
  <c r="CH102" i="13" s="1"/>
  <c r="DK405" i="2"/>
  <c r="DK429" i="2" s="1"/>
  <c r="DI456" i="2"/>
  <c r="CH116" i="13"/>
  <c r="DH501" i="2"/>
  <c r="CJ70" i="13"/>
  <c r="DH499" i="2"/>
  <c r="CH114" i="13"/>
  <c r="DH500" i="2"/>
  <c r="CH115" i="13"/>
  <c r="CL51" i="13"/>
  <c r="DW51" i="13" s="1"/>
  <c r="DK495" i="2"/>
  <c r="CL109" i="13" s="1"/>
  <c r="DW109" i="13" s="1"/>
  <c r="CL108" i="13"/>
  <c r="DW108" i="13" s="1"/>
  <c r="CI104" i="13"/>
  <c r="DH489" i="2"/>
  <c r="CL27" i="13"/>
  <c r="CL13" i="13"/>
  <c r="CL50" i="13"/>
  <c r="DW50" i="13" s="1"/>
  <c r="DK434" i="2"/>
  <c r="CL11" i="13"/>
  <c r="DW11" i="13" s="1"/>
  <c r="DJ428" i="2"/>
  <c r="DJ457" i="2" s="1"/>
  <c r="CK44" i="13"/>
  <c r="DK376" i="2"/>
  <c r="DK420" i="2"/>
  <c r="CQ32" i="7"/>
  <c r="CQ44" i="7"/>
  <c r="CX240" i="2"/>
  <c r="CX241" i="2"/>
  <c r="CX238" i="2"/>
  <c r="CQ43" i="7"/>
  <c r="CQ42" i="7" s="1"/>
  <c r="CQ66" i="7" s="1"/>
  <c r="CY204" i="2"/>
  <c r="CW230" i="2"/>
  <c r="CO75" i="7" s="1"/>
  <c r="CX59" i="15" s="1"/>
  <c r="CO85" i="7"/>
  <c r="CO86" i="7"/>
  <c r="CW231" i="2"/>
  <c r="CO76" i="7" s="1"/>
  <c r="CX60" i="15" s="1"/>
  <c r="CZ206" i="2"/>
  <c r="CZ205" i="2" s="1"/>
  <c r="CZ175" i="2"/>
  <c r="CZ178" i="2"/>
  <c r="CR25" i="7" s="1"/>
  <c r="CR23" i="7"/>
  <c r="CR22" i="7" s="1"/>
  <c r="CZ177" i="2"/>
  <c r="CR24" i="7" s="1"/>
  <c r="CZ179" i="2"/>
  <c r="CR26" i="7" s="1"/>
  <c r="CZ180" i="2"/>
  <c r="CR27" i="7" s="1"/>
  <c r="DA31" i="18" s="1"/>
  <c r="CW228" i="2"/>
  <c r="CO72" i="7" s="1"/>
  <c r="CO83" i="7"/>
  <c r="BT8" i="12"/>
  <c r="CR11" i="7"/>
  <c r="CS12" i="7"/>
  <c r="BU13" i="11" s="1"/>
  <c r="BU11" i="11" s="1"/>
  <c r="DA176" i="2"/>
  <c r="DA158" i="2"/>
  <c r="DC85" i="3"/>
  <c r="DC84" i="3" s="1"/>
  <c r="DC146" i="18" s="1"/>
  <c r="ET146" i="18" s="1"/>
  <c r="DD118" i="2"/>
  <c r="DC105" i="2"/>
  <c r="DD90" i="3" s="1"/>
  <c r="DD155" i="18" s="1"/>
  <c r="DD117" i="2"/>
  <c r="DC103" i="2"/>
  <c r="DD86" i="3" s="1"/>
  <c r="DD154" i="18" s="1"/>
  <c r="DD119" i="2"/>
  <c r="DC107" i="2"/>
  <c r="DD92" i="3" s="1"/>
  <c r="DD156" i="18" s="1"/>
  <c r="EU86" i="3"/>
  <c r="DI448" i="2"/>
  <c r="DI445" i="2"/>
  <c r="DI446" i="2"/>
  <c r="DI447" i="2"/>
  <c r="DI452" i="2"/>
  <c r="DI453" i="2"/>
  <c r="DI454" i="2"/>
  <c r="CL34" i="13"/>
  <c r="DW34" i="13" s="1"/>
  <c r="CL40" i="13"/>
  <c r="DW40" i="13" s="1"/>
  <c r="CC18" i="12"/>
  <c r="CL41" i="13"/>
  <c r="DW41" i="13" s="1"/>
  <c r="CL35" i="13"/>
  <c r="DW35" i="13" s="1"/>
  <c r="CL26" i="13"/>
  <c r="DK407" i="2"/>
  <c r="DK404" i="2"/>
  <c r="DL377" i="2"/>
  <c r="DL396" i="2"/>
  <c r="CK39" i="13"/>
  <c r="DL395" i="2"/>
  <c r="CL7" i="13"/>
  <c r="CJ32" i="13"/>
  <c r="CJ54" i="13"/>
  <c r="CJ38" i="13"/>
  <c r="CM99" i="13"/>
  <c r="DM479" i="2"/>
  <c r="DM483" i="2" s="1"/>
  <c r="DL378" i="2"/>
  <c r="DL379" i="2"/>
  <c r="DL401" i="2" s="1"/>
  <c r="CM20" i="13" s="1"/>
  <c r="DD318" i="2"/>
  <c r="CU156" i="7"/>
  <c r="DD137" i="15" s="1"/>
  <c r="FG106" i="3"/>
  <c r="FG114" i="3" s="1"/>
  <c r="FG101" i="3"/>
  <c r="BV115" i="3"/>
  <c r="EN107" i="3"/>
  <c r="EN114" i="3"/>
  <c r="EN115" i="3" s="1"/>
  <c r="EI114" i="3"/>
  <c r="EI115" i="3" s="1"/>
  <c r="EI107" i="3"/>
  <c r="FB43" i="14" l="1"/>
  <c r="EB158" i="18"/>
  <c r="EB160" i="18"/>
  <c r="EZ50" i="14"/>
  <c r="FA33" i="14"/>
  <c r="FB7" i="14"/>
  <c r="BP105" i="11"/>
  <c r="DK105" i="11" s="1"/>
  <c r="CW82" i="15"/>
  <c r="ER82" i="15" s="1"/>
  <c r="BP73" i="12"/>
  <c r="DK73" i="12" s="1"/>
  <c r="EI106" i="7"/>
  <c r="DI510" i="2"/>
  <c r="DG189" i="18"/>
  <c r="EV117" i="15"/>
  <c r="DH177" i="18"/>
  <c r="DH175" i="18" s="1"/>
  <c r="DI175" i="18"/>
  <c r="DI190" i="18" s="1"/>
  <c r="DI189" i="18" s="1"/>
  <c r="EV177" i="18"/>
  <c r="DO137" i="11"/>
  <c r="DO108" i="12"/>
  <c r="EV120" i="15"/>
  <c r="CO106" i="7"/>
  <c r="CO115" i="7"/>
  <c r="CX262" i="2"/>
  <c r="CF198" i="18"/>
  <c r="EA288" i="2"/>
  <c r="DB285" i="2"/>
  <c r="CY272" i="2"/>
  <c r="CY274" i="2"/>
  <c r="DJ458" i="2"/>
  <c r="EM197" i="18"/>
  <c r="EM198" i="18" s="1"/>
  <c r="FA104" i="18"/>
  <c r="FA74" i="18"/>
  <c r="FA113" i="18"/>
  <c r="FA139" i="18"/>
  <c r="DY74" i="18"/>
  <c r="D49" i="24"/>
  <c r="D43" i="24"/>
  <c r="E40" i="24"/>
  <c r="E43" i="24"/>
  <c r="E31" i="24"/>
  <c r="C49" i="24"/>
  <c r="C43" i="24"/>
  <c r="DZ48" i="14"/>
  <c r="EA9" i="14"/>
  <c r="EA49" i="18"/>
  <c r="FB49" i="18" s="1"/>
  <c r="EA329" i="2"/>
  <c r="EB5" i="14" s="1"/>
  <c r="EB6" i="14"/>
  <c r="EA148" i="18"/>
  <c r="FB148" i="18" s="1"/>
  <c r="EA7" i="14"/>
  <c r="EA57" i="18"/>
  <c r="FB57" i="18" s="1"/>
  <c r="DX169" i="18"/>
  <c r="DX34" i="14"/>
  <c r="DX42" i="14"/>
  <c r="EC345" i="2"/>
  <c r="ED29" i="14" s="1"/>
  <c r="ED160" i="18" s="1"/>
  <c r="EC29" i="14"/>
  <c r="EC160" i="18" s="1"/>
  <c r="DY3" i="14"/>
  <c r="DY327" i="2"/>
  <c r="DZ331" i="2"/>
  <c r="DX37" i="18"/>
  <c r="FA37" i="18" s="1"/>
  <c r="DX6" i="18"/>
  <c r="FA6" i="18" s="1"/>
  <c r="EC333" i="2"/>
  <c r="EC330" i="2" s="1"/>
  <c r="ED10" i="14"/>
  <c r="FC10" i="14" s="1"/>
  <c r="EB26" i="14"/>
  <c r="DY113" i="18"/>
  <c r="DY24" i="14"/>
  <c r="DY33" i="14"/>
  <c r="DW169" i="18"/>
  <c r="DW42" i="14"/>
  <c r="FA42" i="14" s="1"/>
  <c r="DW34" i="14"/>
  <c r="EC344" i="2"/>
  <c r="ED28" i="14" s="1"/>
  <c r="ED158" i="18" s="1"/>
  <c r="EC28" i="14"/>
  <c r="EC158" i="18" s="1"/>
  <c r="DV50" i="14"/>
  <c r="DV43" i="14"/>
  <c r="DZ66" i="18"/>
  <c r="DZ74" i="18" s="1"/>
  <c r="DZ14" i="14"/>
  <c r="DZ23" i="14"/>
  <c r="DZ20" i="14"/>
  <c r="DZ11" i="14"/>
  <c r="DZ18" i="14"/>
  <c r="DZ37" i="14"/>
  <c r="DZ40" i="14"/>
  <c r="EB342" i="2"/>
  <c r="EB347" i="2" s="1"/>
  <c r="DY21" i="14"/>
  <c r="DY104" i="18"/>
  <c r="ED27" i="14"/>
  <c r="FC27" i="14" s="1"/>
  <c r="FJ27" i="14" s="1"/>
  <c r="EB367" i="2"/>
  <c r="EB45" i="14"/>
  <c r="CU138" i="11"/>
  <c r="CU109" i="12"/>
  <c r="DV110" i="13"/>
  <c r="DV104" i="13"/>
  <c r="FF141" i="15"/>
  <c r="FF145" i="15" s="1"/>
  <c r="DL380" i="2"/>
  <c r="DL426" i="2" s="1"/>
  <c r="EC312" i="2"/>
  <c r="DU147" i="7" s="1"/>
  <c r="ED119" i="15" s="1"/>
  <c r="DT147" i="7"/>
  <c r="EC119" i="15" s="1"/>
  <c r="EB330" i="2"/>
  <c r="EB361" i="2"/>
  <c r="EB357" i="2"/>
  <c r="FE141" i="15"/>
  <c r="FE145" i="15" s="1"/>
  <c r="EQ211" i="18"/>
  <c r="EQ212" i="18" s="1"/>
  <c r="EF197" i="18"/>
  <c r="EF198" i="18" s="1"/>
  <c r="BL198" i="18"/>
  <c r="BO212" i="18"/>
  <c r="BL212" i="18"/>
  <c r="EM211" i="18"/>
  <c r="EM212" i="18" s="1"/>
  <c r="EF211" i="18"/>
  <c r="EF212" i="18" s="1"/>
  <c r="DD785" i="2"/>
  <c r="CQ232" i="18"/>
  <c r="CQ233" i="18" s="1"/>
  <c r="CQ212" i="18"/>
  <c r="EN145" i="15"/>
  <c r="FG141" i="15"/>
  <c r="FG145" i="15" s="1"/>
  <c r="CD212" i="18"/>
  <c r="CD232" i="18"/>
  <c r="CD233" i="18" s="1"/>
  <c r="BP232" i="18"/>
  <c r="BP233" i="18" s="1"/>
  <c r="BP212" i="18"/>
  <c r="CT212" i="18"/>
  <c r="CT232" i="18"/>
  <c r="CT233" i="18" s="1"/>
  <c r="BZ232" i="18"/>
  <c r="BZ212" i="18"/>
  <c r="CI211" i="18"/>
  <c r="CI198" i="18"/>
  <c r="CS212" i="18"/>
  <c r="CS232" i="18"/>
  <c r="CS233" i="18" s="1"/>
  <c r="BX232" i="18"/>
  <c r="BX233" i="18" s="1"/>
  <c r="BX212" i="18"/>
  <c r="BF232" i="18"/>
  <c r="BF233" i="18" s="1"/>
  <c r="BF212" i="18"/>
  <c r="CW203" i="18"/>
  <c r="ER203" i="18" s="1"/>
  <c r="CW201" i="18"/>
  <c r="CW205" i="18"/>
  <c r="CW202" i="18"/>
  <c r="CW207" i="18"/>
  <c r="CW204" i="18"/>
  <c r="CW206" i="18"/>
  <c r="CW208" i="18"/>
  <c r="CX200" i="18"/>
  <c r="CX753" i="2"/>
  <c r="CN212" i="18"/>
  <c r="CN232" i="18"/>
  <c r="CN233" i="18" s="1"/>
  <c r="BM232" i="18"/>
  <c r="BM233" i="18" s="1"/>
  <c r="BM212" i="18"/>
  <c r="BH212" i="18"/>
  <c r="BH232" i="18"/>
  <c r="BH233" i="18" s="1"/>
  <c r="BG232" i="18"/>
  <c r="BG233" i="18" s="1"/>
  <c r="BG212" i="18"/>
  <c r="BR212" i="18"/>
  <c r="BR232" i="18"/>
  <c r="CJ232" i="18"/>
  <c r="CJ233" i="18" s="1"/>
  <c r="CJ212" i="18"/>
  <c r="CM232" i="18"/>
  <c r="CM233" i="18" s="1"/>
  <c r="CM212" i="18"/>
  <c r="CE211" i="18"/>
  <c r="EL211" i="18" s="1"/>
  <c r="CE198" i="18"/>
  <c r="BU198" i="18"/>
  <c r="BU211" i="18"/>
  <c r="EI211" i="18" s="1"/>
  <c r="BS232" i="18"/>
  <c r="BS233" i="18" s="1"/>
  <c r="BS212" i="18"/>
  <c r="BI212" i="18"/>
  <c r="BI232" i="18"/>
  <c r="BI233" i="18" s="1"/>
  <c r="BC212" i="18"/>
  <c r="BC232" i="18"/>
  <c r="BC233" i="18" s="1"/>
  <c r="CP211" i="18"/>
  <c r="EP211" i="18" s="1"/>
  <c r="CP198" i="18"/>
  <c r="BY198" i="18"/>
  <c r="BY211" i="18"/>
  <c r="EJ211" i="18" s="1"/>
  <c r="BD232" i="18"/>
  <c r="BD233" i="18" s="1"/>
  <c r="BD212" i="18"/>
  <c r="BN211" i="18"/>
  <c r="EG211" i="18" s="1"/>
  <c r="BN198" i="18"/>
  <c r="EG197" i="18"/>
  <c r="CF212" i="18"/>
  <c r="CF232" i="18"/>
  <c r="BJ212" i="18"/>
  <c r="BJ232" i="18"/>
  <c r="BJ233" i="18" s="1"/>
  <c r="BE212" i="18"/>
  <c r="BE232" i="18"/>
  <c r="BE233" i="18" s="1"/>
  <c r="EO173" i="18"/>
  <c r="FG166" i="18"/>
  <c r="EO197" i="18"/>
  <c r="EO198" i="18" s="1"/>
  <c r="CL198" i="18"/>
  <c r="CL211" i="18"/>
  <c r="EO211" i="18" s="1"/>
  <c r="EH173" i="18"/>
  <c r="FE166" i="18"/>
  <c r="BQ198" i="18"/>
  <c r="BQ211" i="18"/>
  <c r="EH211" i="18" s="1"/>
  <c r="EH197" i="18"/>
  <c r="EH198" i="18" s="1"/>
  <c r="BB232" i="18"/>
  <c r="BB233" i="18" s="1"/>
  <c r="BB212" i="18"/>
  <c r="EK197" i="18"/>
  <c r="CB198" i="18"/>
  <c r="CB211" i="18"/>
  <c r="EK211" i="18" s="1"/>
  <c r="CA91" i="12"/>
  <c r="ET137" i="15"/>
  <c r="CB52" i="11"/>
  <c r="DO52" i="11" s="1"/>
  <c r="DI67" i="18"/>
  <c r="DG132" i="15"/>
  <c r="DV75" i="13"/>
  <c r="CB94" i="12"/>
  <c r="CB95" i="12"/>
  <c r="DO95" i="12" s="1"/>
  <c r="CB97" i="12"/>
  <c r="DO97" i="12" s="1"/>
  <c r="DV138" i="13"/>
  <c r="DV137" i="13"/>
  <c r="EJ44" i="7"/>
  <c r="BS40" i="12"/>
  <c r="EN197" i="18"/>
  <c r="CK198" i="18"/>
  <c r="CZ775" i="2"/>
  <c r="CC232" i="18"/>
  <c r="BW232" i="18"/>
  <c r="CK211" i="18"/>
  <c r="CK232" i="18" s="1"/>
  <c r="CK233" i="18" s="1"/>
  <c r="BW212" i="18"/>
  <c r="CC212" i="18"/>
  <c r="FF166" i="18"/>
  <c r="BR60" i="11"/>
  <c r="BV233" i="18"/>
  <c r="BT233" i="18"/>
  <c r="DU159" i="13"/>
  <c r="EH158" i="13"/>
  <c r="EH159" i="13" s="1"/>
  <c r="CJ69" i="13"/>
  <c r="CH165" i="13"/>
  <c r="CR232" i="18"/>
  <c r="CR212" i="18"/>
  <c r="CA102" i="11"/>
  <c r="BZ98" i="11"/>
  <c r="CB31" i="12"/>
  <c r="DO25" i="12"/>
  <c r="CX32" i="18"/>
  <c r="ES27" i="18"/>
  <c r="CE30" i="11"/>
  <c r="DP30" i="11" s="1"/>
  <c r="DP5" i="11"/>
  <c r="DV131" i="13"/>
  <c r="DV125" i="13"/>
  <c r="CD20" i="11"/>
  <c r="BT22" i="12"/>
  <c r="CE4" i="12"/>
  <c r="DP4" i="12" s="1"/>
  <c r="DW7" i="13"/>
  <c r="BK232" i="18"/>
  <c r="BK212" i="18"/>
  <c r="DO53" i="11"/>
  <c r="CA87" i="11"/>
  <c r="CA96" i="11"/>
  <c r="CF18" i="11"/>
  <c r="CO212" i="18"/>
  <c r="CO232" i="18"/>
  <c r="BX147" i="11"/>
  <c r="DN147" i="11" s="1"/>
  <c r="EA147" i="11" s="1"/>
  <c r="DN132" i="11"/>
  <c r="EA132" i="11" s="1"/>
  <c r="CE31" i="11"/>
  <c r="DP31" i="11" s="1"/>
  <c r="DP6" i="11"/>
  <c r="CE14" i="12"/>
  <c r="DP14" i="12" s="1"/>
  <c r="DW26" i="13"/>
  <c r="CE12" i="11"/>
  <c r="DP12" i="11" s="1"/>
  <c r="DW13" i="13"/>
  <c r="DV62" i="13"/>
  <c r="DV76" i="13"/>
  <c r="CL30" i="13"/>
  <c r="DW27" i="13"/>
  <c r="BZ103" i="12"/>
  <c r="CG212" i="18"/>
  <c r="CG232" i="18"/>
  <c r="CG233" i="18" s="1"/>
  <c r="CX43" i="18"/>
  <c r="CU157" i="7"/>
  <c r="EJ42" i="7"/>
  <c r="EJ43" i="7"/>
  <c r="DA30" i="18"/>
  <c r="DA9" i="15"/>
  <c r="DA12" i="18" s="1"/>
  <c r="EJ22" i="7"/>
  <c r="DA29" i="18"/>
  <c r="BS23" i="11"/>
  <c r="DL23" i="11" s="1"/>
  <c r="DL25" i="11"/>
  <c r="BQ60" i="11"/>
  <c r="CG128" i="13"/>
  <c r="CZ27" i="15"/>
  <c r="CZ47" i="15" s="1"/>
  <c r="CZ45" i="15" s="1"/>
  <c r="CZ80" i="18" s="1"/>
  <c r="CZ43" i="18"/>
  <c r="DC153" i="18"/>
  <c r="ET153" i="18" s="1"/>
  <c r="ES18" i="15"/>
  <c r="CH162" i="13"/>
  <c r="CG141" i="13"/>
  <c r="CG142" i="13" s="1"/>
  <c r="CU158" i="7"/>
  <c r="CH127" i="13"/>
  <c r="CA98" i="11" s="1"/>
  <c r="CA79" i="11"/>
  <c r="CI62" i="13"/>
  <c r="CB45" i="11"/>
  <c r="DO45" i="11" s="1"/>
  <c r="DD153" i="18"/>
  <c r="BQ49" i="12"/>
  <c r="BQ71" i="11"/>
  <c r="CX43" i="15"/>
  <c r="CX80" i="18"/>
  <c r="DI39" i="15"/>
  <c r="EV39" i="15" s="1"/>
  <c r="EV33" i="15"/>
  <c r="BQ52" i="12"/>
  <c r="BQ74" i="11"/>
  <c r="BW153" i="11"/>
  <c r="BW124" i="12"/>
  <c r="BQ51" i="12"/>
  <c r="BQ73" i="11"/>
  <c r="CA55" i="11"/>
  <c r="CH155" i="13"/>
  <c r="CY32" i="18"/>
  <c r="CY43" i="18"/>
  <c r="DA28" i="18"/>
  <c r="BS38" i="11"/>
  <c r="BS36" i="11" s="1"/>
  <c r="BS60" i="11" s="1"/>
  <c r="CA77" i="11"/>
  <c r="CA64" i="11"/>
  <c r="DH87" i="18"/>
  <c r="BT25" i="11"/>
  <c r="CY47" i="15"/>
  <c r="CG122" i="13"/>
  <c r="BZ89" i="11"/>
  <c r="CA70" i="12"/>
  <c r="CA45" i="12"/>
  <c r="CI74" i="13"/>
  <c r="CI162" i="13" s="1"/>
  <c r="CH139" i="13"/>
  <c r="DH80" i="15"/>
  <c r="DH54" i="15"/>
  <c r="CL3" i="13"/>
  <c r="DL6" i="15"/>
  <c r="EW6" i="15" s="1"/>
  <c r="CI103" i="13"/>
  <c r="DV103" i="13" s="1"/>
  <c r="CH129" i="13"/>
  <c r="CI133" i="13"/>
  <c r="DV133" i="13" s="1"/>
  <c r="CF159" i="13"/>
  <c r="CF167" i="13"/>
  <c r="DU167" i="13" s="1"/>
  <c r="CE7" i="12"/>
  <c r="DL10" i="15"/>
  <c r="EW10" i="15" s="1"/>
  <c r="DK15" i="15"/>
  <c r="CE168" i="13"/>
  <c r="CH124" i="13"/>
  <c r="CH130" i="13"/>
  <c r="CI123" i="13"/>
  <c r="CH121" i="13"/>
  <c r="CD11" i="12"/>
  <c r="CJ86" i="13"/>
  <c r="DG502" i="2"/>
  <c r="DH543" i="2"/>
  <c r="DH549" i="2" s="1"/>
  <c r="CK33" i="13"/>
  <c r="DJ416" i="2"/>
  <c r="DJ444" i="2" s="1"/>
  <c r="DJ448" i="2" s="1"/>
  <c r="DK544" i="2"/>
  <c r="CL134" i="13" s="1"/>
  <c r="DW134" i="13" s="1"/>
  <c r="DK546" i="2"/>
  <c r="CL136" i="13" s="1"/>
  <c r="DW136" i="13" s="1"/>
  <c r="CL23" i="13"/>
  <c r="DW23" i="13" s="1"/>
  <c r="DK497" i="2"/>
  <c r="CL112" i="13" s="1"/>
  <c r="DK498" i="2"/>
  <c r="CL113" i="13" s="1"/>
  <c r="DH488" i="2"/>
  <c r="CI116" i="13"/>
  <c r="DV116" i="13" s="1"/>
  <c r="CI115" i="13"/>
  <c r="CI114" i="13"/>
  <c r="CL49" i="13"/>
  <c r="DK493" i="2"/>
  <c r="CL107" i="13" s="1"/>
  <c r="CE15" i="12"/>
  <c r="DP15" i="12" s="1"/>
  <c r="DL408" i="2"/>
  <c r="DL435" i="2" s="1"/>
  <c r="DL494" i="2" s="1"/>
  <c r="DL409" i="2"/>
  <c r="DL436" i="2" s="1"/>
  <c r="CK43" i="13"/>
  <c r="DK428" i="2"/>
  <c r="DK457" i="2" s="1"/>
  <c r="CL44" i="13"/>
  <c r="DW44" i="13" s="1"/>
  <c r="CY238" i="2"/>
  <c r="CY241" i="2"/>
  <c r="CY240" i="2"/>
  <c r="DA206" i="2"/>
  <c r="DA205" i="2" s="1"/>
  <c r="DA175" i="2"/>
  <c r="CS23" i="7"/>
  <c r="CS22" i="7" s="1"/>
  <c r="DA180" i="2"/>
  <c r="CS27" i="7" s="1"/>
  <c r="DB31" i="18" s="1"/>
  <c r="DA179" i="2"/>
  <c r="CS26" i="7" s="1"/>
  <c r="DB30" i="18" s="1"/>
  <c r="DA178" i="2"/>
  <c r="CS25" i="7" s="1"/>
  <c r="DB29" i="18" s="1"/>
  <c r="DA177" i="2"/>
  <c r="CS24" i="7" s="1"/>
  <c r="BU8" i="12"/>
  <c r="BU22" i="12" s="1"/>
  <c r="CS11" i="7"/>
  <c r="DB9" i="15" s="1"/>
  <c r="DB12" i="18" s="1"/>
  <c r="CT12" i="7"/>
  <c r="BV13" i="11" s="1"/>
  <c r="BV11" i="11" s="1"/>
  <c r="DM11" i="11" s="1"/>
  <c r="DB158" i="2"/>
  <c r="DB176" i="2"/>
  <c r="DB206" i="2" s="1"/>
  <c r="DB205" i="2" s="1"/>
  <c r="CP83" i="7"/>
  <c r="CX228" i="2"/>
  <c r="CP72" i="7" s="1"/>
  <c r="CR32" i="7"/>
  <c r="CR44" i="7"/>
  <c r="BT40" i="12" s="1"/>
  <c r="CX231" i="2"/>
  <c r="CP76" i="7" s="1"/>
  <c r="CY60" i="15" s="1"/>
  <c r="CP86" i="7"/>
  <c r="CX230" i="2"/>
  <c r="CP75" i="7" s="1"/>
  <c r="CY59" i="15" s="1"/>
  <c r="CP85" i="7"/>
  <c r="CZ204" i="2"/>
  <c r="CR43" i="7"/>
  <c r="EU85" i="3"/>
  <c r="EU84" i="3" s="1"/>
  <c r="DD85" i="3"/>
  <c r="DD84" i="3" s="1"/>
  <c r="DD146" i="18" s="1"/>
  <c r="DE117" i="2"/>
  <c r="DD103" i="2"/>
  <c r="DE86" i="3" s="1"/>
  <c r="DE154" i="18" s="1"/>
  <c r="DE119" i="2"/>
  <c r="DD107" i="2"/>
  <c r="DE92" i="3" s="1"/>
  <c r="DE156" i="18" s="1"/>
  <c r="DE118" i="2"/>
  <c r="DD105" i="2"/>
  <c r="DE90" i="3" s="1"/>
  <c r="DE155" i="18" s="1"/>
  <c r="DJ454" i="2"/>
  <c r="CJ67" i="13"/>
  <c r="DI470" i="2"/>
  <c r="DI508" i="2" s="1"/>
  <c r="DI492" i="2" s="1"/>
  <c r="CJ106" i="13" s="1"/>
  <c r="CJ66" i="13"/>
  <c r="DJ453" i="2"/>
  <c r="DI469" i="2"/>
  <c r="DI507" i="2" s="1"/>
  <c r="DI491" i="2" s="1"/>
  <c r="CJ105" i="13" s="1"/>
  <c r="CJ59" i="13"/>
  <c r="DI464" i="2"/>
  <c r="DI451" i="2"/>
  <c r="DJ452" i="2"/>
  <c r="CJ65" i="13"/>
  <c r="DI468" i="2"/>
  <c r="DI506" i="2" s="1"/>
  <c r="CL36" i="13"/>
  <c r="DW36" i="13" s="1"/>
  <c r="CJ58" i="13"/>
  <c r="DI463" i="2"/>
  <c r="CJ57" i="13"/>
  <c r="DI462" i="2"/>
  <c r="CJ60" i="13"/>
  <c r="DI465" i="2"/>
  <c r="CK38" i="13"/>
  <c r="DL392" i="2"/>
  <c r="CM15" i="13"/>
  <c r="CM4" i="13"/>
  <c r="DK399" i="2"/>
  <c r="CL22" i="13"/>
  <c r="DW22" i="13" s="1"/>
  <c r="CL25" i="13"/>
  <c r="DW25" i="13" s="1"/>
  <c r="CL29" i="13"/>
  <c r="DL391" i="2"/>
  <c r="CM10" i="13" s="1"/>
  <c r="CM14" i="13"/>
  <c r="DL419" i="2"/>
  <c r="DL425" i="2"/>
  <c r="DL418" i="2"/>
  <c r="DL424" i="2"/>
  <c r="CM6" i="13"/>
  <c r="CM5" i="13"/>
  <c r="DM482" i="2"/>
  <c r="DM394" i="2" s="1"/>
  <c r="DM377" i="2" s="1"/>
  <c r="CN95" i="13"/>
  <c r="CM98" i="13"/>
  <c r="DE318" i="2"/>
  <c r="CV156" i="7"/>
  <c r="DE137" i="15" s="1"/>
  <c r="FG107" i="3"/>
  <c r="FG115" i="3"/>
  <c r="CG18" i="2"/>
  <c r="FA34" i="14" l="1"/>
  <c r="EZ51" i="14"/>
  <c r="CP106" i="7"/>
  <c r="CY82" i="15" s="1"/>
  <c r="CP115" i="7"/>
  <c r="FC28" i="14"/>
  <c r="FJ28" i="14" s="1"/>
  <c r="FC29" i="14"/>
  <c r="FJ29" i="14" s="1"/>
  <c r="CX82" i="15"/>
  <c r="BQ73" i="12"/>
  <c r="BQ105" i="11"/>
  <c r="EA31" i="14"/>
  <c r="FB9" i="14"/>
  <c r="FJ10" i="14"/>
  <c r="FJ15" i="14" s="1"/>
  <c r="FC15" i="14"/>
  <c r="DV51" i="14"/>
  <c r="EV175" i="18"/>
  <c r="DH190" i="18"/>
  <c r="CY262" i="2"/>
  <c r="DK458" i="2"/>
  <c r="DC285" i="2"/>
  <c r="CZ272" i="2"/>
  <c r="CZ274" i="2"/>
  <c r="EB288" i="2"/>
  <c r="FC119" i="15"/>
  <c r="FJ119" i="15" s="1"/>
  <c r="FA169" i="18"/>
  <c r="FC160" i="18"/>
  <c r="FJ160" i="18" s="1"/>
  <c r="DY139" i="18"/>
  <c r="FF173" i="18"/>
  <c r="D57" i="24" s="1"/>
  <c r="D51" i="24"/>
  <c r="FG173" i="18"/>
  <c r="E51" i="24"/>
  <c r="E49" i="24"/>
  <c r="FE173" i="18"/>
  <c r="C57" i="24" s="1"/>
  <c r="C51" i="24"/>
  <c r="EA48" i="14"/>
  <c r="EC329" i="2"/>
  <c r="ED6" i="14"/>
  <c r="EB329" i="2"/>
  <c r="EB331" i="2" s="1"/>
  <c r="EC6" i="14"/>
  <c r="FC6" i="14" s="1"/>
  <c r="DY169" i="18"/>
  <c r="DY42" i="14"/>
  <c r="DY34" i="14"/>
  <c r="EC357" i="2"/>
  <c r="DZ21" i="14"/>
  <c r="DZ104" i="18"/>
  <c r="DW50" i="14"/>
  <c r="DW51" i="14" s="1"/>
  <c r="DW43" i="14"/>
  <c r="EC361" i="2"/>
  <c r="EC367" i="2"/>
  <c r="ED45" i="14" s="1"/>
  <c r="EC45" i="14"/>
  <c r="FC45" i="14" s="1"/>
  <c r="DZ113" i="18"/>
  <c r="DZ139" i="18" s="1"/>
  <c r="DZ33" i="14"/>
  <c r="DZ24" i="14"/>
  <c r="DZ3" i="14"/>
  <c r="DZ327" i="2"/>
  <c r="ED26" i="14"/>
  <c r="EB148" i="18"/>
  <c r="DY37" i="18"/>
  <c r="DY6" i="18"/>
  <c r="EC342" i="2"/>
  <c r="EC347" i="2" s="1"/>
  <c r="ED15" i="14"/>
  <c r="ED13" i="18"/>
  <c r="ED81" i="18"/>
  <c r="FC81" i="18" s="1"/>
  <c r="FJ81" i="18" s="1"/>
  <c r="H23" i="24" s="1"/>
  <c r="EB7" i="14"/>
  <c r="EB57" i="18"/>
  <c r="DX43" i="14"/>
  <c r="DX50" i="14"/>
  <c r="DX51" i="14" s="1"/>
  <c r="EB9" i="14"/>
  <c r="EB49" i="18"/>
  <c r="EA331" i="2"/>
  <c r="FC158" i="18"/>
  <c r="FJ158" i="18" s="1"/>
  <c r="EC26" i="14"/>
  <c r="FC26" i="14" s="1"/>
  <c r="FJ26" i="14" s="1"/>
  <c r="EA66" i="18"/>
  <c r="EA14" i="14"/>
  <c r="EA18" i="14"/>
  <c r="FB18" i="14" s="1"/>
  <c r="EA23" i="14"/>
  <c r="FB23" i="14" s="1"/>
  <c r="EA11" i="14"/>
  <c r="FB11" i="14" s="1"/>
  <c r="EA20" i="14"/>
  <c r="FB20" i="14" s="1"/>
  <c r="EA37" i="14"/>
  <c r="EA40" i="14"/>
  <c r="DV123" i="13"/>
  <c r="DW113" i="13"/>
  <c r="CV138" i="11"/>
  <c r="CV109" i="12"/>
  <c r="DW112" i="13"/>
  <c r="CW109" i="12"/>
  <c r="CW138" i="11"/>
  <c r="DV114" i="13"/>
  <c r="DV115" i="13"/>
  <c r="DW107" i="13"/>
  <c r="ET147" i="7"/>
  <c r="EF232" i="18"/>
  <c r="CR233" i="18"/>
  <c r="EQ232" i="18"/>
  <c r="EN211" i="18"/>
  <c r="EN212" i="18" s="1"/>
  <c r="BZ233" i="18"/>
  <c r="CO233" i="18"/>
  <c r="EP212" i="18"/>
  <c r="CF233" i="18"/>
  <c r="EM232" i="18"/>
  <c r="EM233" i="18" s="1"/>
  <c r="DE785" i="2"/>
  <c r="CI232" i="18"/>
  <c r="CI212" i="18"/>
  <c r="ER201" i="18"/>
  <c r="CX201" i="18"/>
  <c r="ER205" i="18"/>
  <c r="CX205" i="18"/>
  <c r="ER202" i="18"/>
  <c r="CX202" i="18"/>
  <c r="ER207" i="18"/>
  <c r="CX207" i="18"/>
  <c r="ER204" i="18"/>
  <c r="CX204" i="18"/>
  <c r="ER206" i="18"/>
  <c r="CX206" i="18"/>
  <c r="ER208" i="18"/>
  <c r="CX208" i="18"/>
  <c r="CY200" i="18"/>
  <c r="CY753" i="2"/>
  <c r="CX203" i="18"/>
  <c r="EG212" i="18"/>
  <c r="BN212" i="18"/>
  <c r="BN232" i="18"/>
  <c r="EG232" i="18" s="1"/>
  <c r="BR233" i="18"/>
  <c r="EG198" i="18"/>
  <c r="FE197" i="18"/>
  <c r="CL232" i="18"/>
  <c r="EO212" i="18"/>
  <c r="CL212" i="18"/>
  <c r="EL212" i="18"/>
  <c r="CE212" i="18"/>
  <c r="CE232" i="18"/>
  <c r="EL232" i="18" s="1"/>
  <c r="EK198" i="18"/>
  <c r="FF197" i="18"/>
  <c r="EI212" i="18"/>
  <c r="BU212" i="18"/>
  <c r="BU232" i="18"/>
  <c r="CP212" i="18"/>
  <c r="CP232" i="18"/>
  <c r="CP233" i="18" s="1"/>
  <c r="EJ212" i="18"/>
  <c r="BY232" i="18"/>
  <c r="EJ232" i="18" s="1"/>
  <c r="BY212" i="18"/>
  <c r="BQ212" i="18"/>
  <c r="BQ232" i="18"/>
  <c r="EH232" i="18" s="1"/>
  <c r="BS38" i="12"/>
  <c r="DL38" i="12" s="1"/>
  <c r="DL40" i="12"/>
  <c r="DO31" i="12"/>
  <c r="CB58" i="12"/>
  <c r="CB212" i="18"/>
  <c r="CB232" i="18"/>
  <c r="EK232" i="18" s="1"/>
  <c r="CB91" i="12"/>
  <c r="DO91" i="12" s="1"/>
  <c r="DO94" i="12"/>
  <c r="DH162" i="18"/>
  <c r="DH108" i="15"/>
  <c r="CH144" i="13"/>
  <c r="CA88" i="12"/>
  <c r="DH99" i="15"/>
  <c r="DW49" i="13"/>
  <c r="CE39" i="12"/>
  <c r="DP39" i="12" s="1"/>
  <c r="CC233" i="18"/>
  <c r="FG197" i="18"/>
  <c r="EN198" i="18"/>
  <c r="DA775" i="2"/>
  <c r="CK212" i="18"/>
  <c r="BW233" i="18"/>
  <c r="CG158" i="13"/>
  <c r="CG167" i="13" s="1"/>
  <c r="CA113" i="11"/>
  <c r="BK233" i="18"/>
  <c r="ES43" i="18"/>
  <c r="DU168" i="13"/>
  <c r="EH167" i="13"/>
  <c r="EH168" i="13" s="1"/>
  <c r="CF6" i="11"/>
  <c r="CC42" i="11"/>
  <c r="CC43" i="11"/>
  <c r="CK54" i="13"/>
  <c r="CE21" i="12"/>
  <c r="DP21" i="12" s="1"/>
  <c r="DP7" i="12"/>
  <c r="CE8" i="11"/>
  <c r="DP8" i="11" s="1"/>
  <c r="DW3" i="13"/>
  <c r="DV124" i="13"/>
  <c r="DV130" i="13"/>
  <c r="CD33" i="11"/>
  <c r="CJ83" i="13"/>
  <c r="BZ118" i="12"/>
  <c r="CJ78" i="13"/>
  <c r="CJ81" i="13"/>
  <c r="CJ85" i="13"/>
  <c r="BT38" i="12"/>
  <c r="DV74" i="13"/>
  <c r="CF5" i="11"/>
  <c r="CD18" i="12"/>
  <c r="DW30" i="13"/>
  <c r="DO87" i="11"/>
  <c r="DO96" i="11"/>
  <c r="BZ113" i="11"/>
  <c r="DW29" i="13"/>
  <c r="CR42" i="7"/>
  <c r="EJ66" i="7"/>
  <c r="DA18" i="15"/>
  <c r="DA27" i="15" s="1"/>
  <c r="DA47" i="15" s="1"/>
  <c r="EK12" i="7"/>
  <c r="DL36" i="11"/>
  <c r="DL38" i="11"/>
  <c r="BT23" i="11"/>
  <c r="DM13" i="11"/>
  <c r="ES27" i="15"/>
  <c r="CH141" i="13"/>
  <c r="CH128" i="13"/>
  <c r="CL17" i="13"/>
  <c r="BR51" i="12"/>
  <c r="BR73" i="11"/>
  <c r="CE37" i="11"/>
  <c r="DP37" i="11" s="1"/>
  <c r="CA86" i="11"/>
  <c r="CA95" i="11"/>
  <c r="DB18" i="15"/>
  <c r="DB27" i="18" s="1"/>
  <c r="DB32" i="18" s="1"/>
  <c r="BU25" i="11"/>
  <c r="BU23" i="11" s="1"/>
  <c r="CB70" i="12"/>
  <c r="DO70" i="12" s="1"/>
  <c r="CB102" i="11"/>
  <c r="DO102" i="11" s="1"/>
  <c r="CC70" i="11"/>
  <c r="CC65" i="11"/>
  <c r="BR52" i="12"/>
  <c r="BR74" i="11"/>
  <c r="DL19" i="15"/>
  <c r="EW19" i="15" s="1"/>
  <c r="CE24" i="11"/>
  <c r="DP24" i="11" s="1"/>
  <c r="CB77" i="11"/>
  <c r="DO77" i="11" s="1"/>
  <c r="DI87" i="18"/>
  <c r="EV87" i="18" s="1"/>
  <c r="CB64" i="11"/>
  <c r="DO64" i="11" s="1"/>
  <c r="CY45" i="15"/>
  <c r="ES47" i="15"/>
  <c r="CV158" i="7"/>
  <c r="CA128" i="11"/>
  <c r="CA99" i="12"/>
  <c r="DE153" i="18"/>
  <c r="BT38" i="11"/>
  <c r="CC69" i="11"/>
  <c r="BX153" i="11"/>
  <c r="BX124" i="12"/>
  <c r="BR49" i="12"/>
  <c r="BR71" i="11"/>
  <c r="DB28" i="18"/>
  <c r="DK24" i="15"/>
  <c r="CV157" i="7"/>
  <c r="CH122" i="13"/>
  <c r="CA89" i="11"/>
  <c r="CB55" i="11"/>
  <c r="DO55" i="11" s="1"/>
  <c r="CI155" i="13"/>
  <c r="CI165" i="13"/>
  <c r="DI54" i="15"/>
  <c r="EV54" i="15" s="1"/>
  <c r="CB45" i="12"/>
  <c r="DO45" i="12" s="1"/>
  <c r="CA64" i="12"/>
  <c r="CC25" i="12"/>
  <c r="DJ33" i="15"/>
  <c r="DI80" i="15"/>
  <c r="EV80" i="15" s="1"/>
  <c r="DH74" i="15"/>
  <c r="CI139" i="13"/>
  <c r="CI129" i="13"/>
  <c r="CF168" i="13"/>
  <c r="CI124" i="13"/>
  <c r="CI130" i="13"/>
  <c r="CK32" i="13"/>
  <c r="DJ445" i="2"/>
  <c r="CK57" i="13" s="1"/>
  <c r="DJ447" i="2"/>
  <c r="CK59" i="13" s="1"/>
  <c r="CD43" i="11" s="1"/>
  <c r="DJ446" i="2"/>
  <c r="CK58" i="13" s="1"/>
  <c r="CD42" i="11" s="1"/>
  <c r="CI102" i="13"/>
  <c r="DH502" i="2"/>
  <c r="CM26" i="13"/>
  <c r="CM51" i="13"/>
  <c r="DL495" i="2"/>
  <c r="CM109" i="13" s="1"/>
  <c r="CM108" i="13"/>
  <c r="DL404" i="2"/>
  <c r="CM22" i="13" s="1"/>
  <c r="DI505" i="2"/>
  <c r="DI490" i="2"/>
  <c r="CM50" i="13"/>
  <c r="DL434" i="2"/>
  <c r="DJ456" i="2"/>
  <c r="CK70" i="13"/>
  <c r="DJ473" i="2"/>
  <c r="DJ511" i="2" s="1"/>
  <c r="CK71" i="13"/>
  <c r="DJ474" i="2"/>
  <c r="DJ512" i="2" s="1"/>
  <c r="CM11" i="13"/>
  <c r="CL43" i="13"/>
  <c r="DW43" i="13" s="1"/>
  <c r="DL376" i="2"/>
  <c r="DL420" i="2"/>
  <c r="DB204" i="2"/>
  <c r="CT43" i="7"/>
  <c r="CT42" i="7" s="1"/>
  <c r="DB179" i="2"/>
  <c r="CT26" i="7" s="1"/>
  <c r="DC30" i="18" s="1"/>
  <c r="ET30" i="18" s="1"/>
  <c r="DB177" i="2"/>
  <c r="CT24" i="7" s="1"/>
  <c r="EK24" i="7" s="1"/>
  <c r="DB178" i="2"/>
  <c r="CT25" i="7" s="1"/>
  <c r="DC29" i="18" s="1"/>
  <c r="ET29" i="18" s="1"/>
  <c r="CT23" i="7"/>
  <c r="CT22" i="7" s="1"/>
  <c r="DB175" i="2"/>
  <c r="DB180" i="2"/>
  <c r="CT27" i="7" s="1"/>
  <c r="DC31" i="18" s="1"/>
  <c r="ET31" i="18" s="1"/>
  <c r="DA204" i="2"/>
  <c r="CS43" i="7"/>
  <c r="CS42" i="7" s="1"/>
  <c r="BV8" i="12"/>
  <c r="BV22" i="12" s="1"/>
  <c r="DM22" i="12" s="1"/>
  <c r="CT11" i="7"/>
  <c r="DC9" i="15" s="1"/>
  <c r="DC12" i="18" s="1"/>
  <c r="ET12" i="18" s="1"/>
  <c r="CY230" i="2"/>
  <c r="CQ75" i="7" s="1"/>
  <c r="CZ59" i="15" s="1"/>
  <c r="CQ85" i="7"/>
  <c r="EJ85" i="7" s="1"/>
  <c r="CZ241" i="2"/>
  <c r="CZ238" i="2"/>
  <c r="CZ240" i="2"/>
  <c r="CU12" i="7"/>
  <c r="DC176" i="2"/>
  <c r="DC158" i="2"/>
  <c r="CY231" i="2"/>
  <c r="CQ76" i="7" s="1"/>
  <c r="CZ60" i="15" s="1"/>
  <c r="CQ86" i="7"/>
  <c r="EJ86" i="7" s="1"/>
  <c r="CY228" i="2"/>
  <c r="CQ72" i="7" s="1"/>
  <c r="CQ83" i="7"/>
  <c r="EJ83" i="7" s="1"/>
  <c r="CS32" i="7"/>
  <c r="CS44" i="7"/>
  <c r="BU40" i="12" s="1"/>
  <c r="BU38" i="12" s="1"/>
  <c r="DF118" i="2"/>
  <c r="DE105" i="2"/>
  <c r="DF90" i="3" s="1"/>
  <c r="DF119" i="2"/>
  <c r="DE107" i="2"/>
  <c r="DF92" i="3" s="1"/>
  <c r="DE85" i="3"/>
  <c r="DE84" i="3" s="1"/>
  <c r="DE146" i="18" s="1"/>
  <c r="DF117" i="2"/>
  <c r="DE103" i="2"/>
  <c r="DF86" i="3" s="1"/>
  <c r="DF154" i="18" s="1"/>
  <c r="EU154" i="18" s="1"/>
  <c r="FH154" i="18" s="1"/>
  <c r="CG19" i="2"/>
  <c r="CH19" i="2"/>
  <c r="CM40" i="13"/>
  <c r="CM41" i="13"/>
  <c r="CM35" i="13"/>
  <c r="CJ64" i="13"/>
  <c r="CJ82" i="13"/>
  <c r="CM34" i="13"/>
  <c r="CK66" i="13"/>
  <c r="DJ469" i="2"/>
  <c r="DJ507" i="2" s="1"/>
  <c r="CK60" i="13"/>
  <c r="CK78" i="13" s="1"/>
  <c r="DJ465" i="2"/>
  <c r="DM378" i="2"/>
  <c r="CN5" i="13" s="1"/>
  <c r="CG5" i="11" s="1"/>
  <c r="CG30" i="11" s="1"/>
  <c r="CK67" i="13"/>
  <c r="CK83" i="13" s="1"/>
  <c r="CK77" i="13" s="1"/>
  <c r="CD53" i="11" s="1"/>
  <c r="DJ470" i="2"/>
  <c r="DJ508" i="2" s="1"/>
  <c r="DJ492" i="2" s="1"/>
  <c r="CK106" i="13" s="1"/>
  <c r="DM379" i="2"/>
  <c r="DI461" i="2"/>
  <c r="DJ451" i="2"/>
  <c r="CK65" i="13"/>
  <c r="CK81" i="13" s="1"/>
  <c r="DJ468" i="2"/>
  <c r="DJ506" i="2" s="1"/>
  <c r="CJ56" i="13"/>
  <c r="CJ75" i="13"/>
  <c r="DM395" i="2"/>
  <c r="CM13" i="13"/>
  <c r="CM27" i="13"/>
  <c r="DL405" i="2"/>
  <c r="CN4" i="13"/>
  <c r="DM396" i="2"/>
  <c r="DK398" i="2"/>
  <c r="CL18" i="13"/>
  <c r="DW18" i="13" s="1"/>
  <c r="DK417" i="2"/>
  <c r="DK439" i="2" s="1"/>
  <c r="DK423" i="2"/>
  <c r="DK422" i="2" s="1"/>
  <c r="DL407" i="2"/>
  <c r="CM7" i="13"/>
  <c r="CN99" i="13"/>
  <c r="DN479" i="2"/>
  <c r="DN483" i="2" s="1"/>
  <c r="DF318" i="2"/>
  <c r="CW156" i="7"/>
  <c r="CS39" i="2"/>
  <c r="CS48" i="2" s="1"/>
  <c r="CS38" i="2"/>
  <c r="CS47" i="2" s="1"/>
  <c r="BR73" i="12" l="1"/>
  <c r="BR105" i="11"/>
  <c r="DV138" i="11"/>
  <c r="EC138" i="11" s="1"/>
  <c r="DV109" i="12"/>
  <c r="EC109" i="12" s="1"/>
  <c r="FC43" i="14"/>
  <c r="FJ45" i="14"/>
  <c r="FJ43" i="14" s="1"/>
  <c r="FB31" i="14"/>
  <c r="FB48" i="14"/>
  <c r="FB14" i="14"/>
  <c r="FA50" i="14"/>
  <c r="FJ6" i="14"/>
  <c r="EB31" i="14"/>
  <c r="FB24" i="14"/>
  <c r="FB21" i="14"/>
  <c r="CZ262" i="2"/>
  <c r="EV190" i="18"/>
  <c r="DH189" i="18"/>
  <c r="EV189" i="18" s="1"/>
  <c r="DI570" i="2"/>
  <c r="DI590" i="2"/>
  <c r="CJ161" i="13" s="1"/>
  <c r="CQ106" i="7"/>
  <c r="CQ115" i="7"/>
  <c r="EJ115" i="7" s="1"/>
  <c r="EC288" i="2"/>
  <c r="DD285" i="2"/>
  <c r="DB272" i="2"/>
  <c r="DB274" i="2"/>
  <c r="DA272" i="2"/>
  <c r="DA262" i="2" s="1"/>
  <c r="DA274" i="2"/>
  <c r="EK23" i="7"/>
  <c r="EK32" i="7" s="1"/>
  <c r="ED44" i="18"/>
  <c r="FC44" i="18" s="1"/>
  <c r="FJ44" i="18" s="1"/>
  <c r="FC13" i="18"/>
  <c r="FJ13" i="18" s="1"/>
  <c r="EA74" i="18"/>
  <c r="FB66" i="18"/>
  <c r="FE198" i="18"/>
  <c r="C60" i="24" s="1"/>
  <c r="C59" i="24"/>
  <c r="FG198" i="18"/>
  <c r="E59" i="24"/>
  <c r="E57" i="24"/>
  <c r="FF198" i="18"/>
  <c r="D60" i="24" s="1"/>
  <c r="D59" i="24"/>
  <c r="EB48" i="14"/>
  <c r="EA21" i="14"/>
  <c r="EA104" i="18"/>
  <c r="FB104" i="18" s="1"/>
  <c r="EB66" i="18"/>
  <c r="EB14" i="14"/>
  <c r="EB11" i="14"/>
  <c r="EB18" i="14"/>
  <c r="EB23" i="14"/>
  <c r="EB20" i="14"/>
  <c r="EB37" i="14"/>
  <c r="EB40" i="14"/>
  <c r="DV129" i="13"/>
  <c r="EA113" i="18"/>
  <c r="EA139" i="18" s="1"/>
  <c r="FB139" i="18" s="1"/>
  <c r="EA33" i="14"/>
  <c r="FB33" i="14" s="1"/>
  <c r="EA24" i="14"/>
  <c r="ED148" i="18"/>
  <c r="EA3" i="14"/>
  <c r="FB3" i="14" s="1"/>
  <c r="EA327" i="2"/>
  <c r="EB3" i="14" s="1"/>
  <c r="DZ37" i="18"/>
  <c r="DZ6" i="18"/>
  <c r="EC57" i="18"/>
  <c r="DZ169" i="18"/>
  <c r="DZ42" i="14"/>
  <c r="DZ34" i="14"/>
  <c r="EC5" i="14"/>
  <c r="EC148" i="18"/>
  <c r="ED57" i="18"/>
  <c r="DY50" i="14"/>
  <c r="DY43" i="14"/>
  <c r="EC331" i="2"/>
  <c r="ED5" i="14"/>
  <c r="ED7" i="14" s="1"/>
  <c r="ES60" i="15"/>
  <c r="ES59" i="15"/>
  <c r="DM380" i="2"/>
  <c r="DM426" i="2" s="1"/>
  <c r="FA147" i="7"/>
  <c r="EP232" i="18"/>
  <c r="EP233" i="18" s="1"/>
  <c r="CL233" i="18"/>
  <c r="EO232" i="18"/>
  <c r="EO233" i="18" s="1"/>
  <c r="EI232" i="18"/>
  <c r="EI233" i="18" s="1"/>
  <c r="EN232" i="18"/>
  <c r="DF785" i="2"/>
  <c r="CY208" i="18"/>
  <c r="CI233" i="18"/>
  <c r="BQ233" i="18"/>
  <c r="EL233" i="18"/>
  <c r="EJ233" i="18"/>
  <c r="EH233" i="18"/>
  <c r="BN233" i="18"/>
  <c r="CY201" i="18"/>
  <c r="CY205" i="18"/>
  <c r="CY202" i="18"/>
  <c r="CY207" i="18"/>
  <c r="CY204" i="18"/>
  <c r="CY206" i="18"/>
  <c r="CZ753" i="2"/>
  <c r="CZ200" i="18"/>
  <c r="CY203" i="18"/>
  <c r="DO58" i="12"/>
  <c r="DI68" i="15"/>
  <c r="EV68" i="15" s="1"/>
  <c r="CE233" i="18"/>
  <c r="EH212" i="18"/>
  <c r="FE211" i="18"/>
  <c r="BU233" i="18"/>
  <c r="BY233" i="18"/>
  <c r="CH158" i="13"/>
  <c r="FF211" i="18"/>
  <c r="EK212" i="18"/>
  <c r="CB233" i="18"/>
  <c r="CH156" i="13"/>
  <c r="CA118" i="11"/>
  <c r="DI162" i="18"/>
  <c r="EV162" i="18" s="1"/>
  <c r="DI108" i="15"/>
  <c r="EV108" i="15" s="1"/>
  <c r="CI144" i="13"/>
  <c r="DV144" i="13" s="1"/>
  <c r="CB88" i="12"/>
  <c r="DO88" i="12" s="1"/>
  <c r="DI99" i="15"/>
  <c r="EV99" i="15" s="1"/>
  <c r="EL156" i="7"/>
  <c r="EY156" i="7" s="1"/>
  <c r="DF137" i="15"/>
  <c r="EQ233" i="18"/>
  <c r="DB775" i="2"/>
  <c r="FG211" i="18"/>
  <c r="CG159" i="13"/>
  <c r="CS66" i="7"/>
  <c r="CH142" i="13"/>
  <c r="EF233" i="18"/>
  <c r="DO86" i="11"/>
  <c r="DO95" i="11"/>
  <c r="DV165" i="13"/>
  <c r="DV162" i="13"/>
  <c r="CM3" i="13"/>
  <c r="DV155" i="13"/>
  <c r="CF12" i="11"/>
  <c r="CA82" i="12"/>
  <c r="CF14" i="12"/>
  <c r="CE20" i="11"/>
  <c r="DW17" i="13"/>
  <c r="BZ132" i="11"/>
  <c r="DV139" i="13"/>
  <c r="CK87" i="13"/>
  <c r="CB79" i="11"/>
  <c r="DO79" i="11" s="1"/>
  <c r="DV102" i="13"/>
  <c r="DM8" i="12"/>
  <c r="CF30" i="11"/>
  <c r="CJ77" i="13"/>
  <c r="CF31" i="11"/>
  <c r="EJ76" i="7"/>
  <c r="EK43" i="7"/>
  <c r="CR66" i="7"/>
  <c r="EK42" i="7"/>
  <c r="EJ75" i="7"/>
  <c r="EK27" i="7"/>
  <c r="EK11" i="7"/>
  <c r="DA27" i="18"/>
  <c r="EK26" i="7"/>
  <c r="BW13" i="11"/>
  <c r="BW11" i="11" s="1"/>
  <c r="EK25" i="7"/>
  <c r="BT36" i="11"/>
  <c r="DL60" i="11"/>
  <c r="DB43" i="18"/>
  <c r="DB27" i="15"/>
  <c r="DB47" i="15" s="1"/>
  <c r="DB45" i="15" s="1"/>
  <c r="DB80" i="18" s="1"/>
  <c r="BS52" i="12"/>
  <c r="DL52" i="12" s="1"/>
  <c r="BS74" i="11"/>
  <c r="DL74" i="11" s="1"/>
  <c r="CJ62" i="13"/>
  <c r="CC45" i="11"/>
  <c r="CD65" i="11"/>
  <c r="CD87" i="11" s="1"/>
  <c r="CD70" i="11"/>
  <c r="BS51" i="12"/>
  <c r="DL51" i="12" s="1"/>
  <c r="BS73" i="11"/>
  <c r="DL73" i="11" s="1"/>
  <c r="DL28" i="15"/>
  <c r="CJ80" i="13"/>
  <c r="CJ76" i="13"/>
  <c r="EV92" i="3"/>
  <c r="FI92" i="3" s="1"/>
  <c r="DF156" i="18"/>
  <c r="EU156" i="18" s="1"/>
  <c r="FH156" i="18" s="1"/>
  <c r="DC18" i="15"/>
  <c r="DC27" i="18" s="1"/>
  <c r="DC32" i="18" s="1"/>
  <c r="BV25" i="11"/>
  <c r="BV23" i="11" s="1"/>
  <c r="DM23" i="11" s="1"/>
  <c r="DJ39" i="15"/>
  <c r="CY43" i="15"/>
  <c r="CY80" i="18"/>
  <c r="ES80" i="18" s="1"/>
  <c r="CZ43" i="15"/>
  <c r="ES45" i="15"/>
  <c r="CB86" i="11"/>
  <c r="CB95" i="11"/>
  <c r="DC28" i="18"/>
  <c r="ET28" i="18" s="1"/>
  <c r="CW158" i="7"/>
  <c r="EL158" i="7" s="1"/>
  <c r="EY158" i="7" s="1"/>
  <c r="EV90" i="3"/>
  <c r="FI90" i="3" s="1"/>
  <c r="DF155" i="18"/>
  <c r="EU155" i="18" s="1"/>
  <c r="FH155" i="18" s="1"/>
  <c r="CW157" i="7"/>
  <c r="EL157" i="7" s="1"/>
  <c r="EY157" i="7" s="1"/>
  <c r="BU38" i="11"/>
  <c r="BU36" i="11" s="1"/>
  <c r="BY153" i="11"/>
  <c r="DN153" i="11" s="1"/>
  <c r="EA153" i="11" s="1"/>
  <c r="BY124" i="12"/>
  <c r="DN124" i="12" s="1"/>
  <c r="EA124" i="12" s="1"/>
  <c r="BS49" i="12"/>
  <c r="DL49" i="12" s="1"/>
  <c r="BS71" i="11"/>
  <c r="DL71" i="11" s="1"/>
  <c r="DL15" i="15"/>
  <c r="DH93" i="15"/>
  <c r="DH114" i="15" s="1"/>
  <c r="DA45" i="15"/>
  <c r="ET9" i="15"/>
  <c r="CB128" i="11"/>
  <c r="DO128" i="11" s="1"/>
  <c r="CB99" i="12"/>
  <c r="DO99" i="12" s="1"/>
  <c r="CD25" i="12"/>
  <c r="CF4" i="12"/>
  <c r="CB64" i="12"/>
  <c r="CB82" i="12" s="1"/>
  <c r="DM6" i="15"/>
  <c r="DK33" i="15"/>
  <c r="DK39" i="15" s="1"/>
  <c r="DJ463" i="2"/>
  <c r="DB241" i="2"/>
  <c r="DB231" i="2" s="1"/>
  <c r="CT76" i="7" s="1"/>
  <c r="DC60" i="15" s="1"/>
  <c r="DI74" i="15"/>
  <c r="DI93" i="15" s="1"/>
  <c r="DJ462" i="2"/>
  <c r="CK131" i="13"/>
  <c r="CF7" i="12"/>
  <c r="DM10" i="15"/>
  <c r="CG168" i="13"/>
  <c r="CK125" i="13"/>
  <c r="CI121" i="13"/>
  <c r="DV121" i="13" s="1"/>
  <c r="CI127" i="13"/>
  <c r="DI547" i="2"/>
  <c r="CJ137" i="13" s="1"/>
  <c r="DI548" i="2"/>
  <c r="CJ138" i="13" s="1"/>
  <c r="DJ464" i="2"/>
  <c r="DL544" i="2"/>
  <c r="CM134" i="13" s="1"/>
  <c r="DL546" i="2"/>
  <c r="CM136" i="13" s="1"/>
  <c r="CM29" i="13"/>
  <c r="DL497" i="2"/>
  <c r="CM112" i="13" s="1"/>
  <c r="DL498" i="2"/>
  <c r="CM113" i="13" s="1"/>
  <c r="DI496" i="2"/>
  <c r="CJ110" i="13" s="1"/>
  <c r="DI501" i="2"/>
  <c r="DI500" i="2"/>
  <c r="DI499" i="2"/>
  <c r="CM49" i="13"/>
  <c r="CF39" i="12" s="1"/>
  <c r="DL493" i="2"/>
  <c r="CM107" i="13" s="1"/>
  <c r="DL399" i="2"/>
  <c r="DL398" i="2" s="1"/>
  <c r="DJ510" i="2"/>
  <c r="DJ491" i="2"/>
  <c r="CK105" i="13" s="1"/>
  <c r="DJ505" i="2"/>
  <c r="DJ490" i="2"/>
  <c r="CJ104" i="13"/>
  <c r="DI489" i="2"/>
  <c r="CL71" i="13"/>
  <c r="CL87" i="13" s="1"/>
  <c r="DK474" i="2"/>
  <c r="DK512" i="2" s="1"/>
  <c r="CK69" i="13"/>
  <c r="CK86" i="13"/>
  <c r="CL70" i="13"/>
  <c r="DW70" i="13" s="1"/>
  <c r="DK456" i="2"/>
  <c r="DK473" i="2"/>
  <c r="DK511" i="2" s="1"/>
  <c r="DM409" i="2"/>
  <c r="DM405" i="2" s="1"/>
  <c r="DM408" i="2"/>
  <c r="DM435" i="2" s="1"/>
  <c r="DM494" i="2" s="1"/>
  <c r="DL429" i="2"/>
  <c r="DM401" i="2"/>
  <c r="CN20" i="13" s="1"/>
  <c r="DB238" i="2"/>
  <c r="DB228" i="2" s="1"/>
  <c r="CT72" i="7" s="1"/>
  <c r="DB240" i="2"/>
  <c r="DB230" i="2" s="1"/>
  <c r="CT75" i="7" s="1"/>
  <c r="DC59" i="15" s="1"/>
  <c r="DF85" i="3"/>
  <c r="DF84" i="3" s="1"/>
  <c r="DF146" i="18" s="1"/>
  <c r="EU146" i="18" s="1"/>
  <c r="FH146" i="18" s="1"/>
  <c r="DD176" i="2"/>
  <c r="CV12" i="7"/>
  <c r="BX13" i="11" s="1"/>
  <c r="BX11" i="11" s="1"/>
  <c r="DD158" i="2"/>
  <c r="CZ230" i="2"/>
  <c r="CR75" i="7" s="1"/>
  <c r="DA59" i="15" s="1"/>
  <c r="CR85" i="7"/>
  <c r="DA238" i="2"/>
  <c r="DA240" i="2"/>
  <c r="DA241" i="2"/>
  <c r="EV86" i="3"/>
  <c r="CZ228" i="2"/>
  <c r="CR72" i="7" s="1"/>
  <c r="CR83" i="7"/>
  <c r="CT32" i="7"/>
  <c r="CT44" i="7"/>
  <c r="CR86" i="7"/>
  <c r="CZ231" i="2"/>
  <c r="CR76" i="7" s="1"/>
  <c r="DA60" i="15" s="1"/>
  <c r="DC178" i="2"/>
  <c r="CU25" i="7" s="1"/>
  <c r="DC177" i="2"/>
  <c r="CU24" i="7" s="1"/>
  <c r="DC206" i="2"/>
  <c r="DC205" i="2" s="1"/>
  <c r="CU23" i="7"/>
  <c r="CU22" i="7" s="1"/>
  <c r="DC175" i="2"/>
  <c r="DC179" i="2"/>
  <c r="CU26" i="7" s="1"/>
  <c r="DC180" i="2"/>
  <c r="CU27" i="7" s="1"/>
  <c r="DD31" i="18" s="1"/>
  <c r="CT66" i="7"/>
  <c r="BW8" i="12"/>
  <c r="CU11" i="7"/>
  <c r="DG117" i="2"/>
  <c r="DF103" i="2"/>
  <c r="DG86" i="3" s="1"/>
  <c r="DG154" i="18" s="1"/>
  <c r="DG119" i="2"/>
  <c r="DF107" i="2"/>
  <c r="DG92" i="3" s="1"/>
  <c r="DG156" i="18" s="1"/>
  <c r="DG118" i="2"/>
  <c r="DF105" i="2"/>
  <c r="DG90" i="3" s="1"/>
  <c r="DG155" i="18" s="1"/>
  <c r="CN6" i="13"/>
  <c r="CS50" i="2"/>
  <c r="CS32" i="2"/>
  <c r="CC31" i="12"/>
  <c r="CE11" i="12"/>
  <c r="DP11" i="12" s="1"/>
  <c r="DM424" i="2"/>
  <c r="DM418" i="2"/>
  <c r="CM30" i="13"/>
  <c r="CF15" i="12"/>
  <c r="CK64" i="13"/>
  <c r="CK82" i="13"/>
  <c r="CK80" i="13" s="1"/>
  <c r="CK56" i="13"/>
  <c r="CK75" i="13"/>
  <c r="CM36" i="13"/>
  <c r="CL39" i="13"/>
  <c r="DW39" i="13" s="1"/>
  <c r="DM392" i="2"/>
  <c r="CN15" i="13"/>
  <c r="DK416" i="2"/>
  <c r="DK444" i="2" s="1"/>
  <c r="CL33" i="13"/>
  <c r="DW33" i="13" s="1"/>
  <c r="CM25" i="13"/>
  <c r="CM23" i="13"/>
  <c r="DM391" i="2"/>
  <c r="CN10" i="13" s="1"/>
  <c r="CN14" i="13"/>
  <c r="DN482" i="2"/>
  <c r="CO95" i="13"/>
  <c r="DX95" i="13" s="1"/>
  <c r="CN98" i="13"/>
  <c r="CX156" i="7"/>
  <c r="DG137" i="15" s="1"/>
  <c r="DG318" i="2"/>
  <c r="CS35" i="2"/>
  <c r="CS37" i="2"/>
  <c r="CS67" i="2" s="1"/>
  <c r="CU67" i="2" s="1"/>
  <c r="CV67" i="2" s="1"/>
  <c r="CW67" i="2" s="1"/>
  <c r="CX67" i="2" s="1"/>
  <c r="CY67" i="2" s="1"/>
  <c r="CZ67" i="2" s="1"/>
  <c r="DA67" i="2" s="1"/>
  <c r="DB67" i="2" s="1"/>
  <c r="DC67" i="2" s="1"/>
  <c r="DD67" i="2" s="1"/>
  <c r="DE67" i="2" s="1"/>
  <c r="DF67" i="2" s="1"/>
  <c r="DG67" i="2" s="1"/>
  <c r="DH67" i="2" s="1"/>
  <c r="DI67" i="2" s="1"/>
  <c r="DJ67" i="2" s="1"/>
  <c r="DK67" i="2" s="1"/>
  <c r="DL67" i="2" s="1"/>
  <c r="DM67" i="2" s="1"/>
  <c r="DN67" i="2" s="1"/>
  <c r="DO67" i="2" s="1"/>
  <c r="DP67" i="2" s="1"/>
  <c r="DQ67" i="2" s="1"/>
  <c r="DR67" i="2" s="1"/>
  <c r="DS67" i="2" s="1"/>
  <c r="DT67" i="2" s="1"/>
  <c r="DU67" i="2" s="1"/>
  <c r="DV67" i="2" s="1"/>
  <c r="DW67" i="2" s="1"/>
  <c r="DX67" i="2" s="1"/>
  <c r="DY67" i="2" s="1"/>
  <c r="DZ67" i="2" s="1"/>
  <c r="EA67" i="2" s="1"/>
  <c r="EB67" i="2" s="1"/>
  <c r="EC67" i="2" s="1"/>
  <c r="DB262" i="2" l="1"/>
  <c r="CS95" i="2"/>
  <c r="CU95" i="2" s="1"/>
  <c r="CV95" i="2" s="1"/>
  <c r="CW95" i="2" s="1"/>
  <c r="CX95" i="2" s="1"/>
  <c r="CY95" i="2" s="1"/>
  <c r="CZ95" i="2" s="1"/>
  <c r="DA95" i="2" s="1"/>
  <c r="DB95" i="2" s="1"/>
  <c r="DC95" i="2" s="1"/>
  <c r="DD95" i="2" s="1"/>
  <c r="DE95" i="2" s="1"/>
  <c r="DF95" i="2" s="1"/>
  <c r="DG95" i="2" s="1"/>
  <c r="DH95" i="2" s="1"/>
  <c r="DI95" i="2" s="1"/>
  <c r="DJ95" i="2" s="1"/>
  <c r="DK95" i="2" s="1"/>
  <c r="DL95" i="2" s="1"/>
  <c r="DM95" i="2" s="1"/>
  <c r="DN95" i="2" s="1"/>
  <c r="DO95" i="2" s="1"/>
  <c r="DP95" i="2" s="1"/>
  <c r="DQ95" i="2" s="1"/>
  <c r="DR95" i="2" s="1"/>
  <c r="FC5" i="14"/>
  <c r="FA51" i="14"/>
  <c r="FB34" i="14"/>
  <c r="DY51" i="14"/>
  <c r="BS105" i="11"/>
  <c r="DL105" i="11" s="1"/>
  <c r="BS73" i="12"/>
  <c r="DL73" i="12" s="1"/>
  <c r="CR106" i="7"/>
  <c r="CR115" i="7"/>
  <c r="DJ120" i="15"/>
  <c r="CC137" i="11"/>
  <c r="CC108" i="12"/>
  <c r="CZ82" i="15"/>
  <c r="ES82" i="15" s="1"/>
  <c r="EJ106" i="7"/>
  <c r="DL48" i="15"/>
  <c r="EW48" i="15" s="1"/>
  <c r="EW28" i="15"/>
  <c r="DE285" i="2"/>
  <c r="FC57" i="18"/>
  <c r="FJ57" i="18" s="1"/>
  <c r="CT106" i="7"/>
  <c r="DC82" i="15" s="1"/>
  <c r="CT115" i="7"/>
  <c r="BV105" i="11" s="1"/>
  <c r="FC148" i="18"/>
  <c r="FJ148" i="18" s="1"/>
  <c r="FB74" i="18"/>
  <c r="FB113" i="18"/>
  <c r="EB74" i="18"/>
  <c r="FG212" i="18"/>
  <c r="E62" i="24"/>
  <c r="FF212" i="18"/>
  <c r="D63" i="24" s="1"/>
  <c r="D62" i="24"/>
  <c r="FE212" i="18"/>
  <c r="C63" i="24" s="1"/>
  <c r="C62" i="24"/>
  <c r="E60" i="24"/>
  <c r="EB37" i="18"/>
  <c r="EB6" i="18"/>
  <c r="EB21" i="14"/>
  <c r="EB104" i="18"/>
  <c r="EC9" i="14"/>
  <c r="EC49" i="18"/>
  <c r="EA37" i="18"/>
  <c r="FB37" i="18" s="1"/>
  <c r="EA6" i="18"/>
  <c r="FB6" i="18" s="1"/>
  <c r="EB113" i="18"/>
  <c r="EB33" i="14"/>
  <c r="EB24" i="14"/>
  <c r="EB327" i="2"/>
  <c r="ED9" i="14"/>
  <c r="ED49" i="18"/>
  <c r="DZ43" i="14"/>
  <c r="DZ50" i="14"/>
  <c r="DZ51" i="14" s="1"/>
  <c r="EA169" i="18"/>
  <c r="FB169" i="18" s="1"/>
  <c r="EA34" i="14"/>
  <c r="EA42" i="14"/>
  <c r="FB42" i="14" s="1"/>
  <c r="EC7" i="14"/>
  <c r="DG785" i="2"/>
  <c r="EK233" i="18"/>
  <c r="FF232" i="18"/>
  <c r="FF233" i="18" s="1"/>
  <c r="DA200" i="18"/>
  <c r="DA753" i="2"/>
  <c r="CZ208" i="18"/>
  <c r="ES200" i="18"/>
  <c r="CZ201" i="18"/>
  <c r="CZ205" i="18"/>
  <c r="CZ202" i="18"/>
  <c r="CZ207" i="18"/>
  <c r="CZ204" i="18"/>
  <c r="CZ206" i="18"/>
  <c r="CZ203" i="18"/>
  <c r="ES203" i="18" s="1"/>
  <c r="EG233" i="18"/>
  <c r="FE232" i="18"/>
  <c r="FE233" i="18" s="1"/>
  <c r="CH159" i="13"/>
  <c r="CH167" i="13"/>
  <c r="CH168" i="13" s="1"/>
  <c r="EN233" i="18"/>
  <c r="FG232" i="18"/>
  <c r="FG233" i="18" s="1"/>
  <c r="CB103" i="12"/>
  <c r="CB118" i="12" s="1"/>
  <c r="DI114" i="15"/>
  <c r="CA132" i="11"/>
  <c r="CA147" i="11" s="1"/>
  <c r="CI156" i="13"/>
  <c r="CB118" i="11"/>
  <c r="DO118" i="11" s="1"/>
  <c r="EU137" i="15"/>
  <c r="FH137" i="15" s="1"/>
  <c r="DV156" i="13"/>
  <c r="CC97" i="12"/>
  <c r="CC94" i="12"/>
  <c r="CC95" i="12"/>
  <c r="DJ67" i="18"/>
  <c r="DH132" i="15"/>
  <c r="EK44" i="7"/>
  <c r="BV40" i="12"/>
  <c r="DC775" i="2"/>
  <c r="BU60" i="11"/>
  <c r="CM17" i="13"/>
  <c r="DV122" i="13"/>
  <c r="CF21" i="12"/>
  <c r="DA32" i="18"/>
  <c r="ET27" i="18"/>
  <c r="DO64" i="12"/>
  <c r="CC53" i="11"/>
  <c r="CJ131" i="13"/>
  <c r="CJ125" i="13"/>
  <c r="DP20" i="11"/>
  <c r="CE33" i="11"/>
  <c r="DP33" i="11" s="1"/>
  <c r="CA103" i="12"/>
  <c r="DO82" i="12"/>
  <c r="CF8" i="11"/>
  <c r="BW22" i="12"/>
  <c r="CK85" i="13"/>
  <c r="CG6" i="11"/>
  <c r="CG18" i="11"/>
  <c r="CJ74" i="13"/>
  <c r="DW71" i="13"/>
  <c r="BZ147" i="11"/>
  <c r="DW87" i="13"/>
  <c r="CB98" i="11"/>
  <c r="DV127" i="13"/>
  <c r="DA43" i="18"/>
  <c r="EK66" i="7"/>
  <c r="DD9" i="15"/>
  <c r="DD12" i="18" s="1"/>
  <c r="DD29" i="18"/>
  <c r="DD30" i="18"/>
  <c r="EK22" i="7"/>
  <c r="ES43" i="15"/>
  <c r="DM25" i="11"/>
  <c r="BT60" i="11"/>
  <c r="DB43" i="15"/>
  <c r="EV85" i="3"/>
  <c r="EV84" i="3" s="1"/>
  <c r="DF153" i="18"/>
  <c r="EU153" i="18" s="1"/>
  <c r="FH153" i="18" s="1"/>
  <c r="CD96" i="11"/>
  <c r="DC27" i="15"/>
  <c r="DC47" i="15" s="1"/>
  <c r="DC45" i="15" s="1"/>
  <c r="DC80" i="18" s="1"/>
  <c r="EV93" i="15"/>
  <c r="DG153" i="18"/>
  <c r="EV74" i="15"/>
  <c r="BZ153" i="11"/>
  <c r="BZ124" i="12"/>
  <c r="BT52" i="12"/>
  <c r="BT74" i="11"/>
  <c r="CK76" i="13"/>
  <c r="BW25" i="11"/>
  <c r="BV38" i="11"/>
  <c r="BV36" i="11" s="1"/>
  <c r="BV60" i="11" s="1"/>
  <c r="CD69" i="11"/>
  <c r="DA43" i="15"/>
  <c r="DA80" i="18"/>
  <c r="DL24" i="15"/>
  <c r="EW24" i="15" s="1"/>
  <c r="EW15" i="15"/>
  <c r="DC43" i="18"/>
  <c r="CF37" i="11"/>
  <c r="DD28" i="18"/>
  <c r="BT49" i="12"/>
  <c r="BT71" i="11"/>
  <c r="BT51" i="12"/>
  <c r="BT73" i="11"/>
  <c r="DM19" i="15"/>
  <c r="DM28" i="15" s="1"/>
  <c r="CF24" i="11"/>
  <c r="CX157" i="7"/>
  <c r="ET18" i="15"/>
  <c r="CK62" i="13"/>
  <c r="CD45" i="11"/>
  <c r="CX158" i="7"/>
  <c r="CS106" i="7"/>
  <c r="DB82" i="15" s="1"/>
  <c r="CS115" i="7"/>
  <c r="CC52" i="11"/>
  <c r="CI122" i="13"/>
  <c r="CB89" i="11"/>
  <c r="DO89" i="11" s="1"/>
  <c r="CC58" i="12"/>
  <c r="DJ68" i="15" s="1"/>
  <c r="CT86" i="7"/>
  <c r="DJ461" i="2"/>
  <c r="CJ133" i="13"/>
  <c r="CJ103" i="13"/>
  <c r="CI128" i="13"/>
  <c r="CI141" i="13"/>
  <c r="DV141" i="13" s="1"/>
  <c r="CJ123" i="13"/>
  <c r="DI543" i="2"/>
  <c r="DI549" i="2" s="1"/>
  <c r="DM425" i="2"/>
  <c r="CN41" i="13" s="1"/>
  <c r="CJ115" i="13"/>
  <c r="CJ114" i="13"/>
  <c r="DL417" i="2"/>
  <c r="DL439" i="2" s="1"/>
  <c r="CJ116" i="13"/>
  <c r="DI488" i="2"/>
  <c r="CT83" i="7"/>
  <c r="CM18" i="13"/>
  <c r="DL423" i="2"/>
  <c r="DL422" i="2" s="1"/>
  <c r="CN108" i="13"/>
  <c r="DK510" i="2"/>
  <c r="CK104" i="13"/>
  <c r="DJ489" i="2"/>
  <c r="CT85" i="7"/>
  <c r="DM436" i="2"/>
  <c r="DM434" i="2" s="1"/>
  <c r="CN50" i="13"/>
  <c r="CL69" i="13"/>
  <c r="DW69" i="13" s="1"/>
  <c r="CL86" i="13"/>
  <c r="CL85" i="13" s="1"/>
  <c r="CN11" i="13"/>
  <c r="DM429" i="2"/>
  <c r="CM44" i="13"/>
  <c r="DL428" i="2"/>
  <c r="DM376" i="2"/>
  <c r="DM420" i="2"/>
  <c r="CN36" i="13" s="1"/>
  <c r="DM419" i="2"/>
  <c r="CN35" i="13" s="1"/>
  <c r="CS78" i="2"/>
  <c r="DA230" i="2"/>
  <c r="CS75" i="7" s="1"/>
  <c r="DB59" i="15" s="1"/>
  <c r="CS85" i="7"/>
  <c r="DA228" i="2"/>
  <c r="CS72" i="7" s="1"/>
  <c r="CS83" i="7"/>
  <c r="BX8" i="12"/>
  <c r="BX22" i="12" s="1"/>
  <c r="CV11" i="7"/>
  <c r="DE9" i="15" s="1"/>
  <c r="DE12" i="18" s="1"/>
  <c r="DD179" i="2"/>
  <c r="CV26" i="7" s="1"/>
  <c r="DE30" i="18" s="1"/>
  <c r="DD180" i="2"/>
  <c r="CV27" i="7" s="1"/>
  <c r="DE31" i="18" s="1"/>
  <c r="DD206" i="2"/>
  <c r="DD205" i="2" s="1"/>
  <c r="DD178" i="2"/>
  <c r="CV25" i="7" s="1"/>
  <c r="DE29" i="18" s="1"/>
  <c r="DD177" i="2"/>
  <c r="CV24" i="7" s="1"/>
  <c r="DD175" i="2"/>
  <c r="CV23" i="7"/>
  <c r="CV22" i="7" s="1"/>
  <c r="CW12" i="7"/>
  <c r="BY13" i="11" s="1"/>
  <c r="BY11" i="11" s="1"/>
  <c r="DN11" i="11" s="1"/>
  <c r="EA11" i="11" s="1"/>
  <c r="DE158" i="2"/>
  <c r="DE176" i="2"/>
  <c r="CU43" i="7"/>
  <c r="DC204" i="2"/>
  <c r="FI86" i="3"/>
  <c r="FI85" i="3" s="1"/>
  <c r="FI84" i="3" s="1"/>
  <c r="CU44" i="7"/>
  <c r="BW40" i="12" s="1"/>
  <c r="CU32" i="7"/>
  <c r="CS86" i="7"/>
  <c r="DA231" i="2"/>
  <c r="CS76" i="7" s="1"/>
  <c r="DB60" i="15" s="1"/>
  <c r="DH118" i="2"/>
  <c r="DG105" i="2"/>
  <c r="DH90" i="3" s="1"/>
  <c r="DH155" i="18" s="1"/>
  <c r="DH119" i="2"/>
  <c r="DG107" i="2"/>
  <c r="DH92" i="3" s="1"/>
  <c r="DH156" i="18" s="1"/>
  <c r="DG85" i="3"/>
  <c r="DG84" i="3" s="1"/>
  <c r="DG146" i="18" s="1"/>
  <c r="DH117" i="2"/>
  <c r="DG103" i="2"/>
  <c r="DH86" i="3" s="1"/>
  <c r="DH154" i="18" s="1"/>
  <c r="CN7" i="13"/>
  <c r="CS98" i="2"/>
  <c r="CD31" i="12"/>
  <c r="CE18" i="12"/>
  <c r="DP18" i="12" s="1"/>
  <c r="CN34" i="13"/>
  <c r="DK452" i="2"/>
  <c r="DK454" i="2"/>
  <c r="DK453" i="2"/>
  <c r="CN40" i="13"/>
  <c r="DK447" i="2"/>
  <c r="DK445" i="2"/>
  <c r="DK448" i="2"/>
  <c r="DK446" i="2"/>
  <c r="DM407" i="2"/>
  <c r="CN26" i="13"/>
  <c r="DM404" i="2"/>
  <c r="CN13" i="13"/>
  <c r="CN27" i="13"/>
  <c r="CL32" i="13"/>
  <c r="DW32" i="13" s="1"/>
  <c r="CL54" i="13"/>
  <c r="DW54" i="13" s="1"/>
  <c r="CN23" i="13"/>
  <c r="CL38" i="13"/>
  <c r="DW38" i="13" s="1"/>
  <c r="CO99" i="13"/>
  <c r="DX99" i="13" s="1"/>
  <c r="DO479" i="2"/>
  <c r="DO483" i="2" s="1"/>
  <c r="DN394" i="2"/>
  <c r="DN378" i="2"/>
  <c r="DN379" i="2"/>
  <c r="DN401" i="2" s="1"/>
  <c r="CO20" i="13" s="1"/>
  <c r="CH18" i="11" s="1"/>
  <c r="DH318" i="2"/>
  <c r="CY156" i="7"/>
  <c r="DH137" i="15" s="1"/>
  <c r="CS46" i="2"/>
  <c r="DS95" i="2" l="1"/>
  <c r="CS71" i="2"/>
  <c r="CT74" i="2"/>
  <c r="CU74" i="2" s="1"/>
  <c r="CV74" i="2" s="1"/>
  <c r="CW74" i="2" s="1"/>
  <c r="CX74" i="2" s="1"/>
  <c r="CY74" i="2" s="1"/>
  <c r="CZ74" i="2" s="1"/>
  <c r="DA74" i="2" s="1"/>
  <c r="DB74" i="2" s="1"/>
  <c r="DC74" i="2" s="1"/>
  <c r="DD74" i="2" s="1"/>
  <c r="DE74" i="2" s="1"/>
  <c r="DF74" i="2" s="1"/>
  <c r="DG74" i="2" s="1"/>
  <c r="DH74" i="2" s="1"/>
  <c r="DI74" i="2" s="1"/>
  <c r="DJ74" i="2" s="1"/>
  <c r="DK74" i="2" s="1"/>
  <c r="DL74" i="2" s="1"/>
  <c r="DM74" i="2" s="1"/>
  <c r="DN74" i="2" s="1"/>
  <c r="DO74" i="2" s="1"/>
  <c r="DP74" i="2" s="1"/>
  <c r="DQ74" i="2" s="1"/>
  <c r="DR74" i="2" s="1"/>
  <c r="DS74" i="2" s="1"/>
  <c r="DT74" i="2" s="1"/>
  <c r="DU74" i="2" s="1"/>
  <c r="DV74" i="2" s="1"/>
  <c r="DW74" i="2" s="1"/>
  <c r="DX74" i="2" s="1"/>
  <c r="DY74" i="2" s="1"/>
  <c r="DZ74" i="2" s="1"/>
  <c r="EA74" i="2" s="1"/>
  <c r="EB74" i="2" s="1"/>
  <c r="EC74" i="2" s="1"/>
  <c r="CT71" i="2"/>
  <c r="FJ5" i="14"/>
  <c r="FJ7" i="14" s="1"/>
  <c r="FC7" i="14"/>
  <c r="FC9" i="14"/>
  <c r="DA82" i="15"/>
  <c r="BT73" i="12"/>
  <c r="BT105" i="11"/>
  <c r="DJ117" i="15"/>
  <c r="CC136" i="11"/>
  <c r="CC107" i="12"/>
  <c r="DJ499" i="2"/>
  <c r="DJ590" i="2"/>
  <c r="CK161" i="13" s="1"/>
  <c r="BV73" i="12"/>
  <c r="DL457" i="2"/>
  <c r="DL458" i="2"/>
  <c r="DC272" i="2"/>
  <c r="DC274" i="2"/>
  <c r="DF285" i="2"/>
  <c r="DM48" i="15"/>
  <c r="FC49" i="18"/>
  <c r="FJ49" i="18" s="1"/>
  <c r="EK115" i="7"/>
  <c r="EB139" i="18"/>
  <c r="E63" i="24"/>
  <c r="EB169" i="18"/>
  <c r="EB34" i="14"/>
  <c r="EB42" i="14"/>
  <c r="EA43" i="14"/>
  <c r="EA50" i="14"/>
  <c r="EA51" i="14" s="1"/>
  <c r="EC66" i="18"/>
  <c r="EC14" i="14"/>
  <c r="EC11" i="14"/>
  <c r="EC18" i="14"/>
  <c r="EC20" i="14"/>
  <c r="EC23" i="14"/>
  <c r="EC40" i="14"/>
  <c r="EC37" i="14"/>
  <c r="EC48" i="14"/>
  <c r="EC31" i="14"/>
  <c r="ED66" i="18"/>
  <c r="ED18" i="14"/>
  <c r="ED23" i="14"/>
  <c r="ED20" i="14"/>
  <c r="ED14" i="14"/>
  <c r="ED11" i="14"/>
  <c r="ED40" i="14"/>
  <c r="ED37" i="14"/>
  <c r="ED48" i="14"/>
  <c r="ED31" i="14"/>
  <c r="EC3" i="14"/>
  <c r="EC327" i="2"/>
  <c r="ED3" i="14" s="1"/>
  <c r="CS81" i="2"/>
  <c r="CS84" i="2"/>
  <c r="CS92" i="2"/>
  <c r="CS76" i="2"/>
  <c r="CT76" i="2" s="1"/>
  <c r="DH785" i="2"/>
  <c r="DI132" i="15"/>
  <c r="EV132" i="15" s="1"/>
  <c r="EV114" i="15"/>
  <c r="DA203" i="18"/>
  <c r="DB200" i="18"/>
  <c r="DB753" i="2"/>
  <c r="ES208" i="18"/>
  <c r="DA208" i="18"/>
  <c r="ES201" i="18"/>
  <c r="DA201" i="18"/>
  <c r="ES205" i="18"/>
  <c r="DA205" i="18"/>
  <c r="ES202" i="18"/>
  <c r="DA202" i="18"/>
  <c r="ES207" i="18"/>
  <c r="DA207" i="18"/>
  <c r="ES204" i="18"/>
  <c r="DA204" i="18"/>
  <c r="ES206" i="18"/>
  <c r="DA206" i="18"/>
  <c r="CJ155" i="13"/>
  <c r="DJ108" i="15" s="1"/>
  <c r="CC55" i="11"/>
  <c r="BV38" i="12"/>
  <c r="DM38" i="12" s="1"/>
  <c r="DM40" i="12"/>
  <c r="CC91" i="12"/>
  <c r="CK74" i="13"/>
  <c r="CD94" i="12"/>
  <c r="CD95" i="12"/>
  <c r="CD97" i="12"/>
  <c r="DK67" i="18"/>
  <c r="DD775" i="2"/>
  <c r="ET60" i="15"/>
  <c r="EK86" i="7"/>
  <c r="ET59" i="15"/>
  <c r="CJ162" i="13"/>
  <c r="CJ165" i="13"/>
  <c r="EK85" i="7"/>
  <c r="CG31" i="11"/>
  <c r="ET80" i="18"/>
  <c r="CB113" i="11"/>
  <c r="DO98" i="11"/>
  <c r="CA118" i="12"/>
  <c r="DO118" i="12" s="1"/>
  <c r="DO103" i="12"/>
  <c r="CG14" i="12"/>
  <c r="DW86" i="13"/>
  <c r="DV142" i="13"/>
  <c r="DW85" i="13"/>
  <c r="BW38" i="12"/>
  <c r="ET43" i="18"/>
  <c r="DX20" i="13"/>
  <c r="CG4" i="12"/>
  <c r="DQ18" i="11"/>
  <c r="CF20" i="11"/>
  <c r="CG12" i="11"/>
  <c r="EK83" i="7"/>
  <c r="DV128" i="13"/>
  <c r="CC87" i="11"/>
  <c r="CC96" i="11"/>
  <c r="EK75" i="7"/>
  <c r="EK106" i="7"/>
  <c r="CU42" i="7"/>
  <c r="EK76" i="7"/>
  <c r="EL12" i="7"/>
  <c r="EY12" i="7" s="1"/>
  <c r="DD18" i="15"/>
  <c r="DD27" i="15" s="1"/>
  <c r="DD47" i="15" s="1"/>
  <c r="DM38" i="11"/>
  <c r="DM36" i="11"/>
  <c r="DN13" i="11"/>
  <c r="EA13" i="11" s="1"/>
  <c r="BW23" i="11"/>
  <c r="DC43" i="15"/>
  <c r="ET45" i="15"/>
  <c r="ET47" i="15"/>
  <c r="DH153" i="18"/>
  <c r="ET27" i="15"/>
  <c r="BU49" i="12"/>
  <c r="BU71" i="11"/>
  <c r="CC77" i="11"/>
  <c r="CC64" i="11"/>
  <c r="DJ87" i="18"/>
  <c r="CC70" i="12"/>
  <c r="CC102" i="11"/>
  <c r="BU73" i="12"/>
  <c r="BU105" i="11"/>
  <c r="BW38" i="11"/>
  <c r="DE18" i="15"/>
  <c r="DE27" i="18" s="1"/>
  <c r="DE32" i="18" s="1"/>
  <c r="BX25" i="11"/>
  <c r="BX23" i="11" s="1"/>
  <c r="BU51" i="12"/>
  <c r="BU73" i="11"/>
  <c r="BV52" i="12"/>
  <c r="BV74" i="11"/>
  <c r="CY158" i="7"/>
  <c r="BV49" i="12"/>
  <c r="BV71" i="11"/>
  <c r="DE28" i="18"/>
  <c r="BV51" i="12"/>
  <c r="BV73" i="11"/>
  <c r="CY157" i="7"/>
  <c r="CD52" i="11"/>
  <c r="CA153" i="11"/>
  <c r="CA124" i="12"/>
  <c r="BU52" i="12"/>
  <c r="BU74" i="11"/>
  <c r="CJ139" i="13"/>
  <c r="DJ54" i="15"/>
  <c r="DJ74" i="15" s="1"/>
  <c r="CC45" i="12"/>
  <c r="DJ548" i="2"/>
  <c r="CK138" i="13" s="1"/>
  <c r="DJ501" i="2"/>
  <c r="CK116" i="13" s="1"/>
  <c r="DJ547" i="2"/>
  <c r="CK137" i="13" s="1"/>
  <c r="DJ500" i="2"/>
  <c r="CK115" i="13" s="1"/>
  <c r="CN3" i="13"/>
  <c r="DN6" i="15"/>
  <c r="DJ80" i="15"/>
  <c r="DJ496" i="2"/>
  <c r="CK110" i="13" s="1"/>
  <c r="DJ570" i="2"/>
  <c r="CK103" i="13"/>
  <c r="CJ129" i="13"/>
  <c r="CG7" i="12"/>
  <c r="DN10" i="15"/>
  <c r="CF11" i="12"/>
  <c r="DM15" i="15"/>
  <c r="CI142" i="13"/>
  <c r="CI158" i="13"/>
  <c r="DV158" i="13" s="1"/>
  <c r="CJ124" i="13"/>
  <c r="CJ130" i="13"/>
  <c r="DM544" i="2"/>
  <c r="CN134" i="13" s="1"/>
  <c r="DM546" i="2"/>
  <c r="CN136" i="13" s="1"/>
  <c r="DL416" i="2"/>
  <c r="DL444" i="2" s="1"/>
  <c r="DL447" i="2" s="1"/>
  <c r="CJ102" i="13"/>
  <c r="DI502" i="2"/>
  <c r="DM497" i="2"/>
  <c r="CN112" i="13" s="1"/>
  <c r="DM498" i="2"/>
  <c r="CN113" i="13" s="1"/>
  <c r="CM33" i="13"/>
  <c r="CM39" i="13"/>
  <c r="CN51" i="13"/>
  <c r="DM495" i="2"/>
  <c r="CM43" i="13"/>
  <c r="CN44" i="13"/>
  <c r="DM428" i="2"/>
  <c r="DH85" i="3"/>
  <c r="DH84" i="3" s="1"/>
  <c r="DH146" i="18" s="1"/>
  <c r="BY8" i="12"/>
  <c r="BY22" i="12" s="1"/>
  <c r="DN22" i="12" s="1"/>
  <c r="EA22" i="12" s="1"/>
  <c r="CW11" i="7"/>
  <c r="DF9" i="15" s="1"/>
  <c r="DF12" i="18" s="1"/>
  <c r="EU12" i="18" s="1"/>
  <c r="FH12" i="18" s="1"/>
  <c r="CX12" i="7"/>
  <c r="DF158" i="2"/>
  <c r="DF176" i="2"/>
  <c r="CV32" i="7"/>
  <c r="CV44" i="7"/>
  <c r="BX40" i="12" s="1"/>
  <c r="BX38" i="12" s="1"/>
  <c r="CV43" i="7"/>
  <c r="CV42" i="7" s="1"/>
  <c r="DD204" i="2"/>
  <c r="DC241" i="2"/>
  <c r="DC240" i="2"/>
  <c r="DC238" i="2"/>
  <c r="DE175" i="2"/>
  <c r="CW23" i="7"/>
  <c r="CW22" i="7" s="1"/>
  <c r="DE177" i="2"/>
  <c r="CW24" i="7" s="1"/>
  <c r="EL24" i="7" s="1"/>
  <c r="EY24" i="7" s="1"/>
  <c r="DE179" i="2"/>
  <c r="CW26" i="7" s="1"/>
  <c r="DF30" i="18" s="1"/>
  <c r="EU30" i="18" s="1"/>
  <c r="FH30" i="18" s="1"/>
  <c r="DE180" i="2"/>
  <c r="CW27" i="7" s="1"/>
  <c r="DF31" i="18" s="1"/>
  <c r="EU31" i="18" s="1"/>
  <c r="FH31" i="18" s="1"/>
  <c r="DE178" i="2"/>
  <c r="CW25" i="7" s="1"/>
  <c r="DF29" i="18" s="1"/>
  <c r="EU29" i="18" s="1"/>
  <c r="DE206" i="2"/>
  <c r="DE205" i="2" s="1"/>
  <c r="DI117" i="2"/>
  <c r="DH103" i="2"/>
  <c r="DI86" i="3" s="1"/>
  <c r="DI119" i="2"/>
  <c r="DH107" i="2"/>
  <c r="DI92" i="3" s="1"/>
  <c r="DI118" i="2"/>
  <c r="DH105" i="2"/>
  <c r="DI90" i="3" s="1"/>
  <c r="CU98" i="2"/>
  <c r="CV98" i="2" s="1"/>
  <c r="CW98" i="2" s="1"/>
  <c r="CX98" i="2" s="1"/>
  <c r="CY98" i="2" s="1"/>
  <c r="CZ98" i="2" s="1"/>
  <c r="DA98" i="2" s="1"/>
  <c r="DB98" i="2" s="1"/>
  <c r="DC98" i="2" s="1"/>
  <c r="DD98" i="2" s="1"/>
  <c r="DE98" i="2" s="1"/>
  <c r="DF98" i="2" s="1"/>
  <c r="DG98" i="2" s="1"/>
  <c r="DH98" i="2" s="1"/>
  <c r="DI98" i="2" s="1"/>
  <c r="DJ98" i="2" s="1"/>
  <c r="DK98" i="2" s="1"/>
  <c r="DL98" i="2" s="1"/>
  <c r="DM98" i="2" s="1"/>
  <c r="DN98" i="2" s="1"/>
  <c r="DO98" i="2" s="1"/>
  <c r="DP98" i="2" s="1"/>
  <c r="DQ98" i="2" s="1"/>
  <c r="DR98" i="2" s="1"/>
  <c r="CL66" i="13"/>
  <c r="DW66" i="13" s="1"/>
  <c r="DL453" i="2"/>
  <c r="DK469" i="2"/>
  <c r="DK507" i="2" s="1"/>
  <c r="DK491" i="2" s="1"/>
  <c r="CL105" i="13" s="1"/>
  <c r="DW105" i="13" s="1"/>
  <c r="CL60" i="13"/>
  <c r="DK465" i="2"/>
  <c r="DK451" i="2"/>
  <c r="DL452" i="2"/>
  <c r="CL65" i="13"/>
  <c r="DK468" i="2"/>
  <c r="DK506" i="2" s="1"/>
  <c r="DL454" i="2"/>
  <c r="CL67" i="13"/>
  <c r="DK470" i="2"/>
  <c r="DK508" i="2" s="1"/>
  <c r="DK492" i="2" s="1"/>
  <c r="CL106" i="13" s="1"/>
  <c r="DW106" i="13" s="1"/>
  <c r="CL58" i="13"/>
  <c r="DK463" i="2"/>
  <c r="CN30" i="13"/>
  <c r="CG15" i="12"/>
  <c r="CL57" i="13"/>
  <c r="DW57" i="13" s="1"/>
  <c r="DK462" i="2"/>
  <c r="CL59" i="13"/>
  <c r="DK464" i="2"/>
  <c r="DN418" i="2"/>
  <c r="DN424" i="2"/>
  <c r="DN419" i="2"/>
  <c r="DN425" i="2"/>
  <c r="DN377" i="2"/>
  <c r="DN380" i="2" s="1"/>
  <c r="DN395" i="2"/>
  <c r="DN396" i="2"/>
  <c r="DM399" i="2"/>
  <c r="CN22" i="13"/>
  <c r="CN25" i="13"/>
  <c r="CN29" i="13"/>
  <c r="CO98" i="13"/>
  <c r="DX98" i="13" s="1"/>
  <c r="CP95" i="13"/>
  <c r="CO6" i="13"/>
  <c r="CO5" i="13"/>
  <c r="DO482" i="2"/>
  <c r="DO394" i="2" s="1"/>
  <c r="DO377" i="2" s="1"/>
  <c r="DI318" i="2"/>
  <c r="CZ156" i="7"/>
  <c r="CS69" i="2"/>
  <c r="CS74" i="2"/>
  <c r="CS18" i="2"/>
  <c r="DT95" i="2" l="1"/>
  <c r="FC48" i="14"/>
  <c r="FC31" i="14"/>
  <c r="FJ9" i="14"/>
  <c r="FC14" i="14"/>
  <c r="FC11" i="14"/>
  <c r="FJ11" i="14" s="1"/>
  <c r="FC18" i="14"/>
  <c r="FJ18" i="14" s="1"/>
  <c r="FC20" i="14"/>
  <c r="FC23" i="14"/>
  <c r="FC3" i="14"/>
  <c r="FJ3" i="14" s="1"/>
  <c r="FJ14" i="14"/>
  <c r="FJ40" i="14"/>
  <c r="FJ48" i="14"/>
  <c r="FJ31" i="14"/>
  <c r="FJ37" i="14"/>
  <c r="FB50" i="14"/>
  <c r="FC21" i="14"/>
  <c r="FJ20" i="14"/>
  <c r="FJ21" i="14" s="1"/>
  <c r="FC24" i="14"/>
  <c r="FJ23" i="14"/>
  <c r="FJ24" i="14" s="1"/>
  <c r="ET82" i="15"/>
  <c r="DM105" i="11"/>
  <c r="CK114" i="13"/>
  <c r="DJ177" i="18"/>
  <c r="DK120" i="15"/>
  <c r="CD137" i="11"/>
  <c r="CD108" i="12"/>
  <c r="DM73" i="12"/>
  <c r="DC262" i="2"/>
  <c r="DD272" i="2"/>
  <c r="DD274" i="2"/>
  <c r="DG285" i="2"/>
  <c r="DM458" i="2"/>
  <c r="DM457" i="2"/>
  <c r="FH29" i="18"/>
  <c r="EL23" i="7"/>
  <c r="EY23" i="7" s="1"/>
  <c r="EY32" i="7" s="1"/>
  <c r="EC74" i="18"/>
  <c r="FC66" i="18"/>
  <c r="ED74" i="18"/>
  <c r="ED21" i="14"/>
  <c r="ED104" i="18"/>
  <c r="ED113" i="18"/>
  <c r="ED139" i="18" s="1"/>
  <c r="ED33" i="14"/>
  <c r="ED24" i="14"/>
  <c r="ED37" i="18"/>
  <c r="ED6" i="18"/>
  <c r="EC6" i="18"/>
  <c r="EC37" i="18"/>
  <c r="EB43" i="14"/>
  <c r="EB50" i="14"/>
  <c r="EC113" i="18"/>
  <c r="EC33" i="14"/>
  <c r="FC33" i="14" s="1"/>
  <c r="EC24" i="14"/>
  <c r="EC21" i="14"/>
  <c r="EC104" i="18"/>
  <c r="CJ144" i="13"/>
  <c r="CJ156" i="13" s="1"/>
  <c r="DJ162" i="18"/>
  <c r="CC88" i="12"/>
  <c r="DJ99" i="15"/>
  <c r="CU76" i="2"/>
  <c r="DU95" i="2"/>
  <c r="DS98" i="2"/>
  <c r="DT98" i="2" s="1"/>
  <c r="DU98" i="2" s="1"/>
  <c r="DV98" i="2" s="1"/>
  <c r="DW98" i="2" s="1"/>
  <c r="DX98" i="2" s="1"/>
  <c r="DY98" i="2" s="1"/>
  <c r="DZ98" i="2" s="1"/>
  <c r="EA98" i="2" s="1"/>
  <c r="EB98" i="2" s="1"/>
  <c r="EC98" i="2" s="1"/>
  <c r="DB207" i="18"/>
  <c r="DB202" i="18"/>
  <c r="DI785" i="2"/>
  <c r="DB203" i="18"/>
  <c r="DB201" i="18"/>
  <c r="DC200" i="18"/>
  <c r="DC753" i="2"/>
  <c r="DB208" i="18"/>
  <c r="DB205" i="18"/>
  <c r="DB204" i="18"/>
  <c r="DB206" i="18"/>
  <c r="CC128" i="11"/>
  <c r="CC99" i="12"/>
  <c r="CD55" i="11"/>
  <c r="CK155" i="13"/>
  <c r="CD88" i="12" s="1"/>
  <c r="CK162" i="13"/>
  <c r="CK165" i="13"/>
  <c r="CD91" i="12"/>
  <c r="EM156" i="7"/>
  <c r="DI137" i="15"/>
  <c r="DE775" i="2"/>
  <c r="CV66" i="7"/>
  <c r="DM51" i="12"/>
  <c r="DD27" i="18"/>
  <c r="DM74" i="11"/>
  <c r="DM49" i="12"/>
  <c r="DM52" i="12"/>
  <c r="CM32" i="13"/>
  <c r="CC95" i="11"/>
  <c r="CN17" i="13"/>
  <c r="CE42" i="11"/>
  <c r="DP42" i="11" s="1"/>
  <c r="DW58" i="13"/>
  <c r="CL81" i="13"/>
  <c r="DW81" i="13" s="1"/>
  <c r="DW65" i="13"/>
  <c r="CN49" i="13"/>
  <c r="CG39" i="12" s="1"/>
  <c r="CC79" i="11"/>
  <c r="CG8" i="11"/>
  <c r="CH5" i="11"/>
  <c r="DX5" i="13"/>
  <c r="CE43" i="11"/>
  <c r="DP43" i="11" s="1"/>
  <c r="DW59" i="13"/>
  <c r="CH6" i="11"/>
  <c r="DX6" i="13"/>
  <c r="CG21" i="12"/>
  <c r="CB132" i="11"/>
  <c r="DO113" i="11"/>
  <c r="CL78" i="13"/>
  <c r="DW78" i="13" s="1"/>
  <c r="DW60" i="13"/>
  <c r="CL83" i="13"/>
  <c r="DW67" i="13"/>
  <c r="DV159" i="13"/>
  <c r="CM38" i="13"/>
  <c r="CF18" i="12"/>
  <c r="CF33" i="11"/>
  <c r="DN8" i="12"/>
  <c r="EA8" i="12" s="1"/>
  <c r="CU66" i="7"/>
  <c r="DM71" i="11"/>
  <c r="DM73" i="11"/>
  <c r="EL27" i="7"/>
  <c r="EY27" i="7" s="1"/>
  <c r="BZ13" i="11"/>
  <c r="BZ11" i="11" s="1"/>
  <c r="EL26" i="7"/>
  <c r="EY26" i="7" s="1"/>
  <c r="EL25" i="7"/>
  <c r="EY25" i="7" s="1"/>
  <c r="EL11" i="7"/>
  <c r="EY11" i="7" s="1"/>
  <c r="DM60" i="11"/>
  <c r="ET43" i="15"/>
  <c r="BW36" i="11"/>
  <c r="BW60" i="11" s="1"/>
  <c r="DE27" i="15"/>
  <c r="DE47" i="15" s="1"/>
  <c r="DE45" i="15" s="1"/>
  <c r="DE80" i="18" s="1"/>
  <c r="CC86" i="11"/>
  <c r="EW90" i="3"/>
  <c r="DI155" i="18"/>
  <c r="EV155" i="18" s="1"/>
  <c r="BX38" i="11"/>
  <c r="BX36" i="11" s="1"/>
  <c r="EU9" i="15"/>
  <c r="FH9" i="15" s="1"/>
  <c r="CD77" i="11"/>
  <c r="CD64" i="11"/>
  <c r="CD95" i="11" s="1"/>
  <c r="DK87" i="18"/>
  <c r="DE43" i="18"/>
  <c r="EW92" i="3"/>
  <c r="DI156" i="18"/>
  <c r="EV156" i="18" s="1"/>
  <c r="CZ158" i="7"/>
  <c r="EM158" i="7" s="1"/>
  <c r="CE70" i="11"/>
  <c r="DP70" i="11" s="1"/>
  <c r="CE65" i="11"/>
  <c r="CE69" i="11"/>
  <c r="DP69" i="11" s="1"/>
  <c r="DD45" i="15"/>
  <c r="EW86" i="3"/>
  <c r="DI154" i="18"/>
  <c r="EV154" i="18" s="1"/>
  <c r="DF28" i="18"/>
  <c r="CZ157" i="7"/>
  <c r="EM157" i="7" s="1"/>
  <c r="DN19" i="15"/>
  <c r="CG24" i="11"/>
  <c r="DF18" i="15"/>
  <c r="DF27" i="15" s="1"/>
  <c r="DF47" i="15" s="1"/>
  <c r="DF45" i="15" s="1"/>
  <c r="BY25" i="11"/>
  <c r="BY23" i="11" s="1"/>
  <c r="DN23" i="11" s="1"/>
  <c r="EA23" i="11" s="1"/>
  <c r="DM24" i="15"/>
  <c r="CB153" i="11"/>
  <c r="DO153" i="11" s="1"/>
  <c r="CB124" i="12"/>
  <c r="DO124" i="12" s="1"/>
  <c r="CC64" i="12"/>
  <c r="CK123" i="13"/>
  <c r="CE25" i="12"/>
  <c r="DP25" i="12" s="1"/>
  <c r="DJ543" i="2"/>
  <c r="DJ549" i="2" s="1"/>
  <c r="CD58" i="12"/>
  <c r="DK68" i="15" s="1"/>
  <c r="CK133" i="13"/>
  <c r="DJ488" i="2"/>
  <c r="CK102" i="13" s="1"/>
  <c r="CD79" i="11" s="1"/>
  <c r="DJ93" i="15"/>
  <c r="DL33" i="15"/>
  <c r="DL448" i="2"/>
  <c r="DL465" i="2" s="1"/>
  <c r="DL446" i="2"/>
  <c r="CM58" i="13" s="1"/>
  <c r="DL445" i="2"/>
  <c r="CM57" i="13" s="1"/>
  <c r="CI159" i="13"/>
  <c r="CI167" i="13"/>
  <c r="DV167" i="13" s="1"/>
  <c r="CK124" i="13"/>
  <c r="CK130" i="13"/>
  <c r="CJ127" i="13"/>
  <c r="CJ121" i="13"/>
  <c r="CM54" i="13"/>
  <c r="CN109" i="13"/>
  <c r="DM493" i="2"/>
  <c r="CN107" i="13" s="1"/>
  <c r="DK505" i="2"/>
  <c r="DK490" i="2"/>
  <c r="DN408" i="2"/>
  <c r="DN435" i="2" s="1"/>
  <c r="DN494" i="2" s="1"/>
  <c r="DL456" i="2"/>
  <c r="CM70" i="13"/>
  <c r="DL473" i="2"/>
  <c r="DL511" i="2" s="1"/>
  <c r="DN409" i="2"/>
  <c r="DN436" i="2" s="1"/>
  <c r="CM71" i="13"/>
  <c r="DL474" i="2"/>
  <c r="DL512" i="2" s="1"/>
  <c r="CN43" i="13"/>
  <c r="CW32" i="7"/>
  <c r="CW44" i="7"/>
  <c r="DF179" i="2"/>
  <c r="CX26" i="7" s="1"/>
  <c r="DF175" i="2"/>
  <c r="DF206" i="2"/>
  <c r="DF205" i="2" s="1"/>
  <c r="DF180" i="2"/>
  <c r="CX27" i="7" s="1"/>
  <c r="DG31" i="18" s="1"/>
  <c r="DF177" i="2"/>
  <c r="CX24" i="7" s="1"/>
  <c r="DF178" i="2"/>
  <c r="CX25" i="7" s="1"/>
  <c r="CX23" i="7"/>
  <c r="CX22" i="7" s="1"/>
  <c r="BZ8" i="12"/>
  <c r="CX11" i="7"/>
  <c r="CY12" i="7"/>
  <c r="CA13" i="11" s="1"/>
  <c r="CA11" i="11" s="1"/>
  <c r="DG158" i="2"/>
  <c r="DG176" i="2"/>
  <c r="DC228" i="2"/>
  <c r="CU72" i="7" s="1"/>
  <c r="CU83" i="7"/>
  <c r="CW43" i="7"/>
  <c r="CW42" i="7" s="1"/>
  <c r="CW66" i="7" s="1"/>
  <c r="DE204" i="2"/>
  <c r="DC230" i="2"/>
  <c r="CU75" i="7" s="1"/>
  <c r="DD59" i="15" s="1"/>
  <c r="CU85" i="7"/>
  <c r="DC231" i="2"/>
  <c r="CU76" i="7" s="1"/>
  <c r="DD60" i="15" s="1"/>
  <c r="CU86" i="7"/>
  <c r="DD238" i="2"/>
  <c r="DD241" i="2"/>
  <c r="DD240" i="2"/>
  <c r="DD262" i="2"/>
  <c r="DJ118" i="2"/>
  <c r="DI105" i="2"/>
  <c r="DJ90" i="3" s="1"/>
  <c r="DJ155" i="18" s="1"/>
  <c r="DJ119" i="2"/>
  <c r="DI107" i="2"/>
  <c r="DJ92" i="3" s="1"/>
  <c r="DJ156" i="18" s="1"/>
  <c r="DI85" i="3"/>
  <c r="DI84" i="3" s="1"/>
  <c r="DI146" i="18" s="1"/>
  <c r="EV146" i="18" s="1"/>
  <c r="DJ117" i="2"/>
  <c r="DI103" i="2"/>
  <c r="DJ86" i="3" s="1"/>
  <c r="DJ154" i="18" s="1"/>
  <c r="DK461" i="2"/>
  <c r="CS19" i="2"/>
  <c r="CO35" i="13"/>
  <c r="DX35" i="13" s="1"/>
  <c r="CO40" i="13"/>
  <c r="DX40" i="13" s="1"/>
  <c r="CM67" i="13"/>
  <c r="DL470" i="2"/>
  <c r="DL508" i="2" s="1"/>
  <c r="DL492" i="2" s="1"/>
  <c r="CM106" i="13" s="1"/>
  <c r="CO34" i="13"/>
  <c r="DX34" i="13" s="1"/>
  <c r="CM59" i="13"/>
  <c r="DL464" i="2"/>
  <c r="CL56" i="13"/>
  <c r="DW56" i="13" s="1"/>
  <c r="CL75" i="13"/>
  <c r="CM66" i="13"/>
  <c r="DL469" i="2"/>
  <c r="DL507" i="2" s="1"/>
  <c r="CL64" i="13"/>
  <c r="DW64" i="13" s="1"/>
  <c r="CL82" i="13"/>
  <c r="DW82" i="13" s="1"/>
  <c r="CO41" i="13"/>
  <c r="DX41" i="13" s="1"/>
  <c r="DL451" i="2"/>
  <c r="CM65" i="13"/>
  <c r="DL468" i="2"/>
  <c r="DL506" i="2" s="1"/>
  <c r="DN391" i="2"/>
  <c r="CO10" i="13" s="1"/>
  <c r="DX10" i="13" s="1"/>
  <c r="CO14" i="13"/>
  <c r="DX14" i="13" s="1"/>
  <c r="DO395" i="2"/>
  <c r="DM398" i="2"/>
  <c r="CN18" i="13"/>
  <c r="DM417" i="2"/>
  <c r="DM439" i="2" s="1"/>
  <c r="DM423" i="2"/>
  <c r="DM422" i="2" s="1"/>
  <c r="CP4" i="13"/>
  <c r="DN392" i="2"/>
  <c r="CO15" i="13"/>
  <c r="DX15" i="13" s="1"/>
  <c r="DO396" i="2"/>
  <c r="CO4" i="13"/>
  <c r="DX4" i="13" s="1"/>
  <c r="DN426" i="2"/>
  <c r="DO378" i="2"/>
  <c r="DO379" i="2"/>
  <c r="DO401" i="2" s="1"/>
  <c r="CP20" i="13" s="1"/>
  <c r="CP99" i="13"/>
  <c r="DP479" i="2"/>
  <c r="DP483" i="2" s="1"/>
  <c r="DJ318" i="2"/>
  <c r="DA156" i="7"/>
  <c r="DJ137" i="15" s="1"/>
  <c r="FB51" i="14" l="1"/>
  <c r="EB51" i="14"/>
  <c r="FC34" i="14"/>
  <c r="FJ34" i="14" s="1"/>
  <c r="FJ33" i="14"/>
  <c r="CK129" i="13"/>
  <c r="CD45" i="12"/>
  <c r="CD64" i="12" s="1"/>
  <c r="DK54" i="15"/>
  <c r="DK74" i="15" s="1"/>
  <c r="DJ175" i="18"/>
  <c r="DK117" i="15"/>
  <c r="CD136" i="11"/>
  <c r="CD107" i="12"/>
  <c r="DK570" i="2"/>
  <c r="DK590" i="2"/>
  <c r="CL161" i="13" s="1"/>
  <c r="EU28" i="18"/>
  <c r="FH28" i="18" s="1"/>
  <c r="CU115" i="7"/>
  <c r="CU106" i="7"/>
  <c r="DE272" i="2"/>
  <c r="DE274" i="2"/>
  <c r="DH285" i="2"/>
  <c r="EL32" i="7"/>
  <c r="FC104" i="18"/>
  <c r="FJ104" i="18" s="1"/>
  <c r="H28" i="24" s="1"/>
  <c r="FC74" i="18"/>
  <c r="FJ66" i="18"/>
  <c r="EC139" i="18"/>
  <c r="FC139" i="18" s="1"/>
  <c r="FJ139" i="18" s="1"/>
  <c r="H46" i="24" s="1"/>
  <c r="FC113" i="18"/>
  <c r="FJ113" i="18" s="1"/>
  <c r="H37" i="24" s="1"/>
  <c r="FC37" i="18"/>
  <c r="FJ37" i="18" s="1"/>
  <c r="H8" i="24" s="1"/>
  <c r="FC6" i="18"/>
  <c r="FJ6" i="18" s="1"/>
  <c r="EC169" i="18"/>
  <c r="EC42" i="14"/>
  <c r="EC34" i="14"/>
  <c r="ED169" i="18"/>
  <c r="ED42" i="14"/>
  <c r="ED34" i="14"/>
  <c r="DO380" i="2"/>
  <c r="DJ114" i="15"/>
  <c r="DJ132" i="15" s="1"/>
  <c r="CC118" i="11"/>
  <c r="CK144" i="13"/>
  <c r="CD118" i="11" s="1"/>
  <c r="DK108" i="15"/>
  <c r="CV76" i="2"/>
  <c r="DK162" i="18"/>
  <c r="DK99" i="15"/>
  <c r="DV95" i="2"/>
  <c r="DJ785" i="2"/>
  <c r="DC207" i="18"/>
  <c r="DC201" i="18"/>
  <c r="DC203" i="18"/>
  <c r="DC202" i="18"/>
  <c r="ET200" i="18"/>
  <c r="DD200" i="18"/>
  <c r="DD753" i="2"/>
  <c r="DC208" i="18"/>
  <c r="ET208" i="18" s="1"/>
  <c r="DC205" i="18"/>
  <c r="ET205" i="18" s="1"/>
  <c r="DC204" i="18"/>
  <c r="ET204" i="18" s="1"/>
  <c r="DC206" i="18"/>
  <c r="ET206" i="18" s="1"/>
  <c r="CD99" i="12"/>
  <c r="CD128" i="11"/>
  <c r="DD32" i="18"/>
  <c r="DD43" i="18"/>
  <c r="EV137" i="15"/>
  <c r="EL44" i="7"/>
  <c r="EY44" i="7" s="1"/>
  <c r="BY40" i="12"/>
  <c r="DW75" i="13"/>
  <c r="DF775" i="2"/>
  <c r="CG37" i="11"/>
  <c r="BX60" i="11"/>
  <c r="CD86" i="11"/>
  <c r="CB147" i="11"/>
  <c r="DO147" i="11" s="1"/>
  <c r="DO132" i="11"/>
  <c r="CH30" i="11"/>
  <c r="DQ30" i="11" s="1"/>
  <c r="DQ5" i="11"/>
  <c r="CI18" i="11"/>
  <c r="CC82" i="12"/>
  <c r="DW62" i="13"/>
  <c r="CM83" i="13"/>
  <c r="CC98" i="11"/>
  <c r="DV168" i="13"/>
  <c r="CH31" i="11"/>
  <c r="DQ31" i="11" s="1"/>
  <c r="DQ6" i="11"/>
  <c r="BZ22" i="12"/>
  <c r="CG20" i="11"/>
  <c r="CM87" i="13"/>
  <c r="CM81" i="13"/>
  <c r="CF43" i="11"/>
  <c r="DP65" i="11"/>
  <c r="CF42" i="11"/>
  <c r="CL77" i="13"/>
  <c r="DW83" i="13"/>
  <c r="EL42" i="7"/>
  <c r="EL43" i="7"/>
  <c r="EY43" i="7" s="1"/>
  <c r="DG9" i="15"/>
  <c r="DG12" i="18" s="1"/>
  <c r="DG29" i="18"/>
  <c r="DG30" i="18"/>
  <c r="BZ25" i="11"/>
  <c r="BZ23" i="11" s="1"/>
  <c r="EL22" i="7"/>
  <c r="EY22" i="7" s="1"/>
  <c r="DN25" i="11"/>
  <c r="EA25" i="11" s="1"/>
  <c r="EW85" i="3"/>
  <c r="EW84" i="3" s="1"/>
  <c r="DI153" i="18"/>
  <c r="EV153" i="18" s="1"/>
  <c r="EU27" i="15"/>
  <c r="FH27" i="15" s="1"/>
  <c r="DN15" i="15"/>
  <c r="CF65" i="11"/>
  <c r="CF70" i="11"/>
  <c r="BW51" i="12"/>
  <c r="BW73" i="11"/>
  <c r="BY38" i="11"/>
  <c r="DF43" i="15"/>
  <c r="DF80" i="18"/>
  <c r="CD70" i="12"/>
  <c r="CD102" i="11"/>
  <c r="BW52" i="12"/>
  <c r="BW74" i="11"/>
  <c r="DJ153" i="18"/>
  <c r="CV106" i="7"/>
  <c r="DE82" i="15" s="1"/>
  <c r="CV115" i="7"/>
  <c r="DG28" i="18"/>
  <c r="CL80" i="13"/>
  <c r="DW80" i="13" s="1"/>
  <c r="CL76" i="13"/>
  <c r="CL62" i="13"/>
  <c r="CE45" i="11"/>
  <c r="DP45" i="11" s="1"/>
  <c r="DN28" i="15"/>
  <c r="EU47" i="15"/>
  <c r="FH47" i="15" s="1"/>
  <c r="DD43" i="15"/>
  <c r="EU45" i="15"/>
  <c r="DD80" i="18"/>
  <c r="DA158" i="7"/>
  <c r="BW49" i="12"/>
  <c r="BW71" i="11"/>
  <c r="DL39" i="15"/>
  <c r="EW39" i="15" s="1"/>
  <c r="EW33" i="15"/>
  <c r="DF27" i="18"/>
  <c r="EU27" i="18" s="1"/>
  <c r="FH27" i="18" s="1"/>
  <c r="EU18" i="15"/>
  <c r="FH18" i="15" s="1"/>
  <c r="DE43" i="15"/>
  <c r="CC153" i="11"/>
  <c r="CC124" i="12"/>
  <c r="DA157" i="7"/>
  <c r="CJ122" i="13"/>
  <c r="CC89" i="11"/>
  <c r="CK139" i="13"/>
  <c r="DK80" i="15"/>
  <c r="DL463" i="2"/>
  <c r="DL462" i="2"/>
  <c r="CM60" i="13"/>
  <c r="DJ502" i="2"/>
  <c r="CX32" i="7"/>
  <c r="CJ128" i="13"/>
  <c r="CJ141" i="13"/>
  <c r="CI168" i="13"/>
  <c r="CK127" i="13"/>
  <c r="CD98" i="11" s="1"/>
  <c r="CK121" i="13"/>
  <c r="DK547" i="2"/>
  <c r="CL137" i="13" s="1"/>
  <c r="DK548" i="2"/>
  <c r="CL138" i="13" s="1"/>
  <c r="DK496" i="2"/>
  <c r="CL110" i="13" s="1"/>
  <c r="DK501" i="2"/>
  <c r="DK499" i="2"/>
  <c r="DK500" i="2"/>
  <c r="CO51" i="13"/>
  <c r="DX51" i="13" s="1"/>
  <c r="DN495" i="2"/>
  <c r="CO109" i="13" s="1"/>
  <c r="DX109" i="13" s="1"/>
  <c r="CO108" i="13"/>
  <c r="DX108" i="13" s="1"/>
  <c r="DL510" i="2"/>
  <c r="DL491" i="2"/>
  <c r="CM105" i="13" s="1"/>
  <c r="DL505" i="2"/>
  <c r="DL490" i="2"/>
  <c r="CL104" i="13"/>
  <c r="DK489" i="2"/>
  <c r="CN71" i="13"/>
  <c r="CN87" i="13" s="1"/>
  <c r="DM474" i="2"/>
  <c r="DM512" i="2" s="1"/>
  <c r="DO409" i="2"/>
  <c r="DO436" i="2" s="1"/>
  <c r="DM456" i="2"/>
  <c r="CN70" i="13"/>
  <c r="DM473" i="2"/>
  <c r="DM511" i="2" s="1"/>
  <c r="CM69" i="13"/>
  <c r="CM86" i="13"/>
  <c r="DO408" i="2"/>
  <c r="DO435" i="2" s="1"/>
  <c r="DO494" i="2" s="1"/>
  <c r="DN434" i="2"/>
  <c r="CO50" i="13"/>
  <c r="DX50" i="13" s="1"/>
  <c r="CO11" i="13"/>
  <c r="DX11" i="13" s="1"/>
  <c r="DN376" i="2"/>
  <c r="DN420" i="2"/>
  <c r="CX44" i="7"/>
  <c r="BZ40" i="12" s="1"/>
  <c r="CV85" i="7"/>
  <c r="DD230" i="2"/>
  <c r="CV75" i="7" s="1"/>
  <c r="DE59" i="15" s="1"/>
  <c r="DD231" i="2"/>
  <c r="CV76" i="7" s="1"/>
  <c r="DE60" i="15" s="1"/>
  <c r="CV86" i="7"/>
  <c r="DD228" i="2"/>
  <c r="CV72" i="7" s="1"/>
  <c r="CV83" i="7"/>
  <c r="DG175" i="2"/>
  <c r="DG178" i="2"/>
  <c r="CY25" i="7" s="1"/>
  <c r="DH29" i="18" s="1"/>
  <c r="CY23" i="7"/>
  <c r="CY22" i="7" s="1"/>
  <c r="DG177" i="2"/>
  <c r="CY24" i="7" s="1"/>
  <c r="DG180" i="2"/>
  <c r="CY27" i="7" s="1"/>
  <c r="DH31" i="18" s="1"/>
  <c r="DG179" i="2"/>
  <c r="CY26" i="7" s="1"/>
  <c r="DH30" i="18" s="1"/>
  <c r="DG206" i="2"/>
  <c r="DG205" i="2" s="1"/>
  <c r="CX43" i="7"/>
  <c r="DF204" i="2"/>
  <c r="CA8" i="12"/>
  <c r="CA22" i="12" s="1"/>
  <c r="CY11" i="7"/>
  <c r="DH9" i="15" s="1"/>
  <c r="DH12" i="18" s="1"/>
  <c r="CZ12" i="7"/>
  <c r="CB13" i="11" s="1"/>
  <c r="CB11" i="11" s="1"/>
  <c r="DO11" i="11" s="1"/>
  <c r="DH176" i="2"/>
  <c r="DH206" i="2" s="1"/>
  <c r="DH205" i="2" s="1"/>
  <c r="DH158" i="2"/>
  <c r="DE262" i="2"/>
  <c r="DE238" i="2"/>
  <c r="DE241" i="2"/>
  <c r="DE240" i="2"/>
  <c r="DJ85" i="3"/>
  <c r="DJ84" i="3" s="1"/>
  <c r="DJ146" i="18" s="1"/>
  <c r="DK117" i="2"/>
  <c r="DJ103" i="2"/>
  <c r="DK86" i="3" s="1"/>
  <c r="DK154" i="18" s="1"/>
  <c r="DK119" i="2"/>
  <c r="DJ107" i="2"/>
  <c r="DK92" i="3" s="1"/>
  <c r="DK156" i="18" s="1"/>
  <c r="DK118" i="2"/>
  <c r="DJ105" i="2"/>
  <c r="DK90" i="3" s="1"/>
  <c r="DK155" i="18" s="1"/>
  <c r="CM64" i="13"/>
  <c r="CM82" i="13"/>
  <c r="CE31" i="12"/>
  <c r="DP31" i="12" s="1"/>
  <c r="CG11" i="12"/>
  <c r="CM75" i="13"/>
  <c r="CO13" i="13"/>
  <c r="CN33" i="13"/>
  <c r="DM416" i="2"/>
  <c r="DM444" i="2" s="1"/>
  <c r="CO26" i="13"/>
  <c r="DN407" i="2"/>
  <c r="DN404" i="2"/>
  <c r="DO392" i="2"/>
  <c r="CP15" i="13"/>
  <c r="CO27" i="13"/>
  <c r="DX27" i="13" s="1"/>
  <c r="DN405" i="2"/>
  <c r="DN429" i="2" s="1"/>
  <c r="DO424" i="2"/>
  <c r="DO418" i="2"/>
  <c r="CN39" i="13"/>
  <c r="CO7" i="13"/>
  <c r="DO426" i="2"/>
  <c r="DO391" i="2"/>
  <c r="CP10" i="13" s="1"/>
  <c r="CP14" i="13"/>
  <c r="DO425" i="2"/>
  <c r="DO419" i="2"/>
  <c r="DP482" i="2"/>
  <c r="DP394" i="2" s="1"/>
  <c r="DP377" i="2" s="1"/>
  <c r="CP5" i="13"/>
  <c r="CP98" i="13"/>
  <c r="CQ95" i="13"/>
  <c r="CP6" i="13"/>
  <c r="DK318" i="2"/>
  <c r="DB156" i="7"/>
  <c r="DK137" i="15" s="1"/>
  <c r="FC42" i="14" l="1"/>
  <c r="FJ42" i="14" s="1"/>
  <c r="DK93" i="15"/>
  <c r="DJ190" i="18"/>
  <c r="DK177" i="18"/>
  <c r="DW161" i="13"/>
  <c r="CE108" i="12"/>
  <c r="DL120" i="15"/>
  <c r="CE137" i="11"/>
  <c r="BW73" i="12"/>
  <c r="DD82" i="15"/>
  <c r="BW105" i="11"/>
  <c r="DF272" i="2"/>
  <c r="DF274" i="2"/>
  <c r="DI285" i="2"/>
  <c r="DN48" i="15"/>
  <c r="FJ74" i="18"/>
  <c r="H15" i="24"/>
  <c r="FC169" i="18"/>
  <c r="FJ169" i="18" s="1"/>
  <c r="H54" i="24" s="1"/>
  <c r="ED50" i="14"/>
  <c r="ED51" i="14" s="1"/>
  <c r="ED43" i="14"/>
  <c r="EC50" i="14"/>
  <c r="EC43" i="14"/>
  <c r="DW110" i="13"/>
  <c r="DW104" i="13"/>
  <c r="CK156" i="13"/>
  <c r="CW76" i="2"/>
  <c r="DW95" i="2"/>
  <c r="DK785" i="2"/>
  <c r="ET207" i="18"/>
  <c r="DD207" i="18"/>
  <c r="ET201" i="18"/>
  <c r="DD201" i="18"/>
  <c r="ET203" i="18"/>
  <c r="DD203" i="18"/>
  <c r="ET202" i="18"/>
  <c r="DD202" i="18"/>
  <c r="DD206" i="18"/>
  <c r="DD204" i="18"/>
  <c r="DD205" i="18"/>
  <c r="DD208" i="18"/>
  <c r="DE753" i="2"/>
  <c r="DE200" i="18"/>
  <c r="DL67" i="18"/>
  <c r="CE94" i="12"/>
  <c r="DP94" i="12" s="1"/>
  <c r="CE97" i="12"/>
  <c r="DP97" i="12" s="1"/>
  <c r="CE95" i="12"/>
  <c r="DP95" i="12" s="1"/>
  <c r="BY38" i="12"/>
  <c r="DN38" i="12" s="1"/>
  <c r="EA38" i="12" s="1"/>
  <c r="DN40" i="12"/>
  <c r="EA40" i="12" s="1"/>
  <c r="DW137" i="13"/>
  <c r="DW138" i="13"/>
  <c r="DG775" i="2"/>
  <c r="EU80" i="18"/>
  <c r="FH80" i="18" s="1"/>
  <c r="F22" i="24" s="1"/>
  <c r="CM78" i="13"/>
  <c r="DX30" i="13"/>
  <c r="CH12" i="11"/>
  <c r="DQ12" i="11" s="1"/>
  <c r="DX13" i="13"/>
  <c r="CE53" i="11"/>
  <c r="DW77" i="13"/>
  <c r="CL131" i="13"/>
  <c r="CL125" i="13"/>
  <c r="CO3" i="13"/>
  <c r="DX7" i="13"/>
  <c r="CI6" i="11"/>
  <c r="CM80" i="13"/>
  <c r="CM77" i="13"/>
  <c r="CG33" i="11"/>
  <c r="CD82" i="12"/>
  <c r="CD103" i="12" s="1"/>
  <c r="CD118" i="12" s="1"/>
  <c r="CE52" i="11"/>
  <c r="DP52" i="11" s="1"/>
  <c r="DW76" i="13"/>
  <c r="CM85" i="13"/>
  <c r="CH14" i="12"/>
  <c r="DQ14" i="12" s="1"/>
  <c r="DX26" i="13"/>
  <c r="CD113" i="11"/>
  <c r="CD132" i="11" s="1"/>
  <c r="CD147" i="11" s="1"/>
  <c r="CC103" i="12"/>
  <c r="CI5" i="11"/>
  <c r="BZ38" i="12"/>
  <c r="CC113" i="11"/>
  <c r="CX42" i="7"/>
  <c r="EL66" i="7"/>
  <c r="EY42" i="7"/>
  <c r="EY66" i="7" s="1"/>
  <c r="EM12" i="7"/>
  <c r="DG18" i="15"/>
  <c r="DG27" i="18" s="1"/>
  <c r="BY36" i="11"/>
  <c r="DN38" i="11"/>
  <c r="EA38" i="11" s="1"/>
  <c r="DO13" i="11"/>
  <c r="EU43" i="15"/>
  <c r="FH45" i="15"/>
  <c r="FH43" i="15" s="1"/>
  <c r="DL461" i="2"/>
  <c r="DK153" i="18"/>
  <c r="CF69" i="11"/>
  <c r="DH28" i="18"/>
  <c r="CD153" i="11"/>
  <c r="CD124" i="12"/>
  <c r="CW106" i="7"/>
  <c r="DF82" i="15" s="1"/>
  <c r="CW115" i="7"/>
  <c r="EL115" i="7" s="1"/>
  <c r="EY115" i="7" s="1"/>
  <c r="CM76" i="13"/>
  <c r="DF32" i="18"/>
  <c r="DF43" i="18"/>
  <c r="EU43" i="18" s="1"/>
  <c r="FH43" i="18" s="1"/>
  <c r="BX49" i="12"/>
  <c r="BX71" i="11"/>
  <c r="DB157" i="7"/>
  <c r="CL74" i="13"/>
  <c r="BZ38" i="11"/>
  <c r="BX52" i="12"/>
  <c r="BX74" i="11"/>
  <c r="DN24" i="15"/>
  <c r="DB158" i="7"/>
  <c r="BX105" i="11"/>
  <c r="BX73" i="12"/>
  <c r="DH18" i="15"/>
  <c r="DH27" i="18" s="1"/>
  <c r="DH32" i="18" s="1"/>
  <c r="CA25" i="11"/>
  <c r="BX51" i="12"/>
  <c r="BX73" i="11"/>
  <c r="CK122" i="13"/>
  <c r="CD89" i="11"/>
  <c r="CM56" i="13"/>
  <c r="CE58" i="12"/>
  <c r="CH4" i="12"/>
  <c r="DQ4" i="12" s="1"/>
  <c r="CF25" i="12"/>
  <c r="DM33" i="15"/>
  <c r="DO6" i="15"/>
  <c r="EX6" i="15" s="1"/>
  <c r="CL103" i="13"/>
  <c r="DW103" i="13" s="1"/>
  <c r="CL133" i="13"/>
  <c r="CK128" i="13"/>
  <c r="CK141" i="13"/>
  <c r="CH7" i="12"/>
  <c r="DO10" i="15"/>
  <c r="EX10" i="15" s="1"/>
  <c r="CJ158" i="13"/>
  <c r="CJ142" i="13"/>
  <c r="CL123" i="13"/>
  <c r="DN493" i="2"/>
  <c r="CO107" i="13" s="1"/>
  <c r="DK543" i="2"/>
  <c r="DK549" i="2" s="1"/>
  <c r="DN544" i="2"/>
  <c r="CO134" i="13" s="1"/>
  <c r="DX134" i="13" s="1"/>
  <c r="DN546" i="2"/>
  <c r="CO136" i="13" s="1"/>
  <c r="DX136" i="13" s="1"/>
  <c r="DN497" i="2"/>
  <c r="CO112" i="13" s="1"/>
  <c r="DN498" i="2"/>
  <c r="CO113" i="13" s="1"/>
  <c r="DK488" i="2"/>
  <c r="CL116" i="13"/>
  <c r="DW116" i="13" s="1"/>
  <c r="CL115" i="13"/>
  <c r="CO49" i="13"/>
  <c r="CL114" i="13"/>
  <c r="CP108" i="13"/>
  <c r="CP51" i="13"/>
  <c r="DO495" i="2"/>
  <c r="CP109" i="13" s="1"/>
  <c r="DM510" i="2"/>
  <c r="CM104" i="13"/>
  <c r="DL489" i="2"/>
  <c r="DO434" i="2"/>
  <c r="CP50" i="13"/>
  <c r="CN69" i="13"/>
  <c r="CN86" i="13"/>
  <c r="CN85" i="13" s="1"/>
  <c r="CO44" i="13"/>
  <c r="DX44" i="13" s="1"/>
  <c r="DN428" i="2"/>
  <c r="CP11" i="13"/>
  <c r="DO376" i="2"/>
  <c r="DO420" i="2"/>
  <c r="DA12" i="7"/>
  <c r="DI158" i="2"/>
  <c r="DI176" i="2"/>
  <c r="DE230" i="2"/>
  <c r="CW75" i="7" s="1"/>
  <c r="DF59" i="15" s="1"/>
  <c r="CW85" i="7"/>
  <c r="EL85" i="7" s="1"/>
  <c r="EY85" i="7" s="1"/>
  <c r="CW86" i="7"/>
  <c r="EL86" i="7" s="1"/>
  <c r="EY86" i="7" s="1"/>
  <c r="DE231" i="2"/>
  <c r="CW76" i="7" s="1"/>
  <c r="DF60" i="15" s="1"/>
  <c r="CW83" i="7"/>
  <c r="EL83" i="7" s="1"/>
  <c r="EY83" i="7" s="1"/>
  <c r="DE228" i="2"/>
  <c r="CW72" i="7" s="1"/>
  <c r="DF241" i="2"/>
  <c r="DF240" i="2"/>
  <c r="DF238" i="2"/>
  <c r="CY43" i="7"/>
  <c r="CY42" i="7" s="1"/>
  <c r="DG204" i="2"/>
  <c r="DH204" i="2"/>
  <c r="CZ43" i="7"/>
  <c r="CZ42" i="7" s="1"/>
  <c r="DH177" i="2"/>
  <c r="CZ24" i="7" s="1"/>
  <c r="EM24" i="7" s="1"/>
  <c r="DH178" i="2"/>
  <c r="CZ25" i="7" s="1"/>
  <c r="DI29" i="18" s="1"/>
  <c r="EV29" i="18" s="1"/>
  <c r="DH175" i="2"/>
  <c r="CZ23" i="7"/>
  <c r="CZ22" i="7" s="1"/>
  <c r="DH179" i="2"/>
  <c r="CZ26" i="7" s="1"/>
  <c r="DI30" i="18" s="1"/>
  <c r="EV30" i="18" s="1"/>
  <c r="DH180" i="2"/>
  <c r="CZ27" i="7" s="1"/>
  <c r="DI31" i="18" s="1"/>
  <c r="EV31" i="18" s="1"/>
  <c r="CZ11" i="7"/>
  <c r="DI9" i="15" s="1"/>
  <c r="DI12" i="18" s="1"/>
  <c r="EV12" i="18" s="1"/>
  <c r="CB8" i="12"/>
  <c r="CB22" i="12" s="1"/>
  <c r="DO22" i="12" s="1"/>
  <c r="CY32" i="7"/>
  <c r="CY44" i="7"/>
  <c r="CA40" i="12" s="1"/>
  <c r="CA38" i="12" s="1"/>
  <c r="DL118" i="2"/>
  <c r="DK105" i="2"/>
  <c r="DL90" i="3" s="1"/>
  <c r="DL119" i="2"/>
  <c r="DK107" i="2"/>
  <c r="DL92" i="3" s="1"/>
  <c r="DK85" i="3"/>
  <c r="DK84" i="3" s="1"/>
  <c r="DK146" i="18" s="1"/>
  <c r="DL117" i="2"/>
  <c r="DK103" i="2"/>
  <c r="DL86" i="3" s="1"/>
  <c r="CO36" i="13"/>
  <c r="DX36" i="13" s="1"/>
  <c r="CP40" i="13"/>
  <c r="CP35" i="13"/>
  <c r="DP379" i="2"/>
  <c r="CP41" i="13"/>
  <c r="DM446" i="2"/>
  <c r="DM448" i="2"/>
  <c r="DM445" i="2"/>
  <c r="DM447" i="2"/>
  <c r="CO30" i="13"/>
  <c r="CH15" i="12"/>
  <c r="DQ15" i="12" s="1"/>
  <c r="CG18" i="12"/>
  <c r="DM453" i="2"/>
  <c r="DM452" i="2"/>
  <c r="DM454" i="2"/>
  <c r="CP34" i="13"/>
  <c r="DP395" i="2"/>
  <c r="CP13" i="13"/>
  <c r="CP27" i="13"/>
  <c r="CP7" i="13"/>
  <c r="CQ4" i="13"/>
  <c r="DP396" i="2"/>
  <c r="CN38" i="13"/>
  <c r="DN399" i="2"/>
  <c r="DO404" i="2"/>
  <c r="CO22" i="13"/>
  <c r="DX22" i="13" s="1"/>
  <c r="DO407" i="2"/>
  <c r="CP26" i="13"/>
  <c r="CO23" i="13"/>
  <c r="DX23" i="13" s="1"/>
  <c r="DO405" i="2"/>
  <c r="DO429" i="2" s="1"/>
  <c r="CO25" i="13"/>
  <c r="DX25" i="13" s="1"/>
  <c r="CO29" i="13"/>
  <c r="CN32" i="13"/>
  <c r="CN54" i="13"/>
  <c r="DP378" i="2"/>
  <c r="CQ99" i="13"/>
  <c r="DQ479" i="2"/>
  <c r="DQ483" i="2" s="1"/>
  <c r="DR479" i="2" s="1"/>
  <c r="DL318" i="2"/>
  <c r="DC156" i="7"/>
  <c r="EC51" i="14" l="1"/>
  <c r="FC50" i="14"/>
  <c r="DF262" i="2"/>
  <c r="DK114" i="15"/>
  <c r="DK132" i="15" s="1"/>
  <c r="DJ189" i="18"/>
  <c r="DK175" i="18"/>
  <c r="DP108" i="12"/>
  <c r="CE107" i="12"/>
  <c r="DP107" i="12" s="1"/>
  <c r="EW120" i="15"/>
  <c r="DL117" i="15"/>
  <c r="DP137" i="11"/>
  <c r="CE136" i="11"/>
  <c r="DP136" i="11" s="1"/>
  <c r="DL570" i="2"/>
  <c r="DL590" i="2"/>
  <c r="CM161" i="13" s="1"/>
  <c r="EU82" i="15"/>
  <c r="FH82" i="15" s="1"/>
  <c r="DG272" i="2"/>
  <c r="DG274" i="2"/>
  <c r="DJ285" i="2"/>
  <c r="DN457" i="2"/>
  <c r="DN458" i="2"/>
  <c r="DH272" i="2"/>
  <c r="DH274" i="2"/>
  <c r="EM23" i="7"/>
  <c r="EM32" i="7" s="1"/>
  <c r="DW123" i="13"/>
  <c r="DW115" i="13"/>
  <c r="EU59" i="15"/>
  <c r="FH59" i="15" s="1"/>
  <c r="DW114" i="13"/>
  <c r="EU60" i="15"/>
  <c r="FH60" i="15" s="1"/>
  <c r="DX113" i="13"/>
  <c r="DX112" i="13"/>
  <c r="DX107" i="13"/>
  <c r="DP380" i="2"/>
  <c r="DP426" i="2" s="1"/>
  <c r="DR483" i="2"/>
  <c r="DR482" i="2"/>
  <c r="CE91" i="12"/>
  <c r="DP91" i="12" s="1"/>
  <c r="CX76" i="2"/>
  <c r="DX95" i="2"/>
  <c r="DL785" i="2"/>
  <c r="DE207" i="18"/>
  <c r="DE201" i="18"/>
  <c r="DE206" i="18"/>
  <c r="DE204" i="18"/>
  <c r="DF200" i="18"/>
  <c r="EU200" i="18" s="1"/>
  <c r="FH200" i="18" s="1"/>
  <c r="DF753" i="2"/>
  <c r="DE203" i="18"/>
  <c r="DE202" i="18"/>
  <c r="DE205" i="18"/>
  <c r="DE208" i="18"/>
  <c r="CY66" i="7"/>
  <c r="CF97" i="12"/>
  <c r="CF94" i="12"/>
  <c r="CF95" i="12"/>
  <c r="DM67" i="18"/>
  <c r="DP58" i="12"/>
  <c r="DL68" i="15"/>
  <c r="DX49" i="13"/>
  <c r="CH39" i="12"/>
  <c r="DQ39" i="12" s="1"/>
  <c r="EN156" i="7"/>
  <c r="DL137" i="15"/>
  <c r="DH775" i="2"/>
  <c r="DL501" i="2"/>
  <c r="CM116" i="13" s="1"/>
  <c r="DL547" i="2"/>
  <c r="CM137" i="13" s="1"/>
  <c r="CM74" i="13"/>
  <c r="CF55" i="11" s="1"/>
  <c r="DL500" i="2"/>
  <c r="CM115" i="13" s="1"/>
  <c r="DL496" i="2"/>
  <c r="DL548" i="2"/>
  <c r="CM138" i="13" s="1"/>
  <c r="DL499" i="2"/>
  <c r="CM114" i="13" s="1"/>
  <c r="DG27" i="15"/>
  <c r="DG47" i="15" s="1"/>
  <c r="DG32" i="18"/>
  <c r="CI30" i="11"/>
  <c r="CI12" i="11"/>
  <c r="CE102" i="11"/>
  <c r="DP102" i="11" s="1"/>
  <c r="DW133" i="13"/>
  <c r="CF31" i="12"/>
  <c r="CL165" i="13"/>
  <c r="DW74" i="13"/>
  <c r="EL75" i="7"/>
  <c r="EY75" i="7" s="1"/>
  <c r="CI31" i="11"/>
  <c r="DW131" i="13"/>
  <c r="DW125" i="13"/>
  <c r="CH21" i="12"/>
  <c r="DQ21" i="12" s="1"/>
  <c r="DQ7" i="12"/>
  <c r="CC132" i="11"/>
  <c r="DO8" i="12"/>
  <c r="DP53" i="11"/>
  <c r="CE87" i="11"/>
  <c r="CE96" i="11"/>
  <c r="CC118" i="12"/>
  <c r="DX29" i="13"/>
  <c r="CF53" i="11"/>
  <c r="CM125" i="13"/>
  <c r="CM131" i="13"/>
  <c r="CI14" i="12"/>
  <c r="CI4" i="12"/>
  <c r="DW130" i="13"/>
  <c r="DW124" i="13"/>
  <c r="CH8" i="11"/>
  <c r="DQ8" i="11" s="1"/>
  <c r="DX3" i="13"/>
  <c r="EL106" i="7"/>
  <c r="EY106" i="7" s="1"/>
  <c r="EL76" i="7"/>
  <c r="EY76" i="7" s="1"/>
  <c r="EM43" i="7"/>
  <c r="CX66" i="7"/>
  <c r="EM42" i="7"/>
  <c r="EM25" i="7"/>
  <c r="EM27" i="7"/>
  <c r="EM26" i="7"/>
  <c r="CC13" i="11"/>
  <c r="CC11" i="11" s="1"/>
  <c r="EM11" i="7"/>
  <c r="BZ36" i="11"/>
  <c r="BY60" i="11"/>
  <c r="DN36" i="11"/>
  <c r="CA23" i="11"/>
  <c r="DG43" i="18"/>
  <c r="CL162" i="13"/>
  <c r="CA38" i="11"/>
  <c r="CA36" i="11" s="1"/>
  <c r="EV9" i="15"/>
  <c r="CE153" i="11"/>
  <c r="DP153" i="11" s="1"/>
  <c r="CE124" i="12"/>
  <c r="DP124" i="12" s="1"/>
  <c r="CE77" i="11"/>
  <c r="DP77" i="11" s="1"/>
  <c r="CE64" i="11"/>
  <c r="DP64" i="11" s="1"/>
  <c r="DP86" i="11" s="1"/>
  <c r="DL87" i="18"/>
  <c r="EW87" i="18" s="1"/>
  <c r="CM62" i="13"/>
  <c r="CF45" i="11"/>
  <c r="BY52" i="12"/>
  <c r="DN52" i="12" s="1"/>
  <c r="EA52" i="12" s="1"/>
  <c r="BY74" i="11"/>
  <c r="DN74" i="11" s="1"/>
  <c r="EA74" i="11" s="1"/>
  <c r="DC158" i="7"/>
  <c r="EN158" i="7" s="1"/>
  <c r="CE55" i="11"/>
  <c r="DP55" i="11" s="1"/>
  <c r="CL155" i="13"/>
  <c r="DI28" i="18"/>
  <c r="EV28" i="18" s="1"/>
  <c r="DO19" i="15"/>
  <c r="EX19" i="15" s="1"/>
  <c r="CH24" i="11"/>
  <c r="DQ24" i="11" s="1"/>
  <c r="EX92" i="3"/>
  <c r="DL156" i="18"/>
  <c r="EW156" i="18" s="1"/>
  <c r="BY51" i="12"/>
  <c r="DN51" i="12" s="1"/>
  <c r="EA51" i="12" s="1"/>
  <c r="BY73" i="11"/>
  <c r="DN73" i="11" s="1"/>
  <c r="EA73" i="11" s="1"/>
  <c r="EX86" i="3"/>
  <c r="DL154" i="18"/>
  <c r="EW154" i="18" s="1"/>
  <c r="CH37" i="11"/>
  <c r="DQ37" i="11" s="1"/>
  <c r="DH27" i="15"/>
  <c r="DH47" i="15" s="1"/>
  <c r="DH45" i="15" s="1"/>
  <c r="BY73" i="12"/>
  <c r="DN73" i="12" s="1"/>
  <c r="EA73" i="12" s="1"/>
  <c r="BY105" i="11"/>
  <c r="DN105" i="11" s="1"/>
  <c r="EA105" i="11" s="1"/>
  <c r="DH43" i="18"/>
  <c r="DM39" i="15"/>
  <c r="EX90" i="3"/>
  <c r="DL155" i="18"/>
  <c r="EW155" i="18" s="1"/>
  <c r="DI18" i="15"/>
  <c r="DI27" i="18" s="1"/>
  <c r="DI32" i="18" s="1"/>
  <c r="CB25" i="11"/>
  <c r="CB23" i="11" s="1"/>
  <c r="BY49" i="12"/>
  <c r="DN49" i="12" s="1"/>
  <c r="EA49" i="12" s="1"/>
  <c r="BY71" i="11"/>
  <c r="DN71" i="11" s="1"/>
  <c r="EA71" i="11" s="1"/>
  <c r="DC157" i="7"/>
  <c r="EN157" i="7" s="1"/>
  <c r="CF52" i="11"/>
  <c r="CE45" i="12"/>
  <c r="DP45" i="12" s="1"/>
  <c r="CE70" i="12"/>
  <c r="DP70" i="12" s="1"/>
  <c r="CO17" i="13"/>
  <c r="DL54" i="15"/>
  <c r="CP3" i="13"/>
  <c r="DP6" i="15"/>
  <c r="CL139" i="13"/>
  <c r="DL80" i="15"/>
  <c r="EW80" i="15" s="1"/>
  <c r="CM103" i="13"/>
  <c r="CL129" i="13"/>
  <c r="CJ159" i="13"/>
  <c r="CJ167" i="13"/>
  <c r="CK158" i="13"/>
  <c r="CK142" i="13"/>
  <c r="CI7" i="12"/>
  <c r="DP10" i="15"/>
  <c r="CL124" i="13"/>
  <c r="CL130" i="13"/>
  <c r="DO544" i="2"/>
  <c r="CP134" i="13" s="1"/>
  <c r="DO546" i="2"/>
  <c r="CP136" i="13" s="1"/>
  <c r="DO497" i="2"/>
  <c r="CP112" i="13" s="1"/>
  <c r="DO498" i="2"/>
  <c r="CP113" i="13" s="1"/>
  <c r="CL102" i="13"/>
  <c r="DK502" i="2"/>
  <c r="CP49" i="13"/>
  <c r="CI39" i="12" s="1"/>
  <c r="DO493" i="2"/>
  <c r="CP107" i="13" s="1"/>
  <c r="DP409" i="2"/>
  <c r="DP436" i="2" s="1"/>
  <c r="DO428" i="2"/>
  <c r="CP44" i="13"/>
  <c r="CO43" i="13"/>
  <c r="DX43" i="13" s="1"/>
  <c r="DP391" i="2"/>
  <c r="CQ10" i="13" s="1"/>
  <c r="DP408" i="2"/>
  <c r="DP435" i="2" s="1"/>
  <c r="DP494" i="2" s="1"/>
  <c r="DP401" i="2"/>
  <c r="CQ20" i="13" s="1"/>
  <c r="CZ66" i="7"/>
  <c r="DH241" i="2"/>
  <c r="DH240" i="2"/>
  <c r="DH238" i="2"/>
  <c r="DG240" i="2"/>
  <c r="DG238" i="2"/>
  <c r="DG241" i="2"/>
  <c r="DL85" i="3"/>
  <c r="DL84" i="3" s="1"/>
  <c r="DL146" i="18" s="1"/>
  <c r="EW146" i="18" s="1"/>
  <c r="DF228" i="2"/>
  <c r="CX72" i="7" s="1"/>
  <c r="CX83" i="7"/>
  <c r="CZ32" i="7"/>
  <c r="CZ44" i="7"/>
  <c r="DA23" i="7"/>
  <c r="DA22" i="7" s="1"/>
  <c r="DI175" i="2"/>
  <c r="DI179" i="2"/>
  <c r="DA26" i="7" s="1"/>
  <c r="DI206" i="2"/>
  <c r="DI205" i="2" s="1"/>
  <c r="DI177" i="2"/>
  <c r="DA24" i="7" s="1"/>
  <c r="DI180" i="2"/>
  <c r="DA27" i="7" s="1"/>
  <c r="DJ31" i="18" s="1"/>
  <c r="DI178" i="2"/>
  <c r="DA25" i="7" s="1"/>
  <c r="DF230" i="2"/>
  <c r="CX75" i="7" s="1"/>
  <c r="DG59" i="15" s="1"/>
  <c r="CX85" i="7"/>
  <c r="DF231" i="2"/>
  <c r="CX76" i="7" s="1"/>
  <c r="DG60" i="15" s="1"/>
  <c r="CX86" i="7"/>
  <c r="DA11" i="7"/>
  <c r="CC8" i="12"/>
  <c r="DJ158" i="2"/>
  <c r="DB12" i="7"/>
  <c r="CD13" i="11" s="1"/>
  <c r="CD11" i="11" s="1"/>
  <c r="DJ176" i="2"/>
  <c r="DJ206" i="2" s="1"/>
  <c r="DJ205" i="2" s="1"/>
  <c r="DM117" i="2"/>
  <c r="DL103" i="2"/>
  <c r="DM86" i="3" s="1"/>
  <c r="DM154" i="18" s="1"/>
  <c r="DM119" i="2"/>
  <c r="DL107" i="2"/>
  <c r="DM92" i="3" s="1"/>
  <c r="DM156" i="18" s="1"/>
  <c r="DM118" i="2"/>
  <c r="DL105" i="2"/>
  <c r="DM90" i="3" s="1"/>
  <c r="DM155" i="18" s="1"/>
  <c r="CQ14" i="13"/>
  <c r="CP36" i="13"/>
  <c r="CN58" i="13"/>
  <c r="DM463" i="2"/>
  <c r="CN59" i="13"/>
  <c r="DM464" i="2"/>
  <c r="CN57" i="13"/>
  <c r="DM462" i="2"/>
  <c r="CN67" i="13"/>
  <c r="DM470" i="2"/>
  <c r="DM508" i="2" s="1"/>
  <c r="DM492" i="2" s="1"/>
  <c r="CN106" i="13" s="1"/>
  <c r="CQ6" i="13"/>
  <c r="CP30" i="13"/>
  <c r="CI15" i="12"/>
  <c r="CN60" i="13"/>
  <c r="DM465" i="2"/>
  <c r="DM451" i="2"/>
  <c r="CN65" i="13"/>
  <c r="DM468" i="2"/>
  <c r="DM506" i="2" s="1"/>
  <c r="CN66" i="13"/>
  <c r="DM469" i="2"/>
  <c r="DM507" i="2" s="1"/>
  <c r="DM491" i="2" s="1"/>
  <c r="CN105" i="13" s="1"/>
  <c r="DO399" i="2"/>
  <c r="CP22" i="13"/>
  <c r="DP424" i="2"/>
  <c r="DP418" i="2"/>
  <c r="DP392" i="2"/>
  <c r="CQ15" i="13"/>
  <c r="CP23" i="13"/>
  <c r="CP25" i="13"/>
  <c r="CP29" i="13"/>
  <c r="DN398" i="2"/>
  <c r="CO18" i="13"/>
  <c r="DX18" i="13" s="1"/>
  <c r="DN417" i="2"/>
  <c r="DN439" i="2" s="1"/>
  <c r="DN423" i="2"/>
  <c r="DN422" i="2" s="1"/>
  <c r="DQ482" i="2"/>
  <c r="DQ378" i="2" s="1"/>
  <c r="CR99" i="13"/>
  <c r="CS95" i="13" s="1"/>
  <c r="CQ98" i="13"/>
  <c r="CR95" i="13"/>
  <c r="DY95" i="13" s="1"/>
  <c r="EI95" i="13" s="1"/>
  <c r="CQ5" i="13"/>
  <c r="DM318" i="2"/>
  <c r="DD156" i="7"/>
  <c r="DM137" i="15" s="1"/>
  <c r="FJ50" i="14" l="1"/>
  <c r="FJ51" i="14" s="1"/>
  <c r="FC51" i="14"/>
  <c r="CX115" i="7"/>
  <c r="CX106" i="7"/>
  <c r="DK190" i="18"/>
  <c r="EW117" i="15"/>
  <c r="DL177" i="18"/>
  <c r="CF108" i="12"/>
  <c r="DM120" i="15"/>
  <c r="CF137" i="11"/>
  <c r="DH262" i="2"/>
  <c r="DG262" i="2"/>
  <c r="DO458" i="2"/>
  <c r="DO457" i="2"/>
  <c r="DK285" i="2"/>
  <c r="DS479" i="2"/>
  <c r="DS482" i="2" s="1"/>
  <c r="DS394" i="2" s="1"/>
  <c r="DS377" i="2" s="1"/>
  <c r="CT4" i="13" s="1"/>
  <c r="CS99" i="13"/>
  <c r="DW129" i="13"/>
  <c r="DR378" i="2"/>
  <c r="DR424" i="2" s="1"/>
  <c r="CS40" i="13" s="1"/>
  <c r="DR394" i="2"/>
  <c r="DR377" i="2" s="1"/>
  <c r="CS4" i="13" s="1"/>
  <c r="CY76" i="2"/>
  <c r="DY95" i="2"/>
  <c r="DF205" i="18"/>
  <c r="EU205" i="18" s="1"/>
  <c r="FH205" i="18" s="1"/>
  <c r="DF208" i="18"/>
  <c r="EU208" i="18" s="1"/>
  <c r="FH208" i="18" s="1"/>
  <c r="DF202" i="18"/>
  <c r="DM785" i="2"/>
  <c r="DF203" i="18"/>
  <c r="EU203" i="18" s="1"/>
  <c r="FH203" i="18" s="1"/>
  <c r="DG200" i="18"/>
  <c r="DG753" i="2"/>
  <c r="DF207" i="18"/>
  <c r="DF201" i="18"/>
  <c r="DF206" i="18"/>
  <c r="DF204" i="18"/>
  <c r="CM110" i="13"/>
  <c r="DL488" i="2"/>
  <c r="CF91" i="12"/>
  <c r="EW137" i="15"/>
  <c r="CM133" i="13"/>
  <c r="CF102" i="11" s="1"/>
  <c r="DW155" i="13"/>
  <c r="DL162" i="18"/>
  <c r="EW162" i="18" s="1"/>
  <c r="DL108" i="15"/>
  <c r="EW108" i="15" s="1"/>
  <c r="CL144" i="13"/>
  <c r="DL99" i="15"/>
  <c r="EW99" i="15" s="1"/>
  <c r="CE88" i="12"/>
  <c r="DP88" i="12" s="1"/>
  <c r="EM44" i="7"/>
  <c r="CB40" i="12"/>
  <c r="DI775" i="2"/>
  <c r="DL543" i="2"/>
  <c r="DL549" i="2" s="1"/>
  <c r="CM165" i="13"/>
  <c r="CM162" i="13"/>
  <c r="DP96" i="11"/>
  <c r="DP87" i="11"/>
  <c r="CJ6" i="11"/>
  <c r="CG43" i="11"/>
  <c r="CJ18" i="11"/>
  <c r="CE79" i="11"/>
  <c r="DP79" i="11" s="1"/>
  <c r="DW102" i="13"/>
  <c r="EV27" i="18"/>
  <c r="CC22" i="12"/>
  <c r="CJ5" i="11"/>
  <c r="CN81" i="13"/>
  <c r="CN83" i="13"/>
  <c r="CG42" i="11"/>
  <c r="CI8" i="11"/>
  <c r="EX85" i="3"/>
  <c r="EX84" i="3" s="1"/>
  <c r="DW165" i="13"/>
  <c r="DW162" i="13"/>
  <c r="DP95" i="11"/>
  <c r="CH20" i="11"/>
  <c r="DQ20" i="11" s="1"/>
  <c r="DX17" i="13"/>
  <c r="CC147" i="11"/>
  <c r="CN78" i="13"/>
  <c r="CA60" i="11"/>
  <c r="CI21" i="12"/>
  <c r="CF87" i="11"/>
  <c r="CF96" i="11"/>
  <c r="CR98" i="13"/>
  <c r="DY98" i="13" s="1"/>
  <c r="EI98" i="13" s="1"/>
  <c r="DY99" i="13"/>
  <c r="EI99" i="13" s="1"/>
  <c r="DW139" i="13"/>
  <c r="EM66" i="7"/>
  <c r="CC25" i="11"/>
  <c r="CC23" i="11" s="1"/>
  <c r="DJ29" i="18"/>
  <c r="DJ9" i="15"/>
  <c r="DJ12" i="18" s="1"/>
  <c r="DJ30" i="18"/>
  <c r="EM22" i="7"/>
  <c r="DN60" i="11"/>
  <c r="EA36" i="11"/>
  <c r="EA60" i="11" s="1"/>
  <c r="DO25" i="11"/>
  <c r="BZ60" i="11"/>
  <c r="DO23" i="11"/>
  <c r="DO28" i="15"/>
  <c r="DM153" i="18"/>
  <c r="DH80" i="18"/>
  <c r="BZ49" i="12"/>
  <c r="BZ71" i="11"/>
  <c r="DO15" i="15"/>
  <c r="CE128" i="11"/>
  <c r="DP128" i="11" s="1"/>
  <c r="CE99" i="12"/>
  <c r="DP99" i="12" s="1"/>
  <c r="CE95" i="11"/>
  <c r="CE86" i="11"/>
  <c r="DL153" i="18"/>
  <c r="EW153" i="18" s="1"/>
  <c r="CG70" i="11"/>
  <c r="CG65" i="11"/>
  <c r="CI37" i="11"/>
  <c r="DI27" i="15"/>
  <c r="DI47" i="15" s="1"/>
  <c r="DI45" i="15" s="1"/>
  <c r="BZ52" i="12"/>
  <c r="BZ74" i="11"/>
  <c r="DP19" i="15"/>
  <c r="DP28" i="15" s="1"/>
  <c r="CI24" i="11"/>
  <c r="CG25" i="12"/>
  <c r="CF77" i="11"/>
  <c r="CF64" i="11"/>
  <c r="DM87" i="18"/>
  <c r="CM155" i="13"/>
  <c r="DD158" i="7"/>
  <c r="CG69" i="11"/>
  <c r="BZ51" i="12"/>
  <c r="BZ73" i="11"/>
  <c r="DI43" i="18"/>
  <c r="EV43" i="18" s="1"/>
  <c r="DJ28" i="18"/>
  <c r="CF153" i="11"/>
  <c r="CF124" i="12"/>
  <c r="CB38" i="11"/>
  <c r="DL74" i="15"/>
  <c r="EW74" i="15" s="1"/>
  <c r="EW54" i="15"/>
  <c r="DD157" i="7"/>
  <c r="DG45" i="15"/>
  <c r="DH43" i="15" s="1"/>
  <c r="EV18" i="15"/>
  <c r="EW68" i="15"/>
  <c r="CP17" i="13"/>
  <c r="CE64" i="12"/>
  <c r="DN33" i="15"/>
  <c r="CK159" i="13"/>
  <c r="CK167" i="13"/>
  <c r="CJ168" i="13"/>
  <c r="DA32" i="7"/>
  <c r="CM124" i="13"/>
  <c r="CM130" i="13"/>
  <c r="CL127" i="13"/>
  <c r="CL121" i="13"/>
  <c r="DW121" i="13" s="1"/>
  <c r="DP419" i="2"/>
  <c r="CQ35" i="13" s="1"/>
  <c r="CQ27" i="13"/>
  <c r="CQ51" i="13"/>
  <c r="DP495" i="2"/>
  <c r="CQ109" i="13" s="1"/>
  <c r="CQ108" i="13"/>
  <c r="DM505" i="2"/>
  <c r="DM490" i="2"/>
  <c r="DP405" i="2"/>
  <c r="DP429" i="2" s="1"/>
  <c r="DP434" i="2"/>
  <c r="CQ50" i="13"/>
  <c r="DN456" i="2"/>
  <c r="CO70" i="13"/>
  <c r="DX70" i="13" s="1"/>
  <c r="DN473" i="2"/>
  <c r="DN511" i="2" s="1"/>
  <c r="DN474" i="2"/>
  <c r="DN512" i="2" s="1"/>
  <c r="CO71" i="13"/>
  <c r="CP43" i="13"/>
  <c r="CQ11" i="13"/>
  <c r="DP425" i="2"/>
  <c r="CQ41" i="13" s="1"/>
  <c r="CQ7" i="13"/>
  <c r="DP420" i="2"/>
  <c r="CQ36" i="13" s="1"/>
  <c r="DP376" i="2"/>
  <c r="DC12" i="7"/>
  <c r="DK158" i="2"/>
  <c r="DK176" i="2"/>
  <c r="DK206" i="2" s="1"/>
  <c r="DK205" i="2" s="1"/>
  <c r="DG230" i="2"/>
  <c r="CY75" i="7" s="1"/>
  <c r="DH59" i="15" s="1"/>
  <c r="CY85" i="7"/>
  <c r="DA44" i="7"/>
  <c r="CC40" i="12" s="1"/>
  <c r="DA43" i="7"/>
  <c r="DI204" i="2"/>
  <c r="DH228" i="2"/>
  <c r="CZ72" i="7" s="1"/>
  <c r="CZ83" i="7"/>
  <c r="DH230" i="2"/>
  <c r="CZ75" i="7" s="1"/>
  <c r="DI59" i="15" s="1"/>
  <c r="CZ85" i="7"/>
  <c r="DH231" i="2"/>
  <c r="CZ76" i="7" s="1"/>
  <c r="DI60" i="15" s="1"/>
  <c r="CZ86" i="7"/>
  <c r="DJ204" i="2"/>
  <c r="DB43" i="7"/>
  <c r="DB42" i="7" s="1"/>
  <c r="DJ180" i="2"/>
  <c r="DB27" i="7" s="1"/>
  <c r="DK31" i="18" s="1"/>
  <c r="DJ178" i="2"/>
  <c r="DB25" i="7" s="1"/>
  <c r="DK29" i="18" s="1"/>
  <c r="DJ175" i="2"/>
  <c r="DJ177" i="2"/>
  <c r="DB24" i="7" s="1"/>
  <c r="DB23" i="7"/>
  <c r="DB22" i="7" s="1"/>
  <c r="DJ179" i="2"/>
  <c r="DB26" i="7" s="1"/>
  <c r="DK30" i="18" s="1"/>
  <c r="CD8" i="12"/>
  <c r="CD22" i="12" s="1"/>
  <c r="DB11" i="7"/>
  <c r="DK9" i="15" s="1"/>
  <c r="DK12" i="18" s="1"/>
  <c r="DG231" i="2"/>
  <c r="CY76" i="7" s="1"/>
  <c r="DH60" i="15" s="1"/>
  <c r="CY86" i="7"/>
  <c r="DG228" i="2"/>
  <c r="CY72" i="7" s="1"/>
  <c r="CY83" i="7"/>
  <c r="DN118" i="2"/>
  <c r="DM105" i="2"/>
  <c r="DN90" i="3" s="1"/>
  <c r="DN155" i="18" s="1"/>
  <c r="DN119" i="2"/>
  <c r="DM107" i="2"/>
  <c r="DN92" i="3" s="1"/>
  <c r="DN156" i="18" s="1"/>
  <c r="DM85" i="3"/>
  <c r="DM84" i="3" s="1"/>
  <c r="DM146" i="18" s="1"/>
  <c r="DN117" i="2"/>
  <c r="DM103" i="2"/>
  <c r="DN86" i="3" s="1"/>
  <c r="DN154" i="18" s="1"/>
  <c r="CQ13" i="13"/>
  <c r="DP404" i="2"/>
  <c r="CQ26" i="13"/>
  <c r="DP407" i="2"/>
  <c r="CQ40" i="13"/>
  <c r="DM461" i="2"/>
  <c r="CQ34" i="13"/>
  <c r="CN64" i="13"/>
  <c r="CN82" i="13"/>
  <c r="CN56" i="13"/>
  <c r="CN75" i="13"/>
  <c r="CH11" i="12"/>
  <c r="DQ11" i="12" s="1"/>
  <c r="DQ418" i="2"/>
  <c r="DQ424" i="2"/>
  <c r="CO39" i="13"/>
  <c r="DX39" i="13" s="1"/>
  <c r="CO33" i="13"/>
  <c r="DX33" i="13" s="1"/>
  <c r="DN416" i="2"/>
  <c r="DN444" i="2" s="1"/>
  <c r="DO398" i="2"/>
  <c r="CP18" i="13"/>
  <c r="DO417" i="2"/>
  <c r="DO439" i="2" s="1"/>
  <c r="DO423" i="2"/>
  <c r="DO422" i="2" s="1"/>
  <c r="CR5" i="13"/>
  <c r="CK5" i="11" s="1"/>
  <c r="CK30" i="11" s="1"/>
  <c r="DQ394" i="2"/>
  <c r="DQ379" i="2"/>
  <c r="DQ401" i="2" s="1"/>
  <c r="CR20" i="13" s="1"/>
  <c r="CK18" i="11" s="1"/>
  <c r="DN318" i="2"/>
  <c r="DE156" i="7"/>
  <c r="DN137" i="15" s="1"/>
  <c r="DG82" i="15" l="1"/>
  <c r="BZ73" i="12"/>
  <c r="BZ105" i="11"/>
  <c r="DK189" i="18"/>
  <c r="EW177" i="18"/>
  <c r="DL175" i="18"/>
  <c r="CF107" i="12"/>
  <c r="DM117" i="15"/>
  <c r="CF136" i="11"/>
  <c r="DM570" i="2"/>
  <c r="DM590" i="2"/>
  <c r="CN161" i="13" s="1"/>
  <c r="CZ115" i="7"/>
  <c r="CY106" i="7"/>
  <c r="DH82" i="15" s="1"/>
  <c r="CZ106" i="7"/>
  <c r="DI82" i="15" s="1"/>
  <c r="CY115" i="7"/>
  <c r="DO48" i="15"/>
  <c r="EX48" i="15" s="1"/>
  <c r="EX28" i="15"/>
  <c r="DJ272" i="2"/>
  <c r="DJ274" i="2"/>
  <c r="DL285" i="2"/>
  <c r="DP48" i="15"/>
  <c r="DI272" i="2"/>
  <c r="DI262" i="2" s="1"/>
  <c r="DI274" i="2"/>
  <c r="CD25" i="11"/>
  <c r="CD23" i="11" s="1"/>
  <c r="DK18" i="15"/>
  <c r="DS483" i="2"/>
  <c r="DT479" i="2" s="1"/>
  <c r="DT483" i="2" s="1"/>
  <c r="CS98" i="13"/>
  <c r="CT95" i="13"/>
  <c r="DR418" i="2"/>
  <c r="CS34" i="13" s="1"/>
  <c r="CS5" i="13"/>
  <c r="DR379" i="2"/>
  <c r="DS378" i="2"/>
  <c r="CT5" i="13" s="1"/>
  <c r="CM5" i="11" s="1"/>
  <c r="CM30" i="11" s="1"/>
  <c r="DG203" i="18"/>
  <c r="DG202" i="18"/>
  <c r="EU202" i="18"/>
  <c r="FH202" i="18" s="1"/>
  <c r="CZ76" i="2"/>
  <c r="DG208" i="18"/>
  <c r="DZ95" i="2"/>
  <c r="DG205" i="18"/>
  <c r="DN785" i="2"/>
  <c r="DH200" i="18"/>
  <c r="DH753" i="2"/>
  <c r="EU207" i="18"/>
  <c r="FH207" i="18" s="1"/>
  <c r="DG207" i="18"/>
  <c r="EU201" i="18"/>
  <c r="FH201" i="18" s="1"/>
  <c r="DG201" i="18"/>
  <c r="EU206" i="18"/>
  <c r="FH206" i="18" s="1"/>
  <c r="DG206" i="18"/>
  <c r="EU204" i="18"/>
  <c r="FH204" i="18" s="1"/>
  <c r="DG204" i="18"/>
  <c r="CM102" i="13"/>
  <c r="DL502" i="2"/>
  <c r="CM123" i="13"/>
  <c r="CF58" i="12"/>
  <c r="DM68" i="15" s="1"/>
  <c r="CF45" i="12"/>
  <c r="CF64" i="12" s="1"/>
  <c r="DM54" i="15"/>
  <c r="DM74" i="15" s="1"/>
  <c r="CM129" i="13"/>
  <c r="CB38" i="12"/>
  <c r="DO38" i="12" s="1"/>
  <c r="DO40" i="12"/>
  <c r="CL156" i="13"/>
  <c r="DW144" i="13"/>
  <c r="CE118" i="11"/>
  <c r="DP118" i="11" s="1"/>
  <c r="CF70" i="12"/>
  <c r="CM139" i="13"/>
  <c r="DM80" i="15"/>
  <c r="DM162" i="18"/>
  <c r="DM108" i="15"/>
  <c r="CM144" i="13"/>
  <c r="CF88" i="12"/>
  <c r="DM99" i="15"/>
  <c r="DJ775" i="2"/>
  <c r="DL93" i="15"/>
  <c r="CJ31" i="11"/>
  <c r="CH33" i="11"/>
  <c r="DQ33" i="11" s="1"/>
  <c r="EM86" i="7"/>
  <c r="EM85" i="7"/>
  <c r="CO87" i="13"/>
  <c r="DX87" i="13" s="1"/>
  <c r="DX71" i="13"/>
  <c r="CF86" i="11"/>
  <c r="CE98" i="11"/>
  <c r="DW127" i="13"/>
  <c r="DW122" i="13"/>
  <c r="CI20" i="11"/>
  <c r="CJ4" i="12"/>
  <c r="CC38" i="12"/>
  <c r="DY5" i="13"/>
  <c r="EI5" i="13" s="1"/>
  <c r="CJ30" i="11"/>
  <c r="DR30" i="11" s="1"/>
  <c r="EB30" i="11" s="1"/>
  <c r="DR5" i="11"/>
  <c r="EB5" i="11" s="1"/>
  <c r="CJ14" i="12"/>
  <c r="CE82" i="12"/>
  <c r="DP64" i="12"/>
  <c r="DY20" i="13"/>
  <c r="EI20" i="13" s="1"/>
  <c r="CJ15" i="12"/>
  <c r="CJ12" i="11"/>
  <c r="EM83" i="7"/>
  <c r="CN77" i="13"/>
  <c r="DR18" i="11"/>
  <c r="EB18" i="11" s="1"/>
  <c r="DA42" i="7"/>
  <c r="DB66" i="7" s="1"/>
  <c r="EM75" i="7"/>
  <c r="EM76" i="7"/>
  <c r="CE13" i="11"/>
  <c r="CE11" i="11" s="1"/>
  <c r="DP11" i="11" s="1"/>
  <c r="EN12" i="7"/>
  <c r="DJ18" i="15"/>
  <c r="DJ27" i="18" s="1"/>
  <c r="CB36" i="11"/>
  <c r="DO38" i="11"/>
  <c r="CF95" i="11"/>
  <c r="EV59" i="15"/>
  <c r="CF99" i="12"/>
  <c r="EV60" i="15"/>
  <c r="CF128" i="11"/>
  <c r="CA52" i="12"/>
  <c r="CA74" i="11"/>
  <c r="CA51" i="12"/>
  <c r="CA73" i="11"/>
  <c r="DI43" i="15"/>
  <c r="DI80" i="18"/>
  <c r="DN39" i="15"/>
  <c r="CB49" i="12"/>
  <c r="CB71" i="11"/>
  <c r="CN62" i="13"/>
  <c r="CG45" i="11"/>
  <c r="CB51" i="12"/>
  <c r="CB73" i="11"/>
  <c r="CA49" i="12"/>
  <c r="CA71" i="11"/>
  <c r="CB52" i="12"/>
  <c r="CB74" i="11"/>
  <c r="CG153" i="11"/>
  <c r="CG124" i="12"/>
  <c r="DP15" i="15"/>
  <c r="DN153" i="18"/>
  <c r="EV47" i="15"/>
  <c r="EV27" i="15"/>
  <c r="DK28" i="18"/>
  <c r="DG43" i="15"/>
  <c r="EV45" i="15"/>
  <c r="DG80" i="18"/>
  <c r="DE158" i="7"/>
  <c r="CC38" i="11"/>
  <c r="DE157" i="7"/>
  <c r="DO24" i="15"/>
  <c r="EX24" i="15" s="1"/>
  <c r="EX15" i="15"/>
  <c r="CN80" i="13"/>
  <c r="CN76" i="13"/>
  <c r="CL122" i="13"/>
  <c r="CE89" i="11"/>
  <c r="DP89" i="11" s="1"/>
  <c r="CQ3" i="13"/>
  <c r="DQ6" i="15"/>
  <c r="CL128" i="13"/>
  <c r="CL141" i="13"/>
  <c r="DW141" i="13" s="1"/>
  <c r="DB32" i="7"/>
  <c r="CK168" i="13"/>
  <c r="CJ7" i="12"/>
  <c r="DQ10" i="15"/>
  <c r="DM548" i="2"/>
  <c r="CN138" i="13" s="1"/>
  <c r="DM547" i="2"/>
  <c r="CN137" i="13" s="1"/>
  <c r="DP544" i="2"/>
  <c r="CQ134" i="13" s="1"/>
  <c r="DP546" i="2"/>
  <c r="CQ136" i="13" s="1"/>
  <c r="CQ23" i="13"/>
  <c r="DP497" i="2"/>
  <c r="CQ112" i="13" s="1"/>
  <c r="DP498" i="2"/>
  <c r="CQ113" i="13" s="1"/>
  <c r="CQ30" i="13"/>
  <c r="DM496" i="2"/>
  <c r="CN110" i="13" s="1"/>
  <c r="DM499" i="2"/>
  <c r="DM500" i="2"/>
  <c r="DM501" i="2"/>
  <c r="CQ49" i="13"/>
  <c r="CJ39" i="12" s="1"/>
  <c r="DP493" i="2"/>
  <c r="CQ107" i="13" s="1"/>
  <c r="DP399" i="2"/>
  <c r="DP423" i="2" s="1"/>
  <c r="DP422" i="2" s="1"/>
  <c r="DN510" i="2"/>
  <c r="CN104" i="13"/>
  <c r="DM489" i="2"/>
  <c r="CP71" i="13"/>
  <c r="DO474" i="2"/>
  <c r="DO512" i="2" s="1"/>
  <c r="CO69" i="13"/>
  <c r="DX69" i="13" s="1"/>
  <c r="CO86" i="13"/>
  <c r="DO456" i="2"/>
  <c r="CP70" i="13"/>
  <c r="DO473" i="2"/>
  <c r="DO511" i="2" s="1"/>
  <c r="DP428" i="2"/>
  <c r="DP458" i="2" s="1"/>
  <c r="CQ44" i="13"/>
  <c r="DB44" i="7"/>
  <c r="CD40" i="12" s="1"/>
  <c r="CD38" i="12" s="1"/>
  <c r="DN85" i="3"/>
  <c r="DN84" i="3" s="1"/>
  <c r="DN146" i="18" s="1"/>
  <c r="DK204" i="2"/>
  <c r="DC43" i="7"/>
  <c r="DC42" i="7" s="1"/>
  <c r="DC66" i="7" s="1"/>
  <c r="DI240" i="2"/>
  <c r="DI241" i="2"/>
  <c r="DI238" i="2"/>
  <c r="DJ240" i="2"/>
  <c r="DJ238" i="2"/>
  <c r="DJ241" i="2"/>
  <c r="CQ22" i="13"/>
  <c r="DC23" i="7"/>
  <c r="DC22" i="7" s="1"/>
  <c r="DK177" i="2"/>
  <c r="DC24" i="7" s="1"/>
  <c r="EN24" i="7" s="1"/>
  <c r="DK180" i="2"/>
  <c r="DC27" i="7" s="1"/>
  <c r="DL31" i="18" s="1"/>
  <c r="EW31" i="18" s="1"/>
  <c r="DK175" i="2"/>
  <c r="DK179" i="2"/>
  <c r="DC26" i="7" s="1"/>
  <c r="DL30" i="18" s="1"/>
  <c r="EW30" i="18" s="1"/>
  <c r="DK178" i="2"/>
  <c r="DC25" i="7" s="1"/>
  <c r="DL29" i="18" s="1"/>
  <c r="EW29" i="18" s="1"/>
  <c r="CE8" i="12"/>
  <c r="CE22" i="12" s="1"/>
  <c r="DP22" i="12" s="1"/>
  <c r="DC11" i="7"/>
  <c r="DL9" i="15" s="1"/>
  <c r="DL12" i="18" s="1"/>
  <c r="EW12" i="18" s="1"/>
  <c r="DD12" i="7"/>
  <c r="DL158" i="2"/>
  <c r="DL176" i="2"/>
  <c r="DL206" i="2" s="1"/>
  <c r="DL205" i="2" s="1"/>
  <c r="DO117" i="2"/>
  <c r="DN103" i="2"/>
  <c r="DO86" i="3" s="1"/>
  <c r="DO119" i="2"/>
  <c r="DN107" i="2"/>
  <c r="DO92" i="3" s="1"/>
  <c r="DO118" i="2"/>
  <c r="DN105" i="2"/>
  <c r="DO90" i="3" s="1"/>
  <c r="CQ29" i="13"/>
  <c r="CQ25" i="13"/>
  <c r="DN448" i="2"/>
  <c r="DN447" i="2"/>
  <c r="DN445" i="2"/>
  <c r="DN446" i="2"/>
  <c r="CH18" i="12"/>
  <c r="DQ18" i="12" s="1"/>
  <c r="DN454" i="2"/>
  <c r="DN453" i="2"/>
  <c r="DN452" i="2"/>
  <c r="CG31" i="12"/>
  <c r="CR34" i="13"/>
  <c r="DY34" i="13" s="1"/>
  <c r="EI34" i="13" s="1"/>
  <c r="CI11" i="12"/>
  <c r="CO32" i="13"/>
  <c r="DX32" i="13" s="1"/>
  <c r="CO54" i="13"/>
  <c r="DX54" i="13" s="1"/>
  <c r="CO38" i="13"/>
  <c r="DX38" i="13" s="1"/>
  <c r="CP39" i="13"/>
  <c r="CP33" i="13"/>
  <c r="DO416" i="2"/>
  <c r="DO444" i="2" s="1"/>
  <c r="CR6" i="13"/>
  <c r="DQ419" i="2"/>
  <c r="DQ425" i="2"/>
  <c r="DQ377" i="2"/>
  <c r="DQ380" i="2" s="1"/>
  <c r="DQ395" i="2"/>
  <c r="DR395" i="2" s="1"/>
  <c r="CS14" i="13" s="1"/>
  <c r="DQ396" i="2"/>
  <c r="DR396" i="2" s="1"/>
  <c r="CS15" i="13" s="1"/>
  <c r="CR40" i="13"/>
  <c r="DY40" i="13" s="1"/>
  <c r="EI40" i="13" s="1"/>
  <c r="DO318" i="2"/>
  <c r="DF156" i="7"/>
  <c r="CB105" i="11" l="1"/>
  <c r="CB73" i="12"/>
  <c r="EW175" i="18"/>
  <c r="DL190" i="18"/>
  <c r="DM177" i="18"/>
  <c r="DM175" i="18" s="1"/>
  <c r="CG108" i="12"/>
  <c r="DN120" i="15"/>
  <c r="CG137" i="11"/>
  <c r="CL5" i="11"/>
  <c r="DJ262" i="2"/>
  <c r="EM115" i="7"/>
  <c r="EM106" i="7"/>
  <c r="EV82" i="15"/>
  <c r="CA73" i="12"/>
  <c r="CA105" i="11"/>
  <c r="DP457" i="2"/>
  <c r="DM285" i="2"/>
  <c r="DK272" i="2"/>
  <c r="DK274" i="2"/>
  <c r="CE25" i="11"/>
  <c r="CE23" i="11" s="1"/>
  <c r="DP23" i="11" s="1"/>
  <c r="DL18" i="15"/>
  <c r="CT99" i="13"/>
  <c r="DU479" i="2"/>
  <c r="DU482" i="2" s="1"/>
  <c r="CU99" i="13"/>
  <c r="CS13" i="13"/>
  <c r="DR380" i="2"/>
  <c r="CS7" i="13" s="1"/>
  <c r="CS6" i="13"/>
  <c r="DT482" i="2"/>
  <c r="DT394" i="2" s="1"/>
  <c r="DT377" i="2" s="1"/>
  <c r="CU4" i="13" s="1"/>
  <c r="DZ4" i="13" s="1"/>
  <c r="DS418" i="2"/>
  <c r="CT34" i="13" s="1"/>
  <c r="DS424" i="2"/>
  <c r="CT40" i="13" s="1"/>
  <c r="DR401" i="2"/>
  <c r="DS379" i="2"/>
  <c r="DR392" i="2"/>
  <c r="CS11" i="13" s="1"/>
  <c r="DS396" i="2"/>
  <c r="CT15" i="13" s="1"/>
  <c r="DR409" i="2"/>
  <c r="DR391" i="2"/>
  <c r="CS10" i="13" s="1"/>
  <c r="DS395" i="2"/>
  <c r="CT14" i="13" s="1"/>
  <c r="DR408" i="2"/>
  <c r="DH204" i="18"/>
  <c r="DA76" i="2"/>
  <c r="DH207" i="18"/>
  <c r="EA95" i="2"/>
  <c r="DH206" i="18"/>
  <c r="DH201" i="18"/>
  <c r="DO785" i="2"/>
  <c r="CF79" i="11"/>
  <c r="CM127" i="13"/>
  <c r="CF98" i="11" s="1"/>
  <c r="CM121" i="13"/>
  <c r="DH202" i="18"/>
  <c r="DH208" i="18"/>
  <c r="DH205" i="18"/>
  <c r="DH203" i="18"/>
  <c r="DI200" i="18"/>
  <c r="DI753" i="2"/>
  <c r="DN67" i="18"/>
  <c r="CG94" i="12"/>
  <c r="CG91" i="12" s="1"/>
  <c r="CG97" i="12"/>
  <c r="CG95" i="12"/>
  <c r="DW156" i="13"/>
  <c r="CM156" i="13"/>
  <c r="CF118" i="11"/>
  <c r="EV80" i="18"/>
  <c r="EW93" i="15"/>
  <c r="DL114" i="15"/>
  <c r="EO156" i="7"/>
  <c r="DO137" i="15"/>
  <c r="DK775" i="2"/>
  <c r="DO49" i="12"/>
  <c r="DO52" i="12"/>
  <c r="DO51" i="12"/>
  <c r="CP87" i="13"/>
  <c r="CG52" i="11"/>
  <c r="DW128" i="13"/>
  <c r="CJ21" i="12"/>
  <c r="DJ32" i="18"/>
  <c r="CK6" i="11"/>
  <c r="DY6" i="13"/>
  <c r="EI6" i="13" s="1"/>
  <c r="CI33" i="11"/>
  <c r="CE113" i="11"/>
  <c r="DP98" i="11"/>
  <c r="DW142" i="13"/>
  <c r="CF82" i="12"/>
  <c r="CO85" i="13"/>
  <c r="DX85" i="13" s="1"/>
  <c r="DX86" i="13"/>
  <c r="DO74" i="11"/>
  <c r="DP8" i="12"/>
  <c r="CE103" i="12"/>
  <c r="DP82" i="12"/>
  <c r="CJ8" i="11"/>
  <c r="CG53" i="11"/>
  <c r="CN125" i="13"/>
  <c r="CN131" i="13"/>
  <c r="EN43" i="7"/>
  <c r="DA66" i="7"/>
  <c r="EN42" i="7"/>
  <c r="DJ27" i="15"/>
  <c r="DJ47" i="15" s="1"/>
  <c r="DO71" i="11"/>
  <c r="EN26" i="7"/>
  <c r="DO73" i="11"/>
  <c r="EN25" i="7"/>
  <c r="EN11" i="7"/>
  <c r="EN23" i="7"/>
  <c r="CF13" i="11"/>
  <c r="CF11" i="11" s="1"/>
  <c r="DP13" i="11"/>
  <c r="EN27" i="7"/>
  <c r="CB60" i="11"/>
  <c r="DO36" i="11"/>
  <c r="CC36" i="11"/>
  <c r="EV43" i="15"/>
  <c r="DJ43" i="18"/>
  <c r="CN74" i="13"/>
  <c r="CN165" i="13" s="1"/>
  <c r="DA106" i="7"/>
  <c r="DA115" i="7"/>
  <c r="CD38" i="11"/>
  <c r="CD36" i="11" s="1"/>
  <c r="DM93" i="15"/>
  <c r="DM114" i="15" s="1"/>
  <c r="CH153" i="11"/>
  <c r="DQ153" i="11" s="1"/>
  <c r="CH124" i="12"/>
  <c r="DQ124" i="12" s="1"/>
  <c r="EY90" i="3"/>
  <c r="DO155" i="18"/>
  <c r="EX155" i="18" s="1"/>
  <c r="EW9" i="15"/>
  <c r="DK27" i="15"/>
  <c r="DK47" i="15" s="1"/>
  <c r="DK45" i="15" s="1"/>
  <c r="DK27" i="18"/>
  <c r="DF157" i="7"/>
  <c r="EO157" i="7" s="1"/>
  <c r="DP24" i="15"/>
  <c r="DL28" i="18"/>
  <c r="EY86" i="3"/>
  <c r="DO154" i="18"/>
  <c r="EX154" i="18" s="1"/>
  <c r="DF158" i="7"/>
  <c r="EO158" i="7" s="1"/>
  <c r="EY92" i="3"/>
  <c r="DO156" i="18"/>
  <c r="EX156" i="18" s="1"/>
  <c r="DQ19" i="15"/>
  <c r="DQ28" i="15" s="1"/>
  <c r="CJ24" i="11"/>
  <c r="CJ37" i="11"/>
  <c r="CQ17" i="13"/>
  <c r="CG58" i="12"/>
  <c r="DN68" i="15" s="1"/>
  <c r="CN103" i="13"/>
  <c r="CN133" i="13"/>
  <c r="CL158" i="13"/>
  <c r="DW158" i="13" s="1"/>
  <c r="CL142" i="13"/>
  <c r="DC32" i="7"/>
  <c r="CN123" i="13"/>
  <c r="DM543" i="2"/>
  <c r="DM549" i="2" s="1"/>
  <c r="CQ18" i="13"/>
  <c r="DP398" i="2"/>
  <c r="DP417" i="2"/>
  <c r="DP439" i="2" s="1"/>
  <c r="CN116" i="13"/>
  <c r="CN114" i="13"/>
  <c r="CN115" i="13"/>
  <c r="DM488" i="2"/>
  <c r="DO510" i="2"/>
  <c r="DP474" i="2"/>
  <c r="DP512" i="2" s="1"/>
  <c r="CQ71" i="13"/>
  <c r="CQ87" i="13" s="1"/>
  <c r="CP69" i="13"/>
  <c r="CP86" i="13"/>
  <c r="DQ408" i="2"/>
  <c r="DQ435" i="2" s="1"/>
  <c r="DQ494" i="2" s="1"/>
  <c r="DQ409" i="2"/>
  <c r="DQ436" i="2" s="1"/>
  <c r="CQ43" i="13"/>
  <c r="DC44" i="7"/>
  <c r="DL204" i="2"/>
  <c r="DD43" i="7"/>
  <c r="DL180" i="2"/>
  <c r="DD27" i="7" s="1"/>
  <c r="DM31" i="18" s="1"/>
  <c r="DL178" i="2"/>
  <c r="DD25" i="7" s="1"/>
  <c r="DD23" i="7"/>
  <c r="DD22" i="7" s="1"/>
  <c r="DL175" i="2"/>
  <c r="DL177" i="2"/>
  <c r="DD24" i="7" s="1"/>
  <c r="DL179" i="2"/>
  <c r="DD26" i="7" s="1"/>
  <c r="DI228" i="2"/>
  <c r="DA72" i="7" s="1"/>
  <c r="DA83" i="7"/>
  <c r="CF8" i="12"/>
  <c r="DD11" i="7"/>
  <c r="DI231" i="2"/>
  <c r="DA76" i="7" s="1"/>
  <c r="DJ60" i="15" s="1"/>
  <c r="DA86" i="7"/>
  <c r="DE12" i="7"/>
  <c r="CG13" i="11" s="1"/>
  <c r="CG11" i="11" s="1"/>
  <c r="DM158" i="2"/>
  <c r="DM176" i="2"/>
  <c r="DM206" i="2" s="1"/>
  <c r="DM205" i="2" s="1"/>
  <c r="DI230" i="2"/>
  <c r="DA75" i="7" s="1"/>
  <c r="DJ59" i="15" s="1"/>
  <c r="DA85" i="7"/>
  <c r="DJ228" i="2"/>
  <c r="DB72" i="7" s="1"/>
  <c r="DB83" i="7"/>
  <c r="DJ231" i="2"/>
  <c r="DB76" i="7" s="1"/>
  <c r="DK60" i="15" s="1"/>
  <c r="DB86" i="7"/>
  <c r="DJ230" i="2"/>
  <c r="DB75" i="7" s="1"/>
  <c r="DK59" i="15" s="1"/>
  <c r="DB85" i="7"/>
  <c r="DK240" i="2"/>
  <c r="DK238" i="2"/>
  <c r="DK241" i="2"/>
  <c r="DP118" i="2"/>
  <c r="DO105" i="2"/>
  <c r="DP90" i="3" s="1"/>
  <c r="DP155" i="18" s="1"/>
  <c r="DP119" i="2"/>
  <c r="DO107" i="2"/>
  <c r="DP92" i="3" s="1"/>
  <c r="DP156" i="18" s="1"/>
  <c r="DO85" i="3"/>
  <c r="DO84" i="3" s="1"/>
  <c r="DO146" i="18" s="1"/>
  <c r="EX146" i="18" s="1"/>
  <c r="DP117" i="2"/>
  <c r="DO103" i="2"/>
  <c r="DP86" i="3" s="1"/>
  <c r="DP154" i="18" s="1"/>
  <c r="CR41" i="13"/>
  <c r="DY41" i="13" s="1"/>
  <c r="EI41" i="13" s="1"/>
  <c r="CO66" i="13"/>
  <c r="DX66" i="13" s="1"/>
  <c r="DO453" i="2"/>
  <c r="DN469" i="2"/>
  <c r="DN507" i="2" s="1"/>
  <c r="DN491" i="2" s="1"/>
  <c r="CO105" i="13" s="1"/>
  <c r="DX105" i="13" s="1"/>
  <c r="CI18" i="12"/>
  <c r="DO446" i="2"/>
  <c r="CO58" i="13"/>
  <c r="DN463" i="2"/>
  <c r="DO454" i="2"/>
  <c r="CO67" i="13"/>
  <c r="DN470" i="2"/>
  <c r="DN508" i="2" s="1"/>
  <c r="DN492" i="2" s="1"/>
  <c r="CO106" i="13" s="1"/>
  <c r="DX106" i="13" s="1"/>
  <c r="CR35" i="13"/>
  <c r="DY35" i="13" s="1"/>
  <c r="EI35" i="13" s="1"/>
  <c r="CO57" i="13"/>
  <c r="DX57" i="13" s="1"/>
  <c r="DO445" i="2"/>
  <c r="DN462" i="2"/>
  <c r="CO59" i="13"/>
  <c r="DO447" i="2"/>
  <c r="DN464" i="2"/>
  <c r="DN451" i="2"/>
  <c r="CO65" i="13"/>
  <c r="DO452" i="2"/>
  <c r="DN468" i="2"/>
  <c r="DN506" i="2" s="1"/>
  <c r="DO448" i="2"/>
  <c r="CO60" i="13"/>
  <c r="DN465" i="2"/>
  <c r="CP32" i="13"/>
  <c r="CP54" i="13"/>
  <c r="CR15" i="13"/>
  <c r="DY15" i="13" s="1"/>
  <c r="EI15" i="13" s="1"/>
  <c r="DQ392" i="2"/>
  <c r="CR14" i="13"/>
  <c r="DY14" i="13" s="1"/>
  <c r="EI14" i="13" s="1"/>
  <c r="DQ391" i="2"/>
  <c r="CR10" i="13" s="1"/>
  <c r="DY10" i="13" s="1"/>
  <c r="EI10" i="13" s="1"/>
  <c r="CP38" i="13"/>
  <c r="CR4" i="13"/>
  <c r="DY4" i="13" s="1"/>
  <c r="EI4" i="13" s="1"/>
  <c r="CQ39" i="13"/>
  <c r="DP318" i="2"/>
  <c r="DG156" i="7"/>
  <c r="DP137" i="15" s="1"/>
  <c r="CU95" i="13" l="1"/>
  <c r="DZ95" i="13" s="1"/>
  <c r="DZ99" i="13"/>
  <c r="EW190" i="18"/>
  <c r="DL189" i="18"/>
  <c r="EW189" i="18" s="1"/>
  <c r="DM190" i="18"/>
  <c r="CG107" i="12"/>
  <c r="DN117" i="15"/>
  <c r="CG136" i="11"/>
  <c r="CL30" i="11"/>
  <c r="CL6" i="11"/>
  <c r="DO73" i="12"/>
  <c r="DB106" i="7"/>
  <c r="DK82" i="15" s="1"/>
  <c r="DK262" i="2"/>
  <c r="DO105" i="11"/>
  <c r="DB115" i="7"/>
  <c r="EW28" i="18"/>
  <c r="DQ48" i="15"/>
  <c r="DL272" i="2"/>
  <c r="DL274" i="2"/>
  <c r="DP25" i="11"/>
  <c r="DN285" i="2"/>
  <c r="CS3" i="13"/>
  <c r="CT98" i="13"/>
  <c r="DU483" i="2"/>
  <c r="CV99" i="13" s="1"/>
  <c r="DT378" i="2"/>
  <c r="CU5" i="13" s="1"/>
  <c r="DR436" i="2"/>
  <c r="CS27" i="13"/>
  <c r="DS6" i="15"/>
  <c r="CL4" i="12"/>
  <c r="DS380" i="2"/>
  <c r="CT7" i="13" s="1"/>
  <c r="CT6" i="13"/>
  <c r="CL12" i="11"/>
  <c r="CL7" i="12"/>
  <c r="DS10" i="15"/>
  <c r="DR419" i="2"/>
  <c r="CS35" i="13" s="1"/>
  <c r="CS20" i="13"/>
  <c r="DR435" i="2"/>
  <c r="CS50" i="13" s="1"/>
  <c r="CS26" i="13"/>
  <c r="CV95" i="13"/>
  <c r="CU98" i="13"/>
  <c r="CT13" i="13"/>
  <c r="DQ426" i="2"/>
  <c r="DT396" i="2"/>
  <c r="CU15" i="13" s="1"/>
  <c r="DZ15" i="13" s="1"/>
  <c r="DS409" i="2"/>
  <c r="DS392" i="2"/>
  <c r="CT11" i="13" s="1"/>
  <c r="DS401" i="2"/>
  <c r="DR425" i="2"/>
  <c r="CS41" i="13" s="1"/>
  <c r="DU394" i="2"/>
  <c r="DU377" i="2" s="1"/>
  <c r="CV4" i="13" s="1"/>
  <c r="DT379" i="2"/>
  <c r="DR407" i="2"/>
  <c r="DT395" i="2"/>
  <c r="CU14" i="13" s="1"/>
  <c r="DZ14" i="13" s="1"/>
  <c r="DS408" i="2"/>
  <c r="DS391" i="2"/>
  <c r="CT10" i="13" s="1"/>
  <c r="DB76" i="2"/>
  <c r="EB95" i="2"/>
  <c r="DP785" i="2"/>
  <c r="CM128" i="13"/>
  <c r="CM141" i="13"/>
  <c r="CM122" i="13"/>
  <c r="CF89" i="11"/>
  <c r="DI205" i="18"/>
  <c r="EV205" i="18" s="1"/>
  <c r="DI203" i="18"/>
  <c r="EV203" i="18" s="1"/>
  <c r="DI204" i="18"/>
  <c r="DI206" i="18"/>
  <c r="DI201" i="18"/>
  <c r="DI207" i="18"/>
  <c r="EV200" i="18"/>
  <c r="DJ200" i="18"/>
  <c r="DJ753" i="2"/>
  <c r="DI202" i="18"/>
  <c r="DI208" i="18"/>
  <c r="EW114" i="15"/>
  <c r="DL132" i="15"/>
  <c r="EX137" i="15"/>
  <c r="DM132" i="15"/>
  <c r="EN44" i="7"/>
  <c r="CE40" i="12"/>
  <c r="DL775" i="2"/>
  <c r="CN155" i="13"/>
  <c r="CO78" i="13"/>
  <c r="DX78" i="13" s="1"/>
  <c r="DX60" i="13"/>
  <c r="CH43" i="11"/>
  <c r="DQ43" i="11" s="1"/>
  <c r="DX59" i="13"/>
  <c r="CO81" i="13"/>
  <c r="DX81" i="13" s="1"/>
  <c r="DX65" i="13"/>
  <c r="CN162" i="13"/>
  <c r="CO83" i="13"/>
  <c r="DX67" i="13"/>
  <c r="CF103" i="12"/>
  <c r="CE132" i="11"/>
  <c r="DP113" i="11"/>
  <c r="CG55" i="11"/>
  <c r="CK31" i="11"/>
  <c r="DR31" i="11" s="1"/>
  <c r="EB31" i="11" s="1"/>
  <c r="DR6" i="11"/>
  <c r="EB6" i="11" s="1"/>
  <c r="CP85" i="13"/>
  <c r="CF113" i="11"/>
  <c r="CF22" i="12"/>
  <c r="DW159" i="13"/>
  <c r="CJ20" i="11"/>
  <c r="CG87" i="11"/>
  <c r="CG96" i="11"/>
  <c r="CH42" i="11"/>
  <c r="DQ42" i="11" s="1"/>
  <c r="DX58" i="13"/>
  <c r="CE118" i="12"/>
  <c r="DP118" i="12" s="1"/>
  <c r="DP103" i="12"/>
  <c r="EN32" i="7"/>
  <c r="DD42" i="7"/>
  <c r="EN66" i="7"/>
  <c r="DJ82" i="15"/>
  <c r="CD60" i="11"/>
  <c r="DM9" i="15"/>
  <c r="DM12" i="18" s="1"/>
  <c r="EN22" i="7"/>
  <c r="DM30" i="18"/>
  <c r="CF25" i="11"/>
  <c r="CF23" i="11" s="1"/>
  <c r="DM29" i="18"/>
  <c r="CC60" i="11"/>
  <c r="DO60" i="11"/>
  <c r="EY85" i="3"/>
  <c r="EY84" i="3" s="1"/>
  <c r="DO153" i="18"/>
  <c r="EX153" i="18" s="1"/>
  <c r="CD49" i="12"/>
  <c r="CD71" i="11"/>
  <c r="CC52" i="12"/>
  <c r="CC74" i="11"/>
  <c r="CH69" i="11"/>
  <c r="DQ69" i="11" s="1"/>
  <c r="DM28" i="18"/>
  <c r="CI153" i="11"/>
  <c r="CI124" i="12"/>
  <c r="CD52" i="12"/>
  <c r="CD74" i="11"/>
  <c r="CG77" i="11"/>
  <c r="CG64" i="11"/>
  <c r="DN87" i="18"/>
  <c r="DG158" i="7"/>
  <c r="DL27" i="15"/>
  <c r="DL27" i="18"/>
  <c r="EW27" i="18" s="1"/>
  <c r="CC73" i="12"/>
  <c r="CC105" i="11"/>
  <c r="DG157" i="7"/>
  <c r="DK32" i="18"/>
  <c r="DK43" i="18"/>
  <c r="DJ45" i="15"/>
  <c r="DK43" i="15" s="1"/>
  <c r="CG70" i="12"/>
  <c r="CG102" i="11"/>
  <c r="CH65" i="11"/>
  <c r="CH70" i="11"/>
  <c r="DQ70" i="11" s="1"/>
  <c r="CD51" i="12"/>
  <c r="CD73" i="11"/>
  <c r="CC51" i="12"/>
  <c r="CC73" i="11"/>
  <c r="DK80" i="18"/>
  <c r="CC49" i="12"/>
  <c r="CC71" i="11"/>
  <c r="EW18" i="15"/>
  <c r="DP153" i="18"/>
  <c r="CE38" i="11"/>
  <c r="CE36" i="11" s="1"/>
  <c r="CE60" i="11" s="1"/>
  <c r="CG45" i="12"/>
  <c r="CH25" i="12"/>
  <c r="DQ25" i="12" s="1"/>
  <c r="DN54" i="15"/>
  <c r="DO33" i="15"/>
  <c r="DN80" i="15"/>
  <c r="CN139" i="13"/>
  <c r="CJ11" i="12"/>
  <c r="DQ15" i="15"/>
  <c r="CL159" i="13"/>
  <c r="CL167" i="13"/>
  <c r="DW167" i="13" s="1"/>
  <c r="DD32" i="7"/>
  <c r="CN129" i="13"/>
  <c r="CN124" i="13"/>
  <c r="CN130" i="13"/>
  <c r="CQ33" i="13"/>
  <c r="DP416" i="2"/>
  <c r="DP444" i="2" s="1"/>
  <c r="DP448" i="2" s="1"/>
  <c r="CN102" i="13"/>
  <c r="DM502" i="2"/>
  <c r="CR108" i="13"/>
  <c r="DY108" i="13" s="1"/>
  <c r="EI108" i="13" s="1"/>
  <c r="CR51" i="13"/>
  <c r="DY51" i="13" s="1"/>
  <c r="EI51" i="13" s="1"/>
  <c r="DQ495" i="2"/>
  <c r="CR109" i="13" s="1"/>
  <c r="DY109" i="13" s="1"/>
  <c r="EI109" i="13" s="1"/>
  <c r="DN505" i="2"/>
  <c r="DN490" i="2"/>
  <c r="CR50" i="13"/>
  <c r="DY50" i="13" s="1"/>
  <c r="EI50" i="13" s="1"/>
  <c r="DQ434" i="2"/>
  <c r="CQ70" i="13"/>
  <c r="DP456" i="2"/>
  <c r="DP473" i="2"/>
  <c r="DP511" i="2" s="1"/>
  <c r="DP510" i="2" s="1"/>
  <c r="CR11" i="13"/>
  <c r="DY11" i="13" s="1"/>
  <c r="EI11" i="13" s="1"/>
  <c r="DQ376" i="2"/>
  <c r="DQ420" i="2"/>
  <c r="DD44" i="7"/>
  <c r="CF40" i="12" s="1"/>
  <c r="DM204" i="2"/>
  <c r="DE43" i="7"/>
  <c r="DE42" i="7" s="1"/>
  <c r="DF12" i="7"/>
  <c r="CH13" i="11" s="1"/>
  <c r="DN176" i="2"/>
  <c r="DN206" i="2" s="1"/>
  <c r="DN205" i="2" s="1"/>
  <c r="DN158" i="2"/>
  <c r="DC86" i="7"/>
  <c r="EN86" i="7" s="1"/>
  <c r="DK231" i="2"/>
  <c r="DC76" i="7" s="1"/>
  <c r="DL60" i="15" s="1"/>
  <c r="DC83" i="7"/>
  <c r="EN83" i="7" s="1"/>
  <c r="DK228" i="2"/>
  <c r="DC72" i="7" s="1"/>
  <c r="DK230" i="2"/>
  <c r="DC75" i="7" s="1"/>
  <c r="DL59" i="15" s="1"/>
  <c r="DC85" i="7"/>
  <c r="EN85" i="7" s="1"/>
  <c r="DM179" i="2"/>
  <c r="DE26" i="7" s="1"/>
  <c r="DN30" i="18" s="1"/>
  <c r="DM178" i="2"/>
  <c r="DE25" i="7" s="1"/>
  <c r="DN29" i="18" s="1"/>
  <c r="DM180" i="2"/>
  <c r="DE27" i="7" s="1"/>
  <c r="DN31" i="18" s="1"/>
  <c r="DE23" i="7"/>
  <c r="DE22" i="7" s="1"/>
  <c r="DM177" i="2"/>
  <c r="DE24" i="7" s="1"/>
  <c r="DM175" i="2"/>
  <c r="CG8" i="12"/>
  <c r="CG22" i="12" s="1"/>
  <c r="DE11" i="7"/>
  <c r="DN9" i="15" s="1"/>
  <c r="DN12" i="18" s="1"/>
  <c r="DL241" i="2"/>
  <c r="DL238" i="2"/>
  <c r="DL240" i="2"/>
  <c r="DP85" i="3"/>
  <c r="DP84" i="3" s="1"/>
  <c r="DP146" i="18" s="1"/>
  <c r="DQ117" i="2"/>
  <c r="DP103" i="2"/>
  <c r="DQ86" i="3" s="1"/>
  <c r="DQ154" i="18" s="1"/>
  <c r="DQ119" i="2"/>
  <c r="DP107" i="2"/>
  <c r="DQ92" i="3" s="1"/>
  <c r="DQ156" i="18" s="1"/>
  <c r="DQ118" i="2"/>
  <c r="DP105" i="2"/>
  <c r="DQ90" i="3" s="1"/>
  <c r="DQ155" i="18" s="1"/>
  <c r="CR13" i="13"/>
  <c r="CP67" i="13"/>
  <c r="DP454" i="2"/>
  <c r="DO470" i="2"/>
  <c r="DO508" i="2" s="1"/>
  <c r="DO492" i="2" s="1"/>
  <c r="CP106" i="13" s="1"/>
  <c r="CP60" i="13"/>
  <c r="DO465" i="2"/>
  <c r="CP57" i="13"/>
  <c r="DO462" i="2"/>
  <c r="DP453" i="2"/>
  <c r="CP66" i="13"/>
  <c r="DO469" i="2"/>
  <c r="DO507" i="2" s="1"/>
  <c r="DO491" i="2" s="1"/>
  <c r="CP105" i="13" s="1"/>
  <c r="CP58" i="13"/>
  <c r="DO463" i="2"/>
  <c r="DN461" i="2"/>
  <c r="DO451" i="2"/>
  <c r="DP452" i="2"/>
  <c r="CP65" i="13"/>
  <c r="DO468" i="2"/>
  <c r="DO506" i="2" s="1"/>
  <c r="CO56" i="13"/>
  <c r="DX56" i="13" s="1"/>
  <c r="CO75" i="13"/>
  <c r="CO64" i="13"/>
  <c r="DX64" i="13" s="1"/>
  <c r="CO82" i="13"/>
  <c r="DX82" i="13" s="1"/>
  <c r="CP59" i="13"/>
  <c r="DO464" i="2"/>
  <c r="CR26" i="13"/>
  <c r="DQ407" i="2"/>
  <c r="DQ404" i="2"/>
  <c r="DR404" i="2" s="1"/>
  <c r="CS22" i="13" s="1"/>
  <c r="CQ38" i="13"/>
  <c r="CR27" i="13"/>
  <c r="DY27" i="13" s="1"/>
  <c r="DQ405" i="2"/>
  <c r="CR7" i="13"/>
  <c r="DH156" i="7"/>
  <c r="DQ137" i="15" s="1"/>
  <c r="DQ318" i="2"/>
  <c r="DZ98" i="13" l="1"/>
  <c r="DC115" i="7"/>
  <c r="EN115" i="7" s="1"/>
  <c r="CD105" i="11"/>
  <c r="DC106" i="7"/>
  <c r="DL82" i="15" s="1"/>
  <c r="CD73" i="12"/>
  <c r="DM189" i="18"/>
  <c r="DN177" i="18"/>
  <c r="DN175" i="18" s="1"/>
  <c r="CL8" i="11"/>
  <c r="CN5" i="11"/>
  <c r="DZ5" i="13"/>
  <c r="CL18" i="11"/>
  <c r="DN570" i="2"/>
  <c r="DN590" i="2"/>
  <c r="CO161" i="13" s="1"/>
  <c r="DL262" i="2"/>
  <c r="DO285" i="2"/>
  <c r="DM272" i="2"/>
  <c r="DM274" i="2"/>
  <c r="CG25" i="11"/>
  <c r="CG23" i="11" s="1"/>
  <c r="DV479" i="2"/>
  <c r="DT418" i="2"/>
  <c r="CU34" i="13" s="1"/>
  <c r="DZ34" i="13" s="1"/>
  <c r="CU13" i="13"/>
  <c r="DU378" i="2"/>
  <c r="CV5" i="13" s="1"/>
  <c r="DT424" i="2"/>
  <c r="CU40" i="13" s="1"/>
  <c r="DZ40" i="13" s="1"/>
  <c r="CS29" i="13"/>
  <c r="CL14" i="12"/>
  <c r="CS25" i="13"/>
  <c r="CS30" i="13"/>
  <c r="CL15" i="12"/>
  <c r="DT380" i="2"/>
  <c r="CU7" i="13" s="1"/>
  <c r="DZ7" i="13" s="1"/>
  <c r="CU6" i="13"/>
  <c r="CN6" i="11" s="1"/>
  <c r="DR495" i="2"/>
  <c r="CS109" i="13" s="1"/>
  <c r="CS51" i="13"/>
  <c r="DR494" i="2"/>
  <c r="DR434" i="2"/>
  <c r="DR498" i="2" s="1"/>
  <c r="CS113" i="13" s="1"/>
  <c r="DS435" i="2"/>
  <c r="CT50" i="13" s="1"/>
  <c r="CT26" i="13"/>
  <c r="DS436" i="2"/>
  <c r="CT27" i="13"/>
  <c r="DT10" i="15"/>
  <c r="CM7" i="12"/>
  <c r="CM12" i="11"/>
  <c r="CM6" i="11"/>
  <c r="DS6" i="11" s="1"/>
  <c r="CT3" i="13"/>
  <c r="CM8" i="11" s="1"/>
  <c r="DS425" i="2"/>
  <c r="CT41" i="13" s="1"/>
  <c r="CT20" i="13"/>
  <c r="CM18" i="11" s="1"/>
  <c r="CV98" i="13"/>
  <c r="CW95" i="13"/>
  <c r="DT6" i="15"/>
  <c r="CM4" i="12"/>
  <c r="DS419" i="2"/>
  <c r="CT35" i="13" s="1"/>
  <c r="DT401" i="2"/>
  <c r="DI156" i="7"/>
  <c r="DR137" i="15" s="1"/>
  <c r="EY137" i="15" s="1"/>
  <c r="FI137" i="15" s="1"/>
  <c r="DR318" i="2"/>
  <c r="DU395" i="2"/>
  <c r="CV14" i="13" s="1"/>
  <c r="DT408" i="2"/>
  <c r="DT391" i="2"/>
  <c r="CU10" i="13" s="1"/>
  <c r="DZ10" i="13" s="1"/>
  <c r="DU396" i="2"/>
  <c r="CV15" i="13" s="1"/>
  <c r="DT409" i="2"/>
  <c r="DT392" i="2"/>
  <c r="CU11" i="13" s="1"/>
  <c r="DZ11" i="13" s="1"/>
  <c r="DR376" i="2"/>
  <c r="DR420" i="2"/>
  <c r="CS36" i="13" s="1"/>
  <c r="DR426" i="2"/>
  <c r="DS407" i="2"/>
  <c r="DU379" i="2"/>
  <c r="CR23" i="13"/>
  <c r="DY23" i="13" s="1"/>
  <c r="EI23" i="13" s="1"/>
  <c r="DR405" i="2"/>
  <c r="DS404" i="2"/>
  <c r="CT22" i="13" s="1"/>
  <c r="DC76" i="2"/>
  <c r="EC95" i="2"/>
  <c r="DQ103" i="2"/>
  <c r="DR86" i="3" s="1"/>
  <c r="DR154" i="18" s="1"/>
  <c r="EY154" i="18" s="1"/>
  <c r="FI154" i="18" s="1"/>
  <c r="DR117" i="2"/>
  <c r="DQ107" i="2"/>
  <c r="DR92" i="3" s="1"/>
  <c r="DR156" i="18" s="1"/>
  <c r="EY156" i="18" s="1"/>
  <c r="FI156" i="18" s="1"/>
  <c r="DR119" i="2"/>
  <c r="DQ105" i="2"/>
  <c r="DR90" i="3" s="1"/>
  <c r="DR155" i="18" s="1"/>
  <c r="EY155" i="18" s="1"/>
  <c r="FI155" i="18" s="1"/>
  <c r="DR118" i="2"/>
  <c r="DQ785" i="2"/>
  <c r="CM158" i="13"/>
  <c r="CM142" i="13"/>
  <c r="EV204" i="18"/>
  <c r="DJ204" i="18"/>
  <c r="EV206" i="18"/>
  <c r="DJ206" i="18"/>
  <c r="EV201" i="18"/>
  <c r="DJ201" i="18"/>
  <c r="EV207" i="18"/>
  <c r="DJ207" i="18"/>
  <c r="DK753" i="2"/>
  <c r="DK200" i="18"/>
  <c r="EV202" i="18"/>
  <c r="DJ202" i="18"/>
  <c r="EV208" i="18"/>
  <c r="DJ208" i="18"/>
  <c r="DJ205" i="18"/>
  <c r="DJ203" i="18"/>
  <c r="CE38" i="12"/>
  <c r="DP38" i="12" s="1"/>
  <c r="DP40" i="12"/>
  <c r="EW132" i="15"/>
  <c r="DN162" i="18"/>
  <c r="DN108" i="15"/>
  <c r="CN144" i="13"/>
  <c r="CG88" i="12"/>
  <c r="DN99" i="15"/>
  <c r="DX75" i="13"/>
  <c r="EW59" i="15"/>
  <c r="CG128" i="11"/>
  <c r="CG99" i="12"/>
  <c r="DM775" i="2"/>
  <c r="DX62" i="13"/>
  <c r="CP78" i="13"/>
  <c r="CR3" i="13"/>
  <c r="DY7" i="13"/>
  <c r="EI7" i="13" s="1"/>
  <c r="CI43" i="11"/>
  <c r="CP81" i="13"/>
  <c r="DW168" i="13"/>
  <c r="CK14" i="12"/>
  <c r="DR14" i="12" s="1"/>
  <c r="EB14" i="12" s="1"/>
  <c r="DY26" i="13"/>
  <c r="CP83" i="13"/>
  <c r="CJ33" i="11"/>
  <c r="DY30" i="13"/>
  <c r="EI27" i="13"/>
  <c r="EI30" i="13" s="1"/>
  <c r="CF38" i="12"/>
  <c r="CK12" i="11"/>
  <c r="DR12" i="11" s="1"/>
  <c r="EB12" i="11" s="1"/>
  <c r="DY13" i="13"/>
  <c r="EI13" i="13" s="1"/>
  <c r="CG79" i="11"/>
  <c r="CJ18" i="12"/>
  <c r="CF118" i="12"/>
  <c r="CF132" i="11"/>
  <c r="CQ32" i="13"/>
  <c r="DE66" i="7"/>
  <c r="DQ65" i="11"/>
  <c r="CO77" i="13"/>
  <c r="DX83" i="13"/>
  <c r="CI42" i="11"/>
  <c r="CE147" i="11"/>
  <c r="DP147" i="11" s="1"/>
  <c r="DP132" i="11"/>
  <c r="EW60" i="15"/>
  <c r="EN75" i="7"/>
  <c r="DD66" i="7"/>
  <c r="EN76" i="7"/>
  <c r="DM18" i="15"/>
  <c r="DM27" i="18" s="1"/>
  <c r="EO12" i="7"/>
  <c r="DP36" i="11"/>
  <c r="DP38" i="11"/>
  <c r="CH11" i="11"/>
  <c r="DQ11" i="11" s="1"/>
  <c r="DQ13" i="11"/>
  <c r="DH157" i="7"/>
  <c r="CO80" i="13"/>
  <c r="DX80" i="13" s="1"/>
  <c r="CO76" i="13"/>
  <c r="CJ153" i="11"/>
  <c r="CJ124" i="12"/>
  <c r="CI69" i="11"/>
  <c r="CI70" i="11"/>
  <c r="CI65" i="11"/>
  <c r="DQ153" i="18"/>
  <c r="DN28" i="18"/>
  <c r="CE49" i="12"/>
  <c r="DP49" i="12" s="1"/>
  <c r="CE71" i="11"/>
  <c r="DP71" i="11" s="1"/>
  <c r="DO39" i="15"/>
  <c r="EX39" i="15" s="1"/>
  <c r="EX33" i="15"/>
  <c r="DL32" i="18"/>
  <c r="DL43" i="18"/>
  <c r="EW43" i="18" s="1"/>
  <c r="CG95" i="11"/>
  <c r="CG86" i="11"/>
  <c r="CE52" i="12"/>
  <c r="DP52" i="12" s="1"/>
  <c r="CE74" i="11"/>
  <c r="DP74" i="11" s="1"/>
  <c r="DQ24" i="15"/>
  <c r="DN74" i="15"/>
  <c r="DL47" i="15"/>
  <c r="EW27" i="15"/>
  <c r="DJ43" i="15"/>
  <c r="DJ80" i="18"/>
  <c r="CF38" i="11"/>
  <c r="CE51" i="12"/>
  <c r="DP51" i="12" s="1"/>
  <c r="CE73" i="11"/>
  <c r="DP73" i="11" s="1"/>
  <c r="CO62" i="13"/>
  <c r="CH45" i="11"/>
  <c r="DQ45" i="11" s="1"/>
  <c r="DH158" i="7"/>
  <c r="CI25" i="12"/>
  <c r="CK4" i="12"/>
  <c r="DR4" i="12" s="1"/>
  <c r="EB4" i="12" s="1"/>
  <c r="CG64" i="12"/>
  <c r="DR6" i="15"/>
  <c r="EY6" i="15" s="1"/>
  <c r="FI6" i="15" s="1"/>
  <c r="DP33" i="15"/>
  <c r="DE32" i="7"/>
  <c r="DN18" i="15"/>
  <c r="CL168" i="13"/>
  <c r="CK7" i="12"/>
  <c r="DR10" i="15"/>
  <c r="EY10" i="15" s="1"/>
  <c r="FI10" i="15" s="1"/>
  <c r="CN121" i="13"/>
  <c r="CN127" i="13"/>
  <c r="DN547" i="2"/>
  <c r="CO137" i="13" s="1"/>
  <c r="DN548" i="2"/>
  <c r="CO138" i="13" s="1"/>
  <c r="DQ544" i="2"/>
  <c r="CR134" i="13" s="1"/>
  <c r="DY134" i="13" s="1"/>
  <c r="EI134" i="13" s="1"/>
  <c r="DQ546" i="2"/>
  <c r="CR136" i="13" s="1"/>
  <c r="DY136" i="13" s="1"/>
  <c r="EI136" i="13" s="1"/>
  <c r="CQ54" i="13"/>
  <c r="DP445" i="2"/>
  <c r="DP462" i="2" s="1"/>
  <c r="DP447" i="2"/>
  <c r="DP464" i="2" s="1"/>
  <c r="DQ497" i="2"/>
  <c r="CR112" i="13" s="1"/>
  <c r="DQ498" i="2"/>
  <c r="CR113" i="13" s="1"/>
  <c r="DP446" i="2"/>
  <c r="DP463" i="2" s="1"/>
  <c r="DN496" i="2"/>
  <c r="CO110" i="13" s="1"/>
  <c r="DN501" i="2"/>
  <c r="DN499" i="2"/>
  <c r="DN500" i="2"/>
  <c r="CR49" i="13"/>
  <c r="CK39" i="12" s="1"/>
  <c r="DR39" i="12" s="1"/>
  <c r="EB39" i="12" s="1"/>
  <c r="DQ493" i="2"/>
  <c r="CR107" i="13" s="1"/>
  <c r="CO104" i="13"/>
  <c r="DN489" i="2"/>
  <c r="DO505" i="2"/>
  <c r="DO490" i="2"/>
  <c r="CQ69" i="13"/>
  <c r="CQ86" i="13"/>
  <c r="DQ429" i="2"/>
  <c r="DL230" i="2"/>
  <c r="DD75" i="7" s="1"/>
  <c r="DM59" i="15" s="1"/>
  <c r="DD85" i="7"/>
  <c r="DF43" i="7"/>
  <c r="DF42" i="7" s="1"/>
  <c r="DF66" i="7" s="1"/>
  <c r="DN204" i="2"/>
  <c r="DL228" i="2"/>
  <c r="DD72" i="7" s="1"/>
  <c r="DD83" i="7"/>
  <c r="DN178" i="2"/>
  <c r="DF25" i="7" s="1"/>
  <c r="DO29" i="18" s="1"/>
  <c r="EX29" i="18" s="1"/>
  <c r="DN175" i="2"/>
  <c r="DN179" i="2"/>
  <c r="DF26" i="7" s="1"/>
  <c r="DO30" i="18" s="1"/>
  <c r="EX30" i="18" s="1"/>
  <c r="DN177" i="2"/>
  <c r="DF24" i="7" s="1"/>
  <c r="EO24" i="7" s="1"/>
  <c r="DN180" i="2"/>
  <c r="DF27" i="7" s="1"/>
  <c r="DO31" i="18" s="1"/>
  <c r="EX31" i="18" s="1"/>
  <c r="DF23" i="7"/>
  <c r="DF22" i="7" s="1"/>
  <c r="DD86" i="7"/>
  <c r="DL231" i="2"/>
  <c r="DD76" i="7" s="1"/>
  <c r="DM60" i="15" s="1"/>
  <c r="CH8" i="12"/>
  <c r="CH22" i="12" s="1"/>
  <c r="DQ22" i="12" s="1"/>
  <c r="DF11" i="7"/>
  <c r="DO9" i="15" s="1"/>
  <c r="DO12" i="18" s="1"/>
  <c r="EX12" i="18" s="1"/>
  <c r="DE44" i="7"/>
  <c r="CG40" i="12" s="1"/>
  <c r="CG38" i="12" s="1"/>
  <c r="DG12" i="7"/>
  <c r="DO158" i="2"/>
  <c r="DO176" i="2"/>
  <c r="DO206" i="2" s="1"/>
  <c r="DO205" i="2" s="1"/>
  <c r="DM241" i="2"/>
  <c r="DM238" i="2"/>
  <c r="DM240" i="2"/>
  <c r="DQ85" i="3"/>
  <c r="DQ84" i="3" s="1"/>
  <c r="DQ146" i="18" s="1"/>
  <c r="DO461" i="2"/>
  <c r="DO590" i="2" s="1"/>
  <c r="CP161" i="13" s="1"/>
  <c r="CP56" i="13"/>
  <c r="CP75" i="13"/>
  <c r="DP451" i="2"/>
  <c r="CQ65" i="13"/>
  <c r="CQ81" i="13" s="1"/>
  <c r="DP468" i="2"/>
  <c r="DP506" i="2" s="1"/>
  <c r="CQ60" i="13"/>
  <c r="CQ78" i="13" s="1"/>
  <c r="DP465" i="2"/>
  <c r="CR30" i="13"/>
  <c r="CK15" i="12"/>
  <c r="DR15" i="12" s="1"/>
  <c r="EB15" i="12" s="1"/>
  <c r="CR36" i="13"/>
  <c r="DY36" i="13" s="1"/>
  <c r="EI36" i="13" s="1"/>
  <c r="CH31" i="12"/>
  <c r="DQ31" i="12" s="1"/>
  <c r="CP64" i="13"/>
  <c r="CP82" i="13"/>
  <c r="CQ67" i="13"/>
  <c r="CQ83" i="13" s="1"/>
  <c r="CQ77" i="13" s="1"/>
  <c r="CJ53" i="11" s="1"/>
  <c r="DP470" i="2"/>
  <c r="DP508" i="2" s="1"/>
  <c r="DP492" i="2" s="1"/>
  <c r="CQ106" i="13" s="1"/>
  <c r="CQ66" i="13"/>
  <c r="DP469" i="2"/>
  <c r="DP507" i="2" s="1"/>
  <c r="DP491" i="2" s="1"/>
  <c r="CQ105" i="13" s="1"/>
  <c r="CR22" i="13"/>
  <c r="DQ399" i="2"/>
  <c r="CR29" i="13"/>
  <c r="CR25" i="13"/>
  <c r="DY25" i="13" s="1"/>
  <c r="EI25" i="13" s="1"/>
  <c r="CE73" i="12" l="1"/>
  <c r="DP73" i="12" s="1"/>
  <c r="CE105" i="11"/>
  <c r="DP105" i="11" s="1"/>
  <c r="EN106" i="7"/>
  <c r="EW82" i="15"/>
  <c r="DN190" i="18"/>
  <c r="DS5" i="11"/>
  <c r="CN30" i="11"/>
  <c r="DS30" i="11" s="1"/>
  <c r="CL31" i="11"/>
  <c r="DX161" i="13"/>
  <c r="CH108" i="12"/>
  <c r="CH137" i="11"/>
  <c r="DO120" i="15"/>
  <c r="DZ6" i="13"/>
  <c r="DU10" i="15"/>
  <c r="DZ13" i="13"/>
  <c r="CO5" i="11"/>
  <c r="CL21" i="12"/>
  <c r="DS19" i="15"/>
  <c r="CS49" i="13"/>
  <c r="CI108" i="12"/>
  <c r="DP120" i="15"/>
  <c r="CI137" i="11"/>
  <c r="DD106" i="7"/>
  <c r="DD115" i="7"/>
  <c r="DM262" i="2"/>
  <c r="EZ10" i="15"/>
  <c r="DN272" i="2"/>
  <c r="DN274" i="2"/>
  <c r="DP285" i="2"/>
  <c r="DS28" i="15"/>
  <c r="CH25" i="11"/>
  <c r="CH23" i="11" s="1"/>
  <c r="DQ23" i="11" s="1"/>
  <c r="DR544" i="2"/>
  <c r="CS134" i="13" s="1"/>
  <c r="DR497" i="2"/>
  <c r="CS112" i="13" s="1"/>
  <c r="DR546" i="2"/>
  <c r="CS136" i="13" s="1"/>
  <c r="DV482" i="2"/>
  <c r="DV394" i="2" s="1"/>
  <c r="DV377" i="2" s="1"/>
  <c r="CW4" i="13" s="1"/>
  <c r="DV483" i="2"/>
  <c r="CN12" i="11"/>
  <c r="DS12" i="11" s="1"/>
  <c r="CN7" i="12"/>
  <c r="DS7" i="12" s="1"/>
  <c r="DU424" i="2"/>
  <c r="CV40" i="13" s="1"/>
  <c r="DU418" i="2"/>
  <c r="CV34" i="13" s="1"/>
  <c r="CN4" i="12"/>
  <c r="DS4" i="12" s="1"/>
  <c r="DU6" i="15"/>
  <c r="EZ6" i="15" s="1"/>
  <c r="DS495" i="2"/>
  <c r="CT109" i="13" s="1"/>
  <c r="CT51" i="13"/>
  <c r="CT49" i="13" s="1"/>
  <c r="DS494" i="2"/>
  <c r="CM14" i="12"/>
  <c r="CM21" i="12" s="1"/>
  <c r="CT29" i="13"/>
  <c r="CT25" i="13"/>
  <c r="DT19" i="15" s="1"/>
  <c r="DT28" i="15" s="1"/>
  <c r="DT48" i="15" s="1"/>
  <c r="DT425" i="2"/>
  <c r="CU41" i="13" s="1"/>
  <c r="DZ41" i="13" s="1"/>
  <c r="CU20" i="13"/>
  <c r="CN18" i="11" s="1"/>
  <c r="CN31" i="11" s="1"/>
  <c r="CT30" i="13"/>
  <c r="CM15" i="12"/>
  <c r="DR399" i="2"/>
  <c r="CS18" i="13" s="1"/>
  <c r="CS23" i="13"/>
  <c r="CV13" i="13"/>
  <c r="DS434" i="2"/>
  <c r="DS546" i="2" s="1"/>
  <c r="CT136" i="13" s="1"/>
  <c r="DR493" i="2"/>
  <c r="CS107" i="13" s="1"/>
  <c r="CS108" i="13"/>
  <c r="CU3" i="13"/>
  <c r="CN8" i="11" s="1"/>
  <c r="CL24" i="11"/>
  <c r="DT435" i="2"/>
  <c r="CU50" i="13" s="1"/>
  <c r="DZ50" i="13" s="1"/>
  <c r="CU26" i="13"/>
  <c r="DZ26" i="13" s="1"/>
  <c r="CM31" i="11"/>
  <c r="DU380" i="2"/>
  <c r="CV7" i="13" s="1"/>
  <c r="CV6" i="13"/>
  <c r="DT436" i="2"/>
  <c r="CU27" i="13"/>
  <c r="DZ27" i="13" s="1"/>
  <c r="DX110" i="13"/>
  <c r="DY112" i="13"/>
  <c r="EI112" i="13" s="1"/>
  <c r="DX104" i="13"/>
  <c r="DY107" i="13"/>
  <c r="EI107" i="13" s="1"/>
  <c r="DY113" i="13"/>
  <c r="EI113" i="13" s="1"/>
  <c r="DI158" i="7"/>
  <c r="EP158" i="7" s="1"/>
  <c r="EZ158" i="7" s="1"/>
  <c r="CK153" i="11"/>
  <c r="DR153" i="11" s="1"/>
  <c r="EB153" i="11" s="1"/>
  <c r="DI157" i="7"/>
  <c r="EP157" i="7" s="1"/>
  <c r="EZ157" i="7" s="1"/>
  <c r="EP156" i="7"/>
  <c r="EZ156" i="7" s="1"/>
  <c r="DS318" i="2"/>
  <c r="DJ156" i="7"/>
  <c r="DS137" i="15" s="1"/>
  <c r="DS405" i="2"/>
  <c r="CT23" i="13" s="1"/>
  <c r="CT17" i="13" s="1"/>
  <c r="CM20" i="11" s="1"/>
  <c r="CM33" i="11" s="1"/>
  <c r="DR429" i="2"/>
  <c r="CS44" i="13" s="1"/>
  <c r="DU409" i="2"/>
  <c r="DU392" i="2"/>
  <c r="CV11" i="13" s="1"/>
  <c r="DU401" i="2"/>
  <c r="DT419" i="2"/>
  <c r="CU35" i="13" s="1"/>
  <c r="DZ35" i="13" s="1"/>
  <c r="DS376" i="2"/>
  <c r="DS420" i="2"/>
  <c r="CT36" i="13" s="1"/>
  <c r="DS426" i="2"/>
  <c r="DT407" i="2"/>
  <c r="DU408" i="2"/>
  <c r="DU391" i="2"/>
  <c r="CV10" i="13" s="1"/>
  <c r="CK124" i="12"/>
  <c r="DR124" i="12" s="1"/>
  <c r="EB124" i="12" s="1"/>
  <c r="DT404" i="2"/>
  <c r="CU22" i="13" s="1"/>
  <c r="DZ22" i="13" s="1"/>
  <c r="EZ86" i="3"/>
  <c r="FJ86" i="3" s="1"/>
  <c r="EZ92" i="3"/>
  <c r="FJ92" i="3" s="1"/>
  <c r="DR85" i="3"/>
  <c r="DR84" i="3" s="1"/>
  <c r="DR146" i="18" s="1"/>
  <c r="EY146" i="18" s="1"/>
  <c r="FI146" i="18" s="1"/>
  <c r="EZ90" i="3"/>
  <c r="FJ90" i="3" s="1"/>
  <c r="DR153" i="18"/>
  <c r="EY153" i="18" s="1"/>
  <c r="FI153" i="18" s="1"/>
  <c r="DD76" i="2"/>
  <c r="DS118" i="2"/>
  <c r="DR105" i="2"/>
  <c r="DS90" i="3" s="1"/>
  <c r="DS155" i="18" s="1"/>
  <c r="DS119" i="2"/>
  <c r="DR107" i="2"/>
  <c r="DS92" i="3" s="1"/>
  <c r="DS156" i="18" s="1"/>
  <c r="DS117" i="2"/>
  <c r="DR103" i="2"/>
  <c r="DS86" i="3" s="1"/>
  <c r="DS154" i="18" s="1"/>
  <c r="CM167" i="13"/>
  <c r="CM168" i="13" s="1"/>
  <c r="CM159" i="13"/>
  <c r="DK204" i="18"/>
  <c r="DK206" i="18"/>
  <c r="DK201" i="18"/>
  <c r="DK207" i="18"/>
  <c r="DL200" i="18"/>
  <c r="EW200" i="18" s="1"/>
  <c r="DL753" i="2"/>
  <c r="DK202" i="18"/>
  <c r="DK208" i="18"/>
  <c r="DK205" i="18"/>
  <c r="DK203" i="18"/>
  <c r="CN156" i="13"/>
  <c r="CG118" i="11"/>
  <c r="CH97" i="12"/>
  <c r="DQ97" i="12" s="1"/>
  <c r="CH94" i="12"/>
  <c r="CH95" i="12"/>
  <c r="DQ95" i="12" s="1"/>
  <c r="DO67" i="18"/>
  <c r="DX137" i="13"/>
  <c r="DX138" i="13"/>
  <c r="DN775" i="2"/>
  <c r="DM27" i="15"/>
  <c r="DM47" i="15" s="1"/>
  <c r="CQ85" i="13"/>
  <c r="CP77" i="13"/>
  <c r="CR17" i="13"/>
  <c r="DY22" i="13"/>
  <c r="EI22" i="13" s="1"/>
  <c r="CH53" i="11"/>
  <c r="DX77" i="13"/>
  <c r="CO125" i="13"/>
  <c r="CO131" i="13"/>
  <c r="DY29" i="13"/>
  <c r="EI26" i="13"/>
  <c r="EI29" i="13" s="1"/>
  <c r="CK8" i="11"/>
  <c r="DR8" i="11" s="1"/>
  <c r="EB8" i="11" s="1"/>
  <c r="DY3" i="13"/>
  <c r="EI3" i="13" s="1"/>
  <c r="CK21" i="12"/>
  <c r="DR21" i="12" s="1"/>
  <c r="EB21" i="12" s="1"/>
  <c r="DR7" i="12"/>
  <c r="EB7" i="12" s="1"/>
  <c r="DM32" i="18"/>
  <c r="CH52" i="11"/>
  <c r="DQ52" i="11" s="1"/>
  <c r="DX76" i="13"/>
  <c r="DQ8" i="12"/>
  <c r="CG98" i="11"/>
  <c r="CG82" i="12"/>
  <c r="CK37" i="11"/>
  <c r="DR37" i="11" s="1"/>
  <c r="EB37" i="11" s="1"/>
  <c r="DY49" i="13"/>
  <c r="EI49" i="13" s="1"/>
  <c r="CF147" i="11"/>
  <c r="EO43" i="7"/>
  <c r="EO42" i="7"/>
  <c r="CI13" i="11"/>
  <c r="CI11" i="11" s="1"/>
  <c r="EO27" i="7"/>
  <c r="EO25" i="7"/>
  <c r="EO11" i="7"/>
  <c r="EO26" i="7"/>
  <c r="EO23" i="7"/>
  <c r="CF36" i="11"/>
  <c r="DP60" i="11"/>
  <c r="CO74" i="13"/>
  <c r="DX74" i="13" s="1"/>
  <c r="CJ70" i="11"/>
  <c r="CJ65" i="11"/>
  <c r="CJ96" i="11" s="1"/>
  <c r="DN27" i="15"/>
  <c r="DN47" i="15" s="1"/>
  <c r="DN45" i="15" s="1"/>
  <c r="DN27" i="18"/>
  <c r="EX9" i="15"/>
  <c r="DO28" i="18"/>
  <c r="EX28" i="18" s="1"/>
  <c r="DR19" i="15"/>
  <c r="EY19" i="15" s="1"/>
  <c r="FI19" i="15" s="1"/>
  <c r="CK24" i="11"/>
  <c r="DR24" i="11" s="1"/>
  <c r="EB24" i="11" s="1"/>
  <c r="CP80" i="13"/>
  <c r="CP76" i="13"/>
  <c r="CG38" i="11"/>
  <c r="CG36" i="11" s="1"/>
  <c r="DP39" i="15"/>
  <c r="CF51" i="12"/>
  <c r="CF73" i="11"/>
  <c r="DN93" i="15"/>
  <c r="DN114" i="15" s="1"/>
  <c r="DM43" i="18"/>
  <c r="CP62" i="13"/>
  <c r="CI45" i="11"/>
  <c r="CF52" i="12"/>
  <c r="CF74" i="11"/>
  <c r="DL45" i="15"/>
  <c r="EW47" i="15"/>
  <c r="CJ69" i="11"/>
  <c r="CF49" i="12"/>
  <c r="CF71" i="11"/>
  <c r="CN122" i="13"/>
  <c r="CG89" i="11"/>
  <c r="CH58" i="12"/>
  <c r="DO496" i="2"/>
  <c r="CP110" i="13" s="1"/>
  <c r="DO570" i="2"/>
  <c r="CO103" i="13"/>
  <c r="DX103" i="13" s="1"/>
  <c r="DF32" i="7"/>
  <c r="DO18" i="15"/>
  <c r="EX18" i="15" s="1"/>
  <c r="CO133" i="13"/>
  <c r="CN128" i="13"/>
  <c r="CN141" i="13"/>
  <c r="CO123" i="13"/>
  <c r="DO548" i="2"/>
  <c r="CP138" i="13" s="1"/>
  <c r="DO547" i="2"/>
  <c r="CP137" i="13" s="1"/>
  <c r="DN543" i="2"/>
  <c r="DN549" i="2" s="1"/>
  <c r="CQ59" i="13"/>
  <c r="CQ57" i="13"/>
  <c r="CQ58" i="13"/>
  <c r="DN488" i="2"/>
  <c r="CO114" i="13"/>
  <c r="DO499" i="2"/>
  <c r="DO501" i="2"/>
  <c r="CO116" i="13"/>
  <c r="DX116" i="13" s="1"/>
  <c r="DO500" i="2"/>
  <c r="CO115" i="13"/>
  <c r="DP505" i="2"/>
  <c r="DP490" i="2"/>
  <c r="CP104" i="13"/>
  <c r="DO489" i="2"/>
  <c r="DQ428" i="2"/>
  <c r="CR44" i="13"/>
  <c r="DY44" i="13" s="1"/>
  <c r="EI44" i="13" s="1"/>
  <c r="DF44" i="7"/>
  <c r="DE85" i="7"/>
  <c r="DM230" i="2"/>
  <c r="DE75" i="7" s="1"/>
  <c r="DN59" i="15" s="1"/>
  <c r="DE83" i="7"/>
  <c r="DM228" i="2"/>
  <c r="DE72" i="7" s="1"/>
  <c r="DN238" i="2"/>
  <c r="DN240" i="2"/>
  <c r="DN241" i="2"/>
  <c r="DM231" i="2"/>
  <c r="DE76" i="7" s="1"/>
  <c r="DN60" i="15" s="1"/>
  <c r="DE86" i="7"/>
  <c r="DO204" i="2"/>
  <c r="DG43" i="7"/>
  <c r="DO178" i="2"/>
  <c r="DG25" i="7" s="1"/>
  <c r="DO177" i="2"/>
  <c r="DG24" i="7" s="1"/>
  <c r="DO180" i="2"/>
  <c r="DG27" i="7" s="1"/>
  <c r="DP31" i="18" s="1"/>
  <c r="DO179" i="2"/>
  <c r="DG26" i="7" s="1"/>
  <c r="DG23" i="7"/>
  <c r="DG22" i="7" s="1"/>
  <c r="DO175" i="2"/>
  <c r="CI8" i="12"/>
  <c r="DG11" i="7"/>
  <c r="DJ12" i="7"/>
  <c r="DH12" i="7"/>
  <c r="CJ13" i="11" s="1"/>
  <c r="CJ11" i="11" s="1"/>
  <c r="DP176" i="2"/>
  <c r="DP158" i="2"/>
  <c r="CQ64" i="13"/>
  <c r="CQ82" i="13"/>
  <c r="DP461" i="2"/>
  <c r="DP590" i="2" s="1"/>
  <c r="CQ161" i="13" s="1"/>
  <c r="CI31" i="12"/>
  <c r="DQ398" i="2"/>
  <c r="CR18" i="13"/>
  <c r="DY18" i="13" s="1"/>
  <c r="EI18" i="13" s="1"/>
  <c r="DQ423" i="2"/>
  <c r="DQ422" i="2" s="1"/>
  <c r="DQ417" i="2"/>
  <c r="DQ439" i="2" s="1"/>
  <c r="DZ20" i="13" l="1"/>
  <c r="DV396" i="2"/>
  <c r="CW15" i="13" s="1"/>
  <c r="DV395" i="2"/>
  <c r="CW14" i="13" s="1"/>
  <c r="CL37" i="11"/>
  <c r="CS48" i="13"/>
  <c r="CL39" i="12"/>
  <c r="DN189" i="18"/>
  <c r="DQ108" i="12"/>
  <c r="CH107" i="12"/>
  <c r="DQ107" i="12" s="1"/>
  <c r="DQ137" i="11"/>
  <c r="CH136" i="11"/>
  <c r="DQ136" i="11" s="1"/>
  <c r="EX120" i="15"/>
  <c r="DO117" i="15"/>
  <c r="CO30" i="11"/>
  <c r="CI107" i="12"/>
  <c r="DP117" i="15"/>
  <c r="CI136" i="11"/>
  <c r="DS18" i="11"/>
  <c r="DS31" i="11"/>
  <c r="DS8" i="11"/>
  <c r="DZ3" i="13"/>
  <c r="DS15" i="15"/>
  <c r="CS17" i="13"/>
  <c r="DZ29" i="13"/>
  <c r="DZ30" i="13"/>
  <c r="DQ120" i="15"/>
  <c r="DQ117" i="15" s="1"/>
  <c r="DQ177" i="18" s="1"/>
  <c r="DQ175" i="18" s="1"/>
  <c r="DQ190" i="18" s="1"/>
  <c r="DQ189" i="18" s="1"/>
  <c r="CJ108" i="12"/>
  <c r="CJ107" i="12" s="1"/>
  <c r="CJ137" i="11"/>
  <c r="CJ136" i="11" s="1"/>
  <c r="CF73" i="12"/>
  <c r="CF105" i="11"/>
  <c r="DM82" i="15"/>
  <c r="DE115" i="7"/>
  <c r="DE106" i="7"/>
  <c r="DN82" i="15" s="1"/>
  <c r="DN262" i="2"/>
  <c r="DQ25" i="11"/>
  <c r="DS48" i="15"/>
  <c r="DQ285" i="2"/>
  <c r="DO272" i="2"/>
  <c r="DO274" i="2"/>
  <c r="DQ458" i="2"/>
  <c r="DQ457" i="2"/>
  <c r="DX123" i="13"/>
  <c r="DS497" i="2"/>
  <c r="CT112" i="13" s="1"/>
  <c r="DS498" i="2"/>
  <c r="CT113" i="13" s="1"/>
  <c r="DV379" i="2"/>
  <c r="DV378" i="2"/>
  <c r="DV424" i="2" s="1"/>
  <c r="CW40" i="13" s="1"/>
  <c r="DW479" i="2"/>
  <c r="CW99" i="13"/>
  <c r="DS544" i="2"/>
  <c r="CT134" i="13" s="1"/>
  <c r="DR423" i="2"/>
  <c r="CS39" i="13" s="1"/>
  <c r="DS153" i="18"/>
  <c r="DT434" i="2"/>
  <c r="DT498" i="2" s="1"/>
  <c r="CU113" i="13" s="1"/>
  <c r="DR417" i="2"/>
  <c r="CM37" i="11"/>
  <c r="CT48" i="13"/>
  <c r="CM39" i="12"/>
  <c r="DR398" i="2"/>
  <c r="CS43" i="13"/>
  <c r="CN15" i="12"/>
  <c r="DS15" i="12" s="1"/>
  <c r="CU30" i="13"/>
  <c r="CU25" i="13"/>
  <c r="CU29" i="13"/>
  <c r="CN14" i="12"/>
  <c r="CN21" i="12" s="1"/>
  <c r="DU436" i="2"/>
  <c r="CV27" i="13"/>
  <c r="DT495" i="2"/>
  <c r="CU109" i="13" s="1"/>
  <c r="DZ109" i="13" s="1"/>
  <c r="CU51" i="13"/>
  <c r="CU49" i="13" s="1"/>
  <c r="CO6" i="11"/>
  <c r="CV3" i="13"/>
  <c r="CM24" i="11"/>
  <c r="DS493" i="2"/>
  <c r="CT107" i="13" s="1"/>
  <c r="CT108" i="13"/>
  <c r="CL11" i="12"/>
  <c r="DU435" i="2"/>
  <c r="CV50" i="13" s="1"/>
  <c r="CV26" i="13"/>
  <c r="DU419" i="2"/>
  <c r="CV35" i="13" s="1"/>
  <c r="CV20" i="13"/>
  <c r="DV6" i="15"/>
  <c r="CO4" i="12"/>
  <c r="DT494" i="2"/>
  <c r="DV10" i="15"/>
  <c r="CO12" i="11"/>
  <c r="CO7" i="12"/>
  <c r="CL8" i="12"/>
  <c r="CL13" i="11"/>
  <c r="DX114" i="13"/>
  <c r="DX115" i="13"/>
  <c r="CL153" i="11"/>
  <c r="CL124" i="12"/>
  <c r="DJ158" i="7"/>
  <c r="DR428" i="2"/>
  <c r="DU425" i="2"/>
  <c r="CV41" i="13" s="1"/>
  <c r="DU407" i="2"/>
  <c r="DT405" i="2"/>
  <c r="DS429" i="2"/>
  <c r="CT44" i="13" s="1"/>
  <c r="DT426" i="2"/>
  <c r="DT420" i="2"/>
  <c r="CU36" i="13" s="1"/>
  <c r="DZ36" i="13" s="1"/>
  <c r="DT376" i="2"/>
  <c r="DT318" i="2"/>
  <c r="DK156" i="7"/>
  <c r="DT137" i="15" s="1"/>
  <c r="DJ157" i="7"/>
  <c r="DJ11" i="7"/>
  <c r="DS9" i="15" s="1"/>
  <c r="DS399" i="2"/>
  <c r="CT18" i="13" s="1"/>
  <c r="DT15" i="15" s="1"/>
  <c r="DT24" i="15" s="1"/>
  <c r="DU404" i="2"/>
  <c r="CV22" i="13" s="1"/>
  <c r="DR176" i="2"/>
  <c r="DS85" i="3"/>
  <c r="DS84" i="3" s="1"/>
  <c r="DS146" i="18" s="1"/>
  <c r="DR158" i="2"/>
  <c r="DK12" i="7"/>
  <c r="FJ85" i="3"/>
  <c r="FJ84" i="3" s="1"/>
  <c r="EZ85" i="3"/>
  <c r="EZ84" i="3" s="1"/>
  <c r="DE76" i="2"/>
  <c r="DT117" i="2"/>
  <c r="DS103" i="2"/>
  <c r="DT86" i="3" s="1"/>
  <c r="DT154" i="18" s="1"/>
  <c r="DT119" i="2"/>
  <c r="DS107" i="2"/>
  <c r="DT92" i="3" s="1"/>
  <c r="DT156" i="18" s="1"/>
  <c r="DT118" i="2"/>
  <c r="DS105" i="2"/>
  <c r="DT90" i="3" s="1"/>
  <c r="DT155" i="18" s="1"/>
  <c r="DM753" i="2"/>
  <c r="DM200" i="18"/>
  <c r="DL204" i="18"/>
  <c r="DL206" i="18"/>
  <c r="DL201" i="18"/>
  <c r="DL207" i="18"/>
  <c r="DL205" i="18"/>
  <c r="DL203" i="18"/>
  <c r="DL202" i="18"/>
  <c r="EW202" i="18" s="1"/>
  <c r="DL208" i="18"/>
  <c r="EW208" i="18" s="1"/>
  <c r="CH91" i="12"/>
  <c r="DQ91" i="12" s="1"/>
  <c r="DQ94" i="12"/>
  <c r="CI95" i="12"/>
  <c r="CI94" i="12"/>
  <c r="CI97" i="12"/>
  <c r="DP67" i="18"/>
  <c r="DN132" i="15"/>
  <c r="DQ58" i="12"/>
  <c r="DO68" i="15"/>
  <c r="EO44" i="7"/>
  <c r="CH40" i="12"/>
  <c r="DO775" i="2"/>
  <c r="CO162" i="13"/>
  <c r="CJ43" i="11"/>
  <c r="DX165" i="13"/>
  <c r="DX162" i="13"/>
  <c r="CK20" i="11"/>
  <c r="DY17" i="13"/>
  <c r="EI17" i="13" s="1"/>
  <c r="CG103" i="12"/>
  <c r="DX131" i="13"/>
  <c r="DX125" i="13"/>
  <c r="DQ53" i="11"/>
  <c r="CH87" i="11"/>
  <c r="CH96" i="11"/>
  <c r="CI52" i="11"/>
  <c r="CG113" i="11"/>
  <c r="DX124" i="13"/>
  <c r="DX130" i="13"/>
  <c r="CI53" i="11"/>
  <c r="CP125" i="13"/>
  <c r="CP131" i="13"/>
  <c r="CH102" i="11"/>
  <c r="DQ102" i="11" s="1"/>
  <c r="DX133" i="13"/>
  <c r="CO165" i="13"/>
  <c r="CI22" i="12"/>
  <c r="CJ42" i="11"/>
  <c r="DG42" i="7"/>
  <c r="EO32" i="7"/>
  <c r="EO66" i="7"/>
  <c r="DP30" i="18"/>
  <c r="CG60" i="11"/>
  <c r="CI25" i="11"/>
  <c r="CI23" i="11" s="1"/>
  <c r="EO22" i="7"/>
  <c r="DP9" i="15"/>
  <c r="DP12" i="18" s="1"/>
  <c r="DP29" i="18"/>
  <c r="CF60" i="11"/>
  <c r="CJ87" i="11"/>
  <c r="DR28" i="15"/>
  <c r="CH55" i="11"/>
  <c r="DQ55" i="11" s="1"/>
  <c r="CO155" i="13"/>
  <c r="CP74" i="13"/>
  <c r="CJ25" i="12"/>
  <c r="CJ31" i="12" s="1"/>
  <c r="CH38" i="11"/>
  <c r="CH36" i="11" s="1"/>
  <c r="CH60" i="11" s="1"/>
  <c r="CH77" i="11"/>
  <c r="DQ77" i="11" s="1"/>
  <c r="CH64" i="11"/>
  <c r="DQ64" i="11" s="1"/>
  <c r="DQ86" i="11" s="1"/>
  <c r="DO87" i="18"/>
  <c r="EX87" i="18" s="1"/>
  <c r="DO27" i="15"/>
  <c r="DO27" i="18"/>
  <c r="EX27" i="18" s="1"/>
  <c r="DM45" i="15"/>
  <c r="DN43" i="15" s="1"/>
  <c r="DN32" i="18"/>
  <c r="DN43" i="18"/>
  <c r="DN80" i="18"/>
  <c r="DR15" i="15"/>
  <c r="CG49" i="12"/>
  <c r="CG71" i="11"/>
  <c r="CQ80" i="13"/>
  <c r="CQ76" i="13"/>
  <c r="DP28" i="18"/>
  <c r="CG52" i="12"/>
  <c r="CG74" i="11"/>
  <c r="CG51" i="12"/>
  <c r="CG73" i="11"/>
  <c r="DL43" i="15"/>
  <c r="DL80" i="18"/>
  <c r="EW80" i="18" s="1"/>
  <c r="EW45" i="15"/>
  <c r="CI58" i="12"/>
  <c r="DP68" i="15" s="1"/>
  <c r="CH45" i="12"/>
  <c r="DQ45" i="12" s="1"/>
  <c r="CH70" i="12"/>
  <c r="DQ70" i="12" s="1"/>
  <c r="DO54" i="15"/>
  <c r="EX54" i="15" s="1"/>
  <c r="DP496" i="2"/>
  <c r="CQ110" i="13" s="1"/>
  <c r="DP570" i="2"/>
  <c r="DQ33" i="15"/>
  <c r="CO139" i="13"/>
  <c r="DO80" i="15"/>
  <c r="EX80" i="15" s="1"/>
  <c r="CP103" i="13"/>
  <c r="CO129" i="13"/>
  <c r="DG32" i="7"/>
  <c r="CP133" i="13"/>
  <c r="CN142" i="13"/>
  <c r="CN158" i="13"/>
  <c r="CQ75" i="13"/>
  <c r="CQ125" i="13"/>
  <c r="CQ131" i="13"/>
  <c r="CO124" i="13"/>
  <c r="CO130" i="13"/>
  <c r="CP123" i="13"/>
  <c r="DP547" i="2"/>
  <c r="CQ137" i="13" s="1"/>
  <c r="DO543" i="2"/>
  <c r="DO549" i="2" s="1"/>
  <c r="DP548" i="2"/>
  <c r="CQ138" i="13" s="1"/>
  <c r="CQ56" i="13"/>
  <c r="CO102" i="13"/>
  <c r="DN502" i="2"/>
  <c r="DP500" i="2"/>
  <c r="CP115" i="13"/>
  <c r="DP501" i="2"/>
  <c r="CP116" i="13"/>
  <c r="DO488" i="2"/>
  <c r="CP114" i="13"/>
  <c r="DP499" i="2"/>
  <c r="CQ104" i="13"/>
  <c r="DP489" i="2"/>
  <c r="CR43" i="13"/>
  <c r="DY43" i="13" s="1"/>
  <c r="EI43" i="13" s="1"/>
  <c r="DG44" i="7"/>
  <c r="CI40" i="12" s="1"/>
  <c r="DF83" i="7"/>
  <c r="EO83" i="7" s="1"/>
  <c r="DN228" i="2"/>
  <c r="DF72" i="7" s="1"/>
  <c r="DH23" i="7"/>
  <c r="DH22" i="7" s="1"/>
  <c r="DP175" i="2"/>
  <c r="DP177" i="2"/>
  <c r="DH24" i="7" s="1"/>
  <c r="DP178" i="2"/>
  <c r="DH25" i="7" s="1"/>
  <c r="DQ29" i="18" s="1"/>
  <c r="DP179" i="2"/>
  <c r="DH26" i="7" s="1"/>
  <c r="DQ30" i="18" s="1"/>
  <c r="DP180" i="2"/>
  <c r="DH27" i="7" s="1"/>
  <c r="DQ31" i="18" s="1"/>
  <c r="DO240" i="2"/>
  <c r="DO241" i="2"/>
  <c r="DO238" i="2"/>
  <c r="CJ8" i="12"/>
  <c r="CJ22" i="12" s="1"/>
  <c r="DH11" i="7"/>
  <c r="DQ9" i="15" s="1"/>
  <c r="DQ12" i="18" s="1"/>
  <c r="DI12" i="7"/>
  <c r="CK13" i="11" s="1"/>
  <c r="CK11" i="11" s="1"/>
  <c r="DR11" i="11" s="1"/>
  <c r="EB11" i="11" s="1"/>
  <c r="DQ158" i="2"/>
  <c r="DQ176" i="2"/>
  <c r="DQ206" i="2" s="1"/>
  <c r="DQ205" i="2" s="1"/>
  <c r="DN231" i="2"/>
  <c r="DF76" i="7" s="1"/>
  <c r="DO60" i="15" s="1"/>
  <c r="DF86" i="7"/>
  <c r="EO86" i="7" s="1"/>
  <c r="DP206" i="2"/>
  <c r="DP205" i="2" s="1"/>
  <c r="DN230" i="2"/>
  <c r="DF75" i="7" s="1"/>
  <c r="DO59" i="15" s="1"/>
  <c r="DF85" i="7"/>
  <c r="EO85" i="7" s="1"/>
  <c r="CK11" i="12"/>
  <c r="DR11" i="12" s="1"/>
  <c r="EB11" i="12" s="1"/>
  <c r="CR39" i="13"/>
  <c r="DY39" i="13" s="1"/>
  <c r="EI39" i="13" s="1"/>
  <c r="DQ416" i="2"/>
  <c r="DQ444" i="2" s="1"/>
  <c r="CR33" i="13"/>
  <c r="DY33" i="13" s="1"/>
  <c r="EI33" i="13" s="1"/>
  <c r="DV409" i="2" l="1"/>
  <c r="DV392" i="2"/>
  <c r="CW11" i="13" s="1"/>
  <c r="CW6" i="13"/>
  <c r="CW13" i="13"/>
  <c r="DV408" i="2"/>
  <c r="DV391" i="2"/>
  <c r="CW10" i="13" s="1"/>
  <c r="DZ113" i="13"/>
  <c r="DS24" i="15"/>
  <c r="EX117" i="15"/>
  <c r="DO177" i="18"/>
  <c r="DP177" i="18"/>
  <c r="CL20" i="11"/>
  <c r="DS21" i="12"/>
  <c r="DS14" i="12"/>
  <c r="DZ49" i="13"/>
  <c r="DZ51" i="13"/>
  <c r="DV401" i="2"/>
  <c r="CP7" i="12"/>
  <c r="CS38" i="13"/>
  <c r="DU19" i="15"/>
  <c r="DU28" i="15" s="1"/>
  <c r="DU48" i="15" s="1"/>
  <c r="DZ25" i="13"/>
  <c r="CO8" i="11"/>
  <c r="CL18" i="12"/>
  <c r="CO18" i="11"/>
  <c r="CG105" i="11"/>
  <c r="CG73" i="12"/>
  <c r="DF115" i="7"/>
  <c r="EO115" i="7" s="1"/>
  <c r="DF106" i="7"/>
  <c r="DO82" i="15" s="1"/>
  <c r="EX82" i="15" s="1"/>
  <c r="DO262" i="2"/>
  <c r="CL22" i="12"/>
  <c r="CL11" i="11"/>
  <c r="DR48" i="15"/>
  <c r="EY48" i="15" s="1"/>
  <c r="FI48" i="15" s="1"/>
  <c r="EY28" i="15"/>
  <c r="FI28" i="15" s="1"/>
  <c r="DR457" i="2"/>
  <c r="DR458" i="2"/>
  <c r="DT546" i="2"/>
  <c r="CU136" i="13" s="1"/>
  <c r="DZ136" i="13" s="1"/>
  <c r="DR285" i="2"/>
  <c r="CJ25" i="11"/>
  <c r="CJ23" i="11" s="1"/>
  <c r="DQ18" i="15"/>
  <c r="DR422" i="2"/>
  <c r="DX129" i="13"/>
  <c r="CS33" i="13"/>
  <c r="DR439" i="2"/>
  <c r="DV418" i="2"/>
  <c r="CW34" i="13" s="1"/>
  <c r="DV380" i="2"/>
  <c r="CW7" i="13" s="1"/>
  <c r="DT497" i="2"/>
  <c r="CU112" i="13" s="1"/>
  <c r="DZ112" i="13" s="1"/>
  <c r="DT544" i="2"/>
  <c r="CU134" i="13" s="1"/>
  <c r="DZ134" i="13" s="1"/>
  <c r="CX95" i="13"/>
  <c r="EA95" i="13" s="1"/>
  <c r="CW98" i="13"/>
  <c r="DW482" i="2"/>
  <c r="DW378" i="2" s="1"/>
  <c r="DW483" i="2"/>
  <c r="CW5" i="13"/>
  <c r="DU494" i="2"/>
  <c r="CV108" i="13" s="1"/>
  <c r="DU434" i="2"/>
  <c r="DU546" i="2" s="1"/>
  <c r="CV136" i="13" s="1"/>
  <c r="DT153" i="18"/>
  <c r="DR416" i="2"/>
  <c r="DR444" i="2" s="1"/>
  <c r="DS12" i="18"/>
  <c r="CN39" i="12"/>
  <c r="DS39" i="12" s="1"/>
  <c r="CN37" i="11"/>
  <c r="DS37" i="11" s="1"/>
  <c r="CU48" i="13"/>
  <c r="DZ48" i="13" s="1"/>
  <c r="CT43" i="13"/>
  <c r="CO15" i="12"/>
  <c r="CV30" i="13"/>
  <c r="DT399" i="2"/>
  <c r="CU18" i="13" s="1"/>
  <c r="CU23" i="13"/>
  <c r="DT493" i="2"/>
  <c r="CU107" i="13" s="1"/>
  <c r="DZ107" i="13" s="1"/>
  <c r="CU108" i="13"/>
  <c r="DZ108" i="13" s="1"/>
  <c r="DU495" i="2"/>
  <c r="CV109" i="13" s="1"/>
  <c r="CV51" i="13"/>
  <c r="CV29" i="13"/>
  <c r="CO14" i="12"/>
  <c r="CV25" i="13"/>
  <c r="CM11" i="12"/>
  <c r="CM18" i="12" s="1"/>
  <c r="CN24" i="11"/>
  <c r="DS24" i="11" s="1"/>
  <c r="DV435" i="2"/>
  <c r="CW50" i="13" s="1"/>
  <c r="CW26" i="13"/>
  <c r="DV436" i="2"/>
  <c r="CW27" i="13"/>
  <c r="EX59" i="15"/>
  <c r="CM8" i="12"/>
  <c r="CM22" i="12" s="1"/>
  <c r="CM13" i="11"/>
  <c r="CM11" i="11" s="1"/>
  <c r="DK158" i="7"/>
  <c r="CM124" i="12"/>
  <c r="CM153" i="11"/>
  <c r="EX60" i="15"/>
  <c r="CS70" i="13"/>
  <c r="CS71" i="13"/>
  <c r="DS428" i="2"/>
  <c r="DU318" i="2"/>
  <c r="DL156" i="7"/>
  <c r="DU137" i="15" s="1"/>
  <c r="EZ137" i="15" s="1"/>
  <c r="DS398" i="2"/>
  <c r="DS423" i="2"/>
  <c r="CT39" i="13" s="1"/>
  <c r="DS417" i="2"/>
  <c r="DK11" i="7"/>
  <c r="DT9" i="15" s="1"/>
  <c r="DU376" i="2"/>
  <c r="DU420" i="2"/>
  <c r="CV36" i="13" s="1"/>
  <c r="DU426" i="2"/>
  <c r="DV407" i="2"/>
  <c r="DR206" i="2"/>
  <c r="DR205" i="2" s="1"/>
  <c r="DJ23" i="7"/>
  <c r="DJ22" i="7" s="1"/>
  <c r="DU405" i="2"/>
  <c r="DT429" i="2"/>
  <c r="CU44" i="13" s="1"/>
  <c r="DZ44" i="13" s="1"/>
  <c r="DK157" i="7"/>
  <c r="DV404" i="2"/>
  <c r="CW22" i="13" s="1"/>
  <c r="DS176" i="2"/>
  <c r="DK23" i="7" s="1"/>
  <c r="DK22" i="7" s="1"/>
  <c r="DR177" i="2"/>
  <c r="DJ24" i="7" s="1"/>
  <c r="DS28" i="18" s="1"/>
  <c r="DR178" i="2"/>
  <c r="DJ25" i="7" s="1"/>
  <c r="DS29" i="18" s="1"/>
  <c r="DR179" i="2"/>
  <c r="DJ26" i="7" s="1"/>
  <c r="DS30" i="18" s="1"/>
  <c r="DR180" i="2"/>
  <c r="DJ27" i="7" s="1"/>
  <c r="DS31" i="18" s="1"/>
  <c r="DR175" i="2"/>
  <c r="DT85" i="3"/>
  <c r="DT84" i="3" s="1"/>
  <c r="DT146" i="18" s="1"/>
  <c r="DS158" i="2"/>
  <c r="DL12" i="7"/>
  <c r="DF76" i="2"/>
  <c r="DU118" i="2"/>
  <c r="DT105" i="2"/>
  <c r="DU90" i="3" s="1"/>
  <c r="DU119" i="2"/>
  <c r="DT107" i="2"/>
  <c r="DU92" i="3" s="1"/>
  <c r="DU117" i="2"/>
  <c r="DT103" i="2"/>
  <c r="DU86" i="3" s="1"/>
  <c r="DU154" i="18" s="1"/>
  <c r="EZ154" i="18" s="1"/>
  <c r="DN200" i="18"/>
  <c r="DN753" i="2"/>
  <c r="DM208" i="18"/>
  <c r="DM202" i="18"/>
  <c r="EW204" i="18"/>
  <c r="DM204" i="18"/>
  <c r="EW206" i="18"/>
  <c r="DM206" i="18"/>
  <c r="EW201" i="18"/>
  <c r="DM201" i="18"/>
  <c r="EW207" i="18"/>
  <c r="DM207" i="18"/>
  <c r="EW205" i="18"/>
  <c r="DM205" i="18"/>
  <c r="EW203" i="18"/>
  <c r="DM203" i="18"/>
  <c r="CH38" i="12"/>
  <c r="DQ38" i="12" s="1"/>
  <c r="DQ40" i="12"/>
  <c r="CI91" i="12"/>
  <c r="DX155" i="13"/>
  <c r="DO162" i="18"/>
  <c r="EX162" i="18" s="1"/>
  <c r="DO108" i="15"/>
  <c r="EX108" i="15" s="1"/>
  <c r="CO144" i="13"/>
  <c r="CH88" i="12"/>
  <c r="DQ88" i="12" s="1"/>
  <c r="DO99" i="15"/>
  <c r="EX99" i="15" s="1"/>
  <c r="CJ52" i="11"/>
  <c r="DQ67" i="18"/>
  <c r="CJ94" i="12"/>
  <c r="CJ95" i="12"/>
  <c r="CJ97" i="12"/>
  <c r="DP775" i="2"/>
  <c r="DR20" i="11"/>
  <c r="EB20" i="11" s="1"/>
  <c r="CK33" i="11"/>
  <c r="DR33" i="11" s="1"/>
  <c r="EB33" i="11" s="1"/>
  <c r="CI38" i="12"/>
  <c r="CG132" i="11"/>
  <c r="DQ96" i="11"/>
  <c r="DQ87" i="11"/>
  <c r="CG118" i="12"/>
  <c r="CP162" i="13"/>
  <c r="CI87" i="11"/>
  <c r="CI96" i="11"/>
  <c r="CH79" i="11"/>
  <c r="DQ79" i="11" s="1"/>
  <c r="DX102" i="13"/>
  <c r="CI102" i="11"/>
  <c r="DQ95" i="11"/>
  <c r="DX139" i="13"/>
  <c r="EO76" i="7"/>
  <c r="EO75" i="7"/>
  <c r="DG66" i="7"/>
  <c r="DP18" i="15"/>
  <c r="DP27" i="15" s="1"/>
  <c r="EP12" i="7"/>
  <c r="EZ12" i="7" s="1"/>
  <c r="DR13" i="11"/>
  <c r="EB13" i="11" s="1"/>
  <c r="EW43" i="15"/>
  <c r="DQ36" i="11"/>
  <c r="DQ38" i="11"/>
  <c r="CP165" i="13"/>
  <c r="CH128" i="11"/>
  <c r="DQ128" i="11" s="1"/>
  <c r="CH99" i="12"/>
  <c r="DQ99" i="12" s="1"/>
  <c r="CI55" i="11"/>
  <c r="CP155" i="13"/>
  <c r="CH51" i="12"/>
  <c r="DQ51" i="12" s="1"/>
  <c r="CH73" i="11"/>
  <c r="DQ73" i="11" s="1"/>
  <c r="CI38" i="11"/>
  <c r="DG106" i="7"/>
  <c r="DG115" i="7"/>
  <c r="CH49" i="12"/>
  <c r="DQ49" i="12" s="1"/>
  <c r="CH71" i="11"/>
  <c r="DQ71" i="11" s="1"/>
  <c r="DM43" i="15"/>
  <c r="DM80" i="18"/>
  <c r="CQ62" i="13"/>
  <c r="CJ45" i="11"/>
  <c r="DQ39" i="15"/>
  <c r="DQ28" i="18"/>
  <c r="CI77" i="11"/>
  <c r="CI64" i="11"/>
  <c r="DP87" i="18"/>
  <c r="DO32" i="18"/>
  <c r="DO43" i="18"/>
  <c r="EX43" i="18" s="1"/>
  <c r="DO47" i="15"/>
  <c r="EX27" i="15"/>
  <c r="DR24" i="15"/>
  <c r="EY24" i="15" s="1"/>
  <c r="FI24" i="15" s="1"/>
  <c r="EY15" i="15"/>
  <c r="FI15" i="15" s="1"/>
  <c r="CH52" i="12"/>
  <c r="DQ52" i="12" s="1"/>
  <c r="CH74" i="11"/>
  <c r="DQ74" i="11" s="1"/>
  <c r="CH95" i="11"/>
  <c r="CH86" i="11"/>
  <c r="CH64" i="12"/>
  <c r="CI70" i="12"/>
  <c r="CI45" i="12"/>
  <c r="CJ58" i="12"/>
  <c r="DQ68" i="15" s="1"/>
  <c r="CQ74" i="13"/>
  <c r="CQ162" i="13" s="1"/>
  <c r="DP54" i="15"/>
  <c r="CP139" i="13"/>
  <c r="DP80" i="15"/>
  <c r="DO74" i="15"/>
  <c r="EX68" i="15"/>
  <c r="CQ103" i="13"/>
  <c r="CQ123" i="13"/>
  <c r="CP129" i="13"/>
  <c r="CN159" i="13"/>
  <c r="CN167" i="13"/>
  <c r="DH32" i="7"/>
  <c r="CQ133" i="13"/>
  <c r="CJ102" i="11" s="1"/>
  <c r="CP124" i="13"/>
  <c r="CP130" i="13"/>
  <c r="CO127" i="13"/>
  <c r="CO121" i="13"/>
  <c r="DX121" i="13" s="1"/>
  <c r="DP543" i="2"/>
  <c r="DP549" i="2" s="1"/>
  <c r="CP102" i="13"/>
  <c r="DO502" i="2"/>
  <c r="DP488" i="2"/>
  <c r="CQ116" i="13"/>
  <c r="CQ114" i="13"/>
  <c r="CQ115" i="13"/>
  <c r="DQ456" i="2"/>
  <c r="CR70" i="13"/>
  <c r="DY70" i="13" s="1"/>
  <c r="EI70" i="13" s="1"/>
  <c r="DQ473" i="2"/>
  <c r="DQ511" i="2" s="1"/>
  <c r="DQ474" i="2"/>
  <c r="DQ512" i="2" s="1"/>
  <c r="CR71" i="13"/>
  <c r="DH44" i="7"/>
  <c r="CJ40" i="12" s="1"/>
  <c r="CJ38" i="12" s="1"/>
  <c r="DQ204" i="2"/>
  <c r="DI43" i="7"/>
  <c r="DI42" i="7" s="1"/>
  <c r="DQ175" i="2"/>
  <c r="DI23" i="7"/>
  <c r="DI22" i="7" s="1"/>
  <c r="DQ177" i="2"/>
  <c r="DI24" i="7" s="1"/>
  <c r="EP24" i="7" s="1"/>
  <c r="EZ24" i="7" s="1"/>
  <c r="DQ180" i="2"/>
  <c r="DI27" i="7" s="1"/>
  <c r="DR31" i="18" s="1"/>
  <c r="EY31" i="18" s="1"/>
  <c r="FI31" i="18" s="1"/>
  <c r="DQ179" i="2"/>
  <c r="DI26" i="7" s="1"/>
  <c r="DR30" i="18" s="1"/>
  <c r="EY30" i="18" s="1"/>
  <c r="FI30" i="18" s="1"/>
  <c r="DQ178" i="2"/>
  <c r="DI25" i="7" s="1"/>
  <c r="DR29" i="18" s="1"/>
  <c r="EY29" i="18" s="1"/>
  <c r="CK8" i="12"/>
  <c r="CK22" i="12" s="1"/>
  <c r="DR22" i="12" s="1"/>
  <c r="EB22" i="12" s="1"/>
  <c r="DI11" i="7"/>
  <c r="DR9" i="15" s="1"/>
  <c r="DR12" i="18" s="1"/>
  <c r="EY12" i="18" s="1"/>
  <c r="FI12" i="18" s="1"/>
  <c r="DP204" i="2"/>
  <c r="DH43" i="7"/>
  <c r="DG85" i="7"/>
  <c r="DO230" i="2"/>
  <c r="DG75" i="7" s="1"/>
  <c r="DP59" i="15" s="1"/>
  <c r="DO228" i="2"/>
  <c r="DG72" i="7" s="1"/>
  <c r="DG83" i="7"/>
  <c r="DO231" i="2"/>
  <c r="DG76" i="7" s="1"/>
  <c r="DP60" i="15" s="1"/>
  <c r="DG86" i="7"/>
  <c r="DQ445" i="2"/>
  <c r="DQ448" i="2"/>
  <c r="DR448" i="2" s="1"/>
  <c r="CS60" i="13" s="1"/>
  <c r="DQ447" i="2"/>
  <c r="DR447" i="2" s="1"/>
  <c r="CS59" i="13" s="1"/>
  <c r="DQ446" i="2"/>
  <c r="DR446" i="2" s="1"/>
  <c r="CS58" i="13" s="1"/>
  <c r="DQ454" i="2"/>
  <c r="DQ453" i="2"/>
  <c r="DQ452" i="2"/>
  <c r="CK18" i="12"/>
  <c r="DR18" i="12" s="1"/>
  <c r="EB18" i="12" s="1"/>
  <c r="CR32" i="13"/>
  <c r="DY32" i="13" s="1"/>
  <c r="EI32" i="13" s="1"/>
  <c r="CR54" i="13"/>
  <c r="DY54" i="13" s="1"/>
  <c r="EI54" i="13" s="1"/>
  <c r="CR38" i="13"/>
  <c r="DY38" i="13" s="1"/>
  <c r="EI38" i="13" s="1"/>
  <c r="CH73" i="12" l="1"/>
  <c r="DW10" i="15"/>
  <c r="CP12" i="11"/>
  <c r="CP6" i="11"/>
  <c r="EO106" i="7"/>
  <c r="CH105" i="11"/>
  <c r="DV419" i="2"/>
  <c r="CW35" i="13" s="1"/>
  <c r="DQ105" i="11"/>
  <c r="EZ28" i="15"/>
  <c r="CO31" i="11"/>
  <c r="DV425" i="2"/>
  <c r="CW41" i="13" s="1"/>
  <c r="EZ48" i="15"/>
  <c r="CW20" i="13"/>
  <c r="CP18" i="11" s="1"/>
  <c r="EZ19" i="15"/>
  <c r="DQ73" i="12"/>
  <c r="DO175" i="18"/>
  <c r="EX177" i="18"/>
  <c r="DP175" i="18"/>
  <c r="CL33" i="11"/>
  <c r="DS458" i="2"/>
  <c r="CS32" i="13"/>
  <c r="CP4" i="12"/>
  <c r="CP5" i="11"/>
  <c r="DU15" i="15"/>
  <c r="DU24" i="15" s="1"/>
  <c r="EZ24" i="15" s="1"/>
  <c r="DZ18" i="13"/>
  <c r="CU17" i="13"/>
  <c r="DZ23" i="13"/>
  <c r="CV49" i="13"/>
  <c r="CO21" i="12"/>
  <c r="DV19" i="15"/>
  <c r="CS87" i="13"/>
  <c r="CS78" i="13"/>
  <c r="CL43" i="11"/>
  <c r="CL42" i="11"/>
  <c r="DQ272" i="2"/>
  <c r="DQ274" i="2"/>
  <c r="DS285" i="2"/>
  <c r="DP272" i="2"/>
  <c r="DP274" i="2"/>
  <c r="DS457" i="2"/>
  <c r="DR452" i="2"/>
  <c r="CS65" i="13" s="1"/>
  <c r="DR453" i="2"/>
  <c r="CS66" i="13" s="1"/>
  <c r="DR454" i="2"/>
  <c r="CS67" i="13" s="1"/>
  <c r="CM25" i="11"/>
  <c r="CM23" i="11" s="1"/>
  <c r="FI29" i="18"/>
  <c r="CL25" i="11"/>
  <c r="DS18" i="15"/>
  <c r="CK25" i="11"/>
  <c r="CK23" i="11" s="1"/>
  <c r="DR23" i="11" s="1"/>
  <c r="EB23" i="11" s="1"/>
  <c r="DW6" i="15"/>
  <c r="CW3" i="13"/>
  <c r="CS54" i="13"/>
  <c r="DU497" i="2"/>
  <c r="CV112" i="13" s="1"/>
  <c r="DU544" i="2"/>
  <c r="CV134" i="13" s="1"/>
  <c r="CT33" i="13"/>
  <c r="CT32" i="13" s="1"/>
  <c r="DS439" i="2"/>
  <c r="DR445" i="2"/>
  <c r="CS57" i="13" s="1"/>
  <c r="CX5" i="13"/>
  <c r="CQ5" i="11" s="1"/>
  <c r="CQ30" i="11" s="1"/>
  <c r="DW418" i="2"/>
  <c r="CX34" i="13" s="1"/>
  <c r="EA34" i="13" s="1"/>
  <c r="DW424" i="2"/>
  <c r="CX40" i="13" s="1"/>
  <c r="EA40" i="13" s="1"/>
  <c r="DU498" i="2"/>
  <c r="CV113" i="13" s="1"/>
  <c r="DX479" i="2"/>
  <c r="CX99" i="13"/>
  <c r="EA99" i="13" s="1"/>
  <c r="DW394" i="2"/>
  <c r="DW379" i="2"/>
  <c r="DV434" i="2"/>
  <c r="DV498" i="2" s="1"/>
  <c r="CW113" i="13" s="1"/>
  <c r="DU493" i="2"/>
  <c r="CV107" i="13" s="1"/>
  <c r="FA90" i="3"/>
  <c r="DU155" i="18"/>
  <c r="EZ155" i="18" s="1"/>
  <c r="DV494" i="2"/>
  <c r="CW108" i="13" s="1"/>
  <c r="DT12" i="18"/>
  <c r="FA92" i="3"/>
  <c r="DU156" i="18"/>
  <c r="EZ156" i="18" s="1"/>
  <c r="DT417" i="2"/>
  <c r="CO24" i="11"/>
  <c r="CU43" i="13"/>
  <c r="DZ43" i="13" s="1"/>
  <c r="CT38" i="13"/>
  <c r="DL158" i="7"/>
  <c r="EQ158" i="7" s="1"/>
  <c r="DV495" i="2"/>
  <c r="CW109" i="13" s="1"/>
  <c r="CW51" i="13"/>
  <c r="CW49" i="13" s="1"/>
  <c r="DU399" i="2"/>
  <c r="CV18" i="13" s="1"/>
  <c r="CV23" i="13"/>
  <c r="CW25" i="13"/>
  <c r="DW19" i="15" s="1"/>
  <c r="DW28" i="15" s="1"/>
  <c r="DW48" i="15" s="1"/>
  <c r="CP14" i="12"/>
  <c r="CP21" i="12" s="1"/>
  <c r="CW29" i="13"/>
  <c r="CN11" i="12"/>
  <c r="CN18" i="12" s="1"/>
  <c r="DT398" i="2"/>
  <c r="CW30" i="13"/>
  <c r="CP15" i="12"/>
  <c r="DT423" i="2"/>
  <c r="CU39" i="13" s="1"/>
  <c r="CS69" i="13"/>
  <c r="CS86" i="13"/>
  <c r="EQ156" i="7"/>
  <c r="CN124" i="12"/>
  <c r="DS124" i="12" s="1"/>
  <c r="CN153" i="11"/>
  <c r="DS153" i="11" s="1"/>
  <c r="EQ12" i="7"/>
  <c r="CN13" i="11"/>
  <c r="CN11" i="11" s="1"/>
  <c r="CN8" i="12"/>
  <c r="CN22" i="12" s="1"/>
  <c r="DR474" i="2"/>
  <c r="DR512" i="2" s="1"/>
  <c r="CT70" i="13"/>
  <c r="DR456" i="2"/>
  <c r="DR473" i="2"/>
  <c r="DR511" i="2" s="1"/>
  <c r="DR463" i="2"/>
  <c r="DR464" i="2"/>
  <c r="DR465" i="2"/>
  <c r="DV544" i="2"/>
  <c r="CW134" i="13" s="1"/>
  <c r="DS416" i="2"/>
  <c r="DS444" i="2" s="1"/>
  <c r="DS422" i="2"/>
  <c r="DT428" i="2"/>
  <c r="DV405" i="2"/>
  <c r="DU429" i="2"/>
  <c r="CV44" i="13" s="1"/>
  <c r="DV376" i="2"/>
  <c r="DV420" i="2"/>
  <c r="CW36" i="13" s="1"/>
  <c r="DV426" i="2"/>
  <c r="DT18" i="15"/>
  <c r="DT27" i="18" s="1"/>
  <c r="DK32" i="7"/>
  <c r="DS206" i="2"/>
  <c r="DS205" i="2" s="1"/>
  <c r="DJ32" i="7"/>
  <c r="DJ44" i="7"/>
  <c r="DR204" i="2"/>
  <c r="DJ43" i="7"/>
  <c r="DL11" i="7"/>
  <c r="DV318" i="2"/>
  <c r="DM156" i="7"/>
  <c r="DV137" i="15" s="1"/>
  <c r="DL157" i="7"/>
  <c r="DK44" i="7"/>
  <c r="DS177" i="2"/>
  <c r="DK24" i="7" s="1"/>
  <c r="DT28" i="18" s="1"/>
  <c r="DS179" i="2"/>
  <c r="DK26" i="7" s="1"/>
  <c r="DT30" i="18" s="1"/>
  <c r="DS178" i="2"/>
  <c r="DK25" i="7" s="1"/>
  <c r="DT29" i="18" s="1"/>
  <c r="DS180" i="2"/>
  <c r="DK27" i="7" s="1"/>
  <c r="DT31" i="18" s="1"/>
  <c r="DS175" i="2"/>
  <c r="DT176" i="2"/>
  <c r="DL23" i="7" s="1"/>
  <c r="DL22" i="7" s="1"/>
  <c r="DU85" i="3"/>
  <c r="DU84" i="3" s="1"/>
  <c r="DU146" i="18" s="1"/>
  <c r="EZ146" i="18" s="1"/>
  <c r="FA86" i="3"/>
  <c r="DT158" i="2"/>
  <c r="DM12" i="7"/>
  <c r="DN205" i="18"/>
  <c r="DG76" i="2"/>
  <c r="DV117" i="2"/>
  <c r="DU103" i="2"/>
  <c r="DV86" i="3" s="1"/>
  <c r="DV154" i="18" s="1"/>
  <c r="DV119" i="2"/>
  <c r="DU107" i="2"/>
  <c r="DV92" i="3" s="1"/>
  <c r="DV156" i="18" s="1"/>
  <c r="DN206" i="18"/>
  <c r="DV118" i="2"/>
  <c r="DU105" i="2"/>
  <c r="DV90" i="3" s="1"/>
  <c r="DV155" i="18" s="1"/>
  <c r="DO200" i="18"/>
  <c r="DO753" i="2"/>
  <c r="DN208" i="18"/>
  <c r="DN202" i="18"/>
  <c r="DN204" i="18"/>
  <c r="DN201" i="18"/>
  <c r="DN207" i="18"/>
  <c r="DN203" i="18"/>
  <c r="CO156" i="13"/>
  <c r="DX144" i="13"/>
  <c r="CH118" i="11"/>
  <c r="DQ118" i="11" s="1"/>
  <c r="CJ91" i="12"/>
  <c r="DP162" i="18"/>
  <c r="DP108" i="15"/>
  <c r="CP144" i="13"/>
  <c r="DP99" i="15"/>
  <c r="CI88" i="12"/>
  <c r="DQ775" i="2"/>
  <c r="CH98" i="11"/>
  <c r="DX127" i="13"/>
  <c r="CH82" i="12"/>
  <c r="DQ64" i="12"/>
  <c r="CR87" i="13"/>
  <c r="DY87" i="13" s="1"/>
  <c r="EI87" i="13" s="1"/>
  <c r="DY71" i="13"/>
  <c r="EI71" i="13" s="1"/>
  <c r="CG147" i="11"/>
  <c r="CI79" i="11"/>
  <c r="DR8" i="12"/>
  <c r="EB8" i="12" s="1"/>
  <c r="DX122" i="13"/>
  <c r="DP82" i="15"/>
  <c r="DH42" i="7"/>
  <c r="DI66" i="7" s="1"/>
  <c r="EP43" i="7"/>
  <c r="EZ43" i="7" s="1"/>
  <c r="EP26" i="7"/>
  <c r="EZ26" i="7" s="1"/>
  <c r="EP25" i="7"/>
  <c r="EZ25" i="7" s="1"/>
  <c r="EP27" i="7"/>
  <c r="EZ27" i="7" s="1"/>
  <c r="EP11" i="7"/>
  <c r="EZ11" i="7" s="1"/>
  <c r="EP23" i="7"/>
  <c r="DP27" i="18"/>
  <c r="CI36" i="11"/>
  <c r="DQ60" i="11"/>
  <c r="CI128" i="11"/>
  <c r="CI99" i="12"/>
  <c r="CI49" i="12"/>
  <c r="CI71" i="11"/>
  <c r="DQ27" i="15"/>
  <c r="DQ47" i="15" s="1"/>
  <c r="DQ45" i="15" s="1"/>
  <c r="DQ27" i="18"/>
  <c r="CI51" i="12"/>
  <c r="CI73" i="11"/>
  <c r="CI73" i="12"/>
  <c r="CI105" i="11"/>
  <c r="DO45" i="15"/>
  <c r="EX47" i="15"/>
  <c r="EY9" i="15"/>
  <c r="FI9" i="15" s="1"/>
  <c r="CJ38" i="11"/>
  <c r="CJ36" i="11" s="1"/>
  <c r="DO93" i="15"/>
  <c r="EX74" i="15"/>
  <c r="DR28" i="18"/>
  <c r="EY28" i="18" s="1"/>
  <c r="FI28" i="18" s="1"/>
  <c r="CJ77" i="11"/>
  <c r="CJ64" i="11"/>
  <c r="DQ87" i="18"/>
  <c r="DP47" i="15"/>
  <c r="CI52" i="12"/>
  <c r="CI74" i="11"/>
  <c r="CI95" i="11"/>
  <c r="CI86" i="11"/>
  <c r="CJ55" i="11"/>
  <c r="CQ155" i="13"/>
  <c r="CO122" i="13"/>
  <c r="CH89" i="11"/>
  <c r="DQ89" i="11" s="1"/>
  <c r="CQ165" i="13"/>
  <c r="CI64" i="12"/>
  <c r="CJ70" i="12"/>
  <c r="CJ45" i="12"/>
  <c r="DQ54" i="15"/>
  <c r="DQ74" i="15" s="1"/>
  <c r="CQ139" i="13"/>
  <c r="DQ80" i="15"/>
  <c r="DP74" i="15"/>
  <c r="CN168" i="13"/>
  <c r="CO128" i="13"/>
  <c r="CO141" i="13"/>
  <c r="DX141" i="13" s="1"/>
  <c r="DI32" i="7"/>
  <c r="DR18" i="15"/>
  <c r="EY18" i="15" s="1"/>
  <c r="FI18" i="15" s="1"/>
  <c r="CQ129" i="13"/>
  <c r="CQ124" i="13"/>
  <c r="CQ130" i="13"/>
  <c r="CP127" i="13"/>
  <c r="CP121" i="13"/>
  <c r="CQ102" i="13"/>
  <c r="CJ79" i="11" s="1"/>
  <c r="DP502" i="2"/>
  <c r="DQ510" i="2"/>
  <c r="CR69" i="13"/>
  <c r="DY69" i="13" s="1"/>
  <c r="EI69" i="13" s="1"/>
  <c r="CR86" i="13"/>
  <c r="DP262" i="2"/>
  <c r="DP238" i="2"/>
  <c r="DP241" i="2"/>
  <c r="DP240" i="2"/>
  <c r="DI44" i="7"/>
  <c r="DQ241" i="2"/>
  <c r="DQ262" i="2"/>
  <c r="DQ240" i="2"/>
  <c r="DQ238" i="2"/>
  <c r="DQ451" i="2"/>
  <c r="CR65" i="13"/>
  <c r="DQ468" i="2"/>
  <c r="DQ506" i="2" s="1"/>
  <c r="CR66" i="13"/>
  <c r="DY66" i="13" s="1"/>
  <c r="EI66" i="13" s="1"/>
  <c r="DQ469" i="2"/>
  <c r="DQ507" i="2" s="1"/>
  <c r="DQ491" i="2" s="1"/>
  <c r="CR105" i="13" s="1"/>
  <c r="DY105" i="13" s="1"/>
  <c r="EI105" i="13" s="1"/>
  <c r="CR67" i="13"/>
  <c r="DQ470" i="2"/>
  <c r="DQ508" i="2" s="1"/>
  <c r="DQ492" i="2" s="1"/>
  <c r="CR106" i="13" s="1"/>
  <c r="DY106" i="13" s="1"/>
  <c r="CR59" i="13"/>
  <c r="DQ464" i="2"/>
  <c r="CR58" i="13"/>
  <c r="DQ463" i="2"/>
  <c r="CR60" i="13"/>
  <c r="DQ465" i="2"/>
  <c r="CR57" i="13"/>
  <c r="DY57" i="13" s="1"/>
  <c r="EI57" i="13" s="1"/>
  <c r="DQ462" i="2"/>
  <c r="CV48" i="13" l="1"/>
  <c r="CO39" i="12"/>
  <c r="CP31" i="11"/>
  <c r="DT458" i="2"/>
  <c r="CO37" i="11"/>
  <c r="DV28" i="15"/>
  <c r="EZ15" i="15"/>
  <c r="EX175" i="18"/>
  <c r="DO190" i="18"/>
  <c r="DP190" i="18"/>
  <c r="DT5" i="11"/>
  <c r="CP30" i="11"/>
  <c r="DT30" i="11" s="1"/>
  <c r="DZ17" i="13"/>
  <c r="CN20" i="11"/>
  <c r="DZ39" i="13"/>
  <c r="DS18" i="12"/>
  <c r="DS11" i="12"/>
  <c r="EA5" i="13"/>
  <c r="CS81" i="13"/>
  <c r="CS82" i="13"/>
  <c r="CS83" i="13"/>
  <c r="CP8" i="11"/>
  <c r="DS33" i="15"/>
  <c r="DV15" i="15"/>
  <c r="CV17" i="13"/>
  <c r="CS85" i="13"/>
  <c r="DS22" i="12"/>
  <c r="DS8" i="12"/>
  <c r="DS11" i="11"/>
  <c r="DS13" i="11"/>
  <c r="CL23" i="11"/>
  <c r="DR25" i="11"/>
  <c r="EB25" i="11" s="1"/>
  <c r="DT457" i="2"/>
  <c r="CU70" i="13" s="1"/>
  <c r="DZ70" i="13" s="1"/>
  <c r="DT285" i="2"/>
  <c r="DR272" i="2"/>
  <c r="DR274" i="2"/>
  <c r="CT54" i="13"/>
  <c r="DR469" i="2"/>
  <c r="DR507" i="2" s="1"/>
  <c r="DR468" i="2"/>
  <c r="DR506" i="2" s="1"/>
  <c r="DS452" i="2"/>
  <c r="CT65" i="13" s="1"/>
  <c r="CT81" i="13" s="1"/>
  <c r="DV497" i="2"/>
  <c r="CW112" i="13" s="1"/>
  <c r="CS75" i="13"/>
  <c r="DR451" i="2"/>
  <c r="DR470" i="2"/>
  <c r="DR508" i="2" s="1"/>
  <c r="DR492" i="2" s="1"/>
  <c r="CS106" i="13" s="1"/>
  <c r="DS445" i="2"/>
  <c r="CT57" i="13" s="1"/>
  <c r="CT75" i="13" s="1"/>
  <c r="DR462" i="2"/>
  <c r="CT71" i="13"/>
  <c r="CS64" i="13"/>
  <c r="CN25" i="11"/>
  <c r="CN23" i="11" s="1"/>
  <c r="CS56" i="13"/>
  <c r="CL25" i="12"/>
  <c r="DV546" i="2"/>
  <c r="CW136" i="13" s="1"/>
  <c r="CU33" i="13"/>
  <c r="CU54" i="13" s="1"/>
  <c r="DT439" i="2"/>
  <c r="DT416" i="2"/>
  <c r="DT444" i="2" s="1"/>
  <c r="DT32" i="18"/>
  <c r="DR510" i="2"/>
  <c r="DW401" i="2"/>
  <c r="CX6" i="13"/>
  <c r="DW377" i="2"/>
  <c r="DW396" i="2"/>
  <c r="DW395" i="2"/>
  <c r="CY95" i="13"/>
  <c r="CX98" i="13"/>
  <c r="EA98" i="13" s="1"/>
  <c r="DX482" i="2"/>
  <c r="DX379" i="2" s="1"/>
  <c r="DX483" i="2"/>
  <c r="DU153" i="18"/>
  <c r="EZ153" i="18" s="1"/>
  <c r="DT43" i="18"/>
  <c r="DT27" i="15"/>
  <c r="DT47" i="15" s="1"/>
  <c r="DT45" i="15" s="1"/>
  <c r="DT422" i="2"/>
  <c r="DT452" i="2" s="1"/>
  <c r="CU65" i="13" s="1"/>
  <c r="DS27" i="18"/>
  <c r="DS27" i="15"/>
  <c r="DV153" i="18"/>
  <c r="CW48" i="13"/>
  <c r="CP39" i="12"/>
  <c r="CP37" i="11"/>
  <c r="DU398" i="2"/>
  <c r="DU417" i="2"/>
  <c r="CV43" i="13"/>
  <c r="DV493" i="2"/>
  <c r="CW107" i="13" s="1"/>
  <c r="DU423" i="2"/>
  <c r="CV39" i="13" s="1"/>
  <c r="CT86" i="13"/>
  <c r="DV399" i="2"/>
  <c r="CW18" i="13" s="1"/>
  <c r="DW15" i="15" s="1"/>
  <c r="DW24" i="15" s="1"/>
  <c r="CW23" i="13"/>
  <c r="CW17" i="13" s="1"/>
  <c r="CP20" i="11" s="1"/>
  <c r="CU38" i="13"/>
  <c r="DZ38" i="13" s="1"/>
  <c r="CO11" i="12"/>
  <c r="CP24" i="11"/>
  <c r="CL40" i="12"/>
  <c r="CL38" i="11"/>
  <c r="DM158" i="7"/>
  <c r="CO124" i="12"/>
  <c r="CO153" i="11"/>
  <c r="EQ11" i="7"/>
  <c r="DU9" i="15"/>
  <c r="EZ9" i="15" s="1"/>
  <c r="CO13" i="11"/>
  <c r="CO8" i="12"/>
  <c r="CM40" i="12"/>
  <c r="CM38" i="12" s="1"/>
  <c r="CM38" i="11"/>
  <c r="CM36" i="11" s="1"/>
  <c r="DS454" i="2"/>
  <c r="DR491" i="2"/>
  <c r="CS105" i="13" s="1"/>
  <c r="DS468" i="2"/>
  <c r="DS506" i="2" s="1"/>
  <c r="DU428" i="2"/>
  <c r="DS448" i="2"/>
  <c r="CT60" i="13" s="1"/>
  <c r="DS447" i="2"/>
  <c r="CT59" i="13" s="1"/>
  <c r="DR461" i="2"/>
  <c r="DR590" i="2" s="1"/>
  <c r="CS161" i="13" s="1"/>
  <c r="DS446" i="2"/>
  <c r="CT58" i="13" s="1"/>
  <c r="DS453" i="2"/>
  <c r="CT66" i="13" s="1"/>
  <c r="CT82" i="13" s="1"/>
  <c r="DS474" i="2"/>
  <c r="DS512" i="2" s="1"/>
  <c r="DS456" i="2"/>
  <c r="DS473" i="2"/>
  <c r="DS511" i="2" s="1"/>
  <c r="DL32" i="7"/>
  <c r="DU18" i="15"/>
  <c r="DU27" i="18" s="1"/>
  <c r="DT206" i="2"/>
  <c r="DT205" i="2" s="1"/>
  <c r="DR240" i="2"/>
  <c r="DR241" i="2"/>
  <c r="DR238" i="2"/>
  <c r="DR262" i="2"/>
  <c r="DS204" i="2"/>
  <c r="DK43" i="7"/>
  <c r="DK42" i="7" s="1"/>
  <c r="DJ42" i="7"/>
  <c r="DM11" i="7"/>
  <c r="DV9" i="15" s="1"/>
  <c r="DV429" i="2"/>
  <c r="CW44" i="13" s="1"/>
  <c r="EQ23" i="7"/>
  <c r="DW318" i="2"/>
  <c r="DN156" i="7"/>
  <c r="DW137" i="15" s="1"/>
  <c r="DM157" i="7"/>
  <c r="DL44" i="7"/>
  <c r="EQ157" i="7"/>
  <c r="DU176" i="2"/>
  <c r="DM23" i="7" s="1"/>
  <c r="DM22" i="7" s="1"/>
  <c r="FA85" i="3"/>
  <c r="FA84" i="3" s="1"/>
  <c r="DV85" i="3"/>
  <c r="DV84" i="3" s="1"/>
  <c r="DV146" i="18" s="1"/>
  <c r="DT180" i="2"/>
  <c r="DL27" i="7" s="1"/>
  <c r="DT179" i="2"/>
  <c r="DL26" i="7" s="1"/>
  <c r="DT177" i="2"/>
  <c r="DL24" i="7" s="1"/>
  <c r="DT178" i="2"/>
  <c r="DL25" i="7" s="1"/>
  <c r="DT175" i="2"/>
  <c r="DN12" i="7"/>
  <c r="DU158" i="2"/>
  <c r="DH76" i="2"/>
  <c r="DW118" i="2"/>
  <c r="DV105" i="2"/>
  <c r="DW90" i="3" s="1"/>
  <c r="DW155" i="18" s="1"/>
  <c r="DW119" i="2"/>
  <c r="DV107" i="2"/>
  <c r="DW92" i="3" s="1"/>
  <c r="DW156" i="18" s="1"/>
  <c r="DW117" i="2"/>
  <c r="DV103" i="2"/>
  <c r="DW86" i="3" s="1"/>
  <c r="DW154" i="18" s="1"/>
  <c r="DO205" i="18"/>
  <c r="DO206" i="18"/>
  <c r="EX200" i="18"/>
  <c r="DP753" i="2"/>
  <c r="DP200" i="18"/>
  <c r="DO207" i="18"/>
  <c r="DO203" i="18"/>
  <c r="DO208" i="18"/>
  <c r="EX208" i="18" s="1"/>
  <c r="DO202" i="18"/>
  <c r="EX202" i="18" s="1"/>
  <c r="DO204" i="18"/>
  <c r="EX204" i="18" s="1"/>
  <c r="DO201" i="18"/>
  <c r="EX201" i="18" s="1"/>
  <c r="DX156" i="13"/>
  <c r="CP156" i="13"/>
  <c r="CI118" i="11"/>
  <c r="EX93" i="15"/>
  <c r="DO114" i="15"/>
  <c r="DQ162" i="18"/>
  <c r="DQ108" i="15"/>
  <c r="CQ144" i="13"/>
  <c r="CJ88" i="12"/>
  <c r="DQ99" i="15"/>
  <c r="CK38" i="11"/>
  <c r="CK40" i="12"/>
  <c r="CR85" i="13"/>
  <c r="DY85" i="13" s="1"/>
  <c r="EI85" i="13" s="1"/>
  <c r="DY86" i="13"/>
  <c r="EI86" i="13" s="1"/>
  <c r="CI82" i="12"/>
  <c r="CK42" i="11"/>
  <c r="DR42" i="11" s="1"/>
  <c r="EB42" i="11" s="1"/>
  <c r="DY58" i="13"/>
  <c r="EI58" i="13" s="1"/>
  <c r="DX142" i="13"/>
  <c r="EI106" i="13"/>
  <c r="CR78" i="13"/>
  <c r="DY78" i="13" s="1"/>
  <c r="EI78" i="13" s="1"/>
  <c r="DY60" i="13"/>
  <c r="EI60" i="13" s="1"/>
  <c r="CR83" i="13"/>
  <c r="DY67" i="13"/>
  <c r="EI67" i="13" s="1"/>
  <c r="DP32" i="18"/>
  <c r="CK43" i="11"/>
  <c r="DR43" i="11" s="1"/>
  <c r="EB43" i="11" s="1"/>
  <c r="DY59" i="13"/>
  <c r="EI59" i="13" s="1"/>
  <c r="CR81" i="13"/>
  <c r="DY81" i="13" s="1"/>
  <c r="EI81" i="13" s="1"/>
  <c r="DY65" i="13"/>
  <c r="EI65" i="13" s="1"/>
  <c r="CI98" i="11"/>
  <c r="CH103" i="12"/>
  <c r="DQ82" i="12"/>
  <c r="DX128" i="13"/>
  <c r="CH113" i="11"/>
  <c r="DQ98" i="11"/>
  <c r="DH66" i="7"/>
  <c r="EP42" i="7"/>
  <c r="EP32" i="7"/>
  <c r="EZ23" i="7"/>
  <c r="EZ32" i="7" s="1"/>
  <c r="EP44" i="7"/>
  <c r="EZ44" i="7" s="1"/>
  <c r="EP22" i="7"/>
  <c r="EZ22" i="7" s="1"/>
  <c r="DP43" i="18"/>
  <c r="CI60" i="11"/>
  <c r="CJ60" i="11"/>
  <c r="CK69" i="11"/>
  <c r="DR69" i="11" s="1"/>
  <c r="EB69" i="11" s="1"/>
  <c r="DP45" i="15"/>
  <c r="DQ43" i="15" s="1"/>
  <c r="CJ95" i="11"/>
  <c r="CJ86" i="11"/>
  <c r="DQ32" i="18"/>
  <c r="DQ43" i="18"/>
  <c r="DQ80" i="18"/>
  <c r="DR27" i="15"/>
  <c r="DR27" i="18"/>
  <c r="EY27" i="18" s="1"/>
  <c r="FI27" i="18" s="1"/>
  <c r="DP93" i="15"/>
  <c r="DP114" i="15" s="1"/>
  <c r="DO43" i="15"/>
  <c r="DO80" i="18"/>
  <c r="EX80" i="18" s="1"/>
  <c r="EX45" i="15"/>
  <c r="DI106" i="7"/>
  <c r="DR82" i="15" s="1"/>
  <c r="DI115" i="7"/>
  <c r="DH106" i="7"/>
  <c r="DH115" i="7"/>
  <c r="CK70" i="11"/>
  <c r="DR70" i="11" s="1"/>
  <c r="EB70" i="11" s="1"/>
  <c r="CK65" i="11"/>
  <c r="CP122" i="13"/>
  <c r="CI89" i="11"/>
  <c r="CJ128" i="11"/>
  <c r="CJ99" i="12"/>
  <c r="CJ64" i="12"/>
  <c r="CJ82" i="12" s="1"/>
  <c r="CK25" i="12"/>
  <c r="DR25" i="12" s="1"/>
  <c r="EB25" i="12" s="1"/>
  <c r="DR33" i="15"/>
  <c r="DQ93" i="15"/>
  <c r="CO158" i="13"/>
  <c r="DX158" i="13" s="1"/>
  <c r="CO142" i="13"/>
  <c r="CP128" i="13"/>
  <c r="CP141" i="13"/>
  <c r="CQ127" i="13"/>
  <c r="CJ98" i="11" s="1"/>
  <c r="CJ113" i="11" s="1"/>
  <c r="CQ121" i="13"/>
  <c r="DQ505" i="2"/>
  <c r="DQ490" i="2"/>
  <c r="DP230" i="2"/>
  <c r="DH75" i="7" s="1"/>
  <c r="DQ59" i="15" s="1"/>
  <c r="DH85" i="7"/>
  <c r="DP231" i="2"/>
  <c r="DH76" i="7" s="1"/>
  <c r="DQ60" i="15" s="1"/>
  <c r="DH86" i="7"/>
  <c r="DP228" i="2"/>
  <c r="DH72" i="7" s="1"/>
  <c r="DH83" i="7"/>
  <c r="DQ228" i="2"/>
  <c r="DI72" i="7" s="1"/>
  <c r="DI83" i="7"/>
  <c r="DQ230" i="2"/>
  <c r="DI75" i="7" s="1"/>
  <c r="DR59" i="15" s="1"/>
  <c r="DI85" i="7"/>
  <c r="DQ231" i="2"/>
  <c r="DI76" i="7" s="1"/>
  <c r="DR60" i="15" s="1"/>
  <c r="DI86" i="7"/>
  <c r="CR64" i="13"/>
  <c r="DY64" i="13" s="1"/>
  <c r="EI64" i="13" s="1"/>
  <c r="CR82" i="13"/>
  <c r="DY82" i="13" s="1"/>
  <c r="EI82" i="13" s="1"/>
  <c r="DQ461" i="2"/>
  <c r="CR56" i="13"/>
  <c r="DY56" i="13" s="1"/>
  <c r="CR75" i="13"/>
  <c r="CU71" i="13" l="1"/>
  <c r="CU87" i="13" s="1"/>
  <c r="DV48" i="15"/>
  <c r="DU458" i="2"/>
  <c r="CP33" i="11"/>
  <c r="DV24" i="15"/>
  <c r="DS39" i="15"/>
  <c r="CS80" i="13"/>
  <c r="DZ33" i="13"/>
  <c r="DZ65" i="13"/>
  <c r="DZ54" i="13"/>
  <c r="CN33" i="11"/>
  <c r="DS33" i="11" s="1"/>
  <c r="DS20" i="11"/>
  <c r="EX190" i="18"/>
  <c r="DO189" i="18"/>
  <c r="EX189" i="18" s="1"/>
  <c r="DP189" i="18"/>
  <c r="CS76" i="13"/>
  <c r="CS77" i="13"/>
  <c r="CO20" i="11"/>
  <c r="DR505" i="2"/>
  <c r="CS74" i="13"/>
  <c r="CS125" i="13"/>
  <c r="CT87" i="13"/>
  <c r="DZ87" i="13" s="1"/>
  <c r="DZ71" i="13"/>
  <c r="CS62" i="13"/>
  <c r="CL31" i="12"/>
  <c r="CQ6" i="11"/>
  <c r="DT6" i="11" s="1"/>
  <c r="EA6" i="13"/>
  <c r="CO18" i="12"/>
  <c r="CT78" i="13"/>
  <c r="CM43" i="11"/>
  <c r="DS120" i="15"/>
  <c r="CL137" i="11"/>
  <c r="CL108" i="12"/>
  <c r="CM42" i="11"/>
  <c r="DQ570" i="2"/>
  <c r="DQ590" i="2"/>
  <c r="CR161" i="13" s="1"/>
  <c r="DS23" i="11"/>
  <c r="DS25" i="11"/>
  <c r="CL38" i="12"/>
  <c r="CL36" i="11"/>
  <c r="CO11" i="11"/>
  <c r="CO22" i="12"/>
  <c r="CL65" i="11"/>
  <c r="CU32" i="13"/>
  <c r="DZ32" i="13" s="1"/>
  <c r="CL45" i="11"/>
  <c r="DU285" i="2"/>
  <c r="DU457" i="2"/>
  <c r="DS272" i="2"/>
  <c r="DS262" i="2" s="1"/>
  <c r="DS274" i="2"/>
  <c r="EZ18" i="15"/>
  <c r="DR490" i="2"/>
  <c r="DR489" i="2" s="1"/>
  <c r="DS47" i="15"/>
  <c r="CL70" i="11"/>
  <c r="DT445" i="2"/>
  <c r="CU57" i="13" s="1"/>
  <c r="DS462" i="2"/>
  <c r="CT69" i="13"/>
  <c r="CO25" i="11"/>
  <c r="CV33" i="13"/>
  <c r="DU439" i="2"/>
  <c r="EZ27" i="18"/>
  <c r="DY479" i="2"/>
  <c r="CY99" i="13"/>
  <c r="DX394" i="2"/>
  <c r="DX377" i="2" s="1"/>
  <c r="DX378" i="2"/>
  <c r="CX14" i="13"/>
  <c r="EA14" i="13" s="1"/>
  <c r="DW408" i="2"/>
  <c r="DW435" i="2" s="1"/>
  <c r="DW391" i="2"/>
  <c r="CX10" i="13" s="1"/>
  <c r="EA10" i="13" s="1"/>
  <c r="CX15" i="13"/>
  <c r="EA15" i="13" s="1"/>
  <c r="DW409" i="2"/>
  <c r="DW436" i="2" s="1"/>
  <c r="DW392" i="2"/>
  <c r="CX11" i="13" s="1"/>
  <c r="EA11" i="13" s="1"/>
  <c r="CX4" i="13"/>
  <c r="EA4" i="13" s="1"/>
  <c r="DW380" i="2"/>
  <c r="CY6" i="13"/>
  <c r="DX401" i="2"/>
  <c r="DW425" i="2"/>
  <c r="CX41" i="13" s="1"/>
  <c r="EA41" i="13" s="1"/>
  <c r="CX20" i="13"/>
  <c r="DW419" i="2"/>
  <c r="CX35" i="13" s="1"/>
  <c r="EA35" i="13" s="1"/>
  <c r="DS32" i="18"/>
  <c r="DS43" i="18"/>
  <c r="DV12" i="18"/>
  <c r="DT33" i="15"/>
  <c r="EQ24" i="7"/>
  <c r="DU28" i="18"/>
  <c r="EZ28" i="18" s="1"/>
  <c r="DU27" i="15"/>
  <c r="DU47" i="15" s="1"/>
  <c r="DU45" i="15" s="1"/>
  <c r="DU43" i="15" s="1"/>
  <c r="DU12" i="18"/>
  <c r="EQ25" i="7"/>
  <c r="DU29" i="18"/>
  <c r="DW153" i="18"/>
  <c r="EQ26" i="7"/>
  <c r="DU30" i="18"/>
  <c r="EZ30" i="18" s="1"/>
  <c r="EQ27" i="7"/>
  <c r="DU31" i="18"/>
  <c r="EZ31" i="18" s="1"/>
  <c r="DT80" i="18"/>
  <c r="CP11" i="12"/>
  <c r="CP18" i="12" s="1"/>
  <c r="DU416" i="2"/>
  <c r="DU444" i="2" s="1"/>
  <c r="CL69" i="11"/>
  <c r="CM25" i="12"/>
  <c r="CM31" i="12" s="1"/>
  <c r="CU81" i="13"/>
  <c r="DZ81" i="13" s="1"/>
  <c r="DU422" i="2"/>
  <c r="DU452" i="2" s="1"/>
  <c r="CV65" i="13" s="1"/>
  <c r="DT454" i="2"/>
  <c r="CU67" i="13" s="1"/>
  <c r="CU83" i="13" s="1"/>
  <c r="CU77" i="13" s="1"/>
  <c r="CT67" i="13"/>
  <c r="CT56" i="13"/>
  <c r="DV423" i="2"/>
  <c r="CW39" i="13" s="1"/>
  <c r="DS470" i="2"/>
  <c r="DS508" i="2" s="1"/>
  <c r="DS492" i="2" s="1"/>
  <c r="CT106" i="13" s="1"/>
  <c r="CW43" i="13"/>
  <c r="DV417" i="2"/>
  <c r="CV38" i="13"/>
  <c r="DV398" i="2"/>
  <c r="CU86" i="13"/>
  <c r="EQ44" i="7"/>
  <c r="CN40" i="12"/>
  <c r="CN38" i="12" s="1"/>
  <c r="CN38" i="11"/>
  <c r="CN36" i="11" s="1"/>
  <c r="CN60" i="11" s="1"/>
  <c r="DN158" i="7"/>
  <c r="CP124" i="12"/>
  <c r="CP153" i="11"/>
  <c r="CP13" i="11"/>
  <c r="CP11" i="11" s="1"/>
  <c r="CP8" i="12"/>
  <c r="CP22" i="12" s="1"/>
  <c r="EQ22" i="7"/>
  <c r="DR496" i="2"/>
  <c r="CS110" i="13" s="1"/>
  <c r="DR570" i="2"/>
  <c r="DV428" i="2"/>
  <c r="DV422" i="2"/>
  <c r="DT448" i="2"/>
  <c r="CU60" i="13" s="1"/>
  <c r="CU78" i="13" s="1"/>
  <c r="DS465" i="2"/>
  <c r="DS510" i="2"/>
  <c r="DT446" i="2"/>
  <c r="CU58" i="13" s="1"/>
  <c r="CN42" i="11" s="1"/>
  <c r="DS463" i="2"/>
  <c r="DT456" i="2"/>
  <c r="CV70" i="13"/>
  <c r="DT473" i="2"/>
  <c r="DT511" i="2" s="1"/>
  <c r="DT474" i="2"/>
  <c r="DT512" i="2" s="1"/>
  <c r="DT453" i="2"/>
  <c r="CU66" i="13" s="1"/>
  <c r="DS469" i="2"/>
  <c r="DS507" i="2" s="1"/>
  <c r="DS491" i="2" s="1"/>
  <c r="CT105" i="13" s="1"/>
  <c r="DS490" i="2"/>
  <c r="CT104" i="13" s="1"/>
  <c r="DT447" i="2"/>
  <c r="CU59" i="13" s="1"/>
  <c r="CN43" i="11" s="1"/>
  <c r="DS464" i="2"/>
  <c r="DT468" i="2"/>
  <c r="DT506" i="2" s="1"/>
  <c r="DS451" i="2"/>
  <c r="DJ66" i="7"/>
  <c r="DJ115" i="7"/>
  <c r="DJ106" i="7"/>
  <c r="DS82" i="15" s="1"/>
  <c r="DR228" i="2"/>
  <c r="DJ72" i="7" s="1"/>
  <c r="DJ83" i="7"/>
  <c r="DR231" i="2"/>
  <c r="DJ76" i="7" s="1"/>
  <c r="DS60" i="15" s="1"/>
  <c r="DJ86" i="7"/>
  <c r="DN157" i="7"/>
  <c r="DR230" i="2"/>
  <c r="DJ75" i="7" s="1"/>
  <c r="DS59" i="15" s="1"/>
  <c r="DJ85" i="7"/>
  <c r="DN11" i="7"/>
  <c r="DW9" i="15" s="1"/>
  <c r="DV18" i="15"/>
  <c r="DM32" i="7"/>
  <c r="DX318" i="2"/>
  <c r="DO156" i="7"/>
  <c r="DX137" i="15" s="1"/>
  <c r="FA137" i="15" s="1"/>
  <c r="DW85" i="3"/>
  <c r="DW84" i="3" s="1"/>
  <c r="DW146" i="18" s="1"/>
  <c r="EQ32" i="7"/>
  <c r="DK66" i="7"/>
  <c r="DM44" i="7"/>
  <c r="DS238" i="2"/>
  <c r="DS241" i="2"/>
  <c r="DS240" i="2"/>
  <c r="DT204" i="2"/>
  <c r="DL43" i="7"/>
  <c r="DV176" i="2"/>
  <c r="DN23" i="7" s="1"/>
  <c r="DN22" i="7" s="1"/>
  <c r="DU177" i="2"/>
  <c r="DM24" i="7" s="1"/>
  <c r="DV28" i="18" s="1"/>
  <c r="DU178" i="2"/>
  <c r="DM25" i="7" s="1"/>
  <c r="DV29" i="18" s="1"/>
  <c r="DU179" i="2"/>
  <c r="DM26" i="7" s="1"/>
  <c r="DV30" i="18" s="1"/>
  <c r="DU180" i="2"/>
  <c r="DM27" i="7" s="1"/>
  <c r="DV31" i="18" s="1"/>
  <c r="DU175" i="2"/>
  <c r="DU206" i="2"/>
  <c r="DU205" i="2" s="1"/>
  <c r="DO12" i="7"/>
  <c r="DV158" i="2"/>
  <c r="DI76" i="2"/>
  <c r="DX117" i="2"/>
  <c r="DW103" i="2"/>
  <c r="DX86" i="3" s="1"/>
  <c r="DX154" i="18" s="1"/>
  <c r="FA154" i="18" s="1"/>
  <c r="DX119" i="2"/>
  <c r="DW107" i="2"/>
  <c r="DX92" i="3" s="1"/>
  <c r="DX118" i="2"/>
  <c r="DW105" i="2"/>
  <c r="DX90" i="3" s="1"/>
  <c r="EX205" i="18"/>
  <c r="DP205" i="18"/>
  <c r="EX206" i="18"/>
  <c r="DP206" i="18"/>
  <c r="DQ753" i="2"/>
  <c r="DQ200" i="18"/>
  <c r="DP201" i="18"/>
  <c r="DP204" i="18"/>
  <c r="DP202" i="18"/>
  <c r="DP208" i="18"/>
  <c r="EX207" i="18"/>
  <c r="DP207" i="18"/>
  <c r="DP203" i="18"/>
  <c r="EX203" i="18"/>
  <c r="DQ114" i="15"/>
  <c r="DQ132" i="15" s="1"/>
  <c r="CJ103" i="12"/>
  <c r="CJ118" i="12" s="1"/>
  <c r="CK36" i="11"/>
  <c r="DR38" i="11"/>
  <c r="EB38" i="11" s="1"/>
  <c r="EX114" i="15"/>
  <c r="DO132" i="15"/>
  <c r="CQ156" i="13"/>
  <c r="CJ118" i="11"/>
  <c r="CK38" i="12"/>
  <c r="DR38" i="12" s="1"/>
  <c r="EB38" i="12" s="1"/>
  <c r="DR40" i="12"/>
  <c r="EB40" i="12" s="1"/>
  <c r="DP132" i="15"/>
  <c r="DY75" i="13"/>
  <c r="EI75" i="13" s="1"/>
  <c r="CI103" i="12"/>
  <c r="CI113" i="11"/>
  <c r="DY62" i="13"/>
  <c r="EI56" i="13"/>
  <c r="EI62" i="13" s="1"/>
  <c r="CH132" i="11"/>
  <c r="DQ113" i="11"/>
  <c r="DR65" i="11"/>
  <c r="EB65" i="11" s="1"/>
  <c r="CR77" i="13"/>
  <c r="DY83" i="13"/>
  <c r="EI83" i="13" s="1"/>
  <c r="CH118" i="12"/>
  <c r="DQ118" i="12" s="1"/>
  <c r="DQ103" i="12"/>
  <c r="DX159" i="13"/>
  <c r="EP115" i="7"/>
  <c r="EZ115" i="7" s="1"/>
  <c r="EP85" i="7"/>
  <c r="EZ85" i="7" s="1"/>
  <c r="EY59" i="15"/>
  <c r="FI59" i="15" s="1"/>
  <c r="EP75" i="7"/>
  <c r="EZ75" i="7" s="1"/>
  <c r="DQ82" i="15"/>
  <c r="EY82" i="15" s="1"/>
  <c r="FI82" i="15" s="1"/>
  <c r="EP106" i="7"/>
  <c r="EZ106" i="7" s="1"/>
  <c r="EP83" i="7"/>
  <c r="EZ83" i="7" s="1"/>
  <c r="EP86" i="7"/>
  <c r="EZ86" i="7" s="1"/>
  <c r="EP66" i="7"/>
  <c r="EZ42" i="7"/>
  <c r="EZ66" i="7" s="1"/>
  <c r="EY60" i="15"/>
  <c r="FI60" i="15" s="1"/>
  <c r="EP76" i="7"/>
  <c r="EZ76" i="7" s="1"/>
  <c r="EX43" i="15"/>
  <c r="DR39" i="15"/>
  <c r="EY39" i="15" s="1"/>
  <c r="FI39" i="15" s="1"/>
  <c r="EY33" i="15"/>
  <c r="FI33" i="15" s="1"/>
  <c r="DP43" i="15"/>
  <c r="DP80" i="18"/>
  <c r="CJ105" i="11"/>
  <c r="CJ73" i="12"/>
  <c r="CR62" i="13"/>
  <c r="CK45" i="11"/>
  <c r="DR45" i="11" s="1"/>
  <c r="EB45" i="11" s="1"/>
  <c r="CK51" i="12"/>
  <c r="CK73" i="11"/>
  <c r="CJ51" i="12"/>
  <c r="CJ73" i="11"/>
  <c r="CK73" i="12"/>
  <c r="CK105" i="11"/>
  <c r="CK49" i="12"/>
  <c r="CK71" i="11"/>
  <c r="DR32" i="18"/>
  <c r="DR43" i="18"/>
  <c r="EY43" i="18" s="1"/>
  <c r="FI43" i="18" s="1"/>
  <c r="CR80" i="13"/>
  <c r="DY80" i="13" s="1"/>
  <c r="EI80" i="13" s="1"/>
  <c r="CR76" i="13"/>
  <c r="CJ49" i="12"/>
  <c r="CJ71" i="11"/>
  <c r="DR47" i="15"/>
  <c r="EY27" i="15"/>
  <c r="FI27" i="15" s="1"/>
  <c r="CK52" i="12"/>
  <c r="CK74" i="11"/>
  <c r="CJ52" i="12"/>
  <c r="CJ74" i="11"/>
  <c r="CQ122" i="13"/>
  <c r="CJ89" i="11"/>
  <c r="CQ128" i="13"/>
  <c r="CQ141" i="13"/>
  <c r="CP158" i="13"/>
  <c r="CP142" i="13"/>
  <c r="CO159" i="13"/>
  <c r="CO167" i="13"/>
  <c r="DX167" i="13" s="1"/>
  <c r="DQ548" i="2"/>
  <c r="DQ547" i="2"/>
  <c r="DQ496" i="2"/>
  <c r="CR110" i="13" s="1"/>
  <c r="DQ501" i="2"/>
  <c r="DQ499" i="2"/>
  <c r="DQ500" i="2"/>
  <c r="CR104" i="13"/>
  <c r="DQ489" i="2"/>
  <c r="CK31" i="12"/>
  <c r="DR31" i="12" s="1"/>
  <c r="EB31" i="12" s="1"/>
  <c r="CS165" i="13" l="1"/>
  <c r="CT76" i="13"/>
  <c r="CM52" i="11" s="1"/>
  <c r="CL97" i="12"/>
  <c r="CS162" i="13"/>
  <c r="DV458" i="2"/>
  <c r="CS131" i="13"/>
  <c r="CL94" i="12"/>
  <c r="CT85" i="13"/>
  <c r="CU69" i="13"/>
  <c r="CL55" i="11"/>
  <c r="CV71" i="13"/>
  <c r="DZ78" i="13"/>
  <c r="DZ60" i="13"/>
  <c r="DS43" i="11"/>
  <c r="DZ59" i="13"/>
  <c r="DS42" i="11"/>
  <c r="DZ58" i="13"/>
  <c r="DZ69" i="13"/>
  <c r="CL52" i="11"/>
  <c r="CL95" i="12"/>
  <c r="DS67" i="18"/>
  <c r="CL53" i="11"/>
  <c r="CO33" i="11"/>
  <c r="DS117" i="15"/>
  <c r="DS177" i="18" s="1"/>
  <c r="CL136" i="11"/>
  <c r="CL107" i="12"/>
  <c r="DY161" i="13"/>
  <c r="EI161" i="13" s="1"/>
  <c r="CK108" i="12"/>
  <c r="DR120" i="15"/>
  <c r="CK137" i="11"/>
  <c r="CL96" i="11"/>
  <c r="CU75" i="13"/>
  <c r="DZ75" i="13" s="1"/>
  <c r="DZ57" i="13"/>
  <c r="CV54" i="13"/>
  <c r="CR6" i="11"/>
  <c r="CQ18" i="11"/>
  <c r="EA20" i="13"/>
  <c r="CT83" i="13"/>
  <c r="DZ67" i="13"/>
  <c r="CW38" i="13"/>
  <c r="CU85" i="13"/>
  <c r="DZ86" i="13"/>
  <c r="CV87" i="13"/>
  <c r="CU82" i="13"/>
  <c r="DZ66" i="13"/>
  <c r="CM60" i="11"/>
  <c r="CL60" i="11"/>
  <c r="DS38" i="12"/>
  <c r="DS40" i="12"/>
  <c r="DS36" i="11"/>
  <c r="DS38" i="11"/>
  <c r="CO23" i="11"/>
  <c r="CS104" i="13"/>
  <c r="DU445" i="2"/>
  <c r="CV57" i="13" s="1"/>
  <c r="DT462" i="2"/>
  <c r="DV457" i="2"/>
  <c r="CW70" i="13" s="1"/>
  <c r="CV32" i="13"/>
  <c r="DV285" i="2"/>
  <c r="DT272" i="2"/>
  <c r="DT274" i="2"/>
  <c r="DS45" i="15"/>
  <c r="EZ47" i="15"/>
  <c r="DT39" i="15"/>
  <c r="EZ27" i="15"/>
  <c r="DV27" i="18"/>
  <c r="DV32" i="18" s="1"/>
  <c r="EZ29" i="18"/>
  <c r="CW33" i="13"/>
  <c r="CW32" i="13" s="1"/>
  <c r="DV439" i="2"/>
  <c r="DU43" i="18"/>
  <c r="EZ43" i="18" s="1"/>
  <c r="EZ12" i="18"/>
  <c r="CX51" i="13"/>
  <c r="EA51" i="13" s="1"/>
  <c r="DW495" i="2"/>
  <c r="CX109" i="13" s="1"/>
  <c r="EA109" i="13" s="1"/>
  <c r="DX396" i="2"/>
  <c r="CX50" i="13"/>
  <c r="EA50" i="13" s="1"/>
  <c r="DW494" i="2"/>
  <c r="DW434" i="2"/>
  <c r="DX419" i="2"/>
  <c r="CY35" i="13" s="1"/>
  <c r="DX425" i="2"/>
  <c r="CY41" i="13" s="1"/>
  <c r="CY20" i="13"/>
  <c r="CX26" i="13"/>
  <c r="EA26" i="13" s="1"/>
  <c r="DW404" i="2"/>
  <c r="DW407" i="2"/>
  <c r="DX395" i="2"/>
  <c r="CX13" i="13"/>
  <c r="EA13" i="13" s="1"/>
  <c r="CX7" i="13"/>
  <c r="DW376" i="2"/>
  <c r="DW420" i="2"/>
  <c r="CX36" i="13" s="1"/>
  <c r="EA36" i="13" s="1"/>
  <c r="DW426" i="2"/>
  <c r="CY5" i="13"/>
  <c r="DX424" i="2"/>
  <c r="CY40" i="13" s="1"/>
  <c r="DX418" i="2"/>
  <c r="CY34" i="13" s="1"/>
  <c r="CY4" i="13"/>
  <c r="DX380" i="2"/>
  <c r="CZ95" i="13"/>
  <c r="CY98" i="13"/>
  <c r="CX27" i="13"/>
  <c r="EA27" i="13" s="1"/>
  <c r="DW405" i="2"/>
  <c r="DY482" i="2"/>
  <c r="DY483" i="2"/>
  <c r="DU33" i="15"/>
  <c r="DU39" i="15" s="1"/>
  <c r="CU64" i="13"/>
  <c r="DU32" i="18"/>
  <c r="EZ32" i="18" s="1"/>
  <c r="CN25" i="12"/>
  <c r="DV416" i="2"/>
  <c r="DV444" i="2" s="1"/>
  <c r="DV27" i="15"/>
  <c r="FB92" i="3"/>
  <c r="DX156" i="18"/>
  <c r="FA156" i="18" s="1"/>
  <c r="DW12" i="18"/>
  <c r="DU80" i="18"/>
  <c r="FB90" i="3"/>
  <c r="DX155" i="18"/>
  <c r="DR200" i="18"/>
  <c r="EY200" i="18" s="1"/>
  <c r="FI200" i="18" s="1"/>
  <c r="DR753" i="2"/>
  <c r="CT62" i="13"/>
  <c r="CM45" i="11"/>
  <c r="CM70" i="11"/>
  <c r="CM65" i="11"/>
  <c r="CV81" i="13"/>
  <c r="CN53" i="11"/>
  <c r="CM69" i="11"/>
  <c r="DT470" i="2"/>
  <c r="DT508" i="2" s="1"/>
  <c r="DT492" i="2" s="1"/>
  <c r="CU106" i="13" s="1"/>
  <c r="CT103" i="13"/>
  <c r="CT64" i="13"/>
  <c r="DZ64" i="13" s="1"/>
  <c r="CV86" i="13"/>
  <c r="CL58" i="12"/>
  <c r="CS123" i="13"/>
  <c r="DU454" i="2"/>
  <c r="CV67" i="13" s="1"/>
  <c r="CU56" i="13"/>
  <c r="DZ56" i="13" s="1"/>
  <c r="CQ8" i="12"/>
  <c r="DT8" i="12" s="1"/>
  <c r="CQ13" i="11"/>
  <c r="DT13" i="11" s="1"/>
  <c r="CL71" i="11"/>
  <c r="CL49" i="12"/>
  <c r="DY110" i="13"/>
  <c r="EI110" i="13" s="1"/>
  <c r="DO158" i="7"/>
  <c r="ER158" i="7" s="1"/>
  <c r="CQ153" i="11"/>
  <c r="DT153" i="11" s="1"/>
  <c r="CQ124" i="12"/>
  <c r="DT124" i="12" s="1"/>
  <c r="CL73" i="11"/>
  <c r="CL51" i="12"/>
  <c r="CO38" i="11"/>
  <c r="CO40" i="12"/>
  <c r="DN44" i="7"/>
  <c r="CP25" i="11"/>
  <c r="CP23" i="11" s="1"/>
  <c r="CL105" i="11"/>
  <c r="CL73" i="12"/>
  <c r="DY104" i="13"/>
  <c r="EI104" i="13" s="1"/>
  <c r="CL52" i="12"/>
  <c r="CL74" i="11"/>
  <c r="DS489" i="2"/>
  <c r="DS505" i="2"/>
  <c r="DS461" i="2"/>
  <c r="DS590" i="2" s="1"/>
  <c r="CT161" i="13" s="1"/>
  <c r="CR116" i="13"/>
  <c r="DY116" i="13" s="1"/>
  <c r="EI116" i="13" s="1"/>
  <c r="DR501" i="2"/>
  <c r="CS116" i="13" s="1"/>
  <c r="CR138" i="13"/>
  <c r="DR548" i="2"/>
  <c r="CS138" i="13" s="1"/>
  <c r="DU448" i="2"/>
  <c r="CV60" i="13" s="1"/>
  <c r="DT465" i="2"/>
  <c r="DT490" i="2"/>
  <c r="CU104" i="13" s="1"/>
  <c r="DU453" i="2"/>
  <c r="DT469" i="2"/>
  <c r="DT507" i="2" s="1"/>
  <c r="DT491" i="2" s="1"/>
  <c r="CU105" i="13" s="1"/>
  <c r="DZ105" i="13" s="1"/>
  <c r="DV452" i="2"/>
  <c r="CW65" i="13" s="1"/>
  <c r="DU468" i="2"/>
  <c r="DU506" i="2" s="1"/>
  <c r="DT451" i="2"/>
  <c r="DU474" i="2"/>
  <c r="DU512" i="2" s="1"/>
  <c r="DU462" i="2"/>
  <c r="DT510" i="2"/>
  <c r="CR115" i="13"/>
  <c r="DR500" i="2"/>
  <c r="CS115" i="13" s="1"/>
  <c r="DU447" i="2"/>
  <c r="CV59" i="13" s="1"/>
  <c r="DT464" i="2"/>
  <c r="DU456" i="2"/>
  <c r="DU473" i="2"/>
  <c r="DU511" i="2" s="1"/>
  <c r="CR114" i="13"/>
  <c r="DR499" i="2"/>
  <c r="CS114" i="13" s="1"/>
  <c r="CR137" i="13"/>
  <c r="DY137" i="13" s="1"/>
  <c r="EI137" i="13" s="1"/>
  <c r="DR547" i="2"/>
  <c r="CS137" i="13" s="1"/>
  <c r="DU446" i="2"/>
  <c r="CV58" i="13" s="1"/>
  <c r="DT463" i="2"/>
  <c r="DL42" i="7"/>
  <c r="EQ43" i="7"/>
  <c r="DU204" i="2"/>
  <c r="DM43" i="7"/>
  <c r="DY318" i="2"/>
  <c r="DP156" i="7"/>
  <c r="DY137" i="15" s="1"/>
  <c r="DT241" i="2"/>
  <c r="DT238" i="2"/>
  <c r="DT240" i="2"/>
  <c r="DT262" i="2"/>
  <c r="DS230" i="2"/>
  <c r="DK75" i="7" s="1"/>
  <c r="DT59" i="15" s="1"/>
  <c r="DK85" i="7"/>
  <c r="DS231" i="2"/>
  <c r="DK76" i="7" s="1"/>
  <c r="DT60" i="15" s="1"/>
  <c r="DK86" i="7"/>
  <c r="DK115" i="7"/>
  <c r="DK106" i="7"/>
  <c r="DT82" i="15" s="1"/>
  <c r="DO11" i="7"/>
  <c r="ER12" i="7"/>
  <c r="DS228" i="2"/>
  <c r="DK72" i="7" s="1"/>
  <c r="DK83" i="7"/>
  <c r="DW18" i="15"/>
  <c r="DW27" i="18" s="1"/>
  <c r="DN32" i="7"/>
  <c r="ER156" i="7"/>
  <c r="DO157" i="7"/>
  <c r="DX85" i="3"/>
  <c r="DX84" i="3" s="1"/>
  <c r="DX146" i="18" s="1"/>
  <c r="FA146" i="18" s="1"/>
  <c r="FB86" i="3"/>
  <c r="DV180" i="2"/>
  <c r="DN27" i="7" s="1"/>
  <c r="DW31" i="18" s="1"/>
  <c r="DV175" i="2"/>
  <c r="DV178" i="2"/>
  <c r="DN25" i="7" s="1"/>
  <c r="DW29" i="18" s="1"/>
  <c r="DV179" i="2"/>
  <c r="DN26" i="7" s="1"/>
  <c r="DW30" i="18" s="1"/>
  <c r="DV177" i="2"/>
  <c r="DN24" i="7" s="1"/>
  <c r="DW28" i="18" s="1"/>
  <c r="DV206" i="2"/>
  <c r="DV205" i="2" s="1"/>
  <c r="DW176" i="2"/>
  <c r="DO23" i="7" s="1"/>
  <c r="DO22" i="7" s="1"/>
  <c r="DP12" i="7"/>
  <c r="DW158" i="2"/>
  <c r="DJ76" i="2"/>
  <c r="DY118" i="2"/>
  <c r="DX105" i="2"/>
  <c r="DY90" i="3" s="1"/>
  <c r="DY155" i="18" s="1"/>
  <c r="DY119" i="2"/>
  <c r="DX107" i="2"/>
  <c r="DY92" i="3" s="1"/>
  <c r="DY156" i="18" s="1"/>
  <c r="DY117" i="2"/>
  <c r="DX103" i="2"/>
  <c r="DY86" i="3" s="1"/>
  <c r="DY154" i="18" s="1"/>
  <c r="DQ203" i="18"/>
  <c r="DQ206" i="18"/>
  <c r="DQ201" i="18"/>
  <c r="DQ204" i="18"/>
  <c r="DQ202" i="18"/>
  <c r="DQ208" i="18"/>
  <c r="DQ207" i="18"/>
  <c r="DQ205" i="18"/>
  <c r="DR36" i="11"/>
  <c r="CK60" i="11"/>
  <c r="EX132" i="15"/>
  <c r="CJ132" i="11"/>
  <c r="CJ147" i="11" s="1"/>
  <c r="CK95" i="12"/>
  <c r="DR95" i="12" s="1"/>
  <c r="EB95" i="12" s="1"/>
  <c r="CK94" i="12"/>
  <c r="CK97" i="12"/>
  <c r="DR97" i="12" s="1"/>
  <c r="EB97" i="12" s="1"/>
  <c r="DR67" i="18"/>
  <c r="DR52" i="12"/>
  <c r="EB52" i="12" s="1"/>
  <c r="DR49" i="12"/>
  <c r="EB49" i="12" s="1"/>
  <c r="CI132" i="11"/>
  <c r="DR51" i="12"/>
  <c r="EB51" i="12" s="1"/>
  <c r="CH147" i="11"/>
  <c r="DQ147" i="11" s="1"/>
  <c r="DQ132" i="11"/>
  <c r="DR73" i="12"/>
  <c r="EB73" i="12" s="1"/>
  <c r="CK53" i="11"/>
  <c r="DY77" i="13"/>
  <c r="CR125" i="13"/>
  <c r="CR131" i="13"/>
  <c r="DX168" i="13"/>
  <c r="CI118" i="12"/>
  <c r="CK52" i="11"/>
  <c r="DR52" i="11" s="1"/>
  <c r="DY76" i="13"/>
  <c r="DR71" i="11"/>
  <c r="EB71" i="11" s="1"/>
  <c r="DR73" i="11"/>
  <c r="EB73" i="11" s="1"/>
  <c r="DR105" i="11"/>
  <c r="EB105" i="11" s="1"/>
  <c r="DR74" i="11"/>
  <c r="EB74" i="11" s="1"/>
  <c r="CR74" i="13"/>
  <c r="CR162" i="13" s="1"/>
  <c r="DR45" i="15"/>
  <c r="EY47" i="15"/>
  <c r="FI47" i="15" s="1"/>
  <c r="CK58" i="12"/>
  <c r="CR103" i="13"/>
  <c r="DY103" i="13" s="1"/>
  <c r="EI103" i="13" s="1"/>
  <c r="CP167" i="13"/>
  <c r="CP159" i="13"/>
  <c r="CQ142" i="13"/>
  <c r="CQ158" i="13"/>
  <c r="CO168" i="13"/>
  <c r="CR123" i="13"/>
  <c r="DQ543" i="2"/>
  <c r="DQ549" i="2" s="1"/>
  <c r="DQ488" i="2"/>
  <c r="CL91" i="12" l="1"/>
  <c r="DZ85" i="13"/>
  <c r="CV69" i="13"/>
  <c r="CW71" i="13"/>
  <c r="CW87" i="13" s="1"/>
  <c r="DS75" i="18"/>
  <c r="CT80" i="13"/>
  <c r="CU80" i="13"/>
  <c r="CL87" i="11"/>
  <c r="CT77" i="13"/>
  <c r="DZ83" i="13"/>
  <c r="CU76" i="13"/>
  <c r="DZ82" i="13"/>
  <c r="DS175" i="18"/>
  <c r="DS190" i="18" s="1"/>
  <c r="DR108" i="12"/>
  <c r="EB108" i="12" s="1"/>
  <c r="CK107" i="12"/>
  <c r="DR107" i="12" s="1"/>
  <c r="EB107" i="12" s="1"/>
  <c r="EY120" i="15"/>
  <c r="FI120" i="15" s="1"/>
  <c r="DR117" i="15"/>
  <c r="DR137" i="11"/>
  <c r="EB137" i="11" s="1"/>
  <c r="CK136" i="11"/>
  <c r="DR136" i="11" s="1"/>
  <c r="EB136" i="11" s="1"/>
  <c r="DT18" i="11"/>
  <c r="CQ31" i="11"/>
  <c r="DT31" i="11" s="1"/>
  <c r="CS103" i="13"/>
  <c r="DZ104" i="13"/>
  <c r="CV75" i="13"/>
  <c r="CR18" i="11"/>
  <c r="EA29" i="13"/>
  <c r="CX3" i="13"/>
  <c r="EA7" i="13"/>
  <c r="CR5" i="11"/>
  <c r="EA30" i="13"/>
  <c r="CN31" i="12"/>
  <c r="DS31" i="12" s="1"/>
  <c r="DS25" i="12"/>
  <c r="CU131" i="13"/>
  <c r="DZ106" i="13"/>
  <c r="CV85" i="13"/>
  <c r="DS68" i="15"/>
  <c r="CV83" i="13"/>
  <c r="DZ62" i="13"/>
  <c r="CM137" i="11"/>
  <c r="CM108" i="12"/>
  <c r="DT120" i="15"/>
  <c r="DS87" i="18"/>
  <c r="CV78" i="13"/>
  <c r="CO43" i="11"/>
  <c r="CO42" i="11"/>
  <c r="DS60" i="11"/>
  <c r="CO36" i="11"/>
  <c r="CO38" i="12"/>
  <c r="DS43" i="15"/>
  <c r="DV445" i="2"/>
  <c r="CW57" i="13" s="1"/>
  <c r="CW75" i="13" s="1"/>
  <c r="DW285" i="2"/>
  <c r="DU272" i="2"/>
  <c r="DU274" i="2"/>
  <c r="DV47" i="15"/>
  <c r="DV43" i="18"/>
  <c r="EZ33" i="15"/>
  <c r="EZ39" i="15"/>
  <c r="DS80" i="18"/>
  <c r="EZ45" i="15"/>
  <c r="DT43" i="15"/>
  <c r="EZ80" i="18"/>
  <c r="DU240" i="2"/>
  <c r="CX49" i="13"/>
  <c r="CW54" i="13"/>
  <c r="DX153" i="18"/>
  <c r="FA153" i="18" s="1"/>
  <c r="FA155" i="18"/>
  <c r="DR203" i="18"/>
  <c r="EY203" i="18" s="1"/>
  <c r="FI203" i="18" s="1"/>
  <c r="DW32" i="18"/>
  <c r="CQ4" i="12"/>
  <c r="DT4" i="12" s="1"/>
  <c r="DX6" i="15"/>
  <c r="FA6" i="15" s="1"/>
  <c r="CX22" i="13"/>
  <c r="EA22" i="13" s="1"/>
  <c r="DW399" i="2"/>
  <c r="CX25" i="13"/>
  <c r="EA25" i="13" s="1"/>
  <c r="CX29" i="13"/>
  <c r="CQ14" i="12"/>
  <c r="DT14" i="12" s="1"/>
  <c r="DZ479" i="2"/>
  <c r="CZ99" i="13"/>
  <c r="DY378" i="2"/>
  <c r="DY394" i="2"/>
  <c r="DY377" i="2" s="1"/>
  <c r="DY379" i="2"/>
  <c r="CX23" i="13"/>
  <c r="EA23" i="13" s="1"/>
  <c r="DW429" i="2"/>
  <c r="DW498" i="2"/>
  <c r="CX113" i="13" s="1"/>
  <c r="EA113" i="13" s="1"/>
  <c r="DW544" i="2"/>
  <c r="CX134" i="13" s="1"/>
  <c r="EA134" i="13" s="1"/>
  <c r="DW497" i="2"/>
  <c r="CX112" i="13" s="1"/>
  <c r="EA112" i="13" s="1"/>
  <c r="DW546" i="2"/>
  <c r="CX136" i="13" s="1"/>
  <c r="EA136" i="13" s="1"/>
  <c r="CQ15" i="12"/>
  <c r="CX30" i="13"/>
  <c r="CX108" i="13"/>
  <c r="EA108" i="13" s="1"/>
  <c r="DW493" i="2"/>
  <c r="CX107" i="13" s="1"/>
  <c r="EA107" i="13" s="1"/>
  <c r="CS133" i="13"/>
  <c r="CY15" i="13"/>
  <c r="DX409" i="2"/>
  <c r="CY27" i="13" s="1"/>
  <c r="DX392" i="2"/>
  <c r="CY7" i="13"/>
  <c r="DX420" i="2"/>
  <c r="CY36" i="13" s="1"/>
  <c r="DX426" i="2"/>
  <c r="DX376" i="2"/>
  <c r="CQ7" i="12"/>
  <c r="DT7" i="12" s="1"/>
  <c r="DX10" i="15"/>
  <c r="FA10" i="15" s="1"/>
  <c r="CQ12" i="11"/>
  <c r="CY14" i="13"/>
  <c r="DX408" i="2"/>
  <c r="DX435" i="2" s="1"/>
  <c r="DX391" i="2"/>
  <c r="CY10" i="13" s="1"/>
  <c r="DV33" i="15"/>
  <c r="DW27" i="15"/>
  <c r="DW47" i="15" s="1"/>
  <c r="DW45" i="15" s="1"/>
  <c r="DW80" i="18" s="1"/>
  <c r="DS54" i="15"/>
  <c r="DY153" i="18"/>
  <c r="CS129" i="13"/>
  <c r="DW43" i="18"/>
  <c r="CU125" i="13"/>
  <c r="DR205" i="18"/>
  <c r="EY205" i="18" s="1"/>
  <c r="FI205" i="18" s="1"/>
  <c r="DS753" i="2"/>
  <c r="DS200" i="18"/>
  <c r="DU470" i="2"/>
  <c r="DU508" i="2" s="1"/>
  <c r="DU492" i="2" s="1"/>
  <c r="CV106" i="13" s="1"/>
  <c r="CL45" i="12"/>
  <c r="DU451" i="2"/>
  <c r="CV66" i="13"/>
  <c r="DV454" i="2"/>
  <c r="CW67" i="13" s="1"/>
  <c r="CW83" i="13" s="1"/>
  <c r="CW77" i="13" s="1"/>
  <c r="CL77" i="11"/>
  <c r="CS130" i="13"/>
  <c r="CL64" i="11"/>
  <c r="CS124" i="13"/>
  <c r="CU62" i="13"/>
  <c r="CN45" i="11"/>
  <c r="DS45" i="11" s="1"/>
  <c r="CO25" i="12"/>
  <c r="CW86" i="13"/>
  <c r="CW81" i="13"/>
  <c r="CN69" i="11"/>
  <c r="DS69" i="11" s="1"/>
  <c r="CN65" i="11"/>
  <c r="CN96" i="11" s="1"/>
  <c r="CN70" i="11"/>
  <c r="DS70" i="11" s="1"/>
  <c r="CU103" i="13"/>
  <c r="CV56" i="13"/>
  <c r="CM73" i="12"/>
  <c r="CM105" i="11"/>
  <c r="DY115" i="13"/>
  <c r="EI115" i="13" s="1"/>
  <c r="ER11" i="7"/>
  <c r="DX9" i="15"/>
  <c r="FA9" i="15" s="1"/>
  <c r="CM74" i="11"/>
  <c r="CM52" i="12"/>
  <c r="CP40" i="12"/>
  <c r="CP38" i="12" s="1"/>
  <c r="CP38" i="11"/>
  <c r="CP36" i="11" s="1"/>
  <c r="CM73" i="11"/>
  <c r="CM51" i="12"/>
  <c r="DY114" i="13"/>
  <c r="EI114" i="13" s="1"/>
  <c r="CR8" i="12"/>
  <c r="CR13" i="11"/>
  <c r="DY123" i="13"/>
  <c r="ER23" i="7"/>
  <c r="ER32" i="7" s="1"/>
  <c r="CQ25" i="11"/>
  <c r="CM71" i="11"/>
  <c r="CM49" i="12"/>
  <c r="CR153" i="11"/>
  <c r="CR124" i="12"/>
  <c r="CR133" i="13"/>
  <c r="DY133" i="13" s="1"/>
  <c r="DR87" i="18"/>
  <c r="EY87" i="18" s="1"/>
  <c r="FI87" i="18" s="1"/>
  <c r="CK64" i="11"/>
  <c r="DR64" i="11" s="1"/>
  <c r="CK77" i="11"/>
  <c r="DR77" i="11" s="1"/>
  <c r="EB77" i="11" s="1"/>
  <c r="DY138" i="13"/>
  <c r="EI138" i="13" s="1"/>
  <c r="DU238" i="2"/>
  <c r="DU228" i="2" s="1"/>
  <c r="DM72" i="7" s="1"/>
  <c r="DS496" i="2"/>
  <c r="CT110" i="13" s="1"/>
  <c r="DS570" i="2"/>
  <c r="DU262" i="2"/>
  <c r="DS548" i="2"/>
  <c r="CT138" i="13" s="1"/>
  <c r="DS501" i="2"/>
  <c r="CT116" i="13" s="1"/>
  <c r="DT87" i="18" s="1"/>
  <c r="DS500" i="2"/>
  <c r="CT115" i="13" s="1"/>
  <c r="DU510" i="2"/>
  <c r="DT461" i="2"/>
  <c r="DT590" i="2" s="1"/>
  <c r="CU161" i="13" s="1"/>
  <c r="CK45" i="12"/>
  <c r="DR45" i="12" s="1"/>
  <c r="EB45" i="12" s="1"/>
  <c r="CR129" i="13"/>
  <c r="CR130" i="13"/>
  <c r="CR124" i="13"/>
  <c r="DR54" i="15"/>
  <c r="EY54" i="15" s="1"/>
  <c r="FI54" i="15" s="1"/>
  <c r="DU490" i="2"/>
  <c r="CV104" i="13" s="1"/>
  <c r="DV462" i="2"/>
  <c r="DV468" i="2"/>
  <c r="DV506" i="2" s="1"/>
  <c r="DV456" i="2"/>
  <c r="DV473" i="2"/>
  <c r="DV511" i="2" s="1"/>
  <c r="DV474" i="2"/>
  <c r="DV512" i="2" s="1"/>
  <c r="DV453" i="2"/>
  <c r="DU469" i="2"/>
  <c r="DU507" i="2" s="1"/>
  <c r="DU491" i="2" s="1"/>
  <c r="CV105" i="13" s="1"/>
  <c r="DT489" i="2"/>
  <c r="DV446" i="2"/>
  <c r="CW58" i="13" s="1"/>
  <c r="CP42" i="11" s="1"/>
  <c r="DU463" i="2"/>
  <c r="DV447" i="2"/>
  <c r="CW59" i="13" s="1"/>
  <c r="CP43" i="11" s="1"/>
  <c r="DU464" i="2"/>
  <c r="DT505" i="2"/>
  <c r="DS547" i="2"/>
  <c r="CT137" i="13" s="1"/>
  <c r="DR543" i="2"/>
  <c r="DR549" i="2" s="1"/>
  <c r="DU241" i="2"/>
  <c r="DU231" i="2" s="1"/>
  <c r="DM76" i="7" s="1"/>
  <c r="DV60" i="15" s="1"/>
  <c r="DS499" i="2"/>
  <c r="CT114" i="13" s="1"/>
  <c r="DR488" i="2"/>
  <c r="DV448" i="2"/>
  <c r="CW60" i="13" s="1"/>
  <c r="CW78" i="13" s="1"/>
  <c r="DU465" i="2"/>
  <c r="DO44" i="7"/>
  <c r="DV204" i="2"/>
  <c r="DN43" i="7"/>
  <c r="DN42" i="7" s="1"/>
  <c r="DP157" i="7"/>
  <c r="ER157" i="7"/>
  <c r="DL106" i="7"/>
  <c r="DU82" i="15" s="1"/>
  <c r="EZ82" i="15" s="1"/>
  <c r="DL115" i="7"/>
  <c r="DP11" i="7"/>
  <c r="DY9" i="15" s="1"/>
  <c r="DT230" i="2"/>
  <c r="DL75" i="7" s="1"/>
  <c r="DL85" i="7"/>
  <c r="DT228" i="2"/>
  <c r="DL72" i="7" s="1"/>
  <c r="DL83" i="7"/>
  <c r="DZ318" i="2"/>
  <c r="DQ156" i="7"/>
  <c r="DZ137" i="15" s="1"/>
  <c r="DM42" i="7"/>
  <c r="DL66" i="7"/>
  <c r="EQ42" i="7"/>
  <c r="DT231" i="2"/>
  <c r="DL76" i="7" s="1"/>
  <c r="DL86" i="7"/>
  <c r="DU230" i="2"/>
  <c r="DM75" i="7" s="1"/>
  <c r="DV59" i="15" s="1"/>
  <c r="DM85" i="7"/>
  <c r="DP158" i="7"/>
  <c r="DX18" i="15"/>
  <c r="FA18" i="15" s="1"/>
  <c r="DO32" i="7"/>
  <c r="DW177" i="2"/>
  <c r="DO24" i="7" s="1"/>
  <c r="DW180" i="2"/>
  <c r="DO27" i="7" s="1"/>
  <c r="DW175" i="2"/>
  <c r="DW179" i="2"/>
  <c r="DO26" i="7" s="1"/>
  <c r="DW178" i="2"/>
  <c r="DO25" i="7" s="1"/>
  <c r="DY85" i="3"/>
  <c r="DY84" i="3" s="1"/>
  <c r="DY146" i="18" s="1"/>
  <c r="DX176" i="2"/>
  <c r="DP23" i="7" s="1"/>
  <c r="DP22" i="7" s="1"/>
  <c r="FB85" i="3"/>
  <c r="FB84" i="3" s="1"/>
  <c r="DW206" i="2"/>
  <c r="DW205" i="2" s="1"/>
  <c r="DQ12" i="7"/>
  <c r="DX158" i="2"/>
  <c r="DK76" i="2"/>
  <c r="DZ117" i="2"/>
  <c r="DY103" i="2"/>
  <c r="DZ86" i="3" s="1"/>
  <c r="DZ154" i="18" s="1"/>
  <c r="DZ119" i="2"/>
  <c r="DY107" i="2"/>
  <c r="DZ92" i="3" s="1"/>
  <c r="DZ156" i="18" s="1"/>
  <c r="DZ118" i="2"/>
  <c r="DY105" i="2"/>
  <c r="DZ90" i="3" s="1"/>
  <c r="DZ155" i="18" s="1"/>
  <c r="DR206" i="18"/>
  <c r="DR201" i="18"/>
  <c r="DR204" i="18"/>
  <c r="DR202" i="18"/>
  <c r="DR208" i="18"/>
  <c r="DR207" i="18"/>
  <c r="EB36" i="11"/>
  <c r="EB60" i="11" s="1"/>
  <c r="DR60" i="11"/>
  <c r="CK91" i="12"/>
  <c r="DR91" i="12" s="1"/>
  <c r="EB91" i="12" s="1"/>
  <c r="DR94" i="12"/>
  <c r="EB94" i="12" s="1"/>
  <c r="DR58" i="12"/>
  <c r="EB58" i="12" s="1"/>
  <c r="DR68" i="15"/>
  <c r="EY68" i="15" s="1"/>
  <c r="FI68" i="15" s="1"/>
  <c r="CR155" i="13"/>
  <c r="CS155" i="13" s="1"/>
  <c r="CR165" i="13"/>
  <c r="EI123" i="13"/>
  <c r="CK55" i="11"/>
  <c r="DR55" i="11" s="1"/>
  <c r="EB55" i="11" s="1"/>
  <c r="CI147" i="11"/>
  <c r="DY125" i="13"/>
  <c r="EI77" i="13"/>
  <c r="DY131" i="13"/>
  <c r="DY130" i="13"/>
  <c r="DY124" i="13"/>
  <c r="EI76" i="13"/>
  <c r="DR53" i="11"/>
  <c r="CK87" i="11"/>
  <c r="CK96" i="11"/>
  <c r="EB52" i="11"/>
  <c r="DY74" i="13"/>
  <c r="DR43" i="15"/>
  <c r="DR80" i="18"/>
  <c r="EY80" i="18" s="1"/>
  <c r="FI80" i="18" s="1"/>
  <c r="G22" i="24" s="1"/>
  <c r="EY45" i="15"/>
  <c r="CQ167" i="13"/>
  <c r="CQ159" i="13"/>
  <c r="CP168" i="13"/>
  <c r="CR102" i="13"/>
  <c r="DQ502" i="2"/>
  <c r="DS105" i="18" l="1"/>
  <c r="CW85" i="13"/>
  <c r="CW69" i="13"/>
  <c r="CP60" i="11"/>
  <c r="DS114" i="18"/>
  <c r="CN97" i="12"/>
  <c r="CU74" i="13"/>
  <c r="CN94" i="12"/>
  <c r="CN91" i="12" s="1"/>
  <c r="CN95" i="12"/>
  <c r="CM94" i="12"/>
  <c r="CM53" i="11"/>
  <c r="CT74" i="13"/>
  <c r="CT131" i="13"/>
  <c r="DT67" i="18"/>
  <c r="CT125" i="13"/>
  <c r="CM97" i="12"/>
  <c r="DS97" i="12" s="1"/>
  <c r="DZ77" i="13"/>
  <c r="CM95" i="12"/>
  <c r="DS95" i="12" s="1"/>
  <c r="DU67" i="18"/>
  <c r="DU75" i="18" s="1"/>
  <c r="CN52" i="11"/>
  <c r="DS52" i="11" s="1"/>
  <c r="DZ76" i="13"/>
  <c r="DZ80" i="13"/>
  <c r="DS189" i="18"/>
  <c r="EY117" i="15"/>
  <c r="FI117" i="15" s="1"/>
  <c r="DR177" i="18"/>
  <c r="CR31" i="11"/>
  <c r="EA3" i="13"/>
  <c r="CQ8" i="11"/>
  <c r="DT8" i="11" s="1"/>
  <c r="CR30" i="11"/>
  <c r="CV77" i="13"/>
  <c r="CO53" i="11" s="1"/>
  <c r="CM136" i="11"/>
  <c r="CM107" i="12"/>
  <c r="DT117" i="15"/>
  <c r="DT177" i="18" s="1"/>
  <c r="DZ131" i="13"/>
  <c r="DZ125" i="13"/>
  <c r="DS65" i="11"/>
  <c r="DZ103" i="13"/>
  <c r="CQ37" i="11"/>
  <c r="DT37" i="11" s="1"/>
  <c r="EA49" i="13"/>
  <c r="CQ22" i="12"/>
  <c r="DT22" i="12" s="1"/>
  <c r="DT15" i="12"/>
  <c r="DS80" i="15"/>
  <c r="DY6" i="15"/>
  <c r="CQ11" i="11"/>
  <c r="DT11" i="11" s="1"/>
  <c r="DT12" i="11"/>
  <c r="CV125" i="13"/>
  <c r="CL64" i="12"/>
  <c r="CO31" i="12"/>
  <c r="CU162" i="13"/>
  <c r="DZ161" i="13"/>
  <c r="CN137" i="11"/>
  <c r="CN136" i="11" s="1"/>
  <c r="DS136" i="11" s="1"/>
  <c r="CN108" i="12"/>
  <c r="CN107" i="12" s="1"/>
  <c r="DU120" i="15"/>
  <c r="DU117" i="15" s="1"/>
  <c r="CO60" i="11"/>
  <c r="DT25" i="11"/>
  <c r="CQ39" i="12"/>
  <c r="DT39" i="12" s="1"/>
  <c r="DX285" i="2"/>
  <c r="CX48" i="13"/>
  <c r="EA48" i="13" s="1"/>
  <c r="DV272" i="2"/>
  <c r="DV262" i="2" s="1"/>
  <c r="DV274" i="2"/>
  <c r="DS74" i="15"/>
  <c r="DV39" i="15"/>
  <c r="DV45" i="15"/>
  <c r="EZ43" i="15"/>
  <c r="DM83" i="7"/>
  <c r="DV241" i="2"/>
  <c r="DV231" i="2" s="1"/>
  <c r="DN76" i="7" s="1"/>
  <c r="DW60" i="15" s="1"/>
  <c r="CS139" i="13"/>
  <c r="CR25" i="11"/>
  <c r="CL70" i="12"/>
  <c r="DV470" i="2"/>
  <c r="DV508" i="2" s="1"/>
  <c r="DV492" i="2" s="1"/>
  <c r="CW106" i="13" s="1"/>
  <c r="CP70" i="11" s="1"/>
  <c r="DX436" i="2"/>
  <c r="DX434" i="2" s="1"/>
  <c r="CY13" i="13"/>
  <c r="CL102" i="11"/>
  <c r="EI129" i="13"/>
  <c r="DX405" i="2"/>
  <c r="CY23" i="13" s="1"/>
  <c r="DY395" i="2"/>
  <c r="DY408" i="2" s="1"/>
  <c r="CY50" i="13"/>
  <c r="DX494" i="2"/>
  <c r="DA95" i="13"/>
  <c r="EB95" i="13" s="1"/>
  <c r="CZ98" i="13"/>
  <c r="DZ482" i="2"/>
  <c r="DZ394" i="2" s="1"/>
  <c r="DZ377" i="2" s="1"/>
  <c r="DZ483" i="2"/>
  <c r="CY26" i="13"/>
  <c r="DX407" i="2"/>
  <c r="CQ21" i="12"/>
  <c r="DT21" i="12" s="1"/>
  <c r="CZ14" i="13"/>
  <c r="CY11" i="13"/>
  <c r="DX19" i="15"/>
  <c r="CQ24" i="11"/>
  <c r="CY3" i="13"/>
  <c r="CY30" i="13"/>
  <c r="CR15" i="12"/>
  <c r="CX44" i="13"/>
  <c r="DW428" i="2"/>
  <c r="CR4" i="12"/>
  <c r="DY396" i="2"/>
  <c r="CX18" i="13"/>
  <c r="EA18" i="13" s="1"/>
  <c r="DW423" i="2"/>
  <c r="DW398" i="2"/>
  <c r="DW417" i="2"/>
  <c r="DW439" i="2" s="1"/>
  <c r="CX17" i="13"/>
  <c r="DX404" i="2"/>
  <c r="DZ379" i="2"/>
  <c r="DY401" i="2"/>
  <c r="CZ20" i="13" s="1"/>
  <c r="CZ6" i="13"/>
  <c r="CZ4" i="13"/>
  <c r="DY380" i="2"/>
  <c r="DY376" i="2" s="1"/>
  <c r="CZ5" i="13"/>
  <c r="DY424" i="2"/>
  <c r="CZ40" i="13" s="1"/>
  <c r="DY418" i="2"/>
  <c r="CZ34" i="13" s="1"/>
  <c r="CP25" i="12"/>
  <c r="CP31" i="12" s="1"/>
  <c r="CW56" i="13"/>
  <c r="CN87" i="11"/>
  <c r="DX27" i="15"/>
  <c r="DX47" i="15" s="1"/>
  <c r="FA47" i="15" s="1"/>
  <c r="DX12" i="18"/>
  <c r="FA12" i="18" s="1"/>
  <c r="EQ76" i="7"/>
  <c r="DU60" i="15"/>
  <c r="EZ60" i="15" s="1"/>
  <c r="ER26" i="7"/>
  <c r="DX30" i="18"/>
  <c r="FA30" i="18" s="1"/>
  <c r="ER25" i="7"/>
  <c r="DX29" i="18"/>
  <c r="DS162" i="18"/>
  <c r="DS108" i="15"/>
  <c r="DS99" i="15"/>
  <c r="DZ153" i="18"/>
  <c r="ER27" i="7"/>
  <c r="DX31" i="18"/>
  <c r="FA31" i="18" s="1"/>
  <c r="DT54" i="15"/>
  <c r="DT74" i="15" s="1"/>
  <c r="ER24" i="7"/>
  <c r="DX28" i="18"/>
  <c r="FA28" i="18" s="1"/>
  <c r="EQ75" i="7"/>
  <c r="DU59" i="15"/>
  <c r="EZ59" i="15" s="1"/>
  <c r="DW33" i="15"/>
  <c r="DW39" i="15" s="1"/>
  <c r="EY206" i="18"/>
  <c r="FI206" i="18" s="1"/>
  <c r="DS206" i="18"/>
  <c r="DT753" i="2"/>
  <c r="DT200" i="18"/>
  <c r="EY207" i="18"/>
  <c r="FI207" i="18" s="1"/>
  <c r="DS207" i="18"/>
  <c r="EY208" i="18"/>
  <c r="FI208" i="18" s="1"/>
  <c r="DS208" i="18"/>
  <c r="DS203" i="18"/>
  <c r="DS205" i="18"/>
  <c r="EY202" i="18"/>
  <c r="FI202" i="18" s="1"/>
  <c r="DS202" i="18"/>
  <c r="EY204" i="18"/>
  <c r="FI204" i="18" s="1"/>
  <c r="DS204" i="18"/>
  <c r="EY201" i="18"/>
  <c r="FI201" i="18" s="1"/>
  <c r="DS201" i="18"/>
  <c r="CO69" i="11"/>
  <c r="DV451" i="2"/>
  <c r="CW66" i="13"/>
  <c r="CV62" i="13"/>
  <c r="CO45" i="11"/>
  <c r="DR80" i="15"/>
  <c r="EY80" i="15" s="1"/>
  <c r="FI80" i="15" s="1"/>
  <c r="CO65" i="11"/>
  <c r="CO70" i="11"/>
  <c r="CM77" i="11"/>
  <c r="CT124" i="13"/>
  <c r="CM64" i="11"/>
  <c r="CT130" i="13"/>
  <c r="CT133" i="13"/>
  <c r="DT80" i="15" s="1"/>
  <c r="CT129" i="13"/>
  <c r="CM58" i="12"/>
  <c r="CM45" i="12"/>
  <c r="CM64" i="12" s="1"/>
  <c r="CT123" i="13"/>
  <c r="CK102" i="11"/>
  <c r="DR102" i="11" s="1"/>
  <c r="EB102" i="11" s="1"/>
  <c r="CP53" i="11"/>
  <c r="CV103" i="13"/>
  <c r="CR139" i="13"/>
  <c r="CK70" i="12"/>
  <c r="DR70" i="12" s="1"/>
  <c r="EB70" i="12" s="1"/>
  <c r="DM86" i="7"/>
  <c r="CO52" i="12" s="1"/>
  <c r="DR502" i="2"/>
  <c r="CS102" i="13"/>
  <c r="DY129" i="13"/>
  <c r="CL86" i="11"/>
  <c r="CL95" i="11"/>
  <c r="CV82" i="13"/>
  <c r="CV64" i="13"/>
  <c r="EQ85" i="7"/>
  <c r="CN51" i="12"/>
  <c r="DS51" i="12" s="1"/>
  <c r="CN73" i="11"/>
  <c r="DS73" i="11" s="1"/>
  <c r="CO51" i="12"/>
  <c r="CO73" i="11"/>
  <c r="CL99" i="12"/>
  <c r="CL128" i="11"/>
  <c r="CL88" i="12"/>
  <c r="ER44" i="7"/>
  <c r="CQ40" i="12"/>
  <c r="CQ38" i="11"/>
  <c r="EQ86" i="7"/>
  <c r="CN74" i="11"/>
  <c r="DS74" i="11" s="1"/>
  <c r="CN52" i="12"/>
  <c r="DS52" i="12" s="1"/>
  <c r="CS124" i="12"/>
  <c r="CS153" i="11"/>
  <c r="CN73" i="12"/>
  <c r="DS73" i="12" s="1"/>
  <c r="CN105" i="11"/>
  <c r="DS105" i="11" s="1"/>
  <c r="CS8" i="12"/>
  <c r="CS13" i="11"/>
  <c r="CO49" i="12"/>
  <c r="CO71" i="11"/>
  <c r="ER22" i="7"/>
  <c r="EQ83" i="7"/>
  <c r="CN71" i="11"/>
  <c r="DS71" i="11" s="1"/>
  <c r="CN49" i="12"/>
  <c r="DS49" i="12" s="1"/>
  <c r="CS144" i="13"/>
  <c r="CK86" i="11"/>
  <c r="CK95" i="11"/>
  <c r="DT501" i="2"/>
  <c r="CU116" i="13" s="1"/>
  <c r="DU87" i="18" s="1"/>
  <c r="EZ87" i="18" s="1"/>
  <c r="DT496" i="2"/>
  <c r="CU110" i="13" s="1"/>
  <c r="DZ110" i="13" s="1"/>
  <c r="DT570" i="2"/>
  <c r="DV240" i="2"/>
  <c r="DV230" i="2" s="1"/>
  <c r="DN75" i="7" s="1"/>
  <c r="DW59" i="15" s="1"/>
  <c r="CK64" i="12"/>
  <c r="DR64" i="12" s="1"/>
  <c r="EB64" i="12" s="1"/>
  <c r="DV238" i="2"/>
  <c r="DN83" i="7" s="1"/>
  <c r="DT500" i="2"/>
  <c r="CU115" i="13" s="1"/>
  <c r="DZ115" i="13" s="1"/>
  <c r="DU505" i="2"/>
  <c r="DT548" i="2"/>
  <c r="CU138" i="13" s="1"/>
  <c r="DZ138" i="13" s="1"/>
  <c r="DU489" i="2"/>
  <c r="DU461" i="2"/>
  <c r="DU590" i="2" s="1"/>
  <c r="CV161" i="13" s="1"/>
  <c r="DR74" i="15"/>
  <c r="EY74" i="15" s="1"/>
  <c r="FI74" i="15" s="1"/>
  <c r="DV464" i="2"/>
  <c r="DV510" i="2"/>
  <c r="DV463" i="2"/>
  <c r="DV465" i="2"/>
  <c r="DT499" i="2"/>
  <c r="CU114" i="13" s="1"/>
  <c r="DZ114" i="13" s="1"/>
  <c r="DS488" i="2"/>
  <c r="DT547" i="2"/>
  <c r="CU137" i="13" s="1"/>
  <c r="DZ137" i="13" s="1"/>
  <c r="DS543" i="2"/>
  <c r="DS549" i="2" s="1"/>
  <c r="DV490" i="2"/>
  <c r="CW104" i="13" s="1"/>
  <c r="DV469" i="2"/>
  <c r="DV507" i="2" s="1"/>
  <c r="DV491" i="2" s="1"/>
  <c r="CW105" i="13" s="1"/>
  <c r="EA318" i="2"/>
  <c r="DR156" i="7"/>
  <c r="EA137" i="15" s="1"/>
  <c r="FB137" i="15" s="1"/>
  <c r="DW204" i="2"/>
  <c r="DO43" i="7"/>
  <c r="DN86" i="7"/>
  <c r="DQ158" i="7"/>
  <c r="DM66" i="7"/>
  <c r="DP32" i="7"/>
  <c r="DY18" i="15"/>
  <c r="EQ66" i="7"/>
  <c r="DP44" i="7"/>
  <c r="DQ157" i="7"/>
  <c r="DX206" i="2"/>
  <c r="DX205" i="2" s="1"/>
  <c r="DN66" i="7"/>
  <c r="EQ106" i="7"/>
  <c r="DM115" i="7"/>
  <c r="DM106" i="7"/>
  <c r="DV82" i="15" s="1"/>
  <c r="DQ11" i="7"/>
  <c r="DZ9" i="15" s="1"/>
  <c r="EQ115" i="7"/>
  <c r="DZ85" i="3"/>
  <c r="DZ84" i="3" s="1"/>
  <c r="DZ146" i="18" s="1"/>
  <c r="DX178" i="2"/>
  <c r="DP25" i="7" s="1"/>
  <c r="DY29" i="18" s="1"/>
  <c r="DX177" i="2"/>
  <c r="DP24" i="7" s="1"/>
  <c r="DY28" i="18" s="1"/>
  <c r="DX179" i="2"/>
  <c r="DP26" i="7" s="1"/>
  <c r="DY30" i="18" s="1"/>
  <c r="DX175" i="2"/>
  <c r="DX180" i="2"/>
  <c r="DP27" i="7" s="1"/>
  <c r="DY176" i="2"/>
  <c r="DQ23" i="7" s="1"/>
  <c r="DQ22" i="7" s="1"/>
  <c r="DY158" i="2"/>
  <c r="DR12" i="7"/>
  <c r="DL76" i="2"/>
  <c r="EA118" i="2"/>
  <c r="DZ105" i="2"/>
  <c r="EA90" i="3" s="1"/>
  <c r="EA155" i="18" s="1"/>
  <c r="FB155" i="18" s="1"/>
  <c r="EA119" i="2"/>
  <c r="DZ107" i="2"/>
  <c r="EA92" i="3" s="1"/>
  <c r="EA117" i="2"/>
  <c r="DZ103" i="2"/>
  <c r="EA86" i="3" s="1"/>
  <c r="DR162" i="18"/>
  <c r="EY162" i="18" s="1"/>
  <c r="FI162" i="18" s="1"/>
  <c r="DR108" i="15"/>
  <c r="EY108" i="15" s="1"/>
  <c r="CR144" i="13"/>
  <c r="DR99" i="15"/>
  <c r="EY99" i="15" s="1"/>
  <c r="FI99" i="15" s="1"/>
  <c r="CK88" i="12"/>
  <c r="DR88" i="12" s="1"/>
  <c r="EB88" i="12" s="1"/>
  <c r="DY155" i="13"/>
  <c r="EI155" i="13" s="1"/>
  <c r="CK128" i="11"/>
  <c r="DR128" i="11" s="1"/>
  <c r="EB128" i="11" s="1"/>
  <c r="CK99" i="12"/>
  <c r="DR99" i="12" s="1"/>
  <c r="EB99" i="12" s="1"/>
  <c r="DR95" i="11"/>
  <c r="EB64" i="11"/>
  <c r="EI124" i="13"/>
  <c r="EI130" i="13"/>
  <c r="DY139" i="13"/>
  <c r="EI133" i="13"/>
  <c r="CK79" i="11"/>
  <c r="DR79" i="11" s="1"/>
  <c r="EB79" i="11" s="1"/>
  <c r="DY102" i="13"/>
  <c r="EI102" i="13" s="1"/>
  <c r="DR86" i="11"/>
  <c r="EI125" i="13"/>
  <c r="EI131" i="13"/>
  <c r="DY165" i="13"/>
  <c r="DY162" i="13"/>
  <c r="EI74" i="13"/>
  <c r="DR87" i="11"/>
  <c r="DR96" i="11"/>
  <c r="EB53" i="11"/>
  <c r="EY43" i="15"/>
  <c r="FI45" i="15"/>
  <c r="CQ168" i="13"/>
  <c r="CR127" i="13"/>
  <c r="CR121" i="13"/>
  <c r="DY121" i="13" s="1"/>
  <c r="DT114" i="18" l="1"/>
  <c r="DT140" i="18" s="1"/>
  <c r="CT155" i="13"/>
  <c r="CQ36" i="11"/>
  <c r="CQ60" i="11" s="1"/>
  <c r="DT105" i="18"/>
  <c r="DS140" i="18"/>
  <c r="CV131" i="13"/>
  <c r="CL82" i="12"/>
  <c r="CN55" i="11"/>
  <c r="CU165" i="13"/>
  <c r="DS94" i="12"/>
  <c r="CM91" i="12"/>
  <c r="DS91" i="12" s="1"/>
  <c r="CM87" i="11"/>
  <c r="CM96" i="11"/>
  <c r="DS53" i="11"/>
  <c r="CT165" i="13"/>
  <c r="CT162" i="13"/>
  <c r="CM55" i="11"/>
  <c r="DS55" i="11" s="1"/>
  <c r="DZ74" i="13"/>
  <c r="DT75" i="18"/>
  <c r="EZ67" i="18"/>
  <c r="DS93" i="15"/>
  <c r="EY177" i="18"/>
  <c r="FI177" i="18" s="1"/>
  <c r="DR175" i="18"/>
  <c r="DT175" i="18"/>
  <c r="DT190" i="18" s="1"/>
  <c r="DZ162" i="13"/>
  <c r="DU177" i="18"/>
  <c r="DU175" i="18" s="1"/>
  <c r="EZ117" i="15"/>
  <c r="DS87" i="11"/>
  <c r="DS96" i="11"/>
  <c r="DS137" i="11"/>
  <c r="DS108" i="12"/>
  <c r="DS107" i="12"/>
  <c r="EZ120" i="15"/>
  <c r="DZ116" i="13"/>
  <c r="EB95" i="11"/>
  <c r="EB86" i="11"/>
  <c r="CR12" i="11"/>
  <c r="CQ23" i="11"/>
  <c r="DT23" i="11" s="1"/>
  <c r="DT24" i="11"/>
  <c r="CR8" i="11"/>
  <c r="CR22" i="12"/>
  <c r="CX43" i="13"/>
  <c r="EA43" i="13" s="1"/>
  <c r="EA44" i="13"/>
  <c r="CQ20" i="11"/>
  <c r="EA17" i="13"/>
  <c r="CS18" i="11"/>
  <c r="CS6" i="11"/>
  <c r="DU6" i="11" s="1"/>
  <c r="EB6" i="13"/>
  <c r="CS5" i="11"/>
  <c r="EB5" i="13"/>
  <c r="CW62" i="13"/>
  <c r="CO87" i="11"/>
  <c r="DT68" i="15"/>
  <c r="CL118" i="11"/>
  <c r="DZ129" i="13"/>
  <c r="DZ123" i="13"/>
  <c r="DV120" i="15"/>
  <c r="CO137" i="11"/>
  <c r="CO108" i="12"/>
  <c r="EB96" i="11"/>
  <c r="EB87" i="11"/>
  <c r="DT36" i="11"/>
  <c r="DT38" i="11"/>
  <c r="DT40" i="12"/>
  <c r="DY10" i="15"/>
  <c r="CR7" i="12"/>
  <c r="CQ38" i="12"/>
  <c r="DT38" i="12" s="1"/>
  <c r="DY12" i="18"/>
  <c r="DW458" i="2"/>
  <c r="DW457" i="2"/>
  <c r="DW272" i="2"/>
  <c r="DW274" i="2"/>
  <c r="DY285" i="2"/>
  <c r="DV43" i="15"/>
  <c r="DV80" i="18"/>
  <c r="DW43" i="15"/>
  <c r="FA27" i="15"/>
  <c r="DX28" i="15"/>
  <c r="FA19" i="15"/>
  <c r="FI43" i="15"/>
  <c r="FA29" i="18"/>
  <c r="CY51" i="13"/>
  <c r="CS25" i="11"/>
  <c r="DX495" i="2"/>
  <c r="CY109" i="13" s="1"/>
  <c r="CW125" i="13"/>
  <c r="CW131" i="13"/>
  <c r="CP65" i="11"/>
  <c r="CP96" i="11" s="1"/>
  <c r="CP45" i="11"/>
  <c r="DX429" i="2"/>
  <c r="DY435" i="2"/>
  <c r="CZ50" i="13" s="1"/>
  <c r="DY391" i="2"/>
  <c r="CZ10" i="13" s="1"/>
  <c r="DZ378" i="2"/>
  <c r="CR14" i="12"/>
  <c r="CY25" i="13"/>
  <c r="CY29" i="13"/>
  <c r="DZ401" i="2"/>
  <c r="DA20" i="13" s="1"/>
  <c r="CT18" i="11" s="1"/>
  <c r="DA6" i="13"/>
  <c r="CT6" i="11" s="1"/>
  <c r="DX27" i="18"/>
  <c r="DX32" i="18" s="1"/>
  <c r="FA32" i="18" s="1"/>
  <c r="DA5" i="13"/>
  <c r="CT5" i="11" s="1"/>
  <c r="CT30" i="11" s="1"/>
  <c r="DZ418" i="2"/>
  <c r="DA34" i="13" s="1"/>
  <c r="EB34" i="13" s="1"/>
  <c r="DZ424" i="2"/>
  <c r="DA40" i="13" s="1"/>
  <c r="EB40" i="13" s="1"/>
  <c r="CY22" i="13"/>
  <c r="DY404" i="2"/>
  <c r="DX399" i="2"/>
  <c r="EA479" i="2"/>
  <c r="DA99" i="13"/>
  <c r="EB99" i="13" s="1"/>
  <c r="DN85" i="7"/>
  <c r="CP73" i="11" s="1"/>
  <c r="DA4" i="13"/>
  <c r="EB4" i="13" s="1"/>
  <c r="DZ380" i="2"/>
  <c r="DZ376" i="2" s="1"/>
  <c r="CX39" i="13"/>
  <c r="EA39" i="13" s="1"/>
  <c r="DW422" i="2"/>
  <c r="CZ7" i="13"/>
  <c r="DY426" i="2"/>
  <c r="DY420" i="2"/>
  <c r="CZ36" i="13" s="1"/>
  <c r="DX15" i="15"/>
  <c r="CQ11" i="12"/>
  <c r="CZ26" i="13"/>
  <c r="DX544" i="2"/>
  <c r="CY134" i="13" s="1"/>
  <c r="DX498" i="2"/>
  <c r="CY113" i="13" s="1"/>
  <c r="DX546" i="2"/>
  <c r="CY136" i="13" s="1"/>
  <c r="DX497" i="2"/>
  <c r="CY112" i="13" s="1"/>
  <c r="DZ395" i="2"/>
  <c r="CY108" i="13"/>
  <c r="DY425" i="2"/>
  <c r="CZ41" i="13" s="1"/>
  <c r="CX33" i="13"/>
  <c r="EA33" i="13" s="1"/>
  <c r="DW416" i="2"/>
  <c r="DW444" i="2" s="1"/>
  <c r="DY419" i="2"/>
  <c r="CZ35" i="13" s="1"/>
  <c r="CZ15" i="13"/>
  <c r="DY392" i="2"/>
  <c r="DZ396" i="2"/>
  <c r="DY409" i="2"/>
  <c r="DY407" i="2" s="1"/>
  <c r="CY44" i="13"/>
  <c r="DX428" i="2"/>
  <c r="DT205" i="18"/>
  <c r="DT203" i="18"/>
  <c r="CO74" i="11"/>
  <c r="DT207" i="18"/>
  <c r="DY27" i="15"/>
  <c r="CO96" i="11"/>
  <c r="DT93" i="15"/>
  <c r="FC86" i="3"/>
  <c r="EA154" i="18"/>
  <c r="FB154" i="18" s="1"/>
  <c r="FC92" i="3"/>
  <c r="EA156" i="18"/>
  <c r="FB156" i="18" s="1"/>
  <c r="DU114" i="18"/>
  <c r="DU140" i="18" s="1"/>
  <c r="DU105" i="18"/>
  <c r="DU54" i="15"/>
  <c r="DU74" i="15" s="1"/>
  <c r="EZ74" i="15" s="1"/>
  <c r="DT208" i="18"/>
  <c r="DT201" i="18"/>
  <c r="DU753" i="2"/>
  <c r="DU200" i="18"/>
  <c r="EZ200" i="18" s="1"/>
  <c r="DT204" i="18"/>
  <c r="DT206" i="18"/>
  <c r="DT202" i="18"/>
  <c r="CP69" i="11"/>
  <c r="CW82" i="13"/>
  <c r="CW64" i="13"/>
  <c r="CW103" i="13"/>
  <c r="CL79" i="11"/>
  <c r="CS121" i="13"/>
  <c r="CS127" i="13"/>
  <c r="CU133" i="13"/>
  <c r="DU80" i="15" s="1"/>
  <c r="EZ80" i="15" s="1"/>
  <c r="CU123" i="13"/>
  <c r="CN58" i="12"/>
  <c r="DU68" i="15" s="1"/>
  <c r="CU129" i="13"/>
  <c r="CN45" i="12"/>
  <c r="CN64" i="12" s="1"/>
  <c r="CM86" i="11"/>
  <c r="CM95" i="11"/>
  <c r="CM70" i="12"/>
  <c r="CM102" i="11"/>
  <c r="CT139" i="13"/>
  <c r="CN77" i="11"/>
  <c r="DS77" i="11" s="1"/>
  <c r="CU124" i="13"/>
  <c r="CU130" i="13"/>
  <c r="CN64" i="11"/>
  <c r="DS64" i="11" s="1"/>
  <c r="DS502" i="2"/>
  <c r="CT102" i="13"/>
  <c r="CV76" i="13"/>
  <c r="CV80" i="13"/>
  <c r="CT8" i="12"/>
  <c r="DU8" i="12" s="1"/>
  <c r="CT13" i="11"/>
  <c r="DU13" i="11" s="1"/>
  <c r="CR40" i="12"/>
  <c r="CR38" i="11"/>
  <c r="CP71" i="11"/>
  <c r="CP49" i="12"/>
  <c r="CP52" i="12"/>
  <c r="CP74" i="11"/>
  <c r="CO73" i="12"/>
  <c r="CO105" i="11"/>
  <c r="ES156" i="7"/>
  <c r="CT124" i="12"/>
  <c r="DU124" i="12" s="1"/>
  <c r="CT153" i="11"/>
  <c r="DU153" i="11" s="1"/>
  <c r="CS156" i="13"/>
  <c r="DV228" i="2"/>
  <c r="DN72" i="7" s="1"/>
  <c r="CK82" i="12"/>
  <c r="CK103" i="12" s="1"/>
  <c r="DR93" i="15"/>
  <c r="EY93" i="15" s="1"/>
  <c r="FI93" i="15" s="1"/>
  <c r="DU496" i="2"/>
  <c r="CV110" i="13" s="1"/>
  <c r="DU570" i="2"/>
  <c r="DU499" i="2"/>
  <c r="CV114" i="13" s="1"/>
  <c r="DU500" i="2"/>
  <c r="CV115" i="13" s="1"/>
  <c r="DU501" i="2"/>
  <c r="CV116" i="13" s="1"/>
  <c r="DV489" i="2"/>
  <c r="DT488" i="2"/>
  <c r="DV461" i="2"/>
  <c r="DV590" i="2" s="1"/>
  <c r="CW161" i="13" s="1"/>
  <c r="DV505" i="2"/>
  <c r="DU548" i="2"/>
  <c r="CV138" i="13" s="1"/>
  <c r="DW241" i="2"/>
  <c r="DW231" i="2" s="1"/>
  <c r="DO76" i="7" s="1"/>
  <c r="DU547" i="2"/>
  <c r="CV137" i="13" s="1"/>
  <c r="DT543" i="2"/>
  <c r="DT549" i="2" s="1"/>
  <c r="DW240" i="2"/>
  <c r="DW230" i="2" s="1"/>
  <c r="DO75" i="7" s="1"/>
  <c r="DW238" i="2"/>
  <c r="DW228" i="2" s="1"/>
  <c r="DO72" i="7" s="1"/>
  <c r="DR158" i="7"/>
  <c r="ES158" i="7" s="1"/>
  <c r="DZ18" i="15"/>
  <c r="DQ32" i="7"/>
  <c r="DR11" i="7"/>
  <c r="DQ44" i="7"/>
  <c r="ES12" i="7"/>
  <c r="EB318" i="2"/>
  <c r="DS156" i="7"/>
  <c r="EB137" i="15" s="1"/>
  <c r="DN115" i="7"/>
  <c r="DN106" i="7"/>
  <c r="DW82" i="15" s="1"/>
  <c r="DX204" i="2"/>
  <c r="DP43" i="7"/>
  <c r="DR157" i="7"/>
  <c r="DO42" i="7"/>
  <c r="ER43" i="7"/>
  <c r="DW262" i="2"/>
  <c r="DY175" i="2"/>
  <c r="DY177" i="2"/>
  <c r="DQ24" i="7" s="1"/>
  <c r="DZ28" i="18" s="1"/>
  <c r="DY178" i="2"/>
  <c r="DQ25" i="7" s="1"/>
  <c r="DZ29" i="18" s="1"/>
  <c r="DY179" i="2"/>
  <c r="DQ26" i="7" s="1"/>
  <c r="DZ30" i="18" s="1"/>
  <c r="DY180" i="2"/>
  <c r="DQ27" i="7" s="1"/>
  <c r="DY206" i="2"/>
  <c r="DY205" i="2" s="1"/>
  <c r="EA85" i="3"/>
  <c r="EA84" i="3" s="1"/>
  <c r="EA146" i="18" s="1"/>
  <c r="FB146" i="18" s="1"/>
  <c r="FC90" i="3"/>
  <c r="DZ176" i="2"/>
  <c r="DZ158" i="2"/>
  <c r="DS12" i="7"/>
  <c r="DM76" i="2"/>
  <c r="EB117" i="2"/>
  <c r="EA103" i="2"/>
  <c r="EB86" i="3" s="1"/>
  <c r="EB154" i="18" s="1"/>
  <c r="EB119" i="2"/>
  <c r="EA107" i="2"/>
  <c r="EB92" i="3" s="1"/>
  <c r="EB156" i="18" s="1"/>
  <c r="EB118" i="2"/>
  <c r="EA105" i="2"/>
  <c r="EB90" i="3" s="1"/>
  <c r="EB155" i="18" s="1"/>
  <c r="CR156" i="13"/>
  <c r="DY144" i="13"/>
  <c r="CK118" i="11"/>
  <c r="EI139" i="13"/>
  <c r="DY122" i="13"/>
  <c r="EI121" i="13"/>
  <c r="EI122" i="13" s="1"/>
  <c r="CK98" i="11"/>
  <c r="DY127" i="13"/>
  <c r="EI162" i="13"/>
  <c r="EI165" i="13"/>
  <c r="CR122" i="13"/>
  <c r="CK89" i="11"/>
  <c r="DR89" i="11" s="1"/>
  <c r="EB89" i="11" s="1"/>
  <c r="CR128" i="13"/>
  <c r="CR141" i="13"/>
  <c r="DY141" i="13" s="1"/>
  <c r="DU18" i="11" l="1"/>
  <c r="EB20" i="13"/>
  <c r="CM88" i="12"/>
  <c r="DT162" i="18"/>
  <c r="DT108" i="15"/>
  <c r="DT99" i="15"/>
  <c r="CM99" i="12"/>
  <c r="CU155" i="13"/>
  <c r="DZ155" i="13" s="1"/>
  <c r="EZ140" i="18"/>
  <c r="CM128" i="11"/>
  <c r="CT144" i="13"/>
  <c r="CM118" i="11" s="1"/>
  <c r="EZ105" i="18"/>
  <c r="DS58" i="12"/>
  <c r="CL103" i="12"/>
  <c r="DZ165" i="13"/>
  <c r="DS114" i="15"/>
  <c r="CS31" i="11"/>
  <c r="EZ68" i="15"/>
  <c r="EY175" i="18"/>
  <c r="FI175" i="18" s="1"/>
  <c r="DR190" i="18"/>
  <c r="DT189" i="18"/>
  <c r="DU190" i="18"/>
  <c r="DU189" i="18" s="1"/>
  <c r="EZ189" i="18" s="1"/>
  <c r="EZ175" i="18"/>
  <c r="DZ124" i="13"/>
  <c r="DZ130" i="13"/>
  <c r="CR11" i="11"/>
  <c r="DT20" i="11"/>
  <c r="CQ33" i="11"/>
  <c r="DT33" i="11" s="1"/>
  <c r="DU5" i="11"/>
  <c r="CS30" i="11"/>
  <c r="DU30" i="11" s="1"/>
  <c r="DV117" i="15"/>
  <c r="DV177" i="18" s="1"/>
  <c r="CO136" i="11"/>
  <c r="CO107" i="12"/>
  <c r="EZ177" i="18"/>
  <c r="DZ133" i="13"/>
  <c r="DS64" i="12"/>
  <c r="DS45" i="12"/>
  <c r="CY49" i="13"/>
  <c r="DY31" i="18"/>
  <c r="CY17" i="13"/>
  <c r="CZ3" i="13"/>
  <c r="CS8" i="11" s="1"/>
  <c r="CQ18" i="12"/>
  <c r="DT18" i="12" s="1"/>
  <c r="DT11" i="12"/>
  <c r="CZ13" i="13"/>
  <c r="CY43" i="13"/>
  <c r="CM82" i="12"/>
  <c r="DS95" i="11"/>
  <c r="DS86" i="11"/>
  <c r="CL118" i="12"/>
  <c r="DV87" i="18"/>
  <c r="CP108" i="12"/>
  <c r="CP107" i="12" s="1"/>
  <c r="CP137" i="11"/>
  <c r="CP136" i="11" s="1"/>
  <c r="DW120" i="15"/>
  <c r="DW117" i="15" s="1"/>
  <c r="DW177" i="18" s="1"/>
  <c r="DW175" i="18" s="1"/>
  <c r="DW190" i="18" s="1"/>
  <c r="DW189" i="18" s="1"/>
  <c r="DT60" i="11"/>
  <c r="CR21" i="12"/>
  <c r="CT31" i="11"/>
  <c r="DX272" i="2"/>
  <c r="DX262" i="2" s="1"/>
  <c r="DX274" i="2"/>
  <c r="DZ285" i="2"/>
  <c r="DX457" i="2"/>
  <c r="DX48" i="15"/>
  <c r="FA28" i="15"/>
  <c r="DX458" i="2"/>
  <c r="DY47" i="15"/>
  <c r="DX24" i="15"/>
  <c r="FA24" i="15" s="1"/>
  <c r="FA15" i="15"/>
  <c r="EZ54" i="15"/>
  <c r="DO85" i="7"/>
  <c r="DX493" i="2"/>
  <c r="CY107" i="13" s="1"/>
  <c r="CP51" i="12"/>
  <c r="CS4" i="12"/>
  <c r="CP87" i="11"/>
  <c r="DY436" i="2"/>
  <c r="DY434" i="2" s="1"/>
  <c r="DY498" i="2" s="1"/>
  <c r="CZ113" i="13" s="1"/>
  <c r="DY494" i="2"/>
  <c r="DZ419" i="2"/>
  <c r="DA35" i="13" s="1"/>
  <c r="EB35" i="13" s="1"/>
  <c r="DZ6" i="15"/>
  <c r="EZ114" i="18"/>
  <c r="DX43" i="18"/>
  <c r="FA43" i="18" s="1"/>
  <c r="FA27" i="18"/>
  <c r="DW445" i="2"/>
  <c r="DW448" i="2"/>
  <c r="DW446" i="2"/>
  <c r="DW447" i="2"/>
  <c r="EA482" i="2"/>
  <c r="EA483" i="2"/>
  <c r="CX32" i="13"/>
  <c r="EA32" i="13" s="1"/>
  <c r="CX54" i="13"/>
  <c r="EA54" i="13" s="1"/>
  <c r="CX38" i="13"/>
  <c r="EA38" i="13" s="1"/>
  <c r="CX71" i="13"/>
  <c r="DW474" i="2"/>
  <c r="DW512" i="2" s="1"/>
  <c r="DW452" i="2"/>
  <c r="DW454" i="2"/>
  <c r="DW453" i="2"/>
  <c r="CV133" i="13"/>
  <c r="CX70" i="13"/>
  <c r="EA70" i="13" s="1"/>
  <c r="DW456" i="2"/>
  <c r="DW473" i="2"/>
  <c r="DW511" i="2" s="1"/>
  <c r="CY18" i="13"/>
  <c r="DX417" i="2"/>
  <c r="DX439" i="2" s="1"/>
  <c r="DX423" i="2"/>
  <c r="DX398" i="2"/>
  <c r="CZ108" i="13"/>
  <c r="CZ22" i="13"/>
  <c r="CZ29" i="13"/>
  <c r="CS14" i="12"/>
  <c r="DA7" i="13"/>
  <c r="DA3" i="13" s="1"/>
  <c r="DZ420" i="2"/>
  <c r="DA36" i="13" s="1"/>
  <c r="EB36" i="13" s="1"/>
  <c r="DZ426" i="2"/>
  <c r="CZ27" i="13"/>
  <c r="DY405" i="2"/>
  <c r="DY429" i="2" s="1"/>
  <c r="DA14" i="13"/>
  <c r="EB14" i="13" s="1"/>
  <c r="DZ408" i="2"/>
  <c r="DZ435" i="2" s="1"/>
  <c r="DZ391" i="2"/>
  <c r="DA10" i="13" s="1"/>
  <c r="EB10" i="13" s="1"/>
  <c r="DY19" i="15"/>
  <c r="CR24" i="11"/>
  <c r="DA15" i="13"/>
  <c r="DZ409" i="2"/>
  <c r="DA27" i="13" s="1"/>
  <c r="DZ392" i="2"/>
  <c r="CZ11" i="13"/>
  <c r="DB95" i="13"/>
  <c r="DA98" i="13"/>
  <c r="EB98" i="13" s="1"/>
  <c r="DZ425" i="2"/>
  <c r="DA41" i="13" s="1"/>
  <c r="EB41" i="13" s="1"/>
  <c r="DU205" i="18"/>
  <c r="EZ205" i="18" s="1"/>
  <c r="DU93" i="15"/>
  <c r="EZ93" i="15" s="1"/>
  <c r="DZ27" i="15"/>
  <c r="DZ47" i="15" s="1"/>
  <c r="ER76" i="7"/>
  <c r="DX60" i="15"/>
  <c r="FA60" i="15" s="1"/>
  <c r="EB153" i="18"/>
  <c r="DV67" i="18"/>
  <c r="DV54" i="15"/>
  <c r="DO83" i="7"/>
  <c r="CQ49" i="12" s="1"/>
  <c r="DT49" i="12" s="1"/>
  <c r="EA153" i="18"/>
  <c r="FB153" i="18" s="1"/>
  <c r="ER75" i="7"/>
  <c r="DX59" i="15"/>
  <c r="FA59" i="15" s="1"/>
  <c r="DU204" i="18"/>
  <c r="EZ204" i="18" s="1"/>
  <c r="DU201" i="18"/>
  <c r="EZ201" i="18" s="1"/>
  <c r="DU202" i="18"/>
  <c r="EZ202" i="18" s="1"/>
  <c r="DV753" i="2"/>
  <c r="DV200" i="18"/>
  <c r="DU206" i="18"/>
  <c r="EZ206" i="18" s="1"/>
  <c r="DU208" i="18"/>
  <c r="EZ208" i="18" s="1"/>
  <c r="DU207" i="18"/>
  <c r="EZ207" i="18" s="1"/>
  <c r="DU203" i="18"/>
  <c r="EZ203" i="18" s="1"/>
  <c r="DT502" i="2"/>
  <c r="CU102" i="13"/>
  <c r="DZ102" i="13" s="1"/>
  <c r="CO77" i="11"/>
  <c r="CO64" i="11"/>
  <c r="CS122" i="13"/>
  <c r="CL89" i="11"/>
  <c r="DO86" i="7"/>
  <c r="CQ74" i="11" s="1"/>
  <c r="DT74" i="11" s="1"/>
  <c r="CN70" i="12"/>
  <c r="CN82" i="12" s="1"/>
  <c r="CN102" i="11"/>
  <c r="DS102" i="11" s="1"/>
  <c r="CU139" i="13"/>
  <c r="CN86" i="11"/>
  <c r="CN95" i="11"/>
  <c r="CW76" i="13"/>
  <c r="CW80" i="13"/>
  <c r="CV129" i="13"/>
  <c r="CO45" i="12"/>
  <c r="CO58" i="12"/>
  <c r="CV123" i="13"/>
  <c r="CL98" i="11"/>
  <c r="CS128" i="13"/>
  <c r="CS141" i="13"/>
  <c r="CM79" i="11"/>
  <c r="CT121" i="13"/>
  <c r="CT127" i="13"/>
  <c r="CO52" i="11"/>
  <c r="CV124" i="13"/>
  <c r="CV130" i="13"/>
  <c r="CV74" i="13"/>
  <c r="CO95" i="12"/>
  <c r="CO97" i="12"/>
  <c r="CO94" i="12"/>
  <c r="CS40" i="12"/>
  <c r="CS38" i="11"/>
  <c r="ER85" i="7"/>
  <c r="CQ73" i="11"/>
  <c r="DT73" i="11" s="1"/>
  <c r="CQ51" i="12"/>
  <c r="CP73" i="12"/>
  <c r="CP105" i="11"/>
  <c r="CQ71" i="11"/>
  <c r="DT71" i="11" s="1"/>
  <c r="CU124" i="12"/>
  <c r="CU153" i="11"/>
  <c r="CU8" i="12"/>
  <c r="CU13" i="11"/>
  <c r="ES11" i="7"/>
  <c r="EA9" i="15"/>
  <c r="FB9" i="15" s="1"/>
  <c r="DR114" i="15"/>
  <c r="EY114" i="15" s="1"/>
  <c r="FI114" i="15" s="1"/>
  <c r="DR82" i="12"/>
  <c r="EB82" i="12" s="1"/>
  <c r="DU488" i="2"/>
  <c r="DS158" i="7"/>
  <c r="DV496" i="2"/>
  <c r="CW110" i="13" s="1"/>
  <c r="DV570" i="2"/>
  <c r="DV548" i="2"/>
  <c r="CW138" i="13" s="1"/>
  <c r="DV500" i="2"/>
  <c r="CW115" i="13" s="1"/>
  <c r="DV499" i="2"/>
  <c r="CW114" i="13" s="1"/>
  <c r="DV501" i="2"/>
  <c r="CW116" i="13" s="1"/>
  <c r="DW87" i="18" s="1"/>
  <c r="DV547" i="2"/>
  <c r="CW137" i="13" s="1"/>
  <c r="DU543" i="2"/>
  <c r="DU549" i="2" s="1"/>
  <c r="DY204" i="2"/>
  <c r="DQ43" i="7"/>
  <c r="DQ42" i="7" s="1"/>
  <c r="DX241" i="2"/>
  <c r="DX238" i="2"/>
  <c r="DX240" i="2"/>
  <c r="DO66" i="7"/>
  <c r="ER42" i="7"/>
  <c r="DS157" i="7"/>
  <c r="ES157" i="7"/>
  <c r="DS11" i="7"/>
  <c r="EB9" i="15" s="1"/>
  <c r="DO115" i="7"/>
  <c r="DO106" i="7"/>
  <c r="DX82" i="15" s="1"/>
  <c r="FA82" i="15" s="1"/>
  <c r="DZ206" i="2"/>
  <c r="DZ205" i="2" s="1"/>
  <c r="DR23" i="7"/>
  <c r="DR22" i="7" s="1"/>
  <c r="DP42" i="7"/>
  <c r="EC318" i="2"/>
  <c r="DU156" i="7" s="1"/>
  <c r="ED137" i="15" s="1"/>
  <c r="DT156" i="7"/>
  <c r="EC137" i="15" s="1"/>
  <c r="EA176" i="2"/>
  <c r="DS23" i="7" s="1"/>
  <c r="DS22" i="7" s="1"/>
  <c r="DZ177" i="2"/>
  <c r="DR24" i="7" s="1"/>
  <c r="DZ178" i="2"/>
  <c r="DR25" i="7" s="1"/>
  <c r="DZ179" i="2"/>
  <c r="DR26" i="7" s="1"/>
  <c r="DZ180" i="2"/>
  <c r="DR27" i="7" s="1"/>
  <c r="DZ175" i="2"/>
  <c r="FC85" i="3"/>
  <c r="FC84" i="3" s="1"/>
  <c r="EB85" i="3"/>
  <c r="EB84" i="3" s="1"/>
  <c r="EB146" i="18" s="1"/>
  <c r="DT12" i="7"/>
  <c r="EA158" i="2"/>
  <c r="DN76" i="2"/>
  <c r="EC118" i="2"/>
  <c r="EC105" i="2" s="1"/>
  <c r="ED90" i="3" s="1"/>
  <c r="ED155" i="18" s="1"/>
  <c r="EB105" i="2"/>
  <c r="EC90" i="3" s="1"/>
  <c r="EC155" i="18" s="1"/>
  <c r="EC119" i="2"/>
  <c r="EC107" i="2" s="1"/>
  <c r="ED92" i="3" s="1"/>
  <c r="ED156" i="18" s="1"/>
  <c r="EB107" i="2"/>
  <c r="EC92" i="3" s="1"/>
  <c r="EC156" i="18" s="1"/>
  <c r="EC117" i="2"/>
  <c r="EC103" i="2" s="1"/>
  <c r="ED86" i="3" s="1"/>
  <c r="ED154" i="18" s="1"/>
  <c r="EB103" i="2"/>
  <c r="EC86" i="3" s="1"/>
  <c r="EC154" i="18" s="1"/>
  <c r="DY156" i="13"/>
  <c r="EI144" i="13"/>
  <c r="EI156" i="13" s="1"/>
  <c r="DR118" i="11"/>
  <c r="EB118" i="11" s="1"/>
  <c r="DY142" i="13"/>
  <c r="EI141" i="13"/>
  <c r="EI142" i="13" s="1"/>
  <c r="DY128" i="13"/>
  <c r="EI127" i="13"/>
  <c r="EI128" i="13" s="1"/>
  <c r="CK113" i="11"/>
  <c r="DR98" i="11"/>
  <c r="EB98" i="11" s="1"/>
  <c r="CK118" i="12"/>
  <c r="DR118" i="12" s="1"/>
  <c r="EB118" i="12" s="1"/>
  <c r="DR103" i="12"/>
  <c r="EB103" i="12" s="1"/>
  <c r="CR142" i="13"/>
  <c r="CR158" i="13"/>
  <c r="DY158" i="13" s="1"/>
  <c r="FC156" i="18" l="1"/>
  <c r="FJ156" i="18" s="1"/>
  <c r="DU99" i="15"/>
  <c r="EZ99" i="15" s="1"/>
  <c r="CN99" i="12"/>
  <c r="DS99" i="12" s="1"/>
  <c r="CT156" i="13"/>
  <c r="DT114" i="15"/>
  <c r="DT132" i="15" s="1"/>
  <c r="DU162" i="18"/>
  <c r="EZ162" i="18" s="1"/>
  <c r="DU108" i="15"/>
  <c r="EZ108" i="15" s="1"/>
  <c r="CN128" i="11"/>
  <c r="DS128" i="11" s="1"/>
  <c r="CU144" i="13"/>
  <c r="CN88" i="12"/>
  <c r="DS88" i="12" s="1"/>
  <c r="EB7" i="13"/>
  <c r="EB15" i="13"/>
  <c r="DS82" i="12"/>
  <c r="DS70" i="12"/>
  <c r="CR37" i="11"/>
  <c r="DZ10" i="15"/>
  <c r="CR39" i="12"/>
  <c r="CM103" i="12"/>
  <c r="CM118" i="12" s="1"/>
  <c r="DU31" i="11"/>
  <c r="DS132" i="15"/>
  <c r="CS7" i="12"/>
  <c r="CS12" i="11"/>
  <c r="CS11" i="11" s="1"/>
  <c r="CY48" i="13"/>
  <c r="EY190" i="18"/>
  <c r="FI190" i="18" s="1"/>
  <c r="DR189" i="18"/>
  <c r="EY189" i="18" s="1"/>
  <c r="FI189" i="18" s="1"/>
  <c r="DV175" i="18"/>
  <c r="DV190" i="18" s="1"/>
  <c r="DZ139" i="13"/>
  <c r="CR20" i="11"/>
  <c r="EZ190" i="18"/>
  <c r="CX87" i="13"/>
  <c r="EA87" i="13" s="1"/>
  <c r="EA71" i="13"/>
  <c r="DV80" i="15"/>
  <c r="CT8" i="11"/>
  <c r="DU8" i="11" s="1"/>
  <c r="EB3" i="13"/>
  <c r="CZ25" i="13"/>
  <c r="EB27" i="13"/>
  <c r="CR23" i="11"/>
  <c r="CR36" i="11"/>
  <c r="CR38" i="12"/>
  <c r="CO64" i="12"/>
  <c r="DV68" i="15"/>
  <c r="CL113" i="11"/>
  <c r="CO91" i="12"/>
  <c r="CN118" i="11"/>
  <c r="DS118" i="11" s="1"/>
  <c r="DZ144" i="13"/>
  <c r="DT51" i="12"/>
  <c r="CR60" i="11"/>
  <c r="FC155" i="18"/>
  <c r="FJ155" i="18" s="1"/>
  <c r="ER83" i="7"/>
  <c r="FA48" i="15"/>
  <c r="DX45" i="15"/>
  <c r="EA285" i="2"/>
  <c r="DY272" i="2"/>
  <c r="DY274" i="2"/>
  <c r="FC137" i="15"/>
  <c r="FJ137" i="15" s="1"/>
  <c r="DZ436" i="2"/>
  <c r="DZ434" i="2" s="1"/>
  <c r="DV74" i="15"/>
  <c r="CO102" i="11"/>
  <c r="CO70" i="12"/>
  <c r="DY544" i="2"/>
  <c r="CZ134" i="13" s="1"/>
  <c r="CZ51" i="13"/>
  <c r="DY546" i="2"/>
  <c r="CZ136" i="13" s="1"/>
  <c r="DY497" i="2"/>
  <c r="CZ112" i="13" s="1"/>
  <c r="DY495" i="2"/>
  <c r="CZ109" i="13" s="1"/>
  <c r="CT4" i="12"/>
  <c r="DU4" i="12" s="1"/>
  <c r="DY399" i="2"/>
  <c r="CZ18" i="13" s="1"/>
  <c r="CU25" i="11"/>
  <c r="CT25" i="11"/>
  <c r="DU25" i="11" s="1"/>
  <c r="FC154" i="18"/>
  <c r="FJ154" i="18" s="1"/>
  <c r="DY238" i="2"/>
  <c r="CQ52" i="12"/>
  <c r="DT52" i="12" s="1"/>
  <c r="ED153" i="18"/>
  <c r="DV105" i="18"/>
  <c r="DV205" i="18"/>
  <c r="EA394" i="2"/>
  <c r="EA378" i="2"/>
  <c r="EA379" i="2"/>
  <c r="EA6" i="15"/>
  <c r="FB6" i="15" s="1"/>
  <c r="DW470" i="2"/>
  <c r="DW508" i="2" s="1"/>
  <c r="DW492" i="2" s="1"/>
  <c r="CX106" i="13" s="1"/>
  <c r="EA106" i="13" s="1"/>
  <c r="CX67" i="13"/>
  <c r="CX59" i="13"/>
  <c r="DW464" i="2"/>
  <c r="CX66" i="13"/>
  <c r="DW469" i="2"/>
  <c r="DW507" i="2" s="1"/>
  <c r="DW491" i="2" s="1"/>
  <c r="CX105" i="13" s="1"/>
  <c r="DA30" i="13"/>
  <c r="CT15" i="12"/>
  <c r="CT22" i="12" s="1"/>
  <c r="DA50" i="13"/>
  <c r="EB50" i="13" s="1"/>
  <c r="DZ494" i="2"/>
  <c r="CY39" i="13"/>
  <c r="DX422" i="2"/>
  <c r="DX452" i="2" s="1"/>
  <c r="CX65" i="13"/>
  <c r="EA65" i="13" s="1"/>
  <c r="DW468" i="2"/>
  <c r="DW506" i="2" s="1"/>
  <c r="DW451" i="2"/>
  <c r="CX58" i="13"/>
  <c r="DW463" i="2"/>
  <c r="DA11" i="13"/>
  <c r="EB11" i="13" s="1"/>
  <c r="CY33" i="13"/>
  <c r="DX416" i="2"/>
  <c r="DX444" i="2" s="1"/>
  <c r="DX447" i="2" s="1"/>
  <c r="CX60" i="13"/>
  <c r="DW465" i="2"/>
  <c r="DA26" i="13"/>
  <c r="EB26" i="13" s="1"/>
  <c r="DZ407" i="2"/>
  <c r="DY15" i="15"/>
  <c r="CR11" i="12"/>
  <c r="CY71" i="13"/>
  <c r="DX474" i="2"/>
  <c r="DX512" i="2" s="1"/>
  <c r="CX57" i="13"/>
  <c r="EA57" i="13" s="1"/>
  <c r="DW462" i="2"/>
  <c r="DA13" i="13"/>
  <c r="EB13" i="13" s="1"/>
  <c r="CZ23" i="13"/>
  <c r="DZ405" i="2"/>
  <c r="DZ404" i="2"/>
  <c r="DW510" i="2"/>
  <c r="CZ30" i="13"/>
  <c r="CS15" i="12"/>
  <c r="CZ44" i="13"/>
  <c r="DY428" i="2"/>
  <c r="DY458" i="2" s="1"/>
  <c r="CY70" i="13"/>
  <c r="DX473" i="2"/>
  <c r="DX511" i="2" s="1"/>
  <c r="DX456" i="2"/>
  <c r="DY28" i="15"/>
  <c r="DY27" i="18"/>
  <c r="CX86" i="13"/>
  <c r="CX69" i="13"/>
  <c r="EA69" i="13" s="1"/>
  <c r="EB479" i="2"/>
  <c r="DB99" i="13"/>
  <c r="CW133" i="13"/>
  <c r="DW80" i="15" s="1"/>
  <c r="DV208" i="18"/>
  <c r="ES25" i="7"/>
  <c r="EA29" i="18"/>
  <c r="ES24" i="7"/>
  <c r="EA28" i="18"/>
  <c r="FB28" i="18" s="1"/>
  <c r="DV75" i="18"/>
  <c r="DV114" i="18"/>
  <c r="ES26" i="7"/>
  <c r="EA30" i="18"/>
  <c r="FB30" i="18" s="1"/>
  <c r="ES27" i="7"/>
  <c r="DW54" i="15"/>
  <c r="DW74" i="15" s="1"/>
  <c r="DW67" i="18"/>
  <c r="EC153" i="18"/>
  <c r="DV204" i="18"/>
  <c r="DV201" i="18"/>
  <c r="DV203" i="18"/>
  <c r="DV206" i="18"/>
  <c r="DW753" i="2"/>
  <c r="DW200" i="18"/>
  <c r="DV207" i="18"/>
  <c r="DV202" i="18"/>
  <c r="CO55" i="11"/>
  <c r="CV162" i="13"/>
  <c r="CV165" i="13"/>
  <c r="CP77" i="11"/>
  <c r="CP64" i="11"/>
  <c r="CT122" i="13"/>
  <c r="CM89" i="11"/>
  <c r="CV139" i="13"/>
  <c r="CO95" i="11"/>
  <c r="CO86" i="11"/>
  <c r="CP52" i="11"/>
  <c r="CW124" i="13"/>
  <c r="CW130" i="13"/>
  <c r="CW74" i="13"/>
  <c r="CP95" i="12"/>
  <c r="CP97" i="12"/>
  <c r="CP94" i="12"/>
  <c r="CP91" i="12" s="1"/>
  <c r="CP58" i="12"/>
  <c r="DW68" i="15" s="1"/>
  <c r="CW129" i="13"/>
  <c r="CP45" i="12"/>
  <c r="CP64" i="12" s="1"/>
  <c r="CW123" i="13"/>
  <c r="DU502" i="2"/>
  <c r="CV102" i="13"/>
  <c r="CN79" i="11"/>
  <c r="DS79" i="11" s="1"/>
  <c r="CU127" i="13"/>
  <c r="DZ127" i="13" s="1"/>
  <c r="CU121" i="13"/>
  <c r="DZ121" i="13" s="1"/>
  <c r="CM98" i="11"/>
  <c r="CM113" i="11" s="1"/>
  <c r="CM132" i="11" s="1"/>
  <c r="CM147" i="11" s="1"/>
  <c r="CT141" i="13"/>
  <c r="CT128" i="13"/>
  <c r="ER86" i="7"/>
  <c r="CS142" i="13"/>
  <c r="CS158" i="13"/>
  <c r="CV155" i="13"/>
  <c r="CV13" i="11"/>
  <c r="CV8" i="12"/>
  <c r="DT158" i="7"/>
  <c r="DU158" i="7" s="1"/>
  <c r="ET158" i="7" s="1"/>
  <c r="FA158" i="7" s="1"/>
  <c r="CV124" i="12"/>
  <c r="CV153" i="11"/>
  <c r="CW124" i="12"/>
  <c r="CW153" i="11"/>
  <c r="CQ73" i="12"/>
  <c r="DT73" i="12" s="1"/>
  <c r="CQ105" i="11"/>
  <c r="DT105" i="11" s="1"/>
  <c r="DR132" i="15"/>
  <c r="EY132" i="15" s="1"/>
  <c r="FI132" i="15" s="1"/>
  <c r="DV488" i="2"/>
  <c r="DV543" i="2"/>
  <c r="DV549" i="2" s="1"/>
  <c r="FD92" i="3"/>
  <c r="FK92" i="3" s="1"/>
  <c r="FD90" i="3"/>
  <c r="FK90" i="3" s="1"/>
  <c r="DY228" i="2"/>
  <c r="DQ72" i="7" s="1"/>
  <c r="DQ83" i="7"/>
  <c r="DP66" i="7"/>
  <c r="ER66" i="7"/>
  <c r="ET156" i="7"/>
  <c r="FA156" i="7" s="1"/>
  <c r="ER106" i="7"/>
  <c r="DT157" i="7"/>
  <c r="DU157" i="7" s="1"/>
  <c r="ER115" i="7"/>
  <c r="EB18" i="15"/>
  <c r="DS32" i="7"/>
  <c r="DP115" i="7"/>
  <c r="DP106" i="7"/>
  <c r="DY82" i="15" s="1"/>
  <c r="EA206" i="2"/>
  <c r="EA205" i="2" s="1"/>
  <c r="DS44" i="7"/>
  <c r="DX230" i="2"/>
  <c r="DP75" i="7" s="1"/>
  <c r="DY59" i="15" s="1"/>
  <c r="DP85" i="7"/>
  <c r="DT11" i="7"/>
  <c r="EC9" i="15" s="1"/>
  <c r="DX228" i="2"/>
  <c r="DP72" i="7" s="1"/>
  <c r="DP83" i="7"/>
  <c r="DR32" i="7"/>
  <c r="EA18" i="15"/>
  <c r="FB18" i="15" s="1"/>
  <c r="ES23" i="7"/>
  <c r="DR44" i="7"/>
  <c r="DY262" i="2"/>
  <c r="DX231" i="2"/>
  <c r="DP76" i="7" s="1"/>
  <c r="DY60" i="15" s="1"/>
  <c r="DP86" i="7"/>
  <c r="DZ204" i="2"/>
  <c r="DR43" i="7"/>
  <c r="DY240" i="2"/>
  <c r="DY241" i="2"/>
  <c r="DQ66" i="7"/>
  <c r="EB176" i="2"/>
  <c r="DT23" i="7" s="1"/>
  <c r="DT22" i="7" s="1"/>
  <c r="EA180" i="2"/>
  <c r="DS27" i="7" s="1"/>
  <c r="EA177" i="2"/>
  <c r="DS24" i="7" s="1"/>
  <c r="EB28" i="18" s="1"/>
  <c r="EA175" i="2"/>
  <c r="EA178" i="2"/>
  <c r="DS25" i="7" s="1"/>
  <c r="EB29" i="18" s="1"/>
  <c r="EA179" i="2"/>
  <c r="DS26" i="7" s="1"/>
  <c r="EB30" i="18" s="1"/>
  <c r="EC85" i="3"/>
  <c r="EC84" i="3" s="1"/>
  <c r="EC146" i="18" s="1"/>
  <c r="FD86" i="3"/>
  <c r="ED85" i="3"/>
  <c r="ED84" i="3" s="1"/>
  <c r="ED146" i="18" s="1"/>
  <c r="DU12" i="7"/>
  <c r="EB158" i="2"/>
  <c r="DO76" i="2"/>
  <c r="CK132" i="11"/>
  <c r="DR113" i="11"/>
  <c r="EB113" i="11" s="1"/>
  <c r="EI158" i="13"/>
  <c r="EI159" i="13" s="1"/>
  <c r="DY159" i="13"/>
  <c r="CR159" i="13"/>
  <c r="CR167" i="13"/>
  <c r="DY167" i="13" s="1"/>
  <c r="DV153" i="11" l="1"/>
  <c r="EC153" i="11" s="1"/>
  <c r="DV124" i="12"/>
  <c r="EC124" i="12" s="1"/>
  <c r="CN103" i="12"/>
  <c r="CU156" i="13"/>
  <c r="DU114" i="15"/>
  <c r="DZ12" i="18"/>
  <c r="CS24" i="11"/>
  <c r="CS23" i="11" s="1"/>
  <c r="CS21" i="12"/>
  <c r="DZ31" i="18"/>
  <c r="DV93" i="15"/>
  <c r="DZ19" i="15"/>
  <c r="DV189" i="18"/>
  <c r="CR33" i="11"/>
  <c r="EB30" i="13"/>
  <c r="CL132" i="11"/>
  <c r="DZ156" i="13"/>
  <c r="DY457" i="2"/>
  <c r="CO82" i="12"/>
  <c r="CZ49" i="13"/>
  <c r="CX83" i="13"/>
  <c r="EA67" i="13"/>
  <c r="CQ43" i="11"/>
  <c r="DT43" i="11" s="1"/>
  <c r="EA59" i="13"/>
  <c r="CX82" i="13"/>
  <c r="EA66" i="13"/>
  <c r="CQ69" i="11"/>
  <c r="DT69" i="11" s="1"/>
  <c r="EA105" i="13"/>
  <c r="CQ42" i="11"/>
  <c r="DT42" i="11" s="1"/>
  <c r="EA58" i="13"/>
  <c r="CX78" i="13"/>
  <c r="EA78" i="13" s="1"/>
  <c r="EA60" i="13"/>
  <c r="EB29" i="13"/>
  <c r="CR18" i="12"/>
  <c r="CY87" i="13"/>
  <c r="CZ17" i="13"/>
  <c r="CS22" i="12"/>
  <c r="DU22" i="12" s="1"/>
  <c r="DU15" i="12"/>
  <c r="CX85" i="13"/>
  <c r="EA85" i="13" s="1"/>
  <c r="EA86" i="13"/>
  <c r="CO79" i="11"/>
  <c r="DZ128" i="13"/>
  <c r="DZ122" i="13"/>
  <c r="CN118" i="12"/>
  <c r="DS118" i="12" s="1"/>
  <c r="DS103" i="12"/>
  <c r="FC153" i="18"/>
  <c r="FJ153" i="18" s="1"/>
  <c r="EB285" i="2"/>
  <c r="DZ272" i="2"/>
  <c r="DZ274" i="2"/>
  <c r="DA51" i="13"/>
  <c r="DA49" i="13" s="1"/>
  <c r="DA48" i="13" s="1"/>
  <c r="DX43" i="15"/>
  <c r="DX80" i="18"/>
  <c r="FA80" i="18" s="1"/>
  <c r="FA45" i="15"/>
  <c r="FA43" i="15" s="1"/>
  <c r="DZ495" i="2"/>
  <c r="DA109" i="13" s="1"/>
  <c r="EB109" i="13" s="1"/>
  <c r="DY48" i="15"/>
  <c r="DY45" i="15" s="1"/>
  <c r="DY493" i="2"/>
  <c r="CZ107" i="13" s="1"/>
  <c r="DY24" i="15"/>
  <c r="DY417" i="2"/>
  <c r="DY439" i="2" s="1"/>
  <c r="DY398" i="2"/>
  <c r="DY423" i="2"/>
  <c r="DY422" i="2" s="1"/>
  <c r="DX445" i="2"/>
  <c r="DX462" i="2" s="1"/>
  <c r="FB29" i="18"/>
  <c r="DX454" i="2"/>
  <c r="CY67" i="13" s="1"/>
  <c r="CV25" i="11"/>
  <c r="EC18" i="15"/>
  <c r="DX448" i="2"/>
  <c r="CY60" i="13" s="1"/>
  <c r="FC146" i="18"/>
  <c r="FJ146" i="18" s="1"/>
  <c r="DX446" i="2"/>
  <c r="DX463" i="2" s="1"/>
  <c r="DX453" i="2"/>
  <c r="DX451" i="2" s="1"/>
  <c r="DX510" i="2"/>
  <c r="DW205" i="18"/>
  <c r="DV140" i="18"/>
  <c r="CY59" i="13"/>
  <c r="DX464" i="2"/>
  <c r="DC95" i="13"/>
  <c r="DB98" i="13"/>
  <c r="CQ65" i="11"/>
  <c r="DT65" i="11" s="1"/>
  <c r="CQ70" i="11"/>
  <c r="DT70" i="11" s="1"/>
  <c r="EB483" i="2"/>
  <c r="EB482" i="2"/>
  <c r="EB379" i="2" s="1"/>
  <c r="CY69" i="13"/>
  <c r="CY86" i="13"/>
  <c r="DZ15" i="15"/>
  <c r="DZ24" i="15" s="1"/>
  <c r="CS11" i="12"/>
  <c r="CS18" i="12" s="1"/>
  <c r="CT14" i="12"/>
  <c r="DU14" i="12" s="1"/>
  <c r="DA25" i="13"/>
  <c r="EB25" i="13" s="1"/>
  <c r="DA29" i="13"/>
  <c r="EA401" i="2"/>
  <c r="DB20" i="13" s="1"/>
  <c r="DB6" i="13"/>
  <c r="DB5" i="13"/>
  <c r="EA418" i="2"/>
  <c r="DB34" i="13" s="1"/>
  <c r="EA424" i="2"/>
  <c r="DB40" i="13" s="1"/>
  <c r="DW490" i="2"/>
  <c r="DW505" i="2"/>
  <c r="EA377" i="2"/>
  <c r="EA395" i="2"/>
  <c r="EA396" i="2"/>
  <c r="DW461" i="2"/>
  <c r="DW590" i="2" s="1"/>
  <c r="CX161" i="13" s="1"/>
  <c r="CY65" i="13"/>
  <c r="EA10" i="15"/>
  <c r="CT7" i="12"/>
  <c r="DU7" i="12" s="1"/>
  <c r="CT12" i="11"/>
  <c r="CX64" i="13"/>
  <c r="EA64" i="13" s="1"/>
  <c r="CX81" i="13"/>
  <c r="CP70" i="12"/>
  <c r="CP82" i="12" s="1"/>
  <c r="EB27" i="15"/>
  <c r="CX75" i="13"/>
  <c r="DX33" i="15"/>
  <c r="CQ25" i="12"/>
  <c r="CX56" i="13"/>
  <c r="EA56" i="13" s="1"/>
  <c r="DX468" i="2"/>
  <c r="DX506" i="2" s="1"/>
  <c r="CP102" i="11"/>
  <c r="DY32" i="18"/>
  <c r="DY43" i="18"/>
  <c r="DA22" i="13"/>
  <c r="EB22" i="13" s="1"/>
  <c r="DZ399" i="2"/>
  <c r="CZ43" i="13"/>
  <c r="DA23" i="13"/>
  <c r="CY32" i="13"/>
  <c r="CY54" i="13"/>
  <c r="CY38" i="13"/>
  <c r="DZ429" i="2"/>
  <c r="DA108" i="13"/>
  <c r="EB108" i="13" s="1"/>
  <c r="DZ493" i="2"/>
  <c r="DA107" i="13" s="1"/>
  <c r="DZ498" i="2"/>
  <c r="DA113" i="13" s="1"/>
  <c r="EB113" i="13" s="1"/>
  <c r="DZ546" i="2"/>
  <c r="DA136" i="13" s="1"/>
  <c r="EB136" i="13" s="1"/>
  <c r="DZ544" i="2"/>
  <c r="DA134" i="13" s="1"/>
  <c r="EB134" i="13" s="1"/>
  <c r="DZ497" i="2"/>
  <c r="DA112" i="13" s="1"/>
  <c r="EB112" i="13" s="1"/>
  <c r="DW93" i="15"/>
  <c r="DW203" i="18"/>
  <c r="DV162" i="18"/>
  <c r="DV108" i="15"/>
  <c r="DV99" i="15"/>
  <c r="DW105" i="18"/>
  <c r="DW114" i="18"/>
  <c r="DW140" i="18" s="1"/>
  <c r="DW75" i="18"/>
  <c r="EA27" i="15"/>
  <c r="DW204" i="18"/>
  <c r="DW201" i="18"/>
  <c r="DX753" i="2"/>
  <c r="DX200" i="18"/>
  <c r="FA200" i="18" s="1"/>
  <c r="DW202" i="18"/>
  <c r="DW206" i="18"/>
  <c r="DW207" i="18"/>
  <c r="DW208" i="18"/>
  <c r="CV127" i="13"/>
  <c r="CO88" i="12"/>
  <c r="CV121" i="13"/>
  <c r="CV144" i="13"/>
  <c r="CO99" i="12"/>
  <c r="DV502" i="2"/>
  <c r="CW102" i="13"/>
  <c r="CP79" i="11" s="1"/>
  <c r="CO128" i="11"/>
  <c r="CP95" i="11"/>
  <c r="CP86" i="11"/>
  <c r="CW155" i="13"/>
  <c r="CT142" i="13"/>
  <c r="CT158" i="13"/>
  <c r="CP55" i="11"/>
  <c r="CW162" i="13"/>
  <c r="CW165" i="13"/>
  <c r="CW139" i="13"/>
  <c r="CN98" i="11"/>
  <c r="CN113" i="11" s="1"/>
  <c r="CN132" i="11" s="1"/>
  <c r="CN147" i="11" s="1"/>
  <c r="CU128" i="13"/>
  <c r="CU141" i="13"/>
  <c r="DZ141" i="13" s="1"/>
  <c r="CS167" i="13"/>
  <c r="CS159" i="13"/>
  <c r="CU122" i="13"/>
  <c r="CN89" i="11"/>
  <c r="DS89" i="11" s="1"/>
  <c r="CU40" i="12"/>
  <c r="CU38" i="11"/>
  <c r="ES44" i="7"/>
  <c r="CT40" i="12"/>
  <c r="DU40" i="12" s="1"/>
  <c r="CT38" i="11"/>
  <c r="DU38" i="11" s="1"/>
  <c r="CR52" i="12"/>
  <c r="CR74" i="11"/>
  <c r="CR73" i="12"/>
  <c r="CR105" i="11"/>
  <c r="CR71" i="11"/>
  <c r="CR49" i="12"/>
  <c r="CR73" i="11"/>
  <c r="CR51" i="12"/>
  <c r="ES22" i="7"/>
  <c r="ET12" i="7"/>
  <c r="FA12" i="7" s="1"/>
  <c r="CW13" i="11"/>
  <c r="DV13" i="11" s="1"/>
  <c r="EC13" i="11" s="1"/>
  <c r="CW8" i="12"/>
  <c r="DV8" i="12" s="1"/>
  <c r="EC8" i="12" s="1"/>
  <c r="ET157" i="7"/>
  <c r="FA157" i="7" s="1"/>
  <c r="DQ106" i="7"/>
  <c r="DZ82" i="15" s="1"/>
  <c r="DQ115" i="7"/>
  <c r="DZ238" i="2"/>
  <c r="DZ240" i="2"/>
  <c r="DZ241" i="2"/>
  <c r="DZ262" i="2"/>
  <c r="DT32" i="7"/>
  <c r="EB206" i="2"/>
  <c r="EB205" i="2" s="1"/>
  <c r="DT44" i="7"/>
  <c r="ES32" i="7"/>
  <c r="DY231" i="2"/>
  <c r="DQ76" i="7" s="1"/>
  <c r="DZ60" i="15" s="1"/>
  <c r="DQ86" i="7"/>
  <c r="EA204" i="2"/>
  <c r="DS43" i="7"/>
  <c r="DY230" i="2"/>
  <c r="DQ75" i="7" s="1"/>
  <c r="DZ59" i="15" s="1"/>
  <c r="DQ85" i="7"/>
  <c r="DU11" i="7"/>
  <c r="DR42" i="7"/>
  <c r="ES43" i="7"/>
  <c r="EC158" i="2"/>
  <c r="EC176" i="2"/>
  <c r="DU23" i="7" s="1"/>
  <c r="DU22" i="7" s="1"/>
  <c r="FD85" i="3"/>
  <c r="FD84" i="3" s="1"/>
  <c r="FK86" i="3"/>
  <c r="FK85" i="3" s="1"/>
  <c r="FK84" i="3" s="1"/>
  <c r="EB180" i="2"/>
  <c r="DT27" i="7" s="1"/>
  <c r="EB175" i="2"/>
  <c r="EB178" i="2"/>
  <c r="DT25" i="7" s="1"/>
  <c r="EC29" i="18" s="1"/>
  <c r="EB177" i="2"/>
  <c r="DT24" i="7" s="1"/>
  <c r="EC28" i="18" s="1"/>
  <c r="EB179" i="2"/>
  <c r="DT26" i="7" s="1"/>
  <c r="EC30" i="18" s="1"/>
  <c r="DP76" i="2"/>
  <c r="DY168" i="13"/>
  <c r="EI167" i="13"/>
  <c r="EI168" i="13" s="1"/>
  <c r="CK147" i="11"/>
  <c r="DR147" i="11" s="1"/>
  <c r="EB147" i="11" s="1"/>
  <c r="DR132" i="11"/>
  <c r="EB132" i="11" s="1"/>
  <c r="CR168" i="13"/>
  <c r="CU217" i="2"/>
  <c r="ER61" i="3"/>
  <c r="ER34" i="3"/>
  <c r="ER62" i="3" s="1"/>
  <c r="DU132" i="15" l="1"/>
  <c r="EZ132" i="15" s="1"/>
  <c r="EZ114" i="15"/>
  <c r="EB51" i="13"/>
  <c r="EB23" i="13"/>
  <c r="DZ28" i="15"/>
  <c r="DZ48" i="15" s="1"/>
  <c r="DZ27" i="18"/>
  <c r="CZ48" i="13"/>
  <c r="EB48" i="13" s="1"/>
  <c r="CS39" i="12"/>
  <c r="DS132" i="11"/>
  <c r="CL147" i="11"/>
  <c r="DS147" i="11" s="1"/>
  <c r="EB49" i="13"/>
  <c r="CS37" i="11"/>
  <c r="EA83" i="13"/>
  <c r="CX77" i="13"/>
  <c r="EA82" i="13"/>
  <c r="CX76" i="13"/>
  <c r="CS20" i="11"/>
  <c r="CS33" i="11" s="1"/>
  <c r="DS113" i="11"/>
  <c r="DS98" i="11"/>
  <c r="DY456" i="2"/>
  <c r="DY473" i="2"/>
  <c r="DY511" i="2" s="1"/>
  <c r="CZ70" i="13"/>
  <c r="CS71" i="11"/>
  <c r="EB107" i="13"/>
  <c r="CS38" i="12"/>
  <c r="CY83" i="13"/>
  <c r="CY78" i="13"/>
  <c r="CR43" i="11"/>
  <c r="CY85" i="13"/>
  <c r="CU18" i="11"/>
  <c r="CU6" i="11"/>
  <c r="CU5" i="11"/>
  <c r="EA161" i="13"/>
  <c r="CQ108" i="12"/>
  <c r="DX120" i="15"/>
  <c r="CQ137" i="11"/>
  <c r="CY81" i="13"/>
  <c r="CT11" i="11"/>
  <c r="DU11" i="11" s="1"/>
  <c r="DU12" i="11"/>
  <c r="CX80" i="13"/>
  <c r="EA80" i="13" s="1"/>
  <c r="EA81" i="13"/>
  <c r="CQ97" i="12"/>
  <c r="DT97" i="12" s="1"/>
  <c r="EA75" i="13"/>
  <c r="CQ31" i="12"/>
  <c r="DT31" i="12" s="1"/>
  <c r="DT25" i="12"/>
  <c r="EA62" i="13"/>
  <c r="CO103" i="12"/>
  <c r="CO118" i="11"/>
  <c r="DZ142" i="13"/>
  <c r="CS49" i="12"/>
  <c r="EA12" i="18"/>
  <c r="FB12" i="18" s="1"/>
  <c r="FB10" i="15"/>
  <c r="CY58" i="13"/>
  <c r="EC285" i="2"/>
  <c r="CZ33" i="13"/>
  <c r="EA272" i="2"/>
  <c r="EA274" i="2"/>
  <c r="DX470" i="2"/>
  <c r="DX508" i="2" s="1"/>
  <c r="DX492" i="2" s="1"/>
  <c r="CY106" i="13" s="1"/>
  <c r="EA47" i="15"/>
  <c r="FB47" i="15" s="1"/>
  <c r="FB27" i="15"/>
  <c r="DX39" i="15"/>
  <c r="FA39" i="15" s="1"/>
  <c r="FA33" i="15"/>
  <c r="EB47" i="15"/>
  <c r="DY416" i="2"/>
  <c r="DY444" i="2" s="1"/>
  <c r="DY445" i="2" s="1"/>
  <c r="CZ57" i="13" s="1"/>
  <c r="DY80" i="18"/>
  <c r="DY43" i="15"/>
  <c r="DX469" i="2"/>
  <c r="DX507" i="2" s="1"/>
  <c r="DX491" i="2" s="1"/>
  <c r="CY105" i="13" s="1"/>
  <c r="CZ39" i="13"/>
  <c r="CT37" i="11"/>
  <c r="CT36" i="11" s="1"/>
  <c r="CT39" i="12"/>
  <c r="CT38" i="12" s="1"/>
  <c r="CY66" i="13"/>
  <c r="DX465" i="2"/>
  <c r="DX461" i="2" s="1"/>
  <c r="DX590" i="2" s="1"/>
  <c r="CY161" i="13" s="1"/>
  <c r="CY57" i="13"/>
  <c r="DY454" i="2"/>
  <c r="CZ67" i="13" s="1"/>
  <c r="CZ83" i="13" s="1"/>
  <c r="CZ77" i="13" s="1"/>
  <c r="EA419" i="2"/>
  <c r="DB35" i="13" s="1"/>
  <c r="DX203" i="18"/>
  <c r="FA203" i="18" s="1"/>
  <c r="DX490" i="2"/>
  <c r="DX505" i="2"/>
  <c r="CW144" i="13"/>
  <c r="CP118" i="11" s="1"/>
  <c r="DA17" i="13"/>
  <c r="CT20" i="11" s="1"/>
  <c r="DB15" i="13"/>
  <c r="EA409" i="2"/>
  <c r="EA436" i="2" s="1"/>
  <c r="EA392" i="2"/>
  <c r="EA425" i="2"/>
  <c r="CQ45" i="11"/>
  <c r="DT45" i="11" s="1"/>
  <c r="CX62" i="13"/>
  <c r="DB14" i="13"/>
  <c r="EA391" i="2"/>
  <c r="DB10" i="13" s="1"/>
  <c r="EA408" i="2"/>
  <c r="DA44" i="13"/>
  <c r="EB44" i="13" s="1"/>
  <c r="DZ428" i="2"/>
  <c r="DB4" i="13"/>
  <c r="EA380" i="2"/>
  <c r="EA376" i="2" s="1"/>
  <c r="DY453" i="2"/>
  <c r="EB401" i="2"/>
  <c r="DC20" i="13" s="1"/>
  <c r="CV18" i="11" s="1"/>
  <c r="DC6" i="13"/>
  <c r="CV6" i="11" s="1"/>
  <c r="EB378" i="2"/>
  <c r="EB394" i="2"/>
  <c r="EB377" i="2" s="1"/>
  <c r="EC479" i="2"/>
  <c r="DC99" i="13"/>
  <c r="DA18" i="13"/>
  <c r="EB18" i="13" s="1"/>
  <c r="DZ423" i="2"/>
  <c r="DZ398" i="2"/>
  <c r="DZ417" i="2"/>
  <c r="DZ439" i="2" s="1"/>
  <c r="DY452" i="2"/>
  <c r="EA19" i="15"/>
  <c r="FB19" i="15" s="1"/>
  <c r="CT24" i="11"/>
  <c r="EA31" i="18"/>
  <c r="FB31" i="18" s="1"/>
  <c r="DY447" i="2"/>
  <c r="CT21" i="12"/>
  <c r="DU21" i="12" s="1"/>
  <c r="CX104" i="13"/>
  <c r="EA104" i="13" s="1"/>
  <c r="DW489" i="2"/>
  <c r="DY448" i="2"/>
  <c r="CZ71" i="13"/>
  <c r="DY474" i="2"/>
  <c r="DY512" i="2" s="1"/>
  <c r="DW501" i="2"/>
  <c r="DW496" i="2"/>
  <c r="CX110" i="13" s="1"/>
  <c r="EA110" i="13" s="1"/>
  <c r="DW548" i="2"/>
  <c r="DW570" i="2"/>
  <c r="DW499" i="2"/>
  <c r="DW500" i="2"/>
  <c r="DW547" i="2"/>
  <c r="CV156" i="13"/>
  <c r="CP99" i="12"/>
  <c r="DW162" i="18"/>
  <c r="DW108" i="15"/>
  <c r="DW99" i="15"/>
  <c r="DX202" i="18"/>
  <c r="FA202" i="18" s="1"/>
  <c r="EC27" i="15"/>
  <c r="EC47" i="15" s="1"/>
  <c r="DV114" i="15"/>
  <c r="DX201" i="18"/>
  <c r="FA201" i="18" s="1"/>
  <c r="DX208" i="18"/>
  <c r="FA208" i="18" s="1"/>
  <c r="DX204" i="18"/>
  <c r="FA204" i="18" s="1"/>
  <c r="DX206" i="18"/>
  <c r="FA206" i="18" s="1"/>
  <c r="DY753" i="2"/>
  <c r="DY200" i="18"/>
  <c r="DX207" i="18"/>
  <c r="FA207" i="18" s="1"/>
  <c r="DX205" i="18"/>
  <c r="FA205" i="18" s="1"/>
  <c r="CU142" i="13"/>
  <c r="CU158" i="13"/>
  <c r="DZ158" i="13" s="1"/>
  <c r="CO98" i="11"/>
  <c r="CV128" i="13"/>
  <c r="CV141" i="13"/>
  <c r="CP88" i="12"/>
  <c r="CP103" i="12" s="1"/>
  <c r="CP118" i="12" s="1"/>
  <c r="CW127" i="13"/>
  <c r="CP128" i="11"/>
  <c r="CS168" i="13"/>
  <c r="CW121" i="13"/>
  <c r="CO89" i="11"/>
  <c r="CV122" i="13"/>
  <c r="CT159" i="13"/>
  <c r="CT167" i="13"/>
  <c r="ET11" i="7"/>
  <c r="FA11" i="7" s="1"/>
  <c r="ED9" i="15"/>
  <c r="FC9" i="15" s="1"/>
  <c r="FJ9" i="15" s="1"/>
  <c r="CS105" i="11"/>
  <c r="CS73" i="12"/>
  <c r="CV40" i="12"/>
  <c r="CV38" i="11"/>
  <c r="CS74" i="11"/>
  <c r="CS52" i="12"/>
  <c r="ET23" i="7"/>
  <c r="ET32" i="7" s="1"/>
  <c r="CW25" i="11"/>
  <c r="DV25" i="11" s="1"/>
  <c r="EC25" i="11" s="1"/>
  <c r="CS51" i="12"/>
  <c r="CS73" i="11"/>
  <c r="DU44" i="7"/>
  <c r="DR66" i="7"/>
  <c r="ES42" i="7"/>
  <c r="DR115" i="7"/>
  <c r="DR106" i="7"/>
  <c r="EA82" i="15" s="1"/>
  <c r="FB82" i="15" s="1"/>
  <c r="DZ231" i="2"/>
  <c r="DR76" i="7" s="1"/>
  <c r="DR86" i="7"/>
  <c r="EB204" i="2"/>
  <c r="DT43" i="7"/>
  <c r="DT42" i="7" s="1"/>
  <c r="DZ230" i="2"/>
  <c r="DR75" i="7" s="1"/>
  <c r="DR85" i="7"/>
  <c r="DZ228" i="2"/>
  <c r="DR72" i="7" s="1"/>
  <c r="DR83" i="7"/>
  <c r="ED18" i="15"/>
  <c r="FC18" i="15" s="1"/>
  <c r="FJ18" i="15" s="1"/>
  <c r="DU32" i="7"/>
  <c r="DS42" i="7"/>
  <c r="EA238" i="2"/>
  <c r="EA241" i="2"/>
  <c r="EA240" i="2"/>
  <c r="EA262" i="2"/>
  <c r="EC177" i="2"/>
  <c r="DU24" i="7" s="1"/>
  <c r="EC175" i="2"/>
  <c r="EC178" i="2"/>
  <c r="DU25" i="7" s="1"/>
  <c r="EC179" i="2"/>
  <c r="DU26" i="7" s="1"/>
  <c r="EC180" i="2"/>
  <c r="DU27" i="7" s="1"/>
  <c r="EC206" i="2"/>
  <c r="EC205" i="2" s="1"/>
  <c r="DQ76" i="2"/>
  <c r="CV217" i="2"/>
  <c r="ER30" i="3"/>
  <c r="FH27" i="3"/>
  <c r="ER32" i="3"/>
  <c r="ER39" i="3" s="1"/>
  <c r="ER67" i="3"/>
  <c r="ER68" i="3"/>
  <c r="DU39" i="12" l="1"/>
  <c r="DZ43" i="18"/>
  <c r="DZ45" i="15"/>
  <c r="DZ43" i="15" s="1"/>
  <c r="DZ32" i="18"/>
  <c r="CQ95" i="12"/>
  <c r="DT95" i="12" s="1"/>
  <c r="CU31" i="11"/>
  <c r="CX74" i="13"/>
  <c r="DU38" i="12"/>
  <c r="CQ94" i="12"/>
  <c r="DY510" i="2"/>
  <c r="EA77" i="13"/>
  <c r="CQ53" i="11"/>
  <c r="CX125" i="13"/>
  <c r="CX131" i="13"/>
  <c r="EA76" i="13"/>
  <c r="DX67" i="18"/>
  <c r="CQ52" i="11"/>
  <c r="DT52" i="11" s="1"/>
  <c r="DU37" i="11"/>
  <c r="CS36" i="11"/>
  <c r="CS60" i="11" s="1"/>
  <c r="EA125" i="13"/>
  <c r="EA131" i="13"/>
  <c r="CZ86" i="13"/>
  <c r="CY77" i="13"/>
  <c r="CR53" i="11" s="1"/>
  <c r="CU30" i="11"/>
  <c r="DT108" i="12"/>
  <c r="CQ107" i="12"/>
  <c r="DT107" i="12" s="1"/>
  <c r="FA120" i="15"/>
  <c r="DX117" i="15"/>
  <c r="DT137" i="11"/>
  <c r="CQ136" i="11"/>
  <c r="DT136" i="11" s="1"/>
  <c r="EA123" i="13"/>
  <c r="CO118" i="12"/>
  <c r="EB17" i="13"/>
  <c r="CR42" i="11"/>
  <c r="CZ32" i="13"/>
  <c r="CY125" i="13"/>
  <c r="CR69" i="11"/>
  <c r="CZ38" i="13"/>
  <c r="CY82" i="13"/>
  <c r="CR137" i="11"/>
  <c r="DY120" i="15"/>
  <c r="CR108" i="12"/>
  <c r="CY75" i="13"/>
  <c r="CT33" i="11"/>
  <c r="DU33" i="11" s="1"/>
  <c r="DU20" i="11"/>
  <c r="CX155" i="13"/>
  <c r="EA155" i="13" s="1"/>
  <c r="EA74" i="13"/>
  <c r="CQ91" i="12"/>
  <c r="DT91" i="12" s="1"/>
  <c r="DT94" i="12"/>
  <c r="CT23" i="11"/>
  <c r="DU23" i="11" s="1"/>
  <c r="DU24" i="11"/>
  <c r="CZ87" i="13"/>
  <c r="DZ159" i="13"/>
  <c r="CO113" i="11"/>
  <c r="CT60" i="11"/>
  <c r="DU36" i="11"/>
  <c r="CZ54" i="13"/>
  <c r="CR25" i="12"/>
  <c r="CR70" i="11"/>
  <c r="CR65" i="11"/>
  <c r="DZ458" i="2"/>
  <c r="DZ474" i="2" s="1"/>
  <c r="DZ512" i="2" s="1"/>
  <c r="DZ457" i="2"/>
  <c r="DY33" i="15"/>
  <c r="DY39" i="15" s="1"/>
  <c r="CZ75" i="13"/>
  <c r="EB272" i="2"/>
  <c r="EB274" i="2"/>
  <c r="CY56" i="13"/>
  <c r="DY462" i="2"/>
  <c r="DV132" i="15"/>
  <c r="DY446" i="2"/>
  <c r="CY64" i="13"/>
  <c r="DY470" i="2"/>
  <c r="DY508" i="2" s="1"/>
  <c r="DY492" i="2" s="1"/>
  <c r="CZ106" i="13" s="1"/>
  <c r="CZ125" i="13" s="1"/>
  <c r="CZ69" i="13"/>
  <c r="EB396" i="2"/>
  <c r="EB425" i="2"/>
  <c r="DC41" i="13" s="1"/>
  <c r="EB419" i="2"/>
  <c r="DC35" i="13" s="1"/>
  <c r="EB395" i="2"/>
  <c r="CV31" i="11"/>
  <c r="DY203" i="18"/>
  <c r="EA495" i="2"/>
  <c r="DB109" i="13" s="1"/>
  <c r="DB51" i="13"/>
  <c r="CX116" i="13"/>
  <c r="EA116" i="13" s="1"/>
  <c r="DX501" i="2"/>
  <c r="EA407" i="2"/>
  <c r="DB26" i="13"/>
  <c r="EA404" i="2"/>
  <c r="EA28" i="15"/>
  <c r="EA27" i="18"/>
  <c r="FB27" i="18" s="1"/>
  <c r="DC4" i="13"/>
  <c r="EB380" i="2"/>
  <c r="EB376" i="2" s="1"/>
  <c r="DX570" i="2"/>
  <c r="DX496" i="2"/>
  <c r="CY110" i="13" s="1"/>
  <c r="DY208" i="18"/>
  <c r="CZ65" i="13"/>
  <c r="DY451" i="2"/>
  <c r="DY468" i="2"/>
  <c r="DY506" i="2" s="1"/>
  <c r="DC5" i="13"/>
  <c r="EB424" i="2"/>
  <c r="DC40" i="13" s="1"/>
  <c r="EB418" i="2"/>
  <c r="DC34" i="13" s="1"/>
  <c r="DB13" i="13"/>
  <c r="CZ58" i="13"/>
  <c r="CS42" i="11" s="1"/>
  <c r="DY463" i="2"/>
  <c r="DA33" i="13"/>
  <c r="DZ416" i="2"/>
  <c r="DZ444" i="2" s="1"/>
  <c r="DZ445" i="2" s="1"/>
  <c r="DZ462" i="2" s="1"/>
  <c r="DB7" i="13"/>
  <c r="EA420" i="2"/>
  <c r="EA426" i="2"/>
  <c r="CX137" i="13"/>
  <c r="EA137" i="13" s="1"/>
  <c r="DX547" i="2"/>
  <c r="DW543" i="2"/>
  <c r="DW549" i="2" s="1"/>
  <c r="DA39" i="13"/>
  <c r="DZ422" i="2"/>
  <c r="DZ454" i="2" s="1"/>
  <c r="CX115" i="13"/>
  <c r="EA115" i="13" s="1"/>
  <c r="DX500" i="2"/>
  <c r="EA15" i="15"/>
  <c r="CT11" i="12"/>
  <c r="DA70" i="13"/>
  <c r="DA86" i="13" s="1"/>
  <c r="DB41" i="13"/>
  <c r="CX114" i="13"/>
  <c r="EA114" i="13" s="1"/>
  <c r="DX499" i="2"/>
  <c r="DD95" i="13"/>
  <c r="EC95" i="13" s="1"/>
  <c r="EJ95" i="13" s="1"/>
  <c r="DC98" i="13"/>
  <c r="CZ66" i="13"/>
  <c r="CZ82" i="13" s="1"/>
  <c r="DY469" i="2"/>
  <c r="DY507" i="2" s="1"/>
  <c r="DY491" i="2" s="1"/>
  <c r="CZ105" i="13" s="1"/>
  <c r="CS69" i="11" s="1"/>
  <c r="DA43" i="13"/>
  <c r="EB43" i="13" s="1"/>
  <c r="CW156" i="13"/>
  <c r="DW488" i="2"/>
  <c r="EC482" i="2"/>
  <c r="EC378" i="2" s="1"/>
  <c r="EC483" i="2"/>
  <c r="DD99" i="13" s="1"/>
  <c r="DB11" i="13"/>
  <c r="CS53" i="11"/>
  <c r="CZ60" i="13"/>
  <c r="DY465" i="2"/>
  <c r="CY104" i="13"/>
  <c r="DX489" i="2"/>
  <c r="CX138" i="13"/>
  <c r="EA138" i="13" s="1"/>
  <c r="DX548" i="2"/>
  <c r="CX103" i="13"/>
  <c r="EA103" i="13" s="1"/>
  <c r="CQ58" i="12"/>
  <c r="CX123" i="13"/>
  <c r="CZ59" i="13"/>
  <c r="DY464" i="2"/>
  <c r="EA435" i="2"/>
  <c r="DB27" i="13"/>
  <c r="EA405" i="2"/>
  <c r="EA429" i="2" s="1"/>
  <c r="DC14" i="13"/>
  <c r="EB391" i="2"/>
  <c r="DC10" i="13" s="1"/>
  <c r="EB408" i="2"/>
  <c r="EB435" i="2" s="1"/>
  <c r="DC15" i="13"/>
  <c r="EB392" i="2"/>
  <c r="EB409" i="2"/>
  <c r="DC27" i="13" s="1"/>
  <c r="ES76" i="7"/>
  <c r="EA60" i="15"/>
  <c r="FB60" i="15" s="1"/>
  <c r="DY204" i="18"/>
  <c r="ET27" i="7"/>
  <c r="FA27" i="7" s="1"/>
  <c r="ET26" i="7"/>
  <c r="FA26" i="7" s="1"/>
  <c r="ED30" i="18"/>
  <c r="FC30" i="18" s="1"/>
  <c r="FJ30" i="18" s="1"/>
  <c r="ET25" i="7"/>
  <c r="FA25" i="7" s="1"/>
  <c r="ED29" i="18"/>
  <c r="DW114" i="15"/>
  <c r="DW132" i="15" s="1"/>
  <c r="ES75" i="7"/>
  <c r="EA59" i="15"/>
  <c r="FB59" i="15" s="1"/>
  <c r="ET24" i="7"/>
  <c r="FA24" i="7" s="1"/>
  <c r="ED28" i="18"/>
  <c r="FC28" i="18" s="1"/>
  <c r="FJ28" i="18" s="1"/>
  <c r="ED27" i="15"/>
  <c r="ED47" i="15" s="1"/>
  <c r="FC47" i="15" s="1"/>
  <c r="FJ47" i="15" s="1"/>
  <c r="DY202" i="18"/>
  <c r="DY201" i="18"/>
  <c r="DZ753" i="2"/>
  <c r="DZ200" i="18"/>
  <c r="DY206" i="18"/>
  <c r="DY205" i="18"/>
  <c r="DY207" i="18"/>
  <c r="CP89" i="11"/>
  <c r="CW122" i="13"/>
  <c r="CP98" i="11"/>
  <c r="CP113" i="11" s="1"/>
  <c r="CP132" i="11" s="1"/>
  <c r="CP147" i="11" s="1"/>
  <c r="CW141" i="13"/>
  <c r="CW128" i="13"/>
  <c r="CV142" i="13"/>
  <c r="CV158" i="13"/>
  <c r="CT168" i="13"/>
  <c r="CU159" i="13"/>
  <c r="CU167" i="13"/>
  <c r="DZ167" i="13" s="1"/>
  <c r="FA23" i="7"/>
  <c r="FA32" i="7" s="1"/>
  <c r="ES83" i="7"/>
  <c r="CT71" i="11"/>
  <c r="DU71" i="11" s="1"/>
  <c r="CT49" i="12"/>
  <c r="DU49" i="12" s="1"/>
  <c r="ET22" i="7"/>
  <c r="FA22" i="7" s="1"/>
  <c r="CT73" i="12"/>
  <c r="DU73" i="12" s="1"/>
  <c r="CT105" i="11"/>
  <c r="DU105" i="11" s="1"/>
  <c r="ES86" i="7"/>
  <c r="CT74" i="11"/>
  <c r="DU74" i="11" s="1"/>
  <c r="CT52" i="12"/>
  <c r="DU52" i="12" s="1"/>
  <c r="ET44" i="7"/>
  <c r="FA44" i="7" s="1"/>
  <c r="CW40" i="12"/>
  <c r="DV40" i="12" s="1"/>
  <c r="EC40" i="12" s="1"/>
  <c r="CW38" i="11"/>
  <c r="DV38" i="11" s="1"/>
  <c r="EC38" i="11" s="1"/>
  <c r="ES85" i="7"/>
  <c r="CT73" i="11"/>
  <c r="DU73" i="11" s="1"/>
  <c r="CT51" i="12"/>
  <c r="DU51" i="12" s="1"/>
  <c r="ES66" i="7"/>
  <c r="DS115" i="7"/>
  <c r="DS106" i="7"/>
  <c r="EA231" i="2"/>
  <c r="DS76" i="7" s="1"/>
  <c r="DS86" i="7"/>
  <c r="DT66" i="7"/>
  <c r="EC204" i="2"/>
  <c r="DU43" i="7"/>
  <c r="DU42" i="7" s="1"/>
  <c r="ET42" i="7" s="1"/>
  <c r="ET66" i="7" s="1"/>
  <c r="EA228" i="2"/>
  <c r="DS72" i="7" s="1"/>
  <c r="DS83" i="7"/>
  <c r="EB238" i="2"/>
  <c r="EB240" i="2"/>
  <c r="EB241" i="2"/>
  <c r="EB262" i="2"/>
  <c r="EA230" i="2"/>
  <c r="DS75" i="7" s="1"/>
  <c r="DS85" i="7"/>
  <c r="ES106" i="7"/>
  <c r="ES115" i="7"/>
  <c r="DS66" i="7"/>
  <c r="DR76" i="2"/>
  <c r="CW217" i="2"/>
  <c r="ER79" i="3"/>
  <c r="ER72" i="3"/>
  <c r="FH68" i="3"/>
  <c r="ER71" i="3"/>
  <c r="FH67" i="3"/>
  <c r="FH30" i="3"/>
  <c r="FH32" i="3"/>
  <c r="ER66" i="3"/>
  <c r="ER112" i="3"/>
  <c r="ER43" i="3"/>
  <c r="ER98" i="3"/>
  <c r="ER60" i="3"/>
  <c r="ER64" i="3" s="1"/>
  <c r="ER104" i="3"/>
  <c r="ER58" i="3"/>
  <c r="DD98" i="13" l="1"/>
  <c r="EC98" i="13" s="1"/>
  <c r="EJ98" i="13" s="1"/>
  <c r="EC99" i="13"/>
  <c r="EJ99" i="13" s="1"/>
  <c r="DZ456" i="2"/>
  <c r="CX165" i="13"/>
  <c r="CQ55" i="11"/>
  <c r="DT55" i="11" s="1"/>
  <c r="DZ80" i="18"/>
  <c r="DX99" i="15"/>
  <c r="FA99" i="15" s="1"/>
  <c r="CZ76" i="13"/>
  <c r="CS94" i="12" s="1"/>
  <c r="CS91" i="12" s="1"/>
  <c r="CX162" i="13"/>
  <c r="CQ87" i="11"/>
  <c r="CQ96" i="11"/>
  <c r="DT53" i="11"/>
  <c r="FA67" i="18"/>
  <c r="FA75" i="18" s="1"/>
  <c r="DX75" i="18"/>
  <c r="DX108" i="15"/>
  <c r="FA108" i="15" s="1"/>
  <c r="CY131" i="13"/>
  <c r="CY80" i="13"/>
  <c r="CQ128" i="11"/>
  <c r="DT128" i="11" s="1"/>
  <c r="DX162" i="18"/>
  <c r="FA162" i="18" s="1"/>
  <c r="CQ99" i="12"/>
  <c r="DT99" i="12" s="1"/>
  <c r="CX144" i="13"/>
  <c r="CQ88" i="12"/>
  <c r="DT88" i="12" s="1"/>
  <c r="CZ85" i="13"/>
  <c r="EB86" i="13"/>
  <c r="DX177" i="18"/>
  <c r="FA117" i="15"/>
  <c r="CY76" i="13"/>
  <c r="CR52" i="11" s="1"/>
  <c r="CR136" i="11"/>
  <c r="DY117" i="15"/>
  <c r="DY177" i="18" s="1"/>
  <c r="DY175" i="18" s="1"/>
  <c r="DY190" i="18" s="1"/>
  <c r="CR107" i="12"/>
  <c r="EA165" i="13"/>
  <c r="CO132" i="11"/>
  <c r="EB70" i="13"/>
  <c r="EA162" i="13"/>
  <c r="EB33" i="13"/>
  <c r="EB39" i="13"/>
  <c r="EB66" i="13"/>
  <c r="CR31" i="12"/>
  <c r="CR96" i="11"/>
  <c r="CY62" i="13"/>
  <c r="CQ118" i="11"/>
  <c r="DT118" i="11" s="1"/>
  <c r="EA144" i="13"/>
  <c r="EA124" i="13"/>
  <c r="EA130" i="13"/>
  <c r="CV5" i="11"/>
  <c r="EC5" i="13"/>
  <c r="EJ5" i="13" s="1"/>
  <c r="DB3" i="13"/>
  <c r="CT18" i="12"/>
  <c r="DU18" i="12" s="1"/>
  <c r="DU11" i="12"/>
  <c r="EA129" i="13"/>
  <c r="CZ78" i="13"/>
  <c r="DX68" i="15"/>
  <c r="FA68" i="15" s="1"/>
  <c r="DT58" i="12"/>
  <c r="CS43" i="11"/>
  <c r="DU43" i="11" s="1"/>
  <c r="EB59" i="13"/>
  <c r="DU60" i="11"/>
  <c r="DZ168" i="13"/>
  <c r="DC13" i="13"/>
  <c r="CR45" i="11"/>
  <c r="CR87" i="11"/>
  <c r="EC272" i="2"/>
  <c r="EC274" i="2"/>
  <c r="EA48" i="15"/>
  <c r="FB48" i="15" s="1"/>
  <c r="FB28" i="15"/>
  <c r="CX129" i="13"/>
  <c r="EA24" i="15"/>
  <c r="FB24" i="15" s="1"/>
  <c r="FB15" i="15"/>
  <c r="FC27" i="15"/>
  <c r="FJ27" i="15" s="1"/>
  <c r="CS70" i="11"/>
  <c r="CS65" i="11"/>
  <c r="CS96" i="11" s="1"/>
  <c r="EB436" i="2"/>
  <c r="EB434" i="2" s="1"/>
  <c r="DZ473" i="2"/>
  <c r="DZ511" i="2" s="1"/>
  <c r="DZ510" i="2" s="1"/>
  <c r="CZ131" i="13"/>
  <c r="CQ45" i="12"/>
  <c r="DA71" i="13"/>
  <c r="DY461" i="2"/>
  <c r="FC29" i="18"/>
  <c r="EC241" i="2"/>
  <c r="DZ453" i="2"/>
  <c r="DA66" i="13" s="1"/>
  <c r="DA82" i="13" s="1"/>
  <c r="DZ446" i="2"/>
  <c r="DA58" i="13" s="1"/>
  <c r="CT42" i="11" s="1"/>
  <c r="DX54" i="15"/>
  <c r="DX488" i="2"/>
  <c r="DZ447" i="2"/>
  <c r="DA59" i="13" s="1"/>
  <c r="CT43" i="11" s="1"/>
  <c r="DD5" i="13"/>
  <c r="CW5" i="11" s="1"/>
  <c r="CW30" i="11" s="1"/>
  <c r="EC418" i="2"/>
  <c r="DD34" i="13" s="1"/>
  <c r="EC34" i="13" s="1"/>
  <c r="EJ34" i="13" s="1"/>
  <c r="EC424" i="2"/>
  <c r="DD40" i="13" s="1"/>
  <c r="EC40" i="13" s="1"/>
  <c r="EJ40" i="13" s="1"/>
  <c r="DC50" i="13"/>
  <c r="EB494" i="2"/>
  <c r="DY570" i="2"/>
  <c r="DB44" i="13"/>
  <c r="EA428" i="2"/>
  <c r="EA458" i="2" s="1"/>
  <c r="DB50" i="13"/>
  <c r="EA434" i="2"/>
  <c r="EA494" i="2"/>
  <c r="DZ33" i="15"/>
  <c r="CY103" i="13"/>
  <c r="CY123" i="13"/>
  <c r="CY115" i="13"/>
  <c r="DY500" i="2"/>
  <c r="DZ452" i="2"/>
  <c r="CY116" i="13"/>
  <c r="DY501" i="2"/>
  <c r="CZ56" i="13"/>
  <c r="DA57" i="13"/>
  <c r="DX87" i="18"/>
  <c r="FA87" i="18" s="1"/>
  <c r="CX124" i="13"/>
  <c r="CQ64" i="11"/>
  <c r="DT64" i="11" s="1"/>
  <c r="CQ77" i="11"/>
  <c r="DT77" i="11" s="1"/>
  <c r="CX130" i="13"/>
  <c r="CS25" i="12"/>
  <c r="CS31" i="12" s="1"/>
  <c r="DZ448" i="2"/>
  <c r="DA54" i="13"/>
  <c r="EB54" i="13" s="1"/>
  <c r="DA32" i="13"/>
  <c r="EB32" i="13" s="1"/>
  <c r="CZ64" i="13"/>
  <c r="CZ81" i="13"/>
  <c r="CY114" i="13"/>
  <c r="DY499" i="2"/>
  <c r="EB495" i="2"/>
  <c r="DC109" i="13" s="1"/>
  <c r="DC30" i="13"/>
  <c r="CV15" i="12"/>
  <c r="CV22" i="12" s="1"/>
  <c r="DA67" i="13"/>
  <c r="DZ470" i="2"/>
  <c r="DZ508" i="2" s="1"/>
  <c r="DZ492" i="2" s="1"/>
  <c r="DA106" i="13" s="1"/>
  <c r="DA38" i="13"/>
  <c r="EB38" i="13" s="1"/>
  <c r="DC7" i="13"/>
  <c r="DC3" i="13" s="1"/>
  <c r="CV8" i="11" s="1"/>
  <c r="EB420" i="2"/>
  <c r="EB426" i="2"/>
  <c r="CU12" i="11"/>
  <c r="EB10" i="15"/>
  <c r="CU7" i="12"/>
  <c r="CU4" i="12"/>
  <c r="DC11" i="13"/>
  <c r="CY137" i="13"/>
  <c r="DY547" i="2"/>
  <c r="DX543" i="2"/>
  <c r="DX549" i="2" s="1"/>
  <c r="EB6" i="15"/>
  <c r="EA32" i="18"/>
  <c r="FB32" i="18" s="1"/>
  <c r="EA43" i="18"/>
  <c r="FB43" i="18" s="1"/>
  <c r="CX133" i="13"/>
  <c r="EA133" i="13" s="1"/>
  <c r="DZ208" i="18"/>
  <c r="DB23" i="13"/>
  <c r="EB405" i="2"/>
  <c r="CY138" i="13"/>
  <c r="DY548" i="2"/>
  <c r="DB22" i="13"/>
  <c r="EB404" i="2"/>
  <c r="EA399" i="2"/>
  <c r="DC26" i="13"/>
  <c r="EB407" i="2"/>
  <c r="CU15" i="12"/>
  <c r="DB30" i="13"/>
  <c r="EC394" i="2"/>
  <c r="EC379" i="2"/>
  <c r="DB36" i="13"/>
  <c r="DB29" i="13"/>
  <c r="CU14" i="12"/>
  <c r="DB25" i="13"/>
  <c r="DW502" i="2"/>
  <c r="CX102" i="13"/>
  <c r="EA102" i="13" s="1"/>
  <c r="DY490" i="2"/>
  <c r="DY505" i="2"/>
  <c r="DZ206" i="18"/>
  <c r="EA753" i="2"/>
  <c r="EA200" i="18"/>
  <c r="FB200" i="18" s="1"/>
  <c r="DZ201" i="18"/>
  <c r="DZ202" i="18"/>
  <c r="DZ207" i="18"/>
  <c r="DZ203" i="18"/>
  <c r="DZ205" i="18"/>
  <c r="DZ204" i="18"/>
  <c r="CV167" i="13"/>
  <c r="CV159" i="13"/>
  <c r="CU168" i="13"/>
  <c r="CW142" i="13"/>
  <c r="CW158" i="13"/>
  <c r="EC240" i="2"/>
  <c r="DU85" i="7" s="1"/>
  <c r="EC238" i="2"/>
  <c r="DU83" i="7" s="1"/>
  <c r="EC262" i="2"/>
  <c r="EC231" i="2"/>
  <c r="DU76" i="7" s="1"/>
  <c r="DU86" i="7"/>
  <c r="EB230" i="2"/>
  <c r="DT75" i="7" s="1"/>
  <c r="DT85" i="7"/>
  <c r="DT115" i="7"/>
  <c r="DT106" i="7"/>
  <c r="DU66" i="7"/>
  <c r="FA42" i="7"/>
  <c r="FA66" i="7" s="1"/>
  <c r="EB231" i="2"/>
  <c r="DT76" i="7" s="1"/>
  <c r="DT86" i="7"/>
  <c r="EB228" i="2"/>
  <c r="DT72" i="7" s="1"/>
  <c r="DT83" i="7"/>
  <c r="ET43" i="7"/>
  <c r="FA43" i="7" s="1"/>
  <c r="DS76" i="2"/>
  <c r="CX217" i="2"/>
  <c r="FH66" i="3"/>
  <c r="D6" i="5"/>
  <c r="FH104" i="3"/>
  <c r="FH112" i="3"/>
  <c r="FH60" i="3"/>
  <c r="FH64" i="3" s="1"/>
  <c r="FH58" i="3"/>
  <c r="FH39" i="3"/>
  <c r="ER70" i="3"/>
  <c r="ER81" i="3"/>
  <c r="CX156" i="13" l="1"/>
  <c r="CS95" i="12"/>
  <c r="CS97" i="12"/>
  <c r="DZ67" i="18"/>
  <c r="CS52" i="11"/>
  <c r="CR58" i="12"/>
  <c r="DU42" i="11"/>
  <c r="EB58" i="13"/>
  <c r="DT87" i="11"/>
  <c r="DT96" i="11"/>
  <c r="CY74" i="13"/>
  <c r="CR95" i="12"/>
  <c r="CR97" i="12"/>
  <c r="CR94" i="12"/>
  <c r="CR91" i="12" s="1"/>
  <c r="EB82" i="13"/>
  <c r="EB106" i="13"/>
  <c r="CZ74" i="13"/>
  <c r="FA177" i="18"/>
  <c r="DX175" i="18"/>
  <c r="DY67" i="18"/>
  <c r="DY189" i="18"/>
  <c r="CO147" i="11"/>
  <c r="EA156" i="13"/>
  <c r="DV5" i="11"/>
  <c r="EC5" i="11" s="1"/>
  <c r="CV30" i="11"/>
  <c r="DV30" i="11" s="1"/>
  <c r="EC30" i="11" s="1"/>
  <c r="CU8" i="11"/>
  <c r="EA457" i="2"/>
  <c r="CV12" i="11"/>
  <c r="CV11" i="11" s="1"/>
  <c r="CQ64" i="12"/>
  <c r="DT64" i="12" s="1"/>
  <c r="DT45" i="12"/>
  <c r="DA87" i="13"/>
  <c r="EB71" i="13"/>
  <c r="DY496" i="2"/>
  <c r="CZ110" i="13" s="1"/>
  <c r="DY590" i="2"/>
  <c r="CZ161" i="13" s="1"/>
  <c r="DB49" i="13"/>
  <c r="DA75" i="13"/>
  <c r="EB75" i="13" s="1"/>
  <c r="EB57" i="13"/>
  <c r="DT86" i="11"/>
  <c r="DT95" i="11"/>
  <c r="CZ80" i="13"/>
  <c r="DA83" i="13"/>
  <c r="EB67" i="13"/>
  <c r="CU11" i="11"/>
  <c r="EA139" i="13"/>
  <c r="CU22" i="12"/>
  <c r="DY68" i="15"/>
  <c r="EC10" i="15"/>
  <c r="EC12" i="18" s="1"/>
  <c r="CV7" i="12"/>
  <c r="EA45" i="15"/>
  <c r="FB45" i="15" s="1"/>
  <c r="FB43" i="15" s="1"/>
  <c r="EB12" i="18"/>
  <c r="CS87" i="11"/>
  <c r="DZ469" i="2"/>
  <c r="DZ507" i="2" s="1"/>
  <c r="DZ491" i="2" s="1"/>
  <c r="DA105" i="13" s="1"/>
  <c r="DZ463" i="2"/>
  <c r="DX74" i="15"/>
  <c r="FA74" i="15" s="1"/>
  <c r="FA54" i="15"/>
  <c r="DC51" i="13"/>
  <c r="DA69" i="13"/>
  <c r="EB69" i="13" s="1"/>
  <c r="DZ39" i="15"/>
  <c r="CY129" i="13"/>
  <c r="FJ29" i="18"/>
  <c r="CY102" i="13"/>
  <c r="DX502" i="2"/>
  <c r="CV4" i="12"/>
  <c r="CU21" i="12"/>
  <c r="DZ464" i="2"/>
  <c r="EC228" i="2"/>
  <c r="DU72" i="7" s="1"/>
  <c r="CY133" i="13"/>
  <c r="DB17" i="13"/>
  <c r="DY54" i="15"/>
  <c r="CR45" i="12"/>
  <c r="DD6" i="13"/>
  <c r="EC401" i="2"/>
  <c r="DD20" i="13" s="1"/>
  <c r="CZ137" i="13"/>
  <c r="DY543" i="2"/>
  <c r="DY549" i="2" s="1"/>
  <c r="CZ114" i="13"/>
  <c r="DY87" i="18"/>
  <c r="CY130" i="13"/>
  <c r="CR77" i="11"/>
  <c r="CR64" i="11"/>
  <c r="CY124" i="13"/>
  <c r="CZ104" i="13"/>
  <c r="DY489" i="2"/>
  <c r="EC377" i="2"/>
  <c r="EC395" i="2"/>
  <c r="EC396" i="2"/>
  <c r="DC23" i="13"/>
  <c r="CQ95" i="11"/>
  <c r="CQ86" i="11"/>
  <c r="DA65" i="13"/>
  <c r="EB65" i="13" s="1"/>
  <c r="DZ451" i="2"/>
  <c r="DZ468" i="2"/>
  <c r="DZ506" i="2" s="1"/>
  <c r="CX127" i="13"/>
  <c r="EA127" i="13" s="1"/>
  <c r="CX121" i="13"/>
  <c r="EA121" i="13" s="1"/>
  <c r="CQ79" i="11"/>
  <c r="DT79" i="11" s="1"/>
  <c r="CT70" i="11"/>
  <c r="DU70" i="11" s="1"/>
  <c r="CT65" i="11"/>
  <c r="DU65" i="11" s="1"/>
  <c r="CZ115" i="13"/>
  <c r="DC108" i="13"/>
  <c r="EB493" i="2"/>
  <c r="DC107" i="13" s="1"/>
  <c r="CV49" i="12" s="1"/>
  <c r="DX114" i="18"/>
  <c r="DX105" i="18"/>
  <c r="FA105" i="18" s="1"/>
  <c r="DB108" i="13"/>
  <c r="EA493" i="2"/>
  <c r="DB107" i="13" s="1"/>
  <c r="EB546" i="2"/>
  <c r="DC136" i="13" s="1"/>
  <c r="EB498" i="2"/>
  <c r="DC113" i="13" s="1"/>
  <c r="CV74" i="11" s="1"/>
  <c r="EB497" i="2"/>
  <c r="DC112" i="13" s="1"/>
  <c r="CV73" i="11" s="1"/>
  <c r="EB544" i="2"/>
  <c r="DC134" i="13" s="1"/>
  <c r="CV73" i="12" s="1"/>
  <c r="EB19" i="15"/>
  <c r="CU24" i="11"/>
  <c r="EB31" i="18"/>
  <c r="EA544" i="2"/>
  <c r="DB134" i="13" s="1"/>
  <c r="EA546" i="2"/>
  <c r="DB136" i="13" s="1"/>
  <c r="EA498" i="2"/>
  <c r="DB113" i="13" s="1"/>
  <c r="EA497" i="2"/>
  <c r="DB112" i="13" s="1"/>
  <c r="DB18" i="13"/>
  <c r="EA398" i="2"/>
  <c r="EA423" i="2"/>
  <c r="EA417" i="2"/>
  <c r="EA439" i="2" s="1"/>
  <c r="DX80" i="15"/>
  <c r="CQ70" i="12"/>
  <c r="CQ102" i="11"/>
  <c r="DT102" i="11" s="1"/>
  <c r="CX139" i="13"/>
  <c r="EB429" i="2"/>
  <c r="DC36" i="13"/>
  <c r="DA60" i="13"/>
  <c r="DZ465" i="2"/>
  <c r="DC22" i="13"/>
  <c r="EB399" i="2"/>
  <c r="EA208" i="18"/>
  <c r="FB208" i="18" s="1"/>
  <c r="EC6" i="15"/>
  <c r="CS45" i="11"/>
  <c r="CZ62" i="13"/>
  <c r="DC25" i="13"/>
  <c r="DC29" i="13"/>
  <c r="CV14" i="12"/>
  <c r="CZ138" i="13"/>
  <c r="CZ116" i="13"/>
  <c r="DB43" i="13"/>
  <c r="EA201" i="18"/>
  <c r="FB201" i="18" s="1"/>
  <c r="EA203" i="18"/>
  <c r="FB203" i="18" s="1"/>
  <c r="EA207" i="18"/>
  <c r="FB207" i="18" s="1"/>
  <c r="EA202" i="18"/>
  <c r="FB202" i="18" s="1"/>
  <c r="EA205" i="18"/>
  <c r="FB205" i="18" s="1"/>
  <c r="EA206" i="18"/>
  <c r="FB206" i="18" s="1"/>
  <c r="EB753" i="2"/>
  <c r="EB200" i="18"/>
  <c r="EA204" i="18"/>
  <c r="FB204" i="18" s="1"/>
  <c r="CW159" i="13"/>
  <c r="CW167" i="13"/>
  <c r="CV168" i="13"/>
  <c r="EC230" i="2"/>
  <c r="DU75" i="7" s="1"/>
  <c r="ET86" i="7"/>
  <c r="FA86" i="7" s="1"/>
  <c r="ET76" i="7"/>
  <c r="FA76" i="7" s="1"/>
  <c r="ET85" i="7"/>
  <c r="FA85" i="7" s="1"/>
  <c r="ET83" i="7"/>
  <c r="FA83" i="7" s="1"/>
  <c r="DU115" i="7"/>
  <c r="DU106" i="7"/>
  <c r="DT76" i="2"/>
  <c r="CY217" i="2"/>
  <c r="FH81" i="3"/>
  <c r="FH70" i="3"/>
  <c r="D17" i="5" s="1"/>
  <c r="ER82" i="3"/>
  <c r="ER100" i="3"/>
  <c r="CS55" i="11" l="1"/>
  <c r="DY488" i="2"/>
  <c r="CZ165" i="13"/>
  <c r="CR55" i="11"/>
  <c r="CY165" i="13"/>
  <c r="CY155" i="13"/>
  <c r="CY162" i="13"/>
  <c r="DB48" i="13"/>
  <c r="DA76" i="13"/>
  <c r="CU37" i="11"/>
  <c r="CU39" i="12"/>
  <c r="DY75" i="18"/>
  <c r="DZ75" i="18"/>
  <c r="DX190" i="18"/>
  <c r="FA175" i="18"/>
  <c r="EB87" i="13"/>
  <c r="DA85" i="13"/>
  <c r="EB85" i="13" s="1"/>
  <c r="CS137" i="11"/>
  <c r="CS108" i="12"/>
  <c r="DZ120" i="15"/>
  <c r="EB83" i="13"/>
  <c r="DA77" i="13"/>
  <c r="CZ162" i="13"/>
  <c r="CT69" i="11"/>
  <c r="DU69" i="11" s="1"/>
  <c r="EB105" i="13"/>
  <c r="DC49" i="13"/>
  <c r="DC48" i="13" s="1"/>
  <c r="CR102" i="11"/>
  <c r="CU20" i="11"/>
  <c r="CR64" i="12"/>
  <c r="CU36" i="11"/>
  <c r="CU38" i="12"/>
  <c r="CW6" i="11"/>
  <c r="DV6" i="11" s="1"/>
  <c r="EC6" i="11" s="1"/>
  <c r="EC6" i="13"/>
  <c r="EJ6" i="13" s="1"/>
  <c r="CW18" i="11"/>
  <c r="DV18" i="11" s="1"/>
  <c r="EC18" i="11" s="1"/>
  <c r="EC20" i="13"/>
  <c r="EJ20" i="13" s="1"/>
  <c r="CS58" i="12"/>
  <c r="DZ68" i="15" s="1"/>
  <c r="EA128" i="13"/>
  <c r="EA122" i="13"/>
  <c r="CU23" i="11"/>
  <c r="CQ82" i="12"/>
  <c r="DT70" i="12"/>
  <c r="DA78" i="13"/>
  <c r="EB78" i="13" s="1"/>
  <c r="EB60" i="13"/>
  <c r="CU60" i="11"/>
  <c r="CV21" i="12"/>
  <c r="EA43" i="15"/>
  <c r="EA80" i="18"/>
  <c r="FB80" i="18" s="1"/>
  <c r="DX93" i="15"/>
  <c r="FA80" i="15"/>
  <c r="DY74" i="15"/>
  <c r="DY80" i="15"/>
  <c r="EC82" i="15"/>
  <c r="CY139" i="13"/>
  <c r="CR70" i="12"/>
  <c r="CV105" i="11"/>
  <c r="DZ461" i="2"/>
  <c r="EC419" i="2"/>
  <c r="DD35" i="13" s="1"/>
  <c r="EC35" i="13" s="1"/>
  <c r="EJ35" i="13" s="1"/>
  <c r="EC425" i="2"/>
  <c r="DD41" i="13" s="1"/>
  <c r="EC41" i="13" s="1"/>
  <c r="EJ41" i="13" s="1"/>
  <c r="CV51" i="12"/>
  <c r="CV52" i="12"/>
  <c r="EC60" i="15"/>
  <c r="EC59" i="15"/>
  <c r="CR79" i="11"/>
  <c r="CY127" i="13"/>
  <c r="CY121" i="13"/>
  <c r="DX140" i="18"/>
  <c r="FA140" i="18" s="1"/>
  <c r="FA114" i="18"/>
  <c r="DD14" i="13"/>
  <c r="EC14" i="13" s="1"/>
  <c r="EJ14" i="13" s="1"/>
  <c r="EC391" i="2"/>
  <c r="DD10" i="13" s="1"/>
  <c r="EC10" i="13" s="1"/>
  <c r="EJ10" i="13" s="1"/>
  <c r="EC408" i="2"/>
  <c r="EC435" i="2" s="1"/>
  <c r="DA56" i="13"/>
  <c r="EB56" i="13" s="1"/>
  <c r="DZ87" i="18"/>
  <c r="CZ130" i="13"/>
  <c r="CS77" i="11"/>
  <c r="CS64" i="11"/>
  <c r="CZ124" i="13"/>
  <c r="DB33" i="13"/>
  <c r="EA416" i="2"/>
  <c r="EA444" i="2" s="1"/>
  <c r="CX122" i="13"/>
  <c r="CQ89" i="11"/>
  <c r="DT89" i="11" s="1"/>
  <c r="DY114" i="18"/>
  <c r="DY105" i="18"/>
  <c r="DB39" i="13"/>
  <c r="EA422" i="2"/>
  <c r="CX141" i="13"/>
  <c r="EA141" i="13" s="1"/>
  <c r="CQ98" i="11"/>
  <c r="CX128" i="13"/>
  <c r="DC17" i="13"/>
  <c r="CV20" i="11" s="1"/>
  <c r="CV33" i="11" s="1"/>
  <c r="EB15" i="15"/>
  <c r="CU11" i="12"/>
  <c r="DZ505" i="2"/>
  <c r="DZ490" i="2"/>
  <c r="DD15" i="13"/>
  <c r="EC15" i="13" s="1"/>
  <c r="EJ15" i="13" s="1"/>
  <c r="EC392" i="2"/>
  <c r="EC409" i="2"/>
  <c r="EC436" i="2" s="1"/>
  <c r="CZ133" i="13"/>
  <c r="CT25" i="12"/>
  <c r="DA64" i="13"/>
  <c r="EB64" i="13" s="1"/>
  <c r="DA81" i="13"/>
  <c r="DD4" i="13"/>
  <c r="EC4" i="13" s="1"/>
  <c r="EJ4" i="13" s="1"/>
  <c r="EC380" i="2"/>
  <c r="EC376" i="2" s="1"/>
  <c r="EA33" i="15"/>
  <c r="DC44" i="13"/>
  <c r="EB428" i="2"/>
  <c r="CU73" i="11"/>
  <c r="EB59" i="15"/>
  <c r="CU51" i="12"/>
  <c r="CZ103" i="13"/>
  <c r="CZ129" i="13"/>
  <c r="CZ123" i="13"/>
  <c r="DZ54" i="15"/>
  <c r="DZ74" i="15" s="1"/>
  <c r="CS45" i="12"/>
  <c r="CS64" i="12" s="1"/>
  <c r="DB70" i="13"/>
  <c r="EA456" i="2"/>
  <c r="EA473" i="2"/>
  <c r="EA511" i="2" s="1"/>
  <c r="EB28" i="15"/>
  <c r="EB27" i="18"/>
  <c r="CU52" i="12"/>
  <c r="CU74" i="11"/>
  <c r="EB60" i="15"/>
  <c r="CV71" i="11"/>
  <c r="DC18" i="13"/>
  <c r="EB398" i="2"/>
  <c r="EB423" i="2"/>
  <c r="EB417" i="2"/>
  <c r="EB439" i="2" s="1"/>
  <c r="CR95" i="11"/>
  <c r="CR86" i="11"/>
  <c r="DB71" i="13"/>
  <c r="EA474" i="2"/>
  <c r="EA512" i="2" s="1"/>
  <c r="EC19" i="15"/>
  <c r="CV24" i="11"/>
  <c r="CV23" i="11" s="1"/>
  <c r="EC31" i="18"/>
  <c r="EB82" i="15"/>
  <c r="CU105" i="11"/>
  <c r="CU73" i="12"/>
  <c r="CU49" i="12"/>
  <c r="CU71" i="11"/>
  <c r="EB203" i="18"/>
  <c r="ET75" i="7"/>
  <c r="FA75" i="7" s="1"/>
  <c r="EB201" i="18"/>
  <c r="EB207" i="18"/>
  <c r="EB208" i="18"/>
  <c r="EB202" i="18"/>
  <c r="EB204" i="18"/>
  <c r="EC753" i="2"/>
  <c r="ED200" i="18" s="1"/>
  <c r="EC200" i="18"/>
  <c r="EB206" i="18"/>
  <c r="EB205" i="18"/>
  <c r="CW168" i="13"/>
  <c r="ET106" i="7"/>
  <c r="FA106" i="7" s="1"/>
  <c r="ET115" i="7"/>
  <c r="FA115" i="7" s="1"/>
  <c r="DU76" i="2"/>
  <c r="CZ217" i="2"/>
  <c r="FH82" i="3"/>
  <c r="FH100" i="3"/>
  <c r="ER101" i="3"/>
  <c r="ER106" i="3"/>
  <c r="CZ102" i="13" l="1"/>
  <c r="DY502" i="2"/>
  <c r="CT52" i="11"/>
  <c r="DU52" i="11" s="1"/>
  <c r="CT95" i="12"/>
  <c r="DU95" i="12" s="1"/>
  <c r="CV39" i="12"/>
  <c r="CV38" i="12" s="1"/>
  <c r="CW31" i="11"/>
  <c r="DV31" i="11" s="1"/>
  <c r="EC31" i="11" s="1"/>
  <c r="DY108" i="15"/>
  <c r="CR88" i="12"/>
  <c r="CR99" i="12"/>
  <c r="CZ155" i="13"/>
  <c r="DY99" i="15"/>
  <c r="CY144" i="13"/>
  <c r="CR128" i="11"/>
  <c r="DY162" i="18"/>
  <c r="EB76" i="13"/>
  <c r="CT97" i="12"/>
  <c r="DU97" i="12" s="1"/>
  <c r="CV37" i="11"/>
  <c r="CV36" i="11" s="1"/>
  <c r="CV60" i="11" s="1"/>
  <c r="EA67" i="18"/>
  <c r="DA74" i="13"/>
  <c r="EB74" i="13" s="1"/>
  <c r="CT94" i="12"/>
  <c r="EB77" i="13"/>
  <c r="CT53" i="11"/>
  <c r="DA131" i="13"/>
  <c r="DA125" i="13"/>
  <c r="FA190" i="18"/>
  <c r="DX189" i="18"/>
  <c r="FA189" i="18" s="1"/>
  <c r="CS136" i="11"/>
  <c r="CS107" i="12"/>
  <c r="DZ117" i="15"/>
  <c r="DZ177" i="18" s="1"/>
  <c r="DZ175" i="18" s="1"/>
  <c r="DZ190" i="18" s="1"/>
  <c r="EB125" i="13"/>
  <c r="EB131" i="13"/>
  <c r="CU33" i="11"/>
  <c r="DT82" i="12"/>
  <c r="CQ103" i="12"/>
  <c r="EB165" i="13"/>
  <c r="CR82" i="12"/>
  <c r="DZ570" i="2"/>
  <c r="DZ590" i="2"/>
  <c r="DA161" i="13" s="1"/>
  <c r="EB62" i="13"/>
  <c r="EA142" i="13"/>
  <c r="CQ113" i="11"/>
  <c r="DT98" i="11"/>
  <c r="CU18" i="12"/>
  <c r="CT31" i="12"/>
  <c r="DU31" i="12" s="1"/>
  <c r="DU25" i="12"/>
  <c r="DA80" i="13"/>
  <c r="EB80" i="13" s="1"/>
  <c r="EB81" i="13"/>
  <c r="DB87" i="13"/>
  <c r="DY93" i="15"/>
  <c r="EB48" i="15"/>
  <c r="EB45" i="15" s="1"/>
  <c r="EB458" i="2"/>
  <c r="EB457" i="2"/>
  <c r="EA39" i="15"/>
  <c r="FB39" i="15" s="1"/>
  <c r="FB33" i="15"/>
  <c r="EB24" i="15"/>
  <c r="DZ547" i="2"/>
  <c r="DX114" i="15"/>
  <c r="FA93" i="15"/>
  <c r="DZ548" i="2"/>
  <c r="DZ543" i="2" s="1"/>
  <c r="DZ549" i="2" s="1"/>
  <c r="DZ499" i="2"/>
  <c r="DZ500" i="2"/>
  <c r="DZ496" i="2"/>
  <c r="DA110" i="13" s="1"/>
  <c r="EB110" i="13" s="1"/>
  <c r="DZ501" i="2"/>
  <c r="DA116" i="13" s="1"/>
  <c r="EB116" i="13" s="1"/>
  <c r="DD13" i="13"/>
  <c r="CY122" i="13"/>
  <c r="CR89" i="11"/>
  <c r="CR98" i="11"/>
  <c r="CY141" i="13"/>
  <c r="CY128" i="13"/>
  <c r="EA510" i="2"/>
  <c r="FC200" i="18"/>
  <c r="FJ200" i="18" s="1"/>
  <c r="DY140" i="18"/>
  <c r="DC70" i="13"/>
  <c r="EB473" i="2"/>
  <c r="EB511" i="2" s="1"/>
  <c r="DD50" i="13"/>
  <c r="EC50" i="13" s="1"/>
  <c r="EJ50" i="13" s="1"/>
  <c r="EC494" i="2"/>
  <c r="EC434" i="2"/>
  <c r="EB456" i="2"/>
  <c r="DB32" i="13"/>
  <c r="DB54" i="13"/>
  <c r="DA114" i="13"/>
  <c r="EB114" i="13" s="1"/>
  <c r="DC39" i="13"/>
  <c r="EB422" i="2"/>
  <c r="DC43" i="13"/>
  <c r="DZ80" i="15"/>
  <c r="DZ93" i="15" s="1"/>
  <c r="CS70" i="12"/>
  <c r="CS82" i="12" s="1"/>
  <c r="CS102" i="11"/>
  <c r="CZ139" i="13"/>
  <c r="DA115" i="13"/>
  <c r="EB115" i="13" s="1"/>
  <c r="EC15" i="15"/>
  <c r="EC24" i="15" s="1"/>
  <c r="CV11" i="12"/>
  <c r="CV18" i="12" s="1"/>
  <c r="EA447" i="2"/>
  <c r="EA445" i="2"/>
  <c r="EA446" i="2"/>
  <c r="EA448" i="2"/>
  <c r="DD51" i="13"/>
  <c r="EC51" i="13" s="1"/>
  <c r="EJ51" i="13" s="1"/>
  <c r="EC495" i="2"/>
  <c r="DD109" i="13" s="1"/>
  <c r="EC109" i="13" s="1"/>
  <c r="EJ109" i="13" s="1"/>
  <c r="CX158" i="13"/>
  <c r="EA158" i="13" s="1"/>
  <c r="CX142" i="13"/>
  <c r="CS95" i="11"/>
  <c r="CS86" i="11"/>
  <c r="DA137" i="13"/>
  <c r="EB137" i="13" s="1"/>
  <c r="DD27" i="13"/>
  <c r="EC27" i="13" s="1"/>
  <c r="EC405" i="2"/>
  <c r="DD23" i="13" s="1"/>
  <c r="EC23" i="13" s="1"/>
  <c r="EJ23" i="13" s="1"/>
  <c r="EB32" i="18"/>
  <c r="EB43" i="18"/>
  <c r="DD7" i="13"/>
  <c r="EC420" i="2"/>
  <c r="EC426" i="2"/>
  <c r="DD11" i="13"/>
  <c r="EC11" i="13" s="1"/>
  <c r="EJ11" i="13" s="1"/>
  <c r="EA453" i="2"/>
  <c r="EA454" i="2"/>
  <c r="EA452" i="2"/>
  <c r="DB38" i="13"/>
  <c r="DZ105" i="18"/>
  <c r="DZ114" i="18"/>
  <c r="DZ140" i="18" s="1"/>
  <c r="DA104" i="13"/>
  <c r="EB104" i="13" s="1"/>
  <c r="DZ489" i="2"/>
  <c r="DZ488" i="2" s="1"/>
  <c r="DA62" i="13"/>
  <c r="CT45" i="11"/>
  <c r="DU45" i="11" s="1"/>
  <c r="DC33" i="13"/>
  <c r="EB416" i="2"/>
  <c r="EB444" i="2" s="1"/>
  <c r="DD26" i="13"/>
  <c r="EC26" i="13" s="1"/>
  <c r="EC407" i="2"/>
  <c r="EC404" i="2"/>
  <c r="EC28" i="15"/>
  <c r="EC48" i="15" s="1"/>
  <c r="EC27" i="18"/>
  <c r="DB69" i="13"/>
  <c r="DB86" i="13"/>
  <c r="EC207" i="18"/>
  <c r="ED207" i="18" s="1"/>
  <c r="EC202" i="18"/>
  <c r="ED202" i="18" s="1"/>
  <c r="EC206" i="18"/>
  <c r="ED206" i="18" s="1"/>
  <c r="EC204" i="18"/>
  <c r="ED204" i="18" s="1"/>
  <c r="EC208" i="18"/>
  <c r="ED208" i="18" s="1"/>
  <c r="EC203" i="18"/>
  <c r="ED203" i="18" s="1"/>
  <c r="EC205" i="18"/>
  <c r="ED205" i="18" s="1"/>
  <c r="EC201" i="18"/>
  <c r="ED201" i="18" s="1"/>
  <c r="DV76" i="2"/>
  <c r="DA217" i="2"/>
  <c r="FH106" i="3"/>
  <c r="FH101" i="3"/>
  <c r="ER107" i="3"/>
  <c r="ER114" i="3"/>
  <c r="ER115" i="3" s="1"/>
  <c r="CZ121" i="13" l="1"/>
  <c r="DU94" i="12"/>
  <c r="CS79" i="11"/>
  <c r="DY114" i="15"/>
  <c r="CZ127" i="13"/>
  <c r="CT91" i="12"/>
  <c r="DU91" i="12" s="1"/>
  <c r="DZ162" i="18"/>
  <c r="DZ108" i="15"/>
  <c r="CS99" i="12"/>
  <c r="CS128" i="11"/>
  <c r="CS88" i="12"/>
  <c r="CS103" i="12" s="1"/>
  <c r="CS118" i="12" s="1"/>
  <c r="CZ144" i="13"/>
  <c r="DZ99" i="15"/>
  <c r="DZ114" i="15" s="1"/>
  <c r="DZ132" i="15" s="1"/>
  <c r="CY156" i="13"/>
  <c r="CR118" i="11"/>
  <c r="FB67" i="18"/>
  <c r="FB75" i="18" s="1"/>
  <c r="EA75" i="18"/>
  <c r="CT87" i="11"/>
  <c r="CT96" i="11"/>
  <c r="DU53" i="11"/>
  <c r="CT55" i="11"/>
  <c r="DU55" i="11" s="1"/>
  <c r="DA155" i="13"/>
  <c r="CT88" i="12" s="1"/>
  <c r="DA165" i="13"/>
  <c r="DZ189" i="18"/>
  <c r="DT103" i="12"/>
  <c r="CQ118" i="12"/>
  <c r="DT118" i="12" s="1"/>
  <c r="CR103" i="12"/>
  <c r="DA162" i="13"/>
  <c r="EB161" i="13"/>
  <c r="CT108" i="12"/>
  <c r="CT137" i="11"/>
  <c r="EA120" i="15"/>
  <c r="DT113" i="11"/>
  <c r="CQ132" i="11"/>
  <c r="CT99" i="12"/>
  <c r="DU99" i="12" s="1"/>
  <c r="EB155" i="13"/>
  <c r="EB124" i="13"/>
  <c r="EB130" i="13"/>
  <c r="CW12" i="11"/>
  <c r="EC13" i="13"/>
  <c r="EJ13" i="13" s="1"/>
  <c r="CR113" i="11"/>
  <c r="DC86" i="13"/>
  <c r="EA159" i="13"/>
  <c r="EC30" i="13"/>
  <c r="EJ27" i="13"/>
  <c r="EJ30" i="13" s="1"/>
  <c r="ED6" i="15"/>
  <c r="FC6" i="15" s="1"/>
  <c r="FJ6" i="15" s="1"/>
  <c r="EC7" i="13"/>
  <c r="EJ7" i="13" s="1"/>
  <c r="EB123" i="13"/>
  <c r="EB129" i="13"/>
  <c r="EJ26" i="13"/>
  <c r="EJ29" i="13" s="1"/>
  <c r="EC29" i="13"/>
  <c r="DB85" i="13"/>
  <c r="CW7" i="12"/>
  <c r="DV7" i="12" s="1"/>
  <c r="EC7" i="12" s="1"/>
  <c r="ED10" i="15"/>
  <c r="ED12" i="18" s="1"/>
  <c r="FC12" i="18" s="1"/>
  <c r="FJ12" i="18" s="1"/>
  <c r="DA138" i="13"/>
  <c r="DX132" i="15"/>
  <c r="FA132" i="15" s="1"/>
  <c r="FA114" i="15"/>
  <c r="DD3" i="13"/>
  <c r="CT58" i="12"/>
  <c r="EB43" i="15"/>
  <c r="EB80" i="18"/>
  <c r="EC45" i="15"/>
  <c r="CY142" i="13"/>
  <c r="CY158" i="13"/>
  <c r="EB445" i="2"/>
  <c r="DD49" i="13"/>
  <c r="FC201" i="18"/>
  <c r="FJ201" i="18" s="1"/>
  <c r="FC208" i="18"/>
  <c r="FJ208" i="18" s="1"/>
  <c r="FC206" i="18"/>
  <c r="FJ206" i="18" s="1"/>
  <c r="FC203" i="18"/>
  <c r="FJ203" i="18" s="1"/>
  <c r="FC202" i="18"/>
  <c r="FJ202" i="18" s="1"/>
  <c r="FC207" i="18"/>
  <c r="FJ207" i="18" s="1"/>
  <c r="FC204" i="18"/>
  <c r="FJ204" i="18" s="1"/>
  <c r="FC205" i="18"/>
  <c r="FJ205" i="18" s="1"/>
  <c r="DD22" i="13"/>
  <c r="EC399" i="2"/>
  <c r="DZ502" i="2"/>
  <c r="DA102" i="13"/>
  <c r="EB102" i="13" s="1"/>
  <c r="EA87" i="18"/>
  <c r="FB87" i="18" s="1"/>
  <c r="DA124" i="13"/>
  <c r="CT77" i="11"/>
  <c r="DU77" i="11" s="1"/>
  <c r="DA130" i="13"/>
  <c r="CT64" i="11"/>
  <c r="DU64" i="11" s="1"/>
  <c r="EA54" i="15"/>
  <c r="DA103" i="13"/>
  <c r="EB103" i="13" s="1"/>
  <c r="CT45" i="12"/>
  <c r="DA123" i="13"/>
  <c r="DA129" i="13"/>
  <c r="DB60" i="13"/>
  <c r="EB448" i="2"/>
  <c r="EA465" i="2"/>
  <c r="DC71" i="13"/>
  <c r="EB474" i="2"/>
  <c r="EB512" i="2" s="1"/>
  <c r="EB510" i="2" s="1"/>
  <c r="DB65" i="13"/>
  <c r="EA451" i="2"/>
  <c r="EB452" i="2"/>
  <c r="EA468" i="2"/>
  <c r="EA506" i="2" s="1"/>
  <c r="DB58" i="13"/>
  <c r="EA463" i="2"/>
  <c r="EB446" i="2"/>
  <c r="DB67" i="13"/>
  <c r="EB454" i="2"/>
  <c r="EA470" i="2"/>
  <c r="EA508" i="2" s="1"/>
  <c r="EA492" i="2" s="1"/>
  <c r="DB106" i="13" s="1"/>
  <c r="CW15" i="12"/>
  <c r="DD30" i="13"/>
  <c r="DB57" i="13"/>
  <c r="EA462" i="2"/>
  <c r="DC54" i="13"/>
  <c r="DC32" i="13"/>
  <c r="DB66" i="13"/>
  <c r="EB453" i="2"/>
  <c r="EA469" i="2"/>
  <c r="EA507" i="2" s="1"/>
  <c r="EA491" i="2" s="1"/>
  <c r="DB105" i="13" s="1"/>
  <c r="DB59" i="13"/>
  <c r="EB447" i="2"/>
  <c r="EA464" i="2"/>
  <c r="EC546" i="2"/>
  <c r="DD136" i="13" s="1"/>
  <c r="EC136" i="13" s="1"/>
  <c r="EJ136" i="13" s="1"/>
  <c r="EC498" i="2"/>
  <c r="DD113" i="13" s="1"/>
  <c r="EC113" i="13" s="1"/>
  <c r="EJ113" i="13" s="1"/>
  <c r="EC497" i="2"/>
  <c r="DD112" i="13" s="1"/>
  <c r="EC112" i="13" s="1"/>
  <c r="EJ112" i="13" s="1"/>
  <c r="EC544" i="2"/>
  <c r="EC429" i="2"/>
  <c r="DD108" i="13"/>
  <c r="EC108" i="13" s="1"/>
  <c r="EJ108" i="13" s="1"/>
  <c r="EC493" i="2"/>
  <c r="DD107" i="13" s="1"/>
  <c r="EC107" i="13" s="1"/>
  <c r="EJ107" i="13" s="1"/>
  <c r="EC32" i="18"/>
  <c r="EC43" i="18"/>
  <c r="CW4" i="12"/>
  <c r="DV4" i="12" s="1"/>
  <c r="EC4" i="12" s="1"/>
  <c r="DC38" i="13"/>
  <c r="DD36" i="13"/>
  <c r="EC36" i="13" s="1"/>
  <c r="EJ36" i="13" s="1"/>
  <c r="DD25" i="13"/>
  <c r="EC25" i="13" s="1"/>
  <c r="EJ25" i="13" s="1"/>
  <c r="DD29" i="13"/>
  <c r="CW14" i="12"/>
  <c r="CX167" i="13"/>
  <c r="CX159" i="13"/>
  <c r="DW76" i="2"/>
  <c r="DB217" i="2"/>
  <c r="FH107" i="3"/>
  <c r="FH114" i="3"/>
  <c r="FH115" i="3" s="1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DJ110" i="3"/>
  <c r="DK110" i="3"/>
  <c r="DL110" i="3"/>
  <c r="DM110" i="3"/>
  <c r="DN110" i="3"/>
  <c r="DO110" i="3"/>
  <c r="DP110" i="3"/>
  <c r="DQ110" i="3"/>
  <c r="DR110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DJ111" i="3"/>
  <c r="DK111" i="3"/>
  <c r="DL111" i="3"/>
  <c r="DM111" i="3"/>
  <c r="DN111" i="3"/>
  <c r="DO111" i="3"/>
  <c r="DP111" i="3"/>
  <c r="DQ111" i="3"/>
  <c r="DR111" i="3"/>
  <c r="DU88" i="12" l="1"/>
  <c r="DY132" i="15"/>
  <c r="CZ128" i="13"/>
  <c r="CS89" i="11"/>
  <c r="CS98" i="11"/>
  <c r="CS113" i="11" s="1"/>
  <c r="CZ141" i="13"/>
  <c r="CZ122" i="13"/>
  <c r="CZ156" i="13"/>
  <c r="CS118" i="11"/>
  <c r="CS132" i="11" s="1"/>
  <c r="CS147" i="11" s="1"/>
  <c r="DU96" i="11"/>
  <c r="DU87" i="11"/>
  <c r="EA108" i="15"/>
  <c r="FB108" i="15" s="1"/>
  <c r="EA162" i="18"/>
  <c r="FB162" i="18" s="1"/>
  <c r="EA99" i="15"/>
  <c r="FB99" i="15" s="1"/>
  <c r="CT128" i="11"/>
  <c r="DU128" i="11" s="1"/>
  <c r="DA144" i="13"/>
  <c r="CR118" i="12"/>
  <c r="EB162" i="13"/>
  <c r="DU108" i="12"/>
  <c r="CT107" i="12"/>
  <c r="DU107" i="12" s="1"/>
  <c r="DU137" i="11"/>
  <c r="CT136" i="11"/>
  <c r="DU136" i="11" s="1"/>
  <c r="FB120" i="15"/>
  <c r="EA117" i="15"/>
  <c r="DT132" i="11"/>
  <c r="CQ147" i="11"/>
  <c r="DT147" i="11" s="1"/>
  <c r="DV12" i="11"/>
  <c r="EC12" i="11" s="1"/>
  <c r="CW11" i="11"/>
  <c r="DV11" i="11" s="1"/>
  <c r="EC11" i="11" s="1"/>
  <c r="CR132" i="11"/>
  <c r="DA133" i="13"/>
  <c r="EB133" i="13" s="1"/>
  <c r="EB138" i="13"/>
  <c r="CW8" i="11"/>
  <c r="DV8" i="11" s="1"/>
  <c r="EC8" i="11" s="1"/>
  <c r="EC3" i="13"/>
  <c r="EJ3" i="13" s="1"/>
  <c r="EA68" i="15"/>
  <c r="FB68" i="15" s="1"/>
  <c r="DU58" i="12"/>
  <c r="DD48" i="13"/>
  <c r="EC48" i="13" s="1"/>
  <c r="EJ48" i="13" s="1"/>
  <c r="EC49" i="13"/>
  <c r="EJ49" i="13" s="1"/>
  <c r="DD17" i="13"/>
  <c r="EC22" i="13"/>
  <c r="EJ22" i="13" s="1"/>
  <c r="DU95" i="11"/>
  <c r="DU86" i="11"/>
  <c r="CT64" i="12"/>
  <c r="DU64" i="12" s="1"/>
  <c r="DU45" i="12"/>
  <c r="DB78" i="13"/>
  <c r="DC87" i="13"/>
  <c r="CU42" i="11"/>
  <c r="DB83" i="13"/>
  <c r="CW22" i="12"/>
  <c r="DV22" i="12" s="1"/>
  <c r="EC22" i="12" s="1"/>
  <c r="DV15" i="12"/>
  <c r="EC15" i="12" s="1"/>
  <c r="DB82" i="13"/>
  <c r="CU43" i="11"/>
  <c r="CW21" i="12"/>
  <c r="DV21" i="12" s="1"/>
  <c r="EC21" i="12" s="1"/>
  <c r="DV14" i="12"/>
  <c r="EC14" i="12" s="1"/>
  <c r="CX168" i="13"/>
  <c r="EA167" i="13"/>
  <c r="FC10" i="15"/>
  <c r="FJ10" i="15" s="1"/>
  <c r="EA74" i="15"/>
  <c r="FB74" i="15" s="1"/>
  <c r="FB54" i="15"/>
  <c r="EC80" i="18"/>
  <c r="EC43" i="15"/>
  <c r="CW39" i="12"/>
  <c r="CW37" i="11"/>
  <c r="DC69" i="13"/>
  <c r="DC57" i="13"/>
  <c r="EB462" i="2"/>
  <c r="CY159" i="13"/>
  <c r="CY167" i="13"/>
  <c r="CU65" i="11"/>
  <c r="CU70" i="11"/>
  <c r="EA490" i="2"/>
  <c r="EA505" i="2"/>
  <c r="DC65" i="13"/>
  <c r="EB451" i="2"/>
  <c r="EB468" i="2"/>
  <c r="EB506" i="2" s="1"/>
  <c r="EA114" i="18"/>
  <c r="EA105" i="18"/>
  <c r="FB105" i="18" s="1"/>
  <c r="DC60" i="13"/>
  <c r="EB465" i="2"/>
  <c r="CU69" i="11"/>
  <c r="DC66" i="13"/>
  <c r="DC82" i="13" s="1"/>
  <c r="EB469" i="2"/>
  <c r="EB507" i="2" s="1"/>
  <c r="EB491" i="2" s="1"/>
  <c r="DC105" i="13" s="1"/>
  <c r="DB64" i="13"/>
  <c r="DB81" i="13"/>
  <c r="DA121" i="13"/>
  <c r="EB121" i="13" s="1"/>
  <c r="CT79" i="11"/>
  <c r="DU79" i="11" s="1"/>
  <c r="DA127" i="13"/>
  <c r="EB127" i="13" s="1"/>
  <c r="DC67" i="13"/>
  <c r="DC83" i="13" s="1"/>
  <c r="DC77" i="13" s="1"/>
  <c r="EB470" i="2"/>
  <c r="EB508" i="2" s="1"/>
  <c r="EB492" i="2" s="1"/>
  <c r="DC106" i="13" s="1"/>
  <c r="CW49" i="12"/>
  <c r="DV49" i="12" s="1"/>
  <c r="EC49" i="12" s="1"/>
  <c r="CW71" i="11"/>
  <c r="DV71" i="11" s="1"/>
  <c r="EC71" i="11" s="1"/>
  <c r="ED19" i="15"/>
  <c r="FC19" i="15" s="1"/>
  <c r="FJ19" i="15" s="1"/>
  <c r="CW24" i="11"/>
  <c r="ED31" i="18"/>
  <c r="FC31" i="18" s="1"/>
  <c r="FJ31" i="18" s="1"/>
  <c r="DC59" i="13"/>
  <c r="CV43" i="11" s="1"/>
  <c r="EB464" i="2"/>
  <c r="DD44" i="13"/>
  <c r="EC44" i="13" s="1"/>
  <c r="EJ44" i="13" s="1"/>
  <c r="EC428" i="2"/>
  <c r="DD134" i="13"/>
  <c r="EC134" i="13" s="1"/>
  <c r="EJ134" i="13" s="1"/>
  <c r="CW51" i="12"/>
  <c r="DV51" i="12" s="1"/>
  <c r="EC51" i="12" s="1"/>
  <c r="CW73" i="11"/>
  <c r="DV73" i="11" s="1"/>
  <c r="EC73" i="11" s="1"/>
  <c r="ED59" i="15"/>
  <c r="FC59" i="15" s="1"/>
  <c r="FJ59" i="15" s="1"/>
  <c r="EA461" i="2"/>
  <c r="EA590" i="2" s="1"/>
  <c r="DB161" i="13" s="1"/>
  <c r="DC58" i="13"/>
  <c r="EB463" i="2"/>
  <c r="DD18" i="13"/>
  <c r="EC18" i="13" s="1"/>
  <c r="EJ18" i="13" s="1"/>
  <c r="EC398" i="2"/>
  <c r="EC423" i="2"/>
  <c r="EC417" i="2"/>
  <c r="EC439" i="2" s="1"/>
  <c r="ED60" i="15"/>
  <c r="FC60" i="15" s="1"/>
  <c r="FJ60" i="15" s="1"/>
  <c r="CW74" i="11"/>
  <c r="DV74" i="11" s="1"/>
  <c r="EC74" i="11" s="1"/>
  <c r="CW52" i="12"/>
  <c r="DV52" i="12" s="1"/>
  <c r="EC52" i="12" s="1"/>
  <c r="EB33" i="15"/>
  <c r="DB56" i="13"/>
  <c r="CU25" i="12"/>
  <c r="DB75" i="13"/>
  <c r="CT86" i="11"/>
  <c r="CT95" i="11"/>
  <c r="DX76" i="2"/>
  <c r="DC217" i="2"/>
  <c r="EZ111" i="3"/>
  <c r="DM109" i="3"/>
  <c r="EU111" i="3"/>
  <c r="EU110" i="3"/>
  <c r="CY109" i="3"/>
  <c r="DB109" i="3"/>
  <c r="DK109" i="3"/>
  <c r="CU109" i="3"/>
  <c r="DD109" i="3"/>
  <c r="DR109" i="3"/>
  <c r="ET110" i="3"/>
  <c r="DF109" i="3"/>
  <c r="DE109" i="3"/>
  <c r="DC109" i="3"/>
  <c r="DJ109" i="3"/>
  <c r="DQ109" i="3"/>
  <c r="DO109" i="3"/>
  <c r="EX111" i="3"/>
  <c r="CZ109" i="3"/>
  <c r="EY110" i="3"/>
  <c r="DA109" i="3"/>
  <c r="DH109" i="3"/>
  <c r="EW111" i="3"/>
  <c r="CV109" i="3"/>
  <c r="ES111" i="3"/>
  <c r="CX109" i="3"/>
  <c r="ET111" i="3"/>
  <c r="EX110" i="3"/>
  <c r="EY111" i="3"/>
  <c r="DN109" i="3"/>
  <c r="EZ110" i="3"/>
  <c r="DP109" i="3"/>
  <c r="EV110" i="3"/>
  <c r="DL109" i="3"/>
  <c r="DI109" i="3"/>
  <c r="CW109" i="3"/>
  <c r="ES110" i="3"/>
  <c r="EW110" i="3"/>
  <c r="EV111" i="3"/>
  <c r="DG109" i="3"/>
  <c r="CZ158" i="13" l="1"/>
  <c r="CZ142" i="13"/>
  <c r="DA156" i="13"/>
  <c r="CT118" i="11"/>
  <c r="DU118" i="11" s="1"/>
  <c r="EB144" i="13"/>
  <c r="EB156" i="13" s="1"/>
  <c r="CT102" i="11"/>
  <c r="DU102" i="11" s="1"/>
  <c r="CT70" i="12"/>
  <c r="DC76" i="13"/>
  <c r="EA80" i="15"/>
  <c r="DA139" i="13"/>
  <c r="EA177" i="18"/>
  <c r="FB117" i="15"/>
  <c r="CR147" i="11"/>
  <c r="EB139" i="13"/>
  <c r="EC17" i="13"/>
  <c r="EJ17" i="13" s="1"/>
  <c r="CW20" i="11"/>
  <c r="DV20" i="11" s="1"/>
  <c r="EC20" i="11" s="1"/>
  <c r="DC85" i="13"/>
  <c r="DB77" i="13"/>
  <c r="DB76" i="13"/>
  <c r="CW38" i="12"/>
  <c r="DV38" i="12" s="1"/>
  <c r="EC38" i="12" s="1"/>
  <c r="DV39" i="12"/>
  <c r="EC39" i="12" s="1"/>
  <c r="CW36" i="11"/>
  <c r="DV37" i="11"/>
  <c r="EC37" i="11" s="1"/>
  <c r="DC75" i="13"/>
  <c r="CT82" i="12"/>
  <c r="DU70" i="12"/>
  <c r="DB80" i="13"/>
  <c r="EB122" i="13"/>
  <c r="EB128" i="13"/>
  <c r="CW23" i="11"/>
  <c r="DV23" i="11" s="1"/>
  <c r="EC23" i="11" s="1"/>
  <c r="DV24" i="11"/>
  <c r="EC24" i="11" s="1"/>
  <c r="CU108" i="12"/>
  <c r="EB120" i="15"/>
  <c r="CU137" i="11"/>
  <c r="CU31" i="12"/>
  <c r="CW60" i="11"/>
  <c r="DV36" i="11"/>
  <c r="CY168" i="13"/>
  <c r="EA168" i="13"/>
  <c r="EC457" i="2"/>
  <c r="EC458" i="2"/>
  <c r="EB39" i="15"/>
  <c r="EB461" i="2"/>
  <c r="EA140" i="18"/>
  <c r="FB140" i="18" s="1"/>
  <c r="FB114" i="18"/>
  <c r="DC125" i="13"/>
  <c r="CV70" i="11"/>
  <c r="CV65" i="11"/>
  <c r="DC78" i="13"/>
  <c r="EC33" i="15"/>
  <c r="EC39" i="15" s="1"/>
  <c r="CV25" i="12"/>
  <c r="CV31" i="12" s="1"/>
  <c r="CV53" i="11"/>
  <c r="DC131" i="13"/>
  <c r="DB62" i="13"/>
  <c r="CU45" i="11"/>
  <c r="EA496" i="2"/>
  <c r="DB110" i="13" s="1"/>
  <c r="EA570" i="2"/>
  <c r="EA499" i="2"/>
  <c r="DB114" i="13" s="1"/>
  <c r="EA500" i="2"/>
  <c r="EA547" i="2"/>
  <c r="EA548" i="2"/>
  <c r="EA501" i="2"/>
  <c r="EB490" i="2"/>
  <c r="EB505" i="2"/>
  <c r="DD43" i="13"/>
  <c r="EC43" i="13" s="1"/>
  <c r="EJ43" i="13" s="1"/>
  <c r="ED28" i="15"/>
  <c r="ED27" i="18"/>
  <c r="FC27" i="18" s="1"/>
  <c r="FJ27" i="18" s="1"/>
  <c r="ED15" i="15"/>
  <c r="CW11" i="12"/>
  <c r="CV42" i="11"/>
  <c r="DC56" i="13"/>
  <c r="DA128" i="13"/>
  <c r="DA141" i="13"/>
  <c r="EB141" i="13" s="1"/>
  <c r="CT98" i="11"/>
  <c r="CW105" i="11"/>
  <c r="DV105" i="11" s="1"/>
  <c r="EC105" i="11" s="1"/>
  <c r="CW73" i="12"/>
  <c r="DV73" i="12" s="1"/>
  <c r="EC73" i="12" s="1"/>
  <c r="ED82" i="15"/>
  <c r="FC82" i="15" s="1"/>
  <c r="FJ82" i="15" s="1"/>
  <c r="DC64" i="13"/>
  <c r="DC81" i="13"/>
  <c r="DC80" i="13" s="1"/>
  <c r="DD39" i="13"/>
  <c r="EC39" i="13" s="1"/>
  <c r="EJ39" i="13" s="1"/>
  <c r="EC422" i="2"/>
  <c r="DA122" i="13"/>
  <c r="CT89" i="11"/>
  <c r="DU89" i="11" s="1"/>
  <c r="EA489" i="2"/>
  <c r="DB104" i="13"/>
  <c r="EC416" i="2"/>
  <c r="EC444" i="2" s="1"/>
  <c r="DD33" i="13"/>
  <c r="EC33" i="13" s="1"/>
  <c r="EJ33" i="13" s="1"/>
  <c r="CV69" i="11"/>
  <c r="DY76" i="2"/>
  <c r="DD217" i="2"/>
  <c r="EZ109" i="3"/>
  <c r="EU109" i="3"/>
  <c r="ET109" i="3"/>
  <c r="EY109" i="3"/>
  <c r="EX109" i="3"/>
  <c r="EV109" i="3"/>
  <c r="EW109" i="3"/>
  <c r="FJ110" i="3"/>
  <c r="FI110" i="3"/>
  <c r="ES109" i="3"/>
  <c r="FI111" i="3"/>
  <c r="FJ111" i="3"/>
  <c r="CZ167" i="13" l="1"/>
  <c r="CZ168" i="13" s="1"/>
  <c r="CZ159" i="13"/>
  <c r="CU97" i="12"/>
  <c r="DB74" i="13"/>
  <c r="CU94" i="12"/>
  <c r="CU95" i="12"/>
  <c r="CW33" i="11"/>
  <c r="DV33" i="11" s="1"/>
  <c r="EC33" i="11" s="1"/>
  <c r="CV97" i="12"/>
  <c r="EA93" i="15"/>
  <c r="FB80" i="15"/>
  <c r="CV95" i="12"/>
  <c r="EC67" i="18"/>
  <c r="CV94" i="12"/>
  <c r="CV91" i="12" s="1"/>
  <c r="CV52" i="11"/>
  <c r="DB131" i="13"/>
  <c r="CU53" i="11"/>
  <c r="DB125" i="13"/>
  <c r="EB67" i="18"/>
  <c r="EB75" i="18" s="1"/>
  <c r="CU52" i="11"/>
  <c r="EA175" i="18"/>
  <c r="FB177" i="18"/>
  <c r="DU82" i="12"/>
  <c r="CT103" i="12"/>
  <c r="CU107" i="12"/>
  <c r="EB117" i="15"/>
  <c r="CU136" i="11"/>
  <c r="EB570" i="2"/>
  <c r="EB590" i="2"/>
  <c r="DC161" i="13" s="1"/>
  <c r="DC74" i="13"/>
  <c r="CW18" i="12"/>
  <c r="DV18" i="12" s="1"/>
  <c r="EC18" i="12" s="1"/>
  <c r="DV11" i="12"/>
  <c r="EC11" i="12" s="1"/>
  <c r="EB142" i="13"/>
  <c r="CT113" i="11"/>
  <c r="DU98" i="11"/>
  <c r="CU91" i="12"/>
  <c r="DV60" i="11"/>
  <c r="EC36" i="11"/>
  <c r="EC60" i="11" s="1"/>
  <c r="ED48" i="15"/>
  <c r="FC48" i="15" s="1"/>
  <c r="FJ48" i="15" s="1"/>
  <c r="FC28" i="15"/>
  <c r="FJ28" i="15" s="1"/>
  <c r="ED24" i="15"/>
  <c r="FC24" i="15" s="1"/>
  <c r="FJ24" i="15" s="1"/>
  <c r="FC15" i="15"/>
  <c r="FJ15" i="15" s="1"/>
  <c r="EB496" i="2"/>
  <c r="DC110" i="13" s="1"/>
  <c r="DB123" i="13"/>
  <c r="EB499" i="2"/>
  <c r="DC114" i="13" s="1"/>
  <c r="CU58" i="12"/>
  <c r="EC474" i="2"/>
  <c r="EC512" i="2" s="1"/>
  <c r="DD71" i="13"/>
  <c r="EB548" i="2"/>
  <c r="DB138" i="13"/>
  <c r="DB137" i="13"/>
  <c r="EB547" i="2"/>
  <c r="EA543" i="2"/>
  <c r="EA549" i="2" s="1"/>
  <c r="CV87" i="11"/>
  <c r="CV96" i="11"/>
  <c r="DB116" i="13"/>
  <c r="EB501" i="2"/>
  <c r="DD70" i="13"/>
  <c r="EC70" i="13" s="1"/>
  <c r="EJ70" i="13" s="1"/>
  <c r="EC456" i="2"/>
  <c r="EC473" i="2"/>
  <c r="EC511" i="2" s="1"/>
  <c r="EC510" i="2" s="1"/>
  <c r="DB115" i="13"/>
  <c r="EB500" i="2"/>
  <c r="ED32" i="18"/>
  <c r="FC32" i="18" s="1"/>
  <c r="FJ32" i="18" s="1"/>
  <c r="ED43" i="18"/>
  <c r="FC43" i="18" s="1"/>
  <c r="FJ43" i="18" s="1"/>
  <c r="DD32" i="13"/>
  <c r="EC32" i="13" s="1"/>
  <c r="EJ32" i="13" s="1"/>
  <c r="DD54" i="13"/>
  <c r="EC54" i="13" s="1"/>
  <c r="EJ54" i="13" s="1"/>
  <c r="EC454" i="2"/>
  <c r="EC452" i="2"/>
  <c r="EC453" i="2"/>
  <c r="EC445" i="2"/>
  <c r="EC447" i="2"/>
  <c r="EC446" i="2"/>
  <c r="EC448" i="2"/>
  <c r="DD38" i="13"/>
  <c r="EC38" i="13" s="1"/>
  <c r="EJ38" i="13" s="1"/>
  <c r="DB103" i="13"/>
  <c r="EA488" i="2"/>
  <c r="DA142" i="13"/>
  <c r="DA158" i="13"/>
  <c r="EB158" i="13" s="1"/>
  <c r="EB489" i="2"/>
  <c r="DC104" i="13"/>
  <c r="CV45" i="11"/>
  <c r="DC62" i="13"/>
  <c r="DZ76" i="2"/>
  <c r="DE217" i="2"/>
  <c r="FI109" i="3"/>
  <c r="FJ109" i="3"/>
  <c r="EA114" i="15" l="1"/>
  <c r="DC162" i="13"/>
  <c r="DC165" i="13"/>
  <c r="DB162" i="13"/>
  <c r="DB155" i="13"/>
  <c r="CV55" i="11"/>
  <c r="EC75" i="18"/>
  <c r="FB93" i="15"/>
  <c r="CU55" i="11"/>
  <c r="DB165" i="13"/>
  <c r="CU96" i="11"/>
  <c r="CU87" i="11"/>
  <c r="CT118" i="12"/>
  <c r="DU118" i="12" s="1"/>
  <c r="DU103" i="12"/>
  <c r="EA190" i="18"/>
  <c r="FB175" i="18"/>
  <c r="EB177" i="18"/>
  <c r="CV108" i="12"/>
  <c r="CV137" i="11"/>
  <c r="EC120" i="15"/>
  <c r="DU113" i="11"/>
  <c r="CT132" i="11"/>
  <c r="EB68" i="15"/>
  <c r="DD87" i="13"/>
  <c r="EC87" i="13" s="1"/>
  <c r="EJ87" i="13" s="1"/>
  <c r="EC71" i="13"/>
  <c r="EJ71" i="13" s="1"/>
  <c r="CU45" i="12"/>
  <c r="EB159" i="13"/>
  <c r="ED45" i="15"/>
  <c r="FC45" i="15" s="1"/>
  <c r="FC43" i="15" s="1"/>
  <c r="CV58" i="12"/>
  <c r="EC68" i="15" s="1"/>
  <c r="DB133" i="13"/>
  <c r="EB54" i="15"/>
  <c r="DB129" i="13"/>
  <c r="EB488" i="2"/>
  <c r="EB502" i="2" s="1"/>
  <c r="DC116" i="13"/>
  <c r="DD58" i="13"/>
  <c r="EC463" i="2"/>
  <c r="EB87" i="18"/>
  <c r="CU77" i="11"/>
  <c r="DB124" i="13"/>
  <c r="DB130" i="13"/>
  <c r="CU64" i="11"/>
  <c r="EA502" i="2"/>
  <c r="DB102" i="13"/>
  <c r="DC103" i="13"/>
  <c r="DC123" i="13"/>
  <c r="DD59" i="13"/>
  <c r="EC464" i="2"/>
  <c r="DC102" i="13"/>
  <c r="DD69" i="13"/>
  <c r="EC69" i="13" s="1"/>
  <c r="EJ69" i="13" s="1"/>
  <c r="DD86" i="13"/>
  <c r="DD57" i="13"/>
  <c r="EC57" i="13" s="1"/>
  <c r="EJ57" i="13" s="1"/>
  <c r="EC462" i="2"/>
  <c r="DD65" i="13"/>
  <c r="EC65" i="13" s="1"/>
  <c r="EJ65" i="13" s="1"/>
  <c r="EC451" i="2"/>
  <c r="EC468" i="2"/>
  <c r="EC506" i="2" s="1"/>
  <c r="DC115" i="13"/>
  <c r="CV45" i="12" s="1"/>
  <c r="CV64" i="12" s="1"/>
  <c r="DC137" i="13"/>
  <c r="EB543" i="2"/>
  <c r="EB549" i="2" s="1"/>
  <c r="DD60" i="13"/>
  <c r="EC465" i="2"/>
  <c r="EC469" i="2"/>
  <c r="EC507" i="2" s="1"/>
  <c r="EC491" i="2" s="1"/>
  <c r="DD105" i="13" s="1"/>
  <c r="EC105" i="13" s="1"/>
  <c r="EJ105" i="13" s="1"/>
  <c r="DD66" i="13"/>
  <c r="DA167" i="13"/>
  <c r="DA159" i="13"/>
  <c r="DD67" i="13"/>
  <c r="EC470" i="2"/>
  <c r="EC508" i="2" s="1"/>
  <c r="EC492" i="2" s="1"/>
  <c r="DD106" i="13" s="1"/>
  <c r="EC106" i="13" s="1"/>
  <c r="EJ106" i="13" s="1"/>
  <c r="DC138" i="13"/>
  <c r="EA76" i="2"/>
  <c r="DF217" i="2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CU99" i="12" l="1"/>
  <c r="EB99" i="15"/>
  <c r="CU88" i="12"/>
  <c r="EA132" i="15"/>
  <c r="FB132" i="15" s="1"/>
  <c r="FB114" i="15"/>
  <c r="DC155" i="13"/>
  <c r="DB144" i="13"/>
  <c r="CU128" i="11"/>
  <c r="EB108" i="15"/>
  <c r="EB162" i="18"/>
  <c r="FB190" i="18"/>
  <c r="EA189" i="18"/>
  <c r="FB189" i="18" s="1"/>
  <c r="EB175" i="18"/>
  <c r="CV107" i="12"/>
  <c r="CV136" i="11"/>
  <c r="EC117" i="15"/>
  <c r="DU132" i="11"/>
  <c r="CT147" i="11"/>
  <c r="DU147" i="11" s="1"/>
  <c r="CU64" i="12"/>
  <c r="CU102" i="11"/>
  <c r="CW42" i="11"/>
  <c r="DV42" i="11" s="1"/>
  <c r="EC42" i="11" s="1"/>
  <c r="EC58" i="13"/>
  <c r="EJ58" i="13" s="1"/>
  <c r="CW43" i="11"/>
  <c r="DV43" i="11" s="1"/>
  <c r="EC43" i="11" s="1"/>
  <c r="EC59" i="13"/>
  <c r="EJ59" i="13" s="1"/>
  <c r="DD85" i="13"/>
  <c r="EC85" i="13" s="1"/>
  <c r="EJ85" i="13" s="1"/>
  <c r="EC86" i="13"/>
  <c r="EJ86" i="13" s="1"/>
  <c r="DD78" i="13"/>
  <c r="EC78" i="13" s="1"/>
  <c r="EJ78" i="13" s="1"/>
  <c r="EC60" i="13"/>
  <c r="EJ60" i="13" s="1"/>
  <c r="DD82" i="13"/>
  <c r="EC66" i="13"/>
  <c r="EJ66" i="13" s="1"/>
  <c r="DD83" i="13"/>
  <c r="EC67" i="13"/>
  <c r="EJ67" i="13" s="1"/>
  <c r="DA168" i="13"/>
  <c r="EB167" i="13"/>
  <c r="ED43" i="15"/>
  <c r="ED80" i="18"/>
  <c r="FC80" i="18" s="1"/>
  <c r="FJ80" i="18" s="1"/>
  <c r="H22" i="24" s="1"/>
  <c r="FJ45" i="15"/>
  <c r="FJ43" i="15" s="1"/>
  <c r="CU70" i="12"/>
  <c r="DB139" i="13"/>
  <c r="EB80" i="15"/>
  <c r="EB74" i="15"/>
  <c r="DC129" i="13"/>
  <c r="EC54" i="15"/>
  <c r="EC74" i="15" s="1"/>
  <c r="EC490" i="2"/>
  <c r="EC505" i="2"/>
  <c r="DD64" i="13"/>
  <c r="EC64" i="13" s="1"/>
  <c r="EJ64" i="13" s="1"/>
  <c r="DD81" i="13"/>
  <c r="CW65" i="11"/>
  <c r="DV65" i="11" s="1"/>
  <c r="EC65" i="11" s="1"/>
  <c r="CW70" i="11"/>
  <c r="DV70" i="11" s="1"/>
  <c r="EC70" i="11" s="1"/>
  <c r="EC461" i="2"/>
  <c r="EC590" i="2" s="1"/>
  <c r="DD161" i="13" s="1"/>
  <c r="CU95" i="11"/>
  <c r="CU86" i="11"/>
  <c r="CW69" i="11"/>
  <c r="DV69" i="11" s="1"/>
  <c r="EC69" i="11" s="1"/>
  <c r="DD56" i="13"/>
  <c r="EC56" i="13" s="1"/>
  <c r="ED33" i="15"/>
  <c r="CW25" i="12"/>
  <c r="DD75" i="13"/>
  <c r="EC75" i="13" s="1"/>
  <c r="CU79" i="11"/>
  <c r="DB121" i="13"/>
  <c r="DB127" i="13"/>
  <c r="DC133" i="13"/>
  <c r="EB114" i="18"/>
  <c r="EB105" i="18"/>
  <c r="CV79" i="11"/>
  <c r="DC121" i="13"/>
  <c r="DC127" i="13"/>
  <c r="CV77" i="11"/>
  <c r="DC130" i="13"/>
  <c r="DC124" i="13"/>
  <c r="CV64" i="11"/>
  <c r="EC87" i="18"/>
  <c r="EB76" i="2"/>
  <c r="DG217" i="2"/>
  <c r="ES76" i="3"/>
  <c r="EX76" i="3"/>
  <c r="EY76" i="3"/>
  <c r="EZ76" i="3"/>
  <c r="EV76" i="3"/>
  <c r="ET76" i="3"/>
  <c r="EW76" i="3"/>
  <c r="EU76" i="3"/>
  <c r="EC162" i="18" l="1"/>
  <c r="CU118" i="11"/>
  <c r="DB156" i="13"/>
  <c r="CV128" i="11"/>
  <c r="CV99" i="12"/>
  <c r="CV88" i="12"/>
  <c r="DC144" i="13"/>
  <c r="EC108" i="15"/>
  <c r="EC99" i="15"/>
  <c r="EB190" i="18"/>
  <c r="EC177" i="18"/>
  <c r="EC82" i="13"/>
  <c r="EJ82" i="13" s="1"/>
  <c r="DD76" i="13"/>
  <c r="EC83" i="13"/>
  <c r="EJ83" i="13" s="1"/>
  <c r="DD77" i="13"/>
  <c r="CU82" i="12"/>
  <c r="DD80" i="13"/>
  <c r="EC80" i="13" s="1"/>
  <c r="EJ80" i="13" s="1"/>
  <c r="EC81" i="13"/>
  <c r="EJ81" i="13" s="1"/>
  <c r="EC161" i="13"/>
  <c r="ED120" i="15"/>
  <c r="CW137" i="11"/>
  <c r="CW108" i="12"/>
  <c r="EJ56" i="13"/>
  <c r="EJ62" i="13" s="1"/>
  <c r="EC62" i="13"/>
  <c r="CW31" i="12"/>
  <c r="DV31" i="12" s="1"/>
  <c r="EC31" i="12" s="1"/>
  <c r="DV25" i="12"/>
  <c r="EC25" i="12" s="1"/>
  <c r="EJ75" i="13"/>
  <c r="EB168" i="13"/>
  <c r="EB93" i="15"/>
  <c r="EB114" i="15" s="1"/>
  <c r="ED39" i="15"/>
  <c r="FC39" i="15" s="1"/>
  <c r="FJ39" i="15" s="1"/>
  <c r="FC33" i="15"/>
  <c r="FJ33" i="15" s="1"/>
  <c r="EB140" i="18"/>
  <c r="DD104" i="13"/>
  <c r="EC104" i="13" s="1"/>
  <c r="EC489" i="2"/>
  <c r="CV86" i="11"/>
  <c r="CV95" i="11"/>
  <c r="CW45" i="11"/>
  <c r="DV45" i="11" s="1"/>
  <c r="EC45" i="11" s="1"/>
  <c r="DD62" i="13"/>
  <c r="EC114" i="18"/>
  <c r="EC140" i="18" s="1"/>
  <c r="EC105" i="18"/>
  <c r="EC80" i="15"/>
  <c r="CV70" i="12"/>
  <c r="CV82" i="12" s="1"/>
  <c r="CV102" i="11"/>
  <c r="DC139" i="13"/>
  <c r="DC128" i="13"/>
  <c r="DC141" i="13"/>
  <c r="CV98" i="11"/>
  <c r="DB141" i="13"/>
  <c r="CU98" i="11"/>
  <c r="DB128" i="13"/>
  <c r="EC570" i="2"/>
  <c r="EC496" i="2"/>
  <c r="DD110" i="13" s="1"/>
  <c r="EC110" i="13" s="1"/>
  <c r="EJ110" i="13" s="1"/>
  <c r="EC499" i="2"/>
  <c r="DD114" i="13" s="1"/>
  <c r="EC114" i="13" s="1"/>
  <c r="EJ114" i="13" s="1"/>
  <c r="EC547" i="2"/>
  <c r="EC548" i="2"/>
  <c r="DD138" i="13" s="1"/>
  <c r="EC138" i="13" s="1"/>
  <c r="EJ138" i="13" s="1"/>
  <c r="EC501" i="2"/>
  <c r="DD116" i="13" s="1"/>
  <c r="EC116" i="13" s="1"/>
  <c r="EJ116" i="13" s="1"/>
  <c r="EC500" i="2"/>
  <c r="DD115" i="13" s="1"/>
  <c r="EC115" i="13" s="1"/>
  <c r="EJ115" i="13" s="1"/>
  <c r="DB122" i="13"/>
  <c r="CU89" i="11"/>
  <c r="DC122" i="13"/>
  <c r="CV89" i="11"/>
  <c r="EC76" i="2"/>
  <c r="DH217" i="2"/>
  <c r="FJ76" i="3"/>
  <c r="FI76" i="3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BF234" i="2"/>
  <c r="BG234" i="2"/>
  <c r="BH234" i="2"/>
  <c r="BI234" i="2"/>
  <c r="BJ234" i="2"/>
  <c r="BK234" i="2"/>
  <c r="BL234" i="2"/>
  <c r="BM234" i="2"/>
  <c r="BN234" i="2"/>
  <c r="BO234" i="2"/>
  <c r="BP234" i="2"/>
  <c r="BQ234" i="2"/>
  <c r="BR234" i="2"/>
  <c r="BS234" i="2"/>
  <c r="BT234" i="2"/>
  <c r="BU234" i="2"/>
  <c r="BV234" i="2"/>
  <c r="BW234" i="2"/>
  <c r="BX234" i="2"/>
  <c r="BY234" i="2"/>
  <c r="BZ234" i="2"/>
  <c r="CA234" i="2"/>
  <c r="CB234" i="2"/>
  <c r="CC234" i="2"/>
  <c r="CD234" i="2"/>
  <c r="CE234" i="2"/>
  <c r="CF234" i="2"/>
  <c r="CG234" i="2"/>
  <c r="CH234" i="2"/>
  <c r="CI234" i="2"/>
  <c r="CJ234" i="2"/>
  <c r="CK234" i="2"/>
  <c r="CL234" i="2"/>
  <c r="CM234" i="2"/>
  <c r="CN234" i="2"/>
  <c r="CO234" i="2"/>
  <c r="CP234" i="2"/>
  <c r="CQ234" i="2"/>
  <c r="CR234" i="2"/>
  <c r="CS234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BF250" i="2"/>
  <c r="BG250" i="2"/>
  <c r="BH250" i="2"/>
  <c r="BI250" i="2"/>
  <c r="BJ250" i="2"/>
  <c r="BK250" i="2"/>
  <c r="BL250" i="2"/>
  <c r="BM250" i="2"/>
  <c r="BN250" i="2"/>
  <c r="BO250" i="2"/>
  <c r="BP250" i="2"/>
  <c r="BQ250" i="2"/>
  <c r="BR250" i="2"/>
  <c r="BS250" i="2"/>
  <c r="BT250" i="2"/>
  <c r="BU250" i="2"/>
  <c r="BV250" i="2"/>
  <c r="BW250" i="2"/>
  <c r="BX250" i="2"/>
  <c r="BY250" i="2"/>
  <c r="BZ250" i="2"/>
  <c r="CA250" i="2"/>
  <c r="CB250" i="2"/>
  <c r="CC250" i="2"/>
  <c r="CD250" i="2"/>
  <c r="CE250" i="2"/>
  <c r="CF250" i="2"/>
  <c r="CG250" i="2"/>
  <c r="CH250" i="2"/>
  <c r="CI250" i="2"/>
  <c r="CJ250" i="2"/>
  <c r="CK250" i="2"/>
  <c r="CL250" i="2"/>
  <c r="CM250" i="2"/>
  <c r="CN250" i="2"/>
  <c r="CO250" i="2"/>
  <c r="CP250" i="2"/>
  <c r="CQ250" i="2"/>
  <c r="CR250" i="2"/>
  <c r="CS250" i="2"/>
  <c r="DD74" i="13" l="1"/>
  <c r="EC74" i="13" s="1"/>
  <c r="DC156" i="13"/>
  <c r="CW97" i="12"/>
  <c r="DV97" i="12" s="1"/>
  <c r="EC97" i="12" s="1"/>
  <c r="CW95" i="12"/>
  <c r="DV95" i="12" s="1"/>
  <c r="EC95" i="12" s="1"/>
  <c r="CW94" i="12"/>
  <c r="CV103" i="12"/>
  <c r="CV118" i="12" s="1"/>
  <c r="CV118" i="11"/>
  <c r="EC76" i="13"/>
  <c r="CW52" i="11"/>
  <c r="DV52" i="11" s="1"/>
  <c r="EC52" i="11" s="1"/>
  <c r="ED67" i="18"/>
  <c r="EC77" i="13"/>
  <c r="DD131" i="13"/>
  <c r="CW53" i="11"/>
  <c r="DD125" i="13"/>
  <c r="EB189" i="18"/>
  <c r="EC175" i="18"/>
  <c r="EC124" i="13"/>
  <c r="EC130" i="13"/>
  <c r="EJ76" i="13"/>
  <c r="EC125" i="13"/>
  <c r="EC131" i="13"/>
  <c r="EJ77" i="13"/>
  <c r="CU103" i="12"/>
  <c r="EJ161" i="13"/>
  <c r="EC162" i="13"/>
  <c r="FC120" i="15"/>
  <c r="FJ120" i="15" s="1"/>
  <c r="ED117" i="15"/>
  <c r="DV137" i="11"/>
  <c r="EC137" i="11" s="1"/>
  <c r="CW136" i="11"/>
  <c r="DV136" i="11" s="1"/>
  <c r="EC136" i="11" s="1"/>
  <c r="DV108" i="12"/>
  <c r="EC108" i="12" s="1"/>
  <c r="CW107" i="12"/>
  <c r="DV107" i="12" s="1"/>
  <c r="EC107" i="12" s="1"/>
  <c r="EC123" i="13"/>
  <c r="EC129" i="13"/>
  <c r="EJ104" i="13"/>
  <c r="EC165" i="13"/>
  <c r="EJ74" i="13"/>
  <c r="CU113" i="11"/>
  <c r="CV113" i="11"/>
  <c r="EB132" i="15"/>
  <c r="DD123" i="13"/>
  <c r="EC93" i="15"/>
  <c r="DD129" i="13"/>
  <c r="EC488" i="2"/>
  <c r="EC502" i="2" s="1"/>
  <c r="CW58" i="12"/>
  <c r="DC158" i="13"/>
  <c r="DC142" i="13"/>
  <c r="CW77" i="11"/>
  <c r="DV77" i="11" s="1"/>
  <c r="EC77" i="11" s="1"/>
  <c r="DD124" i="13"/>
  <c r="ED87" i="18"/>
  <c r="FC87" i="18" s="1"/>
  <c r="FJ87" i="18" s="1"/>
  <c r="CW64" i="11"/>
  <c r="DV64" i="11" s="1"/>
  <c r="DD130" i="13"/>
  <c r="DD137" i="13"/>
  <c r="EC543" i="2"/>
  <c r="EC549" i="2" s="1"/>
  <c r="DB158" i="13"/>
  <c r="DB142" i="13"/>
  <c r="DD103" i="13"/>
  <c r="EC103" i="13" s="1"/>
  <c r="EJ103" i="13" s="1"/>
  <c r="CW45" i="12"/>
  <c r="ED54" i="15"/>
  <c r="CT250" i="2"/>
  <c r="CU250" i="2" s="1"/>
  <c r="DI217" i="2"/>
  <c r="DV94" i="12" l="1"/>
  <c r="EC94" i="12" s="1"/>
  <c r="CW91" i="12"/>
  <c r="DV91" i="12" s="1"/>
  <c r="EC91" i="12" s="1"/>
  <c r="CV132" i="11"/>
  <c r="CV147" i="11" s="1"/>
  <c r="DD165" i="13"/>
  <c r="CW55" i="11"/>
  <c r="DV55" i="11" s="1"/>
  <c r="EC55" i="11" s="1"/>
  <c r="DD162" i="13"/>
  <c r="DD155" i="13"/>
  <c r="EC155" i="13" s="1"/>
  <c r="EJ155" i="13" s="1"/>
  <c r="ED75" i="18"/>
  <c r="FC67" i="18"/>
  <c r="CW87" i="11"/>
  <c r="CW96" i="11"/>
  <c r="DV53" i="11"/>
  <c r="EC190" i="18"/>
  <c r="EJ124" i="13"/>
  <c r="EJ130" i="13"/>
  <c r="EJ125" i="13"/>
  <c r="EJ131" i="13"/>
  <c r="CU118" i="12"/>
  <c r="FC117" i="15"/>
  <c r="FJ117" i="15" s="1"/>
  <c r="ED177" i="18"/>
  <c r="EJ165" i="13"/>
  <c r="CU132" i="11"/>
  <c r="EJ162" i="13"/>
  <c r="EJ123" i="13"/>
  <c r="EJ129" i="13"/>
  <c r="ED68" i="15"/>
  <c r="FC68" i="15" s="1"/>
  <c r="FJ68" i="15" s="1"/>
  <c r="DV58" i="12"/>
  <c r="EC58" i="12" s="1"/>
  <c r="DV86" i="11"/>
  <c r="DV95" i="11"/>
  <c r="EC64" i="11"/>
  <c r="DD133" i="13"/>
  <c r="EC133" i="13" s="1"/>
  <c r="EC137" i="13"/>
  <c r="EJ137" i="13" s="1"/>
  <c r="CW64" i="12"/>
  <c r="DV64" i="12" s="1"/>
  <c r="EC64" i="12" s="1"/>
  <c r="DV45" i="12"/>
  <c r="EC45" i="12" s="1"/>
  <c r="EC114" i="15"/>
  <c r="DD102" i="13"/>
  <c r="ED74" i="15"/>
  <c r="FC74" i="15" s="1"/>
  <c r="FJ74" i="15" s="1"/>
  <c r="FC54" i="15"/>
  <c r="FJ54" i="15" s="1"/>
  <c r="CW95" i="11"/>
  <c r="CW86" i="11"/>
  <c r="DC159" i="13"/>
  <c r="DC167" i="13"/>
  <c r="DC168" i="13" s="1"/>
  <c r="ED114" i="18"/>
  <c r="ED105" i="18"/>
  <c r="FC105" i="18" s="1"/>
  <c r="FJ105" i="18" s="1"/>
  <c r="H29" i="24" s="1"/>
  <c r="DB167" i="13"/>
  <c r="DB159" i="13"/>
  <c r="DD127" i="13"/>
  <c r="EC127" i="13" s="1"/>
  <c r="DD121" i="13"/>
  <c r="EC121" i="13" s="1"/>
  <c r="DJ217" i="2"/>
  <c r="CV250" i="2"/>
  <c r="ED99" i="15" l="1"/>
  <c r="FC99" i="15" s="1"/>
  <c r="FJ99" i="15" s="1"/>
  <c r="CW88" i="12"/>
  <c r="DV88" i="12" s="1"/>
  <c r="EC88" i="12" s="1"/>
  <c r="DD144" i="13"/>
  <c r="EC144" i="13" s="1"/>
  <c r="ED108" i="15"/>
  <c r="FC108" i="15" s="1"/>
  <c r="FJ108" i="15" s="1"/>
  <c r="ED162" i="18"/>
  <c r="FC162" i="18" s="1"/>
  <c r="FJ162" i="18" s="1"/>
  <c r="CW99" i="12"/>
  <c r="DV99" i="12" s="1"/>
  <c r="EC99" i="12" s="1"/>
  <c r="CW128" i="11"/>
  <c r="DV128" i="11" s="1"/>
  <c r="EC128" i="11" s="1"/>
  <c r="FC75" i="18"/>
  <c r="FJ67" i="18"/>
  <c r="H16" i="24" s="1"/>
  <c r="DV87" i="11"/>
  <c r="DV96" i="11"/>
  <c r="EC53" i="11"/>
  <c r="CW102" i="11"/>
  <c r="DV102" i="11" s="1"/>
  <c r="EC102" i="11" s="1"/>
  <c r="DD139" i="13"/>
  <c r="ED80" i="15"/>
  <c r="CW70" i="12"/>
  <c r="EC189" i="18"/>
  <c r="FC177" i="18"/>
  <c r="FJ177" i="18" s="1"/>
  <c r="ED175" i="18"/>
  <c r="CU147" i="11"/>
  <c r="EC95" i="11"/>
  <c r="EC86" i="11"/>
  <c r="EJ133" i="13"/>
  <c r="EJ139" i="13" s="1"/>
  <c r="EC139" i="13"/>
  <c r="CW79" i="11"/>
  <c r="DV79" i="11" s="1"/>
  <c r="EC79" i="11" s="1"/>
  <c r="EC102" i="13"/>
  <c r="EJ102" i="13" s="1"/>
  <c r="CW82" i="12"/>
  <c r="DV82" i="12" s="1"/>
  <c r="EC82" i="12" s="1"/>
  <c r="DV70" i="12"/>
  <c r="EC70" i="12" s="1"/>
  <c r="EC128" i="13"/>
  <c r="EJ127" i="13"/>
  <c r="EJ128" i="13" s="1"/>
  <c r="EC122" i="13"/>
  <c r="EJ121" i="13"/>
  <c r="EJ122" i="13" s="1"/>
  <c r="EJ144" i="13"/>
  <c r="EJ156" i="13" s="1"/>
  <c r="EC156" i="13"/>
  <c r="DB168" i="13"/>
  <c r="EC132" i="15"/>
  <c r="ED140" i="18"/>
  <c r="FC140" i="18" s="1"/>
  <c r="FJ140" i="18" s="1"/>
  <c r="H47" i="24" s="1"/>
  <c r="FC114" i="18"/>
  <c r="FJ114" i="18" s="1"/>
  <c r="H38" i="24" s="1"/>
  <c r="CW89" i="11"/>
  <c r="DV89" i="11" s="1"/>
  <c r="EC89" i="11" s="1"/>
  <c r="DD122" i="13"/>
  <c r="CW98" i="11"/>
  <c r="DD141" i="13"/>
  <c r="EC141" i="13" s="1"/>
  <c r="DD128" i="13"/>
  <c r="DK217" i="2"/>
  <c r="CW250" i="2"/>
  <c r="CW118" i="11" l="1"/>
  <c r="DV118" i="11" s="1"/>
  <c r="EC118" i="11" s="1"/>
  <c r="DD156" i="13"/>
  <c r="EC96" i="11"/>
  <c r="EC87" i="11"/>
  <c r="CW103" i="12"/>
  <c r="ED93" i="15"/>
  <c r="FC93" i="15" s="1"/>
  <c r="FJ93" i="15" s="1"/>
  <c r="FC80" i="15"/>
  <c r="FJ80" i="15" s="1"/>
  <c r="FC175" i="18"/>
  <c r="FJ175" i="18" s="1"/>
  <c r="ED190" i="18"/>
  <c r="DV103" i="12"/>
  <c r="EC103" i="12" s="1"/>
  <c r="CW113" i="11"/>
  <c r="DV113" i="11" s="1"/>
  <c r="EC113" i="11" s="1"/>
  <c r="DV98" i="11"/>
  <c r="EC98" i="11" s="1"/>
  <c r="EC142" i="13"/>
  <c r="EJ141" i="13"/>
  <c r="EJ142" i="13" s="1"/>
  <c r="DD142" i="13"/>
  <c r="DD158" i="13"/>
  <c r="EC158" i="13" s="1"/>
  <c r="DL217" i="2"/>
  <c r="CX250" i="2"/>
  <c r="CW118" i="12" l="1"/>
  <c r="DV118" i="12" s="1"/>
  <c r="EC118" i="12" s="1"/>
  <c r="ED114" i="15"/>
  <c r="ED132" i="15" s="1"/>
  <c r="FC132" i="15" s="1"/>
  <c r="FJ132" i="15" s="1"/>
  <c r="CW132" i="11"/>
  <c r="FC190" i="18"/>
  <c r="FJ190" i="18" s="1"/>
  <c r="ED189" i="18"/>
  <c r="FC189" i="18" s="1"/>
  <c r="FJ189" i="18" s="1"/>
  <c r="DV132" i="11"/>
  <c r="EC132" i="11" s="1"/>
  <c r="EC159" i="13"/>
  <c r="EJ158" i="13"/>
  <c r="EJ159" i="13" s="1"/>
  <c r="DD167" i="13"/>
  <c r="DD159" i="13"/>
  <c r="DM217" i="2"/>
  <c r="CY250" i="2"/>
  <c r="CW147" i="11" l="1"/>
  <c r="DV147" i="11" s="1"/>
  <c r="EC147" i="11" s="1"/>
  <c r="FC114" i="15"/>
  <c r="FJ114" i="15" s="1"/>
  <c r="DD168" i="13"/>
  <c r="EC167" i="13"/>
  <c r="DN217" i="2"/>
  <c r="CZ250" i="2"/>
  <c r="EC168" i="13" l="1"/>
  <c r="EJ167" i="13"/>
  <c r="EJ168" i="13" s="1"/>
  <c r="DO217" i="2"/>
  <c r="DA250" i="2"/>
  <c r="DP217" i="2" l="1"/>
  <c r="DB250" i="2"/>
  <c r="DQ217" i="2" l="1"/>
  <c r="DR217" i="2" s="1"/>
  <c r="DC250" i="2"/>
  <c r="DS217" i="2" l="1"/>
  <c r="DR213" i="2"/>
  <c r="DD250" i="2"/>
  <c r="DR221" i="2" l="1"/>
  <c r="DJ51" i="7"/>
  <c r="DJ59" i="7" s="1"/>
  <c r="DS213" i="2"/>
  <c r="DT217" i="2"/>
  <c r="DE250" i="2"/>
  <c r="DS221" i="2" l="1"/>
  <c r="DK51" i="7"/>
  <c r="DK59" i="7" s="1"/>
  <c r="DU217" i="2"/>
  <c r="DT213" i="2"/>
  <c r="DF250" i="2"/>
  <c r="DT221" i="2" l="1"/>
  <c r="DL51" i="7"/>
  <c r="DL59" i="7" s="1"/>
  <c r="EQ59" i="7" s="1"/>
  <c r="DU213" i="2"/>
  <c r="DV217" i="2"/>
  <c r="DG250" i="2"/>
  <c r="DU221" i="2" l="1"/>
  <c r="DM51" i="7"/>
  <c r="DM59" i="7" s="1"/>
  <c r="DW217" i="2"/>
  <c r="DV213" i="2"/>
  <c r="DH250" i="2"/>
  <c r="DV221" i="2" l="1"/>
  <c r="DN51" i="7"/>
  <c r="DN59" i="7" s="1"/>
  <c r="DX217" i="2"/>
  <c r="DW213" i="2"/>
  <c r="DI250" i="2"/>
  <c r="DW221" i="2" l="1"/>
  <c r="DO51" i="7"/>
  <c r="DO59" i="7" s="1"/>
  <c r="ER59" i="7" s="1"/>
  <c r="DY217" i="2"/>
  <c r="DX213" i="2"/>
  <c r="DJ250" i="2"/>
  <c r="DX221" i="2" l="1"/>
  <c r="DP51" i="7"/>
  <c r="DP59" i="7" s="1"/>
  <c r="DZ217" i="2"/>
  <c r="DY213" i="2"/>
  <c r="DK250" i="2"/>
  <c r="DY221" i="2" l="1"/>
  <c r="DQ51" i="7"/>
  <c r="DQ59" i="7" s="1"/>
  <c r="DZ213" i="2"/>
  <c r="EA217" i="2"/>
  <c r="DL250" i="2"/>
  <c r="DZ221" i="2" l="1"/>
  <c r="DR51" i="7"/>
  <c r="DR59" i="7" s="1"/>
  <c r="ES59" i="7" s="1"/>
  <c r="EB217" i="2"/>
  <c r="EA213" i="2"/>
  <c r="DM250" i="2"/>
  <c r="EA221" i="2" l="1"/>
  <c r="DS51" i="7"/>
  <c r="DS59" i="7" s="1"/>
  <c r="EC217" i="2"/>
  <c r="EB213" i="2"/>
  <c r="DN250" i="2"/>
  <c r="EB221" i="2" l="1"/>
  <c r="DT51" i="7"/>
  <c r="DT59" i="7" s="1"/>
  <c r="EC213" i="2"/>
  <c r="DO250" i="2"/>
  <c r="EC221" i="2" l="1"/>
  <c r="DU51" i="7"/>
  <c r="DU59" i="7" s="1"/>
  <c r="ET59" i="7" s="1"/>
  <c r="DP250" i="2"/>
  <c r="DQ250" i="2" l="1"/>
  <c r="CU8" i="3" l="1"/>
  <c r="CT27" i="2"/>
  <c r="CU16" i="3" l="1"/>
  <c r="CU37" i="3" s="1"/>
  <c r="CT51" i="2"/>
  <c r="CV8" i="3"/>
  <c r="CU27" i="2"/>
  <c r="CT23" i="2"/>
  <c r="CV16" i="3" l="1"/>
  <c r="CV37" i="3" s="1"/>
  <c r="CU51" i="2"/>
  <c r="CW8" i="3"/>
  <c r="CV27" i="2"/>
  <c r="CU12" i="3"/>
  <c r="CU23" i="2"/>
  <c r="CV51" i="2" l="1"/>
  <c r="CX8" i="3"/>
  <c r="CW27" i="2"/>
  <c r="CW16" i="3"/>
  <c r="ES8" i="3"/>
  <c r="CV12" i="3"/>
  <c r="CV23" i="2"/>
  <c r="CW51" i="2" l="1"/>
  <c r="CW37" i="3"/>
  <c r="CY8" i="3"/>
  <c r="CX27" i="2"/>
  <c r="ES16" i="3"/>
  <c r="ES37" i="3" s="1"/>
  <c r="CX16" i="3"/>
  <c r="CW12" i="3"/>
  <c r="ES12" i="3" s="1"/>
  <c r="CW23" i="2"/>
  <c r="CX51" i="2" l="1"/>
  <c r="CY16" i="3"/>
  <c r="CX37" i="3"/>
  <c r="CZ8" i="3"/>
  <c r="CY27" i="2"/>
  <c r="CX12" i="3"/>
  <c r="CX23" i="2"/>
  <c r="CZ16" i="3" l="1"/>
  <c r="CY51" i="2"/>
  <c r="DA8" i="3"/>
  <c r="CZ27" i="2"/>
  <c r="ET8" i="3"/>
  <c r="CY37" i="3"/>
  <c r="CY12" i="3"/>
  <c r="CY23" i="2"/>
  <c r="CZ51" i="2" l="1"/>
  <c r="CZ37" i="3"/>
  <c r="ET16" i="3"/>
  <c r="ET37" i="3" s="1"/>
  <c r="DA16" i="3"/>
  <c r="DB8" i="3"/>
  <c r="DA27" i="2"/>
  <c r="CZ12" i="3"/>
  <c r="CZ23" i="2"/>
  <c r="DA37" i="3" l="1"/>
  <c r="DC8" i="3"/>
  <c r="DB27" i="2"/>
  <c r="DB16" i="3"/>
  <c r="DA51" i="2"/>
  <c r="DA12" i="3"/>
  <c r="DA23" i="2"/>
  <c r="ET12" i="3"/>
  <c r="DB51" i="2" l="1"/>
  <c r="DB37" i="3"/>
  <c r="DC16" i="3"/>
  <c r="DD8" i="3"/>
  <c r="DC27" i="2"/>
  <c r="EU8" i="3"/>
  <c r="DB12" i="3"/>
  <c r="DB23" i="2"/>
  <c r="DC51" i="2" l="1"/>
  <c r="DC37" i="3"/>
  <c r="DE8" i="3"/>
  <c r="DD27" i="2"/>
  <c r="DD16" i="3"/>
  <c r="EU16" i="3"/>
  <c r="DC12" i="3"/>
  <c r="EU12" i="3" s="1"/>
  <c r="DC23" i="2"/>
  <c r="DD51" i="2" l="1"/>
  <c r="DD37" i="3"/>
  <c r="DF8" i="3"/>
  <c r="DE27" i="2"/>
  <c r="DE16" i="3"/>
  <c r="EU37" i="3"/>
  <c r="DD12" i="3"/>
  <c r="DD23" i="2"/>
  <c r="DE51" i="2" l="1"/>
  <c r="DE37" i="3"/>
  <c r="DG8" i="3"/>
  <c r="DF27" i="2"/>
  <c r="DF16" i="3"/>
  <c r="EV8" i="3"/>
  <c r="DE12" i="3"/>
  <c r="DE23" i="2"/>
  <c r="DF37" i="3" l="1"/>
  <c r="DH8" i="3"/>
  <c r="DG27" i="2"/>
  <c r="DG16" i="3"/>
  <c r="DF51" i="2"/>
  <c r="EV16" i="3"/>
  <c r="FI8" i="3"/>
  <c r="DF12" i="3"/>
  <c r="EV12" i="3" s="1"/>
  <c r="DF23" i="2"/>
  <c r="DG37" i="3" l="1"/>
  <c r="FI16" i="3"/>
  <c r="FI37" i="3" s="1"/>
  <c r="DI8" i="3"/>
  <c r="EW8" i="3" s="1"/>
  <c r="DH27" i="2"/>
  <c r="DH16" i="3"/>
  <c r="EV37" i="3"/>
  <c r="DG51" i="2"/>
  <c r="DG12" i="3"/>
  <c r="DG23" i="2"/>
  <c r="FI12" i="3"/>
  <c r="DH37" i="3" l="1"/>
  <c r="DH51" i="2"/>
  <c r="DI16" i="3"/>
  <c r="DI27" i="2"/>
  <c r="DJ8" i="3"/>
  <c r="DH12" i="3"/>
  <c r="DH23" i="2"/>
  <c r="DI51" i="2" l="1"/>
  <c r="DI37" i="3"/>
  <c r="DJ16" i="3"/>
  <c r="DJ27" i="2"/>
  <c r="DK8" i="3"/>
  <c r="EW16" i="3"/>
  <c r="DI12" i="3"/>
  <c r="DI23" i="2"/>
  <c r="DJ51" i="2" l="1"/>
  <c r="DL8" i="3"/>
  <c r="EX8" i="3" s="1"/>
  <c r="DK27" i="2"/>
  <c r="DK16" i="3"/>
  <c r="EW37" i="3"/>
  <c r="DJ37" i="3"/>
  <c r="DJ12" i="3"/>
  <c r="DJ23" i="2"/>
  <c r="EW12" i="3"/>
  <c r="DK51" i="2" l="1"/>
  <c r="DK37" i="3"/>
  <c r="DL27" i="2"/>
  <c r="DM8" i="3"/>
  <c r="DL16" i="3"/>
  <c r="DK12" i="3"/>
  <c r="DK23" i="2"/>
  <c r="DL37" i="3" l="1"/>
  <c r="EX16" i="3"/>
  <c r="DM16" i="3"/>
  <c r="DL51" i="2"/>
  <c r="DM27" i="2"/>
  <c r="DN8" i="3"/>
  <c r="DL12" i="3"/>
  <c r="DL23" i="2"/>
  <c r="DN16" i="3" l="1"/>
  <c r="DM51" i="2"/>
  <c r="DM37" i="3"/>
  <c r="EX37" i="3"/>
  <c r="DN27" i="2"/>
  <c r="DO8" i="3"/>
  <c r="EY8" i="3" s="1"/>
  <c r="EX12" i="3"/>
  <c r="DM12" i="3"/>
  <c r="DM23" i="2"/>
  <c r="DO27" i="2" l="1"/>
  <c r="DP8" i="3"/>
  <c r="DN37" i="3"/>
  <c r="DN51" i="2"/>
  <c r="DO16" i="3"/>
  <c r="DN12" i="3"/>
  <c r="DN23" i="2"/>
  <c r="DO51" i="2" l="1"/>
  <c r="DO37" i="3"/>
  <c r="DP16" i="3"/>
  <c r="DQ8" i="3"/>
  <c r="DP27" i="2"/>
  <c r="DS8" i="3"/>
  <c r="EY16" i="3"/>
  <c r="DO12" i="3"/>
  <c r="DO23" i="2"/>
  <c r="DT8" i="3" l="1"/>
  <c r="DR27" i="2"/>
  <c r="DP51" i="2"/>
  <c r="DR8" i="3"/>
  <c r="EZ8" i="3" s="1"/>
  <c r="DQ27" i="2"/>
  <c r="DQ16" i="3"/>
  <c r="EY37" i="3"/>
  <c r="DP37" i="3"/>
  <c r="DP12" i="3"/>
  <c r="DP23" i="2"/>
  <c r="EY12" i="3"/>
  <c r="DS16" i="3" l="1"/>
  <c r="DS37" i="3" s="1"/>
  <c r="DU8" i="3"/>
  <c r="FA8" i="3" s="1"/>
  <c r="DS27" i="2"/>
  <c r="DR51" i="2"/>
  <c r="DQ37" i="3"/>
  <c r="FJ8" i="3"/>
  <c r="DR16" i="3"/>
  <c r="DQ51" i="2"/>
  <c r="DQ12" i="3"/>
  <c r="DQ23" i="2"/>
  <c r="DR23" i="2" s="1"/>
  <c r="DS12" i="3" s="1"/>
  <c r="DT16" i="3" l="1"/>
  <c r="DT37" i="3" s="1"/>
  <c r="DV8" i="3"/>
  <c r="DT27" i="2"/>
  <c r="DS23" i="2"/>
  <c r="DT12" i="3" s="1"/>
  <c r="DS51" i="2"/>
  <c r="EZ16" i="3"/>
  <c r="DR37" i="3"/>
  <c r="DR12" i="3"/>
  <c r="DU16" i="3" l="1"/>
  <c r="DT23" i="2"/>
  <c r="DU12" i="3" s="1"/>
  <c r="DT51" i="2"/>
  <c r="DU27" i="2"/>
  <c r="DW8" i="3"/>
  <c r="FJ16" i="3"/>
  <c r="EZ37" i="3"/>
  <c r="EZ12" i="3"/>
  <c r="FA16" i="3" l="1"/>
  <c r="DU37" i="3"/>
  <c r="DV16" i="3"/>
  <c r="DV37" i="3" s="1"/>
  <c r="FA12" i="3"/>
  <c r="DV27" i="2"/>
  <c r="DX8" i="3"/>
  <c r="FB8" i="3" s="1"/>
  <c r="DU23" i="2"/>
  <c r="DV12" i="3" s="1"/>
  <c r="DU51" i="2"/>
  <c r="FJ37" i="3"/>
  <c r="FJ12" i="3"/>
  <c r="FA37" i="3" l="1"/>
  <c r="DW16" i="3"/>
  <c r="DW37" i="3"/>
  <c r="DV23" i="2"/>
  <c r="DW12" i="3" s="1"/>
  <c r="DY8" i="3"/>
  <c r="DW27" i="2"/>
  <c r="DV51" i="2"/>
  <c r="CU9" i="3"/>
  <c r="CU7" i="3" s="1"/>
  <c r="CU11" i="18" s="1"/>
  <c r="CT784" i="2" s="1"/>
  <c r="CU238" i="18" s="1"/>
  <c r="CT15" i="2"/>
  <c r="CT28" i="2"/>
  <c r="CU17" i="3" l="1"/>
  <c r="CT24" i="2"/>
  <c r="CT52" i="2"/>
  <c r="CT26" i="2"/>
  <c r="DX16" i="3"/>
  <c r="FB16" i="3" s="1"/>
  <c r="DW23" i="2"/>
  <c r="DX12" i="3" s="1"/>
  <c r="DX27" i="2"/>
  <c r="DZ8" i="3"/>
  <c r="DW51" i="2"/>
  <c r="CU28" i="2"/>
  <c r="CU12" i="2"/>
  <c r="CV9" i="3"/>
  <c r="CT16" i="2"/>
  <c r="CV12" i="2"/>
  <c r="FB37" i="3" l="1"/>
  <c r="DX37" i="3"/>
  <c r="CU24" i="2"/>
  <c r="CT22" i="2"/>
  <c r="CU15" i="3"/>
  <c r="CU23" i="18" s="1"/>
  <c r="CV17" i="3"/>
  <c r="CU52" i="2"/>
  <c r="CU26" i="2"/>
  <c r="DX51" i="2"/>
  <c r="DY16" i="3"/>
  <c r="FB12" i="3"/>
  <c r="DY27" i="2"/>
  <c r="EA8" i="3"/>
  <c r="DX23" i="2"/>
  <c r="DY12" i="3" s="1"/>
  <c r="CV7" i="3"/>
  <c r="CV11" i="18" s="1"/>
  <c r="CU784" i="2" s="1"/>
  <c r="CV238" i="18" s="1"/>
  <c r="CU15" i="2"/>
  <c r="CU16" i="2"/>
  <c r="CT32" i="2"/>
  <c r="CT34" i="2"/>
  <c r="CU13" i="3"/>
  <c r="CW9" i="3"/>
  <c r="CV28" i="2"/>
  <c r="CW12" i="2"/>
  <c r="CV15" i="2"/>
  <c r="CT50" i="2"/>
  <c r="CU38" i="3"/>
  <c r="CV15" i="3" l="1"/>
  <c r="CV23" i="18" s="1"/>
  <c r="CU50" i="2"/>
  <c r="CU22" i="2"/>
  <c r="CU42" i="18"/>
  <c r="CW17" i="3"/>
  <c r="CV52" i="2"/>
  <c r="CV26" i="2"/>
  <c r="CV24" i="2"/>
  <c r="DZ16" i="3"/>
  <c r="FC8" i="3"/>
  <c r="DY37" i="3"/>
  <c r="DY23" i="2"/>
  <c r="DZ12" i="3" s="1"/>
  <c r="EB8" i="3"/>
  <c r="DZ27" i="2"/>
  <c r="DY51" i="2"/>
  <c r="CU32" i="2"/>
  <c r="CV38" i="3"/>
  <c r="CV16" i="2"/>
  <c r="CU20" i="3"/>
  <c r="CU24" i="18" s="1"/>
  <c r="CU34" i="2"/>
  <c r="CW7" i="3"/>
  <c r="CW11" i="18" s="1"/>
  <c r="ES9" i="3"/>
  <c r="CX9" i="3"/>
  <c r="CW15" i="2"/>
  <c r="CW28" i="2"/>
  <c r="CX12" i="2"/>
  <c r="CV13" i="3"/>
  <c r="CV11" i="3" s="1"/>
  <c r="CV16" i="18" s="1"/>
  <c r="CT35" i="2"/>
  <c r="CU18" i="3"/>
  <c r="CU36" i="3"/>
  <c r="CU79" i="18" s="1"/>
  <c r="CU237" i="18" s="1"/>
  <c r="CT91" i="2"/>
  <c r="CU78" i="3" s="1"/>
  <c r="CU131" i="18" s="1"/>
  <c r="CT88" i="2"/>
  <c r="CU52" i="3"/>
  <c r="CU11" i="3"/>
  <c r="CU16" i="18" s="1"/>
  <c r="CV52" i="3" l="1"/>
  <c r="CU48" i="3"/>
  <c r="CV42" i="18"/>
  <c r="CV36" i="3"/>
  <c r="CV79" i="18" s="1"/>
  <c r="CV18" i="3"/>
  <c r="DZ37" i="3"/>
  <c r="CU88" i="2"/>
  <c r="CV75" i="3" s="1"/>
  <c r="CV127" i="18" s="1"/>
  <c r="CU91" i="2"/>
  <c r="CV78" i="3" s="1"/>
  <c r="CV131" i="18" s="1"/>
  <c r="CW15" i="3"/>
  <c r="CW23" i="18" s="1"/>
  <c r="ER23" i="18" s="1"/>
  <c r="CV22" i="2"/>
  <c r="CX17" i="3"/>
  <c r="CW52" i="2"/>
  <c r="CW26" i="2"/>
  <c r="CW24" i="2"/>
  <c r="EA16" i="3"/>
  <c r="FC16" i="3" s="1"/>
  <c r="FC37" i="3" s="1"/>
  <c r="DZ51" i="2"/>
  <c r="DZ23" i="2"/>
  <c r="EA12" i="3" s="1"/>
  <c r="EA27" i="2"/>
  <c r="EC8" i="3"/>
  <c r="ER11" i="18"/>
  <c r="CV784" i="2"/>
  <c r="CW238" i="18" s="1"/>
  <c r="ER238" i="18" s="1"/>
  <c r="CU78" i="18"/>
  <c r="CU21" i="3"/>
  <c r="CW16" i="2"/>
  <c r="CV32" i="2"/>
  <c r="ES7" i="3"/>
  <c r="ES17" i="3"/>
  <c r="ES38" i="3" s="1"/>
  <c r="CW38" i="3"/>
  <c r="CX7" i="3"/>
  <c r="CX11" i="18" s="1"/>
  <c r="CW784" i="2" s="1"/>
  <c r="CX238" i="18" s="1"/>
  <c r="CW13" i="3"/>
  <c r="CY9" i="3"/>
  <c r="CX15" i="2"/>
  <c r="CY12" i="2"/>
  <c r="CX28" i="2"/>
  <c r="CV20" i="3"/>
  <c r="CV24" i="18" s="1"/>
  <c r="CV34" i="2"/>
  <c r="CU35" i="2"/>
  <c r="CU44" i="3"/>
  <c r="CV50" i="2"/>
  <c r="CU75" i="3"/>
  <c r="CU127" i="18" s="1"/>
  <c r="CT87" i="2"/>
  <c r="CV78" i="18" l="1"/>
  <c r="CV237" i="18"/>
  <c r="CV48" i="3"/>
  <c r="CV45" i="3" s="1"/>
  <c r="CU45" i="3"/>
  <c r="CV44" i="3"/>
  <c r="CV74" i="3"/>
  <c r="CV120" i="18" s="1"/>
  <c r="CU87" i="2"/>
  <c r="EA37" i="3"/>
  <c r="CW42" i="18"/>
  <c r="ER42" i="18" s="1"/>
  <c r="CW50" i="2"/>
  <c r="CW22" i="2"/>
  <c r="CX15" i="3"/>
  <c r="CX23" i="18" s="1"/>
  <c r="CY17" i="3"/>
  <c r="CX52" i="2"/>
  <c r="CX26" i="2"/>
  <c r="CX24" i="2"/>
  <c r="EA51" i="2"/>
  <c r="EB16" i="3"/>
  <c r="FC12" i="3"/>
  <c r="ED8" i="3"/>
  <c r="EB27" i="2"/>
  <c r="EA23" i="2"/>
  <c r="EB12" i="3" s="1"/>
  <c r="CT25" i="18"/>
  <c r="EQ25" i="18" s="1"/>
  <c r="FG25" i="18" s="1"/>
  <c r="EQ24" i="18"/>
  <c r="FG24" i="18" s="1"/>
  <c r="CV21" i="3"/>
  <c r="CX16" i="2"/>
  <c r="CW52" i="3"/>
  <c r="ES52" i="3" s="1"/>
  <c r="CV88" i="2"/>
  <c r="CV91" i="2"/>
  <c r="CW78" i="3" s="1"/>
  <c r="CW20" i="3"/>
  <c r="CW24" i="18" s="1"/>
  <c r="CW34" i="2"/>
  <c r="CW35" i="2" s="1"/>
  <c r="ES15" i="3"/>
  <c r="ES36" i="3" s="1"/>
  <c r="ES44" i="3" s="1"/>
  <c r="CW18" i="3"/>
  <c r="CW36" i="3"/>
  <c r="CX13" i="3"/>
  <c r="CW11" i="3"/>
  <c r="CW16" i="18" s="1"/>
  <c r="ES13" i="3"/>
  <c r="CV35" i="2"/>
  <c r="CW32" i="2"/>
  <c r="CZ9" i="3"/>
  <c r="CY28" i="2"/>
  <c r="CY15" i="2"/>
  <c r="CZ12" i="2"/>
  <c r="CY7" i="3"/>
  <c r="CY11" i="18" s="1"/>
  <c r="CX784" i="2" s="1"/>
  <c r="CY238" i="18" s="1"/>
  <c r="CU74" i="3"/>
  <c r="CU120" i="18" s="1"/>
  <c r="CX38" i="3"/>
  <c r="CW91" i="2" l="1"/>
  <c r="CX78" i="3" s="1"/>
  <c r="CX131" i="18" s="1"/>
  <c r="CW88" i="2"/>
  <c r="CX52" i="3"/>
  <c r="CX22" i="2"/>
  <c r="CY24" i="2"/>
  <c r="CX42" i="18"/>
  <c r="CX50" i="2"/>
  <c r="CY15" i="3"/>
  <c r="CY23" i="18" s="1"/>
  <c r="CZ17" i="3"/>
  <c r="CY52" i="2"/>
  <c r="CY26" i="2"/>
  <c r="EC16" i="3"/>
  <c r="FD8" i="3"/>
  <c r="EB37" i="3"/>
  <c r="EC37" i="3"/>
  <c r="EB23" i="2"/>
  <c r="EC12" i="3" s="1"/>
  <c r="EC27" i="2"/>
  <c r="EB51" i="2"/>
  <c r="CU25" i="18"/>
  <c r="ER16" i="18"/>
  <c r="CW44" i="3"/>
  <c r="CW79" i="18"/>
  <c r="ES78" i="3"/>
  <c r="CW131" i="18"/>
  <c r="ER131" i="18" s="1"/>
  <c r="ES20" i="3"/>
  <c r="ES21" i="3" s="1"/>
  <c r="CV25" i="18"/>
  <c r="CY16" i="2"/>
  <c r="CW21" i="3"/>
  <c r="DA9" i="3"/>
  <c r="CZ28" i="2"/>
  <c r="CZ15" i="2"/>
  <c r="DA12" i="2"/>
  <c r="CZ7" i="3"/>
  <c r="CZ11" i="18" s="1"/>
  <c r="ET9" i="3"/>
  <c r="CX11" i="3"/>
  <c r="CX16" i="18" s="1"/>
  <c r="ES11" i="3"/>
  <c r="CY38" i="3"/>
  <c r="CW75" i="3"/>
  <c r="CW127" i="18" s="1"/>
  <c r="ER127" i="18" s="1"/>
  <c r="CV87" i="2"/>
  <c r="CX18" i="3"/>
  <c r="ES18" i="3"/>
  <c r="CX20" i="3"/>
  <c r="CX24" i="18" s="1"/>
  <c r="CX34" i="2"/>
  <c r="CX36" i="3"/>
  <c r="CY13" i="3"/>
  <c r="CY11" i="3" s="1"/>
  <c r="CY16" i="18" s="1"/>
  <c r="CX32" i="2"/>
  <c r="CW48" i="3" l="1"/>
  <c r="CX88" i="2"/>
  <c r="CX91" i="2"/>
  <c r="CY78" i="3" s="1"/>
  <c r="CY131" i="18" s="1"/>
  <c r="CY52" i="3"/>
  <c r="CX75" i="3"/>
  <c r="CX127" i="18" s="1"/>
  <c r="CW87" i="2"/>
  <c r="CZ15" i="3"/>
  <c r="CZ23" i="18" s="1"/>
  <c r="CZ24" i="2"/>
  <c r="CY18" i="3"/>
  <c r="CY36" i="3"/>
  <c r="CY79" i="18" s="1"/>
  <c r="CY42" i="18"/>
  <c r="CY50" i="2"/>
  <c r="CY22" i="2"/>
  <c r="CZ52" i="2"/>
  <c r="DA17" i="3"/>
  <c r="CZ26" i="2"/>
  <c r="ED16" i="3"/>
  <c r="ED37" i="3" s="1"/>
  <c r="FK8" i="3"/>
  <c r="EC51" i="2"/>
  <c r="EC23" i="2"/>
  <c r="ED12" i="3" s="1"/>
  <c r="ES11" i="18"/>
  <c r="CY784" i="2"/>
  <c r="CZ238" i="18" s="1"/>
  <c r="ES238" i="18" s="1"/>
  <c r="CW78" i="18"/>
  <c r="ER78" i="18" s="1"/>
  <c r="CW237" i="18"/>
  <c r="ER79" i="18"/>
  <c r="CX44" i="3"/>
  <c r="CX79" i="18"/>
  <c r="CX21" i="3"/>
  <c r="CW25" i="18"/>
  <c r="ER25" i="18" s="1"/>
  <c r="CZ16" i="2"/>
  <c r="DB9" i="3"/>
  <c r="DA15" i="2"/>
  <c r="DA28" i="2"/>
  <c r="CW74" i="3"/>
  <c r="CW120" i="18" s="1"/>
  <c r="ER120" i="18" s="1"/>
  <c r="ES75" i="3"/>
  <c r="ES74" i="3" s="1"/>
  <c r="DA7" i="3"/>
  <c r="DA11" i="18" s="1"/>
  <c r="CZ784" i="2" s="1"/>
  <c r="DA238" i="18" s="1"/>
  <c r="CZ13" i="3"/>
  <c r="CZ11" i="3" s="1"/>
  <c r="CZ16" i="18" s="1"/>
  <c r="CY20" i="3"/>
  <c r="CY24" i="18" s="1"/>
  <c r="CY34" i="2"/>
  <c r="CY35" i="2" s="1"/>
  <c r="CY32" i="2"/>
  <c r="ET7" i="3"/>
  <c r="CZ38" i="3"/>
  <c r="CX35" i="2"/>
  <c r="ET17" i="3"/>
  <c r="ET38" i="3" s="1"/>
  <c r="ES48" i="3" l="1"/>
  <c r="CW45" i="3"/>
  <c r="CX48" i="3"/>
  <c r="CX45" i="3" s="1"/>
  <c r="ES23" i="18"/>
  <c r="CY75" i="3"/>
  <c r="CY127" i="18" s="1"/>
  <c r="CX87" i="2"/>
  <c r="CX74" i="3"/>
  <c r="CX120" i="18" s="1"/>
  <c r="CY237" i="18"/>
  <c r="CY78" i="18"/>
  <c r="CZ18" i="3"/>
  <c r="CZ36" i="3"/>
  <c r="CZ42" i="18"/>
  <c r="ES42" i="18" s="1"/>
  <c r="CZ22" i="2"/>
  <c r="FD16" i="3"/>
  <c r="FK16" i="3" s="1"/>
  <c r="CY44" i="3"/>
  <c r="CY91" i="2"/>
  <c r="CZ78" i="3" s="1"/>
  <c r="CZ52" i="3"/>
  <c r="ET52" i="3" s="1"/>
  <c r="CY88" i="2"/>
  <c r="DB17" i="3"/>
  <c r="DA52" i="2"/>
  <c r="DA26" i="2"/>
  <c r="DA24" i="2"/>
  <c r="DB12" i="2"/>
  <c r="DB15" i="2" s="1"/>
  <c r="FD12" i="3"/>
  <c r="ES16" i="18"/>
  <c r="ER24" i="18"/>
  <c r="CX78" i="18"/>
  <c r="CX237" i="18"/>
  <c r="CY21" i="3"/>
  <c r="DA38" i="3"/>
  <c r="DA15" i="3"/>
  <c r="DA23" i="18" s="1"/>
  <c r="DA16" i="2"/>
  <c r="DC9" i="3"/>
  <c r="DB28" i="2"/>
  <c r="DB52" i="2" s="1"/>
  <c r="DB7" i="3"/>
  <c r="DB11" i="18" s="1"/>
  <c r="DA784" i="2" s="1"/>
  <c r="DB238" i="18" s="1"/>
  <c r="ET13" i="3"/>
  <c r="CZ32" i="2"/>
  <c r="CZ50" i="2"/>
  <c r="CZ34" i="2"/>
  <c r="CZ20" i="3"/>
  <c r="DA13" i="3"/>
  <c r="ET15" i="3"/>
  <c r="CY48" i="3" l="1"/>
  <c r="CY45" i="3" s="1"/>
  <c r="CY74" i="3"/>
  <c r="CY120" i="18" s="1"/>
  <c r="CZ44" i="3"/>
  <c r="CZ79" i="18"/>
  <c r="ES79" i="18" s="1"/>
  <c r="ET78" i="3"/>
  <c r="CZ131" i="18"/>
  <c r="ES131" i="18" s="1"/>
  <c r="FD37" i="3"/>
  <c r="FK37" i="3"/>
  <c r="DB15" i="3"/>
  <c r="DB23" i="18" s="1"/>
  <c r="DA50" i="2"/>
  <c r="CZ75" i="3"/>
  <c r="CZ127" i="18" s="1"/>
  <c r="CY87" i="2"/>
  <c r="DB24" i="2"/>
  <c r="DC17" i="3"/>
  <c r="DB26" i="2"/>
  <c r="DA22" i="2"/>
  <c r="DC12" i="2"/>
  <c r="FK12" i="3"/>
  <c r="CY25" i="18"/>
  <c r="CZ24" i="18"/>
  <c r="CX25" i="18"/>
  <c r="DA42" i="18"/>
  <c r="DB16" i="2"/>
  <c r="DB38" i="3"/>
  <c r="DD9" i="3"/>
  <c r="DC28" i="2"/>
  <c r="ET18" i="3"/>
  <c r="DA18" i="3"/>
  <c r="DA52" i="3"/>
  <c r="CZ88" i="2"/>
  <c r="CZ91" i="2"/>
  <c r="DA78" i="3" s="1"/>
  <c r="DA131" i="18" s="1"/>
  <c r="DA32" i="2"/>
  <c r="DC7" i="3"/>
  <c r="DC11" i="18" s="1"/>
  <c r="EU9" i="3"/>
  <c r="DA36" i="3"/>
  <c r="DA20" i="3"/>
  <c r="DA24" i="18" s="1"/>
  <c r="DA34" i="2"/>
  <c r="ET11" i="3"/>
  <c r="CZ21" i="3"/>
  <c r="ET20" i="3"/>
  <c r="ET21" i="3" s="1"/>
  <c r="DB13" i="3"/>
  <c r="DB11" i="3" s="1"/>
  <c r="DB16" i="18" s="1"/>
  <c r="CZ35" i="2"/>
  <c r="ET36" i="3"/>
  <c r="ET44" i="3" s="1"/>
  <c r="DA11" i="3"/>
  <c r="DA16" i="18" s="1"/>
  <c r="CZ48" i="3" l="1"/>
  <c r="CZ45" i="3" s="1"/>
  <c r="ET48" i="3"/>
  <c r="DA48" i="3"/>
  <c r="CZ237" i="18"/>
  <c r="CZ78" i="18"/>
  <c r="ES78" i="18" s="1"/>
  <c r="DB42" i="18"/>
  <c r="DB50" i="2"/>
  <c r="DB36" i="3"/>
  <c r="DB79" i="18" s="1"/>
  <c r="DB18" i="3"/>
  <c r="CZ74" i="3"/>
  <c r="CZ120" i="18" s="1"/>
  <c r="ES120" i="18" s="1"/>
  <c r="ET75" i="3"/>
  <c r="ET74" i="3" s="1"/>
  <c r="DB22" i="2"/>
  <c r="ES127" i="18"/>
  <c r="DC15" i="2"/>
  <c r="DB52" i="3"/>
  <c r="DA88" i="2"/>
  <c r="DA91" i="2"/>
  <c r="DB78" i="3" s="1"/>
  <c r="DB131" i="18" s="1"/>
  <c r="DD17" i="3"/>
  <c r="DC26" i="2"/>
  <c r="DC52" i="2"/>
  <c r="DC24" i="2"/>
  <c r="DD12" i="2"/>
  <c r="DD15" i="2" s="1"/>
  <c r="ET11" i="18"/>
  <c r="DB784" i="2"/>
  <c r="DC238" i="18" s="1"/>
  <c r="ET238" i="18" s="1"/>
  <c r="DA21" i="3"/>
  <c r="DA44" i="3"/>
  <c r="DA79" i="18"/>
  <c r="DC38" i="3"/>
  <c r="DC15" i="3"/>
  <c r="DC23" i="18" s="1"/>
  <c r="DC16" i="2"/>
  <c r="DD7" i="3"/>
  <c r="DD11" i="18" s="1"/>
  <c r="DC784" i="2" s="1"/>
  <c r="DD238" i="18" s="1"/>
  <c r="EU7" i="3"/>
  <c r="DB20" i="3"/>
  <c r="DB24" i="18" s="1"/>
  <c r="DB34" i="2"/>
  <c r="DB35" i="2" s="1"/>
  <c r="EU17" i="3"/>
  <c r="DE9" i="3"/>
  <c r="DD28" i="2"/>
  <c r="CZ87" i="2"/>
  <c r="DA75" i="3"/>
  <c r="DA127" i="18" s="1"/>
  <c r="DA35" i="2"/>
  <c r="DC13" i="3"/>
  <c r="DB32" i="2"/>
  <c r="DA45" i="3" l="1"/>
  <c r="DC50" i="2"/>
  <c r="DC52" i="3"/>
  <c r="DB88" i="2"/>
  <c r="DB91" i="2"/>
  <c r="DC78" i="3" s="1"/>
  <c r="DB78" i="18"/>
  <c r="DB237" i="18"/>
  <c r="DB44" i="3"/>
  <c r="DB75" i="3"/>
  <c r="DB127" i="18" s="1"/>
  <c r="DA87" i="2"/>
  <c r="DD52" i="2"/>
  <c r="DD24" i="2"/>
  <c r="DC22" i="2"/>
  <c r="DE17" i="3"/>
  <c r="DD26" i="2"/>
  <c r="DE12" i="2"/>
  <c r="DA78" i="18"/>
  <c r="DA237" i="18"/>
  <c r="CZ25" i="18"/>
  <c r="ES25" i="18" s="1"/>
  <c r="ES24" i="18"/>
  <c r="DC42" i="18"/>
  <c r="ET42" i="18" s="1"/>
  <c r="ET23" i="18"/>
  <c r="DB21" i="3"/>
  <c r="DD38" i="3"/>
  <c r="DD15" i="3"/>
  <c r="DD16" i="2"/>
  <c r="DC20" i="3"/>
  <c r="DC24" i="18" s="1"/>
  <c r="DC34" i="2"/>
  <c r="DC35" i="2" s="1"/>
  <c r="EU15" i="3"/>
  <c r="DC18" i="3"/>
  <c r="DF9" i="3"/>
  <c r="EV9" i="3" s="1"/>
  <c r="DE28" i="2"/>
  <c r="DD13" i="3"/>
  <c r="DC32" i="2"/>
  <c r="EU38" i="3"/>
  <c r="DE7" i="3"/>
  <c r="DE11" i="18" s="1"/>
  <c r="DD784" i="2" s="1"/>
  <c r="DE238" i="18" s="1"/>
  <c r="DA74" i="3"/>
  <c r="DA120" i="18" s="1"/>
  <c r="DC11" i="3"/>
  <c r="DC16" i="18" s="1"/>
  <c r="EU13" i="3"/>
  <c r="DC36" i="3"/>
  <c r="DB48" i="3" l="1"/>
  <c r="DB45" i="3" s="1"/>
  <c r="DD52" i="3"/>
  <c r="DC88" i="2"/>
  <c r="DC91" i="2"/>
  <c r="DD78" i="3" s="1"/>
  <c r="DD131" i="18" s="1"/>
  <c r="DD22" i="2"/>
  <c r="EU52" i="3"/>
  <c r="DD50" i="2"/>
  <c r="EU78" i="3"/>
  <c r="DC131" i="18"/>
  <c r="ET131" i="18" s="1"/>
  <c r="DC75" i="3"/>
  <c r="DC127" i="18" s="1"/>
  <c r="DB87" i="2"/>
  <c r="DE15" i="3"/>
  <c r="DE23" i="18" s="1"/>
  <c r="DE15" i="2"/>
  <c r="DB74" i="3"/>
  <c r="DB120" i="18" s="1"/>
  <c r="DF17" i="3"/>
  <c r="DE26" i="2"/>
  <c r="DE52" i="2"/>
  <c r="DE24" i="2"/>
  <c r="DF12" i="2"/>
  <c r="DF15" i="2" s="1"/>
  <c r="DA25" i="18"/>
  <c r="ET16" i="18"/>
  <c r="EU20" i="3"/>
  <c r="EU21" i="3" s="1"/>
  <c r="DB25" i="18"/>
  <c r="DC44" i="3"/>
  <c r="DC79" i="18"/>
  <c r="DD36" i="3"/>
  <c r="DD79" i="18" s="1"/>
  <c r="DD23" i="18"/>
  <c r="DE38" i="3"/>
  <c r="DE16" i="2"/>
  <c r="DC21" i="3"/>
  <c r="EV7" i="3"/>
  <c r="FI9" i="3"/>
  <c r="EU18" i="3"/>
  <c r="DD11" i="3"/>
  <c r="DD16" i="18" s="1"/>
  <c r="DD20" i="3"/>
  <c r="DD24" i="18" s="1"/>
  <c r="DD34" i="2"/>
  <c r="DD35" i="2" s="1"/>
  <c r="DE13" i="3"/>
  <c r="DE11" i="3" s="1"/>
  <c r="DE16" i="18" s="1"/>
  <c r="DF7" i="3"/>
  <c r="DF11" i="18" s="1"/>
  <c r="EU11" i="3"/>
  <c r="EU36" i="3"/>
  <c r="EU44" i="3" s="1"/>
  <c r="DD18" i="3"/>
  <c r="DG9" i="3"/>
  <c r="DF28" i="2"/>
  <c r="DD32" i="2"/>
  <c r="DC48" i="3" l="1"/>
  <c r="DC45" i="3" s="1"/>
  <c r="EU48" i="3"/>
  <c r="DE22" i="2"/>
  <c r="DD75" i="3"/>
  <c r="DD127" i="18" s="1"/>
  <c r="DC87" i="2"/>
  <c r="DC74" i="3"/>
  <c r="DC120" i="18" s="1"/>
  <c r="ET127" i="18"/>
  <c r="EU75" i="3"/>
  <c r="EU74" i="3" s="1"/>
  <c r="DD88" i="2"/>
  <c r="DE52" i="3"/>
  <c r="DD91" i="2"/>
  <c r="DE78" i="3" s="1"/>
  <c r="DE131" i="18" s="1"/>
  <c r="DE42" i="18"/>
  <c r="DE36" i="3"/>
  <c r="DE18" i="3"/>
  <c r="DF24" i="2"/>
  <c r="DG17" i="3"/>
  <c r="DF26" i="2"/>
  <c r="DF52" i="2"/>
  <c r="DG12" i="2"/>
  <c r="DG15" i="2" s="1"/>
  <c r="EU11" i="18"/>
  <c r="FH11" i="18" s="1"/>
  <c r="DE784" i="2"/>
  <c r="DF238" i="18" s="1"/>
  <c r="EU238" i="18" s="1"/>
  <c r="FH238" i="18" s="1"/>
  <c r="DC78" i="18"/>
  <c r="ET78" i="18" s="1"/>
  <c r="DC237" i="18"/>
  <c r="ET79" i="18"/>
  <c r="DD78" i="18"/>
  <c r="DD237" i="18"/>
  <c r="DD44" i="3"/>
  <c r="DD42" i="18"/>
  <c r="DD21" i="3"/>
  <c r="DC25" i="18"/>
  <c r="ET25" i="18" s="1"/>
  <c r="DF38" i="3"/>
  <c r="DF15" i="3"/>
  <c r="DF23" i="18" s="1"/>
  <c r="DF42" i="18" s="1"/>
  <c r="DF16" i="2"/>
  <c r="EV17" i="3"/>
  <c r="DE32" i="2"/>
  <c r="DH9" i="3"/>
  <c r="DG28" i="2"/>
  <c r="DE20" i="3"/>
  <c r="DE24" i="18" s="1"/>
  <c r="DE34" i="2"/>
  <c r="DF13" i="3"/>
  <c r="DE50" i="2"/>
  <c r="FI7" i="3"/>
  <c r="DG7" i="3"/>
  <c r="DG11" i="18" s="1"/>
  <c r="DF784" i="2" s="1"/>
  <c r="DG238" i="18" s="1"/>
  <c r="DD48" i="3" l="1"/>
  <c r="DD45" i="3" s="1"/>
  <c r="DD74" i="3"/>
  <c r="DD120" i="18" s="1"/>
  <c r="ET120" i="18"/>
  <c r="DE75" i="3"/>
  <c r="DE127" i="18" s="1"/>
  <c r="DD87" i="2"/>
  <c r="DE79" i="18"/>
  <c r="DE44" i="3"/>
  <c r="DF22" i="2"/>
  <c r="DG24" i="2"/>
  <c r="DH17" i="3"/>
  <c r="DG26" i="2"/>
  <c r="DG52" i="2"/>
  <c r="DH12" i="2"/>
  <c r="DH15" i="2" s="1"/>
  <c r="EU23" i="18"/>
  <c r="FH23" i="18" s="1"/>
  <c r="EU42" i="18"/>
  <c r="FH42" i="18" s="1"/>
  <c r="ET24" i="18"/>
  <c r="DF36" i="3"/>
  <c r="DE21" i="3"/>
  <c r="DG38" i="3"/>
  <c r="DG15" i="3"/>
  <c r="DG16" i="2"/>
  <c r="DF32" i="2"/>
  <c r="DF20" i="3"/>
  <c r="DF24" i="18" s="1"/>
  <c r="DF34" i="2"/>
  <c r="DE35" i="2"/>
  <c r="DH7" i="3"/>
  <c r="DH11" i="18" s="1"/>
  <c r="DG784" i="2" s="1"/>
  <c r="DH238" i="18" s="1"/>
  <c r="DF50" i="2"/>
  <c r="EV15" i="3"/>
  <c r="FI17" i="3"/>
  <c r="EV38" i="3"/>
  <c r="DF18" i="3"/>
  <c r="DG13" i="3"/>
  <c r="DF11" i="3"/>
  <c r="DF16" i="18" s="1"/>
  <c r="EV13" i="3"/>
  <c r="DF52" i="3"/>
  <c r="EV52" i="3" s="1"/>
  <c r="FI52" i="3" s="1"/>
  <c r="DE88" i="2"/>
  <c r="DE91" i="2"/>
  <c r="DF78" i="3" s="1"/>
  <c r="DI9" i="3"/>
  <c r="DH28" i="2"/>
  <c r="DE48" i="3" l="1"/>
  <c r="DE45" i="3" s="1"/>
  <c r="DF48" i="3"/>
  <c r="DE74" i="3"/>
  <c r="DE120" i="18" s="1"/>
  <c r="DH24" i="2"/>
  <c r="DE78" i="18"/>
  <c r="DE237" i="18"/>
  <c r="DH15" i="3"/>
  <c r="DH23" i="18" s="1"/>
  <c r="DG22" i="2"/>
  <c r="DI17" i="3"/>
  <c r="DH26" i="2"/>
  <c r="DH52" i="2"/>
  <c r="DI12" i="2"/>
  <c r="DI15" i="2" s="1"/>
  <c r="DD25" i="18"/>
  <c r="EU16" i="18"/>
  <c r="FH16" i="18" s="1"/>
  <c r="EV20" i="3"/>
  <c r="FI20" i="3" s="1"/>
  <c r="DE25" i="18"/>
  <c r="EV78" i="3"/>
  <c r="FI78" i="3" s="1"/>
  <c r="DF131" i="18"/>
  <c r="EU131" i="18" s="1"/>
  <c r="FH131" i="18" s="1"/>
  <c r="DG36" i="3"/>
  <c r="DG23" i="18"/>
  <c r="DF44" i="3"/>
  <c r="DF79" i="18"/>
  <c r="DF21" i="3"/>
  <c r="DH16" i="2"/>
  <c r="DG32" i="2"/>
  <c r="DH38" i="3"/>
  <c r="DG50" i="2"/>
  <c r="DH13" i="3"/>
  <c r="DH11" i="3" s="1"/>
  <c r="DH16" i="18" s="1"/>
  <c r="DG11" i="3"/>
  <c r="DG16" i="18" s="1"/>
  <c r="FI15" i="3"/>
  <c r="FI38" i="3"/>
  <c r="DG20" i="3"/>
  <c r="DG24" i="18" s="1"/>
  <c r="DG34" i="2"/>
  <c r="DF75" i="3"/>
  <c r="DF127" i="18" s="1"/>
  <c r="EU127" i="18" s="1"/>
  <c r="FH127" i="18" s="1"/>
  <c r="DE87" i="2"/>
  <c r="EV18" i="3"/>
  <c r="EV36" i="3"/>
  <c r="EV44" i="3" s="1"/>
  <c r="DJ9" i="3"/>
  <c r="DI28" i="2"/>
  <c r="DI52" i="2" s="1"/>
  <c r="DF88" i="2"/>
  <c r="DF91" i="2"/>
  <c r="DG78" i="3" s="1"/>
  <c r="DG131" i="18" s="1"/>
  <c r="DG52" i="3"/>
  <c r="DF35" i="2"/>
  <c r="DI7" i="3"/>
  <c r="DI11" i="18" s="1"/>
  <c r="EW9" i="3"/>
  <c r="EV11" i="3"/>
  <c r="FI13" i="3"/>
  <c r="FI11" i="3" s="1"/>
  <c r="DG18" i="3"/>
  <c r="DF45" i="3" l="1"/>
  <c r="EV48" i="3"/>
  <c r="FI48" i="3" s="1"/>
  <c r="DH18" i="3"/>
  <c r="DH22" i="2"/>
  <c r="DH36" i="3"/>
  <c r="DH42" i="18"/>
  <c r="DH50" i="2"/>
  <c r="DI15" i="3"/>
  <c r="DI23" i="18" s="1"/>
  <c r="DJ17" i="3"/>
  <c r="DI26" i="2"/>
  <c r="DI24" i="2"/>
  <c r="DJ12" i="2"/>
  <c r="EV11" i="18"/>
  <c r="DH784" i="2"/>
  <c r="DI238" i="18" s="1"/>
  <c r="EV238" i="18" s="1"/>
  <c r="DF78" i="18"/>
  <c r="EU78" i="18" s="1"/>
  <c r="FH78" i="18" s="1"/>
  <c r="F20" i="24" s="1"/>
  <c r="DF237" i="18"/>
  <c r="EU79" i="18"/>
  <c r="FH79" i="18" s="1"/>
  <c r="F21" i="24" s="1"/>
  <c r="EV21" i="3"/>
  <c r="DG44" i="3"/>
  <c r="DG79" i="18"/>
  <c r="DG21" i="3"/>
  <c r="DG42" i="18"/>
  <c r="DI38" i="3"/>
  <c r="DI16" i="2"/>
  <c r="EW17" i="3"/>
  <c r="EW38" i="3" s="1"/>
  <c r="DI13" i="3"/>
  <c r="DI11" i="3" s="1"/>
  <c r="DI16" i="18" s="1"/>
  <c r="DH20" i="3"/>
  <c r="DH24" i="18" s="1"/>
  <c r="DH34" i="2"/>
  <c r="DH35" i="2" s="1"/>
  <c r="DG35" i="2"/>
  <c r="DG88" i="2"/>
  <c r="DH52" i="3"/>
  <c r="DG91" i="2"/>
  <c r="DH78" i="3" s="1"/>
  <c r="DH131" i="18" s="1"/>
  <c r="DF74" i="3"/>
  <c r="DF120" i="18" s="1"/>
  <c r="EU120" i="18" s="1"/>
  <c r="FH120" i="18" s="1"/>
  <c r="EV75" i="3"/>
  <c r="EW7" i="3"/>
  <c r="FI21" i="3"/>
  <c r="FI18" i="3"/>
  <c r="FI36" i="3"/>
  <c r="DK9" i="3"/>
  <c r="DJ28" i="2"/>
  <c r="DH32" i="2"/>
  <c r="DJ7" i="3"/>
  <c r="DJ11" i="18" s="1"/>
  <c r="DI784" i="2" s="1"/>
  <c r="DJ238" i="18" s="1"/>
  <c r="DG75" i="3"/>
  <c r="DG127" i="18" s="1"/>
  <c r="DF87" i="2"/>
  <c r="DG48" i="3" l="1"/>
  <c r="DG45" i="3"/>
  <c r="DH44" i="3"/>
  <c r="DH79" i="18"/>
  <c r="DI50" i="2"/>
  <c r="DJ15" i="2"/>
  <c r="DJ15" i="3"/>
  <c r="DJ23" i="18" s="1"/>
  <c r="EV23" i="18"/>
  <c r="DI42" i="18"/>
  <c r="DI36" i="3"/>
  <c r="DH88" i="2"/>
  <c r="DH91" i="2"/>
  <c r="DI78" i="3" s="1"/>
  <c r="DI131" i="18" s="1"/>
  <c r="DI52" i="3"/>
  <c r="DI18" i="3"/>
  <c r="DK17" i="3"/>
  <c r="DJ26" i="2"/>
  <c r="DJ24" i="2"/>
  <c r="DI22" i="2"/>
  <c r="DJ52" i="2"/>
  <c r="DK12" i="2"/>
  <c r="DK15" i="2" s="1"/>
  <c r="FI75" i="3"/>
  <c r="FI74" i="3" s="1"/>
  <c r="EV74" i="3"/>
  <c r="DG78" i="18"/>
  <c r="DG237" i="18"/>
  <c r="EV16" i="18"/>
  <c r="DF25" i="18"/>
  <c r="EU25" i="18" s="1"/>
  <c r="FH25" i="18" s="1"/>
  <c r="EU24" i="18"/>
  <c r="FH24" i="18" s="1"/>
  <c r="DH21" i="3"/>
  <c r="EW15" i="3"/>
  <c r="EW36" i="3" s="1"/>
  <c r="EW44" i="3" s="1"/>
  <c r="EW13" i="3"/>
  <c r="EW11" i="3" s="1"/>
  <c r="DJ16" i="2"/>
  <c r="DL9" i="3"/>
  <c r="EX9" i="3" s="1"/>
  <c r="DK28" i="2"/>
  <c r="DH75" i="3"/>
  <c r="DH127" i="18" s="1"/>
  <c r="DG87" i="2"/>
  <c r="DG74" i="3"/>
  <c r="DG120" i="18" s="1"/>
  <c r="DK7" i="3"/>
  <c r="DK11" i="18" s="1"/>
  <c r="DJ784" i="2" s="1"/>
  <c r="DK238" i="18" s="1"/>
  <c r="DI20" i="3"/>
  <c r="DI34" i="2"/>
  <c r="DJ13" i="3"/>
  <c r="DI32" i="2"/>
  <c r="DJ38" i="3"/>
  <c r="DH48" i="3" l="1"/>
  <c r="DH45" i="3" s="1"/>
  <c r="DJ22" i="2"/>
  <c r="DH78" i="18"/>
  <c r="DH237" i="18"/>
  <c r="DJ50" i="2"/>
  <c r="DK15" i="3"/>
  <c r="DK23" i="18" s="1"/>
  <c r="DJ36" i="3"/>
  <c r="DI91" i="2"/>
  <c r="DJ78" i="3" s="1"/>
  <c r="DJ131" i="18" s="1"/>
  <c r="DJ42" i="18"/>
  <c r="DI88" i="2"/>
  <c r="DJ52" i="3"/>
  <c r="EV131" i="18"/>
  <c r="DI75" i="3"/>
  <c r="DI127" i="18" s="1"/>
  <c r="EV42" i="18"/>
  <c r="DI44" i="3"/>
  <c r="DI79" i="18"/>
  <c r="EW78" i="3"/>
  <c r="EW52" i="3"/>
  <c r="DH87" i="2"/>
  <c r="DK24" i="2"/>
  <c r="DL17" i="3"/>
  <c r="DK26" i="2"/>
  <c r="DK52" i="2"/>
  <c r="DL12" i="2"/>
  <c r="DH25" i="18"/>
  <c r="DI24" i="18"/>
  <c r="DG25" i="18"/>
  <c r="DH74" i="3"/>
  <c r="DH120" i="18" s="1"/>
  <c r="DK50" i="2"/>
  <c r="EW18" i="3"/>
  <c r="DK16" i="2"/>
  <c r="DK38" i="3"/>
  <c r="DJ20" i="3"/>
  <c r="DJ24" i="18" s="1"/>
  <c r="DJ34" i="2"/>
  <c r="DJ35" i="2" s="1"/>
  <c r="DJ32" i="2"/>
  <c r="DI21" i="3"/>
  <c r="EW20" i="3"/>
  <c r="DM9" i="3"/>
  <c r="DL28" i="2"/>
  <c r="DI35" i="2"/>
  <c r="DJ18" i="3"/>
  <c r="DL7" i="3"/>
  <c r="DL11" i="18" s="1"/>
  <c r="DJ11" i="3"/>
  <c r="DJ16" i="18" s="1"/>
  <c r="EX7" i="3"/>
  <c r="DK13" i="3"/>
  <c r="DK11" i="3" s="1"/>
  <c r="DK16" i="18" s="1"/>
  <c r="DK22" i="2" l="1"/>
  <c r="DI48" i="3"/>
  <c r="DJ88" i="2"/>
  <c r="DJ91" i="2"/>
  <c r="DK78" i="3" s="1"/>
  <c r="DK131" i="18" s="1"/>
  <c r="DK52" i="3"/>
  <c r="DK18" i="3"/>
  <c r="DK42" i="18"/>
  <c r="DK36" i="3"/>
  <c r="DJ44" i="3"/>
  <c r="DJ79" i="18"/>
  <c r="EW75" i="3"/>
  <c r="DL15" i="2"/>
  <c r="DJ75" i="3"/>
  <c r="DJ127" i="18" s="1"/>
  <c r="DI87" i="2"/>
  <c r="EV79" i="18"/>
  <c r="DI74" i="3"/>
  <c r="DI120" i="18" s="1"/>
  <c r="EW74" i="3"/>
  <c r="DI78" i="18"/>
  <c r="EV78" i="18" s="1"/>
  <c r="DI237" i="18"/>
  <c r="DM17" i="3"/>
  <c r="DL26" i="2"/>
  <c r="DL24" i="2"/>
  <c r="DL52" i="2"/>
  <c r="DM12" i="2"/>
  <c r="DM15" i="2" s="1"/>
  <c r="EW11" i="18"/>
  <c r="DK784" i="2"/>
  <c r="DL238" i="18" s="1"/>
  <c r="EW238" i="18" s="1"/>
  <c r="EV127" i="18"/>
  <c r="DJ21" i="3"/>
  <c r="DL38" i="3"/>
  <c r="DL15" i="3"/>
  <c r="DL16" i="2"/>
  <c r="DK91" i="2"/>
  <c r="DL78" i="3" s="1"/>
  <c r="DL52" i="3"/>
  <c r="DK88" i="2"/>
  <c r="DK32" i="2"/>
  <c r="DN9" i="3"/>
  <c r="DM28" i="2"/>
  <c r="EX17" i="3"/>
  <c r="DM7" i="3"/>
  <c r="DM11" i="18" s="1"/>
  <c r="DL784" i="2" s="1"/>
  <c r="DM238" i="18" s="1"/>
  <c r="DK20" i="3"/>
  <c r="DK24" i="18" s="1"/>
  <c r="DK34" i="2"/>
  <c r="EW21" i="3"/>
  <c r="DL13" i="3"/>
  <c r="DL11" i="3" s="1"/>
  <c r="DL16" i="18" s="1"/>
  <c r="DJ48" i="3" l="1"/>
  <c r="DJ45" i="3" s="1"/>
  <c r="DI45" i="3"/>
  <c r="EW48" i="3"/>
  <c r="EX52" i="3"/>
  <c r="DK44" i="3"/>
  <c r="DK79" i="18"/>
  <c r="DK75" i="3"/>
  <c r="DK127" i="18" s="1"/>
  <c r="DJ87" i="2"/>
  <c r="DJ74" i="3"/>
  <c r="DJ120" i="18" s="1"/>
  <c r="DJ78" i="18"/>
  <c r="DJ237" i="18"/>
  <c r="DL50" i="2"/>
  <c r="EV120" i="18"/>
  <c r="DM52" i="2"/>
  <c r="DN17" i="3"/>
  <c r="DM26" i="2"/>
  <c r="DM24" i="2"/>
  <c r="DL22" i="2"/>
  <c r="DN12" i="2"/>
  <c r="DI25" i="18"/>
  <c r="EV25" i="18" s="1"/>
  <c r="EV24" i="18"/>
  <c r="EW16" i="18"/>
  <c r="DK21" i="3"/>
  <c r="EX78" i="3"/>
  <c r="DL131" i="18"/>
  <c r="EW131" i="18" s="1"/>
  <c r="DL36" i="3"/>
  <c r="DL23" i="18"/>
  <c r="EW23" i="18" s="1"/>
  <c r="DM38" i="3"/>
  <c r="DM15" i="3"/>
  <c r="DM23" i="18" s="1"/>
  <c r="EX13" i="3"/>
  <c r="EX11" i="3" s="1"/>
  <c r="DM16" i="2"/>
  <c r="DO9" i="3"/>
  <c r="EY9" i="3" s="1"/>
  <c r="DN28" i="2"/>
  <c r="DN52" i="2" s="1"/>
  <c r="DM13" i="3"/>
  <c r="DL20" i="3"/>
  <c r="DL24" i="18" s="1"/>
  <c r="DL34" i="2"/>
  <c r="DL35" i="2" s="1"/>
  <c r="DL32" i="2"/>
  <c r="EX15" i="3"/>
  <c r="EX38" i="3"/>
  <c r="DK35" i="2"/>
  <c r="DN7" i="3"/>
  <c r="DN11" i="18" s="1"/>
  <c r="DM784" i="2" s="1"/>
  <c r="DN238" i="18" s="1"/>
  <c r="DL18" i="3"/>
  <c r="DL75" i="3"/>
  <c r="DL127" i="18" s="1"/>
  <c r="DK87" i="2"/>
  <c r="DK48" i="3" l="1"/>
  <c r="DK45" i="3" s="1"/>
  <c r="DK237" i="18"/>
  <c r="DK78" i="18"/>
  <c r="DK74" i="3"/>
  <c r="DK120" i="18" s="1"/>
  <c r="DM50" i="2"/>
  <c r="DM52" i="3"/>
  <c r="DL88" i="2"/>
  <c r="DL91" i="2"/>
  <c r="DM78" i="3" s="1"/>
  <c r="DM131" i="18" s="1"/>
  <c r="DN15" i="3"/>
  <c r="DN23" i="18" s="1"/>
  <c r="DN15" i="2"/>
  <c r="DM22" i="2"/>
  <c r="DO17" i="3"/>
  <c r="DN26" i="2"/>
  <c r="DN24" i="2"/>
  <c r="DO12" i="2"/>
  <c r="DO15" i="2" s="1"/>
  <c r="EW127" i="18"/>
  <c r="DJ25" i="18"/>
  <c r="DL44" i="3"/>
  <c r="DL79" i="18"/>
  <c r="DL21" i="3"/>
  <c r="DK25" i="18"/>
  <c r="DL42" i="18"/>
  <c r="EW42" i="18" s="1"/>
  <c r="DM42" i="18"/>
  <c r="DN38" i="3"/>
  <c r="DN16" i="2"/>
  <c r="EX20" i="3"/>
  <c r="EX21" i="3" s="1"/>
  <c r="DM18" i="3"/>
  <c r="DM11" i="3"/>
  <c r="DM16" i="18" s="1"/>
  <c r="EY7" i="3"/>
  <c r="DP9" i="3"/>
  <c r="DO28" i="2"/>
  <c r="DL74" i="3"/>
  <c r="DL120" i="18" s="1"/>
  <c r="EX75" i="3"/>
  <c r="EX74" i="3" s="1"/>
  <c r="EX18" i="3"/>
  <c r="EX36" i="3"/>
  <c r="DM20" i="3"/>
  <c r="DM24" i="18" s="1"/>
  <c r="DM34" i="2"/>
  <c r="DO7" i="3"/>
  <c r="DO11" i="18" s="1"/>
  <c r="DM32" i="2"/>
  <c r="DN13" i="3"/>
  <c r="DN11" i="3" s="1"/>
  <c r="DN16" i="18" s="1"/>
  <c r="DN22" i="2"/>
  <c r="DM36" i="3"/>
  <c r="DL48" i="3" l="1"/>
  <c r="EW120" i="18"/>
  <c r="DO15" i="3"/>
  <c r="DO23" i="18" s="1"/>
  <c r="DL87" i="2"/>
  <c r="DN52" i="3"/>
  <c r="DM75" i="3"/>
  <c r="DM127" i="18" s="1"/>
  <c r="DM88" i="2"/>
  <c r="DM91" i="2"/>
  <c r="DN78" i="3" s="1"/>
  <c r="DN131" i="18" s="1"/>
  <c r="DN42" i="18"/>
  <c r="DN36" i="3"/>
  <c r="DN79" i="18" s="1"/>
  <c r="DN18" i="3"/>
  <c r="DO24" i="2"/>
  <c r="DP17" i="3"/>
  <c r="DO26" i="2"/>
  <c r="DO52" i="2"/>
  <c r="DP12" i="2"/>
  <c r="DP15" i="2" s="1"/>
  <c r="EX11" i="18"/>
  <c r="DN784" i="2"/>
  <c r="DO238" i="18" s="1"/>
  <c r="EX238" i="18" s="1"/>
  <c r="DL78" i="18"/>
  <c r="EW78" i="18" s="1"/>
  <c r="DL237" i="18"/>
  <c r="EW79" i="18"/>
  <c r="DM21" i="3"/>
  <c r="DM44" i="3"/>
  <c r="DM79" i="18"/>
  <c r="DO16" i="2"/>
  <c r="DN20" i="3"/>
  <c r="DN24" i="18" s="1"/>
  <c r="DN34" i="2"/>
  <c r="DN35" i="2" s="1"/>
  <c r="EY17" i="3"/>
  <c r="DO13" i="3"/>
  <c r="DO11" i="3" s="1"/>
  <c r="DO16" i="18" s="1"/>
  <c r="DM35" i="2"/>
  <c r="EX44" i="3"/>
  <c r="FG44" i="3"/>
  <c r="DN32" i="2"/>
  <c r="DN50" i="2"/>
  <c r="DQ9" i="3"/>
  <c r="DP28" i="2"/>
  <c r="DP7" i="3"/>
  <c r="DP11" i="18" s="1"/>
  <c r="DO784" i="2" s="1"/>
  <c r="DP238" i="18" s="1"/>
  <c r="DO38" i="3"/>
  <c r="DM48" i="3" l="1"/>
  <c r="DM45" i="3" s="1"/>
  <c r="EX48" i="3"/>
  <c r="DL45" i="3"/>
  <c r="EX23" i="18"/>
  <c r="DO42" i="18"/>
  <c r="DM74" i="3"/>
  <c r="DM120" i="18" s="1"/>
  <c r="DN75" i="3"/>
  <c r="DN127" i="18" s="1"/>
  <c r="DM87" i="2"/>
  <c r="DO50" i="2"/>
  <c r="DN78" i="18"/>
  <c r="DN237" i="18"/>
  <c r="EX42" i="18"/>
  <c r="DN44" i="3"/>
  <c r="DP15" i="3"/>
  <c r="DP23" i="18" s="1"/>
  <c r="DQ17" i="3"/>
  <c r="DQ15" i="3" s="1"/>
  <c r="DQ23" i="18" s="1"/>
  <c r="DP26" i="2"/>
  <c r="DP52" i="2"/>
  <c r="DP24" i="2"/>
  <c r="DO22" i="2"/>
  <c r="DQ12" i="2"/>
  <c r="DQ15" i="2" s="1"/>
  <c r="EX16" i="18"/>
  <c r="DL25" i="18"/>
  <c r="EW25" i="18" s="1"/>
  <c r="EW24" i="18"/>
  <c r="DM78" i="18"/>
  <c r="DM237" i="18"/>
  <c r="DN21" i="3"/>
  <c r="DP16" i="2"/>
  <c r="EY13" i="3"/>
  <c r="EY11" i="3" s="1"/>
  <c r="DO32" i="2"/>
  <c r="EY15" i="3"/>
  <c r="EY38" i="3"/>
  <c r="DP38" i="3"/>
  <c r="DO18" i="3"/>
  <c r="DP13" i="3"/>
  <c r="DO52" i="3"/>
  <c r="EY52" i="3" s="1"/>
  <c r="DN88" i="2"/>
  <c r="DN91" i="2"/>
  <c r="DO78" i="3" s="1"/>
  <c r="DR9" i="3"/>
  <c r="DQ28" i="2"/>
  <c r="DQ52" i="2" s="1"/>
  <c r="DQ7" i="3"/>
  <c r="DQ11" i="18" s="1"/>
  <c r="DP784" i="2" s="1"/>
  <c r="DQ238" i="18" s="1"/>
  <c r="DO36" i="3"/>
  <c r="DO20" i="3"/>
  <c r="DO24" i="18" s="1"/>
  <c r="DO34" i="2"/>
  <c r="DO35" i="2" s="1"/>
  <c r="DN48" i="3" l="1"/>
  <c r="DN45" i="3" s="1"/>
  <c r="DP22" i="2"/>
  <c r="DP50" i="2"/>
  <c r="DN74" i="3"/>
  <c r="DN120" i="18" s="1"/>
  <c r="DP52" i="3"/>
  <c r="DO88" i="2"/>
  <c r="DO91" i="2"/>
  <c r="DP78" i="3" s="1"/>
  <c r="DP131" i="18" s="1"/>
  <c r="DP42" i="18"/>
  <c r="DP36" i="3"/>
  <c r="DP79" i="18" s="1"/>
  <c r="DQ24" i="2"/>
  <c r="DR17" i="3"/>
  <c r="DQ26" i="2"/>
  <c r="DQ50" i="2" s="1"/>
  <c r="DS9" i="3"/>
  <c r="DS7" i="3" s="1"/>
  <c r="DS11" i="18" s="1"/>
  <c r="DR28" i="2"/>
  <c r="DR12" i="2"/>
  <c r="DM25" i="18"/>
  <c r="DO21" i="3"/>
  <c r="DN25" i="18"/>
  <c r="EY78" i="3"/>
  <c r="DO131" i="18"/>
  <c r="EX131" i="18" s="1"/>
  <c r="DO44" i="3"/>
  <c r="DO79" i="18"/>
  <c r="DQ42" i="18"/>
  <c r="DQ16" i="2"/>
  <c r="DQ36" i="3"/>
  <c r="DQ38" i="3"/>
  <c r="DR7" i="3"/>
  <c r="DR11" i="18" s="1"/>
  <c r="EY18" i="3"/>
  <c r="EY36" i="3"/>
  <c r="DP11" i="3"/>
  <c r="DP16" i="18" s="1"/>
  <c r="DP32" i="2"/>
  <c r="EY20" i="3"/>
  <c r="EY21" i="3" s="1"/>
  <c r="DQ18" i="3"/>
  <c r="DP18" i="3"/>
  <c r="EZ9" i="3"/>
  <c r="DN87" i="2"/>
  <c r="DO75" i="3"/>
  <c r="DO127" i="18" s="1"/>
  <c r="EX127" i="18" s="1"/>
  <c r="DP20" i="3"/>
  <c r="DP24" i="18" s="1"/>
  <c r="DP34" i="2"/>
  <c r="DP35" i="2" s="1"/>
  <c r="DQ13" i="3"/>
  <c r="DQ11" i="3" s="1"/>
  <c r="DQ16" i="18" s="1"/>
  <c r="DO48" i="3" l="1"/>
  <c r="DO45" i="3" s="1"/>
  <c r="EY48" i="3"/>
  <c r="DP91" i="2"/>
  <c r="DQ78" i="3" s="1"/>
  <c r="DQ131" i="18" s="1"/>
  <c r="DQ52" i="3"/>
  <c r="DP88" i="2"/>
  <c r="DQ22" i="2"/>
  <c r="DP75" i="3"/>
  <c r="DP127" i="18" s="1"/>
  <c r="DO87" i="2"/>
  <c r="DP237" i="18"/>
  <c r="DP44" i="3"/>
  <c r="DP78" i="18"/>
  <c r="DR15" i="3"/>
  <c r="DR23" i="18" s="1"/>
  <c r="DS17" i="3"/>
  <c r="DR26" i="2"/>
  <c r="DR24" i="2"/>
  <c r="DR52" i="2"/>
  <c r="DT9" i="3"/>
  <c r="DT7" i="3" s="1"/>
  <c r="DT11" i="18" s="1"/>
  <c r="DS15" i="3"/>
  <c r="DS23" i="18" s="1"/>
  <c r="DS38" i="3"/>
  <c r="DS13" i="3"/>
  <c r="DR16" i="2"/>
  <c r="DR15" i="2"/>
  <c r="DS28" i="2"/>
  <c r="DS12" i="2"/>
  <c r="DS16" i="2" s="1"/>
  <c r="EY11" i="18"/>
  <c r="FI11" i="18" s="1"/>
  <c r="DQ784" i="2"/>
  <c r="DO78" i="18"/>
  <c r="EX78" i="18" s="1"/>
  <c r="DO237" i="18"/>
  <c r="EX79" i="18"/>
  <c r="DQ44" i="3"/>
  <c r="DQ79" i="18"/>
  <c r="DP21" i="3"/>
  <c r="DR38" i="3"/>
  <c r="EZ17" i="3"/>
  <c r="EZ38" i="3" s="1"/>
  <c r="EY44" i="3"/>
  <c r="FH44" i="3"/>
  <c r="EZ7" i="3"/>
  <c r="FJ9" i="3"/>
  <c r="DQ32" i="2"/>
  <c r="DQ20" i="3"/>
  <c r="DQ24" i="18" s="1"/>
  <c r="DQ25" i="18" s="1"/>
  <c r="DQ34" i="2"/>
  <c r="DQ91" i="2"/>
  <c r="DR78" i="3" s="1"/>
  <c r="DR52" i="3"/>
  <c r="DQ88" i="2"/>
  <c r="DR13" i="3"/>
  <c r="DR11" i="3" s="1"/>
  <c r="DR16" i="18" s="1"/>
  <c r="DO74" i="3"/>
  <c r="DO120" i="18" s="1"/>
  <c r="EX120" i="18" s="1"/>
  <c r="EY75" i="3"/>
  <c r="EY74" i="3" s="1"/>
  <c r="DP48" i="3" l="1"/>
  <c r="DP45" i="3" s="1"/>
  <c r="DP87" i="2"/>
  <c r="EZ52" i="3"/>
  <c r="FJ52" i="3" s="1"/>
  <c r="DQ75" i="3"/>
  <c r="DQ127" i="18" s="1"/>
  <c r="DP74" i="3"/>
  <c r="DP120" i="18" s="1"/>
  <c r="DR36" i="3"/>
  <c r="DS24" i="2"/>
  <c r="EY23" i="18"/>
  <c r="FI23" i="18" s="1"/>
  <c r="DS52" i="2"/>
  <c r="DR42" i="18"/>
  <c r="EY42" i="18" s="1"/>
  <c r="FI42" i="18" s="1"/>
  <c r="DR18" i="3"/>
  <c r="DT17" i="3"/>
  <c r="DS26" i="2"/>
  <c r="DU9" i="3"/>
  <c r="DS42" i="18"/>
  <c r="DU7" i="3"/>
  <c r="DU11" i="18" s="1"/>
  <c r="EZ11" i="18" s="1"/>
  <c r="DS11" i="3"/>
  <c r="DS16" i="18" s="1"/>
  <c r="DS36" i="3"/>
  <c r="DS18" i="3"/>
  <c r="DT28" i="2"/>
  <c r="DT12" i="2"/>
  <c r="DS15" i="2"/>
  <c r="DR32" i="2"/>
  <c r="DR50" i="2"/>
  <c r="DR20" i="3"/>
  <c r="DR24" i="18" s="1"/>
  <c r="DR25" i="18" s="1"/>
  <c r="DR34" i="2"/>
  <c r="DR22" i="2"/>
  <c r="DR784" i="2"/>
  <c r="DR238" i="18"/>
  <c r="EY238" i="18" s="1"/>
  <c r="FI238" i="18" s="1"/>
  <c r="DO25" i="18"/>
  <c r="EX25" i="18" s="1"/>
  <c r="EX24" i="18"/>
  <c r="EY16" i="18"/>
  <c r="FI16" i="18" s="1"/>
  <c r="DQ78" i="18"/>
  <c r="DQ237" i="18"/>
  <c r="EZ78" i="3"/>
  <c r="FJ78" i="3" s="1"/>
  <c r="DR131" i="18"/>
  <c r="EY131" i="18" s="1"/>
  <c r="FI131" i="18" s="1"/>
  <c r="DQ21" i="3"/>
  <c r="EZ15" i="3"/>
  <c r="EZ36" i="3" s="1"/>
  <c r="EZ44" i="3" s="1"/>
  <c r="FJ17" i="3"/>
  <c r="FJ15" i="3" s="1"/>
  <c r="DR75" i="3"/>
  <c r="DR127" i="18" s="1"/>
  <c r="DQ87" i="2"/>
  <c r="FJ7" i="3"/>
  <c r="EZ13" i="3"/>
  <c r="DQ35" i="2"/>
  <c r="DQ48" i="3" l="1"/>
  <c r="DQ45" i="3" s="1"/>
  <c r="DQ74" i="3"/>
  <c r="DQ120" i="18" s="1"/>
  <c r="FA9" i="3"/>
  <c r="DS50" i="2"/>
  <c r="DR44" i="3"/>
  <c r="DR79" i="18"/>
  <c r="EY79" i="18" s="1"/>
  <c r="FI79" i="18" s="1"/>
  <c r="G21" i="24" s="1"/>
  <c r="DU17" i="3"/>
  <c r="DT26" i="2"/>
  <c r="DT24" i="2"/>
  <c r="DT52" i="2"/>
  <c r="DV9" i="3"/>
  <c r="DS784" i="2"/>
  <c r="DS238" i="18"/>
  <c r="DS44" i="3"/>
  <c r="DS79" i="18"/>
  <c r="DS32" i="2"/>
  <c r="DS34" i="2"/>
  <c r="DS20" i="3"/>
  <c r="DS24" i="18" s="1"/>
  <c r="DT15" i="3"/>
  <c r="DT23" i="18" s="1"/>
  <c r="DT38" i="3"/>
  <c r="DS22" i="2"/>
  <c r="DT13" i="3"/>
  <c r="DR21" i="3"/>
  <c r="EZ20" i="3"/>
  <c r="FJ20" i="3" s="1"/>
  <c r="FJ21" i="3" s="1"/>
  <c r="DT15" i="2"/>
  <c r="DT16" i="2"/>
  <c r="DR88" i="2"/>
  <c r="DS52" i="3"/>
  <c r="DR91" i="2"/>
  <c r="DS78" i="3" s="1"/>
  <c r="DS131" i="18" s="1"/>
  <c r="DU28" i="2"/>
  <c r="DU12" i="2"/>
  <c r="DR35" i="2"/>
  <c r="DP25" i="18"/>
  <c r="EY25" i="18" s="1"/>
  <c r="FI25" i="18" s="1"/>
  <c r="EY24" i="18"/>
  <c r="FI24" i="18" s="1"/>
  <c r="EY127" i="18"/>
  <c r="FI127" i="18" s="1"/>
  <c r="EZ18" i="3"/>
  <c r="FJ36" i="3"/>
  <c r="FJ44" i="3" s="1"/>
  <c r="FJ38" i="3"/>
  <c r="FI44" i="3"/>
  <c r="DR74" i="3"/>
  <c r="DR120" i="18" s="1"/>
  <c r="EZ75" i="3"/>
  <c r="FJ18" i="3"/>
  <c r="EZ11" i="3"/>
  <c r="FJ13" i="3"/>
  <c r="FJ11" i="3" s="1"/>
  <c r="DR48" i="3" l="1"/>
  <c r="EY120" i="18"/>
  <c r="FI120" i="18" s="1"/>
  <c r="DU15" i="3"/>
  <c r="FA17" i="3"/>
  <c r="DS88" i="2"/>
  <c r="DT75" i="3" s="1"/>
  <c r="DT127" i="18" s="1"/>
  <c r="DT52" i="3"/>
  <c r="FA38" i="3"/>
  <c r="FA7" i="3"/>
  <c r="DS91" i="2"/>
  <c r="DT78" i="3" s="1"/>
  <c r="DT131" i="18" s="1"/>
  <c r="DU38" i="3"/>
  <c r="DR78" i="18"/>
  <c r="EY78" i="18" s="1"/>
  <c r="FI78" i="18" s="1"/>
  <c r="G20" i="24" s="1"/>
  <c r="DR237" i="18"/>
  <c r="DU24" i="2"/>
  <c r="DU52" i="2"/>
  <c r="DV7" i="3"/>
  <c r="DV11" i="18" s="1"/>
  <c r="DV17" i="3"/>
  <c r="DU26" i="2"/>
  <c r="DW9" i="3"/>
  <c r="DS25" i="18"/>
  <c r="DT42" i="18"/>
  <c r="DS78" i="18"/>
  <c r="DS237" i="18"/>
  <c r="DT784" i="2"/>
  <c r="DT238" i="18"/>
  <c r="EZ21" i="3"/>
  <c r="DR87" i="2"/>
  <c r="DS75" i="3"/>
  <c r="DS127" i="18" s="1"/>
  <c r="DT11" i="3"/>
  <c r="DT16" i="18" s="1"/>
  <c r="FJ75" i="3"/>
  <c r="FJ74" i="3" s="1"/>
  <c r="EZ74" i="3"/>
  <c r="DT18" i="3"/>
  <c r="DT36" i="3"/>
  <c r="DT22" i="2"/>
  <c r="DU13" i="3"/>
  <c r="DU11" i="3" s="1"/>
  <c r="DU16" i="18" s="1"/>
  <c r="DS21" i="3"/>
  <c r="DS35" i="2"/>
  <c r="DT20" i="3"/>
  <c r="DU15" i="2"/>
  <c r="DV28" i="2"/>
  <c r="DV12" i="2"/>
  <c r="DV16" i="2" s="1"/>
  <c r="DT32" i="2"/>
  <c r="DU16" i="2"/>
  <c r="DT34" i="2"/>
  <c r="DT50" i="2"/>
  <c r="DS48" i="3" l="1"/>
  <c r="DS45" i="3" s="1"/>
  <c r="EZ48" i="3"/>
  <c r="FJ48" i="3" s="1"/>
  <c r="DR45" i="3"/>
  <c r="DV38" i="3"/>
  <c r="FA15" i="3"/>
  <c r="FA18" i="3" s="1"/>
  <c r="DT74" i="3"/>
  <c r="DT120" i="18" s="1"/>
  <c r="DU18" i="3"/>
  <c r="DU36" i="3"/>
  <c r="DU23" i="18"/>
  <c r="DS87" i="2"/>
  <c r="DW7" i="3"/>
  <c r="DW11" i="18" s="1"/>
  <c r="DV15" i="3"/>
  <c r="DV23" i="18" s="1"/>
  <c r="DV42" i="18" s="1"/>
  <c r="DV24" i="2"/>
  <c r="DV52" i="2"/>
  <c r="EZ16" i="18"/>
  <c r="DW17" i="3"/>
  <c r="DV26" i="2"/>
  <c r="DV50" i="2" s="1"/>
  <c r="DW15" i="3"/>
  <c r="DX9" i="3"/>
  <c r="FB9" i="3" s="1"/>
  <c r="FB7" i="3" s="1"/>
  <c r="FA13" i="3"/>
  <c r="FA11" i="3" s="1"/>
  <c r="DU784" i="2"/>
  <c r="DU238" i="18"/>
  <c r="EZ238" i="18" s="1"/>
  <c r="DT21" i="3"/>
  <c r="DT24" i="18"/>
  <c r="DT44" i="3"/>
  <c r="DT79" i="18"/>
  <c r="DU22" i="2"/>
  <c r="DV13" i="3"/>
  <c r="DS74" i="3"/>
  <c r="DS120" i="18" s="1"/>
  <c r="DT35" i="2"/>
  <c r="DU20" i="3"/>
  <c r="DU24" i="18" s="1"/>
  <c r="DU32" i="2"/>
  <c r="DU34" i="2"/>
  <c r="DU50" i="2"/>
  <c r="DV15" i="2"/>
  <c r="DW28" i="2"/>
  <c r="DW12" i="2"/>
  <c r="DT91" i="2"/>
  <c r="DU78" i="3" s="1"/>
  <c r="DT88" i="2"/>
  <c r="DU75" i="3" s="1"/>
  <c r="DU127" i="18" s="1"/>
  <c r="EZ127" i="18" s="1"/>
  <c r="DU52" i="3"/>
  <c r="FA52" i="3" s="1"/>
  <c r="DT48" i="3" l="1"/>
  <c r="DT45" i="3" s="1"/>
  <c r="FA36" i="3"/>
  <c r="FA44" i="3" s="1"/>
  <c r="DU44" i="3"/>
  <c r="DU79" i="18"/>
  <c r="EZ23" i="18"/>
  <c r="DU42" i="18"/>
  <c r="EZ42" i="18" s="1"/>
  <c r="DU25" i="18"/>
  <c r="DV18" i="3"/>
  <c r="DV36" i="3"/>
  <c r="DX17" i="3"/>
  <c r="DW26" i="2"/>
  <c r="DW52" i="2"/>
  <c r="DX7" i="3"/>
  <c r="DX11" i="18" s="1"/>
  <c r="FA11" i="18" s="1"/>
  <c r="DW24" i="2"/>
  <c r="DW23" i="18"/>
  <c r="DW42" i="18" s="1"/>
  <c r="DW36" i="3"/>
  <c r="DW79" i="18" s="1"/>
  <c r="DW18" i="3"/>
  <c r="DW38" i="3"/>
  <c r="DY9" i="3"/>
  <c r="DY7" i="3" s="1"/>
  <c r="DY11" i="18" s="1"/>
  <c r="DT25" i="18"/>
  <c r="EZ24" i="18"/>
  <c r="DT78" i="18"/>
  <c r="DT237" i="18"/>
  <c r="DV784" i="2"/>
  <c r="DV238" i="18"/>
  <c r="FA78" i="3"/>
  <c r="DU131" i="18"/>
  <c r="EZ131" i="18" s="1"/>
  <c r="DW237" i="18"/>
  <c r="DW78" i="18"/>
  <c r="DV22" i="2"/>
  <c r="DW13" i="3"/>
  <c r="DW11" i="3" s="1"/>
  <c r="DW16" i="18" s="1"/>
  <c r="DV11" i="3"/>
  <c r="DV16" i="18" s="1"/>
  <c r="DU74" i="3"/>
  <c r="DU120" i="18" s="1"/>
  <c r="EZ120" i="18" s="1"/>
  <c r="FA75" i="3"/>
  <c r="DV34" i="2"/>
  <c r="DW20" i="3" s="1"/>
  <c r="DV20" i="3"/>
  <c r="DV24" i="18" s="1"/>
  <c r="DU21" i="3"/>
  <c r="FA21" i="3" s="1"/>
  <c r="FA20" i="3"/>
  <c r="FB17" i="3"/>
  <c r="DT87" i="2"/>
  <c r="DW50" i="2"/>
  <c r="DX28" i="2"/>
  <c r="DX12" i="2"/>
  <c r="DX16" i="2" s="1"/>
  <c r="DV91" i="2"/>
  <c r="DW78" i="3" s="1"/>
  <c r="DW131" i="18" s="1"/>
  <c r="DV88" i="2"/>
  <c r="DW75" i="3" s="1"/>
  <c r="DW127" i="18" s="1"/>
  <c r="DW52" i="3"/>
  <c r="DV32" i="2"/>
  <c r="DU91" i="2"/>
  <c r="DV78" i="3" s="1"/>
  <c r="DV131" i="18" s="1"/>
  <c r="DU88" i="2"/>
  <c r="DV52" i="3"/>
  <c r="DU35" i="2"/>
  <c r="DW15" i="2"/>
  <c r="DW16" i="2"/>
  <c r="DU48" i="3" l="1"/>
  <c r="DU45" i="3" s="1"/>
  <c r="FA48" i="3"/>
  <c r="DV79" i="18"/>
  <c r="EZ25" i="18"/>
  <c r="DV44" i="3"/>
  <c r="EZ79" i="18"/>
  <c r="DU237" i="18"/>
  <c r="EZ237" i="18" s="1"/>
  <c r="DU78" i="18"/>
  <c r="EZ78" i="18" s="1"/>
  <c r="DX38" i="3"/>
  <c r="DX15" i="3"/>
  <c r="DX23" i="18" s="1"/>
  <c r="FA23" i="18" s="1"/>
  <c r="DX13" i="3"/>
  <c r="DX11" i="3" s="1"/>
  <c r="DX16" i="18" s="1"/>
  <c r="DY17" i="3"/>
  <c r="DX26" i="2"/>
  <c r="DX24" i="2"/>
  <c r="DX52" i="2"/>
  <c r="DW44" i="3"/>
  <c r="DZ9" i="3"/>
  <c r="DZ7" i="3" s="1"/>
  <c r="DZ11" i="18" s="1"/>
  <c r="DV25" i="18"/>
  <c r="FA74" i="3"/>
  <c r="DW21" i="3"/>
  <c r="DW24" i="18"/>
  <c r="DW25" i="18" s="1"/>
  <c r="DW784" i="2"/>
  <c r="DW238" i="18"/>
  <c r="DW34" i="2"/>
  <c r="DX20" i="3" s="1"/>
  <c r="DW74" i="3"/>
  <c r="DW120" i="18" s="1"/>
  <c r="DV21" i="3"/>
  <c r="DU87" i="2"/>
  <c r="DV75" i="3"/>
  <c r="DV127" i="18" s="1"/>
  <c r="DV35" i="2"/>
  <c r="FB15" i="3"/>
  <c r="FB38" i="3"/>
  <c r="DV87" i="2"/>
  <c r="DW91" i="2"/>
  <c r="DX78" i="3" s="1"/>
  <c r="DW88" i="2"/>
  <c r="DX75" i="3" s="1"/>
  <c r="DX52" i="3"/>
  <c r="FB52" i="3" s="1"/>
  <c r="DX15" i="2"/>
  <c r="DY28" i="2"/>
  <c r="DY12" i="2"/>
  <c r="DW32" i="2"/>
  <c r="DW22" i="2"/>
  <c r="DV48" i="3" l="1"/>
  <c r="DV45" i="3" s="1"/>
  <c r="DV78" i="18"/>
  <c r="DV237" i="18"/>
  <c r="DY13" i="3"/>
  <c r="DX36" i="3"/>
  <c r="DX18" i="3"/>
  <c r="DX42" i="18"/>
  <c r="FA42" i="18" s="1"/>
  <c r="FA16" i="18"/>
  <c r="FB13" i="3"/>
  <c r="FB11" i="3" s="1"/>
  <c r="DY52" i="2"/>
  <c r="DZ17" i="3"/>
  <c r="DY26" i="2"/>
  <c r="DY24" i="2"/>
  <c r="EA9" i="3"/>
  <c r="EA7" i="3" s="1"/>
  <c r="EA11" i="18" s="1"/>
  <c r="FB11" i="18" s="1"/>
  <c r="DW35" i="2"/>
  <c r="DX34" i="2"/>
  <c r="DX784" i="2"/>
  <c r="DX238" i="18"/>
  <c r="FA238" i="18" s="1"/>
  <c r="DX74" i="3"/>
  <c r="DX120" i="18" s="1"/>
  <c r="DX127" i="18"/>
  <c r="FA127" i="18" s="1"/>
  <c r="FB78" i="3"/>
  <c r="DX131" i="18"/>
  <c r="FA131" i="18" s="1"/>
  <c r="DX21" i="3"/>
  <c r="FB21" i="3" s="1"/>
  <c r="DX24" i="18"/>
  <c r="FB20" i="3"/>
  <c r="DX32" i="2"/>
  <c r="DX50" i="2"/>
  <c r="DX88" i="2" s="1"/>
  <c r="FB18" i="3"/>
  <c r="FB36" i="3"/>
  <c r="FB44" i="3" s="1"/>
  <c r="DY15" i="3"/>
  <c r="DY23" i="18" s="1"/>
  <c r="DY38" i="3"/>
  <c r="DV74" i="3"/>
  <c r="DV120" i="18" s="1"/>
  <c r="FB75" i="3"/>
  <c r="DZ28" i="2"/>
  <c r="DZ12" i="2"/>
  <c r="DW87" i="2"/>
  <c r="DX22" i="2"/>
  <c r="DY15" i="2"/>
  <c r="DY16" i="2"/>
  <c r="DW48" i="3" l="1"/>
  <c r="DW45" i="3" s="1"/>
  <c r="DY20" i="3"/>
  <c r="DY24" i="18" s="1"/>
  <c r="DX35" i="2"/>
  <c r="FC9" i="3"/>
  <c r="DY11" i="3"/>
  <c r="DY16" i="18" s="1"/>
  <c r="DX44" i="3"/>
  <c r="DX79" i="18"/>
  <c r="DY34" i="2"/>
  <c r="EA17" i="3"/>
  <c r="DZ26" i="2"/>
  <c r="DZ52" i="2"/>
  <c r="DZ24" i="2"/>
  <c r="DX91" i="2"/>
  <c r="DY78" i="3" s="1"/>
  <c r="DY131" i="18" s="1"/>
  <c r="DY52" i="3"/>
  <c r="EB9" i="3"/>
  <c r="EB7" i="3" s="1"/>
  <c r="EB11" i="18" s="1"/>
  <c r="FA120" i="18"/>
  <c r="DX25" i="18"/>
  <c r="FA25" i="18" s="1"/>
  <c r="FA24" i="18"/>
  <c r="DY42" i="18"/>
  <c r="FB74" i="3"/>
  <c r="DY784" i="2"/>
  <c r="DY238" i="18"/>
  <c r="DY32" i="2"/>
  <c r="DY50" i="2"/>
  <c r="DY91" i="2" s="1"/>
  <c r="DZ78" i="3" s="1"/>
  <c r="DZ131" i="18" s="1"/>
  <c r="DY18" i="3"/>
  <c r="DY36" i="3"/>
  <c r="DY22" i="2"/>
  <c r="DZ13" i="3"/>
  <c r="DZ15" i="3"/>
  <c r="DZ23" i="18" s="1"/>
  <c r="DZ38" i="3"/>
  <c r="DY75" i="3"/>
  <c r="DY127" i="18" s="1"/>
  <c r="DZ15" i="2"/>
  <c r="DZ16" i="2"/>
  <c r="EA28" i="2"/>
  <c r="EA12" i="2"/>
  <c r="DX48" i="3" l="1"/>
  <c r="DX87" i="2"/>
  <c r="DY25" i="18"/>
  <c r="DY21" i="3"/>
  <c r="FC7" i="3"/>
  <c r="DZ20" i="3"/>
  <c r="DZ24" i="18" s="1"/>
  <c r="DY35" i="2"/>
  <c r="DX78" i="18"/>
  <c r="FA78" i="18" s="1"/>
  <c r="DX237" i="18"/>
  <c r="FA237" i="18" s="1"/>
  <c r="FA79" i="18"/>
  <c r="EB17" i="3"/>
  <c r="EA26" i="2"/>
  <c r="EA24" i="2"/>
  <c r="EA52" i="2"/>
  <c r="EB38" i="3"/>
  <c r="EC9" i="3"/>
  <c r="DZ784" i="2"/>
  <c r="DZ238" i="18"/>
  <c r="DZ42" i="18"/>
  <c r="DY44" i="3"/>
  <c r="DY79" i="18"/>
  <c r="DZ52" i="3"/>
  <c r="DY88" i="2"/>
  <c r="DZ75" i="3" s="1"/>
  <c r="DY74" i="3"/>
  <c r="DY120" i="18" s="1"/>
  <c r="DZ11" i="3"/>
  <c r="DZ16" i="18" s="1"/>
  <c r="DZ18" i="3"/>
  <c r="DZ36" i="3"/>
  <c r="EA15" i="3"/>
  <c r="EA23" i="18" s="1"/>
  <c r="FB23" i="18" s="1"/>
  <c r="EA38" i="3"/>
  <c r="FC17" i="3"/>
  <c r="DZ22" i="2"/>
  <c r="EA13" i="3"/>
  <c r="EA11" i="3" s="1"/>
  <c r="EA16" i="18" s="1"/>
  <c r="EB28" i="2"/>
  <c r="EB12" i="2"/>
  <c r="EA15" i="2"/>
  <c r="DZ32" i="2"/>
  <c r="EA16" i="2"/>
  <c r="DZ50" i="2"/>
  <c r="DZ34" i="2"/>
  <c r="EA20" i="3" s="1"/>
  <c r="DY48" i="3" l="1"/>
  <c r="DY45" i="3" s="1"/>
  <c r="FB48" i="3"/>
  <c r="DX45" i="3"/>
  <c r="EB15" i="3"/>
  <c r="EA50" i="2"/>
  <c r="EC7" i="3"/>
  <c r="EC11" i="18" s="1"/>
  <c r="DZ25" i="18"/>
  <c r="DZ21" i="3"/>
  <c r="FC13" i="3"/>
  <c r="EC17" i="3"/>
  <c r="EB26" i="2"/>
  <c r="EB24" i="2"/>
  <c r="EB52" i="2"/>
  <c r="ED9" i="3"/>
  <c r="DY87" i="2"/>
  <c r="FB16" i="18"/>
  <c r="FC20" i="3"/>
  <c r="EA24" i="18"/>
  <c r="FB24" i="18" s="1"/>
  <c r="DZ74" i="3"/>
  <c r="DZ120" i="18" s="1"/>
  <c r="DZ127" i="18"/>
  <c r="DY237" i="18"/>
  <c r="DY78" i="18"/>
  <c r="EA42" i="18"/>
  <c r="FB42" i="18" s="1"/>
  <c r="DZ44" i="3"/>
  <c r="DZ79" i="18"/>
  <c r="EA784" i="2"/>
  <c r="EA238" i="18"/>
  <c r="FB238" i="18" s="1"/>
  <c r="DZ35" i="2"/>
  <c r="EA21" i="3"/>
  <c r="EA18" i="3"/>
  <c r="EA36" i="3"/>
  <c r="EA22" i="2"/>
  <c r="EB13" i="3"/>
  <c r="FC15" i="3"/>
  <c r="FC38" i="3"/>
  <c r="EA34" i="2"/>
  <c r="EB20" i="3" s="1"/>
  <c r="EB15" i="2"/>
  <c r="EB16" i="2"/>
  <c r="EC28" i="2"/>
  <c r="EC52" i="2" s="1"/>
  <c r="EC12" i="2"/>
  <c r="EC16" i="2" s="1"/>
  <c r="EA32" i="2"/>
  <c r="DZ91" i="2"/>
  <c r="EA78" i="3" s="1"/>
  <c r="DZ88" i="2"/>
  <c r="EA75" i="3" s="1"/>
  <c r="EA127" i="18" s="1"/>
  <c r="EA52" i="3"/>
  <c r="FC52" i="3" s="1"/>
  <c r="DZ48" i="3" l="1"/>
  <c r="DZ45" i="3" s="1"/>
  <c r="EB36" i="3"/>
  <c r="EB79" i="18" s="1"/>
  <c r="EB18" i="3"/>
  <c r="EB52" i="3"/>
  <c r="EB23" i="18"/>
  <c r="EA88" i="2"/>
  <c r="EB75" i="3" s="1"/>
  <c r="EB127" i="18" s="1"/>
  <c r="EA91" i="2"/>
  <c r="EB78" i="3" s="1"/>
  <c r="EB131" i="18" s="1"/>
  <c r="EC38" i="3"/>
  <c r="FC21" i="3"/>
  <c r="EC15" i="3"/>
  <c r="EC23" i="18" s="1"/>
  <c r="EC42" i="18" s="1"/>
  <c r="ED7" i="3"/>
  <c r="ED11" i="18" s="1"/>
  <c r="FC11" i="18" s="1"/>
  <c r="FJ11" i="18" s="1"/>
  <c r="FD9" i="3"/>
  <c r="FC11" i="3"/>
  <c r="EC24" i="2"/>
  <c r="ED17" i="3"/>
  <c r="EC26" i="2"/>
  <c r="EC13" i="3"/>
  <c r="EC11" i="3" s="1"/>
  <c r="EC16" i="18" s="1"/>
  <c r="FB127" i="18"/>
  <c r="EA25" i="18"/>
  <c r="FB25" i="18" s="1"/>
  <c r="EA44" i="3"/>
  <c r="EA79" i="18"/>
  <c r="FB79" i="18" s="1"/>
  <c r="EB21" i="3"/>
  <c r="EB24" i="18"/>
  <c r="FC78" i="3"/>
  <c r="EA131" i="18"/>
  <c r="FB131" i="18" s="1"/>
  <c r="EB784" i="2"/>
  <c r="EB238" i="18"/>
  <c r="DZ237" i="18"/>
  <c r="DZ78" i="18"/>
  <c r="EA35" i="2"/>
  <c r="EB11" i="3"/>
  <c r="EB16" i="18" s="1"/>
  <c r="FC18" i="3"/>
  <c r="FC36" i="3"/>
  <c r="FC44" i="3" s="1"/>
  <c r="EA74" i="3"/>
  <c r="EA120" i="18" s="1"/>
  <c r="FB120" i="18" s="1"/>
  <c r="FC75" i="3"/>
  <c r="EB34" i="2"/>
  <c r="EC20" i="3" s="1"/>
  <c r="DZ87" i="2"/>
  <c r="EB32" i="2"/>
  <c r="EC15" i="2"/>
  <c r="EB22" i="2"/>
  <c r="EB50" i="2"/>
  <c r="EA48" i="3" l="1"/>
  <c r="EC18" i="3"/>
  <c r="EB74" i="3"/>
  <c r="EB120" i="18" s="1"/>
  <c r="EA87" i="2"/>
  <c r="EB78" i="18"/>
  <c r="EB237" i="18"/>
  <c r="EB42" i="18"/>
  <c r="EB44" i="3"/>
  <c r="EC36" i="3"/>
  <c r="EC44" i="3" s="1"/>
  <c r="FK9" i="3"/>
  <c r="FD7" i="3"/>
  <c r="EC79" i="18"/>
  <c r="EC32" i="2"/>
  <c r="EB25" i="18"/>
  <c r="EC21" i="3"/>
  <c r="EC24" i="18"/>
  <c r="EC25" i="18" s="1"/>
  <c r="EC784" i="2"/>
  <c r="ED238" i="18" s="1"/>
  <c r="EC238" i="18"/>
  <c r="EA237" i="18"/>
  <c r="FB237" i="18" s="1"/>
  <c r="EA78" i="18"/>
  <c r="FB78" i="18" s="1"/>
  <c r="EC50" i="2"/>
  <c r="EC91" i="2" s="1"/>
  <c r="ED78" i="3" s="1"/>
  <c r="ED131" i="18" s="1"/>
  <c r="EB35" i="2"/>
  <c r="ED15" i="3"/>
  <c r="ED23" i="18" s="1"/>
  <c r="FC23" i="18" s="1"/>
  <c r="FJ23" i="18" s="1"/>
  <c r="ED38" i="3"/>
  <c r="FD17" i="3"/>
  <c r="EC22" i="2"/>
  <c r="ED13" i="3"/>
  <c r="FC74" i="3"/>
  <c r="EC34" i="2"/>
  <c r="EB91" i="2"/>
  <c r="EC78" i="3" s="1"/>
  <c r="EC131" i="18" s="1"/>
  <c r="EB88" i="2"/>
  <c r="EC75" i="3" s="1"/>
  <c r="EC127" i="18" s="1"/>
  <c r="EC52" i="3"/>
  <c r="EB48" i="3" l="1"/>
  <c r="EB45" i="3" s="1"/>
  <c r="EA45" i="3"/>
  <c r="FC48" i="3"/>
  <c r="FK7" i="3"/>
  <c r="EC237" i="18"/>
  <c r="EC78" i="18"/>
  <c r="FC238" i="18"/>
  <c r="FJ238" i="18" s="1"/>
  <c r="FC131" i="18"/>
  <c r="FJ131" i="18" s="1"/>
  <c r="ED52" i="3"/>
  <c r="FD52" i="3" s="1"/>
  <c r="FK52" i="3" s="1"/>
  <c r="ED42" i="18"/>
  <c r="FC42" i="18" s="1"/>
  <c r="FJ42" i="18" s="1"/>
  <c r="FD78" i="3"/>
  <c r="FK78" i="3" s="1"/>
  <c r="EC88" i="2"/>
  <c r="ED75" i="3" s="1"/>
  <c r="ED18" i="3"/>
  <c r="ED36" i="3"/>
  <c r="ED79" i="18" s="1"/>
  <c r="FC79" i="18" s="1"/>
  <c r="FJ79" i="18" s="1"/>
  <c r="H21" i="24" s="1"/>
  <c r="EC74" i="3"/>
  <c r="EC120" i="18" s="1"/>
  <c r="FD15" i="3"/>
  <c r="FK17" i="3"/>
  <c r="FD38" i="3"/>
  <c r="EC35" i="2"/>
  <c r="ED20" i="3"/>
  <c r="ED11" i="3"/>
  <c r="ED16" i="18" s="1"/>
  <c r="FC16" i="18" s="1"/>
  <c r="FJ16" i="18" s="1"/>
  <c r="FD13" i="3"/>
  <c r="EB87" i="2"/>
  <c r="ED48" i="3" l="1"/>
  <c r="ED45" i="3" s="1"/>
  <c r="EC48" i="3"/>
  <c r="EC45" i="3" s="1"/>
  <c r="FD75" i="3"/>
  <c r="ED127" i="18"/>
  <c r="FC127" i="18" s="1"/>
  <c r="FJ127" i="18" s="1"/>
  <c r="ED237" i="18"/>
  <c r="FC237" i="18" s="1"/>
  <c r="FJ237" i="18" s="1"/>
  <c r="ED78" i="18"/>
  <c r="FC78" i="18" s="1"/>
  <c r="FJ78" i="18" s="1"/>
  <c r="H20" i="24" s="1"/>
  <c r="FD20" i="3"/>
  <c r="FK20" i="3" s="1"/>
  <c r="ED24" i="18"/>
  <c r="ED74" i="3"/>
  <c r="ED120" i="18" s="1"/>
  <c r="FC120" i="18" s="1"/>
  <c r="FJ120" i="18" s="1"/>
  <c r="EC87" i="2"/>
  <c r="FK15" i="3"/>
  <c r="FK38" i="3"/>
  <c r="FK75" i="3"/>
  <c r="FK74" i="3" s="1"/>
  <c r="FD11" i="3"/>
  <c r="FK13" i="3"/>
  <c r="FK11" i="3" s="1"/>
  <c r="ED44" i="3"/>
  <c r="EG44" i="3"/>
  <c r="FD18" i="3"/>
  <c r="FD36" i="3"/>
  <c r="FD44" i="3" s="1"/>
  <c r="ED21" i="3"/>
  <c r="FD21" i="3" s="1"/>
  <c r="CT213" i="2"/>
  <c r="CL51" i="7" s="1"/>
  <c r="CU213" i="2"/>
  <c r="CM51" i="7" s="1"/>
  <c r="CV213" i="2"/>
  <c r="CN51" i="7" s="1"/>
  <c r="CW213" i="2"/>
  <c r="CO51" i="7" s="1"/>
  <c r="CX213" i="2"/>
  <c r="CX221" i="2" s="1"/>
  <c r="CY213" i="2"/>
  <c r="CZ213" i="2"/>
  <c r="DA213" i="2"/>
  <c r="CS51" i="7" s="1"/>
  <c r="DB213" i="2"/>
  <c r="CT51" i="7" s="1"/>
  <c r="DC213" i="2"/>
  <c r="DC221" i="2" s="1"/>
  <c r="DD213" i="2"/>
  <c r="CV51" i="7" s="1"/>
  <c r="DE213" i="2"/>
  <c r="CW51" i="7" s="1"/>
  <c r="DF213" i="2"/>
  <c r="CX51" i="7" s="1"/>
  <c r="DG213" i="2"/>
  <c r="CY51" i="7" s="1"/>
  <c r="DH213" i="2"/>
  <c r="CZ51" i="7" s="1"/>
  <c r="DI213" i="2"/>
  <c r="DA51" i="7" s="1"/>
  <c r="DJ213" i="2"/>
  <c r="DB51" i="7" s="1"/>
  <c r="DB59" i="7" s="1"/>
  <c r="DK213" i="2"/>
  <c r="DL213" i="2"/>
  <c r="DM213" i="2"/>
  <c r="DE51" i="7" s="1"/>
  <c r="DN213" i="2"/>
  <c r="DF51" i="7" s="1"/>
  <c r="DO213" i="2"/>
  <c r="DP213" i="2"/>
  <c r="DQ213" i="2"/>
  <c r="DI51" i="7" s="1"/>
  <c r="FD48" i="3" l="1"/>
  <c r="FK48" i="3" s="1"/>
  <c r="FD74" i="3"/>
  <c r="ED25" i="18"/>
  <c r="FC25" i="18" s="1"/>
  <c r="FJ25" i="18" s="1"/>
  <c r="FC24" i="18"/>
  <c r="FJ24" i="18" s="1"/>
  <c r="FK21" i="3"/>
  <c r="FK18" i="3"/>
  <c r="FK36" i="3"/>
  <c r="FK44" i="3" s="1"/>
  <c r="DE221" i="2"/>
  <c r="DD221" i="2"/>
  <c r="CT221" i="2"/>
  <c r="DH221" i="2"/>
  <c r="DB221" i="2"/>
  <c r="DA221" i="2"/>
  <c r="DM221" i="2"/>
  <c r="DF221" i="2"/>
  <c r="DI221" i="2"/>
  <c r="DG221" i="2"/>
  <c r="DE59" i="7"/>
  <c r="CW221" i="2"/>
  <c r="CV221" i="2"/>
  <c r="CU51" i="7"/>
  <c r="CU59" i="7" s="1"/>
  <c r="DP221" i="2"/>
  <c r="DN221" i="2"/>
  <c r="CU221" i="2"/>
  <c r="CT59" i="7"/>
  <c r="CV59" i="7"/>
  <c r="DQ221" i="2"/>
  <c r="CZ221" i="2"/>
  <c r="DA59" i="7"/>
  <c r="CN59" i="7"/>
  <c r="DC51" i="7"/>
  <c r="DK221" i="2"/>
  <c r="CM59" i="7"/>
  <c r="DD51" i="7"/>
  <c r="DL221" i="2"/>
  <c r="CZ59" i="7"/>
  <c r="CO59" i="7"/>
  <c r="CY59" i="7"/>
  <c r="CS59" i="7"/>
  <c r="CY221" i="2"/>
  <c r="CQ51" i="7"/>
  <c r="CP51" i="7"/>
  <c r="DJ221" i="2"/>
  <c r="DF59" i="7"/>
  <c r="CR51" i="7"/>
  <c r="DH51" i="7"/>
  <c r="CL59" i="7"/>
  <c r="DO221" i="2"/>
  <c r="DI59" i="7"/>
  <c r="CW59" i="7"/>
  <c r="DG51" i="7"/>
  <c r="CX59" i="7"/>
  <c r="EL59" i="7" l="1"/>
  <c r="EM59" i="7"/>
  <c r="EI59" i="7"/>
  <c r="DD59" i="7"/>
  <c r="DH59" i="7"/>
  <c r="CP59" i="7"/>
  <c r="DG59" i="7"/>
  <c r="DC59" i="7"/>
  <c r="CQ59" i="7"/>
  <c r="CR59" i="7"/>
  <c r="EU67" i="18" l="1"/>
  <c r="ES67" i="18"/>
  <c r="EX67" i="18"/>
  <c r="EY67" i="18"/>
  <c r="EZ75" i="18" s="1"/>
  <c r="EW67" i="18"/>
  <c r="ET67" i="18"/>
  <c r="EV67" i="18"/>
  <c r="ER67" i="18"/>
  <c r="EO59" i="7"/>
  <c r="EN59" i="7"/>
  <c r="EP59" i="7"/>
  <c r="EJ59" i="7"/>
  <c r="EK59" i="7"/>
  <c r="CU105" i="18"/>
  <c r="CU114" i="18"/>
  <c r="CU75" i="18"/>
  <c r="DN105" i="18"/>
  <c r="DN114" i="18"/>
  <c r="DN140" i="18" s="1"/>
  <c r="DN75" i="18"/>
  <c r="DM105" i="18"/>
  <c r="DM114" i="18"/>
  <c r="DM75" i="18"/>
  <c r="DC114" i="18"/>
  <c r="DC140" i="18" s="1"/>
  <c r="DC105" i="18"/>
  <c r="DC75" i="18"/>
  <c r="CY114" i="18"/>
  <c r="CY140" i="18" s="1"/>
  <c r="CY75" i="18"/>
  <c r="CY105" i="18"/>
  <c r="CZ105" i="18"/>
  <c r="CZ114" i="18"/>
  <c r="CZ140" i="18" s="1"/>
  <c r="CZ75" i="18"/>
  <c r="CV114" i="18"/>
  <c r="CV140" i="18" s="1"/>
  <c r="CV105" i="18"/>
  <c r="CV75" i="18"/>
  <c r="CX114" i="18"/>
  <c r="CX105" i="18"/>
  <c r="CX75" i="18"/>
  <c r="DR75" i="18"/>
  <c r="DR105" i="18"/>
  <c r="DR114" i="18"/>
  <c r="DR140" i="18" s="1"/>
  <c r="CW114" i="18"/>
  <c r="CW140" i="18" s="1"/>
  <c r="CW75" i="18"/>
  <c r="CW105" i="18"/>
  <c r="DK75" i="18"/>
  <c r="DK105" i="18"/>
  <c r="DK114" i="18"/>
  <c r="DK140" i="18" s="1"/>
  <c r="DQ105" i="18"/>
  <c r="DQ114" i="18"/>
  <c r="DQ140" i="18" s="1"/>
  <c r="DQ75" i="18"/>
  <c r="DD75" i="18"/>
  <c r="DD105" i="18"/>
  <c r="DD114" i="18"/>
  <c r="DO114" i="18"/>
  <c r="DO140" i="18" s="1"/>
  <c r="DO75" i="18"/>
  <c r="DO105" i="18"/>
  <c r="DF75" i="18"/>
  <c r="DF105" i="18"/>
  <c r="DF114" i="18"/>
  <c r="DF140" i="18" s="1"/>
  <c r="DB105" i="18"/>
  <c r="DB114" i="18"/>
  <c r="DB140" i="18" s="1"/>
  <c r="DB75" i="18"/>
  <c r="DP114" i="18"/>
  <c r="DP105" i="18"/>
  <c r="DP75" i="18"/>
  <c r="DH114" i="18"/>
  <c r="DH140" i="18" s="1"/>
  <c r="DH75" i="18"/>
  <c r="DH105" i="18"/>
  <c r="DJ114" i="18"/>
  <c r="DJ105" i="18"/>
  <c r="DJ75" i="18"/>
  <c r="DI105" i="18"/>
  <c r="DI114" i="18"/>
  <c r="DI140" i="18" s="1"/>
  <c r="DI75" i="18"/>
  <c r="DL75" i="18"/>
  <c r="DL105" i="18"/>
  <c r="DL114" i="18"/>
  <c r="DL140" i="18" s="1"/>
  <c r="DE114" i="18"/>
  <c r="DE140" i="18" s="1"/>
  <c r="DE75" i="18"/>
  <c r="DE105" i="18"/>
  <c r="DA114" i="18"/>
  <c r="DA75" i="18"/>
  <c r="DA105" i="18"/>
  <c r="DG114" i="18"/>
  <c r="DG105" i="18"/>
  <c r="DG75" i="18"/>
  <c r="EU75" i="18" l="1"/>
  <c r="ET105" i="18"/>
  <c r="EX75" i="18"/>
  <c r="EU105" i="18"/>
  <c r="ES105" i="18"/>
  <c r="ER105" i="18"/>
  <c r="FH67" i="18"/>
  <c r="ER75" i="18"/>
  <c r="CX140" i="18"/>
  <c r="ES114" i="18"/>
  <c r="DA140" i="18"/>
  <c r="ET114" i="18"/>
  <c r="EW105" i="18"/>
  <c r="EY105" i="18"/>
  <c r="EX105" i="18"/>
  <c r="DM140" i="18"/>
  <c r="EX114" i="18"/>
  <c r="DJ140" i="18"/>
  <c r="EW114" i="18"/>
  <c r="DP140" i="18"/>
  <c r="EY114" i="18"/>
  <c r="DD140" i="18"/>
  <c r="EU114" i="18"/>
  <c r="FI67" i="18"/>
  <c r="EV75" i="18"/>
  <c r="EW75" i="18"/>
  <c r="EV105" i="18"/>
  <c r="EY75" i="18"/>
  <c r="ET75" i="18"/>
  <c r="ES75" i="18"/>
  <c r="DG140" i="18"/>
  <c r="EV114" i="18"/>
  <c r="CU140" i="18"/>
  <c r="ER114" i="18"/>
  <c r="G16" i="24" l="1"/>
  <c r="FJ75" i="18"/>
  <c r="FH75" i="18"/>
  <c r="F16" i="24"/>
  <c r="FH105" i="18"/>
  <c r="F29" i="24" s="1"/>
  <c r="FI114" i="18"/>
  <c r="G38" i="24" s="1"/>
  <c r="FI75" i="18"/>
  <c r="EW140" i="18"/>
  <c r="EX140" i="18"/>
  <c r="ES140" i="18"/>
  <c r="EV140" i="18"/>
  <c r="FI105" i="18"/>
  <c r="G29" i="24" s="1"/>
  <c r="EU140" i="18"/>
  <c r="ET140" i="18"/>
  <c r="FH114" i="18"/>
  <c r="F38" i="24" s="1"/>
  <c r="EY140" i="18"/>
  <c r="ER140" i="18"/>
  <c r="FH140" i="18" l="1"/>
  <c r="F47" i="24" s="1"/>
  <c r="FI140" i="18"/>
  <c r="G47" i="24" s="1"/>
  <c r="CU596" i="2" l="1"/>
  <c r="CU599" i="2" s="1"/>
  <c r="CT597" i="2"/>
  <c r="BU171" i="13" s="1"/>
  <c r="CT598" i="2"/>
  <c r="BU172" i="13" s="1"/>
  <c r="BU170" i="13" l="1"/>
  <c r="CU138" i="15" s="1"/>
  <c r="CU597" i="2"/>
  <c r="BV171" i="13" s="1"/>
  <c r="CV596" i="2"/>
  <c r="CU598" i="2"/>
  <c r="BV172" i="13" s="1"/>
  <c r="CU135" i="15" l="1"/>
  <c r="CU144" i="15"/>
  <c r="BU173" i="13"/>
  <c r="BN152" i="11"/>
  <c r="BN123" i="12"/>
  <c r="BU175" i="13"/>
  <c r="BV170" i="13"/>
  <c r="CV138" i="15" s="1"/>
  <c r="CW596" i="2"/>
  <c r="CV599" i="2"/>
  <c r="CV598" i="2"/>
  <c r="CV597" i="2"/>
  <c r="CV135" i="15" l="1"/>
  <c r="CV144" i="15"/>
  <c r="BU176" i="13"/>
  <c r="BV173" i="13"/>
  <c r="BO152" i="11"/>
  <c r="BO123" i="12"/>
  <c r="BN122" i="12"/>
  <c r="BN128" i="12"/>
  <c r="BN151" i="11"/>
  <c r="BN157" i="11"/>
  <c r="BV175" i="13"/>
  <c r="BV176" i="13" s="1"/>
  <c r="CW597" i="2"/>
  <c r="BW171" i="13"/>
  <c r="DR171" i="13" s="1"/>
  <c r="CW598" i="2"/>
  <c r="BW172" i="13"/>
  <c r="DR172" i="13" s="1"/>
  <c r="CX596" i="2"/>
  <c r="CW599" i="2"/>
  <c r="BO122" i="12" l="1"/>
  <c r="BO128" i="12"/>
  <c r="BO151" i="11"/>
  <c r="BO157" i="11"/>
  <c r="BW170" i="13"/>
  <c r="CY596" i="2"/>
  <c r="CX599" i="2"/>
  <c r="CX598" i="2"/>
  <c r="BX172" i="13"/>
  <c r="CX597" i="2"/>
  <c r="BX171" i="13"/>
  <c r="DR170" i="13" l="1"/>
  <c r="DR173" i="13" s="1"/>
  <c r="CW138" i="15"/>
  <c r="BW175" i="13"/>
  <c r="BP152" i="11"/>
  <c r="DK152" i="11" s="1"/>
  <c r="BP123" i="12"/>
  <c r="DK123" i="12" s="1"/>
  <c r="BW173" i="13"/>
  <c r="BX170" i="13"/>
  <c r="CY598" i="2"/>
  <c r="BY172" i="13"/>
  <c r="CY597" i="2"/>
  <c r="BY171" i="13"/>
  <c r="CZ596" i="2"/>
  <c r="CY599" i="2"/>
  <c r="ER138" i="15" l="1"/>
  <c r="CW135" i="15"/>
  <c r="CW144" i="15"/>
  <c r="ER144" i="15" s="1"/>
  <c r="BX175" i="13"/>
  <c r="BX176" i="13" s="1"/>
  <c r="CX138" i="15"/>
  <c r="BX173" i="13"/>
  <c r="BW176" i="13"/>
  <c r="DR175" i="13"/>
  <c r="BP122" i="12"/>
  <c r="DK122" i="12" s="1"/>
  <c r="BP128" i="12"/>
  <c r="DK128" i="12" s="1"/>
  <c r="BP151" i="11"/>
  <c r="DK151" i="11" s="1"/>
  <c r="BP157" i="11"/>
  <c r="DK157" i="11" s="1"/>
  <c r="BQ152" i="11"/>
  <c r="BQ123" i="12"/>
  <c r="BY170" i="13"/>
  <c r="CY138" i="15" s="1"/>
  <c r="DA596" i="2"/>
  <c r="CZ599" i="2"/>
  <c r="CZ597" i="2"/>
  <c r="BZ171" i="13"/>
  <c r="DS171" i="13" s="1"/>
  <c r="CZ598" i="2"/>
  <c r="BZ172" i="13"/>
  <c r="DS172" i="13" s="1"/>
  <c r="ER135" i="15" l="1"/>
  <c r="CX135" i="15"/>
  <c r="CX144" i="15"/>
  <c r="CY135" i="15"/>
  <c r="CY144" i="15"/>
  <c r="DR176" i="13"/>
  <c r="BY173" i="13"/>
  <c r="BR152" i="11"/>
  <c r="BR123" i="12"/>
  <c r="BQ122" i="12"/>
  <c r="BQ128" i="12"/>
  <c r="BQ151" i="11"/>
  <c r="BQ157" i="11"/>
  <c r="BY175" i="13"/>
  <c r="DA598" i="2"/>
  <c r="CA172" i="13"/>
  <c r="BZ170" i="13"/>
  <c r="DA597" i="2"/>
  <c r="CA171" i="13"/>
  <c r="DB596" i="2"/>
  <c r="DA599" i="2"/>
  <c r="DS170" i="13" l="1"/>
  <c r="DS173" i="13" s="1"/>
  <c r="CZ138" i="15"/>
  <c r="BY176" i="13"/>
  <c r="BS152" i="11"/>
  <c r="DL152" i="11" s="1"/>
  <c r="BS123" i="12"/>
  <c r="DL123" i="12" s="1"/>
  <c r="BR122" i="12"/>
  <c r="BR128" i="12"/>
  <c r="BR151" i="11"/>
  <c r="BR157" i="11"/>
  <c r="CA170" i="13"/>
  <c r="DB597" i="2"/>
  <c r="CB171" i="13"/>
  <c r="DC596" i="2"/>
  <c r="DB599" i="2"/>
  <c r="BZ173" i="13"/>
  <c r="BZ175" i="13"/>
  <c r="BZ176" i="13" s="1"/>
  <c r="DB598" i="2"/>
  <c r="CB172" i="13"/>
  <c r="ES138" i="15" l="1"/>
  <c r="CZ135" i="15"/>
  <c r="CZ144" i="15"/>
  <c r="ES144" i="15" s="1"/>
  <c r="CA173" i="13"/>
  <c r="DA138" i="15"/>
  <c r="DS175" i="13"/>
  <c r="CA175" i="13"/>
  <c r="BT152" i="11"/>
  <c r="BT123" i="12"/>
  <c r="BS122" i="12"/>
  <c r="DL122" i="12" s="1"/>
  <c r="BS128" i="12"/>
  <c r="DL128" i="12" s="1"/>
  <c r="BS151" i="11"/>
  <c r="DL151" i="11" s="1"/>
  <c r="BS157" i="11"/>
  <c r="DL157" i="11" s="1"/>
  <c r="DC598" i="2"/>
  <c r="CC172" i="13"/>
  <c r="DT172" i="13" s="1"/>
  <c r="CB170" i="13"/>
  <c r="DB138" i="15" s="1"/>
  <c r="DD596" i="2"/>
  <c r="DC599" i="2"/>
  <c r="DC597" i="2"/>
  <c r="CC171" i="13"/>
  <c r="DT171" i="13" s="1"/>
  <c r="ES135" i="15" l="1"/>
  <c r="DA135" i="15"/>
  <c r="DA144" i="15"/>
  <c r="DB135" i="15"/>
  <c r="DB144" i="15"/>
  <c r="CA176" i="13"/>
  <c r="DS176" i="13"/>
  <c r="BT122" i="12"/>
  <c r="BT128" i="12"/>
  <c r="BU152" i="11"/>
  <c r="BU123" i="12"/>
  <c r="BT151" i="11"/>
  <c r="BT157" i="11"/>
  <c r="CC170" i="13"/>
  <c r="DD597" i="2"/>
  <c r="CD171" i="13"/>
  <c r="DE596" i="2"/>
  <c r="DD599" i="2"/>
  <c r="CB173" i="13"/>
  <c r="CB175" i="13"/>
  <c r="CB176" i="13" s="1"/>
  <c r="DD598" i="2"/>
  <c r="CD172" i="13"/>
  <c r="DT170" i="13" l="1"/>
  <c r="DT173" i="13" s="1"/>
  <c r="DC138" i="15"/>
  <c r="BU122" i="12"/>
  <c r="BU128" i="12"/>
  <c r="BU151" i="11"/>
  <c r="BU157" i="11"/>
  <c r="CC173" i="13"/>
  <c r="BV152" i="11"/>
  <c r="DM152" i="11" s="1"/>
  <c r="BV123" i="12"/>
  <c r="DM123" i="12" s="1"/>
  <c r="CC175" i="13"/>
  <c r="CC176" i="13" s="1"/>
  <c r="CD170" i="13"/>
  <c r="DD138" i="15" s="1"/>
  <c r="DE598" i="2"/>
  <c r="CE172" i="13"/>
  <c r="DF596" i="2"/>
  <c r="DE599" i="2"/>
  <c r="DE597" i="2"/>
  <c r="CE171" i="13"/>
  <c r="ET138" i="15" l="1"/>
  <c r="DC135" i="15"/>
  <c r="DC144" i="15"/>
  <c r="ET144" i="15" s="1"/>
  <c r="DD135" i="15"/>
  <c r="DD144" i="15"/>
  <c r="CD173" i="13"/>
  <c r="DT175" i="13"/>
  <c r="BV151" i="11"/>
  <c r="DM151" i="11" s="1"/>
  <c r="BV157" i="11"/>
  <c r="DM157" i="11" s="1"/>
  <c r="BW152" i="11"/>
  <c r="BW123" i="12"/>
  <c r="CD175" i="13"/>
  <c r="BV122" i="12"/>
  <c r="DM122" i="12" s="1"/>
  <c r="BV128" i="12"/>
  <c r="DM128" i="12" s="1"/>
  <c r="CE170" i="13"/>
  <c r="DE138" i="15" s="1"/>
  <c r="DF599" i="2"/>
  <c r="DG596" i="2"/>
  <c r="DF597" i="2"/>
  <c r="CF171" i="13"/>
  <c r="DU171" i="13" s="1"/>
  <c r="EH171" i="13" s="1"/>
  <c r="DF598" i="2"/>
  <c r="CF172" i="13"/>
  <c r="DU172" i="13" s="1"/>
  <c r="EH172" i="13" s="1"/>
  <c r="ET135" i="15" l="1"/>
  <c r="DE135" i="15"/>
  <c r="DE144" i="15"/>
  <c r="CD176" i="13"/>
  <c r="DT176" i="13"/>
  <c r="CE173" i="13"/>
  <c r="BX152" i="11"/>
  <c r="BX123" i="12"/>
  <c r="BW122" i="12"/>
  <c r="BW128" i="12"/>
  <c r="BW151" i="11"/>
  <c r="BW157" i="11"/>
  <c r="CE175" i="13"/>
  <c r="CE176" i="13" s="1"/>
  <c r="DG598" i="2"/>
  <c r="CG172" i="13"/>
  <c r="DH596" i="2"/>
  <c r="DG599" i="2"/>
  <c r="CF170" i="13"/>
  <c r="DG597" i="2"/>
  <c r="CG171" i="13"/>
  <c r="DU170" i="13" l="1"/>
  <c r="DF138" i="15"/>
  <c r="BX122" i="12"/>
  <c r="BX128" i="12"/>
  <c r="BX151" i="11"/>
  <c r="BX157" i="11"/>
  <c r="BY152" i="11"/>
  <c r="DN152" i="11" s="1"/>
  <c r="EA152" i="11" s="1"/>
  <c r="BY123" i="12"/>
  <c r="DN123" i="12" s="1"/>
  <c r="EA123" i="12" s="1"/>
  <c r="CH171" i="13"/>
  <c r="DH597" i="2"/>
  <c r="CG170" i="13"/>
  <c r="DG138" i="15" s="1"/>
  <c r="CF173" i="13"/>
  <c r="CF175" i="13"/>
  <c r="CF176" i="13" s="1"/>
  <c r="DI596" i="2"/>
  <c r="DH599" i="2"/>
  <c r="CH172" i="13"/>
  <c r="DH598" i="2"/>
  <c r="DU173" i="13" l="1"/>
  <c r="EH170" i="13"/>
  <c r="EH173" i="13" s="1"/>
  <c r="EU138" i="15"/>
  <c r="FH138" i="15" s="1"/>
  <c r="DF135" i="15"/>
  <c r="DF144" i="15"/>
  <c r="EU144" i="15" s="1"/>
  <c r="FH144" i="15" s="1"/>
  <c r="DG135" i="15"/>
  <c r="DG144" i="15"/>
  <c r="DU175" i="13"/>
  <c r="BY122" i="12"/>
  <c r="DN122" i="12" s="1"/>
  <c r="BY128" i="12"/>
  <c r="DN128" i="12" s="1"/>
  <c r="EA128" i="12" s="1"/>
  <c r="BZ152" i="11"/>
  <c r="BZ123" i="12"/>
  <c r="BY151" i="11"/>
  <c r="DN151" i="11" s="1"/>
  <c r="BY157" i="11"/>
  <c r="DN157" i="11" s="1"/>
  <c r="EA157" i="11" s="1"/>
  <c r="CH170" i="13"/>
  <c r="DI598" i="2"/>
  <c r="CI172" i="13"/>
  <c r="DV172" i="13" s="1"/>
  <c r="DI597" i="2"/>
  <c r="CI171" i="13"/>
  <c r="DV171" i="13" s="1"/>
  <c r="DI599" i="2"/>
  <c r="DJ596" i="2"/>
  <c r="CG173" i="13"/>
  <c r="CG175" i="13"/>
  <c r="EU135" i="15" l="1"/>
  <c r="CH175" i="13"/>
  <c r="CH176" i="13" s="1"/>
  <c r="DH138" i="15"/>
  <c r="CH173" i="13"/>
  <c r="EA122" i="12"/>
  <c r="DU176" i="13"/>
  <c r="EH175" i="13"/>
  <c r="EH176" i="13" s="1"/>
  <c r="CG176" i="13"/>
  <c r="EA151" i="11"/>
  <c r="BZ122" i="12"/>
  <c r="BZ128" i="12"/>
  <c r="BZ151" i="11"/>
  <c r="BZ157" i="11"/>
  <c r="CA152" i="11"/>
  <c r="CA123" i="12"/>
  <c r="CI170" i="13"/>
  <c r="CJ171" i="13"/>
  <c r="DJ597" i="2"/>
  <c r="DJ599" i="2"/>
  <c r="DK596" i="2"/>
  <c r="CJ172" i="13"/>
  <c r="DJ598" i="2"/>
  <c r="FH135" i="15" l="1"/>
  <c r="DH135" i="15"/>
  <c r="DH144" i="15"/>
  <c r="DV170" i="13"/>
  <c r="DV173" i="13" s="1"/>
  <c r="DI138" i="15"/>
  <c r="EV138" i="15" s="1"/>
  <c r="CA122" i="12"/>
  <c r="CA128" i="12"/>
  <c r="CA151" i="11"/>
  <c r="CA157" i="11"/>
  <c r="CI173" i="13"/>
  <c r="CB152" i="11"/>
  <c r="DO152" i="11" s="1"/>
  <c r="CB123" i="12"/>
  <c r="DO123" i="12" s="1"/>
  <c r="CI175" i="13"/>
  <c r="DK598" i="2"/>
  <c r="CK172" i="13"/>
  <c r="CJ170" i="13"/>
  <c r="DJ138" i="15" s="1"/>
  <c r="DK599" i="2"/>
  <c r="DL596" i="2"/>
  <c r="DK597" i="2"/>
  <c r="CK171" i="13"/>
  <c r="DI135" i="15" l="1"/>
  <c r="EV135" i="15" s="1"/>
  <c r="DI144" i="15"/>
  <c r="EV144" i="15" s="1"/>
  <c r="DJ144" i="15"/>
  <c r="DJ135" i="15"/>
  <c r="CI176" i="13"/>
  <c r="DV175" i="13"/>
  <c r="CB151" i="11"/>
  <c r="DO151" i="11" s="1"/>
  <c r="CB157" i="11"/>
  <c r="DO157" i="11" s="1"/>
  <c r="CC152" i="11"/>
  <c r="CC123" i="12"/>
  <c r="CB122" i="12"/>
  <c r="DO122" i="12" s="1"/>
  <c r="CB128" i="12"/>
  <c r="DO128" i="12" s="1"/>
  <c r="CJ173" i="13"/>
  <c r="CJ175" i="13"/>
  <c r="CL171" i="13"/>
  <c r="DW171" i="13" s="1"/>
  <c r="DL597" i="2"/>
  <c r="CK170" i="13"/>
  <c r="DK138" i="15" s="1"/>
  <c r="DL599" i="2"/>
  <c r="DM596" i="2"/>
  <c r="CL172" i="13"/>
  <c r="DW172" i="13" s="1"/>
  <c r="DL598" i="2"/>
  <c r="DK135" i="15" l="1"/>
  <c r="DK144" i="15"/>
  <c r="DV176" i="13"/>
  <c r="CJ176" i="13"/>
  <c r="CD152" i="11"/>
  <c r="CD123" i="12"/>
  <c r="CC122" i="12"/>
  <c r="CC128" i="12"/>
  <c r="CC151" i="11"/>
  <c r="CC157" i="11"/>
  <c r="DM598" i="2"/>
  <c r="CM172" i="13"/>
  <c r="DM599" i="2"/>
  <c r="DN596" i="2"/>
  <c r="DM597" i="2"/>
  <c r="CM171" i="13"/>
  <c r="CK173" i="13"/>
  <c r="CK175" i="13"/>
  <c r="CK176" i="13" s="1"/>
  <c r="CL170" i="13"/>
  <c r="DW170" i="13" l="1"/>
  <c r="DW173" i="13" s="1"/>
  <c r="DL138" i="15"/>
  <c r="CM170" i="13"/>
  <c r="CD122" i="12"/>
  <c r="CD128" i="12"/>
  <c r="CE152" i="11"/>
  <c r="DP152" i="11" s="1"/>
  <c r="CE123" i="12"/>
  <c r="DP123" i="12" s="1"/>
  <c r="CD151" i="11"/>
  <c r="CD157" i="11"/>
  <c r="CL173" i="13"/>
  <c r="CL175" i="13"/>
  <c r="CL176" i="13" s="1"/>
  <c r="CN171" i="13"/>
  <c r="DN597" i="2"/>
  <c r="DO596" i="2"/>
  <c r="DN599" i="2"/>
  <c r="CN172" i="13"/>
  <c r="DN598" i="2"/>
  <c r="EW138" i="15" l="1"/>
  <c r="DL144" i="15"/>
  <c r="EW144" i="15" s="1"/>
  <c r="DL135" i="15"/>
  <c r="CM173" i="13"/>
  <c r="DM138" i="15"/>
  <c r="CF152" i="11"/>
  <c r="CF123" i="12"/>
  <c r="CM175" i="13"/>
  <c r="CM176" i="13" s="1"/>
  <c r="DW175" i="13"/>
  <c r="DW176" i="13" s="1"/>
  <c r="CE151" i="11"/>
  <c r="DP151" i="11" s="1"/>
  <c r="CE157" i="11"/>
  <c r="DP157" i="11" s="1"/>
  <c r="CE122" i="12"/>
  <c r="DP122" i="12" s="1"/>
  <c r="CE128" i="12"/>
  <c r="DP128" i="12" s="1"/>
  <c r="DO598" i="2"/>
  <c r="CO172" i="13"/>
  <c r="DX172" i="13" s="1"/>
  <c r="DO597" i="2"/>
  <c r="CO171" i="13"/>
  <c r="DX171" i="13" s="1"/>
  <c r="DP596" i="2"/>
  <c r="DO599" i="2"/>
  <c r="CN170" i="13"/>
  <c r="DN138" i="15" s="1"/>
  <c r="EW135" i="15" l="1"/>
  <c r="DM144" i="15"/>
  <c r="DM135" i="15"/>
  <c r="CF151" i="11"/>
  <c r="CF157" i="11"/>
  <c r="CF128" i="12"/>
  <c r="CF122" i="12"/>
  <c r="DN144" i="15"/>
  <c r="DN135" i="15"/>
  <c r="CG152" i="11"/>
  <c r="CG123" i="12"/>
  <c r="DP599" i="2"/>
  <c r="DQ596" i="2"/>
  <c r="CN173" i="13"/>
  <c r="CN175" i="13"/>
  <c r="CO170" i="13"/>
  <c r="CP171" i="13"/>
  <c r="DP597" i="2"/>
  <c r="CP172" i="13"/>
  <c r="DP598" i="2"/>
  <c r="DQ599" i="2" l="1"/>
  <c r="DR596" i="2"/>
  <c r="DX170" i="13"/>
  <c r="DX173" i="13" s="1"/>
  <c r="DO138" i="15"/>
  <c r="CN176" i="13"/>
  <c r="CH152" i="11"/>
  <c r="DQ152" i="11" s="1"/>
  <c r="CH123" i="12"/>
  <c r="DQ123" i="12" s="1"/>
  <c r="CG122" i="12"/>
  <c r="CG128" i="12"/>
  <c r="CG151" i="11"/>
  <c r="CG157" i="11"/>
  <c r="CP170" i="13"/>
  <c r="DP138" i="15" s="1"/>
  <c r="DQ598" i="2"/>
  <c r="CQ172" i="13"/>
  <c r="DQ597" i="2"/>
  <c r="CQ171" i="13"/>
  <c r="CO173" i="13"/>
  <c r="CO175" i="13"/>
  <c r="CO176" i="13" s="1"/>
  <c r="CR171" i="13" l="1"/>
  <c r="DY171" i="13" s="1"/>
  <c r="EI171" i="13" s="1"/>
  <c r="DR597" i="2"/>
  <c r="CS171" i="13" s="1"/>
  <c r="DS596" i="2"/>
  <c r="DR599" i="2"/>
  <c r="CR172" i="13"/>
  <c r="DY172" i="13" s="1"/>
  <c r="EI172" i="13" s="1"/>
  <c r="DR598" i="2"/>
  <c r="EX138" i="15"/>
  <c r="DO144" i="15"/>
  <c r="EX144" i="15" s="1"/>
  <c r="DO135" i="15"/>
  <c r="DP144" i="15"/>
  <c r="DP135" i="15"/>
  <c r="CQ170" i="13"/>
  <c r="DX175" i="13"/>
  <c r="CI152" i="11"/>
  <c r="CI123" i="12"/>
  <c r="CH122" i="12"/>
  <c r="DQ122" i="12" s="1"/>
  <c r="CH128" i="12"/>
  <c r="DQ128" i="12" s="1"/>
  <c r="CH151" i="11"/>
  <c r="DQ151" i="11" s="1"/>
  <c r="CH157" i="11"/>
  <c r="DQ157" i="11" s="1"/>
  <c r="CP173" i="13"/>
  <c r="CP175" i="13"/>
  <c r="DS598" i="2" l="1"/>
  <c r="CT172" i="13" s="1"/>
  <c r="CS172" i="13"/>
  <c r="CR170" i="13"/>
  <c r="DR138" i="15" s="1"/>
  <c r="DR135" i="15" s="1"/>
  <c r="DT596" i="2"/>
  <c r="DS599" i="2"/>
  <c r="DS597" i="2"/>
  <c r="CT171" i="13" s="1"/>
  <c r="EX135" i="15"/>
  <c r="CQ175" i="13"/>
  <c r="CQ176" i="13" s="1"/>
  <c r="DQ138" i="15"/>
  <c r="CQ173" i="13"/>
  <c r="CJ123" i="12"/>
  <c r="CJ152" i="11"/>
  <c r="CP176" i="13"/>
  <c r="DX176" i="13"/>
  <c r="CI122" i="12"/>
  <c r="CI128" i="12"/>
  <c r="CI151" i="11"/>
  <c r="CI157" i="11"/>
  <c r="BU80" i="13"/>
  <c r="DR80" i="13" s="1"/>
  <c r="EH80" i="13" s="1"/>
  <c r="C8" i="18"/>
  <c r="C3" i="18" s="1"/>
  <c r="C54" i="18"/>
  <c r="C34" i="18"/>
  <c r="CT170" i="13" l="1"/>
  <c r="DT138" i="15" s="1"/>
  <c r="CS170" i="13"/>
  <c r="DT135" i="15"/>
  <c r="DT144" i="15"/>
  <c r="CM123" i="12"/>
  <c r="CM152" i="11"/>
  <c r="CT173" i="13"/>
  <c r="CT175" i="13"/>
  <c r="CT176" i="13" s="1"/>
  <c r="CL152" i="11"/>
  <c r="CL123" i="12"/>
  <c r="CS173" i="13"/>
  <c r="CS175" i="13"/>
  <c r="CR175" i="13"/>
  <c r="CR176" i="13" s="1"/>
  <c r="CR173" i="13"/>
  <c r="CK152" i="11"/>
  <c r="CK157" i="11" s="1"/>
  <c r="DR144" i="15"/>
  <c r="CK123" i="12"/>
  <c r="DR123" i="12" s="1"/>
  <c r="EB123" i="12" s="1"/>
  <c r="DY170" i="13"/>
  <c r="DY173" i="13" s="1"/>
  <c r="DT597" i="2"/>
  <c r="CU171" i="13" s="1"/>
  <c r="DZ171" i="13" s="1"/>
  <c r="DU596" i="2"/>
  <c r="DT599" i="2"/>
  <c r="DT598" i="2"/>
  <c r="CJ151" i="11"/>
  <c r="CJ157" i="11"/>
  <c r="EY138" i="15"/>
  <c r="FI138" i="15" s="1"/>
  <c r="DQ144" i="15"/>
  <c r="DQ135" i="15"/>
  <c r="CJ122" i="12"/>
  <c r="CJ128" i="12"/>
  <c r="C61" i="18"/>
  <c r="DS138" i="15" l="1"/>
  <c r="CS176" i="13"/>
  <c r="EI170" i="13"/>
  <c r="EI173" i="13" s="1"/>
  <c r="CL122" i="12"/>
  <c r="CL128" i="12"/>
  <c r="CL151" i="11"/>
  <c r="CL157" i="11"/>
  <c r="DU598" i="2"/>
  <c r="CV172" i="13" s="1"/>
  <c r="CU172" i="13"/>
  <c r="CM151" i="11"/>
  <c r="CM157" i="11"/>
  <c r="CM122" i="12"/>
  <c r="CM128" i="12"/>
  <c r="CK151" i="11"/>
  <c r="DR151" i="11" s="1"/>
  <c r="DR152" i="11"/>
  <c r="EB152" i="11" s="1"/>
  <c r="CK128" i="12"/>
  <c r="DR128" i="12" s="1"/>
  <c r="EB128" i="12" s="1"/>
  <c r="EY144" i="15"/>
  <c r="FI144" i="15" s="1"/>
  <c r="CK122" i="12"/>
  <c r="DR122" i="12" s="1"/>
  <c r="DY175" i="13"/>
  <c r="EI175" i="13" s="1"/>
  <c r="EI176" i="13" s="1"/>
  <c r="DV596" i="2"/>
  <c r="DU599" i="2"/>
  <c r="DU597" i="2"/>
  <c r="DR157" i="11"/>
  <c r="EB157" i="11" s="1"/>
  <c r="EY135" i="15"/>
  <c r="DS144" i="15" l="1"/>
  <c r="DS135" i="15"/>
  <c r="CU170" i="13"/>
  <c r="DZ172" i="13"/>
  <c r="DY176" i="13"/>
  <c r="CN123" i="12"/>
  <c r="DS123" i="12" s="1"/>
  <c r="CU173" i="13"/>
  <c r="CU175" i="13"/>
  <c r="DV597" i="2"/>
  <c r="CW171" i="13" s="1"/>
  <c r="CV171" i="13"/>
  <c r="DW596" i="2"/>
  <c r="DV599" i="2"/>
  <c r="DV598" i="2"/>
  <c r="EB151" i="11"/>
  <c r="FI135" i="15"/>
  <c r="EB122" i="12"/>
  <c r="CN152" i="11" l="1"/>
  <c r="DS152" i="11" s="1"/>
  <c r="DZ170" i="13"/>
  <c r="DU138" i="15"/>
  <c r="CV170" i="13"/>
  <c r="CU176" i="13"/>
  <c r="DZ175" i="13"/>
  <c r="DW598" i="2"/>
  <c r="CX172" i="13" s="1"/>
  <c r="CW172" i="13"/>
  <c r="CO123" i="12"/>
  <c r="CO152" i="11"/>
  <c r="CV173" i="13"/>
  <c r="CV175" i="13"/>
  <c r="CN122" i="12"/>
  <c r="DS122" i="12" s="1"/>
  <c r="CN128" i="12"/>
  <c r="DS128" i="12" s="1"/>
  <c r="CN151" i="11"/>
  <c r="DS151" i="11" s="1"/>
  <c r="CN157" i="11"/>
  <c r="DS157" i="11" s="1"/>
  <c r="DX596" i="2"/>
  <c r="DW599" i="2"/>
  <c r="DW597" i="2"/>
  <c r="DQ759" i="2"/>
  <c r="DO759" i="2"/>
  <c r="DP759" i="2"/>
  <c r="DN759" i="2"/>
  <c r="DM759" i="2"/>
  <c r="DL759" i="2"/>
  <c r="DK759" i="2"/>
  <c r="DI759" i="2"/>
  <c r="DJ759" i="2"/>
  <c r="DH759" i="2"/>
  <c r="DF759" i="2"/>
  <c r="DG759" i="2"/>
  <c r="DE759" i="2"/>
  <c r="DC759" i="2"/>
  <c r="DD759" i="2"/>
  <c r="DB759" i="2"/>
  <c r="CZ759" i="2"/>
  <c r="DA759" i="2"/>
  <c r="CY759" i="2"/>
  <c r="CW759" i="2"/>
  <c r="CX759" i="2"/>
  <c r="CV759" i="2"/>
  <c r="CU759" i="2"/>
  <c r="DD762" i="2"/>
  <c r="CV763" i="2"/>
  <c r="DL763" i="2"/>
  <c r="DD764" i="2"/>
  <c r="CV765" i="2"/>
  <c r="DL765" i="2"/>
  <c r="DD766" i="2"/>
  <c r="CV767" i="2"/>
  <c r="DL767" i="2"/>
  <c r="DD768" i="2"/>
  <c r="CV769" i="2"/>
  <c r="DL769" i="2"/>
  <c r="CV771" i="2"/>
  <c r="DL771" i="2"/>
  <c r="DD760" i="2"/>
  <c r="CV761" i="2"/>
  <c r="DL761" i="2"/>
  <c r="DO771" i="2"/>
  <c r="CY771" i="2"/>
  <c r="DO769" i="2"/>
  <c r="CY769" i="2"/>
  <c r="DG768" i="2"/>
  <c r="DO767" i="2"/>
  <c r="CY767" i="2"/>
  <c r="DG766" i="2"/>
  <c r="DO765" i="2"/>
  <c r="CY765" i="2"/>
  <c r="DG764" i="2"/>
  <c r="DO763" i="2"/>
  <c r="CY763" i="2"/>
  <c r="DG762" i="2"/>
  <c r="DO761" i="2"/>
  <c r="CY761" i="2"/>
  <c r="DG760" i="2"/>
  <c r="DE762" i="2"/>
  <c r="CW763" i="2"/>
  <c r="DM763" i="2"/>
  <c r="DE764" i="2"/>
  <c r="CW765" i="2"/>
  <c r="DM765" i="2"/>
  <c r="DE766" i="2"/>
  <c r="CW767" i="2"/>
  <c r="DM767" i="2"/>
  <c r="DE768" i="2"/>
  <c r="CW769" i="2"/>
  <c r="DM769" i="2"/>
  <c r="CW771" i="2"/>
  <c r="DM771" i="2"/>
  <c r="DE760" i="2"/>
  <c r="CW761" i="2"/>
  <c r="DM761" i="2"/>
  <c r="DN771" i="2"/>
  <c r="CX771" i="2"/>
  <c r="DN769" i="2"/>
  <c r="CX769" i="2"/>
  <c r="DF768" i="2"/>
  <c r="DN767" i="2"/>
  <c r="CX767" i="2"/>
  <c r="DF766" i="2"/>
  <c r="DN765" i="2"/>
  <c r="CX765" i="2"/>
  <c r="DF764" i="2"/>
  <c r="DN763" i="2"/>
  <c r="CX763" i="2"/>
  <c r="DF762" i="2"/>
  <c r="DN761" i="2"/>
  <c r="CX761" i="2"/>
  <c r="DF760" i="2"/>
  <c r="CU762" i="2"/>
  <c r="DK762" i="2"/>
  <c r="DC763" i="2"/>
  <c r="CU764" i="2"/>
  <c r="DK764" i="2"/>
  <c r="DC765" i="2"/>
  <c r="CU766" i="2"/>
  <c r="DK766" i="2"/>
  <c r="DC767" i="2"/>
  <c r="CU768" i="2"/>
  <c r="DK768" i="2"/>
  <c r="DC769" i="2"/>
  <c r="DC771" i="2"/>
  <c r="CU760" i="2"/>
  <c r="DK760" i="2"/>
  <c r="DC761" i="2"/>
  <c r="DH771" i="2"/>
  <c r="DH769" i="2"/>
  <c r="DP768" i="2"/>
  <c r="CZ768" i="2"/>
  <c r="DH767" i="2"/>
  <c r="DP766" i="2"/>
  <c r="CZ766" i="2"/>
  <c r="DH765" i="2"/>
  <c r="DP764" i="2"/>
  <c r="CZ764" i="2"/>
  <c r="DH763" i="2"/>
  <c r="DP762" i="2"/>
  <c r="CZ762" i="2"/>
  <c r="DH761" i="2"/>
  <c r="DP760" i="2"/>
  <c r="CZ760" i="2"/>
  <c r="DL762" i="2"/>
  <c r="CW762" i="2"/>
  <c r="DM762" i="2"/>
  <c r="DE763" i="2"/>
  <c r="CW764" i="2"/>
  <c r="DM764" i="2"/>
  <c r="DE765" i="2"/>
  <c r="CW766" i="2"/>
  <c r="DM766" i="2"/>
  <c r="DE767" i="2"/>
  <c r="CW768" i="2"/>
  <c r="DM768" i="2"/>
  <c r="DE769" i="2"/>
  <c r="DE771" i="2"/>
  <c r="CW760" i="2"/>
  <c r="DM760" i="2"/>
  <c r="DE761" i="2"/>
  <c r="DF771" i="2"/>
  <c r="DF769" i="2"/>
  <c r="DN768" i="2"/>
  <c r="CX768" i="2"/>
  <c r="DF767" i="2"/>
  <c r="DN766" i="2"/>
  <c r="CX766" i="2"/>
  <c r="DF765" i="2"/>
  <c r="DN764" i="2"/>
  <c r="CX764" i="2"/>
  <c r="DF763" i="2"/>
  <c r="DN762" i="2"/>
  <c r="CX762" i="2"/>
  <c r="DF761" i="2"/>
  <c r="DN760" i="2"/>
  <c r="CX760" i="2"/>
  <c r="DD767" i="2"/>
  <c r="CV762" i="2"/>
  <c r="DD763" i="2"/>
  <c r="CV764" i="2"/>
  <c r="DL764" i="2"/>
  <c r="DD765" i="2"/>
  <c r="CV766" i="2"/>
  <c r="DL766" i="2"/>
  <c r="CV768" i="2"/>
  <c r="DL768" i="2"/>
  <c r="DD769" i="2"/>
  <c r="DD771" i="2"/>
  <c r="CV760" i="2"/>
  <c r="DL760" i="2"/>
  <c r="DD761" i="2"/>
  <c r="DG771" i="2"/>
  <c r="DG769" i="2"/>
  <c r="DO768" i="2"/>
  <c r="CY768" i="2"/>
  <c r="DG767" i="2"/>
  <c r="DO766" i="2"/>
  <c r="CY766" i="2"/>
  <c r="DG765" i="2"/>
  <c r="DO764" i="2"/>
  <c r="CY764" i="2"/>
  <c r="DG763" i="2"/>
  <c r="DO762" i="2"/>
  <c r="CY762" i="2"/>
  <c r="DG761" i="2"/>
  <c r="DO760" i="2"/>
  <c r="CY760" i="2"/>
  <c r="DC762" i="2"/>
  <c r="CU763" i="2"/>
  <c r="DK763" i="2"/>
  <c r="DC764" i="2"/>
  <c r="CU765" i="2"/>
  <c r="DK765" i="2"/>
  <c r="DC766" i="2"/>
  <c r="CU767" i="2"/>
  <c r="DK767" i="2"/>
  <c r="DC768" i="2"/>
  <c r="CU769" i="2"/>
  <c r="DK769" i="2"/>
  <c r="CU771" i="2"/>
  <c r="DK771" i="2"/>
  <c r="DC760" i="2"/>
  <c r="CU761" i="2"/>
  <c r="DK761" i="2"/>
  <c r="DP771" i="2"/>
  <c r="CZ771" i="2"/>
  <c r="DP769" i="2"/>
  <c r="CZ769" i="2"/>
  <c r="DH768" i="2"/>
  <c r="DP767" i="2"/>
  <c r="CZ767" i="2"/>
  <c r="DH766" i="2"/>
  <c r="DP765" i="2"/>
  <c r="CZ765" i="2"/>
  <c r="DH764" i="2"/>
  <c r="DP763" i="2"/>
  <c r="CZ763" i="2"/>
  <c r="DH762" i="2"/>
  <c r="DP761" i="2"/>
  <c r="CZ761" i="2"/>
  <c r="DH760" i="2"/>
  <c r="DB762" i="2"/>
  <c r="DJ762" i="2"/>
  <c r="DB763" i="2"/>
  <c r="DJ763" i="2"/>
  <c r="DB764" i="2"/>
  <c r="DJ764" i="2"/>
  <c r="DB765" i="2"/>
  <c r="DJ765" i="2"/>
  <c r="DB766" i="2"/>
  <c r="DJ766" i="2"/>
  <c r="DB767" i="2"/>
  <c r="DJ767" i="2"/>
  <c r="DB768" i="2"/>
  <c r="DJ768" i="2"/>
  <c r="DB769" i="2"/>
  <c r="DJ769" i="2"/>
  <c r="DB771" i="2"/>
  <c r="DJ771" i="2"/>
  <c r="DB760" i="2"/>
  <c r="DJ760" i="2"/>
  <c r="DB761" i="2"/>
  <c r="DJ761" i="2"/>
  <c r="DQ771" i="2"/>
  <c r="DI771" i="2"/>
  <c r="DA771" i="2"/>
  <c r="DQ769" i="2"/>
  <c r="DI769" i="2"/>
  <c r="DA769" i="2"/>
  <c r="DQ768" i="2"/>
  <c r="DI768" i="2"/>
  <c r="DA768" i="2"/>
  <c r="DQ767" i="2"/>
  <c r="DI767" i="2"/>
  <c r="DA767" i="2"/>
  <c r="DQ766" i="2"/>
  <c r="DI766" i="2"/>
  <c r="DA766" i="2"/>
  <c r="DQ765" i="2"/>
  <c r="DI765" i="2"/>
  <c r="DA765" i="2"/>
  <c r="DQ764" i="2"/>
  <c r="DI764" i="2"/>
  <c r="DA764" i="2"/>
  <c r="DQ763" i="2"/>
  <c r="DI763" i="2"/>
  <c r="DA763" i="2"/>
  <c r="DQ762" i="2"/>
  <c r="DI762" i="2"/>
  <c r="DA762" i="2"/>
  <c r="DQ761" i="2"/>
  <c r="DI761" i="2"/>
  <c r="DA761" i="2"/>
  <c r="DQ760" i="2"/>
  <c r="DI760" i="2"/>
  <c r="DA760" i="2"/>
  <c r="CT760" i="2"/>
  <c r="CT771" i="2"/>
  <c r="CT767" i="2"/>
  <c r="CT763" i="2"/>
  <c r="CT768" i="2"/>
  <c r="CT764" i="2"/>
  <c r="CT766" i="2"/>
  <c r="CT761" i="2"/>
  <c r="CT765" i="2"/>
  <c r="CT769" i="2"/>
  <c r="CT762" i="2"/>
  <c r="CT759" i="2"/>
  <c r="EZ138" i="15" l="1"/>
  <c r="DU144" i="15"/>
  <c r="EZ144" i="15" s="1"/>
  <c r="DU135" i="15"/>
  <c r="EZ135" i="15" s="1"/>
  <c r="DZ173" i="13"/>
  <c r="DV138" i="15"/>
  <c r="CW170" i="13"/>
  <c r="DW138" i="15" s="1"/>
  <c r="EA172" i="13"/>
  <c r="CV176" i="13"/>
  <c r="DZ176" i="13"/>
  <c r="CO151" i="11"/>
  <c r="CO157" i="11"/>
  <c r="DX597" i="2"/>
  <c r="CY171" i="13" s="1"/>
  <c r="CX171" i="13"/>
  <c r="CO122" i="12"/>
  <c r="CO128" i="12"/>
  <c r="DX599" i="2"/>
  <c r="DY596" i="2"/>
  <c r="DX598" i="2"/>
  <c r="ER51" i="18"/>
  <c r="FH51" i="18" s="1"/>
  <c r="CU39" i="18"/>
  <c r="CW175" i="13" l="1"/>
  <c r="CW176" i="13" s="1"/>
  <c r="CP152" i="11"/>
  <c r="DW135" i="15"/>
  <c r="DW144" i="15"/>
  <c r="CP123" i="12"/>
  <c r="CW173" i="13"/>
  <c r="DV135" i="15"/>
  <c r="DV144" i="15"/>
  <c r="CX170" i="13"/>
  <c r="EA171" i="13"/>
  <c r="DY598" i="2"/>
  <c r="CZ172" i="13" s="1"/>
  <c r="CY172" i="13"/>
  <c r="CP151" i="11"/>
  <c r="CP157" i="11"/>
  <c r="CP122" i="12"/>
  <c r="CP128" i="12"/>
  <c r="DZ596" i="2"/>
  <c r="DY599" i="2"/>
  <c r="DY597" i="2"/>
  <c r="CU8" i="18"/>
  <c r="ER39" i="18"/>
  <c r="FH39" i="18" s="1"/>
  <c r="F10" i="24" s="1"/>
  <c r="CQ152" i="11" l="1"/>
  <c r="DT152" i="11" s="1"/>
  <c r="CX175" i="13"/>
  <c r="CX176" i="13" s="1"/>
  <c r="CX173" i="13"/>
  <c r="CQ123" i="12"/>
  <c r="DT123" i="12" s="1"/>
  <c r="EA170" i="13"/>
  <c r="DX138" i="15"/>
  <c r="CY170" i="13"/>
  <c r="DZ597" i="2"/>
  <c r="DA171" i="13" s="1"/>
  <c r="CZ171" i="13"/>
  <c r="EA596" i="2"/>
  <c r="DZ599" i="2"/>
  <c r="DZ598" i="2"/>
  <c r="ER8" i="18"/>
  <c r="FH8" i="18" s="1"/>
  <c r="CT7" i="2"/>
  <c r="CU18" i="2"/>
  <c r="CV18" i="2" s="1"/>
  <c r="CR152" i="11" l="1"/>
  <c r="CY173" i="13"/>
  <c r="CQ122" i="12"/>
  <c r="DT122" i="12" s="1"/>
  <c r="CQ151" i="11"/>
  <c r="DT151" i="11" s="1"/>
  <c r="EA175" i="13"/>
  <c r="CR123" i="12"/>
  <c r="CY175" i="13"/>
  <c r="CQ128" i="12"/>
  <c r="DT128" i="12" s="1"/>
  <c r="CQ157" i="11"/>
  <c r="DT157" i="11" s="1"/>
  <c r="FA138" i="15"/>
  <c r="DX135" i="15"/>
  <c r="FA135" i="15" s="1"/>
  <c r="DX144" i="15"/>
  <c r="FA144" i="15" s="1"/>
  <c r="EA173" i="13"/>
  <c r="DY138" i="15"/>
  <c r="CZ170" i="13"/>
  <c r="DZ138" i="15" s="1"/>
  <c r="EB171" i="13"/>
  <c r="EA598" i="2"/>
  <c r="DB172" i="13" s="1"/>
  <c r="DA172" i="13"/>
  <c r="EA599" i="2"/>
  <c r="EB596" i="2"/>
  <c r="EA597" i="2"/>
  <c r="CU7" i="2"/>
  <c r="CV7" i="2"/>
  <c r="CW18" i="2"/>
  <c r="CT9" i="2"/>
  <c r="CT8" i="2"/>
  <c r="DZ144" i="15" l="1"/>
  <c r="CS123" i="12"/>
  <c r="CR122" i="12"/>
  <c r="EA176" i="13"/>
  <c r="CS152" i="11"/>
  <c r="CR151" i="11"/>
  <c r="CZ175" i="13"/>
  <c r="CZ176" i="13" s="1"/>
  <c r="CR157" i="11"/>
  <c r="CY176" i="13"/>
  <c r="DZ135" i="15"/>
  <c r="CZ173" i="13"/>
  <c r="CR128" i="12"/>
  <c r="DY135" i="15"/>
  <c r="DY144" i="15"/>
  <c r="DA170" i="13"/>
  <c r="EB172" i="13"/>
  <c r="EB597" i="2"/>
  <c r="DC171" i="13" s="1"/>
  <c r="DB171" i="13"/>
  <c r="EC596" i="2"/>
  <c r="EC599" i="2" s="1"/>
  <c r="EB599" i="2"/>
  <c r="EB598" i="2"/>
  <c r="CU4" i="3"/>
  <c r="CT38" i="2"/>
  <c r="CU8" i="2"/>
  <c r="CU9" i="2"/>
  <c r="CT39" i="2"/>
  <c r="CU5" i="3"/>
  <c r="CW7" i="2"/>
  <c r="CX18" i="2"/>
  <c r="CT152" i="11" l="1"/>
  <c r="DU152" i="11" s="1"/>
  <c r="CS157" i="11"/>
  <c r="CS122" i="12"/>
  <c r="DA173" i="13"/>
  <c r="CS128" i="12"/>
  <c r="DA175" i="13"/>
  <c r="CT123" i="12"/>
  <c r="DU123" i="12" s="1"/>
  <c r="CS151" i="11"/>
  <c r="EB170" i="13"/>
  <c r="EA138" i="15"/>
  <c r="DB170" i="13"/>
  <c r="EC598" i="2"/>
  <c r="DD172" i="13" s="1"/>
  <c r="DC172" i="13"/>
  <c r="EC597" i="2"/>
  <c r="DD171" i="13" s="1"/>
  <c r="CU25" i="3"/>
  <c r="CT44" i="2"/>
  <c r="CT48" i="2" s="1"/>
  <c r="CV9" i="2"/>
  <c r="CV5" i="3"/>
  <c r="CV25" i="3" s="1"/>
  <c r="CU39" i="2"/>
  <c r="CU38" i="2"/>
  <c r="CV4" i="3"/>
  <c r="CV8" i="2"/>
  <c r="CT43" i="2"/>
  <c r="CT37" i="2"/>
  <c r="CU24" i="3"/>
  <c r="CU3" i="3"/>
  <c r="CX7" i="2"/>
  <c r="CY18" i="2"/>
  <c r="DB175" i="13" l="1"/>
  <c r="CT157" i="11"/>
  <c r="DU157" i="11" s="1"/>
  <c r="CU152" i="11"/>
  <c r="DA176" i="13"/>
  <c r="EB175" i="13"/>
  <c r="CU123" i="12"/>
  <c r="CT128" i="12"/>
  <c r="DU128" i="12" s="1"/>
  <c r="DB173" i="13"/>
  <c r="CT151" i="11"/>
  <c r="DU151" i="11" s="1"/>
  <c r="CT122" i="12"/>
  <c r="DU122" i="12" s="1"/>
  <c r="FB138" i="15"/>
  <c r="EA135" i="15"/>
  <c r="FB135" i="15" s="1"/>
  <c r="EA144" i="15"/>
  <c r="FB144" i="15" s="1"/>
  <c r="EB173" i="13"/>
  <c r="EB138" i="15"/>
  <c r="EC171" i="13"/>
  <c r="EJ171" i="13" s="1"/>
  <c r="DC170" i="13"/>
  <c r="EC138" i="15" s="1"/>
  <c r="EC172" i="13"/>
  <c r="EJ172" i="13" s="1"/>
  <c r="DD170" i="13"/>
  <c r="ED138" i="15" s="1"/>
  <c r="CU4" i="18"/>
  <c r="CU23" i="3"/>
  <c r="CZ18" i="2"/>
  <c r="CY7" i="2"/>
  <c r="CW5" i="3"/>
  <c r="CW25" i="3" s="1"/>
  <c r="CW9" i="2"/>
  <c r="CV39" i="2"/>
  <c r="CU28" i="3"/>
  <c r="CT42" i="2"/>
  <c r="CT46" i="2" s="1"/>
  <c r="CT61" i="2" s="1"/>
  <c r="CU54" i="3" s="1"/>
  <c r="CU43" i="2"/>
  <c r="CU47" i="2" s="1"/>
  <c r="CU44" i="2"/>
  <c r="CU48" i="2" s="1"/>
  <c r="CU29" i="3"/>
  <c r="CT47" i="2"/>
  <c r="CW8" i="2"/>
  <c r="CV38" i="2"/>
  <c r="CW4" i="3"/>
  <c r="CV3" i="3"/>
  <c r="CV24" i="3"/>
  <c r="CU37" i="2"/>
  <c r="DB176" i="13" l="1"/>
  <c r="EC135" i="15"/>
  <c r="CV152" i="11"/>
  <c r="DC175" i="13"/>
  <c r="DC176" i="13" s="1"/>
  <c r="CU128" i="12"/>
  <c r="EB176" i="13"/>
  <c r="EC144" i="15"/>
  <c r="CV123" i="12"/>
  <c r="DC173" i="13"/>
  <c r="CU122" i="12"/>
  <c r="CU157" i="11"/>
  <c r="FC138" i="15"/>
  <c r="FJ138" i="15" s="1"/>
  <c r="CU151" i="11"/>
  <c r="EB135" i="15"/>
  <c r="EB144" i="15"/>
  <c r="EC170" i="13"/>
  <c r="CU27" i="3"/>
  <c r="CU33" i="3"/>
  <c r="CU34" i="3"/>
  <c r="ED135" i="15"/>
  <c r="ED144" i="15"/>
  <c r="CW123" i="12"/>
  <c r="CW152" i="11"/>
  <c r="DD173" i="13"/>
  <c r="DD175" i="13"/>
  <c r="DD176" i="13" s="1"/>
  <c r="CT58" i="2"/>
  <c r="CU50" i="3" s="1"/>
  <c r="CT60" i="2"/>
  <c r="CU53" i="3" s="1"/>
  <c r="ES5" i="3"/>
  <c r="ES25" i="3" s="1"/>
  <c r="CT57" i="2"/>
  <c r="CU49" i="3" s="1"/>
  <c r="CT92" i="2"/>
  <c r="CT55" i="2"/>
  <c r="CX4" i="3"/>
  <c r="CW38" i="2"/>
  <c r="CX8" i="2"/>
  <c r="CV44" i="2"/>
  <c r="CV29" i="3"/>
  <c r="DA18" i="2"/>
  <c r="CZ7" i="2"/>
  <c r="CV28" i="3"/>
  <c r="CV27" i="3" s="1"/>
  <c r="CU42" i="2"/>
  <c r="CU46" i="2" s="1"/>
  <c r="CU61" i="2" s="1"/>
  <c r="CV54" i="3" s="1"/>
  <c r="CV43" i="2"/>
  <c r="CV4" i="18"/>
  <c r="CV23" i="3"/>
  <c r="CU47" i="18"/>
  <c r="CU35" i="18"/>
  <c r="CW24" i="3"/>
  <c r="CW3" i="3"/>
  <c r="ES4" i="3"/>
  <c r="CX5" i="3"/>
  <c r="CW39" i="2"/>
  <c r="CX9" i="2"/>
  <c r="CV37" i="2"/>
  <c r="DV123" i="12" l="1"/>
  <c r="EC123" i="12" s="1"/>
  <c r="CV157" i="11"/>
  <c r="FC144" i="15"/>
  <c r="FJ144" i="15" s="1"/>
  <c r="CV151" i="11"/>
  <c r="CV122" i="12"/>
  <c r="FC135" i="15"/>
  <c r="DV152" i="11"/>
  <c r="EC152" i="11" s="1"/>
  <c r="CV128" i="12"/>
  <c r="EJ170" i="13"/>
  <c r="EJ173" i="13" s="1"/>
  <c r="EC173" i="13"/>
  <c r="CU32" i="3"/>
  <c r="EC175" i="13"/>
  <c r="CV33" i="3"/>
  <c r="CV34" i="3"/>
  <c r="CW151" i="11"/>
  <c r="CW157" i="11"/>
  <c r="CW122" i="12"/>
  <c r="CW128" i="12"/>
  <c r="CU58" i="2"/>
  <c r="CV50" i="3" s="1"/>
  <c r="CU60" i="2"/>
  <c r="CV53" i="3" s="1"/>
  <c r="CV55" i="18"/>
  <c r="CU55" i="2"/>
  <c r="CU92" i="2"/>
  <c r="CU57" i="2"/>
  <c r="CV49" i="3" s="1"/>
  <c r="CV42" i="2"/>
  <c r="CV46" i="2" s="1"/>
  <c r="CV61" i="2" s="1"/>
  <c r="CW54" i="3" s="1"/>
  <c r="ES54" i="3" s="1"/>
  <c r="CW28" i="3"/>
  <c r="CW43" i="2"/>
  <c r="CW47" i="2" s="1"/>
  <c r="CY4" i="3"/>
  <c r="CX38" i="2"/>
  <c r="CY8" i="2"/>
  <c r="CV35" i="18"/>
  <c r="CV47" i="18"/>
  <c r="CX25" i="3"/>
  <c r="DA7" i="2"/>
  <c r="DB18" i="2"/>
  <c r="CW37" i="2"/>
  <c r="CX3" i="3"/>
  <c r="CX24" i="3"/>
  <c r="CW44" i="2"/>
  <c r="CW48" i="2" s="1"/>
  <c r="CW29" i="3"/>
  <c r="ES3" i="3"/>
  <c r="ES23" i="3" s="1"/>
  <c r="ES24" i="3"/>
  <c r="CU47" i="3"/>
  <c r="CT54" i="2"/>
  <c r="CT69" i="2" s="1"/>
  <c r="CY5" i="3"/>
  <c r="CY25" i="3" s="1"/>
  <c r="CY9" i="2"/>
  <c r="CX39" i="2"/>
  <c r="CW23" i="3"/>
  <c r="CW4" i="18"/>
  <c r="CU55" i="18"/>
  <c r="CU30" i="3"/>
  <c r="CV48" i="2"/>
  <c r="CV47" i="2"/>
  <c r="CT64" i="2" l="1"/>
  <c r="CT63" i="2"/>
  <c r="DV157" i="11"/>
  <c r="EC157" i="11" s="1"/>
  <c r="FJ135" i="15"/>
  <c r="DV151" i="11"/>
  <c r="EC151" i="11" s="1"/>
  <c r="DV128" i="12"/>
  <c r="EC128" i="12" s="1"/>
  <c r="DV122" i="12"/>
  <c r="EC122" i="12" s="1"/>
  <c r="CU64" i="18"/>
  <c r="CU79" i="3"/>
  <c r="CU39" i="3"/>
  <c r="CU43" i="3"/>
  <c r="CU98" i="3"/>
  <c r="CU104" i="3"/>
  <c r="CU112" i="3"/>
  <c r="CW27" i="3"/>
  <c r="EC176" i="13"/>
  <c r="EJ175" i="13"/>
  <c r="EJ176" i="13" s="1"/>
  <c r="ES28" i="3"/>
  <c r="CW33" i="3"/>
  <c r="CW34" i="3"/>
  <c r="CV32" i="3"/>
  <c r="CV104" i="3" s="1"/>
  <c r="CV30" i="3"/>
  <c r="CV58" i="2"/>
  <c r="CW50" i="3" s="1"/>
  <c r="ES50" i="3" s="1"/>
  <c r="CV60" i="2"/>
  <c r="CW53" i="3" s="1"/>
  <c r="ES53" i="3" s="1"/>
  <c r="CW35" i="18"/>
  <c r="CW47" i="18"/>
  <c r="CX37" i="2"/>
  <c r="CY24" i="3"/>
  <c r="CY3" i="3"/>
  <c r="CY38" i="2"/>
  <c r="CZ4" i="3"/>
  <c r="ET4" i="3" s="1"/>
  <c r="CZ8" i="2"/>
  <c r="CZ5" i="3"/>
  <c r="CZ25" i="3" s="1"/>
  <c r="CZ9" i="2"/>
  <c r="CY39" i="2"/>
  <c r="CX29" i="3"/>
  <c r="CX44" i="2"/>
  <c r="DC18" i="2"/>
  <c r="DB7" i="2"/>
  <c r="CV92" i="2"/>
  <c r="CV57" i="2"/>
  <c r="CW49" i="3" s="1"/>
  <c r="ES49" i="3" s="1"/>
  <c r="CV55" i="2"/>
  <c r="CW42" i="2"/>
  <c r="CW46" i="2" s="1"/>
  <c r="CW61" i="2" s="1"/>
  <c r="CX54" i="3" s="1"/>
  <c r="CX28" i="3"/>
  <c r="CX43" i="2"/>
  <c r="ER4" i="18"/>
  <c r="CU46" i="3"/>
  <c r="ES29" i="3"/>
  <c r="CX23" i="3"/>
  <c r="CX4" i="18"/>
  <c r="CV47" i="3"/>
  <c r="CV46" i="3" s="1"/>
  <c r="CU54" i="2"/>
  <c r="CU69" i="2" s="1"/>
  <c r="CU63" i="2" l="1"/>
  <c r="CU72" i="18"/>
  <c r="CV66" i="3"/>
  <c r="CW32" i="3"/>
  <c r="CX27" i="3"/>
  <c r="CV39" i="3"/>
  <c r="CV43" i="3"/>
  <c r="CV64" i="18"/>
  <c r="CV72" i="18" s="1"/>
  <c r="ES33" i="3"/>
  <c r="CX33" i="3"/>
  <c r="CV112" i="3"/>
  <c r="CV79" i="3"/>
  <c r="CV98" i="3"/>
  <c r="CX34" i="3"/>
  <c r="CW58" i="2"/>
  <c r="CX50" i="3" s="1"/>
  <c r="CW60" i="2"/>
  <c r="CX53" i="3" s="1"/>
  <c r="CV60" i="3"/>
  <c r="CV64" i="3" s="1"/>
  <c r="CW57" i="2"/>
  <c r="CX49" i="3" s="1"/>
  <c r="CW55" i="2"/>
  <c r="CW92" i="2"/>
  <c r="CY43" i="2"/>
  <c r="CY47" i="2" s="1"/>
  <c r="CY28" i="3"/>
  <c r="CX42" i="2"/>
  <c r="CX46" i="2" s="1"/>
  <c r="CX61" i="2" s="1"/>
  <c r="CY54" i="3" s="1"/>
  <c r="CY4" i="18"/>
  <c r="CY23" i="3"/>
  <c r="CX47" i="2"/>
  <c r="CY44" i="2"/>
  <c r="CY29" i="3"/>
  <c r="CX47" i="18"/>
  <c r="CX35" i="18"/>
  <c r="ET24" i="3"/>
  <c r="ER47" i="18"/>
  <c r="ER35" i="18"/>
  <c r="DA5" i="3"/>
  <c r="CZ39" i="2"/>
  <c r="DA9" i="2"/>
  <c r="DC7" i="2"/>
  <c r="DD18" i="2"/>
  <c r="ET5" i="3"/>
  <c r="ET3" i="3" s="1"/>
  <c r="ET23" i="3" s="1"/>
  <c r="CZ24" i="3"/>
  <c r="CZ3" i="3"/>
  <c r="CW55" i="18"/>
  <c r="CW30" i="3"/>
  <c r="ES27" i="3"/>
  <c r="ES34" i="3"/>
  <c r="CV54" i="2"/>
  <c r="CV69" i="2" s="1"/>
  <c r="CW47" i="3"/>
  <c r="CW46" i="3" s="1"/>
  <c r="CX48" i="2"/>
  <c r="DA8" i="2"/>
  <c r="DA4" i="3"/>
  <c r="CZ38" i="2"/>
  <c r="CV84" i="18"/>
  <c r="CV58" i="3"/>
  <c r="CU84" i="18"/>
  <c r="CU56" i="3"/>
  <c r="CU58" i="3"/>
  <c r="CU66" i="3"/>
  <c r="CU60" i="3"/>
  <c r="CY37" i="2"/>
  <c r="CV63" i="2" l="1"/>
  <c r="CW98" i="3"/>
  <c r="CW104" i="3"/>
  <c r="CW39" i="3"/>
  <c r="CW64" i="18"/>
  <c r="CW43" i="3"/>
  <c r="CW79" i="3"/>
  <c r="CY33" i="3"/>
  <c r="CV70" i="3"/>
  <c r="CV111" i="18"/>
  <c r="CV81" i="3"/>
  <c r="CW112" i="3"/>
  <c r="CW60" i="3"/>
  <c r="CY27" i="3"/>
  <c r="CY34" i="3"/>
  <c r="CV102" i="18"/>
  <c r="CX58" i="2"/>
  <c r="CY50" i="3" s="1"/>
  <c r="CX60" i="2"/>
  <c r="CY53" i="3" s="1"/>
  <c r="CW66" i="3"/>
  <c r="CW81" i="3" s="1"/>
  <c r="CX55" i="2"/>
  <c r="CX57" i="2"/>
  <c r="CY49" i="3" s="1"/>
  <c r="CX92" i="2"/>
  <c r="CY47" i="18"/>
  <c r="CY35" i="18"/>
  <c r="ET25" i="3"/>
  <c r="CX30" i="3"/>
  <c r="CX55" i="18"/>
  <c r="CX32" i="3"/>
  <c r="CY42" i="2"/>
  <c r="CY46" i="2" s="1"/>
  <c r="CY61" i="2" s="1"/>
  <c r="CZ54" i="3" s="1"/>
  <c r="ET54" i="3" s="1"/>
  <c r="CZ43" i="2"/>
  <c r="CZ47" i="2" s="1"/>
  <c r="CZ28" i="3"/>
  <c r="CZ29" i="3"/>
  <c r="CZ44" i="2"/>
  <c r="CZ37" i="2"/>
  <c r="ER55" i="18"/>
  <c r="CY48" i="2"/>
  <c r="CU102" i="18"/>
  <c r="CU64" i="3"/>
  <c r="DE18" i="2"/>
  <c r="DD7" i="2"/>
  <c r="CU70" i="3"/>
  <c r="CU81" i="3"/>
  <c r="CU111" i="18"/>
  <c r="DA24" i="3"/>
  <c r="DA3" i="3"/>
  <c r="DA38" i="2"/>
  <c r="DB8" i="2"/>
  <c r="DB4" i="3"/>
  <c r="CV56" i="3"/>
  <c r="CU67" i="3"/>
  <c r="CU61" i="3"/>
  <c r="ES30" i="3"/>
  <c r="ES32" i="3"/>
  <c r="CZ4" i="18"/>
  <c r="CZ23" i="3"/>
  <c r="DB5" i="3"/>
  <c r="DB25" i="3" s="1"/>
  <c r="DA39" i="2"/>
  <c r="DB9" i="2"/>
  <c r="CW84" i="18"/>
  <c r="CW58" i="3"/>
  <c r="ES47" i="3"/>
  <c r="CU57" i="3"/>
  <c r="CU64" i="2"/>
  <c r="DA25" i="3"/>
  <c r="CX47" i="3"/>
  <c r="CW54" i="2"/>
  <c r="CW69" i="2" s="1"/>
  <c r="CW63" i="2" l="1"/>
  <c r="CV64" i="2"/>
  <c r="CY30" i="3"/>
  <c r="CY55" i="18"/>
  <c r="CV137" i="18"/>
  <c r="CW72" i="18"/>
  <c r="CV82" i="3"/>
  <c r="CV100" i="3"/>
  <c r="ER64" i="18"/>
  <c r="CY32" i="3"/>
  <c r="CW64" i="3"/>
  <c r="CW102" i="18"/>
  <c r="CZ27" i="3"/>
  <c r="ET28" i="3"/>
  <c r="CZ33" i="3"/>
  <c r="CZ34" i="3"/>
  <c r="CW111" i="18"/>
  <c r="ER111" i="18" s="1"/>
  <c r="ET29" i="3"/>
  <c r="CW70" i="3"/>
  <c r="CY58" i="2"/>
  <c r="CZ50" i="3" s="1"/>
  <c r="ET50" i="3" s="1"/>
  <c r="CY60" i="2"/>
  <c r="CZ53" i="3" s="1"/>
  <c r="ET53" i="3" s="1"/>
  <c r="ER84" i="18"/>
  <c r="CY55" i="2"/>
  <c r="CY92" i="2"/>
  <c r="CY57" i="2"/>
  <c r="CZ49" i="3" s="1"/>
  <c r="ET49" i="3" s="1"/>
  <c r="DA37" i="2"/>
  <c r="CX98" i="3"/>
  <c r="CX104" i="3"/>
  <c r="CX64" i="18"/>
  <c r="CX112" i="3"/>
  <c r="CX43" i="3"/>
  <c r="CX39" i="3"/>
  <c r="CX79" i="3"/>
  <c r="CU68" i="3"/>
  <c r="CU62" i="3"/>
  <c r="ES46" i="3"/>
  <c r="ES58" i="3" s="1"/>
  <c r="CU82" i="3"/>
  <c r="CU137" i="18"/>
  <c r="CU100" i="3"/>
  <c r="DC5" i="3"/>
  <c r="DC25" i="3" s="1"/>
  <c r="DC9" i="2"/>
  <c r="DB39" i="2"/>
  <c r="CW56" i="3"/>
  <c r="CV67" i="3"/>
  <c r="CV61" i="3"/>
  <c r="CV57" i="3"/>
  <c r="DB24" i="3"/>
  <c r="DB3" i="3"/>
  <c r="CW82" i="3"/>
  <c r="CW100" i="3"/>
  <c r="CW137" i="18"/>
  <c r="DA28" i="3"/>
  <c r="DA33" i="3" s="1"/>
  <c r="CZ42" i="2"/>
  <c r="CZ46" i="2" s="1"/>
  <c r="CZ61" i="2" s="1"/>
  <c r="DA54" i="3" s="1"/>
  <c r="DA43" i="2"/>
  <c r="DA47" i="2" s="1"/>
  <c r="CX54" i="2"/>
  <c r="CX69" i="2" s="1"/>
  <c r="CY47" i="3"/>
  <c r="CY46" i="3" s="1"/>
  <c r="ES39" i="3"/>
  <c r="ES112" i="3"/>
  <c r="ES43" i="3"/>
  <c r="ES104" i="3"/>
  <c r="ES98" i="3"/>
  <c r="DC8" i="2"/>
  <c r="DB38" i="2"/>
  <c r="DC4" i="3"/>
  <c r="CZ35" i="18"/>
  <c r="CZ47" i="18"/>
  <c r="DA23" i="3"/>
  <c r="DA4" i="18"/>
  <c r="DA44" i="2"/>
  <c r="DA29" i="3"/>
  <c r="CX46" i="3"/>
  <c r="CX60" i="3" s="1"/>
  <c r="DF18" i="2"/>
  <c r="DE7" i="2"/>
  <c r="ES4" i="18"/>
  <c r="CZ48" i="2"/>
  <c r="CX63" i="2" l="1"/>
  <c r="CW64" i="2"/>
  <c r="ER72" i="18"/>
  <c r="CV167" i="18"/>
  <c r="CV106" i="3"/>
  <c r="CV101" i="3"/>
  <c r="ER102" i="18"/>
  <c r="CY79" i="3"/>
  <c r="CY39" i="3"/>
  <c r="CY43" i="3"/>
  <c r="CY98" i="3"/>
  <c r="CY104" i="3"/>
  <c r="CY64" i="18"/>
  <c r="CY66" i="3"/>
  <c r="CY112" i="3"/>
  <c r="DA27" i="3"/>
  <c r="ET33" i="3"/>
  <c r="ET34" i="3"/>
  <c r="DA34" i="3"/>
  <c r="CZ58" i="2"/>
  <c r="DA50" i="3" s="1"/>
  <c r="CZ60" i="2"/>
  <c r="DA53" i="3" s="1"/>
  <c r="CY60" i="3"/>
  <c r="CY64" i="3" s="1"/>
  <c r="ES66" i="3"/>
  <c r="ES81" i="3" s="1"/>
  <c r="ES60" i="3"/>
  <c r="ES64" i="3" s="1"/>
  <c r="CZ55" i="2"/>
  <c r="CZ92" i="2"/>
  <c r="CZ57" i="2"/>
  <c r="DA49" i="3" s="1"/>
  <c r="CX102" i="18"/>
  <c r="CX64" i="3"/>
  <c r="DC24" i="3"/>
  <c r="DC3" i="3"/>
  <c r="EU5" i="3"/>
  <c r="DB37" i="2"/>
  <c r="CY84" i="18"/>
  <c r="CY58" i="3"/>
  <c r="CZ30" i="3"/>
  <c r="CZ55" i="18"/>
  <c r="ET27" i="3"/>
  <c r="DA35" i="18"/>
  <c r="DA47" i="18"/>
  <c r="DD4" i="3"/>
  <c r="DC38" i="2"/>
  <c r="DD8" i="2"/>
  <c r="CX56" i="3"/>
  <c r="CX57" i="3" s="1"/>
  <c r="CW67" i="3"/>
  <c r="ES67" i="3" s="1"/>
  <c r="CW61" i="3"/>
  <c r="CW57" i="3"/>
  <c r="ES56" i="3"/>
  <c r="CX72" i="18"/>
  <c r="DG18" i="2"/>
  <c r="DF7" i="2"/>
  <c r="EU4" i="3"/>
  <c r="DB28" i="3"/>
  <c r="DB43" i="2"/>
  <c r="DA42" i="2"/>
  <c r="DA46" i="2" s="1"/>
  <c r="DA61" i="2" s="1"/>
  <c r="DB54" i="3" s="1"/>
  <c r="DD5" i="3"/>
  <c r="DC39" i="2"/>
  <c r="DD9" i="2"/>
  <c r="CX58" i="3"/>
  <c r="CX84" i="18"/>
  <c r="CX66" i="3"/>
  <c r="CW106" i="3"/>
  <c r="CW101" i="3"/>
  <c r="CW167" i="18"/>
  <c r="DB23" i="3"/>
  <c r="DB4" i="18"/>
  <c r="CZ47" i="3"/>
  <c r="CY54" i="2"/>
  <c r="CY69" i="2" s="1"/>
  <c r="DB29" i="3"/>
  <c r="DB44" i="2"/>
  <c r="DA48" i="2"/>
  <c r="ER137" i="18"/>
  <c r="CU167" i="18"/>
  <c r="CU101" i="3"/>
  <c r="CU106" i="3"/>
  <c r="ES47" i="18"/>
  <c r="ES35" i="18"/>
  <c r="CZ32" i="3"/>
  <c r="CV68" i="3"/>
  <c r="CV62" i="3"/>
  <c r="CY63" i="2" l="1"/>
  <c r="DA32" i="3"/>
  <c r="CV107" i="3"/>
  <c r="CV114" i="3"/>
  <c r="CV115" i="3" s="1"/>
  <c r="CY81" i="3"/>
  <c r="CY70" i="3"/>
  <c r="CY111" i="18"/>
  <c r="DB27" i="3"/>
  <c r="CY72" i="18"/>
  <c r="DB33" i="3"/>
  <c r="CY102" i="18"/>
  <c r="DB34" i="3"/>
  <c r="ES70" i="3"/>
  <c r="DA58" i="2"/>
  <c r="DB50" i="3" s="1"/>
  <c r="DA60" i="2"/>
  <c r="DB53" i="3" s="1"/>
  <c r="CY64" i="2"/>
  <c r="DE8" i="2"/>
  <c r="DD38" i="2"/>
  <c r="DE4" i="3"/>
  <c r="ET30" i="3"/>
  <c r="ET32" i="3"/>
  <c r="DG7" i="2"/>
  <c r="DH18" i="2"/>
  <c r="DC37" i="2"/>
  <c r="ES55" i="18"/>
  <c r="DA92" i="2"/>
  <c r="DA55" i="2"/>
  <c r="DA57" i="2"/>
  <c r="DB49" i="3" s="1"/>
  <c r="CU114" i="3"/>
  <c r="CU115" i="3" s="1"/>
  <c r="CU107" i="3"/>
  <c r="DC29" i="3"/>
  <c r="DC44" i="2"/>
  <c r="CZ46" i="3"/>
  <c r="CZ60" i="3" s="1"/>
  <c r="ET47" i="3"/>
  <c r="CW114" i="3"/>
  <c r="CW115" i="3" s="1"/>
  <c r="CW107" i="3"/>
  <c r="CX111" i="18"/>
  <c r="CX81" i="3"/>
  <c r="CX70" i="3"/>
  <c r="DE5" i="3"/>
  <c r="DE25" i="3" s="1"/>
  <c r="DE9" i="2"/>
  <c r="DD39" i="2"/>
  <c r="DD24" i="3"/>
  <c r="DD3" i="3"/>
  <c r="ER167" i="18"/>
  <c r="ES100" i="3"/>
  <c r="ES82" i="3"/>
  <c r="CX68" i="3"/>
  <c r="CX62" i="3"/>
  <c r="DD25" i="3"/>
  <c r="DB48" i="2"/>
  <c r="DC28" i="3"/>
  <c r="DC43" i="2"/>
  <c r="DB42" i="2"/>
  <c r="DB46" i="2" s="1"/>
  <c r="DB61" i="2" s="1"/>
  <c r="DC54" i="3" s="1"/>
  <c r="EU54" i="3" s="1"/>
  <c r="ES61" i="3"/>
  <c r="DB47" i="2"/>
  <c r="CW62" i="3"/>
  <c r="CW68" i="3"/>
  <c r="ES68" i="3" s="1"/>
  <c r="ES57" i="3"/>
  <c r="CZ64" i="18"/>
  <c r="CZ112" i="3"/>
  <c r="CZ104" i="3"/>
  <c r="CZ79" i="3"/>
  <c r="CZ43" i="3"/>
  <c r="CZ98" i="3"/>
  <c r="CZ39" i="3"/>
  <c r="DB47" i="18"/>
  <c r="DB35" i="18"/>
  <c r="CY56" i="3"/>
  <c r="CX61" i="3"/>
  <c r="CX67" i="3"/>
  <c r="EU25" i="3"/>
  <c r="DA55" i="18"/>
  <c r="DA30" i="3"/>
  <c r="EU24" i="3"/>
  <c r="EU3" i="3"/>
  <c r="EU23" i="3" s="1"/>
  <c r="CX64" i="2"/>
  <c r="DC23" i="3"/>
  <c r="DC4" i="18"/>
  <c r="CZ54" i="2"/>
  <c r="CZ69" i="2" s="1"/>
  <c r="DA47" i="3"/>
  <c r="CZ63" i="2" l="1"/>
  <c r="DA98" i="3"/>
  <c r="DA79" i="3"/>
  <c r="DA112" i="3"/>
  <c r="DA104" i="3"/>
  <c r="DA43" i="3"/>
  <c r="DA39" i="3"/>
  <c r="DA64" i="18"/>
  <c r="DC27" i="3"/>
  <c r="CY82" i="3"/>
  <c r="CY100" i="3"/>
  <c r="CY137" i="18"/>
  <c r="DB32" i="3"/>
  <c r="EU28" i="3"/>
  <c r="DC33" i="3"/>
  <c r="DC34" i="3"/>
  <c r="DB58" i="2"/>
  <c r="DC50" i="3" s="1"/>
  <c r="EU50" i="3" s="1"/>
  <c r="DB60" i="2"/>
  <c r="DC53" i="3" s="1"/>
  <c r="EU53" i="3" s="1"/>
  <c r="CZ66" i="3"/>
  <c r="CZ70" i="3" s="1"/>
  <c r="DD43" i="2"/>
  <c r="DD28" i="3"/>
  <c r="DD33" i="3" s="1"/>
  <c r="DC42" i="2"/>
  <c r="DC46" i="2" s="1"/>
  <c r="DC61" i="2" s="1"/>
  <c r="DD54" i="3" s="1"/>
  <c r="ET46" i="3"/>
  <c r="ET58" i="3" s="1"/>
  <c r="EU29" i="3"/>
  <c r="EU34" i="3" s="1"/>
  <c r="CZ64" i="3"/>
  <c r="CZ102" i="18"/>
  <c r="ES62" i="3"/>
  <c r="CZ58" i="3"/>
  <c r="CZ84" i="18"/>
  <c r="DC47" i="2"/>
  <c r="DE24" i="3"/>
  <c r="DE3" i="3"/>
  <c r="DD37" i="2"/>
  <c r="DD44" i="2"/>
  <c r="DD29" i="3"/>
  <c r="DA46" i="3"/>
  <c r="CZ56" i="3"/>
  <c r="CY61" i="3"/>
  <c r="CY67" i="3"/>
  <c r="CY57" i="3"/>
  <c r="CZ64" i="2"/>
  <c r="DF4" i="3"/>
  <c r="DF8" i="2"/>
  <c r="DE38" i="2"/>
  <c r="DB55" i="2"/>
  <c r="DB92" i="2"/>
  <c r="DB57" i="2"/>
  <c r="DC49" i="3" s="1"/>
  <c r="EU49" i="3" s="1"/>
  <c r="DB30" i="3"/>
  <c r="DB55" i="18"/>
  <c r="ES101" i="3"/>
  <c r="ES106" i="3"/>
  <c r="DF5" i="3"/>
  <c r="DF25" i="3" s="1"/>
  <c r="DE39" i="2"/>
  <c r="DF9" i="2"/>
  <c r="DC35" i="18"/>
  <c r="DC47" i="18"/>
  <c r="DC48" i="2"/>
  <c r="DB47" i="3"/>
  <c r="DB46" i="3" s="1"/>
  <c r="DA54" i="2"/>
  <c r="DI18" i="2"/>
  <c r="DH7" i="2"/>
  <c r="ET4" i="18"/>
  <c r="DD4" i="18"/>
  <c r="DD23" i="3"/>
  <c r="CX137" i="18"/>
  <c r="CX100" i="3"/>
  <c r="CX82" i="3"/>
  <c r="ET39" i="3"/>
  <c r="ET104" i="3"/>
  <c r="ET98" i="3"/>
  <c r="ET43" i="3"/>
  <c r="ET112" i="3"/>
  <c r="CZ72" i="18"/>
  <c r="ES64" i="18"/>
  <c r="DA63" i="2" l="1"/>
  <c r="DA69" i="2"/>
  <c r="CZ81" i="3"/>
  <c r="DA72" i="18"/>
  <c r="EU27" i="3"/>
  <c r="EU30" i="3" s="1"/>
  <c r="CY101" i="3"/>
  <c r="CY167" i="18"/>
  <c r="DB66" i="3"/>
  <c r="CY106" i="3"/>
  <c r="DB43" i="3"/>
  <c r="DB79" i="3"/>
  <c r="DB104" i="3"/>
  <c r="DB112" i="3"/>
  <c r="DB39" i="3"/>
  <c r="DB98" i="3"/>
  <c r="DB64" i="18"/>
  <c r="CZ111" i="18"/>
  <c r="DD27" i="3"/>
  <c r="EU33" i="3"/>
  <c r="DD34" i="3"/>
  <c r="DC58" i="2"/>
  <c r="DD50" i="3" s="1"/>
  <c r="DC60" i="2"/>
  <c r="DD53" i="3" s="1"/>
  <c r="DC32" i="3"/>
  <c r="DC79" i="3" s="1"/>
  <c r="DC55" i="18"/>
  <c r="DC30" i="3"/>
  <c r="ET66" i="3"/>
  <c r="ET70" i="3" s="1"/>
  <c r="ET60" i="3"/>
  <c r="ET64" i="3" s="1"/>
  <c r="DB60" i="3"/>
  <c r="DB102" i="18" s="1"/>
  <c r="EV5" i="3"/>
  <c r="EV25" i="3" s="1"/>
  <c r="ET47" i="18"/>
  <c r="DC57" i="2"/>
  <c r="DD49" i="3" s="1"/>
  <c r="DC55" i="2"/>
  <c r="DC92" i="2"/>
  <c r="DE44" i="2"/>
  <c r="DE48" i="2" s="1"/>
  <c r="DE29" i="3"/>
  <c r="DD35" i="18"/>
  <c r="DD47" i="18"/>
  <c r="ES107" i="3"/>
  <c r="ES114" i="3"/>
  <c r="ES115" i="3" s="1"/>
  <c r="DF3" i="3"/>
  <c r="DF24" i="3"/>
  <c r="EV4" i="3"/>
  <c r="CY62" i="3"/>
  <c r="CY68" i="3"/>
  <c r="DE4" i="18"/>
  <c r="DE23" i="3"/>
  <c r="DA56" i="3"/>
  <c r="DA57" i="3" s="1"/>
  <c r="CZ61" i="3"/>
  <c r="CZ67" i="3"/>
  <c r="ET67" i="3" s="1"/>
  <c r="ET56" i="3"/>
  <c r="ES84" i="18"/>
  <c r="ES102" i="18"/>
  <c r="DD42" i="2"/>
  <c r="DD46" i="2" s="1"/>
  <c r="DD61" i="2" s="1"/>
  <c r="DE54" i="3" s="1"/>
  <c r="DE43" i="2"/>
  <c r="DE47" i="2" s="1"/>
  <c r="DE28" i="3"/>
  <c r="DD48" i="2"/>
  <c r="CZ57" i="3"/>
  <c r="ES72" i="18"/>
  <c r="DA84" i="18"/>
  <c r="DA58" i="3"/>
  <c r="DA66" i="3"/>
  <c r="DA60" i="3"/>
  <c r="DI7" i="2"/>
  <c r="DJ18" i="2"/>
  <c r="DG5" i="3"/>
  <c r="DG9" i="2"/>
  <c r="DF39" i="2"/>
  <c r="DB54" i="2"/>
  <c r="DC47" i="3"/>
  <c r="CX167" i="18"/>
  <c r="CX106" i="3"/>
  <c r="CX101" i="3"/>
  <c r="DE37" i="2"/>
  <c r="ET35" i="18"/>
  <c r="DD47" i="2"/>
  <c r="DB58" i="3"/>
  <c r="DB84" i="18"/>
  <c r="DG4" i="3"/>
  <c r="DG8" i="2"/>
  <c r="DF38" i="2"/>
  <c r="DB63" i="2" l="1"/>
  <c r="DB69" i="2"/>
  <c r="CZ82" i="3"/>
  <c r="CZ137" i="18"/>
  <c r="CZ100" i="3"/>
  <c r="ES111" i="18"/>
  <c r="EU32" i="3"/>
  <c r="EU112" i="3" s="1"/>
  <c r="DB70" i="3"/>
  <c r="DB111" i="18"/>
  <c r="DB81" i="3"/>
  <c r="DE27" i="3"/>
  <c r="CY107" i="3"/>
  <c r="CY114" i="3"/>
  <c r="CY115" i="3" s="1"/>
  <c r="EU43" i="3"/>
  <c r="EU104" i="3"/>
  <c r="DB72" i="18"/>
  <c r="DE33" i="3"/>
  <c r="DE34" i="3"/>
  <c r="DC112" i="3"/>
  <c r="DC104" i="3"/>
  <c r="DC98" i="3"/>
  <c r="DC43" i="3"/>
  <c r="DC64" i="18"/>
  <c r="DC72" i="18" s="1"/>
  <c r="DC39" i="3"/>
  <c r="DD58" i="2"/>
  <c r="DE50" i="3" s="1"/>
  <c r="DD60" i="2"/>
  <c r="DE53" i="3" s="1"/>
  <c r="FI5" i="3"/>
  <c r="FI25" i="3" s="1"/>
  <c r="ET55" i="18"/>
  <c r="DB64" i="3"/>
  <c r="ET81" i="3"/>
  <c r="ET82" i="3" s="1"/>
  <c r="DD55" i="2"/>
  <c r="DD92" i="2"/>
  <c r="DD57" i="2"/>
  <c r="DE49" i="3" s="1"/>
  <c r="DG25" i="3"/>
  <c r="DC46" i="3"/>
  <c r="EU47" i="3"/>
  <c r="DA68" i="3"/>
  <c r="DA62" i="3"/>
  <c r="CZ62" i="3"/>
  <c r="CZ68" i="3"/>
  <c r="ET68" i="3" s="1"/>
  <c r="DB56" i="3"/>
  <c r="DA61" i="3"/>
  <c r="DA67" i="3"/>
  <c r="EV24" i="3"/>
  <c r="EV3" i="3"/>
  <c r="EV23" i="3" s="1"/>
  <c r="FI4" i="3"/>
  <c r="DF44" i="2"/>
  <c r="DF48" i="2" s="1"/>
  <c r="DF29" i="3"/>
  <c r="DH5" i="3"/>
  <c r="DH25" i="3" s="1"/>
  <c r="DH9" i="2"/>
  <c r="DG39" i="2"/>
  <c r="DK18" i="2"/>
  <c r="DJ7" i="2"/>
  <c r="DF4" i="18"/>
  <c r="DF23" i="3"/>
  <c r="DG24" i="3"/>
  <c r="DG3" i="3"/>
  <c r="DA64" i="2"/>
  <c r="DD55" i="18"/>
  <c r="DD30" i="3"/>
  <c r="DC54" i="2"/>
  <c r="DD47" i="3"/>
  <c r="DF37" i="2"/>
  <c r="DH8" i="2"/>
  <c r="DG38" i="2"/>
  <c r="DH4" i="3"/>
  <c r="CX114" i="3"/>
  <c r="CX115" i="3" s="1"/>
  <c r="CX107" i="3"/>
  <c r="DF43" i="2"/>
  <c r="DF28" i="3"/>
  <c r="DE42" i="2"/>
  <c r="DE46" i="2" s="1"/>
  <c r="DE61" i="2" s="1"/>
  <c r="DF54" i="3" s="1"/>
  <c r="EV54" i="3" s="1"/>
  <c r="FI54" i="3" s="1"/>
  <c r="DE47" i="18"/>
  <c r="DE35" i="18"/>
  <c r="DD32" i="3"/>
  <c r="ET61" i="3"/>
  <c r="DA102" i="18"/>
  <c r="DA64" i="3"/>
  <c r="DA81" i="3"/>
  <c r="DA111" i="18"/>
  <c r="DA70" i="3"/>
  <c r="ET57" i="3"/>
  <c r="DC63" i="2" l="1"/>
  <c r="DC69" i="2"/>
  <c r="CZ101" i="3"/>
  <c r="CZ106" i="3"/>
  <c r="CZ167" i="18"/>
  <c r="ES137" i="18"/>
  <c r="EU98" i="3"/>
  <c r="EU39" i="3"/>
  <c r="DE55" i="18"/>
  <c r="DB100" i="3"/>
  <c r="DB82" i="3"/>
  <c r="DB137" i="18"/>
  <c r="DF27" i="3"/>
  <c r="EV28" i="3"/>
  <c r="FI28" i="3" s="1"/>
  <c r="DF33" i="3"/>
  <c r="ET64" i="18"/>
  <c r="ET72" i="18" s="1"/>
  <c r="DE58" i="2"/>
  <c r="DF50" i="3" s="1"/>
  <c r="EV50" i="3" s="1"/>
  <c r="FI50" i="3" s="1"/>
  <c r="DE60" i="2"/>
  <c r="DF53" i="3" s="1"/>
  <c r="EV53" i="3" s="1"/>
  <c r="FI53" i="3" s="1"/>
  <c r="ET100" i="3"/>
  <c r="ET106" i="3" s="1"/>
  <c r="DE30" i="3"/>
  <c r="DE32" i="3"/>
  <c r="DE39" i="3" s="1"/>
  <c r="DG28" i="3"/>
  <c r="DG43" i="2"/>
  <c r="DG47" i="2" s="1"/>
  <c r="DF42" i="2"/>
  <c r="DF46" i="2" s="1"/>
  <c r="DF61" i="2" s="1"/>
  <c r="DG54" i="3" s="1"/>
  <c r="DG37" i="2"/>
  <c r="DL18" i="2"/>
  <c r="DK7" i="2"/>
  <c r="DC56" i="3"/>
  <c r="EU56" i="3" s="1"/>
  <c r="DB67" i="3"/>
  <c r="DB61" i="3"/>
  <c r="DB57" i="3"/>
  <c r="DA100" i="3"/>
  <c r="DA137" i="18"/>
  <c r="DA82" i="3"/>
  <c r="DH38" i="2"/>
  <c r="DI4" i="3"/>
  <c r="DI8" i="2"/>
  <c r="DD46" i="3"/>
  <c r="DD66" i="3" s="1"/>
  <c r="DF34" i="3"/>
  <c r="EV29" i="3"/>
  <c r="DG44" i="2"/>
  <c r="DG29" i="3"/>
  <c r="DB64" i="2"/>
  <c r="DG23" i="3"/>
  <c r="DG4" i="18"/>
  <c r="FI3" i="3"/>
  <c r="FI23" i="3" s="1"/>
  <c r="FI24" i="3"/>
  <c r="DI5" i="3"/>
  <c r="DI25" i="3" s="1"/>
  <c r="DH39" i="2"/>
  <c r="DI9" i="2"/>
  <c r="EU46" i="3"/>
  <c r="ET62" i="3"/>
  <c r="DC84" i="18"/>
  <c r="DC58" i="3"/>
  <c r="DC60" i="3"/>
  <c r="DC66" i="3"/>
  <c r="DD54" i="2"/>
  <c r="DE47" i="3"/>
  <c r="DE46" i="3" s="1"/>
  <c r="DD112" i="3"/>
  <c r="DD98" i="3"/>
  <c r="DD104" i="3"/>
  <c r="DD79" i="3"/>
  <c r="DD43" i="3"/>
  <c r="DD64" i="18"/>
  <c r="DD39" i="3"/>
  <c r="DF47" i="18"/>
  <c r="DF35" i="18"/>
  <c r="DF47" i="2"/>
  <c r="DE55" i="2"/>
  <c r="DE92" i="2"/>
  <c r="DE57" i="2"/>
  <c r="DF49" i="3" s="1"/>
  <c r="EV49" i="3" s="1"/>
  <c r="FI49" i="3" s="1"/>
  <c r="DH24" i="3"/>
  <c r="DH3" i="3"/>
  <c r="EU4" i="18"/>
  <c r="FH4" i="18" s="1"/>
  <c r="DD63" i="2" l="1"/>
  <c r="DD69" i="2"/>
  <c r="CZ107" i="3"/>
  <c r="CZ114" i="3"/>
  <c r="CZ115" i="3" s="1"/>
  <c r="ES167" i="18"/>
  <c r="DB167" i="18"/>
  <c r="DB106" i="3"/>
  <c r="DB101" i="3"/>
  <c r="FI33" i="3"/>
  <c r="DG27" i="3"/>
  <c r="EV33" i="3"/>
  <c r="DG33" i="3"/>
  <c r="ET101" i="3"/>
  <c r="DD60" i="3"/>
  <c r="DD64" i="3" s="1"/>
  <c r="DF58" i="2"/>
  <c r="DG50" i="3" s="1"/>
  <c r="DF60" i="2"/>
  <c r="DG53" i="3" s="1"/>
  <c r="DE60" i="3"/>
  <c r="DE102" i="18" s="1"/>
  <c r="DE79" i="3"/>
  <c r="DE43" i="3"/>
  <c r="DE112" i="3"/>
  <c r="EU47" i="18"/>
  <c r="FH47" i="18" s="1"/>
  <c r="DE98" i="3"/>
  <c r="DE66" i="3"/>
  <c r="DE111" i="18" s="1"/>
  <c r="DD64" i="2"/>
  <c r="DC57" i="3"/>
  <c r="DC68" i="3" s="1"/>
  <c r="DE64" i="18"/>
  <c r="DE72" i="18" s="1"/>
  <c r="DE104" i="3"/>
  <c r="DI24" i="3"/>
  <c r="DI3" i="3"/>
  <c r="EW4" i="3"/>
  <c r="DM18" i="2"/>
  <c r="DL7" i="2"/>
  <c r="DJ5" i="3"/>
  <c r="DI39" i="2"/>
  <c r="DJ9" i="2"/>
  <c r="ET107" i="3"/>
  <c r="ET114" i="3"/>
  <c r="ET115" i="3" s="1"/>
  <c r="DC64" i="2"/>
  <c r="DH37" i="2"/>
  <c r="DH44" i="2"/>
  <c r="DH29" i="3"/>
  <c r="DF55" i="2"/>
  <c r="DF92" i="2"/>
  <c r="DF57" i="2"/>
  <c r="DG49" i="3" s="1"/>
  <c r="ET84" i="18"/>
  <c r="EU58" i="3"/>
  <c r="EU60" i="3"/>
  <c r="EU64" i="3" s="1"/>
  <c r="EU66" i="3"/>
  <c r="DD84" i="18"/>
  <c r="DD58" i="3"/>
  <c r="DA106" i="3"/>
  <c r="DA101" i="3"/>
  <c r="DA167" i="18"/>
  <c r="DH28" i="3"/>
  <c r="DH43" i="2"/>
  <c r="DH47" i="2" s="1"/>
  <c r="DG42" i="2"/>
  <c r="DG46" i="2" s="1"/>
  <c r="DG61" i="2" s="1"/>
  <c r="DH54" i="3" s="1"/>
  <c r="DB68" i="3"/>
  <c r="DB62" i="3"/>
  <c r="DG35" i="18"/>
  <c r="DG47" i="18"/>
  <c r="DD72" i="18"/>
  <c r="EU61" i="3"/>
  <c r="DH23" i="3"/>
  <c r="DH4" i="18"/>
  <c r="DD81" i="3"/>
  <c r="DD111" i="18"/>
  <c r="DD70" i="3"/>
  <c r="EW5" i="3"/>
  <c r="DG48" i="2"/>
  <c r="DD56" i="3"/>
  <c r="DD57" i="3" s="1"/>
  <c r="DC67" i="3"/>
  <c r="EU67" i="3" s="1"/>
  <c r="DC61" i="3"/>
  <c r="DE58" i="3"/>
  <c r="DE84" i="18"/>
  <c r="DE54" i="2"/>
  <c r="DF47" i="3"/>
  <c r="DF46" i="3" s="1"/>
  <c r="DF55" i="18"/>
  <c r="DF30" i="3"/>
  <c r="EV27" i="3"/>
  <c r="DC81" i="3"/>
  <c r="DC70" i="3"/>
  <c r="DC111" i="18"/>
  <c r="DG34" i="3"/>
  <c r="DF32" i="3"/>
  <c r="DC102" i="18"/>
  <c r="DC64" i="3"/>
  <c r="EU35" i="18"/>
  <c r="FH35" i="18" s="1"/>
  <c r="F6" i="24" s="1"/>
  <c r="FI29" i="3"/>
  <c r="FI34" i="3" s="1"/>
  <c r="EV34" i="3"/>
  <c r="DJ8" i="2"/>
  <c r="DJ4" i="3"/>
  <c r="DI38" i="2"/>
  <c r="DE63" i="2" l="1"/>
  <c r="DE69" i="2"/>
  <c r="DB107" i="3"/>
  <c r="DB114" i="3"/>
  <c r="DB115" i="3" s="1"/>
  <c r="DG32" i="3"/>
  <c r="DH27" i="3"/>
  <c r="DH33" i="3"/>
  <c r="DD102" i="18"/>
  <c r="DH34" i="3"/>
  <c r="DE64" i="3"/>
  <c r="DG58" i="2"/>
  <c r="DH50" i="3" s="1"/>
  <c r="DG60" i="2"/>
  <c r="DH53" i="3" s="1"/>
  <c r="DE70" i="3"/>
  <c r="DE81" i="3"/>
  <c r="DE82" i="3" s="1"/>
  <c r="EU57" i="3"/>
  <c r="EU62" i="3" s="1"/>
  <c r="DE64" i="2"/>
  <c r="DC62" i="3"/>
  <c r="DG92" i="2"/>
  <c r="DG55" i="2"/>
  <c r="DG57" i="2"/>
  <c r="DH49" i="3" s="1"/>
  <c r="EU68" i="3"/>
  <c r="DI29" i="3"/>
  <c r="DI44" i="2"/>
  <c r="DI48" i="2" s="1"/>
  <c r="DK5" i="3"/>
  <c r="DK25" i="3" s="1"/>
  <c r="DK9" i="2"/>
  <c r="DJ39" i="2"/>
  <c r="DI28" i="3"/>
  <c r="DI43" i="2"/>
  <c r="DI47" i="2" s="1"/>
  <c r="DH42" i="2"/>
  <c r="DH46" i="2" s="1"/>
  <c r="DH61" i="2" s="1"/>
  <c r="DI54" i="3" s="1"/>
  <c r="EW54" i="3" s="1"/>
  <c r="DJ25" i="3"/>
  <c r="DJ24" i="3"/>
  <c r="DJ3" i="3"/>
  <c r="EU81" i="3"/>
  <c r="EU70" i="3"/>
  <c r="DA114" i="3"/>
  <c r="DA115" i="3" s="1"/>
  <c r="DA107" i="3"/>
  <c r="DF58" i="3"/>
  <c r="DF84" i="18"/>
  <c r="EW25" i="3"/>
  <c r="DC100" i="3"/>
  <c r="DC82" i="3"/>
  <c r="DC137" i="18"/>
  <c r="DH48" i="2"/>
  <c r="DM7" i="2"/>
  <c r="DN18" i="2"/>
  <c r="DE56" i="3"/>
  <c r="DD67" i="3"/>
  <c r="DD61" i="3"/>
  <c r="DI37" i="2"/>
  <c r="ET111" i="18"/>
  <c r="DF54" i="2"/>
  <c r="DG47" i="3"/>
  <c r="EW24" i="3"/>
  <c r="EW3" i="3"/>
  <c r="EW23" i="3" s="1"/>
  <c r="ET102" i="18"/>
  <c r="DF112" i="3"/>
  <c r="DF98" i="3"/>
  <c r="DF64" i="18"/>
  <c r="DF66" i="3"/>
  <c r="DF43" i="3"/>
  <c r="DF104" i="3"/>
  <c r="DF39" i="3"/>
  <c r="DF60" i="3"/>
  <c r="DF79" i="3"/>
  <c r="DI4" i="18"/>
  <c r="DI23" i="3"/>
  <c r="DD68" i="3"/>
  <c r="DD62" i="3"/>
  <c r="DK4" i="3"/>
  <c r="DK8" i="2"/>
  <c r="DJ38" i="2"/>
  <c r="EV30" i="3"/>
  <c r="FI27" i="3"/>
  <c r="EV32" i="3"/>
  <c r="DG55" i="18"/>
  <c r="DG30" i="3"/>
  <c r="DD137" i="18"/>
  <c r="DD100" i="3"/>
  <c r="DD82" i="3"/>
  <c r="DH47" i="18"/>
  <c r="DH35" i="18"/>
  <c r="EV47" i="3"/>
  <c r="EU55" i="18"/>
  <c r="FH55" i="18" s="1"/>
  <c r="DF63" i="2" l="1"/>
  <c r="DF69" i="2"/>
  <c r="DG39" i="3"/>
  <c r="DG64" i="18"/>
  <c r="DG112" i="3"/>
  <c r="DG98" i="3"/>
  <c r="DG79" i="3"/>
  <c r="DG43" i="3"/>
  <c r="DG104" i="3"/>
  <c r="DI27" i="3"/>
  <c r="DH55" i="18"/>
  <c r="EW28" i="3"/>
  <c r="DI33" i="3"/>
  <c r="DH32" i="3"/>
  <c r="DH43" i="3" s="1"/>
  <c r="DH30" i="3"/>
  <c r="DE100" i="3"/>
  <c r="DE106" i="3" s="1"/>
  <c r="DH58" i="2"/>
  <c r="DI50" i="3" s="1"/>
  <c r="EW50" i="3" s="1"/>
  <c r="DH60" i="2"/>
  <c r="DI53" i="3" s="1"/>
  <c r="EW53" i="3" s="1"/>
  <c r="DE137" i="18"/>
  <c r="DH57" i="2"/>
  <c r="DI49" i="3" s="1"/>
  <c r="EW49" i="3" s="1"/>
  <c r="DH92" i="2"/>
  <c r="DH55" i="2"/>
  <c r="DI47" i="18"/>
  <c r="DI35" i="18"/>
  <c r="EW29" i="3"/>
  <c r="DI34" i="3"/>
  <c r="EV4" i="18"/>
  <c r="DO18" i="2"/>
  <c r="DN7" i="2"/>
  <c r="DJ43" i="2"/>
  <c r="DJ47" i="2" s="1"/>
  <c r="DJ28" i="3"/>
  <c r="DI42" i="2"/>
  <c r="DI46" i="2" s="1"/>
  <c r="DI61" i="2" s="1"/>
  <c r="DJ54" i="3" s="1"/>
  <c r="ET137" i="18"/>
  <c r="EV39" i="3"/>
  <c r="EV112" i="3"/>
  <c r="EV104" i="3"/>
  <c r="EV43" i="3"/>
  <c r="EV98" i="3"/>
  <c r="FI30" i="3"/>
  <c r="FI32" i="3"/>
  <c r="DF72" i="18"/>
  <c r="EU64" i="18"/>
  <c r="DJ23" i="3"/>
  <c r="DJ4" i="18"/>
  <c r="DF64" i="2"/>
  <c r="DC101" i="3"/>
  <c r="DC106" i="3"/>
  <c r="DC167" i="18"/>
  <c r="DL9" i="2"/>
  <c r="DL5" i="3"/>
  <c r="DK39" i="2"/>
  <c r="EV46" i="3"/>
  <c r="EV58" i="3" s="1"/>
  <c r="FI47" i="3"/>
  <c r="FI46" i="3" s="1"/>
  <c r="DD106" i="3"/>
  <c r="DD167" i="18"/>
  <c r="DD101" i="3"/>
  <c r="DJ37" i="2"/>
  <c r="DL4" i="3"/>
  <c r="DK38" i="2"/>
  <c r="DL8" i="2"/>
  <c r="EU84" i="18"/>
  <c r="FH84" i="18" s="1"/>
  <c r="DG54" i="2"/>
  <c r="DH47" i="3"/>
  <c r="DH46" i="3" s="1"/>
  <c r="DF81" i="3"/>
  <c r="DF111" i="18"/>
  <c r="DF70" i="3"/>
  <c r="DK24" i="3"/>
  <c r="DK3" i="3"/>
  <c r="DF102" i="18"/>
  <c r="DF64" i="3"/>
  <c r="DG46" i="3"/>
  <c r="DF56" i="3"/>
  <c r="DE61" i="3"/>
  <c r="DE67" i="3"/>
  <c r="DE57" i="3"/>
  <c r="EU100" i="3"/>
  <c r="EU82" i="3"/>
  <c r="DJ44" i="2"/>
  <c r="DJ29" i="3"/>
  <c r="DG63" i="2" l="1"/>
  <c r="DG69" i="2"/>
  <c r="DH39" i="3"/>
  <c r="DG72" i="18"/>
  <c r="DJ27" i="3"/>
  <c r="DJ33" i="3"/>
  <c r="DH104" i="3"/>
  <c r="EW33" i="3"/>
  <c r="DH98" i="3"/>
  <c r="DJ34" i="3"/>
  <c r="EW34" i="3"/>
  <c r="DH112" i="3"/>
  <c r="DH79" i="3"/>
  <c r="DH64" i="18"/>
  <c r="DH72" i="18" s="1"/>
  <c r="DH66" i="3"/>
  <c r="DH81" i="3" s="1"/>
  <c r="DE167" i="18"/>
  <c r="DE101" i="3"/>
  <c r="DI58" i="2"/>
  <c r="DJ50" i="3" s="1"/>
  <c r="DI60" i="2"/>
  <c r="DJ53" i="3" s="1"/>
  <c r="DH60" i="3"/>
  <c r="DH102" i="18" s="1"/>
  <c r="EV66" i="3"/>
  <c r="EV70" i="3" s="1"/>
  <c r="EU102" i="18"/>
  <c r="FH102" i="18" s="1"/>
  <c r="F26" i="24" s="1"/>
  <c r="EU111" i="18"/>
  <c r="FH111" i="18" s="1"/>
  <c r="F35" i="24" s="1"/>
  <c r="DG64" i="2"/>
  <c r="DE68" i="3"/>
  <c r="DE62" i="3"/>
  <c r="DF137" i="18"/>
  <c r="DF100" i="3"/>
  <c r="DF82" i="3"/>
  <c r="ET167" i="18"/>
  <c r="DI57" i="2"/>
  <c r="DJ49" i="3" s="1"/>
  <c r="DI55" i="2"/>
  <c r="DI92" i="2"/>
  <c r="DH58" i="3"/>
  <c r="DH84" i="18"/>
  <c r="DJ35" i="18"/>
  <c r="DJ47" i="18"/>
  <c r="DI30" i="3"/>
  <c r="DI55" i="18"/>
  <c r="EW27" i="3"/>
  <c r="FI66" i="3"/>
  <c r="FI104" i="3"/>
  <c r="FI60" i="3"/>
  <c r="FI64" i="3" s="1"/>
  <c r="FI112" i="3"/>
  <c r="FI39" i="3"/>
  <c r="E6" i="5"/>
  <c r="DG56" i="3"/>
  <c r="DG57" i="3" s="1"/>
  <c r="DF67" i="3"/>
  <c r="EV67" i="3" s="1"/>
  <c r="FI67" i="3" s="1"/>
  <c r="DF61" i="3"/>
  <c r="EV56" i="3"/>
  <c r="DF57" i="3"/>
  <c r="EV57" i="3" s="1"/>
  <c r="DI32" i="3"/>
  <c r="DL25" i="3"/>
  <c r="EX5" i="3"/>
  <c r="DG58" i="3"/>
  <c r="DG84" i="18"/>
  <c r="DG66" i="3"/>
  <c r="DG60" i="3"/>
  <c r="DM5" i="3"/>
  <c r="DL39" i="2"/>
  <c r="DM9" i="2"/>
  <c r="DC114" i="3"/>
  <c r="DC115" i="3" s="1"/>
  <c r="DC107" i="3"/>
  <c r="EV47" i="18"/>
  <c r="DD107" i="3"/>
  <c r="DD114" i="3"/>
  <c r="DD115" i="3" s="1"/>
  <c r="EU72" i="18"/>
  <c r="FH64" i="18"/>
  <c r="EV60" i="3"/>
  <c r="EV64" i="3" s="1"/>
  <c r="DK43" i="2"/>
  <c r="DK28" i="3"/>
  <c r="DJ42" i="2"/>
  <c r="DJ46" i="2" s="1"/>
  <c r="DJ61" i="2" s="1"/>
  <c r="DK54" i="3" s="1"/>
  <c r="DK44" i="2"/>
  <c r="DK48" i="2" s="1"/>
  <c r="DK29" i="3"/>
  <c r="DH54" i="2"/>
  <c r="DI47" i="3"/>
  <c r="DK23" i="3"/>
  <c r="DK4" i="18"/>
  <c r="EU106" i="3"/>
  <c r="EU101" i="3"/>
  <c r="DM8" i="2"/>
  <c r="DM4" i="3"/>
  <c r="DL38" i="2"/>
  <c r="DJ48" i="2"/>
  <c r="EV35" i="18"/>
  <c r="DE114" i="3"/>
  <c r="DE115" i="3" s="1"/>
  <c r="DE107" i="3"/>
  <c r="DK37" i="2"/>
  <c r="DL24" i="3"/>
  <c r="DL3" i="3"/>
  <c r="EX4" i="3"/>
  <c r="FI58" i="3"/>
  <c r="DP18" i="2"/>
  <c r="DO7" i="2"/>
  <c r="DH63" i="2" l="1"/>
  <c r="DH69" i="2"/>
  <c r="DJ32" i="3"/>
  <c r="DK27" i="3"/>
  <c r="DK33" i="3"/>
  <c r="DH70" i="3"/>
  <c r="DH111" i="18"/>
  <c r="DK34" i="3"/>
  <c r="FH72" i="18"/>
  <c r="F13" i="24"/>
  <c r="EV81" i="3"/>
  <c r="EV100" i="3" s="1"/>
  <c r="DH64" i="3"/>
  <c r="DJ58" i="2"/>
  <c r="DK50" i="3" s="1"/>
  <c r="DJ60" i="2"/>
  <c r="DK53" i="3" s="1"/>
  <c r="DG62" i="3"/>
  <c r="DG68" i="3"/>
  <c r="DG64" i="3"/>
  <c r="DG102" i="18"/>
  <c r="DJ55" i="2"/>
  <c r="DJ92" i="2"/>
  <c r="DJ57" i="2"/>
  <c r="DK49" i="3" s="1"/>
  <c r="DJ55" i="18"/>
  <c r="DJ30" i="3"/>
  <c r="DG81" i="3"/>
  <c r="DG70" i="3"/>
  <c r="DG111" i="18"/>
  <c r="DL4" i="18"/>
  <c r="DL23" i="3"/>
  <c r="FI70" i="3"/>
  <c r="E17" i="5" s="1"/>
  <c r="FI81" i="3"/>
  <c r="DF68" i="3"/>
  <c r="EV68" i="3" s="1"/>
  <c r="FI68" i="3" s="1"/>
  <c r="DF62" i="3"/>
  <c r="EV61" i="3"/>
  <c r="FI56" i="3"/>
  <c r="FI61" i="3" s="1"/>
  <c r="DL43" i="2"/>
  <c r="DL47" i="2" s="1"/>
  <c r="DL28" i="3"/>
  <c r="DK42" i="2"/>
  <c r="DK46" i="2" s="1"/>
  <c r="DK61" i="2" s="1"/>
  <c r="DL54" i="3" s="1"/>
  <c r="EX54" i="3" s="1"/>
  <c r="DN5" i="3"/>
  <c r="DN25" i="3" s="1"/>
  <c r="DM39" i="2"/>
  <c r="DN9" i="2"/>
  <c r="EX25" i="3"/>
  <c r="DK47" i="18"/>
  <c r="DK35" i="18"/>
  <c r="DL37" i="2"/>
  <c r="DM24" i="3"/>
  <c r="DM3" i="3"/>
  <c r="DI46" i="3"/>
  <c r="DI60" i="3" s="1"/>
  <c r="EW47" i="3"/>
  <c r="FI57" i="3"/>
  <c r="FI62" i="3" s="1"/>
  <c r="EV62" i="3"/>
  <c r="DJ47" i="3"/>
  <c r="DI54" i="2"/>
  <c r="EX24" i="3"/>
  <c r="EX3" i="3"/>
  <c r="EX23" i="3" s="1"/>
  <c r="DH82" i="3"/>
  <c r="DH100" i="3"/>
  <c r="DH137" i="18"/>
  <c r="DM25" i="3"/>
  <c r="DI104" i="3"/>
  <c r="DI64" i="18"/>
  <c r="DI43" i="3"/>
  <c r="DI39" i="3"/>
  <c r="DI112" i="3"/>
  <c r="DI98" i="3"/>
  <c r="DI79" i="3"/>
  <c r="DH56" i="3"/>
  <c r="DG61" i="3"/>
  <c r="DG67" i="3"/>
  <c r="DP7" i="2"/>
  <c r="DQ18" i="2"/>
  <c r="DR18" i="2" s="1"/>
  <c r="DK47" i="2"/>
  <c r="DM38" i="2"/>
  <c r="DN8" i="2"/>
  <c r="DN4" i="3"/>
  <c r="EW30" i="3"/>
  <c r="EW32" i="3"/>
  <c r="EV55" i="18"/>
  <c r="DF167" i="18"/>
  <c r="DF101" i="3"/>
  <c r="DF106" i="3"/>
  <c r="EU114" i="3"/>
  <c r="EU115" i="3" s="1"/>
  <c r="EU107" i="3"/>
  <c r="DL29" i="3"/>
  <c r="DL44" i="2"/>
  <c r="EU137" i="18"/>
  <c r="FH137" i="18" s="1"/>
  <c r="F44" i="24" s="1"/>
  <c r="DI63" i="2" l="1"/>
  <c r="DI69" i="2"/>
  <c r="DK55" i="18"/>
  <c r="DJ39" i="3"/>
  <c r="DJ112" i="3"/>
  <c r="DJ64" i="18"/>
  <c r="DJ43" i="3"/>
  <c r="DJ98" i="3"/>
  <c r="DJ104" i="3"/>
  <c r="DJ79" i="3"/>
  <c r="DL27" i="3"/>
  <c r="EX28" i="3"/>
  <c r="DL33" i="3"/>
  <c r="EV82" i="3"/>
  <c r="EX29" i="3"/>
  <c r="DK32" i="3"/>
  <c r="DK64" i="18" s="1"/>
  <c r="DK30" i="3"/>
  <c r="DK58" i="2"/>
  <c r="DL50" i="3" s="1"/>
  <c r="EX50" i="3" s="1"/>
  <c r="DK60" i="2"/>
  <c r="DL53" i="3" s="1"/>
  <c r="EX53" i="3" s="1"/>
  <c r="DS18" i="2"/>
  <c r="DR7" i="2"/>
  <c r="DI64" i="2"/>
  <c r="DI102" i="18"/>
  <c r="DI64" i="3"/>
  <c r="DM44" i="2"/>
  <c r="DM48" i="2" s="1"/>
  <c r="DM29" i="3"/>
  <c r="DK55" i="2"/>
  <c r="DK92" i="2"/>
  <c r="DK57" i="2"/>
  <c r="DL49" i="3" s="1"/>
  <c r="EX49" i="3" s="1"/>
  <c r="DM37" i="2"/>
  <c r="EW39" i="3"/>
  <c r="EW104" i="3"/>
  <c r="EW112" i="3"/>
  <c r="EW43" i="3"/>
  <c r="EW98" i="3"/>
  <c r="DI72" i="18"/>
  <c r="EV64" i="18"/>
  <c r="EW4" i="18"/>
  <c r="DH64" i="2"/>
  <c r="DI66" i="3"/>
  <c r="DL34" i="3"/>
  <c r="DO5" i="3"/>
  <c r="DO9" i="2"/>
  <c r="DN39" i="2"/>
  <c r="DL48" i="2"/>
  <c r="FI100" i="3"/>
  <c r="FI82" i="3"/>
  <c r="DG100" i="3"/>
  <c r="DG137" i="18"/>
  <c r="DG82" i="3"/>
  <c r="DF114" i="3"/>
  <c r="DF115" i="3" s="1"/>
  <c r="DF107" i="3"/>
  <c r="DN24" i="3"/>
  <c r="DN3" i="3"/>
  <c r="DO4" i="3"/>
  <c r="EY4" i="3" s="1"/>
  <c r="DO8" i="2"/>
  <c r="DN38" i="2"/>
  <c r="EW46" i="3"/>
  <c r="EW58" i="3" s="1"/>
  <c r="DI58" i="3"/>
  <c r="DI84" i="18"/>
  <c r="DJ54" i="2"/>
  <c r="DK47" i="3"/>
  <c r="DK46" i="3" s="1"/>
  <c r="DI56" i="3"/>
  <c r="DI57" i="3" s="1"/>
  <c r="DH67" i="3"/>
  <c r="DH61" i="3"/>
  <c r="DH57" i="3"/>
  <c r="DH167" i="18"/>
  <c r="DH101" i="3"/>
  <c r="DH106" i="3"/>
  <c r="DM23" i="3"/>
  <c r="DM4" i="18"/>
  <c r="DQ7" i="2"/>
  <c r="DJ46" i="3"/>
  <c r="DM28" i="3"/>
  <c r="DL42" i="2"/>
  <c r="DL46" i="2" s="1"/>
  <c r="DL61" i="2" s="1"/>
  <c r="DM54" i="3" s="1"/>
  <c r="DM43" i="2"/>
  <c r="DM47" i="2" s="1"/>
  <c r="EU167" i="18"/>
  <c r="FH167" i="18" s="1"/>
  <c r="F52" i="24" s="1"/>
  <c r="EV101" i="3"/>
  <c r="EV106" i="3"/>
  <c r="DL35" i="18"/>
  <c r="DL47" i="18"/>
  <c r="DJ63" i="2" l="1"/>
  <c r="DJ69" i="2"/>
  <c r="EX34" i="3"/>
  <c r="DK98" i="3"/>
  <c r="DK39" i="3"/>
  <c r="DK79" i="3"/>
  <c r="DK43" i="3"/>
  <c r="DJ72" i="18"/>
  <c r="DL32" i="3"/>
  <c r="DM27" i="3"/>
  <c r="DM33" i="3"/>
  <c r="EX33" i="3"/>
  <c r="DK104" i="3"/>
  <c r="DK112" i="3"/>
  <c r="DK66" i="3"/>
  <c r="DL58" i="2"/>
  <c r="DM50" i="3" s="1"/>
  <c r="DL60" i="2"/>
  <c r="DM53" i="3" s="1"/>
  <c r="DT18" i="2"/>
  <c r="DS7" i="2"/>
  <c r="EV102" i="18"/>
  <c r="EW47" i="18"/>
  <c r="DK60" i="3"/>
  <c r="DK102" i="18" s="1"/>
  <c r="EW66" i="3"/>
  <c r="EW81" i="3" s="1"/>
  <c r="DL57" i="2"/>
  <c r="DM49" i="3" s="1"/>
  <c r="DL92" i="2"/>
  <c r="DL55" i="2"/>
  <c r="FI106" i="3"/>
  <c r="FI101" i="3"/>
  <c r="DP5" i="3"/>
  <c r="DP9" i="2"/>
  <c r="DO39" i="2"/>
  <c r="EV107" i="3"/>
  <c r="EV114" i="3"/>
  <c r="EV115" i="3" s="1"/>
  <c r="DJ58" i="3"/>
  <c r="DJ84" i="18"/>
  <c r="DJ66" i="3"/>
  <c r="DJ60" i="3"/>
  <c r="DJ56" i="3"/>
  <c r="DJ57" i="3" s="1"/>
  <c r="DI61" i="3"/>
  <c r="DI67" i="3"/>
  <c r="EW67" i="3" s="1"/>
  <c r="EV84" i="18"/>
  <c r="DK72" i="18"/>
  <c r="DL47" i="3"/>
  <c r="DK54" i="2"/>
  <c r="EV72" i="18"/>
  <c r="DN29" i="3"/>
  <c r="DN44" i="2"/>
  <c r="DN48" i="2" s="1"/>
  <c r="EY24" i="3"/>
  <c r="DM34" i="3"/>
  <c r="DK58" i="3"/>
  <c r="DK84" i="18"/>
  <c r="DI70" i="3"/>
  <c r="DI111" i="18"/>
  <c r="DI81" i="3"/>
  <c r="DN37" i="2"/>
  <c r="DH62" i="3"/>
  <c r="DH68" i="3"/>
  <c r="EW57" i="3"/>
  <c r="DH107" i="3"/>
  <c r="DH114" i="3"/>
  <c r="DH115" i="3" s="1"/>
  <c r="DL55" i="18"/>
  <c r="DL30" i="3"/>
  <c r="EX27" i="3"/>
  <c r="DP4" i="3"/>
  <c r="DO38" i="2"/>
  <c r="DP8" i="2"/>
  <c r="DO25" i="3"/>
  <c r="EY5" i="3"/>
  <c r="DM35" i="18"/>
  <c r="DM47" i="18"/>
  <c r="DO24" i="3"/>
  <c r="DO3" i="3"/>
  <c r="EW35" i="18"/>
  <c r="EW56" i="3"/>
  <c r="DI68" i="3"/>
  <c r="DI62" i="3"/>
  <c r="DN4" i="18"/>
  <c r="DN23" i="3"/>
  <c r="EW60" i="3"/>
  <c r="EW64" i="3" s="1"/>
  <c r="DN43" i="2"/>
  <c r="DN47" i="2" s="1"/>
  <c r="DN28" i="3"/>
  <c r="DM42" i="2"/>
  <c r="DM46" i="2" s="1"/>
  <c r="DM61" i="2" s="1"/>
  <c r="DN54" i="3" s="1"/>
  <c r="DG106" i="3"/>
  <c r="DG167" i="18"/>
  <c r="DG101" i="3"/>
  <c r="DK63" i="2" l="1"/>
  <c r="DK69" i="2"/>
  <c r="DM32" i="3"/>
  <c r="DK111" i="18"/>
  <c r="DK81" i="3"/>
  <c r="DK70" i="3"/>
  <c r="DL39" i="3"/>
  <c r="DL64" i="18"/>
  <c r="EW64" i="18" s="1"/>
  <c r="DL112" i="3"/>
  <c r="DL98" i="3"/>
  <c r="DL43" i="3"/>
  <c r="DL79" i="3"/>
  <c r="DL104" i="3"/>
  <c r="DN33" i="3"/>
  <c r="DN27" i="3"/>
  <c r="DN55" i="18" s="1"/>
  <c r="DN34" i="3"/>
  <c r="DK64" i="3"/>
  <c r="DM58" i="2"/>
  <c r="DN50" i="3" s="1"/>
  <c r="DM60" i="2"/>
  <c r="DN53" i="3" s="1"/>
  <c r="EW70" i="3"/>
  <c r="DU18" i="2"/>
  <c r="DT7" i="2"/>
  <c r="DM57" i="2"/>
  <c r="DN49" i="3" s="1"/>
  <c r="DM55" i="2"/>
  <c r="DM92" i="2"/>
  <c r="DG114" i="3"/>
  <c r="DG115" i="3" s="1"/>
  <c r="DG107" i="3"/>
  <c r="DP38" i="2"/>
  <c r="DQ8" i="2"/>
  <c r="DR8" i="2" s="1"/>
  <c r="DS4" i="3" s="1"/>
  <c r="DQ4" i="3"/>
  <c r="DK56" i="3"/>
  <c r="DJ67" i="3"/>
  <c r="DJ61" i="3"/>
  <c r="DM30" i="3"/>
  <c r="DM55" i="18"/>
  <c r="EW55" i="18"/>
  <c r="DJ102" i="18"/>
  <c r="DJ64" i="3"/>
  <c r="DO37" i="2"/>
  <c r="DO44" i="2"/>
  <c r="DO48" i="2" s="1"/>
  <c r="DO29" i="3"/>
  <c r="DP24" i="3"/>
  <c r="DP3" i="3"/>
  <c r="EV111" i="18"/>
  <c r="DJ111" i="18"/>
  <c r="DJ81" i="3"/>
  <c r="DJ70" i="3"/>
  <c r="DI100" i="3"/>
  <c r="DI137" i="18"/>
  <c r="DI82" i="3"/>
  <c r="EW82" i="3"/>
  <c r="EW100" i="3"/>
  <c r="DO28" i="3"/>
  <c r="DN42" i="2"/>
  <c r="DN46" i="2" s="1"/>
  <c r="DN61" i="2" s="1"/>
  <c r="DO54" i="3" s="1"/>
  <c r="EY54" i="3" s="1"/>
  <c r="DO43" i="2"/>
  <c r="DO47" i="2" s="1"/>
  <c r="EW61" i="3"/>
  <c r="DO23" i="3"/>
  <c r="DO4" i="18"/>
  <c r="DQ5" i="3"/>
  <c r="DQ25" i="3" s="1"/>
  <c r="DP39" i="2"/>
  <c r="DQ9" i="2"/>
  <c r="DR9" i="2" s="1"/>
  <c r="DS5" i="3" s="1"/>
  <c r="EY25" i="3"/>
  <c r="DP25" i="3"/>
  <c r="DM47" i="3"/>
  <c r="DL54" i="2"/>
  <c r="DN47" i="18"/>
  <c r="DN35" i="18"/>
  <c r="EY3" i="3"/>
  <c r="EY23" i="3" s="1"/>
  <c r="FI107" i="3"/>
  <c r="FI114" i="3"/>
  <c r="FI115" i="3" s="1"/>
  <c r="DJ62" i="3"/>
  <c r="DJ68" i="3"/>
  <c r="EW62" i="3"/>
  <c r="EW68" i="3"/>
  <c r="EX30" i="3"/>
  <c r="EX32" i="3"/>
  <c r="DK64" i="2"/>
  <c r="DJ64" i="2"/>
  <c r="DL46" i="3"/>
  <c r="EX47" i="3"/>
  <c r="DL63" i="2" l="1"/>
  <c r="DL69" i="2"/>
  <c r="DM43" i="3"/>
  <c r="DM98" i="3"/>
  <c r="DM104" i="3"/>
  <c r="DM112" i="3"/>
  <c r="DM79" i="3"/>
  <c r="DM64" i="18"/>
  <c r="DM39" i="3"/>
  <c r="DK82" i="3"/>
  <c r="DK100" i="3"/>
  <c r="DK137" i="18"/>
  <c r="DO27" i="3"/>
  <c r="EW72" i="18"/>
  <c r="DL72" i="18"/>
  <c r="DO33" i="3"/>
  <c r="EY28" i="3"/>
  <c r="EY29" i="3"/>
  <c r="DS3" i="3"/>
  <c r="DS24" i="3"/>
  <c r="DS25" i="3"/>
  <c r="DN30" i="3"/>
  <c r="DN32" i="3"/>
  <c r="DN39" i="3" s="1"/>
  <c r="DN58" i="2"/>
  <c r="DO50" i="3" s="1"/>
  <c r="EY50" i="3" s="1"/>
  <c r="DN60" i="2"/>
  <c r="DO53" i="3" s="1"/>
  <c r="EY53" i="3" s="1"/>
  <c r="DO34" i="3"/>
  <c r="DV18" i="2"/>
  <c r="DU7" i="2"/>
  <c r="DS8" i="2"/>
  <c r="DT4" i="3" s="1"/>
  <c r="DR38" i="2"/>
  <c r="DS9" i="2"/>
  <c r="DT5" i="3" s="1"/>
  <c r="DT25" i="3" s="1"/>
  <c r="DR39" i="2"/>
  <c r="DP37" i="2"/>
  <c r="DR5" i="3"/>
  <c r="DQ39" i="2"/>
  <c r="DM46" i="3"/>
  <c r="DP29" i="3"/>
  <c r="DP44" i="2"/>
  <c r="DP48" i="2" s="1"/>
  <c r="EX46" i="3"/>
  <c r="EX58" i="3" s="1"/>
  <c r="EW106" i="3"/>
  <c r="EW101" i="3"/>
  <c r="DJ100" i="3"/>
  <c r="DJ137" i="18"/>
  <c r="DJ82" i="3"/>
  <c r="EX4" i="18"/>
  <c r="DO47" i="18"/>
  <c r="DO35" i="18"/>
  <c r="DL56" i="3"/>
  <c r="DL57" i="3" s="1"/>
  <c r="DK67" i="3"/>
  <c r="DK61" i="3"/>
  <c r="DK57" i="3"/>
  <c r="DL58" i="3"/>
  <c r="DL84" i="18"/>
  <c r="DL60" i="3"/>
  <c r="DL66" i="3"/>
  <c r="DL64" i="2"/>
  <c r="DP23" i="3"/>
  <c r="DP4" i="18"/>
  <c r="EX104" i="3"/>
  <c r="EX112" i="3"/>
  <c r="EX39" i="3"/>
  <c r="FG43" i="3"/>
  <c r="EX43" i="3"/>
  <c r="EX98" i="3"/>
  <c r="DO42" i="2"/>
  <c r="DO46" i="2" s="1"/>
  <c r="DO61" i="2" s="1"/>
  <c r="DP54" i="3" s="1"/>
  <c r="DP43" i="2"/>
  <c r="DP47" i="2" s="1"/>
  <c r="DP28" i="3"/>
  <c r="EV137" i="18"/>
  <c r="DN57" i="2"/>
  <c r="DO49" i="3" s="1"/>
  <c r="EY49" i="3" s="1"/>
  <c r="DN92" i="2"/>
  <c r="DN55" i="2"/>
  <c r="DQ24" i="3"/>
  <c r="DQ3" i="3"/>
  <c r="DM54" i="2"/>
  <c r="DN47" i="3"/>
  <c r="DN46" i="3" s="1"/>
  <c r="DI106" i="3"/>
  <c r="DI167" i="18"/>
  <c r="DI101" i="3"/>
  <c r="DR4" i="3"/>
  <c r="DQ38" i="2"/>
  <c r="DM63" i="2" l="1"/>
  <c r="DM69" i="2"/>
  <c r="DM72" i="18"/>
  <c r="DK167" i="18"/>
  <c r="DK106" i="3"/>
  <c r="DK101" i="3"/>
  <c r="DO32" i="3"/>
  <c r="DN43" i="3"/>
  <c r="EY34" i="3"/>
  <c r="DN64" i="18"/>
  <c r="EY33" i="3"/>
  <c r="DP27" i="3"/>
  <c r="DP33" i="3"/>
  <c r="DN98" i="3"/>
  <c r="DP34" i="3"/>
  <c r="DS23" i="3"/>
  <c r="DS4" i="18"/>
  <c r="DT3" i="3"/>
  <c r="DT24" i="3"/>
  <c r="DN112" i="3"/>
  <c r="DN79" i="3"/>
  <c r="DN104" i="3"/>
  <c r="EY27" i="3"/>
  <c r="EY30" i="3" s="1"/>
  <c r="DO58" i="2"/>
  <c r="DP50" i="3" s="1"/>
  <c r="DO60" i="2"/>
  <c r="DP53" i="3" s="1"/>
  <c r="DO55" i="18"/>
  <c r="DO30" i="3"/>
  <c r="DW18" i="2"/>
  <c r="DV7" i="2"/>
  <c r="DT9" i="2"/>
  <c r="DU5" i="3" s="1"/>
  <c r="DU25" i="3" s="1"/>
  <c r="DS39" i="2"/>
  <c r="DR37" i="2"/>
  <c r="DT8" i="2"/>
  <c r="DU4" i="3" s="1"/>
  <c r="FA4" i="3" s="1"/>
  <c r="DS38" i="2"/>
  <c r="EX66" i="3"/>
  <c r="EX70" i="3" s="1"/>
  <c r="EX60" i="3"/>
  <c r="EX64" i="3" s="1"/>
  <c r="DO55" i="2"/>
  <c r="DO57" i="2"/>
  <c r="DP49" i="3" s="1"/>
  <c r="DO92" i="2"/>
  <c r="DI114" i="3"/>
  <c r="DI115" i="3" s="1"/>
  <c r="DI107" i="3"/>
  <c r="DN84" i="18"/>
  <c r="DN58" i="3"/>
  <c r="DP35" i="18"/>
  <c r="DP47" i="18"/>
  <c r="DL68" i="3"/>
  <c r="DL62" i="3"/>
  <c r="EX47" i="18"/>
  <c r="DJ101" i="3"/>
  <c r="DJ106" i="3"/>
  <c r="DJ167" i="18"/>
  <c r="EV167" i="18"/>
  <c r="DK62" i="3"/>
  <c r="DK68" i="3"/>
  <c r="EX57" i="3"/>
  <c r="EW114" i="3"/>
  <c r="EW115" i="3" s="1"/>
  <c r="EW107" i="3"/>
  <c r="DR25" i="3"/>
  <c r="EZ5" i="3"/>
  <c r="DQ28" i="3"/>
  <c r="DP42" i="2"/>
  <c r="DP46" i="2" s="1"/>
  <c r="DP61" i="2" s="1"/>
  <c r="DQ54" i="3" s="1"/>
  <c r="DQ43" i="2"/>
  <c r="DQ47" i="2" s="1"/>
  <c r="DM56" i="3"/>
  <c r="DM57" i="3" s="1"/>
  <c r="DL61" i="3"/>
  <c r="DL67" i="3"/>
  <c r="EX67" i="3" s="1"/>
  <c r="EX56" i="3"/>
  <c r="DQ29" i="3"/>
  <c r="DQ44" i="2"/>
  <c r="DR29" i="3" s="1"/>
  <c r="DQ4" i="18"/>
  <c r="DQ23" i="3"/>
  <c r="DN60" i="3"/>
  <c r="DQ37" i="2"/>
  <c r="DL81" i="3"/>
  <c r="DL111" i="18"/>
  <c r="DL70" i="3"/>
  <c r="DL102" i="18"/>
  <c r="DL64" i="3"/>
  <c r="DR24" i="3"/>
  <c r="DR3" i="3"/>
  <c r="EZ4" i="3"/>
  <c r="DN54" i="2"/>
  <c r="DO47" i="3"/>
  <c r="DO46" i="3" s="1"/>
  <c r="DN66" i="3"/>
  <c r="DM84" i="18"/>
  <c r="DM58" i="3"/>
  <c r="DM66" i="3"/>
  <c r="DM60" i="3"/>
  <c r="EW84" i="18"/>
  <c r="EX35" i="18"/>
  <c r="DN63" i="2" l="1"/>
  <c r="DN69" i="2"/>
  <c r="DO112" i="3"/>
  <c r="DO39" i="3"/>
  <c r="DO98" i="3"/>
  <c r="DO104" i="3"/>
  <c r="DO43" i="3"/>
  <c r="DK114" i="3"/>
  <c r="DK115" i="3" s="1"/>
  <c r="DK107" i="3"/>
  <c r="DO79" i="3"/>
  <c r="DO64" i="18"/>
  <c r="DP32" i="3"/>
  <c r="DQ33" i="3"/>
  <c r="DN72" i="18"/>
  <c r="DQ27" i="3"/>
  <c r="DQ34" i="3"/>
  <c r="DT23" i="3"/>
  <c r="DT4" i="18"/>
  <c r="DS47" i="18"/>
  <c r="DS35" i="18"/>
  <c r="EY32" i="3"/>
  <c r="EY43" i="3" s="1"/>
  <c r="FA24" i="3"/>
  <c r="DU3" i="3"/>
  <c r="DU24" i="3"/>
  <c r="FA5" i="3"/>
  <c r="DP58" i="2"/>
  <c r="DQ50" i="3" s="1"/>
  <c r="DP60" i="2"/>
  <c r="DQ53" i="3" s="1"/>
  <c r="DR44" i="2"/>
  <c r="DS29" i="3" s="1"/>
  <c r="EX55" i="18"/>
  <c r="DR43" i="2"/>
  <c r="DX18" i="2"/>
  <c r="DW7" i="2"/>
  <c r="EX81" i="3"/>
  <c r="EX100" i="3" s="1"/>
  <c r="DS37" i="2"/>
  <c r="DU8" i="2"/>
  <c r="DV4" i="3" s="1"/>
  <c r="DT38" i="2"/>
  <c r="DU9" i="2"/>
  <c r="DV5" i="3" s="1"/>
  <c r="DT39" i="2"/>
  <c r="EZ29" i="3"/>
  <c r="FJ29" i="3" s="1"/>
  <c r="DQ48" i="2"/>
  <c r="EY47" i="3"/>
  <c r="EY46" i="3" s="1"/>
  <c r="DP92" i="2"/>
  <c r="DP55" i="2"/>
  <c r="DP57" i="2"/>
  <c r="DQ49" i="3" s="1"/>
  <c r="DM68" i="3"/>
  <c r="DM62" i="3"/>
  <c r="DO84" i="18"/>
  <c r="DO58" i="3"/>
  <c r="DQ35" i="18"/>
  <c r="DQ47" i="18"/>
  <c r="DO60" i="3"/>
  <c r="EX62" i="3"/>
  <c r="DR4" i="18"/>
  <c r="DR23" i="3"/>
  <c r="DN56" i="3"/>
  <c r="DM61" i="3"/>
  <c r="DM67" i="3"/>
  <c r="EX68" i="3"/>
  <c r="EW111" i="18"/>
  <c r="DJ107" i="3"/>
  <c r="DJ114" i="3"/>
  <c r="DJ115" i="3" s="1"/>
  <c r="DM102" i="18"/>
  <c r="DM64" i="3"/>
  <c r="DR28" i="3"/>
  <c r="DQ42" i="2"/>
  <c r="DQ46" i="2" s="1"/>
  <c r="DQ61" i="2" s="1"/>
  <c r="DR54" i="3" s="1"/>
  <c r="EZ54" i="3" s="1"/>
  <c r="FJ54" i="3" s="1"/>
  <c r="EZ25" i="3"/>
  <c r="FJ5" i="3"/>
  <c r="FJ25" i="3" s="1"/>
  <c r="EZ3" i="3"/>
  <c r="EZ23" i="3" s="1"/>
  <c r="EZ24" i="3"/>
  <c r="FJ4" i="3"/>
  <c r="DM111" i="18"/>
  <c r="DM81" i="3"/>
  <c r="DM70" i="3"/>
  <c r="DN111" i="18"/>
  <c r="DN81" i="3"/>
  <c r="DN70" i="3"/>
  <c r="DR34" i="3"/>
  <c r="DP47" i="3"/>
  <c r="DO54" i="2"/>
  <c r="DO66" i="3"/>
  <c r="DP55" i="18"/>
  <c r="DP30" i="3"/>
  <c r="DL82" i="3"/>
  <c r="DL137" i="18"/>
  <c r="DL100" i="3"/>
  <c r="EW102" i="18"/>
  <c r="DM64" i="2"/>
  <c r="DN102" i="18"/>
  <c r="DN64" i="3"/>
  <c r="EX61" i="3"/>
  <c r="DN64" i="2" l="1"/>
  <c r="DO63" i="2"/>
  <c r="DO69" i="2"/>
  <c r="DO72" i="18"/>
  <c r="EX64" i="18"/>
  <c r="DQ55" i="18"/>
  <c r="DP43" i="3"/>
  <c r="DP98" i="3"/>
  <c r="DP112" i="3"/>
  <c r="DP64" i="18"/>
  <c r="DP79" i="3"/>
  <c r="DP39" i="3"/>
  <c r="DP104" i="3"/>
  <c r="DR27" i="3"/>
  <c r="EZ28" i="3"/>
  <c r="FJ28" i="3" s="1"/>
  <c r="DR33" i="3"/>
  <c r="EY104" i="3"/>
  <c r="EY112" i="3"/>
  <c r="EY39" i="3"/>
  <c r="FH43" i="3"/>
  <c r="EY98" i="3"/>
  <c r="EY58" i="3"/>
  <c r="DU23" i="3"/>
  <c r="DU4" i="18"/>
  <c r="EZ4" i="18" s="1"/>
  <c r="DT47" i="18"/>
  <c r="DT35" i="18"/>
  <c r="DS34" i="3"/>
  <c r="DV25" i="3"/>
  <c r="FA25" i="3"/>
  <c r="DV3" i="3"/>
  <c r="DV24" i="3"/>
  <c r="DR47" i="2"/>
  <c r="DS28" i="3"/>
  <c r="FA3" i="3"/>
  <c r="FA23" i="3" s="1"/>
  <c r="DS43" i="2"/>
  <c r="DT43" i="2" s="1"/>
  <c r="DU28" i="3" s="1"/>
  <c r="DR42" i="2"/>
  <c r="DR46" i="2" s="1"/>
  <c r="DR61" i="2" s="1"/>
  <c r="DS54" i="3" s="1"/>
  <c r="DQ58" i="2"/>
  <c r="DR50" i="3" s="1"/>
  <c r="EZ50" i="3" s="1"/>
  <c r="FJ50" i="3" s="1"/>
  <c r="DQ60" i="2"/>
  <c r="DR53" i="3" s="1"/>
  <c r="EZ53" i="3" s="1"/>
  <c r="FJ53" i="3" s="1"/>
  <c r="DQ30" i="3"/>
  <c r="EX82" i="3"/>
  <c r="EZ34" i="3"/>
  <c r="DS44" i="2"/>
  <c r="DR48" i="2"/>
  <c r="DQ32" i="3"/>
  <c r="DQ104" i="3" s="1"/>
  <c r="DY18" i="2"/>
  <c r="DX7" i="2"/>
  <c r="FJ34" i="3"/>
  <c r="DT37" i="2"/>
  <c r="DV9" i="2"/>
  <c r="DW5" i="3" s="1"/>
  <c r="DW25" i="3" s="1"/>
  <c r="DU39" i="2"/>
  <c r="DV8" i="2"/>
  <c r="DW4" i="3" s="1"/>
  <c r="DU38" i="2"/>
  <c r="EX106" i="3"/>
  <c r="EX101" i="3"/>
  <c r="DO102" i="18"/>
  <c r="DO64" i="3"/>
  <c r="DQ55" i="2"/>
  <c r="DQ92" i="2"/>
  <c r="DQ57" i="2"/>
  <c r="DR49" i="3" s="1"/>
  <c r="EZ49" i="3" s="1"/>
  <c r="FJ49" i="3" s="1"/>
  <c r="EW137" i="18"/>
  <c r="EX84" i="18"/>
  <c r="DO56" i="3"/>
  <c r="DN67" i="3"/>
  <c r="DN61" i="3"/>
  <c r="DN57" i="3"/>
  <c r="DR47" i="18"/>
  <c r="DR35" i="18"/>
  <c r="FJ24" i="3"/>
  <c r="FJ3" i="3"/>
  <c r="FJ23" i="3" s="1"/>
  <c r="DL167" i="18"/>
  <c r="DL106" i="3"/>
  <c r="DL101" i="3"/>
  <c r="DP46" i="3"/>
  <c r="DN137" i="18"/>
  <c r="DN100" i="3"/>
  <c r="DN82" i="3"/>
  <c r="EY60" i="3"/>
  <c r="EY64" i="3" s="1"/>
  <c r="DQ47" i="3"/>
  <c r="DQ46" i="3" s="1"/>
  <c r="DP54" i="2"/>
  <c r="DM100" i="3"/>
  <c r="DM137" i="18"/>
  <c r="DM82" i="3"/>
  <c r="EY4" i="18"/>
  <c r="FI4" i="18" s="1"/>
  <c r="EY66" i="3"/>
  <c r="DO81" i="3"/>
  <c r="DO70" i="3"/>
  <c r="DO111" i="18"/>
  <c r="DP63" i="2" l="1"/>
  <c r="DP69" i="2"/>
  <c r="DR30" i="3"/>
  <c r="DR55" i="18"/>
  <c r="EX72" i="18"/>
  <c r="EZ27" i="3"/>
  <c r="FJ27" i="3" s="1"/>
  <c r="DP72" i="18"/>
  <c r="DR32" i="3"/>
  <c r="FJ33" i="3"/>
  <c r="EZ33" i="3"/>
  <c r="DS27" i="3"/>
  <c r="DS33" i="3"/>
  <c r="DU33" i="3"/>
  <c r="DV23" i="3"/>
  <c r="DV4" i="18"/>
  <c r="DU47" i="18"/>
  <c r="EZ47" i="18" s="1"/>
  <c r="DU35" i="18"/>
  <c r="EZ35" i="18" s="1"/>
  <c r="DS48" i="2"/>
  <c r="DT29" i="3"/>
  <c r="DW3" i="3"/>
  <c r="DW24" i="3"/>
  <c r="DS47" i="2"/>
  <c r="DT28" i="3"/>
  <c r="DR92" i="2"/>
  <c r="DR60" i="2"/>
  <c r="DS53" i="3" s="1"/>
  <c r="DR58" i="2"/>
  <c r="DS50" i="3" s="1"/>
  <c r="DR57" i="2"/>
  <c r="DS49" i="3" s="1"/>
  <c r="DR55" i="2"/>
  <c r="DS47" i="3" s="1"/>
  <c r="DQ39" i="3"/>
  <c r="DT44" i="2"/>
  <c r="DS42" i="2"/>
  <c r="DS46" i="2" s="1"/>
  <c r="DS61" i="2" s="1"/>
  <c r="DT54" i="3" s="1"/>
  <c r="DQ43" i="3"/>
  <c r="DQ112" i="3"/>
  <c r="DQ79" i="3"/>
  <c r="DQ60" i="3"/>
  <c r="DQ102" i="18" s="1"/>
  <c r="DQ64" i="18"/>
  <c r="DZ18" i="2"/>
  <c r="DY7" i="2"/>
  <c r="DQ98" i="3"/>
  <c r="DU43" i="2"/>
  <c r="DW8" i="2"/>
  <c r="DX4" i="3" s="1"/>
  <c r="FB4" i="3" s="1"/>
  <c r="DV38" i="2"/>
  <c r="DU37" i="2"/>
  <c r="DW9" i="2"/>
  <c r="DX5" i="3" s="1"/>
  <c r="DX25" i="3" s="1"/>
  <c r="DV39" i="2"/>
  <c r="DT47" i="2"/>
  <c r="EX111" i="18"/>
  <c r="DP64" i="2"/>
  <c r="DO64" i="2"/>
  <c r="EW167" i="18"/>
  <c r="EX114" i="3"/>
  <c r="EX115" i="3" s="1"/>
  <c r="EX107" i="3"/>
  <c r="DM101" i="3"/>
  <c r="DM106" i="3"/>
  <c r="DM167" i="18"/>
  <c r="DL114" i="3"/>
  <c r="DL115" i="3" s="1"/>
  <c r="DL107" i="3"/>
  <c r="EY35" i="18"/>
  <c r="FI35" i="18" s="1"/>
  <c r="G6" i="24" s="1"/>
  <c r="DN106" i="3"/>
  <c r="DN167" i="18"/>
  <c r="DN101" i="3"/>
  <c r="DN68" i="3"/>
  <c r="DN62" i="3"/>
  <c r="EX102" i="18"/>
  <c r="DR47" i="3"/>
  <c r="DQ54" i="2"/>
  <c r="EY81" i="3"/>
  <c r="EY70" i="3"/>
  <c r="DQ58" i="3"/>
  <c r="DQ84" i="18"/>
  <c r="DQ66" i="3"/>
  <c r="DP56" i="3"/>
  <c r="DO67" i="3"/>
  <c r="EY67" i="3" s="1"/>
  <c r="DO61" i="3"/>
  <c r="DO57" i="3"/>
  <c r="EY57" i="3" s="1"/>
  <c r="EY56" i="3"/>
  <c r="DO82" i="3"/>
  <c r="DO100" i="3"/>
  <c r="DO137" i="18"/>
  <c r="EY47" i="18"/>
  <c r="FI47" i="18" s="1"/>
  <c r="DP84" i="18"/>
  <c r="DP58" i="3"/>
  <c r="DP60" i="3"/>
  <c r="DP66" i="3"/>
  <c r="DQ63" i="2" l="1"/>
  <c r="DQ69" i="2"/>
  <c r="EY55" i="18"/>
  <c r="FI55" i="18" s="1"/>
  <c r="EZ32" i="3"/>
  <c r="EZ112" i="3" s="1"/>
  <c r="EZ30" i="3"/>
  <c r="DT42" i="2"/>
  <c r="DT46" i="2" s="1"/>
  <c r="DT61" i="2" s="1"/>
  <c r="DU54" i="3" s="1"/>
  <c r="FJ32" i="3"/>
  <c r="F6" i="5" s="1"/>
  <c r="FJ30" i="3"/>
  <c r="DR39" i="3"/>
  <c r="DR112" i="3"/>
  <c r="DR98" i="3"/>
  <c r="DR104" i="3"/>
  <c r="DR43" i="3"/>
  <c r="DR79" i="3"/>
  <c r="DR64" i="18"/>
  <c r="DS55" i="18"/>
  <c r="DT27" i="3"/>
  <c r="DT33" i="3"/>
  <c r="FA28" i="3"/>
  <c r="DW23" i="3"/>
  <c r="DW4" i="18"/>
  <c r="DV35" i="18"/>
  <c r="DV47" i="18"/>
  <c r="FB24" i="3"/>
  <c r="DX3" i="3"/>
  <c r="DX24" i="3"/>
  <c r="DR54" i="2"/>
  <c r="DT34" i="3"/>
  <c r="DU47" i="2"/>
  <c r="DV28" i="3"/>
  <c r="DT48" i="2"/>
  <c r="DU29" i="3"/>
  <c r="DU27" i="3" s="1"/>
  <c r="DS30" i="3"/>
  <c r="DS32" i="3"/>
  <c r="DS64" i="18" s="1"/>
  <c r="DS46" i="3"/>
  <c r="DS84" i="18" s="1"/>
  <c r="FB5" i="3"/>
  <c r="DS57" i="2"/>
  <c r="DT49" i="3" s="1"/>
  <c r="DU44" i="2"/>
  <c r="DV44" i="2" s="1"/>
  <c r="DW29" i="3" s="1"/>
  <c r="DS58" i="2"/>
  <c r="DT50" i="3" s="1"/>
  <c r="DS60" i="2"/>
  <c r="DT53" i="3" s="1"/>
  <c r="DS55" i="2"/>
  <c r="DT47" i="3" s="1"/>
  <c r="DQ64" i="3"/>
  <c r="DS92" i="2"/>
  <c r="DQ72" i="18"/>
  <c r="EA18" i="2"/>
  <c r="DZ7" i="2"/>
  <c r="DX9" i="2"/>
  <c r="DY5" i="3" s="1"/>
  <c r="DW39" i="2"/>
  <c r="DV37" i="2"/>
  <c r="DX8" i="2"/>
  <c r="DY4" i="3" s="1"/>
  <c r="DW38" i="2"/>
  <c r="DV43" i="2"/>
  <c r="DW28" i="3" s="1"/>
  <c r="DN107" i="3"/>
  <c r="DN114" i="3"/>
  <c r="DN115" i="3" s="1"/>
  <c r="DO167" i="18"/>
  <c r="DO101" i="3"/>
  <c r="DO106" i="3"/>
  <c r="EY82" i="3"/>
  <c r="EY100" i="3"/>
  <c r="DR46" i="3"/>
  <c r="EZ47" i="3"/>
  <c r="DM114" i="3"/>
  <c r="DM115" i="3" s="1"/>
  <c r="DM107" i="3"/>
  <c r="DP70" i="3"/>
  <c r="DP81" i="3"/>
  <c r="DP111" i="18"/>
  <c r="DP64" i="3"/>
  <c r="DP102" i="18"/>
  <c r="EY61" i="3"/>
  <c r="EX137" i="18"/>
  <c r="DQ56" i="3"/>
  <c r="DP61" i="3"/>
  <c r="DP67" i="3"/>
  <c r="DQ81" i="3"/>
  <c r="DQ70" i="3"/>
  <c r="DQ111" i="18"/>
  <c r="EY62" i="3"/>
  <c r="DO68" i="3"/>
  <c r="EY68" i="3" s="1"/>
  <c r="DO62" i="3"/>
  <c r="DP57" i="3"/>
  <c r="DR63" i="2" l="1"/>
  <c r="DR69" i="2"/>
  <c r="EZ39" i="3"/>
  <c r="FJ104" i="3"/>
  <c r="FJ112" i="3"/>
  <c r="FJ39" i="3"/>
  <c r="FJ43" i="3"/>
  <c r="DW27" i="3"/>
  <c r="DT58" i="2"/>
  <c r="DU50" i="3" s="1"/>
  <c r="DT60" i="2"/>
  <c r="DU53" i="3" s="1"/>
  <c r="EZ104" i="3"/>
  <c r="EZ43" i="3"/>
  <c r="EZ98" i="3"/>
  <c r="FI43" i="3"/>
  <c r="DT57" i="2"/>
  <c r="DU49" i="3" s="1"/>
  <c r="DT55" i="2"/>
  <c r="DU47" i="3" s="1"/>
  <c r="DT92" i="2"/>
  <c r="FA54" i="3"/>
  <c r="DT55" i="18"/>
  <c r="DR72" i="18"/>
  <c r="EY64" i="18"/>
  <c r="DW33" i="3"/>
  <c r="DV33" i="3"/>
  <c r="FA33" i="3"/>
  <c r="DW34" i="3"/>
  <c r="FA29" i="3"/>
  <c r="DS72" i="18"/>
  <c r="DX23" i="3"/>
  <c r="DX4" i="18"/>
  <c r="FA4" i="18" s="1"/>
  <c r="DW35" i="18"/>
  <c r="DW47" i="18"/>
  <c r="DS58" i="3"/>
  <c r="DU34" i="3"/>
  <c r="DU55" i="18"/>
  <c r="DT30" i="3"/>
  <c r="DT32" i="3"/>
  <c r="DT64" i="18" s="1"/>
  <c r="DU48" i="2"/>
  <c r="DV29" i="3"/>
  <c r="DV27" i="3" s="1"/>
  <c r="DY3" i="3"/>
  <c r="DY24" i="3"/>
  <c r="FB25" i="3"/>
  <c r="DT46" i="3"/>
  <c r="DT84" i="18" s="1"/>
  <c r="DY25" i="3"/>
  <c r="DS66" i="3"/>
  <c r="DS111" i="18" s="1"/>
  <c r="DS104" i="3"/>
  <c r="DS60" i="3"/>
  <c r="DS39" i="3"/>
  <c r="DS112" i="3"/>
  <c r="DS98" i="3"/>
  <c r="DS79" i="3"/>
  <c r="DS43" i="3"/>
  <c r="FB3" i="3"/>
  <c r="FB23" i="3" s="1"/>
  <c r="DS54" i="2"/>
  <c r="DU42" i="2"/>
  <c r="DU46" i="2" s="1"/>
  <c r="DU61" i="2" s="1"/>
  <c r="DV54" i="3" s="1"/>
  <c r="EB18" i="2"/>
  <c r="EA7" i="2"/>
  <c r="DW44" i="2"/>
  <c r="DQ64" i="2"/>
  <c r="DV42" i="2"/>
  <c r="DV46" i="2" s="1"/>
  <c r="DV61" i="2" s="1"/>
  <c r="DW54" i="3" s="1"/>
  <c r="DW43" i="2"/>
  <c r="DX28" i="3" s="1"/>
  <c r="DW37" i="2"/>
  <c r="DY8" i="2"/>
  <c r="DZ4" i="3" s="1"/>
  <c r="DX38" i="2"/>
  <c r="DV47" i="2"/>
  <c r="DY9" i="2"/>
  <c r="DZ5" i="3" s="1"/>
  <c r="DZ25" i="3" s="1"/>
  <c r="DX39" i="2"/>
  <c r="DV48" i="2"/>
  <c r="DO114" i="3"/>
  <c r="DO115" i="3" s="1"/>
  <c r="DO107" i="3"/>
  <c r="EZ46" i="3"/>
  <c r="FJ47" i="3"/>
  <c r="FJ46" i="3" s="1"/>
  <c r="EY106" i="3"/>
  <c r="EY101" i="3"/>
  <c r="DR58" i="3"/>
  <c r="DR84" i="18"/>
  <c r="DR60" i="3"/>
  <c r="DR66" i="3"/>
  <c r="EX167" i="18"/>
  <c r="DQ82" i="3"/>
  <c r="DQ100" i="3"/>
  <c r="DQ137" i="18"/>
  <c r="DP62" i="3"/>
  <c r="DP68" i="3"/>
  <c r="DR56" i="3"/>
  <c r="DQ67" i="3"/>
  <c r="DQ61" i="3"/>
  <c r="DQ57" i="3"/>
  <c r="DP137" i="18"/>
  <c r="DP100" i="3"/>
  <c r="DP82" i="3"/>
  <c r="DS63" i="2" l="1"/>
  <c r="DS69" i="2"/>
  <c r="DW32" i="3"/>
  <c r="DW64" i="18" s="1"/>
  <c r="FA49" i="3"/>
  <c r="FA53" i="3"/>
  <c r="DU46" i="3"/>
  <c r="DU84" i="18" s="1"/>
  <c r="FA50" i="3"/>
  <c r="FA47" i="3"/>
  <c r="DT54" i="2"/>
  <c r="DT69" i="2" s="1"/>
  <c r="EZ55" i="18"/>
  <c r="EY72" i="18"/>
  <c r="FI64" i="18"/>
  <c r="DX33" i="3"/>
  <c r="FB28" i="3"/>
  <c r="DV55" i="18"/>
  <c r="FA34" i="3"/>
  <c r="DX35" i="18"/>
  <c r="FA35" i="18" s="1"/>
  <c r="DX47" i="18"/>
  <c r="FA47" i="18" s="1"/>
  <c r="DS64" i="3"/>
  <c r="DS102" i="18"/>
  <c r="DT72" i="18"/>
  <c r="DY23" i="3"/>
  <c r="DY4" i="18"/>
  <c r="DW30" i="3"/>
  <c r="DW55" i="18"/>
  <c r="DT58" i="3"/>
  <c r="DU92" i="2"/>
  <c r="DU57" i="2"/>
  <c r="DV49" i="3" s="1"/>
  <c r="DU55" i="2"/>
  <c r="DV47" i="3" s="1"/>
  <c r="DV30" i="3"/>
  <c r="DV32" i="3"/>
  <c r="DV64" i="18" s="1"/>
  <c r="DT66" i="3"/>
  <c r="DT111" i="18" s="1"/>
  <c r="DT39" i="3"/>
  <c r="DT60" i="3"/>
  <c r="DT43" i="3"/>
  <c r="DT104" i="3"/>
  <c r="DT112" i="3"/>
  <c r="DT98" i="3"/>
  <c r="DT79" i="3"/>
  <c r="DU30" i="3"/>
  <c r="DU32" i="3"/>
  <c r="FA27" i="3"/>
  <c r="DS70" i="3"/>
  <c r="DS81" i="3"/>
  <c r="DS137" i="18" s="1"/>
  <c r="DW48" i="2"/>
  <c r="DX29" i="3"/>
  <c r="DX27" i="3" s="1"/>
  <c r="DZ3" i="3"/>
  <c r="DZ24" i="3"/>
  <c r="DV34" i="3"/>
  <c r="DR57" i="3"/>
  <c r="EZ57" i="3" s="1"/>
  <c r="DS56" i="3"/>
  <c r="DU60" i="2"/>
  <c r="DV53" i="3" s="1"/>
  <c r="DU58" i="2"/>
  <c r="DV58" i="2"/>
  <c r="DW50" i="3" s="1"/>
  <c r="DV60" i="2"/>
  <c r="DW53" i="3" s="1"/>
  <c r="DV55" i="2"/>
  <c r="DW47" i="3" s="1"/>
  <c r="DV57" i="2"/>
  <c r="DW49" i="3" s="1"/>
  <c r="DV92" i="2"/>
  <c r="EC18" i="2"/>
  <c r="EC7" i="2" s="1"/>
  <c r="EB7" i="2"/>
  <c r="DR64" i="2"/>
  <c r="DW42" i="2"/>
  <c r="DW46" i="2" s="1"/>
  <c r="DW61" i="2" s="1"/>
  <c r="DX54" i="3" s="1"/>
  <c r="FB54" i="3" s="1"/>
  <c r="DX43" i="2"/>
  <c r="DX37" i="2"/>
  <c r="DZ9" i="2"/>
  <c r="EA5" i="3" s="1"/>
  <c r="DY39" i="2"/>
  <c r="DZ8" i="2"/>
  <c r="EA4" i="3" s="1"/>
  <c r="DY38" i="2"/>
  <c r="DW47" i="2"/>
  <c r="DX44" i="2"/>
  <c r="DY29" i="3" s="1"/>
  <c r="DQ106" i="3"/>
  <c r="DQ101" i="3"/>
  <c r="DQ167" i="18"/>
  <c r="EY84" i="18"/>
  <c r="FI84" i="18" s="1"/>
  <c r="EY114" i="3"/>
  <c r="EY115" i="3" s="1"/>
  <c r="EY107" i="3"/>
  <c r="DR64" i="3"/>
  <c r="DR102" i="18"/>
  <c r="DP167" i="18"/>
  <c r="DP106" i="3"/>
  <c r="DP101" i="3"/>
  <c r="FJ58" i="3"/>
  <c r="FJ60" i="3"/>
  <c r="FJ64" i="3" s="1"/>
  <c r="FJ66" i="3"/>
  <c r="DR67" i="3"/>
  <c r="EZ67" i="3" s="1"/>
  <c r="FJ67" i="3" s="1"/>
  <c r="DR61" i="3"/>
  <c r="EZ58" i="3"/>
  <c r="EZ66" i="3"/>
  <c r="EZ60" i="3"/>
  <c r="EZ64" i="3" s="1"/>
  <c r="DQ62" i="3"/>
  <c r="DQ68" i="3"/>
  <c r="EZ56" i="3"/>
  <c r="DR81" i="3"/>
  <c r="DR70" i="3"/>
  <c r="DR111" i="18"/>
  <c r="DW98" i="3" l="1"/>
  <c r="DW79" i="3"/>
  <c r="DW104" i="3"/>
  <c r="DW39" i="3"/>
  <c r="DW112" i="3"/>
  <c r="EZ84" i="18"/>
  <c r="FA46" i="3"/>
  <c r="DT63" i="2"/>
  <c r="FI72" i="18"/>
  <c r="G13" i="24"/>
  <c r="FB33" i="3"/>
  <c r="DX34" i="3"/>
  <c r="DW72" i="18"/>
  <c r="DU58" i="3"/>
  <c r="DU64" i="18"/>
  <c r="DY35" i="18"/>
  <c r="DY47" i="18"/>
  <c r="DZ23" i="3"/>
  <c r="DZ4" i="18"/>
  <c r="DW43" i="3"/>
  <c r="DT64" i="3"/>
  <c r="DT102" i="18"/>
  <c r="DR62" i="3"/>
  <c r="DR68" i="3"/>
  <c r="EZ68" i="3" s="1"/>
  <c r="FJ68" i="3" s="1"/>
  <c r="FB29" i="3"/>
  <c r="DY34" i="3"/>
  <c r="DW46" i="3"/>
  <c r="DW84" i="18" s="1"/>
  <c r="EA3" i="3"/>
  <c r="EA24" i="3"/>
  <c r="FC4" i="3"/>
  <c r="DU54" i="2"/>
  <c r="DU69" i="2" s="1"/>
  <c r="DV50" i="3"/>
  <c r="DT70" i="3"/>
  <c r="DT81" i="3"/>
  <c r="DT137" i="18" s="1"/>
  <c r="FA30" i="3"/>
  <c r="FA32" i="3"/>
  <c r="DX47" i="2"/>
  <c r="DY28" i="3"/>
  <c r="EA25" i="3"/>
  <c r="FC5" i="3"/>
  <c r="DX55" i="18"/>
  <c r="FA55" i="18" s="1"/>
  <c r="DU66" i="3"/>
  <c r="DU111" i="18" s="1"/>
  <c r="EZ111" i="18" s="1"/>
  <c r="DU104" i="3"/>
  <c r="DU60" i="3"/>
  <c r="DU39" i="3"/>
  <c r="DU43" i="3"/>
  <c r="DU112" i="3"/>
  <c r="DU98" i="3"/>
  <c r="DU79" i="3"/>
  <c r="DS82" i="3"/>
  <c r="DS100" i="3"/>
  <c r="DS167" i="18" s="1"/>
  <c r="DV43" i="3"/>
  <c r="DV39" i="3"/>
  <c r="DV104" i="3"/>
  <c r="DV112" i="3"/>
  <c r="DV98" i="3"/>
  <c r="DV79" i="3"/>
  <c r="DS61" i="3"/>
  <c r="DT56" i="3"/>
  <c r="DS67" i="3"/>
  <c r="DS57" i="3"/>
  <c r="DW58" i="2"/>
  <c r="DX50" i="3" s="1"/>
  <c r="DW60" i="2"/>
  <c r="DX53" i="3" s="1"/>
  <c r="FB53" i="3" s="1"/>
  <c r="DY44" i="2"/>
  <c r="DV54" i="2"/>
  <c r="DV69" i="2" s="1"/>
  <c r="DW55" i="2"/>
  <c r="DX47" i="3" s="1"/>
  <c r="DW57" i="2"/>
  <c r="DX49" i="3" s="1"/>
  <c r="FB49" i="3" s="1"/>
  <c r="DW92" i="2"/>
  <c r="DS64" i="2"/>
  <c r="DY37" i="2"/>
  <c r="EA8" i="2"/>
  <c r="EB4" i="3" s="1"/>
  <c r="DZ38" i="2"/>
  <c r="EA9" i="2"/>
  <c r="EB5" i="3" s="1"/>
  <c r="DZ39" i="2"/>
  <c r="DY43" i="2"/>
  <c r="DZ28" i="3" s="1"/>
  <c r="DX42" i="2"/>
  <c r="DX46" i="2" s="1"/>
  <c r="DX61" i="2" s="1"/>
  <c r="DY54" i="3" s="1"/>
  <c r="DX48" i="2"/>
  <c r="DR100" i="3"/>
  <c r="DR137" i="18"/>
  <c r="DR82" i="3"/>
  <c r="EZ61" i="3"/>
  <c r="FJ56" i="3"/>
  <c r="FJ61" i="3" s="1"/>
  <c r="EZ62" i="3"/>
  <c r="FJ57" i="3"/>
  <c r="FJ62" i="3" s="1"/>
  <c r="EY111" i="18"/>
  <c r="FI111" i="18" s="1"/>
  <c r="G35" i="24" s="1"/>
  <c r="EY102" i="18"/>
  <c r="FI102" i="18" s="1"/>
  <c r="G26" i="24" s="1"/>
  <c r="FJ81" i="3"/>
  <c r="FJ70" i="3"/>
  <c r="F17" i="5" s="1"/>
  <c r="DP107" i="3"/>
  <c r="DP114" i="3"/>
  <c r="DP115" i="3" s="1"/>
  <c r="DQ114" i="3"/>
  <c r="DQ115" i="3" s="1"/>
  <c r="DQ107" i="3"/>
  <c r="EZ70" i="3"/>
  <c r="EZ81" i="3"/>
  <c r="DU63" i="2" l="1"/>
  <c r="FA58" i="3"/>
  <c r="DY27" i="3"/>
  <c r="DY33" i="3"/>
  <c r="DZ33" i="3"/>
  <c r="FB34" i="3"/>
  <c r="DV72" i="18"/>
  <c r="EZ64" i="18"/>
  <c r="DU64" i="3"/>
  <c r="DU102" i="18"/>
  <c r="EZ102" i="18" s="1"/>
  <c r="DU72" i="18"/>
  <c r="EA23" i="3"/>
  <c r="EA4" i="18"/>
  <c r="FB4" i="18" s="1"/>
  <c r="DZ35" i="18"/>
  <c r="DZ47" i="18"/>
  <c r="DS106" i="3"/>
  <c r="DS101" i="3"/>
  <c r="FC25" i="3"/>
  <c r="EB3" i="3"/>
  <c r="EB24" i="3"/>
  <c r="FC3" i="3"/>
  <c r="FC23" i="3" s="1"/>
  <c r="FC24" i="3"/>
  <c r="DX46" i="3"/>
  <c r="DX84" i="18" s="1"/>
  <c r="DW58" i="3"/>
  <c r="DW66" i="3"/>
  <c r="DW111" i="18" s="1"/>
  <c r="DW60" i="3"/>
  <c r="FB47" i="3"/>
  <c r="FA66" i="3"/>
  <c r="FA43" i="3"/>
  <c r="FA60" i="3"/>
  <c r="FA64" i="3" s="1"/>
  <c r="FA39" i="3"/>
  <c r="FA112" i="3"/>
  <c r="FA104" i="3"/>
  <c r="FA98" i="3"/>
  <c r="DU70" i="3"/>
  <c r="DU81" i="3"/>
  <c r="DU137" i="18" s="1"/>
  <c r="EZ137" i="18" s="1"/>
  <c r="DY48" i="2"/>
  <c r="DZ29" i="3"/>
  <c r="DZ27" i="3" s="1"/>
  <c r="DT100" i="3"/>
  <c r="DT167" i="18" s="1"/>
  <c r="DT82" i="3"/>
  <c r="EB25" i="3"/>
  <c r="DX30" i="3"/>
  <c r="DX32" i="3"/>
  <c r="DX64" i="18" s="1"/>
  <c r="FA64" i="18" s="1"/>
  <c r="FB27" i="3"/>
  <c r="FB50" i="3"/>
  <c r="DV46" i="3"/>
  <c r="DV84" i="18" s="1"/>
  <c r="DS68" i="3"/>
  <c r="DS62" i="3"/>
  <c r="DT67" i="3"/>
  <c r="DU56" i="3"/>
  <c r="FA56" i="3" s="1"/>
  <c r="FA61" i="3" s="1"/>
  <c r="DT57" i="3"/>
  <c r="DT61" i="3"/>
  <c r="DX58" i="2"/>
  <c r="DY50" i="3" s="1"/>
  <c r="DX60" i="2"/>
  <c r="DY53" i="3" s="1"/>
  <c r="DX57" i="2"/>
  <c r="DY49" i="3" s="1"/>
  <c r="DX55" i="2"/>
  <c r="DY47" i="3" s="1"/>
  <c r="DX92" i="2"/>
  <c r="DW54" i="2"/>
  <c r="DW69" i="2" s="1"/>
  <c r="DT64" i="2"/>
  <c r="DZ43" i="2"/>
  <c r="DY42" i="2"/>
  <c r="DY46" i="2" s="1"/>
  <c r="DY61" i="2" s="1"/>
  <c r="DZ54" i="3" s="1"/>
  <c r="EB9" i="2"/>
  <c r="EC5" i="3" s="1"/>
  <c r="EC25" i="3" s="1"/>
  <c r="EA39" i="2"/>
  <c r="DZ37" i="2"/>
  <c r="EB8" i="2"/>
  <c r="EC4" i="3" s="1"/>
  <c r="EA38" i="2"/>
  <c r="DY47" i="2"/>
  <c r="DZ44" i="2"/>
  <c r="EA29" i="3" s="1"/>
  <c r="FJ82" i="3"/>
  <c r="FJ100" i="3"/>
  <c r="EZ100" i="3"/>
  <c r="EZ82" i="3"/>
  <c r="EY137" i="18"/>
  <c r="FI137" i="18" s="1"/>
  <c r="G44" i="24" s="1"/>
  <c r="DR106" i="3"/>
  <c r="DR167" i="18"/>
  <c r="DR101" i="3"/>
  <c r="DY55" i="18" l="1"/>
  <c r="FA72" i="18"/>
  <c r="DV63" i="2"/>
  <c r="EA34" i="3"/>
  <c r="DZ55" i="18"/>
  <c r="FA84" i="18"/>
  <c r="EZ72" i="18"/>
  <c r="EA35" i="18"/>
  <c r="FB35" i="18" s="1"/>
  <c r="EA47" i="18"/>
  <c r="FB47" i="18" s="1"/>
  <c r="EB23" i="3"/>
  <c r="EB4" i="18"/>
  <c r="DX72" i="18"/>
  <c r="DW64" i="3"/>
  <c r="DW102" i="18"/>
  <c r="DV58" i="3"/>
  <c r="DV66" i="3"/>
  <c r="DV111" i="18" s="1"/>
  <c r="DV60" i="3"/>
  <c r="DU82" i="3"/>
  <c r="DU100" i="3"/>
  <c r="DU167" i="18" s="1"/>
  <c r="EZ167" i="18" s="1"/>
  <c r="DY46" i="3"/>
  <c r="DY84" i="18" s="1"/>
  <c r="FB30" i="3"/>
  <c r="FB32" i="3"/>
  <c r="DZ30" i="3"/>
  <c r="DZ32" i="3"/>
  <c r="DZ64" i="18" s="1"/>
  <c r="DX66" i="3"/>
  <c r="DX111" i="18" s="1"/>
  <c r="DX60" i="3"/>
  <c r="DX43" i="3"/>
  <c r="DX104" i="3"/>
  <c r="DX39" i="3"/>
  <c r="DX112" i="3"/>
  <c r="DX98" i="3"/>
  <c r="DX79" i="3"/>
  <c r="DX58" i="3"/>
  <c r="EC3" i="3"/>
  <c r="EC24" i="3"/>
  <c r="DY30" i="3"/>
  <c r="DY32" i="3"/>
  <c r="DY64" i="18" s="1"/>
  <c r="DW81" i="3"/>
  <c r="DW137" i="18" s="1"/>
  <c r="DW70" i="3"/>
  <c r="DZ34" i="3"/>
  <c r="FC29" i="3"/>
  <c r="FC34" i="3" s="1"/>
  <c r="FA81" i="3"/>
  <c r="FA70" i="3"/>
  <c r="DS107" i="3"/>
  <c r="DS114" i="3"/>
  <c r="DS115" i="3" s="1"/>
  <c r="DT106" i="3"/>
  <c r="DT101" i="3"/>
  <c r="DZ47" i="2"/>
  <c r="EA28" i="3"/>
  <c r="FB46" i="3"/>
  <c r="DT68" i="3"/>
  <c r="DT62" i="3"/>
  <c r="DV56" i="3"/>
  <c r="DU67" i="3"/>
  <c r="FA67" i="3" s="1"/>
  <c r="DU61" i="3"/>
  <c r="DU57" i="3"/>
  <c r="FA57" i="3" s="1"/>
  <c r="FA62" i="3" s="1"/>
  <c r="DY58" i="2"/>
  <c r="DZ50" i="3" s="1"/>
  <c r="DY60" i="2"/>
  <c r="DZ53" i="3" s="1"/>
  <c r="DX54" i="2"/>
  <c r="DX69" i="2" s="1"/>
  <c r="DY55" i="2"/>
  <c r="DZ47" i="3" s="1"/>
  <c r="DY57" i="2"/>
  <c r="DZ49" i="3" s="1"/>
  <c r="DY92" i="2"/>
  <c r="EA44" i="2"/>
  <c r="DU64" i="2"/>
  <c r="EA37" i="2"/>
  <c r="EC8" i="2"/>
  <c r="EB38" i="2"/>
  <c r="EC9" i="2"/>
  <c r="EB39" i="2"/>
  <c r="DZ48" i="2"/>
  <c r="DZ42" i="2"/>
  <c r="DZ46" i="2" s="1"/>
  <c r="DZ61" i="2" s="1"/>
  <c r="EA54" i="3" s="1"/>
  <c r="FC54" i="3" s="1"/>
  <c r="EA43" i="2"/>
  <c r="EB28" i="3" s="1"/>
  <c r="EZ106" i="3"/>
  <c r="EZ101" i="3"/>
  <c r="FJ101" i="3"/>
  <c r="FJ106" i="3"/>
  <c r="DR114" i="3"/>
  <c r="DR115" i="3" s="1"/>
  <c r="DR107" i="3"/>
  <c r="EY167" i="18"/>
  <c r="FI167" i="18" s="1"/>
  <c r="G52" i="24" s="1"/>
  <c r="DW63" i="2" l="1"/>
  <c r="EB33" i="3"/>
  <c r="EA27" i="3"/>
  <c r="EA33" i="3"/>
  <c r="FC28" i="3"/>
  <c r="EA55" i="18"/>
  <c r="FB55" i="18" s="1"/>
  <c r="FA111" i="18"/>
  <c r="DV64" i="3"/>
  <c r="DV102" i="18"/>
  <c r="DX64" i="3"/>
  <c r="DX102" i="18"/>
  <c r="EB47" i="18"/>
  <c r="EB35" i="18"/>
  <c r="DZ72" i="18"/>
  <c r="EC23" i="3"/>
  <c r="EC4" i="18"/>
  <c r="DY72" i="18"/>
  <c r="FB66" i="3"/>
  <c r="FB43" i="3"/>
  <c r="FB60" i="3"/>
  <c r="FB64" i="3" s="1"/>
  <c r="FB39" i="3"/>
  <c r="FB112" i="3"/>
  <c r="FB104" i="3"/>
  <c r="FB98" i="3"/>
  <c r="EC38" i="2"/>
  <c r="ED4" i="3"/>
  <c r="DY58" i="3"/>
  <c r="DU101" i="3"/>
  <c r="DU106" i="3"/>
  <c r="EC39" i="2"/>
  <c r="ED5" i="3"/>
  <c r="DT107" i="3"/>
  <c r="DT114" i="3"/>
  <c r="DT115" i="3" s="1"/>
  <c r="DX81" i="3"/>
  <c r="DX137" i="18" s="1"/>
  <c r="DX70" i="3"/>
  <c r="DV70" i="3"/>
  <c r="DV81" i="3"/>
  <c r="DV137" i="18" s="1"/>
  <c r="EA48" i="2"/>
  <c r="EB29" i="3"/>
  <c r="EB27" i="3" s="1"/>
  <c r="DW82" i="3"/>
  <c r="DW100" i="3"/>
  <c r="DW167" i="18" s="1"/>
  <c r="DY66" i="3"/>
  <c r="DY111" i="18" s="1"/>
  <c r="DY104" i="3"/>
  <c r="DY60" i="3"/>
  <c r="DY43" i="3"/>
  <c r="DY39" i="3"/>
  <c r="DY112" i="3"/>
  <c r="DY98" i="3"/>
  <c r="DY79" i="3"/>
  <c r="DZ46" i="3"/>
  <c r="FA82" i="3"/>
  <c r="FA100" i="3"/>
  <c r="FB58" i="3"/>
  <c r="DZ43" i="3"/>
  <c r="DZ104" i="3"/>
  <c r="DZ39" i="3"/>
  <c r="DZ112" i="3"/>
  <c r="DZ98" i="3"/>
  <c r="DZ79" i="3"/>
  <c r="DU68" i="3"/>
  <c r="FA68" i="3" s="1"/>
  <c r="DU62" i="3"/>
  <c r="DW56" i="3"/>
  <c r="DV67" i="3"/>
  <c r="DV57" i="3"/>
  <c r="DV61" i="3"/>
  <c r="DZ58" i="2"/>
  <c r="EA50" i="3" s="1"/>
  <c r="FC50" i="3" s="1"/>
  <c r="DZ60" i="2"/>
  <c r="EA53" i="3" s="1"/>
  <c r="FC53" i="3" s="1"/>
  <c r="DZ57" i="2"/>
  <c r="EA49" i="3" s="1"/>
  <c r="FC49" i="3" s="1"/>
  <c r="DZ55" i="2"/>
  <c r="EA47" i="3" s="1"/>
  <c r="DZ92" i="2"/>
  <c r="DY54" i="2"/>
  <c r="DY69" i="2" s="1"/>
  <c r="DV64" i="2"/>
  <c r="EA42" i="2"/>
  <c r="EA46" i="2" s="1"/>
  <c r="EA61" i="2" s="1"/>
  <c r="EB54" i="3" s="1"/>
  <c r="EB43" i="2"/>
  <c r="EB37" i="2"/>
  <c r="EA47" i="2"/>
  <c r="EB44" i="2"/>
  <c r="FJ114" i="3"/>
  <c r="FJ115" i="3" s="1"/>
  <c r="FJ107" i="3"/>
  <c r="EZ114" i="3"/>
  <c r="EZ115" i="3" s="1"/>
  <c r="EZ107" i="3"/>
  <c r="DX63" i="2" l="1"/>
  <c r="FC33" i="3"/>
  <c r="FA137" i="18"/>
  <c r="EB55" i="18"/>
  <c r="FA102" i="18"/>
  <c r="EC47" i="18"/>
  <c r="EC35" i="18"/>
  <c r="DY64" i="3"/>
  <c r="DY102" i="18"/>
  <c r="DZ58" i="3"/>
  <c r="DZ84" i="18"/>
  <c r="EC37" i="2"/>
  <c r="DZ66" i="3"/>
  <c r="DZ111" i="18" s="1"/>
  <c r="ED3" i="3"/>
  <c r="ED24" i="3"/>
  <c r="FD4" i="3"/>
  <c r="FA106" i="3"/>
  <c r="FA101" i="3"/>
  <c r="DY81" i="3"/>
  <c r="DY137" i="18" s="1"/>
  <c r="DY70" i="3"/>
  <c r="ED25" i="3"/>
  <c r="FD5" i="3"/>
  <c r="DX82" i="3"/>
  <c r="DX100" i="3"/>
  <c r="DX167" i="18" s="1"/>
  <c r="DU107" i="3"/>
  <c r="DU114" i="3"/>
  <c r="DU115" i="3" s="1"/>
  <c r="FB70" i="3"/>
  <c r="FB81" i="3"/>
  <c r="EA30" i="3"/>
  <c r="EA32" i="3"/>
  <c r="EA64" i="18" s="1"/>
  <c r="FB64" i="18" s="1"/>
  <c r="FC27" i="3"/>
  <c r="EB30" i="3"/>
  <c r="EB32" i="3"/>
  <c r="EB64" i="18" s="1"/>
  <c r="EC44" i="2"/>
  <c r="EC29" i="3"/>
  <c r="DW106" i="3"/>
  <c r="DW101" i="3"/>
  <c r="EA46" i="3"/>
  <c r="EA84" i="18" s="1"/>
  <c r="FC47" i="3"/>
  <c r="EB34" i="3"/>
  <c r="EB47" i="2"/>
  <c r="EC28" i="3"/>
  <c r="DZ60" i="3"/>
  <c r="DV100" i="3"/>
  <c r="DV167" i="18" s="1"/>
  <c r="DV82" i="3"/>
  <c r="DV68" i="3"/>
  <c r="DV62" i="3"/>
  <c r="DX56" i="3"/>
  <c r="FB56" i="3" s="1"/>
  <c r="DW61" i="3"/>
  <c r="DW67" i="3"/>
  <c r="DW57" i="3"/>
  <c r="EA58" i="2"/>
  <c r="EB50" i="3" s="1"/>
  <c r="EA60" i="2"/>
  <c r="EB53" i="3" s="1"/>
  <c r="DZ54" i="2"/>
  <c r="DZ69" i="2" s="1"/>
  <c r="EA55" i="2"/>
  <c r="EB47" i="3" s="1"/>
  <c r="EA57" i="2"/>
  <c r="EB49" i="3" s="1"/>
  <c r="EA92" i="2"/>
  <c r="DW64" i="2"/>
  <c r="EB48" i="2"/>
  <c r="EC43" i="2"/>
  <c r="ED28" i="3" s="1"/>
  <c r="EB42" i="2"/>
  <c r="EB46" i="2" s="1"/>
  <c r="EB61" i="2" s="1"/>
  <c r="EC54" i="3" s="1"/>
  <c r="DY63" i="2" l="1"/>
  <c r="DZ63" i="2" s="1"/>
  <c r="DZ81" i="3"/>
  <c r="DZ137" i="18" s="1"/>
  <c r="ED33" i="3"/>
  <c r="EC27" i="3"/>
  <c r="EC33" i="3"/>
  <c r="FD28" i="3"/>
  <c r="FK28" i="3" s="1"/>
  <c r="EC55" i="18"/>
  <c r="EC34" i="3"/>
  <c r="FB84" i="18"/>
  <c r="FA167" i="18"/>
  <c r="FB72" i="18"/>
  <c r="DZ70" i="3"/>
  <c r="ED23" i="3"/>
  <c r="ED4" i="18"/>
  <c r="FC4" i="18" s="1"/>
  <c r="FJ4" i="18" s="1"/>
  <c r="EB72" i="18"/>
  <c r="DZ64" i="3"/>
  <c r="DZ102" i="18"/>
  <c r="EA72" i="18"/>
  <c r="EA58" i="3"/>
  <c r="FB61" i="3"/>
  <c r="FB82" i="3"/>
  <c r="FB100" i="3"/>
  <c r="FC46" i="3"/>
  <c r="DY100" i="3"/>
  <c r="DY167" i="18" s="1"/>
  <c r="DY82" i="3"/>
  <c r="DW114" i="3"/>
  <c r="DW115" i="3" s="1"/>
  <c r="DW107" i="3"/>
  <c r="EB46" i="3"/>
  <c r="DX106" i="3"/>
  <c r="DX101" i="3"/>
  <c r="EB43" i="3"/>
  <c r="EB39" i="3"/>
  <c r="EB104" i="3"/>
  <c r="EB112" i="3"/>
  <c r="EB98" i="3"/>
  <c r="EB79" i="3"/>
  <c r="DV101" i="3"/>
  <c r="DV106" i="3"/>
  <c r="FA107" i="3"/>
  <c r="FA114" i="3"/>
  <c r="FA115" i="3" s="1"/>
  <c r="EC48" i="2"/>
  <c r="ED29" i="3"/>
  <c r="ED27" i="3" s="1"/>
  <c r="FD3" i="3"/>
  <c r="FD23" i="3" s="1"/>
  <c r="FD24" i="3"/>
  <c r="FK4" i="3"/>
  <c r="FC30" i="3"/>
  <c r="FC32" i="3"/>
  <c r="EA66" i="3"/>
  <c r="EA111" i="18" s="1"/>
  <c r="FB111" i="18" s="1"/>
  <c r="EA104" i="3"/>
  <c r="EA60" i="3"/>
  <c r="EA43" i="3"/>
  <c r="EA39" i="3"/>
  <c r="EA112" i="3"/>
  <c r="EA98" i="3"/>
  <c r="EA79" i="3"/>
  <c r="FD25" i="3"/>
  <c r="FK5" i="3"/>
  <c r="FK25" i="3" s="1"/>
  <c r="DW62" i="3"/>
  <c r="DW68" i="3"/>
  <c r="DY56" i="3"/>
  <c r="DX67" i="3"/>
  <c r="FB67" i="3" s="1"/>
  <c r="DX57" i="3"/>
  <c r="FB57" i="3" s="1"/>
  <c r="DX61" i="3"/>
  <c r="EB58" i="2"/>
  <c r="EC50" i="3" s="1"/>
  <c r="EB60" i="2"/>
  <c r="EC53" i="3" s="1"/>
  <c r="EB57" i="2"/>
  <c r="EC49" i="3" s="1"/>
  <c r="EB55" i="2"/>
  <c r="EC47" i="3" s="1"/>
  <c r="EB92" i="2"/>
  <c r="EA54" i="2"/>
  <c r="EA69" i="2" s="1"/>
  <c r="DX64" i="2"/>
  <c r="EC42" i="2"/>
  <c r="EC46" i="2" s="1"/>
  <c r="EC61" i="2" s="1"/>
  <c r="ED54" i="3" s="1"/>
  <c r="FD54" i="3" s="1"/>
  <c r="FK54" i="3" s="1"/>
  <c r="EC47" i="2"/>
  <c r="DZ100" i="3" l="1"/>
  <c r="DZ167" i="18" s="1"/>
  <c r="EA63" i="2"/>
  <c r="DZ82" i="3"/>
  <c r="FD33" i="3"/>
  <c r="FD29" i="3"/>
  <c r="FK29" i="3" s="1"/>
  <c r="FK34" i="3" s="1"/>
  <c r="EA64" i="3"/>
  <c r="EA102" i="18"/>
  <c r="FB102" i="18" s="1"/>
  <c r="ED35" i="18"/>
  <c r="FC35" i="18" s="1"/>
  <c r="FJ35" i="18" s="1"/>
  <c r="H6" i="24" s="1"/>
  <c r="ED47" i="18"/>
  <c r="FC47" i="18" s="1"/>
  <c r="FJ47" i="18" s="1"/>
  <c r="EB58" i="3"/>
  <c r="EB84" i="18"/>
  <c r="FD27" i="3"/>
  <c r="ED34" i="3"/>
  <c r="EC46" i="3"/>
  <c r="EC84" i="18" s="1"/>
  <c r="FB62" i="3"/>
  <c r="DX114" i="3"/>
  <c r="DX115" i="3" s="1"/>
  <c r="DX107" i="3"/>
  <c r="DY101" i="3"/>
  <c r="DY106" i="3"/>
  <c r="DV107" i="3"/>
  <c r="DV114" i="3"/>
  <c r="DV115" i="3" s="1"/>
  <c r="FB106" i="3"/>
  <c r="FB101" i="3"/>
  <c r="EC30" i="3"/>
  <c r="EC32" i="3"/>
  <c r="EC64" i="18" s="1"/>
  <c r="FC43" i="3"/>
  <c r="FC60" i="3"/>
  <c r="FC64" i="3" s="1"/>
  <c r="FC66" i="3"/>
  <c r="FC39" i="3"/>
  <c r="FC112" i="3"/>
  <c r="FC104" i="3"/>
  <c r="FC98" i="3"/>
  <c r="FK24" i="3"/>
  <c r="FK33" i="3" s="1"/>
  <c r="FK3" i="3"/>
  <c r="FK23" i="3" s="1"/>
  <c r="FC58" i="3"/>
  <c r="EA81" i="3"/>
  <c r="EA137" i="18" s="1"/>
  <c r="FB137" i="18" s="1"/>
  <c r="EA70" i="3"/>
  <c r="EB60" i="3"/>
  <c r="EB66" i="3"/>
  <c r="EB111" i="18" s="1"/>
  <c r="DZ56" i="3"/>
  <c r="DY61" i="3"/>
  <c r="DY67" i="3"/>
  <c r="DY57" i="3"/>
  <c r="DX68" i="3"/>
  <c r="FB68" i="3" s="1"/>
  <c r="DX62" i="3"/>
  <c r="EB54" i="2"/>
  <c r="EB69" i="2" s="1"/>
  <c r="EC58" i="2"/>
  <c r="ED50" i="3" s="1"/>
  <c r="FD50" i="3" s="1"/>
  <c r="FK50" i="3" s="1"/>
  <c r="EC60" i="2"/>
  <c r="ED53" i="3" s="1"/>
  <c r="FD53" i="3" s="1"/>
  <c r="FK53" i="3" s="1"/>
  <c r="EC55" i="2"/>
  <c r="ED47" i="3" s="1"/>
  <c r="EC57" i="2"/>
  <c r="ED49" i="3" s="1"/>
  <c r="FD49" i="3" s="1"/>
  <c r="FK49" i="3" s="1"/>
  <c r="EC92" i="2"/>
  <c r="DY64" i="2"/>
  <c r="DZ106" i="3" l="1"/>
  <c r="DZ101" i="3"/>
  <c r="EB63" i="2"/>
  <c r="FD34" i="3"/>
  <c r="ED32" i="3"/>
  <c r="ED64" i="18" s="1"/>
  <c r="ED72" i="18" s="1"/>
  <c r="EB64" i="3"/>
  <c r="EB102" i="18"/>
  <c r="EC72" i="18"/>
  <c r="ED30" i="3"/>
  <c r="ED55" i="18"/>
  <c r="FC55" i="18" s="1"/>
  <c r="FJ55" i="18" s="1"/>
  <c r="ED46" i="3"/>
  <c r="FD47" i="3"/>
  <c r="FD46" i="3" s="1"/>
  <c r="EC66" i="3"/>
  <c r="EC111" i="18" s="1"/>
  <c r="EC39" i="3"/>
  <c r="EC104" i="3"/>
  <c r="EC43" i="3"/>
  <c r="EC60" i="3"/>
  <c r="EC112" i="3"/>
  <c r="EC98" i="3"/>
  <c r="EC79" i="3"/>
  <c r="FD30" i="3"/>
  <c r="FK27" i="3"/>
  <c r="FK30" i="3" s="1"/>
  <c r="EB81" i="3"/>
  <c r="EB137" i="18" s="1"/>
  <c r="EB70" i="3"/>
  <c r="EC58" i="3"/>
  <c r="FD32" i="3"/>
  <c r="DY114" i="3"/>
  <c r="DY115" i="3" s="1"/>
  <c r="DY107" i="3"/>
  <c r="FB107" i="3"/>
  <c r="FB114" i="3"/>
  <c r="FB115" i="3" s="1"/>
  <c r="FC70" i="3"/>
  <c r="FC81" i="3"/>
  <c r="EA100" i="3"/>
  <c r="EA167" i="18" s="1"/>
  <c r="FB167" i="18" s="1"/>
  <c r="EA82" i="3"/>
  <c r="DY62" i="3"/>
  <c r="DY68" i="3"/>
  <c r="EA56" i="3"/>
  <c r="FC56" i="3" s="1"/>
  <c r="DZ57" i="3"/>
  <c r="DZ61" i="3"/>
  <c r="DZ67" i="3"/>
  <c r="EC54" i="2"/>
  <c r="EC69" i="2" s="1"/>
  <c r="DZ64" i="2"/>
  <c r="DZ114" i="3" l="1"/>
  <c r="DZ115" i="3" s="1"/>
  <c r="DZ107" i="3"/>
  <c r="ED43" i="3"/>
  <c r="ED104" i="3"/>
  <c r="ED39" i="3"/>
  <c r="ED112" i="3"/>
  <c r="EC63" i="2"/>
  <c r="ED66" i="3"/>
  <c r="ED111" i="18" s="1"/>
  <c r="ED79" i="3"/>
  <c r="ED98" i="3"/>
  <c r="EG43" i="3"/>
  <c r="FC64" i="18"/>
  <c r="ED60" i="3"/>
  <c r="ED102" i="18" s="1"/>
  <c r="FK47" i="3"/>
  <c r="FK46" i="3" s="1"/>
  <c r="ED58" i="3"/>
  <c r="ED84" i="18"/>
  <c r="FC84" i="18" s="1"/>
  <c r="FJ84" i="18" s="1"/>
  <c r="EC64" i="3"/>
  <c r="EC102" i="18"/>
  <c r="FC61" i="3"/>
  <c r="EA101" i="3"/>
  <c r="EA106" i="3"/>
  <c r="FK32" i="3"/>
  <c r="FC100" i="3"/>
  <c r="FC82" i="3"/>
  <c r="FD43" i="3"/>
  <c r="FD60" i="3"/>
  <c r="FD64" i="3" s="1"/>
  <c r="FD39" i="3"/>
  <c r="FD66" i="3"/>
  <c r="FD112" i="3"/>
  <c r="FD104" i="3"/>
  <c r="FD98" i="3"/>
  <c r="EC81" i="3"/>
  <c r="EC137" i="18" s="1"/>
  <c r="EC70" i="3"/>
  <c r="FD58" i="3"/>
  <c r="EB100" i="3"/>
  <c r="EB167" i="18" s="1"/>
  <c r="EB82" i="3"/>
  <c r="DZ68" i="3"/>
  <c r="DZ62" i="3"/>
  <c r="EB56" i="3"/>
  <c r="EA67" i="3"/>
  <c r="FC67" i="3" s="1"/>
  <c r="EA61" i="3"/>
  <c r="EA57" i="3"/>
  <c r="FC57" i="3" s="1"/>
  <c r="EA64" i="2"/>
  <c r="FC111" i="18" l="1"/>
  <c r="FJ111" i="18" s="1"/>
  <c r="H35" i="24" s="1"/>
  <c r="ED64" i="3"/>
  <c r="ED81" i="3"/>
  <c r="ED137" i="18" s="1"/>
  <c r="ED70" i="3"/>
  <c r="FC102" i="18"/>
  <c r="FJ102" i="18" s="1"/>
  <c r="H26" i="24" s="1"/>
  <c r="FK58" i="3"/>
  <c r="FC72" i="18"/>
  <c r="FJ64" i="18"/>
  <c r="FC62" i="3"/>
  <c r="EB101" i="3"/>
  <c r="EB106" i="3"/>
  <c r="FC106" i="3"/>
  <c r="FC101" i="3"/>
  <c r="FK104" i="3"/>
  <c r="FK66" i="3"/>
  <c r="FK39" i="3"/>
  <c r="FK60" i="3"/>
  <c r="FK64" i="3" s="1"/>
  <c r="FK43" i="3"/>
  <c r="FK112" i="3"/>
  <c r="EC82" i="3"/>
  <c r="EC100" i="3"/>
  <c r="EC167" i="18" s="1"/>
  <c r="EA107" i="3"/>
  <c r="EA114" i="3"/>
  <c r="EA115" i="3" s="1"/>
  <c r="FD81" i="3"/>
  <c r="FD70" i="3"/>
  <c r="EA68" i="3"/>
  <c r="FC68" i="3" s="1"/>
  <c r="EA62" i="3"/>
  <c r="EC56" i="3"/>
  <c r="EB67" i="3"/>
  <c r="EB57" i="3"/>
  <c r="EB61" i="3"/>
  <c r="EC64" i="2"/>
  <c r="EB64" i="2"/>
  <c r="FC137" i="18" l="1"/>
  <c r="FJ137" i="18" s="1"/>
  <c r="H44" i="24" s="1"/>
  <c r="ED100" i="3"/>
  <c r="ED167" i="18" s="1"/>
  <c r="ED82" i="3"/>
  <c r="H13" i="24"/>
  <c r="FJ72" i="18"/>
  <c r="FD82" i="3"/>
  <c r="FD100" i="3"/>
  <c r="FC107" i="3"/>
  <c r="FC114" i="3"/>
  <c r="FC115" i="3" s="1"/>
  <c r="EB114" i="3"/>
  <c r="EB115" i="3" s="1"/>
  <c r="EB107" i="3"/>
  <c r="FK81" i="3"/>
  <c r="FK70" i="3"/>
  <c r="EC106" i="3"/>
  <c r="EC101" i="3"/>
  <c r="EB62" i="3"/>
  <c r="EB68" i="3"/>
  <c r="ED56" i="3"/>
  <c r="FD56" i="3" s="1"/>
  <c r="EC61" i="3"/>
  <c r="EC67" i="3"/>
  <c r="EC57" i="3"/>
  <c r="FC167" i="18" l="1"/>
  <c r="FJ167" i="18" s="1"/>
  <c r="H52" i="24" s="1"/>
  <c r="ED106" i="3"/>
  <c r="ED101" i="3"/>
  <c r="EC114" i="3"/>
  <c r="EC115" i="3" s="1"/>
  <c r="EC107" i="3"/>
  <c r="FK82" i="3"/>
  <c r="FK100" i="3"/>
  <c r="FD61" i="3"/>
  <c r="FK56" i="3"/>
  <c r="FK61" i="3" s="1"/>
  <c r="FD101" i="3"/>
  <c r="FD106" i="3"/>
  <c r="EC62" i="3"/>
  <c r="EC68" i="3"/>
  <c r="ED57" i="3"/>
  <c r="FD57" i="3" s="1"/>
  <c r="ED67" i="3"/>
  <c r="FD67" i="3" s="1"/>
  <c r="FK67" i="3" s="1"/>
  <c r="ED61" i="3"/>
  <c r="ED114" i="3" l="1"/>
  <c r="ED115" i="3" s="1"/>
  <c r="ED107" i="3"/>
  <c r="FD62" i="3"/>
  <c r="FK57" i="3"/>
  <c r="FK62" i="3" s="1"/>
  <c r="FK106" i="3"/>
  <c r="FK101" i="3"/>
  <c r="FD107" i="3"/>
  <c r="FD114" i="3"/>
  <c r="FD115" i="3" s="1"/>
  <c r="ED68" i="3"/>
  <c r="FD68" i="3" s="1"/>
  <c r="FK68" i="3" s="1"/>
  <c r="ED62" i="3"/>
  <c r="DX151" i="2"/>
  <c r="DP4" i="7" s="1"/>
  <c r="DP151" i="2"/>
  <c r="DP150" i="2" s="1"/>
  <c r="DN151" i="2"/>
  <c r="DN150" i="2" s="1"/>
  <c r="EB151" i="2"/>
  <c r="DT4" i="7" s="1"/>
  <c r="DV151" i="2"/>
  <c r="DN4" i="7" s="1"/>
  <c r="DF151" i="2"/>
  <c r="DR151" i="2"/>
  <c r="DJ4" i="7" s="1"/>
  <c r="DY151" i="2"/>
  <c r="DQ4" i="7" s="1"/>
  <c r="DS151" i="2"/>
  <c r="DK4" i="7" s="1"/>
  <c r="DJ151" i="2"/>
  <c r="DJ150" i="2" s="1"/>
  <c r="DQ151" i="2"/>
  <c r="DT151" i="2"/>
  <c r="DL4" i="7" s="1"/>
  <c r="DU151" i="2"/>
  <c r="DM4" i="7" s="1"/>
  <c r="DO151" i="2"/>
  <c r="DO150" i="2" s="1"/>
  <c r="CY151" i="2"/>
  <c r="CY150" i="2" s="1"/>
  <c r="DZ151" i="2"/>
  <c r="DR4" i="7" s="1"/>
  <c r="DH151" i="2"/>
  <c r="CZ4" i="7" s="1"/>
  <c r="CZ3" i="7" s="1"/>
  <c r="DI5" i="15" s="1"/>
  <c r="DL151" i="2"/>
  <c r="DD4" i="7" s="1"/>
  <c r="CV151" i="2"/>
  <c r="CV150" i="2" s="1"/>
  <c r="DG151" i="2"/>
  <c r="CY4" i="7" s="1"/>
  <c r="CA9" i="11" s="1"/>
  <c r="CA3" i="11" s="1"/>
  <c r="CZ151" i="2"/>
  <c r="CZ150" i="2" s="1"/>
  <c r="DC151" i="2"/>
  <c r="DC150" i="2" s="1"/>
  <c r="DD151" i="2"/>
  <c r="CV4" i="7" s="1"/>
  <c r="DE151" i="2"/>
  <c r="CW4" i="7" s="1"/>
  <c r="BY5" i="12" s="1"/>
  <c r="BY3" i="12" s="1"/>
  <c r="DA151" i="2"/>
  <c r="CS4" i="7" s="1"/>
  <c r="BU9" i="11" s="1"/>
  <c r="BU3" i="11" s="1"/>
  <c r="CW151" i="2"/>
  <c r="CO4" i="7" s="1"/>
  <c r="EC151" i="2"/>
  <c r="DU4" i="7" s="1"/>
  <c r="DW151" i="2"/>
  <c r="DO4" i="7" s="1"/>
  <c r="CX151" i="2"/>
  <c r="CP4" i="7" s="1"/>
  <c r="BR9" i="11" s="1"/>
  <c r="DB151" i="2"/>
  <c r="CT4" i="7" s="1"/>
  <c r="CT3" i="7" s="1"/>
  <c r="DC5" i="15" s="1"/>
  <c r="DK151" i="2"/>
  <c r="DK150" i="2" s="1"/>
  <c r="DM151" i="2"/>
  <c r="DE4" i="7" s="1"/>
  <c r="DI151" i="2"/>
  <c r="DI150" i="2" s="1"/>
  <c r="EA151" i="2"/>
  <c r="DS4" i="7" s="1"/>
  <c r="CT151" i="2"/>
  <c r="CT150" i="2" s="1"/>
  <c r="CU151" i="2"/>
  <c r="CU150" i="2" s="1"/>
  <c r="CT239" i="2" l="1"/>
  <c r="CT155" i="2"/>
  <c r="CO5" i="12"/>
  <c r="CO9" i="11"/>
  <c r="CO4" i="11"/>
  <c r="CU5" i="12"/>
  <c r="CU9" i="11"/>
  <c r="CU4" i="11"/>
  <c r="CR5" i="12"/>
  <c r="CR9" i="11"/>
  <c r="CR4" i="11"/>
  <c r="DK3" i="7"/>
  <c r="DT5" i="15" s="1"/>
  <c r="CM5" i="12"/>
  <c r="CM9" i="11"/>
  <c r="CM4" i="11"/>
  <c r="DQ3" i="7"/>
  <c r="DZ5" i="15" s="1"/>
  <c r="CS9" i="11"/>
  <c r="CS5" i="12"/>
  <c r="CS4" i="11"/>
  <c r="CL9" i="11"/>
  <c r="CL5" i="12"/>
  <c r="CL4" i="11"/>
  <c r="DU3" i="7"/>
  <c r="ED5" i="15" s="1"/>
  <c r="CW5" i="12"/>
  <c r="CW9" i="11"/>
  <c r="CW4" i="11"/>
  <c r="DR3" i="7"/>
  <c r="EA5" i="15" s="1"/>
  <c r="CT9" i="11"/>
  <c r="CT5" i="12"/>
  <c r="CT4" i="11"/>
  <c r="DL3" i="7"/>
  <c r="DU5" i="15" s="1"/>
  <c r="CN9" i="11"/>
  <c r="CN5" i="12"/>
  <c r="CN4" i="11"/>
  <c r="DT3" i="7"/>
  <c r="EC5" i="15" s="1"/>
  <c r="CV9" i="11"/>
  <c r="CV5" i="12"/>
  <c r="CV4" i="11"/>
  <c r="DO3" i="7"/>
  <c r="DX5" i="15" s="1"/>
  <c r="CQ5" i="12"/>
  <c r="CQ9" i="11"/>
  <c r="CQ4" i="11"/>
  <c r="DN3" i="7"/>
  <c r="DW5" i="15" s="1"/>
  <c r="CP5" i="12"/>
  <c r="CP9" i="11"/>
  <c r="CP4" i="11"/>
  <c r="DM3" i="7"/>
  <c r="ER4" i="7"/>
  <c r="DP3" i="7"/>
  <c r="ES4" i="7"/>
  <c r="CM4" i="7"/>
  <c r="BO9" i="11" s="1"/>
  <c r="DS3" i="7"/>
  <c r="ET4" i="7"/>
  <c r="DJ3" i="7"/>
  <c r="EQ4" i="7"/>
  <c r="DZ150" i="2"/>
  <c r="EB150" i="2"/>
  <c r="DX150" i="2"/>
  <c r="DU150" i="2"/>
  <c r="DT150" i="2"/>
  <c r="DR150" i="2"/>
  <c r="FK107" i="3"/>
  <c r="FK114" i="3"/>
  <c r="FK115" i="3" s="1"/>
  <c r="EA150" i="2"/>
  <c r="DY150" i="2"/>
  <c r="DS150" i="2"/>
  <c r="DW150" i="2"/>
  <c r="EC150" i="2"/>
  <c r="DV150" i="2"/>
  <c r="CX150" i="2"/>
  <c r="DF4" i="7"/>
  <c r="CH4" i="11" s="1"/>
  <c r="CN4" i="7"/>
  <c r="BP5" i="12" s="1"/>
  <c r="BP3" i="12" s="1"/>
  <c r="CB9" i="11"/>
  <c r="CB3" i="11" s="1"/>
  <c r="CU4" i="7"/>
  <c r="BW5" i="12" s="1"/>
  <c r="CR4" i="7"/>
  <c r="BT9" i="11" s="1"/>
  <c r="BT3" i="11" s="1"/>
  <c r="BV5" i="12"/>
  <c r="BV3" i="12" s="1"/>
  <c r="DG4" i="7"/>
  <c r="CI4" i="11" s="1"/>
  <c r="CV3" i="7"/>
  <c r="DE5" i="15" s="1"/>
  <c r="BX4" i="11"/>
  <c r="BX5" i="12"/>
  <c r="BX9" i="11"/>
  <c r="BR3" i="11"/>
  <c r="DA4" i="7"/>
  <c r="DE3" i="7"/>
  <c r="DN5" i="15" s="1"/>
  <c r="CG9" i="11"/>
  <c r="CG5" i="12"/>
  <c r="CG4" i="11"/>
  <c r="DE150" i="2"/>
  <c r="DC3" i="15"/>
  <c r="DC5" i="18" s="1"/>
  <c r="CW3" i="7"/>
  <c r="DF5" i="15" s="1"/>
  <c r="BY9" i="11"/>
  <c r="BY4" i="11"/>
  <c r="CS3" i="7"/>
  <c r="DB5" i="15" s="1"/>
  <c r="BU5" i="12"/>
  <c r="BU4" i="11"/>
  <c r="CW150" i="2"/>
  <c r="DC4" i="7"/>
  <c r="CT168" i="2"/>
  <c r="CT197" i="2" s="1"/>
  <c r="CL4" i="7"/>
  <c r="DB150" i="2"/>
  <c r="DA150" i="2"/>
  <c r="DD150" i="2"/>
  <c r="BV4" i="11"/>
  <c r="CP3" i="7"/>
  <c r="CY5" i="15" s="1"/>
  <c r="BR4" i="11"/>
  <c r="BR5" i="12"/>
  <c r="DD3" i="7"/>
  <c r="CF9" i="11"/>
  <c r="CF5" i="12"/>
  <c r="BQ9" i="11"/>
  <c r="BQ5" i="12"/>
  <c r="BQ4" i="11"/>
  <c r="CO3" i="7"/>
  <c r="DL150" i="2"/>
  <c r="CF4" i="11"/>
  <c r="DM150" i="2"/>
  <c r="BV9" i="11"/>
  <c r="DF150" i="2"/>
  <c r="DG150" i="2"/>
  <c r="DI3" i="15"/>
  <c r="DI5" i="18" s="1"/>
  <c r="DH4" i="7"/>
  <c r="DI4" i="7"/>
  <c r="DQ150" i="2"/>
  <c r="DB4" i="7"/>
  <c r="CY3" i="7"/>
  <c r="DH5" i="15" s="1"/>
  <c r="CA5" i="12"/>
  <c r="CA4" i="11"/>
  <c r="CQ4" i="7"/>
  <c r="CB5" i="12"/>
  <c r="CB4" i="11"/>
  <c r="DH150" i="2"/>
  <c r="CX4" i="7"/>
  <c r="CT229" i="2" l="1"/>
  <c r="CL84" i="7"/>
  <c r="CU239" i="2"/>
  <c r="CT156" i="2"/>
  <c r="DT5" i="12"/>
  <c r="DT9" i="11"/>
  <c r="DV5" i="12"/>
  <c r="DV9" i="11"/>
  <c r="DV4" i="11"/>
  <c r="DU5" i="12"/>
  <c r="DU9" i="11"/>
  <c r="DU4" i="11"/>
  <c r="DS5" i="12"/>
  <c r="DS4" i="11"/>
  <c r="DT4" i="11"/>
  <c r="CL3" i="11"/>
  <c r="DS9" i="11"/>
  <c r="EC9" i="11" s="1"/>
  <c r="CL73" i="7"/>
  <c r="CU58" i="15" s="1"/>
  <c r="DT3" i="15"/>
  <c r="DT5" i="18" s="1"/>
  <c r="EC3" i="15"/>
  <c r="EC5" i="18" s="1"/>
  <c r="DW3" i="15"/>
  <c r="DW5" i="18" s="1"/>
  <c r="DU3" i="15"/>
  <c r="DU5" i="18" s="1"/>
  <c r="DZ3" i="15"/>
  <c r="DZ5" i="18" s="1"/>
  <c r="DX3" i="15"/>
  <c r="DX5" i="18" s="1"/>
  <c r="EA3" i="15"/>
  <c r="EA5" i="18" s="1"/>
  <c r="ED3" i="15"/>
  <c r="ED5" i="18" s="1"/>
  <c r="BO4" i="11"/>
  <c r="CR3" i="11"/>
  <c r="CW3" i="11"/>
  <c r="BO5" i="12"/>
  <c r="BO3" i="12" s="1"/>
  <c r="CP3" i="11"/>
  <c r="CN3" i="12"/>
  <c r="CL3" i="12"/>
  <c r="CR3" i="12"/>
  <c r="CW3" i="12"/>
  <c r="CM3" i="7"/>
  <c r="CV5" i="15" s="1"/>
  <c r="CV3" i="15" s="1"/>
  <c r="CV5" i="18" s="1"/>
  <c r="CP3" i="12"/>
  <c r="CN3" i="11"/>
  <c r="ER3" i="7"/>
  <c r="DV5" i="15"/>
  <c r="FA5" i="15" s="1"/>
  <c r="CU3" i="11"/>
  <c r="CM3" i="11"/>
  <c r="CV3" i="12"/>
  <c r="CH5" i="12"/>
  <c r="DQ5" i="12" s="1"/>
  <c r="EQ3" i="7"/>
  <c r="DS5" i="15"/>
  <c r="EZ5" i="15" s="1"/>
  <c r="CS3" i="12"/>
  <c r="CU3" i="12"/>
  <c r="DV3" i="12" s="1"/>
  <c r="CQ3" i="11"/>
  <c r="CT3" i="12"/>
  <c r="CS3" i="11"/>
  <c r="ES3" i="7"/>
  <c r="DY5" i="15"/>
  <c r="FB5" i="15" s="1"/>
  <c r="CM3" i="12"/>
  <c r="CV3" i="11"/>
  <c r="ET3" i="7"/>
  <c r="EB5" i="15"/>
  <c r="FC5" i="15" s="1"/>
  <c r="CQ3" i="12"/>
  <c r="CT3" i="11"/>
  <c r="CO3" i="11"/>
  <c r="CO3" i="12"/>
  <c r="FA4" i="7"/>
  <c r="BW4" i="11"/>
  <c r="DN4" i="11" s="1"/>
  <c r="DN5" i="12"/>
  <c r="CR3" i="7"/>
  <c r="DA5" i="15" s="1"/>
  <c r="BT4" i="11"/>
  <c r="DM4" i="11" s="1"/>
  <c r="EK4" i="7"/>
  <c r="CH9" i="11"/>
  <c r="CH3" i="11" s="1"/>
  <c r="DF3" i="7"/>
  <c r="DO5" i="15" s="1"/>
  <c r="DO3" i="15" s="1"/>
  <c r="DO5" i="18" s="1"/>
  <c r="EO4" i="7"/>
  <c r="BT5" i="12"/>
  <c r="BT3" i="12" s="1"/>
  <c r="BW9" i="11"/>
  <c r="BW3" i="11" s="1"/>
  <c r="CU3" i="7"/>
  <c r="DD5" i="15" s="1"/>
  <c r="DM9" i="11"/>
  <c r="EL4" i="7"/>
  <c r="BP4" i="11"/>
  <c r="BP9" i="11"/>
  <c r="BP3" i="11" s="1"/>
  <c r="CN3" i="7"/>
  <c r="CW5" i="15" s="1"/>
  <c r="CW3" i="15" s="1"/>
  <c r="CW5" i="18" s="1"/>
  <c r="BW3" i="12"/>
  <c r="CI5" i="12"/>
  <c r="CI3" i="12" s="1"/>
  <c r="CI9" i="11"/>
  <c r="CI3" i="11" s="1"/>
  <c r="DG3" i="7"/>
  <c r="DP5" i="15" s="1"/>
  <c r="CT212" i="2"/>
  <c r="CT196" i="2"/>
  <c r="CL36" i="7"/>
  <c r="BQ3" i="11"/>
  <c r="DB3" i="15"/>
  <c r="DB5" i="18" s="1"/>
  <c r="EN4" i="7"/>
  <c r="CC5" i="12"/>
  <c r="CC4" i="11"/>
  <c r="DA3" i="7"/>
  <c r="CC9" i="11"/>
  <c r="DH3" i="15"/>
  <c r="DH5" i="18" s="1"/>
  <c r="BX3" i="11"/>
  <c r="BX3" i="12"/>
  <c r="CF3" i="12"/>
  <c r="CF3" i="11"/>
  <c r="DF3" i="15"/>
  <c r="DF5" i="18" s="1"/>
  <c r="BU3" i="12"/>
  <c r="CA3" i="12"/>
  <c r="DB3" i="7"/>
  <c r="DK5" i="15" s="1"/>
  <c r="CD9" i="11"/>
  <c r="CD4" i="11"/>
  <c r="CD5" i="12"/>
  <c r="BO3" i="11"/>
  <c r="DI3" i="7"/>
  <c r="DR5" i="15" s="1"/>
  <c r="CK4" i="11"/>
  <c r="CK5" i="12"/>
  <c r="CK9" i="11"/>
  <c r="DQ4" i="11"/>
  <c r="CG3" i="12"/>
  <c r="DE3" i="15"/>
  <c r="DE5" i="18" s="1"/>
  <c r="BQ3" i="12"/>
  <c r="BY3" i="11"/>
  <c r="CL7" i="7"/>
  <c r="CU155" i="2"/>
  <c r="CT243" i="2"/>
  <c r="CT172" i="2"/>
  <c r="DM5" i="15"/>
  <c r="BN5" i="12"/>
  <c r="BN4" i="11"/>
  <c r="EI4" i="7"/>
  <c r="BN9" i="11"/>
  <c r="CL3" i="7"/>
  <c r="CG3" i="11"/>
  <c r="DN3" i="15"/>
  <c r="DN5" i="18" s="1"/>
  <c r="BN72" i="11"/>
  <c r="BN50" i="12"/>
  <c r="EM4" i="7"/>
  <c r="BZ4" i="11"/>
  <c r="BZ9" i="11"/>
  <c r="CX3" i="7"/>
  <c r="BZ5" i="12"/>
  <c r="DH3" i="7"/>
  <c r="DQ5" i="15" s="1"/>
  <c r="CJ5" i="12"/>
  <c r="CJ4" i="11"/>
  <c r="CJ9" i="11"/>
  <c r="BR3" i="12"/>
  <c r="CT167" i="2"/>
  <c r="CU168" i="2"/>
  <c r="CL16" i="7"/>
  <c r="EP4" i="7"/>
  <c r="CX5" i="15"/>
  <c r="DC3" i="7"/>
  <c r="DL5" i="15" s="1"/>
  <c r="CE9" i="11"/>
  <c r="CE5" i="12"/>
  <c r="CE4" i="11"/>
  <c r="CB3" i="12"/>
  <c r="BV3" i="11"/>
  <c r="DM3" i="11" s="1"/>
  <c r="CY3" i="15"/>
  <c r="CY5" i="18" s="1"/>
  <c r="CQ3" i="7"/>
  <c r="CZ5" i="15" s="1"/>
  <c r="BS4" i="11"/>
  <c r="DL4" i="11" s="1"/>
  <c r="BS5" i="12"/>
  <c r="DL5" i="12" s="1"/>
  <c r="BS9" i="11"/>
  <c r="DL9" i="11" s="1"/>
  <c r="EJ4" i="7"/>
  <c r="CU229" i="2" l="1"/>
  <c r="CV239" i="2"/>
  <c r="CM84" i="7"/>
  <c r="CT154" i="2"/>
  <c r="CT242" i="2" s="1"/>
  <c r="CT201" i="2"/>
  <c r="CL8" i="7"/>
  <c r="EC5" i="12"/>
  <c r="DS3" i="11"/>
  <c r="DT3" i="11"/>
  <c r="DT3" i="12"/>
  <c r="DU3" i="11"/>
  <c r="DU3" i="12"/>
  <c r="DV3" i="11"/>
  <c r="DS3" i="12"/>
  <c r="EC4" i="11"/>
  <c r="FJ5" i="15"/>
  <c r="CV57" i="15"/>
  <c r="CU57" i="15"/>
  <c r="EK3" i="7"/>
  <c r="EB3" i="15"/>
  <c r="FA3" i="7"/>
  <c r="DY3" i="15"/>
  <c r="DS3" i="15"/>
  <c r="DV3" i="15"/>
  <c r="CH3" i="12"/>
  <c r="DQ3" i="12" s="1"/>
  <c r="EL3" i="7"/>
  <c r="EO3" i="7"/>
  <c r="DQ9" i="11"/>
  <c r="DN9" i="11"/>
  <c r="DM5" i="12"/>
  <c r="DN3" i="12"/>
  <c r="EP3" i="7"/>
  <c r="DM3" i="12"/>
  <c r="EZ4" i="7"/>
  <c r="CE3" i="12"/>
  <c r="CZ3" i="15"/>
  <c r="CZ5" i="18" s="1"/>
  <c r="BZ3" i="11"/>
  <c r="DO9" i="11"/>
  <c r="DD3" i="15"/>
  <c r="EU5" i="15"/>
  <c r="CL19" i="7"/>
  <c r="CT171" i="2"/>
  <c r="CU172" i="2"/>
  <c r="CU200" i="2" s="1"/>
  <c r="CD3" i="12"/>
  <c r="DP3" i="15"/>
  <c r="EY5" i="15"/>
  <c r="DO4" i="11"/>
  <c r="CM7" i="7"/>
  <c r="CV155" i="2"/>
  <c r="CU156" i="2"/>
  <c r="CU154" i="2" s="1"/>
  <c r="CK3" i="11"/>
  <c r="CD3" i="11"/>
  <c r="CC3" i="11"/>
  <c r="DP9" i="11"/>
  <c r="CK3" i="12"/>
  <c r="CJ3" i="11"/>
  <c r="DR9" i="11"/>
  <c r="EI3" i="7"/>
  <c r="CU5" i="15"/>
  <c r="CT200" i="2"/>
  <c r="DJ5" i="15"/>
  <c r="EN3" i="7"/>
  <c r="CL35" i="7"/>
  <c r="DR3" i="15"/>
  <c r="DR5" i="18" s="1"/>
  <c r="DQ3" i="11"/>
  <c r="DP4" i="11"/>
  <c r="CT209" i="2"/>
  <c r="DN3" i="11"/>
  <c r="DA3" i="15"/>
  <c r="ET5" i="15"/>
  <c r="CX3" i="15"/>
  <c r="ES5" i="15"/>
  <c r="DK9" i="11"/>
  <c r="BN3" i="11"/>
  <c r="DP5" i="12"/>
  <c r="CC3" i="12"/>
  <c r="CT211" i="2"/>
  <c r="CL50" i="7"/>
  <c r="CL58" i="7" s="1"/>
  <c r="DQ3" i="15"/>
  <c r="DQ5" i="18" s="1"/>
  <c r="CT220" i="2"/>
  <c r="CT219" i="2" s="1"/>
  <c r="CT263" i="2" s="1"/>
  <c r="BN21" i="11"/>
  <c r="BN34" i="11" s="1"/>
  <c r="BN12" i="12"/>
  <c r="BN16" i="11"/>
  <c r="BN29" i="11" s="1"/>
  <c r="CL15" i="7"/>
  <c r="DK3" i="15"/>
  <c r="DK5" i="18" s="1"/>
  <c r="EJ3" i="7"/>
  <c r="BS3" i="11"/>
  <c r="DL3" i="11" s="1"/>
  <c r="BS3" i="12"/>
  <c r="DL3" i="12" s="1"/>
  <c r="CU167" i="2"/>
  <c r="CV168" i="2"/>
  <c r="CM16" i="7"/>
  <c r="CU197" i="2"/>
  <c r="CL88" i="7"/>
  <c r="CT233" i="2"/>
  <c r="CL78" i="7" s="1"/>
  <c r="CU62" i="15" s="1"/>
  <c r="CU243" i="2"/>
  <c r="CE3" i="11"/>
  <c r="DL3" i="15"/>
  <c r="DL5" i="18" s="1"/>
  <c r="DR4" i="11"/>
  <c r="CJ3" i="12"/>
  <c r="DR5" i="12"/>
  <c r="EY4" i="7"/>
  <c r="DK4" i="11"/>
  <c r="EA4" i="11" s="1"/>
  <c r="BZ3" i="12"/>
  <c r="DO3" i="12" s="1"/>
  <c r="DO5" i="12"/>
  <c r="BN3" i="12"/>
  <c r="DK3" i="12" s="1"/>
  <c r="DK5" i="12"/>
  <c r="EM3" i="7"/>
  <c r="DG5" i="15"/>
  <c r="DM3" i="15"/>
  <c r="EX5" i="15"/>
  <c r="CM73" i="7" l="1"/>
  <c r="CV58" i="15" s="1"/>
  <c r="BO50" i="12"/>
  <c r="BO72" i="11"/>
  <c r="CV229" i="2"/>
  <c r="EI72" i="7" s="1"/>
  <c r="CN84" i="7"/>
  <c r="EI84" i="7" s="1"/>
  <c r="CW239" i="2"/>
  <c r="CL87" i="7"/>
  <c r="CU242" i="2"/>
  <c r="CL40" i="7"/>
  <c r="CT232" i="2"/>
  <c r="CL77" i="7" s="1"/>
  <c r="CU61" i="15" s="1"/>
  <c r="CT216" i="2"/>
  <c r="CL55" i="7" s="1"/>
  <c r="EC3" i="12"/>
  <c r="EC3" i="11"/>
  <c r="DS5" i="18"/>
  <c r="EZ5" i="18" s="1"/>
  <c r="EZ3" i="15"/>
  <c r="DY5" i="18"/>
  <c r="FB5" i="18" s="1"/>
  <c r="FB3" i="15"/>
  <c r="DV5" i="18"/>
  <c r="FA5" i="18" s="1"/>
  <c r="FA3" i="15"/>
  <c r="EB5" i="18"/>
  <c r="FC5" i="18" s="1"/>
  <c r="FC3" i="15"/>
  <c r="CW57" i="15"/>
  <c r="ER57" i="15" s="1"/>
  <c r="EA5" i="12"/>
  <c r="EA9" i="11"/>
  <c r="CL107" i="7"/>
  <c r="CL116" i="7"/>
  <c r="DP3" i="12"/>
  <c r="DR3" i="12"/>
  <c r="DK3" i="11"/>
  <c r="EA3" i="11" s="1"/>
  <c r="CL47" i="7"/>
  <c r="CN7" i="7"/>
  <c r="EI7" i="7" s="1"/>
  <c r="CW155" i="2"/>
  <c r="CV156" i="2"/>
  <c r="CV154" i="2" s="1"/>
  <c r="BN76" i="11"/>
  <c r="BN54" i="12"/>
  <c r="BN10" i="12"/>
  <c r="BN56" i="11"/>
  <c r="CL57" i="7"/>
  <c r="BN51" i="11"/>
  <c r="CU212" i="2"/>
  <c r="CU196" i="2"/>
  <c r="CU209" i="2" s="1"/>
  <c r="CM36" i="7"/>
  <c r="BN15" i="11"/>
  <c r="BN28" i="11" s="1"/>
  <c r="DP5" i="18"/>
  <c r="EY3" i="15"/>
  <c r="DD5" i="18"/>
  <c r="EU3" i="15"/>
  <c r="CM15" i="7"/>
  <c r="CV14" i="15" s="1"/>
  <c r="BO16" i="11"/>
  <c r="BO29" i="11" s="1"/>
  <c r="BO21" i="11"/>
  <c r="BO12" i="12"/>
  <c r="CT291" i="2"/>
  <c r="CT298" i="2" s="1"/>
  <c r="CL141" i="7"/>
  <c r="DJ3" i="15"/>
  <c r="EW5" i="15"/>
  <c r="CU215" i="2"/>
  <c r="CM54" i="7" s="1"/>
  <c r="CM39" i="7"/>
  <c r="EB9" i="11"/>
  <c r="DO3" i="11"/>
  <c r="DP3" i="11"/>
  <c r="EB4" i="11"/>
  <c r="EA3" i="12"/>
  <c r="BN19" i="12"/>
  <c r="EB5" i="12"/>
  <c r="CX5" i="18"/>
  <c r="ES3" i="15"/>
  <c r="CU38" i="18"/>
  <c r="CU50" i="18"/>
  <c r="BN41" i="11"/>
  <c r="BN46" i="11"/>
  <c r="CL49" i="7"/>
  <c r="BN26" i="12"/>
  <c r="CL39" i="7"/>
  <c r="CT215" i="2"/>
  <c r="CL54" i="7" s="1"/>
  <c r="ER5" i="15"/>
  <c r="FH5" i="15" s="1"/>
  <c r="CU3" i="15"/>
  <c r="CU171" i="2"/>
  <c r="CM19" i="7"/>
  <c r="CV172" i="2"/>
  <c r="CV200" i="2" s="1"/>
  <c r="ET3" i="15"/>
  <c r="DA5" i="18"/>
  <c r="EY3" i="7"/>
  <c r="CT237" i="2"/>
  <c r="CW229" i="2"/>
  <c r="CO84" i="7"/>
  <c r="CX239" i="2"/>
  <c r="CV167" i="2"/>
  <c r="CW168" i="2"/>
  <c r="CN16" i="7"/>
  <c r="EI16" i="7" s="1"/>
  <c r="CV197" i="2"/>
  <c r="DM5" i="18"/>
  <c r="EX3" i="15"/>
  <c r="EV5" i="15"/>
  <c r="DG3" i="15"/>
  <c r="EZ3" i="7"/>
  <c r="CV243" i="2"/>
  <c r="CU233" i="2"/>
  <c r="CM78" i="7" s="1"/>
  <c r="CV62" i="15" s="1"/>
  <c r="CM88" i="7"/>
  <c r="CU14" i="15"/>
  <c r="CU23" i="15" s="1"/>
  <c r="DR3" i="11"/>
  <c r="CU201" i="2"/>
  <c r="CM8" i="7"/>
  <c r="CN73" i="7" l="1"/>
  <c r="CW58" i="15" s="1"/>
  <c r="ER58" i="15" s="1"/>
  <c r="CL62" i="7"/>
  <c r="CU232" i="2"/>
  <c r="CM77" i="7" s="1"/>
  <c r="CV61" i="15" s="1"/>
  <c r="CV242" i="2"/>
  <c r="BN75" i="11"/>
  <c r="BP72" i="11"/>
  <c r="DK72" i="11" s="1"/>
  <c r="BP50" i="12"/>
  <c r="DK50" i="12" s="1"/>
  <c r="BN53" i="12"/>
  <c r="CU58" i="18"/>
  <c r="CM87" i="7"/>
  <c r="EI73" i="7"/>
  <c r="FJ5" i="18"/>
  <c r="FJ3" i="15"/>
  <c r="CO73" i="7"/>
  <c r="CX58" i="15" s="1"/>
  <c r="CT264" i="2"/>
  <c r="EB3" i="12"/>
  <c r="BN106" i="11"/>
  <c r="BN74" i="12"/>
  <c r="CU83" i="15"/>
  <c r="FI5" i="15"/>
  <c r="CM61" i="7"/>
  <c r="CU21" i="15"/>
  <c r="CL148" i="7"/>
  <c r="CL65" i="7"/>
  <c r="CL151" i="7"/>
  <c r="CU216" i="2"/>
  <c r="CM55" i="7" s="1"/>
  <c r="CV32" i="15" s="1"/>
  <c r="CV30" i="15" s="1"/>
  <c r="CM40" i="7"/>
  <c r="CU5" i="18"/>
  <c r="ER3" i="15"/>
  <c r="FH3" i="15" s="1"/>
  <c r="CV215" i="2"/>
  <c r="CN54" i="7" s="1"/>
  <c r="EI54" i="7" s="1"/>
  <c r="CN39" i="7"/>
  <c r="EI39" i="7" s="1"/>
  <c r="BQ72" i="11"/>
  <c r="BQ50" i="12"/>
  <c r="EX5" i="18"/>
  <c r="CT236" i="2"/>
  <c r="CT226" i="2"/>
  <c r="CL82" i="7"/>
  <c r="CV12" i="15"/>
  <c r="CV17" i="18" s="1"/>
  <c r="CV15" i="18" s="1"/>
  <c r="CV23" i="15"/>
  <c r="EU5" i="18"/>
  <c r="CW243" i="2"/>
  <c r="CN88" i="7"/>
  <c r="EI88" i="7" s="1"/>
  <c r="CV233" i="2"/>
  <c r="CN78" i="7" s="1"/>
  <c r="CW62" i="15" s="1"/>
  <c r="CT266" i="2"/>
  <c r="CU7" i="18"/>
  <c r="CN36" i="7"/>
  <c r="EI36" i="7" s="1"/>
  <c r="CV212" i="2"/>
  <c r="CV196" i="2"/>
  <c r="CV209" i="2" s="1"/>
  <c r="CN15" i="7"/>
  <c r="CW14" i="15" s="1"/>
  <c r="ER14" i="15" s="1"/>
  <c r="BP12" i="12"/>
  <c r="DK12" i="12" s="1"/>
  <c r="BP16" i="11"/>
  <c r="BP29" i="11" s="1"/>
  <c r="DK29" i="11" s="1"/>
  <c r="BP21" i="11"/>
  <c r="DK21" i="11" s="1"/>
  <c r="DJ5" i="18"/>
  <c r="EW3" i="15"/>
  <c r="EY5" i="18"/>
  <c r="CP84" i="7"/>
  <c r="CX229" i="2"/>
  <c r="CY239" i="2"/>
  <c r="DG5" i="18"/>
  <c r="EV3" i="15"/>
  <c r="BO76" i="11"/>
  <c r="BO54" i="12"/>
  <c r="CX168" i="2"/>
  <c r="CW167" i="2"/>
  <c r="CO16" i="7"/>
  <c r="CW197" i="2"/>
  <c r="CU32" i="15"/>
  <c r="BN98" i="12"/>
  <c r="CU161" i="18"/>
  <c r="BN127" i="11"/>
  <c r="CL134" i="7"/>
  <c r="ET5" i="18"/>
  <c r="CL61" i="7"/>
  <c r="ES5" i="18"/>
  <c r="EB3" i="11"/>
  <c r="CU297" i="2"/>
  <c r="CU12" i="15"/>
  <c r="CT265" i="2"/>
  <c r="CT271" i="2"/>
  <c r="BN24" i="12"/>
  <c r="CM35" i="7"/>
  <c r="BO10" i="12"/>
  <c r="BO19" i="12"/>
  <c r="CM50" i="7"/>
  <c r="CM58" i="7" s="1"/>
  <c r="CU211" i="2"/>
  <c r="CV201" i="2"/>
  <c r="CN8" i="7"/>
  <c r="EI8" i="7" s="1"/>
  <c r="CW172" i="2"/>
  <c r="CW200" i="2" s="1"/>
  <c r="CV171" i="2"/>
  <c r="CN19" i="7"/>
  <c r="EI19" i="7" s="1"/>
  <c r="BN32" i="12"/>
  <c r="BN17" i="12"/>
  <c r="BO15" i="11"/>
  <c r="BO28" i="11" s="1"/>
  <c r="BO34" i="11"/>
  <c r="CO7" i="7"/>
  <c r="CX155" i="2"/>
  <c r="CW156" i="2"/>
  <c r="CW154" i="2" s="1"/>
  <c r="CL52" i="7"/>
  <c r="BN40" i="11"/>
  <c r="BN48" i="11" s="1"/>
  <c r="CU220" i="2"/>
  <c r="CU219" i="2" s="1"/>
  <c r="CU263" i="2" s="1"/>
  <c r="BN50" i="11"/>
  <c r="CV232" i="2" l="1"/>
  <c r="CN77" i="7" s="1"/>
  <c r="CW61" i="15" s="1"/>
  <c r="CN87" i="7"/>
  <c r="CW242" i="2"/>
  <c r="BO75" i="11"/>
  <c r="BO53" i="12"/>
  <c r="EI87" i="7"/>
  <c r="CP73" i="7"/>
  <c r="CY58" i="15" s="1"/>
  <c r="CY57" i="15"/>
  <c r="CL108" i="7"/>
  <c r="CU84" i="15" s="1"/>
  <c r="CL117" i="7"/>
  <c r="CX57" i="15"/>
  <c r="ER62" i="15"/>
  <c r="CU128" i="18"/>
  <c r="CU237" i="2"/>
  <c r="CU236" i="2" s="1"/>
  <c r="EI78" i="7"/>
  <c r="EI15" i="7"/>
  <c r="ER61" i="15"/>
  <c r="EI77" i="7"/>
  <c r="DK16" i="11"/>
  <c r="BO56" i="11"/>
  <c r="CM57" i="7"/>
  <c r="BO51" i="11"/>
  <c r="BN30" i="12"/>
  <c r="CT261" i="2"/>
  <c r="CL118" i="7"/>
  <c r="CL109" i="7"/>
  <c r="CU17" i="18"/>
  <c r="BP15" i="11"/>
  <c r="BP28" i="11" s="1"/>
  <c r="DK28" i="11" s="1"/>
  <c r="BP34" i="11"/>
  <c r="DK34" i="11" s="1"/>
  <c r="CU291" i="2"/>
  <c r="CU298" i="2" s="1"/>
  <c r="CM141" i="7"/>
  <c r="CV297" i="2"/>
  <c r="CY229" i="2"/>
  <c r="EJ72" i="7" s="1"/>
  <c r="CZ239" i="2"/>
  <c r="CQ84" i="7"/>
  <c r="EJ84" i="7" s="1"/>
  <c r="CX243" i="2"/>
  <c r="CW233" i="2"/>
  <c r="CO78" i="7" s="1"/>
  <c r="CX62" i="15" s="1"/>
  <c r="CO88" i="7"/>
  <c r="CV211" i="2"/>
  <c r="CN50" i="7"/>
  <c r="CN58" i="7" s="1"/>
  <c r="EI58" i="7" s="1"/>
  <c r="CM47" i="7"/>
  <c r="CU30" i="15"/>
  <c r="CW215" i="2"/>
  <c r="CO54" i="7" s="1"/>
  <c r="CO39" i="7"/>
  <c r="CV216" i="2"/>
  <c r="CN55" i="7" s="1"/>
  <c r="CW58" i="18" s="1"/>
  <c r="CN40" i="7"/>
  <c r="EI40" i="7" s="1"/>
  <c r="BR50" i="12"/>
  <c r="BR72" i="11"/>
  <c r="CN35" i="7"/>
  <c r="CN47" i="7" s="1"/>
  <c r="CW196" i="2"/>
  <c r="CW209" i="2" s="1"/>
  <c r="CO36" i="7"/>
  <c r="CW212" i="2"/>
  <c r="CW220" i="2" s="1"/>
  <c r="CW219" i="2" s="1"/>
  <c r="CW263" i="2" s="1"/>
  <c r="CV220" i="2"/>
  <c r="CV219" i="2" s="1"/>
  <c r="CV263" i="2" s="1"/>
  <c r="CV21" i="15"/>
  <c r="CV34" i="15" s="1"/>
  <c r="CV38" i="15"/>
  <c r="CN61" i="7"/>
  <c r="EI61" i="7" s="1"/>
  <c r="BO46" i="11"/>
  <c r="BO26" i="12"/>
  <c r="BO32" i="12" s="1"/>
  <c r="CM49" i="7"/>
  <c r="BO41" i="11"/>
  <c r="BQ16" i="11"/>
  <c r="BQ21" i="11"/>
  <c r="CO15" i="7"/>
  <c r="BQ12" i="12"/>
  <c r="BO17" i="12"/>
  <c r="CV56" i="18"/>
  <c r="CU275" i="2"/>
  <c r="CP16" i="7"/>
  <c r="CX167" i="2"/>
  <c r="CY168" i="2"/>
  <c r="CX197" i="2"/>
  <c r="BN68" i="11"/>
  <c r="BN67" i="11"/>
  <c r="CL81" i="7"/>
  <c r="BN48" i="12"/>
  <c r="BP53" i="12"/>
  <c r="DK53" i="12" s="1"/>
  <c r="BP75" i="11"/>
  <c r="DK75" i="11" s="1"/>
  <c r="EW5" i="18"/>
  <c r="CL70" i="7"/>
  <c r="CU56" i="15" s="1"/>
  <c r="CT225" i="2"/>
  <c r="CT224" i="2" s="1"/>
  <c r="BN28" i="12"/>
  <c r="CU276" i="2"/>
  <c r="ER5" i="18"/>
  <c r="FH5" i="18" s="1"/>
  <c r="CU3" i="18"/>
  <c r="CL142" i="7"/>
  <c r="BN89" i="12"/>
  <c r="CU98" i="15"/>
  <c r="BN119" i="11"/>
  <c r="CL110" i="7"/>
  <c r="CL119" i="7"/>
  <c r="CV38" i="18"/>
  <c r="CM62" i="7"/>
  <c r="CV50" i="18"/>
  <c r="BN139" i="11"/>
  <c r="BN154" i="11"/>
  <c r="BN144" i="11"/>
  <c r="BN59" i="11"/>
  <c r="CO8" i="7"/>
  <c r="CW201" i="2"/>
  <c r="FI3" i="15"/>
  <c r="BP10" i="12"/>
  <c r="DK10" i="12" s="1"/>
  <c r="BP19" i="12"/>
  <c r="DK19" i="12" s="1"/>
  <c r="CV58" i="18"/>
  <c r="CU48" i="18"/>
  <c r="CU36" i="18"/>
  <c r="CO19" i="7"/>
  <c r="CW171" i="2"/>
  <c r="CX172" i="2"/>
  <c r="CX200" i="2" s="1"/>
  <c r="CP7" i="7"/>
  <c r="CY155" i="2"/>
  <c r="CX156" i="2"/>
  <c r="CX154" i="2" s="1"/>
  <c r="EV5" i="18"/>
  <c r="CW12" i="15"/>
  <c r="CW17" i="18" s="1"/>
  <c r="CW15" i="18" s="1"/>
  <c r="CW23" i="15"/>
  <c r="ER23" i="15" s="1"/>
  <c r="BP76" i="11"/>
  <c r="DK76" i="11" s="1"/>
  <c r="BP54" i="12"/>
  <c r="DK54" i="12" s="1"/>
  <c r="CU38" i="15"/>
  <c r="CW232" i="2" l="1"/>
  <c r="CO77" i="7" s="1"/>
  <c r="CX61" i="15" s="1"/>
  <c r="CO87" i="7"/>
  <c r="CX242" i="2"/>
  <c r="CU226" i="2"/>
  <c r="CM82" i="7"/>
  <c r="CM81" i="7" s="1"/>
  <c r="CT234" i="2"/>
  <c r="CQ73" i="7"/>
  <c r="CZ58" i="15" s="1"/>
  <c r="ES58" i="15" s="1"/>
  <c r="CZ57" i="15"/>
  <c r="ES57" i="15" s="1"/>
  <c r="CU264" i="2"/>
  <c r="BN75" i="12"/>
  <c r="BN107" i="11"/>
  <c r="CU129" i="18"/>
  <c r="BN59" i="12"/>
  <c r="CW237" i="2"/>
  <c r="CV237" i="2"/>
  <c r="CM107" i="7"/>
  <c r="CM116" i="7"/>
  <c r="EI47" i="7"/>
  <c r="ER12" i="15"/>
  <c r="EI55" i="7"/>
  <c r="ER58" i="18"/>
  <c r="CL99" i="7"/>
  <c r="DK15" i="11"/>
  <c r="CV54" i="18"/>
  <c r="EI50" i="7"/>
  <c r="EI35" i="7"/>
  <c r="CW21" i="15"/>
  <c r="ER21" i="15" s="1"/>
  <c r="CO35" i="7"/>
  <c r="DA239" i="2"/>
  <c r="CR84" i="7"/>
  <c r="CZ229" i="2"/>
  <c r="BN110" i="12"/>
  <c r="BN35" i="12"/>
  <c r="BN115" i="12"/>
  <c r="BN125" i="12"/>
  <c r="BN57" i="12"/>
  <c r="BN42" i="12"/>
  <c r="BN80" i="11"/>
  <c r="BN46" i="12"/>
  <c r="BN63" i="11"/>
  <c r="CX215" i="2"/>
  <c r="CP54" i="7" s="1"/>
  <c r="CP39" i="7"/>
  <c r="CM52" i="7"/>
  <c r="CX171" i="2"/>
  <c r="CY172" i="2"/>
  <c r="CY200" i="2" s="1"/>
  <c r="CP19" i="7"/>
  <c r="CW216" i="2"/>
  <c r="CO55" i="7" s="1"/>
  <c r="CO40" i="7"/>
  <c r="CU266" i="2"/>
  <c r="CV276" i="2"/>
  <c r="BO24" i="12"/>
  <c r="CU34" i="15"/>
  <c r="CU56" i="18"/>
  <c r="CV291" i="2"/>
  <c r="CV298" i="2" s="1"/>
  <c r="CW297" i="2"/>
  <c r="CN141" i="7"/>
  <c r="EI141" i="7" s="1"/>
  <c r="BN85" i="11"/>
  <c r="BO40" i="11"/>
  <c r="BO48" i="11" s="1"/>
  <c r="BP56" i="11"/>
  <c r="DK56" i="11" s="1"/>
  <c r="CN57" i="7"/>
  <c r="EI57" i="7" s="1"/>
  <c r="BP51" i="11"/>
  <c r="DK51" i="11" s="1"/>
  <c r="CM134" i="7"/>
  <c r="CV161" i="18"/>
  <c r="BO127" i="11"/>
  <c r="BO98" i="12"/>
  <c r="BN109" i="11"/>
  <c r="BN76" i="12"/>
  <c r="BO30" i="12"/>
  <c r="CX212" i="2"/>
  <c r="CX220" i="2" s="1"/>
  <c r="CX219" i="2" s="1"/>
  <c r="CX263" i="2" s="1"/>
  <c r="CP36" i="7"/>
  <c r="CX196" i="2"/>
  <c r="CX209" i="2" s="1"/>
  <c r="CW32" i="15"/>
  <c r="BP46" i="11"/>
  <c r="BP40" i="11" s="1"/>
  <c r="BP48" i="11" s="1"/>
  <c r="BP26" i="12"/>
  <c r="BP24" i="12" s="1"/>
  <c r="BP41" i="11"/>
  <c r="DK41" i="11" s="1"/>
  <c r="CN49" i="7"/>
  <c r="CN52" i="7" s="1"/>
  <c r="BO50" i="11"/>
  <c r="CU67" i="15"/>
  <c r="CU36" i="15"/>
  <c r="CU65" i="15" s="1"/>
  <c r="CU86" i="15"/>
  <c r="FI5" i="18"/>
  <c r="CU34" i="18"/>
  <c r="BN83" i="11"/>
  <c r="BN117" i="11"/>
  <c r="CU53" i="15"/>
  <c r="CL69" i="7"/>
  <c r="CY167" i="2"/>
  <c r="CQ16" i="7"/>
  <c r="EJ16" i="7" s="1"/>
  <c r="CZ168" i="2"/>
  <c r="CY197" i="2"/>
  <c r="BQ10" i="12"/>
  <c r="BQ19" i="12"/>
  <c r="CN62" i="7"/>
  <c r="EI62" i="7" s="1"/>
  <c r="CW50" i="18"/>
  <c r="ER50" i="18" s="1"/>
  <c r="CW38" i="18"/>
  <c r="CW7" i="18" s="1"/>
  <c r="CW3" i="18" s="1"/>
  <c r="CM151" i="7"/>
  <c r="CM148" i="7"/>
  <c r="CM65" i="7"/>
  <c r="BQ54" i="12"/>
  <c r="BQ76" i="11"/>
  <c r="BN87" i="12"/>
  <c r="BR21" i="11"/>
  <c r="BR16" i="11"/>
  <c r="BR29" i="11" s="1"/>
  <c r="BR12" i="12"/>
  <c r="CP15" i="7"/>
  <c r="CY14" i="15" s="1"/>
  <c r="CX14" i="15"/>
  <c r="CV48" i="18"/>
  <c r="CV46" i="18" s="1"/>
  <c r="CV36" i="18"/>
  <c r="CV34" i="18" s="1"/>
  <c r="CO61" i="7"/>
  <c r="CU15" i="18"/>
  <c r="ER15" i="18" s="1"/>
  <c r="ER17" i="18"/>
  <c r="CV7" i="18"/>
  <c r="CU46" i="18"/>
  <c r="CU96" i="15"/>
  <c r="CX201" i="2"/>
  <c r="CP8" i="7"/>
  <c r="BQ15" i="11"/>
  <c r="BQ34" i="11"/>
  <c r="CX233" i="2"/>
  <c r="CP78" i="7" s="1"/>
  <c r="CY62" i="15" s="1"/>
  <c r="CY243" i="2"/>
  <c r="CP88" i="7"/>
  <c r="CV36" i="15"/>
  <c r="CU271" i="2"/>
  <c r="CV275" i="2"/>
  <c r="CU265" i="2"/>
  <c r="CU130" i="18"/>
  <c r="CU85" i="15"/>
  <c r="CL105" i="7"/>
  <c r="CQ7" i="7"/>
  <c r="EJ7" i="7" s="1"/>
  <c r="CZ155" i="2"/>
  <c r="CY156" i="2"/>
  <c r="CY154" i="2" s="1"/>
  <c r="BP17" i="12"/>
  <c r="DK17" i="12" s="1"/>
  <c r="BQ29" i="11"/>
  <c r="CW211" i="2"/>
  <c r="CO50" i="7"/>
  <c r="BS50" i="12"/>
  <c r="DL50" i="12" s="1"/>
  <c r="BS72" i="11"/>
  <c r="DL72" i="11" s="1"/>
  <c r="CL114" i="7"/>
  <c r="BN77" i="12"/>
  <c r="BN108" i="11"/>
  <c r="CX232" i="2" l="1"/>
  <c r="CP77" i="7" s="1"/>
  <c r="CY61" i="15" s="1"/>
  <c r="CP87" i="7"/>
  <c r="BQ75" i="11"/>
  <c r="BQ53" i="12"/>
  <c r="CY242" i="2"/>
  <c r="EJ73" i="7"/>
  <c r="CN82" i="7"/>
  <c r="EI82" i="7" s="1"/>
  <c r="CV226" i="2"/>
  <c r="CV236" i="2"/>
  <c r="CU225" i="2"/>
  <c r="CU224" i="2" s="1"/>
  <c r="CM70" i="7"/>
  <c r="CV56" i="15" s="1"/>
  <c r="CW226" i="2"/>
  <c r="CW236" i="2"/>
  <c r="CO82" i="7"/>
  <c r="BO48" i="12"/>
  <c r="BO68" i="11"/>
  <c r="BO85" i="11" s="1"/>
  <c r="BO67" i="11"/>
  <c r="BN84" i="11"/>
  <c r="CV264" i="2"/>
  <c r="CR73" i="7"/>
  <c r="DA58" i="15" s="1"/>
  <c r="CM108" i="7"/>
  <c r="CV84" i="15" s="1"/>
  <c r="CM117" i="7"/>
  <c r="CX237" i="2"/>
  <c r="CX236" i="2" s="1"/>
  <c r="BO74" i="12"/>
  <c r="BO106" i="11"/>
  <c r="CV83" i="15"/>
  <c r="CN107" i="7"/>
  <c r="CW83" i="15" s="1"/>
  <c r="CW128" i="18" s="1"/>
  <c r="CN116" i="7"/>
  <c r="CO107" i="7"/>
  <c r="CO116" i="7"/>
  <c r="CV61" i="18"/>
  <c r="EI49" i="7"/>
  <c r="EI52" i="7" s="1"/>
  <c r="BP32" i="12"/>
  <c r="DK32" i="12" s="1"/>
  <c r="DK26" i="12"/>
  <c r="CP61" i="7"/>
  <c r="DK46" i="11"/>
  <c r="ER38" i="18"/>
  <c r="CW30" i="15"/>
  <c r="ER30" i="15" s="1"/>
  <c r="ER34" i="15" s="1"/>
  <c r="ER32" i="15"/>
  <c r="BO110" i="12"/>
  <c r="BO125" i="12"/>
  <c r="BO35" i="12"/>
  <c r="BO42" i="12"/>
  <c r="BO115" i="12"/>
  <c r="CN148" i="7"/>
  <c r="CN65" i="7"/>
  <c r="CN151" i="7"/>
  <c r="CO49" i="7"/>
  <c r="BQ46" i="11"/>
  <c r="BQ26" i="12"/>
  <c r="BQ32" i="12" s="1"/>
  <c r="BQ41" i="11"/>
  <c r="BO63" i="11"/>
  <c r="BO46" i="12"/>
  <c r="BO80" i="11"/>
  <c r="BO99" i="11" s="1"/>
  <c r="CQ8" i="7"/>
  <c r="EJ8" i="7" s="1"/>
  <c r="CY201" i="2"/>
  <c r="CV265" i="2"/>
  <c r="CW275" i="2"/>
  <c r="CV271" i="2"/>
  <c r="CR7" i="7"/>
  <c r="DA155" i="2"/>
  <c r="CZ156" i="2"/>
  <c r="CZ154" i="2" s="1"/>
  <c r="CQ15" i="7"/>
  <c r="CZ14" i="15" s="1"/>
  <c r="ES14" i="15" s="1"/>
  <c r="BS12" i="12"/>
  <c r="DL12" i="12" s="1"/>
  <c r="BS21" i="11"/>
  <c r="DL21" i="11" s="1"/>
  <c r="BS16" i="11"/>
  <c r="CU132" i="18"/>
  <c r="BO28" i="12"/>
  <c r="DK24" i="12"/>
  <c r="BN61" i="12"/>
  <c r="CO47" i="7"/>
  <c r="BR15" i="11"/>
  <c r="BR28" i="11" s="1"/>
  <c r="BR34" i="11"/>
  <c r="BO154" i="11"/>
  <c r="BO139" i="11"/>
  <c r="BO144" i="11"/>
  <c r="BO59" i="11"/>
  <c r="CX216" i="2"/>
  <c r="CP55" i="7" s="1"/>
  <c r="CY58" i="18" s="1"/>
  <c r="CP40" i="7"/>
  <c r="CL68" i="7"/>
  <c r="CL92" i="7"/>
  <c r="DK40" i="11"/>
  <c r="DK48" i="11" s="1"/>
  <c r="CV266" i="2"/>
  <c r="CW276" i="2"/>
  <c r="CO58" i="7"/>
  <c r="BR10" i="12"/>
  <c r="BR19" i="12"/>
  <c r="CZ167" i="2"/>
  <c r="DA168" i="2"/>
  <c r="CZ197" i="2"/>
  <c r="CR16" i="7"/>
  <c r="BN100" i="12"/>
  <c r="CM119" i="7"/>
  <c r="CM110" i="7"/>
  <c r="CU51" i="15"/>
  <c r="CU71" i="15" s="1"/>
  <c r="BQ28" i="11"/>
  <c r="BN103" i="11"/>
  <c r="BN71" i="12"/>
  <c r="CY215" i="2"/>
  <c r="CQ54" i="7" s="1"/>
  <c r="EJ54" i="7" s="1"/>
  <c r="CQ39" i="7"/>
  <c r="EJ39" i="7" s="1"/>
  <c r="CV65" i="18"/>
  <c r="CV42" i="15"/>
  <c r="CV139" i="15"/>
  <c r="CV121" i="15"/>
  <c r="CV127" i="15"/>
  <c r="CL112" i="7"/>
  <c r="CU79" i="15"/>
  <c r="BR76" i="11"/>
  <c r="BR54" i="12"/>
  <c r="CU109" i="15"/>
  <c r="CU147" i="18"/>
  <c r="BP28" i="12"/>
  <c r="CX38" i="18"/>
  <c r="CO62" i="7"/>
  <c r="CX50" i="18"/>
  <c r="CX58" i="18"/>
  <c r="CW38" i="15"/>
  <c r="ER38" i="15" s="1"/>
  <c r="CU127" i="15"/>
  <c r="CU42" i="15"/>
  <c r="CU139" i="15"/>
  <c r="CU121" i="15"/>
  <c r="CU65" i="18"/>
  <c r="CW291" i="2"/>
  <c r="CW298" i="2" s="1"/>
  <c r="CX297" i="2"/>
  <c r="CO141" i="7"/>
  <c r="CW48" i="18"/>
  <c r="CW36" i="18"/>
  <c r="CW34" i="18" s="1"/>
  <c r="ER34" i="18" s="1"/>
  <c r="BQ17" i="12"/>
  <c r="BN129" i="11"/>
  <c r="CY171" i="2"/>
  <c r="CZ172" i="2"/>
  <c r="CZ200" i="2" s="1"/>
  <c r="CQ19" i="7"/>
  <c r="EJ19" i="7" s="1"/>
  <c r="CP35" i="7"/>
  <c r="CP47" i="7" s="1"/>
  <c r="BN62" i="11"/>
  <c r="BN94" i="11"/>
  <c r="BT50" i="12"/>
  <c r="BT72" i="11"/>
  <c r="CQ88" i="7"/>
  <c r="EJ88" i="7" s="1"/>
  <c r="CY233" i="2"/>
  <c r="CQ78" i="7" s="1"/>
  <c r="CZ62" i="15" s="1"/>
  <c r="CZ243" i="2"/>
  <c r="CX12" i="15"/>
  <c r="CX23" i="15"/>
  <c r="EI148" i="7"/>
  <c r="EI151" i="7"/>
  <c r="EI65" i="7"/>
  <c r="CU73" i="15"/>
  <c r="CX211" i="2"/>
  <c r="CP50" i="7"/>
  <c r="CP58" i="7" s="1"/>
  <c r="CV98" i="15"/>
  <c r="BO119" i="11"/>
  <c r="BO89" i="12"/>
  <c r="CM142" i="7"/>
  <c r="CU54" i="18"/>
  <c r="BN44" i="12"/>
  <c r="BN65" i="12"/>
  <c r="DA229" i="2"/>
  <c r="CS84" i="7"/>
  <c r="DB239" i="2"/>
  <c r="CN134" i="7"/>
  <c r="EI134" i="7" s="1"/>
  <c r="BP98" i="12"/>
  <c r="DK98" i="12" s="1"/>
  <c r="CW161" i="18"/>
  <c r="ER161" i="18" s="1"/>
  <c r="BP127" i="11"/>
  <c r="DK127" i="11" s="1"/>
  <c r="CV3" i="18"/>
  <c r="ER3" i="18" s="1"/>
  <c r="ER7" i="18"/>
  <c r="CX32" i="15"/>
  <c r="CM118" i="7"/>
  <c r="CM109" i="7"/>
  <c r="CU261" i="2"/>
  <c r="CY12" i="15"/>
  <c r="CY17" i="18" s="1"/>
  <c r="CY15" i="18" s="1"/>
  <c r="CY23" i="15"/>
  <c r="CY196" i="2"/>
  <c r="CY209" i="2" s="1"/>
  <c r="CY212" i="2"/>
  <c r="CY220" i="2" s="1"/>
  <c r="CY219" i="2" s="1"/>
  <c r="CY263" i="2" s="1"/>
  <c r="CQ36" i="7"/>
  <c r="EJ36" i="7" s="1"/>
  <c r="BP50" i="11"/>
  <c r="DK50" i="11" s="1"/>
  <c r="BN99" i="11"/>
  <c r="CY232" i="2" l="1"/>
  <c r="CQ77" i="7" s="1"/>
  <c r="CZ61" i="15" s="1"/>
  <c r="CQ87" i="7"/>
  <c r="EJ87" i="7" s="1"/>
  <c r="CZ242" i="2"/>
  <c r="BR53" i="12"/>
  <c r="BR75" i="11"/>
  <c r="CU234" i="2"/>
  <c r="CV65" i="15"/>
  <c r="BO59" i="12"/>
  <c r="CV67" i="15"/>
  <c r="CN70" i="7"/>
  <c r="CW56" i="15" s="1"/>
  <c r="CV225" i="2"/>
  <c r="CV224" i="2" s="1"/>
  <c r="BP48" i="12"/>
  <c r="BP67" i="11"/>
  <c r="CN81" i="7"/>
  <c r="EI81" i="7" s="1"/>
  <c r="BP68" i="11"/>
  <c r="BO57" i="12"/>
  <c r="BO61" i="12" s="1"/>
  <c r="CO70" i="7"/>
  <c r="CX56" i="15" s="1"/>
  <c r="BO83" i="11"/>
  <c r="BO84" i="11" s="1"/>
  <c r="CW225" i="2"/>
  <c r="CW224" i="2" s="1"/>
  <c r="CM99" i="7"/>
  <c r="CM69" i="7"/>
  <c r="CV53" i="15"/>
  <c r="DK67" i="11"/>
  <c r="BQ48" i="12"/>
  <c r="CO81" i="7"/>
  <c r="DK48" i="12"/>
  <c r="DK68" i="11"/>
  <c r="BQ67" i="11"/>
  <c r="BQ68" i="11"/>
  <c r="CX226" i="2"/>
  <c r="CP82" i="7"/>
  <c r="CV129" i="18"/>
  <c r="CS73" i="7"/>
  <c r="DB58" i="15" s="1"/>
  <c r="DB57" i="15"/>
  <c r="CW264" i="2"/>
  <c r="BO107" i="11"/>
  <c r="BO75" i="12"/>
  <c r="DA57" i="15"/>
  <c r="CN108" i="7"/>
  <c r="CN117" i="7"/>
  <c r="ES62" i="15"/>
  <c r="EI107" i="7"/>
  <c r="BQ74" i="12"/>
  <c r="BQ106" i="11"/>
  <c r="CX83" i="15"/>
  <c r="CX128" i="18" s="1"/>
  <c r="EI116" i="7"/>
  <c r="BP74" i="12"/>
  <c r="DK74" i="12" s="1"/>
  <c r="BP106" i="11"/>
  <c r="DK106" i="11" s="1"/>
  <c r="CV128" i="18"/>
  <c r="ER128" i="18" s="1"/>
  <c r="ER83" i="15"/>
  <c r="CY237" i="2"/>
  <c r="CY226" i="2" s="1"/>
  <c r="CP116" i="7"/>
  <c r="CP107" i="7"/>
  <c r="CY83" i="15" s="1"/>
  <c r="CY128" i="18" s="1"/>
  <c r="CW56" i="18"/>
  <c r="CW54" i="18" s="1"/>
  <c r="CW61" i="18" s="1"/>
  <c r="ER36" i="18"/>
  <c r="CW34" i="15"/>
  <c r="BP30" i="12"/>
  <c r="DK30" i="12" s="1"/>
  <c r="DK110" i="12" s="1"/>
  <c r="EJ15" i="7"/>
  <c r="BS29" i="11"/>
  <c r="DL16" i="11"/>
  <c r="EJ78" i="7"/>
  <c r="CQ61" i="7"/>
  <c r="EJ61" i="7" s="1"/>
  <c r="CY32" i="15"/>
  <c r="CY30" i="15" s="1"/>
  <c r="CY56" i="18" s="1"/>
  <c r="CY54" i="18" s="1"/>
  <c r="CW46" i="18"/>
  <c r="ER46" i="18" s="1"/>
  <c r="ER48" i="18"/>
  <c r="BR56" i="11"/>
  <c r="CP57" i="7"/>
  <c r="BR51" i="11"/>
  <c r="CR39" i="7"/>
  <c r="CZ215" i="2"/>
  <c r="CR54" i="7" s="1"/>
  <c r="BQ56" i="11"/>
  <c r="CO57" i="7"/>
  <c r="BQ51" i="11"/>
  <c r="DK139" i="11"/>
  <c r="DK144" i="11"/>
  <c r="DK154" i="11"/>
  <c r="DK59" i="11"/>
  <c r="CZ12" i="15"/>
  <c r="CZ17" i="18" s="1"/>
  <c r="CZ15" i="18" s="1"/>
  <c r="CZ23" i="15"/>
  <c r="ES23" i="15" s="1"/>
  <c r="CR8" i="7"/>
  <c r="CZ201" i="2"/>
  <c r="BO44" i="12"/>
  <c r="BO65" i="12"/>
  <c r="BO109" i="11"/>
  <c r="BO76" i="12"/>
  <c r="CN119" i="7"/>
  <c r="EI119" i="7" s="1"/>
  <c r="CN110" i="7"/>
  <c r="CW86" i="15" s="1"/>
  <c r="CW132" i="18" s="1"/>
  <c r="CS7" i="7"/>
  <c r="DB155" i="2"/>
  <c r="DA156" i="2"/>
  <c r="DA154" i="2" s="1"/>
  <c r="BO62" i="11"/>
  <c r="BO94" i="11"/>
  <c r="BN55" i="12"/>
  <c r="BN63" i="12"/>
  <c r="BQ30" i="12"/>
  <c r="CU63" i="18"/>
  <c r="CU73" i="18"/>
  <c r="CW266" i="2"/>
  <c r="CX276" i="2"/>
  <c r="CY21" i="15"/>
  <c r="BS54" i="12"/>
  <c r="DL54" i="12" s="1"/>
  <c r="BS76" i="11"/>
  <c r="DL76" i="11" s="1"/>
  <c r="DK28" i="12"/>
  <c r="BQ24" i="12"/>
  <c r="CV73" i="18"/>
  <c r="CV63" i="18"/>
  <c r="CU103" i="18"/>
  <c r="CU69" i="15"/>
  <c r="BN69" i="12"/>
  <c r="BN114" i="11"/>
  <c r="CU77" i="15"/>
  <c r="CU90" i="15" s="1"/>
  <c r="BN101" i="11"/>
  <c r="CL93" i="7"/>
  <c r="CL94" i="7" s="1"/>
  <c r="BN90" i="11"/>
  <c r="CV85" i="15"/>
  <c r="CV130" i="18"/>
  <c r="CM105" i="7"/>
  <c r="CU61" i="18"/>
  <c r="CM114" i="7"/>
  <c r="BO108" i="11"/>
  <c r="BO77" i="12"/>
  <c r="EI142" i="7"/>
  <c r="BT12" i="12"/>
  <c r="BT21" i="11"/>
  <c r="CR15" i="7"/>
  <c r="BT16" i="11"/>
  <c r="BQ40" i="11"/>
  <c r="BQ48" i="11" s="1"/>
  <c r="CX7" i="18"/>
  <c r="CR36" i="7"/>
  <c r="CZ212" i="2"/>
  <c r="CZ220" i="2" s="1"/>
  <c r="CZ219" i="2" s="1"/>
  <c r="CZ263" i="2" s="1"/>
  <c r="CZ196" i="2"/>
  <c r="CZ209" i="2" s="1"/>
  <c r="CL79" i="7"/>
  <c r="CL97" i="7"/>
  <c r="CO52" i="7"/>
  <c r="CU92" i="15"/>
  <c r="CX30" i="15"/>
  <c r="BO87" i="12"/>
  <c r="CX21" i="15"/>
  <c r="CX38" i="15"/>
  <c r="CU75" i="15"/>
  <c r="CU112" i="18"/>
  <c r="DA167" i="2"/>
  <c r="CS16" i="7"/>
  <c r="DB168" i="2"/>
  <c r="DA197" i="2"/>
  <c r="CY38" i="18"/>
  <c r="CY7" i="18" s="1"/>
  <c r="CY3" i="18" s="1"/>
  <c r="CY50" i="18"/>
  <c r="CP62" i="7"/>
  <c r="CX275" i="2"/>
  <c r="CW271" i="2"/>
  <c r="CW265" i="2"/>
  <c r="BP139" i="11"/>
  <c r="BP144" i="11"/>
  <c r="BP59" i="11"/>
  <c r="BP154" i="11"/>
  <c r="CW98" i="15"/>
  <c r="CW96" i="15" s="1"/>
  <c r="BP89" i="12"/>
  <c r="BP87" i="12" s="1"/>
  <c r="CN142" i="7"/>
  <c r="BP119" i="11"/>
  <c r="BP117" i="11" s="1"/>
  <c r="BP129" i="11" s="1"/>
  <c r="BO117" i="11"/>
  <c r="CX17" i="18"/>
  <c r="CR19" i="7"/>
  <c r="DA172" i="2"/>
  <c r="CZ171" i="2"/>
  <c r="BQ127" i="11"/>
  <c r="BQ98" i="12"/>
  <c r="CX161" i="18"/>
  <c r="CO134" i="7"/>
  <c r="CN109" i="7"/>
  <c r="EI109" i="7" s="1"/>
  <c r="CV261" i="2"/>
  <c r="CN118" i="7"/>
  <c r="EI118" i="7" s="1"/>
  <c r="BR17" i="12"/>
  <c r="BS15" i="11"/>
  <c r="BS34" i="11"/>
  <c r="DL34" i="11" s="1"/>
  <c r="CY216" i="2"/>
  <c r="CQ55" i="7" s="1"/>
  <c r="CQ40" i="7"/>
  <c r="EJ40" i="7" s="1"/>
  <c r="BR26" i="12"/>
  <c r="BR24" i="12" s="1"/>
  <c r="BR46" i="11"/>
  <c r="BR40" i="11" s="1"/>
  <c r="BR48" i="11" s="1"/>
  <c r="BR41" i="11"/>
  <c r="CP49" i="7"/>
  <c r="CP52" i="7" s="1"/>
  <c r="BN83" i="12"/>
  <c r="CR88" i="7"/>
  <c r="DA243" i="2"/>
  <c r="CZ233" i="2"/>
  <c r="CR78" i="7" s="1"/>
  <c r="DA62" i="15" s="1"/>
  <c r="CV86" i="15"/>
  <c r="CQ35" i="7"/>
  <c r="CQ47" i="7" s="1"/>
  <c r="EJ47" i="7" s="1"/>
  <c r="CT84" i="7"/>
  <c r="EK84" i="7" s="1"/>
  <c r="DC239" i="2"/>
  <c r="DB229" i="2"/>
  <c r="EK72" i="7" s="1"/>
  <c r="BN81" i="11"/>
  <c r="BN92" i="11"/>
  <c r="CX291" i="2"/>
  <c r="CX298" i="2" s="1"/>
  <c r="CP141" i="7"/>
  <c r="CY297" i="2"/>
  <c r="CW36" i="15"/>
  <c r="CQ50" i="7"/>
  <c r="CY211" i="2"/>
  <c r="BU50" i="12"/>
  <c r="BU72" i="11"/>
  <c r="CV96" i="15"/>
  <c r="CU149" i="18"/>
  <c r="CU145" i="18" s="1"/>
  <c r="CU85" i="18"/>
  <c r="CU63" i="15"/>
  <c r="BS10" i="12"/>
  <c r="DL10" i="12" s="1"/>
  <c r="BS19" i="12"/>
  <c r="DL19" i="12" s="1"/>
  <c r="ES61" i="15" l="1"/>
  <c r="EJ77" i="7"/>
  <c r="CZ232" i="2"/>
  <c r="CR77" i="7" s="1"/>
  <c r="DA61" i="15" s="1"/>
  <c r="CR87" i="7"/>
  <c r="DA242" i="2"/>
  <c r="BS75" i="11"/>
  <c r="DL75" i="11" s="1"/>
  <c r="BS53" i="12"/>
  <c r="DL53" i="12" s="1"/>
  <c r="CW67" i="15"/>
  <c r="ER67" i="15" s="1"/>
  <c r="CV234" i="2"/>
  <c r="CW234" i="2"/>
  <c r="BP85" i="11"/>
  <c r="BP59" i="12"/>
  <c r="DK59" i="12" s="1"/>
  <c r="CV69" i="15"/>
  <c r="EI70" i="7"/>
  <c r="CO99" i="7"/>
  <c r="CV103" i="18"/>
  <c r="CV101" i="18" s="1"/>
  <c r="CN99" i="7"/>
  <c r="BP63" i="11"/>
  <c r="DK63" i="11" s="1"/>
  <c r="BP80" i="11"/>
  <c r="BP46" i="12"/>
  <c r="DK46" i="12" s="1"/>
  <c r="BQ59" i="12"/>
  <c r="CW53" i="15"/>
  <c r="CW51" i="15" s="1"/>
  <c r="ER56" i="15"/>
  <c r="CN69" i="7"/>
  <c r="EI69" i="7" s="1"/>
  <c r="BP83" i="11"/>
  <c r="BP84" i="11" s="1"/>
  <c r="CV73" i="15"/>
  <c r="EI99" i="7"/>
  <c r="DK85" i="11"/>
  <c r="CO69" i="7"/>
  <c r="CX53" i="15"/>
  <c r="CV51" i="15"/>
  <c r="CM68" i="7"/>
  <c r="CM92" i="7"/>
  <c r="BQ80" i="11"/>
  <c r="BQ63" i="11"/>
  <c r="BQ46" i="12"/>
  <c r="CX225" i="2"/>
  <c r="CX224" i="2" s="1"/>
  <c r="CP70" i="7"/>
  <c r="CY56" i="15" s="1"/>
  <c r="CP81" i="7"/>
  <c r="BR67" i="11"/>
  <c r="BR68" i="11"/>
  <c r="BR48" i="12"/>
  <c r="CQ82" i="7"/>
  <c r="EJ82" i="7" s="1"/>
  <c r="ER54" i="18"/>
  <c r="DL29" i="11"/>
  <c r="CY236" i="2"/>
  <c r="CX264" i="2"/>
  <c r="CT73" i="7"/>
  <c r="DC58" i="15" s="1"/>
  <c r="ET58" i="15" s="1"/>
  <c r="DC57" i="15"/>
  <c r="ET57" i="15" s="1"/>
  <c r="EI117" i="7"/>
  <c r="BP75" i="12"/>
  <c r="DK75" i="12" s="1"/>
  <c r="BP107" i="11"/>
  <c r="DK107" i="11" s="1"/>
  <c r="EI108" i="7"/>
  <c r="CW84" i="15"/>
  <c r="CO108" i="7"/>
  <c r="CX84" i="15" s="1"/>
  <c r="CO117" i="7"/>
  <c r="ER36" i="15"/>
  <c r="ER139" i="15" s="1"/>
  <c r="CW65" i="15"/>
  <c r="ES12" i="15"/>
  <c r="DK35" i="12"/>
  <c r="DK125" i="12"/>
  <c r="BP57" i="12"/>
  <c r="DK57" i="12" s="1"/>
  <c r="DK115" i="12"/>
  <c r="BP35" i="12"/>
  <c r="BP100" i="12"/>
  <c r="BP110" i="12"/>
  <c r="BP115" i="12"/>
  <c r="ER56" i="18"/>
  <c r="BP125" i="12"/>
  <c r="CZ237" i="2"/>
  <c r="CZ226" i="2" s="1"/>
  <c r="BR106" i="11"/>
  <c r="BR74" i="12"/>
  <c r="CQ107" i="7"/>
  <c r="CQ116" i="7"/>
  <c r="BP42" i="12"/>
  <c r="DK42" i="12" s="1"/>
  <c r="CY34" i="15"/>
  <c r="EI110" i="7"/>
  <c r="CQ58" i="7"/>
  <c r="EJ58" i="7" s="1"/>
  <c r="EJ50" i="7"/>
  <c r="EJ35" i="7"/>
  <c r="BS28" i="11"/>
  <c r="DL28" i="11" s="1"/>
  <c r="DL15" i="11"/>
  <c r="CZ58" i="18"/>
  <c r="ES58" i="18" s="1"/>
  <c r="EJ55" i="7"/>
  <c r="DK89" i="12"/>
  <c r="CY38" i="15"/>
  <c r="CY36" i="15" s="1"/>
  <c r="DK119" i="11"/>
  <c r="BR28" i="12"/>
  <c r="ER98" i="15"/>
  <c r="CX56" i="18"/>
  <c r="CX34" i="15"/>
  <c r="CN105" i="7"/>
  <c r="EI105" i="7" s="1"/>
  <c r="CW85" i="15"/>
  <c r="ER85" i="15" s="1"/>
  <c r="CW130" i="18"/>
  <c r="ER130" i="18" s="1"/>
  <c r="BO129" i="11"/>
  <c r="DK117" i="11"/>
  <c r="CO109" i="7"/>
  <c r="CW261" i="2"/>
  <c r="CO118" i="7"/>
  <c r="CU110" i="18"/>
  <c r="CU192" i="18"/>
  <c r="CU70" i="18"/>
  <c r="CU209" i="18"/>
  <c r="CU187" i="18"/>
  <c r="CT758" i="2"/>
  <c r="CU216" i="18" s="1"/>
  <c r="CU182" i="18"/>
  <c r="CZ21" i="15"/>
  <c r="ES21" i="15" s="1"/>
  <c r="BS17" i="12"/>
  <c r="DL17" i="12" s="1"/>
  <c r="CY225" i="2"/>
  <c r="CY224" i="2" s="1"/>
  <c r="CQ70" i="7"/>
  <c r="CZ56" i="15" s="1"/>
  <c r="BQ35" i="12"/>
  <c r="BQ125" i="12"/>
  <c r="BQ110" i="12"/>
  <c r="BQ57" i="12"/>
  <c r="BQ115" i="12"/>
  <c r="BQ42" i="12"/>
  <c r="BP109" i="11"/>
  <c r="DK109" i="11" s="1"/>
  <c r="BP76" i="12"/>
  <c r="DK76" i="12" s="1"/>
  <c r="CW147" i="18"/>
  <c r="CW109" i="15"/>
  <c r="CU170" i="18"/>
  <c r="CX67" i="15"/>
  <c r="CX36" i="15"/>
  <c r="CX65" i="15" s="1"/>
  <c r="CX98" i="15"/>
  <c r="BQ119" i="11"/>
  <c r="CO142" i="7"/>
  <c r="BQ89" i="12"/>
  <c r="CY291" i="2"/>
  <c r="CY298" i="2" s="1"/>
  <c r="CQ141" i="7"/>
  <c r="EJ141" i="7" s="1"/>
  <c r="CZ297" i="2"/>
  <c r="CY275" i="2"/>
  <c r="CX271" i="2"/>
  <c r="CX265" i="2"/>
  <c r="CU138" i="18"/>
  <c r="CU111" i="15"/>
  <c r="CU94" i="15"/>
  <c r="CU101" i="18"/>
  <c r="CY161" i="18"/>
  <c r="CP134" i="7"/>
  <c r="BR127" i="11"/>
  <c r="BR98" i="12"/>
  <c r="CZ211" i="2"/>
  <c r="CR50" i="7"/>
  <c r="CR58" i="7" s="1"/>
  <c r="BO103" i="11"/>
  <c r="BO71" i="12"/>
  <c r="BO83" i="12" s="1"/>
  <c r="BO104" i="12" s="1"/>
  <c r="BO119" i="12" s="1"/>
  <c r="BO129" i="12" s="1"/>
  <c r="CV187" i="18"/>
  <c r="CV182" i="18"/>
  <c r="CU758" i="2"/>
  <c r="CV216" i="18" s="1"/>
  <c r="CV192" i="18"/>
  <c r="CV70" i="18"/>
  <c r="CV209" i="18"/>
  <c r="BO81" i="11"/>
  <c r="BO92" i="11"/>
  <c r="CV147" i="18"/>
  <c r="CV109" i="15"/>
  <c r="ER96" i="15"/>
  <c r="CV132" i="18"/>
  <c r="ER132" i="18" s="1"/>
  <c r="ER86" i="15"/>
  <c r="CZ38" i="18"/>
  <c r="CZ7" i="18" s="1"/>
  <c r="CZ3" i="18" s="1"/>
  <c r="CQ62" i="7"/>
  <c r="EJ62" i="7" s="1"/>
  <c r="CZ50" i="18"/>
  <c r="ES50" i="18" s="1"/>
  <c r="CR35" i="7"/>
  <c r="BN133" i="11"/>
  <c r="CY48" i="18"/>
  <c r="CY46" i="18" s="1"/>
  <c r="CY36" i="18"/>
  <c r="CY34" i="18" s="1"/>
  <c r="CY61" i="18" s="1"/>
  <c r="DA201" i="2"/>
  <c r="CS8" i="7"/>
  <c r="BT29" i="11"/>
  <c r="CY276" i="2"/>
  <c r="CX266" i="2"/>
  <c r="CT7" i="7"/>
  <c r="EK7" i="7" s="1"/>
  <c r="DC155" i="2"/>
  <c r="DB156" i="2"/>
  <c r="DB154" i="2" s="1"/>
  <c r="DB242" i="2" s="1"/>
  <c r="BT53" i="12"/>
  <c r="BT75" i="11"/>
  <c r="CO119" i="7"/>
  <c r="CO110" i="7"/>
  <c r="DA14" i="15"/>
  <c r="BQ28" i="12"/>
  <c r="BT76" i="11"/>
  <c r="BT54" i="12"/>
  <c r="CS19" i="7"/>
  <c r="DA171" i="2"/>
  <c r="DB172" i="2"/>
  <c r="DA196" i="2"/>
  <c r="DA209" i="2" s="1"/>
  <c r="DA212" i="2"/>
  <c r="DA220" i="2" s="1"/>
  <c r="DA219" i="2" s="1"/>
  <c r="DA263" i="2" s="1"/>
  <c r="CS36" i="7"/>
  <c r="CX48" i="18"/>
  <c r="CX36" i="18"/>
  <c r="CX3" i="18"/>
  <c r="BN79" i="12"/>
  <c r="CU164" i="18"/>
  <c r="BT15" i="11"/>
  <c r="BT34" i="11"/>
  <c r="BN67" i="12"/>
  <c r="BN81" i="12"/>
  <c r="DA200" i="2"/>
  <c r="BO55" i="12"/>
  <c r="BO63" i="12"/>
  <c r="CR61" i="7"/>
  <c r="BN104" i="12"/>
  <c r="BT10" i="12"/>
  <c r="BT19" i="12"/>
  <c r="CZ32" i="15"/>
  <c r="CZ216" i="2"/>
  <c r="CR55" i="7" s="1"/>
  <c r="CR40" i="7"/>
  <c r="BR50" i="11"/>
  <c r="CU83" i="18"/>
  <c r="BN112" i="11"/>
  <c r="BN93" i="11"/>
  <c r="DA233" i="2"/>
  <c r="CS78" i="7" s="1"/>
  <c r="DB62" i="15" s="1"/>
  <c r="CS88" i="7"/>
  <c r="DB243" i="2"/>
  <c r="BN110" i="11"/>
  <c r="DD239" i="2"/>
  <c r="DC229" i="2"/>
  <c r="CU84" i="7"/>
  <c r="BO100" i="12"/>
  <c r="DK87" i="12"/>
  <c r="ES17" i="18"/>
  <c r="CX15" i="18"/>
  <c r="ES15" i="18" s="1"/>
  <c r="BQ85" i="11"/>
  <c r="BQ50" i="11"/>
  <c r="CP151" i="7"/>
  <c r="CP65" i="7"/>
  <c r="CP148" i="7"/>
  <c r="DB167" i="2"/>
  <c r="CT16" i="7"/>
  <c r="EK16" i="7" s="1"/>
  <c r="DC168" i="2"/>
  <c r="DB197" i="2"/>
  <c r="CU113" i="15"/>
  <c r="CQ49" i="7"/>
  <c r="CQ52" i="7" s="1"/>
  <c r="BS26" i="12"/>
  <c r="BS24" i="12" s="1"/>
  <c r="DL24" i="12" s="1"/>
  <c r="BS46" i="11"/>
  <c r="BS40" i="11" s="1"/>
  <c r="BS41" i="11"/>
  <c r="DL41" i="11" s="1"/>
  <c r="BR32" i="12"/>
  <c r="CS15" i="7"/>
  <c r="DB14" i="15" s="1"/>
  <c r="BU21" i="11"/>
  <c r="BU16" i="11"/>
  <c r="BU29" i="11" s="1"/>
  <c r="BU12" i="12"/>
  <c r="CV79" i="15"/>
  <c r="CM112" i="7"/>
  <c r="BV72" i="11"/>
  <c r="DM72" i="11" s="1"/>
  <c r="BV50" i="12"/>
  <c r="DM50" i="12" s="1"/>
  <c r="BP108" i="11"/>
  <c r="DK108" i="11" s="1"/>
  <c r="BP77" i="12"/>
  <c r="DK77" i="12" s="1"/>
  <c r="CN114" i="7"/>
  <c r="EI114" i="7" s="1"/>
  <c r="CW65" i="18"/>
  <c r="ER65" i="18" s="1"/>
  <c r="ER73" i="18" s="1"/>
  <c r="CW127" i="15"/>
  <c r="CW139" i="15"/>
  <c r="CW42" i="15"/>
  <c r="CW121" i="15"/>
  <c r="CL98" i="7"/>
  <c r="CL129" i="7"/>
  <c r="CU88" i="15"/>
  <c r="CU121" i="18"/>
  <c r="CO151" i="7"/>
  <c r="CO148" i="7"/>
  <c r="CO65" i="7"/>
  <c r="DK83" i="11" l="1"/>
  <c r="CS87" i="7"/>
  <c r="DA232" i="2"/>
  <c r="CS77" i="7" s="1"/>
  <c r="DB61" i="15" s="1"/>
  <c r="BP44" i="12"/>
  <c r="DK44" i="12" s="1"/>
  <c r="CW73" i="15"/>
  <c r="ER73" i="15" s="1"/>
  <c r="CN92" i="7"/>
  <c r="ER53" i="15"/>
  <c r="BP99" i="11"/>
  <c r="DK99" i="11" s="1"/>
  <c r="DK80" i="11"/>
  <c r="CN68" i="7"/>
  <c r="BP65" i="12"/>
  <c r="DK65" i="12" s="1"/>
  <c r="CW85" i="18"/>
  <c r="CW83" i="18" s="1"/>
  <c r="CW63" i="15"/>
  <c r="CV108" i="18"/>
  <c r="CV107" i="18"/>
  <c r="DK94" i="11"/>
  <c r="BP62" i="11"/>
  <c r="DK62" i="11" s="1"/>
  <c r="DK81" i="11" s="1"/>
  <c r="BP94" i="11"/>
  <c r="CW71" i="15"/>
  <c r="CX234" i="2"/>
  <c r="CV92" i="15"/>
  <c r="ER51" i="15"/>
  <c r="CX73" i="15"/>
  <c r="BO90" i="11"/>
  <c r="BQ44" i="12"/>
  <c r="CX51" i="15"/>
  <c r="BQ62" i="11"/>
  <c r="EI68" i="7"/>
  <c r="EI92" i="7"/>
  <c r="BQ99" i="11"/>
  <c r="CM79" i="7"/>
  <c r="CM97" i="7"/>
  <c r="CM93" i="7"/>
  <c r="CM94" i="7" s="1"/>
  <c r="CV85" i="18"/>
  <c r="CV83" i="18" s="1"/>
  <c r="CV99" i="18" s="1"/>
  <c r="CV63" i="15"/>
  <c r="CO92" i="7"/>
  <c r="CV71" i="15"/>
  <c r="CO68" i="7"/>
  <c r="CO97" i="7" s="1"/>
  <c r="BQ65" i="12"/>
  <c r="BQ94" i="11"/>
  <c r="BS48" i="11"/>
  <c r="EK73" i="7"/>
  <c r="CY65" i="15"/>
  <c r="ER42" i="15"/>
  <c r="ER127" i="15"/>
  <c r="CY53" i="15"/>
  <c r="CY51" i="15" s="1"/>
  <c r="CP69" i="7"/>
  <c r="CP68" i="7" s="1"/>
  <c r="CP79" i="7" s="1"/>
  <c r="CP99" i="7"/>
  <c r="BR63" i="11"/>
  <c r="BR62" i="11" s="1"/>
  <c r="BR46" i="12"/>
  <c r="BR44" i="12" s="1"/>
  <c r="BS67" i="11"/>
  <c r="DL67" i="11" s="1"/>
  <c r="BS68" i="11"/>
  <c r="DL68" i="11" s="1"/>
  <c r="BR85" i="11"/>
  <c r="BR80" i="11"/>
  <c r="BR99" i="11" s="1"/>
  <c r="BS48" i="12"/>
  <c r="DL48" i="12" s="1"/>
  <c r="CQ81" i="7"/>
  <c r="EJ81" i="7" s="1"/>
  <c r="ER65" i="15"/>
  <c r="ER61" i="18"/>
  <c r="CW129" i="18"/>
  <c r="ER84" i="15"/>
  <c r="CU73" i="7"/>
  <c r="DD58" i="15" s="1"/>
  <c r="CY264" i="2"/>
  <c r="CY234" i="2"/>
  <c r="BQ75" i="12"/>
  <c r="BQ107" i="11"/>
  <c r="CX129" i="18"/>
  <c r="CP117" i="7"/>
  <c r="CP108" i="7"/>
  <c r="CY84" i="15" s="1"/>
  <c r="CY129" i="18" s="1"/>
  <c r="ER121" i="15"/>
  <c r="BP61" i="12"/>
  <c r="EJ70" i="7"/>
  <c r="CZ236" i="2"/>
  <c r="CR82" i="7"/>
  <c r="BT67" i="11" s="1"/>
  <c r="EJ116" i="7"/>
  <c r="BS106" i="11"/>
  <c r="DL106" i="11" s="1"/>
  <c r="BS74" i="12"/>
  <c r="DL74" i="12" s="1"/>
  <c r="CZ83" i="15"/>
  <c r="EJ107" i="7"/>
  <c r="DA237" i="2"/>
  <c r="CS82" i="7" s="1"/>
  <c r="CR107" i="7"/>
  <c r="CR116" i="7"/>
  <c r="CQ57" i="7"/>
  <c r="EJ57" i="7" s="1"/>
  <c r="EJ151" i="7" s="1"/>
  <c r="BS51" i="11"/>
  <c r="DL51" i="11" s="1"/>
  <c r="BS56" i="11"/>
  <c r="DL56" i="11" s="1"/>
  <c r="CY67" i="15"/>
  <c r="DL40" i="11"/>
  <c r="DL48" i="11" s="1"/>
  <c r="EJ49" i="7"/>
  <c r="DL46" i="11"/>
  <c r="ES38" i="18"/>
  <c r="ES3" i="18"/>
  <c r="ES7" i="18"/>
  <c r="CZ30" i="15"/>
  <c r="ES30" i="15" s="1"/>
  <c r="ES34" i="15" s="1"/>
  <c r="ES32" i="15"/>
  <c r="DL26" i="12"/>
  <c r="DL28" i="12"/>
  <c r="BS28" i="12"/>
  <c r="DK61" i="12"/>
  <c r="CT87" i="7"/>
  <c r="EK87" i="7" s="1"/>
  <c r="DB232" i="2"/>
  <c r="CT77" i="7" s="1"/>
  <c r="DC61" i="15" s="1"/>
  <c r="DA58" i="18"/>
  <c r="DA215" i="2"/>
  <c r="CS54" i="7" s="1"/>
  <c r="CS39" i="7"/>
  <c r="CT19" i="7"/>
  <c r="EK19" i="7" s="1"/>
  <c r="DB171" i="2"/>
  <c r="DC172" i="2"/>
  <c r="DC200" i="2" s="1"/>
  <c r="BQ87" i="12"/>
  <c r="CX65" i="18"/>
  <c r="CX127" i="15"/>
  <c r="CX121" i="15"/>
  <c r="CX139" i="15"/>
  <c r="CX42" i="15"/>
  <c r="DA12" i="15"/>
  <c r="DA23" i="15"/>
  <c r="BN85" i="12"/>
  <c r="BN102" i="12"/>
  <c r="CT8" i="7"/>
  <c r="EK8" i="7" s="1"/>
  <c r="DB201" i="2"/>
  <c r="CS40" i="7"/>
  <c r="DA216" i="2"/>
  <c r="CS55" i="7" s="1"/>
  <c r="DB58" i="18" s="1"/>
  <c r="CR70" i="7"/>
  <c r="DA56" i="15" s="1"/>
  <c r="CZ225" i="2"/>
  <c r="CZ224" i="2" s="1"/>
  <c r="BQ83" i="11"/>
  <c r="BQ154" i="11"/>
  <c r="BQ59" i="11"/>
  <c r="BQ139" i="11"/>
  <c r="BQ144" i="11"/>
  <c r="BO101" i="11"/>
  <c r="BO112" i="11" s="1"/>
  <c r="BO114" i="11"/>
  <c r="CU108" i="18"/>
  <c r="CU107" i="18"/>
  <c r="CL144" i="7"/>
  <c r="CL132" i="7"/>
  <c r="DK100" i="12"/>
  <c r="BT17" i="12"/>
  <c r="CU7" i="7"/>
  <c r="DD155" i="2"/>
  <c r="DC156" i="2"/>
  <c r="DC154" i="2" s="1"/>
  <c r="DC242" i="2" s="1"/>
  <c r="BT46" i="11"/>
  <c r="BT41" i="11"/>
  <c r="CR49" i="7"/>
  <c r="BT26" i="12"/>
  <c r="CU168" i="18"/>
  <c r="CU115" i="15"/>
  <c r="CU129" i="15"/>
  <c r="EI112" i="7"/>
  <c r="CU131" i="15"/>
  <c r="CU756" i="2"/>
  <c r="CV215" i="18"/>
  <c r="CV214" i="18" s="1"/>
  <c r="CU136" i="18"/>
  <c r="CU143" i="18" s="1"/>
  <c r="BQ117" i="11"/>
  <c r="BQ61" i="12"/>
  <c r="CU117" i="18"/>
  <c r="CU116" i="18"/>
  <c r="BW72" i="11"/>
  <c r="BW50" i="12"/>
  <c r="BN131" i="11"/>
  <c r="BN115" i="11"/>
  <c r="CX86" i="15"/>
  <c r="ER109" i="15"/>
  <c r="CP109" i="7"/>
  <c r="CX261" i="2"/>
  <c r="CP118" i="7"/>
  <c r="CX96" i="15"/>
  <c r="BQ108" i="11"/>
  <c r="CO114" i="7"/>
  <c r="BQ77" i="12"/>
  <c r="BQ109" i="11"/>
  <c r="BQ76" i="12"/>
  <c r="DB200" i="2"/>
  <c r="BS32" i="12"/>
  <c r="DL32" i="12" s="1"/>
  <c r="CT756" i="2"/>
  <c r="CU215" i="18"/>
  <c r="CV77" i="15"/>
  <c r="DB212" i="2"/>
  <c r="CT36" i="7"/>
  <c r="EK36" i="7" s="1"/>
  <c r="DB196" i="2"/>
  <c r="DB209" i="2" s="1"/>
  <c r="CU98" i="18"/>
  <c r="CU93" i="18"/>
  <c r="CU99" i="18"/>
  <c r="CU96" i="18"/>
  <c r="CU95" i="18"/>
  <c r="CU94" i="18"/>
  <c r="CU97" i="18"/>
  <c r="CU91" i="18"/>
  <c r="CU92" i="18"/>
  <c r="CU90" i="18"/>
  <c r="BT28" i="11"/>
  <c r="CX34" i="18"/>
  <c r="BU10" i="12"/>
  <c r="BU19" i="12"/>
  <c r="DC197" i="2"/>
  <c r="DC167" i="2"/>
  <c r="CU16" i="7"/>
  <c r="DD168" i="2"/>
  <c r="DD229" i="2"/>
  <c r="DE239" i="2"/>
  <c r="CV84" i="7"/>
  <c r="BN119" i="12"/>
  <c r="CX46" i="18"/>
  <c r="BN148" i="11"/>
  <c r="CV149" i="18"/>
  <c r="CV145" i="18" s="1"/>
  <c r="ER147" i="18"/>
  <c r="CY98" i="15"/>
  <c r="CY96" i="15" s="1"/>
  <c r="BR119" i="11"/>
  <c r="BR117" i="11" s="1"/>
  <c r="BR129" i="11" s="1"/>
  <c r="CP142" i="7"/>
  <c r="BR89" i="12"/>
  <c r="BR87" i="12" s="1"/>
  <c r="CY271" i="2"/>
  <c r="CY265" i="2"/>
  <c r="CZ275" i="2"/>
  <c r="CZ53" i="15"/>
  <c r="CZ51" i="15" s="1"/>
  <c r="CQ69" i="7"/>
  <c r="ES56" i="15"/>
  <c r="CQ99" i="7"/>
  <c r="CZ38" i="15"/>
  <c r="ES38" i="15" s="1"/>
  <c r="CX85" i="15"/>
  <c r="CO105" i="7"/>
  <c r="CX130" i="18"/>
  <c r="CX54" i="18"/>
  <c r="CZ48" i="18"/>
  <c r="CZ46" i="18" s="1"/>
  <c r="CZ36" i="18"/>
  <c r="CZ34" i="18" s="1"/>
  <c r="DK129" i="11"/>
  <c r="CT15" i="7"/>
  <c r="DC14" i="15" s="1"/>
  <c r="ET14" i="15" s="1"/>
  <c r="BV21" i="11"/>
  <c r="DM21" i="11" s="1"/>
  <c r="BV16" i="11"/>
  <c r="BV12" i="12"/>
  <c r="DM12" i="12" s="1"/>
  <c r="BR59" i="11"/>
  <c r="BR154" i="11"/>
  <c r="BR144" i="11"/>
  <c r="BR139" i="11"/>
  <c r="BR83" i="11"/>
  <c r="BR84" i="11" s="1"/>
  <c r="CZ291" i="2"/>
  <c r="CZ298" i="2" s="1"/>
  <c r="CR141" i="7"/>
  <c r="DA297" i="2"/>
  <c r="CW149" i="18"/>
  <c r="CW170" i="18" s="1"/>
  <c r="CW63" i="18"/>
  <c r="CW73" i="18"/>
  <c r="BU15" i="11"/>
  <c r="BU28" i="11" s="1"/>
  <c r="BU34" i="11"/>
  <c r="CS35" i="7"/>
  <c r="CS47" i="7" s="1"/>
  <c r="CP119" i="7"/>
  <c r="CP110" i="7"/>
  <c r="CY86" i="15" s="1"/>
  <c r="CY132" i="18" s="1"/>
  <c r="BS127" i="11"/>
  <c r="DL127" i="11" s="1"/>
  <c r="CZ161" i="18"/>
  <c r="ES161" i="18" s="1"/>
  <c r="BS98" i="12"/>
  <c r="DL98" i="12" s="1"/>
  <c r="CQ134" i="7"/>
  <c r="EJ134" i="7" s="1"/>
  <c r="CR47" i="7"/>
  <c r="BO93" i="11"/>
  <c r="CU119" i="18"/>
  <c r="CW103" i="18"/>
  <c r="CW69" i="15"/>
  <c r="DB12" i="15"/>
  <c r="DB17" i="18" s="1"/>
  <c r="DB15" i="18" s="1"/>
  <c r="DB23" i="15"/>
  <c r="CT88" i="7"/>
  <c r="EK88" i="7" s="1"/>
  <c r="DB233" i="2"/>
  <c r="CT78" i="7" s="1"/>
  <c r="DC62" i="15" s="1"/>
  <c r="DC243" i="2"/>
  <c r="BO67" i="12"/>
  <c r="DA32" i="15"/>
  <c r="DA211" i="2"/>
  <c r="CS50" i="7"/>
  <c r="CS58" i="7" s="1"/>
  <c r="CZ276" i="2"/>
  <c r="CY266" i="2"/>
  <c r="BT56" i="11"/>
  <c r="CR57" i="7"/>
  <c r="BT51" i="11"/>
  <c r="CY65" i="18"/>
  <c r="CY121" i="15"/>
  <c r="CY42" i="15"/>
  <c r="CY139" i="15"/>
  <c r="CY127" i="15"/>
  <c r="BP71" i="12"/>
  <c r="BP69" i="12" s="1"/>
  <c r="BP79" i="12" s="1"/>
  <c r="BP103" i="11"/>
  <c r="DK103" i="11" s="1"/>
  <c r="BR59" i="12"/>
  <c r="BR30" i="12"/>
  <c r="BU54" i="12"/>
  <c r="BU76" i="11"/>
  <c r="DA38" i="18"/>
  <c r="CR62" i="7"/>
  <c r="DA50" i="18"/>
  <c r="BO69" i="12"/>
  <c r="BO81" i="12" s="1"/>
  <c r="CW79" i="15"/>
  <c r="ER79" i="15" s="1"/>
  <c r="CN112" i="7"/>
  <c r="BU53" i="12"/>
  <c r="BU75" i="11"/>
  <c r="DK84" i="11" l="1"/>
  <c r="CN79" i="7"/>
  <c r="CN97" i="7"/>
  <c r="BP63" i="12"/>
  <c r="DK63" i="12" s="1"/>
  <c r="BP90" i="11"/>
  <c r="CN93" i="7"/>
  <c r="CN94" i="7" s="1"/>
  <c r="BP55" i="12"/>
  <c r="DK55" i="12"/>
  <c r="CW75" i="15"/>
  <c r="CW112" i="18"/>
  <c r="CW110" i="18" s="1"/>
  <c r="BP81" i="11"/>
  <c r="BP92" i="11"/>
  <c r="DK92" i="11" s="1"/>
  <c r="EJ99" i="7"/>
  <c r="CV113" i="15"/>
  <c r="CV131" i="15" s="1"/>
  <c r="CV143" i="15" s="1"/>
  <c r="ER63" i="15"/>
  <c r="EI93" i="7"/>
  <c r="EI94" i="7" s="1"/>
  <c r="CO98" i="7"/>
  <c r="CX71" i="15"/>
  <c r="DK90" i="11"/>
  <c r="BQ92" i="11"/>
  <c r="BQ81" i="11"/>
  <c r="EI79" i="7"/>
  <c r="BQ55" i="12"/>
  <c r="EI97" i="7"/>
  <c r="CV90" i="15"/>
  <c r="ER83" i="18"/>
  <c r="CV98" i="18"/>
  <c r="CW98" i="18" s="1"/>
  <c r="ER85" i="18"/>
  <c r="CO93" i="7"/>
  <c r="CO94" i="7" s="1"/>
  <c r="CO129" i="7"/>
  <c r="BQ63" i="12"/>
  <c r="CX85" i="18"/>
  <c r="CX63" i="15"/>
  <c r="CV112" i="18"/>
  <c r="CV75" i="15"/>
  <c r="ER71" i="15"/>
  <c r="CM98" i="7"/>
  <c r="CM129" i="7"/>
  <c r="BQ90" i="11"/>
  <c r="CO79" i="7"/>
  <c r="BT48" i="12"/>
  <c r="BS63" i="11"/>
  <c r="BS62" i="11" s="1"/>
  <c r="DL62" i="11" s="1"/>
  <c r="BS46" i="12"/>
  <c r="BS44" i="12" s="1"/>
  <c r="DL44" i="12" s="1"/>
  <c r="BS80" i="11"/>
  <c r="DL85" i="11"/>
  <c r="CP92" i="7"/>
  <c r="CP93" i="7" s="1"/>
  <c r="CP94" i="7" s="1"/>
  <c r="CP97" i="7"/>
  <c r="CP98" i="7" s="1"/>
  <c r="CY73" i="15"/>
  <c r="ER69" i="15"/>
  <c r="BR81" i="11"/>
  <c r="ES51" i="15"/>
  <c r="BR92" i="11"/>
  <c r="BR94" i="11"/>
  <c r="CY71" i="15"/>
  <c r="BR65" i="12"/>
  <c r="CY63" i="15"/>
  <c r="CY85" i="18"/>
  <c r="CY83" i="18" s="1"/>
  <c r="BQ84" i="11"/>
  <c r="ER129" i="18"/>
  <c r="DA226" i="2"/>
  <c r="CZ264" i="2"/>
  <c r="CV73" i="7"/>
  <c r="DE58" i="15" s="1"/>
  <c r="DE57" i="15"/>
  <c r="CZ234" i="2"/>
  <c r="BR75" i="12"/>
  <c r="BR107" i="11"/>
  <c r="CQ108" i="7"/>
  <c r="CQ117" i="7"/>
  <c r="DD57" i="15"/>
  <c r="DA236" i="2"/>
  <c r="CR81" i="7"/>
  <c r="BT46" i="12" s="1"/>
  <c r="BT68" i="11"/>
  <c r="CQ151" i="7"/>
  <c r="ET62" i="15"/>
  <c r="CR99" i="7"/>
  <c r="BS85" i="11"/>
  <c r="BS50" i="11"/>
  <c r="DL50" i="11" s="1"/>
  <c r="DL144" i="11" s="1"/>
  <c r="BT106" i="11"/>
  <c r="BT74" i="12"/>
  <c r="DA83" i="15"/>
  <c r="DA128" i="18" s="1"/>
  <c r="CS107" i="7"/>
  <c r="DB83" i="15" s="1"/>
  <c r="DB128" i="18" s="1"/>
  <c r="CS116" i="7"/>
  <c r="ES83" i="15"/>
  <c r="CZ128" i="18"/>
  <c r="ES128" i="18" s="1"/>
  <c r="EJ148" i="7"/>
  <c r="EJ65" i="7"/>
  <c r="EJ142" i="7"/>
  <c r="CQ65" i="7"/>
  <c r="CQ148" i="7"/>
  <c r="ES48" i="18"/>
  <c r="ES36" i="18"/>
  <c r="ES46" i="18"/>
  <c r="CZ56" i="18"/>
  <c r="CZ34" i="15"/>
  <c r="EK15" i="7"/>
  <c r="CQ68" i="7"/>
  <c r="EJ69" i="7"/>
  <c r="ES53" i="15"/>
  <c r="ES34" i="18"/>
  <c r="EJ52" i="7"/>
  <c r="ET61" i="15"/>
  <c r="EK77" i="7"/>
  <c r="EK78" i="7"/>
  <c r="BV29" i="11"/>
  <c r="DM16" i="11"/>
  <c r="CW145" i="18"/>
  <c r="ER145" i="18" s="1"/>
  <c r="CS61" i="7"/>
  <c r="BP83" i="12"/>
  <c r="DK71" i="12"/>
  <c r="CW101" i="18"/>
  <c r="ER101" i="18" s="1"/>
  <c r="ER103" i="18"/>
  <c r="CW99" i="18"/>
  <c r="ER63" i="18"/>
  <c r="BR100" i="12"/>
  <c r="DC232" i="2"/>
  <c r="CU77" i="7" s="1"/>
  <c r="DD61" i="15" s="1"/>
  <c r="CU87" i="7"/>
  <c r="DC12" i="15"/>
  <c r="DC17" i="18" s="1"/>
  <c r="DC15" i="18" s="1"/>
  <c r="DC23" i="15"/>
  <c r="ET23" i="15" s="1"/>
  <c r="DE229" i="2"/>
  <c r="EL72" i="7" s="1"/>
  <c r="EY72" i="7" s="1"/>
  <c r="CW84" i="7"/>
  <c r="EL84" i="7" s="1"/>
  <c r="EY84" i="7" s="1"/>
  <c r="DF239" i="2"/>
  <c r="CU214" i="18"/>
  <c r="CT40" i="7"/>
  <c r="EK40" i="7" s="1"/>
  <c r="DB216" i="2"/>
  <c r="CT55" i="7" s="1"/>
  <c r="CU19" i="7"/>
  <c r="DC171" i="2"/>
  <c r="DD172" i="2"/>
  <c r="DD200" i="2" s="1"/>
  <c r="CY130" i="18"/>
  <c r="CY85" i="15"/>
  <c r="CP105" i="7"/>
  <c r="CU8" i="7"/>
  <c r="DC201" i="2"/>
  <c r="CL153" i="7"/>
  <c r="CL145" i="7"/>
  <c r="CU240" i="18"/>
  <c r="CT794" i="2" s="1"/>
  <c r="CU239" i="18"/>
  <c r="CT791" i="2" s="1"/>
  <c r="CU236" i="18"/>
  <c r="CV90" i="18"/>
  <c r="BS59" i="12"/>
  <c r="DL59" i="12" s="1"/>
  <c r="BS30" i="12"/>
  <c r="BQ129" i="11"/>
  <c r="CU133" i="15"/>
  <c r="CU141" i="15"/>
  <c r="CV7" i="7"/>
  <c r="DE155" i="2"/>
  <c r="DD156" i="2"/>
  <c r="DD154" i="2" s="1"/>
  <c r="DD242" i="2" s="1"/>
  <c r="DA21" i="15"/>
  <c r="DA38" i="15"/>
  <c r="BQ103" i="11"/>
  <c r="BQ71" i="12"/>
  <c r="DA7" i="18"/>
  <c r="BV76" i="11"/>
  <c r="DM76" i="11" s="1"/>
  <c r="BV54" i="12"/>
  <c r="DM54" i="12" s="1"/>
  <c r="CV164" i="18"/>
  <c r="DD167" i="2"/>
  <c r="CV16" i="7"/>
  <c r="DE168" i="2"/>
  <c r="DD197" i="2"/>
  <c r="CR65" i="7"/>
  <c r="CR148" i="7"/>
  <c r="CR151" i="7"/>
  <c r="CZ85" i="18"/>
  <c r="CZ83" i="18" s="1"/>
  <c r="BN158" i="11"/>
  <c r="BW12" i="12"/>
  <c r="BW16" i="11"/>
  <c r="BW21" i="11"/>
  <c r="CU15" i="7"/>
  <c r="CV92" i="18"/>
  <c r="CW92" i="18" s="1"/>
  <c r="BN117" i="12"/>
  <c r="BN105" i="12"/>
  <c r="DA291" i="2"/>
  <c r="DA298" i="2" s="1"/>
  <c r="CS141" i="7"/>
  <c r="DB297" i="2"/>
  <c r="BT50" i="11"/>
  <c r="BO131" i="11"/>
  <c r="BO115" i="11"/>
  <c r="CV91" i="18"/>
  <c r="CW91" i="18" s="1"/>
  <c r="CX132" i="18"/>
  <c r="DA17" i="18"/>
  <c r="BT98" i="12"/>
  <c r="BT127" i="11"/>
  <c r="DA161" i="18"/>
  <c r="CR134" i="7"/>
  <c r="CQ119" i="7"/>
  <c r="EJ119" i="7" s="1"/>
  <c r="CQ110" i="7"/>
  <c r="CZ86" i="15" s="1"/>
  <c r="CZ132" i="18" s="1"/>
  <c r="BR76" i="12"/>
  <c r="BR109" i="11"/>
  <c r="DC196" i="2"/>
  <c r="DC209" i="2" s="1"/>
  <c r="DC212" i="2"/>
  <c r="CU36" i="7"/>
  <c r="CV97" i="18"/>
  <c r="CW97" i="18" s="1"/>
  <c r="CU166" i="18"/>
  <c r="CU39" i="7"/>
  <c r="DC215" i="2"/>
  <c r="CU54" i="7" s="1"/>
  <c r="CQ92" i="7"/>
  <c r="CV758" i="2"/>
  <c r="CW216" i="18" s="1"/>
  <c r="ER216" i="18" s="1"/>
  <c r="CW70" i="18"/>
  <c r="CW182" i="18"/>
  <c r="CW192" i="18"/>
  <c r="CW209" i="18"/>
  <c r="CW187" i="18"/>
  <c r="CZ265" i="2"/>
  <c r="CZ271" i="2"/>
  <c r="DA275" i="2"/>
  <c r="BR63" i="12"/>
  <c r="BR115" i="12"/>
  <c r="BR57" i="12"/>
  <c r="BR35" i="12"/>
  <c r="BR42" i="12"/>
  <c r="BR110" i="12"/>
  <c r="BR125" i="12"/>
  <c r="BR55" i="12"/>
  <c r="CQ118" i="7"/>
  <c r="EJ118" i="7" s="1"/>
  <c r="CQ109" i="7"/>
  <c r="EJ109" i="7" s="1"/>
  <c r="CY261" i="2"/>
  <c r="CZ266" i="2"/>
  <c r="DA276" i="2"/>
  <c r="CX61" i="18"/>
  <c r="BU17" i="12"/>
  <c r="CV94" i="18"/>
  <c r="CW94" i="18" s="1"/>
  <c r="CT35" i="7"/>
  <c r="CT47" i="7" s="1"/>
  <c r="EK47" i="7" s="1"/>
  <c r="BT24" i="12"/>
  <c r="BO133" i="11"/>
  <c r="CX103" i="18"/>
  <c r="CX69" i="15"/>
  <c r="DC233" i="2"/>
  <c r="CU78" i="7" s="1"/>
  <c r="DD62" i="15" s="1"/>
  <c r="CU88" i="7"/>
  <c r="DD243" i="2"/>
  <c r="CV95" i="18"/>
  <c r="CW95" i="18" s="1"/>
  <c r="CT50" i="7"/>
  <c r="DB211" i="2"/>
  <c r="DB215" i="2"/>
  <c r="CT54" i="7" s="1"/>
  <c r="CT39" i="7"/>
  <c r="EK39" i="7" s="1"/>
  <c r="BO110" i="11"/>
  <c r="BP101" i="11"/>
  <c r="BP110" i="11" s="1"/>
  <c r="BP114" i="11"/>
  <c r="BP133" i="11" s="1"/>
  <c r="BP148" i="11" s="1"/>
  <c r="BP158" i="11" s="1"/>
  <c r="CV96" i="18"/>
  <c r="CW96" i="18" s="1"/>
  <c r="DB220" i="2"/>
  <c r="DB219" i="2" s="1"/>
  <c r="DB263" i="2" s="1"/>
  <c r="BN146" i="11"/>
  <c r="BN134" i="11"/>
  <c r="CR52" i="7"/>
  <c r="BT32" i="12"/>
  <c r="BU56" i="11"/>
  <c r="CS57" i="7"/>
  <c r="BU51" i="11"/>
  <c r="CW77" i="15"/>
  <c r="ER77" i="15" s="1"/>
  <c r="CW92" i="15"/>
  <c r="BO79" i="12"/>
  <c r="DK69" i="12"/>
  <c r="DA30" i="15"/>
  <c r="BV10" i="12"/>
  <c r="DM10" i="12" s="1"/>
  <c r="BV19" i="12"/>
  <c r="DM19" i="12" s="1"/>
  <c r="CO112" i="7"/>
  <c r="CX79" i="15"/>
  <c r="BN129" i="12"/>
  <c r="CX109" i="15"/>
  <c r="CX147" i="18"/>
  <c r="CU143" i="15"/>
  <c r="DA53" i="15"/>
  <c r="CR69" i="7"/>
  <c r="CR92" i="7" s="1"/>
  <c r="CX63" i="18"/>
  <c r="CX73" i="18"/>
  <c r="CS81" i="7"/>
  <c r="BU68" i="11"/>
  <c r="BU67" i="11"/>
  <c r="BU48" i="12"/>
  <c r="CY69" i="15"/>
  <c r="CY103" i="18"/>
  <c r="CY101" i="18" s="1"/>
  <c r="CV170" i="18"/>
  <c r="ER170" i="18" s="1"/>
  <c r="ER149" i="18"/>
  <c r="BU41" i="11"/>
  <c r="CS49" i="7"/>
  <c r="CS52" i="7" s="1"/>
  <c r="BU46" i="11"/>
  <c r="BU40" i="11" s="1"/>
  <c r="BU48" i="11" s="1"/>
  <c r="BU26" i="12"/>
  <c r="BU24" i="12" s="1"/>
  <c r="DB21" i="15"/>
  <c r="BO102" i="12"/>
  <c r="BO85" i="12"/>
  <c r="CV93" i="18"/>
  <c r="CW93" i="18" s="1"/>
  <c r="CV121" i="18"/>
  <c r="CV88" i="15"/>
  <c r="BT40" i="11"/>
  <c r="BT48" i="11" s="1"/>
  <c r="BQ100" i="12"/>
  <c r="CY73" i="18"/>
  <c r="CY63" i="18"/>
  <c r="CU134" i="18"/>
  <c r="CZ98" i="15"/>
  <c r="CZ96" i="15" s="1"/>
  <c r="ES96" i="15" s="1"/>
  <c r="BS119" i="11"/>
  <c r="BS117" i="11" s="1"/>
  <c r="BS89" i="12"/>
  <c r="BS87" i="12" s="1"/>
  <c r="CQ142" i="7"/>
  <c r="BV15" i="11"/>
  <c r="BV28" i="11" s="1"/>
  <c r="DM28" i="11" s="1"/>
  <c r="BV34" i="11"/>
  <c r="DM34" i="11" s="1"/>
  <c r="CZ73" i="15"/>
  <c r="CZ67" i="15"/>
  <c r="ES67" i="15" s="1"/>
  <c r="CZ36" i="15"/>
  <c r="CZ65" i="15" s="1"/>
  <c r="CY109" i="15"/>
  <c r="CY147" i="18"/>
  <c r="BX50" i="12"/>
  <c r="BX72" i="11"/>
  <c r="BR77" i="12"/>
  <c r="BR108" i="11"/>
  <c r="CP114" i="7"/>
  <c r="DB38" i="18"/>
  <c r="DB7" i="18" s="1"/>
  <c r="DB3" i="18" s="1"/>
  <c r="CS62" i="7"/>
  <c r="DB50" i="18"/>
  <c r="DB32" i="15"/>
  <c r="DB30" i="15" s="1"/>
  <c r="BV53" i="12"/>
  <c r="DM53" i="12" s="1"/>
  <c r="BV75" i="11"/>
  <c r="DM75" i="11" s="1"/>
  <c r="BP81" i="12" l="1"/>
  <c r="DK81" i="12" s="1"/>
  <c r="BP67" i="12"/>
  <c r="DK67" i="12"/>
  <c r="CN129" i="7"/>
  <c r="CN98" i="7"/>
  <c r="DK93" i="11"/>
  <c r="CW117" i="18"/>
  <c r="CW116" i="18"/>
  <c r="BP93" i="11"/>
  <c r="BS99" i="11"/>
  <c r="DL99" i="11" s="1"/>
  <c r="DL46" i="12"/>
  <c r="DL63" i="11"/>
  <c r="CO144" i="7"/>
  <c r="ER112" i="18"/>
  <c r="CX83" i="18"/>
  <c r="CX98" i="18" s="1"/>
  <c r="DL80" i="11"/>
  <c r="EI98" i="7"/>
  <c r="ER99" i="18"/>
  <c r="CO132" i="7"/>
  <c r="EI129" i="7"/>
  <c r="CX112" i="18"/>
  <c r="BQ93" i="11"/>
  <c r="ER75" i="15"/>
  <c r="BQ67" i="12"/>
  <c r="CM144" i="7"/>
  <c r="CM132" i="7"/>
  <c r="CV138" i="18"/>
  <c r="CV111" i="15"/>
  <c r="CV94" i="15"/>
  <c r="CV110" i="18"/>
  <c r="CX75" i="15"/>
  <c r="BS65" i="12"/>
  <c r="BS55" i="12"/>
  <c r="BS94" i="11"/>
  <c r="BT85" i="11"/>
  <c r="CS70" i="7"/>
  <c r="DB56" i="15" s="1"/>
  <c r="DA225" i="2"/>
  <c r="DA224" i="2" s="1"/>
  <c r="CQ97" i="7"/>
  <c r="BR90" i="11"/>
  <c r="DL65" i="12"/>
  <c r="EJ92" i="7"/>
  <c r="EJ97" i="7"/>
  <c r="EJ98" i="7" s="1"/>
  <c r="CY75" i="15"/>
  <c r="BR93" i="11"/>
  <c r="CY112" i="18"/>
  <c r="CY110" i="18" s="1"/>
  <c r="ES73" i="15"/>
  <c r="BT80" i="11"/>
  <c r="DM29" i="11"/>
  <c r="BT63" i="11"/>
  <c r="BT94" i="11" s="1"/>
  <c r="BS81" i="11"/>
  <c r="DA264" i="2"/>
  <c r="CW73" i="7"/>
  <c r="DF58" i="15" s="1"/>
  <c r="EU58" i="15" s="1"/>
  <c r="FH58" i="15" s="1"/>
  <c r="DF57" i="15"/>
  <c r="EU57" i="15" s="1"/>
  <c r="FH57" i="15" s="1"/>
  <c r="EJ117" i="7"/>
  <c r="BS107" i="11"/>
  <c r="DL107" i="11" s="1"/>
  <c r="BS75" i="12"/>
  <c r="DL75" i="12" s="1"/>
  <c r="EJ108" i="7"/>
  <c r="CZ84" i="15"/>
  <c r="CR117" i="7"/>
  <c r="CR108" i="7"/>
  <c r="DL81" i="11"/>
  <c r="DL154" i="11"/>
  <c r="ES85" i="18"/>
  <c r="DL139" i="11"/>
  <c r="DL59" i="11"/>
  <c r="BS129" i="11"/>
  <c r="BS139" i="11"/>
  <c r="BS92" i="11"/>
  <c r="DL92" i="11" s="1"/>
  <c r="DL93" i="11" s="1"/>
  <c r="BS83" i="11"/>
  <c r="BS59" i="11"/>
  <c r="BS144" i="11"/>
  <c r="BS154" i="11"/>
  <c r="BU74" i="12"/>
  <c r="BU106" i="11"/>
  <c r="DB237" i="2"/>
  <c r="DB236" i="2" s="1"/>
  <c r="CW164" i="18"/>
  <c r="ET12" i="15"/>
  <c r="BS100" i="12"/>
  <c r="DC32" i="15"/>
  <c r="DC30" i="15" s="1"/>
  <c r="ET30" i="15" s="1"/>
  <c r="DL87" i="12"/>
  <c r="ES132" i="18"/>
  <c r="CZ54" i="18"/>
  <c r="ES56" i="18"/>
  <c r="EJ110" i="7"/>
  <c r="DL119" i="11"/>
  <c r="DM15" i="11"/>
  <c r="DL117" i="11"/>
  <c r="DL129" i="11" s="1"/>
  <c r="CQ79" i="7"/>
  <c r="EJ68" i="7"/>
  <c r="CT58" i="7"/>
  <c r="EK58" i="7" s="1"/>
  <c r="EK50" i="7"/>
  <c r="BR61" i="12"/>
  <c r="DL30" i="12"/>
  <c r="EK35" i="7"/>
  <c r="DL89" i="12"/>
  <c r="ES98" i="15"/>
  <c r="CZ63" i="15"/>
  <c r="ES36" i="15"/>
  <c r="ES109" i="15" s="1"/>
  <c r="ES86" i="15"/>
  <c r="DC58" i="18"/>
  <c r="ET58" i="18" s="1"/>
  <c r="EK55" i="7"/>
  <c r="EK54" i="7"/>
  <c r="BU28" i="12"/>
  <c r="CT61" i="7"/>
  <c r="EK61" i="7" s="1"/>
  <c r="ER108" i="18"/>
  <c r="ER107" i="18"/>
  <c r="ER91" i="18"/>
  <c r="CW108" i="18"/>
  <c r="CW107" i="18"/>
  <c r="DK114" i="11"/>
  <c r="DK101" i="11"/>
  <c r="DK110" i="11" s="1"/>
  <c r="ER97" i="18"/>
  <c r="ER93" i="18"/>
  <c r="CW113" i="15"/>
  <c r="ER92" i="15"/>
  <c r="ER94" i="18"/>
  <c r="BU32" i="12"/>
  <c r="BU30" i="12" s="1"/>
  <c r="BP104" i="12"/>
  <c r="DK83" i="12"/>
  <c r="ER187" i="18"/>
  <c r="ER182" i="18"/>
  <c r="ER192" i="18"/>
  <c r="ER70" i="18"/>
  <c r="ER209" i="18"/>
  <c r="DD232" i="2"/>
  <c r="CV77" i="7" s="1"/>
  <c r="DE61" i="15" s="1"/>
  <c r="CV87" i="7"/>
  <c r="BT90" i="11"/>
  <c r="CR93" i="7"/>
  <c r="CR94" i="7" s="1"/>
  <c r="CX77" i="15"/>
  <c r="CX92" i="15"/>
  <c r="CW121" i="18"/>
  <c r="CW119" i="18" s="1"/>
  <c r="CW134" i="18" s="1"/>
  <c r="CW88" i="15"/>
  <c r="CW90" i="15"/>
  <c r="ER90" i="15" s="1"/>
  <c r="ER94" i="15" s="1"/>
  <c r="CR110" i="7"/>
  <c r="CR119" i="7"/>
  <c r="DB291" i="2"/>
  <c r="DB298" i="2" s="1"/>
  <c r="CT141" i="7"/>
  <c r="EK141" i="7" s="1"/>
  <c r="DC297" i="2"/>
  <c r="BW29" i="11"/>
  <c r="BQ69" i="12"/>
  <c r="BQ83" i="12"/>
  <c r="CQ93" i="7"/>
  <c r="CQ94" i="7" s="1"/>
  <c r="BS90" i="11"/>
  <c r="BW10" i="12"/>
  <c r="BW19" i="12"/>
  <c r="BQ101" i="11"/>
  <c r="BQ114" i="11"/>
  <c r="DD215" i="2"/>
  <c r="CV54" i="7" s="1"/>
  <c r="CV39" i="7"/>
  <c r="DD196" i="2"/>
  <c r="DD209" i="2" s="1"/>
  <c r="CV36" i="7"/>
  <c r="DD212" i="2"/>
  <c r="BT44" i="12"/>
  <c r="BO105" i="12"/>
  <c r="BO117" i="12"/>
  <c r="CY107" i="18"/>
  <c r="CY108" i="18"/>
  <c r="DA51" i="15"/>
  <c r="BV17" i="12"/>
  <c r="DM17" i="12" s="1"/>
  <c r="BT59" i="12"/>
  <c r="BT65" i="12"/>
  <c r="BT30" i="12"/>
  <c r="BO148" i="11"/>
  <c r="DK133" i="11"/>
  <c r="CZ130" i="18"/>
  <c r="ES130" i="18" s="1"/>
  <c r="CZ85" i="15"/>
  <c r="ES85" i="15" s="1"/>
  <c r="CQ105" i="7"/>
  <c r="EJ105" i="7" s="1"/>
  <c r="EJ112" i="7" s="1"/>
  <c r="DA271" i="2"/>
  <c r="DB275" i="2"/>
  <c r="DA265" i="2"/>
  <c r="BS76" i="12"/>
  <c r="DL76" i="12" s="1"/>
  <c r="BS109" i="11"/>
  <c r="DL109" i="11" s="1"/>
  <c r="CW16" i="7"/>
  <c r="EL16" i="7" s="1"/>
  <c r="EY16" i="7" s="1"/>
  <c r="EY36" i="7" s="1"/>
  <c r="DE167" i="2"/>
  <c r="DF168" i="2"/>
  <c r="DE197" i="2"/>
  <c r="DC50" i="18"/>
  <c r="ET50" i="18" s="1"/>
  <c r="CT62" i="7"/>
  <c r="EK62" i="7" s="1"/>
  <c r="DC38" i="18"/>
  <c r="BU50" i="11"/>
  <c r="BU85" i="11"/>
  <c r="BW76" i="11"/>
  <c r="BW54" i="12"/>
  <c r="BR67" i="12"/>
  <c r="CU145" i="15"/>
  <c r="CY149" i="18"/>
  <c r="CY170" i="18" s="1"/>
  <c r="CZ109" i="15"/>
  <c r="CZ147" i="18"/>
  <c r="ES147" i="18" s="1"/>
  <c r="ER88" i="15"/>
  <c r="BS108" i="11"/>
  <c r="DL108" i="11" s="1"/>
  <c r="BS77" i="12"/>
  <c r="DL77" i="12" s="1"/>
  <c r="CQ114" i="7"/>
  <c r="EJ114" i="7" s="1"/>
  <c r="BN120" i="12"/>
  <c r="BN127" i="12"/>
  <c r="CV15" i="7"/>
  <c r="DE14" i="15" s="1"/>
  <c r="BX12" i="12"/>
  <c r="BX21" i="11"/>
  <c r="BX16" i="11"/>
  <c r="BX29" i="11" s="1"/>
  <c r="DA67" i="15"/>
  <c r="DA73" i="15"/>
  <c r="DA36" i="15"/>
  <c r="DA65" i="15" s="1"/>
  <c r="BU98" i="12"/>
  <c r="DB161" i="18"/>
  <c r="CS134" i="7"/>
  <c r="BU127" i="11"/>
  <c r="CS151" i="7"/>
  <c r="CS65" i="7"/>
  <c r="CS148" i="7"/>
  <c r="BT28" i="12"/>
  <c r="CZ261" i="2"/>
  <c r="CR118" i="7"/>
  <c r="CR109" i="7"/>
  <c r="DA36" i="18"/>
  <c r="DA48" i="18"/>
  <c r="CL161" i="7"/>
  <c r="CL154" i="7"/>
  <c r="ER164" i="18"/>
  <c r="DC216" i="2"/>
  <c r="CU55" i="7" s="1"/>
  <c r="DD32" i="15" s="1"/>
  <c r="CU40" i="7"/>
  <c r="DB56" i="18"/>
  <c r="DB54" i="18" s="1"/>
  <c r="DB34" i="15"/>
  <c r="CX758" i="2"/>
  <c r="CY216" i="18" s="1"/>
  <c r="CY70" i="18"/>
  <c r="CY192" i="18"/>
  <c r="CY209" i="18"/>
  <c r="CY187" i="18"/>
  <c r="CY182" i="18"/>
  <c r="DB38" i="15"/>
  <c r="CX149" i="18"/>
  <c r="CX145" i="18" s="1"/>
  <c r="DA56" i="18"/>
  <c r="DA34" i="15"/>
  <c r="BN149" i="11"/>
  <c r="BN156" i="11"/>
  <c r="BO146" i="11"/>
  <c r="BO134" i="11"/>
  <c r="BS63" i="12"/>
  <c r="DL63" i="12" s="1"/>
  <c r="BS57" i="12"/>
  <c r="BS61" i="12" s="1"/>
  <c r="BS125" i="12"/>
  <c r="BS42" i="12"/>
  <c r="DL42" i="12" s="1"/>
  <c r="BS110" i="12"/>
  <c r="BS35" i="12"/>
  <c r="BS115" i="12"/>
  <c r="BW53" i="12"/>
  <c r="BW75" i="11"/>
  <c r="CR68" i="7"/>
  <c r="BU80" i="11"/>
  <c r="BU99" i="11" s="1"/>
  <c r="BU63" i="11"/>
  <c r="BU62" i="11" s="1"/>
  <c r="BU46" i="12"/>
  <c r="BU44" i="12" s="1"/>
  <c r="CU35" i="7"/>
  <c r="DA15" i="18"/>
  <c r="ET15" i="18" s="1"/>
  <c r="ET17" i="18"/>
  <c r="BT83" i="11"/>
  <c r="BT139" i="11"/>
  <c r="BT144" i="11"/>
  <c r="BT59" i="11"/>
  <c r="BT154" i="11"/>
  <c r="ER92" i="18"/>
  <c r="CY79" i="15"/>
  <c r="CP112" i="7"/>
  <c r="CP129" i="7"/>
  <c r="DF229" i="2"/>
  <c r="CX84" i="7"/>
  <c r="DG239" i="2"/>
  <c r="DB48" i="18"/>
  <c r="DB46" i="18" s="1"/>
  <c r="DB36" i="18"/>
  <c r="DB34" i="18" s="1"/>
  <c r="CY99" i="18"/>
  <c r="DK79" i="12"/>
  <c r="BP112" i="11"/>
  <c r="DK112" i="11" s="1"/>
  <c r="DK115" i="11" s="1"/>
  <c r="CW215" i="18"/>
  <c r="CV756" i="2"/>
  <c r="CU61" i="7"/>
  <c r="DC211" i="2"/>
  <c r="CU50" i="7"/>
  <c r="CU58" i="7" s="1"/>
  <c r="DD14" i="15"/>
  <c r="DD201" i="2"/>
  <c r="CV8" i="7"/>
  <c r="BY72" i="11"/>
  <c r="DN72" i="11" s="1"/>
  <c r="EA72" i="11" s="1"/>
  <c r="BY50" i="12"/>
  <c r="DN50" i="12" s="1"/>
  <c r="EA50" i="12" s="1"/>
  <c r="CV88" i="7"/>
  <c r="DE243" i="2"/>
  <c r="DD233" i="2"/>
  <c r="CV78" i="7" s="1"/>
  <c r="DE62" i="15" s="1"/>
  <c r="CV119" i="18"/>
  <c r="ES65" i="15"/>
  <c r="CZ65" i="18"/>
  <c r="ES65" i="18" s="1"/>
  <c r="ES73" i="18" s="1"/>
  <c r="CZ71" i="15"/>
  <c r="ES71" i="15" s="1"/>
  <c r="CZ42" i="15"/>
  <c r="CZ139" i="15"/>
  <c r="CZ127" i="15"/>
  <c r="CZ121" i="15"/>
  <c r="BR71" i="12"/>
  <c r="BR103" i="11"/>
  <c r="BV46" i="11"/>
  <c r="BV26" i="12"/>
  <c r="BV24" i="12" s="1"/>
  <c r="DM24" i="12" s="1"/>
  <c r="CT49" i="7"/>
  <c r="CT52" i="7" s="1"/>
  <c r="BV41" i="11"/>
  <c r="DM41" i="11" s="1"/>
  <c r="CX101" i="18"/>
  <c r="BW15" i="11"/>
  <c r="BW34" i="11"/>
  <c r="CW7" i="7"/>
  <c r="EL7" i="7" s="1"/>
  <c r="EY7" i="7" s="1"/>
  <c r="DF155" i="2"/>
  <c r="DE156" i="2"/>
  <c r="DE154" i="2" s="1"/>
  <c r="DE242" i="2" s="1"/>
  <c r="CV240" i="18"/>
  <c r="CU794" i="2" s="1"/>
  <c r="CV239" i="18"/>
  <c r="CU791" i="2" s="1"/>
  <c r="CV236" i="18"/>
  <c r="CW90" i="18"/>
  <c r="ER90" i="18" s="1"/>
  <c r="CW758" i="2"/>
  <c r="CX216" i="18" s="1"/>
  <c r="CX182" i="18"/>
  <c r="CX209" i="18"/>
  <c r="CX187" i="18"/>
  <c r="CX70" i="18"/>
  <c r="CX192" i="18"/>
  <c r="ER96" i="18"/>
  <c r="ER95" i="18"/>
  <c r="DB276" i="2"/>
  <c r="DA266" i="2"/>
  <c r="CU173" i="18"/>
  <c r="CU197" i="18"/>
  <c r="DC220" i="2"/>
  <c r="DC219" i="2" s="1"/>
  <c r="DC263" i="2" s="1"/>
  <c r="BT119" i="11"/>
  <c r="CR142" i="7"/>
  <c r="BT89" i="12"/>
  <c r="DA98" i="15"/>
  <c r="DA3" i="18"/>
  <c r="CU235" i="18"/>
  <c r="CV19" i="7"/>
  <c r="DD171" i="2"/>
  <c r="DE172" i="2"/>
  <c r="DE200" i="2" s="1"/>
  <c r="DC21" i="15"/>
  <c r="CY98" i="18" l="1"/>
  <c r="DK85" i="12"/>
  <c r="CN132" i="7"/>
  <c r="CN144" i="7"/>
  <c r="BP102" i="12"/>
  <c r="DK102" i="12" s="1"/>
  <c r="BP85" i="12"/>
  <c r="CX93" i="18"/>
  <c r="CY93" i="18" s="1"/>
  <c r="CZ93" i="18" s="1"/>
  <c r="CX91" i="18"/>
  <c r="CX99" i="18"/>
  <c r="CV115" i="15"/>
  <c r="CV117" i="18"/>
  <c r="CS99" i="7"/>
  <c r="DL94" i="11"/>
  <c r="CX95" i="18"/>
  <c r="CX94" i="18"/>
  <c r="CV129" i="15"/>
  <c r="ER110" i="18"/>
  <c r="EI132" i="7"/>
  <c r="CX96" i="18"/>
  <c r="CY96" i="18" s="1"/>
  <c r="CZ96" i="18" s="1"/>
  <c r="ES83" i="18"/>
  <c r="CV168" i="18"/>
  <c r="CV116" i="18"/>
  <c r="CX110" i="18"/>
  <c r="CX97" i="18"/>
  <c r="CV136" i="18"/>
  <c r="CV143" i="18" s="1"/>
  <c r="CX92" i="18"/>
  <c r="CM153" i="7"/>
  <c r="CM145" i="7"/>
  <c r="CO145" i="7"/>
  <c r="CO153" i="7"/>
  <c r="EI144" i="7"/>
  <c r="DA234" i="2"/>
  <c r="CQ98" i="7"/>
  <c r="DL90" i="11"/>
  <c r="DB53" i="15"/>
  <c r="DB51" i="15" s="1"/>
  <c r="CS69" i="7"/>
  <c r="CS68" i="7" s="1"/>
  <c r="CS79" i="7" s="1"/>
  <c r="EJ93" i="7"/>
  <c r="EJ94" i="7" s="1"/>
  <c r="CZ98" i="18"/>
  <c r="BT62" i="11"/>
  <c r="BT92" i="11" s="1"/>
  <c r="BT99" i="11"/>
  <c r="CY117" i="18"/>
  <c r="CY116" i="18"/>
  <c r="BS84" i="11"/>
  <c r="DL83" i="11"/>
  <c r="BT84" i="11"/>
  <c r="EL73" i="7"/>
  <c r="EY73" i="7" s="1"/>
  <c r="CZ129" i="18"/>
  <c r="ES84" i="15"/>
  <c r="CX73" i="7"/>
  <c r="DG58" i="15" s="1"/>
  <c r="DB264" i="2"/>
  <c r="DA84" i="15"/>
  <c r="BT75" i="12"/>
  <c r="BT107" i="11"/>
  <c r="CS108" i="7"/>
  <c r="DB84" i="15" s="1"/>
  <c r="DB129" i="18" s="1"/>
  <c r="CS117" i="7"/>
  <c r="CT82" i="7"/>
  <c r="EK82" i="7" s="1"/>
  <c r="DB226" i="2"/>
  <c r="CT70" i="7" s="1"/>
  <c r="DC56" i="15" s="1"/>
  <c r="DC38" i="15"/>
  <c r="ET38" i="15" s="1"/>
  <c r="BS93" i="11"/>
  <c r="DC56" i="18"/>
  <c r="DC54" i="18" s="1"/>
  <c r="DC34" i="15"/>
  <c r="ET32" i="15"/>
  <c r="DL100" i="12"/>
  <c r="CT116" i="7"/>
  <c r="CT107" i="7"/>
  <c r="DC237" i="2"/>
  <c r="CU82" i="7" s="1"/>
  <c r="ER121" i="18"/>
  <c r="DL67" i="12"/>
  <c r="BU59" i="12"/>
  <c r="ES69" i="15"/>
  <c r="BU81" i="11"/>
  <c r="BV56" i="11"/>
  <c r="DM56" i="11" s="1"/>
  <c r="CT57" i="7"/>
  <c r="EK57" i="7" s="1"/>
  <c r="EK148" i="7" s="1"/>
  <c r="CZ61" i="18"/>
  <c r="ES54" i="18"/>
  <c r="ES61" i="18" s="1"/>
  <c r="BV51" i="11"/>
  <c r="DM51" i="11" s="1"/>
  <c r="DM28" i="12"/>
  <c r="ET21" i="15"/>
  <c r="ET34" i="15" s="1"/>
  <c r="EJ79" i="7"/>
  <c r="ES75" i="15"/>
  <c r="CY145" i="18"/>
  <c r="CY164" i="18" s="1"/>
  <c r="EK49" i="7"/>
  <c r="DM26" i="12"/>
  <c r="BV40" i="11"/>
  <c r="BV48" i="11" s="1"/>
  <c r="DM46" i="11"/>
  <c r="ES121" i="15"/>
  <c r="ES42" i="15"/>
  <c r="ES139" i="15"/>
  <c r="ES127" i="15"/>
  <c r="ES63" i="15"/>
  <c r="DL125" i="12"/>
  <c r="DL110" i="12"/>
  <c r="DL35" i="12"/>
  <c r="DL115" i="12"/>
  <c r="DL55" i="12"/>
  <c r="DL57" i="12"/>
  <c r="DC7" i="18"/>
  <c r="ET38" i="18"/>
  <c r="BU55" i="12"/>
  <c r="DB61" i="18"/>
  <c r="BV28" i="12"/>
  <c r="CW131" i="15"/>
  <c r="ER113" i="15"/>
  <c r="CW214" i="18"/>
  <c r="ER214" i="18" s="1"/>
  <c r="ER215" i="18"/>
  <c r="BP119" i="12"/>
  <c r="DK104" i="12"/>
  <c r="CV235" i="18"/>
  <c r="BV32" i="12"/>
  <c r="CW87" i="7"/>
  <c r="EL87" i="7" s="1"/>
  <c r="EY87" i="7" s="1"/>
  <c r="DE232" i="2"/>
  <c r="CW77" i="7" s="1"/>
  <c r="DF61" i="15" s="1"/>
  <c r="DA96" i="15"/>
  <c r="DB36" i="15"/>
  <c r="DB67" i="15"/>
  <c r="CS119" i="7"/>
  <c r="CS110" i="7"/>
  <c r="DB86" i="15" s="1"/>
  <c r="DB132" i="18" s="1"/>
  <c r="CW240" i="18"/>
  <c r="CW236" i="18"/>
  <c r="CX90" i="18"/>
  <c r="CW239" i="18"/>
  <c r="CZ103" i="18"/>
  <c r="CZ69" i="15"/>
  <c r="CL162" i="7"/>
  <c r="BU92" i="11"/>
  <c r="BU154" i="11"/>
  <c r="BU59" i="11"/>
  <c r="BU144" i="11"/>
  <c r="BU139" i="11"/>
  <c r="BU83" i="11"/>
  <c r="BU84" i="11" s="1"/>
  <c r="CS118" i="7"/>
  <c r="DA261" i="2"/>
  <c r="CS109" i="7"/>
  <c r="BT55" i="12"/>
  <c r="CX88" i="15"/>
  <c r="CX121" i="18"/>
  <c r="CX90" i="15"/>
  <c r="CY215" i="18"/>
  <c r="CY214" i="18" s="1"/>
  <c r="CX756" i="2"/>
  <c r="DA46" i="18"/>
  <c r="DB271" i="2"/>
  <c r="DB265" i="2"/>
  <c r="DC275" i="2"/>
  <c r="BQ110" i="11"/>
  <c r="BQ112" i="11"/>
  <c r="DC291" i="2"/>
  <c r="DC298" i="2" s="1"/>
  <c r="CU141" i="7"/>
  <c r="DD297" i="2"/>
  <c r="DD211" i="2"/>
  <c r="CV50" i="7"/>
  <c r="CV58" i="7" s="1"/>
  <c r="BW17" i="12"/>
  <c r="DC161" i="18"/>
  <c r="ET161" i="18" s="1"/>
  <c r="CT134" i="7"/>
  <c r="EK134" i="7" s="1"/>
  <c r="BV127" i="11"/>
  <c r="DM127" i="11" s="1"/>
  <c r="BV98" i="12"/>
  <c r="DM98" i="12" s="1"/>
  <c r="CV40" i="7"/>
  <c r="DD216" i="2"/>
  <c r="CV55" i="7" s="1"/>
  <c r="DE58" i="18" s="1"/>
  <c r="CX170" i="18"/>
  <c r="BT87" i="12"/>
  <c r="DD12" i="15"/>
  <c r="DD23" i="15"/>
  <c r="CY84" i="7"/>
  <c r="DG229" i="2"/>
  <c r="DH239" i="2"/>
  <c r="DA34" i="18"/>
  <c r="CZ79" i="15"/>
  <c r="ES79" i="15" s="1"/>
  <c r="CQ112" i="7"/>
  <c r="CV35" i="7"/>
  <c r="CV47" i="7" s="1"/>
  <c r="CQ129" i="7"/>
  <c r="EJ129" i="7" s="1"/>
  <c r="DE201" i="2"/>
  <c r="CW8" i="7"/>
  <c r="EL8" i="7" s="1"/>
  <c r="EY8" i="7" s="1"/>
  <c r="BR101" i="11"/>
  <c r="BR114" i="11"/>
  <c r="BR133" i="11" s="1"/>
  <c r="BR148" i="11" s="1"/>
  <c r="BR158" i="11" s="1"/>
  <c r="CV134" i="18"/>
  <c r="ER119" i="18"/>
  <c r="BP131" i="11"/>
  <c r="DK131" i="11" s="1"/>
  <c r="BP115" i="11"/>
  <c r="BZ72" i="11"/>
  <c r="BZ50" i="12"/>
  <c r="CX164" i="18"/>
  <c r="DE196" i="2"/>
  <c r="DE209" i="2" s="1"/>
  <c r="DE212" i="2"/>
  <c r="CW36" i="7"/>
  <c r="EL36" i="7" s="1"/>
  <c r="DD220" i="2"/>
  <c r="DD219" i="2" s="1"/>
  <c r="DD263" i="2" s="1"/>
  <c r="BT76" i="12"/>
  <c r="BT109" i="11"/>
  <c r="DA86" i="15"/>
  <c r="DB266" i="2"/>
  <c r="DC276" i="2"/>
  <c r="DA54" i="18"/>
  <c r="BT117" i="11"/>
  <c r="CX7" i="7"/>
  <c r="DG155" i="2"/>
  <c r="DF156" i="2"/>
  <c r="DF154" i="2" s="1"/>
  <c r="DF242" i="2" s="1"/>
  <c r="BR69" i="12"/>
  <c r="BR83" i="12"/>
  <c r="BR104" i="12" s="1"/>
  <c r="BR119" i="12" s="1"/>
  <c r="BR129" i="12" s="1"/>
  <c r="BS67" i="12"/>
  <c r="CW88" i="7"/>
  <c r="EL88" i="7" s="1"/>
  <c r="EY88" i="7" s="1"/>
  <c r="DE233" i="2"/>
  <c r="CW78" i="7" s="1"/>
  <c r="DF62" i="15" s="1"/>
  <c r="DF243" i="2"/>
  <c r="CR79" i="7"/>
  <c r="CR97" i="7"/>
  <c r="BN159" i="11"/>
  <c r="BT77" i="12"/>
  <c r="BT108" i="11"/>
  <c r="CR114" i="7"/>
  <c r="BS103" i="11"/>
  <c r="DL103" i="11" s="1"/>
  <c r="BS71" i="12"/>
  <c r="DL71" i="12" s="1"/>
  <c r="DA85" i="18"/>
  <c r="DA63" i="15"/>
  <c r="BW28" i="11"/>
  <c r="DC48" i="18"/>
  <c r="DC46" i="18" s="1"/>
  <c r="DC36" i="18"/>
  <c r="DC34" i="18" s="1"/>
  <c r="DA85" i="15"/>
  <c r="CR105" i="7"/>
  <c r="DA130" i="18"/>
  <c r="DF167" i="2"/>
  <c r="CX16" i="7"/>
  <c r="DG168" i="2"/>
  <c r="DF197" i="2"/>
  <c r="CP144" i="7"/>
  <c r="CP132" i="7"/>
  <c r="DD38" i="18"/>
  <c r="CU62" i="7"/>
  <c r="DD50" i="18"/>
  <c r="BX15" i="11"/>
  <c r="BX28" i="11" s="1"/>
  <c r="BX34" i="11"/>
  <c r="CW756" i="2"/>
  <c r="CX215" i="18"/>
  <c r="BX76" i="11"/>
  <c r="BX54" i="12"/>
  <c r="BW41" i="11"/>
  <c r="CU49" i="7"/>
  <c r="BW26" i="12"/>
  <c r="BW32" i="12" s="1"/>
  <c r="BW46" i="11"/>
  <c r="DD58" i="18"/>
  <c r="BX10" i="12"/>
  <c r="BX19" i="12"/>
  <c r="CW15" i="7"/>
  <c r="DF14" i="15" s="1"/>
  <c r="EU14" i="15" s="1"/>
  <c r="FH14" i="15" s="1"/>
  <c r="BY21" i="11"/>
  <c r="DN21" i="11" s="1"/>
  <c r="EA21" i="11" s="1"/>
  <c r="BY16" i="11"/>
  <c r="BY29" i="11" s="1"/>
  <c r="DN29" i="11" s="1"/>
  <c r="EA29" i="11" s="1"/>
  <c r="BY12" i="12"/>
  <c r="DN12" i="12" s="1"/>
  <c r="EA12" i="12" s="1"/>
  <c r="DA121" i="15"/>
  <c r="DA42" i="15"/>
  <c r="DA71" i="15"/>
  <c r="DA127" i="15"/>
  <c r="DA139" i="15"/>
  <c r="DA65" i="18"/>
  <c r="BO158" i="11"/>
  <c r="DK158" i="11" s="1"/>
  <c r="DK148" i="11"/>
  <c r="BQ104" i="12"/>
  <c r="CW138" i="18"/>
  <c r="CW94" i="15"/>
  <c r="CW111" i="15"/>
  <c r="ER111" i="15" s="1"/>
  <c r="ER115" i="15" s="1"/>
  <c r="DE215" i="2"/>
  <c r="CW54" i="7" s="1"/>
  <c r="EL54" i="7" s="1"/>
  <c r="EY54" i="7" s="1"/>
  <c r="CW39" i="7"/>
  <c r="EL39" i="7" s="1"/>
  <c r="EY39" i="7" s="1"/>
  <c r="CX108" i="18"/>
  <c r="CX107" i="18"/>
  <c r="CY77" i="15"/>
  <c r="CY92" i="15"/>
  <c r="CY113" i="15" s="1"/>
  <c r="CY131" i="15" s="1"/>
  <c r="CY143" i="15" s="1"/>
  <c r="CU47" i="7"/>
  <c r="BO156" i="11"/>
  <c r="BO159" i="11" s="1"/>
  <c r="BO149" i="11"/>
  <c r="DE12" i="15"/>
  <c r="DE17" i="18" s="1"/>
  <c r="DE15" i="18" s="1"/>
  <c r="DE23" i="15"/>
  <c r="CU211" i="18"/>
  <c r="CU198" i="18"/>
  <c r="BU63" i="12"/>
  <c r="BU115" i="12"/>
  <c r="BU42" i="12"/>
  <c r="BU110" i="12"/>
  <c r="BU57" i="12"/>
  <c r="BU61" i="12" s="1"/>
  <c r="BU35" i="12"/>
  <c r="BU125" i="12"/>
  <c r="CV61" i="7"/>
  <c r="BQ79" i="12"/>
  <c r="BQ81" i="12"/>
  <c r="BX75" i="11"/>
  <c r="BX53" i="12"/>
  <c r="CZ75" i="15"/>
  <c r="CZ112" i="18"/>
  <c r="CU57" i="7"/>
  <c r="BW56" i="11"/>
  <c r="BW51" i="11"/>
  <c r="DB98" i="15"/>
  <c r="DB96" i="15" s="1"/>
  <c r="CS142" i="7"/>
  <c r="BU119" i="11"/>
  <c r="BU117" i="11" s="1"/>
  <c r="BU129" i="11" s="1"/>
  <c r="BU89" i="12"/>
  <c r="BU87" i="12" s="1"/>
  <c r="BU100" i="12" s="1"/>
  <c r="BN130" i="12"/>
  <c r="BO127" i="12"/>
  <c r="BO130" i="12" s="1"/>
  <c r="BO120" i="12"/>
  <c r="DE171" i="2"/>
  <c r="CW19" i="7"/>
  <c r="EL19" i="7" s="1"/>
  <c r="EY19" i="7" s="1"/>
  <c r="DF172" i="2"/>
  <c r="DF200" i="2" s="1"/>
  <c r="CZ73" i="18"/>
  <c r="CZ63" i="18"/>
  <c r="ES63" i="18" s="1"/>
  <c r="DD30" i="15"/>
  <c r="BU65" i="12"/>
  <c r="CZ149" i="18"/>
  <c r="CZ170" i="18" s="1"/>
  <c r="BU94" i="11"/>
  <c r="BT63" i="12"/>
  <c r="BT57" i="12"/>
  <c r="BT125" i="12"/>
  <c r="BT42" i="12"/>
  <c r="BT35" i="12"/>
  <c r="BT115" i="12"/>
  <c r="BT110" i="12"/>
  <c r="BQ133" i="11"/>
  <c r="CX113" i="15"/>
  <c r="CN145" i="7" l="1"/>
  <c r="CN153" i="7"/>
  <c r="DK105" i="12"/>
  <c r="BP117" i="12"/>
  <c r="DK117" i="12" s="1"/>
  <c r="BP105" i="12"/>
  <c r="CV141" i="15"/>
  <c r="ER116" i="18"/>
  <c r="CM161" i="7"/>
  <c r="CM162" i="7" s="1"/>
  <c r="ES93" i="18"/>
  <c r="ES96" i="18"/>
  <c r="CY95" i="18"/>
  <c r="CZ95" i="18" s="1"/>
  <c r="EI145" i="7"/>
  <c r="DB73" i="15"/>
  <c r="CS92" i="7"/>
  <c r="CV133" i="15"/>
  <c r="CY94" i="18"/>
  <c r="CZ94" i="18" s="1"/>
  <c r="EI153" i="7"/>
  <c r="CX116" i="18"/>
  <c r="DB85" i="18"/>
  <c r="DB83" i="18" s="1"/>
  <c r="CS97" i="7"/>
  <c r="ER117" i="18"/>
  <c r="CM154" i="7"/>
  <c r="CX117" i="18"/>
  <c r="ES99" i="18"/>
  <c r="CY92" i="18"/>
  <c r="CZ92" i="18" s="1"/>
  <c r="CV166" i="18"/>
  <c r="CO154" i="7"/>
  <c r="CO161" i="7"/>
  <c r="CY91" i="18"/>
  <c r="CZ91" i="18" s="1"/>
  <c r="CY97" i="18"/>
  <c r="CZ97" i="18" s="1"/>
  <c r="CT81" i="7"/>
  <c r="EK81" i="7" s="1"/>
  <c r="BT81" i="11"/>
  <c r="BT93" i="11"/>
  <c r="DL84" i="11"/>
  <c r="DC36" i="15"/>
  <c r="BV67" i="11"/>
  <c r="DM67" i="11" s="1"/>
  <c r="BV48" i="12"/>
  <c r="DM48" i="12" s="1"/>
  <c r="BV68" i="11"/>
  <c r="DB225" i="2"/>
  <c r="DB224" i="2" s="1"/>
  <c r="ES129" i="18"/>
  <c r="DC264" i="2"/>
  <c r="DC226" i="2"/>
  <c r="CY73" i="7"/>
  <c r="DH58" i="15" s="1"/>
  <c r="DH57" i="15"/>
  <c r="BU75" i="12"/>
  <c r="BU107" i="11"/>
  <c r="DA129" i="18"/>
  <c r="CT108" i="7"/>
  <c r="DC84" i="15" s="1"/>
  <c r="DC129" i="18" s="1"/>
  <c r="CT117" i="7"/>
  <c r="EK117" i="7" s="1"/>
  <c r="DG57" i="15"/>
  <c r="ER240" i="18"/>
  <c r="CV794" i="2"/>
  <c r="ER239" i="18"/>
  <c r="CV791" i="2"/>
  <c r="DC236" i="2"/>
  <c r="DB63" i="15"/>
  <c r="DB65" i="15"/>
  <c r="EK70" i="7"/>
  <c r="EK99" i="7" s="1"/>
  <c r="EU62" i="15"/>
  <c r="FH62" i="15" s="1"/>
  <c r="ET56" i="18"/>
  <c r="CT151" i="7"/>
  <c r="DC61" i="18"/>
  <c r="CU107" i="7"/>
  <c r="CU116" i="7"/>
  <c r="DD237" i="2"/>
  <c r="DD236" i="2" s="1"/>
  <c r="DC83" i="15"/>
  <c r="EK107" i="7"/>
  <c r="EK116" i="7"/>
  <c r="BV74" i="12"/>
  <c r="DM74" i="12" s="1"/>
  <c r="BV106" i="11"/>
  <c r="DM106" i="11" s="1"/>
  <c r="CT148" i="7"/>
  <c r="CT65" i="7"/>
  <c r="ET34" i="18"/>
  <c r="EK65" i="7"/>
  <c r="ET36" i="18"/>
  <c r="EK151" i="7"/>
  <c r="ES209" i="18"/>
  <c r="ES187" i="18"/>
  <c r="ES182" i="18"/>
  <c r="ES70" i="18"/>
  <c r="ES192" i="18"/>
  <c r="BV50" i="11"/>
  <c r="DM50" i="11" s="1"/>
  <c r="DM154" i="11" s="1"/>
  <c r="EJ132" i="7"/>
  <c r="ET48" i="18"/>
  <c r="EL78" i="7"/>
  <c r="EY78" i="7" s="1"/>
  <c r="DM40" i="11"/>
  <c r="DM48" i="11" s="1"/>
  <c r="ES170" i="18"/>
  <c r="EL15" i="7"/>
  <c r="EY15" i="7" s="1"/>
  <c r="EY35" i="7" s="1"/>
  <c r="ET46" i="18"/>
  <c r="DN16" i="11"/>
  <c r="EA16" i="11" s="1"/>
  <c r="ES149" i="18"/>
  <c r="DE32" i="15"/>
  <c r="DE38" i="15" s="1"/>
  <c r="DC3" i="18"/>
  <c r="ET3" i="18" s="1"/>
  <c r="ET7" i="18"/>
  <c r="EK52" i="7"/>
  <c r="BV30" i="12"/>
  <c r="DM30" i="12" s="1"/>
  <c r="DM115" i="12" s="1"/>
  <c r="DM32" i="12"/>
  <c r="CZ110" i="18"/>
  <c r="ES110" i="18" s="1"/>
  <c r="ES116" i="18" s="1"/>
  <c r="ES112" i="18"/>
  <c r="EK142" i="7"/>
  <c r="CZ101" i="18"/>
  <c r="ES101" i="18" s="1"/>
  <c r="ES107" i="18" s="1"/>
  <c r="ES103" i="18"/>
  <c r="EU61" i="15"/>
  <c r="FH61" i="15" s="1"/>
  <c r="EL77" i="7"/>
  <c r="EY77" i="7" s="1"/>
  <c r="DL61" i="12"/>
  <c r="CZ145" i="18"/>
  <c r="ES145" i="18" s="1"/>
  <c r="BV59" i="12"/>
  <c r="DM59" i="12" s="1"/>
  <c r="CW136" i="18"/>
  <c r="CW143" i="18" s="1"/>
  <c r="ER138" i="18"/>
  <c r="BP129" i="12"/>
  <c r="DK119" i="12"/>
  <c r="DK134" i="11"/>
  <c r="CW143" i="15"/>
  <c r="ER143" i="15" s="1"/>
  <c r="ER131" i="15"/>
  <c r="DF232" i="2"/>
  <c r="CX77" i="7" s="1"/>
  <c r="DG61" i="15" s="1"/>
  <c r="CX87" i="7"/>
  <c r="DF215" i="2"/>
  <c r="CX54" i="7" s="1"/>
  <c r="CX39" i="7"/>
  <c r="BY15" i="11"/>
  <c r="BY34" i="11"/>
  <c r="DN34" i="11" s="1"/>
  <c r="EA34" i="11" s="1"/>
  <c r="DC53" i="15"/>
  <c r="ET53" i="15" s="1"/>
  <c r="CT69" i="7"/>
  <c r="EK69" i="7" s="1"/>
  <c r="CT99" i="7"/>
  <c r="CW61" i="7"/>
  <c r="EL61" i="7" s="1"/>
  <c r="EY61" i="7" s="1"/>
  <c r="DA103" i="18"/>
  <c r="DA69" i="15"/>
  <c r="BW40" i="11"/>
  <c r="BW48" i="11" s="1"/>
  <c r="ER134" i="18"/>
  <c r="DC271" i="2"/>
  <c r="DC265" i="2"/>
  <c r="DD275" i="2"/>
  <c r="DB121" i="15"/>
  <c r="DB65" i="18"/>
  <c r="DB42" i="15"/>
  <c r="DB139" i="15"/>
  <c r="DB71" i="15"/>
  <c r="DB127" i="15"/>
  <c r="CT118" i="7"/>
  <c r="EK118" i="7" s="1"/>
  <c r="DB261" i="2"/>
  <c r="CT109" i="7"/>
  <c r="EK109" i="7" s="1"/>
  <c r="CU65" i="7"/>
  <c r="CU148" i="7"/>
  <c r="CU151" i="7"/>
  <c r="BY54" i="12"/>
  <c r="DN54" i="12" s="1"/>
  <c r="EA54" i="12" s="1"/>
  <c r="BY76" i="11"/>
  <c r="DN76" i="11" s="1"/>
  <c r="EA76" i="11" s="1"/>
  <c r="DD7" i="18"/>
  <c r="BX41" i="11"/>
  <c r="BX46" i="11"/>
  <c r="BX40" i="11" s="1"/>
  <c r="BX48" i="11" s="1"/>
  <c r="BX26" i="12"/>
  <c r="BX24" i="12" s="1"/>
  <c r="CV49" i="7"/>
  <c r="CV52" i="7" s="1"/>
  <c r="CX131" i="15"/>
  <c r="BW30" i="12"/>
  <c r="BQ85" i="12"/>
  <c r="BQ102" i="12"/>
  <c r="BU67" i="12"/>
  <c r="CW129" i="15"/>
  <c r="ER129" i="15" s="1"/>
  <c r="CW168" i="18"/>
  <c r="CW115" i="15"/>
  <c r="BW24" i="12"/>
  <c r="BQ148" i="11"/>
  <c r="DA112" i="18"/>
  <c r="DA75" i="15"/>
  <c r="CU52" i="7"/>
  <c r="CR112" i="7"/>
  <c r="DA79" i="15"/>
  <c r="BT129" i="11"/>
  <c r="BR110" i="11"/>
  <c r="BR112" i="11"/>
  <c r="CS105" i="7"/>
  <c r="DB130" i="18"/>
  <c r="DB85" i="15"/>
  <c r="DA147" i="18"/>
  <c r="DA109" i="15"/>
  <c r="CX19" i="7"/>
  <c r="DF171" i="2"/>
  <c r="DG172" i="2"/>
  <c r="DG200" i="2" s="1"/>
  <c r="BY10" i="12"/>
  <c r="DN10" i="12" s="1"/>
  <c r="EA10" i="12" s="1"/>
  <c r="BY19" i="12"/>
  <c r="DN19" i="12" s="1"/>
  <c r="EA19" i="12" s="1"/>
  <c r="DH229" i="2"/>
  <c r="EM72" i="7" s="1"/>
  <c r="CZ84" i="7"/>
  <c r="EM84" i="7" s="1"/>
  <c r="DI239" i="2"/>
  <c r="DD291" i="2"/>
  <c r="DD298" i="2" s="1"/>
  <c r="CV141" i="7"/>
  <c r="DE297" i="2"/>
  <c r="CY121" i="18"/>
  <c r="CY119" i="18" s="1"/>
  <c r="CY134" i="18" s="1"/>
  <c r="CY88" i="15"/>
  <c r="CY90" i="15"/>
  <c r="BR79" i="12"/>
  <c r="BR81" i="12"/>
  <c r="CW35" i="7"/>
  <c r="DE216" i="2"/>
  <c r="CW55" i="7" s="1"/>
  <c r="DF58" i="18" s="1"/>
  <c r="EU58" i="18" s="1"/>
  <c r="FH58" i="18" s="1"/>
  <c r="CW40" i="7"/>
  <c r="EL40" i="7" s="1"/>
  <c r="EY40" i="7" s="1"/>
  <c r="BW127" i="11"/>
  <c r="DD161" i="18"/>
  <c r="BW98" i="12"/>
  <c r="CU134" i="7"/>
  <c r="CS114" i="7"/>
  <c r="BU77" i="12"/>
  <c r="BU108" i="11"/>
  <c r="CX236" i="18"/>
  <c r="CX240" i="18"/>
  <c r="CW794" i="2" s="1"/>
  <c r="CX239" i="18"/>
  <c r="CW791" i="2" s="1"/>
  <c r="CY90" i="18"/>
  <c r="BQ119" i="12"/>
  <c r="DA83" i="18"/>
  <c r="CR129" i="7"/>
  <c r="CR98" i="7"/>
  <c r="DC67" i="15"/>
  <c r="ET67" i="15" s="1"/>
  <c r="DE211" i="2"/>
  <c r="CW50" i="7"/>
  <c r="EL50" i="7" s="1"/>
  <c r="EY50" i="7" s="1"/>
  <c r="EY58" i="7" s="1"/>
  <c r="CQ144" i="7"/>
  <c r="EJ144" i="7" s="1"/>
  <c r="CQ132" i="7"/>
  <c r="CA72" i="11"/>
  <c r="CA50" i="12"/>
  <c r="DE50" i="18"/>
  <c r="CV62" i="7"/>
  <c r="DE38" i="18"/>
  <c r="DE7" i="18" s="1"/>
  <c r="DE3" i="18" s="1"/>
  <c r="DD56" i="18"/>
  <c r="DF12" i="15"/>
  <c r="DF17" i="18" s="1"/>
  <c r="DF15" i="18" s="1"/>
  <c r="DF23" i="15"/>
  <c r="EU23" i="15" s="1"/>
  <c r="FH23" i="15" s="1"/>
  <c r="CX214" i="18"/>
  <c r="DD21" i="15"/>
  <c r="DD34" i="15" s="1"/>
  <c r="DD38" i="15"/>
  <c r="BQ115" i="11"/>
  <c r="BQ131" i="11"/>
  <c r="ER236" i="18"/>
  <c r="CW235" i="18"/>
  <c r="ER235" i="18" s="1"/>
  <c r="BY53" i="12"/>
  <c r="DN53" i="12" s="1"/>
  <c r="EA53" i="12" s="1"/>
  <c r="BY75" i="11"/>
  <c r="DN75" i="11" s="1"/>
  <c r="EA75" i="11" s="1"/>
  <c r="DE21" i="15"/>
  <c r="BX17" i="12"/>
  <c r="CP153" i="7"/>
  <c r="CP145" i="7"/>
  <c r="DA61" i="18"/>
  <c r="ET54" i="18"/>
  <c r="DE220" i="2"/>
  <c r="DE219" i="2" s="1"/>
  <c r="DE263" i="2" s="1"/>
  <c r="BX56" i="11"/>
  <c r="CV57" i="7"/>
  <c r="BX51" i="11"/>
  <c r="CX138" i="18"/>
  <c r="CX94" i="15"/>
  <c r="CX111" i="15"/>
  <c r="CZ192" i="18"/>
  <c r="CZ187" i="18"/>
  <c r="CZ182" i="18"/>
  <c r="CY758" i="2"/>
  <c r="CZ216" i="18" s="1"/>
  <c r="ES216" i="18" s="1"/>
  <c r="CZ70" i="18"/>
  <c r="CZ209" i="18"/>
  <c r="CZ99" i="18"/>
  <c r="CX36" i="7"/>
  <c r="DF196" i="2"/>
  <c r="DF209" i="2" s="1"/>
  <c r="DF212" i="2"/>
  <c r="DF220" i="2" s="1"/>
  <c r="DF219" i="2" s="1"/>
  <c r="DF263" i="2" s="1"/>
  <c r="CX8" i="7"/>
  <c r="DF201" i="2"/>
  <c r="DC98" i="15"/>
  <c r="DC96" i="15" s="1"/>
  <c r="ET96" i="15" s="1"/>
  <c r="BV119" i="11"/>
  <c r="BV117" i="11" s="1"/>
  <c r="BV89" i="12"/>
  <c r="BV87" i="12" s="1"/>
  <c r="CT142" i="7"/>
  <c r="DA63" i="18"/>
  <c r="DA73" i="18"/>
  <c r="DG197" i="2"/>
  <c r="DG167" i="2"/>
  <c r="CY16" i="7"/>
  <c r="DH168" i="2"/>
  <c r="BS101" i="11"/>
  <c r="DL101" i="11" s="1"/>
  <c r="BS114" i="11"/>
  <c r="CT110" i="7"/>
  <c r="CT119" i="7"/>
  <c r="EK119" i="7" s="1"/>
  <c r="CZ77" i="15"/>
  <c r="ES77" i="15" s="1"/>
  <c r="CZ92" i="15"/>
  <c r="CX119" i="18"/>
  <c r="BU76" i="12"/>
  <c r="BU109" i="11"/>
  <c r="CU232" i="18"/>
  <c r="CU212" i="18"/>
  <c r="BS69" i="12"/>
  <c r="DL69" i="12" s="1"/>
  <c r="BS83" i="12"/>
  <c r="DC266" i="2"/>
  <c r="DD276" i="2"/>
  <c r="DD17" i="18"/>
  <c r="BT61" i="12"/>
  <c r="DB147" i="18"/>
  <c r="DB109" i="15"/>
  <c r="BT67" i="12"/>
  <c r="BW68" i="11"/>
  <c r="BW48" i="12"/>
  <c r="CU81" i="7"/>
  <c r="BW67" i="11"/>
  <c r="BW50" i="11"/>
  <c r="BZ16" i="11"/>
  <c r="BZ12" i="12"/>
  <c r="CX15" i="7"/>
  <c r="BZ21" i="11"/>
  <c r="BT71" i="12"/>
  <c r="BT103" i="11"/>
  <c r="DF233" i="2"/>
  <c r="CX78" i="7" s="1"/>
  <c r="DG62" i="15" s="1"/>
  <c r="CX88" i="7"/>
  <c r="DG243" i="2"/>
  <c r="CY7" i="7"/>
  <c r="DH155" i="2"/>
  <c r="DG156" i="2"/>
  <c r="DG154" i="2" s="1"/>
  <c r="DG242" i="2" s="1"/>
  <c r="DA132" i="18"/>
  <c r="BP146" i="11"/>
  <c r="DK146" i="11" s="1"/>
  <c r="BP134" i="11"/>
  <c r="BT100" i="12"/>
  <c r="BU93" i="11"/>
  <c r="CN154" i="7" l="1"/>
  <c r="CN161" i="7"/>
  <c r="CN162" i="7" s="1"/>
  <c r="DK120" i="12"/>
  <c r="DB234" i="2"/>
  <c r="BP127" i="12"/>
  <c r="BP130" i="12" s="1"/>
  <c r="BP120" i="12"/>
  <c r="DA92" i="18"/>
  <c r="BV85" i="11"/>
  <c r="DM68" i="11"/>
  <c r="ES91" i="18"/>
  <c r="CV197" i="18"/>
  <c r="CV173" i="18"/>
  <c r="DC42" i="15"/>
  <c r="ES97" i="18"/>
  <c r="ES95" i="18"/>
  <c r="ES94" i="18"/>
  <c r="ES92" i="18"/>
  <c r="DC127" i="15"/>
  <c r="DC139" i="15"/>
  <c r="CV145" i="15"/>
  <c r="EI154" i="7"/>
  <c r="CS129" i="7"/>
  <c r="DC65" i="18"/>
  <c r="DC121" i="15"/>
  <c r="CO162" i="7"/>
  <c r="BV63" i="11"/>
  <c r="DM63" i="11" s="1"/>
  <c r="BV46" i="12"/>
  <c r="DM46" i="12" s="1"/>
  <c r="BV80" i="11"/>
  <c r="CS98" i="7"/>
  <c r="CS93" i="7"/>
  <c r="CS94" i="7" s="1"/>
  <c r="BU90" i="11"/>
  <c r="DC65" i="15"/>
  <c r="ET36" i="15"/>
  <c r="CU70" i="7"/>
  <c r="DD56" i="15" s="1"/>
  <c r="DC225" i="2"/>
  <c r="DC224" i="2" s="1"/>
  <c r="DK129" i="12"/>
  <c r="EK108" i="7"/>
  <c r="ET84" i="15"/>
  <c r="DD264" i="2"/>
  <c r="CZ73" i="7"/>
  <c r="DI58" i="15" s="1"/>
  <c r="EV58" i="15" s="1"/>
  <c r="DI57" i="15"/>
  <c r="EV57" i="15" s="1"/>
  <c r="BV75" i="12"/>
  <c r="DM75" i="12" s="1"/>
  <c r="BV107" i="11"/>
  <c r="DM107" i="11" s="1"/>
  <c r="ET129" i="18"/>
  <c r="CU117" i="7"/>
  <c r="CU108" i="7"/>
  <c r="DD84" i="15" s="1"/>
  <c r="DD226" i="2"/>
  <c r="CV82" i="7"/>
  <c r="BV139" i="11"/>
  <c r="BV83" i="11"/>
  <c r="BV129" i="11"/>
  <c r="DF237" i="2"/>
  <c r="DF236" i="2" s="1"/>
  <c r="ET83" i="15"/>
  <c r="DC128" i="18"/>
  <c r="ET128" i="18" s="1"/>
  <c r="CV107" i="7"/>
  <c r="DE83" i="15" s="1"/>
  <c r="DE128" i="18" s="1"/>
  <c r="CV116" i="7"/>
  <c r="DE237" i="2"/>
  <c r="CW82" i="7" s="1"/>
  <c r="EL82" i="7" s="1"/>
  <c r="EY82" i="7" s="1"/>
  <c r="EY81" i="7" s="1"/>
  <c r="BW74" i="12"/>
  <c r="BW106" i="11"/>
  <c r="DD83" i="15"/>
  <c r="DD128" i="18" s="1"/>
  <c r="BX32" i="12"/>
  <c r="BX30" i="12" s="1"/>
  <c r="BV100" i="12"/>
  <c r="DM110" i="12"/>
  <c r="ES117" i="18"/>
  <c r="CZ116" i="18"/>
  <c r="BV154" i="11"/>
  <c r="DM117" i="11"/>
  <c r="DM129" i="11" s="1"/>
  <c r="DM119" i="11"/>
  <c r="ES108" i="18"/>
  <c r="CZ108" i="18"/>
  <c r="BV59" i="11"/>
  <c r="CZ107" i="18"/>
  <c r="BV144" i="11"/>
  <c r="DM125" i="12"/>
  <c r="DM35" i="12"/>
  <c r="BV115" i="12"/>
  <c r="BV42" i="12"/>
  <c r="DM42" i="12" s="1"/>
  <c r="BV35" i="12"/>
  <c r="BV110" i="12"/>
  <c r="BV57" i="12"/>
  <c r="DM139" i="11"/>
  <c r="DM59" i="11"/>
  <c r="DM144" i="11"/>
  <c r="BV125" i="12"/>
  <c r="DA94" i="18"/>
  <c r="DB94" i="18" s="1"/>
  <c r="ES88" i="15"/>
  <c r="EJ145" i="7"/>
  <c r="ES164" i="18"/>
  <c r="DL110" i="11"/>
  <c r="BY28" i="11"/>
  <c r="DN28" i="11" s="1"/>
  <c r="EA28" i="11" s="1"/>
  <c r="DN15" i="11"/>
  <c r="EA15" i="11" s="1"/>
  <c r="DL79" i="12"/>
  <c r="DM87" i="12"/>
  <c r="DC86" i="15"/>
  <c r="EK110" i="7"/>
  <c r="ET98" i="15"/>
  <c r="BS104" i="12"/>
  <c r="DL83" i="12"/>
  <c r="BS133" i="11"/>
  <c r="DL114" i="11"/>
  <c r="CZ164" i="18"/>
  <c r="DM89" i="12"/>
  <c r="ET61" i="18"/>
  <c r="DE30" i="15"/>
  <c r="CW47" i="7"/>
  <c r="EL47" i="7" s="1"/>
  <c r="EY47" i="7" s="1"/>
  <c r="EL35" i="7"/>
  <c r="EU12" i="15"/>
  <c r="FH12" i="15" s="1"/>
  <c r="CZ113" i="15"/>
  <c r="ES92" i="15"/>
  <c r="ET56" i="15"/>
  <c r="EL55" i="7"/>
  <c r="EY55" i="7" s="1"/>
  <c r="CZ117" i="18"/>
  <c r="DA91" i="18"/>
  <c r="DB91" i="18" s="1"/>
  <c r="ER133" i="15"/>
  <c r="CW166" i="18"/>
  <c r="ER166" i="18" s="1"/>
  <c r="ER173" i="18" s="1"/>
  <c r="ER168" i="18"/>
  <c r="ER136" i="18"/>
  <c r="ER143" i="18" s="1"/>
  <c r="DK149" i="11"/>
  <c r="EI161" i="7"/>
  <c r="EI162" i="7" s="1"/>
  <c r="CY87" i="7"/>
  <c r="DG232" i="2"/>
  <c r="CY77" i="7" s="1"/>
  <c r="DH61" i="15" s="1"/>
  <c r="DG212" i="2"/>
  <c r="DG220" i="2" s="1"/>
  <c r="DG219" i="2" s="1"/>
  <c r="DG263" i="2" s="1"/>
  <c r="DG196" i="2"/>
  <c r="DG209" i="2" s="1"/>
  <c r="CY36" i="7"/>
  <c r="DA99" i="18"/>
  <c r="DA98" i="18"/>
  <c r="DB98" i="18" s="1"/>
  <c r="DA96" i="18"/>
  <c r="DA93" i="18"/>
  <c r="DA95" i="18"/>
  <c r="BU71" i="12"/>
  <c r="BU103" i="11"/>
  <c r="DB79" i="15"/>
  <c r="CS112" i="7"/>
  <c r="CX143" i="15"/>
  <c r="BQ129" i="12"/>
  <c r="CU110" i="7"/>
  <c r="CU119" i="7"/>
  <c r="DG201" i="2"/>
  <c r="CY8" i="7"/>
  <c r="CZ7" i="7"/>
  <c r="EM7" i="7" s="1"/>
  <c r="DI155" i="2"/>
  <c r="DH156" i="2"/>
  <c r="DH154" i="2" s="1"/>
  <c r="DH242" i="2" s="1"/>
  <c r="DG215" i="2"/>
  <c r="CY54" i="7" s="1"/>
  <c r="CY39" i="7"/>
  <c r="DG233" i="2"/>
  <c r="CY78" i="7" s="1"/>
  <c r="DH62" i="15" s="1"/>
  <c r="DH243" i="2"/>
  <c r="CY88" i="7"/>
  <c r="DF211" i="2"/>
  <c r="CX50" i="7"/>
  <c r="CU142" i="7"/>
  <c r="BW119" i="11"/>
  <c r="BW89" i="12"/>
  <c r="DD98" i="15"/>
  <c r="CY138" i="18"/>
  <c r="CY136" i="18" s="1"/>
  <c r="CY143" i="18" s="1"/>
  <c r="CY94" i="15"/>
  <c r="CY111" i="15"/>
  <c r="BR131" i="11"/>
  <c r="BR115" i="11"/>
  <c r="DF32" i="15"/>
  <c r="DF30" i="15" s="1"/>
  <c r="CX134" i="18"/>
  <c r="BQ117" i="12"/>
  <c r="BQ105" i="12"/>
  <c r="CT68" i="7"/>
  <c r="EK68" i="7" s="1"/>
  <c r="CT92" i="7"/>
  <c r="EK92" i="7" s="1"/>
  <c r="BZ76" i="11"/>
  <c r="BZ54" i="12"/>
  <c r="BW80" i="11"/>
  <c r="BW46" i="12"/>
  <c r="BW63" i="11"/>
  <c r="EU17" i="18"/>
  <c r="FH17" i="18" s="1"/>
  <c r="DD15" i="18"/>
  <c r="EU15" i="18" s="1"/>
  <c r="FH15" i="18" s="1"/>
  <c r="CZ758" i="2"/>
  <c r="DA216" i="18" s="1"/>
  <c r="DA187" i="18"/>
  <c r="DA192" i="18"/>
  <c r="DA209" i="18"/>
  <c r="DA70" i="18"/>
  <c r="DA182" i="18"/>
  <c r="CX35" i="7"/>
  <c r="CX168" i="18"/>
  <c r="CX129" i="15"/>
  <c r="CX115" i="15"/>
  <c r="DF21" i="15"/>
  <c r="EU21" i="15" s="1"/>
  <c r="BY17" i="12"/>
  <c r="DN17" i="12" s="1"/>
  <c r="EA17" i="12" s="1"/>
  <c r="DG171" i="2"/>
  <c r="CY19" i="7"/>
  <c r="DH172" i="2"/>
  <c r="BX28" i="12"/>
  <c r="DB112" i="18"/>
  <c r="DB110" i="18" s="1"/>
  <c r="DB75" i="15"/>
  <c r="DC51" i="15"/>
  <c r="ET51" i="15" s="1"/>
  <c r="DC73" i="15"/>
  <c r="ET73" i="15" s="1"/>
  <c r="BQ158" i="11"/>
  <c r="CQ153" i="7"/>
  <c r="EJ153" i="7" s="1"/>
  <c r="CQ145" i="7"/>
  <c r="CY236" i="18"/>
  <c r="CY240" i="18"/>
  <c r="CX794" i="2" s="1"/>
  <c r="CY239" i="18"/>
  <c r="CX791" i="2" s="1"/>
  <c r="CZ90" i="18"/>
  <c r="ES90" i="18" s="1"/>
  <c r="BT69" i="12"/>
  <c r="BT83" i="12"/>
  <c r="CX136" i="18"/>
  <c r="CX143" i="18" s="1"/>
  <c r="CP154" i="7"/>
  <c r="CP161" i="7"/>
  <c r="BQ134" i="11"/>
  <c r="BQ146" i="11"/>
  <c r="CW49" i="7"/>
  <c r="BY46" i="11"/>
  <c r="BY40" i="11" s="1"/>
  <c r="BY26" i="12"/>
  <c r="BY41" i="11"/>
  <c r="DN41" i="11" s="1"/>
  <c r="EA41" i="11" s="1"/>
  <c r="CW62" i="7"/>
  <c r="EL62" i="7" s="1"/>
  <c r="EY62" i="7" s="1"/>
  <c r="DF50" i="18"/>
  <c r="EU50" i="18" s="1"/>
  <c r="FH50" i="18" s="1"/>
  <c r="DF38" i="18"/>
  <c r="DF7" i="18" s="1"/>
  <c r="DF3" i="18" s="1"/>
  <c r="DA97" i="18"/>
  <c r="DB73" i="18"/>
  <c r="DB63" i="18"/>
  <c r="DE291" i="2"/>
  <c r="DE298" i="2" s="1"/>
  <c r="DF297" i="2"/>
  <c r="CW141" i="7"/>
  <c r="EL141" i="7" s="1"/>
  <c r="EY141" i="7" s="1"/>
  <c r="DA110" i="18"/>
  <c r="BW28" i="12"/>
  <c r="CX61" i="7"/>
  <c r="BS110" i="11"/>
  <c r="BS112" i="11"/>
  <c r="DL112" i="11" s="1"/>
  <c r="DL115" i="11" s="1"/>
  <c r="DC147" i="18"/>
  <c r="ET147" i="18" s="1"/>
  <c r="DC109" i="15"/>
  <c r="CY756" i="2"/>
  <c r="CZ215" i="18"/>
  <c r="CV151" i="7"/>
  <c r="CV65" i="7"/>
  <c r="CV148" i="7"/>
  <c r="CX235" i="18"/>
  <c r="CV134" i="7"/>
  <c r="BX98" i="12"/>
  <c r="BX127" i="11"/>
  <c r="DE161" i="18"/>
  <c r="BW57" i="12"/>
  <c r="BW35" i="12"/>
  <c r="BW110" i="12"/>
  <c r="BW125" i="12"/>
  <c r="BW42" i="12"/>
  <c r="BW115" i="12"/>
  <c r="DD3" i="18"/>
  <c r="DB69" i="15"/>
  <c r="DB103" i="18"/>
  <c r="DB101" i="18" s="1"/>
  <c r="DE276" i="2"/>
  <c r="DD266" i="2"/>
  <c r="DA149" i="18"/>
  <c r="DA145" i="18" s="1"/>
  <c r="DC130" i="18"/>
  <c r="ET130" i="18" s="1"/>
  <c r="DC85" i="15"/>
  <c r="ET85" i="15" s="1"/>
  <c r="CT105" i="7"/>
  <c r="EK105" i="7" s="1"/>
  <c r="DA101" i="18"/>
  <c r="BZ53" i="12"/>
  <c r="BZ75" i="11"/>
  <c r="BP156" i="11"/>
  <c r="BP149" i="11"/>
  <c r="BT101" i="11"/>
  <c r="BT114" i="11"/>
  <c r="BX50" i="11"/>
  <c r="BW83" i="11"/>
  <c r="BW154" i="11"/>
  <c r="BW139" i="11"/>
  <c r="BW144" i="11"/>
  <c r="BW59" i="11"/>
  <c r="BZ10" i="12"/>
  <c r="BZ19" i="12"/>
  <c r="DH167" i="2"/>
  <c r="CZ16" i="7"/>
  <c r="EM16" i="7" s="1"/>
  <c r="DI168" i="2"/>
  <c r="DH197" i="2"/>
  <c r="DE36" i="15"/>
  <c r="DE36" i="18"/>
  <c r="DE34" i="18" s="1"/>
  <c r="DE48" i="18"/>
  <c r="DE46" i="18" s="1"/>
  <c r="DD36" i="15"/>
  <c r="CR132" i="7"/>
  <c r="CR144" i="7"/>
  <c r="DI229" i="2"/>
  <c r="DJ239" i="2"/>
  <c r="DA84" i="7"/>
  <c r="DE275" i="2"/>
  <c r="DD271" i="2"/>
  <c r="DD265" i="2"/>
  <c r="CZ88" i="15"/>
  <c r="CZ121" i="18"/>
  <c r="CZ90" i="15"/>
  <c r="ES90" i="15" s="1"/>
  <c r="ES94" i="15" s="1"/>
  <c r="BV76" i="12"/>
  <c r="DM76" i="12" s="1"/>
  <c r="BV109" i="11"/>
  <c r="DM109" i="11" s="1"/>
  <c r="BZ15" i="11"/>
  <c r="BZ34" i="11"/>
  <c r="BS79" i="12"/>
  <c r="BS81" i="12"/>
  <c r="DL81" i="12" s="1"/>
  <c r="DG14" i="15"/>
  <c r="BZ29" i="11"/>
  <c r="CU233" i="18"/>
  <c r="CY15" i="7"/>
  <c r="DH14" i="15" s="1"/>
  <c r="CA21" i="11"/>
  <c r="CA12" i="12"/>
  <c r="CA16" i="11"/>
  <c r="CA29" i="11" s="1"/>
  <c r="DD54" i="18"/>
  <c r="CW58" i="7"/>
  <c r="EL58" i="7" s="1"/>
  <c r="BW85" i="11"/>
  <c r="DB149" i="18"/>
  <c r="DB170" i="18" s="1"/>
  <c r="DF216" i="2"/>
  <c r="CX55" i="7" s="1"/>
  <c r="DG32" i="15" s="1"/>
  <c r="CX40" i="7"/>
  <c r="DD36" i="18"/>
  <c r="DD48" i="18"/>
  <c r="BR102" i="12"/>
  <c r="BR85" i="12"/>
  <c r="CB72" i="11"/>
  <c r="DO72" i="11" s="1"/>
  <c r="CB50" i="12"/>
  <c r="DO50" i="12" s="1"/>
  <c r="DA77" i="15"/>
  <c r="DA92" i="15"/>
  <c r="CW133" i="15"/>
  <c r="CW141" i="15"/>
  <c r="BV77" i="12"/>
  <c r="DM77" i="12" s="1"/>
  <c r="CT114" i="7"/>
  <c r="EK114" i="7" s="1"/>
  <c r="BV108" i="11"/>
  <c r="DM108" i="11" s="1"/>
  <c r="DC261" i="2"/>
  <c r="CU109" i="7"/>
  <c r="CU118" i="7"/>
  <c r="DK127" i="12" l="1"/>
  <c r="DB92" i="18"/>
  <c r="BX67" i="11"/>
  <c r="BX48" i="12"/>
  <c r="DM85" i="11"/>
  <c r="ET65" i="18"/>
  <c r="ET73" i="18" s="1"/>
  <c r="BV99" i="11"/>
  <c r="DM99" i="11" s="1"/>
  <c r="DM80" i="11"/>
  <c r="DM94" i="11"/>
  <c r="BV44" i="12"/>
  <c r="DM44" i="12" s="1"/>
  <c r="BV65" i="12"/>
  <c r="DM65" i="12" s="1"/>
  <c r="BV62" i="11"/>
  <c r="DM62" i="11" s="1"/>
  <c r="CV198" i="18"/>
  <c r="DC73" i="18"/>
  <c r="BV94" i="11"/>
  <c r="CV211" i="18"/>
  <c r="CS132" i="7"/>
  <c r="CS144" i="7"/>
  <c r="DC63" i="18"/>
  <c r="BX68" i="11"/>
  <c r="BX85" i="11" s="1"/>
  <c r="DC234" i="2"/>
  <c r="DD53" i="15"/>
  <c r="DD73" i="15" s="1"/>
  <c r="CU69" i="7"/>
  <c r="DD65" i="15"/>
  <c r="ET109" i="15"/>
  <c r="ET65" i="15"/>
  <c r="BW59" i="12"/>
  <c r="DD67" i="15"/>
  <c r="CU99" i="7"/>
  <c r="ET42" i="15"/>
  <c r="ET127" i="15"/>
  <c r="ET139" i="15"/>
  <c r="ET121" i="15"/>
  <c r="CV70" i="7"/>
  <c r="DE56" i="15" s="1"/>
  <c r="DD225" i="2"/>
  <c r="DD224" i="2" s="1"/>
  <c r="CV81" i="7"/>
  <c r="BV84" i="11"/>
  <c r="DM83" i="11"/>
  <c r="BW84" i="11"/>
  <c r="BY48" i="11"/>
  <c r="EM73" i="7"/>
  <c r="DA73" i="7"/>
  <c r="DJ58" i="15" s="1"/>
  <c r="DE264" i="2"/>
  <c r="DD129" i="18"/>
  <c r="BW107" i="11"/>
  <c r="BW75" i="12"/>
  <c r="CV108" i="7"/>
  <c r="DE84" i="15" s="1"/>
  <c r="DE129" i="18" s="1"/>
  <c r="CV117" i="7"/>
  <c r="CX82" i="7"/>
  <c r="DF226" i="2"/>
  <c r="DE226" i="2"/>
  <c r="CW70" i="7" s="1"/>
  <c r="DF56" i="15" s="1"/>
  <c r="DE236" i="2"/>
  <c r="CW107" i="7"/>
  <c r="DF83" i="15" s="1"/>
  <c r="CW116" i="7"/>
  <c r="BX106" i="11"/>
  <c r="BX74" i="12"/>
  <c r="DG237" i="2"/>
  <c r="CY82" i="7" s="1"/>
  <c r="CX116" i="7"/>
  <c r="CX107" i="7"/>
  <c r="EU3" i="18"/>
  <c r="FH3" i="18" s="1"/>
  <c r="EU7" i="18"/>
  <c r="FH7" i="18" s="1"/>
  <c r="CW197" i="18"/>
  <c r="ER197" i="18" s="1"/>
  <c r="ER198" i="18" s="1"/>
  <c r="CW173" i="18"/>
  <c r="BV61" i="12"/>
  <c r="DM57" i="12"/>
  <c r="DM61" i="12" s="1"/>
  <c r="EJ154" i="7"/>
  <c r="FH21" i="15"/>
  <c r="DL85" i="12"/>
  <c r="CZ214" i="18"/>
  <c r="ES214" i="18" s="1"/>
  <c r="ES215" i="18"/>
  <c r="BY24" i="12"/>
  <c r="DN26" i="12"/>
  <c r="EA26" i="12" s="1"/>
  <c r="BS119" i="12"/>
  <c r="DL104" i="12"/>
  <c r="EU30" i="15"/>
  <c r="FH30" i="15" s="1"/>
  <c r="DE56" i="18"/>
  <c r="CW52" i="7"/>
  <c r="EL49" i="7"/>
  <c r="BS148" i="11"/>
  <c r="DL133" i="11"/>
  <c r="DC103" i="18"/>
  <c r="ET63" i="15"/>
  <c r="EK93" i="7"/>
  <c r="EK94" i="7" s="1"/>
  <c r="DN40" i="11"/>
  <c r="DN48" i="11" s="1"/>
  <c r="EK79" i="7"/>
  <c r="DN46" i="11"/>
  <c r="EA46" i="11" s="1"/>
  <c r="DM100" i="12"/>
  <c r="DB145" i="18"/>
  <c r="DB164" i="18" s="1"/>
  <c r="DC69" i="15"/>
  <c r="EK112" i="7"/>
  <c r="CP162" i="7"/>
  <c r="EU38" i="18"/>
  <c r="FH38" i="18" s="1"/>
  <c r="F9" i="24" s="1"/>
  <c r="CZ131" i="15"/>
  <c r="ES113" i="15"/>
  <c r="DE34" i="15"/>
  <c r="DC132" i="18"/>
  <c r="ET132" i="18" s="1"/>
  <c r="ET86" i="15"/>
  <c r="CZ119" i="18"/>
  <c r="ES121" i="18"/>
  <c r="EU32" i="15"/>
  <c r="FH32" i="15" s="1"/>
  <c r="BP159" i="11"/>
  <c r="DK156" i="11"/>
  <c r="CW145" i="15"/>
  <c r="ER141" i="15"/>
  <c r="CY61" i="7"/>
  <c r="DG30" i="15"/>
  <c r="DA121" i="18"/>
  <c r="DA88" i="15"/>
  <c r="DA90" i="15"/>
  <c r="BS102" i="12"/>
  <c r="DL102" i="12" s="1"/>
  <c r="BS85" i="12"/>
  <c r="CA10" i="12"/>
  <c r="CA19" i="12"/>
  <c r="DE265" i="2"/>
  <c r="DF275" i="2"/>
  <c r="DE271" i="2"/>
  <c r="DA164" i="18"/>
  <c r="DB192" i="18"/>
  <c r="DB182" i="18"/>
  <c r="DB209" i="18"/>
  <c r="DB187" i="18"/>
  <c r="DB70" i="18"/>
  <c r="DA758" i="2"/>
  <c r="DB216" i="18" s="1"/>
  <c r="DB99" i="18"/>
  <c r="BQ156" i="11"/>
  <c r="BQ149" i="11"/>
  <c r="BT104" i="12"/>
  <c r="DC85" i="18"/>
  <c r="DC63" i="15"/>
  <c r="DC71" i="15"/>
  <c r="ET71" i="15" s="1"/>
  <c r="BW99" i="11"/>
  <c r="BS115" i="11"/>
  <c r="BS131" i="11"/>
  <c r="DL131" i="11" s="1"/>
  <c r="DL134" i="11" s="1"/>
  <c r="BW77" i="12"/>
  <c r="BW108" i="11"/>
  <c r="CU114" i="7"/>
  <c r="BX125" i="12"/>
  <c r="BX110" i="12"/>
  <c r="BX35" i="12"/>
  <c r="BX42" i="12"/>
  <c r="BX115" i="12"/>
  <c r="CA15" i="11"/>
  <c r="CA28" i="11" s="1"/>
  <c r="CA34" i="11"/>
  <c r="BZ41" i="11"/>
  <c r="BZ46" i="11"/>
  <c r="BZ26" i="12"/>
  <c r="BZ32" i="12" s="1"/>
  <c r="CX49" i="7"/>
  <c r="DD130" i="18"/>
  <c r="DD85" i="15"/>
  <c r="CU105" i="7"/>
  <c r="DH12" i="15"/>
  <c r="DH17" i="18" s="1"/>
  <c r="DH15" i="18" s="1"/>
  <c r="DH23" i="15"/>
  <c r="BZ28" i="11"/>
  <c r="DA108" i="18"/>
  <c r="DA107" i="18"/>
  <c r="CV119" i="7"/>
  <c r="CV110" i="7"/>
  <c r="DE86" i="15" s="1"/>
  <c r="DE132" i="18" s="1"/>
  <c r="BT79" i="12"/>
  <c r="BT81" i="12"/>
  <c r="CX141" i="15"/>
  <c r="CX133" i="15"/>
  <c r="CY168" i="18"/>
  <c r="CY166" i="18" s="1"/>
  <c r="CY129" i="15"/>
  <c r="CY115" i="15"/>
  <c r="DG216" i="2"/>
  <c r="CY55" i="7" s="1"/>
  <c r="DH58" i="18" s="1"/>
  <c r="CY40" i="7"/>
  <c r="DB77" i="15"/>
  <c r="DB92" i="15"/>
  <c r="DB113" i="15" s="1"/>
  <c r="DB131" i="15" s="1"/>
  <c r="DB143" i="15" s="1"/>
  <c r="CC50" i="12"/>
  <c r="CC72" i="11"/>
  <c r="DE65" i="18"/>
  <c r="DE42" i="15"/>
  <c r="DE139" i="15"/>
  <c r="DE121" i="15"/>
  <c r="DE127" i="15"/>
  <c r="BZ17" i="12"/>
  <c r="DF276" i="2"/>
  <c r="DE266" i="2"/>
  <c r="CZ240" i="18"/>
  <c r="CZ239" i="18"/>
  <c r="CZ236" i="18"/>
  <c r="DA90" i="18"/>
  <c r="DB116" i="18"/>
  <c r="DB117" i="18"/>
  <c r="CX166" i="18"/>
  <c r="CA54" i="12"/>
  <c r="CA76" i="11"/>
  <c r="BW109" i="11"/>
  <c r="BW76" i="12"/>
  <c r="CX58" i="7"/>
  <c r="BV90" i="11"/>
  <c r="DM90" i="11" s="1"/>
  <c r="CT93" i="7"/>
  <c r="CT94" i="7" s="1"/>
  <c r="DH233" i="2"/>
  <c r="CZ78" i="7" s="1"/>
  <c r="DI62" i="15" s="1"/>
  <c r="CZ88" i="7"/>
  <c r="EM88" i="7" s="1"/>
  <c r="DI243" i="2"/>
  <c r="DD86" i="15"/>
  <c r="DB97" i="18"/>
  <c r="BR117" i="12"/>
  <c r="BR105" i="12"/>
  <c r="BY56" i="11"/>
  <c r="DN56" i="11" s="1"/>
  <c r="EA56" i="11" s="1"/>
  <c r="CW57" i="7"/>
  <c r="EL57" i="7" s="1"/>
  <c r="BY51" i="11"/>
  <c r="DN51" i="11" s="1"/>
  <c r="BX154" i="11"/>
  <c r="BX59" i="11"/>
  <c r="BX139" i="11"/>
  <c r="BX144" i="11"/>
  <c r="BW61" i="12"/>
  <c r="DA116" i="18"/>
  <c r="DA117" i="18"/>
  <c r="CZ19" i="7"/>
  <c r="EM19" i="7" s="1"/>
  <c r="DI172" i="2"/>
  <c r="DI200" i="2" s="1"/>
  <c r="DH171" i="2"/>
  <c r="CT79" i="7"/>
  <c r="CT97" i="7"/>
  <c r="EK97" i="7" s="1"/>
  <c r="DD96" i="15"/>
  <c r="BU101" i="11"/>
  <c r="BU114" i="11"/>
  <c r="BU133" i="11" s="1"/>
  <c r="BU148" i="11" s="1"/>
  <c r="BU158" i="11" s="1"/>
  <c r="CY35" i="7"/>
  <c r="CY47" i="7" s="1"/>
  <c r="DJ229" i="2"/>
  <c r="DB84" i="7"/>
  <c r="DK239" i="2"/>
  <c r="BV103" i="11"/>
  <c r="DM103" i="11" s="1"/>
  <c r="BV71" i="12"/>
  <c r="BV69" i="12" s="1"/>
  <c r="BV79" i="12" s="1"/>
  <c r="CZ94" i="15"/>
  <c r="CZ138" i="18"/>
  <c r="CZ136" i="18" s="1"/>
  <c r="CZ143" i="18" s="1"/>
  <c r="CZ111" i="15"/>
  <c r="ES111" i="15" s="1"/>
  <c r="ES115" i="15" s="1"/>
  <c r="CY235" i="18"/>
  <c r="CX47" i="7"/>
  <c r="BW87" i="12"/>
  <c r="BU69" i="12"/>
  <c r="BU83" i="12"/>
  <c r="BU104" i="12" s="1"/>
  <c r="BU119" i="12" s="1"/>
  <c r="BU129" i="12" s="1"/>
  <c r="DG58" i="18"/>
  <c r="CB12" i="12"/>
  <c r="DO12" i="12" s="1"/>
  <c r="CB21" i="11"/>
  <c r="DO21" i="11" s="1"/>
  <c r="CB16" i="11"/>
  <c r="CB29" i="11" s="1"/>
  <c r="DO29" i="11" s="1"/>
  <c r="CZ15" i="7"/>
  <c r="DI14" i="15" s="1"/>
  <c r="EV14" i="15" s="1"/>
  <c r="CR145" i="7"/>
  <c r="CR153" i="7"/>
  <c r="BT133" i="11"/>
  <c r="DC79" i="15"/>
  <c r="CT112" i="7"/>
  <c r="DB107" i="18"/>
  <c r="DB108" i="18"/>
  <c r="DD34" i="18"/>
  <c r="BT110" i="11"/>
  <c r="BT112" i="11"/>
  <c r="CW134" i="7"/>
  <c r="EL134" i="7" s="1"/>
  <c r="BY98" i="12"/>
  <c r="DN98" i="12" s="1"/>
  <c r="EA98" i="12" s="1"/>
  <c r="BY127" i="11"/>
  <c r="DN127" i="11" s="1"/>
  <c r="EA127" i="11" s="1"/>
  <c r="DF161" i="18"/>
  <c r="EU161" i="18" s="1"/>
  <c r="FH161" i="18" s="1"/>
  <c r="CZ756" i="2"/>
  <c r="DA215" i="18"/>
  <c r="BW117" i="11"/>
  <c r="DB95" i="18"/>
  <c r="DG211" i="2"/>
  <c r="CY50" i="7"/>
  <c r="DD46" i="18"/>
  <c r="DF291" i="2"/>
  <c r="DF298" i="2" s="1"/>
  <c r="DG297" i="2"/>
  <c r="CX141" i="7"/>
  <c r="CQ154" i="7"/>
  <c r="CQ161" i="7"/>
  <c r="CQ162" i="7" s="1"/>
  <c r="DH201" i="2"/>
  <c r="CZ8" i="7"/>
  <c r="EM8" i="7" s="1"/>
  <c r="DB93" i="18"/>
  <c r="DA113" i="15"/>
  <c r="CW81" i="7"/>
  <c r="BY48" i="12"/>
  <c r="BY68" i="11"/>
  <c r="BY67" i="11"/>
  <c r="DD42" i="15"/>
  <c r="DD127" i="15"/>
  <c r="DD121" i="15"/>
  <c r="DD139" i="15"/>
  <c r="DD65" i="18"/>
  <c r="CZ36" i="7"/>
  <c r="EM36" i="7" s="1"/>
  <c r="DH196" i="2"/>
  <c r="DH209" i="2" s="1"/>
  <c r="DH212" i="2"/>
  <c r="DH220" i="2" s="1"/>
  <c r="DH219" i="2" s="1"/>
  <c r="DH263" i="2" s="1"/>
  <c r="DE98" i="15"/>
  <c r="DE96" i="15" s="1"/>
  <c r="BX89" i="12"/>
  <c r="BX87" i="12" s="1"/>
  <c r="BX100" i="12" s="1"/>
  <c r="BX119" i="11"/>
  <c r="BX117" i="11" s="1"/>
  <c r="BX129" i="11" s="1"/>
  <c r="CV142" i="7"/>
  <c r="BY32" i="12"/>
  <c r="DN32" i="12" s="1"/>
  <c r="EA32" i="12" s="1"/>
  <c r="DF56" i="18"/>
  <c r="DF54" i="18" s="1"/>
  <c r="DF34" i="15"/>
  <c r="DA7" i="7"/>
  <c r="DJ155" i="2"/>
  <c r="DI156" i="2"/>
  <c r="DI154" i="2" s="1"/>
  <c r="DI242" i="2" s="1"/>
  <c r="DB96" i="18"/>
  <c r="CX62" i="7"/>
  <c r="DG38" i="18"/>
  <c r="DG50" i="18"/>
  <c r="DG12" i="15"/>
  <c r="DG23" i="15"/>
  <c r="DD261" i="2"/>
  <c r="CV118" i="7"/>
  <c r="CV109" i="7"/>
  <c r="DI167" i="2"/>
  <c r="DJ168" i="2"/>
  <c r="DA16" i="7"/>
  <c r="DI197" i="2"/>
  <c r="DA170" i="18"/>
  <c r="DC149" i="18"/>
  <c r="DC170" i="18" s="1"/>
  <c r="DF38" i="15"/>
  <c r="EU38" i="15" s="1"/>
  <c r="FH38" i="15" s="1"/>
  <c r="BW62" i="11"/>
  <c r="BW94" i="11"/>
  <c r="CZ87" i="7"/>
  <c r="EM87" i="7" s="1"/>
  <c r="DH232" i="2"/>
  <c r="CZ77" i="7" s="1"/>
  <c r="DI61" i="15" s="1"/>
  <c r="DF48" i="18"/>
  <c r="DF46" i="18" s="1"/>
  <c r="DF36" i="18"/>
  <c r="DF34" i="18" s="1"/>
  <c r="BW44" i="12"/>
  <c r="BW65" i="12"/>
  <c r="BQ127" i="12"/>
  <c r="BQ120" i="12"/>
  <c r="BR134" i="11"/>
  <c r="BR146" i="11"/>
  <c r="DH200" i="2"/>
  <c r="CA53" i="12"/>
  <c r="CA75" i="11"/>
  <c r="DK130" i="12" l="1"/>
  <c r="BX57" i="12"/>
  <c r="BX61" i="12" s="1"/>
  <c r="BX83" i="11"/>
  <c r="BX84" i="11" s="1"/>
  <c r="DN48" i="12"/>
  <c r="EA48" i="12" s="1"/>
  <c r="DN67" i="11"/>
  <c r="EA67" i="11" s="1"/>
  <c r="ET63" i="18"/>
  <c r="ET182" i="18" s="1"/>
  <c r="DM55" i="12"/>
  <c r="DM81" i="11"/>
  <c r="BV81" i="11"/>
  <c r="BV92" i="11"/>
  <c r="DM92" i="11" s="1"/>
  <c r="CV212" i="18"/>
  <c r="CV232" i="18"/>
  <c r="BV63" i="12"/>
  <c r="DM63" i="12" s="1"/>
  <c r="BV55" i="12"/>
  <c r="DC182" i="18"/>
  <c r="DC187" i="18"/>
  <c r="DC70" i="18"/>
  <c r="DC209" i="18"/>
  <c r="DC192" i="18"/>
  <c r="DB758" i="2"/>
  <c r="DC216" i="18" s="1"/>
  <c r="CS145" i="7"/>
  <c r="CS153" i="7"/>
  <c r="DE53" i="15"/>
  <c r="CV99" i="7"/>
  <c r="CV69" i="7"/>
  <c r="CU92" i="7"/>
  <c r="DD51" i="15"/>
  <c r="DD71" i="15" s="1"/>
  <c r="DN68" i="11"/>
  <c r="EA68" i="11" s="1"/>
  <c r="DE67" i="15"/>
  <c r="CU68" i="7"/>
  <c r="ET69" i="15"/>
  <c r="BZ67" i="11"/>
  <c r="BZ68" i="11"/>
  <c r="CX81" i="7"/>
  <c r="BZ48" i="12"/>
  <c r="CX70" i="7"/>
  <c r="DG56" i="15" s="1"/>
  <c r="DF225" i="2"/>
  <c r="DF224" i="2" s="1"/>
  <c r="DG226" i="2"/>
  <c r="DD234" i="2"/>
  <c r="DE65" i="15"/>
  <c r="BX59" i="12"/>
  <c r="BX63" i="11"/>
  <c r="BX46" i="12"/>
  <c r="BX80" i="11"/>
  <c r="BX99" i="11" s="1"/>
  <c r="EL81" i="7"/>
  <c r="DM84" i="11"/>
  <c r="DE225" i="2"/>
  <c r="DE224" i="2" s="1"/>
  <c r="DF264" i="2"/>
  <c r="DG236" i="2"/>
  <c r="DB73" i="7"/>
  <c r="DK58" i="15" s="1"/>
  <c r="DK57" i="15"/>
  <c r="BX75" i="12"/>
  <c r="BX107" i="11"/>
  <c r="CW117" i="7"/>
  <c r="CW108" i="7"/>
  <c r="DJ57" i="15"/>
  <c r="ES239" i="18"/>
  <c r="CY791" i="2"/>
  <c r="ES240" i="18"/>
  <c r="CY794" i="2"/>
  <c r="EL107" i="7"/>
  <c r="EY107" i="7" s="1"/>
  <c r="EL70" i="7"/>
  <c r="EL99" i="7" s="1"/>
  <c r="EV62" i="15"/>
  <c r="DG83" i="15"/>
  <c r="DG128" i="18" s="1"/>
  <c r="BZ74" i="12"/>
  <c r="BZ106" i="11"/>
  <c r="CY107" i="7"/>
  <c r="DH83" i="15" s="1"/>
  <c r="DH128" i="18" s="1"/>
  <c r="CY116" i="7"/>
  <c r="EL116" i="7"/>
  <c r="EY116" i="7" s="1"/>
  <c r="BY74" i="12"/>
  <c r="DN74" i="12" s="1"/>
  <c r="EA74" i="12" s="1"/>
  <c r="BY106" i="11"/>
  <c r="DN106" i="11" s="1"/>
  <c r="EA106" i="11" s="1"/>
  <c r="DH237" i="2"/>
  <c r="DH226" i="2" s="1"/>
  <c r="EU83" i="15"/>
  <c r="FH83" i="15" s="1"/>
  <c r="DF128" i="18"/>
  <c r="EU128" i="18" s="1"/>
  <c r="FH128" i="18" s="1"/>
  <c r="FH34" i="15"/>
  <c r="ET170" i="18"/>
  <c r="ET149" i="18"/>
  <c r="CW211" i="18"/>
  <c r="ER211" i="18" s="1"/>
  <c r="ER212" i="18" s="1"/>
  <c r="CW198" i="18"/>
  <c r="EU48" i="18"/>
  <c r="FH48" i="18" s="1"/>
  <c r="EU46" i="18"/>
  <c r="FH46" i="18" s="1"/>
  <c r="DC145" i="18"/>
  <c r="DC164" i="18" s="1"/>
  <c r="DM69" i="12"/>
  <c r="DM79" i="12" s="1"/>
  <c r="EL142" i="7"/>
  <c r="EY134" i="7"/>
  <c r="DL105" i="12"/>
  <c r="EK98" i="7"/>
  <c r="DM71" i="12"/>
  <c r="EU34" i="15"/>
  <c r="DC101" i="18"/>
  <c r="ET103" i="18"/>
  <c r="ET75" i="15"/>
  <c r="DE54" i="18"/>
  <c r="EU56" i="18"/>
  <c r="FH56" i="18" s="1"/>
  <c r="BS158" i="11"/>
  <c r="DL158" i="11" s="1"/>
  <c r="DL148" i="11"/>
  <c r="DC83" i="18"/>
  <c r="DC94" i="18" s="1"/>
  <c r="ET94" i="18" s="1"/>
  <c r="ET85" i="18"/>
  <c r="CZ134" i="18"/>
  <c r="ES119" i="18"/>
  <c r="EM15" i="7"/>
  <c r="EM78" i="7"/>
  <c r="EL52" i="7"/>
  <c r="EY49" i="7"/>
  <c r="EA40" i="11"/>
  <c r="EA48" i="11" s="1"/>
  <c r="BS129" i="12"/>
  <c r="DL119" i="12"/>
  <c r="EV61" i="15"/>
  <c r="EM77" i="7"/>
  <c r="DO16" i="11"/>
  <c r="ES136" i="18"/>
  <c r="ES143" i="18" s="1"/>
  <c r="EJ161" i="7"/>
  <c r="BY28" i="12"/>
  <c r="DN24" i="12"/>
  <c r="DC77" i="15"/>
  <c r="ET77" i="15" s="1"/>
  <c r="ET79" i="15"/>
  <c r="EU34" i="18"/>
  <c r="FH34" i="18" s="1"/>
  <c r="EA51" i="11"/>
  <c r="ES138" i="18"/>
  <c r="EU36" i="18"/>
  <c r="FH36" i="18" s="1"/>
  <c r="F7" i="24" s="1"/>
  <c r="EL65" i="7"/>
  <c r="EL151" i="7"/>
  <c r="EL148" i="7"/>
  <c r="CZ143" i="15"/>
  <c r="ES143" i="15" s="1"/>
  <c r="ES131" i="15"/>
  <c r="DH32" i="15"/>
  <c r="DH38" i="15" s="1"/>
  <c r="ER145" i="15"/>
  <c r="DD61" i="18"/>
  <c r="DK159" i="11"/>
  <c r="DA39" i="7"/>
  <c r="DI215" i="2"/>
  <c r="DA54" i="7" s="1"/>
  <c r="DI232" i="2"/>
  <c r="DA77" i="7" s="1"/>
  <c r="DJ61" i="15" s="1"/>
  <c r="DA87" i="7"/>
  <c r="DE147" i="18"/>
  <c r="DE109" i="15"/>
  <c r="DK229" i="2"/>
  <c r="EN72" i="7" s="1"/>
  <c r="DC84" i="7"/>
  <c r="EN84" i="7" s="1"/>
  <c r="DL239" i="2"/>
  <c r="CX57" i="7"/>
  <c r="BZ56" i="11"/>
  <c r="BZ51" i="11"/>
  <c r="DH38" i="18"/>
  <c r="DH7" i="18" s="1"/>
  <c r="DH3" i="18" s="1"/>
  <c r="DH50" i="18"/>
  <c r="CY62" i="7"/>
  <c r="CB75" i="11"/>
  <c r="DO75" i="11" s="1"/>
  <c r="CB53" i="12"/>
  <c r="DO53" i="12" s="1"/>
  <c r="DJ167" i="2"/>
  <c r="DK168" i="2"/>
  <c r="DB16" i="7"/>
  <c r="DJ197" i="2"/>
  <c r="BY59" i="12"/>
  <c r="BY30" i="12"/>
  <c r="DN30" i="12" s="1"/>
  <c r="CB10" i="12"/>
  <c r="DO10" i="12" s="1"/>
  <c r="CB19" i="12"/>
  <c r="DO19" i="12" s="1"/>
  <c r="DD132" i="18"/>
  <c r="DE63" i="18"/>
  <c r="DE73" i="18"/>
  <c r="DF265" i="2"/>
  <c r="DF271" i="2"/>
  <c r="DG275" i="2"/>
  <c r="BW129" i="11"/>
  <c r="CY49" i="7"/>
  <c r="CY52" i="7" s="1"/>
  <c r="CA26" i="12"/>
  <c r="CA24" i="12" s="1"/>
  <c r="CA41" i="11"/>
  <c r="CA46" i="11"/>
  <c r="CA40" i="11" s="1"/>
  <c r="CA48" i="11" s="1"/>
  <c r="BU110" i="11"/>
  <c r="BU112" i="11"/>
  <c r="BY85" i="11"/>
  <c r="BY50" i="11"/>
  <c r="DN50" i="11" s="1"/>
  <c r="DB215" i="18"/>
  <c r="DB214" i="18" s="1"/>
  <c r="DA756" i="2"/>
  <c r="DE261" i="2"/>
  <c r="CW109" i="7"/>
  <c r="EL109" i="7" s="1"/>
  <c r="EY109" i="7" s="1"/>
  <c r="CW118" i="7"/>
  <c r="EL118" i="7" s="1"/>
  <c r="EY118" i="7" s="1"/>
  <c r="DF67" i="15"/>
  <c r="DF36" i="15"/>
  <c r="CZ235" i="18"/>
  <c r="ES235" i="18" s="1"/>
  <c r="ES236" i="18"/>
  <c r="DE130" i="18"/>
  <c r="DE85" i="15"/>
  <c r="CV105" i="7"/>
  <c r="CA68" i="11"/>
  <c r="CA67" i="11"/>
  <c r="CA48" i="12"/>
  <c r="CY81" i="7"/>
  <c r="DA214" i="18"/>
  <c r="CZ168" i="18"/>
  <c r="CZ166" i="18" s="1"/>
  <c r="ES166" i="18" s="1"/>
  <c r="CZ115" i="15"/>
  <c r="CZ129" i="15"/>
  <c r="ES129" i="15" s="1"/>
  <c r="CW148" i="7"/>
  <c r="CW65" i="7"/>
  <c r="CW151" i="7"/>
  <c r="DI233" i="2"/>
  <c r="DA78" i="7" s="1"/>
  <c r="DJ62" i="15" s="1"/>
  <c r="DJ243" i="2"/>
  <c r="DA88" i="7"/>
  <c r="CX173" i="18"/>
  <c r="CX197" i="18"/>
  <c r="CW119" i="7"/>
  <c r="EL119" i="7" s="1"/>
  <c r="EY119" i="7" s="1"/>
  <c r="CW110" i="7"/>
  <c r="DF86" i="15" s="1"/>
  <c r="DF132" i="18" s="1"/>
  <c r="CX145" i="15"/>
  <c r="CA17" i="12"/>
  <c r="BT148" i="11"/>
  <c r="BQ130" i="12"/>
  <c r="BW81" i="11"/>
  <c r="BW92" i="11"/>
  <c r="BX77" i="12"/>
  <c r="BX108" i="11"/>
  <c r="CV114" i="7"/>
  <c r="DD147" i="18"/>
  <c r="DD109" i="15"/>
  <c r="CB54" i="12"/>
  <c r="DO54" i="12" s="1"/>
  <c r="CB76" i="11"/>
  <c r="DO76" i="11" s="1"/>
  <c r="DF266" i="2"/>
  <c r="DG276" i="2"/>
  <c r="BT85" i="12"/>
  <c r="BT102" i="12"/>
  <c r="DH21" i="15"/>
  <c r="BW71" i="12"/>
  <c r="BW83" i="12" s="1"/>
  <c r="BW103" i="11"/>
  <c r="BW114" i="11" s="1"/>
  <c r="DC112" i="18"/>
  <c r="DC75" i="15"/>
  <c r="BZ30" i="12"/>
  <c r="CT98" i="7"/>
  <c r="CT129" i="7"/>
  <c r="EK129" i="7" s="1"/>
  <c r="BR120" i="12"/>
  <c r="BR127" i="12"/>
  <c r="BR130" i="12" s="1"/>
  <c r="CU112" i="7"/>
  <c r="DD79" i="15"/>
  <c r="BS105" i="12"/>
  <c r="BS117" i="12"/>
  <c r="DL117" i="12" s="1"/>
  <c r="DG17" i="18"/>
  <c r="DH211" i="2"/>
  <c r="CZ50" i="7"/>
  <c r="CZ58" i="7" s="1"/>
  <c r="BZ98" i="12"/>
  <c r="CX134" i="7"/>
  <c r="BZ127" i="11"/>
  <c r="DG161" i="18"/>
  <c r="CR154" i="7"/>
  <c r="CR161" i="7"/>
  <c r="BV101" i="11"/>
  <c r="BV114" i="11"/>
  <c r="BV133" i="11" s="1"/>
  <c r="BV148" i="11" s="1"/>
  <c r="BV158" i="11" s="1"/>
  <c r="DA240" i="18"/>
  <c r="CZ794" i="2" s="1"/>
  <c r="DA239" i="18"/>
  <c r="CZ791" i="2" s="1"/>
  <c r="DA236" i="18"/>
  <c r="DB90" i="18"/>
  <c r="DB121" i="18"/>
  <c r="DB119" i="18" s="1"/>
  <c r="DB134" i="18" s="1"/>
  <c r="DB88" i="15"/>
  <c r="DB90" i="15"/>
  <c r="BT119" i="12"/>
  <c r="DA138" i="18"/>
  <c r="DA94" i="15"/>
  <c r="DA111" i="15"/>
  <c r="BU79" i="12"/>
  <c r="BU81" i="12"/>
  <c r="DB7" i="7"/>
  <c r="DK155" i="2"/>
  <c r="DJ156" i="2"/>
  <c r="DJ154" i="2" s="1"/>
  <c r="DJ242" i="2" s="1"/>
  <c r="DG38" i="15"/>
  <c r="DG21" i="15"/>
  <c r="DH216" i="2"/>
  <c r="CZ55" i="7" s="1"/>
  <c r="CZ40" i="7"/>
  <c r="EM40" i="7" s="1"/>
  <c r="BT131" i="11"/>
  <c r="BT115" i="11"/>
  <c r="BV83" i="12"/>
  <c r="BV104" i="12" s="1"/>
  <c r="BV119" i="12" s="1"/>
  <c r="BV129" i="12" s="1"/>
  <c r="DI12" i="15"/>
  <c r="DI17" i="18" s="1"/>
  <c r="DI15" i="18" s="1"/>
  <c r="DI23" i="15"/>
  <c r="EV23" i="15" s="1"/>
  <c r="BX76" i="12"/>
  <c r="BX109" i="11"/>
  <c r="CX52" i="7"/>
  <c r="DA119" i="18"/>
  <c r="DI201" i="2"/>
  <c r="DA8" i="7"/>
  <c r="DG291" i="2"/>
  <c r="DG298" i="2" s="1"/>
  <c r="CY141" i="7"/>
  <c r="DH297" i="2"/>
  <c r="DF98" i="15"/>
  <c r="DF96" i="15" s="1"/>
  <c r="EU96" i="15" s="1"/>
  <c r="BY89" i="12"/>
  <c r="BY87" i="12" s="1"/>
  <c r="DN87" i="12" s="1"/>
  <c r="CW142" i="7"/>
  <c r="BY119" i="11"/>
  <c r="BW100" i="12"/>
  <c r="BS134" i="11"/>
  <c r="BS146" i="11"/>
  <c r="DL146" i="11" s="1"/>
  <c r="CD72" i="11"/>
  <c r="CD50" i="12"/>
  <c r="DC92" i="15"/>
  <c r="CZ35" i="7"/>
  <c r="CZ47" i="7" s="1"/>
  <c r="EM47" i="7" s="1"/>
  <c r="BY46" i="12"/>
  <c r="BY63" i="11"/>
  <c r="BY62" i="11" s="1"/>
  <c r="BY80" i="11"/>
  <c r="BY99" i="11" s="1"/>
  <c r="DH215" i="2"/>
  <c r="CZ54" i="7" s="1"/>
  <c r="EM54" i="7" s="1"/>
  <c r="CZ39" i="7"/>
  <c r="EM39" i="7" s="1"/>
  <c r="DI212" i="2"/>
  <c r="DI220" i="2" s="1"/>
  <c r="DI219" i="2" s="1"/>
  <c r="DI263" i="2" s="1"/>
  <c r="DA36" i="7"/>
  <c r="DI196" i="2"/>
  <c r="DI209" i="2" s="1"/>
  <c r="DG7" i="18"/>
  <c r="DD63" i="18"/>
  <c r="DD73" i="18"/>
  <c r="DA131" i="15"/>
  <c r="CY141" i="15"/>
  <c r="CY145" i="15" s="1"/>
  <c r="CY133" i="15"/>
  <c r="BZ24" i="12"/>
  <c r="BQ159" i="11"/>
  <c r="DG56" i="18"/>
  <c r="BW55" i="12"/>
  <c r="BW63" i="12"/>
  <c r="DA19" i="7"/>
  <c r="DI171" i="2"/>
  <c r="DJ172" i="2"/>
  <c r="DJ200" i="2" s="1"/>
  <c r="DF53" i="15"/>
  <c r="CW69" i="7"/>
  <c r="EU56" i="15"/>
  <c r="FH56" i="15" s="1"/>
  <c r="CW99" i="7"/>
  <c r="BR156" i="11"/>
  <c r="BR159" i="11" s="1"/>
  <c r="BR149" i="11"/>
  <c r="CC12" i="12"/>
  <c r="DA15" i="7"/>
  <c r="CC16" i="11"/>
  <c r="CC21" i="11"/>
  <c r="DF61" i="18"/>
  <c r="DD103" i="18"/>
  <c r="DD69" i="15"/>
  <c r="CB15" i="11"/>
  <c r="CB28" i="11" s="1"/>
  <c r="DO28" i="11" s="1"/>
  <c r="CB34" i="11"/>
  <c r="DO34" i="11" s="1"/>
  <c r="CY58" i="7"/>
  <c r="CY173" i="18"/>
  <c r="CY197" i="18"/>
  <c r="BZ40" i="11"/>
  <c r="BZ48" i="11" s="1"/>
  <c r="DB756" i="2" l="1"/>
  <c r="DC215" i="18"/>
  <c r="DC214" i="18" s="1"/>
  <c r="ET209" i="18"/>
  <c r="ET70" i="18"/>
  <c r="ET192" i="18"/>
  <c r="ET187" i="18"/>
  <c r="ET216" i="18"/>
  <c r="DM67" i="12"/>
  <c r="DM93" i="11"/>
  <c r="BV93" i="11"/>
  <c r="BV67" i="12"/>
  <c r="BV81" i="12"/>
  <c r="CV233" i="18"/>
  <c r="CS154" i="7"/>
  <c r="CS161" i="7"/>
  <c r="CS162" i="7" s="1"/>
  <c r="DF234" i="2"/>
  <c r="DN85" i="11"/>
  <c r="DD112" i="18"/>
  <c r="CU93" i="7"/>
  <c r="CU94" i="7" s="1"/>
  <c r="CU79" i="7"/>
  <c r="DD75" i="15"/>
  <c r="BW90" i="11"/>
  <c r="CU97" i="7"/>
  <c r="EU67" i="15"/>
  <c r="FH67" i="15" s="1"/>
  <c r="BZ59" i="12"/>
  <c r="CV68" i="7"/>
  <c r="CV92" i="7"/>
  <c r="DE51" i="15"/>
  <c r="DE73" i="15"/>
  <c r="CX69" i="7"/>
  <c r="DG53" i="15"/>
  <c r="BZ63" i="11"/>
  <c r="BZ46" i="12"/>
  <c r="BZ65" i="12" s="1"/>
  <c r="BZ80" i="11"/>
  <c r="DD85" i="18"/>
  <c r="DD63" i="15"/>
  <c r="CY70" i="7"/>
  <c r="DH56" i="15" s="1"/>
  <c r="DE69" i="15"/>
  <c r="DE103" i="18"/>
  <c r="DE101" i="18" s="1"/>
  <c r="DN59" i="12"/>
  <c r="EA59" i="12" s="1"/>
  <c r="DG225" i="2"/>
  <c r="DG224" i="2" s="1"/>
  <c r="CX99" i="7"/>
  <c r="DE234" i="2"/>
  <c r="DN99" i="11"/>
  <c r="EA99" i="11" s="1"/>
  <c r="BX62" i="11"/>
  <c r="BX94" i="11"/>
  <c r="BX44" i="12"/>
  <c r="BX65" i="12"/>
  <c r="EA85" i="11"/>
  <c r="EY70" i="7"/>
  <c r="EY99" i="7" s="1"/>
  <c r="DL129" i="12"/>
  <c r="DG264" i="2"/>
  <c r="DC73" i="7"/>
  <c r="DL58" i="15" s="1"/>
  <c r="EW58" i="15" s="1"/>
  <c r="DL57" i="15"/>
  <c r="EW57" i="15" s="1"/>
  <c r="EL108" i="7"/>
  <c r="EY108" i="7" s="1"/>
  <c r="DF84" i="15"/>
  <c r="EL117" i="7"/>
  <c r="EY117" i="7" s="1"/>
  <c r="BY75" i="12"/>
  <c r="DN75" i="12" s="1"/>
  <c r="EA75" i="12" s="1"/>
  <c r="BY107" i="11"/>
  <c r="DN107" i="11" s="1"/>
  <c r="EA107" i="11" s="1"/>
  <c r="CX117" i="7"/>
  <c r="CX108" i="7"/>
  <c r="F5" i="24"/>
  <c r="EU36" i="15"/>
  <c r="FH36" i="15" s="1"/>
  <c r="FH139" i="15" s="1"/>
  <c r="DF65" i="15"/>
  <c r="EU65" i="15" s="1"/>
  <c r="CZ82" i="7"/>
  <c r="EM82" i="7" s="1"/>
  <c r="DH236" i="2"/>
  <c r="CZ107" i="7"/>
  <c r="DI83" i="15" s="1"/>
  <c r="CZ116" i="7"/>
  <c r="DI237" i="2"/>
  <c r="DI236" i="2" s="1"/>
  <c r="CA74" i="12"/>
  <c r="CA106" i="11"/>
  <c r="EY52" i="7"/>
  <c r="EY57" i="7"/>
  <c r="EY148" i="7" s="1"/>
  <c r="CW212" i="18"/>
  <c r="CW232" i="18"/>
  <c r="CW233" i="18" s="1"/>
  <c r="DC91" i="18"/>
  <c r="ET91" i="18" s="1"/>
  <c r="DC93" i="18"/>
  <c r="ET93" i="18" s="1"/>
  <c r="EM58" i="7"/>
  <c r="ET145" i="18"/>
  <c r="ET164" i="18" s="1"/>
  <c r="DC88" i="15"/>
  <c r="DC90" i="15"/>
  <c r="DC138" i="18" s="1"/>
  <c r="DC136" i="18" s="1"/>
  <c r="DC143" i="18" s="1"/>
  <c r="DC121" i="18"/>
  <c r="DC119" i="18" s="1"/>
  <c r="DC134" i="18" s="1"/>
  <c r="DC97" i="18"/>
  <c r="ET97" i="18" s="1"/>
  <c r="DC96" i="18"/>
  <c r="ET96" i="18" s="1"/>
  <c r="DM133" i="11"/>
  <c r="CA32" i="12"/>
  <c r="BY100" i="12"/>
  <c r="DL120" i="12"/>
  <c r="DL149" i="11"/>
  <c r="ET88" i="15"/>
  <c r="ES133" i="15"/>
  <c r="BV110" i="11"/>
  <c r="DM101" i="11"/>
  <c r="DC107" i="18"/>
  <c r="DC108" i="18"/>
  <c r="ET101" i="18"/>
  <c r="EU132" i="18"/>
  <c r="FH132" i="18" s="1"/>
  <c r="DN80" i="11"/>
  <c r="EA80" i="11" s="1"/>
  <c r="DC110" i="18"/>
  <c r="ET110" i="18" s="1"/>
  <c r="ET112" i="18"/>
  <c r="EU86" i="15"/>
  <c r="FH86" i="15" s="1"/>
  <c r="DC99" i="18"/>
  <c r="ET83" i="18"/>
  <c r="DC98" i="18"/>
  <c r="DC92" i="18"/>
  <c r="ET92" i="18" s="1"/>
  <c r="DC113" i="15"/>
  <c r="ET92" i="15"/>
  <c r="DH30" i="15"/>
  <c r="DH34" i="15" s="1"/>
  <c r="ES168" i="18"/>
  <c r="FH96" i="15"/>
  <c r="EL110" i="7"/>
  <c r="EY110" i="7" s="1"/>
  <c r="DN63" i="11"/>
  <c r="EA50" i="11"/>
  <c r="DN144" i="11"/>
  <c r="DN154" i="11"/>
  <c r="DN59" i="11"/>
  <c r="DN139" i="11"/>
  <c r="DN28" i="12"/>
  <c r="EA24" i="12"/>
  <c r="EA28" i="12" s="1"/>
  <c r="BY117" i="11"/>
  <c r="DN119" i="11"/>
  <c r="EA119" i="11" s="1"/>
  <c r="DN100" i="12"/>
  <c r="EA87" i="12"/>
  <c r="CW68" i="7"/>
  <c r="CW79" i="7" s="1"/>
  <c r="EL69" i="7"/>
  <c r="EY69" i="7" s="1"/>
  <c r="EY68" i="7" s="1"/>
  <c r="EV12" i="15"/>
  <c r="EA30" i="12"/>
  <c r="DN110" i="12"/>
  <c r="DN35" i="12"/>
  <c r="DN125" i="12"/>
  <c r="DN115" i="12"/>
  <c r="EU54" i="18"/>
  <c r="DE61" i="18"/>
  <c r="DI58" i="18"/>
  <c r="EV58" i="18" s="1"/>
  <c r="EM55" i="7"/>
  <c r="DF51" i="15"/>
  <c r="EU53" i="15"/>
  <c r="FH53" i="15" s="1"/>
  <c r="BY81" i="11"/>
  <c r="EM35" i="7"/>
  <c r="DM83" i="12"/>
  <c r="DN89" i="12"/>
  <c r="EA89" i="12" s="1"/>
  <c r="EU98" i="15"/>
  <c r="FH98" i="15" s="1"/>
  <c r="EK132" i="7"/>
  <c r="BY44" i="12"/>
  <c r="BY55" i="12" s="1"/>
  <c r="DN46" i="12"/>
  <c r="EA46" i="12" s="1"/>
  <c r="DM114" i="11"/>
  <c r="DM104" i="12"/>
  <c r="DO15" i="11"/>
  <c r="EM50" i="7"/>
  <c r="DC95" i="18"/>
  <c r="ET95" i="18" s="1"/>
  <c r="EJ162" i="7"/>
  <c r="ES134" i="18"/>
  <c r="ES173" i="18"/>
  <c r="DA235" i="18"/>
  <c r="DF73" i="15"/>
  <c r="DJ215" i="2"/>
  <c r="DB54" i="7" s="1"/>
  <c r="DB39" i="7"/>
  <c r="DJ232" i="2"/>
  <c r="DB77" i="7" s="1"/>
  <c r="DK61" i="15" s="1"/>
  <c r="DB87" i="7"/>
  <c r="CB56" i="11"/>
  <c r="CB51" i="11"/>
  <c r="CZ57" i="7"/>
  <c r="BW133" i="11"/>
  <c r="DA143" i="15"/>
  <c r="DI32" i="15"/>
  <c r="DI30" i="15" s="1"/>
  <c r="DA134" i="18"/>
  <c r="CX142" i="7"/>
  <c r="BZ119" i="11"/>
  <c r="BZ89" i="12"/>
  <c r="DG98" i="15"/>
  <c r="BT117" i="12"/>
  <c r="BT105" i="12"/>
  <c r="BY76" i="12"/>
  <c r="DN76" i="12" s="1"/>
  <c r="EA76" i="12" s="1"/>
  <c r="BY109" i="11"/>
  <c r="DN109" i="11" s="1"/>
  <c r="EA109" i="11" s="1"/>
  <c r="CZ133" i="15"/>
  <c r="CZ141" i="15"/>
  <c r="CA28" i="12"/>
  <c r="DE149" i="18"/>
  <c r="DE170" i="18" s="1"/>
  <c r="DJ14" i="15"/>
  <c r="CC10" i="12"/>
  <c r="CC19" i="12"/>
  <c r="DB138" i="18"/>
  <c r="DB136" i="18" s="1"/>
  <c r="DB143" i="18" s="1"/>
  <c r="DB94" i="15"/>
  <c r="DB111" i="15"/>
  <c r="DG3" i="18"/>
  <c r="DI216" i="2"/>
  <c r="DA55" i="7" s="1"/>
  <c r="DJ32" i="15" s="1"/>
  <c r="DA40" i="7"/>
  <c r="DH36" i="15"/>
  <c r="CC29" i="11"/>
  <c r="BT134" i="11"/>
  <c r="BT146" i="11"/>
  <c r="BU102" i="12"/>
  <c r="BU85" i="12"/>
  <c r="BZ125" i="12"/>
  <c r="BZ115" i="12"/>
  <c r="BZ110" i="12"/>
  <c r="BZ57" i="12"/>
  <c r="BZ42" i="12"/>
  <c r="BZ35" i="12"/>
  <c r="CX211" i="18"/>
  <c r="CX198" i="18"/>
  <c r="BZ85" i="11"/>
  <c r="BZ50" i="11"/>
  <c r="CC53" i="12"/>
  <c r="CC75" i="11"/>
  <c r="BV112" i="11"/>
  <c r="DM112" i="11" s="1"/>
  <c r="DI38" i="18"/>
  <c r="CZ62" i="7"/>
  <c r="EM62" i="7" s="1"/>
  <c r="DI50" i="18"/>
  <c r="EV50" i="18" s="1"/>
  <c r="CR162" i="7"/>
  <c r="CZ173" i="18"/>
  <c r="CZ197" i="18"/>
  <c r="ES197" i="18" s="1"/>
  <c r="DJ171" i="2"/>
  <c r="DB19" i="7"/>
  <c r="DK172" i="2"/>
  <c r="DK200" i="2" s="1"/>
  <c r="BZ28" i="12"/>
  <c r="DE70" i="18"/>
  <c r="DD758" i="2"/>
  <c r="DE216" i="18" s="1"/>
  <c r="DE209" i="18"/>
  <c r="DE192" i="18"/>
  <c r="DE182" i="18"/>
  <c r="DE187" i="18"/>
  <c r="DC758" i="2"/>
  <c r="DD216" i="18" s="1"/>
  <c r="DD192" i="18"/>
  <c r="DD182" i="18"/>
  <c r="DD70" i="18"/>
  <c r="DD187" i="18"/>
  <c r="DD209" i="18"/>
  <c r="DG36" i="18"/>
  <c r="DG48" i="18"/>
  <c r="CX110" i="7"/>
  <c r="CX119" i="7"/>
  <c r="CC76" i="11"/>
  <c r="CC54" i="12"/>
  <c r="DF65" i="18"/>
  <c r="EU65" i="18" s="1"/>
  <c r="DF121" i="15"/>
  <c r="DF42" i="15"/>
  <c r="DF139" i="15"/>
  <c r="DF127" i="15"/>
  <c r="BY92" i="11"/>
  <c r="BY154" i="11"/>
  <c r="BY144" i="11"/>
  <c r="BY59" i="11"/>
  <c r="BY139" i="11"/>
  <c r="BY83" i="11"/>
  <c r="DJ196" i="2"/>
  <c r="DJ209" i="2" s="1"/>
  <c r="DJ212" i="2"/>
  <c r="DB36" i="7"/>
  <c r="CX151" i="7"/>
  <c r="CX148" i="7"/>
  <c r="CX65" i="7"/>
  <c r="DD77" i="15"/>
  <c r="DD92" i="15"/>
  <c r="DG266" i="2"/>
  <c r="DH276" i="2"/>
  <c r="BT158" i="11"/>
  <c r="DM158" i="11" s="1"/>
  <c r="DM148" i="11"/>
  <c r="BW67" i="12"/>
  <c r="DF147" i="18"/>
  <c r="EU147" i="18" s="1"/>
  <c r="FH147" i="18" s="1"/>
  <c r="DF109" i="15"/>
  <c r="DG67" i="15"/>
  <c r="DG36" i="15"/>
  <c r="DG65" i="15" s="1"/>
  <c r="DJ233" i="2"/>
  <c r="DB78" i="7" s="1"/>
  <c r="DK62" i="15" s="1"/>
  <c r="DK243" i="2"/>
  <c r="DB88" i="7"/>
  <c r="CA80" i="11"/>
  <c r="CA63" i="11"/>
  <c r="CA62" i="11" s="1"/>
  <c r="CA46" i="12"/>
  <c r="CA44" i="12" s="1"/>
  <c r="DB15" i="7"/>
  <c r="DK14" i="15" s="1"/>
  <c r="CD12" i="12"/>
  <c r="CD21" i="11"/>
  <c r="CD16" i="11"/>
  <c r="CD29" i="11" s="1"/>
  <c r="DD84" i="7"/>
  <c r="DM239" i="2"/>
  <c r="DL229" i="2"/>
  <c r="DA168" i="18"/>
  <c r="DA129" i="15"/>
  <c r="DA115" i="15"/>
  <c r="DB240" i="18"/>
  <c r="DA794" i="2" s="1"/>
  <c r="DC90" i="18"/>
  <c r="ET90" i="18" s="1"/>
  <c r="DB236" i="18"/>
  <c r="DB239" i="18"/>
  <c r="DA791" i="2" s="1"/>
  <c r="CB46" i="11"/>
  <c r="CZ49" i="7"/>
  <c r="CB41" i="11"/>
  <c r="DO41" i="11" s="1"/>
  <c r="CB26" i="12"/>
  <c r="BW104" i="12"/>
  <c r="BY94" i="11"/>
  <c r="CB17" i="12"/>
  <c r="DO17" i="12" s="1"/>
  <c r="DL168" i="2"/>
  <c r="DK167" i="2"/>
  <c r="DC16" i="7"/>
  <c r="EN16" i="7" s="1"/>
  <c r="DK197" i="2"/>
  <c r="CE50" i="12"/>
  <c r="DP50" i="12" s="1"/>
  <c r="CE72" i="11"/>
  <c r="DP72" i="11" s="1"/>
  <c r="BX71" i="12"/>
  <c r="BX69" i="12" s="1"/>
  <c r="BX79" i="12" s="1"/>
  <c r="BX103" i="11"/>
  <c r="CW92" i="7"/>
  <c r="BY108" i="11"/>
  <c r="DN108" i="11" s="1"/>
  <c r="EA108" i="11" s="1"/>
  <c r="BY77" i="12"/>
  <c r="DN77" i="12" s="1"/>
  <c r="EA77" i="12" s="1"/>
  <c r="CW114" i="7"/>
  <c r="EL114" i="7" s="1"/>
  <c r="EY114" i="7" s="1"/>
  <c r="BU131" i="11"/>
  <c r="BU115" i="11"/>
  <c r="DH291" i="2"/>
  <c r="DH298" i="2" s="1"/>
  <c r="CZ141" i="7"/>
  <c r="EM141" i="7" s="1"/>
  <c r="DI297" i="2"/>
  <c r="DB8" i="7"/>
  <c r="DJ201" i="2"/>
  <c r="DG15" i="18"/>
  <c r="EV15" i="18" s="1"/>
  <c r="EV17" i="18"/>
  <c r="CT144" i="7"/>
  <c r="EK144" i="7" s="1"/>
  <c r="CT132" i="7"/>
  <c r="BW101" i="11"/>
  <c r="BW112" i="11" s="1"/>
  <c r="DF85" i="15"/>
  <c r="EU85" i="15" s="1"/>
  <c r="FH85" i="15" s="1"/>
  <c r="CW105" i="7"/>
  <c r="EL105" i="7" s="1"/>
  <c r="DF130" i="18"/>
  <c r="EU130" i="18" s="1"/>
  <c r="FH130" i="18" s="1"/>
  <c r="DH275" i="2"/>
  <c r="DG265" i="2"/>
  <c r="DG271" i="2"/>
  <c r="CA56" i="11"/>
  <c r="CY57" i="7"/>
  <c r="CA51" i="11"/>
  <c r="DI21" i="15"/>
  <c r="EV21" i="15" s="1"/>
  <c r="DA35" i="7"/>
  <c r="DD101" i="18"/>
  <c r="DG34" i="15"/>
  <c r="DI211" i="2"/>
  <c r="DA50" i="7"/>
  <c r="DA58" i="7" s="1"/>
  <c r="BS156" i="11"/>
  <c r="BS159" i="11" s="1"/>
  <c r="BS149" i="11"/>
  <c r="DC7" i="7"/>
  <c r="EN7" i="7" s="1"/>
  <c r="DL155" i="2"/>
  <c r="DK156" i="2"/>
  <c r="DK154" i="2" s="1"/>
  <c r="DK242" i="2" s="1"/>
  <c r="DA136" i="18"/>
  <c r="DA143" i="18" s="1"/>
  <c r="BW69" i="12"/>
  <c r="BW81" i="12" s="1"/>
  <c r="DE79" i="15"/>
  <c r="DE77" i="15" s="1"/>
  <c r="CV112" i="7"/>
  <c r="DH225" i="2"/>
  <c r="DH224" i="2" s="1"/>
  <c r="CZ70" i="7"/>
  <c r="DI56" i="15" s="1"/>
  <c r="DA61" i="7"/>
  <c r="DF261" i="2"/>
  <c r="CX118" i="7"/>
  <c r="CX109" i="7"/>
  <c r="BY115" i="12"/>
  <c r="BY35" i="12"/>
  <c r="BY57" i="12"/>
  <c r="BY110" i="12"/>
  <c r="BY125" i="12"/>
  <c r="BY42" i="12"/>
  <c r="DN42" i="12" s="1"/>
  <c r="EA42" i="12" s="1"/>
  <c r="CY134" i="7"/>
  <c r="CA98" i="12"/>
  <c r="CA127" i="11"/>
  <c r="DH161" i="18"/>
  <c r="CY198" i="18"/>
  <c r="CY211" i="18"/>
  <c r="DD149" i="18"/>
  <c r="DD145" i="18" s="1"/>
  <c r="BW93" i="11"/>
  <c r="CC15" i="11"/>
  <c r="CC34" i="11"/>
  <c r="DG54" i="18"/>
  <c r="CZ61" i="7"/>
  <c r="EM61" i="7" s="1"/>
  <c r="BT129" i="12"/>
  <c r="DM119" i="12"/>
  <c r="BS127" i="12"/>
  <c r="BS130" i="12" s="1"/>
  <c r="BS120" i="12"/>
  <c r="DH36" i="18"/>
  <c r="DH34" i="18" s="1"/>
  <c r="DH48" i="18"/>
  <c r="DH46" i="18" s="1"/>
  <c r="BY65" i="12"/>
  <c r="ET215" i="18" l="1"/>
  <c r="ET214" i="18"/>
  <c r="DM81" i="12"/>
  <c r="DM85" i="12" s="1"/>
  <c r="FH42" i="15"/>
  <c r="BV85" i="12"/>
  <c r="BV102" i="12"/>
  <c r="CB68" i="11"/>
  <c r="DO68" i="11" s="1"/>
  <c r="DG234" i="2"/>
  <c r="EU73" i="15"/>
  <c r="FH73" i="15" s="1"/>
  <c r="CV79" i="7"/>
  <c r="EU51" i="15"/>
  <c r="BX90" i="11"/>
  <c r="CV93" i="7"/>
  <c r="CV94" i="7" s="1"/>
  <c r="DH65" i="15"/>
  <c r="BZ94" i="11"/>
  <c r="DG51" i="15"/>
  <c r="DE63" i="15"/>
  <c r="DE85" i="18"/>
  <c r="DE83" i="18" s="1"/>
  <c r="DE99" i="18" s="1"/>
  <c r="DE71" i="15"/>
  <c r="CU129" i="7"/>
  <c r="CU98" i="7"/>
  <c r="BZ99" i="11"/>
  <c r="BZ44" i="12"/>
  <c r="CX92" i="7"/>
  <c r="DG73" i="15"/>
  <c r="DD83" i="18"/>
  <c r="DD94" i="18" s="1"/>
  <c r="CX68" i="7"/>
  <c r="EL92" i="7"/>
  <c r="EY92" i="7" s="1"/>
  <c r="DD110" i="18"/>
  <c r="BZ62" i="11"/>
  <c r="CV97" i="7"/>
  <c r="CA59" i="12"/>
  <c r="DH67" i="15"/>
  <c r="DH53" i="15"/>
  <c r="DH51" i="15" s="1"/>
  <c r="CY69" i="7"/>
  <c r="CY68" i="7" s="1"/>
  <c r="CY99" i="7"/>
  <c r="DE107" i="18"/>
  <c r="DE108" i="18"/>
  <c r="DN62" i="11"/>
  <c r="DN81" i="11" s="1"/>
  <c r="BX92" i="11"/>
  <c r="BX55" i="12"/>
  <c r="BX81" i="11"/>
  <c r="DN65" i="12"/>
  <c r="EA65" i="12" s="1"/>
  <c r="BX63" i="12"/>
  <c r="EA154" i="11"/>
  <c r="EA144" i="11"/>
  <c r="EA59" i="11"/>
  <c r="EA139" i="11"/>
  <c r="BY84" i="11"/>
  <c r="DN83" i="11"/>
  <c r="FH121" i="15"/>
  <c r="FH127" i="15"/>
  <c r="EU139" i="15"/>
  <c r="EU42" i="15"/>
  <c r="EU121" i="15"/>
  <c r="EN73" i="7"/>
  <c r="FH109" i="15"/>
  <c r="EU109" i="15"/>
  <c r="CZ81" i="7"/>
  <c r="EM81" i="7" s="1"/>
  <c r="DF129" i="18"/>
  <c r="EU84" i="15"/>
  <c r="FH84" i="15" s="1"/>
  <c r="EU127" i="15"/>
  <c r="CB48" i="12"/>
  <c r="DO48" i="12" s="1"/>
  <c r="CB67" i="11"/>
  <c r="DO67" i="11" s="1"/>
  <c r="DM129" i="12"/>
  <c r="DH234" i="2"/>
  <c r="DH264" i="2"/>
  <c r="DD73" i="7"/>
  <c r="DM58" i="15" s="1"/>
  <c r="DG84" i="15"/>
  <c r="BZ75" i="12"/>
  <c r="BZ107" i="11"/>
  <c r="CY108" i="7"/>
  <c r="DH84" i="15" s="1"/>
  <c r="DH129" i="18" s="1"/>
  <c r="CY117" i="7"/>
  <c r="DA82" i="7"/>
  <c r="CC67" i="11" s="1"/>
  <c r="DI226" i="2"/>
  <c r="CA30" i="12"/>
  <c r="CA55" i="12" s="1"/>
  <c r="EM70" i="7"/>
  <c r="EM99" i="7" s="1"/>
  <c r="EM107" i="7"/>
  <c r="EY142" i="7"/>
  <c r="EY65" i="7"/>
  <c r="EY151" i="7"/>
  <c r="ER232" i="18"/>
  <c r="ER233" i="18" s="1"/>
  <c r="ET90" i="15"/>
  <c r="ET94" i="15" s="1"/>
  <c r="DA107" i="7"/>
  <c r="DA116" i="7"/>
  <c r="EM116" i="7"/>
  <c r="CB74" i="12"/>
  <c r="DO74" i="12" s="1"/>
  <c r="CB106" i="11"/>
  <c r="DO106" i="11" s="1"/>
  <c r="EV83" i="15"/>
  <c r="DI128" i="18"/>
  <c r="EV128" i="18" s="1"/>
  <c r="DC94" i="15"/>
  <c r="EM57" i="7"/>
  <c r="EM65" i="7" s="1"/>
  <c r="DO51" i="11"/>
  <c r="DC116" i="18"/>
  <c r="CW97" i="7"/>
  <c r="CW129" i="7" s="1"/>
  <c r="DE145" i="18"/>
  <c r="DE164" i="18" s="1"/>
  <c r="DC111" i="15"/>
  <c r="DC168" i="18" s="1"/>
  <c r="DC166" i="18" s="1"/>
  <c r="ET121" i="18"/>
  <c r="ET119" i="18"/>
  <c r="ET134" i="18" s="1"/>
  <c r="BY63" i="12"/>
  <c r="DO56" i="11"/>
  <c r="ET138" i="18"/>
  <c r="DC117" i="18"/>
  <c r="DI38" i="15"/>
  <c r="EV38" i="15" s="1"/>
  <c r="DM115" i="11"/>
  <c r="DM110" i="11"/>
  <c r="FH54" i="18"/>
  <c r="FH61" i="18" s="1"/>
  <c r="EU61" i="18"/>
  <c r="DN94" i="11"/>
  <c r="EA63" i="11"/>
  <c r="EA94" i="11" s="1"/>
  <c r="BY129" i="11"/>
  <c r="DN117" i="11"/>
  <c r="EL68" i="7"/>
  <c r="DL127" i="12"/>
  <c r="EV32" i="15"/>
  <c r="DF63" i="15"/>
  <c r="EK145" i="7"/>
  <c r="CB24" i="12"/>
  <c r="DO24" i="12" s="1"/>
  <c r="DO28" i="12" s="1"/>
  <c r="DO26" i="12"/>
  <c r="DH56" i="18"/>
  <c r="EV30" i="15"/>
  <c r="EV34" i="15" s="1"/>
  <c r="DF71" i="15"/>
  <c r="CB40" i="11"/>
  <c r="CB48" i="11" s="1"/>
  <c r="DO46" i="11"/>
  <c r="EU73" i="18"/>
  <c r="FH65" i="18"/>
  <c r="ET108" i="18"/>
  <c r="ET107" i="18"/>
  <c r="EA110" i="12"/>
  <c r="EA115" i="12"/>
  <c r="EA125" i="12"/>
  <c r="EA35" i="12"/>
  <c r="DI7" i="18"/>
  <c r="EV38" i="18"/>
  <c r="BY61" i="12"/>
  <c r="DN57" i="12"/>
  <c r="CZ52" i="7"/>
  <c r="EM49" i="7"/>
  <c r="EU69" i="15"/>
  <c r="FH65" i="15"/>
  <c r="FH69" i="15" s="1"/>
  <c r="DF85" i="18"/>
  <c r="DF83" i="18" s="1"/>
  <c r="EL112" i="7"/>
  <c r="EY105" i="7"/>
  <c r="EY112" i="7" s="1"/>
  <c r="DL156" i="11"/>
  <c r="EA100" i="12"/>
  <c r="DC131" i="15"/>
  <c r="ET113" i="15"/>
  <c r="ET116" i="18"/>
  <c r="ET117" i="18"/>
  <c r="DN44" i="12"/>
  <c r="CZ145" i="15"/>
  <c r="ES141" i="15"/>
  <c r="ET99" i="18"/>
  <c r="ES198" i="18"/>
  <c r="BX83" i="12"/>
  <c r="DB61" i="7"/>
  <c r="BW102" i="12"/>
  <c r="BW85" i="12"/>
  <c r="DC87" i="7"/>
  <c r="EN87" i="7" s="1"/>
  <c r="DK232" i="2"/>
  <c r="DC77" i="7" s="1"/>
  <c r="DL61" i="15" s="1"/>
  <c r="BY93" i="11"/>
  <c r="DG86" i="15"/>
  <c r="CZ198" i="18"/>
  <c r="CZ211" i="18"/>
  <c r="ES211" i="18" s="1"/>
  <c r="BV115" i="11"/>
  <c r="BV131" i="11"/>
  <c r="DM131" i="11" s="1"/>
  <c r="BZ87" i="12"/>
  <c r="DF79" i="15"/>
  <c r="EU79" i="15" s="1"/>
  <c r="FH79" i="15" s="1"/>
  <c r="CW112" i="7"/>
  <c r="BY103" i="11"/>
  <c r="DN103" i="11" s="1"/>
  <c r="EA103" i="11" s="1"/>
  <c r="BY71" i="12"/>
  <c r="BY69" i="12" s="1"/>
  <c r="BY79" i="12" s="1"/>
  <c r="DL167" i="2"/>
  <c r="DM168" i="2"/>
  <c r="DD16" i="7"/>
  <c r="DL197" i="2"/>
  <c r="DN239" i="2"/>
  <c r="DM229" i="2"/>
  <c r="DE84" i="7"/>
  <c r="BZ117" i="11"/>
  <c r="BU134" i="11"/>
  <c r="BU146" i="11"/>
  <c r="ET136" i="18"/>
  <c r="ET143" i="18" s="1"/>
  <c r="DB40" i="7"/>
  <c r="DJ216" i="2"/>
  <c r="DB55" i="7" s="1"/>
  <c r="DK58" i="18" s="1"/>
  <c r="CB32" i="12"/>
  <c r="DO32" i="12" s="1"/>
  <c r="CF50" i="12"/>
  <c r="CF72" i="11"/>
  <c r="BZ61" i="12"/>
  <c r="BW148" i="11"/>
  <c r="DK201" i="2"/>
  <c r="DC8" i="7"/>
  <c r="EN8" i="7" s="1"/>
  <c r="DI48" i="18"/>
  <c r="DI46" i="18" s="1"/>
  <c r="DI36" i="18"/>
  <c r="DI34" i="18" s="1"/>
  <c r="DH98" i="15"/>
  <c r="DH96" i="15" s="1"/>
  <c r="CA89" i="12"/>
  <c r="CA87" i="12" s="1"/>
  <c r="CA119" i="11"/>
  <c r="CA117" i="11" s="1"/>
  <c r="CY142" i="7"/>
  <c r="DD7" i="7"/>
  <c r="DM155" i="2"/>
  <c r="DL156" i="2"/>
  <c r="DL154" i="2" s="1"/>
  <c r="DL242" i="2" s="1"/>
  <c r="CA85" i="11"/>
  <c r="CA94" i="11"/>
  <c r="CA50" i="11"/>
  <c r="CA81" i="11" s="1"/>
  <c r="CA65" i="12"/>
  <c r="DI291" i="2"/>
  <c r="DI298" i="2" s="1"/>
  <c r="DA141" i="7"/>
  <c r="DJ297" i="2"/>
  <c r="CW93" i="7"/>
  <c r="CW94" i="7" s="1"/>
  <c r="BY90" i="11"/>
  <c r="CD15" i="11"/>
  <c r="CD28" i="11" s="1"/>
  <c r="CD34" i="11"/>
  <c r="DH266" i="2"/>
  <c r="DI276" i="2"/>
  <c r="DJ211" i="2"/>
  <c r="DB50" i="7"/>
  <c r="DB58" i="7" s="1"/>
  <c r="BZ144" i="11"/>
  <c r="BZ59" i="11"/>
  <c r="BZ83" i="11"/>
  <c r="BZ154" i="11"/>
  <c r="BZ139" i="11"/>
  <c r="DH65" i="18"/>
  <c r="DH121" i="15"/>
  <c r="DH42" i="15"/>
  <c r="DH127" i="15"/>
  <c r="DH139" i="15"/>
  <c r="DB168" i="18"/>
  <c r="DB166" i="18" s="1"/>
  <c r="DB115" i="15"/>
  <c r="DB129" i="15"/>
  <c r="CZ65" i="7"/>
  <c r="CZ151" i="7"/>
  <c r="CZ148" i="7"/>
  <c r="CC28" i="11"/>
  <c r="DB35" i="7"/>
  <c r="DB47" i="7" s="1"/>
  <c r="CY151" i="7"/>
  <c r="CY65" i="7"/>
  <c r="CY148" i="7"/>
  <c r="CZ134" i="7"/>
  <c r="EM134" i="7" s="1"/>
  <c r="CB127" i="11"/>
  <c r="DO127" i="11" s="1"/>
  <c r="DI161" i="18"/>
  <c r="EV161" i="18" s="1"/>
  <c r="CB98" i="12"/>
  <c r="DO98" i="12" s="1"/>
  <c r="BX101" i="11"/>
  <c r="BX110" i="11" s="1"/>
  <c r="BX114" i="11"/>
  <c r="DB235" i="18"/>
  <c r="CD10" i="12"/>
  <c r="CD19" i="12"/>
  <c r="CY119" i="7"/>
  <c r="CY110" i="7"/>
  <c r="DH86" i="15" s="1"/>
  <c r="DH132" i="18" s="1"/>
  <c r="DJ220" i="2"/>
  <c r="DJ219" i="2" s="1"/>
  <c r="DJ263" i="2" s="1"/>
  <c r="DG46" i="18"/>
  <c r="CB50" i="11"/>
  <c r="DI53" i="15"/>
  <c r="DI51" i="15" s="1"/>
  <c r="CZ69" i="7"/>
  <c r="CZ68" i="7" s="1"/>
  <c r="CZ79" i="7" s="1"/>
  <c r="EV56" i="15"/>
  <c r="DG130" i="18"/>
  <c r="DG85" i="15"/>
  <c r="CX105" i="7"/>
  <c r="DD107" i="18"/>
  <c r="DD108" i="18"/>
  <c r="CA99" i="11"/>
  <c r="BW110" i="11"/>
  <c r="DC240" i="18"/>
  <c r="DC239" i="18"/>
  <c r="DC236" i="18"/>
  <c r="DK12" i="15"/>
  <c r="DK17" i="18" s="1"/>
  <c r="DK15" i="18" s="1"/>
  <c r="DK23" i="15"/>
  <c r="DG42" i="15"/>
  <c r="DG127" i="15"/>
  <c r="DG139" i="15"/>
  <c r="DG121" i="15"/>
  <c r="DG65" i="18"/>
  <c r="DD113" i="15"/>
  <c r="DF73" i="18"/>
  <c r="DF63" i="18"/>
  <c r="EU63" i="18" s="1"/>
  <c r="FH63" i="18" s="1"/>
  <c r="F12" i="24" s="1"/>
  <c r="F18" i="24" s="1"/>
  <c r="DG34" i="18"/>
  <c r="DC19" i="7"/>
  <c r="EN19" i="7" s="1"/>
  <c r="DK171" i="2"/>
  <c r="DL172" i="2"/>
  <c r="DD121" i="18"/>
  <c r="DD88" i="15"/>
  <c r="DD90" i="15"/>
  <c r="DF69" i="15"/>
  <c r="DF103" i="18"/>
  <c r="CC17" i="12"/>
  <c r="DI56" i="18"/>
  <c r="DI54" i="18" s="1"/>
  <c r="DI34" i="15"/>
  <c r="CY232" i="18"/>
  <c r="CY233" i="18" s="1"/>
  <c r="CY212" i="18"/>
  <c r="BW79" i="12"/>
  <c r="BW115" i="11"/>
  <c r="BW131" i="11"/>
  <c r="BZ108" i="11"/>
  <c r="BZ77" i="12"/>
  <c r="CX114" i="7"/>
  <c r="DK215" i="2"/>
  <c r="DC54" i="7" s="1"/>
  <c r="EN54" i="7" s="1"/>
  <c r="DC39" i="7"/>
  <c r="DA47" i="7"/>
  <c r="DJ30" i="15"/>
  <c r="CZ99" i="7"/>
  <c r="DD170" i="18"/>
  <c r="BW119" i="12"/>
  <c r="DE92" i="15"/>
  <c r="DE113" i="15" s="1"/>
  <c r="DE131" i="15" s="1"/>
  <c r="DE143" i="15" s="1"/>
  <c r="CD75" i="11"/>
  <c r="CD53" i="12"/>
  <c r="DA62" i="7"/>
  <c r="DJ38" i="18"/>
  <c r="DJ50" i="18"/>
  <c r="BT127" i="12"/>
  <c r="BT120" i="12"/>
  <c r="DD164" i="18"/>
  <c r="CC56" i="11"/>
  <c r="CC51" i="11"/>
  <c r="DA57" i="7"/>
  <c r="CT145" i="7"/>
  <c r="CT153" i="7"/>
  <c r="EK153" i="7" s="1"/>
  <c r="DC756" i="2"/>
  <c r="DD215" i="18"/>
  <c r="DE215" i="18"/>
  <c r="DE214" i="18" s="1"/>
  <c r="DD756" i="2"/>
  <c r="DE88" i="15"/>
  <c r="DE121" i="18"/>
  <c r="DE119" i="18" s="1"/>
  <c r="DE134" i="18" s="1"/>
  <c r="DA49" i="7"/>
  <c r="CC26" i="12"/>
  <c r="CC32" i="12" s="1"/>
  <c r="CC41" i="11"/>
  <c r="CC46" i="11"/>
  <c r="DG261" i="2"/>
  <c r="CY118" i="7"/>
  <c r="CY109" i="7"/>
  <c r="DK212" i="2"/>
  <c r="DC36" i="7"/>
  <c r="EN36" i="7" s="1"/>
  <c r="DK196" i="2"/>
  <c r="DK209" i="2" s="1"/>
  <c r="DA141" i="15"/>
  <c r="DA133" i="15"/>
  <c r="CD76" i="11"/>
  <c r="CD54" i="12"/>
  <c r="DF149" i="18"/>
  <c r="DF170" i="18" s="1"/>
  <c r="CX232" i="18"/>
  <c r="CX212" i="18"/>
  <c r="BU105" i="12"/>
  <c r="BU117" i="12"/>
  <c r="DJ58" i="18"/>
  <c r="DJ12" i="15"/>
  <c r="DJ23" i="15"/>
  <c r="DH271" i="2"/>
  <c r="DI275" i="2"/>
  <c r="DH265" i="2"/>
  <c r="DC15" i="7"/>
  <c r="DL14" i="15" s="1"/>
  <c r="EW14" i="15" s="1"/>
  <c r="CE12" i="12"/>
  <c r="DP12" i="12" s="1"/>
  <c r="CE16" i="11"/>
  <c r="CE21" i="11"/>
  <c r="DP21" i="11" s="1"/>
  <c r="DA166" i="18"/>
  <c r="DC88" i="7"/>
  <c r="EN88" i="7" s="1"/>
  <c r="DK233" i="2"/>
  <c r="DC78" i="7" s="1"/>
  <c r="DL62" i="15" s="1"/>
  <c r="DL243" i="2"/>
  <c r="BZ76" i="12"/>
  <c r="BZ109" i="11"/>
  <c r="BT156" i="11"/>
  <c r="BT149" i="11"/>
  <c r="DG96" i="15"/>
  <c r="DO85" i="11" l="1"/>
  <c r="DM102" i="12"/>
  <c r="DM105" i="12" s="1"/>
  <c r="CB85" i="11"/>
  <c r="BV117" i="12"/>
  <c r="BV105" i="12"/>
  <c r="CY79" i="7"/>
  <c r="CX79" i="7"/>
  <c r="CV98" i="7"/>
  <c r="EL93" i="7"/>
  <c r="EL94" i="7" s="1"/>
  <c r="EY93" i="7"/>
  <c r="EY94" i="7" s="1"/>
  <c r="EU63" i="15"/>
  <c r="FH51" i="15"/>
  <c r="FH63" i="15" s="1"/>
  <c r="EU71" i="15"/>
  <c r="EU83" i="18"/>
  <c r="FH83" i="18" s="1"/>
  <c r="DE94" i="18"/>
  <c r="CV129" i="7"/>
  <c r="BZ90" i="11"/>
  <c r="CX93" i="7"/>
  <c r="CX94" i="7" s="1"/>
  <c r="DE112" i="18"/>
  <c r="DE75" i="15"/>
  <c r="DE90" i="15"/>
  <c r="DN90" i="11"/>
  <c r="EA90" i="11" s="1"/>
  <c r="DD99" i="18"/>
  <c r="DD91" i="18"/>
  <c r="DD97" i="18"/>
  <c r="DD96" i="18"/>
  <c r="DD92" i="18"/>
  <c r="DD95" i="18"/>
  <c r="DD98" i="18"/>
  <c r="DE98" i="18" s="1"/>
  <c r="DD93" i="18"/>
  <c r="BZ92" i="11"/>
  <c r="DD116" i="18"/>
  <c r="CX97" i="7"/>
  <c r="CU132" i="7"/>
  <c r="CU144" i="7"/>
  <c r="DH71" i="15"/>
  <c r="BZ55" i="12"/>
  <c r="CY97" i="7"/>
  <c r="CY92" i="7"/>
  <c r="DG85" i="18"/>
  <c r="DG63" i="15"/>
  <c r="EV51" i="15"/>
  <c r="DD90" i="18"/>
  <c r="DG71" i="15"/>
  <c r="BZ63" i="12"/>
  <c r="BZ81" i="11"/>
  <c r="DD117" i="18"/>
  <c r="DH73" i="15"/>
  <c r="DH85" i="18"/>
  <c r="DH83" i="18" s="1"/>
  <c r="DH63" i="15"/>
  <c r="DN63" i="12"/>
  <c r="DN67" i="12" s="1"/>
  <c r="EA62" i="11"/>
  <c r="DN92" i="11"/>
  <c r="EA92" i="11" s="1"/>
  <c r="EA93" i="11" s="1"/>
  <c r="EM142" i="7"/>
  <c r="BX93" i="11"/>
  <c r="BX81" i="12"/>
  <c r="BX67" i="12"/>
  <c r="DA70" i="7"/>
  <c r="DJ56" i="15" s="1"/>
  <c r="DI225" i="2"/>
  <c r="DI224" i="2" s="1"/>
  <c r="DN84" i="11"/>
  <c r="EA83" i="11"/>
  <c r="EA84" i="11" s="1"/>
  <c r="CB63" i="11"/>
  <c r="CB62" i="11" s="1"/>
  <c r="DO62" i="11" s="1"/>
  <c r="CB46" i="12"/>
  <c r="CB44" i="12" s="1"/>
  <c r="DO44" i="12" s="1"/>
  <c r="BZ84" i="11"/>
  <c r="CA57" i="12"/>
  <c r="CA61" i="12" s="1"/>
  <c r="CA42" i="12"/>
  <c r="CA125" i="12"/>
  <c r="CA35" i="12"/>
  <c r="CA100" i="12"/>
  <c r="EU129" i="18"/>
  <c r="CB80" i="11"/>
  <c r="CB99" i="11" s="1"/>
  <c r="DO99" i="11" s="1"/>
  <c r="DA81" i="7"/>
  <c r="CC68" i="11"/>
  <c r="CC85" i="11" s="1"/>
  <c r="CC48" i="12"/>
  <c r="DI264" i="2"/>
  <c r="CA115" i="12"/>
  <c r="CA110" i="12"/>
  <c r="CA63" i="12"/>
  <c r="DE73" i="7"/>
  <c r="DN58" i="15" s="1"/>
  <c r="DN57" i="15"/>
  <c r="CA75" i="12"/>
  <c r="CA107" i="11"/>
  <c r="DG129" i="18"/>
  <c r="DM57" i="15"/>
  <c r="CZ108" i="7"/>
  <c r="CZ117" i="7"/>
  <c r="EM117" i="7" s="1"/>
  <c r="ET240" i="18"/>
  <c r="DB794" i="2"/>
  <c r="ET239" i="18"/>
  <c r="DB791" i="2"/>
  <c r="FH73" i="18"/>
  <c r="F14" i="24"/>
  <c r="EM151" i="7"/>
  <c r="EM148" i="7"/>
  <c r="DJ237" i="2"/>
  <c r="DJ226" i="2" s="1"/>
  <c r="CC74" i="12"/>
  <c r="CC106" i="11"/>
  <c r="DJ83" i="15"/>
  <c r="DJ128" i="18" s="1"/>
  <c r="BY67" i="12"/>
  <c r="EL97" i="7"/>
  <c r="EL98" i="7" s="1"/>
  <c r="DI36" i="15"/>
  <c r="ET111" i="15"/>
  <c r="ET115" i="15" s="1"/>
  <c r="EV46" i="18"/>
  <c r="CW98" i="7"/>
  <c r="EV48" i="18"/>
  <c r="EV34" i="18"/>
  <c r="EV36" i="18"/>
  <c r="DC129" i="15"/>
  <c r="ET129" i="15" s="1"/>
  <c r="ET133" i="15" s="1"/>
  <c r="DC115" i="15"/>
  <c r="EU170" i="18"/>
  <c r="FH170" i="18" s="1"/>
  <c r="F55" i="24" s="1"/>
  <c r="ET168" i="18"/>
  <c r="DI67" i="15"/>
  <c r="EV67" i="15" s="1"/>
  <c r="DF112" i="18"/>
  <c r="DF110" i="18" s="1"/>
  <c r="DF117" i="18" s="1"/>
  <c r="CB28" i="12"/>
  <c r="DN69" i="12"/>
  <c r="DN79" i="12" s="1"/>
  <c r="DF75" i="15"/>
  <c r="BY83" i="12"/>
  <c r="BY104" i="12" s="1"/>
  <c r="BY119" i="12" s="1"/>
  <c r="BY129" i="12" s="1"/>
  <c r="EM68" i="7"/>
  <c r="EM79" i="7" s="1"/>
  <c r="EM52" i="7"/>
  <c r="DO40" i="11"/>
  <c r="DO48" i="11" s="1"/>
  <c r="DN129" i="11"/>
  <c r="EA117" i="11"/>
  <c r="EA129" i="11" s="1"/>
  <c r="FH209" i="18"/>
  <c r="FH182" i="18"/>
  <c r="FH187" i="18"/>
  <c r="FH192" i="18"/>
  <c r="FH70" i="18"/>
  <c r="EU182" i="18"/>
  <c r="EU149" i="18"/>
  <c r="FH149" i="18" s="1"/>
  <c r="BX104" i="12"/>
  <c r="DN61" i="12"/>
  <c r="EA57" i="12"/>
  <c r="EA61" i="12" s="1"/>
  <c r="EU70" i="18"/>
  <c r="EK154" i="7"/>
  <c r="EW61" i="15"/>
  <c r="EN77" i="7"/>
  <c r="EU209" i="18"/>
  <c r="BX133" i="11"/>
  <c r="DM134" i="11"/>
  <c r="DC143" i="15"/>
  <c r="ET143" i="15" s="1"/>
  <c r="ET131" i="15"/>
  <c r="DF101" i="18"/>
  <c r="EU101" i="18" s="1"/>
  <c r="FH101" i="18" s="1"/>
  <c r="F25" i="24" s="1"/>
  <c r="N25" i="24" s="1"/>
  <c r="EU103" i="18"/>
  <c r="FH103" i="18" s="1"/>
  <c r="F27" i="24" s="1"/>
  <c r="EW62" i="15"/>
  <c r="EN78" i="7"/>
  <c r="EU192" i="18"/>
  <c r="DI3" i="18"/>
  <c r="EV3" i="18" s="1"/>
  <c r="EV7" i="18"/>
  <c r="DH54" i="18"/>
  <c r="EV56" i="18"/>
  <c r="DL159" i="11"/>
  <c r="EN15" i="7"/>
  <c r="EM69" i="7"/>
  <c r="DL130" i="12"/>
  <c r="EU187" i="18"/>
  <c r="EV53" i="15"/>
  <c r="DF145" i="18"/>
  <c r="EU145" i="18" s="1"/>
  <c r="ES145" i="15"/>
  <c r="DO50" i="11"/>
  <c r="DN55" i="12"/>
  <c r="EA44" i="12"/>
  <c r="EA55" i="12" s="1"/>
  <c r="CE29" i="11"/>
  <c r="DP16" i="11"/>
  <c r="DC61" i="7"/>
  <c r="EN61" i="7" s="1"/>
  <c r="EN39" i="7"/>
  <c r="DN71" i="12"/>
  <c r="EA71" i="12" s="1"/>
  <c r="EU85" i="18"/>
  <c r="FH85" i="18" s="1"/>
  <c r="EL79" i="7"/>
  <c r="EY79" i="7"/>
  <c r="ES212" i="18"/>
  <c r="DI61" i="18"/>
  <c r="DG61" i="18"/>
  <c r="DK32" i="15"/>
  <c r="DK38" i="15" s="1"/>
  <c r="BX112" i="11"/>
  <c r="BX131" i="11" s="1"/>
  <c r="CA129" i="11"/>
  <c r="BY81" i="12"/>
  <c r="DL232" i="2"/>
  <c r="DD77" i="7" s="1"/>
  <c r="DM61" i="15" s="1"/>
  <c r="DD87" i="7"/>
  <c r="CC50" i="11"/>
  <c r="DF187" i="18"/>
  <c r="DF182" i="18"/>
  <c r="DE758" i="2"/>
  <c r="DF216" i="18" s="1"/>
  <c r="EU216" i="18" s="1"/>
  <c r="FH216" i="18" s="1"/>
  <c r="DF209" i="18"/>
  <c r="DF192" i="18"/>
  <c r="DF70" i="18"/>
  <c r="DH147" i="18"/>
  <c r="DH109" i="15"/>
  <c r="DF77" i="15"/>
  <c r="EU77" i="15" s="1"/>
  <c r="DF92" i="15"/>
  <c r="DF113" i="15" s="1"/>
  <c r="DF131" i="15" s="1"/>
  <c r="DF143" i="15" s="1"/>
  <c r="CA77" i="12"/>
  <c r="CY114" i="7"/>
  <c r="CA108" i="11"/>
  <c r="DJ56" i="18"/>
  <c r="BT159" i="11"/>
  <c r="DK21" i="15"/>
  <c r="BW158" i="11"/>
  <c r="CB59" i="12"/>
  <c r="DO59" i="12" s="1"/>
  <c r="CB30" i="12"/>
  <c r="CX112" i="7"/>
  <c r="DG79" i="15"/>
  <c r="DI98" i="15"/>
  <c r="CZ142" i="7"/>
  <c r="CB119" i="11"/>
  <c r="CB117" i="11" s="1"/>
  <c r="CB129" i="11" s="1"/>
  <c r="CB89" i="12"/>
  <c r="CB87" i="12" s="1"/>
  <c r="DO87" i="12" s="1"/>
  <c r="CE15" i="11"/>
  <c r="CE34" i="11"/>
  <c r="DP34" i="11" s="1"/>
  <c r="BW146" i="11"/>
  <c r="BW134" i="11"/>
  <c r="DD119" i="18"/>
  <c r="BU127" i="12"/>
  <c r="BU130" i="12" s="1"/>
  <c r="BU120" i="12"/>
  <c r="CY105" i="7"/>
  <c r="DH130" i="18"/>
  <c r="DH85" i="15"/>
  <c r="DD131" i="15"/>
  <c r="DC235" i="18"/>
  <c r="ET235" i="18" s="1"/>
  <c r="ET236" i="18"/>
  <c r="CB154" i="11"/>
  <c r="CB144" i="11"/>
  <c r="CB59" i="11"/>
  <c r="CB83" i="11"/>
  <c r="CB84" i="11" s="1"/>
  <c r="CB139" i="11"/>
  <c r="CD46" i="11"/>
  <c r="CD40" i="11" s="1"/>
  <c r="CD48" i="11" s="1"/>
  <c r="CD26" i="12"/>
  <c r="CD24" i="12" s="1"/>
  <c r="DB49" i="7"/>
  <c r="DB52" i="7" s="1"/>
  <c r="CD41" i="11"/>
  <c r="DF99" i="18"/>
  <c r="CG50" i="12"/>
  <c r="CG72" i="11"/>
  <c r="BZ100" i="12"/>
  <c r="CA109" i="11"/>
  <c r="CA76" i="12"/>
  <c r="DH73" i="18"/>
  <c r="DH63" i="18"/>
  <c r="DD8" i="7"/>
  <c r="DL201" i="2"/>
  <c r="DK38" i="18"/>
  <c r="DK7" i="18" s="1"/>
  <c r="DK3" i="18" s="1"/>
  <c r="DK50" i="18"/>
  <c r="DB62" i="7"/>
  <c r="BU149" i="11"/>
  <c r="BU156" i="11"/>
  <c r="BU159" i="11" s="1"/>
  <c r="CD17" i="12"/>
  <c r="CD56" i="11"/>
  <c r="CD51" i="11"/>
  <c r="DB57" i="7"/>
  <c r="DH103" i="18"/>
  <c r="DH101" i="18" s="1"/>
  <c r="DH69" i="15"/>
  <c r="DI266" i="2"/>
  <c r="DJ276" i="2"/>
  <c r="DE7" i="7"/>
  <c r="DN155" i="2"/>
  <c r="DM156" i="2"/>
  <c r="DM154" i="2" s="1"/>
  <c r="DM242" i="2" s="1"/>
  <c r="DO239" i="2"/>
  <c r="DN229" i="2"/>
  <c r="EO72" i="7" s="1"/>
  <c r="DF84" i="7"/>
  <c r="EO84" i="7" s="1"/>
  <c r="BV146" i="11"/>
  <c r="DM146" i="11" s="1"/>
  <c r="BV134" i="11"/>
  <c r="DJ275" i="2"/>
  <c r="DI265" i="2"/>
  <c r="DI271" i="2"/>
  <c r="DA145" i="15"/>
  <c r="DI85" i="18"/>
  <c r="DI83" i="18" s="1"/>
  <c r="CZ97" i="7"/>
  <c r="DI73" i="15"/>
  <c r="CW144" i="7"/>
  <c r="CW132" i="7"/>
  <c r="DD15" i="7"/>
  <c r="CF12" i="12"/>
  <c r="CF16" i="11"/>
  <c r="CF21" i="11"/>
  <c r="CZ232" i="18"/>
  <c r="CZ233" i="18" s="1"/>
  <c r="CZ212" i="18"/>
  <c r="CE53" i="12"/>
  <c r="DP53" i="12" s="1"/>
  <c r="CE75" i="11"/>
  <c r="DP75" i="11" s="1"/>
  <c r="CX233" i="18"/>
  <c r="DG63" i="18"/>
  <c r="DG73" i="18"/>
  <c r="CC40" i="11"/>
  <c r="CC48" i="11" s="1"/>
  <c r="DD214" i="18"/>
  <c r="BT130" i="12"/>
  <c r="DD19" i="7"/>
  <c r="DL171" i="2"/>
  <c r="DM172" i="2"/>
  <c r="DB133" i="15"/>
  <c r="DB141" i="15"/>
  <c r="DB145" i="15" s="1"/>
  <c r="DJ291" i="2"/>
  <c r="DJ298" i="2" s="1"/>
  <c r="DB141" i="7"/>
  <c r="DK297" i="2"/>
  <c r="DL200" i="2"/>
  <c r="DM167" i="2"/>
  <c r="DN168" i="2"/>
  <c r="DE16" i="7"/>
  <c r="DM197" i="2"/>
  <c r="CE10" i="12"/>
  <c r="DP10" i="12" s="1"/>
  <c r="CE19" i="12"/>
  <c r="DP19" i="12" s="1"/>
  <c r="DH261" i="2"/>
  <c r="CZ118" i="7"/>
  <c r="EM118" i="7" s="1"/>
  <c r="CZ109" i="7"/>
  <c r="EM109" i="7" s="1"/>
  <c r="CZ92" i="7"/>
  <c r="DL196" i="2"/>
  <c r="DL209" i="2" s="1"/>
  <c r="DL212" i="2"/>
  <c r="DL220" i="2" s="1"/>
  <c r="DL219" i="2" s="1"/>
  <c r="DL263" i="2" s="1"/>
  <c r="DD36" i="7"/>
  <c r="BW129" i="12"/>
  <c r="DG109" i="15"/>
  <c r="DG147" i="18"/>
  <c r="DL233" i="2"/>
  <c r="DD78" i="7" s="1"/>
  <c r="DM62" i="15" s="1"/>
  <c r="DD88" i="7"/>
  <c r="DM243" i="2"/>
  <c r="DC35" i="7"/>
  <c r="CC127" i="11"/>
  <c r="CC98" i="12"/>
  <c r="DJ161" i="18"/>
  <c r="DA134" i="7"/>
  <c r="BZ129" i="11"/>
  <c r="DG132" i="18"/>
  <c r="CC30" i="12"/>
  <c r="CZ119" i="7"/>
  <c r="EM119" i="7" s="1"/>
  <c r="CZ110" i="7"/>
  <c r="DI86" i="15" s="1"/>
  <c r="DI132" i="18" s="1"/>
  <c r="DB197" i="18"/>
  <c r="DB173" i="18"/>
  <c r="CE54" i="12"/>
  <c r="DP54" i="12" s="1"/>
  <c r="CE76" i="11"/>
  <c r="DP76" i="11" s="1"/>
  <c r="DG103" i="18"/>
  <c r="DG69" i="15"/>
  <c r="BY101" i="11"/>
  <c r="DN101" i="11" s="1"/>
  <c r="BY114" i="11"/>
  <c r="BY133" i="11" s="1"/>
  <c r="BY148" i="11" s="1"/>
  <c r="BY158" i="11" s="1"/>
  <c r="DL12" i="15"/>
  <c r="DL17" i="18" s="1"/>
  <c r="DL15" i="18" s="1"/>
  <c r="DL23" i="15"/>
  <c r="EW23" i="15" s="1"/>
  <c r="DJ21" i="15"/>
  <c r="DJ34" i="15" s="1"/>
  <c r="DJ38" i="15"/>
  <c r="DK211" i="2"/>
  <c r="DC50" i="7"/>
  <c r="CT154" i="7"/>
  <c r="CT161" i="7"/>
  <c r="BZ103" i="11"/>
  <c r="BZ71" i="12"/>
  <c r="DK220" i="2"/>
  <c r="DK219" i="2" s="1"/>
  <c r="DK263" i="2" s="1"/>
  <c r="CC24" i="12"/>
  <c r="DJ7" i="18"/>
  <c r="ET166" i="18"/>
  <c r="DA173" i="18"/>
  <c r="DA197" i="18"/>
  <c r="DJ17" i="18"/>
  <c r="DA52" i="7"/>
  <c r="DA151" i="7"/>
  <c r="DA148" i="7"/>
  <c r="DA65" i="7"/>
  <c r="DD94" i="15"/>
  <c r="DD138" i="18"/>
  <c r="DD111" i="15"/>
  <c r="CA92" i="11"/>
  <c r="CA59" i="11"/>
  <c r="CA139" i="11"/>
  <c r="CA144" i="11"/>
  <c r="CA154" i="11"/>
  <c r="CA83" i="11"/>
  <c r="CA84" i="11" s="1"/>
  <c r="DK216" i="2"/>
  <c r="DC55" i="7" s="1"/>
  <c r="DC40" i="7"/>
  <c r="EN40" i="7" s="1"/>
  <c r="DC173" i="18"/>
  <c r="DC197" i="18"/>
  <c r="BW117" i="12"/>
  <c r="BW105" i="12"/>
  <c r="DM117" i="12" l="1"/>
  <c r="DM120" i="12" s="1"/>
  <c r="BV120" i="12"/>
  <c r="BV127" i="12"/>
  <c r="BV130" i="12" s="1"/>
  <c r="DI234" i="2"/>
  <c r="DF98" i="18"/>
  <c r="DF94" i="18"/>
  <c r="EU94" i="18" s="1"/>
  <c r="FH94" i="18" s="1"/>
  <c r="EL129" i="7"/>
  <c r="EL132" i="7" s="1"/>
  <c r="FH99" i="18"/>
  <c r="EU75" i="15"/>
  <c r="FH71" i="15"/>
  <c r="FH75" i="15" s="1"/>
  <c r="EU99" i="18"/>
  <c r="DE110" i="18"/>
  <c r="DE117" i="18" s="1"/>
  <c r="DE91" i="18"/>
  <c r="DF91" i="18" s="1"/>
  <c r="CU145" i="7"/>
  <c r="CU153" i="7"/>
  <c r="CY129" i="7"/>
  <c r="DH75" i="15"/>
  <c r="DH112" i="18"/>
  <c r="DH110" i="18" s="1"/>
  <c r="DH99" i="18"/>
  <c r="DE97" i="18"/>
  <c r="DF97" i="18" s="1"/>
  <c r="CV144" i="7"/>
  <c r="CB94" i="11"/>
  <c r="CY93" i="7"/>
  <c r="CY94" i="7" s="1"/>
  <c r="CA90" i="11"/>
  <c r="DE94" i="15"/>
  <c r="DE138" i="18"/>
  <c r="DE136" i="18" s="1"/>
  <c r="DE143" i="18" s="1"/>
  <c r="DE111" i="15"/>
  <c r="EM97" i="7"/>
  <c r="DE93" i="18"/>
  <c r="DF93" i="18" s="1"/>
  <c r="EV73" i="15"/>
  <c r="CX129" i="7"/>
  <c r="CX98" i="7"/>
  <c r="DG83" i="18"/>
  <c r="DD236" i="18"/>
  <c r="DE90" i="18"/>
  <c r="DD239" i="18"/>
  <c r="DC791" i="2" s="1"/>
  <c r="DD240" i="18"/>
  <c r="DC794" i="2" s="1"/>
  <c r="BZ67" i="12"/>
  <c r="CY98" i="7"/>
  <c r="EM92" i="7"/>
  <c r="DG75" i="15"/>
  <c r="DG112" i="18"/>
  <c r="DE95" i="18"/>
  <c r="DF95" i="18" s="1"/>
  <c r="DE92" i="18"/>
  <c r="DF92" i="18" s="1"/>
  <c r="DE96" i="18"/>
  <c r="DF96" i="18" s="1"/>
  <c r="BZ93" i="11"/>
  <c r="CV132" i="7"/>
  <c r="DN93" i="11"/>
  <c r="EA63" i="12"/>
  <c r="EA67" i="12" s="1"/>
  <c r="DN81" i="12"/>
  <c r="DA69" i="7"/>
  <c r="DA92" i="7" s="1"/>
  <c r="DJ53" i="15"/>
  <c r="CA67" i="12"/>
  <c r="BX102" i="12"/>
  <c r="CC59" i="12"/>
  <c r="BX85" i="12"/>
  <c r="CC63" i="11"/>
  <c r="CC94" i="11" s="1"/>
  <c r="CC46" i="12"/>
  <c r="CC80" i="11"/>
  <c r="DA99" i="7"/>
  <c r="DO83" i="11"/>
  <c r="DO80" i="11"/>
  <c r="DO81" i="11"/>
  <c r="DO46" i="12"/>
  <c r="DO63" i="11"/>
  <c r="CB81" i="11"/>
  <c r="CB65" i="12"/>
  <c r="DO65" i="12" s="1"/>
  <c r="CB92" i="11"/>
  <c r="DJ236" i="2"/>
  <c r="DP29" i="11"/>
  <c r="DJ264" i="2"/>
  <c r="FH129" i="18"/>
  <c r="DB82" i="7"/>
  <c r="DI84" i="15"/>
  <c r="EM108" i="7"/>
  <c r="DF73" i="7"/>
  <c r="DO58" i="15" s="1"/>
  <c r="EX58" i="15" s="1"/>
  <c r="DO57" i="15"/>
  <c r="EX57" i="15" s="1"/>
  <c r="CB75" i="12"/>
  <c r="DO75" i="12" s="1"/>
  <c r="CB107" i="11"/>
  <c r="DO107" i="11" s="1"/>
  <c r="DA117" i="7"/>
  <c r="DA108" i="7"/>
  <c r="DJ84" i="15" s="1"/>
  <c r="EV36" i="15"/>
  <c r="EV139" i="15" s="1"/>
  <c r="DI65" i="15"/>
  <c r="EV65" i="15" s="1"/>
  <c r="DI71" i="15"/>
  <c r="EV71" i="15" s="1"/>
  <c r="EV75" i="15" s="1"/>
  <c r="DI42" i="15"/>
  <c r="DI127" i="15"/>
  <c r="DI139" i="15"/>
  <c r="DK237" i="2"/>
  <c r="DC82" i="7" s="1"/>
  <c r="EN82" i="7" s="1"/>
  <c r="DL237" i="2"/>
  <c r="DI63" i="15"/>
  <c r="DI121" i="15"/>
  <c r="EY97" i="7"/>
  <c r="EY98" i="7" s="1"/>
  <c r="DB107" i="7"/>
  <c r="DB116" i="7"/>
  <c r="DI65" i="18"/>
  <c r="EV65" i="18" s="1"/>
  <c r="EV73" i="18" s="1"/>
  <c r="DF116" i="18"/>
  <c r="DC133" i="15"/>
  <c r="EA69" i="12"/>
  <c r="EA79" i="12" s="1"/>
  <c r="DC141" i="15"/>
  <c r="DC145" i="15" s="1"/>
  <c r="EW12" i="15"/>
  <c r="DO154" i="11"/>
  <c r="DO144" i="11"/>
  <c r="EU108" i="18"/>
  <c r="DF108" i="18"/>
  <c r="DO139" i="11"/>
  <c r="DO59" i="11"/>
  <c r="EU107" i="18"/>
  <c r="DO117" i="11"/>
  <c r="DO129" i="11" s="1"/>
  <c r="DO119" i="11"/>
  <c r="DN83" i="12"/>
  <c r="EA83" i="12" s="1"/>
  <c r="EU112" i="18"/>
  <c r="FH112" i="18" s="1"/>
  <c r="F36" i="24" s="1"/>
  <c r="BY102" i="12"/>
  <c r="DF107" i="18"/>
  <c r="BY85" i="12"/>
  <c r="EU113" i="15"/>
  <c r="FH113" i="15" s="1"/>
  <c r="EU92" i="15"/>
  <c r="FH92" i="15" s="1"/>
  <c r="DN110" i="11"/>
  <c r="EA101" i="11"/>
  <c r="EA110" i="11" s="1"/>
  <c r="EU88" i="15"/>
  <c r="FH77" i="15"/>
  <c r="FH88" i="15" s="1"/>
  <c r="DN114" i="11"/>
  <c r="EA114" i="11" s="1"/>
  <c r="DC58" i="7"/>
  <c r="EN58" i="7" s="1"/>
  <c r="EN50" i="7"/>
  <c r="BX148" i="11"/>
  <c r="DN133" i="11"/>
  <c r="EA133" i="11" s="1"/>
  <c r="DK30" i="15"/>
  <c r="FH107" i="18"/>
  <c r="FH108" i="18"/>
  <c r="F32" i="24" s="1"/>
  <c r="DO89" i="12"/>
  <c r="CB55" i="12"/>
  <c r="DO30" i="12"/>
  <c r="CE28" i="11"/>
  <c r="DP28" i="11" s="1"/>
  <c r="DP15" i="11"/>
  <c r="CT162" i="7"/>
  <c r="EK161" i="7"/>
  <c r="DL58" i="18"/>
  <c r="EW58" i="18" s="1"/>
  <c r="EN55" i="7"/>
  <c r="DH61" i="18"/>
  <c r="EV54" i="18"/>
  <c r="EU164" i="18"/>
  <c r="FH145" i="18"/>
  <c r="FH164" i="18" s="1"/>
  <c r="EV132" i="18"/>
  <c r="EV86" i="15"/>
  <c r="EV85" i="18"/>
  <c r="BX119" i="12"/>
  <c r="DN104" i="12"/>
  <c r="EA104" i="12" s="1"/>
  <c r="ET173" i="18"/>
  <c r="EM110" i="7"/>
  <c r="DC47" i="7"/>
  <c r="EN47" i="7" s="1"/>
  <c r="EN35" i="7"/>
  <c r="DM149" i="11"/>
  <c r="BX115" i="11"/>
  <c r="ES232" i="18"/>
  <c r="ES233" i="18" s="1"/>
  <c r="DI96" i="15"/>
  <c r="EV96" i="15" s="1"/>
  <c r="EV98" i="15"/>
  <c r="DF164" i="18"/>
  <c r="CD32" i="12"/>
  <c r="CD30" i="12" s="1"/>
  <c r="DL32" i="15"/>
  <c r="DL30" i="15" s="1"/>
  <c r="DL56" i="18" s="1"/>
  <c r="DM232" i="2"/>
  <c r="DE77" i="7" s="1"/>
  <c r="DN61" i="15" s="1"/>
  <c r="DE87" i="7"/>
  <c r="DD39" i="7"/>
  <c r="DL215" i="2"/>
  <c r="DD54" i="7" s="1"/>
  <c r="DF758" i="2"/>
  <c r="DG216" i="18" s="1"/>
  <c r="DG192" i="18"/>
  <c r="DG182" i="18"/>
  <c r="DG209" i="18"/>
  <c r="DG187" i="18"/>
  <c r="DG70" i="18"/>
  <c r="CF15" i="11"/>
  <c r="CF34" i="11"/>
  <c r="CZ98" i="7"/>
  <c r="DB151" i="7"/>
  <c r="DB148" i="7"/>
  <c r="DB65" i="7"/>
  <c r="DE756" i="2"/>
  <c r="DF215" i="18"/>
  <c r="CF29" i="11"/>
  <c r="BV156" i="11"/>
  <c r="BV159" i="11" s="1"/>
  <c r="BV149" i="11"/>
  <c r="CD50" i="11"/>
  <c r="DD40" i="7"/>
  <c r="DL216" i="2"/>
  <c r="DD55" i="7" s="1"/>
  <c r="CB63" i="12"/>
  <c r="DO63" i="12" s="1"/>
  <c r="CB110" i="12"/>
  <c r="CB125" i="12"/>
  <c r="CB57" i="12"/>
  <c r="CB115" i="12"/>
  <c r="CB42" i="12"/>
  <c r="DO42" i="12" s="1"/>
  <c r="CB35" i="12"/>
  <c r="CD127" i="11"/>
  <c r="DK161" i="18"/>
  <c r="CD98" i="12"/>
  <c r="DB134" i="7"/>
  <c r="BX146" i="11"/>
  <c r="BX134" i="11"/>
  <c r="CF10" i="12"/>
  <c r="CF19" i="12"/>
  <c r="CH50" i="12"/>
  <c r="DQ50" i="12" s="1"/>
  <c r="CH72" i="11"/>
  <c r="DQ72" i="11" s="1"/>
  <c r="CC154" i="11"/>
  <c r="CC59" i="11"/>
  <c r="CC83" i="11"/>
  <c r="CC139" i="11"/>
  <c r="CC144" i="11"/>
  <c r="DJ36" i="15"/>
  <c r="DJ65" i="15" s="1"/>
  <c r="DJ67" i="15"/>
  <c r="CC28" i="12"/>
  <c r="CE17" i="12"/>
  <c r="DP17" i="12" s="1"/>
  <c r="DM171" i="2"/>
  <c r="DE19" i="7"/>
  <c r="DN172" i="2"/>
  <c r="DN200" i="2" s="1"/>
  <c r="DM201" i="2"/>
  <c r="DE8" i="7"/>
  <c r="DH192" i="18"/>
  <c r="DG758" i="2"/>
  <c r="DH216" i="18" s="1"/>
  <c r="DH187" i="18"/>
  <c r="DH209" i="18"/>
  <c r="DH70" i="18"/>
  <c r="DH182" i="18"/>
  <c r="DH149" i="18"/>
  <c r="DH170" i="18" s="1"/>
  <c r="BZ69" i="12"/>
  <c r="BZ83" i="12"/>
  <c r="CC89" i="12"/>
  <c r="CC119" i="11"/>
  <c r="DJ98" i="15"/>
  <c r="DA142" i="7"/>
  <c r="DM14" i="15"/>
  <c r="DO229" i="2"/>
  <c r="DG84" i="7"/>
  <c r="DP239" i="2"/>
  <c r="DF7" i="7"/>
  <c r="EO7" i="7" s="1"/>
  <c r="DO155" i="2"/>
  <c r="DN156" i="2"/>
  <c r="DN154" i="2" s="1"/>
  <c r="DN242" i="2" s="1"/>
  <c r="DH79" i="15"/>
  <c r="CY112" i="7"/>
  <c r="DL50" i="18"/>
  <c r="EW50" i="18" s="1"/>
  <c r="DL38" i="18"/>
  <c r="DC62" i="7"/>
  <c r="EN62" i="7" s="1"/>
  <c r="DB211" i="18"/>
  <c r="DB198" i="18"/>
  <c r="DD168" i="18"/>
  <c r="DD129" i="15"/>
  <c r="DD115" i="15"/>
  <c r="BZ101" i="11"/>
  <c r="BZ114" i="11"/>
  <c r="BY110" i="11"/>
  <c r="BY112" i="11"/>
  <c r="DN112" i="11" s="1"/>
  <c r="DE88" i="7"/>
  <c r="DM233" i="2"/>
  <c r="DE78" i="7" s="1"/>
  <c r="DN62" i="15" s="1"/>
  <c r="DN243" i="2"/>
  <c r="CB100" i="12"/>
  <c r="EW17" i="18"/>
  <c r="DJ15" i="18"/>
  <c r="EW15" i="18" s="1"/>
  <c r="CF76" i="11"/>
  <c r="CF54" i="12"/>
  <c r="DM212" i="2"/>
  <c r="DE36" i="7"/>
  <c r="DM196" i="2"/>
  <c r="DM209" i="2" s="1"/>
  <c r="CW153" i="7"/>
  <c r="CW145" i="7"/>
  <c r="DJ225" i="2"/>
  <c r="DJ224" i="2" s="1"/>
  <c r="DB70" i="7"/>
  <c r="DK56" i="15" s="1"/>
  <c r="DJ54" i="18"/>
  <c r="DA211" i="18"/>
  <c r="ET197" i="18"/>
  <c r="DA198" i="18"/>
  <c r="CB109" i="11"/>
  <c r="DO109" i="11" s="1"/>
  <c r="CB76" i="12"/>
  <c r="DO76" i="12" s="1"/>
  <c r="DD35" i="7"/>
  <c r="DI130" i="18"/>
  <c r="EV130" i="18" s="1"/>
  <c r="CZ105" i="7"/>
  <c r="DI85" i="15"/>
  <c r="EV85" i="15" s="1"/>
  <c r="CG21" i="11"/>
  <c r="CG16" i="11"/>
  <c r="CG29" i="11" s="1"/>
  <c r="DE15" i="7"/>
  <c r="DN14" i="15" s="1"/>
  <c r="CG12" i="12"/>
  <c r="DI261" i="2"/>
  <c r="DA118" i="7"/>
  <c r="DA109" i="7"/>
  <c r="DM200" i="2"/>
  <c r="CD28" i="12"/>
  <c r="DJ36" i="18"/>
  <c r="DJ48" i="18"/>
  <c r="DG101" i="18"/>
  <c r="DL21" i="15"/>
  <c r="CC57" i="12"/>
  <c r="CC42" i="12"/>
  <c r="CC110" i="12"/>
  <c r="CC115" i="12"/>
  <c r="CC35" i="12"/>
  <c r="CC125" i="12"/>
  <c r="DG149" i="18"/>
  <c r="DG145" i="18" s="1"/>
  <c r="DL211" i="2"/>
  <c r="DD50" i="7"/>
  <c r="CB77" i="12"/>
  <c r="DO77" i="12" s="1"/>
  <c r="CB108" i="11"/>
  <c r="DO108" i="11" s="1"/>
  <c r="CZ114" i="7"/>
  <c r="EM114" i="7" s="1"/>
  <c r="DN167" i="2"/>
  <c r="DF16" i="7"/>
  <c r="EO16" i="7" s="1"/>
  <c r="DO168" i="2"/>
  <c r="DN197" i="2"/>
  <c r="DJ271" i="2"/>
  <c r="DJ265" i="2"/>
  <c r="DK275" i="2"/>
  <c r="DK276" i="2"/>
  <c r="DJ266" i="2"/>
  <c r="DD134" i="18"/>
  <c r="CA103" i="11"/>
  <c r="CA71" i="12"/>
  <c r="DC141" i="7"/>
  <c r="EN141" i="7" s="1"/>
  <c r="DK291" i="2"/>
  <c r="DK298" i="2" s="1"/>
  <c r="DL297" i="2"/>
  <c r="CE26" i="12"/>
  <c r="CE41" i="11"/>
  <c r="DP41" i="11" s="1"/>
  <c r="CE46" i="11"/>
  <c r="CE40" i="11" s="1"/>
  <c r="DC49" i="7"/>
  <c r="DA110" i="7"/>
  <c r="DA119" i="7"/>
  <c r="DD143" i="15"/>
  <c r="EU143" i="15" s="1"/>
  <c r="FH143" i="15" s="1"/>
  <c r="EU131" i="15"/>
  <c r="FH131" i="15" s="1"/>
  <c r="CF75" i="11"/>
  <c r="CF53" i="12"/>
  <c r="DK36" i="15"/>
  <c r="DD136" i="18"/>
  <c r="DD143" i="18" s="1"/>
  <c r="BW120" i="12"/>
  <c r="BW127" i="12"/>
  <c r="CA93" i="11"/>
  <c r="DC198" i="18"/>
  <c r="DC211" i="18"/>
  <c r="DJ3" i="18"/>
  <c r="CB90" i="11"/>
  <c r="CZ93" i="7"/>
  <c r="CZ94" i="7" s="1"/>
  <c r="DH108" i="18"/>
  <c r="DH107" i="18"/>
  <c r="BW156" i="11"/>
  <c r="BW149" i="11"/>
  <c r="DG77" i="15"/>
  <c r="DG92" i="15"/>
  <c r="DK48" i="18"/>
  <c r="DK46" i="18" s="1"/>
  <c r="DK36" i="18"/>
  <c r="DK34" i="18" s="1"/>
  <c r="DF88" i="15"/>
  <c r="DF121" i="18"/>
  <c r="DF90" i="15"/>
  <c r="EU90" i="15" s="1"/>
  <c r="DO94" i="11" l="1"/>
  <c r="CC99" i="11"/>
  <c r="DM127" i="12"/>
  <c r="EV109" i="15"/>
  <c r="CC44" i="12"/>
  <c r="CC63" i="12" s="1"/>
  <c r="CD67" i="11"/>
  <c r="DB81" i="7"/>
  <c r="CD48" i="12"/>
  <c r="CD68" i="11"/>
  <c r="DE116" i="18"/>
  <c r="EL144" i="7"/>
  <c r="EY144" i="7" s="1"/>
  <c r="EY145" i="7" s="1"/>
  <c r="EU91" i="18"/>
  <c r="FH91" i="18" s="1"/>
  <c r="DG92" i="18"/>
  <c r="DG95" i="18"/>
  <c r="DH95" i="18" s="1"/>
  <c r="DI95" i="18" s="1"/>
  <c r="DG99" i="18"/>
  <c r="DE129" i="15"/>
  <c r="EM98" i="7"/>
  <c r="DE236" i="18"/>
  <c r="DH116" i="18"/>
  <c r="DO90" i="11"/>
  <c r="DG98" i="18"/>
  <c r="DH98" i="18" s="1"/>
  <c r="DI98" i="18" s="1"/>
  <c r="EY129" i="7"/>
  <c r="EY132" i="7" s="1"/>
  <c r="EU110" i="18"/>
  <c r="EU117" i="18" s="1"/>
  <c r="EU93" i="18"/>
  <c r="FH93" i="18" s="1"/>
  <c r="DG97" i="18"/>
  <c r="DH97" i="18" s="1"/>
  <c r="DI97" i="18" s="1"/>
  <c r="DE115" i="15"/>
  <c r="DF90" i="18"/>
  <c r="EU90" i="18" s="1"/>
  <c r="FH90" i="18" s="1"/>
  <c r="CV153" i="7"/>
  <c r="DG110" i="18"/>
  <c r="EM93" i="7"/>
  <c r="EM94" i="7" s="1"/>
  <c r="EU97" i="18"/>
  <c r="FH97" i="18" s="1"/>
  <c r="EU96" i="18"/>
  <c r="FH96" i="18" s="1"/>
  <c r="EU95" i="18"/>
  <c r="FH95" i="18" s="1"/>
  <c r="DN85" i="12"/>
  <c r="EA81" i="12"/>
  <c r="EA85" i="12" s="1"/>
  <c r="EU92" i="18"/>
  <c r="FH92" i="18" s="1"/>
  <c r="DG96" i="18"/>
  <c r="DH96" i="18" s="1"/>
  <c r="DI96" i="18" s="1"/>
  <c r="DD235" i="18"/>
  <c r="EV83" i="18"/>
  <c r="DE168" i="18"/>
  <c r="DE166" i="18" s="1"/>
  <c r="DE240" i="18"/>
  <c r="DD794" i="2" s="1"/>
  <c r="CV145" i="7"/>
  <c r="DG93" i="18"/>
  <c r="CU154" i="7"/>
  <c r="CU161" i="7"/>
  <c r="DJ73" i="15"/>
  <c r="CX132" i="7"/>
  <c r="CX144" i="7"/>
  <c r="DG91" i="18"/>
  <c r="DG94" i="18"/>
  <c r="CY132" i="7"/>
  <c r="CY144" i="7"/>
  <c r="DE239" i="18"/>
  <c r="DD791" i="2" s="1"/>
  <c r="DH117" i="18"/>
  <c r="DD82" i="7"/>
  <c r="DL226" i="2"/>
  <c r="DL236" i="2"/>
  <c r="DO92" i="11"/>
  <c r="DO93" i="11" s="1"/>
  <c r="DO84" i="11"/>
  <c r="DN102" i="12"/>
  <c r="CB93" i="11"/>
  <c r="DJ51" i="15"/>
  <c r="CC90" i="11"/>
  <c r="DA93" i="7"/>
  <c r="DA94" i="7" s="1"/>
  <c r="CC62" i="11"/>
  <c r="DA68" i="7"/>
  <c r="CE48" i="11"/>
  <c r="BX117" i="12"/>
  <c r="BX105" i="12"/>
  <c r="CC65" i="12"/>
  <c r="CC84" i="11"/>
  <c r="EO73" i="7"/>
  <c r="EV69" i="15"/>
  <c r="DI75" i="15"/>
  <c r="DI112" i="18"/>
  <c r="DI110" i="18" s="1"/>
  <c r="EV42" i="15"/>
  <c r="EV127" i="15"/>
  <c r="EV121" i="15"/>
  <c r="EV63" i="15"/>
  <c r="DI129" i="18"/>
  <c r="EV84" i="15"/>
  <c r="DK264" i="2"/>
  <c r="DJ234" i="2"/>
  <c r="DG73" i="7"/>
  <c r="DP58" i="15" s="1"/>
  <c r="DJ129" i="18"/>
  <c r="CC75" i="12"/>
  <c r="CC107" i="11"/>
  <c r="DB117" i="7"/>
  <c r="DB108" i="7"/>
  <c r="DK84" i="15" s="1"/>
  <c r="DK129" i="18" s="1"/>
  <c r="F31" i="24"/>
  <c r="DK65" i="15"/>
  <c r="DK236" i="2"/>
  <c r="DK226" i="2"/>
  <c r="DK225" i="2" s="1"/>
  <c r="DK224" i="2" s="1"/>
  <c r="DI103" i="18"/>
  <c r="DI101" i="18" s="1"/>
  <c r="EV101" i="18" s="1"/>
  <c r="DI69" i="15"/>
  <c r="DI63" i="18"/>
  <c r="EV63" i="18" s="1"/>
  <c r="EV192" i="18" s="1"/>
  <c r="DI73" i="18"/>
  <c r="CD106" i="11"/>
  <c r="CD74" i="12"/>
  <c r="DK83" i="15"/>
  <c r="DK128" i="18" s="1"/>
  <c r="DD107" i="7"/>
  <c r="DD116" i="7"/>
  <c r="DC107" i="7"/>
  <c r="DL83" i="15" s="1"/>
  <c r="DC116" i="7"/>
  <c r="ET141" i="15"/>
  <c r="ET145" i="15" s="1"/>
  <c r="DL54" i="18"/>
  <c r="DO67" i="12"/>
  <c r="DI147" i="18"/>
  <c r="EV147" i="18" s="1"/>
  <c r="DI109" i="15"/>
  <c r="BY105" i="12"/>
  <c r="BY117" i="12"/>
  <c r="BY127" i="12" s="1"/>
  <c r="BY130" i="12" s="1"/>
  <c r="DL38" i="15"/>
  <c r="EW38" i="15" s="1"/>
  <c r="DL34" i="15"/>
  <c r="CE51" i="11"/>
  <c r="DP51" i="11" s="1"/>
  <c r="DC57" i="7"/>
  <c r="EN57" i="7" s="1"/>
  <c r="EN148" i="7" s="1"/>
  <c r="CE56" i="11"/>
  <c r="DP56" i="11" s="1"/>
  <c r="DO100" i="12"/>
  <c r="DP40" i="11"/>
  <c r="DP48" i="11" s="1"/>
  <c r="DN115" i="11"/>
  <c r="EA112" i="11"/>
  <c r="EA115" i="11" s="1"/>
  <c r="EV61" i="18"/>
  <c r="DM156" i="11"/>
  <c r="EW32" i="15"/>
  <c r="DK34" i="15"/>
  <c r="DK56" i="18"/>
  <c r="EW30" i="15"/>
  <c r="EW21" i="15"/>
  <c r="DH145" i="18"/>
  <c r="DH164" i="18" s="1"/>
  <c r="CB61" i="12"/>
  <c r="DO57" i="12"/>
  <c r="BX129" i="12"/>
  <c r="DN119" i="12"/>
  <c r="EA119" i="12" s="1"/>
  <c r="DL7" i="18"/>
  <c r="EW38" i="18"/>
  <c r="DF214" i="18"/>
  <c r="EU214" i="18" s="1"/>
  <c r="FH214" i="18" s="1"/>
  <c r="EU215" i="18"/>
  <c r="FH215" i="18" s="1"/>
  <c r="DO115" i="12"/>
  <c r="DO110" i="12"/>
  <c r="DO35" i="12"/>
  <c r="DO125" i="12"/>
  <c r="DO55" i="12"/>
  <c r="DC52" i="7"/>
  <c r="EN49" i="7"/>
  <c r="ET198" i="18"/>
  <c r="DP46" i="11"/>
  <c r="BX158" i="11"/>
  <c r="DN158" i="11" s="1"/>
  <c r="EA158" i="11" s="1"/>
  <c r="DN148" i="11"/>
  <c r="EA148" i="11" s="1"/>
  <c r="DF119" i="18"/>
  <c r="EU121" i="18"/>
  <c r="FH121" i="18" s="1"/>
  <c r="CZ129" i="7"/>
  <c r="EM129" i="7" s="1"/>
  <c r="EM132" i="7" s="1"/>
  <c r="EM105" i="7"/>
  <c r="CE24" i="12"/>
  <c r="DP24" i="12" s="1"/>
  <c r="DP26" i="12"/>
  <c r="EU94" i="15"/>
  <c r="FH90" i="15"/>
  <c r="FH94" i="15" s="1"/>
  <c r="CD59" i="12"/>
  <c r="EK162" i="7"/>
  <c r="DK67" i="15"/>
  <c r="DN232" i="2"/>
  <c r="DF77" i="7" s="1"/>
  <c r="DO61" i="15" s="1"/>
  <c r="DF87" i="7"/>
  <c r="EO87" i="7" s="1"/>
  <c r="DF138" i="18"/>
  <c r="DF94" i="15"/>
  <c r="DF111" i="15"/>
  <c r="EU111" i="15" s="1"/>
  <c r="CA69" i="12"/>
  <c r="CA83" i="12"/>
  <c r="CA104" i="12" s="1"/>
  <c r="CA119" i="12" s="1"/>
  <c r="CA129" i="12" s="1"/>
  <c r="DG107" i="18"/>
  <c r="DG108" i="18"/>
  <c r="DJ85" i="15"/>
  <c r="DJ130" i="18"/>
  <c r="DA105" i="7"/>
  <c r="DG7" i="7"/>
  <c r="DP155" i="2"/>
  <c r="DO156" i="2"/>
  <c r="DO154" i="2" s="1"/>
  <c r="DO242" i="2" s="1"/>
  <c r="DM216" i="2"/>
  <c r="DE55" i="7" s="1"/>
  <c r="DN58" i="18" s="1"/>
  <c r="DE40" i="7"/>
  <c r="DK98" i="15"/>
  <c r="DK96" i="15" s="1"/>
  <c r="CD89" i="12"/>
  <c r="CD87" i="12" s="1"/>
  <c r="CD100" i="12" s="1"/>
  <c r="DB142" i="7"/>
  <c r="CD119" i="11"/>
  <c r="CD117" i="11" s="1"/>
  <c r="CD129" i="11" s="1"/>
  <c r="CB67" i="12"/>
  <c r="DG215" i="18"/>
  <c r="DF756" i="2"/>
  <c r="DJ86" i="15"/>
  <c r="DG164" i="18"/>
  <c r="BW159" i="11"/>
  <c r="DJ46" i="18"/>
  <c r="DA114" i="7"/>
  <c r="CC108" i="11"/>
  <c r="CC77" i="12"/>
  <c r="DD47" i="7"/>
  <c r="CD115" i="12"/>
  <c r="CD35" i="12"/>
  <c r="CD125" i="12"/>
  <c r="CD110" i="12"/>
  <c r="CD42" i="12"/>
  <c r="BZ133" i="11"/>
  <c r="BZ79" i="12"/>
  <c r="BZ81" i="12"/>
  <c r="DG88" i="15"/>
  <c r="DG121" i="18"/>
  <c r="DG90" i="15"/>
  <c r="DG170" i="18"/>
  <c r="DK65" i="18"/>
  <c r="DK139" i="15"/>
  <c r="DK127" i="15"/>
  <c r="DK121" i="15"/>
  <c r="DK42" i="15"/>
  <c r="CA101" i="11"/>
  <c r="CA114" i="11"/>
  <c r="CA133" i="11" s="1"/>
  <c r="CA148" i="11" s="1"/>
  <c r="CA158" i="11" s="1"/>
  <c r="CB71" i="12"/>
  <c r="DO71" i="12" s="1"/>
  <c r="CB103" i="11"/>
  <c r="DO103" i="11" s="1"/>
  <c r="DJ34" i="18"/>
  <c r="DJ61" i="18" s="1"/>
  <c r="BZ110" i="11"/>
  <c r="BZ112" i="11"/>
  <c r="DM58" i="18"/>
  <c r="DN215" i="2"/>
  <c r="DF54" i="7" s="1"/>
  <c r="DF39" i="7"/>
  <c r="DJ65" i="18"/>
  <c r="DJ121" i="15"/>
  <c r="DJ139" i="15"/>
  <c r="DJ127" i="15"/>
  <c r="DJ42" i="15"/>
  <c r="DM38" i="18"/>
  <c r="DD62" i="7"/>
  <c r="DM50" i="18"/>
  <c r="CF28" i="11"/>
  <c r="DM32" i="15"/>
  <c r="DB119" i="7"/>
  <c r="DB110" i="7"/>
  <c r="DK86" i="15" s="1"/>
  <c r="DK132" i="18" s="1"/>
  <c r="DD49" i="7"/>
  <c r="CF41" i="11"/>
  <c r="CF26" i="12"/>
  <c r="CF32" i="12" s="1"/>
  <c r="CF46" i="11"/>
  <c r="CG10" i="12"/>
  <c r="CG19" i="12"/>
  <c r="DP229" i="2"/>
  <c r="DH84" i="7"/>
  <c r="DQ239" i="2"/>
  <c r="DR239" i="2" s="1"/>
  <c r="DJ84" i="7" s="1"/>
  <c r="DF19" i="7"/>
  <c r="EO19" i="7" s="1"/>
  <c r="DN171" i="2"/>
  <c r="DO172" i="2"/>
  <c r="CD59" i="11"/>
  <c r="CD154" i="11"/>
  <c r="CD144" i="11"/>
  <c r="CD139" i="11"/>
  <c r="DD61" i="7"/>
  <c r="DC212" i="18"/>
  <c r="DC232" i="18"/>
  <c r="DC233" i="18" s="1"/>
  <c r="DK266" i="2"/>
  <c r="DL276" i="2"/>
  <c r="DD141" i="15"/>
  <c r="DD133" i="15"/>
  <c r="CI50" i="12"/>
  <c r="CI72" i="11"/>
  <c r="DL36" i="18"/>
  <c r="DL34" i="18" s="1"/>
  <c r="DL48" i="18"/>
  <c r="DL46" i="18" s="1"/>
  <c r="DK271" i="2"/>
  <c r="DK265" i="2"/>
  <c r="DL275" i="2"/>
  <c r="CC109" i="11"/>
  <c r="CC76" i="12"/>
  <c r="DJ261" i="2"/>
  <c r="DB109" i="7"/>
  <c r="DB118" i="7"/>
  <c r="CG15" i="11"/>
  <c r="CG28" i="11" s="1"/>
  <c r="CG34" i="11"/>
  <c r="DE35" i="7"/>
  <c r="DE47" i="7" s="1"/>
  <c r="DD166" i="18"/>
  <c r="DJ96" i="15"/>
  <c r="CE32" i="12"/>
  <c r="DP32" i="12" s="1"/>
  <c r="CF17" i="12"/>
  <c r="CC61" i="12"/>
  <c r="DG113" i="15"/>
  <c r="DN12" i="15"/>
  <c r="DN17" i="18" s="1"/>
  <c r="DN15" i="18" s="1"/>
  <c r="DN23" i="15"/>
  <c r="CW161" i="7"/>
  <c r="CW162" i="7" s="1"/>
  <c r="CW154" i="7"/>
  <c r="ET211" i="18"/>
  <c r="DA232" i="18"/>
  <c r="DA212" i="18"/>
  <c r="DM211" i="2"/>
  <c r="DE50" i="7"/>
  <c r="DE58" i="7" s="1"/>
  <c r="DF88" i="7"/>
  <c r="EO88" i="7" s="1"/>
  <c r="DN233" i="2"/>
  <c r="DF78" i="7" s="1"/>
  <c r="DO62" i="15" s="1"/>
  <c r="DO243" i="2"/>
  <c r="DM12" i="15"/>
  <c r="DM23" i="15"/>
  <c r="CC117" i="11"/>
  <c r="BW130" i="12"/>
  <c r="DL291" i="2"/>
  <c r="DL298" i="2" s="1"/>
  <c r="DM297" i="2"/>
  <c r="DD141" i="7"/>
  <c r="DN196" i="2"/>
  <c r="DN209" i="2" s="1"/>
  <c r="DF36" i="7"/>
  <c r="EO36" i="7" s="1"/>
  <c r="DN212" i="2"/>
  <c r="DN220" i="2" s="1"/>
  <c r="DN219" i="2" s="1"/>
  <c r="DN263" i="2" s="1"/>
  <c r="DI79" i="15"/>
  <c r="EV79" i="15" s="1"/>
  <c r="CZ112" i="7"/>
  <c r="DM220" i="2"/>
  <c r="DM219" i="2" s="1"/>
  <c r="DM263" i="2" s="1"/>
  <c r="CC87" i="12"/>
  <c r="CG53" i="12"/>
  <c r="CG75" i="11"/>
  <c r="DG16" i="7"/>
  <c r="DO167" i="2"/>
  <c r="DP168" i="2"/>
  <c r="DO197" i="2"/>
  <c r="CG54" i="12"/>
  <c r="CG76" i="11"/>
  <c r="DH77" i="15"/>
  <c r="DH92" i="15"/>
  <c r="DH113" i="15" s="1"/>
  <c r="DH131" i="15" s="1"/>
  <c r="DH143" i="15" s="1"/>
  <c r="DH215" i="18"/>
  <c r="DH214" i="18" s="1"/>
  <c r="DG756" i="2"/>
  <c r="CE48" i="12"/>
  <c r="CE67" i="11"/>
  <c r="CE68" i="11"/>
  <c r="DC81" i="7"/>
  <c r="DL161" i="18"/>
  <c r="EW161" i="18" s="1"/>
  <c r="DC134" i="7"/>
  <c r="EN134" i="7" s="1"/>
  <c r="CE98" i="12"/>
  <c r="DP98" i="12" s="1"/>
  <c r="CE127" i="11"/>
  <c r="DP127" i="11" s="1"/>
  <c r="DF15" i="7"/>
  <c r="CH21" i="11"/>
  <c r="DQ21" i="11" s="1"/>
  <c r="CH12" i="12"/>
  <c r="DQ12" i="12" s="1"/>
  <c r="CH16" i="11"/>
  <c r="CH29" i="11" s="1"/>
  <c r="DQ29" i="11" s="1"/>
  <c r="DM215" i="2"/>
  <c r="DE54" i="7" s="1"/>
  <c r="DE39" i="7"/>
  <c r="DD58" i="7"/>
  <c r="DK53" i="15"/>
  <c r="DB69" i="7"/>
  <c r="DB99" i="7"/>
  <c r="BY115" i="11"/>
  <c r="BY131" i="11"/>
  <c r="DN131" i="11" s="1"/>
  <c r="DB232" i="18"/>
  <c r="DB233" i="18" s="1"/>
  <c r="DB212" i="18"/>
  <c r="DN201" i="2"/>
  <c r="DF8" i="7"/>
  <c r="EO8" i="7" s="1"/>
  <c r="BZ104" i="12"/>
  <c r="BX156" i="11"/>
  <c r="BX159" i="11" s="1"/>
  <c r="BX149" i="11"/>
  <c r="DM130" i="12" l="1"/>
  <c r="DH92" i="18"/>
  <c r="DI92" i="18" s="1"/>
  <c r="DH91" i="18"/>
  <c r="DI91" i="18" s="1"/>
  <c r="CF67" i="11"/>
  <c r="BX120" i="12"/>
  <c r="BX127" i="12"/>
  <c r="BX130" i="12" s="1"/>
  <c r="CY145" i="7"/>
  <c r="CY153" i="7"/>
  <c r="CF48" i="12"/>
  <c r="DD81" i="7"/>
  <c r="DH94" i="18"/>
  <c r="DI94" i="18" s="1"/>
  <c r="CF68" i="11"/>
  <c r="CD85" i="11"/>
  <c r="EV95" i="18"/>
  <c r="CV154" i="7"/>
  <c r="EV97" i="18"/>
  <c r="CV161" i="7"/>
  <c r="CV162" i="7" s="1"/>
  <c r="EL145" i="7"/>
  <c r="FH110" i="18"/>
  <c r="F34" i="24" s="1"/>
  <c r="EU116" i="18"/>
  <c r="DJ85" i="18"/>
  <c r="DJ63" i="15"/>
  <c r="DL225" i="2"/>
  <c r="DL224" i="2" s="1"/>
  <c r="DD70" i="7"/>
  <c r="DM56" i="15" s="1"/>
  <c r="CD57" i="12"/>
  <c r="CD61" i="12" s="1"/>
  <c r="CX153" i="7"/>
  <c r="CX145" i="7"/>
  <c r="CU162" i="7"/>
  <c r="CD63" i="11"/>
  <c r="DE235" i="18"/>
  <c r="DH93" i="18"/>
  <c r="DI93" i="18" s="1"/>
  <c r="DF240" i="18"/>
  <c r="DF239" i="18"/>
  <c r="DJ71" i="15"/>
  <c r="CC67" i="12"/>
  <c r="CD83" i="11"/>
  <c r="CD84" i="11" s="1"/>
  <c r="CD80" i="11"/>
  <c r="CD46" i="12"/>
  <c r="DF236" i="18"/>
  <c r="DG90" i="18"/>
  <c r="DP48" i="12"/>
  <c r="DP67" i="11"/>
  <c r="EN81" i="7"/>
  <c r="CC55" i="12"/>
  <c r="EL153" i="7"/>
  <c r="EY153" i="7" s="1"/>
  <c r="EY154" i="7" s="1"/>
  <c r="EV96" i="18"/>
  <c r="DE133" i="15"/>
  <c r="DE141" i="15"/>
  <c r="DE145" i="15" s="1"/>
  <c r="DG117" i="18"/>
  <c r="DG116" i="18"/>
  <c r="DE197" i="18"/>
  <c r="DE173" i="18"/>
  <c r="EA102" i="12"/>
  <c r="EA105" i="12" s="1"/>
  <c r="DN105" i="12"/>
  <c r="DA79" i="7"/>
  <c r="DA97" i="7"/>
  <c r="CC81" i="11"/>
  <c r="CC92" i="11"/>
  <c r="EV112" i="18"/>
  <c r="EV110" i="18"/>
  <c r="DC70" i="7"/>
  <c r="DL56" i="15" s="1"/>
  <c r="DN129" i="12"/>
  <c r="DL264" i="2"/>
  <c r="EV129" i="18"/>
  <c r="DH73" i="7"/>
  <c r="DQ58" i="15" s="1"/>
  <c r="DQ57" i="15"/>
  <c r="DK234" i="2"/>
  <c r="CD107" i="11"/>
  <c r="CD75" i="12"/>
  <c r="DP57" i="15"/>
  <c r="DC117" i="7"/>
  <c r="DC108" i="7"/>
  <c r="EV103" i="18"/>
  <c r="EV209" i="18"/>
  <c r="CL50" i="12"/>
  <c r="CL72" i="11"/>
  <c r="DL36" i="15"/>
  <c r="DL121" i="15" s="1"/>
  <c r="DL61" i="18"/>
  <c r="DI99" i="18"/>
  <c r="EV187" i="18"/>
  <c r="DI70" i="18"/>
  <c r="EV99" i="18"/>
  <c r="DI117" i="18"/>
  <c r="EV70" i="18"/>
  <c r="DI182" i="18"/>
  <c r="DI108" i="18"/>
  <c r="DI187" i="18"/>
  <c r="DI209" i="18"/>
  <c r="DH758" i="2"/>
  <c r="DI216" i="18" s="1"/>
  <c r="EV216" i="18" s="1"/>
  <c r="DI116" i="18"/>
  <c r="EV182" i="18"/>
  <c r="DI192" i="18"/>
  <c r="DI107" i="18"/>
  <c r="DM237" i="2"/>
  <c r="DE82" i="7" s="1"/>
  <c r="EN116" i="7"/>
  <c r="CE106" i="11"/>
  <c r="DP106" i="11" s="1"/>
  <c r="CE74" i="12"/>
  <c r="DP74" i="12" s="1"/>
  <c r="EW83" i="15"/>
  <c r="DL128" i="18"/>
  <c r="EW128" i="18" s="1"/>
  <c r="DN237" i="2"/>
  <c r="DN226" i="2" s="1"/>
  <c r="CF74" i="12"/>
  <c r="CF106" i="11"/>
  <c r="DM83" i="15"/>
  <c r="DM128" i="18" s="1"/>
  <c r="EN107" i="7"/>
  <c r="CE85" i="11"/>
  <c r="CE50" i="11"/>
  <c r="DP50" i="11" s="1"/>
  <c r="DP144" i="11" s="1"/>
  <c r="DI149" i="18"/>
  <c r="DI170" i="18" s="1"/>
  <c r="EV170" i="18" s="1"/>
  <c r="BY120" i="12"/>
  <c r="EN151" i="7"/>
  <c r="EN65" i="7"/>
  <c r="DN117" i="12"/>
  <c r="EA117" i="12" s="1"/>
  <c r="EA120" i="12" s="1"/>
  <c r="DC151" i="7"/>
  <c r="DC148" i="7"/>
  <c r="DC65" i="7"/>
  <c r="EO39" i="7"/>
  <c r="DS239" i="2"/>
  <c r="DK84" i="7" s="1"/>
  <c r="DR229" i="2"/>
  <c r="EO54" i="7"/>
  <c r="CZ144" i="7"/>
  <c r="EM144" i="7" s="1"/>
  <c r="EM145" i="7" s="1"/>
  <c r="CZ132" i="7"/>
  <c r="EX61" i="15"/>
  <c r="EO77" i="7"/>
  <c r="DP68" i="11"/>
  <c r="EW34" i="15"/>
  <c r="DN134" i="11"/>
  <c r="EA131" i="11"/>
  <c r="EA134" i="11" s="1"/>
  <c r="CE28" i="12"/>
  <c r="DO14" i="15"/>
  <c r="EX14" i="15" s="1"/>
  <c r="EO15" i="7"/>
  <c r="EN142" i="7"/>
  <c r="EX62" i="15"/>
  <c r="EO78" i="7"/>
  <c r="ET212" i="18"/>
  <c r="DK103" i="18"/>
  <c r="DK101" i="18" s="1"/>
  <c r="EW46" i="18"/>
  <c r="EU115" i="15"/>
  <c r="FH111" i="15"/>
  <c r="FH115" i="15" s="1"/>
  <c r="DO61" i="12"/>
  <c r="DK54" i="18"/>
  <c r="EW56" i="18"/>
  <c r="EW36" i="18"/>
  <c r="EW48" i="18"/>
  <c r="EM112" i="7"/>
  <c r="EW34" i="18"/>
  <c r="DF136" i="18"/>
  <c r="DF143" i="18" s="1"/>
  <c r="EU138" i="18"/>
  <c r="FH138" i="18" s="1"/>
  <c r="F45" i="24" s="1"/>
  <c r="EN52" i="7"/>
  <c r="DP28" i="12"/>
  <c r="DF134" i="18"/>
  <c r="EU119" i="18"/>
  <c r="DL3" i="18"/>
  <c r="EW3" i="18" s="1"/>
  <c r="EW7" i="18"/>
  <c r="DQ16" i="11"/>
  <c r="DM159" i="11"/>
  <c r="DE61" i="7"/>
  <c r="DF61" i="7"/>
  <c r="DN32" i="15"/>
  <c r="DN30" i="15" s="1"/>
  <c r="DN56" i="18" s="1"/>
  <c r="DN54" i="18" s="1"/>
  <c r="DO232" i="2"/>
  <c r="DG77" i="7" s="1"/>
  <c r="DP61" i="15" s="1"/>
  <c r="DG87" i="7"/>
  <c r="CC129" i="11"/>
  <c r="DA233" i="18"/>
  <c r="ET232" i="18"/>
  <c r="DJ109" i="15"/>
  <c r="DJ147" i="18"/>
  <c r="DO233" i="2"/>
  <c r="DG78" i="7" s="1"/>
  <c r="DP62" i="15" s="1"/>
  <c r="DP243" i="2"/>
  <c r="DG88" i="7"/>
  <c r="CG56" i="11"/>
  <c r="DE57" i="7"/>
  <c r="CG51" i="11"/>
  <c r="DO171" i="2"/>
  <c r="DG19" i="7"/>
  <c r="DP172" i="2"/>
  <c r="DP200" i="2" s="1"/>
  <c r="DM30" i="15"/>
  <c r="DG138" i="18"/>
  <c r="DG94" i="15"/>
  <c r="DG111" i="15"/>
  <c r="DL271" i="2"/>
  <c r="DM275" i="2"/>
  <c r="DL265" i="2"/>
  <c r="CD76" i="12"/>
  <c r="CD109" i="11"/>
  <c r="DJ63" i="18"/>
  <c r="DJ73" i="18"/>
  <c r="DF35" i="7"/>
  <c r="DF47" i="7" s="1"/>
  <c r="EO47" i="7" s="1"/>
  <c r="DK51" i="15"/>
  <c r="DK73" i="15"/>
  <c r="DH121" i="18"/>
  <c r="DH119" i="18" s="1"/>
  <c r="DH134" i="18" s="1"/>
  <c r="DH88" i="15"/>
  <c r="DH90" i="15"/>
  <c r="DG15" i="7"/>
  <c r="CI21" i="11"/>
  <c r="CI12" i="12"/>
  <c r="CI16" i="11"/>
  <c r="DI77" i="15"/>
  <c r="EV77" i="15" s="1"/>
  <c r="DI92" i="15"/>
  <c r="DI113" i="15" s="1"/>
  <c r="DI131" i="15" s="1"/>
  <c r="DI143" i="15" s="1"/>
  <c r="CH54" i="12"/>
  <c r="DQ54" i="12" s="1"/>
  <c r="CH76" i="11"/>
  <c r="DQ76" i="11" s="1"/>
  <c r="DN21" i="15"/>
  <c r="DC118" i="7"/>
  <c r="EN118" i="7" s="1"/>
  <c r="DC109" i="7"/>
  <c r="EN109" i="7" s="1"/>
  <c r="DK261" i="2"/>
  <c r="DG119" i="18"/>
  <c r="DF115" i="15"/>
  <c r="DF168" i="18"/>
  <c r="DF129" i="15"/>
  <c r="EU129" i="15" s="1"/>
  <c r="DL98" i="15"/>
  <c r="CE89" i="12"/>
  <c r="DC142" i="7"/>
  <c r="CE119" i="11"/>
  <c r="DQ168" i="2"/>
  <c r="DR168" i="2" s="1"/>
  <c r="DJ16" i="7" s="1"/>
  <c r="DP167" i="2"/>
  <c r="DH16" i="7"/>
  <c r="DP197" i="2"/>
  <c r="DB68" i="7"/>
  <c r="DB92" i="7"/>
  <c r="DD57" i="7"/>
  <c r="CF56" i="11"/>
  <c r="CF51" i="11"/>
  <c r="DN211" i="2"/>
  <c r="DF50" i="7"/>
  <c r="EO50" i="7" s="1"/>
  <c r="CG41" i="11"/>
  <c r="CG46" i="11"/>
  <c r="CG40" i="11" s="1"/>
  <c r="CG48" i="11" s="1"/>
  <c r="DE49" i="7"/>
  <c r="DE52" i="7" s="1"/>
  <c r="CG26" i="12"/>
  <c r="CG24" i="12" s="1"/>
  <c r="CF30" i="12"/>
  <c r="DJ103" i="18"/>
  <c r="DJ69" i="15"/>
  <c r="BZ115" i="11"/>
  <c r="BZ131" i="11"/>
  <c r="CE30" i="12"/>
  <c r="DP30" i="12" s="1"/>
  <c r="CD77" i="12"/>
  <c r="CD108" i="11"/>
  <c r="DB114" i="7"/>
  <c r="DI84" i="7"/>
  <c r="EP84" i="7" s="1"/>
  <c r="EZ84" i="7" s="1"/>
  <c r="DQ229" i="2"/>
  <c r="EP72" i="7" s="1"/>
  <c r="EZ72" i="7" s="1"/>
  <c r="BZ85" i="12"/>
  <c r="BZ102" i="12"/>
  <c r="DK109" i="15"/>
  <c r="DK147" i="18"/>
  <c r="DJ79" i="15"/>
  <c r="DA112" i="7"/>
  <c r="CJ72" i="11"/>
  <c r="CJ50" i="12"/>
  <c r="DJ132" i="18"/>
  <c r="DN38" i="18"/>
  <c r="DN7" i="18" s="1"/>
  <c r="DN3" i="18" s="1"/>
  <c r="DE62" i="7"/>
  <c r="DN50" i="18"/>
  <c r="DB105" i="7"/>
  <c r="DK85" i="15"/>
  <c r="DK130" i="18"/>
  <c r="DN216" i="2"/>
  <c r="DF55" i="7" s="1"/>
  <c r="DF40" i="7"/>
  <c r="EO40" i="7" s="1"/>
  <c r="CE63" i="11"/>
  <c r="CE46" i="12"/>
  <c r="CE44" i="12" s="1"/>
  <c r="CE80" i="11"/>
  <c r="CE99" i="11" s="1"/>
  <c r="DM161" i="18"/>
  <c r="CF127" i="11"/>
  <c r="CF98" i="12"/>
  <c r="DD134" i="7"/>
  <c r="DD197" i="18"/>
  <c r="DD173" i="18"/>
  <c r="DM7" i="18"/>
  <c r="DO201" i="2"/>
  <c r="DG8" i="7"/>
  <c r="BZ119" i="12"/>
  <c r="CH15" i="11"/>
  <c r="CH28" i="11" s="1"/>
  <c r="DQ28" i="11" s="1"/>
  <c r="CH34" i="11"/>
  <c r="DQ34" i="11" s="1"/>
  <c r="DG131" i="15"/>
  <c r="DD145" i="15"/>
  <c r="CF24" i="12"/>
  <c r="CB101" i="11"/>
  <c r="DO101" i="11" s="1"/>
  <c r="DO110" i="11" s="1"/>
  <c r="CB114" i="11"/>
  <c r="CB133" i="11" s="1"/>
  <c r="CB148" i="11" s="1"/>
  <c r="CB158" i="11" s="1"/>
  <c r="DK73" i="18"/>
  <c r="DK63" i="18"/>
  <c r="BZ148" i="11"/>
  <c r="CC103" i="11"/>
  <c r="CC71" i="12"/>
  <c r="DH7" i="7"/>
  <c r="DQ155" i="2"/>
  <c r="DP156" i="2"/>
  <c r="DP154" i="2" s="1"/>
  <c r="DP242" i="2" s="1"/>
  <c r="EV107" i="18"/>
  <c r="EV108" i="18"/>
  <c r="CH10" i="12"/>
  <c r="DQ10" i="12" s="1"/>
  <c r="CH19" i="12"/>
  <c r="DQ19" i="12" s="1"/>
  <c r="DM38" i="15"/>
  <c r="DM21" i="15"/>
  <c r="CF40" i="11"/>
  <c r="CF48" i="11" s="1"/>
  <c r="DM291" i="2"/>
  <c r="DM298" i="2" s="1"/>
  <c r="DE141" i="7"/>
  <c r="DN297" i="2"/>
  <c r="BY134" i="11"/>
  <c r="BY146" i="11"/>
  <c r="DN146" i="11" s="1"/>
  <c r="DM17" i="18"/>
  <c r="DL266" i="2"/>
  <c r="DM276" i="2"/>
  <c r="CB69" i="12"/>
  <c r="DO69" i="12" s="1"/>
  <c r="CB83" i="12"/>
  <c r="DG214" i="18"/>
  <c r="CH75" i="11"/>
  <c r="DQ75" i="11" s="1"/>
  <c r="CH53" i="12"/>
  <c r="DQ53" i="12" s="1"/>
  <c r="DO200" i="2"/>
  <c r="CC100" i="12"/>
  <c r="DC110" i="7"/>
  <c r="DC119" i="7"/>
  <c r="EN119" i="7" s="1"/>
  <c r="DO212" i="2"/>
  <c r="DO220" i="2" s="1"/>
  <c r="DO219" i="2" s="1"/>
  <c r="DO263" i="2" s="1"/>
  <c r="DG36" i="7"/>
  <c r="DO196" i="2"/>
  <c r="DO209" i="2" s="1"/>
  <c r="CG17" i="12"/>
  <c r="DD52" i="7"/>
  <c r="CA110" i="11"/>
  <c r="CA112" i="11"/>
  <c r="CA79" i="12"/>
  <c r="CA81" i="12"/>
  <c r="EV92" i="18" l="1"/>
  <c r="DP63" i="11"/>
  <c r="EV91" i="18"/>
  <c r="DN127" i="12"/>
  <c r="EV94" i="18"/>
  <c r="CY154" i="7"/>
  <c r="CY161" i="7"/>
  <c r="CY162" i="7" s="1"/>
  <c r="CF46" i="12"/>
  <c r="CF80" i="11"/>
  <c r="CF63" i="11"/>
  <c r="EL161" i="7"/>
  <c r="DL234" i="2"/>
  <c r="EU239" i="18"/>
  <c r="FH239" i="18" s="1"/>
  <c r="DE791" i="2"/>
  <c r="EU240" i="18"/>
  <c r="FH240" i="18" s="1"/>
  <c r="DE794" i="2"/>
  <c r="EL154" i="7"/>
  <c r="FH117" i="18"/>
  <c r="F41" i="24" s="1"/>
  <c r="DJ112" i="18"/>
  <c r="CX161" i="7"/>
  <c r="FH116" i="18"/>
  <c r="EV93" i="18"/>
  <c r="CD99" i="11"/>
  <c r="DD99" i="7"/>
  <c r="DJ75" i="15"/>
  <c r="CX154" i="7"/>
  <c r="CF59" i="12"/>
  <c r="CD62" i="11"/>
  <c r="CD94" i="11"/>
  <c r="DJ83" i="18"/>
  <c r="DJ94" i="18" s="1"/>
  <c r="DD69" i="7"/>
  <c r="DM53" i="15"/>
  <c r="DG239" i="18"/>
  <c r="DF791" i="2" s="1"/>
  <c r="DG240" i="18"/>
  <c r="DF794" i="2" s="1"/>
  <c r="DG236" i="18"/>
  <c r="DH90" i="18"/>
  <c r="DF235" i="18"/>
  <c r="EU235" i="18" s="1"/>
  <c r="FH235" i="18" s="1"/>
  <c r="EU236" i="18"/>
  <c r="FH236" i="18" s="1"/>
  <c r="CD44" i="12"/>
  <c r="CD65" i="12"/>
  <c r="DE198" i="18"/>
  <c r="DE211" i="18"/>
  <c r="DL67" i="15"/>
  <c r="EW67" i="15" s="1"/>
  <c r="CC93" i="11"/>
  <c r="DA129" i="7"/>
  <c r="DA98" i="7"/>
  <c r="EN70" i="7"/>
  <c r="CE59" i="12"/>
  <c r="DP59" i="12" s="1"/>
  <c r="DL53" i="15"/>
  <c r="EW53" i="15" s="1"/>
  <c r="DC69" i="7"/>
  <c r="EN69" i="7" s="1"/>
  <c r="DC99" i="7"/>
  <c r="EV116" i="18"/>
  <c r="EV117" i="18"/>
  <c r="EA129" i="12"/>
  <c r="DN236" i="2"/>
  <c r="DM264" i="2"/>
  <c r="DI73" i="7"/>
  <c r="DR58" i="15" s="1"/>
  <c r="EY58" i="15" s="1"/>
  <c r="FI58" i="15" s="1"/>
  <c r="DR57" i="15"/>
  <c r="EY57" i="15" s="1"/>
  <c r="FI57" i="15" s="1"/>
  <c r="DJ73" i="7"/>
  <c r="DS58" i="15" s="1"/>
  <c r="EN108" i="7"/>
  <c r="DL84" i="15"/>
  <c r="EN117" i="7"/>
  <c r="CE75" i="12"/>
  <c r="DP75" i="12" s="1"/>
  <c r="CE107" i="11"/>
  <c r="DP107" i="11" s="1"/>
  <c r="DD108" i="7"/>
  <c r="DM84" i="15" s="1"/>
  <c r="DD117" i="7"/>
  <c r="DL42" i="15"/>
  <c r="DL127" i="15"/>
  <c r="DL139" i="15"/>
  <c r="DL65" i="18"/>
  <c r="EW65" i="18" s="1"/>
  <c r="EW73" i="18" s="1"/>
  <c r="DM226" i="2"/>
  <c r="DE70" i="7" s="1"/>
  <c r="DN56" i="15" s="1"/>
  <c r="DM236" i="2"/>
  <c r="EW36" i="15"/>
  <c r="DL65" i="15"/>
  <c r="EW65" i="15" s="1"/>
  <c r="CL21" i="11"/>
  <c r="CL12" i="12"/>
  <c r="CL16" i="11"/>
  <c r="CM50" i="12"/>
  <c r="CM72" i="11"/>
  <c r="DH756" i="2"/>
  <c r="DI215" i="18"/>
  <c r="DI214" i="18" s="1"/>
  <c r="EV214" i="18" s="1"/>
  <c r="DF82" i="7"/>
  <c r="CH48" i="12" s="1"/>
  <c r="DI145" i="18"/>
  <c r="EV145" i="18" s="1"/>
  <c r="CE59" i="11"/>
  <c r="EV149" i="18"/>
  <c r="DN120" i="12"/>
  <c r="CE83" i="11"/>
  <c r="DO237" i="2"/>
  <c r="DO226" i="2" s="1"/>
  <c r="DO12" i="15"/>
  <c r="DO17" i="18" s="1"/>
  <c r="DO15" i="18" s="1"/>
  <c r="CE144" i="11"/>
  <c r="CE154" i="11"/>
  <c r="DF107" i="7"/>
  <c r="DO83" i="15" s="1"/>
  <c r="DF116" i="7"/>
  <c r="CE139" i="11"/>
  <c r="DP154" i="11"/>
  <c r="DP139" i="11"/>
  <c r="DP59" i="11"/>
  <c r="DE107" i="7"/>
  <c r="DE116" i="7"/>
  <c r="DJ15" i="7"/>
  <c r="DS14" i="15" s="1"/>
  <c r="DN34" i="15"/>
  <c r="DO23" i="15"/>
  <c r="EX23" i="15" s="1"/>
  <c r="CZ145" i="7"/>
  <c r="CZ153" i="7"/>
  <c r="EM153" i="7" s="1"/>
  <c r="EM154" i="7" s="1"/>
  <c r="DN38" i="15"/>
  <c r="DN36" i="15" s="1"/>
  <c r="DR167" i="2"/>
  <c r="DS168" i="2"/>
  <c r="DK16" i="7" s="1"/>
  <c r="DR197" i="2"/>
  <c r="DJ36" i="7" s="1"/>
  <c r="EO35" i="7"/>
  <c r="DT239" i="2"/>
  <c r="DL84" i="7" s="1"/>
  <c r="DS229" i="2"/>
  <c r="EO61" i="7"/>
  <c r="DO133" i="11"/>
  <c r="EV113" i="15"/>
  <c r="DK69" i="15"/>
  <c r="DL96" i="15"/>
  <c r="EW96" i="15" s="1"/>
  <c r="EW98" i="15"/>
  <c r="EU133" i="15"/>
  <c r="FH129" i="15"/>
  <c r="FH133" i="15" s="1"/>
  <c r="CG32" i="12"/>
  <c r="CG30" i="12" s="1"/>
  <c r="DN149" i="11"/>
  <c r="EA146" i="11"/>
  <c r="EA149" i="11" s="1"/>
  <c r="CB104" i="12"/>
  <c r="DO83" i="12"/>
  <c r="DP110" i="12"/>
  <c r="DP115" i="12"/>
  <c r="DP125" i="12"/>
  <c r="DP35" i="12"/>
  <c r="EU134" i="18"/>
  <c r="FH119" i="18"/>
  <c r="FH134" i="18" s="1"/>
  <c r="EU136" i="18"/>
  <c r="EU143" i="18" s="1"/>
  <c r="DP85" i="11"/>
  <c r="DO58" i="18"/>
  <c r="EX58" i="18" s="1"/>
  <c r="EO55" i="7"/>
  <c r="DF166" i="18"/>
  <c r="EU166" i="18" s="1"/>
  <c r="EU168" i="18"/>
  <c r="FH168" i="18" s="1"/>
  <c r="F53" i="24" s="1"/>
  <c r="EV92" i="15"/>
  <c r="DO114" i="11"/>
  <c r="DO79" i="12"/>
  <c r="DQ15" i="11"/>
  <c r="DL86" i="15"/>
  <c r="EN110" i="7"/>
  <c r="CE117" i="11"/>
  <c r="DP119" i="11"/>
  <c r="ET233" i="18"/>
  <c r="DP80" i="11"/>
  <c r="DP46" i="12"/>
  <c r="EW56" i="15"/>
  <c r="EV88" i="15"/>
  <c r="CE87" i="12"/>
  <c r="DP87" i="12" s="1"/>
  <c r="DP89" i="12"/>
  <c r="EW54" i="18"/>
  <c r="DK61" i="18"/>
  <c r="CE55" i="12"/>
  <c r="DH87" i="7"/>
  <c r="DP232" i="2"/>
  <c r="DH77" i="7" s="1"/>
  <c r="DQ61" i="15" s="1"/>
  <c r="DG35" i="7"/>
  <c r="CA85" i="12"/>
  <c r="CA102" i="12"/>
  <c r="CH17" i="12"/>
  <c r="DQ17" i="12" s="1"/>
  <c r="DM3" i="18"/>
  <c r="DO38" i="18"/>
  <c r="DF62" i="7"/>
  <c r="EO62" i="7" s="1"/>
  <c r="DO50" i="18"/>
  <c r="EX50" i="18" s="1"/>
  <c r="BZ105" i="12"/>
  <c r="BZ117" i="12"/>
  <c r="DB93" i="7"/>
  <c r="DB94" i="7" s="1"/>
  <c r="CD90" i="11"/>
  <c r="DG134" i="18"/>
  <c r="CI10" i="12"/>
  <c r="CI19" i="12"/>
  <c r="DM271" i="2"/>
  <c r="DM265" i="2"/>
  <c r="DN275" i="2"/>
  <c r="CC69" i="12"/>
  <c r="CC83" i="12"/>
  <c r="CF28" i="12"/>
  <c r="CC101" i="11"/>
  <c r="CC114" i="11"/>
  <c r="DI16" i="7"/>
  <c r="EP16" i="7" s="1"/>
  <c r="EZ16" i="7" s="1"/>
  <c r="EZ36" i="7" s="1"/>
  <c r="DQ167" i="2"/>
  <c r="DQ197" i="2"/>
  <c r="DI758" i="2"/>
  <c r="DJ216" i="18" s="1"/>
  <c r="DJ192" i="18"/>
  <c r="DJ209" i="18"/>
  <c r="DJ70" i="18"/>
  <c r="DJ187" i="18"/>
  <c r="DJ182" i="18"/>
  <c r="DM266" i="2"/>
  <c r="DN276" i="2"/>
  <c r="DB79" i="7"/>
  <c r="DB97" i="7"/>
  <c r="DJ149" i="18"/>
  <c r="DJ145" i="18" s="1"/>
  <c r="DD142" i="7"/>
  <c r="CF89" i="12"/>
  <c r="DM98" i="15"/>
  <c r="CF119" i="11"/>
  <c r="CI54" i="12"/>
  <c r="CI76" i="11"/>
  <c r="DD119" i="7"/>
  <c r="DD110" i="7"/>
  <c r="DF70" i="7"/>
  <c r="DO56" i="15" s="1"/>
  <c r="DN225" i="2"/>
  <c r="DN224" i="2" s="1"/>
  <c r="DP215" i="2"/>
  <c r="DH54" i="7" s="1"/>
  <c r="DH39" i="7"/>
  <c r="CG28" i="12"/>
  <c r="DP212" i="2"/>
  <c r="DH36" i="7"/>
  <c r="DP196" i="2"/>
  <c r="DP209" i="2" s="1"/>
  <c r="CI15" i="11"/>
  <c r="CI34" i="11"/>
  <c r="DD198" i="18"/>
  <c r="DD211" i="18"/>
  <c r="DH15" i="7"/>
  <c r="DQ14" i="15" s="1"/>
  <c r="CJ12" i="12"/>
  <c r="CJ21" i="11"/>
  <c r="CJ16" i="11"/>
  <c r="CJ29" i="11" s="1"/>
  <c r="DL130" i="18"/>
  <c r="EW130" i="18" s="1"/>
  <c r="DC105" i="7"/>
  <c r="EN105" i="7" s="1"/>
  <c r="DL85" i="15"/>
  <c r="EW85" i="15" s="1"/>
  <c r="DP14" i="15"/>
  <c r="DG168" i="18"/>
  <c r="DG115" i="15"/>
  <c r="DG129" i="15"/>
  <c r="BZ134" i="11"/>
  <c r="BZ146" i="11"/>
  <c r="DF141" i="15"/>
  <c r="DF133" i="15"/>
  <c r="CE108" i="11"/>
  <c r="DP108" i="11" s="1"/>
  <c r="DC114" i="7"/>
  <c r="EN114" i="7" s="1"/>
  <c r="CE77" i="12"/>
  <c r="DP77" i="12" s="1"/>
  <c r="DH94" i="15"/>
  <c r="DH138" i="18"/>
  <c r="DH136" i="18" s="1"/>
  <c r="DH143" i="18" s="1"/>
  <c r="DH111" i="15"/>
  <c r="DG39" i="7"/>
  <c r="DO215" i="2"/>
  <c r="DG54" i="7" s="1"/>
  <c r="DM15" i="18"/>
  <c r="BZ129" i="12"/>
  <c r="CD103" i="11"/>
  <c r="CD71" i="12"/>
  <c r="CD69" i="12" s="1"/>
  <c r="CD79" i="12" s="1"/>
  <c r="CH46" i="11"/>
  <c r="CH40" i="11" s="1"/>
  <c r="CH48" i="11" s="1"/>
  <c r="CH41" i="11"/>
  <c r="DQ41" i="11" s="1"/>
  <c r="CH26" i="12"/>
  <c r="CH24" i="12" s="1"/>
  <c r="DQ24" i="12" s="1"/>
  <c r="DF49" i="7"/>
  <c r="DN36" i="18"/>
  <c r="DN34" i="18" s="1"/>
  <c r="DN61" i="18" s="1"/>
  <c r="DN48" i="18"/>
  <c r="DN46" i="18" s="1"/>
  <c r="DM56" i="18"/>
  <c r="DM34" i="15"/>
  <c r="DP233" i="2"/>
  <c r="DH78" i="7" s="1"/>
  <c r="DQ62" i="15" s="1"/>
  <c r="DH88" i="7"/>
  <c r="DQ243" i="2"/>
  <c r="CG98" i="12"/>
  <c r="DE134" i="7"/>
  <c r="CG127" i="11"/>
  <c r="DN161" i="18"/>
  <c r="CK72" i="11"/>
  <c r="DR72" i="11" s="1"/>
  <c r="EB72" i="11" s="1"/>
  <c r="CK50" i="12"/>
  <c r="DR50" i="12" s="1"/>
  <c r="EB50" i="12" s="1"/>
  <c r="DG136" i="18"/>
  <c r="DG143" i="18" s="1"/>
  <c r="DO211" i="2"/>
  <c r="DG50" i="7"/>
  <c r="BY156" i="11"/>
  <c r="BY149" i="11"/>
  <c r="DO148" i="11"/>
  <c r="BZ158" i="11"/>
  <c r="DO158" i="11" s="1"/>
  <c r="DJ77" i="15"/>
  <c r="DJ92" i="15"/>
  <c r="CI75" i="11"/>
  <c r="CI53" i="12"/>
  <c r="DN291" i="2"/>
  <c r="DN298" i="2" s="1"/>
  <c r="DF141" i="7"/>
  <c r="EO141" i="7" s="1"/>
  <c r="DO297" i="2"/>
  <c r="DK79" i="15"/>
  <c r="DK77" i="15" s="1"/>
  <c r="DB112" i="7"/>
  <c r="EV131" i="15"/>
  <c r="DG143" i="15"/>
  <c r="EV143" i="15" s="1"/>
  <c r="CF85" i="11"/>
  <c r="CF50" i="11"/>
  <c r="DK63" i="15"/>
  <c r="DK85" i="18"/>
  <c r="DK71" i="15"/>
  <c r="DQ172" i="2"/>
  <c r="DH19" i="7"/>
  <c r="DP171" i="2"/>
  <c r="CG50" i="11"/>
  <c r="CG48" i="12"/>
  <c r="CG68" i="11"/>
  <c r="DE81" i="7"/>
  <c r="CG67" i="11"/>
  <c r="CE76" i="12"/>
  <c r="DP76" i="12" s="1"/>
  <c r="CE109" i="11"/>
  <c r="DP109" i="11" s="1"/>
  <c r="CB79" i="12"/>
  <c r="CB81" i="12"/>
  <c r="DO81" i="12" s="1"/>
  <c r="DM48" i="18"/>
  <c r="DM36" i="18"/>
  <c r="DO216" i="2"/>
  <c r="DG55" i="7" s="1"/>
  <c r="DG40" i="7"/>
  <c r="DK149" i="18"/>
  <c r="DK170" i="18" s="1"/>
  <c r="CE63" i="12"/>
  <c r="CE57" i="12"/>
  <c r="CE110" i="12"/>
  <c r="CE115" i="12"/>
  <c r="CE35" i="12"/>
  <c r="CE42" i="12"/>
  <c r="DP42" i="12" s="1"/>
  <c r="CE125" i="12"/>
  <c r="DJ101" i="18"/>
  <c r="DE151" i="7"/>
  <c r="DE65" i="7"/>
  <c r="DE148" i="7"/>
  <c r="DP201" i="2"/>
  <c r="DH8" i="7"/>
  <c r="DO32" i="15"/>
  <c r="CF57" i="12"/>
  <c r="CF42" i="12"/>
  <c r="CF35" i="12"/>
  <c r="CF125" i="12"/>
  <c r="CF110" i="12"/>
  <c r="CF115" i="12"/>
  <c r="DI88" i="15"/>
  <c r="DI121" i="18"/>
  <c r="DI119" i="18" s="1"/>
  <c r="DI134" i="18" s="1"/>
  <c r="DI90" i="15"/>
  <c r="EV90" i="15" s="1"/>
  <c r="DK182" i="18"/>
  <c r="DJ758" i="2"/>
  <c r="DK216" i="18" s="1"/>
  <c r="DK70" i="18"/>
  <c r="DK187" i="18"/>
  <c r="DK192" i="18"/>
  <c r="DK209" i="18"/>
  <c r="CA115" i="11"/>
  <c r="CA131" i="11"/>
  <c r="DM36" i="15"/>
  <c r="DM65" i="15" s="1"/>
  <c r="DM67" i="15"/>
  <c r="DI7" i="7"/>
  <c r="EP7" i="7" s="1"/>
  <c r="EZ7" i="7" s="1"/>
  <c r="DR155" i="2"/>
  <c r="DJ7" i="7" s="1"/>
  <c r="DQ156" i="2"/>
  <c r="DQ154" i="2" s="1"/>
  <c r="DQ242" i="2" s="1"/>
  <c r="CB110" i="11"/>
  <c r="CB112" i="11"/>
  <c r="DO112" i="11" s="1"/>
  <c r="CE62" i="11"/>
  <c r="CE94" i="11"/>
  <c r="CE65" i="12"/>
  <c r="DD65" i="7"/>
  <c r="DD148" i="7"/>
  <c r="DD151" i="7"/>
  <c r="CI29" i="11"/>
  <c r="DF58" i="7"/>
  <c r="EO58" i="7" s="1"/>
  <c r="DD118" i="7"/>
  <c r="DL261" i="2"/>
  <c r="DD109" i="7"/>
  <c r="DK108" i="18"/>
  <c r="DK107" i="18"/>
  <c r="CF44" i="12" l="1"/>
  <c r="CF63" i="12" s="1"/>
  <c r="EL162" i="7"/>
  <c r="EY161" i="7"/>
  <c r="EY162" i="7" s="1"/>
  <c r="CF65" i="12"/>
  <c r="DL73" i="18"/>
  <c r="DL63" i="18"/>
  <c r="EW63" i="18" s="1"/>
  <c r="CF94" i="11"/>
  <c r="DP94" i="11"/>
  <c r="DN130" i="12"/>
  <c r="EA127" i="12"/>
  <c r="EA130" i="12" s="1"/>
  <c r="CF62" i="11"/>
  <c r="CF99" i="11"/>
  <c r="F40" i="24"/>
  <c r="DJ99" i="18"/>
  <c r="DJ97" i="18"/>
  <c r="CD92" i="11"/>
  <c r="DJ93" i="18"/>
  <c r="DD92" i="7"/>
  <c r="CX162" i="7"/>
  <c r="DP99" i="11"/>
  <c r="DJ96" i="18"/>
  <c r="DH236" i="18"/>
  <c r="DP44" i="12"/>
  <c r="DM51" i="15"/>
  <c r="DJ98" i="18"/>
  <c r="DJ92" i="18"/>
  <c r="DD68" i="7"/>
  <c r="DH240" i="18"/>
  <c r="DG794" i="2" s="1"/>
  <c r="DJ91" i="18"/>
  <c r="DG235" i="18"/>
  <c r="CD55" i="12"/>
  <c r="CD63" i="12"/>
  <c r="DJ95" i="18"/>
  <c r="CD81" i="11"/>
  <c r="DP62" i="11"/>
  <c r="DI90" i="18"/>
  <c r="EV90" i="18" s="1"/>
  <c r="DM73" i="15"/>
  <c r="DP65" i="12"/>
  <c r="DH239" i="18"/>
  <c r="DG791" i="2" s="1"/>
  <c r="DJ110" i="18"/>
  <c r="EN99" i="7"/>
  <c r="DE212" i="18"/>
  <c r="DE232" i="18"/>
  <c r="DE233" i="18" s="1"/>
  <c r="DC68" i="7"/>
  <c r="EN68" i="7" s="1"/>
  <c r="DC92" i="7"/>
  <c r="EN92" i="7" s="1"/>
  <c r="DL51" i="15"/>
  <c r="EW51" i="15" s="1"/>
  <c r="DL73" i="15"/>
  <c r="EW73" i="15" s="1"/>
  <c r="DA132" i="7"/>
  <c r="DA144" i="7"/>
  <c r="CL29" i="11"/>
  <c r="CE84" i="11"/>
  <c r="DP83" i="11"/>
  <c r="EP73" i="7"/>
  <c r="EZ73" i="7" s="1"/>
  <c r="DL129" i="18"/>
  <c r="EW84" i="15"/>
  <c r="DM225" i="2"/>
  <c r="DN264" i="2"/>
  <c r="DN234" i="2"/>
  <c r="DK73" i="7"/>
  <c r="DT58" i="15" s="1"/>
  <c r="DT57" i="15"/>
  <c r="CF107" i="11"/>
  <c r="CF75" i="12"/>
  <c r="DM129" i="18"/>
  <c r="DS57" i="15"/>
  <c r="EQ72" i="7"/>
  <c r="DE108" i="7"/>
  <c r="DN84" i="15" s="1"/>
  <c r="DN129" i="18" s="1"/>
  <c r="DE117" i="7"/>
  <c r="DL103" i="18"/>
  <c r="DL101" i="18" s="1"/>
  <c r="EW101" i="18" s="1"/>
  <c r="DL69" i="15"/>
  <c r="EW69" i="15"/>
  <c r="DS12" i="15"/>
  <c r="DS23" i="15"/>
  <c r="DN65" i="15"/>
  <c r="DO21" i="15"/>
  <c r="EX21" i="15" s="1"/>
  <c r="EV215" i="18"/>
  <c r="DG82" i="7"/>
  <c r="CI67" i="11" s="1"/>
  <c r="DO236" i="2"/>
  <c r="EW127" i="15"/>
  <c r="EW139" i="15"/>
  <c r="EW42" i="15"/>
  <c r="EW121" i="15"/>
  <c r="CZ161" i="7"/>
  <c r="CZ162" i="7" s="1"/>
  <c r="DI164" i="18"/>
  <c r="EO82" i="7"/>
  <c r="DF81" i="7"/>
  <c r="EO81" i="7" s="1"/>
  <c r="CH67" i="11"/>
  <c r="DQ67" i="11" s="1"/>
  <c r="EQ84" i="7"/>
  <c r="CN72" i="11"/>
  <c r="DS72" i="11" s="1"/>
  <c r="CN50" i="12"/>
  <c r="DS50" i="12" s="1"/>
  <c r="CL10" i="12"/>
  <c r="CL19" i="12"/>
  <c r="CH68" i="11"/>
  <c r="DQ68" i="11" s="1"/>
  <c r="CL34" i="11"/>
  <c r="CL15" i="11"/>
  <c r="DK15" i="7"/>
  <c r="DT14" i="15" s="1"/>
  <c r="CM12" i="12"/>
  <c r="CM16" i="11"/>
  <c r="CM29" i="11" s="1"/>
  <c r="CM21" i="11"/>
  <c r="EX12" i="15"/>
  <c r="EX15" i="18"/>
  <c r="EX17" i="18"/>
  <c r="CZ154" i="7"/>
  <c r="EO116" i="7"/>
  <c r="CH74" i="12"/>
  <c r="CH106" i="11"/>
  <c r="DO128" i="18"/>
  <c r="DR172" i="2"/>
  <c r="DJ19" i="7" s="1"/>
  <c r="CG74" i="12"/>
  <c r="CG106" i="11"/>
  <c r="DG116" i="7"/>
  <c r="DG107" i="7"/>
  <c r="DN83" i="15"/>
  <c r="DN128" i="18" s="1"/>
  <c r="EX128" i="18" s="1"/>
  <c r="EO107" i="7"/>
  <c r="DJ35" i="7"/>
  <c r="CE100" i="12"/>
  <c r="DL147" i="18"/>
  <c r="EW147" i="18" s="1"/>
  <c r="DL109" i="15"/>
  <c r="DR243" i="2"/>
  <c r="DJ88" i="7" s="1"/>
  <c r="DU239" i="2"/>
  <c r="DM84" i="7" s="1"/>
  <c r="DT229" i="2"/>
  <c r="DR196" i="2"/>
  <c r="DR209" i="2" s="1"/>
  <c r="DR212" i="2"/>
  <c r="DT168" i="2"/>
  <c r="DL16" i="7" s="1"/>
  <c r="DS167" i="2"/>
  <c r="DS197" i="2"/>
  <c r="DK36" i="7" s="1"/>
  <c r="DF197" i="18"/>
  <c r="EU197" i="18" s="1"/>
  <c r="EU198" i="18" s="1"/>
  <c r="EV119" i="18"/>
  <c r="EV134" i="18" s="1"/>
  <c r="EV94" i="15"/>
  <c r="DO85" i="12"/>
  <c r="DO115" i="11"/>
  <c r="CE61" i="12"/>
  <c r="DP57" i="12"/>
  <c r="FH136" i="18"/>
  <c r="FH143" i="18" s="1"/>
  <c r="DQ28" i="12"/>
  <c r="DO7" i="18"/>
  <c r="EX38" i="18"/>
  <c r="EV121" i="18"/>
  <c r="CE129" i="11"/>
  <c r="DP117" i="11"/>
  <c r="EU173" i="18"/>
  <c r="FH166" i="18"/>
  <c r="DO30" i="15"/>
  <c r="EX30" i="15" s="1"/>
  <c r="EX32" i="15"/>
  <c r="DK145" i="18"/>
  <c r="DK164" i="18" s="1"/>
  <c r="EN112" i="7"/>
  <c r="DF173" i="18"/>
  <c r="DK83" i="18"/>
  <c r="DF145" i="15"/>
  <c r="EU141" i="15"/>
  <c r="EW61" i="18"/>
  <c r="DF52" i="7"/>
  <c r="EO49" i="7"/>
  <c r="EV164" i="18"/>
  <c r="DQ40" i="11"/>
  <c r="DQ48" i="11" s="1"/>
  <c r="EO70" i="7"/>
  <c r="CG85" i="11"/>
  <c r="DL132" i="18"/>
  <c r="EW132" i="18" s="1"/>
  <c r="EW86" i="15"/>
  <c r="EW109" i="15"/>
  <c r="DQ48" i="12"/>
  <c r="BY159" i="11"/>
  <c r="DN156" i="11"/>
  <c r="DP100" i="12"/>
  <c r="DQ46" i="11"/>
  <c r="DQ26" i="12"/>
  <c r="CB119" i="12"/>
  <c r="DO104" i="12"/>
  <c r="DO38" i="15"/>
  <c r="EX38" i="15" s="1"/>
  <c r="CH28" i="12"/>
  <c r="DK92" i="15"/>
  <c r="DK113" i="15" s="1"/>
  <c r="DK131" i="15" s="1"/>
  <c r="DK143" i="15" s="1"/>
  <c r="DI87" i="7"/>
  <c r="EP87" i="7" s="1"/>
  <c r="EZ87" i="7" s="1"/>
  <c r="DQ232" i="2"/>
  <c r="DI77" i="7" s="1"/>
  <c r="DR61" i="15" s="1"/>
  <c r="CI46" i="11"/>
  <c r="DG49" i="7"/>
  <c r="CI26" i="12"/>
  <c r="CI32" i="12" s="1"/>
  <c r="CI41" i="11"/>
  <c r="DN53" i="15"/>
  <c r="DE69" i="7"/>
  <c r="DE99" i="7"/>
  <c r="DO291" i="2"/>
  <c r="DO298" i="2" s="1"/>
  <c r="DP297" i="2"/>
  <c r="DG141" i="7"/>
  <c r="DG166" i="18"/>
  <c r="DN65" i="18"/>
  <c r="DN42" i="15"/>
  <c r="DN127" i="15"/>
  <c r="DN139" i="15"/>
  <c r="DN121" i="15"/>
  <c r="DB98" i="7"/>
  <c r="DB129" i="7"/>
  <c r="CH32" i="12"/>
  <c r="DQ32" i="12" s="1"/>
  <c r="DP216" i="2"/>
  <c r="DH55" i="7" s="1"/>
  <c r="DQ58" i="18" s="1"/>
  <c r="DH40" i="7"/>
  <c r="DI19" i="7"/>
  <c r="EP19" i="7" s="1"/>
  <c r="EZ19" i="7" s="1"/>
  <c r="DQ171" i="2"/>
  <c r="DM130" i="18"/>
  <c r="DM85" i="15"/>
  <c r="DD105" i="7"/>
  <c r="DI88" i="7"/>
  <c r="EP88" i="7" s="1"/>
  <c r="EZ88" i="7" s="1"/>
  <c r="DQ233" i="2"/>
  <c r="DI78" i="7" s="1"/>
  <c r="DR62" i="15" s="1"/>
  <c r="DQ200" i="2"/>
  <c r="CF139" i="11"/>
  <c r="CF154" i="11"/>
  <c r="CF83" i="11"/>
  <c r="CF59" i="11"/>
  <c r="CF144" i="11"/>
  <c r="DM34" i="18"/>
  <c r="CH98" i="12"/>
  <c r="DQ98" i="12" s="1"/>
  <c r="CH127" i="11"/>
  <c r="DQ127" i="11" s="1"/>
  <c r="DO161" i="18"/>
  <c r="EX161" i="18" s="1"/>
  <c r="DF134" i="7"/>
  <c r="EO134" i="7" s="1"/>
  <c r="CK21" i="11"/>
  <c r="DR21" i="11" s="1"/>
  <c r="EB21" i="11" s="1"/>
  <c r="DI15" i="7"/>
  <c r="DR14" i="15" s="1"/>
  <c r="EY14" i="15" s="1"/>
  <c r="FI14" i="15" s="1"/>
  <c r="CK12" i="12"/>
  <c r="DR12" i="12" s="1"/>
  <c r="EB12" i="12" s="1"/>
  <c r="CK16" i="11"/>
  <c r="DK112" i="18"/>
  <c r="DK75" i="15"/>
  <c r="DK90" i="15"/>
  <c r="CH56" i="11"/>
  <c r="DQ56" i="11" s="1"/>
  <c r="CH51" i="11"/>
  <c r="DQ51" i="11" s="1"/>
  <c r="DF57" i="7"/>
  <c r="EO57" i="7" s="1"/>
  <c r="EO151" i="7" s="1"/>
  <c r="CG63" i="11"/>
  <c r="CG46" i="12"/>
  <c r="CG80" i="11"/>
  <c r="DM46" i="18"/>
  <c r="CE71" i="12"/>
  <c r="CE69" i="12" s="1"/>
  <c r="CE79" i="12" s="1"/>
  <c r="CE103" i="11"/>
  <c r="DP103" i="11" s="1"/>
  <c r="DP12" i="15"/>
  <c r="DP23" i="15"/>
  <c r="DN67" i="15"/>
  <c r="CC133" i="11"/>
  <c r="CA105" i="12"/>
  <c r="CA117" i="12"/>
  <c r="DH61" i="7"/>
  <c r="CF117" i="11"/>
  <c r="DO276" i="2"/>
  <c r="DN266" i="2"/>
  <c r="CC110" i="11"/>
  <c r="CC112" i="11"/>
  <c r="BZ127" i="12"/>
  <c r="BZ120" i="12"/>
  <c r="DI8" i="7"/>
  <c r="EP8" i="7" s="1"/>
  <c r="EZ8" i="7" s="1"/>
  <c r="DQ201" i="2"/>
  <c r="CG115" i="12"/>
  <c r="CG42" i="12"/>
  <c r="CG57" i="12"/>
  <c r="CG61" i="12" s="1"/>
  <c r="CG110" i="12"/>
  <c r="CG125" i="12"/>
  <c r="CG35" i="12"/>
  <c r="DM54" i="18"/>
  <c r="CF61" i="12"/>
  <c r="DL79" i="15"/>
  <c r="DL77" i="15" s="1"/>
  <c r="EW77" i="15" s="1"/>
  <c r="DC112" i="7"/>
  <c r="DM96" i="15"/>
  <c r="DE119" i="7"/>
  <c r="DE110" i="7"/>
  <c r="DN86" i="15" s="1"/>
  <c r="DN132" i="18" s="1"/>
  <c r="DN271" i="2"/>
  <c r="DN265" i="2"/>
  <c r="DO275" i="2"/>
  <c r="DJ756" i="2"/>
  <c r="DK215" i="18"/>
  <c r="DK214" i="18" s="1"/>
  <c r="DM65" i="18"/>
  <c r="DM42" i="15"/>
  <c r="DM139" i="15"/>
  <c r="DM121" i="15"/>
  <c r="DM127" i="15"/>
  <c r="CE81" i="11"/>
  <c r="CE92" i="11"/>
  <c r="DI138" i="18"/>
  <c r="DI136" i="18" s="1"/>
  <c r="DI143" i="18" s="1"/>
  <c r="DI94" i="15"/>
  <c r="DI111" i="15"/>
  <c r="EV111" i="15" s="1"/>
  <c r="EV115" i="15" s="1"/>
  <c r="CB85" i="12"/>
  <c r="CB102" i="12"/>
  <c r="DO102" i="12" s="1"/>
  <c r="CG83" i="11"/>
  <c r="CG84" i="11" s="1"/>
  <c r="CG139" i="11"/>
  <c r="CG59" i="11"/>
  <c r="CG154" i="11"/>
  <c r="CG144" i="11"/>
  <c r="CG59" i="12"/>
  <c r="DM261" i="2"/>
  <c r="DE109" i="7"/>
  <c r="DE118" i="7"/>
  <c r="DG58" i="7"/>
  <c r="CB115" i="11"/>
  <c r="CB131" i="11"/>
  <c r="DO131" i="11" s="1"/>
  <c r="CE67" i="12"/>
  <c r="DN98" i="15"/>
  <c r="DN96" i="15" s="1"/>
  <c r="CG89" i="12"/>
  <c r="CG87" i="12" s="1"/>
  <c r="CG100" i="12" s="1"/>
  <c r="CG119" i="11"/>
  <c r="CG117" i="11" s="1"/>
  <c r="CG129" i="11" s="1"/>
  <c r="DE142" i="7"/>
  <c r="DP32" i="15"/>
  <c r="BZ149" i="11"/>
  <c r="BZ156" i="11"/>
  <c r="DO53" i="15"/>
  <c r="DO51" i="15" s="1"/>
  <c r="DF69" i="7"/>
  <c r="DF68" i="7" s="1"/>
  <c r="DF99" i="7"/>
  <c r="CF87" i="12"/>
  <c r="DG47" i="7"/>
  <c r="DG61" i="7"/>
  <c r="CJ15" i="11"/>
  <c r="CJ28" i="11" s="1"/>
  <c r="CJ34" i="11"/>
  <c r="CI28" i="11"/>
  <c r="DM86" i="15"/>
  <c r="DI756" i="2"/>
  <c r="DJ215" i="18"/>
  <c r="CI17" i="12"/>
  <c r="CJ10" i="12"/>
  <c r="CJ19" i="12"/>
  <c r="CF76" i="12"/>
  <c r="CF109" i="11"/>
  <c r="DG70" i="7"/>
  <c r="DP56" i="15" s="1"/>
  <c r="DO225" i="2"/>
  <c r="DO224" i="2" s="1"/>
  <c r="DJ113" i="15"/>
  <c r="DQ12" i="15"/>
  <c r="DQ17" i="18" s="1"/>
  <c r="DQ15" i="18" s="1"/>
  <c r="DQ23" i="15"/>
  <c r="DH35" i="7"/>
  <c r="DH47" i="7" s="1"/>
  <c r="DJ170" i="18"/>
  <c r="CD83" i="12"/>
  <c r="CD104" i="12" s="1"/>
  <c r="CD119" i="12" s="1"/>
  <c r="CD129" i="12" s="1"/>
  <c r="CC104" i="12"/>
  <c r="DG133" i="15"/>
  <c r="DG141" i="15"/>
  <c r="DS155" i="2"/>
  <c r="DR156" i="2"/>
  <c r="DJ8" i="7" s="1"/>
  <c r="DJ108" i="18"/>
  <c r="DJ107" i="18"/>
  <c r="DG62" i="7"/>
  <c r="DP38" i="18"/>
  <c r="DP50" i="18"/>
  <c r="DJ121" i="18"/>
  <c r="DJ88" i="15"/>
  <c r="DJ90" i="15"/>
  <c r="DH168" i="18"/>
  <c r="DH166" i="18" s="1"/>
  <c r="DH115" i="15"/>
  <c r="DH129" i="15"/>
  <c r="DH50" i="7"/>
  <c r="DH58" i="7" s="1"/>
  <c r="DP211" i="2"/>
  <c r="CF108" i="11"/>
  <c r="DD114" i="7"/>
  <c r="CF77" i="12"/>
  <c r="CA134" i="11"/>
  <c r="CA146" i="11"/>
  <c r="DP58" i="18"/>
  <c r="DK121" i="18"/>
  <c r="DK119" i="18" s="1"/>
  <c r="DK134" i="18" s="1"/>
  <c r="DK88" i="15"/>
  <c r="CJ76" i="11"/>
  <c r="CJ54" i="12"/>
  <c r="CD101" i="11"/>
  <c r="CD110" i="11" s="1"/>
  <c r="CD114" i="11"/>
  <c r="CD133" i="11" s="1"/>
  <c r="CD148" i="11" s="1"/>
  <c r="CD158" i="11" s="1"/>
  <c r="DD232" i="18"/>
  <c r="DD212" i="18"/>
  <c r="DP220" i="2"/>
  <c r="DP219" i="2" s="1"/>
  <c r="DP263" i="2" s="1"/>
  <c r="DJ164" i="18"/>
  <c r="DQ212" i="2"/>
  <c r="DQ196" i="2"/>
  <c r="DQ209" i="2" s="1"/>
  <c r="DI36" i="7"/>
  <c r="EP36" i="7" s="1"/>
  <c r="CC79" i="12"/>
  <c r="CC81" i="12"/>
  <c r="CJ75" i="11"/>
  <c r="CJ53" i="12"/>
  <c r="DL187" i="18" l="1"/>
  <c r="DL209" i="18"/>
  <c r="DL182" i="18"/>
  <c r="CF67" i="12"/>
  <c r="DL70" i="18"/>
  <c r="DL192" i="18"/>
  <c r="DK758" i="2"/>
  <c r="DL216" i="18" s="1"/>
  <c r="EW216" i="18" s="1"/>
  <c r="CF55" i="12"/>
  <c r="EW182" i="18"/>
  <c r="EW192" i="18"/>
  <c r="EW70" i="18"/>
  <c r="EW187" i="18"/>
  <c r="EW209" i="18"/>
  <c r="CF90" i="11"/>
  <c r="DD93" i="7"/>
  <c r="DD94" i="7" s="1"/>
  <c r="DM85" i="18"/>
  <c r="DM63" i="15"/>
  <c r="CF92" i="11"/>
  <c r="CF81" i="11"/>
  <c r="DP63" i="12"/>
  <c r="DP67" i="12" s="1"/>
  <c r="DP81" i="11"/>
  <c r="DP55" i="12"/>
  <c r="DH235" i="18"/>
  <c r="DM71" i="15"/>
  <c r="DP92" i="11"/>
  <c r="CD93" i="11"/>
  <c r="DD79" i="7"/>
  <c r="DJ116" i="18"/>
  <c r="DJ117" i="18"/>
  <c r="DI239" i="18"/>
  <c r="DI240" i="18"/>
  <c r="DI236" i="18"/>
  <c r="DJ90" i="18"/>
  <c r="CD81" i="12"/>
  <c r="CD67" i="12"/>
  <c r="DD97" i="7"/>
  <c r="DK97" i="18"/>
  <c r="EN93" i="7"/>
  <c r="EN94" i="7" s="1"/>
  <c r="EW63" i="15"/>
  <c r="EN79" i="7"/>
  <c r="CE90" i="11"/>
  <c r="DP90" i="11" s="1"/>
  <c r="DC93" i="7"/>
  <c r="DC94" i="7" s="1"/>
  <c r="DL85" i="18"/>
  <c r="DL83" i="18" s="1"/>
  <c r="DL99" i="18" s="1"/>
  <c r="DL63" i="15"/>
  <c r="DL71" i="15"/>
  <c r="EW71" i="15" s="1"/>
  <c r="DC79" i="7"/>
  <c r="DC97" i="7"/>
  <c r="EN97" i="7" s="1"/>
  <c r="DA153" i="7"/>
  <c r="DA145" i="7"/>
  <c r="DP84" i="11"/>
  <c r="CL28" i="11"/>
  <c r="CF84" i="11"/>
  <c r="EW103" i="18"/>
  <c r="DG81" i="7"/>
  <c r="CI68" i="11"/>
  <c r="CI48" i="12"/>
  <c r="DM224" i="2"/>
  <c r="DM234" i="2" s="1"/>
  <c r="DO264" i="2"/>
  <c r="EW129" i="18"/>
  <c r="DS17" i="18"/>
  <c r="DS15" i="18" s="1"/>
  <c r="DO36" i="18"/>
  <c r="DO34" i="18" s="1"/>
  <c r="EX34" i="18" s="1"/>
  <c r="DO234" i="2"/>
  <c r="DL73" i="7"/>
  <c r="DU58" i="15" s="1"/>
  <c r="EZ58" i="15" s="1"/>
  <c r="DU57" i="15"/>
  <c r="EZ57" i="15" s="1"/>
  <c r="CG75" i="12"/>
  <c r="CG107" i="11"/>
  <c r="DF108" i="7"/>
  <c r="DF117" i="7"/>
  <c r="DO48" i="18"/>
  <c r="DO46" i="18" s="1"/>
  <c r="EX46" i="18" s="1"/>
  <c r="DL107" i="18"/>
  <c r="DL108" i="18"/>
  <c r="F43" i="24"/>
  <c r="FH173" i="18"/>
  <c r="F51" i="24"/>
  <c r="DS21" i="15"/>
  <c r="DT12" i="15"/>
  <c r="DT17" i="18" s="1"/>
  <c r="DT15" i="18" s="1"/>
  <c r="DT23" i="15"/>
  <c r="EM161" i="7"/>
  <c r="EM162" i="7" s="1"/>
  <c r="CH80" i="11"/>
  <c r="DQ80" i="11" s="1"/>
  <c r="CH46" i="12"/>
  <c r="CH44" i="12" s="1"/>
  <c r="DR200" i="2"/>
  <c r="DJ39" i="7" s="1"/>
  <c r="CH63" i="11"/>
  <c r="CH62" i="11" s="1"/>
  <c r="EY62" i="15"/>
  <c r="FI62" i="15" s="1"/>
  <c r="CN12" i="12"/>
  <c r="DS12" i="12" s="1"/>
  <c r="CN21" i="11"/>
  <c r="DS21" i="11" s="1"/>
  <c r="CN16" i="11"/>
  <c r="CN29" i="11" s="1"/>
  <c r="CL17" i="12"/>
  <c r="CM15" i="11"/>
  <c r="CM28" i="11" s="1"/>
  <c r="CM34" i="11"/>
  <c r="CO72" i="11"/>
  <c r="CO50" i="12"/>
  <c r="CL76" i="11"/>
  <c r="CL54" i="12"/>
  <c r="CM10" i="12"/>
  <c r="CM19" i="12"/>
  <c r="EX83" i="15"/>
  <c r="DR171" i="2"/>
  <c r="DF198" i="18"/>
  <c r="DL149" i="18"/>
  <c r="DL170" i="18" s="1"/>
  <c r="EW170" i="18" s="1"/>
  <c r="DS172" i="2"/>
  <c r="DK19" i="7" s="1"/>
  <c r="DK7" i="7"/>
  <c r="DK35" i="7"/>
  <c r="DK47" i="7" s="1"/>
  <c r="DP237" i="2"/>
  <c r="DH82" i="7" s="1"/>
  <c r="DL15" i="7"/>
  <c r="DU14" i="15" s="1"/>
  <c r="EZ14" i="15" s="1"/>
  <c r="EQ16" i="7"/>
  <c r="DR211" i="2"/>
  <c r="DJ50" i="7"/>
  <c r="DJ47" i="7"/>
  <c r="DQ106" i="11"/>
  <c r="DQ74" i="12"/>
  <c r="DP83" i="15"/>
  <c r="CI74" i="12"/>
  <c r="CI106" i="11"/>
  <c r="EO65" i="7"/>
  <c r="EO148" i="7"/>
  <c r="FH197" i="18"/>
  <c r="DS196" i="2"/>
  <c r="DS209" i="2" s="1"/>
  <c r="DS212" i="2"/>
  <c r="DT167" i="2"/>
  <c r="DU168" i="2"/>
  <c r="DM16" i="7" s="1"/>
  <c r="DT197" i="2"/>
  <c r="DL36" i="7" s="1"/>
  <c r="EP78" i="7"/>
  <c r="EZ78" i="7" s="1"/>
  <c r="DR220" i="2"/>
  <c r="DR219" i="2" s="1"/>
  <c r="DR263" i="2" s="1"/>
  <c r="DR154" i="2"/>
  <c r="DR242" i="2" s="1"/>
  <c r="DJ87" i="7" s="1"/>
  <c r="DR201" i="2"/>
  <c r="DV239" i="2"/>
  <c r="DN84" i="7" s="1"/>
  <c r="DU229" i="2"/>
  <c r="DS243" i="2"/>
  <c r="DK88" i="7" s="1"/>
  <c r="DR233" i="2"/>
  <c r="DJ78" i="7" s="1"/>
  <c r="DS62" i="15" s="1"/>
  <c r="DF211" i="18"/>
  <c r="EU211" i="18" s="1"/>
  <c r="EU212" i="18" s="1"/>
  <c r="DK92" i="18"/>
  <c r="DK95" i="18"/>
  <c r="DK91" i="18"/>
  <c r="DK98" i="18"/>
  <c r="DK93" i="18"/>
  <c r="DP69" i="12"/>
  <c r="DP79" i="12" s="1"/>
  <c r="DK96" i="18"/>
  <c r="EP15" i="7"/>
  <c r="EZ15" i="7" s="1"/>
  <c r="EZ35" i="7" s="1"/>
  <c r="EO142" i="7"/>
  <c r="DO134" i="11"/>
  <c r="EU145" i="15"/>
  <c r="FH141" i="15"/>
  <c r="FH145" i="15" s="1"/>
  <c r="DP129" i="11"/>
  <c r="DO67" i="15"/>
  <c r="EX67" i="15" s="1"/>
  <c r="CG99" i="11"/>
  <c r="EO52" i="7"/>
  <c r="EV136" i="18"/>
  <c r="EV143" i="18" s="1"/>
  <c r="DN159" i="11"/>
  <c r="EA156" i="11"/>
  <c r="EA159" i="11" s="1"/>
  <c r="EO99" i="7"/>
  <c r="EW79" i="15"/>
  <c r="EY61" i="15"/>
  <c r="FI61" i="15" s="1"/>
  <c r="EP77" i="7"/>
  <c r="EZ77" i="7" s="1"/>
  <c r="DK99" i="18"/>
  <c r="DK94" i="18"/>
  <c r="DP61" i="12"/>
  <c r="EX34" i="15"/>
  <c r="DO34" i="15"/>
  <c r="DO105" i="12"/>
  <c r="EX53" i="15"/>
  <c r="DP71" i="12"/>
  <c r="EV138" i="18"/>
  <c r="DN103" i="18"/>
  <c r="DN101" i="18" s="1"/>
  <c r="EX56" i="15"/>
  <c r="DQ85" i="11"/>
  <c r="DK110" i="18"/>
  <c r="DK116" i="18" s="1"/>
  <c r="CB129" i="12"/>
  <c r="DO119" i="12"/>
  <c r="EW88" i="15"/>
  <c r="DO56" i="18"/>
  <c r="CK29" i="11"/>
  <c r="DR16" i="11"/>
  <c r="EB16" i="11" s="1"/>
  <c r="EO69" i="7"/>
  <c r="DO3" i="18"/>
  <c r="EX3" i="18" s="1"/>
  <c r="EX7" i="18"/>
  <c r="DO36" i="15"/>
  <c r="DQ32" i="15"/>
  <c r="DQ30" i="15" s="1"/>
  <c r="DQ56" i="18" s="1"/>
  <c r="DQ54" i="18" s="1"/>
  <c r="DL92" i="15"/>
  <c r="CJ56" i="11"/>
  <c r="DH57" i="7"/>
  <c r="CJ51" i="11"/>
  <c r="DJ214" i="18"/>
  <c r="CB105" i="12"/>
  <c r="CB117" i="12"/>
  <c r="DO117" i="12" s="1"/>
  <c r="BZ130" i="12"/>
  <c r="DF97" i="7"/>
  <c r="DF151" i="7"/>
  <c r="DF148" i="7"/>
  <c r="DF65" i="7"/>
  <c r="DF92" i="7"/>
  <c r="DM132" i="18"/>
  <c r="CG76" i="12"/>
  <c r="CG109" i="11"/>
  <c r="DF110" i="7"/>
  <c r="DF119" i="7"/>
  <c r="EO119" i="7" s="1"/>
  <c r="DM79" i="15"/>
  <c r="DD112" i="7"/>
  <c r="DD233" i="18"/>
  <c r="DP30" i="15"/>
  <c r="DI168" i="18"/>
  <c r="DI166" i="18" s="1"/>
  <c r="EV166" i="18" s="1"/>
  <c r="DI115" i="15"/>
  <c r="DI129" i="15"/>
  <c r="EV129" i="15" s="1"/>
  <c r="DM109" i="15"/>
  <c r="DM147" i="18"/>
  <c r="DO266" i="2"/>
  <c r="DP276" i="2"/>
  <c r="DQ215" i="2"/>
  <c r="DI54" i="7" s="1"/>
  <c r="EP54" i="7" s="1"/>
  <c r="EZ54" i="7" s="1"/>
  <c r="DI39" i="7"/>
  <c r="EP39" i="7" s="1"/>
  <c r="EZ39" i="7" s="1"/>
  <c r="CA156" i="11"/>
  <c r="CA159" i="11" s="1"/>
  <c r="CA149" i="11"/>
  <c r="CC115" i="11"/>
  <c r="CC131" i="11"/>
  <c r="DJ119" i="18"/>
  <c r="DF79" i="7"/>
  <c r="CD112" i="11"/>
  <c r="CF71" i="12"/>
  <c r="CF103" i="11"/>
  <c r="DP7" i="18"/>
  <c r="DG145" i="15"/>
  <c r="DG69" i="7"/>
  <c r="DP53" i="15"/>
  <c r="CJ17" i="12"/>
  <c r="CF129" i="11"/>
  <c r="CH59" i="12"/>
  <c r="DQ59" i="12" s="1"/>
  <c r="CH30" i="12"/>
  <c r="DQ30" i="12" s="1"/>
  <c r="DH173" i="18"/>
  <c r="DH197" i="18"/>
  <c r="CE101" i="11"/>
  <c r="CE110" i="11" s="1"/>
  <c r="CE114" i="11"/>
  <c r="CE133" i="11" s="1"/>
  <c r="CE148" i="11" s="1"/>
  <c r="CE158" i="11" s="1"/>
  <c r="DI35" i="7"/>
  <c r="DI47" i="7" s="1"/>
  <c r="EP47" i="7" s="1"/>
  <c r="EZ47" i="7" s="1"/>
  <c r="DI50" i="7"/>
  <c r="DI58" i="7" s="1"/>
  <c r="EP58" i="7" s="1"/>
  <c r="DQ211" i="2"/>
  <c r="CF100" i="12"/>
  <c r="DQ220" i="2"/>
  <c r="DQ219" i="2" s="1"/>
  <c r="DQ263" i="2" s="1"/>
  <c r="DT155" i="2"/>
  <c r="DL7" i="7" s="1"/>
  <c r="DS156" i="2"/>
  <c r="DN109" i="15"/>
  <c r="DN147" i="18"/>
  <c r="DQ21" i="15"/>
  <c r="DO85" i="18"/>
  <c r="DO83" i="18" s="1"/>
  <c r="CE81" i="12"/>
  <c r="CI56" i="11"/>
  <c r="DG57" i="7"/>
  <c r="CI51" i="11"/>
  <c r="DO271" i="2"/>
  <c r="DO265" i="2"/>
  <c r="DP275" i="2"/>
  <c r="DO73" i="15"/>
  <c r="CK10" i="12"/>
  <c r="DR10" i="12" s="1"/>
  <c r="EB10" i="12" s="1"/>
  <c r="CK19" i="12"/>
  <c r="DR19" i="12" s="1"/>
  <c r="EB19" i="12" s="1"/>
  <c r="DE68" i="7"/>
  <c r="EO68" i="7" s="1"/>
  <c r="DE92" i="7"/>
  <c r="DQ216" i="2"/>
  <c r="DI55" i="7" s="1"/>
  <c r="DR58" i="18" s="1"/>
  <c r="EY58" i="18" s="1"/>
  <c r="FI58" i="18" s="1"/>
  <c r="DI40" i="7"/>
  <c r="EP40" i="7" s="1"/>
  <c r="EZ40" i="7" s="1"/>
  <c r="DR12" i="15"/>
  <c r="DR17" i="18" s="1"/>
  <c r="DR15" i="18" s="1"/>
  <c r="DR23" i="15"/>
  <c r="EY23" i="15" s="1"/>
  <c r="FI23" i="15" s="1"/>
  <c r="DN73" i="18"/>
  <c r="DN63" i="18"/>
  <c r="DN51" i="15"/>
  <c r="EX51" i="15" s="1"/>
  <c r="DN73" i="15"/>
  <c r="BZ159" i="11"/>
  <c r="CE93" i="11"/>
  <c r="CI30" i="12"/>
  <c r="CI59" i="12"/>
  <c r="CA127" i="12"/>
  <c r="CA130" i="12" s="1"/>
  <c r="CA120" i="12"/>
  <c r="DE114" i="7"/>
  <c r="CG77" i="12"/>
  <c r="CG108" i="11"/>
  <c r="DP17" i="18"/>
  <c r="CG44" i="12"/>
  <c r="CG65" i="12"/>
  <c r="CK54" i="12"/>
  <c r="DR54" i="12" s="1"/>
  <c r="EB54" i="12" s="1"/>
  <c r="CK76" i="11"/>
  <c r="DR76" i="11" s="1"/>
  <c r="EB76" i="11" s="1"/>
  <c r="DG173" i="18"/>
  <c r="DG197" i="18"/>
  <c r="DM103" i="18"/>
  <c r="DM69" i="15"/>
  <c r="DN261" i="2"/>
  <c r="DF118" i="7"/>
  <c r="EO118" i="7" s="1"/>
  <c r="DF109" i="7"/>
  <c r="EO109" i="7" s="1"/>
  <c r="DM61" i="18"/>
  <c r="CJ46" i="11"/>
  <c r="CJ40" i="11" s="1"/>
  <c r="CJ48" i="11" s="1"/>
  <c r="CJ41" i="11"/>
  <c r="DH49" i="7"/>
  <c r="DH52" i="7" s="1"/>
  <c r="CJ26" i="12"/>
  <c r="CJ24" i="12" s="1"/>
  <c r="EW107" i="18"/>
  <c r="EW108" i="18"/>
  <c r="DL88" i="15"/>
  <c r="DL121" i="18"/>
  <c r="DL119" i="18" s="1"/>
  <c r="DL134" i="18" s="1"/>
  <c r="DP21" i="15"/>
  <c r="DP38" i="15"/>
  <c r="CK15" i="11"/>
  <c r="CK34" i="11"/>
  <c r="DR34" i="11" s="1"/>
  <c r="EB34" i="11" s="1"/>
  <c r="CE83" i="12"/>
  <c r="CC85" i="12"/>
  <c r="CC102" i="12"/>
  <c r="DH141" i="15"/>
  <c r="DH145" i="15" s="1"/>
  <c r="DH133" i="15"/>
  <c r="CC119" i="12"/>
  <c r="DG99" i="7"/>
  <c r="DN85" i="15"/>
  <c r="DN130" i="18"/>
  <c r="DE105" i="7"/>
  <c r="DM63" i="18"/>
  <c r="DM73" i="18"/>
  <c r="CC148" i="11"/>
  <c r="CG62" i="11"/>
  <c r="CG94" i="11"/>
  <c r="DQ38" i="18"/>
  <c r="DQ7" i="18" s="1"/>
  <c r="DQ3" i="18" s="1"/>
  <c r="DQ50" i="18"/>
  <c r="DH62" i="7"/>
  <c r="CI24" i="12"/>
  <c r="DB132" i="7"/>
  <c r="DB144" i="7"/>
  <c r="DG52" i="7"/>
  <c r="CI40" i="11"/>
  <c r="CI48" i="11" s="1"/>
  <c r="CI127" i="11"/>
  <c r="CI98" i="12"/>
  <c r="DP161" i="18"/>
  <c r="DG134" i="7"/>
  <c r="DJ138" i="18"/>
  <c r="DJ111" i="15"/>
  <c r="DJ94" i="15"/>
  <c r="CH50" i="11"/>
  <c r="CH85" i="11"/>
  <c r="DJ131" i="15"/>
  <c r="CB134" i="11"/>
  <c r="CB146" i="11"/>
  <c r="DO146" i="11" s="1"/>
  <c r="DK94" i="15"/>
  <c r="DK138" i="18"/>
  <c r="DK136" i="18" s="1"/>
  <c r="DK143" i="18" s="1"/>
  <c r="DK111" i="15"/>
  <c r="DO98" i="15"/>
  <c r="CH119" i="11"/>
  <c r="CH117" i="11" s="1"/>
  <c r="DQ117" i="11" s="1"/>
  <c r="DF142" i="7"/>
  <c r="CH89" i="12"/>
  <c r="DP291" i="2"/>
  <c r="DP298" i="2" s="1"/>
  <c r="DQ297" i="2"/>
  <c r="DR297" i="2" s="1"/>
  <c r="DJ141" i="7" s="1"/>
  <c r="DS161" i="18" s="1"/>
  <c r="DH141" i="7"/>
  <c r="CK75" i="11"/>
  <c r="DR75" i="11" s="1"/>
  <c r="EB75" i="11" s="1"/>
  <c r="CK53" i="12"/>
  <c r="DR53" i="12" s="1"/>
  <c r="EB53" i="12" s="1"/>
  <c r="DK756" i="2" l="1"/>
  <c r="DL215" i="18"/>
  <c r="DL214" i="18" s="1"/>
  <c r="CF93" i="11"/>
  <c r="DM112" i="18"/>
  <c r="DM75" i="15"/>
  <c r="DP93" i="11"/>
  <c r="DM83" i="18"/>
  <c r="EV240" i="18"/>
  <c r="DH794" i="2"/>
  <c r="EV239" i="18"/>
  <c r="DH791" i="2"/>
  <c r="DP81" i="12"/>
  <c r="DI235" i="18"/>
  <c r="EV235" i="18" s="1"/>
  <c r="DD98" i="7"/>
  <c r="CD85" i="12"/>
  <c r="DJ240" i="18"/>
  <c r="DI794" i="2" s="1"/>
  <c r="DJ239" i="18"/>
  <c r="DI791" i="2" s="1"/>
  <c r="DJ236" i="18"/>
  <c r="DK90" i="18"/>
  <c r="EV236" i="18"/>
  <c r="DD129" i="7"/>
  <c r="CD102" i="12"/>
  <c r="DL92" i="18"/>
  <c r="EW92" i="18" s="1"/>
  <c r="DL95" i="18"/>
  <c r="EW95" i="18" s="1"/>
  <c r="DL91" i="18"/>
  <c r="EW91" i="18" s="1"/>
  <c r="DL98" i="18"/>
  <c r="DL93" i="18"/>
  <c r="EW93" i="18" s="1"/>
  <c r="DL96" i="18"/>
  <c r="DL97" i="18"/>
  <c r="EW97" i="18" s="1"/>
  <c r="DL75" i="15"/>
  <c r="DL112" i="18"/>
  <c r="DL110" i="18" s="1"/>
  <c r="DL90" i="15"/>
  <c r="EW90" i="15" s="1"/>
  <c r="EW75" i="15"/>
  <c r="EW85" i="18"/>
  <c r="EN98" i="7"/>
  <c r="EW83" i="18"/>
  <c r="DC98" i="7"/>
  <c r="DC129" i="7"/>
  <c r="EN129" i="7" s="1"/>
  <c r="DA154" i="7"/>
  <c r="DA161" i="7"/>
  <c r="DS29" i="11"/>
  <c r="EQ73" i="7"/>
  <c r="CI80" i="11"/>
  <c r="CI63" i="11"/>
  <c r="CI46" i="12"/>
  <c r="CI65" i="12" s="1"/>
  <c r="DS16" i="11"/>
  <c r="CM17" i="12"/>
  <c r="DQ44" i="12"/>
  <c r="CH65" i="12"/>
  <c r="CH99" i="11"/>
  <c r="EX36" i="18"/>
  <c r="DR29" i="11"/>
  <c r="DO129" i="12"/>
  <c r="EX48" i="18"/>
  <c r="DQ46" i="12"/>
  <c r="DR215" i="2"/>
  <c r="DJ54" i="7" s="1"/>
  <c r="DJ61" i="7" s="1"/>
  <c r="DP264" i="2"/>
  <c r="DM73" i="7"/>
  <c r="DV58" i="15" s="1"/>
  <c r="EO117" i="7"/>
  <c r="CH75" i="12"/>
  <c r="DQ75" i="12" s="1"/>
  <c r="CH107" i="11"/>
  <c r="DQ107" i="11" s="1"/>
  <c r="EO108" i="7"/>
  <c r="DO84" i="15"/>
  <c r="DG117" i="7"/>
  <c r="DG108" i="7"/>
  <c r="FH198" i="18"/>
  <c r="F59" i="24"/>
  <c r="F57" i="24"/>
  <c r="F49" i="24"/>
  <c r="DP226" i="2"/>
  <c r="DP236" i="2"/>
  <c r="CH94" i="11"/>
  <c r="DQ62" i="11"/>
  <c r="DU12" i="15"/>
  <c r="DU17" i="18" s="1"/>
  <c r="DU15" i="18" s="1"/>
  <c r="EZ15" i="18" s="1"/>
  <c r="DU23" i="15"/>
  <c r="EZ23" i="15" s="1"/>
  <c r="DT21" i="15"/>
  <c r="DS36" i="18"/>
  <c r="DS48" i="18"/>
  <c r="DQ63" i="11"/>
  <c r="DQ94" i="11" s="1"/>
  <c r="EX36" i="15"/>
  <c r="EX42" i="15" s="1"/>
  <c r="DO65" i="15"/>
  <c r="DO69" i="15" s="1"/>
  <c r="CM54" i="12"/>
  <c r="CM76" i="11"/>
  <c r="CL26" i="12"/>
  <c r="CL46" i="11"/>
  <c r="CL41" i="11"/>
  <c r="CP50" i="12"/>
  <c r="CP72" i="11"/>
  <c r="EQ15" i="7"/>
  <c r="CN15" i="11"/>
  <c r="CN28" i="11" s="1"/>
  <c r="CN34" i="11"/>
  <c r="DS34" i="11" s="1"/>
  <c r="CL127" i="11"/>
  <c r="CL98" i="12"/>
  <c r="CL53" i="12"/>
  <c r="CL75" i="11"/>
  <c r="CN10" i="12"/>
  <c r="DS10" i="12" s="1"/>
  <c r="CN19" i="12"/>
  <c r="CO12" i="12"/>
  <c r="CO21" i="11"/>
  <c r="CO16" i="11"/>
  <c r="DL145" i="18"/>
  <c r="DL164" i="18" s="1"/>
  <c r="EW149" i="18"/>
  <c r="DS171" i="2"/>
  <c r="DS211" i="2"/>
  <c r="DK50" i="7"/>
  <c r="DP128" i="18"/>
  <c r="DQ237" i="2"/>
  <c r="DQ236" i="2" s="1"/>
  <c r="DH107" i="7"/>
  <c r="DH116" i="7"/>
  <c r="DR216" i="2"/>
  <c r="DJ55" i="7" s="1"/>
  <c r="DS58" i="18" s="1"/>
  <c r="DJ40" i="7"/>
  <c r="DR237" i="2"/>
  <c r="DJ82" i="7" s="1"/>
  <c r="DJ134" i="7"/>
  <c r="DS98" i="15" s="1"/>
  <c r="DL35" i="7"/>
  <c r="DL47" i="7" s="1"/>
  <c r="EQ47" i="7" s="1"/>
  <c r="EQ36" i="7"/>
  <c r="EQ7" i="7"/>
  <c r="DM15" i="7"/>
  <c r="DV14" i="15" s="1"/>
  <c r="DS201" i="2"/>
  <c r="DK8" i="7"/>
  <c r="DS200" i="2"/>
  <c r="DJ49" i="7"/>
  <c r="DJ58" i="7"/>
  <c r="DO65" i="18"/>
  <c r="EX65" i="18" s="1"/>
  <c r="EX73" i="18" s="1"/>
  <c r="DO63" i="15"/>
  <c r="DO71" i="15"/>
  <c r="DO75" i="15" s="1"/>
  <c r="EY12" i="15"/>
  <c r="FI12" i="15" s="1"/>
  <c r="DQ38" i="15"/>
  <c r="DQ36" i="15" s="1"/>
  <c r="DS297" i="2"/>
  <c r="DK141" i="7" s="1"/>
  <c r="DT161" i="18" s="1"/>
  <c r="DR291" i="2"/>
  <c r="DR298" i="2" s="1"/>
  <c r="FH211" i="18"/>
  <c r="DF212" i="18"/>
  <c r="DF232" i="18"/>
  <c r="DF233" i="18" s="1"/>
  <c r="DR232" i="2"/>
  <c r="DJ77" i="7" s="1"/>
  <c r="DS61" i="15" s="1"/>
  <c r="DT196" i="2"/>
  <c r="DT209" i="2" s="1"/>
  <c r="DT212" i="2"/>
  <c r="DU167" i="2"/>
  <c r="DV168" i="2"/>
  <c r="DN16" i="7" s="1"/>
  <c r="DU197" i="2"/>
  <c r="DM36" i="7" s="1"/>
  <c r="DS154" i="2"/>
  <c r="DS242" i="2" s="1"/>
  <c r="DK87" i="7" s="1"/>
  <c r="DT243" i="2"/>
  <c r="DL88" i="7" s="1"/>
  <c r="DS233" i="2"/>
  <c r="DK78" i="7" s="1"/>
  <c r="DT62" i="15" s="1"/>
  <c r="DS220" i="2"/>
  <c r="DS219" i="2" s="1"/>
  <c r="DS263" i="2" s="1"/>
  <c r="DV229" i="2"/>
  <c r="DW239" i="2"/>
  <c r="DO84" i="7" s="1"/>
  <c r="DT172" i="2"/>
  <c r="DL19" i="7" s="1"/>
  <c r="EQ19" i="7" s="1"/>
  <c r="EO92" i="7"/>
  <c r="EX73" i="15"/>
  <c r="DK117" i="18"/>
  <c r="DO127" i="15"/>
  <c r="DO139" i="15"/>
  <c r="DO42" i="15"/>
  <c r="DQ34" i="15"/>
  <c r="DO121" i="15"/>
  <c r="EW121" i="18"/>
  <c r="DP133" i="11"/>
  <c r="EP50" i="7"/>
  <c r="EZ50" i="7" s="1"/>
  <c r="EZ58" i="7" s="1"/>
  <c r="DO120" i="12"/>
  <c r="DO149" i="11"/>
  <c r="EV133" i="15"/>
  <c r="EO79" i="7"/>
  <c r="DL113" i="15"/>
  <c r="EW92" i="15"/>
  <c r="EV168" i="18"/>
  <c r="CK28" i="11"/>
  <c r="DR28" i="11" s="1"/>
  <c r="EB28" i="11" s="1"/>
  <c r="DR15" i="11"/>
  <c r="EB15" i="11" s="1"/>
  <c r="DN69" i="15"/>
  <c r="DO54" i="18"/>
  <c r="EX56" i="18"/>
  <c r="DP101" i="11"/>
  <c r="DL94" i="18"/>
  <c r="EP35" i="7"/>
  <c r="CH87" i="12"/>
  <c r="DQ87" i="12" s="1"/>
  <c r="DQ89" i="12"/>
  <c r="DQ125" i="12"/>
  <c r="DQ115" i="12"/>
  <c r="DQ110" i="12"/>
  <c r="DQ35" i="12"/>
  <c r="DO96" i="15"/>
  <c r="EX96" i="15" s="1"/>
  <c r="EX98" i="15"/>
  <c r="EP55" i="7"/>
  <c r="EZ55" i="7" s="1"/>
  <c r="DQ119" i="11"/>
  <c r="DP114" i="11"/>
  <c r="CH81" i="11"/>
  <c r="DQ50" i="11"/>
  <c r="DQ129" i="11" s="1"/>
  <c r="CE104" i="12"/>
  <c r="DP83" i="12"/>
  <c r="DO86" i="15"/>
  <c r="EO110" i="7"/>
  <c r="CE112" i="11"/>
  <c r="CE131" i="11" s="1"/>
  <c r="CH129" i="11"/>
  <c r="CJ32" i="12"/>
  <c r="CJ30" i="12" s="1"/>
  <c r="DJ168" i="18"/>
  <c r="DJ129" i="15"/>
  <c r="DJ115" i="15"/>
  <c r="DJ136" i="18"/>
  <c r="DJ143" i="18" s="1"/>
  <c r="DK168" i="18"/>
  <c r="DK166" i="18" s="1"/>
  <c r="DK115" i="15"/>
  <c r="DK129" i="15"/>
  <c r="EV173" i="18"/>
  <c r="CI57" i="12"/>
  <c r="CI115" i="12"/>
  <c r="CI42" i="12"/>
  <c r="CI110" i="12"/>
  <c r="CI35" i="12"/>
  <c r="CI125" i="12"/>
  <c r="DH198" i="18"/>
  <c r="DH211" i="18"/>
  <c r="CD115" i="11"/>
  <c r="CD131" i="11"/>
  <c r="DP56" i="18"/>
  <c r="DP34" i="15"/>
  <c r="CH76" i="12"/>
  <c r="DQ76" i="12" s="1"/>
  <c r="CH109" i="11"/>
  <c r="DQ109" i="11" s="1"/>
  <c r="DF98" i="7"/>
  <c r="DN63" i="15"/>
  <c r="DN85" i="18"/>
  <c r="DN71" i="15"/>
  <c r="CE85" i="12"/>
  <c r="CE102" i="12"/>
  <c r="CF69" i="12"/>
  <c r="CF83" i="12"/>
  <c r="DN70" i="18"/>
  <c r="DN182" i="18"/>
  <c r="DN192" i="18"/>
  <c r="DN209" i="18"/>
  <c r="DM758" i="2"/>
  <c r="DN216" i="18" s="1"/>
  <c r="DN187" i="18"/>
  <c r="DH81" i="7"/>
  <c r="CJ48" i="12"/>
  <c r="CJ67" i="11"/>
  <c r="CJ68" i="11"/>
  <c r="CJ85" i="11" s="1"/>
  <c r="DG198" i="18"/>
  <c r="DG211" i="18"/>
  <c r="DR21" i="15"/>
  <c r="EY21" i="15" s="1"/>
  <c r="FI21" i="15" s="1"/>
  <c r="CB156" i="11"/>
  <c r="CB159" i="11" s="1"/>
  <c r="CB149" i="11"/>
  <c r="CK17" i="12"/>
  <c r="DR17" i="12" s="1"/>
  <c r="EB17" i="12" s="1"/>
  <c r="CI28" i="12"/>
  <c r="DM101" i="18"/>
  <c r="DP98" i="15"/>
  <c r="DG142" i="7"/>
  <c r="CI119" i="11"/>
  <c r="CI89" i="12"/>
  <c r="DM182" i="18"/>
  <c r="DM187" i="18"/>
  <c r="DL758" i="2"/>
  <c r="DM216" i="18" s="1"/>
  <c r="DM209" i="18"/>
  <c r="DM70" i="18"/>
  <c r="DM192" i="18"/>
  <c r="DQ36" i="18"/>
  <c r="DQ34" i="18" s="1"/>
  <c r="DQ61" i="18" s="1"/>
  <c r="DQ48" i="18"/>
  <c r="DQ46" i="18" s="1"/>
  <c r="CK46" i="11"/>
  <c r="CK40" i="11" s="1"/>
  <c r="DI49" i="7"/>
  <c r="CK41" i="11"/>
  <c r="DR41" i="11" s="1"/>
  <c r="EB41" i="11" s="1"/>
  <c r="CK26" i="12"/>
  <c r="CH63" i="12"/>
  <c r="CH125" i="12"/>
  <c r="CH115" i="12"/>
  <c r="CH42" i="12"/>
  <c r="DQ42" i="12" s="1"/>
  <c r="CH57" i="12"/>
  <c r="CH110" i="12"/>
  <c r="CH35" i="12"/>
  <c r="DP51" i="15"/>
  <c r="DJ143" i="15"/>
  <c r="DN79" i="15"/>
  <c r="DN77" i="15" s="1"/>
  <c r="DE112" i="7"/>
  <c r="DP73" i="15"/>
  <c r="DP67" i="15"/>
  <c r="DP36" i="15"/>
  <c r="DP65" i="15" s="1"/>
  <c r="CH55" i="12"/>
  <c r="DQ275" i="2"/>
  <c r="DR275" i="2" s="1"/>
  <c r="DP265" i="2"/>
  <c r="DP271" i="2"/>
  <c r="DG68" i="7"/>
  <c r="DG97" i="7" s="1"/>
  <c r="EW119" i="18"/>
  <c r="DJ134" i="18"/>
  <c r="DI61" i="7"/>
  <c r="EP61" i="7" s="1"/>
  <c r="EZ61" i="7" s="1"/>
  <c r="CB127" i="12"/>
  <c r="CB130" i="12" s="1"/>
  <c r="CB120" i="12"/>
  <c r="DR50" i="18"/>
  <c r="EY50" i="18" s="1"/>
  <c r="FI50" i="18" s="1"/>
  <c r="DR38" i="18"/>
  <c r="DI62" i="7"/>
  <c r="EP62" i="7" s="1"/>
  <c r="EZ62" i="7" s="1"/>
  <c r="DG109" i="7"/>
  <c r="DO261" i="2"/>
  <c r="DG118" i="7"/>
  <c r="CC146" i="11"/>
  <c r="CC134" i="11"/>
  <c r="DR32" i="15"/>
  <c r="DM149" i="18"/>
  <c r="DM145" i="18" s="1"/>
  <c r="DP36" i="18"/>
  <c r="DP48" i="18"/>
  <c r="DQ291" i="2"/>
  <c r="DQ298" i="2" s="1"/>
  <c r="DI141" i="7"/>
  <c r="EP141" i="7" s="1"/>
  <c r="EZ141" i="7" s="1"/>
  <c r="CG71" i="12"/>
  <c r="CG69" i="12" s="1"/>
  <c r="CG79" i="12" s="1"/>
  <c r="CG103" i="11"/>
  <c r="DN149" i="18"/>
  <c r="DN170" i="18" s="1"/>
  <c r="CK56" i="11"/>
  <c r="DR56" i="11" s="1"/>
  <c r="EB56" i="11" s="1"/>
  <c r="CK51" i="11"/>
  <c r="DR51" i="11" s="1"/>
  <c r="EB51" i="11" s="1"/>
  <c r="DI57" i="7"/>
  <c r="DO85" i="15"/>
  <c r="EX85" i="15" s="1"/>
  <c r="DO130" i="18"/>
  <c r="EX130" i="18" s="1"/>
  <c r="DF105" i="7"/>
  <c r="DF129" i="7" s="1"/>
  <c r="CG90" i="11"/>
  <c r="DE93" i="7"/>
  <c r="DE94" i="7" s="1"/>
  <c r="CI85" i="11"/>
  <c r="CI50" i="11"/>
  <c r="DM77" i="15"/>
  <c r="DM92" i="15"/>
  <c r="CJ127" i="11"/>
  <c r="CJ98" i="12"/>
  <c r="DQ161" i="18"/>
  <c r="DH134" i="7"/>
  <c r="CC129" i="12"/>
  <c r="CH92" i="11"/>
  <c r="CH59" i="11"/>
  <c r="CH83" i="11"/>
  <c r="CH154" i="11"/>
  <c r="CH144" i="11"/>
  <c r="CH139" i="11"/>
  <c r="CG81" i="11"/>
  <c r="CG92" i="11"/>
  <c r="CC105" i="12"/>
  <c r="CC117" i="12"/>
  <c r="CH108" i="11"/>
  <c r="DQ108" i="11" s="1"/>
  <c r="CH77" i="12"/>
  <c r="DQ77" i="12" s="1"/>
  <c r="DF114" i="7"/>
  <c r="EO114" i="7" s="1"/>
  <c r="CG55" i="12"/>
  <c r="CG63" i="12"/>
  <c r="DE79" i="7"/>
  <c r="DE97" i="7"/>
  <c r="EO97" i="7" s="1"/>
  <c r="DQ276" i="2"/>
  <c r="DP266" i="2"/>
  <c r="DI141" i="15"/>
  <c r="DI145" i="15" s="1"/>
  <c r="DI133" i="15"/>
  <c r="CJ50" i="11"/>
  <c r="DG148" i="7"/>
  <c r="DG151" i="7"/>
  <c r="DG65" i="7"/>
  <c r="DG92" i="7"/>
  <c r="DP3" i="18"/>
  <c r="DG110" i="7"/>
  <c r="DG119" i="7"/>
  <c r="CH90" i="11"/>
  <c r="DF93" i="7"/>
  <c r="DF94" i="7" s="1"/>
  <c r="DH148" i="7"/>
  <c r="DH151" i="7"/>
  <c r="DH65" i="7"/>
  <c r="DB145" i="7"/>
  <c r="DB153" i="7"/>
  <c r="DP148" i="11"/>
  <c r="CC158" i="11"/>
  <c r="DP158" i="11" s="1"/>
  <c r="CJ28" i="12"/>
  <c r="DP15" i="18"/>
  <c r="EY15" i="18" s="1"/>
  <c r="FI15" i="18" s="1"/>
  <c r="EY17" i="18"/>
  <c r="FI17" i="18" s="1"/>
  <c r="DN107" i="18"/>
  <c r="DN108" i="18"/>
  <c r="DU155" i="2"/>
  <c r="DM7" i="7" s="1"/>
  <c r="DT156" i="2"/>
  <c r="CF101" i="11"/>
  <c r="CF114" i="11"/>
  <c r="DI173" i="18"/>
  <c r="DI197" i="18"/>
  <c r="EV197" i="18" s="1"/>
  <c r="EW214" i="18" l="1"/>
  <c r="EW215" i="18"/>
  <c r="DM94" i="18"/>
  <c r="DM110" i="18"/>
  <c r="DM99" i="18"/>
  <c r="DM97" i="18"/>
  <c r="DP85" i="12"/>
  <c r="EW112" i="18"/>
  <c r="EW110" i="18"/>
  <c r="EW96" i="18"/>
  <c r="DM92" i="18"/>
  <c r="EW94" i="15"/>
  <c r="DM95" i="18"/>
  <c r="DM98" i="18"/>
  <c r="DJ235" i="18"/>
  <c r="DM93" i="18"/>
  <c r="DP102" i="12"/>
  <c r="DL116" i="18"/>
  <c r="DL117" i="18"/>
  <c r="DD144" i="7"/>
  <c r="DD132" i="7"/>
  <c r="DL138" i="18"/>
  <c r="DL136" i="18" s="1"/>
  <c r="DL143" i="18" s="1"/>
  <c r="DL94" i="15"/>
  <c r="DL111" i="15"/>
  <c r="EW111" i="15" s="1"/>
  <c r="CI94" i="11"/>
  <c r="DK236" i="18"/>
  <c r="DK239" i="18"/>
  <c r="DJ791" i="2" s="1"/>
  <c r="DK240" i="18"/>
  <c r="DJ794" i="2" s="1"/>
  <c r="DL90" i="18"/>
  <c r="EW90" i="18" s="1"/>
  <c r="DM91" i="18"/>
  <c r="CI62" i="11"/>
  <c r="CD117" i="12"/>
  <c r="CD105" i="12"/>
  <c r="DM96" i="18"/>
  <c r="EN132" i="7"/>
  <c r="DQ65" i="12"/>
  <c r="EW99" i="18"/>
  <c r="DQ55" i="12"/>
  <c r="DA162" i="7"/>
  <c r="DC144" i="7"/>
  <c r="EN144" i="7" s="1"/>
  <c r="DC132" i="7"/>
  <c r="CI99" i="11"/>
  <c r="DH70" i="7"/>
  <c r="DQ56" i="15" s="1"/>
  <c r="DP225" i="2"/>
  <c r="DP224" i="2" s="1"/>
  <c r="DS15" i="11"/>
  <c r="DS28" i="11"/>
  <c r="DS19" i="12"/>
  <c r="DQ99" i="11"/>
  <c r="CI44" i="12"/>
  <c r="CI63" i="12" s="1"/>
  <c r="CL40" i="11"/>
  <c r="CO29" i="11"/>
  <c r="CH84" i="11"/>
  <c r="DQ83" i="11"/>
  <c r="CK48" i="11"/>
  <c r="EB29" i="11"/>
  <c r="DS96" i="15"/>
  <c r="EZ12" i="15"/>
  <c r="DQ264" i="2"/>
  <c r="DO129" i="18"/>
  <c r="EX84" i="15"/>
  <c r="DN73" i="7"/>
  <c r="DW58" i="15" s="1"/>
  <c r="DW57" i="15"/>
  <c r="DR264" i="2"/>
  <c r="DP84" i="15"/>
  <c r="CI75" i="12"/>
  <c r="CI107" i="11"/>
  <c r="DV57" i="15"/>
  <c r="DH108" i="7"/>
  <c r="DQ84" i="15" s="1"/>
  <c r="DQ129" i="18" s="1"/>
  <c r="DH117" i="7"/>
  <c r="EZ17" i="18"/>
  <c r="FH212" i="18"/>
  <c r="F62" i="24"/>
  <c r="F60" i="24"/>
  <c r="DR226" i="2"/>
  <c r="DR225" i="2" s="1"/>
  <c r="DR224" i="2" s="1"/>
  <c r="EX63" i="15"/>
  <c r="EX139" i="15"/>
  <c r="DS50" i="18"/>
  <c r="DS38" i="18"/>
  <c r="DT48" i="18"/>
  <c r="DT36" i="18"/>
  <c r="DS32" i="15"/>
  <c r="DU21" i="15"/>
  <c r="EZ21" i="15" s="1"/>
  <c r="DO73" i="18"/>
  <c r="DV12" i="15"/>
  <c r="DV23" i="15"/>
  <c r="EX127" i="15"/>
  <c r="EX121" i="15"/>
  <c r="DR236" i="2"/>
  <c r="EW145" i="18"/>
  <c r="EW164" i="18" s="1"/>
  <c r="DQ226" i="2"/>
  <c r="DI82" i="7"/>
  <c r="EP82" i="7" s="1"/>
  <c r="EZ82" i="7" s="1"/>
  <c r="EZ81" i="7" s="1"/>
  <c r="CN17" i="12"/>
  <c r="DS17" i="12" s="1"/>
  <c r="DO63" i="18"/>
  <c r="DO99" i="18" s="1"/>
  <c r="CO15" i="11"/>
  <c r="CO34" i="11"/>
  <c r="ER84" i="7"/>
  <c r="CQ72" i="11"/>
  <c r="DT72" i="11" s="1"/>
  <c r="CQ50" i="12"/>
  <c r="DT50" i="12" s="1"/>
  <c r="CM26" i="12"/>
  <c r="CM41" i="11"/>
  <c r="CM46" i="11"/>
  <c r="CM40" i="11" s="1"/>
  <c r="CM48" i="11" s="1"/>
  <c r="CL89" i="12"/>
  <c r="CL119" i="11"/>
  <c r="DN15" i="7"/>
  <c r="DW14" i="15" s="1"/>
  <c r="CP16" i="11"/>
  <c r="CP29" i="11" s="1"/>
  <c r="CP21" i="11"/>
  <c r="CP12" i="12"/>
  <c r="CO10" i="12"/>
  <c r="CO19" i="12"/>
  <c r="CL56" i="11"/>
  <c r="CL51" i="11"/>
  <c r="CL48" i="12"/>
  <c r="CL68" i="11"/>
  <c r="CL67" i="11"/>
  <c r="EQ88" i="7"/>
  <c r="CN54" i="12"/>
  <c r="DS54" i="12" s="1"/>
  <c r="CN76" i="11"/>
  <c r="DS76" i="11" s="1"/>
  <c r="CL24" i="12"/>
  <c r="CL32" i="12"/>
  <c r="CM53" i="12"/>
  <c r="CM75" i="11"/>
  <c r="DK134" i="7"/>
  <c r="DT98" i="15" s="1"/>
  <c r="DT96" i="15" s="1"/>
  <c r="CM127" i="11"/>
  <c r="CM98" i="12"/>
  <c r="EQ35" i="7"/>
  <c r="DT200" i="2"/>
  <c r="DL39" i="7" s="1"/>
  <c r="DS216" i="2"/>
  <c r="DK55" i="7" s="1"/>
  <c r="DT58" i="18" s="1"/>
  <c r="DK40" i="7"/>
  <c r="EO93" i="7"/>
  <c r="EO94" i="7" s="1"/>
  <c r="DT211" i="2"/>
  <c r="DL50" i="7"/>
  <c r="DJ116" i="7"/>
  <c r="DJ107" i="7"/>
  <c r="DS83" i="15" s="1"/>
  <c r="DJ81" i="7"/>
  <c r="DI107" i="7"/>
  <c r="DR83" i="15" s="1"/>
  <c r="DR128" i="18" s="1"/>
  <c r="DI116" i="7"/>
  <c r="EP116" i="7" s="1"/>
  <c r="EZ116" i="7" s="1"/>
  <c r="DJ62" i="7"/>
  <c r="DS237" i="2"/>
  <c r="DK82" i="7" s="1"/>
  <c r="CJ74" i="12"/>
  <c r="CJ106" i="11"/>
  <c r="DK49" i="7"/>
  <c r="DK52" i="7" s="1"/>
  <c r="DK58" i="7"/>
  <c r="DT201" i="2"/>
  <c r="DL8" i="7"/>
  <c r="EQ8" i="7" s="1"/>
  <c r="DJ57" i="7"/>
  <c r="DJ142" i="7" s="1"/>
  <c r="DQ83" i="15"/>
  <c r="DJ52" i="7"/>
  <c r="DM35" i="7"/>
  <c r="DS215" i="2"/>
  <c r="DK54" i="7" s="1"/>
  <c r="DK39" i="7"/>
  <c r="EX71" i="15"/>
  <c r="EX75" i="15" s="1"/>
  <c r="DO112" i="18"/>
  <c r="DO110" i="18" s="1"/>
  <c r="EP57" i="7"/>
  <c r="EP148" i="7" s="1"/>
  <c r="EU232" i="18"/>
  <c r="EU233" i="18" s="1"/>
  <c r="DT297" i="2"/>
  <c r="DL141" i="7" s="1"/>
  <c r="DU161" i="18" s="1"/>
  <c r="EZ161" i="18" s="1"/>
  <c r="DS291" i="2"/>
  <c r="DS298" i="2" s="1"/>
  <c r="DO147" i="18"/>
  <c r="EX147" i="18" s="1"/>
  <c r="DS232" i="2"/>
  <c r="DK77" i="7" s="1"/>
  <c r="DT61" i="15" s="1"/>
  <c r="DU196" i="2"/>
  <c r="DU209" i="2" s="1"/>
  <c r="DU212" i="2"/>
  <c r="DW168" i="2"/>
  <c r="DO16" i="7" s="1"/>
  <c r="DV167" i="2"/>
  <c r="DV197" i="2"/>
  <c r="DN36" i="7" s="1"/>
  <c r="DT233" i="2"/>
  <c r="DL78" i="7" s="1"/>
  <c r="DU243" i="2"/>
  <c r="DM88" i="7" s="1"/>
  <c r="DT171" i="2"/>
  <c r="DU172" i="2"/>
  <c r="DM19" i="7" s="1"/>
  <c r="DT220" i="2"/>
  <c r="DT219" i="2" s="1"/>
  <c r="DT263" i="2" s="1"/>
  <c r="DX239" i="2"/>
  <c r="DP84" i="7" s="1"/>
  <c r="DW229" i="2"/>
  <c r="ER72" i="7" s="1"/>
  <c r="CH100" i="12"/>
  <c r="DT154" i="2"/>
  <c r="DT242" i="2" s="1"/>
  <c r="DL87" i="7" s="1"/>
  <c r="DQ266" i="2"/>
  <c r="DI110" i="7" s="1"/>
  <c r="DR86" i="15" s="1"/>
  <c r="DR132" i="18" s="1"/>
  <c r="DR276" i="2"/>
  <c r="DR265" i="2"/>
  <c r="DS275" i="2"/>
  <c r="EX65" i="15"/>
  <c r="EX69" i="15" s="1"/>
  <c r="DO103" i="18"/>
  <c r="DO101" i="18" s="1"/>
  <c r="CE115" i="11"/>
  <c r="DP131" i="11"/>
  <c r="DP134" i="11" s="1"/>
  <c r="DQ92" i="11"/>
  <c r="DQ93" i="11" s="1"/>
  <c r="DQ90" i="11"/>
  <c r="DR7" i="18"/>
  <c r="EY38" i="18"/>
  <c r="FI38" i="18" s="1"/>
  <c r="G9" i="24" s="1"/>
  <c r="EW94" i="18"/>
  <c r="DP112" i="11"/>
  <c r="DN83" i="18"/>
  <c r="EX85" i="18"/>
  <c r="CK24" i="12"/>
  <c r="DR24" i="12" s="1"/>
  <c r="DR26" i="12"/>
  <c r="EB26" i="12" s="1"/>
  <c r="DN145" i="18"/>
  <c r="DN164" i="18" s="1"/>
  <c r="CE119" i="12"/>
  <c r="DP104" i="12"/>
  <c r="DP110" i="11"/>
  <c r="EO105" i="7"/>
  <c r="DR30" i="15"/>
  <c r="EY30" i="15" s="1"/>
  <c r="FI30" i="15" s="1"/>
  <c r="FI34" i="15" s="1"/>
  <c r="EY32" i="15"/>
  <c r="FI32" i="15" s="1"/>
  <c r="DI52" i="7"/>
  <c r="EP49" i="7"/>
  <c r="DO109" i="15"/>
  <c r="DQ154" i="11"/>
  <c r="DQ59" i="11"/>
  <c r="DQ144" i="11"/>
  <c r="DQ139" i="11"/>
  <c r="DQ81" i="11"/>
  <c r="EV141" i="15"/>
  <c r="EO98" i="7"/>
  <c r="DR40" i="11"/>
  <c r="DR48" i="11" s="1"/>
  <c r="DQ63" i="12"/>
  <c r="DR46" i="11"/>
  <c r="EB46" i="11" s="1"/>
  <c r="DQ100" i="12"/>
  <c r="CH61" i="12"/>
  <c r="DQ57" i="12"/>
  <c r="EX109" i="15"/>
  <c r="DO61" i="18"/>
  <c r="EX54" i="18"/>
  <c r="DL131" i="15"/>
  <c r="EW113" i="15"/>
  <c r="EW134" i="18"/>
  <c r="DO127" i="12"/>
  <c r="DN92" i="15"/>
  <c r="DN113" i="15" s="1"/>
  <c r="DN131" i="15" s="1"/>
  <c r="DN143" i="15" s="1"/>
  <c r="DO132" i="18"/>
  <c r="EX132" i="18" s="1"/>
  <c r="EX86" i="15"/>
  <c r="DO156" i="11"/>
  <c r="CG83" i="12"/>
  <c r="CG104" i="12" s="1"/>
  <c r="CG119" i="12" s="1"/>
  <c r="CG129" i="12" s="1"/>
  <c r="DF144" i="7"/>
  <c r="DF132" i="7"/>
  <c r="CD146" i="11"/>
  <c r="CD134" i="11"/>
  <c r="CI108" i="11"/>
  <c r="CI77" i="12"/>
  <c r="DG114" i="7"/>
  <c r="DN121" i="18"/>
  <c r="DN119" i="18" s="1"/>
  <c r="DN134" i="18" s="1"/>
  <c r="DN88" i="15"/>
  <c r="DR48" i="18"/>
  <c r="DR46" i="18" s="1"/>
  <c r="DR36" i="18"/>
  <c r="DR34" i="18" s="1"/>
  <c r="CI61" i="12"/>
  <c r="DQ271" i="2"/>
  <c r="DQ265" i="2"/>
  <c r="CH103" i="11"/>
  <c r="DQ103" i="11" s="1"/>
  <c r="CH71" i="12"/>
  <c r="DQ71" i="12" s="1"/>
  <c r="DR38" i="15"/>
  <c r="EY38" i="15" s="1"/>
  <c r="FI38" i="15" s="1"/>
  <c r="CE117" i="12"/>
  <c r="CE105" i="12"/>
  <c r="CI76" i="12"/>
  <c r="CI109" i="11"/>
  <c r="DP46" i="18"/>
  <c r="CI87" i="12"/>
  <c r="DG232" i="18"/>
  <c r="DG212" i="18"/>
  <c r="DN75" i="15"/>
  <c r="DN112" i="18"/>
  <c r="DN90" i="15"/>
  <c r="DH212" i="18"/>
  <c r="DH232" i="18"/>
  <c r="DH233" i="18" s="1"/>
  <c r="DI134" i="7"/>
  <c r="EP134" i="7" s="1"/>
  <c r="CK127" i="11"/>
  <c r="DR127" i="11" s="1"/>
  <c r="EB127" i="11" s="1"/>
  <c r="DR161" i="18"/>
  <c r="EY161" i="18" s="1"/>
  <c r="FI161" i="18" s="1"/>
  <c r="CK98" i="12"/>
  <c r="DR98" i="12" s="1"/>
  <c r="EB98" i="12" s="1"/>
  <c r="CF133" i="11"/>
  <c r="CF110" i="11"/>
  <c r="CF112" i="11"/>
  <c r="DP86" i="15"/>
  <c r="CJ59" i="11"/>
  <c r="CJ139" i="11"/>
  <c r="CJ144" i="11"/>
  <c r="CJ154" i="11"/>
  <c r="CJ83" i="11"/>
  <c r="CJ84" i="11" s="1"/>
  <c r="CC127" i="12"/>
  <c r="CC120" i="12"/>
  <c r="DQ98" i="15"/>
  <c r="DQ96" i="15" s="1"/>
  <c r="DH142" i="7"/>
  <c r="CJ119" i="11"/>
  <c r="CJ117" i="11" s="1"/>
  <c r="CJ129" i="11" s="1"/>
  <c r="CJ89" i="12"/>
  <c r="CJ87" i="12" s="1"/>
  <c r="CJ100" i="12" s="1"/>
  <c r="DI65" i="7"/>
  <c r="DI148" i="7"/>
  <c r="DI151" i="7"/>
  <c r="DP85" i="15"/>
  <c r="DG105" i="7"/>
  <c r="DG129" i="7" s="1"/>
  <c r="DP130" i="18"/>
  <c r="DG79" i="7"/>
  <c r="DB161" i="7"/>
  <c r="DB154" i="7"/>
  <c r="CH67" i="12"/>
  <c r="CI83" i="11"/>
  <c r="CI139" i="11"/>
  <c r="CI144" i="11"/>
  <c r="CI59" i="11"/>
  <c r="CI154" i="11"/>
  <c r="CK50" i="11"/>
  <c r="DR50" i="11" s="1"/>
  <c r="EB50" i="11" s="1"/>
  <c r="DP34" i="18"/>
  <c r="CI117" i="11"/>
  <c r="EV198" i="18"/>
  <c r="DJ141" i="15"/>
  <c r="DJ133" i="15"/>
  <c r="DP261" i="2"/>
  <c r="DH118" i="7"/>
  <c r="DH109" i="7"/>
  <c r="DN215" i="18"/>
  <c r="DN214" i="18" s="1"/>
  <c r="DM756" i="2"/>
  <c r="DK141" i="15"/>
  <c r="DK145" i="15" s="1"/>
  <c r="DK133" i="15"/>
  <c r="DJ166" i="18"/>
  <c r="DP96" i="15"/>
  <c r="CH93" i="11"/>
  <c r="DM113" i="15"/>
  <c r="DM164" i="18"/>
  <c r="DK173" i="18"/>
  <c r="DK197" i="18"/>
  <c r="CJ63" i="11"/>
  <c r="CJ80" i="11"/>
  <c r="CJ46" i="12"/>
  <c r="CF104" i="12"/>
  <c r="CJ57" i="12"/>
  <c r="CJ61" i="12" s="1"/>
  <c r="CJ110" i="12"/>
  <c r="CJ35" i="12"/>
  <c r="CJ42" i="12"/>
  <c r="CJ115" i="12"/>
  <c r="CJ125" i="12"/>
  <c r="DV155" i="2"/>
  <c r="DN7" i="7" s="1"/>
  <c r="DU156" i="2"/>
  <c r="DM170" i="18"/>
  <c r="DG93" i="7"/>
  <c r="DG94" i="7" s="1"/>
  <c r="CI90" i="11"/>
  <c r="DM88" i="15"/>
  <c r="DM121" i="18"/>
  <c r="DM90" i="15"/>
  <c r="CE146" i="11"/>
  <c r="CE134" i="11"/>
  <c r="DP71" i="15"/>
  <c r="DP42" i="15"/>
  <c r="DP65" i="18"/>
  <c r="DP139" i="15"/>
  <c r="DP121" i="15"/>
  <c r="DP127" i="15"/>
  <c r="DO79" i="15"/>
  <c r="EX79" i="15" s="1"/>
  <c r="DF112" i="7"/>
  <c r="CK32" i="12"/>
  <c r="DR32" i="12" s="1"/>
  <c r="EB32" i="12" s="1"/>
  <c r="DQ65" i="18"/>
  <c r="DQ42" i="15"/>
  <c r="DQ139" i="15"/>
  <c r="DQ127" i="15"/>
  <c r="DQ121" i="15"/>
  <c r="CF79" i="12"/>
  <c r="CF81" i="12"/>
  <c r="DH110" i="7"/>
  <c r="DQ86" i="15" s="1"/>
  <c r="DQ132" i="18" s="1"/>
  <c r="DH119" i="7"/>
  <c r="DE129" i="7"/>
  <c r="EO129" i="7" s="1"/>
  <c r="DE98" i="7"/>
  <c r="CG67" i="12"/>
  <c r="CG81" i="12"/>
  <c r="CG93" i="11"/>
  <c r="CG101" i="11"/>
  <c r="CG110" i="11" s="1"/>
  <c r="CG114" i="11"/>
  <c r="CG133" i="11" s="1"/>
  <c r="CG148" i="11" s="1"/>
  <c r="CG158" i="11" s="1"/>
  <c r="DP85" i="18"/>
  <c r="DP63" i="15"/>
  <c r="DL756" i="2"/>
  <c r="DM215" i="18"/>
  <c r="DI211" i="18"/>
  <c r="EV211" i="18" s="1"/>
  <c r="DI198" i="18"/>
  <c r="DG98" i="7"/>
  <c r="CC156" i="11"/>
  <c r="CC149" i="11"/>
  <c r="DM107" i="18"/>
  <c r="DM108" i="18"/>
  <c r="DP54" i="18"/>
  <c r="DS147" i="18" l="1"/>
  <c r="DP234" i="2"/>
  <c r="DD153" i="7"/>
  <c r="DD145" i="7"/>
  <c r="DC153" i="7"/>
  <c r="EN153" i="7" s="1"/>
  <c r="EN145" i="7"/>
  <c r="DC145" i="7"/>
  <c r="DM116" i="18"/>
  <c r="DM117" i="18"/>
  <c r="DL129" i="15"/>
  <c r="EW129" i="15" s="1"/>
  <c r="CD120" i="12"/>
  <c r="DK235" i="18"/>
  <c r="DQ65" i="15"/>
  <c r="DL168" i="18"/>
  <c r="DL166" i="18" s="1"/>
  <c r="CI55" i="12"/>
  <c r="CD127" i="12"/>
  <c r="CD130" i="12" s="1"/>
  <c r="EW136" i="18"/>
  <c r="EW143" i="18" s="1"/>
  <c r="EW115" i="15"/>
  <c r="DN97" i="18"/>
  <c r="DO97" i="18" s="1"/>
  <c r="DP105" i="12"/>
  <c r="EW138" i="18"/>
  <c r="EW117" i="18"/>
  <c r="EW116" i="18"/>
  <c r="DQ84" i="11"/>
  <c r="CI81" i="11"/>
  <c r="DL115" i="15"/>
  <c r="DP117" i="12"/>
  <c r="CI67" i="12"/>
  <c r="CI92" i="11"/>
  <c r="DL240" i="18"/>
  <c r="DL239" i="18"/>
  <c r="DL236" i="18"/>
  <c r="DM90" i="18"/>
  <c r="DQ53" i="15"/>
  <c r="DH69" i="7"/>
  <c r="DH99" i="7"/>
  <c r="CJ59" i="12"/>
  <c r="DQ67" i="15"/>
  <c r="DQ225" i="2"/>
  <c r="DQ224" i="2" s="1"/>
  <c r="DI70" i="7"/>
  <c r="DR56" i="15" s="1"/>
  <c r="CL48" i="11"/>
  <c r="CO28" i="11"/>
  <c r="CL87" i="12"/>
  <c r="CL117" i="11"/>
  <c r="CL28" i="12"/>
  <c r="CI84" i="11"/>
  <c r="EB139" i="11"/>
  <c r="EB154" i="11"/>
  <c r="EB59" i="11"/>
  <c r="EB144" i="11"/>
  <c r="DV17" i="18"/>
  <c r="EX129" i="18"/>
  <c r="DS128" i="18"/>
  <c r="DJ70" i="7"/>
  <c r="EP151" i="7"/>
  <c r="DO73" i="7"/>
  <c r="DX58" i="15" s="1"/>
  <c r="FA58" i="15" s="1"/>
  <c r="DX57" i="15"/>
  <c r="FA57" i="15" s="1"/>
  <c r="DS264" i="2"/>
  <c r="DR234" i="2"/>
  <c r="CJ75" i="12"/>
  <c r="CJ107" i="11"/>
  <c r="DP129" i="18"/>
  <c r="DJ117" i="7"/>
  <c r="DJ108" i="7"/>
  <c r="DI108" i="7"/>
  <c r="DI117" i="7"/>
  <c r="EP117" i="7" s="1"/>
  <c r="EZ117" i="7" s="1"/>
  <c r="DS7" i="18"/>
  <c r="DS46" i="18"/>
  <c r="F63" i="24"/>
  <c r="DI119" i="7"/>
  <c r="CL85" i="11"/>
  <c r="DO108" i="18"/>
  <c r="DT32" i="15"/>
  <c r="DT38" i="15" s="1"/>
  <c r="DS30" i="15"/>
  <c r="DS38" i="15"/>
  <c r="DT50" i="18"/>
  <c r="DT46" i="18" s="1"/>
  <c r="DT38" i="18"/>
  <c r="DT7" i="18" s="1"/>
  <c r="DT3" i="18" s="1"/>
  <c r="CK67" i="11"/>
  <c r="DR67" i="11" s="1"/>
  <c r="EB67" i="11" s="1"/>
  <c r="CK48" i="12"/>
  <c r="DR48" i="12" s="1"/>
  <c r="EB48" i="12" s="1"/>
  <c r="DI81" i="7"/>
  <c r="EP81" i="7" s="1"/>
  <c r="DT147" i="18"/>
  <c r="DS34" i="18"/>
  <c r="CK68" i="11"/>
  <c r="CK85" i="11" s="1"/>
  <c r="DV21" i="15"/>
  <c r="EQ78" i="7"/>
  <c r="DU62" i="15"/>
  <c r="EZ62" i="15" s="1"/>
  <c r="DU48" i="18"/>
  <c r="EZ48" i="18" s="1"/>
  <c r="DU36" i="18"/>
  <c r="EZ36" i="18" s="1"/>
  <c r="DW12" i="15"/>
  <c r="DW17" i="18" s="1"/>
  <c r="DW15" i="18" s="1"/>
  <c r="DW23" i="15"/>
  <c r="DN758" i="2"/>
  <c r="DO216" i="18" s="1"/>
  <c r="EX216" i="18" s="1"/>
  <c r="DO70" i="18"/>
  <c r="DO187" i="18"/>
  <c r="EX63" i="18"/>
  <c r="EX192" i="18" s="1"/>
  <c r="DT215" i="2"/>
  <c r="DL54" i="7" s="1"/>
  <c r="DO116" i="18"/>
  <c r="DO215" i="18"/>
  <c r="DO182" i="18"/>
  <c r="EP65" i="7"/>
  <c r="DO192" i="18"/>
  <c r="DO209" i="18"/>
  <c r="CR72" i="11"/>
  <c r="CR50" i="12"/>
  <c r="DK81" i="7"/>
  <c r="CM68" i="11"/>
  <c r="CM67" i="11"/>
  <c r="CM48" i="12"/>
  <c r="DL134" i="7"/>
  <c r="DU98" i="15" s="1"/>
  <c r="CN127" i="11"/>
  <c r="DS127" i="11" s="1"/>
  <c r="CN98" i="12"/>
  <c r="DS98" i="12" s="1"/>
  <c r="CO54" i="12"/>
  <c r="CO76" i="11"/>
  <c r="CP10" i="12"/>
  <c r="CP19" i="12"/>
  <c r="CL46" i="12"/>
  <c r="CL80" i="11"/>
  <c r="CL63" i="11"/>
  <c r="CM89" i="12"/>
  <c r="CM87" i="12" s="1"/>
  <c r="CM119" i="11"/>
  <c r="CM117" i="11" s="1"/>
  <c r="DK57" i="7"/>
  <c r="DK142" i="7" s="1"/>
  <c r="CM56" i="11"/>
  <c r="CM51" i="11"/>
  <c r="CL50" i="11"/>
  <c r="EQ87" i="7"/>
  <c r="CN53" i="12"/>
  <c r="DS53" i="12" s="1"/>
  <c r="CN75" i="11"/>
  <c r="DS75" i="11" s="1"/>
  <c r="CQ21" i="11"/>
  <c r="DT21" i="11" s="1"/>
  <c r="CQ12" i="12"/>
  <c r="DT12" i="12" s="1"/>
  <c r="CQ16" i="11"/>
  <c r="CQ29" i="11" s="1"/>
  <c r="CL74" i="12"/>
  <c r="CL106" i="11"/>
  <c r="CM32" i="12"/>
  <c r="CM24" i="12"/>
  <c r="CM28" i="12" s="1"/>
  <c r="CL30" i="12"/>
  <c r="CP15" i="11"/>
  <c r="CP28" i="11" s="1"/>
  <c r="CP34" i="11"/>
  <c r="EQ50" i="7"/>
  <c r="CN46" i="11"/>
  <c r="CN40" i="11" s="1"/>
  <c r="CN48" i="11" s="1"/>
  <c r="CN26" i="12"/>
  <c r="DS26" i="12" s="1"/>
  <c r="CN41" i="11"/>
  <c r="DS41" i="11" s="1"/>
  <c r="CO17" i="12"/>
  <c r="DS226" i="2"/>
  <c r="DS225" i="2" s="1"/>
  <c r="DS224" i="2" s="1"/>
  <c r="DO117" i="18"/>
  <c r="DS236" i="2"/>
  <c r="DO15" i="7"/>
  <c r="DX14" i="15" s="1"/>
  <c r="FA14" i="15" s="1"/>
  <c r="ER16" i="7"/>
  <c r="DU201" i="2"/>
  <c r="DM8" i="7"/>
  <c r="DU211" i="2"/>
  <c r="DM50" i="7"/>
  <c r="EP107" i="7"/>
  <c r="EZ107" i="7" s="1"/>
  <c r="DQ128" i="18"/>
  <c r="EY128" i="18" s="1"/>
  <c r="FI128" i="18" s="1"/>
  <c r="EY83" i="15"/>
  <c r="FI83" i="15" s="1"/>
  <c r="CK74" i="12"/>
  <c r="DR74" i="12" s="1"/>
  <c r="EB74" i="12" s="1"/>
  <c r="CK106" i="11"/>
  <c r="DR106" i="11" s="1"/>
  <c r="EB106" i="11" s="1"/>
  <c r="FH232" i="18"/>
  <c r="FH233" i="18" s="1"/>
  <c r="EQ141" i="7"/>
  <c r="DK61" i="7"/>
  <c r="EQ39" i="7"/>
  <c r="DK116" i="7"/>
  <c r="DK107" i="7"/>
  <c r="DT83" i="15" s="1"/>
  <c r="DT128" i="18" s="1"/>
  <c r="DK62" i="7"/>
  <c r="DT237" i="2"/>
  <c r="DL82" i="7" s="1"/>
  <c r="DJ151" i="7"/>
  <c r="DJ148" i="7"/>
  <c r="DJ118" i="7"/>
  <c r="DJ109" i="7"/>
  <c r="DT216" i="2"/>
  <c r="DL55" i="7" s="1"/>
  <c r="DL40" i="7"/>
  <c r="DJ65" i="7"/>
  <c r="DM47" i="7"/>
  <c r="DL49" i="7"/>
  <c r="DL58" i="7"/>
  <c r="DN35" i="7"/>
  <c r="DN47" i="7" s="1"/>
  <c r="EX101" i="18"/>
  <c r="DO107" i="18"/>
  <c r="DN94" i="18"/>
  <c r="DO94" i="18" s="1"/>
  <c r="DN92" i="18"/>
  <c r="DO92" i="18" s="1"/>
  <c r="DN98" i="18"/>
  <c r="DO98" i="18" s="1"/>
  <c r="EY36" i="18"/>
  <c r="FI36" i="18" s="1"/>
  <c r="G7" i="24" s="1"/>
  <c r="EY34" i="18"/>
  <c r="FI34" i="18" s="1"/>
  <c r="DO149" i="18"/>
  <c r="DO170" i="18" s="1"/>
  <c r="EX170" i="18" s="1"/>
  <c r="EX103" i="18"/>
  <c r="DN93" i="18"/>
  <c r="DO93" i="18" s="1"/>
  <c r="DN95" i="18"/>
  <c r="DO95" i="18" s="1"/>
  <c r="EX95" i="18" s="1"/>
  <c r="DN96" i="18"/>
  <c r="DO96" i="18" s="1"/>
  <c r="CK28" i="12"/>
  <c r="DU297" i="2"/>
  <c r="DM141" i="7" s="1"/>
  <c r="DV161" i="18" s="1"/>
  <c r="DT291" i="2"/>
  <c r="DT298" i="2" s="1"/>
  <c r="DT232" i="2"/>
  <c r="DL77" i="7" s="1"/>
  <c r="DR266" i="2"/>
  <c r="DR261" i="2" s="1"/>
  <c r="DS276" i="2"/>
  <c r="DV243" i="2"/>
  <c r="DN88" i="7" s="1"/>
  <c r="DU233" i="2"/>
  <c r="DM78" i="7" s="1"/>
  <c r="DV62" i="15" s="1"/>
  <c r="DV196" i="2"/>
  <c r="DV209" i="2" s="1"/>
  <c r="DV212" i="2"/>
  <c r="DU154" i="2"/>
  <c r="DU242" i="2" s="1"/>
  <c r="DM87" i="7" s="1"/>
  <c r="DX168" i="2"/>
  <c r="DP16" i="7" s="1"/>
  <c r="DW167" i="2"/>
  <c r="DW197" i="2"/>
  <c r="DO36" i="7" s="1"/>
  <c r="DU171" i="2"/>
  <c r="DV172" i="2"/>
  <c r="DN19" i="7" s="1"/>
  <c r="DU200" i="2"/>
  <c r="DU220" i="2"/>
  <c r="DU219" i="2" s="1"/>
  <c r="DU263" i="2" s="1"/>
  <c r="DR271" i="2"/>
  <c r="DY239" i="2"/>
  <c r="DQ84" i="7" s="1"/>
  <c r="DX229" i="2"/>
  <c r="DS265" i="2"/>
  <c r="DT275" i="2"/>
  <c r="DP146" i="11"/>
  <c r="DP149" i="11" s="1"/>
  <c r="DN91" i="18"/>
  <c r="EY34" i="15"/>
  <c r="DR56" i="18"/>
  <c r="DR34" i="15"/>
  <c r="EY46" i="18"/>
  <c r="FI46" i="18" s="1"/>
  <c r="EZ134" i="7"/>
  <c r="EP142" i="7"/>
  <c r="EO112" i="7"/>
  <c r="DR28" i="12"/>
  <c r="EB24" i="12"/>
  <c r="EB28" i="12" s="1"/>
  <c r="DR3" i="18"/>
  <c r="EY3" i="18" s="1"/>
  <c r="FI3" i="18" s="1"/>
  <c r="EY7" i="18"/>
  <c r="FI7" i="18" s="1"/>
  <c r="DL143" i="15"/>
  <c r="EW143" i="15" s="1"/>
  <c r="EW131" i="15"/>
  <c r="EB40" i="11"/>
  <c r="EB48" i="11" s="1"/>
  <c r="DO130" i="12"/>
  <c r="CE129" i="12"/>
  <c r="DP119" i="12"/>
  <c r="DN110" i="18"/>
  <c r="EX110" i="18" s="1"/>
  <c r="EX112" i="18"/>
  <c r="EX61" i="18"/>
  <c r="EP110" i="7"/>
  <c r="EZ110" i="7" s="1"/>
  <c r="EP52" i="7"/>
  <c r="EZ49" i="7"/>
  <c r="DN99" i="18"/>
  <c r="EX83" i="18"/>
  <c r="DB162" i="7"/>
  <c r="DQ61" i="12"/>
  <c r="DP115" i="11"/>
  <c r="EO132" i="7"/>
  <c r="EY48" i="18"/>
  <c r="FI48" i="18" s="1"/>
  <c r="DO159" i="11"/>
  <c r="DQ67" i="12"/>
  <c r="CJ99" i="11"/>
  <c r="EV145" i="15"/>
  <c r="CG112" i="11"/>
  <c r="CG131" i="11" s="1"/>
  <c r="DM119" i="18"/>
  <c r="DH114" i="7"/>
  <c r="CJ77" i="12"/>
  <c r="CJ108" i="11"/>
  <c r="CI100" i="12"/>
  <c r="CE156" i="11"/>
  <c r="CE159" i="11" s="1"/>
  <c r="CE149" i="11"/>
  <c r="CF119" i="12"/>
  <c r="DR59" i="11"/>
  <c r="DR139" i="11"/>
  <c r="DR144" i="11"/>
  <c r="DR154" i="11"/>
  <c r="CC130" i="12"/>
  <c r="DM138" i="18"/>
  <c r="DM111" i="15"/>
  <c r="DM94" i="15"/>
  <c r="CH69" i="12"/>
  <c r="DQ69" i="12" s="1"/>
  <c r="CH83" i="12"/>
  <c r="CJ44" i="12"/>
  <c r="CJ65" i="12"/>
  <c r="CF148" i="11"/>
  <c r="CH101" i="11"/>
  <c r="DQ101" i="11" s="1"/>
  <c r="CH114" i="11"/>
  <c r="DJ145" i="15"/>
  <c r="CI103" i="11"/>
  <c r="CI71" i="12"/>
  <c r="CC159" i="11"/>
  <c r="DI212" i="18"/>
  <c r="DI232" i="18"/>
  <c r="DI233" i="18" s="1"/>
  <c r="CJ109" i="11"/>
  <c r="CJ76" i="12"/>
  <c r="DG132" i="7"/>
  <c r="DG144" i="7"/>
  <c r="CK59" i="11"/>
  <c r="CK139" i="11"/>
  <c r="CK144" i="11"/>
  <c r="CK154" i="11"/>
  <c r="DP103" i="18"/>
  <c r="DP69" i="15"/>
  <c r="DK198" i="18"/>
  <c r="DK211" i="18"/>
  <c r="DQ261" i="2"/>
  <c r="DI118" i="7"/>
  <c r="EP118" i="7" s="1"/>
  <c r="EZ118" i="7" s="1"/>
  <c r="DI109" i="7"/>
  <c r="EP109" i="7" s="1"/>
  <c r="EZ109" i="7" s="1"/>
  <c r="DP83" i="18"/>
  <c r="DP147" i="18"/>
  <c r="DP109" i="15"/>
  <c r="EV212" i="18"/>
  <c r="DQ63" i="18"/>
  <c r="DQ73" i="18"/>
  <c r="DP63" i="18"/>
  <c r="DP73" i="18"/>
  <c r="DJ173" i="18"/>
  <c r="DJ197" i="18"/>
  <c r="DP132" i="18"/>
  <c r="EY132" i="18" s="1"/>
  <c r="FI132" i="18" s="1"/>
  <c r="EY86" i="15"/>
  <c r="FI86" i="15" s="1"/>
  <c r="CE120" i="12"/>
  <c r="CE127" i="12"/>
  <c r="CE130" i="12" s="1"/>
  <c r="CD149" i="11"/>
  <c r="CD156" i="11"/>
  <c r="CD159" i="11" s="1"/>
  <c r="DP61" i="18"/>
  <c r="DQ147" i="18"/>
  <c r="DQ109" i="15"/>
  <c r="CF115" i="11"/>
  <c r="CF131" i="11"/>
  <c r="DG233" i="18"/>
  <c r="DR36" i="15"/>
  <c r="DM214" i="18"/>
  <c r="CG85" i="12"/>
  <c r="CG102" i="12"/>
  <c r="CK30" i="12"/>
  <c r="DR30" i="12" s="1"/>
  <c r="DW155" i="2"/>
  <c r="DO7" i="7" s="1"/>
  <c r="ER7" i="7" s="1"/>
  <c r="DV156" i="2"/>
  <c r="DN8" i="7" s="1"/>
  <c r="CJ62" i="11"/>
  <c r="CJ94" i="11"/>
  <c r="DN138" i="18"/>
  <c r="DN136" i="18" s="1"/>
  <c r="DN143" i="18" s="1"/>
  <c r="DN94" i="15"/>
  <c r="DN111" i="15"/>
  <c r="CF85" i="12"/>
  <c r="CF102" i="12"/>
  <c r="DE144" i="7"/>
  <c r="EO144" i="7" s="1"/>
  <c r="DE132" i="7"/>
  <c r="DO77" i="15"/>
  <c r="EX77" i="15" s="1"/>
  <c r="DO92" i="15"/>
  <c r="DO113" i="15" s="1"/>
  <c r="DO131" i="15" s="1"/>
  <c r="DO143" i="15" s="1"/>
  <c r="DP112" i="18"/>
  <c r="DP75" i="15"/>
  <c r="DM131" i="15"/>
  <c r="DH105" i="7"/>
  <c r="DQ85" i="15"/>
  <c r="DQ130" i="18"/>
  <c r="CI129" i="11"/>
  <c r="DG112" i="7"/>
  <c r="DP79" i="15"/>
  <c r="DR98" i="15"/>
  <c r="CK89" i="12"/>
  <c r="CK87" i="12" s="1"/>
  <c r="DR87" i="12" s="1"/>
  <c r="CK119" i="11"/>
  <c r="DI142" i="7"/>
  <c r="DF153" i="7"/>
  <c r="DF145" i="7"/>
  <c r="DS149" i="18" l="1"/>
  <c r="DQ234" i="2"/>
  <c r="EN154" i="7"/>
  <c r="DC154" i="7"/>
  <c r="DC161" i="7"/>
  <c r="DC162" i="7" s="1"/>
  <c r="DD154" i="7"/>
  <c r="DD161" i="7"/>
  <c r="DT30" i="15"/>
  <c r="EW168" i="18"/>
  <c r="EX97" i="18"/>
  <c r="DP120" i="12"/>
  <c r="EW133" i="15"/>
  <c r="DL173" i="18"/>
  <c r="DL197" i="18"/>
  <c r="CI93" i="11"/>
  <c r="DQ69" i="15"/>
  <c r="DQ103" i="18"/>
  <c r="DQ101" i="18" s="1"/>
  <c r="EW166" i="18"/>
  <c r="DL141" i="15"/>
  <c r="DL145" i="15" s="1"/>
  <c r="DL133" i="15"/>
  <c r="EW239" i="18"/>
  <c r="DK791" i="2"/>
  <c r="EW240" i="18"/>
  <c r="DK794" i="2"/>
  <c r="DL235" i="18"/>
  <c r="EW235" i="18" s="1"/>
  <c r="EW236" i="18"/>
  <c r="DM239" i="18"/>
  <c r="DL791" i="2" s="1"/>
  <c r="DM236" i="18"/>
  <c r="DN90" i="18"/>
  <c r="DM240" i="18"/>
  <c r="DL794" i="2" s="1"/>
  <c r="DH68" i="7"/>
  <c r="DH92" i="7"/>
  <c r="DQ51" i="15"/>
  <c r="DQ73" i="15"/>
  <c r="DS53" i="15"/>
  <c r="DS56" i="15"/>
  <c r="DT29" i="11"/>
  <c r="DT16" i="11"/>
  <c r="DV15" i="18"/>
  <c r="ER73" i="7"/>
  <c r="DR53" i="15"/>
  <c r="DR51" i="15" s="1"/>
  <c r="DI69" i="7"/>
  <c r="EP69" i="7" s="1"/>
  <c r="EZ69" i="7" s="1"/>
  <c r="EZ68" i="7" s="1"/>
  <c r="EY56" i="15"/>
  <c r="FI56" i="15" s="1"/>
  <c r="DI99" i="7"/>
  <c r="DS40" i="11"/>
  <c r="DS46" i="11"/>
  <c r="EP70" i="7"/>
  <c r="DR67" i="15"/>
  <c r="EY67" i="15" s="1"/>
  <c r="FI67" i="15" s="1"/>
  <c r="CK59" i="12"/>
  <c r="DR59" i="12" s="1"/>
  <c r="EB59" i="12" s="1"/>
  <c r="DJ99" i="7"/>
  <c r="CL59" i="12"/>
  <c r="DJ69" i="7"/>
  <c r="DJ92" i="7" s="1"/>
  <c r="CL90" i="11" s="1"/>
  <c r="EP119" i="7"/>
  <c r="EZ119" i="7" s="1"/>
  <c r="CK109" i="11"/>
  <c r="CK76" i="12"/>
  <c r="CK46" i="12"/>
  <c r="CK44" i="12" s="1"/>
  <c r="CK80" i="11"/>
  <c r="CK99" i="11" s="1"/>
  <c r="CK63" i="11"/>
  <c r="DR63" i="11" s="1"/>
  <c r="CL44" i="12"/>
  <c r="CL99" i="11"/>
  <c r="CL62" i="11"/>
  <c r="CL129" i="11"/>
  <c r="CL100" i="12"/>
  <c r="DU96" i="15"/>
  <c r="EZ96" i="15" s="1"/>
  <c r="EZ98" i="15"/>
  <c r="DT264" i="2"/>
  <c r="DP129" i="12"/>
  <c r="DR84" i="15"/>
  <c r="EP108" i="7"/>
  <c r="EZ108" i="7" s="1"/>
  <c r="DP73" i="7"/>
  <c r="DY58" i="15" s="1"/>
  <c r="DS234" i="2"/>
  <c r="CK75" i="12"/>
  <c r="DR75" i="12" s="1"/>
  <c r="EB75" i="12" s="1"/>
  <c r="CK107" i="11"/>
  <c r="DR107" i="11" s="1"/>
  <c r="EB107" i="11" s="1"/>
  <c r="DS84" i="15"/>
  <c r="CL107" i="11"/>
  <c r="CL75" i="12"/>
  <c r="DK117" i="7"/>
  <c r="DK108" i="7"/>
  <c r="DT84" i="15" s="1"/>
  <c r="DT129" i="18" s="1"/>
  <c r="G5" i="24"/>
  <c r="DS3" i="18"/>
  <c r="DT34" i="18"/>
  <c r="DR68" i="11"/>
  <c r="EB68" i="11" s="1"/>
  <c r="EB85" i="11" s="1"/>
  <c r="CK83" i="11"/>
  <c r="EX70" i="18"/>
  <c r="EX182" i="18"/>
  <c r="EX187" i="18"/>
  <c r="DO214" i="18"/>
  <c r="EX214" i="18" s="1"/>
  <c r="EX107" i="18"/>
  <c r="DU32" i="15"/>
  <c r="DU30" i="15" s="1"/>
  <c r="CL65" i="12"/>
  <c r="EX209" i="18"/>
  <c r="EQ77" i="7"/>
  <c r="DU61" i="15"/>
  <c r="EZ61" i="15" s="1"/>
  <c r="EQ40" i="7"/>
  <c r="DU50" i="18"/>
  <c r="DU46" i="18" s="1"/>
  <c r="EZ46" i="18" s="1"/>
  <c r="DU38" i="18"/>
  <c r="DU7" i="18" s="1"/>
  <c r="DU3" i="18" s="1"/>
  <c r="DV48" i="18"/>
  <c r="DV36" i="18"/>
  <c r="EQ55" i="7"/>
  <c r="DU58" i="18"/>
  <c r="EZ58" i="18" s="1"/>
  <c r="DX12" i="15"/>
  <c r="DX17" i="18" s="1"/>
  <c r="DX23" i="15"/>
  <c r="FA23" i="15" s="1"/>
  <c r="DS130" i="18"/>
  <c r="DS85" i="15"/>
  <c r="DT36" i="15"/>
  <c r="DS67" i="15"/>
  <c r="DS36" i="15"/>
  <c r="EQ54" i="7"/>
  <c r="DW21" i="15"/>
  <c r="DS56" i="18"/>
  <c r="DS34" i="15"/>
  <c r="DL61" i="7"/>
  <c r="EQ61" i="7" s="1"/>
  <c r="DT149" i="18"/>
  <c r="DT170" i="18" s="1"/>
  <c r="DN756" i="2"/>
  <c r="EY36" i="15"/>
  <c r="FI36" i="15" s="1"/>
  <c r="FI139" i="15" s="1"/>
  <c r="DR65" i="15"/>
  <c r="EY65" i="15" s="1"/>
  <c r="CO53" i="12"/>
  <c r="CO75" i="11"/>
  <c r="ER15" i="7"/>
  <c r="CL108" i="11"/>
  <c r="CL77" i="12"/>
  <c r="CS50" i="12"/>
  <c r="CS72" i="11"/>
  <c r="DK148" i="7"/>
  <c r="CQ10" i="12"/>
  <c r="DT10" i="12" s="1"/>
  <c r="CQ19" i="12"/>
  <c r="DT19" i="12" s="1"/>
  <c r="EQ134" i="7"/>
  <c r="CN119" i="11"/>
  <c r="CN89" i="12"/>
  <c r="CP54" i="12"/>
  <c r="CP76" i="11"/>
  <c r="DK151" i="7"/>
  <c r="CQ15" i="11"/>
  <c r="CQ34" i="11"/>
  <c r="DT34" i="11" s="1"/>
  <c r="CR21" i="11"/>
  <c r="CR12" i="12"/>
  <c r="CR16" i="11"/>
  <c r="DK65" i="7"/>
  <c r="CL35" i="12"/>
  <c r="CL42" i="12"/>
  <c r="CL57" i="12"/>
  <c r="CL115" i="12"/>
  <c r="CL110" i="12"/>
  <c r="CL125" i="12"/>
  <c r="CM30" i="12"/>
  <c r="CM100" i="12" s="1"/>
  <c r="DL81" i="7"/>
  <c r="CN68" i="11"/>
  <c r="DS68" i="11" s="1"/>
  <c r="CN48" i="12"/>
  <c r="DS48" i="12" s="1"/>
  <c r="CN67" i="11"/>
  <c r="DS67" i="11" s="1"/>
  <c r="CN24" i="12"/>
  <c r="CN32" i="12"/>
  <c r="DS32" i="12" s="1"/>
  <c r="CN56" i="11"/>
  <c r="DS56" i="11" s="1"/>
  <c r="CN51" i="11"/>
  <c r="DS51" i="11" s="1"/>
  <c r="CO46" i="11"/>
  <c r="CO41" i="11"/>
  <c r="CO26" i="12"/>
  <c r="CM46" i="12"/>
  <c r="CM44" i="12" s="1"/>
  <c r="CM80" i="11"/>
  <c r="CM99" i="11" s="1"/>
  <c r="CM63" i="11"/>
  <c r="CM62" i="11" s="1"/>
  <c r="CM50" i="11"/>
  <c r="CM85" i="11"/>
  <c r="CP17" i="12"/>
  <c r="CL94" i="11"/>
  <c r="CO127" i="11"/>
  <c r="CO98" i="12"/>
  <c r="CM74" i="12"/>
  <c r="CM106" i="11"/>
  <c r="CL83" i="11"/>
  <c r="CL59" i="11"/>
  <c r="CL144" i="11"/>
  <c r="CL139" i="11"/>
  <c r="CL154" i="11"/>
  <c r="DK70" i="7"/>
  <c r="DT67" i="15" s="1"/>
  <c r="DT236" i="2"/>
  <c r="DT226" i="2"/>
  <c r="DL70" i="7" s="1"/>
  <c r="EQ82" i="7"/>
  <c r="DL62" i="7"/>
  <c r="EQ62" i="7" s="1"/>
  <c r="DP92" i="18"/>
  <c r="EX108" i="18"/>
  <c r="DJ119" i="7"/>
  <c r="DJ110" i="7"/>
  <c r="DS86" i="15" s="1"/>
  <c r="DO35" i="7"/>
  <c r="DO47" i="7" s="1"/>
  <c r="ER47" i="7" s="1"/>
  <c r="EZ52" i="7"/>
  <c r="EZ57" i="7"/>
  <c r="EZ142" i="7" s="1"/>
  <c r="DM134" i="7"/>
  <c r="DV98" i="15" s="1"/>
  <c r="DP15" i="7"/>
  <c r="DY14" i="15" s="1"/>
  <c r="DM49" i="7"/>
  <c r="DM58" i="7"/>
  <c r="DK118" i="7"/>
  <c r="DK109" i="7"/>
  <c r="DV211" i="2"/>
  <c r="DN50" i="7"/>
  <c r="DL57" i="7"/>
  <c r="EQ58" i="7"/>
  <c r="DU216" i="2"/>
  <c r="DM55" i="7" s="1"/>
  <c r="DV58" i="18" s="1"/>
  <c r="DM40" i="7"/>
  <c r="DL52" i="7"/>
  <c r="EQ49" i="7"/>
  <c r="DL107" i="7"/>
  <c r="DU83" i="15" s="1"/>
  <c r="DL116" i="7"/>
  <c r="DU237" i="2"/>
  <c r="DM82" i="7" s="1"/>
  <c r="ER36" i="7"/>
  <c r="DU215" i="2"/>
  <c r="DM54" i="7" s="1"/>
  <c r="DM39" i="7"/>
  <c r="EX92" i="18"/>
  <c r="EX94" i="18"/>
  <c r="EX93" i="18"/>
  <c r="EX96" i="18"/>
  <c r="DO145" i="18"/>
  <c r="DO164" i="18" s="1"/>
  <c r="EX149" i="18"/>
  <c r="DV297" i="2"/>
  <c r="DN141" i="7" s="1"/>
  <c r="DW161" i="18" s="1"/>
  <c r="DU291" i="2"/>
  <c r="DU298" i="2" s="1"/>
  <c r="DU232" i="2"/>
  <c r="DM77" i="7" s="1"/>
  <c r="DV61" i="15" s="1"/>
  <c r="DZ239" i="2"/>
  <c r="DR84" i="7" s="1"/>
  <c r="DY229" i="2"/>
  <c r="DV220" i="2"/>
  <c r="DV219" i="2" s="1"/>
  <c r="DV263" i="2" s="1"/>
  <c r="DW172" i="2"/>
  <c r="DO19" i="7" s="1"/>
  <c r="ER19" i="7" s="1"/>
  <c r="DV171" i="2"/>
  <c r="DW243" i="2"/>
  <c r="DO88" i="7" s="1"/>
  <c r="DV233" i="2"/>
  <c r="DN78" i="7" s="1"/>
  <c r="DW62" i="15" s="1"/>
  <c r="DT276" i="2"/>
  <c r="DT271" i="2" s="1"/>
  <c r="DS266" i="2"/>
  <c r="DS261" i="2" s="1"/>
  <c r="DV200" i="2"/>
  <c r="DU275" i="2"/>
  <c r="DT265" i="2"/>
  <c r="DY168" i="2"/>
  <c r="DQ16" i="7" s="1"/>
  <c r="DX167" i="2"/>
  <c r="DX197" i="2"/>
  <c r="DP36" i="7" s="1"/>
  <c r="DV154" i="2"/>
  <c r="DV242" i="2" s="1"/>
  <c r="DN87" i="7" s="1"/>
  <c r="DV201" i="2"/>
  <c r="DW196" i="2"/>
  <c r="DW209" i="2" s="1"/>
  <c r="DW212" i="2"/>
  <c r="DS271" i="2"/>
  <c r="EX215" i="18"/>
  <c r="CG115" i="11"/>
  <c r="DO91" i="18"/>
  <c r="EX91" i="18" s="1"/>
  <c r="DR54" i="18"/>
  <c r="EY56" i="18"/>
  <c r="FI56" i="18" s="1"/>
  <c r="DR100" i="12"/>
  <c r="EB87" i="12"/>
  <c r="EX117" i="18"/>
  <c r="EX99" i="18"/>
  <c r="EX88" i="15"/>
  <c r="EV232" i="18"/>
  <c r="EV233" i="18" s="1"/>
  <c r="CH133" i="11"/>
  <c r="DQ114" i="11"/>
  <c r="CH104" i="12"/>
  <c r="DQ83" i="12"/>
  <c r="DP127" i="12"/>
  <c r="EX116" i="18"/>
  <c r="DQ79" i="12"/>
  <c r="DR89" i="12"/>
  <c r="EB89" i="12" s="1"/>
  <c r="DN117" i="18"/>
  <c r="DN116" i="18"/>
  <c r="EO145" i="7"/>
  <c r="EB30" i="12"/>
  <c r="DR125" i="12"/>
  <c r="DR115" i="12"/>
  <c r="DR35" i="12"/>
  <c r="DR110" i="12"/>
  <c r="EX92" i="15"/>
  <c r="DR96" i="15"/>
  <c r="EY96" i="15" s="1"/>
  <c r="EY98" i="15"/>
  <c r="FI98" i="15" s="1"/>
  <c r="DQ110" i="11"/>
  <c r="CK117" i="11"/>
  <c r="DR119" i="11"/>
  <c r="EB119" i="11" s="1"/>
  <c r="EX113" i="15"/>
  <c r="DP156" i="11"/>
  <c r="CK100" i="12"/>
  <c r="DP97" i="18"/>
  <c r="DP96" i="18"/>
  <c r="DP94" i="18"/>
  <c r="DP98" i="18"/>
  <c r="DQ79" i="15"/>
  <c r="DQ77" i="15" s="1"/>
  <c r="DH112" i="7"/>
  <c r="DX155" i="2"/>
  <c r="DP7" i="7" s="1"/>
  <c r="DW156" i="2"/>
  <c r="DW154" i="2" s="1"/>
  <c r="DF161" i="7"/>
  <c r="DF162" i="7" s="1"/>
  <c r="DF154" i="7"/>
  <c r="CG146" i="11"/>
  <c r="CG134" i="11"/>
  <c r="DE145" i="7"/>
  <c r="DE153" i="7"/>
  <c r="EO153" i="7" s="1"/>
  <c r="DP149" i="18"/>
  <c r="DP145" i="18" s="1"/>
  <c r="CI69" i="12"/>
  <c r="CI83" i="12"/>
  <c r="DP77" i="15"/>
  <c r="DP92" i="15"/>
  <c r="CJ81" i="11"/>
  <c r="CJ92" i="11"/>
  <c r="DP99" i="18"/>
  <c r="CJ103" i="11"/>
  <c r="CJ71" i="12"/>
  <c r="CJ69" i="12" s="1"/>
  <c r="CJ79" i="12" s="1"/>
  <c r="DM168" i="18"/>
  <c r="DM115" i="15"/>
  <c r="DM129" i="15"/>
  <c r="DM143" i="15"/>
  <c r="EX143" i="15" s="1"/>
  <c r="EX131" i="15"/>
  <c r="CF105" i="12"/>
  <c r="CF117" i="12"/>
  <c r="CK115" i="12"/>
  <c r="CK35" i="12"/>
  <c r="CK125" i="12"/>
  <c r="CK110" i="12"/>
  <c r="CK42" i="12"/>
  <c r="DR42" i="12" s="1"/>
  <c r="EB42" i="12" s="1"/>
  <c r="CK57" i="12"/>
  <c r="CF134" i="11"/>
  <c r="CF146" i="11"/>
  <c r="DI105" i="7"/>
  <c r="EP105" i="7" s="1"/>
  <c r="DR85" i="15"/>
  <c r="EY85" i="15" s="1"/>
  <c r="FI85" i="15" s="1"/>
  <c r="DR130" i="18"/>
  <c r="EY130" i="18" s="1"/>
  <c r="FI130" i="18" s="1"/>
  <c r="DI114" i="7"/>
  <c r="EP114" i="7" s="1"/>
  <c r="EZ114" i="7" s="1"/>
  <c r="CK108" i="11"/>
  <c r="DR108" i="11" s="1"/>
  <c r="EB108" i="11" s="1"/>
  <c r="CK77" i="12"/>
  <c r="DR77" i="12" s="1"/>
  <c r="EB77" i="12" s="1"/>
  <c r="CI101" i="11"/>
  <c r="CI114" i="11"/>
  <c r="CJ55" i="12"/>
  <c r="CJ63" i="12"/>
  <c r="DM136" i="18"/>
  <c r="DM143" i="18" s="1"/>
  <c r="DJ198" i="18"/>
  <c r="DJ211" i="18"/>
  <c r="DG153" i="7"/>
  <c r="DG145" i="7"/>
  <c r="CF129" i="12"/>
  <c r="DN168" i="18"/>
  <c r="DN166" i="18" s="1"/>
  <c r="DN115" i="15"/>
  <c r="DN129" i="15"/>
  <c r="CG117" i="12"/>
  <c r="CG105" i="12"/>
  <c r="DK232" i="18"/>
  <c r="DK233" i="18" s="1"/>
  <c r="DK212" i="18"/>
  <c r="DQ149" i="18"/>
  <c r="DQ170" i="18" s="1"/>
  <c r="DP758" i="2"/>
  <c r="DQ216" i="18" s="1"/>
  <c r="DQ187" i="18"/>
  <c r="DQ70" i="18"/>
  <c r="DQ192" i="18"/>
  <c r="DQ182" i="18"/>
  <c r="DQ209" i="18"/>
  <c r="DM134" i="18"/>
  <c r="CH79" i="12"/>
  <c r="CH81" i="12"/>
  <c r="DQ81" i="12" s="1"/>
  <c r="DP95" i="18"/>
  <c r="DP110" i="18"/>
  <c r="CH110" i="11"/>
  <c r="CH112" i="11"/>
  <c r="DQ112" i="11" s="1"/>
  <c r="DP93" i="18"/>
  <c r="DO121" i="18"/>
  <c r="DO88" i="15"/>
  <c r="DO90" i="15"/>
  <c r="EX90" i="15" s="1"/>
  <c r="DR65" i="18"/>
  <c r="EY65" i="18" s="1"/>
  <c r="DR42" i="15"/>
  <c r="DR127" i="15"/>
  <c r="DR139" i="15"/>
  <c r="DR121" i="15"/>
  <c r="DO758" i="2"/>
  <c r="DP216" i="18" s="1"/>
  <c r="DP209" i="18"/>
  <c r="DP192" i="18"/>
  <c r="DP182" i="18"/>
  <c r="DP187" i="18"/>
  <c r="DP70" i="18"/>
  <c r="DP101" i="18"/>
  <c r="CF158" i="11"/>
  <c r="DS170" i="18" l="1"/>
  <c r="DS145" i="18"/>
  <c r="EN161" i="7"/>
  <c r="DT56" i="18"/>
  <c r="DT54" i="18" s="1"/>
  <c r="DT34" i="15"/>
  <c r="EZ30" i="15"/>
  <c r="EZ34" i="15" s="1"/>
  <c r="DD162" i="7"/>
  <c r="DS48" i="11"/>
  <c r="EW141" i="15"/>
  <c r="EW145" i="15" s="1"/>
  <c r="EW173" i="18"/>
  <c r="DQ107" i="18"/>
  <c r="DL211" i="18"/>
  <c r="DL198" i="18"/>
  <c r="DQ63" i="15"/>
  <c r="DM235" i="18"/>
  <c r="EW197" i="18"/>
  <c r="DQ108" i="18"/>
  <c r="DQ85" i="18"/>
  <c r="DQ71" i="15"/>
  <c r="DS51" i="15"/>
  <c r="DS73" i="15"/>
  <c r="DH93" i="7"/>
  <c r="DH94" i="7" s="1"/>
  <c r="CJ90" i="11"/>
  <c r="DN240" i="18"/>
  <c r="DM794" i="2" s="1"/>
  <c r="DN236" i="18"/>
  <c r="DN239" i="18"/>
  <c r="DM791" i="2" s="1"/>
  <c r="DO90" i="18"/>
  <c r="EX90" i="18" s="1"/>
  <c r="DH79" i="7"/>
  <c r="DH97" i="7"/>
  <c r="DR73" i="15"/>
  <c r="EY73" i="15" s="1"/>
  <c r="FI73" i="15" s="1"/>
  <c r="DR63" i="15"/>
  <c r="DR71" i="15"/>
  <c r="EY51" i="15"/>
  <c r="EY53" i="15"/>
  <c r="FI53" i="15" s="1"/>
  <c r="DR80" i="11"/>
  <c r="EB80" i="11" s="1"/>
  <c r="CK55" i="12"/>
  <c r="CK62" i="11"/>
  <c r="DR62" i="11" s="1"/>
  <c r="CK94" i="11"/>
  <c r="DI92" i="7"/>
  <c r="EP92" i="7" s="1"/>
  <c r="EZ92" i="7" s="1"/>
  <c r="DI68" i="7"/>
  <c r="EP68" i="7" s="1"/>
  <c r="DR85" i="18"/>
  <c r="DR83" i="18" s="1"/>
  <c r="CL81" i="11"/>
  <c r="CL63" i="12"/>
  <c r="CL92" i="11"/>
  <c r="CK63" i="12"/>
  <c r="EZ70" i="7"/>
  <c r="EZ99" i="7" s="1"/>
  <c r="EP99" i="7"/>
  <c r="CL55" i="12"/>
  <c r="DJ68" i="7"/>
  <c r="DJ93" i="7"/>
  <c r="DJ94" i="7" s="1"/>
  <c r="DR109" i="11"/>
  <c r="EB109" i="11" s="1"/>
  <c r="DR76" i="12"/>
  <c r="EB76" i="12" s="1"/>
  <c r="DR99" i="11"/>
  <c r="EB99" i="11" s="1"/>
  <c r="EB63" i="11"/>
  <c r="EB94" i="11" s="1"/>
  <c r="DR94" i="11"/>
  <c r="DR44" i="12"/>
  <c r="DR46" i="12"/>
  <c r="EB46" i="12" s="1"/>
  <c r="CK65" i="12"/>
  <c r="DR65" i="12" s="1"/>
  <c r="EB65" i="12" s="1"/>
  <c r="CK84" i="11"/>
  <c r="DR83" i="11"/>
  <c r="CN117" i="11"/>
  <c r="DS117" i="11" s="1"/>
  <c r="DS119" i="11"/>
  <c r="CN87" i="12"/>
  <c r="DS87" i="12" s="1"/>
  <c r="DS89" i="12"/>
  <c r="CQ28" i="11"/>
  <c r="DT28" i="11" s="1"/>
  <c r="DT15" i="11"/>
  <c r="CR29" i="11"/>
  <c r="CL61" i="12"/>
  <c r="CN28" i="12"/>
  <c r="DS24" i="12"/>
  <c r="DS85" i="11"/>
  <c r="CO40" i="11"/>
  <c r="CL84" i="11"/>
  <c r="DU147" i="18"/>
  <c r="EZ147" i="18" s="1"/>
  <c r="DR85" i="11"/>
  <c r="EZ32" i="15"/>
  <c r="DS129" i="18"/>
  <c r="DS132" i="18"/>
  <c r="FA12" i="15"/>
  <c r="DU128" i="18"/>
  <c r="EZ128" i="18" s="1"/>
  <c r="EZ83" i="15"/>
  <c r="FI42" i="15"/>
  <c r="DV96" i="15"/>
  <c r="DV147" i="18" s="1"/>
  <c r="DK99" i="7"/>
  <c r="DR129" i="18"/>
  <c r="EY84" i="15"/>
  <c r="FI84" i="15" s="1"/>
  <c r="DQ73" i="7"/>
  <c r="DZ58" i="15" s="1"/>
  <c r="DZ57" i="15"/>
  <c r="DU264" i="2"/>
  <c r="CM75" i="12"/>
  <c r="CM107" i="11"/>
  <c r="DL108" i="7"/>
  <c r="DL117" i="7"/>
  <c r="EQ117" i="7" s="1"/>
  <c r="DY57" i="15"/>
  <c r="FI127" i="15"/>
  <c r="EY139" i="15"/>
  <c r="FI121" i="15"/>
  <c r="EY42" i="15"/>
  <c r="EY121" i="15"/>
  <c r="EY127" i="15"/>
  <c r="DX15" i="18"/>
  <c r="FA15" i="18" s="1"/>
  <c r="FA17" i="18"/>
  <c r="EZ38" i="18"/>
  <c r="EZ50" i="18"/>
  <c r="EZ7" i="18"/>
  <c r="EZ3" i="18"/>
  <c r="DS54" i="18"/>
  <c r="DT145" i="18"/>
  <c r="DU38" i="15"/>
  <c r="DU236" i="2"/>
  <c r="CM59" i="12"/>
  <c r="DT53" i="15"/>
  <c r="DT56" i="15"/>
  <c r="DV32" i="15"/>
  <c r="DW36" i="18"/>
  <c r="DW48" i="18"/>
  <c r="DY12" i="15"/>
  <c r="DY23" i="15"/>
  <c r="DU53" i="15"/>
  <c r="DU51" i="15" s="1"/>
  <c r="DU85" i="18" s="1"/>
  <c r="DU83" i="18" s="1"/>
  <c r="DU56" i="15"/>
  <c r="DT130" i="18"/>
  <c r="DT85" i="15"/>
  <c r="DV50" i="18"/>
  <c r="DV38" i="18"/>
  <c r="DU34" i="18"/>
  <c r="DS65" i="15"/>
  <c r="DS42" i="15"/>
  <c r="DS65" i="18"/>
  <c r="DS127" i="15"/>
  <c r="DS121" i="15"/>
  <c r="DS139" i="15"/>
  <c r="DS109" i="15"/>
  <c r="DU56" i="18"/>
  <c r="DU54" i="18" s="1"/>
  <c r="DU34" i="15"/>
  <c r="DX21" i="15"/>
  <c r="FA21" i="15" s="1"/>
  <c r="DT65" i="18"/>
  <c r="DT42" i="15"/>
  <c r="DT127" i="15"/>
  <c r="DT121" i="15"/>
  <c r="DT139" i="15"/>
  <c r="DT109" i="15"/>
  <c r="DT225" i="2"/>
  <c r="DT224" i="2" s="1"/>
  <c r="CM65" i="12"/>
  <c r="CM81" i="11"/>
  <c r="CM108" i="11"/>
  <c r="CM77" i="12"/>
  <c r="DN134" i="7"/>
  <c r="DW98" i="15" s="1"/>
  <c r="DW96" i="15" s="1"/>
  <c r="CP127" i="11"/>
  <c r="CP98" i="12"/>
  <c r="CO56" i="11"/>
  <c r="CO51" i="11"/>
  <c r="CL109" i="11"/>
  <c r="CL76" i="12"/>
  <c r="EQ81" i="7"/>
  <c r="CN46" i="12"/>
  <c r="CN44" i="12" s="1"/>
  <c r="CN80" i="11"/>
  <c r="CN99" i="11" s="1"/>
  <c r="CN63" i="11"/>
  <c r="CN62" i="11" s="1"/>
  <c r="CO68" i="11"/>
  <c r="CO48" i="12"/>
  <c r="CO67" i="11"/>
  <c r="CM59" i="11"/>
  <c r="CM92" i="11"/>
  <c r="CM83" i="11"/>
  <c r="CM84" i="11" s="1"/>
  <c r="CM144" i="11"/>
  <c r="CM139" i="11"/>
  <c r="CM154" i="11"/>
  <c r="CM63" i="12"/>
  <c r="CM57" i="12"/>
  <c r="CM61" i="12" s="1"/>
  <c r="CM35" i="12"/>
  <c r="CM42" i="12"/>
  <c r="CM115" i="12"/>
  <c r="CM110" i="12"/>
  <c r="CM125" i="12"/>
  <c r="ER88" i="7"/>
  <c r="CQ54" i="12"/>
  <c r="DT54" i="12" s="1"/>
  <c r="CQ76" i="11"/>
  <c r="DT76" i="11" s="1"/>
  <c r="CM94" i="11"/>
  <c r="CO24" i="12"/>
  <c r="CO32" i="12"/>
  <c r="CR10" i="12"/>
  <c r="CR19" i="12"/>
  <c r="CN74" i="12"/>
  <c r="DS74" i="12" s="1"/>
  <c r="CN106" i="11"/>
  <c r="DS106" i="11" s="1"/>
  <c r="CR15" i="11"/>
  <c r="CR34" i="11"/>
  <c r="CM129" i="11"/>
  <c r="CQ17" i="12"/>
  <c r="DT17" i="12" s="1"/>
  <c r="CP53" i="12"/>
  <c r="CP75" i="11"/>
  <c r="CM55" i="12"/>
  <c r="CN85" i="11"/>
  <c r="CN50" i="11"/>
  <c r="CO119" i="11"/>
  <c r="CO89" i="12"/>
  <c r="DQ15" i="7"/>
  <c r="DZ14" i="15" s="1"/>
  <c r="CS12" i="12"/>
  <c r="CS21" i="11"/>
  <c r="CS16" i="11"/>
  <c r="CS29" i="11" s="1"/>
  <c r="CP26" i="12"/>
  <c r="CP46" i="11"/>
  <c r="CP40" i="11" s="1"/>
  <c r="CP48" i="11" s="1"/>
  <c r="CP41" i="11"/>
  <c r="DK69" i="7"/>
  <c r="DK68" i="7" s="1"/>
  <c r="CN59" i="12"/>
  <c r="CN30" i="12"/>
  <c r="DS30" i="12" s="1"/>
  <c r="ES84" i="7"/>
  <c r="CT72" i="11"/>
  <c r="DU72" i="11" s="1"/>
  <c r="CT50" i="12"/>
  <c r="DU50" i="12" s="1"/>
  <c r="DU226" i="2"/>
  <c r="DU225" i="2" s="1"/>
  <c r="DU224" i="2" s="1"/>
  <c r="DW200" i="2"/>
  <c r="DW215" i="2" s="1"/>
  <c r="DO54" i="7" s="1"/>
  <c r="ER35" i="7"/>
  <c r="DV216" i="2"/>
  <c r="DN55" i="7" s="1"/>
  <c r="DW58" i="18" s="1"/>
  <c r="DN40" i="7"/>
  <c r="DM62" i="7"/>
  <c r="DP35" i="7"/>
  <c r="DM57" i="7"/>
  <c r="DM142" i="7" s="1"/>
  <c r="DM116" i="7"/>
  <c r="DM107" i="7"/>
  <c r="DV83" i="15" s="1"/>
  <c r="DL65" i="7"/>
  <c r="DL151" i="7"/>
  <c r="DL148" i="7"/>
  <c r="EQ57" i="7"/>
  <c r="DL142" i="7"/>
  <c r="DM52" i="7"/>
  <c r="DJ114" i="7"/>
  <c r="DM81" i="7"/>
  <c r="DN49" i="7"/>
  <c r="DN52" i="7" s="1"/>
  <c r="DN58" i="7"/>
  <c r="EZ65" i="7"/>
  <c r="EZ151" i="7"/>
  <c r="EZ148" i="7"/>
  <c r="DV237" i="2"/>
  <c r="DN82" i="7" s="1"/>
  <c r="EQ116" i="7"/>
  <c r="DW201" i="2"/>
  <c r="DO8" i="7"/>
  <c r="ER8" i="7" s="1"/>
  <c r="DL109" i="7"/>
  <c r="DL118" i="7"/>
  <c r="EQ107" i="7"/>
  <c r="DJ105" i="7"/>
  <c r="DS79" i="15" s="1"/>
  <c r="DV215" i="2"/>
  <c r="DN54" i="7" s="1"/>
  <c r="DN39" i="7"/>
  <c r="DM61" i="7"/>
  <c r="DL69" i="7"/>
  <c r="DL99" i="7"/>
  <c r="EQ70" i="7"/>
  <c r="DW211" i="2"/>
  <c r="DO50" i="7"/>
  <c r="DK119" i="7"/>
  <c r="DK110" i="7"/>
  <c r="DT86" i="15" s="1"/>
  <c r="DT132" i="18" s="1"/>
  <c r="EX145" i="18"/>
  <c r="EX164" i="18" s="1"/>
  <c r="DP91" i="18"/>
  <c r="DR147" i="18"/>
  <c r="EY147" i="18" s="1"/>
  <c r="FI147" i="18" s="1"/>
  <c r="DW297" i="2"/>
  <c r="DO141" i="7" s="1"/>
  <c r="DX161" i="18" s="1"/>
  <c r="FA161" i="18" s="1"/>
  <c r="DV291" i="2"/>
  <c r="DV298" i="2" s="1"/>
  <c r="DQ145" i="18"/>
  <c r="DQ164" i="18" s="1"/>
  <c r="DW242" i="2"/>
  <c r="DO87" i="7" s="1"/>
  <c r="DV232" i="2"/>
  <c r="DN77" i="7" s="1"/>
  <c r="DW61" i="15" s="1"/>
  <c r="DX243" i="2"/>
  <c r="DP88" i="7" s="1"/>
  <c r="DW233" i="2"/>
  <c r="DO78" i="7" s="1"/>
  <c r="DX196" i="2"/>
  <c r="DX209" i="2" s="1"/>
  <c r="DX212" i="2"/>
  <c r="DX172" i="2"/>
  <c r="DP19" i="7" s="1"/>
  <c r="DW171" i="2"/>
  <c r="DY167" i="2"/>
  <c r="DZ168" i="2"/>
  <c r="DR16" i="7" s="1"/>
  <c r="DY197" i="2"/>
  <c r="DQ36" i="7" s="1"/>
  <c r="DU265" i="2"/>
  <c r="DV275" i="2"/>
  <c r="DZ229" i="2"/>
  <c r="ES72" i="7" s="1"/>
  <c r="EA239" i="2"/>
  <c r="DS84" i="7" s="1"/>
  <c r="DW220" i="2"/>
  <c r="DW219" i="2" s="1"/>
  <c r="DW263" i="2" s="1"/>
  <c r="DU276" i="2"/>
  <c r="DT266" i="2"/>
  <c r="DR109" i="15"/>
  <c r="DR61" i="18"/>
  <c r="EY54" i="18"/>
  <c r="EZ79" i="7"/>
  <c r="CK129" i="11"/>
  <c r="DR117" i="11"/>
  <c r="EY69" i="15"/>
  <c r="FI65" i="15"/>
  <c r="FI69" i="15" s="1"/>
  <c r="DQ115" i="11"/>
  <c r="EX94" i="15"/>
  <c r="DO119" i="18"/>
  <c r="EX121" i="18"/>
  <c r="EO154" i="7"/>
  <c r="DP130" i="12"/>
  <c r="DP159" i="11"/>
  <c r="EB100" i="12"/>
  <c r="EB125" i="12"/>
  <c r="EB110" i="12"/>
  <c r="EB35" i="12"/>
  <c r="EB115" i="12"/>
  <c r="CH119" i="12"/>
  <c r="DQ104" i="12"/>
  <c r="CK61" i="12"/>
  <c r="DR57" i="12"/>
  <c r="DQ85" i="12"/>
  <c r="CH148" i="11"/>
  <c r="DQ133" i="11"/>
  <c r="EY73" i="18"/>
  <c r="FI65" i="18"/>
  <c r="EP112" i="7"/>
  <c r="EZ105" i="7"/>
  <c r="EZ112" i="7" s="1"/>
  <c r="EY109" i="15"/>
  <c r="FI96" i="15"/>
  <c r="FI109" i="15" s="1"/>
  <c r="CJ83" i="12"/>
  <c r="CJ104" i="12" s="1"/>
  <c r="CJ119" i="12" s="1"/>
  <c r="CJ129" i="12" s="1"/>
  <c r="DQ92" i="15"/>
  <c r="DQ113" i="15" s="1"/>
  <c r="DQ131" i="15" s="1"/>
  <c r="DQ143" i="15" s="1"/>
  <c r="CK71" i="12"/>
  <c r="CK103" i="11"/>
  <c r="DR103" i="11" s="1"/>
  <c r="EB103" i="11" s="1"/>
  <c r="CJ101" i="11"/>
  <c r="CJ110" i="11" s="1"/>
  <c r="CJ114" i="11"/>
  <c r="CJ133" i="11" s="1"/>
  <c r="CJ148" i="11" s="1"/>
  <c r="CJ158" i="11" s="1"/>
  <c r="DP164" i="18"/>
  <c r="DP107" i="18"/>
  <c r="DP108" i="18"/>
  <c r="CH102" i="12"/>
  <c r="DQ102" i="12" s="1"/>
  <c r="CH85" i="12"/>
  <c r="CF127" i="12"/>
  <c r="CF120" i="12"/>
  <c r="DR63" i="18"/>
  <c r="DR73" i="18"/>
  <c r="CH131" i="11"/>
  <c r="DQ131" i="11" s="1"/>
  <c r="CH115" i="11"/>
  <c r="CJ93" i="11"/>
  <c r="DX156" i="2"/>
  <c r="DP8" i="7" s="1"/>
  <c r="DY155" i="2"/>
  <c r="DQ7" i="7" s="1"/>
  <c r="CF156" i="11"/>
  <c r="CF149" i="11"/>
  <c r="DE161" i="7"/>
  <c r="DE154" i="7"/>
  <c r="DP113" i="15"/>
  <c r="CJ81" i="12"/>
  <c r="CJ67" i="12"/>
  <c r="DO756" i="2"/>
  <c r="DP215" i="18"/>
  <c r="DR103" i="18"/>
  <c r="DR69" i="15"/>
  <c r="CG120" i="12"/>
  <c r="CG127" i="12"/>
  <c r="CG130" i="12" s="1"/>
  <c r="DP121" i="18"/>
  <c r="DP88" i="15"/>
  <c r="DP90" i="15"/>
  <c r="DN141" i="15"/>
  <c r="DN145" i="15" s="1"/>
  <c r="DN133" i="15"/>
  <c r="DG154" i="7"/>
  <c r="DG161" i="7"/>
  <c r="CI133" i="11"/>
  <c r="CG149" i="11"/>
  <c r="CG156" i="11"/>
  <c r="CG159" i="11" s="1"/>
  <c r="DO94" i="15"/>
  <c r="DO138" i="18"/>
  <c r="DO111" i="15"/>
  <c r="EX111" i="15" s="1"/>
  <c r="CI110" i="11"/>
  <c r="CI112" i="11"/>
  <c r="DR79" i="15"/>
  <c r="EY79" i="15" s="1"/>
  <c r="FI79" i="15" s="1"/>
  <c r="DI112" i="7"/>
  <c r="DM141" i="15"/>
  <c r="DM133" i="15"/>
  <c r="CI104" i="12"/>
  <c r="CI79" i="12"/>
  <c r="CI81" i="12"/>
  <c r="DQ121" i="18"/>
  <c r="DQ119" i="18" s="1"/>
  <c r="DQ134" i="18" s="1"/>
  <c r="DQ88" i="15"/>
  <c r="DP756" i="2"/>
  <c r="DQ215" i="18"/>
  <c r="DQ214" i="18" s="1"/>
  <c r="DN173" i="18"/>
  <c r="DN197" i="18"/>
  <c r="DM166" i="18"/>
  <c r="DJ232" i="18"/>
  <c r="DJ212" i="18"/>
  <c r="DP117" i="18"/>
  <c r="DP116" i="18"/>
  <c r="DP170" i="18"/>
  <c r="EN162" i="7" l="1"/>
  <c r="DT61" i="18"/>
  <c r="DS85" i="18"/>
  <c r="DS83" i="18" s="1"/>
  <c r="DQ90" i="15"/>
  <c r="DQ83" i="18"/>
  <c r="DQ98" i="18" s="1"/>
  <c r="DL232" i="18"/>
  <c r="DL233" i="18" s="1"/>
  <c r="DQ75" i="15"/>
  <c r="EW211" i="18"/>
  <c r="EW198" i="18"/>
  <c r="DL212" i="18"/>
  <c r="DQ112" i="18"/>
  <c r="DS71" i="15"/>
  <c r="DH98" i="7"/>
  <c r="DH129" i="7"/>
  <c r="DO239" i="18"/>
  <c r="DO240" i="18"/>
  <c r="DO236" i="18"/>
  <c r="DP90" i="18"/>
  <c r="DN235" i="18"/>
  <c r="DS59" i="12"/>
  <c r="DU149" i="18"/>
  <c r="CL93" i="11"/>
  <c r="CL67" i="12"/>
  <c r="DJ79" i="7"/>
  <c r="DJ97" i="7"/>
  <c r="EY63" i="15"/>
  <c r="CK92" i="11"/>
  <c r="DR92" i="11" s="1"/>
  <c r="DR63" i="12"/>
  <c r="DR67" i="12" s="1"/>
  <c r="EY71" i="15"/>
  <c r="EY75" i="15" s="1"/>
  <c r="EB62" i="11"/>
  <c r="DR81" i="11"/>
  <c r="EP93" i="7"/>
  <c r="EP94" i="7" s="1"/>
  <c r="EZ93" i="7"/>
  <c r="EZ94" i="7" s="1"/>
  <c r="EP79" i="7"/>
  <c r="FI51" i="15"/>
  <c r="FI63" i="15" s="1"/>
  <c r="DR98" i="18"/>
  <c r="EY85" i="18"/>
  <c r="FI85" i="18" s="1"/>
  <c r="CK67" i="12"/>
  <c r="DI93" i="7"/>
  <c r="DI94" i="7" s="1"/>
  <c r="CK90" i="11"/>
  <c r="DR90" i="11" s="1"/>
  <c r="EB90" i="11" s="1"/>
  <c r="DR112" i="18"/>
  <c r="DR110" i="18" s="1"/>
  <c r="DR75" i="15"/>
  <c r="DI79" i="7"/>
  <c r="DI97" i="7"/>
  <c r="EP97" i="7" s="1"/>
  <c r="CK81" i="11"/>
  <c r="DS50" i="11"/>
  <c r="DR84" i="11"/>
  <c r="EB83" i="11"/>
  <c r="EB84" i="11" s="1"/>
  <c r="DS100" i="12"/>
  <c r="DS28" i="12"/>
  <c r="CO48" i="11"/>
  <c r="DS99" i="11"/>
  <c r="CN65" i="12"/>
  <c r="DS65" i="12" s="1"/>
  <c r="DR55" i="12"/>
  <c r="EB44" i="12"/>
  <c r="EB55" i="12" s="1"/>
  <c r="DS44" i="12"/>
  <c r="DS46" i="12"/>
  <c r="DS80" i="11"/>
  <c r="DS62" i="11"/>
  <c r="DS63" i="11"/>
  <c r="CO28" i="12"/>
  <c r="CR28" i="11"/>
  <c r="CO117" i="11"/>
  <c r="CO87" i="12"/>
  <c r="DS35" i="12"/>
  <c r="DS110" i="12"/>
  <c r="DS115" i="12"/>
  <c r="DS125" i="12"/>
  <c r="DU36" i="15"/>
  <c r="EZ36" i="15" s="1"/>
  <c r="EZ38" i="15"/>
  <c r="EY129" i="18"/>
  <c r="DY17" i="18"/>
  <c r="DY15" i="18" s="1"/>
  <c r="DV128" i="18"/>
  <c r="DT65" i="15"/>
  <c r="DT69" i="15" s="1"/>
  <c r="EZ56" i="15"/>
  <c r="DS77" i="15"/>
  <c r="DU67" i="15"/>
  <c r="EZ67" i="15" s="1"/>
  <c r="EZ53" i="15"/>
  <c r="DW32" i="15"/>
  <c r="DU84" i="15"/>
  <c r="EQ108" i="7"/>
  <c r="DR73" i="7"/>
  <c r="EA58" i="15" s="1"/>
  <c r="FB58" i="15" s="1"/>
  <c r="EA57" i="15"/>
  <c r="FB57" i="15" s="1"/>
  <c r="DV264" i="2"/>
  <c r="DU234" i="2"/>
  <c r="DT234" i="2"/>
  <c r="CN75" i="12"/>
  <c r="DS75" i="12" s="1"/>
  <c r="CN107" i="11"/>
  <c r="DS107" i="11" s="1"/>
  <c r="DM108" i="7"/>
  <c r="DM117" i="7"/>
  <c r="EZ56" i="18"/>
  <c r="DU61" i="18"/>
  <c r="EZ34" i="18"/>
  <c r="DV7" i="18"/>
  <c r="DV46" i="18"/>
  <c r="DS61" i="18"/>
  <c r="EZ54" i="18"/>
  <c r="FI73" i="18"/>
  <c r="G14" i="24"/>
  <c r="DK92" i="7"/>
  <c r="DK93" i="7" s="1"/>
  <c r="DK94" i="7" s="1"/>
  <c r="DS92" i="15"/>
  <c r="DY21" i="15"/>
  <c r="DV34" i="18"/>
  <c r="DU73" i="15"/>
  <c r="DV30" i="15"/>
  <c r="DV38" i="15"/>
  <c r="DZ12" i="15"/>
  <c r="DZ17" i="18" s="1"/>
  <c r="DZ15" i="18" s="1"/>
  <c r="DZ23" i="15"/>
  <c r="DT51" i="15"/>
  <c r="EZ51" i="15" s="1"/>
  <c r="DT73" i="15"/>
  <c r="ER78" i="7"/>
  <c r="DX62" i="15"/>
  <c r="FA62" i="15" s="1"/>
  <c r="DW147" i="18"/>
  <c r="DW149" i="18" s="1"/>
  <c r="DU130" i="18"/>
  <c r="EZ130" i="18" s="1"/>
  <c r="DU85" i="15"/>
  <c r="EZ85" i="15" s="1"/>
  <c r="DW50" i="18"/>
  <c r="DW46" i="18" s="1"/>
  <c r="DW38" i="18"/>
  <c r="DW7" i="18" s="1"/>
  <c r="DW3" i="18" s="1"/>
  <c r="DT73" i="18"/>
  <c r="DT63" i="18"/>
  <c r="DS73" i="18"/>
  <c r="DS63" i="18"/>
  <c r="DV149" i="18"/>
  <c r="DX36" i="18"/>
  <c r="FA36" i="18" s="1"/>
  <c r="DX48" i="18"/>
  <c r="FA48" i="18" s="1"/>
  <c r="DS69" i="15"/>
  <c r="DS103" i="18"/>
  <c r="CN94" i="11"/>
  <c r="CN55" i="12"/>
  <c r="DM70" i="7"/>
  <c r="CO59" i="12" s="1"/>
  <c r="DO134" i="7"/>
  <c r="DX98" i="15" s="1"/>
  <c r="DX96" i="15" s="1"/>
  <c r="FA96" i="15" s="1"/>
  <c r="CQ127" i="11"/>
  <c r="DT127" i="11" s="1"/>
  <c r="CQ98" i="12"/>
  <c r="DT98" i="12" s="1"/>
  <c r="CO30" i="12"/>
  <c r="CO50" i="11"/>
  <c r="CO85" i="11"/>
  <c r="DR15" i="7"/>
  <c r="EA14" i="15" s="1"/>
  <c r="FB14" i="15" s="1"/>
  <c r="CT12" i="12"/>
  <c r="DU12" i="12" s="1"/>
  <c r="CT16" i="11"/>
  <c r="CT21" i="11"/>
  <c r="DU21" i="11" s="1"/>
  <c r="CM67" i="12"/>
  <c r="DN81" i="7"/>
  <c r="CP48" i="12"/>
  <c r="CP68" i="11"/>
  <c r="CP67" i="11"/>
  <c r="CO74" i="12"/>
  <c r="CO106" i="11"/>
  <c r="DN57" i="7"/>
  <c r="DN142" i="7" s="1"/>
  <c r="CP56" i="11"/>
  <c r="CP51" i="11"/>
  <c r="CP24" i="12"/>
  <c r="CP28" i="12" s="1"/>
  <c r="CP32" i="12"/>
  <c r="CM93" i="11"/>
  <c r="DK105" i="7"/>
  <c r="DT79" i="15" s="1"/>
  <c r="DT77" i="15" s="1"/>
  <c r="EQ118" i="7"/>
  <c r="CN77" i="12"/>
  <c r="DS77" i="12" s="1"/>
  <c r="CN108" i="11"/>
  <c r="DS108" i="11" s="1"/>
  <c r="CN83" i="11"/>
  <c r="CN84" i="11" s="1"/>
  <c r="CN92" i="11"/>
  <c r="DS92" i="11" s="1"/>
  <c r="CN59" i="11"/>
  <c r="CN144" i="11"/>
  <c r="CN139" i="11"/>
  <c r="CN154" i="11"/>
  <c r="CN129" i="11"/>
  <c r="CU50" i="12"/>
  <c r="CU72" i="11"/>
  <c r="CR76" i="11"/>
  <c r="CR54" i="12"/>
  <c r="DK114" i="7"/>
  <c r="CM76" i="12"/>
  <c r="CM109" i="11"/>
  <c r="EQ109" i="7"/>
  <c r="CO80" i="11"/>
  <c r="CO46" i="12"/>
  <c r="CO63" i="11"/>
  <c r="CN81" i="11"/>
  <c r="CP119" i="11"/>
  <c r="CP117" i="11" s="1"/>
  <c r="CP89" i="12"/>
  <c r="CP87" i="12" s="1"/>
  <c r="CR17" i="12"/>
  <c r="ER50" i="7"/>
  <c r="CQ41" i="11"/>
  <c r="DT41" i="11" s="1"/>
  <c r="CQ46" i="11"/>
  <c r="CQ26" i="12"/>
  <c r="DT26" i="12" s="1"/>
  <c r="CL71" i="12"/>
  <c r="CL103" i="11"/>
  <c r="CS15" i="11"/>
  <c r="CS28" i="11" s="1"/>
  <c r="CS34" i="11"/>
  <c r="ER87" i="7"/>
  <c r="CQ75" i="11"/>
  <c r="DT75" i="11" s="1"/>
  <c r="CQ53" i="12"/>
  <c r="DT53" i="12" s="1"/>
  <c r="CS10" i="12"/>
  <c r="CS19" i="12"/>
  <c r="CN35" i="12"/>
  <c r="CN63" i="12"/>
  <c r="DS63" i="12" s="1"/>
  <c r="CN57" i="12"/>
  <c r="CN61" i="12" s="1"/>
  <c r="CN42" i="12"/>
  <c r="DS42" i="12" s="1"/>
  <c r="CN115" i="12"/>
  <c r="CN110" i="12"/>
  <c r="CN125" i="12"/>
  <c r="CN100" i="12"/>
  <c r="DO39" i="7"/>
  <c r="DO61" i="7" s="1"/>
  <c r="DK79" i="7"/>
  <c r="DK97" i="7"/>
  <c r="DK98" i="7" s="1"/>
  <c r="ER54" i="7"/>
  <c r="DV226" i="2"/>
  <c r="DN70" i="7" s="1"/>
  <c r="DV236" i="2"/>
  <c r="ER141" i="7"/>
  <c r="DR149" i="18"/>
  <c r="DR170" i="18" s="1"/>
  <c r="EY170" i="18" s="1"/>
  <c r="FI170" i="18" s="1"/>
  <c r="G55" i="24" s="1"/>
  <c r="DX211" i="2"/>
  <c r="DP50" i="7"/>
  <c r="DW237" i="2"/>
  <c r="DO82" i="7" s="1"/>
  <c r="DL68" i="7"/>
  <c r="EQ69" i="7"/>
  <c r="DN62" i="7"/>
  <c r="DW216" i="2"/>
  <c r="DO55" i="7" s="1"/>
  <c r="DX32" i="15" s="1"/>
  <c r="DO40" i="7"/>
  <c r="DM65" i="7"/>
  <c r="DM151" i="7"/>
  <c r="DM148" i="7"/>
  <c r="DM118" i="7"/>
  <c r="DM109" i="7"/>
  <c r="DN61" i="7"/>
  <c r="EQ65" i="7"/>
  <c r="EQ151" i="7"/>
  <c r="EQ148" i="7"/>
  <c r="EQ142" i="7"/>
  <c r="DJ112" i="7"/>
  <c r="DN107" i="7"/>
  <c r="DW83" i="15" s="1"/>
  <c r="DW128" i="18" s="1"/>
  <c r="DN116" i="7"/>
  <c r="DP47" i="7"/>
  <c r="DQ35" i="7"/>
  <c r="DQ47" i="7" s="1"/>
  <c r="DO49" i="7"/>
  <c r="DO58" i="7"/>
  <c r="ES16" i="7"/>
  <c r="DL92" i="7"/>
  <c r="CN90" i="11" s="1"/>
  <c r="EQ99" i="7"/>
  <c r="DT261" i="2"/>
  <c r="DL110" i="7"/>
  <c r="DU86" i="15" s="1"/>
  <c r="DU132" i="18" s="1"/>
  <c r="EZ132" i="18" s="1"/>
  <c r="DL119" i="7"/>
  <c r="DX297" i="2"/>
  <c r="DP141" i="7" s="1"/>
  <c r="DY161" i="18" s="1"/>
  <c r="DW291" i="2"/>
  <c r="DW298" i="2" s="1"/>
  <c r="DY196" i="2"/>
  <c r="DY209" i="2" s="1"/>
  <c r="DY212" i="2"/>
  <c r="DU266" i="2"/>
  <c r="DV276" i="2"/>
  <c r="DV271" i="2" s="1"/>
  <c r="EA168" i="2"/>
  <c r="DS16" i="7" s="1"/>
  <c r="DZ167" i="2"/>
  <c r="DZ197" i="2"/>
  <c r="DR36" i="7" s="1"/>
  <c r="ES36" i="7" s="1"/>
  <c r="EB239" i="2"/>
  <c r="DT84" i="7" s="1"/>
  <c r="EA229" i="2"/>
  <c r="DX171" i="2"/>
  <c r="DY172" i="2"/>
  <c r="DQ19" i="7" s="1"/>
  <c r="DU271" i="2"/>
  <c r="DW275" i="2"/>
  <c r="DV265" i="2"/>
  <c r="DX220" i="2"/>
  <c r="DX219" i="2" s="1"/>
  <c r="DX263" i="2" s="1"/>
  <c r="DX154" i="2"/>
  <c r="DX242" i="2" s="1"/>
  <c r="DP87" i="7" s="1"/>
  <c r="DX201" i="2"/>
  <c r="DY243" i="2"/>
  <c r="DQ88" i="7" s="1"/>
  <c r="DX233" i="2"/>
  <c r="DP78" i="7" s="1"/>
  <c r="DY62" i="15" s="1"/>
  <c r="DX200" i="2"/>
  <c r="DW232" i="2"/>
  <c r="DO77" i="7" s="1"/>
  <c r="CJ112" i="11"/>
  <c r="CJ115" i="11" s="1"/>
  <c r="EY61" i="18"/>
  <c r="FI54" i="18"/>
  <c r="FI61" i="18" s="1"/>
  <c r="DQ134" i="11"/>
  <c r="DR99" i="18"/>
  <c r="EY63" i="18"/>
  <c r="DR61" i="12"/>
  <c r="EB57" i="12"/>
  <c r="EB61" i="12" s="1"/>
  <c r="DR129" i="11"/>
  <c r="EB117" i="11"/>
  <c r="EB129" i="11" s="1"/>
  <c r="CH158" i="11"/>
  <c r="DQ158" i="11" s="1"/>
  <c r="DQ148" i="11"/>
  <c r="DE162" i="7"/>
  <c r="EO161" i="7"/>
  <c r="CH129" i="12"/>
  <c r="DQ119" i="12"/>
  <c r="DR101" i="18"/>
  <c r="EY101" i="18" s="1"/>
  <c r="FI101" i="18" s="1"/>
  <c r="G25" i="24" s="1"/>
  <c r="O25" i="24" s="1"/>
  <c r="EY103" i="18"/>
  <c r="FI103" i="18" s="1"/>
  <c r="G27" i="24" s="1"/>
  <c r="CK69" i="12"/>
  <c r="DR71" i="12"/>
  <c r="EB71" i="12" s="1"/>
  <c r="DO136" i="18"/>
  <c r="DO143" i="18" s="1"/>
  <c r="EX138" i="18"/>
  <c r="EX115" i="15"/>
  <c r="DO134" i="18"/>
  <c r="EX119" i="18"/>
  <c r="DQ105" i="12"/>
  <c r="DP119" i="18"/>
  <c r="DP131" i="15"/>
  <c r="DJ233" i="18"/>
  <c r="DM145" i="15"/>
  <c r="CH105" i="12"/>
  <c r="CH117" i="12"/>
  <c r="DQ117" i="12" s="1"/>
  <c r="DR77" i="15"/>
  <c r="EY77" i="15" s="1"/>
  <c r="DR92" i="15"/>
  <c r="CI148" i="11"/>
  <c r="DG162" i="7"/>
  <c r="DP214" i="18"/>
  <c r="CF159" i="11"/>
  <c r="CH134" i="11"/>
  <c r="CH146" i="11"/>
  <c r="DQ146" i="11" s="1"/>
  <c r="DM173" i="18"/>
  <c r="DM197" i="18"/>
  <c r="CI85" i="12"/>
  <c r="CI102" i="12"/>
  <c r="DR192" i="18"/>
  <c r="DR209" i="18"/>
  <c r="DR182" i="18"/>
  <c r="DR70" i="18"/>
  <c r="DR187" i="18"/>
  <c r="DQ758" i="2"/>
  <c r="DR216" i="18" s="1"/>
  <c r="EY216" i="18" s="1"/>
  <c r="FI216" i="18" s="1"/>
  <c r="CI115" i="11"/>
  <c r="CI131" i="11"/>
  <c r="DZ155" i="2"/>
  <c r="DR7" i="7" s="1"/>
  <c r="ES7" i="7" s="1"/>
  <c r="DY156" i="2"/>
  <c r="DQ8" i="7" s="1"/>
  <c r="CJ85" i="12"/>
  <c r="CJ102" i="12"/>
  <c r="CI119" i="12"/>
  <c r="DO168" i="18"/>
  <c r="DO115" i="15"/>
  <c r="DO129" i="15"/>
  <c r="EX129" i="15" s="1"/>
  <c r="DP138" i="18"/>
  <c r="DP111" i="15"/>
  <c r="DP94" i="15"/>
  <c r="CK101" i="11"/>
  <c r="CK114" i="11"/>
  <c r="DN198" i="18"/>
  <c r="DN211" i="18"/>
  <c r="CF130" i="12"/>
  <c r="CK83" i="12"/>
  <c r="DS59" i="11" l="1"/>
  <c r="DS144" i="11"/>
  <c r="DS90" i="15"/>
  <c r="DS154" i="11"/>
  <c r="DS139" i="11"/>
  <c r="DS129" i="11"/>
  <c r="EX240" i="18"/>
  <c r="DN794" i="2"/>
  <c r="EX239" i="18"/>
  <c r="DN791" i="2"/>
  <c r="DS112" i="18"/>
  <c r="DS75" i="15"/>
  <c r="DQ95" i="18"/>
  <c r="DQ111" i="15"/>
  <c r="DQ92" i="18"/>
  <c r="DR92" i="18" s="1"/>
  <c r="DQ97" i="18"/>
  <c r="DR97" i="18" s="1"/>
  <c r="DS97" i="18" s="1"/>
  <c r="DQ99" i="18"/>
  <c r="EY83" i="18"/>
  <c r="DQ93" i="18"/>
  <c r="EW212" i="18"/>
  <c r="EW232" i="18"/>
  <c r="DQ94" i="15"/>
  <c r="DQ94" i="18"/>
  <c r="DR94" i="18" s="1"/>
  <c r="DS94" i="18" s="1"/>
  <c r="DQ110" i="18"/>
  <c r="DQ96" i="18"/>
  <c r="DQ91" i="18"/>
  <c r="DQ138" i="18"/>
  <c r="DQ136" i="18" s="1"/>
  <c r="DQ143" i="18" s="1"/>
  <c r="DH132" i="7"/>
  <c r="DH144" i="7"/>
  <c r="DP236" i="18"/>
  <c r="DP240" i="18"/>
  <c r="DO794" i="2" s="1"/>
  <c r="DP239" i="18"/>
  <c r="DO791" i="2" s="1"/>
  <c r="DQ90" i="18"/>
  <c r="EX236" i="18"/>
  <c r="DO235" i="18"/>
  <c r="EX235" i="18" s="1"/>
  <c r="DM99" i="7"/>
  <c r="DS98" i="18"/>
  <c r="DU170" i="18"/>
  <c r="EZ170" i="18" s="1"/>
  <c r="EZ149" i="18"/>
  <c r="DU145" i="18"/>
  <c r="EZ145" i="18" s="1"/>
  <c r="DU65" i="18"/>
  <c r="EZ65" i="18" s="1"/>
  <c r="DU71" i="15"/>
  <c r="DU42" i="15"/>
  <c r="DJ98" i="7"/>
  <c r="DJ129" i="7"/>
  <c r="CK93" i="11"/>
  <c r="DM69" i="7"/>
  <c r="DM92" i="7" s="1"/>
  <c r="CO90" i="11" s="1"/>
  <c r="EB63" i="12"/>
  <c r="EB67" i="12" s="1"/>
  <c r="FI71" i="15"/>
  <c r="FI75" i="15" s="1"/>
  <c r="DR93" i="11"/>
  <c r="EB92" i="11"/>
  <c r="EB93" i="11" s="1"/>
  <c r="EP98" i="7"/>
  <c r="EZ97" i="7"/>
  <c r="EZ98" i="7" s="1"/>
  <c r="EY112" i="18"/>
  <c r="FI112" i="18" s="1"/>
  <c r="G36" i="24" s="1"/>
  <c r="DR117" i="18"/>
  <c r="DR116" i="18"/>
  <c r="DI98" i="7"/>
  <c r="DI129" i="7"/>
  <c r="EP129" i="7" s="1"/>
  <c r="DS57" i="12"/>
  <c r="DS83" i="11"/>
  <c r="DS55" i="12"/>
  <c r="DS81" i="11"/>
  <c r="DS94" i="11"/>
  <c r="DU121" i="15"/>
  <c r="DU109" i="15"/>
  <c r="DW30" i="15"/>
  <c r="DW38" i="15"/>
  <c r="ES73" i="7"/>
  <c r="CT29" i="11"/>
  <c r="DU29" i="11" s="1"/>
  <c r="DU16" i="11"/>
  <c r="DS93" i="11"/>
  <c r="CO99" i="11"/>
  <c r="CO44" i="12"/>
  <c r="CO62" i="11"/>
  <c r="CQ40" i="11"/>
  <c r="DT46" i="11"/>
  <c r="DS67" i="12"/>
  <c r="DT103" i="18"/>
  <c r="DT101" i="18" s="1"/>
  <c r="FA98" i="15"/>
  <c r="CM90" i="11"/>
  <c r="DS90" i="11" s="1"/>
  <c r="FA32" i="15"/>
  <c r="DU65" i="15"/>
  <c r="EZ65" i="15" s="1"/>
  <c r="EZ69" i="15" s="1"/>
  <c r="DS121" i="18"/>
  <c r="DS119" i="18" s="1"/>
  <c r="DU129" i="18"/>
  <c r="EZ84" i="15"/>
  <c r="DS88" i="15"/>
  <c r="EZ86" i="15"/>
  <c r="EZ42" i="15"/>
  <c r="EZ121" i="15"/>
  <c r="EZ139" i="15"/>
  <c r="EZ109" i="15"/>
  <c r="DW264" i="2"/>
  <c r="DQ129" i="12"/>
  <c r="EZ73" i="15"/>
  <c r="DU139" i="15"/>
  <c r="DS113" i="15"/>
  <c r="EZ63" i="15"/>
  <c r="DU127" i="15"/>
  <c r="EZ127" i="15" s="1"/>
  <c r="FI129" i="18"/>
  <c r="DN65" i="7"/>
  <c r="DS73" i="7"/>
  <c r="EB58" i="15" s="1"/>
  <c r="CO107" i="11"/>
  <c r="CO75" i="12"/>
  <c r="DV84" i="15"/>
  <c r="DN117" i="7"/>
  <c r="DN108" i="7"/>
  <c r="DW84" i="15" s="1"/>
  <c r="DW129" i="18" s="1"/>
  <c r="EZ61" i="18"/>
  <c r="DS101" i="18"/>
  <c r="DS108" i="18" s="1"/>
  <c r="DV170" i="18"/>
  <c r="DV3" i="18"/>
  <c r="DN148" i="7"/>
  <c r="DV145" i="18"/>
  <c r="DN151" i="7"/>
  <c r="DX30" i="15"/>
  <c r="DX38" i="15"/>
  <c r="DV130" i="18"/>
  <c r="DV85" i="15"/>
  <c r="DX147" i="18"/>
  <c r="DW145" i="18"/>
  <c r="DW170" i="18"/>
  <c r="DV56" i="18"/>
  <c r="DV34" i="15"/>
  <c r="DV53" i="15"/>
  <c r="DV56" i="15"/>
  <c r="DS70" i="18"/>
  <c r="DS187" i="18"/>
  <c r="DS182" i="18"/>
  <c r="DS192" i="18"/>
  <c r="DS209" i="18"/>
  <c r="DS164" i="18"/>
  <c r="DS99" i="18"/>
  <c r="DT88" i="15"/>
  <c r="DT121" i="18"/>
  <c r="DT119" i="18" s="1"/>
  <c r="DT134" i="18" s="1"/>
  <c r="ER39" i="7"/>
  <c r="DV225" i="2"/>
  <c r="DV224" i="2" s="1"/>
  <c r="DX38" i="18"/>
  <c r="DX7" i="18" s="1"/>
  <c r="DX3" i="18" s="1"/>
  <c r="DX50" i="18"/>
  <c r="DX46" i="18" s="1"/>
  <c r="FA46" i="18" s="1"/>
  <c r="DT182" i="18"/>
  <c r="DT70" i="18"/>
  <c r="DT187" i="18"/>
  <c r="DT192" i="18"/>
  <c r="DT209" i="18"/>
  <c r="DT164" i="18"/>
  <c r="DW34" i="18"/>
  <c r="ER55" i="7"/>
  <c r="DX58" i="18"/>
  <c r="FA58" i="18" s="1"/>
  <c r="DT92" i="15"/>
  <c r="DT113" i="15" s="1"/>
  <c r="DT131" i="15" s="1"/>
  <c r="DT143" i="15" s="1"/>
  <c r="DV67" i="15"/>
  <c r="DV36" i="15"/>
  <c r="EA12" i="15"/>
  <c r="EA17" i="18" s="1"/>
  <c r="EA15" i="18" s="1"/>
  <c r="FB15" i="18" s="1"/>
  <c r="EA23" i="15"/>
  <c r="FB23" i="15" s="1"/>
  <c r="DT85" i="18"/>
  <c r="DT71" i="15"/>
  <c r="DY48" i="18"/>
  <c r="DY36" i="18"/>
  <c r="ER77" i="7"/>
  <c r="DX61" i="15"/>
  <c r="FA61" i="15" s="1"/>
  <c r="DW53" i="15"/>
  <c r="DW51" i="15" s="1"/>
  <c r="DW85" i="18" s="1"/>
  <c r="DW83" i="18" s="1"/>
  <c r="DW56" i="15"/>
  <c r="DZ21" i="15"/>
  <c r="DK112" i="7"/>
  <c r="CN67" i="12"/>
  <c r="EQ119" i="7"/>
  <c r="CN76" i="12"/>
  <c r="DS76" i="12" s="1"/>
  <c r="CN109" i="11"/>
  <c r="DS109" i="11" s="1"/>
  <c r="CQ24" i="12"/>
  <c r="CQ32" i="12"/>
  <c r="DT32" i="12" s="1"/>
  <c r="CO83" i="11"/>
  <c r="CO59" i="11"/>
  <c r="CO144" i="11"/>
  <c r="CO139" i="11"/>
  <c r="CO154" i="11"/>
  <c r="CV72" i="11"/>
  <c r="CV50" i="12"/>
  <c r="EQ110" i="7"/>
  <c r="CP106" i="11"/>
  <c r="CP74" i="12"/>
  <c r="CO129" i="11"/>
  <c r="CP50" i="11"/>
  <c r="CP85" i="11"/>
  <c r="CO94" i="11"/>
  <c r="DN69" i="7"/>
  <c r="DN68" i="7" s="1"/>
  <c r="DN79" i="7" s="1"/>
  <c r="CR41" i="11"/>
  <c r="CR26" i="12"/>
  <c r="CR46" i="11"/>
  <c r="CO57" i="12"/>
  <c r="CO42" i="12"/>
  <c r="CO35" i="12"/>
  <c r="CO115" i="12"/>
  <c r="CO110" i="12"/>
  <c r="CO125" i="12"/>
  <c r="CU21" i="11"/>
  <c r="CU12" i="12"/>
  <c r="CU16" i="11"/>
  <c r="DK129" i="7"/>
  <c r="DK144" i="7" s="1"/>
  <c r="CO65" i="12"/>
  <c r="CL69" i="12"/>
  <c r="CL83" i="12"/>
  <c r="CR75" i="11"/>
  <c r="CR53" i="12"/>
  <c r="CR127" i="11"/>
  <c r="CR98" i="12"/>
  <c r="ES15" i="7"/>
  <c r="DO81" i="7"/>
  <c r="CQ48" i="12"/>
  <c r="DT48" i="12" s="1"/>
  <c r="CQ68" i="11"/>
  <c r="DT68" i="11" s="1"/>
  <c r="CQ67" i="11"/>
  <c r="DT67" i="11" s="1"/>
  <c r="CP59" i="12"/>
  <c r="CP30" i="12"/>
  <c r="CS17" i="12"/>
  <c r="CQ56" i="11"/>
  <c r="DT56" i="11" s="1"/>
  <c r="CQ51" i="11"/>
  <c r="DT51" i="11" s="1"/>
  <c r="CO100" i="12"/>
  <c r="CT10" i="12"/>
  <c r="DU10" i="12" s="1"/>
  <c r="CT19" i="12"/>
  <c r="DU19" i="12" s="1"/>
  <c r="CO77" i="12"/>
  <c r="CO108" i="11"/>
  <c r="CS76" i="11"/>
  <c r="CS54" i="12"/>
  <c r="CM71" i="12"/>
  <c r="CM103" i="11"/>
  <c r="CT15" i="11"/>
  <c r="CT34" i="11"/>
  <c r="DU34" i="11" s="1"/>
  <c r="CL101" i="11"/>
  <c r="CL114" i="11"/>
  <c r="CP46" i="12"/>
  <c r="CP44" i="12" s="1"/>
  <c r="CP63" i="11"/>
  <c r="CP62" i="11" s="1"/>
  <c r="CP80" i="11"/>
  <c r="CP99" i="11" s="1"/>
  <c r="CN93" i="11"/>
  <c r="ER134" i="7"/>
  <c r="CQ119" i="11"/>
  <c r="CQ89" i="12"/>
  <c r="DW236" i="2"/>
  <c r="DL105" i="7"/>
  <c r="ER82" i="7"/>
  <c r="EY149" i="18"/>
  <c r="FI149" i="18" s="1"/>
  <c r="DR145" i="18"/>
  <c r="EY145" i="18" s="1"/>
  <c r="EY164" i="18" s="1"/>
  <c r="DY200" i="2"/>
  <c r="DY215" i="2" s="1"/>
  <c r="DQ54" i="7" s="1"/>
  <c r="DW226" i="2"/>
  <c r="DO70" i="7" s="1"/>
  <c r="DN99" i="7"/>
  <c r="CJ131" i="11"/>
  <c r="CJ134" i="11" s="1"/>
  <c r="DN118" i="7"/>
  <c r="DN109" i="7"/>
  <c r="DO52" i="7"/>
  <c r="ER49" i="7"/>
  <c r="DO62" i="7"/>
  <c r="ER62" i="7" s="1"/>
  <c r="DM119" i="7"/>
  <c r="DM110" i="7"/>
  <c r="DV86" i="15" s="1"/>
  <c r="DY211" i="2"/>
  <c r="DQ50" i="7"/>
  <c r="ER61" i="7"/>
  <c r="DX215" i="2"/>
  <c r="DP54" i="7" s="1"/>
  <c r="DP39" i="7"/>
  <c r="ER40" i="7"/>
  <c r="DP134" i="7"/>
  <c r="DY98" i="15" s="1"/>
  <c r="DP49" i="7"/>
  <c r="DP58" i="7"/>
  <c r="DX216" i="2"/>
  <c r="DP55" i="7" s="1"/>
  <c r="DY58" i="18" s="1"/>
  <c r="DP40" i="7"/>
  <c r="DL114" i="7"/>
  <c r="DL79" i="7"/>
  <c r="DL97" i="7"/>
  <c r="EQ68" i="7"/>
  <c r="EQ79" i="7" s="1"/>
  <c r="DU261" i="2"/>
  <c r="DL93" i="7"/>
  <c r="DL94" i="7" s="1"/>
  <c r="EQ92" i="7"/>
  <c r="DR35" i="7"/>
  <c r="DO116" i="7"/>
  <c r="DO107" i="7"/>
  <c r="DX83" i="15" s="1"/>
  <c r="DX128" i="18" s="1"/>
  <c r="FA128" i="18" s="1"/>
  <c r="DX237" i="2"/>
  <c r="DP82" i="7" s="1"/>
  <c r="DS15" i="7"/>
  <c r="EB14" i="15" s="1"/>
  <c r="DO57" i="7"/>
  <c r="ER58" i="7"/>
  <c r="DY297" i="2"/>
  <c r="DQ141" i="7" s="1"/>
  <c r="DZ161" i="18" s="1"/>
  <c r="DX291" i="2"/>
  <c r="DX298" i="2" s="1"/>
  <c r="DX232" i="2"/>
  <c r="DP77" i="7" s="1"/>
  <c r="DY61" i="15" s="1"/>
  <c r="DZ243" i="2"/>
  <c r="DR88" i="7" s="1"/>
  <c r="DY233" i="2"/>
  <c r="DQ78" i="7" s="1"/>
  <c r="DZ62" i="15" s="1"/>
  <c r="EC239" i="2"/>
  <c r="EB229" i="2"/>
  <c r="DZ196" i="2"/>
  <c r="DZ209" i="2" s="1"/>
  <c r="DZ212" i="2"/>
  <c r="EB168" i="2"/>
  <c r="DT16" i="7" s="1"/>
  <c r="EA167" i="2"/>
  <c r="EA197" i="2"/>
  <c r="DS36" i="7" s="1"/>
  <c r="DW276" i="2"/>
  <c r="DW271" i="2" s="1"/>
  <c r="DV266" i="2"/>
  <c r="DV261" i="2" s="1"/>
  <c r="DX275" i="2"/>
  <c r="DW265" i="2"/>
  <c r="DY171" i="2"/>
  <c r="DZ172" i="2"/>
  <c r="DR19" i="7" s="1"/>
  <c r="ES19" i="7" s="1"/>
  <c r="DY220" i="2"/>
  <c r="DY219" i="2" s="1"/>
  <c r="DY263" i="2" s="1"/>
  <c r="DY154" i="2"/>
  <c r="DY242" i="2" s="1"/>
  <c r="DQ87" i="7" s="1"/>
  <c r="DY201" i="2"/>
  <c r="DR107" i="18"/>
  <c r="EY108" i="18"/>
  <c r="EY107" i="18"/>
  <c r="EX136" i="18"/>
  <c r="EX143" i="18" s="1"/>
  <c r="CK104" i="12"/>
  <c r="DR83" i="12"/>
  <c r="EB83" i="12" s="1"/>
  <c r="DQ120" i="12"/>
  <c r="EY88" i="15"/>
  <c r="FI77" i="15"/>
  <c r="FI88" i="15" s="1"/>
  <c r="EX133" i="15"/>
  <c r="DO166" i="18"/>
  <c r="EX166" i="18" s="1"/>
  <c r="EX168" i="18"/>
  <c r="DR108" i="18"/>
  <c r="EX134" i="18"/>
  <c r="FI63" i="18"/>
  <c r="EY209" i="18"/>
  <c r="EY192" i="18"/>
  <c r="EY70" i="18"/>
  <c r="EY182" i="18"/>
  <c r="EY187" i="18"/>
  <c r="DR113" i="15"/>
  <c r="EY92" i="15"/>
  <c r="FI92" i="15" s="1"/>
  <c r="CK79" i="12"/>
  <c r="DR69" i="12"/>
  <c r="CK81" i="12"/>
  <c r="CK133" i="11"/>
  <c r="DR114" i="11"/>
  <c r="EB114" i="11" s="1"/>
  <c r="DQ149" i="11"/>
  <c r="EO162" i="7"/>
  <c r="CK110" i="11"/>
  <c r="DR101" i="11"/>
  <c r="CI105" i="12"/>
  <c r="CI117" i="12"/>
  <c r="CI129" i="12"/>
  <c r="CI158" i="11"/>
  <c r="CK112" i="11"/>
  <c r="DR112" i="11" s="1"/>
  <c r="CH149" i="11"/>
  <c r="CH156" i="11"/>
  <c r="DM198" i="18"/>
  <c r="DM211" i="18"/>
  <c r="DP168" i="18"/>
  <c r="DP129" i="15"/>
  <c r="DP115" i="15"/>
  <c r="DP143" i="15"/>
  <c r="CJ105" i="12"/>
  <c r="CJ117" i="12"/>
  <c r="DR215" i="18"/>
  <c r="DQ756" i="2"/>
  <c r="DP136" i="18"/>
  <c r="DP143" i="18" s="1"/>
  <c r="DR88" i="15"/>
  <c r="DR121" i="18"/>
  <c r="DR90" i="15"/>
  <c r="EY90" i="15" s="1"/>
  <c r="DP134" i="18"/>
  <c r="DN232" i="18"/>
  <c r="DN233" i="18" s="1"/>
  <c r="DN212" i="18"/>
  <c r="DO133" i="15"/>
  <c r="DO141" i="15"/>
  <c r="CH120" i="12"/>
  <c r="CH127" i="12"/>
  <c r="DZ156" i="2"/>
  <c r="EA155" i="2"/>
  <c r="DS7" i="7" s="1"/>
  <c r="CI134" i="11"/>
  <c r="CI146" i="11"/>
  <c r="DS61" i="12" l="1"/>
  <c r="DS138" i="18"/>
  <c r="DS94" i="15"/>
  <c r="DS111" i="15"/>
  <c r="DS110" i="18"/>
  <c r="DS117" i="18" s="1"/>
  <c r="EY92" i="18"/>
  <c r="FI92" i="18" s="1"/>
  <c r="DS92" i="18"/>
  <c r="DQ168" i="18"/>
  <c r="DQ166" i="18" s="1"/>
  <c r="EY97" i="18"/>
  <c r="FI97" i="18" s="1"/>
  <c r="EY99" i="18"/>
  <c r="DR95" i="18"/>
  <c r="DQ115" i="15"/>
  <c r="DQ129" i="15"/>
  <c r="EY94" i="18"/>
  <c r="FI94" i="18" s="1"/>
  <c r="DQ117" i="18"/>
  <c r="DQ116" i="18"/>
  <c r="FI83" i="18"/>
  <c r="DR96" i="18"/>
  <c r="EW233" i="18"/>
  <c r="EY110" i="18"/>
  <c r="FI110" i="18" s="1"/>
  <c r="G34" i="24" s="1"/>
  <c r="DR93" i="18"/>
  <c r="DR91" i="18"/>
  <c r="DP235" i="18"/>
  <c r="DH145" i="7"/>
  <c r="DH153" i="7"/>
  <c r="DQ236" i="18"/>
  <c r="DR90" i="18"/>
  <c r="DQ239" i="18"/>
  <c r="DP791" i="2" s="1"/>
  <c r="DQ240" i="18"/>
  <c r="DP794" i="2" s="1"/>
  <c r="DS84" i="11"/>
  <c r="EZ73" i="18"/>
  <c r="FA30" i="15"/>
  <c r="FA38" i="15"/>
  <c r="DJ144" i="7"/>
  <c r="DU112" i="18"/>
  <c r="DU110" i="18" s="1"/>
  <c r="DU75" i="15"/>
  <c r="EY117" i="18"/>
  <c r="EY116" i="18"/>
  <c r="EP132" i="7"/>
  <c r="EZ129" i="7"/>
  <c r="EZ132" i="7" s="1"/>
  <c r="DU73" i="18"/>
  <c r="DU63" i="18"/>
  <c r="EZ63" i="18" s="1"/>
  <c r="EZ71" i="15"/>
  <c r="CO81" i="11"/>
  <c r="CO92" i="11"/>
  <c r="DJ132" i="7"/>
  <c r="DM93" i="7"/>
  <c r="DM94" i="7" s="1"/>
  <c r="DM68" i="7"/>
  <c r="DI132" i="7"/>
  <c r="DI144" i="7"/>
  <c r="EP144" i="7" s="1"/>
  <c r="CO55" i="12"/>
  <c r="CO63" i="12"/>
  <c r="CQ48" i="11"/>
  <c r="DT40" i="11"/>
  <c r="DT48" i="11" s="1"/>
  <c r="DW67" i="15"/>
  <c r="DW36" i="15"/>
  <c r="DW56" i="18"/>
  <c r="DW54" i="18" s="1"/>
  <c r="DW34" i="15"/>
  <c r="CQ28" i="12"/>
  <c r="DT24" i="12"/>
  <c r="CO84" i="11"/>
  <c r="CR40" i="11"/>
  <c r="CO61" i="12"/>
  <c r="CU29" i="11"/>
  <c r="CL104" i="12"/>
  <c r="CP100" i="12"/>
  <c r="DT85" i="11"/>
  <c r="CT28" i="11"/>
  <c r="DU28" i="11" s="1"/>
  <c r="DU15" i="11"/>
  <c r="CL133" i="11"/>
  <c r="CQ117" i="11"/>
  <c r="DT117" i="11" s="1"/>
  <c r="DT119" i="11"/>
  <c r="CQ87" i="12"/>
  <c r="DT87" i="12" s="1"/>
  <c r="DT89" i="12"/>
  <c r="DT108" i="18"/>
  <c r="DT107" i="18"/>
  <c r="DU103" i="18"/>
  <c r="DU101" i="18" s="1"/>
  <c r="DU69" i="15"/>
  <c r="EZ129" i="18"/>
  <c r="FB12" i="15"/>
  <c r="DV51" i="15"/>
  <c r="DV129" i="18"/>
  <c r="DV132" i="18"/>
  <c r="DS131" i="15"/>
  <c r="FA83" i="15"/>
  <c r="DX264" i="2"/>
  <c r="DY96" i="15"/>
  <c r="DT73" i="7"/>
  <c r="EC58" i="15" s="1"/>
  <c r="EC57" i="15"/>
  <c r="DV234" i="2"/>
  <c r="CP75" i="12"/>
  <c r="CP107" i="11"/>
  <c r="DO108" i="7"/>
  <c r="DX84" i="15" s="1"/>
  <c r="DX129" i="18" s="1"/>
  <c r="DO117" i="7"/>
  <c r="ER117" i="7" s="1"/>
  <c r="EB57" i="15"/>
  <c r="DV73" i="15"/>
  <c r="FA7" i="18"/>
  <c r="FA3" i="18"/>
  <c r="FA50" i="18"/>
  <c r="DT83" i="18"/>
  <c r="DT94" i="18" s="1"/>
  <c r="EZ85" i="18"/>
  <c r="DX149" i="18"/>
  <c r="FA149" i="18" s="1"/>
  <c r="FA147" i="18"/>
  <c r="FB17" i="18"/>
  <c r="DS107" i="18"/>
  <c r="FA38" i="18"/>
  <c r="DV54" i="18"/>
  <c r="DS134" i="18"/>
  <c r="DX34" i="18"/>
  <c r="FA34" i="18" s="1"/>
  <c r="G12" i="24"/>
  <c r="G18" i="24" s="1"/>
  <c r="DW73" i="15"/>
  <c r="DX53" i="15"/>
  <c r="DX51" i="15" s="1"/>
  <c r="DX85" i="18" s="1"/>
  <c r="DX83" i="18" s="1"/>
  <c r="DX56" i="15"/>
  <c r="FA56" i="15" s="1"/>
  <c r="DV65" i="15"/>
  <c r="DV65" i="18"/>
  <c r="DV42" i="15"/>
  <c r="DV127" i="15"/>
  <c r="DV121" i="15"/>
  <c r="DV139" i="15"/>
  <c r="DV109" i="15"/>
  <c r="DN92" i="7"/>
  <c r="DN93" i="7" s="1"/>
  <c r="DN94" i="7" s="1"/>
  <c r="DY50" i="18"/>
  <c r="DY38" i="18"/>
  <c r="DZ36" i="18"/>
  <c r="DZ48" i="18"/>
  <c r="DQ39" i="7"/>
  <c r="EA21" i="15"/>
  <c r="FB21" i="15" s="1"/>
  <c r="DN97" i="7"/>
  <c r="DN98" i="7" s="1"/>
  <c r="EQ105" i="7"/>
  <c r="EQ112" i="7" s="1"/>
  <c r="DU79" i="15"/>
  <c r="EZ79" i="15" s="1"/>
  <c r="DW130" i="18"/>
  <c r="DW85" i="15"/>
  <c r="DT90" i="15"/>
  <c r="DT112" i="18"/>
  <c r="DT75" i="15"/>
  <c r="DX67" i="15"/>
  <c r="DX36" i="15"/>
  <c r="EB12" i="15"/>
  <c r="EB23" i="15"/>
  <c r="DY32" i="15"/>
  <c r="DX56" i="18"/>
  <c r="DX54" i="18" s="1"/>
  <c r="DX34" i="15"/>
  <c r="DR164" i="18"/>
  <c r="DK132" i="7"/>
  <c r="CP81" i="11"/>
  <c r="DQ134" i="7"/>
  <c r="CS127" i="11"/>
  <c r="CS98" i="12"/>
  <c r="DT15" i="7"/>
  <c r="EC14" i="15" s="1"/>
  <c r="CV21" i="11"/>
  <c r="CV12" i="12"/>
  <c r="CV16" i="11"/>
  <c r="CV29" i="11" s="1"/>
  <c r="CP63" i="12"/>
  <c r="CP35" i="12"/>
  <c r="CP57" i="12"/>
  <c r="CP61" i="12" s="1"/>
  <c r="CP42" i="12"/>
  <c r="CP115" i="12"/>
  <c r="CP110" i="12"/>
  <c r="CP125" i="12"/>
  <c r="CU15" i="11"/>
  <c r="CU34" i="11"/>
  <c r="CP92" i="11"/>
  <c r="CP59" i="11"/>
  <c r="CP83" i="11"/>
  <c r="CP84" i="11" s="1"/>
  <c r="CP144" i="11"/>
  <c r="CP139" i="11"/>
  <c r="CP154" i="11"/>
  <c r="CQ59" i="12"/>
  <c r="DT59" i="12" s="1"/>
  <c r="CQ30" i="12"/>
  <c r="CR56" i="11"/>
  <c r="CR51" i="11"/>
  <c r="CU10" i="12"/>
  <c r="CU19" i="12"/>
  <c r="CR89" i="12"/>
  <c r="CR119" i="11"/>
  <c r="CR24" i="12"/>
  <c r="CR32" i="12"/>
  <c r="CP94" i="11"/>
  <c r="CS26" i="12"/>
  <c r="CS46" i="11"/>
  <c r="CS40" i="11" s="1"/>
  <c r="CS48" i="11" s="1"/>
  <c r="CS41" i="11"/>
  <c r="CS53" i="12"/>
  <c r="CS75" i="11"/>
  <c r="DM114" i="7"/>
  <c r="CO76" i="12"/>
  <c r="CO109" i="11"/>
  <c r="CP55" i="12"/>
  <c r="CP65" i="12"/>
  <c r="EQ114" i="7"/>
  <c r="CN71" i="12"/>
  <c r="DS71" i="12" s="1"/>
  <c r="CN103" i="11"/>
  <c r="DS103" i="11" s="1"/>
  <c r="ER70" i="7"/>
  <c r="ER99" i="7" s="1"/>
  <c r="DL112" i="7"/>
  <c r="CL110" i="11"/>
  <c r="CL112" i="11"/>
  <c r="CT17" i="12"/>
  <c r="DU17" i="12" s="1"/>
  <c r="CR68" i="11"/>
  <c r="CR48" i="12"/>
  <c r="CR67" i="11"/>
  <c r="ER81" i="7"/>
  <c r="CQ46" i="12"/>
  <c r="CQ80" i="11"/>
  <c r="CQ99" i="11" s="1"/>
  <c r="CQ63" i="11"/>
  <c r="CQ62" i="11" s="1"/>
  <c r="CL79" i="12"/>
  <c r="CL81" i="12"/>
  <c r="CP129" i="11"/>
  <c r="CM69" i="12"/>
  <c r="CM83" i="12"/>
  <c r="CM104" i="12" s="1"/>
  <c r="CM119" i="12" s="1"/>
  <c r="CM129" i="12" s="1"/>
  <c r="ES88" i="7"/>
  <c r="CT76" i="11"/>
  <c r="DU76" i="11" s="1"/>
  <c r="CT54" i="12"/>
  <c r="DU54" i="12" s="1"/>
  <c r="ER107" i="7"/>
  <c r="CQ74" i="12"/>
  <c r="DT74" i="12" s="1"/>
  <c r="CQ106" i="11"/>
  <c r="DT106" i="11" s="1"/>
  <c r="CP108" i="11"/>
  <c r="CP77" i="12"/>
  <c r="CM101" i="11"/>
  <c r="CM114" i="11"/>
  <c r="CM133" i="11" s="1"/>
  <c r="CM148" i="11" s="1"/>
  <c r="CM158" i="11" s="1"/>
  <c r="CQ85" i="11"/>
  <c r="CQ50" i="11"/>
  <c r="FI145" i="18"/>
  <c r="FI164" i="18" s="1"/>
  <c r="DW225" i="2"/>
  <c r="DW224" i="2" s="1"/>
  <c r="DX226" i="2"/>
  <c r="DP70" i="7" s="1"/>
  <c r="DX236" i="2"/>
  <c r="CJ146" i="11"/>
  <c r="CJ149" i="11" s="1"/>
  <c r="DS35" i="7"/>
  <c r="DY216" i="2"/>
  <c r="DQ55" i="7" s="1"/>
  <c r="DZ58" i="18" s="1"/>
  <c r="DQ40" i="7"/>
  <c r="EQ93" i="7"/>
  <c r="EQ94" i="7" s="1"/>
  <c r="DY237" i="2"/>
  <c r="DQ82" i="7" s="1"/>
  <c r="DP107" i="7"/>
  <c r="DY83" i="15" s="1"/>
  <c r="DP116" i="7"/>
  <c r="DP81" i="7"/>
  <c r="DO69" i="7"/>
  <c r="DO99" i="7"/>
  <c r="DP62" i="7"/>
  <c r="DQ49" i="7"/>
  <c r="DQ52" i="7" s="1"/>
  <c r="DQ58" i="7"/>
  <c r="DZ211" i="2"/>
  <c r="DR50" i="7"/>
  <c r="DP61" i="7"/>
  <c r="DZ220" i="2"/>
  <c r="DZ219" i="2" s="1"/>
  <c r="DZ263" i="2" s="1"/>
  <c r="ER116" i="7"/>
  <c r="DP57" i="7"/>
  <c r="DO118" i="7"/>
  <c r="DO109" i="7"/>
  <c r="DO142" i="7"/>
  <c r="DO65" i="7"/>
  <c r="DO151" i="7"/>
  <c r="DO148" i="7"/>
  <c r="ER57" i="7"/>
  <c r="DP52" i="7"/>
  <c r="DK153" i="7"/>
  <c r="DK145" i="7"/>
  <c r="DM105" i="7"/>
  <c r="DV79" i="15" s="1"/>
  <c r="DZ201" i="2"/>
  <c r="DR8" i="7"/>
  <c r="ES8" i="7" s="1"/>
  <c r="DR47" i="7"/>
  <c r="ES47" i="7" s="1"/>
  <c r="ES35" i="7"/>
  <c r="DN110" i="7"/>
  <c r="DW86" i="15" s="1"/>
  <c r="DW132" i="18" s="1"/>
  <c r="DN119" i="7"/>
  <c r="EC229" i="2"/>
  <c r="ET72" i="7" s="1"/>
  <c r="FA72" i="7" s="1"/>
  <c r="DU84" i="7"/>
  <c r="DL129" i="7"/>
  <c r="DL98" i="7"/>
  <c r="EQ97" i="7"/>
  <c r="DZ297" i="2"/>
  <c r="DR141" i="7" s="1"/>
  <c r="EA161" i="18" s="1"/>
  <c r="FB161" i="18" s="1"/>
  <c r="DY291" i="2"/>
  <c r="DY298" i="2" s="1"/>
  <c r="DY232" i="2"/>
  <c r="DQ77" i="7" s="1"/>
  <c r="DZ61" i="15" s="1"/>
  <c r="DZ154" i="2"/>
  <c r="DZ242" i="2" s="1"/>
  <c r="DR87" i="7" s="1"/>
  <c r="EC168" i="2"/>
  <c r="DU16" i="7" s="1"/>
  <c r="EB167" i="2"/>
  <c r="EB197" i="2"/>
  <c r="DT36" i="7" s="1"/>
  <c r="DZ171" i="2"/>
  <c r="EA172" i="2"/>
  <c r="DS19" i="7" s="1"/>
  <c r="DX276" i="2"/>
  <c r="DW266" i="2"/>
  <c r="DZ233" i="2"/>
  <c r="DR78" i="7" s="1"/>
  <c r="EA243" i="2"/>
  <c r="DS88" i="7" s="1"/>
  <c r="DY275" i="2"/>
  <c r="DX265" i="2"/>
  <c r="DZ200" i="2"/>
  <c r="EA196" i="2"/>
  <c r="EA209" i="2" s="1"/>
  <c r="EA212" i="2"/>
  <c r="EA220" i="2" s="1"/>
  <c r="EA219" i="2" s="1"/>
  <c r="EA263" i="2" s="1"/>
  <c r="DO197" i="18"/>
  <c r="EX197" i="18" s="1"/>
  <c r="EX198" i="18" s="1"/>
  <c r="DO173" i="18"/>
  <c r="DO145" i="15"/>
  <c r="EX141" i="15"/>
  <c r="DR110" i="11"/>
  <c r="EB101" i="11"/>
  <c r="EB110" i="11" s="1"/>
  <c r="CK119" i="12"/>
  <c r="DR104" i="12"/>
  <c r="EB104" i="12" s="1"/>
  <c r="FI192" i="18"/>
  <c r="FI182" i="18"/>
  <c r="FI70" i="18"/>
  <c r="FI209" i="18"/>
  <c r="FI187" i="18"/>
  <c r="DR214" i="18"/>
  <c r="EY214" i="18" s="1"/>
  <c r="FI214" i="18" s="1"/>
  <c r="EY215" i="18"/>
  <c r="FI215" i="18" s="1"/>
  <c r="CH159" i="11"/>
  <c r="DQ156" i="11"/>
  <c r="DR81" i="12"/>
  <c r="CK102" i="12"/>
  <c r="CK85" i="12"/>
  <c r="DR79" i="12"/>
  <c r="EB69" i="12"/>
  <c r="EB79" i="12" s="1"/>
  <c r="DR115" i="11"/>
  <c r="EB112" i="11"/>
  <c r="EB115" i="11" s="1"/>
  <c r="DR119" i="18"/>
  <c r="EY121" i="18"/>
  <c r="FI121" i="18" s="1"/>
  <c r="FI108" i="18"/>
  <c r="G32" i="24" s="1"/>
  <c r="DR131" i="15"/>
  <c r="EY113" i="15"/>
  <c r="FI113" i="15" s="1"/>
  <c r="FI107" i="18"/>
  <c r="CH130" i="12"/>
  <c r="DQ127" i="12"/>
  <c r="EY94" i="15"/>
  <c r="FI90" i="15"/>
  <c r="FI94" i="15" s="1"/>
  <c r="CK148" i="11"/>
  <c r="DR133" i="11"/>
  <c r="EB133" i="11" s="1"/>
  <c r="EX173" i="18"/>
  <c r="DP133" i="15"/>
  <c r="DP141" i="15"/>
  <c r="DM212" i="18"/>
  <c r="DM232" i="18"/>
  <c r="DP166" i="18"/>
  <c r="EB155" i="2"/>
  <c r="DT7" i="7" s="1"/>
  <c r="EA156" i="2"/>
  <c r="DS8" i="7" s="1"/>
  <c r="CI156" i="11"/>
  <c r="CI149" i="11"/>
  <c r="CI127" i="12"/>
  <c r="CI120" i="12"/>
  <c r="CJ127" i="12"/>
  <c r="CJ130" i="12" s="1"/>
  <c r="CJ120" i="12"/>
  <c r="DR94" i="15"/>
  <c r="DR138" i="18"/>
  <c r="DR111" i="15"/>
  <c r="EY111" i="15" s="1"/>
  <c r="CK115" i="11"/>
  <c r="CK131" i="11"/>
  <c r="DR131" i="11" s="1"/>
  <c r="DS136" i="18" l="1"/>
  <c r="DS143" i="18" s="1"/>
  <c r="DS168" i="18"/>
  <c r="DS115" i="15"/>
  <c r="DS129" i="15"/>
  <c r="DS116" i="18"/>
  <c r="FI116" i="18"/>
  <c r="EY95" i="18"/>
  <c r="FI95" i="18" s="1"/>
  <c r="DS95" i="18"/>
  <c r="EY96" i="18"/>
  <c r="FI96" i="18" s="1"/>
  <c r="DS96" i="18"/>
  <c r="EY90" i="18"/>
  <c r="FI90" i="18" s="1"/>
  <c r="DS90" i="18"/>
  <c r="EY93" i="18"/>
  <c r="FI93" i="18" s="1"/>
  <c r="DS93" i="18"/>
  <c r="EY91" i="18"/>
  <c r="FI91" i="18" s="1"/>
  <c r="DS91" i="18"/>
  <c r="DQ173" i="18"/>
  <c r="DQ133" i="15"/>
  <c r="DU70" i="18"/>
  <c r="DU187" i="18"/>
  <c r="DU182" i="18"/>
  <c r="DU192" i="18"/>
  <c r="DU209" i="18"/>
  <c r="DU164" i="18"/>
  <c r="DU99" i="18"/>
  <c r="DQ197" i="18"/>
  <c r="DQ141" i="15"/>
  <c r="DQ145" i="15" s="1"/>
  <c r="FI117" i="18"/>
  <c r="G41" i="24" s="1"/>
  <c r="FI99" i="18"/>
  <c r="EZ192" i="18"/>
  <c r="EZ209" i="18"/>
  <c r="FA34" i="15"/>
  <c r="EZ164" i="18"/>
  <c r="EZ70" i="18"/>
  <c r="EZ187" i="18"/>
  <c r="EZ182" i="18"/>
  <c r="DQ235" i="18"/>
  <c r="DH154" i="7"/>
  <c r="DH161" i="7"/>
  <c r="DR240" i="18"/>
  <c r="DR239" i="18"/>
  <c r="DR236" i="18"/>
  <c r="DW61" i="18"/>
  <c r="DU116" i="18"/>
  <c r="DU117" i="18"/>
  <c r="CO93" i="11"/>
  <c r="CO67" i="12"/>
  <c r="DJ153" i="7"/>
  <c r="DJ145" i="7"/>
  <c r="EZ75" i="15"/>
  <c r="DM79" i="7"/>
  <c r="DM97" i="7"/>
  <c r="EP145" i="7"/>
  <c r="EZ144" i="7"/>
  <c r="EZ145" i="7" s="1"/>
  <c r="DI145" i="7"/>
  <c r="DI153" i="7"/>
  <c r="EP153" i="7" s="1"/>
  <c r="DY147" i="18"/>
  <c r="DT30" i="12"/>
  <c r="CQ100" i="12"/>
  <c r="DQ61" i="7"/>
  <c r="DT28" i="12"/>
  <c r="CR48" i="11"/>
  <c r="CL119" i="12"/>
  <c r="DT110" i="12"/>
  <c r="DT35" i="12"/>
  <c r="DT115" i="12"/>
  <c r="DT125" i="12"/>
  <c r="CL148" i="11"/>
  <c r="DT100" i="12"/>
  <c r="FA53" i="15"/>
  <c r="EZ103" i="18"/>
  <c r="EZ101" i="18"/>
  <c r="FA36" i="15"/>
  <c r="DW65" i="18"/>
  <c r="FA67" i="15"/>
  <c r="DW65" i="15"/>
  <c r="DW71" i="15"/>
  <c r="DW42" i="15"/>
  <c r="DW127" i="15"/>
  <c r="DW121" i="15"/>
  <c r="DW139" i="15"/>
  <c r="DW109" i="15"/>
  <c r="DT99" i="11"/>
  <c r="DT80" i="11"/>
  <c r="DT62" i="11"/>
  <c r="DT63" i="11"/>
  <c r="CU28" i="11"/>
  <c r="CR87" i="12"/>
  <c r="CR117" i="11"/>
  <c r="CR28" i="12"/>
  <c r="CQ44" i="12"/>
  <c r="DT44" i="12" s="1"/>
  <c r="DT46" i="12"/>
  <c r="CQ129" i="11"/>
  <c r="DT50" i="11"/>
  <c r="DU107" i="18"/>
  <c r="DU108" i="18"/>
  <c r="FA129" i="18"/>
  <c r="DV77" i="15"/>
  <c r="DV88" i="15" s="1"/>
  <c r="DY128" i="18"/>
  <c r="EB17" i="18"/>
  <c r="EB15" i="18" s="1"/>
  <c r="DS143" i="15"/>
  <c r="DV85" i="18"/>
  <c r="DV83" i="18" s="1"/>
  <c r="FA83" i="18" s="1"/>
  <c r="FA51" i="15"/>
  <c r="DX271" i="2"/>
  <c r="FA84" i="15"/>
  <c r="DV71" i="15"/>
  <c r="DV112" i="18" s="1"/>
  <c r="DX61" i="18"/>
  <c r="ER108" i="7"/>
  <c r="DY264" i="2"/>
  <c r="DU73" i="7"/>
  <c r="ED58" i="15" s="1"/>
  <c r="FC58" i="15" s="1"/>
  <c r="FJ58" i="15" s="1"/>
  <c r="ED57" i="15"/>
  <c r="FC57" i="15" s="1"/>
  <c r="FJ57" i="15" s="1"/>
  <c r="DW234" i="2"/>
  <c r="CQ107" i="11"/>
  <c r="DT107" i="11" s="1"/>
  <c r="CQ75" i="12"/>
  <c r="DT75" i="12" s="1"/>
  <c r="DP117" i="7"/>
  <c r="DP108" i="7"/>
  <c r="DT92" i="18"/>
  <c r="DU92" i="18" s="1"/>
  <c r="DY236" i="2"/>
  <c r="DX73" i="15"/>
  <c r="FA73" i="15" s="1"/>
  <c r="DT98" i="18"/>
  <c r="DU98" i="18" s="1"/>
  <c r="DT99" i="18"/>
  <c r="DU94" i="18"/>
  <c r="FA56" i="18"/>
  <c r="DT97" i="18"/>
  <c r="EZ83" i="18"/>
  <c r="DX170" i="18"/>
  <c r="FA170" i="18" s="1"/>
  <c r="DT110" i="18"/>
  <c r="EZ110" i="18" s="1"/>
  <c r="EZ112" i="18"/>
  <c r="DX145" i="18"/>
  <c r="FA145" i="18" s="1"/>
  <c r="DY7" i="18"/>
  <c r="DY46" i="18"/>
  <c r="DV61" i="18"/>
  <c r="FA54" i="18"/>
  <c r="G31" i="24"/>
  <c r="CP90" i="11"/>
  <c r="DX65" i="15"/>
  <c r="DX65" i="18"/>
  <c r="DX71" i="15"/>
  <c r="DX42" i="15"/>
  <c r="DX127" i="15"/>
  <c r="DX121" i="15"/>
  <c r="DX139" i="15"/>
  <c r="DX109" i="15"/>
  <c r="EC12" i="15"/>
  <c r="EC17" i="18" s="1"/>
  <c r="EC15" i="18" s="1"/>
  <c r="EC23" i="15"/>
  <c r="DX130" i="18"/>
  <c r="FA130" i="18" s="1"/>
  <c r="DX85" i="15"/>
  <c r="FA85" i="15" s="1"/>
  <c r="DV73" i="18"/>
  <c r="DV63" i="18"/>
  <c r="DZ38" i="18"/>
  <c r="DZ7" i="18" s="1"/>
  <c r="DZ3" i="18" s="1"/>
  <c r="DZ50" i="18"/>
  <c r="DZ46" i="18" s="1"/>
  <c r="DU77" i="15"/>
  <c r="EZ77" i="15" s="1"/>
  <c r="DU92" i="15"/>
  <c r="DZ98" i="15"/>
  <c r="DV92" i="15"/>
  <c r="DV69" i="15"/>
  <c r="DV103" i="18"/>
  <c r="EB21" i="15"/>
  <c r="DT138" i="18"/>
  <c r="DT111" i="15"/>
  <c r="DT94" i="15"/>
  <c r="EA36" i="18"/>
  <c r="FB36" i="18" s="1"/>
  <c r="EA48" i="18"/>
  <c r="FB48" i="18" s="1"/>
  <c r="ES78" i="7"/>
  <c r="EA62" i="15"/>
  <c r="FB62" i="15" s="1"/>
  <c r="DY53" i="15"/>
  <c r="DY56" i="15"/>
  <c r="DZ32" i="15"/>
  <c r="DY34" i="18"/>
  <c r="DY30" i="15"/>
  <c r="DY38" i="15"/>
  <c r="DX225" i="2"/>
  <c r="DX224" i="2" s="1"/>
  <c r="CQ81" i="11"/>
  <c r="DQ57" i="7"/>
  <c r="DQ65" i="7" s="1"/>
  <c r="CS56" i="11"/>
  <c r="CS51" i="11"/>
  <c r="ES87" i="7"/>
  <c r="CT75" i="11"/>
  <c r="DU75" i="11" s="1"/>
  <c r="CT53" i="12"/>
  <c r="DU53" i="12" s="1"/>
  <c r="DN105" i="7"/>
  <c r="CU17" i="12"/>
  <c r="CP93" i="11"/>
  <c r="CV15" i="11"/>
  <c r="CV28" i="11" s="1"/>
  <c r="CV34" i="11"/>
  <c r="CL115" i="11"/>
  <c r="CL131" i="11"/>
  <c r="CR59" i="12"/>
  <c r="CR30" i="12"/>
  <c r="ET84" i="7"/>
  <c r="FA84" i="7" s="1"/>
  <c r="CW72" i="11"/>
  <c r="DV72" i="11" s="1"/>
  <c r="EC72" i="11" s="1"/>
  <c r="CW50" i="12"/>
  <c r="DV50" i="12" s="1"/>
  <c r="EC50" i="12" s="1"/>
  <c r="CN101" i="11"/>
  <c r="DS101" i="11" s="1"/>
  <c r="CN114" i="11"/>
  <c r="CN133" i="11" s="1"/>
  <c r="CN148" i="11" s="1"/>
  <c r="CN158" i="11" s="1"/>
  <c r="CU54" i="12"/>
  <c r="CU76" i="11"/>
  <c r="ER109" i="7"/>
  <c r="CR85" i="11"/>
  <c r="CR50" i="11"/>
  <c r="ES50" i="7"/>
  <c r="CT26" i="12"/>
  <c r="DU26" i="12" s="1"/>
  <c r="CT46" i="11"/>
  <c r="CT41" i="11"/>
  <c r="DU41" i="11" s="1"/>
  <c r="DQ81" i="7"/>
  <c r="CS67" i="11"/>
  <c r="CS48" i="12"/>
  <c r="CS68" i="11"/>
  <c r="DU15" i="7"/>
  <c r="ED14" i="15" s="1"/>
  <c r="FC14" i="15" s="1"/>
  <c r="FJ14" i="15" s="1"/>
  <c r="CW12" i="12"/>
  <c r="DV12" i="12" s="1"/>
  <c r="EC12" i="12" s="1"/>
  <c r="CW21" i="11"/>
  <c r="DV21" i="11" s="1"/>
  <c r="EC21" i="11" s="1"/>
  <c r="CW16" i="11"/>
  <c r="CV10" i="12"/>
  <c r="CV19" i="12"/>
  <c r="DR134" i="7"/>
  <c r="EA98" i="15" s="1"/>
  <c r="EA96" i="15" s="1"/>
  <c r="CT127" i="11"/>
  <c r="DU127" i="11" s="1"/>
  <c r="CT98" i="12"/>
  <c r="DU98" i="12" s="1"/>
  <c r="CR46" i="12"/>
  <c r="CR80" i="11"/>
  <c r="CR63" i="11"/>
  <c r="CN69" i="12"/>
  <c r="DS69" i="12" s="1"/>
  <c r="CN83" i="12"/>
  <c r="CN104" i="12" s="1"/>
  <c r="CN119" i="12" s="1"/>
  <c r="CN129" i="12" s="1"/>
  <c r="CQ92" i="11"/>
  <c r="DT92" i="11" s="1"/>
  <c r="CQ83" i="11"/>
  <c r="CQ59" i="11"/>
  <c r="CQ144" i="11"/>
  <c r="CQ139" i="11"/>
  <c r="CQ154" i="11"/>
  <c r="ER118" i="7"/>
  <c r="CQ108" i="11"/>
  <c r="DT108" i="11" s="1"/>
  <c r="CQ77" i="12"/>
  <c r="DT77" i="12" s="1"/>
  <c r="CQ94" i="11"/>
  <c r="CM79" i="12"/>
  <c r="CM81" i="12"/>
  <c r="CQ57" i="12"/>
  <c r="CQ42" i="12"/>
  <c r="DT42" i="12" s="1"/>
  <c r="CQ35" i="12"/>
  <c r="CQ115" i="12"/>
  <c r="CQ110" i="12"/>
  <c r="CQ125" i="12"/>
  <c r="DN114" i="7"/>
  <c r="CP109" i="11"/>
  <c r="CP76" i="12"/>
  <c r="CO71" i="12"/>
  <c r="CO103" i="11"/>
  <c r="CQ65" i="12"/>
  <c r="DT65" i="12" s="1"/>
  <c r="CP67" i="12"/>
  <c r="CR74" i="12"/>
  <c r="CR106" i="11"/>
  <c r="CL102" i="12"/>
  <c r="CL85" i="12"/>
  <c r="CS89" i="12"/>
  <c r="CS87" i="12" s="1"/>
  <c r="CS119" i="11"/>
  <c r="CS117" i="11" s="1"/>
  <c r="CS24" i="12"/>
  <c r="CS28" i="12" s="1"/>
  <c r="CS32" i="12"/>
  <c r="CM110" i="11"/>
  <c r="CM112" i="11"/>
  <c r="CJ156" i="11"/>
  <c r="CJ159" i="11" s="1"/>
  <c r="DQ62" i="7"/>
  <c r="DY226" i="2"/>
  <c r="DQ70" i="7" s="1"/>
  <c r="ET16" i="7"/>
  <c r="FA16" i="7" s="1"/>
  <c r="FA36" i="7" s="1"/>
  <c r="DP65" i="7"/>
  <c r="DP151" i="7"/>
  <c r="DP148" i="7"/>
  <c r="DQ116" i="7"/>
  <c r="DQ107" i="7"/>
  <c r="DZ83" i="15" s="1"/>
  <c r="DZ128" i="18" s="1"/>
  <c r="EA211" i="2"/>
  <c r="DS50" i="7"/>
  <c r="EA200" i="2"/>
  <c r="ES141" i="7"/>
  <c r="EA237" i="2"/>
  <c r="DS82" i="7" s="1"/>
  <c r="EQ98" i="7"/>
  <c r="ER65" i="7"/>
  <c r="ER151" i="7"/>
  <c r="ER148" i="7"/>
  <c r="ER142" i="7"/>
  <c r="DZ215" i="2"/>
  <c r="DR54" i="7" s="1"/>
  <c r="DR39" i="7"/>
  <c r="DL144" i="7"/>
  <c r="DL132" i="7"/>
  <c r="EQ129" i="7"/>
  <c r="DZ237" i="2"/>
  <c r="DO68" i="7"/>
  <c r="ER69" i="7"/>
  <c r="DP99" i="7"/>
  <c r="DP118" i="7"/>
  <c r="DP109" i="7"/>
  <c r="DT35" i="7"/>
  <c r="DT47" i="7" s="1"/>
  <c r="DZ216" i="2"/>
  <c r="DR55" i="7" s="1"/>
  <c r="DR40" i="7"/>
  <c r="DO92" i="7"/>
  <c r="CQ90" i="11" s="1"/>
  <c r="DM112" i="7"/>
  <c r="DP69" i="7"/>
  <c r="DS47" i="7"/>
  <c r="DR49" i="7"/>
  <c r="DR58" i="7"/>
  <c r="DP142" i="7"/>
  <c r="DW261" i="2"/>
  <c r="DO119" i="7"/>
  <c r="DO110" i="7"/>
  <c r="DX86" i="15" s="1"/>
  <c r="DX132" i="18" s="1"/>
  <c r="FA132" i="18" s="1"/>
  <c r="DK161" i="7"/>
  <c r="DK162" i="7" s="1"/>
  <c r="DK154" i="7"/>
  <c r="EA297" i="2"/>
  <c r="DS141" i="7" s="1"/>
  <c r="EB161" i="18" s="1"/>
  <c r="DZ291" i="2"/>
  <c r="DZ298" i="2" s="1"/>
  <c r="DO211" i="18"/>
  <c r="EX211" i="18" s="1"/>
  <c r="EX212" i="18" s="1"/>
  <c r="DO198" i="18"/>
  <c r="DZ232" i="2"/>
  <c r="DR77" i="7" s="1"/>
  <c r="EB172" i="2"/>
  <c r="DT19" i="7" s="1"/>
  <c r="EA171" i="2"/>
  <c r="DZ275" i="2"/>
  <c r="DY265" i="2"/>
  <c r="EA154" i="2"/>
  <c r="EA242" i="2" s="1"/>
  <c r="DS87" i="7" s="1"/>
  <c r="EA201" i="2"/>
  <c r="EB243" i="2"/>
  <c r="DT88" i="7" s="1"/>
  <c r="EA233" i="2"/>
  <c r="DS78" i="7" s="1"/>
  <c r="EB62" i="15" s="1"/>
  <c r="EB196" i="2"/>
  <c r="EB209" i="2" s="1"/>
  <c r="EB212" i="2"/>
  <c r="EC167" i="2"/>
  <c r="EC197" i="2"/>
  <c r="DU36" i="7" s="1"/>
  <c r="DY276" i="2"/>
  <c r="DY271" i="2" s="1"/>
  <c r="DX266" i="2"/>
  <c r="CK117" i="12"/>
  <c r="CK105" i="12"/>
  <c r="DR102" i="12"/>
  <c r="CK158" i="11"/>
  <c r="DR158" i="11" s="1"/>
  <c r="EB158" i="11" s="1"/>
  <c r="DR148" i="11"/>
  <c r="EB148" i="11" s="1"/>
  <c r="DR85" i="12"/>
  <c r="EB81" i="12"/>
  <c r="EB85" i="12" s="1"/>
  <c r="DQ159" i="11"/>
  <c r="CK129" i="12"/>
  <c r="DR119" i="12"/>
  <c r="EB119" i="12" s="1"/>
  <c r="EY115" i="15"/>
  <c r="FI111" i="15"/>
  <c r="FI115" i="15" s="1"/>
  <c r="DR136" i="18"/>
  <c r="DR143" i="18" s="1"/>
  <c r="EY138" i="18"/>
  <c r="FI138" i="18" s="1"/>
  <c r="G45" i="24" s="1"/>
  <c r="DQ130" i="12"/>
  <c r="EX145" i="15"/>
  <c r="DR134" i="11"/>
  <c r="EB131" i="11"/>
  <c r="EB134" i="11" s="1"/>
  <c r="DR134" i="18"/>
  <c r="EY119" i="18"/>
  <c r="DR143" i="15"/>
  <c r="EY143" i="15" s="1"/>
  <c r="FI143" i="15" s="1"/>
  <c r="EY131" i="15"/>
  <c r="FI131" i="15" s="1"/>
  <c r="DM233" i="18"/>
  <c r="DP145" i="15"/>
  <c r="CI159" i="11"/>
  <c r="EC155" i="2"/>
  <c r="DU7" i="7" s="1"/>
  <c r="ET7" i="7" s="1"/>
  <c r="FA7" i="7" s="1"/>
  <c r="EB156" i="2"/>
  <c r="DT8" i="7" s="1"/>
  <c r="CK146" i="11"/>
  <c r="DR146" i="11" s="1"/>
  <c r="CK134" i="11"/>
  <c r="CI130" i="12"/>
  <c r="DR168" i="18"/>
  <c r="DR115" i="15"/>
  <c r="DR129" i="15"/>
  <c r="EY129" i="15" s="1"/>
  <c r="DP173" i="18"/>
  <c r="DP197" i="18"/>
  <c r="DJ161" i="7" l="1"/>
  <c r="DJ154" i="7"/>
  <c r="DS141" i="15"/>
  <c r="DS133" i="15"/>
  <c r="DT90" i="18"/>
  <c r="DH162" i="7"/>
  <c r="DS166" i="18"/>
  <c r="DS197" i="18" s="1"/>
  <c r="G40" i="24"/>
  <c r="EY239" i="18"/>
  <c r="FI239" i="18" s="1"/>
  <c r="DQ791" i="2"/>
  <c r="EY240" i="18"/>
  <c r="FI240" i="18" s="1"/>
  <c r="DQ794" i="2"/>
  <c r="DT91" i="18"/>
  <c r="DU91" i="18" s="1"/>
  <c r="DT93" i="18"/>
  <c r="DU93" i="18" s="1"/>
  <c r="DT96" i="18"/>
  <c r="DU96" i="18" s="1"/>
  <c r="DT95" i="18"/>
  <c r="DU95" i="18" s="1"/>
  <c r="DS239" i="18"/>
  <c r="DR791" i="2" s="1"/>
  <c r="DS236" i="18"/>
  <c r="DS240" i="18"/>
  <c r="DR794" i="2" s="1"/>
  <c r="DV75" i="15"/>
  <c r="DQ198" i="18"/>
  <c r="DQ211" i="18"/>
  <c r="DV121" i="18"/>
  <c r="DR235" i="18"/>
  <c r="EY235" i="18" s="1"/>
  <c r="FI235" i="18" s="1"/>
  <c r="EY236" i="18"/>
  <c r="FI236" i="18" s="1"/>
  <c r="DT90" i="11"/>
  <c r="DY149" i="18"/>
  <c r="DY170" i="18" s="1"/>
  <c r="DM129" i="7"/>
  <c r="DM98" i="7"/>
  <c r="EP154" i="7"/>
  <c r="EZ153" i="7"/>
  <c r="EZ154" i="7" s="1"/>
  <c r="DI161" i="7"/>
  <c r="DI162" i="7" s="1"/>
  <c r="DI154" i="7"/>
  <c r="CQ63" i="12"/>
  <c r="DT63" i="12" s="1"/>
  <c r="DS133" i="11"/>
  <c r="DT129" i="11"/>
  <c r="DS83" i="12"/>
  <c r="DS114" i="11"/>
  <c r="CQ55" i="12"/>
  <c r="DS119" i="12"/>
  <c r="CL129" i="12"/>
  <c r="DS129" i="12" s="1"/>
  <c r="DS148" i="11"/>
  <c r="CL158" i="11"/>
  <c r="DS158" i="11" s="1"/>
  <c r="DT81" i="11"/>
  <c r="DT94" i="11"/>
  <c r="DT55" i="12"/>
  <c r="DT139" i="11"/>
  <c r="DT59" i="11"/>
  <c r="DT144" i="11"/>
  <c r="DT154" i="11"/>
  <c r="DS104" i="12"/>
  <c r="FA42" i="15"/>
  <c r="FA121" i="15"/>
  <c r="FA139" i="15"/>
  <c r="FA109" i="15"/>
  <c r="EZ107" i="18"/>
  <c r="EZ108" i="18"/>
  <c r="FA65" i="15"/>
  <c r="FA65" i="18"/>
  <c r="FA127" i="15"/>
  <c r="DW112" i="18"/>
  <c r="DW110" i="18" s="1"/>
  <c r="DW75" i="15"/>
  <c r="DW73" i="18"/>
  <c r="DW63" i="18"/>
  <c r="DW69" i="15"/>
  <c r="DW103" i="18"/>
  <c r="DW101" i="18" s="1"/>
  <c r="DS110" i="11"/>
  <c r="CT40" i="11"/>
  <c r="DU46" i="11"/>
  <c r="CW29" i="11"/>
  <c r="DV29" i="11" s="1"/>
  <c r="EC29" i="11" s="1"/>
  <c r="DV16" i="11"/>
  <c r="EC16" i="11" s="1"/>
  <c r="CR44" i="12"/>
  <c r="CR99" i="11"/>
  <c r="CR62" i="11"/>
  <c r="DS79" i="12"/>
  <c r="DT93" i="11"/>
  <c r="CQ84" i="11"/>
  <c r="DT83" i="11"/>
  <c r="CQ61" i="12"/>
  <c r="DT57" i="12"/>
  <c r="DV94" i="18"/>
  <c r="DW94" i="18" s="1"/>
  <c r="DV92" i="18"/>
  <c r="DW92" i="18" s="1"/>
  <c r="DX92" i="18" s="1"/>
  <c r="DV98" i="18"/>
  <c r="DW98" i="18" s="1"/>
  <c r="DX98" i="18" s="1"/>
  <c r="FA85" i="18"/>
  <c r="DV90" i="15"/>
  <c r="DU113" i="15"/>
  <c r="EZ92" i="15"/>
  <c r="ET73" i="7"/>
  <c r="FA73" i="7" s="1"/>
  <c r="DV113" i="15"/>
  <c r="FA71" i="15"/>
  <c r="DY51" i="15"/>
  <c r="DR129" i="12"/>
  <c r="FA86" i="15"/>
  <c r="DZ96" i="15"/>
  <c r="FB96" i="15" s="1"/>
  <c r="FB98" i="15"/>
  <c r="EZ88" i="15"/>
  <c r="DZ264" i="2"/>
  <c r="FA63" i="15"/>
  <c r="EZ92" i="18"/>
  <c r="DX234" i="2"/>
  <c r="DY84" i="15"/>
  <c r="CR107" i="11"/>
  <c r="CR75" i="12"/>
  <c r="DQ117" i="7"/>
  <c r="DQ108" i="7"/>
  <c r="DZ84" i="15" s="1"/>
  <c r="DZ129" i="18" s="1"/>
  <c r="DT117" i="18"/>
  <c r="EZ94" i="18"/>
  <c r="DT116" i="18"/>
  <c r="FA61" i="18"/>
  <c r="EZ99" i="18"/>
  <c r="DU97" i="18"/>
  <c r="DV97" i="18" s="1"/>
  <c r="DT136" i="18"/>
  <c r="DT143" i="18" s="1"/>
  <c r="EZ116" i="18"/>
  <c r="EZ117" i="18"/>
  <c r="DV101" i="18"/>
  <c r="DV107" i="18" s="1"/>
  <c r="DV110" i="18"/>
  <c r="DY3" i="18"/>
  <c r="EA32" i="15"/>
  <c r="EA30" i="15" s="1"/>
  <c r="ES134" i="7"/>
  <c r="ES55" i="7"/>
  <c r="EA58" i="18"/>
  <c r="FB58" i="18" s="1"/>
  <c r="DV70" i="18"/>
  <c r="DV187" i="18"/>
  <c r="DV182" i="18"/>
  <c r="DV192" i="18"/>
  <c r="DV209" i="18"/>
  <c r="DV164" i="18"/>
  <c r="DV99" i="18"/>
  <c r="CR94" i="11"/>
  <c r="DZ53" i="15"/>
  <c r="DZ51" i="15" s="1"/>
  <c r="DZ85" i="18" s="1"/>
  <c r="DZ83" i="18" s="1"/>
  <c r="DZ56" i="15"/>
  <c r="DY85" i="15"/>
  <c r="DY130" i="18"/>
  <c r="DZ30" i="15"/>
  <c r="DZ38" i="15"/>
  <c r="DT168" i="18"/>
  <c r="DT129" i="15"/>
  <c r="DT115" i="15"/>
  <c r="EA38" i="18"/>
  <c r="EA50" i="18"/>
  <c r="ED12" i="15"/>
  <c r="ED17" i="18" s="1"/>
  <c r="ED23" i="15"/>
  <c r="FC23" i="15" s="1"/>
  <c r="FJ23" i="15" s="1"/>
  <c r="EC21" i="15"/>
  <c r="DY67" i="15"/>
  <c r="DY73" i="15"/>
  <c r="DY36" i="15"/>
  <c r="EB48" i="18"/>
  <c r="EB36" i="18"/>
  <c r="DX112" i="18"/>
  <c r="DX110" i="18" s="1"/>
  <c r="DX75" i="15"/>
  <c r="DN129" i="7"/>
  <c r="DN132" i="7" s="1"/>
  <c r="DW79" i="15"/>
  <c r="DY56" i="18"/>
  <c r="DY34" i="15"/>
  <c r="DX73" i="18"/>
  <c r="DX63" i="18"/>
  <c r="ES77" i="7"/>
  <c r="EA61" i="15"/>
  <c r="FB61" i="15" s="1"/>
  <c r="DX69" i="15"/>
  <c r="DX103" i="18"/>
  <c r="DX101" i="18" s="1"/>
  <c r="EA147" i="18"/>
  <c r="EA149" i="18" s="1"/>
  <c r="DZ34" i="18"/>
  <c r="DU88" i="15"/>
  <c r="DU121" i="18"/>
  <c r="DU90" i="15"/>
  <c r="EZ90" i="15" s="1"/>
  <c r="DY225" i="2"/>
  <c r="DY224" i="2" s="1"/>
  <c r="DQ142" i="7"/>
  <c r="DQ148" i="7"/>
  <c r="DQ151" i="7"/>
  <c r="CW10" i="12"/>
  <c r="DV10" i="12" s="1"/>
  <c r="EC10" i="12" s="1"/>
  <c r="CW19" i="12"/>
  <c r="DV19" i="12" s="1"/>
  <c r="EC19" i="12" s="1"/>
  <c r="ES54" i="7"/>
  <c r="CO101" i="11"/>
  <c r="CO114" i="11"/>
  <c r="CS50" i="11"/>
  <c r="CS85" i="11"/>
  <c r="CO69" i="12"/>
  <c r="CO83" i="12"/>
  <c r="CM85" i="12"/>
  <c r="CM102" i="12"/>
  <c r="CS46" i="12"/>
  <c r="CS44" i="12" s="1"/>
  <c r="CS63" i="11"/>
  <c r="CS62" i="11" s="1"/>
  <c r="CS80" i="11"/>
  <c r="CS99" i="11" s="1"/>
  <c r="DR57" i="7"/>
  <c r="DR142" i="7" s="1"/>
  <c r="CT56" i="11"/>
  <c r="DU56" i="11" s="1"/>
  <c r="CT51" i="11"/>
  <c r="DU51" i="11" s="1"/>
  <c r="CL105" i="12"/>
  <c r="CL117" i="12"/>
  <c r="CQ93" i="11"/>
  <c r="CT119" i="11"/>
  <c r="CT89" i="12"/>
  <c r="CL134" i="11"/>
  <c r="CL146" i="11"/>
  <c r="CM115" i="11"/>
  <c r="CM131" i="11"/>
  <c r="CV17" i="12"/>
  <c r="CP71" i="12"/>
  <c r="CP103" i="11"/>
  <c r="CN79" i="12"/>
  <c r="CN81" i="12"/>
  <c r="DS81" i="12" s="1"/>
  <c r="CT24" i="12"/>
  <c r="CT32" i="12"/>
  <c r="DU32" i="12" s="1"/>
  <c r="CR42" i="12"/>
  <c r="CR57" i="12"/>
  <c r="CR35" i="12"/>
  <c r="CR115" i="12"/>
  <c r="CR110" i="12"/>
  <c r="CR125" i="12"/>
  <c r="CQ76" i="12"/>
  <c r="DT76" i="12" s="1"/>
  <c r="CQ109" i="11"/>
  <c r="DT109" i="11" s="1"/>
  <c r="CW15" i="11"/>
  <c r="CW34" i="11"/>
  <c r="DV34" i="11" s="1"/>
  <c r="EC34" i="11" s="1"/>
  <c r="ET15" i="7"/>
  <c r="FA15" i="7" s="1"/>
  <c r="FA35" i="7" s="1"/>
  <c r="CN110" i="11"/>
  <c r="CN112" i="11"/>
  <c r="DS112" i="11" s="1"/>
  <c r="CU46" i="11"/>
  <c r="CU26" i="12"/>
  <c r="CU41" i="11"/>
  <c r="CU53" i="12"/>
  <c r="CU75" i="11"/>
  <c r="CS59" i="12"/>
  <c r="CS30" i="12"/>
  <c r="CR100" i="12"/>
  <c r="CR65" i="12"/>
  <c r="DN112" i="7"/>
  <c r="CR77" i="12"/>
  <c r="CR108" i="11"/>
  <c r="CU127" i="11"/>
  <c r="CU98" i="12"/>
  <c r="CS106" i="11"/>
  <c r="CS74" i="12"/>
  <c r="CV76" i="11"/>
  <c r="CV54" i="12"/>
  <c r="CU48" i="12"/>
  <c r="CU68" i="11"/>
  <c r="CU67" i="11"/>
  <c r="CR129" i="11"/>
  <c r="CR59" i="11"/>
  <c r="CR83" i="11"/>
  <c r="CR144" i="11"/>
  <c r="CR139" i="11"/>
  <c r="CR154" i="11"/>
  <c r="DO212" i="18"/>
  <c r="ES58" i="7"/>
  <c r="DR52" i="7"/>
  <c r="ES49" i="7"/>
  <c r="DR62" i="7"/>
  <c r="ES62" i="7" s="1"/>
  <c r="ES40" i="7"/>
  <c r="DR61" i="7"/>
  <c r="ES39" i="7"/>
  <c r="DS116" i="7"/>
  <c r="DS107" i="7"/>
  <c r="EB83" i="15" s="1"/>
  <c r="DS81" i="7"/>
  <c r="DQ109" i="7"/>
  <c r="DQ118" i="7"/>
  <c r="DQ69" i="7"/>
  <c r="DQ99" i="7"/>
  <c r="EB200" i="2"/>
  <c r="DS134" i="7"/>
  <c r="DX261" i="2"/>
  <c r="DP110" i="7"/>
  <c r="DY86" i="15" s="1"/>
  <c r="DP119" i="7"/>
  <c r="DP68" i="7"/>
  <c r="DO79" i="7"/>
  <c r="DO97" i="7"/>
  <c r="ER68" i="7"/>
  <c r="ER79" i="7" s="1"/>
  <c r="DP92" i="7"/>
  <c r="CR90" i="11" s="1"/>
  <c r="DU35" i="7"/>
  <c r="DR116" i="7"/>
  <c r="DR107" i="7"/>
  <c r="EA83" i="15" s="1"/>
  <c r="EA128" i="18" s="1"/>
  <c r="FB128" i="18" s="1"/>
  <c r="EA216" i="2"/>
  <c r="DS55" i="7" s="1"/>
  <c r="EB58" i="18" s="1"/>
  <c r="DS40" i="7"/>
  <c r="EA226" i="2"/>
  <c r="DO105" i="7"/>
  <c r="DX79" i="15" s="1"/>
  <c r="ER110" i="7"/>
  <c r="DR82" i="7"/>
  <c r="DZ226" i="2"/>
  <c r="EB211" i="2"/>
  <c r="DT50" i="7"/>
  <c r="DZ236" i="2"/>
  <c r="DO114" i="7"/>
  <c r="ER119" i="7"/>
  <c r="ET36" i="7"/>
  <c r="EQ132" i="7"/>
  <c r="EA215" i="2"/>
  <c r="DS54" i="7" s="1"/>
  <c r="DS39" i="7"/>
  <c r="DO93" i="7"/>
  <c r="DO94" i="7" s="1"/>
  <c r="ER92" i="7"/>
  <c r="DL153" i="7"/>
  <c r="DL145" i="7"/>
  <c r="EQ144" i="7"/>
  <c r="DS49" i="7"/>
  <c r="DS58" i="7"/>
  <c r="DO232" i="18"/>
  <c r="DO233" i="18" s="1"/>
  <c r="EB297" i="2"/>
  <c r="DT141" i="7" s="1"/>
  <c r="EC161" i="18" s="1"/>
  <c r="EA291" i="2"/>
  <c r="EA298" i="2" s="1"/>
  <c r="EA232" i="2"/>
  <c r="DS77" i="7" s="1"/>
  <c r="EB61" i="15" s="1"/>
  <c r="EA236" i="2"/>
  <c r="EA275" i="2"/>
  <c r="DZ265" i="2"/>
  <c r="EC196" i="2"/>
  <c r="EC209" i="2" s="1"/>
  <c r="EC212" i="2"/>
  <c r="EC220" i="2" s="1"/>
  <c r="EC219" i="2" s="1"/>
  <c r="EC263" i="2" s="1"/>
  <c r="EB171" i="2"/>
  <c r="EC172" i="2"/>
  <c r="EB220" i="2"/>
  <c r="EB219" i="2" s="1"/>
  <c r="EB263" i="2" s="1"/>
  <c r="DZ276" i="2"/>
  <c r="DY266" i="2"/>
  <c r="EB154" i="2"/>
  <c r="EB242" i="2" s="1"/>
  <c r="DT87" i="7" s="1"/>
  <c r="EB201" i="2"/>
  <c r="EC243" i="2"/>
  <c r="EB233" i="2"/>
  <c r="DT78" i="7" s="1"/>
  <c r="EC62" i="15" s="1"/>
  <c r="DR105" i="12"/>
  <c r="EB102" i="12"/>
  <c r="EB105" i="12" s="1"/>
  <c r="EY136" i="18"/>
  <c r="EY143" i="18" s="1"/>
  <c r="DR149" i="11"/>
  <c r="EB146" i="11"/>
  <c r="EB149" i="11" s="1"/>
  <c r="DR117" i="12"/>
  <c r="CK127" i="12"/>
  <c r="CK120" i="12"/>
  <c r="EY133" i="15"/>
  <c r="FI129" i="15"/>
  <c r="FI133" i="15" s="1"/>
  <c r="EY134" i="18"/>
  <c r="FI119" i="18"/>
  <c r="FI134" i="18" s="1"/>
  <c r="DR166" i="18"/>
  <c r="EY166" i="18" s="1"/>
  <c r="EY168" i="18"/>
  <c r="FI168" i="18" s="1"/>
  <c r="G53" i="24" s="1"/>
  <c r="CK156" i="11"/>
  <c r="CK149" i="11"/>
  <c r="DP211" i="18"/>
  <c r="DP198" i="18"/>
  <c r="DR133" i="15"/>
  <c r="DR141" i="15"/>
  <c r="EC156" i="2"/>
  <c r="DU8" i="7" s="1"/>
  <c r="ET8" i="7" s="1"/>
  <c r="FA8" i="7" s="1"/>
  <c r="DJ162" i="7" l="1"/>
  <c r="DS145" i="15"/>
  <c r="DT239" i="18"/>
  <c r="DS791" i="2" s="1"/>
  <c r="DU90" i="18"/>
  <c r="EZ90" i="18" s="1"/>
  <c r="DT240" i="18"/>
  <c r="DS794" i="2" s="1"/>
  <c r="DT236" i="18"/>
  <c r="DS173" i="18"/>
  <c r="DS198" i="18"/>
  <c r="DS211" i="18"/>
  <c r="DV95" i="18"/>
  <c r="DV96" i="18"/>
  <c r="DV93" i="18"/>
  <c r="DW93" i="18" s="1"/>
  <c r="DX93" i="18" s="1"/>
  <c r="DV91" i="18"/>
  <c r="DW91" i="18" s="1"/>
  <c r="DX91" i="18" s="1"/>
  <c r="EZ93" i="18"/>
  <c r="EZ95" i="18"/>
  <c r="EZ96" i="18"/>
  <c r="EZ91" i="18"/>
  <c r="DS235" i="18"/>
  <c r="DQ232" i="18"/>
  <c r="DQ233" i="18" s="1"/>
  <c r="DQ212" i="18"/>
  <c r="DV119" i="18"/>
  <c r="DT67" i="12"/>
  <c r="DY145" i="18"/>
  <c r="DM144" i="7"/>
  <c r="CQ67" i="12"/>
  <c r="DM132" i="7"/>
  <c r="CR55" i="12"/>
  <c r="CR81" i="11"/>
  <c r="EP161" i="7"/>
  <c r="FA69" i="15"/>
  <c r="FA73" i="18"/>
  <c r="CR63" i="12"/>
  <c r="CR92" i="11"/>
  <c r="FA63" i="18"/>
  <c r="DU40" i="11"/>
  <c r="CT48" i="11"/>
  <c r="DT84" i="11"/>
  <c r="DT61" i="12"/>
  <c r="DW70" i="18"/>
  <c r="DW187" i="18"/>
  <c r="DW182" i="18"/>
  <c r="DW192" i="18"/>
  <c r="DW209" i="18"/>
  <c r="DW99" i="18"/>
  <c r="DW164" i="18"/>
  <c r="DW108" i="18"/>
  <c r="DW107" i="18"/>
  <c r="DW116" i="18"/>
  <c r="DW117" i="18"/>
  <c r="DZ147" i="18"/>
  <c r="DV138" i="18"/>
  <c r="DV111" i="15"/>
  <c r="DV94" i="15"/>
  <c r="CO133" i="11"/>
  <c r="CO104" i="12"/>
  <c r="CT117" i="11"/>
  <c r="DU117" i="11" s="1"/>
  <c r="DU119" i="11"/>
  <c r="CT87" i="12"/>
  <c r="DU87" i="12" s="1"/>
  <c r="DU89" i="12"/>
  <c r="DS85" i="12"/>
  <c r="CT28" i="12"/>
  <c r="DU24" i="12"/>
  <c r="CR61" i="12"/>
  <c r="CW28" i="11"/>
  <c r="DV28" i="11" s="1"/>
  <c r="EC28" i="11" s="1"/>
  <c r="DV15" i="11"/>
  <c r="EC15" i="11" s="1"/>
  <c r="DS115" i="11"/>
  <c r="CU40" i="11"/>
  <c r="CS100" i="12"/>
  <c r="CR84" i="11"/>
  <c r="DX94" i="18"/>
  <c r="FA94" i="18" s="1"/>
  <c r="FC12" i="15"/>
  <c r="FJ12" i="15" s="1"/>
  <c r="FB30" i="15"/>
  <c r="FB34" i="15" s="1"/>
  <c r="FB83" i="15"/>
  <c r="DZ271" i="2"/>
  <c r="DY132" i="18"/>
  <c r="EB128" i="18"/>
  <c r="FA79" i="15"/>
  <c r="DY129" i="18"/>
  <c r="EB129" i="12"/>
  <c r="DY85" i="18"/>
  <c r="DY83" i="18" s="1"/>
  <c r="DU131" i="15"/>
  <c r="EZ113" i="15"/>
  <c r="FA75" i="15"/>
  <c r="DN144" i="7"/>
  <c r="DN153" i="7" s="1"/>
  <c r="DR148" i="7"/>
  <c r="DV131" i="15"/>
  <c r="EZ94" i="15"/>
  <c r="DR65" i="7"/>
  <c r="FB32" i="15"/>
  <c r="EA264" i="2"/>
  <c r="DY234" i="2"/>
  <c r="CS107" i="11"/>
  <c r="CS75" i="12"/>
  <c r="DR117" i="7"/>
  <c r="ES117" i="7" s="1"/>
  <c r="DR108" i="7"/>
  <c r="EA84" i="15" s="1"/>
  <c r="EA129" i="18" s="1"/>
  <c r="EA38" i="15"/>
  <c r="EZ97" i="18"/>
  <c r="DV108" i="18"/>
  <c r="FA92" i="18"/>
  <c r="EA7" i="18"/>
  <c r="FB38" i="18"/>
  <c r="FA112" i="18"/>
  <c r="FA110" i="18"/>
  <c r="EA46" i="18"/>
  <c r="FB46" i="18" s="1"/>
  <c r="FB50" i="18"/>
  <c r="FA103" i="18"/>
  <c r="FA101" i="18"/>
  <c r="DW97" i="18"/>
  <c r="DX97" i="18" s="1"/>
  <c r="DV117" i="18"/>
  <c r="DV116" i="18"/>
  <c r="ED15" i="18"/>
  <c r="FC15" i="18" s="1"/>
  <c r="FJ15" i="18" s="1"/>
  <c r="FC17" i="18"/>
  <c r="FJ17" i="18" s="1"/>
  <c r="DU119" i="18"/>
  <c r="EZ121" i="18"/>
  <c r="DT166" i="18"/>
  <c r="DT173" i="18" s="1"/>
  <c r="DY54" i="18"/>
  <c r="EB32" i="15"/>
  <c r="DX70" i="18"/>
  <c r="DX187" i="18"/>
  <c r="DX182" i="18"/>
  <c r="DX192" i="18"/>
  <c r="DX209" i="18"/>
  <c r="DX99" i="18"/>
  <c r="DX164" i="18"/>
  <c r="ED21" i="15"/>
  <c r="FC21" i="15" s="1"/>
  <c r="FJ21" i="15" s="1"/>
  <c r="DR151" i="7"/>
  <c r="DZ130" i="18"/>
  <c r="DZ85" i="15"/>
  <c r="DX77" i="15"/>
  <c r="DX92" i="15"/>
  <c r="DX113" i="15" s="1"/>
  <c r="DX131" i="15" s="1"/>
  <c r="DX143" i="15" s="1"/>
  <c r="ES57" i="7"/>
  <c r="ES65" i="7" s="1"/>
  <c r="EA145" i="18"/>
  <c r="EA170" i="18"/>
  <c r="EA56" i="18"/>
  <c r="EA54" i="18" s="1"/>
  <c r="EA34" i="15"/>
  <c r="DT141" i="15"/>
  <c r="DT133" i="15"/>
  <c r="EA34" i="18"/>
  <c r="FB34" i="18" s="1"/>
  <c r="EB50" i="18"/>
  <c r="EB38" i="18"/>
  <c r="DX108" i="18"/>
  <c r="DX107" i="18"/>
  <c r="DZ67" i="15"/>
  <c r="DZ73" i="15"/>
  <c r="DZ36" i="15"/>
  <c r="DW77" i="15"/>
  <c r="DW92" i="15"/>
  <c r="DZ56" i="18"/>
  <c r="DZ54" i="18" s="1"/>
  <c r="DZ61" i="18" s="1"/>
  <c r="DZ34" i="15"/>
  <c r="EB98" i="15"/>
  <c r="DY65" i="15"/>
  <c r="DY65" i="18"/>
  <c r="DY71" i="15"/>
  <c r="DY42" i="15"/>
  <c r="DY127" i="15"/>
  <c r="DY121" i="15"/>
  <c r="DY139" i="15"/>
  <c r="DY109" i="15"/>
  <c r="CS55" i="12"/>
  <c r="DX116" i="18"/>
  <c r="DX117" i="18"/>
  <c r="DU138" i="18"/>
  <c r="DU94" i="15"/>
  <c r="DU111" i="15"/>
  <c r="EZ111" i="15" s="1"/>
  <c r="EZ115" i="15" s="1"/>
  <c r="EC48" i="18"/>
  <c r="EC36" i="18"/>
  <c r="CS94" i="11"/>
  <c r="ER114" i="7"/>
  <c r="CQ71" i="12"/>
  <c r="DT71" i="12" s="1"/>
  <c r="CQ103" i="11"/>
  <c r="DT103" i="11" s="1"/>
  <c r="CM134" i="11"/>
  <c r="CM146" i="11"/>
  <c r="CL120" i="12"/>
  <c r="CL127" i="12"/>
  <c r="CO79" i="12"/>
  <c r="CO81" i="12"/>
  <c r="CM117" i="12"/>
  <c r="CM105" i="12"/>
  <c r="CV26" i="12"/>
  <c r="CV46" i="11"/>
  <c r="CV40" i="11" s="1"/>
  <c r="CV48" i="11" s="1"/>
  <c r="CV41" i="11"/>
  <c r="CV75" i="11"/>
  <c r="CV53" i="12"/>
  <c r="CS65" i="12"/>
  <c r="DT134" i="7"/>
  <c r="EC98" i="15" s="1"/>
  <c r="EC96" i="15" s="1"/>
  <c r="CV127" i="11"/>
  <c r="CV98" i="12"/>
  <c r="CT67" i="11"/>
  <c r="DU67" i="11" s="1"/>
  <c r="CT68" i="11"/>
  <c r="CT48" i="12"/>
  <c r="DU48" i="12" s="1"/>
  <c r="CU56" i="11"/>
  <c r="CU51" i="11"/>
  <c r="CS108" i="11"/>
  <c r="CS77" i="12"/>
  <c r="CT30" i="12"/>
  <c r="CT50" i="11"/>
  <c r="CS92" i="11"/>
  <c r="CS59" i="11"/>
  <c r="CS83" i="11"/>
  <c r="CS84" i="11" s="1"/>
  <c r="CS144" i="11"/>
  <c r="CS139" i="11"/>
  <c r="CS154" i="11"/>
  <c r="CW17" i="12"/>
  <c r="DV17" i="12" s="1"/>
  <c r="EC17" i="12" s="1"/>
  <c r="CU106" i="11"/>
  <c r="CU74" i="12"/>
  <c r="CL156" i="11"/>
  <c r="CL149" i="11"/>
  <c r="CN85" i="12"/>
  <c r="CN102" i="12"/>
  <c r="DS102" i="12" s="1"/>
  <c r="CS129" i="11"/>
  <c r="CR109" i="11"/>
  <c r="CR76" i="12"/>
  <c r="CT106" i="11"/>
  <c r="DU106" i="11" s="1"/>
  <c r="CT74" i="12"/>
  <c r="DU74" i="12" s="1"/>
  <c r="CS42" i="12"/>
  <c r="CS35" i="12"/>
  <c r="CS63" i="12"/>
  <c r="CS57" i="12"/>
  <c r="CS61" i="12" s="1"/>
  <c r="CS115" i="12"/>
  <c r="CS110" i="12"/>
  <c r="CS125" i="12"/>
  <c r="CU24" i="12"/>
  <c r="CU32" i="12"/>
  <c r="CU46" i="12"/>
  <c r="CU80" i="11"/>
  <c r="CU63" i="11"/>
  <c r="CP101" i="11"/>
  <c r="CP114" i="11"/>
  <c r="CP133" i="11" s="1"/>
  <c r="CP148" i="11" s="1"/>
  <c r="CP158" i="11" s="1"/>
  <c r="CU89" i="12"/>
  <c r="CU119" i="11"/>
  <c r="CN115" i="11"/>
  <c r="CN131" i="11"/>
  <c r="DS131" i="11" s="1"/>
  <c r="CP69" i="12"/>
  <c r="CP83" i="12"/>
  <c r="CP104" i="12" s="1"/>
  <c r="CP119" i="12" s="1"/>
  <c r="CP129" i="12" s="1"/>
  <c r="CS81" i="11"/>
  <c r="CO110" i="11"/>
  <c r="CO112" i="11"/>
  <c r="DL161" i="7"/>
  <c r="DL154" i="7"/>
  <c r="EQ153" i="7"/>
  <c r="DR81" i="7"/>
  <c r="ES82" i="7"/>
  <c r="DP114" i="7"/>
  <c r="ER93" i="7"/>
  <c r="ER94" i="7" s="1"/>
  <c r="DO129" i="7"/>
  <c r="DO98" i="7"/>
  <c r="ER97" i="7"/>
  <c r="DP105" i="7"/>
  <c r="DY79" i="15" s="1"/>
  <c r="EA225" i="2"/>
  <c r="EA224" i="2" s="1"/>
  <c r="DS70" i="7"/>
  <c r="EB237" i="2"/>
  <c r="DT82" i="7" s="1"/>
  <c r="DS62" i="7"/>
  <c r="DP79" i="7"/>
  <c r="DP97" i="7"/>
  <c r="ES61" i="7"/>
  <c r="EB215" i="2"/>
  <c r="DT54" i="7" s="1"/>
  <c r="DT39" i="7"/>
  <c r="DO112" i="7"/>
  <c r="ER105" i="7"/>
  <c r="EC171" i="2"/>
  <c r="DU19" i="7"/>
  <c r="ET19" i="7" s="1"/>
  <c r="FA19" i="7" s="1"/>
  <c r="EC211" i="2"/>
  <c r="DU50" i="7"/>
  <c r="DS57" i="7"/>
  <c r="EC237" i="2"/>
  <c r="DU82" i="7" s="1"/>
  <c r="DS61" i="7"/>
  <c r="DY261" i="2"/>
  <c r="DQ119" i="7"/>
  <c r="DQ110" i="7"/>
  <c r="DZ86" i="15" s="1"/>
  <c r="DZ132" i="18" s="1"/>
  <c r="DT49" i="7"/>
  <c r="DT52" i="7" s="1"/>
  <c r="DT58" i="7"/>
  <c r="ES107" i="7"/>
  <c r="DS52" i="7"/>
  <c r="EC233" i="2"/>
  <c r="DU78" i="7" s="1"/>
  <c r="DU88" i="7"/>
  <c r="EQ145" i="7"/>
  <c r="DU47" i="7"/>
  <c r="ET47" i="7" s="1"/>
  <c r="FA47" i="7" s="1"/>
  <c r="ET35" i="7"/>
  <c r="EB216" i="2"/>
  <c r="DT55" i="7" s="1"/>
  <c r="EC58" i="18" s="1"/>
  <c r="DT40" i="7"/>
  <c r="DR109" i="7"/>
  <c r="DR118" i="7"/>
  <c r="DZ225" i="2"/>
  <c r="DZ224" i="2" s="1"/>
  <c r="DR70" i="7"/>
  <c r="DP93" i="7"/>
  <c r="DP94" i="7" s="1"/>
  <c r="ES116" i="7"/>
  <c r="DQ68" i="7"/>
  <c r="DQ92" i="7"/>
  <c r="EX232" i="18"/>
  <c r="EX233" i="18" s="1"/>
  <c r="EC297" i="2"/>
  <c r="EB291" i="2"/>
  <c r="EB298" i="2" s="1"/>
  <c r="DR173" i="18"/>
  <c r="EB232" i="2"/>
  <c r="DT77" i="7" s="1"/>
  <c r="EC61" i="15" s="1"/>
  <c r="EC154" i="2"/>
  <c r="EC242" i="2" s="1"/>
  <c r="DU87" i="7" s="1"/>
  <c r="EC201" i="2"/>
  <c r="EB275" i="2"/>
  <c r="EA265" i="2"/>
  <c r="EA276" i="2"/>
  <c r="EA271" i="2" s="1"/>
  <c r="DZ266" i="2"/>
  <c r="EC200" i="2"/>
  <c r="CK130" i="12"/>
  <c r="DR127" i="12"/>
  <c r="CK159" i="11"/>
  <c r="DR156" i="11"/>
  <c r="DR120" i="12"/>
  <c r="EB117" i="12"/>
  <c r="EB120" i="12" s="1"/>
  <c r="EY173" i="18"/>
  <c r="FI166" i="18"/>
  <c r="FI136" i="18"/>
  <c r="FI143" i="18" s="1"/>
  <c r="DR145" i="15"/>
  <c r="EY141" i="15"/>
  <c r="DR197" i="18"/>
  <c r="EY197" i="18" s="1"/>
  <c r="DP232" i="18"/>
  <c r="DP212" i="18"/>
  <c r="DV90" i="18" l="1"/>
  <c r="DU240" i="18"/>
  <c r="DU239" i="18"/>
  <c r="DU236" i="18"/>
  <c r="DT235" i="18"/>
  <c r="EZ236" i="18"/>
  <c r="DW95" i="18"/>
  <c r="DX95" i="18" s="1"/>
  <c r="DW96" i="18"/>
  <c r="DX96" i="18" s="1"/>
  <c r="FA96" i="18" s="1"/>
  <c r="FA93" i="18"/>
  <c r="DS232" i="18"/>
  <c r="DS212" i="18"/>
  <c r="FA91" i="18"/>
  <c r="DV134" i="18"/>
  <c r="DM153" i="7"/>
  <c r="FA70" i="18"/>
  <c r="FA187" i="18"/>
  <c r="FA192" i="18"/>
  <c r="DM145" i="7"/>
  <c r="FA182" i="18"/>
  <c r="FA209" i="18"/>
  <c r="FA99" i="18"/>
  <c r="FA164" i="18"/>
  <c r="DV136" i="18"/>
  <c r="DV143" i="18" s="1"/>
  <c r="DV168" i="18"/>
  <c r="DV115" i="15"/>
  <c r="CR93" i="11"/>
  <c r="CR67" i="12"/>
  <c r="CT100" i="12"/>
  <c r="EP162" i="7"/>
  <c r="EZ161" i="7"/>
  <c r="EZ162" i="7" s="1"/>
  <c r="FB147" i="18"/>
  <c r="DU48" i="11"/>
  <c r="CO148" i="11"/>
  <c r="CO119" i="12"/>
  <c r="DU28" i="12"/>
  <c r="CU48" i="11"/>
  <c r="DU30" i="12"/>
  <c r="DV129" i="15"/>
  <c r="DZ149" i="18"/>
  <c r="DN145" i="7"/>
  <c r="CL130" i="12"/>
  <c r="CT85" i="11"/>
  <c r="DU68" i="11"/>
  <c r="CT129" i="11"/>
  <c r="DU50" i="11"/>
  <c r="DS105" i="12"/>
  <c r="CU28" i="12"/>
  <c r="CU44" i="12"/>
  <c r="CU62" i="11"/>
  <c r="CU87" i="12"/>
  <c r="CU117" i="11"/>
  <c r="DS134" i="11"/>
  <c r="CL159" i="11"/>
  <c r="FA77" i="15"/>
  <c r="FB129" i="18"/>
  <c r="DY93" i="18"/>
  <c r="DZ93" i="18" s="1"/>
  <c r="DY91" i="18"/>
  <c r="DZ91" i="18" s="1"/>
  <c r="DY92" i="18"/>
  <c r="DZ92" i="18" s="1"/>
  <c r="DY97" i="18"/>
  <c r="DZ97" i="18" s="1"/>
  <c r="DY94" i="18"/>
  <c r="DZ94" i="18" s="1"/>
  <c r="DY98" i="18"/>
  <c r="DZ98" i="18" s="1"/>
  <c r="ES148" i="7"/>
  <c r="DW113" i="15"/>
  <c r="FA92" i="15"/>
  <c r="EA36" i="15"/>
  <c r="FB36" i="15" s="1"/>
  <c r="FB38" i="15"/>
  <c r="EB96" i="15"/>
  <c r="DT145" i="15"/>
  <c r="DV143" i="15"/>
  <c r="DU143" i="15"/>
  <c r="EZ143" i="15" s="1"/>
  <c r="EZ131" i="15"/>
  <c r="DY77" i="15"/>
  <c r="DY121" i="18" s="1"/>
  <c r="ES151" i="7"/>
  <c r="FB84" i="15"/>
  <c r="EB38" i="15"/>
  <c r="EB67" i="15" s="1"/>
  <c r="ES108" i="7"/>
  <c r="EA67" i="15"/>
  <c r="ES142" i="7"/>
  <c r="EB264" i="2"/>
  <c r="DZ234" i="2"/>
  <c r="EA234" i="2"/>
  <c r="CT75" i="12"/>
  <c r="DU75" i="12" s="1"/>
  <c r="CT107" i="11"/>
  <c r="DU107" i="11" s="1"/>
  <c r="DS108" i="7"/>
  <c r="DS117" i="7"/>
  <c r="EB30" i="15"/>
  <c r="FA116" i="18"/>
  <c r="FA97" i="18"/>
  <c r="FA108" i="18"/>
  <c r="FA107" i="18"/>
  <c r="DT197" i="18"/>
  <c r="DT198" i="18" s="1"/>
  <c r="DU134" i="18"/>
  <c r="EZ119" i="18"/>
  <c r="DU136" i="18"/>
  <c r="DU143" i="18" s="1"/>
  <c r="EZ138" i="18"/>
  <c r="FB56" i="18"/>
  <c r="FA117" i="18"/>
  <c r="EA3" i="18"/>
  <c r="FB3" i="18" s="1"/>
  <c r="FB7" i="18"/>
  <c r="EB7" i="18"/>
  <c r="EB46" i="18"/>
  <c r="DY61" i="18"/>
  <c r="FB54" i="18"/>
  <c r="G43" i="24"/>
  <c r="FI173" i="18"/>
  <c r="G51" i="24"/>
  <c r="DY92" i="15"/>
  <c r="EC32" i="15"/>
  <c r="EC30" i="15" s="1"/>
  <c r="EB34" i="18"/>
  <c r="DZ65" i="15"/>
  <c r="DZ65" i="18"/>
  <c r="DZ71" i="15"/>
  <c r="DZ42" i="15"/>
  <c r="DZ127" i="15"/>
  <c r="DZ121" i="15"/>
  <c r="DZ139" i="15"/>
  <c r="DZ109" i="15"/>
  <c r="DY73" i="18"/>
  <c r="DY63" i="18"/>
  <c r="ED36" i="18"/>
  <c r="FC36" i="18" s="1"/>
  <c r="FJ36" i="18" s="1"/>
  <c r="H7" i="24" s="1"/>
  <c r="ED48" i="18"/>
  <c r="FC48" i="18" s="1"/>
  <c r="FJ48" i="18" s="1"/>
  <c r="ET78" i="7"/>
  <c r="FA78" i="7" s="1"/>
  <c r="ED62" i="15"/>
  <c r="FC62" i="15" s="1"/>
  <c r="FJ62" i="15" s="1"/>
  <c r="DY69" i="15"/>
  <c r="DY103" i="18"/>
  <c r="EA85" i="15"/>
  <c r="FB85" i="15" s="1"/>
  <c r="EA130" i="18"/>
  <c r="FB130" i="18" s="1"/>
  <c r="EC50" i="18"/>
  <c r="EC46" i="18" s="1"/>
  <c r="EC38" i="18"/>
  <c r="EC7" i="18" s="1"/>
  <c r="EC3" i="18" s="1"/>
  <c r="EB53" i="15"/>
  <c r="EB56" i="15"/>
  <c r="DU168" i="18"/>
  <c r="DU129" i="15"/>
  <c r="DU115" i="15"/>
  <c r="DW88" i="15"/>
  <c r="DW121" i="18"/>
  <c r="DW90" i="15"/>
  <c r="EC147" i="18"/>
  <c r="EC149" i="18" s="1"/>
  <c r="EA61" i="18"/>
  <c r="EA53" i="15"/>
  <c r="FB53" i="15" s="1"/>
  <c r="EA56" i="15"/>
  <c r="DY112" i="18"/>
  <c r="DY75" i="15"/>
  <c r="DX88" i="15"/>
  <c r="DX121" i="18"/>
  <c r="DX119" i="18" s="1"/>
  <c r="DX134" i="18" s="1"/>
  <c r="DX90" i="15"/>
  <c r="CU99" i="11"/>
  <c r="CT59" i="12"/>
  <c r="DU59" i="12" s="1"/>
  <c r="CS93" i="11"/>
  <c r="CT57" i="12"/>
  <c r="CT42" i="12"/>
  <c r="DU42" i="12" s="1"/>
  <c r="CT35" i="12"/>
  <c r="CT115" i="12"/>
  <c r="CT110" i="12"/>
  <c r="CT125" i="12"/>
  <c r="CM156" i="11"/>
  <c r="CM159" i="11" s="1"/>
  <c r="CM149" i="11"/>
  <c r="CR71" i="12"/>
  <c r="CR103" i="11"/>
  <c r="CN146" i="11"/>
  <c r="DS146" i="11" s="1"/>
  <c r="CN134" i="11"/>
  <c r="CW68" i="11"/>
  <c r="CW48" i="12"/>
  <c r="CW67" i="11"/>
  <c r="CU59" i="12"/>
  <c r="CU65" i="12"/>
  <c r="CU30" i="12"/>
  <c r="ES81" i="7"/>
  <c r="CT46" i="12"/>
  <c r="DU46" i="12" s="1"/>
  <c r="CT63" i="11"/>
  <c r="DU63" i="11" s="1"/>
  <c r="CT80" i="11"/>
  <c r="CP110" i="11"/>
  <c r="CP112" i="11"/>
  <c r="CP79" i="12"/>
  <c r="CP81" i="12"/>
  <c r="CW26" i="12"/>
  <c r="DV26" i="12" s="1"/>
  <c r="EC26" i="12" s="1"/>
  <c r="CW46" i="11"/>
  <c r="CW41" i="11"/>
  <c r="DV41" i="11" s="1"/>
  <c r="EC41" i="11" s="1"/>
  <c r="DQ114" i="7"/>
  <c r="CS109" i="11"/>
  <c r="CS76" i="12"/>
  <c r="DQ93" i="7"/>
  <c r="DQ94" i="7" s="1"/>
  <c r="CS90" i="11"/>
  <c r="ES109" i="7"/>
  <c r="DT57" i="7"/>
  <c r="DT65" i="7" s="1"/>
  <c r="CV56" i="11"/>
  <c r="CV51" i="11"/>
  <c r="CV68" i="11"/>
  <c r="DV68" i="11" s="1"/>
  <c r="CV67" i="11"/>
  <c r="CV48" i="12"/>
  <c r="CV89" i="12"/>
  <c r="CV87" i="12" s="1"/>
  <c r="CV119" i="11"/>
  <c r="CV117" i="11" s="1"/>
  <c r="CQ101" i="11"/>
  <c r="DT101" i="11" s="1"/>
  <c r="CQ114" i="11"/>
  <c r="CS67" i="12"/>
  <c r="ET87" i="7"/>
  <c r="FA87" i="7" s="1"/>
  <c r="CW53" i="12"/>
  <c r="DV53" i="12" s="1"/>
  <c r="EC53" i="12" s="1"/>
  <c r="CW75" i="11"/>
  <c r="DV75" i="11" s="1"/>
  <c r="EC75" i="11" s="1"/>
  <c r="CQ69" i="12"/>
  <c r="DT69" i="12" s="1"/>
  <c r="CQ83" i="12"/>
  <c r="CM120" i="12"/>
  <c r="CM127" i="12"/>
  <c r="CM130" i="12" s="1"/>
  <c r="ET88" i="7"/>
  <c r="FA88" i="7" s="1"/>
  <c r="CW76" i="11"/>
  <c r="DV76" i="11" s="1"/>
  <c r="EC76" i="11" s="1"/>
  <c r="CW54" i="12"/>
  <c r="DV54" i="12" s="1"/>
  <c r="EC54" i="12" s="1"/>
  <c r="CT59" i="11"/>
  <c r="CT83" i="11"/>
  <c r="CT84" i="11" s="1"/>
  <c r="CT144" i="11"/>
  <c r="CT139" i="11"/>
  <c r="CT154" i="11"/>
  <c r="ES118" i="7"/>
  <c r="CT77" i="12"/>
  <c r="DU77" i="12" s="1"/>
  <c r="CT108" i="11"/>
  <c r="DU108" i="11" s="1"/>
  <c r="DQ105" i="7"/>
  <c r="DZ79" i="15" s="1"/>
  <c r="DZ77" i="15" s="1"/>
  <c r="CO131" i="11"/>
  <c r="CO115" i="11"/>
  <c r="CN105" i="12"/>
  <c r="CN117" i="12"/>
  <c r="DS117" i="12" s="1"/>
  <c r="CU94" i="11"/>
  <c r="CU50" i="11"/>
  <c r="CU85" i="11"/>
  <c r="CV24" i="12"/>
  <c r="CV28" i="12" s="1"/>
  <c r="CV32" i="12"/>
  <c r="CO102" i="12"/>
  <c r="CO85" i="12"/>
  <c r="DT62" i="7"/>
  <c r="EC226" i="2"/>
  <c r="EC225" i="2" s="1"/>
  <c r="DZ261" i="2"/>
  <c r="DR119" i="7"/>
  <c r="DR110" i="7"/>
  <c r="EA86" i="15" s="1"/>
  <c r="EA132" i="18" s="1"/>
  <c r="FB132" i="18" s="1"/>
  <c r="DS99" i="7"/>
  <c r="DS69" i="7"/>
  <c r="ER112" i="7"/>
  <c r="DQ79" i="7"/>
  <c r="DQ97" i="7"/>
  <c r="DU116" i="7"/>
  <c r="DU107" i="7"/>
  <c r="ED83" i="15" s="1"/>
  <c r="ED128" i="18" s="1"/>
  <c r="DU81" i="7"/>
  <c r="DS109" i="7"/>
  <c r="DS118" i="7"/>
  <c r="DT61" i="7"/>
  <c r="DP112" i="7"/>
  <c r="EQ154" i="7"/>
  <c r="EC216" i="2"/>
  <c r="DU55" i="7" s="1"/>
  <c r="DU40" i="7"/>
  <c r="DR69" i="7"/>
  <c r="ES70" i="7"/>
  <c r="ES99" i="7" s="1"/>
  <c r="DT116" i="7"/>
  <c r="DT107" i="7"/>
  <c r="EC83" i="15" s="1"/>
  <c r="ER98" i="7"/>
  <c r="DS65" i="7"/>
  <c r="DS151" i="7"/>
  <c r="DS148" i="7"/>
  <c r="DT81" i="7"/>
  <c r="ET82" i="7"/>
  <c r="FA82" i="7" s="1"/>
  <c r="DL162" i="7"/>
  <c r="EQ161" i="7"/>
  <c r="DR99" i="7"/>
  <c r="DO144" i="7"/>
  <c r="DO132" i="7"/>
  <c r="ER129" i="7"/>
  <c r="EC215" i="2"/>
  <c r="DU54" i="7" s="1"/>
  <c r="DU39" i="7"/>
  <c r="DU49" i="7"/>
  <c r="DU52" i="7" s="1"/>
  <c r="DU58" i="7"/>
  <c r="ET50" i="7"/>
  <c r="FA50" i="7" s="1"/>
  <c r="FA58" i="7" s="1"/>
  <c r="DP129" i="7"/>
  <c r="DP98" i="7"/>
  <c r="DS142" i="7"/>
  <c r="EB236" i="2"/>
  <c r="EB226" i="2"/>
  <c r="EC291" i="2"/>
  <c r="EC298" i="2" s="1"/>
  <c r="DU141" i="7"/>
  <c r="ED161" i="18" s="1"/>
  <c r="FC161" i="18" s="1"/>
  <c r="FJ161" i="18" s="1"/>
  <c r="DN154" i="7"/>
  <c r="DN161" i="7"/>
  <c r="DN162" i="7" s="1"/>
  <c r="DR198" i="18"/>
  <c r="DR211" i="18"/>
  <c r="EY211" i="18" s="1"/>
  <c r="EY212" i="18" s="1"/>
  <c r="EC232" i="2"/>
  <c r="DU77" i="7" s="1"/>
  <c r="EC236" i="2"/>
  <c r="EB276" i="2"/>
  <c r="EB271" i="2" s="1"/>
  <c r="EA266" i="2"/>
  <c r="EC275" i="2"/>
  <c r="EB265" i="2"/>
  <c r="DR159" i="11"/>
  <c r="EB156" i="11"/>
  <c r="EB159" i="11" s="1"/>
  <c r="EY198" i="18"/>
  <c r="FI197" i="18"/>
  <c r="EY145" i="15"/>
  <c r="FI141" i="15"/>
  <c r="FI145" i="15" s="1"/>
  <c r="DR130" i="12"/>
  <c r="EB127" i="12"/>
  <c r="EB130" i="12" s="1"/>
  <c r="DP233" i="18"/>
  <c r="DY95" i="18" l="1"/>
  <c r="DZ95" i="18" s="1"/>
  <c r="DV236" i="18"/>
  <c r="DV240" i="18"/>
  <c r="DU794" i="2" s="1"/>
  <c r="DV239" i="18"/>
  <c r="DU791" i="2" s="1"/>
  <c r="DW90" i="18"/>
  <c r="DU235" i="18"/>
  <c r="DT794" i="2"/>
  <c r="EZ239" i="18"/>
  <c r="DT791" i="2"/>
  <c r="EZ240" i="18"/>
  <c r="DV67" i="11"/>
  <c r="EC67" i="11" s="1"/>
  <c r="FA95" i="18"/>
  <c r="DY96" i="18"/>
  <c r="DZ96" i="18" s="1"/>
  <c r="DS233" i="18"/>
  <c r="DV48" i="12"/>
  <c r="EC48" i="12" s="1"/>
  <c r="DM161" i="7"/>
  <c r="DM154" i="7"/>
  <c r="EB147" i="18"/>
  <c r="DV166" i="18"/>
  <c r="DV197" i="18" s="1"/>
  <c r="DZ145" i="18"/>
  <c r="FB145" i="18" s="1"/>
  <c r="DZ170" i="18"/>
  <c r="FB170" i="18" s="1"/>
  <c r="FB149" i="18"/>
  <c r="DV141" i="15"/>
  <c r="DV133" i="15"/>
  <c r="FA88" i="15"/>
  <c r="CO158" i="11"/>
  <c r="CO129" i="12"/>
  <c r="DU110" i="12"/>
  <c r="DU125" i="12"/>
  <c r="DU115" i="12"/>
  <c r="DU35" i="12"/>
  <c r="DU85" i="11"/>
  <c r="EC68" i="11"/>
  <c r="DU139" i="11"/>
  <c r="DU59" i="11"/>
  <c r="DU144" i="11"/>
  <c r="DU154" i="11"/>
  <c r="DU129" i="11"/>
  <c r="DU100" i="12"/>
  <c r="DU83" i="11"/>
  <c r="FB67" i="15"/>
  <c r="EA65" i="18"/>
  <c r="EA42" i="15"/>
  <c r="EA127" i="15"/>
  <c r="FB127" i="15" s="1"/>
  <c r="EA121" i="15"/>
  <c r="EA139" i="15"/>
  <c r="EA109" i="15"/>
  <c r="CT61" i="12"/>
  <c r="DU57" i="12"/>
  <c r="CU100" i="12"/>
  <c r="DU94" i="11"/>
  <c r="CT99" i="11"/>
  <c r="DU99" i="11" s="1"/>
  <c r="DU80" i="11"/>
  <c r="CW40" i="11"/>
  <c r="DV46" i="11"/>
  <c r="EC46" i="11" s="1"/>
  <c r="DT110" i="11"/>
  <c r="CQ133" i="11"/>
  <c r="DT114" i="11"/>
  <c r="DT79" i="12"/>
  <c r="CQ104" i="12"/>
  <c r="DT83" i="12"/>
  <c r="DS120" i="12"/>
  <c r="CU81" i="11"/>
  <c r="DS149" i="11"/>
  <c r="DY88" i="15"/>
  <c r="DY90" i="15"/>
  <c r="DY138" i="18" s="1"/>
  <c r="FB86" i="15"/>
  <c r="FA90" i="15"/>
  <c r="FA94" i="15" s="1"/>
  <c r="EC224" i="2"/>
  <c r="FB42" i="15"/>
  <c r="FB121" i="15"/>
  <c r="FB139" i="15"/>
  <c r="FB109" i="15"/>
  <c r="EB51" i="15"/>
  <c r="DY113" i="15"/>
  <c r="EC264" i="2"/>
  <c r="EC128" i="18"/>
  <c r="FC128" i="18" s="1"/>
  <c r="FJ128" i="18" s="1"/>
  <c r="FC83" i="15"/>
  <c r="FJ83" i="15" s="1"/>
  <c r="EB36" i="15"/>
  <c r="EB65" i="15" s="1"/>
  <c r="EA65" i="15"/>
  <c r="FB65" i="15" s="1"/>
  <c r="FB56" i="15"/>
  <c r="EZ129" i="15"/>
  <c r="EZ133" i="15" s="1"/>
  <c r="EB56" i="18"/>
  <c r="EB54" i="18" s="1"/>
  <c r="EB61" i="18" s="1"/>
  <c r="DW131" i="15"/>
  <c r="FA113" i="15"/>
  <c r="EB34" i="15"/>
  <c r="CU75" i="12"/>
  <c r="CU107" i="11"/>
  <c r="EB84" i="15"/>
  <c r="DT108" i="7"/>
  <c r="EC84" i="15" s="1"/>
  <c r="EC129" i="18" s="1"/>
  <c r="DT117" i="7"/>
  <c r="EC38" i="15"/>
  <c r="EC36" i="15" s="1"/>
  <c r="DT211" i="18"/>
  <c r="DT212" i="18" s="1"/>
  <c r="EZ134" i="18"/>
  <c r="FB61" i="18"/>
  <c r="EZ136" i="18"/>
  <c r="EZ143" i="18" s="1"/>
  <c r="DW119" i="18"/>
  <c r="FA121" i="18"/>
  <c r="DU166" i="18"/>
  <c r="EZ166" i="18" s="1"/>
  <c r="EZ168" i="18"/>
  <c r="DY110" i="18"/>
  <c r="DY117" i="18" s="1"/>
  <c r="DY119" i="18"/>
  <c r="DY101" i="18"/>
  <c r="DY107" i="18" s="1"/>
  <c r="EB3" i="18"/>
  <c r="G57" i="24"/>
  <c r="FI198" i="18"/>
  <c r="G59" i="24"/>
  <c r="G49" i="24"/>
  <c r="DT148" i="7"/>
  <c r="EB73" i="15"/>
  <c r="EC34" i="18"/>
  <c r="DZ73" i="18"/>
  <c r="DZ63" i="18"/>
  <c r="DW138" i="18"/>
  <c r="DW94" i="15"/>
  <c r="DW111" i="15"/>
  <c r="EC56" i="18"/>
  <c r="EC54" i="18" s="1"/>
  <c r="EC34" i="15"/>
  <c r="DZ69" i="15"/>
  <c r="DZ103" i="18"/>
  <c r="DZ101" i="18" s="1"/>
  <c r="DZ90" i="15"/>
  <c r="DZ112" i="18"/>
  <c r="DZ110" i="18" s="1"/>
  <c r="DZ75" i="15"/>
  <c r="ET77" i="7"/>
  <c r="FA77" i="7" s="1"/>
  <c r="ED61" i="15"/>
  <c r="FC61" i="15" s="1"/>
  <c r="FJ61" i="15" s="1"/>
  <c r="ET55" i="7"/>
  <c r="FA55" i="7" s="1"/>
  <c r="ED58" i="18"/>
  <c r="FC58" i="18" s="1"/>
  <c r="FJ58" i="18" s="1"/>
  <c r="CU55" i="12"/>
  <c r="EC145" i="18"/>
  <c r="EC170" i="18"/>
  <c r="DU141" i="15"/>
  <c r="DU133" i="15"/>
  <c r="DX138" i="18"/>
  <c r="DX136" i="18" s="1"/>
  <c r="DX143" i="18" s="1"/>
  <c r="DX111" i="15"/>
  <c r="DX94" i="15"/>
  <c r="DZ92" i="15"/>
  <c r="DZ113" i="15" s="1"/>
  <c r="DZ131" i="15" s="1"/>
  <c r="DZ143" i="15" s="1"/>
  <c r="DZ88" i="15"/>
  <c r="DZ121" i="18"/>
  <c r="DZ119" i="18" s="1"/>
  <c r="ED38" i="18"/>
  <c r="ED7" i="18" s="1"/>
  <c r="ED3" i="18" s="1"/>
  <c r="ED50" i="18"/>
  <c r="ED46" i="18" s="1"/>
  <c r="FC46" i="18" s="1"/>
  <c r="FJ46" i="18" s="1"/>
  <c r="EA51" i="15"/>
  <c r="FB51" i="15" s="1"/>
  <c r="EA73" i="15"/>
  <c r="FB73" i="15" s="1"/>
  <c r="EB130" i="18"/>
  <c r="EB85" i="15"/>
  <c r="ED32" i="15"/>
  <c r="FC32" i="15" s="1"/>
  <c r="FJ32" i="15" s="1"/>
  <c r="DY70" i="18"/>
  <c r="DY187" i="18"/>
  <c r="DY182" i="18"/>
  <c r="DY192" i="18"/>
  <c r="DY209" i="18"/>
  <c r="DY164" i="18"/>
  <c r="DY99" i="18"/>
  <c r="DT142" i="7"/>
  <c r="FA81" i="7"/>
  <c r="DR114" i="7"/>
  <c r="CT76" i="12"/>
  <c r="DU76" i="12" s="1"/>
  <c r="CT109" i="11"/>
  <c r="DU109" i="11" s="1"/>
  <c r="CQ110" i="11"/>
  <c r="CQ112" i="11"/>
  <c r="DT112" i="11" s="1"/>
  <c r="CR101" i="11"/>
  <c r="CR114" i="11"/>
  <c r="CO146" i="11"/>
  <c r="CO134" i="11"/>
  <c r="CW24" i="12"/>
  <c r="CW28" i="12" s="1"/>
  <c r="CW32" i="12"/>
  <c r="DV32" i="12" s="1"/>
  <c r="EC32" i="12" s="1"/>
  <c r="CR69" i="12"/>
  <c r="CR83" i="12"/>
  <c r="CP102" i="12"/>
  <c r="CP85" i="12"/>
  <c r="CU35" i="12"/>
  <c r="CU57" i="12"/>
  <c r="CU42" i="12"/>
  <c r="CU63" i="12"/>
  <c r="CU115" i="12"/>
  <c r="CU110" i="12"/>
  <c r="CU125" i="12"/>
  <c r="CW46" i="12"/>
  <c r="CW44" i="12" s="1"/>
  <c r="CW80" i="11"/>
  <c r="CW63" i="11"/>
  <c r="CW62" i="11" s="1"/>
  <c r="DQ112" i="7"/>
  <c r="CV80" i="11"/>
  <c r="CV46" i="12"/>
  <c r="CV63" i="11"/>
  <c r="DT151" i="7"/>
  <c r="CP131" i="11"/>
  <c r="CP115" i="11"/>
  <c r="DU57" i="7"/>
  <c r="DU65" i="7" s="1"/>
  <c r="CW56" i="11"/>
  <c r="DV56" i="11" s="1"/>
  <c r="EC56" i="11" s="1"/>
  <c r="CW51" i="11"/>
  <c r="DV51" i="11" s="1"/>
  <c r="CU92" i="11"/>
  <c r="CU83" i="11"/>
  <c r="CU59" i="11"/>
  <c r="CU144" i="11"/>
  <c r="CU139" i="11"/>
  <c r="CU154" i="11"/>
  <c r="CU129" i="11"/>
  <c r="CV74" i="12"/>
  <c r="CV106" i="11"/>
  <c r="CV50" i="11"/>
  <c r="CV85" i="11"/>
  <c r="CW106" i="11"/>
  <c r="CW74" i="12"/>
  <c r="CV30" i="12"/>
  <c r="CV100" i="12" s="1"/>
  <c r="CW127" i="11"/>
  <c r="DV127" i="11" s="1"/>
  <c r="EC127" i="11" s="1"/>
  <c r="CW98" i="12"/>
  <c r="DV98" i="12" s="1"/>
  <c r="EC98" i="12" s="1"/>
  <c r="CU108" i="11"/>
  <c r="CU77" i="12"/>
  <c r="CS71" i="12"/>
  <c r="CS103" i="11"/>
  <c r="CT62" i="11"/>
  <c r="DU62" i="11" s="1"/>
  <c r="CT94" i="11"/>
  <c r="CN120" i="12"/>
  <c r="CN127" i="12"/>
  <c r="CN130" i="12" s="1"/>
  <c r="CN156" i="11"/>
  <c r="CN159" i="11" s="1"/>
  <c r="CN149" i="11"/>
  <c r="CO117" i="12"/>
  <c r="CO105" i="12"/>
  <c r="ET54" i="7"/>
  <c r="FA54" i="7" s="1"/>
  <c r="DR105" i="7"/>
  <c r="EA79" i="15" s="1"/>
  <c r="EA77" i="15" s="1"/>
  <c r="FB77" i="15" s="1"/>
  <c r="CQ79" i="12"/>
  <c r="CQ81" i="12"/>
  <c r="DT81" i="12" s="1"/>
  <c r="CT44" i="12"/>
  <c r="DU44" i="12" s="1"/>
  <c r="CT65" i="12"/>
  <c r="DU65" i="12" s="1"/>
  <c r="ET49" i="7"/>
  <c r="FA49" i="7" s="1"/>
  <c r="FA52" i="7" s="1"/>
  <c r="ES110" i="7"/>
  <c r="DU70" i="7"/>
  <c r="ES119" i="7"/>
  <c r="ET81" i="7"/>
  <c r="DT118" i="7"/>
  <c r="DT109" i="7"/>
  <c r="EQ162" i="7"/>
  <c r="EB225" i="2"/>
  <c r="EB224" i="2" s="1"/>
  <c r="DT70" i="7"/>
  <c r="DU61" i="7"/>
  <c r="ET39" i="7"/>
  <c r="FA39" i="7" s="1"/>
  <c r="ET107" i="7"/>
  <c r="FA107" i="7" s="1"/>
  <c r="DS68" i="7"/>
  <c r="DU134" i="7"/>
  <c r="ED98" i="15" s="1"/>
  <c r="ET141" i="7"/>
  <c r="FA141" i="7" s="1"/>
  <c r="DR68" i="7"/>
  <c r="DR92" i="7"/>
  <c r="CT90" i="11" s="1"/>
  <c r="DU90" i="11" s="1"/>
  <c r="ES69" i="7"/>
  <c r="DQ129" i="7"/>
  <c r="DQ98" i="7"/>
  <c r="DU62" i="7"/>
  <c r="ET62" i="7" s="1"/>
  <c r="FA62" i="7" s="1"/>
  <c r="ET40" i="7"/>
  <c r="FA40" i="7" s="1"/>
  <c r="DS92" i="7"/>
  <c r="CU90" i="11" s="1"/>
  <c r="ET116" i="7"/>
  <c r="FA116" i="7" s="1"/>
  <c r="ER132" i="7"/>
  <c r="ET58" i="7"/>
  <c r="DS119" i="7"/>
  <c r="DS110" i="7"/>
  <c r="EB86" i="15" s="1"/>
  <c r="DO153" i="7"/>
  <c r="DO145" i="7"/>
  <c r="ER144" i="7"/>
  <c r="EA261" i="2"/>
  <c r="DP144" i="7"/>
  <c r="DP132" i="7"/>
  <c r="DR232" i="18"/>
  <c r="DR233" i="18" s="1"/>
  <c r="DR212" i="18"/>
  <c r="FI211" i="18"/>
  <c r="EC265" i="2"/>
  <c r="EC276" i="2"/>
  <c r="EC266" i="2" s="1"/>
  <c r="EB266" i="2"/>
  <c r="DV235" i="18" l="1"/>
  <c r="DW239" i="18"/>
  <c r="DV791" i="2" s="1"/>
  <c r="DW236" i="18"/>
  <c r="DW240" i="18"/>
  <c r="DV794" i="2" s="1"/>
  <c r="DX90" i="18"/>
  <c r="FA90" i="18" s="1"/>
  <c r="EZ235" i="18"/>
  <c r="DM162" i="7"/>
  <c r="DU117" i="7"/>
  <c r="DU108" i="7"/>
  <c r="ED84" i="15" s="1"/>
  <c r="ED129" i="18" s="1"/>
  <c r="DV173" i="18"/>
  <c r="EB149" i="18"/>
  <c r="DV145" i="15"/>
  <c r="DV198" i="18"/>
  <c r="DV211" i="18"/>
  <c r="DS127" i="12"/>
  <c r="DV24" i="12"/>
  <c r="FB65" i="18"/>
  <c r="FB73" i="18" s="1"/>
  <c r="DV74" i="12"/>
  <c r="EC74" i="12" s="1"/>
  <c r="DV106" i="11"/>
  <c r="EC106" i="11" s="1"/>
  <c r="DU84" i="11"/>
  <c r="EC24" i="12"/>
  <c r="EC28" i="12" s="1"/>
  <c r="DV28" i="12"/>
  <c r="DU61" i="12"/>
  <c r="DV40" i="11"/>
  <c r="CW48" i="11"/>
  <c r="DT133" i="11"/>
  <c r="CQ148" i="11"/>
  <c r="DT104" i="12"/>
  <c r="CQ119" i="12"/>
  <c r="EA69" i="15"/>
  <c r="EA103" i="18"/>
  <c r="EA101" i="18" s="1"/>
  <c r="DY111" i="15"/>
  <c r="DY94" i="15"/>
  <c r="EB127" i="15"/>
  <c r="EB121" i="15"/>
  <c r="EA73" i="18"/>
  <c r="EA63" i="18"/>
  <c r="EC234" i="2"/>
  <c r="EB109" i="15"/>
  <c r="EB71" i="15"/>
  <c r="DT115" i="11"/>
  <c r="CR133" i="11"/>
  <c r="CR104" i="12"/>
  <c r="CU61" i="12"/>
  <c r="CV99" i="11"/>
  <c r="DV80" i="11"/>
  <c r="EC80" i="11" s="1"/>
  <c r="CV44" i="12"/>
  <c r="DV44" i="12" s="1"/>
  <c r="DV46" i="12"/>
  <c r="EC46" i="12" s="1"/>
  <c r="CV62" i="11"/>
  <c r="DV62" i="11" s="1"/>
  <c r="DV63" i="11"/>
  <c r="EC63" i="11" s="1"/>
  <c r="EC51" i="11"/>
  <c r="DV85" i="11"/>
  <c r="CU84" i="11"/>
  <c r="DU81" i="11"/>
  <c r="DT85" i="12"/>
  <c r="DU55" i="12"/>
  <c r="DS156" i="11"/>
  <c r="EB42" i="15"/>
  <c r="EB65" i="18"/>
  <c r="FB88" i="15"/>
  <c r="FB69" i="15"/>
  <c r="DY131" i="15"/>
  <c r="DW143" i="15"/>
  <c r="FA143" i="15" s="1"/>
  <c r="FA131" i="15"/>
  <c r="DU145" i="15"/>
  <c r="EZ141" i="15"/>
  <c r="EB85" i="18"/>
  <c r="EB83" i="18" s="1"/>
  <c r="EB132" i="18"/>
  <c r="FA111" i="15"/>
  <c r="EB139" i="15"/>
  <c r="EB129" i="18"/>
  <c r="ED96" i="15"/>
  <c r="FC96" i="15" s="1"/>
  <c r="FC98" i="15"/>
  <c r="FJ98" i="15" s="1"/>
  <c r="FB79" i="15"/>
  <c r="FB63" i="15"/>
  <c r="DT232" i="18"/>
  <c r="DT233" i="18" s="1"/>
  <c r="DU148" i="7"/>
  <c r="EB234" i="2"/>
  <c r="CV107" i="11"/>
  <c r="CV75" i="12"/>
  <c r="DU197" i="18"/>
  <c r="EZ197" i="18" s="1"/>
  <c r="EZ198" i="18" s="1"/>
  <c r="DU173" i="18"/>
  <c r="FC50" i="18"/>
  <c r="FJ50" i="18" s="1"/>
  <c r="DY108" i="18"/>
  <c r="EZ173" i="18"/>
  <c r="FC7" i="18"/>
  <c r="FJ7" i="18" s="1"/>
  <c r="FC38" i="18"/>
  <c r="FJ38" i="18" s="1"/>
  <c r="H9" i="24" s="1"/>
  <c r="FC3" i="18"/>
  <c r="FJ3" i="18" s="1"/>
  <c r="DW136" i="18"/>
  <c r="DW143" i="18" s="1"/>
  <c r="FA138" i="18"/>
  <c r="DY134" i="18"/>
  <c r="DW134" i="18"/>
  <c r="FA119" i="18"/>
  <c r="DY116" i="18"/>
  <c r="DY136" i="18"/>
  <c r="DY143" i="18" s="1"/>
  <c r="EC61" i="18"/>
  <c r="G60" i="24"/>
  <c r="FI212" i="18"/>
  <c r="G62" i="24"/>
  <c r="EA92" i="15"/>
  <c r="CV65" i="12"/>
  <c r="CV94" i="11"/>
  <c r="DZ134" i="18"/>
  <c r="DU151" i="7"/>
  <c r="EA85" i="18"/>
  <c r="EA71" i="15"/>
  <c r="FB71" i="15" s="1"/>
  <c r="DX168" i="18"/>
  <c r="DX166" i="18" s="1"/>
  <c r="DX115" i="15"/>
  <c r="DX129" i="15"/>
  <c r="EC85" i="15"/>
  <c r="EC130" i="18"/>
  <c r="EA88" i="15"/>
  <c r="EA121" i="18"/>
  <c r="EA119" i="18" s="1"/>
  <c r="DZ70" i="18"/>
  <c r="DZ187" i="18"/>
  <c r="DZ182" i="18"/>
  <c r="DZ192" i="18"/>
  <c r="DZ209" i="18"/>
  <c r="DZ99" i="18"/>
  <c r="EC53" i="15"/>
  <c r="EC56" i="15"/>
  <c r="EB69" i="15"/>
  <c r="EB103" i="18"/>
  <c r="DZ107" i="18"/>
  <c r="DZ108" i="18"/>
  <c r="EC65" i="18"/>
  <c r="EC42" i="15"/>
  <c r="EC127" i="15"/>
  <c r="EC121" i="15"/>
  <c r="EC139" i="15"/>
  <c r="EC109" i="15"/>
  <c r="DZ164" i="18"/>
  <c r="DZ117" i="18"/>
  <c r="DZ116" i="18"/>
  <c r="EC67" i="15"/>
  <c r="ET57" i="7"/>
  <c r="ET148" i="7" s="1"/>
  <c r="ED34" i="18"/>
  <c r="FC34" i="18" s="1"/>
  <c r="FJ34" i="18" s="1"/>
  <c r="DZ138" i="18"/>
  <c r="DZ136" i="18" s="1"/>
  <c r="DZ143" i="18" s="1"/>
  <c r="DZ94" i="15"/>
  <c r="DZ111" i="15"/>
  <c r="ED53" i="15"/>
  <c r="ED51" i="15" s="1"/>
  <c r="ED85" i="18" s="1"/>
  <c r="ED83" i="18" s="1"/>
  <c r="ED56" i="15"/>
  <c r="ED30" i="15"/>
  <c r="FC30" i="15" s="1"/>
  <c r="ED38" i="15"/>
  <c r="FC38" i="15" s="1"/>
  <c r="FJ38" i="15" s="1"/>
  <c r="DW168" i="18"/>
  <c r="DW115" i="15"/>
  <c r="DW129" i="15"/>
  <c r="FA57" i="7"/>
  <c r="CW99" i="11"/>
  <c r="CT55" i="12"/>
  <c r="CT63" i="12"/>
  <c r="DU63" i="12" s="1"/>
  <c r="CR110" i="11"/>
  <c r="CR112" i="11"/>
  <c r="CS101" i="11"/>
  <c r="CS114" i="11"/>
  <c r="CS133" i="11" s="1"/>
  <c r="CS148" i="11" s="1"/>
  <c r="CS158" i="11" s="1"/>
  <c r="CV59" i="11"/>
  <c r="CV83" i="11"/>
  <c r="CV84" i="11" s="1"/>
  <c r="CV144" i="11"/>
  <c r="CV139" i="11"/>
  <c r="CV154" i="11"/>
  <c r="CP105" i="12"/>
  <c r="CP117" i="12"/>
  <c r="CO149" i="11"/>
  <c r="CO156" i="11"/>
  <c r="CO127" i="12"/>
  <c r="CO120" i="12"/>
  <c r="CQ102" i="12"/>
  <c r="DT102" i="12" s="1"/>
  <c r="CQ85" i="12"/>
  <c r="CU93" i="11"/>
  <c r="CQ131" i="11"/>
  <c r="DT131" i="11" s="1"/>
  <c r="CQ115" i="11"/>
  <c r="CW89" i="12"/>
  <c r="CW119" i="11"/>
  <c r="CW94" i="11"/>
  <c r="CW50" i="11"/>
  <c r="DV50" i="11" s="1"/>
  <c r="CW85" i="11"/>
  <c r="CR79" i="12"/>
  <c r="CR81" i="12"/>
  <c r="CS69" i="12"/>
  <c r="CS83" i="12"/>
  <c r="CS104" i="12" s="1"/>
  <c r="CS119" i="12" s="1"/>
  <c r="CS129" i="12" s="1"/>
  <c r="CW65" i="12"/>
  <c r="CW59" i="12"/>
  <c r="CW30" i="12"/>
  <c r="CT81" i="11"/>
  <c r="CT92" i="11"/>
  <c r="DU92" i="11" s="1"/>
  <c r="DU69" i="7"/>
  <c r="CV77" i="12"/>
  <c r="CV108" i="11"/>
  <c r="CV57" i="12"/>
  <c r="CV61" i="12" s="1"/>
  <c r="CV42" i="12"/>
  <c r="CV35" i="12"/>
  <c r="CV115" i="12"/>
  <c r="CV110" i="12"/>
  <c r="CV125" i="12"/>
  <c r="CU67" i="12"/>
  <c r="CV129" i="11"/>
  <c r="CP146" i="11"/>
  <c r="CP134" i="11"/>
  <c r="DS114" i="7"/>
  <c r="CU76" i="12"/>
  <c r="CU109" i="11"/>
  <c r="DR112" i="7"/>
  <c r="ES105" i="7"/>
  <c r="ES112" i="7" s="1"/>
  <c r="CV59" i="12"/>
  <c r="DV59" i="12" s="1"/>
  <c r="EC59" i="12" s="1"/>
  <c r="ES114" i="7"/>
  <c r="CT71" i="12"/>
  <c r="CT103" i="11"/>
  <c r="DU103" i="11" s="1"/>
  <c r="DU142" i="7"/>
  <c r="ET134" i="7"/>
  <c r="DT119" i="7"/>
  <c r="DT110" i="7"/>
  <c r="EC86" i="15" s="1"/>
  <c r="EC132" i="18" s="1"/>
  <c r="DS79" i="7"/>
  <c r="DS97" i="7"/>
  <c r="DU119" i="7"/>
  <c r="DU110" i="7"/>
  <c r="ED86" i="15" s="1"/>
  <c r="ED132" i="18" s="1"/>
  <c r="DS105" i="7"/>
  <c r="EB79" i="15" s="1"/>
  <c r="DP153" i="7"/>
  <c r="DP145" i="7"/>
  <c r="DU118" i="7"/>
  <c r="DU109" i="7"/>
  <c r="DU99" i="7"/>
  <c r="ET61" i="7"/>
  <c r="DQ144" i="7"/>
  <c r="DQ132" i="7"/>
  <c r="DR93" i="7"/>
  <c r="DR94" i="7" s="1"/>
  <c r="ES92" i="7"/>
  <c r="EB261" i="2"/>
  <c r="DR79" i="7"/>
  <c r="DR97" i="7"/>
  <c r="ES68" i="7"/>
  <c r="ES79" i="7" s="1"/>
  <c r="DT69" i="7"/>
  <c r="ET70" i="7"/>
  <c r="FA70" i="7" s="1"/>
  <c r="ER145" i="7"/>
  <c r="DT99" i="7"/>
  <c r="DS93" i="7"/>
  <c r="DS94" i="7" s="1"/>
  <c r="DO161" i="7"/>
  <c r="DO154" i="7"/>
  <c r="ER153" i="7"/>
  <c r="EY232" i="18"/>
  <c r="EY233" i="18" s="1"/>
  <c r="EC271" i="2"/>
  <c r="EC261" i="2"/>
  <c r="DS130" i="12" l="1"/>
  <c r="DW235" i="18"/>
  <c r="DY90" i="18"/>
  <c r="DX240" i="18"/>
  <c r="DX236" i="18"/>
  <c r="FA236" i="18" s="1"/>
  <c r="DX239" i="18"/>
  <c r="DV94" i="11"/>
  <c r="ET117" i="7"/>
  <c r="FA117" i="7" s="1"/>
  <c r="FC84" i="15"/>
  <c r="FJ84" i="15" s="1"/>
  <c r="ET108" i="7"/>
  <c r="FA108" i="7" s="1"/>
  <c r="FC129" i="18"/>
  <c r="CW107" i="11"/>
  <c r="CW75" i="12"/>
  <c r="FB63" i="18"/>
  <c r="FB164" i="18" s="1"/>
  <c r="DV212" i="18"/>
  <c r="EB170" i="18"/>
  <c r="EB145" i="18"/>
  <c r="DV232" i="18"/>
  <c r="CV81" i="11"/>
  <c r="DV99" i="11"/>
  <c r="EC99" i="11" s="1"/>
  <c r="DV75" i="12"/>
  <c r="EC75" i="12" s="1"/>
  <c r="EC44" i="12"/>
  <c r="DV65" i="12"/>
  <c r="EC65" i="12" s="1"/>
  <c r="DY168" i="18"/>
  <c r="DY129" i="15"/>
  <c r="DY115" i="15"/>
  <c r="EB112" i="18"/>
  <c r="EB75" i="15"/>
  <c r="EA134" i="18"/>
  <c r="EA70" i="18"/>
  <c r="EA187" i="18"/>
  <c r="EA182" i="18"/>
  <c r="EA192" i="18"/>
  <c r="EA209" i="18"/>
  <c r="EA164" i="18"/>
  <c r="EB63" i="18"/>
  <c r="ED147" i="18"/>
  <c r="EA108" i="18"/>
  <c r="EA107" i="18"/>
  <c r="CV92" i="11"/>
  <c r="CV63" i="12"/>
  <c r="CV55" i="12"/>
  <c r="CQ158" i="11"/>
  <c r="DT158" i="11" s="1"/>
  <c r="DT148" i="11"/>
  <c r="CQ129" i="12"/>
  <c r="DT129" i="12" s="1"/>
  <c r="DT119" i="12"/>
  <c r="EC40" i="11"/>
  <c r="EC48" i="11" s="1"/>
  <c r="DV48" i="11"/>
  <c r="CR148" i="11"/>
  <c r="CR119" i="12"/>
  <c r="EC94" i="11"/>
  <c r="EC85" i="11"/>
  <c r="EC62" i="11"/>
  <c r="FB103" i="18"/>
  <c r="FB101" i="18"/>
  <c r="EB73" i="18"/>
  <c r="FA65" i="7"/>
  <c r="FA151" i="7"/>
  <c r="DU67" i="12"/>
  <c r="CO130" i="12"/>
  <c r="DT105" i="12"/>
  <c r="DT134" i="11"/>
  <c r="CW87" i="12"/>
  <c r="DV87" i="12" s="1"/>
  <c r="DV89" i="12"/>
  <c r="EC89" i="12" s="1"/>
  <c r="CW117" i="11"/>
  <c r="DV117" i="11" s="1"/>
  <c r="DV119" i="11"/>
  <c r="EC119" i="11" s="1"/>
  <c r="DV81" i="11"/>
  <c r="EC81" i="11" s="1"/>
  <c r="EC50" i="11"/>
  <c r="DV59" i="11"/>
  <c r="DV154" i="11"/>
  <c r="DV144" i="11"/>
  <c r="DV139" i="11"/>
  <c r="CW55" i="12"/>
  <c r="DV30" i="12"/>
  <c r="DU93" i="11"/>
  <c r="CT69" i="12"/>
  <c r="DU71" i="12"/>
  <c r="CO159" i="11"/>
  <c r="DS159" i="11"/>
  <c r="DU198" i="18"/>
  <c r="DU211" i="18"/>
  <c r="EZ211" i="18" s="1"/>
  <c r="EZ212" i="18" s="1"/>
  <c r="FA115" i="15"/>
  <c r="EA113" i="15"/>
  <c r="FB92" i="15"/>
  <c r="FB75" i="15"/>
  <c r="FC86" i="15"/>
  <c r="FJ86" i="15" s="1"/>
  <c r="DY143" i="15"/>
  <c r="FC34" i="15"/>
  <c r="FJ30" i="15"/>
  <c r="FJ34" i="15" s="1"/>
  <c r="FJ96" i="15"/>
  <c r="EC65" i="15"/>
  <c r="EC103" i="18" s="1"/>
  <c r="EC101" i="18" s="1"/>
  <c r="FC56" i="15"/>
  <c r="FJ56" i="15" s="1"/>
  <c r="FC53" i="15"/>
  <c r="FJ53" i="15" s="1"/>
  <c r="FA129" i="15"/>
  <c r="EZ145" i="15"/>
  <c r="FA148" i="7"/>
  <c r="FC132" i="18"/>
  <c r="FJ132" i="18" s="1"/>
  <c r="FA134" i="18"/>
  <c r="H5" i="24"/>
  <c r="FB121" i="18"/>
  <c r="DW166" i="18"/>
  <c r="FA166" i="18" s="1"/>
  <c r="FA168" i="18"/>
  <c r="FB119" i="18"/>
  <c r="EA83" i="18"/>
  <c r="FB83" i="18" s="1"/>
  <c r="FB85" i="18"/>
  <c r="FA136" i="18"/>
  <c r="FA143" i="18" s="1"/>
  <c r="EB101" i="18"/>
  <c r="G63" i="24"/>
  <c r="ET65" i="7"/>
  <c r="ET151" i="7"/>
  <c r="EB77" i="15"/>
  <c r="EB92" i="15"/>
  <c r="ED73" i="15"/>
  <c r="ED67" i="15"/>
  <c r="FC67" i="15" s="1"/>
  <c r="FJ67" i="15" s="1"/>
  <c r="ED36" i="15"/>
  <c r="FC36" i="15" s="1"/>
  <c r="FC109" i="15" s="1"/>
  <c r="ED56" i="18"/>
  <c r="ED34" i="15"/>
  <c r="EC73" i="18"/>
  <c r="EC63" i="18"/>
  <c r="DX141" i="15"/>
  <c r="DX145" i="15" s="1"/>
  <c r="DX133" i="15"/>
  <c r="EC51" i="15"/>
  <c r="FC51" i="15" s="1"/>
  <c r="EC73" i="15"/>
  <c r="DX197" i="18"/>
  <c r="DX173" i="18"/>
  <c r="EA90" i="15"/>
  <c r="FB90" i="15" s="1"/>
  <c r="EA112" i="18"/>
  <c r="EA75" i="15"/>
  <c r="DW133" i="15"/>
  <c r="DW141" i="15"/>
  <c r="DZ168" i="18"/>
  <c r="DZ166" i="18" s="1"/>
  <c r="DZ129" i="15"/>
  <c r="DZ115" i="15"/>
  <c r="ED130" i="18"/>
  <c r="FC130" i="18" s="1"/>
  <c r="FJ130" i="18" s="1"/>
  <c r="ED85" i="15"/>
  <c r="FC85" i="15" s="1"/>
  <c r="FJ85" i="15" s="1"/>
  <c r="DT105" i="7"/>
  <c r="EC79" i="15" s="1"/>
  <c r="EC77" i="15" s="1"/>
  <c r="DU92" i="7"/>
  <c r="DU68" i="7"/>
  <c r="CS110" i="11"/>
  <c r="CS112" i="11"/>
  <c r="CT101" i="11"/>
  <c r="CT114" i="11"/>
  <c r="CW108" i="11"/>
  <c r="DV108" i="11" s="1"/>
  <c r="EC108" i="11" s="1"/>
  <c r="CW77" i="12"/>
  <c r="DV77" i="12" s="1"/>
  <c r="EC77" i="12" s="1"/>
  <c r="CW35" i="12"/>
  <c r="CW63" i="12"/>
  <c r="CW57" i="12"/>
  <c r="CW61" i="12" s="1"/>
  <c r="CW42" i="12"/>
  <c r="DV42" i="12" s="1"/>
  <c r="EC42" i="12" s="1"/>
  <c r="CW115" i="12"/>
  <c r="CW110" i="12"/>
  <c r="CW125" i="12"/>
  <c r="CQ146" i="11"/>
  <c r="DT146" i="11" s="1"/>
  <c r="CQ134" i="11"/>
  <c r="CR131" i="11"/>
  <c r="CR115" i="11"/>
  <c r="CT93" i="11"/>
  <c r="CP120" i="12"/>
  <c r="CP127" i="12"/>
  <c r="CP130" i="12" s="1"/>
  <c r="CT83" i="12"/>
  <c r="CT104" i="12" s="1"/>
  <c r="CT119" i="12" s="1"/>
  <c r="CT129" i="12" s="1"/>
  <c r="CW92" i="11"/>
  <c r="CW83" i="11"/>
  <c r="CW59" i="11"/>
  <c r="CW144" i="11"/>
  <c r="CW139" i="11"/>
  <c r="CW154" i="11"/>
  <c r="CW81" i="11"/>
  <c r="CP156" i="11"/>
  <c r="CP159" i="11" s="1"/>
  <c r="CP149" i="11"/>
  <c r="CQ117" i="12"/>
  <c r="DT117" i="12" s="1"/>
  <c r="CQ105" i="12"/>
  <c r="CT67" i="12"/>
  <c r="CU71" i="12"/>
  <c r="CU103" i="11"/>
  <c r="DT114" i="7"/>
  <c r="CV76" i="12"/>
  <c r="CV109" i="11"/>
  <c r="CR85" i="12"/>
  <c r="CR102" i="12"/>
  <c r="CW76" i="12"/>
  <c r="CW109" i="11"/>
  <c r="CS79" i="12"/>
  <c r="CS81" i="12"/>
  <c r="ET142" i="7"/>
  <c r="FA134" i="7"/>
  <c r="FA142" i="7" s="1"/>
  <c r="DO162" i="7"/>
  <c r="ER161" i="7"/>
  <c r="DS112" i="7"/>
  <c r="ET119" i="7"/>
  <c r="FA119" i="7" s="1"/>
  <c r="ER154" i="7"/>
  <c r="ES93" i="7"/>
  <c r="ES94" i="7" s="1"/>
  <c r="DT68" i="7"/>
  <c r="DT92" i="7"/>
  <c r="CV90" i="11" s="1"/>
  <c r="ET69" i="7"/>
  <c r="FA69" i="7" s="1"/>
  <c r="FA68" i="7" s="1"/>
  <c r="FA79" i="7" s="1"/>
  <c r="DR129" i="7"/>
  <c r="DR98" i="7"/>
  <c r="ES97" i="7"/>
  <c r="DU114" i="7"/>
  <c r="ET118" i="7"/>
  <c r="FA118" i="7" s="1"/>
  <c r="DP154" i="7"/>
  <c r="DP161" i="7"/>
  <c r="DQ153" i="7"/>
  <c r="DQ145" i="7"/>
  <c r="ET110" i="7"/>
  <c r="FA110" i="7" s="1"/>
  <c r="ET99" i="7"/>
  <c r="FA61" i="7"/>
  <c r="FA99" i="7" s="1"/>
  <c r="DS129" i="7"/>
  <c r="DS98" i="7"/>
  <c r="DU105" i="7"/>
  <c r="ED79" i="15" s="1"/>
  <c r="ED77" i="15" s="1"/>
  <c r="ET109" i="7"/>
  <c r="FA109" i="7" s="1"/>
  <c r="FI232" i="18"/>
  <c r="FI233" i="18" s="1"/>
  <c r="BU52" i="13"/>
  <c r="DW791" i="2" l="1"/>
  <c r="FA240" i="18"/>
  <c r="DW794" i="2"/>
  <c r="DZ90" i="18"/>
  <c r="DY236" i="18"/>
  <c r="DY239" i="18"/>
  <c r="DX791" i="2" s="1"/>
  <c r="DY240" i="18"/>
  <c r="DX794" i="2" s="1"/>
  <c r="FA239" i="18"/>
  <c r="DX235" i="18"/>
  <c r="FA235" i="18" s="1"/>
  <c r="DV107" i="11"/>
  <c r="EC107" i="11" s="1"/>
  <c r="FJ129" i="18"/>
  <c r="FB209" i="18"/>
  <c r="FB182" i="18"/>
  <c r="FB187" i="18"/>
  <c r="FB192" i="18"/>
  <c r="FB70" i="18"/>
  <c r="FB134" i="18"/>
  <c r="DV233" i="18"/>
  <c r="DU104" i="12"/>
  <c r="DU83" i="12"/>
  <c r="ED149" i="18"/>
  <c r="FC149" i="18" s="1"/>
  <c r="FJ149" i="18" s="1"/>
  <c r="EB110" i="18"/>
  <c r="EB117" i="18" s="1"/>
  <c r="DY166" i="18"/>
  <c r="DY173" i="18" s="1"/>
  <c r="CV93" i="11"/>
  <c r="DV76" i="12"/>
  <c r="EC76" i="12" s="1"/>
  <c r="CW129" i="11"/>
  <c r="FB108" i="18"/>
  <c r="FC147" i="18"/>
  <c r="FJ147" i="18" s="1"/>
  <c r="EB107" i="18"/>
  <c r="DV63" i="12"/>
  <c r="CT81" i="12"/>
  <c r="DU81" i="12" s="1"/>
  <c r="EB70" i="18"/>
  <c r="EB187" i="18"/>
  <c r="EB182" i="18"/>
  <c r="EB192" i="18"/>
  <c r="EB209" i="18"/>
  <c r="EB99" i="18"/>
  <c r="EB164" i="18"/>
  <c r="DY133" i="15"/>
  <c r="DY141" i="15"/>
  <c r="CW100" i="12"/>
  <c r="CV67" i="12"/>
  <c r="DV92" i="11"/>
  <c r="DV109" i="11"/>
  <c r="EC109" i="11" s="1"/>
  <c r="CT79" i="12"/>
  <c r="DU69" i="12"/>
  <c r="DU79" i="12" s="1"/>
  <c r="CR158" i="11"/>
  <c r="DU119" i="12"/>
  <c r="CR129" i="12"/>
  <c r="DU129" i="12" s="1"/>
  <c r="EC87" i="12"/>
  <c r="DV100" i="12"/>
  <c r="EC117" i="11"/>
  <c r="EC129" i="11" s="1"/>
  <c r="DV129" i="11"/>
  <c r="EC154" i="11"/>
  <c r="EC144" i="11"/>
  <c r="EC59" i="11"/>
  <c r="EC139" i="11"/>
  <c r="DV55" i="12"/>
  <c r="DV35" i="12"/>
  <c r="DV110" i="12"/>
  <c r="DV115" i="12"/>
  <c r="DV125" i="12"/>
  <c r="EC30" i="12"/>
  <c r="DV57" i="12"/>
  <c r="FB107" i="18"/>
  <c r="EC69" i="15"/>
  <c r="CT110" i="11"/>
  <c r="DU101" i="11"/>
  <c r="CT133" i="11"/>
  <c r="DU114" i="11"/>
  <c r="CW84" i="11"/>
  <c r="DV83" i="11"/>
  <c r="DT120" i="12"/>
  <c r="DU232" i="18"/>
  <c r="DU212" i="18"/>
  <c r="DT149" i="11"/>
  <c r="FC77" i="15"/>
  <c r="EA131" i="15"/>
  <c r="FB113" i="15"/>
  <c r="FA133" i="15"/>
  <c r="FB94" i="15"/>
  <c r="FC73" i="15"/>
  <c r="FJ73" i="15" s="1"/>
  <c r="EB113" i="15"/>
  <c r="DW145" i="15"/>
  <c r="FA141" i="15"/>
  <c r="FC63" i="15"/>
  <c r="FJ51" i="15"/>
  <c r="FC79" i="15"/>
  <c r="FJ79" i="15" s="1"/>
  <c r="FC42" i="15"/>
  <c r="FC121" i="15"/>
  <c r="FJ121" i="15" s="1"/>
  <c r="FC139" i="15"/>
  <c r="FJ36" i="15"/>
  <c r="FJ109" i="15" s="1"/>
  <c r="EA93" i="18"/>
  <c r="EB93" i="18" s="1"/>
  <c r="EA96" i="18"/>
  <c r="EB96" i="18" s="1"/>
  <c r="EA99" i="18"/>
  <c r="EA98" i="18"/>
  <c r="EB98" i="18" s="1"/>
  <c r="FB99" i="18"/>
  <c r="FA173" i="18"/>
  <c r="DW173" i="18"/>
  <c r="DW197" i="18"/>
  <c r="FA197" i="18" s="1"/>
  <c r="EA110" i="18"/>
  <c r="FB110" i="18" s="1"/>
  <c r="FB112" i="18"/>
  <c r="EB108" i="18"/>
  <c r="EA91" i="18"/>
  <c r="EA97" i="18"/>
  <c r="EA95" i="18"/>
  <c r="ED54" i="18"/>
  <c r="FC56" i="18"/>
  <c r="FJ56" i="18" s="1"/>
  <c r="EA92" i="18"/>
  <c r="EA94" i="18"/>
  <c r="EC92" i="15"/>
  <c r="EC113" i="15" s="1"/>
  <c r="EC131" i="15" s="1"/>
  <c r="EC143" i="15" s="1"/>
  <c r="ED88" i="15"/>
  <c r="ED121" i="18"/>
  <c r="ED119" i="18" s="1"/>
  <c r="DX198" i="18"/>
  <c r="DX211" i="18"/>
  <c r="DZ141" i="15"/>
  <c r="DZ145" i="15" s="1"/>
  <c r="DZ133" i="15"/>
  <c r="EC70" i="18"/>
  <c r="EC187" i="18"/>
  <c r="EC182" i="18"/>
  <c r="EC192" i="18"/>
  <c r="EC209" i="18"/>
  <c r="EC164" i="18"/>
  <c r="DZ197" i="18"/>
  <c r="DZ173" i="18"/>
  <c r="EC85" i="18"/>
  <c r="EC71" i="15"/>
  <c r="ED65" i="15"/>
  <c r="FC65" i="15" s="1"/>
  <c r="ED65" i="18"/>
  <c r="FC65" i="18" s="1"/>
  <c r="ED71" i="15"/>
  <c r="ED42" i="15"/>
  <c r="ED127" i="15"/>
  <c r="FC127" i="15" s="1"/>
  <c r="ED121" i="15"/>
  <c r="ED139" i="15"/>
  <c r="ED109" i="15"/>
  <c r="EC88" i="15"/>
  <c r="EC121" i="18"/>
  <c r="EC119" i="18" s="1"/>
  <c r="EC134" i="18" s="1"/>
  <c r="ED92" i="15"/>
  <c r="ED113" i="15" s="1"/>
  <c r="ED131" i="15" s="1"/>
  <c r="ED143" i="15" s="1"/>
  <c r="EA138" i="18"/>
  <c r="EA111" i="15"/>
  <c r="FB111" i="15" s="1"/>
  <c r="EA94" i="15"/>
  <c r="EC107" i="18"/>
  <c r="EC108" i="18"/>
  <c r="EB88" i="15"/>
  <c r="EB121" i="18"/>
  <c r="EB90" i="15"/>
  <c r="CR117" i="12"/>
  <c r="CR105" i="12"/>
  <c r="CQ120" i="12"/>
  <c r="CQ127" i="12"/>
  <c r="DU93" i="7"/>
  <c r="DU94" i="7" s="1"/>
  <c r="CW90" i="11"/>
  <c r="DV90" i="11" s="1"/>
  <c r="EC90" i="11" s="1"/>
  <c r="CQ156" i="11"/>
  <c r="CQ159" i="11" s="1"/>
  <c r="CQ149" i="11"/>
  <c r="CW93" i="11"/>
  <c r="DU79" i="7"/>
  <c r="DU97" i="7"/>
  <c r="DU98" i="7" s="1"/>
  <c r="CR146" i="11"/>
  <c r="CR134" i="11"/>
  <c r="CV103" i="11"/>
  <c r="CV71" i="12"/>
  <c r="ET114" i="7"/>
  <c r="FA114" i="7" s="1"/>
  <c r="CW103" i="11"/>
  <c r="CW71" i="12"/>
  <c r="CS102" i="12"/>
  <c r="CS85" i="12"/>
  <c r="CS115" i="11"/>
  <c r="CS131" i="11"/>
  <c r="CU101" i="11"/>
  <c r="CU114" i="11"/>
  <c r="CT112" i="11"/>
  <c r="DU112" i="11" s="1"/>
  <c r="CU69" i="12"/>
  <c r="CU83" i="12"/>
  <c r="CW67" i="12"/>
  <c r="DT112" i="7"/>
  <c r="DQ161" i="7"/>
  <c r="DQ162" i="7" s="1"/>
  <c r="DQ154" i="7"/>
  <c r="DU112" i="7"/>
  <c r="ES98" i="7"/>
  <c r="DS132" i="7"/>
  <c r="DS144" i="7"/>
  <c r="DP162" i="7"/>
  <c r="ET105" i="7"/>
  <c r="DR144" i="7"/>
  <c r="DR132" i="7"/>
  <c r="ES129" i="7"/>
  <c r="ER162" i="7"/>
  <c r="DT93" i="7"/>
  <c r="DT94" i="7" s="1"/>
  <c r="ET92" i="7"/>
  <c r="BV52" i="13"/>
  <c r="DT79" i="7"/>
  <c r="DT97" i="7"/>
  <c r="ET68" i="7"/>
  <c r="ET79" i="7" s="1"/>
  <c r="DZ240" i="18" l="1"/>
  <c r="DY794" i="2" s="1"/>
  <c r="DY235" i="18"/>
  <c r="EA90" i="18"/>
  <c r="FB90" i="18" s="1"/>
  <c r="DZ236" i="18"/>
  <c r="DZ239" i="18"/>
  <c r="DY791" i="2" s="1"/>
  <c r="EB116" i="18"/>
  <c r="EC63" i="12"/>
  <c r="DV67" i="12"/>
  <c r="EC92" i="11"/>
  <c r="EC93" i="11" s="1"/>
  <c r="DU85" i="12"/>
  <c r="DY145" i="15"/>
  <c r="ED170" i="18"/>
  <c r="FC170" i="18" s="1"/>
  <c r="FJ170" i="18" s="1"/>
  <c r="H55" i="24" s="1"/>
  <c r="ED145" i="18"/>
  <c r="FC145" i="18" s="1"/>
  <c r="FJ145" i="18" s="1"/>
  <c r="DY197" i="18"/>
  <c r="DY211" i="18" s="1"/>
  <c r="DV93" i="11"/>
  <c r="DV103" i="11"/>
  <c r="EC103" i="11" s="1"/>
  <c r="CT85" i="12"/>
  <c r="CT102" i="12"/>
  <c r="DU102" i="12" s="1"/>
  <c r="DV71" i="12"/>
  <c r="EC71" i="12" s="1"/>
  <c r="EC55" i="12"/>
  <c r="EC35" i="12"/>
  <c r="EC125" i="12"/>
  <c r="EC110" i="12"/>
  <c r="EC115" i="12"/>
  <c r="DV61" i="12"/>
  <c r="EC57" i="12"/>
  <c r="EC61" i="12" s="1"/>
  <c r="DU110" i="11"/>
  <c r="DU133" i="11"/>
  <c r="CT148" i="11"/>
  <c r="EC83" i="11"/>
  <c r="EC84" i="11" s="1"/>
  <c r="DV84" i="11"/>
  <c r="EC100" i="12"/>
  <c r="CQ130" i="12"/>
  <c r="DT127" i="12"/>
  <c r="CU133" i="11"/>
  <c r="DU115" i="11"/>
  <c r="CU104" i="12"/>
  <c r="DU233" i="18"/>
  <c r="EZ232" i="18"/>
  <c r="DT156" i="11"/>
  <c r="FB93" i="18"/>
  <c r="FC71" i="15"/>
  <c r="FC69" i="15"/>
  <c r="FJ65" i="15"/>
  <c r="FJ69" i="15" s="1"/>
  <c r="FJ63" i="15"/>
  <c r="FA145" i="15"/>
  <c r="FB115" i="15"/>
  <c r="EA143" i="15"/>
  <c r="FB143" i="15" s="1"/>
  <c r="FB131" i="15"/>
  <c r="FC92" i="15"/>
  <c r="FJ92" i="15" s="1"/>
  <c r="FJ42" i="15"/>
  <c r="FJ127" i="15"/>
  <c r="FJ139" i="15"/>
  <c r="EB131" i="15"/>
  <c r="FC113" i="15"/>
  <c r="FJ113" i="15" s="1"/>
  <c r="FC88" i="15"/>
  <c r="FJ77" i="15"/>
  <c r="FJ88" i="15" s="1"/>
  <c r="FB96" i="18"/>
  <c r="DW211" i="18"/>
  <c r="FA211" i="18" s="1"/>
  <c r="FA212" i="18" s="1"/>
  <c r="DW198" i="18"/>
  <c r="EA117" i="18"/>
  <c r="EA116" i="18"/>
  <c r="FC73" i="18"/>
  <c r="FJ65" i="18"/>
  <c r="FA198" i="18"/>
  <c r="EB97" i="18"/>
  <c r="FB97" i="18"/>
  <c r="EB91" i="18"/>
  <c r="FB91" i="18"/>
  <c r="EB95" i="18"/>
  <c r="FB95" i="18"/>
  <c r="EB94" i="18"/>
  <c r="FB94" i="18"/>
  <c r="EB92" i="18"/>
  <c r="FB92" i="18"/>
  <c r="FB117" i="18"/>
  <c r="FB116" i="18"/>
  <c r="EA136" i="18"/>
  <c r="EA143" i="18" s="1"/>
  <c r="FB138" i="18"/>
  <c r="EC83" i="18"/>
  <c r="EC93" i="18" s="1"/>
  <c r="ED93" i="18" s="1"/>
  <c r="FC85" i="18"/>
  <c r="FJ85" i="18" s="1"/>
  <c r="ED61" i="18"/>
  <c r="FC54" i="18"/>
  <c r="EB119" i="18"/>
  <c r="FC121" i="18"/>
  <c r="FJ121" i="18" s="1"/>
  <c r="DX232" i="18"/>
  <c r="DX233" i="18" s="1"/>
  <c r="DX212" i="18"/>
  <c r="DZ198" i="18"/>
  <c r="DZ211" i="18"/>
  <c r="ED69" i="15"/>
  <c r="ED103" i="18"/>
  <c r="EC90" i="15"/>
  <c r="EC112" i="18"/>
  <c r="EC75" i="15"/>
  <c r="EB138" i="18"/>
  <c r="EB94" i="15"/>
  <c r="EB111" i="15"/>
  <c r="EA168" i="18"/>
  <c r="EA129" i="15"/>
  <c r="EA115" i="15"/>
  <c r="ED90" i="15"/>
  <c r="ED112" i="18"/>
  <c r="ED110" i="18" s="1"/>
  <c r="ED75" i="15"/>
  <c r="ED73" i="18"/>
  <c r="ED63" i="18"/>
  <c r="CW69" i="12"/>
  <c r="CW83" i="12"/>
  <c r="CW104" i="12" s="1"/>
  <c r="CW119" i="12" s="1"/>
  <c r="CW129" i="12" s="1"/>
  <c r="CV101" i="11"/>
  <c r="CV114" i="11"/>
  <c r="CV133" i="11" s="1"/>
  <c r="CV148" i="11" s="1"/>
  <c r="CV158" i="11" s="1"/>
  <c r="CT131" i="11"/>
  <c r="DU131" i="11" s="1"/>
  <c r="CT115" i="11"/>
  <c r="CS105" i="12"/>
  <c r="CS117" i="12"/>
  <c r="CU110" i="11"/>
  <c r="CU112" i="11"/>
  <c r="CV69" i="12"/>
  <c r="CV83" i="12"/>
  <c r="CV104" i="12" s="1"/>
  <c r="CV119" i="12" s="1"/>
  <c r="CV129" i="12" s="1"/>
  <c r="CW101" i="11"/>
  <c r="CW114" i="11"/>
  <c r="CW133" i="11" s="1"/>
  <c r="CW148" i="11" s="1"/>
  <c r="CW158" i="11" s="1"/>
  <c r="CU79" i="12"/>
  <c r="CU81" i="12"/>
  <c r="DU129" i="7"/>
  <c r="DU144" i="7" s="1"/>
  <c r="CS146" i="11"/>
  <c r="CS134" i="11"/>
  <c r="CR156" i="11"/>
  <c r="CR149" i="11"/>
  <c r="CR120" i="12"/>
  <c r="CR127" i="12"/>
  <c r="BW52" i="13"/>
  <c r="DS153" i="7"/>
  <c r="DS145" i="7"/>
  <c r="ET93" i="7"/>
  <c r="ET94" i="7" s="1"/>
  <c r="FA92" i="7"/>
  <c r="FA93" i="7" s="1"/>
  <c r="FA94" i="7" s="1"/>
  <c r="ES132" i="7"/>
  <c r="DR145" i="7"/>
  <c r="DR153" i="7"/>
  <c r="ES144" i="7"/>
  <c r="ET112" i="7"/>
  <c r="FA105" i="7"/>
  <c r="FA112" i="7" s="1"/>
  <c r="DT129" i="7"/>
  <c r="DT98" i="7"/>
  <c r="ET97" i="7"/>
  <c r="BX52" i="13"/>
  <c r="EA236" i="18" l="1"/>
  <c r="EB90" i="18"/>
  <c r="EA239" i="18"/>
  <c r="EA240" i="18"/>
  <c r="DZ235" i="18"/>
  <c r="DV69" i="12"/>
  <c r="EC67" i="12"/>
  <c r="DY198" i="18"/>
  <c r="DY232" i="18"/>
  <c r="DY212" i="18"/>
  <c r="DU105" i="12"/>
  <c r="CT117" i="12"/>
  <c r="DU117" i="12" s="1"/>
  <c r="CT105" i="12"/>
  <c r="DV101" i="11"/>
  <c r="CT158" i="11"/>
  <c r="DU158" i="11" s="1"/>
  <c r="DU148" i="11"/>
  <c r="DT130" i="12"/>
  <c r="DV133" i="11"/>
  <c r="EC133" i="11" s="1"/>
  <c r="CU148" i="11"/>
  <c r="DV104" i="12"/>
  <c r="EC104" i="12" s="1"/>
  <c r="CU119" i="12"/>
  <c r="DV114" i="11"/>
  <c r="EC114" i="11" s="1"/>
  <c r="DV83" i="12"/>
  <c r="EC83" i="12" s="1"/>
  <c r="FC75" i="15"/>
  <c r="FJ71" i="15"/>
  <c r="FJ75" i="15" s="1"/>
  <c r="DU134" i="11"/>
  <c r="CR130" i="12"/>
  <c r="EZ233" i="18"/>
  <c r="CR159" i="11"/>
  <c r="DT159" i="11"/>
  <c r="FC90" i="15"/>
  <c r="FB129" i="15"/>
  <c r="EB143" i="15"/>
  <c r="FC143" i="15" s="1"/>
  <c r="FC131" i="15"/>
  <c r="FJ131" i="15" s="1"/>
  <c r="DW232" i="18"/>
  <c r="FA232" i="18" s="1"/>
  <c r="DW212" i="18"/>
  <c r="EC95" i="18"/>
  <c r="ED95" i="18" s="1"/>
  <c r="EC91" i="18"/>
  <c r="ED91" i="18" s="1"/>
  <c r="H14" i="24"/>
  <c r="FJ73" i="18"/>
  <c r="EC98" i="18"/>
  <c r="ED98" i="18" s="1"/>
  <c r="FC61" i="18"/>
  <c r="FJ54" i="18"/>
  <c r="FJ61" i="18" s="1"/>
  <c r="FB136" i="18"/>
  <c r="FB143" i="18" s="1"/>
  <c r="ED134" i="18"/>
  <c r="FC63" i="18"/>
  <c r="FJ63" i="18" s="1"/>
  <c r="FC93" i="18"/>
  <c r="FJ93" i="18" s="1"/>
  <c r="EA166" i="18"/>
  <c r="FB166" i="18" s="1"/>
  <c r="FB168" i="18"/>
  <c r="EC99" i="18"/>
  <c r="FC83" i="18"/>
  <c r="FJ83" i="18" s="1"/>
  <c r="EC96" i="18"/>
  <c r="EC94" i="18"/>
  <c r="ED94" i="18" s="1"/>
  <c r="EC92" i="18"/>
  <c r="ED92" i="18" s="1"/>
  <c r="EC110" i="18"/>
  <c r="FC110" i="18" s="1"/>
  <c r="FJ110" i="18" s="1"/>
  <c r="FC112" i="18"/>
  <c r="FJ112" i="18" s="1"/>
  <c r="H36" i="24" s="1"/>
  <c r="EC97" i="18"/>
  <c r="ED97" i="18" s="1"/>
  <c r="ED101" i="18"/>
  <c r="FC101" i="18" s="1"/>
  <c r="FJ101" i="18" s="1"/>
  <c r="FC103" i="18"/>
  <c r="FJ103" i="18" s="1"/>
  <c r="H27" i="24" s="1"/>
  <c r="EB136" i="18"/>
  <c r="EB143" i="18" s="1"/>
  <c r="EB134" i="18"/>
  <c r="FC119" i="18"/>
  <c r="DU132" i="7"/>
  <c r="DZ212" i="18"/>
  <c r="DZ232" i="18"/>
  <c r="DZ233" i="18" s="1"/>
  <c r="EC138" i="18"/>
  <c r="EC136" i="18" s="1"/>
  <c r="EC143" i="18" s="1"/>
  <c r="EC94" i="15"/>
  <c r="EC111" i="15"/>
  <c r="ED70" i="18"/>
  <c r="ED187" i="18"/>
  <c r="ED182" i="18"/>
  <c r="ED192" i="18"/>
  <c r="ED209" i="18"/>
  <c r="ED99" i="18"/>
  <c r="ED164" i="18"/>
  <c r="EB168" i="18"/>
  <c r="EB129" i="15"/>
  <c r="EB115" i="15"/>
  <c r="EA141" i="15"/>
  <c r="EA133" i="15"/>
  <c r="ED117" i="18"/>
  <c r="ED116" i="18"/>
  <c r="ED138" i="18"/>
  <c r="ED136" i="18" s="1"/>
  <c r="ED143" i="18" s="1"/>
  <c r="ED111" i="15"/>
  <c r="ED94" i="15"/>
  <c r="CV79" i="12"/>
  <c r="CV81" i="12"/>
  <c r="CU131" i="11"/>
  <c r="CU115" i="11"/>
  <c r="CW110" i="11"/>
  <c r="CW112" i="11"/>
  <c r="CW79" i="12"/>
  <c r="CW81" i="12"/>
  <c r="CS127" i="12"/>
  <c r="CS130" i="12" s="1"/>
  <c r="CS120" i="12"/>
  <c r="CS156" i="11"/>
  <c r="CS159" i="11" s="1"/>
  <c r="CS149" i="11"/>
  <c r="CT146" i="11"/>
  <c r="DU146" i="11" s="1"/>
  <c r="CT134" i="11"/>
  <c r="CU85" i="12"/>
  <c r="CU102" i="12"/>
  <c r="CV110" i="11"/>
  <c r="CV112" i="11"/>
  <c r="DR52" i="13"/>
  <c r="DU153" i="7"/>
  <c r="DU145" i="7"/>
  <c r="ES145" i="7"/>
  <c r="DR161" i="7"/>
  <c r="DR154" i="7"/>
  <c r="ES153" i="7"/>
  <c r="ET98" i="7"/>
  <c r="FA97" i="7"/>
  <c r="FA98" i="7" s="1"/>
  <c r="DT144" i="7"/>
  <c r="DT132" i="7"/>
  <c r="ET129" i="7"/>
  <c r="DS161" i="7"/>
  <c r="DS154" i="7"/>
  <c r="BY52" i="13"/>
  <c r="FB236" i="18" l="1"/>
  <c r="EB240" i="18"/>
  <c r="EA794" i="2" s="1"/>
  <c r="EC90" i="18"/>
  <c r="EB236" i="18"/>
  <c r="EB239" i="18"/>
  <c r="EA791" i="2" s="1"/>
  <c r="DZ794" i="2"/>
  <c r="DZ791" i="2"/>
  <c r="FB240" i="18"/>
  <c r="EA235" i="18"/>
  <c r="FB235" i="18" s="1"/>
  <c r="FB239" i="18"/>
  <c r="FJ90" i="15"/>
  <c r="FJ94" i="15" s="1"/>
  <c r="FC94" i="15"/>
  <c r="DV79" i="12"/>
  <c r="EC69" i="12"/>
  <c r="EC79" i="12" s="1"/>
  <c r="EC101" i="11"/>
  <c r="EC110" i="11" s="1"/>
  <c r="DV110" i="11"/>
  <c r="DY233" i="18"/>
  <c r="DU120" i="12"/>
  <c r="FJ143" i="15"/>
  <c r="CT127" i="12"/>
  <c r="CT130" i="12" s="1"/>
  <c r="CT120" i="12"/>
  <c r="DV81" i="12"/>
  <c r="DV112" i="11"/>
  <c r="DV148" i="11"/>
  <c r="EC148" i="11" s="1"/>
  <c r="CU158" i="11"/>
  <c r="DV158" i="11" s="1"/>
  <c r="EC158" i="11" s="1"/>
  <c r="DV119" i="12"/>
  <c r="EC119" i="12" s="1"/>
  <c r="CU129" i="12"/>
  <c r="DV129" i="12" s="1"/>
  <c r="EC129" i="12" s="1"/>
  <c r="DU149" i="11"/>
  <c r="FC91" i="18"/>
  <c r="FJ91" i="18" s="1"/>
  <c r="FC111" i="15"/>
  <c r="EA145" i="15"/>
  <c r="FB141" i="15"/>
  <c r="FB133" i="15"/>
  <c r="FC95" i="18"/>
  <c r="FJ95" i="18" s="1"/>
  <c r="DW233" i="18"/>
  <c r="FJ99" i="18"/>
  <c r="FC92" i="18"/>
  <c r="FJ92" i="18" s="1"/>
  <c r="H34" i="24"/>
  <c r="FJ117" i="18"/>
  <c r="H41" i="24" s="1"/>
  <c r="FJ116" i="18"/>
  <c r="EA197" i="18"/>
  <c r="FB197" i="18" s="1"/>
  <c r="FB198" i="18" s="1"/>
  <c r="H12" i="24"/>
  <c r="H18" i="24" s="1"/>
  <c r="FJ70" i="18"/>
  <c r="FJ187" i="18"/>
  <c r="FJ182" i="18"/>
  <c r="FJ192" i="18"/>
  <c r="FJ209" i="18"/>
  <c r="FJ164" i="18"/>
  <c r="FC97" i="18"/>
  <c r="FJ97" i="18" s="1"/>
  <c r="FC134" i="18"/>
  <c r="FJ119" i="18"/>
  <c r="FJ134" i="18" s="1"/>
  <c r="EA173" i="18"/>
  <c r="FJ107" i="18"/>
  <c r="H25" i="24"/>
  <c r="P25" i="24" s="1"/>
  <c r="FJ108" i="18"/>
  <c r="H32" i="24" s="1"/>
  <c r="ED108" i="18"/>
  <c r="FA233" i="18"/>
  <c r="FB173" i="18"/>
  <c r="EC117" i="18"/>
  <c r="EC116" i="18"/>
  <c r="FC138" i="18"/>
  <c r="FJ138" i="18" s="1"/>
  <c r="H45" i="24" s="1"/>
  <c r="ED96" i="18"/>
  <c r="FC96" i="18" s="1"/>
  <c r="FJ96" i="18" s="1"/>
  <c r="FC117" i="18"/>
  <c r="FC116" i="18"/>
  <c r="FC70" i="18"/>
  <c r="FC187" i="18"/>
  <c r="FC192" i="18"/>
  <c r="FC182" i="18"/>
  <c r="FC209" i="18"/>
  <c r="FC164" i="18"/>
  <c r="FC94" i="18"/>
  <c r="FJ94" i="18" s="1"/>
  <c r="FC99" i="18"/>
  <c r="FC107" i="18"/>
  <c r="FC108" i="18"/>
  <c r="ED107" i="18"/>
  <c r="EB166" i="18"/>
  <c r="FC136" i="18"/>
  <c r="FC143" i="18" s="1"/>
  <c r="EC168" i="18"/>
  <c r="EC166" i="18" s="1"/>
  <c r="EC129" i="15"/>
  <c r="EC115" i="15"/>
  <c r="EB141" i="15"/>
  <c r="EB133" i="15"/>
  <c r="ED168" i="18"/>
  <c r="ED166" i="18" s="1"/>
  <c r="ED129" i="15"/>
  <c r="ED115" i="15"/>
  <c r="CT156" i="11"/>
  <c r="CT159" i="11" s="1"/>
  <c r="CT149" i="11"/>
  <c r="CW131" i="11"/>
  <c r="CW115" i="11"/>
  <c r="CV115" i="11"/>
  <c r="CV131" i="11"/>
  <c r="CU134" i="11"/>
  <c r="CU146" i="11"/>
  <c r="CW85" i="12"/>
  <c r="CW102" i="12"/>
  <c r="CU117" i="12"/>
  <c r="CU105" i="12"/>
  <c r="CV102" i="12"/>
  <c r="DV102" i="12" s="1"/>
  <c r="CV85" i="12"/>
  <c r="ET132" i="7"/>
  <c r="FA129" i="7"/>
  <c r="FA132" i="7" s="1"/>
  <c r="DT145" i="7"/>
  <c r="DT153" i="7"/>
  <c r="ET144" i="7"/>
  <c r="ES154" i="7"/>
  <c r="DR162" i="7"/>
  <c r="ES161" i="7"/>
  <c r="DS162" i="7"/>
  <c r="DU154" i="7"/>
  <c r="DU161" i="7"/>
  <c r="DU162" i="7" s="1"/>
  <c r="BZ52" i="13"/>
  <c r="EB235" i="18" l="1"/>
  <c r="EC239" i="18"/>
  <c r="EB791" i="2" s="1"/>
  <c r="ED90" i="18"/>
  <c r="FC90" i="18" s="1"/>
  <c r="FJ90" i="18" s="1"/>
  <c r="EC240" i="18"/>
  <c r="EB794" i="2" s="1"/>
  <c r="EC236" i="18"/>
  <c r="DV131" i="11"/>
  <c r="FC115" i="15"/>
  <c r="FJ111" i="15"/>
  <c r="FJ115" i="15" s="1"/>
  <c r="DU127" i="12"/>
  <c r="DV85" i="12"/>
  <c r="EC81" i="12"/>
  <c r="EC85" i="12" s="1"/>
  <c r="DV115" i="11"/>
  <c r="EC112" i="11"/>
  <c r="EC115" i="11" s="1"/>
  <c r="DU130" i="12"/>
  <c r="DV105" i="12"/>
  <c r="EC102" i="12"/>
  <c r="EC105" i="12" s="1"/>
  <c r="DU156" i="11"/>
  <c r="EB145" i="15"/>
  <c r="FC129" i="15"/>
  <c r="FB145" i="15"/>
  <c r="FC168" i="18"/>
  <c r="FJ168" i="18" s="1"/>
  <c r="H53" i="24" s="1"/>
  <c r="EA211" i="18"/>
  <c r="FB211" i="18" s="1"/>
  <c r="FB212" i="18" s="1"/>
  <c r="EA198" i="18"/>
  <c r="H40" i="24"/>
  <c r="H31" i="24"/>
  <c r="FJ136" i="18"/>
  <c r="FJ143" i="18" s="1"/>
  <c r="FC166" i="18"/>
  <c r="EB173" i="18"/>
  <c r="EB197" i="18"/>
  <c r="EB198" i="18" s="1"/>
  <c r="ED141" i="15"/>
  <c r="ED145" i="15" s="1"/>
  <c r="ED133" i="15"/>
  <c r="ED197" i="18"/>
  <c r="ED173" i="18"/>
  <c r="EC133" i="15"/>
  <c r="EC141" i="15"/>
  <c r="EC145" i="15" s="1"/>
  <c r="EC173" i="18"/>
  <c r="EC197" i="18"/>
  <c r="CW117" i="12"/>
  <c r="CW105" i="12"/>
  <c r="CU127" i="12"/>
  <c r="CU120" i="12"/>
  <c r="CU156" i="11"/>
  <c r="CU149" i="11"/>
  <c r="CV146" i="11"/>
  <c r="CV134" i="11"/>
  <c r="CV105" i="12"/>
  <c r="CV117" i="12"/>
  <c r="CW146" i="11"/>
  <c r="CW134" i="11"/>
  <c r="ES162" i="7"/>
  <c r="ET145" i="7"/>
  <c r="FA144" i="7"/>
  <c r="FA145" i="7" s="1"/>
  <c r="DT154" i="7"/>
  <c r="DT161" i="7"/>
  <c r="ET153" i="7"/>
  <c r="DS52" i="13"/>
  <c r="CA52" i="13"/>
  <c r="DV134" i="11" l="1"/>
  <c r="EC235" i="18"/>
  <c r="ED240" i="18"/>
  <c r="ED239" i="18"/>
  <c r="ED236" i="18"/>
  <c r="FC236" i="18" s="1"/>
  <c r="FJ236" i="18" s="1"/>
  <c r="EC131" i="11"/>
  <c r="EC134" i="11" s="1"/>
  <c r="DV117" i="12"/>
  <c r="DV146" i="11"/>
  <c r="CU130" i="12"/>
  <c r="CU159" i="11"/>
  <c r="DU159" i="11"/>
  <c r="FC133" i="15"/>
  <c r="FJ129" i="15"/>
  <c r="FJ133" i="15" s="1"/>
  <c r="FC141" i="15"/>
  <c r="EA212" i="18"/>
  <c r="EA232" i="18"/>
  <c r="EA233" i="18" s="1"/>
  <c r="H43" i="24"/>
  <c r="FC173" i="18"/>
  <c r="FJ166" i="18"/>
  <c r="FC197" i="18"/>
  <c r="EB211" i="18"/>
  <c r="EB232" i="18" s="1"/>
  <c r="EC198" i="18"/>
  <c r="EC211" i="18"/>
  <c r="ED198" i="18"/>
  <c r="ED211" i="18"/>
  <c r="CV149" i="11"/>
  <c r="CV156" i="11"/>
  <c r="CV159" i="11" s="1"/>
  <c r="CW156" i="11"/>
  <c r="CW159" i="11" s="1"/>
  <c r="CW149" i="11"/>
  <c r="CV127" i="12"/>
  <c r="CV130" i="12" s="1"/>
  <c r="CV120" i="12"/>
  <c r="CW127" i="12"/>
  <c r="CW130" i="12" s="1"/>
  <c r="CW120" i="12"/>
  <c r="ET154" i="7"/>
  <c r="FA153" i="7"/>
  <c r="FA154" i="7" s="1"/>
  <c r="DT162" i="7"/>
  <c r="ET161" i="7"/>
  <c r="CB52" i="13"/>
  <c r="EC117" i="12" l="1"/>
  <c r="EC120" i="12" s="1"/>
  <c r="EC794" i="2"/>
  <c r="FC240" i="18"/>
  <c r="FJ240" i="18" s="1"/>
  <c r="ED235" i="18"/>
  <c r="FC235" i="18" s="1"/>
  <c r="FJ235" i="18" s="1"/>
  <c r="FC239" i="18"/>
  <c r="FJ239" i="18" s="1"/>
  <c r="EC791" i="2"/>
  <c r="DV120" i="12"/>
  <c r="DV127" i="12"/>
  <c r="DV149" i="11"/>
  <c r="EC146" i="11"/>
  <c r="EC149" i="11" s="1"/>
  <c r="DV156" i="11"/>
  <c r="FC145" i="15"/>
  <c r="FJ145" i="15" s="1"/>
  <c r="FJ141" i="15"/>
  <c r="FB232" i="18"/>
  <c r="EB212" i="18"/>
  <c r="H51" i="24"/>
  <c r="FJ173" i="18"/>
  <c r="H49" i="24"/>
  <c r="FC198" i="18"/>
  <c r="FJ197" i="18"/>
  <c r="FC211" i="18"/>
  <c r="EB233" i="18"/>
  <c r="ED212" i="18"/>
  <c r="ED232" i="18"/>
  <c r="ED233" i="18" s="1"/>
  <c r="EC232" i="18"/>
  <c r="EC233" i="18" s="1"/>
  <c r="EC212" i="18"/>
  <c r="ET162" i="7"/>
  <c r="FA161" i="7"/>
  <c r="FA162" i="7" s="1"/>
  <c r="CC52" i="13"/>
  <c r="DV130" i="12" l="1"/>
  <c r="EC127" i="12"/>
  <c r="EC130" i="12" s="1"/>
  <c r="FB233" i="18"/>
  <c r="DV159" i="11"/>
  <c r="EC156" i="11"/>
  <c r="EC159" i="11" s="1"/>
  <c r="H57" i="24"/>
  <c r="FJ198" i="18"/>
  <c r="H59" i="24"/>
  <c r="FC212" i="18"/>
  <c r="FJ211" i="18"/>
  <c r="FC232" i="18"/>
  <c r="DT52" i="13"/>
  <c r="CD52" i="13"/>
  <c r="FJ212" i="18" l="1"/>
  <c r="H62" i="24"/>
  <c r="H60" i="24"/>
  <c r="FC233" i="18"/>
  <c r="FJ232" i="18"/>
  <c r="FJ233" i="18" s="1"/>
  <c r="CE52" i="13"/>
  <c r="H63" i="24" l="1"/>
  <c r="CF52" i="13"/>
  <c r="DU52" i="13" l="1"/>
  <c r="EH52" i="13" s="1"/>
  <c r="CG52" i="13"/>
  <c r="CH52" i="13" l="1"/>
  <c r="CI52" i="13" l="1"/>
  <c r="CJ52" i="13" l="1"/>
  <c r="DV52" i="13"/>
  <c r="CK52" i="13" l="1"/>
  <c r="CL52" i="13" l="1"/>
  <c r="DW52" i="13" l="1"/>
  <c r="CM52" i="13"/>
  <c r="CN52" i="13" l="1"/>
  <c r="CO52" i="13" l="1"/>
  <c r="DX52" i="13" s="1"/>
  <c r="CP52" i="13" l="1"/>
  <c r="CQ52" i="13" l="1"/>
  <c r="CR52" i="13"/>
  <c r="DY52" i="13" l="1"/>
  <c r="EI52" i="13" s="1"/>
  <c r="BU53" i="13"/>
  <c r="BV53" i="13" l="1"/>
  <c r="BV48" i="13" s="1"/>
  <c r="BU48" i="13"/>
  <c r="BW53" i="13" l="1"/>
  <c r="BW48" i="13" s="1"/>
  <c r="DR48" i="13" s="1"/>
  <c r="BX53" i="13" l="1"/>
  <c r="DR53" i="13"/>
  <c r="BY53" i="13" l="1"/>
  <c r="BY48" i="13" s="1"/>
  <c r="BX48" i="13"/>
  <c r="BZ53" i="13" l="1"/>
  <c r="BZ48" i="13" l="1"/>
  <c r="DS48" i="13" s="1"/>
  <c r="DS53" i="13"/>
  <c r="CA53" i="13"/>
  <c r="CB53" i="13" l="1"/>
  <c r="CB48" i="13" s="1"/>
  <c r="CA48" i="13"/>
  <c r="CC53" i="13" l="1"/>
  <c r="CC48" i="13" l="1"/>
  <c r="DT48" i="13" s="1"/>
  <c r="DT53" i="13"/>
  <c r="CD53" i="13"/>
  <c r="CE53" i="13" l="1"/>
  <c r="CE48" i="13" s="1"/>
  <c r="CD48" i="13"/>
  <c r="CF53" i="13" l="1"/>
  <c r="CG53" i="13" l="1"/>
  <c r="CF48" i="13"/>
  <c r="DU48" i="13" s="1"/>
  <c r="EH48" i="13" s="1"/>
  <c r="DU53" i="13"/>
  <c r="EH53" i="13" s="1"/>
  <c r="CH53" i="13" l="1"/>
  <c r="CH48" i="13" s="1"/>
  <c r="CG48" i="13"/>
  <c r="CI53" i="13" l="1"/>
  <c r="CI48" i="13" l="1"/>
  <c r="DV48" i="13" s="1"/>
  <c r="DV53" i="13"/>
  <c r="CJ53" i="13"/>
  <c r="CJ48" i="13" l="1"/>
  <c r="CK53" i="13"/>
  <c r="CK48" i="13" s="1"/>
  <c r="CL53" i="13" l="1"/>
  <c r="CL48" i="13" s="1"/>
  <c r="DW48" i="13" s="1"/>
  <c r="DW53" i="13" l="1"/>
  <c r="CM53" i="13"/>
  <c r="CM48" i="13" l="1"/>
  <c r="CN53" i="13"/>
  <c r="CN48" i="13" s="1"/>
  <c r="CO53" i="13" l="1"/>
  <c r="CO48" i="13" s="1"/>
  <c r="DX48" i="13" s="1"/>
  <c r="DX53" i="13" l="1"/>
  <c r="CP53" i="13"/>
  <c r="CQ53" i="13" l="1"/>
  <c r="CQ48" i="13" s="1"/>
  <c r="CR53" i="13"/>
  <c r="CR48" i="13" s="1"/>
  <c r="CP48" i="13"/>
  <c r="DY53" i="13" l="1"/>
  <c r="EI53" i="13" s="1"/>
  <c r="DY48" i="13"/>
  <c r="EI48" i="13" s="1"/>
  <c r="EB606" i="2"/>
  <c r="BF4" i="16" s="1"/>
  <c r="EC606" i="2"/>
  <c r="BG4" i="16" s="1"/>
  <c r="EC607" i="2"/>
  <c r="BG5" i="16" s="1"/>
  <c r="EB607" i="2"/>
  <c r="BF5" i="16" s="1"/>
  <c r="EA606" i="2"/>
  <c r="BE4" i="16" s="1"/>
  <c r="CB4" i="16" s="1"/>
  <c r="DZ606" i="2"/>
  <c r="BD4" i="16" s="1"/>
  <c r="EA607" i="2"/>
  <c r="BE5" i="16" s="1"/>
  <c r="DZ607" i="2"/>
  <c r="BD5" i="16" s="1"/>
  <c r="DY606" i="2"/>
  <c r="BC4" i="16" s="1"/>
  <c r="DY607" i="2"/>
  <c r="BC5" i="16" s="1"/>
  <c r="DX606" i="2"/>
  <c r="BB4" i="16" s="1"/>
  <c r="CA4" i="16" s="1"/>
  <c r="DQ607" i="2"/>
  <c r="AU5" i="16" s="1"/>
  <c r="DX607" i="2"/>
  <c r="BB5" i="16" s="1"/>
  <c r="DW606" i="2"/>
  <c r="BA4" i="16" s="1"/>
  <c r="DP607" i="2"/>
  <c r="AT5" i="16" s="1"/>
  <c r="DW607" i="2"/>
  <c r="BA5" i="16" s="1"/>
  <c r="DV606" i="2"/>
  <c r="AZ4" i="16" s="1"/>
  <c r="DV607" i="2"/>
  <c r="AZ5" i="16" s="1"/>
  <c r="DU606" i="2"/>
  <c r="AY4" i="16" s="1"/>
  <c r="DN607" i="2"/>
  <c r="DT606" i="2"/>
  <c r="AX4" i="16" s="1"/>
  <c r="DU607" i="2"/>
  <c r="AY5" i="16" s="1"/>
  <c r="DM607" i="2"/>
  <c r="DT607" i="2"/>
  <c r="AX5" i="16" s="1"/>
  <c r="DO607" i="2"/>
  <c r="AS5" i="16" s="1"/>
  <c r="DS606" i="2"/>
  <c r="AW4" i="16" s="1"/>
  <c r="AU8" i="16"/>
  <c r="DQ606" i="2"/>
  <c r="AU9" i="16"/>
  <c r="DR606" i="2"/>
  <c r="AV4" i="16" s="1"/>
  <c r="BY4" i="16" s="1"/>
  <c r="DQ631" i="2"/>
  <c r="DQ643" i="2" s="1"/>
  <c r="DQ654" i="2" s="1"/>
  <c r="AJ9" i="16"/>
  <c r="AS9" i="16"/>
  <c r="DQ630" i="2"/>
  <c r="AU16" i="16" s="1"/>
  <c r="DS607" i="2"/>
  <c r="AW5" i="16" s="1"/>
  <c r="AJ8" i="16"/>
  <c r="AS8" i="16"/>
  <c r="DP606" i="2"/>
  <c r="DO631" i="2"/>
  <c r="DO643" i="2" s="1"/>
  <c r="DO654" i="2" s="1"/>
  <c r="AT8" i="16"/>
  <c r="AT9" i="16"/>
  <c r="DP630" i="2"/>
  <c r="DP642" i="2" s="1"/>
  <c r="DP653" i="2" s="1"/>
  <c r="DR607" i="2"/>
  <c r="AV5" i="16" s="1"/>
  <c r="DP631" i="2"/>
  <c r="DK607" i="2"/>
  <c r="AO5" i="16" s="1"/>
  <c r="AQ9" i="16"/>
  <c r="DJ607" i="2"/>
  <c r="AN5" i="16" s="1"/>
  <c r="DO606" i="2"/>
  <c r="AS4" i="16" s="1"/>
  <c r="DO630" i="2"/>
  <c r="AS16" i="16" s="1"/>
  <c r="DL607" i="2"/>
  <c r="AP5" i="16" s="1"/>
  <c r="AR9" i="16"/>
  <c r="AR8" i="16"/>
  <c r="AP8" i="16"/>
  <c r="DM631" i="2"/>
  <c r="AQ17" i="16" s="1"/>
  <c r="DN606" i="2"/>
  <c r="AR4" i="16" s="1"/>
  <c r="DN630" i="2"/>
  <c r="AR16" i="16" s="1"/>
  <c r="DN631" i="2"/>
  <c r="DN643" i="2" s="1"/>
  <c r="DN654" i="2" s="1"/>
  <c r="AP9" i="16"/>
  <c r="DH607" i="2"/>
  <c r="AL5" i="16" s="1"/>
  <c r="DM606" i="2"/>
  <c r="AQ8" i="16"/>
  <c r="DM630" i="2"/>
  <c r="AQ16" i="16" s="1"/>
  <c r="DL606" i="2"/>
  <c r="AP4" i="16" s="1"/>
  <c r="DG607" i="2"/>
  <c r="DL631" i="2"/>
  <c r="DL643" i="2" s="1"/>
  <c r="DL654" i="2" s="1"/>
  <c r="DL630" i="2"/>
  <c r="DI607" i="2"/>
  <c r="AO8" i="16"/>
  <c r="AM8" i="16"/>
  <c r="DK631" i="2"/>
  <c r="DK643" i="2" s="1"/>
  <c r="DK654" i="2" s="1"/>
  <c r="DK630" i="2"/>
  <c r="AO9" i="16"/>
  <c r="DK606" i="2"/>
  <c r="AM9" i="16"/>
  <c r="DJ630" i="2"/>
  <c r="DJ642" i="2" s="1"/>
  <c r="AL9" i="16"/>
  <c r="AN8" i="16"/>
  <c r="AN9" i="16"/>
  <c r="DJ631" i="2"/>
  <c r="AN17" i="16" s="1"/>
  <c r="DJ606" i="2"/>
  <c r="AN4" i="16" s="1"/>
  <c r="DI630" i="2"/>
  <c r="AM16" i="16" s="1"/>
  <c r="DI631" i="2"/>
  <c r="DI643" i="2" s="1"/>
  <c r="DI654" i="2" s="1"/>
  <c r="DI606" i="2"/>
  <c r="AK9" i="16"/>
  <c r="DG631" i="2"/>
  <c r="AK17" i="16" s="1"/>
  <c r="DH606" i="2"/>
  <c r="AL4" i="16" s="1"/>
  <c r="AL8" i="16"/>
  <c r="DF607" i="2"/>
  <c r="AJ5" i="16" s="1"/>
  <c r="DH631" i="2"/>
  <c r="DH643" i="2" s="1"/>
  <c r="DH654" i="2" s="1"/>
  <c r="DH630" i="2"/>
  <c r="DH642" i="2" s="1"/>
  <c r="AK8" i="16"/>
  <c r="DG606" i="2"/>
  <c r="DG630" i="2"/>
  <c r="DG642" i="2" s="1"/>
  <c r="DG653" i="2" s="1"/>
  <c r="DF631" i="2"/>
  <c r="DF643" i="2" s="1"/>
  <c r="DF654" i="2" s="1"/>
  <c r="DF630" i="2"/>
  <c r="DF642" i="2" s="1"/>
  <c r="DF606" i="2"/>
  <c r="AJ4" i="16" s="1"/>
  <c r="DK609" i="2"/>
  <c r="DX609" i="2"/>
  <c r="DM609" i="2"/>
  <c r="EA609" i="2"/>
  <c r="DP609" i="2"/>
  <c r="DQ609" i="2"/>
  <c r="EC609" i="2"/>
  <c r="DR609" i="2"/>
  <c r="DG609" i="2"/>
  <c r="DS609" i="2"/>
  <c r="DT609" i="2"/>
  <c r="DW609" i="2"/>
  <c r="DL609" i="2"/>
  <c r="DY609" i="2"/>
  <c r="DN609" i="2"/>
  <c r="DZ609" i="2"/>
  <c r="DO609" i="2"/>
  <c r="EB609" i="2"/>
  <c r="DH609" i="2"/>
  <c r="DI609" i="2"/>
  <c r="DU609" i="2"/>
  <c r="DJ609" i="2"/>
  <c r="DF609" i="2"/>
  <c r="DV609" i="2"/>
  <c r="BY5" i="16" l="1"/>
  <c r="BZ5" i="16"/>
  <c r="CA5" i="16"/>
  <c r="CB5" i="16"/>
  <c r="BZ4" i="16"/>
  <c r="CH4" i="16" s="1"/>
  <c r="AS20" i="16"/>
  <c r="AP17" i="16"/>
  <c r="AP21" i="16" s="1"/>
  <c r="AL7" i="16"/>
  <c r="AS17" i="16"/>
  <c r="AS15" i="16" s="1"/>
  <c r="AY3" i="16"/>
  <c r="BC3" i="16"/>
  <c r="AV3" i="16"/>
  <c r="AZ3" i="16"/>
  <c r="BD3" i="16"/>
  <c r="BE3" i="16"/>
  <c r="AW3" i="16"/>
  <c r="BA3" i="16"/>
  <c r="BG3" i="16"/>
  <c r="BF3" i="16"/>
  <c r="AX3" i="16"/>
  <c r="BB3" i="16"/>
  <c r="CA3" i="16" s="1"/>
  <c r="AQ21" i="16"/>
  <c r="DW605" i="2"/>
  <c r="DY605" i="2"/>
  <c r="DU605" i="2"/>
  <c r="AK7" i="16"/>
  <c r="BW9" i="16"/>
  <c r="AU17" i="16"/>
  <c r="AU15" i="16" s="1"/>
  <c r="DG643" i="2"/>
  <c r="DG654" i="2" s="1"/>
  <c r="DO605" i="2"/>
  <c r="AN3" i="16"/>
  <c r="DI605" i="2"/>
  <c r="DL629" i="2"/>
  <c r="AJ16" i="16"/>
  <c r="AJ20" i="16" s="1"/>
  <c r="DV605" i="2"/>
  <c r="DZ605" i="2"/>
  <c r="DK629" i="2"/>
  <c r="EA605" i="2"/>
  <c r="AM4" i="16"/>
  <c r="DG605" i="2"/>
  <c r="AK16" i="16"/>
  <c r="AK20" i="16" s="1"/>
  <c r="DJ605" i="2"/>
  <c r="AO17" i="16"/>
  <c r="AO29" i="16" s="1"/>
  <c r="AT16" i="16"/>
  <c r="AT20" i="16" s="1"/>
  <c r="DM629" i="2"/>
  <c r="AN7" i="16"/>
  <c r="AL3" i="16"/>
  <c r="DH629" i="2"/>
  <c r="AP7" i="16"/>
  <c r="DP605" i="2"/>
  <c r="BV9" i="16"/>
  <c r="DM643" i="2"/>
  <c r="DM654" i="2" s="1"/>
  <c r="AR7" i="16"/>
  <c r="AL17" i="16"/>
  <c r="DS605" i="2"/>
  <c r="BX9" i="16"/>
  <c r="EC605" i="2"/>
  <c r="DH605" i="2"/>
  <c r="AQ15" i="16"/>
  <c r="DT605" i="2"/>
  <c r="EB605" i="2"/>
  <c r="DX605" i="2"/>
  <c r="AM7" i="16"/>
  <c r="DM605" i="2"/>
  <c r="DR605" i="2"/>
  <c r="AJ3" i="16"/>
  <c r="DF627" i="2"/>
  <c r="DF639" i="2" s="1"/>
  <c r="DN642" i="2"/>
  <c r="DN653" i="2" s="1"/>
  <c r="AQ28" i="16"/>
  <c r="DO642" i="2"/>
  <c r="DO653" i="2" s="1"/>
  <c r="DO629" i="2"/>
  <c r="AR28" i="16"/>
  <c r="AR20" i="16"/>
  <c r="DF626" i="2"/>
  <c r="AJ12" i="16" s="1"/>
  <c r="AN21" i="16"/>
  <c r="AN29" i="16"/>
  <c r="DH653" i="2"/>
  <c r="DH641" i="2"/>
  <c r="DF653" i="2"/>
  <c r="DF641" i="2"/>
  <c r="AM20" i="16"/>
  <c r="AK29" i="16"/>
  <c r="AK21" i="16"/>
  <c r="AP3" i="16"/>
  <c r="DF629" i="2"/>
  <c r="AK4" i="16"/>
  <c r="AM17" i="16"/>
  <c r="AM5" i="16"/>
  <c r="AM28" i="16"/>
  <c r="AQ7" i="16"/>
  <c r="AT7" i="16"/>
  <c r="AU28" i="16"/>
  <c r="AU7" i="16"/>
  <c r="BW8" i="16"/>
  <c r="AQ20" i="16"/>
  <c r="DJ629" i="2"/>
  <c r="AK5" i="16"/>
  <c r="BU5" i="16" s="1"/>
  <c r="AP16" i="16"/>
  <c r="AJ17" i="16"/>
  <c r="AJ29" i="16" s="1"/>
  <c r="DJ643" i="2"/>
  <c r="DJ654" i="2" s="1"/>
  <c r="AN16" i="16"/>
  <c r="BV8" i="16"/>
  <c r="AR17" i="16"/>
  <c r="AR15" i="16" s="1"/>
  <c r="AQ4" i="16"/>
  <c r="BW4" i="16" s="1"/>
  <c r="DM642" i="2"/>
  <c r="DP643" i="2"/>
  <c r="DP654" i="2" s="1"/>
  <c r="AT17" i="16"/>
  <c r="DQ629" i="2"/>
  <c r="DG629" i="2"/>
  <c r="AL16" i="16"/>
  <c r="AO7" i="16"/>
  <c r="AO16" i="16"/>
  <c r="AS28" i="16"/>
  <c r="BX8" i="16"/>
  <c r="AS7" i="16"/>
  <c r="DQ642" i="2"/>
  <c r="DI629" i="2"/>
  <c r="DN605" i="2"/>
  <c r="DL642" i="2"/>
  <c r="AJ7" i="16"/>
  <c r="BU8" i="16"/>
  <c r="BU9" i="16"/>
  <c r="AU4" i="16"/>
  <c r="DQ605" i="2"/>
  <c r="AS3" i="16"/>
  <c r="DI642" i="2"/>
  <c r="DJ653" i="2"/>
  <c r="DL605" i="2"/>
  <c r="AQ29" i="16"/>
  <c r="DP629" i="2"/>
  <c r="AR5" i="16"/>
  <c r="AR3" i="16" s="1"/>
  <c r="DK642" i="2"/>
  <c r="DF605" i="2"/>
  <c r="AO4" i="16"/>
  <c r="DK605" i="2"/>
  <c r="BX5" i="16"/>
  <c r="AU20" i="16"/>
  <c r="AQ5" i="16"/>
  <c r="DN629" i="2"/>
  <c r="AT4" i="16"/>
  <c r="CH5" i="16" l="1"/>
  <c r="BZ3" i="16"/>
  <c r="BY3" i="16"/>
  <c r="CB3" i="16"/>
  <c r="AS21" i="16"/>
  <c r="AP29" i="16"/>
  <c r="CH3" i="16"/>
  <c r="AS29" i="16"/>
  <c r="BU7" i="16"/>
  <c r="AQ40" i="16"/>
  <c r="AQ27" i="16"/>
  <c r="AR40" i="16"/>
  <c r="AU40" i="16"/>
  <c r="AS40" i="16"/>
  <c r="AM40" i="16"/>
  <c r="AQ41" i="16"/>
  <c r="AQ39" i="16" s="1"/>
  <c r="AK41" i="16"/>
  <c r="AN41" i="16"/>
  <c r="AO41" i="16"/>
  <c r="DN641" i="2"/>
  <c r="AU21" i="16"/>
  <c r="AJ28" i="16"/>
  <c r="AU29" i="16"/>
  <c r="AU27" i="16" s="1"/>
  <c r="BX17" i="16"/>
  <c r="BX21" i="16" s="1"/>
  <c r="DG641" i="2"/>
  <c r="BW7" i="16"/>
  <c r="CG9" i="16"/>
  <c r="BX16" i="16"/>
  <c r="BX20" i="16" s="1"/>
  <c r="AR19" i="16"/>
  <c r="DJ641" i="2"/>
  <c r="AK15" i="16"/>
  <c r="AK19" i="16" s="1"/>
  <c r="AU19" i="16"/>
  <c r="AM3" i="16"/>
  <c r="AO21" i="16"/>
  <c r="BV4" i="16"/>
  <c r="AT28" i="16"/>
  <c r="BX28" i="16" s="1"/>
  <c r="AK28" i="16"/>
  <c r="BU16" i="16"/>
  <c r="BU20" i="16" s="1"/>
  <c r="BV7" i="16"/>
  <c r="BV16" i="16"/>
  <c r="BV20" i="16" s="1"/>
  <c r="AT15" i="16"/>
  <c r="AT19" i="16" s="1"/>
  <c r="DG626" i="2"/>
  <c r="AL21" i="16"/>
  <c r="AL29" i="16"/>
  <c r="AJ13" i="16"/>
  <c r="DG627" i="2"/>
  <c r="AJ24" i="16"/>
  <c r="AQ19" i="16"/>
  <c r="CG8" i="16"/>
  <c r="DF638" i="2"/>
  <c r="DF637" i="2" s="1"/>
  <c r="DF625" i="2"/>
  <c r="DO641" i="2"/>
  <c r="AJ41" i="16"/>
  <c r="AO20" i="16"/>
  <c r="AO15" i="16"/>
  <c r="AO19" i="16" s="1"/>
  <c r="AP15" i="16"/>
  <c r="BW16" i="16"/>
  <c r="BW20" i="16" s="1"/>
  <c r="AP20" i="16"/>
  <c r="AS19" i="16"/>
  <c r="AP28" i="16"/>
  <c r="BU17" i="16"/>
  <c r="AJ21" i="16"/>
  <c r="AK3" i="16"/>
  <c r="BU3" i="16" s="1"/>
  <c r="AO28" i="16"/>
  <c r="BV17" i="16"/>
  <c r="BV21" i="16" s="1"/>
  <c r="AM29" i="16"/>
  <c r="AM21" i="16"/>
  <c r="AQ3" i="16"/>
  <c r="BW3" i="16" s="1"/>
  <c r="AM15" i="16"/>
  <c r="DQ641" i="2"/>
  <c r="DQ653" i="2"/>
  <c r="AT3" i="16"/>
  <c r="BX7" i="16"/>
  <c r="DM641" i="2"/>
  <c r="DM653" i="2"/>
  <c r="AS41" i="16"/>
  <c r="DK641" i="2"/>
  <c r="DK653" i="2"/>
  <c r="DL641" i="2"/>
  <c r="DL653" i="2"/>
  <c r="AR29" i="16"/>
  <c r="AR27" i="16" s="1"/>
  <c r="AR21" i="16"/>
  <c r="DI653" i="2"/>
  <c r="DI641" i="2"/>
  <c r="AJ15" i="16"/>
  <c r="BW5" i="16"/>
  <c r="AN28" i="16"/>
  <c r="AN15" i="16"/>
  <c r="AN19" i="16" s="1"/>
  <c r="AN20" i="16"/>
  <c r="BX4" i="16"/>
  <c r="DP641" i="2"/>
  <c r="AU3" i="16"/>
  <c r="BW17" i="16"/>
  <c r="BW21" i="16" s="1"/>
  <c r="AT29" i="16"/>
  <c r="AT21" i="16"/>
  <c r="BV5" i="16"/>
  <c r="AO3" i="16"/>
  <c r="AL15" i="16"/>
  <c r="AL19" i="16" s="1"/>
  <c r="AL20" i="16"/>
  <c r="AL28" i="16"/>
  <c r="BU4" i="16"/>
  <c r="AS27" i="16" l="1"/>
  <c r="AM27" i="16"/>
  <c r="AP41" i="16"/>
  <c r="BV28" i="16"/>
  <c r="AK27" i="16"/>
  <c r="AK40" i="16"/>
  <c r="AT27" i="16"/>
  <c r="AT40" i="16"/>
  <c r="BW28" i="16"/>
  <c r="AP40" i="16"/>
  <c r="AP27" i="16"/>
  <c r="AJ27" i="16"/>
  <c r="BU28" i="16"/>
  <c r="AJ40" i="16"/>
  <c r="AJ39" i="16" s="1"/>
  <c r="AL40" i="16"/>
  <c r="AL27" i="16"/>
  <c r="AO27" i="16"/>
  <c r="AO40" i="16"/>
  <c r="AN40" i="16"/>
  <c r="AN27" i="16"/>
  <c r="AO39" i="16"/>
  <c r="AN39" i="16"/>
  <c r="AT41" i="16"/>
  <c r="BW29" i="16"/>
  <c r="AL41" i="16"/>
  <c r="BU41" i="16" s="1"/>
  <c r="AU41" i="16"/>
  <c r="AU39" i="16" s="1"/>
  <c r="CG7" i="16"/>
  <c r="BV3" i="16"/>
  <c r="DG625" i="2"/>
  <c r="DG638" i="2"/>
  <c r="DH626" i="2"/>
  <c r="AK12" i="16"/>
  <c r="AK24" i="16" s="1"/>
  <c r="CG4" i="16"/>
  <c r="BX15" i="16"/>
  <c r="BX19" i="16" s="1"/>
  <c r="BX29" i="16"/>
  <c r="CG5" i="16"/>
  <c r="BU29" i="16"/>
  <c r="DH627" i="2"/>
  <c r="DG639" i="2"/>
  <c r="DG637" i="2" s="1"/>
  <c r="AK13" i="16"/>
  <c r="AK25" i="16" s="1"/>
  <c r="AJ25" i="16"/>
  <c r="AJ11" i="16"/>
  <c r="BX3" i="16"/>
  <c r="AP19" i="16"/>
  <c r="BW15" i="16"/>
  <c r="BW19" i="16" s="1"/>
  <c r="BV29" i="16"/>
  <c r="AM41" i="16"/>
  <c r="BV41" i="16" s="1"/>
  <c r="AS39" i="16"/>
  <c r="AR41" i="16"/>
  <c r="AJ19" i="16"/>
  <c r="BU15" i="16"/>
  <c r="CG17" i="16"/>
  <c r="CG21" i="16" s="1"/>
  <c r="BU21" i="16"/>
  <c r="CG16" i="16"/>
  <c r="CG20" i="16" s="1"/>
  <c r="DF647" i="2"/>
  <c r="DF646" i="2"/>
  <c r="BV15" i="16"/>
  <c r="BV19" i="16" s="1"/>
  <c r="AM19" i="16"/>
  <c r="BX40" i="16" l="1"/>
  <c r="AK39" i="16"/>
  <c r="CG3" i="16"/>
  <c r="BX27" i="16"/>
  <c r="CG28" i="16"/>
  <c r="AL39" i="16"/>
  <c r="AT39" i="16"/>
  <c r="BX41" i="16"/>
  <c r="DH625" i="2"/>
  <c r="DI626" i="2"/>
  <c r="DH638" i="2"/>
  <c r="AK23" i="16"/>
  <c r="BW27" i="16"/>
  <c r="AL12" i="16"/>
  <c r="BU12" i="16" s="1"/>
  <c r="CG29" i="16"/>
  <c r="BU27" i="16"/>
  <c r="BU40" i="16"/>
  <c r="AK11" i="16"/>
  <c r="AM39" i="16"/>
  <c r="BV39" i="16" s="1"/>
  <c r="AJ23" i="16"/>
  <c r="DH639" i="2"/>
  <c r="AL13" i="16"/>
  <c r="DI627" i="2"/>
  <c r="AP39" i="16"/>
  <c r="BW40" i="16"/>
  <c r="BV40" i="16"/>
  <c r="AR39" i="16"/>
  <c r="BW41" i="16"/>
  <c r="BV27" i="16"/>
  <c r="DG647" i="2"/>
  <c r="AJ33" i="16"/>
  <c r="DF651" i="2"/>
  <c r="AM12" i="16"/>
  <c r="DI638" i="2"/>
  <c r="AJ32" i="16"/>
  <c r="DG646" i="2"/>
  <c r="DF645" i="2"/>
  <c r="DF650" i="2"/>
  <c r="CG15" i="16"/>
  <c r="CG19" i="16" s="1"/>
  <c r="BU19" i="16"/>
  <c r="DI625" i="2" l="1"/>
  <c r="DJ626" i="2"/>
  <c r="BX39" i="16"/>
  <c r="BU39" i="16"/>
  <c r="CG41" i="16"/>
  <c r="DH637" i="2"/>
  <c r="CG27" i="16"/>
  <c r="AL11" i="16"/>
  <c r="BU11" i="16" s="1"/>
  <c r="CG40" i="16"/>
  <c r="AL24" i="16"/>
  <c r="BU24" i="16" s="1"/>
  <c r="AL25" i="16"/>
  <c r="BU25" i="16" s="1"/>
  <c r="BU13" i="16"/>
  <c r="DI639" i="2"/>
  <c r="DI637" i="2" s="1"/>
  <c r="AM13" i="16"/>
  <c r="AM11" i="16" s="1"/>
  <c r="DJ627" i="2"/>
  <c r="AK32" i="16"/>
  <c r="DG645" i="2"/>
  <c r="DG650" i="2"/>
  <c r="AJ31" i="16"/>
  <c r="AJ36" i="16"/>
  <c r="AK33" i="16"/>
  <c r="AK37" i="16" s="1"/>
  <c r="DG651" i="2"/>
  <c r="AM24" i="16"/>
  <c r="DF658" i="2"/>
  <c r="AJ45" i="16" s="1"/>
  <c r="BW39" i="16"/>
  <c r="DF657" i="2"/>
  <c r="DF668" i="2" s="1"/>
  <c r="DF649" i="2"/>
  <c r="AJ37" i="16"/>
  <c r="AN12" i="16" l="1"/>
  <c r="DK626" i="2"/>
  <c r="DJ638" i="2"/>
  <c r="DH647" i="2"/>
  <c r="DH646" i="2"/>
  <c r="CG39" i="16"/>
  <c r="AL23" i="16"/>
  <c r="BU23" i="16" s="1"/>
  <c r="DJ639" i="2"/>
  <c r="AN13" i="16"/>
  <c r="AN25" i="16" s="1"/>
  <c r="DK627" i="2"/>
  <c r="AM25" i="16"/>
  <c r="DJ625" i="2"/>
  <c r="DF669" i="2"/>
  <c r="DF673" i="2" s="1"/>
  <c r="DG658" i="2"/>
  <c r="AK45" i="16" s="1"/>
  <c r="AK52" i="16" s="1"/>
  <c r="AK56" i="16" s="1"/>
  <c r="AJ52" i="16"/>
  <c r="DF672" i="2"/>
  <c r="AJ35" i="16"/>
  <c r="DG657" i="2"/>
  <c r="DG668" i="2" s="1"/>
  <c r="DG649" i="2"/>
  <c r="AJ44" i="16"/>
  <c r="DF656" i="2"/>
  <c r="AK31" i="16"/>
  <c r="AK36" i="16"/>
  <c r="AO12" i="16" l="1"/>
  <c r="BV12" i="16" s="1"/>
  <c r="DK638" i="2"/>
  <c r="DJ637" i="2"/>
  <c r="DL626" i="2"/>
  <c r="DK625" i="2"/>
  <c r="AN24" i="16"/>
  <c r="DI647" i="2"/>
  <c r="AL33" i="16"/>
  <c r="AL37" i="16" s="1"/>
  <c r="BU37" i="16" s="1"/>
  <c r="DH651" i="2"/>
  <c r="DH645" i="2"/>
  <c r="DI646" i="2"/>
  <c r="DH650" i="2"/>
  <c r="AL32" i="16"/>
  <c r="BU32" i="16" s="1"/>
  <c r="AM23" i="16"/>
  <c r="DF667" i="2"/>
  <c r="DF671" i="2" s="1"/>
  <c r="AN11" i="16"/>
  <c r="AO13" i="16"/>
  <c r="DK639" i="2"/>
  <c r="DK637" i="2" s="1"/>
  <c r="DL627" i="2"/>
  <c r="DL625" i="2" s="1"/>
  <c r="DG672" i="2"/>
  <c r="DF661" i="2"/>
  <c r="DF660" i="2"/>
  <c r="DG656" i="2"/>
  <c r="AK44" i="16"/>
  <c r="AK43" i="16" s="1"/>
  <c r="AP12" i="16"/>
  <c r="DM626" i="2"/>
  <c r="DL638" i="2"/>
  <c r="AJ43" i="16"/>
  <c r="AJ56" i="16"/>
  <c r="AO24" i="16"/>
  <c r="BV24" i="16" s="1"/>
  <c r="AK35" i="16"/>
  <c r="AN23" i="16"/>
  <c r="AJ51" i="16"/>
  <c r="DG669" i="2"/>
  <c r="DG673" i="2" s="1"/>
  <c r="DI651" i="2" l="1"/>
  <c r="DH658" i="2"/>
  <c r="AL45" i="16" s="1"/>
  <c r="AL52" i="16" s="1"/>
  <c r="AL56" i="16" s="1"/>
  <c r="BU33" i="16"/>
  <c r="AM33" i="16"/>
  <c r="DJ647" i="2"/>
  <c r="DH657" i="2"/>
  <c r="DH649" i="2"/>
  <c r="AM32" i="16"/>
  <c r="DJ646" i="2"/>
  <c r="DI645" i="2"/>
  <c r="DI650" i="2"/>
  <c r="AL31" i="16"/>
  <c r="BU31" i="16" s="1"/>
  <c r="AL36" i="16"/>
  <c r="BU36" i="16" s="1"/>
  <c r="AO25" i="16"/>
  <c r="BV25" i="16" s="1"/>
  <c r="BV13" i="16"/>
  <c r="AO11" i="16"/>
  <c r="BV11" i="16" s="1"/>
  <c r="DM627" i="2"/>
  <c r="DM625" i="2" s="1"/>
  <c r="AP13" i="16"/>
  <c r="AP11" i="16" s="1"/>
  <c r="DL639" i="2"/>
  <c r="DL637" i="2" s="1"/>
  <c r="DG667" i="2"/>
  <c r="DG671" i="2" s="1"/>
  <c r="AJ55" i="16"/>
  <c r="AJ50" i="16"/>
  <c r="AJ47" i="16"/>
  <c r="DG660" i="2"/>
  <c r="AJ48" i="16"/>
  <c r="DG661" i="2"/>
  <c r="AK51" i="16"/>
  <c r="AQ12" i="16"/>
  <c r="DN626" i="2"/>
  <c r="DM638" i="2"/>
  <c r="AP24" i="16"/>
  <c r="BU45" i="16" l="1"/>
  <c r="BU52" i="16"/>
  <c r="BU56" i="16" s="1"/>
  <c r="DH669" i="2"/>
  <c r="DH673" i="2" s="1"/>
  <c r="DI658" i="2"/>
  <c r="AM45" i="16" s="1"/>
  <c r="AM37" i="16"/>
  <c r="DK647" i="2"/>
  <c r="AN33" i="16"/>
  <c r="AN37" i="16" s="1"/>
  <c r="DJ651" i="2"/>
  <c r="AM36" i="16"/>
  <c r="DH656" i="2"/>
  <c r="DI657" i="2"/>
  <c r="DK646" i="2"/>
  <c r="DJ645" i="2"/>
  <c r="AM31" i="16"/>
  <c r="AL44" i="16"/>
  <c r="AL43" i="16" s="1"/>
  <c r="BU43" i="16" s="1"/>
  <c r="DI649" i="2"/>
  <c r="DH668" i="2"/>
  <c r="AN32" i="16"/>
  <c r="DJ650" i="2"/>
  <c r="AL35" i="16"/>
  <c r="BU35" i="16" s="1"/>
  <c r="AO23" i="16"/>
  <c r="BV23" i="16" s="1"/>
  <c r="AP25" i="16"/>
  <c r="AP23" i="16" s="1"/>
  <c r="DN627" i="2"/>
  <c r="DM639" i="2"/>
  <c r="DM637" i="2" s="1"/>
  <c r="AQ13" i="16"/>
  <c r="AQ25" i="16" s="1"/>
  <c r="AQ11" i="16"/>
  <c r="AQ24" i="16"/>
  <c r="AK47" i="16"/>
  <c r="AK55" i="16"/>
  <c r="AK50" i="16"/>
  <c r="AK54" i="16" s="1"/>
  <c r="AR12" i="16"/>
  <c r="BW12" i="16" s="1"/>
  <c r="DO626" i="2"/>
  <c r="DN638" i="2"/>
  <c r="AJ54" i="16"/>
  <c r="AK48" i="16"/>
  <c r="DI669" i="2" l="1"/>
  <c r="DI673" i="2" s="1"/>
  <c r="DL647" i="2"/>
  <c r="AO33" i="16"/>
  <c r="AO37" i="16" s="1"/>
  <c r="BV37" i="16" s="1"/>
  <c r="DK651" i="2"/>
  <c r="AM52" i="16"/>
  <c r="DJ658" i="2"/>
  <c r="AN45" i="16" s="1"/>
  <c r="AN52" i="16" s="1"/>
  <c r="AN56" i="16" s="1"/>
  <c r="BU44" i="16"/>
  <c r="AM35" i="16"/>
  <c r="AN31" i="16"/>
  <c r="AN36" i="16"/>
  <c r="AO32" i="16"/>
  <c r="BV32" i="16" s="1"/>
  <c r="DK650" i="2"/>
  <c r="DH672" i="2"/>
  <c r="DI656" i="2"/>
  <c r="AM44" i="16"/>
  <c r="AL51" i="16"/>
  <c r="AL55" i="16" s="1"/>
  <c r="DH660" i="2"/>
  <c r="DJ657" i="2"/>
  <c r="DJ649" i="2"/>
  <c r="DL646" i="2"/>
  <c r="DK645" i="2"/>
  <c r="DH667" i="2"/>
  <c r="DH671" i="2" s="1"/>
  <c r="DH661" i="2"/>
  <c r="DI668" i="2"/>
  <c r="DN639" i="2"/>
  <c r="DN637" i="2" s="1"/>
  <c r="DO627" i="2"/>
  <c r="DO625" i="2" s="1"/>
  <c r="AR13" i="16"/>
  <c r="AR25" i="16" s="1"/>
  <c r="BW25" i="16" s="1"/>
  <c r="DN625" i="2"/>
  <c r="DP626" i="2"/>
  <c r="AS12" i="16"/>
  <c r="DO638" i="2"/>
  <c r="AR24" i="16"/>
  <c r="BW24" i="16" s="1"/>
  <c r="AQ23" i="16"/>
  <c r="AL50" i="16" l="1"/>
  <c r="AL54" i="16" s="1"/>
  <c r="AM56" i="16"/>
  <c r="BV33" i="16"/>
  <c r="DJ669" i="2"/>
  <c r="DJ673" i="2" s="1"/>
  <c r="DK658" i="2"/>
  <c r="AO45" i="16" s="1"/>
  <c r="AP33" i="16"/>
  <c r="DM647" i="2"/>
  <c r="DL651" i="2"/>
  <c r="BU51" i="16"/>
  <c r="BU55" i="16" s="1"/>
  <c r="DJ656" i="2"/>
  <c r="AN44" i="16"/>
  <c r="AN43" i="16" s="1"/>
  <c r="AM43" i="16"/>
  <c r="AM51" i="16"/>
  <c r="DI660" i="2"/>
  <c r="DI661" i="2"/>
  <c r="AL48" i="16"/>
  <c r="BU48" i="16" s="1"/>
  <c r="DM646" i="2"/>
  <c r="DL650" i="2"/>
  <c r="DI672" i="2"/>
  <c r="AO31" i="16"/>
  <c r="BV31" i="16" s="1"/>
  <c r="DJ668" i="2"/>
  <c r="AN35" i="16"/>
  <c r="AL47" i="16"/>
  <c r="BU47" i="16" s="1"/>
  <c r="DK649" i="2"/>
  <c r="DK657" i="2"/>
  <c r="AP32" i="16"/>
  <c r="DL645" i="2"/>
  <c r="DI667" i="2"/>
  <c r="DI671" i="2" s="1"/>
  <c r="AO36" i="16"/>
  <c r="BV36" i="16" s="1"/>
  <c r="AR11" i="16"/>
  <c r="BW11" i="16" s="1"/>
  <c r="BW13" i="16"/>
  <c r="DO639" i="2"/>
  <c r="DO637" i="2" s="1"/>
  <c r="AS13" i="16"/>
  <c r="AS11" i="16" s="1"/>
  <c r="DP627" i="2"/>
  <c r="DP625" i="2" s="1"/>
  <c r="AS24" i="16"/>
  <c r="AR23" i="16"/>
  <c r="BW23" i="16" s="1"/>
  <c r="DQ626" i="2"/>
  <c r="DR626" i="2" s="1"/>
  <c r="AV12" i="16" s="1"/>
  <c r="AT12" i="16"/>
  <c r="DP638" i="2"/>
  <c r="BU50" i="16" l="1"/>
  <c r="BU54" i="16" s="1"/>
  <c r="DL658" i="2"/>
  <c r="AP45" i="16" s="1"/>
  <c r="DN647" i="2"/>
  <c r="AP37" i="16"/>
  <c r="DK669" i="2"/>
  <c r="DK673" i="2" s="1"/>
  <c r="AO52" i="16"/>
  <c r="BV45" i="16"/>
  <c r="AQ33" i="16"/>
  <c r="AQ37" i="16" s="1"/>
  <c r="DM651" i="2"/>
  <c r="AO35" i="16"/>
  <c r="AN51" i="16"/>
  <c r="AN55" i="16" s="1"/>
  <c r="DJ661" i="2"/>
  <c r="DJ660" i="2"/>
  <c r="AM47" i="16"/>
  <c r="DJ672" i="2"/>
  <c r="DM645" i="2"/>
  <c r="DJ667" i="2"/>
  <c r="DJ671" i="2" s="1"/>
  <c r="AM48" i="16"/>
  <c r="AQ32" i="16"/>
  <c r="DN646" i="2"/>
  <c r="DM650" i="2"/>
  <c r="AP31" i="16"/>
  <c r="AP36" i="16"/>
  <c r="AM55" i="16"/>
  <c r="AM50" i="16"/>
  <c r="AO44" i="16"/>
  <c r="DK656" i="2"/>
  <c r="DL649" i="2"/>
  <c r="DL657" i="2"/>
  <c r="DK668" i="2"/>
  <c r="AV24" i="16"/>
  <c r="DS626" i="2"/>
  <c r="AW12" i="16" s="1"/>
  <c r="DR638" i="2"/>
  <c r="AT13" i="16"/>
  <c r="AT25" i="16" s="1"/>
  <c r="DQ627" i="2"/>
  <c r="DP639" i="2"/>
  <c r="DP637" i="2" s="1"/>
  <c r="AS25" i="16"/>
  <c r="AS23" i="16" s="1"/>
  <c r="AT24" i="16"/>
  <c r="AU12" i="16"/>
  <c r="BX12" i="16" s="1"/>
  <c r="CG12" i="16" s="1"/>
  <c r="DQ638" i="2"/>
  <c r="BV35" i="16" l="1"/>
  <c r="DN651" i="2"/>
  <c r="DO647" i="2"/>
  <c r="AO56" i="16"/>
  <c r="BV52" i="16"/>
  <c r="DL669" i="2"/>
  <c r="DL673" i="2" s="1"/>
  <c r="AP52" i="16"/>
  <c r="DM658" i="2"/>
  <c r="AQ45" i="16" s="1"/>
  <c r="AQ52" i="16" s="1"/>
  <c r="AQ56" i="16" s="1"/>
  <c r="AR33" i="16"/>
  <c r="AR37" i="16" s="1"/>
  <c r="BW37" i="16" s="1"/>
  <c r="AQ31" i="16"/>
  <c r="AQ36" i="16"/>
  <c r="AN47" i="16"/>
  <c r="AN48" i="16"/>
  <c r="AO51" i="16"/>
  <c r="BV51" i="16" s="1"/>
  <c r="DK667" i="2"/>
  <c r="DK671" i="2" s="1"/>
  <c r="DL656" i="2"/>
  <c r="DN650" i="2"/>
  <c r="AN50" i="16"/>
  <c r="AN54" i="16" s="1"/>
  <c r="AO43" i="16"/>
  <c r="BV43" i="16" s="1"/>
  <c r="BV44" i="16"/>
  <c r="DK672" i="2"/>
  <c r="AP35" i="16"/>
  <c r="AR32" i="16"/>
  <c r="BW32" i="16" s="1"/>
  <c r="AM54" i="16"/>
  <c r="AP44" i="16"/>
  <c r="AP51" i="16" s="1"/>
  <c r="DM657" i="2"/>
  <c r="DM649" i="2"/>
  <c r="DK660" i="2"/>
  <c r="DL668" i="2"/>
  <c r="DN645" i="2"/>
  <c r="DO646" i="2"/>
  <c r="DK661" i="2"/>
  <c r="AW24" i="16"/>
  <c r="DQ625" i="2"/>
  <c r="DR627" i="2"/>
  <c r="AV13" i="16" s="1"/>
  <c r="DT626" i="2"/>
  <c r="AX12" i="16" s="1"/>
  <c r="BY12" i="16" s="1"/>
  <c r="DS638" i="2"/>
  <c r="AT11" i="16"/>
  <c r="AU13" i="16"/>
  <c r="AU11" i="16" s="1"/>
  <c r="DQ639" i="2"/>
  <c r="DQ637" i="2" s="1"/>
  <c r="AU24" i="16"/>
  <c r="BX24" i="16" s="1"/>
  <c r="CG24" i="16" s="1"/>
  <c r="AT23" i="16"/>
  <c r="DP647" i="2" l="1"/>
  <c r="DM669" i="2"/>
  <c r="DM673" i="2" s="1"/>
  <c r="DN658" i="2"/>
  <c r="AR45" i="16" s="1"/>
  <c r="AS33" i="16"/>
  <c r="DO651" i="2"/>
  <c r="AP56" i="16"/>
  <c r="BW33" i="16"/>
  <c r="BV56" i="16"/>
  <c r="AQ35" i="16"/>
  <c r="AO50" i="16"/>
  <c r="AO54" i="16" s="1"/>
  <c r="AO55" i="16"/>
  <c r="DL667" i="2"/>
  <c r="DL671" i="2" s="1"/>
  <c r="AP55" i="16"/>
  <c r="DL661" i="2"/>
  <c r="DM656" i="2"/>
  <c r="DN649" i="2"/>
  <c r="DM668" i="2"/>
  <c r="AS32" i="16"/>
  <c r="DO650" i="2"/>
  <c r="AR36" i="16"/>
  <c r="BW36" i="16" s="1"/>
  <c r="BV55" i="16"/>
  <c r="AO47" i="16"/>
  <c r="BV47" i="16" s="1"/>
  <c r="DL672" i="2"/>
  <c r="AO48" i="16"/>
  <c r="BV48" i="16" s="1"/>
  <c r="AQ44" i="16"/>
  <c r="AQ43" i="16" s="1"/>
  <c r="DN657" i="2"/>
  <c r="DP646" i="2"/>
  <c r="AP43" i="16"/>
  <c r="DL660" i="2"/>
  <c r="AP50" i="16"/>
  <c r="DO645" i="2"/>
  <c r="AR31" i="16"/>
  <c r="BW31" i="16" s="1"/>
  <c r="AX24" i="16"/>
  <c r="BY24" i="16" s="1"/>
  <c r="AV25" i="16"/>
  <c r="AV11" i="16"/>
  <c r="DU626" i="2"/>
  <c r="AY12" i="16" s="1"/>
  <c r="DT638" i="2"/>
  <c r="DS627" i="2"/>
  <c r="AW13" i="16" s="1"/>
  <c r="DR639" i="2"/>
  <c r="DR625" i="2"/>
  <c r="AU25" i="16"/>
  <c r="BX25" i="16" s="1"/>
  <c r="CG25" i="16" s="1"/>
  <c r="BX13" i="16"/>
  <c r="CG13" i="16" s="1"/>
  <c r="BX11" i="16"/>
  <c r="CG11" i="16" s="1"/>
  <c r="AR52" i="16" l="1"/>
  <c r="BW45" i="16"/>
  <c r="DQ647" i="2"/>
  <c r="AT33" i="16"/>
  <c r="AT37" i="16" s="1"/>
  <c r="DP651" i="2"/>
  <c r="DN669" i="2"/>
  <c r="DN673" i="2" s="1"/>
  <c r="DO658" i="2"/>
  <c r="AS45" i="16" s="1"/>
  <c r="AS37" i="16"/>
  <c r="BV50" i="16"/>
  <c r="BV54" i="16" s="1"/>
  <c r="AQ51" i="16"/>
  <c r="AQ55" i="16" s="1"/>
  <c r="DO657" i="2"/>
  <c r="AS31" i="16"/>
  <c r="AS36" i="16"/>
  <c r="AT32" i="16"/>
  <c r="DP650" i="2"/>
  <c r="DM661" i="2"/>
  <c r="AP48" i="16"/>
  <c r="AP54" i="16"/>
  <c r="DM672" i="2"/>
  <c r="AR44" i="16"/>
  <c r="AR43" i="16" s="1"/>
  <c r="BW43" i="16" s="1"/>
  <c r="AR35" i="16"/>
  <c r="BW35" i="16" s="1"/>
  <c r="AP47" i="16"/>
  <c r="DO649" i="2"/>
  <c r="DQ646" i="2"/>
  <c r="DP645" i="2"/>
  <c r="DM660" i="2"/>
  <c r="DN656" i="2"/>
  <c r="DN668" i="2"/>
  <c r="DM667" i="2"/>
  <c r="DM671" i="2" s="1"/>
  <c r="AU23" i="16"/>
  <c r="BX23" i="16" s="1"/>
  <c r="CG23" i="16" s="1"/>
  <c r="AW25" i="16"/>
  <c r="AW11" i="16"/>
  <c r="AY24" i="16"/>
  <c r="AV23" i="16"/>
  <c r="DR637" i="2"/>
  <c r="DT627" i="2"/>
  <c r="AX13" i="16" s="1"/>
  <c r="BY13" i="16" s="1"/>
  <c r="DS639" i="2"/>
  <c r="DS625" i="2"/>
  <c r="DV626" i="2"/>
  <c r="AZ12" i="16" s="1"/>
  <c r="DU638" i="2"/>
  <c r="DR647" i="2" l="1"/>
  <c r="AV33" i="16" s="1"/>
  <c r="AR56" i="16"/>
  <c r="BW52" i="16"/>
  <c r="DO669" i="2"/>
  <c r="DO673" i="2" s="1"/>
  <c r="AS52" i="16"/>
  <c r="DP658" i="2"/>
  <c r="AT45" i="16" s="1"/>
  <c r="AT52" i="16" s="1"/>
  <c r="AT56" i="16" s="1"/>
  <c r="AU33" i="16"/>
  <c r="DQ651" i="2"/>
  <c r="DQ650" i="2"/>
  <c r="AQ48" i="16"/>
  <c r="AQ50" i="16"/>
  <c r="AQ54" i="16" s="1"/>
  <c r="AS44" i="16"/>
  <c r="AS51" i="16" s="1"/>
  <c r="DN661" i="2"/>
  <c r="DP657" i="2"/>
  <c r="DP668" i="2" s="1"/>
  <c r="AU32" i="16"/>
  <c r="BX32" i="16" s="1"/>
  <c r="CG32" i="16" s="1"/>
  <c r="DO668" i="2"/>
  <c r="DP649" i="2"/>
  <c r="AS35" i="16"/>
  <c r="AT31" i="16"/>
  <c r="AT36" i="16"/>
  <c r="DO656" i="2"/>
  <c r="BW44" i="16"/>
  <c r="DN672" i="2"/>
  <c r="AR51" i="16"/>
  <c r="BW51" i="16" s="1"/>
  <c r="AQ47" i="16"/>
  <c r="DQ645" i="2"/>
  <c r="DN667" i="2"/>
  <c r="DN671" i="2" s="1"/>
  <c r="DN660" i="2"/>
  <c r="AV37" i="16"/>
  <c r="DR646" i="2"/>
  <c r="AV32" i="16" s="1"/>
  <c r="AZ24" i="16"/>
  <c r="AX25" i="16"/>
  <c r="BY25" i="16" s="1"/>
  <c r="AX11" i="16"/>
  <c r="BY11" i="16" s="1"/>
  <c r="AW23" i="16"/>
  <c r="DW626" i="2"/>
  <c r="BA12" i="16" s="1"/>
  <c r="DV638" i="2"/>
  <c r="DS637" i="2"/>
  <c r="DU627" i="2"/>
  <c r="AY13" i="16" s="1"/>
  <c r="DT639" i="2"/>
  <c r="DT625" i="2"/>
  <c r="DS647" i="2" l="1"/>
  <c r="AW33" i="16" s="1"/>
  <c r="AW37" i="16" s="1"/>
  <c r="DR651" i="2"/>
  <c r="AU37" i="16"/>
  <c r="BX37" i="16" s="1"/>
  <c r="CG37" i="16" s="1"/>
  <c r="BX33" i="16"/>
  <c r="CG33" i="16" s="1"/>
  <c r="BW56" i="16"/>
  <c r="DP669" i="2"/>
  <c r="DP673" i="2" s="1"/>
  <c r="AS56" i="16"/>
  <c r="DQ658" i="2"/>
  <c r="AU45" i="16" s="1"/>
  <c r="BX45" i="16" s="1"/>
  <c r="CG45" i="16" s="1"/>
  <c r="AR55" i="16"/>
  <c r="AT35" i="16"/>
  <c r="DQ657" i="2"/>
  <c r="DQ668" i="2" s="1"/>
  <c r="AR47" i="16"/>
  <c r="BW47" i="16" s="1"/>
  <c r="AR50" i="16"/>
  <c r="AR54" i="16" s="1"/>
  <c r="BW55" i="16"/>
  <c r="AR48" i="16"/>
  <c r="BW48" i="16" s="1"/>
  <c r="DQ649" i="2"/>
  <c r="DO661" i="2"/>
  <c r="AU31" i="16"/>
  <c r="BX31" i="16" s="1"/>
  <c r="CG31" i="16" s="1"/>
  <c r="AU36" i="16"/>
  <c r="BX36" i="16" s="1"/>
  <c r="CG36" i="16" s="1"/>
  <c r="DO667" i="2"/>
  <c r="DO671" i="2" s="1"/>
  <c r="DO672" i="2"/>
  <c r="AS50" i="16"/>
  <c r="AS55" i="16"/>
  <c r="DP672" i="2"/>
  <c r="AS43" i="16"/>
  <c r="DP656" i="2"/>
  <c r="AT44" i="16"/>
  <c r="AT43" i="16" s="1"/>
  <c r="DO660" i="2"/>
  <c r="DR645" i="2"/>
  <c r="DR650" i="2"/>
  <c r="BA24" i="16"/>
  <c r="BZ24" i="16" s="1"/>
  <c r="BZ12" i="16"/>
  <c r="AY25" i="16"/>
  <c r="AY11" i="16"/>
  <c r="AX23" i="16"/>
  <c r="BY23" i="16" s="1"/>
  <c r="AV31" i="16"/>
  <c r="AV36" i="16"/>
  <c r="DS646" i="2"/>
  <c r="AW32" i="16" s="1"/>
  <c r="DV627" i="2"/>
  <c r="AZ13" i="16" s="1"/>
  <c r="DU639" i="2"/>
  <c r="DU625" i="2"/>
  <c r="DT637" i="2"/>
  <c r="DX626" i="2"/>
  <c r="BB12" i="16" s="1"/>
  <c r="DW638" i="2"/>
  <c r="DS651" i="2" l="1"/>
  <c r="DR658" i="2"/>
  <c r="AV45" i="16" s="1"/>
  <c r="AU52" i="16"/>
  <c r="AU56" i="16" s="1"/>
  <c r="DP667" i="2"/>
  <c r="DP671" i="2" s="1"/>
  <c r="DQ669" i="2"/>
  <c r="DQ673" i="2" s="1"/>
  <c r="DS650" i="2"/>
  <c r="DT646" i="2"/>
  <c r="AX32" i="16" s="1"/>
  <c r="BW50" i="16"/>
  <c r="BW54" i="16" s="1"/>
  <c r="DR657" i="2"/>
  <c r="DR649" i="2"/>
  <c r="AS54" i="16"/>
  <c r="AU35" i="16"/>
  <c r="BX35" i="16" s="1"/>
  <c r="CG35" i="16" s="1"/>
  <c r="DQ672" i="2"/>
  <c r="DQ656" i="2"/>
  <c r="AU44" i="16"/>
  <c r="AS48" i="16"/>
  <c r="DP661" i="2"/>
  <c r="AS47" i="16"/>
  <c r="DP660" i="2"/>
  <c r="AT51" i="16"/>
  <c r="AV52" i="16"/>
  <c r="DT647" i="2"/>
  <c r="AX33" i="16" s="1"/>
  <c r="AW31" i="16"/>
  <c r="AW36" i="16"/>
  <c r="AV35" i="16"/>
  <c r="DS645" i="2"/>
  <c r="BB24" i="16"/>
  <c r="AZ25" i="16"/>
  <c r="AZ11" i="16"/>
  <c r="AY23" i="16"/>
  <c r="DY626" i="2"/>
  <c r="BC12" i="16" s="1"/>
  <c r="DX638" i="2"/>
  <c r="DU637" i="2"/>
  <c r="DW627" i="2"/>
  <c r="BA13" i="16" s="1"/>
  <c r="BZ13" i="16" s="1"/>
  <c r="DV639" i="2"/>
  <c r="DV625" i="2"/>
  <c r="DS658" i="2" l="1"/>
  <c r="DR669" i="2"/>
  <c r="DR673" i="2" s="1"/>
  <c r="DQ667" i="2"/>
  <c r="DQ671" i="2" s="1"/>
  <c r="BX52" i="16"/>
  <c r="DT651" i="2"/>
  <c r="BY32" i="16"/>
  <c r="AX36" i="16"/>
  <c r="DT650" i="2"/>
  <c r="DU646" i="2"/>
  <c r="AY32" i="16" s="1"/>
  <c r="DR656" i="2"/>
  <c r="DS657" i="2"/>
  <c r="DS649" i="2"/>
  <c r="DR668" i="2"/>
  <c r="DR672" i="2" s="1"/>
  <c r="AV44" i="16"/>
  <c r="AU43" i="16"/>
  <c r="BX43" i="16" s="1"/>
  <c r="CG43" i="16" s="1"/>
  <c r="BX44" i="16"/>
  <c r="CG44" i="16" s="1"/>
  <c r="AT47" i="16"/>
  <c r="DQ660" i="2"/>
  <c r="AT48" i="16"/>
  <c r="DQ661" i="2"/>
  <c r="AU51" i="16"/>
  <c r="BX51" i="16" s="1"/>
  <c r="AT50" i="16"/>
  <c r="AT55" i="16"/>
  <c r="DT645" i="2"/>
  <c r="AX31" i="16"/>
  <c r="AV56" i="16"/>
  <c r="BX56" i="16"/>
  <c r="CG52" i="16"/>
  <c r="CG56" i="16" s="1"/>
  <c r="AX37" i="16"/>
  <c r="BY37" i="16" s="1"/>
  <c r="BY33" i="16"/>
  <c r="AW35" i="16"/>
  <c r="BC24" i="16"/>
  <c r="BA11" i="16"/>
  <c r="BZ11" i="16" s="1"/>
  <c r="BA25" i="16"/>
  <c r="BZ25" i="16" s="1"/>
  <c r="AZ23" i="16"/>
  <c r="DV637" i="2"/>
  <c r="DU647" i="2"/>
  <c r="AY33" i="16" s="1"/>
  <c r="DX627" i="2"/>
  <c r="BB13" i="16" s="1"/>
  <c r="DW639" i="2"/>
  <c r="DW625" i="2"/>
  <c r="DZ626" i="2"/>
  <c r="BD12" i="16" s="1"/>
  <c r="CA12" i="16" s="1"/>
  <c r="DY638" i="2"/>
  <c r="AW45" i="16" l="1"/>
  <c r="DS669" i="2"/>
  <c r="DS673" i="2" s="1"/>
  <c r="DT658" i="2"/>
  <c r="BY36" i="16"/>
  <c r="AV43" i="16"/>
  <c r="DS656" i="2"/>
  <c r="AY36" i="16"/>
  <c r="DS668" i="2"/>
  <c r="DU650" i="2"/>
  <c r="DV646" i="2"/>
  <c r="AZ32" i="16" s="1"/>
  <c r="DT657" i="2"/>
  <c r="AX44" i="16" s="1"/>
  <c r="AW44" i="16"/>
  <c r="AW51" i="16" s="1"/>
  <c r="DT649" i="2"/>
  <c r="DS672" i="2"/>
  <c r="AU48" i="16"/>
  <c r="BX48" i="16" s="1"/>
  <c r="CG48" i="16" s="1"/>
  <c r="AT54" i="16"/>
  <c r="AV51" i="16"/>
  <c r="DR667" i="2"/>
  <c r="DR671" i="2" s="1"/>
  <c r="DR661" i="2"/>
  <c r="AU55" i="16"/>
  <c r="AU47" i="16"/>
  <c r="BX47" i="16" s="1"/>
  <c r="CG47" i="16" s="1"/>
  <c r="BX55" i="16"/>
  <c r="AU50" i="16"/>
  <c r="AU54" i="16" s="1"/>
  <c r="DR660" i="2"/>
  <c r="CG51" i="16"/>
  <c r="CG55" i="16" s="1"/>
  <c r="BY31" i="16"/>
  <c r="AX35" i="16"/>
  <c r="BY35" i="16" s="1"/>
  <c r="AW52" i="16"/>
  <c r="AY37" i="16"/>
  <c r="AY31" i="16"/>
  <c r="BD24" i="16"/>
  <c r="CA24" i="16" s="1"/>
  <c r="BA23" i="16"/>
  <c r="BZ23" i="16" s="1"/>
  <c r="BB25" i="16"/>
  <c r="BB11" i="16"/>
  <c r="EA626" i="2"/>
  <c r="BE12" i="16" s="1"/>
  <c r="DZ638" i="2"/>
  <c r="DW637" i="2"/>
  <c r="DV647" i="2"/>
  <c r="AZ33" i="16" s="1"/>
  <c r="AZ37" i="16" s="1"/>
  <c r="DU651" i="2"/>
  <c r="DY627" i="2"/>
  <c r="BC13" i="16" s="1"/>
  <c r="DX639" i="2"/>
  <c r="DX625" i="2"/>
  <c r="DU645" i="2"/>
  <c r="AX45" i="16" l="1"/>
  <c r="DT669" i="2"/>
  <c r="DT673" i="2" s="1"/>
  <c r="BY44" i="16"/>
  <c r="AV50" i="16"/>
  <c r="AZ36" i="16"/>
  <c r="DW646" i="2"/>
  <c r="BA32" i="16" s="1"/>
  <c r="BZ32" i="16" s="1"/>
  <c r="DU657" i="2"/>
  <c r="AY44" i="16" s="1"/>
  <c r="DT668" i="2"/>
  <c r="DS667" i="2"/>
  <c r="DS671" i="2" s="1"/>
  <c r="AW55" i="16"/>
  <c r="AW43" i="16"/>
  <c r="DT656" i="2"/>
  <c r="DV650" i="2"/>
  <c r="DU649" i="2"/>
  <c r="AX51" i="16"/>
  <c r="DS660" i="2"/>
  <c r="AW47" i="16" s="1"/>
  <c r="BX50" i="16"/>
  <c r="AV55" i="16"/>
  <c r="DS661" i="2"/>
  <c r="AV47" i="16"/>
  <c r="AV48" i="16"/>
  <c r="AW50" i="16"/>
  <c r="AW54" i="16" s="1"/>
  <c r="AY35" i="16"/>
  <c r="AW56" i="16"/>
  <c r="BB23" i="16"/>
  <c r="AZ31" i="16"/>
  <c r="BE24" i="16"/>
  <c r="BC25" i="16"/>
  <c r="BC11" i="16"/>
  <c r="DX637" i="2"/>
  <c r="DZ627" i="2"/>
  <c r="BD13" i="16" s="1"/>
  <c r="CA13" i="16" s="1"/>
  <c r="DY639" i="2"/>
  <c r="DY625" i="2"/>
  <c r="EB626" i="2"/>
  <c r="BF12" i="16" s="1"/>
  <c r="EA638" i="2"/>
  <c r="DU658" i="2"/>
  <c r="DW647" i="2"/>
  <c r="BA33" i="16" s="1"/>
  <c r="DV651" i="2"/>
  <c r="DV645" i="2"/>
  <c r="AV54" i="16" l="1"/>
  <c r="BY45" i="16"/>
  <c r="AX52" i="16"/>
  <c r="AX43" i="16"/>
  <c r="AY51" i="16"/>
  <c r="DT672" i="2"/>
  <c r="BY51" i="16"/>
  <c r="BY43" i="16"/>
  <c r="DU668" i="2"/>
  <c r="DT667" i="2"/>
  <c r="DT671" i="2" s="1"/>
  <c r="AX55" i="16"/>
  <c r="AX50" i="16"/>
  <c r="AX54" i="16" s="1"/>
  <c r="BA36" i="16"/>
  <c r="BZ36" i="16" s="1"/>
  <c r="AZ35" i="16"/>
  <c r="DW650" i="2"/>
  <c r="DX646" i="2"/>
  <c r="BB32" i="16" s="1"/>
  <c r="DV657" i="2"/>
  <c r="DT661" i="2"/>
  <c r="AX48" i="16" s="1"/>
  <c r="AW48" i="16"/>
  <c r="DT660" i="2"/>
  <c r="AX47" i="16" s="1"/>
  <c r="BY47" i="16" s="1"/>
  <c r="BX54" i="16"/>
  <c r="CG50" i="16"/>
  <c r="CG54" i="16" s="1"/>
  <c r="BA37" i="16"/>
  <c r="BZ37" i="16" s="1"/>
  <c r="BZ33" i="16"/>
  <c r="BA31" i="16"/>
  <c r="BZ31" i="16" s="1"/>
  <c r="BF24" i="16"/>
  <c r="BC23" i="16"/>
  <c r="DU656" i="2"/>
  <c r="AY45" i="16"/>
  <c r="BD25" i="16"/>
  <c r="CA25" i="16" s="1"/>
  <c r="BD11" i="16"/>
  <c r="CA11" i="16" s="1"/>
  <c r="DY637" i="2"/>
  <c r="DU669" i="2"/>
  <c r="DV658" i="2"/>
  <c r="EC626" i="2"/>
  <c r="BG12" i="16" s="1"/>
  <c r="CB12" i="16" s="1"/>
  <c r="CH12" i="16" s="1"/>
  <c r="EB638" i="2"/>
  <c r="DX647" i="2"/>
  <c r="BB33" i="16" s="1"/>
  <c r="DW651" i="2"/>
  <c r="DV649" i="2"/>
  <c r="EA627" i="2"/>
  <c r="BE13" i="16" s="1"/>
  <c r="DZ639" i="2"/>
  <c r="DZ625" i="2"/>
  <c r="DW645" i="2"/>
  <c r="BY52" i="16" l="1"/>
  <c r="BY56" i="16" s="1"/>
  <c r="AX56" i="16"/>
  <c r="BY48" i="16"/>
  <c r="BY50" i="16"/>
  <c r="AY55" i="16"/>
  <c r="BY55" i="16"/>
  <c r="DX650" i="2"/>
  <c r="DW649" i="2"/>
  <c r="DW657" i="2"/>
  <c r="DY646" i="2"/>
  <c r="BC32" i="16" s="1"/>
  <c r="DU672" i="2"/>
  <c r="BY54" i="16"/>
  <c r="BB36" i="16"/>
  <c r="DV668" i="2"/>
  <c r="DV672" i="2" s="1"/>
  <c r="AZ44" i="16"/>
  <c r="DU661" i="2"/>
  <c r="AY48" i="16" s="1"/>
  <c r="BA35" i="16"/>
  <c r="BZ35" i="16" s="1"/>
  <c r="BB37" i="16"/>
  <c r="BB31" i="16"/>
  <c r="DU660" i="2"/>
  <c r="AY47" i="16" s="1"/>
  <c r="DX645" i="2"/>
  <c r="DV656" i="2"/>
  <c r="AZ45" i="16"/>
  <c r="BE25" i="16"/>
  <c r="BE11" i="16"/>
  <c r="BD23" i="16"/>
  <c r="CA23" i="16" s="1"/>
  <c r="AY52" i="16"/>
  <c r="AY43" i="16"/>
  <c r="BG24" i="16"/>
  <c r="CB24" i="16" s="1"/>
  <c r="CH24" i="16" s="1"/>
  <c r="EC638" i="2"/>
  <c r="DV669" i="2"/>
  <c r="DU673" i="2"/>
  <c r="DU667" i="2"/>
  <c r="DU671" i="2" s="1"/>
  <c r="DZ637" i="2"/>
  <c r="EB627" i="2"/>
  <c r="BF13" i="16" s="1"/>
  <c r="EA639" i="2"/>
  <c r="EA625" i="2"/>
  <c r="DW658" i="2"/>
  <c r="DY647" i="2"/>
  <c r="BC33" i="16" s="1"/>
  <c r="BC37" i="16" s="1"/>
  <c r="DX651" i="2"/>
  <c r="DW668" i="2" l="1"/>
  <c r="BA44" i="16"/>
  <c r="BC36" i="16"/>
  <c r="DY650" i="2"/>
  <c r="DX657" i="2"/>
  <c r="BZ44" i="16"/>
  <c r="AZ51" i="16"/>
  <c r="AZ43" i="16"/>
  <c r="DV661" i="2"/>
  <c r="AZ48" i="16" s="1"/>
  <c r="DW672" i="2"/>
  <c r="DZ646" i="2"/>
  <c r="BD32" i="16" s="1"/>
  <c r="CA32" i="16" s="1"/>
  <c r="BB35" i="16"/>
  <c r="AZ52" i="16"/>
  <c r="AZ56" i="16" s="1"/>
  <c r="DV660" i="2"/>
  <c r="AZ47" i="16" s="1"/>
  <c r="BE23" i="16"/>
  <c r="BF25" i="16"/>
  <c r="BF11" i="16"/>
  <c r="DW656" i="2"/>
  <c r="BA45" i="16"/>
  <c r="BA52" i="16" s="1"/>
  <c r="AY56" i="16"/>
  <c r="AY50" i="16"/>
  <c r="BC31" i="16"/>
  <c r="DZ647" i="2"/>
  <c r="BD33" i="16" s="1"/>
  <c r="BD37" i="16" s="1"/>
  <c r="DY651" i="2"/>
  <c r="DW669" i="2"/>
  <c r="DX658" i="2"/>
  <c r="DV673" i="2"/>
  <c r="DV667" i="2"/>
  <c r="DV671" i="2" s="1"/>
  <c r="DX649" i="2"/>
  <c r="DY645" i="2"/>
  <c r="EA637" i="2"/>
  <c r="EC627" i="2"/>
  <c r="BG13" i="16" s="1"/>
  <c r="CB13" i="16" s="1"/>
  <c r="CH13" i="16" s="1"/>
  <c r="EB639" i="2"/>
  <c r="EB625" i="2"/>
  <c r="BA51" i="16" l="1"/>
  <c r="DX668" i="2"/>
  <c r="DX672" i="2" s="1"/>
  <c r="BB44" i="16"/>
  <c r="BC35" i="16"/>
  <c r="DY657" i="2"/>
  <c r="AZ55" i="16"/>
  <c r="BZ51" i="16"/>
  <c r="DW661" i="2"/>
  <c r="BA48" i="16" s="1"/>
  <c r="BZ48" i="16" s="1"/>
  <c r="DZ650" i="2"/>
  <c r="BD36" i="16"/>
  <c r="CA36" i="16" s="1"/>
  <c r="AZ50" i="16"/>
  <c r="AZ54" i="16" s="1"/>
  <c r="EA646" i="2"/>
  <c r="BE32" i="16" s="1"/>
  <c r="CA37" i="16"/>
  <c r="CA33" i="16"/>
  <c r="BZ45" i="16"/>
  <c r="BZ55" i="16"/>
  <c r="BA56" i="16"/>
  <c r="BZ52" i="16"/>
  <c r="AY54" i="16"/>
  <c r="DZ645" i="2"/>
  <c r="BF23" i="16"/>
  <c r="BA43" i="16"/>
  <c r="BZ43" i="16" s="1"/>
  <c r="DX656" i="2"/>
  <c r="BB45" i="16"/>
  <c r="BG25" i="16"/>
  <c r="CB25" i="16" s="1"/>
  <c r="CH25" i="16" s="1"/>
  <c r="BG11" i="16"/>
  <c r="CB11" i="16" s="1"/>
  <c r="CH11" i="16" s="1"/>
  <c r="DW660" i="2"/>
  <c r="BA47" i="16" s="1"/>
  <c r="BZ47" i="16" s="1"/>
  <c r="BD31" i="16"/>
  <c r="CA31" i="16" s="1"/>
  <c r="EC639" i="2"/>
  <c r="EC637" i="2" s="1"/>
  <c r="EC625" i="2"/>
  <c r="DX669" i="2"/>
  <c r="DW673" i="2"/>
  <c r="DW667" i="2"/>
  <c r="DW671" i="2" s="1"/>
  <c r="DY658" i="2"/>
  <c r="EA647" i="2"/>
  <c r="BE33" i="16" s="1"/>
  <c r="DZ651" i="2"/>
  <c r="DY649" i="2"/>
  <c r="EB637" i="2"/>
  <c r="BB51" i="16" l="1"/>
  <c r="DY668" i="2"/>
  <c r="BC44" i="16"/>
  <c r="BA50" i="16"/>
  <c r="BA54" i="16" s="1"/>
  <c r="BA55" i="16"/>
  <c r="DY672" i="2"/>
  <c r="DX661" i="2"/>
  <c r="BB48" i="16" s="1"/>
  <c r="BZ50" i="16"/>
  <c r="DZ657" i="2"/>
  <c r="EB646" i="2"/>
  <c r="BF32" i="16" s="1"/>
  <c r="BD35" i="16"/>
  <c r="CA35" i="16" s="1"/>
  <c r="EA650" i="2"/>
  <c r="BE36" i="16"/>
  <c r="DZ649" i="2"/>
  <c r="BZ56" i="16"/>
  <c r="BZ54" i="16"/>
  <c r="BB52" i="16"/>
  <c r="BE37" i="16"/>
  <c r="BB43" i="16"/>
  <c r="DX660" i="2"/>
  <c r="BB47" i="16" s="1"/>
  <c r="DY656" i="2"/>
  <c r="BC45" i="16"/>
  <c r="BC52" i="16" s="1"/>
  <c r="BC56" i="16" s="1"/>
  <c r="BG23" i="16"/>
  <c r="CB23" i="16" s="1"/>
  <c r="CH23" i="16" s="1"/>
  <c r="BE31" i="16"/>
  <c r="DX673" i="2"/>
  <c r="DX667" i="2"/>
  <c r="DX671" i="2" s="1"/>
  <c r="DZ658" i="2"/>
  <c r="EB647" i="2"/>
  <c r="BF33" i="16" s="1"/>
  <c r="BF37" i="16" s="1"/>
  <c r="EA651" i="2"/>
  <c r="EA645" i="2"/>
  <c r="DY669" i="2"/>
  <c r="BB55" i="16" l="1"/>
  <c r="BC51" i="16"/>
  <c r="DY661" i="2"/>
  <c r="BC48" i="16" s="1"/>
  <c r="BB50" i="16"/>
  <c r="EB650" i="2"/>
  <c r="EA657" i="2"/>
  <c r="DZ668" i="2"/>
  <c r="DZ672" i="2" s="1"/>
  <c r="BF36" i="16"/>
  <c r="BE35" i="16"/>
  <c r="BD44" i="16"/>
  <c r="CA44" i="16" s="1"/>
  <c r="EC646" i="2"/>
  <c r="BG32" i="16" s="1"/>
  <c r="CB32" i="16" s="1"/>
  <c r="CH32" i="16" s="1"/>
  <c r="BB56" i="16"/>
  <c r="BC43" i="16"/>
  <c r="BF31" i="16"/>
  <c r="DZ656" i="2"/>
  <c r="BD45" i="16"/>
  <c r="BD52" i="16" s="1"/>
  <c r="BD56" i="16" s="1"/>
  <c r="DY660" i="2"/>
  <c r="BC47" i="16" s="1"/>
  <c r="EC647" i="2"/>
  <c r="EB651" i="2"/>
  <c r="EA658" i="2"/>
  <c r="DZ669" i="2"/>
  <c r="DY673" i="2"/>
  <c r="DY667" i="2"/>
  <c r="DY671" i="2" s="1"/>
  <c r="EB645" i="2"/>
  <c r="EA649" i="2"/>
  <c r="BB54" i="16" l="1"/>
  <c r="BC55" i="16"/>
  <c r="BC50" i="16"/>
  <c r="BC54" i="16" s="1"/>
  <c r="DZ661" i="2"/>
  <c r="BD48" i="16" s="1"/>
  <c r="CA48" i="16" s="1"/>
  <c r="BG36" i="16"/>
  <c r="CB36" i="16" s="1"/>
  <c r="CH36" i="16" s="1"/>
  <c r="BE44" i="16"/>
  <c r="BF35" i="16"/>
  <c r="EB657" i="2"/>
  <c r="EB649" i="2"/>
  <c r="EC650" i="2"/>
  <c r="BD51" i="16"/>
  <c r="CA51" i="16" s="1"/>
  <c r="EA668" i="2"/>
  <c r="EA672" i="2" s="1"/>
  <c r="EC645" i="2"/>
  <c r="CA52" i="16"/>
  <c r="CA45" i="16"/>
  <c r="DZ660" i="2"/>
  <c r="EA656" i="2"/>
  <c r="BE45" i="16"/>
  <c r="BD43" i="16"/>
  <c r="CA43" i="16" s="1"/>
  <c r="EC651" i="2"/>
  <c r="BG33" i="16"/>
  <c r="CB33" i="16" s="1"/>
  <c r="CH33" i="16" s="1"/>
  <c r="DZ673" i="2"/>
  <c r="DZ667" i="2"/>
  <c r="DZ671" i="2" s="1"/>
  <c r="EA669" i="2"/>
  <c r="EB658" i="2"/>
  <c r="EC658" i="2"/>
  <c r="BG45" i="16" s="1"/>
  <c r="BD47" i="16" l="1"/>
  <c r="CA47" i="16" s="1"/>
  <c r="EA661" i="2"/>
  <c r="BE48" i="16" s="1"/>
  <c r="CA55" i="16"/>
  <c r="BE43" i="16"/>
  <c r="BE51" i="16"/>
  <c r="EB668" i="2"/>
  <c r="EB672" i="2" s="1"/>
  <c r="BF44" i="16"/>
  <c r="BD50" i="16"/>
  <c r="BD55" i="16"/>
  <c r="EA660" i="2"/>
  <c r="BE47" i="16" s="1"/>
  <c r="EC649" i="2"/>
  <c r="EC657" i="2"/>
  <c r="CA56" i="16"/>
  <c r="BE52" i="16"/>
  <c r="EB656" i="2"/>
  <c r="BF45" i="16"/>
  <c r="BF52" i="16" s="1"/>
  <c r="BF56" i="16" s="1"/>
  <c r="BG37" i="16"/>
  <c r="CB37" i="16" s="1"/>
  <c r="CH37" i="16" s="1"/>
  <c r="BG31" i="16"/>
  <c r="CB31" i="16" s="1"/>
  <c r="CH31" i="16" s="1"/>
  <c r="EB669" i="2"/>
  <c r="EA673" i="2"/>
  <c r="EA667" i="2"/>
  <c r="EA671" i="2" s="1"/>
  <c r="EC669" i="2"/>
  <c r="EC673" i="2" s="1"/>
  <c r="CB45" i="16" l="1"/>
  <c r="CH45" i="16" s="1"/>
  <c r="EB661" i="2"/>
  <c r="BF48" i="16" s="1"/>
  <c r="BE55" i="16"/>
  <c r="CA50" i="16"/>
  <c r="CA54" i="16" s="1"/>
  <c r="BD54" i="16"/>
  <c r="BG44" i="16"/>
  <c r="CB44" i="16" s="1"/>
  <c r="CH44" i="16" s="1"/>
  <c r="BE50" i="16"/>
  <c r="BF43" i="16"/>
  <c r="EC656" i="2"/>
  <c r="EC668" i="2"/>
  <c r="EC672" i="2" s="1"/>
  <c r="BF51" i="16"/>
  <c r="BE56" i="16"/>
  <c r="EB660" i="2"/>
  <c r="BF47" i="16" s="1"/>
  <c r="BG52" i="16"/>
  <c r="BG56" i="16" s="1"/>
  <c r="BG35" i="16"/>
  <c r="CB35" i="16" s="1"/>
  <c r="CH35" i="16" s="1"/>
  <c r="EB673" i="2"/>
  <c r="EB667" i="2"/>
  <c r="EB671" i="2" s="1"/>
  <c r="BE54" i="16" l="1"/>
  <c r="CB52" i="16"/>
  <c r="EC661" i="2"/>
  <c r="BG48" i="16" s="1"/>
  <c r="CB48" i="16" s="1"/>
  <c r="CH48" i="16" s="1"/>
  <c r="BF50" i="16"/>
  <c r="BF54" i="16" s="1"/>
  <c r="BF55" i="16"/>
  <c r="BG43" i="16"/>
  <c r="CB43" i="16" s="1"/>
  <c r="CH43" i="16" s="1"/>
  <c r="BG51" i="16"/>
  <c r="CB51" i="16" s="1"/>
  <c r="EC667" i="2"/>
  <c r="EC671" i="2" s="1"/>
  <c r="EC660" i="2"/>
  <c r="BG47" i="16" s="1"/>
  <c r="CB47" i="16" s="1"/>
  <c r="CH47" i="16" s="1"/>
  <c r="CH52" i="16" l="1"/>
  <c r="CH56" i="16" s="1"/>
  <c r="CB56" i="16"/>
  <c r="CB55" i="16"/>
  <c r="BG50" i="16"/>
  <c r="BG55" i="16"/>
  <c r="CH51" i="16"/>
  <c r="CH55" i="16" s="1"/>
  <c r="BG54" i="16" l="1"/>
  <c r="CB50" i="16"/>
  <c r="CB54" i="16" l="1"/>
  <c r="CH50" i="16"/>
  <c r="CH54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Arjun Somani</author>
  </authors>
  <commentList>
    <comment ref="CT380" authorId="0" shapeId="0" xr:uid="{F1184898-1748-4193-99DD-4A9693398561}">
      <text>
        <r>
          <rPr>
            <b/>
            <sz val="9"/>
            <color rgb="FF000000"/>
            <rFont val="Tahoma"/>
            <family val="2"/>
          </rPr>
          <t>Arjun Somani: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Other Income:
</t>
        </r>
        <r>
          <rPr>
            <sz val="9"/>
            <color rgb="FF000000"/>
            <rFont val="Tahoma"/>
            <family val="2"/>
          </rPr>
          <t>As a % of revenue from operations</t>
        </r>
      </text>
    </comment>
  </commentList>
</comments>
</file>

<file path=xl/sharedStrings.xml><?xml version="1.0" encoding="utf-8"?>
<sst xmlns="http://schemas.openxmlformats.org/spreadsheetml/2006/main" count="3889" uniqueCount="603">
  <si>
    <t>Non- Repair (INR) - Inputs</t>
  </si>
  <si>
    <t>x</t>
  </si>
  <si>
    <t>Gross Revenue (inc. tax)</t>
  </si>
  <si>
    <t>Offline</t>
  </si>
  <si>
    <t>Online</t>
  </si>
  <si>
    <t>Devices</t>
  </si>
  <si>
    <t>Returns (inc. tax)</t>
  </si>
  <si>
    <t>Return%</t>
  </si>
  <si>
    <t>#RTO</t>
  </si>
  <si>
    <t>#Quality return</t>
  </si>
  <si>
    <t>Revenue Pre Tax (after returns)</t>
  </si>
  <si>
    <t>Tax</t>
  </si>
  <si>
    <t>Tax%</t>
  </si>
  <si>
    <t>Revenue Post Tax (after returns)</t>
  </si>
  <si>
    <t>ASP</t>
  </si>
  <si>
    <t>Growth%</t>
  </si>
  <si>
    <t>Revenue%</t>
  </si>
  <si>
    <t>Devices%</t>
  </si>
  <si>
    <t>COGS</t>
  </si>
  <si>
    <t>Buying Cost</t>
  </si>
  <si>
    <t>Spares &amp; Consumables</t>
  </si>
  <si>
    <t>Warranty Cost t/f to D2C</t>
  </si>
  <si>
    <t>Inventory Writeoff</t>
  </si>
  <si>
    <t xml:space="preserve">   Provision for inventory ageing</t>
  </si>
  <si>
    <t>Pick up Logistics Cost</t>
  </si>
  <si>
    <t xml:space="preserve"> Engineers Cost</t>
  </si>
  <si>
    <t>Refurbishing Center Cost</t>
  </si>
  <si>
    <t>CoGS%</t>
  </si>
  <si>
    <t>Gross Margin 1</t>
  </si>
  <si>
    <t>Gross Margin 1%</t>
  </si>
  <si>
    <t>Gross Margin 2</t>
  </si>
  <si>
    <t>Gross Margin 2%</t>
  </si>
  <si>
    <t>Operational Cost</t>
  </si>
  <si>
    <t>Sales Logistics</t>
  </si>
  <si>
    <t>Warehousing</t>
  </si>
  <si>
    <t>Collection Cost</t>
  </si>
  <si>
    <t>Packaging</t>
  </si>
  <si>
    <t>Operational Cost%</t>
  </si>
  <si>
    <t>Contribution Margin 1</t>
  </si>
  <si>
    <t>CM1%</t>
  </si>
  <si>
    <t>Direct Channel Cost</t>
  </si>
  <si>
    <t>Payroll (i + ii + iii)</t>
  </si>
  <si>
    <t>(i) Sales team</t>
  </si>
  <si>
    <t>#No. of Sales person</t>
  </si>
  <si>
    <t>KAA</t>
  </si>
  <si>
    <t>#No. of Managers</t>
  </si>
  <si>
    <t>(ii) Support</t>
  </si>
  <si>
    <t>#No. of people</t>
  </si>
  <si>
    <t>(iii) Dealer Onboarding cost</t>
  </si>
  <si>
    <t>Selling Center Cost</t>
  </si>
  <si>
    <t>Customer Support Cost</t>
  </si>
  <si>
    <t>Travel</t>
  </si>
  <si>
    <t>Others</t>
  </si>
  <si>
    <t>Direct Channel Cost%</t>
  </si>
  <si>
    <t>Contribution Margin 2</t>
  </si>
  <si>
    <t>CM2%</t>
  </si>
  <si>
    <t>BTL Marketing</t>
  </si>
  <si>
    <t>BTL%</t>
  </si>
  <si>
    <t>CM2 - Marketing</t>
  </si>
  <si>
    <t>CM3%</t>
  </si>
  <si>
    <t>Fixed Cost</t>
  </si>
  <si>
    <t>Technology</t>
  </si>
  <si>
    <t>Fixed Cost%</t>
  </si>
  <si>
    <t>EBITDA (CM2 - Marketing - Fixed Cost)</t>
  </si>
  <si>
    <t>Devices sold</t>
  </si>
  <si>
    <t># Offline sales</t>
  </si>
  <si>
    <t># Online sales</t>
  </si>
  <si>
    <t>Offline %</t>
  </si>
  <si>
    <t>Online %</t>
  </si>
  <si>
    <t>Per unit spares part</t>
  </si>
  <si>
    <t>Per unit spares part - Inflation</t>
  </si>
  <si>
    <t>Pickup Logistics cost</t>
  </si>
  <si>
    <t>Payroll</t>
  </si>
  <si>
    <t>Sales Team</t>
  </si>
  <si>
    <t>Revenue</t>
  </si>
  <si>
    <t>`</t>
  </si>
  <si>
    <t>Non- Repair (INR)</t>
  </si>
  <si>
    <t>AMJ FY'24</t>
  </si>
  <si>
    <t>JAS FY'24</t>
  </si>
  <si>
    <t>OND FY'24</t>
  </si>
  <si>
    <t>JFM FY'24</t>
  </si>
  <si>
    <t>AMJ FY'25</t>
  </si>
  <si>
    <t>JAS FY'25</t>
  </si>
  <si>
    <t>OND FY'25</t>
  </si>
  <si>
    <t>JFM FY'25</t>
  </si>
  <si>
    <t>AMJ FY'26</t>
  </si>
  <si>
    <t>JAS FY'26</t>
  </si>
  <si>
    <t>OND FY'26</t>
  </si>
  <si>
    <t>JFM FY'26</t>
  </si>
  <si>
    <t>Transaction growth %</t>
  </si>
  <si>
    <t>Average Selling Price</t>
  </si>
  <si>
    <t>ASP Growth %</t>
  </si>
  <si>
    <t>Returns</t>
  </si>
  <si>
    <t>Return Amount</t>
  </si>
  <si>
    <t>Offline Returns %</t>
  </si>
  <si>
    <t>Online Returns %</t>
  </si>
  <si>
    <t>Overall Returns %</t>
  </si>
  <si>
    <t xml:space="preserve">Offline </t>
  </si>
  <si>
    <t>Gross Margin %</t>
  </si>
  <si>
    <t>Net Devices Sold</t>
  </si>
  <si>
    <t>COGS Assumptions</t>
  </si>
  <si>
    <t>Online COGS</t>
  </si>
  <si>
    <t>Offline COGS</t>
  </si>
  <si>
    <t>Operational Cost Assumptions</t>
  </si>
  <si>
    <t>Sales logistic cost per device</t>
  </si>
  <si>
    <t>Packaging cost per device</t>
  </si>
  <si>
    <t>Direct Channel Costs</t>
  </si>
  <si>
    <t>1. Sales</t>
  </si>
  <si>
    <t>2. Support</t>
  </si>
  <si>
    <t>3. Dealer Onboarding Cost</t>
  </si>
  <si>
    <t>#No. of personnel</t>
  </si>
  <si>
    <t># No of personnel</t>
  </si>
  <si>
    <t>Payroll assumptions</t>
  </si>
  <si>
    <t>Support staff avg salary</t>
  </si>
  <si>
    <t>Dealer onboarding staff avg salary</t>
  </si>
  <si>
    <t>Sales staff avg salary</t>
  </si>
  <si>
    <t>Salary Increment %</t>
  </si>
  <si>
    <t>AMJ FY'27</t>
  </si>
  <si>
    <t>JAS FY'27</t>
  </si>
  <si>
    <t>OND FY'27</t>
  </si>
  <si>
    <t>JFM FY'27</t>
  </si>
  <si>
    <t>AMJ FY'28</t>
  </si>
  <si>
    <t>JAS FY'28</t>
  </si>
  <si>
    <t>OND FY'28</t>
  </si>
  <si>
    <t>JFM FY'28</t>
  </si>
  <si>
    <t>FY26</t>
  </si>
  <si>
    <t>FY27</t>
  </si>
  <si>
    <t>FY28</t>
  </si>
  <si>
    <t>FY25</t>
  </si>
  <si>
    <t>B2B - Non Repair</t>
  </si>
  <si>
    <t>Inputs Sheet</t>
  </si>
  <si>
    <t>Online Distribution (INR)</t>
  </si>
  <si>
    <t>Own Store (Store.Cashify)</t>
  </si>
  <si>
    <t>3rd Party (Amazon, FK, Paytm)</t>
  </si>
  <si>
    <t>#Cancelled (CBD)</t>
  </si>
  <si>
    <t>#Within 7 days</t>
  </si>
  <si>
    <t>#After 7 days</t>
  </si>
  <si>
    <t>Own Store (Store.Cashify)%</t>
  </si>
  <si>
    <t>3rd Party (Amazon, FK, Paytm)%</t>
  </si>
  <si>
    <t>Refurbished</t>
  </si>
  <si>
    <t>Accessories</t>
  </si>
  <si>
    <t>Devices/ Transactions</t>
  </si>
  <si>
    <t>Spares &amp; Accessories</t>
  </si>
  <si>
    <t>Provision for inventory ageing</t>
  </si>
  <si>
    <t>Refurbished%</t>
  </si>
  <si>
    <t>Accessories%</t>
  </si>
  <si>
    <t>Sales Logistics Cost</t>
  </si>
  <si>
    <t>Collection charges</t>
  </si>
  <si>
    <t>Affordability charges</t>
  </si>
  <si>
    <t>Warranty</t>
  </si>
  <si>
    <t>Market Place Commission</t>
  </si>
  <si>
    <t>Support from Retail</t>
  </si>
  <si>
    <t>Customer support cost</t>
  </si>
  <si>
    <t>ATL Marketing</t>
  </si>
  <si>
    <t>CM%</t>
  </si>
  <si>
    <t>D2C Online</t>
  </si>
  <si>
    <t>Transaction Growth %</t>
  </si>
  <si>
    <t>Other income</t>
  </si>
  <si>
    <t>Other Income</t>
  </si>
  <si>
    <t>Engineers Cost</t>
  </si>
  <si>
    <t>Operational Costs</t>
  </si>
  <si>
    <t>Marketing</t>
  </si>
  <si>
    <t>BTL</t>
  </si>
  <si>
    <t>ATL</t>
  </si>
  <si>
    <t>Total Returns %</t>
  </si>
  <si>
    <t>Operational Costs Assumptions</t>
  </si>
  <si>
    <t>BU Wise P&amp;Ls &gt;&gt;&gt;</t>
  </si>
  <si>
    <t>Market Place (INR)</t>
  </si>
  <si>
    <t>GMV</t>
  </si>
  <si>
    <t>Revenue Pre Tax</t>
  </si>
  <si>
    <t>Revenue Post Tax</t>
  </si>
  <si>
    <t>#Transactions</t>
  </si>
  <si>
    <t>ATL%</t>
  </si>
  <si>
    <t>Tax %</t>
  </si>
  <si>
    <t>COGS (NA)</t>
  </si>
  <si>
    <t>Transactions growth %</t>
  </si>
  <si>
    <t>Warehousing cost growth</t>
  </si>
  <si>
    <t>Direct Channel Cost Assumptions</t>
  </si>
  <si>
    <t>Customer support cost growth %</t>
  </si>
  <si>
    <t>Travel cost growth %</t>
  </si>
  <si>
    <t>Packaging cost per device - Inflation</t>
  </si>
  <si>
    <t>Pickup Logistics cost - Inflation</t>
  </si>
  <si>
    <t>COGS%</t>
  </si>
  <si>
    <t>Sales logistic cost per device - Inflation</t>
  </si>
  <si>
    <t>Collection charger per device</t>
  </si>
  <si>
    <t>Payroll - Inflation</t>
  </si>
  <si>
    <t>Customer support cost - Inflation</t>
  </si>
  <si>
    <t>Fixed cost inflation</t>
  </si>
  <si>
    <t>(i) Sales Team</t>
  </si>
  <si>
    <t>Store Rental &amp; Maintenance</t>
  </si>
  <si>
    <t>Retail (INR)</t>
  </si>
  <si>
    <t>Screen Pro</t>
  </si>
  <si>
    <t>Own Stores</t>
  </si>
  <si>
    <t>Franchisee</t>
  </si>
  <si>
    <t>Own Stores%</t>
  </si>
  <si>
    <t>Franchisee%</t>
  </si>
  <si>
    <t>#No. of Stores</t>
  </si>
  <si>
    <t>Opening</t>
  </si>
  <si>
    <t>New</t>
  </si>
  <si>
    <t>Closed</t>
  </si>
  <si>
    <t>Closing</t>
  </si>
  <si>
    <t>Pickup Logistic Cost</t>
  </si>
  <si>
    <t>Repair Engineers Cost</t>
  </si>
  <si>
    <t>Store Technicians</t>
  </si>
  <si>
    <t>Logistics Cost</t>
  </si>
  <si>
    <t>Payroll (i + ii)</t>
  </si>
  <si>
    <t>Performance%</t>
  </si>
  <si>
    <t>Branding%</t>
  </si>
  <si>
    <t>Refurbished Device ASP</t>
  </si>
  <si>
    <t>Laptop</t>
  </si>
  <si>
    <t>BTL  - Inflation</t>
  </si>
  <si>
    <t>ATL - Inflation</t>
  </si>
  <si>
    <t>Transactions%</t>
  </si>
  <si>
    <t>EBITDA%</t>
  </si>
  <si>
    <t>Total Marketing</t>
  </si>
  <si>
    <t>BTL % of total</t>
  </si>
  <si>
    <t>ATL % of total</t>
  </si>
  <si>
    <t>CM3 - Marketing</t>
  </si>
  <si>
    <t>Device ASP</t>
  </si>
  <si>
    <t>#No. of Technicians</t>
  </si>
  <si>
    <t>Screen Pro%</t>
  </si>
  <si>
    <t>Non Repair</t>
  </si>
  <si>
    <t>D2C</t>
  </si>
  <si>
    <t xml:space="preserve">Gross Margin </t>
  </si>
  <si>
    <t>Net Devices</t>
  </si>
  <si>
    <t>ASP Growth</t>
  </si>
  <si>
    <t>Refurbished (INR)</t>
  </si>
  <si>
    <t>Offline Distribution</t>
  </si>
  <si>
    <t>Online Distribution</t>
  </si>
  <si>
    <t>Retail</t>
  </si>
  <si>
    <t>Total Devices</t>
  </si>
  <si>
    <t>#Offline</t>
  </si>
  <si>
    <t>#Online</t>
  </si>
  <si>
    <t>#Retail</t>
  </si>
  <si>
    <t>Collection Charges</t>
  </si>
  <si>
    <t>Payroll ( i + ii )</t>
  </si>
  <si>
    <t>D2C-Total (INR)</t>
  </si>
  <si>
    <t>Estore</t>
  </si>
  <si>
    <t>Affordability Charges</t>
  </si>
  <si>
    <t>Devices sold per store</t>
  </si>
  <si>
    <t>Refurbished ASP</t>
  </si>
  <si>
    <t>Refurbished ASP growth %</t>
  </si>
  <si>
    <t>D2C-Refurbished (INR)</t>
  </si>
  <si>
    <t>#Estore</t>
  </si>
  <si>
    <t>Buying cost as a % of revenue</t>
  </si>
  <si>
    <t>Sales logistic - Inflation</t>
  </si>
  <si>
    <t>Sales staff</t>
  </si>
  <si>
    <t>Support staff</t>
  </si>
  <si>
    <t>Dealer onboarding staff</t>
  </si>
  <si>
    <t>Number of employees growth %</t>
  </si>
  <si>
    <t>YoY Growth %</t>
  </si>
  <si>
    <t>Accessories return %</t>
  </si>
  <si>
    <t>Franchise</t>
  </si>
  <si>
    <t>Spares and accessories per device - Own store</t>
  </si>
  <si>
    <t>Spares and accessories per device - Franchise</t>
  </si>
  <si>
    <t>Inflation %</t>
  </si>
  <si>
    <t>Spares and accessories</t>
  </si>
  <si>
    <t>Inventory writeoff as a % of revenue</t>
  </si>
  <si>
    <t>Packaging Cost</t>
  </si>
  <si>
    <t>Packaging cost per refurbished device</t>
  </si>
  <si>
    <t>Pickup logistic cost per device</t>
  </si>
  <si>
    <t>Operational cost assumptions</t>
  </si>
  <si>
    <t>Logistics cost per device</t>
  </si>
  <si>
    <t>Warehousing charges inflation</t>
  </si>
  <si>
    <t>Collection cost per device</t>
  </si>
  <si>
    <t>Fixed cost - Inflation %</t>
  </si>
  <si>
    <t>Operational cost - offline</t>
  </si>
  <si>
    <t>Direct channel costs</t>
  </si>
  <si>
    <t>Payroll Assumptions</t>
  </si>
  <si>
    <t>Sales team avg salary</t>
  </si>
  <si>
    <t>Support team avg salary</t>
  </si>
  <si>
    <t>Increase in salary %</t>
  </si>
  <si>
    <t>Increase in number of personnel</t>
  </si>
  <si>
    <t>Sales team</t>
  </si>
  <si>
    <t>Support team</t>
  </si>
  <si>
    <t>Store rental and maintenance increment</t>
  </si>
  <si>
    <t>Customer support cost growth</t>
  </si>
  <si>
    <t>Travel cost growth</t>
  </si>
  <si>
    <t>Other costs growth</t>
  </si>
  <si>
    <t>Direct channel cost assumptions</t>
  </si>
  <si>
    <t>Average salary per person</t>
  </si>
  <si>
    <t>Growth in personnel</t>
  </si>
  <si>
    <t>Support from retail - Inflation</t>
  </si>
  <si>
    <t>Sales Promotion</t>
  </si>
  <si>
    <t>Sales promotion</t>
  </si>
  <si>
    <t>Sourcing</t>
  </si>
  <si>
    <t>No. of devices collected</t>
  </si>
  <si>
    <t>C2B - Online</t>
  </si>
  <si>
    <t>#Apple</t>
  </si>
  <si>
    <t>#Non Apple</t>
  </si>
  <si>
    <t>C2B - Alliances</t>
  </si>
  <si>
    <t>Kiosk/ Retail</t>
  </si>
  <si>
    <t>B2B - Others</t>
  </si>
  <si>
    <t>Cost of devices collected (INR)</t>
  </si>
  <si>
    <t>Coupon Cost</t>
  </si>
  <si>
    <t>Pickup Logistics Cost</t>
  </si>
  <si>
    <t>APC</t>
  </si>
  <si>
    <t>Promoters Cost</t>
  </si>
  <si>
    <t>Kiosk</t>
  </si>
  <si>
    <t>Rent</t>
  </si>
  <si>
    <t>Salaries</t>
  </si>
  <si>
    <t>ACP</t>
  </si>
  <si>
    <t>Basis of Allocation (Rent + Salaries)</t>
  </si>
  <si>
    <t>Pickup Cost - CoGS - 30%</t>
  </si>
  <si>
    <t>Non- Repair</t>
  </si>
  <si>
    <t>ATL Marketing - 70%</t>
  </si>
  <si>
    <t>Amazon/ Flipkart</t>
  </si>
  <si>
    <t>Consolidated</t>
  </si>
  <si>
    <t>Gross GMV (inc. tax)</t>
  </si>
  <si>
    <t>Market Place</t>
  </si>
  <si>
    <t>Screen Pro + Accessories</t>
  </si>
  <si>
    <t>Enterprise Sales</t>
  </si>
  <si>
    <t>Returns + RTO (inc. tax)</t>
  </si>
  <si>
    <t>Non- Repair%</t>
  </si>
  <si>
    <t>GMV (after returns)</t>
  </si>
  <si>
    <t>Market Place%</t>
  </si>
  <si>
    <t>Screen Pro + Accessories%</t>
  </si>
  <si>
    <t>Enterprise Sales%</t>
  </si>
  <si>
    <t>#Devices/ Transactions</t>
  </si>
  <si>
    <t>Gross Margin 1% w/o MP</t>
  </si>
  <si>
    <t>Gross Margin 2% w/o MP</t>
  </si>
  <si>
    <t>Support</t>
  </si>
  <si>
    <t>Dealer Onboarding cost</t>
  </si>
  <si>
    <t>Non- Repair+ Refurbished+ Market Place</t>
  </si>
  <si>
    <t>Total%</t>
  </si>
  <si>
    <t>New Customers</t>
  </si>
  <si>
    <t>#CAC</t>
  </si>
  <si>
    <t>HO Rental &amp; Maintenance charges</t>
  </si>
  <si>
    <t>Staff Welfare</t>
  </si>
  <si>
    <t xml:space="preserve">Professional &amp; Legal </t>
  </si>
  <si>
    <t>R&amp;D Expenses - ML</t>
  </si>
  <si>
    <t>Miscelleneous Expenses</t>
  </si>
  <si>
    <t>Finance cost and Non Operating income</t>
  </si>
  <si>
    <t>Finance cost</t>
  </si>
  <si>
    <t>New Facility cost</t>
  </si>
  <si>
    <t>Provision for PLI (only out of incremental profit)</t>
  </si>
  <si>
    <t>IPO related expense</t>
  </si>
  <si>
    <t>Severance pay*</t>
  </si>
  <si>
    <t>Shares/ Debenture issue expenses (one-time)</t>
  </si>
  <si>
    <t>Market Research Certification</t>
  </si>
  <si>
    <t>Provision for Covid Relief Fund</t>
  </si>
  <si>
    <t>Inventory</t>
  </si>
  <si>
    <t>Inventory Write off</t>
  </si>
  <si>
    <t>Provision for Inventory</t>
  </si>
  <si>
    <t>Salary Cut</t>
  </si>
  <si>
    <t>Rent Cut</t>
  </si>
  <si>
    <t>EBDT (EBITDA - FC &amp; Non Operating Income)</t>
  </si>
  <si>
    <t>EBT%</t>
  </si>
  <si>
    <t>#No. of Devices</t>
  </si>
  <si>
    <t>Spares + Consumable</t>
  </si>
  <si>
    <t>Laptop &amp; Smart Watch</t>
  </si>
  <si>
    <t>#Count</t>
  </si>
  <si>
    <t>Assets (asg. to emp.)</t>
  </si>
  <si>
    <t>Inventory Days (value)</t>
  </si>
  <si>
    <t>Inventory Days (device)</t>
  </si>
  <si>
    <t>Total Headcount</t>
  </si>
  <si>
    <t>#Men</t>
  </si>
  <si>
    <t>#Women</t>
  </si>
  <si>
    <t>Actuals</t>
  </si>
  <si>
    <t>Plan</t>
  </si>
  <si>
    <t>Department</t>
  </si>
  <si>
    <t>Count</t>
  </si>
  <si>
    <t>Apr'21</t>
  </si>
  <si>
    <t>May'21</t>
  </si>
  <si>
    <t>Jun'21</t>
  </si>
  <si>
    <t>Jul'21</t>
  </si>
  <si>
    <t>Aug'21</t>
  </si>
  <si>
    <t>Sep'21</t>
  </si>
  <si>
    <t>Oct'21</t>
  </si>
  <si>
    <t>Nov'21</t>
  </si>
  <si>
    <t>Dec'21</t>
  </si>
  <si>
    <t>Jan'22</t>
  </si>
  <si>
    <t>Feb'22</t>
  </si>
  <si>
    <t>Mar'22</t>
  </si>
  <si>
    <t>Apr'22</t>
  </si>
  <si>
    <t>May'22</t>
  </si>
  <si>
    <t>June'22</t>
  </si>
  <si>
    <t>July'22</t>
  </si>
  <si>
    <t>Aug'22</t>
  </si>
  <si>
    <t>Sep'22</t>
  </si>
  <si>
    <t>Oct'22</t>
  </si>
  <si>
    <t>Nov'22</t>
  </si>
  <si>
    <t>Dec'22</t>
  </si>
  <si>
    <t>Jan'23</t>
  </si>
  <si>
    <t>Feb'23</t>
  </si>
  <si>
    <t>Mar'23</t>
  </si>
  <si>
    <t>Apr'23</t>
  </si>
  <si>
    <t>May'23</t>
  </si>
  <si>
    <t>Jun'23</t>
  </si>
  <si>
    <t>Jul'23</t>
  </si>
  <si>
    <t>Aug'23</t>
  </si>
  <si>
    <t>Sep'23</t>
  </si>
  <si>
    <t>Oct'23</t>
  </si>
  <si>
    <t>Nov'23</t>
  </si>
  <si>
    <t>Dec'23</t>
  </si>
  <si>
    <t>Jan'24</t>
  </si>
  <si>
    <t>Feb'24</t>
  </si>
  <si>
    <t>Mar'24</t>
  </si>
  <si>
    <t>Apr'24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</si>
  <si>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</si>
  <si>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</si>
  <si>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</si>
  <si>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</si>
  <si>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</si>
  <si>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</si>
  <si>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</si>
  <si>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</si>
  <si>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</si>
  <si>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</si>
  <si>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</si>
  <si>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Apr'25</t>
  </si>
  <si>
    <t>May'25</t>
  </si>
  <si>
    <t>June'25</t>
  </si>
  <si>
    <t>July'25</t>
  </si>
  <si>
    <t>August'25</t>
  </si>
  <si>
    <t>September'25</t>
  </si>
  <si>
    <t>October'25</t>
  </si>
  <si>
    <t>November'25</t>
  </si>
  <si>
    <t>December'25</t>
  </si>
  <si>
    <t>January'26</t>
  </si>
  <si>
    <t>February'26</t>
  </si>
  <si>
    <t>March'26</t>
  </si>
  <si>
    <t>Admin</t>
  </si>
  <si>
    <t>Alliances</t>
  </si>
  <si>
    <t>Alliances_Brand Promoter</t>
  </si>
  <si>
    <t>Cashify Pro</t>
  </si>
  <si>
    <t>Design</t>
  </si>
  <si>
    <t>FE + Aggregator</t>
  </si>
  <si>
    <t>Finance</t>
  </si>
  <si>
    <t>FO</t>
  </si>
  <si>
    <t>HR &amp; Legal</t>
  </si>
  <si>
    <t>IT</t>
  </si>
  <si>
    <t>Kiosk Team</t>
  </si>
  <si>
    <t>Kiosk Support</t>
  </si>
  <si>
    <t>Leads</t>
  </si>
  <si>
    <t>Mkt Place_CS</t>
  </si>
  <si>
    <t>Mkt Place_CS (offrole)</t>
  </si>
  <si>
    <t>FE Support</t>
  </si>
  <si>
    <t>Mkt Place_Support</t>
  </si>
  <si>
    <t>Non- Repair Manager</t>
  </si>
  <si>
    <t>Non Repair_CS</t>
  </si>
  <si>
    <t>Non- Repair_SC</t>
  </si>
  <si>
    <t>Onboarding Dealers team</t>
  </si>
  <si>
    <t>Non- Repair_Support</t>
  </si>
  <si>
    <t>PhoneShop</t>
  </si>
  <si>
    <t>Procurement</t>
  </si>
  <si>
    <t>Refurbished Offline_CS</t>
  </si>
  <si>
    <t>Refurbished Online_CS</t>
  </si>
  <si>
    <t>Refurbished Packaging</t>
  </si>
  <si>
    <t>Refurbished_Engineers</t>
  </si>
  <si>
    <t>Refurbished_QC</t>
  </si>
  <si>
    <t>Refurbished_SM_Offline</t>
  </si>
  <si>
    <t>D2C Operations</t>
  </si>
  <si>
    <t>Refurbished_SM_Online</t>
  </si>
  <si>
    <t>Refurbished_Support</t>
  </si>
  <si>
    <t>Refurbished_WH</t>
  </si>
  <si>
    <t>Retail Engineers</t>
  </si>
  <si>
    <t>Retail Operations</t>
  </si>
  <si>
    <t>Retail Support</t>
  </si>
  <si>
    <t>Scrn Pro_CS</t>
  </si>
  <si>
    <t>Logistics and Returns</t>
  </si>
  <si>
    <t>Tech</t>
  </si>
  <si>
    <t>Projects &amp; Commercial</t>
  </si>
  <si>
    <t>WH</t>
  </si>
  <si>
    <t>Reconciliaiton :</t>
  </si>
  <si>
    <t>NC</t>
  </si>
  <si>
    <t>FNF</t>
  </si>
  <si>
    <t>FR team</t>
  </si>
  <si>
    <t>Kiosk Pickup</t>
  </si>
  <si>
    <t>Difference &gt;&gt;</t>
  </si>
  <si>
    <t>Off-payroll:</t>
  </si>
  <si>
    <t>Tivsa</t>
  </si>
  <si>
    <t>Hitakshi</t>
  </si>
  <si>
    <t>Ancy</t>
  </si>
  <si>
    <t>Hirezy</t>
  </si>
  <si>
    <t>Pushpak</t>
  </si>
  <si>
    <t>CS:</t>
  </si>
  <si>
    <t>Off-payroll</t>
  </si>
  <si>
    <t>Provision</t>
  </si>
  <si>
    <t>Sales team salary growth %</t>
  </si>
  <si>
    <t>Support team salary growth %</t>
  </si>
  <si>
    <t>Store rental and maintenance inflation</t>
  </si>
  <si>
    <t>Customer support cost inflation</t>
  </si>
  <si>
    <t>Travel cost inflation</t>
  </si>
  <si>
    <t>Other costs inflation</t>
  </si>
  <si>
    <t>Direct costs assumption</t>
  </si>
  <si>
    <t>FY24</t>
  </si>
  <si>
    <t xml:space="preserve"> </t>
  </si>
  <si>
    <t>Spares and Consumables</t>
  </si>
  <si>
    <t>Laptop and Smart Watch</t>
  </si>
  <si>
    <t>Fixed costs</t>
  </si>
  <si>
    <t>Consolidated fixed costs - Inflation</t>
  </si>
  <si>
    <t>Finance cost and Non operating Income</t>
  </si>
  <si>
    <t>Other Income as a % of revenue</t>
  </si>
  <si>
    <t>Other Income%</t>
  </si>
  <si>
    <t xml:space="preserve">EBITDA </t>
  </si>
  <si>
    <t>Screen Pro (INR)</t>
  </si>
  <si>
    <t>#Screens replaced</t>
  </si>
  <si>
    <t>Screens replaced%</t>
  </si>
  <si>
    <t>Testing &amp; Grading</t>
  </si>
  <si>
    <t>Gross Margin</t>
  </si>
  <si>
    <t>Gross Margin%</t>
  </si>
  <si>
    <t>Logistics</t>
  </si>
  <si>
    <t>#No. of Engineers</t>
  </si>
  <si>
    <t>EBIDTA</t>
  </si>
  <si>
    <t>EBIDTA%</t>
  </si>
  <si>
    <t>Offline Distribution (INR)</t>
  </si>
  <si>
    <t>Offline Sales Revenue</t>
  </si>
  <si>
    <t>Online Sales Revenue</t>
  </si>
  <si>
    <t>Revenue Pre Tax (Post Returns)</t>
  </si>
  <si>
    <t>Revenue Growth Rate%</t>
  </si>
  <si>
    <t>Revenue post tax (after returns)</t>
  </si>
  <si>
    <t>EBITDA</t>
  </si>
  <si>
    <t>Particulars</t>
  </si>
  <si>
    <t>Qty</t>
  </si>
  <si>
    <t>Value</t>
  </si>
  <si>
    <t>Total - Ageing</t>
  </si>
  <si>
    <t>Apple</t>
  </si>
  <si>
    <t>Android</t>
  </si>
  <si>
    <t>Org. Stock-in date</t>
  </si>
  <si>
    <t>A) Mobile &amp; other</t>
  </si>
  <si>
    <t>&lt;15 days</t>
  </si>
  <si>
    <t>16-30 days</t>
  </si>
  <si>
    <t>1-2 months</t>
  </si>
  <si>
    <t>2-3 months</t>
  </si>
  <si>
    <t>&gt;3 months</t>
  </si>
  <si>
    <t>B) Laptop</t>
  </si>
  <si>
    <t xml:space="preserve">C) Spares &amp; Consumable and Accessories </t>
  </si>
  <si>
    <t>Total Inventory (A+B+C)</t>
  </si>
  <si>
    <t>Manak Waste Management</t>
  </si>
  <si>
    <t>Facility</t>
  </si>
  <si>
    <t>Warehouse</t>
  </si>
  <si>
    <t>TRC</t>
  </si>
  <si>
    <t>Selling Center</t>
  </si>
  <si>
    <t>Intransit</t>
  </si>
  <si>
    <t>Ageing</t>
  </si>
  <si>
    <t>Laptops</t>
  </si>
  <si>
    <t>Grade</t>
  </si>
  <si>
    <t>A</t>
  </si>
  <si>
    <t>A+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</si>
  <si>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</si>
  <si>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</si>
  <si>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</si>
  <si>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</si>
  <si>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</si>
  <si>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</si>
  <si>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</si>
  <si>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</si>
  <si>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</si>
  <si>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E+</t>
  </si>
  <si>
    <t>E</t>
  </si>
  <si>
    <t>FV</t>
  </si>
  <si>
    <t>Untested</t>
  </si>
  <si>
    <t>Under Repair</t>
  </si>
  <si>
    <t>Mark Dead</t>
  </si>
  <si>
    <t>Mobile</t>
  </si>
  <si>
    <t>Smart Watch</t>
  </si>
  <si>
    <t>Tablet</t>
  </si>
  <si>
    <t>Earphones/Earbuds</t>
  </si>
  <si>
    <t>Gaming Console</t>
  </si>
  <si>
    <t>Camera</t>
  </si>
  <si>
    <t>Speaker</t>
  </si>
  <si>
    <t>Darshita</t>
  </si>
  <si>
    <t>Assets assigned to emp.</t>
  </si>
  <si>
    <t>Total Mark Dead (Inc. Under Repair)</t>
  </si>
  <si>
    <t>B2C Entity</t>
  </si>
  <si>
    <t>Devices + Accessories</t>
  </si>
  <si>
    <t>Ageing - Devices</t>
  </si>
  <si>
    <t>Ageing - Laptop</t>
  </si>
  <si>
    <t>Ageing - Accessories</t>
  </si>
  <si>
    <t>Apple devices :</t>
  </si>
  <si>
    <t>Spares and Consumables per Device</t>
  </si>
  <si>
    <t>Devices ASP</t>
  </si>
  <si>
    <t>Inventory Days - Value</t>
  </si>
  <si>
    <t>Amounts in ₹ Crores</t>
  </si>
  <si>
    <t>FY27E</t>
  </si>
  <si>
    <t>FY28E</t>
  </si>
  <si>
    <t>FY26A</t>
  </si>
  <si>
    <t>Inventory writeoff (as a % of revenue)</t>
  </si>
  <si>
    <t>Engineers cost (as a % of revenue)</t>
  </si>
  <si>
    <t>Refurbishing center cost (as a % of revenue)</t>
  </si>
  <si>
    <t>JFM FY'29</t>
  </si>
  <si>
    <t>FY29</t>
  </si>
  <si>
    <t>AMJ FY'29</t>
  </si>
  <si>
    <t>JAS FY'29</t>
  </si>
  <si>
    <t>OND FY'29</t>
  </si>
  <si>
    <t>FY29E</t>
  </si>
  <si>
    <t>Warehouse (expenses as a % of revenue)</t>
  </si>
  <si>
    <t>Warehousing expenses inflation</t>
  </si>
  <si>
    <t>Consolidated P&amp;L</t>
  </si>
  <si>
    <t>No of Transactions</t>
  </si>
  <si>
    <t>Other income as a % of revenue</t>
  </si>
  <si>
    <t>Transaction growth % - Non Repair</t>
  </si>
  <si>
    <t>Transaction growth % - D2C</t>
  </si>
  <si>
    <t>FY24A</t>
  </si>
  <si>
    <t>FY25A</t>
  </si>
  <si>
    <t>Revenue Growth %</t>
  </si>
  <si>
    <t>#Screen Pro as a % of total devices</t>
  </si>
  <si>
    <t>Spares &amp; Consumables as a % of sales</t>
  </si>
  <si>
    <t>Gross GMV</t>
  </si>
  <si>
    <t>Cashify</t>
  </si>
  <si>
    <t>Revenue Post Tax (Rs. Cr)</t>
  </si>
  <si>
    <t>Common Size across the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</si>
</sst>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[$-409]mmm\-yy"/>
    <numFmt numFmtId="167" formatCode="_ * #,##0_ ;_ * \-#,##0_ ;_ * &quot;-&quot;??_ ;_ @_ "/>
    <numFmt numFmtId="168" formatCode="0.0%"/>
    <numFmt numFmtId="169" formatCode="0.000%"/>
    <numFmt numFmtId="170" formatCode="_ * #,##0.0_ ;_ * \-#,##0.0_ ;_ * &quot;-&quot;??_ ;_ @_ "/>
    <numFmt numFmtId="171" formatCode="_(* #,##0.0_);_(* \(#,##0.0\);_(* &quot;-&quot;??_);_(@_)"/>
    <numFmt numFmtId="172" formatCode="[$-409]mmm\-yy;@"/>
  </numFmts>
  <fonts count="6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11"/>
      <color theme="1"/>
      <name val="Calibri"/>
      <family val="2"/>
    </font>
    <font>
      <b/>
      <sz val="11"/>
      <color rgb="FF0057B7"/>
      <name val="Aptos Narrow"/>
      <family val="2"/>
    </font>
    <font>
      <b/>
      <sz val="11"/>
      <color theme="1"/>
      <name val="Aptos Narrow"/>
      <family val="2"/>
    </font>
    <font>
      <sz val="11"/>
      <color rgb="FF0057B7"/>
      <name val="Aptos Narrow"/>
      <family val="2"/>
      <scheme val="minor"/>
    </font>
    <font>
      <sz val="11"/>
      <color rgb="FF005EA4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</font>
    <font>
      <sz val="11"/>
      <color rgb="FF0057B7"/>
      <name val="Aptos Narrow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B3D9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b/>
      <sz val="11"/>
      <color theme="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i/>
      <sz val="11"/>
      <color theme="1"/>
      <name val="Aptos Narrow"/>
      <family val="2"/>
      <scheme val="major"/>
    </font>
    <font>
      <sz val="11"/>
      <color theme="0"/>
      <name val="Aptos Narrow"/>
      <family val="2"/>
      <scheme val="major"/>
    </font>
    <font>
      <b/>
      <sz val="11"/>
      <color theme="0"/>
      <name val="Calibri"/>
      <family val="2"/>
    </font>
    <font>
      <b/>
      <i/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</font>
    <font>
      <sz val="11"/>
      <color theme="1"/>
      <name val="Arial"/>
      <family val="2"/>
    </font>
    <font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i/>
      <sz val="11"/>
      <color theme="1"/>
      <name val="Aptos Narrow"/>
      <family val="2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name val="Aptos Narrow"/>
      <scheme val="minor"/>
    </font>
    <font>
      <b/>
      <u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ajor"/>
    </font>
    <font>
      <sz val="11"/>
      <name val="Aptos Narrow"/>
      <family val="2"/>
      <scheme val="major"/>
    </font>
    <font>
      <b/>
      <sz val="11"/>
      <color rgb="FF0B3D91"/>
      <name val="Aptos Narrow"/>
      <family val="2"/>
      <scheme val="major"/>
    </font>
    <font>
      <sz val="11"/>
      <color rgb="FF0B3D91"/>
      <name val="Aptos Narrow"/>
      <family val="2"/>
      <scheme val="major"/>
    </font>
    <font>
      <b/>
      <sz val="11"/>
      <color rgb="FFFF0000"/>
      <name val="Aptos Narrow"/>
      <family val="2"/>
      <scheme val="major"/>
    </font>
    <font>
      <b/>
      <i/>
      <sz val="11"/>
      <color theme="1"/>
      <name val="Aptos Narrow"/>
      <family val="2"/>
      <scheme val="major"/>
    </font>
    <font>
      <i/>
      <sz val="11"/>
      <name val="Aptos Narrow"/>
      <family val="2"/>
      <scheme val="major"/>
    </font>
    <font>
      <sz val="11"/>
      <color rgb="FF000000"/>
      <name val="Aptos Narrow"/>
      <family val="2"/>
      <scheme val="major"/>
    </font>
    <font>
      <i/>
      <sz val="11"/>
      <color theme="3" tint="0.249977111117893"/>
      <name val="Aptos Narrow"/>
      <family val="2"/>
      <scheme val="minor"/>
    </font>
    <font>
      <b/>
      <i/>
      <sz val="11"/>
      <color theme="3" tint="0.249977111117893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9E2F3"/>
        <bgColor rgb="FFD9E2F3"/>
      </patternFill>
    </fill>
    <fill>
      <patternFill patternType="solid">
        <fgColor rgb="FFC1E4F5"/>
        <bgColor rgb="FFC1E4F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rgb="FFC1E4F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164" fontId="12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6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835">
    <xf numFmtId="0" fontId="0" fillId="0" borderId="0" xfId="0"/>
    <xf numFmtId="165" fontId="13" fillId="2" borderId="1" xfId="0" applyNumberFormat="1" applyFont="1" applyFill="1" applyBorder="1" applyAlignment="1">
      <alignment vertical="center"/>
    </xf>
    <xf numFmtId="166" fontId="13" fillId="2" borderId="2" xfId="0" applyNumberFormat="1" applyFont="1" applyFill="1" applyBorder="1" applyAlignment="1">
      <alignment horizontal="center" vertical="center"/>
    </xf>
    <xf numFmtId="165" fontId="14" fillId="3" borderId="3" xfId="0" applyNumberFormat="1" applyFont="1" applyFill="1" applyBorder="1" applyAlignment="1">
      <alignment vertical="center"/>
    </xf>
    <xf numFmtId="165" fontId="15" fillId="4" borderId="3" xfId="0" applyNumberFormat="1" applyFont="1" applyFill="1" applyBorder="1"/>
    <xf numFmtId="165" fontId="16" fillId="4" borderId="3" xfId="0" applyNumberFormat="1" applyFont="1" applyFill="1" applyBorder="1"/>
    <xf numFmtId="167" fontId="12" fillId="0" borderId="3" xfId="1" applyNumberFormat="1" applyFont="1" applyBorder="1"/>
    <xf numFmtId="167" fontId="17" fillId="0" borderId="3" xfId="1" applyNumberFormat="1" applyFont="1" applyBorder="1"/>
    <xf numFmtId="167" fontId="18" fillId="0" borderId="3" xfId="1" applyNumberFormat="1" applyFont="1" applyBorder="1"/>
    <xf numFmtId="165" fontId="19" fillId="0" borderId="3" xfId="0" applyNumberFormat="1" applyFont="1" applyBorder="1" applyAlignment="1">
      <alignment horizontal="left" vertical="center"/>
    </xf>
    <xf numFmtId="0" fontId="0" fillId="0" borderId="3" xfId="0" applyBorder="1"/>
    <xf numFmtId="165" fontId="19" fillId="0" borderId="4" xfId="0" applyNumberFormat="1" applyFont="1" applyBorder="1"/>
    <xf numFmtId="165" fontId="19" fillId="0" borderId="5" xfId="0" applyNumberFormat="1" applyFont="1" applyBorder="1"/>
    <xf numFmtId="165" fontId="20" fillId="0" borderId="3" xfId="0" applyNumberFormat="1" applyFont="1" applyBorder="1" applyAlignment="1">
      <alignment horizontal="left" vertical="center"/>
    </xf>
    <xf numFmtId="0" fontId="17" fillId="0" borderId="3" xfId="0" applyFont="1" applyBorder="1"/>
    <xf numFmtId="165" fontId="21" fillId="0" borderId="4" xfId="0" applyNumberFormat="1" applyFont="1" applyBorder="1"/>
    <xf numFmtId="165" fontId="21" fillId="0" borderId="5" xfId="0" applyNumberFormat="1" applyFont="1" applyBorder="1"/>
    <xf numFmtId="167" fontId="15" fillId="4" borderId="3" xfId="1" applyNumberFormat="1" applyFont="1" applyFill="1" applyBorder="1"/>
    <xf numFmtId="167" fontId="16" fillId="4" borderId="3" xfId="1" applyNumberFormat="1" applyFont="1" applyFill="1" applyBorder="1"/>
    <xf numFmtId="167" fontId="0" fillId="0" borderId="3" xfId="1" applyNumberFormat="1" applyFont="1" applyBorder="1"/>
    <xf numFmtId="9" fontId="0" fillId="0" borderId="3" xfId="1" applyNumberFormat="1" applyFont="1" applyBorder="1"/>
    <xf numFmtId="165" fontId="22" fillId="0" borderId="3" xfId="0" applyNumberFormat="1" applyFont="1" applyBorder="1" applyAlignment="1">
      <alignment horizontal="left"/>
    </xf>
    <xf numFmtId="165" fontId="20" fillId="0" borderId="3" xfId="0" applyNumberFormat="1" applyFont="1" applyBorder="1" applyAlignment="1">
      <alignment horizontal="left"/>
    </xf>
    <xf numFmtId="165" fontId="16" fillId="4" borderId="3" xfId="0" applyNumberFormat="1" applyFont="1" applyFill="1" applyBorder="1" applyAlignment="1">
      <alignment vertical="center"/>
    </xf>
    <xf numFmtId="165" fontId="23" fillId="0" borderId="3" xfId="0" applyNumberFormat="1" applyFont="1" applyBorder="1" applyAlignment="1">
      <alignment horizontal="left" vertical="center"/>
    </xf>
    <xf numFmtId="165" fontId="19" fillId="0" borderId="3" xfId="0" applyNumberFormat="1" applyFont="1" applyBorder="1" applyAlignment="1">
      <alignment horizontal="left"/>
    </xf>
    <xf numFmtId="165" fontId="16" fillId="0" borderId="3" xfId="0" applyNumberFormat="1" applyFont="1" applyBorder="1" applyAlignment="1">
      <alignment vertical="center"/>
    </xf>
    <xf numFmtId="165" fontId="20" fillId="0" borderId="6" xfId="0" applyNumberFormat="1" applyFont="1" applyBorder="1" applyAlignment="1">
      <alignment horizontal="left" vertical="center"/>
    </xf>
    <xf numFmtId="167" fontId="0" fillId="0" borderId="6" xfId="1" applyNumberFormat="1" applyFont="1" applyBorder="1"/>
    <xf numFmtId="165" fontId="16" fillId="4" borderId="5" xfId="0" applyNumberFormat="1" applyFont="1" applyFill="1" applyBorder="1"/>
    <xf numFmtId="0" fontId="24" fillId="0" borderId="0" xfId="0" applyFont="1"/>
    <xf numFmtId="166" fontId="13" fillId="2" borderId="7" xfId="2" applyNumberFormat="1" applyFont="1" applyFill="1" applyBorder="1" applyAlignment="1">
      <alignment horizontal="center" vertical="center"/>
    </xf>
    <xf numFmtId="0" fontId="10" fillId="0" borderId="0" xfId="0" applyFont="1"/>
    <xf numFmtId="0" fontId="25" fillId="5" borderId="0" xfId="0" applyFont="1" applyFill="1"/>
    <xf numFmtId="0" fontId="0" fillId="5" borderId="0" xfId="0" applyFill="1"/>
    <xf numFmtId="167" fontId="10" fillId="0" borderId="0" xfId="1" applyNumberFormat="1" applyFont="1"/>
    <xf numFmtId="9" fontId="26" fillId="0" borderId="0" xfId="0" applyNumberFormat="1" applyFont="1"/>
    <xf numFmtId="0" fontId="26" fillId="0" borderId="0" xfId="0" applyFont="1"/>
    <xf numFmtId="165" fontId="28" fillId="0" borderId="0" xfId="2" applyNumberFormat="1" applyFont="1" applyAlignment="1">
      <alignment vertical="center"/>
    </xf>
    <xf numFmtId="166" fontId="28" fillId="0" borderId="0" xfId="2" applyNumberFormat="1" applyFont="1" applyAlignment="1">
      <alignment horizontal="center" vertical="center"/>
    </xf>
    <xf numFmtId="165" fontId="28" fillId="2" borderId="20" xfId="2" applyNumberFormat="1" applyFont="1" applyFill="1" applyBorder="1" applyAlignment="1">
      <alignment vertical="center"/>
    </xf>
    <xf numFmtId="166" fontId="28" fillId="2" borderId="21" xfId="2" applyNumberFormat="1" applyFont="1" applyFill="1" applyBorder="1" applyAlignment="1">
      <alignment horizontal="center" vertical="center"/>
    </xf>
    <xf numFmtId="166" fontId="28" fillId="2" borderId="22" xfId="2" applyNumberFormat="1" applyFont="1" applyFill="1" applyBorder="1" applyAlignment="1">
      <alignment horizontal="center" vertical="center"/>
    </xf>
    <xf numFmtId="166" fontId="28" fillId="2" borderId="23" xfId="2" applyNumberFormat="1" applyFont="1" applyFill="1" applyBorder="1" applyAlignment="1">
      <alignment horizontal="center" vertical="center"/>
    </xf>
    <xf numFmtId="166" fontId="28" fillId="2" borderId="24" xfId="2" applyNumberFormat="1" applyFont="1" applyFill="1" applyBorder="1" applyAlignment="1">
      <alignment horizontal="center" vertical="center"/>
    </xf>
    <xf numFmtId="166" fontId="28" fillId="2" borderId="25" xfId="2" applyNumberFormat="1" applyFont="1" applyFill="1" applyBorder="1" applyAlignment="1">
      <alignment horizontal="center" vertical="center"/>
    </xf>
    <xf numFmtId="166" fontId="28" fillId="2" borderId="20" xfId="2" applyNumberFormat="1" applyFont="1" applyFill="1" applyBorder="1" applyAlignment="1">
      <alignment horizontal="center" vertical="center"/>
    </xf>
    <xf numFmtId="166" fontId="28" fillId="2" borderId="26" xfId="2" applyNumberFormat="1" applyFont="1" applyFill="1" applyBorder="1" applyAlignment="1">
      <alignment horizontal="center" vertical="center"/>
    </xf>
    <xf numFmtId="165" fontId="30" fillId="0" borderId="9" xfId="2" applyNumberFormat="1" applyFont="1" applyBorder="1" applyAlignment="1">
      <alignment horizontal="left" vertical="center"/>
    </xf>
    <xf numFmtId="165" fontId="27" fillId="0" borderId="9" xfId="2" applyNumberFormat="1" applyFont="1" applyBorder="1" applyAlignment="1">
      <alignment horizontal="left" vertical="center"/>
    </xf>
    <xf numFmtId="166" fontId="28" fillId="0" borderId="5" xfId="2" applyNumberFormat="1" applyFont="1" applyBorder="1" applyAlignment="1">
      <alignment horizontal="center" vertical="center"/>
    </xf>
    <xf numFmtId="166" fontId="28" fillId="0" borderId="4" xfId="2" applyNumberFormat="1" applyFont="1" applyBorder="1" applyAlignment="1">
      <alignment horizontal="center" vertical="center"/>
    </xf>
    <xf numFmtId="166" fontId="28" fillId="0" borderId="8" xfId="2" applyNumberFormat="1" applyFont="1" applyBorder="1" applyAlignment="1">
      <alignment horizontal="center" vertical="center"/>
    </xf>
    <xf numFmtId="166" fontId="28" fillId="0" borderId="10" xfId="2" applyNumberFormat="1" applyFont="1" applyBorder="1" applyAlignment="1">
      <alignment horizontal="center" vertical="center"/>
    </xf>
    <xf numFmtId="166" fontId="28" fillId="0" borderId="27" xfId="2" applyNumberFormat="1" applyFont="1" applyBorder="1" applyAlignment="1">
      <alignment horizontal="center" vertical="center"/>
    </xf>
    <xf numFmtId="166" fontId="31" fillId="0" borderId="0" xfId="2" applyNumberFormat="1" applyFont="1" applyAlignment="1">
      <alignment horizontal="center" vertical="center"/>
    </xf>
    <xf numFmtId="165" fontId="29" fillId="4" borderId="9" xfId="2" applyNumberFormat="1" applyFont="1" applyFill="1" applyBorder="1" applyAlignment="1">
      <alignment vertical="center"/>
    </xf>
    <xf numFmtId="165" fontId="29" fillId="0" borderId="9" xfId="2" applyNumberFormat="1" applyFont="1" applyBorder="1" applyAlignment="1">
      <alignment vertical="center"/>
    </xf>
    <xf numFmtId="165" fontId="30" fillId="0" borderId="12" xfId="2" applyNumberFormat="1" applyFont="1" applyBorder="1" applyAlignment="1">
      <alignment horizontal="left" vertical="center"/>
    </xf>
    <xf numFmtId="9" fontId="27" fillId="0" borderId="0" xfId="2" applyNumberFormat="1" applyFont="1" applyAlignment="1">
      <alignment vertical="center"/>
    </xf>
    <xf numFmtId="0" fontId="27" fillId="0" borderId="0" xfId="2" applyFont="1" applyAlignment="1">
      <alignment vertical="center"/>
    </xf>
    <xf numFmtId="165" fontId="29" fillId="4" borderId="5" xfId="2" applyNumberFormat="1" applyFont="1" applyFill="1" applyBorder="1" applyAlignment="1">
      <alignment vertical="center"/>
    </xf>
    <xf numFmtId="165" fontId="29" fillId="4" borderId="4" xfId="2" applyNumberFormat="1" applyFont="1" applyFill="1" applyBorder="1" applyAlignment="1">
      <alignment vertical="center"/>
    </xf>
    <xf numFmtId="165" fontId="29" fillId="4" borderId="10" xfId="2" applyNumberFormat="1" applyFont="1" applyFill="1" applyBorder="1" applyAlignment="1">
      <alignment vertical="center"/>
    </xf>
    <xf numFmtId="165" fontId="29" fillId="0" borderId="0" xfId="2" applyNumberFormat="1" applyFont="1" applyAlignment="1">
      <alignment vertical="center"/>
    </xf>
    <xf numFmtId="165" fontId="29" fillId="4" borderId="27" xfId="2" applyNumberFormat="1" applyFont="1" applyFill="1" applyBorder="1" applyAlignment="1">
      <alignment vertical="center"/>
    </xf>
    <xf numFmtId="165" fontId="27" fillId="0" borderId="5" xfId="2" applyNumberFormat="1" applyFont="1" applyBorder="1" applyAlignment="1">
      <alignment vertical="center"/>
    </xf>
    <xf numFmtId="165" fontId="27" fillId="0" borderId="4" xfId="2" applyNumberFormat="1" applyFont="1" applyBorder="1" applyAlignment="1">
      <alignment vertical="center"/>
    </xf>
    <xf numFmtId="165" fontId="27" fillId="0" borderId="0" xfId="2" applyNumberFormat="1" applyFont="1" applyAlignment="1">
      <alignment vertical="center"/>
    </xf>
    <xf numFmtId="165" fontId="27" fillId="0" borderId="10" xfId="2" applyNumberFormat="1" applyFont="1" applyBorder="1" applyAlignment="1">
      <alignment vertical="center"/>
    </xf>
    <xf numFmtId="165" fontId="27" fillId="0" borderId="27" xfId="2" applyNumberFormat="1" applyFont="1" applyBorder="1" applyAlignment="1">
      <alignment vertical="center"/>
    </xf>
    <xf numFmtId="165" fontId="29" fillId="0" borderId="5" xfId="2" applyNumberFormat="1" applyFont="1" applyBorder="1" applyAlignment="1">
      <alignment vertical="center"/>
    </xf>
    <xf numFmtId="165" fontId="29" fillId="0" borderId="4" xfId="2" applyNumberFormat="1" applyFont="1" applyBorder="1" applyAlignment="1">
      <alignment vertical="center"/>
    </xf>
    <xf numFmtId="165" fontId="29" fillId="0" borderId="10" xfId="2" applyNumberFormat="1" applyFont="1" applyBorder="1" applyAlignment="1">
      <alignment vertical="center"/>
    </xf>
    <xf numFmtId="165" fontId="29" fillId="0" borderId="27" xfId="2" applyNumberFormat="1" applyFont="1" applyBorder="1" applyAlignment="1">
      <alignment vertical="center"/>
    </xf>
    <xf numFmtId="9" fontId="30" fillId="0" borderId="5" xfId="2" applyNumberFormat="1" applyFont="1" applyBorder="1" applyAlignment="1">
      <alignment vertical="center"/>
    </xf>
    <xf numFmtId="9" fontId="30" fillId="0" borderId="4" xfId="2" applyNumberFormat="1" applyFont="1" applyBorder="1" applyAlignment="1">
      <alignment vertical="center"/>
    </xf>
    <xf numFmtId="168" fontId="30" fillId="0" borderId="4" xfId="2" applyNumberFormat="1" applyFont="1" applyBorder="1" applyAlignment="1">
      <alignment vertical="center"/>
    </xf>
    <xf numFmtId="9" fontId="30" fillId="0" borderId="10" xfId="2" applyNumberFormat="1" applyFont="1" applyBorder="1" applyAlignment="1">
      <alignment vertical="center"/>
    </xf>
    <xf numFmtId="9" fontId="30" fillId="0" borderId="0" xfId="2" applyNumberFormat="1" applyFont="1" applyAlignment="1">
      <alignment vertical="center"/>
    </xf>
    <xf numFmtId="9" fontId="30" fillId="0" borderId="27" xfId="2" applyNumberFormat="1" applyFont="1" applyBorder="1" applyAlignment="1">
      <alignment vertical="center"/>
    </xf>
    <xf numFmtId="168" fontId="30" fillId="0" borderId="10" xfId="2" applyNumberFormat="1" applyFont="1" applyBorder="1" applyAlignment="1">
      <alignment vertical="center"/>
    </xf>
    <xf numFmtId="168" fontId="30" fillId="0" borderId="5" xfId="2" applyNumberFormat="1" applyFont="1" applyBorder="1" applyAlignment="1">
      <alignment vertical="center"/>
    </xf>
    <xf numFmtId="168" fontId="30" fillId="0" borderId="0" xfId="2" applyNumberFormat="1" applyFont="1" applyAlignment="1">
      <alignment vertical="center"/>
    </xf>
    <xf numFmtId="168" fontId="30" fillId="0" borderId="27" xfId="2" applyNumberFormat="1" applyFont="1" applyBorder="1" applyAlignment="1">
      <alignment vertical="center"/>
    </xf>
    <xf numFmtId="165" fontId="30" fillId="0" borderId="4" xfId="2" applyNumberFormat="1" applyFont="1" applyBorder="1" applyAlignment="1">
      <alignment vertical="center"/>
    </xf>
    <xf numFmtId="165" fontId="30" fillId="0" borderId="10" xfId="2" applyNumberFormat="1" applyFont="1" applyBorder="1" applyAlignment="1">
      <alignment vertical="center"/>
    </xf>
    <xf numFmtId="165" fontId="30" fillId="0" borderId="5" xfId="2" applyNumberFormat="1" applyFont="1" applyBorder="1" applyAlignment="1">
      <alignment vertical="center"/>
    </xf>
    <xf numFmtId="165" fontId="30" fillId="0" borderId="0" xfId="2" applyNumberFormat="1" applyFont="1" applyAlignment="1">
      <alignment vertical="center"/>
    </xf>
    <xf numFmtId="165" fontId="30" fillId="0" borderId="27" xfId="2" applyNumberFormat="1" applyFont="1" applyBorder="1" applyAlignment="1">
      <alignment vertical="center"/>
    </xf>
    <xf numFmtId="9" fontId="27" fillId="0" borderId="4" xfId="2" applyNumberFormat="1" applyFont="1" applyBorder="1" applyAlignment="1">
      <alignment vertical="center"/>
    </xf>
    <xf numFmtId="9" fontId="27" fillId="0" borderId="10" xfId="2" applyNumberFormat="1" applyFont="1" applyBorder="1" applyAlignment="1">
      <alignment vertical="center"/>
    </xf>
    <xf numFmtId="9" fontId="27" fillId="0" borderId="27" xfId="2" applyNumberFormat="1" applyFont="1" applyBorder="1" applyAlignment="1">
      <alignment vertical="center"/>
    </xf>
    <xf numFmtId="168" fontId="27" fillId="0" borderId="4" xfId="2" applyNumberFormat="1" applyFont="1" applyBorder="1" applyAlignment="1">
      <alignment vertical="center"/>
    </xf>
    <xf numFmtId="10" fontId="27" fillId="0" borderId="4" xfId="2" applyNumberFormat="1" applyFont="1" applyBorder="1" applyAlignment="1">
      <alignment vertical="center"/>
    </xf>
    <xf numFmtId="10" fontId="27" fillId="0" borderId="5" xfId="2" applyNumberFormat="1" applyFont="1" applyBorder="1" applyAlignment="1">
      <alignment vertical="center"/>
    </xf>
    <xf numFmtId="10" fontId="27" fillId="0" borderId="10" xfId="2" applyNumberFormat="1" applyFont="1" applyBorder="1" applyAlignment="1">
      <alignment vertical="center"/>
    </xf>
    <xf numFmtId="10" fontId="27" fillId="0" borderId="0" xfId="2" applyNumberFormat="1" applyFont="1" applyAlignment="1">
      <alignment vertical="center"/>
    </xf>
    <xf numFmtId="10" fontId="27" fillId="0" borderId="27" xfId="2" applyNumberFormat="1" applyFont="1" applyBorder="1" applyAlignment="1">
      <alignment vertical="center"/>
    </xf>
    <xf numFmtId="10" fontId="30" fillId="0" borderId="4" xfId="2" applyNumberFormat="1" applyFont="1" applyBorder="1" applyAlignment="1">
      <alignment vertical="center"/>
    </xf>
    <xf numFmtId="169" fontId="30" fillId="0" borderId="4" xfId="2" applyNumberFormat="1" applyFont="1" applyBorder="1" applyAlignment="1">
      <alignment vertical="center"/>
    </xf>
    <xf numFmtId="167" fontId="27" fillId="0" borderId="5" xfId="1" applyNumberFormat="1" applyFont="1" applyBorder="1" applyAlignment="1">
      <alignment vertical="center"/>
    </xf>
    <xf numFmtId="167" fontId="27" fillId="0" borderId="4" xfId="1" applyNumberFormat="1" applyFont="1" applyBorder="1" applyAlignment="1">
      <alignment vertical="center"/>
    </xf>
    <xf numFmtId="167" fontId="27" fillId="0" borderId="0" xfId="1" applyNumberFormat="1" applyFont="1" applyBorder="1" applyAlignment="1">
      <alignment vertical="center"/>
    </xf>
    <xf numFmtId="167" fontId="27" fillId="0" borderId="10" xfId="1" applyNumberFormat="1" applyFont="1" applyBorder="1" applyAlignment="1">
      <alignment vertical="center"/>
    </xf>
    <xf numFmtId="43" fontId="27" fillId="0" borderId="4" xfId="2" applyNumberFormat="1" applyFont="1" applyBorder="1" applyAlignment="1">
      <alignment vertical="center"/>
    </xf>
    <xf numFmtId="9" fontId="30" fillId="0" borderId="11" xfId="2" applyNumberFormat="1" applyFont="1" applyBorder="1" applyAlignment="1">
      <alignment vertical="center"/>
    </xf>
    <xf numFmtId="9" fontId="30" fillId="0" borderId="13" xfId="2" applyNumberFormat="1" applyFont="1" applyBorder="1" applyAlignment="1">
      <alignment vertical="center"/>
    </xf>
    <xf numFmtId="9" fontId="30" fillId="0" borderId="14" xfId="2" applyNumberFormat="1" applyFont="1" applyBorder="1" applyAlignment="1">
      <alignment vertical="center"/>
    </xf>
    <xf numFmtId="9" fontId="30" fillId="0" borderId="15" xfId="2" applyNumberFormat="1" applyFont="1" applyBorder="1" applyAlignment="1">
      <alignment vertical="center"/>
    </xf>
    <xf numFmtId="9" fontId="30" fillId="0" borderId="16" xfId="2" applyNumberFormat="1" applyFont="1" applyBorder="1" applyAlignment="1">
      <alignment vertical="center"/>
    </xf>
    <xf numFmtId="166" fontId="28" fillId="2" borderId="2" xfId="2" applyNumberFormat="1" applyFont="1" applyFill="1" applyBorder="1" applyAlignment="1">
      <alignment horizontal="center" vertical="center"/>
    </xf>
    <xf numFmtId="165" fontId="28" fillId="2" borderId="2" xfId="0" applyNumberFormat="1" applyFont="1" applyFill="1" applyBorder="1" applyAlignment="1">
      <alignment vertical="center"/>
    </xf>
    <xf numFmtId="0" fontId="27" fillId="0" borderId="0" xfId="0" applyFont="1"/>
    <xf numFmtId="165" fontId="27" fillId="0" borderId="3" xfId="0" applyNumberFormat="1" applyFont="1" applyBorder="1" applyAlignment="1">
      <alignment horizontal="left"/>
    </xf>
    <xf numFmtId="0" fontId="27" fillId="0" borderId="3" xfId="0" applyFont="1" applyBorder="1"/>
    <xf numFmtId="165" fontId="29" fillId="0" borderId="3" xfId="0" applyNumberFormat="1" applyFont="1" applyBorder="1" applyAlignment="1">
      <alignment horizontal="left"/>
    </xf>
    <xf numFmtId="165" fontId="30" fillId="0" borderId="3" xfId="0" applyNumberFormat="1" applyFont="1" applyBorder="1" applyAlignment="1">
      <alignment horizontal="left"/>
    </xf>
    <xf numFmtId="165" fontId="28" fillId="0" borderId="3" xfId="0" applyNumberFormat="1" applyFont="1" applyBorder="1" applyAlignment="1">
      <alignment vertical="center"/>
    </xf>
    <xf numFmtId="165" fontId="30" fillId="0" borderId="3" xfId="0" applyNumberFormat="1" applyFont="1" applyBorder="1" applyAlignment="1">
      <alignment horizontal="left" vertical="center"/>
    </xf>
    <xf numFmtId="165" fontId="27" fillId="0" borderId="3" xfId="0" applyNumberFormat="1" applyFont="1" applyBorder="1" applyAlignment="1">
      <alignment horizontal="left" vertical="center"/>
    </xf>
    <xf numFmtId="165" fontId="30" fillId="0" borderId="6" xfId="0" applyNumberFormat="1" applyFont="1" applyBorder="1" applyAlignment="1">
      <alignment horizontal="left"/>
    </xf>
    <xf numFmtId="0" fontId="27" fillId="0" borderId="6" xfId="0" applyFont="1" applyBorder="1"/>
    <xf numFmtId="165" fontId="23" fillId="0" borderId="0" xfId="0" applyNumberFormat="1" applyFont="1" applyAlignment="1">
      <alignment vertical="center"/>
    </xf>
    <xf numFmtId="166" fontId="32" fillId="2" borderId="2" xfId="0" applyNumberFormat="1" applyFont="1" applyFill="1" applyBorder="1" applyAlignment="1">
      <alignment horizontal="center" vertical="center"/>
    </xf>
    <xf numFmtId="167" fontId="14" fillId="0" borderId="3" xfId="1" applyNumberFormat="1" applyFont="1" applyBorder="1"/>
    <xf numFmtId="167" fontId="23" fillId="0" borderId="3" xfId="1" applyNumberFormat="1" applyFont="1" applyBorder="1"/>
    <xf numFmtId="167" fontId="14" fillId="0" borderId="3" xfId="0" applyNumberFormat="1" applyFont="1" applyBorder="1"/>
    <xf numFmtId="164" fontId="27" fillId="0" borderId="3" xfId="1" applyFont="1" applyBorder="1"/>
    <xf numFmtId="167" fontId="27" fillId="0" borderId="3" xfId="1" applyNumberFormat="1" applyFont="1" applyBorder="1"/>
    <xf numFmtId="167" fontId="27" fillId="0" borderId="3" xfId="0" applyNumberFormat="1" applyFont="1" applyBorder="1"/>
    <xf numFmtId="167" fontId="29" fillId="0" borderId="3" xfId="0" applyNumberFormat="1" applyFont="1" applyBorder="1"/>
    <xf numFmtId="167" fontId="29" fillId="0" borderId="3" xfId="1" applyNumberFormat="1" applyFont="1" applyBorder="1"/>
    <xf numFmtId="9" fontId="27" fillId="0" borderId="3" xfId="0" applyNumberFormat="1" applyFont="1" applyBorder="1"/>
    <xf numFmtId="9" fontId="27" fillId="0" borderId="3" xfId="1" applyNumberFormat="1" applyFont="1" applyBorder="1"/>
    <xf numFmtId="165" fontId="27" fillId="0" borderId="3" xfId="0" applyNumberFormat="1" applyFont="1" applyBorder="1" applyAlignment="1">
      <alignment horizontal="left" indent="1"/>
    </xf>
    <xf numFmtId="165" fontId="13" fillId="2" borderId="2" xfId="0" applyNumberFormat="1" applyFont="1" applyFill="1" applyBorder="1" applyAlignment="1">
      <alignment vertical="center"/>
    </xf>
    <xf numFmtId="165" fontId="13" fillId="0" borderId="3" xfId="0" applyNumberFormat="1" applyFont="1" applyBorder="1" applyAlignment="1">
      <alignment vertical="center"/>
    </xf>
    <xf numFmtId="165" fontId="16" fillId="0" borderId="3" xfId="0" applyNumberFormat="1" applyFont="1" applyBorder="1" applyAlignment="1">
      <alignment horizontal="center" vertical="center"/>
    </xf>
    <xf numFmtId="43" fontId="35" fillId="0" borderId="3" xfId="0" applyNumberFormat="1" applyFont="1" applyBorder="1" applyAlignment="1">
      <alignment horizontal="center" vertical="center"/>
    </xf>
    <xf numFmtId="165" fontId="19" fillId="0" borderId="3" xfId="0" applyNumberFormat="1" applyFont="1" applyBorder="1"/>
    <xf numFmtId="9" fontId="20" fillId="0" borderId="3" xfId="0" applyNumberFormat="1" applyFont="1" applyBorder="1"/>
    <xf numFmtId="171" fontId="20" fillId="0" borderId="3" xfId="0" applyNumberFormat="1" applyFont="1" applyBorder="1"/>
    <xf numFmtId="165" fontId="20" fillId="0" borderId="3" xfId="0" applyNumberFormat="1" applyFont="1" applyBorder="1"/>
    <xf numFmtId="0" fontId="19" fillId="0" borderId="3" xfId="0" applyFont="1" applyBorder="1"/>
    <xf numFmtId="168" fontId="20" fillId="0" borderId="3" xfId="0" applyNumberFormat="1" applyFont="1" applyBorder="1"/>
    <xf numFmtId="43" fontId="20" fillId="0" borderId="3" xfId="0" applyNumberFormat="1" applyFont="1" applyBorder="1"/>
    <xf numFmtId="167" fontId="19" fillId="0" borderId="3" xfId="1" applyNumberFormat="1" applyFont="1" applyBorder="1"/>
    <xf numFmtId="165" fontId="16" fillId="0" borderId="3" xfId="0" applyNumberFormat="1" applyFont="1" applyBorder="1"/>
    <xf numFmtId="9" fontId="19" fillId="0" borderId="3" xfId="0" applyNumberFormat="1" applyFont="1" applyBorder="1"/>
    <xf numFmtId="165" fontId="20" fillId="0" borderId="6" xfId="0" applyNumberFormat="1" applyFont="1" applyBorder="1" applyAlignment="1">
      <alignment horizontal="left"/>
    </xf>
    <xf numFmtId="9" fontId="19" fillId="0" borderId="6" xfId="0" applyNumberFormat="1" applyFont="1" applyBorder="1"/>
    <xf numFmtId="167" fontId="0" fillId="0" borderId="0" xfId="1" applyNumberFormat="1" applyFont="1" applyBorder="1"/>
    <xf numFmtId="165" fontId="34" fillId="6" borderId="2" xfId="1" applyNumberFormat="1" applyFont="1" applyFill="1" applyBorder="1" applyAlignment="1">
      <alignment vertical="center"/>
    </xf>
    <xf numFmtId="172" fontId="34" fillId="6" borderId="2" xfId="1" applyNumberFormat="1" applyFont="1" applyFill="1" applyBorder="1" applyAlignment="1">
      <alignment horizontal="centerContinuous" vertical="center" wrapText="1"/>
    </xf>
    <xf numFmtId="165" fontId="23" fillId="0" borderId="3" xfId="0" applyNumberFormat="1" applyFont="1" applyBorder="1" applyAlignment="1">
      <alignment vertical="center"/>
    </xf>
    <xf numFmtId="165" fontId="22" fillId="0" borderId="3" xfId="0" applyNumberFormat="1" applyFont="1" applyBorder="1" applyAlignment="1">
      <alignment vertical="center"/>
    </xf>
    <xf numFmtId="165" fontId="22" fillId="0" borderId="6" xfId="0" applyNumberFormat="1" applyFont="1" applyBorder="1" applyAlignment="1">
      <alignment vertical="center"/>
    </xf>
    <xf numFmtId="167" fontId="24" fillId="0" borderId="3" xfId="1" applyNumberFormat="1" applyFont="1" applyBorder="1"/>
    <xf numFmtId="165" fontId="14" fillId="0" borderId="3" xfId="0" applyNumberFormat="1" applyFont="1" applyBorder="1" applyAlignment="1">
      <alignment vertical="center"/>
    </xf>
    <xf numFmtId="165" fontId="23" fillId="0" borderId="3" xfId="0" applyNumberFormat="1" applyFont="1" applyBorder="1" applyAlignment="1">
      <alignment horizontal="left" vertical="center" indent="1"/>
    </xf>
    <xf numFmtId="9" fontId="0" fillId="0" borderId="3" xfId="0" applyNumberFormat="1" applyBorder="1"/>
    <xf numFmtId="165" fontId="39" fillId="0" borderId="3" xfId="1" applyNumberFormat="1" applyFont="1" applyBorder="1" applyAlignment="1"/>
    <xf numFmtId="9" fontId="24" fillId="0" borderId="3" xfId="0" applyNumberFormat="1" applyFont="1" applyBorder="1"/>
    <xf numFmtId="164" fontId="22" fillId="0" borderId="3" xfId="1" applyFont="1" applyBorder="1" applyAlignment="1">
      <alignment horizontal="left" vertical="center" indent="1"/>
    </xf>
    <xf numFmtId="167" fontId="0" fillId="0" borderId="3" xfId="0" applyNumberFormat="1" applyBorder="1"/>
    <xf numFmtId="9" fontId="0" fillId="0" borderId="6" xfId="0" applyNumberFormat="1" applyBorder="1"/>
    <xf numFmtId="165" fontId="23" fillId="0" borderId="3" xfId="0" applyNumberFormat="1" applyFont="1" applyBorder="1" applyAlignment="1">
      <alignment horizontal="left"/>
    </xf>
    <xf numFmtId="166" fontId="9" fillId="0" borderId="0" xfId="0" applyNumberFormat="1" applyFont="1"/>
    <xf numFmtId="167" fontId="24" fillId="0" borderId="3" xfId="0" applyNumberFormat="1" applyFont="1" applyBorder="1"/>
    <xf numFmtId="0" fontId="41" fillId="0" borderId="0" xfId="0" applyFont="1"/>
    <xf numFmtId="168" fontId="0" fillId="0" borderId="3" xfId="1" applyNumberFormat="1" applyFont="1" applyBorder="1"/>
    <xf numFmtId="165" fontId="40" fillId="0" borderId="3" xfId="0" applyNumberFormat="1" applyFont="1" applyBorder="1" applyAlignment="1">
      <alignment horizontal="left"/>
    </xf>
    <xf numFmtId="165" fontId="22" fillId="0" borderId="3" xfId="0" applyNumberFormat="1" applyFont="1" applyBorder="1" applyAlignment="1">
      <alignment horizontal="left" vertical="center"/>
    </xf>
    <xf numFmtId="164" fontId="0" fillId="0" borderId="3" xfId="1" applyFont="1" applyBorder="1"/>
    <xf numFmtId="165" fontId="32" fillId="2" borderId="2" xfId="0" applyNumberFormat="1" applyFont="1" applyFill="1" applyBorder="1" applyAlignment="1">
      <alignment vertical="center"/>
    </xf>
    <xf numFmtId="165" fontId="14" fillId="0" borderId="3" xfId="0" applyNumberFormat="1" applyFont="1" applyBorder="1" applyAlignment="1">
      <alignment horizontal="left"/>
    </xf>
    <xf numFmtId="2" fontId="32" fillId="0" borderId="3" xfId="0" applyNumberFormat="1" applyFont="1" applyBorder="1" applyAlignment="1">
      <alignment vertical="center"/>
    </xf>
    <xf numFmtId="165" fontId="23" fillId="0" borderId="3" xfId="0" applyNumberFormat="1" applyFont="1" applyBorder="1"/>
    <xf numFmtId="10" fontId="0" fillId="0" borderId="3" xfId="0" applyNumberFormat="1" applyBorder="1"/>
    <xf numFmtId="167" fontId="16" fillId="4" borderId="3" xfId="1" applyNumberFormat="1" applyFont="1" applyFill="1" applyBorder="1" applyAlignment="1">
      <alignment vertical="center"/>
    </xf>
    <xf numFmtId="9" fontId="16" fillId="4" borderId="3" xfId="4" applyFont="1" applyFill="1" applyBorder="1" applyAlignment="1">
      <alignment vertical="center"/>
    </xf>
    <xf numFmtId="167" fontId="24" fillId="7" borderId="3" xfId="0" applyNumberFormat="1" applyFont="1" applyFill="1" applyBorder="1"/>
    <xf numFmtId="165" fontId="14" fillId="7" borderId="3" xfId="0" applyNumberFormat="1" applyFont="1" applyFill="1" applyBorder="1" applyAlignment="1">
      <alignment vertical="center"/>
    </xf>
    <xf numFmtId="165" fontId="16" fillId="7" borderId="3" xfId="0" applyNumberFormat="1" applyFont="1" applyFill="1" applyBorder="1" applyAlignment="1">
      <alignment vertical="center"/>
    </xf>
    <xf numFmtId="168" fontId="27" fillId="0" borderId="3" xfId="0" applyNumberFormat="1" applyFont="1" applyBorder="1"/>
    <xf numFmtId="165" fontId="29" fillId="9" borderId="3" xfId="0" applyNumberFormat="1" applyFont="1" applyFill="1" applyBorder="1" applyAlignment="1">
      <alignment vertical="center"/>
    </xf>
    <xf numFmtId="167" fontId="29" fillId="9" borderId="3" xfId="0" applyNumberFormat="1" applyFont="1" applyFill="1" applyBorder="1"/>
    <xf numFmtId="9" fontId="27" fillId="0" borderId="6" xfId="0" applyNumberFormat="1" applyFont="1" applyBorder="1"/>
    <xf numFmtId="0" fontId="9" fillId="0" borderId="0" xfId="0" applyFont="1"/>
    <xf numFmtId="165" fontId="19" fillId="0" borderId="3" xfId="0" applyNumberFormat="1" applyFont="1" applyBorder="1" applyAlignment="1">
      <alignment vertical="center"/>
    </xf>
    <xf numFmtId="0" fontId="36" fillId="0" borderId="3" xfId="0" applyFont="1" applyBorder="1"/>
    <xf numFmtId="165" fontId="22" fillId="0" borderId="6" xfId="0" applyNumberFormat="1" applyFont="1" applyBorder="1" applyAlignment="1">
      <alignment horizontal="left"/>
    </xf>
    <xf numFmtId="165" fontId="16" fillId="10" borderId="3" xfId="0" applyNumberFormat="1" applyFont="1" applyFill="1" applyBorder="1" applyAlignment="1">
      <alignment vertical="center"/>
    </xf>
    <xf numFmtId="167" fontId="24" fillId="10" borderId="3" xfId="1" applyNumberFormat="1" applyFont="1" applyFill="1" applyBorder="1"/>
    <xf numFmtId="167" fontId="24" fillId="10" borderId="3" xfId="0" applyNumberFormat="1" applyFont="1" applyFill="1" applyBorder="1"/>
    <xf numFmtId="165" fontId="14" fillId="9" borderId="3" xfId="0" applyNumberFormat="1" applyFont="1" applyFill="1" applyBorder="1" applyAlignment="1">
      <alignment vertical="center"/>
    </xf>
    <xf numFmtId="167" fontId="24" fillId="7" borderId="3" xfId="1" applyNumberFormat="1" applyFont="1" applyFill="1" applyBorder="1"/>
    <xf numFmtId="167" fontId="24" fillId="9" borderId="3" xfId="0" applyNumberFormat="1" applyFont="1" applyFill="1" applyBorder="1"/>
    <xf numFmtId="167" fontId="24" fillId="9" borderId="3" xfId="1" applyNumberFormat="1" applyFont="1" applyFill="1" applyBorder="1"/>
    <xf numFmtId="165" fontId="24" fillId="7" borderId="3" xfId="0" applyNumberFormat="1" applyFont="1" applyFill="1" applyBorder="1"/>
    <xf numFmtId="167" fontId="0" fillId="0" borderId="0" xfId="1" applyNumberFormat="1" applyFont="1"/>
    <xf numFmtId="167" fontId="30" fillId="0" borderId="5" xfId="1" applyNumberFormat="1" applyFont="1" applyBorder="1" applyAlignment="1">
      <alignment vertical="center"/>
    </xf>
    <xf numFmtId="167" fontId="30" fillId="0" borderId="4" xfId="1" applyNumberFormat="1" applyFont="1" applyBorder="1" applyAlignment="1">
      <alignment vertical="center"/>
    </xf>
    <xf numFmtId="167" fontId="27" fillId="0" borderId="5" xfId="1" applyNumberFormat="1" applyFont="1" applyFill="1" applyBorder="1" applyAlignment="1">
      <alignment vertical="center"/>
    </xf>
    <xf numFmtId="167" fontId="27" fillId="0" borderId="4" xfId="1" applyNumberFormat="1" applyFont="1" applyFill="1" applyBorder="1" applyAlignment="1">
      <alignment vertical="center"/>
    </xf>
    <xf numFmtId="167" fontId="27" fillId="0" borderId="0" xfId="1" applyNumberFormat="1" applyFont="1" applyFill="1" applyBorder="1" applyAlignment="1">
      <alignment vertical="center"/>
    </xf>
    <xf numFmtId="167" fontId="27" fillId="0" borderId="10" xfId="1" applyNumberFormat="1" applyFont="1" applyFill="1" applyBorder="1" applyAlignment="1">
      <alignment vertical="center"/>
    </xf>
    <xf numFmtId="165" fontId="14" fillId="9" borderId="3" xfId="2" applyNumberFormat="1" applyFont="1" applyFill="1" applyBorder="1" applyAlignment="1">
      <alignment vertical="center"/>
    </xf>
    <xf numFmtId="165" fontId="38" fillId="9" borderId="3" xfId="1" applyNumberFormat="1" applyFont="1" applyFill="1" applyBorder="1" applyAlignment="1">
      <alignment vertical="center"/>
    </xf>
    <xf numFmtId="165" fontId="33" fillId="9" borderId="3" xfId="0" applyNumberFormat="1" applyFont="1" applyFill="1" applyBorder="1" applyAlignment="1">
      <alignment vertical="center"/>
    </xf>
    <xf numFmtId="9" fontId="24" fillId="9" borderId="3" xfId="0" applyNumberFormat="1" applyFont="1" applyFill="1" applyBorder="1"/>
    <xf numFmtId="165" fontId="16" fillId="9" borderId="3" xfId="0" applyNumberFormat="1" applyFont="1" applyFill="1" applyBorder="1" applyAlignment="1">
      <alignment vertical="center"/>
    </xf>
    <xf numFmtId="167" fontId="0" fillId="0" borderId="3" xfId="1" applyNumberFormat="1" applyFont="1" applyFill="1" applyBorder="1"/>
    <xf numFmtId="165" fontId="14" fillId="10" borderId="3" xfId="0" applyNumberFormat="1" applyFont="1" applyFill="1" applyBorder="1" applyAlignment="1">
      <alignment vertical="center"/>
    </xf>
    <xf numFmtId="167" fontId="29" fillId="7" borderId="3" xfId="0" applyNumberFormat="1" applyFont="1" applyFill="1" applyBorder="1"/>
    <xf numFmtId="167" fontId="8" fillId="0" borderId="3" xfId="1" applyNumberFormat="1" applyFont="1" applyBorder="1"/>
    <xf numFmtId="9" fontId="0" fillId="0" borderId="6" xfId="1" applyNumberFormat="1" applyFont="1" applyBorder="1"/>
    <xf numFmtId="168" fontId="0" fillId="0" borderId="3" xfId="0" applyNumberFormat="1" applyBorder="1"/>
    <xf numFmtId="165" fontId="24" fillId="0" borderId="3" xfId="0" applyNumberFormat="1" applyFont="1" applyBorder="1"/>
    <xf numFmtId="164" fontId="0" fillId="0" borderId="3" xfId="1" applyFont="1" applyFill="1" applyBorder="1"/>
    <xf numFmtId="165" fontId="37" fillId="0" borderId="0" xfId="1" applyNumberFormat="1" applyFont="1" applyBorder="1" applyAlignment="1">
      <alignment horizontal="left" vertical="center" indent="2"/>
    </xf>
    <xf numFmtId="0" fontId="7" fillId="0" borderId="0" xfId="0" applyFont="1"/>
    <xf numFmtId="165" fontId="38" fillId="11" borderId="3" xfId="1" applyNumberFormat="1" applyFont="1" applyFill="1" applyBorder="1" applyAlignment="1">
      <alignment vertical="center"/>
    </xf>
    <xf numFmtId="167" fontId="24" fillId="11" borderId="3" xfId="0" applyNumberFormat="1" applyFont="1" applyFill="1" applyBorder="1"/>
    <xf numFmtId="165" fontId="43" fillId="0" borderId="3" xfId="1" applyNumberFormat="1" applyFont="1" applyBorder="1" applyAlignment="1">
      <alignment horizontal="left" vertical="center" indent="1"/>
    </xf>
    <xf numFmtId="165" fontId="37" fillId="0" borderId="3" xfId="1" applyNumberFormat="1" applyFont="1" applyBorder="1" applyAlignment="1">
      <alignment horizontal="left" vertical="center" indent="2"/>
    </xf>
    <xf numFmtId="165" fontId="38" fillId="0" borderId="3" xfId="1" applyNumberFormat="1" applyFont="1" applyBorder="1" applyAlignment="1">
      <alignment horizontal="left" vertical="center"/>
    </xf>
    <xf numFmtId="165" fontId="37" fillId="0" borderId="3" xfId="1" applyNumberFormat="1" applyFont="1" applyBorder="1" applyAlignment="1">
      <alignment horizontal="left" vertical="center" indent="1"/>
    </xf>
    <xf numFmtId="165" fontId="43" fillId="0" borderId="3" xfId="1" applyNumberFormat="1" applyFont="1" applyFill="1" applyBorder="1" applyAlignment="1">
      <alignment horizontal="left" vertical="center" indent="1"/>
    </xf>
    <xf numFmtId="165" fontId="39" fillId="0" borderId="3" xfId="1" applyNumberFormat="1" applyFont="1" applyBorder="1" applyAlignment="1">
      <alignment horizontal="left" vertical="center" indent="1"/>
    </xf>
    <xf numFmtId="165" fontId="37" fillId="0" borderId="3" xfId="1" applyNumberFormat="1" applyFont="1" applyBorder="1" applyAlignment="1">
      <alignment horizontal="left" vertical="center" indent="3"/>
    </xf>
    <xf numFmtId="167" fontId="7" fillId="0" borderId="3" xfId="1" applyNumberFormat="1" applyFont="1" applyBorder="1"/>
    <xf numFmtId="165" fontId="37" fillId="0" borderId="6" xfId="1" applyNumberFormat="1" applyFont="1" applyBorder="1" applyAlignment="1">
      <alignment horizontal="left" vertical="center" indent="2"/>
    </xf>
    <xf numFmtId="172" fontId="34" fillId="6" borderId="31" xfId="1" applyNumberFormat="1" applyFont="1" applyFill="1" applyBorder="1" applyAlignment="1">
      <alignment horizontal="centerContinuous" vertical="center"/>
    </xf>
    <xf numFmtId="172" fontId="34" fillId="6" borderId="2" xfId="1" applyNumberFormat="1" applyFont="1" applyFill="1" applyBorder="1" applyAlignment="1">
      <alignment horizontal="centerContinuous" vertical="center"/>
    </xf>
    <xf numFmtId="0" fontId="6" fillId="0" borderId="0" xfId="5"/>
    <xf numFmtId="0" fontId="24" fillId="7" borderId="33" xfId="5" applyFont="1" applyFill="1" applyBorder="1"/>
    <xf numFmtId="0" fontId="24" fillId="7" borderId="34" xfId="5" applyFont="1" applyFill="1" applyBorder="1"/>
    <xf numFmtId="0" fontId="24" fillId="7" borderId="32" xfId="5" applyFont="1" applyFill="1" applyBorder="1"/>
    <xf numFmtId="0" fontId="24" fillId="7" borderId="32" xfId="5" applyFont="1" applyFill="1" applyBorder="1" applyAlignment="1">
      <alignment horizontal="center"/>
    </xf>
    <xf numFmtId="0" fontId="24" fillId="7" borderId="35" xfId="5" applyFont="1" applyFill="1" applyBorder="1"/>
    <xf numFmtId="0" fontId="24" fillId="7" borderId="36" xfId="5" applyFont="1" applyFill="1" applyBorder="1" applyAlignment="1">
      <alignment horizontal="center"/>
    </xf>
    <xf numFmtId="0" fontId="24" fillId="7" borderId="35" xfId="5" applyFont="1" applyFill="1" applyBorder="1" applyAlignment="1">
      <alignment horizontal="center"/>
    </xf>
    <xf numFmtId="166" fontId="24" fillId="7" borderId="32" xfId="5" applyNumberFormat="1" applyFont="1" applyFill="1" applyBorder="1" applyAlignment="1">
      <alignment horizontal="center"/>
    </xf>
    <xf numFmtId="0" fontId="24" fillId="7" borderId="37" xfId="5" applyFont="1" applyFill="1" applyBorder="1" applyAlignment="1">
      <alignment horizontal="center"/>
    </xf>
    <xf numFmtId="0" fontId="6" fillId="0" borderId="38" xfId="5" applyBorder="1"/>
    <xf numFmtId="0" fontId="6" fillId="0" borderId="29" xfId="5" applyBorder="1"/>
    <xf numFmtId="165" fontId="0" fillId="0" borderId="39" xfId="6" applyNumberFormat="1" applyFont="1" applyBorder="1"/>
    <xf numFmtId="0" fontId="6" fillId="0" borderId="29" xfId="5" applyBorder="1" applyAlignment="1">
      <alignment horizontal="center"/>
    </xf>
    <xf numFmtId="165" fontId="0" fillId="0" borderId="40" xfId="6" applyNumberFormat="1" applyFont="1" applyBorder="1"/>
    <xf numFmtId="165" fontId="0" fillId="0" borderId="41" xfId="6" applyNumberFormat="1" applyFont="1" applyBorder="1"/>
    <xf numFmtId="165" fontId="0" fillId="0" borderId="42" xfId="6" applyNumberFormat="1" applyFont="1" applyBorder="1"/>
    <xf numFmtId="165" fontId="0" fillId="0" borderId="26" xfId="6" applyNumberFormat="1" applyFont="1" applyBorder="1"/>
    <xf numFmtId="165" fontId="0" fillId="0" borderId="43" xfId="6" applyNumberFormat="1" applyFont="1" applyBorder="1"/>
    <xf numFmtId="165" fontId="0" fillId="0" borderId="44" xfId="6" applyNumberFormat="1" applyFont="1" applyBorder="1"/>
    <xf numFmtId="165" fontId="0" fillId="0" borderId="45" xfId="6" applyNumberFormat="1" applyFont="1" applyBorder="1"/>
    <xf numFmtId="165" fontId="6" fillId="0" borderId="0" xfId="5" applyNumberFormat="1"/>
    <xf numFmtId="0" fontId="6" fillId="0" borderId="46" xfId="5" applyBorder="1"/>
    <xf numFmtId="0" fontId="6" fillId="0" borderId="26" xfId="5" applyBorder="1"/>
    <xf numFmtId="0" fontId="6" fillId="0" borderId="26" xfId="5" applyBorder="1" applyAlignment="1">
      <alignment horizontal="center"/>
    </xf>
    <xf numFmtId="165" fontId="0" fillId="0" borderId="20" xfId="6" applyNumberFormat="1" applyFont="1" applyBorder="1"/>
    <xf numFmtId="165" fontId="0" fillId="0" borderId="41" xfId="6" applyNumberFormat="1" applyFont="1" applyFill="1" applyBorder="1"/>
    <xf numFmtId="165" fontId="0" fillId="0" borderId="44" xfId="6" applyNumberFormat="1" applyFont="1" applyFill="1" applyBorder="1"/>
    <xf numFmtId="165" fontId="0" fillId="0" borderId="44" xfId="6" applyNumberFormat="1" applyFont="1" applyBorder="1" applyAlignment="1">
      <alignment horizontal="center"/>
    </xf>
    <xf numFmtId="165" fontId="0" fillId="0" borderId="0" xfId="6" applyNumberFormat="1" applyFont="1" applyFill="1" applyBorder="1"/>
    <xf numFmtId="43" fontId="6" fillId="0" borderId="0" xfId="5" applyNumberFormat="1"/>
    <xf numFmtId="165" fontId="0" fillId="0" borderId="26" xfId="6" applyNumberFormat="1" applyFont="1" applyBorder="1" applyAlignment="1">
      <alignment horizontal="center"/>
    </xf>
    <xf numFmtId="0" fontId="6" fillId="0" borderId="47" xfId="5" applyBorder="1"/>
    <xf numFmtId="0" fontId="6" fillId="0" borderId="28" xfId="5" applyBorder="1"/>
    <xf numFmtId="165" fontId="0" fillId="0" borderId="48" xfId="6" applyNumberFormat="1" applyFont="1" applyBorder="1"/>
    <xf numFmtId="0" fontId="6" fillId="0" borderId="28" xfId="5" applyBorder="1" applyAlignment="1">
      <alignment horizontal="center"/>
    </xf>
    <xf numFmtId="165" fontId="0" fillId="0" borderId="49" xfId="6" applyNumberFormat="1" applyFont="1" applyBorder="1"/>
    <xf numFmtId="165" fontId="0" fillId="0" borderId="50" xfId="6" applyNumberFormat="1" applyFont="1" applyBorder="1"/>
    <xf numFmtId="165" fontId="0" fillId="0" borderId="28" xfId="6" applyNumberFormat="1" applyFont="1" applyBorder="1"/>
    <xf numFmtId="165" fontId="0" fillId="0" borderId="51" xfId="6" applyNumberFormat="1" applyFont="1" applyBorder="1"/>
    <xf numFmtId="0" fontId="6" fillId="0" borderId="52" xfId="5" applyBorder="1"/>
    <xf numFmtId="0" fontId="6" fillId="0" borderId="53" xfId="5" applyBorder="1"/>
    <xf numFmtId="165" fontId="0" fillId="0" borderId="54" xfId="6" applyNumberFormat="1" applyFont="1" applyBorder="1"/>
    <xf numFmtId="0" fontId="6" fillId="0" borderId="53" xfId="5" applyBorder="1" applyAlignment="1">
      <alignment horizontal="center"/>
    </xf>
    <xf numFmtId="165" fontId="0" fillId="0" borderId="55" xfId="6" applyNumberFormat="1" applyFont="1" applyBorder="1"/>
    <xf numFmtId="165" fontId="0" fillId="0" borderId="30" xfId="6" applyNumberFormat="1" applyFont="1" applyBorder="1"/>
    <xf numFmtId="165" fontId="0" fillId="0" borderId="53" xfId="6" applyNumberFormat="1" applyFont="1" applyBorder="1"/>
    <xf numFmtId="165" fontId="0" fillId="0" borderId="56" xfId="6" applyNumberFormat="1" applyFont="1" applyBorder="1"/>
    <xf numFmtId="165" fontId="0" fillId="0" borderId="57" xfId="6" applyNumberFormat="1" applyFont="1" applyBorder="1"/>
    <xf numFmtId="168" fontId="0" fillId="0" borderId="0" xfId="7" applyNumberFormat="1" applyFont="1"/>
    <xf numFmtId="0" fontId="24" fillId="0" borderId="0" xfId="5" applyFont="1"/>
    <xf numFmtId="164" fontId="6" fillId="0" borderId="0" xfId="5" applyNumberFormat="1"/>
    <xf numFmtId="165" fontId="0" fillId="0" borderId="0" xfId="6" applyNumberFormat="1" applyFont="1"/>
    <xf numFmtId="0" fontId="6" fillId="0" borderId="0" xfId="5" applyAlignment="1">
      <alignment horizontal="left" indent="2"/>
    </xf>
    <xf numFmtId="165" fontId="0" fillId="0" borderId="0" xfId="6" applyNumberFormat="1" applyFont="1" applyFill="1"/>
    <xf numFmtId="166" fontId="28" fillId="2" borderId="58" xfId="2" applyNumberFormat="1" applyFont="1" applyFill="1" applyBorder="1" applyAlignment="1">
      <alignment horizontal="center" vertical="center"/>
    </xf>
    <xf numFmtId="167" fontId="0" fillId="11" borderId="3" xfId="0" applyNumberFormat="1" applyFill="1" applyBorder="1"/>
    <xf numFmtId="167" fontId="44" fillId="11" borderId="3" xfId="0" applyNumberFormat="1" applyFont="1" applyFill="1" applyBorder="1"/>
    <xf numFmtId="167" fontId="44" fillId="0" borderId="3" xfId="0" applyNumberFormat="1" applyFont="1" applyBorder="1"/>
    <xf numFmtId="10" fontId="27" fillId="0" borderId="3" xfId="0" applyNumberFormat="1" applyFont="1" applyBorder="1"/>
    <xf numFmtId="165" fontId="38" fillId="7" borderId="3" xfId="1" applyNumberFormat="1" applyFont="1" applyFill="1" applyBorder="1" applyAlignment="1">
      <alignment vertical="center"/>
    </xf>
    <xf numFmtId="167" fontId="24" fillId="11" borderId="3" xfId="1" applyNumberFormat="1" applyFont="1" applyFill="1" applyBorder="1"/>
    <xf numFmtId="165" fontId="14" fillId="11" borderId="3" xfId="2" applyNumberFormat="1" applyFont="1" applyFill="1" applyBorder="1" applyAlignment="1">
      <alignment vertical="center"/>
    </xf>
    <xf numFmtId="165" fontId="22" fillId="0" borderId="3" xfId="0" applyNumberFormat="1" applyFont="1" applyBorder="1" applyAlignment="1">
      <alignment horizontal="left" indent="2"/>
    </xf>
    <xf numFmtId="165" fontId="43" fillId="0" borderId="3" xfId="1" applyNumberFormat="1" applyFont="1" applyBorder="1" applyAlignment="1">
      <alignment horizontal="left" vertical="center" indent="2"/>
    </xf>
    <xf numFmtId="165" fontId="43" fillId="0" borderId="3" xfId="1" applyNumberFormat="1" applyFont="1" applyBorder="1" applyAlignment="1">
      <alignment horizontal="left" vertical="center"/>
    </xf>
    <xf numFmtId="165" fontId="38" fillId="11" borderId="3" xfId="1" applyNumberFormat="1" applyFont="1" applyFill="1" applyBorder="1" applyAlignment="1">
      <alignment horizontal="left" vertical="center"/>
    </xf>
    <xf numFmtId="165" fontId="37" fillId="0" borderId="3" xfId="1" applyNumberFormat="1" applyFont="1" applyBorder="1" applyAlignment="1">
      <alignment horizontal="left" vertical="center"/>
    </xf>
    <xf numFmtId="170" fontId="0" fillId="0" borderId="3" xfId="1" applyNumberFormat="1" applyFont="1" applyBorder="1"/>
    <xf numFmtId="165" fontId="38" fillId="11" borderId="3" xfId="1" applyNumberFormat="1" applyFont="1" applyFill="1" applyBorder="1" applyAlignment="1"/>
    <xf numFmtId="165" fontId="43" fillId="0" borderId="3" xfId="1" applyNumberFormat="1" applyFont="1" applyBorder="1" applyAlignment="1">
      <alignment horizontal="left" indent="1"/>
    </xf>
    <xf numFmtId="165" fontId="43" fillId="0" borderId="3" xfId="1" applyNumberFormat="1" applyFont="1" applyFill="1" applyBorder="1" applyAlignment="1">
      <alignment horizontal="left" indent="1"/>
    </xf>
    <xf numFmtId="165" fontId="14" fillId="11" borderId="3" xfId="0" applyNumberFormat="1" applyFont="1" applyFill="1" applyBorder="1"/>
    <xf numFmtId="167" fontId="0" fillId="11" borderId="3" xfId="1" applyNumberFormat="1" applyFont="1" applyFill="1" applyBorder="1"/>
    <xf numFmtId="165" fontId="37" fillId="0" borderId="3" xfId="1" applyNumberFormat="1" applyFont="1" applyBorder="1" applyAlignment="1">
      <alignment horizontal="left" indent="2"/>
    </xf>
    <xf numFmtId="165" fontId="38" fillId="7" borderId="3" xfId="1" applyNumberFormat="1" applyFont="1" applyFill="1" applyBorder="1" applyAlignment="1"/>
    <xf numFmtId="165" fontId="38" fillId="7" borderId="3" xfId="1" applyNumberFormat="1" applyFont="1" applyFill="1" applyBorder="1"/>
    <xf numFmtId="165" fontId="37" fillId="0" borderId="3" xfId="1" applyNumberFormat="1" applyFont="1" applyBorder="1" applyAlignment="1">
      <alignment horizontal="left" indent="1"/>
    </xf>
    <xf numFmtId="165" fontId="38" fillId="0" borderId="3" xfId="1" applyNumberFormat="1" applyFont="1" applyFill="1" applyBorder="1"/>
    <xf numFmtId="165" fontId="37" fillId="0" borderId="6" xfId="1" applyNumberFormat="1" applyFont="1" applyBorder="1" applyAlignment="1">
      <alignment horizontal="left" indent="1"/>
    </xf>
    <xf numFmtId="167" fontId="44" fillId="11" borderId="3" xfId="1" applyNumberFormat="1" applyFont="1" applyFill="1" applyBorder="1"/>
    <xf numFmtId="10" fontId="0" fillId="0" borderId="3" xfId="1" applyNumberFormat="1" applyFont="1" applyBorder="1"/>
    <xf numFmtId="165" fontId="43" fillId="0" borderId="3" xfId="6" applyNumberFormat="1" applyFont="1" applyBorder="1" applyAlignment="1"/>
    <xf numFmtId="165" fontId="43" fillId="0" borderId="3" xfId="6" applyNumberFormat="1" applyFont="1" applyBorder="1"/>
    <xf numFmtId="165" fontId="43" fillId="0" borderId="3" xfId="6" applyNumberFormat="1" applyFont="1" applyFill="1" applyBorder="1" applyAlignment="1"/>
    <xf numFmtId="165" fontId="37" fillId="0" borderId="3" xfId="6" applyNumberFormat="1" applyFont="1" applyFill="1" applyBorder="1" applyAlignment="1"/>
    <xf numFmtId="165" fontId="37" fillId="0" borderId="3" xfId="6" applyNumberFormat="1" applyFont="1" applyFill="1" applyBorder="1"/>
    <xf numFmtId="165" fontId="37" fillId="0" borderId="3" xfId="6" applyNumberFormat="1" applyFont="1" applyBorder="1" applyAlignment="1"/>
    <xf numFmtId="165" fontId="45" fillId="11" borderId="3" xfId="1" applyNumberFormat="1" applyFont="1" applyFill="1" applyBorder="1" applyAlignment="1"/>
    <xf numFmtId="165" fontId="38" fillId="0" borderId="3" xfId="6" applyNumberFormat="1" applyFont="1" applyBorder="1"/>
    <xf numFmtId="165" fontId="43" fillId="0" borderId="3" xfId="6" applyNumberFormat="1" applyFont="1" applyFill="1" applyBorder="1"/>
    <xf numFmtId="165" fontId="37" fillId="0" borderId="3" xfId="6" applyNumberFormat="1" applyFont="1" applyBorder="1"/>
    <xf numFmtId="43" fontId="37" fillId="0" borderId="3" xfId="6" applyFont="1" applyBorder="1"/>
    <xf numFmtId="167" fontId="29" fillId="9" borderId="3" xfId="1" applyNumberFormat="1" applyFont="1" applyFill="1" applyBorder="1"/>
    <xf numFmtId="0" fontId="29" fillId="0" borderId="3" xfId="0" applyFont="1" applyBorder="1"/>
    <xf numFmtId="0" fontId="29" fillId="0" borderId="0" xfId="0" applyFont="1"/>
    <xf numFmtId="167" fontId="24" fillId="0" borderId="0" xfId="1" applyNumberFormat="1" applyFont="1"/>
    <xf numFmtId="166" fontId="24" fillId="0" borderId="0" xfId="0" applyNumberFormat="1" applyFont="1"/>
    <xf numFmtId="167" fontId="14" fillId="0" borderId="61" xfId="1" applyNumberFormat="1" applyFont="1" applyBorder="1"/>
    <xf numFmtId="165" fontId="34" fillId="6" borderId="52" xfId="8" applyNumberFormat="1" applyFont="1" applyFill="1" applyBorder="1" applyAlignment="1">
      <alignment vertical="center"/>
    </xf>
    <xf numFmtId="172" fontId="34" fillId="6" borderId="53" xfId="8" applyNumberFormat="1" applyFont="1" applyFill="1" applyBorder="1" applyAlignment="1">
      <alignment horizontal="centerContinuous" vertical="center"/>
    </xf>
    <xf numFmtId="172" fontId="34" fillId="6" borderId="31" xfId="8" applyNumberFormat="1" applyFont="1" applyFill="1" applyBorder="1" applyAlignment="1">
      <alignment horizontal="centerContinuous" vertical="center"/>
    </xf>
    <xf numFmtId="172" fontId="34" fillId="6" borderId="62" xfId="8" applyNumberFormat="1" applyFont="1" applyFill="1" applyBorder="1" applyAlignment="1">
      <alignment horizontal="centerContinuous" vertical="center"/>
    </xf>
    <xf numFmtId="0" fontId="4" fillId="0" borderId="0" xfId="9"/>
    <xf numFmtId="165" fontId="38" fillId="7" borderId="63" xfId="8" applyNumberFormat="1" applyFont="1" applyFill="1" applyBorder="1" applyAlignment="1">
      <alignment vertical="center"/>
    </xf>
    <xf numFmtId="165" fontId="38" fillId="7" borderId="64" xfId="8" applyNumberFormat="1" applyFont="1" applyFill="1" applyBorder="1" applyAlignment="1"/>
    <xf numFmtId="165" fontId="38" fillId="7" borderId="3" xfId="8" applyNumberFormat="1" applyFont="1" applyFill="1" applyBorder="1" applyAlignment="1"/>
    <xf numFmtId="165" fontId="38" fillId="7" borderId="0" xfId="8" applyNumberFormat="1" applyFont="1" applyFill="1" applyBorder="1" applyAlignment="1">
      <alignment vertical="center"/>
    </xf>
    <xf numFmtId="165" fontId="38" fillId="7" borderId="3" xfId="8" applyNumberFormat="1" applyFont="1" applyFill="1" applyBorder="1" applyAlignment="1">
      <alignment vertical="center"/>
    </xf>
    <xf numFmtId="165" fontId="38" fillId="7" borderId="11" xfId="8" applyNumberFormat="1" applyFont="1" applyFill="1" applyBorder="1" applyAlignment="1">
      <alignment vertical="center"/>
    </xf>
    <xf numFmtId="165" fontId="38" fillId="7" borderId="60" xfId="8" applyNumberFormat="1" applyFont="1" applyFill="1" applyBorder="1" applyAlignment="1">
      <alignment vertical="center"/>
    </xf>
    <xf numFmtId="165" fontId="43" fillId="0" borderId="63" xfId="8" applyNumberFormat="1" applyFont="1" applyBorder="1" applyAlignment="1">
      <alignment horizontal="left" indent="1"/>
    </xf>
    <xf numFmtId="165" fontId="43" fillId="0" borderId="59" xfId="8" applyNumberFormat="1" applyFont="1" applyBorder="1" applyAlignment="1">
      <alignment horizontal="left"/>
    </xf>
    <xf numFmtId="165" fontId="43" fillId="0" borderId="3" xfId="8" applyNumberFormat="1" applyFont="1" applyBorder="1" applyAlignment="1">
      <alignment horizontal="left"/>
    </xf>
    <xf numFmtId="165" fontId="43" fillId="0" borderId="0" xfId="8" applyNumberFormat="1" applyFont="1" applyBorder="1" applyAlignment="1">
      <alignment horizontal="left"/>
    </xf>
    <xf numFmtId="165" fontId="43" fillId="0" borderId="11" xfId="8" applyNumberFormat="1" applyFont="1" applyBorder="1" applyAlignment="1">
      <alignment horizontal="left"/>
    </xf>
    <xf numFmtId="165" fontId="43" fillId="0" borderId="60" xfId="8" applyNumberFormat="1" applyFont="1" applyBorder="1" applyAlignment="1">
      <alignment horizontal="left"/>
    </xf>
    <xf numFmtId="165" fontId="43" fillId="0" borderId="63" xfId="8" applyNumberFormat="1" applyFont="1" applyBorder="1" applyAlignment="1">
      <alignment horizontal="left"/>
    </xf>
    <xf numFmtId="165" fontId="37" fillId="0" borderId="63" xfId="8" applyNumberFormat="1" applyFont="1" applyBorder="1" applyAlignment="1">
      <alignment horizontal="left" indent="2"/>
    </xf>
    <xf numFmtId="9" fontId="37" fillId="0" borderId="59" xfId="10" applyFont="1" applyBorder="1" applyAlignment="1">
      <alignment horizontal="right"/>
    </xf>
    <xf numFmtId="9" fontId="37" fillId="0" borderId="3" xfId="10" applyFont="1" applyBorder="1" applyAlignment="1">
      <alignment horizontal="right"/>
    </xf>
    <xf numFmtId="9" fontId="37" fillId="0" borderId="0" xfId="10" applyFont="1" applyBorder="1" applyAlignment="1">
      <alignment horizontal="right"/>
    </xf>
    <xf numFmtId="9" fontId="37" fillId="0" borderId="11" xfId="10" applyFont="1" applyBorder="1" applyAlignment="1">
      <alignment horizontal="right"/>
    </xf>
    <xf numFmtId="9" fontId="37" fillId="0" borderId="60" xfId="10" applyFont="1" applyBorder="1" applyAlignment="1">
      <alignment horizontal="right"/>
    </xf>
    <xf numFmtId="9" fontId="37" fillId="0" borderId="63" xfId="10" applyFont="1" applyBorder="1" applyAlignment="1">
      <alignment horizontal="right"/>
    </xf>
    <xf numFmtId="165" fontId="38" fillId="7" borderId="59" xfId="8" applyNumberFormat="1" applyFont="1" applyFill="1" applyBorder="1" applyAlignment="1"/>
    <xf numFmtId="165" fontId="38" fillId="7" borderId="0" xfId="8" applyNumberFormat="1" applyFont="1" applyFill="1" applyBorder="1"/>
    <xf numFmtId="165" fontId="38" fillId="7" borderId="3" xfId="8" applyNumberFormat="1" applyFont="1" applyFill="1" applyBorder="1"/>
    <xf numFmtId="165" fontId="38" fillId="7" borderId="11" xfId="8" applyNumberFormat="1" applyFont="1" applyFill="1" applyBorder="1"/>
    <xf numFmtId="165" fontId="38" fillId="7" borderId="60" xfId="8" applyNumberFormat="1" applyFont="1" applyFill="1" applyBorder="1"/>
    <xf numFmtId="165" fontId="38" fillId="7" borderId="63" xfId="8" applyNumberFormat="1" applyFont="1" applyFill="1" applyBorder="1"/>
    <xf numFmtId="165" fontId="37" fillId="0" borderId="63" xfId="8" applyNumberFormat="1" applyFont="1" applyBorder="1" applyAlignment="1">
      <alignment horizontal="left" indent="1"/>
    </xf>
    <xf numFmtId="165" fontId="37" fillId="0" borderId="59" xfId="8" applyNumberFormat="1" applyFont="1" applyBorder="1" applyAlignment="1"/>
    <xf numFmtId="165" fontId="37" fillId="0" borderId="3" xfId="8" applyNumberFormat="1" applyFont="1" applyBorder="1" applyAlignment="1"/>
    <xf numFmtId="165" fontId="37" fillId="0" borderId="0" xfId="8" applyNumberFormat="1" applyFont="1" applyBorder="1" applyAlignment="1">
      <alignment horizontal="left"/>
    </xf>
    <xf numFmtId="165" fontId="37" fillId="0" borderId="3" xfId="8" applyNumberFormat="1" applyFont="1" applyBorder="1" applyAlignment="1">
      <alignment horizontal="left"/>
    </xf>
    <xf numFmtId="165" fontId="37" fillId="0" borderId="11" xfId="8" applyNumberFormat="1" applyFont="1" applyBorder="1" applyAlignment="1">
      <alignment horizontal="left"/>
    </xf>
    <xf numFmtId="165" fontId="37" fillId="0" borderId="60" xfId="8" applyNumberFormat="1" applyFont="1" applyBorder="1" applyAlignment="1">
      <alignment horizontal="left"/>
    </xf>
    <xf numFmtId="165" fontId="37" fillId="0" borderId="63" xfId="8" applyNumberFormat="1" applyFont="1" applyBorder="1" applyAlignment="1">
      <alignment horizontal="left"/>
    </xf>
    <xf numFmtId="165" fontId="37" fillId="0" borderId="59" xfId="8" applyNumberFormat="1" applyFont="1" applyBorder="1" applyAlignment="1">
      <alignment horizontal="left"/>
    </xf>
    <xf numFmtId="9" fontId="37" fillId="0" borderId="3" xfId="10" applyFont="1" applyBorder="1" applyAlignment="1"/>
    <xf numFmtId="9" fontId="37" fillId="0" borderId="0" xfId="10" applyFont="1" applyBorder="1"/>
    <xf numFmtId="9" fontId="37" fillId="0" borderId="3" xfId="10" applyFont="1" applyBorder="1"/>
    <xf numFmtId="9" fontId="37" fillId="0" borderId="11" xfId="10" applyFont="1" applyBorder="1"/>
    <xf numFmtId="9" fontId="37" fillId="0" borderId="60" xfId="10" applyFont="1" applyBorder="1"/>
    <xf numFmtId="9" fontId="37" fillId="0" borderId="63" xfId="10" applyFont="1" applyBorder="1"/>
    <xf numFmtId="168" fontId="37" fillId="0" borderId="0" xfId="10" applyNumberFormat="1" applyFont="1" applyBorder="1"/>
    <xf numFmtId="168" fontId="37" fillId="0" borderId="3" xfId="10" applyNumberFormat="1" applyFont="1" applyBorder="1"/>
    <xf numFmtId="168" fontId="37" fillId="0" borderId="11" xfId="10" applyNumberFormat="1" applyFont="1" applyBorder="1"/>
    <xf numFmtId="168" fontId="37" fillId="0" borderId="60" xfId="10" applyNumberFormat="1" applyFont="1" applyBorder="1"/>
    <xf numFmtId="168" fontId="37" fillId="0" borderId="63" xfId="10" applyNumberFormat="1" applyFont="1" applyBorder="1"/>
    <xf numFmtId="168" fontId="37" fillId="0" borderId="3" xfId="10" applyNumberFormat="1" applyFont="1" applyBorder="1" applyAlignment="1">
      <alignment horizontal="left"/>
    </xf>
    <xf numFmtId="168" fontId="37" fillId="0" borderId="0" xfId="10" applyNumberFormat="1" applyFont="1" applyBorder="1" applyAlignment="1">
      <alignment horizontal="left"/>
    </xf>
    <xf numFmtId="168" fontId="37" fillId="0" borderId="11" xfId="10" applyNumberFormat="1" applyFont="1" applyBorder="1" applyAlignment="1">
      <alignment horizontal="left"/>
    </xf>
    <xf numFmtId="168" fontId="37" fillId="0" borderId="60" xfId="10" applyNumberFormat="1" applyFont="1" applyBorder="1" applyAlignment="1">
      <alignment horizontal="left"/>
    </xf>
    <xf numFmtId="168" fontId="37" fillId="0" borderId="63" xfId="10" applyNumberFormat="1" applyFont="1" applyBorder="1" applyAlignment="1">
      <alignment horizontal="left"/>
    </xf>
    <xf numFmtId="165" fontId="43" fillId="0" borderId="59" xfId="8" applyNumberFormat="1" applyFont="1" applyBorder="1" applyAlignment="1"/>
    <xf numFmtId="165" fontId="43" fillId="0" borderId="3" xfId="8" applyNumberFormat="1" applyFont="1" applyBorder="1" applyAlignment="1"/>
    <xf numFmtId="165" fontId="43" fillId="0" borderId="3" xfId="8" applyNumberFormat="1" applyFont="1" applyFill="1" applyBorder="1" applyAlignment="1"/>
    <xf numFmtId="165" fontId="43" fillId="0" borderId="3" xfId="8" applyNumberFormat="1" applyFont="1" applyFill="1" applyBorder="1" applyAlignment="1">
      <alignment horizontal="left"/>
    </xf>
    <xf numFmtId="165" fontId="43" fillId="0" borderId="0" xfId="8" applyNumberFormat="1" applyFont="1" applyFill="1" applyBorder="1" applyAlignment="1">
      <alignment horizontal="left"/>
    </xf>
    <xf numFmtId="165" fontId="43" fillId="0" borderId="11" xfId="8" applyNumberFormat="1" applyFont="1" applyFill="1" applyBorder="1" applyAlignment="1">
      <alignment horizontal="left"/>
    </xf>
    <xf numFmtId="165" fontId="43" fillId="0" borderId="60" xfId="8" applyNumberFormat="1" applyFont="1" applyFill="1" applyBorder="1" applyAlignment="1">
      <alignment horizontal="left"/>
    </xf>
    <xf numFmtId="165" fontId="43" fillId="0" borderId="63" xfId="8" applyNumberFormat="1" applyFont="1" applyFill="1" applyBorder="1" applyAlignment="1">
      <alignment horizontal="left"/>
    </xf>
    <xf numFmtId="168" fontId="37" fillId="0" borderId="3" xfId="10" applyNumberFormat="1" applyFont="1" applyBorder="1" applyAlignment="1">
      <alignment horizontal="right"/>
    </xf>
    <xf numFmtId="168" fontId="37" fillId="0" borderId="0" xfId="10" applyNumberFormat="1" applyFont="1" applyBorder="1" applyAlignment="1">
      <alignment horizontal="right"/>
    </xf>
    <xf numFmtId="165" fontId="37" fillId="0" borderId="3" xfId="8" applyNumberFormat="1" applyFont="1" applyBorder="1" applyAlignment="1">
      <alignment horizontal="right"/>
    </xf>
    <xf numFmtId="168" fontId="37" fillId="0" borderId="11" xfId="10" applyNumberFormat="1" applyFont="1" applyBorder="1" applyAlignment="1">
      <alignment horizontal="right"/>
    </xf>
    <xf numFmtId="168" fontId="37" fillId="0" borderId="60" xfId="10" applyNumberFormat="1" applyFont="1" applyBorder="1" applyAlignment="1">
      <alignment horizontal="right"/>
    </xf>
    <xf numFmtId="168" fontId="37" fillId="0" borderId="63" xfId="10" applyNumberFormat="1" applyFont="1" applyBorder="1" applyAlignment="1">
      <alignment horizontal="right"/>
    </xf>
    <xf numFmtId="43" fontId="37" fillId="0" borderId="3" xfId="8" applyFont="1" applyBorder="1" applyAlignment="1">
      <alignment horizontal="right"/>
    </xf>
    <xf numFmtId="43" fontId="37" fillId="0" borderId="0" xfId="8" applyFont="1" applyBorder="1" applyAlignment="1">
      <alignment horizontal="right"/>
    </xf>
    <xf numFmtId="43" fontId="37" fillId="0" borderId="11" xfId="8" applyFont="1" applyBorder="1" applyAlignment="1">
      <alignment horizontal="right"/>
    </xf>
    <xf numFmtId="43" fontId="37" fillId="0" borderId="60" xfId="8" applyFont="1" applyBorder="1" applyAlignment="1">
      <alignment horizontal="right"/>
    </xf>
    <xf numFmtId="43" fontId="37" fillId="0" borderId="63" xfId="8" applyFont="1" applyBorder="1" applyAlignment="1">
      <alignment horizontal="right"/>
    </xf>
    <xf numFmtId="165" fontId="43" fillId="0" borderId="3" xfId="8" applyNumberFormat="1" applyFont="1" applyBorder="1"/>
    <xf numFmtId="165" fontId="43" fillId="0" borderId="0" xfId="8" applyNumberFormat="1" applyFont="1" applyBorder="1"/>
    <xf numFmtId="165" fontId="43" fillId="0" borderId="11" xfId="8" applyNumberFormat="1" applyFont="1" applyBorder="1"/>
    <xf numFmtId="165" fontId="43" fillId="0" borderId="60" xfId="8" applyNumberFormat="1" applyFont="1" applyBorder="1"/>
    <xf numFmtId="165" fontId="43" fillId="0" borderId="63" xfId="8" applyNumberFormat="1" applyFont="1" applyBorder="1"/>
    <xf numFmtId="165" fontId="37" fillId="0" borderId="3" xfId="8" applyNumberFormat="1" applyFont="1" applyFill="1" applyBorder="1" applyAlignment="1">
      <alignment horizontal="left"/>
    </xf>
    <xf numFmtId="9" fontId="37" fillId="0" borderId="59" xfId="10" applyFont="1" applyBorder="1" applyAlignment="1"/>
    <xf numFmtId="9" fontId="37" fillId="0" borderId="3" xfId="10" applyFont="1" applyFill="1" applyBorder="1" applyAlignment="1"/>
    <xf numFmtId="165" fontId="38" fillId="0" borderId="59" xfId="8" applyNumberFormat="1" applyFont="1" applyFill="1" applyBorder="1" applyAlignment="1"/>
    <xf numFmtId="165" fontId="38" fillId="0" borderId="3" xfId="8" applyNumberFormat="1" applyFont="1" applyFill="1" applyBorder="1" applyAlignment="1"/>
    <xf numFmtId="165" fontId="38" fillId="0" borderId="0" xfId="8" applyNumberFormat="1" applyFont="1" applyBorder="1"/>
    <xf numFmtId="165" fontId="38" fillId="0" borderId="3" xfId="8" applyNumberFormat="1" applyFont="1" applyBorder="1"/>
    <xf numFmtId="165" fontId="38" fillId="0" borderId="11" xfId="8" applyNumberFormat="1" applyFont="1" applyBorder="1"/>
    <xf numFmtId="165" fontId="38" fillId="0" borderId="60" xfId="8" applyNumberFormat="1" applyFont="1" applyBorder="1"/>
    <xf numFmtId="165" fontId="38" fillId="0" borderId="63" xfId="8" applyNumberFormat="1" applyFont="1" applyBorder="1"/>
    <xf numFmtId="9" fontId="43" fillId="0" borderId="3" xfId="10" applyFont="1" applyBorder="1" applyAlignment="1"/>
    <xf numFmtId="9" fontId="43" fillId="0" borderId="0" xfId="10" applyFont="1" applyBorder="1"/>
    <xf numFmtId="9" fontId="43" fillId="0" borderId="3" xfId="10" applyFont="1" applyBorder="1"/>
    <xf numFmtId="9" fontId="43" fillId="0" borderId="11" xfId="10" applyFont="1" applyBorder="1"/>
    <xf numFmtId="9" fontId="43" fillId="0" borderId="60" xfId="10" applyFont="1" applyBorder="1"/>
    <xf numFmtId="9" fontId="43" fillId="0" borderId="63" xfId="10" applyFont="1" applyBorder="1"/>
    <xf numFmtId="0" fontId="4" fillId="0" borderId="59" xfId="9" applyBorder="1"/>
    <xf numFmtId="0" fontId="4" fillId="0" borderId="3" xfId="9" applyBorder="1"/>
    <xf numFmtId="0" fontId="4" fillId="0" borderId="11" xfId="9" applyBorder="1"/>
    <xf numFmtId="0" fontId="4" fillId="0" borderId="60" xfId="9" applyBorder="1"/>
    <xf numFmtId="0" fontId="4" fillId="0" borderId="63" xfId="9" applyBorder="1"/>
    <xf numFmtId="9" fontId="43" fillId="0" borderId="3" xfId="10" applyFont="1" applyBorder="1" applyAlignment="1">
      <alignment horizontal="right"/>
    </xf>
    <xf numFmtId="9" fontId="43" fillId="0" borderId="0" xfId="10" applyFont="1" applyBorder="1" applyAlignment="1">
      <alignment horizontal="right"/>
    </xf>
    <xf numFmtId="9" fontId="43" fillId="0" borderId="11" xfId="10" applyFont="1" applyBorder="1" applyAlignment="1">
      <alignment horizontal="right"/>
    </xf>
    <xf numFmtId="9" fontId="43" fillId="0" borderId="60" xfId="10" applyFont="1" applyBorder="1" applyAlignment="1">
      <alignment horizontal="right"/>
    </xf>
    <xf numFmtId="9" fontId="43" fillId="0" borderId="63" xfId="10" applyFont="1" applyBorder="1" applyAlignment="1">
      <alignment horizontal="right"/>
    </xf>
    <xf numFmtId="165" fontId="32" fillId="2" borderId="65" xfId="11" applyNumberFormat="1" applyFont="1" applyFill="1" applyBorder="1" applyAlignment="1">
      <alignment vertical="center"/>
    </xf>
    <xf numFmtId="166" fontId="32" fillId="2" borderId="66" xfId="11" applyNumberFormat="1" applyFont="1" applyFill="1" applyBorder="1" applyAlignment="1">
      <alignment horizontal="center" vertical="center"/>
    </xf>
    <xf numFmtId="166" fontId="32" fillId="2" borderId="18" xfId="11" applyNumberFormat="1" applyFont="1" applyFill="1" applyBorder="1" applyAlignment="1">
      <alignment horizontal="center" vertical="center"/>
    </xf>
    <xf numFmtId="166" fontId="32" fillId="2" borderId="4" xfId="11" applyNumberFormat="1" applyFont="1" applyFill="1" applyBorder="1" applyAlignment="1">
      <alignment horizontal="center" vertical="center"/>
    </xf>
    <xf numFmtId="166" fontId="32" fillId="2" borderId="19" xfId="11" applyNumberFormat="1" applyFont="1" applyFill="1" applyBorder="1" applyAlignment="1">
      <alignment horizontal="center" vertical="center"/>
    </xf>
    <xf numFmtId="166" fontId="32" fillId="2" borderId="67" xfId="11" applyNumberFormat="1" applyFont="1" applyFill="1" applyBorder="1" applyAlignment="1">
      <alignment horizontal="center" vertical="center"/>
    </xf>
    <xf numFmtId="166" fontId="32" fillId="2" borderId="17" xfId="11" applyNumberFormat="1" applyFont="1" applyFill="1" applyBorder="1" applyAlignment="1">
      <alignment horizontal="center" vertical="center"/>
    </xf>
    <xf numFmtId="166" fontId="32" fillId="2" borderId="68" xfId="11" applyNumberFormat="1" applyFont="1" applyFill="1" applyBorder="1" applyAlignment="1">
      <alignment horizontal="center" vertical="center"/>
    </xf>
    <xf numFmtId="166" fontId="32" fillId="2" borderId="69" xfId="11" applyNumberFormat="1" applyFont="1" applyFill="1" applyBorder="1" applyAlignment="1">
      <alignment horizontal="center" vertical="center"/>
    </xf>
    <xf numFmtId="166" fontId="32" fillId="2" borderId="2" xfId="11" applyNumberFormat="1" applyFont="1" applyFill="1" applyBorder="1" applyAlignment="1">
      <alignment horizontal="center" vertical="center"/>
    </xf>
    <xf numFmtId="166" fontId="32" fillId="2" borderId="70" xfId="11" applyNumberFormat="1" applyFont="1" applyFill="1" applyBorder="1" applyAlignment="1">
      <alignment horizontal="center" vertical="center"/>
    </xf>
    <xf numFmtId="166" fontId="32" fillId="2" borderId="71" xfId="11" applyNumberFormat="1" applyFont="1" applyFill="1" applyBorder="1" applyAlignment="1">
      <alignment horizontal="center" vertical="center"/>
    </xf>
    <xf numFmtId="166" fontId="32" fillId="2" borderId="0" xfId="11" applyNumberFormat="1" applyFont="1" applyFill="1" applyAlignment="1">
      <alignment horizontal="center" vertical="center"/>
    </xf>
    <xf numFmtId="166" fontId="32" fillId="2" borderId="0" xfId="11" applyNumberFormat="1" applyFont="1" applyFill="1" applyAlignment="1">
      <alignment vertical="center"/>
    </xf>
    <xf numFmtId="0" fontId="36" fillId="0" borderId="0" xfId="11"/>
    <xf numFmtId="165" fontId="14" fillId="3" borderId="72" xfId="11" applyNumberFormat="1" applyFont="1" applyFill="1" applyBorder="1" applyAlignment="1">
      <alignment vertical="center"/>
    </xf>
    <xf numFmtId="165" fontId="14" fillId="3" borderId="73" xfId="11" applyNumberFormat="1" applyFont="1" applyFill="1" applyBorder="1"/>
    <xf numFmtId="165" fontId="14" fillId="3" borderId="4" xfId="11" applyNumberFormat="1" applyFont="1" applyFill="1" applyBorder="1"/>
    <xf numFmtId="165" fontId="14" fillId="3" borderId="74" xfId="11" applyNumberFormat="1" applyFont="1" applyFill="1" applyBorder="1"/>
    <xf numFmtId="165" fontId="14" fillId="3" borderId="8" xfId="11" applyNumberFormat="1" applyFont="1" applyFill="1" applyBorder="1"/>
    <xf numFmtId="165" fontId="14" fillId="3" borderId="3" xfId="11" applyNumberFormat="1" applyFont="1" applyFill="1" applyBorder="1"/>
    <xf numFmtId="165" fontId="14" fillId="3" borderId="0" xfId="11" applyNumberFormat="1" applyFont="1" applyFill="1"/>
    <xf numFmtId="165" fontId="14" fillId="3" borderId="60" xfId="11" applyNumberFormat="1" applyFont="1" applyFill="1" applyBorder="1"/>
    <xf numFmtId="165" fontId="14" fillId="3" borderId="63" xfId="11" applyNumberFormat="1" applyFont="1" applyFill="1" applyBorder="1"/>
    <xf numFmtId="165" fontId="23" fillId="0" borderId="72" xfId="11" applyNumberFormat="1" applyFont="1" applyBorder="1" applyAlignment="1">
      <alignment horizontal="left"/>
    </xf>
    <xf numFmtId="165" fontId="23" fillId="0" borderId="73" xfId="11" applyNumberFormat="1" applyFont="1" applyBorder="1"/>
    <xf numFmtId="165" fontId="23" fillId="0" borderId="4" xfId="11" applyNumberFormat="1" applyFont="1" applyBorder="1"/>
    <xf numFmtId="165" fontId="23" fillId="0" borderId="0" xfId="11" applyNumberFormat="1" applyFont="1"/>
    <xf numFmtId="165" fontId="23" fillId="0" borderId="5" xfId="11" applyNumberFormat="1" applyFont="1" applyBorder="1"/>
    <xf numFmtId="165" fontId="23" fillId="0" borderId="8" xfId="11" applyNumberFormat="1" applyFont="1" applyBorder="1"/>
    <xf numFmtId="165" fontId="23" fillId="0" borderId="3" xfId="11" applyNumberFormat="1" applyFont="1" applyBorder="1"/>
    <xf numFmtId="165" fontId="23" fillId="0" borderId="60" xfId="11" applyNumberFormat="1" applyFont="1" applyBorder="1"/>
    <xf numFmtId="165" fontId="23" fillId="0" borderId="63" xfId="11" applyNumberFormat="1" applyFont="1" applyBorder="1"/>
    <xf numFmtId="165" fontId="32" fillId="0" borderId="72" xfId="11" applyNumberFormat="1" applyFont="1" applyBorder="1" applyAlignment="1">
      <alignment vertical="center"/>
    </xf>
    <xf numFmtId="166" fontId="32" fillId="0" borderId="73" xfId="11" applyNumberFormat="1" applyFont="1" applyBorder="1" applyAlignment="1">
      <alignment horizontal="center" vertical="center"/>
    </xf>
    <xf numFmtId="166" fontId="32" fillId="0" borderId="4" xfId="11" applyNumberFormat="1" applyFont="1" applyBorder="1" applyAlignment="1">
      <alignment horizontal="center" vertical="center"/>
    </xf>
    <xf numFmtId="166" fontId="32" fillId="0" borderId="8" xfId="11" applyNumberFormat="1" applyFont="1" applyBorder="1" applyAlignment="1">
      <alignment horizontal="center" vertical="center"/>
    </xf>
    <xf numFmtId="166" fontId="32" fillId="0" borderId="0" xfId="11" applyNumberFormat="1" applyFont="1" applyAlignment="1">
      <alignment horizontal="center" vertical="center"/>
    </xf>
    <xf numFmtId="166" fontId="32" fillId="0" borderId="5" xfId="11" applyNumberFormat="1" applyFont="1" applyBorder="1" applyAlignment="1">
      <alignment horizontal="center" vertical="center"/>
    </xf>
    <xf numFmtId="166" fontId="32" fillId="0" borderId="3" xfId="11" applyNumberFormat="1" applyFont="1" applyBorder="1" applyAlignment="1">
      <alignment horizontal="center" vertical="center"/>
    </xf>
    <xf numFmtId="166" fontId="32" fillId="0" borderId="60" xfId="11" applyNumberFormat="1" applyFont="1" applyBorder="1" applyAlignment="1">
      <alignment horizontal="center" vertical="center"/>
    </xf>
    <xf numFmtId="166" fontId="32" fillId="0" borderId="63" xfId="11" applyNumberFormat="1" applyFont="1" applyBorder="1" applyAlignment="1">
      <alignment horizontal="center" vertical="center"/>
    </xf>
    <xf numFmtId="165" fontId="14" fillId="3" borderId="5" xfId="11" applyNumberFormat="1" applyFont="1" applyFill="1" applyBorder="1"/>
    <xf numFmtId="165" fontId="22" fillId="0" borderId="72" xfId="11" applyNumberFormat="1" applyFont="1" applyBorder="1" applyAlignment="1">
      <alignment horizontal="left"/>
    </xf>
    <xf numFmtId="9" fontId="22" fillId="0" borderId="4" xfId="11" applyNumberFormat="1" applyFont="1" applyBorder="1"/>
    <xf numFmtId="9" fontId="22" fillId="0" borderId="8" xfId="11" applyNumberFormat="1" applyFont="1" applyBorder="1"/>
    <xf numFmtId="9" fontId="22" fillId="0" borderId="3" xfId="11" applyNumberFormat="1" applyFont="1" applyBorder="1"/>
    <xf numFmtId="9" fontId="22" fillId="0" borderId="0" xfId="11" applyNumberFormat="1" applyFont="1"/>
    <xf numFmtId="9" fontId="22" fillId="0" borderId="60" xfId="11" applyNumberFormat="1" applyFont="1" applyBorder="1"/>
    <xf numFmtId="9" fontId="22" fillId="0" borderId="63" xfId="11" applyNumberFormat="1" applyFont="1" applyBorder="1"/>
    <xf numFmtId="168" fontId="22" fillId="0" borderId="3" xfId="11" applyNumberFormat="1" applyFont="1" applyBorder="1"/>
    <xf numFmtId="168" fontId="22" fillId="0" borderId="60" xfId="11" applyNumberFormat="1" applyFont="1" applyBorder="1"/>
    <xf numFmtId="168" fontId="22" fillId="0" borderId="63" xfId="11" applyNumberFormat="1" applyFont="1" applyBorder="1"/>
    <xf numFmtId="9" fontId="22" fillId="0" borderId="5" xfId="11" applyNumberFormat="1" applyFont="1" applyBorder="1"/>
    <xf numFmtId="165" fontId="22" fillId="0" borderId="4" xfId="11" applyNumberFormat="1" applyFont="1" applyBorder="1"/>
    <xf numFmtId="165" fontId="22" fillId="0" borderId="5" xfId="11" applyNumberFormat="1" applyFont="1" applyBorder="1"/>
    <xf numFmtId="165" fontId="22" fillId="0" borderId="8" xfId="11" applyNumberFormat="1" applyFont="1" applyBorder="1"/>
    <xf numFmtId="165" fontId="22" fillId="0" borderId="3" xfId="11" applyNumberFormat="1" applyFont="1" applyBorder="1"/>
    <xf numFmtId="165" fontId="22" fillId="0" borderId="0" xfId="11" applyNumberFormat="1" applyFont="1"/>
    <xf numFmtId="165" fontId="22" fillId="0" borderId="60" xfId="11" applyNumberFormat="1" applyFont="1" applyBorder="1"/>
    <xf numFmtId="165" fontId="22" fillId="0" borderId="63" xfId="11" applyNumberFormat="1" applyFont="1" applyBorder="1"/>
    <xf numFmtId="165" fontId="23" fillId="0" borderId="73" xfId="12" applyNumberFormat="1" applyFont="1" applyBorder="1"/>
    <xf numFmtId="165" fontId="23" fillId="0" borderId="4" xfId="12" applyNumberFormat="1" applyFont="1" applyBorder="1"/>
    <xf numFmtId="165" fontId="14" fillId="0" borderId="73" xfId="11" applyNumberFormat="1" applyFont="1" applyBorder="1"/>
    <xf numFmtId="165" fontId="14" fillId="0" borderId="4" xfId="11" applyNumberFormat="1" applyFont="1" applyBorder="1"/>
    <xf numFmtId="43" fontId="23" fillId="0" borderId="73" xfId="11" applyNumberFormat="1" applyFont="1" applyBorder="1"/>
    <xf numFmtId="43" fontId="23" fillId="0" borderId="4" xfId="11" applyNumberFormat="1" applyFont="1" applyBorder="1"/>
    <xf numFmtId="43" fontId="23" fillId="0" borderId="0" xfId="11" applyNumberFormat="1" applyFont="1"/>
    <xf numFmtId="43" fontId="23" fillId="0" borderId="5" xfId="11" applyNumberFormat="1" applyFont="1" applyBorder="1"/>
    <xf numFmtId="43" fontId="23" fillId="0" borderId="8" xfId="11" applyNumberFormat="1" applyFont="1" applyBorder="1"/>
    <xf numFmtId="43" fontId="23" fillId="0" borderId="3" xfId="11" applyNumberFormat="1" applyFont="1" applyBorder="1"/>
    <xf numFmtId="43" fontId="23" fillId="0" borderId="60" xfId="11" applyNumberFormat="1" applyFont="1" applyBorder="1"/>
    <xf numFmtId="43" fontId="23" fillId="0" borderId="63" xfId="11" applyNumberFormat="1" applyFont="1" applyBorder="1"/>
    <xf numFmtId="9" fontId="23" fillId="0" borderId="5" xfId="11" applyNumberFormat="1" applyFont="1" applyBorder="1"/>
    <xf numFmtId="9" fontId="23" fillId="0" borderId="4" xfId="11" applyNumberFormat="1" applyFont="1" applyBorder="1"/>
    <xf numFmtId="9" fontId="23" fillId="0" borderId="8" xfId="11" applyNumberFormat="1" applyFont="1" applyBorder="1"/>
    <xf numFmtId="9" fontId="23" fillId="0" borderId="3" xfId="11" applyNumberFormat="1" applyFont="1" applyBorder="1"/>
    <xf numFmtId="9" fontId="23" fillId="0" borderId="0" xfId="11" applyNumberFormat="1" applyFont="1"/>
    <xf numFmtId="165" fontId="23" fillId="0" borderId="3" xfId="12" applyNumberFormat="1" applyFont="1" applyBorder="1"/>
    <xf numFmtId="9" fontId="23" fillId="0" borderId="60" xfId="11" applyNumberFormat="1" applyFont="1" applyBorder="1"/>
    <xf numFmtId="9" fontId="23" fillId="0" borderId="63" xfId="11" applyNumberFormat="1" applyFont="1" applyBorder="1"/>
    <xf numFmtId="9" fontId="22" fillId="0" borderId="73" xfId="11" applyNumberFormat="1" applyFont="1" applyBorder="1"/>
    <xf numFmtId="168" fontId="36" fillId="0" borderId="0" xfId="13" applyNumberFormat="1" applyFont="1" applyBorder="1"/>
    <xf numFmtId="165" fontId="36" fillId="0" borderId="0" xfId="12" applyNumberFormat="1" applyFont="1" applyBorder="1"/>
    <xf numFmtId="9" fontId="23" fillId="0" borderId="4" xfId="13" applyFont="1" applyBorder="1"/>
    <xf numFmtId="168" fontId="23" fillId="0" borderId="3" xfId="13" applyNumberFormat="1" applyFont="1" applyBorder="1"/>
    <xf numFmtId="168" fontId="23" fillId="0" borderId="60" xfId="13" applyNumberFormat="1" applyFont="1" applyBorder="1"/>
    <xf numFmtId="168" fontId="23" fillId="0" borderId="63" xfId="13" applyNumberFormat="1" applyFont="1" applyBorder="1"/>
    <xf numFmtId="165" fontId="22" fillId="0" borderId="73" xfId="11" applyNumberFormat="1" applyFont="1" applyBorder="1"/>
    <xf numFmtId="165" fontId="23" fillId="0" borderId="72" xfId="11" applyNumberFormat="1" applyFont="1" applyBorder="1" applyAlignment="1">
      <alignment horizontal="left" vertical="center"/>
    </xf>
    <xf numFmtId="165" fontId="43" fillId="0" borderId="63" xfId="12" applyNumberFormat="1" applyFont="1" applyBorder="1" applyAlignment="1">
      <alignment horizontal="left" vertical="center" indent="2"/>
    </xf>
    <xf numFmtId="165" fontId="37" fillId="0" borderId="63" xfId="12" applyNumberFormat="1" applyFont="1" applyBorder="1" applyAlignment="1">
      <alignment horizontal="left" vertical="center" indent="3"/>
    </xf>
    <xf numFmtId="165" fontId="38" fillId="7" borderId="63" xfId="12" applyNumberFormat="1" applyFont="1" applyFill="1" applyBorder="1" applyAlignment="1">
      <alignment vertical="center"/>
    </xf>
    <xf numFmtId="165" fontId="37" fillId="0" borderId="63" xfId="12" applyNumberFormat="1" applyFont="1" applyBorder="1" applyAlignment="1">
      <alignment horizontal="left" indent="1"/>
    </xf>
    <xf numFmtId="165" fontId="14" fillId="0" borderId="0" xfId="11" applyNumberFormat="1" applyFont="1"/>
    <xf numFmtId="165" fontId="14" fillId="0" borderId="5" xfId="11" applyNumberFormat="1" applyFont="1" applyBorder="1"/>
    <xf numFmtId="165" fontId="14" fillId="0" borderId="8" xfId="11" applyNumberFormat="1" applyFont="1" applyBorder="1"/>
    <xf numFmtId="165" fontId="14" fillId="0" borderId="3" xfId="11" applyNumberFormat="1" applyFont="1" applyBorder="1"/>
    <xf numFmtId="165" fontId="14" fillId="0" borderId="60" xfId="11" applyNumberFormat="1" applyFont="1" applyBorder="1"/>
    <xf numFmtId="165" fontId="14" fillId="0" borderId="63" xfId="11" applyNumberFormat="1" applyFont="1" applyBorder="1"/>
    <xf numFmtId="0" fontId="23" fillId="0" borderId="0" xfId="11" applyFont="1"/>
    <xf numFmtId="165" fontId="36" fillId="0" borderId="0" xfId="11" applyNumberFormat="1"/>
    <xf numFmtId="167" fontId="5" fillId="0" borderId="3" xfId="1" applyNumberFormat="1" applyFont="1" applyFill="1" applyBorder="1"/>
    <xf numFmtId="172" fontId="34" fillId="0" borderId="0" xfId="1" applyNumberFormat="1" applyFont="1" applyFill="1" applyBorder="1" applyAlignment="1">
      <alignment horizontal="centerContinuous" vertical="center"/>
    </xf>
    <xf numFmtId="165" fontId="38" fillId="11" borderId="3" xfId="1" applyNumberFormat="1" applyFont="1" applyFill="1" applyBorder="1"/>
    <xf numFmtId="165" fontId="38" fillId="11" borderId="3" xfId="12" applyNumberFormat="1" applyFont="1" applyFill="1" applyBorder="1"/>
    <xf numFmtId="0" fontId="44" fillId="0" borderId="0" xfId="0" applyFont="1"/>
    <xf numFmtId="165" fontId="34" fillId="6" borderId="3" xfId="14" applyNumberFormat="1" applyFont="1" applyFill="1" applyBorder="1" applyAlignment="1">
      <alignment vertical="center"/>
    </xf>
    <xf numFmtId="172" fontId="34" fillId="6" borderId="11" xfId="14" applyNumberFormat="1" applyFont="1" applyFill="1" applyBorder="1" applyAlignment="1">
      <alignment horizontal="center" vertical="center"/>
    </xf>
    <xf numFmtId="0" fontId="2" fillId="0" borderId="0" xfId="15"/>
    <xf numFmtId="172" fontId="34" fillId="6" borderId="3" xfId="14" applyNumberFormat="1" applyFont="1" applyFill="1" applyBorder="1" applyAlignment="1">
      <alignment horizontal="center" vertical="center"/>
    </xf>
    <xf numFmtId="165" fontId="38" fillId="7" borderId="59" xfId="14" applyNumberFormat="1" applyFont="1" applyFill="1" applyBorder="1" applyAlignment="1">
      <alignment vertical="center"/>
    </xf>
    <xf numFmtId="165" fontId="38" fillId="7" borderId="3" xfId="14" applyNumberFormat="1" applyFont="1" applyFill="1" applyBorder="1"/>
    <xf numFmtId="165" fontId="38" fillId="7" borderId="60" xfId="14" applyNumberFormat="1" applyFont="1" applyFill="1" applyBorder="1"/>
    <xf numFmtId="165" fontId="38" fillId="0" borderId="59" xfId="14" applyNumberFormat="1" applyFont="1" applyFill="1" applyBorder="1" applyAlignment="1">
      <alignment vertical="center"/>
    </xf>
    <xf numFmtId="165" fontId="38" fillId="0" borderId="3" xfId="14" applyNumberFormat="1" applyFont="1" applyFill="1" applyBorder="1"/>
    <xf numFmtId="165" fontId="38" fillId="0" borderId="60" xfId="14" applyNumberFormat="1" applyFont="1" applyFill="1" applyBorder="1"/>
    <xf numFmtId="165" fontId="38" fillId="5" borderId="3" xfId="14" applyNumberFormat="1" applyFont="1" applyFill="1" applyBorder="1"/>
    <xf numFmtId="165" fontId="38" fillId="5" borderId="60" xfId="14" applyNumberFormat="1" applyFont="1" applyFill="1" applyBorder="1"/>
    <xf numFmtId="0" fontId="2" fillId="0" borderId="59" xfId="15" applyBorder="1" applyAlignment="1">
      <alignment horizontal="left" indent="1"/>
    </xf>
    <xf numFmtId="165" fontId="0" fillId="0" borderId="3" xfId="14" applyNumberFormat="1" applyFont="1" applyBorder="1"/>
    <xf numFmtId="165" fontId="0" fillId="0" borderId="60" xfId="14" applyNumberFormat="1" applyFont="1" applyBorder="1"/>
    <xf numFmtId="171" fontId="0" fillId="0" borderId="60" xfId="14" applyNumberFormat="1" applyFont="1" applyBorder="1"/>
    <xf numFmtId="165" fontId="0" fillId="5" borderId="3" xfId="14" applyNumberFormat="1" applyFont="1" applyFill="1" applyBorder="1"/>
    <xf numFmtId="171" fontId="0" fillId="5" borderId="60" xfId="14" applyNumberFormat="1" applyFont="1" applyFill="1" applyBorder="1"/>
    <xf numFmtId="165" fontId="24" fillId="0" borderId="3" xfId="14" applyNumberFormat="1" applyFont="1" applyBorder="1"/>
    <xf numFmtId="165" fontId="24" fillId="0" borderId="76" xfId="14" applyNumberFormat="1" applyFont="1" applyBorder="1"/>
    <xf numFmtId="171" fontId="24" fillId="0" borderId="76" xfId="14" applyNumberFormat="1" applyFont="1" applyBorder="1"/>
    <xf numFmtId="165" fontId="24" fillId="5" borderId="3" xfId="14" applyNumberFormat="1" applyFont="1" applyFill="1" applyBorder="1"/>
    <xf numFmtId="171" fontId="24" fillId="5" borderId="76" xfId="14" applyNumberFormat="1" applyFont="1" applyFill="1" applyBorder="1"/>
    <xf numFmtId="165" fontId="24" fillId="0" borderId="60" xfId="14" applyNumberFormat="1" applyFont="1" applyBorder="1"/>
    <xf numFmtId="165" fontId="2" fillId="0" borderId="0" xfId="15" applyNumberFormat="1"/>
    <xf numFmtId="165" fontId="24" fillId="0" borderId="0" xfId="14" applyNumberFormat="1" applyFont="1" applyFill="1" applyBorder="1"/>
    <xf numFmtId="165" fontId="24" fillId="0" borderId="3" xfId="15" applyNumberFormat="1" applyFont="1" applyBorder="1"/>
    <xf numFmtId="165" fontId="24" fillId="0" borderId="60" xfId="15" applyNumberFormat="1" applyFont="1" applyBorder="1"/>
    <xf numFmtId="0" fontId="24" fillId="0" borderId="0" xfId="15" applyFont="1"/>
    <xf numFmtId="165" fontId="24" fillId="0" borderId="0" xfId="15" applyNumberFormat="1" applyFont="1"/>
    <xf numFmtId="0" fontId="46" fillId="0" borderId="50" xfId="15" applyFont="1" applyBorder="1"/>
    <xf numFmtId="165" fontId="2" fillId="0" borderId="2" xfId="15" applyNumberFormat="1" applyBorder="1"/>
    <xf numFmtId="165" fontId="2" fillId="0" borderId="51" xfId="15" applyNumberFormat="1" applyBorder="1"/>
    <xf numFmtId="165" fontId="0" fillId="0" borderId="51" xfId="14" applyNumberFormat="1" applyFont="1" applyBorder="1"/>
    <xf numFmtId="0" fontId="46" fillId="0" borderId="59" xfId="15" applyFont="1" applyBorder="1"/>
    <xf numFmtId="165" fontId="2" fillId="0" borderId="3" xfId="15" applyNumberFormat="1" applyBorder="1"/>
    <xf numFmtId="165" fontId="2" fillId="0" borderId="60" xfId="15" applyNumberFormat="1" applyBorder="1"/>
    <xf numFmtId="0" fontId="46" fillId="0" borderId="57" xfId="15" applyFont="1" applyBorder="1"/>
    <xf numFmtId="165" fontId="2" fillId="0" borderId="77" xfId="15" applyNumberFormat="1" applyBorder="1"/>
    <xf numFmtId="165" fontId="2" fillId="0" borderId="78" xfId="15" applyNumberFormat="1" applyBorder="1"/>
    <xf numFmtId="165" fontId="2" fillId="0" borderId="76" xfId="15" applyNumberFormat="1" applyBorder="1"/>
    <xf numFmtId="0" fontId="2" fillId="0" borderId="59" xfId="15" applyBorder="1"/>
    <xf numFmtId="0" fontId="2" fillId="0" borderId="3" xfId="15" applyBorder="1"/>
    <xf numFmtId="0" fontId="2" fillId="0" borderId="60" xfId="15" applyBorder="1"/>
    <xf numFmtId="165" fontId="0" fillId="0" borderId="3" xfId="14" applyNumberFormat="1" applyFont="1" applyFill="1" applyBorder="1"/>
    <xf numFmtId="165" fontId="0" fillId="0" borderId="60" xfId="14" applyNumberFormat="1" applyFont="1" applyFill="1" applyBorder="1"/>
    <xf numFmtId="3" fontId="2" fillId="0" borderId="0" xfId="15" applyNumberFormat="1"/>
    <xf numFmtId="0" fontId="24" fillId="0" borderId="59" xfId="15" applyFont="1" applyBorder="1" applyAlignment="1">
      <alignment horizontal="left" indent="1"/>
    </xf>
    <xf numFmtId="168" fontId="38" fillId="7" borderId="3" xfId="16" applyNumberFormat="1" applyFont="1" applyFill="1" applyBorder="1"/>
    <xf numFmtId="9" fontId="38" fillId="7" borderId="3" xfId="16" applyFont="1" applyFill="1" applyBorder="1"/>
    <xf numFmtId="168" fontId="38" fillId="7" borderId="60" xfId="14" applyNumberFormat="1" applyFont="1" applyFill="1" applyBorder="1"/>
    <xf numFmtId="165" fontId="0" fillId="0" borderId="11" xfId="14" applyNumberFormat="1" applyFont="1" applyBorder="1"/>
    <xf numFmtId="165" fontId="0" fillId="0" borderId="76" xfId="14" applyNumberFormat="1" applyFont="1" applyBorder="1"/>
    <xf numFmtId="165" fontId="2" fillId="0" borderId="3" xfId="14" applyNumberFormat="1" applyFont="1" applyBorder="1"/>
    <xf numFmtId="165" fontId="2" fillId="0" borderId="76" xfId="14" applyNumberFormat="1" applyFont="1" applyBorder="1"/>
    <xf numFmtId="0" fontId="2" fillId="0" borderId="59" xfId="15" applyBorder="1" applyAlignment="1">
      <alignment horizontal="left" indent="2"/>
    </xf>
    <xf numFmtId="0" fontId="2" fillId="0" borderId="59" xfId="15" applyBorder="1" applyAlignment="1">
      <alignment horizontal="left" indent="3"/>
    </xf>
    <xf numFmtId="0" fontId="2" fillId="0" borderId="57" xfId="15" applyBorder="1" applyAlignment="1">
      <alignment horizontal="left" indent="2"/>
    </xf>
    <xf numFmtId="165" fontId="24" fillId="0" borderId="77" xfId="14" applyNumberFormat="1" applyFont="1" applyBorder="1"/>
    <xf numFmtId="165" fontId="24" fillId="0" borderId="78" xfId="14" applyNumberFormat="1" applyFont="1" applyBorder="1"/>
    <xf numFmtId="0" fontId="2" fillId="0" borderId="64" xfId="15" applyBorder="1" applyAlignment="1">
      <alignment horizontal="left" indent="2"/>
    </xf>
    <xf numFmtId="165" fontId="24" fillId="0" borderId="79" xfId="14" applyNumberFormat="1" applyFont="1" applyBorder="1"/>
    <xf numFmtId="165" fontId="24" fillId="0" borderId="80" xfId="14" applyNumberFormat="1" applyFont="1" applyBorder="1"/>
    <xf numFmtId="0" fontId="2" fillId="0" borderId="57" xfId="15" applyBorder="1" applyAlignment="1">
      <alignment horizontal="left" indent="1"/>
    </xf>
    <xf numFmtId="9" fontId="0" fillId="0" borderId="0" xfId="0" applyNumberFormat="1"/>
    <xf numFmtId="165" fontId="29" fillId="4" borderId="0" xfId="2" applyNumberFormat="1" applyFont="1" applyFill="1" applyAlignment="1">
      <alignment vertical="center"/>
    </xf>
    <xf numFmtId="166" fontId="28" fillId="2" borderId="81" xfId="2" applyNumberFormat="1" applyFont="1" applyFill="1" applyBorder="1" applyAlignment="1">
      <alignment horizontal="center" vertical="center"/>
    </xf>
    <xf numFmtId="166" fontId="28" fillId="2" borderId="82" xfId="2" applyNumberFormat="1" applyFont="1" applyFill="1" applyBorder="1" applyAlignment="1">
      <alignment horizontal="center" vertical="center"/>
    </xf>
    <xf numFmtId="166" fontId="28" fillId="2" borderId="83" xfId="2" applyNumberFormat="1" applyFont="1" applyFill="1" applyBorder="1" applyAlignment="1">
      <alignment horizontal="center" vertical="center"/>
    </xf>
    <xf numFmtId="167" fontId="30" fillId="0" borderId="0" xfId="1" applyNumberFormat="1" applyFont="1" applyBorder="1" applyAlignment="1">
      <alignment vertical="center"/>
    </xf>
    <xf numFmtId="165" fontId="27" fillId="0" borderId="11" xfId="2" applyNumberFormat="1" applyFont="1" applyBorder="1" applyAlignment="1">
      <alignment vertical="center"/>
    </xf>
    <xf numFmtId="166" fontId="28" fillId="0" borderId="11" xfId="2" applyNumberFormat="1" applyFont="1" applyBorder="1" applyAlignment="1">
      <alignment horizontal="center" vertical="center"/>
    </xf>
    <xf numFmtId="168" fontId="30" fillId="0" borderId="11" xfId="2" applyNumberFormat="1" applyFont="1" applyBorder="1" applyAlignment="1">
      <alignment vertical="center"/>
    </xf>
    <xf numFmtId="165" fontId="30" fillId="0" borderId="11" xfId="2" applyNumberFormat="1" applyFont="1" applyBorder="1" applyAlignment="1">
      <alignment vertical="center"/>
    </xf>
    <xf numFmtId="9" fontId="27" fillId="0" borderId="11" xfId="2" applyNumberFormat="1" applyFont="1" applyBorder="1" applyAlignment="1">
      <alignment vertical="center"/>
    </xf>
    <xf numFmtId="10" fontId="27" fillId="0" borderId="11" xfId="2" applyNumberFormat="1" applyFont="1" applyBorder="1" applyAlignment="1">
      <alignment vertical="center"/>
    </xf>
    <xf numFmtId="165" fontId="29" fillId="4" borderId="3" xfId="2" applyNumberFormat="1" applyFont="1" applyFill="1" applyBorder="1" applyAlignment="1">
      <alignment vertical="center"/>
    </xf>
    <xf numFmtId="165" fontId="29" fillId="0" borderId="11" xfId="2" applyNumberFormat="1" applyFont="1" applyBorder="1" applyAlignment="1">
      <alignment vertical="center"/>
    </xf>
    <xf numFmtId="9" fontId="30" fillId="0" borderId="3" xfId="2" applyNumberFormat="1" applyFont="1" applyBorder="1" applyAlignment="1">
      <alignment vertical="center"/>
    </xf>
    <xf numFmtId="9" fontId="30" fillId="0" borderId="6" xfId="2" applyNumberFormat="1" applyFont="1" applyBorder="1" applyAlignment="1">
      <alignment vertical="center"/>
    </xf>
    <xf numFmtId="165" fontId="27" fillId="0" borderId="3" xfId="2" applyNumberFormat="1" applyFont="1" applyBorder="1" applyAlignment="1">
      <alignment vertical="center"/>
    </xf>
    <xf numFmtId="166" fontId="28" fillId="0" borderId="3" xfId="2" applyNumberFormat="1" applyFont="1" applyBorder="1" applyAlignment="1">
      <alignment horizontal="center" vertical="center"/>
    </xf>
    <xf numFmtId="165" fontId="29" fillId="0" borderId="3" xfId="2" applyNumberFormat="1" applyFont="1" applyBorder="1" applyAlignment="1">
      <alignment horizontal="center" vertical="center"/>
    </xf>
    <xf numFmtId="165" fontId="29" fillId="0" borderId="3" xfId="2" applyNumberFormat="1" applyFont="1" applyBorder="1" applyAlignment="1">
      <alignment vertical="center"/>
    </xf>
    <xf numFmtId="168" fontId="30" fillId="0" borderId="3" xfId="2" applyNumberFormat="1" applyFont="1" applyBorder="1" applyAlignment="1">
      <alignment vertical="center"/>
    </xf>
    <xf numFmtId="165" fontId="30" fillId="0" borderId="3" xfId="2" applyNumberFormat="1" applyFont="1" applyBorder="1" applyAlignment="1">
      <alignment vertical="center"/>
    </xf>
    <xf numFmtId="9" fontId="27" fillId="0" borderId="3" xfId="2" applyNumberFormat="1" applyFont="1" applyBorder="1" applyAlignment="1">
      <alignment vertical="center"/>
    </xf>
    <xf numFmtId="10" fontId="27" fillId="0" borderId="3" xfId="2" applyNumberFormat="1" applyFont="1" applyBorder="1" applyAlignment="1">
      <alignment vertical="center"/>
    </xf>
    <xf numFmtId="167" fontId="30" fillId="0" borderId="3" xfId="3" applyNumberFormat="1" applyFont="1" applyBorder="1" applyAlignment="1">
      <alignment vertical="center"/>
    </xf>
    <xf numFmtId="9" fontId="27" fillId="0" borderId="0" xfId="0" applyNumberFormat="1" applyFont="1"/>
    <xf numFmtId="9" fontId="27" fillId="0" borderId="0" xfId="1" applyNumberFormat="1" applyFont="1" applyBorder="1"/>
    <xf numFmtId="164" fontId="27" fillId="0" borderId="0" xfId="1" applyFont="1" applyBorder="1"/>
    <xf numFmtId="10" fontId="27" fillId="0" borderId="0" xfId="0" applyNumberFormat="1" applyFont="1"/>
    <xf numFmtId="168" fontId="27" fillId="0" borderId="0" xfId="0" applyNumberFormat="1" applyFont="1"/>
    <xf numFmtId="166" fontId="28" fillId="2" borderId="49" xfId="2" applyNumberFormat="1" applyFont="1" applyFill="1" applyBorder="1" applyAlignment="1">
      <alignment horizontal="center" vertical="center"/>
    </xf>
    <xf numFmtId="167" fontId="27" fillId="0" borderId="61" xfId="1" applyNumberFormat="1" applyFont="1" applyBorder="1"/>
    <xf numFmtId="0" fontId="27" fillId="0" borderId="61" xfId="0" applyFont="1" applyBorder="1"/>
    <xf numFmtId="167" fontId="29" fillId="0" borderId="61" xfId="0" applyNumberFormat="1" applyFont="1" applyBorder="1"/>
    <xf numFmtId="167" fontId="29" fillId="0" borderId="61" xfId="1" applyNumberFormat="1" applyFont="1" applyBorder="1"/>
    <xf numFmtId="9" fontId="27" fillId="0" borderId="61" xfId="0" applyNumberFormat="1" applyFont="1" applyBorder="1"/>
    <xf numFmtId="167" fontId="29" fillId="9" borderId="61" xfId="0" applyNumberFormat="1" applyFont="1" applyFill="1" applyBorder="1"/>
    <xf numFmtId="167" fontId="27" fillId="0" borderId="61" xfId="0" applyNumberFormat="1" applyFont="1" applyBorder="1"/>
    <xf numFmtId="9" fontId="27" fillId="0" borderId="61" xfId="1" applyNumberFormat="1" applyFont="1" applyBorder="1"/>
    <xf numFmtId="164" fontId="27" fillId="0" borderId="61" xfId="1" applyFont="1" applyBorder="1"/>
    <xf numFmtId="167" fontId="29" fillId="7" borderId="61" xfId="0" applyNumberFormat="1" applyFont="1" applyFill="1" applyBorder="1"/>
    <xf numFmtId="10" fontId="27" fillId="0" borderId="61" xfId="0" applyNumberFormat="1" applyFont="1" applyBorder="1"/>
    <xf numFmtId="168" fontId="27" fillId="0" borderId="61" xfId="0" applyNumberFormat="1" applyFont="1" applyBorder="1"/>
    <xf numFmtId="9" fontId="27" fillId="0" borderId="40" xfId="0" applyNumberFormat="1" applyFont="1" applyBorder="1"/>
    <xf numFmtId="9" fontId="27" fillId="0" borderId="11" xfId="0" applyNumberFormat="1" applyFont="1" applyBorder="1"/>
    <xf numFmtId="9" fontId="27" fillId="0" borderId="11" xfId="1" applyNumberFormat="1" applyFont="1" applyBorder="1"/>
    <xf numFmtId="164" fontId="27" fillId="0" borderId="11" xfId="1" applyFont="1" applyBorder="1"/>
    <xf numFmtId="10" fontId="27" fillId="0" borderId="11" xfId="0" applyNumberFormat="1" applyFont="1" applyBorder="1"/>
    <xf numFmtId="168" fontId="27" fillId="0" borderId="11" xfId="0" applyNumberFormat="1" applyFont="1" applyBorder="1"/>
    <xf numFmtId="9" fontId="27" fillId="0" borderId="29" xfId="0" applyNumberFormat="1" applyFont="1" applyBorder="1"/>
    <xf numFmtId="167" fontId="27" fillId="0" borderId="11" xfId="1" applyNumberFormat="1" applyFont="1" applyBorder="1"/>
    <xf numFmtId="0" fontId="27" fillId="0" borderId="11" xfId="0" applyFont="1" applyBorder="1"/>
    <xf numFmtId="167" fontId="29" fillId="0" borderId="11" xfId="0" applyNumberFormat="1" applyFont="1" applyBorder="1"/>
    <xf numFmtId="167" fontId="29" fillId="0" borderId="11" xfId="1" applyNumberFormat="1" applyFont="1" applyBorder="1"/>
    <xf numFmtId="167" fontId="29" fillId="9" borderId="11" xfId="0" applyNumberFormat="1" applyFont="1" applyFill="1" applyBorder="1"/>
    <xf numFmtId="167" fontId="14" fillId="0" borderId="11" xfId="1" applyNumberFormat="1" applyFont="1" applyBorder="1"/>
    <xf numFmtId="167" fontId="27" fillId="0" borderId="11" xfId="0" applyNumberFormat="1" applyFont="1" applyBorder="1"/>
    <xf numFmtId="167" fontId="29" fillId="7" borderId="11" xfId="0" applyNumberFormat="1" applyFont="1" applyFill="1" applyBorder="1"/>
    <xf numFmtId="170" fontId="27" fillId="0" borderId="3" xfId="1" applyNumberFormat="1" applyFont="1" applyBorder="1"/>
    <xf numFmtId="167" fontId="29" fillId="4" borderId="5" xfId="1" applyNumberFormat="1" applyFont="1" applyFill="1" applyBorder="1" applyAlignment="1">
      <alignment vertical="center"/>
    </xf>
    <xf numFmtId="167" fontId="29" fillId="4" borderId="0" xfId="1" applyNumberFormat="1" applyFont="1" applyFill="1" applyBorder="1" applyAlignment="1">
      <alignment vertical="center"/>
    </xf>
    <xf numFmtId="167" fontId="29" fillId="4" borderId="3" xfId="1" applyNumberFormat="1" applyFont="1" applyFill="1" applyBorder="1" applyAlignment="1">
      <alignment vertical="center"/>
    </xf>
    <xf numFmtId="166" fontId="28" fillId="2" borderId="28" xfId="2" applyNumberFormat="1" applyFont="1" applyFill="1" applyBorder="1" applyAlignment="1">
      <alignment horizontal="center" vertical="center"/>
    </xf>
    <xf numFmtId="167" fontId="29" fillId="4" borderId="27" xfId="1" applyNumberFormat="1" applyFont="1" applyFill="1" applyBorder="1" applyAlignment="1">
      <alignment vertical="center"/>
    </xf>
    <xf numFmtId="167" fontId="29" fillId="4" borderId="11" xfId="1" applyNumberFormat="1" applyFont="1" applyFill="1" applyBorder="1" applyAlignment="1">
      <alignment vertical="center"/>
    </xf>
    <xf numFmtId="166" fontId="28" fillId="2" borderId="2" xfId="0" applyNumberFormat="1" applyFont="1" applyFill="1" applyBorder="1" applyAlignment="1">
      <alignment horizontal="center" vertical="center"/>
    </xf>
    <xf numFmtId="166" fontId="28" fillId="0" borderId="3" xfId="0" applyNumberFormat="1" applyFont="1" applyBorder="1" applyAlignment="1">
      <alignment horizontal="center" vertical="center"/>
    </xf>
    <xf numFmtId="165" fontId="28" fillId="2" borderId="3" xfId="0" applyNumberFormat="1" applyFont="1" applyFill="1" applyBorder="1" applyAlignment="1">
      <alignment vertical="center"/>
    </xf>
    <xf numFmtId="166" fontId="28" fillId="2" borderId="3" xfId="0" applyNumberFormat="1" applyFont="1" applyFill="1" applyBorder="1" applyAlignment="1">
      <alignment horizontal="center" vertical="center"/>
    </xf>
    <xf numFmtId="165" fontId="49" fillId="0" borderId="3" xfId="0" applyNumberFormat="1" applyFont="1" applyBorder="1" applyAlignment="1">
      <alignment vertical="center"/>
    </xf>
    <xf numFmtId="166" fontId="50" fillId="0" borderId="3" xfId="0" applyNumberFormat="1" applyFont="1" applyBorder="1" applyAlignment="1">
      <alignment horizontal="center" vertical="center"/>
    </xf>
    <xf numFmtId="168" fontId="50" fillId="0" borderId="3" xfId="0" applyNumberFormat="1" applyFont="1" applyBorder="1" applyAlignment="1">
      <alignment horizontal="center" vertical="center"/>
    </xf>
    <xf numFmtId="168" fontId="50" fillId="8" borderId="3" xfId="0" applyNumberFormat="1" applyFont="1" applyFill="1" applyBorder="1" applyAlignment="1">
      <alignment horizontal="center" vertical="center"/>
    </xf>
    <xf numFmtId="168" fontId="50" fillId="0" borderId="0" xfId="0" applyNumberFormat="1" applyFont="1" applyAlignment="1">
      <alignment horizontal="center" vertical="center"/>
    </xf>
    <xf numFmtId="0" fontId="50" fillId="0" borderId="0" xfId="0" applyFont="1"/>
    <xf numFmtId="0" fontId="49" fillId="0" borderId="3" xfId="0" applyFont="1" applyBorder="1"/>
    <xf numFmtId="167" fontId="51" fillId="0" borderId="3" xfId="1" applyNumberFormat="1" applyFont="1" applyFill="1" applyBorder="1" applyAlignment="1">
      <alignment horizontal="center" vertical="center"/>
    </xf>
    <xf numFmtId="167" fontId="49" fillId="0" borderId="3" xfId="1" applyNumberFormat="1" applyFont="1" applyFill="1" applyBorder="1" applyAlignment="1">
      <alignment horizontal="center" vertical="center"/>
    </xf>
    <xf numFmtId="0" fontId="49" fillId="0" borderId="0" xfId="0" applyFont="1"/>
    <xf numFmtId="165" fontId="50" fillId="0" borderId="3" xfId="0" applyNumberFormat="1" applyFont="1" applyBorder="1" applyAlignment="1">
      <alignment vertical="center"/>
    </xf>
    <xf numFmtId="167" fontId="50" fillId="0" borderId="3" xfId="1" applyNumberFormat="1" applyFont="1" applyFill="1" applyBorder="1" applyAlignment="1">
      <alignment horizontal="center" vertical="center"/>
    </xf>
    <xf numFmtId="167" fontId="52" fillId="0" borderId="3" xfId="1" applyNumberFormat="1" applyFont="1" applyFill="1" applyBorder="1" applyAlignment="1">
      <alignment horizontal="center" vertical="center"/>
    </xf>
    <xf numFmtId="0" fontId="50" fillId="0" borderId="3" xfId="0" applyFont="1" applyBorder="1"/>
    <xf numFmtId="164" fontId="50" fillId="0" borderId="3" xfId="0" applyNumberFormat="1" applyFont="1" applyBorder="1"/>
    <xf numFmtId="167" fontId="51" fillId="0" borderId="3" xfId="1" applyNumberFormat="1" applyFont="1" applyBorder="1"/>
    <xf numFmtId="0" fontId="27" fillId="0" borderId="3" xfId="0" applyFont="1" applyBorder="1" applyAlignment="1">
      <alignment horizontal="left" indent="1"/>
    </xf>
    <xf numFmtId="167" fontId="52" fillId="0" borderId="3" xfId="1" applyNumberFormat="1" applyFont="1" applyBorder="1"/>
    <xf numFmtId="0" fontId="29" fillId="0" borderId="3" xfId="0" applyFont="1" applyBorder="1" applyAlignment="1">
      <alignment horizontal="left"/>
    </xf>
    <xf numFmtId="9" fontId="27" fillId="8" borderId="3" xfId="0" applyNumberFormat="1" applyFont="1" applyFill="1" applyBorder="1" applyAlignment="1">
      <alignment horizontal="center"/>
    </xf>
    <xf numFmtId="9" fontId="27" fillId="0" borderId="3" xfId="0" applyNumberFormat="1" applyFont="1" applyBorder="1" applyAlignment="1">
      <alignment horizontal="center"/>
    </xf>
    <xf numFmtId="167" fontId="29" fillId="0" borderId="3" xfId="1" applyNumberFormat="1" applyFont="1" applyFill="1" applyBorder="1"/>
    <xf numFmtId="167" fontId="27" fillId="0" borderId="3" xfId="1" applyNumberFormat="1" applyFont="1" applyFill="1" applyBorder="1"/>
    <xf numFmtId="9" fontId="27" fillId="8" borderId="3" xfId="0" applyNumberFormat="1" applyFont="1" applyFill="1" applyBorder="1"/>
    <xf numFmtId="164" fontId="27" fillId="0" borderId="3" xfId="0" applyNumberFormat="1" applyFont="1" applyBorder="1"/>
    <xf numFmtId="0" fontId="27" fillId="0" borderId="3" xfId="0" applyFont="1" applyBorder="1" applyAlignment="1">
      <alignment horizontal="left"/>
    </xf>
    <xf numFmtId="0" fontId="27" fillId="0" borderId="3" xfId="0" applyFont="1" applyBorder="1" applyAlignment="1">
      <alignment horizontal="center"/>
    </xf>
    <xf numFmtId="9" fontId="27" fillId="8" borderId="3" xfId="4" applyFont="1" applyFill="1" applyBorder="1"/>
    <xf numFmtId="168" fontId="27" fillId="8" borderId="3" xfId="4" applyNumberFormat="1" applyFont="1" applyFill="1" applyBorder="1"/>
    <xf numFmtId="168" fontId="27" fillId="0" borderId="3" xfId="0" applyNumberFormat="1" applyFont="1" applyBorder="1" applyAlignment="1">
      <alignment horizontal="center"/>
    </xf>
    <xf numFmtId="0" fontId="29" fillId="0" borderId="3" xfId="0" applyFont="1" applyBorder="1" applyAlignment="1">
      <alignment horizontal="left" indent="1"/>
    </xf>
    <xf numFmtId="0" fontId="27" fillId="0" borderId="3" xfId="0" applyFont="1" applyBorder="1" applyAlignment="1">
      <alignment horizontal="left" indent="2"/>
    </xf>
    <xf numFmtId="9" fontId="27" fillId="0" borderId="3" xfId="1" applyNumberFormat="1" applyFont="1" applyFill="1" applyBorder="1" applyAlignment="1">
      <alignment horizontal="center"/>
    </xf>
    <xf numFmtId="0" fontId="53" fillId="0" borderId="3" xfId="0" applyFont="1" applyBorder="1" applyAlignment="1">
      <alignment horizontal="left" indent="1"/>
    </xf>
    <xf numFmtId="168" fontId="27" fillId="0" borderId="3" xfId="1" applyNumberFormat="1" applyFont="1" applyBorder="1"/>
    <xf numFmtId="166" fontId="28" fillId="2" borderId="3" xfId="0" applyNumberFormat="1" applyFont="1" applyFill="1" applyBorder="1" applyAlignment="1">
      <alignment horizontal="left" vertical="center" indent="1"/>
    </xf>
    <xf numFmtId="166" fontId="28" fillId="2" borderId="61" xfId="0" applyNumberFormat="1" applyFont="1" applyFill="1" applyBorder="1" applyAlignment="1">
      <alignment horizontal="center" vertical="center"/>
    </xf>
    <xf numFmtId="166" fontId="50" fillId="0" borderId="3" xfId="0" applyNumberFormat="1" applyFont="1" applyBorder="1" applyAlignment="1">
      <alignment horizontal="left" vertical="center" indent="1"/>
    </xf>
    <xf numFmtId="166" fontId="50" fillId="0" borderId="61" xfId="0" applyNumberFormat="1" applyFont="1" applyBorder="1" applyAlignment="1">
      <alignment horizontal="center" vertical="center"/>
    </xf>
    <xf numFmtId="166" fontId="49" fillId="0" borderId="3" xfId="0" applyNumberFormat="1" applyFont="1" applyBorder="1" applyAlignment="1">
      <alignment horizontal="left" vertical="center"/>
    </xf>
    <xf numFmtId="9" fontId="50" fillId="0" borderId="3" xfId="1" applyNumberFormat="1" applyFont="1" applyFill="1" applyBorder="1" applyAlignment="1">
      <alignment horizontal="center" vertical="center"/>
    </xf>
    <xf numFmtId="9" fontId="50" fillId="8" borderId="3" xfId="1" applyNumberFormat="1" applyFont="1" applyFill="1" applyBorder="1" applyAlignment="1">
      <alignment horizontal="center" vertical="center"/>
    </xf>
    <xf numFmtId="0" fontId="30" fillId="0" borderId="3" xfId="0" applyFont="1" applyBorder="1" applyAlignment="1">
      <alignment horizontal="left" indent="2"/>
    </xf>
    <xf numFmtId="0" fontId="30" fillId="0" borderId="3" xfId="0" applyFont="1" applyBorder="1" applyAlignment="1">
      <alignment horizontal="left" indent="1"/>
    </xf>
    <xf numFmtId="0" fontId="29" fillId="0" borderId="61" xfId="0" applyFont="1" applyBorder="1"/>
    <xf numFmtId="168" fontId="27" fillId="0" borderId="3" xfId="1" applyNumberFormat="1" applyFont="1" applyBorder="1" applyAlignment="1">
      <alignment horizontal="center"/>
    </xf>
    <xf numFmtId="165" fontId="29" fillId="3" borderId="3" xfId="0" applyNumberFormat="1" applyFont="1" applyFill="1" applyBorder="1" applyAlignment="1">
      <alignment vertical="center"/>
    </xf>
    <xf numFmtId="167" fontId="29" fillId="3" borderId="3" xfId="1" applyNumberFormat="1" applyFont="1" applyFill="1" applyBorder="1" applyAlignment="1">
      <alignment vertical="center"/>
    </xf>
    <xf numFmtId="165" fontId="27" fillId="0" borderId="3" xfId="0" applyNumberFormat="1" applyFont="1" applyBorder="1" applyAlignment="1">
      <alignment vertical="center"/>
    </xf>
    <xf numFmtId="165" fontId="29" fillId="0" borderId="3" xfId="0" applyNumberFormat="1" applyFont="1" applyBorder="1" applyAlignment="1">
      <alignment vertical="center"/>
    </xf>
    <xf numFmtId="2" fontId="28" fillId="0" borderId="3" xfId="0" applyNumberFormat="1" applyFont="1" applyBorder="1" applyAlignment="1">
      <alignment vertical="center"/>
    </xf>
    <xf numFmtId="167" fontId="27" fillId="0" borderId="3" xfId="1" applyNumberFormat="1" applyFont="1" applyFill="1" applyBorder="1" applyAlignment="1">
      <alignment horizontal="center"/>
    </xf>
    <xf numFmtId="168" fontId="27" fillId="8" borderId="3" xfId="0" applyNumberFormat="1" applyFont="1" applyFill="1" applyBorder="1" applyAlignment="1">
      <alignment horizontal="center"/>
    </xf>
    <xf numFmtId="165" fontId="54" fillId="0" borderId="3" xfId="0" applyNumberFormat="1" applyFont="1" applyBorder="1" applyAlignment="1">
      <alignment horizontal="left"/>
    </xf>
    <xf numFmtId="165" fontId="54" fillId="0" borderId="3" xfId="0" applyNumberFormat="1" applyFont="1" applyBorder="1" applyAlignment="1">
      <alignment horizontal="left" vertical="center"/>
    </xf>
    <xf numFmtId="165" fontId="30" fillId="0" borderId="3" xfId="0" applyNumberFormat="1" applyFont="1" applyBorder="1" applyAlignment="1">
      <alignment horizontal="left" vertical="center" indent="1"/>
    </xf>
    <xf numFmtId="165" fontId="30" fillId="0" borderId="3" xfId="0" applyNumberFormat="1" applyFont="1" applyBorder="1" applyAlignment="1">
      <alignment vertical="center"/>
    </xf>
    <xf numFmtId="165" fontId="30" fillId="0" borderId="3" xfId="0" applyNumberFormat="1" applyFont="1" applyBorder="1" applyAlignment="1">
      <alignment horizontal="left" indent="1"/>
    </xf>
    <xf numFmtId="165" fontId="29" fillId="0" borderId="3" xfId="0" applyNumberFormat="1" applyFont="1" applyBorder="1" applyAlignment="1">
      <alignment horizontal="left" indent="1"/>
    </xf>
    <xf numFmtId="165" fontId="27" fillId="0" borderId="3" xfId="0" applyNumberFormat="1" applyFont="1" applyBorder="1" applyAlignment="1">
      <alignment horizontal="left" indent="2"/>
    </xf>
    <xf numFmtId="9" fontId="27" fillId="8" borderId="3" xfId="1" applyNumberFormat="1" applyFont="1" applyFill="1" applyBorder="1" applyAlignment="1">
      <alignment horizontal="center"/>
    </xf>
    <xf numFmtId="167" fontId="27" fillId="0" borderId="3" xfId="1" applyNumberFormat="1" applyFont="1" applyBorder="1" applyAlignment="1">
      <alignment horizontal="center"/>
    </xf>
    <xf numFmtId="165" fontId="29" fillId="3" borderId="3" xfId="2" applyNumberFormat="1" applyFont="1" applyFill="1" applyBorder="1"/>
    <xf numFmtId="165" fontId="27" fillId="0" borderId="3" xfId="2" applyNumberFormat="1" applyFont="1" applyBorder="1"/>
    <xf numFmtId="165" fontId="29" fillId="3" borderId="3" xfId="2" applyNumberFormat="1" applyFont="1" applyFill="1" applyBorder="1" applyAlignment="1">
      <alignment vertical="center"/>
    </xf>
    <xf numFmtId="165" fontId="27" fillId="0" borderId="3" xfId="0" applyNumberFormat="1" applyFont="1" applyBorder="1" applyAlignment="1">
      <alignment horizontal="left" vertical="center" indent="1"/>
    </xf>
    <xf numFmtId="165" fontId="29" fillId="0" borderId="3" xfId="0" applyNumberFormat="1" applyFont="1" applyBorder="1" applyAlignment="1">
      <alignment horizontal="left" vertical="center"/>
    </xf>
    <xf numFmtId="165" fontId="29" fillId="0" borderId="3" xfId="0" applyNumberFormat="1" applyFont="1" applyBorder="1" applyAlignment="1">
      <alignment horizontal="left" vertical="center" indent="1"/>
    </xf>
    <xf numFmtId="165" fontId="55" fillId="0" borderId="3" xfId="1" applyNumberFormat="1" applyFont="1" applyBorder="1" applyAlignment="1"/>
    <xf numFmtId="164" fontId="30" fillId="0" borderId="3" xfId="1" applyFont="1" applyBorder="1" applyAlignment="1">
      <alignment vertical="center"/>
    </xf>
    <xf numFmtId="165" fontId="54" fillId="0" borderId="3" xfId="0" applyNumberFormat="1" applyFont="1" applyBorder="1" applyAlignment="1">
      <alignment vertical="center"/>
    </xf>
    <xf numFmtId="9" fontId="29" fillId="0" borderId="3" xfId="0" applyNumberFormat="1" applyFont="1" applyBorder="1"/>
    <xf numFmtId="43" fontId="27" fillId="0" borderId="3" xfId="0" applyNumberFormat="1" applyFont="1" applyBorder="1"/>
    <xf numFmtId="165" fontId="50" fillId="0" borderId="3" xfId="1" applyNumberFormat="1" applyFont="1" applyBorder="1" applyAlignment="1">
      <alignment horizontal="left" indent="1"/>
    </xf>
    <xf numFmtId="165" fontId="50" fillId="0" borderId="3" xfId="1" applyNumberFormat="1" applyFont="1" applyFill="1" applyBorder="1" applyAlignment="1">
      <alignment horizontal="left" indent="1"/>
    </xf>
    <xf numFmtId="165" fontId="55" fillId="0" borderId="3" xfId="1" applyNumberFormat="1" applyFont="1" applyBorder="1" applyAlignment="1">
      <alignment horizontal="left" indent="2"/>
    </xf>
    <xf numFmtId="9" fontId="56" fillId="0" borderId="3" xfId="0" applyNumberFormat="1" applyFont="1" applyBorder="1"/>
    <xf numFmtId="9" fontId="27" fillId="0" borderId="3" xfId="1" applyNumberFormat="1" applyFont="1" applyBorder="1" applyAlignment="1">
      <alignment horizontal="center"/>
    </xf>
    <xf numFmtId="0" fontId="27" fillId="0" borderId="40" xfId="0" applyFont="1" applyBorder="1"/>
    <xf numFmtId="167" fontId="29" fillId="9" borderId="11" xfId="1" applyNumberFormat="1" applyFont="1" applyFill="1" applyBorder="1"/>
    <xf numFmtId="0" fontId="27" fillId="0" borderId="3" xfId="0" applyFont="1" applyBorder="1" applyAlignment="1">
      <alignment horizontal="left" indent="3"/>
    </xf>
    <xf numFmtId="0" fontId="30" fillId="0" borderId="3" xfId="0" applyFont="1" applyBorder="1"/>
    <xf numFmtId="0" fontId="1" fillId="0" borderId="0" xfId="0" applyFont="1"/>
    <xf numFmtId="10" fontId="27" fillId="0" borderId="3" xfId="1" applyNumberFormat="1" applyFont="1" applyBorder="1"/>
    <xf numFmtId="172" fontId="34" fillId="6" borderId="0" xfId="1" applyNumberFormat="1" applyFont="1" applyFill="1" applyBorder="1" applyAlignment="1">
      <alignment horizontal="centerContinuous" vertical="center"/>
    </xf>
    <xf numFmtId="167" fontId="24" fillId="0" borderId="0" xfId="1" applyNumberFormat="1" applyFont="1" applyBorder="1"/>
    <xf numFmtId="172" fontId="34" fillId="6" borderId="2" xfId="1" applyNumberFormat="1" applyFont="1" applyFill="1" applyBorder="1" applyAlignment="1">
      <alignment horizontal="center" vertical="center"/>
    </xf>
    <xf numFmtId="166" fontId="13" fillId="2" borderId="0" xfId="0" applyNumberFormat="1" applyFont="1" applyFill="1" applyAlignment="1">
      <alignment horizontal="center" vertical="center"/>
    </xf>
    <xf numFmtId="167" fontId="0" fillId="0" borderId="11" xfId="1" applyNumberFormat="1" applyFont="1" applyBorder="1"/>
    <xf numFmtId="9" fontId="0" fillId="0" borderId="11" xfId="1" applyNumberFormat="1" applyFont="1" applyBorder="1"/>
    <xf numFmtId="167" fontId="0" fillId="0" borderId="11" xfId="1" applyNumberFormat="1" applyFont="1" applyFill="1" applyBorder="1"/>
    <xf numFmtId="172" fontId="34" fillId="6" borderId="0" xfId="1" applyNumberFormat="1" applyFont="1" applyFill="1" applyBorder="1" applyAlignment="1">
      <alignment horizontal="centerContinuous" vertical="center" wrapText="1"/>
    </xf>
    <xf numFmtId="167" fontId="24" fillId="11" borderId="11" xfId="1" applyNumberFormat="1" applyFont="1" applyFill="1" applyBorder="1"/>
    <xf numFmtId="167" fontId="0" fillId="0" borderId="29" xfId="1" applyNumberFormat="1" applyFont="1" applyBorder="1"/>
    <xf numFmtId="172" fontId="34" fillId="6" borderId="0" xfId="1" applyNumberFormat="1" applyFont="1" applyFill="1" applyBorder="1" applyAlignment="1">
      <alignment horizontal="left" vertical="center"/>
    </xf>
    <xf numFmtId="165" fontId="43" fillId="0" borderId="0" xfId="1" applyNumberFormat="1" applyFont="1" applyBorder="1" applyAlignment="1">
      <alignment horizontal="left" vertical="center" indent="1"/>
    </xf>
    <xf numFmtId="0" fontId="0" fillId="0" borderId="0" xfId="0" applyAlignment="1">
      <alignment horizontal="left"/>
    </xf>
    <xf numFmtId="172" fontId="24" fillId="0" borderId="0" xfId="1" applyNumberFormat="1" applyFont="1" applyFill="1" applyBorder="1" applyAlignment="1">
      <alignment horizontal="left" vertical="center"/>
    </xf>
    <xf numFmtId="167" fontId="24" fillId="0" borderId="11" xfId="1" applyNumberFormat="1" applyFont="1" applyBorder="1"/>
    <xf numFmtId="167" fontId="1" fillId="0" borderId="0" xfId="1" applyNumberFormat="1" applyFont="1" applyBorder="1"/>
    <xf numFmtId="165" fontId="43" fillId="0" borderId="84" xfId="1" applyNumberFormat="1" applyFont="1" applyBorder="1" applyAlignment="1">
      <alignment horizontal="left" vertical="center" indent="1"/>
    </xf>
    <xf numFmtId="167" fontId="1" fillId="0" borderId="84" xfId="1" applyNumberFormat="1" applyFont="1" applyBorder="1"/>
    <xf numFmtId="0" fontId="47" fillId="0" borderId="0" xfId="0" applyFont="1"/>
    <xf numFmtId="9" fontId="0" fillId="0" borderId="11" xfId="1" applyNumberFormat="1" applyFont="1" applyFill="1" applyBorder="1"/>
    <xf numFmtId="168" fontId="0" fillId="0" borderId="11" xfId="1" applyNumberFormat="1" applyFont="1" applyFill="1" applyBorder="1"/>
    <xf numFmtId="10" fontId="0" fillId="0" borderId="11" xfId="1" applyNumberFormat="1" applyFont="1" applyFill="1" applyBorder="1"/>
    <xf numFmtId="170" fontId="0" fillId="0" borderId="11" xfId="1" applyNumberFormat="1" applyFont="1" applyBorder="1"/>
    <xf numFmtId="167" fontId="0" fillId="11" borderId="11" xfId="1" applyNumberFormat="1" applyFont="1" applyFill="1" applyBorder="1"/>
    <xf numFmtId="167" fontId="44" fillId="11" borderId="11" xfId="1" applyNumberFormat="1" applyFont="1" applyFill="1" applyBorder="1"/>
    <xf numFmtId="0" fontId="48" fillId="0" borderId="0" xfId="0" applyFont="1" applyAlignment="1">
      <alignment horizontal="left"/>
    </xf>
    <xf numFmtId="165" fontId="57" fillId="0" borderId="0" xfId="1" applyNumberFormat="1" applyFont="1" applyBorder="1" applyAlignment="1">
      <alignment horizontal="left" vertical="center" indent="2"/>
    </xf>
    <xf numFmtId="9" fontId="57" fillId="0" borderId="0" xfId="0" applyNumberFormat="1" applyFont="1" applyAlignment="1">
      <alignment horizontal="right"/>
    </xf>
    <xf numFmtId="165" fontId="57" fillId="0" borderId="0" xfId="1" applyNumberFormat="1" applyFont="1" applyBorder="1" applyAlignment="1">
      <alignment horizontal="left" vertical="center"/>
    </xf>
    <xf numFmtId="165" fontId="57" fillId="0" borderId="84" xfId="1" applyNumberFormat="1" applyFont="1" applyBorder="1" applyAlignment="1">
      <alignment horizontal="left" vertical="center" indent="2"/>
    </xf>
    <xf numFmtId="165" fontId="57" fillId="0" borderId="84" xfId="1" applyNumberFormat="1" applyFont="1" applyBorder="1" applyAlignment="1">
      <alignment horizontal="left" indent="2"/>
    </xf>
    <xf numFmtId="9" fontId="57" fillId="0" borderId="84" xfId="0" applyNumberFormat="1" applyFont="1" applyBorder="1" applyAlignment="1">
      <alignment horizontal="right" indent="1"/>
    </xf>
    <xf numFmtId="9" fontId="57" fillId="0" borderId="84" xfId="0" applyNumberFormat="1" applyFont="1" applyBorder="1" applyAlignment="1">
      <alignment horizontal="right"/>
    </xf>
    <xf numFmtId="165" fontId="58" fillId="0" borderId="0" xfId="1" applyNumberFormat="1" applyFont="1" applyBorder="1" applyAlignment="1">
      <alignment horizontal="left" vertical="center" indent="2"/>
    </xf>
    <xf numFmtId="9" fontId="58" fillId="0" borderId="0" xfId="0" applyNumberFormat="1" applyFont="1" applyAlignment="1">
      <alignment horizontal="right"/>
    </xf>
    <xf numFmtId="167" fontId="27" fillId="0" borderId="61" xfId="1" applyNumberFormat="1" applyFont="1" applyFill="1" applyBorder="1"/>
    <xf numFmtId="9" fontId="27" fillId="0" borderId="3" xfId="1" applyNumberFormat="1" applyFont="1" applyFill="1" applyBorder="1"/>
    <xf numFmtId="170" fontId="27" fillId="0" borderId="3" xfId="1" applyNumberFormat="1" applyFont="1" applyFill="1" applyBorder="1"/>
    <xf numFmtId="167" fontId="0" fillId="0" borderId="11" xfId="0" applyNumberFormat="1" applyBorder="1"/>
    <xf numFmtId="9" fontId="0" fillId="0" borderId="11" xfId="0" applyNumberFormat="1" applyBorder="1"/>
    <xf numFmtId="9" fontId="0" fillId="0" borderId="29" xfId="0" applyNumberFormat="1" applyBorder="1"/>
    <xf numFmtId="167" fontId="44" fillId="11" borderId="11" xfId="0" applyNumberFormat="1" applyFont="1" applyFill="1" applyBorder="1"/>
    <xf numFmtId="167" fontId="0" fillId="11" borderId="11" xfId="0" applyNumberFormat="1" applyFill="1" applyBorder="1"/>
    <xf numFmtId="9" fontId="0" fillId="0" borderId="29" xfId="1" applyNumberFormat="1" applyFont="1" applyBorder="1"/>
    <xf numFmtId="167" fontId="24" fillId="9" borderId="11" xfId="1" applyNumberFormat="1" applyFont="1" applyFill="1" applyBorder="1"/>
    <xf numFmtId="167" fontId="24" fillId="7" borderId="11" xfId="1" applyNumberFormat="1" applyFont="1" applyFill="1" applyBorder="1"/>
    <xf numFmtId="0" fontId="0" fillId="0" borderId="11" xfId="0" applyBorder="1"/>
    <xf numFmtId="167" fontId="24" fillId="0" borderId="11" xfId="0" applyNumberFormat="1" applyFont="1" applyBorder="1"/>
    <xf numFmtId="167" fontId="24" fillId="9" borderId="11" xfId="0" applyNumberFormat="1" applyFont="1" applyFill="1" applyBorder="1"/>
    <xf numFmtId="167" fontId="23" fillId="0" borderId="11" xfId="1" applyNumberFormat="1" applyFont="1" applyBorder="1"/>
    <xf numFmtId="167" fontId="24" fillId="7" borderId="11" xfId="0" applyNumberFormat="1" applyFont="1" applyFill="1" applyBorder="1"/>
    <xf numFmtId="167" fontId="24" fillId="10" borderId="11" xfId="1" applyNumberFormat="1" applyFont="1" applyFill="1" applyBorder="1"/>
    <xf numFmtId="168" fontId="0" fillId="0" borderId="11" xfId="1" applyNumberFormat="1" applyFont="1" applyBorder="1"/>
    <xf numFmtId="167" fontId="16" fillId="4" borderId="11" xfId="1" applyNumberFormat="1" applyFont="1" applyFill="1" applyBorder="1"/>
    <xf numFmtId="9" fontId="24" fillId="0" borderId="0" xfId="0" applyNumberFormat="1" applyFont="1"/>
    <xf numFmtId="9" fontId="24" fillId="0" borderId="0" xfId="4" applyFont="1" applyFill="1" applyBorder="1" applyAlignment="1">
      <alignment horizontal="left" vertical="center"/>
    </xf>
    <xf numFmtId="9" fontId="27" fillId="0" borderId="3" xfId="4" applyFont="1" applyBorder="1"/>
    <xf numFmtId="9" fontId="27" fillId="0" borderId="3" xfId="4" applyFont="1" applyFill="1" applyBorder="1"/>
    <xf numFmtId="9" fontId="24" fillId="0" borderId="0" xfId="4" applyFont="1" applyBorder="1"/>
    <xf numFmtId="172" fontId="34" fillId="13" borderId="2" xfId="1" applyNumberFormat="1" applyFont="1" applyFill="1" applyBorder="1" applyAlignment="1">
      <alignment horizontal="centerContinuous" vertical="center"/>
    </xf>
    <xf numFmtId="0" fontId="24" fillId="7" borderId="33" xfId="5" applyFont="1" applyFill="1" applyBorder="1" applyAlignment="1">
      <alignment horizontal="center"/>
    </xf>
    <xf numFmtId="0" fontId="24" fillId="7" borderId="32" xfId="5" applyFont="1" applyFill="1" applyBorder="1" applyAlignment="1">
      <alignment horizontal="center"/>
    </xf>
    <xf numFmtId="0" fontId="24" fillId="7" borderId="34" xfId="5" applyFont="1" applyFill="1" applyBorder="1" applyAlignment="1">
      <alignment horizontal="center"/>
    </xf>
    <xf numFmtId="172" fontId="34" fillId="6" borderId="61" xfId="14" applyNumberFormat="1" applyFont="1" applyFill="1" applyBorder="1" applyAlignment="1">
      <alignment horizontal="center" vertical="center"/>
    </xf>
    <xf numFmtId="172" fontId="34" fillId="6" borderId="11" xfId="14" applyNumberFormat="1" applyFont="1" applyFill="1" applyBorder="1" applyAlignment="1">
      <alignment horizontal="center" vertical="center"/>
    </xf>
    <xf numFmtId="165" fontId="38" fillId="12" borderId="75" xfId="14" applyNumberFormat="1" applyFont="1" applyFill="1" applyBorder="1" applyAlignment="1">
      <alignment horizontal="center"/>
    </xf>
    <xf numFmtId="165" fontId="38" fillId="12" borderId="60" xfId="14" applyNumberFormat="1" applyFont="1" applyFill="1" applyBorder="1" applyAlignment="1">
      <alignment horizontal="center"/>
    </xf>
    <xf numFmtId="165" fontId="38" fillId="7" borderId="75" xfId="14" applyNumberFormat="1" applyFont="1" applyFill="1" applyBorder="1" applyAlignment="1">
      <alignment horizontal="center"/>
    </xf>
    <xf numFmtId="165" fontId="38" fillId="7" borderId="60" xfId="14" applyNumberFormat="1" applyFont="1" applyFill="1" applyBorder="1" applyAlignment="1">
      <alignment horizontal="center"/>
    </xf>
  </cellXfs>
  <cellStyles count="17">
    <cellStyle name="Comma" xfId="1" builtinId="3"/>
    <cellStyle name="Comma 2" xfId="3" xr:uid="{8F52891F-BCFE-4BC3-9CEF-81A6FFEBD81C}"/>
    <cellStyle name="Comma 3" xfId="6" xr:uid="{FBD73208-E918-4D00-A1A5-E43658555D0F}"/>
    <cellStyle name="Comma 4" xfId="8" xr:uid="{59988295-5D53-469E-8CA8-02BC5F89CE8C}"/>
    <cellStyle name="Comma 5" xfId="12" xr:uid="{14E49B52-AA1F-4E46-889E-AAD31C6F1FB5}"/>
    <cellStyle name="Comma 6" xfId="14" xr:uid="{CD728C60-49CF-4CFE-970B-2A5F907B268E}"/>
    <cellStyle name="Normal" xfId="0" builtinId="0"/>
    <cellStyle name="Normal 2" xfId="2" xr:uid="{94824190-BB7B-4A2D-8549-80D76D1DAAEC}"/>
    <cellStyle name="Normal 2 2" xfId="11" xr:uid="{E0565A52-1486-43ED-880B-258E894226D6}"/>
    <cellStyle name="Normal 3" xfId="5" xr:uid="{DB818B0D-7210-474B-9959-7D642915B412}"/>
    <cellStyle name="Normal 4" xfId="9" xr:uid="{F56F6A7F-27AF-41F7-B732-0CBAD4AA65EC}"/>
    <cellStyle name="Normal 5" xfId="15" xr:uid="{524D2B44-ADF0-45B3-8EEF-6B8DDDE4A7C5}"/>
    <cellStyle name="Per cent" xfId="4" builtinId="5"/>
    <cellStyle name="Percent 2" xfId="7" xr:uid="{846C9D5E-1B71-41D5-8270-51BB3172CC83}"/>
    <cellStyle name="Percent 3" xfId="10" xr:uid="{C5EABDDD-EEB1-49B2-8A22-2BA69A11CE19}"/>
    <cellStyle name="Percent 4" xfId="13" xr:uid="{905B6677-97E4-4A8E-8584-4FE1F5AC9A95}"/>
    <cellStyle name="Percent 5" xfId="16" xr:uid="{614E4C21-7EF2-4707-B48B-2F1835274F7A}"/>
  </cellStyles>
  <dxfs count="6"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</dxfs>
  <tableStyles count="0" defaultTableStyle="TableStyleMedium2" defaultPivotStyle="PivotStyleLight16"/>
  <colors>
    <mruColors>
      <color rgb="FF0B3D9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71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CF6BE5-E5A6-4064-8797-95D3BB4AAD5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f1c42f1-5fac-4a04-bcf0-6f5441e5ec40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9D17-CC3A-4A93-B151-0EF33C07D049}">
  <sheetPr>
    <tabColor theme="9" tint="0.79998168889431442"/>
  </sheetPr>
  <dimension ref="A1:ED115"/>
  <sheetViews>
    <sheetView workbookViewId="0">
      <pane xSplit="1" ySplit="1" topLeftCell="CR2" activePane="bottomRight" state="frozen"/>
      <selection pane="topRight" activeCell="B1" sqref="B1"/>
      <selection pane="bottomLeft" activeCell="A2" sqref="A2"/>
      <selection pane="bottomRight" activeCell="CR3" sqref="CR3"/>
    </sheetView>
  </sheetViews>
  <sheetFormatPr baseColWidth="10" defaultColWidth="8.6640625" defaultRowHeight="15" x14ac:dyDescent="0.2"/>
  <cols>
    <col min="1" max="1" width="33.6640625" bestFit="1" customWidth="1"/>
    <col min="2" max="121" width="14.1640625" customWidth="1"/>
    <col min="122" max="133" width="14.1640625" hidden="1" customWidth="1"/>
    <col min="134" max="134" width="2.6640625" customWidth="1"/>
  </cols>
  <sheetData>
    <row r="1" spans="1:134" ht="16" thickBot="1" x14ac:dyDescent="0.25">
      <c r="A1" s="1" t="s">
        <v>0</v>
      </c>
      <c r="B1" s="2">
        <v>43208</v>
      </c>
      <c r="C1" s="2">
        <v>43238</v>
      </c>
      <c r="D1" s="2">
        <v>43269</v>
      </c>
      <c r="E1" s="2">
        <v>43282</v>
      </c>
      <c r="F1" s="2">
        <v>43313</v>
      </c>
      <c r="G1" s="2">
        <v>43344</v>
      </c>
      <c r="H1" s="2">
        <v>43374</v>
      </c>
      <c r="I1" s="2">
        <v>43405</v>
      </c>
      <c r="J1" s="2">
        <v>43435</v>
      </c>
      <c r="K1" s="2">
        <v>43466</v>
      </c>
      <c r="L1" s="2">
        <v>43497</v>
      </c>
      <c r="M1" s="2">
        <v>43525</v>
      </c>
      <c r="N1" s="2">
        <v>43556</v>
      </c>
      <c r="O1" s="2">
        <v>43586</v>
      </c>
      <c r="P1" s="2">
        <v>43617</v>
      </c>
      <c r="Q1" s="2">
        <v>43647</v>
      </c>
      <c r="R1" s="2">
        <f t="shared" ref="R1:BS1" si="0">Q1+31</f>
        <v>43678</v>
      </c>
      <c r="S1" s="2">
        <f t="shared" si="0"/>
        <v>43709</v>
      </c>
      <c r="T1" s="2">
        <f t="shared" si="0"/>
        <v>43740</v>
      </c>
      <c r="U1" s="2">
        <f t="shared" si="0"/>
        <v>43771</v>
      </c>
      <c r="V1" s="2">
        <f t="shared" si="0"/>
        <v>43802</v>
      </c>
      <c r="W1" s="2">
        <f t="shared" si="0"/>
        <v>43833</v>
      </c>
      <c r="X1" s="2">
        <f t="shared" si="0"/>
        <v>43864</v>
      </c>
      <c r="Y1" s="2">
        <f t="shared" si="0"/>
        <v>43895</v>
      </c>
      <c r="Z1" s="2">
        <f t="shared" si="0"/>
        <v>43926</v>
      </c>
      <c r="AA1" s="2">
        <f t="shared" si="0"/>
        <v>43957</v>
      </c>
      <c r="AB1" s="2">
        <f t="shared" si="0"/>
        <v>43988</v>
      </c>
      <c r="AC1" s="2">
        <f t="shared" si="0"/>
        <v>44019</v>
      </c>
      <c r="AD1" s="2">
        <f t="shared" si="0"/>
        <v>44050</v>
      </c>
      <c r="AE1" s="2">
        <f t="shared" si="0"/>
        <v>44081</v>
      </c>
      <c r="AF1" s="2">
        <f t="shared" si="0"/>
        <v>44112</v>
      </c>
      <c r="AG1" s="2">
        <f t="shared" si="0"/>
        <v>44143</v>
      </c>
      <c r="AH1" s="2">
        <f t="shared" si="0"/>
        <v>44174</v>
      </c>
      <c r="AI1" s="2">
        <f t="shared" si="0"/>
        <v>44205</v>
      </c>
      <c r="AJ1" s="2">
        <f t="shared" si="0"/>
        <v>44236</v>
      </c>
      <c r="AK1" s="2">
        <f t="shared" si="0"/>
        <v>44267</v>
      </c>
      <c r="AL1" s="2">
        <f t="shared" si="0"/>
        <v>44298</v>
      </c>
      <c r="AM1" s="2">
        <f t="shared" si="0"/>
        <v>44329</v>
      </c>
      <c r="AN1" s="2">
        <f t="shared" si="0"/>
        <v>44360</v>
      </c>
      <c r="AO1" s="2">
        <f t="shared" si="0"/>
        <v>44391</v>
      </c>
      <c r="AP1" s="2">
        <f t="shared" si="0"/>
        <v>44422</v>
      </c>
      <c r="AQ1" s="2">
        <f t="shared" si="0"/>
        <v>44453</v>
      </c>
      <c r="AR1" s="2">
        <f t="shared" si="0"/>
        <v>44484</v>
      </c>
      <c r="AS1" s="2">
        <f t="shared" si="0"/>
        <v>44515</v>
      </c>
      <c r="AT1" s="2">
        <f t="shared" si="0"/>
        <v>44546</v>
      </c>
      <c r="AU1" s="2">
        <f t="shared" si="0"/>
        <v>44577</v>
      </c>
      <c r="AV1" s="2">
        <f t="shared" si="0"/>
        <v>44608</v>
      </c>
      <c r="AW1" s="2">
        <f t="shared" si="0"/>
        <v>44639</v>
      </c>
      <c r="AX1" s="2">
        <f t="shared" si="0"/>
        <v>44670</v>
      </c>
      <c r="AY1" s="2">
        <f t="shared" si="0"/>
        <v>44701</v>
      </c>
      <c r="AZ1" s="2">
        <f t="shared" si="0"/>
        <v>44732</v>
      </c>
      <c r="BA1" s="2">
        <f t="shared" si="0"/>
        <v>44763</v>
      </c>
      <c r="BB1" s="2">
        <f t="shared" si="0"/>
        <v>44794</v>
      </c>
      <c r="BC1" s="2">
        <f t="shared" si="0"/>
        <v>44825</v>
      </c>
      <c r="BD1" s="2">
        <f t="shared" si="0"/>
        <v>44856</v>
      </c>
      <c r="BE1" s="2">
        <f t="shared" si="0"/>
        <v>44887</v>
      </c>
      <c r="BF1" s="2">
        <f t="shared" si="0"/>
        <v>44918</v>
      </c>
      <c r="BG1" s="2">
        <f t="shared" si="0"/>
        <v>44949</v>
      </c>
      <c r="BH1" s="2">
        <f t="shared" si="0"/>
        <v>44980</v>
      </c>
      <c r="BI1" s="2">
        <f t="shared" si="0"/>
        <v>45011</v>
      </c>
      <c r="BJ1" s="2">
        <f t="shared" si="0"/>
        <v>45042</v>
      </c>
      <c r="BK1" s="2">
        <f t="shared" si="0"/>
        <v>45073</v>
      </c>
      <c r="BL1" s="2">
        <f t="shared" si="0"/>
        <v>45104</v>
      </c>
      <c r="BM1" s="2">
        <f t="shared" si="0"/>
        <v>45135</v>
      </c>
      <c r="BN1" s="2">
        <f t="shared" si="0"/>
        <v>45166</v>
      </c>
      <c r="BO1" s="2">
        <f t="shared" si="0"/>
        <v>45197</v>
      </c>
      <c r="BP1" s="2">
        <f t="shared" si="0"/>
        <v>45228</v>
      </c>
      <c r="BQ1" s="2">
        <f t="shared" si="0"/>
        <v>45259</v>
      </c>
      <c r="BR1" s="2">
        <f t="shared" si="0"/>
        <v>45290</v>
      </c>
      <c r="BS1" s="2">
        <f t="shared" si="0"/>
        <v>45321</v>
      </c>
      <c r="BT1" s="2">
        <f t="shared" ref="BT1:CR1" si="1">BS1+30</f>
        <v>45351</v>
      </c>
      <c r="BU1" s="2">
        <f t="shared" si="1"/>
        <v>45381</v>
      </c>
      <c r="BV1" s="2">
        <f t="shared" si="1"/>
        <v>45411</v>
      </c>
      <c r="BW1" s="2">
        <f t="shared" si="1"/>
        <v>45441</v>
      </c>
      <c r="BX1" s="2">
        <f t="shared" si="1"/>
        <v>45471</v>
      </c>
      <c r="BY1" s="2">
        <f t="shared" si="1"/>
        <v>45501</v>
      </c>
      <c r="BZ1" s="2">
        <f t="shared" si="1"/>
        <v>45531</v>
      </c>
      <c r="CA1" s="2">
        <f t="shared" si="1"/>
        <v>45561</v>
      </c>
      <c r="CB1" s="2">
        <f t="shared" si="1"/>
        <v>45591</v>
      </c>
      <c r="CC1" s="2">
        <f t="shared" si="1"/>
        <v>45621</v>
      </c>
      <c r="CD1" s="2">
        <f t="shared" si="1"/>
        <v>45651</v>
      </c>
      <c r="CE1" s="2">
        <f t="shared" si="1"/>
        <v>45681</v>
      </c>
      <c r="CF1" s="2">
        <f t="shared" si="1"/>
        <v>45711</v>
      </c>
      <c r="CG1" s="2">
        <f t="shared" si="1"/>
        <v>45741</v>
      </c>
      <c r="CH1" s="2">
        <f t="shared" si="1"/>
        <v>45771</v>
      </c>
      <c r="CI1" s="2">
        <f t="shared" si="1"/>
        <v>45801</v>
      </c>
      <c r="CJ1" s="2">
        <f t="shared" si="1"/>
        <v>45831</v>
      </c>
      <c r="CK1" s="2">
        <f t="shared" si="1"/>
        <v>45861</v>
      </c>
      <c r="CL1" s="2">
        <f t="shared" si="1"/>
        <v>45891</v>
      </c>
      <c r="CM1" s="2">
        <f t="shared" si="1"/>
        <v>45921</v>
      </c>
      <c r="CN1" s="2">
        <f t="shared" si="1"/>
        <v>45951</v>
      </c>
      <c r="CO1" s="2">
        <f t="shared" si="1"/>
        <v>45981</v>
      </c>
      <c r="CP1" s="2">
        <f t="shared" si="1"/>
        <v>46011</v>
      </c>
      <c r="CQ1" s="2">
        <f t="shared" si="1"/>
        <v>46041</v>
      </c>
      <c r="CR1" s="2">
        <f t="shared" si="1"/>
        <v>46071</v>
      </c>
      <c r="CS1" s="2">
        <f t="shared" ref="CS1:EC1" si="2">CR1+30</f>
        <v>46101</v>
      </c>
      <c r="CT1" s="2">
        <f t="shared" si="2"/>
        <v>46131</v>
      </c>
      <c r="CU1" s="2">
        <f t="shared" si="2"/>
        <v>46161</v>
      </c>
      <c r="CV1" s="2">
        <f t="shared" si="2"/>
        <v>46191</v>
      </c>
      <c r="CW1" s="2">
        <f t="shared" si="2"/>
        <v>46221</v>
      </c>
      <c r="CX1" s="2">
        <f t="shared" si="2"/>
        <v>46251</v>
      </c>
      <c r="CY1" s="2">
        <f t="shared" si="2"/>
        <v>46281</v>
      </c>
      <c r="CZ1" s="2">
        <f t="shared" si="2"/>
        <v>46311</v>
      </c>
      <c r="DA1" s="2">
        <f t="shared" si="2"/>
        <v>46341</v>
      </c>
      <c r="DB1" s="2">
        <f t="shared" si="2"/>
        <v>46371</v>
      </c>
      <c r="DC1" s="2">
        <f t="shared" si="2"/>
        <v>46401</v>
      </c>
      <c r="DD1" s="2">
        <f t="shared" si="2"/>
        <v>46431</v>
      </c>
      <c r="DE1" s="2">
        <f t="shared" si="2"/>
        <v>46461</v>
      </c>
      <c r="DF1" s="2">
        <f t="shared" si="2"/>
        <v>46491</v>
      </c>
      <c r="DG1" s="2">
        <f t="shared" si="2"/>
        <v>46521</v>
      </c>
      <c r="DH1" s="2">
        <f t="shared" si="2"/>
        <v>46551</v>
      </c>
      <c r="DI1" s="2">
        <f t="shared" si="2"/>
        <v>46581</v>
      </c>
      <c r="DJ1" s="2">
        <f t="shared" si="2"/>
        <v>46611</v>
      </c>
      <c r="DK1" s="2">
        <f t="shared" si="2"/>
        <v>46641</v>
      </c>
      <c r="DL1" s="2">
        <f t="shared" si="2"/>
        <v>46671</v>
      </c>
      <c r="DM1" s="2">
        <f t="shared" si="2"/>
        <v>46701</v>
      </c>
      <c r="DN1" s="2">
        <f t="shared" si="2"/>
        <v>46731</v>
      </c>
      <c r="DO1" s="2">
        <f t="shared" si="2"/>
        <v>46761</v>
      </c>
      <c r="DP1" s="2">
        <f t="shared" si="2"/>
        <v>46791</v>
      </c>
      <c r="DQ1" s="2">
        <f t="shared" si="2"/>
        <v>46821</v>
      </c>
      <c r="DR1" s="2">
        <f t="shared" si="2"/>
        <v>46851</v>
      </c>
      <c r="DS1" s="2">
        <f t="shared" si="2"/>
        <v>46881</v>
      </c>
      <c r="DT1" s="2">
        <f t="shared" si="2"/>
        <v>46911</v>
      </c>
      <c r="DU1" s="2">
        <f t="shared" si="2"/>
        <v>46941</v>
      </c>
      <c r="DV1" s="2">
        <f t="shared" si="2"/>
        <v>46971</v>
      </c>
      <c r="DW1" s="2">
        <f t="shared" si="2"/>
        <v>47001</v>
      </c>
      <c r="DX1" s="2">
        <f t="shared" si="2"/>
        <v>47031</v>
      </c>
      <c r="DY1" s="2">
        <f t="shared" si="2"/>
        <v>47061</v>
      </c>
      <c r="DZ1" s="2">
        <f t="shared" si="2"/>
        <v>47091</v>
      </c>
      <c r="EA1" s="2">
        <f t="shared" si="2"/>
        <v>47121</v>
      </c>
      <c r="EB1" s="2">
        <f t="shared" si="2"/>
        <v>47151</v>
      </c>
      <c r="EC1" s="2">
        <f t="shared" si="2"/>
        <v>47181</v>
      </c>
      <c r="ED1" t="s">
        <v>1</v>
      </c>
    </row>
    <row r="2" spans="1:134" x14ac:dyDescent="0.2">
      <c r="A2" s="3" t="s">
        <v>2</v>
      </c>
      <c r="B2" s="4">
        <v>127373162</v>
      </c>
      <c r="C2" s="4">
        <v>119526214</v>
      </c>
      <c r="D2" s="4">
        <v>133618915.88573273</v>
      </c>
      <c r="E2" s="4">
        <v>155721260.4144277</v>
      </c>
      <c r="F2" s="4">
        <v>182921172.49998167</v>
      </c>
      <c r="G2" s="4">
        <v>190468885</v>
      </c>
      <c r="H2" s="4">
        <v>203496304</v>
      </c>
      <c r="I2" s="4">
        <v>191306750</v>
      </c>
      <c r="J2" s="4">
        <v>241759536</v>
      </c>
      <c r="K2" s="4">
        <v>234336044</v>
      </c>
      <c r="L2" s="4">
        <v>238581665.40440598</v>
      </c>
      <c r="M2" s="4">
        <v>208964937</v>
      </c>
      <c r="N2" s="4">
        <v>269521577.81535649</v>
      </c>
      <c r="O2" s="4">
        <v>266887280.18464351</v>
      </c>
      <c r="P2" s="4">
        <v>286264611.91390729</v>
      </c>
      <c r="Q2" s="4">
        <v>292672912</v>
      </c>
      <c r="R2" s="4">
        <v>241502333.08609271</v>
      </c>
      <c r="S2" s="4">
        <v>214319223</v>
      </c>
      <c r="T2" s="4">
        <v>181364156</v>
      </c>
      <c r="U2" s="4">
        <v>220788768</v>
      </c>
      <c r="V2" s="4">
        <v>264495973.5</v>
      </c>
      <c r="W2" s="4">
        <v>267334479</v>
      </c>
      <c r="X2" s="4">
        <v>293793284.5179283</v>
      </c>
      <c r="Y2" s="4">
        <v>182610351</v>
      </c>
      <c r="Z2" s="4">
        <v>0</v>
      </c>
      <c r="AA2" s="4">
        <v>140900548</v>
      </c>
      <c r="AB2" s="4">
        <v>146263086</v>
      </c>
      <c r="AC2" s="4">
        <v>119828870</v>
      </c>
      <c r="AD2" s="4">
        <v>200268733</v>
      </c>
      <c r="AE2" s="4">
        <v>206503898</v>
      </c>
      <c r="AF2" s="4">
        <v>186804306</v>
      </c>
      <c r="AG2" s="4">
        <v>220638888.32600001</v>
      </c>
      <c r="AH2" s="4">
        <v>354432755.13367635</v>
      </c>
      <c r="AI2" s="4">
        <v>305908596.7889834</v>
      </c>
      <c r="AJ2" s="4">
        <v>382602163.1035679</v>
      </c>
      <c r="AK2" s="4">
        <v>321577169.91072345</v>
      </c>
      <c r="AL2" s="4">
        <v>221847142.8799791</v>
      </c>
      <c r="AM2" s="4">
        <v>103928152.47617462</v>
      </c>
      <c r="AN2" s="4">
        <v>229507545.94999999</v>
      </c>
      <c r="AO2" s="4">
        <v>322690111</v>
      </c>
      <c r="AP2" s="4">
        <v>318471079.77997899</v>
      </c>
      <c r="AQ2" s="4">
        <v>309777508.02931261</v>
      </c>
      <c r="AR2" s="4">
        <v>276140051.35999995</v>
      </c>
      <c r="AS2" s="4">
        <v>314124397.13</v>
      </c>
      <c r="AT2" s="4">
        <v>420504821.24440998</v>
      </c>
      <c r="AU2" s="4">
        <v>387766797.39000005</v>
      </c>
      <c r="AV2" s="4">
        <v>406585986</v>
      </c>
      <c r="AW2" s="4">
        <v>367317139</v>
      </c>
      <c r="AX2" s="4">
        <v>364497378</v>
      </c>
      <c r="AY2" s="4">
        <v>418830243</v>
      </c>
      <c r="AZ2" s="5">
        <f t="shared" ref="AZ2:CR2" si="3">AZ3+AZ4</f>
        <v>322870975.1767897</v>
      </c>
      <c r="BA2" s="5">
        <f t="shared" si="3"/>
        <v>359628843.35487264</v>
      </c>
      <c r="BB2" s="5">
        <f t="shared" si="3"/>
        <v>376695151.4534688</v>
      </c>
      <c r="BC2" s="5">
        <f t="shared" si="3"/>
        <v>376498617.62746155</v>
      </c>
      <c r="BD2" s="5">
        <f t="shared" si="3"/>
        <v>426381068.204934</v>
      </c>
      <c r="BE2" s="5">
        <f t="shared" si="3"/>
        <v>464667093.57513422</v>
      </c>
      <c r="BF2" s="5">
        <f t="shared" si="3"/>
        <v>586468513.06378782</v>
      </c>
      <c r="BG2" s="5">
        <f t="shared" si="3"/>
        <v>529432974.80171537</v>
      </c>
      <c r="BH2" s="5">
        <f t="shared" si="3"/>
        <v>438052413.00878203</v>
      </c>
      <c r="BI2" s="5">
        <f t="shared" si="3"/>
        <v>483097865.52214754</v>
      </c>
      <c r="BJ2" s="5">
        <f t="shared" si="3"/>
        <v>465156106.77914608</v>
      </c>
      <c r="BK2" s="5">
        <f t="shared" si="3"/>
        <v>467761798.58857548</v>
      </c>
      <c r="BL2" s="5">
        <f t="shared" si="3"/>
        <v>356157796.08981013</v>
      </c>
      <c r="BM2" s="5">
        <f t="shared" si="3"/>
        <v>343848864.02146912</v>
      </c>
      <c r="BN2" s="5">
        <f t="shared" si="3"/>
        <v>357246301.53921914</v>
      </c>
      <c r="BO2" s="5">
        <f t="shared" si="3"/>
        <v>340491295.51765794</v>
      </c>
      <c r="BP2" s="5">
        <f t="shared" si="3"/>
        <v>317041613.21641493</v>
      </c>
      <c r="BQ2" s="5">
        <f t="shared" si="3"/>
        <v>367727559.82077271</v>
      </c>
      <c r="BR2" s="5">
        <f t="shared" si="3"/>
        <v>340522215.06612939</v>
      </c>
      <c r="BS2" s="5">
        <f t="shared" si="3"/>
        <v>309883181.41198385</v>
      </c>
      <c r="BT2" s="5">
        <f t="shared" si="3"/>
        <v>326926750.67292452</v>
      </c>
      <c r="BU2" s="5">
        <f t="shared" si="3"/>
        <v>331126951.70715314</v>
      </c>
      <c r="BV2" s="5">
        <f t="shared" si="3"/>
        <v>345838800.88999087</v>
      </c>
      <c r="BW2" s="5">
        <f t="shared" si="3"/>
        <v>358814442.13857877</v>
      </c>
      <c r="BX2" s="5">
        <f t="shared" si="3"/>
        <v>340489885.997253</v>
      </c>
      <c r="BY2" s="5">
        <f t="shared" si="3"/>
        <v>324536838.66845638</v>
      </c>
      <c r="BZ2" s="5">
        <f t="shared" si="3"/>
        <v>314658451.51999211</v>
      </c>
      <c r="CA2" s="5">
        <f t="shared" si="3"/>
        <v>283536612.59798515</v>
      </c>
      <c r="CB2" s="5">
        <f t="shared" si="3"/>
        <v>328752031.30583686</v>
      </c>
      <c r="CC2" s="5">
        <f t="shared" si="3"/>
        <v>332303203.63122046</v>
      </c>
      <c r="CD2" s="5">
        <f t="shared" si="3"/>
        <v>374321188.22292244</v>
      </c>
      <c r="CE2" s="5">
        <f t="shared" si="3"/>
        <v>419344448.09682226</v>
      </c>
      <c r="CF2" s="5">
        <f t="shared" si="3"/>
        <v>477025765.6203171</v>
      </c>
      <c r="CG2" s="5">
        <f t="shared" si="3"/>
        <v>592641444.29802144</v>
      </c>
      <c r="CH2" s="5">
        <f t="shared" si="3"/>
        <v>512359832.06920522</v>
      </c>
      <c r="CI2" s="5">
        <f t="shared" si="3"/>
        <v>508880293.69166654</v>
      </c>
      <c r="CJ2" s="5">
        <f t="shared" si="3"/>
        <v>519512444.67211092</v>
      </c>
      <c r="CK2" s="5">
        <f t="shared" si="3"/>
        <v>508328020.85000002</v>
      </c>
      <c r="CL2" s="5">
        <f t="shared" si="3"/>
        <v>438932744.76999933</v>
      </c>
      <c r="CM2" s="5">
        <f t="shared" si="3"/>
        <v>376466762.65999961</v>
      </c>
      <c r="CN2" s="5">
        <f t="shared" si="3"/>
        <v>479196803.51000047</v>
      </c>
      <c r="CO2" s="5">
        <f t="shared" si="3"/>
        <v>566540141.60000002</v>
      </c>
      <c r="CP2" s="5">
        <f t="shared" si="3"/>
        <v>691432764.24999988</v>
      </c>
      <c r="CQ2" s="5">
        <f t="shared" si="3"/>
        <v>739728865.04000056</v>
      </c>
      <c r="CR2" s="5">
        <f t="shared" si="3"/>
        <v>684737705.31000066</v>
      </c>
      <c r="CS2" s="5">
        <f t="shared" ref="CS2:DQ2" si="4">CS3+CS4</f>
        <v>0</v>
      </c>
      <c r="CT2" s="5">
        <f t="shared" si="4"/>
        <v>0</v>
      </c>
      <c r="CU2" s="5">
        <f t="shared" si="4"/>
        <v>0</v>
      </c>
      <c r="CV2" s="5">
        <f t="shared" si="4"/>
        <v>0</v>
      </c>
      <c r="CW2" s="5">
        <f t="shared" si="4"/>
        <v>0</v>
      </c>
      <c r="CX2" s="5">
        <f t="shared" si="4"/>
        <v>0</v>
      </c>
      <c r="CY2" s="5">
        <f t="shared" si="4"/>
        <v>0</v>
      </c>
      <c r="CZ2" s="5">
        <f t="shared" si="4"/>
        <v>0</v>
      </c>
      <c r="DA2" s="5">
        <f t="shared" si="4"/>
        <v>0</v>
      </c>
      <c r="DB2" s="5">
        <f t="shared" si="4"/>
        <v>0</v>
      </c>
      <c r="DC2" s="5">
        <f t="shared" si="4"/>
        <v>0</v>
      </c>
      <c r="DD2" s="5">
        <f t="shared" si="4"/>
        <v>0</v>
      </c>
      <c r="DE2" s="5">
        <f t="shared" si="4"/>
        <v>0</v>
      </c>
      <c r="DF2" s="5">
        <f t="shared" si="4"/>
        <v>0</v>
      </c>
      <c r="DG2" s="5">
        <f t="shared" si="4"/>
        <v>0</v>
      </c>
      <c r="DH2" s="5">
        <f t="shared" si="4"/>
        <v>0</v>
      </c>
      <c r="DI2" s="5">
        <f t="shared" si="4"/>
        <v>0</v>
      </c>
      <c r="DJ2" s="5">
        <f t="shared" si="4"/>
        <v>0</v>
      </c>
      <c r="DK2" s="5">
        <f t="shared" si="4"/>
        <v>0</v>
      </c>
      <c r="DL2" s="5">
        <f t="shared" si="4"/>
        <v>0</v>
      </c>
      <c r="DM2" s="5">
        <f t="shared" si="4"/>
        <v>0</v>
      </c>
      <c r="DN2" s="5">
        <f t="shared" si="4"/>
        <v>0</v>
      </c>
      <c r="DO2" s="5">
        <f t="shared" si="4"/>
        <v>0</v>
      </c>
      <c r="DP2" s="5">
        <f t="shared" si="4"/>
        <v>0</v>
      </c>
      <c r="DQ2" s="5">
        <f t="shared" si="4"/>
        <v>0</v>
      </c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>
        <f t="shared" ref="EC2" si="5">EC3+EC4</f>
        <v>0</v>
      </c>
      <c r="ED2" t="s">
        <v>1</v>
      </c>
    </row>
    <row r="3" spans="1:134" x14ac:dyDescent="0.2">
      <c r="A3" s="6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>
        <v>57900213.295814104</v>
      </c>
      <c r="BA3" s="7">
        <v>62484772.600000001</v>
      </c>
      <c r="BB3" s="7">
        <v>63293292.101395138</v>
      </c>
      <c r="BC3" s="7">
        <v>112719322.40801412</v>
      </c>
      <c r="BD3" s="7">
        <v>101615364.11710085</v>
      </c>
      <c r="BE3" s="7">
        <v>122469494.89015003</v>
      </c>
      <c r="BF3" s="7">
        <v>147769886.55559939</v>
      </c>
      <c r="BG3" s="7">
        <v>112084845.54999986</v>
      </c>
      <c r="BH3" s="7">
        <v>59806800.499999911</v>
      </c>
      <c r="BI3" s="7">
        <v>64466320.749999851</v>
      </c>
      <c r="BJ3" s="7">
        <v>39228576.649999946</v>
      </c>
      <c r="BK3" s="7">
        <v>32647112.999999903</v>
      </c>
      <c r="BL3" s="7">
        <v>33153913.000000041</v>
      </c>
      <c r="BM3" s="7">
        <v>15345796.000000387</v>
      </c>
      <c r="BN3" s="7">
        <v>12681234.999999998</v>
      </c>
      <c r="BO3" s="7">
        <v>18397364.999999866</v>
      </c>
      <c r="BP3" s="7">
        <v>28562914.000000004</v>
      </c>
      <c r="BQ3" s="7">
        <v>51819029.00000006</v>
      </c>
      <c r="BR3" s="7">
        <v>42511548.720000289</v>
      </c>
      <c r="BS3" s="7">
        <v>26524843.000000019</v>
      </c>
      <c r="BT3" s="7">
        <v>18495206</v>
      </c>
      <c r="BU3" s="7">
        <v>31427878.000000097</v>
      </c>
      <c r="BV3" s="7">
        <v>27850812.400000036</v>
      </c>
      <c r="BW3" s="7">
        <v>22729297.00000003</v>
      </c>
      <c r="BX3" s="7">
        <v>10946709.999999994</v>
      </c>
      <c r="BY3" s="7">
        <v>21263729.999999959</v>
      </c>
      <c r="BZ3" s="7">
        <v>29270284.000000041</v>
      </c>
      <c r="CA3" s="7">
        <v>35801443.000000045</v>
      </c>
      <c r="CB3" s="7">
        <v>25116075.999999996</v>
      </c>
      <c r="CC3" s="7">
        <v>15694578.999999998</v>
      </c>
      <c r="CD3" s="7">
        <v>35993005.999999888</v>
      </c>
      <c r="CE3" s="7">
        <v>54975278.999999918</v>
      </c>
      <c r="CF3" s="7">
        <v>35182058.00000003</v>
      </c>
      <c r="CG3" s="7">
        <v>70684510.999999911</v>
      </c>
      <c r="CH3" s="7">
        <v>57976140.191176698</v>
      </c>
      <c r="CI3" s="7">
        <v>56362233.000000045</v>
      </c>
      <c r="CJ3" s="7">
        <v>25843707.000000019</v>
      </c>
      <c r="CK3" s="7">
        <v>29562162.310000006</v>
      </c>
      <c r="CL3" s="7">
        <v>19353126.289999995</v>
      </c>
      <c r="CM3" s="7">
        <v>16747344.409999996</v>
      </c>
      <c r="CN3" s="7">
        <v>22624142.569999993</v>
      </c>
      <c r="CO3" s="7">
        <v>41629922.06999997</v>
      </c>
      <c r="CP3" s="7">
        <v>72883676.139999956</v>
      </c>
      <c r="CQ3" s="7">
        <v>54851941.210000023</v>
      </c>
      <c r="CR3" s="7">
        <v>38432466.660000041</v>
      </c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8"/>
      <c r="ED3" t="s">
        <v>1</v>
      </c>
    </row>
    <row r="4" spans="1:134" x14ac:dyDescent="0.2">
      <c r="A4" s="6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>
        <v>264970761.88097557</v>
      </c>
      <c r="BA4" s="7">
        <v>297144070.75487262</v>
      </c>
      <c r="BB4" s="7">
        <v>313401859.35207367</v>
      </c>
      <c r="BC4" s="7">
        <v>263779295.21944746</v>
      </c>
      <c r="BD4" s="7">
        <v>324765704.08783317</v>
      </c>
      <c r="BE4" s="7">
        <v>342197598.68498421</v>
      </c>
      <c r="BF4" s="7">
        <v>438698626.50818843</v>
      </c>
      <c r="BG4" s="7">
        <v>417348129.25171548</v>
      </c>
      <c r="BH4" s="7">
        <v>378245612.50878215</v>
      </c>
      <c r="BI4" s="7">
        <v>418631544.77214772</v>
      </c>
      <c r="BJ4" s="7">
        <v>425927530.1291461</v>
      </c>
      <c r="BK4" s="7">
        <v>435114685.5885756</v>
      </c>
      <c r="BL4" s="7">
        <v>323003883.08981007</v>
      </c>
      <c r="BM4" s="7">
        <v>328503068.02146876</v>
      </c>
      <c r="BN4" s="7">
        <v>344565066.53921914</v>
      </c>
      <c r="BO4" s="7">
        <v>322093930.51765805</v>
      </c>
      <c r="BP4" s="7">
        <v>288478699.21641493</v>
      </c>
      <c r="BQ4" s="7">
        <v>315908530.82077265</v>
      </c>
      <c r="BR4" s="7">
        <v>298010666.34612912</v>
      </c>
      <c r="BS4" s="7">
        <v>283358338.41198385</v>
      </c>
      <c r="BT4" s="7">
        <v>308431544.67292452</v>
      </c>
      <c r="BU4" s="7">
        <v>299699073.70715302</v>
      </c>
      <c r="BV4" s="7">
        <v>317987988.48999083</v>
      </c>
      <c r="BW4" s="7">
        <v>336085145.13857871</v>
      </c>
      <c r="BX4" s="7">
        <v>329543175.997253</v>
      </c>
      <c r="BY4" s="7">
        <v>303273108.66845644</v>
      </c>
      <c r="BZ4" s="7">
        <v>285388167.51999205</v>
      </c>
      <c r="CA4" s="7">
        <v>247735169.59798512</v>
      </c>
      <c r="CB4" s="7">
        <v>303635955.30583686</v>
      </c>
      <c r="CC4" s="7">
        <v>316608624.63122046</v>
      </c>
      <c r="CD4" s="7">
        <v>338328182.22292256</v>
      </c>
      <c r="CE4" s="7">
        <v>364369169.09682232</v>
      </c>
      <c r="CF4" s="7">
        <v>441843707.62031704</v>
      </c>
      <c r="CG4" s="7">
        <v>521956933.29802155</v>
      </c>
      <c r="CH4" s="7">
        <v>454383691.87802851</v>
      </c>
      <c r="CI4" s="7">
        <v>452518060.69166648</v>
      </c>
      <c r="CJ4" s="7">
        <v>493668737.67211092</v>
      </c>
      <c r="CK4" s="7">
        <v>478765858.54000002</v>
      </c>
      <c r="CL4" s="7">
        <v>419579618.4799993</v>
      </c>
      <c r="CM4" s="7">
        <v>359719418.24999964</v>
      </c>
      <c r="CN4" s="7">
        <v>456572660.94000047</v>
      </c>
      <c r="CO4" s="7">
        <v>524910219.53000003</v>
      </c>
      <c r="CP4" s="7">
        <v>618549088.1099999</v>
      </c>
      <c r="CQ4" s="7">
        <v>684876923.83000052</v>
      </c>
      <c r="CR4" s="7">
        <v>646305238.65000057</v>
      </c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8"/>
      <c r="ED4" t="s">
        <v>1</v>
      </c>
    </row>
    <row r="5" spans="1:134" x14ac:dyDescent="0.2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t="s">
        <v>1</v>
      </c>
    </row>
    <row r="6" spans="1:134" x14ac:dyDescent="0.2">
      <c r="A6" s="9" t="s">
        <v>5</v>
      </c>
      <c r="B6" s="7">
        <v>32077</v>
      </c>
      <c r="C6" s="7">
        <v>28685</v>
      </c>
      <c r="D6" s="7">
        <v>34758</v>
      </c>
      <c r="E6" s="7">
        <v>39298</v>
      </c>
      <c r="F6" s="7">
        <v>47222</v>
      </c>
      <c r="G6" s="7">
        <v>49152</v>
      </c>
      <c r="H6" s="7">
        <v>52716</v>
      </c>
      <c r="I6" s="7">
        <v>52798</v>
      </c>
      <c r="J6" s="7">
        <v>67323</v>
      </c>
      <c r="K6" s="7">
        <v>62990</v>
      </c>
      <c r="L6" s="7">
        <v>67278</v>
      </c>
      <c r="M6" s="7">
        <v>53088</v>
      </c>
      <c r="N6" s="7">
        <v>72396</v>
      </c>
      <c r="O6" s="7">
        <v>75630</v>
      </c>
      <c r="P6" s="7">
        <v>76377</v>
      </c>
      <c r="Q6" s="7">
        <v>71644</v>
      </c>
      <c r="R6" s="7">
        <v>63244</v>
      </c>
      <c r="S6" s="7">
        <v>56263</v>
      </c>
      <c r="T6" s="7">
        <v>46046</v>
      </c>
      <c r="U6" s="7">
        <v>53509</v>
      </c>
      <c r="V6" s="7">
        <v>66574</v>
      </c>
      <c r="W6" s="7">
        <v>66672</v>
      </c>
      <c r="X6" s="7">
        <v>82936</v>
      </c>
      <c r="Y6" s="7">
        <v>53988</v>
      </c>
      <c r="Z6" s="7">
        <v>0</v>
      </c>
      <c r="AA6" s="7">
        <v>39616</v>
      </c>
      <c r="AB6" s="7">
        <v>42186</v>
      </c>
      <c r="AC6" s="7">
        <v>23110</v>
      </c>
      <c r="AD6" s="7">
        <v>42469</v>
      </c>
      <c r="AE6" s="7">
        <v>37673</v>
      </c>
      <c r="AF6" s="7">
        <v>38371</v>
      </c>
      <c r="AG6" s="7">
        <v>52692</v>
      </c>
      <c r="AH6" s="7">
        <v>66087</v>
      </c>
      <c r="AI6" s="7">
        <v>50483</v>
      </c>
      <c r="AJ6" s="7">
        <v>69399</v>
      </c>
      <c r="AK6" s="7">
        <v>58903</v>
      </c>
      <c r="AL6" s="7">
        <v>39902</v>
      </c>
      <c r="AM6" s="7">
        <v>20877</v>
      </c>
      <c r="AN6" s="7">
        <v>46075</v>
      </c>
      <c r="AO6" s="7">
        <v>67308</v>
      </c>
      <c r="AP6" s="7">
        <v>70639</v>
      </c>
      <c r="AQ6" s="7">
        <v>66964</v>
      </c>
      <c r="AR6" s="7">
        <v>60018</v>
      </c>
      <c r="AS6" s="7">
        <v>75086</v>
      </c>
      <c r="AT6" s="7">
        <v>92309</v>
      </c>
      <c r="AU6" s="7">
        <v>84249</v>
      </c>
      <c r="AV6" s="7">
        <v>78598</v>
      </c>
      <c r="AW6" s="7">
        <v>72738</v>
      </c>
      <c r="AX6" s="7">
        <v>67201</v>
      </c>
      <c r="AY6" s="7">
        <v>75950</v>
      </c>
      <c r="AZ6" s="11">
        <f t="shared" ref="AZ6:EC6" si="6">SUM(AZ7:AZ8)</f>
        <v>55593</v>
      </c>
      <c r="BA6" s="11">
        <f t="shared" si="6"/>
        <v>62571</v>
      </c>
      <c r="BB6" s="11">
        <f t="shared" si="6"/>
        <v>65439</v>
      </c>
      <c r="BC6" s="11">
        <f t="shared" si="6"/>
        <v>69439</v>
      </c>
      <c r="BD6" s="11">
        <f t="shared" si="6"/>
        <v>64427</v>
      </c>
      <c r="BE6" s="11">
        <f t="shared" si="6"/>
        <v>69556</v>
      </c>
      <c r="BF6" s="11">
        <f t="shared" si="6"/>
        <v>86447</v>
      </c>
      <c r="BG6" s="11">
        <f t="shared" si="6"/>
        <v>76462</v>
      </c>
      <c r="BH6" s="11">
        <f t="shared" si="6"/>
        <v>61493</v>
      </c>
      <c r="BI6" s="12">
        <f t="shared" si="6"/>
        <v>71207</v>
      </c>
      <c r="BJ6" s="11">
        <f t="shared" si="6"/>
        <v>61286</v>
      </c>
      <c r="BK6" s="11">
        <f t="shared" si="6"/>
        <v>59047</v>
      </c>
      <c r="BL6" s="11">
        <f t="shared" si="6"/>
        <v>43451</v>
      </c>
      <c r="BM6" s="11">
        <f t="shared" si="6"/>
        <v>44126</v>
      </c>
      <c r="BN6" s="11">
        <f t="shared" si="6"/>
        <v>47811</v>
      </c>
      <c r="BO6" s="11">
        <f t="shared" si="6"/>
        <v>47144</v>
      </c>
      <c r="BP6" s="11">
        <f t="shared" si="6"/>
        <v>39632</v>
      </c>
      <c r="BQ6" s="11">
        <f t="shared" si="6"/>
        <v>46720</v>
      </c>
      <c r="BR6" s="11">
        <f t="shared" si="6"/>
        <v>34919</v>
      </c>
      <c r="BS6" s="11">
        <f t="shared" si="6"/>
        <v>32413</v>
      </c>
      <c r="BT6" s="11">
        <f t="shared" si="6"/>
        <v>33443</v>
      </c>
      <c r="BU6" s="11">
        <f t="shared" si="6"/>
        <v>33016</v>
      </c>
      <c r="BV6" s="11">
        <f t="shared" si="6"/>
        <v>34802</v>
      </c>
      <c r="BW6" s="11">
        <f t="shared" si="6"/>
        <v>39145</v>
      </c>
      <c r="BX6" s="11">
        <f t="shared" si="6"/>
        <v>37862</v>
      </c>
      <c r="BY6" s="11">
        <f t="shared" si="6"/>
        <v>39777</v>
      </c>
      <c r="BZ6" s="11">
        <f t="shared" si="6"/>
        <v>35273</v>
      </c>
      <c r="CA6" s="11">
        <f t="shared" si="6"/>
        <v>31845</v>
      </c>
      <c r="CB6" s="11">
        <f t="shared" si="6"/>
        <v>33500</v>
      </c>
      <c r="CC6" s="11">
        <f t="shared" si="6"/>
        <v>35897</v>
      </c>
      <c r="CD6" s="11">
        <f t="shared" si="6"/>
        <v>45824</v>
      </c>
      <c r="CE6" s="11">
        <f t="shared" si="6"/>
        <v>50862</v>
      </c>
      <c r="CF6" s="11">
        <f t="shared" si="6"/>
        <v>46925</v>
      </c>
      <c r="CG6" s="11">
        <f t="shared" si="6"/>
        <v>59210</v>
      </c>
      <c r="CH6" s="11">
        <f t="shared" si="6"/>
        <v>52413</v>
      </c>
      <c r="CI6" s="11">
        <f t="shared" si="6"/>
        <v>54345</v>
      </c>
      <c r="CJ6" s="11">
        <f t="shared" si="6"/>
        <v>51728</v>
      </c>
      <c r="CK6" s="11">
        <f t="shared" si="6"/>
        <v>51665</v>
      </c>
      <c r="CL6" s="11">
        <f t="shared" si="6"/>
        <v>48171</v>
      </c>
      <c r="CM6" s="11">
        <f t="shared" si="6"/>
        <v>41885</v>
      </c>
      <c r="CN6" s="11">
        <f t="shared" si="6"/>
        <v>49150</v>
      </c>
      <c r="CO6" s="11">
        <f t="shared" si="6"/>
        <v>60488</v>
      </c>
      <c r="CP6" s="11">
        <f t="shared" si="6"/>
        <v>67372</v>
      </c>
      <c r="CQ6" s="11">
        <f t="shared" si="6"/>
        <v>63337</v>
      </c>
      <c r="CR6" s="11">
        <f t="shared" ref="CR6:DQ6" si="7">SUM(CR7:CR8)</f>
        <v>61858.564144000004</v>
      </c>
      <c r="CS6" s="11">
        <f t="shared" si="7"/>
        <v>0</v>
      </c>
      <c r="CT6" s="11">
        <f t="shared" si="7"/>
        <v>0</v>
      </c>
      <c r="CU6" s="11">
        <f t="shared" si="7"/>
        <v>0</v>
      </c>
      <c r="CV6" s="11">
        <f t="shared" si="7"/>
        <v>0</v>
      </c>
      <c r="CW6" s="11">
        <f t="shared" si="7"/>
        <v>0</v>
      </c>
      <c r="CX6" s="11">
        <f t="shared" si="7"/>
        <v>0</v>
      </c>
      <c r="CY6" s="11">
        <f t="shared" si="7"/>
        <v>0</v>
      </c>
      <c r="CZ6" s="11">
        <f t="shared" si="7"/>
        <v>0</v>
      </c>
      <c r="DA6" s="11">
        <f t="shared" si="7"/>
        <v>0</v>
      </c>
      <c r="DB6" s="11">
        <f t="shared" si="7"/>
        <v>0</v>
      </c>
      <c r="DC6" s="11">
        <f t="shared" si="7"/>
        <v>0</v>
      </c>
      <c r="DD6" s="11">
        <f t="shared" si="7"/>
        <v>0</v>
      </c>
      <c r="DE6" s="11">
        <f t="shared" si="7"/>
        <v>0</v>
      </c>
      <c r="DF6" s="11">
        <f t="shared" si="7"/>
        <v>0</v>
      </c>
      <c r="DG6" s="11">
        <f t="shared" si="7"/>
        <v>0</v>
      </c>
      <c r="DH6" s="11">
        <f t="shared" si="7"/>
        <v>0</v>
      </c>
      <c r="DI6" s="11">
        <f t="shared" si="7"/>
        <v>0</v>
      </c>
      <c r="DJ6" s="11">
        <f t="shared" si="7"/>
        <v>0</v>
      </c>
      <c r="DK6" s="11">
        <f t="shared" si="7"/>
        <v>0</v>
      </c>
      <c r="DL6" s="11">
        <f t="shared" si="7"/>
        <v>0</v>
      </c>
      <c r="DM6" s="11">
        <f t="shared" si="7"/>
        <v>0</v>
      </c>
      <c r="DN6" s="11">
        <f t="shared" si="7"/>
        <v>0</v>
      </c>
      <c r="DO6" s="11">
        <f t="shared" si="7"/>
        <v>0</v>
      </c>
      <c r="DP6" s="11">
        <f t="shared" si="7"/>
        <v>0</v>
      </c>
      <c r="DQ6" s="11">
        <f t="shared" si="7"/>
        <v>0</v>
      </c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>
        <f t="shared" si="6"/>
        <v>0</v>
      </c>
      <c r="ED6" t="s">
        <v>1</v>
      </c>
    </row>
    <row r="7" spans="1:134" x14ac:dyDescent="0.2">
      <c r="A7" s="13" t="s">
        <v>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5">
        <v>9439</v>
      </c>
      <c r="BA7" s="15">
        <v>10854</v>
      </c>
      <c r="BB7" s="15">
        <v>10760</v>
      </c>
      <c r="BC7" s="15">
        <v>21806</v>
      </c>
      <c r="BD7" s="15">
        <v>13898</v>
      </c>
      <c r="BE7" s="15">
        <v>17371</v>
      </c>
      <c r="BF7" s="15">
        <v>20911</v>
      </c>
      <c r="BG7" s="15">
        <v>15473</v>
      </c>
      <c r="BH7" s="15">
        <v>10466</v>
      </c>
      <c r="BI7" s="16">
        <v>13386</v>
      </c>
      <c r="BJ7" s="15">
        <v>5026</v>
      </c>
      <c r="BK7" s="15">
        <v>4403</v>
      </c>
      <c r="BL7" s="15">
        <v>5764</v>
      </c>
      <c r="BM7" s="15">
        <v>3408</v>
      </c>
      <c r="BN7" s="15">
        <v>2073</v>
      </c>
      <c r="BO7" s="15">
        <v>3244</v>
      </c>
      <c r="BP7" s="15">
        <v>5103</v>
      </c>
      <c r="BQ7" s="15">
        <v>13036</v>
      </c>
      <c r="BR7" s="15">
        <v>4139</v>
      </c>
      <c r="BS7" s="15">
        <v>3210</v>
      </c>
      <c r="BT7" s="15">
        <v>2867</v>
      </c>
      <c r="BU7" s="15">
        <v>4926</v>
      </c>
      <c r="BV7" s="15">
        <v>4229</v>
      </c>
      <c r="BW7" s="15">
        <v>3319</v>
      </c>
      <c r="BX7" s="15">
        <v>2009</v>
      </c>
      <c r="BY7" s="15">
        <v>4449</v>
      </c>
      <c r="BZ7" s="15">
        <v>4259</v>
      </c>
      <c r="CA7" s="15">
        <v>4375</v>
      </c>
      <c r="CB7" s="15">
        <v>2935</v>
      </c>
      <c r="CC7" s="15">
        <v>2537</v>
      </c>
      <c r="CD7" s="15">
        <v>7861</v>
      </c>
      <c r="CE7" s="15">
        <v>12311</v>
      </c>
      <c r="CF7" s="15">
        <v>5940</v>
      </c>
      <c r="CG7" s="15">
        <v>10233</v>
      </c>
      <c r="CH7" s="15">
        <v>8955</v>
      </c>
      <c r="CI7" s="15">
        <v>9131</v>
      </c>
      <c r="CJ7" s="15">
        <v>3136</v>
      </c>
      <c r="CK7" s="15">
        <v>4004</v>
      </c>
      <c r="CL7" s="15">
        <v>2650</v>
      </c>
      <c r="CM7" s="15">
        <v>3295</v>
      </c>
      <c r="CN7" s="15">
        <v>2653</v>
      </c>
      <c r="CO7" s="15">
        <v>6330</v>
      </c>
      <c r="CP7" s="15">
        <v>7285</v>
      </c>
      <c r="CQ7" s="15">
        <v>4480</v>
      </c>
      <c r="CR7" s="15">
        <v>3629.5641440000018</v>
      </c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t="s">
        <v>1</v>
      </c>
    </row>
    <row r="8" spans="1:134" x14ac:dyDescent="0.2">
      <c r="A8" s="13" t="s">
        <v>4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5">
        <v>46154</v>
      </c>
      <c r="BA8" s="15">
        <v>51717</v>
      </c>
      <c r="BB8" s="15">
        <v>54679</v>
      </c>
      <c r="BC8" s="15">
        <v>47633</v>
      </c>
      <c r="BD8" s="15">
        <v>50529</v>
      </c>
      <c r="BE8" s="15">
        <v>52185</v>
      </c>
      <c r="BF8" s="15">
        <v>65536</v>
      </c>
      <c r="BG8" s="15">
        <v>60989</v>
      </c>
      <c r="BH8" s="15">
        <v>51027</v>
      </c>
      <c r="BI8" s="16">
        <v>57821</v>
      </c>
      <c r="BJ8" s="15">
        <v>56260</v>
      </c>
      <c r="BK8" s="15">
        <v>54644</v>
      </c>
      <c r="BL8" s="15">
        <v>37687</v>
      </c>
      <c r="BM8" s="15">
        <v>40718</v>
      </c>
      <c r="BN8" s="15">
        <v>45738</v>
      </c>
      <c r="BO8" s="15">
        <v>43900</v>
      </c>
      <c r="BP8" s="15">
        <v>34529</v>
      </c>
      <c r="BQ8" s="15">
        <v>33684</v>
      </c>
      <c r="BR8" s="15">
        <v>30780</v>
      </c>
      <c r="BS8" s="15">
        <v>29203</v>
      </c>
      <c r="BT8" s="15">
        <v>30576</v>
      </c>
      <c r="BU8" s="15">
        <v>28090</v>
      </c>
      <c r="BV8" s="15">
        <v>30573</v>
      </c>
      <c r="BW8" s="15">
        <v>35826</v>
      </c>
      <c r="BX8" s="15">
        <v>35853</v>
      </c>
      <c r="BY8" s="15">
        <v>35328</v>
      </c>
      <c r="BZ8" s="15">
        <v>31014</v>
      </c>
      <c r="CA8" s="15">
        <v>27470</v>
      </c>
      <c r="CB8" s="15">
        <v>30565</v>
      </c>
      <c r="CC8" s="15">
        <v>33360</v>
      </c>
      <c r="CD8" s="15">
        <v>37963</v>
      </c>
      <c r="CE8" s="15">
        <v>38551</v>
      </c>
      <c r="CF8" s="15">
        <v>40985</v>
      </c>
      <c r="CG8" s="15">
        <v>48977</v>
      </c>
      <c r="CH8" s="15">
        <v>43458</v>
      </c>
      <c r="CI8" s="15">
        <v>45214</v>
      </c>
      <c r="CJ8" s="15">
        <v>48592</v>
      </c>
      <c r="CK8" s="15">
        <v>47661</v>
      </c>
      <c r="CL8" s="15">
        <v>45521</v>
      </c>
      <c r="CM8" s="15">
        <v>38590</v>
      </c>
      <c r="CN8" s="15">
        <v>46497</v>
      </c>
      <c r="CO8" s="15">
        <v>54158</v>
      </c>
      <c r="CP8" s="15">
        <v>60087</v>
      </c>
      <c r="CQ8" s="15">
        <v>58857</v>
      </c>
      <c r="CR8" s="15">
        <v>58229</v>
      </c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t="s">
        <v>1</v>
      </c>
    </row>
    <row r="9" spans="1:134" x14ac:dyDescent="0.2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t="s">
        <v>1</v>
      </c>
    </row>
    <row r="10" spans="1:134" x14ac:dyDescent="0.2">
      <c r="A10" s="3" t="s">
        <v>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73665.555110246292</v>
      </c>
      <c r="O10" s="17">
        <v>18545.060390213701</v>
      </c>
      <c r="P10" s="17">
        <v>35350.413907284805</v>
      </c>
      <c r="Q10" s="17">
        <v>313486.28900606331</v>
      </c>
      <c r="R10" s="17">
        <v>1159355.2106975713</v>
      </c>
      <c r="S10" s="17">
        <v>1898626.8744481499</v>
      </c>
      <c r="T10" s="17">
        <v>1537513.1401869159</v>
      </c>
      <c r="U10" s="17">
        <v>1643268.4994020599</v>
      </c>
      <c r="V10" s="17">
        <v>3134468.3339074668</v>
      </c>
      <c r="W10" s="17">
        <v>3493815.9042770294</v>
      </c>
      <c r="X10" s="17">
        <v>2214326.7156959702</v>
      </c>
      <c r="Y10" s="17">
        <v>681691.8</v>
      </c>
      <c r="Z10" s="17">
        <v>58689</v>
      </c>
      <c r="AA10" s="17">
        <v>78042.060356272195</v>
      </c>
      <c r="AB10" s="17">
        <v>302378.04553362168</v>
      </c>
      <c r="AC10" s="17">
        <v>90474.929575727394</v>
      </c>
      <c r="AD10" s="17">
        <v>203264.42760718707</v>
      </c>
      <c r="AE10" s="17">
        <v>1361023.772482974</v>
      </c>
      <c r="AF10" s="17">
        <v>2293737.3209034842</v>
      </c>
      <c r="AG10" s="17">
        <v>2673237.3671421902</v>
      </c>
      <c r="AH10" s="17">
        <v>2807816.9557540626</v>
      </c>
      <c r="AI10" s="17">
        <v>3084430.9328800202</v>
      </c>
      <c r="AJ10" s="17">
        <v>3797965.7819819348</v>
      </c>
      <c r="AK10" s="17">
        <v>4332916.3022988625</v>
      </c>
      <c r="AL10" s="17">
        <v>3505842.2734151226</v>
      </c>
      <c r="AM10" s="17">
        <v>4420191.4761746181</v>
      </c>
      <c r="AN10" s="17">
        <v>8957793.5850175116</v>
      </c>
      <c r="AO10" s="17">
        <v>13662088.430000007</v>
      </c>
      <c r="AP10" s="17">
        <v>16041870.883829201</v>
      </c>
      <c r="AQ10" s="17">
        <v>26276687.029312599</v>
      </c>
      <c r="AR10" s="17">
        <v>33122634.359999973</v>
      </c>
      <c r="AS10" s="17">
        <v>23397431.130000014</v>
      </c>
      <c r="AT10" s="17">
        <v>30706133.839999981</v>
      </c>
      <c r="AU10" s="17">
        <v>32673536.390000001</v>
      </c>
      <c r="AV10" s="17">
        <v>43288241</v>
      </c>
      <c r="AW10" s="17">
        <v>50451902.126428902</v>
      </c>
      <c r="AX10" s="17">
        <v>49613455.54999987</v>
      </c>
      <c r="AY10" s="17">
        <v>64881764</v>
      </c>
      <c r="AZ10" s="18">
        <f t="shared" ref="AZ10:CQ10" si="8">AZ11+AZ12</f>
        <v>69152022.820000127</v>
      </c>
      <c r="BA10" s="18">
        <f t="shared" si="8"/>
        <v>64276477.298501514</v>
      </c>
      <c r="BB10" s="18">
        <f t="shared" si="8"/>
        <v>61835594.384117238</v>
      </c>
      <c r="BC10" s="18">
        <f t="shared" si="8"/>
        <v>53480847.653610654</v>
      </c>
      <c r="BD10" s="18">
        <f t="shared" si="8"/>
        <v>46389583.428452604</v>
      </c>
      <c r="BE10" s="18">
        <f t="shared" si="8"/>
        <v>53539111.448192894</v>
      </c>
      <c r="BF10" s="18">
        <f t="shared" si="8"/>
        <v>62969263.536532894</v>
      </c>
      <c r="BG10" s="18">
        <f t="shared" si="8"/>
        <v>57422683.442052104</v>
      </c>
      <c r="BH10" s="18">
        <f t="shared" si="8"/>
        <v>58090116.159317449</v>
      </c>
      <c r="BI10" s="18">
        <f t="shared" si="8"/>
        <v>62624255.548868529</v>
      </c>
      <c r="BJ10" s="18">
        <f t="shared" si="8"/>
        <v>76536530.073409602</v>
      </c>
      <c r="BK10" s="18">
        <f t="shared" si="8"/>
        <v>72695280.012605667</v>
      </c>
      <c r="BL10" s="18">
        <f t="shared" si="8"/>
        <v>55695124.606233619</v>
      </c>
      <c r="BM10" s="18">
        <f t="shared" si="8"/>
        <v>60161071.245214261</v>
      </c>
      <c r="BN10" s="18">
        <f t="shared" si="8"/>
        <v>56566397.315295048</v>
      </c>
      <c r="BO10" s="18">
        <f t="shared" si="8"/>
        <v>50908459.997822702</v>
      </c>
      <c r="BP10" s="18">
        <f t="shared" si="8"/>
        <v>44811294.506559856</v>
      </c>
      <c r="BQ10" s="18">
        <f t="shared" si="8"/>
        <v>33288316.730209462</v>
      </c>
      <c r="BR10" s="18">
        <f t="shared" si="8"/>
        <v>39380552.573994577</v>
      </c>
      <c r="BS10" s="18">
        <f t="shared" si="8"/>
        <v>38596506.723087728</v>
      </c>
      <c r="BT10" s="18">
        <f t="shared" si="8"/>
        <v>41539489.946336597</v>
      </c>
      <c r="BU10" s="18">
        <f t="shared" si="8"/>
        <v>35627347</v>
      </c>
      <c r="BV10" s="18">
        <f t="shared" si="8"/>
        <v>39027835.500370227</v>
      </c>
      <c r="BW10" s="18">
        <f t="shared" si="8"/>
        <v>41180205.942910641</v>
      </c>
      <c r="BX10" s="18">
        <f t="shared" si="8"/>
        <v>37820419.208812833</v>
      </c>
      <c r="BY10" s="18">
        <f t="shared" si="8"/>
        <v>38421604.25911478</v>
      </c>
      <c r="BZ10" s="18">
        <f t="shared" si="8"/>
        <v>38540693.438424483</v>
      </c>
      <c r="CA10" s="18">
        <f t="shared" si="8"/>
        <v>41279369.345931023</v>
      </c>
      <c r="CB10" s="18">
        <f t="shared" si="8"/>
        <v>38500713.43899703</v>
      </c>
      <c r="CC10" s="18">
        <f t="shared" si="8"/>
        <v>35403929.256332912</v>
      </c>
      <c r="CD10" s="18">
        <f t="shared" si="8"/>
        <v>38563230.632933594</v>
      </c>
      <c r="CE10" s="18">
        <f t="shared" si="8"/>
        <v>34164575.13988106</v>
      </c>
      <c r="CF10" s="18">
        <f t="shared" si="8"/>
        <v>31083240.318292845</v>
      </c>
      <c r="CG10" s="18">
        <f t="shared" si="8"/>
        <v>38848188.580181628</v>
      </c>
      <c r="CH10" s="18">
        <f t="shared" si="8"/>
        <v>42290720.498826109</v>
      </c>
      <c r="CI10" s="18">
        <f t="shared" si="8"/>
        <v>42471519.808827765</v>
      </c>
      <c r="CJ10" s="18">
        <f t="shared" si="8"/>
        <v>59153816.8189587</v>
      </c>
      <c r="CK10" s="18">
        <f t="shared" si="8"/>
        <v>47173607.499999985</v>
      </c>
      <c r="CL10" s="18">
        <f t="shared" si="8"/>
        <v>50244942.010000147</v>
      </c>
      <c r="CM10" s="18">
        <f t="shared" si="8"/>
        <v>40413838.730000041</v>
      </c>
      <c r="CN10" s="18">
        <f t="shared" si="8"/>
        <v>43646244.990000002</v>
      </c>
      <c r="CO10" s="18">
        <f t="shared" si="8"/>
        <v>43697575.960000008</v>
      </c>
      <c r="CP10" s="18">
        <f t="shared" si="8"/>
        <v>58062499.87000002</v>
      </c>
      <c r="CQ10" s="18">
        <f t="shared" si="8"/>
        <v>58286668.16999989</v>
      </c>
      <c r="CR10" s="18">
        <f t="shared" ref="CR10:DQ10" si="9">CR11+CR12</f>
        <v>62612125.560000099</v>
      </c>
      <c r="CS10" s="18">
        <f t="shared" si="9"/>
        <v>0</v>
      </c>
      <c r="CT10" s="18">
        <f t="shared" si="9"/>
        <v>0</v>
      </c>
      <c r="CU10" s="18">
        <f t="shared" si="9"/>
        <v>0</v>
      </c>
      <c r="CV10" s="18">
        <f t="shared" si="9"/>
        <v>0</v>
      </c>
      <c r="CW10" s="18">
        <f t="shared" si="9"/>
        <v>0</v>
      </c>
      <c r="CX10" s="18">
        <f t="shared" si="9"/>
        <v>0</v>
      </c>
      <c r="CY10" s="18">
        <f t="shared" si="9"/>
        <v>0</v>
      </c>
      <c r="CZ10" s="18">
        <f t="shared" si="9"/>
        <v>0</v>
      </c>
      <c r="DA10" s="18">
        <f t="shared" si="9"/>
        <v>0</v>
      </c>
      <c r="DB10" s="18">
        <f t="shared" si="9"/>
        <v>0</v>
      </c>
      <c r="DC10" s="18">
        <f t="shared" si="9"/>
        <v>0</v>
      </c>
      <c r="DD10" s="18">
        <f t="shared" si="9"/>
        <v>0</v>
      </c>
      <c r="DE10" s="18">
        <f t="shared" si="9"/>
        <v>0</v>
      </c>
      <c r="DF10" s="18">
        <f t="shared" si="9"/>
        <v>0</v>
      </c>
      <c r="DG10" s="18">
        <f t="shared" si="9"/>
        <v>0</v>
      </c>
      <c r="DH10" s="18">
        <f t="shared" si="9"/>
        <v>0</v>
      </c>
      <c r="DI10" s="18">
        <f t="shared" si="9"/>
        <v>0</v>
      </c>
      <c r="DJ10" s="18">
        <f t="shared" si="9"/>
        <v>0</v>
      </c>
      <c r="DK10" s="18">
        <f t="shared" si="9"/>
        <v>0</v>
      </c>
      <c r="DL10" s="18">
        <f t="shared" si="9"/>
        <v>0</v>
      </c>
      <c r="DM10" s="18">
        <f t="shared" si="9"/>
        <v>0</v>
      </c>
      <c r="DN10" s="18">
        <f t="shared" si="9"/>
        <v>0</v>
      </c>
      <c r="DO10" s="18">
        <f t="shared" si="9"/>
        <v>0</v>
      </c>
      <c r="DP10" s="18">
        <f t="shared" si="9"/>
        <v>0</v>
      </c>
      <c r="DQ10" s="18">
        <f t="shared" si="9"/>
        <v>0</v>
      </c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>
        <f t="shared" ref="EC10" si="10">EC11+EC12</f>
        <v>0</v>
      </c>
      <c r="ED10" t="s">
        <v>1</v>
      </c>
    </row>
    <row r="11" spans="1:134" x14ac:dyDescent="0.2">
      <c r="A11" s="13" t="s">
        <v>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>
        <v>584761.33190888166</v>
      </c>
      <c r="BA11" s="7">
        <v>130274.59213119221</v>
      </c>
      <c r="BB11" s="7">
        <v>163329.98460604492</v>
      </c>
      <c r="BC11" s="7">
        <v>380127.04178982408</v>
      </c>
      <c r="BD11" s="7">
        <v>1177382.4557549432</v>
      </c>
      <c r="BE11" s="7">
        <v>2269684.61260392</v>
      </c>
      <c r="BF11" s="7">
        <v>308900.99216045963</v>
      </c>
      <c r="BG11" s="7">
        <v>249670.92670913576</v>
      </c>
      <c r="BH11" s="7">
        <v>568887.69247748505</v>
      </c>
      <c r="BI11" s="7">
        <v>1351326.0294909701</v>
      </c>
      <c r="BJ11" s="7">
        <v>489349.00310316338</v>
      </c>
      <c r="BK11" s="7">
        <v>596455.24720914185</v>
      </c>
      <c r="BL11" s="7">
        <v>152981.59195186739</v>
      </c>
      <c r="BM11" s="7">
        <v>200262.42337374482</v>
      </c>
      <c r="BN11" s="7">
        <v>27457.577147116022</v>
      </c>
      <c r="BO11" s="7">
        <v>201581.69631271978</v>
      </c>
      <c r="BP11" s="7">
        <v>2088827.8603889332</v>
      </c>
      <c r="BQ11" s="7">
        <v>270666.24268452858</v>
      </c>
      <c r="BR11" s="7">
        <v>88826.571300075346</v>
      </c>
      <c r="BS11" s="7">
        <v>720660.14962792175</v>
      </c>
      <c r="BT11" s="7">
        <v>1462117.2270053183</v>
      </c>
      <c r="BU11" s="7">
        <v>1052057</v>
      </c>
      <c r="BV11" s="7">
        <v>645068.3505013003</v>
      </c>
      <c r="BW11" s="7">
        <v>639875.17488929501</v>
      </c>
      <c r="BX11" s="7">
        <v>851158.77314847638</v>
      </c>
      <c r="BY11" s="7">
        <v>95498.433199502222</v>
      </c>
      <c r="BZ11" s="7">
        <v>100441.80442999859</v>
      </c>
      <c r="CA11" s="7">
        <v>86477.184611943929</v>
      </c>
      <c r="CB11" s="7">
        <v>313479.16603827907</v>
      </c>
      <c r="CC11" s="7">
        <v>280926.05334463768</v>
      </c>
      <c r="CD11" s="7">
        <v>185949.367929197</v>
      </c>
      <c r="CE11" s="7">
        <v>12510.888355187959</v>
      </c>
      <c r="CF11" s="7">
        <v>62892.962363716986</v>
      </c>
      <c r="CG11" s="7">
        <v>90180.167256206929</v>
      </c>
      <c r="CH11" s="7">
        <v>147495.14121625217</v>
      </c>
      <c r="CI11" s="7">
        <v>1251985.497965029</v>
      </c>
      <c r="CJ11" s="7">
        <v>55430.528994977809</v>
      </c>
      <c r="CK11" s="7">
        <v>246236.77999999997</v>
      </c>
      <c r="CL11" s="7">
        <v>54944.39</v>
      </c>
      <c r="CM11" s="7">
        <v>93690.25</v>
      </c>
      <c r="CN11" s="7">
        <v>29481.83</v>
      </c>
      <c r="CO11" s="7">
        <v>111605.68</v>
      </c>
      <c r="CP11" s="7">
        <v>311799.44999999995</v>
      </c>
      <c r="CQ11" s="7">
        <v>120490.87</v>
      </c>
      <c r="CR11" s="7">
        <v>29857.06</v>
      </c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t="s">
        <v>1</v>
      </c>
    </row>
    <row r="12" spans="1:134" x14ac:dyDescent="0.2">
      <c r="A12" s="13" t="s">
        <v>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>
        <v>68567261.488091245</v>
      </c>
      <c r="BA12" s="7">
        <v>64146202.706370324</v>
      </c>
      <c r="BB12" s="7">
        <v>61672264.399511196</v>
      </c>
      <c r="BC12" s="7">
        <v>53100720.611820832</v>
      </c>
      <c r="BD12" s="7">
        <v>45212200.97269766</v>
      </c>
      <c r="BE12" s="7">
        <v>51269426.835588977</v>
      </c>
      <c r="BF12" s="7">
        <v>62660362.544372432</v>
      </c>
      <c r="BG12" s="7">
        <v>57173012.515342966</v>
      </c>
      <c r="BH12" s="7">
        <v>57521228.466839962</v>
      </c>
      <c r="BI12" s="7">
        <v>61272929.519377559</v>
      </c>
      <c r="BJ12" s="7">
        <v>76047181.070306435</v>
      </c>
      <c r="BK12" s="7">
        <v>72098824.76539652</v>
      </c>
      <c r="BL12" s="7">
        <v>55542143.01428175</v>
      </c>
      <c r="BM12" s="7">
        <v>59960808.821840517</v>
      </c>
      <c r="BN12" s="7">
        <v>56538939.738147929</v>
      </c>
      <c r="BO12" s="7">
        <v>50706878.301509984</v>
      </c>
      <c r="BP12" s="7">
        <v>42722466.646170922</v>
      </c>
      <c r="BQ12" s="7">
        <v>33017650.487524934</v>
      </c>
      <c r="BR12" s="7">
        <v>39291726.002694502</v>
      </c>
      <c r="BS12" s="7">
        <v>37875846.573459804</v>
      </c>
      <c r="BT12" s="7">
        <v>40077372.719331279</v>
      </c>
      <c r="BU12" s="7">
        <v>34575290</v>
      </c>
      <c r="BV12" s="7">
        <v>38382767.149868928</v>
      </c>
      <c r="BW12" s="7">
        <v>40540330.768021345</v>
      </c>
      <c r="BX12" s="7">
        <v>36969260.435664356</v>
      </c>
      <c r="BY12" s="7">
        <v>38326105.825915277</v>
      </c>
      <c r="BZ12" s="7">
        <v>38440251.633994482</v>
      </c>
      <c r="CA12" s="7">
        <v>41192892.161319077</v>
      </c>
      <c r="CB12" s="7">
        <v>38187234.272958748</v>
      </c>
      <c r="CC12" s="7">
        <v>35123003.202988274</v>
      </c>
      <c r="CD12" s="7">
        <v>38377281.265004396</v>
      </c>
      <c r="CE12" s="7">
        <v>34152064.251525871</v>
      </c>
      <c r="CF12" s="7">
        <v>31020347.355929129</v>
      </c>
      <c r="CG12" s="7">
        <v>38758008.412925422</v>
      </c>
      <c r="CH12" s="7">
        <v>42143225.357609853</v>
      </c>
      <c r="CI12" s="7">
        <v>41219534.310862735</v>
      </c>
      <c r="CJ12" s="7">
        <v>59098386.289963722</v>
      </c>
      <c r="CK12" s="7">
        <v>46927370.719999984</v>
      </c>
      <c r="CL12" s="7">
        <v>50189997.620000146</v>
      </c>
      <c r="CM12" s="7">
        <v>40320148.480000041</v>
      </c>
      <c r="CN12" s="7">
        <v>43616763.160000004</v>
      </c>
      <c r="CO12" s="7">
        <v>43585970.280000009</v>
      </c>
      <c r="CP12" s="7">
        <v>57750700.420000017</v>
      </c>
      <c r="CQ12" s="7">
        <v>58166177.299999893</v>
      </c>
      <c r="CR12" s="7">
        <v>62582268.500000097</v>
      </c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t="s">
        <v>1</v>
      </c>
    </row>
    <row r="13" spans="1:134" x14ac:dyDescent="0.2">
      <c r="A13" s="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t="s">
        <v>1</v>
      </c>
    </row>
    <row r="14" spans="1:134" x14ac:dyDescent="0.2">
      <c r="A14" s="9" t="s">
        <v>5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9</v>
      </c>
      <c r="O14" s="7">
        <v>1</v>
      </c>
      <c r="P14" s="7">
        <v>4</v>
      </c>
      <c r="Q14" s="7">
        <v>31</v>
      </c>
      <c r="R14" s="7">
        <v>137</v>
      </c>
      <c r="S14" s="7">
        <v>193</v>
      </c>
      <c r="T14" s="7">
        <v>159</v>
      </c>
      <c r="U14" s="7">
        <v>148</v>
      </c>
      <c r="V14" s="7">
        <v>326</v>
      </c>
      <c r="W14" s="7">
        <v>451</v>
      </c>
      <c r="X14" s="7">
        <v>337</v>
      </c>
      <c r="Y14" s="7">
        <v>109</v>
      </c>
      <c r="Z14" s="7">
        <v>9</v>
      </c>
      <c r="AA14" s="7">
        <v>1</v>
      </c>
      <c r="AB14" s="7">
        <v>42</v>
      </c>
      <c r="AC14" s="7">
        <v>9</v>
      </c>
      <c r="AD14" s="7">
        <v>41</v>
      </c>
      <c r="AE14" s="7">
        <v>163</v>
      </c>
      <c r="AF14" s="7">
        <v>338</v>
      </c>
      <c r="AG14" s="7">
        <v>440</v>
      </c>
      <c r="AH14" s="7">
        <v>464</v>
      </c>
      <c r="AI14" s="7">
        <v>386</v>
      </c>
      <c r="AJ14" s="7">
        <v>487</v>
      </c>
      <c r="AK14" s="7">
        <v>544</v>
      </c>
      <c r="AL14" s="7">
        <v>529</v>
      </c>
      <c r="AM14" s="7">
        <v>751</v>
      </c>
      <c r="AN14" s="7">
        <v>1454</v>
      </c>
      <c r="AO14" s="7">
        <v>2406</v>
      </c>
      <c r="AP14" s="7">
        <v>3126</v>
      </c>
      <c r="AQ14" s="7">
        <v>4565</v>
      </c>
      <c r="AR14" s="7">
        <v>5997</v>
      </c>
      <c r="AS14" s="7">
        <v>4301</v>
      </c>
      <c r="AT14" s="7">
        <v>5405</v>
      </c>
      <c r="AU14" s="7">
        <v>5899</v>
      </c>
      <c r="AV14" s="7">
        <v>7326</v>
      </c>
      <c r="AW14" s="7">
        <v>8324</v>
      </c>
      <c r="AX14" s="7">
        <v>8454</v>
      </c>
      <c r="AY14" s="7">
        <v>11659</v>
      </c>
      <c r="AZ14" s="19">
        <f>SUM(AZ15:AZ16)</f>
        <v>12670</v>
      </c>
      <c r="BA14" s="19">
        <f t="shared" ref="BA14:EC14" si="11">SUM(BA15:BA16)</f>
        <v>9847</v>
      </c>
      <c r="BB14" s="19">
        <f t="shared" si="11"/>
        <v>9688</v>
      </c>
      <c r="BC14" s="19">
        <f t="shared" si="11"/>
        <v>8687</v>
      </c>
      <c r="BD14" s="19">
        <f t="shared" si="11"/>
        <v>8023</v>
      </c>
      <c r="BE14" s="19">
        <f t="shared" si="11"/>
        <v>8041</v>
      </c>
      <c r="BF14" s="19">
        <f t="shared" si="11"/>
        <v>8690</v>
      </c>
      <c r="BG14" s="19">
        <f t="shared" si="11"/>
        <v>7618</v>
      </c>
      <c r="BH14" s="19">
        <f t="shared" si="11"/>
        <v>7141</v>
      </c>
      <c r="BI14" s="19">
        <f t="shared" si="11"/>
        <v>7744</v>
      </c>
      <c r="BJ14" s="19">
        <f t="shared" si="11"/>
        <v>9180</v>
      </c>
      <c r="BK14" s="19">
        <f t="shared" si="11"/>
        <v>8178</v>
      </c>
      <c r="BL14" s="19">
        <f t="shared" si="11"/>
        <v>6173</v>
      </c>
      <c r="BM14" s="19">
        <f t="shared" si="11"/>
        <v>6278</v>
      </c>
      <c r="BN14" s="19">
        <f t="shared" si="11"/>
        <v>6527</v>
      </c>
      <c r="BO14" s="19">
        <f t="shared" si="11"/>
        <v>5670</v>
      </c>
      <c r="BP14" s="19">
        <f t="shared" si="11"/>
        <v>4802</v>
      </c>
      <c r="BQ14" s="19">
        <f t="shared" si="11"/>
        <v>3435</v>
      </c>
      <c r="BR14" s="19">
        <f t="shared" si="11"/>
        <v>3697</v>
      </c>
      <c r="BS14" s="19">
        <f t="shared" si="11"/>
        <v>3372</v>
      </c>
      <c r="BT14" s="19">
        <f t="shared" si="11"/>
        <v>3426</v>
      </c>
      <c r="BU14" s="19">
        <f t="shared" si="11"/>
        <v>3074</v>
      </c>
      <c r="BV14" s="19">
        <f t="shared" si="11"/>
        <v>3350</v>
      </c>
      <c r="BW14" s="19">
        <f t="shared" si="11"/>
        <v>3879</v>
      </c>
      <c r="BX14" s="19">
        <f t="shared" si="11"/>
        <v>4021</v>
      </c>
      <c r="BY14" s="19">
        <f t="shared" si="11"/>
        <v>4027</v>
      </c>
      <c r="BZ14" s="19">
        <f t="shared" si="11"/>
        <v>3980</v>
      </c>
      <c r="CA14" s="19">
        <f t="shared" si="11"/>
        <v>4197</v>
      </c>
      <c r="CB14" s="19">
        <f t="shared" si="11"/>
        <v>3886</v>
      </c>
      <c r="CC14" s="19">
        <f t="shared" si="11"/>
        <v>3583</v>
      </c>
      <c r="CD14" s="19">
        <f t="shared" si="11"/>
        <v>3952</v>
      </c>
      <c r="CE14" s="19">
        <f t="shared" si="11"/>
        <v>3085</v>
      </c>
      <c r="CF14" s="19">
        <f t="shared" si="11"/>
        <v>2582</v>
      </c>
      <c r="CG14" s="19">
        <f t="shared" si="11"/>
        <v>3046</v>
      </c>
      <c r="CH14" s="19">
        <f t="shared" si="11"/>
        <v>3421</v>
      </c>
      <c r="CI14" s="19">
        <f t="shared" si="11"/>
        <v>3222</v>
      </c>
      <c r="CJ14" s="19">
        <f t="shared" si="11"/>
        <v>4805.6315789473683</v>
      </c>
      <c r="CK14" s="19">
        <f t="shared" si="11"/>
        <v>3820</v>
      </c>
      <c r="CL14" s="19">
        <f t="shared" si="11"/>
        <v>3997</v>
      </c>
      <c r="CM14" s="19">
        <f t="shared" si="11"/>
        <v>3313</v>
      </c>
      <c r="CN14" s="19">
        <f t="shared" si="11"/>
        <v>3863</v>
      </c>
      <c r="CO14" s="19">
        <f t="shared" si="11"/>
        <v>3942</v>
      </c>
      <c r="CP14" s="19">
        <f t="shared" si="11"/>
        <v>4834</v>
      </c>
      <c r="CQ14" s="19">
        <f t="shared" si="11"/>
        <v>4251</v>
      </c>
      <c r="CR14" s="19">
        <f t="shared" ref="CR14:DQ14" si="12">SUM(CR15:CR16)</f>
        <v>4442</v>
      </c>
      <c r="CS14" s="19">
        <f t="shared" si="12"/>
        <v>0</v>
      </c>
      <c r="CT14" s="19">
        <f t="shared" si="12"/>
        <v>0</v>
      </c>
      <c r="CU14" s="19">
        <f t="shared" si="12"/>
        <v>0</v>
      </c>
      <c r="CV14" s="19">
        <f t="shared" si="12"/>
        <v>0</v>
      </c>
      <c r="CW14" s="19">
        <f t="shared" si="12"/>
        <v>0</v>
      </c>
      <c r="CX14" s="19">
        <f t="shared" si="12"/>
        <v>0</v>
      </c>
      <c r="CY14" s="19">
        <f t="shared" si="12"/>
        <v>0</v>
      </c>
      <c r="CZ14" s="19">
        <f t="shared" si="12"/>
        <v>0</v>
      </c>
      <c r="DA14" s="19">
        <f t="shared" si="12"/>
        <v>0</v>
      </c>
      <c r="DB14" s="19">
        <f t="shared" si="12"/>
        <v>0</v>
      </c>
      <c r="DC14" s="19">
        <f t="shared" si="12"/>
        <v>0</v>
      </c>
      <c r="DD14" s="19">
        <f t="shared" si="12"/>
        <v>0</v>
      </c>
      <c r="DE14" s="19">
        <f t="shared" si="12"/>
        <v>0</v>
      </c>
      <c r="DF14" s="19">
        <f t="shared" si="12"/>
        <v>0</v>
      </c>
      <c r="DG14" s="19">
        <f t="shared" si="12"/>
        <v>0</v>
      </c>
      <c r="DH14" s="19">
        <f t="shared" si="12"/>
        <v>0</v>
      </c>
      <c r="DI14" s="19">
        <f t="shared" si="12"/>
        <v>0</v>
      </c>
      <c r="DJ14" s="19">
        <f t="shared" si="12"/>
        <v>0</v>
      </c>
      <c r="DK14" s="19">
        <f t="shared" si="12"/>
        <v>0</v>
      </c>
      <c r="DL14" s="19">
        <f t="shared" si="12"/>
        <v>0</v>
      </c>
      <c r="DM14" s="19">
        <f t="shared" si="12"/>
        <v>0</v>
      </c>
      <c r="DN14" s="19">
        <f t="shared" si="12"/>
        <v>0</v>
      </c>
      <c r="DO14" s="19">
        <f t="shared" si="12"/>
        <v>0</v>
      </c>
      <c r="DP14" s="19">
        <f t="shared" si="12"/>
        <v>0</v>
      </c>
      <c r="DQ14" s="19">
        <f t="shared" si="12"/>
        <v>0</v>
      </c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>
        <f t="shared" si="11"/>
        <v>0</v>
      </c>
      <c r="ED14" t="s">
        <v>1</v>
      </c>
    </row>
    <row r="15" spans="1:134" x14ac:dyDescent="0.2">
      <c r="A15" s="13" t="s">
        <v>3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7">
        <v>98</v>
      </c>
      <c r="BA15" s="7">
        <v>18</v>
      </c>
      <c r="BB15" s="7">
        <v>19</v>
      </c>
      <c r="BC15" s="7">
        <v>90</v>
      </c>
      <c r="BD15" s="7">
        <v>235</v>
      </c>
      <c r="BE15" s="7">
        <v>236</v>
      </c>
      <c r="BF15" s="7">
        <v>39</v>
      </c>
      <c r="BG15" s="7">
        <v>18</v>
      </c>
      <c r="BH15" s="7">
        <v>44</v>
      </c>
      <c r="BI15" s="7">
        <v>301</v>
      </c>
      <c r="BJ15" s="7">
        <v>33</v>
      </c>
      <c r="BK15" s="7">
        <v>36</v>
      </c>
      <c r="BL15" s="7">
        <v>13</v>
      </c>
      <c r="BM15" s="7">
        <v>11</v>
      </c>
      <c r="BN15" s="7">
        <v>3</v>
      </c>
      <c r="BO15" s="7">
        <v>16</v>
      </c>
      <c r="BP15" s="7">
        <v>101</v>
      </c>
      <c r="BQ15" s="7">
        <v>15</v>
      </c>
      <c r="BR15" s="7">
        <v>6</v>
      </c>
      <c r="BS15" s="7">
        <v>37</v>
      </c>
      <c r="BT15" s="7">
        <v>65</v>
      </c>
      <c r="BU15" s="7">
        <v>53</v>
      </c>
      <c r="BV15" s="7">
        <v>32</v>
      </c>
      <c r="BW15" s="7">
        <v>26</v>
      </c>
      <c r="BX15" s="7">
        <v>47</v>
      </c>
      <c r="BY15" s="7">
        <v>7</v>
      </c>
      <c r="BZ15" s="7">
        <v>5</v>
      </c>
      <c r="CA15" s="7">
        <v>4</v>
      </c>
      <c r="CB15" s="7">
        <v>20</v>
      </c>
      <c r="CC15" s="7">
        <v>19</v>
      </c>
      <c r="CD15" s="7">
        <v>12</v>
      </c>
      <c r="CE15" s="7">
        <v>1</v>
      </c>
      <c r="CF15" s="7">
        <v>4</v>
      </c>
      <c r="CG15" s="7">
        <v>5</v>
      </c>
      <c r="CH15" s="7">
        <v>7</v>
      </c>
      <c r="CI15" s="7">
        <v>38</v>
      </c>
      <c r="CJ15" s="7">
        <v>5</v>
      </c>
      <c r="CK15" s="7">
        <v>11</v>
      </c>
      <c r="CL15" s="7">
        <v>3</v>
      </c>
      <c r="CM15" s="7">
        <v>7</v>
      </c>
      <c r="CN15" s="7">
        <v>2</v>
      </c>
      <c r="CO15" s="7">
        <v>15</v>
      </c>
      <c r="CP15" s="7">
        <v>20</v>
      </c>
      <c r="CQ15" s="7">
        <v>5</v>
      </c>
      <c r="CR15" s="7">
        <v>2</v>
      </c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t="s">
        <v>1</v>
      </c>
    </row>
    <row r="16" spans="1:134" x14ac:dyDescent="0.2">
      <c r="A16" s="13" t="s">
        <v>4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7">
        <v>12572</v>
      </c>
      <c r="BA16" s="7">
        <v>9829</v>
      </c>
      <c r="BB16" s="7">
        <v>9669</v>
      </c>
      <c r="BC16" s="7">
        <v>8597</v>
      </c>
      <c r="BD16" s="7">
        <v>7788</v>
      </c>
      <c r="BE16" s="7">
        <v>7805</v>
      </c>
      <c r="BF16" s="7">
        <v>8651</v>
      </c>
      <c r="BG16" s="7">
        <v>7600</v>
      </c>
      <c r="BH16" s="7">
        <v>7097</v>
      </c>
      <c r="BI16" s="7">
        <v>7443</v>
      </c>
      <c r="BJ16" s="7">
        <v>9147</v>
      </c>
      <c r="BK16" s="7">
        <v>8142</v>
      </c>
      <c r="BL16" s="7">
        <v>6160</v>
      </c>
      <c r="BM16" s="7">
        <v>6267</v>
      </c>
      <c r="BN16" s="7">
        <v>6524</v>
      </c>
      <c r="BO16" s="7">
        <v>5654</v>
      </c>
      <c r="BP16" s="7">
        <v>4701</v>
      </c>
      <c r="BQ16" s="7">
        <v>3420</v>
      </c>
      <c r="BR16" s="7">
        <v>3691</v>
      </c>
      <c r="BS16" s="7">
        <v>3335</v>
      </c>
      <c r="BT16" s="7">
        <v>3361</v>
      </c>
      <c r="BU16" s="7">
        <v>3021</v>
      </c>
      <c r="BV16" s="7">
        <v>3318</v>
      </c>
      <c r="BW16" s="7">
        <v>3853</v>
      </c>
      <c r="BX16" s="7">
        <v>3974</v>
      </c>
      <c r="BY16" s="7">
        <v>4020</v>
      </c>
      <c r="BZ16" s="7">
        <v>3975</v>
      </c>
      <c r="CA16" s="7">
        <v>4193</v>
      </c>
      <c r="CB16" s="7">
        <v>3866</v>
      </c>
      <c r="CC16" s="7">
        <v>3564</v>
      </c>
      <c r="CD16" s="7">
        <v>3940</v>
      </c>
      <c r="CE16" s="7">
        <v>3084</v>
      </c>
      <c r="CF16" s="7">
        <v>2578</v>
      </c>
      <c r="CG16" s="7">
        <v>3041</v>
      </c>
      <c r="CH16" s="7">
        <v>3414</v>
      </c>
      <c r="CI16" s="7">
        <v>3184</v>
      </c>
      <c r="CJ16" s="7">
        <v>4800.6315789473683</v>
      </c>
      <c r="CK16" s="7">
        <v>3809</v>
      </c>
      <c r="CL16" s="7">
        <v>3994</v>
      </c>
      <c r="CM16" s="7">
        <v>3306</v>
      </c>
      <c r="CN16" s="7">
        <v>3861</v>
      </c>
      <c r="CO16" s="7">
        <v>3927</v>
      </c>
      <c r="CP16" s="7">
        <v>4814</v>
      </c>
      <c r="CQ16" s="7">
        <v>4246</v>
      </c>
      <c r="CR16" s="7">
        <v>4440</v>
      </c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t="s">
        <v>1</v>
      </c>
    </row>
    <row r="17" spans="1:134" x14ac:dyDescent="0.2">
      <c r="A17" s="13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</row>
    <row r="18" spans="1:134" x14ac:dyDescent="0.2">
      <c r="A18" s="13" t="s">
        <v>7</v>
      </c>
      <c r="B18" s="20">
        <f>B14/B6</f>
        <v>0</v>
      </c>
      <c r="C18" s="20">
        <f t="shared" ref="C18:BN18" si="13">C14/C6</f>
        <v>0</v>
      </c>
      <c r="D18" s="20">
        <f t="shared" si="13"/>
        <v>0</v>
      </c>
      <c r="E18" s="20">
        <f t="shared" si="13"/>
        <v>0</v>
      </c>
      <c r="F18" s="20">
        <f t="shared" si="13"/>
        <v>0</v>
      </c>
      <c r="G18" s="20">
        <f t="shared" si="13"/>
        <v>0</v>
      </c>
      <c r="H18" s="20">
        <f t="shared" si="13"/>
        <v>0</v>
      </c>
      <c r="I18" s="20">
        <f t="shared" si="13"/>
        <v>0</v>
      </c>
      <c r="J18" s="20">
        <f t="shared" si="13"/>
        <v>0</v>
      </c>
      <c r="K18" s="20">
        <f t="shared" si="13"/>
        <v>0</v>
      </c>
      <c r="L18" s="20">
        <f t="shared" si="13"/>
        <v>0</v>
      </c>
      <c r="M18" s="20">
        <f t="shared" si="13"/>
        <v>0</v>
      </c>
      <c r="N18" s="20">
        <f t="shared" si="13"/>
        <v>1.2431626056688214E-4</v>
      </c>
      <c r="O18" s="20">
        <f t="shared" si="13"/>
        <v>1.3222266296443211E-5</v>
      </c>
      <c r="P18" s="20">
        <f t="shared" si="13"/>
        <v>5.2371787318171701E-5</v>
      </c>
      <c r="Q18" s="20">
        <f t="shared" si="13"/>
        <v>4.3269499190441626E-4</v>
      </c>
      <c r="R18" s="20">
        <f t="shared" si="13"/>
        <v>2.166213395737145E-3</v>
      </c>
      <c r="S18" s="20">
        <f t="shared" si="13"/>
        <v>3.4303183264312248E-3</v>
      </c>
      <c r="T18" s="20">
        <f t="shared" si="13"/>
        <v>3.453068670459975E-3</v>
      </c>
      <c r="U18" s="20">
        <f t="shared" si="13"/>
        <v>2.7658898503055561E-3</v>
      </c>
      <c r="V18" s="20">
        <f t="shared" si="13"/>
        <v>4.896806561119957E-3</v>
      </c>
      <c r="W18" s="20">
        <f t="shared" si="13"/>
        <v>6.7644588432925366E-3</v>
      </c>
      <c r="X18" s="20">
        <f t="shared" si="13"/>
        <v>4.0633741680331818E-3</v>
      </c>
      <c r="Y18" s="20">
        <f t="shared" si="13"/>
        <v>2.0189671778913835E-3</v>
      </c>
      <c r="Z18" s="20" t="e">
        <f t="shared" si="13"/>
        <v>#DIV/0!</v>
      </c>
      <c r="AA18" s="20">
        <f t="shared" si="13"/>
        <v>2.5242326332794832E-5</v>
      </c>
      <c r="AB18" s="20">
        <f t="shared" si="13"/>
        <v>9.9559095434504329E-4</v>
      </c>
      <c r="AC18" s="20">
        <f t="shared" si="13"/>
        <v>3.8944180008654262E-4</v>
      </c>
      <c r="AD18" s="20">
        <f t="shared" si="13"/>
        <v>9.6541006381125054E-4</v>
      </c>
      <c r="AE18" s="20">
        <f t="shared" si="13"/>
        <v>4.3267061290579462E-3</v>
      </c>
      <c r="AF18" s="20">
        <f t="shared" si="13"/>
        <v>8.8087357639884279E-3</v>
      </c>
      <c r="AG18" s="20">
        <f t="shared" si="13"/>
        <v>8.3504137250436494E-3</v>
      </c>
      <c r="AH18" s="20">
        <f t="shared" si="13"/>
        <v>7.0210480124684128E-3</v>
      </c>
      <c r="AI18" s="20">
        <f t="shared" si="13"/>
        <v>7.6461383039835192E-3</v>
      </c>
      <c r="AJ18" s="20">
        <f t="shared" si="13"/>
        <v>7.0173921814435363E-3</v>
      </c>
      <c r="AK18" s="20">
        <f t="shared" si="13"/>
        <v>9.2355228086854653E-3</v>
      </c>
      <c r="AL18" s="20">
        <f t="shared" si="13"/>
        <v>1.325748082802867E-2</v>
      </c>
      <c r="AM18" s="20">
        <f t="shared" si="13"/>
        <v>3.597260142740815E-2</v>
      </c>
      <c r="AN18" s="20">
        <f t="shared" si="13"/>
        <v>3.1557243624525229E-2</v>
      </c>
      <c r="AO18" s="20">
        <f t="shared" si="13"/>
        <v>3.5746122303440896E-2</v>
      </c>
      <c r="AP18" s="20">
        <f t="shared" si="13"/>
        <v>4.4253174591939295E-2</v>
      </c>
      <c r="AQ18" s="20">
        <f t="shared" si="13"/>
        <v>6.8170957529418791E-2</v>
      </c>
      <c r="AR18" s="20">
        <f t="shared" si="13"/>
        <v>9.9920023992802157E-2</v>
      </c>
      <c r="AS18" s="20">
        <f t="shared" si="13"/>
        <v>5.7280984471139759E-2</v>
      </c>
      <c r="AT18" s="20">
        <f t="shared" si="13"/>
        <v>5.8553337161056887E-2</v>
      </c>
      <c r="AU18" s="20">
        <f t="shared" si="13"/>
        <v>7.0018635236026541E-2</v>
      </c>
      <c r="AV18" s="20">
        <f t="shared" si="13"/>
        <v>9.3208478587241406E-2</v>
      </c>
      <c r="AW18" s="20">
        <f t="shared" si="13"/>
        <v>0.11443812037724435</v>
      </c>
      <c r="AX18" s="20">
        <f t="shared" si="13"/>
        <v>0.12580169937947352</v>
      </c>
      <c r="AY18" s="20">
        <f t="shared" si="13"/>
        <v>0.15350888742593813</v>
      </c>
      <c r="AZ18" s="20">
        <f t="shared" si="13"/>
        <v>0.22790639109240371</v>
      </c>
      <c r="BA18" s="20">
        <f t="shared" si="13"/>
        <v>0.15737322401751611</v>
      </c>
      <c r="BB18" s="20">
        <f t="shared" si="13"/>
        <v>0.14804627210073504</v>
      </c>
      <c r="BC18" s="20">
        <f t="shared" si="13"/>
        <v>0.12510260804447068</v>
      </c>
      <c r="BD18" s="20">
        <f t="shared" si="13"/>
        <v>0.12452853617272262</v>
      </c>
      <c r="BE18" s="20">
        <f t="shared" si="13"/>
        <v>0.11560469262177238</v>
      </c>
      <c r="BF18" s="20">
        <f t="shared" si="13"/>
        <v>0.10052402049810867</v>
      </c>
      <c r="BG18" s="20">
        <f t="shared" si="13"/>
        <v>9.9631189348957649E-2</v>
      </c>
      <c r="BH18" s="20">
        <f t="shared" si="13"/>
        <v>0.1161270388499504</v>
      </c>
      <c r="BI18" s="20">
        <f t="shared" si="13"/>
        <v>0.10875335290069796</v>
      </c>
      <c r="BJ18" s="20">
        <f t="shared" si="13"/>
        <v>0.14978951147080899</v>
      </c>
      <c r="BK18" s="20">
        <f t="shared" si="13"/>
        <v>0.13849983911121649</v>
      </c>
      <c r="BL18" s="20">
        <f t="shared" si="13"/>
        <v>0.14206807668408092</v>
      </c>
      <c r="BM18" s="20">
        <f t="shared" si="13"/>
        <v>0.14227439604768163</v>
      </c>
      <c r="BN18" s="20">
        <f t="shared" si="13"/>
        <v>0.1365167011775533</v>
      </c>
      <c r="BO18" s="20">
        <f t="shared" ref="BO18:EC18" si="14">BO14/BO6</f>
        <v>0.12026981164092991</v>
      </c>
      <c r="BP18" s="20">
        <f t="shared" si="14"/>
        <v>0.12116471538150989</v>
      </c>
      <c r="BQ18" s="20">
        <f t="shared" si="14"/>
        <v>7.352311643835617E-2</v>
      </c>
      <c r="BR18" s="20">
        <f t="shared" si="14"/>
        <v>0.10587359317277127</v>
      </c>
      <c r="BS18" s="20">
        <f t="shared" si="14"/>
        <v>0.10403233270601302</v>
      </c>
      <c r="BT18" s="20">
        <f t="shared" si="14"/>
        <v>0.10244296265287205</v>
      </c>
      <c r="BU18" s="20">
        <f t="shared" si="14"/>
        <v>9.3106372667797435E-2</v>
      </c>
      <c r="BV18" s="20">
        <f t="shared" si="14"/>
        <v>9.6258835699097753E-2</v>
      </c>
      <c r="BW18" s="20">
        <f t="shared" si="14"/>
        <v>9.9093115340401078E-2</v>
      </c>
      <c r="BX18" s="20">
        <f t="shared" si="14"/>
        <v>0.10620146849083514</v>
      </c>
      <c r="BY18" s="20">
        <f t="shared" si="14"/>
        <v>0.1012394097091284</v>
      </c>
      <c r="BZ18" s="20">
        <f t="shared" si="14"/>
        <v>0.11283417911717178</v>
      </c>
      <c r="CA18" s="20">
        <f t="shared" si="14"/>
        <v>0.13179463024022608</v>
      </c>
      <c r="CB18" s="20">
        <f t="shared" si="14"/>
        <v>0.11600000000000001</v>
      </c>
      <c r="CC18" s="20">
        <f t="shared" si="14"/>
        <v>9.9813354876452071E-2</v>
      </c>
      <c r="CD18" s="20">
        <f t="shared" si="14"/>
        <v>8.6243016759776539E-2</v>
      </c>
      <c r="CE18" s="20">
        <f t="shared" si="14"/>
        <v>6.0654319531280719E-2</v>
      </c>
      <c r="CF18" s="20">
        <f t="shared" si="14"/>
        <v>5.5023974427277571E-2</v>
      </c>
      <c r="CG18" s="20">
        <f t="shared" si="14"/>
        <v>5.1444012835669649E-2</v>
      </c>
      <c r="CH18" s="20">
        <f t="shared" si="14"/>
        <v>6.5270066586533879E-2</v>
      </c>
      <c r="CI18" s="20">
        <f t="shared" si="14"/>
        <v>5.9287882969914434E-2</v>
      </c>
      <c r="CJ18" s="20">
        <f t="shared" si="14"/>
        <v>9.290194051475735E-2</v>
      </c>
      <c r="CK18" s="20">
        <f t="shared" si="14"/>
        <v>7.3937868963514952E-2</v>
      </c>
      <c r="CL18" s="20">
        <f t="shared" si="14"/>
        <v>8.2975234061987507E-2</v>
      </c>
      <c r="CM18" s="20">
        <f t="shared" si="14"/>
        <v>7.9097528948310847E-2</v>
      </c>
      <c r="CN18" s="20">
        <f t="shared" si="14"/>
        <v>7.8596134282807734E-2</v>
      </c>
      <c r="CO18" s="20">
        <f t="shared" si="14"/>
        <v>6.5169951064673978E-2</v>
      </c>
      <c r="CP18" s="20">
        <f t="shared" si="14"/>
        <v>7.1750875734726591E-2</v>
      </c>
      <c r="CQ18" s="20">
        <f t="shared" si="14"/>
        <v>6.711716690086364E-2</v>
      </c>
      <c r="CR18" s="20">
        <f t="shared" ref="CR18:DQ18" si="15">CR14/CR6</f>
        <v>7.1808973607268151E-2</v>
      </c>
      <c r="CS18" s="20" t="e">
        <f t="shared" si="15"/>
        <v>#DIV/0!</v>
      </c>
      <c r="CT18" s="20" t="e">
        <f t="shared" si="15"/>
        <v>#DIV/0!</v>
      </c>
      <c r="CU18" s="20" t="e">
        <f t="shared" si="15"/>
        <v>#DIV/0!</v>
      </c>
      <c r="CV18" s="20" t="e">
        <f t="shared" si="15"/>
        <v>#DIV/0!</v>
      </c>
      <c r="CW18" s="20" t="e">
        <f t="shared" si="15"/>
        <v>#DIV/0!</v>
      </c>
      <c r="CX18" s="20" t="e">
        <f t="shared" si="15"/>
        <v>#DIV/0!</v>
      </c>
      <c r="CY18" s="20" t="e">
        <f t="shared" si="15"/>
        <v>#DIV/0!</v>
      </c>
      <c r="CZ18" s="20" t="e">
        <f t="shared" si="15"/>
        <v>#DIV/0!</v>
      </c>
      <c r="DA18" s="20" t="e">
        <f t="shared" si="15"/>
        <v>#DIV/0!</v>
      </c>
      <c r="DB18" s="20" t="e">
        <f t="shared" si="15"/>
        <v>#DIV/0!</v>
      </c>
      <c r="DC18" s="20" t="e">
        <f t="shared" si="15"/>
        <v>#DIV/0!</v>
      </c>
      <c r="DD18" s="20" t="e">
        <f t="shared" si="15"/>
        <v>#DIV/0!</v>
      </c>
      <c r="DE18" s="20" t="e">
        <f t="shared" si="15"/>
        <v>#DIV/0!</v>
      </c>
      <c r="DF18" s="20" t="e">
        <f t="shared" si="15"/>
        <v>#DIV/0!</v>
      </c>
      <c r="DG18" s="20" t="e">
        <f t="shared" si="15"/>
        <v>#DIV/0!</v>
      </c>
      <c r="DH18" s="20" t="e">
        <f t="shared" si="15"/>
        <v>#DIV/0!</v>
      </c>
      <c r="DI18" s="20" t="e">
        <f t="shared" si="15"/>
        <v>#DIV/0!</v>
      </c>
      <c r="DJ18" s="20" t="e">
        <f t="shared" si="15"/>
        <v>#DIV/0!</v>
      </c>
      <c r="DK18" s="20" t="e">
        <f t="shared" si="15"/>
        <v>#DIV/0!</v>
      </c>
      <c r="DL18" s="20" t="e">
        <f t="shared" si="15"/>
        <v>#DIV/0!</v>
      </c>
      <c r="DM18" s="20" t="e">
        <f t="shared" si="15"/>
        <v>#DIV/0!</v>
      </c>
      <c r="DN18" s="20" t="e">
        <f t="shared" si="15"/>
        <v>#DIV/0!</v>
      </c>
      <c r="DO18" s="20" t="e">
        <f t="shared" si="15"/>
        <v>#DIV/0!</v>
      </c>
      <c r="DP18" s="20" t="e">
        <f t="shared" si="15"/>
        <v>#DIV/0!</v>
      </c>
      <c r="DQ18" s="20" t="e">
        <f t="shared" si="15"/>
        <v>#DIV/0!</v>
      </c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 t="e">
        <f t="shared" si="14"/>
        <v>#DIV/0!</v>
      </c>
      <c r="ED18" t="s">
        <v>1</v>
      </c>
    </row>
    <row r="19" spans="1:134" x14ac:dyDescent="0.2">
      <c r="A19" s="13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t="s">
        <v>1</v>
      </c>
    </row>
    <row r="20" spans="1:134" x14ac:dyDescent="0.2">
      <c r="A20" s="21" t="s">
        <v>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t="s">
        <v>1</v>
      </c>
    </row>
    <row r="21" spans="1:134" x14ac:dyDescent="0.2">
      <c r="A21" s="21" t="s">
        <v>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t="s">
        <v>1</v>
      </c>
    </row>
    <row r="22" spans="1:134" x14ac:dyDescent="0.2">
      <c r="A22" s="2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t="s">
        <v>1</v>
      </c>
    </row>
    <row r="23" spans="1:134" x14ac:dyDescent="0.2">
      <c r="A23" s="3" t="s">
        <v>10</v>
      </c>
      <c r="B23" s="29">
        <f>B2-B10</f>
        <v>127373162</v>
      </c>
      <c r="C23" s="29">
        <f t="shared" ref="C23:BN23" si="16">C2-C10</f>
        <v>119526214</v>
      </c>
      <c r="D23" s="29">
        <f t="shared" si="16"/>
        <v>133618915.88573273</v>
      </c>
      <c r="E23" s="29">
        <f t="shared" si="16"/>
        <v>155721260.4144277</v>
      </c>
      <c r="F23" s="29">
        <f t="shared" si="16"/>
        <v>182921172.49998167</v>
      </c>
      <c r="G23" s="29">
        <f t="shared" si="16"/>
        <v>190468885</v>
      </c>
      <c r="H23" s="29">
        <f t="shared" si="16"/>
        <v>203496304</v>
      </c>
      <c r="I23" s="29">
        <f t="shared" si="16"/>
        <v>191306750</v>
      </c>
      <c r="J23" s="29">
        <f t="shared" si="16"/>
        <v>241759536</v>
      </c>
      <c r="K23" s="29">
        <f t="shared" si="16"/>
        <v>234336044</v>
      </c>
      <c r="L23" s="29">
        <f t="shared" si="16"/>
        <v>238581665.40440598</v>
      </c>
      <c r="M23" s="29">
        <f t="shared" si="16"/>
        <v>208964937</v>
      </c>
      <c r="N23" s="29">
        <f t="shared" si="16"/>
        <v>269447912.26024622</v>
      </c>
      <c r="O23" s="29">
        <f t="shared" si="16"/>
        <v>266868735.1242533</v>
      </c>
      <c r="P23" s="29">
        <f t="shared" si="16"/>
        <v>286229261.5</v>
      </c>
      <c r="Q23" s="29">
        <f t="shared" si="16"/>
        <v>292359425.71099395</v>
      </c>
      <c r="R23" s="29">
        <f t="shared" si="16"/>
        <v>240342977.87539515</v>
      </c>
      <c r="S23" s="29">
        <f t="shared" si="16"/>
        <v>212420596.12555185</v>
      </c>
      <c r="T23" s="29">
        <f t="shared" si="16"/>
        <v>179826642.85981309</v>
      </c>
      <c r="U23" s="29">
        <f t="shared" si="16"/>
        <v>219145499.50059795</v>
      </c>
      <c r="V23" s="29">
        <f t="shared" si="16"/>
        <v>261361505.16609254</v>
      </c>
      <c r="W23" s="29">
        <f t="shared" si="16"/>
        <v>263840663.09572297</v>
      </c>
      <c r="X23" s="29">
        <f t="shared" si="16"/>
        <v>291578957.80223233</v>
      </c>
      <c r="Y23" s="29">
        <f t="shared" si="16"/>
        <v>181928659.19999999</v>
      </c>
      <c r="Z23" s="29">
        <f t="shared" si="16"/>
        <v>-58689</v>
      </c>
      <c r="AA23" s="29">
        <f t="shared" si="16"/>
        <v>140822505.93964374</v>
      </c>
      <c r="AB23" s="29">
        <f t="shared" si="16"/>
        <v>145960707.95446637</v>
      </c>
      <c r="AC23" s="29">
        <f t="shared" si="16"/>
        <v>119738395.07042427</v>
      </c>
      <c r="AD23" s="29">
        <f t="shared" si="16"/>
        <v>200065468.57239282</v>
      </c>
      <c r="AE23" s="29">
        <f t="shared" si="16"/>
        <v>205142874.22751704</v>
      </c>
      <c r="AF23" s="29">
        <f t="shared" si="16"/>
        <v>184510568.67909652</v>
      </c>
      <c r="AG23" s="29">
        <f t="shared" si="16"/>
        <v>217965650.9588578</v>
      </c>
      <c r="AH23" s="29">
        <f t="shared" si="16"/>
        <v>351624938.17792231</v>
      </c>
      <c r="AI23" s="29">
        <f t="shared" si="16"/>
        <v>302824165.85610336</v>
      </c>
      <c r="AJ23" s="29">
        <f t="shared" si="16"/>
        <v>378804197.32158595</v>
      </c>
      <c r="AK23" s="29">
        <f t="shared" si="16"/>
        <v>317244253.6084246</v>
      </c>
      <c r="AL23" s="29">
        <f t="shared" si="16"/>
        <v>218341300.60656399</v>
      </c>
      <c r="AM23" s="29">
        <f t="shared" si="16"/>
        <v>99507961</v>
      </c>
      <c r="AN23" s="29">
        <f t="shared" si="16"/>
        <v>220549752.36498249</v>
      </c>
      <c r="AO23" s="29">
        <f t="shared" si="16"/>
        <v>309028022.56999999</v>
      </c>
      <c r="AP23" s="29">
        <f t="shared" si="16"/>
        <v>302429208.89614981</v>
      </c>
      <c r="AQ23" s="29">
        <f t="shared" si="16"/>
        <v>283500821</v>
      </c>
      <c r="AR23" s="29">
        <f t="shared" si="16"/>
        <v>243017416.99999997</v>
      </c>
      <c r="AS23" s="29">
        <f t="shared" si="16"/>
        <v>290726966</v>
      </c>
      <c r="AT23" s="29">
        <f t="shared" si="16"/>
        <v>389798687.40441</v>
      </c>
      <c r="AU23" s="29">
        <f t="shared" si="16"/>
        <v>355093261.00000006</v>
      </c>
      <c r="AV23" s="29">
        <f t="shared" si="16"/>
        <v>363297745</v>
      </c>
      <c r="AW23" s="29">
        <f t="shared" si="16"/>
        <v>316865236.8735711</v>
      </c>
      <c r="AX23" s="29">
        <f t="shared" si="16"/>
        <v>314883922.45000011</v>
      </c>
      <c r="AY23" s="29">
        <f t="shared" si="16"/>
        <v>353948479</v>
      </c>
      <c r="AZ23" s="29">
        <f t="shared" si="16"/>
        <v>253718952.35678959</v>
      </c>
      <c r="BA23" s="29">
        <f t="shared" si="16"/>
        <v>295352366.05637115</v>
      </c>
      <c r="BB23" s="29">
        <f t="shared" si="16"/>
        <v>314859557.06935155</v>
      </c>
      <c r="BC23" s="29">
        <f t="shared" si="16"/>
        <v>323017769.97385091</v>
      </c>
      <c r="BD23" s="29">
        <f t="shared" si="16"/>
        <v>379991484.77648139</v>
      </c>
      <c r="BE23" s="29">
        <f t="shared" si="16"/>
        <v>411127982.12694132</v>
      </c>
      <c r="BF23" s="29">
        <f t="shared" si="16"/>
        <v>523499249.52725494</v>
      </c>
      <c r="BG23" s="29">
        <f t="shared" si="16"/>
        <v>472010291.35966325</v>
      </c>
      <c r="BH23" s="29">
        <f t="shared" si="16"/>
        <v>379962296.8494646</v>
      </c>
      <c r="BI23" s="29">
        <f t="shared" si="16"/>
        <v>420473609.973279</v>
      </c>
      <c r="BJ23" s="29">
        <f t="shared" si="16"/>
        <v>388619576.70573646</v>
      </c>
      <c r="BK23" s="29">
        <f t="shared" si="16"/>
        <v>395066518.57596982</v>
      </c>
      <c r="BL23" s="29">
        <f t="shared" si="16"/>
        <v>300462671.48357654</v>
      </c>
      <c r="BM23" s="29">
        <f t="shared" si="16"/>
        <v>283687792.77625483</v>
      </c>
      <c r="BN23" s="29">
        <f t="shared" si="16"/>
        <v>300679904.2239241</v>
      </c>
      <c r="BO23" s="29">
        <f t="shared" ref="BO23:DQ23" si="17">BO2-BO10</f>
        <v>289582835.51983523</v>
      </c>
      <c r="BP23" s="29">
        <f t="shared" si="17"/>
        <v>272230318.70985508</v>
      </c>
      <c r="BQ23" s="29">
        <f t="shared" si="17"/>
        <v>334439243.09056324</v>
      </c>
      <c r="BR23" s="29">
        <f t="shared" si="17"/>
        <v>301141662.49213481</v>
      </c>
      <c r="BS23" s="29">
        <f t="shared" si="17"/>
        <v>271286674.68889612</v>
      </c>
      <c r="BT23" s="29">
        <f t="shared" si="17"/>
        <v>285387260.72658789</v>
      </c>
      <c r="BU23" s="29">
        <f t="shared" si="17"/>
        <v>295499604.70715314</v>
      </c>
      <c r="BV23" s="29">
        <f t="shared" si="17"/>
        <v>306810965.38962066</v>
      </c>
      <c r="BW23" s="29">
        <f t="shared" si="17"/>
        <v>317634236.1956681</v>
      </c>
      <c r="BX23" s="29">
        <f t="shared" si="17"/>
        <v>302669466.78844017</v>
      </c>
      <c r="BY23" s="29">
        <f t="shared" si="17"/>
        <v>286115234.40934157</v>
      </c>
      <c r="BZ23" s="29">
        <f t="shared" si="17"/>
        <v>276117758.08156765</v>
      </c>
      <c r="CA23" s="29">
        <f t="shared" si="17"/>
        <v>242257243.25205413</v>
      </c>
      <c r="CB23" s="29">
        <f t="shared" si="17"/>
        <v>290251317.86683983</v>
      </c>
      <c r="CC23" s="29">
        <f t="shared" si="17"/>
        <v>296899274.37488753</v>
      </c>
      <c r="CD23" s="29">
        <f t="shared" si="17"/>
        <v>335757957.58998883</v>
      </c>
      <c r="CE23" s="29">
        <f t="shared" si="17"/>
        <v>385179872.95694119</v>
      </c>
      <c r="CF23" s="29">
        <f t="shared" si="17"/>
        <v>445942525.30202425</v>
      </c>
      <c r="CG23" s="29">
        <f t="shared" si="17"/>
        <v>553793255.71783984</v>
      </c>
      <c r="CH23" s="29">
        <f t="shared" si="17"/>
        <v>470069111.57037914</v>
      </c>
      <c r="CI23" s="29">
        <f t="shared" si="17"/>
        <v>466408773.88283879</v>
      </c>
      <c r="CJ23" s="29">
        <f t="shared" si="17"/>
        <v>460358627.85315222</v>
      </c>
      <c r="CK23" s="29">
        <f t="shared" si="17"/>
        <v>461154413.35000002</v>
      </c>
      <c r="CL23" s="29">
        <f t="shared" si="17"/>
        <v>388687802.75999916</v>
      </c>
      <c r="CM23" s="29">
        <f t="shared" si="17"/>
        <v>336052923.92999959</v>
      </c>
      <c r="CN23" s="29">
        <f t="shared" si="17"/>
        <v>435550558.52000046</v>
      </c>
      <c r="CO23" s="29">
        <f t="shared" si="17"/>
        <v>522842565.63999999</v>
      </c>
      <c r="CP23" s="29">
        <f t="shared" si="17"/>
        <v>633370264.37999988</v>
      </c>
      <c r="CQ23" s="29">
        <f t="shared" si="17"/>
        <v>681442196.87000072</v>
      </c>
      <c r="CR23" s="29">
        <f t="shared" si="17"/>
        <v>622125579.7500006</v>
      </c>
      <c r="CS23" s="29">
        <f t="shared" si="17"/>
        <v>0</v>
      </c>
      <c r="CT23" s="29">
        <f t="shared" si="17"/>
        <v>0</v>
      </c>
      <c r="CU23" s="29">
        <f t="shared" si="17"/>
        <v>0</v>
      </c>
      <c r="CV23" s="29">
        <f t="shared" si="17"/>
        <v>0</v>
      </c>
      <c r="CW23" s="29">
        <f t="shared" si="17"/>
        <v>0</v>
      </c>
      <c r="CX23" s="29">
        <f t="shared" si="17"/>
        <v>0</v>
      </c>
      <c r="CY23" s="29">
        <f t="shared" si="17"/>
        <v>0</v>
      </c>
      <c r="CZ23" s="29">
        <f t="shared" si="17"/>
        <v>0</v>
      </c>
      <c r="DA23" s="29">
        <f t="shared" si="17"/>
        <v>0</v>
      </c>
      <c r="DB23" s="29">
        <f t="shared" si="17"/>
        <v>0</v>
      </c>
      <c r="DC23" s="29">
        <f t="shared" si="17"/>
        <v>0</v>
      </c>
      <c r="DD23" s="29">
        <f t="shared" si="17"/>
        <v>0</v>
      </c>
      <c r="DE23" s="29">
        <f t="shared" si="17"/>
        <v>0</v>
      </c>
      <c r="DF23" s="29">
        <f t="shared" si="17"/>
        <v>0</v>
      </c>
      <c r="DG23" s="29">
        <f t="shared" si="17"/>
        <v>0</v>
      </c>
      <c r="DH23" s="29">
        <f t="shared" si="17"/>
        <v>0</v>
      </c>
      <c r="DI23" s="29">
        <f t="shared" si="17"/>
        <v>0</v>
      </c>
      <c r="DJ23" s="29">
        <f t="shared" si="17"/>
        <v>0</v>
      </c>
      <c r="DK23" s="29">
        <f t="shared" si="17"/>
        <v>0</v>
      </c>
      <c r="DL23" s="29">
        <f t="shared" si="17"/>
        <v>0</v>
      </c>
      <c r="DM23" s="29">
        <f t="shared" si="17"/>
        <v>0</v>
      </c>
      <c r="DN23" s="29">
        <f t="shared" si="17"/>
        <v>0</v>
      </c>
      <c r="DO23" s="29">
        <f t="shared" si="17"/>
        <v>0</v>
      </c>
      <c r="DP23" s="29">
        <f t="shared" si="17"/>
        <v>0</v>
      </c>
      <c r="DQ23" s="29">
        <f t="shared" si="17"/>
        <v>0</v>
      </c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t="s">
        <v>1</v>
      </c>
    </row>
    <row r="24" spans="1:134" hidden="1" x14ac:dyDescent="0.2">
      <c r="A24" s="13" t="s">
        <v>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>
        <f>AZ3-AZ11</f>
        <v>57315451.963905223</v>
      </c>
      <c r="BA24" s="19">
        <f t="shared" ref="BA24:DL24" si="18">BA3-BA11</f>
        <v>62354498.007868811</v>
      </c>
      <c r="BB24" s="19">
        <f t="shared" si="18"/>
        <v>63129962.116789095</v>
      </c>
      <c r="BC24" s="19">
        <f t="shared" si="18"/>
        <v>112339195.36622429</v>
      </c>
      <c r="BD24" s="19">
        <f t="shared" si="18"/>
        <v>100437981.6613459</v>
      </c>
      <c r="BE24" s="19">
        <f t="shared" si="18"/>
        <v>120199810.27754611</v>
      </c>
      <c r="BF24" s="19">
        <f t="shared" si="18"/>
        <v>147460985.56343892</v>
      </c>
      <c r="BG24" s="19">
        <f t="shared" si="18"/>
        <v>111835174.62329073</v>
      </c>
      <c r="BH24" s="19">
        <f t="shared" si="18"/>
        <v>59237912.807522424</v>
      </c>
      <c r="BI24" s="19">
        <f t="shared" si="18"/>
        <v>63114994.720508881</v>
      </c>
      <c r="BJ24" s="19">
        <f t="shared" si="18"/>
        <v>38739227.64689678</v>
      </c>
      <c r="BK24" s="19">
        <f t="shared" si="18"/>
        <v>32050657.75279076</v>
      </c>
      <c r="BL24" s="19">
        <f t="shared" si="18"/>
        <v>33000931.408048175</v>
      </c>
      <c r="BM24" s="19">
        <f t="shared" si="18"/>
        <v>15145533.576626644</v>
      </c>
      <c r="BN24" s="19">
        <f t="shared" si="18"/>
        <v>12653777.422852881</v>
      </c>
      <c r="BO24" s="19">
        <f t="shared" si="18"/>
        <v>18195783.303687148</v>
      </c>
      <c r="BP24" s="19">
        <f t="shared" si="18"/>
        <v>26474086.139611069</v>
      </c>
      <c r="BQ24" s="19">
        <f t="shared" si="18"/>
        <v>51548362.757315531</v>
      </c>
      <c r="BR24" s="19">
        <f t="shared" si="18"/>
        <v>42422722.148700215</v>
      </c>
      <c r="BS24" s="19">
        <f t="shared" si="18"/>
        <v>25804182.850372098</v>
      </c>
      <c r="BT24" s="19">
        <f t="shared" si="18"/>
        <v>17033088.772994682</v>
      </c>
      <c r="BU24" s="19">
        <f t="shared" si="18"/>
        <v>30375821.000000097</v>
      </c>
      <c r="BV24" s="19">
        <f t="shared" si="18"/>
        <v>27205744.049498737</v>
      </c>
      <c r="BW24" s="19">
        <f t="shared" si="18"/>
        <v>22089421.825110734</v>
      </c>
      <c r="BX24" s="19">
        <f t="shared" si="18"/>
        <v>10095551.226851517</v>
      </c>
      <c r="BY24" s="19">
        <f t="shared" si="18"/>
        <v>21168231.566800456</v>
      </c>
      <c r="BZ24" s="19">
        <f t="shared" si="18"/>
        <v>29169842.195570044</v>
      </c>
      <c r="CA24" s="19">
        <f t="shared" si="18"/>
        <v>35714965.815388098</v>
      </c>
      <c r="CB24" s="19">
        <f t="shared" si="18"/>
        <v>24802596.833961718</v>
      </c>
      <c r="CC24" s="19">
        <f t="shared" si="18"/>
        <v>15413652.946655361</v>
      </c>
      <c r="CD24" s="19">
        <f t="shared" si="18"/>
        <v>35807056.63207069</v>
      </c>
      <c r="CE24" s="19">
        <f t="shared" si="18"/>
        <v>54962768.11164473</v>
      </c>
      <c r="CF24" s="19">
        <f t="shared" si="18"/>
        <v>35119165.03763631</v>
      </c>
      <c r="CG24" s="19">
        <f t="shared" si="18"/>
        <v>70594330.832743704</v>
      </c>
      <c r="CH24" s="19">
        <f t="shared" si="18"/>
        <v>57828645.049960442</v>
      </c>
      <c r="CI24" s="19">
        <f t="shared" si="18"/>
        <v>55110247.502035014</v>
      </c>
      <c r="CJ24" s="19">
        <f t="shared" si="18"/>
        <v>25788276.471005041</v>
      </c>
      <c r="CK24" s="19">
        <f t="shared" si="18"/>
        <v>29315925.530000005</v>
      </c>
      <c r="CL24" s="19">
        <f t="shared" si="18"/>
        <v>19298181.899999995</v>
      </c>
      <c r="CM24" s="19">
        <f t="shared" si="18"/>
        <v>16653654.159999996</v>
      </c>
      <c r="CN24" s="19">
        <f t="shared" si="18"/>
        <v>22594660.739999995</v>
      </c>
      <c r="CO24" s="19">
        <f t="shared" si="18"/>
        <v>41518316.389999971</v>
      </c>
      <c r="CP24" s="19">
        <f t="shared" si="18"/>
        <v>72571876.689999953</v>
      </c>
      <c r="CQ24" s="19">
        <f t="shared" si="18"/>
        <v>54731450.340000026</v>
      </c>
      <c r="CR24" s="19">
        <f t="shared" si="18"/>
        <v>38402609.600000039</v>
      </c>
      <c r="CS24" s="19">
        <f t="shared" si="18"/>
        <v>0</v>
      </c>
      <c r="CT24" s="19">
        <f t="shared" si="18"/>
        <v>0</v>
      </c>
      <c r="CU24" s="19">
        <f t="shared" si="18"/>
        <v>0</v>
      </c>
      <c r="CV24" s="19">
        <f t="shared" si="18"/>
        <v>0</v>
      </c>
      <c r="CW24" s="19">
        <f t="shared" si="18"/>
        <v>0</v>
      </c>
      <c r="CX24" s="19">
        <f t="shared" si="18"/>
        <v>0</v>
      </c>
      <c r="CY24" s="19">
        <f t="shared" si="18"/>
        <v>0</v>
      </c>
      <c r="CZ24" s="19">
        <f t="shared" si="18"/>
        <v>0</v>
      </c>
      <c r="DA24" s="19">
        <f t="shared" si="18"/>
        <v>0</v>
      </c>
      <c r="DB24" s="19">
        <f t="shared" si="18"/>
        <v>0</v>
      </c>
      <c r="DC24" s="19">
        <f t="shared" si="18"/>
        <v>0</v>
      </c>
      <c r="DD24" s="19">
        <f t="shared" si="18"/>
        <v>0</v>
      </c>
      <c r="DE24" s="19">
        <f t="shared" si="18"/>
        <v>0</v>
      </c>
      <c r="DF24" s="19">
        <f t="shared" si="18"/>
        <v>0</v>
      </c>
      <c r="DG24" s="19">
        <f t="shared" si="18"/>
        <v>0</v>
      </c>
      <c r="DH24" s="19">
        <f t="shared" si="18"/>
        <v>0</v>
      </c>
      <c r="DI24" s="19">
        <f t="shared" si="18"/>
        <v>0</v>
      </c>
      <c r="DJ24" s="19">
        <f t="shared" si="18"/>
        <v>0</v>
      </c>
      <c r="DK24" s="19">
        <f t="shared" si="18"/>
        <v>0</v>
      </c>
      <c r="DL24" s="19">
        <f t="shared" si="18"/>
        <v>0</v>
      </c>
      <c r="DM24" s="19">
        <f t="shared" ref="DM24:DQ24" si="19">DM3-DM11</f>
        <v>0</v>
      </c>
      <c r="DN24" s="19">
        <f t="shared" si="19"/>
        <v>0</v>
      </c>
      <c r="DO24" s="19">
        <f t="shared" si="19"/>
        <v>0</v>
      </c>
      <c r="DP24" s="19">
        <f t="shared" si="19"/>
        <v>0</v>
      </c>
      <c r="DQ24" s="19">
        <f t="shared" si="19"/>
        <v>0</v>
      </c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t="s">
        <v>1</v>
      </c>
    </row>
    <row r="25" spans="1:134" hidden="1" x14ac:dyDescent="0.2">
      <c r="A25" s="13" t="s">
        <v>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>
        <f t="shared" ref="AZ25:DK25" si="20">AZ4-AZ12</f>
        <v>196403500.39288431</v>
      </c>
      <c r="BA25" s="19">
        <f t="shared" si="20"/>
        <v>232997868.0485023</v>
      </c>
      <c r="BB25" s="19">
        <f t="shared" si="20"/>
        <v>251729594.95256248</v>
      </c>
      <c r="BC25" s="19">
        <f t="shared" si="20"/>
        <v>210678574.60762662</v>
      </c>
      <c r="BD25" s="19">
        <f t="shared" si="20"/>
        <v>279553503.11513549</v>
      </c>
      <c r="BE25" s="19">
        <f t="shared" si="20"/>
        <v>290928171.84939522</v>
      </c>
      <c r="BF25" s="19">
        <f t="shared" si="20"/>
        <v>376038263.96381599</v>
      </c>
      <c r="BG25" s="19">
        <f t="shared" si="20"/>
        <v>360175116.73637253</v>
      </c>
      <c r="BH25" s="19">
        <f t="shared" si="20"/>
        <v>320724384.04194218</v>
      </c>
      <c r="BI25" s="19">
        <f t="shared" si="20"/>
        <v>357358615.25277019</v>
      </c>
      <c r="BJ25" s="19">
        <f t="shared" si="20"/>
        <v>349880349.05883968</v>
      </c>
      <c r="BK25" s="19">
        <f t="shared" si="20"/>
        <v>363015860.82317907</v>
      </c>
      <c r="BL25" s="19">
        <f t="shared" si="20"/>
        <v>267461740.07552832</v>
      </c>
      <c r="BM25" s="19">
        <f t="shared" si="20"/>
        <v>268542259.19962823</v>
      </c>
      <c r="BN25" s="19">
        <f t="shared" si="20"/>
        <v>288026126.80107123</v>
      </c>
      <c r="BO25" s="19">
        <f t="shared" si="20"/>
        <v>271387052.21614808</v>
      </c>
      <c r="BP25" s="19">
        <f t="shared" si="20"/>
        <v>245756232.57024401</v>
      </c>
      <c r="BQ25" s="19">
        <f t="shared" si="20"/>
        <v>282890880.33324772</v>
      </c>
      <c r="BR25" s="19">
        <f t="shared" si="20"/>
        <v>258718940.34343463</v>
      </c>
      <c r="BS25" s="19">
        <f t="shared" si="20"/>
        <v>245482491.83852404</v>
      </c>
      <c r="BT25" s="19">
        <f t="shared" si="20"/>
        <v>268354171.95359325</v>
      </c>
      <c r="BU25" s="19">
        <f t="shared" si="20"/>
        <v>265123783.70715302</v>
      </c>
      <c r="BV25" s="19">
        <f t="shared" si="20"/>
        <v>279605221.34012192</v>
      </c>
      <c r="BW25" s="19">
        <f t="shared" si="20"/>
        <v>295544814.37055737</v>
      </c>
      <c r="BX25" s="19">
        <f t="shared" si="20"/>
        <v>292573915.56158864</v>
      </c>
      <c r="BY25" s="19">
        <f t="shared" si="20"/>
        <v>264947002.84254116</v>
      </c>
      <c r="BZ25" s="19">
        <f t="shared" si="20"/>
        <v>246947915.88599756</v>
      </c>
      <c r="CA25" s="19">
        <f t="shared" si="20"/>
        <v>206542277.43666604</v>
      </c>
      <c r="CB25" s="19">
        <f t="shared" si="20"/>
        <v>265448721.0328781</v>
      </c>
      <c r="CC25" s="19">
        <f t="shared" si="20"/>
        <v>281485621.42823219</v>
      </c>
      <c r="CD25" s="19">
        <f t="shared" si="20"/>
        <v>299950900.95791817</v>
      </c>
      <c r="CE25" s="19">
        <f t="shared" si="20"/>
        <v>330217104.84529644</v>
      </c>
      <c r="CF25" s="19">
        <f t="shared" si="20"/>
        <v>410823360.26438791</v>
      </c>
      <c r="CG25" s="19">
        <f t="shared" si="20"/>
        <v>483198924.88509613</v>
      </c>
      <c r="CH25" s="19">
        <f t="shared" si="20"/>
        <v>412240466.52041864</v>
      </c>
      <c r="CI25" s="19">
        <f t="shared" si="20"/>
        <v>411298526.38080376</v>
      </c>
      <c r="CJ25" s="19">
        <f t="shared" si="20"/>
        <v>434570351.38214719</v>
      </c>
      <c r="CK25" s="19">
        <f t="shared" si="20"/>
        <v>431838487.82000005</v>
      </c>
      <c r="CL25" s="19">
        <f t="shared" si="20"/>
        <v>369389620.85999918</v>
      </c>
      <c r="CM25" s="19">
        <f t="shared" si="20"/>
        <v>319399269.76999962</v>
      </c>
      <c r="CN25" s="19">
        <f t="shared" si="20"/>
        <v>412955897.78000045</v>
      </c>
      <c r="CO25" s="19">
        <f t="shared" si="20"/>
        <v>481324249.25</v>
      </c>
      <c r="CP25" s="19">
        <f t="shared" si="20"/>
        <v>560798387.68999982</v>
      </c>
      <c r="CQ25" s="19">
        <f t="shared" si="20"/>
        <v>626710746.53000069</v>
      </c>
      <c r="CR25" s="19">
        <f t="shared" si="20"/>
        <v>583722970.15000045</v>
      </c>
      <c r="CS25" s="19">
        <f t="shared" si="20"/>
        <v>0</v>
      </c>
      <c r="CT25" s="19">
        <f t="shared" si="20"/>
        <v>0</v>
      </c>
      <c r="CU25" s="19">
        <f t="shared" si="20"/>
        <v>0</v>
      </c>
      <c r="CV25" s="19">
        <f t="shared" si="20"/>
        <v>0</v>
      </c>
      <c r="CW25" s="19">
        <f t="shared" si="20"/>
        <v>0</v>
      </c>
      <c r="CX25" s="19">
        <f t="shared" si="20"/>
        <v>0</v>
      </c>
      <c r="CY25" s="19">
        <f t="shared" si="20"/>
        <v>0</v>
      </c>
      <c r="CZ25" s="19">
        <f t="shared" si="20"/>
        <v>0</v>
      </c>
      <c r="DA25" s="19">
        <f t="shared" si="20"/>
        <v>0</v>
      </c>
      <c r="DB25" s="19">
        <f t="shared" si="20"/>
        <v>0</v>
      </c>
      <c r="DC25" s="19">
        <f t="shared" si="20"/>
        <v>0</v>
      </c>
      <c r="DD25" s="19">
        <f t="shared" si="20"/>
        <v>0</v>
      </c>
      <c r="DE25" s="19">
        <f t="shared" si="20"/>
        <v>0</v>
      </c>
      <c r="DF25" s="19">
        <f t="shared" si="20"/>
        <v>0</v>
      </c>
      <c r="DG25" s="19">
        <f t="shared" si="20"/>
        <v>0</v>
      </c>
      <c r="DH25" s="19">
        <f t="shared" si="20"/>
        <v>0</v>
      </c>
      <c r="DI25" s="19">
        <f t="shared" si="20"/>
        <v>0</v>
      </c>
      <c r="DJ25" s="19">
        <f t="shared" si="20"/>
        <v>0</v>
      </c>
      <c r="DK25" s="19">
        <f t="shared" si="20"/>
        <v>0</v>
      </c>
      <c r="DL25" s="19">
        <f t="shared" ref="DL25:DQ25" si="21">DL4-DL12</f>
        <v>0</v>
      </c>
      <c r="DM25" s="19">
        <f t="shared" si="21"/>
        <v>0</v>
      </c>
      <c r="DN25" s="19">
        <f t="shared" si="21"/>
        <v>0</v>
      </c>
      <c r="DO25" s="19">
        <f t="shared" si="21"/>
        <v>0</v>
      </c>
      <c r="DP25" s="19">
        <f t="shared" si="21"/>
        <v>0</v>
      </c>
      <c r="DQ25" s="19">
        <f t="shared" si="21"/>
        <v>0</v>
      </c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t="s">
        <v>1</v>
      </c>
    </row>
    <row r="26" spans="1:134" x14ac:dyDescent="0.2">
      <c r="A26" s="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t="s">
        <v>1</v>
      </c>
    </row>
    <row r="27" spans="1:134" x14ac:dyDescent="0.2">
      <c r="A27" s="9" t="s">
        <v>11</v>
      </c>
      <c r="B27" s="19">
        <v>1571885</v>
      </c>
      <c r="C27" s="19">
        <v>1933226.8571428601</v>
      </c>
      <c r="D27" s="19">
        <v>2144810.8091856497</v>
      </c>
      <c r="E27" s="19">
        <v>2670744.5190276657</v>
      </c>
      <c r="F27" s="19">
        <v>3520739.1602093042</v>
      </c>
      <c r="G27" s="19">
        <v>3375803</v>
      </c>
      <c r="H27" s="19">
        <v>2640496</v>
      </c>
      <c r="I27" s="19">
        <v>3233060</v>
      </c>
      <c r="J27" s="19">
        <v>3701309</v>
      </c>
      <c r="K27" s="19">
        <v>2919247</v>
      </c>
      <c r="L27" s="19">
        <v>2007686</v>
      </c>
      <c r="M27" s="19">
        <v>2008229</v>
      </c>
      <c r="N27" s="19">
        <v>2074638.8850263832</v>
      </c>
      <c r="O27" s="19">
        <v>2149446.9775985675</v>
      </c>
      <c r="P27" s="19">
        <v>2794451.4107142859</v>
      </c>
      <c r="Q27" s="19">
        <v>3291671.1060011913</v>
      </c>
      <c r="R27" s="19">
        <v>3107952.9509351938</v>
      </c>
      <c r="S27" s="19">
        <v>2375814.5848805555</v>
      </c>
      <c r="T27" s="19">
        <v>2358981.5742656877</v>
      </c>
      <c r="U27" s="19">
        <v>2789918.7972108242</v>
      </c>
      <c r="V27" s="19">
        <v>2858485.1095155482</v>
      </c>
      <c r="W27" s="19">
        <v>2908758.4798988895</v>
      </c>
      <c r="X27" s="19">
        <v>3984937.7029611464</v>
      </c>
      <c r="Y27" s="19">
        <v>2321371.5514285713</v>
      </c>
      <c r="Z27" s="19">
        <v>-1030.5642857142857</v>
      </c>
      <c r="AA27" s="19">
        <v>3900614</v>
      </c>
      <c r="AB27" s="19">
        <v>3270039.6696492299</v>
      </c>
      <c r="AC27" s="19">
        <v>2663850.7524969731</v>
      </c>
      <c r="AD27" s="19">
        <v>4690032.1283731069</v>
      </c>
      <c r="AE27" s="19">
        <v>4140394.5922888326</v>
      </c>
      <c r="AF27" s="19">
        <v>3479215.8310084632</v>
      </c>
      <c r="AG27" s="19">
        <v>4885138.599654723</v>
      </c>
      <c r="AH27" s="19">
        <v>5677808.8600000003</v>
      </c>
      <c r="AI27" s="19">
        <v>4311081.9400000004</v>
      </c>
      <c r="AJ27" s="19">
        <v>5245946.8049999997</v>
      </c>
      <c r="AK27" s="19">
        <v>3879587.5550000002</v>
      </c>
      <c r="AL27" s="19">
        <v>2963721.9840000002</v>
      </c>
      <c r="AM27" s="19">
        <v>2026289</v>
      </c>
      <c r="AN27" s="19">
        <v>4833429.6950000003</v>
      </c>
      <c r="AO27" s="19">
        <v>6484924.1200000001</v>
      </c>
      <c r="AP27" s="19">
        <v>6968696.4699999997</v>
      </c>
      <c r="AQ27" s="19">
        <v>6104232</v>
      </c>
      <c r="AR27" s="19">
        <v>5760470</v>
      </c>
      <c r="AS27" s="19">
        <v>4515277</v>
      </c>
      <c r="AT27" s="19">
        <v>5958902.2499999898</v>
      </c>
      <c r="AU27" s="19">
        <v>5855167</v>
      </c>
      <c r="AV27" s="19">
        <v>5581986</v>
      </c>
      <c r="AW27" s="19">
        <v>5571264.4000000004</v>
      </c>
      <c r="AX27" s="19">
        <v>4708314</v>
      </c>
      <c r="AY27" s="19">
        <v>6279353</v>
      </c>
      <c r="AZ27" s="19">
        <f>SUM(AZ28:AZ29)</f>
        <v>4093538</v>
      </c>
      <c r="BA27" s="19">
        <f t="shared" ref="BA27:DL27" si="22">SUM(BA28:BA29)</f>
        <v>5519187.2144797016</v>
      </c>
      <c r="BB27" s="19">
        <f t="shared" si="22"/>
        <v>5516764.610474729</v>
      </c>
      <c r="BC27" s="19">
        <f t="shared" si="22"/>
        <v>4791504.7020451892</v>
      </c>
      <c r="BD27" s="19">
        <f t="shared" si="22"/>
        <v>6953816.5711733215</v>
      </c>
      <c r="BE27" s="19">
        <f t="shared" si="22"/>
        <v>7179089.4394325111</v>
      </c>
      <c r="BF27" s="19">
        <f t="shared" si="22"/>
        <v>10406552.008067511</v>
      </c>
      <c r="BG27" s="19">
        <f t="shared" si="22"/>
        <v>9057356.0492312312</v>
      </c>
      <c r="BH27" s="19">
        <f t="shared" si="22"/>
        <v>7253164.0957235033</v>
      </c>
      <c r="BI27" s="19">
        <f t="shared" si="22"/>
        <v>8383170.7145901695</v>
      </c>
      <c r="BJ27" s="19">
        <f t="shared" si="22"/>
        <v>8838599.247797424</v>
      </c>
      <c r="BK27" s="19">
        <f t="shared" si="22"/>
        <v>7354907.1775600836</v>
      </c>
      <c r="BL27" s="19">
        <f t="shared" si="22"/>
        <v>7161410.1133693503</v>
      </c>
      <c r="BM27" s="19">
        <f t="shared" si="22"/>
        <v>7953510.7387108337</v>
      </c>
      <c r="BN27" s="19">
        <f t="shared" si="22"/>
        <v>8283598.2274204753</v>
      </c>
      <c r="BO27" s="19">
        <f t="shared" si="22"/>
        <v>6200463.1806926541</v>
      </c>
      <c r="BP27" s="19">
        <f t="shared" si="22"/>
        <v>6613959.9047642378</v>
      </c>
      <c r="BQ27" s="19">
        <f t="shared" si="22"/>
        <v>7409178.8331753649</v>
      </c>
      <c r="BR27" s="19">
        <f t="shared" si="22"/>
        <v>5750049.2147189975</v>
      </c>
      <c r="BS27" s="19">
        <f t="shared" si="22"/>
        <v>5686690.9617407536</v>
      </c>
      <c r="BT27" s="19">
        <f t="shared" si="22"/>
        <v>7670766.1773037836</v>
      </c>
      <c r="BU27" s="19">
        <f t="shared" si="22"/>
        <v>8024179.4618596323</v>
      </c>
      <c r="BV27" s="19">
        <f t="shared" si="22"/>
        <v>8527831.6084843185</v>
      </c>
      <c r="BW27" s="19">
        <f t="shared" si="22"/>
        <v>8837156.0655760728</v>
      </c>
      <c r="BX27" s="19">
        <f t="shared" si="22"/>
        <v>8182294.8197127413</v>
      </c>
      <c r="BY27" s="19">
        <f t="shared" si="22"/>
        <v>7523018.0914777583</v>
      </c>
      <c r="BZ27" s="19">
        <f t="shared" si="22"/>
        <v>6510651.5996009111</v>
      </c>
      <c r="CA27" s="19">
        <f t="shared" si="22"/>
        <v>5286889.366321329</v>
      </c>
      <c r="CB27" s="19">
        <f t="shared" si="22"/>
        <v>7450617.4753430719</v>
      </c>
      <c r="CC27" s="19">
        <f t="shared" si="22"/>
        <v>8512066.8890635725</v>
      </c>
      <c r="CD27" s="19">
        <f t="shared" si="22"/>
        <v>7587145.9876836576</v>
      </c>
      <c r="CE27" s="19">
        <f t="shared" si="22"/>
        <v>8969730.0832711998</v>
      </c>
      <c r="CF27" s="19">
        <f t="shared" si="22"/>
        <v>11444978.070268853</v>
      </c>
      <c r="CG27" s="19">
        <f t="shared" si="22"/>
        <v>11677359.036198275</v>
      </c>
      <c r="CH27" s="19">
        <f t="shared" si="22"/>
        <v>10991167.98380474</v>
      </c>
      <c r="CI27" s="19">
        <f t="shared" si="22"/>
        <v>14119814.18267357</v>
      </c>
      <c r="CJ27" s="19">
        <f t="shared" si="22"/>
        <v>16502040.907416202</v>
      </c>
      <c r="CK27" s="19">
        <f t="shared" si="22"/>
        <v>13088210.209999999</v>
      </c>
      <c r="CL27" s="19">
        <f t="shared" si="22"/>
        <v>11861183.11999991</v>
      </c>
      <c r="CM27" s="19">
        <f t="shared" si="22"/>
        <v>11572655.169999989</v>
      </c>
      <c r="CN27" s="19">
        <f t="shared" si="22"/>
        <v>14095181.049999975</v>
      </c>
      <c r="CO27" s="19">
        <f t="shared" si="22"/>
        <v>15819389.059999999</v>
      </c>
      <c r="CP27" s="19">
        <f t="shared" si="22"/>
        <v>18329819.949999966</v>
      </c>
      <c r="CQ27" s="19">
        <f t="shared" si="22"/>
        <v>21185581.019999892</v>
      </c>
      <c r="CR27" s="19">
        <f t="shared" si="22"/>
        <v>21438490.849999983</v>
      </c>
      <c r="CS27" s="19">
        <f t="shared" si="22"/>
        <v>0</v>
      </c>
      <c r="CT27" s="19">
        <f t="shared" si="22"/>
        <v>0</v>
      </c>
      <c r="CU27" s="19">
        <f t="shared" si="22"/>
        <v>0</v>
      </c>
      <c r="CV27" s="19">
        <f t="shared" si="22"/>
        <v>0</v>
      </c>
      <c r="CW27" s="19">
        <f t="shared" si="22"/>
        <v>0</v>
      </c>
      <c r="CX27" s="19">
        <f t="shared" si="22"/>
        <v>0</v>
      </c>
      <c r="CY27" s="19">
        <f t="shared" si="22"/>
        <v>0</v>
      </c>
      <c r="CZ27" s="19">
        <f t="shared" si="22"/>
        <v>0</v>
      </c>
      <c r="DA27" s="19">
        <f t="shared" si="22"/>
        <v>0</v>
      </c>
      <c r="DB27" s="19">
        <f t="shared" si="22"/>
        <v>0</v>
      </c>
      <c r="DC27" s="19">
        <f t="shared" si="22"/>
        <v>0</v>
      </c>
      <c r="DD27" s="19">
        <f t="shared" si="22"/>
        <v>0</v>
      </c>
      <c r="DE27" s="19">
        <f t="shared" si="22"/>
        <v>0</v>
      </c>
      <c r="DF27" s="19">
        <f t="shared" si="22"/>
        <v>0</v>
      </c>
      <c r="DG27" s="19">
        <f t="shared" si="22"/>
        <v>0</v>
      </c>
      <c r="DH27" s="19">
        <f t="shared" si="22"/>
        <v>0</v>
      </c>
      <c r="DI27" s="19">
        <f t="shared" si="22"/>
        <v>0</v>
      </c>
      <c r="DJ27" s="19">
        <f t="shared" si="22"/>
        <v>0</v>
      </c>
      <c r="DK27" s="19">
        <f t="shared" si="22"/>
        <v>0</v>
      </c>
      <c r="DL27" s="19">
        <f t="shared" si="22"/>
        <v>0</v>
      </c>
      <c r="DM27" s="19">
        <f t="shared" ref="DM27:DQ27" si="23">SUM(DM28:DM29)</f>
        <v>0</v>
      </c>
      <c r="DN27" s="19">
        <f t="shared" si="23"/>
        <v>0</v>
      </c>
      <c r="DO27" s="19">
        <f t="shared" si="23"/>
        <v>0</v>
      </c>
      <c r="DP27" s="19">
        <f t="shared" si="23"/>
        <v>0</v>
      </c>
      <c r="DQ27" s="19">
        <f t="shared" si="23"/>
        <v>0</v>
      </c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t="s">
        <v>1</v>
      </c>
    </row>
    <row r="28" spans="1:134" x14ac:dyDescent="0.2">
      <c r="A28" s="13" t="s">
        <v>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>
        <v>960772.07456443564</v>
      </c>
      <c r="BA28" s="19">
        <v>1180105.7839088824</v>
      </c>
      <c r="BB28" s="19">
        <v>1161482.7184283454</v>
      </c>
      <c r="BC28" s="19">
        <v>1878844.9995798795</v>
      </c>
      <c r="BD28" s="19">
        <v>1629749.5873894508</v>
      </c>
      <c r="BE28" s="19">
        <v>2117305.144474484</v>
      </c>
      <c r="BF28" s="19">
        <v>1382356.2454487716</v>
      </c>
      <c r="BG28" s="19">
        <v>779964.98741522571</v>
      </c>
      <c r="BH28" s="19">
        <v>596616.29683173238</v>
      </c>
      <c r="BI28" s="19">
        <v>653500.05366307858</v>
      </c>
      <c r="BJ28" s="19">
        <v>475368.75942799874</v>
      </c>
      <c r="BK28" s="19">
        <v>198593.29688115322</v>
      </c>
      <c r="BL28" s="19">
        <v>139299.01975596588</v>
      </c>
      <c r="BM28" s="19">
        <v>137603.50376397494</v>
      </c>
      <c r="BN28" s="19">
        <v>146922.94771951952</v>
      </c>
      <c r="BO28" s="19">
        <v>179555.22230602251</v>
      </c>
      <c r="BP28" s="19">
        <v>263183.63000000012</v>
      </c>
      <c r="BQ28" s="19">
        <v>210872.92999999993</v>
      </c>
      <c r="BR28" s="19">
        <v>198148.77532420069</v>
      </c>
      <c r="BS28" s="19">
        <v>102098.82290222251</v>
      </c>
      <c r="BT28" s="19">
        <v>126079.51753627</v>
      </c>
      <c r="BU28" s="19">
        <v>193607.99000000054</v>
      </c>
      <c r="BV28" s="19">
        <v>266230.94233787799</v>
      </c>
      <c r="BW28" s="19">
        <v>104389.33511070494</v>
      </c>
      <c r="BX28" s="19">
        <v>83506.938807015642</v>
      </c>
      <c r="BY28" s="19">
        <v>171907.83680049784</v>
      </c>
      <c r="BZ28" s="19">
        <v>119979.73468063772</v>
      </c>
      <c r="CA28" s="19">
        <v>117804.39846661317</v>
      </c>
      <c r="CB28" s="19">
        <v>73628.410232557973</v>
      </c>
      <c r="CC28" s="19">
        <v>115456.83972332107</v>
      </c>
      <c r="CD28" s="19">
        <v>108032.8423629677</v>
      </c>
      <c r="CE28" s="19">
        <v>267402.99000000017</v>
      </c>
      <c r="CF28" s="19">
        <v>403646.39355475421</v>
      </c>
      <c r="CG28" s="19">
        <v>411033.31824536307</v>
      </c>
      <c r="CH28" s="19">
        <v>222232.40799018124</v>
      </c>
      <c r="CI28" s="19">
        <v>339234.07292071957</v>
      </c>
      <c r="CJ28" s="19">
        <v>218144.36117795028</v>
      </c>
      <c r="CK28" s="19">
        <v>418634.84000000008</v>
      </c>
      <c r="CL28" s="19">
        <v>236448.76000000004</v>
      </c>
      <c r="CM28" s="19">
        <v>197511.29000000033</v>
      </c>
      <c r="CN28" s="19">
        <v>279793.05999999982</v>
      </c>
      <c r="CO28" s="19">
        <v>444109.39999999944</v>
      </c>
      <c r="CP28" s="19">
        <v>618311.15000000037</v>
      </c>
      <c r="CQ28" s="19">
        <v>522041.16999999975</v>
      </c>
      <c r="CR28" s="19">
        <v>550125.00999999943</v>
      </c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t="s">
        <v>1</v>
      </c>
    </row>
    <row r="29" spans="1:134" x14ac:dyDescent="0.2">
      <c r="A29" s="13" t="s">
        <v>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>
        <v>3132765.9254355645</v>
      </c>
      <c r="BA29" s="19">
        <v>4339081.4305708194</v>
      </c>
      <c r="BB29" s="19">
        <v>4355281.8920463836</v>
      </c>
      <c r="BC29" s="19">
        <v>2912659.7024653102</v>
      </c>
      <c r="BD29" s="19">
        <v>5324066.9837838709</v>
      </c>
      <c r="BE29" s="19">
        <v>5061784.2949580271</v>
      </c>
      <c r="BF29" s="19">
        <v>9024195.7626187392</v>
      </c>
      <c r="BG29" s="19">
        <v>8277391.061816005</v>
      </c>
      <c r="BH29" s="19">
        <v>6656547.7988917707</v>
      </c>
      <c r="BI29" s="19">
        <v>7729670.6609270908</v>
      </c>
      <c r="BJ29" s="19">
        <v>8363230.4883694248</v>
      </c>
      <c r="BK29" s="19">
        <v>7156313.8806789303</v>
      </c>
      <c r="BL29" s="19">
        <v>7022111.0936133843</v>
      </c>
      <c r="BM29" s="19">
        <v>7815907.2349468591</v>
      </c>
      <c r="BN29" s="19">
        <v>8136675.2797009554</v>
      </c>
      <c r="BO29" s="19">
        <v>6020907.9583866317</v>
      </c>
      <c r="BP29" s="19">
        <v>6350776.2747642379</v>
      </c>
      <c r="BQ29" s="19">
        <v>7198305.9031753652</v>
      </c>
      <c r="BR29" s="19">
        <v>5551900.4393947972</v>
      </c>
      <c r="BS29" s="19">
        <v>5584592.1388385314</v>
      </c>
      <c r="BT29" s="19">
        <v>7544686.6597675132</v>
      </c>
      <c r="BU29" s="19">
        <v>7830571.4718596321</v>
      </c>
      <c r="BV29" s="19">
        <v>8261600.6661464414</v>
      </c>
      <c r="BW29" s="19">
        <v>8732766.7304653674</v>
      </c>
      <c r="BX29" s="19">
        <v>8098787.880905726</v>
      </c>
      <c r="BY29" s="19">
        <v>7351110.2546772603</v>
      </c>
      <c r="BZ29" s="19">
        <v>6390671.8649202734</v>
      </c>
      <c r="CA29" s="19">
        <v>5169084.9678547159</v>
      </c>
      <c r="CB29" s="19">
        <v>7376989.0651105139</v>
      </c>
      <c r="CC29" s="19">
        <v>8396610.0493402518</v>
      </c>
      <c r="CD29" s="19">
        <v>7479113.1453206902</v>
      </c>
      <c r="CE29" s="19">
        <v>8702327.0932711996</v>
      </c>
      <c r="CF29" s="19">
        <v>11041331.676714098</v>
      </c>
      <c r="CG29" s="19">
        <v>11266325.717952913</v>
      </c>
      <c r="CH29" s="19">
        <v>10768935.575814558</v>
      </c>
      <c r="CI29" s="19">
        <v>13780580.109752851</v>
      </c>
      <c r="CJ29" s="19">
        <v>16283896.546238251</v>
      </c>
      <c r="CK29" s="19">
        <v>12669575.369999999</v>
      </c>
      <c r="CL29" s="19">
        <v>11624734.35999991</v>
      </c>
      <c r="CM29" s="19">
        <v>11375143.879999988</v>
      </c>
      <c r="CN29" s="19">
        <v>13815387.989999974</v>
      </c>
      <c r="CO29" s="19">
        <v>15375279.659999998</v>
      </c>
      <c r="CP29" s="19">
        <v>17711508.799999963</v>
      </c>
      <c r="CQ29" s="19">
        <v>20663539.849999893</v>
      </c>
      <c r="CR29" s="19">
        <v>20888365.839999985</v>
      </c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t="s">
        <v>1</v>
      </c>
    </row>
    <row r="30" spans="1:134" x14ac:dyDescent="0.2">
      <c r="A30" s="13" t="s">
        <v>12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t="s">
        <v>1</v>
      </c>
    </row>
    <row r="31" spans="1:134" x14ac:dyDescent="0.2">
      <c r="A31" s="13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t="s">
        <v>1</v>
      </c>
    </row>
    <row r="32" spans="1:134" x14ac:dyDescent="0.2">
      <c r="A32" s="3" t="s">
        <v>13</v>
      </c>
      <c r="B32" s="29">
        <f t="shared" ref="B32:BM32" si="24">B23-B27</f>
        <v>125801277</v>
      </c>
      <c r="C32" s="29">
        <f t="shared" si="24"/>
        <v>117592987.14285713</v>
      </c>
      <c r="D32" s="29">
        <f t="shared" si="24"/>
        <v>131474105.07654707</v>
      </c>
      <c r="E32" s="29">
        <f t="shared" si="24"/>
        <v>153050515.89540002</v>
      </c>
      <c r="F32" s="29">
        <f t="shared" si="24"/>
        <v>179400433.33977237</v>
      </c>
      <c r="G32" s="29">
        <f t="shared" si="24"/>
        <v>187093082</v>
      </c>
      <c r="H32" s="29">
        <f t="shared" si="24"/>
        <v>200855808</v>
      </c>
      <c r="I32" s="29">
        <f t="shared" si="24"/>
        <v>188073690</v>
      </c>
      <c r="J32" s="29">
        <f t="shared" si="24"/>
        <v>238058227</v>
      </c>
      <c r="K32" s="29">
        <f t="shared" si="24"/>
        <v>231416797</v>
      </c>
      <c r="L32" s="29">
        <f t="shared" si="24"/>
        <v>236573979.40440598</v>
      </c>
      <c r="M32" s="29">
        <f t="shared" si="24"/>
        <v>206956708</v>
      </c>
      <c r="N32" s="29">
        <f t="shared" si="24"/>
        <v>267373273.37521982</v>
      </c>
      <c r="O32" s="29">
        <f t="shared" si="24"/>
        <v>264719288.14665473</v>
      </c>
      <c r="P32" s="29">
        <f t="shared" si="24"/>
        <v>283434810.08928573</v>
      </c>
      <c r="Q32" s="29">
        <f t="shared" si="24"/>
        <v>289067754.60499275</v>
      </c>
      <c r="R32" s="29">
        <f t="shared" si="24"/>
        <v>237235024.92445996</v>
      </c>
      <c r="S32" s="29">
        <f t="shared" si="24"/>
        <v>210044781.54067129</v>
      </c>
      <c r="T32" s="29">
        <f t="shared" si="24"/>
        <v>177467661.28554741</v>
      </c>
      <c r="U32" s="29">
        <f t="shared" si="24"/>
        <v>216355580.70338714</v>
      </c>
      <c r="V32" s="29">
        <f t="shared" si="24"/>
        <v>258503020.056577</v>
      </c>
      <c r="W32" s="29">
        <f t="shared" si="24"/>
        <v>260931904.61582407</v>
      </c>
      <c r="X32" s="29">
        <f t="shared" si="24"/>
        <v>287594020.09927118</v>
      </c>
      <c r="Y32" s="29">
        <f t="shared" si="24"/>
        <v>179607287.64857143</v>
      </c>
      <c r="Z32" s="29">
        <f t="shared" si="24"/>
        <v>-57658.435714285712</v>
      </c>
      <c r="AA32" s="29">
        <f t="shared" si="24"/>
        <v>136921891.93964374</v>
      </c>
      <c r="AB32" s="29">
        <f t="shared" si="24"/>
        <v>142690668.28481713</v>
      </c>
      <c r="AC32" s="29">
        <f t="shared" si="24"/>
        <v>117074544.3179273</v>
      </c>
      <c r="AD32" s="29">
        <f t="shared" si="24"/>
        <v>195375436.44401971</v>
      </c>
      <c r="AE32" s="29">
        <f t="shared" si="24"/>
        <v>201002479.63522822</v>
      </c>
      <c r="AF32" s="29">
        <f t="shared" si="24"/>
        <v>181031352.84808806</v>
      </c>
      <c r="AG32" s="29">
        <f t="shared" si="24"/>
        <v>213080512.35920307</v>
      </c>
      <c r="AH32" s="29">
        <f t="shared" si="24"/>
        <v>345947129.31792229</v>
      </c>
      <c r="AI32" s="29">
        <f t="shared" si="24"/>
        <v>298513083.91610336</v>
      </c>
      <c r="AJ32" s="29">
        <f t="shared" si="24"/>
        <v>373558250.51658595</v>
      </c>
      <c r="AK32" s="29">
        <f t="shared" si="24"/>
        <v>313364666.0534246</v>
      </c>
      <c r="AL32" s="29">
        <f t="shared" si="24"/>
        <v>215377578.62256399</v>
      </c>
      <c r="AM32" s="29">
        <f t="shared" si="24"/>
        <v>97481672</v>
      </c>
      <c r="AN32" s="29">
        <f t="shared" si="24"/>
        <v>215716322.66998249</v>
      </c>
      <c r="AO32" s="29">
        <f t="shared" si="24"/>
        <v>302543098.44999999</v>
      </c>
      <c r="AP32" s="29">
        <f t="shared" si="24"/>
        <v>295460512.42614979</v>
      </c>
      <c r="AQ32" s="29">
        <f t="shared" si="24"/>
        <v>277396589</v>
      </c>
      <c r="AR32" s="29">
        <f t="shared" si="24"/>
        <v>237256946.99999997</v>
      </c>
      <c r="AS32" s="29">
        <f t="shared" si="24"/>
        <v>286211689</v>
      </c>
      <c r="AT32" s="29">
        <f t="shared" si="24"/>
        <v>383839785.15441</v>
      </c>
      <c r="AU32" s="29">
        <f t="shared" si="24"/>
        <v>349238094.00000006</v>
      </c>
      <c r="AV32" s="29">
        <f t="shared" si="24"/>
        <v>357715759</v>
      </c>
      <c r="AW32" s="29">
        <f t="shared" si="24"/>
        <v>311293972.47357112</v>
      </c>
      <c r="AX32" s="29">
        <f t="shared" si="24"/>
        <v>310175608.45000011</v>
      </c>
      <c r="AY32" s="29">
        <f t="shared" si="24"/>
        <v>347669126</v>
      </c>
      <c r="AZ32" s="29">
        <f t="shared" si="24"/>
        <v>249625414.35678959</v>
      </c>
      <c r="BA32" s="29">
        <f t="shared" si="24"/>
        <v>289833178.84189147</v>
      </c>
      <c r="BB32" s="29">
        <f t="shared" si="24"/>
        <v>309342792.45887685</v>
      </c>
      <c r="BC32" s="29">
        <f t="shared" si="24"/>
        <v>318226265.2718057</v>
      </c>
      <c r="BD32" s="29">
        <f t="shared" si="24"/>
        <v>373037668.20530808</v>
      </c>
      <c r="BE32" s="29">
        <f t="shared" si="24"/>
        <v>403948892.68750882</v>
      </c>
      <c r="BF32" s="29">
        <f t="shared" si="24"/>
        <v>513092697.51918745</v>
      </c>
      <c r="BG32" s="29">
        <f t="shared" si="24"/>
        <v>462952935.31043202</v>
      </c>
      <c r="BH32" s="29">
        <f t="shared" si="24"/>
        <v>372709132.75374109</v>
      </c>
      <c r="BI32" s="29">
        <f t="shared" si="24"/>
        <v>412090439.25868881</v>
      </c>
      <c r="BJ32" s="29">
        <f t="shared" si="24"/>
        <v>379780977.45793903</v>
      </c>
      <c r="BK32" s="29">
        <f t="shared" si="24"/>
        <v>387711611.39840972</v>
      </c>
      <c r="BL32" s="29">
        <f t="shared" si="24"/>
        <v>293301261.37020719</v>
      </c>
      <c r="BM32" s="29">
        <f t="shared" si="24"/>
        <v>275734282.03754401</v>
      </c>
      <c r="BN32" s="29">
        <f t="shared" ref="BN32:DQ32" si="25">BN23-BN27</f>
        <v>292396305.99650365</v>
      </c>
      <c r="BO32" s="29">
        <f t="shared" si="25"/>
        <v>283382372.33914256</v>
      </c>
      <c r="BP32" s="29">
        <f t="shared" si="25"/>
        <v>265616358.80509084</v>
      </c>
      <c r="BQ32" s="29">
        <f t="shared" si="25"/>
        <v>327030064.25738788</v>
      </c>
      <c r="BR32" s="29">
        <f t="shared" si="25"/>
        <v>295391613.27741581</v>
      </c>
      <c r="BS32" s="29">
        <f t="shared" si="25"/>
        <v>265599983.72715536</v>
      </c>
      <c r="BT32" s="29">
        <f t="shared" si="25"/>
        <v>277716494.5492841</v>
      </c>
      <c r="BU32" s="29">
        <f t="shared" si="25"/>
        <v>287475425.2452935</v>
      </c>
      <c r="BV32" s="29">
        <f t="shared" si="25"/>
        <v>298283133.78113633</v>
      </c>
      <c r="BW32" s="29">
        <f t="shared" si="25"/>
        <v>308797080.13009202</v>
      </c>
      <c r="BX32" s="29">
        <f t="shared" si="25"/>
        <v>294487171.96872741</v>
      </c>
      <c r="BY32" s="29">
        <f t="shared" si="25"/>
        <v>278592216.31786382</v>
      </c>
      <c r="BZ32" s="29">
        <f t="shared" si="25"/>
        <v>269607106.48196673</v>
      </c>
      <c r="CA32" s="29">
        <f t="shared" si="25"/>
        <v>236970353.8857328</v>
      </c>
      <c r="CB32" s="29">
        <f t="shared" si="25"/>
        <v>282800700.39149678</v>
      </c>
      <c r="CC32" s="29">
        <f t="shared" si="25"/>
        <v>288387207.48582393</v>
      </c>
      <c r="CD32" s="29">
        <f t="shared" si="25"/>
        <v>328170811.60230517</v>
      </c>
      <c r="CE32" s="29">
        <f t="shared" si="25"/>
        <v>376210142.87366998</v>
      </c>
      <c r="CF32" s="29">
        <f t="shared" si="25"/>
        <v>434497547.23175538</v>
      </c>
      <c r="CG32" s="29">
        <f t="shared" si="25"/>
        <v>542115896.68164158</v>
      </c>
      <c r="CH32" s="29">
        <f t="shared" si="25"/>
        <v>459077943.58657438</v>
      </c>
      <c r="CI32" s="29">
        <f t="shared" si="25"/>
        <v>452288959.70016521</v>
      </c>
      <c r="CJ32" s="29">
        <f t="shared" si="25"/>
        <v>443856586.94573599</v>
      </c>
      <c r="CK32" s="29">
        <f t="shared" si="25"/>
        <v>448066203.14000005</v>
      </c>
      <c r="CL32" s="29">
        <f t="shared" si="25"/>
        <v>376826619.63999927</v>
      </c>
      <c r="CM32" s="29">
        <f t="shared" si="25"/>
        <v>324480268.75999957</v>
      </c>
      <c r="CN32" s="29">
        <f t="shared" si="25"/>
        <v>421455377.47000051</v>
      </c>
      <c r="CO32" s="29">
        <f t="shared" si="25"/>
        <v>507023176.57999998</v>
      </c>
      <c r="CP32" s="29">
        <f t="shared" si="25"/>
        <v>615040444.42999995</v>
      </c>
      <c r="CQ32" s="29">
        <f t="shared" si="25"/>
        <v>660256615.85000086</v>
      </c>
      <c r="CR32" s="29">
        <f t="shared" si="25"/>
        <v>600687088.90000057</v>
      </c>
      <c r="CS32" s="29">
        <f t="shared" si="25"/>
        <v>0</v>
      </c>
      <c r="CT32" s="29">
        <f t="shared" si="25"/>
        <v>0</v>
      </c>
      <c r="CU32" s="29">
        <f t="shared" si="25"/>
        <v>0</v>
      </c>
      <c r="CV32" s="29">
        <f t="shared" si="25"/>
        <v>0</v>
      </c>
      <c r="CW32" s="29">
        <f t="shared" si="25"/>
        <v>0</v>
      </c>
      <c r="CX32" s="29">
        <f t="shared" si="25"/>
        <v>0</v>
      </c>
      <c r="CY32" s="29">
        <f t="shared" si="25"/>
        <v>0</v>
      </c>
      <c r="CZ32" s="29">
        <f t="shared" si="25"/>
        <v>0</v>
      </c>
      <c r="DA32" s="29">
        <f t="shared" si="25"/>
        <v>0</v>
      </c>
      <c r="DB32" s="29">
        <f t="shared" si="25"/>
        <v>0</v>
      </c>
      <c r="DC32" s="29">
        <f t="shared" si="25"/>
        <v>0</v>
      </c>
      <c r="DD32" s="29">
        <f t="shared" si="25"/>
        <v>0</v>
      </c>
      <c r="DE32" s="29">
        <f t="shared" si="25"/>
        <v>0</v>
      </c>
      <c r="DF32" s="29">
        <f t="shared" si="25"/>
        <v>0</v>
      </c>
      <c r="DG32" s="29">
        <f t="shared" si="25"/>
        <v>0</v>
      </c>
      <c r="DH32" s="29">
        <f t="shared" si="25"/>
        <v>0</v>
      </c>
      <c r="DI32" s="29">
        <f t="shared" si="25"/>
        <v>0</v>
      </c>
      <c r="DJ32" s="29">
        <f t="shared" si="25"/>
        <v>0</v>
      </c>
      <c r="DK32" s="29">
        <f t="shared" si="25"/>
        <v>0</v>
      </c>
      <c r="DL32" s="29">
        <f t="shared" si="25"/>
        <v>0</v>
      </c>
      <c r="DM32" s="29">
        <f t="shared" si="25"/>
        <v>0</v>
      </c>
      <c r="DN32" s="29">
        <f t="shared" si="25"/>
        <v>0</v>
      </c>
      <c r="DO32" s="29">
        <f t="shared" si="25"/>
        <v>0</v>
      </c>
      <c r="DP32" s="29">
        <f t="shared" si="25"/>
        <v>0</v>
      </c>
      <c r="DQ32" s="29">
        <f t="shared" si="25"/>
        <v>0</v>
      </c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t="s">
        <v>1</v>
      </c>
    </row>
    <row r="33" spans="1:134" x14ac:dyDescent="0.2">
      <c r="A33" s="13" t="s">
        <v>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>
        <f>AZ24-AZ28</f>
        <v>56354679.889340788</v>
      </c>
      <c r="BA33" s="19">
        <f t="shared" ref="BA33:DL33" si="26">BA24-BA28</f>
        <v>61174392.22395993</v>
      </c>
      <c r="BB33" s="19">
        <f t="shared" si="26"/>
        <v>61968479.398360752</v>
      </c>
      <c r="BC33" s="19">
        <f t="shared" si="26"/>
        <v>110460350.36664441</v>
      </c>
      <c r="BD33" s="19">
        <f t="shared" si="26"/>
        <v>98808232.073956445</v>
      </c>
      <c r="BE33" s="19">
        <f t="shared" si="26"/>
        <v>118082505.13307163</v>
      </c>
      <c r="BF33" s="19">
        <f t="shared" si="26"/>
        <v>146078629.31799015</v>
      </c>
      <c r="BG33" s="19">
        <f t="shared" si="26"/>
        <v>111055209.63587551</v>
      </c>
      <c r="BH33" s="19">
        <f t="shared" si="26"/>
        <v>58641296.510690689</v>
      </c>
      <c r="BI33" s="19">
        <f t="shared" si="26"/>
        <v>62461494.666845806</v>
      </c>
      <c r="BJ33" s="19">
        <f t="shared" si="26"/>
        <v>38263858.887468778</v>
      </c>
      <c r="BK33" s="19">
        <f t="shared" si="26"/>
        <v>31852064.455909606</v>
      </c>
      <c r="BL33" s="19">
        <f t="shared" si="26"/>
        <v>32861632.388292208</v>
      </c>
      <c r="BM33" s="19">
        <f t="shared" si="26"/>
        <v>15007930.072862668</v>
      </c>
      <c r="BN33" s="19">
        <f t="shared" si="26"/>
        <v>12506854.475133361</v>
      </c>
      <c r="BO33" s="19">
        <f t="shared" si="26"/>
        <v>18016228.081381124</v>
      </c>
      <c r="BP33" s="19">
        <f t="shared" si="26"/>
        <v>26210902.50961107</v>
      </c>
      <c r="BQ33" s="19">
        <f t="shared" si="26"/>
        <v>51337489.827315532</v>
      </c>
      <c r="BR33" s="19">
        <f t="shared" si="26"/>
        <v>42224573.373376012</v>
      </c>
      <c r="BS33" s="19">
        <f t="shared" si="26"/>
        <v>25702084.027469877</v>
      </c>
      <c r="BT33" s="19">
        <f t="shared" si="26"/>
        <v>16907009.255458411</v>
      </c>
      <c r="BU33" s="19">
        <f t="shared" si="26"/>
        <v>30182213.010000095</v>
      </c>
      <c r="BV33" s="19">
        <f t="shared" si="26"/>
        <v>26939513.107160859</v>
      </c>
      <c r="BW33" s="19">
        <f t="shared" si="26"/>
        <v>21985032.490000028</v>
      </c>
      <c r="BX33" s="19">
        <f t="shared" si="26"/>
        <v>10012044.288044501</v>
      </c>
      <c r="BY33" s="19">
        <f t="shared" si="26"/>
        <v>20996323.729999959</v>
      </c>
      <c r="BZ33" s="19">
        <f t="shared" si="26"/>
        <v>29049862.460889407</v>
      </c>
      <c r="CA33" s="19">
        <f t="shared" si="26"/>
        <v>35597161.416921481</v>
      </c>
      <c r="CB33" s="19">
        <f t="shared" si="26"/>
        <v>24728968.423729159</v>
      </c>
      <c r="CC33" s="19">
        <f t="shared" si="26"/>
        <v>15298196.10693204</v>
      </c>
      <c r="CD33" s="19">
        <f t="shared" si="26"/>
        <v>35699023.78970772</v>
      </c>
      <c r="CE33" s="19">
        <f t="shared" si="26"/>
        <v>54695365.121644728</v>
      </c>
      <c r="CF33" s="19">
        <f t="shared" si="26"/>
        <v>34715518.644081555</v>
      </c>
      <c r="CG33" s="19">
        <f t="shared" si="26"/>
        <v>70183297.514498338</v>
      </c>
      <c r="CH33" s="19">
        <f t="shared" si="26"/>
        <v>57606412.641970262</v>
      </c>
      <c r="CI33" s="19">
        <f t="shared" si="26"/>
        <v>54771013.429114297</v>
      </c>
      <c r="CJ33" s="19">
        <f t="shared" si="26"/>
        <v>25570132.10982709</v>
      </c>
      <c r="CK33" s="19">
        <f t="shared" si="26"/>
        <v>28897290.690000005</v>
      </c>
      <c r="CL33" s="19">
        <f t="shared" si="26"/>
        <v>19061733.139999993</v>
      </c>
      <c r="CM33" s="19">
        <f t="shared" si="26"/>
        <v>16456142.869999995</v>
      </c>
      <c r="CN33" s="19">
        <f t="shared" si="26"/>
        <v>22314867.679999996</v>
      </c>
      <c r="CO33" s="19">
        <f t="shared" si="26"/>
        <v>41074206.989999972</v>
      </c>
      <c r="CP33" s="19">
        <f t="shared" si="26"/>
        <v>71953565.539999947</v>
      </c>
      <c r="CQ33" s="19">
        <f t="shared" si="26"/>
        <v>54209409.170000024</v>
      </c>
      <c r="CR33" s="19">
        <f t="shared" si="26"/>
        <v>37852484.590000041</v>
      </c>
      <c r="CS33" s="19">
        <f t="shared" si="26"/>
        <v>0</v>
      </c>
      <c r="CT33" s="19">
        <f t="shared" si="26"/>
        <v>0</v>
      </c>
      <c r="CU33" s="19">
        <f t="shared" si="26"/>
        <v>0</v>
      </c>
      <c r="CV33" s="19">
        <f t="shared" si="26"/>
        <v>0</v>
      </c>
      <c r="CW33" s="19">
        <f t="shared" si="26"/>
        <v>0</v>
      </c>
      <c r="CX33" s="19">
        <f t="shared" si="26"/>
        <v>0</v>
      </c>
      <c r="CY33" s="19">
        <f t="shared" si="26"/>
        <v>0</v>
      </c>
      <c r="CZ33" s="19">
        <f t="shared" si="26"/>
        <v>0</v>
      </c>
      <c r="DA33" s="19">
        <f t="shared" si="26"/>
        <v>0</v>
      </c>
      <c r="DB33" s="19">
        <f t="shared" si="26"/>
        <v>0</v>
      </c>
      <c r="DC33" s="19">
        <f t="shared" si="26"/>
        <v>0</v>
      </c>
      <c r="DD33" s="19">
        <f t="shared" si="26"/>
        <v>0</v>
      </c>
      <c r="DE33" s="19">
        <f t="shared" si="26"/>
        <v>0</v>
      </c>
      <c r="DF33" s="19">
        <f t="shared" si="26"/>
        <v>0</v>
      </c>
      <c r="DG33" s="19">
        <f t="shared" si="26"/>
        <v>0</v>
      </c>
      <c r="DH33" s="19">
        <f t="shared" si="26"/>
        <v>0</v>
      </c>
      <c r="DI33" s="19">
        <f t="shared" si="26"/>
        <v>0</v>
      </c>
      <c r="DJ33" s="19">
        <f t="shared" si="26"/>
        <v>0</v>
      </c>
      <c r="DK33" s="19">
        <f t="shared" si="26"/>
        <v>0</v>
      </c>
      <c r="DL33" s="19">
        <f t="shared" si="26"/>
        <v>0</v>
      </c>
      <c r="DM33" s="19">
        <f t="shared" ref="DM33:DQ33" si="27">DM24-DM28</f>
        <v>0</v>
      </c>
      <c r="DN33" s="19">
        <f t="shared" si="27"/>
        <v>0</v>
      </c>
      <c r="DO33" s="19">
        <f t="shared" si="27"/>
        <v>0</v>
      </c>
      <c r="DP33" s="19">
        <f t="shared" si="27"/>
        <v>0</v>
      </c>
      <c r="DQ33" s="19">
        <f t="shared" si="27"/>
        <v>0</v>
      </c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t="s">
        <v>1</v>
      </c>
    </row>
    <row r="34" spans="1:134" x14ac:dyDescent="0.2">
      <c r="A34" s="13" t="s">
        <v>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>
        <f>AZ25-AZ29</f>
        <v>193270734.46744874</v>
      </c>
      <c r="BA34" s="19">
        <f t="shared" ref="BA34:DL34" si="28">BA25-BA29</f>
        <v>228658786.61793149</v>
      </c>
      <c r="BB34" s="19">
        <f t="shared" si="28"/>
        <v>247374313.06051609</v>
      </c>
      <c r="BC34" s="19">
        <f t="shared" si="28"/>
        <v>207765914.90516132</v>
      </c>
      <c r="BD34" s="19">
        <f t="shared" si="28"/>
        <v>274229436.13135159</v>
      </c>
      <c r="BE34" s="19">
        <f t="shared" si="28"/>
        <v>285866387.55443716</v>
      </c>
      <c r="BF34" s="19">
        <f t="shared" si="28"/>
        <v>367014068.20119727</v>
      </c>
      <c r="BG34" s="19">
        <f t="shared" si="28"/>
        <v>351897725.67455655</v>
      </c>
      <c r="BH34" s="19">
        <f t="shared" si="28"/>
        <v>314067836.2430504</v>
      </c>
      <c r="BI34" s="19">
        <f t="shared" si="28"/>
        <v>349628944.59184307</v>
      </c>
      <c r="BJ34" s="19">
        <f t="shared" si="28"/>
        <v>341517118.57047027</v>
      </c>
      <c r="BK34" s="19">
        <f t="shared" si="28"/>
        <v>355859546.94250011</v>
      </c>
      <c r="BL34" s="19">
        <f t="shared" si="28"/>
        <v>260439628.98191494</v>
      </c>
      <c r="BM34" s="19">
        <f t="shared" si="28"/>
        <v>260726351.96468139</v>
      </c>
      <c r="BN34" s="19">
        <f t="shared" si="28"/>
        <v>279889451.52137029</v>
      </c>
      <c r="BO34" s="19">
        <f t="shared" si="28"/>
        <v>265366144.25776145</v>
      </c>
      <c r="BP34" s="19">
        <f t="shared" si="28"/>
        <v>239405456.29547977</v>
      </c>
      <c r="BQ34" s="19">
        <f t="shared" si="28"/>
        <v>275692574.43007237</v>
      </c>
      <c r="BR34" s="19">
        <f t="shared" si="28"/>
        <v>253167039.90403983</v>
      </c>
      <c r="BS34" s="19">
        <f t="shared" si="28"/>
        <v>239897899.69968551</v>
      </c>
      <c r="BT34" s="19">
        <f t="shared" si="28"/>
        <v>260809485.29382575</v>
      </c>
      <c r="BU34" s="19">
        <f t="shared" si="28"/>
        <v>257293212.23529339</v>
      </c>
      <c r="BV34" s="19">
        <f t="shared" si="28"/>
        <v>271343620.67397547</v>
      </c>
      <c r="BW34" s="19">
        <f t="shared" si="28"/>
        <v>286812047.64009202</v>
      </c>
      <c r="BX34" s="19">
        <f t="shared" si="28"/>
        <v>284475127.6806829</v>
      </c>
      <c r="BY34" s="19">
        <f t="shared" si="28"/>
        <v>257595892.58786389</v>
      </c>
      <c r="BZ34" s="19">
        <f t="shared" si="28"/>
        <v>240557244.02107728</v>
      </c>
      <c r="CA34" s="19">
        <f t="shared" si="28"/>
        <v>201373192.46881133</v>
      </c>
      <c r="CB34" s="19">
        <f t="shared" si="28"/>
        <v>258071731.9677676</v>
      </c>
      <c r="CC34" s="19">
        <f t="shared" si="28"/>
        <v>273089011.37889194</v>
      </c>
      <c r="CD34" s="19">
        <f t="shared" si="28"/>
        <v>292471787.81259745</v>
      </c>
      <c r="CE34" s="19">
        <f t="shared" si="28"/>
        <v>321514777.75202525</v>
      </c>
      <c r="CF34" s="19">
        <f t="shared" si="28"/>
        <v>399782028.58767378</v>
      </c>
      <c r="CG34" s="19">
        <f t="shared" si="28"/>
        <v>471932599.16714323</v>
      </c>
      <c r="CH34" s="19">
        <f t="shared" si="28"/>
        <v>401471530.9446041</v>
      </c>
      <c r="CI34" s="19">
        <f t="shared" si="28"/>
        <v>397517946.27105093</v>
      </c>
      <c r="CJ34" s="19">
        <f t="shared" si="28"/>
        <v>418286454.83590895</v>
      </c>
      <c r="CK34" s="19">
        <f t="shared" si="28"/>
        <v>419168912.45000005</v>
      </c>
      <c r="CL34" s="19">
        <f t="shared" si="28"/>
        <v>357764886.49999928</v>
      </c>
      <c r="CM34" s="19">
        <f t="shared" si="28"/>
        <v>308024125.88999963</v>
      </c>
      <c r="CN34" s="19">
        <f t="shared" si="28"/>
        <v>399140509.7900005</v>
      </c>
      <c r="CO34" s="19">
        <f t="shared" si="28"/>
        <v>465948969.58999997</v>
      </c>
      <c r="CP34" s="19">
        <f t="shared" si="28"/>
        <v>543086878.88999987</v>
      </c>
      <c r="CQ34" s="19">
        <f t="shared" si="28"/>
        <v>606047206.68000078</v>
      </c>
      <c r="CR34" s="19">
        <f t="shared" si="28"/>
        <v>562834604.31000042</v>
      </c>
      <c r="CS34" s="19">
        <f t="shared" si="28"/>
        <v>0</v>
      </c>
      <c r="CT34" s="19">
        <f t="shared" si="28"/>
        <v>0</v>
      </c>
      <c r="CU34" s="19">
        <f t="shared" si="28"/>
        <v>0</v>
      </c>
      <c r="CV34" s="19">
        <f t="shared" si="28"/>
        <v>0</v>
      </c>
      <c r="CW34" s="19">
        <f t="shared" si="28"/>
        <v>0</v>
      </c>
      <c r="CX34" s="19">
        <f t="shared" si="28"/>
        <v>0</v>
      </c>
      <c r="CY34" s="19">
        <f t="shared" si="28"/>
        <v>0</v>
      </c>
      <c r="CZ34" s="19">
        <f t="shared" si="28"/>
        <v>0</v>
      </c>
      <c r="DA34" s="19">
        <f t="shared" si="28"/>
        <v>0</v>
      </c>
      <c r="DB34" s="19">
        <f t="shared" si="28"/>
        <v>0</v>
      </c>
      <c r="DC34" s="19">
        <f t="shared" si="28"/>
        <v>0</v>
      </c>
      <c r="DD34" s="19">
        <f t="shared" si="28"/>
        <v>0</v>
      </c>
      <c r="DE34" s="19">
        <f t="shared" si="28"/>
        <v>0</v>
      </c>
      <c r="DF34" s="19">
        <f t="shared" si="28"/>
        <v>0</v>
      </c>
      <c r="DG34" s="19">
        <f t="shared" si="28"/>
        <v>0</v>
      </c>
      <c r="DH34" s="19">
        <f t="shared" si="28"/>
        <v>0</v>
      </c>
      <c r="DI34" s="19">
        <f t="shared" si="28"/>
        <v>0</v>
      </c>
      <c r="DJ34" s="19">
        <f t="shared" si="28"/>
        <v>0</v>
      </c>
      <c r="DK34" s="19">
        <f t="shared" si="28"/>
        <v>0</v>
      </c>
      <c r="DL34" s="19">
        <f t="shared" si="28"/>
        <v>0</v>
      </c>
      <c r="DM34" s="19">
        <f t="shared" ref="DM34:DQ34" si="29">DM25-DM29</f>
        <v>0</v>
      </c>
      <c r="DN34" s="19">
        <f t="shared" si="29"/>
        <v>0</v>
      </c>
      <c r="DO34" s="19">
        <f t="shared" si="29"/>
        <v>0</v>
      </c>
      <c r="DP34" s="19">
        <f t="shared" si="29"/>
        <v>0</v>
      </c>
      <c r="DQ34" s="19">
        <f t="shared" si="29"/>
        <v>0</v>
      </c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t="s">
        <v>1</v>
      </c>
    </row>
    <row r="35" spans="1:134" x14ac:dyDescent="0.2">
      <c r="A35" s="13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t="s">
        <v>1</v>
      </c>
    </row>
    <row r="36" spans="1:134" x14ac:dyDescent="0.2">
      <c r="A36" s="13" t="s">
        <v>5</v>
      </c>
      <c r="B36" s="19">
        <f>B6-B14</f>
        <v>32077</v>
      </c>
      <c r="C36" s="19">
        <f t="shared" ref="C36:BN36" si="30">C6-C14</f>
        <v>28685</v>
      </c>
      <c r="D36" s="19">
        <f t="shared" si="30"/>
        <v>34758</v>
      </c>
      <c r="E36" s="19">
        <f t="shared" si="30"/>
        <v>39298</v>
      </c>
      <c r="F36" s="19">
        <f t="shared" si="30"/>
        <v>47222</v>
      </c>
      <c r="G36" s="19">
        <f t="shared" si="30"/>
        <v>49152</v>
      </c>
      <c r="H36" s="19">
        <f t="shared" si="30"/>
        <v>52716</v>
      </c>
      <c r="I36" s="19">
        <f t="shared" si="30"/>
        <v>52798</v>
      </c>
      <c r="J36" s="19">
        <f t="shared" si="30"/>
        <v>67323</v>
      </c>
      <c r="K36" s="19">
        <f t="shared" si="30"/>
        <v>62990</v>
      </c>
      <c r="L36" s="19">
        <f t="shared" si="30"/>
        <v>67278</v>
      </c>
      <c r="M36" s="19">
        <f t="shared" si="30"/>
        <v>53088</v>
      </c>
      <c r="N36" s="19">
        <f t="shared" si="30"/>
        <v>72387</v>
      </c>
      <c r="O36" s="19">
        <f t="shared" si="30"/>
        <v>75629</v>
      </c>
      <c r="P36" s="19">
        <f t="shared" si="30"/>
        <v>76373</v>
      </c>
      <c r="Q36" s="19">
        <f t="shared" si="30"/>
        <v>71613</v>
      </c>
      <c r="R36" s="19">
        <f t="shared" si="30"/>
        <v>63107</v>
      </c>
      <c r="S36" s="19">
        <f t="shared" si="30"/>
        <v>56070</v>
      </c>
      <c r="T36" s="19">
        <f t="shared" si="30"/>
        <v>45887</v>
      </c>
      <c r="U36" s="19">
        <f t="shared" si="30"/>
        <v>53361</v>
      </c>
      <c r="V36" s="19">
        <f t="shared" si="30"/>
        <v>66248</v>
      </c>
      <c r="W36" s="19">
        <f t="shared" si="30"/>
        <v>66221</v>
      </c>
      <c r="X36" s="19">
        <f t="shared" si="30"/>
        <v>82599</v>
      </c>
      <c r="Y36" s="19">
        <f t="shared" si="30"/>
        <v>53879</v>
      </c>
      <c r="Z36" s="19">
        <f t="shared" si="30"/>
        <v>-9</v>
      </c>
      <c r="AA36" s="19">
        <f t="shared" si="30"/>
        <v>39615</v>
      </c>
      <c r="AB36" s="19">
        <f t="shared" si="30"/>
        <v>42144</v>
      </c>
      <c r="AC36" s="19">
        <f t="shared" si="30"/>
        <v>23101</v>
      </c>
      <c r="AD36" s="19">
        <f t="shared" si="30"/>
        <v>42428</v>
      </c>
      <c r="AE36" s="19">
        <f t="shared" si="30"/>
        <v>37510</v>
      </c>
      <c r="AF36" s="19">
        <f t="shared" si="30"/>
        <v>38033</v>
      </c>
      <c r="AG36" s="19">
        <f t="shared" si="30"/>
        <v>52252</v>
      </c>
      <c r="AH36" s="19">
        <f t="shared" si="30"/>
        <v>65623</v>
      </c>
      <c r="AI36" s="19">
        <f t="shared" si="30"/>
        <v>50097</v>
      </c>
      <c r="AJ36" s="19">
        <f t="shared" si="30"/>
        <v>68912</v>
      </c>
      <c r="AK36" s="19">
        <f t="shared" si="30"/>
        <v>58359</v>
      </c>
      <c r="AL36" s="19">
        <f t="shared" si="30"/>
        <v>39373</v>
      </c>
      <c r="AM36" s="19">
        <f t="shared" si="30"/>
        <v>20126</v>
      </c>
      <c r="AN36" s="19">
        <f t="shared" si="30"/>
        <v>44621</v>
      </c>
      <c r="AO36" s="19">
        <f t="shared" si="30"/>
        <v>64902</v>
      </c>
      <c r="AP36" s="19">
        <f t="shared" si="30"/>
        <v>67513</v>
      </c>
      <c r="AQ36" s="19">
        <f t="shared" si="30"/>
        <v>62399</v>
      </c>
      <c r="AR36" s="19">
        <f t="shared" si="30"/>
        <v>54021</v>
      </c>
      <c r="AS36" s="19">
        <f t="shared" si="30"/>
        <v>70785</v>
      </c>
      <c r="AT36" s="19">
        <f t="shared" si="30"/>
        <v>86904</v>
      </c>
      <c r="AU36" s="19">
        <f t="shared" si="30"/>
        <v>78350</v>
      </c>
      <c r="AV36" s="19">
        <f t="shared" si="30"/>
        <v>71272</v>
      </c>
      <c r="AW36" s="19">
        <f t="shared" si="30"/>
        <v>64414</v>
      </c>
      <c r="AX36" s="19">
        <f t="shared" si="30"/>
        <v>58747</v>
      </c>
      <c r="AY36" s="19">
        <f t="shared" si="30"/>
        <v>64291</v>
      </c>
      <c r="AZ36" s="19">
        <f t="shared" si="30"/>
        <v>42923</v>
      </c>
      <c r="BA36" s="19">
        <f t="shared" si="30"/>
        <v>52724</v>
      </c>
      <c r="BB36" s="19">
        <f t="shared" si="30"/>
        <v>55751</v>
      </c>
      <c r="BC36" s="19">
        <f t="shared" si="30"/>
        <v>60752</v>
      </c>
      <c r="BD36" s="19">
        <f t="shared" si="30"/>
        <v>56404</v>
      </c>
      <c r="BE36" s="19">
        <f t="shared" si="30"/>
        <v>61515</v>
      </c>
      <c r="BF36" s="19">
        <f t="shared" si="30"/>
        <v>77757</v>
      </c>
      <c r="BG36" s="19">
        <f t="shared" si="30"/>
        <v>68844</v>
      </c>
      <c r="BH36" s="19">
        <f t="shared" si="30"/>
        <v>54352</v>
      </c>
      <c r="BI36" s="19">
        <f t="shared" si="30"/>
        <v>63463</v>
      </c>
      <c r="BJ36" s="19">
        <f t="shared" si="30"/>
        <v>52106</v>
      </c>
      <c r="BK36" s="19">
        <f t="shared" si="30"/>
        <v>50869</v>
      </c>
      <c r="BL36" s="19">
        <f t="shared" si="30"/>
        <v>37278</v>
      </c>
      <c r="BM36" s="19">
        <f t="shared" si="30"/>
        <v>37848</v>
      </c>
      <c r="BN36" s="19">
        <f t="shared" si="30"/>
        <v>41284</v>
      </c>
      <c r="BO36" s="19">
        <f t="shared" ref="BO36:DQ36" si="31">BO6-BO14</f>
        <v>41474</v>
      </c>
      <c r="BP36" s="19">
        <f t="shared" si="31"/>
        <v>34830</v>
      </c>
      <c r="BQ36" s="19">
        <f t="shared" si="31"/>
        <v>43285</v>
      </c>
      <c r="BR36" s="19">
        <f t="shared" si="31"/>
        <v>31222</v>
      </c>
      <c r="BS36" s="19">
        <f t="shared" si="31"/>
        <v>29041</v>
      </c>
      <c r="BT36" s="19">
        <f t="shared" si="31"/>
        <v>30017</v>
      </c>
      <c r="BU36" s="19">
        <f t="shared" si="31"/>
        <v>29942</v>
      </c>
      <c r="BV36" s="19">
        <f t="shared" si="31"/>
        <v>31452</v>
      </c>
      <c r="BW36" s="19">
        <f t="shared" si="31"/>
        <v>35266</v>
      </c>
      <c r="BX36" s="19">
        <f t="shared" si="31"/>
        <v>33841</v>
      </c>
      <c r="BY36" s="19">
        <f t="shared" si="31"/>
        <v>35750</v>
      </c>
      <c r="BZ36" s="19">
        <f t="shared" si="31"/>
        <v>31293</v>
      </c>
      <c r="CA36" s="19">
        <f t="shared" si="31"/>
        <v>27648</v>
      </c>
      <c r="CB36" s="19">
        <f t="shared" si="31"/>
        <v>29614</v>
      </c>
      <c r="CC36" s="19">
        <f t="shared" si="31"/>
        <v>32314</v>
      </c>
      <c r="CD36" s="19">
        <f t="shared" si="31"/>
        <v>41872</v>
      </c>
      <c r="CE36" s="19">
        <f t="shared" si="31"/>
        <v>47777</v>
      </c>
      <c r="CF36" s="19">
        <f t="shared" si="31"/>
        <v>44343</v>
      </c>
      <c r="CG36" s="19">
        <f t="shared" si="31"/>
        <v>56164</v>
      </c>
      <c r="CH36" s="19">
        <f t="shared" si="31"/>
        <v>48992</v>
      </c>
      <c r="CI36" s="19">
        <f t="shared" si="31"/>
        <v>51123</v>
      </c>
      <c r="CJ36" s="19">
        <f t="shared" si="31"/>
        <v>46922.368421052633</v>
      </c>
      <c r="CK36" s="19">
        <f t="shared" si="31"/>
        <v>47845</v>
      </c>
      <c r="CL36" s="19">
        <f t="shared" si="31"/>
        <v>44174</v>
      </c>
      <c r="CM36" s="19">
        <f t="shared" si="31"/>
        <v>38572</v>
      </c>
      <c r="CN36" s="19">
        <f t="shared" si="31"/>
        <v>45287</v>
      </c>
      <c r="CO36" s="19">
        <f t="shared" si="31"/>
        <v>56546</v>
      </c>
      <c r="CP36" s="19">
        <f t="shared" si="31"/>
        <v>62538</v>
      </c>
      <c r="CQ36" s="19">
        <f t="shared" si="31"/>
        <v>59086</v>
      </c>
      <c r="CR36" s="19">
        <f t="shared" si="31"/>
        <v>57416.564144000004</v>
      </c>
      <c r="CS36" s="19">
        <f t="shared" si="31"/>
        <v>0</v>
      </c>
      <c r="CT36" s="19">
        <f t="shared" si="31"/>
        <v>0</v>
      </c>
      <c r="CU36" s="19">
        <f t="shared" si="31"/>
        <v>0</v>
      </c>
      <c r="CV36" s="19">
        <f t="shared" si="31"/>
        <v>0</v>
      </c>
      <c r="CW36" s="19">
        <f t="shared" si="31"/>
        <v>0</v>
      </c>
      <c r="CX36" s="19">
        <f t="shared" si="31"/>
        <v>0</v>
      </c>
      <c r="CY36" s="19">
        <f t="shared" si="31"/>
        <v>0</v>
      </c>
      <c r="CZ36" s="19">
        <f t="shared" si="31"/>
        <v>0</v>
      </c>
      <c r="DA36" s="19">
        <f t="shared" si="31"/>
        <v>0</v>
      </c>
      <c r="DB36" s="19">
        <f t="shared" si="31"/>
        <v>0</v>
      </c>
      <c r="DC36" s="19">
        <f t="shared" si="31"/>
        <v>0</v>
      </c>
      <c r="DD36" s="19">
        <f t="shared" si="31"/>
        <v>0</v>
      </c>
      <c r="DE36" s="19">
        <f t="shared" si="31"/>
        <v>0</v>
      </c>
      <c r="DF36" s="19">
        <f t="shared" si="31"/>
        <v>0</v>
      </c>
      <c r="DG36" s="19">
        <f t="shared" si="31"/>
        <v>0</v>
      </c>
      <c r="DH36" s="19">
        <f t="shared" si="31"/>
        <v>0</v>
      </c>
      <c r="DI36" s="19">
        <f t="shared" si="31"/>
        <v>0</v>
      </c>
      <c r="DJ36" s="19">
        <f t="shared" si="31"/>
        <v>0</v>
      </c>
      <c r="DK36" s="19">
        <f t="shared" si="31"/>
        <v>0</v>
      </c>
      <c r="DL36" s="19">
        <f t="shared" si="31"/>
        <v>0</v>
      </c>
      <c r="DM36" s="19">
        <f t="shared" si="31"/>
        <v>0</v>
      </c>
      <c r="DN36" s="19">
        <f t="shared" si="31"/>
        <v>0</v>
      </c>
      <c r="DO36" s="19">
        <f t="shared" si="31"/>
        <v>0</v>
      </c>
      <c r="DP36" s="19">
        <f t="shared" si="31"/>
        <v>0</v>
      </c>
      <c r="DQ36" s="19">
        <f t="shared" si="31"/>
        <v>0</v>
      </c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t="s">
        <v>1</v>
      </c>
    </row>
    <row r="37" spans="1:134" x14ac:dyDescent="0.2">
      <c r="A37" s="13" t="s">
        <v>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>
        <f>AZ7-AZ15</f>
        <v>9341</v>
      </c>
      <c r="BA37" s="19">
        <f t="shared" ref="BA37:DL37" si="32">BA7-BA15</f>
        <v>10836</v>
      </c>
      <c r="BB37" s="19">
        <f t="shared" si="32"/>
        <v>10741</v>
      </c>
      <c r="BC37" s="19">
        <f t="shared" si="32"/>
        <v>21716</v>
      </c>
      <c r="BD37" s="19">
        <f t="shared" si="32"/>
        <v>13663</v>
      </c>
      <c r="BE37" s="19">
        <f t="shared" si="32"/>
        <v>17135</v>
      </c>
      <c r="BF37" s="19">
        <f t="shared" si="32"/>
        <v>20872</v>
      </c>
      <c r="BG37" s="19">
        <f t="shared" si="32"/>
        <v>15455</v>
      </c>
      <c r="BH37" s="19">
        <f t="shared" si="32"/>
        <v>10422</v>
      </c>
      <c r="BI37" s="19">
        <f t="shared" si="32"/>
        <v>13085</v>
      </c>
      <c r="BJ37" s="19">
        <f t="shared" si="32"/>
        <v>4993</v>
      </c>
      <c r="BK37" s="19">
        <f t="shared" si="32"/>
        <v>4367</v>
      </c>
      <c r="BL37" s="19">
        <f t="shared" si="32"/>
        <v>5751</v>
      </c>
      <c r="BM37" s="19">
        <f t="shared" si="32"/>
        <v>3397</v>
      </c>
      <c r="BN37" s="19">
        <f t="shared" si="32"/>
        <v>2070</v>
      </c>
      <c r="BO37" s="19">
        <f t="shared" si="32"/>
        <v>3228</v>
      </c>
      <c r="BP37" s="19">
        <f t="shared" si="32"/>
        <v>5002</v>
      </c>
      <c r="BQ37" s="19">
        <f t="shared" si="32"/>
        <v>13021</v>
      </c>
      <c r="BR37" s="19">
        <f t="shared" si="32"/>
        <v>4133</v>
      </c>
      <c r="BS37" s="19">
        <f t="shared" si="32"/>
        <v>3173</v>
      </c>
      <c r="BT37" s="19">
        <f t="shared" si="32"/>
        <v>2802</v>
      </c>
      <c r="BU37" s="19">
        <f t="shared" si="32"/>
        <v>4873</v>
      </c>
      <c r="BV37" s="19">
        <f t="shared" si="32"/>
        <v>4197</v>
      </c>
      <c r="BW37" s="19">
        <f t="shared" si="32"/>
        <v>3293</v>
      </c>
      <c r="BX37" s="19">
        <f t="shared" si="32"/>
        <v>1962</v>
      </c>
      <c r="BY37" s="19">
        <f t="shared" si="32"/>
        <v>4442</v>
      </c>
      <c r="BZ37" s="19">
        <f t="shared" si="32"/>
        <v>4254</v>
      </c>
      <c r="CA37" s="19">
        <f t="shared" si="32"/>
        <v>4371</v>
      </c>
      <c r="CB37" s="19">
        <f t="shared" si="32"/>
        <v>2915</v>
      </c>
      <c r="CC37" s="19">
        <f t="shared" si="32"/>
        <v>2518</v>
      </c>
      <c r="CD37" s="19">
        <f t="shared" si="32"/>
        <v>7849</v>
      </c>
      <c r="CE37" s="19">
        <f t="shared" si="32"/>
        <v>12310</v>
      </c>
      <c r="CF37" s="19">
        <f t="shared" si="32"/>
        <v>5936</v>
      </c>
      <c r="CG37" s="19">
        <f t="shared" si="32"/>
        <v>10228</v>
      </c>
      <c r="CH37" s="19">
        <f t="shared" si="32"/>
        <v>8948</v>
      </c>
      <c r="CI37" s="19">
        <f t="shared" si="32"/>
        <v>9093</v>
      </c>
      <c r="CJ37" s="19">
        <f t="shared" si="32"/>
        <v>3131</v>
      </c>
      <c r="CK37" s="19">
        <f t="shared" si="32"/>
        <v>3993</v>
      </c>
      <c r="CL37" s="19">
        <f t="shared" si="32"/>
        <v>2647</v>
      </c>
      <c r="CM37" s="19">
        <f t="shared" si="32"/>
        <v>3288</v>
      </c>
      <c r="CN37" s="19">
        <f t="shared" si="32"/>
        <v>2651</v>
      </c>
      <c r="CO37" s="19">
        <f t="shared" si="32"/>
        <v>6315</v>
      </c>
      <c r="CP37" s="19">
        <f t="shared" si="32"/>
        <v>7265</v>
      </c>
      <c r="CQ37" s="19">
        <f t="shared" si="32"/>
        <v>4475</v>
      </c>
      <c r="CR37" s="19">
        <f t="shared" si="32"/>
        <v>3627.5641440000018</v>
      </c>
      <c r="CS37" s="19">
        <f t="shared" si="32"/>
        <v>0</v>
      </c>
      <c r="CT37" s="19">
        <f t="shared" si="32"/>
        <v>0</v>
      </c>
      <c r="CU37" s="19">
        <f t="shared" si="32"/>
        <v>0</v>
      </c>
      <c r="CV37" s="19">
        <f t="shared" si="32"/>
        <v>0</v>
      </c>
      <c r="CW37" s="19">
        <f t="shared" si="32"/>
        <v>0</v>
      </c>
      <c r="CX37" s="19">
        <f t="shared" si="32"/>
        <v>0</v>
      </c>
      <c r="CY37" s="19">
        <f t="shared" si="32"/>
        <v>0</v>
      </c>
      <c r="CZ37" s="19">
        <f t="shared" si="32"/>
        <v>0</v>
      </c>
      <c r="DA37" s="19">
        <f t="shared" si="32"/>
        <v>0</v>
      </c>
      <c r="DB37" s="19">
        <f t="shared" si="32"/>
        <v>0</v>
      </c>
      <c r="DC37" s="19">
        <f t="shared" si="32"/>
        <v>0</v>
      </c>
      <c r="DD37" s="19">
        <f t="shared" si="32"/>
        <v>0</v>
      </c>
      <c r="DE37" s="19">
        <f t="shared" si="32"/>
        <v>0</v>
      </c>
      <c r="DF37" s="19">
        <f t="shared" si="32"/>
        <v>0</v>
      </c>
      <c r="DG37" s="19">
        <f t="shared" si="32"/>
        <v>0</v>
      </c>
      <c r="DH37" s="19">
        <f t="shared" si="32"/>
        <v>0</v>
      </c>
      <c r="DI37" s="19">
        <f t="shared" si="32"/>
        <v>0</v>
      </c>
      <c r="DJ37" s="19">
        <f t="shared" si="32"/>
        <v>0</v>
      </c>
      <c r="DK37" s="19">
        <f t="shared" si="32"/>
        <v>0</v>
      </c>
      <c r="DL37" s="19">
        <f t="shared" si="32"/>
        <v>0</v>
      </c>
      <c r="DM37" s="19">
        <f t="shared" ref="DM37:DQ37" si="33">DM7-DM15</f>
        <v>0</v>
      </c>
      <c r="DN37" s="19">
        <f t="shared" si="33"/>
        <v>0</v>
      </c>
      <c r="DO37" s="19">
        <f t="shared" si="33"/>
        <v>0</v>
      </c>
      <c r="DP37" s="19">
        <f t="shared" si="33"/>
        <v>0</v>
      </c>
      <c r="DQ37" s="19">
        <f t="shared" si="33"/>
        <v>0</v>
      </c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t="s">
        <v>1</v>
      </c>
    </row>
    <row r="38" spans="1:134" x14ac:dyDescent="0.2">
      <c r="A38" s="13" t="s">
        <v>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>
        <f>AZ8-AZ16</f>
        <v>33582</v>
      </c>
      <c r="BA38" s="19">
        <f t="shared" ref="BA38:DL38" si="34">BA8-BA16</f>
        <v>41888</v>
      </c>
      <c r="BB38" s="19">
        <f t="shared" si="34"/>
        <v>45010</v>
      </c>
      <c r="BC38" s="19">
        <f t="shared" si="34"/>
        <v>39036</v>
      </c>
      <c r="BD38" s="19">
        <f t="shared" si="34"/>
        <v>42741</v>
      </c>
      <c r="BE38" s="19">
        <f t="shared" si="34"/>
        <v>44380</v>
      </c>
      <c r="BF38" s="19">
        <f t="shared" si="34"/>
        <v>56885</v>
      </c>
      <c r="BG38" s="19">
        <f t="shared" si="34"/>
        <v>53389</v>
      </c>
      <c r="BH38" s="19">
        <f t="shared" si="34"/>
        <v>43930</v>
      </c>
      <c r="BI38" s="19">
        <f t="shared" si="34"/>
        <v>50378</v>
      </c>
      <c r="BJ38" s="19">
        <f t="shared" si="34"/>
        <v>47113</v>
      </c>
      <c r="BK38" s="19">
        <f t="shared" si="34"/>
        <v>46502</v>
      </c>
      <c r="BL38" s="19">
        <f t="shared" si="34"/>
        <v>31527</v>
      </c>
      <c r="BM38" s="19">
        <f t="shared" si="34"/>
        <v>34451</v>
      </c>
      <c r="BN38" s="19">
        <f t="shared" si="34"/>
        <v>39214</v>
      </c>
      <c r="BO38" s="19">
        <f t="shared" si="34"/>
        <v>38246</v>
      </c>
      <c r="BP38" s="19">
        <f t="shared" si="34"/>
        <v>29828</v>
      </c>
      <c r="BQ38" s="19">
        <f t="shared" si="34"/>
        <v>30264</v>
      </c>
      <c r="BR38" s="19">
        <f t="shared" si="34"/>
        <v>27089</v>
      </c>
      <c r="BS38" s="19">
        <f t="shared" si="34"/>
        <v>25868</v>
      </c>
      <c r="BT38" s="19">
        <f t="shared" si="34"/>
        <v>27215</v>
      </c>
      <c r="BU38" s="19">
        <f t="shared" si="34"/>
        <v>25069</v>
      </c>
      <c r="BV38" s="19">
        <f t="shared" si="34"/>
        <v>27255</v>
      </c>
      <c r="BW38" s="19">
        <f t="shared" si="34"/>
        <v>31973</v>
      </c>
      <c r="BX38" s="19">
        <f t="shared" si="34"/>
        <v>31879</v>
      </c>
      <c r="BY38" s="19">
        <f t="shared" si="34"/>
        <v>31308</v>
      </c>
      <c r="BZ38" s="19">
        <f t="shared" si="34"/>
        <v>27039</v>
      </c>
      <c r="CA38" s="19">
        <f t="shared" si="34"/>
        <v>23277</v>
      </c>
      <c r="CB38" s="19">
        <f t="shared" si="34"/>
        <v>26699</v>
      </c>
      <c r="CC38" s="19">
        <f t="shared" si="34"/>
        <v>29796</v>
      </c>
      <c r="CD38" s="19">
        <f t="shared" si="34"/>
        <v>34023</v>
      </c>
      <c r="CE38" s="19">
        <f t="shared" si="34"/>
        <v>35467</v>
      </c>
      <c r="CF38" s="19">
        <f t="shared" si="34"/>
        <v>38407</v>
      </c>
      <c r="CG38" s="19">
        <f t="shared" si="34"/>
        <v>45936</v>
      </c>
      <c r="CH38" s="19">
        <f t="shared" si="34"/>
        <v>40044</v>
      </c>
      <c r="CI38" s="19">
        <f t="shared" si="34"/>
        <v>42030</v>
      </c>
      <c r="CJ38" s="19">
        <f t="shared" si="34"/>
        <v>43791.368421052633</v>
      </c>
      <c r="CK38" s="19">
        <f t="shared" si="34"/>
        <v>43852</v>
      </c>
      <c r="CL38" s="19">
        <f t="shared" si="34"/>
        <v>41527</v>
      </c>
      <c r="CM38" s="19">
        <f t="shared" si="34"/>
        <v>35284</v>
      </c>
      <c r="CN38" s="19">
        <f t="shared" si="34"/>
        <v>42636</v>
      </c>
      <c r="CO38" s="19">
        <f t="shared" si="34"/>
        <v>50231</v>
      </c>
      <c r="CP38" s="19">
        <f t="shared" si="34"/>
        <v>55273</v>
      </c>
      <c r="CQ38" s="19">
        <f t="shared" si="34"/>
        <v>54611</v>
      </c>
      <c r="CR38" s="19">
        <f t="shared" si="34"/>
        <v>53789</v>
      </c>
      <c r="CS38" s="19">
        <f t="shared" si="34"/>
        <v>0</v>
      </c>
      <c r="CT38" s="19">
        <f t="shared" si="34"/>
        <v>0</v>
      </c>
      <c r="CU38" s="19">
        <f t="shared" si="34"/>
        <v>0</v>
      </c>
      <c r="CV38" s="19">
        <f t="shared" si="34"/>
        <v>0</v>
      </c>
      <c r="CW38" s="19">
        <f t="shared" si="34"/>
        <v>0</v>
      </c>
      <c r="CX38" s="19">
        <f t="shared" si="34"/>
        <v>0</v>
      </c>
      <c r="CY38" s="19">
        <f t="shared" si="34"/>
        <v>0</v>
      </c>
      <c r="CZ38" s="19">
        <f t="shared" si="34"/>
        <v>0</v>
      </c>
      <c r="DA38" s="19">
        <f t="shared" si="34"/>
        <v>0</v>
      </c>
      <c r="DB38" s="19">
        <f t="shared" si="34"/>
        <v>0</v>
      </c>
      <c r="DC38" s="19">
        <f t="shared" si="34"/>
        <v>0</v>
      </c>
      <c r="DD38" s="19">
        <f t="shared" si="34"/>
        <v>0</v>
      </c>
      <c r="DE38" s="19">
        <f t="shared" si="34"/>
        <v>0</v>
      </c>
      <c r="DF38" s="19">
        <f t="shared" si="34"/>
        <v>0</v>
      </c>
      <c r="DG38" s="19">
        <f t="shared" si="34"/>
        <v>0</v>
      </c>
      <c r="DH38" s="19">
        <f t="shared" si="34"/>
        <v>0</v>
      </c>
      <c r="DI38" s="19">
        <f t="shared" si="34"/>
        <v>0</v>
      </c>
      <c r="DJ38" s="19">
        <f t="shared" si="34"/>
        <v>0</v>
      </c>
      <c r="DK38" s="19">
        <f t="shared" si="34"/>
        <v>0</v>
      </c>
      <c r="DL38" s="19">
        <f t="shared" si="34"/>
        <v>0</v>
      </c>
      <c r="DM38" s="19">
        <f t="shared" ref="DM38:DQ38" si="35">DM8-DM16</f>
        <v>0</v>
      </c>
      <c r="DN38" s="19">
        <f t="shared" si="35"/>
        <v>0</v>
      </c>
      <c r="DO38" s="19">
        <f t="shared" si="35"/>
        <v>0</v>
      </c>
      <c r="DP38" s="19">
        <f t="shared" si="35"/>
        <v>0</v>
      </c>
      <c r="DQ38" s="19">
        <f t="shared" si="35"/>
        <v>0</v>
      </c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t="s">
        <v>1</v>
      </c>
    </row>
    <row r="39" spans="1:134" x14ac:dyDescent="0.2">
      <c r="A39" s="13" t="s">
        <v>14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t="s">
        <v>1</v>
      </c>
    </row>
    <row r="40" spans="1:134" x14ac:dyDescent="0.2">
      <c r="A40" s="13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t="s">
        <v>1</v>
      </c>
    </row>
    <row r="41" spans="1:134" x14ac:dyDescent="0.2">
      <c r="A41" s="13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t="s">
        <v>1</v>
      </c>
    </row>
    <row r="42" spans="1:134" x14ac:dyDescent="0.2">
      <c r="A42" s="22" t="s">
        <v>15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t="s">
        <v>1</v>
      </c>
    </row>
    <row r="43" spans="1:134" x14ac:dyDescent="0.2">
      <c r="A43" s="22" t="s">
        <v>16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t="s">
        <v>1</v>
      </c>
    </row>
    <row r="44" spans="1:134" x14ac:dyDescent="0.2">
      <c r="A44" s="22" t="s">
        <v>17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t="s">
        <v>1</v>
      </c>
    </row>
    <row r="45" spans="1:134" x14ac:dyDescent="0.2">
      <c r="A45" s="22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t="s">
        <v>1</v>
      </c>
    </row>
    <row r="46" spans="1:134" x14ac:dyDescent="0.2">
      <c r="A46" s="23" t="s">
        <v>18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t="s">
        <v>1</v>
      </c>
    </row>
    <row r="47" spans="1:134" x14ac:dyDescent="0.2">
      <c r="A47" s="9" t="s">
        <v>19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t="s">
        <v>1</v>
      </c>
    </row>
    <row r="48" spans="1:134" x14ac:dyDescent="0.2">
      <c r="A48" s="9" t="s">
        <v>20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t="s">
        <v>1</v>
      </c>
    </row>
    <row r="49" spans="1:134" x14ac:dyDescent="0.2">
      <c r="A49" s="9" t="s">
        <v>21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t="s">
        <v>1</v>
      </c>
    </row>
    <row r="50" spans="1:134" x14ac:dyDescent="0.2">
      <c r="A50" s="9" t="s">
        <v>22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t="s">
        <v>1</v>
      </c>
    </row>
    <row r="51" spans="1:134" x14ac:dyDescent="0.2">
      <c r="A51" s="24" t="s">
        <v>23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t="s">
        <v>1</v>
      </c>
    </row>
    <row r="52" spans="1:134" x14ac:dyDescent="0.2">
      <c r="A52" s="9" t="s">
        <v>24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t="s">
        <v>1</v>
      </c>
    </row>
    <row r="53" spans="1:134" x14ac:dyDescent="0.2">
      <c r="A53" s="9" t="s">
        <v>25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t="s">
        <v>1</v>
      </c>
    </row>
    <row r="54" spans="1:134" x14ac:dyDescent="0.2">
      <c r="A54" s="9" t="s">
        <v>26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t="s">
        <v>1</v>
      </c>
    </row>
    <row r="55" spans="1:134" x14ac:dyDescent="0.2">
      <c r="A55" s="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t="s">
        <v>1</v>
      </c>
    </row>
    <row r="56" spans="1:134" x14ac:dyDescent="0.2">
      <c r="A56" s="13" t="s">
        <v>3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t="s">
        <v>1</v>
      </c>
    </row>
    <row r="57" spans="1:134" x14ac:dyDescent="0.2">
      <c r="A57" s="13" t="s">
        <v>4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t="s">
        <v>1</v>
      </c>
    </row>
    <row r="58" spans="1:134" x14ac:dyDescent="0.2">
      <c r="A58" s="13" t="s">
        <v>27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t="s">
        <v>1</v>
      </c>
    </row>
    <row r="59" spans="1:134" x14ac:dyDescent="0.2">
      <c r="A59" s="13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t="s">
        <v>1</v>
      </c>
    </row>
    <row r="60" spans="1:134" x14ac:dyDescent="0.2">
      <c r="A60" s="23" t="s">
        <v>28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t="s">
        <v>1</v>
      </c>
    </row>
    <row r="61" spans="1:134" x14ac:dyDescent="0.2">
      <c r="A61" s="13" t="s">
        <v>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t="s">
        <v>1</v>
      </c>
    </row>
    <row r="62" spans="1:134" x14ac:dyDescent="0.2">
      <c r="A62" s="13" t="s">
        <v>4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t="s">
        <v>1</v>
      </c>
    </row>
    <row r="63" spans="1:134" x14ac:dyDescent="0.2">
      <c r="A63" s="13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t="s">
        <v>1</v>
      </c>
    </row>
    <row r="64" spans="1:134" x14ac:dyDescent="0.2">
      <c r="A64" s="13" t="s">
        <v>29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t="s">
        <v>1</v>
      </c>
    </row>
    <row r="65" spans="1:134" x14ac:dyDescent="0.2">
      <c r="A65" s="13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t="s">
        <v>1</v>
      </c>
    </row>
    <row r="66" spans="1:134" x14ac:dyDescent="0.2">
      <c r="A66" s="23" t="s">
        <v>30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t="s">
        <v>1</v>
      </c>
    </row>
    <row r="67" spans="1:134" x14ac:dyDescent="0.2">
      <c r="A67" s="13" t="s">
        <v>3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t="s">
        <v>1</v>
      </c>
    </row>
    <row r="68" spans="1:134" x14ac:dyDescent="0.2">
      <c r="A68" s="13" t="s">
        <v>4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t="s">
        <v>1</v>
      </c>
    </row>
    <row r="69" spans="1:134" x14ac:dyDescent="0.2">
      <c r="A69" s="13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t="s">
        <v>1</v>
      </c>
    </row>
    <row r="70" spans="1:134" x14ac:dyDescent="0.2">
      <c r="A70" s="13" t="s">
        <v>31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t="s">
        <v>1</v>
      </c>
    </row>
    <row r="71" spans="1:134" x14ac:dyDescent="0.2">
      <c r="A71" s="13" t="s">
        <v>3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t="s">
        <v>1</v>
      </c>
    </row>
    <row r="72" spans="1:134" x14ac:dyDescent="0.2">
      <c r="A72" s="13" t="s">
        <v>4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t="s">
        <v>1</v>
      </c>
    </row>
    <row r="73" spans="1:134" x14ac:dyDescent="0.2">
      <c r="A73" s="13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t="s">
        <v>1</v>
      </c>
    </row>
    <row r="74" spans="1:134" x14ac:dyDescent="0.2">
      <c r="A74" s="23" t="s">
        <v>32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t="s">
        <v>1</v>
      </c>
    </row>
    <row r="75" spans="1:134" x14ac:dyDescent="0.2">
      <c r="A75" s="25" t="s">
        <v>33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t="s">
        <v>1</v>
      </c>
    </row>
    <row r="76" spans="1:134" x14ac:dyDescent="0.2">
      <c r="A76" s="25" t="s">
        <v>34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t="s">
        <v>1</v>
      </c>
    </row>
    <row r="77" spans="1:134" x14ac:dyDescent="0.2">
      <c r="A77" s="25" t="s">
        <v>35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t="s">
        <v>1</v>
      </c>
    </row>
    <row r="78" spans="1:134" x14ac:dyDescent="0.2">
      <c r="A78" s="25" t="s">
        <v>36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t="s">
        <v>1</v>
      </c>
    </row>
    <row r="79" spans="1:134" x14ac:dyDescent="0.2">
      <c r="A79" s="22" t="s">
        <v>37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t="s">
        <v>1</v>
      </c>
    </row>
    <row r="80" spans="1:134" x14ac:dyDescent="0.2">
      <c r="A80" s="26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t="s">
        <v>1</v>
      </c>
    </row>
    <row r="81" spans="1:134" x14ac:dyDescent="0.2">
      <c r="A81" s="23" t="s">
        <v>38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t="s">
        <v>1</v>
      </c>
    </row>
    <row r="82" spans="1:134" x14ac:dyDescent="0.2">
      <c r="A82" s="13" t="s">
        <v>39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t="s">
        <v>1</v>
      </c>
    </row>
    <row r="83" spans="1:134" x14ac:dyDescent="0.2">
      <c r="A83" s="13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t="s">
        <v>1</v>
      </c>
    </row>
    <row r="84" spans="1:134" x14ac:dyDescent="0.2">
      <c r="A84" s="23" t="s">
        <v>40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t="s">
        <v>1</v>
      </c>
    </row>
    <row r="85" spans="1:134" x14ac:dyDescent="0.2">
      <c r="A85" s="9" t="s">
        <v>41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t="s">
        <v>1</v>
      </c>
    </row>
    <row r="86" spans="1:134" x14ac:dyDescent="0.2">
      <c r="A86" s="9" t="s">
        <v>42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t="s">
        <v>1</v>
      </c>
    </row>
    <row r="87" spans="1:134" x14ac:dyDescent="0.2">
      <c r="A87" s="13" t="s">
        <v>43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t="s">
        <v>1</v>
      </c>
    </row>
    <row r="88" spans="1:134" x14ac:dyDescent="0.2">
      <c r="A88" s="9" t="s">
        <v>44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t="s">
        <v>1</v>
      </c>
    </row>
    <row r="89" spans="1:134" x14ac:dyDescent="0.2">
      <c r="A89" s="13" t="s">
        <v>45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t="s">
        <v>1</v>
      </c>
    </row>
    <row r="90" spans="1:134" x14ac:dyDescent="0.2">
      <c r="A90" s="9" t="s">
        <v>46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t="s">
        <v>1</v>
      </c>
    </row>
    <row r="91" spans="1:134" x14ac:dyDescent="0.2">
      <c r="A91" s="13" t="s">
        <v>47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t="s">
        <v>1</v>
      </c>
    </row>
    <row r="92" spans="1:134" x14ac:dyDescent="0.2">
      <c r="A92" s="9" t="s">
        <v>48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t="s">
        <v>1</v>
      </c>
    </row>
    <row r="93" spans="1:134" x14ac:dyDescent="0.2">
      <c r="A93" s="13" t="s">
        <v>43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t="s">
        <v>1</v>
      </c>
    </row>
    <row r="94" spans="1:134" x14ac:dyDescent="0.2">
      <c r="A94" s="25" t="s">
        <v>49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t="s">
        <v>1</v>
      </c>
    </row>
    <row r="95" spans="1:134" x14ac:dyDescent="0.2">
      <c r="A95" s="9" t="s">
        <v>50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t="s">
        <v>1</v>
      </c>
    </row>
    <row r="96" spans="1:134" x14ac:dyDescent="0.2">
      <c r="A96" s="9" t="s">
        <v>51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t="s">
        <v>1</v>
      </c>
    </row>
    <row r="97" spans="1:134" x14ac:dyDescent="0.2">
      <c r="A97" s="9" t="s">
        <v>52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t="s">
        <v>1</v>
      </c>
    </row>
    <row r="98" spans="1:134" x14ac:dyDescent="0.2">
      <c r="A98" s="13" t="s">
        <v>53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t="s">
        <v>1</v>
      </c>
    </row>
    <row r="99" spans="1:134" x14ac:dyDescent="0.2">
      <c r="A99" s="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t="s">
        <v>1</v>
      </c>
    </row>
    <row r="100" spans="1:134" x14ac:dyDescent="0.2">
      <c r="A100" s="23" t="s">
        <v>54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t="s">
        <v>1</v>
      </c>
    </row>
    <row r="101" spans="1:134" x14ac:dyDescent="0.2">
      <c r="A101" s="13" t="s">
        <v>55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t="s">
        <v>1</v>
      </c>
    </row>
    <row r="102" spans="1:134" x14ac:dyDescent="0.2">
      <c r="A102" s="13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t="s">
        <v>1</v>
      </c>
    </row>
    <row r="103" spans="1:134" x14ac:dyDescent="0.2">
      <c r="A103" s="23" t="s">
        <v>56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t="s">
        <v>1</v>
      </c>
    </row>
    <row r="104" spans="1:134" x14ac:dyDescent="0.2">
      <c r="A104" s="13" t="s">
        <v>57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t="s">
        <v>1</v>
      </c>
    </row>
    <row r="105" spans="1:134" x14ac:dyDescent="0.2">
      <c r="A105" s="26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t="s">
        <v>1</v>
      </c>
    </row>
    <row r="106" spans="1:134" x14ac:dyDescent="0.2">
      <c r="A106" s="23" t="s">
        <v>58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t="s">
        <v>1</v>
      </c>
    </row>
    <row r="107" spans="1:134" x14ac:dyDescent="0.2">
      <c r="A107" s="13" t="s">
        <v>59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t="s">
        <v>1</v>
      </c>
    </row>
    <row r="108" spans="1:134" x14ac:dyDescent="0.2">
      <c r="A108" s="13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t="s">
        <v>1</v>
      </c>
    </row>
    <row r="109" spans="1:134" x14ac:dyDescent="0.2">
      <c r="A109" s="23" t="s">
        <v>60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t="s">
        <v>1</v>
      </c>
    </row>
    <row r="110" spans="1:134" x14ac:dyDescent="0.2">
      <c r="A110" s="9" t="s">
        <v>61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t="s">
        <v>1</v>
      </c>
    </row>
    <row r="111" spans="1:134" x14ac:dyDescent="0.2">
      <c r="A111" s="9" t="s">
        <v>52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t="s">
        <v>1</v>
      </c>
    </row>
    <row r="112" spans="1:134" x14ac:dyDescent="0.2">
      <c r="A112" s="13" t="s">
        <v>62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t="s">
        <v>1</v>
      </c>
    </row>
    <row r="113" spans="1:134" x14ac:dyDescent="0.2">
      <c r="A113" s="13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t="s">
        <v>1</v>
      </c>
    </row>
    <row r="114" spans="1:134" x14ac:dyDescent="0.2">
      <c r="A114" s="23" t="s">
        <v>63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t="s">
        <v>1</v>
      </c>
    </row>
    <row r="115" spans="1:134" x14ac:dyDescent="0.2">
      <c r="A115" s="27" t="s">
        <v>59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C116-5BA9-4EB3-A4C1-E4F01243D173}">
  <dimension ref="B4:F17"/>
  <sheetViews>
    <sheetView workbookViewId="0">
      <selection activeCell="B7" sqref="B7"/>
    </sheetView>
  </sheetViews>
  <sheetFormatPr baseColWidth="10" defaultColWidth="8.6640625" defaultRowHeight="15" x14ac:dyDescent="0.2"/>
  <cols>
    <col min="1" max="1" width="2.6640625" customWidth="1"/>
    <col min="2" max="6" width="20.6640625" customWidth="1"/>
  </cols>
  <sheetData>
    <row r="4" spans="2:6" x14ac:dyDescent="0.2">
      <c r="C4" s="31" t="s">
        <v>128</v>
      </c>
      <c r="D4" s="31" t="s">
        <v>125</v>
      </c>
      <c r="E4" s="31" t="s">
        <v>126</v>
      </c>
      <c r="F4" s="31" t="s">
        <v>127</v>
      </c>
    </row>
    <row r="5" spans="2:6" x14ac:dyDescent="0.2">
      <c r="B5" s="30" t="s">
        <v>74</v>
      </c>
    </row>
    <row r="6" spans="2:6" x14ac:dyDescent="0.2">
      <c r="B6" s="32" t="s">
        <v>129</v>
      </c>
      <c r="C6" s="35">
        <f>'B2B- Non Repair'!FG32</f>
        <v>3938929368.8322124</v>
      </c>
      <c r="D6" s="35">
        <f>'B2B- Non Repair'!FH32</f>
        <v>5892714191.2724752</v>
      </c>
      <c r="E6" s="35">
        <f>'B2B- Non Repair'!FI32</f>
        <v>7555803484.5226812</v>
      </c>
      <c r="F6" s="35">
        <f>'B2B- Non Repair'!FJ32</f>
        <v>9444754355.6533508</v>
      </c>
    </row>
    <row r="16" spans="2:6" x14ac:dyDescent="0.2">
      <c r="B16" s="30" t="s">
        <v>98</v>
      </c>
    </row>
    <row r="17" spans="2:6" x14ac:dyDescent="0.2">
      <c r="B17" s="37" t="s">
        <v>129</v>
      </c>
      <c r="C17" s="36">
        <f>'B2B- Non Repair'!FG70</f>
        <v>6.3593020171495263E-2</v>
      </c>
      <c r="D17" s="36">
        <f>'B2B- Non Repair'!FH70</f>
        <v>6.8635040027695104E-2</v>
      </c>
      <c r="E17" s="36">
        <f>'B2B- Non Repair'!FI70</f>
        <v>6.649036185288025E-2</v>
      </c>
      <c r="F17" s="36">
        <f>'B2B- Non Repair'!FJ70</f>
        <v>7.5282652446390555E-2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C1CE-C0DF-4875-AC6C-ADE6A69D6CA4}">
  <sheetPr>
    <tabColor theme="9" tint="0.79998168889431442"/>
  </sheetPr>
  <dimension ref="A1:ED795"/>
  <sheetViews>
    <sheetView showGridLines="0" zoomScaleNormal="90" workbookViewId="0">
      <pane xSplit="1" ySplit="1" topLeftCell="DV586" activePane="bottomRight" state="frozen"/>
      <selection activeCell="C14" sqref="C14"/>
      <selection pane="topRight" activeCell="C14" sqref="C14"/>
      <selection pane="bottomLeft" activeCell="C14" sqref="C14"/>
      <selection pane="bottomRight" activeCell="EC611" sqref="EC611"/>
    </sheetView>
  </sheetViews>
  <sheetFormatPr baseColWidth="10" defaultColWidth="8.6640625" defaultRowHeight="15" x14ac:dyDescent="0.2"/>
  <cols>
    <col min="1" max="1" width="40.1640625" style="113" bestFit="1" customWidth="1"/>
    <col min="2" max="134" width="20.83203125" style="113" customWidth="1"/>
    <col min="135" max="16384" width="8.6640625" style="113"/>
  </cols>
  <sheetData>
    <row r="1" spans="1:134" x14ac:dyDescent="0.2">
      <c r="A1" s="112" t="s">
        <v>130</v>
      </c>
      <c r="B1" s="678">
        <v>43208</v>
      </c>
      <c r="C1" s="678">
        <v>43238</v>
      </c>
      <c r="D1" s="678">
        <v>43269</v>
      </c>
      <c r="E1" s="678">
        <v>43282</v>
      </c>
      <c r="F1" s="678">
        <v>43313</v>
      </c>
      <c r="G1" s="678">
        <v>43344</v>
      </c>
      <c r="H1" s="678">
        <v>43374</v>
      </c>
      <c r="I1" s="678">
        <v>43405</v>
      </c>
      <c r="J1" s="678">
        <v>43435</v>
      </c>
      <c r="K1" s="678">
        <v>43466</v>
      </c>
      <c r="L1" s="678">
        <v>43497</v>
      </c>
      <c r="M1" s="678">
        <v>43525</v>
      </c>
      <c r="N1" s="678">
        <v>43556</v>
      </c>
      <c r="O1" s="678">
        <v>43586</v>
      </c>
      <c r="P1" s="678">
        <v>43617</v>
      </c>
      <c r="Q1" s="678">
        <v>43647</v>
      </c>
      <c r="R1" s="678">
        <f t="shared" ref="R1:AW1" si="0">Q1+31</f>
        <v>43678</v>
      </c>
      <c r="S1" s="678">
        <f t="shared" si="0"/>
        <v>43709</v>
      </c>
      <c r="T1" s="678">
        <f t="shared" si="0"/>
        <v>43740</v>
      </c>
      <c r="U1" s="678">
        <f t="shared" si="0"/>
        <v>43771</v>
      </c>
      <c r="V1" s="678">
        <f t="shared" si="0"/>
        <v>43802</v>
      </c>
      <c r="W1" s="678">
        <f t="shared" si="0"/>
        <v>43833</v>
      </c>
      <c r="X1" s="678">
        <f t="shared" si="0"/>
        <v>43864</v>
      </c>
      <c r="Y1" s="678">
        <f t="shared" si="0"/>
        <v>43895</v>
      </c>
      <c r="Z1" s="678">
        <f t="shared" si="0"/>
        <v>43926</v>
      </c>
      <c r="AA1" s="678">
        <f t="shared" si="0"/>
        <v>43957</v>
      </c>
      <c r="AB1" s="678">
        <f t="shared" si="0"/>
        <v>43988</v>
      </c>
      <c r="AC1" s="678">
        <f t="shared" si="0"/>
        <v>44019</v>
      </c>
      <c r="AD1" s="678">
        <f t="shared" si="0"/>
        <v>44050</v>
      </c>
      <c r="AE1" s="678">
        <f t="shared" si="0"/>
        <v>44081</v>
      </c>
      <c r="AF1" s="678">
        <f t="shared" si="0"/>
        <v>44112</v>
      </c>
      <c r="AG1" s="678">
        <f t="shared" si="0"/>
        <v>44143</v>
      </c>
      <c r="AH1" s="678">
        <f t="shared" si="0"/>
        <v>44174</v>
      </c>
      <c r="AI1" s="678">
        <f t="shared" si="0"/>
        <v>44205</v>
      </c>
      <c r="AJ1" s="678">
        <f t="shared" si="0"/>
        <v>44236</v>
      </c>
      <c r="AK1" s="678">
        <f t="shared" si="0"/>
        <v>44267</v>
      </c>
      <c r="AL1" s="678">
        <f t="shared" si="0"/>
        <v>44298</v>
      </c>
      <c r="AM1" s="678">
        <f t="shared" si="0"/>
        <v>44329</v>
      </c>
      <c r="AN1" s="678">
        <f t="shared" si="0"/>
        <v>44360</v>
      </c>
      <c r="AO1" s="678">
        <f t="shared" si="0"/>
        <v>44391</v>
      </c>
      <c r="AP1" s="678">
        <f t="shared" si="0"/>
        <v>44422</v>
      </c>
      <c r="AQ1" s="678">
        <f t="shared" si="0"/>
        <v>44453</v>
      </c>
      <c r="AR1" s="678">
        <f t="shared" si="0"/>
        <v>44484</v>
      </c>
      <c r="AS1" s="678">
        <f t="shared" si="0"/>
        <v>44515</v>
      </c>
      <c r="AT1" s="678">
        <f t="shared" si="0"/>
        <v>44546</v>
      </c>
      <c r="AU1" s="678">
        <f t="shared" si="0"/>
        <v>44577</v>
      </c>
      <c r="AV1" s="678">
        <f t="shared" si="0"/>
        <v>44608</v>
      </c>
      <c r="AW1" s="678">
        <f t="shared" si="0"/>
        <v>44639</v>
      </c>
      <c r="AX1" s="678">
        <f t="shared" ref="AX1:BS1" si="1">AW1+31</f>
        <v>44670</v>
      </c>
      <c r="AY1" s="678">
        <f t="shared" si="1"/>
        <v>44701</v>
      </c>
      <c r="AZ1" s="678">
        <f t="shared" si="1"/>
        <v>44732</v>
      </c>
      <c r="BA1" s="678">
        <f t="shared" si="1"/>
        <v>44763</v>
      </c>
      <c r="BB1" s="678">
        <f t="shared" si="1"/>
        <v>44794</v>
      </c>
      <c r="BC1" s="678">
        <f t="shared" si="1"/>
        <v>44825</v>
      </c>
      <c r="BD1" s="678">
        <f t="shared" si="1"/>
        <v>44856</v>
      </c>
      <c r="BE1" s="678">
        <f t="shared" si="1"/>
        <v>44887</v>
      </c>
      <c r="BF1" s="678">
        <f t="shared" si="1"/>
        <v>44918</v>
      </c>
      <c r="BG1" s="678">
        <f t="shared" si="1"/>
        <v>44949</v>
      </c>
      <c r="BH1" s="678">
        <f t="shared" si="1"/>
        <v>44980</v>
      </c>
      <c r="BI1" s="678">
        <f t="shared" si="1"/>
        <v>45011</v>
      </c>
      <c r="BJ1" s="678">
        <f t="shared" si="1"/>
        <v>45042</v>
      </c>
      <c r="BK1" s="678">
        <f t="shared" si="1"/>
        <v>45073</v>
      </c>
      <c r="BL1" s="678">
        <f t="shared" si="1"/>
        <v>45104</v>
      </c>
      <c r="BM1" s="678">
        <f t="shared" si="1"/>
        <v>45135</v>
      </c>
      <c r="BN1" s="678">
        <f t="shared" si="1"/>
        <v>45166</v>
      </c>
      <c r="BO1" s="678">
        <f t="shared" si="1"/>
        <v>45197</v>
      </c>
      <c r="BP1" s="678">
        <f t="shared" si="1"/>
        <v>45228</v>
      </c>
      <c r="BQ1" s="678">
        <f t="shared" si="1"/>
        <v>45259</v>
      </c>
      <c r="BR1" s="678">
        <f t="shared" si="1"/>
        <v>45290</v>
      </c>
      <c r="BS1" s="678">
        <f t="shared" si="1"/>
        <v>45321</v>
      </c>
      <c r="BT1" s="678">
        <f t="shared" ref="BT1:CY1" si="2">BS1+30</f>
        <v>45351</v>
      </c>
      <c r="BU1" s="678">
        <f t="shared" si="2"/>
        <v>45381</v>
      </c>
      <c r="BV1" s="678">
        <f t="shared" si="2"/>
        <v>45411</v>
      </c>
      <c r="BW1" s="678">
        <f t="shared" si="2"/>
        <v>45441</v>
      </c>
      <c r="BX1" s="678">
        <f t="shared" si="2"/>
        <v>45471</v>
      </c>
      <c r="BY1" s="678">
        <f t="shared" si="2"/>
        <v>45501</v>
      </c>
      <c r="BZ1" s="678">
        <f t="shared" si="2"/>
        <v>45531</v>
      </c>
      <c r="CA1" s="678">
        <f t="shared" si="2"/>
        <v>45561</v>
      </c>
      <c r="CB1" s="678">
        <f t="shared" si="2"/>
        <v>45591</v>
      </c>
      <c r="CC1" s="678">
        <f t="shared" si="2"/>
        <v>45621</v>
      </c>
      <c r="CD1" s="678">
        <f t="shared" si="2"/>
        <v>45651</v>
      </c>
      <c r="CE1" s="678">
        <f t="shared" si="2"/>
        <v>45681</v>
      </c>
      <c r="CF1" s="678">
        <f t="shared" si="2"/>
        <v>45711</v>
      </c>
      <c r="CG1" s="678">
        <f t="shared" si="2"/>
        <v>45741</v>
      </c>
      <c r="CH1" s="678">
        <f t="shared" si="2"/>
        <v>45771</v>
      </c>
      <c r="CI1" s="678">
        <f t="shared" si="2"/>
        <v>45801</v>
      </c>
      <c r="CJ1" s="678">
        <f t="shared" si="2"/>
        <v>45831</v>
      </c>
      <c r="CK1" s="678">
        <f t="shared" si="2"/>
        <v>45861</v>
      </c>
      <c r="CL1" s="678">
        <f t="shared" si="2"/>
        <v>45891</v>
      </c>
      <c r="CM1" s="678">
        <f t="shared" si="2"/>
        <v>45921</v>
      </c>
      <c r="CN1" s="678">
        <f t="shared" si="2"/>
        <v>45951</v>
      </c>
      <c r="CO1" s="678">
        <f t="shared" si="2"/>
        <v>45981</v>
      </c>
      <c r="CP1" s="678">
        <f t="shared" si="2"/>
        <v>46011</v>
      </c>
      <c r="CQ1" s="678">
        <f t="shared" si="2"/>
        <v>46041</v>
      </c>
      <c r="CR1" s="678">
        <f t="shared" si="2"/>
        <v>46071</v>
      </c>
      <c r="CS1" s="678">
        <f t="shared" si="2"/>
        <v>46101</v>
      </c>
      <c r="CT1" s="678">
        <f t="shared" si="2"/>
        <v>46131</v>
      </c>
      <c r="CU1" s="678">
        <f t="shared" si="2"/>
        <v>46161</v>
      </c>
      <c r="CV1" s="678">
        <f t="shared" si="2"/>
        <v>46191</v>
      </c>
      <c r="CW1" s="678">
        <f t="shared" si="2"/>
        <v>46221</v>
      </c>
      <c r="CX1" s="678">
        <f t="shared" si="2"/>
        <v>46251</v>
      </c>
      <c r="CY1" s="678">
        <f t="shared" si="2"/>
        <v>46281</v>
      </c>
      <c r="CZ1" s="678">
        <f t="shared" ref="CZ1:EC1" si="3">CY1+30</f>
        <v>46311</v>
      </c>
      <c r="DA1" s="678">
        <f t="shared" si="3"/>
        <v>46341</v>
      </c>
      <c r="DB1" s="678">
        <f t="shared" si="3"/>
        <v>46371</v>
      </c>
      <c r="DC1" s="678">
        <f t="shared" si="3"/>
        <v>46401</v>
      </c>
      <c r="DD1" s="678">
        <f t="shared" si="3"/>
        <v>46431</v>
      </c>
      <c r="DE1" s="678">
        <f t="shared" si="3"/>
        <v>46461</v>
      </c>
      <c r="DF1" s="678">
        <f t="shared" si="3"/>
        <v>46491</v>
      </c>
      <c r="DG1" s="678">
        <f t="shared" si="3"/>
        <v>46521</v>
      </c>
      <c r="DH1" s="678">
        <f t="shared" si="3"/>
        <v>46551</v>
      </c>
      <c r="DI1" s="678">
        <f t="shared" si="3"/>
        <v>46581</v>
      </c>
      <c r="DJ1" s="678">
        <f t="shared" si="3"/>
        <v>46611</v>
      </c>
      <c r="DK1" s="678">
        <f t="shared" si="3"/>
        <v>46641</v>
      </c>
      <c r="DL1" s="678">
        <f t="shared" si="3"/>
        <v>46671</v>
      </c>
      <c r="DM1" s="678">
        <f t="shared" si="3"/>
        <v>46701</v>
      </c>
      <c r="DN1" s="678">
        <f t="shared" si="3"/>
        <v>46731</v>
      </c>
      <c r="DO1" s="678">
        <f t="shared" si="3"/>
        <v>46761</v>
      </c>
      <c r="DP1" s="678">
        <f t="shared" si="3"/>
        <v>46791</v>
      </c>
      <c r="DQ1" s="678">
        <f t="shared" si="3"/>
        <v>46821</v>
      </c>
      <c r="DR1" s="678">
        <f t="shared" si="3"/>
        <v>46851</v>
      </c>
      <c r="DS1" s="678">
        <f t="shared" si="3"/>
        <v>46881</v>
      </c>
      <c r="DT1" s="678">
        <f t="shared" si="3"/>
        <v>46911</v>
      </c>
      <c r="DU1" s="678">
        <f t="shared" si="3"/>
        <v>46941</v>
      </c>
      <c r="DV1" s="678">
        <f t="shared" si="3"/>
        <v>46971</v>
      </c>
      <c r="DW1" s="678">
        <f t="shared" si="3"/>
        <v>47001</v>
      </c>
      <c r="DX1" s="678">
        <f t="shared" si="3"/>
        <v>47031</v>
      </c>
      <c r="DY1" s="678">
        <f t="shared" si="3"/>
        <v>47061</v>
      </c>
      <c r="DZ1" s="678">
        <f t="shared" si="3"/>
        <v>47091</v>
      </c>
      <c r="EA1" s="678">
        <f t="shared" si="3"/>
        <v>47121</v>
      </c>
      <c r="EB1" s="678">
        <f t="shared" si="3"/>
        <v>47151</v>
      </c>
      <c r="EC1" s="678">
        <f t="shared" si="3"/>
        <v>47181</v>
      </c>
      <c r="ED1" s="113" t="s">
        <v>1</v>
      </c>
    </row>
    <row r="2" spans="1:134" x14ac:dyDescent="0.2">
      <c r="A2" s="118"/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  <c r="T2" s="679"/>
      <c r="U2" s="679"/>
      <c r="V2" s="679"/>
      <c r="W2" s="679"/>
      <c r="X2" s="679"/>
      <c r="Y2" s="679"/>
      <c r="Z2" s="679"/>
      <c r="AA2" s="679"/>
      <c r="AB2" s="679"/>
      <c r="AC2" s="679"/>
      <c r="AD2" s="679"/>
      <c r="AE2" s="679"/>
      <c r="AF2" s="679"/>
      <c r="AG2" s="679"/>
      <c r="AH2" s="679"/>
      <c r="AI2" s="679"/>
      <c r="AJ2" s="679"/>
      <c r="AK2" s="679"/>
      <c r="AL2" s="679"/>
      <c r="AM2" s="679"/>
      <c r="AN2" s="679"/>
      <c r="AO2" s="679"/>
      <c r="AP2" s="679"/>
      <c r="AQ2" s="679"/>
      <c r="AR2" s="679"/>
      <c r="AS2" s="679"/>
      <c r="AT2" s="679"/>
      <c r="AU2" s="679"/>
      <c r="AV2" s="679"/>
      <c r="AW2" s="679"/>
      <c r="AX2" s="679"/>
      <c r="AY2" s="679"/>
      <c r="AZ2" s="679"/>
      <c r="BA2" s="679"/>
      <c r="BB2" s="679"/>
      <c r="BC2" s="679"/>
      <c r="BD2" s="679"/>
      <c r="BE2" s="679"/>
      <c r="BF2" s="679"/>
      <c r="BG2" s="679"/>
      <c r="BH2" s="679"/>
      <c r="BI2" s="679"/>
      <c r="BJ2" s="679"/>
      <c r="BK2" s="679"/>
      <c r="BL2" s="679"/>
      <c r="BM2" s="679"/>
      <c r="BN2" s="679"/>
      <c r="BO2" s="679"/>
      <c r="BP2" s="679"/>
      <c r="BQ2" s="679"/>
      <c r="BR2" s="679"/>
      <c r="BS2" s="679"/>
      <c r="BT2" s="679"/>
      <c r="BU2" s="679"/>
      <c r="BV2" s="679"/>
      <c r="BW2" s="679"/>
      <c r="BX2" s="679"/>
      <c r="BY2" s="679"/>
      <c r="BZ2" s="679"/>
      <c r="CA2" s="679"/>
      <c r="CB2" s="679"/>
      <c r="CC2" s="679"/>
      <c r="CD2" s="679"/>
      <c r="CE2" s="679"/>
      <c r="CF2" s="679"/>
      <c r="CG2" s="679"/>
      <c r="CH2" s="679"/>
      <c r="CI2" s="679"/>
      <c r="CJ2" s="679"/>
      <c r="CK2" s="679"/>
      <c r="CL2" s="679"/>
      <c r="CM2" s="679"/>
      <c r="CN2" s="679"/>
      <c r="CO2" s="679"/>
      <c r="CP2" s="679"/>
      <c r="CQ2" s="679"/>
      <c r="CR2" s="679"/>
      <c r="CS2" s="679"/>
      <c r="CT2" s="679"/>
      <c r="CU2" s="679"/>
      <c r="CV2" s="679"/>
      <c r="CW2" s="679"/>
      <c r="CX2" s="679"/>
      <c r="CY2" s="679"/>
      <c r="CZ2" s="679"/>
      <c r="DA2" s="679"/>
      <c r="DB2" s="679"/>
      <c r="DC2" s="679"/>
      <c r="DD2" s="679"/>
      <c r="DE2" s="679"/>
      <c r="DF2" s="679"/>
      <c r="DG2" s="679"/>
      <c r="DH2" s="679"/>
      <c r="DI2" s="679"/>
      <c r="DJ2" s="679"/>
      <c r="DK2" s="679"/>
      <c r="DL2" s="679"/>
      <c r="DM2" s="679"/>
      <c r="DN2" s="679"/>
      <c r="DO2" s="679"/>
      <c r="DP2" s="679"/>
      <c r="DQ2" s="679"/>
      <c r="DR2" s="679"/>
      <c r="DS2" s="679"/>
      <c r="DT2" s="679"/>
      <c r="DU2" s="679"/>
      <c r="DV2" s="679"/>
      <c r="DW2" s="679"/>
      <c r="DX2" s="679"/>
      <c r="DY2" s="679"/>
      <c r="DZ2" s="679"/>
      <c r="EA2" s="679"/>
      <c r="EB2" s="679"/>
      <c r="EC2" s="679"/>
      <c r="ED2" s="113" t="s">
        <v>1</v>
      </c>
    </row>
    <row r="3" spans="1:134" x14ac:dyDescent="0.2">
      <c r="A3" s="680" t="s">
        <v>129</v>
      </c>
      <c r="B3" s="678"/>
      <c r="C3" s="678"/>
      <c r="D3" s="678"/>
      <c r="E3" s="678"/>
      <c r="F3" s="678"/>
      <c r="G3" s="678"/>
      <c r="H3" s="678"/>
      <c r="I3" s="678"/>
      <c r="J3" s="678"/>
      <c r="K3" s="678"/>
      <c r="L3" s="678"/>
      <c r="M3" s="678"/>
      <c r="N3" s="678"/>
      <c r="O3" s="678"/>
      <c r="P3" s="678"/>
      <c r="Q3" s="678"/>
      <c r="R3" s="678"/>
      <c r="S3" s="678"/>
      <c r="T3" s="678"/>
      <c r="U3" s="678"/>
      <c r="V3" s="678"/>
      <c r="W3" s="678"/>
      <c r="X3" s="678"/>
      <c r="Y3" s="678"/>
      <c r="Z3" s="678"/>
      <c r="AA3" s="678"/>
      <c r="AB3" s="678"/>
      <c r="AC3" s="678"/>
      <c r="AD3" s="678"/>
      <c r="AE3" s="678"/>
      <c r="AF3" s="678"/>
      <c r="AG3" s="678"/>
      <c r="AH3" s="678"/>
      <c r="AI3" s="678"/>
      <c r="AJ3" s="678"/>
      <c r="AK3" s="678"/>
      <c r="AL3" s="678"/>
      <c r="AM3" s="678"/>
      <c r="AN3" s="678"/>
      <c r="AO3" s="678"/>
      <c r="AP3" s="678"/>
      <c r="AQ3" s="678"/>
      <c r="AR3" s="678"/>
      <c r="AS3" s="678"/>
      <c r="AT3" s="678"/>
      <c r="AU3" s="678"/>
      <c r="AV3" s="678"/>
      <c r="AW3" s="678"/>
      <c r="AX3" s="678"/>
      <c r="AY3" s="678"/>
      <c r="AZ3" s="678"/>
      <c r="BA3" s="678"/>
      <c r="BB3" s="678"/>
      <c r="BC3" s="678"/>
      <c r="BD3" s="678"/>
      <c r="BE3" s="678"/>
      <c r="BF3" s="678"/>
      <c r="BG3" s="678"/>
      <c r="BH3" s="678"/>
      <c r="BI3" s="678"/>
      <c r="BJ3" s="678"/>
      <c r="BK3" s="678"/>
      <c r="BL3" s="678"/>
      <c r="BM3" s="678"/>
      <c r="BN3" s="678"/>
      <c r="BO3" s="678"/>
      <c r="BP3" s="678"/>
      <c r="BQ3" s="678"/>
      <c r="BR3" s="678"/>
      <c r="BS3" s="678"/>
      <c r="BT3" s="678"/>
      <c r="BU3" s="678"/>
      <c r="BV3" s="678"/>
      <c r="BW3" s="678"/>
      <c r="BX3" s="678"/>
      <c r="BY3" s="678"/>
      <c r="BZ3" s="678"/>
      <c r="CA3" s="678"/>
      <c r="CB3" s="678"/>
      <c r="CC3" s="678"/>
      <c r="CD3" s="678"/>
      <c r="CE3" s="678"/>
      <c r="CF3" s="678"/>
      <c r="CG3" s="678"/>
      <c r="CH3" s="678"/>
      <c r="CI3" s="678"/>
      <c r="CJ3" s="678"/>
      <c r="CK3" s="678"/>
      <c r="CL3" s="678"/>
      <c r="CM3" s="678"/>
      <c r="CN3" s="678"/>
      <c r="CO3" s="678"/>
      <c r="CP3" s="678"/>
      <c r="CQ3" s="678"/>
      <c r="CR3" s="678"/>
      <c r="CS3" s="678"/>
      <c r="CT3" s="678"/>
      <c r="CU3" s="678"/>
      <c r="CV3" s="678"/>
      <c r="CW3" s="678"/>
      <c r="CX3" s="678"/>
      <c r="CY3" s="678"/>
      <c r="CZ3" s="678"/>
      <c r="DA3" s="678"/>
      <c r="DB3" s="678"/>
      <c r="DC3" s="678"/>
      <c r="DD3" s="678"/>
      <c r="DE3" s="678"/>
      <c r="DF3" s="678"/>
      <c r="DG3" s="678"/>
      <c r="DH3" s="678"/>
      <c r="DI3" s="678"/>
      <c r="DJ3" s="678"/>
      <c r="DK3" s="678"/>
      <c r="DL3" s="678"/>
      <c r="DM3" s="678"/>
      <c r="DN3" s="678"/>
      <c r="DO3" s="678"/>
      <c r="DP3" s="678"/>
      <c r="DQ3" s="678"/>
      <c r="DR3" s="681"/>
      <c r="DS3" s="681"/>
      <c r="DT3" s="681"/>
      <c r="DU3" s="681"/>
      <c r="DV3" s="681"/>
      <c r="DW3" s="681"/>
      <c r="DX3" s="681"/>
      <c r="DY3" s="681"/>
      <c r="DZ3" s="681"/>
      <c r="EA3" s="681"/>
      <c r="EB3" s="681"/>
      <c r="EC3" s="681"/>
      <c r="ED3" s="113" t="s">
        <v>1</v>
      </c>
    </row>
    <row r="4" spans="1:134" s="686" customFormat="1" x14ac:dyDescent="0.2">
      <c r="A4" s="682" t="s">
        <v>89</v>
      </c>
      <c r="B4" s="683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  <c r="N4" s="684">
        <f>N12/B12-1</f>
        <v>1.2569442279514917</v>
      </c>
      <c r="O4" s="684">
        <f t="shared" ref="O4:BZ4" si="4">O12/C12-1</f>
        <v>1.6365696356981001</v>
      </c>
      <c r="P4" s="684">
        <f t="shared" si="4"/>
        <v>1.1973934058346281</v>
      </c>
      <c r="Q4" s="684">
        <f t="shared" si="4"/>
        <v>0.82309532291719689</v>
      </c>
      <c r="R4" s="684">
        <f t="shared" si="4"/>
        <v>0.33929100842827498</v>
      </c>
      <c r="S4" s="684">
        <f t="shared" si="4"/>
        <v>0.14467366536458326</v>
      </c>
      <c r="T4" s="684">
        <f t="shared" si="4"/>
        <v>-0.12652705061082026</v>
      </c>
      <c r="U4" s="684">
        <f t="shared" si="4"/>
        <v>1.3466419182544875E-2</v>
      </c>
      <c r="V4" s="684">
        <f t="shared" si="4"/>
        <v>-1.1125469750308259E-2</v>
      </c>
      <c r="W4" s="684">
        <f t="shared" si="4"/>
        <v>5.8453722813144982E-2</v>
      </c>
      <c r="X4" s="684">
        <f t="shared" si="4"/>
        <v>0.23273581259847198</v>
      </c>
      <c r="Y4" s="684">
        <f t="shared" si="4"/>
        <v>1.6952983725135651E-2</v>
      </c>
      <c r="Z4" s="684">
        <f t="shared" si="4"/>
        <v>-1</v>
      </c>
      <c r="AA4" s="684">
        <f t="shared" si="4"/>
        <v>-0.47618669840010575</v>
      </c>
      <c r="AB4" s="684">
        <f t="shared" si="4"/>
        <v>-0.44766094504890219</v>
      </c>
      <c r="AC4" s="684">
        <f t="shared" si="4"/>
        <v>-0.67743286248674006</v>
      </c>
      <c r="AD4" s="684">
        <f t="shared" si="4"/>
        <v>-0.32848965909809624</v>
      </c>
      <c r="AE4" s="684">
        <f t="shared" si="4"/>
        <v>-0.33041252688267597</v>
      </c>
      <c r="AF4" s="684">
        <f t="shared" si="4"/>
        <v>-0.16668114494201447</v>
      </c>
      <c r="AG4" s="684">
        <f t="shared" si="4"/>
        <v>-1.713730400493374E-2</v>
      </c>
      <c r="AH4" s="684">
        <f t="shared" si="4"/>
        <v>-7.3151680836363031E-3</v>
      </c>
      <c r="AI4" s="684">
        <f t="shared" si="4"/>
        <v>-0.24281557475401971</v>
      </c>
      <c r="AJ4" s="684">
        <f t="shared" si="4"/>
        <v>-0.16322224365776017</v>
      </c>
      <c r="AK4" s="684">
        <f t="shared" si="4"/>
        <v>9.1038749351707748E-2</v>
      </c>
      <c r="AL4" s="684" t="e">
        <f t="shared" si="4"/>
        <v>#DIV/0!</v>
      </c>
      <c r="AM4" s="684">
        <f t="shared" si="4"/>
        <v>-0.47301595315024236</v>
      </c>
      <c r="AN4" s="684">
        <f t="shared" si="4"/>
        <v>9.2186981463044715E-2</v>
      </c>
      <c r="AO4" s="684">
        <f t="shared" si="4"/>
        <v>1.9125054089138902</v>
      </c>
      <c r="AP4" s="684">
        <f t="shared" si="4"/>
        <v>0.66330735359909587</v>
      </c>
      <c r="AQ4" s="684">
        <f t="shared" si="4"/>
        <v>0.77750643697077493</v>
      </c>
      <c r="AR4" s="684">
        <f t="shared" si="4"/>
        <v>0.56415000912147195</v>
      </c>
      <c r="AS4" s="684">
        <f t="shared" si="4"/>
        <v>0.42770763614237906</v>
      </c>
      <c r="AT4" s="684">
        <f t="shared" si="4"/>
        <v>0.39678000211841957</v>
      </c>
      <c r="AU4" s="684">
        <f t="shared" si="4"/>
        <v>0.66885882376245465</v>
      </c>
      <c r="AV4" s="684">
        <f t="shared" si="4"/>
        <v>0.13255234225277013</v>
      </c>
      <c r="AW4" s="684">
        <f t="shared" si="4"/>
        <v>0.23487768025397693</v>
      </c>
      <c r="AX4" s="684">
        <f t="shared" si="4"/>
        <v>0.68415117036740014</v>
      </c>
      <c r="AY4" s="684">
        <f t="shared" si="4"/>
        <v>2.6379748048091201</v>
      </c>
      <c r="AZ4" s="684">
        <f t="shared" si="4"/>
        <v>0.20657623440043404</v>
      </c>
      <c r="BA4" s="684">
        <f t="shared" si="4"/>
        <v>-7.0377963986450354E-2</v>
      </c>
      <c r="BB4" s="684">
        <f t="shared" si="4"/>
        <v>-7.3613726128625823E-2</v>
      </c>
      <c r="BC4" s="684">
        <f t="shared" si="4"/>
        <v>3.6960157696672935E-2</v>
      </c>
      <c r="BD4" s="684">
        <f t="shared" si="4"/>
        <v>7.3461294944849875E-2</v>
      </c>
      <c r="BE4" s="684">
        <f t="shared" si="4"/>
        <v>-7.3648882614601896E-2</v>
      </c>
      <c r="BF4" s="684">
        <f t="shared" si="4"/>
        <v>-6.350410035857823E-2</v>
      </c>
      <c r="BG4" s="684">
        <f t="shared" si="4"/>
        <v>-9.2428396776222832E-2</v>
      </c>
      <c r="BH4" s="684">
        <f t="shared" si="4"/>
        <v>-0.21762640270744804</v>
      </c>
      <c r="BI4" s="684">
        <f t="shared" si="4"/>
        <v>-2.1048145398553708E-2</v>
      </c>
      <c r="BJ4" s="684">
        <f t="shared" si="4"/>
        <v>-8.8183211559351826E-2</v>
      </c>
      <c r="BK4" s="684">
        <f t="shared" si="4"/>
        <v>-0.22255431204739962</v>
      </c>
      <c r="BL4" s="684">
        <f t="shared" si="4"/>
        <v>-0.21840879247387257</v>
      </c>
      <c r="BM4" s="684">
        <f t="shared" si="4"/>
        <v>-0.29478512409902347</v>
      </c>
      <c r="BN4" s="684">
        <f t="shared" si="4"/>
        <v>-0.26938064456975197</v>
      </c>
      <c r="BO4" s="684">
        <f t="shared" si="4"/>
        <v>-0.32107317213669551</v>
      </c>
      <c r="BP4" s="684">
        <f t="shared" si="4"/>
        <v>-0.38485417604420502</v>
      </c>
      <c r="BQ4" s="684">
        <f t="shared" si="4"/>
        <v>-0.32831100120765999</v>
      </c>
      <c r="BR4" s="684">
        <f t="shared" si="4"/>
        <v>-0.59606464076254817</v>
      </c>
      <c r="BS4" s="684">
        <f t="shared" si="4"/>
        <v>-0.57609008396327588</v>
      </c>
      <c r="BT4" s="684">
        <f t="shared" si="4"/>
        <v>-0.45614948042866665</v>
      </c>
      <c r="BU4" s="684">
        <f t="shared" si="4"/>
        <v>-0.53635176316935129</v>
      </c>
      <c r="BV4" s="684">
        <f t="shared" si="4"/>
        <v>-0.43203590371277034</v>
      </c>
      <c r="BW4" s="684">
        <f t="shared" si="4"/>
        <v>-0.33707046928717799</v>
      </c>
      <c r="BX4" s="684">
        <f t="shared" si="4"/>
        <v>-0.12862764953625927</v>
      </c>
      <c r="BY4" s="684">
        <f t="shared" si="4"/>
        <v>-9.8558672891265964E-2</v>
      </c>
      <c r="BZ4" s="684">
        <f t="shared" si="4"/>
        <v>-0.26224090690426893</v>
      </c>
      <c r="CA4" s="684">
        <f t="shared" ref="CA4:CS4" si="5">CA12/BO12-1</f>
        <v>-0.3245163753605973</v>
      </c>
      <c r="CB4" s="684">
        <f t="shared" si="5"/>
        <v>-0.15472345579329838</v>
      </c>
      <c r="CC4" s="684">
        <f t="shared" si="5"/>
        <v>-0.23165667808219181</v>
      </c>
      <c r="CD4" s="684">
        <f t="shared" si="5"/>
        <v>0.3122941664996135</v>
      </c>
      <c r="CE4" s="684">
        <f t="shared" si="5"/>
        <v>0.56918520346774448</v>
      </c>
      <c r="CF4" s="684">
        <f t="shared" si="5"/>
        <v>0.40313369015937561</v>
      </c>
      <c r="CG4" s="684">
        <f t="shared" si="5"/>
        <v>0.79342723004694826</v>
      </c>
      <c r="CH4" s="684">
        <f t="shared" si="5"/>
        <v>0.50603413596919711</v>
      </c>
      <c r="CI4" s="684">
        <f t="shared" si="5"/>
        <v>0.38833537706928256</v>
      </c>
      <c r="CJ4" s="684">
        <f t="shared" si="5"/>
        <v>0.36622471079182284</v>
      </c>
      <c r="CK4" s="684">
        <f t="shared" si="5"/>
        <v>0.29886617894763301</v>
      </c>
      <c r="CL4" s="684">
        <f t="shared" si="5"/>
        <v>0.36566212116916619</v>
      </c>
      <c r="CM4" s="684">
        <f t="shared" si="5"/>
        <v>0.31527712356727911</v>
      </c>
      <c r="CN4" s="684">
        <f t="shared" si="5"/>
        <v>0.46716417910447761</v>
      </c>
      <c r="CO4" s="684">
        <f t="shared" si="5"/>
        <v>0.68504331838315169</v>
      </c>
      <c r="CP4" s="684">
        <f t="shared" si="5"/>
        <v>0.47023393854748607</v>
      </c>
      <c r="CQ4" s="684">
        <f t="shared" si="5"/>
        <v>0.24527151901222921</v>
      </c>
      <c r="CR4" s="684">
        <f t="shared" si="5"/>
        <v>0.3182432422802346</v>
      </c>
      <c r="CS4" s="684">
        <f t="shared" si="5"/>
        <v>6.7956880189155022E-3</v>
      </c>
      <c r="CT4" s="685">
        <v>0.33</v>
      </c>
      <c r="CU4" s="685">
        <f>CT4</f>
        <v>0.33</v>
      </c>
      <c r="CV4" s="685">
        <f t="shared" ref="CV4:EC4" si="6">CU4</f>
        <v>0.33</v>
      </c>
      <c r="CW4" s="685">
        <f t="shared" si="6"/>
        <v>0.33</v>
      </c>
      <c r="CX4" s="685">
        <f t="shared" si="6"/>
        <v>0.33</v>
      </c>
      <c r="CY4" s="685">
        <f t="shared" si="6"/>
        <v>0.33</v>
      </c>
      <c r="CZ4" s="685">
        <f t="shared" si="6"/>
        <v>0.33</v>
      </c>
      <c r="DA4" s="685">
        <f t="shared" si="6"/>
        <v>0.33</v>
      </c>
      <c r="DB4" s="685">
        <f t="shared" si="6"/>
        <v>0.33</v>
      </c>
      <c r="DC4" s="685">
        <f t="shared" si="6"/>
        <v>0.33</v>
      </c>
      <c r="DD4" s="685">
        <f t="shared" si="6"/>
        <v>0.33</v>
      </c>
      <c r="DE4" s="685">
        <f t="shared" si="6"/>
        <v>0.33</v>
      </c>
      <c r="DF4" s="685">
        <v>0.25</v>
      </c>
      <c r="DG4" s="685">
        <f t="shared" si="6"/>
        <v>0.25</v>
      </c>
      <c r="DH4" s="685">
        <f t="shared" si="6"/>
        <v>0.25</v>
      </c>
      <c r="DI4" s="685">
        <f t="shared" si="6"/>
        <v>0.25</v>
      </c>
      <c r="DJ4" s="685">
        <f t="shared" si="6"/>
        <v>0.25</v>
      </c>
      <c r="DK4" s="685">
        <f t="shared" si="6"/>
        <v>0.25</v>
      </c>
      <c r="DL4" s="685">
        <f t="shared" si="6"/>
        <v>0.25</v>
      </c>
      <c r="DM4" s="685">
        <f t="shared" si="6"/>
        <v>0.25</v>
      </c>
      <c r="DN4" s="685">
        <f t="shared" si="6"/>
        <v>0.25</v>
      </c>
      <c r="DO4" s="685">
        <f t="shared" si="6"/>
        <v>0.25</v>
      </c>
      <c r="DP4" s="685">
        <f t="shared" si="6"/>
        <v>0.25</v>
      </c>
      <c r="DQ4" s="685">
        <f t="shared" si="6"/>
        <v>0.25</v>
      </c>
      <c r="DR4" s="685">
        <v>0.2</v>
      </c>
      <c r="DS4" s="685">
        <f t="shared" si="6"/>
        <v>0.2</v>
      </c>
      <c r="DT4" s="685">
        <f t="shared" si="6"/>
        <v>0.2</v>
      </c>
      <c r="DU4" s="685">
        <f t="shared" si="6"/>
        <v>0.2</v>
      </c>
      <c r="DV4" s="685">
        <f t="shared" si="6"/>
        <v>0.2</v>
      </c>
      <c r="DW4" s="685">
        <f t="shared" si="6"/>
        <v>0.2</v>
      </c>
      <c r="DX4" s="685">
        <f t="shared" si="6"/>
        <v>0.2</v>
      </c>
      <c r="DY4" s="685">
        <f t="shared" si="6"/>
        <v>0.2</v>
      </c>
      <c r="DZ4" s="685">
        <f t="shared" si="6"/>
        <v>0.2</v>
      </c>
      <c r="EA4" s="685">
        <f t="shared" si="6"/>
        <v>0.2</v>
      </c>
      <c r="EB4" s="685">
        <f t="shared" si="6"/>
        <v>0.2</v>
      </c>
      <c r="EC4" s="685">
        <f t="shared" si="6"/>
        <v>0.2</v>
      </c>
      <c r="ED4" s="113" t="s">
        <v>1</v>
      </c>
    </row>
    <row r="5" spans="1:134" s="687" customFormat="1" x14ac:dyDescent="0.2">
      <c r="A5" s="118"/>
      <c r="B5" s="683"/>
      <c r="C5" s="683"/>
      <c r="D5" s="683"/>
      <c r="E5" s="683"/>
      <c r="F5" s="683"/>
      <c r="G5" s="683"/>
      <c r="H5" s="683"/>
      <c r="I5" s="683"/>
      <c r="J5" s="683"/>
      <c r="K5" s="683"/>
      <c r="L5" s="683"/>
      <c r="M5" s="683"/>
      <c r="N5" s="683"/>
      <c r="O5" s="683"/>
      <c r="P5" s="683"/>
      <c r="Q5" s="683"/>
      <c r="R5" s="683"/>
      <c r="S5" s="683"/>
      <c r="T5" s="683"/>
      <c r="U5" s="683"/>
      <c r="V5" s="683"/>
      <c r="W5" s="683"/>
      <c r="X5" s="683"/>
      <c r="Y5" s="683"/>
      <c r="Z5" s="683"/>
      <c r="AA5" s="683"/>
      <c r="AB5" s="683"/>
      <c r="AC5" s="683"/>
      <c r="AD5" s="683"/>
      <c r="AE5" s="683"/>
      <c r="AF5" s="683"/>
      <c r="AG5" s="683"/>
      <c r="AH5" s="683"/>
      <c r="AI5" s="683"/>
      <c r="AJ5" s="683"/>
      <c r="AK5" s="683"/>
      <c r="AL5" s="683"/>
      <c r="AM5" s="683"/>
      <c r="AN5" s="683"/>
      <c r="AO5" s="683"/>
      <c r="AP5" s="683"/>
      <c r="AQ5" s="683"/>
      <c r="AR5" s="683"/>
      <c r="AS5" s="683"/>
      <c r="AT5" s="683"/>
      <c r="AU5" s="683"/>
      <c r="AV5" s="683"/>
      <c r="AW5" s="683"/>
      <c r="AX5" s="683"/>
      <c r="AY5" s="683"/>
      <c r="AZ5" s="683"/>
      <c r="BA5" s="683"/>
      <c r="BB5" s="683"/>
      <c r="BC5" s="683"/>
      <c r="BD5" s="683"/>
      <c r="BE5" s="683"/>
      <c r="BF5" s="683"/>
      <c r="BG5" s="683"/>
      <c r="BH5" s="683"/>
      <c r="BI5" s="683"/>
      <c r="BJ5" s="683"/>
      <c r="BK5" s="683"/>
      <c r="BL5" s="683"/>
      <c r="BM5" s="683"/>
      <c r="BN5" s="683"/>
      <c r="BO5" s="683"/>
      <c r="BP5" s="683"/>
      <c r="BQ5" s="683"/>
      <c r="BR5" s="683"/>
      <c r="BS5" s="683"/>
      <c r="BT5" s="683"/>
      <c r="BU5" s="683"/>
      <c r="BV5" s="683"/>
      <c r="BW5" s="683"/>
      <c r="BX5" s="683"/>
      <c r="BY5" s="683"/>
      <c r="BZ5" s="683"/>
      <c r="CA5" s="683"/>
      <c r="CB5" s="683"/>
      <c r="CC5" s="683"/>
      <c r="CD5" s="683"/>
      <c r="CE5" s="683"/>
      <c r="CF5" s="683"/>
      <c r="CG5" s="683"/>
      <c r="CH5" s="683"/>
      <c r="CI5" s="683"/>
      <c r="CJ5" s="683"/>
      <c r="CK5" s="683"/>
      <c r="CL5" s="683"/>
      <c r="CM5" s="683"/>
      <c r="CN5" s="683"/>
      <c r="CO5" s="683"/>
      <c r="CP5" s="683"/>
      <c r="CQ5" s="683"/>
      <c r="CR5" s="683"/>
      <c r="CS5" s="683"/>
      <c r="CT5" s="683"/>
      <c r="CU5" s="683"/>
      <c r="CV5" s="683"/>
      <c r="CW5" s="683"/>
      <c r="CX5" s="683"/>
      <c r="CY5" s="683"/>
      <c r="CZ5" s="683"/>
      <c r="DA5" s="683"/>
      <c r="DB5" s="683"/>
      <c r="DC5" s="683"/>
      <c r="DD5" s="683"/>
      <c r="DE5" s="683"/>
      <c r="DF5" s="683"/>
      <c r="DG5" s="683"/>
      <c r="DH5" s="683"/>
      <c r="DI5" s="683"/>
      <c r="DJ5" s="683"/>
      <c r="DK5" s="683"/>
      <c r="DL5" s="683"/>
      <c r="DM5" s="683"/>
      <c r="DN5" s="683"/>
      <c r="DO5" s="683"/>
      <c r="DP5" s="683"/>
      <c r="DQ5" s="683"/>
      <c r="DR5" s="683"/>
      <c r="DS5" s="683"/>
      <c r="DT5" s="683"/>
      <c r="DU5" s="683"/>
      <c r="DV5" s="683"/>
      <c r="DW5" s="683"/>
      <c r="DX5" s="683"/>
      <c r="DY5" s="683"/>
      <c r="DZ5" s="683"/>
      <c r="EA5" s="683"/>
      <c r="EB5" s="683"/>
      <c r="EC5" s="683"/>
      <c r="ED5" s="113" t="s">
        <v>1</v>
      </c>
    </row>
    <row r="6" spans="1:134" s="687" customFormat="1" x14ac:dyDescent="0.2">
      <c r="A6" s="688" t="s">
        <v>168</v>
      </c>
      <c r="B6" s="683"/>
      <c r="C6" s="683"/>
      <c r="D6" s="683"/>
      <c r="E6" s="683"/>
      <c r="F6" s="683"/>
      <c r="G6" s="683"/>
      <c r="H6" s="683"/>
      <c r="I6" s="683"/>
      <c r="J6" s="683"/>
      <c r="K6" s="683"/>
      <c r="L6" s="683"/>
      <c r="M6" s="683"/>
      <c r="N6" s="683"/>
      <c r="O6" s="683"/>
      <c r="P6" s="683"/>
      <c r="Q6" s="683"/>
      <c r="R6" s="683"/>
      <c r="S6" s="683"/>
      <c r="T6" s="683"/>
      <c r="U6" s="683"/>
      <c r="V6" s="683"/>
      <c r="W6" s="683"/>
      <c r="X6" s="683"/>
      <c r="Y6" s="683"/>
      <c r="Z6" s="683"/>
      <c r="AA6" s="683"/>
      <c r="AB6" s="683"/>
      <c r="AC6" s="683"/>
      <c r="AD6" s="683"/>
      <c r="AE6" s="683"/>
      <c r="AF6" s="683"/>
      <c r="AG6" s="683"/>
      <c r="AH6" s="683"/>
      <c r="AI6" s="683"/>
      <c r="AJ6" s="683"/>
      <c r="AK6" s="683"/>
      <c r="AL6" s="683"/>
      <c r="AM6" s="683"/>
      <c r="AN6" s="683"/>
      <c r="AO6" s="683"/>
      <c r="AP6" s="683"/>
      <c r="AQ6" s="683"/>
      <c r="AR6" s="683"/>
      <c r="AS6" s="683"/>
      <c r="AT6" s="683"/>
      <c r="AU6" s="683"/>
      <c r="AV6" s="683"/>
      <c r="AW6" s="683"/>
      <c r="AX6" s="683"/>
      <c r="AY6" s="683"/>
      <c r="AZ6" s="683"/>
      <c r="BA6" s="683"/>
      <c r="BB6" s="683"/>
      <c r="BC6" s="683"/>
      <c r="BD6" s="683"/>
      <c r="BE6" s="683"/>
      <c r="BF6" s="683"/>
      <c r="BG6" s="683"/>
      <c r="BH6" s="683"/>
      <c r="BI6" s="683"/>
      <c r="BJ6" s="683"/>
      <c r="BK6" s="683"/>
      <c r="BL6" s="683"/>
      <c r="BM6" s="683"/>
      <c r="BN6" s="683"/>
      <c r="BO6" s="683"/>
      <c r="BP6" s="683"/>
      <c r="BQ6" s="683"/>
      <c r="BR6" s="683"/>
      <c r="BS6" s="683"/>
      <c r="BT6" s="683"/>
      <c r="BU6" s="683"/>
      <c r="BV6" s="683"/>
      <c r="BW6" s="683"/>
      <c r="BX6" s="683"/>
      <c r="BY6" s="683"/>
      <c r="BZ6" s="683"/>
      <c r="CA6" s="683"/>
      <c r="CB6" s="683"/>
      <c r="CC6" s="683"/>
      <c r="CD6" s="683"/>
      <c r="CE6" s="683"/>
      <c r="CF6" s="683"/>
      <c r="CG6" s="683"/>
      <c r="CH6" s="683"/>
      <c r="CI6" s="683"/>
      <c r="CJ6" s="683"/>
      <c r="CK6" s="683"/>
      <c r="CL6" s="683"/>
      <c r="CM6" s="683"/>
      <c r="CN6" s="683"/>
      <c r="CO6" s="683"/>
      <c r="CP6" s="683"/>
      <c r="CQ6" s="683"/>
      <c r="CR6" s="683"/>
      <c r="CS6" s="683"/>
      <c r="CT6" s="683"/>
      <c r="CU6" s="683"/>
      <c r="CV6" s="683"/>
      <c r="CW6" s="683"/>
      <c r="CX6" s="683"/>
      <c r="CY6" s="683"/>
      <c r="CZ6" s="683"/>
      <c r="DA6" s="683"/>
      <c r="DB6" s="683"/>
      <c r="DC6" s="683"/>
      <c r="DD6" s="683"/>
      <c r="DE6" s="683"/>
      <c r="DF6" s="683"/>
      <c r="DG6" s="683"/>
      <c r="DH6" s="683"/>
      <c r="DI6" s="683"/>
      <c r="DJ6" s="683"/>
      <c r="DK6" s="683"/>
      <c r="DL6" s="683"/>
      <c r="DM6" s="683"/>
      <c r="DN6" s="683"/>
      <c r="DO6" s="683"/>
      <c r="DP6" s="683"/>
      <c r="DQ6" s="683"/>
      <c r="DR6" s="683"/>
      <c r="DS6" s="683"/>
      <c r="DT6" s="683"/>
      <c r="DU6" s="683"/>
      <c r="DV6" s="683"/>
      <c r="DW6" s="683"/>
      <c r="DX6" s="683"/>
      <c r="DY6" s="683"/>
      <c r="DZ6" s="683"/>
      <c r="EA6" s="683"/>
      <c r="EB6" s="683"/>
      <c r="EC6" s="683"/>
      <c r="ED6" s="113" t="s">
        <v>1</v>
      </c>
    </row>
    <row r="7" spans="1:134" s="691" customFormat="1" x14ac:dyDescent="0.2">
      <c r="A7" s="682" t="s">
        <v>599</v>
      </c>
      <c r="B7" s="689">
        <v>127373162</v>
      </c>
      <c r="C7" s="689">
        <v>119525214</v>
      </c>
      <c r="D7" s="689">
        <v>133618915.88573273</v>
      </c>
      <c r="E7" s="689">
        <v>155721260.4144277</v>
      </c>
      <c r="F7" s="689">
        <v>182921172.49998167</v>
      </c>
      <c r="G7" s="689">
        <v>190468885</v>
      </c>
      <c r="H7" s="689">
        <v>203496304</v>
      </c>
      <c r="I7" s="689">
        <v>191306750</v>
      </c>
      <c r="J7" s="689">
        <v>241759536</v>
      </c>
      <c r="K7" s="689">
        <v>234336044</v>
      </c>
      <c r="L7" s="689">
        <v>238581665.40440598</v>
      </c>
      <c r="M7" s="689">
        <v>208964937</v>
      </c>
      <c r="N7" s="689">
        <v>269521577.81535649</v>
      </c>
      <c r="O7" s="689">
        <v>266887280.18464351</v>
      </c>
      <c r="P7" s="689">
        <v>286264611.91390729</v>
      </c>
      <c r="Q7" s="689">
        <v>292672912</v>
      </c>
      <c r="R7" s="689">
        <v>241502333.08609271</v>
      </c>
      <c r="S7" s="689">
        <v>214319223</v>
      </c>
      <c r="T7" s="689">
        <v>181364156</v>
      </c>
      <c r="U7" s="689">
        <v>220788768</v>
      </c>
      <c r="V7" s="689">
        <v>254495973.5</v>
      </c>
      <c r="W7" s="689">
        <v>257334479</v>
      </c>
      <c r="X7" s="689">
        <v>293793284.5179283</v>
      </c>
      <c r="Y7" s="689">
        <v>182610351</v>
      </c>
      <c r="Z7" s="689">
        <v>0</v>
      </c>
      <c r="AA7" s="689">
        <v>140900548</v>
      </c>
      <c r="AB7" s="689">
        <v>146263086</v>
      </c>
      <c r="AC7" s="689">
        <v>119828870</v>
      </c>
      <c r="AD7" s="689">
        <v>200258733</v>
      </c>
      <c r="AE7" s="689">
        <v>206503898</v>
      </c>
      <c r="AF7" s="689">
        <v>186804306</v>
      </c>
      <c r="AG7" s="689">
        <v>220638888.32500002</v>
      </c>
      <c r="AH7" s="689">
        <v>354432755.13367635</v>
      </c>
      <c r="AI7" s="689">
        <v>305908596.7889834</v>
      </c>
      <c r="AJ7" s="689">
        <v>382602163.1035679</v>
      </c>
      <c r="AK7" s="689">
        <v>321577169.91072345</v>
      </c>
      <c r="AL7" s="689">
        <v>221847142.8799791</v>
      </c>
      <c r="AM7" s="689">
        <v>103928152.47617462</v>
      </c>
      <c r="AN7" s="689">
        <v>229507545.94999999</v>
      </c>
      <c r="AO7" s="689">
        <v>322690111</v>
      </c>
      <c r="AP7" s="689">
        <v>318471079.77997899</v>
      </c>
      <c r="AQ7" s="689">
        <v>309777508.02931261</v>
      </c>
      <c r="AR7" s="689">
        <v>276140051.35999995</v>
      </c>
      <c r="AS7" s="689">
        <v>314124397.13</v>
      </c>
      <c r="AT7" s="689">
        <v>420504821.24440998</v>
      </c>
      <c r="AU7" s="689">
        <v>387766797.39000005</v>
      </c>
      <c r="AV7" s="689">
        <v>406585986</v>
      </c>
      <c r="AW7" s="689">
        <v>367317139</v>
      </c>
      <c r="AX7" s="689">
        <v>364497378</v>
      </c>
      <c r="AY7" s="689">
        <v>418830243</v>
      </c>
      <c r="AZ7" s="690">
        <f t="shared" ref="AZ7:CS7" si="7">AZ8+AZ9</f>
        <v>322870975.1767897</v>
      </c>
      <c r="BA7" s="690">
        <f t="shared" si="7"/>
        <v>359628843.35487264</v>
      </c>
      <c r="BB7" s="690">
        <f t="shared" si="7"/>
        <v>376695151.4534688</v>
      </c>
      <c r="BC7" s="690">
        <f t="shared" si="7"/>
        <v>376498617.62746155</v>
      </c>
      <c r="BD7" s="690">
        <f t="shared" si="7"/>
        <v>426381068.204934</v>
      </c>
      <c r="BE7" s="690">
        <f t="shared" si="7"/>
        <v>464667093.57513422</v>
      </c>
      <c r="BF7" s="690">
        <f t="shared" si="7"/>
        <v>586468513.06378782</v>
      </c>
      <c r="BG7" s="690">
        <f t="shared" si="7"/>
        <v>529432974.80171537</v>
      </c>
      <c r="BH7" s="690">
        <f t="shared" si="7"/>
        <v>438052413.00878203</v>
      </c>
      <c r="BI7" s="690">
        <f t="shared" si="7"/>
        <v>483097865.52214754</v>
      </c>
      <c r="BJ7" s="690">
        <f t="shared" si="7"/>
        <v>465156106.77914608</v>
      </c>
      <c r="BK7" s="690">
        <f t="shared" si="7"/>
        <v>467761798.58857548</v>
      </c>
      <c r="BL7" s="690">
        <f t="shared" si="7"/>
        <v>356157796.08981013</v>
      </c>
      <c r="BM7" s="690">
        <f t="shared" si="7"/>
        <v>343848864.02146912</v>
      </c>
      <c r="BN7" s="690">
        <f t="shared" si="7"/>
        <v>357246301.53921914</v>
      </c>
      <c r="BO7" s="690">
        <f t="shared" si="7"/>
        <v>340491295.51765794</v>
      </c>
      <c r="BP7" s="690">
        <f t="shared" si="7"/>
        <v>317041613.21641493</v>
      </c>
      <c r="BQ7" s="690">
        <f t="shared" si="7"/>
        <v>367727559.82077271</v>
      </c>
      <c r="BR7" s="690">
        <f t="shared" si="7"/>
        <v>340522215.06612939</v>
      </c>
      <c r="BS7" s="690">
        <f t="shared" si="7"/>
        <v>309883181.41198385</v>
      </c>
      <c r="BT7" s="690">
        <f t="shared" si="7"/>
        <v>326926750.67292452</v>
      </c>
      <c r="BU7" s="690">
        <f t="shared" si="7"/>
        <v>331126951.70715314</v>
      </c>
      <c r="BV7" s="690">
        <f t="shared" si="7"/>
        <v>345838800.88999087</v>
      </c>
      <c r="BW7" s="690">
        <f t="shared" si="7"/>
        <v>358814442.13857877</v>
      </c>
      <c r="BX7" s="690">
        <f t="shared" si="7"/>
        <v>340489885.997253</v>
      </c>
      <c r="BY7" s="690">
        <f t="shared" si="7"/>
        <v>324536838.66845638</v>
      </c>
      <c r="BZ7" s="690">
        <f t="shared" si="7"/>
        <v>314658451.51999211</v>
      </c>
      <c r="CA7" s="690">
        <f t="shared" si="7"/>
        <v>283536612.59798515</v>
      </c>
      <c r="CB7" s="690">
        <f t="shared" si="7"/>
        <v>328752031.30583686</v>
      </c>
      <c r="CC7" s="690">
        <f t="shared" si="7"/>
        <v>332303203.63122046</v>
      </c>
      <c r="CD7" s="690">
        <f t="shared" si="7"/>
        <v>374321188.22292244</v>
      </c>
      <c r="CE7" s="690">
        <f t="shared" si="7"/>
        <v>419344448.09682226</v>
      </c>
      <c r="CF7" s="690">
        <f t="shared" si="7"/>
        <v>477025765.6203171</v>
      </c>
      <c r="CG7" s="690">
        <f t="shared" si="7"/>
        <v>592641444.29802144</v>
      </c>
      <c r="CH7" s="690">
        <f t="shared" si="7"/>
        <v>512359832.06920522</v>
      </c>
      <c r="CI7" s="690">
        <f t="shared" si="7"/>
        <v>508880293.69166654</v>
      </c>
      <c r="CJ7" s="690">
        <f t="shared" si="7"/>
        <v>519512444.67211092</v>
      </c>
      <c r="CK7" s="690">
        <f t="shared" si="7"/>
        <v>508328020.85000002</v>
      </c>
      <c r="CL7" s="690">
        <f t="shared" si="7"/>
        <v>438932744.76999933</v>
      </c>
      <c r="CM7" s="690">
        <f t="shared" si="7"/>
        <v>376466762.65999961</v>
      </c>
      <c r="CN7" s="690">
        <f t="shared" si="7"/>
        <v>479196803.51000047</v>
      </c>
      <c r="CO7" s="690">
        <f t="shared" si="7"/>
        <v>566540141.60000002</v>
      </c>
      <c r="CP7" s="690">
        <f t="shared" si="7"/>
        <v>691432764.24999988</v>
      </c>
      <c r="CQ7" s="690">
        <f t="shared" si="7"/>
        <v>739728865.04000056</v>
      </c>
      <c r="CR7" s="690">
        <f t="shared" si="7"/>
        <v>684737705.31000066</v>
      </c>
      <c r="CS7" s="690">
        <f t="shared" si="7"/>
        <v>671109110.16999948</v>
      </c>
      <c r="CT7" s="690">
        <f t="shared" ref="CT7:EC7" si="8">CT12*CT18</f>
        <v>691094295.16928589</v>
      </c>
      <c r="CU7" s="690">
        <f t="shared" si="8"/>
        <v>716568780.09224498</v>
      </c>
      <c r="CV7" s="690">
        <f t="shared" si="8"/>
        <v>682062192.59566927</v>
      </c>
      <c r="CW7" s="690">
        <f t="shared" si="8"/>
        <v>681231502.86992073</v>
      </c>
      <c r="CX7" s="690">
        <f t="shared" si="8"/>
        <v>635161186.96887541</v>
      </c>
      <c r="CY7" s="690">
        <f t="shared" si="8"/>
        <v>552276812.11084151</v>
      </c>
      <c r="CZ7" s="690">
        <f t="shared" si="8"/>
        <v>648069841.59598565</v>
      </c>
      <c r="DA7" s="690">
        <f t="shared" si="8"/>
        <v>797567621.12834132</v>
      </c>
      <c r="DB7" s="690">
        <f t="shared" si="8"/>
        <v>888336955.6053865</v>
      </c>
      <c r="DC7" s="690">
        <f t="shared" si="8"/>
        <v>835133256.50386441</v>
      </c>
      <c r="DD7" s="690">
        <f t="shared" si="8"/>
        <v>815639264.82517195</v>
      </c>
      <c r="DE7" s="690">
        <f t="shared" si="8"/>
        <v>786021992.36650634</v>
      </c>
      <c r="DF7" s="690">
        <f t="shared" si="8"/>
        <v>863867868.96160722</v>
      </c>
      <c r="DG7" s="690">
        <f t="shared" si="8"/>
        <v>895710975.11530638</v>
      </c>
      <c r="DH7" s="690">
        <f t="shared" si="8"/>
        <v>852577740.74458659</v>
      </c>
      <c r="DI7" s="690">
        <f t="shared" si="8"/>
        <v>851539378.58740079</v>
      </c>
      <c r="DJ7" s="690">
        <f t="shared" si="8"/>
        <v>793951483.71109426</v>
      </c>
      <c r="DK7" s="690">
        <f t="shared" si="8"/>
        <v>690346015.13855183</v>
      </c>
      <c r="DL7" s="690">
        <f t="shared" si="8"/>
        <v>810087301.994982</v>
      </c>
      <c r="DM7" s="690">
        <f t="shared" si="8"/>
        <v>996959526.41042674</v>
      </c>
      <c r="DN7" s="690">
        <f t="shared" si="8"/>
        <v>1110421194.5067332</v>
      </c>
      <c r="DO7" s="690">
        <f t="shared" si="8"/>
        <v>1043916570.6298306</v>
      </c>
      <c r="DP7" s="690">
        <f t="shared" si="8"/>
        <v>1019549081.0314649</v>
      </c>
      <c r="DQ7" s="690">
        <f t="shared" si="8"/>
        <v>982527490.45813286</v>
      </c>
      <c r="DR7" s="690">
        <f t="shared" si="8"/>
        <v>1036641442.7539288</v>
      </c>
      <c r="DS7" s="690">
        <f t="shared" si="8"/>
        <v>1074853170.1383674</v>
      </c>
      <c r="DT7" s="690">
        <f t="shared" si="8"/>
        <v>1023093288.8935039</v>
      </c>
      <c r="DU7" s="690">
        <f t="shared" si="8"/>
        <v>1021847254.304881</v>
      </c>
      <c r="DV7" s="690">
        <f t="shared" si="8"/>
        <v>952741780.45331311</v>
      </c>
      <c r="DW7" s="690">
        <f t="shared" si="8"/>
        <v>828415218.16626215</v>
      </c>
      <c r="DX7" s="690">
        <f t="shared" si="8"/>
        <v>972104762.39397848</v>
      </c>
      <c r="DY7" s="690">
        <f t="shared" si="8"/>
        <v>1196351431.6925123</v>
      </c>
      <c r="DZ7" s="690">
        <f t="shared" si="8"/>
        <v>1332505433.4080799</v>
      </c>
      <c r="EA7" s="690">
        <f t="shared" si="8"/>
        <v>1252699884.7557969</v>
      </c>
      <c r="EB7" s="690">
        <f t="shared" si="8"/>
        <v>1223458897.2377579</v>
      </c>
      <c r="EC7" s="690">
        <f t="shared" si="8"/>
        <v>1179032988.5497594</v>
      </c>
      <c r="ED7" s="113" t="s">
        <v>1</v>
      </c>
    </row>
    <row r="8" spans="1:134" s="687" customFormat="1" x14ac:dyDescent="0.2">
      <c r="A8" s="692" t="s">
        <v>3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3"/>
      <c r="N8" s="693"/>
      <c r="O8" s="693"/>
      <c r="P8" s="693"/>
      <c r="Q8" s="693"/>
      <c r="R8" s="693"/>
      <c r="S8" s="693"/>
      <c r="T8" s="693"/>
      <c r="U8" s="693"/>
      <c r="V8" s="693"/>
      <c r="W8" s="693"/>
      <c r="X8" s="693"/>
      <c r="Y8" s="693"/>
      <c r="Z8" s="693"/>
      <c r="AA8" s="693"/>
      <c r="AB8" s="693"/>
      <c r="AC8" s="693"/>
      <c r="AD8" s="693"/>
      <c r="AE8" s="693"/>
      <c r="AF8" s="693"/>
      <c r="AG8" s="693"/>
      <c r="AH8" s="693"/>
      <c r="AI8" s="693"/>
      <c r="AJ8" s="693"/>
      <c r="AK8" s="693"/>
      <c r="AL8" s="693"/>
      <c r="AM8" s="693"/>
      <c r="AN8" s="693"/>
      <c r="AO8" s="693"/>
      <c r="AP8" s="693"/>
      <c r="AQ8" s="693"/>
      <c r="AR8" s="693"/>
      <c r="AS8" s="693"/>
      <c r="AT8" s="693"/>
      <c r="AU8" s="693"/>
      <c r="AV8" s="693"/>
      <c r="AW8" s="693"/>
      <c r="AX8" s="693"/>
      <c r="AY8" s="693"/>
      <c r="AZ8" s="694">
        <v>57900213.295814104</v>
      </c>
      <c r="BA8" s="694">
        <v>62484772.600000001</v>
      </c>
      <c r="BB8" s="694">
        <v>63293292.101395138</v>
      </c>
      <c r="BC8" s="694">
        <v>112719322.40801412</v>
      </c>
      <c r="BD8" s="694">
        <v>101615364.11710085</v>
      </c>
      <c r="BE8" s="694">
        <v>122469494.89015003</v>
      </c>
      <c r="BF8" s="694">
        <v>147769886.55559939</v>
      </c>
      <c r="BG8" s="694">
        <v>112084845.54999986</v>
      </c>
      <c r="BH8" s="694">
        <v>59806800.499999911</v>
      </c>
      <c r="BI8" s="694">
        <v>64466320.749999851</v>
      </c>
      <c r="BJ8" s="694">
        <v>39228576.649999946</v>
      </c>
      <c r="BK8" s="694">
        <v>32647112.999999903</v>
      </c>
      <c r="BL8" s="694">
        <v>33153913.000000041</v>
      </c>
      <c r="BM8" s="694">
        <v>15345796.000000387</v>
      </c>
      <c r="BN8" s="694">
        <v>12681234.999999998</v>
      </c>
      <c r="BO8" s="694">
        <v>18397364.999999866</v>
      </c>
      <c r="BP8" s="694">
        <v>28562914.000000004</v>
      </c>
      <c r="BQ8" s="694">
        <v>51819029.00000006</v>
      </c>
      <c r="BR8" s="694">
        <v>42511548.720000289</v>
      </c>
      <c r="BS8" s="694">
        <v>26524843.000000019</v>
      </c>
      <c r="BT8" s="694">
        <v>18495206</v>
      </c>
      <c r="BU8" s="694">
        <v>31427878.000000097</v>
      </c>
      <c r="BV8" s="694">
        <v>27850812.400000036</v>
      </c>
      <c r="BW8" s="694">
        <v>22729297.00000003</v>
      </c>
      <c r="BX8" s="694">
        <v>10946709.999999994</v>
      </c>
      <c r="BY8" s="694">
        <v>21263729.999999959</v>
      </c>
      <c r="BZ8" s="694">
        <v>29270284.000000041</v>
      </c>
      <c r="CA8" s="694">
        <v>35801443.000000045</v>
      </c>
      <c r="CB8" s="694">
        <v>25116075.999999996</v>
      </c>
      <c r="CC8" s="694">
        <v>15694578.999999998</v>
      </c>
      <c r="CD8" s="694">
        <v>35993005.999999888</v>
      </c>
      <c r="CE8" s="694">
        <v>54975278.999999918</v>
      </c>
      <c r="CF8" s="694">
        <v>35182058.00000003</v>
      </c>
      <c r="CG8" s="694">
        <v>70684510.999999911</v>
      </c>
      <c r="CH8" s="694">
        <v>57976140.191176698</v>
      </c>
      <c r="CI8" s="694">
        <v>56362233.000000045</v>
      </c>
      <c r="CJ8" s="694">
        <v>25843707.000000019</v>
      </c>
      <c r="CK8" s="694">
        <v>29562162.310000006</v>
      </c>
      <c r="CL8" s="694">
        <v>19353126.289999995</v>
      </c>
      <c r="CM8" s="694">
        <v>16747344.409999996</v>
      </c>
      <c r="CN8" s="694">
        <v>22624142.569999993</v>
      </c>
      <c r="CO8" s="694">
        <v>41629922.06999997</v>
      </c>
      <c r="CP8" s="694">
        <v>72883676.139999956</v>
      </c>
      <c r="CQ8" s="694">
        <v>54851941.210000023</v>
      </c>
      <c r="CR8" s="694">
        <v>38432466.660000041</v>
      </c>
      <c r="CS8" s="694">
        <v>26174247.53999975</v>
      </c>
      <c r="CT8" s="693">
        <f t="shared" ref="CT8:DS8" si="9">CS8/CS$7*CT$7</f>
        <v>26953699.303322565</v>
      </c>
      <c r="CU8" s="693">
        <f t="shared" si="9"/>
        <v>27947241.879668493</v>
      </c>
      <c r="CV8" s="693">
        <f t="shared" si="9"/>
        <v>26601433.948872786</v>
      </c>
      <c r="CW8" s="693">
        <f t="shared" si="9"/>
        <v>26569035.821383253</v>
      </c>
      <c r="CX8" s="693">
        <f t="shared" si="9"/>
        <v>24772225.385693457</v>
      </c>
      <c r="CY8" s="693">
        <f t="shared" si="9"/>
        <v>21539612.220625903</v>
      </c>
      <c r="CZ8" s="693">
        <f t="shared" si="9"/>
        <v>25275682.001761086</v>
      </c>
      <c r="DA8" s="693">
        <f t="shared" si="9"/>
        <v>31106316.437894698</v>
      </c>
      <c r="DB8" s="693">
        <f t="shared" si="9"/>
        <v>34646454.686116949</v>
      </c>
      <c r="DC8" s="693">
        <f t="shared" si="9"/>
        <v>32571431.758810613</v>
      </c>
      <c r="DD8" s="693">
        <f t="shared" si="9"/>
        <v>31811137.261226546</v>
      </c>
      <c r="DE8" s="693">
        <f t="shared" si="9"/>
        <v>30656019.845823914</v>
      </c>
      <c r="DF8" s="693">
        <f t="shared" si="9"/>
        <v>33692124.129153199</v>
      </c>
      <c r="DG8" s="693">
        <f t="shared" si="9"/>
        <v>34934052.349585623</v>
      </c>
      <c r="DH8" s="693">
        <f t="shared" si="9"/>
        <v>33251792.436090983</v>
      </c>
      <c r="DI8" s="693">
        <f t="shared" si="9"/>
        <v>33211294.776729058</v>
      </c>
      <c r="DJ8" s="693">
        <f t="shared" si="9"/>
        <v>30965281.732116822</v>
      </c>
      <c r="DK8" s="693">
        <f t="shared" si="9"/>
        <v>26924515.275782377</v>
      </c>
      <c r="DL8" s="693">
        <f t="shared" si="9"/>
        <v>31594602.502201356</v>
      </c>
      <c r="DM8" s="693">
        <f t="shared" si="9"/>
        <v>38882895.547368377</v>
      </c>
      <c r="DN8" s="693">
        <f t="shared" si="9"/>
        <v>43308068.35764619</v>
      </c>
      <c r="DO8" s="693">
        <f t="shared" si="9"/>
        <v>40714289.698513269</v>
      </c>
      <c r="DP8" s="693">
        <f t="shared" si="9"/>
        <v>39763921.576533183</v>
      </c>
      <c r="DQ8" s="693">
        <f t="shared" si="9"/>
        <v>38320024.807279885</v>
      </c>
      <c r="DR8" s="693">
        <f t="shared" si="9"/>
        <v>40430548.954983845</v>
      </c>
      <c r="DS8" s="693">
        <f t="shared" si="9"/>
        <v>41920862.819502734</v>
      </c>
      <c r="DT8" s="693">
        <f t="shared" ref="DT8:DT9" si="10">DS8/DS$7*DT$7</f>
        <v>39902150.923309177</v>
      </c>
      <c r="DU8" s="693">
        <f t="shared" ref="DU8:DU9" si="11">DT8/DT$7*DU$7</f>
        <v>39853553.732074864</v>
      </c>
      <c r="DV8" s="693">
        <f t="shared" ref="DV8:DV9" si="12">DU8/DU$7*DV$7</f>
        <v>37158338.078540176</v>
      </c>
      <c r="DW8" s="693">
        <f t="shared" ref="DW8:DW9" si="13">DV8/DV$7*DW$7</f>
        <v>32309418.330938846</v>
      </c>
      <c r="DX8" s="693">
        <f t="shared" ref="DX8:DX9" si="14">DW8/DW$7*DX$7</f>
        <v>37913523.002641626</v>
      </c>
      <c r="DY8" s="693">
        <f t="shared" ref="DY8:DY9" si="15">DX8/DX$7*DY$7</f>
        <v>46659474.656842053</v>
      </c>
      <c r="DZ8" s="693">
        <f t="shared" ref="DZ8:DZ9" si="16">DY8/DY$7*DZ$7</f>
        <v>51969682.029175416</v>
      </c>
      <c r="EA8" s="693">
        <f t="shared" ref="EA8:EA9" si="17">DZ8/DZ$7*EA$7</f>
        <v>48857147.638215922</v>
      </c>
      <c r="EB8" s="693">
        <f t="shared" ref="EB8:EB9" si="18">EA8/EA$7*EB$7</f>
        <v>47716705.89183981</v>
      </c>
      <c r="EC8" s="693">
        <f t="shared" ref="EC8:EC9" si="19">EB8/EB$7*EC$7</f>
        <v>45984029.768735856</v>
      </c>
      <c r="ED8" s="113" t="s">
        <v>1</v>
      </c>
    </row>
    <row r="9" spans="1:134" s="687" customFormat="1" x14ac:dyDescent="0.2">
      <c r="A9" s="692" t="s">
        <v>4</v>
      </c>
      <c r="B9" s="693"/>
      <c r="C9" s="693"/>
      <c r="D9" s="693"/>
      <c r="E9" s="693"/>
      <c r="F9" s="693"/>
      <c r="G9" s="693"/>
      <c r="H9" s="693"/>
      <c r="I9" s="693"/>
      <c r="J9" s="693"/>
      <c r="K9" s="693"/>
      <c r="L9" s="693"/>
      <c r="M9" s="693"/>
      <c r="N9" s="693"/>
      <c r="O9" s="693"/>
      <c r="P9" s="693"/>
      <c r="Q9" s="693"/>
      <c r="R9" s="693"/>
      <c r="S9" s="693"/>
      <c r="T9" s="693"/>
      <c r="U9" s="693"/>
      <c r="V9" s="693"/>
      <c r="W9" s="693"/>
      <c r="X9" s="693"/>
      <c r="Y9" s="693"/>
      <c r="Z9" s="693"/>
      <c r="AA9" s="693"/>
      <c r="AB9" s="693"/>
      <c r="AC9" s="693"/>
      <c r="AD9" s="693"/>
      <c r="AE9" s="693"/>
      <c r="AF9" s="693"/>
      <c r="AG9" s="693"/>
      <c r="AH9" s="693"/>
      <c r="AI9" s="693"/>
      <c r="AJ9" s="693"/>
      <c r="AK9" s="693"/>
      <c r="AL9" s="693"/>
      <c r="AM9" s="693"/>
      <c r="AN9" s="693"/>
      <c r="AO9" s="693"/>
      <c r="AP9" s="693"/>
      <c r="AQ9" s="693"/>
      <c r="AR9" s="693"/>
      <c r="AS9" s="693"/>
      <c r="AT9" s="693"/>
      <c r="AU9" s="693"/>
      <c r="AV9" s="693"/>
      <c r="AW9" s="693"/>
      <c r="AX9" s="693"/>
      <c r="AY9" s="693"/>
      <c r="AZ9" s="694">
        <v>264970761.88097557</v>
      </c>
      <c r="BA9" s="694">
        <v>297144070.75487262</v>
      </c>
      <c r="BB9" s="694">
        <v>313401859.35207367</v>
      </c>
      <c r="BC9" s="694">
        <v>263779295.21944746</v>
      </c>
      <c r="BD9" s="694">
        <v>324765704.08783317</v>
      </c>
      <c r="BE9" s="694">
        <v>342197598.68498421</v>
      </c>
      <c r="BF9" s="694">
        <v>438698626.50818843</v>
      </c>
      <c r="BG9" s="694">
        <v>417348129.25171548</v>
      </c>
      <c r="BH9" s="694">
        <v>378245612.50878215</v>
      </c>
      <c r="BI9" s="694">
        <v>418631544.77214772</v>
      </c>
      <c r="BJ9" s="694">
        <v>425927530.1291461</v>
      </c>
      <c r="BK9" s="694">
        <v>435114685.5885756</v>
      </c>
      <c r="BL9" s="694">
        <v>323003883.08981007</v>
      </c>
      <c r="BM9" s="694">
        <v>328503068.02146876</v>
      </c>
      <c r="BN9" s="694">
        <v>344565066.53921914</v>
      </c>
      <c r="BO9" s="694">
        <v>322093930.51765805</v>
      </c>
      <c r="BP9" s="694">
        <v>288478699.21641493</v>
      </c>
      <c r="BQ9" s="694">
        <v>315908530.82077265</v>
      </c>
      <c r="BR9" s="694">
        <v>298010666.34612912</v>
      </c>
      <c r="BS9" s="694">
        <v>283358338.41198385</v>
      </c>
      <c r="BT9" s="694">
        <v>308431544.67292452</v>
      </c>
      <c r="BU9" s="694">
        <v>299699073.70715302</v>
      </c>
      <c r="BV9" s="694">
        <v>317987988.48999083</v>
      </c>
      <c r="BW9" s="694">
        <v>336085145.13857871</v>
      </c>
      <c r="BX9" s="694">
        <v>329543175.997253</v>
      </c>
      <c r="BY9" s="694">
        <v>303273108.66845644</v>
      </c>
      <c r="BZ9" s="694">
        <v>285388167.51999205</v>
      </c>
      <c r="CA9" s="694">
        <v>247735169.59798512</v>
      </c>
      <c r="CB9" s="694">
        <v>303635955.30583686</v>
      </c>
      <c r="CC9" s="694">
        <v>316608624.63122046</v>
      </c>
      <c r="CD9" s="694">
        <v>338328182.22292256</v>
      </c>
      <c r="CE9" s="694">
        <v>364369169.09682232</v>
      </c>
      <c r="CF9" s="694">
        <v>441843707.62031704</v>
      </c>
      <c r="CG9" s="694">
        <v>521956933.29802155</v>
      </c>
      <c r="CH9" s="694">
        <v>454383691.87802851</v>
      </c>
      <c r="CI9" s="694">
        <v>452518060.69166648</v>
      </c>
      <c r="CJ9" s="694">
        <v>493668737.67211092</v>
      </c>
      <c r="CK9" s="694">
        <v>478765858.54000002</v>
      </c>
      <c r="CL9" s="694">
        <v>419579618.4799993</v>
      </c>
      <c r="CM9" s="694">
        <v>359719418.24999964</v>
      </c>
      <c r="CN9" s="694">
        <v>456572660.94000047</v>
      </c>
      <c r="CO9" s="694">
        <v>524910219.53000003</v>
      </c>
      <c r="CP9" s="694">
        <v>618549088.1099999</v>
      </c>
      <c r="CQ9" s="694">
        <v>684876923.83000052</v>
      </c>
      <c r="CR9" s="694">
        <v>646305238.65000057</v>
      </c>
      <c r="CS9" s="694">
        <v>644934862.62999976</v>
      </c>
      <c r="CT9" s="693">
        <f t="shared" ref="CT9:DS9" si="20">CS9/CS$7*CT$7</f>
        <v>664140595.86596334</v>
      </c>
      <c r="CU9" s="693">
        <f t="shared" si="20"/>
        <v>688621538.21257651</v>
      </c>
      <c r="CV9" s="693">
        <f t="shared" si="20"/>
        <v>655460758.64679658</v>
      </c>
      <c r="CW9" s="693">
        <f t="shared" si="20"/>
        <v>654662467.04853761</v>
      </c>
      <c r="CX9" s="693">
        <f t="shared" si="20"/>
        <v>610388961.5831821</v>
      </c>
      <c r="CY9" s="693">
        <f t="shared" si="20"/>
        <v>530737199.89021569</v>
      </c>
      <c r="CZ9" s="693">
        <f t="shared" si="20"/>
        <v>622794159.59422469</v>
      </c>
      <c r="DA9" s="693">
        <f t="shared" si="20"/>
        <v>766461304.69044673</v>
      </c>
      <c r="DB9" s="693">
        <f t="shared" si="20"/>
        <v>853690500.91926968</v>
      </c>
      <c r="DC9" s="693">
        <f t="shared" si="20"/>
        <v>802561824.74505389</v>
      </c>
      <c r="DD9" s="693">
        <f t="shared" si="20"/>
        <v>783828127.56394541</v>
      </c>
      <c r="DE9" s="693">
        <f t="shared" si="20"/>
        <v>755365972.52068233</v>
      </c>
      <c r="DF9" s="693">
        <f t="shared" si="20"/>
        <v>830175744.83245385</v>
      </c>
      <c r="DG9" s="693">
        <f t="shared" si="20"/>
        <v>860776922.76572061</v>
      </c>
      <c r="DH9" s="693">
        <f t="shared" si="20"/>
        <v>819325948.30849552</v>
      </c>
      <c r="DI9" s="693">
        <f t="shared" si="20"/>
        <v>818328083.81067169</v>
      </c>
      <c r="DJ9" s="693">
        <f t="shared" si="20"/>
        <v>762986201.97897744</v>
      </c>
      <c r="DK9" s="693">
        <f t="shared" si="20"/>
        <v>663421499.86276937</v>
      </c>
      <c r="DL9" s="693">
        <f t="shared" si="20"/>
        <v>778492699.49278057</v>
      </c>
      <c r="DM9" s="693">
        <f t="shared" si="20"/>
        <v>958076630.86305821</v>
      </c>
      <c r="DN9" s="693">
        <f t="shared" si="20"/>
        <v>1067113126.1490868</v>
      </c>
      <c r="DO9" s="693">
        <f t="shared" si="20"/>
        <v>1003202280.9313172</v>
      </c>
      <c r="DP9" s="693">
        <f t="shared" si="20"/>
        <v>979785159.45493162</v>
      </c>
      <c r="DQ9" s="693">
        <f t="shared" si="20"/>
        <v>944207465.6508528</v>
      </c>
      <c r="DR9" s="693">
        <f t="shared" si="20"/>
        <v>996210893.79894483</v>
      </c>
      <c r="DS9" s="693">
        <f t="shared" si="20"/>
        <v>1032932307.3188645</v>
      </c>
      <c r="DT9" s="693">
        <f t="shared" si="10"/>
        <v>983191137.97019458</v>
      </c>
      <c r="DU9" s="693">
        <f t="shared" si="11"/>
        <v>981993700.572806</v>
      </c>
      <c r="DV9" s="693">
        <f t="shared" si="12"/>
        <v>915583442.37477279</v>
      </c>
      <c r="DW9" s="693">
        <f t="shared" si="13"/>
        <v>796105799.83532321</v>
      </c>
      <c r="DX9" s="693">
        <f t="shared" si="14"/>
        <v>934191239.39133668</v>
      </c>
      <c r="DY9" s="693">
        <f t="shared" si="15"/>
        <v>1149691957.03567</v>
      </c>
      <c r="DZ9" s="693">
        <f t="shared" si="16"/>
        <v>1280535751.3789043</v>
      </c>
      <c r="EA9" s="693">
        <f t="shared" si="17"/>
        <v>1203842737.1175809</v>
      </c>
      <c r="EB9" s="693">
        <f t="shared" si="18"/>
        <v>1175742191.3459179</v>
      </c>
      <c r="EC9" s="693">
        <f t="shared" si="19"/>
        <v>1133048958.7810233</v>
      </c>
      <c r="ED9" s="113" t="s">
        <v>1</v>
      </c>
    </row>
    <row r="10" spans="1:134" s="687" customFormat="1" x14ac:dyDescent="0.2">
      <c r="A10" s="692"/>
      <c r="B10" s="683"/>
      <c r="C10" s="683"/>
      <c r="D10" s="683"/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3"/>
      <c r="R10" s="683"/>
      <c r="S10" s="683"/>
      <c r="T10" s="683"/>
      <c r="U10" s="683"/>
      <c r="V10" s="683"/>
      <c r="W10" s="683"/>
      <c r="X10" s="683"/>
      <c r="Y10" s="683"/>
      <c r="Z10" s="683"/>
      <c r="AA10" s="683"/>
      <c r="AB10" s="683"/>
      <c r="AC10" s="683"/>
      <c r="AD10" s="683"/>
      <c r="AE10" s="683"/>
      <c r="AF10" s="683"/>
      <c r="AG10" s="683"/>
      <c r="AH10" s="683"/>
      <c r="AI10" s="683"/>
      <c r="AJ10" s="683"/>
      <c r="AK10" s="683"/>
      <c r="AL10" s="683"/>
      <c r="AM10" s="683"/>
      <c r="AN10" s="683"/>
      <c r="AO10" s="683"/>
      <c r="AP10" s="683"/>
      <c r="AQ10" s="683"/>
      <c r="AR10" s="683"/>
      <c r="AS10" s="683"/>
      <c r="AT10" s="683"/>
      <c r="AU10" s="683"/>
      <c r="AV10" s="683"/>
      <c r="AW10" s="683"/>
      <c r="AX10" s="683"/>
      <c r="AY10" s="683"/>
      <c r="AZ10" s="683"/>
      <c r="BA10" s="683"/>
      <c r="BB10" s="683"/>
      <c r="BC10" s="683"/>
      <c r="BD10" s="683"/>
      <c r="BE10" s="683"/>
      <c r="BF10" s="683"/>
      <c r="BG10" s="683"/>
      <c r="BH10" s="683"/>
      <c r="BI10" s="683"/>
      <c r="BJ10" s="683"/>
      <c r="BK10" s="683"/>
      <c r="BL10" s="683"/>
      <c r="BM10" s="683"/>
      <c r="BN10" s="683"/>
      <c r="BO10" s="683"/>
      <c r="BP10" s="683"/>
      <c r="BQ10" s="683"/>
      <c r="BR10" s="683"/>
      <c r="BS10" s="683"/>
      <c r="BT10" s="683"/>
      <c r="BU10" s="683"/>
      <c r="BV10" s="683"/>
      <c r="BW10" s="683"/>
      <c r="BX10" s="683"/>
      <c r="BY10" s="683"/>
      <c r="BZ10" s="683"/>
      <c r="CA10" s="683"/>
      <c r="CB10" s="683"/>
      <c r="CC10" s="683"/>
      <c r="CD10" s="683"/>
      <c r="CE10" s="683"/>
      <c r="CF10" s="683"/>
      <c r="CG10" s="683"/>
      <c r="CH10" s="683"/>
      <c r="CI10" s="683"/>
      <c r="CJ10" s="683"/>
      <c r="CK10" s="683"/>
      <c r="CL10" s="683"/>
      <c r="CM10" s="683"/>
      <c r="CN10" s="683"/>
      <c r="CO10" s="683"/>
      <c r="CP10" s="683"/>
      <c r="CQ10" s="683"/>
      <c r="CR10" s="683"/>
      <c r="CS10" s="683"/>
      <c r="CT10" s="683"/>
      <c r="CU10" s="683"/>
      <c r="CV10" s="683"/>
      <c r="CW10" s="683"/>
      <c r="CX10" s="683"/>
      <c r="CY10" s="683"/>
      <c r="CZ10" s="683"/>
      <c r="DA10" s="683"/>
      <c r="DB10" s="683"/>
      <c r="DC10" s="683"/>
      <c r="DD10" s="683"/>
      <c r="DE10" s="683"/>
      <c r="DF10" s="683"/>
      <c r="DG10" s="683"/>
      <c r="DH10" s="683"/>
      <c r="DI10" s="683"/>
      <c r="DJ10" s="683"/>
      <c r="DK10" s="683"/>
      <c r="DL10" s="683"/>
      <c r="DM10" s="683"/>
      <c r="DN10" s="683"/>
      <c r="DO10" s="683"/>
      <c r="DP10" s="683"/>
      <c r="DQ10" s="683"/>
      <c r="DR10" s="683"/>
      <c r="DS10" s="683"/>
      <c r="DT10" s="683"/>
      <c r="DU10" s="683"/>
      <c r="DV10" s="683"/>
      <c r="DW10" s="683"/>
      <c r="DX10" s="683"/>
      <c r="DY10" s="683"/>
      <c r="DZ10" s="683"/>
      <c r="EA10" s="683"/>
      <c r="EB10" s="683"/>
      <c r="EC10" s="683"/>
      <c r="ED10" s="113" t="s">
        <v>1</v>
      </c>
    </row>
    <row r="11" spans="1:134" x14ac:dyDescent="0.2">
      <c r="A11" s="688" t="s">
        <v>5</v>
      </c>
      <c r="B11" s="695"/>
      <c r="C11" s="695"/>
      <c r="D11" s="695"/>
      <c r="E11" s="695"/>
      <c r="F11" s="695"/>
      <c r="G11" s="695"/>
      <c r="H11" s="695"/>
      <c r="I11" s="695"/>
      <c r="J11" s="695"/>
      <c r="K11" s="695"/>
      <c r="L11" s="695"/>
      <c r="M11" s="695"/>
      <c r="N11" s="695"/>
      <c r="O11" s="695"/>
      <c r="P11" s="695"/>
      <c r="Q11" s="695"/>
      <c r="R11" s="695"/>
      <c r="S11" s="695"/>
      <c r="T11" s="695"/>
      <c r="U11" s="695"/>
      <c r="V11" s="695"/>
      <c r="W11" s="695"/>
      <c r="X11" s="695"/>
      <c r="Y11" s="695"/>
      <c r="Z11" s="695"/>
      <c r="AA11" s="695"/>
      <c r="AB11" s="695"/>
      <c r="AC11" s="695"/>
      <c r="AD11" s="695"/>
      <c r="AE11" s="695"/>
      <c r="AF11" s="695"/>
      <c r="AG11" s="695"/>
      <c r="AH11" s="695"/>
      <c r="AI11" s="695"/>
      <c r="AJ11" s="695"/>
      <c r="AK11" s="695"/>
      <c r="AL11" s="695"/>
      <c r="AM11" s="695"/>
      <c r="AN11" s="695"/>
      <c r="AO11" s="695"/>
      <c r="AP11" s="695"/>
      <c r="AQ11" s="695"/>
      <c r="AR11" s="695"/>
      <c r="AS11" s="695"/>
      <c r="AT11" s="695"/>
      <c r="AU11" s="695"/>
      <c r="AV11" s="695"/>
      <c r="AW11" s="695"/>
      <c r="AX11" s="695"/>
      <c r="AY11" s="695"/>
      <c r="AZ11" s="695"/>
      <c r="BA11" s="695"/>
      <c r="BB11" s="695"/>
      <c r="BC11" s="695"/>
      <c r="BD11" s="695"/>
      <c r="BE11" s="695"/>
      <c r="BF11" s="695"/>
      <c r="BG11" s="695"/>
      <c r="BH11" s="695"/>
      <c r="BI11" s="695"/>
      <c r="BJ11" s="695"/>
      <c r="BK11" s="695"/>
      <c r="BL11" s="695"/>
      <c r="BM11" s="695"/>
      <c r="BN11" s="695"/>
      <c r="BO11" s="695"/>
      <c r="BP11" s="695"/>
      <c r="BQ11" s="695"/>
      <c r="BR11" s="695"/>
      <c r="BS11" s="695"/>
      <c r="BT11" s="695"/>
      <c r="BU11" s="695"/>
      <c r="BV11" s="695"/>
      <c r="BW11" s="695"/>
      <c r="BX11" s="695"/>
      <c r="BY11" s="695"/>
      <c r="BZ11" s="695"/>
      <c r="CA11" s="695"/>
      <c r="CB11" s="695"/>
      <c r="CC11" s="695"/>
      <c r="CD11" s="695"/>
      <c r="CE11" s="695"/>
      <c r="CF11" s="695"/>
      <c r="CG11" s="695"/>
      <c r="CH11" s="695"/>
      <c r="CI11" s="695"/>
      <c r="CJ11" s="695"/>
      <c r="CK11" s="695"/>
      <c r="CL11" s="695"/>
      <c r="CM11" s="695"/>
      <c r="CN11" s="695"/>
      <c r="CO11" s="695"/>
      <c r="CP11" s="695"/>
      <c r="CQ11" s="695"/>
      <c r="CR11" s="695"/>
      <c r="CS11" s="695"/>
      <c r="CT11" s="696"/>
      <c r="CU11" s="695"/>
      <c r="CV11" s="695"/>
      <c r="CW11" s="695"/>
      <c r="CX11" s="695"/>
      <c r="CY11" s="695"/>
      <c r="CZ11" s="695"/>
      <c r="DA11" s="695"/>
      <c r="DB11" s="695"/>
      <c r="DC11" s="695"/>
      <c r="DD11" s="695"/>
      <c r="DE11" s="695"/>
      <c r="DF11" s="695"/>
      <c r="DG11" s="695"/>
      <c r="DH11" s="695"/>
      <c r="DI11" s="695"/>
      <c r="DJ11" s="695"/>
      <c r="DK11" s="695"/>
      <c r="DL11" s="695"/>
      <c r="DM11" s="695"/>
      <c r="DN11" s="695"/>
      <c r="DO11" s="695"/>
      <c r="DP11" s="695"/>
      <c r="DQ11" s="695"/>
      <c r="DR11" s="695"/>
      <c r="DS11" s="695"/>
      <c r="DT11" s="695"/>
      <c r="DU11" s="695"/>
      <c r="DV11" s="695"/>
      <c r="DW11" s="695"/>
      <c r="DX11" s="695"/>
      <c r="DY11" s="695"/>
      <c r="DZ11" s="695"/>
      <c r="EA11" s="695"/>
      <c r="EB11" s="695"/>
      <c r="EC11" s="695"/>
      <c r="ED11" s="113" t="s">
        <v>1</v>
      </c>
    </row>
    <row r="12" spans="1:134" s="331" customFormat="1" x14ac:dyDescent="0.2">
      <c r="A12" s="330" t="s">
        <v>64</v>
      </c>
      <c r="B12" s="697">
        <v>32077</v>
      </c>
      <c r="C12" s="697">
        <v>28685</v>
      </c>
      <c r="D12" s="697">
        <v>34758</v>
      </c>
      <c r="E12" s="697">
        <v>39298</v>
      </c>
      <c r="F12" s="697">
        <v>47222</v>
      </c>
      <c r="G12" s="697">
        <v>49152</v>
      </c>
      <c r="H12" s="697">
        <v>52716</v>
      </c>
      <c r="I12" s="697">
        <v>52798</v>
      </c>
      <c r="J12" s="697">
        <v>67323</v>
      </c>
      <c r="K12" s="697">
        <v>62990</v>
      </c>
      <c r="L12" s="697">
        <v>67278</v>
      </c>
      <c r="M12" s="697">
        <v>53088</v>
      </c>
      <c r="N12" s="697">
        <v>72396</v>
      </c>
      <c r="O12" s="697">
        <v>75630</v>
      </c>
      <c r="P12" s="697">
        <v>76377</v>
      </c>
      <c r="Q12" s="697">
        <v>71644</v>
      </c>
      <c r="R12" s="697">
        <v>63244</v>
      </c>
      <c r="S12" s="697">
        <v>56263</v>
      </c>
      <c r="T12" s="697">
        <v>46046</v>
      </c>
      <c r="U12" s="697">
        <v>53509</v>
      </c>
      <c r="V12" s="697">
        <v>66574</v>
      </c>
      <c r="W12" s="697">
        <v>66672</v>
      </c>
      <c r="X12" s="697">
        <v>82936</v>
      </c>
      <c r="Y12" s="697">
        <v>53988</v>
      </c>
      <c r="Z12" s="697">
        <v>0</v>
      </c>
      <c r="AA12" s="697">
        <v>39616</v>
      </c>
      <c r="AB12" s="697">
        <v>42186</v>
      </c>
      <c r="AC12" s="697">
        <v>23110</v>
      </c>
      <c r="AD12" s="697">
        <v>42469</v>
      </c>
      <c r="AE12" s="697">
        <v>37673</v>
      </c>
      <c r="AF12" s="697">
        <v>38371</v>
      </c>
      <c r="AG12" s="697">
        <v>52592</v>
      </c>
      <c r="AH12" s="697">
        <v>66087</v>
      </c>
      <c r="AI12" s="697">
        <v>50483</v>
      </c>
      <c r="AJ12" s="697">
        <v>69399</v>
      </c>
      <c r="AK12" s="697">
        <v>58903</v>
      </c>
      <c r="AL12" s="697">
        <v>39902</v>
      </c>
      <c r="AM12" s="697">
        <v>20877</v>
      </c>
      <c r="AN12" s="697">
        <v>46075</v>
      </c>
      <c r="AO12" s="697">
        <v>67308</v>
      </c>
      <c r="AP12" s="697">
        <v>70639</v>
      </c>
      <c r="AQ12" s="697">
        <v>66964</v>
      </c>
      <c r="AR12" s="697">
        <v>60018</v>
      </c>
      <c r="AS12" s="697">
        <v>75086</v>
      </c>
      <c r="AT12" s="697">
        <v>92309</v>
      </c>
      <c r="AU12" s="697">
        <v>84249</v>
      </c>
      <c r="AV12" s="697">
        <v>78598</v>
      </c>
      <c r="AW12" s="697">
        <v>72738</v>
      </c>
      <c r="AX12" s="697">
        <v>67201</v>
      </c>
      <c r="AY12" s="697">
        <v>75950</v>
      </c>
      <c r="AZ12" s="132">
        <f t="shared" ref="AZ12:CE12" si="21">AZ13+AZ14</f>
        <v>55593</v>
      </c>
      <c r="BA12" s="132">
        <f t="shared" si="21"/>
        <v>62571</v>
      </c>
      <c r="BB12" s="132">
        <f t="shared" si="21"/>
        <v>65439</v>
      </c>
      <c r="BC12" s="132">
        <f t="shared" si="21"/>
        <v>69439</v>
      </c>
      <c r="BD12" s="132">
        <f t="shared" si="21"/>
        <v>64427</v>
      </c>
      <c r="BE12" s="132">
        <f t="shared" si="21"/>
        <v>69556</v>
      </c>
      <c r="BF12" s="132">
        <f t="shared" si="21"/>
        <v>86447</v>
      </c>
      <c r="BG12" s="132">
        <f t="shared" si="21"/>
        <v>76462</v>
      </c>
      <c r="BH12" s="132">
        <f t="shared" si="21"/>
        <v>61493</v>
      </c>
      <c r="BI12" s="132">
        <f t="shared" si="21"/>
        <v>71207</v>
      </c>
      <c r="BJ12" s="132">
        <f t="shared" si="21"/>
        <v>61275</v>
      </c>
      <c r="BK12" s="132">
        <f t="shared" si="21"/>
        <v>59047</v>
      </c>
      <c r="BL12" s="132">
        <f t="shared" si="21"/>
        <v>43451</v>
      </c>
      <c r="BM12" s="132">
        <f t="shared" si="21"/>
        <v>44126</v>
      </c>
      <c r="BN12" s="132">
        <f t="shared" si="21"/>
        <v>47811</v>
      </c>
      <c r="BO12" s="132">
        <f t="shared" si="21"/>
        <v>47144</v>
      </c>
      <c r="BP12" s="132">
        <f t="shared" si="21"/>
        <v>39632</v>
      </c>
      <c r="BQ12" s="132">
        <f t="shared" si="21"/>
        <v>46720</v>
      </c>
      <c r="BR12" s="132">
        <f t="shared" si="21"/>
        <v>34919</v>
      </c>
      <c r="BS12" s="132">
        <f t="shared" si="21"/>
        <v>32413</v>
      </c>
      <c r="BT12" s="132">
        <f t="shared" si="21"/>
        <v>33443</v>
      </c>
      <c r="BU12" s="132">
        <f t="shared" si="21"/>
        <v>33015</v>
      </c>
      <c r="BV12" s="132">
        <f t="shared" si="21"/>
        <v>34802</v>
      </c>
      <c r="BW12" s="132">
        <f t="shared" si="21"/>
        <v>39144</v>
      </c>
      <c r="BX12" s="132">
        <f t="shared" si="21"/>
        <v>37862</v>
      </c>
      <c r="BY12" s="132">
        <f t="shared" si="21"/>
        <v>39777</v>
      </c>
      <c r="BZ12" s="132">
        <f t="shared" si="21"/>
        <v>35273</v>
      </c>
      <c r="CA12" s="132">
        <f t="shared" si="21"/>
        <v>31845</v>
      </c>
      <c r="CB12" s="132">
        <f t="shared" si="21"/>
        <v>33500</v>
      </c>
      <c r="CC12" s="132">
        <f t="shared" si="21"/>
        <v>35897</v>
      </c>
      <c r="CD12" s="132">
        <f t="shared" si="21"/>
        <v>45824</v>
      </c>
      <c r="CE12" s="132">
        <f t="shared" si="21"/>
        <v>50862</v>
      </c>
      <c r="CF12" s="132">
        <f t="shared" ref="CF12:DK12" si="22">CF13+CF14</f>
        <v>46925</v>
      </c>
      <c r="CG12" s="132">
        <f t="shared" si="22"/>
        <v>59210</v>
      </c>
      <c r="CH12" s="132">
        <f t="shared" si="22"/>
        <v>52413</v>
      </c>
      <c r="CI12" s="132">
        <f t="shared" si="22"/>
        <v>54345</v>
      </c>
      <c r="CJ12" s="132">
        <f t="shared" si="22"/>
        <v>51728</v>
      </c>
      <c r="CK12" s="132">
        <f t="shared" si="22"/>
        <v>51665</v>
      </c>
      <c r="CL12" s="132">
        <f t="shared" si="22"/>
        <v>48171</v>
      </c>
      <c r="CM12" s="132">
        <f t="shared" si="22"/>
        <v>41885</v>
      </c>
      <c r="CN12" s="132">
        <f t="shared" si="22"/>
        <v>49150</v>
      </c>
      <c r="CO12" s="132">
        <f t="shared" si="22"/>
        <v>60488</v>
      </c>
      <c r="CP12" s="132">
        <f t="shared" si="22"/>
        <v>67372</v>
      </c>
      <c r="CQ12" s="132">
        <f t="shared" si="22"/>
        <v>63337</v>
      </c>
      <c r="CR12" s="132">
        <f t="shared" si="22"/>
        <v>61858.564144000004</v>
      </c>
      <c r="CS12" s="132">
        <f t="shared" si="22"/>
        <v>59612.372687599993</v>
      </c>
      <c r="CT12" s="132">
        <f t="shared" si="22"/>
        <v>69709.290000000008</v>
      </c>
      <c r="CU12" s="132">
        <f t="shared" si="22"/>
        <v>72278.850000000006</v>
      </c>
      <c r="CV12" s="132">
        <f t="shared" si="22"/>
        <v>68798.240000000005</v>
      </c>
      <c r="CW12" s="132">
        <f t="shared" si="22"/>
        <v>68714.450000000012</v>
      </c>
      <c r="CX12" s="132">
        <f t="shared" si="22"/>
        <v>64067.43</v>
      </c>
      <c r="CY12" s="132">
        <f t="shared" si="22"/>
        <v>55707.05</v>
      </c>
      <c r="CZ12" s="132">
        <f t="shared" si="22"/>
        <v>65369.5</v>
      </c>
      <c r="DA12" s="132">
        <f t="shared" si="22"/>
        <v>80449.039999999994</v>
      </c>
      <c r="DB12" s="132">
        <f t="shared" si="22"/>
        <v>89604.760000000009</v>
      </c>
      <c r="DC12" s="132">
        <f t="shared" si="22"/>
        <v>84238.209999999992</v>
      </c>
      <c r="DD12" s="132">
        <f t="shared" si="22"/>
        <v>82271.890311520008</v>
      </c>
      <c r="DE12" s="132">
        <f t="shared" si="22"/>
        <v>79284.45567450799</v>
      </c>
      <c r="DF12" s="132">
        <f t="shared" si="22"/>
        <v>87136.612500000003</v>
      </c>
      <c r="DG12" s="132">
        <f t="shared" si="22"/>
        <v>90348.562500000015</v>
      </c>
      <c r="DH12" s="132">
        <f t="shared" si="22"/>
        <v>85997.8</v>
      </c>
      <c r="DI12" s="132">
        <f t="shared" si="22"/>
        <v>85893.0625</v>
      </c>
      <c r="DJ12" s="132">
        <f t="shared" si="22"/>
        <v>80084.287500000006</v>
      </c>
      <c r="DK12" s="132">
        <f t="shared" si="22"/>
        <v>69633.8125</v>
      </c>
      <c r="DL12" s="132">
        <f t="shared" ref="DL12:EC12" si="23">DL13+DL14</f>
        <v>81711.875</v>
      </c>
      <c r="DM12" s="132">
        <f t="shared" si="23"/>
        <v>100561.3</v>
      </c>
      <c r="DN12" s="132">
        <f t="shared" si="23"/>
        <v>112005.95000000001</v>
      </c>
      <c r="DO12" s="132">
        <f t="shared" si="23"/>
        <v>105297.7625</v>
      </c>
      <c r="DP12" s="132">
        <f t="shared" si="23"/>
        <v>102839.86288940001</v>
      </c>
      <c r="DQ12" s="132">
        <f t="shared" si="23"/>
        <v>99105.569593134976</v>
      </c>
      <c r="DR12" s="132">
        <f t="shared" si="23"/>
        <v>104563.93500000001</v>
      </c>
      <c r="DS12" s="132">
        <f t="shared" si="23"/>
        <v>108418.27500000001</v>
      </c>
      <c r="DT12" s="132">
        <f t="shared" si="23"/>
        <v>103197.36</v>
      </c>
      <c r="DU12" s="132">
        <f t="shared" si="23"/>
        <v>103071.675</v>
      </c>
      <c r="DV12" s="132">
        <f t="shared" si="23"/>
        <v>96101.145000000004</v>
      </c>
      <c r="DW12" s="132">
        <f t="shared" si="23"/>
        <v>83560.574999999997</v>
      </c>
      <c r="DX12" s="132">
        <f t="shared" si="23"/>
        <v>98054.25</v>
      </c>
      <c r="DY12" s="132">
        <f t="shared" si="23"/>
        <v>120673.56000000001</v>
      </c>
      <c r="DZ12" s="132">
        <f t="shared" si="23"/>
        <v>134407.14000000001</v>
      </c>
      <c r="EA12" s="132">
        <f t="shared" si="23"/>
        <v>126357.315</v>
      </c>
      <c r="EB12" s="132">
        <f t="shared" si="23"/>
        <v>123407.83546728002</v>
      </c>
      <c r="EC12" s="132">
        <f t="shared" si="23"/>
        <v>118926.68351176198</v>
      </c>
      <c r="ED12" s="113" t="s">
        <v>1</v>
      </c>
    </row>
    <row r="13" spans="1:134" x14ac:dyDescent="0.2">
      <c r="A13" s="698" t="s">
        <v>65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699">
        <v>9439</v>
      </c>
      <c r="BA13" s="699">
        <v>10854</v>
      </c>
      <c r="BB13" s="699">
        <v>10760</v>
      </c>
      <c r="BC13" s="699">
        <v>21806</v>
      </c>
      <c r="BD13" s="699">
        <v>13898</v>
      </c>
      <c r="BE13" s="699">
        <v>17371</v>
      </c>
      <c r="BF13" s="699">
        <v>20911</v>
      </c>
      <c r="BG13" s="699">
        <v>15473</v>
      </c>
      <c r="BH13" s="699">
        <v>10466</v>
      </c>
      <c r="BI13" s="699">
        <v>13386</v>
      </c>
      <c r="BJ13" s="699">
        <v>5025</v>
      </c>
      <c r="BK13" s="699">
        <v>4403</v>
      </c>
      <c r="BL13" s="699">
        <v>5764</v>
      </c>
      <c r="BM13" s="699">
        <v>3408</v>
      </c>
      <c r="BN13" s="699">
        <v>2073</v>
      </c>
      <c r="BO13" s="699">
        <v>3244</v>
      </c>
      <c r="BP13" s="699">
        <v>5103</v>
      </c>
      <c r="BQ13" s="699">
        <v>13036</v>
      </c>
      <c r="BR13" s="699">
        <v>4139</v>
      </c>
      <c r="BS13" s="699">
        <v>3210</v>
      </c>
      <c r="BT13" s="699">
        <v>2867</v>
      </c>
      <c r="BU13" s="699">
        <v>4925</v>
      </c>
      <c r="BV13" s="699">
        <v>4229</v>
      </c>
      <c r="BW13" s="699">
        <v>3319</v>
      </c>
      <c r="BX13" s="699">
        <v>2009</v>
      </c>
      <c r="BY13" s="699">
        <v>4449</v>
      </c>
      <c r="BZ13" s="699">
        <v>4259</v>
      </c>
      <c r="CA13" s="699">
        <v>4375</v>
      </c>
      <c r="CB13" s="699">
        <v>2935</v>
      </c>
      <c r="CC13" s="699">
        <v>2537</v>
      </c>
      <c r="CD13" s="699">
        <v>7861</v>
      </c>
      <c r="CE13" s="699">
        <v>12311</v>
      </c>
      <c r="CF13" s="699">
        <v>5940</v>
      </c>
      <c r="CG13" s="699">
        <v>10233</v>
      </c>
      <c r="CH13" s="699">
        <v>8955</v>
      </c>
      <c r="CI13" s="699">
        <v>9131</v>
      </c>
      <c r="CJ13" s="699">
        <v>3136</v>
      </c>
      <c r="CK13" s="699">
        <v>4004</v>
      </c>
      <c r="CL13" s="699">
        <v>2650</v>
      </c>
      <c r="CM13" s="699">
        <v>3295</v>
      </c>
      <c r="CN13" s="699">
        <v>2653</v>
      </c>
      <c r="CO13" s="699">
        <v>6330</v>
      </c>
      <c r="CP13" s="699">
        <v>7285</v>
      </c>
      <c r="CQ13" s="699">
        <v>4480</v>
      </c>
      <c r="CR13" s="699">
        <v>3629.5641440000018</v>
      </c>
      <c r="CS13" s="699">
        <v>2417.3726875999901</v>
      </c>
      <c r="CT13" s="129">
        <f>CH13*(1+CT4)</f>
        <v>11910.150000000001</v>
      </c>
      <c r="CU13" s="129">
        <f t="shared" ref="CU13:EC13" si="24">CI13*(1+CU4)</f>
        <v>12144.230000000001</v>
      </c>
      <c r="CV13" s="129">
        <f t="shared" si="24"/>
        <v>4170.88</v>
      </c>
      <c r="CW13" s="129">
        <f t="shared" si="24"/>
        <v>5325.3200000000006</v>
      </c>
      <c r="CX13" s="129">
        <f t="shared" si="24"/>
        <v>3524.5</v>
      </c>
      <c r="CY13" s="129">
        <f t="shared" si="24"/>
        <v>4382.3500000000004</v>
      </c>
      <c r="CZ13" s="129">
        <f t="shared" si="24"/>
        <v>3528.4900000000002</v>
      </c>
      <c r="DA13" s="129">
        <f t="shared" si="24"/>
        <v>8418.9</v>
      </c>
      <c r="DB13" s="129">
        <f t="shared" si="24"/>
        <v>9689.0500000000011</v>
      </c>
      <c r="DC13" s="129">
        <f t="shared" si="24"/>
        <v>5958.4000000000005</v>
      </c>
      <c r="DD13" s="129">
        <f t="shared" si="24"/>
        <v>4827.3203115200022</v>
      </c>
      <c r="DE13" s="129">
        <f t="shared" si="24"/>
        <v>3215.1056745079868</v>
      </c>
      <c r="DF13" s="129">
        <f t="shared" si="24"/>
        <v>14887.687500000002</v>
      </c>
      <c r="DG13" s="129">
        <f t="shared" si="24"/>
        <v>15180.287500000002</v>
      </c>
      <c r="DH13" s="129">
        <f t="shared" si="24"/>
        <v>5213.6000000000004</v>
      </c>
      <c r="DI13" s="129">
        <f t="shared" si="24"/>
        <v>6656.6500000000005</v>
      </c>
      <c r="DJ13" s="129">
        <f t="shared" si="24"/>
        <v>4405.625</v>
      </c>
      <c r="DK13" s="129">
        <f t="shared" si="24"/>
        <v>5477.9375</v>
      </c>
      <c r="DL13" s="129">
        <f t="shared" si="24"/>
        <v>4410.6125000000002</v>
      </c>
      <c r="DM13" s="129">
        <f t="shared" si="24"/>
        <v>10523.625</v>
      </c>
      <c r="DN13" s="129">
        <f t="shared" si="24"/>
        <v>12111.312500000002</v>
      </c>
      <c r="DO13" s="129">
        <f t="shared" si="24"/>
        <v>7448.0000000000009</v>
      </c>
      <c r="DP13" s="129">
        <f t="shared" si="24"/>
        <v>6034.1503894000025</v>
      </c>
      <c r="DQ13" s="129">
        <f t="shared" si="24"/>
        <v>4018.8820931349837</v>
      </c>
      <c r="DR13" s="129">
        <f t="shared" si="24"/>
        <v>17865.225000000002</v>
      </c>
      <c r="DS13" s="129">
        <f t="shared" si="24"/>
        <v>18216.345000000001</v>
      </c>
      <c r="DT13" s="129">
        <f t="shared" si="24"/>
        <v>6256.3200000000006</v>
      </c>
      <c r="DU13" s="129">
        <f t="shared" si="24"/>
        <v>7987.9800000000005</v>
      </c>
      <c r="DV13" s="129">
        <f t="shared" si="24"/>
        <v>5286.75</v>
      </c>
      <c r="DW13" s="129">
        <f t="shared" si="24"/>
        <v>6573.5249999999996</v>
      </c>
      <c r="DX13" s="129">
        <f t="shared" si="24"/>
        <v>5292.7349999999997</v>
      </c>
      <c r="DY13" s="129">
        <f t="shared" si="24"/>
        <v>12628.35</v>
      </c>
      <c r="DZ13" s="129">
        <f t="shared" si="24"/>
        <v>14533.575000000003</v>
      </c>
      <c r="EA13" s="129">
        <f t="shared" si="24"/>
        <v>8937.6</v>
      </c>
      <c r="EB13" s="129">
        <f t="shared" si="24"/>
        <v>7240.9804672800028</v>
      </c>
      <c r="EC13" s="129">
        <f t="shared" si="24"/>
        <v>4822.6585117619807</v>
      </c>
      <c r="ED13" s="113" t="s">
        <v>1</v>
      </c>
    </row>
    <row r="14" spans="1:134" x14ac:dyDescent="0.2">
      <c r="A14" s="698" t="s">
        <v>66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699">
        <v>46154</v>
      </c>
      <c r="BA14" s="699">
        <v>51717</v>
      </c>
      <c r="BB14" s="699">
        <v>54679</v>
      </c>
      <c r="BC14" s="699">
        <v>47633</v>
      </c>
      <c r="BD14" s="699">
        <v>50529</v>
      </c>
      <c r="BE14" s="699">
        <v>52185</v>
      </c>
      <c r="BF14" s="699">
        <v>65536</v>
      </c>
      <c r="BG14" s="699">
        <v>60989</v>
      </c>
      <c r="BH14" s="699">
        <v>51027</v>
      </c>
      <c r="BI14" s="699">
        <v>57821</v>
      </c>
      <c r="BJ14" s="699">
        <v>56250</v>
      </c>
      <c r="BK14" s="699">
        <v>54644</v>
      </c>
      <c r="BL14" s="699">
        <v>37687</v>
      </c>
      <c r="BM14" s="699">
        <v>40718</v>
      </c>
      <c r="BN14" s="699">
        <v>45738</v>
      </c>
      <c r="BO14" s="699">
        <v>43900</v>
      </c>
      <c r="BP14" s="699">
        <v>34529</v>
      </c>
      <c r="BQ14" s="699">
        <v>33684</v>
      </c>
      <c r="BR14" s="699">
        <v>30780</v>
      </c>
      <c r="BS14" s="699">
        <v>29203</v>
      </c>
      <c r="BT14" s="699">
        <v>30576</v>
      </c>
      <c r="BU14" s="699">
        <v>28090</v>
      </c>
      <c r="BV14" s="699">
        <v>30573</v>
      </c>
      <c r="BW14" s="699">
        <v>35825</v>
      </c>
      <c r="BX14" s="699">
        <v>35853</v>
      </c>
      <c r="BY14" s="699">
        <v>35328</v>
      </c>
      <c r="BZ14" s="699">
        <v>31014</v>
      </c>
      <c r="CA14" s="699">
        <v>27470</v>
      </c>
      <c r="CB14" s="699">
        <v>30565</v>
      </c>
      <c r="CC14" s="699">
        <v>33360</v>
      </c>
      <c r="CD14" s="699">
        <v>37963</v>
      </c>
      <c r="CE14" s="699">
        <v>38551</v>
      </c>
      <c r="CF14" s="699">
        <v>40985</v>
      </c>
      <c r="CG14" s="699">
        <v>48977</v>
      </c>
      <c r="CH14" s="699">
        <v>43458</v>
      </c>
      <c r="CI14" s="699">
        <v>45214</v>
      </c>
      <c r="CJ14" s="699">
        <v>48592</v>
      </c>
      <c r="CK14" s="699">
        <v>47661</v>
      </c>
      <c r="CL14" s="699">
        <v>45521</v>
      </c>
      <c r="CM14" s="699">
        <v>38590</v>
      </c>
      <c r="CN14" s="699">
        <v>46497</v>
      </c>
      <c r="CO14" s="699">
        <v>54158</v>
      </c>
      <c r="CP14" s="699">
        <v>60087</v>
      </c>
      <c r="CQ14" s="699">
        <v>58857</v>
      </c>
      <c r="CR14" s="699">
        <v>58229</v>
      </c>
      <c r="CS14" s="699">
        <v>57195</v>
      </c>
      <c r="CT14" s="129">
        <f>CH14*(1+CT4)</f>
        <v>57799.140000000007</v>
      </c>
      <c r="CU14" s="129">
        <f t="shared" ref="CU14:EC14" si="25">CI14*(1+CU4)</f>
        <v>60134.62</v>
      </c>
      <c r="CV14" s="129">
        <f t="shared" si="25"/>
        <v>64627.360000000001</v>
      </c>
      <c r="CW14" s="129">
        <f t="shared" si="25"/>
        <v>63389.130000000005</v>
      </c>
      <c r="CX14" s="129">
        <f t="shared" si="25"/>
        <v>60542.93</v>
      </c>
      <c r="CY14" s="129">
        <f t="shared" si="25"/>
        <v>51324.700000000004</v>
      </c>
      <c r="CZ14" s="129">
        <f t="shared" si="25"/>
        <v>61841.01</v>
      </c>
      <c r="DA14" s="129">
        <f t="shared" si="25"/>
        <v>72030.14</v>
      </c>
      <c r="DB14" s="129">
        <f t="shared" si="25"/>
        <v>79915.710000000006</v>
      </c>
      <c r="DC14" s="129">
        <f t="shared" si="25"/>
        <v>78279.81</v>
      </c>
      <c r="DD14" s="129">
        <f t="shared" si="25"/>
        <v>77444.570000000007</v>
      </c>
      <c r="DE14" s="129">
        <f t="shared" si="25"/>
        <v>76069.350000000006</v>
      </c>
      <c r="DF14" s="129">
        <f t="shared" si="25"/>
        <v>72248.925000000003</v>
      </c>
      <c r="DG14" s="129">
        <f t="shared" si="25"/>
        <v>75168.275000000009</v>
      </c>
      <c r="DH14" s="129">
        <f t="shared" si="25"/>
        <v>80784.2</v>
      </c>
      <c r="DI14" s="129">
        <f t="shared" si="25"/>
        <v>79236.412500000006</v>
      </c>
      <c r="DJ14" s="129">
        <f t="shared" si="25"/>
        <v>75678.662500000006</v>
      </c>
      <c r="DK14" s="129">
        <f t="shared" si="25"/>
        <v>64155.875000000007</v>
      </c>
      <c r="DL14" s="129">
        <f t="shared" si="25"/>
        <v>77301.262499999997</v>
      </c>
      <c r="DM14" s="129">
        <f t="shared" si="25"/>
        <v>90037.675000000003</v>
      </c>
      <c r="DN14" s="129">
        <f t="shared" si="25"/>
        <v>99894.637500000012</v>
      </c>
      <c r="DO14" s="129">
        <f t="shared" si="25"/>
        <v>97849.762499999997</v>
      </c>
      <c r="DP14" s="129">
        <f t="shared" si="25"/>
        <v>96805.712500000009</v>
      </c>
      <c r="DQ14" s="129">
        <f t="shared" si="25"/>
        <v>95086.6875</v>
      </c>
      <c r="DR14" s="129">
        <f t="shared" si="25"/>
        <v>86698.71</v>
      </c>
      <c r="DS14" s="129">
        <f t="shared" si="25"/>
        <v>90201.930000000008</v>
      </c>
      <c r="DT14" s="129">
        <f t="shared" si="25"/>
        <v>96941.04</v>
      </c>
      <c r="DU14" s="129">
        <f t="shared" si="25"/>
        <v>95083.695000000007</v>
      </c>
      <c r="DV14" s="129">
        <f t="shared" si="25"/>
        <v>90814.395000000004</v>
      </c>
      <c r="DW14" s="129">
        <f t="shared" si="25"/>
        <v>76987.05</v>
      </c>
      <c r="DX14" s="129">
        <f t="shared" si="25"/>
        <v>92761.514999999999</v>
      </c>
      <c r="DY14" s="129">
        <f t="shared" si="25"/>
        <v>108045.21</v>
      </c>
      <c r="DZ14" s="129">
        <f t="shared" si="25"/>
        <v>119873.565</v>
      </c>
      <c r="EA14" s="129">
        <f t="shared" si="25"/>
        <v>117419.715</v>
      </c>
      <c r="EB14" s="129">
        <f t="shared" si="25"/>
        <v>116166.85500000001</v>
      </c>
      <c r="EC14" s="129">
        <f t="shared" si="25"/>
        <v>114104.02499999999</v>
      </c>
      <c r="ED14" s="113" t="s">
        <v>1</v>
      </c>
    </row>
    <row r="15" spans="1:134" x14ac:dyDescent="0.2">
      <c r="A15" s="698" t="s">
        <v>67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33">
        <f t="shared" ref="AZ15:CS15" si="26">AZ13/AZ$12</f>
        <v>0.16978756318241506</v>
      </c>
      <c r="BA15" s="133">
        <f t="shared" si="26"/>
        <v>0.17346694155439421</v>
      </c>
      <c r="BB15" s="133">
        <f t="shared" si="26"/>
        <v>0.16442794052476353</v>
      </c>
      <c r="BC15" s="133">
        <f t="shared" si="26"/>
        <v>0.31403102003197053</v>
      </c>
      <c r="BD15" s="133">
        <f t="shared" si="26"/>
        <v>0.21571701305353347</v>
      </c>
      <c r="BE15" s="133">
        <f t="shared" si="26"/>
        <v>0.24974121571108171</v>
      </c>
      <c r="BF15" s="133">
        <f t="shared" si="26"/>
        <v>0.24189387717329694</v>
      </c>
      <c r="BG15" s="133">
        <f t="shared" si="26"/>
        <v>0.20236195757369674</v>
      </c>
      <c r="BH15" s="133">
        <f t="shared" si="26"/>
        <v>0.1701982339453271</v>
      </c>
      <c r="BI15" s="133">
        <f t="shared" si="26"/>
        <v>0.18798713609617032</v>
      </c>
      <c r="BJ15" s="133">
        <f t="shared" si="26"/>
        <v>8.2007343941248464E-2</v>
      </c>
      <c r="BK15" s="133">
        <f t="shared" si="26"/>
        <v>7.4567717242196893E-2</v>
      </c>
      <c r="BL15" s="133">
        <f t="shared" si="26"/>
        <v>0.13265517479459621</v>
      </c>
      <c r="BM15" s="133">
        <f t="shared" si="26"/>
        <v>7.7233377147260113E-2</v>
      </c>
      <c r="BN15" s="133">
        <f t="shared" si="26"/>
        <v>4.3358223003074604E-2</v>
      </c>
      <c r="BO15" s="133">
        <f t="shared" si="26"/>
        <v>6.8810453079925338E-2</v>
      </c>
      <c r="BP15" s="133">
        <f t="shared" si="26"/>
        <v>0.12875958821154623</v>
      </c>
      <c r="BQ15" s="133">
        <f t="shared" si="26"/>
        <v>0.2790239726027397</v>
      </c>
      <c r="BR15" s="133">
        <f t="shared" si="26"/>
        <v>0.11853145851828517</v>
      </c>
      <c r="BS15" s="133">
        <f t="shared" si="26"/>
        <v>9.9034338074229469E-2</v>
      </c>
      <c r="BT15" s="133">
        <f t="shared" si="26"/>
        <v>8.5727955027958019E-2</v>
      </c>
      <c r="BU15" s="133">
        <f t="shared" si="26"/>
        <v>0.1491746175980615</v>
      </c>
      <c r="BV15" s="133">
        <f t="shared" si="26"/>
        <v>0.12151600482730877</v>
      </c>
      <c r="BW15" s="133">
        <f t="shared" si="26"/>
        <v>8.4789495197220524E-2</v>
      </c>
      <c r="BX15" s="133">
        <f t="shared" si="26"/>
        <v>5.3061116686915641E-2</v>
      </c>
      <c r="BY15" s="133">
        <f t="shared" si="26"/>
        <v>0.11184855569801644</v>
      </c>
      <c r="BZ15" s="133">
        <f t="shared" si="26"/>
        <v>0.12074391177387804</v>
      </c>
      <c r="CA15" s="133">
        <f t="shared" si="26"/>
        <v>0.1373842047417177</v>
      </c>
      <c r="CB15" s="133">
        <f t="shared" si="26"/>
        <v>8.7611940298507468E-2</v>
      </c>
      <c r="CC15" s="133">
        <f t="shared" si="26"/>
        <v>7.0674429618073936E-2</v>
      </c>
      <c r="CD15" s="133">
        <f t="shared" si="26"/>
        <v>0.17154766061452514</v>
      </c>
      <c r="CE15" s="133">
        <f t="shared" si="26"/>
        <v>0.24204710786048522</v>
      </c>
      <c r="CF15" s="133">
        <f t="shared" si="26"/>
        <v>0.12658497602557273</v>
      </c>
      <c r="CG15" s="133">
        <f t="shared" si="26"/>
        <v>0.17282553622698868</v>
      </c>
      <c r="CH15" s="133">
        <f t="shared" si="26"/>
        <v>0.1708545589834583</v>
      </c>
      <c r="CI15" s="133">
        <f t="shared" si="26"/>
        <v>0.16801913699512375</v>
      </c>
      <c r="CJ15" s="133">
        <f t="shared" si="26"/>
        <v>6.0624806681101144E-2</v>
      </c>
      <c r="CK15" s="133">
        <f t="shared" si="26"/>
        <v>7.7499274170134524E-2</v>
      </c>
      <c r="CL15" s="133">
        <f t="shared" si="26"/>
        <v>5.5012351829939174E-2</v>
      </c>
      <c r="CM15" s="133">
        <f t="shared" si="26"/>
        <v>7.8667780828458878E-2</v>
      </c>
      <c r="CN15" s="133">
        <f t="shared" si="26"/>
        <v>5.397761953204476E-2</v>
      </c>
      <c r="CO15" s="133">
        <f t="shared" si="26"/>
        <v>0.10464885597143235</v>
      </c>
      <c r="CP15" s="133">
        <f t="shared" si="26"/>
        <v>0.10813097429199074</v>
      </c>
      <c r="CQ15" s="133">
        <f t="shared" si="26"/>
        <v>7.0732747051486494E-2</v>
      </c>
      <c r="CR15" s="133">
        <f t="shared" si="26"/>
        <v>5.8675208424669729E-2</v>
      </c>
      <c r="CS15" s="133">
        <f t="shared" si="26"/>
        <v>4.0551526111337444E-2</v>
      </c>
      <c r="CT15" s="133">
        <f t="shared" ref="CT15:EC15" si="27">CT13/CT12</f>
        <v>0.1708545589834583</v>
      </c>
      <c r="CU15" s="133">
        <f t="shared" si="27"/>
        <v>0.16801913699512375</v>
      </c>
      <c r="CV15" s="133">
        <f t="shared" si="27"/>
        <v>6.0624806681101144E-2</v>
      </c>
      <c r="CW15" s="133">
        <f t="shared" si="27"/>
        <v>7.7499274170134511E-2</v>
      </c>
      <c r="CX15" s="133">
        <f t="shared" si="27"/>
        <v>5.5012351829939174E-2</v>
      </c>
      <c r="CY15" s="133">
        <f t="shared" si="27"/>
        <v>7.8667780828458878E-2</v>
      </c>
      <c r="CZ15" s="133">
        <f t="shared" si="27"/>
        <v>5.3977619532044767E-2</v>
      </c>
      <c r="DA15" s="133">
        <f t="shared" si="27"/>
        <v>0.10464885597143235</v>
      </c>
      <c r="DB15" s="133">
        <f t="shared" si="27"/>
        <v>0.10813097429199074</v>
      </c>
      <c r="DC15" s="133">
        <f t="shared" si="27"/>
        <v>7.0732747051486508E-2</v>
      </c>
      <c r="DD15" s="133">
        <f t="shared" si="27"/>
        <v>5.8675208424669723E-2</v>
      </c>
      <c r="DE15" s="133">
        <f t="shared" si="27"/>
        <v>4.0551526111337444E-2</v>
      </c>
      <c r="DF15" s="133">
        <f t="shared" si="27"/>
        <v>0.1708545589834583</v>
      </c>
      <c r="DG15" s="133">
        <f t="shared" si="27"/>
        <v>0.16801913699512375</v>
      </c>
      <c r="DH15" s="133">
        <f t="shared" si="27"/>
        <v>6.0624806681101144E-2</v>
      </c>
      <c r="DI15" s="133">
        <f t="shared" si="27"/>
        <v>7.7499274170134524E-2</v>
      </c>
      <c r="DJ15" s="133">
        <f t="shared" si="27"/>
        <v>5.5012351829939174E-2</v>
      </c>
      <c r="DK15" s="133">
        <f t="shared" si="27"/>
        <v>7.8667780828458878E-2</v>
      </c>
      <c r="DL15" s="133">
        <f t="shared" si="27"/>
        <v>5.397761953204476E-2</v>
      </c>
      <c r="DM15" s="133">
        <f t="shared" si="27"/>
        <v>0.10464885597143235</v>
      </c>
      <c r="DN15" s="133">
        <f t="shared" si="27"/>
        <v>0.10813097429199074</v>
      </c>
      <c r="DO15" s="133">
        <f t="shared" si="27"/>
        <v>7.0732747051486508E-2</v>
      </c>
      <c r="DP15" s="133">
        <f t="shared" si="27"/>
        <v>5.8675208424669723E-2</v>
      </c>
      <c r="DQ15" s="133">
        <f t="shared" si="27"/>
        <v>4.0551526111337451E-2</v>
      </c>
      <c r="DR15" s="133">
        <f t="shared" si="27"/>
        <v>0.1708545589834583</v>
      </c>
      <c r="DS15" s="133">
        <f t="shared" si="27"/>
        <v>0.16801913699512375</v>
      </c>
      <c r="DT15" s="133">
        <f t="shared" si="27"/>
        <v>6.0624806681101151E-2</v>
      </c>
      <c r="DU15" s="133">
        <f t="shared" si="27"/>
        <v>7.7499274170134524E-2</v>
      </c>
      <c r="DV15" s="133">
        <f t="shared" si="27"/>
        <v>5.5012351829939174E-2</v>
      </c>
      <c r="DW15" s="133">
        <f t="shared" si="27"/>
        <v>7.8667780828458878E-2</v>
      </c>
      <c r="DX15" s="133">
        <f t="shared" si="27"/>
        <v>5.397761953204476E-2</v>
      </c>
      <c r="DY15" s="133">
        <f t="shared" si="27"/>
        <v>0.10464885597143234</v>
      </c>
      <c r="DZ15" s="133">
        <f t="shared" si="27"/>
        <v>0.10813097429199074</v>
      </c>
      <c r="EA15" s="133">
        <f t="shared" si="27"/>
        <v>7.0732747051486494E-2</v>
      </c>
      <c r="EB15" s="133">
        <f t="shared" si="27"/>
        <v>5.8675208424669716E-2</v>
      </c>
      <c r="EC15" s="133">
        <f t="shared" si="27"/>
        <v>4.0551526111337451E-2</v>
      </c>
      <c r="ED15" s="113" t="s">
        <v>1</v>
      </c>
    </row>
    <row r="16" spans="1:134" x14ac:dyDescent="0.2">
      <c r="A16" s="698" t="s">
        <v>68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33">
        <f t="shared" ref="AZ16:CS16" si="28">AZ14/AZ$12</f>
        <v>0.83021243681758494</v>
      </c>
      <c r="BA16" s="133">
        <f t="shared" si="28"/>
        <v>0.82653305844560576</v>
      </c>
      <c r="BB16" s="133">
        <f t="shared" si="28"/>
        <v>0.83557205947523649</v>
      </c>
      <c r="BC16" s="133">
        <f t="shared" si="28"/>
        <v>0.68596897996802952</v>
      </c>
      <c r="BD16" s="133">
        <f t="shared" si="28"/>
        <v>0.78428298694646659</v>
      </c>
      <c r="BE16" s="133">
        <f t="shared" si="28"/>
        <v>0.75025878428891823</v>
      </c>
      <c r="BF16" s="133">
        <f t="shared" si="28"/>
        <v>0.75810612282670309</v>
      </c>
      <c r="BG16" s="133">
        <f t="shared" si="28"/>
        <v>0.79763804242630321</v>
      </c>
      <c r="BH16" s="133">
        <f t="shared" si="28"/>
        <v>0.82980176605467293</v>
      </c>
      <c r="BI16" s="133">
        <f t="shared" si="28"/>
        <v>0.81201286390382965</v>
      </c>
      <c r="BJ16" s="133">
        <f t="shared" si="28"/>
        <v>0.91799265605875158</v>
      </c>
      <c r="BK16" s="133">
        <f t="shared" si="28"/>
        <v>0.92543228275780309</v>
      </c>
      <c r="BL16" s="133">
        <f t="shared" si="28"/>
        <v>0.86734482520540379</v>
      </c>
      <c r="BM16" s="133">
        <f t="shared" si="28"/>
        <v>0.92276662285273992</v>
      </c>
      <c r="BN16" s="133">
        <f t="shared" si="28"/>
        <v>0.95664177699692543</v>
      </c>
      <c r="BO16" s="133">
        <f t="shared" si="28"/>
        <v>0.93118954692007472</v>
      </c>
      <c r="BP16" s="133">
        <f t="shared" si="28"/>
        <v>0.87124041178845379</v>
      </c>
      <c r="BQ16" s="133">
        <f t="shared" si="28"/>
        <v>0.7209760273972603</v>
      </c>
      <c r="BR16" s="133">
        <f t="shared" si="28"/>
        <v>0.88146854148171483</v>
      </c>
      <c r="BS16" s="133">
        <f t="shared" si="28"/>
        <v>0.90096566192577054</v>
      </c>
      <c r="BT16" s="133">
        <f t="shared" si="28"/>
        <v>0.91427204497204195</v>
      </c>
      <c r="BU16" s="133">
        <f t="shared" si="28"/>
        <v>0.8508253824019385</v>
      </c>
      <c r="BV16" s="133">
        <f t="shared" si="28"/>
        <v>0.87848399517269127</v>
      </c>
      <c r="BW16" s="133">
        <f t="shared" si="28"/>
        <v>0.91521050480277943</v>
      </c>
      <c r="BX16" s="133">
        <f t="shared" si="28"/>
        <v>0.9469388833130844</v>
      </c>
      <c r="BY16" s="133">
        <f t="shared" si="28"/>
        <v>0.88815144430198356</v>
      </c>
      <c r="BZ16" s="133">
        <f t="shared" si="28"/>
        <v>0.879256088226122</v>
      </c>
      <c r="CA16" s="133">
        <f t="shared" si="28"/>
        <v>0.86261579525828236</v>
      </c>
      <c r="CB16" s="133">
        <f t="shared" si="28"/>
        <v>0.9123880597014925</v>
      </c>
      <c r="CC16" s="133">
        <f t="shared" si="28"/>
        <v>0.92932557038192609</v>
      </c>
      <c r="CD16" s="133">
        <f t="shared" si="28"/>
        <v>0.82845233938547491</v>
      </c>
      <c r="CE16" s="133">
        <f t="shared" si="28"/>
        <v>0.75795289213951478</v>
      </c>
      <c r="CF16" s="133">
        <f t="shared" si="28"/>
        <v>0.87341502397442727</v>
      </c>
      <c r="CG16" s="133">
        <f t="shared" si="28"/>
        <v>0.82717446377301129</v>
      </c>
      <c r="CH16" s="133">
        <f t="shared" si="28"/>
        <v>0.82914544101654175</v>
      </c>
      <c r="CI16" s="133">
        <f t="shared" si="28"/>
        <v>0.83198086300487628</v>
      </c>
      <c r="CJ16" s="133">
        <f t="shared" si="28"/>
        <v>0.93937519331889885</v>
      </c>
      <c r="CK16" s="133">
        <f t="shared" si="28"/>
        <v>0.92250072582986553</v>
      </c>
      <c r="CL16" s="133">
        <f t="shared" si="28"/>
        <v>0.94498764817006087</v>
      </c>
      <c r="CM16" s="133">
        <f t="shared" si="28"/>
        <v>0.92133221917154118</v>
      </c>
      <c r="CN16" s="133">
        <f t="shared" si="28"/>
        <v>0.94602238046795528</v>
      </c>
      <c r="CO16" s="133">
        <f t="shared" si="28"/>
        <v>0.89535114402856764</v>
      </c>
      <c r="CP16" s="133">
        <f t="shared" si="28"/>
        <v>0.8918690257080093</v>
      </c>
      <c r="CQ16" s="133">
        <f t="shared" si="28"/>
        <v>0.92926725294851353</v>
      </c>
      <c r="CR16" s="133">
        <f t="shared" si="28"/>
        <v>0.94132479157533022</v>
      </c>
      <c r="CS16" s="133">
        <f t="shared" si="28"/>
        <v>0.9594484738886625</v>
      </c>
      <c r="CT16" s="133">
        <f t="shared" ref="CT16:EC16" si="29">CT14/CT12</f>
        <v>0.82914544101654175</v>
      </c>
      <c r="CU16" s="133">
        <f t="shared" si="29"/>
        <v>0.83198086300487617</v>
      </c>
      <c r="CV16" s="133">
        <f t="shared" si="29"/>
        <v>0.93937519331889874</v>
      </c>
      <c r="CW16" s="133">
        <f t="shared" si="29"/>
        <v>0.92250072582986542</v>
      </c>
      <c r="CX16" s="133">
        <f t="shared" si="29"/>
        <v>0.94498764817006087</v>
      </c>
      <c r="CY16" s="133">
        <f t="shared" si="29"/>
        <v>0.92133221917154118</v>
      </c>
      <c r="CZ16" s="133">
        <f t="shared" si="29"/>
        <v>0.94602238046795528</v>
      </c>
      <c r="DA16" s="133">
        <f t="shared" si="29"/>
        <v>0.89535114402856775</v>
      </c>
      <c r="DB16" s="133">
        <f t="shared" si="29"/>
        <v>0.89186902570800919</v>
      </c>
      <c r="DC16" s="133">
        <f t="shared" si="29"/>
        <v>0.92926725294851353</v>
      </c>
      <c r="DD16" s="133">
        <f t="shared" si="29"/>
        <v>0.94132479157533033</v>
      </c>
      <c r="DE16" s="133">
        <f t="shared" si="29"/>
        <v>0.95944847388866261</v>
      </c>
      <c r="DF16" s="133">
        <f t="shared" si="29"/>
        <v>0.82914544101654175</v>
      </c>
      <c r="DG16" s="133">
        <f t="shared" si="29"/>
        <v>0.83198086300487617</v>
      </c>
      <c r="DH16" s="133">
        <f t="shared" si="29"/>
        <v>0.93937519331889874</v>
      </c>
      <c r="DI16" s="133">
        <f t="shared" si="29"/>
        <v>0.92250072582986553</v>
      </c>
      <c r="DJ16" s="133">
        <f t="shared" si="29"/>
        <v>0.94498764817006087</v>
      </c>
      <c r="DK16" s="133">
        <f t="shared" si="29"/>
        <v>0.92133221917154118</v>
      </c>
      <c r="DL16" s="133">
        <f t="shared" si="29"/>
        <v>0.94602238046795517</v>
      </c>
      <c r="DM16" s="133">
        <f t="shared" si="29"/>
        <v>0.89535114402856764</v>
      </c>
      <c r="DN16" s="133">
        <f t="shared" si="29"/>
        <v>0.8918690257080093</v>
      </c>
      <c r="DO16" s="133">
        <f t="shared" si="29"/>
        <v>0.92926725294851353</v>
      </c>
      <c r="DP16" s="133">
        <f t="shared" si="29"/>
        <v>0.94132479157533022</v>
      </c>
      <c r="DQ16" s="133">
        <f t="shared" si="29"/>
        <v>0.95944847388866261</v>
      </c>
      <c r="DR16" s="133">
        <f t="shared" si="29"/>
        <v>0.82914544101654164</v>
      </c>
      <c r="DS16" s="133">
        <f t="shared" si="29"/>
        <v>0.83198086300487628</v>
      </c>
      <c r="DT16" s="133">
        <f t="shared" si="29"/>
        <v>0.93937519331889874</v>
      </c>
      <c r="DU16" s="133">
        <f t="shared" si="29"/>
        <v>0.92250072582986553</v>
      </c>
      <c r="DV16" s="133">
        <f t="shared" si="29"/>
        <v>0.94498764817006087</v>
      </c>
      <c r="DW16" s="133">
        <f t="shared" si="29"/>
        <v>0.92133221917154118</v>
      </c>
      <c r="DX16" s="133">
        <f t="shared" si="29"/>
        <v>0.94602238046795528</v>
      </c>
      <c r="DY16" s="133">
        <f t="shared" si="29"/>
        <v>0.89535114402856764</v>
      </c>
      <c r="DZ16" s="133">
        <f t="shared" si="29"/>
        <v>0.89186902570800919</v>
      </c>
      <c r="EA16" s="133">
        <f t="shared" si="29"/>
        <v>0.92926725294851342</v>
      </c>
      <c r="EB16" s="133">
        <f t="shared" si="29"/>
        <v>0.94132479157533022</v>
      </c>
      <c r="EC16" s="133">
        <f t="shared" si="29"/>
        <v>0.9594484738886625</v>
      </c>
      <c r="ED16" s="113" t="s">
        <v>1</v>
      </c>
    </row>
    <row r="17" spans="1:134" x14ac:dyDescent="0.2">
      <c r="A17" s="698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3"/>
      <c r="CD17" s="133"/>
      <c r="CE17" s="133"/>
      <c r="CF17" s="133"/>
      <c r="CG17" s="133"/>
      <c r="CH17" s="133"/>
      <c r="CI17" s="133"/>
      <c r="CJ17" s="133"/>
      <c r="CK17" s="133"/>
      <c r="CL17" s="133"/>
      <c r="CM17" s="133"/>
      <c r="CN17" s="133"/>
      <c r="CO17" s="133"/>
      <c r="CP17" s="133"/>
      <c r="CQ17" s="133"/>
      <c r="CR17" s="133"/>
      <c r="CS17" s="133"/>
      <c r="CT17" s="133"/>
      <c r="CU17" s="133"/>
      <c r="CV17" s="133"/>
      <c r="CW17" s="133"/>
      <c r="CX17" s="133"/>
      <c r="CY17" s="133"/>
      <c r="CZ17" s="133"/>
      <c r="DA17" s="133"/>
      <c r="DB17" s="133"/>
      <c r="DC17" s="133"/>
      <c r="DD17" s="133"/>
      <c r="DE17" s="133"/>
      <c r="DF17" s="133"/>
      <c r="DG17" s="133"/>
      <c r="DH17" s="133"/>
      <c r="DI17" s="133"/>
      <c r="DJ17" s="133"/>
      <c r="DK17" s="133"/>
      <c r="DL17" s="133"/>
      <c r="DM17" s="133"/>
      <c r="DN17" s="133"/>
      <c r="DO17" s="133"/>
      <c r="DP17" s="133"/>
      <c r="DQ17" s="133"/>
      <c r="DR17" s="133"/>
      <c r="DS17" s="133"/>
      <c r="DT17" s="133"/>
      <c r="DU17" s="133"/>
      <c r="DV17" s="133"/>
      <c r="DW17" s="133"/>
      <c r="DX17" s="133"/>
      <c r="DY17" s="133"/>
      <c r="DZ17" s="133"/>
      <c r="EA17" s="133"/>
      <c r="EB17" s="133"/>
      <c r="EC17" s="133"/>
      <c r="ED17" s="113" t="s">
        <v>1</v>
      </c>
    </row>
    <row r="18" spans="1:134" x14ac:dyDescent="0.2">
      <c r="A18" s="700" t="s">
        <v>90</v>
      </c>
      <c r="B18" s="129">
        <f t="shared" ref="B18:AG18" si="30">B7/B12</f>
        <v>3970.8564391931914</v>
      </c>
      <c r="C18" s="129">
        <f t="shared" si="30"/>
        <v>4166.8193829527627</v>
      </c>
      <c r="D18" s="129">
        <f t="shared" si="30"/>
        <v>3844.2636482459498</v>
      </c>
      <c r="E18" s="129">
        <f t="shared" si="30"/>
        <v>3962.5746962804137</v>
      </c>
      <c r="F18" s="129">
        <f t="shared" si="30"/>
        <v>3873.6430583198862</v>
      </c>
      <c r="G18" s="129">
        <f t="shared" si="30"/>
        <v>3875.0993855794272</v>
      </c>
      <c r="H18" s="129">
        <f t="shared" si="30"/>
        <v>3860.2379543212687</v>
      </c>
      <c r="I18" s="129">
        <f t="shared" si="30"/>
        <v>3623.3711504223643</v>
      </c>
      <c r="J18" s="129">
        <f t="shared" si="30"/>
        <v>3591.0392585000668</v>
      </c>
      <c r="K18" s="129">
        <f t="shared" si="30"/>
        <v>3720.2102555961264</v>
      </c>
      <c r="L18" s="129">
        <f t="shared" si="30"/>
        <v>3546.2062695740951</v>
      </c>
      <c r="M18" s="129">
        <f t="shared" si="30"/>
        <v>3936.1990845388787</v>
      </c>
      <c r="N18" s="129">
        <f t="shared" si="30"/>
        <v>3722.8794106767846</v>
      </c>
      <c r="O18" s="129">
        <f t="shared" si="30"/>
        <v>3528.8546897348078</v>
      </c>
      <c r="P18" s="129">
        <f t="shared" si="30"/>
        <v>3748.0473429685285</v>
      </c>
      <c r="Q18" s="129">
        <f t="shared" si="30"/>
        <v>4085.1001060800627</v>
      </c>
      <c r="R18" s="129">
        <f t="shared" si="30"/>
        <v>3818.5809418457516</v>
      </c>
      <c r="S18" s="129">
        <f t="shared" si="30"/>
        <v>3809.2391625046657</v>
      </c>
      <c r="T18" s="129">
        <f t="shared" si="30"/>
        <v>3938.7602831950658</v>
      </c>
      <c r="U18" s="129">
        <f t="shared" si="30"/>
        <v>4126.1987329234335</v>
      </c>
      <c r="V18" s="129">
        <f t="shared" si="30"/>
        <v>3822.7532294889897</v>
      </c>
      <c r="W18" s="129">
        <f t="shared" si="30"/>
        <v>3859.7084083273339</v>
      </c>
      <c r="X18" s="129">
        <f t="shared" si="30"/>
        <v>3542.4096232990296</v>
      </c>
      <c r="Y18" s="129">
        <f t="shared" si="30"/>
        <v>3382.4248166259167</v>
      </c>
      <c r="Z18" s="129" t="e">
        <f t="shared" si="30"/>
        <v>#DIV/0!</v>
      </c>
      <c r="AA18" s="129">
        <f t="shared" si="30"/>
        <v>3556.657613085622</v>
      </c>
      <c r="AB18" s="129">
        <f t="shared" si="30"/>
        <v>3467.1001280045512</v>
      </c>
      <c r="AC18" s="129">
        <f t="shared" si="30"/>
        <v>5185.1523150151452</v>
      </c>
      <c r="AD18" s="129">
        <f t="shared" si="30"/>
        <v>4715.4096635192727</v>
      </c>
      <c r="AE18" s="129">
        <f t="shared" si="30"/>
        <v>5481.4827064475885</v>
      </c>
      <c r="AF18" s="129">
        <f t="shared" si="30"/>
        <v>4868.3721039326574</v>
      </c>
      <c r="AG18" s="129">
        <f t="shared" si="30"/>
        <v>4195.2937390667785</v>
      </c>
      <c r="AH18" s="129">
        <f t="shared" ref="AH18:BM18" si="31">AH7/AH12</f>
        <v>5363.123687467677</v>
      </c>
      <c r="AI18" s="129">
        <f t="shared" si="31"/>
        <v>6059.6358534354813</v>
      </c>
      <c r="AJ18" s="129">
        <f t="shared" si="31"/>
        <v>5513.0789075284647</v>
      </c>
      <c r="AK18" s="129">
        <f t="shared" si="31"/>
        <v>5459.4361901893526</v>
      </c>
      <c r="AL18" s="129">
        <f t="shared" si="31"/>
        <v>5559.8000822008698</v>
      </c>
      <c r="AM18" s="129">
        <f t="shared" si="31"/>
        <v>4978.1171852361267</v>
      </c>
      <c r="AN18" s="129">
        <f t="shared" si="31"/>
        <v>4981.1729994574061</v>
      </c>
      <c r="AO18" s="129">
        <f t="shared" si="31"/>
        <v>4794.2311612289768</v>
      </c>
      <c r="AP18" s="129">
        <f t="shared" si="31"/>
        <v>4508.4313166944467</v>
      </c>
      <c r="AQ18" s="129">
        <f t="shared" si="31"/>
        <v>4626.0305243013054</v>
      </c>
      <c r="AR18" s="129">
        <f t="shared" si="31"/>
        <v>4600.9539031623835</v>
      </c>
      <c r="AS18" s="129">
        <f t="shared" si="31"/>
        <v>4183.5281827504459</v>
      </c>
      <c r="AT18" s="129">
        <f t="shared" si="31"/>
        <v>4555.4043619193144</v>
      </c>
      <c r="AU18" s="129">
        <f t="shared" si="31"/>
        <v>4602.6278933874592</v>
      </c>
      <c r="AV18" s="129">
        <f t="shared" si="31"/>
        <v>5172.9813226799661</v>
      </c>
      <c r="AW18" s="129">
        <f t="shared" si="31"/>
        <v>5049.8658060436082</v>
      </c>
      <c r="AX18" s="129">
        <f t="shared" si="31"/>
        <v>5423.9874109016237</v>
      </c>
      <c r="AY18" s="129">
        <f t="shared" si="31"/>
        <v>5514.5522448979591</v>
      </c>
      <c r="AZ18" s="129">
        <f t="shared" si="31"/>
        <v>5807.7631208387693</v>
      </c>
      <c r="BA18" s="129">
        <f t="shared" si="31"/>
        <v>5747.5322969885829</v>
      </c>
      <c r="BB18" s="129">
        <f t="shared" si="31"/>
        <v>5756.4319664644754</v>
      </c>
      <c r="BC18" s="129">
        <f t="shared" si="31"/>
        <v>5422.0051790414836</v>
      </c>
      <c r="BD18" s="129">
        <f t="shared" si="31"/>
        <v>6618.0493924120947</v>
      </c>
      <c r="BE18" s="129">
        <f t="shared" si="31"/>
        <v>6680.474633031431</v>
      </c>
      <c r="BF18" s="129">
        <f t="shared" si="31"/>
        <v>6784.1395660206581</v>
      </c>
      <c r="BG18" s="129">
        <f t="shared" si="31"/>
        <v>6924.1319191456587</v>
      </c>
      <c r="BH18" s="129">
        <f t="shared" si="31"/>
        <v>7123.6142814431241</v>
      </c>
      <c r="BI18" s="129">
        <f t="shared" si="31"/>
        <v>6784.4153737995921</v>
      </c>
      <c r="BJ18" s="129">
        <f t="shared" si="31"/>
        <v>7591.2869323402056</v>
      </c>
      <c r="BK18" s="129">
        <f t="shared" si="31"/>
        <v>7921.8554471620146</v>
      </c>
      <c r="BL18" s="129">
        <f t="shared" si="31"/>
        <v>8196.7686840305196</v>
      </c>
      <c r="BM18" s="129">
        <f t="shared" si="31"/>
        <v>7792.4322173201545</v>
      </c>
      <c r="BN18" s="129">
        <f t="shared" ref="BN18:CS18" si="32">BN7/BN12</f>
        <v>7472.0524887414849</v>
      </c>
      <c r="BO18" s="129">
        <f t="shared" si="32"/>
        <v>7222.3675444946957</v>
      </c>
      <c r="BP18" s="129">
        <f t="shared" si="32"/>
        <v>7999.6369907250437</v>
      </c>
      <c r="BQ18" s="129">
        <f t="shared" si="32"/>
        <v>7870.8809893144844</v>
      </c>
      <c r="BR18" s="129">
        <f t="shared" si="32"/>
        <v>9751.7745372470399</v>
      </c>
      <c r="BS18" s="129">
        <f t="shared" si="32"/>
        <v>9560.4597356611193</v>
      </c>
      <c r="BT18" s="129">
        <f t="shared" si="32"/>
        <v>9775.640662408412</v>
      </c>
      <c r="BU18" s="129">
        <f t="shared" si="32"/>
        <v>10029.591146665247</v>
      </c>
      <c r="BV18" s="129">
        <f t="shared" si="32"/>
        <v>9937.325466639586</v>
      </c>
      <c r="BW18" s="129">
        <f t="shared" si="32"/>
        <v>9166.5246816518174</v>
      </c>
      <c r="BX18" s="129">
        <f t="shared" si="32"/>
        <v>8992.9186518739898</v>
      </c>
      <c r="BY18" s="129">
        <f t="shared" si="32"/>
        <v>8158.9068725257403</v>
      </c>
      <c r="BZ18" s="129">
        <f t="shared" si="32"/>
        <v>8920.6603214921361</v>
      </c>
      <c r="CA18" s="129">
        <f t="shared" si="32"/>
        <v>8903.6461798707842</v>
      </c>
      <c r="CB18" s="129">
        <f t="shared" si="32"/>
        <v>9813.4934718160257</v>
      </c>
      <c r="CC18" s="129">
        <f t="shared" si="32"/>
        <v>9257.1302234509967</v>
      </c>
      <c r="CD18" s="129">
        <f t="shared" si="32"/>
        <v>8168.6711815407307</v>
      </c>
      <c r="CE18" s="129">
        <f t="shared" si="32"/>
        <v>8244.7494808859719</v>
      </c>
      <c r="CF18" s="129">
        <f t="shared" si="32"/>
        <v>10165.706246570424</v>
      </c>
      <c r="CG18" s="129">
        <f t="shared" si="32"/>
        <v>10009.144473873019</v>
      </c>
      <c r="CH18" s="129">
        <f t="shared" si="32"/>
        <v>9775.434187495568</v>
      </c>
      <c r="CI18" s="129">
        <f t="shared" si="32"/>
        <v>9363.8843259116111</v>
      </c>
      <c r="CJ18" s="129">
        <f t="shared" si="32"/>
        <v>10043.157374576842</v>
      </c>
      <c r="CK18" s="129">
        <f t="shared" si="32"/>
        <v>9838.9242398141887</v>
      </c>
      <c r="CL18" s="129">
        <f t="shared" si="32"/>
        <v>9111.9707867804136</v>
      </c>
      <c r="CM18" s="129">
        <f t="shared" si="32"/>
        <v>8988.104635549711</v>
      </c>
      <c r="CN18" s="129">
        <f t="shared" si="32"/>
        <v>9749.6806410986865</v>
      </c>
      <c r="CO18" s="129">
        <f t="shared" si="32"/>
        <v>9366.1576114270611</v>
      </c>
      <c r="CP18" s="129">
        <f t="shared" si="32"/>
        <v>10262.909877248707</v>
      </c>
      <c r="CQ18" s="129">
        <f t="shared" si="32"/>
        <v>11679.25328070481</v>
      </c>
      <c r="CR18" s="129">
        <f t="shared" si="32"/>
        <v>11069.408331496441</v>
      </c>
      <c r="CS18" s="129">
        <f t="shared" si="32"/>
        <v>11257.882884262335</v>
      </c>
      <c r="CT18" s="129">
        <f>SUM(CH7:CS7)/SUM(CH12:CS12)*(1+CT19)</f>
        <v>9913.9482724509999</v>
      </c>
      <c r="CU18" s="129">
        <f t="shared" ref="CU18:DS18" si="33">CT18*(1+CU19)</f>
        <v>9913.9482724509999</v>
      </c>
      <c r="CV18" s="129">
        <f t="shared" si="33"/>
        <v>9913.9482724509999</v>
      </c>
      <c r="CW18" s="129">
        <f t="shared" si="33"/>
        <v>9913.9482724509999</v>
      </c>
      <c r="CX18" s="129">
        <f t="shared" si="33"/>
        <v>9913.9482724509999</v>
      </c>
      <c r="CY18" s="129">
        <f t="shared" si="33"/>
        <v>9913.9482724509999</v>
      </c>
      <c r="CZ18" s="129">
        <f t="shared" si="33"/>
        <v>9913.9482724509999</v>
      </c>
      <c r="DA18" s="129">
        <f t="shared" si="33"/>
        <v>9913.9482724509999</v>
      </c>
      <c r="DB18" s="129">
        <f t="shared" si="33"/>
        <v>9913.9482724509999</v>
      </c>
      <c r="DC18" s="129">
        <f t="shared" si="33"/>
        <v>9913.9482724509999</v>
      </c>
      <c r="DD18" s="129">
        <f t="shared" si="33"/>
        <v>9913.9482724509999</v>
      </c>
      <c r="DE18" s="129">
        <f t="shared" si="33"/>
        <v>9913.9482724509999</v>
      </c>
      <c r="DF18" s="129">
        <f t="shared" si="33"/>
        <v>9913.9482724509999</v>
      </c>
      <c r="DG18" s="129">
        <f t="shared" si="33"/>
        <v>9913.9482724509999</v>
      </c>
      <c r="DH18" s="129">
        <f t="shared" si="33"/>
        <v>9913.9482724509999</v>
      </c>
      <c r="DI18" s="129">
        <f t="shared" si="33"/>
        <v>9913.9482724509999</v>
      </c>
      <c r="DJ18" s="129">
        <f t="shared" si="33"/>
        <v>9913.9482724509999</v>
      </c>
      <c r="DK18" s="129">
        <f t="shared" si="33"/>
        <v>9913.9482724509999</v>
      </c>
      <c r="DL18" s="129">
        <f t="shared" si="33"/>
        <v>9913.9482724509999</v>
      </c>
      <c r="DM18" s="129">
        <f t="shared" si="33"/>
        <v>9913.9482724509999</v>
      </c>
      <c r="DN18" s="129">
        <f t="shared" si="33"/>
        <v>9913.9482724509999</v>
      </c>
      <c r="DO18" s="129">
        <f t="shared" si="33"/>
        <v>9913.9482724509999</v>
      </c>
      <c r="DP18" s="129">
        <f t="shared" si="33"/>
        <v>9913.9482724509999</v>
      </c>
      <c r="DQ18" s="129">
        <f t="shared" si="33"/>
        <v>9913.9482724509999</v>
      </c>
      <c r="DR18" s="129">
        <f t="shared" si="33"/>
        <v>9913.9482724509999</v>
      </c>
      <c r="DS18" s="129">
        <f t="shared" si="33"/>
        <v>9913.9482724509999</v>
      </c>
      <c r="DT18" s="129">
        <f t="shared" ref="DT18" si="34">DS18*(1+DT19)</f>
        <v>9913.9482724509999</v>
      </c>
      <c r="DU18" s="129">
        <f t="shared" ref="DU18" si="35">DT18*(1+DU19)</f>
        <v>9913.9482724509999</v>
      </c>
      <c r="DV18" s="129">
        <f t="shared" ref="DV18" si="36">DU18*(1+DV19)</f>
        <v>9913.9482724509999</v>
      </c>
      <c r="DW18" s="129">
        <f t="shared" ref="DW18" si="37">DV18*(1+DW19)</f>
        <v>9913.9482724509999</v>
      </c>
      <c r="DX18" s="129">
        <f t="shared" ref="DX18" si="38">DW18*(1+DX19)</f>
        <v>9913.9482724509999</v>
      </c>
      <c r="DY18" s="129">
        <f t="shared" ref="DY18" si="39">DX18*(1+DY19)</f>
        <v>9913.9482724509999</v>
      </c>
      <c r="DZ18" s="129">
        <f t="shared" ref="DZ18" si="40">DY18*(1+DZ19)</f>
        <v>9913.9482724509999</v>
      </c>
      <c r="EA18" s="129">
        <f t="shared" ref="EA18" si="41">DZ18*(1+EA19)</f>
        <v>9913.9482724509999</v>
      </c>
      <c r="EB18" s="129">
        <f t="shared" ref="EB18" si="42">EA18*(1+EB19)</f>
        <v>9913.9482724509999</v>
      </c>
      <c r="EC18" s="129">
        <f t="shared" ref="EC18" si="43">EB18*(1+EC19)</f>
        <v>9913.9482724509999</v>
      </c>
      <c r="ED18" s="113" t="s">
        <v>1</v>
      </c>
    </row>
    <row r="19" spans="1:134" x14ac:dyDescent="0.2">
      <c r="A19" s="698" t="s">
        <v>91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>
        <f t="shared" ref="BJ19:CS19" si="44">BJ18/BI18-1</f>
        <v>0.11893015301755128</v>
      </c>
      <c r="BK19" s="133">
        <f t="shared" si="44"/>
        <v>4.3545780546580204E-2</v>
      </c>
      <c r="BL19" s="133">
        <f t="shared" si="44"/>
        <v>3.4703137251386185E-2</v>
      </c>
      <c r="BM19" s="133">
        <f t="shared" si="44"/>
        <v>-4.932876384545537E-2</v>
      </c>
      <c r="BN19" s="133">
        <f t="shared" si="44"/>
        <v>-4.1114214361283152E-2</v>
      </c>
      <c r="BO19" s="133">
        <f t="shared" si="44"/>
        <v>-3.3415844525048755E-2</v>
      </c>
      <c r="BP19" s="133">
        <f t="shared" si="44"/>
        <v>0.10761975784835642</v>
      </c>
      <c r="BQ19" s="133">
        <f t="shared" si="44"/>
        <v>-1.6095230516064873E-2</v>
      </c>
      <c r="BR19" s="133">
        <f t="shared" si="44"/>
        <v>0.23896861742491837</v>
      </c>
      <c r="BS19" s="133">
        <f t="shared" si="44"/>
        <v>-1.9618460297168627E-2</v>
      </c>
      <c r="BT19" s="133">
        <f t="shared" si="44"/>
        <v>2.2507382772049667E-2</v>
      </c>
      <c r="BU19" s="133">
        <f t="shared" si="44"/>
        <v>2.5977886567924324E-2</v>
      </c>
      <c r="BV19" s="133">
        <f t="shared" si="44"/>
        <v>-9.1993460826504947E-3</v>
      </c>
      <c r="BW19" s="133">
        <f t="shared" si="44"/>
        <v>-7.756622117041545E-2</v>
      </c>
      <c r="BX19" s="133">
        <f t="shared" si="44"/>
        <v>-1.8939132965553052E-2</v>
      </c>
      <c r="BY19" s="133">
        <f t="shared" si="44"/>
        <v>-9.2740945585497281E-2</v>
      </c>
      <c r="BZ19" s="133">
        <f t="shared" si="44"/>
        <v>9.3364645640400701E-2</v>
      </c>
      <c r="CA19" s="133">
        <f t="shared" si="44"/>
        <v>-1.9072737900759362E-3</v>
      </c>
      <c r="CB19" s="133">
        <f t="shared" si="44"/>
        <v>0.10218816803414876</v>
      </c>
      <c r="CC19" s="133">
        <f t="shared" si="44"/>
        <v>-5.6693699339881665E-2</v>
      </c>
      <c r="CD19" s="133">
        <f t="shared" si="44"/>
        <v>-0.11758061252642671</v>
      </c>
      <c r="CE19" s="133">
        <f t="shared" si="44"/>
        <v>9.3134241364936088E-3</v>
      </c>
      <c r="CF19" s="133">
        <f t="shared" si="44"/>
        <v>0.23299152632082487</v>
      </c>
      <c r="CG19" s="133">
        <f t="shared" si="44"/>
        <v>-1.540097351821712E-2</v>
      </c>
      <c r="CH19" s="133">
        <f t="shared" si="44"/>
        <v>-2.3349676586995716E-2</v>
      </c>
      <c r="CI19" s="133">
        <f t="shared" si="44"/>
        <v>-4.2100417607066398E-2</v>
      </c>
      <c r="CJ19" s="133">
        <f t="shared" si="44"/>
        <v>7.254180263478438E-2</v>
      </c>
      <c r="CK19" s="133">
        <f t="shared" si="44"/>
        <v>-2.0335550578909345E-2</v>
      </c>
      <c r="CL19" s="133">
        <f t="shared" si="44"/>
        <v>-7.3885460982826334E-2</v>
      </c>
      <c r="CM19" s="133">
        <f t="shared" si="44"/>
        <v>-1.3593782742412519E-2</v>
      </c>
      <c r="CN19" s="133">
        <f t="shared" si="44"/>
        <v>8.4731546463844287E-2</v>
      </c>
      <c r="CO19" s="133">
        <f t="shared" si="44"/>
        <v>-3.9336983824365235E-2</v>
      </c>
      <c r="CP19" s="133">
        <f t="shared" si="44"/>
        <v>9.5743879510160612E-2</v>
      </c>
      <c r="CQ19" s="133">
        <f t="shared" si="44"/>
        <v>0.1380060256200748</v>
      </c>
      <c r="CR19" s="133">
        <f t="shared" si="44"/>
        <v>-5.2216090750929145E-2</v>
      </c>
      <c r="CS19" s="133">
        <f t="shared" si="44"/>
        <v>1.7026614894096515E-2</v>
      </c>
      <c r="CT19" s="701">
        <v>-0.02</v>
      </c>
      <c r="CU19" s="133"/>
      <c r="CV19" s="133"/>
      <c r="CW19" s="133"/>
      <c r="CX19" s="133"/>
      <c r="CY19" s="133"/>
      <c r="CZ19" s="133"/>
      <c r="DA19" s="133"/>
      <c r="DB19" s="133"/>
      <c r="DC19" s="702"/>
      <c r="DD19" s="702"/>
      <c r="DE19" s="701">
        <v>0</v>
      </c>
      <c r="DF19" s="133"/>
      <c r="DG19" s="133"/>
      <c r="DH19" s="133"/>
      <c r="DI19" s="133"/>
      <c r="DJ19" s="133"/>
      <c r="DK19" s="133"/>
      <c r="DL19" s="133"/>
      <c r="DM19" s="133"/>
      <c r="DN19" s="133"/>
      <c r="DO19" s="702"/>
      <c r="DP19" s="133"/>
      <c r="DQ19" s="701">
        <v>0</v>
      </c>
      <c r="DR19" s="133"/>
      <c r="DS19" s="133"/>
      <c r="DT19" s="133"/>
      <c r="DU19" s="133"/>
      <c r="DV19" s="133"/>
      <c r="DW19" s="133"/>
      <c r="DX19" s="133"/>
      <c r="DY19" s="133"/>
      <c r="DZ19" s="133"/>
      <c r="EA19" s="133"/>
      <c r="EB19" s="133"/>
      <c r="EC19" s="133"/>
      <c r="ED19" s="113" t="s">
        <v>1</v>
      </c>
    </row>
    <row r="20" spans="1:134" x14ac:dyDescent="0.2">
      <c r="A20" s="698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3"/>
      <c r="CD20" s="133"/>
      <c r="CE20" s="133"/>
      <c r="CF20" s="133"/>
      <c r="CG20" s="133"/>
      <c r="CH20" s="133"/>
      <c r="CI20" s="133"/>
      <c r="CJ20" s="133"/>
      <c r="CK20" s="133"/>
      <c r="CL20" s="133"/>
      <c r="CM20" s="133"/>
      <c r="CN20" s="133"/>
      <c r="CO20" s="133"/>
      <c r="CP20" s="133"/>
      <c r="CQ20" s="133"/>
      <c r="CR20" s="133"/>
      <c r="CS20" s="133"/>
      <c r="CT20" s="133"/>
      <c r="CU20" s="133"/>
      <c r="CV20" s="133"/>
      <c r="CW20" s="133"/>
      <c r="CX20" s="133"/>
      <c r="CY20" s="133"/>
      <c r="CZ20" s="133"/>
      <c r="DA20" s="133"/>
      <c r="DB20" s="133"/>
      <c r="DC20" s="702"/>
      <c r="DD20" s="133"/>
      <c r="DE20" s="133"/>
      <c r="DF20" s="133"/>
      <c r="DG20" s="133"/>
      <c r="DH20" s="133"/>
      <c r="DI20" s="133"/>
      <c r="DJ20" s="133"/>
      <c r="DK20" s="133"/>
      <c r="DL20" s="133"/>
      <c r="DM20" s="133"/>
      <c r="DN20" s="133"/>
      <c r="DO20" s="702"/>
      <c r="DP20" s="133"/>
      <c r="DQ20" s="133"/>
      <c r="DR20" s="133"/>
      <c r="DS20" s="133"/>
      <c r="DT20" s="133"/>
      <c r="DU20" s="133"/>
      <c r="DV20" s="133"/>
      <c r="DW20" s="133"/>
      <c r="DX20" s="133"/>
      <c r="DY20" s="133"/>
      <c r="DZ20" s="133"/>
      <c r="EA20" s="133"/>
      <c r="EB20" s="133"/>
      <c r="EC20" s="133"/>
      <c r="ED20" s="113" t="s">
        <v>1</v>
      </c>
    </row>
    <row r="21" spans="1:134" x14ac:dyDescent="0.2">
      <c r="A21" s="700" t="s">
        <v>92</v>
      </c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3"/>
      <c r="CC21" s="133"/>
      <c r="CD21" s="133"/>
      <c r="CE21" s="133"/>
      <c r="CF21" s="133"/>
      <c r="CG21" s="133"/>
      <c r="CH21" s="133"/>
      <c r="CI21" s="133"/>
      <c r="CJ21" s="133"/>
      <c r="CK21" s="133"/>
      <c r="CL21" s="133"/>
      <c r="CM21" s="133"/>
      <c r="CN21" s="133"/>
      <c r="CO21" s="133"/>
      <c r="CP21" s="133"/>
      <c r="CQ21" s="133"/>
      <c r="CR21" s="133"/>
      <c r="CS21" s="133"/>
      <c r="CT21" s="133"/>
      <c r="CU21" s="133"/>
      <c r="CV21" s="133"/>
      <c r="CW21" s="133"/>
      <c r="CX21" s="133"/>
      <c r="CY21" s="133"/>
      <c r="CZ21" s="133"/>
      <c r="DA21" s="133"/>
      <c r="DB21" s="133"/>
      <c r="DC21" s="702"/>
      <c r="DD21" s="133"/>
      <c r="DE21" s="133"/>
      <c r="DF21" s="133"/>
      <c r="DG21" s="133"/>
      <c r="DH21" s="133"/>
      <c r="DI21" s="133"/>
      <c r="DJ21" s="133"/>
      <c r="DK21" s="133"/>
      <c r="DL21" s="133"/>
      <c r="DM21" s="133"/>
      <c r="DN21" s="133"/>
      <c r="DO21" s="702"/>
      <c r="DP21" s="133"/>
      <c r="DQ21" s="133"/>
      <c r="DR21" s="133"/>
      <c r="DS21" s="133"/>
      <c r="DT21" s="133"/>
      <c r="DU21" s="133"/>
      <c r="DV21" s="133"/>
      <c r="DW21" s="133"/>
      <c r="DX21" s="133"/>
      <c r="DY21" s="133"/>
      <c r="DZ21" s="133"/>
      <c r="EA21" s="133"/>
      <c r="EB21" s="133"/>
      <c r="EC21" s="133"/>
      <c r="ED21" s="113" t="s">
        <v>1</v>
      </c>
    </row>
    <row r="22" spans="1:134" s="331" customFormat="1" x14ac:dyDescent="0.2">
      <c r="A22" s="700" t="s">
        <v>93</v>
      </c>
      <c r="B22" s="703">
        <v>0</v>
      </c>
      <c r="C22" s="703">
        <v>0</v>
      </c>
      <c r="D22" s="703">
        <v>0</v>
      </c>
      <c r="E22" s="703">
        <v>0</v>
      </c>
      <c r="F22" s="703">
        <v>0</v>
      </c>
      <c r="G22" s="703">
        <v>0</v>
      </c>
      <c r="H22" s="703">
        <v>0</v>
      </c>
      <c r="I22" s="703">
        <v>0</v>
      </c>
      <c r="J22" s="703">
        <v>0</v>
      </c>
      <c r="K22" s="703">
        <v>0</v>
      </c>
      <c r="L22" s="703">
        <v>0</v>
      </c>
      <c r="M22" s="703">
        <v>0</v>
      </c>
      <c r="N22" s="703">
        <v>73665.555110246292</v>
      </c>
      <c r="O22" s="703">
        <v>18545.060390213701</v>
      </c>
      <c r="P22" s="703">
        <v>35350.413907284805</v>
      </c>
      <c r="Q22" s="703">
        <v>313486.28900606331</v>
      </c>
      <c r="R22" s="703">
        <v>1159355.2106975713</v>
      </c>
      <c r="S22" s="703">
        <v>1898625.8744481485</v>
      </c>
      <c r="T22" s="703">
        <v>1537513.1401869159</v>
      </c>
      <c r="U22" s="703">
        <v>1643258.4994020648</v>
      </c>
      <c r="V22" s="703">
        <v>3134468.3339074668</v>
      </c>
      <c r="W22" s="703">
        <v>3493815.9042770294</v>
      </c>
      <c r="X22" s="703">
        <v>2214325.7156959665</v>
      </c>
      <c r="Y22" s="703">
        <v>681691.8</v>
      </c>
      <c r="Z22" s="703">
        <v>58689</v>
      </c>
      <c r="AA22" s="703">
        <v>78042.060356272195</v>
      </c>
      <c r="AB22" s="703">
        <v>302378.04553362168</v>
      </c>
      <c r="AC22" s="703">
        <v>90474.929575727394</v>
      </c>
      <c r="AD22" s="703">
        <v>203264.42760718707</v>
      </c>
      <c r="AE22" s="703">
        <v>1361023.772482974</v>
      </c>
      <c r="AF22" s="703">
        <v>2293737.3209034842</v>
      </c>
      <c r="AG22" s="703">
        <v>2573237.3671421879</v>
      </c>
      <c r="AH22" s="703">
        <v>2807816.9557540626</v>
      </c>
      <c r="AI22" s="703">
        <v>3084430.9328800202</v>
      </c>
      <c r="AJ22" s="703">
        <v>3797965.7819819348</v>
      </c>
      <c r="AK22" s="703">
        <v>4332916.3022988625</v>
      </c>
      <c r="AL22" s="703">
        <v>3505842.2734151226</v>
      </c>
      <c r="AM22" s="703">
        <v>4420191.4761746181</v>
      </c>
      <c r="AN22" s="703">
        <v>8957793.5850175116</v>
      </c>
      <c r="AO22" s="703">
        <v>13662088.430000007</v>
      </c>
      <c r="AP22" s="703">
        <v>16041870.883829201</v>
      </c>
      <c r="AQ22" s="703">
        <v>25276687.029312592</v>
      </c>
      <c r="AR22" s="703">
        <v>33122634.359999973</v>
      </c>
      <c r="AS22" s="703">
        <v>23397431.130000014</v>
      </c>
      <c r="AT22" s="703">
        <v>30706133.839999981</v>
      </c>
      <c r="AU22" s="703">
        <v>32573536.390000001</v>
      </c>
      <c r="AV22" s="703">
        <v>43288241</v>
      </c>
      <c r="AW22" s="703">
        <v>50451902.1254289</v>
      </c>
      <c r="AX22" s="703">
        <v>49613455.54999987</v>
      </c>
      <c r="AY22" s="703">
        <v>64881764</v>
      </c>
      <c r="AZ22" s="703">
        <f t="shared" ref="AZ22:CE22" si="45">AZ23+AZ24</f>
        <v>69152022.820000127</v>
      </c>
      <c r="BA22" s="703">
        <f t="shared" si="45"/>
        <v>64276477.298501514</v>
      </c>
      <c r="BB22" s="703">
        <f t="shared" si="45"/>
        <v>61835594.384117238</v>
      </c>
      <c r="BC22" s="703">
        <f t="shared" si="45"/>
        <v>53480847.653610654</v>
      </c>
      <c r="BD22" s="703">
        <f t="shared" si="45"/>
        <v>46389583.428452604</v>
      </c>
      <c r="BE22" s="703">
        <f t="shared" si="45"/>
        <v>53529111.448092893</v>
      </c>
      <c r="BF22" s="703">
        <f t="shared" si="45"/>
        <v>62969263.536532894</v>
      </c>
      <c r="BG22" s="703">
        <f t="shared" si="45"/>
        <v>57422683.442052104</v>
      </c>
      <c r="BH22" s="703">
        <f t="shared" si="45"/>
        <v>58090116.159317449</v>
      </c>
      <c r="BI22" s="703">
        <f t="shared" si="45"/>
        <v>62624254.548868529</v>
      </c>
      <c r="BJ22" s="703">
        <f t="shared" si="45"/>
        <v>76536530.073409602</v>
      </c>
      <c r="BK22" s="703">
        <f t="shared" si="45"/>
        <v>72695280.012605667</v>
      </c>
      <c r="BL22" s="703">
        <f t="shared" si="45"/>
        <v>55695124.606233619</v>
      </c>
      <c r="BM22" s="703">
        <f t="shared" si="45"/>
        <v>60161071.245214261</v>
      </c>
      <c r="BN22" s="703">
        <f t="shared" si="45"/>
        <v>56566397.315295048</v>
      </c>
      <c r="BO22" s="703">
        <f t="shared" si="45"/>
        <v>50908459.997822702</v>
      </c>
      <c r="BP22" s="703">
        <f t="shared" si="45"/>
        <v>44811294.506559856</v>
      </c>
      <c r="BQ22" s="703">
        <f t="shared" si="45"/>
        <v>33288316.730209462</v>
      </c>
      <c r="BR22" s="703">
        <f t="shared" si="45"/>
        <v>39380551.573994622</v>
      </c>
      <c r="BS22" s="703">
        <f t="shared" si="45"/>
        <v>38596506.723087728</v>
      </c>
      <c r="BT22" s="703">
        <f t="shared" si="45"/>
        <v>41539489.946336597</v>
      </c>
      <c r="BU22" s="703">
        <f t="shared" si="45"/>
        <v>35627347</v>
      </c>
      <c r="BV22" s="703">
        <f t="shared" si="45"/>
        <v>39027835.500370227</v>
      </c>
      <c r="BW22" s="703">
        <f t="shared" si="45"/>
        <v>41180205.942910641</v>
      </c>
      <c r="BX22" s="703">
        <f t="shared" si="45"/>
        <v>37820419.208812833</v>
      </c>
      <c r="BY22" s="703">
        <f t="shared" si="45"/>
        <v>38421604.25911478</v>
      </c>
      <c r="BZ22" s="703">
        <f t="shared" si="45"/>
        <v>38540693.438424483</v>
      </c>
      <c r="CA22" s="703">
        <f t="shared" si="45"/>
        <v>41279369.345931023</v>
      </c>
      <c r="CB22" s="703">
        <f t="shared" si="45"/>
        <v>38500713.43899703</v>
      </c>
      <c r="CC22" s="703">
        <f t="shared" si="45"/>
        <v>35403929.256332912</v>
      </c>
      <c r="CD22" s="703">
        <f t="shared" si="45"/>
        <v>38563230.632933594</v>
      </c>
      <c r="CE22" s="703">
        <f t="shared" si="45"/>
        <v>34164575.13988106</v>
      </c>
      <c r="CF22" s="703">
        <f t="shared" ref="CF22:DK22" si="46">CF23+CF24</f>
        <v>31083240.318292845</v>
      </c>
      <c r="CG22" s="703">
        <f t="shared" si="46"/>
        <v>38848188.580181628</v>
      </c>
      <c r="CH22" s="703">
        <f t="shared" si="46"/>
        <v>42290720.498826109</v>
      </c>
      <c r="CI22" s="703">
        <f t="shared" si="46"/>
        <v>42471519.808827765</v>
      </c>
      <c r="CJ22" s="703">
        <f t="shared" si="46"/>
        <v>59153816.8189587</v>
      </c>
      <c r="CK22" s="703">
        <f t="shared" si="46"/>
        <v>47173607.499999985</v>
      </c>
      <c r="CL22" s="703">
        <f t="shared" si="46"/>
        <v>50244942.010000147</v>
      </c>
      <c r="CM22" s="703">
        <f t="shared" si="46"/>
        <v>40413838.730000041</v>
      </c>
      <c r="CN22" s="703">
        <f t="shared" si="46"/>
        <v>43646244.990000002</v>
      </c>
      <c r="CO22" s="703">
        <f t="shared" si="46"/>
        <v>43697575.960000008</v>
      </c>
      <c r="CP22" s="703">
        <f t="shared" si="46"/>
        <v>58062499.87000002</v>
      </c>
      <c r="CQ22" s="703">
        <f t="shared" si="46"/>
        <v>58286668.16999989</v>
      </c>
      <c r="CR22" s="703">
        <f t="shared" si="46"/>
        <v>62612125.560000099</v>
      </c>
      <c r="CS22" s="703">
        <f t="shared" si="46"/>
        <v>66146253.839999892</v>
      </c>
      <c r="CT22" s="703">
        <f t="shared" si="46"/>
        <v>64717047.948710889</v>
      </c>
      <c r="CU22" s="703">
        <f t="shared" si="46"/>
        <v>67326439.780532792</v>
      </c>
      <c r="CV22" s="703">
        <f t="shared" si="46"/>
        <v>72154608.275245413</v>
      </c>
      <c r="CW22" s="703">
        <f t="shared" si="46"/>
        <v>70800219.985941783</v>
      </c>
      <c r="CX22" s="703">
        <f t="shared" si="46"/>
        <v>67585756.720467865</v>
      </c>
      <c r="CY22" s="703">
        <f t="shared" si="46"/>
        <v>57326890.781868108</v>
      </c>
      <c r="CZ22" s="703">
        <f t="shared" si="46"/>
        <v>69033212.371463642</v>
      </c>
      <c r="DA22" s="703">
        <f t="shared" si="46"/>
        <v>80505310.100025788</v>
      </c>
      <c r="DB22" s="703">
        <f t="shared" si="46"/>
        <v>89326629.616936371</v>
      </c>
      <c r="DC22" s="703">
        <f t="shared" si="46"/>
        <v>87417785.788540617</v>
      </c>
      <c r="DD22" s="703">
        <f t="shared" si="46"/>
        <v>86460776.89276886</v>
      </c>
      <c r="DE22" s="703">
        <f t="shared" si="46"/>
        <v>84890750.366197318</v>
      </c>
      <c r="DF22" s="703">
        <f t="shared" si="46"/>
        <v>80896309.935888618</v>
      </c>
      <c r="DG22" s="703">
        <f t="shared" si="46"/>
        <v>84158049.725666016</v>
      </c>
      <c r="DH22" s="703">
        <f t="shared" si="46"/>
        <v>90193260.34405677</v>
      </c>
      <c r="DI22" s="703">
        <f t="shared" si="46"/>
        <v>88500274.98242721</v>
      </c>
      <c r="DJ22" s="703">
        <f t="shared" si="46"/>
        <v>84482195.900584817</v>
      </c>
      <c r="DK22" s="703">
        <f t="shared" si="46"/>
        <v>71658613.47733514</v>
      </c>
      <c r="DL22" s="703">
        <f t="shared" ref="DL22:EC22" si="47">DL23+DL24</f>
        <v>86291515.464329571</v>
      </c>
      <c r="DM22" s="703">
        <f t="shared" si="47"/>
        <v>100631637.62503223</v>
      </c>
      <c r="DN22" s="703">
        <f t="shared" si="47"/>
        <v>111658287.02117044</v>
      </c>
      <c r="DO22" s="703">
        <f t="shared" si="47"/>
        <v>109272232.23567575</v>
      </c>
      <c r="DP22" s="703">
        <f t="shared" si="47"/>
        <v>108075971.11596105</v>
      </c>
      <c r="DQ22" s="703">
        <f t="shared" si="47"/>
        <v>106113437.9577466</v>
      </c>
      <c r="DR22" s="703">
        <f t="shared" si="47"/>
        <v>97075571.923066333</v>
      </c>
      <c r="DS22" s="703">
        <f t="shared" si="47"/>
        <v>100989659.67079923</v>
      </c>
      <c r="DT22" s="703">
        <f t="shared" si="47"/>
        <v>108231912.41286811</v>
      </c>
      <c r="DU22" s="703">
        <f t="shared" si="47"/>
        <v>106200329.97891265</v>
      </c>
      <c r="DV22" s="703">
        <f t="shared" si="47"/>
        <v>101378635.08070178</v>
      </c>
      <c r="DW22" s="703">
        <f t="shared" si="47"/>
        <v>85990336.172802135</v>
      </c>
      <c r="DX22" s="703">
        <f t="shared" si="47"/>
        <v>103549818.55719545</v>
      </c>
      <c r="DY22" s="703">
        <f t="shared" si="47"/>
        <v>120757965.15003867</v>
      </c>
      <c r="DZ22" s="703">
        <f t="shared" si="47"/>
        <v>133989944.42540452</v>
      </c>
      <c r="EA22" s="703">
        <f t="shared" si="47"/>
        <v>131126678.68281089</v>
      </c>
      <c r="EB22" s="703">
        <f t="shared" si="47"/>
        <v>129691165.33915325</v>
      </c>
      <c r="EC22" s="703">
        <f t="shared" si="47"/>
        <v>127336125.5492959</v>
      </c>
      <c r="ED22" s="113" t="s">
        <v>1</v>
      </c>
    </row>
    <row r="23" spans="1:134" x14ac:dyDescent="0.2">
      <c r="A23" s="698" t="s">
        <v>3</v>
      </c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4"/>
      <c r="P23" s="704"/>
      <c r="Q23" s="704"/>
      <c r="R23" s="704"/>
      <c r="S23" s="704"/>
      <c r="T23" s="704"/>
      <c r="U23" s="704"/>
      <c r="V23" s="704"/>
      <c r="W23" s="704"/>
      <c r="X23" s="704"/>
      <c r="Y23" s="704"/>
      <c r="Z23" s="704"/>
      <c r="AA23" s="704"/>
      <c r="AB23" s="704"/>
      <c r="AC23" s="704"/>
      <c r="AD23" s="704"/>
      <c r="AE23" s="704"/>
      <c r="AF23" s="704"/>
      <c r="AG23" s="704"/>
      <c r="AH23" s="704"/>
      <c r="AI23" s="704"/>
      <c r="AJ23" s="704"/>
      <c r="AK23" s="704"/>
      <c r="AL23" s="704"/>
      <c r="AM23" s="704"/>
      <c r="AN23" s="704"/>
      <c r="AO23" s="704"/>
      <c r="AP23" s="704"/>
      <c r="AQ23" s="704"/>
      <c r="AR23" s="704"/>
      <c r="AS23" s="704"/>
      <c r="AT23" s="704"/>
      <c r="AU23" s="704"/>
      <c r="AV23" s="704"/>
      <c r="AW23" s="704"/>
      <c r="AX23" s="704"/>
      <c r="AY23" s="704"/>
      <c r="AZ23" s="699">
        <v>584761.33190888166</v>
      </c>
      <c r="BA23" s="699">
        <v>130274.59213119221</v>
      </c>
      <c r="BB23" s="699">
        <v>163329.98460604492</v>
      </c>
      <c r="BC23" s="699">
        <v>380127.04178982408</v>
      </c>
      <c r="BD23" s="699">
        <v>1177382.4557549432</v>
      </c>
      <c r="BE23" s="699">
        <v>2259684.6125039151</v>
      </c>
      <c r="BF23" s="699">
        <v>308900.99216045963</v>
      </c>
      <c r="BG23" s="699">
        <v>249670.92670913576</v>
      </c>
      <c r="BH23" s="699">
        <v>568887.69247748505</v>
      </c>
      <c r="BI23" s="699">
        <v>1351325.0294909673</v>
      </c>
      <c r="BJ23" s="699">
        <v>489349.00310316338</v>
      </c>
      <c r="BK23" s="699">
        <v>596455.24720914185</v>
      </c>
      <c r="BL23" s="699">
        <v>152981.59195186739</v>
      </c>
      <c r="BM23" s="699">
        <v>200262.42337374482</v>
      </c>
      <c r="BN23" s="699">
        <v>27457.577147116022</v>
      </c>
      <c r="BO23" s="699">
        <v>201581.69631271978</v>
      </c>
      <c r="BP23" s="699">
        <v>2088827.8603889332</v>
      </c>
      <c r="BQ23" s="699">
        <v>270666.24268452858</v>
      </c>
      <c r="BR23" s="699">
        <v>88826.571300075346</v>
      </c>
      <c r="BS23" s="699">
        <v>720660.14962792175</v>
      </c>
      <c r="BT23" s="699">
        <v>1462117.2270053183</v>
      </c>
      <c r="BU23" s="699">
        <v>1052057</v>
      </c>
      <c r="BV23" s="699">
        <v>645068.3505013003</v>
      </c>
      <c r="BW23" s="699">
        <v>639875.17488929501</v>
      </c>
      <c r="BX23" s="699">
        <v>851158.77314847638</v>
      </c>
      <c r="BY23" s="699">
        <v>95498.433199502222</v>
      </c>
      <c r="BZ23" s="699">
        <v>100441.80442999859</v>
      </c>
      <c r="CA23" s="699">
        <v>86477.184611943929</v>
      </c>
      <c r="CB23" s="699">
        <v>313479.16603827907</v>
      </c>
      <c r="CC23" s="699">
        <v>280926.05334463768</v>
      </c>
      <c r="CD23" s="699">
        <v>185949.367929197</v>
      </c>
      <c r="CE23" s="699">
        <v>12510.888355187959</v>
      </c>
      <c r="CF23" s="699">
        <v>62892.962363716986</v>
      </c>
      <c r="CG23" s="699">
        <v>90180.167256206929</v>
      </c>
      <c r="CH23" s="699">
        <v>147495.14121625217</v>
      </c>
      <c r="CI23" s="699">
        <v>1251985.497965029</v>
      </c>
      <c r="CJ23" s="699">
        <v>55430.528994977809</v>
      </c>
      <c r="CK23" s="699">
        <v>246236.77999999997</v>
      </c>
      <c r="CL23" s="699">
        <v>54944.39</v>
      </c>
      <c r="CM23" s="699">
        <v>93690.25</v>
      </c>
      <c r="CN23" s="699">
        <v>29481.83</v>
      </c>
      <c r="CO23" s="699">
        <v>111605.68</v>
      </c>
      <c r="CP23" s="699">
        <v>311799.44999999995</v>
      </c>
      <c r="CQ23" s="699">
        <v>120490.87</v>
      </c>
      <c r="CR23" s="699">
        <v>29857.06</v>
      </c>
      <c r="CS23" s="699">
        <v>112658.46</v>
      </c>
      <c r="CT23" s="704">
        <f t="shared" ref="CT23:DS23" si="48">CS23/CS27*CT27</f>
        <v>270750.94694724638</v>
      </c>
      <c r="CU23" s="704">
        <f t="shared" si="48"/>
        <v>276072.23859020736</v>
      </c>
      <c r="CV23" s="704">
        <f t="shared" si="48"/>
        <v>94815.742001849751</v>
      </c>
      <c r="CW23" s="704">
        <f t="shared" si="48"/>
        <v>121059.38487736174</v>
      </c>
      <c r="CX23" s="704">
        <f t="shared" si="48"/>
        <v>80121.720760491648</v>
      </c>
      <c r="CY23" s="704">
        <f t="shared" si="48"/>
        <v>99623.045247479255</v>
      </c>
      <c r="CZ23" s="704">
        <f t="shared" si="48"/>
        <v>80212.424595314849</v>
      </c>
      <c r="DA23" s="704">
        <f t="shared" si="48"/>
        <v>191385.09147694797</v>
      </c>
      <c r="DB23" s="704">
        <f t="shared" si="48"/>
        <v>220259.14556233273</v>
      </c>
      <c r="DC23" s="704">
        <f t="shared" si="48"/>
        <v>135451.06000264248</v>
      </c>
      <c r="DD23" s="704">
        <f t="shared" si="48"/>
        <v>109738.46219919284</v>
      </c>
      <c r="DE23" s="704">
        <f t="shared" si="48"/>
        <v>73088.32432072665</v>
      </c>
      <c r="DF23" s="704">
        <f t="shared" si="48"/>
        <v>338438.68368405791</v>
      </c>
      <c r="DG23" s="704">
        <f t="shared" si="48"/>
        <v>345090.2982377591</v>
      </c>
      <c r="DH23" s="704">
        <f t="shared" si="48"/>
        <v>118519.67750231219</v>
      </c>
      <c r="DI23" s="704">
        <f t="shared" si="48"/>
        <v>151324.23109670216</v>
      </c>
      <c r="DJ23" s="704">
        <f t="shared" si="48"/>
        <v>100152.15095061457</v>
      </c>
      <c r="DK23" s="704">
        <f t="shared" si="48"/>
        <v>124528.80655934903</v>
      </c>
      <c r="DL23" s="704">
        <f t="shared" si="48"/>
        <v>100265.53074414356</v>
      </c>
      <c r="DM23" s="704">
        <f t="shared" si="48"/>
        <v>239231.36434618494</v>
      </c>
      <c r="DN23" s="704">
        <f t="shared" si="48"/>
        <v>275323.93195291591</v>
      </c>
      <c r="DO23" s="704">
        <f t="shared" si="48"/>
        <v>169313.82500330312</v>
      </c>
      <c r="DP23" s="704">
        <f t="shared" si="48"/>
        <v>137173.07774899105</v>
      </c>
      <c r="DQ23" s="704">
        <f t="shared" si="48"/>
        <v>91360.405400908334</v>
      </c>
      <c r="DR23" s="704">
        <f t="shared" si="48"/>
        <v>406126.42042086954</v>
      </c>
      <c r="DS23" s="704">
        <f t="shared" si="48"/>
        <v>414108.35788531095</v>
      </c>
      <c r="DT23" s="704">
        <f t="shared" ref="DT23:DT24" si="49">DS23/DS27*DT27</f>
        <v>142223.61300277463</v>
      </c>
      <c r="DU23" s="704">
        <f t="shared" ref="DU23:DU24" si="50">DT23/DT27*DU27</f>
        <v>181589.07731604262</v>
      </c>
      <c r="DV23" s="704">
        <f t="shared" ref="DV23:DV24" si="51">DU23/DU27*DV27</f>
        <v>120182.5811407375</v>
      </c>
      <c r="DW23" s="704">
        <f t="shared" ref="DW23:DW24" si="52">DV23/DV27*DW27</f>
        <v>149434.56787121887</v>
      </c>
      <c r="DX23" s="704">
        <f t="shared" ref="DX23:DX24" si="53">DW23/DW27*DX27</f>
        <v>120318.63689297228</v>
      </c>
      <c r="DY23" s="704">
        <f t="shared" ref="DY23:DY24" si="54">DX23/DX27*DY27</f>
        <v>287077.637215422</v>
      </c>
      <c r="DZ23" s="704">
        <f t="shared" ref="DZ23:DZ24" si="55">DY23/DY27*DZ27</f>
        <v>330388.71834349912</v>
      </c>
      <c r="EA23" s="704">
        <f t="shared" ref="EA23:EA24" si="56">DZ23/DZ27*EA27</f>
        <v>203176.59000396376</v>
      </c>
      <c r="EB23" s="704">
        <f t="shared" ref="EB23:EB24" si="57">EA23/EA27*EB27</f>
        <v>164607.69329878927</v>
      </c>
      <c r="EC23" s="704">
        <f t="shared" ref="EC23:EC24" si="58">EB23/EB27*EC27</f>
        <v>109632.48648109</v>
      </c>
      <c r="ED23" s="113" t="s">
        <v>1</v>
      </c>
    </row>
    <row r="24" spans="1:134" x14ac:dyDescent="0.2">
      <c r="A24" s="698" t="s">
        <v>4</v>
      </c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4"/>
      <c r="P24" s="704"/>
      <c r="Q24" s="704"/>
      <c r="R24" s="704"/>
      <c r="S24" s="704"/>
      <c r="T24" s="704"/>
      <c r="U24" s="704"/>
      <c r="V24" s="704"/>
      <c r="W24" s="704"/>
      <c r="X24" s="704"/>
      <c r="Y24" s="704"/>
      <c r="Z24" s="704"/>
      <c r="AA24" s="704"/>
      <c r="AB24" s="704"/>
      <c r="AC24" s="704"/>
      <c r="AD24" s="704"/>
      <c r="AE24" s="704"/>
      <c r="AF24" s="704"/>
      <c r="AG24" s="704"/>
      <c r="AH24" s="704"/>
      <c r="AI24" s="704"/>
      <c r="AJ24" s="704"/>
      <c r="AK24" s="704"/>
      <c r="AL24" s="704"/>
      <c r="AM24" s="704"/>
      <c r="AN24" s="704"/>
      <c r="AO24" s="704"/>
      <c r="AP24" s="704"/>
      <c r="AQ24" s="704"/>
      <c r="AR24" s="704"/>
      <c r="AS24" s="704"/>
      <c r="AT24" s="704"/>
      <c r="AU24" s="704"/>
      <c r="AV24" s="704"/>
      <c r="AW24" s="704"/>
      <c r="AX24" s="704"/>
      <c r="AY24" s="704"/>
      <c r="AZ24" s="699">
        <v>68567261.488091245</v>
      </c>
      <c r="BA24" s="699">
        <v>64146202.706370324</v>
      </c>
      <c r="BB24" s="699">
        <v>61672264.399511196</v>
      </c>
      <c r="BC24" s="699">
        <v>53100720.611820832</v>
      </c>
      <c r="BD24" s="699">
        <v>45212200.97269766</v>
      </c>
      <c r="BE24" s="699">
        <v>51269426.835588977</v>
      </c>
      <c r="BF24" s="699">
        <v>62660362.544372432</v>
      </c>
      <c r="BG24" s="699">
        <v>57173012.515342966</v>
      </c>
      <c r="BH24" s="699">
        <v>57521228.466839962</v>
      </c>
      <c r="BI24" s="699">
        <v>61272929.519377559</v>
      </c>
      <c r="BJ24" s="699">
        <v>76047181.070306435</v>
      </c>
      <c r="BK24" s="699">
        <v>72098824.76539652</v>
      </c>
      <c r="BL24" s="699">
        <v>55542143.01428175</v>
      </c>
      <c r="BM24" s="699">
        <v>59960808.821840517</v>
      </c>
      <c r="BN24" s="699">
        <v>56538939.738147929</v>
      </c>
      <c r="BO24" s="699">
        <v>50706878.301509984</v>
      </c>
      <c r="BP24" s="699">
        <v>42722466.646170922</v>
      </c>
      <c r="BQ24" s="699">
        <v>33017650.487524934</v>
      </c>
      <c r="BR24" s="699">
        <v>39291725.002694547</v>
      </c>
      <c r="BS24" s="699">
        <v>37875846.573459804</v>
      </c>
      <c r="BT24" s="699">
        <v>40077372.719331279</v>
      </c>
      <c r="BU24" s="699">
        <v>34575290</v>
      </c>
      <c r="BV24" s="699">
        <v>38382767.149868928</v>
      </c>
      <c r="BW24" s="699">
        <v>40540330.768021345</v>
      </c>
      <c r="BX24" s="699">
        <v>36969260.435664356</v>
      </c>
      <c r="BY24" s="699">
        <v>38326105.825915277</v>
      </c>
      <c r="BZ24" s="699">
        <v>38440251.633994482</v>
      </c>
      <c r="CA24" s="699">
        <v>41192892.161319077</v>
      </c>
      <c r="CB24" s="699">
        <v>38187234.272958748</v>
      </c>
      <c r="CC24" s="699">
        <v>35123003.202988274</v>
      </c>
      <c r="CD24" s="699">
        <v>38377281.265004396</v>
      </c>
      <c r="CE24" s="699">
        <v>34152064.251525871</v>
      </c>
      <c r="CF24" s="699">
        <v>31020347.355929129</v>
      </c>
      <c r="CG24" s="699">
        <v>38758008.412925422</v>
      </c>
      <c r="CH24" s="699">
        <v>42143225.357609853</v>
      </c>
      <c r="CI24" s="699">
        <v>41219534.310862735</v>
      </c>
      <c r="CJ24" s="699">
        <v>59098386.289963722</v>
      </c>
      <c r="CK24" s="699">
        <v>46927370.719999984</v>
      </c>
      <c r="CL24" s="699">
        <v>50189997.620000146</v>
      </c>
      <c r="CM24" s="699">
        <v>40320148.480000041</v>
      </c>
      <c r="CN24" s="699">
        <v>43616763.160000004</v>
      </c>
      <c r="CO24" s="699">
        <v>43585970.280000009</v>
      </c>
      <c r="CP24" s="699">
        <v>57750700.420000017</v>
      </c>
      <c r="CQ24" s="699">
        <v>58166177.299999893</v>
      </c>
      <c r="CR24" s="699">
        <v>62582268.500000097</v>
      </c>
      <c r="CS24" s="699">
        <v>66033595.379999891</v>
      </c>
      <c r="CT24" s="704">
        <f t="shared" ref="CT24:DS24" si="59">CS24/CS28*CT28</f>
        <v>64446297.001763642</v>
      </c>
      <c r="CU24" s="704">
        <f t="shared" si="59"/>
        <v>67050367.541942589</v>
      </c>
      <c r="CV24" s="704">
        <f t="shared" si="59"/>
        <v>72059792.533243567</v>
      </c>
      <c r="CW24" s="704">
        <f t="shared" si="59"/>
        <v>70679160.601064414</v>
      </c>
      <c r="CX24" s="704">
        <f t="shared" si="59"/>
        <v>67505634.999707371</v>
      </c>
      <c r="CY24" s="704">
        <f t="shared" si="59"/>
        <v>57227267.736620627</v>
      </c>
      <c r="CZ24" s="704">
        <f t="shared" si="59"/>
        <v>68952999.94686833</v>
      </c>
      <c r="DA24" s="704">
        <f t="shared" si="59"/>
        <v>80313925.008548841</v>
      </c>
      <c r="DB24" s="704">
        <f t="shared" si="59"/>
        <v>89106370.471374035</v>
      </c>
      <c r="DC24" s="704">
        <f t="shared" si="59"/>
        <v>87282334.728537977</v>
      </c>
      <c r="DD24" s="704">
        <f t="shared" si="59"/>
        <v>86351038.430569664</v>
      </c>
      <c r="DE24" s="704">
        <f t="shared" si="59"/>
        <v>84817662.041876584</v>
      </c>
      <c r="DF24" s="704">
        <f t="shared" si="59"/>
        <v>80557871.252204567</v>
      </c>
      <c r="DG24" s="704">
        <f t="shared" si="59"/>
        <v>83812959.42742826</v>
      </c>
      <c r="DH24" s="704">
        <f t="shared" si="59"/>
        <v>90074740.666554451</v>
      </c>
      <c r="DI24" s="704">
        <f t="shared" si="59"/>
        <v>88348950.75133051</v>
      </c>
      <c r="DJ24" s="704">
        <f t="shared" si="59"/>
        <v>84382043.749634206</v>
      </c>
      <c r="DK24" s="704">
        <f t="shared" si="59"/>
        <v>71534084.670775786</v>
      </c>
      <c r="DL24" s="704">
        <f t="shared" si="59"/>
        <v>86191249.93358542</v>
      </c>
      <c r="DM24" s="704">
        <f t="shared" si="59"/>
        <v>100392406.26068604</v>
      </c>
      <c r="DN24" s="704">
        <f t="shared" si="59"/>
        <v>111382963.08921753</v>
      </c>
      <c r="DO24" s="704">
        <f t="shared" si="59"/>
        <v>109102918.41067246</v>
      </c>
      <c r="DP24" s="704">
        <f t="shared" si="59"/>
        <v>107938798.03821206</v>
      </c>
      <c r="DQ24" s="704">
        <f t="shared" si="59"/>
        <v>106022077.55234569</v>
      </c>
      <c r="DR24" s="704">
        <f t="shared" si="59"/>
        <v>96669445.502645463</v>
      </c>
      <c r="DS24" s="704">
        <f t="shared" si="59"/>
        <v>100575551.31291391</v>
      </c>
      <c r="DT24" s="704">
        <f t="shared" si="49"/>
        <v>108089688.79986534</v>
      </c>
      <c r="DU24" s="704">
        <f t="shared" si="50"/>
        <v>106018740.90159661</v>
      </c>
      <c r="DV24" s="704">
        <f t="shared" si="51"/>
        <v>101258452.49956104</v>
      </c>
      <c r="DW24" s="704">
        <f t="shared" si="52"/>
        <v>85840901.604930922</v>
      </c>
      <c r="DX24" s="704">
        <f t="shared" si="53"/>
        <v>103429499.92030248</v>
      </c>
      <c r="DY24" s="704">
        <f t="shared" si="54"/>
        <v>120470887.51282325</v>
      </c>
      <c r="DZ24" s="704">
        <f t="shared" si="55"/>
        <v>133659555.70706102</v>
      </c>
      <c r="EA24" s="704">
        <f t="shared" si="56"/>
        <v>130923502.09280692</v>
      </c>
      <c r="EB24" s="704">
        <f t="shared" si="57"/>
        <v>129526557.64585446</v>
      </c>
      <c r="EC24" s="704">
        <f t="shared" si="58"/>
        <v>127226493.06281482</v>
      </c>
      <c r="ED24" s="113" t="s">
        <v>1</v>
      </c>
    </row>
    <row r="25" spans="1:134" x14ac:dyDescent="0.2">
      <c r="A25" s="698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133"/>
      <c r="BV25" s="133"/>
      <c r="BW25" s="133"/>
      <c r="BX25" s="133"/>
      <c r="BY25" s="133"/>
      <c r="BZ25" s="133"/>
      <c r="CA25" s="133"/>
      <c r="CB25" s="133"/>
      <c r="CC25" s="133"/>
      <c r="CD25" s="133"/>
      <c r="CE25" s="133"/>
      <c r="CF25" s="133"/>
      <c r="CG25" s="133"/>
      <c r="CH25" s="133"/>
      <c r="CI25" s="133"/>
      <c r="CJ25" s="133"/>
      <c r="CK25" s="133"/>
      <c r="CL25" s="133"/>
      <c r="CM25" s="133"/>
      <c r="CN25" s="133"/>
      <c r="CO25" s="133"/>
      <c r="CP25" s="133"/>
      <c r="CQ25" s="133"/>
      <c r="CR25" s="133"/>
      <c r="CS25" s="133"/>
      <c r="CT25" s="133"/>
      <c r="CU25" s="133"/>
      <c r="CV25" s="133"/>
      <c r="CW25" s="133"/>
      <c r="CX25" s="133"/>
      <c r="CY25" s="133"/>
      <c r="CZ25" s="133"/>
      <c r="DA25" s="133"/>
      <c r="DB25" s="133"/>
      <c r="DC25" s="702"/>
      <c r="DD25" s="133"/>
      <c r="DE25" s="133"/>
      <c r="DF25" s="133"/>
      <c r="DG25" s="133"/>
      <c r="DH25" s="133"/>
      <c r="DI25" s="133"/>
      <c r="DJ25" s="133"/>
      <c r="DK25" s="133"/>
      <c r="DL25" s="133"/>
      <c r="DM25" s="133"/>
      <c r="DN25" s="133"/>
      <c r="DO25" s="702"/>
      <c r="DP25" s="133"/>
      <c r="DQ25" s="133"/>
      <c r="DR25" s="133"/>
      <c r="DS25" s="133"/>
      <c r="DT25" s="133"/>
      <c r="DU25" s="133"/>
      <c r="DV25" s="133"/>
      <c r="DW25" s="133"/>
      <c r="DX25" s="133"/>
      <c r="DY25" s="133"/>
      <c r="DZ25" s="133"/>
      <c r="EA25" s="133"/>
      <c r="EB25" s="133"/>
      <c r="EC25" s="133"/>
      <c r="ED25" s="113" t="s">
        <v>1</v>
      </c>
    </row>
    <row r="26" spans="1:134" s="331" customFormat="1" x14ac:dyDescent="0.2">
      <c r="A26" s="700" t="s">
        <v>5</v>
      </c>
      <c r="B26" s="703">
        <v>0</v>
      </c>
      <c r="C26" s="703">
        <v>0</v>
      </c>
      <c r="D26" s="703">
        <v>0</v>
      </c>
      <c r="E26" s="703">
        <v>0</v>
      </c>
      <c r="F26" s="703">
        <v>0</v>
      </c>
      <c r="G26" s="703">
        <v>0</v>
      </c>
      <c r="H26" s="703">
        <v>0</v>
      </c>
      <c r="I26" s="703">
        <v>0</v>
      </c>
      <c r="J26" s="703">
        <v>0</v>
      </c>
      <c r="K26" s="703">
        <v>0</v>
      </c>
      <c r="L26" s="703">
        <v>0</v>
      </c>
      <c r="M26" s="703">
        <v>0</v>
      </c>
      <c r="N26" s="703">
        <v>9</v>
      </c>
      <c r="O26" s="703">
        <v>1</v>
      </c>
      <c r="P26" s="703">
        <v>4</v>
      </c>
      <c r="Q26" s="703">
        <v>31</v>
      </c>
      <c r="R26" s="703">
        <v>137</v>
      </c>
      <c r="S26" s="703">
        <v>193</v>
      </c>
      <c r="T26" s="703">
        <v>159</v>
      </c>
      <c r="U26" s="703">
        <v>148</v>
      </c>
      <c r="V26" s="703">
        <v>325</v>
      </c>
      <c r="W26" s="703">
        <v>451</v>
      </c>
      <c r="X26" s="703">
        <v>337</v>
      </c>
      <c r="Y26" s="703">
        <v>109</v>
      </c>
      <c r="Z26" s="703">
        <v>9</v>
      </c>
      <c r="AA26" s="703">
        <v>1</v>
      </c>
      <c r="AB26" s="703">
        <v>42</v>
      </c>
      <c r="AC26" s="703">
        <v>9</v>
      </c>
      <c r="AD26" s="703">
        <v>41</v>
      </c>
      <c r="AE26" s="703">
        <v>163</v>
      </c>
      <c r="AF26" s="703">
        <v>338</v>
      </c>
      <c r="AG26" s="703">
        <v>440</v>
      </c>
      <c r="AH26" s="703">
        <v>464</v>
      </c>
      <c r="AI26" s="703">
        <v>386</v>
      </c>
      <c r="AJ26" s="703">
        <v>487</v>
      </c>
      <c r="AK26" s="703">
        <v>544</v>
      </c>
      <c r="AL26" s="703">
        <v>529</v>
      </c>
      <c r="AM26" s="703">
        <v>751</v>
      </c>
      <c r="AN26" s="703">
        <v>1454</v>
      </c>
      <c r="AO26" s="703">
        <v>2406</v>
      </c>
      <c r="AP26" s="703">
        <v>3125</v>
      </c>
      <c r="AQ26" s="703">
        <v>4565</v>
      </c>
      <c r="AR26" s="703">
        <v>5997</v>
      </c>
      <c r="AS26" s="703">
        <v>4301</v>
      </c>
      <c r="AT26" s="703">
        <v>5405</v>
      </c>
      <c r="AU26" s="703">
        <v>5899</v>
      </c>
      <c r="AV26" s="703">
        <v>7326</v>
      </c>
      <c r="AW26" s="703">
        <v>8324</v>
      </c>
      <c r="AX26" s="703">
        <v>8454</v>
      </c>
      <c r="AY26" s="703">
        <v>11659</v>
      </c>
      <c r="AZ26" s="703">
        <f t="shared" ref="AZ26:CE26" si="60">AZ27+AZ28</f>
        <v>12670</v>
      </c>
      <c r="BA26" s="703">
        <f t="shared" si="60"/>
        <v>9847</v>
      </c>
      <c r="BB26" s="703">
        <f t="shared" si="60"/>
        <v>9688</v>
      </c>
      <c r="BC26" s="703">
        <f t="shared" si="60"/>
        <v>8687</v>
      </c>
      <c r="BD26" s="703">
        <f t="shared" si="60"/>
        <v>8023</v>
      </c>
      <c r="BE26" s="703">
        <f t="shared" si="60"/>
        <v>8041</v>
      </c>
      <c r="BF26" s="703">
        <f t="shared" si="60"/>
        <v>8690</v>
      </c>
      <c r="BG26" s="703">
        <f t="shared" si="60"/>
        <v>7618</v>
      </c>
      <c r="BH26" s="703">
        <f t="shared" si="60"/>
        <v>7141</v>
      </c>
      <c r="BI26" s="703">
        <f t="shared" si="60"/>
        <v>7744</v>
      </c>
      <c r="BJ26" s="703">
        <f t="shared" si="60"/>
        <v>9180</v>
      </c>
      <c r="BK26" s="703">
        <f t="shared" si="60"/>
        <v>8178</v>
      </c>
      <c r="BL26" s="703">
        <f t="shared" si="60"/>
        <v>6173</v>
      </c>
      <c r="BM26" s="703">
        <f t="shared" si="60"/>
        <v>6268</v>
      </c>
      <c r="BN26" s="703">
        <f t="shared" si="60"/>
        <v>6527</v>
      </c>
      <c r="BO26" s="703">
        <f t="shared" si="60"/>
        <v>5670</v>
      </c>
      <c r="BP26" s="703">
        <f t="shared" si="60"/>
        <v>4802</v>
      </c>
      <c r="BQ26" s="703">
        <f t="shared" si="60"/>
        <v>3435</v>
      </c>
      <c r="BR26" s="703">
        <f t="shared" si="60"/>
        <v>3697</v>
      </c>
      <c r="BS26" s="703">
        <f t="shared" si="60"/>
        <v>3372</v>
      </c>
      <c r="BT26" s="703">
        <f t="shared" si="60"/>
        <v>3426</v>
      </c>
      <c r="BU26" s="703">
        <f t="shared" si="60"/>
        <v>3074</v>
      </c>
      <c r="BV26" s="703">
        <f t="shared" si="60"/>
        <v>3350</v>
      </c>
      <c r="BW26" s="703">
        <f t="shared" si="60"/>
        <v>3878</v>
      </c>
      <c r="BX26" s="703">
        <f t="shared" si="60"/>
        <v>4021</v>
      </c>
      <c r="BY26" s="703">
        <f t="shared" si="60"/>
        <v>4027</v>
      </c>
      <c r="BZ26" s="703">
        <f t="shared" si="60"/>
        <v>3980</v>
      </c>
      <c r="CA26" s="703">
        <f t="shared" si="60"/>
        <v>4197</v>
      </c>
      <c r="CB26" s="703">
        <f t="shared" si="60"/>
        <v>3886</v>
      </c>
      <c r="CC26" s="703">
        <f t="shared" si="60"/>
        <v>3583</v>
      </c>
      <c r="CD26" s="703">
        <f t="shared" si="60"/>
        <v>3952</v>
      </c>
      <c r="CE26" s="703">
        <f t="shared" si="60"/>
        <v>3085</v>
      </c>
      <c r="CF26" s="703">
        <f t="shared" ref="CF26:DK26" si="61">CF27+CF28</f>
        <v>2582</v>
      </c>
      <c r="CG26" s="703">
        <f t="shared" si="61"/>
        <v>3046</v>
      </c>
      <c r="CH26" s="703">
        <f t="shared" si="61"/>
        <v>3421</v>
      </c>
      <c r="CI26" s="703">
        <f t="shared" si="61"/>
        <v>3222</v>
      </c>
      <c r="CJ26" s="703">
        <f t="shared" si="61"/>
        <v>4805.6315789473683</v>
      </c>
      <c r="CK26" s="703">
        <f t="shared" si="61"/>
        <v>3820</v>
      </c>
      <c r="CL26" s="703">
        <f t="shared" si="61"/>
        <v>3997</v>
      </c>
      <c r="CM26" s="703">
        <f t="shared" si="61"/>
        <v>3313</v>
      </c>
      <c r="CN26" s="703">
        <f t="shared" si="61"/>
        <v>3863</v>
      </c>
      <c r="CO26" s="703">
        <f t="shared" si="61"/>
        <v>3942</v>
      </c>
      <c r="CP26" s="703">
        <f t="shared" si="61"/>
        <v>4834</v>
      </c>
      <c r="CQ26" s="703">
        <f t="shared" si="61"/>
        <v>4251</v>
      </c>
      <c r="CR26" s="703">
        <f t="shared" si="61"/>
        <v>4442</v>
      </c>
      <c r="CS26" s="703">
        <f t="shared" si="61"/>
        <v>4791</v>
      </c>
      <c r="CT26" s="703">
        <f t="shared" si="61"/>
        <v>4690.1084661186733</v>
      </c>
      <c r="CU26" s="703">
        <f t="shared" si="61"/>
        <v>4879.1221247476606</v>
      </c>
      <c r="CV26" s="703">
        <f t="shared" si="61"/>
        <v>5225.7281890621425</v>
      </c>
      <c r="CW26" s="703">
        <f t="shared" si="61"/>
        <v>5128.0964181075333</v>
      </c>
      <c r="CX26" s="703">
        <f t="shared" si="61"/>
        <v>4894.6913201270909</v>
      </c>
      <c r="CY26" s="703">
        <f t="shared" si="61"/>
        <v>4152.2424409039559</v>
      </c>
      <c r="CZ26" s="703">
        <f t="shared" si="61"/>
        <v>4999.4922691551265</v>
      </c>
      <c r="DA26" s="703">
        <f t="shared" si="61"/>
        <v>5831.9202103284051</v>
      </c>
      <c r="DB26" s="703">
        <f t="shared" si="61"/>
        <v>6471.0785630945711</v>
      </c>
      <c r="DC26" s="703">
        <f t="shared" si="61"/>
        <v>6331.485849908775</v>
      </c>
      <c r="DD26" s="703">
        <f t="shared" si="61"/>
        <v>6261.7752833944105</v>
      </c>
      <c r="DE26" s="703">
        <f t="shared" si="61"/>
        <v>6147.5017310112044</v>
      </c>
      <c r="DF26" s="703">
        <f t="shared" si="61"/>
        <v>5862.6355826483414</v>
      </c>
      <c r="DG26" s="703">
        <f t="shared" si="61"/>
        <v>6098.9026559345757</v>
      </c>
      <c r="DH26" s="703">
        <f t="shared" si="61"/>
        <v>6532.160236327677</v>
      </c>
      <c r="DI26" s="703">
        <f t="shared" si="61"/>
        <v>6410.1205226344164</v>
      </c>
      <c r="DJ26" s="703">
        <f t="shared" si="61"/>
        <v>6118.3641501588636</v>
      </c>
      <c r="DK26" s="703">
        <f t="shared" si="61"/>
        <v>5190.3030511299448</v>
      </c>
      <c r="DL26" s="703">
        <f t="shared" ref="DL26:EC26" si="62">DL27+DL28</f>
        <v>6249.3653364439078</v>
      </c>
      <c r="DM26" s="703">
        <f t="shared" si="62"/>
        <v>7289.9002629105062</v>
      </c>
      <c r="DN26" s="703">
        <f t="shared" si="62"/>
        <v>8088.8482038682141</v>
      </c>
      <c r="DO26" s="703">
        <f t="shared" si="62"/>
        <v>7914.3573123859687</v>
      </c>
      <c r="DP26" s="703">
        <f t="shared" si="62"/>
        <v>7827.219104243014</v>
      </c>
      <c r="DQ26" s="703">
        <f t="shared" si="62"/>
        <v>7684.3771637640039</v>
      </c>
      <c r="DR26" s="703">
        <f t="shared" si="62"/>
        <v>7035.1626991780095</v>
      </c>
      <c r="DS26" s="703">
        <f t="shared" si="62"/>
        <v>7318.6831871214908</v>
      </c>
      <c r="DT26" s="703">
        <f t="shared" si="62"/>
        <v>7838.5922835932115</v>
      </c>
      <c r="DU26" s="703">
        <f t="shared" si="62"/>
        <v>7692.1446271612995</v>
      </c>
      <c r="DV26" s="703">
        <f t="shared" si="62"/>
        <v>7342.0369801906354</v>
      </c>
      <c r="DW26" s="703">
        <f t="shared" si="62"/>
        <v>6228.3636613559329</v>
      </c>
      <c r="DX26" s="703">
        <f t="shared" si="62"/>
        <v>7499.2384037326901</v>
      </c>
      <c r="DY26" s="703">
        <f t="shared" si="62"/>
        <v>8747.8803154926081</v>
      </c>
      <c r="DZ26" s="703">
        <f t="shared" si="62"/>
        <v>9706.617844641858</v>
      </c>
      <c r="EA26" s="703">
        <f t="shared" si="62"/>
        <v>9497.2287748631625</v>
      </c>
      <c r="EB26" s="703">
        <f t="shared" si="62"/>
        <v>9392.6629250916176</v>
      </c>
      <c r="EC26" s="703">
        <f t="shared" si="62"/>
        <v>9221.2525965168043</v>
      </c>
      <c r="ED26" s="113" t="s">
        <v>1</v>
      </c>
    </row>
    <row r="27" spans="1:134" x14ac:dyDescent="0.2">
      <c r="A27" s="698" t="s">
        <v>3</v>
      </c>
      <c r="B27" s="704"/>
      <c r="C27" s="704"/>
      <c r="D27" s="704"/>
      <c r="E27" s="704"/>
      <c r="F27" s="704"/>
      <c r="G27" s="704"/>
      <c r="H27" s="704"/>
      <c r="I27" s="704"/>
      <c r="J27" s="704"/>
      <c r="K27" s="704"/>
      <c r="L27" s="704"/>
      <c r="M27" s="704"/>
      <c r="N27" s="704"/>
      <c r="O27" s="704"/>
      <c r="P27" s="704"/>
      <c r="Q27" s="704"/>
      <c r="R27" s="704"/>
      <c r="S27" s="704"/>
      <c r="T27" s="704"/>
      <c r="U27" s="704"/>
      <c r="V27" s="704"/>
      <c r="W27" s="704"/>
      <c r="X27" s="704"/>
      <c r="Y27" s="704"/>
      <c r="Z27" s="704"/>
      <c r="AA27" s="704"/>
      <c r="AB27" s="704"/>
      <c r="AC27" s="704"/>
      <c r="AD27" s="704"/>
      <c r="AE27" s="704"/>
      <c r="AF27" s="704"/>
      <c r="AG27" s="704"/>
      <c r="AH27" s="704"/>
      <c r="AI27" s="704"/>
      <c r="AJ27" s="704"/>
      <c r="AK27" s="704"/>
      <c r="AL27" s="704"/>
      <c r="AM27" s="704"/>
      <c r="AN27" s="704"/>
      <c r="AO27" s="704"/>
      <c r="AP27" s="704"/>
      <c r="AQ27" s="704"/>
      <c r="AR27" s="704"/>
      <c r="AS27" s="704"/>
      <c r="AT27" s="704"/>
      <c r="AU27" s="704"/>
      <c r="AV27" s="704"/>
      <c r="AW27" s="704"/>
      <c r="AX27" s="704"/>
      <c r="AY27" s="704"/>
      <c r="AZ27" s="699">
        <v>98</v>
      </c>
      <c r="BA27" s="699">
        <v>18</v>
      </c>
      <c r="BB27" s="699">
        <v>19</v>
      </c>
      <c r="BC27" s="699">
        <v>90</v>
      </c>
      <c r="BD27" s="699">
        <v>235</v>
      </c>
      <c r="BE27" s="699">
        <v>236</v>
      </c>
      <c r="BF27" s="699">
        <v>39</v>
      </c>
      <c r="BG27" s="699">
        <v>18</v>
      </c>
      <c r="BH27" s="699">
        <v>44</v>
      </c>
      <c r="BI27" s="699">
        <v>301</v>
      </c>
      <c r="BJ27" s="699">
        <v>33</v>
      </c>
      <c r="BK27" s="699">
        <v>36</v>
      </c>
      <c r="BL27" s="699">
        <v>13</v>
      </c>
      <c r="BM27" s="699">
        <v>11</v>
      </c>
      <c r="BN27" s="699">
        <v>3</v>
      </c>
      <c r="BO27" s="699">
        <v>16</v>
      </c>
      <c r="BP27" s="699">
        <v>101</v>
      </c>
      <c r="BQ27" s="699">
        <v>15</v>
      </c>
      <c r="BR27" s="699">
        <v>6</v>
      </c>
      <c r="BS27" s="699">
        <v>37</v>
      </c>
      <c r="BT27" s="699">
        <v>65</v>
      </c>
      <c r="BU27" s="699">
        <v>53</v>
      </c>
      <c r="BV27" s="699">
        <v>32</v>
      </c>
      <c r="BW27" s="699">
        <v>25</v>
      </c>
      <c r="BX27" s="699">
        <v>47</v>
      </c>
      <c r="BY27" s="699">
        <v>7</v>
      </c>
      <c r="BZ27" s="699">
        <v>5</v>
      </c>
      <c r="CA27" s="699">
        <v>4</v>
      </c>
      <c r="CB27" s="699">
        <v>20</v>
      </c>
      <c r="CC27" s="699">
        <v>19</v>
      </c>
      <c r="CD27" s="699">
        <v>12</v>
      </c>
      <c r="CE27" s="699">
        <v>1</v>
      </c>
      <c r="CF27" s="699">
        <v>4</v>
      </c>
      <c r="CG27" s="699">
        <v>5</v>
      </c>
      <c r="CH27" s="699">
        <v>7</v>
      </c>
      <c r="CI27" s="699">
        <v>38</v>
      </c>
      <c r="CJ27" s="699">
        <v>5</v>
      </c>
      <c r="CK27" s="699">
        <v>11</v>
      </c>
      <c r="CL27" s="699">
        <v>3</v>
      </c>
      <c r="CM27" s="699">
        <v>7</v>
      </c>
      <c r="CN27" s="699">
        <v>2</v>
      </c>
      <c r="CO27" s="699">
        <v>15</v>
      </c>
      <c r="CP27" s="699">
        <v>20</v>
      </c>
      <c r="CQ27" s="699">
        <v>5</v>
      </c>
      <c r="CR27" s="699">
        <v>2</v>
      </c>
      <c r="CS27" s="699">
        <v>10</v>
      </c>
      <c r="CT27" s="704">
        <f t="shared" ref="CT27:EC27" si="63">CT13*CT30</f>
        <v>24.032899699431923</v>
      </c>
      <c r="CU27" s="704">
        <f t="shared" si="63"/>
        <v>24.505238096651357</v>
      </c>
      <c r="CV27" s="704">
        <f t="shared" si="63"/>
        <v>8.4162114413644336</v>
      </c>
      <c r="CW27" s="704">
        <f t="shared" si="63"/>
        <v>10.74569853674209</v>
      </c>
      <c r="CX27" s="704">
        <f t="shared" si="63"/>
        <v>7.1119133672244095</v>
      </c>
      <c r="CY27" s="704">
        <f t="shared" si="63"/>
        <v>8.8429262433978995</v>
      </c>
      <c r="CZ27" s="704">
        <f t="shared" si="63"/>
        <v>7.1199645899042867</v>
      </c>
      <c r="DA27" s="704">
        <f t="shared" si="63"/>
        <v>16.988079854539816</v>
      </c>
      <c r="DB27" s="704">
        <f t="shared" si="63"/>
        <v>19.5510524076339</v>
      </c>
      <c r="DC27" s="704">
        <f t="shared" si="63"/>
        <v>12.023159201949191</v>
      </c>
      <c r="DD27" s="704">
        <f t="shared" si="63"/>
        <v>9.7408097180800137</v>
      </c>
      <c r="DE27" s="704">
        <f t="shared" si="63"/>
        <v>6.4876019360398365</v>
      </c>
      <c r="DF27" s="704">
        <f t="shared" si="63"/>
        <v>30.041124624289903</v>
      </c>
      <c r="DG27" s="704">
        <f t="shared" si="63"/>
        <v>30.631547620814196</v>
      </c>
      <c r="DH27" s="704">
        <f t="shared" si="63"/>
        <v>10.520264301705543</v>
      </c>
      <c r="DI27" s="704">
        <f t="shared" si="63"/>
        <v>13.432123170927612</v>
      </c>
      <c r="DJ27" s="704">
        <f t="shared" si="63"/>
        <v>8.889891709030513</v>
      </c>
      <c r="DK27" s="704">
        <f t="shared" si="63"/>
        <v>11.053657804247372</v>
      </c>
      <c r="DL27" s="704">
        <f t="shared" si="63"/>
        <v>8.8999557373803579</v>
      </c>
      <c r="DM27" s="704">
        <f t="shared" si="63"/>
        <v>21.235099818174771</v>
      </c>
      <c r="DN27" s="704">
        <f t="shared" si="63"/>
        <v>24.438815509542373</v>
      </c>
      <c r="DO27" s="704">
        <f t="shared" si="63"/>
        <v>15.028949002436491</v>
      </c>
      <c r="DP27" s="704">
        <f t="shared" si="63"/>
        <v>12.176012147600016</v>
      </c>
      <c r="DQ27" s="704">
        <f t="shared" si="63"/>
        <v>8.1095024200497967</v>
      </c>
      <c r="DR27" s="704">
        <f t="shared" si="63"/>
        <v>36.049349549147884</v>
      </c>
      <c r="DS27" s="704">
        <f t="shared" si="63"/>
        <v>36.757857144977031</v>
      </c>
      <c r="DT27" s="704">
        <f t="shared" si="63"/>
        <v>12.624317162046651</v>
      </c>
      <c r="DU27" s="704">
        <f t="shared" si="63"/>
        <v>16.118547805113135</v>
      </c>
      <c r="DV27" s="704">
        <f t="shared" si="63"/>
        <v>10.667870050836616</v>
      </c>
      <c r="DW27" s="704">
        <f t="shared" si="63"/>
        <v>13.264389365096847</v>
      </c>
      <c r="DX27" s="704">
        <f t="shared" si="63"/>
        <v>10.679946884856429</v>
      </c>
      <c r="DY27" s="704">
        <f t="shared" si="63"/>
        <v>25.482119781809725</v>
      </c>
      <c r="DZ27" s="704">
        <f t="shared" si="63"/>
        <v>29.326578611450849</v>
      </c>
      <c r="EA27" s="704">
        <f t="shared" si="63"/>
        <v>18.034738802923787</v>
      </c>
      <c r="EB27" s="704">
        <f t="shared" si="63"/>
        <v>14.611214577120018</v>
      </c>
      <c r="EC27" s="704">
        <f t="shared" si="63"/>
        <v>9.7314029040597561</v>
      </c>
      <c r="ED27" s="113" t="s">
        <v>1</v>
      </c>
    </row>
    <row r="28" spans="1:134" x14ac:dyDescent="0.2">
      <c r="A28" s="698" t="s">
        <v>4</v>
      </c>
      <c r="B28" s="704"/>
      <c r="C28" s="704"/>
      <c r="D28" s="704"/>
      <c r="E28" s="704"/>
      <c r="F28" s="704"/>
      <c r="G28" s="704"/>
      <c r="H28" s="704"/>
      <c r="I28" s="704"/>
      <c r="J28" s="704"/>
      <c r="K28" s="704"/>
      <c r="L28" s="704"/>
      <c r="M28" s="704"/>
      <c r="N28" s="704"/>
      <c r="O28" s="704"/>
      <c r="P28" s="704"/>
      <c r="Q28" s="704"/>
      <c r="R28" s="704"/>
      <c r="S28" s="704"/>
      <c r="T28" s="704"/>
      <c r="U28" s="704"/>
      <c r="V28" s="704"/>
      <c r="W28" s="704"/>
      <c r="X28" s="704"/>
      <c r="Y28" s="704"/>
      <c r="Z28" s="704"/>
      <c r="AA28" s="704"/>
      <c r="AB28" s="704"/>
      <c r="AC28" s="704"/>
      <c r="AD28" s="704"/>
      <c r="AE28" s="704"/>
      <c r="AF28" s="704"/>
      <c r="AG28" s="704"/>
      <c r="AH28" s="704"/>
      <c r="AI28" s="704"/>
      <c r="AJ28" s="704"/>
      <c r="AK28" s="704"/>
      <c r="AL28" s="704"/>
      <c r="AM28" s="704"/>
      <c r="AN28" s="704"/>
      <c r="AO28" s="704"/>
      <c r="AP28" s="704"/>
      <c r="AQ28" s="704"/>
      <c r="AR28" s="704"/>
      <c r="AS28" s="704"/>
      <c r="AT28" s="704"/>
      <c r="AU28" s="704"/>
      <c r="AV28" s="704"/>
      <c r="AW28" s="704"/>
      <c r="AX28" s="704"/>
      <c r="AY28" s="704"/>
      <c r="AZ28" s="699">
        <v>12572</v>
      </c>
      <c r="BA28" s="699">
        <v>9829</v>
      </c>
      <c r="BB28" s="699">
        <v>9669</v>
      </c>
      <c r="BC28" s="699">
        <v>8597</v>
      </c>
      <c r="BD28" s="699">
        <v>7788</v>
      </c>
      <c r="BE28" s="699">
        <v>7805</v>
      </c>
      <c r="BF28" s="699">
        <v>8651</v>
      </c>
      <c r="BG28" s="699">
        <v>7600</v>
      </c>
      <c r="BH28" s="699">
        <v>7097</v>
      </c>
      <c r="BI28" s="699">
        <v>7443</v>
      </c>
      <c r="BJ28" s="699">
        <v>9147</v>
      </c>
      <c r="BK28" s="699">
        <v>8142</v>
      </c>
      <c r="BL28" s="699">
        <v>6160</v>
      </c>
      <c r="BM28" s="699">
        <v>6257</v>
      </c>
      <c r="BN28" s="699">
        <v>6524</v>
      </c>
      <c r="BO28" s="699">
        <v>5654</v>
      </c>
      <c r="BP28" s="699">
        <v>4701</v>
      </c>
      <c r="BQ28" s="699">
        <v>3420</v>
      </c>
      <c r="BR28" s="699">
        <v>3691</v>
      </c>
      <c r="BS28" s="699">
        <v>3335</v>
      </c>
      <c r="BT28" s="699">
        <v>3361</v>
      </c>
      <c r="BU28" s="699">
        <v>3021</v>
      </c>
      <c r="BV28" s="699">
        <v>3318</v>
      </c>
      <c r="BW28" s="699">
        <v>3853</v>
      </c>
      <c r="BX28" s="699">
        <v>3974</v>
      </c>
      <c r="BY28" s="699">
        <v>4020</v>
      </c>
      <c r="BZ28" s="699">
        <v>3975</v>
      </c>
      <c r="CA28" s="699">
        <v>4193</v>
      </c>
      <c r="CB28" s="699">
        <v>3866</v>
      </c>
      <c r="CC28" s="699">
        <v>3564</v>
      </c>
      <c r="CD28" s="699">
        <v>3940</v>
      </c>
      <c r="CE28" s="699">
        <v>3084</v>
      </c>
      <c r="CF28" s="699">
        <v>2578</v>
      </c>
      <c r="CG28" s="699">
        <v>3041</v>
      </c>
      <c r="CH28" s="699">
        <v>3414</v>
      </c>
      <c r="CI28" s="699">
        <v>3184</v>
      </c>
      <c r="CJ28" s="699">
        <v>4800.6315789473683</v>
      </c>
      <c r="CK28" s="699">
        <v>3809</v>
      </c>
      <c r="CL28" s="699">
        <v>3994</v>
      </c>
      <c r="CM28" s="699">
        <v>3306</v>
      </c>
      <c r="CN28" s="699">
        <v>3861</v>
      </c>
      <c r="CO28" s="699">
        <v>3927</v>
      </c>
      <c r="CP28" s="699">
        <v>4814</v>
      </c>
      <c r="CQ28" s="699">
        <v>4246</v>
      </c>
      <c r="CR28" s="699">
        <v>4440</v>
      </c>
      <c r="CS28" s="699">
        <v>4781</v>
      </c>
      <c r="CT28" s="704">
        <f t="shared" ref="CT28:EC28" si="64">CT14*CT31</f>
        <v>4666.0755664192411</v>
      </c>
      <c r="CU28" s="704">
        <f t="shared" si="64"/>
        <v>4854.6168866510088</v>
      </c>
      <c r="CV28" s="704">
        <f t="shared" si="64"/>
        <v>5217.3119776207777</v>
      </c>
      <c r="CW28" s="704">
        <f t="shared" si="64"/>
        <v>5117.3507195707916</v>
      </c>
      <c r="CX28" s="704">
        <f t="shared" si="64"/>
        <v>4887.5794067598663</v>
      </c>
      <c r="CY28" s="704">
        <f t="shared" si="64"/>
        <v>4143.3995146605575</v>
      </c>
      <c r="CZ28" s="704">
        <f t="shared" si="64"/>
        <v>4992.3723045652223</v>
      </c>
      <c r="DA28" s="704">
        <f t="shared" si="64"/>
        <v>5814.9321304738651</v>
      </c>
      <c r="DB28" s="704">
        <f t="shared" si="64"/>
        <v>6451.5275106869376</v>
      </c>
      <c r="DC28" s="704">
        <f t="shared" si="64"/>
        <v>6319.4626907068259</v>
      </c>
      <c r="DD28" s="704">
        <f t="shared" si="64"/>
        <v>6252.0344736763309</v>
      </c>
      <c r="DE28" s="704">
        <f t="shared" si="64"/>
        <v>6141.0141290751644</v>
      </c>
      <c r="DF28" s="704">
        <f t="shared" si="64"/>
        <v>5832.5944580240512</v>
      </c>
      <c r="DG28" s="704">
        <f t="shared" si="64"/>
        <v>6068.2711083137619</v>
      </c>
      <c r="DH28" s="704">
        <f t="shared" si="64"/>
        <v>6521.6399720259715</v>
      </c>
      <c r="DI28" s="704">
        <f t="shared" si="64"/>
        <v>6396.6883994634891</v>
      </c>
      <c r="DJ28" s="704">
        <f t="shared" si="64"/>
        <v>6109.4742584498326</v>
      </c>
      <c r="DK28" s="704">
        <f t="shared" si="64"/>
        <v>5179.2493933256974</v>
      </c>
      <c r="DL28" s="704">
        <f t="shared" si="64"/>
        <v>6240.4653807065279</v>
      </c>
      <c r="DM28" s="704">
        <f t="shared" si="64"/>
        <v>7268.6651630923316</v>
      </c>
      <c r="DN28" s="704">
        <f t="shared" si="64"/>
        <v>8064.409388358672</v>
      </c>
      <c r="DO28" s="704">
        <f t="shared" si="64"/>
        <v>7899.3283633835326</v>
      </c>
      <c r="DP28" s="704">
        <f t="shared" si="64"/>
        <v>7815.0430920954141</v>
      </c>
      <c r="DQ28" s="704">
        <f t="shared" si="64"/>
        <v>7676.2676613439544</v>
      </c>
      <c r="DR28" s="704">
        <f t="shared" si="64"/>
        <v>6999.1133496288612</v>
      </c>
      <c r="DS28" s="704">
        <f t="shared" si="64"/>
        <v>7281.9253299765141</v>
      </c>
      <c r="DT28" s="704">
        <f t="shared" si="64"/>
        <v>7825.9679664311652</v>
      </c>
      <c r="DU28" s="704">
        <f t="shared" si="64"/>
        <v>7676.0260793561865</v>
      </c>
      <c r="DV28" s="704">
        <f t="shared" si="64"/>
        <v>7331.369110139799</v>
      </c>
      <c r="DW28" s="704">
        <f t="shared" si="64"/>
        <v>6215.0992719908363</v>
      </c>
      <c r="DX28" s="704">
        <f t="shared" si="64"/>
        <v>7488.5584568478334</v>
      </c>
      <c r="DY28" s="704">
        <f t="shared" si="64"/>
        <v>8722.398195710799</v>
      </c>
      <c r="DZ28" s="704">
        <f t="shared" si="64"/>
        <v>9677.2912660304064</v>
      </c>
      <c r="EA28" s="704">
        <f t="shared" si="64"/>
        <v>9479.1940360602384</v>
      </c>
      <c r="EB28" s="704">
        <f t="shared" si="64"/>
        <v>9378.0517105144972</v>
      </c>
      <c r="EC28" s="704">
        <f t="shared" si="64"/>
        <v>9211.5211936127453</v>
      </c>
      <c r="ED28" s="113" t="s">
        <v>1</v>
      </c>
    </row>
    <row r="29" spans="1:134" x14ac:dyDescent="0.2">
      <c r="A29" s="698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3"/>
      <c r="DA29" s="133"/>
      <c r="DB29" s="133"/>
      <c r="DC29" s="702"/>
      <c r="DD29" s="133"/>
      <c r="DE29" s="133"/>
      <c r="DF29" s="133"/>
      <c r="DG29" s="133"/>
      <c r="DH29" s="133"/>
      <c r="DI29" s="133"/>
      <c r="DJ29" s="133"/>
      <c r="DK29" s="133"/>
      <c r="DL29" s="133"/>
      <c r="DM29" s="133"/>
      <c r="DN29" s="133"/>
      <c r="DO29" s="702"/>
      <c r="DP29" s="133"/>
      <c r="DQ29" s="133"/>
      <c r="DR29" s="133"/>
      <c r="DS29" s="133"/>
      <c r="DT29" s="133"/>
      <c r="DU29" s="133"/>
      <c r="DV29" s="133"/>
      <c r="DW29" s="133"/>
      <c r="DX29" s="133"/>
      <c r="DY29" s="133"/>
      <c r="DZ29" s="133"/>
      <c r="EA29" s="133"/>
      <c r="EB29" s="133"/>
      <c r="EC29" s="133"/>
      <c r="ED29" s="113" t="s">
        <v>1</v>
      </c>
    </row>
    <row r="30" spans="1:134" x14ac:dyDescent="0.2">
      <c r="A30" s="698" t="s">
        <v>94</v>
      </c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33">
        <f t="shared" ref="AZ30:CS30" si="65">AZ27/AZ13</f>
        <v>1.0382455768619557E-2</v>
      </c>
      <c r="BA30" s="133">
        <f t="shared" si="65"/>
        <v>1.658374792703151E-3</v>
      </c>
      <c r="BB30" s="133">
        <f t="shared" si="65"/>
        <v>1.7657992565055763E-3</v>
      </c>
      <c r="BC30" s="133">
        <f t="shared" si="65"/>
        <v>4.1273044116298266E-3</v>
      </c>
      <c r="BD30" s="133">
        <f t="shared" si="65"/>
        <v>1.6908907756511729E-2</v>
      </c>
      <c r="BE30" s="133">
        <f t="shared" si="65"/>
        <v>1.3585861493293419E-2</v>
      </c>
      <c r="BF30" s="133">
        <f t="shared" si="65"/>
        <v>1.865047104394816E-3</v>
      </c>
      <c r="BG30" s="133">
        <f t="shared" si="65"/>
        <v>1.1633167452982614E-3</v>
      </c>
      <c r="BH30" s="133">
        <f t="shared" si="65"/>
        <v>4.2040894324479267E-3</v>
      </c>
      <c r="BI30" s="133">
        <f t="shared" si="65"/>
        <v>2.2486179590617064E-2</v>
      </c>
      <c r="BJ30" s="133">
        <f t="shared" si="65"/>
        <v>6.5671641791044772E-3</v>
      </c>
      <c r="BK30" s="133">
        <f t="shared" si="65"/>
        <v>8.1762434703611178E-3</v>
      </c>
      <c r="BL30" s="133">
        <f t="shared" si="65"/>
        <v>2.255378209576683E-3</v>
      </c>
      <c r="BM30" s="133">
        <f t="shared" si="65"/>
        <v>3.2276995305164321E-3</v>
      </c>
      <c r="BN30" s="133">
        <f t="shared" si="65"/>
        <v>1.4471780028943559E-3</v>
      </c>
      <c r="BO30" s="133">
        <f t="shared" si="65"/>
        <v>4.9321824907521579E-3</v>
      </c>
      <c r="BP30" s="133">
        <f t="shared" si="65"/>
        <v>1.9792279051538311E-2</v>
      </c>
      <c r="BQ30" s="133">
        <f t="shared" si="65"/>
        <v>1.1506597115679656E-3</v>
      </c>
      <c r="BR30" s="133">
        <f t="shared" si="65"/>
        <v>1.4496255134090359E-3</v>
      </c>
      <c r="BS30" s="133">
        <f t="shared" si="65"/>
        <v>1.1526479750778817E-2</v>
      </c>
      <c r="BT30" s="133">
        <f t="shared" si="65"/>
        <v>2.267178235088943E-2</v>
      </c>
      <c r="BU30" s="133">
        <f t="shared" si="65"/>
        <v>1.0761421319796955E-2</v>
      </c>
      <c r="BV30" s="133">
        <f t="shared" si="65"/>
        <v>7.5668006620950579E-3</v>
      </c>
      <c r="BW30" s="133">
        <f t="shared" si="65"/>
        <v>7.5323892738776736E-3</v>
      </c>
      <c r="BX30" s="133">
        <f t="shared" si="65"/>
        <v>2.33947237431558E-2</v>
      </c>
      <c r="BY30" s="133">
        <f t="shared" si="65"/>
        <v>1.5733872780400091E-3</v>
      </c>
      <c r="BZ30" s="133">
        <f t="shared" si="65"/>
        <v>1.1739845034045551E-3</v>
      </c>
      <c r="CA30" s="133">
        <f t="shared" si="65"/>
        <v>9.1428571428571427E-4</v>
      </c>
      <c r="CB30" s="133">
        <f t="shared" si="65"/>
        <v>6.8143100511073255E-3</v>
      </c>
      <c r="CC30" s="133">
        <f t="shared" si="65"/>
        <v>7.4891604256996456E-3</v>
      </c>
      <c r="CD30" s="133">
        <f t="shared" si="65"/>
        <v>1.5265233430861213E-3</v>
      </c>
      <c r="CE30" s="133">
        <f t="shared" si="65"/>
        <v>8.1228169929331486E-5</v>
      </c>
      <c r="CF30" s="133">
        <f t="shared" si="65"/>
        <v>6.7340067340067344E-4</v>
      </c>
      <c r="CG30" s="133">
        <f t="shared" si="65"/>
        <v>4.8861526434085798E-4</v>
      </c>
      <c r="CH30" s="133">
        <f t="shared" si="65"/>
        <v>7.8168620882188716E-4</v>
      </c>
      <c r="CI30" s="133">
        <f t="shared" si="65"/>
        <v>4.1616471361296684E-3</v>
      </c>
      <c r="CJ30" s="133">
        <f t="shared" si="65"/>
        <v>1.5943877551020409E-3</v>
      </c>
      <c r="CK30" s="133">
        <f t="shared" si="65"/>
        <v>2.7472527472527475E-3</v>
      </c>
      <c r="CL30" s="133">
        <f t="shared" si="65"/>
        <v>1.1320754716981133E-3</v>
      </c>
      <c r="CM30" s="133">
        <f t="shared" si="65"/>
        <v>2.1244309559939304E-3</v>
      </c>
      <c r="CN30" s="133">
        <f t="shared" si="65"/>
        <v>7.538635506973238E-4</v>
      </c>
      <c r="CO30" s="133">
        <f t="shared" si="65"/>
        <v>2.3696682464454978E-3</v>
      </c>
      <c r="CP30" s="133">
        <f t="shared" si="65"/>
        <v>2.7453671928620452E-3</v>
      </c>
      <c r="CQ30" s="133">
        <f t="shared" si="65"/>
        <v>1.1160714285714285E-3</v>
      </c>
      <c r="CR30" s="133">
        <f t="shared" si="65"/>
        <v>5.5103034983034567E-4</v>
      </c>
      <c r="CS30" s="133">
        <f t="shared" si="65"/>
        <v>4.136722505096297E-3</v>
      </c>
      <c r="CT30" s="705">
        <f>AVERAGE(CH30:CS30)</f>
        <v>2.0178502957084437E-3</v>
      </c>
      <c r="CU30" s="705">
        <f t="shared" ref="CU30:DS30" si="66">CT30</f>
        <v>2.0178502957084437E-3</v>
      </c>
      <c r="CV30" s="705">
        <f t="shared" si="66"/>
        <v>2.0178502957084437E-3</v>
      </c>
      <c r="CW30" s="705">
        <f t="shared" si="66"/>
        <v>2.0178502957084437E-3</v>
      </c>
      <c r="CX30" s="705">
        <f t="shared" si="66"/>
        <v>2.0178502957084437E-3</v>
      </c>
      <c r="CY30" s="705">
        <f t="shared" si="66"/>
        <v>2.0178502957084437E-3</v>
      </c>
      <c r="CZ30" s="705">
        <f t="shared" si="66"/>
        <v>2.0178502957084437E-3</v>
      </c>
      <c r="DA30" s="705">
        <f t="shared" si="66"/>
        <v>2.0178502957084437E-3</v>
      </c>
      <c r="DB30" s="705">
        <f t="shared" si="66"/>
        <v>2.0178502957084437E-3</v>
      </c>
      <c r="DC30" s="705">
        <f t="shared" si="66"/>
        <v>2.0178502957084437E-3</v>
      </c>
      <c r="DD30" s="705">
        <f t="shared" si="66"/>
        <v>2.0178502957084437E-3</v>
      </c>
      <c r="DE30" s="705">
        <f t="shared" si="66"/>
        <v>2.0178502957084437E-3</v>
      </c>
      <c r="DF30" s="705">
        <f t="shared" si="66"/>
        <v>2.0178502957084437E-3</v>
      </c>
      <c r="DG30" s="705">
        <f t="shared" si="66"/>
        <v>2.0178502957084437E-3</v>
      </c>
      <c r="DH30" s="705">
        <f t="shared" si="66"/>
        <v>2.0178502957084437E-3</v>
      </c>
      <c r="DI30" s="705">
        <f t="shared" si="66"/>
        <v>2.0178502957084437E-3</v>
      </c>
      <c r="DJ30" s="705">
        <f t="shared" si="66"/>
        <v>2.0178502957084437E-3</v>
      </c>
      <c r="DK30" s="705">
        <f t="shared" si="66"/>
        <v>2.0178502957084437E-3</v>
      </c>
      <c r="DL30" s="705">
        <f t="shared" si="66"/>
        <v>2.0178502957084437E-3</v>
      </c>
      <c r="DM30" s="705">
        <f t="shared" si="66"/>
        <v>2.0178502957084437E-3</v>
      </c>
      <c r="DN30" s="705">
        <f t="shared" si="66"/>
        <v>2.0178502957084437E-3</v>
      </c>
      <c r="DO30" s="705">
        <f t="shared" si="66"/>
        <v>2.0178502957084437E-3</v>
      </c>
      <c r="DP30" s="705">
        <f t="shared" si="66"/>
        <v>2.0178502957084437E-3</v>
      </c>
      <c r="DQ30" s="705">
        <f t="shared" si="66"/>
        <v>2.0178502957084437E-3</v>
      </c>
      <c r="DR30" s="705">
        <f t="shared" si="66"/>
        <v>2.0178502957084437E-3</v>
      </c>
      <c r="DS30" s="705">
        <f t="shared" si="66"/>
        <v>2.0178502957084437E-3</v>
      </c>
      <c r="DT30" s="705">
        <f t="shared" ref="DT30:DT31" si="67">DS30</f>
        <v>2.0178502957084437E-3</v>
      </c>
      <c r="DU30" s="705">
        <f t="shared" ref="DU30:DU31" si="68">DT30</f>
        <v>2.0178502957084437E-3</v>
      </c>
      <c r="DV30" s="705">
        <f t="shared" ref="DV30:DV31" si="69">DU30</f>
        <v>2.0178502957084437E-3</v>
      </c>
      <c r="DW30" s="705">
        <f t="shared" ref="DW30:DW31" si="70">DV30</f>
        <v>2.0178502957084437E-3</v>
      </c>
      <c r="DX30" s="705">
        <f t="shared" ref="DX30:DX31" si="71">DW30</f>
        <v>2.0178502957084437E-3</v>
      </c>
      <c r="DY30" s="705">
        <f t="shared" ref="DY30:DY31" si="72">DX30</f>
        <v>2.0178502957084437E-3</v>
      </c>
      <c r="DZ30" s="705">
        <f t="shared" ref="DZ30:DZ31" si="73">DY30</f>
        <v>2.0178502957084437E-3</v>
      </c>
      <c r="EA30" s="705">
        <f t="shared" ref="EA30:EA31" si="74">DZ30</f>
        <v>2.0178502957084437E-3</v>
      </c>
      <c r="EB30" s="705">
        <f t="shared" ref="EB30:EB31" si="75">EA30</f>
        <v>2.0178502957084437E-3</v>
      </c>
      <c r="EC30" s="705">
        <f t="shared" ref="EC30:EC31" si="76">EB30</f>
        <v>2.0178502957084437E-3</v>
      </c>
      <c r="ED30" s="113" t="s">
        <v>1</v>
      </c>
    </row>
    <row r="31" spans="1:134" x14ac:dyDescent="0.2">
      <c r="A31" s="698" t="s">
        <v>95</v>
      </c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33">
        <f t="shared" ref="AZ31:CS31" si="77">AZ28/AZ14</f>
        <v>0.27239242535858216</v>
      </c>
      <c r="BA31" s="133">
        <f t="shared" si="77"/>
        <v>0.19005356072471336</v>
      </c>
      <c r="BB31" s="133">
        <f t="shared" si="77"/>
        <v>0.17683205618244666</v>
      </c>
      <c r="BC31" s="133">
        <f t="shared" si="77"/>
        <v>0.18048411815338106</v>
      </c>
      <c r="BD31" s="133">
        <f t="shared" si="77"/>
        <v>0.15412931188030635</v>
      </c>
      <c r="BE31" s="133">
        <f t="shared" si="77"/>
        <v>0.14956405097250167</v>
      </c>
      <c r="BF31" s="133">
        <f t="shared" si="77"/>
        <v>0.1320037841796875</v>
      </c>
      <c r="BG31" s="133">
        <f t="shared" si="77"/>
        <v>0.12461263506533965</v>
      </c>
      <c r="BH31" s="133">
        <f t="shared" si="77"/>
        <v>0.13908323044662629</v>
      </c>
      <c r="BI31" s="133">
        <f t="shared" si="77"/>
        <v>0.12872485775064424</v>
      </c>
      <c r="BJ31" s="133">
        <f t="shared" si="77"/>
        <v>0.16261333333333333</v>
      </c>
      <c r="BK31" s="133">
        <f t="shared" si="77"/>
        <v>0.14900080521191714</v>
      </c>
      <c r="BL31" s="133">
        <f t="shared" si="77"/>
        <v>0.16345158808077057</v>
      </c>
      <c r="BM31" s="133">
        <f t="shared" si="77"/>
        <v>0.153666683039442</v>
      </c>
      <c r="BN31" s="133">
        <f t="shared" si="77"/>
        <v>0.1426385062748699</v>
      </c>
      <c r="BO31" s="133">
        <f t="shared" si="77"/>
        <v>0.12879271070615034</v>
      </c>
      <c r="BP31" s="133">
        <f t="shared" si="77"/>
        <v>0.13614642764053406</v>
      </c>
      <c r="BQ31" s="133">
        <f t="shared" si="77"/>
        <v>0.10153188457427859</v>
      </c>
      <c r="BR31" s="133">
        <f t="shared" si="77"/>
        <v>0.11991552956465237</v>
      </c>
      <c r="BS31" s="133">
        <f t="shared" si="77"/>
        <v>0.11420059582919563</v>
      </c>
      <c r="BT31" s="133">
        <f t="shared" si="77"/>
        <v>0.10992281527995813</v>
      </c>
      <c r="BU31" s="133">
        <f t="shared" si="77"/>
        <v>0.10754716981132076</v>
      </c>
      <c r="BV31" s="133">
        <f t="shared" si="77"/>
        <v>0.10852713178294573</v>
      </c>
      <c r="BW31" s="133">
        <f t="shared" si="77"/>
        <v>0.10755059316120028</v>
      </c>
      <c r="BX31" s="133">
        <f t="shared" si="77"/>
        <v>0.1108414916464452</v>
      </c>
      <c r="BY31" s="133">
        <f t="shared" si="77"/>
        <v>0.11379076086956522</v>
      </c>
      <c r="BZ31" s="133">
        <f t="shared" si="77"/>
        <v>0.1281679241632811</v>
      </c>
      <c r="CA31" s="133">
        <f t="shared" si="77"/>
        <v>0.15263924281033855</v>
      </c>
      <c r="CB31" s="133">
        <f t="shared" si="77"/>
        <v>0.12648454114182889</v>
      </c>
      <c r="CC31" s="133">
        <f t="shared" si="77"/>
        <v>0.10683453237410072</v>
      </c>
      <c r="CD31" s="133">
        <f t="shared" si="77"/>
        <v>0.10378526459974186</v>
      </c>
      <c r="CE31" s="133">
        <f t="shared" si="77"/>
        <v>7.9997924826852737E-2</v>
      </c>
      <c r="CF31" s="133">
        <f t="shared" si="77"/>
        <v>6.290106136391363E-2</v>
      </c>
      <c r="CG31" s="133">
        <f t="shared" si="77"/>
        <v>6.2090368948690203E-2</v>
      </c>
      <c r="CH31" s="133">
        <f t="shared" si="77"/>
        <v>7.8558608311473141E-2</v>
      </c>
      <c r="CI31" s="133">
        <f t="shared" si="77"/>
        <v>7.0420666165347021E-2</v>
      </c>
      <c r="CJ31" s="133">
        <f t="shared" si="77"/>
        <v>9.8794690050777248E-2</v>
      </c>
      <c r="CK31" s="133">
        <f t="shared" si="77"/>
        <v>7.9918591720694071E-2</v>
      </c>
      <c r="CL31" s="133">
        <f t="shared" si="77"/>
        <v>8.7739724522747739E-2</v>
      </c>
      <c r="CM31" s="133">
        <f t="shared" si="77"/>
        <v>8.566986265871987E-2</v>
      </c>
      <c r="CN31" s="133">
        <f t="shared" si="77"/>
        <v>8.3037615330021297E-2</v>
      </c>
      <c r="CO31" s="133">
        <f t="shared" si="77"/>
        <v>7.2510063148565312E-2</v>
      </c>
      <c r="CP31" s="133">
        <f t="shared" si="77"/>
        <v>8.011716344633614E-2</v>
      </c>
      <c r="CQ31" s="133">
        <f t="shared" si="77"/>
        <v>7.2140951798426695E-2</v>
      </c>
      <c r="CR31" s="133">
        <f t="shared" si="77"/>
        <v>7.6250665475965582E-2</v>
      </c>
      <c r="CS31" s="133">
        <f t="shared" si="77"/>
        <v>8.359122300900429E-2</v>
      </c>
      <c r="CT31" s="705">
        <f>AVERAGE(CH31:CS31)</f>
        <v>8.0729152136506541E-2</v>
      </c>
      <c r="CU31" s="705">
        <f t="shared" ref="CU31:DS31" si="78">CT31</f>
        <v>8.0729152136506541E-2</v>
      </c>
      <c r="CV31" s="705">
        <f t="shared" si="78"/>
        <v>8.0729152136506541E-2</v>
      </c>
      <c r="CW31" s="705">
        <f t="shared" si="78"/>
        <v>8.0729152136506541E-2</v>
      </c>
      <c r="CX31" s="705">
        <f t="shared" si="78"/>
        <v>8.0729152136506541E-2</v>
      </c>
      <c r="CY31" s="705">
        <f t="shared" si="78"/>
        <v>8.0729152136506541E-2</v>
      </c>
      <c r="CZ31" s="705">
        <f t="shared" si="78"/>
        <v>8.0729152136506541E-2</v>
      </c>
      <c r="DA31" s="705">
        <f t="shared" si="78"/>
        <v>8.0729152136506541E-2</v>
      </c>
      <c r="DB31" s="705">
        <f t="shared" si="78"/>
        <v>8.0729152136506541E-2</v>
      </c>
      <c r="DC31" s="705">
        <f t="shared" si="78"/>
        <v>8.0729152136506541E-2</v>
      </c>
      <c r="DD31" s="705">
        <f t="shared" si="78"/>
        <v>8.0729152136506541E-2</v>
      </c>
      <c r="DE31" s="705">
        <f t="shared" si="78"/>
        <v>8.0729152136506541E-2</v>
      </c>
      <c r="DF31" s="705">
        <f t="shared" si="78"/>
        <v>8.0729152136506541E-2</v>
      </c>
      <c r="DG31" s="705">
        <f t="shared" si="78"/>
        <v>8.0729152136506541E-2</v>
      </c>
      <c r="DH31" s="705">
        <f t="shared" si="78"/>
        <v>8.0729152136506541E-2</v>
      </c>
      <c r="DI31" s="705">
        <f t="shared" si="78"/>
        <v>8.0729152136506541E-2</v>
      </c>
      <c r="DJ31" s="705">
        <f t="shared" si="78"/>
        <v>8.0729152136506541E-2</v>
      </c>
      <c r="DK31" s="705">
        <f t="shared" si="78"/>
        <v>8.0729152136506541E-2</v>
      </c>
      <c r="DL31" s="705">
        <f t="shared" si="78"/>
        <v>8.0729152136506541E-2</v>
      </c>
      <c r="DM31" s="705">
        <f t="shared" si="78"/>
        <v>8.0729152136506541E-2</v>
      </c>
      <c r="DN31" s="705">
        <f t="shared" si="78"/>
        <v>8.0729152136506541E-2</v>
      </c>
      <c r="DO31" s="705">
        <f t="shared" si="78"/>
        <v>8.0729152136506541E-2</v>
      </c>
      <c r="DP31" s="705">
        <f t="shared" si="78"/>
        <v>8.0729152136506541E-2</v>
      </c>
      <c r="DQ31" s="705">
        <f t="shared" si="78"/>
        <v>8.0729152136506541E-2</v>
      </c>
      <c r="DR31" s="705">
        <f t="shared" si="78"/>
        <v>8.0729152136506541E-2</v>
      </c>
      <c r="DS31" s="705">
        <f t="shared" si="78"/>
        <v>8.0729152136506541E-2</v>
      </c>
      <c r="DT31" s="705">
        <f t="shared" si="67"/>
        <v>8.0729152136506541E-2</v>
      </c>
      <c r="DU31" s="705">
        <f t="shared" si="68"/>
        <v>8.0729152136506541E-2</v>
      </c>
      <c r="DV31" s="705">
        <f t="shared" si="69"/>
        <v>8.0729152136506541E-2</v>
      </c>
      <c r="DW31" s="705">
        <f t="shared" si="70"/>
        <v>8.0729152136506541E-2</v>
      </c>
      <c r="DX31" s="705">
        <f t="shared" si="71"/>
        <v>8.0729152136506541E-2</v>
      </c>
      <c r="DY31" s="705">
        <f t="shared" si="72"/>
        <v>8.0729152136506541E-2</v>
      </c>
      <c r="DZ31" s="705">
        <f t="shared" si="73"/>
        <v>8.0729152136506541E-2</v>
      </c>
      <c r="EA31" s="705">
        <f t="shared" si="74"/>
        <v>8.0729152136506541E-2</v>
      </c>
      <c r="EB31" s="705">
        <f t="shared" si="75"/>
        <v>8.0729152136506541E-2</v>
      </c>
      <c r="EC31" s="705">
        <f t="shared" si="76"/>
        <v>8.0729152136506541E-2</v>
      </c>
      <c r="ED31" s="113" t="s">
        <v>1</v>
      </c>
    </row>
    <row r="32" spans="1:134" x14ac:dyDescent="0.2">
      <c r="A32" s="698" t="s">
        <v>96</v>
      </c>
      <c r="B32" s="133">
        <f t="shared" ref="B32:AG32" si="79">B26/B12</f>
        <v>0</v>
      </c>
      <c r="C32" s="133">
        <f t="shared" si="79"/>
        <v>0</v>
      </c>
      <c r="D32" s="133">
        <f t="shared" si="79"/>
        <v>0</v>
      </c>
      <c r="E32" s="133">
        <f t="shared" si="79"/>
        <v>0</v>
      </c>
      <c r="F32" s="133">
        <f t="shared" si="79"/>
        <v>0</v>
      </c>
      <c r="G32" s="133">
        <f t="shared" si="79"/>
        <v>0</v>
      </c>
      <c r="H32" s="133">
        <f t="shared" si="79"/>
        <v>0</v>
      </c>
      <c r="I32" s="133">
        <f t="shared" si="79"/>
        <v>0</v>
      </c>
      <c r="J32" s="133">
        <f t="shared" si="79"/>
        <v>0</v>
      </c>
      <c r="K32" s="133">
        <f t="shared" si="79"/>
        <v>0</v>
      </c>
      <c r="L32" s="133">
        <f t="shared" si="79"/>
        <v>0</v>
      </c>
      <c r="M32" s="133">
        <f t="shared" si="79"/>
        <v>0</v>
      </c>
      <c r="N32" s="133">
        <f t="shared" si="79"/>
        <v>1.2431626056688214E-4</v>
      </c>
      <c r="O32" s="133">
        <f t="shared" si="79"/>
        <v>1.3222266296443211E-5</v>
      </c>
      <c r="P32" s="133">
        <f t="shared" si="79"/>
        <v>5.2371787318171701E-5</v>
      </c>
      <c r="Q32" s="133">
        <f t="shared" si="79"/>
        <v>4.3269499190441626E-4</v>
      </c>
      <c r="R32" s="133">
        <f t="shared" si="79"/>
        <v>2.166213395737145E-3</v>
      </c>
      <c r="S32" s="133">
        <f t="shared" si="79"/>
        <v>3.4303183264312248E-3</v>
      </c>
      <c r="T32" s="133">
        <f t="shared" si="79"/>
        <v>3.453068670459975E-3</v>
      </c>
      <c r="U32" s="133">
        <f t="shared" si="79"/>
        <v>2.7658898503055561E-3</v>
      </c>
      <c r="V32" s="133">
        <f t="shared" si="79"/>
        <v>4.8817856820981163E-3</v>
      </c>
      <c r="W32" s="133">
        <f t="shared" si="79"/>
        <v>6.7644588432925366E-3</v>
      </c>
      <c r="X32" s="133">
        <f t="shared" si="79"/>
        <v>4.0633741680331818E-3</v>
      </c>
      <c r="Y32" s="133">
        <f t="shared" si="79"/>
        <v>2.0189671778913835E-3</v>
      </c>
      <c r="Z32" s="133" t="e">
        <f t="shared" si="79"/>
        <v>#DIV/0!</v>
      </c>
      <c r="AA32" s="133">
        <f t="shared" si="79"/>
        <v>2.5242326332794832E-5</v>
      </c>
      <c r="AB32" s="133">
        <f t="shared" si="79"/>
        <v>9.9559095434504329E-4</v>
      </c>
      <c r="AC32" s="133">
        <f t="shared" si="79"/>
        <v>3.8944180008654262E-4</v>
      </c>
      <c r="AD32" s="133">
        <f t="shared" si="79"/>
        <v>9.6541006381125054E-4</v>
      </c>
      <c r="AE32" s="133">
        <f t="shared" si="79"/>
        <v>4.3267061290579462E-3</v>
      </c>
      <c r="AF32" s="133">
        <f t="shared" si="79"/>
        <v>8.8087357639884279E-3</v>
      </c>
      <c r="AG32" s="133">
        <f t="shared" si="79"/>
        <v>8.3662914511712805E-3</v>
      </c>
      <c r="AH32" s="133">
        <f t="shared" ref="AH32:BM32" si="80">AH26/AH12</f>
        <v>7.0210480124684128E-3</v>
      </c>
      <c r="AI32" s="133">
        <f t="shared" si="80"/>
        <v>7.6461383039835192E-3</v>
      </c>
      <c r="AJ32" s="133">
        <f t="shared" si="80"/>
        <v>7.0173921814435363E-3</v>
      </c>
      <c r="AK32" s="133">
        <f t="shared" si="80"/>
        <v>9.2355228086854653E-3</v>
      </c>
      <c r="AL32" s="133">
        <f t="shared" si="80"/>
        <v>1.325748082802867E-2</v>
      </c>
      <c r="AM32" s="133">
        <f t="shared" si="80"/>
        <v>3.597260142740815E-2</v>
      </c>
      <c r="AN32" s="133">
        <f t="shared" si="80"/>
        <v>3.1557243624525229E-2</v>
      </c>
      <c r="AO32" s="133">
        <f t="shared" si="80"/>
        <v>3.5746122303440896E-2</v>
      </c>
      <c r="AP32" s="133">
        <f t="shared" si="80"/>
        <v>4.4239018106145334E-2</v>
      </c>
      <c r="AQ32" s="133">
        <f t="shared" si="80"/>
        <v>6.8170957529418791E-2</v>
      </c>
      <c r="AR32" s="133">
        <f t="shared" si="80"/>
        <v>9.9920023992802157E-2</v>
      </c>
      <c r="AS32" s="133">
        <f t="shared" si="80"/>
        <v>5.7280984471139759E-2</v>
      </c>
      <c r="AT32" s="133">
        <f t="shared" si="80"/>
        <v>5.8553337161056887E-2</v>
      </c>
      <c r="AU32" s="133">
        <f t="shared" si="80"/>
        <v>7.0018635236026541E-2</v>
      </c>
      <c r="AV32" s="133">
        <f t="shared" si="80"/>
        <v>9.3208478587241406E-2</v>
      </c>
      <c r="AW32" s="133">
        <f t="shared" si="80"/>
        <v>0.11443812037724435</v>
      </c>
      <c r="AX32" s="133">
        <f t="shared" si="80"/>
        <v>0.12580169937947352</v>
      </c>
      <c r="AY32" s="133">
        <f t="shared" si="80"/>
        <v>0.15350888742593813</v>
      </c>
      <c r="AZ32" s="133">
        <f t="shared" si="80"/>
        <v>0.22790639109240371</v>
      </c>
      <c r="BA32" s="133">
        <f t="shared" si="80"/>
        <v>0.15737322401751611</v>
      </c>
      <c r="BB32" s="133">
        <f t="shared" si="80"/>
        <v>0.14804627210073504</v>
      </c>
      <c r="BC32" s="133">
        <f t="shared" si="80"/>
        <v>0.12510260804447068</v>
      </c>
      <c r="BD32" s="133">
        <f t="shared" si="80"/>
        <v>0.12452853617272262</v>
      </c>
      <c r="BE32" s="133">
        <f t="shared" si="80"/>
        <v>0.11560469262177238</v>
      </c>
      <c r="BF32" s="133">
        <f t="shared" si="80"/>
        <v>0.10052402049810867</v>
      </c>
      <c r="BG32" s="133">
        <f t="shared" si="80"/>
        <v>9.9631189348957649E-2</v>
      </c>
      <c r="BH32" s="133">
        <f t="shared" si="80"/>
        <v>0.1161270388499504</v>
      </c>
      <c r="BI32" s="133">
        <f t="shared" si="80"/>
        <v>0.10875335290069796</v>
      </c>
      <c r="BJ32" s="133">
        <f t="shared" si="80"/>
        <v>0.14981640146878825</v>
      </c>
      <c r="BK32" s="133">
        <f t="shared" si="80"/>
        <v>0.13849983911121649</v>
      </c>
      <c r="BL32" s="133">
        <f t="shared" si="80"/>
        <v>0.14206807668408092</v>
      </c>
      <c r="BM32" s="133">
        <f t="shared" si="80"/>
        <v>0.14204777228844673</v>
      </c>
      <c r="BN32" s="133">
        <f t="shared" ref="BN32:CS32" si="81">BN26/BN12</f>
        <v>0.1365167011775533</v>
      </c>
      <c r="BO32" s="133">
        <f t="shared" si="81"/>
        <v>0.12026981164092991</v>
      </c>
      <c r="BP32" s="133">
        <f t="shared" si="81"/>
        <v>0.12116471538150989</v>
      </c>
      <c r="BQ32" s="133">
        <f t="shared" si="81"/>
        <v>7.352311643835617E-2</v>
      </c>
      <c r="BR32" s="133">
        <f t="shared" si="81"/>
        <v>0.10587359317277127</v>
      </c>
      <c r="BS32" s="133">
        <f t="shared" si="81"/>
        <v>0.10403233270601302</v>
      </c>
      <c r="BT32" s="133">
        <f t="shared" si="81"/>
        <v>0.10244296265287205</v>
      </c>
      <c r="BU32" s="133">
        <f t="shared" si="81"/>
        <v>9.3109192791155537E-2</v>
      </c>
      <c r="BV32" s="133">
        <f t="shared" si="81"/>
        <v>9.6258835699097753E-2</v>
      </c>
      <c r="BW32" s="133">
        <f t="shared" si="81"/>
        <v>9.9070100143061515E-2</v>
      </c>
      <c r="BX32" s="133">
        <f t="shared" si="81"/>
        <v>0.10620146849083514</v>
      </c>
      <c r="BY32" s="133">
        <f t="shared" si="81"/>
        <v>0.1012394097091284</v>
      </c>
      <c r="BZ32" s="133">
        <f t="shared" si="81"/>
        <v>0.11283417911717178</v>
      </c>
      <c r="CA32" s="133">
        <f t="shared" si="81"/>
        <v>0.13179463024022608</v>
      </c>
      <c r="CB32" s="133">
        <f t="shared" si="81"/>
        <v>0.11600000000000001</v>
      </c>
      <c r="CC32" s="133">
        <f t="shared" si="81"/>
        <v>9.9813354876452071E-2</v>
      </c>
      <c r="CD32" s="133">
        <f t="shared" si="81"/>
        <v>8.6243016759776539E-2</v>
      </c>
      <c r="CE32" s="133">
        <f t="shared" si="81"/>
        <v>6.0654319531280719E-2</v>
      </c>
      <c r="CF32" s="133">
        <f t="shared" si="81"/>
        <v>5.5023974427277571E-2</v>
      </c>
      <c r="CG32" s="133">
        <f t="shared" si="81"/>
        <v>5.1444012835669649E-2</v>
      </c>
      <c r="CH32" s="133">
        <f t="shared" si="81"/>
        <v>6.5270066586533879E-2</v>
      </c>
      <c r="CI32" s="133">
        <f t="shared" si="81"/>
        <v>5.9287882969914434E-2</v>
      </c>
      <c r="CJ32" s="133">
        <f t="shared" si="81"/>
        <v>9.290194051475735E-2</v>
      </c>
      <c r="CK32" s="133">
        <f t="shared" si="81"/>
        <v>7.3937868963514952E-2</v>
      </c>
      <c r="CL32" s="133">
        <f t="shared" si="81"/>
        <v>8.2975234061987507E-2</v>
      </c>
      <c r="CM32" s="133">
        <f t="shared" si="81"/>
        <v>7.9097528948310847E-2</v>
      </c>
      <c r="CN32" s="133">
        <f t="shared" si="81"/>
        <v>7.8596134282807734E-2</v>
      </c>
      <c r="CO32" s="133">
        <f t="shared" si="81"/>
        <v>6.5169951064673978E-2</v>
      </c>
      <c r="CP32" s="133">
        <f t="shared" si="81"/>
        <v>7.1750875734726591E-2</v>
      </c>
      <c r="CQ32" s="133">
        <f t="shared" si="81"/>
        <v>6.711716690086364E-2</v>
      </c>
      <c r="CR32" s="133">
        <f t="shared" si="81"/>
        <v>7.1808973607268151E-2</v>
      </c>
      <c r="CS32" s="133">
        <f t="shared" si="81"/>
        <v>8.0369221757156786E-2</v>
      </c>
      <c r="CT32" s="705">
        <f t="shared" ref="CT32:EC32" si="82">CT26/CT12</f>
        <v>6.7280967373483117E-2</v>
      </c>
      <c r="CU32" s="705">
        <f t="shared" si="82"/>
        <v>6.7504147129452949E-2</v>
      </c>
      <c r="CV32" s="705">
        <f t="shared" si="82"/>
        <v>7.5957294678790366E-2</v>
      </c>
      <c r="CW32" s="705">
        <f t="shared" si="82"/>
        <v>7.462908337485831E-2</v>
      </c>
      <c r="CX32" s="705">
        <f t="shared" si="82"/>
        <v>7.6399058306648018E-2</v>
      </c>
      <c r="CY32" s="705">
        <f t="shared" si="82"/>
        <v>7.4537108694571974E-2</v>
      </c>
      <c r="CZ32" s="705">
        <f t="shared" si="82"/>
        <v>7.6480503432872007E-2</v>
      </c>
      <c r="DA32" s="705">
        <f t="shared" si="82"/>
        <v>7.2492104446844924E-2</v>
      </c>
      <c r="DB32" s="705">
        <f t="shared" si="82"/>
        <v>7.2218022380670072E-2</v>
      </c>
      <c r="DC32" s="705">
        <f t="shared" si="82"/>
        <v>7.5161685533308167E-2</v>
      </c>
      <c r="DD32" s="705">
        <f t="shared" si="82"/>
        <v>7.6110750095620613E-2</v>
      </c>
      <c r="DE32" s="705">
        <f t="shared" si="82"/>
        <v>7.7537288724652056E-2</v>
      </c>
      <c r="DF32" s="705">
        <f t="shared" si="82"/>
        <v>6.7280967373483117E-2</v>
      </c>
      <c r="DG32" s="705">
        <f t="shared" si="82"/>
        <v>6.7504147129452949E-2</v>
      </c>
      <c r="DH32" s="705">
        <f t="shared" si="82"/>
        <v>7.5957294678790352E-2</v>
      </c>
      <c r="DI32" s="705">
        <f t="shared" si="82"/>
        <v>7.4629083374858324E-2</v>
      </c>
      <c r="DJ32" s="705">
        <f t="shared" si="82"/>
        <v>7.6399058306648018E-2</v>
      </c>
      <c r="DK32" s="705">
        <f t="shared" si="82"/>
        <v>7.4537108694571974E-2</v>
      </c>
      <c r="DL32" s="705">
        <f t="shared" si="82"/>
        <v>7.6480503432872007E-2</v>
      </c>
      <c r="DM32" s="705">
        <f t="shared" si="82"/>
        <v>7.2492104446844924E-2</v>
      </c>
      <c r="DN32" s="705">
        <f t="shared" si="82"/>
        <v>7.2218022380670072E-2</v>
      </c>
      <c r="DO32" s="705">
        <f t="shared" si="82"/>
        <v>7.5161685533308167E-2</v>
      </c>
      <c r="DP32" s="705">
        <f t="shared" si="82"/>
        <v>7.6110750095620627E-2</v>
      </c>
      <c r="DQ32" s="705">
        <f t="shared" si="82"/>
        <v>7.7537288724652056E-2</v>
      </c>
      <c r="DR32" s="705">
        <f t="shared" si="82"/>
        <v>6.7280967373483117E-2</v>
      </c>
      <c r="DS32" s="705">
        <f t="shared" si="82"/>
        <v>6.7504147129452949E-2</v>
      </c>
      <c r="DT32" s="705">
        <f t="shared" si="82"/>
        <v>7.5957294678790338E-2</v>
      </c>
      <c r="DU32" s="705">
        <f t="shared" si="82"/>
        <v>7.462908337485831E-2</v>
      </c>
      <c r="DV32" s="705">
        <f t="shared" si="82"/>
        <v>7.6399058306648018E-2</v>
      </c>
      <c r="DW32" s="705">
        <f t="shared" si="82"/>
        <v>7.4537108694571974E-2</v>
      </c>
      <c r="DX32" s="705">
        <f t="shared" si="82"/>
        <v>7.6480503432872007E-2</v>
      </c>
      <c r="DY32" s="705">
        <f t="shared" si="82"/>
        <v>7.2492104446844924E-2</v>
      </c>
      <c r="DZ32" s="705">
        <f t="shared" si="82"/>
        <v>7.2218022380670086E-2</v>
      </c>
      <c r="EA32" s="705">
        <f t="shared" si="82"/>
        <v>7.5161685533308167E-2</v>
      </c>
      <c r="EB32" s="705">
        <f t="shared" si="82"/>
        <v>7.6110750095620627E-2</v>
      </c>
      <c r="EC32" s="705">
        <f t="shared" si="82"/>
        <v>7.7537288724652043E-2</v>
      </c>
      <c r="ED32" s="113" t="s">
        <v>1</v>
      </c>
    </row>
    <row r="33" spans="1:134" x14ac:dyDescent="0.2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29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115"/>
      <c r="CD33" s="115"/>
      <c r="CE33" s="115"/>
      <c r="CF33" s="115"/>
      <c r="CG33" s="115"/>
      <c r="CH33" s="115"/>
      <c r="CI33" s="115"/>
      <c r="CJ33" s="115"/>
      <c r="CK33" s="115"/>
      <c r="CL33" s="115"/>
      <c r="CM33" s="115"/>
      <c r="CN33" s="115"/>
      <c r="CO33" s="115"/>
      <c r="CP33" s="115"/>
      <c r="CQ33" s="115"/>
      <c r="CR33" s="115"/>
      <c r="CS33" s="115"/>
      <c r="CT33" s="115"/>
      <c r="CU33" s="115"/>
      <c r="CV33" s="115"/>
      <c r="CW33" s="115"/>
      <c r="CX33" s="115"/>
      <c r="CY33" s="115"/>
      <c r="CZ33" s="115"/>
      <c r="DA33" s="115"/>
      <c r="DB33" s="115"/>
      <c r="DC33" s="115"/>
      <c r="DD33" s="115"/>
      <c r="DE33" s="115"/>
      <c r="DF33" s="115"/>
      <c r="DG33" s="115"/>
      <c r="DH33" s="115"/>
      <c r="DI33" s="115"/>
      <c r="DJ33" s="115"/>
      <c r="DK33" s="115"/>
      <c r="DL33" s="115"/>
      <c r="DM33" s="115"/>
      <c r="DN33" s="115"/>
      <c r="DO33" s="115"/>
      <c r="DP33" s="115"/>
      <c r="DQ33" s="115"/>
      <c r="DR33" s="115"/>
      <c r="DS33" s="115"/>
      <c r="DT33" s="115"/>
      <c r="DU33" s="115"/>
      <c r="DV33" s="115"/>
      <c r="DW33" s="115"/>
      <c r="DX33" s="115"/>
      <c r="DY33" s="115"/>
      <c r="DZ33" s="115"/>
      <c r="EA33" s="115"/>
      <c r="EB33" s="115"/>
      <c r="EC33" s="115"/>
      <c r="ED33" s="113" t="s">
        <v>1</v>
      </c>
    </row>
    <row r="34" spans="1:134" x14ac:dyDescent="0.2">
      <c r="A34" s="115" t="s">
        <v>8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>
        <v>2808</v>
      </c>
      <c r="BK34" s="115">
        <v>2199</v>
      </c>
      <c r="BL34" s="115">
        <v>1827</v>
      </c>
      <c r="BM34" s="115">
        <v>1972</v>
      </c>
      <c r="BN34" s="115">
        <v>2125</v>
      </c>
      <c r="BO34" s="115">
        <v>1865</v>
      </c>
      <c r="BP34" s="115">
        <v>2217</v>
      </c>
      <c r="BQ34" s="115">
        <v>1759</v>
      </c>
      <c r="BR34" s="115">
        <v>1747</v>
      </c>
      <c r="BS34" s="115">
        <v>1552</v>
      </c>
      <c r="BT34" s="115">
        <v>1601</v>
      </c>
      <c r="BU34" s="115">
        <v>1548</v>
      </c>
      <c r="BV34" s="115">
        <v>1590</v>
      </c>
      <c r="BW34" s="115">
        <v>1999</v>
      </c>
      <c r="BX34" s="115">
        <v>2365</v>
      </c>
      <c r="BY34" s="115">
        <v>2005</v>
      </c>
      <c r="BZ34" s="115">
        <v>2244</v>
      </c>
      <c r="CA34" s="115">
        <v>2492</v>
      </c>
      <c r="CB34" s="115">
        <v>1813</v>
      </c>
      <c r="CC34" s="115">
        <v>2113</v>
      </c>
      <c r="CD34" s="115">
        <v>2171</v>
      </c>
      <c r="CE34" s="115">
        <v>1344</v>
      </c>
      <c r="CF34" s="115">
        <v>912</v>
      </c>
      <c r="CG34" s="115">
        <v>1088</v>
      </c>
      <c r="CH34" s="115">
        <v>1054</v>
      </c>
      <c r="CI34" s="115">
        <v>1054</v>
      </c>
      <c r="CJ34" s="115">
        <v>1012</v>
      </c>
      <c r="CK34" s="115">
        <v>1342</v>
      </c>
      <c r="CL34" s="115">
        <v>1336</v>
      </c>
      <c r="CM34" s="115">
        <v>1834</v>
      </c>
      <c r="CN34" s="115">
        <v>1779</v>
      </c>
      <c r="CO34" s="115">
        <v>1744</v>
      </c>
      <c r="CP34" s="115">
        <v>2046</v>
      </c>
      <c r="CQ34" s="115">
        <v>1301</v>
      </c>
      <c r="CR34" s="115">
        <v>1320</v>
      </c>
      <c r="CS34" s="129">
        <v>1363</v>
      </c>
      <c r="CT34" s="129">
        <f t="shared" ref="CT34:DS34" si="83">CS34/CS26*CT26</f>
        <v>1334.2971904236592</v>
      </c>
      <c r="CU34" s="129">
        <f t="shared" si="83"/>
        <v>1388.0700179568069</v>
      </c>
      <c r="CV34" s="129">
        <f t="shared" si="83"/>
        <v>1486.6765856171364</v>
      </c>
      <c r="CW34" s="129">
        <f t="shared" si="83"/>
        <v>1458.9011517179226</v>
      </c>
      <c r="CX34" s="129">
        <f t="shared" si="83"/>
        <v>1392.4993256800719</v>
      </c>
      <c r="CY34" s="129">
        <f t="shared" si="83"/>
        <v>1181.2787407539327</v>
      </c>
      <c r="CZ34" s="129">
        <f t="shared" si="83"/>
        <v>1422.3143316339881</v>
      </c>
      <c r="DA34" s="129">
        <f t="shared" si="83"/>
        <v>1659.133217841289</v>
      </c>
      <c r="DB34" s="129">
        <f t="shared" si="83"/>
        <v>1840.9684995821124</v>
      </c>
      <c r="DC34" s="129">
        <f t="shared" si="83"/>
        <v>1801.2555235703737</v>
      </c>
      <c r="DD34" s="129">
        <f t="shared" si="83"/>
        <v>1781.42344213454</v>
      </c>
      <c r="DE34" s="129">
        <f t="shared" si="83"/>
        <v>1748.9135586241434</v>
      </c>
      <c r="DF34" s="129">
        <f t="shared" si="83"/>
        <v>1667.871488029574</v>
      </c>
      <c r="DG34" s="129">
        <f t="shared" si="83"/>
        <v>1735.0875224460085</v>
      </c>
      <c r="DH34" s="129">
        <f t="shared" si="83"/>
        <v>1858.34573202142</v>
      </c>
      <c r="DI34" s="129">
        <f t="shared" si="83"/>
        <v>1823.6264396474032</v>
      </c>
      <c r="DJ34" s="129">
        <f t="shared" si="83"/>
        <v>1740.6241571000899</v>
      </c>
      <c r="DK34" s="129">
        <f t="shared" si="83"/>
        <v>1476.5984259424158</v>
      </c>
      <c r="DL34" s="129">
        <f t="shared" si="83"/>
        <v>1777.8929145424852</v>
      </c>
      <c r="DM34" s="129">
        <f t="shared" si="83"/>
        <v>2073.9165223016112</v>
      </c>
      <c r="DN34" s="129">
        <f t="shared" si="83"/>
        <v>2301.2106244776405</v>
      </c>
      <c r="DO34" s="129">
        <f t="shared" si="83"/>
        <v>2251.5694044629672</v>
      </c>
      <c r="DP34" s="129">
        <f t="shared" si="83"/>
        <v>2226.7793026681752</v>
      </c>
      <c r="DQ34" s="129">
        <f t="shared" si="83"/>
        <v>2186.1419482801789</v>
      </c>
      <c r="DR34" s="129">
        <f t="shared" si="83"/>
        <v>2001.4457856354888</v>
      </c>
      <c r="DS34" s="129">
        <f t="shared" si="83"/>
        <v>2082.1050269352099</v>
      </c>
      <c r="DT34" s="129">
        <f t="shared" ref="DT34" si="84">DS34/DS26*DT26</f>
        <v>2230.0148784257035</v>
      </c>
      <c r="DU34" s="129">
        <f t="shared" ref="DU34" si="85">DT34/DT26*DU26</f>
        <v>2188.3517275768836</v>
      </c>
      <c r="DV34" s="129">
        <f t="shared" ref="DV34" si="86">DU34/DU26*DV26</f>
        <v>2088.7489885201071</v>
      </c>
      <c r="DW34" s="129">
        <f t="shared" ref="DW34" si="87">DV34/DV26*DW26</f>
        <v>1771.9181111308985</v>
      </c>
      <c r="DX34" s="129">
        <f t="shared" ref="DX34" si="88">DW34/DW26*DX26</f>
        <v>2133.471497450982</v>
      </c>
      <c r="DY34" s="129">
        <f t="shared" ref="DY34" si="89">DX34/DX26*DY26</f>
        <v>2488.6998267619333</v>
      </c>
      <c r="DZ34" s="129">
        <f t="shared" ref="DZ34" si="90">DY34/DY26*DZ26</f>
        <v>2761.4527493731684</v>
      </c>
      <c r="EA34" s="129">
        <f t="shared" ref="EA34" si="91">DZ34/DZ26*EA26</f>
        <v>2701.88328535556</v>
      </c>
      <c r="EB34" s="129">
        <f t="shared" ref="EB34" si="92">EA34/EA26*EB26</f>
        <v>2672.13516320181</v>
      </c>
      <c r="EC34" s="129">
        <f t="shared" ref="EC34" si="93">EB34/EB26*EC26</f>
        <v>2623.3703379362141</v>
      </c>
      <c r="ED34" s="113" t="s">
        <v>1</v>
      </c>
    </row>
    <row r="35" spans="1:134" x14ac:dyDescent="0.2">
      <c r="A35" s="115" t="s">
        <v>9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30">
        <f t="shared" ref="BJ35:CO35" si="94">BJ26-BJ34</f>
        <v>6372</v>
      </c>
      <c r="BK35" s="130">
        <f t="shared" si="94"/>
        <v>5979</v>
      </c>
      <c r="BL35" s="130">
        <f t="shared" si="94"/>
        <v>4346</v>
      </c>
      <c r="BM35" s="130">
        <f t="shared" si="94"/>
        <v>4296</v>
      </c>
      <c r="BN35" s="130">
        <f t="shared" si="94"/>
        <v>4402</v>
      </c>
      <c r="BO35" s="130">
        <f t="shared" si="94"/>
        <v>3805</v>
      </c>
      <c r="BP35" s="130">
        <f t="shared" si="94"/>
        <v>2585</v>
      </c>
      <c r="BQ35" s="130">
        <f t="shared" si="94"/>
        <v>1676</v>
      </c>
      <c r="BR35" s="130">
        <f t="shared" si="94"/>
        <v>1950</v>
      </c>
      <c r="BS35" s="130">
        <f t="shared" si="94"/>
        <v>1820</v>
      </c>
      <c r="BT35" s="130">
        <f t="shared" si="94"/>
        <v>1825</v>
      </c>
      <c r="BU35" s="130">
        <f t="shared" si="94"/>
        <v>1526</v>
      </c>
      <c r="BV35" s="130">
        <f t="shared" si="94"/>
        <v>1760</v>
      </c>
      <c r="BW35" s="130">
        <f t="shared" si="94"/>
        <v>1879</v>
      </c>
      <c r="BX35" s="130">
        <f t="shared" si="94"/>
        <v>1656</v>
      </c>
      <c r="BY35" s="130">
        <f t="shared" si="94"/>
        <v>2022</v>
      </c>
      <c r="BZ35" s="130">
        <f t="shared" si="94"/>
        <v>1736</v>
      </c>
      <c r="CA35" s="130">
        <f t="shared" si="94"/>
        <v>1705</v>
      </c>
      <c r="CB35" s="130">
        <f t="shared" si="94"/>
        <v>2073</v>
      </c>
      <c r="CC35" s="130">
        <f t="shared" si="94"/>
        <v>1470</v>
      </c>
      <c r="CD35" s="130">
        <f t="shared" si="94"/>
        <v>1781</v>
      </c>
      <c r="CE35" s="130">
        <f t="shared" si="94"/>
        <v>1741</v>
      </c>
      <c r="CF35" s="130">
        <f t="shared" si="94"/>
        <v>1670</v>
      </c>
      <c r="CG35" s="130">
        <f t="shared" si="94"/>
        <v>1958</v>
      </c>
      <c r="CH35" s="130">
        <f t="shared" si="94"/>
        <v>2367</v>
      </c>
      <c r="CI35" s="130">
        <f t="shared" si="94"/>
        <v>2168</v>
      </c>
      <c r="CJ35" s="130">
        <f t="shared" si="94"/>
        <v>3793.6315789473683</v>
      </c>
      <c r="CK35" s="130">
        <f t="shared" si="94"/>
        <v>2478</v>
      </c>
      <c r="CL35" s="130">
        <f t="shared" si="94"/>
        <v>2661</v>
      </c>
      <c r="CM35" s="130">
        <f t="shared" si="94"/>
        <v>1479</v>
      </c>
      <c r="CN35" s="130">
        <f t="shared" si="94"/>
        <v>2084</v>
      </c>
      <c r="CO35" s="130">
        <f t="shared" si="94"/>
        <v>2198</v>
      </c>
      <c r="CP35" s="130">
        <f t="shared" ref="CP35:DU35" si="95">CP26-CP34</f>
        <v>2788</v>
      </c>
      <c r="CQ35" s="130">
        <f t="shared" si="95"/>
        <v>2950</v>
      </c>
      <c r="CR35" s="130">
        <f t="shared" si="95"/>
        <v>3122</v>
      </c>
      <c r="CS35" s="130">
        <f t="shared" si="95"/>
        <v>3428</v>
      </c>
      <c r="CT35" s="130">
        <f t="shared" si="95"/>
        <v>3355.811275695014</v>
      </c>
      <c r="CU35" s="130">
        <f t="shared" si="95"/>
        <v>3491.0521067908539</v>
      </c>
      <c r="CV35" s="130">
        <f t="shared" si="95"/>
        <v>3739.0516034450061</v>
      </c>
      <c r="CW35" s="130">
        <f t="shared" si="95"/>
        <v>3669.1952663896109</v>
      </c>
      <c r="CX35" s="130">
        <f t="shared" si="95"/>
        <v>3502.1919944470192</v>
      </c>
      <c r="CY35" s="130">
        <f t="shared" si="95"/>
        <v>2970.9637001500232</v>
      </c>
      <c r="CZ35" s="130">
        <f t="shared" si="95"/>
        <v>3577.1779375211381</v>
      </c>
      <c r="DA35" s="130">
        <f t="shared" si="95"/>
        <v>4172.7869924871156</v>
      </c>
      <c r="DB35" s="130">
        <f t="shared" si="95"/>
        <v>4630.1100635124585</v>
      </c>
      <c r="DC35" s="130">
        <f t="shared" si="95"/>
        <v>4530.230326338401</v>
      </c>
      <c r="DD35" s="130">
        <f t="shared" si="95"/>
        <v>4480.3518412598705</v>
      </c>
      <c r="DE35" s="130">
        <f t="shared" si="95"/>
        <v>4398.5881723870607</v>
      </c>
      <c r="DF35" s="130">
        <f t="shared" si="95"/>
        <v>4194.7640946187676</v>
      </c>
      <c r="DG35" s="130">
        <f t="shared" si="95"/>
        <v>4363.815133488567</v>
      </c>
      <c r="DH35" s="130">
        <f t="shared" si="95"/>
        <v>4673.8145043062568</v>
      </c>
      <c r="DI35" s="130">
        <f t="shared" si="95"/>
        <v>4586.4940829870129</v>
      </c>
      <c r="DJ35" s="130">
        <f t="shared" si="95"/>
        <v>4377.7399930587735</v>
      </c>
      <c r="DK35" s="130">
        <f t="shared" si="95"/>
        <v>3713.704625187529</v>
      </c>
      <c r="DL35" s="130">
        <f t="shared" si="95"/>
        <v>4471.4724219014224</v>
      </c>
      <c r="DM35" s="130">
        <f t="shared" si="95"/>
        <v>5215.9837406088955</v>
      </c>
      <c r="DN35" s="130">
        <f t="shared" si="95"/>
        <v>5787.6375793905736</v>
      </c>
      <c r="DO35" s="130">
        <f t="shared" si="95"/>
        <v>5662.7879079230015</v>
      </c>
      <c r="DP35" s="130">
        <f t="shared" si="95"/>
        <v>5600.4398015748393</v>
      </c>
      <c r="DQ35" s="130">
        <f t="shared" si="95"/>
        <v>5498.2352154838245</v>
      </c>
      <c r="DR35" s="130">
        <f t="shared" si="95"/>
        <v>5033.7169135425211</v>
      </c>
      <c r="DS35" s="130">
        <f t="shared" si="95"/>
        <v>5236.5781601862809</v>
      </c>
      <c r="DT35" s="130">
        <f t="shared" si="95"/>
        <v>5608.577405167508</v>
      </c>
      <c r="DU35" s="130">
        <f t="shared" si="95"/>
        <v>5503.7928995844159</v>
      </c>
      <c r="DV35" s="130">
        <f t="shared" ref="DV35:EC35" si="96">DV26-DV34</f>
        <v>5253.2879916705278</v>
      </c>
      <c r="DW35" s="130">
        <f t="shared" si="96"/>
        <v>4456.4455502250348</v>
      </c>
      <c r="DX35" s="130">
        <f t="shared" si="96"/>
        <v>5365.7669062817076</v>
      </c>
      <c r="DY35" s="130">
        <f t="shared" si="96"/>
        <v>6259.1804887306753</v>
      </c>
      <c r="DZ35" s="130">
        <f t="shared" si="96"/>
        <v>6945.1650952686896</v>
      </c>
      <c r="EA35" s="130">
        <f t="shared" si="96"/>
        <v>6795.3454895076029</v>
      </c>
      <c r="EB35" s="130">
        <f t="shared" si="96"/>
        <v>6720.5277618898072</v>
      </c>
      <c r="EC35" s="130">
        <f t="shared" si="96"/>
        <v>6597.8822585805901</v>
      </c>
      <c r="ED35" s="113" t="s">
        <v>1</v>
      </c>
    </row>
    <row r="36" spans="1:134" x14ac:dyDescent="0.2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30"/>
      <c r="BK36" s="130"/>
      <c r="BL36" s="130"/>
      <c r="BM36" s="130"/>
      <c r="BN36" s="130"/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  <c r="BY36" s="130"/>
      <c r="BZ36" s="130"/>
      <c r="CA36" s="130"/>
      <c r="CB36" s="130"/>
      <c r="CC36" s="130"/>
      <c r="CD36" s="130"/>
      <c r="CE36" s="130"/>
      <c r="CF36" s="130"/>
      <c r="CG36" s="130"/>
      <c r="CH36" s="130"/>
      <c r="CI36" s="130"/>
      <c r="CJ36" s="130"/>
      <c r="CK36" s="130"/>
      <c r="CL36" s="130"/>
      <c r="CM36" s="130"/>
      <c r="CN36" s="130"/>
      <c r="CO36" s="130"/>
      <c r="CP36" s="130"/>
      <c r="CQ36" s="130"/>
      <c r="CR36" s="130"/>
      <c r="CS36" s="130"/>
      <c r="CT36" s="130"/>
      <c r="CU36" s="130"/>
      <c r="CV36" s="130"/>
      <c r="CW36" s="130"/>
      <c r="CX36" s="130"/>
      <c r="CY36" s="130"/>
      <c r="CZ36" s="130"/>
      <c r="DA36" s="130"/>
      <c r="DB36" s="130"/>
      <c r="DC36" s="130"/>
      <c r="DD36" s="130"/>
      <c r="DE36" s="130"/>
      <c r="DF36" s="130"/>
      <c r="DG36" s="130"/>
      <c r="DH36" s="130"/>
      <c r="DI36" s="130"/>
      <c r="DJ36" s="130"/>
      <c r="DK36" s="130"/>
      <c r="DL36" s="130"/>
      <c r="DM36" s="130"/>
      <c r="DN36" s="130"/>
      <c r="DO36" s="130"/>
      <c r="DP36" s="130"/>
      <c r="DQ36" s="130"/>
      <c r="DR36" s="115"/>
      <c r="DS36" s="115"/>
      <c r="DT36" s="115"/>
      <c r="DU36" s="115"/>
      <c r="DV36" s="115"/>
      <c r="DW36" s="115"/>
      <c r="DX36" s="115"/>
      <c r="DY36" s="115"/>
      <c r="DZ36" s="115"/>
      <c r="EA36" s="115"/>
      <c r="EB36" s="115"/>
      <c r="EC36" s="115"/>
      <c r="ED36" s="113" t="s">
        <v>1</v>
      </c>
    </row>
    <row r="37" spans="1:134" x14ac:dyDescent="0.2">
      <c r="A37" s="330" t="s">
        <v>10</v>
      </c>
      <c r="B37" s="131">
        <f t="shared" ref="B37:AG37" si="97">B7-B22</f>
        <v>127373162</v>
      </c>
      <c r="C37" s="131">
        <f t="shared" si="97"/>
        <v>119525214</v>
      </c>
      <c r="D37" s="131">
        <f t="shared" si="97"/>
        <v>133618915.88573273</v>
      </c>
      <c r="E37" s="131">
        <f t="shared" si="97"/>
        <v>155721260.4144277</v>
      </c>
      <c r="F37" s="131">
        <f t="shared" si="97"/>
        <v>182921172.49998167</v>
      </c>
      <c r="G37" s="131">
        <f t="shared" si="97"/>
        <v>190468885</v>
      </c>
      <c r="H37" s="131">
        <f t="shared" si="97"/>
        <v>203496304</v>
      </c>
      <c r="I37" s="131">
        <f t="shared" si="97"/>
        <v>191306750</v>
      </c>
      <c r="J37" s="131">
        <f t="shared" si="97"/>
        <v>241759536</v>
      </c>
      <c r="K37" s="131">
        <f t="shared" si="97"/>
        <v>234336044</v>
      </c>
      <c r="L37" s="131">
        <f t="shared" si="97"/>
        <v>238581665.40440598</v>
      </c>
      <c r="M37" s="131">
        <f t="shared" si="97"/>
        <v>208964937</v>
      </c>
      <c r="N37" s="131">
        <f t="shared" si="97"/>
        <v>269447912.26024622</v>
      </c>
      <c r="O37" s="131">
        <f t="shared" si="97"/>
        <v>266868735.1242533</v>
      </c>
      <c r="P37" s="131">
        <f t="shared" si="97"/>
        <v>286229261.5</v>
      </c>
      <c r="Q37" s="131">
        <f t="shared" si="97"/>
        <v>292359425.71099395</v>
      </c>
      <c r="R37" s="131">
        <f t="shared" si="97"/>
        <v>240342977.87539515</v>
      </c>
      <c r="S37" s="131">
        <f t="shared" si="97"/>
        <v>212420597.12555185</v>
      </c>
      <c r="T37" s="131">
        <f t="shared" si="97"/>
        <v>179826642.85981309</v>
      </c>
      <c r="U37" s="131">
        <f t="shared" si="97"/>
        <v>219145509.50059792</v>
      </c>
      <c r="V37" s="131">
        <f t="shared" si="97"/>
        <v>251361505.16609254</v>
      </c>
      <c r="W37" s="131">
        <f t="shared" si="97"/>
        <v>253840663.09572297</v>
      </c>
      <c r="X37" s="131">
        <f t="shared" si="97"/>
        <v>291578958.80223233</v>
      </c>
      <c r="Y37" s="131">
        <f t="shared" si="97"/>
        <v>181928659.19999999</v>
      </c>
      <c r="Z37" s="131">
        <f t="shared" si="97"/>
        <v>-58689</v>
      </c>
      <c r="AA37" s="131">
        <f t="shared" si="97"/>
        <v>140822505.93964374</v>
      </c>
      <c r="AB37" s="131">
        <f t="shared" si="97"/>
        <v>145960707.95446637</v>
      </c>
      <c r="AC37" s="131">
        <f t="shared" si="97"/>
        <v>119738395.07042427</v>
      </c>
      <c r="AD37" s="131">
        <f t="shared" si="97"/>
        <v>200055468.57239282</v>
      </c>
      <c r="AE37" s="131">
        <f t="shared" si="97"/>
        <v>205142874.22751704</v>
      </c>
      <c r="AF37" s="131">
        <f t="shared" si="97"/>
        <v>184510568.67909652</v>
      </c>
      <c r="AG37" s="131">
        <f t="shared" si="97"/>
        <v>218065650.95785782</v>
      </c>
      <c r="AH37" s="131">
        <f t="shared" ref="AH37:AY37" si="98">AH7-AH22</f>
        <v>351624938.17792231</v>
      </c>
      <c r="AI37" s="131">
        <f t="shared" si="98"/>
        <v>302824165.85610336</v>
      </c>
      <c r="AJ37" s="131">
        <f t="shared" si="98"/>
        <v>378804197.32158595</v>
      </c>
      <c r="AK37" s="131">
        <f t="shared" si="98"/>
        <v>317244253.6084246</v>
      </c>
      <c r="AL37" s="131">
        <f t="shared" si="98"/>
        <v>218341300.60656399</v>
      </c>
      <c r="AM37" s="131">
        <f t="shared" si="98"/>
        <v>99507961</v>
      </c>
      <c r="AN37" s="131">
        <f t="shared" si="98"/>
        <v>220549752.36498249</v>
      </c>
      <c r="AO37" s="131">
        <f t="shared" si="98"/>
        <v>309028022.56999999</v>
      </c>
      <c r="AP37" s="131">
        <f t="shared" si="98"/>
        <v>302429208.89614981</v>
      </c>
      <c r="AQ37" s="131">
        <f t="shared" si="98"/>
        <v>284500821</v>
      </c>
      <c r="AR37" s="131">
        <f t="shared" si="98"/>
        <v>243017416.99999997</v>
      </c>
      <c r="AS37" s="131">
        <f t="shared" si="98"/>
        <v>290726966</v>
      </c>
      <c r="AT37" s="131">
        <f t="shared" si="98"/>
        <v>389798687.40441</v>
      </c>
      <c r="AU37" s="131">
        <f t="shared" si="98"/>
        <v>355193261.00000006</v>
      </c>
      <c r="AV37" s="131">
        <f t="shared" si="98"/>
        <v>363297745</v>
      </c>
      <c r="AW37" s="131">
        <f t="shared" si="98"/>
        <v>316865236.87457108</v>
      </c>
      <c r="AX37" s="131">
        <f t="shared" si="98"/>
        <v>314883922.45000011</v>
      </c>
      <c r="AY37" s="131">
        <f t="shared" si="98"/>
        <v>353948479</v>
      </c>
      <c r="AZ37" s="131">
        <f t="shared" ref="AZ37:CE37" si="99">AZ38+AZ39</f>
        <v>253718952.35678953</v>
      </c>
      <c r="BA37" s="131">
        <f t="shared" si="99"/>
        <v>295352366.05637109</v>
      </c>
      <c r="BB37" s="131">
        <f t="shared" si="99"/>
        <v>314859557.06935155</v>
      </c>
      <c r="BC37" s="131">
        <f t="shared" si="99"/>
        <v>323017769.97385091</v>
      </c>
      <c r="BD37" s="131">
        <f t="shared" si="99"/>
        <v>379991484.77648139</v>
      </c>
      <c r="BE37" s="131">
        <f t="shared" si="99"/>
        <v>411137982.12704134</v>
      </c>
      <c r="BF37" s="131">
        <f t="shared" si="99"/>
        <v>523499249.52725494</v>
      </c>
      <c r="BG37" s="131">
        <f t="shared" si="99"/>
        <v>472010291.35966325</v>
      </c>
      <c r="BH37" s="131">
        <f t="shared" si="99"/>
        <v>379962296.8494646</v>
      </c>
      <c r="BI37" s="131">
        <f t="shared" si="99"/>
        <v>420473610.97327906</v>
      </c>
      <c r="BJ37" s="131">
        <f t="shared" si="99"/>
        <v>388619576.70573646</v>
      </c>
      <c r="BK37" s="131">
        <f t="shared" si="99"/>
        <v>395066518.57596982</v>
      </c>
      <c r="BL37" s="131">
        <f t="shared" si="99"/>
        <v>300462671.48357648</v>
      </c>
      <c r="BM37" s="131">
        <f t="shared" si="99"/>
        <v>283687792.77625489</v>
      </c>
      <c r="BN37" s="131">
        <f t="shared" si="99"/>
        <v>300679904.2239241</v>
      </c>
      <c r="BO37" s="131">
        <f t="shared" si="99"/>
        <v>289582835.51983523</v>
      </c>
      <c r="BP37" s="131">
        <f t="shared" si="99"/>
        <v>272230318.70985508</v>
      </c>
      <c r="BQ37" s="131">
        <f t="shared" si="99"/>
        <v>334439243.09056324</v>
      </c>
      <c r="BR37" s="131">
        <f t="shared" si="99"/>
        <v>301141663.49213481</v>
      </c>
      <c r="BS37" s="131">
        <f t="shared" si="99"/>
        <v>271286674.68889612</v>
      </c>
      <c r="BT37" s="131">
        <f t="shared" si="99"/>
        <v>285387260.72658795</v>
      </c>
      <c r="BU37" s="131">
        <f t="shared" si="99"/>
        <v>295499604.70715314</v>
      </c>
      <c r="BV37" s="131">
        <f t="shared" si="99"/>
        <v>306810965.38962066</v>
      </c>
      <c r="BW37" s="131">
        <f t="shared" si="99"/>
        <v>317634236.1956681</v>
      </c>
      <c r="BX37" s="131">
        <f t="shared" si="99"/>
        <v>302669466.78844017</v>
      </c>
      <c r="BY37" s="131">
        <f t="shared" si="99"/>
        <v>286115234.40934163</v>
      </c>
      <c r="BZ37" s="131">
        <f t="shared" si="99"/>
        <v>276117758.08156759</v>
      </c>
      <c r="CA37" s="131">
        <f t="shared" si="99"/>
        <v>242257243.25205415</v>
      </c>
      <c r="CB37" s="131">
        <f t="shared" si="99"/>
        <v>290251317.86683983</v>
      </c>
      <c r="CC37" s="131">
        <f t="shared" si="99"/>
        <v>296899274.37488753</v>
      </c>
      <c r="CD37" s="131">
        <f t="shared" si="99"/>
        <v>335757957.58998883</v>
      </c>
      <c r="CE37" s="131">
        <f t="shared" si="99"/>
        <v>385179872.95694119</v>
      </c>
      <c r="CF37" s="131">
        <f t="shared" ref="CF37:DK37" si="100">CF38+CF39</f>
        <v>445942525.30202425</v>
      </c>
      <c r="CG37" s="131">
        <f t="shared" si="100"/>
        <v>553793255.71783984</v>
      </c>
      <c r="CH37" s="131">
        <f t="shared" si="100"/>
        <v>470069111.57037908</v>
      </c>
      <c r="CI37" s="131">
        <f t="shared" si="100"/>
        <v>466408773.88283879</v>
      </c>
      <c r="CJ37" s="131">
        <f t="shared" si="100"/>
        <v>460358627.85315222</v>
      </c>
      <c r="CK37" s="131">
        <f t="shared" si="100"/>
        <v>461154413.35000008</v>
      </c>
      <c r="CL37" s="131">
        <f t="shared" si="100"/>
        <v>388687802.75999916</v>
      </c>
      <c r="CM37" s="131">
        <f t="shared" si="100"/>
        <v>336052923.92999959</v>
      </c>
      <c r="CN37" s="131">
        <f t="shared" si="100"/>
        <v>435550558.52000046</v>
      </c>
      <c r="CO37" s="131">
        <f t="shared" si="100"/>
        <v>522842565.63999999</v>
      </c>
      <c r="CP37" s="131">
        <f t="shared" si="100"/>
        <v>633370264.37999976</v>
      </c>
      <c r="CQ37" s="131">
        <f t="shared" si="100"/>
        <v>681442196.87000072</v>
      </c>
      <c r="CR37" s="131">
        <f t="shared" si="100"/>
        <v>622125579.75000048</v>
      </c>
      <c r="CS37" s="131">
        <f t="shared" si="100"/>
        <v>604962856.32999969</v>
      </c>
      <c r="CT37" s="131">
        <f t="shared" si="100"/>
        <v>626377247.22057498</v>
      </c>
      <c r="CU37" s="131">
        <f t="shared" si="100"/>
        <v>649242340.31171215</v>
      </c>
      <c r="CV37" s="131">
        <f t="shared" si="100"/>
        <v>609907584.32042396</v>
      </c>
      <c r="CW37" s="131">
        <f t="shared" si="100"/>
        <v>610431282.88397908</v>
      </c>
      <c r="CX37" s="131">
        <f t="shared" si="100"/>
        <v>567575430.24840772</v>
      </c>
      <c r="CY37" s="131">
        <f t="shared" si="100"/>
        <v>494949921.32897353</v>
      </c>
      <c r="CZ37" s="131">
        <f t="shared" si="100"/>
        <v>579036629.22452211</v>
      </c>
      <c r="DA37" s="131">
        <f t="shared" si="100"/>
        <v>717062311.02831566</v>
      </c>
      <c r="DB37" s="131">
        <f t="shared" si="100"/>
        <v>799010325.98845029</v>
      </c>
      <c r="DC37" s="131">
        <f t="shared" si="100"/>
        <v>747715470.71532393</v>
      </c>
      <c r="DD37" s="131">
        <f t="shared" si="100"/>
        <v>729178487.93240309</v>
      </c>
      <c r="DE37" s="131">
        <f t="shared" si="100"/>
        <v>701131242.00030899</v>
      </c>
      <c r="DF37" s="131">
        <f t="shared" si="100"/>
        <v>782971559.02571845</v>
      </c>
      <c r="DG37" s="131">
        <f t="shared" si="100"/>
        <v>811552925.38964021</v>
      </c>
      <c r="DH37" s="131">
        <f t="shared" si="100"/>
        <v>762384480.40052974</v>
      </c>
      <c r="DI37" s="131">
        <f t="shared" si="100"/>
        <v>763039103.60497355</v>
      </c>
      <c r="DJ37" s="131">
        <f t="shared" si="100"/>
        <v>709469287.81050944</v>
      </c>
      <c r="DK37" s="131">
        <f t="shared" si="100"/>
        <v>618687401.66121662</v>
      </c>
      <c r="DL37" s="131">
        <f t="shared" ref="DL37:EC37" si="101">DL38+DL39</f>
        <v>723795786.5306524</v>
      </c>
      <c r="DM37" s="131">
        <f t="shared" si="101"/>
        <v>896327888.78539431</v>
      </c>
      <c r="DN37" s="131">
        <f t="shared" si="101"/>
        <v>998762907.48556256</v>
      </c>
      <c r="DO37" s="131">
        <f t="shared" si="101"/>
        <v>934644338.39415479</v>
      </c>
      <c r="DP37" s="131">
        <f t="shared" si="101"/>
        <v>911473109.91550374</v>
      </c>
      <c r="DQ37" s="131">
        <f t="shared" si="101"/>
        <v>876414052.50038612</v>
      </c>
      <c r="DR37" s="131">
        <f t="shared" si="101"/>
        <v>939565870.83086228</v>
      </c>
      <c r="DS37" s="131">
        <f t="shared" si="101"/>
        <v>973863510.46756804</v>
      </c>
      <c r="DT37" s="131">
        <f t="shared" si="101"/>
        <v>914861376.48063564</v>
      </c>
      <c r="DU37" s="131">
        <f t="shared" si="101"/>
        <v>915646924.32596815</v>
      </c>
      <c r="DV37" s="131">
        <f t="shared" si="101"/>
        <v>851363145.37261117</v>
      </c>
      <c r="DW37" s="131">
        <f t="shared" si="101"/>
        <v>742424881.99345994</v>
      </c>
      <c r="DX37" s="131">
        <f t="shared" si="101"/>
        <v>868554943.83678281</v>
      </c>
      <c r="DY37" s="131">
        <f t="shared" si="101"/>
        <v>1075593466.5424736</v>
      </c>
      <c r="DZ37" s="131">
        <f t="shared" si="101"/>
        <v>1198515488.9826753</v>
      </c>
      <c r="EA37" s="131">
        <f t="shared" si="101"/>
        <v>1121573206.0729859</v>
      </c>
      <c r="EB37" s="131">
        <f t="shared" si="101"/>
        <v>1093767731.8986044</v>
      </c>
      <c r="EC37" s="131">
        <f t="shared" si="101"/>
        <v>1051696863.0004632</v>
      </c>
      <c r="ED37" s="113" t="s">
        <v>1</v>
      </c>
    </row>
    <row r="38" spans="1:134" x14ac:dyDescent="0.2">
      <c r="A38" s="698" t="s">
        <v>97</v>
      </c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30">
        <f t="shared" ref="AZ38:CE38" si="102">AZ8-AZ23</f>
        <v>57315451.963905223</v>
      </c>
      <c r="BA38" s="130">
        <f t="shared" si="102"/>
        <v>62354498.007868811</v>
      </c>
      <c r="BB38" s="130">
        <f t="shared" si="102"/>
        <v>63129962.116789095</v>
      </c>
      <c r="BC38" s="130">
        <f t="shared" si="102"/>
        <v>112339195.36622429</v>
      </c>
      <c r="BD38" s="130">
        <f t="shared" si="102"/>
        <v>100437981.6613459</v>
      </c>
      <c r="BE38" s="130">
        <f t="shared" si="102"/>
        <v>120209810.27764611</v>
      </c>
      <c r="BF38" s="130">
        <f t="shared" si="102"/>
        <v>147460985.56343892</v>
      </c>
      <c r="BG38" s="130">
        <f t="shared" si="102"/>
        <v>111835174.62329073</v>
      </c>
      <c r="BH38" s="130">
        <f t="shared" si="102"/>
        <v>59237912.807522424</v>
      </c>
      <c r="BI38" s="130">
        <f t="shared" si="102"/>
        <v>63114995.720508881</v>
      </c>
      <c r="BJ38" s="130">
        <f t="shared" si="102"/>
        <v>38739227.64689678</v>
      </c>
      <c r="BK38" s="130">
        <f t="shared" si="102"/>
        <v>32050657.75279076</v>
      </c>
      <c r="BL38" s="130">
        <f t="shared" si="102"/>
        <v>33000931.408048175</v>
      </c>
      <c r="BM38" s="130">
        <f t="shared" si="102"/>
        <v>15145533.576626644</v>
      </c>
      <c r="BN38" s="130">
        <f t="shared" si="102"/>
        <v>12653777.422852881</v>
      </c>
      <c r="BO38" s="130">
        <f t="shared" si="102"/>
        <v>18195783.303687148</v>
      </c>
      <c r="BP38" s="130">
        <f t="shared" si="102"/>
        <v>26474086.139611069</v>
      </c>
      <c r="BQ38" s="130">
        <f t="shared" si="102"/>
        <v>51548362.757315531</v>
      </c>
      <c r="BR38" s="130">
        <f t="shared" si="102"/>
        <v>42422722.148700215</v>
      </c>
      <c r="BS38" s="130">
        <f t="shared" si="102"/>
        <v>25804182.850372098</v>
      </c>
      <c r="BT38" s="130">
        <f t="shared" si="102"/>
        <v>17033088.772994682</v>
      </c>
      <c r="BU38" s="130">
        <f t="shared" si="102"/>
        <v>30375821.000000097</v>
      </c>
      <c r="BV38" s="130">
        <f t="shared" si="102"/>
        <v>27205744.049498737</v>
      </c>
      <c r="BW38" s="130">
        <f t="shared" si="102"/>
        <v>22089421.825110734</v>
      </c>
      <c r="BX38" s="130">
        <f t="shared" si="102"/>
        <v>10095551.226851517</v>
      </c>
      <c r="BY38" s="130">
        <f t="shared" si="102"/>
        <v>21168231.566800456</v>
      </c>
      <c r="BZ38" s="130">
        <f t="shared" si="102"/>
        <v>29169842.195570044</v>
      </c>
      <c r="CA38" s="130">
        <f t="shared" si="102"/>
        <v>35714965.815388098</v>
      </c>
      <c r="CB38" s="130">
        <f t="shared" si="102"/>
        <v>24802596.833961718</v>
      </c>
      <c r="CC38" s="130">
        <f t="shared" si="102"/>
        <v>15413652.946655361</v>
      </c>
      <c r="CD38" s="130">
        <f t="shared" si="102"/>
        <v>35807056.63207069</v>
      </c>
      <c r="CE38" s="130">
        <f t="shared" si="102"/>
        <v>54962768.11164473</v>
      </c>
      <c r="CF38" s="130">
        <f t="shared" ref="CF38:DK38" si="103">CF8-CF23</f>
        <v>35119165.03763631</v>
      </c>
      <c r="CG38" s="130">
        <f t="shared" si="103"/>
        <v>70594330.832743704</v>
      </c>
      <c r="CH38" s="130">
        <f t="shared" si="103"/>
        <v>57828645.049960442</v>
      </c>
      <c r="CI38" s="130">
        <f t="shared" si="103"/>
        <v>55110247.502035014</v>
      </c>
      <c r="CJ38" s="130">
        <f t="shared" si="103"/>
        <v>25788276.471005041</v>
      </c>
      <c r="CK38" s="130">
        <f t="shared" si="103"/>
        <v>29315925.530000005</v>
      </c>
      <c r="CL38" s="130">
        <f t="shared" si="103"/>
        <v>19298181.899999995</v>
      </c>
      <c r="CM38" s="130">
        <f t="shared" si="103"/>
        <v>16653654.159999996</v>
      </c>
      <c r="CN38" s="130">
        <f t="shared" si="103"/>
        <v>22594660.739999995</v>
      </c>
      <c r="CO38" s="130">
        <f t="shared" si="103"/>
        <v>41518316.389999971</v>
      </c>
      <c r="CP38" s="130">
        <f t="shared" si="103"/>
        <v>72571876.689999953</v>
      </c>
      <c r="CQ38" s="130">
        <f t="shared" si="103"/>
        <v>54731450.340000026</v>
      </c>
      <c r="CR38" s="130">
        <f t="shared" si="103"/>
        <v>38402609.600000039</v>
      </c>
      <c r="CS38" s="130">
        <f t="shared" si="103"/>
        <v>26061589.079999749</v>
      </c>
      <c r="CT38" s="130">
        <f t="shared" si="103"/>
        <v>26682948.356375318</v>
      </c>
      <c r="CU38" s="130">
        <f t="shared" si="103"/>
        <v>27671169.641078286</v>
      </c>
      <c r="CV38" s="130">
        <f t="shared" si="103"/>
        <v>26506618.206870936</v>
      </c>
      <c r="CW38" s="130">
        <f t="shared" si="103"/>
        <v>26447976.436505891</v>
      </c>
      <c r="CX38" s="130">
        <f t="shared" si="103"/>
        <v>24692103.664932966</v>
      </c>
      <c r="CY38" s="130">
        <f t="shared" si="103"/>
        <v>21439989.175378423</v>
      </c>
      <c r="CZ38" s="130">
        <f t="shared" si="103"/>
        <v>25195469.577165771</v>
      </c>
      <c r="DA38" s="130">
        <f t="shared" si="103"/>
        <v>30914931.346417751</v>
      </c>
      <c r="DB38" s="130">
        <f t="shared" si="103"/>
        <v>34426195.540554613</v>
      </c>
      <c r="DC38" s="130">
        <f t="shared" si="103"/>
        <v>32435980.69880797</v>
      </c>
      <c r="DD38" s="130">
        <f t="shared" si="103"/>
        <v>31701398.799027354</v>
      </c>
      <c r="DE38" s="130">
        <f t="shared" si="103"/>
        <v>30582931.521503188</v>
      </c>
      <c r="DF38" s="130">
        <f t="shared" si="103"/>
        <v>33353685.445469141</v>
      </c>
      <c r="DG38" s="130">
        <f t="shared" si="103"/>
        <v>34588962.051347867</v>
      </c>
      <c r="DH38" s="130">
        <f t="shared" si="103"/>
        <v>33133272.758588672</v>
      </c>
      <c r="DI38" s="130">
        <f t="shared" si="103"/>
        <v>33059970.545632355</v>
      </c>
      <c r="DJ38" s="130">
        <f t="shared" si="103"/>
        <v>30865129.581166208</v>
      </c>
      <c r="DK38" s="130">
        <f t="shared" si="103"/>
        <v>26799986.469223026</v>
      </c>
      <c r="DL38" s="130">
        <f t="shared" ref="DL38:EC38" si="104">DL8-DL23</f>
        <v>31494336.971457213</v>
      </c>
      <c r="DM38" s="130">
        <f t="shared" si="104"/>
        <v>38643664.183022194</v>
      </c>
      <c r="DN38" s="130">
        <f t="shared" si="104"/>
        <v>43032744.425693274</v>
      </c>
      <c r="DO38" s="130">
        <f t="shared" si="104"/>
        <v>40544975.873509966</v>
      </c>
      <c r="DP38" s="130">
        <f t="shared" si="104"/>
        <v>39626748.498784192</v>
      </c>
      <c r="DQ38" s="130">
        <f t="shared" si="104"/>
        <v>38228664.401878975</v>
      </c>
      <c r="DR38" s="130">
        <f t="shared" si="104"/>
        <v>40024422.534562975</v>
      </c>
      <c r="DS38" s="130">
        <f t="shared" si="104"/>
        <v>41506754.461617425</v>
      </c>
      <c r="DT38" s="130">
        <f t="shared" si="104"/>
        <v>39759927.3103064</v>
      </c>
      <c r="DU38" s="130">
        <f t="shared" si="104"/>
        <v>39671964.654758818</v>
      </c>
      <c r="DV38" s="130">
        <f t="shared" si="104"/>
        <v>37038155.497399442</v>
      </c>
      <c r="DW38" s="130">
        <f t="shared" si="104"/>
        <v>32159983.763067625</v>
      </c>
      <c r="DX38" s="130">
        <f t="shared" si="104"/>
        <v>37793204.365748651</v>
      </c>
      <c r="DY38" s="130">
        <f t="shared" si="104"/>
        <v>46372397.019626632</v>
      </c>
      <c r="DZ38" s="130">
        <f t="shared" si="104"/>
        <v>51639293.310831919</v>
      </c>
      <c r="EA38" s="130">
        <f t="shared" si="104"/>
        <v>48653971.048211955</v>
      </c>
      <c r="EB38" s="130">
        <f t="shared" si="104"/>
        <v>47552098.198541023</v>
      </c>
      <c r="EC38" s="130">
        <f t="shared" si="104"/>
        <v>45874397.282254763</v>
      </c>
      <c r="ED38" s="113" t="s">
        <v>1</v>
      </c>
    </row>
    <row r="39" spans="1:134" x14ac:dyDescent="0.2">
      <c r="A39" s="698" t="s">
        <v>4</v>
      </c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30">
        <f t="shared" ref="AZ39:CE39" si="105">AZ9-AZ24</f>
        <v>196403500.39288431</v>
      </c>
      <c r="BA39" s="130">
        <f t="shared" si="105"/>
        <v>232997868.0485023</v>
      </c>
      <c r="BB39" s="130">
        <f t="shared" si="105"/>
        <v>251729594.95256248</v>
      </c>
      <c r="BC39" s="130">
        <f t="shared" si="105"/>
        <v>210678574.60762662</v>
      </c>
      <c r="BD39" s="130">
        <f t="shared" si="105"/>
        <v>279553503.11513549</v>
      </c>
      <c r="BE39" s="130">
        <f t="shared" si="105"/>
        <v>290928171.84939522</v>
      </c>
      <c r="BF39" s="130">
        <f t="shared" si="105"/>
        <v>376038263.96381599</v>
      </c>
      <c r="BG39" s="130">
        <f t="shared" si="105"/>
        <v>360175116.73637253</v>
      </c>
      <c r="BH39" s="130">
        <f t="shared" si="105"/>
        <v>320724384.04194218</v>
      </c>
      <c r="BI39" s="130">
        <f t="shared" si="105"/>
        <v>357358615.25277019</v>
      </c>
      <c r="BJ39" s="130">
        <f t="shared" si="105"/>
        <v>349880349.05883968</v>
      </c>
      <c r="BK39" s="130">
        <f t="shared" si="105"/>
        <v>363015860.82317907</v>
      </c>
      <c r="BL39" s="130">
        <f t="shared" si="105"/>
        <v>267461740.07552832</v>
      </c>
      <c r="BM39" s="130">
        <f t="shared" si="105"/>
        <v>268542259.19962823</v>
      </c>
      <c r="BN39" s="130">
        <f t="shared" si="105"/>
        <v>288026126.80107123</v>
      </c>
      <c r="BO39" s="130">
        <f t="shared" si="105"/>
        <v>271387052.21614808</v>
      </c>
      <c r="BP39" s="130">
        <f t="shared" si="105"/>
        <v>245756232.57024401</v>
      </c>
      <c r="BQ39" s="130">
        <f t="shared" si="105"/>
        <v>282890880.33324772</v>
      </c>
      <c r="BR39" s="130">
        <f t="shared" si="105"/>
        <v>258718941.34343457</v>
      </c>
      <c r="BS39" s="130">
        <f t="shared" si="105"/>
        <v>245482491.83852404</v>
      </c>
      <c r="BT39" s="130">
        <f t="shared" si="105"/>
        <v>268354171.95359325</v>
      </c>
      <c r="BU39" s="130">
        <f t="shared" si="105"/>
        <v>265123783.70715302</v>
      </c>
      <c r="BV39" s="130">
        <f t="shared" si="105"/>
        <v>279605221.34012192</v>
      </c>
      <c r="BW39" s="130">
        <f t="shared" si="105"/>
        <v>295544814.37055737</v>
      </c>
      <c r="BX39" s="130">
        <f t="shared" si="105"/>
        <v>292573915.56158864</v>
      </c>
      <c r="BY39" s="130">
        <f t="shared" si="105"/>
        <v>264947002.84254116</v>
      </c>
      <c r="BZ39" s="130">
        <f t="shared" si="105"/>
        <v>246947915.88599756</v>
      </c>
      <c r="CA39" s="130">
        <f t="shared" si="105"/>
        <v>206542277.43666604</v>
      </c>
      <c r="CB39" s="130">
        <f t="shared" si="105"/>
        <v>265448721.0328781</v>
      </c>
      <c r="CC39" s="130">
        <f t="shared" si="105"/>
        <v>281485621.42823219</v>
      </c>
      <c r="CD39" s="130">
        <f t="shared" si="105"/>
        <v>299950900.95791817</v>
      </c>
      <c r="CE39" s="130">
        <f t="shared" si="105"/>
        <v>330217104.84529644</v>
      </c>
      <c r="CF39" s="130">
        <f t="shared" ref="CF39:DK39" si="106">CF9-CF24</f>
        <v>410823360.26438791</v>
      </c>
      <c r="CG39" s="130">
        <f t="shared" si="106"/>
        <v>483198924.88509613</v>
      </c>
      <c r="CH39" s="130">
        <f t="shared" si="106"/>
        <v>412240466.52041864</v>
      </c>
      <c r="CI39" s="130">
        <f t="shared" si="106"/>
        <v>411298526.38080376</v>
      </c>
      <c r="CJ39" s="130">
        <f t="shared" si="106"/>
        <v>434570351.38214719</v>
      </c>
      <c r="CK39" s="130">
        <f t="shared" si="106"/>
        <v>431838487.82000005</v>
      </c>
      <c r="CL39" s="130">
        <f t="shared" si="106"/>
        <v>369389620.85999918</v>
      </c>
      <c r="CM39" s="130">
        <f t="shared" si="106"/>
        <v>319399269.76999962</v>
      </c>
      <c r="CN39" s="130">
        <f t="shared" si="106"/>
        <v>412955897.78000045</v>
      </c>
      <c r="CO39" s="130">
        <f t="shared" si="106"/>
        <v>481324249.25</v>
      </c>
      <c r="CP39" s="130">
        <f t="shared" si="106"/>
        <v>560798387.68999982</v>
      </c>
      <c r="CQ39" s="130">
        <f t="shared" si="106"/>
        <v>626710746.53000069</v>
      </c>
      <c r="CR39" s="130">
        <f t="shared" si="106"/>
        <v>583722970.15000045</v>
      </c>
      <c r="CS39" s="130">
        <f t="shared" si="106"/>
        <v>578901267.24999988</v>
      </c>
      <c r="CT39" s="130">
        <f t="shared" si="106"/>
        <v>599694298.86419964</v>
      </c>
      <c r="CU39" s="130">
        <f t="shared" si="106"/>
        <v>621571170.67063391</v>
      </c>
      <c r="CV39" s="130">
        <f t="shared" si="106"/>
        <v>583400966.11355305</v>
      </c>
      <c r="CW39" s="130">
        <f t="shared" si="106"/>
        <v>583983306.44747317</v>
      </c>
      <c r="CX39" s="130">
        <f t="shared" si="106"/>
        <v>542883326.58347476</v>
      </c>
      <c r="CY39" s="130">
        <f t="shared" si="106"/>
        <v>473509932.15359509</v>
      </c>
      <c r="CZ39" s="130">
        <f t="shared" si="106"/>
        <v>553841159.64735639</v>
      </c>
      <c r="DA39" s="130">
        <f t="shared" si="106"/>
        <v>686147379.68189788</v>
      </c>
      <c r="DB39" s="130">
        <f t="shared" si="106"/>
        <v>764584130.44789565</v>
      </c>
      <c r="DC39" s="130">
        <f t="shared" si="106"/>
        <v>715279490.01651597</v>
      </c>
      <c r="DD39" s="130">
        <f t="shared" si="106"/>
        <v>697477089.13337576</v>
      </c>
      <c r="DE39" s="130">
        <f t="shared" si="106"/>
        <v>670548310.47880578</v>
      </c>
      <c r="DF39" s="130">
        <f t="shared" si="106"/>
        <v>749617873.58024931</v>
      </c>
      <c r="DG39" s="130">
        <f t="shared" si="106"/>
        <v>776963963.33829236</v>
      </c>
      <c r="DH39" s="130">
        <f t="shared" si="106"/>
        <v>729251207.64194107</v>
      </c>
      <c r="DI39" s="130">
        <f t="shared" si="106"/>
        <v>729979133.05934119</v>
      </c>
      <c r="DJ39" s="130">
        <f t="shared" si="106"/>
        <v>678604158.22934318</v>
      </c>
      <c r="DK39" s="130">
        <f t="shared" si="106"/>
        <v>591887415.19199359</v>
      </c>
      <c r="DL39" s="130">
        <f t="shared" ref="DL39:EC39" si="107">DL9-DL24</f>
        <v>692301449.55919516</v>
      </c>
      <c r="DM39" s="130">
        <f t="shared" si="107"/>
        <v>857684224.60237217</v>
      </c>
      <c r="DN39" s="130">
        <f t="shared" si="107"/>
        <v>955730163.05986929</v>
      </c>
      <c r="DO39" s="130">
        <f t="shared" si="107"/>
        <v>894099362.52064478</v>
      </c>
      <c r="DP39" s="130">
        <f t="shared" si="107"/>
        <v>871846361.41671956</v>
      </c>
      <c r="DQ39" s="130">
        <f t="shared" si="107"/>
        <v>838185388.09850717</v>
      </c>
      <c r="DR39" s="130">
        <f t="shared" si="107"/>
        <v>899541448.29629934</v>
      </c>
      <c r="DS39" s="130">
        <f t="shared" si="107"/>
        <v>932356756.00595057</v>
      </c>
      <c r="DT39" s="130">
        <f t="shared" si="107"/>
        <v>875101449.17032921</v>
      </c>
      <c r="DU39" s="130">
        <f t="shared" si="107"/>
        <v>875974959.67120934</v>
      </c>
      <c r="DV39" s="130">
        <f t="shared" si="107"/>
        <v>814324989.87521172</v>
      </c>
      <c r="DW39" s="130">
        <f t="shared" si="107"/>
        <v>710264898.23039234</v>
      </c>
      <c r="DX39" s="130">
        <f t="shared" si="107"/>
        <v>830761739.47103417</v>
      </c>
      <c r="DY39" s="130">
        <f t="shared" si="107"/>
        <v>1029221069.5228468</v>
      </c>
      <c r="DZ39" s="130">
        <f t="shared" si="107"/>
        <v>1146876195.6718433</v>
      </c>
      <c r="EA39" s="130">
        <f t="shared" si="107"/>
        <v>1072919235.024774</v>
      </c>
      <c r="EB39" s="130">
        <f t="shared" si="107"/>
        <v>1046215633.7000635</v>
      </c>
      <c r="EC39" s="130">
        <f t="shared" si="107"/>
        <v>1005822465.7182084</v>
      </c>
      <c r="ED39" s="113" t="s">
        <v>1</v>
      </c>
    </row>
    <row r="40" spans="1:134" x14ac:dyDescent="0.2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115"/>
      <c r="CD40" s="115"/>
      <c r="CE40" s="115"/>
      <c r="CF40" s="115"/>
      <c r="CG40" s="115"/>
      <c r="CH40" s="115"/>
      <c r="CI40" s="115"/>
      <c r="CJ40" s="115"/>
      <c r="CK40" s="115"/>
      <c r="CL40" s="115"/>
      <c r="CM40" s="115"/>
      <c r="CN40" s="115"/>
      <c r="CO40" s="115"/>
      <c r="CP40" s="115"/>
      <c r="CQ40" s="115"/>
      <c r="CR40" s="115"/>
      <c r="CS40" s="115"/>
      <c r="CT40" s="115"/>
      <c r="CU40" s="115"/>
      <c r="CV40" s="115"/>
      <c r="CW40" s="115"/>
      <c r="CX40" s="115"/>
      <c r="CY40" s="115"/>
      <c r="CZ40" s="115"/>
      <c r="DA40" s="115"/>
      <c r="DB40" s="115"/>
      <c r="DC40" s="115"/>
      <c r="DD40" s="115"/>
      <c r="DE40" s="115"/>
      <c r="DF40" s="115"/>
      <c r="DG40" s="115"/>
      <c r="DH40" s="115"/>
      <c r="DI40" s="115"/>
      <c r="DJ40" s="115"/>
      <c r="DK40" s="115"/>
      <c r="DL40" s="115"/>
      <c r="DM40" s="115"/>
      <c r="DN40" s="115"/>
      <c r="DO40" s="115"/>
      <c r="DP40" s="115"/>
      <c r="DQ40" s="115"/>
      <c r="DR40" s="115"/>
      <c r="DS40" s="115"/>
      <c r="DT40" s="115"/>
      <c r="DU40" s="115"/>
      <c r="DV40" s="115"/>
      <c r="DW40" s="115"/>
      <c r="DX40" s="115"/>
      <c r="DY40" s="115"/>
      <c r="DZ40" s="115"/>
      <c r="EA40" s="115"/>
      <c r="EB40" s="115"/>
      <c r="EC40" s="115"/>
      <c r="ED40" s="113" t="s">
        <v>1</v>
      </c>
    </row>
    <row r="41" spans="1:134" x14ac:dyDescent="0.2">
      <c r="A41" s="330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115"/>
      <c r="CD41" s="115"/>
      <c r="CE41" s="115"/>
      <c r="CF41" s="115"/>
      <c r="CG41" s="115"/>
      <c r="CH41" s="115"/>
      <c r="CI41" s="115"/>
      <c r="CJ41" s="115"/>
      <c r="CK41" s="115"/>
      <c r="CL41" s="115"/>
      <c r="CM41" s="115"/>
      <c r="CN41" s="115"/>
      <c r="CO41" s="115"/>
      <c r="CP41" s="115"/>
      <c r="CQ41" s="115"/>
      <c r="CR41" s="115"/>
      <c r="CS41" s="115"/>
      <c r="CT41" s="115"/>
      <c r="CU41" s="115"/>
      <c r="CV41" s="115"/>
      <c r="CW41" s="115"/>
      <c r="CX41" s="115"/>
      <c r="CY41" s="115"/>
      <c r="CZ41" s="115"/>
      <c r="DA41" s="115"/>
      <c r="DB41" s="115"/>
      <c r="DC41" s="115"/>
      <c r="DD41" s="115"/>
      <c r="DE41" s="115"/>
      <c r="DF41" s="115"/>
      <c r="DG41" s="115"/>
      <c r="DH41" s="115"/>
      <c r="DI41" s="115"/>
      <c r="DJ41" s="115"/>
      <c r="DK41" s="115"/>
      <c r="DL41" s="115"/>
      <c r="DM41" s="115"/>
      <c r="DN41" s="115"/>
      <c r="DO41" s="115"/>
      <c r="DP41" s="115"/>
      <c r="DQ41" s="115"/>
      <c r="DR41" s="115"/>
      <c r="DS41" s="115"/>
      <c r="DT41" s="115"/>
      <c r="DU41" s="115"/>
      <c r="DV41" s="115"/>
      <c r="DW41" s="115"/>
      <c r="DX41" s="115"/>
      <c r="DY41" s="115"/>
      <c r="DZ41" s="115"/>
      <c r="EA41" s="115"/>
      <c r="EB41" s="115"/>
      <c r="EC41" s="115"/>
      <c r="ED41" s="113" t="s">
        <v>1</v>
      </c>
    </row>
    <row r="42" spans="1:134" x14ac:dyDescent="0.2">
      <c r="A42" s="330" t="s">
        <v>11</v>
      </c>
      <c r="B42" s="132">
        <v>1571885</v>
      </c>
      <c r="C42" s="132">
        <v>1933225.857142857</v>
      </c>
      <c r="D42" s="132">
        <v>2144810.8091856497</v>
      </c>
      <c r="E42" s="132">
        <v>2670744.5190276657</v>
      </c>
      <c r="F42" s="132">
        <v>3520739.1602093042</v>
      </c>
      <c r="G42" s="132">
        <v>3375803</v>
      </c>
      <c r="H42" s="132">
        <v>2640496</v>
      </c>
      <c r="I42" s="132">
        <v>3233060</v>
      </c>
      <c r="J42" s="132">
        <v>3701309</v>
      </c>
      <c r="K42" s="132">
        <v>2919247</v>
      </c>
      <c r="L42" s="132">
        <v>2007686</v>
      </c>
      <c r="M42" s="132">
        <v>2008229</v>
      </c>
      <c r="N42" s="132">
        <v>2074638.8850263832</v>
      </c>
      <c r="O42" s="132">
        <v>2149446.9775985675</v>
      </c>
      <c r="P42" s="132">
        <v>2794451.4107142859</v>
      </c>
      <c r="Q42" s="132">
        <v>3291671.1060011913</v>
      </c>
      <c r="R42" s="132">
        <v>3107952.9509351938</v>
      </c>
      <c r="S42" s="132">
        <v>2375814.5848805555</v>
      </c>
      <c r="T42" s="132">
        <v>2358981.5742656877</v>
      </c>
      <c r="U42" s="132">
        <v>2789918.7972108242</v>
      </c>
      <c r="V42" s="132">
        <v>2858485.1095155482</v>
      </c>
      <c r="W42" s="132">
        <v>2908758.4798988895</v>
      </c>
      <c r="X42" s="132">
        <v>3984937.7029611464</v>
      </c>
      <c r="Y42" s="132">
        <v>2321371.5514285713</v>
      </c>
      <c r="Z42" s="132">
        <v>-1030.5642857142857</v>
      </c>
      <c r="AA42" s="132">
        <v>3900614</v>
      </c>
      <c r="AB42" s="132">
        <v>3270039.6696492299</v>
      </c>
      <c r="AC42" s="132">
        <v>2663850.7524969731</v>
      </c>
      <c r="AD42" s="132">
        <v>4690032.1283731069</v>
      </c>
      <c r="AE42" s="132">
        <v>4140394.5922888326</v>
      </c>
      <c r="AF42" s="132">
        <v>3479215.8310084632</v>
      </c>
      <c r="AG42" s="132">
        <v>4885138.599654723</v>
      </c>
      <c r="AH42" s="132">
        <v>5677808.8600000003</v>
      </c>
      <c r="AI42" s="132">
        <v>4311081.9400000004</v>
      </c>
      <c r="AJ42" s="132">
        <v>5245946.8049999997</v>
      </c>
      <c r="AK42" s="132">
        <v>3879587.5550000002</v>
      </c>
      <c r="AL42" s="132">
        <v>2963721.9840000002</v>
      </c>
      <c r="AM42" s="132">
        <v>2025289</v>
      </c>
      <c r="AN42" s="132">
        <v>4833429.6950000003</v>
      </c>
      <c r="AO42" s="132">
        <v>6484924.1200000001</v>
      </c>
      <c r="AP42" s="132">
        <v>6968696.4699999997</v>
      </c>
      <c r="AQ42" s="132">
        <v>6104232</v>
      </c>
      <c r="AR42" s="132">
        <v>5760470</v>
      </c>
      <c r="AS42" s="132">
        <v>4515277</v>
      </c>
      <c r="AT42" s="132">
        <v>5958902.2499999898</v>
      </c>
      <c r="AU42" s="132">
        <v>5855167</v>
      </c>
      <c r="AV42" s="132">
        <v>5581986</v>
      </c>
      <c r="AW42" s="132">
        <v>5571264.4000000004</v>
      </c>
      <c r="AX42" s="132">
        <v>4708314</v>
      </c>
      <c r="AY42" s="132">
        <v>6279353</v>
      </c>
      <c r="AZ42" s="132">
        <f t="shared" ref="AZ42:CE42" si="108">AZ43+AZ44</f>
        <v>4093538</v>
      </c>
      <c r="BA42" s="132">
        <f t="shared" si="108"/>
        <v>5519187.2144797016</v>
      </c>
      <c r="BB42" s="132">
        <f t="shared" si="108"/>
        <v>5516764.610474729</v>
      </c>
      <c r="BC42" s="132">
        <f t="shared" si="108"/>
        <v>4791404.7020451846</v>
      </c>
      <c r="BD42" s="132">
        <f t="shared" si="108"/>
        <v>6953816.5711733215</v>
      </c>
      <c r="BE42" s="132">
        <f t="shared" si="108"/>
        <v>7179089.4394325111</v>
      </c>
      <c r="BF42" s="132">
        <f t="shared" si="108"/>
        <v>10406552.007967513</v>
      </c>
      <c r="BG42" s="132">
        <f t="shared" si="108"/>
        <v>9057356.0492312312</v>
      </c>
      <c r="BH42" s="132">
        <f t="shared" si="108"/>
        <v>7253164.0957235033</v>
      </c>
      <c r="BI42" s="132">
        <f t="shared" si="108"/>
        <v>8383170.7145901695</v>
      </c>
      <c r="BJ42" s="132">
        <f t="shared" si="108"/>
        <v>8838599.247797424</v>
      </c>
      <c r="BK42" s="132">
        <f t="shared" si="108"/>
        <v>7354907.1775600836</v>
      </c>
      <c r="BL42" s="132">
        <f t="shared" si="108"/>
        <v>7161410.1133693503</v>
      </c>
      <c r="BM42" s="132">
        <f t="shared" si="108"/>
        <v>7953510.7387108337</v>
      </c>
      <c r="BN42" s="132">
        <f t="shared" si="108"/>
        <v>8283598.2274204753</v>
      </c>
      <c r="BO42" s="132">
        <f t="shared" si="108"/>
        <v>6200463.1806926541</v>
      </c>
      <c r="BP42" s="132">
        <f t="shared" si="108"/>
        <v>6613959.9047642378</v>
      </c>
      <c r="BQ42" s="132">
        <f t="shared" si="108"/>
        <v>7409178.8331753649</v>
      </c>
      <c r="BR42" s="132">
        <f t="shared" si="108"/>
        <v>5750049.2147189975</v>
      </c>
      <c r="BS42" s="132">
        <f t="shared" si="108"/>
        <v>5686690.9617407536</v>
      </c>
      <c r="BT42" s="132">
        <f t="shared" si="108"/>
        <v>7669766.1773037827</v>
      </c>
      <c r="BU42" s="132">
        <f t="shared" si="108"/>
        <v>8024179.4618596323</v>
      </c>
      <c r="BV42" s="132">
        <f t="shared" si="108"/>
        <v>8517831.6084843203</v>
      </c>
      <c r="BW42" s="132">
        <f t="shared" si="108"/>
        <v>8837156.0655760728</v>
      </c>
      <c r="BX42" s="132">
        <f t="shared" si="108"/>
        <v>8182294.8197127413</v>
      </c>
      <c r="BY42" s="132">
        <f t="shared" si="108"/>
        <v>7523018.0914777583</v>
      </c>
      <c r="BZ42" s="132">
        <f t="shared" si="108"/>
        <v>6510651.5996009111</v>
      </c>
      <c r="CA42" s="132">
        <f t="shared" si="108"/>
        <v>5286889.366321329</v>
      </c>
      <c r="CB42" s="132">
        <f t="shared" si="108"/>
        <v>7450617.4753430719</v>
      </c>
      <c r="CC42" s="132">
        <f t="shared" si="108"/>
        <v>8512066.8890635725</v>
      </c>
      <c r="CD42" s="132">
        <f t="shared" si="108"/>
        <v>7587145.9876836576</v>
      </c>
      <c r="CE42" s="132">
        <f t="shared" si="108"/>
        <v>8969730.0832711998</v>
      </c>
      <c r="CF42" s="132">
        <f t="shared" ref="CF42:DK42" si="109">CF43+CF44</f>
        <v>11444978.070268853</v>
      </c>
      <c r="CG42" s="132">
        <f t="shared" si="109"/>
        <v>11677359.036198275</v>
      </c>
      <c r="CH42" s="132">
        <f t="shared" si="109"/>
        <v>10991167.98380474</v>
      </c>
      <c r="CI42" s="132">
        <f t="shared" si="109"/>
        <v>14119814.18267357</v>
      </c>
      <c r="CJ42" s="132">
        <f t="shared" si="109"/>
        <v>16502040.907416202</v>
      </c>
      <c r="CK42" s="132">
        <f t="shared" si="109"/>
        <v>13088210.209999999</v>
      </c>
      <c r="CL42" s="132">
        <f t="shared" si="109"/>
        <v>11861183.11999991</v>
      </c>
      <c r="CM42" s="132">
        <f t="shared" si="109"/>
        <v>11572655.169999989</v>
      </c>
      <c r="CN42" s="132">
        <f t="shared" si="109"/>
        <v>14095181.049999975</v>
      </c>
      <c r="CO42" s="132">
        <f t="shared" si="109"/>
        <v>15819389.059999999</v>
      </c>
      <c r="CP42" s="132">
        <f t="shared" si="109"/>
        <v>18329819.949999966</v>
      </c>
      <c r="CQ42" s="132">
        <f t="shared" si="109"/>
        <v>21185581.019999892</v>
      </c>
      <c r="CR42" s="132">
        <f t="shared" si="109"/>
        <v>21438490.849999983</v>
      </c>
      <c r="CS42" s="132">
        <f t="shared" si="109"/>
        <v>21307950.059999969</v>
      </c>
      <c r="CT42" s="132">
        <f t="shared" si="109"/>
        <v>22069034.586785167</v>
      </c>
      <c r="CU42" s="132">
        <f t="shared" si="109"/>
        <v>22874314.361866917</v>
      </c>
      <c r="CV42" s="132">
        <f t="shared" si="109"/>
        <v>21476852.161835209</v>
      </c>
      <c r="CW42" s="132">
        <f t="shared" si="109"/>
        <v>21497139.029926181</v>
      </c>
      <c r="CX42" s="132">
        <f t="shared" si="109"/>
        <v>19985625.406352729</v>
      </c>
      <c r="CY42" s="132">
        <f t="shared" si="109"/>
        <v>17430414.674845722</v>
      </c>
      <c r="CZ42" s="132">
        <f t="shared" si="109"/>
        <v>20389092.619133864</v>
      </c>
      <c r="DA42" s="132">
        <f t="shared" si="109"/>
        <v>25255760.196872897</v>
      </c>
      <c r="DB42" s="132">
        <f t="shared" si="109"/>
        <v>28142557.61991011</v>
      </c>
      <c r="DC42" s="132">
        <f t="shared" si="109"/>
        <v>26330876.49607145</v>
      </c>
      <c r="DD42" s="132">
        <f t="shared" si="109"/>
        <v>25676517.666257858</v>
      </c>
      <c r="DE42" s="132">
        <f t="shared" si="109"/>
        <v>24686603.860855408</v>
      </c>
      <c r="DF42" s="132">
        <f t="shared" si="109"/>
        <v>27586293.233481452</v>
      </c>
      <c r="DG42" s="132">
        <f t="shared" si="109"/>
        <v>28592892.952333644</v>
      </c>
      <c r="DH42" s="132">
        <f t="shared" si="109"/>
        <v>26846065.202294003</v>
      </c>
      <c r="DI42" s="132">
        <f t="shared" si="109"/>
        <v>26871423.787407715</v>
      </c>
      <c r="DJ42" s="132">
        <f t="shared" si="109"/>
        <v>24982031.7579409</v>
      </c>
      <c r="DK42" s="132">
        <f t="shared" si="109"/>
        <v>21788018.343557142</v>
      </c>
      <c r="DL42" s="132">
        <f t="shared" ref="DL42:EC42" si="110">DL43+DL44</f>
        <v>25486365.773917314</v>
      </c>
      <c r="DM42" s="132">
        <f t="shared" si="110"/>
        <v>31569700.246091116</v>
      </c>
      <c r="DN42" s="132">
        <f t="shared" si="110"/>
        <v>35178197.024887621</v>
      </c>
      <c r="DO42" s="132">
        <f t="shared" si="110"/>
        <v>32913595.620089311</v>
      </c>
      <c r="DP42" s="132">
        <f t="shared" si="110"/>
        <v>32095647.082822315</v>
      </c>
      <c r="DQ42" s="132">
        <f t="shared" si="110"/>
        <v>30858254.826069258</v>
      </c>
      <c r="DR42" s="132">
        <f t="shared" si="110"/>
        <v>33103551.880177747</v>
      </c>
      <c r="DS42" s="132">
        <f t="shared" si="110"/>
        <v>34311471.542800359</v>
      </c>
      <c r="DT42" s="132">
        <f t="shared" si="110"/>
        <v>32215278.242752798</v>
      </c>
      <c r="DU42" s="132">
        <f t="shared" si="110"/>
        <v>32245708.544889253</v>
      </c>
      <c r="DV42" s="132">
        <f t="shared" si="110"/>
        <v>29978438.109529074</v>
      </c>
      <c r="DW42" s="132">
        <f t="shared" si="110"/>
        <v>26145622.012268566</v>
      </c>
      <c r="DX42" s="132">
        <f t="shared" si="110"/>
        <v>30583638.928700771</v>
      </c>
      <c r="DY42" s="132">
        <f t="shared" si="110"/>
        <v>37883640.295309335</v>
      </c>
      <c r="DZ42" s="132">
        <f t="shared" si="110"/>
        <v>42213836.429865152</v>
      </c>
      <c r="EA42" s="132">
        <f t="shared" si="110"/>
        <v>39496314.744107172</v>
      </c>
      <c r="EB42" s="132">
        <f t="shared" si="110"/>
        <v>38514776.499386773</v>
      </c>
      <c r="EC42" s="132">
        <f t="shared" si="110"/>
        <v>37029905.791283101</v>
      </c>
      <c r="ED42" s="113" t="s">
        <v>1</v>
      </c>
    </row>
    <row r="43" spans="1:134" x14ac:dyDescent="0.2">
      <c r="A43" s="115" t="s">
        <v>3</v>
      </c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699">
        <v>960772.07456443564</v>
      </c>
      <c r="BA43" s="699">
        <v>1180105.7839088824</v>
      </c>
      <c r="BB43" s="699">
        <v>1161482.7184283454</v>
      </c>
      <c r="BC43" s="699">
        <v>1878844.9995798795</v>
      </c>
      <c r="BD43" s="699">
        <v>1629749.5873894508</v>
      </c>
      <c r="BE43" s="699">
        <v>2117305.144474484</v>
      </c>
      <c r="BF43" s="699">
        <v>1382356.2454487716</v>
      </c>
      <c r="BG43" s="699">
        <v>779964.98741522571</v>
      </c>
      <c r="BH43" s="699">
        <v>596616.29683173238</v>
      </c>
      <c r="BI43" s="699">
        <v>653500.05366307858</v>
      </c>
      <c r="BJ43" s="699">
        <v>475368.75942799874</v>
      </c>
      <c r="BK43" s="699">
        <v>198593.29688115322</v>
      </c>
      <c r="BL43" s="699">
        <v>139299.01975596588</v>
      </c>
      <c r="BM43" s="699">
        <v>137603.50376397494</v>
      </c>
      <c r="BN43" s="699">
        <v>146922.94771951952</v>
      </c>
      <c r="BO43" s="699">
        <v>179555.22230602251</v>
      </c>
      <c r="BP43" s="699">
        <v>263183.63000000012</v>
      </c>
      <c r="BQ43" s="699">
        <v>210872.92999999993</v>
      </c>
      <c r="BR43" s="699">
        <v>198148.77532420069</v>
      </c>
      <c r="BS43" s="699">
        <v>102098.82290222251</v>
      </c>
      <c r="BT43" s="699">
        <v>125079.5175362695</v>
      </c>
      <c r="BU43" s="699">
        <v>193607.99000000054</v>
      </c>
      <c r="BV43" s="699">
        <v>256230.94233787837</v>
      </c>
      <c r="BW43" s="699">
        <v>104389.33511070494</v>
      </c>
      <c r="BX43" s="699">
        <v>83506.938807015642</v>
      </c>
      <c r="BY43" s="699">
        <v>171907.83680049784</v>
      </c>
      <c r="BZ43" s="699">
        <v>119979.73468063772</v>
      </c>
      <c r="CA43" s="699">
        <v>117804.39846661317</v>
      </c>
      <c r="CB43" s="699">
        <v>73628.410232557973</v>
      </c>
      <c r="CC43" s="699">
        <v>115456.83972332107</v>
      </c>
      <c r="CD43" s="699">
        <v>108032.8423629677</v>
      </c>
      <c r="CE43" s="699">
        <v>267402.99000000017</v>
      </c>
      <c r="CF43" s="699">
        <v>403646.39355475421</v>
      </c>
      <c r="CG43" s="699">
        <v>411033.31824536307</v>
      </c>
      <c r="CH43" s="699">
        <v>222232.40799018124</v>
      </c>
      <c r="CI43" s="699">
        <v>339234.07292071957</v>
      </c>
      <c r="CJ43" s="699">
        <v>218144.36117795028</v>
      </c>
      <c r="CK43" s="699">
        <v>418634.84000000008</v>
      </c>
      <c r="CL43" s="699">
        <v>236448.76000000004</v>
      </c>
      <c r="CM43" s="699">
        <v>197511.29000000033</v>
      </c>
      <c r="CN43" s="699">
        <v>279793.05999999982</v>
      </c>
      <c r="CO43" s="699">
        <v>444109.39999999944</v>
      </c>
      <c r="CP43" s="699">
        <v>618311.15000000037</v>
      </c>
      <c r="CQ43" s="699">
        <v>522041.16999999975</v>
      </c>
      <c r="CR43" s="699">
        <v>550125.00999999943</v>
      </c>
      <c r="CS43" s="699">
        <v>352470.32000000007</v>
      </c>
      <c r="CT43" s="704">
        <f t="shared" ref="CT43:DS43" si="111">CS43/CS38*CT38</f>
        <v>360873.90208038589</v>
      </c>
      <c r="CU43" s="704">
        <f t="shared" si="111"/>
        <v>374239.11443872878</v>
      </c>
      <c r="CV43" s="704">
        <f t="shared" si="111"/>
        <v>358489.12254792242</v>
      </c>
      <c r="CW43" s="704">
        <f t="shared" si="111"/>
        <v>357696.02111797943</v>
      </c>
      <c r="CX43" s="704">
        <f t="shared" si="111"/>
        <v>333948.69566611171</v>
      </c>
      <c r="CY43" s="704">
        <f t="shared" si="111"/>
        <v>289965.42851800052</v>
      </c>
      <c r="CZ43" s="704">
        <f t="shared" si="111"/>
        <v>340756.474870103</v>
      </c>
      <c r="DA43" s="704">
        <f t="shared" si="111"/>
        <v>418109.41424182727</v>
      </c>
      <c r="DB43" s="704">
        <f t="shared" si="111"/>
        <v>465597.55513426953</v>
      </c>
      <c r="DC43" s="704">
        <f t="shared" si="111"/>
        <v>438680.86713086878</v>
      </c>
      <c r="DD43" s="704">
        <f t="shared" si="111"/>
        <v>428746.00412281905</v>
      </c>
      <c r="DE43" s="704">
        <f t="shared" si="111"/>
        <v>413619.27804298035</v>
      </c>
      <c r="DF43" s="704">
        <f t="shared" si="111"/>
        <v>451092.37760048232</v>
      </c>
      <c r="DG43" s="704">
        <f t="shared" si="111"/>
        <v>467798.89304841112</v>
      </c>
      <c r="DH43" s="704">
        <f t="shared" si="111"/>
        <v>448111.40318490303</v>
      </c>
      <c r="DI43" s="704">
        <f t="shared" si="111"/>
        <v>447120.02639747417</v>
      </c>
      <c r="DJ43" s="704">
        <f t="shared" si="111"/>
        <v>417435.86958263966</v>
      </c>
      <c r="DK43" s="704">
        <f t="shared" si="111"/>
        <v>362456.7856475006</v>
      </c>
      <c r="DL43" s="704">
        <f t="shared" si="111"/>
        <v>425945.59358762874</v>
      </c>
      <c r="DM43" s="704">
        <f t="shared" si="111"/>
        <v>522636.76780228416</v>
      </c>
      <c r="DN43" s="704">
        <f t="shared" si="111"/>
        <v>581996.94391783699</v>
      </c>
      <c r="DO43" s="704">
        <f t="shared" si="111"/>
        <v>548351.08391358599</v>
      </c>
      <c r="DP43" s="704">
        <f t="shared" si="111"/>
        <v>535932.50515352376</v>
      </c>
      <c r="DQ43" s="704">
        <f t="shared" si="111"/>
        <v>517024.0975537253</v>
      </c>
      <c r="DR43" s="704">
        <f t="shared" si="111"/>
        <v>541310.8531205788</v>
      </c>
      <c r="DS43" s="704">
        <f t="shared" si="111"/>
        <v>561358.67165809311</v>
      </c>
      <c r="DT43" s="704">
        <f t="shared" ref="DT43:DT44" si="112">DS43/DS38*DT38</f>
        <v>537733.68382188352</v>
      </c>
      <c r="DU43" s="704">
        <f t="shared" ref="DU43:DU44" si="113">DT43/DT38*DU38</f>
        <v>536544.03167696879</v>
      </c>
      <c r="DV43" s="704">
        <f t="shared" ref="DV43:DV44" si="114">DU43/DU38*DV38</f>
        <v>500923.04349916737</v>
      </c>
      <c r="DW43" s="704">
        <f t="shared" ref="DW43:DW44" si="115">DV43/DV38*DW38</f>
        <v>434948.14277700055</v>
      </c>
      <c r="DX43" s="704">
        <f t="shared" ref="DX43:DX44" si="116">DW43/DW38*DX38</f>
        <v>511134.7123051543</v>
      </c>
      <c r="DY43" s="704">
        <f t="shared" ref="DY43:DY44" si="117">DX43/DX38*DY38</f>
        <v>627164.12136274087</v>
      </c>
      <c r="DZ43" s="704">
        <f t="shared" ref="DZ43:DZ44" si="118">DY43/DY38*DZ38</f>
        <v>698396.33270140411</v>
      </c>
      <c r="EA43" s="704">
        <f t="shared" ref="EA43:EA44" si="119">DZ43/DZ38*EA38</f>
        <v>658021.30069630302</v>
      </c>
      <c r="EB43" s="704">
        <f t="shared" ref="EB43:EB44" si="120">EA43/EA38*EB38</f>
        <v>643119.00618422835</v>
      </c>
      <c r="EC43" s="704">
        <f t="shared" ref="EC43:EC44" si="121">EB43/EB38*EC38</f>
        <v>620428.91706447012</v>
      </c>
      <c r="ED43" s="113" t="s">
        <v>1</v>
      </c>
    </row>
    <row r="44" spans="1:134" x14ac:dyDescent="0.2">
      <c r="A44" s="115" t="s">
        <v>4</v>
      </c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29"/>
      <c r="AZ44" s="699">
        <v>3132765.9254355645</v>
      </c>
      <c r="BA44" s="699">
        <v>4339081.4305708194</v>
      </c>
      <c r="BB44" s="699">
        <v>4355281.8920463836</v>
      </c>
      <c r="BC44" s="699">
        <v>2912559.7024653051</v>
      </c>
      <c r="BD44" s="699">
        <v>5324066.9837838709</v>
      </c>
      <c r="BE44" s="699">
        <v>5061784.2949580271</v>
      </c>
      <c r="BF44" s="699">
        <v>9024195.7625187412</v>
      </c>
      <c r="BG44" s="699">
        <v>8277391.061816005</v>
      </c>
      <c r="BH44" s="699">
        <v>6656547.7988917707</v>
      </c>
      <c r="BI44" s="699">
        <v>7729670.6609270908</v>
      </c>
      <c r="BJ44" s="699">
        <v>8363230.4883694248</v>
      </c>
      <c r="BK44" s="699">
        <v>7156313.8806789303</v>
      </c>
      <c r="BL44" s="699">
        <v>7022111.0936133843</v>
      </c>
      <c r="BM44" s="699">
        <v>7815907.2349468591</v>
      </c>
      <c r="BN44" s="699">
        <v>8136675.2797009554</v>
      </c>
      <c r="BO44" s="699">
        <v>6020907.9583866317</v>
      </c>
      <c r="BP44" s="699">
        <v>6350776.2747642379</v>
      </c>
      <c r="BQ44" s="699">
        <v>7198305.9031753652</v>
      </c>
      <c r="BR44" s="699">
        <v>5551900.4393947972</v>
      </c>
      <c r="BS44" s="699">
        <v>5584592.1388385314</v>
      </c>
      <c r="BT44" s="699">
        <v>7544686.6597675132</v>
      </c>
      <c r="BU44" s="699">
        <v>7830571.4718596321</v>
      </c>
      <c r="BV44" s="699">
        <v>8261600.6661464414</v>
      </c>
      <c r="BW44" s="699">
        <v>8732766.7304653674</v>
      </c>
      <c r="BX44" s="699">
        <v>8098787.880905726</v>
      </c>
      <c r="BY44" s="699">
        <v>7351110.2546772603</v>
      </c>
      <c r="BZ44" s="699">
        <v>6390671.8649202734</v>
      </c>
      <c r="CA44" s="699">
        <v>5169084.9678547159</v>
      </c>
      <c r="CB44" s="699">
        <v>7376989.0651105139</v>
      </c>
      <c r="CC44" s="699">
        <v>8396610.0493402518</v>
      </c>
      <c r="CD44" s="699">
        <v>7479113.1453206902</v>
      </c>
      <c r="CE44" s="699">
        <v>8702327.0932711996</v>
      </c>
      <c r="CF44" s="699">
        <v>11041331.676714098</v>
      </c>
      <c r="CG44" s="699">
        <v>11266325.717952913</v>
      </c>
      <c r="CH44" s="699">
        <v>10768935.575814558</v>
      </c>
      <c r="CI44" s="699">
        <v>13780580.109752851</v>
      </c>
      <c r="CJ44" s="699">
        <v>16283896.546238251</v>
      </c>
      <c r="CK44" s="699">
        <v>12669575.369999999</v>
      </c>
      <c r="CL44" s="699">
        <v>11624734.35999991</v>
      </c>
      <c r="CM44" s="699">
        <v>11375143.879999988</v>
      </c>
      <c r="CN44" s="699">
        <v>13815387.989999974</v>
      </c>
      <c r="CO44" s="699">
        <v>15375279.659999998</v>
      </c>
      <c r="CP44" s="699">
        <v>17711508.799999963</v>
      </c>
      <c r="CQ44" s="699">
        <v>20663539.849999893</v>
      </c>
      <c r="CR44" s="699">
        <v>20888365.839999985</v>
      </c>
      <c r="CS44" s="699">
        <v>20955479.739999969</v>
      </c>
      <c r="CT44" s="704">
        <f t="shared" ref="CT44:DS44" si="122">CS44/CS39*CT39</f>
        <v>21708160.684704781</v>
      </c>
      <c r="CU44" s="704">
        <f t="shared" si="122"/>
        <v>22500075.24742819</v>
      </c>
      <c r="CV44" s="704">
        <f t="shared" si="122"/>
        <v>21118363.039287288</v>
      </c>
      <c r="CW44" s="704">
        <f t="shared" si="122"/>
        <v>21139443.008808203</v>
      </c>
      <c r="CX44" s="704">
        <f t="shared" si="122"/>
        <v>19651676.710686617</v>
      </c>
      <c r="CY44" s="704">
        <f t="shared" si="122"/>
        <v>17140449.246327721</v>
      </c>
      <c r="CZ44" s="704">
        <f t="shared" si="122"/>
        <v>20048336.144263759</v>
      </c>
      <c r="DA44" s="704">
        <f t="shared" si="122"/>
        <v>24837650.782631069</v>
      </c>
      <c r="DB44" s="704">
        <f t="shared" si="122"/>
        <v>27676960.064775839</v>
      </c>
      <c r="DC44" s="704">
        <f t="shared" si="122"/>
        <v>25892195.628940582</v>
      </c>
      <c r="DD44" s="704">
        <f t="shared" si="122"/>
        <v>25247771.662135039</v>
      </c>
      <c r="DE44" s="704">
        <f t="shared" si="122"/>
        <v>24272984.582812428</v>
      </c>
      <c r="DF44" s="704">
        <f t="shared" si="122"/>
        <v>27135200.855880968</v>
      </c>
      <c r="DG44" s="704">
        <f t="shared" si="122"/>
        <v>28125094.059285235</v>
      </c>
      <c r="DH44" s="704">
        <f t="shared" si="122"/>
        <v>26397953.799109101</v>
      </c>
      <c r="DI44" s="704">
        <f t="shared" si="122"/>
        <v>26424303.761010241</v>
      </c>
      <c r="DJ44" s="704">
        <f t="shared" si="122"/>
        <v>24564595.888358261</v>
      </c>
      <c r="DK44" s="704">
        <f t="shared" si="122"/>
        <v>21425561.557909641</v>
      </c>
      <c r="DL44" s="704">
        <f t="shared" si="122"/>
        <v>25060420.180329684</v>
      </c>
      <c r="DM44" s="704">
        <f t="shared" si="122"/>
        <v>31047063.478288833</v>
      </c>
      <c r="DN44" s="704">
        <f t="shared" si="122"/>
        <v>34596200.080969788</v>
      </c>
      <c r="DO44" s="704">
        <f t="shared" si="122"/>
        <v>32365244.536175724</v>
      </c>
      <c r="DP44" s="704">
        <f t="shared" si="122"/>
        <v>31559714.577668793</v>
      </c>
      <c r="DQ44" s="704">
        <f t="shared" si="122"/>
        <v>30341230.728515532</v>
      </c>
      <c r="DR44" s="704">
        <f t="shared" si="122"/>
        <v>32562241.027057167</v>
      </c>
      <c r="DS44" s="704">
        <f t="shared" si="122"/>
        <v>33750112.871142268</v>
      </c>
      <c r="DT44" s="704">
        <f t="shared" si="112"/>
        <v>31677544.558930915</v>
      </c>
      <c r="DU44" s="704">
        <f t="shared" si="113"/>
        <v>31709164.513212282</v>
      </c>
      <c r="DV44" s="704">
        <f t="shared" si="114"/>
        <v>29477515.066029906</v>
      </c>
      <c r="DW44" s="704">
        <f t="shared" si="115"/>
        <v>25710673.869491566</v>
      </c>
      <c r="DX44" s="704">
        <f t="shared" si="116"/>
        <v>30072504.216395617</v>
      </c>
      <c r="DY44" s="704">
        <f t="shared" si="117"/>
        <v>37256476.173946597</v>
      </c>
      <c r="DZ44" s="704">
        <f t="shared" si="118"/>
        <v>41515440.097163744</v>
      </c>
      <c r="EA44" s="704">
        <f t="shared" si="119"/>
        <v>38838293.443410866</v>
      </c>
      <c r="EB44" s="704">
        <f t="shared" si="120"/>
        <v>37871657.493202545</v>
      </c>
      <c r="EC44" s="704">
        <f t="shared" si="121"/>
        <v>36409476.874218628</v>
      </c>
      <c r="ED44" s="113" t="s">
        <v>1</v>
      </c>
    </row>
    <row r="45" spans="1:134" x14ac:dyDescent="0.2">
      <c r="A45" s="115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29"/>
      <c r="BR45" s="129"/>
      <c r="BS45" s="129"/>
      <c r="BT45" s="129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34"/>
      <c r="CT45" s="134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  <c r="DK45" s="129"/>
      <c r="DL45" s="129"/>
      <c r="DM45" s="129"/>
      <c r="DN45" s="129"/>
      <c r="DO45" s="129"/>
      <c r="DP45" s="129"/>
      <c r="DQ45" s="129"/>
      <c r="DR45" s="115"/>
      <c r="DS45" s="115"/>
      <c r="DT45" s="115"/>
      <c r="DU45" s="115"/>
      <c r="DV45" s="115"/>
      <c r="DW45" s="115"/>
      <c r="DX45" s="115"/>
      <c r="DY45" s="115"/>
      <c r="DZ45" s="115"/>
      <c r="EA45" s="115"/>
      <c r="EB45" s="115"/>
      <c r="EC45" s="115"/>
      <c r="ED45" s="113" t="s">
        <v>1</v>
      </c>
    </row>
    <row r="46" spans="1:134" x14ac:dyDescent="0.2">
      <c r="A46" s="330" t="s">
        <v>13</v>
      </c>
      <c r="B46" s="132">
        <f t="shared" ref="B46:AG46" si="123">B37-B42</f>
        <v>125801277</v>
      </c>
      <c r="C46" s="132">
        <f t="shared" si="123"/>
        <v>117591988.14285715</v>
      </c>
      <c r="D46" s="132">
        <f t="shared" si="123"/>
        <v>131474105.07654707</v>
      </c>
      <c r="E46" s="132">
        <f t="shared" si="123"/>
        <v>153050515.89540002</v>
      </c>
      <c r="F46" s="132">
        <f t="shared" si="123"/>
        <v>179400433.33977237</v>
      </c>
      <c r="G46" s="132">
        <f t="shared" si="123"/>
        <v>187093082</v>
      </c>
      <c r="H46" s="132">
        <f t="shared" si="123"/>
        <v>200855808</v>
      </c>
      <c r="I46" s="132">
        <f t="shared" si="123"/>
        <v>188073690</v>
      </c>
      <c r="J46" s="132">
        <f t="shared" si="123"/>
        <v>238058227</v>
      </c>
      <c r="K46" s="132">
        <f t="shared" si="123"/>
        <v>231416797</v>
      </c>
      <c r="L46" s="132">
        <f t="shared" si="123"/>
        <v>236573979.40440598</v>
      </c>
      <c r="M46" s="132">
        <f t="shared" si="123"/>
        <v>206956708</v>
      </c>
      <c r="N46" s="132">
        <f t="shared" si="123"/>
        <v>267373273.37521982</v>
      </c>
      <c r="O46" s="132">
        <f t="shared" si="123"/>
        <v>264719288.14665473</v>
      </c>
      <c r="P46" s="132">
        <f t="shared" si="123"/>
        <v>283434810.08928573</v>
      </c>
      <c r="Q46" s="132">
        <f t="shared" si="123"/>
        <v>289067754.60499275</v>
      </c>
      <c r="R46" s="132">
        <f t="shared" si="123"/>
        <v>237235024.92445996</v>
      </c>
      <c r="S46" s="132">
        <f t="shared" si="123"/>
        <v>210044782.54067129</v>
      </c>
      <c r="T46" s="132">
        <f t="shared" si="123"/>
        <v>177467661.28554741</v>
      </c>
      <c r="U46" s="132">
        <f t="shared" si="123"/>
        <v>216355590.70338711</v>
      </c>
      <c r="V46" s="132">
        <f t="shared" si="123"/>
        <v>248503020.056577</v>
      </c>
      <c r="W46" s="132">
        <f t="shared" si="123"/>
        <v>250931904.61582407</v>
      </c>
      <c r="X46" s="132">
        <f t="shared" si="123"/>
        <v>287594021.09927118</v>
      </c>
      <c r="Y46" s="132">
        <f t="shared" si="123"/>
        <v>179607287.64857143</v>
      </c>
      <c r="Z46" s="132">
        <f t="shared" si="123"/>
        <v>-57658.435714285712</v>
      </c>
      <c r="AA46" s="132">
        <f t="shared" si="123"/>
        <v>136921891.93964374</v>
      </c>
      <c r="AB46" s="132">
        <f t="shared" si="123"/>
        <v>142690668.28481713</v>
      </c>
      <c r="AC46" s="132">
        <f t="shared" si="123"/>
        <v>117074544.3179273</v>
      </c>
      <c r="AD46" s="132">
        <f t="shared" si="123"/>
        <v>195365436.44401971</v>
      </c>
      <c r="AE46" s="132">
        <f t="shared" si="123"/>
        <v>201002479.63522822</v>
      </c>
      <c r="AF46" s="132">
        <f t="shared" si="123"/>
        <v>181031352.84808806</v>
      </c>
      <c r="AG46" s="132">
        <f t="shared" si="123"/>
        <v>213180512.35820308</v>
      </c>
      <c r="AH46" s="132">
        <f t="shared" ref="AH46:BM46" si="124">AH37-AH42</f>
        <v>345947129.31792229</v>
      </c>
      <c r="AI46" s="132">
        <f t="shared" si="124"/>
        <v>298513083.91610336</v>
      </c>
      <c r="AJ46" s="132">
        <f t="shared" si="124"/>
        <v>373558250.51658595</v>
      </c>
      <c r="AK46" s="132">
        <f t="shared" si="124"/>
        <v>313364666.0534246</v>
      </c>
      <c r="AL46" s="132">
        <f t="shared" si="124"/>
        <v>215377578.62256399</v>
      </c>
      <c r="AM46" s="132">
        <f t="shared" si="124"/>
        <v>97482672</v>
      </c>
      <c r="AN46" s="132">
        <f t="shared" si="124"/>
        <v>215716322.66998249</v>
      </c>
      <c r="AO46" s="132">
        <f t="shared" si="124"/>
        <v>302543098.44999999</v>
      </c>
      <c r="AP46" s="132">
        <f t="shared" si="124"/>
        <v>295460512.42614979</v>
      </c>
      <c r="AQ46" s="132">
        <f t="shared" si="124"/>
        <v>278396589</v>
      </c>
      <c r="AR46" s="132">
        <f t="shared" si="124"/>
        <v>237256946.99999997</v>
      </c>
      <c r="AS46" s="132">
        <f t="shared" si="124"/>
        <v>286211689</v>
      </c>
      <c r="AT46" s="132">
        <f t="shared" si="124"/>
        <v>383839785.15441</v>
      </c>
      <c r="AU46" s="132">
        <f t="shared" si="124"/>
        <v>349338094.00000006</v>
      </c>
      <c r="AV46" s="132">
        <f t="shared" si="124"/>
        <v>357715759</v>
      </c>
      <c r="AW46" s="132">
        <f t="shared" si="124"/>
        <v>311293972.47457111</v>
      </c>
      <c r="AX46" s="132">
        <f t="shared" si="124"/>
        <v>310175608.45000011</v>
      </c>
      <c r="AY46" s="132">
        <f t="shared" si="124"/>
        <v>347669126</v>
      </c>
      <c r="AZ46" s="132">
        <f t="shared" si="124"/>
        <v>249625414.35678953</v>
      </c>
      <c r="BA46" s="132">
        <f t="shared" si="124"/>
        <v>289833178.84189141</v>
      </c>
      <c r="BB46" s="132">
        <f t="shared" si="124"/>
        <v>309342792.45887685</v>
      </c>
      <c r="BC46" s="132">
        <f t="shared" si="124"/>
        <v>318226365.2718057</v>
      </c>
      <c r="BD46" s="132">
        <f t="shared" si="124"/>
        <v>373037668.20530808</v>
      </c>
      <c r="BE46" s="132">
        <f t="shared" si="124"/>
        <v>403958892.68760884</v>
      </c>
      <c r="BF46" s="132">
        <f t="shared" si="124"/>
        <v>513092697.51928741</v>
      </c>
      <c r="BG46" s="132">
        <f t="shared" si="124"/>
        <v>462952935.31043202</v>
      </c>
      <c r="BH46" s="132">
        <f t="shared" si="124"/>
        <v>372709132.75374109</v>
      </c>
      <c r="BI46" s="132">
        <f t="shared" si="124"/>
        <v>412090440.25868887</v>
      </c>
      <c r="BJ46" s="132">
        <f t="shared" si="124"/>
        <v>379780977.45793903</v>
      </c>
      <c r="BK46" s="132">
        <f t="shared" si="124"/>
        <v>387711611.39840972</v>
      </c>
      <c r="BL46" s="132">
        <f t="shared" si="124"/>
        <v>293301261.37020713</v>
      </c>
      <c r="BM46" s="132">
        <f t="shared" si="124"/>
        <v>275734282.03754407</v>
      </c>
      <c r="BN46" s="132">
        <f t="shared" ref="BN46:CS46" si="125">BN37-BN42</f>
        <v>292396305.99650365</v>
      </c>
      <c r="BO46" s="132">
        <f t="shared" si="125"/>
        <v>283382372.33914256</v>
      </c>
      <c r="BP46" s="132">
        <f t="shared" si="125"/>
        <v>265616358.80509084</v>
      </c>
      <c r="BQ46" s="132">
        <f t="shared" si="125"/>
        <v>327030064.25738788</v>
      </c>
      <c r="BR46" s="132">
        <f t="shared" si="125"/>
        <v>295391614.27741581</v>
      </c>
      <c r="BS46" s="132">
        <f t="shared" si="125"/>
        <v>265599983.72715536</v>
      </c>
      <c r="BT46" s="132">
        <f t="shared" si="125"/>
        <v>277717494.54928416</v>
      </c>
      <c r="BU46" s="132">
        <f t="shared" si="125"/>
        <v>287475425.2452935</v>
      </c>
      <c r="BV46" s="132">
        <f t="shared" si="125"/>
        <v>298293133.78113633</v>
      </c>
      <c r="BW46" s="132">
        <f t="shared" si="125"/>
        <v>308797080.13009202</v>
      </c>
      <c r="BX46" s="132">
        <f t="shared" si="125"/>
        <v>294487171.96872741</v>
      </c>
      <c r="BY46" s="132">
        <f t="shared" si="125"/>
        <v>278592216.31786388</v>
      </c>
      <c r="BZ46" s="132">
        <f t="shared" si="125"/>
        <v>269607106.48196667</v>
      </c>
      <c r="CA46" s="132">
        <f t="shared" si="125"/>
        <v>236970353.88573283</v>
      </c>
      <c r="CB46" s="132">
        <f t="shared" si="125"/>
        <v>282800700.39149678</v>
      </c>
      <c r="CC46" s="132">
        <f t="shared" si="125"/>
        <v>288387207.48582393</v>
      </c>
      <c r="CD46" s="132">
        <f t="shared" si="125"/>
        <v>328170811.60230517</v>
      </c>
      <c r="CE46" s="132">
        <f t="shared" si="125"/>
        <v>376210142.87366998</v>
      </c>
      <c r="CF46" s="132">
        <f t="shared" si="125"/>
        <v>434497547.23175538</v>
      </c>
      <c r="CG46" s="132">
        <f t="shared" si="125"/>
        <v>542115896.68164158</v>
      </c>
      <c r="CH46" s="132">
        <f t="shared" si="125"/>
        <v>459077943.58657432</v>
      </c>
      <c r="CI46" s="132">
        <f t="shared" si="125"/>
        <v>452288959.70016521</v>
      </c>
      <c r="CJ46" s="132">
        <f t="shared" si="125"/>
        <v>443856586.94573599</v>
      </c>
      <c r="CK46" s="132">
        <f t="shared" si="125"/>
        <v>448066203.1400001</v>
      </c>
      <c r="CL46" s="132">
        <f t="shared" si="125"/>
        <v>376826619.63999927</v>
      </c>
      <c r="CM46" s="132">
        <f t="shared" si="125"/>
        <v>324480268.75999957</v>
      </c>
      <c r="CN46" s="132">
        <f t="shared" si="125"/>
        <v>421455377.47000051</v>
      </c>
      <c r="CO46" s="132">
        <f t="shared" si="125"/>
        <v>507023176.57999998</v>
      </c>
      <c r="CP46" s="132">
        <f t="shared" si="125"/>
        <v>615040444.42999983</v>
      </c>
      <c r="CQ46" s="132">
        <f t="shared" si="125"/>
        <v>660256615.85000086</v>
      </c>
      <c r="CR46" s="132">
        <f t="shared" si="125"/>
        <v>600687088.90000045</v>
      </c>
      <c r="CS46" s="132">
        <f t="shared" si="125"/>
        <v>583654906.26999974</v>
      </c>
      <c r="CT46" s="132">
        <f t="shared" ref="CT46:EC46" si="126">CT37-CT42</f>
        <v>604308212.63378978</v>
      </c>
      <c r="CU46" s="132">
        <f t="shared" si="126"/>
        <v>626368025.94984519</v>
      </c>
      <c r="CV46" s="132">
        <f t="shared" si="126"/>
        <v>588430732.15858877</v>
      </c>
      <c r="CW46" s="132">
        <f t="shared" si="126"/>
        <v>588934143.8540529</v>
      </c>
      <c r="CX46" s="132">
        <f t="shared" si="126"/>
        <v>547589804.84205496</v>
      </c>
      <c r="CY46" s="132">
        <f t="shared" si="126"/>
        <v>477519506.65412784</v>
      </c>
      <c r="CZ46" s="132">
        <f t="shared" si="126"/>
        <v>558647536.60538828</v>
      </c>
      <c r="DA46" s="132">
        <f t="shared" si="126"/>
        <v>691806550.83144271</v>
      </c>
      <c r="DB46" s="132">
        <f t="shared" si="126"/>
        <v>770867768.36854017</v>
      </c>
      <c r="DC46" s="132">
        <f t="shared" si="126"/>
        <v>721384594.21925247</v>
      </c>
      <c r="DD46" s="132">
        <f t="shared" si="126"/>
        <v>703501970.26614523</v>
      </c>
      <c r="DE46" s="132">
        <f t="shared" si="126"/>
        <v>676444638.13945353</v>
      </c>
      <c r="DF46" s="132">
        <f t="shared" si="126"/>
        <v>755385265.79223704</v>
      </c>
      <c r="DG46" s="132">
        <f t="shared" si="126"/>
        <v>782960032.43730652</v>
      </c>
      <c r="DH46" s="132">
        <f t="shared" si="126"/>
        <v>735538415.19823575</v>
      </c>
      <c r="DI46" s="132">
        <f t="shared" si="126"/>
        <v>736167679.8175658</v>
      </c>
      <c r="DJ46" s="132">
        <f t="shared" si="126"/>
        <v>684487256.05256855</v>
      </c>
      <c r="DK46" s="132">
        <f t="shared" si="126"/>
        <v>596899383.3176595</v>
      </c>
      <c r="DL46" s="132">
        <f t="shared" si="126"/>
        <v>698309420.75673509</v>
      </c>
      <c r="DM46" s="132">
        <f t="shared" si="126"/>
        <v>864758188.53930318</v>
      </c>
      <c r="DN46" s="132">
        <f t="shared" si="126"/>
        <v>963584710.460675</v>
      </c>
      <c r="DO46" s="132">
        <f t="shared" si="126"/>
        <v>901730742.77406549</v>
      </c>
      <c r="DP46" s="132">
        <f t="shared" si="126"/>
        <v>879377462.83268142</v>
      </c>
      <c r="DQ46" s="132">
        <f t="shared" si="126"/>
        <v>845555797.67431688</v>
      </c>
      <c r="DR46" s="132">
        <f t="shared" si="126"/>
        <v>906462318.95068455</v>
      </c>
      <c r="DS46" s="132">
        <f t="shared" si="126"/>
        <v>939552038.92476773</v>
      </c>
      <c r="DT46" s="132">
        <f t="shared" si="126"/>
        <v>882646098.23788285</v>
      </c>
      <c r="DU46" s="132">
        <f t="shared" si="126"/>
        <v>883401215.78107893</v>
      </c>
      <c r="DV46" s="132">
        <f t="shared" si="126"/>
        <v>821384707.26308215</v>
      </c>
      <c r="DW46" s="132">
        <f t="shared" si="126"/>
        <v>716279259.9811914</v>
      </c>
      <c r="DX46" s="132">
        <f t="shared" si="126"/>
        <v>837971304.90808201</v>
      </c>
      <c r="DY46" s="132">
        <f t="shared" si="126"/>
        <v>1037709826.2471642</v>
      </c>
      <c r="DZ46" s="132">
        <f t="shared" si="126"/>
        <v>1156301652.5528102</v>
      </c>
      <c r="EA46" s="132">
        <f t="shared" si="126"/>
        <v>1082076891.3288786</v>
      </c>
      <c r="EB46" s="132">
        <f t="shared" si="126"/>
        <v>1055252955.3992176</v>
      </c>
      <c r="EC46" s="132">
        <f t="shared" si="126"/>
        <v>1014666957.2091801</v>
      </c>
      <c r="ED46" s="113" t="s">
        <v>1</v>
      </c>
    </row>
    <row r="47" spans="1:134" x14ac:dyDescent="0.2">
      <c r="A47" s="698" t="s">
        <v>3</v>
      </c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>
        <f t="shared" ref="AZ47:CE47" si="127">AZ38-AZ43</f>
        <v>56354679.889340788</v>
      </c>
      <c r="BA47" s="129">
        <f t="shared" si="127"/>
        <v>61174392.22395993</v>
      </c>
      <c r="BB47" s="129">
        <f t="shared" si="127"/>
        <v>61968479.398360752</v>
      </c>
      <c r="BC47" s="129">
        <f t="shared" si="127"/>
        <v>110460350.36664441</v>
      </c>
      <c r="BD47" s="129">
        <f t="shared" si="127"/>
        <v>98808232.073956445</v>
      </c>
      <c r="BE47" s="129">
        <f t="shared" si="127"/>
        <v>118092505.13317162</v>
      </c>
      <c r="BF47" s="129">
        <f t="shared" si="127"/>
        <v>146078629.31799015</v>
      </c>
      <c r="BG47" s="129">
        <f t="shared" si="127"/>
        <v>111055209.63587551</v>
      </c>
      <c r="BH47" s="129">
        <f t="shared" si="127"/>
        <v>58641296.510690689</v>
      </c>
      <c r="BI47" s="129">
        <f t="shared" si="127"/>
        <v>62461495.666845806</v>
      </c>
      <c r="BJ47" s="129">
        <f t="shared" si="127"/>
        <v>38263858.887468778</v>
      </c>
      <c r="BK47" s="129">
        <f t="shared" si="127"/>
        <v>31852064.455909606</v>
      </c>
      <c r="BL47" s="129">
        <f t="shared" si="127"/>
        <v>32861632.388292208</v>
      </c>
      <c r="BM47" s="129">
        <f t="shared" si="127"/>
        <v>15007930.072862668</v>
      </c>
      <c r="BN47" s="129">
        <f t="shared" si="127"/>
        <v>12506854.475133361</v>
      </c>
      <c r="BO47" s="129">
        <f t="shared" si="127"/>
        <v>18016228.081381124</v>
      </c>
      <c r="BP47" s="129">
        <f t="shared" si="127"/>
        <v>26210902.50961107</v>
      </c>
      <c r="BQ47" s="129">
        <f t="shared" si="127"/>
        <v>51337489.827315532</v>
      </c>
      <c r="BR47" s="129">
        <f t="shared" si="127"/>
        <v>42224573.373376012</v>
      </c>
      <c r="BS47" s="129">
        <f t="shared" si="127"/>
        <v>25702084.027469877</v>
      </c>
      <c r="BT47" s="129">
        <f t="shared" si="127"/>
        <v>16908009.255458415</v>
      </c>
      <c r="BU47" s="129">
        <f t="shared" si="127"/>
        <v>30182213.010000095</v>
      </c>
      <c r="BV47" s="129">
        <f t="shared" si="127"/>
        <v>26949513.107160859</v>
      </c>
      <c r="BW47" s="129">
        <f t="shared" si="127"/>
        <v>21985032.490000028</v>
      </c>
      <c r="BX47" s="129">
        <f t="shared" si="127"/>
        <v>10012044.288044501</v>
      </c>
      <c r="BY47" s="129">
        <f t="shared" si="127"/>
        <v>20996323.729999959</v>
      </c>
      <c r="BZ47" s="129">
        <f t="shared" si="127"/>
        <v>29049862.460889407</v>
      </c>
      <c r="CA47" s="129">
        <f t="shared" si="127"/>
        <v>35597161.416921481</v>
      </c>
      <c r="CB47" s="129">
        <f t="shared" si="127"/>
        <v>24728968.423729159</v>
      </c>
      <c r="CC47" s="129">
        <f t="shared" si="127"/>
        <v>15298196.10693204</v>
      </c>
      <c r="CD47" s="129">
        <f t="shared" si="127"/>
        <v>35699023.78970772</v>
      </c>
      <c r="CE47" s="129">
        <f t="shared" si="127"/>
        <v>54695365.121644728</v>
      </c>
      <c r="CF47" s="129">
        <f t="shared" ref="CF47:DK47" si="128">CF38-CF43</f>
        <v>34715518.644081555</v>
      </c>
      <c r="CG47" s="129">
        <f t="shared" si="128"/>
        <v>70183297.514498338</v>
      </c>
      <c r="CH47" s="129">
        <f t="shared" si="128"/>
        <v>57606412.641970262</v>
      </c>
      <c r="CI47" s="129">
        <f t="shared" si="128"/>
        <v>54771013.429114297</v>
      </c>
      <c r="CJ47" s="129">
        <f t="shared" si="128"/>
        <v>25570132.10982709</v>
      </c>
      <c r="CK47" s="129">
        <f t="shared" si="128"/>
        <v>28897290.690000005</v>
      </c>
      <c r="CL47" s="129">
        <f t="shared" si="128"/>
        <v>19061733.139999993</v>
      </c>
      <c r="CM47" s="129">
        <f t="shared" si="128"/>
        <v>16456142.869999995</v>
      </c>
      <c r="CN47" s="129">
        <f t="shared" si="128"/>
        <v>22314867.679999996</v>
      </c>
      <c r="CO47" s="129">
        <f t="shared" si="128"/>
        <v>41074206.989999972</v>
      </c>
      <c r="CP47" s="129">
        <f t="shared" si="128"/>
        <v>71953565.539999947</v>
      </c>
      <c r="CQ47" s="129">
        <f t="shared" si="128"/>
        <v>54209409.170000024</v>
      </c>
      <c r="CR47" s="129">
        <f t="shared" si="128"/>
        <v>37852484.590000041</v>
      </c>
      <c r="CS47" s="129">
        <f t="shared" si="128"/>
        <v>25709118.759999748</v>
      </c>
      <c r="CT47" s="129">
        <f t="shared" si="128"/>
        <v>26322074.454294931</v>
      </c>
      <c r="CU47" s="129">
        <f t="shared" si="128"/>
        <v>27296930.526639558</v>
      </c>
      <c r="CV47" s="129">
        <f t="shared" si="128"/>
        <v>26148129.084323015</v>
      </c>
      <c r="CW47" s="129">
        <f t="shared" si="128"/>
        <v>26090280.415387914</v>
      </c>
      <c r="CX47" s="129">
        <f t="shared" si="128"/>
        <v>24358154.969266854</v>
      </c>
      <c r="CY47" s="129">
        <f t="shared" si="128"/>
        <v>21150023.746860422</v>
      </c>
      <c r="CZ47" s="129">
        <f t="shared" si="128"/>
        <v>24854713.102295667</v>
      </c>
      <c r="DA47" s="129">
        <f t="shared" si="128"/>
        <v>30496821.932175923</v>
      </c>
      <c r="DB47" s="129">
        <f t="shared" si="128"/>
        <v>33960597.985420346</v>
      </c>
      <c r="DC47" s="129">
        <f t="shared" si="128"/>
        <v>31997299.831677102</v>
      </c>
      <c r="DD47" s="129">
        <f t="shared" si="128"/>
        <v>31272652.794904534</v>
      </c>
      <c r="DE47" s="129">
        <f t="shared" si="128"/>
        <v>30169312.243460208</v>
      </c>
      <c r="DF47" s="129">
        <f t="shared" si="128"/>
        <v>32902593.067868657</v>
      </c>
      <c r="DG47" s="129">
        <f t="shared" si="128"/>
        <v>34121163.158299454</v>
      </c>
      <c r="DH47" s="129">
        <f t="shared" si="128"/>
        <v>32685161.35540377</v>
      </c>
      <c r="DI47" s="129">
        <f t="shared" si="128"/>
        <v>32612850.519234881</v>
      </c>
      <c r="DJ47" s="129">
        <f t="shared" si="128"/>
        <v>30447693.71158357</v>
      </c>
      <c r="DK47" s="129">
        <f t="shared" si="128"/>
        <v>26437529.683575526</v>
      </c>
      <c r="DL47" s="129">
        <f t="shared" ref="DL47:EC47" si="129">DL38-DL43</f>
        <v>31068391.377869584</v>
      </c>
      <c r="DM47" s="129">
        <f t="shared" si="129"/>
        <v>38121027.41521991</v>
      </c>
      <c r="DN47" s="129">
        <f t="shared" si="129"/>
        <v>42450747.481775433</v>
      </c>
      <c r="DO47" s="129">
        <f t="shared" si="129"/>
        <v>39996624.789596379</v>
      </c>
      <c r="DP47" s="129">
        <f t="shared" si="129"/>
        <v>39090815.99363067</v>
      </c>
      <c r="DQ47" s="129">
        <f t="shared" si="129"/>
        <v>37711640.304325253</v>
      </c>
      <c r="DR47" s="129">
        <f t="shared" si="129"/>
        <v>39483111.681442395</v>
      </c>
      <c r="DS47" s="129">
        <f t="shared" si="129"/>
        <v>40945395.789959334</v>
      </c>
      <c r="DT47" s="129">
        <f t="shared" si="129"/>
        <v>39222193.626484513</v>
      </c>
      <c r="DU47" s="129">
        <f t="shared" si="129"/>
        <v>39135420.623081848</v>
      </c>
      <c r="DV47" s="129">
        <f t="shared" si="129"/>
        <v>36537232.453900278</v>
      </c>
      <c r="DW47" s="129">
        <f t="shared" si="129"/>
        <v>31725035.620290626</v>
      </c>
      <c r="DX47" s="129">
        <f t="shared" si="129"/>
        <v>37282069.6534435</v>
      </c>
      <c r="DY47" s="129">
        <f t="shared" si="129"/>
        <v>45745232.898263894</v>
      </c>
      <c r="DZ47" s="129">
        <f t="shared" si="129"/>
        <v>50940896.978130512</v>
      </c>
      <c r="EA47" s="129">
        <f t="shared" si="129"/>
        <v>47995949.747515649</v>
      </c>
      <c r="EB47" s="129">
        <f t="shared" si="129"/>
        <v>46908979.192356795</v>
      </c>
      <c r="EC47" s="129">
        <f t="shared" si="129"/>
        <v>45253968.36519029</v>
      </c>
      <c r="ED47" s="113" t="s">
        <v>1</v>
      </c>
    </row>
    <row r="48" spans="1:134" x14ac:dyDescent="0.2">
      <c r="A48" s="698" t="s">
        <v>4</v>
      </c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29">
        <f t="shared" ref="AZ48:CE48" si="130">AZ39-AZ44</f>
        <v>193270734.46744874</v>
      </c>
      <c r="BA48" s="129">
        <f t="shared" si="130"/>
        <v>228658786.61793149</v>
      </c>
      <c r="BB48" s="129">
        <f t="shared" si="130"/>
        <v>247374313.06051609</v>
      </c>
      <c r="BC48" s="129">
        <f t="shared" si="130"/>
        <v>207766014.90516132</v>
      </c>
      <c r="BD48" s="129">
        <f t="shared" si="130"/>
        <v>274229436.13135159</v>
      </c>
      <c r="BE48" s="129">
        <f t="shared" si="130"/>
        <v>285866387.55443716</v>
      </c>
      <c r="BF48" s="129">
        <f t="shared" si="130"/>
        <v>367014068.20129722</v>
      </c>
      <c r="BG48" s="129">
        <f t="shared" si="130"/>
        <v>351897725.67455655</v>
      </c>
      <c r="BH48" s="129">
        <f t="shared" si="130"/>
        <v>314067836.2430504</v>
      </c>
      <c r="BI48" s="129">
        <f t="shared" si="130"/>
        <v>349628944.59184307</v>
      </c>
      <c r="BJ48" s="129">
        <f t="shared" si="130"/>
        <v>341517118.57047027</v>
      </c>
      <c r="BK48" s="129">
        <f t="shared" si="130"/>
        <v>355859546.94250011</v>
      </c>
      <c r="BL48" s="129">
        <f t="shared" si="130"/>
        <v>260439628.98191494</v>
      </c>
      <c r="BM48" s="129">
        <f t="shared" si="130"/>
        <v>260726351.96468139</v>
      </c>
      <c r="BN48" s="129">
        <f t="shared" si="130"/>
        <v>279889451.52137029</v>
      </c>
      <c r="BO48" s="129">
        <f t="shared" si="130"/>
        <v>265366144.25776145</v>
      </c>
      <c r="BP48" s="129">
        <f t="shared" si="130"/>
        <v>239405456.29547977</v>
      </c>
      <c r="BQ48" s="129">
        <f t="shared" si="130"/>
        <v>275692574.43007237</v>
      </c>
      <c r="BR48" s="129">
        <f t="shared" si="130"/>
        <v>253167040.90403977</v>
      </c>
      <c r="BS48" s="129">
        <f t="shared" si="130"/>
        <v>239897899.69968551</v>
      </c>
      <c r="BT48" s="129">
        <f t="shared" si="130"/>
        <v>260809485.29382575</v>
      </c>
      <c r="BU48" s="129">
        <f t="shared" si="130"/>
        <v>257293212.23529339</v>
      </c>
      <c r="BV48" s="129">
        <f t="shared" si="130"/>
        <v>271343620.67397547</v>
      </c>
      <c r="BW48" s="129">
        <f t="shared" si="130"/>
        <v>286812047.64009202</v>
      </c>
      <c r="BX48" s="129">
        <f t="shared" si="130"/>
        <v>284475127.6806829</v>
      </c>
      <c r="BY48" s="129">
        <f t="shared" si="130"/>
        <v>257595892.58786389</v>
      </c>
      <c r="BZ48" s="129">
        <f t="shared" si="130"/>
        <v>240557244.02107728</v>
      </c>
      <c r="CA48" s="129">
        <f t="shared" si="130"/>
        <v>201373192.46881133</v>
      </c>
      <c r="CB48" s="129">
        <f t="shared" si="130"/>
        <v>258071731.9677676</v>
      </c>
      <c r="CC48" s="129">
        <f t="shared" si="130"/>
        <v>273089011.37889194</v>
      </c>
      <c r="CD48" s="129">
        <f t="shared" si="130"/>
        <v>292471787.81259745</v>
      </c>
      <c r="CE48" s="129">
        <f t="shared" si="130"/>
        <v>321514777.75202525</v>
      </c>
      <c r="CF48" s="129">
        <f t="shared" ref="CF48:DK48" si="131">CF39-CF44</f>
        <v>399782028.58767378</v>
      </c>
      <c r="CG48" s="129">
        <f t="shared" si="131"/>
        <v>471932599.16714323</v>
      </c>
      <c r="CH48" s="129">
        <f t="shared" si="131"/>
        <v>401471530.9446041</v>
      </c>
      <c r="CI48" s="129">
        <f t="shared" si="131"/>
        <v>397517946.27105093</v>
      </c>
      <c r="CJ48" s="129">
        <f t="shared" si="131"/>
        <v>418286454.83590895</v>
      </c>
      <c r="CK48" s="129">
        <f t="shared" si="131"/>
        <v>419168912.45000005</v>
      </c>
      <c r="CL48" s="129">
        <f t="shared" si="131"/>
        <v>357764886.49999928</v>
      </c>
      <c r="CM48" s="129">
        <f t="shared" si="131"/>
        <v>308024125.88999963</v>
      </c>
      <c r="CN48" s="129">
        <f t="shared" si="131"/>
        <v>399140509.7900005</v>
      </c>
      <c r="CO48" s="129">
        <f t="shared" si="131"/>
        <v>465948969.58999997</v>
      </c>
      <c r="CP48" s="129">
        <f t="shared" si="131"/>
        <v>543086878.88999987</v>
      </c>
      <c r="CQ48" s="129">
        <f t="shared" si="131"/>
        <v>606047206.68000078</v>
      </c>
      <c r="CR48" s="129">
        <f t="shared" si="131"/>
        <v>562834604.31000042</v>
      </c>
      <c r="CS48" s="129">
        <f t="shared" si="131"/>
        <v>557945787.50999987</v>
      </c>
      <c r="CT48" s="129">
        <f t="shared" si="131"/>
        <v>577986138.17949486</v>
      </c>
      <c r="CU48" s="129">
        <f t="shared" si="131"/>
        <v>599071095.42320573</v>
      </c>
      <c r="CV48" s="129">
        <f t="shared" si="131"/>
        <v>562282603.07426572</v>
      </c>
      <c r="CW48" s="129">
        <f t="shared" si="131"/>
        <v>562843863.43866491</v>
      </c>
      <c r="CX48" s="129">
        <f t="shared" si="131"/>
        <v>523231649.87278813</v>
      </c>
      <c r="CY48" s="129">
        <f t="shared" si="131"/>
        <v>456369482.90726739</v>
      </c>
      <c r="CZ48" s="129">
        <f t="shared" si="131"/>
        <v>533792823.50309265</v>
      </c>
      <c r="DA48" s="129">
        <f t="shared" si="131"/>
        <v>661309728.89926684</v>
      </c>
      <c r="DB48" s="129">
        <f t="shared" si="131"/>
        <v>736907170.38311982</v>
      </c>
      <c r="DC48" s="129">
        <f t="shared" si="131"/>
        <v>689387294.38757539</v>
      </c>
      <c r="DD48" s="129">
        <f t="shared" si="131"/>
        <v>672229317.47124076</v>
      </c>
      <c r="DE48" s="129">
        <f t="shared" si="131"/>
        <v>646275325.89599335</v>
      </c>
      <c r="DF48" s="129">
        <f t="shared" si="131"/>
        <v>722482672.72436833</v>
      </c>
      <c r="DG48" s="129">
        <f t="shared" si="131"/>
        <v>748838869.27900708</v>
      </c>
      <c r="DH48" s="129">
        <f t="shared" si="131"/>
        <v>702853253.84283197</v>
      </c>
      <c r="DI48" s="129">
        <f t="shared" si="131"/>
        <v>703554829.2983309</v>
      </c>
      <c r="DJ48" s="129">
        <f t="shared" si="131"/>
        <v>654039562.34098494</v>
      </c>
      <c r="DK48" s="129">
        <f t="shared" si="131"/>
        <v>570461853.63408399</v>
      </c>
      <c r="DL48" s="129">
        <f t="shared" ref="DL48:EC48" si="132">DL39-DL44</f>
        <v>667241029.37886548</v>
      </c>
      <c r="DM48" s="129">
        <f t="shared" si="132"/>
        <v>826637161.12408328</v>
      </c>
      <c r="DN48" s="129">
        <f t="shared" si="132"/>
        <v>921133962.97889948</v>
      </c>
      <c r="DO48" s="129">
        <f t="shared" si="132"/>
        <v>861734117.98446906</v>
      </c>
      <c r="DP48" s="129">
        <f t="shared" si="132"/>
        <v>840286646.83905077</v>
      </c>
      <c r="DQ48" s="129">
        <f t="shared" si="132"/>
        <v>807844157.36999166</v>
      </c>
      <c r="DR48" s="129">
        <f t="shared" si="132"/>
        <v>866979207.26924217</v>
      </c>
      <c r="DS48" s="129">
        <f t="shared" si="132"/>
        <v>898606643.1348083</v>
      </c>
      <c r="DT48" s="129">
        <f t="shared" si="132"/>
        <v>843423904.61139834</v>
      </c>
      <c r="DU48" s="129">
        <f t="shared" si="132"/>
        <v>844265795.15799701</v>
      </c>
      <c r="DV48" s="129">
        <f t="shared" si="132"/>
        <v>784847474.80918181</v>
      </c>
      <c r="DW48" s="129">
        <f t="shared" si="132"/>
        <v>684554224.36090076</v>
      </c>
      <c r="DX48" s="129">
        <f t="shared" si="132"/>
        <v>800689235.25463855</v>
      </c>
      <c r="DY48" s="129">
        <f t="shared" si="132"/>
        <v>991964593.3489002</v>
      </c>
      <c r="DZ48" s="129">
        <f t="shared" si="132"/>
        <v>1105360755.5746796</v>
      </c>
      <c r="EA48" s="129">
        <f t="shared" si="132"/>
        <v>1034080941.5813631</v>
      </c>
      <c r="EB48" s="129">
        <f t="shared" si="132"/>
        <v>1008343976.2068609</v>
      </c>
      <c r="EC48" s="129">
        <f t="shared" si="132"/>
        <v>969412988.84398985</v>
      </c>
      <c r="ED48" s="113" t="s">
        <v>1</v>
      </c>
    </row>
    <row r="49" spans="1:134" x14ac:dyDescent="0.2">
      <c r="A49" s="698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29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  <c r="DK49" s="129"/>
      <c r="DL49" s="129"/>
      <c r="DM49" s="129"/>
      <c r="DN49" s="129"/>
      <c r="DO49" s="129"/>
      <c r="DP49" s="129"/>
      <c r="DQ49" s="129"/>
      <c r="DR49" s="115"/>
      <c r="DS49" s="115"/>
      <c r="DT49" s="115"/>
      <c r="DU49" s="115"/>
      <c r="DV49" s="115"/>
      <c r="DW49" s="115"/>
      <c r="DX49" s="115"/>
      <c r="DY49" s="115"/>
      <c r="DZ49" s="115"/>
      <c r="EA49" s="115"/>
      <c r="EB49" s="115"/>
      <c r="EC49" s="115"/>
      <c r="ED49" s="113" t="s">
        <v>1</v>
      </c>
    </row>
    <row r="50" spans="1:134" s="331" customFormat="1" x14ac:dyDescent="0.2">
      <c r="A50" s="700" t="s">
        <v>99</v>
      </c>
      <c r="B50" s="131">
        <f t="shared" ref="B50:AG50" si="133">B12-B26</f>
        <v>32077</v>
      </c>
      <c r="C50" s="131">
        <f t="shared" si="133"/>
        <v>28685</v>
      </c>
      <c r="D50" s="131">
        <f t="shared" si="133"/>
        <v>34758</v>
      </c>
      <c r="E50" s="131">
        <f t="shared" si="133"/>
        <v>39298</v>
      </c>
      <c r="F50" s="131">
        <f t="shared" si="133"/>
        <v>47222</v>
      </c>
      <c r="G50" s="131">
        <f t="shared" si="133"/>
        <v>49152</v>
      </c>
      <c r="H50" s="131">
        <f t="shared" si="133"/>
        <v>52716</v>
      </c>
      <c r="I50" s="131">
        <f t="shared" si="133"/>
        <v>52798</v>
      </c>
      <c r="J50" s="131">
        <f t="shared" si="133"/>
        <v>67323</v>
      </c>
      <c r="K50" s="131">
        <f t="shared" si="133"/>
        <v>62990</v>
      </c>
      <c r="L50" s="131">
        <f t="shared" si="133"/>
        <v>67278</v>
      </c>
      <c r="M50" s="131">
        <f t="shared" si="133"/>
        <v>53088</v>
      </c>
      <c r="N50" s="131">
        <f t="shared" si="133"/>
        <v>72387</v>
      </c>
      <c r="O50" s="131">
        <f t="shared" si="133"/>
        <v>75629</v>
      </c>
      <c r="P50" s="131">
        <f t="shared" si="133"/>
        <v>76373</v>
      </c>
      <c r="Q50" s="131">
        <f t="shared" si="133"/>
        <v>71613</v>
      </c>
      <c r="R50" s="131">
        <f t="shared" si="133"/>
        <v>63107</v>
      </c>
      <c r="S50" s="131">
        <f t="shared" si="133"/>
        <v>56070</v>
      </c>
      <c r="T50" s="131">
        <f t="shared" si="133"/>
        <v>45887</v>
      </c>
      <c r="U50" s="131">
        <f t="shared" si="133"/>
        <v>53361</v>
      </c>
      <c r="V50" s="131">
        <f t="shared" si="133"/>
        <v>66249</v>
      </c>
      <c r="W50" s="131">
        <f t="shared" si="133"/>
        <v>66221</v>
      </c>
      <c r="X50" s="131">
        <f t="shared" si="133"/>
        <v>82599</v>
      </c>
      <c r="Y50" s="131">
        <f t="shared" si="133"/>
        <v>53879</v>
      </c>
      <c r="Z50" s="131">
        <f t="shared" si="133"/>
        <v>-9</v>
      </c>
      <c r="AA50" s="131">
        <f t="shared" si="133"/>
        <v>39615</v>
      </c>
      <c r="AB50" s="131">
        <f t="shared" si="133"/>
        <v>42144</v>
      </c>
      <c r="AC50" s="131">
        <f t="shared" si="133"/>
        <v>23101</v>
      </c>
      <c r="AD50" s="131">
        <f t="shared" si="133"/>
        <v>42428</v>
      </c>
      <c r="AE50" s="131">
        <f t="shared" si="133"/>
        <v>37510</v>
      </c>
      <c r="AF50" s="131">
        <f t="shared" si="133"/>
        <v>38033</v>
      </c>
      <c r="AG50" s="131">
        <f t="shared" si="133"/>
        <v>52152</v>
      </c>
      <c r="AH50" s="131">
        <f t="shared" ref="AH50:BM50" si="134">AH12-AH26</f>
        <v>65623</v>
      </c>
      <c r="AI50" s="131">
        <f t="shared" si="134"/>
        <v>50097</v>
      </c>
      <c r="AJ50" s="131">
        <f t="shared" si="134"/>
        <v>68912</v>
      </c>
      <c r="AK50" s="131">
        <f t="shared" si="134"/>
        <v>58359</v>
      </c>
      <c r="AL50" s="131">
        <f t="shared" si="134"/>
        <v>39373</v>
      </c>
      <c r="AM50" s="131">
        <f t="shared" si="134"/>
        <v>20126</v>
      </c>
      <c r="AN50" s="131">
        <f t="shared" si="134"/>
        <v>44621</v>
      </c>
      <c r="AO50" s="131">
        <f t="shared" si="134"/>
        <v>64902</v>
      </c>
      <c r="AP50" s="131">
        <f t="shared" si="134"/>
        <v>67514</v>
      </c>
      <c r="AQ50" s="131">
        <f t="shared" si="134"/>
        <v>62399</v>
      </c>
      <c r="AR50" s="131">
        <f t="shared" si="134"/>
        <v>54021</v>
      </c>
      <c r="AS50" s="131">
        <f t="shared" si="134"/>
        <v>70785</v>
      </c>
      <c r="AT50" s="131">
        <f t="shared" si="134"/>
        <v>86904</v>
      </c>
      <c r="AU50" s="131">
        <f t="shared" si="134"/>
        <v>78350</v>
      </c>
      <c r="AV50" s="131">
        <f t="shared" si="134"/>
        <v>71272</v>
      </c>
      <c r="AW50" s="131">
        <f t="shared" si="134"/>
        <v>64414</v>
      </c>
      <c r="AX50" s="131">
        <f t="shared" si="134"/>
        <v>58747</v>
      </c>
      <c r="AY50" s="131">
        <f t="shared" si="134"/>
        <v>64291</v>
      </c>
      <c r="AZ50" s="131">
        <f t="shared" si="134"/>
        <v>42923</v>
      </c>
      <c r="BA50" s="131">
        <f t="shared" si="134"/>
        <v>52724</v>
      </c>
      <c r="BB50" s="131">
        <f t="shared" si="134"/>
        <v>55751</v>
      </c>
      <c r="BC50" s="131">
        <f t="shared" si="134"/>
        <v>60752</v>
      </c>
      <c r="BD50" s="131">
        <f t="shared" si="134"/>
        <v>56404</v>
      </c>
      <c r="BE50" s="131">
        <f t="shared" si="134"/>
        <v>61515</v>
      </c>
      <c r="BF50" s="131">
        <f t="shared" si="134"/>
        <v>77757</v>
      </c>
      <c r="BG50" s="131">
        <f t="shared" si="134"/>
        <v>68844</v>
      </c>
      <c r="BH50" s="131">
        <f t="shared" si="134"/>
        <v>54352</v>
      </c>
      <c r="BI50" s="131">
        <f t="shared" si="134"/>
        <v>63463</v>
      </c>
      <c r="BJ50" s="131">
        <f t="shared" si="134"/>
        <v>52095</v>
      </c>
      <c r="BK50" s="131">
        <f t="shared" si="134"/>
        <v>50869</v>
      </c>
      <c r="BL50" s="131">
        <f t="shared" si="134"/>
        <v>37278</v>
      </c>
      <c r="BM50" s="131">
        <f t="shared" si="134"/>
        <v>37858</v>
      </c>
      <c r="BN50" s="131">
        <f t="shared" ref="BN50:CS50" si="135">BN12-BN26</f>
        <v>41284</v>
      </c>
      <c r="BO50" s="131">
        <f t="shared" si="135"/>
        <v>41474</v>
      </c>
      <c r="BP50" s="131">
        <f t="shared" si="135"/>
        <v>34830</v>
      </c>
      <c r="BQ50" s="131">
        <f t="shared" si="135"/>
        <v>43285</v>
      </c>
      <c r="BR50" s="131">
        <f t="shared" si="135"/>
        <v>31222</v>
      </c>
      <c r="BS50" s="131">
        <f t="shared" si="135"/>
        <v>29041</v>
      </c>
      <c r="BT50" s="131">
        <f t="shared" si="135"/>
        <v>30017</v>
      </c>
      <c r="BU50" s="131">
        <f t="shared" si="135"/>
        <v>29941</v>
      </c>
      <c r="BV50" s="131">
        <f t="shared" si="135"/>
        <v>31452</v>
      </c>
      <c r="BW50" s="131">
        <f t="shared" si="135"/>
        <v>35266</v>
      </c>
      <c r="BX50" s="131">
        <f t="shared" si="135"/>
        <v>33841</v>
      </c>
      <c r="BY50" s="131">
        <f t="shared" si="135"/>
        <v>35750</v>
      </c>
      <c r="BZ50" s="131">
        <f t="shared" si="135"/>
        <v>31293</v>
      </c>
      <c r="CA50" s="131">
        <f t="shared" si="135"/>
        <v>27648</v>
      </c>
      <c r="CB50" s="131">
        <f t="shared" si="135"/>
        <v>29614</v>
      </c>
      <c r="CC50" s="131">
        <f t="shared" si="135"/>
        <v>32314</v>
      </c>
      <c r="CD50" s="131">
        <f t="shared" si="135"/>
        <v>41872</v>
      </c>
      <c r="CE50" s="131">
        <f t="shared" si="135"/>
        <v>47777</v>
      </c>
      <c r="CF50" s="131">
        <f t="shared" si="135"/>
        <v>44343</v>
      </c>
      <c r="CG50" s="131">
        <f t="shared" si="135"/>
        <v>56164</v>
      </c>
      <c r="CH50" s="131">
        <f t="shared" si="135"/>
        <v>48992</v>
      </c>
      <c r="CI50" s="131">
        <f t="shared" si="135"/>
        <v>51123</v>
      </c>
      <c r="CJ50" s="131">
        <f t="shared" si="135"/>
        <v>46922.368421052633</v>
      </c>
      <c r="CK50" s="131">
        <f t="shared" si="135"/>
        <v>47845</v>
      </c>
      <c r="CL50" s="131">
        <f t="shared" si="135"/>
        <v>44174</v>
      </c>
      <c r="CM50" s="131">
        <f t="shared" si="135"/>
        <v>38572</v>
      </c>
      <c r="CN50" s="131">
        <f t="shared" si="135"/>
        <v>45287</v>
      </c>
      <c r="CO50" s="131">
        <f t="shared" si="135"/>
        <v>56546</v>
      </c>
      <c r="CP50" s="131">
        <f t="shared" si="135"/>
        <v>62538</v>
      </c>
      <c r="CQ50" s="131">
        <f t="shared" si="135"/>
        <v>59086</v>
      </c>
      <c r="CR50" s="131">
        <f t="shared" si="135"/>
        <v>57416.564144000004</v>
      </c>
      <c r="CS50" s="131">
        <f t="shared" si="135"/>
        <v>54821.372687599993</v>
      </c>
      <c r="CT50" s="131">
        <f t="shared" ref="CT50:EC50" si="136">CT12-CT26</f>
        <v>65019.181533881332</v>
      </c>
      <c r="CU50" s="131">
        <f t="shared" si="136"/>
        <v>67399.727875252342</v>
      </c>
      <c r="CV50" s="131">
        <f t="shared" si="136"/>
        <v>63572.51181093786</v>
      </c>
      <c r="CW50" s="131">
        <f t="shared" si="136"/>
        <v>63586.353581892479</v>
      </c>
      <c r="CX50" s="131">
        <f t="shared" si="136"/>
        <v>59172.738679872913</v>
      </c>
      <c r="CY50" s="131">
        <f t="shared" si="136"/>
        <v>51554.807559096051</v>
      </c>
      <c r="CZ50" s="131">
        <f t="shared" si="136"/>
        <v>60370.007730844874</v>
      </c>
      <c r="DA50" s="131">
        <f t="shared" si="136"/>
        <v>74617.119789671589</v>
      </c>
      <c r="DB50" s="131">
        <f t="shared" si="136"/>
        <v>83133.681436905434</v>
      </c>
      <c r="DC50" s="131">
        <f t="shared" si="136"/>
        <v>77906.724150091221</v>
      </c>
      <c r="DD50" s="131">
        <f t="shared" si="136"/>
        <v>76010.115028125598</v>
      </c>
      <c r="DE50" s="131">
        <f t="shared" si="136"/>
        <v>73136.953943496788</v>
      </c>
      <c r="DF50" s="131">
        <f t="shared" si="136"/>
        <v>81273.976917351654</v>
      </c>
      <c r="DG50" s="131">
        <f t="shared" si="136"/>
        <v>84249.659844065434</v>
      </c>
      <c r="DH50" s="131">
        <f t="shared" si="136"/>
        <v>79465.639763672327</v>
      </c>
      <c r="DI50" s="131">
        <f t="shared" si="136"/>
        <v>79482.941977365583</v>
      </c>
      <c r="DJ50" s="131">
        <f t="shared" si="136"/>
        <v>73965.923349841149</v>
      </c>
      <c r="DK50" s="131">
        <f t="shared" si="136"/>
        <v>64443.509448870056</v>
      </c>
      <c r="DL50" s="131">
        <f t="shared" si="136"/>
        <v>75462.509663556091</v>
      </c>
      <c r="DM50" s="131">
        <f t="shared" si="136"/>
        <v>93271.399737089494</v>
      </c>
      <c r="DN50" s="131">
        <f t="shared" si="136"/>
        <v>103917.1017961318</v>
      </c>
      <c r="DO50" s="131">
        <f t="shared" si="136"/>
        <v>97383.405187614029</v>
      </c>
      <c r="DP50" s="131">
        <f t="shared" si="136"/>
        <v>95012.643785156994</v>
      </c>
      <c r="DQ50" s="131">
        <f t="shared" si="136"/>
        <v>91421.192429370974</v>
      </c>
      <c r="DR50" s="131">
        <f t="shared" si="136"/>
        <v>97528.772300822005</v>
      </c>
      <c r="DS50" s="131">
        <f t="shared" si="136"/>
        <v>101099.59181287851</v>
      </c>
      <c r="DT50" s="131">
        <f t="shared" si="136"/>
        <v>95358.767716406786</v>
      </c>
      <c r="DU50" s="131">
        <f t="shared" si="136"/>
        <v>95379.530372838708</v>
      </c>
      <c r="DV50" s="131">
        <f t="shared" si="136"/>
        <v>88759.10801980937</v>
      </c>
      <c r="DW50" s="131">
        <f t="shared" si="136"/>
        <v>77332.211338644061</v>
      </c>
      <c r="DX50" s="131">
        <f t="shared" si="136"/>
        <v>90555.011596267315</v>
      </c>
      <c r="DY50" s="131">
        <f t="shared" si="136"/>
        <v>111925.6796845074</v>
      </c>
      <c r="DZ50" s="131">
        <f t="shared" si="136"/>
        <v>124700.52215535815</v>
      </c>
      <c r="EA50" s="131">
        <f t="shared" si="136"/>
        <v>116860.08622513684</v>
      </c>
      <c r="EB50" s="131">
        <f t="shared" si="136"/>
        <v>114015.1725421884</v>
      </c>
      <c r="EC50" s="131">
        <f t="shared" si="136"/>
        <v>109705.43091524518</v>
      </c>
      <c r="ED50" s="113" t="s">
        <v>1</v>
      </c>
    </row>
    <row r="51" spans="1:134" x14ac:dyDescent="0.2">
      <c r="A51" s="698" t="s">
        <v>3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30">
        <f t="shared" ref="AZ51:CE51" si="137">AZ13-AZ27</f>
        <v>9341</v>
      </c>
      <c r="BA51" s="130">
        <f t="shared" si="137"/>
        <v>10836</v>
      </c>
      <c r="BB51" s="130">
        <f t="shared" si="137"/>
        <v>10741</v>
      </c>
      <c r="BC51" s="130">
        <f t="shared" si="137"/>
        <v>21716</v>
      </c>
      <c r="BD51" s="130">
        <f t="shared" si="137"/>
        <v>13663</v>
      </c>
      <c r="BE51" s="130">
        <f t="shared" si="137"/>
        <v>17135</v>
      </c>
      <c r="BF51" s="130">
        <f t="shared" si="137"/>
        <v>20872</v>
      </c>
      <c r="BG51" s="130">
        <f t="shared" si="137"/>
        <v>15455</v>
      </c>
      <c r="BH51" s="130">
        <f t="shared" si="137"/>
        <v>10422</v>
      </c>
      <c r="BI51" s="130">
        <f t="shared" si="137"/>
        <v>13085</v>
      </c>
      <c r="BJ51" s="130">
        <f t="shared" si="137"/>
        <v>4992</v>
      </c>
      <c r="BK51" s="130">
        <f t="shared" si="137"/>
        <v>4367</v>
      </c>
      <c r="BL51" s="130">
        <f t="shared" si="137"/>
        <v>5751</v>
      </c>
      <c r="BM51" s="130">
        <f t="shared" si="137"/>
        <v>3397</v>
      </c>
      <c r="BN51" s="130">
        <f t="shared" si="137"/>
        <v>2070</v>
      </c>
      <c r="BO51" s="130">
        <f t="shared" si="137"/>
        <v>3228</v>
      </c>
      <c r="BP51" s="130">
        <f t="shared" si="137"/>
        <v>5002</v>
      </c>
      <c r="BQ51" s="130">
        <f t="shared" si="137"/>
        <v>13021</v>
      </c>
      <c r="BR51" s="130">
        <f t="shared" si="137"/>
        <v>4133</v>
      </c>
      <c r="BS51" s="130">
        <f t="shared" si="137"/>
        <v>3173</v>
      </c>
      <c r="BT51" s="130">
        <f t="shared" si="137"/>
        <v>2802</v>
      </c>
      <c r="BU51" s="130">
        <f t="shared" si="137"/>
        <v>4872</v>
      </c>
      <c r="BV51" s="130">
        <f t="shared" si="137"/>
        <v>4197</v>
      </c>
      <c r="BW51" s="130">
        <f t="shared" si="137"/>
        <v>3294</v>
      </c>
      <c r="BX51" s="130">
        <f t="shared" si="137"/>
        <v>1962</v>
      </c>
      <c r="BY51" s="130">
        <f t="shared" si="137"/>
        <v>4442</v>
      </c>
      <c r="BZ51" s="130">
        <f t="shared" si="137"/>
        <v>4254</v>
      </c>
      <c r="CA51" s="130">
        <f t="shared" si="137"/>
        <v>4371</v>
      </c>
      <c r="CB51" s="130">
        <f t="shared" si="137"/>
        <v>2915</v>
      </c>
      <c r="CC51" s="130">
        <f t="shared" si="137"/>
        <v>2518</v>
      </c>
      <c r="CD51" s="130">
        <f t="shared" si="137"/>
        <v>7849</v>
      </c>
      <c r="CE51" s="130">
        <f t="shared" si="137"/>
        <v>12310</v>
      </c>
      <c r="CF51" s="130">
        <f t="shared" ref="CF51:DK51" si="138">CF13-CF27</f>
        <v>5936</v>
      </c>
      <c r="CG51" s="130">
        <f t="shared" si="138"/>
        <v>10228</v>
      </c>
      <c r="CH51" s="130">
        <f t="shared" si="138"/>
        <v>8948</v>
      </c>
      <c r="CI51" s="130">
        <f t="shared" si="138"/>
        <v>9093</v>
      </c>
      <c r="CJ51" s="130">
        <f t="shared" si="138"/>
        <v>3131</v>
      </c>
      <c r="CK51" s="130">
        <f t="shared" si="138"/>
        <v>3993</v>
      </c>
      <c r="CL51" s="130">
        <f t="shared" si="138"/>
        <v>2647</v>
      </c>
      <c r="CM51" s="130">
        <f t="shared" si="138"/>
        <v>3288</v>
      </c>
      <c r="CN51" s="130">
        <f t="shared" si="138"/>
        <v>2651</v>
      </c>
      <c r="CO51" s="130">
        <f t="shared" si="138"/>
        <v>6315</v>
      </c>
      <c r="CP51" s="130">
        <f t="shared" si="138"/>
        <v>7265</v>
      </c>
      <c r="CQ51" s="130">
        <f t="shared" si="138"/>
        <v>4475</v>
      </c>
      <c r="CR51" s="130">
        <f t="shared" si="138"/>
        <v>3627.5641440000018</v>
      </c>
      <c r="CS51" s="130">
        <f t="shared" si="138"/>
        <v>2407.3726875999901</v>
      </c>
      <c r="CT51" s="130">
        <f t="shared" si="138"/>
        <v>11886.117100300569</v>
      </c>
      <c r="CU51" s="130">
        <f t="shared" si="138"/>
        <v>12119.72476190335</v>
      </c>
      <c r="CV51" s="130">
        <f t="shared" si="138"/>
        <v>4162.4637885586353</v>
      </c>
      <c r="CW51" s="130">
        <f t="shared" si="138"/>
        <v>5314.574301463259</v>
      </c>
      <c r="CX51" s="130">
        <f t="shared" si="138"/>
        <v>3517.3880866327754</v>
      </c>
      <c r="CY51" s="130">
        <f t="shared" si="138"/>
        <v>4373.507073756602</v>
      </c>
      <c r="CZ51" s="130">
        <f t="shared" si="138"/>
        <v>3521.3700354100961</v>
      </c>
      <c r="DA51" s="130">
        <f t="shared" si="138"/>
        <v>8401.9119201454596</v>
      </c>
      <c r="DB51" s="130">
        <f t="shared" si="138"/>
        <v>9669.4989475923667</v>
      </c>
      <c r="DC51" s="130">
        <f t="shared" si="138"/>
        <v>5946.3768407980515</v>
      </c>
      <c r="DD51" s="130">
        <f t="shared" si="138"/>
        <v>4817.5795018019226</v>
      </c>
      <c r="DE51" s="130">
        <f t="shared" si="138"/>
        <v>3208.6180725719469</v>
      </c>
      <c r="DF51" s="130">
        <f t="shared" si="138"/>
        <v>14857.646375375713</v>
      </c>
      <c r="DG51" s="130">
        <f t="shared" si="138"/>
        <v>15149.655952379188</v>
      </c>
      <c r="DH51" s="130">
        <f t="shared" si="138"/>
        <v>5203.0797356982948</v>
      </c>
      <c r="DI51" s="130">
        <f t="shared" si="138"/>
        <v>6643.2178768290732</v>
      </c>
      <c r="DJ51" s="130">
        <f t="shared" si="138"/>
        <v>4396.735108290969</v>
      </c>
      <c r="DK51" s="130">
        <f t="shared" si="138"/>
        <v>5466.8838421957525</v>
      </c>
      <c r="DL51" s="130">
        <f t="shared" ref="DL51:EC51" si="139">DL13-DL27</f>
        <v>4401.7125442626202</v>
      </c>
      <c r="DM51" s="130">
        <f t="shared" si="139"/>
        <v>10502.389900181824</v>
      </c>
      <c r="DN51" s="130">
        <f t="shared" si="139"/>
        <v>12086.87368449046</v>
      </c>
      <c r="DO51" s="130">
        <f t="shared" si="139"/>
        <v>7432.9710509975648</v>
      </c>
      <c r="DP51" s="130">
        <f t="shared" si="139"/>
        <v>6021.9743772524025</v>
      </c>
      <c r="DQ51" s="130">
        <f t="shared" si="139"/>
        <v>4010.7725907149338</v>
      </c>
      <c r="DR51" s="130">
        <f t="shared" si="139"/>
        <v>17829.175650450856</v>
      </c>
      <c r="DS51" s="130">
        <f t="shared" si="139"/>
        <v>18179.587142855024</v>
      </c>
      <c r="DT51" s="130">
        <f t="shared" si="139"/>
        <v>6243.6956828379543</v>
      </c>
      <c r="DU51" s="130">
        <f t="shared" si="139"/>
        <v>7971.8614521948875</v>
      </c>
      <c r="DV51" s="130">
        <f t="shared" si="139"/>
        <v>5276.0821299491636</v>
      </c>
      <c r="DW51" s="130">
        <f t="shared" si="139"/>
        <v>6560.2606106349031</v>
      </c>
      <c r="DX51" s="130">
        <f t="shared" si="139"/>
        <v>5282.055053115143</v>
      </c>
      <c r="DY51" s="130">
        <f t="shared" si="139"/>
        <v>12602.867880218191</v>
      </c>
      <c r="DZ51" s="130">
        <f t="shared" si="139"/>
        <v>14504.248421388551</v>
      </c>
      <c r="EA51" s="130">
        <f t="shared" si="139"/>
        <v>8919.5652611970763</v>
      </c>
      <c r="EB51" s="130">
        <f t="shared" si="139"/>
        <v>7226.3692527028825</v>
      </c>
      <c r="EC51" s="130">
        <f t="shared" si="139"/>
        <v>4812.9271088579208</v>
      </c>
      <c r="ED51" s="113" t="s">
        <v>1</v>
      </c>
    </row>
    <row r="52" spans="1:134" x14ac:dyDescent="0.2">
      <c r="A52" s="698" t="s">
        <v>4</v>
      </c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30">
        <f t="shared" ref="AZ52:CE52" si="140">AZ14-AZ28</f>
        <v>33582</v>
      </c>
      <c r="BA52" s="130">
        <f t="shared" si="140"/>
        <v>41888</v>
      </c>
      <c r="BB52" s="130">
        <f t="shared" si="140"/>
        <v>45010</v>
      </c>
      <c r="BC52" s="130">
        <f t="shared" si="140"/>
        <v>39036</v>
      </c>
      <c r="BD52" s="130">
        <f t="shared" si="140"/>
        <v>42741</v>
      </c>
      <c r="BE52" s="130">
        <f t="shared" si="140"/>
        <v>44380</v>
      </c>
      <c r="BF52" s="130">
        <f t="shared" si="140"/>
        <v>56885</v>
      </c>
      <c r="BG52" s="130">
        <f t="shared" si="140"/>
        <v>53389</v>
      </c>
      <c r="BH52" s="130">
        <f t="shared" si="140"/>
        <v>43930</v>
      </c>
      <c r="BI52" s="130">
        <f t="shared" si="140"/>
        <v>50378</v>
      </c>
      <c r="BJ52" s="130">
        <f t="shared" si="140"/>
        <v>47103</v>
      </c>
      <c r="BK52" s="130">
        <f t="shared" si="140"/>
        <v>46502</v>
      </c>
      <c r="BL52" s="130">
        <f t="shared" si="140"/>
        <v>31527</v>
      </c>
      <c r="BM52" s="130">
        <f t="shared" si="140"/>
        <v>34461</v>
      </c>
      <c r="BN52" s="130">
        <f t="shared" si="140"/>
        <v>39214</v>
      </c>
      <c r="BO52" s="130">
        <f t="shared" si="140"/>
        <v>38246</v>
      </c>
      <c r="BP52" s="130">
        <f t="shared" si="140"/>
        <v>29828</v>
      </c>
      <c r="BQ52" s="130">
        <f t="shared" si="140"/>
        <v>30264</v>
      </c>
      <c r="BR52" s="130">
        <f t="shared" si="140"/>
        <v>27089</v>
      </c>
      <c r="BS52" s="130">
        <f t="shared" si="140"/>
        <v>25868</v>
      </c>
      <c r="BT52" s="130">
        <f t="shared" si="140"/>
        <v>27215</v>
      </c>
      <c r="BU52" s="130">
        <f t="shared" si="140"/>
        <v>25069</v>
      </c>
      <c r="BV52" s="130">
        <f t="shared" si="140"/>
        <v>27255</v>
      </c>
      <c r="BW52" s="130">
        <f t="shared" si="140"/>
        <v>31972</v>
      </c>
      <c r="BX52" s="130">
        <f t="shared" si="140"/>
        <v>31879</v>
      </c>
      <c r="BY52" s="130">
        <f t="shared" si="140"/>
        <v>31308</v>
      </c>
      <c r="BZ52" s="130">
        <f t="shared" si="140"/>
        <v>27039</v>
      </c>
      <c r="CA52" s="130">
        <f t="shared" si="140"/>
        <v>23277</v>
      </c>
      <c r="CB52" s="130">
        <f t="shared" si="140"/>
        <v>26699</v>
      </c>
      <c r="CC52" s="130">
        <f t="shared" si="140"/>
        <v>29796</v>
      </c>
      <c r="CD52" s="130">
        <f t="shared" si="140"/>
        <v>34023</v>
      </c>
      <c r="CE52" s="130">
        <f t="shared" si="140"/>
        <v>35467</v>
      </c>
      <c r="CF52" s="130">
        <f t="shared" ref="CF52:DK52" si="141">CF14-CF28</f>
        <v>38407</v>
      </c>
      <c r="CG52" s="130">
        <f t="shared" si="141"/>
        <v>45936</v>
      </c>
      <c r="CH52" s="130">
        <f t="shared" si="141"/>
        <v>40044</v>
      </c>
      <c r="CI52" s="130">
        <f t="shared" si="141"/>
        <v>42030</v>
      </c>
      <c r="CJ52" s="130">
        <f t="shared" si="141"/>
        <v>43791.368421052633</v>
      </c>
      <c r="CK52" s="130">
        <f t="shared" si="141"/>
        <v>43852</v>
      </c>
      <c r="CL52" s="130">
        <f t="shared" si="141"/>
        <v>41527</v>
      </c>
      <c r="CM52" s="130">
        <f t="shared" si="141"/>
        <v>35284</v>
      </c>
      <c r="CN52" s="130">
        <f t="shared" si="141"/>
        <v>42636</v>
      </c>
      <c r="CO52" s="130">
        <f t="shared" si="141"/>
        <v>50231</v>
      </c>
      <c r="CP52" s="130">
        <f t="shared" si="141"/>
        <v>55273</v>
      </c>
      <c r="CQ52" s="130">
        <f t="shared" si="141"/>
        <v>54611</v>
      </c>
      <c r="CR52" s="130">
        <f t="shared" si="141"/>
        <v>53789</v>
      </c>
      <c r="CS52" s="130">
        <f t="shared" si="141"/>
        <v>52414</v>
      </c>
      <c r="CT52" s="130">
        <f t="shared" si="141"/>
        <v>53133.064433580766</v>
      </c>
      <c r="CU52" s="130">
        <f t="shared" si="141"/>
        <v>55280.003113348997</v>
      </c>
      <c r="CV52" s="130">
        <f t="shared" si="141"/>
        <v>59410.048022379226</v>
      </c>
      <c r="CW52" s="130">
        <f t="shared" si="141"/>
        <v>58271.779280429211</v>
      </c>
      <c r="CX52" s="130">
        <f t="shared" si="141"/>
        <v>55655.350593240131</v>
      </c>
      <c r="CY52" s="130">
        <f t="shared" si="141"/>
        <v>47181.300485339445</v>
      </c>
      <c r="CZ52" s="130">
        <f t="shared" si="141"/>
        <v>56848.63769543478</v>
      </c>
      <c r="DA52" s="130">
        <f t="shared" si="141"/>
        <v>66215.20786952613</v>
      </c>
      <c r="DB52" s="130">
        <f t="shared" si="141"/>
        <v>73464.182489313069</v>
      </c>
      <c r="DC52" s="130">
        <f t="shared" si="141"/>
        <v>71960.347309293167</v>
      </c>
      <c r="DD52" s="130">
        <f t="shared" si="141"/>
        <v>71192.535526323671</v>
      </c>
      <c r="DE52" s="130">
        <f t="shared" si="141"/>
        <v>69928.335870924842</v>
      </c>
      <c r="DF52" s="130">
        <f t="shared" si="141"/>
        <v>66416.330541975956</v>
      </c>
      <c r="DG52" s="130">
        <f t="shared" si="141"/>
        <v>69100.00389168624</v>
      </c>
      <c r="DH52" s="130">
        <f t="shared" si="141"/>
        <v>74262.560027974032</v>
      </c>
      <c r="DI52" s="130">
        <f t="shared" si="141"/>
        <v>72839.724100536521</v>
      </c>
      <c r="DJ52" s="130">
        <f t="shared" si="141"/>
        <v>69569.188241550175</v>
      </c>
      <c r="DK52" s="130">
        <f t="shared" si="141"/>
        <v>58976.625606674308</v>
      </c>
      <c r="DL52" s="130">
        <f t="shared" ref="DL52:EC52" si="142">DL14-DL28</f>
        <v>71060.797119293464</v>
      </c>
      <c r="DM52" s="130">
        <f t="shared" si="142"/>
        <v>82769.009836907673</v>
      </c>
      <c r="DN52" s="130">
        <f t="shared" si="142"/>
        <v>91830.228111641336</v>
      </c>
      <c r="DO52" s="130">
        <f t="shared" si="142"/>
        <v>89950.434136616459</v>
      </c>
      <c r="DP52" s="130">
        <f t="shared" si="142"/>
        <v>88990.669407904599</v>
      </c>
      <c r="DQ52" s="130">
        <f t="shared" si="142"/>
        <v>87410.419838656046</v>
      </c>
      <c r="DR52" s="130">
        <f t="shared" si="142"/>
        <v>79699.596650371139</v>
      </c>
      <c r="DS52" s="130">
        <f t="shared" si="142"/>
        <v>82920.004670023496</v>
      </c>
      <c r="DT52" s="130">
        <f t="shared" si="142"/>
        <v>89115.072033568824</v>
      </c>
      <c r="DU52" s="130">
        <f t="shared" si="142"/>
        <v>87407.668920643817</v>
      </c>
      <c r="DV52" s="130">
        <f t="shared" si="142"/>
        <v>83483.025889860204</v>
      </c>
      <c r="DW52" s="130">
        <f t="shared" si="142"/>
        <v>70771.950728009164</v>
      </c>
      <c r="DX52" s="130">
        <f t="shared" si="142"/>
        <v>85272.956543152162</v>
      </c>
      <c r="DY52" s="130">
        <f t="shared" si="142"/>
        <v>99322.811804289202</v>
      </c>
      <c r="DZ52" s="130">
        <f t="shared" si="142"/>
        <v>110196.2737339696</v>
      </c>
      <c r="EA52" s="130">
        <f t="shared" si="142"/>
        <v>107940.52096393975</v>
      </c>
      <c r="EB52" s="130">
        <f t="shared" si="142"/>
        <v>106788.80328948551</v>
      </c>
      <c r="EC52" s="130">
        <f t="shared" si="142"/>
        <v>104892.50380638725</v>
      </c>
      <c r="ED52" s="113" t="s">
        <v>1</v>
      </c>
    </row>
    <row r="53" spans="1:134" x14ac:dyDescent="0.2">
      <c r="A53" s="698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  <c r="BP53" s="115"/>
      <c r="BQ53" s="115"/>
      <c r="BR53" s="115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 s="115"/>
      <c r="CH53" s="115"/>
      <c r="CI53" s="115"/>
      <c r="CJ53" s="115"/>
      <c r="CK53" s="115"/>
      <c r="CL53" s="115"/>
      <c r="CM53" s="115"/>
      <c r="CN53" s="115"/>
      <c r="CO53" s="115"/>
      <c r="CP53" s="115"/>
      <c r="CQ53" s="115"/>
      <c r="CR53" s="115"/>
      <c r="CS53" s="115"/>
      <c r="CT53" s="115"/>
      <c r="CU53" s="115"/>
      <c r="CV53" s="115"/>
      <c r="CW53" s="115"/>
      <c r="CX53" s="115"/>
      <c r="CY53" s="115"/>
      <c r="CZ53" s="115"/>
      <c r="DA53" s="115"/>
      <c r="DB53" s="115"/>
      <c r="DC53" s="115"/>
      <c r="DD53" s="115"/>
      <c r="DE53" s="115"/>
      <c r="DF53" s="115"/>
      <c r="DG53" s="115"/>
      <c r="DH53" s="115"/>
      <c r="DI53" s="115"/>
      <c r="DJ53" s="115"/>
      <c r="DK53" s="115"/>
      <c r="DL53" s="115"/>
      <c r="DM53" s="115"/>
      <c r="DN53" s="115"/>
      <c r="DO53" s="115"/>
      <c r="DP53" s="115"/>
      <c r="DQ53" s="115"/>
      <c r="DR53" s="115"/>
      <c r="DS53" s="115"/>
      <c r="DT53" s="115"/>
      <c r="DU53" s="115"/>
      <c r="DV53" s="115"/>
      <c r="DW53" s="115"/>
      <c r="DX53" s="115"/>
      <c r="DY53" s="115"/>
      <c r="DZ53" s="115"/>
      <c r="EA53" s="115"/>
      <c r="EB53" s="115"/>
      <c r="EC53" s="115"/>
      <c r="ED53" s="113" t="s">
        <v>1</v>
      </c>
    </row>
    <row r="54" spans="1:134" x14ac:dyDescent="0.2">
      <c r="A54" s="330" t="s">
        <v>18</v>
      </c>
      <c r="B54" s="131">
        <f t="shared" ref="B54:AG54" si="143">SUM(B55:B61)</f>
        <v>121416986</v>
      </c>
      <c r="C54" s="131">
        <f t="shared" si="143"/>
        <v>113891364.15000001</v>
      </c>
      <c r="D54" s="131">
        <f t="shared" si="143"/>
        <v>127864166.11290786</v>
      </c>
      <c r="E54" s="131">
        <f t="shared" si="143"/>
        <v>146796533.52163956</v>
      </c>
      <c r="F54" s="131">
        <f t="shared" si="143"/>
        <v>176001067.08562428</v>
      </c>
      <c r="G54" s="131">
        <f t="shared" si="143"/>
        <v>179070353.36078241</v>
      </c>
      <c r="H54" s="131">
        <f t="shared" si="143"/>
        <v>206515423.63476619</v>
      </c>
      <c r="I54" s="131">
        <f t="shared" si="143"/>
        <v>181559771.85094699</v>
      </c>
      <c r="J54" s="131">
        <f t="shared" si="143"/>
        <v>236317564.04896</v>
      </c>
      <c r="K54" s="131">
        <f t="shared" si="143"/>
        <v>237535026.09657136</v>
      </c>
      <c r="L54" s="131">
        <f t="shared" si="143"/>
        <v>235361550.33000001</v>
      </c>
      <c r="M54" s="131">
        <f t="shared" si="143"/>
        <v>204090153.28</v>
      </c>
      <c r="N54" s="131">
        <f t="shared" si="143"/>
        <v>263329564.23251396</v>
      </c>
      <c r="O54" s="131">
        <f t="shared" si="143"/>
        <v>262710994.85734957</v>
      </c>
      <c r="P54" s="131">
        <f t="shared" si="143"/>
        <v>278655499.19406545</v>
      </c>
      <c r="Q54" s="131">
        <f t="shared" si="143"/>
        <v>277761887.00624001</v>
      </c>
      <c r="R54" s="131">
        <f t="shared" si="143"/>
        <v>228422587.32104322</v>
      </c>
      <c r="S54" s="131">
        <f t="shared" si="143"/>
        <v>206629539.46676761</v>
      </c>
      <c r="T54" s="131">
        <f t="shared" si="143"/>
        <v>177669796.63337746</v>
      </c>
      <c r="U54" s="131">
        <f t="shared" si="143"/>
        <v>210652076.56234482</v>
      </c>
      <c r="V54" s="131">
        <f t="shared" si="143"/>
        <v>240873226.34043518</v>
      </c>
      <c r="W54" s="131">
        <f t="shared" si="143"/>
        <v>239639197.21116152</v>
      </c>
      <c r="X54" s="131">
        <f t="shared" si="143"/>
        <v>267818364.35730439</v>
      </c>
      <c r="Y54" s="131">
        <f t="shared" si="143"/>
        <v>171159136.70326135</v>
      </c>
      <c r="Z54" s="131">
        <f t="shared" si="143"/>
        <v>3899965.9901791238</v>
      </c>
      <c r="AA54" s="131">
        <f t="shared" si="143"/>
        <v>127450154.90000001</v>
      </c>
      <c r="AB54" s="131">
        <f t="shared" si="143"/>
        <v>138776110.11051407</v>
      </c>
      <c r="AC54" s="131">
        <f t="shared" si="143"/>
        <v>113929939.08771838</v>
      </c>
      <c r="AD54" s="131">
        <f t="shared" si="143"/>
        <v>187256254.47</v>
      </c>
      <c r="AE54" s="131">
        <f t="shared" si="143"/>
        <v>191816653.13999999</v>
      </c>
      <c r="AF54" s="131">
        <f t="shared" si="143"/>
        <v>176096920.86000001</v>
      </c>
      <c r="AG54" s="131">
        <f t="shared" si="143"/>
        <v>200342015.88999999</v>
      </c>
      <c r="AH54" s="131">
        <f t="shared" ref="AH54:BM54" si="144">SUM(AH55:AH61)</f>
        <v>333171935.37999398</v>
      </c>
      <c r="AI54" s="131">
        <f t="shared" si="144"/>
        <v>290929134.19999999</v>
      </c>
      <c r="AJ54" s="131">
        <f t="shared" si="144"/>
        <v>360362174.80000001</v>
      </c>
      <c r="AK54" s="131">
        <f t="shared" si="144"/>
        <v>300211587.19999999</v>
      </c>
      <c r="AL54" s="131">
        <f t="shared" si="144"/>
        <v>211485201.5</v>
      </c>
      <c r="AM54" s="131">
        <f t="shared" si="144"/>
        <v>96036857.077283368</v>
      </c>
      <c r="AN54" s="131">
        <f t="shared" si="144"/>
        <v>204669639</v>
      </c>
      <c r="AO54" s="131">
        <f t="shared" si="144"/>
        <v>291473345.41000003</v>
      </c>
      <c r="AP54" s="131">
        <f t="shared" si="144"/>
        <v>284269149.49000001</v>
      </c>
      <c r="AQ54" s="131">
        <f t="shared" si="144"/>
        <v>269815352.84090894</v>
      </c>
      <c r="AR54" s="131">
        <f t="shared" si="144"/>
        <v>228860155.81</v>
      </c>
      <c r="AS54" s="131">
        <f t="shared" si="144"/>
        <v>277948724</v>
      </c>
      <c r="AT54" s="131">
        <f t="shared" si="144"/>
        <v>373585567</v>
      </c>
      <c r="AU54" s="131">
        <f t="shared" si="144"/>
        <v>351570716</v>
      </c>
      <c r="AV54" s="131">
        <f t="shared" si="144"/>
        <v>366222411.39999998</v>
      </c>
      <c r="AW54" s="131">
        <f t="shared" si="144"/>
        <v>316072904</v>
      </c>
      <c r="AX54" s="131">
        <f t="shared" si="144"/>
        <v>318060369.88623065</v>
      </c>
      <c r="AY54" s="131">
        <f t="shared" si="144"/>
        <v>362159300.38</v>
      </c>
      <c r="AZ54" s="131">
        <f t="shared" si="144"/>
        <v>256240081.07081074</v>
      </c>
      <c r="BA54" s="131">
        <f t="shared" si="144"/>
        <v>280061626.97955954</v>
      </c>
      <c r="BB54" s="131">
        <f t="shared" si="144"/>
        <v>310914548.51442248</v>
      </c>
      <c r="BC54" s="131">
        <f t="shared" si="144"/>
        <v>338658595.76397133</v>
      </c>
      <c r="BD54" s="131">
        <f t="shared" si="144"/>
        <v>386113976.83713621</v>
      </c>
      <c r="BE54" s="131">
        <f t="shared" si="144"/>
        <v>409612018.49882078</v>
      </c>
      <c r="BF54" s="131">
        <f t="shared" si="144"/>
        <v>506082343.61624014</v>
      </c>
      <c r="BG54" s="131">
        <f t="shared" si="144"/>
        <v>461518252.96013737</v>
      </c>
      <c r="BH54" s="131">
        <f t="shared" si="144"/>
        <v>374920702.67855561</v>
      </c>
      <c r="BI54" s="131">
        <f t="shared" si="144"/>
        <v>404002973.85839206</v>
      </c>
      <c r="BJ54" s="131">
        <f t="shared" si="144"/>
        <v>364268062.11962599</v>
      </c>
      <c r="BK54" s="131">
        <f t="shared" si="144"/>
        <v>374677071.14427495</v>
      </c>
      <c r="BL54" s="131">
        <f t="shared" si="144"/>
        <v>279200842.48156905</v>
      </c>
      <c r="BM54" s="131">
        <f t="shared" si="144"/>
        <v>256477667.93000045</v>
      </c>
      <c r="BN54" s="131">
        <f t="shared" ref="BN54:CS54" si="145">SUM(BN55:BN61)</f>
        <v>274980159.74575835</v>
      </c>
      <c r="BO54" s="131">
        <f t="shared" si="145"/>
        <v>272148393.8546043</v>
      </c>
      <c r="BP54" s="131">
        <f t="shared" si="145"/>
        <v>250598286.66021693</v>
      </c>
      <c r="BQ54" s="131">
        <f t="shared" si="145"/>
        <v>311185868.47622514</v>
      </c>
      <c r="BR54" s="131">
        <f t="shared" si="145"/>
        <v>292185265.29954267</v>
      </c>
      <c r="BS54" s="131">
        <f t="shared" si="145"/>
        <v>276757707.00253946</v>
      </c>
      <c r="BT54" s="131">
        <f t="shared" si="145"/>
        <v>265807282.57459417</v>
      </c>
      <c r="BU54" s="131">
        <f t="shared" si="145"/>
        <v>271595161.18193054</v>
      </c>
      <c r="BV54" s="131">
        <f t="shared" si="145"/>
        <v>275055628.85867995</v>
      </c>
      <c r="BW54" s="131">
        <f t="shared" si="145"/>
        <v>282437190.97777611</v>
      </c>
      <c r="BX54" s="131">
        <f t="shared" si="145"/>
        <v>270676268.97096658</v>
      </c>
      <c r="BY54" s="131">
        <f t="shared" si="145"/>
        <v>265798544.46574375</v>
      </c>
      <c r="BZ54" s="131">
        <f t="shared" si="145"/>
        <v>253738461.4585025</v>
      </c>
      <c r="CA54" s="131">
        <f t="shared" si="145"/>
        <v>224109733.65058213</v>
      </c>
      <c r="CB54" s="131">
        <f t="shared" si="145"/>
        <v>264393635.05155018</v>
      </c>
      <c r="CC54" s="131">
        <f t="shared" si="145"/>
        <v>268393529.83140317</v>
      </c>
      <c r="CD54" s="131">
        <f t="shared" si="145"/>
        <v>308357700.69821143</v>
      </c>
      <c r="CE54" s="131">
        <f t="shared" si="145"/>
        <v>354188723.89264339</v>
      </c>
      <c r="CF54" s="131">
        <f t="shared" si="145"/>
        <v>403068188.12642056</v>
      </c>
      <c r="CG54" s="131">
        <f t="shared" si="145"/>
        <v>518223348.04349077</v>
      </c>
      <c r="CH54" s="131">
        <f t="shared" si="145"/>
        <v>425577433.93141842</v>
      </c>
      <c r="CI54" s="131">
        <f t="shared" si="145"/>
        <v>420392254.81617689</v>
      </c>
      <c r="CJ54" s="131">
        <f t="shared" si="145"/>
        <v>412077117.72259784</v>
      </c>
      <c r="CK54" s="131">
        <f t="shared" si="145"/>
        <v>416622063.97343439</v>
      </c>
      <c r="CL54" s="131">
        <f t="shared" si="145"/>
        <v>346406207.50009173</v>
      </c>
      <c r="CM54" s="131">
        <f t="shared" si="145"/>
        <v>303508525.64065212</v>
      </c>
      <c r="CN54" s="131">
        <f t="shared" si="145"/>
        <v>387082309.26802498</v>
      </c>
      <c r="CO54" s="131">
        <f t="shared" si="145"/>
        <v>471857531.27524769</v>
      </c>
      <c r="CP54" s="131">
        <f t="shared" si="145"/>
        <v>589968640.97073686</v>
      </c>
      <c r="CQ54" s="131">
        <f t="shared" si="145"/>
        <v>626000785.15201592</v>
      </c>
      <c r="CR54" s="131">
        <f t="shared" si="145"/>
        <v>555331919.23378873</v>
      </c>
      <c r="CS54" s="131">
        <f t="shared" si="145"/>
        <v>533442727.39853609</v>
      </c>
      <c r="CT54" s="131">
        <f t="shared" ref="CT54:DY54" si="146">SUM(CT55:CT61)</f>
        <v>564127540.90510178</v>
      </c>
      <c r="CU54" s="131">
        <f t="shared" si="146"/>
        <v>584720589.25136542</v>
      </c>
      <c r="CV54" s="131">
        <f t="shared" si="146"/>
        <v>549305759.85200882</v>
      </c>
      <c r="CW54" s="131">
        <f t="shared" si="146"/>
        <v>549775699.52168059</v>
      </c>
      <c r="CX54" s="131">
        <f t="shared" si="146"/>
        <v>511180360.57115853</v>
      </c>
      <c r="CY54" s="131">
        <f t="shared" si="146"/>
        <v>445769061.86488593</v>
      </c>
      <c r="CZ54" s="131">
        <f t="shared" si="146"/>
        <v>521502859.7482757</v>
      </c>
      <c r="DA54" s="131">
        <f t="shared" si="146"/>
        <v>645808082.93446696</v>
      </c>
      <c r="DB54" s="131">
        <f t="shared" si="146"/>
        <v>719612491.50899363</v>
      </c>
      <c r="DC54" s="131">
        <f t="shared" si="146"/>
        <v>673419471.51452112</v>
      </c>
      <c r="DD54" s="131">
        <f t="shared" si="146"/>
        <v>656725869.69893503</v>
      </c>
      <c r="DE54" s="131">
        <f t="shared" si="146"/>
        <v>631467589.37612057</v>
      </c>
      <c r="DF54" s="131">
        <f t="shared" si="146"/>
        <v>698517859.36447597</v>
      </c>
      <c r="DG54" s="131">
        <f t="shared" si="146"/>
        <v>724016724.43591392</v>
      </c>
      <c r="DH54" s="131">
        <f t="shared" si="146"/>
        <v>680165132.32589793</v>
      </c>
      <c r="DI54" s="131">
        <f t="shared" si="146"/>
        <v>680747024.23559415</v>
      </c>
      <c r="DJ54" s="131">
        <f t="shared" si="146"/>
        <v>632957239.85117936</v>
      </c>
      <c r="DK54" s="131">
        <f t="shared" si="146"/>
        <v>551963214.49789131</v>
      </c>
      <c r="DL54" s="131">
        <f t="shared" si="146"/>
        <v>645738835.33386528</v>
      </c>
      <c r="DM54" s="131">
        <f t="shared" si="146"/>
        <v>799656898.38132858</v>
      </c>
      <c r="DN54" s="131">
        <f t="shared" si="146"/>
        <v>891043497.6004082</v>
      </c>
      <c r="DO54" s="131">
        <f t="shared" si="146"/>
        <v>833846060.66557992</v>
      </c>
      <c r="DP54" s="131">
        <f t="shared" si="146"/>
        <v>813175594.9290601</v>
      </c>
      <c r="DQ54" s="131">
        <f t="shared" si="146"/>
        <v>781900114.43397081</v>
      </c>
      <c r="DR54" s="131">
        <f t="shared" si="146"/>
        <v>830331249.91829228</v>
      </c>
      <c r="DS54" s="131">
        <f t="shared" si="146"/>
        <v>860641862.91468501</v>
      </c>
      <c r="DT54" s="131">
        <f t="shared" si="146"/>
        <v>808515282.61401176</v>
      </c>
      <c r="DU54" s="131">
        <f t="shared" si="146"/>
        <v>809206980.08490384</v>
      </c>
      <c r="DV54" s="131">
        <f t="shared" si="146"/>
        <v>752399053.31644642</v>
      </c>
      <c r="DW54" s="131">
        <f t="shared" si="146"/>
        <v>656121099.35160899</v>
      </c>
      <c r="DX54" s="131">
        <f t="shared" si="146"/>
        <v>767592592.05108142</v>
      </c>
      <c r="DY54" s="131">
        <f t="shared" si="146"/>
        <v>950555670.17692983</v>
      </c>
      <c r="DZ54" s="131">
        <f t="shared" ref="DZ54:EC54" si="147">SUM(DZ55:DZ61)</f>
        <v>1059187322.3789196</v>
      </c>
      <c r="EA54" s="131">
        <f t="shared" si="147"/>
        <v>991196477.67034113</v>
      </c>
      <c r="EB54" s="131">
        <f t="shared" si="147"/>
        <v>966625404.18767679</v>
      </c>
      <c r="EC54" s="131">
        <f t="shared" si="147"/>
        <v>929448103.04478312</v>
      </c>
      <c r="ED54" s="113" t="s">
        <v>1</v>
      </c>
    </row>
    <row r="55" spans="1:134" x14ac:dyDescent="0.2">
      <c r="A55" s="698" t="s">
        <v>19</v>
      </c>
      <c r="B55" s="699">
        <v>117992804</v>
      </c>
      <c r="C55" s="699">
        <v>110975368.15000001</v>
      </c>
      <c r="D55" s="699">
        <v>124200177.11290786</v>
      </c>
      <c r="E55" s="699">
        <v>141628666.52163956</v>
      </c>
      <c r="F55" s="699">
        <v>169181175.08562428</v>
      </c>
      <c r="G55" s="699">
        <v>172383257.36078241</v>
      </c>
      <c r="H55" s="699">
        <v>198320011.63476619</v>
      </c>
      <c r="I55" s="699">
        <v>173295239.85094699</v>
      </c>
      <c r="J55" s="699">
        <v>228313919.04896</v>
      </c>
      <c r="K55" s="699">
        <v>229119154.09657136</v>
      </c>
      <c r="L55" s="699">
        <v>226487143.33000001</v>
      </c>
      <c r="M55" s="699">
        <v>195071101.28</v>
      </c>
      <c r="N55" s="699">
        <v>254131412.23251396</v>
      </c>
      <c r="O55" s="699">
        <v>252790626.85734957</v>
      </c>
      <c r="P55" s="699">
        <v>268510585.19406545</v>
      </c>
      <c r="Q55" s="699">
        <v>267128979.00624001</v>
      </c>
      <c r="R55" s="699">
        <v>220041647.32104322</v>
      </c>
      <c r="S55" s="699">
        <v>198432297.46676761</v>
      </c>
      <c r="T55" s="699">
        <v>165273335.63337746</v>
      </c>
      <c r="U55" s="699">
        <v>199195022.56234482</v>
      </c>
      <c r="V55" s="699">
        <v>232058749.05663463</v>
      </c>
      <c r="W55" s="699">
        <v>229983768.21116152</v>
      </c>
      <c r="X55" s="699">
        <v>258151654.35730439</v>
      </c>
      <c r="Y55" s="699">
        <v>163649273.17160183</v>
      </c>
      <c r="Z55" s="699">
        <v>-37759.9</v>
      </c>
      <c r="AA55" s="699">
        <v>122404134.90000001</v>
      </c>
      <c r="AB55" s="699">
        <v>134424220.11051407</v>
      </c>
      <c r="AC55" s="699">
        <v>107633783.08771838</v>
      </c>
      <c r="AD55" s="699">
        <v>174508190.47</v>
      </c>
      <c r="AE55" s="699">
        <v>181289523.13999999</v>
      </c>
      <c r="AF55" s="699">
        <v>167581008.86000001</v>
      </c>
      <c r="AG55" s="699">
        <v>189904633.88999999</v>
      </c>
      <c r="AH55" s="699">
        <v>319996659.37999398</v>
      </c>
      <c r="AI55" s="699">
        <v>280703240.19999999</v>
      </c>
      <c r="AJ55" s="699">
        <v>348346161.80000001</v>
      </c>
      <c r="AK55" s="699">
        <v>291065285.19999999</v>
      </c>
      <c r="AL55" s="699">
        <v>203719314.5</v>
      </c>
      <c r="AM55" s="699">
        <v>90688921.077283368</v>
      </c>
      <c r="AN55" s="699">
        <v>196353614</v>
      </c>
      <c r="AO55" s="699">
        <v>278939079</v>
      </c>
      <c r="AP55" s="699">
        <v>271579384</v>
      </c>
      <c r="AQ55" s="699">
        <v>257417002.86437947</v>
      </c>
      <c r="AR55" s="699">
        <v>219296725</v>
      </c>
      <c r="AS55" s="699">
        <v>269293459</v>
      </c>
      <c r="AT55" s="699">
        <v>363212766</v>
      </c>
      <c r="AU55" s="699">
        <v>341916143</v>
      </c>
      <c r="AV55" s="699">
        <v>355807422.39999998</v>
      </c>
      <c r="AW55" s="699">
        <v>304684916</v>
      </c>
      <c r="AX55" s="699">
        <v>307533643.88623065</v>
      </c>
      <c r="AY55" s="699">
        <v>350518202.38</v>
      </c>
      <c r="AZ55" s="699">
        <v>245845971.07081074</v>
      </c>
      <c r="BA55" s="699">
        <v>271737582.22999972</v>
      </c>
      <c r="BB55" s="699">
        <v>300099360.85534984</v>
      </c>
      <c r="BC55" s="699">
        <v>314897620.85500008</v>
      </c>
      <c r="BD55" s="699">
        <v>357799284.71000004</v>
      </c>
      <c r="BE55" s="699">
        <v>389141694.04249996</v>
      </c>
      <c r="BF55" s="699">
        <v>482644936.49249989</v>
      </c>
      <c r="BG55" s="699">
        <v>444620162.98600006</v>
      </c>
      <c r="BH55" s="699">
        <v>358531377.35499996</v>
      </c>
      <c r="BI55" s="699">
        <v>388713022.82999992</v>
      </c>
      <c r="BJ55" s="699">
        <v>354481417.48000008</v>
      </c>
      <c r="BK55" s="699">
        <v>363328859.94739991</v>
      </c>
      <c r="BL55" s="699">
        <v>268786922.40388799</v>
      </c>
      <c r="BM55" s="699">
        <v>245524294.65000004</v>
      </c>
      <c r="BN55" s="699">
        <v>258298685.53999999</v>
      </c>
      <c r="BO55" s="699">
        <v>259388219.10999995</v>
      </c>
      <c r="BP55" s="699">
        <v>240062045.97999999</v>
      </c>
      <c r="BQ55" s="699">
        <v>297963893.69</v>
      </c>
      <c r="BR55" s="699">
        <v>283359769.18000001</v>
      </c>
      <c r="BS55" s="699">
        <v>269378373.35000002</v>
      </c>
      <c r="BT55" s="699">
        <v>256807598.62</v>
      </c>
      <c r="BU55" s="699">
        <v>260236901.38416222</v>
      </c>
      <c r="BV55" s="699">
        <v>262641785.47779658</v>
      </c>
      <c r="BW55" s="699">
        <v>270746468.73095995</v>
      </c>
      <c r="BX55" s="699">
        <v>257956175.70409769</v>
      </c>
      <c r="BY55" s="699">
        <v>255861043.67427799</v>
      </c>
      <c r="BZ55" s="699">
        <v>244931866.20584536</v>
      </c>
      <c r="CA55" s="699">
        <v>217503572.85473439</v>
      </c>
      <c r="CB55" s="699">
        <v>254013835.96535218</v>
      </c>
      <c r="CC55" s="699">
        <v>256443387.53793275</v>
      </c>
      <c r="CD55" s="699">
        <v>296863337.46797419</v>
      </c>
      <c r="CE55" s="699">
        <v>342102492.3329736</v>
      </c>
      <c r="CF55" s="699">
        <v>389547059.1134761</v>
      </c>
      <c r="CG55" s="699">
        <v>502434642.39285237</v>
      </c>
      <c r="CH55" s="699">
        <v>412108438.58283293</v>
      </c>
      <c r="CI55" s="699">
        <v>404128237.59312814</v>
      </c>
      <c r="CJ55" s="699">
        <v>395901774.2749005</v>
      </c>
      <c r="CK55" s="699">
        <v>397292238.40424246</v>
      </c>
      <c r="CL55" s="699">
        <v>329772963.19216168</v>
      </c>
      <c r="CM55" s="699">
        <v>290767366.08455133</v>
      </c>
      <c r="CN55" s="699">
        <v>370642278.13929504</v>
      </c>
      <c r="CO55" s="699">
        <v>453652343.58497411</v>
      </c>
      <c r="CP55" s="699">
        <v>564653397.90890002</v>
      </c>
      <c r="CQ55" s="699">
        <v>594654291.90620005</v>
      </c>
      <c r="CR55" s="699">
        <v>520666706.11989993</v>
      </c>
      <c r="CS55" s="699">
        <v>499139313.11479998</v>
      </c>
      <c r="CT55" s="129">
        <f t="shared" ref="CT55:EC55" si="148">CT46*CT67</f>
        <v>531325341.35209507</v>
      </c>
      <c r="CU55" s="129">
        <f t="shared" si="148"/>
        <v>550720970.26342928</v>
      </c>
      <c r="CV55" s="129">
        <f t="shared" si="148"/>
        <v>517365399.12902009</v>
      </c>
      <c r="CW55" s="129">
        <f t="shared" si="148"/>
        <v>517808013.32048935</v>
      </c>
      <c r="CX55" s="129">
        <f t="shared" si="148"/>
        <v>481456869.02148128</v>
      </c>
      <c r="CY55" s="129">
        <f t="shared" si="148"/>
        <v>419849026.65726554</v>
      </c>
      <c r="CZ55" s="129">
        <f t="shared" si="148"/>
        <v>491179148.11831254</v>
      </c>
      <c r="DA55" s="129">
        <f t="shared" si="148"/>
        <v>608256422.94039369</v>
      </c>
      <c r="DB55" s="129">
        <f t="shared" si="148"/>
        <v>677769342.86668122</v>
      </c>
      <c r="DC55" s="129">
        <f t="shared" si="148"/>
        <v>634262298.20570099</v>
      </c>
      <c r="DD55" s="129">
        <f t="shared" si="148"/>
        <v>618539375.56868267</v>
      </c>
      <c r="DE55" s="129">
        <f t="shared" si="148"/>
        <v>594749782.89438379</v>
      </c>
      <c r="DF55" s="129">
        <f t="shared" si="148"/>
        <v>657515109.92321754</v>
      </c>
      <c r="DG55" s="129">
        <f t="shared" si="148"/>
        <v>681517200.70099378</v>
      </c>
      <c r="DH55" s="129">
        <f t="shared" si="148"/>
        <v>640239681.42216218</v>
      </c>
      <c r="DI55" s="129">
        <f t="shared" si="148"/>
        <v>640787416.48410523</v>
      </c>
      <c r="DJ55" s="129">
        <f t="shared" si="148"/>
        <v>595802875.41408288</v>
      </c>
      <c r="DK55" s="129">
        <f t="shared" si="148"/>
        <v>519563170.48836589</v>
      </c>
      <c r="DL55" s="129">
        <f t="shared" si="148"/>
        <v>607834195.79641151</v>
      </c>
      <c r="DM55" s="129">
        <f t="shared" si="148"/>
        <v>752717323.38873708</v>
      </c>
      <c r="DN55" s="129">
        <f t="shared" si="148"/>
        <v>838739561.79751778</v>
      </c>
      <c r="DO55" s="129">
        <f t="shared" si="148"/>
        <v>784899594.02955484</v>
      </c>
      <c r="DP55" s="129">
        <f t="shared" si="148"/>
        <v>765442477.26624477</v>
      </c>
      <c r="DQ55" s="129">
        <f t="shared" si="148"/>
        <v>736002856.33179986</v>
      </c>
      <c r="DR55" s="129">
        <f t="shared" si="148"/>
        <v>781127950.58878243</v>
      </c>
      <c r="DS55" s="129">
        <f t="shared" si="148"/>
        <v>809642434.4327805</v>
      </c>
      <c r="DT55" s="129">
        <f t="shared" si="148"/>
        <v>760604741.52952862</v>
      </c>
      <c r="DU55" s="129">
        <f t="shared" si="148"/>
        <v>761255450.78311706</v>
      </c>
      <c r="DV55" s="129">
        <f t="shared" si="148"/>
        <v>707813815.99193037</v>
      </c>
      <c r="DW55" s="129">
        <f t="shared" si="148"/>
        <v>617241046.54017866</v>
      </c>
      <c r="DX55" s="129">
        <f t="shared" si="148"/>
        <v>722107024.6061368</v>
      </c>
      <c r="DY55" s="129">
        <f t="shared" si="148"/>
        <v>894228180.18581998</v>
      </c>
      <c r="DZ55" s="129">
        <f t="shared" si="148"/>
        <v>996422599.41545129</v>
      </c>
      <c r="EA55" s="129">
        <f t="shared" si="148"/>
        <v>932460717.70711112</v>
      </c>
      <c r="EB55" s="129">
        <f t="shared" si="148"/>
        <v>909345662.9922986</v>
      </c>
      <c r="EC55" s="129">
        <f t="shared" si="148"/>
        <v>874371393.32217813</v>
      </c>
      <c r="ED55" s="113" t="s">
        <v>1</v>
      </c>
    </row>
    <row r="56" spans="1:134" x14ac:dyDescent="0.2">
      <c r="A56" s="698" t="s">
        <v>20</v>
      </c>
      <c r="B56" s="699">
        <v>1747</v>
      </c>
      <c r="C56" s="699">
        <v>1189</v>
      </c>
      <c r="D56" s="699">
        <v>1715</v>
      </c>
      <c r="E56" s="699">
        <v>17589</v>
      </c>
      <c r="F56" s="699">
        <v>105746</v>
      </c>
      <c r="G56" s="699">
        <v>60200</v>
      </c>
      <c r="H56" s="699">
        <v>43652</v>
      </c>
      <c r="I56" s="699">
        <v>8389</v>
      </c>
      <c r="J56" s="699">
        <v>18053</v>
      </c>
      <c r="K56" s="699">
        <v>8345</v>
      </c>
      <c r="L56" s="699">
        <v>491505</v>
      </c>
      <c r="M56" s="699">
        <v>385074</v>
      </c>
      <c r="N56" s="699">
        <v>408337</v>
      </c>
      <c r="O56" s="699">
        <v>657087</v>
      </c>
      <c r="P56" s="699">
        <v>564676</v>
      </c>
      <c r="Q56" s="699">
        <v>1203627</v>
      </c>
      <c r="R56" s="699">
        <v>614202</v>
      </c>
      <c r="S56" s="699">
        <v>118045</v>
      </c>
      <c r="T56" s="699">
        <v>867198</v>
      </c>
      <c r="U56" s="699">
        <v>811354</v>
      </c>
      <c r="V56" s="699">
        <v>876833</v>
      </c>
      <c r="W56" s="699">
        <v>917758</v>
      </c>
      <c r="X56" s="699">
        <v>1289927</v>
      </c>
      <c r="Y56" s="699">
        <v>372868</v>
      </c>
      <c r="Z56" s="699">
        <v>0</v>
      </c>
      <c r="AA56" s="699">
        <v>250682</v>
      </c>
      <c r="AB56" s="699">
        <v>380082</v>
      </c>
      <c r="AC56" s="699">
        <v>377444</v>
      </c>
      <c r="AD56" s="699">
        <v>813605</v>
      </c>
      <c r="AE56" s="699">
        <v>862469</v>
      </c>
      <c r="AF56" s="699">
        <v>1105888</v>
      </c>
      <c r="AG56" s="699">
        <v>396246</v>
      </c>
      <c r="AH56" s="699">
        <v>543353</v>
      </c>
      <c r="AI56" s="699">
        <v>276432</v>
      </c>
      <c r="AJ56" s="699">
        <v>72555</v>
      </c>
      <c r="AK56" s="699">
        <v>374651</v>
      </c>
      <c r="AL56" s="699">
        <v>331519</v>
      </c>
      <c r="AM56" s="699">
        <v>225597</v>
      </c>
      <c r="AN56" s="699">
        <v>383322</v>
      </c>
      <c r="AO56" s="699">
        <v>569787</v>
      </c>
      <c r="AP56" s="699">
        <v>735175</v>
      </c>
      <c r="AQ56" s="699">
        <v>343460</v>
      </c>
      <c r="AR56" s="699">
        <v>155241</v>
      </c>
      <c r="AS56" s="699">
        <v>206394</v>
      </c>
      <c r="AT56" s="699">
        <v>169838</v>
      </c>
      <c r="AU56" s="699">
        <v>363053</v>
      </c>
      <c r="AV56" s="699">
        <v>992001</v>
      </c>
      <c r="AW56" s="699">
        <v>2095405</v>
      </c>
      <c r="AX56" s="699">
        <v>1396030</v>
      </c>
      <c r="AY56" s="699">
        <v>2139424</v>
      </c>
      <c r="AZ56" s="699">
        <v>1684410</v>
      </c>
      <c r="BA56" s="699">
        <v>523143.55949152377</v>
      </c>
      <c r="BB56" s="699">
        <v>182450.22203389602</v>
      </c>
      <c r="BC56" s="699">
        <v>1887381.99101695</v>
      </c>
      <c r="BD56" s="699">
        <v>3093768.6605084753</v>
      </c>
      <c r="BE56" s="699">
        <v>2641790.1527118636</v>
      </c>
      <c r="BF56" s="699">
        <v>5310676.6123728761</v>
      </c>
      <c r="BG56" s="699">
        <v>3624979.1623050822</v>
      </c>
      <c r="BH56" s="699">
        <v>1366242.4713559279</v>
      </c>
      <c r="BI56" s="699">
        <v>1103351.26881356</v>
      </c>
      <c r="BJ56" s="699">
        <v>3374696.6610169476</v>
      </c>
      <c r="BK56" s="699">
        <v>3949270.0762711866</v>
      </c>
      <c r="BL56" s="699">
        <v>3328352.8305084743</v>
      </c>
      <c r="BM56" s="699">
        <v>2453706.9277966046</v>
      </c>
      <c r="BN56" s="699">
        <v>6680645.0193220358</v>
      </c>
      <c r="BO56" s="699">
        <v>5790162.025932204</v>
      </c>
      <c r="BP56" s="699">
        <v>4964739.7052542288</v>
      </c>
      <c r="BQ56" s="699">
        <v>7486193.5171186263</v>
      </c>
      <c r="BR56" s="699">
        <v>8281888.6733898241</v>
      </c>
      <c r="BS56" s="699">
        <v>9161005.8803389706</v>
      </c>
      <c r="BT56" s="699">
        <v>6860135.1762711909</v>
      </c>
      <c r="BU56" s="699">
        <v>7888648.9491525395</v>
      </c>
      <c r="BV56" s="699">
        <v>6751637.0289830379</v>
      </c>
      <c r="BW56" s="699">
        <v>7349226.3232203312</v>
      </c>
      <c r="BX56" s="699">
        <v>8470569.4757627137</v>
      </c>
      <c r="BY56" s="699">
        <v>8829571.6144067682</v>
      </c>
      <c r="BZ56" s="699">
        <v>7076330.7811864372</v>
      </c>
      <c r="CA56" s="699">
        <v>6168901.376271178</v>
      </c>
      <c r="CB56" s="699">
        <v>7611028.5049152467</v>
      </c>
      <c r="CC56" s="699">
        <v>7652256.8877966106</v>
      </c>
      <c r="CD56" s="699">
        <v>7381059.1698305644</v>
      </c>
      <c r="CE56" s="699">
        <v>7429940.2867796589</v>
      </c>
      <c r="CF56" s="699">
        <v>6529129.6370697562</v>
      </c>
      <c r="CG56" s="699">
        <v>11058911.2790766</v>
      </c>
      <c r="CH56" s="699">
        <v>8241204.4431988988</v>
      </c>
      <c r="CI56" s="699">
        <v>9139198.0117272139</v>
      </c>
      <c r="CJ56" s="699">
        <v>10252206.502543967</v>
      </c>
      <c r="CK56" s="699">
        <v>13070502.016949147</v>
      </c>
      <c r="CL56" s="699">
        <v>10685690.033898324</v>
      </c>
      <c r="CM56" s="699">
        <v>9725004.8559322059</v>
      </c>
      <c r="CN56" s="699">
        <v>11388844.559322026</v>
      </c>
      <c r="CO56" s="699">
        <v>10276267.398305088</v>
      </c>
      <c r="CP56" s="699">
        <v>14919718.635593215</v>
      </c>
      <c r="CQ56" s="699">
        <v>17931012.754237283</v>
      </c>
      <c r="CR56" s="699">
        <v>20407169.835773773</v>
      </c>
      <c r="CS56" s="699">
        <v>23101570.69199273</v>
      </c>
      <c r="CT56" s="129">
        <f>CT46*CT71</f>
        <v>16319921.98218495</v>
      </c>
      <c r="CU56" s="129">
        <f t="shared" ref="CU56:EC56" si="149">CU46*CU71</f>
        <v>16915668.365790293</v>
      </c>
      <c r="CV56" s="129">
        <f t="shared" si="149"/>
        <v>15891135.417296791</v>
      </c>
      <c r="CW56" s="129">
        <f t="shared" si="149"/>
        <v>15904730.53221189</v>
      </c>
      <c r="CX56" s="129">
        <f t="shared" si="149"/>
        <v>14788187.064864207</v>
      </c>
      <c r="CY56" s="129">
        <f t="shared" si="149"/>
        <v>12895871.561304452</v>
      </c>
      <c r="CZ56" s="129">
        <f t="shared" si="149"/>
        <v>15086811.700281644</v>
      </c>
      <c r="DA56" s="129">
        <f t="shared" si="149"/>
        <v>18682898.395715632</v>
      </c>
      <c r="DB56" s="129">
        <f t="shared" si="149"/>
        <v>20818022.286219314</v>
      </c>
      <c r="DC56" s="129">
        <f t="shared" si="149"/>
        <v>19481681.782045778</v>
      </c>
      <c r="DD56" s="129">
        <f t="shared" si="149"/>
        <v>18998744.397363372</v>
      </c>
      <c r="DE56" s="129">
        <f t="shared" si="149"/>
        <v>18268035.232533157</v>
      </c>
      <c r="DF56" s="129">
        <f t="shared" si="149"/>
        <v>20399902.477731183</v>
      </c>
      <c r="DG56" s="129">
        <f t="shared" si="149"/>
        <v>21144585.457237866</v>
      </c>
      <c r="DH56" s="129">
        <f t="shared" si="149"/>
        <v>19863919.271620985</v>
      </c>
      <c r="DI56" s="129">
        <f t="shared" si="149"/>
        <v>19880913.165264852</v>
      </c>
      <c r="DJ56" s="129">
        <f t="shared" si="149"/>
        <v>18485233.831080254</v>
      </c>
      <c r="DK56" s="129">
        <f t="shared" si="149"/>
        <v>16119839.451630557</v>
      </c>
      <c r="DL56" s="129">
        <f t="shared" si="149"/>
        <v>18858514.625352047</v>
      </c>
      <c r="DM56" s="129">
        <f t="shared" si="149"/>
        <v>23353622.994644534</v>
      </c>
      <c r="DN56" s="129">
        <f t="shared" si="149"/>
        <v>26022527.857774135</v>
      </c>
      <c r="DO56" s="129">
        <f t="shared" si="149"/>
        <v>24352102.22755722</v>
      </c>
      <c r="DP56" s="129">
        <f t="shared" si="149"/>
        <v>23748430.49670421</v>
      </c>
      <c r="DQ56" s="129">
        <f t="shared" si="149"/>
        <v>22835044.040666446</v>
      </c>
      <c r="DR56" s="129">
        <f t="shared" si="149"/>
        <v>24479882.97327742</v>
      </c>
      <c r="DS56" s="129">
        <f t="shared" si="149"/>
        <v>25373502.548685439</v>
      </c>
      <c r="DT56" s="129">
        <f t="shared" si="149"/>
        <v>23836703.125945181</v>
      </c>
      <c r="DU56" s="129">
        <f t="shared" si="149"/>
        <v>23857095.798317824</v>
      </c>
      <c r="DV56" s="129">
        <f t="shared" si="149"/>
        <v>22182280.597296305</v>
      </c>
      <c r="DW56" s="129">
        <f t="shared" si="149"/>
        <v>19343807.341956668</v>
      </c>
      <c r="DX56" s="129">
        <f t="shared" si="149"/>
        <v>22630217.550422456</v>
      </c>
      <c r="DY56" s="129">
        <f t="shared" si="149"/>
        <v>28024347.593573451</v>
      </c>
      <c r="DZ56" s="129">
        <f t="shared" si="149"/>
        <v>31227033.429328967</v>
      </c>
      <c r="EA56" s="129">
        <f t="shared" si="149"/>
        <v>29222522.673068665</v>
      </c>
      <c r="EB56" s="129">
        <f t="shared" si="149"/>
        <v>28498116.596045051</v>
      </c>
      <c r="EC56" s="129">
        <f t="shared" si="149"/>
        <v>27402052.848799732</v>
      </c>
      <c r="ED56" s="113" t="s">
        <v>1</v>
      </c>
    </row>
    <row r="57" spans="1:134" x14ac:dyDescent="0.2">
      <c r="A57" s="698" t="s">
        <v>21</v>
      </c>
      <c r="B57" s="699">
        <v>0</v>
      </c>
      <c r="C57" s="699">
        <v>0</v>
      </c>
      <c r="D57" s="699">
        <v>0</v>
      </c>
      <c r="E57" s="699">
        <v>0</v>
      </c>
      <c r="F57" s="699">
        <v>0</v>
      </c>
      <c r="G57" s="699">
        <v>0</v>
      </c>
      <c r="H57" s="699">
        <v>0</v>
      </c>
      <c r="I57" s="699">
        <v>0</v>
      </c>
      <c r="J57" s="699">
        <v>0</v>
      </c>
      <c r="K57" s="699">
        <v>0</v>
      </c>
      <c r="L57" s="699">
        <v>0</v>
      </c>
      <c r="M57" s="699">
        <v>0</v>
      </c>
      <c r="N57" s="699">
        <v>0</v>
      </c>
      <c r="O57" s="699">
        <v>0</v>
      </c>
      <c r="P57" s="699">
        <v>0</v>
      </c>
      <c r="Q57" s="699">
        <v>0</v>
      </c>
      <c r="R57" s="699">
        <v>0</v>
      </c>
      <c r="S57" s="699">
        <v>0</v>
      </c>
      <c r="T57" s="699">
        <v>0</v>
      </c>
      <c r="U57" s="699">
        <v>0</v>
      </c>
      <c r="V57" s="699">
        <v>0</v>
      </c>
      <c r="W57" s="699">
        <v>0</v>
      </c>
      <c r="X57" s="699">
        <v>0</v>
      </c>
      <c r="Y57" s="699">
        <v>0</v>
      </c>
      <c r="Z57" s="699">
        <v>0</v>
      </c>
      <c r="AA57" s="699">
        <v>0</v>
      </c>
      <c r="AB57" s="699">
        <v>0</v>
      </c>
      <c r="AC57" s="699">
        <v>0</v>
      </c>
      <c r="AD57" s="699">
        <v>0</v>
      </c>
      <c r="AE57" s="699">
        <v>0</v>
      </c>
      <c r="AF57" s="699">
        <v>0</v>
      </c>
      <c r="AG57" s="699">
        <v>0</v>
      </c>
      <c r="AH57" s="699">
        <v>0</v>
      </c>
      <c r="AI57" s="699">
        <v>0</v>
      </c>
      <c r="AJ57" s="699">
        <v>0</v>
      </c>
      <c r="AK57" s="699">
        <v>0</v>
      </c>
      <c r="AL57" s="699">
        <v>0</v>
      </c>
      <c r="AM57" s="699">
        <v>0</v>
      </c>
      <c r="AN57" s="699">
        <v>0</v>
      </c>
      <c r="AO57" s="699">
        <v>0</v>
      </c>
      <c r="AP57" s="699">
        <v>0</v>
      </c>
      <c r="AQ57" s="699">
        <v>0</v>
      </c>
      <c r="AR57" s="699">
        <v>0</v>
      </c>
      <c r="AS57" s="699">
        <v>0</v>
      </c>
      <c r="AT57" s="699">
        <v>0</v>
      </c>
      <c r="AU57" s="699">
        <v>0</v>
      </c>
      <c r="AV57" s="699">
        <v>0</v>
      </c>
      <c r="AW57" s="699">
        <v>0</v>
      </c>
      <c r="AX57" s="699">
        <v>0</v>
      </c>
      <c r="AY57" s="699">
        <v>0</v>
      </c>
      <c r="AZ57" s="699">
        <v>0</v>
      </c>
      <c r="BA57" s="699">
        <v>0</v>
      </c>
      <c r="BB57" s="699">
        <v>0</v>
      </c>
      <c r="BC57" s="699">
        <v>0</v>
      </c>
      <c r="BD57" s="699">
        <v>0</v>
      </c>
      <c r="BE57" s="699">
        <v>0</v>
      </c>
      <c r="BF57" s="699">
        <v>0</v>
      </c>
      <c r="BG57" s="699">
        <v>0</v>
      </c>
      <c r="BH57" s="699">
        <v>0</v>
      </c>
      <c r="BI57" s="699">
        <v>0</v>
      </c>
      <c r="BJ57" s="699">
        <v>0</v>
      </c>
      <c r="BK57" s="699">
        <v>0</v>
      </c>
      <c r="BL57" s="699">
        <v>0</v>
      </c>
      <c r="BM57" s="699">
        <v>0</v>
      </c>
      <c r="BN57" s="699">
        <v>0</v>
      </c>
      <c r="BO57" s="699">
        <v>0</v>
      </c>
      <c r="BP57" s="699">
        <v>-2373549.1181329801</v>
      </c>
      <c r="BQ57" s="699">
        <v>-3431435.3824443598</v>
      </c>
      <c r="BR57" s="699">
        <v>-5125023.6416100953</v>
      </c>
      <c r="BS57" s="699">
        <v>-7083550</v>
      </c>
      <c r="BT57" s="699">
        <v>-5449308.3237917451</v>
      </c>
      <c r="BU57" s="699">
        <v>-3157680.9159807418</v>
      </c>
      <c r="BV57" s="699">
        <v>-2305770.3426865875</v>
      </c>
      <c r="BW57" s="699">
        <v>-3240183</v>
      </c>
      <c r="BX57" s="699">
        <v>-3725761.5788141801</v>
      </c>
      <c r="BY57" s="699">
        <v>-5584959</v>
      </c>
      <c r="BZ57" s="699">
        <v>-4195543</v>
      </c>
      <c r="CA57" s="699">
        <v>-4673576.7204873962</v>
      </c>
      <c r="CB57" s="699">
        <v>-4700421</v>
      </c>
      <c r="CC57" s="699">
        <v>-3237513.5578047899</v>
      </c>
      <c r="CD57" s="699">
        <v>-3231083</v>
      </c>
      <c r="CE57" s="699">
        <v>-2940546.1807626099</v>
      </c>
      <c r="CF57" s="699">
        <v>-2373473.2746713846</v>
      </c>
      <c r="CG57" s="699">
        <v>-4750933.3566312408</v>
      </c>
      <c r="CH57" s="699">
        <v>-3893397.474789795</v>
      </c>
      <c r="CI57" s="699">
        <v>-3971325.7649152544</v>
      </c>
      <c r="CJ57" s="699">
        <v>-4222781.1186440699</v>
      </c>
      <c r="CK57" s="699">
        <v>-5264748</v>
      </c>
      <c r="CL57" s="699">
        <v>-5169465</v>
      </c>
      <c r="CM57" s="699">
        <v>-6401161</v>
      </c>
      <c r="CN57" s="699">
        <v>-5508032</v>
      </c>
      <c r="CO57" s="699">
        <v>-4777393</v>
      </c>
      <c r="CP57" s="699">
        <v>-5456838</v>
      </c>
      <c r="CQ57" s="699">
        <v>-5140813</v>
      </c>
      <c r="CR57" s="699">
        <v>-5008114</v>
      </c>
      <c r="CS57" s="699">
        <v>-6917477</v>
      </c>
      <c r="CT57" s="129">
        <f t="shared" ref="CT57:EC57" si="150">CT46*CT74</f>
        <v>-6330678.6359801441</v>
      </c>
      <c r="CU57" s="129">
        <f t="shared" si="150"/>
        <v>-6561775.2617648616</v>
      </c>
      <c r="CV57" s="129">
        <f t="shared" si="150"/>
        <v>-6164347.5745512983</v>
      </c>
      <c r="CW57" s="129">
        <f t="shared" si="150"/>
        <v>-6169621.2703226786</v>
      </c>
      <c r="CX57" s="129">
        <f t="shared" si="150"/>
        <v>-5736501.6829498215</v>
      </c>
      <c r="CY57" s="129">
        <f t="shared" si="150"/>
        <v>-5002451.5236416524</v>
      </c>
      <c r="CZ57" s="129">
        <f t="shared" si="150"/>
        <v>-5852341.489149767</v>
      </c>
      <c r="DA57" s="129">
        <f t="shared" si="150"/>
        <v>-7247303.3793332912</v>
      </c>
      <c r="DB57" s="129">
        <f t="shared" si="150"/>
        <v>-8075541.6033601938</v>
      </c>
      <c r="DC57" s="129">
        <f t="shared" si="150"/>
        <v>-7557160.3090500049</v>
      </c>
      <c r="DD57" s="129">
        <f t="shared" si="150"/>
        <v>-7369823.5443851715</v>
      </c>
      <c r="DE57" s="129">
        <f t="shared" si="150"/>
        <v>-7086373.3597608088</v>
      </c>
      <c r="DF57" s="129">
        <f t="shared" si="150"/>
        <v>-7913348.2949751783</v>
      </c>
      <c r="DG57" s="129">
        <f t="shared" si="150"/>
        <v>-8202219.0772060771</v>
      </c>
      <c r="DH57" s="129">
        <f t="shared" si="150"/>
        <v>-7705434.4681891203</v>
      </c>
      <c r="DI57" s="129">
        <f t="shared" si="150"/>
        <v>-7712026.587903345</v>
      </c>
      <c r="DJ57" s="129">
        <f t="shared" si="150"/>
        <v>-7170627.1036872761</v>
      </c>
      <c r="DK57" s="129">
        <f t="shared" si="150"/>
        <v>-6253064.404552062</v>
      </c>
      <c r="DL57" s="129">
        <f t="shared" si="150"/>
        <v>-7315426.8614372052</v>
      </c>
      <c r="DM57" s="129">
        <f t="shared" si="150"/>
        <v>-9059129.2241666131</v>
      </c>
      <c r="DN57" s="129">
        <f t="shared" si="150"/>
        <v>-10094427.004200241</v>
      </c>
      <c r="DO57" s="129">
        <f t="shared" si="150"/>
        <v>-9446450.3863125052</v>
      </c>
      <c r="DP57" s="129">
        <f t="shared" si="150"/>
        <v>-9212279.4304814618</v>
      </c>
      <c r="DQ57" s="129">
        <f t="shared" si="150"/>
        <v>-8857966.6997010093</v>
      </c>
      <c r="DR57" s="129">
        <f t="shared" si="150"/>
        <v>-9496017.9539702144</v>
      </c>
      <c r="DS57" s="129">
        <f t="shared" si="150"/>
        <v>-9842662.8926472925</v>
      </c>
      <c r="DT57" s="129">
        <f t="shared" si="150"/>
        <v>-9246521.3618269451</v>
      </c>
      <c r="DU57" s="129">
        <f t="shared" si="150"/>
        <v>-9254431.9054840133</v>
      </c>
      <c r="DV57" s="129">
        <f t="shared" si="150"/>
        <v>-8604752.5244247299</v>
      </c>
      <c r="DW57" s="129">
        <f t="shared" si="150"/>
        <v>-7503677.2854624754</v>
      </c>
      <c r="DX57" s="129">
        <f t="shared" si="150"/>
        <v>-8778512.2337246463</v>
      </c>
      <c r="DY57" s="129">
        <f t="shared" si="150"/>
        <v>-10870955.068999939</v>
      </c>
      <c r="DZ57" s="129">
        <f t="shared" si="150"/>
        <v>-12113312.40504029</v>
      </c>
      <c r="EA57" s="129">
        <f t="shared" si="150"/>
        <v>-11335740.463575007</v>
      </c>
      <c r="EB57" s="129">
        <f t="shared" si="150"/>
        <v>-11054735.316577755</v>
      </c>
      <c r="EC57" s="129">
        <f t="shared" si="150"/>
        <v>-10629560.039641211</v>
      </c>
      <c r="ED57" s="113" t="s">
        <v>1</v>
      </c>
    </row>
    <row r="58" spans="1:134" x14ac:dyDescent="0.2">
      <c r="A58" s="698" t="s">
        <v>22</v>
      </c>
      <c r="B58" s="699">
        <v>0</v>
      </c>
      <c r="C58" s="699">
        <v>0</v>
      </c>
      <c r="D58" s="699">
        <v>0</v>
      </c>
      <c r="E58" s="699">
        <v>0</v>
      </c>
      <c r="F58" s="699">
        <v>0</v>
      </c>
      <c r="G58" s="699">
        <v>0</v>
      </c>
      <c r="H58" s="699">
        <v>0</v>
      </c>
      <c r="I58" s="699">
        <v>0</v>
      </c>
      <c r="J58" s="699">
        <v>0</v>
      </c>
      <c r="K58" s="699">
        <v>0</v>
      </c>
      <c r="L58" s="699">
        <v>0</v>
      </c>
      <c r="M58" s="699">
        <v>0</v>
      </c>
      <c r="N58" s="699">
        <v>0</v>
      </c>
      <c r="O58" s="699">
        <v>0</v>
      </c>
      <c r="P58" s="699">
        <v>0</v>
      </c>
      <c r="Q58" s="699">
        <v>0</v>
      </c>
      <c r="R58" s="699">
        <v>0</v>
      </c>
      <c r="S58" s="699">
        <v>0</v>
      </c>
      <c r="T58" s="699">
        <v>0</v>
      </c>
      <c r="U58" s="699">
        <v>0</v>
      </c>
      <c r="V58" s="699">
        <v>0</v>
      </c>
      <c r="W58" s="699">
        <v>0</v>
      </c>
      <c r="X58" s="699">
        <v>0</v>
      </c>
      <c r="Y58" s="699">
        <v>0</v>
      </c>
      <c r="Z58" s="699">
        <v>0</v>
      </c>
      <c r="AA58" s="699">
        <v>0</v>
      </c>
      <c r="AB58" s="699">
        <v>0</v>
      </c>
      <c r="AC58" s="699">
        <v>0</v>
      </c>
      <c r="AD58" s="699">
        <v>0</v>
      </c>
      <c r="AE58" s="699">
        <v>0</v>
      </c>
      <c r="AF58" s="699">
        <v>0</v>
      </c>
      <c r="AG58" s="699">
        <v>0</v>
      </c>
      <c r="AH58" s="699">
        <v>0</v>
      </c>
      <c r="AI58" s="699">
        <v>0</v>
      </c>
      <c r="AJ58" s="699">
        <v>0</v>
      </c>
      <c r="AK58" s="699">
        <v>0</v>
      </c>
      <c r="AL58" s="699">
        <v>0</v>
      </c>
      <c r="AM58" s="699">
        <v>0</v>
      </c>
      <c r="AN58" s="699">
        <v>0</v>
      </c>
      <c r="AO58" s="699">
        <v>0</v>
      </c>
      <c r="AP58" s="699">
        <v>0</v>
      </c>
      <c r="AQ58" s="699">
        <v>0</v>
      </c>
      <c r="AR58" s="699">
        <v>0</v>
      </c>
      <c r="AS58" s="699">
        <v>0</v>
      </c>
      <c r="AT58" s="699">
        <v>0</v>
      </c>
      <c r="AU58" s="699">
        <v>0</v>
      </c>
      <c r="AV58" s="699">
        <v>0</v>
      </c>
      <c r="AW58" s="699">
        <v>0</v>
      </c>
      <c r="AX58" s="699">
        <v>0</v>
      </c>
      <c r="AY58" s="699">
        <v>0</v>
      </c>
      <c r="AZ58" s="699">
        <v>0</v>
      </c>
      <c r="BA58" s="699">
        <v>0</v>
      </c>
      <c r="BB58" s="699">
        <v>0</v>
      </c>
      <c r="BC58" s="699">
        <v>3295281.8823528499</v>
      </c>
      <c r="BD58" s="699">
        <v>2971501.1251007193</v>
      </c>
      <c r="BE58" s="699">
        <v>2698666.848491672</v>
      </c>
      <c r="BF58" s="699">
        <v>2815227.8400227898</v>
      </c>
      <c r="BG58" s="699">
        <v>1715272.9763863899</v>
      </c>
      <c r="BH58" s="699">
        <v>3984273.8151969025</v>
      </c>
      <c r="BI58" s="699">
        <v>2497809.3660777207</v>
      </c>
      <c r="BJ58" s="699">
        <v>2566333.7037311443</v>
      </c>
      <c r="BK58" s="699">
        <v>4075332.5682627703</v>
      </c>
      <c r="BL58" s="699">
        <v>2305229.1096425978</v>
      </c>
      <c r="BM58" s="699">
        <v>2993850.2799678105</v>
      </c>
      <c r="BN58" s="699">
        <v>3757036.3800429963</v>
      </c>
      <c r="BO58" s="699">
        <v>1891493.7868168748</v>
      </c>
      <c r="BP58" s="699">
        <v>3332729.6942867492</v>
      </c>
      <c r="BQ58" s="699">
        <v>3707777.396910347</v>
      </c>
      <c r="BR58" s="699">
        <v>2056831.09636547</v>
      </c>
      <c r="BS58" s="699">
        <v>1677305.2798144745</v>
      </c>
      <c r="BT58" s="699">
        <v>3281099.1021147203</v>
      </c>
      <c r="BU58" s="699">
        <v>3104364.8079942437</v>
      </c>
      <c r="BV58" s="699">
        <v>2379589.2863892457</v>
      </c>
      <c r="BW58" s="699">
        <v>1641649.5540106851</v>
      </c>
      <c r="BX58" s="699">
        <v>2254110.4198794658</v>
      </c>
      <c r="BY58" s="699">
        <v>892409.44512477948</v>
      </c>
      <c r="BZ58" s="699">
        <v>939165.28114004037</v>
      </c>
      <c r="CA58" s="699">
        <v>874632.7722474878</v>
      </c>
      <c r="CB58" s="699">
        <v>1704781.6706811269</v>
      </c>
      <c r="CC58" s="699">
        <v>1018567.9386145994</v>
      </c>
      <c r="CD58" s="699">
        <v>974088.90036237985</v>
      </c>
      <c r="CE58" s="699">
        <v>1241997.5201300776</v>
      </c>
      <c r="CF58" s="699">
        <v>2170292.1095934985</v>
      </c>
      <c r="CG58" s="699">
        <v>2035413.6756810229</v>
      </c>
      <c r="CH58" s="699">
        <v>1995634.9380197048</v>
      </c>
      <c r="CI58" s="699">
        <v>1742480.0694717774</v>
      </c>
      <c r="CJ58" s="699">
        <v>1450440.138541386</v>
      </c>
      <c r="CK58" s="699">
        <v>2126192.6035095309</v>
      </c>
      <c r="CL58" s="699">
        <v>1834047.920377874</v>
      </c>
      <c r="CM58" s="699">
        <v>1641282.1538984973</v>
      </c>
      <c r="CN58" s="699">
        <v>883618.71499930101</v>
      </c>
      <c r="CO58" s="699">
        <v>1387285.8644441066</v>
      </c>
      <c r="CP58" s="699">
        <v>1422235.6915522953</v>
      </c>
      <c r="CQ58" s="699">
        <v>2697871.9231691756</v>
      </c>
      <c r="CR58" s="699">
        <v>2553219.2526755724</v>
      </c>
      <c r="CS58" s="699">
        <v>2656530.3312666621</v>
      </c>
      <c r="CT58" s="130">
        <f t="shared" ref="CT58:EC58" si="151">CT76*CT46</f>
        <v>2325140.0422033817</v>
      </c>
      <c r="CU58" s="706">
        <f t="shared" si="151"/>
        <v>2410017.5172936879</v>
      </c>
      <c r="CV58" s="706">
        <f t="shared" si="151"/>
        <v>2264049.7494514543</v>
      </c>
      <c r="CW58" s="706">
        <f t="shared" si="151"/>
        <v>2265986.6794258719</v>
      </c>
      <c r="CX58" s="706">
        <f t="shared" si="151"/>
        <v>2106909.9431752539</v>
      </c>
      <c r="CY58" s="706">
        <f t="shared" si="151"/>
        <v>1837307.0275110714</v>
      </c>
      <c r="CZ58" s="706">
        <f t="shared" si="151"/>
        <v>2149455.7407688592</v>
      </c>
      <c r="DA58" s="706">
        <f t="shared" si="151"/>
        <v>2661799.1931404956</v>
      </c>
      <c r="DB58" s="706">
        <f t="shared" si="151"/>
        <v>2965995.6260826662</v>
      </c>
      <c r="DC58" s="706">
        <f t="shared" si="151"/>
        <v>2775603.8570739673</v>
      </c>
      <c r="DD58" s="706">
        <f t="shared" si="151"/>
        <v>2706798.561789602</v>
      </c>
      <c r="DE58" s="706">
        <f t="shared" si="151"/>
        <v>2602692.6022019046</v>
      </c>
      <c r="DF58" s="706">
        <f t="shared" si="151"/>
        <v>2906425.0527542266</v>
      </c>
      <c r="DG58" s="706">
        <f t="shared" si="151"/>
        <v>3012521.8966171099</v>
      </c>
      <c r="DH58" s="706">
        <f t="shared" si="151"/>
        <v>2830062.186814317</v>
      </c>
      <c r="DI58" s="706">
        <f t="shared" si="151"/>
        <v>2832483.3492823387</v>
      </c>
      <c r="DJ58" s="706">
        <f t="shared" si="151"/>
        <v>2633637.4289690666</v>
      </c>
      <c r="DK58" s="706">
        <f t="shared" si="151"/>
        <v>2296633.7843888383</v>
      </c>
      <c r="DL58" s="706">
        <f t="shared" si="151"/>
        <v>2686819.6759610726</v>
      </c>
      <c r="DM58" s="706">
        <f t="shared" si="151"/>
        <v>3327248.9914256185</v>
      </c>
      <c r="DN58" s="706">
        <f t="shared" si="151"/>
        <v>3707494.5326033318</v>
      </c>
      <c r="DO58" s="706">
        <f t="shared" si="151"/>
        <v>3469504.8213424589</v>
      </c>
      <c r="DP58" s="706">
        <f t="shared" si="151"/>
        <v>3383498.2022370021</v>
      </c>
      <c r="DQ58" s="706">
        <f t="shared" si="151"/>
        <v>3253365.7527523809</v>
      </c>
      <c r="DR58" s="706">
        <f t="shared" si="151"/>
        <v>3487710.063305072</v>
      </c>
      <c r="DS58" s="706">
        <f t="shared" si="151"/>
        <v>3615026.2759405314</v>
      </c>
      <c r="DT58" s="706">
        <f t="shared" si="151"/>
        <v>3396074.6241771802</v>
      </c>
      <c r="DU58" s="706">
        <f t="shared" si="151"/>
        <v>3398980.0191388065</v>
      </c>
      <c r="DV58" s="706">
        <f t="shared" si="151"/>
        <v>3160364.9147628797</v>
      </c>
      <c r="DW58" s="706">
        <f t="shared" si="151"/>
        <v>2755960.5412666057</v>
      </c>
      <c r="DX58" s="706">
        <f t="shared" si="151"/>
        <v>3224183.6111532869</v>
      </c>
      <c r="DY58" s="706">
        <f t="shared" si="151"/>
        <v>3992698.7897107443</v>
      </c>
      <c r="DZ58" s="706">
        <f t="shared" si="151"/>
        <v>4448993.4391239993</v>
      </c>
      <c r="EA58" s="706">
        <f t="shared" si="151"/>
        <v>4163405.785610951</v>
      </c>
      <c r="EB58" s="706">
        <f t="shared" si="151"/>
        <v>4060197.8426844021</v>
      </c>
      <c r="EC58" s="706">
        <f t="shared" si="151"/>
        <v>3904038.9033028563</v>
      </c>
      <c r="ED58" s="113" t="s">
        <v>1</v>
      </c>
    </row>
    <row r="59" spans="1:134" x14ac:dyDescent="0.2">
      <c r="A59" s="698" t="s">
        <v>24</v>
      </c>
      <c r="B59" s="699">
        <v>3422435</v>
      </c>
      <c r="C59" s="699">
        <v>2914807</v>
      </c>
      <c r="D59" s="699">
        <v>3662274</v>
      </c>
      <c r="E59" s="699">
        <v>5150278</v>
      </c>
      <c r="F59" s="699">
        <v>6714146</v>
      </c>
      <c r="G59" s="699">
        <v>6626896</v>
      </c>
      <c r="H59" s="699">
        <v>8151760</v>
      </c>
      <c r="I59" s="699">
        <v>8256143</v>
      </c>
      <c r="J59" s="699">
        <v>7985592</v>
      </c>
      <c r="K59" s="699">
        <v>8407527</v>
      </c>
      <c r="L59" s="699">
        <v>8382902</v>
      </c>
      <c r="M59" s="699">
        <v>8633978</v>
      </c>
      <c r="N59" s="699">
        <v>8789815</v>
      </c>
      <c r="O59" s="699">
        <v>9263281</v>
      </c>
      <c r="P59" s="699">
        <v>9580238</v>
      </c>
      <c r="Q59" s="699">
        <v>9429281</v>
      </c>
      <c r="R59" s="699">
        <v>7766738</v>
      </c>
      <c r="S59" s="699">
        <v>8079197</v>
      </c>
      <c r="T59" s="699">
        <v>11529263</v>
      </c>
      <c r="U59" s="699">
        <v>10645700</v>
      </c>
      <c r="V59" s="699">
        <v>7937644.2838005498</v>
      </c>
      <c r="W59" s="699">
        <v>8737671</v>
      </c>
      <c r="X59" s="699">
        <v>8376783</v>
      </c>
      <c r="Y59" s="699">
        <v>7136995.5316595007</v>
      </c>
      <c r="Z59" s="699">
        <v>3937725.8901791237</v>
      </c>
      <c r="AA59" s="699">
        <v>4795338</v>
      </c>
      <c r="AB59" s="699">
        <v>3971808</v>
      </c>
      <c r="AC59" s="699">
        <v>5918712</v>
      </c>
      <c r="AD59" s="699">
        <v>11934459</v>
      </c>
      <c r="AE59" s="699">
        <v>9664661</v>
      </c>
      <c r="AF59" s="699">
        <v>7410024</v>
      </c>
      <c r="AG59" s="699">
        <v>10041136</v>
      </c>
      <c r="AH59" s="699">
        <v>12631923</v>
      </c>
      <c r="AI59" s="699">
        <v>9949462</v>
      </c>
      <c r="AJ59" s="699">
        <v>11943458</v>
      </c>
      <c r="AK59" s="699">
        <v>8771651</v>
      </c>
      <c r="AL59" s="699">
        <v>7434368</v>
      </c>
      <c r="AM59" s="699">
        <v>5122339</v>
      </c>
      <c r="AN59" s="699">
        <v>7932703</v>
      </c>
      <c r="AO59" s="699">
        <v>11964479.41</v>
      </c>
      <c r="AP59" s="699">
        <v>11954590.49</v>
      </c>
      <c r="AQ59" s="699">
        <v>12054889.976529468</v>
      </c>
      <c r="AR59" s="699">
        <v>9408189.8100000005</v>
      </c>
      <c r="AS59" s="699">
        <v>8448871</v>
      </c>
      <c r="AT59" s="699">
        <v>10202963</v>
      </c>
      <c r="AU59" s="699">
        <v>9291520</v>
      </c>
      <c r="AV59" s="699">
        <v>9422988</v>
      </c>
      <c r="AW59" s="699">
        <v>9292583</v>
      </c>
      <c r="AX59" s="699">
        <v>9130696</v>
      </c>
      <c r="AY59" s="699">
        <v>9501674</v>
      </c>
      <c r="AZ59" s="699">
        <v>8709700</v>
      </c>
      <c r="BA59" s="699">
        <v>7800901.1900682813</v>
      </c>
      <c r="BB59" s="699">
        <v>10632737.437038708</v>
      </c>
      <c r="BC59" s="699">
        <v>18578311.0356015</v>
      </c>
      <c r="BD59" s="699">
        <v>22249422.341526981</v>
      </c>
      <c r="BE59" s="699">
        <v>15129867.4551173</v>
      </c>
      <c r="BF59" s="699">
        <v>15311502.671344608</v>
      </c>
      <c r="BG59" s="699">
        <v>11557837.835445853</v>
      </c>
      <c r="BH59" s="699">
        <v>11038809.037002793</v>
      </c>
      <c r="BI59" s="699">
        <v>11688790.393500876</v>
      </c>
      <c r="BJ59" s="699">
        <v>3845614.2748778695</v>
      </c>
      <c r="BK59" s="699">
        <v>3323608.5523411175</v>
      </c>
      <c r="BL59" s="699">
        <v>4780338.1375299785</v>
      </c>
      <c r="BM59" s="699">
        <v>5505816.072235995</v>
      </c>
      <c r="BN59" s="699">
        <v>6243792.8063933393</v>
      </c>
      <c r="BO59" s="699">
        <v>5078518.9318553098</v>
      </c>
      <c r="BP59" s="699">
        <v>4612320.3988089263</v>
      </c>
      <c r="BQ59" s="699">
        <v>5459439.2546405261</v>
      </c>
      <c r="BR59" s="699">
        <v>3611799.9913974488</v>
      </c>
      <c r="BS59" s="699">
        <v>3624572.4923859863</v>
      </c>
      <c r="BT59" s="699">
        <v>4307758</v>
      </c>
      <c r="BU59" s="699">
        <v>3522926.9566022935</v>
      </c>
      <c r="BV59" s="699">
        <v>4021821.9470596127</v>
      </c>
      <c r="BW59" s="699">
        <v>4122464.0448809071</v>
      </c>
      <c r="BX59" s="699">
        <v>4038503.0904240035</v>
      </c>
      <c r="BY59" s="699">
        <v>4339648.3816198772</v>
      </c>
      <c r="BZ59" s="699">
        <v>3948798.2360908752</v>
      </c>
      <c r="CA59" s="699">
        <v>3338100.7649191711</v>
      </c>
      <c r="CB59" s="699">
        <v>3879857.2847148613</v>
      </c>
      <c r="CC59" s="699">
        <v>4236585.2372152116</v>
      </c>
      <c r="CD59" s="699">
        <v>4315045.3489897465</v>
      </c>
      <c r="CE59" s="699">
        <v>4595317.3868097803</v>
      </c>
      <c r="CF59" s="699">
        <v>5473914.9455419024</v>
      </c>
      <c r="CG59" s="699">
        <v>5554063.0112679703</v>
      </c>
      <c r="CH59" s="699">
        <v>5366407.2704677451</v>
      </c>
      <c r="CI59" s="699">
        <v>5955124.3177972808</v>
      </c>
      <c r="CJ59" s="699">
        <v>5550706.2129596258</v>
      </c>
      <c r="CK59" s="699">
        <v>5905972.5630077496</v>
      </c>
      <c r="CL59" s="699">
        <v>6033888.6285993839</v>
      </c>
      <c r="CM59" s="699">
        <v>5339485.102492122</v>
      </c>
      <c r="CN59" s="699">
        <v>6063398.8994504102</v>
      </c>
      <c r="CO59" s="699">
        <v>7280267.8578792587</v>
      </c>
      <c r="CP59" s="699">
        <v>10795380.171852168</v>
      </c>
      <c r="CQ59" s="699">
        <v>12007441.040194355</v>
      </c>
      <c r="CR59" s="699">
        <v>12389129.312202752</v>
      </c>
      <c r="CS59" s="699">
        <v>11761423.573815908</v>
      </c>
      <c r="CT59" s="129">
        <f>CT78*CT46</f>
        <v>16319921.98218495</v>
      </c>
      <c r="CU59" s="129">
        <f>CU78*CU46</f>
        <v>16915668.365790293</v>
      </c>
      <c r="CV59" s="129">
        <f t="shared" ref="CV59:EC59" si="152">CV78*CV46</f>
        <v>15891135.417296791</v>
      </c>
      <c r="CW59" s="129">
        <f t="shared" si="152"/>
        <v>15904730.53221189</v>
      </c>
      <c r="CX59" s="129">
        <f t="shared" si="152"/>
        <v>14788187.064864207</v>
      </c>
      <c r="CY59" s="129">
        <f t="shared" si="152"/>
        <v>12895871.561304452</v>
      </c>
      <c r="CZ59" s="129">
        <f t="shared" si="152"/>
        <v>15086811.700281644</v>
      </c>
      <c r="DA59" s="129">
        <f t="shared" si="152"/>
        <v>18682898.395715632</v>
      </c>
      <c r="DB59" s="129">
        <f t="shared" si="152"/>
        <v>20818022.286219314</v>
      </c>
      <c r="DC59" s="129">
        <f t="shared" si="152"/>
        <v>19481681.782045778</v>
      </c>
      <c r="DD59" s="129">
        <f t="shared" si="152"/>
        <v>18998744.397363372</v>
      </c>
      <c r="DE59" s="129">
        <f t="shared" si="152"/>
        <v>18268035.232533157</v>
      </c>
      <c r="DF59" s="129">
        <f t="shared" si="152"/>
        <v>20399902.477731183</v>
      </c>
      <c r="DG59" s="129">
        <f t="shared" si="152"/>
        <v>21144585.457237866</v>
      </c>
      <c r="DH59" s="129">
        <f t="shared" si="152"/>
        <v>19863919.271620985</v>
      </c>
      <c r="DI59" s="129">
        <f t="shared" si="152"/>
        <v>19880913.165264852</v>
      </c>
      <c r="DJ59" s="129">
        <f t="shared" si="152"/>
        <v>18485233.831080254</v>
      </c>
      <c r="DK59" s="129">
        <f t="shared" si="152"/>
        <v>16119839.451630557</v>
      </c>
      <c r="DL59" s="129">
        <f t="shared" si="152"/>
        <v>18858514.625352047</v>
      </c>
      <c r="DM59" s="129">
        <f t="shared" si="152"/>
        <v>23353622.994644534</v>
      </c>
      <c r="DN59" s="129">
        <f t="shared" si="152"/>
        <v>26022527.857774135</v>
      </c>
      <c r="DO59" s="129">
        <f t="shared" si="152"/>
        <v>24352102.22755722</v>
      </c>
      <c r="DP59" s="129">
        <f t="shared" si="152"/>
        <v>23748430.49670421</v>
      </c>
      <c r="DQ59" s="129">
        <f t="shared" si="152"/>
        <v>22835044.040666446</v>
      </c>
      <c r="DR59" s="129">
        <f t="shared" si="152"/>
        <v>24479882.97327742</v>
      </c>
      <c r="DS59" s="129">
        <f t="shared" si="152"/>
        <v>25373502.548685439</v>
      </c>
      <c r="DT59" s="129">
        <f t="shared" si="152"/>
        <v>23836703.125945181</v>
      </c>
      <c r="DU59" s="129">
        <f t="shared" si="152"/>
        <v>23857095.798317824</v>
      </c>
      <c r="DV59" s="129">
        <f t="shared" si="152"/>
        <v>22182280.597296305</v>
      </c>
      <c r="DW59" s="129">
        <f t="shared" si="152"/>
        <v>19343807.341956668</v>
      </c>
      <c r="DX59" s="129">
        <f t="shared" si="152"/>
        <v>22630217.550422456</v>
      </c>
      <c r="DY59" s="129">
        <f t="shared" si="152"/>
        <v>28024347.593573451</v>
      </c>
      <c r="DZ59" s="129">
        <f t="shared" si="152"/>
        <v>31227033.429328967</v>
      </c>
      <c r="EA59" s="129">
        <f t="shared" si="152"/>
        <v>29222522.673068665</v>
      </c>
      <c r="EB59" s="129">
        <f t="shared" si="152"/>
        <v>28498116.596045051</v>
      </c>
      <c r="EC59" s="129">
        <f t="shared" si="152"/>
        <v>27402052.848799732</v>
      </c>
      <c r="ED59" s="113" t="s">
        <v>1</v>
      </c>
    </row>
    <row r="60" spans="1:134" x14ac:dyDescent="0.2">
      <c r="A60" s="698" t="s">
        <v>25</v>
      </c>
      <c r="B60" s="699">
        <v>0</v>
      </c>
      <c r="C60" s="699">
        <v>0</v>
      </c>
      <c r="D60" s="699">
        <v>0</v>
      </c>
      <c r="E60" s="699">
        <v>0</v>
      </c>
      <c r="F60" s="699">
        <v>0</v>
      </c>
      <c r="G60" s="699">
        <v>0</v>
      </c>
      <c r="H60" s="699">
        <v>0</v>
      </c>
      <c r="I60" s="699">
        <v>0</v>
      </c>
      <c r="J60" s="699">
        <v>0</v>
      </c>
      <c r="K60" s="699">
        <v>0</v>
      </c>
      <c r="L60" s="699">
        <v>0</v>
      </c>
      <c r="M60" s="699">
        <v>0</v>
      </c>
      <c r="N60" s="699">
        <v>0</v>
      </c>
      <c r="O60" s="699">
        <v>0</v>
      </c>
      <c r="P60" s="699">
        <v>0</v>
      </c>
      <c r="Q60" s="699">
        <v>0</v>
      </c>
      <c r="R60" s="699">
        <v>0</v>
      </c>
      <c r="S60" s="699">
        <v>0</v>
      </c>
      <c r="T60" s="699">
        <v>0</v>
      </c>
      <c r="U60" s="699">
        <v>0</v>
      </c>
      <c r="V60" s="699">
        <v>0</v>
      </c>
      <c r="W60" s="699">
        <v>0</v>
      </c>
      <c r="X60" s="699">
        <v>0</v>
      </c>
      <c r="Y60" s="699">
        <v>0</v>
      </c>
      <c r="Z60" s="699">
        <v>0</v>
      </c>
      <c r="AA60" s="699">
        <v>0</v>
      </c>
      <c r="AB60" s="699">
        <v>0</v>
      </c>
      <c r="AC60" s="699">
        <v>0</v>
      </c>
      <c r="AD60" s="699">
        <v>0</v>
      </c>
      <c r="AE60" s="699">
        <v>0</v>
      </c>
      <c r="AF60" s="699">
        <v>0</v>
      </c>
      <c r="AG60" s="699">
        <v>0</v>
      </c>
      <c r="AH60" s="699">
        <v>0</v>
      </c>
      <c r="AI60" s="699">
        <v>0</v>
      </c>
      <c r="AJ60" s="699">
        <v>0</v>
      </c>
      <c r="AK60" s="699">
        <v>0</v>
      </c>
      <c r="AL60" s="699">
        <v>0</v>
      </c>
      <c r="AM60" s="699">
        <v>0</v>
      </c>
      <c r="AN60" s="699">
        <v>0</v>
      </c>
      <c r="AO60" s="699">
        <v>0</v>
      </c>
      <c r="AP60" s="699">
        <v>0</v>
      </c>
      <c r="AQ60" s="699">
        <v>0</v>
      </c>
      <c r="AR60" s="699">
        <v>0</v>
      </c>
      <c r="AS60" s="699">
        <v>0</v>
      </c>
      <c r="AT60" s="699">
        <v>0</v>
      </c>
      <c r="AU60" s="699">
        <v>0</v>
      </c>
      <c r="AV60" s="699">
        <v>0</v>
      </c>
      <c r="AW60" s="699">
        <v>0</v>
      </c>
      <c r="AX60" s="699">
        <v>0</v>
      </c>
      <c r="AY60" s="699">
        <v>0</v>
      </c>
      <c r="AZ60" s="699">
        <v>0</v>
      </c>
      <c r="BA60" s="699">
        <v>0</v>
      </c>
      <c r="BB60" s="699">
        <v>0</v>
      </c>
      <c r="BC60" s="699">
        <v>0</v>
      </c>
      <c r="BD60" s="699">
        <v>0</v>
      </c>
      <c r="BE60" s="699">
        <v>0</v>
      </c>
      <c r="BF60" s="699">
        <v>0</v>
      </c>
      <c r="BG60" s="699">
        <v>0</v>
      </c>
      <c r="BH60" s="699">
        <v>0</v>
      </c>
      <c r="BI60" s="699">
        <v>0</v>
      </c>
      <c r="BJ60" s="699">
        <v>0</v>
      </c>
      <c r="BK60" s="699">
        <v>0</v>
      </c>
      <c r="BL60" s="699">
        <v>0</v>
      </c>
      <c r="BM60" s="699">
        <v>0</v>
      </c>
      <c r="BN60" s="699">
        <v>0</v>
      </c>
      <c r="BO60" s="699">
        <v>0</v>
      </c>
      <c r="BP60" s="699">
        <v>0</v>
      </c>
      <c r="BQ60" s="699">
        <v>0</v>
      </c>
      <c r="BR60" s="699">
        <v>0</v>
      </c>
      <c r="BS60" s="699">
        <v>0</v>
      </c>
      <c r="BT60" s="699">
        <v>0</v>
      </c>
      <c r="BU60" s="699">
        <v>0</v>
      </c>
      <c r="BV60" s="699">
        <v>926511.77730033197</v>
      </c>
      <c r="BW60" s="699">
        <v>985447.92883990821</v>
      </c>
      <c r="BX60" s="699">
        <v>884594.42685217515</v>
      </c>
      <c r="BY60" s="699">
        <v>769498.25131274527</v>
      </c>
      <c r="BZ60" s="699">
        <v>578308.39139097638</v>
      </c>
      <c r="CA60" s="699">
        <v>508720.83504091157</v>
      </c>
      <c r="CB60" s="699">
        <v>1080733.8764967942</v>
      </c>
      <c r="CC60" s="699">
        <v>1354401.4502540503</v>
      </c>
      <c r="CD60" s="699">
        <v>1216185.4827346262</v>
      </c>
      <c r="CE60" s="699">
        <v>1064303.578818477</v>
      </c>
      <c r="CF60" s="699">
        <v>1047213.8846590639</v>
      </c>
      <c r="CG60" s="699">
        <v>1150390.8070953039</v>
      </c>
      <c r="CH60" s="699">
        <v>1064764.5795426285</v>
      </c>
      <c r="CI60" s="699">
        <v>2019403.0894595522</v>
      </c>
      <c r="CJ60" s="699">
        <v>1546811.495802779</v>
      </c>
      <c r="CK60" s="699">
        <v>2127567.3964813398</v>
      </c>
      <c r="CL60" s="699">
        <v>2010361.3966778442</v>
      </c>
      <c r="CM60" s="699">
        <v>1539473.6181066807</v>
      </c>
      <c r="CN60" s="699">
        <v>2297714.9105634214</v>
      </c>
      <c r="CO60" s="699">
        <v>2522735.3596795509</v>
      </c>
      <c r="CP60" s="699">
        <v>2281653.6961593525</v>
      </c>
      <c r="CQ60" s="699">
        <v>2426025.2879234655</v>
      </c>
      <c r="CR60" s="699">
        <v>2704205.990958855</v>
      </c>
      <c r="CS60" s="699">
        <v>2318846.4765484338</v>
      </c>
      <c r="CT60" s="130">
        <f t="shared" ref="CT60:EC60" si="153">CT46*CT81</f>
        <v>2549391.9738484425</v>
      </c>
      <c r="CU60" s="706">
        <f t="shared" si="153"/>
        <v>2642455.5957499831</v>
      </c>
      <c r="CV60" s="706">
        <f t="shared" si="153"/>
        <v>2482409.7279643505</v>
      </c>
      <c r="CW60" s="706">
        <f t="shared" si="153"/>
        <v>2484533.4683159241</v>
      </c>
      <c r="CX60" s="706">
        <f t="shared" si="153"/>
        <v>2310114.3162380909</v>
      </c>
      <c r="CY60" s="706">
        <f t="shared" si="153"/>
        <v>2014509.1067260331</v>
      </c>
      <c r="CZ60" s="706">
        <f t="shared" si="153"/>
        <v>2356763.512818668</v>
      </c>
      <c r="DA60" s="706">
        <f t="shared" si="153"/>
        <v>2918520.7668429404</v>
      </c>
      <c r="DB60" s="706">
        <f t="shared" si="153"/>
        <v>3252055.9219474862</v>
      </c>
      <c r="DC60" s="706">
        <f t="shared" si="153"/>
        <v>3043301.5075950422</v>
      </c>
      <c r="DD60" s="706">
        <f t="shared" si="153"/>
        <v>2967860.1731496528</v>
      </c>
      <c r="DE60" s="706">
        <f t="shared" si="153"/>
        <v>2853713.5441357903</v>
      </c>
      <c r="DF60" s="706">
        <f t="shared" si="153"/>
        <v>3186739.9673105525</v>
      </c>
      <c r="DG60" s="706">
        <f t="shared" si="153"/>
        <v>3303069.494687479</v>
      </c>
      <c r="DH60" s="706">
        <f t="shared" si="153"/>
        <v>3103012.1599554373</v>
      </c>
      <c r="DI60" s="706">
        <f t="shared" si="153"/>
        <v>3105666.8353949036</v>
      </c>
      <c r="DJ60" s="706">
        <f t="shared" si="153"/>
        <v>2887642.895297613</v>
      </c>
      <c r="DK60" s="706">
        <f t="shared" si="153"/>
        <v>2518136.3834075402</v>
      </c>
      <c r="DL60" s="706">
        <f t="shared" si="153"/>
        <v>2945954.3910233337</v>
      </c>
      <c r="DM60" s="706">
        <f t="shared" si="153"/>
        <v>3648150.9585536746</v>
      </c>
      <c r="DN60" s="706">
        <f t="shared" si="153"/>
        <v>4065069.902434357</v>
      </c>
      <c r="DO60" s="706">
        <f t="shared" si="153"/>
        <v>3804126.8844938027</v>
      </c>
      <c r="DP60" s="706">
        <f t="shared" si="153"/>
        <v>3709825.216437065</v>
      </c>
      <c r="DQ60" s="706">
        <f t="shared" si="153"/>
        <v>3567141.9301697379</v>
      </c>
      <c r="DR60" s="706">
        <f t="shared" si="153"/>
        <v>3824087.9607726634</v>
      </c>
      <c r="DS60" s="706">
        <f t="shared" si="153"/>
        <v>3963683.3936249744</v>
      </c>
      <c r="DT60" s="706">
        <f t="shared" si="153"/>
        <v>3723614.5919465246</v>
      </c>
      <c r="DU60" s="706">
        <f t="shared" si="153"/>
        <v>3726800.2024738844</v>
      </c>
      <c r="DV60" s="706">
        <f t="shared" si="153"/>
        <v>3465171.4743571347</v>
      </c>
      <c r="DW60" s="706">
        <f t="shared" si="153"/>
        <v>3021763.6600890481</v>
      </c>
      <c r="DX60" s="706">
        <f t="shared" si="153"/>
        <v>3535145.2692280002</v>
      </c>
      <c r="DY60" s="706">
        <f t="shared" si="153"/>
        <v>4377781.1502644112</v>
      </c>
      <c r="DZ60" s="706">
        <f t="shared" si="153"/>
        <v>4878083.8829212291</v>
      </c>
      <c r="EA60" s="706">
        <f t="shared" si="153"/>
        <v>4564952.2613925636</v>
      </c>
      <c r="EB60" s="706">
        <f t="shared" si="153"/>
        <v>4451790.2597244782</v>
      </c>
      <c r="EC60" s="706">
        <f t="shared" si="153"/>
        <v>4280570.3162036845</v>
      </c>
      <c r="ED60" s="113" t="s">
        <v>1</v>
      </c>
    </row>
    <row r="61" spans="1:134" x14ac:dyDescent="0.2">
      <c r="A61" s="698" t="s">
        <v>26</v>
      </c>
      <c r="B61" s="699">
        <v>0</v>
      </c>
      <c r="C61" s="699">
        <v>0</v>
      </c>
      <c r="D61" s="699">
        <v>0</v>
      </c>
      <c r="E61" s="699">
        <v>0</v>
      </c>
      <c r="F61" s="699">
        <v>0</v>
      </c>
      <c r="G61" s="699">
        <v>0</v>
      </c>
      <c r="H61" s="699">
        <v>0</v>
      </c>
      <c r="I61" s="699">
        <v>0</v>
      </c>
      <c r="J61" s="699">
        <v>0</v>
      </c>
      <c r="K61" s="699">
        <v>0</v>
      </c>
      <c r="L61" s="699">
        <v>0</v>
      </c>
      <c r="M61" s="699">
        <v>0</v>
      </c>
      <c r="N61" s="699">
        <v>0</v>
      </c>
      <c r="O61" s="699">
        <v>0</v>
      </c>
      <c r="P61" s="699">
        <v>0</v>
      </c>
      <c r="Q61" s="699">
        <v>0</v>
      </c>
      <c r="R61" s="699">
        <v>0</v>
      </c>
      <c r="S61" s="699">
        <v>0</v>
      </c>
      <c r="T61" s="699">
        <v>0</v>
      </c>
      <c r="U61" s="699">
        <v>0</v>
      </c>
      <c r="V61" s="699">
        <v>0</v>
      </c>
      <c r="W61" s="699">
        <v>0</v>
      </c>
      <c r="X61" s="699">
        <v>0</v>
      </c>
      <c r="Y61" s="699">
        <v>0</v>
      </c>
      <c r="Z61" s="699">
        <v>0</v>
      </c>
      <c r="AA61" s="699">
        <v>0</v>
      </c>
      <c r="AB61" s="699">
        <v>0</v>
      </c>
      <c r="AC61" s="699">
        <v>0</v>
      </c>
      <c r="AD61" s="699">
        <v>0</v>
      </c>
      <c r="AE61" s="699">
        <v>0</v>
      </c>
      <c r="AF61" s="699">
        <v>0</v>
      </c>
      <c r="AG61" s="699">
        <v>0</v>
      </c>
      <c r="AH61" s="699">
        <v>0</v>
      </c>
      <c r="AI61" s="699">
        <v>0</v>
      </c>
      <c r="AJ61" s="699">
        <v>0</v>
      </c>
      <c r="AK61" s="699">
        <v>0</v>
      </c>
      <c r="AL61" s="699">
        <v>0</v>
      </c>
      <c r="AM61" s="699">
        <v>0</v>
      </c>
      <c r="AN61" s="699">
        <v>0</v>
      </c>
      <c r="AO61" s="699">
        <v>0</v>
      </c>
      <c r="AP61" s="699">
        <v>0</v>
      </c>
      <c r="AQ61" s="699">
        <v>0</v>
      </c>
      <c r="AR61" s="699">
        <v>0</v>
      </c>
      <c r="AS61" s="699">
        <v>0</v>
      </c>
      <c r="AT61" s="699">
        <v>0</v>
      </c>
      <c r="AU61" s="699">
        <v>0</v>
      </c>
      <c r="AV61" s="699">
        <v>0</v>
      </c>
      <c r="AW61" s="699">
        <v>0</v>
      </c>
      <c r="AX61" s="699">
        <v>0</v>
      </c>
      <c r="AY61" s="699">
        <v>0</v>
      </c>
      <c r="AZ61" s="699">
        <v>0</v>
      </c>
      <c r="BA61" s="699">
        <v>0</v>
      </c>
      <c r="BB61" s="699">
        <v>0</v>
      </c>
      <c r="BC61" s="699">
        <v>0</v>
      </c>
      <c r="BD61" s="699">
        <v>0</v>
      </c>
      <c r="BE61" s="699">
        <v>0</v>
      </c>
      <c r="BF61" s="699">
        <v>0</v>
      </c>
      <c r="BG61" s="699">
        <v>0</v>
      </c>
      <c r="BH61" s="699">
        <v>0</v>
      </c>
      <c r="BI61" s="699">
        <v>0</v>
      </c>
      <c r="BJ61" s="699">
        <v>0</v>
      </c>
      <c r="BK61" s="699">
        <v>0</v>
      </c>
      <c r="BL61" s="699">
        <v>0</v>
      </c>
      <c r="BM61" s="699">
        <v>0</v>
      </c>
      <c r="BN61" s="699">
        <v>0</v>
      </c>
      <c r="BO61" s="699">
        <v>0</v>
      </c>
      <c r="BP61" s="699">
        <v>0</v>
      </c>
      <c r="BQ61" s="699">
        <v>0</v>
      </c>
      <c r="BR61" s="699">
        <v>0</v>
      </c>
      <c r="BS61" s="699">
        <v>0</v>
      </c>
      <c r="BT61" s="699">
        <v>0</v>
      </c>
      <c r="BU61" s="699">
        <v>0</v>
      </c>
      <c r="BV61" s="699">
        <v>640053.68383771204</v>
      </c>
      <c r="BW61" s="699">
        <v>832117.39586432825</v>
      </c>
      <c r="BX61" s="699">
        <v>798077.43276473368</v>
      </c>
      <c r="BY61" s="699">
        <v>691332.09900162823</v>
      </c>
      <c r="BZ61" s="699">
        <v>459535.56284884963</v>
      </c>
      <c r="CA61" s="699">
        <v>389381.76785639732</v>
      </c>
      <c r="CB61" s="699">
        <v>803818.74939001084</v>
      </c>
      <c r="CC61" s="699">
        <v>925844.33739471238</v>
      </c>
      <c r="CD61" s="699">
        <v>839067.32831994921</v>
      </c>
      <c r="CE61" s="699">
        <v>695218.96789437521</v>
      </c>
      <c r="CF61" s="699">
        <v>674051.7107515937</v>
      </c>
      <c r="CG61" s="699">
        <v>740860.23414878245</v>
      </c>
      <c r="CH61" s="699">
        <v>694381.59214627137</v>
      </c>
      <c r="CI61" s="699">
        <v>1379137.4995081457</v>
      </c>
      <c r="CJ61" s="699">
        <v>1597960.2164936336</v>
      </c>
      <c r="CK61" s="699">
        <v>1364338.9892441572</v>
      </c>
      <c r="CL61" s="699">
        <v>1238721.3283765749</v>
      </c>
      <c r="CM61" s="699">
        <v>897074.8256713025</v>
      </c>
      <c r="CN61" s="699">
        <v>1314486.044394813</v>
      </c>
      <c r="CO61" s="699">
        <v>1516024.2099655271</v>
      </c>
      <c r="CP61" s="699">
        <v>1353092.866679912</v>
      </c>
      <c r="CQ61" s="699">
        <v>1424955.2402915363</v>
      </c>
      <c r="CR61" s="699">
        <v>1619602.7222779524</v>
      </c>
      <c r="CS61" s="699">
        <v>1382520.210112412</v>
      </c>
      <c r="CT61" s="130">
        <f t="shared" ref="CT61:EC61" si="154">CT84*CT46</f>
        <v>1618502.208565006</v>
      </c>
      <c r="CU61" s="706">
        <f t="shared" si="154"/>
        <v>1677584.4050768777</v>
      </c>
      <c r="CV61" s="706">
        <f t="shared" si="154"/>
        <v>1575977.9855306032</v>
      </c>
      <c r="CW61" s="706">
        <f t="shared" si="154"/>
        <v>1577326.2593483215</v>
      </c>
      <c r="CX61" s="706">
        <f t="shared" si="154"/>
        <v>1466594.8434853205</v>
      </c>
      <c r="CY61" s="706">
        <f t="shared" si="154"/>
        <v>1278927.474415997</v>
      </c>
      <c r="CZ61" s="706">
        <f t="shared" si="154"/>
        <v>1496210.4649621048</v>
      </c>
      <c r="DA61" s="706">
        <f t="shared" si="154"/>
        <v>1852846.6219918155</v>
      </c>
      <c r="DB61" s="706">
        <f t="shared" si="154"/>
        <v>2064594.1252036819</v>
      </c>
      <c r="DC61" s="706">
        <f t="shared" si="154"/>
        <v>1932064.6891095168</v>
      </c>
      <c r="DD61" s="706">
        <f t="shared" si="154"/>
        <v>1884170.144971357</v>
      </c>
      <c r="DE61" s="706">
        <f t="shared" si="154"/>
        <v>1811703.2300934922</v>
      </c>
      <c r="DF61" s="706">
        <f t="shared" si="154"/>
        <v>2023127.7607062571</v>
      </c>
      <c r="DG61" s="706">
        <f t="shared" si="154"/>
        <v>2096980.5063460972</v>
      </c>
      <c r="DH61" s="706">
        <f t="shared" si="154"/>
        <v>1969972.4819132537</v>
      </c>
      <c r="DI61" s="706">
        <f t="shared" si="154"/>
        <v>1971657.824185401</v>
      </c>
      <c r="DJ61" s="706">
        <f t="shared" si="154"/>
        <v>1833243.5543566502</v>
      </c>
      <c r="DK61" s="706">
        <f t="shared" si="154"/>
        <v>1598659.3430199954</v>
      </c>
      <c r="DL61" s="706">
        <f t="shared" si="154"/>
        <v>1870263.0812026302</v>
      </c>
      <c r="DM61" s="706">
        <f t="shared" si="154"/>
        <v>2316058.2774897688</v>
      </c>
      <c r="DN61" s="706">
        <f t="shared" si="154"/>
        <v>2580742.6565046017</v>
      </c>
      <c r="DO61" s="706">
        <f t="shared" si="154"/>
        <v>2415080.8613868956</v>
      </c>
      <c r="DP61" s="706">
        <f t="shared" si="154"/>
        <v>2355212.6812141961</v>
      </c>
      <c r="DQ61" s="706">
        <f t="shared" si="154"/>
        <v>2264629.0376168652</v>
      </c>
      <c r="DR61" s="706">
        <f t="shared" si="154"/>
        <v>2427753.312847509</v>
      </c>
      <c r="DS61" s="706">
        <f t="shared" si="154"/>
        <v>2516376.6076153163</v>
      </c>
      <c r="DT61" s="706">
        <f t="shared" si="154"/>
        <v>2363966.9782959041</v>
      </c>
      <c r="DU61" s="706">
        <f t="shared" si="154"/>
        <v>2365989.3890224812</v>
      </c>
      <c r="DV61" s="706">
        <f t="shared" si="154"/>
        <v>2199892.26522798</v>
      </c>
      <c r="DW61" s="706">
        <f t="shared" si="154"/>
        <v>1918391.2116239946</v>
      </c>
      <c r="DX61" s="706">
        <f t="shared" si="154"/>
        <v>2244315.697443156</v>
      </c>
      <c r="DY61" s="706">
        <f t="shared" si="154"/>
        <v>2779269.932987724</v>
      </c>
      <c r="DZ61" s="706">
        <f t="shared" si="154"/>
        <v>3096891.1878055227</v>
      </c>
      <c r="EA61" s="706">
        <f t="shared" si="154"/>
        <v>2898097.033664275</v>
      </c>
      <c r="EB61" s="706">
        <f t="shared" si="154"/>
        <v>2826255.2174570351</v>
      </c>
      <c r="EC61" s="706">
        <f t="shared" si="154"/>
        <v>2717554.8451402378</v>
      </c>
      <c r="ED61" s="113" t="s">
        <v>1</v>
      </c>
    </row>
    <row r="62" spans="1:134" x14ac:dyDescent="0.2">
      <c r="A62" s="698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129"/>
      <c r="BQ62" s="129"/>
      <c r="BR62" s="129"/>
      <c r="BS62" s="129"/>
      <c r="BT62" s="129"/>
      <c r="BU62" s="129"/>
      <c r="BV62" s="129"/>
      <c r="BW62" s="129"/>
      <c r="BX62" s="129"/>
      <c r="BY62" s="129"/>
      <c r="BZ62" s="129"/>
      <c r="CA62" s="129"/>
      <c r="CB62" s="129"/>
      <c r="CC62" s="129"/>
      <c r="CD62" s="129"/>
      <c r="CE62" s="129"/>
      <c r="CF62" s="129"/>
      <c r="CG62" s="129"/>
      <c r="CH62" s="129"/>
      <c r="CI62" s="129"/>
      <c r="CJ62" s="129"/>
      <c r="CK62" s="129"/>
      <c r="CL62" s="129"/>
      <c r="CM62" s="129"/>
      <c r="CN62" s="129"/>
      <c r="CO62" s="129"/>
      <c r="CP62" s="129"/>
      <c r="CQ62" s="129"/>
      <c r="CR62" s="129"/>
      <c r="CS62" s="129"/>
      <c r="CT62" s="706"/>
      <c r="CU62" s="706"/>
      <c r="CV62" s="706"/>
      <c r="CW62" s="706"/>
      <c r="CX62" s="706"/>
      <c r="CY62" s="706"/>
      <c r="CZ62" s="706"/>
      <c r="DA62" s="706"/>
      <c r="DB62" s="706"/>
      <c r="DC62" s="706"/>
      <c r="DD62" s="706"/>
      <c r="DE62" s="706"/>
      <c r="DF62" s="706"/>
      <c r="DG62" s="706"/>
      <c r="DH62" s="706"/>
      <c r="DI62" s="706"/>
      <c r="DJ62" s="706"/>
      <c r="DK62" s="706"/>
      <c r="DL62" s="706"/>
      <c r="DM62" s="706"/>
      <c r="DN62" s="706"/>
      <c r="DO62" s="706"/>
      <c r="DP62" s="706"/>
      <c r="DQ62" s="706"/>
      <c r="DR62" s="115"/>
      <c r="DS62" s="115"/>
      <c r="DT62" s="115"/>
      <c r="DU62" s="115"/>
      <c r="DV62" s="115"/>
      <c r="DW62" s="115"/>
      <c r="DX62" s="115"/>
      <c r="DY62" s="115"/>
      <c r="DZ62" s="115"/>
      <c r="EA62" s="115"/>
      <c r="EB62" s="115"/>
      <c r="EC62" s="115"/>
      <c r="ED62" s="113" t="s">
        <v>1</v>
      </c>
    </row>
    <row r="63" spans="1:134" x14ac:dyDescent="0.2">
      <c r="A63" s="698" t="s">
        <v>102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9"/>
      <c r="AX63" s="129"/>
      <c r="AY63" s="129"/>
      <c r="AZ63" s="699">
        <v>59968517.106313601</v>
      </c>
      <c r="BA63" s="699">
        <v>65267957.010639675</v>
      </c>
      <c r="BB63" s="699">
        <v>63835874.599490188</v>
      </c>
      <c r="BC63" s="699">
        <v>123354837.18579434</v>
      </c>
      <c r="BD63" s="699">
        <v>106359414.07842025</v>
      </c>
      <c r="BE63" s="699">
        <v>123454705.37352313</v>
      </c>
      <c r="BF63" s="699">
        <v>145811097.23278895</v>
      </c>
      <c r="BG63" s="699">
        <v>114391808.56671195</v>
      </c>
      <c r="BH63" s="699">
        <v>56626670.372501083</v>
      </c>
      <c r="BI63" s="699">
        <v>58500692.615247548</v>
      </c>
      <c r="BJ63" s="699">
        <v>36169325.352342136</v>
      </c>
      <c r="BK63" s="699">
        <v>32858151.881928664</v>
      </c>
      <c r="BL63" s="699">
        <v>35284583.942689069</v>
      </c>
      <c r="BM63" s="699">
        <v>15534155.017441222</v>
      </c>
      <c r="BN63" s="699">
        <v>11801731.049404914</v>
      </c>
      <c r="BO63" s="699">
        <v>16599595.080077916</v>
      </c>
      <c r="BP63" s="699">
        <v>25730803.01132343</v>
      </c>
      <c r="BQ63" s="699">
        <v>49883983.127170503</v>
      </c>
      <c r="BR63" s="699">
        <v>41121429.750212014</v>
      </c>
      <c r="BS63" s="699">
        <v>29991437.542561319</v>
      </c>
      <c r="BT63" s="699">
        <v>17478259.412907161</v>
      </c>
      <c r="BU63" s="699">
        <v>34648196.879740648</v>
      </c>
      <c r="BV63" s="699">
        <v>29039792.337686662</v>
      </c>
      <c r="BW63" s="699">
        <v>24723778.753621038</v>
      </c>
      <c r="BX63" s="699">
        <v>9679846.1363595631</v>
      </c>
      <c r="BY63" s="699">
        <v>25197158.072473932</v>
      </c>
      <c r="BZ63" s="699">
        <v>32392617.209669191</v>
      </c>
      <c r="CA63" s="699">
        <v>42532724.70223172</v>
      </c>
      <c r="CB63" s="699">
        <v>30108076.323963448</v>
      </c>
      <c r="CC63" s="699">
        <v>15488558.938895656</v>
      </c>
      <c r="CD63" s="699">
        <v>46034973.73976633</v>
      </c>
      <c r="CE63" s="699">
        <v>69436693.927038357</v>
      </c>
      <c r="CF63" s="699">
        <v>37207840.493031323</v>
      </c>
      <c r="CG63" s="699">
        <v>82008602.370912194</v>
      </c>
      <c r="CH63" s="699">
        <v>60717888.313432008</v>
      </c>
      <c r="CI63" s="699">
        <v>59194094.348433867</v>
      </c>
      <c r="CJ63" s="699">
        <v>32216699.122869954</v>
      </c>
      <c r="CK63" s="699">
        <v>32877790.695712276</v>
      </c>
      <c r="CL63" s="699">
        <v>22729120.31068664</v>
      </c>
      <c r="CM63" s="699">
        <v>21031998.7227332</v>
      </c>
      <c r="CN63" s="699">
        <v>26744236.714648008</v>
      </c>
      <c r="CO63" s="699">
        <v>48055141.540408328</v>
      </c>
      <c r="CP63" s="699">
        <v>89051342.298351422</v>
      </c>
      <c r="CQ63" s="699">
        <v>67800452.079890102</v>
      </c>
      <c r="CR63" s="699">
        <v>36890915.523608893</v>
      </c>
      <c r="CS63" s="699">
        <v>36614813.738506034</v>
      </c>
      <c r="CT63" s="130">
        <f>SUM(CH63:CS63)/SUM(CH54:CS54)*CT54</f>
        <v>54880982.125860199</v>
      </c>
      <c r="CU63" s="130">
        <f t="shared" ref="CU63:EC63" si="155">CT63/CT54*CU54</f>
        <v>56884370.785798699</v>
      </c>
      <c r="CV63" s="130">
        <f t="shared" si="155"/>
        <v>53439049.509446703</v>
      </c>
      <c r="CW63" s="130">
        <f t="shared" si="155"/>
        <v>53484767.452183746</v>
      </c>
      <c r="CX63" s="130">
        <f t="shared" si="155"/>
        <v>49730031.2383008</v>
      </c>
      <c r="CY63" s="130">
        <f t="shared" si="155"/>
        <v>43366512.255751893</v>
      </c>
      <c r="CZ63" s="130">
        <f t="shared" si="155"/>
        <v>50734252.538903587</v>
      </c>
      <c r="DA63" s="130">
        <f t="shared" si="155"/>
        <v>62827249.666622318</v>
      </c>
      <c r="DB63" s="130">
        <f t="shared" si="155"/>
        <v>70007289.877546281</v>
      </c>
      <c r="DC63" s="130">
        <f t="shared" si="155"/>
        <v>65513415.494833574</v>
      </c>
      <c r="DD63" s="130">
        <f t="shared" si="155"/>
        <v>63889383.345317364</v>
      </c>
      <c r="DE63" s="130">
        <f t="shared" si="155"/>
        <v>61432138.962775268</v>
      </c>
      <c r="DF63" s="130">
        <f t="shared" si="155"/>
        <v>67955104.785115883</v>
      </c>
      <c r="DG63" s="130">
        <f t="shared" si="155"/>
        <v>70435754.384265155</v>
      </c>
      <c r="DH63" s="130">
        <f t="shared" si="155"/>
        <v>66169665.12558607</v>
      </c>
      <c r="DI63" s="130">
        <f t="shared" si="155"/>
        <v>66226274.309112161</v>
      </c>
      <c r="DJ63" s="130">
        <f t="shared" si="155"/>
        <v>61577059.171712972</v>
      </c>
      <c r="DK63" s="130">
        <f t="shared" si="155"/>
        <v>53697579.204144754</v>
      </c>
      <c r="DL63" s="130">
        <f t="shared" si="155"/>
        <v>62820512.934136644</v>
      </c>
      <c r="DM63" s="130">
        <f t="shared" si="155"/>
        <v>77794386.490109429</v>
      </c>
      <c r="DN63" s="130">
        <f t="shared" si="155"/>
        <v>86684904.953786328</v>
      </c>
      <c r="DO63" s="130">
        <f t="shared" si="155"/>
        <v>81120469.101161689</v>
      </c>
      <c r="DP63" s="130">
        <f t="shared" si="155"/>
        <v>79109548.913150549</v>
      </c>
      <c r="DQ63" s="130">
        <f t="shared" si="155"/>
        <v>76066922.979173288</v>
      </c>
      <c r="DR63" s="130">
        <f t="shared" si="155"/>
        <v>80778531.769954309</v>
      </c>
      <c r="DS63" s="130">
        <f t="shared" si="155"/>
        <v>83727290.852714151</v>
      </c>
      <c r="DT63" s="130">
        <f t="shared" si="155"/>
        <v>78656171.79837124</v>
      </c>
      <c r="DU63" s="130">
        <f t="shared" si="155"/>
        <v>78723463.383667052</v>
      </c>
      <c r="DV63" s="130">
        <f t="shared" si="155"/>
        <v>73196920.913173944</v>
      </c>
      <c r="DW63" s="130">
        <f t="shared" si="155"/>
        <v>63830548.439706124</v>
      </c>
      <c r="DX63" s="130">
        <f t="shared" si="155"/>
        <v>74675019.866446525</v>
      </c>
      <c r="DY63" s="130">
        <f t="shared" si="155"/>
        <v>92474529.183447227</v>
      </c>
      <c r="DZ63" s="130">
        <f t="shared" si="155"/>
        <v>103042727.56148557</v>
      </c>
      <c r="EA63" s="130">
        <f t="shared" si="155"/>
        <v>96428258.203746259</v>
      </c>
      <c r="EB63" s="130">
        <f t="shared" si="155"/>
        <v>94037868.536807194</v>
      </c>
      <c r="EC63" s="130">
        <f t="shared" si="155"/>
        <v>90421085.71454449</v>
      </c>
      <c r="ED63" s="113" t="s">
        <v>1</v>
      </c>
    </row>
    <row r="64" spans="1:134" x14ac:dyDescent="0.2">
      <c r="A64" s="698" t="s">
        <v>101</v>
      </c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9"/>
      <c r="AX64" s="129"/>
      <c r="AY64" s="129"/>
      <c r="AZ64" s="699">
        <v>196271563.96449715</v>
      </c>
      <c r="BA64" s="699">
        <v>214793669.9689199</v>
      </c>
      <c r="BB64" s="699">
        <v>247078673.91493225</v>
      </c>
      <c r="BC64" s="699">
        <v>215303758.57817698</v>
      </c>
      <c r="BD64" s="699">
        <v>279754562.75871587</v>
      </c>
      <c r="BE64" s="699">
        <v>286497546.12529761</v>
      </c>
      <c r="BF64" s="699">
        <v>360271246.38345116</v>
      </c>
      <c r="BG64" s="699">
        <v>347126444.39342529</v>
      </c>
      <c r="BH64" s="699">
        <v>318294032.30605453</v>
      </c>
      <c r="BI64" s="699">
        <v>345502281.24314451</v>
      </c>
      <c r="BJ64" s="699">
        <v>328098736.76728386</v>
      </c>
      <c r="BK64" s="699">
        <v>341818919.26234627</v>
      </c>
      <c r="BL64" s="699">
        <v>243916258.53887999</v>
      </c>
      <c r="BM64" s="699">
        <v>240943512.91255921</v>
      </c>
      <c r="BN64" s="699">
        <v>263178428.69635341</v>
      </c>
      <c r="BO64" s="699">
        <v>255548798.77452642</v>
      </c>
      <c r="BP64" s="699">
        <v>224867483.64889351</v>
      </c>
      <c r="BQ64" s="699">
        <v>261301885.34905466</v>
      </c>
      <c r="BR64" s="699">
        <v>251563835.54933065</v>
      </c>
      <c r="BS64" s="699">
        <v>246766269.4599781</v>
      </c>
      <c r="BT64" s="699">
        <v>248329023.16168702</v>
      </c>
      <c r="BU64" s="699">
        <v>236946964.30218992</v>
      </c>
      <c r="BV64" s="699">
        <v>246015836.52099323</v>
      </c>
      <c r="BW64" s="699">
        <v>257713412.22415501</v>
      </c>
      <c r="BX64" s="699">
        <v>260996422.83460703</v>
      </c>
      <c r="BY64" s="699">
        <v>240601386.39326981</v>
      </c>
      <c r="BZ64" s="699">
        <v>222345844.2488333</v>
      </c>
      <c r="CA64" s="699">
        <v>181577008.94835043</v>
      </c>
      <c r="CB64" s="699">
        <v>234285558.72758681</v>
      </c>
      <c r="CC64" s="699">
        <v>252904970.89250752</v>
      </c>
      <c r="CD64" s="699">
        <v>262322726.95844513</v>
      </c>
      <c r="CE64" s="699">
        <v>284752029.96560496</v>
      </c>
      <c r="CF64" s="699">
        <v>365860347.63338917</v>
      </c>
      <c r="CG64" s="699">
        <v>436214745.67257863</v>
      </c>
      <c r="CH64" s="699">
        <v>364859545.61798644</v>
      </c>
      <c r="CI64" s="699">
        <v>360453769.92801833</v>
      </c>
      <c r="CJ64" s="699">
        <v>384313278.59972775</v>
      </c>
      <c r="CK64" s="699">
        <v>383744273.27772212</v>
      </c>
      <c r="CL64" s="699">
        <v>324675689.22340035</v>
      </c>
      <c r="CM64" s="699">
        <v>283900907.76497459</v>
      </c>
      <c r="CN64" s="699">
        <v>360338072.55337697</v>
      </c>
      <c r="CO64" s="699">
        <v>423052389.73483932</v>
      </c>
      <c r="CP64" s="699">
        <v>510230624.53010958</v>
      </c>
      <c r="CQ64" s="699">
        <v>558200333.07212567</v>
      </c>
      <c r="CR64" s="699">
        <v>511478902.7141394</v>
      </c>
      <c r="CS64" s="699">
        <v>496827913.66003001</v>
      </c>
      <c r="CT64" s="130">
        <f>SUM(CH64:CS64)/SUM(CH54:CS54)*CT54</f>
        <v>510041384.49823731</v>
      </c>
      <c r="CU64" s="130">
        <f t="shared" ref="CU64:EC64" si="156">CU54-CU63</f>
        <v>527836218.46556675</v>
      </c>
      <c r="CV64" s="130">
        <f t="shared" si="156"/>
        <v>495866710.34256214</v>
      </c>
      <c r="CW64" s="130">
        <f t="shared" si="156"/>
        <v>496290932.06949687</v>
      </c>
      <c r="CX64" s="130">
        <f t="shared" si="156"/>
        <v>461450329.33285773</v>
      </c>
      <c r="CY64" s="130">
        <f t="shared" si="156"/>
        <v>402402549.60913402</v>
      </c>
      <c r="CZ64" s="130">
        <f t="shared" si="156"/>
        <v>470768607.2093721</v>
      </c>
      <c r="DA64" s="130">
        <f t="shared" si="156"/>
        <v>582980833.26784468</v>
      </c>
      <c r="DB64" s="130">
        <f t="shared" si="156"/>
        <v>649605201.63144732</v>
      </c>
      <c r="DC64" s="130">
        <f t="shared" si="156"/>
        <v>607906056.01968753</v>
      </c>
      <c r="DD64" s="130">
        <f t="shared" si="156"/>
        <v>592836486.35361767</v>
      </c>
      <c r="DE64" s="130">
        <f t="shared" si="156"/>
        <v>570035450.41334534</v>
      </c>
      <c r="DF64" s="130">
        <f t="shared" si="156"/>
        <v>630562754.57936013</v>
      </c>
      <c r="DG64" s="130">
        <f t="shared" si="156"/>
        <v>653580970.05164874</v>
      </c>
      <c r="DH64" s="130">
        <f t="shared" si="156"/>
        <v>613995467.2003119</v>
      </c>
      <c r="DI64" s="130">
        <f t="shared" si="156"/>
        <v>614520749.92648196</v>
      </c>
      <c r="DJ64" s="130">
        <f t="shared" si="156"/>
        <v>571380180.67946637</v>
      </c>
      <c r="DK64" s="130">
        <f t="shared" si="156"/>
        <v>498265635.29374653</v>
      </c>
      <c r="DL64" s="130">
        <f t="shared" si="156"/>
        <v>582918322.39972866</v>
      </c>
      <c r="DM64" s="130">
        <f t="shared" si="156"/>
        <v>721862511.89121914</v>
      </c>
      <c r="DN64" s="130">
        <f t="shared" si="156"/>
        <v>804358592.64662182</v>
      </c>
      <c r="DO64" s="130">
        <f t="shared" si="156"/>
        <v>752725591.5644182</v>
      </c>
      <c r="DP64" s="130">
        <f t="shared" si="156"/>
        <v>734066046.01590955</v>
      </c>
      <c r="DQ64" s="130">
        <f t="shared" si="156"/>
        <v>705833191.45479751</v>
      </c>
      <c r="DR64" s="130">
        <f t="shared" si="156"/>
        <v>749552718.14833796</v>
      </c>
      <c r="DS64" s="130">
        <f t="shared" si="156"/>
        <v>776914572.06197083</v>
      </c>
      <c r="DT64" s="130">
        <f t="shared" si="156"/>
        <v>729859110.81564057</v>
      </c>
      <c r="DU64" s="130">
        <f t="shared" si="156"/>
        <v>730483516.70123672</v>
      </c>
      <c r="DV64" s="130">
        <f t="shared" si="156"/>
        <v>679202132.40327251</v>
      </c>
      <c r="DW64" s="130">
        <f t="shared" si="156"/>
        <v>592290550.9119029</v>
      </c>
      <c r="DX64" s="130">
        <f t="shared" si="156"/>
        <v>692917572.18463492</v>
      </c>
      <c r="DY64" s="130">
        <f t="shared" si="156"/>
        <v>858081140.99348259</v>
      </c>
      <c r="DZ64" s="130">
        <f t="shared" si="156"/>
        <v>956144594.81743407</v>
      </c>
      <c r="EA64" s="130">
        <f t="shared" si="156"/>
        <v>894768219.46659493</v>
      </c>
      <c r="EB64" s="130">
        <f t="shared" si="156"/>
        <v>872587535.65086961</v>
      </c>
      <c r="EC64" s="130">
        <f t="shared" si="156"/>
        <v>839027017.33023858</v>
      </c>
      <c r="ED64" s="113" t="s">
        <v>1</v>
      </c>
    </row>
    <row r="65" spans="1:134" x14ac:dyDescent="0.2">
      <c r="A65" s="698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9"/>
      <c r="AX65" s="129"/>
      <c r="AY65" s="129"/>
      <c r="AZ65" s="129"/>
      <c r="BA65" s="129"/>
      <c r="BB65" s="129"/>
      <c r="BC65" s="129"/>
      <c r="BD65" s="129"/>
      <c r="BE65" s="129"/>
      <c r="BF65" s="129"/>
      <c r="BG65" s="129"/>
      <c r="BH65" s="129"/>
      <c r="BI65" s="129"/>
      <c r="BJ65" s="129"/>
      <c r="BK65" s="129"/>
      <c r="BL65" s="129"/>
      <c r="BM65" s="129"/>
      <c r="BN65" s="129"/>
      <c r="BO65" s="129"/>
      <c r="BP65" s="129"/>
      <c r="BQ65" s="129"/>
      <c r="BR65" s="129"/>
      <c r="BS65" s="129"/>
      <c r="BT65" s="129"/>
      <c r="BU65" s="129"/>
      <c r="BV65" s="129"/>
      <c r="BW65" s="129"/>
      <c r="BX65" s="129"/>
      <c r="BY65" s="129"/>
      <c r="BZ65" s="129"/>
      <c r="CA65" s="129"/>
      <c r="CB65" s="129"/>
      <c r="CC65" s="129"/>
      <c r="CD65" s="129"/>
      <c r="CE65" s="129"/>
      <c r="CF65" s="129"/>
      <c r="CG65" s="129"/>
      <c r="CH65" s="129"/>
      <c r="CI65" s="129"/>
      <c r="CJ65" s="129"/>
      <c r="CK65" s="129"/>
      <c r="CL65" s="129"/>
      <c r="CM65" s="129"/>
      <c r="CN65" s="129"/>
      <c r="CO65" s="129"/>
      <c r="CP65" s="129"/>
      <c r="CQ65" s="129"/>
      <c r="CR65" s="129"/>
      <c r="CS65" s="115"/>
      <c r="CT65" s="115"/>
      <c r="CU65" s="115"/>
      <c r="CV65" s="115"/>
      <c r="CW65" s="115"/>
      <c r="CX65" s="115"/>
      <c r="CY65" s="115"/>
      <c r="CZ65" s="115"/>
      <c r="DA65" s="115"/>
      <c r="DB65" s="115"/>
      <c r="DC65" s="115"/>
      <c r="DD65" s="115"/>
      <c r="DE65" s="115"/>
      <c r="DF65" s="115"/>
      <c r="DG65" s="115"/>
      <c r="DH65" s="115"/>
      <c r="DI65" s="115"/>
      <c r="DJ65" s="115"/>
      <c r="DK65" s="115"/>
      <c r="DL65" s="115"/>
      <c r="DM65" s="115"/>
      <c r="DN65" s="115"/>
      <c r="DO65" s="115"/>
      <c r="DP65" s="115"/>
      <c r="DQ65" s="115"/>
      <c r="DR65" s="115"/>
      <c r="DS65" s="115"/>
      <c r="DT65" s="115"/>
      <c r="DU65" s="115"/>
      <c r="DV65" s="115"/>
      <c r="DW65" s="115"/>
      <c r="DX65" s="115"/>
      <c r="DY65" s="115"/>
      <c r="DZ65" s="115"/>
      <c r="EA65" s="115"/>
      <c r="EB65" s="115"/>
      <c r="EC65" s="115"/>
      <c r="ED65" s="113" t="s">
        <v>1</v>
      </c>
    </row>
    <row r="66" spans="1:134" x14ac:dyDescent="0.2">
      <c r="A66" s="700" t="s">
        <v>100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  <c r="AN66" s="129"/>
      <c r="AO66" s="129"/>
      <c r="AP66" s="129"/>
      <c r="AQ66" s="129"/>
      <c r="AR66" s="129"/>
      <c r="AS66" s="129"/>
      <c r="AT66" s="129"/>
      <c r="AU66" s="129"/>
      <c r="AV66" s="129"/>
      <c r="AW66" s="129"/>
      <c r="AX66" s="129"/>
      <c r="AY66" s="129"/>
      <c r="AZ66" s="129"/>
      <c r="BA66" s="129"/>
      <c r="BB66" s="129"/>
      <c r="BC66" s="129"/>
      <c r="BD66" s="129"/>
      <c r="BE66" s="129"/>
      <c r="BF66" s="129"/>
      <c r="BG66" s="129"/>
      <c r="BH66" s="129"/>
      <c r="BI66" s="129"/>
      <c r="BJ66" s="129"/>
      <c r="BK66" s="129"/>
      <c r="BL66" s="129"/>
      <c r="BM66" s="129"/>
      <c r="BN66" s="129"/>
      <c r="BO66" s="129"/>
      <c r="BP66" s="129"/>
      <c r="BQ66" s="129"/>
      <c r="BR66" s="129"/>
      <c r="BS66" s="129"/>
      <c r="BT66" s="129"/>
      <c r="BU66" s="129"/>
      <c r="BV66" s="129"/>
      <c r="BW66" s="129"/>
      <c r="BX66" s="129"/>
      <c r="BY66" s="129"/>
      <c r="BZ66" s="129"/>
      <c r="CA66" s="129"/>
      <c r="CB66" s="129"/>
      <c r="CC66" s="129"/>
      <c r="CD66" s="129"/>
      <c r="CE66" s="129"/>
      <c r="CF66" s="129"/>
      <c r="CG66" s="129"/>
      <c r="CH66" s="129"/>
      <c r="CI66" s="129"/>
      <c r="CJ66" s="129"/>
      <c r="CK66" s="129"/>
      <c r="CL66" s="129"/>
      <c r="CM66" s="129"/>
      <c r="CN66" s="129"/>
      <c r="CO66" s="129"/>
      <c r="CP66" s="129"/>
      <c r="CQ66" s="129"/>
      <c r="CR66" s="129"/>
      <c r="CS66" s="115"/>
      <c r="CT66" s="115"/>
      <c r="CU66" s="115"/>
      <c r="CV66" s="115"/>
      <c r="CW66" s="115"/>
      <c r="CX66" s="115"/>
      <c r="CY66" s="115"/>
      <c r="CZ66" s="115"/>
      <c r="DA66" s="115"/>
      <c r="DB66" s="115"/>
      <c r="DC66" s="115"/>
      <c r="DD66" s="115"/>
      <c r="DE66" s="115"/>
      <c r="DF66" s="115"/>
      <c r="DG66" s="115"/>
      <c r="DH66" s="115"/>
      <c r="DI66" s="115"/>
      <c r="DJ66" s="115"/>
      <c r="DK66" s="115"/>
      <c r="DL66" s="115"/>
      <c r="DM66" s="115"/>
      <c r="DN66" s="115"/>
      <c r="DO66" s="115"/>
      <c r="DP66" s="115"/>
      <c r="DQ66" s="115"/>
      <c r="DR66" s="115"/>
      <c r="DS66" s="115"/>
      <c r="DT66" s="115"/>
      <c r="DU66" s="115"/>
      <c r="DV66" s="115"/>
      <c r="DW66" s="115"/>
      <c r="DX66" s="115"/>
      <c r="DY66" s="115"/>
      <c r="DZ66" s="115"/>
      <c r="EA66" s="115"/>
      <c r="EB66" s="115"/>
      <c r="EC66" s="115"/>
      <c r="ED66" s="113" t="s">
        <v>1</v>
      </c>
    </row>
    <row r="67" spans="1:134" x14ac:dyDescent="0.2">
      <c r="A67" s="707" t="s">
        <v>244</v>
      </c>
      <c r="B67" s="134">
        <f t="shared" ref="B67:AG67" si="157">B55/B37</f>
        <v>0.92635530238308761</v>
      </c>
      <c r="C67" s="134">
        <f t="shared" si="157"/>
        <v>0.92846826569998864</v>
      </c>
      <c r="D67" s="134">
        <f t="shared" si="157"/>
        <v>0.92951043862023608</v>
      </c>
      <c r="E67" s="134">
        <f t="shared" si="157"/>
        <v>0.90950115703351675</v>
      </c>
      <c r="F67" s="134">
        <f t="shared" si="157"/>
        <v>0.92488569132499532</v>
      </c>
      <c r="G67" s="134">
        <f t="shared" si="157"/>
        <v>0.90504681308331492</v>
      </c>
      <c r="H67" s="134">
        <f t="shared" si="157"/>
        <v>0.97456321189384443</v>
      </c>
      <c r="I67" s="134">
        <f t="shared" si="157"/>
        <v>0.90585010644395447</v>
      </c>
      <c r="J67" s="134">
        <f t="shared" si="157"/>
        <v>0.94438433671116906</v>
      </c>
      <c r="K67" s="134">
        <f t="shared" si="157"/>
        <v>0.97773756945632895</v>
      </c>
      <c r="L67" s="134">
        <f t="shared" si="157"/>
        <v>0.94930657368869797</v>
      </c>
      <c r="M67" s="134">
        <f t="shared" si="157"/>
        <v>0.93351116259279421</v>
      </c>
      <c r="N67" s="134">
        <f t="shared" si="157"/>
        <v>0.94315598922533561</v>
      </c>
      <c r="O67" s="134">
        <f t="shared" si="157"/>
        <v>0.94724706788770519</v>
      </c>
      <c r="P67" s="134">
        <f t="shared" si="157"/>
        <v>0.93809620926568138</v>
      </c>
      <c r="Q67" s="134">
        <f t="shared" si="157"/>
        <v>0.9137005874074503</v>
      </c>
      <c r="R67" s="134">
        <f t="shared" si="157"/>
        <v>0.91553183399068527</v>
      </c>
      <c r="S67" s="134">
        <f t="shared" si="157"/>
        <v>0.93414810122901404</v>
      </c>
      <c r="T67" s="134">
        <f t="shared" si="157"/>
        <v>0.91907035022735251</v>
      </c>
      <c r="U67" s="134">
        <f t="shared" si="157"/>
        <v>0.90896237397828739</v>
      </c>
      <c r="V67" s="134">
        <f t="shared" si="157"/>
        <v>0.92320719078801183</v>
      </c>
      <c r="W67" s="134">
        <f t="shared" si="157"/>
        <v>0.90601625998918445</v>
      </c>
      <c r="X67" s="134">
        <f t="shared" si="157"/>
        <v>0.8853576246302447</v>
      </c>
      <c r="Y67" s="134">
        <f t="shared" si="157"/>
        <v>0.89952442837330515</v>
      </c>
      <c r="Z67" s="134">
        <f t="shared" si="157"/>
        <v>0.64338973231781083</v>
      </c>
      <c r="AA67" s="134">
        <f t="shared" si="157"/>
        <v>0.86920861181423792</v>
      </c>
      <c r="AB67" s="134">
        <f t="shared" si="157"/>
        <v>0.92096168889814378</v>
      </c>
      <c r="AC67" s="134">
        <f t="shared" si="157"/>
        <v>0.89890784843419236</v>
      </c>
      <c r="AD67" s="134">
        <f t="shared" si="157"/>
        <v>0.87229902644151824</v>
      </c>
      <c r="AE67" s="134">
        <f t="shared" si="157"/>
        <v>0.88372322861645147</v>
      </c>
      <c r="AF67" s="134">
        <f t="shared" si="157"/>
        <v>0.90824612410934225</v>
      </c>
      <c r="AG67" s="134">
        <f t="shared" si="157"/>
        <v>0.87085991331436208</v>
      </c>
      <c r="AH67" s="134">
        <f t="shared" ref="AH67:BM67" si="158">AH55/AH37</f>
        <v>0.91005109318519262</v>
      </c>
      <c r="AI67" s="134">
        <f t="shared" si="158"/>
        <v>0.92695125372981346</v>
      </c>
      <c r="AJ67" s="134">
        <f t="shared" si="158"/>
        <v>0.91959425017741137</v>
      </c>
      <c r="AK67" s="134">
        <f t="shared" si="158"/>
        <v>0.91748008636671041</v>
      </c>
      <c r="AL67" s="134">
        <f t="shared" si="158"/>
        <v>0.93303151503658122</v>
      </c>
      <c r="AM67" s="134">
        <f t="shared" si="158"/>
        <v>0.91137352394632398</v>
      </c>
      <c r="AN67" s="134">
        <f t="shared" si="158"/>
        <v>0.89029170014690895</v>
      </c>
      <c r="AO67" s="134">
        <f t="shared" si="158"/>
        <v>0.90263360804703607</v>
      </c>
      <c r="AP67" s="134">
        <f t="shared" si="158"/>
        <v>0.89799323614028548</v>
      </c>
      <c r="AQ67" s="134">
        <f t="shared" si="158"/>
        <v>0.90480231993558802</v>
      </c>
      <c r="AR67" s="134">
        <f t="shared" si="158"/>
        <v>0.9023909796555859</v>
      </c>
      <c r="AS67" s="134">
        <f t="shared" si="158"/>
        <v>0.92627616455777961</v>
      </c>
      <c r="AT67" s="134">
        <f t="shared" si="158"/>
        <v>0.93179576467678682</v>
      </c>
      <c r="AU67" s="134">
        <f t="shared" si="158"/>
        <v>0.96262001716299439</v>
      </c>
      <c r="AV67" s="134">
        <f t="shared" si="158"/>
        <v>0.97938241372789137</v>
      </c>
      <c r="AW67" s="134">
        <f t="shared" si="158"/>
        <v>0.96155993319206368</v>
      </c>
      <c r="AX67" s="134">
        <f t="shared" si="158"/>
        <v>0.97665718050455053</v>
      </c>
      <c r="AY67" s="134">
        <f t="shared" si="158"/>
        <v>0.99030854256051204</v>
      </c>
      <c r="AZ67" s="134">
        <f t="shared" si="158"/>
        <v>0.96896967604175077</v>
      </c>
      <c r="BA67" s="134">
        <f t="shared" si="158"/>
        <v>0.92004538801675206</v>
      </c>
      <c r="BB67" s="134">
        <f t="shared" si="158"/>
        <v>0.95312133336085902</v>
      </c>
      <c r="BC67" s="134">
        <f t="shared" si="158"/>
        <v>0.97486160244525188</v>
      </c>
      <c r="BD67" s="134">
        <f t="shared" si="158"/>
        <v>0.94159816481273195</v>
      </c>
      <c r="BE67" s="134">
        <f t="shared" si="158"/>
        <v>0.94649901239787537</v>
      </c>
      <c r="BF67" s="134">
        <f t="shared" si="158"/>
        <v>0.92195917554485807</v>
      </c>
      <c r="BG67" s="134">
        <f t="shared" si="158"/>
        <v>0.94197133224624463</v>
      </c>
      <c r="BH67" s="134">
        <f t="shared" si="158"/>
        <v>0.94359724722120197</v>
      </c>
      <c r="BI67" s="134">
        <f t="shared" si="158"/>
        <v>0.92446472902363064</v>
      </c>
      <c r="BJ67" s="134">
        <f t="shared" si="158"/>
        <v>0.91215532805856081</v>
      </c>
      <c r="BK67" s="134">
        <f t="shared" si="158"/>
        <v>0.91966502566967878</v>
      </c>
      <c r="BL67" s="134">
        <f t="shared" si="158"/>
        <v>0.89457675749441667</v>
      </c>
      <c r="BM67" s="134">
        <f t="shared" si="158"/>
        <v>0.86547359774357835</v>
      </c>
      <c r="BN67" s="134">
        <f t="shared" ref="BN67:CS67" si="159">BN55/BN37</f>
        <v>0.85904871563228347</v>
      </c>
      <c r="BO67" s="134">
        <f t="shared" si="159"/>
        <v>0.89573064178464723</v>
      </c>
      <c r="BP67" s="134">
        <f t="shared" si="159"/>
        <v>0.88183434937627114</v>
      </c>
      <c r="BQ67" s="134">
        <f t="shared" si="159"/>
        <v>0.8909357972961145</v>
      </c>
      <c r="BR67" s="134">
        <f t="shared" si="159"/>
        <v>0.94095172980739272</v>
      </c>
      <c r="BS67" s="134">
        <f t="shared" si="159"/>
        <v>0.99296573876662209</v>
      </c>
      <c r="BT67" s="134">
        <f t="shared" si="159"/>
        <v>0.8998565597012812</v>
      </c>
      <c r="BU67" s="134">
        <f t="shared" si="159"/>
        <v>0.88066751101769813</v>
      </c>
      <c r="BV67" s="134">
        <f t="shared" si="159"/>
        <v>0.85603780537721841</v>
      </c>
      <c r="BW67" s="134">
        <f t="shared" si="159"/>
        <v>0.85238440280781169</v>
      </c>
      <c r="BX67" s="134">
        <f t="shared" si="159"/>
        <v>0.85227022877865588</v>
      </c>
      <c r="BY67" s="134">
        <f t="shared" si="159"/>
        <v>0.89425872132422235</v>
      </c>
      <c r="BZ67" s="134">
        <f t="shared" si="159"/>
        <v>0.88705582686025708</v>
      </c>
      <c r="CA67" s="134">
        <f t="shared" si="159"/>
        <v>0.89782072120929302</v>
      </c>
      <c r="CB67" s="134">
        <f t="shared" si="159"/>
        <v>0.87515136135191463</v>
      </c>
      <c r="CC67" s="134">
        <f t="shared" si="159"/>
        <v>0.86373868066153603</v>
      </c>
      <c r="CD67" s="134">
        <f t="shared" si="159"/>
        <v>0.88415875411801603</v>
      </c>
      <c r="CE67" s="134">
        <f t="shared" si="159"/>
        <v>0.88816295022563874</v>
      </c>
      <c r="CF67" s="134">
        <f t="shared" si="159"/>
        <v>0.87353646941306373</v>
      </c>
      <c r="CG67" s="134">
        <f t="shared" si="159"/>
        <v>0.90726031277066521</v>
      </c>
      <c r="CH67" s="134">
        <f t="shared" si="159"/>
        <v>0.8766975502944353</v>
      </c>
      <c r="CI67" s="134">
        <f t="shared" si="159"/>
        <v>0.86646791446218496</v>
      </c>
      <c r="CJ67" s="134">
        <f t="shared" si="159"/>
        <v>0.85998556412673011</v>
      </c>
      <c r="CK67" s="134">
        <f t="shared" si="159"/>
        <v>0.86151672173786942</v>
      </c>
      <c r="CL67" s="134">
        <f t="shared" si="159"/>
        <v>0.84842632274670249</v>
      </c>
      <c r="CM67" s="134">
        <f t="shared" si="159"/>
        <v>0.86524277986975251</v>
      </c>
      <c r="CN67" s="134">
        <f t="shared" si="159"/>
        <v>0.85097417713970203</v>
      </c>
      <c r="CO67" s="134">
        <f t="shared" si="159"/>
        <v>0.86766528472996141</v>
      </c>
      <c r="CP67" s="134">
        <f t="shared" si="159"/>
        <v>0.8915060110402151</v>
      </c>
      <c r="CQ67" s="134">
        <f t="shared" si="159"/>
        <v>0.8726408412005674</v>
      </c>
      <c r="CR67" s="134">
        <f t="shared" si="159"/>
        <v>0.83691576599233952</v>
      </c>
      <c r="CS67" s="134">
        <f t="shared" si="159"/>
        <v>0.82507431306249601</v>
      </c>
      <c r="CT67" s="705">
        <f>SUM(CH55:CS55)/SUM(CH46:CS46)*(1+CT68)</f>
        <v>0.87922905935100659</v>
      </c>
      <c r="CU67" s="705">
        <f t="shared" ref="CU67" si="160">CT67*(1+CU68)</f>
        <v>0.87922905935100659</v>
      </c>
      <c r="CV67" s="705">
        <f t="shared" ref="CV67" si="161">CU67*(1+CV68)</f>
        <v>0.87922905935100659</v>
      </c>
      <c r="CW67" s="705">
        <f t="shared" ref="CW67" si="162">CV67*(1+CW68)</f>
        <v>0.87922905935100659</v>
      </c>
      <c r="CX67" s="705">
        <f t="shared" ref="CX67" si="163">CW67*(1+CX68)</f>
        <v>0.87922905935100659</v>
      </c>
      <c r="CY67" s="705">
        <f t="shared" ref="CY67" si="164">CX67*(1+CY68)</f>
        <v>0.87922905935100659</v>
      </c>
      <c r="CZ67" s="705">
        <f t="shared" ref="CZ67" si="165">CY67*(1+CZ68)</f>
        <v>0.87922905935100659</v>
      </c>
      <c r="DA67" s="705">
        <f t="shared" ref="DA67" si="166">CZ67*(1+DA68)</f>
        <v>0.87922905935100659</v>
      </c>
      <c r="DB67" s="705">
        <f t="shared" ref="DB67" si="167">DA67*(1+DB68)</f>
        <v>0.87922905935100659</v>
      </c>
      <c r="DC67" s="705">
        <f t="shared" ref="DC67" si="168">DB67*(1+DC68)</f>
        <v>0.87922905935100659</v>
      </c>
      <c r="DD67" s="705">
        <f t="shared" ref="DD67" si="169">DC67*(1+DD68)</f>
        <v>0.87922905935100659</v>
      </c>
      <c r="DE67" s="705">
        <f t="shared" ref="DE67" si="170">DD67*(1+DE68)</f>
        <v>0.87922905935100659</v>
      </c>
      <c r="DF67" s="705">
        <f t="shared" ref="DF67" si="171">DE67*(1+DF68)</f>
        <v>0.87043676875749654</v>
      </c>
      <c r="DG67" s="705">
        <f t="shared" ref="DG67" si="172">DF67*(1+DG68)</f>
        <v>0.87043676875749654</v>
      </c>
      <c r="DH67" s="705">
        <f t="shared" ref="DH67" si="173">DG67*(1+DH68)</f>
        <v>0.87043676875749654</v>
      </c>
      <c r="DI67" s="705">
        <f t="shared" ref="DI67" si="174">DH67*(1+DI68)</f>
        <v>0.87043676875749654</v>
      </c>
      <c r="DJ67" s="705">
        <f t="shared" ref="DJ67" si="175">DI67*(1+DJ68)</f>
        <v>0.87043676875749654</v>
      </c>
      <c r="DK67" s="705">
        <f t="shared" ref="DK67" si="176">DJ67*(1+DK68)</f>
        <v>0.87043676875749654</v>
      </c>
      <c r="DL67" s="705">
        <f t="shared" ref="DL67" si="177">DK67*(1+DL68)</f>
        <v>0.87043676875749654</v>
      </c>
      <c r="DM67" s="705">
        <f t="shared" ref="DM67" si="178">DL67*(1+DM68)</f>
        <v>0.87043676875749654</v>
      </c>
      <c r="DN67" s="705">
        <f t="shared" ref="DN67" si="179">DM67*(1+DN68)</f>
        <v>0.87043676875749654</v>
      </c>
      <c r="DO67" s="705">
        <f t="shared" ref="DO67" si="180">DN67*(1+DO68)</f>
        <v>0.87043676875749654</v>
      </c>
      <c r="DP67" s="705">
        <f t="shared" ref="DP67" si="181">DO67*(1+DP68)</f>
        <v>0.87043676875749654</v>
      </c>
      <c r="DQ67" s="705">
        <f t="shared" ref="DQ67" si="182">DP67*(1+DQ68)</f>
        <v>0.87043676875749654</v>
      </c>
      <c r="DR67" s="705">
        <f t="shared" ref="DR67" si="183">DQ67*(1+DR68)</f>
        <v>0.86173240106992155</v>
      </c>
      <c r="DS67" s="705">
        <f t="shared" ref="DS67" si="184">DR67*(1+DS68)</f>
        <v>0.86173240106992155</v>
      </c>
      <c r="DT67" s="705">
        <f t="shared" ref="DT67" si="185">DS67*(1+DT68)</f>
        <v>0.86173240106992155</v>
      </c>
      <c r="DU67" s="705">
        <f t="shared" ref="DU67" si="186">DT67*(1+DU68)</f>
        <v>0.86173240106992155</v>
      </c>
      <c r="DV67" s="705">
        <f t="shared" ref="DV67" si="187">DU67*(1+DV68)</f>
        <v>0.86173240106992155</v>
      </c>
      <c r="DW67" s="705">
        <f t="shared" ref="DW67" si="188">DV67*(1+DW68)</f>
        <v>0.86173240106992155</v>
      </c>
      <c r="DX67" s="705">
        <f t="shared" ref="DX67" si="189">DW67*(1+DX68)</f>
        <v>0.86173240106992155</v>
      </c>
      <c r="DY67" s="705">
        <f t="shared" ref="DY67" si="190">DX67*(1+DY68)</f>
        <v>0.86173240106992155</v>
      </c>
      <c r="DZ67" s="705">
        <f t="shared" ref="DZ67" si="191">DY67*(1+DZ68)</f>
        <v>0.86173240106992155</v>
      </c>
      <c r="EA67" s="705">
        <f t="shared" ref="EA67" si="192">DZ67*(1+EA68)</f>
        <v>0.86173240106992155</v>
      </c>
      <c r="EB67" s="705">
        <f t="shared" ref="EB67" si="193">EA67*(1+EB68)</f>
        <v>0.86173240106992155</v>
      </c>
      <c r="EC67" s="705">
        <f t="shared" ref="EC67" si="194">EB67*(1+EC68)</f>
        <v>0.86173240106992155</v>
      </c>
      <c r="ED67" s="113" t="s">
        <v>1</v>
      </c>
    </row>
    <row r="68" spans="1:134" x14ac:dyDescent="0.2">
      <c r="A68" s="700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9"/>
      <c r="AX68" s="129"/>
      <c r="AY68" s="129"/>
      <c r="AZ68" s="129"/>
      <c r="BA68" s="129"/>
      <c r="BB68" s="129"/>
      <c r="BC68" s="129"/>
      <c r="BD68" s="129"/>
      <c r="BE68" s="129"/>
      <c r="BF68" s="129"/>
      <c r="BG68" s="129"/>
      <c r="BH68" s="129"/>
      <c r="BI68" s="129"/>
      <c r="BJ68" s="129"/>
      <c r="BK68" s="129"/>
      <c r="BL68" s="129"/>
      <c r="BM68" s="129"/>
      <c r="BN68" s="129"/>
      <c r="BO68" s="129"/>
      <c r="BP68" s="129"/>
      <c r="BQ68" s="129"/>
      <c r="BR68" s="129"/>
      <c r="BS68" s="129"/>
      <c r="BT68" s="129"/>
      <c r="BU68" s="129"/>
      <c r="BV68" s="129"/>
      <c r="BW68" s="129"/>
      <c r="BX68" s="129"/>
      <c r="BY68" s="129"/>
      <c r="BZ68" s="129"/>
      <c r="CA68" s="129"/>
      <c r="CB68" s="129"/>
      <c r="CC68" s="129"/>
      <c r="CD68" s="129"/>
      <c r="CE68" s="129"/>
      <c r="CF68" s="129"/>
      <c r="CG68" s="129"/>
      <c r="CH68" s="129"/>
      <c r="CI68" s="129"/>
      <c r="CJ68" s="129"/>
      <c r="CK68" s="129"/>
      <c r="CL68" s="129"/>
      <c r="CM68" s="129"/>
      <c r="CN68" s="129"/>
      <c r="CO68" s="129"/>
      <c r="CP68" s="129"/>
      <c r="CQ68" s="129"/>
      <c r="CR68" s="129"/>
      <c r="CS68" s="115"/>
      <c r="CT68" s="133">
        <v>-0.01</v>
      </c>
      <c r="CU68" s="115"/>
      <c r="CV68" s="115"/>
      <c r="CW68" s="115"/>
      <c r="CX68" s="115"/>
      <c r="CY68" s="115"/>
      <c r="CZ68" s="115"/>
      <c r="DA68" s="115"/>
      <c r="DB68" s="115"/>
      <c r="DC68" s="115"/>
      <c r="DD68" s="115"/>
      <c r="DE68" s="115"/>
      <c r="DF68" s="133">
        <v>-0.01</v>
      </c>
      <c r="DG68" s="115"/>
      <c r="DH68" s="115"/>
      <c r="DI68" s="115"/>
      <c r="DJ68" s="115"/>
      <c r="DK68" s="115"/>
      <c r="DL68" s="115"/>
      <c r="DM68" s="115"/>
      <c r="DN68" s="115"/>
      <c r="DO68" s="115"/>
      <c r="DP68" s="115"/>
      <c r="DQ68" s="115"/>
      <c r="DR68" s="133">
        <v>-0.01</v>
      </c>
      <c r="DS68" s="115"/>
      <c r="DT68" s="115"/>
      <c r="DU68" s="115"/>
      <c r="DV68" s="115"/>
      <c r="DW68" s="115"/>
      <c r="DX68" s="115"/>
      <c r="DY68" s="115"/>
      <c r="DZ68" s="115"/>
      <c r="EA68" s="115"/>
      <c r="EB68" s="115"/>
      <c r="EC68" s="115"/>
      <c r="ED68" s="113" t="s">
        <v>1</v>
      </c>
    </row>
    <row r="69" spans="1:134" x14ac:dyDescent="0.2">
      <c r="A69" s="707" t="s">
        <v>98</v>
      </c>
      <c r="B69" s="133">
        <f t="shared" ref="B69:AG69" si="195">(B46-B54)/B46</f>
        <v>3.4850926036307246E-2</v>
      </c>
      <c r="C69" s="133">
        <f t="shared" si="195"/>
        <v>3.14700350874366E-2</v>
      </c>
      <c r="D69" s="133">
        <f t="shared" si="195"/>
        <v>2.7457414230257965E-2</v>
      </c>
      <c r="E69" s="133">
        <f t="shared" si="195"/>
        <v>4.086221034390141E-2</v>
      </c>
      <c r="F69" s="133">
        <f t="shared" si="195"/>
        <v>1.8948484074784392E-2</v>
      </c>
      <c r="G69" s="133">
        <f t="shared" si="195"/>
        <v>4.2880947566076147E-2</v>
      </c>
      <c r="H69" s="133">
        <f t="shared" si="195"/>
        <v>-2.817750550069327E-2</v>
      </c>
      <c r="I69" s="133">
        <f t="shared" si="195"/>
        <v>3.463492500760211E-2</v>
      </c>
      <c r="J69" s="133">
        <f t="shared" si="195"/>
        <v>7.3119210076281029E-3</v>
      </c>
      <c r="K69" s="133">
        <f t="shared" si="195"/>
        <v>-2.6438137489956513E-2</v>
      </c>
      <c r="L69" s="133">
        <f t="shared" si="195"/>
        <v>5.1249468663390448E-3</v>
      </c>
      <c r="M69" s="133">
        <f t="shared" si="195"/>
        <v>1.3850987231590478E-2</v>
      </c>
      <c r="N69" s="133">
        <f t="shared" si="195"/>
        <v>1.5123834524145183E-2</v>
      </c>
      <c r="O69" s="133">
        <f t="shared" si="195"/>
        <v>7.586501547981476E-3</v>
      </c>
      <c r="P69" s="133">
        <f t="shared" si="195"/>
        <v>1.6862116878709192E-2</v>
      </c>
      <c r="Q69" s="133">
        <f t="shared" si="195"/>
        <v>3.9111479639789136E-2</v>
      </c>
      <c r="R69" s="133">
        <f t="shared" si="195"/>
        <v>3.7146444148467475E-2</v>
      </c>
      <c r="S69" s="133">
        <f t="shared" si="195"/>
        <v>1.6259594894923807E-2</v>
      </c>
      <c r="T69" s="133">
        <f t="shared" si="195"/>
        <v>-1.1389982060157945E-3</v>
      </c>
      <c r="U69" s="133">
        <f t="shared" si="195"/>
        <v>2.6361759927255726E-2</v>
      </c>
      <c r="V69" s="133">
        <f t="shared" si="195"/>
        <v>3.070302209769819E-2</v>
      </c>
      <c r="W69" s="133">
        <f t="shared" si="195"/>
        <v>4.5003075324166718E-2</v>
      </c>
      <c r="X69" s="133">
        <f t="shared" si="195"/>
        <v>6.8762405652169872E-2</v>
      </c>
      <c r="Y69" s="133">
        <f t="shared" si="195"/>
        <v>4.7036793751042881E-2</v>
      </c>
      <c r="Z69" s="133">
        <f t="shared" si="195"/>
        <v>68.639122391467353</v>
      </c>
      <c r="AA69" s="133">
        <f t="shared" si="195"/>
        <v>6.9176206269622328E-2</v>
      </c>
      <c r="AB69" s="133">
        <f t="shared" si="195"/>
        <v>2.7433876520147882E-2</v>
      </c>
      <c r="AC69" s="133">
        <f t="shared" si="195"/>
        <v>2.6859854535666073E-2</v>
      </c>
      <c r="AD69" s="133">
        <f t="shared" si="195"/>
        <v>4.1507761667675148E-2</v>
      </c>
      <c r="AE69" s="133">
        <f t="shared" si="195"/>
        <v>4.5700065550924172E-2</v>
      </c>
      <c r="AF69" s="133">
        <f t="shared" si="195"/>
        <v>2.7257333663239847E-2</v>
      </c>
      <c r="AG69" s="133">
        <f t="shared" si="195"/>
        <v>6.0223593264617084E-2</v>
      </c>
      <c r="AH69" s="671">
        <f t="shared" ref="AH69:BM69" si="196">(AH46-AH54)/AH46</f>
        <v>3.692816865720551E-2</v>
      </c>
      <c r="AI69" s="133">
        <f t="shared" si="196"/>
        <v>2.5405753130187191E-2</v>
      </c>
      <c r="AJ69" s="133">
        <f t="shared" si="196"/>
        <v>3.5325349388849944E-2</v>
      </c>
      <c r="AK69" s="133">
        <f t="shared" si="196"/>
        <v>4.1973713945088434E-2</v>
      </c>
      <c r="AL69" s="133">
        <f t="shared" si="196"/>
        <v>1.807234136188865E-2</v>
      </c>
      <c r="AM69" s="133">
        <f t="shared" si="196"/>
        <v>1.4831506903264126E-2</v>
      </c>
      <c r="AN69" s="133">
        <f t="shared" si="196"/>
        <v>5.1209308286246195E-2</v>
      </c>
      <c r="AO69" s="133">
        <f t="shared" si="196"/>
        <v>3.6589011934871199E-2</v>
      </c>
      <c r="AP69" s="133">
        <f t="shared" si="196"/>
        <v>3.7877694194235353E-2</v>
      </c>
      <c r="AQ69" s="133">
        <f t="shared" si="196"/>
        <v>3.0823783401638789E-2</v>
      </c>
      <c r="AR69" s="133">
        <f t="shared" si="196"/>
        <v>3.5391128884415632E-2</v>
      </c>
      <c r="AS69" s="133">
        <f t="shared" si="196"/>
        <v>2.8870117180993263E-2</v>
      </c>
      <c r="AT69" s="133">
        <f t="shared" si="196"/>
        <v>2.6714839240244381E-2</v>
      </c>
      <c r="AU69" s="133">
        <f t="shared" si="196"/>
        <v>-6.39100641569293E-3</v>
      </c>
      <c r="AV69" s="133">
        <f t="shared" si="196"/>
        <v>-2.3780479852999643E-2</v>
      </c>
      <c r="AW69" s="133">
        <f t="shared" si="196"/>
        <v>-1.5351828008231901E-2</v>
      </c>
      <c r="AX69" s="133">
        <f t="shared" si="196"/>
        <v>-2.5420314239511046E-2</v>
      </c>
      <c r="AY69" s="133">
        <f t="shared" si="196"/>
        <v>-4.1678059098063241E-2</v>
      </c>
      <c r="AZ69" s="133">
        <f t="shared" si="196"/>
        <v>-2.6498370492704981E-2</v>
      </c>
      <c r="BA69" s="133">
        <f t="shared" si="196"/>
        <v>3.3714400474703428E-2</v>
      </c>
      <c r="BB69" s="133">
        <f t="shared" si="196"/>
        <v>-5.0809525673838766E-3</v>
      </c>
      <c r="BC69" s="133">
        <f t="shared" si="196"/>
        <v>-6.4206592293865744E-2</v>
      </c>
      <c r="BD69" s="133">
        <f t="shared" si="196"/>
        <v>-3.5053587737502542E-2</v>
      </c>
      <c r="BE69" s="133">
        <f t="shared" si="196"/>
        <v>-1.3994309603139847E-2</v>
      </c>
      <c r="BF69" s="133">
        <f t="shared" si="196"/>
        <v>1.3662938367552465E-2</v>
      </c>
      <c r="BG69" s="133">
        <f t="shared" si="196"/>
        <v>3.0989809997265202E-3</v>
      </c>
      <c r="BH69" s="133">
        <f t="shared" si="196"/>
        <v>-5.9337690720762826E-3</v>
      </c>
      <c r="BI69" s="133">
        <f t="shared" si="196"/>
        <v>1.962546472861617E-2</v>
      </c>
      <c r="BJ69" s="133">
        <f t="shared" si="196"/>
        <v>4.0847004613418551E-2</v>
      </c>
      <c r="BK69" s="133">
        <f t="shared" si="196"/>
        <v>3.3619164015030165E-2</v>
      </c>
      <c r="BL69" s="133">
        <f t="shared" si="196"/>
        <v>4.8074866172636128E-2</v>
      </c>
      <c r="BM69" s="133">
        <f t="shared" si="196"/>
        <v>6.9837576833923137E-2</v>
      </c>
      <c r="BN69" s="133">
        <f t="shared" ref="BN69:DY69" si="197">(BN46-BN54)/BN46</f>
        <v>5.9563496164529356E-2</v>
      </c>
      <c r="BO69" s="133">
        <f t="shared" si="197"/>
        <v>3.964247455411167E-2</v>
      </c>
      <c r="BP69" s="133">
        <f t="shared" si="197"/>
        <v>5.6540463894748934E-2</v>
      </c>
      <c r="BQ69" s="133">
        <f t="shared" si="197"/>
        <v>4.8448743748197472E-2</v>
      </c>
      <c r="BR69" s="133">
        <f t="shared" si="197"/>
        <v>1.0854570078830733E-2</v>
      </c>
      <c r="BS69" s="133">
        <f t="shared" si="197"/>
        <v>-4.2009502857673992E-2</v>
      </c>
      <c r="BT69" s="133">
        <f t="shared" si="197"/>
        <v>4.2886070227658585E-2</v>
      </c>
      <c r="BU69" s="133">
        <f t="shared" si="197"/>
        <v>5.5240422898106295E-2</v>
      </c>
      <c r="BV69" s="133">
        <f t="shared" si="197"/>
        <v>7.7901574963861575E-2</v>
      </c>
      <c r="BW69" s="133">
        <f t="shared" si="197"/>
        <v>8.5363142492185642E-2</v>
      </c>
      <c r="BX69" s="133">
        <f t="shared" si="197"/>
        <v>8.085548459913694E-2</v>
      </c>
      <c r="BY69" s="133">
        <f t="shared" si="197"/>
        <v>4.592257465486043E-2</v>
      </c>
      <c r="BZ69" s="133">
        <f t="shared" si="197"/>
        <v>5.885840781621083E-2</v>
      </c>
      <c r="CA69" s="133">
        <f t="shared" si="197"/>
        <v>5.4271009112608619E-2</v>
      </c>
      <c r="CB69" s="133">
        <f t="shared" si="197"/>
        <v>6.5088471543615953E-2</v>
      </c>
      <c r="CC69" s="133">
        <f t="shared" si="197"/>
        <v>6.9329280687332781E-2</v>
      </c>
      <c r="CD69" s="133">
        <f t="shared" si="197"/>
        <v>6.0374384934953701E-2</v>
      </c>
      <c r="CE69" s="133">
        <f t="shared" si="197"/>
        <v>5.8534889072412125E-2</v>
      </c>
      <c r="CF69" s="133">
        <f t="shared" si="197"/>
        <v>7.2334951728900795E-2</v>
      </c>
      <c r="CG69" s="133">
        <f t="shared" si="197"/>
        <v>4.4072768912330473E-2</v>
      </c>
      <c r="CH69" s="133">
        <f t="shared" si="197"/>
        <v>7.2973468063900288E-2</v>
      </c>
      <c r="CI69" s="133">
        <f t="shared" si="197"/>
        <v>7.0522846511958906E-2</v>
      </c>
      <c r="CJ69" s="133">
        <f t="shared" si="197"/>
        <v>7.159850762116407E-2</v>
      </c>
      <c r="CK69" s="133">
        <f t="shared" si="197"/>
        <v>7.017744017783209E-2</v>
      </c>
      <c r="CL69" s="133">
        <f t="shared" si="197"/>
        <v>8.0727874715882955E-2</v>
      </c>
      <c r="CM69" s="133">
        <f t="shared" si="197"/>
        <v>6.4631797796183138E-2</v>
      </c>
      <c r="CN69" s="133">
        <f t="shared" si="197"/>
        <v>8.1558024976018301E-2</v>
      </c>
      <c r="CO69" s="133">
        <f t="shared" si="197"/>
        <v>6.9357076617194299E-2</v>
      </c>
      <c r="CP69" s="133">
        <f t="shared" si="197"/>
        <v>4.0764479289648547E-2</v>
      </c>
      <c r="CQ69" s="133">
        <f t="shared" si="197"/>
        <v>5.18826012123857E-2</v>
      </c>
      <c r="CR69" s="133">
        <f t="shared" si="197"/>
        <v>7.5505484476564536E-2</v>
      </c>
      <c r="CS69" s="133">
        <f t="shared" si="197"/>
        <v>8.6030595017795364E-2</v>
      </c>
      <c r="CT69" s="133">
        <f t="shared" si="197"/>
        <v>6.6490361852880278E-2</v>
      </c>
      <c r="CU69" s="133">
        <f t="shared" si="197"/>
        <v>6.6490361852880694E-2</v>
      </c>
      <c r="CV69" s="133">
        <f t="shared" si="197"/>
        <v>6.6490361852880459E-2</v>
      </c>
      <c r="CW69" s="133">
        <f t="shared" si="197"/>
        <v>6.6490361852880417E-2</v>
      </c>
      <c r="CX69" s="133">
        <f t="shared" si="197"/>
        <v>6.6490361852880472E-2</v>
      </c>
      <c r="CY69" s="133">
        <f t="shared" si="197"/>
        <v>6.6490361852880445E-2</v>
      </c>
      <c r="CZ69" s="133">
        <f t="shared" si="197"/>
        <v>6.6490361852880528E-2</v>
      </c>
      <c r="DA69" s="133">
        <f t="shared" si="197"/>
        <v>6.6490361852880445E-2</v>
      </c>
      <c r="DB69" s="133">
        <f t="shared" si="197"/>
        <v>6.6490361852880292E-2</v>
      </c>
      <c r="DC69" s="133">
        <f t="shared" si="197"/>
        <v>6.6490361852880334E-2</v>
      </c>
      <c r="DD69" s="133">
        <f t="shared" si="197"/>
        <v>6.649036185288025E-2</v>
      </c>
      <c r="DE69" s="133">
        <f t="shared" si="197"/>
        <v>6.6490361852880334E-2</v>
      </c>
      <c r="DF69" s="133">
        <f t="shared" si="197"/>
        <v>7.5282652446390222E-2</v>
      </c>
      <c r="DG69" s="133">
        <f t="shared" si="197"/>
        <v>7.5282652446390791E-2</v>
      </c>
      <c r="DH69" s="133">
        <f t="shared" si="197"/>
        <v>7.5282652446390722E-2</v>
      </c>
      <c r="DI69" s="133">
        <f t="shared" si="197"/>
        <v>7.5282652446390708E-2</v>
      </c>
      <c r="DJ69" s="133">
        <f t="shared" si="197"/>
        <v>7.5282652446390749E-2</v>
      </c>
      <c r="DK69" s="133">
        <f t="shared" si="197"/>
        <v>7.5282652446390513E-2</v>
      </c>
      <c r="DL69" s="133">
        <f t="shared" si="197"/>
        <v>7.5282652446390846E-2</v>
      </c>
      <c r="DM69" s="133">
        <f t="shared" si="197"/>
        <v>7.5282652446390513E-2</v>
      </c>
      <c r="DN69" s="133">
        <f t="shared" si="197"/>
        <v>7.5282652446390486E-2</v>
      </c>
      <c r="DO69" s="133">
        <f t="shared" si="197"/>
        <v>7.5282652446390555E-2</v>
      </c>
      <c r="DP69" s="133">
        <f t="shared" si="197"/>
        <v>7.5282652446390361E-2</v>
      </c>
      <c r="DQ69" s="133">
        <f t="shared" si="197"/>
        <v>7.5282652446390486E-2</v>
      </c>
      <c r="DR69" s="133">
        <f t="shared" si="197"/>
        <v>8.398702013396557E-2</v>
      </c>
      <c r="DS69" s="133">
        <f t="shared" si="197"/>
        <v>8.3987020133965418E-2</v>
      </c>
      <c r="DT69" s="133">
        <f t="shared" si="197"/>
        <v>8.3987020133965418E-2</v>
      </c>
      <c r="DU69" s="133">
        <f t="shared" si="197"/>
        <v>8.3987020133965529E-2</v>
      </c>
      <c r="DV69" s="133">
        <f t="shared" si="197"/>
        <v>8.3987020133965362E-2</v>
      </c>
      <c r="DW69" s="133">
        <f t="shared" si="197"/>
        <v>8.3987020133965737E-2</v>
      </c>
      <c r="DX69" s="133">
        <f t="shared" si="197"/>
        <v>8.3987020133965695E-2</v>
      </c>
      <c r="DY69" s="133">
        <f t="shared" si="197"/>
        <v>8.3987020133965487E-2</v>
      </c>
      <c r="DZ69" s="133">
        <f t="shared" ref="DZ69:EC69" si="198">(DZ46-DZ54)/DZ46</f>
        <v>8.3987020133965626E-2</v>
      </c>
      <c r="EA69" s="133">
        <f t="shared" si="198"/>
        <v>8.3987020133965667E-2</v>
      </c>
      <c r="EB69" s="133">
        <f t="shared" si="198"/>
        <v>8.3987020133965626E-2</v>
      </c>
      <c r="EC69" s="133">
        <f t="shared" si="198"/>
        <v>8.3987020133965584E-2</v>
      </c>
      <c r="ED69" s="113" t="s">
        <v>1</v>
      </c>
    </row>
    <row r="70" spans="1:134" s="638" customFormat="1" x14ac:dyDescent="0.2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3"/>
      <c r="BK70" s="133"/>
      <c r="BL70" s="133"/>
      <c r="BM70" s="133"/>
      <c r="BN70" s="133"/>
      <c r="BO70" s="133"/>
      <c r="BP70" s="133"/>
      <c r="BQ70" s="133"/>
      <c r="BR70" s="133"/>
      <c r="BS70" s="133"/>
      <c r="BT70" s="133"/>
      <c r="BU70" s="133"/>
      <c r="BV70" s="133"/>
      <c r="BW70" s="133"/>
      <c r="BX70" s="133"/>
      <c r="BY70" s="133"/>
      <c r="BZ70" s="133"/>
      <c r="CA70" s="133"/>
      <c r="CB70" s="133"/>
      <c r="CC70" s="133"/>
      <c r="CD70" s="133"/>
      <c r="CE70" s="133"/>
      <c r="CF70" s="133"/>
      <c r="CG70" s="133"/>
      <c r="CH70" s="133"/>
      <c r="CI70" s="133"/>
      <c r="CJ70" s="133"/>
      <c r="CK70" s="133"/>
      <c r="CL70" s="133"/>
      <c r="CM70" s="133"/>
      <c r="CN70" s="133"/>
      <c r="CO70" s="133"/>
      <c r="CP70" s="133"/>
      <c r="CQ70" s="133"/>
      <c r="CR70" s="133"/>
      <c r="CS70" s="133"/>
      <c r="CT70" s="133"/>
      <c r="CU70" s="133"/>
      <c r="CV70" s="133"/>
      <c r="CW70" s="133"/>
      <c r="CX70" s="133"/>
      <c r="CY70" s="133"/>
      <c r="CZ70" s="133"/>
      <c r="DA70" s="133"/>
      <c r="DB70" s="133"/>
      <c r="DC70" s="133"/>
      <c r="DD70" s="133"/>
      <c r="DE70" s="133"/>
      <c r="DF70" s="133"/>
      <c r="DG70" s="133"/>
      <c r="DH70" s="133"/>
      <c r="DI70" s="133"/>
      <c r="DJ70" s="133"/>
      <c r="DK70" s="133"/>
      <c r="DL70" s="133"/>
      <c r="DM70" s="133"/>
      <c r="DN70" s="133"/>
      <c r="DO70" s="133"/>
      <c r="DP70" s="133"/>
      <c r="DQ70" s="133"/>
      <c r="DR70" s="133"/>
      <c r="DS70" s="133"/>
      <c r="DT70" s="133"/>
      <c r="DU70" s="133"/>
      <c r="DV70" s="133"/>
      <c r="DW70" s="133"/>
      <c r="DX70" s="133"/>
      <c r="DY70" s="133"/>
      <c r="DZ70" s="133"/>
      <c r="EA70" s="133"/>
      <c r="EB70" s="133"/>
      <c r="EC70" s="133"/>
      <c r="ED70" s="113" t="s">
        <v>1</v>
      </c>
    </row>
    <row r="71" spans="1:134" x14ac:dyDescent="0.2">
      <c r="A71" s="115" t="s">
        <v>598</v>
      </c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822">
        <f>BA56/BA46</f>
        <v>1.8049816159139837E-3</v>
      </c>
      <c r="BB71" s="822">
        <f t="shared" ref="BB71:CS71" si="199">BB56/BB46</f>
        <v>5.8979949260705802E-4</v>
      </c>
      <c r="BC71" s="822">
        <f t="shared" si="199"/>
        <v>5.9309416094574258E-3</v>
      </c>
      <c r="BD71" s="822">
        <f t="shared" si="199"/>
        <v>8.2934484214225879E-3</v>
      </c>
      <c r="BE71" s="822">
        <f t="shared" si="199"/>
        <v>6.5397499610308704E-3</v>
      </c>
      <c r="BF71" s="822">
        <f t="shared" si="199"/>
        <v>1.0350325853494036E-2</v>
      </c>
      <c r="BG71" s="822">
        <f t="shared" si="199"/>
        <v>7.8301245889592658E-3</v>
      </c>
      <c r="BH71" s="822">
        <f t="shared" si="199"/>
        <v>3.6657069851267661E-3</v>
      </c>
      <c r="BI71" s="822">
        <f t="shared" si="199"/>
        <v>2.6774493194283606E-3</v>
      </c>
      <c r="BJ71" s="822">
        <f t="shared" si="199"/>
        <v>8.8859022998083077E-3</v>
      </c>
      <c r="BK71" s="822">
        <f t="shared" si="199"/>
        <v>1.0186102144392433E-2</v>
      </c>
      <c r="BL71" s="822">
        <f t="shared" si="199"/>
        <v>1.1347898113221551E-2</v>
      </c>
      <c r="BM71" s="822">
        <f t="shared" si="199"/>
        <v>8.8988097876872164E-3</v>
      </c>
      <c r="BN71" s="822">
        <f t="shared" si="199"/>
        <v>2.2847911831697081E-2</v>
      </c>
      <c r="BO71" s="822">
        <f t="shared" si="199"/>
        <v>2.0432329569895519E-2</v>
      </c>
      <c r="BP71" s="822">
        <f t="shared" si="199"/>
        <v>1.8691392832838855E-2</v>
      </c>
      <c r="BQ71" s="822">
        <f t="shared" si="199"/>
        <v>2.2891453524672409E-2</v>
      </c>
      <c r="BR71" s="822">
        <f t="shared" si="199"/>
        <v>2.8036979633456766E-2</v>
      </c>
      <c r="BS71" s="822">
        <f t="shared" si="199"/>
        <v>3.4491741120548626E-2</v>
      </c>
      <c r="BT71" s="822">
        <f t="shared" si="199"/>
        <v>2.4701847420180369E-2</v>
      </c>
      <c r="BU71" s="822">
        <f t="shared" si="199"/>
        <v>2.7441124549764245E-2</v>
      </c>
      <c r="BV71" s="822">
        <f t="shared" si="199"/>
        <v>2.2634235469653315E-2</v>
      </c>
      <c r="BW71" s="822">
        <f t="shared" si="199"/>
        <v>2.3799533078888574E-2</v>
      </c>
      <c r="BX71" s="822">
        <f t="shared" si="199"/>
        <v>2.8763797822277407E-2</v>
      </c>
      <c r="BY71" s="822">
        <f t="shared" si="199"/>
        <v>3.1693533046639535E-2</v>
      </c>
      <c r="BZ71" s="822">
        <f t="shared" si="199"/>
        <v>2.6246825884983692E-2</v>
      </c>
      <c r="CA71" s="822">
        <f t="shared" si="199"/>
        <v>2.603237609733167E-2</v>
      </c>
      <c r="CB71" s="822">
        <f t="shared" si="199"/>
        <v>2.6913046871450019E-2</v>
      </c>
      <c r="CC71" s="822">
        <f t="shared" si="199"/>
        <v>2.6534661348224912E-2</v>
      </c>
      <c r="CD71" s="822">
        <f t="shared" si="199"/>
        <v>2.2491516335021666E-2</v>
      </c>
      <c r="CE71" s="822">
        <f t="shared" si="199"/>
        <v>1.9749441708366185E-2</v>
      </c>
      <c r="CF71" s="822">
        <f t="shared" si="199"/>
        <v>1.5026850389991277E-2</v>
      </c>
      <c r="CG71" s="822">
        <f t="shared" si="199"/>
        <v>2.0399533285722783E-2</v>
      </c>
      <c r="CH71" s="822">
        <f t="shared" si="199"/>
        <v>1.7951645375976873E-2</v>
      </c>
      <c r="CI71" s="822">
        <f t="shared" si="199"/>
        <v>2.0206546756714645E-2</v>
      </c>
      <c r="CJ71" s="822">
        <f t="shared" si="199"/>
        <v>2.3098015899891012E-2</v>
      </c>
      <c r="CK71" s="822">
        <f t="shared" si="199"/>
        <v>2.9170916988053248E-2</v>
      </c>
      <c r="CL71" s="822">
        <f t="shared" si="199"/>
        <v>2.8357046654790156E-2</v>
      </c>
      <c r="CM71" s="822">
        <f t="shared" si="199"/>
        <v>2.9971020712896611E-2</v>
      </c>
      <c r="CN71" s="822">
        <f t="shared" si="199"/>
        <v>2.7022658075190158E-2</v>
      </c>
      <c r="CO71" s="822">
        <f t="shared" si="199"/>
        <v>2.0267845481189085E-2</v>
      </c>
      <c r="CP71" s="822">
        <f t="shared" si="199"/>
        <v>2.4258109805153288E-2</v>
      </c>
      <c r="CQ71" s="822">
        <f t="shared" si="199"/>
        <v>2.7157641928590544E-2</v>
      </c>
      <c r="CR71" s="822">
        <f t="shared" si="199"/>
        <v>3.3973045555455682E-2</v>
      </c>
      <c r="CS71" s="822">
        <f t="shared" si="199"/>
        <v>3.9580872950472391E-2</v>
      </c>
      <c r="CT71" s="822">
        <f>SUM(CH56:CS56)/SUM(CH46:CS46)</f>
        <v>2.7005957623936525E-2</v>
      </c>
      <c r="CU71" s="822">
        <f>CT71</f>
        <v>2.7005957623936525E-2</v>
      </c>
      <c r="CV71" s="822">
        <f t="shared" ref="CV71:EC71" si="200">CU71</f>
        <v>2.7005957623936525E-2</v>
      </c>
      <c r="CW71" s="822">
        <f t="shared" si="200"/>
        <v>2.7005957623936525E-2</v>
      </c>
      <c r="CX71" s="822">
        <f t="shared" si="200"/>
        <v>2.7005957623936525E-2</v>
      </c>
      <c r="CY71" s="822">
        <f t="shared" si="200"/>
        <v>2.7005957623936525E-2</v>
      </c>
      <c r="CZ71" s="822">
        <f t="shared" si="200"/>
        <v>2.7005957623936525E-2</v>
      </c>
      <c r="DA71" s="822">
        <f t="shared" si="200"/>
        <v>2.7005957623936525E-2</v>
      </c>
      <c r="DB71" s="822">
        <f t="shared" si="200"/>
        <v>2.7005957623936525E-2</v>
      </c>
      <c r="DC71" s="822">
        <f t="shared" si="200"/>
        <v>2.7005957623936525E-2</v>
      </c>
      <c r="DD71" s="822">
        <f t="shared" si="200"/>
        <v>2.7005957623936525E-2</v>
      </c>
      <c r="DE71" s="822">
        <f t="shared" si="200"/>
        <v>2.7005957623936525E-2</v>
      </c>
      <c r="DF71" s="822">
        <f t="shared" si="200"/>
        <v>2.7005957623936525E-2</v>
      </c>
      <c r="DG71" s="822">
        <f t="shared" si="200"/>
        <v>2.7005957623936525E-2</v>
      </c>
      <c r="DH71" s="822">
        <f t="shared" si="200"/>
        <v>2.7005957623936525E-2</v>
      </c>
      <c r="DI71" s="822">
        <f t="shared" si="200"/>
        <v>2.7005957623936525E-2</v>
      </c>
      <c r="DJ71" s="822">
        <f t="shared" si="200"/>
        <v>2.7005957623936525E-2</v>
      </c>
      <c r="DK71" s="822">
        <f t="shared" si="200"/>
        <v>2.7005957623936525E-2</v>
      </c>
      <c r="DL71" s="822">
        <f t="shared" si="200"/>
        <v>2.7005957623936525E-2</v>
      </c>
      <c r="DM71" s="822">
        <f t="shared" si="200"/>
        <v>2.7005957623936525E-2</v>
      </c>
      <c r="DN71" s="822">
        <f t="shared" si="200"/>
        <v>2.7005957623936525E-2</v>
      </c>
      <c r="DO71" s="822">
        <f t="shared" si="200"/>
        <v>2.7005957623936525E-2</v>
      </c>
      <c r="DP71" s="822">
        <f t="shared" si="200"/>
        <v>2.7005957623936525E-2</v>
      </c>
      <c r="DQ71" s="822">
        <f t="shared" si="200"/>
        <v>2.7005957623936525E-2</v>
      </c>
      <c r="DR71" s="822">
        <f t="shared" si="200"/>
        <v>2.7005957623936525E-2</v>
      </c>
      <c r="DS71" s="822">
        <f t="shared" si="200"/>
        <v>2.7005957623936525E-2</v>
      </c>
      <c r="DT71" s="822">
        <f t="shared" si="200"/>
        <v>2.7005957623936525E-2</v>
      </c>
      <c r="DU71" s="822">
        <f t="shared" si="200"/>
        <v>2.7005957623936525E-2</v>
      </c>
      <c r="DV71" s="822">
        <f t="shared" si="200"/>
        <v>2.7005957623936525E-2</v>
      </c>
      <c r="DW71" s="822">
        <f t="shared" si="200"/>
        <v>2.7005957623936525E-2</v>
      </c>
      <c r="DX71" s="822">
        <f t="shared" si="200"/>
        <v>2.7005957623936525E-2</v>
      </c>
      <c r="DY71" s="822">
        <f t="shared" si="200"/>
        <v>2.7005957623936525E-2</v>
      </c>
      <c r="DZ71" s="822">
        <f t="shared" si="200"/>
        <v>2.7005957623936525E-2</v>
      </c>
      <c r="EA71" s="822">
        <f t="shared" si="200"/>
        <v>2.7005957623936525E-2</v>
      </c>
      <c r="EB71" s="822">
        <f t="shared" si="200"/>
        <v>2.7005957623936525E-2</v>
      </c>
      <c r="EC71" s="822">
        <f t="shared" si="200"/>
        <v>2.7005957623936525E-2</v>
      </c>
      <c r="ED71" s="113" t="s">
        <v>1</v>
      </c>
    </row>
    <row r="72" spans="1:134" x14ac:dyDescent="0.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115"/>
      <c r="CD72" s="115"/>
      <c r="CE72" s="115"/>
      <c r="CF72" s="115"/>
      <c r="CG72" s="115"/>
      <c r="CH72" s="115"/>
      <c r="CI72" s="115"/>
      <c r="CJ72" s="115"/>
      <c r="CK72" s="115"/>
      <c r="CL72" s="115"/>
      <c r="CM72" s="115"/>
      <c r="CN72" s="115"/>
      <c r="CO72" s="115"/>
      <c r="CP72" s="115"/>
      <c r="CQ72" s="115"/>
      <c r="CR72" s="115"/>
      <c r="CS72" s="115"/>
      <c r="CT72" s="701"/>
      <c r="CU72" s="115"/>
      <c r="CV72" s="133"/>
      <c r="CW72" s="702"/>
      <c r="CX72" s="708"/>
      <c r="CY72" s="708"/>
      <c r="CZ72" s="702"/>
      <c r="DA72" s="702"/>
      <c r="DB72" s="708"/>
      <c r="DC72" s="708"/>
      <c r="DD72" s="702"/>
      <c r="DE72" s="702"/>
      <c r="DF72" s="701">
        <v>0.05</v>
      </c>
      <c r="DG72" s="708"/>
      <c r="DH72" s="702"/>
      <c r="DI72" s="702"/>
      <c r="DJ72" s="708"/>
      <c r="DK72" s="708"/>
      <c r="DL72" s="702"/>
      <c r="DM72" s="702"/>
      <c r="DN72" s="708"/>
      <c r="DO72" s="708"/>
      <c r="DP72" s="702"/>
      <c r="DQ72" s="702"/>
      <c r="DR72" s="701">
        <v>0.05</v>
      </c>
      <c r="DS72" s="115"/>
      <c r="DT72" s="115"/>
      <c r="DU72" s="115"/>
      <c r="DV72" s="115"/>
      <c r="DW72" s="115"/>
      <c r="DX72" s="115"/>
      <c r="DY72" s="115"/>
      <c r="DZ72" s="115"/>
      <c r="EA72" s="115"/>
      <c r="EB72" s="115"/>
      <c r="EC72" s="115"/>
      <c r="ED72" s="113" t="s">
        <v>1</v>
      </c>
    </row>
    <row r="73" spans="1:134" x14ac:dyDescent="0.2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115"/>
      <c r="CD73" s="115"/>
      <c r="CE73" s="115"/>
      <c r="CF73" s="115"/>
      <c r="CG73" s="115"/>
      <c r="CH73" s="115"/>
      <c r="CI73" s="115"/>
      <c r="CJ73" s="115"/>
      <c r="CK73" s="115"/>
      <c r="CL73" s="115"/>
      <c r="CM73" s="115"/>
      <c r="CN73" s="115"/>
      <c r="CO73" s="115"/>
      <c r="CP73" s="115"/>
      <c r="CQ73" s="115"/>
      <c r="CR73" s="115"/>
      <c r="CS73" s="115"/>
      <c r="CT73" s="115"/>
      <c r="CU73" s="115"/>
      <c r="CV73" s="133"/>
      <c r="CW73" s="133"/>
      <c r="CX73" s="115"/>
      <c r="CY73" s="115"/>
      <c r="CZ73" s="133"/>
      <c r="DA73" s="133"/>
      <c r="DB73" s="115"/>
      <c r="DC73" s="115"/>
      <c r="DD73" s="133"/>
      <c r="DE73" s="133"/>
      <c r="DF73" s="115"/>
      <c r="DG73" s="115"/>
      <c r="DH73" s="133"/>
      <c r="DI73" s="133"/>
      <c r="DJ73" s="115"/>
      <c r="DK73" s="115"/>
      <c r="DL73" s="133"/>
      <c r="DM73" s="133"/>
      <c r="DN73" s="115"/>
      <c r="DO73" s="115"/>
      <c r="DP73" s="133"/>
      <c r="DQ73" s="133"/>
      <c r="DR73" s="115"/>
      <c r="DS73" s="115"/>
      <c r="DT73" s="115"/>
      <c r="DU73" s="115"/>
      <c r="DV73" s="115"/>
      <c r="DW73" s="115"/>
      <c r="DX73" s="115"/>
      <c r="DY73" s="115"/>
      <c r="DZ73" s="115"/>
      <c r="EA73" s="115"/>
      <c r="EB73" s="115"/>
      <c r="EC73" s="115"/>
      <c r="ED73" s="113" t="s">
        <v>1</v>
      </c>
    </row>
    <row r="74" spans="1:134" x14ac:dyDescent="0.2">
      <c r="A74" s="115" t="s">
        <v>21</v>
      </c>
      <c r="B74" s="133">
        <f t="shared" ref="B74:AG74" si="201">B57/B46</f>
        <v>0</v>
      </c>
      <c r="C74" s="133">
        <f t="shared" si="201"/>
        <v>0</v>
      </c>
      <c r="D74" s="133">
        <f t="shared" si="201"/>
        <v>0</v>
      </c>
      <c r="E74" s="133">
        <f t="shared" si="201"/>
        <v>0</v>
      </c>
      <c r="F74" s="133">
        <f t="shared" si="201"/>
        <v>0</v>
      </c>
      <c r="G74" s="133">
        <f t="shared" si="201"/>
        <v>0</v>
      </c>
      <c r="H74" s="133">
        <f t="shared" si="201"/>
        <v>0</v>
      </c>
      <c r="I74" s="133">
        <f t="shared" si="201"/>
        <v>0</v>
      </c>
      <c r="J74" s="133">
        <f t="shared" si="201"/>
        <v>0</v>
      </c>
      <c r="K74" s="133">
        <f t="shared" si="201"/>
        <v>0</v>
      </c>
      <c r="L74" s="133">
        <f t="shared" si="201"/>
        <v>0</v>
      </c>
      <c r="M74" s="133">
        <f t="shared" si="201"/>
        <v>0</v>
      </c>
      <c r="N74" s="133">
        <f t="shared" si="201"/>
        <v>0</v>
      </c>
      <c r="O74" s="133">
        <f t="shared" si="201"/>
        <v>0</v>
      </c>
      <c r="P74" s="133">
        <f t="shared" si="201"/>
        <v>0</v>
      </c>
      <c r="Q74" s="133">
        <f t="shared" si="201"/>
        <v>0</v>
      </c>
      <c r="R74" s="133">
        <f t="shared" si="201"/>
        <v>0</v>
      </c>
      <c r="S74" s="133">
        <f t="shared" si="201"/>
        <v>0</v>
      </c>
      <c r="T74" s="133">
        <f t="shared" si="201"/>
        <v>0</v>
      </c>
      <c r="U74" s="133">
        <f t="shared" si="201"/>
        <v>0</v>
      </c>
      <c r="V74" s="133">
        <f t="shared" si="201"/>
        <v>0</v>
      </c>
      <c r="W74" s="133">
        <f t="shared" si="201"/>
        <v>0</v>
      </c>
      <c r="X74" s="133">
        <f t="shared" si="201"/>
        <v>0</v>
      </c>
      <c r="Y74" s="133">
        <f t="shared" si="201"/>
        <v>0</v>
      </c>
      <c r="Z74" s="133">
        <f t="shared" si="201"/>
        <v>0</v>
      </c>
      <c r="AA74" s="133">
        <f t="shared" si="201"/>
        <v>0</v>
      </c>
      <c r="AB74" s="133">
        <f t="shared" si="201"/>
        <v>0</v>
      </c>
      <c r="AC74" s="133">
        <f t="shared" si="201"/>
        <v>0</v>
      </c>
      <c r="AD74" s="133">
        <f t="shared" si="201"/>
        <v>0</v>
      </c>
      <c r="AE74" s="133">
        <f t="shared" si="201"/>
        <v>0</v>
      </c>
      <c r="AF74" s="133">
        <f t="shared" si="201"/>
        <v>0</v>
      </c>
      <c r="AG74" s="133">
        <f t="shared" si="201"/>
        <v>0</v>
      </c>
      <c r="AH74" s="133">
        <f t="shared" ref="AH74:BM74" si="202">AH57/AH46</f>
        <v>0</v>
      </c>
      <c r="AI74" s="133">
        <f t="shared" si="202"/>
        <v>0</v>
      </c>
      <c r="AJ74" s="133">
        <f t="shared" si="202"/>
        <v>0</v>
      </c>
      <c r="AK74" s="133">
        <f t="shared" si="202"/>
        <v>0</v>
      </c>
      <c r="AL74" s="133">
        <f t="shared" si="202"/>
        <v>0</v>
      </c>
      <c r="AM74" s="133">
        <f t="shared" si="202"/>
        <v>0</v>
      </c>
      <c r="AN74" s="133">
        <f t="shared" si="202"/>
        <v>0</v>
      </c>
      <c r="AO74" s="133">
        <f t="shared" si="202"/>
        <v>0</v>
      </c>
      <c r="AP74" s="133">
        <f t="shared" si="202"/>
        <v>0</v>
      </c>
      <c r="AQ74" s="133">
        <f t="shared" si="202"/>
        <v>0</v>
      </c>
      <c r="AR74" s="133">
        <f t="shared" si="202"/>
        <v>0</v>
      </c>
      <c r="AS74" s="133">
        <f t="shared" si="202"/>
        <v>0</v>
      </c>
      <c r="AT74" s="133">
        <f t="shared" si="202"/>
        <v>0</v>
      </c>
      <c r="AU74" s="133">
        <f t="shared" si="202"/>
        <v>0</v>
      </c>
      <c r="AV74" s="133">
        <f t="shared" si="202"/>
        <v>0</v>
      </c>
      <c r="AW74" s="133">
        <f t="shared" si="202"/>
        <v>0</v>
      </c>
      <c r="AX74" s="133">
        <f t="shared" si="202"/>
        <v>0</v>
      </c>
      <c r="AY74" s="133">
        <f t="shared" si="202"/>
        <v>0</v>
      </c>
      <c r="AZ74" s="133">
        <f t="shared" si="202"/>
        <v>0</v>
      </c>
      <c r="BA74" s="133">
        <f t="shared" si="202"/>
        <v>0</v>
      </c>
      <c r="BB74" s="133">
        <f t="shared" si="202"/>
        <v>0</v>
      </c>
      <c r="BC74" s="133">
        <f t="shared" si="202"/>
        <v>0</v>
      </c>
      <c r="BD74" s="133">
        <f t="shared" si="202"/>
        <v>0</v>
      </c>
      <c r="BE74" s="133">
        <f t="shared" si="202"/>
        <v>0</v>
      </c>
      <c r="BF74" s="133">
        <f t="shared" si="202"/>
        <v>0</v>
      </c>
      <c r="BG74" s="133">
        <f t="shared" si="202"/>
        <v>0</v>
      </c>
      <c r="BH74" s="133">
        <f t="shared" si="202"/>
        <v>0</v>
      </c>
      <c r="BI74" s="133">
        <f t="shared" si="202"/>
        <v>0</v>
      </c>
      <c r="BJ74" s="133">
        <f t="shared" si="202"/>
        <v>0</v>
      </c>
      <c r="BK74" s="133">
        <f t="shared" si="202"/>
        <v>0</v>
      </c>
      <c r="BL74" s="133">
        <f t="shared" si="202"/>
        <v>0</v>
      </c>
      <c r="BM74" s="133">
        <f t="shared" si="202"/>
        <v>0</v>
      </c>
      <c r="BN74" s="133">
        <f t="shared" ref="BN74:CS74" si="203">BN57/BN46</f>
        <v>0</v>
      </c>
      <c r="BO74" s="133">
        <f t="shared" si="203"/>
        <v>0</v>
      </c>
      <c r="BP74" s="133">
        <f t="shared" si="203"/>
        <v>-8.9360050292485536E-3</v>
      </c>
      <c r="BQ74" s="133">
        <f t="shared" si="203"/>
        <v>-1.0492721487965892E-2</v>
      </c>
      <c r="BR74" s="133">
        <f t="shared" si="203"/>
        <v>-1.734992936122063E-2</v>
      </c>
      <c r="BS74" s="133">
        <f t="shared" si="203"/>
        <v>-2.6669994103903128E-2</v>
      </c>
      <c r="BT74" s="133">
        <f t="shared" si="203"/>
        <v>-1.9621768274395487E-2</v>
      </c>
      <c r="BU74" s="133">
        <f t="shared" si="203"/>
        <v>-1.0984176867592751E-2</v>
      </c>
      <c r="BV74" s="133">
        <f t="shared" si="203"/>
        <v>-7.7298807165248982E-3</v>
      </c>
      <c r="BW74" s="133">
        <f t="shared" si="203"/>
        <v>-1.0492919812049242E-2</v>
      </c>
      <c r="BX74" s="133">
        <f t="shared" si="203"/>
        <v>-1.2651693973311107E-2</v>
      </c>
      <c r="BY74" s="133">
        <f t="shared" si="203"/>
        <v>-2.0047074802792619E-2</v>
      </c>
      <c r="BZ74" s="133">
        <f t="shared" si="203"/>
        <v>-1.5561692919547093E-2</v>
      </c>
      <c r="CA74" s="133">
        <f t="shared" si="203"/>
        <v>-1.9722200029886422E-2</v>
      </c>
      <c r="CB74" s="133">
        <f t="shared" si="203"/>
        <v>-1.6620966615333504E-2</v>
      </c>
      <c r="CC74" s="133">
        <f t="shared" si="203"/>
        <v>-1.1226273127818731E-2</v>
      </c>
      <c r="CD74" s="133">
        <f t="shared" si="203"/>
        <v>-9.8457354699649467E-3</v>
      </c>
      <c r="CE74" s="133">
        <f t="shared" si="203"/>
        <v>-7.8162331251925739E-3</v>
      </c>
      <c r="CF74" s="133">
        <f t="shared" si="203"/>
        <v>-5.4625700186183204E-3</v>
      </c>
      <c r="CG74" s="133">
        <f t="shared" si="203"/>
        <v>-8.7636857463732221E-3</v>
      </c>
      <c r="CH74" s="133">
        <f t="shared" si="203"/>
        <v>-8.4809072820453777E-3</v>
      </c>
      <c r="CI74" s="133">
        <f t="shared" si="203"/>
        <v>-8.7805056474249462E-3</v>
      </c>
      <c r="CJ74" s="133">
        <f t="shared" si="203"/>
        <v>-9.5138412785576824E-3</v>
      </c>
      <c r="CK74" s="133">
        <f t="shared" si="203"/>
        <v>-1.1749933298037675E-2</v>
      </c>
      <c r="CL74" s="133">
        <f t="shared" si="203"/>
        <v>-1.3718417783060656E-2</v>
      </c>
      <c r="CM74" s="133">
        <f t="shared" si="203"/>
        <v>-1.9727427570440628E-2</v>
      </c>
      <c r="CN74" s="133">
        <f t="shared" si="203"/>
        <v>-1.3069075148749444E-2</v>
      </c>
      <c r="CO74" s="133">
        <f t="shared" si="203"/>
        <v>-9.4224351482800617E-3</v>
      </c>
      <c r="CP74" s="133">
        <f t="shared" si="203"/>
        <v>-8.872323843771325E-3</v>
      </c>
      <c r="CQ74" s="133">
        <f t="shared" si="203"/>
        <v>-7.7860832842724685E-3</v>
      </c>
      <c r="CR74" s="133">
        <f t="shared" si="203"/>
        <v>-8.3373092123072545E-3</v>
      </c>
      <c r="CS74" s="133">
        <f t="shared" si="203"/>
        <v>-1.185199837384724E-2</v>
      </c>
      <c r="CT74" s="709">
        <f>SUM(CH57:CS57)/SUM(CH46:CS46)</f>
        <v>-1.0475910311377035E-2</v>
      </c>
      <c r="CU74" s="709">
        <f>CT74</f>
        <v>-1.0475910311377035E-2</v>
      </c>
      <c r="CV74" s="709">
        <f t="shared" ref="CV74:EC74" si="204">CU74</f>
        <v>-1.0475910311377035E-2</v>
      </c>
      <c r="CW74" s="709">
        <f t="shared" si="204"/>
        <v>-1.0475910311377035E-2</v>
      </c>
      <c r="CX74" s="709">
        <f t="shared" si="204"/>
        <v>-1.0475910311377035E-2</v>
      </c>
      <c r="CY74" s="709">
        <f t="shared" si="204"/>
        <v>-1.0475910311377035E-2</v>
      </c>
      <c r="CZ74" s="709">
        <f t="shared" si="204"/>
        <v>-1.0475910311377035E-2</v>
      </c>
      <c r="DA74" s="709">
        <f t="shared" si="204"/>
        <v>-1.0475910311377035E-2</v>
      </c>
      <c r="DB74" s="709">
        <f t="shared" si="204"/>
        <v>-1.0475910311377035E-2</v>
      </c>
      <c r="DC74" s="709">
        <f t="shared" si="204"/>
        <v>-1.0475910311377035E-2</v>
      </c>
      <c r="DD74" s="709">
        <f t="shared" si="204"/>
        <v>-1.0475910311377035E-2</v>
      </c>
      <c r="DE74" s="709">
        <f t="shared" si="204"/>
        <v>-1.0475910311377035E-2</v>
      </c>
      <c r="DF74" s="709">
        <f t="shared" si="204"/>
        <v>-1.0475910311377035E-2</v>
      </c>
      <c r="DG74" s="709">
        <f t="shared" si="204"/>
        <v>-1.0475910311377035E-2</v>
      </c>
      <c r="DH74" s="709">
        <f t="shared" si="204"/>
        <v>-1.0475910311377035E-2</v>
      </c>
      <c r="DI74" s="709">
        <f t="shared" si="204"/>
        <v>-1.0475910311377035E-2</v>
      </c>
      <c r="DJ74" s="709">
        <f t="shared" si="204"/>
        <v>-1.0475910311377035E-2</v>
      </c>
      <c r="DK74" s="709">
        <f t="shared" si="204"/>
        <v>-1.0475910311377035E-2</v>
      </c>
      <c r="DL74" s="709">
        <f t="shared" si="204"/>
        <v>-1.0475910311377035E-2</v>
      </c>
      <c r="DM74" s="709">
        <f t="shared" si="204"/>
        <v>-1.0475910311377035E-2</v>
      </c>
      <c r="DN74" s="709">
        <f t="shared" si="204"/>
        <v>-1.0475910311377035E-2</v>
      </c>
      <c r="DO74" s="709">
        <f t="shared" si="204"/>
        <v>-1.0475910311377035E-2</v>
      </c>
      <c r="DP74" s="709">
        <f t="shared" si="204"/>
        <v>-1.0475910311377035E-2</v>
      </c>
      <c r="DQ74" s="709">
        <f t="shared" si="204"/>
        <v>-1.0475910311377035E-2</v>
      </c>
      <c r="DR74" s="709">
        <f t="shared" si="204"/>
        <v>-1.0475910311377035E-2</v>
      </c>
      <c r="DS74" s="709">
        <f t="shared" si="204"/>
        <v>-1.0475910311377035E-2</v>
      </c>
      <c r="DT74" s="709">
        <f t="shared" si="204"/>
        <v>-1.0475910311377035E-2</v>
      </c>
      <c r="DU74" s="709">
        <f t="shared" si="204"/>
        <v>-1.0475910311377035E-2</v>
      </c>
      <c r="DV74" s="709">
        <f t="shared" si="204"/>
        <v>-1.0475910311377035E-2</v>
      </c>
      <c r="DW74" s="709">
        <f t="shared" si="204"/>
        <v>-1.0475910311377035E-2</v>
      </c>
      <c r="DX74" s="709">
        <f t="shared" si="204"/>
        <v>-1.0475910311377035E-2</v>
      </c>
      <c r="DY74" s="709">
        <f t="shared" si="204"/>
        <v>-1.0475910311377035E-2</v>
      </c>
      <c r="DZ74" s="709">
        <f t="shared" si="204"/>
        <v>-1.0475910311377035E-2</v>
      </c>
      <c r="EA74" s="709">
        <f t="shared" si="204"/>
        <v>-1.0475910311377035E-2</v>
      </c>
      <c r="EB74" s="709">
        <f t="shared" si="204"/>
        <v>-1.0475910311377035E-2</v>
      </c>
      <c r="EC74" s="709">
        <f t="shared" si="204"/>
        <v>-1.0475910311377035E-2</v>
      </c>
      <c r="ED74" s="113" t="s">
        <v>1</v>
      </c>
    </row>
    <row r="75" spans="1:134" x14ac:dyDescent="0.2">
      <c r="A75" s="115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  <c r="BX75" s="133"/>
      <c r="BY75" s="133"/>
      <c r="BZ75" s="133"/>
      <c r="CA75" s="133"/>
      <c r="CB75" s="133"/>
      <c r="CC75" s="133"/>
      <c r="CD75" s="133"/>
      <c r="CE75" s="133"/>
      <c r="CF75" s="133"/>
      <c r="CG75" s="133"/>
      <c r="CH75" s="133"/>
      <c r="CI75" s="133"/>
      <c r="CJ75" s="133"/>
      <c r="CK75" s="133"/>
      <c r="CL75" s="133"/>
      <c r="CM75" s="133"/>
      <c r="CN75" s="133"/>
      <c r="CO75" s="133"/>
      <c r="CP75" s="133"/>
      <c r="CQ75" s="133"/>
      <c r="CR75" s="133"/>
      <c r="CS75" s="133"/>
      <c r="CT75" s="133"/>
      <c r="CU75" s="133"/>
      <c r="CV75" s="133"/>
      <c r="CW75" s="133"/>
      <c r="CX75" s="133"/>
      <c r="CY75" s="133"/>
      <c r="CZ75" s="133"/>
      <c r="DA75" s="133"/>
      <c r="DB75" s="133"/>
      <c r="DC75" s="133"/>
      <c r="DD75" s="133"/>
      <c r="DE75" s="133"/>
      <c r="DF75" s="133"/>
      <c r="DG75" s="133"/>
      <c r="DH75" s="133"/>
      <c r="DI75" s="133"/>
      <c r="DJ75" s="133"/>
      <c r="DK75" s="133"/>
      <c r="DL75" s="133"/>
      <c r="DM75" s="133"/>
      <c r="DN75" s="133"/>
      <c r="DO75" s="133"/>
      <c r="DP75" s="133"/>
      <c r="DQ75" s="133"/>
      <c r="DR75" s="133"/>
      <c r="DS75" s="133"/>
      <c r="DT75" s="133"/>
      <c r="DU75" s="133"/>
      <c r="DV75" s="133"/>
      <c r="DW75" s="133"/>
      <c r="DX75" s="133"/>
      <c r="DY75" s="133"/>
      <c r="DZ75" s="133"/>
      <c r="EA75" s="133"/>
      <c r="EB75" s="133"/>
      <c r="EC75" s="133"/>
      <c r="ED75" s="113" t="s">
        <v>1</v>
      </c>
    </row>
    <row r="76" spans="1:134" x14ac:dyDescent="0.2">
      <c r="A76" s="115" t="s">
        <v>578</v>
      </c>
      <c r="B76" s="185">
        <f t="shared" ref="B76:AG76" si="205">B58/B46</f>
        <v>0</v>
      </c>
      <c r="C76" s="185">
        <f t="shared" si="205"/>
        <v>0</v>
      </c>
      <c r="D76" s="185">
        <f t="shared" si="205"/>
        <v>0</v>
      </c>
      <c r="E76" s="185">
        <f t="shared" si="205"/>
        <v>0</v>
      </c>
      <c r="F76" s="185">
        <f t="shared" si="205"/>
        <v>0</v>
      </c>
      <c r="G76" s="185">
        <f t="shared" si="205"/>
        <v>0</v>
      </c>
      <c r="H76" s="185">
        <f t="shared" si="205"/>
        <v>0</v>
      </c>
      <c r="I76" s="185">
        <f t="shared" si="205"/>
        <v>0</v>
      </c>
      <c r="J76" s="185">
        <f t="shared" si="205"/>
        <v>0</v>
      </c>
      <c r="K76" s="185">
        <f t="shared" si="205"/>
        <v>0</v>
      </c>
      <c r="L76" s="185">
        <f t="shared" si="205"/>
        <v>0</v>
      </c>
      <c r="M76" s="185">
        <f t="shared" si="205"/>
        <v>0</v>
      </c>
      <c r="N76" s="185">
        <f t="shared" si="205"/>
        <v>0</v>
      </c>
      <c r="O76" s="185">
        <f t="shared" si="205"/>
        <v>0</v>
      </c>
      <c r="P76" s="185">
        <f t="shared" si="205"/>
        <v>0</v>
      </c>
      <c r="Q76" s="185">
        <f t="shared" si="205"/>
        <v>0</v>
      </c>
      <c r="R76" s="185">
        <f t="shared" si="205"/>
        <v>0</v>
      </c>
      <c r="S76" s="185">
        <f t="shared" si="205"/>
        <v>0</v>
      </c>
      <c r="T76" s="185">
        <f t="shared" si="205"/>
        <v>0</v>
      </c>
      <c r="U76" s="185">
        <f t="shared" si="205"/>
        <v>0</v>
      </c>
      <c r="V76" s="185">
        <f t="shared" si="205"/>
        <v>0</v>
      </c>
      <c r="W76" s="185">
        <f t="shared" si="205"/>
        <v>0</v>
      </c>
      <c r="X76" s="185">
        <f t="shared" si="205"/>
        <v>0</v>
      </c>
      <c r="Y76" s="185">
        <f t="shared" si="205"/>
        <v>0</v>
      </c>
      <c r="Z76" s="185">
        <f t="shared" si="205"/>
        <v>0</v>
      </c>
      <c r="AA76" s="185">
        <f t="shared" si="205"/>
        <v>0</v>
      </c>
      <c r="AB76" s="185">
        <f t="shared" si="205"/>
        <v>0</v>
      </c>
      <c r="AC76" s="185">
        <f t="shared" si="205"/>
        <v>0</v>
      </c>
      <c r="AD76" s="185">
        <f t="shared" si="205"/>
        <v>0</v>
      </c>
      <c r="AE76" s="185">
        <f t="shared" si="205"/>
        <v>0</v>
      </c>
      <c r="AF76" s="185">
        <f t="shared" si="205"/>
        <v>0</v>
      </c>
      <c r="AG76" s="185">
        <f t="shared" si="205"/>
        <v>0</v>
      </c>
      <c r="AH76" s="185">
        <f t="shared" ref="AH76:BM76" si="206">AH58/AH46</f>
        <v>0</v>
      </c>
      <c r="AI76" s="185">
        <f t="shared" si="206"/>
        <v>0</v>
      </c>
      <c r="AJ76" s="185">
        <f t="shared" si="206"/>
        <v>0</v>
      </c>
      <c r="AK76" s="185">
        <f t="shared" si="206"/>
        <v>0</v>
      </c>
      <c r="AL76" s="185">
        <f t="shared" si="206"/>
        <v>0</v>
      </c>
      <c r="AM76" s="185">
        <f t="shared" si="206"/>
        <v>0</v>
      </c>
      <c r="AN76" s="185">
        <f t="shared" si="206"/>
        <v>0</v>
      </c>
      <c r="AO76" s="185">
        <f t="shared" si="206"/>
        <v>0</v>
      </c>
      <c r="AP76" s="185">
        <f t="shared" si="206"/>
        <v>0</v>
      </c>
      <c r="AQ76" s="185">
        <f t="shared" si="206"/>
        <v>0</v>
      </c>
      <c r="AR76" s="185">
        <f t="shared" si="206"/>
        <v>0</v>
      </c>
      <c r="AS76" s="185">
        <f t="shared" si="206"/>
        <v>0</v>
      </c>
      <c r="AT76" s="185">
        <f t="shared" si="206"/>
        <v>0</v>
      </c>
      <c r="AU76" s="185">
        <f t="shared" si="206"/>
        <v>0</v>
      </c>
      <c r="AV76" s="185">
        <f t="shared" si="206"/>
        <v>0</v>
      </c>
      <c r="AW76" s="185">
        <f t="shared" si="206"/>
        <v>0</v>
      </c>
      <c r="AX76" s="185">
        <f t="shared" si="206"/>
        <v>0</v>
      </c>
      <c r="AY76" s="185">
        <f t="shared" si="206"/>
        <v>0</v>
      </c>
      <c r="AZ76" s="185">
        <f t="shared" si="206"/>
        <v>0</v>
      </c>
      <c r="BA76" s="185">
        <f t="shared" si="206"/>
        <v>0</v>
      </c>
      <c r="BB76" s="185">
        <f t="shared" si="206"/>
        <v>0</v>
      </c>
      <c r="BC76" s="185">
        <f t="shared" si="206"/>
        <v>1.0355150427395482E-2</v>
      </c>
      <c r="BD76" s="185">
        <f t="shared" si="206"/>
        <v>7.9656865200682624E-3</v>
      </c>
      <c r="BE76" s="185">
        <f t="shared" si="206"/>
        <v>6.6805481878043863E-3</v>
      </c>
      <c r="BF76" s="185">
        <f t="shared" si="206"/>
        <v>5.4867821226728024E-3</v>
      </c>
      <c r="BG76" s="185">
        <f t="shared" si="206"/>
        <v>3.7050698798058545E-3</v>
      </c>
      <c r="BH76" s="185">
        <f t="shared" si="206"/>
        <v>1.0690035378954394E-2</v>
      </c>
      <c r="BI76" s="185">
        <f t="shared" si="206"/>
        <v>6.0613135420218107E-3</v>
      </c>
      <c r="BJ76" s="185">
        <f t="shared" si="206"/>
        <v>6.7574045464543243E-3</v>
      </c>
      <c r="BK76" s="185">
        <f t="shared" si="206"/>
        <v>1.0511247144659248E-2</v>
      </c>
      <c r="BL76" s="185">
        <f t="shared" si="206"/>
        <v>7.8595949395966619E-3</v>
      </c>
      <c r="BM76" s="185">
        <f t="shared" si="206"/>
        <v>1.0857736868425257E-2</v>
      </c>
      <c r="BN76" s="185">
        <f t="shared" ref="BN76:CS76" si="207">BN58/BN46</f>
        <v>1.2849123956059558E-2</v>
      </c>
      <c r="BO76" s="185">
        <f t="shared" si="207"/>
        <v>6.6747051738038181E-3</v>
      </c>
      <c r="BP76" s="185">
        <f t="shared" si="207"/>
        <v>1.2547155262874093E-2</v>
      </c>
      <c r="BQ76" s="185">
        <f t="shared" si="207"/>
        <v>1.1337726411575891E-2</v>
      </c>
      <c r="BR76" s="185">
        <f t="shared" si="207"/>
        <v>6.9630652901128244E-3</v>
      </c>
      <c r="BS76" s="185">
        <f t="shared" si="207"/>
        <v>6.3151558079067166E-3</v>
      </c>
      <c r="BT76" s="185">
        <f t="shared" si="207"/>
        <v>1.1814520750447184E-2</v>
      </c>
      <c r="BU76" s="185">
        <f t="shared" si="207"/>
        <v>1.0798713682553524E-2</v>
      </c>
      <c r="BV76" s="185">
        <f t="shared" si="207"/>
        <v>7.9773518626653946E-3</v>
      </c>
      <c r="BW76" s="185">
        <f t="shared" si="207"/>
        <v>5.3162729172150213E-3</v>
      </c>
      <c r="BX76" s="185">
        <f t="shared" si="207"/>
        <v>7.6543586085944604E-3</v>
      </c>
      <c r="BY76" s="185">
        <f t="shared" si="207"/>
        <v>3.2032820475736902E-3</v>
      </c>
      <c r="BZ76" s="185">
        <f t="shared" si="207"/>
        <v>3.4834589243398105E-3</v>
      </c>
      <c r="CA76" s="185">
        <f t="shared" si="207"/>
        <v>3.6908953289120543E-3</v>
      </c>
      <c r="CB76" s="185">
        <f t="shared" si="207"/>
        <v>6.0282087997699527E-3</v>
      </c>
      <c r="CC76" s="185">
        <f t="shared" si="207"/>
        <v>3.5319456348099926E-3</v>
      </c>
      <c r="CD76" s="185">
        <f t="shared" si="207"/>
        <v>2.9682374724502693E-3</v>
      </c>
      <c r="CE76" s="185">
        <f t="shared" si="207"/>
        <v>3.3013398061070777E-3</v>
      </c>
      <c r="CF76" s="185">
        <f t="shared" si="207"/>
        <v>4.994946745777354E-3</v>
      </c>
      <c r="CG76" s="185">
        <f t="shared" si="207"/>
        <v>3.7545729393659946E-3</v>
      </c>
      <c r="CH76" s="185">
        <f t="shared" si="207"/>
        <v>4.347050355825605E-3</v>
      </c>
      <c r="CI76" s="185">
        <f t="shared" si="207"/>
        <v>3.8525814793863539E-3</v>
      </c>
      <c r="CJ76" s="185">
        <f t="shared" si="207"/>
        <v>3.2678125800095666E-3</v>
      </c>
      <c r="CK76" s="185">
        <f t="shared" si="207"/>
        <v>4.7452644020222912E-3</v>
      </c>
      <c r="CL76" s="185">
        <f t="shared" si="207"/>
        <v>4.8670869434065695E-3</v>
      </c>
      <c r="CM76" s="185">
        <f t="shared" si="207"/>
        <v>5.0581878527488052E-3</v>
      </c>
      <c r="CN76" s="185">
        <f t="shared" si="207"/>
        <v>2.096589015671529E-3</v>
      </c>
      <c r="CO76" s="185">
        <f t="shared" si="207"/>
        <v>2.7361389548337845E-3</v>
      </c>
      <c r="CP76" s="185">
        <f t="shared" si="207"/>
        <v>2.3124262874620852E-3</v>
      </c>
      <c r="CQ76" s="185">
        <f t="shared" si="207"/>
        <v>4.0860960093462911E-3</v>
      </c>
      <c r="CR76" s="185">
        <f t="shared" si="207"/>
        <v>4.250497971166849E-3</v>
      </c>
      <c r="CS76" s="185">
        <f t="shared" si="207"/>
        <v>4.5515428770125793E-3</v>
      </c>
      <c r="CT76" s="710">
        <f>AVERAGE(CH76:CS76)</f>
        <v>3.8476062274076929E-3</v>
      </c>
      <c r="CU76" s="710">
        <f>CT76</f>
        <v>3.8476062274076929E-3</v>
      </c>
      <c r="CV76" s="710">
        <f t="shared" ref="CV76:EC76" si="208">CU76</f>
        <v>3.8476062274076929E-3</v>
      </c>
      <c r="CW76" s="710">
        <f t="shared" si="208"/>
        <v>3.8476062274076929E-3</v>
      </c>
      <c r="CX76" s="710">
        <f t="shared" si="208"/>
        <v>3.8476062274076929E-3</v>
      </c>
      <c r="CY76" s="710">
        <f t="shared" si="208"/>
        <v>3.8476062274076929E-3</v>
      </c>
      <c r="CZ76" s="710">
        <f t="shared" si="208"/>
        <v>3.8476062274076929E-3</v>
      </c>
      <c r="DA76" s="710">
        <f t="shared" si="208"/>
        <v>3.8476062274076929E-3</v>
      </c>
      <c r="DB76" s="710">
        <f t="shared" si="208"/>
        <v>3.8476062274076929E-3</v>
      </c>
      <c r="DC76" s="710">
        <f t="shared" si="208"/>
        <v>3.8476062274076929E-3</v>
      </c>
      <c r="DD76" s="710">
        <f t="shared" si="208"/>
        <v>3.8476062274076929E-3</v>
      </c>
      <c r="DE76" s="710">
        <f t="shared" si="208"/>
        <v>3.8476062274076929E-3</v>
      </c>
      <c r="DF76" s="710">
        <f t="shared" si="208"/>
        <v>3.8476062274076929E-3</v>
      </c>
      <c r="DG76" s="710">
        <f t="shared" si="208"/>
        <v>3.8476062274076929E-3</v>
      </c>
      <c r="DH76" s="710">
        <f t="shared" si="208"/>
        <v>3.8476062274076929E-3</v>
      </c>
      <c r="DI76" s="710">
        <f t="shared" si="208"/>
        <v>3.8476062274076929E-3</v>
      </c>
      <c r="DJ76" s="710">
        <f t="shared" si="208"/>
        <v>3.8476062274076929E-3</v>
      </c>
      <c r="DK76" s="710">
        <f t="shared" si="208"/>
        <v>3.8476062274076929E-3</v>
      </c>
      <c r="DL76" s="710">
        <f t="shared" si="208"/>
        <v>3.8476062274076929E-3</v>
      </c>
      <c r="DM76" s="710">
        <f t="shared" si="208"/>
        <v>3.8476062274076929E-3</v>
      </c>
      <c r="DN76" s="710">
        <f t="shared" si="208"/>
        <v>3.8476062274076929E-3</v>
      </c>
      <c r="DO76" s="710">
        <f t="shared" si="208"/>
        <v>3.8476062274076929E-3</v>
      </c>
      <c r="DP76" s="710">
        <f t="shared" si="208"/>
        <v>3.8476062274076929E-3</v>
      </c>
      <c r="DQ76" s="710">
        <f t="shared" si="208"/>
        <v>3.8476062274076929E-3</v>
      </c>
      <c r="DR76" s="710">
        <f t="shared" si="208"/>
        <v>3.8476062274076929E-3</v>
      </c>
      <c r="DS76" s="710">
        <f t="shared" si="208"/>
        <v>3.8476062274076929E-3</v>
      </c>
      <c r="DT76" s="710">
        <f t="shared" si="208"/>
        <v>3.8476062274076929E-3</v>
      </c>
      <c r="DU76" s="710">
        <f t="shared" si="208"/>
        <v>3.8476062274076929E-3</v>
      </c>
      <c r="DV76" s="710">
        <f t="shared" si="208"/>
        <v>3.8476062274076929E-3</v>
      </c>
      <c r="DW76" s="710">
        <f t="shared" si="208"/>
        <v>3.8476062274076929E-3</v>
      </c>
      <c r="DX76" s="710">
        <f t="shared" si="208"/>
        <v>3.8476062274076929E-3</v>
      </c>
      <c r="DY76" s="710">
        <f t="shared" si="208"/>
        <v>3.8476062274076929E-3</v>
      </c>
      <c r="DZ76" s="710">
        <f t="shared" si="208"/>
        <v>3.8476062274076929E-3</v>
      </c>
      <c r="EA76" s="710">
        <f t="shared" si="208"/>
        <v>3.8476062274076929E-3</v>
      </c>
      <c r="EB76" s="710">
        <f t="shared" si="208"/>
        <v>3.8476062274076929E-3</v>
      </c>
      <c r="EC76" s="710">
        <f t="shared" si="208"/>
        <v>3.8476062274076929E-3</v>
      </c>
      <c r="ED76" s="113" t="s">
        <v>1</v>
      </c>
    </row>
    <row r="77" spans="1:134" x14ac:dyDescent="0.2">
      <c r="A77" s="115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3"/>
      <c r="BJ77" s="133"/>
      <c r="BK77" s="133"/>
      <c r="BL77" s="133"/>
      <c r="BM77" s="133"/>
      <c r="BN77" s="133"/>
      <c r="BO77" s="133"/>
      <c r="BP77" s="133"/>
      <c r="BQ77" s="133"/>
      <c r="BR77" s="133"/>
      <c r="BS77" s="133"/>
      <c r="BT77" s="133"/>
      <c r="BU77" s="133"/>
      <c r="BV77" s="133"/>
      <c r="BW77" s="133"/>
      <c r="BX77" s="133"/>
      <c r="BY77" s="133"/>
      <c r="BZ77" s="133"/>
      <c r="CA77" s="133"/>
      <c r="CB77" s="133"/>
      <c r="CC77" s="133"/>
      <c r="CD77" s="133"/>
      <c r="CE77" s="133"/>
      <c r="CF77" s="133"/>
      <c r="CG77" s="133"/>
      <c r="CH77" s="133"/>
      <c r="CI77" s="133"/>
      <c r="CJ77" s="133"/>
      <c r="CK77" s="133"/>
      <c r="CL77" s="133"/>
      <c r="CM77" s="133"/>
      <c r="CN77" s="133"/>
      <c r="CO77" s="133"/>
      <c r="CP77" s="133"/>
      <c r="CQ77" s="133"/>
      <c r="CR77" s="133"/>
      <c r="CS77" s="133"/>
      <c r="CT77" s="133"/>
      <c r="CU77" s="133"/>
      <c r="CV77" s="133"/>
      <c r="CW77" s="133"/>
      <c r="CX77" s="133"/>
      <c r="CY77" s="133"/>
      <c r="CZ77" s="133"/>
      <c r="DA77" s="133"/>
      <c r="DB77" s="133"/>
      <c r="DC77" s="133"/>
      <c r="DD77" s="133"/>
      <c r="DE77" s="133"/>
      <c r="DF77" s="133"/>
      <c r="DG77" s="133"/>
      <c r="DH77" s="133"/>
      <c r="DI77" s="133"/>
      <c r="DJ77" s="133"/>
      <c r="DK77" s="133"/>
      <c r="DL77" s="133"/>
      <c r="DM77" s="133"/>
      <c r="DN77" s="133"/>
      <c r="DO77" s="133"/>
      <c r="DP77" s="133"/>
      <c r="DQ77" s="133"/>
      <c r="DR77" s="133"/>
      <c r="DS77" s="133"/>
      <c r="DT77" s="133"/>
      <c r="DU77" s="133"/>
      <c r="DV77" s="133"/>
      <c r="DW77" s="133"/>
      <c r="DX77" s="133"/>
      <c r="DY77" s="133"/>
      <c r="DZ77" s="133"/>
      <c r="EA77" s="133"/>
      <c r="EB77" s="133"/>
      <c r="EC77" s="133"/>
      <c r="ED77" s="113" t="s">
        <v>1</v>
      </c>
    </row>
    <row r="78" spans="1:134" x14ac:dyDescent="0.2">
      <c r="A78" s="115" t="s">
        <v>71</v>
      </c>
      <c r="B78" s="129">
        <f t="shared" ref="B78:AG78" si="209">B59/B50</f>
        <v>106.69436044517879</v>
      </c>
      <c r="C78" s="129">
        <f t="shared" si="209"/>
        <v>101.61432804601708</v>
      </c>
      <c r="D78" s="129">
        <f t="shared" si="209"/>
        <v>105.36492318315209</v>
      </c>
      <c r="E78" s="129">
        <f t="shared" si="209"/>
        <v>131.05700035625222</v>
      </c>
      <c r="F78" s="129">
        <f t="shared" si="209"/>
        <v>142.18258438863242</v>
      </c>
      <c r="G78" s="129">
        <f t="shared" si="209"/>
        <v>134.82454427083334</v>
      </c>
      <c r="H78" s="129">
        <f t="shared" si="209"/>
        <v>154.63540481068367</v>
      </c>
      <c r="I78" s="129">
        <f t="shared" si="209"/>
        <v>156.3722678889352</v>
      </c>
      <c r="J78" s="129">
        <f t="shared" si="209"/>
        <v>118.61610445167328</v>
      </c>
      <c r="K78" s="129">
        <f t="shared" si="209"/>
        <v>133.47399587236069</v>
      </c>
      <c r="L78" s="129">
        <f t="shared" si="209"/>
        <v>124.60093938583192</v>
      </c>
      <c r="M78" s="129">
        <f t="shared" si="209"/>
        <v>162.63520946353225</v>
      </c>
      <c r="N78" s="129">
        <f t="shared" si="209"/>
        <v>121.42808791633857</v>
      </c>
      <c r="O78" s="129">
        <f t="shared" si="209"/>
        <v>122.48318766610691</v>
      </c>
      <c r="P78" s="129">
        <f t="shared" si="209"/>
        <v>125.44011627145719</v>
      </c>
      <c r="Q78" s="129">
        <f t="shared" si="209"/>
        <v>131.6699621577088</v>
      </c>
      <c r="R78" s="129">
        <f t="shared" si="209"/>
        <v>123.07252761183386</v>
      </c>
      <c r="S78" s="129">
        <f t="shared" si="209"/>
        <v>144.0912609238452</v>
      </c>
      <c r="T78" s="129">
        <f t="shared" si="209"/>
        <v>251.25336151851286</v>
      </c>
      <c r="U78" s="129">
        <f t="shared" si="209"/>
        <v>199.50338262026574</v>
      </c>
      <c r="V78" s="129">
        <f t="shared" si="209"/>
        <v>119.81530715634274</v>
      </c>
      <c r="W78" s="129">
        <f t="shared" si="209"/>
        <v>131.94713157457605</v>
      </c>
      <c r="X78" s="129">
        <f t="shared" si="209"/>
        <v>101.4150655576944</v>
      </c>
      <c r="Y78" s="129">
        <f t="shared" si="209"/>
        <v>132.46340005678465</v>
      </c>
      <c r="Z78" s="129">
        <f t="shared" si="209"/>
        <v>-437525.09890879155</v>
      </c>
      <c r="AA78" s="129">
        <f t="shared" si="209"/>
        <v>121.0485422188565</v>
      </c>
      <c r="AB78" s="129">
        <f t="shared" si="209"/>
        <v>94.243735763097945</v>
      </c>
      <c r="AC78" s="129">
        <f t="shared" si="209"/>
        <v>256.21020735033113</v>
      </c>
      <c r="AD78" s="129">
        <f t="shared" si="209"/>
        <v>281.28733383614593</v>
      </c>
      <c r="AE78" s="129">
        <f t="shared" si="209"/>
        <v>257.65558517728607</v>
      </c>
      <c r="AF78" s="129">
        <f t="shared" si="209"/>
        <v>194.83143585833355</v>
      </c>
      <c r="AG78" s="129">
        <f t="shared" si="209"/>
        <v>192.53597177481208</v>
      </c>
      <c r="AH78" s="129">
        <f t="shared" ref="AH78:BM78" si="210">AH59/AH50</f>
        <v>192.49231214665591</v>
      </c>
      <c r="AI78" s="129">
        <f t="shared" si="210"/>
        <v>198.60394834021997</v>
      </c>
      <c r="AJ78" s="129">
        <f t="shared" si="210"/>
        <v>173.31463315532852</v>
      </c>
      <c r="AK78" s="129">
        <f t="shared" si="210"/>
        <v>150.30502578865298</v>
      </c>
      <c r="AL78" s="129">
        <f t="shared" si="210"/>
        <v>188.81893683488684</v>
      </c>
      <c r="AM78" s="129">
        <f t="shared" si="210"/>
        <v>254.51351485640464</v>
      </c>
      <c r="AN78" s="129">
        <f t="shared" si="210"/>
        <v>177.77958808632707</v>
      </c>
      <c r="AO78" s="129">
        <f t="shared" si="210"/>
        <v>184.34685233120706</v>
      </c>
      <c r="AP78" s="129">
        <f t="shared" si="210"/>
        <v>177.06831901531535</v>
      </c>
      <c r="AQ78" s="129">
        <f t="shared" si="210"/>
        <v>193.19043536802621</v>
      </c>
      <c r="AR78" s="129">
        <f t="shared" si="210"/>
        <v>174.15800910756928</v>
      </c>
      <c r="AS78" s="129">
        <f t="shared" si="210"/>
        <v>119.35962421416967</v>
      </c>
      <c r="AT78" s="129">
        <f t="shared" si="210"/>
        <v>117.40498711221578</v>
      </c>
      <c r="AU78" s="129">
        <f t="shared" si="210"/>
        <v>118.58991703892789</v>
      </c>
      <c r="AV78" s="129">
        <f t="shared" si="210"/>
        <v>132.211639914693</v>
      </c>
      <c r="AW78" s="129">
        <f t="shared" si="210"/>
        <v>144.26340547086036</v>
      </c>
      <c r="AX78" s="129">
        <f t="shared" si="210"/>
        <v>155.42403867431528</v>
      </c>
      <c r="AY78" s="129">
        <f t="shared" si="210"/>
        <v>147.79166601857182</v>
      </c>
      <c r="AZ78" s="129">
        <f t="shared" si="210"/>
        <v>202.91452135218881</v>
      </c>
      <c r="BA78" s="129">
        <f t="shared" si="210"/>
        <v>147.95730957568244</v>
      </c>
      <c r="BB78" s="129">
        <f t="shared" si="210"/>
        <v>190.71832679303884</v>
      </c>
      <c r="BC78" s="129">
        <f t="shared" si="210"/>
        <v>305.80575183700125</v>
      </c>
      <c r="BD78" s="129">
        <f t="shared" si="210"/>
        <v>394.46532766341005</v>
      </c>
      <c r="BE78" s="129">
        <f t="shared" si="210"/>
        <v>245.95411615243924</v>
      </c>
      <c r="BF78" s="129">
        <f t="shared" si="210"/>
        <v>196.91478158036713</v>
      </c>
      <c r="BG78" s="129">
        <f t="shared" si="210"/>
        <v>167.88446103430732</v>
      </c>
      <c r="BH78" s="129">
        <f t="shared" si="210"/>
        <v>203.09848831694865</v>
      </c>
      <c r="BI78" s="129">
        <f t="shared" si="210"/>
        <v>184.18275835527592</v>
      </c>
      <c r="BJ78" s="129">
        <f t="shared" si="210"/>
        <v>73.819258563736824</v>
      </c>
      <c r="BK78" s="129">
        <f t="shared" si="210"/>
        <v>65.336620581122446</v>
      </c>
      <c r="BL78" s="129">
        <f t="shared" si="210"/>
        <v>128.23483388405973</v>
      </c>
      <c r="BM78" s="129">
        <f t="shared" si="210"/>
        <v>145.4333581339742</v>
      </c>
      <c r="BN78" s="129">
        <f t="shared" ref="BN78:CS78" si="211">BN59/BN50</f>
        <v>151.2400156572362</v>
      </c>
      <c r="BO78" s="129">
        <f t="shared" si="211"/>
        <v>122.45066624524544</v>
      </c>
      <c r="BP78" s="129">
        <f t="shared" si="211"/>
        <v>132.42378405997491</v>
      </c>
      <c r="BQ78" s="129">
        <f t="shared" si="211"/>
        <v>126.1277406639835</v>
      </c>
      <c r="BR78" s="129">
        <f t="shared" si="211"/>
        <v>115.68125012483021</v>
      </c>
      <c r="BS78" s="129">
        <f t="shared" si="211"/>
        <v>124.80880453104184</v>
      </c>
      <c r="BT78" s="129">
        <f t="shared" si="211"/>
        <v>143.51061065396274</v>
      </c>
      <c r="BU78" s="129">
        <f t="shared" si="211"/>
        <v>117.66230107886489</v>
      </c>
      <c r="BV78" s="129">
        <f t="shared" si="211"/>
        <v>127.87173938253888</v>
      </c>
      <c r="BW78" s="129">
        <f t="shared" si="211"/>
        <v>116.89627530428479</v>
      </c>
      <c r="BX78" s="129">
        <f t="shared" si="211"/>
        <v>119.33758134877822</v>
      </c>
      <c r="BY78" s="129">
        <f t="shared" si="211"/>
        <v>121.38876591943712</v>
      </c>
      <c r="BZ78" s="129">
        <f t="shared" si="211"/>
        <v>126.18790899213484</v>
      </c>
      <c r="CA78" s="129">
        <f t="shared" si="211"/>
        <v>120.73570474968066</v>
      </c>
      <c r="CB78" s="129">
        <f t="shared" si="211"/>
        <v>131.01429339889449</v>
      </c>
      <c r="CC78" s="129">
        <f t="shared" si="211"/>
        <v>131.10680315699733</v>
      </c>
      <c r="CD78" s="129">
        <f t="shared" si="211"/>
        <v>103.05324199918195</v>
      </c>
      <c r="CE78" s="129">
        <f t="shared" si="211"/>
        <v>96.182627348091771</v>
      </c>
      <c r="CF78" s="129">
        <f t="shared" si="211"/>
        <v>123.44484914286139</v>
      </c>
      <c r="CG78" s="129">
        <f t="shared" si="211"/>
        <v>98.890089937824413</v>
      </c>
      <c r="CH78" s="129">
        <f t="shared" si="211"/>
        <v>109.53639921758135</v>
      </c>
      <c r="CI78" s="129">
        <f t="shared" si="211"/>
        <v>116.48620616546918</v>
      </c>
      <c r="CJ78" s="129">
        <f t="shared" si="211"/>
        <v>118.29552513528267</v>
      </c>
      <c r="CK78" s="129">
        <f t="shared" si="211"/>
        <v>123.43970243510816</v>
      </c>
      <c r="CL78" s="129">
        <f t="shared" si="211"/>
        <v>136.59366660477619</v>
      </c>
      <c r="CM78" s="129">
        <f t="shared" si="211"/>
        <v>138.42904444913725</v>
      </c>
      <c r="CN78" s="129">
        <f t="shared" si="211"/>
        <v>133.88828801754167</v>
      </c>
      <c r="CO78" s="129">
        <f t="shared" si="211"/>
        <v>128.74947578748734</v>
      </c>
      <c r="CP78" s="129">
        <f t="shared" si="211"/>
        <v>172.62112910313996</v>
      </c>
      <c r="CQ78" s="129">
        <f t="shared" si="211"/>
        <v>203.21973124249999</v>
      </c>
      <c r="CR78" s="129">
        <f t="shared" si="211"/>
        <v>215.77622236556988</v>
      </c>
      <c r="CS78" s="129">
        <f t="shared" si="211"/>
        <v>214.54084414920564</v>
      </c>
      <c r="CT78" s="823">
        <f>SUM(CH56:CS56)/SUM(CH46:CS46)</f>
        <v>2.7005957623936525E-2</v>
      </c>
      <c r="CU78" s="823">
        <f>CT78</f>
        <v>2.7005957623936525E-2</v>
      </c>
      <c r="CV78" s="823">
        <f t="shared" ref="CV78:EC78" si="212">CU78</f>
        <v>2.7005957623936525E-2</v>
      </c>
      <c r="CW78" s="823">
        <f t="shared" si="212"/>
        <v>2.7005957623936525E-2</v>
      </c>
      <c r="CX78" s="823">
        <f t="shared" si="212"/>
        <v>2.7005957623936525E-2</v>
      </c>
      <c r="CY78" s="823">
        <f t="shared" si="212"/>
        <v>2.7005957623936525E-2</v>
      </c>
      <c r="CZ78" s="823">
        <f t="shared" si="212"/>
        <v>2.7005957623936525E-2</v>
      </c>
      <c r="DA78" s="823">
        <f t="shared" si="212"/>
        <v>2.7005957623936525E-2</v>
      </c>
      <c r="DB78" s="823">
        <f t="shared" si="212"/>
        <v>2.7005957623936525E-2</v>
      </c>
      <c r="DC78" s="823">
        <f t="shared" si="212"/>
        <v>2.7005957623936525E-2</v>
      </c>
      <c r="DD78" s="823">
        <f t="shared" si="212"/>
        <v>2.7005957623936525E-2</v>
      </c>
      <c r="DE78" s="823">
        <f t="shared" si="212"/>
        <v>2.7005957623936525E-2</v>
      </c>
      <c r="DF78" s="823">
        <f t="shared" si="212"/>
        <v>2.7005957623936525E-2</v>
      </c>
      <c r="DG78" s="823">
        <f t="shared" si="212"/>
        <v>2.7005957623936525E-2</v>
      </c>
      <c r="DH78" s="823">
        <f t="shared" si="212"/>
        <v>2.7005957623936525E-2</v>
      </c>
      <c r="DI78" s="823">
        <f t="shared" si="212"/>
        <v>2.7005957623936525E-2</v>
      </c>
      <c r="DJ78" s="823">
        <f t="shared" si="212"/>
        <v>2.7005957623936525E-2</v>
      </c>
      <c r="DK78" s="823">
        <f t="shared" si="212"/>
        <v>2.7005957623936525E-2</v>
      </c>
      <c r="DL78" s="823">
        <f t="shared" si="212"/>
        <v>2.7005957623936525E-2</v>
      </c>
      <c r="DM78" s="823">
        <f t="shared" si="212"/>
        <v>2.7005957623936525E-2</v>
      </c>
      <c r="DN78" s="823">
        <f t="shared" si="212"/>
        <v>2.7005957623936525E-2</v>
      </c>
      <c r="DO78" s="823">
        <f t="shared" si="212"/>
        <v>2.7005957623936525E-2</v>
      </c>
      <c r="DP78" s="823">
        <f t="shared" si="212"/>
        <v>2.7005957623936525E-2</v>
      </c>
      <c r="DQ78" s="823">
        <f t="shared" si="212"/>
        <v>2.7005957623936525E-2</v>
      </c>
      <c r="DR78" s="823">
        <f t="shared" si="212"/>
        <v>2.7005957623936525E-2</v>
      </c>
      <c r="DS78" s="823">
        <f t="shared" si="212"/>
        <v>2.7005957623936525E-2</v>
      </c>
      <c r="DT78" s="823">
        <f t="shared" si="212"/>
        <v>2.7005957623936525E-2</v>
      </c>
      <c r="DU78" s="823">
        <f t="shared" si="212"/>
        <v>2.7005957623936525E-2</v>
      </c>
      <c r="DV78" s="823">
        <f t="shared" si="212"/>
        <v>2.7005957623936525E-2</v>
      </c>
      <c r="DW78" s="823">
        <f t="shared" si="212"/>
        <v>2.7005957623936525E-2</v>
      </c>
      <c r="DX78" s="823">
        <f t="shared" si="212"/>
        <v>2.7005957623936525E-2</v>
      </c>
      <c r="DY78" s="823">
        <f t="shared" si="212"/>
        <v>2.7005957623936525E-2</v>
      </c>
      <c r="DZ78" s="823">
        <f t="shared" si="212"/>
        <v>2.7005957623936525E-2</v>
      </c>
      <c r="EA78" s="823">
        <f t="shared" si="212"/>
        <v>2.7005957623936525E-2</v>
      </c>
      <c r="EB78" s="823">
        <f t="shared" si="212"/>
        <v>2.7005957623936525E-2</v>
      </c>
      <c r="EC78" s="823">
        <f t="shared" si="212"/>
        <v>2.7005957623936525E-2</v>
      </c>
      <c r="ED78" s="113" t="s">
        <v>1</v>
      </c>
    </row>
    <row r="79" spans="1:134" s="638" customFormat="1" x14ac:dyDescent="0.2">
      <c r="A79" s="133" t="s">
        <v>181</v>
      </c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3"/>
      <c r="BB79" s="133"/>
      <c r="BC79" s="133"/>
      <c r="BD79" s="133"/>
      <c r="BE79" s="133"/>
      <c r="BF79" s="133"/>
      <c r="BG79" s="133"/>
      <c r="BH79" s="133"/>
      <c r="BI79" s="133"/>
      <c r="BJ79" s="133"/>
      <c r="BK79" s="133"/>
      <c r="BL79" s="133"/>
      <c r="BM79" s="133"/>
      <c r="BN79" s="133"/>
      <c r="BO79" s="133"/>
      <c r="BP79" s="133"/>
      <c r="BQ79" s="133"/>
      <c r="BR79" s="133"/>
      <c r="BS79" s="133"/>
      <c r="BT79" s="133"/>
      <c r="BU79" s="133"/>
      <c r="BV79" s="133"/>
      <c r="BW79" s="133"/>
      <c r="BX79" s="133"/>
      <c r="BY79" s="133"/>
      <c r="BZ79" s="133"/>
      <c r="CA79" s="133"/>
      <c r="CB79" s="133"/>
      <c r="CC79" s="133"/>
      <c r="CD79" s="133"/>
      <c r="CE79" s="133"/>
      <c r="CF79" s="133"/>
      <c r="CG79" s="133"/>
      <c r="CH79" s="133"/>
      <c r="CI79" s="133"/>
      <c r="CJ79" s="133"/>
      <c r="CK79" s="133"/>
      <c r="CL79" s="133"/>
      <c r="CM79" s="133"/>
      <c r="CN79" s="133"/>
      <c r="CO79" s="133"/>
      <c r="CP79" s="133"/>
      <c r="CQ79" s="133"/>
      <c r="CR79" s="133"/>
      <c r="CS79" s="133"/>
      <c r="CT79" s="701">
        <v>0.05</v>
      </c>
      <c r="CU79" s="133"/>
      <c r="CV79" s="133"/>
      <c r="CW79" s="133"/>
      <c r="CX79" s="133"/>
      <c r="CY79" s="133"/>
      <c r="CZ79" s="133"/>
      <c r="DA79" s="133"/>
      <c r="DB79" s="133"/>
      <c r="DC79" s="133"/>
      <c r="DD79" s="133"/>
      <c r="DE79" s="133"/>
      <c r="DF79" s="701">
        <v>0.05</v>
      </c>
      <c r="DG79" s="133"/>
      <c r="DH79" s="133"/>
      <c r="DI79" s="133"/>
      <c r="DJ79" s="133"/>
      <c r="DK79" s="133"/>
      <c r="DL79" s="133"/>
      <c r="DM79" s="133"/>
      <c r="DN79" s="133"/>
      <c r="DO79" s="133"/>
      <c r="DP79" s="133"/>
      <c r="DQ79" s="133"/>
      <c r="DR79" s="133"/>
      <c r="DS79" s="133"/>
      <c r="DT79" s="133"/>
      <c r="DU79" s="133"/>
      <c r="DV79" s="133"/>
      <c r="DW79" s="133"/>
      <c r="DX79" s="133"/>
      <c r="DY79" s="133"/>
      <c r="DZ79" s="133"/>
      <c r="EA79" s="133"/>
      <c r="EB79" s="133"/>
      <c r="EC79" s="133"/>
      <c r="ED79" s="113" t="s">
        <v>1</v>
      </c>
    </row>
    <row r="80" spans="1:134" s="638" customFormat="1" x14ac:dyDescent="0.2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3"/>
      <c r="BJ80" s="133"/>
      <c r="BK80" s="133"/>
      <c r="BL80" s="133"/>
      <c r="BM80" s="133"/>
      <c r="BN80" s="133"/>
      <c r="BO80" s="133"/>
      <c r="BP80" s="133"/>
      <c r="BQ80" s="133"/>
      <c r="BR80" s="133"/>
      <c r="BS80" s="133"/>
      <c r="BT80" s="133"/>
      <c r="BU80" s="133"/>
      <c r="BV80" s="133"/>
      <c r="BW80" s="133"/>
      <c r="BX80" s="133"/>
      <c r="BY80" s="133"/>
      <c r="BZ80" s="133"/>
      <c r="CA80" s="133"/>
      <c r="CB80" s="133"/>
      <c r="CC80" s="133"/>
      <c r="CD80" s="133"/>
      <c r="CE80" s="133"/>
      <c r="CF80" s="133"/>
      <c r="CG80" s="133"/>
      <c r="CH80" s="133"/>
      <c r="CI80" s="133"/>
      <c r="CJ80" s="133"/>
      <c r="CK80" s="133"/>
      <c r="CL80" s="133"/>
      <c r="CM80" s="133"/>
      <c r="CN80" s="133"/>
      <c r="CO80" s="133"/>
      <c r="CP80" s="133"/>
      <c r="CQ80" s="133"/>
      <c r="CR80" s="133"/>
      <c r="CS80" s="133"/>
      <c r="CT80" s="702"/>
      <c r="CU80" s="133"/>
      <c r="CV80" s="133"/>
      <c r="CW80" s="133"/>
      <c r="CX80" s="133"/>
      <c r="CY80" s="133"/>
      <c r="CZ80" s="133"/>
      <c r="DA80" s="133"/>
      <c r="DB80" s="133"/>
      <c r="DC80" s="133"/>
      <c r="DD80" s="133"/>
      <c r="DE80" s="133"/>
      <c r="DF80" s="702"/>
      <c r="DG80" s="133"/>
      <c r="DH80" s="133"/>
      <c r="DI80" s="133"/>
      <c r="DJ80" s="133"/>
      <c r="DK80" s="133"/>
      <c r="DL80" s="133"/>
      <c r="DM80" s="133"/>
      <c r="DN80" s="133"/>
      <c r="DO80" s="133"/>
      <c r="DP80" s="133"/>
      <c r="DQ80" s="133"/>
      <c r="DR80" s="133"/>
      <c r="DS80" s="133"/>
      <c r="DT80" s="133"/>
      <c r="DU80" s="133"/>
      <c r="DV80" s="133"/>
      <c r="DW80" s="133"/>
      <c r="DX80" s="133"/>
      <c r="DY80" s="133"/>
      <c r="DZ80" s="133"/>
      <c r="EA80" s="133"/>
      <c r="EB80" s="133"/>
      <c r="EC80" s="133"/>
      <c r="ED80" s="113" t="s">
        <v>1</v>
      </c>
    </row>
    <row r="81" spans="1:134" s="638" customFormat="1" x14ac:dyDescent="0.2">
      <c r="A81" s="133" t="s">
        <v>579</v>
      </c>
      <c r="B81" s="185">
        <f t="shared" ref="B81:AG81" si="213">B60/B46</f>
        <v>0</v>
      </c>
      <c r="C81" s="185">
        <f t="shared" si="213"/>
        <v>0</v>
      </c>
      <c r="D81" s="185">
        <f t="shared" si="213"/>
        <v>0</v>
      </c>
      <c r="E81" s="185">
        <f t="shared" si="213"/>
        <v>0</v>
      </c>
      <c r="F81" s="185">
        <f t="shared" si="213"/>
        <v>0</v>
      </c>
      <c r="G81" s="185">
        <f t="shared" si="213"/>
        <v>0</v>
      </c>
      <c r="H81" s="185">
        <f t="shared" si="213"/>
        <v>0</v>
      </c>
      <c r="I81" s="185">
        <f t="shared" si="213"/>
        <v>0</v>
      </c>
      <c r="J81" s="185">
        <f t="shared" si="213"/>
        <v>0</v>
      </c>
      <c r="K81" s="185">
        <f t="shared" si="213"/>
        <v>0</v>
      </c>
      <c r="L81" s="185">
        <f t="shared" si="213"/>
        <v>0</v>
      </c>
      <c r="M81" s="185">
        <f t="shared" si="213"/>
        <v>0</v>
      </c>
      <c r="N81" s="185">
        <f t="shared" si="213"/>
        <v>0</v>
      </c>
      <c r="O81" s="185">
        <f t="shared" si="213"/>
        <v>0</v>
      </c>
      <c r="P81" s="185">
        <f t="shared" si="213"/>
        <v>0</v>
      </c>
      <c r="Q81" s="185">
        <f t="shared" si="213"/>
        <v>0</v>
      </c>
      <c r="R81" s="185">
        <f t="shared" si="213"/>
        <v>0</v>
      </c>
      <c r="S81" s="185">
        <f t="shared" si="213"/>
        <v>0</v>
      </c>
      <c r="T81" s="185">
        <f t="shared" si="213"/>
        <v>0</v>
      </c>
      <c r="U81" s="185">
        <f t="shared" si="213"/>
        <v>0</v>
      </c>
      <c r="V81" s="185">
        <f t="shared" si="213"/>
        <v>0</v>
      </c>
      <c r="W81" s="185">
        <f t="shared" si="213"/>
        <v>0</v>
      </c>
      <c r="X81" s="185">
        <f t="shared" si="213"/>
        <v>0</v>
      </c>
      <c r="Y81" s="185">
        <f t="shared" si="213"/>
        <v>0</v>
      </c>
      <c r="Z81" s="185">
        <f t="shared" si="213"/>
        <v>0</v>
      </c>
      <c r="AA81" s="185">
        <f t="shared" si="213"/>
        <v>0</v>
      </c>
      <c r="AB81" s="185">
        <f t="shared" si="213"/>
        <v>0</v>
      </c>
      <c r="AC81" s="185">
        <f t="shared" si="213"/>
        <v>0</v>
      </c>
      <c r="AD81" s="185">
        <f t="shared" si="213"/>
        <v>0</v>
      </c>
      <c r="AE81" s="185">
        <f t="shared" si="213"/>
        <v>0</v>
      </c>
      <c r="AF81" s="185">
        <f t="shared" si="213"/>
        <v>0</v>
      </c>
      <c r="AG81" s="185">
        <f t="shared" si="213"/>
        <v>0</v>
      </c>
      <c r="AH81" s="185">
        <f t="shared" ref="AH81:BM81" si="214">AH60/AH46</f>
        <v>0</v>
      </c>
      <c r="AI81" s="185">
        <f t="shared" si="214"/>
        <v>0</v>
      </c>
      <c r="AJ81" s="185">
        <f t="shared" si="214"/>
        <v>0</v>
      </c>
      <c r="AK81" s="185">
        <f t="shared" si="214"/>
        <v>0</v>
      </c>
      <c r="AL81" s="185">
        <f t="shared" si="214"/>
        <v>0</v>
      </c>
      <c r="AM81" s="185">
        <f t="shared" si="214"/>
        <v>0</v>
      </c>
      <c r="AN81" s="185">
        <f t="shared" si="214"/>
        <v>0</v>
      </c>
      <c r="AO81" s="185">
        <f t="shared" si="214"/>
        <v>0</v>
      </c>
      <c r="AP81" s="185">
        <f t="shared" si="214"/>
        <v>0</v>
      </c>
      <c r="AQ81" s="185">
        <f t="shared" si="214"/>
        <v>0</v>
      </c>
      <c r="AR81" s="185">
        <f t="shared" si="214"/>
        <v>0</v>
      </c>
      <c r="AS81" s="185">
        <f t="shared" si="214"/>
        <v>0</v>
      </c>
      <c r="AT81" s="185">
        <f t="shared" si="214"/>
        <v>0</v>
      </c>
      <c r="AU81" s="185">
        <f t="shared" si="214"/>
        <v>0</v>
      </c>
      <c r="AV81" s="185">
        <f t="shared" si="214"/>
        <v>0</v>
      </c>
      <c r="AW81" s="185">
        <f t="shared" si="214"/>
        <v>0</v>
      </c>
      <c r="AX81" s="185">
        <f t="shared" si="214"/>
        <v>0</v>
      </c>
      <c r="AY81" s="185">
        <f t="shared" si="214"/>
        <v>0</v>
      </c>
      <c r="AZ81" s="185">
        <f t="shared" si="214"/>
        <v>0</v>
      </c>
      <c r="BA81" s="185">
        <f t="shared" si="214"/>
        <v>0</v>
      </c>
      <c r="BB81" s="185">
        <f t="shared" si="214"/>
        <v>0</v>
      </c>
      <c r="BC81" s="185">
        <f t="shared" si="214"/>
        <v>0</v>
      </c>
      <c r="BD81" s="185">
        <f t="shared" si="214"/>
        <v>0</v>
      </c>
      <c r="BE81" s="185">
        <f t="shared" si="214"/>
        <v>0</v>
      </c>
      <c r="BF81" s="185">
        <f t="shared" si="214"/>
        <v>0</v>
      </c>
      <c r="BG81" s="185">
        <f t="shared" si="214"/>
        <v>0</v>
      </c>
      <c r="BH81" s="185">
        <f t="shared" si="214"/>
        <v>0</v>
      </c>
      <c r="BI81" s="185">
        <f t="shared" si="214"/>
        <v>0</v>
      </c>
      <c r="BJ81" s="185">
        <f t="shared" si="214"/>
        <v>0</v>
      </c>
      <c r="BK81" s="185">
        <f t="shared" si="214"/>
        <v>0</v>
      </c>
      <c r="BL81" s="185">
        <f t="shared" si="214"/>
        <v>0</v>
      </c>
      <c r="BM81" s="185">
        <f t="shared" si="214"/>
        <v>0</v>
      </c>
      <c r="BN81" s="185">
        <f t="shared" ref="BN81:CS81" si="215">BN60/BN46</f>
        <v>0</v>
      </c>
      <c r="BO81" s="185">
        <f t="shared" si="215"/>
        <v>0</v>
      </c>
      <c r="BP81" s="185">
        <f t="shared" si="215"/>
        <v>0</v>
      </c>
      <c r="BQ81" s="185">
        <f t="shared" si="215"/>
        <v>0</v>
      </c>
      <c r="BR81" s="185">
        <f t="shared" si="215"/>
        <v>0</v>
      </c>
      <c r="BS81" s="185">
        <f t="shared" si="215"/>
        <v>0</v>
      </c>
      <c r="BT81" s="185">
        <f t="shared" si="215"/>
        <v>0</v>
      </c>
      <c r="BU81" s="185">
        <f t="shared" si="215"/>
        <v>0</v>
      </c>
      <c r="BV81" s="185">
        <f t="shared" si="215"/>
        <v>3.1060445996726571E-3</v>
      </c>
      <c r="BW81" s="185">
        <f t="shared" si="215"/>
        <v>3.1912475610998406E-3</v>
      </c>
      <c r="BX81" s="185">
        <f t="shared" si="215"/>
        <v>3.0038470638242714E-3</v>
      </c>
      <c r="BY81" s="185">
        <f t="shared" si="215"/>
        <v>2.7620953000164761E-3</v>
      </c>
      <c r="BZ81" s="185">
        <f t="shared" si="215"/>
        <v>2.1450042580003653E-3</v>
      </c>
      <c r="CA81" s="185">
        <f t="shared" si="215"/>
        <v>2.1467699511737949E-3</v>
      </c>
      <c r="CB81" s="185">
        <f t="shared" si="215"/>
        <v>3.8215388964761192E-3</v>
      </c>
      <c r="CC81" s="185">
        <f t="shared" si="215"/>
        <v>4.696468550258519E-3</v>
      </c>
      <c r="CD81" s="185">
        <f t="shared" si="215"/>
        <v>3.7059526311817893E-3</v>
      </c>
      <c r="CE81" s="185">
        <f t="shared" si="215"/>
        <v>2.8290135153954802E-3</v>
      </c>
      <c r="CF81" s="185">
        <f t="shared" si="215"/>
        <v>2.4101721432744786E-3</v>
      </c>
      <c r="CG81" s="185">
        <f t="shared" si="215"/>
        <v>2.1220385053029958E-3</v>
      </c>
      <c r="CH81" s="185">
        <f t="shared" si="215"/>
        <v>2.3193546856642481E-3</v>
      </c>
      <c r="CI81" s="185">
        <f t="shared" si="215"/>
        <v>4.4648516090206357E-3</v>
      </c>
      <c r="CJ81" s="185">
        <f t="shared" si="215"/>
        <v>3.4849353176139427E-3</v>
      </c>
      <c r="CK81" s="185">
        <f t="shared" si="215"/>
        <v>4.7483326829195656E-3</v>
      </c>
      <c r="CL81" s="185">
        <f t="shared" si="215"/>
        <v>5.3349771271425563E-3</v>
      </c>
      <c r="CM81" s="185">
        <f t="shared" si="215"/>
        <v>4.7444290649467681E-3</v>
      </c>
      <c r="CN81" s="185">
        <f t="shared" si="215"/>
        <v>5.4518580931547716E-3</v>
      </c>
      <c r="CO81" s="185">
        <f t="shared" si="215"/>
        <v>4.9755819382775379E-3</v>
      </c>
      <c r="CP81" s="185">
        <f t="shared" si="215"/>
        <v>3.7097620438179763E-3</v>
      </c>
      <c r="CQ81" s="185">
        <f t="shared" si="215"/>
        <v>3.6743672531024171E-3</v>
      </c>
      <c r="CR81" s="185">
        <f t="shared" si="215"/>
        <v>4.5018546942816656E-3</v>
      </c>
      <c r="CS81" s="185">
        <f t="shared" si="215"/>
        <v>3.9729752146994398E-3</v>
      </c>
      <c r="CT81" s="711">
        <f>SUM(CH60:CS60)/SUM(CH46:CS46)</f>
        <v>4.2186948986466478E-3</v>
      </c>
      <c r="CU81" s="185">
        <f>CT81</f>
        <v>4.2186948986466478E-3</v>
      </c>
      <c r="CV81" s="185">
        <f t="shared" ref="CV81:EC81" si="216">CU81</f>
        <v>4.2186948986466478E-3</v>
      </c>
      <c r="CW81" s="185">
        <f t="shared" si="216"/>
        <v>4.2186948986466478E-3</v>
      </c>
      <c r="CX81" s="185">
        <f t="shared" si="216"/>
        <v>4.2186948986466478E-3</v>
      </c>
      <c r="CY81" s="185">
        <f t="shared" si="216"/>
        <v>4.2186948986466478E-3</v>
      </c>
      <c r="CZ81" s="185">
        <f t="shared" si="216"/>
        <v>4.2186948986466478E-3</v>
      </c>
      <c r="DA81" s="185">
        <f t="shared" si="216"/>
        <v>4.2186948986466478E-3</v>
      </c>
      <c r="DB81" s="185">
        <f t="shared" si="216"/>
        <v>4.2186948986466478E-3</v>
      </c>
      <c r="DC81" s="185">
        <f t="shared" si="216"/>
        <v>4.2186948986466478E-3</v>
      </c>
      <c r="DD81" s="185">
        <f t="shared" si="216"/>
        <v>4.2186948986466478E-3</v>
      </c>
      <c r="DE81" s="185">
        <f t="shared" si="216"/>
        <v>4.2186948986466478E-3</v>
      </c>
      <c r="DF81" s="185">
        <f t="shared" si="216"/>
        <v>4.2186948986466478E-3</v>
      </c>
      <c r="DG81" s="185">
        <f t="shared" si="216"/>
        <v>4.2186948986466478E-3</v>
      </c>
      <c r="DH81" s="185">
        <f t="shared" si="216"/>
        <v>4.2186948986466478E-3</v>
      </c>
      <c r="DI81" s="185">
        <f t="shared" si="216"/>
        <v>4.2186948986466478E-3</v>
      </c>
      <c r="DJ81" s="185">
        <f t="shared" si="216"/>
        <v>4.2186948986466478E-3</v>
      </c>
      <c r="DK81" s="185">
        <f t="shared" si="216"/>
        <v>4.2186948986466478E-3</v>
      </c>
      <c r="DL81" s="185">
        <f t="shared" si="216"/>
        <v>4.2186948986466478E-3</v>
      </c>
      <c r="DM81" s="185">
        <f t="shared" si="216"/>
        <v>4.2186948986466478E-3</v>
      </c>
      <c r="DN81" s="185">
        <f t="shared" si="216"/>
        <v>4.2186948986466478E-3</v>
      </c>
      <c r="DO81" s="185">
        <f t="shared" si="216"/>
        <v>4.2186948986466478E-3</v>
      </c>
      <c r="DP81" s="185">
        <f t="shared" si="216"/>
        <v>4.2186948986466478E-3</v>
      </c>
      <c r="DQ81" s="185">
        <f t="shared" si="216"/>
        <v>4.2186948986466478E-3</v>
      </c>
      <c r="DR81" s="185">
        <f t="shared" si="216"/>
        <v>4.2186948986466478E-3</v>
      </c>
      <c r="DS81" s="185">
        <f t="shared" si="216"/>
        <v>4.2186948986466478E-3</v>
      </c>
      <c r="DT81" s="185">
        <f t="shared" si="216"/>
        <v>4.2186948986466478E-3</v>
      </c>
      <c r="DU81" s="185">
        <f t="shared" si="216"/>
        <v>4.2186948986466478E-3</v>
      </c>
      <c r="DV81" s="185">
        <f t="shared" si="216"/>
        <v>4.2186948986466478E-3</v>
      </c>
      <c r="DW81" s="185">
        <f t="shared" si="216"/>
        <v>4.2186948986466478E-3</v>
      </c>
      <c r="DX81" s="185">
        <f t="shared" si="216"/>
        <v>4.2186948986466478E-3</v>
      </c>
      <c r="DY81" s="185">
        <f t="shared" si="216"/>
        <v>4.2186948986466478E-3</v>
      </c>
      <c r="DZ81" s="185">
        <f t="shared" si="216"/>
        <v>4.2186948986466478E-3</v>
      </c>
      <c r="EA81" s="185">
        <f t="shared" si="216"/>
        <v>4.2186948986466478E-3</v>
      </c>
      <c r="EB81" s="185">
        <f t="shared" si="216"/>
        <v>4.2186948986466478E-3</v>
      </c>
      <c r="EC81" s="185">
        <f t="shared" si="216"/>
        <v>4.2186948986466478E-3</v>
      </c>
      <c r="ED81" s="113" t="s">
        <v>1</v>
      </c>
    </row>
    <row r="82" spans="1:134" s="638" customFormat="1" x14ac:dyDescent="0.2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33"/>
      <c r="BG82" s="133"/>
      <c r="BH82" s="133"/>
      <c r="BI82" s="133"/>
      <c r="BJ82" s="133"/>
      <c r="BK82" s="133"/>
      <c r="BL82" s="133"/>
      <c r="BM82" s="133"/>
      <c r="BN82" s="133"/>
      <c r="BO82" s="133"/>
      <c r="BP82" s="133"/>
      <c r="BQ82" s="133"/>
      <c r="BR82" s="133"/>
      <c r="BS82" s="133"/>
      <c r="BT82" s="133"/>
      <c r="BU82" s="133"/>
      <c r="BV82" s="133"/>
      <c r="BW82" s="133"/>
      <c r="BX82" s="133"/>
      <c r="BY82" s="133"/>
      <c r="BZ82" s="133"/>
      <c r="CA82" s="133"/>
      <c r="CB82" s="133"/>
      <c r="CC82" s="133"/>
      <c r="CD82" s="133"/>
      <c r="CE82" s="133"/>
      <c r="CF82" s="133"/>
      <c r="CG82" s="133"/>
      <c r="CH82" s="133"/>
      <c r="CI82" s="133"/>
      <c r="CJ82" s="133"/>
      <c r="CK82" s="133"/>
      <c r="CL82" s="133"/>
      <c r="CM82" s="133"/>
      <c r="CN82" s="133"/>
      <c r="CO82" s="133"/>
      <c r="CP82" s="133"/>
      <c r="CQ82" s="133"/>
      <c r="CR82" s="133"/>
      <c r="CS82" s="133"/>
      <c r="CT82" s="701"/>
      <c r="CU82" s="702"/>
      <c r="CV82" s="133"/>
      <c r="CW82" s="133"/>
      <c r="CX82" s="133"/>
      <c r="CY82" s="133"/>
      <c r="CZ82" s="133"/>
      <c r="DA82" s="133"/>
      <c r="DB82" s="133"/>
      <c r="DC82" s="133"/>
      <c r="DD82" s="133"/>
      <c r="DE82" s="133"/>
      <c r="DF82" s="701">
        <v>-0.05</v>
      </c>
      <c r="DG82" s="133"/>
      <c r="DH82" s="133"/>
      <c r="DI82" s="133"/>
      <c r="DJ82" s="133"/>
      <c r="DK82" s="133"/>
      <c r="DL82" s="133"/>
      <c r="DM82" s="133"/>
      <c r="DN82" s="133"/>
      <c r="DO82" s="133"/>
      <c r="DP82" s="133"/>
      <c r="DQ82" s="133"/>
      <c r="DR82" s="701">
        <v>0.05</v>
      </c>
      <c r="DS82" s="133"/>
      <c r="DT82" s="133"/>
      <c r="DU82" s="133"/>
      <c r="DV82" s="133"/>
      <c r="DW82" s="133"/>
      <c r="DX82" s="133"/>
      <c r="DY82" s="133"/>
      <c r="DZ82" s="133"/>
      <c r="EA82" s="133"/>
      <c r="EB82" s="133"/>
      <c r="EC82" s="133"/>
      <c r="ED82" s="113" t="s">
        <v>1</v>
      </c>
    </row>
    <row r="83" spans="1:134" s="638" customFormat="1" x14ac:dyDescent="0.2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3"/>
      <c r="BJ83" s="133"/>
      <c r="BK83" s="133"/>
      <c r="BL83" s="133"/>
      <c r="BM83" s="133"/>
      <c r="BN83" s="133"/>
      <c r="BO83" s="133"/>
      <c r="BP83" s="133"/>
      <c r="BQ83" s="133"/>
      <c r="BR83" s="133"/>
      <c r="BS83" s="133"/>
      <c r="BT83" s="133"/>
      <c r="BU83" s="133"/>
      <c r="BV83" s="133"/>
      <c r="BW83" s="133"/>
      <c r="BX83" s="133"/>
      <c r="BY83" s="133"/>
      <c r="BZ83" s="133"/>
      <c r="CA83" s="133"/>
      <c r="CB83" s="133"/>
      <c r="CC83" s="133"/>
      <c r="CD83" s="133"/>
      <c r="CE83" s="133"/>
      <c r="CF83" s="133"/>
      <c r="CG83" s="133"/>
      <c r="CH83" s="133"/>
      <c r="CI83" s="133"/>
      <c r="CJ83" s="133"/>
      <c r="CK83" s="133"/>
      <c r="CL83" s="133"/>
      <c r="CM83" s="133"/>
      <c r="CN83" s="133"/>
      <c r="CO83" s="133"/>
      <c r="CP83" s="133"/>
      <c r="CQ83" s="133"/>
      <c r="CR83" s="133"/>
      <c r="CS83" s="133"/>
      <c r="CT83" s="702"/>
      <c r="CU83" s="702"/>
      <c r="CV83" s="133"/>
      <c r="CW83" s="133"/>
      <c r="CX83" s="133"/>
      <c r="CY83" s="133"/>
      <c r="CZ83" s="133"/>
      <c r="DA83" s="133"/>
      <c r="DB83" s="133"/>
      <c r="DC83" s="133"/>
      <c r="DD83" s="133"/>
      <c r="DE83" s="133"/>
      <c r="DF83" s="702"/>
      <c r="DG83" s="133"/>
      <c r="DH83" s="133"/>
      <c r="DI83" s="133"/>
      <c r="DJ83" s="133"/>
      <c r="DK83" s="133"/>
      <c r="DL83" s="133"/>
      <c r="DM83" s="133"/>
      <c r="DN83" s="133"/>
      <c r="DO83" s="133"/>
      <c r="DP83" s="133"/>
      <c r="DQ83" s="133"/>
      <c r="DR83" s="702"/>
      <c r="DS83" s="133"/>
      <c r="DT83" s="133"/>
      <c r="DU83" s="133"/>
      <c r="DV83" s="133"/>
      <c r="DW83" s="133"/>
      <c r="DX83" s="133"/>
      <c r="DY83" s="133"/>
      <c r="DZ83" s="133"/>
      <c r="EA83" s="133"/>
      <c r="EB83" s="133"/>
      <c r="EC83" s="133"/>
      <c r="ED83" s="113" t="s">
        <v>1</v>
      </c>
    </row>
    <row r="84" spans="1:134" s="638" customFormat="1" x14ac:dyDescent="0.2">
      <c r="A84" s="133" t="s">
        <v>580</v>
      </c>
      <c r="B84" s="711">
        <f t="shared" ref="B84:AG84" si="217">B61/B46</f>
        <v>0</v>
      </c>
      <c r="C84" s="711">
        <f t="shared" si="217"/>
        <v>0</v>
      </c>
      <c r="D84" s="711">
        <f t="shared" si="217"/>
        <v>0</v>
      </c>
      <c r="E84" s="711">
        <f t="shared" si="217"/>
        <v>0</v>
      </c>
      <c r="F84" s="711">
        <f t="shared" si="217"/>
        <v>0</v>
      </c>
      <c r="G84" s="711">
        <f t="shared" si="217"/>
        <v>0</v>
      </c>
      <c r="H84" s="711">
        <f t="shared" si="217"/>
        <v>0</v>
      </c>
      <c r="I84" s="711">
        <f t="shared" si="217"/>
        <v>0</v>
      </c>
      <c r="J84" s="711">
        <f t="shared" si="217"/>
        <v>0</v>
      </c>
      <c r="K84" s="711">
        <f t="shared" si="217"/>
        <v>0</v>
      </c>
      <c r="L84" s="711">
        <f t="shared" si="217"/>
        <v>0</v>
      </c>
      <c r="M84" s="711">
        <f t="shared" si="217"/>
        <v>0</v>
      </c>
      <c r="N84" s="711">
        <f t="shared" si="217"/>
        <v>0</v>
      </c>
      <c r="O84" s="711">
        <f t="shared" si="217"/>
        <v>0</v>
      </c>
      <c r="P84" s="711">
        <f t="shared" si="217"/>
        <v>0</v>
      </c>
      <c r="Q84" s="711">
        <f t="shared" si="217"/>
        <v>0</v>
      </c>
      <c r="R84" s="711">
        <f t="shared" si="217"/>
        <v>0</v>
      </c>
      <c r="S84" s="711">
        <f t="shared" si="217"/>
        <v>0</v>
      </c>
      <c r="T84" s="711">
        <f t="shared" si="217"/>
        <v>0</v>
      </c>
      <c r="U84" s="711">
        <f t="shared" si="217"/>
        <v>0</v>
      </c>
      <c r="V84" s="711">
        <f t="shared" si="217"/>
        <v>0</v>
      </c>
      <c r="W84" s="711">
        <f t="shared" si="217"/>
        <v>0</v>
      </c>
      <c r="X84" s="711">
        <f t="shared" si="217"/>
        <v>0</v>
      </c>
      <c r="Y84" s="711">
        <f t="shared" si="217"/>
        <v>0</v>
      </c>
      <c r="Z84" s="711">
        <f t="shared" si="217"/>
        <v>0</v>
      </c>
      <c r="AA84" s="711">
        <f t="shared" si="217"/>
        <v>0</v>
      </c>
      <c r="AB84" s="711">
        <f t="shared" si="217"/>
        <v>0</v>
      </c>
      <c r="AC84" s="711">
        <f t="shared" si="217"/>
        <v>0</v>
      </c>
      <c r="AD84" s="711">
        <f t="shared" si="217"/>
        <v>0</v>
      </c>
      <c r="AE84" s="711">
        <f t="shared" si="217"/>
        <v>0</v>
      </c>
      <c r="AF84" s="711">
        <f t="shared" si="217"/>
        <v>0</v>
      </c>
      <c r="AG84" s="711">
        <f t="shared" si="217"/>
        <v>0</v>
      </c>
      <c r="AH84" s="711">
        <f t="shared" ref="AH84:BM84" si="218">AH61/AH46</f>
        <v>0</v>
      </c>
      <c r="AI84" s="711">
        <f t="shared" si="218"/>
        <v>0</v>
      </c>
      <c r="AJ84" s="711">
        <f t="shared" si="218"/>
        <v>0</v>
      </c>
      <c r="AK84" s="711">
        <f t="shared" si="218"/>
        <v>0</v>
      </c>
      <c r="AL84" s="711">
        <f t="shared" si="218"/>
        <v>0</v>
      </c>
      <c r="AM84" s="711">
        <f t="shared" si="218"/>
        <v>0</v>
      </c>
      <c r="AN84" s="711">
        <f t="shared" si="218"/>
        <v>0</v>
      </c>
      <c r="AO84" s="711">
        <f t="shared" si="218"/>
        <v>0</v>
      </c>
      <c r="AP84" s="711">
        <f t="shared" si="218"/>
        <v>0</v>
      </c>
      <c r="AQ84" s="711">
        <f t="shared" si="218"/>
        <v>0</v>
      </c>
      <c r="AR84" s="711">
        <f t="shared" si="218"/>
        <v>0</v>
      </c>
      <c r="AS84" s="711">
        <f t="shared" si="218"/>
        <v>0</v>
      </c>
      <c r="AT84" s="711">
        <f t="shared" si="218"/>
        <v>0</v>
      </c>
      <c r="AU84" s="711">
        <f t="shared" si="218"/>
        <v>0</v>
      </c>
      <c r="AV84" s="711">
        <f t="shared" si="218"/>
        <v>0</v>
      </c>
      <c r="AW84" s="711">
        <f t="shared" si="218"/>
        <v>0</v>
      </c>
      <c r="AX84" s="711">
        <f t="shared" si="218"/>
        <v>0</v>
      </c>
      <c r="AY84" s="711">
        <f t="shared" si="218"/>
        <v>0</v>
      </c>
      <c r="AZ84" s="711">
        <f t="shared" si="218"/>
        <v>0</v>
      </c>
      <c r="BA84" s="711">
        <f t="shared" si="218"/>
        <v>0</v>
      </c>
      <c r="BB84" s="711">
        <f t="shared" si="218"/>
        <v>0</v>
      </c>
      <c r="BC84" s="711">
        <f t="shared" si="218"/>
        <v>0</v>
      </c>
      <c r="BD84" s="711">
        <f t="shared" si="218"/>
        <v>0</v>
      </c>
      <c r="BE84" s="711">
        <f t="shared" si="218"/>
        <v>0</v>
      </c>
      <c r="BF84" s="711">
        <f t="shared" si="218"/>
        <v>0</v>
      </c>
      <c r="BG84" s="711">
        <f t="shared" si="218"/>
        <v>0</v>
      </c>
      <c r="BH84" s="711">
        <f t="shared" si="218"/>
        <v>0</v>
      </c>
      <c r="BI84" s="711">
        <f t="shared" si="218"/>
        <v>0</v>
      </c>
      <c r="BJ84" s="711">
        <f t="shared" si="218"/>
        <v>0</v>
      </c>
      <c r="BK84" s="711">
        <f t="shared" si="218"/>
        <v>0</v>
      </c>
      <c r="BL84" s="711">
        <f t="shared" si="218"/>
        <v>0</v>
      </c>
      <c r="BM84" s="711">
        <f t="shared" si="218"/>
        <v>0</v>
      </c>
      <c r="BN84" s="711">
        <f t="shared" ref="BN84:CS84" si="219">BN61/BN46</f>
        <v>0</v>
      </c>
      <c r="BO84" s="711">
        <f t="shared" si="219"/>
        <v>0</v>
      </c>
      <c r="BP84" s="711">
        <f t="shared" si="219"/>
        <v>0</v>
      </c>
      <c r="BQ84" s="711">
        <f t="shared" si="219"/>
        <v>0</v>
      </c>
      <c r="BR84" s="711">
        <f t="shared" si="219"/>
        <v>0</v>
      </c>
      <c r="BS84" s="711">
        <f t="shared" si="219"/>
        <v>0</v>
      </c>
      <c r="BT84" s="711">
        <f t="shared" si="219"/>
        <v>0</v>
      </c>
      <c r="BU84" s="711">
        <f t="shared" si="219"/>
        <v>0</v>
      </c>
      <c r="BV84" s="711">
        <f t="shared" si="219"/>
        <v>2.1457204720888154E-3</v>
      </c>
      <c r="BW84" s="711">
        <f t="shared" si="219"/>
        <v>2.6947061659837214E-3</v>
      </c>
      <c r="BX84" s="711">
        <f t="shared" si="219"/>
        <v>2.7100583955130112E-3</v>
      </c>
      <c r="BY84" s="711">
        <f t="shared" si="219"/>
        <v>2.4815197931188529E-3</v>
      </c>
      <c r="BZ84" s="711">
        <f t="shared" si="219"/>
        <v>1.7044638357097117E-3</v>
      </c>
      <c r="CA84" s="711">
        <f t="shared" si="219"/>
        <v>1.6431665880203619E-3</v>
      </c>
      <c r="CB84" s="711">
        <f t="shared" si="219"/>
        <v>2.8423506316541639E-3</v>
      </c>
      <c r="CC84" s="711">
        <f t="shared" si="219"/>
        <v>3.2104209665410471E-3</v>
      </c>
      <c r="CD84" s="711">
        <f t="shared" si="219"/>
        <v>2.5568006009528219E-3</v>
      </c>
      <c r="CE84" s="711">
        <f t="shared" si="219"/>
        <v>1.8479538126855535E-3</v>
      </c>
      <c r="CF84" s="711">
        <f t="shared" si="219"/>
        <v>1.5513360548202663E-3</v>
      </c>
      <c r="CG84" s="711">
        <f t="shared" si="219"/>
        <v>1.3666085770287857E-3</v>
      </c>
      <c r="CH84" s="711">
        <f t="shared" si="219"/>
        <v>1.5125570763024968E-3</v>
      </c>
      <c r="CI84" s="711">
        <f t="shared" si="219"/>
        <v>3.0492398055049011E-3</v>
      </c>
      <c r="CJ84" s="711">
        <f t="shared" si="219"/>
        <v>3.600172360828326E-3</v>
      </c>
      <c r="CK84" s="711">
        <f t="shared" si="219"/>
        <v>3.0449495625490502E-3</v>
      </c>
      <c r="CL84" s="711">
        <f t="shared" si="219"/>
        <v>3.2872447534624421E-3</v>
      </c>
      <c r="CM84" s="711">
        <f t="shared" si="219"/>
        <v>2.7646513888177899E-3</v>
      </c>
      <c r="CN84" s="711">
        <f t="shared" si="219"/>
        <v>3.1189210404329913E-3</v>
      </c>
      <c r="CO84" s="711">
        <f t="shared" si="219"/>
        <v>2.9900491338315047E-3</v>
      </c>
      <c r="CP84" s="711">
        <f t="shared" si="219"/>
        <v>2.2000063230539512E-3</v>
      </c>
      <c r="CQ84" s="711">
        <f t="shared" si="219"/>
        <v>2.1581839637563921E-3</v>
      </c>
      <c r="CR84" s="711">
        <f t="shared" si="219"/>
        <v>2.6962502644160813E-3</v>
      </c>
      <c r="CS84" s="711">
        <f t="shared" si="219"/>
        <v>2.3687288417530337E-3</v>
      </c>
      <c r="CT84" s="711">
        <f>SUM(CH61:CS61)/SUM(CH46:CS46)</f>
        <v>2.678272733562562E-3</v>
      </c>
      <c r="CU84" s="711">
        <f>CT84</f>
        <v>2.678272733562562E-3</v>
      </c>
      <c r="CV84" s="711">
        <f t="shared" ref="CV84:EC84" si="220">CU84</f>
        <v>2.678272733562562E-3</v>
      </c>
      <c r="CW84" s="711">
        <f t="shared" si="220"/>
        <v>2.678272733562562E-3</v>
      </c>
      <c r="CX84" s="711">
        <f t="shared" si="220"/>
        <v>2.678272733562562E-3</v>
      </c>
      <c r="CY84" s="711">
        <f t="shared" si="220"/>
        <v>2.678272733562562E-3</v>
      </c>
      <c r="CZ84" s="711">
        <f t="shared" si="220"/>
        <v>2.678272733562562E-3</v>
      </c>
      <c r="DA84" s="711">
        <f t="shared" si="220"/>
        <v>2.678272733562562E-3</v>
      </c>
      <c r="DB84" s="711">
        <f t="shared" si="220"/>
        <v>2.678272733562562E-3</v>
      </c>
      <c r="DC84" s="711">
        <f t="shared" si="220"/>
        <v>2.678272733562562E-3</v>
      </c>
      <c r="DD84" s="711">
        <f t="shared" si="220"/>
        <v>2.678272733562562E-3</v>
      </c>
      <c r="DE84" s="711">
        <f t="shared" si="220"/>
        <v>2.678272733562562E-3</v>
      </c>
      <c r="DF84" s="711">
        <f t="shared" si="220"/>
        <v>2.678272733562562E-3</v>
      </c>
      <c r="DG84" s="711">
        <f t="shared" si="220"/>
        <v>2.678272733562562E-3</v>
      </c>
      <c r="DH84" s="711">
        <f t="shared" si="220"/>
        <v>2.678272733562562E-3</v>
      </c>
      <c r="DI84" s="711">
        <f t="shared" si="220"/>
        <v>2.678272733562562E-3</v>
      </c>
      <c r="DJ84" s="711">
        <f t="shared" si="220"/>
        <v>2.678272733562562E-3</v>
      </c>
      <c r="DK84" s="711">
        <f t="shared" si="220"/>
        <v>2.678272733562562E-3</v>
      </c>
      <c r="DL84" s="711">
        <f t="shared" si="220"/>
        <v>2.678272733562562E-3</v>
      </c>
      <c r="DM84" s="711">
        <f t="shared" si="220"/>
        <v>2.678272733562562E-3</v>
      </c>
      <c r="DN84" s="711">
        <f t="shared" si="220"/>
        <v>2.678272733562562E-3</v>
      </c>
      <c r="DO84" s="711">
        <f t="shared" si="220"/>
        <v>2.678272733562562E-3</v>
      </c>
      <c r="DP84" s="711">
        <f t="shared" si="220"/>
        <v>2.678272733562562E-3</v>
      </c>
      <c r="DQ84" s="711">
        <f t="shared" si="220"/>
        <v>2.678272733562562E-3</v>
      </c>
      <c r="DR84" s="711">
        <f t="shared" si="220"/>
        <v>2.678272733562562E-3</v>
      </c>
      <c r="DS84" s="711">
        <f t="shared" si="220"/>
        <v>2.678272733562562E-3</v>
      </c>
      <c r="DT84" s="711">
        <f t="shared" si="220"/>
        <v>2.678272733562562E-3</v>
      </c>
      <c r="DU84" s="711">
        <f t="shared" si="220"/>
        <v>2.678272733562562E-3</v>
      </c>
      <c r="DV84" s="711">
        <f t="shared" si="220"/>
        <v>2.678272733562562E-3</v>
      </c>
      <c r="DW84" s="711">
        <f t="shared" si="220"/>
        <v>2.678272733562562E-3</v>
      </c>
      <c r="DX84" s="711">
        <f t="shared" si="220"/>
        <v>2.678272733562562E-3</v>
      </c>
      <c r="DY84" s="711">
        <f t="shared" si="220"/>
        <v>2.678272733562562E-3</v>
      </c>
      <c r="DZ84" s="711">
        <f t="shared" si="220"/>
        <v>2.678272733562562E-3</v>
      </c>
      <c r="EA84" s="711">
        <f t="shared" si="220"/>
        <v>2.678272733562562E-3</v>
      </c>
      <c r="EB84" s="711">
        <f t="shared" si="220"/>
        <v>2.678272733562562E-3</v>
      </c>
      <c r="EC84" s="711">
        <f t="shared" si="220"/>
        <v>2.678272733562562E-3</v>
      </c>
      <c r="ED84" s="113" t="s">
        <v>1</v>
      </c>
    </row>
    <row r="85" spans="1:134" s="638" customFormat="1" x14ac:dyDescent="0.2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33"/>
      <c r="BG85" s="133"/>
      <c r="BH85" s="133"/>
      <c r="BI85" s="133"/>
      <c r="BJ85" s="133"/>
      <c r="BK85" s="133"/>
      <c r="BL85" s="133"/>
      <c r="BM85" s="133"/>
      <c r="BN85" s="133"/>
      <c r="BO85" s="133"/>
      <c r="BP85" s="133"/>
      <c r="BQ85" s="133"/>
      <c r="BR85" s="133"/>
      <c r="BS85" s="133"/>
      <c r="BT85" s="133"/>
      <c r="BU85" s="133"/>
      <c r="BV85" s="133"/>
      <c r="BW85" s="133"/>
      <c r="BX85" s="133"/>
      <c r="BY85" s="133"/>
      <c r="BZ85" s="133"/>
      <c r="CA85" s="133"/>
      <c r="CB85" s="133"/>
      <c r="CC85" s="133"/>
      <c r="CD85" s="133"/>
      <c r="CE85" s="133"/>
      <c r="CF85" s="133"/>
      <c r="CG85" s="133"/>
      <c r="CH85" s="133"/>
      <c r="CI85" s="133"/>
      <c r="CJ85" s="133"/>
      <c r="CK85" s="133"/>
      <c r="CL85" s="133"/>
      <c r="CM85" s="133"/>
      <c r="CN85" s="133"/>
      <c r="CO85" s="133"/>
      <c r="CP85" s="133"/>
      <c r="CQ85" s="133"/>
      <c r="CR85" s="133"/>
      <c r="CS85" s="133"/>
      <c r="CT85" s="701"/>
      <c r="CU85" s="702"/>
      <c r="CV85" s="133"/>
      <c r="CW85" s="133"/>
      <c r="CX85" s="133"/>
      <c r="CY85" s="133"/>
      <c r="CZ85" s="133"/>
      <c r="DA85" s="133"/>
      <c r="DB85" s="133"/>
      <c r="DC85" s="133"/>
      <c r="DD85" s="133"/>
      <c r="DE85" s="133"/>
      <c r="DF85" s="701"/>
      <c r="DG85" s="133"/>
      <c r="DH85" s="133"/>
      <c r="DI85" s="133"/>
      <c r="DJ85" s="133"/>
      <c r="DK85" s="133"/>
      <c r="DL85" s="133"/>
      <c r="DM85" s="133"/>
      <c r="DN85" s="133"/>
      <c r="DO85" s="133"/>
      <c r="DP85" s="133"/>
      <c r="DQ85" s="133"/>
      <c r="DR85" s="701">
        <v>0.05</v>
      </c>
      <c r="DS85" s="133"/>
      <c r="DT85" s="133"/>
      <c r="DU85" s="133"/>
      <c r="DV85" s="133"/>
      <c r="DW85" s="133"/>
      <c r="DX85" s="133"/>
      <c r="DY85" s="133"/>
      <c r="DZ85" s="133"/>
      <c r="EA85" s="133"/>
      <c r="EB85" s="133"/>
      <c r="EC85" s="133"/>
      <c r="ED85" s="113" t="s">
        <v>1</v>
      </c>
    </row>
    <row r="86" spans="1:134" x14ac:dyDescent="0.2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15"/>
      <c r="AU86" s="115"/>
      <c r="AV86" s="115"/>
      <c r="AW86" s="115"/>
      <c r="AX86" s="115"/>
      <c r="AY86" s="115"/>
      <c r="AZ86" s="115"/>
      <c r="BA86" s="115"/>
      <c r="BB86" s="115"/>
      <c r="BC86" s="115"/>
      <c r="BD86" s="115"/>
      <c r="BE86" s="115"/>
      <c r="BF86" s="115"/>
      <c r="BG86" s="115"/>
      <c r="BH86" s="115"/>
      <c r="BI86" s="115"/>
      <c r="BJ86" s="115"/>
      <c r="BK86" s="115"/>
      <c r="BL86" s="115"/>
      <c r="BM86" s="115"/>
      <c r="BN86" s="115"/>
      <c r="BO86" s="115"/>
      <c r="BP86" s="115"/>
      <c r="BQ86" s="115"/>
      <c r="BR86" s="115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115"/>
      <c r="CD86" s="115"/>
      <c r="CE86" s="115"/>
      <c r="CF86" s="115"/>
      <c r="CG86" s="115"/>
      <c r="CH86" s="115"/>
      <c r="CI86" s="115"/>
      <c r="CJ86" s="115"/>
      <c r="CK86" s="115"/>
      <c r="CL86" s="115"/>
      <c r="CM86" s="115"/>
      <c r="CN86" s="115"/>
      <c r="CO86" s="115"/>
      <c r="CP86" s="115"/>
      <c r="CQ86" s="115"/>
      <c r="CR86" s="129"/>
      <c r="CS86" s="115"/>
      <c r="CT86" s="115"/>
      <c r="CU86" s="115"/>
      <c r="CV86" s="133"/>
      <c r="CW86" s="133"/>
      <c r="CX86" s="115"/>
      <c r="CY86" s="115"/>
      <c r="CZ86" s="133"/>
      <c r="DA86" s="133"/>
      <c r="DB86" s="115"/>
      <c r="DC86" s="115"/>
      <c r="DD86" s="133"/>
      <c r="DE86" s="133"/>
      <c r="DF86" s="115"/>
      <c r="DG86" s="115"/>
      <c r="DH86" s="133"/>
      <c r="DI86" s="133"/>
      <c r="DJ86" s="115"/>
      <c r="DK86" s="115"/>
      <c r="DL86" s="133"/>
      <c r="DM86" s="133"/>
      <c r="DN86" s="115"/>
      <c r="DO86" s="115"/>
      <c r="DP86" s="133"/>
      <c r="DQ86" s="133"/>
      <c r="DR86" s="115"/>
      <c r="DS86" s="115"/>
      <c r="DT86" s="115"/>
      <c r="DU86" s="115"/>
      <c r="DV86" s="115"/>
      <c r="DW86" s="115"/>
      <c r="DX86" s="115"/>
      <c r="DY86" s="115"/>
      <c r="DZ86" s="115"/>
      <c r="EA86" s="115"/>
      <c r="EB86" s="115"/>
      <c r="EC86" s="115"/>
      <c r="ED86" s="113" t="s">
        <v>1</v>
      </c>
    </row>
    <row r="87" spans="1:134" s="331" customFormat="1" x14ac:dyDescent="0.2">
      <c r="A87" s="330" t="s">
        <v>32</v>
      </c>
      <c r="B87" s="131">
        <f>SUM(B88:B91)</f>
        <v>1980988</v>
      </c>
      <c r="C87" s="131">
        <f t="shared" ref="C87:BN87" si="221">SUM(C88:C91)</f>
        <v>2116069</v>
      </c>
      <c r="D87" s="131">
        <f t="shared" si="221"/>
        <v>2396018</v>
      </c>
      <c r="E87" s="131">
        <f t="shared" si="221"/>
        <v>2631623</v>
      </c>
      <c r="F87" s="131">
        <f t="shared" si="221"/>
        <v>2869257</v>
      </c>
      <c r="G87" s="131">
        <f t="shared" si="221"/>
        <v>3128521</v>
      </c>
      <c r="H87" s="131">
        <f t="shared" si="221"/>
        <v>3073497</v>
      </c>
      <c r="I87" s="131">
        <f t="shared" si="221"/>
        <v>3352277</v>
      </c>
      <c r="J87" s="131">
        <f t="shared" si="221"/>
        <v>4003488</v>
      </c>
      <c r="K87" s="131">
        <f t="shared" si="221"/>
        <v>2801786</v>
      </c>
      <c r="L87" s="131">
        <f t="shared" si="221"/>
        <v>3629808.25</v>
      </c>
      <c r="M87" s="131">
        <f t="shared" si="221"/>
        <v>4217512</v>
      </c>
      <c r="N87" s="131">
        <f t="shared" si="221"/>
        <v>4445375</v>
      </c>
      <c r="O87" s="131">
        <f t="shared" si="221"/>
        <v>5025716</v>
      </c>
      <c r="P87" s="131">
        <f t="shared" si="221"/>
        <v>5206596</v>
      </c>
      <c r="Q87" s="131">
        <f t="shared" si="221"/>
        <v>5239229</v>
      </c>
      <c r="R87" s="131">
        <f t="shared" si="221"/>
        <v>4869706</v>
      </c>
      <c r="S87" s="131">
        <f t="shared" si="221"/>
        <v>4625437</v>
      </c>
      <c r="T87" s="131">
        <f t="shared" si="221"/>
        <v>4687865</v>
      </c>
      <c r="U87" s="131">
        <f t="shared" si="221"/>
        <v>5330710</v>
      </c>
      <c r="V87" s="131">
        <f t="shared" si="221"/>
        <v>5370232</v>
      </c>
      <c r="W87" s="131">
        <f t="shared" si="221"/>
        <v>5572872</v>
      </c>
      <c r="X87" s="131">
        <f t="shared" si="221"/>
        <v>5943825</v>
      </c>
      <c r="Y87" s="131">
        <f t="shared" si="221"/>
        <v>5861409.1283214195</v>
      </c>
      <c r="Z87" s="131">
        <f t="shared" si="221"/>
        <v>5194527.3597195782</v>
      </c>
      <c r="AA87" s="131">
        <f t="shared" si="221"/>
        <v>5436027</v>
      </c>
      <c r="AB87" s="131">
        <f t="shared" si="221"/>
        <v>5635612</v>
      </c>
      <c r="AC87" s="131">
        <f t="shared" si="221"/>
        <v>5472355</v>
      </c>
      <c r="AD87" s="131">
        <f t="shared" si="221"/>
        <v>6454815</v>
      </c>
      <c r="AE87" s="131">
        <f t="shared" si="221"/>
        <v>5621437</v>
      </c>
      <c r="AF87" s="131">
        <f t="shared" si="221"/>
        <v>6815341</v>
      </c>
      <c r="AG87" s="131">
        <f t="shared" si="221"/>
        <v>6206536</v>
      </c>
      <c r="AH87" s="131">
        <f t="shared" si="221"/>
        <v>6032646</v>
      </c>
      <c r="AI87" s="131">
        <f t="shared" si="221"/>
        <v>7278789</v>
      </c>
      <c r="AJ87" s="131">
        <f t="shared" si="221"/>
        <v>7597247</v>
      </c>
      <c r="AK87" s="131">
        <f t="shared" si="221"/>
        <v>7036348</v>
      </c>
      <c r="AL87" s="131">
        <f t="shared" si="221"/>
        <v>7163087</v>
      </c>
      <c r="AM87" s="131">
        <f t="shared" si="221"/>
        <v>6290841</v>
      </c>
      <c r="AN87" s="131">
        <f t="shared" si="221"/>
        <v>7265443.8600000003</v>
      </c>
      <c r="AO87" s="131">
        <f t="shared" si="221"/>
        <v>9263088.7799999993</v>
      </c>
      <c r="AP87" s="131">
        <f t="shared" si="221"/>
        <v>10368587.106326077</v>
      </c>
      <c r="AQ87" s="131">
        <f t="shared" si="221"/>
        <v>11137596.966909021</v>
      </c>
      <c r="AR87" s="131">
        <f t="shared" si="221"/>
        <v>11965347.088584751</v>
      </c>
      <c r="AS87" s="131">
        <f t="shared" si="221"/>
        <v>12225344</v>
      </c>
      <c r="AT87" s="131">
        <f t="shared" si="221"/>
        <v>11931371.563461538</v>
      </c>
      <c r="AU87" s="131">
        <f t="shared" si="221"/>
        <v>10983764.117948718</v>
      </c>
      <c r="AV87" s="131">
        <f t="shared" si="221"/>
        <v>12563472.35</v>
      </c>
      <c r="AW87" s="131">
        <f t="shared" si="221"/>
        <v>12430141</v>
      </c>
      <c r="AX87" s="131">
        <f t="shared" si="221"/>
        <v>11771588.869895713</v>
      </c>
      <c r="AY87" s="131">
        <f t="shared" si="221"/>
        <v>12332230.969019067</v>
      </c>
      <c r="AZ87" s="131">
        <f t="shared" si="221"/>
        <v>11909063.359169491</v>
      </c>
      <c r="BA87" s="131">
        <f t="shared" si="221"/>
        <v>13747654.811635247</v>
      </c>
      <c r="BB87" s="131">
        <f t="shared" si="221"/>
        <v>15081284.328141298</v>
      </c>
      <c r="BC87" s="131">
        <f t="shared" si="221"/>
        <v>14633342.336707532</v>
      </c>
      <c r="BD87" s="131">
        <f t="shared" si="221"/>
        <v>14007492.220874872</v>
      </c>
      <c r="BE87" s="131">
        <f t="shared" si="221"/>
        <v>15234584.984776143</v>
      </c>
      <c r="BF87" s="131">
        <f t="shared" si="221"/>
        <v>16163234.158494797</v>
      </c>
      <c r="BG87" s="131">
        <f t="shared" si="221"/>
        <v>15946169.979977548</v>
      </c>
      <c r="BH87" s="131">
        <f t="shared" si="221"/>
        <v>14747974.088771598</v>
      </c>
      <c r="BI87" s="131">
        <f t="shared" si="221"/>
        <v>13876837.915013649</v>
      </c>
      <c r="BJ87" s="131">
        <f t="shared" si="221"/>
        <v>11849225.840997901</v>
      </c>
      <c r="BK87" s="131">
        <f t="shared" si="221"/>
        <v>11391991.749390233</v>
      </c>
      <c r="BL87" s="131">
        <f t="shared" si="221"/>
        <v>10383235.623571785</v>
      </c>
      <c r="BM87" s="131">
        <f t="shared" si="221"/>
        <v>9326870.4554418698</v>
      </c>
      <c r="BN87" s="131">
        <f t="shared" si="221"/>
        <v>10085194.34857267</v>
      </c>
      <c r="BO87" s="131">
        <f t="shared" ref="BO87:CS87" si="222">SUM(BO88:BO91)</f>
        <v>10387540.308343828</v>
      </c>
      <c r="BP87" s="131">
        <f t="shared" si="222"/>
        <v>8961251.5122974701</v>
      </c>
      <c r="BQ87" s="131">
        <f t="shared" si="222"/>
        <v>9551776.8720383495</v>
      </c>
      <c r="BR87" s="131">
        <f t="shared" si="222"/>
        <v>9104973.0170982368</v>
      </c>
      <c r="BS87" s="131">
        <f t="shared" si="222"/>
        <v>8270980.8376579992</v>
      </c>
      <c r="BT87" s="131">
        <f t="shared" si="222"/>
        <v>7992894.3729644809</v>
      </c>
      <c r="BU87" s="131">
        <f t="shared" si="222"/>
        <v>7625733.4863872835</v>
      </c>
      <c r="BV87" s="131">
        <f t="shared" si="222"/>
        <v>6901841.2953981385</v>
      </c>
      <c r="BW87" s="131">
        <f t="shared" si="222"/>
        <v>7316153.6723409696</v>
      </c>
      <c r="BX87" s="131">
        <f t="shared" si="222"/>
        <v>7198153.6734949844</v>
      </c>
      <c r="BY87" s="131">
        <f t="shared" si="222"/>
        <v>7783339.52752438</v>
      </c>
      <c r="BZ87" s="131">
        <f t="shared" si="222"/>
        <v>6985447.9932982791</v>
      </c>
      <c r="CA87" s="131">
        <f t="shared" si="222"/>
        <v>7147934.8173326347</v>
      </c>
      <c r="CB87" s="131">
        <f t="shared" si="222"/>
        <v>7314653.9765428146</v>
      </c>
      <c r="CC87" s="131">
        <f t="shared" si="222"/>
        <v>7933928.0321638836</v>
      </c>
      <c r="CD87" s="131">
        <f t="shared" si="222"/>
        <v>8362386.2100695241</v>
      </c>
      <c r="CE87" s="131">
        <f t="shared" si="222"/>
        <v>9071399.1242741607</v>
      </c>
      <c r="CF87" s="131">
        <f t="shared" si="222"/>
        <v>9333639.5865437984</v>
      </c>
      <c r="CG87" s="131">
        <f t="shared" si="222"/>
        <v>8777968.5780643597</v>
      </c>
      <c r="CH87" s="131">
        <f t="shared" si="222"/>
        <v>8797665.8637100644</v>
      </c>
      <c r="CI87" s="131">
        <f t="shared" si="222"/>
        <v>8336108.2172275363</v>
      </c>
      <c r="CJ87" s="131">
        <f t="shared" si="222"/>
        <v>9103987.1738874279</v>
      </c>
      <c r="CK87" s="131">
        <f t="shared" si="222"/>
        <v>10168756.107149877</v>
      </c>
      <c r="CL87" s="131">
        <f t="shared" si="222"/>
        <v>9123132.7479200531</v>
      </c>
      <c r="CM87" s="131">
        <f t="shared" si="222"/>
        <v>8891814.26394183</v>
      </c>
      <c r="CN87" s="131">
        <f t="shared" si="222"/>
        <v>9689256.6399642471</v>
      </c>
      <c r="CO87" s="131">
        <f t="shared" si="222"/>
        <v>11485340.490360165</v>
      </c>
      <c r="CP87" s="131">
        <f t="shared" si="222"/>
        <v>11145919.297739061</v>
      </c>
      <c r="CQ87" s="131">
        <f t="shared" si="222"/>
        <v>10777689.339590345</v>
      </c>
      <c r="CR87" s="131">
        <f t="shared" si="222"/>
        <v>10488099.747429775</v>
      </c>
      <c r="CS87" s="131">
        <f t="shared" si="222"/>
        <v>11566286.433446035</v>
      </c>
      <c r="CT87" s="132">
        <f>SUM(CT88:CT91)</f>
        <v>10927291.045953065</v>
      </c>
      <c r="CU87" s="132">
        <f t="shared" ref="CU87:DQ87" si="223">SUM(CU88:CU91)</f>
        <v>11030678.505778695</v>
      </c>
      <c r="CV87" s="132">
        <f t="shared" si="223"/>
        <v>10864461.977993969</v>
      </c>
      <c r="CW87" s="132">
        <f t="shared" si="223"/>
        <v>10865063.128038231</v>
      </c>
      <c r="CX87" s="132">
        <f t="shared" si="223"/>
        <v>10673379.216896407</v>
      </c>
      <c r="CY87" s="132">
        <f t="shared" si="223"/>
        <v>10342531.405191911</v>
      </c>
      <c r="CZ87" s="132">
        <f t="shared" si="223"/>
        <v>10725376.778866382</v>
      </c>
      <c r="DA87" s="132">
        <f t="shared" si="223"/>
        <v>11344130.843853367</v>
      </c>
      <c r="DB87" s="132">
        <f t="shared" si="223"/>
        <v>11714006.304731308</v>
      </c>
      <c r="DC87" s="132">
        <f t="shared" si="223"/>
        <v>11486998.82031092</v>
      </c>
      <c r="DD87" s="132">
        <f t="shared" si="223"/>
        <v>11404628.821460482</v>
      </c>
      <c r="DE87" s="132">
        <f t="shared" si="223"/>
        <v>11279847.034587745</v>
      </c>
      <c r="DF87" s="132">
        <f t="shared" si="223"/>
        <v>12214901.031809576</v>
      </c>
      <c r="DG87" s="132">
        <f t="shared" si="223"/>
        <v>12350597.072830716</v>
      </c>
      <c r="DH87" s="132">
        <f t="shared" si="223"/>
        <v>12132437.880113263</v>
      </c>
      <c r="DI87" s="132">
        <f t="shared" si="223"/>
        <v>12133226.889546359</v>
      </c>
      <c r="DJ87" s="132">
        <f t="shared" si="223"/>
        <v>11881641.756172717</v>
      </c>
      <c r="DK87" s="132">
        <f t="shared" si="223"/>
        <v>11447404.003310565</v>
      </c>
      <c r="DL87" s="132">
        <f t="shared" si="223"/>
        <v>11949888.556258308</v>
      </c>
      <c r="DM87" s="132">
        <f t="shared" si="223"/>
        <v>12762003.266553728</v>
      </c>
      <c r="DN87" s="132">
        <f t="shared" si="223"/>
        <v>13247464.808956025</v>
      </c>
      <c r="DO87" s="132">
        <f t="shared" si="223"/>
        <v>12949517.485654265</v>
      </c>
      <c r="DP87" s="132">
        <f t="shared" si="223"/>
        <v>12841406.862163063</v>
      </c>
      <c r="DQ87" s="132">
        <f t="shared" si="223"/>
        <v>12677630.766892597</v>
      </c>
      <c r="DR87" s="132">
        <f t="shared" ref="DR87:EC87" si="224">SUM(DR88:DR91)</f>
        <v>13603953.78863686</v>
      </c>
      <c r="DS87" s="132">
        <f t="shared" si="224"/>
        <v>13774930.800323496</v>
      </c>
      <c r="DT87" s="132">
        <f t="shared" si="224"/>
        <v>13500050.217499506</v>
      </c>
      <c r="DU87" s="132">
        <f t="shared" si="224"/>
        <v>13501044.369385205</v>
      </c>
      <c r="DV87" s="132">
        <f t="shared" si="224"/>
        <v>13184047.101334415</v>
      </c>
      <c r="DW87" s="132">
        <f t="shared" si="224"/>
        <v>12636907.532728106</v>
      </c>
      <c r="DX87" s="132">
        <f t="shared" si="224"/>
        <v>13270038.069442261</v>
      </c>
      <c r="DY87" s="132">
        <f t="shared" si="224"/>
        <v>14293302.604414489</v>
      </c>
      <c r="DZ87" s="132">
        <f t="shared" si="224"/>
        <v>14904984.147841385</v>
      </c>
      <c r="EA87" s="132">
        <f t="shared" si="224"/>
        <v>14529570.520481165</v>
      </c>
      <c r="EB87" s="132">
        <f t="shared" si="224"/>
        <v>14393351.134882253</v>
      </c>
      <c r="EC87" s="132">
        <f t="shared" si="224"/>
        <v>14186993.254841467</v>
      </c>
      <c r="ED87" s="113" t="s">
        <v>1</v>
      </c>
    </row>
    <row r="88" spans="1:134" x14ac:dyDescent="0.2">
      <c r="A88" s="698" t="s">
        <v>33</v>
      </c>
      <c r="B88" s="129">
        <v>100000</v>
      </c>
      <c r="C88" s="129">
        <v>100000</v>
      </c>
      <c r="D88" s="129">
        <v>100000</v>
      </c>
      <c r="E88" s="129">
        <v>100000</v>
      </c>
      <c r="F88" s="129">
        <v>100000</v>
      </c>
      <c r="G88" s="129">
        <v>100000</v>
      </c>
      <c r="H88" s="129">
        <v>100000</v>
      </c>
      <c r="I88" s="129">
        <v>100000</v>
      </c>
      <c r="J88" s="129">
        <v>1513276</v>
      </c>
      <c r="K88" s="129">
        <v>218659</v>
      </c>
      <c r="L88" s="129">
        <v>102777.25</v>
      </c>
      <c r="M88" s="129">
        <v>558721</v>
      </c>
      <c r="N88" s="129">
        <v>381848</v>
      </c>
      <c r="O88" s="129">
        <v>427406</v>
      </c>
      <c r="P88" s="129">
        <v>324778</v>
      </c>
      <c r="Q88" s="129">
        <v>531756</v>
      </c>
      <c r="R88" s="129">
        <v>254340</v>
      </c>
      <c r="S88" s="129">
        <v>338501</v>
      </c>
      <c r="T88" s="129">
        <v>145594</v>
      </c>
      <c r="U88" s="129">
        <v>290720</v>
      </c>
      <c r="V88" s="129">
        <v>265000</v>
      </c>
      <c r="W88" s="129">
        <v>250000</v>
      </c>
      <c r="X88" s="129">
        <v>343000</v>
      </c>
      <c r="Y88" s="129">
        <v>343804</v>
      </c>
      <c r="Z88" s="129">
        <v>0</v>
      </c>
      <c r="AA88" s="129">
        <v>180000</v>
      </c>
      <c r="AB88" s="129">
        <v>378429</v>
      </c>
      <c r="AC88" s="129">
        <v>362477</v>
      </c>
      <c r="AD88" s="129">
        <v>745165</v>
      </c>
      <c r="AE88" s="129">
        <v>1025348</v>
      </c>
      <c r="AF88" s="129">
        <v>1240275</v>
      </c>
      <c r="AG88" s="129">
        <v>1202000</v>
      </c>
      <c r="AH88" s="129">
        <v>1200000</v>
      </c>
      <c r="AI88" s="129">
        <v>955000</v>
      </c>
      <c r="AJ88" s="129">
        <v>1240099</v>
      </c>
      <c r="AK88" s="129">
        <v>1407488</v>
      </c>
      <c r="AL88" s="129">
        <v>1130000</v>
      </c>
      <c r="AM88" s="129">
        <v>1052202</v>
      </c>
      <c r="AN88" s="129">
        <v>1322631</v>
      </c>
      <c r="AO88" s="129">
        <v>2568354</v>
      </c>
      <c r="AP88" s="129">
        <v>2611158</v>
      </c>
      <c r="AQ88" s="129">
        <v>2695387</v>
      </c>
      <c r="AR88" s="129">
        <v>3676000</v>
      </c>
      <c r="AS88" s="129">
        <v>3223000</v>
      </c>
      <c r="AT88" s="129">
        <v>2124850</v>
      </c>
      <c r="AU88" s="129">
        <v>1730254</v>
      </c>
      <c r="AV88" s="129">
        <v>3606000</v>
      </c>
      <c r="AW88" s="129">
        <v>3725101</v>
      </c>
      <c r="AX88" s="129">
        <v>3643253</v>
      </c>
      <c r="AY88" s="129">
        <v>4094144</v>
      </c>
      <c r="AZ88" s="129">
        <v>3776004</v>
      </c>
      <c r="BA88" s="129">
        <v>5495656</v>
      </c>
      <c r="BB88" s="129">
        <v>5474300.2969414806</v>
      </c>
      <c r="BC88" s="129">
        <v>5584250</v>
      </c>
      <c r="BD88" s="129">
        <v>4761209.7629441656</v>
      </c>
      <c r="BE88" s="129">
        <v>5733746.8051013285</v>
      </c>
      <c r="BF88" s="129">
        <v>6736133.1016670428</v>
      </c>
      <c r="BG88" s="129">
        <v>6789185.906936802</v>
      </c>
      <c r="BH88" s="129">
        <v>5909991.9398498312</v>
      </c>
      <c r="BI88" s="129">
        <v>5857433.1215614974</v>
      </c>
      <c r="BJ88" s="129">
        <v>4188687.4924298571</v>
      </c>
      <c r="BK88" s="129">
        <v>4192436.7313410034</v>
      </c>
      <c r="BL88" s="129">
        <v>3940588.5328531116</v>
      </c>
      <c r="BM88" s="129">
        <v>2862031.0450610686</v>
      </c>
      <c r="BN88" s="129">
        <v>2262122.3500761166</v>
      </c>
      <c r="BO88" s="129">
        <v>3270119.4561301693</v>
      </c>
      <c r="BP88" s="129">
        <v>3057698.2450411655</v>
      </c>
      <c r="BQ88" s="129">
        <v>3163409.7446513195</v>
      </c>
      <c r="BR88" s="129">
        <v>3496031.5191128356</v>
      </c>
      <c r="BS88" s="129">
        <v>3566447.9230408743</v>
      </c>
      <c r="BT88" s="129">
        <v>2598749.3198234551</v>
      </c>
      <c r="BU88" s="129">
        <v>1941818.2315428816</v>
      </c>
      <c r="BV88" s="129">
        <v>1577676.6174935508</v>
      </c>
      <c r="BW88" s="129">
        <v>224944.23474963661</v>
      </c>
      <c r="BX88" s="129">
        <v>1006398.4702045545</v>
      </c>
      <c r="BY88" s="129">
        <v>987651.04193101637</v>
      </c>
      <c r="BZ88" s="129">
        <v>972251.09768187348</v>
      </c>
      <c r="CA88" s="129">
        <v>861325.42802438932</v>
      </c>
      <c r="CB88" s="129">
        <v>1401246.7933644578</v>
      </c>
      <c r="CC88" s="129">
        <v>1605327.7153134001</v>
      </c>
      <c r="CD88" s="129">
        <v>1468068.1034664353</v>
      </c>
      <c r="CE88" s="129">
        <v>1905514.1683625169</v>
      </c>
      <c r="CF88" s="129">
        <v>2006815.2309753848</v>
      </c>
      <c r="CG88" s="129">
        <v>712163.72924999893</v>
      </c>
      <c r="CH88" s="129">
        <v>981427.75478846114</v>
      </c>
      <c r="CI88" s="129">
        <v>630831.57478846051</v>
      </c>
      <c r="CJ88" s="129">
        <v>1083376.6133269221</v>
      </c>
      <c r="CK88" s="129">
        <v>1828370.3911346197</v>
      </c>
      <c r="CL88" s="129">
        <v>1045035.3546346147</v>
      </c>
      <c r="CM88" s="129">
        <v>939178.36311538424</v>
      </c>
      <c r="CN88" s="129">
        <v>789412.71423325082</v>
      </c>
      <c r="CO88" s="129">
        <v>1173780.1133870971</v>
      </c>
      <c r="CP88" s="129">
        <v>1239939.2534540948</v>
      </c>
      <c r="CQ88" s="129">
        <v>1748579.8956730776</v>
      </c>
      <c r="CR88" s="129">
        <v>1023512.7504038448</v>
      </c>
      <c r="CS88" s="129">
        <v>2954482.825884616</v>
      </c>
      <c r="CT88" s="129">
        <f t="shared" ref="CT88:EC88" si="225">CT95*CT50</f>
        <v>1718424.00132355</v>
      </c>
      <c r="CU88" s="129">
        <f t="shared" si="225"/>
        <v>1781340.6341197228</v>
      </c>
      <c r="CV88" s="129">
        <f t="shared" si="225"/>
        <v>1680189.254049798</v>
      </c>
      <c r="CW88" s="129">
        <f t="shared" si="225"/>
        <v>1680555.0850379479</v>
      </c>
      <c r="CX88" s="129">
        <f t="shared" si="225"/>
        <v>1563905.4810087513</v>
      </c>
      <c r="CY88" s="129">
        <f t="shared" si="225"/>
        <v>1362567.4239993598</v>
      </c>
      <c r="CZ88" s="129">
        <f t="shared" si="225"/>
        <v>1595548.6949756939</v>
      </c>
      <c r="DA88" s="129">
        <f t="shared" si="225"/>
        <v>1972092.6429901146</v>
      </c>
      <c r="DB88" s="129">
        <f t="shared" si="225"/>
        <v>2197181.0491819391</v>
      </c>
      <c r="DC88" s="129">
        <f t="shared" si="225"/>
        <v>2059035.2183108756</v>
      </c>
      <c r="DD88" s="129">
        <f t="shared" si="225"/>
        <v>2008908.8008533355</v>
      </c>
      <c r="DE88" s="129">
        <f t="shared" si="225"/>
        <v>1932972.6101628679</v>
      </c>
      <c r="DF88" s="129">
        <f t="shared" si="225"/>
        <v>2255431.5017371592</v>
      </c>
      <c r="DG88" s="129">
        <f t="shared" si="225"/>
        <v>2338009.5822821362</v>
      </c>
      <c r="DH88" s="129">
        <f t="shared" si="225"/>
        <v>2205248.3959403601</v>
      </c>
      <c r="DI88" s="129">
        <f t="shared" si="225"/>
        <v>2205728.5491123064</v>
      </c>
      <c r="DJ88" s="129">
        <f t="shared" si="225"/>
        <v>2052625.9438239865</v>
      </c>
      <c r="DK88" s="129">
        <f t="shared" si="225"/>
        <v>1788369.7439991597</v>
      </c>
      <c r="DL88" s="129">
        <f t="shared" si="225"/>
        <v>2094157.6621555984</v>
      </c>
      <c r="DM88" s="129">
        <f t="shared" si="225"/>
        <v>2588371.5939245261</v>
      </c>
      <c r="DN88" s="129">
        <f t="shared" si="225"/>
        <v>2883800.1270512957</v>
      </c>
      <c r="DO88" s="129">
        <f t="shared" si="225"/>
        <v>2702483.7240330246</v>
      </c>
      <c r="DP88" s="129">
        <f t="shared" si="225"/>
        <v>2636692.8011200032</v>
      </c>
      <c r="DQ88" s="129">
        <f t="shared" si="225"/>
        <v>2537026.5508387638</v>
      </c>
      <c r="DR88" s="129">
        <f t="shared" si="225"/>
        <v>2841843.6921888213</v>
      </c>
      <c r="DS88" s="129">
        <f t="shared" si="225"/>
        <v>2945892.0736754918</v>
      </c>
      <c r="DT88" s="129">
        <f t="shared" si="225"/>
        <v>2778612.9788848539</v>
      </c>
      <c r="DU88" s="129">
        <f t="shared" si="225"/>
        <v>2779217.9718815065</v>
      </c>
      <c r="DV88" s="129">
        <f t="shared" si="225"/>
        <v>2586308.6892182231</v>
      </c>
      <c r="DW88" s="129">
        <f t="shared" si="225"/>
        <v>2253345.8774389415</v>
      </c>
      <c r="DX88" s="129">
        <f t="shared" si="225"/>
        <v>2638638.6543160542</v>
      </c>
      <c r="DY88" s="129">
        <f t="shared" si="225"/>
        <v>3261348.2083449033</v>
      </c>
      <c r="DZ88" s="129">
        <f t="shared" si="225"/>
        <v>3633588.1600846327</v>
      </c>
      <c r="EA88" s="129">
        <f t="shared" si="225"/>
        <v>3405129.4922816111</v>
      </c>
      <c r="EB88" s="129">
        <f t="shared" si="225"/>
        <v>3322232.9294112045</v>
      </c>
      <c r="EC88" s="129">
        <f t="shared" si="225"/>
        <v>3196653.4540568432</v>
      </c>
      <c r="ED88" s="113" t="s">
        <v>1</v>
      </c>
    </row>
    <row r="89" spans="1:134" x14ac:dyDescent="0.2">
      <c r="A89" s="698" t="s">
        <v>34</v>
      </c>
      <c r="B89" s="129">
        <v>1880988</v>
      </c>
      <c r="C89" s="129">
        <v>2016069</v>
      </c>
      <c r="D89" s="129">
        <v>2296018</v>
      </c>
      <c r="E89" s="129">
        <v>2531623</v>
      </c>
      <c r="F89" s="129">
        <v>2769257</v>
      </c>
      <c r="G89" s="129">
        <v>3028521</v>
      </c>
      <c r="H89" s="129">
        <v>2973497</v>
      </c>
      <c r="I89" s="129">
        <v>3252277</v>
      </c>
      <c r="J89" s="129">
        <v>2490212</v>
      </c>
      <c r="K89" s="129">
        <v>2583127</v>
      </c>
      <c r="L89" s="129">
        <v>3527031</v>
      </c>
      <c r="M89" s="129">
        <v>3658791</v>
      </c>
      <c r="N89" s="129">
        <v>4063527</v>
      </c>
      <c r="O89" s="129">
        <v>4598310</v>
      </c>
      <c r="P89" s="129">
        <v>4749582</v>
      </c>
      <c r="Q89" s="129">
        <v>4461145</v>
      </c>
      <c r="R89" s="129">
        <v>4515366</v>
      </c>
      <c r="S89" s="129">
        <v>4286936</v>
      </c>
      <c r="T89" s="129">
        <v>4520071</v>
      </c>
      <c r="U89" s="129">
        <v>5039990</v>
      </c>
      <c r="V89" s="129">
        <v>5101568</v>
      </c>
      <c r="W89" s="129">
        <v>5322872</v>
      </c>
      <c r="X89" s="129">
        <v>5585425</v>
      </c>
      <c r="Y89" s="129">
        <v>5506825.1283214195</v>
      </c>
      <c r="Z89" s="129">
        <v>5194527.3597195782</v>
      </c>
      <c r="AA89" s="129">
        <v>5256027</v>
      </c>
      <c r="AB89" s="129">
        <v>5257183</v>
      </c>
      <c r="AC89" s="129">
        <v>5109878</v>
      </c>
      <c r="AD89" s="129">
        <v>5709650</v>
      </c>
      <c r="AE89" s="129">
        <v>4596089</v>
      </c>
      <c r="AF89" s="129">
        <v>4583831</v>
      </c>
      <c r="AG89" s="129">
        <v>4977489</v>
      </c>
      <c r="AH89" s="129">
        <v>4195905</v>
      </c>
      <c r="AI89" s="129">
        <v>4988820</v>
      </c>
      <c r="AJ89" s="129">
        <v>4545877</v>
      </c>
      <c r="AK89" s="129">
        <v>4606685</v>
      </c>
      <c r="AL89" s="129">
        <v>5040054</v>
      </c>
      <c r="AM89" s="129">
        <v>4680313</v>
      </c>
      <c r="AN89" s="129">
        <v>4735590</v>
      </c>
      <c r="AO89" s="129">
        <v>4708142</v>
      </c>
      <c r="AP89" s="129">
        <v>5566490.8563260771</v>
      </c>
      <c r="AQ89" s="129">
        <v>6070136.9669090202</v>
      </c>
      <c r="AR89" s="129">
        <v>5878392.08858475</v>
      </c>
      <c r="AS89" s="129">
        <v>6480425</v>
      </c>
      <c r="AT89" s="129">
        <v>6568532.5634615393</v>
      </c>
      <c r="AU89" s="129">
        <v>6452343.1179487184</v>
      </c>
      <c r="AV89" s="129">
        <v>6030859</v>
      </c>
      <c r="AW89" s="129">
        <v>6512163</v>
      </c>
      <c r="AX89" s="129">
        <v>6305437.469895714</v>
      </c>
      <c r="AY89" s="129">
        <v>6310369.9690190675</v>
      </c>
      <c r="AZ89" s="129">
        <v>6631614.3591694897</v>
      </c>
      <c r="BA89" s="129">
        <v>6519843.0116352458</v>
      </c>
      <c r="BB89" s="129">
        <v>7860316.0311998166</v>
      </c>
      <c r="BC89" s="129">
        <v>7676372.3367075324</v>
      </c>
      <c r="BD89" s="129">
        <v>7979123.4579307064</v>
      </c>
      <c r="BE89" s="129">
        <v>7946870.1796748135</v>
      </c>
      <c r="BF89" s="129">
        <v>7900601.5168277537</v>
      </c>
      <c r="BG89" s="129">
        <v>7762008.0730407452</v>
      </c>
      <c r="BH89" s="129">
        <v>7575778.3689217689</v>
      </c>
      <c r="BI89" s="129">
        <v>6743096.7934521511</v>
      </c>
      <c r="BJ89" s="129">
        <v>6616688.3485680427</v>
      </c>
      <c r="BK89" s="129">
        <v>6117904.0180492299</v>
      </c>
      <c r="BL89" s="129">
        <v>5710275.0907186735</v>
      </c>
      <c r="BM89" s="129">
        <v>5713954.620380803</v>
      </c>
      <c r="BN89" s="129">
        <v>7105541.9984965529</v>
      </c>
      <c r="BO89" s="129">
        <v>6307842.8522136584</v>
      </c>
      <c r="BP89" s="129">
        <v>5309073.2672563037</v>
      </c>
      <c r="BQ89" s="129">
        <v>5687567.1273870291</v>
      </c>
      <c r="BR89" s="129">
        <v>5085156.4979854021</v>
      </c>
      <c r="BS89" s="129">
        <v>4218337.9146171249</v>
      </c>
      <c r="BT89" s="129">
        <v>4892500.0531410258</v>
      </c>
      <c r="BU89" s="129">
        <v>5188690.254844402</v>
      </c>
      <c r="BV89" s="129">
        <v>4802134.6779045882</v>
      </c>
      <c r="BW89" s="129">
        <v>6504049.4375913329</v>
      </c>
      <c r="BX89" s="129">
        <v>5623825.2032904299</v>
      </c>
      <c r="BY89" s="129">
        <v>6199033.4855933636</v>
      </c>
      <c r="BZ89" s="129">
        <v>5484101.8956164056</v>
      </c>
      <c r="CA89" s="129">
        <v>5808934.3893082459</v>
      </c>
      <c r="CB89" s="129">
        <v>5410907.1831783568</v>
      </c>
      <c r="CC89" s="129">
        <v>5790145.3168504834</v>
      </c>
      <c r="CD89" s="129">
        <v>6206958.1066030888</v>
      </c>
      <c r="CE89" s="129">
        <v>6402954.9559116429</v>
      </c>
      <c r="CF89" s="129">
        <v>6622949.3555684136</v>
      </c>
      <c r="CG89" s="129">
        <v>7177654.8488143608</v>
      </c>
      <c r="CH89" s="129">
        <v>7030043.1089216033</v>
      </c>
      <c r="CI89" s="129">
        <v>6890101.6424390757</v>
      </c>
      <c r="CJ89" s="129">
        <v>7244690.5605605068</v>
      </c>
      <c r="CK89" s="129">
        <v>7565410.7160152569</v>
      </c>
      <c r="CL89" s="129">
        <v>7355532.3932854384</v>
      </c>
      <c r="CM89" s="129">
        <v>7324360.9008264458</v>
      </c>
      <c r="CN89" s="129">
        <v>8162593.9257309968</v>
      </c>
      <c r="CO89" s="129">
        <v>9404240.3769730683</v>
      </c>
      <c r="CP89" s="129">
        <v>8895400.0442849658</v>
      </c>
      <c r="CQ89" s="129">
        <v>8079054.443917267</v>
      </c>
      <c r="CR89" s="129">
        <v>8536708.5348659288</v>
      </c>
      <c r="CS89" s="129">
        <v>7717618.0172474179</v>
      </c>
      <c r="CT89" s="130">
        <f>CS89*(1+CT99)</f>
        <v>8103498.9181097895</v>
      </c>
      <c r="CU89" s="130">
        <f t="shared" ref="CU89:DQ89" si="226">CT89*(1+CU99)</f>
        <v>8103498.9181097895</v>
      </c>
      <c r="CV89" s="130">
        <f t="shared" si="226"/>
        <v>8103498.9181097895</v>
      </c>
      <c r="CW89" s="130">
        <f t="shared" si="226"/>
        <v>8103498.9181097895</v>
      </c>
      <c r="CX89" s="130">
        <f t="shared" si="226"/>
        <v>8103498.9181097895</v>
      </c>
      <c r="CY89" s="130">
        <f t="shared" si="226"/>
        <v>8103498.9181097895</v>
      </c>
      <c r="CZ89" s="130">
        <f t="shared" si="226"/>
        <v>8103498.9181097895</v>
      </c>
      <c r="DA89" s="130">
        <f t="shared" si="226"/>
        <v>8103498.9181097895</v>
      </c>
      <c r="DB89" s="130">
        <f t="shared" si="226"/>
        <v>8103498.9181097895</v>
      </c>
      <c r="DC89" s="130">
        <f t="shared" si="226"/>
        <v>8103498.9181097895</v>
      </c>
      <c r="DD89" s="130">
        <f t="shared" si="226"/>
        <v>8103498.9181097895</v>
      </c>
      <c r="DE89" s="130">
        <f t="shared" si="226"/>
        <v>8103498.9181097895</v>
      </c>
      <c r="DF89" s="130">
        <f t="shared" si="226"/>
        <v>8508673.8640152793</v>
      </c>
      <c r="DG89" s="130">
        <f t="shared" si="226"/>
        <v>8508673.8640152793</v>
      </c>
      <c r="DH89" s="130">
        <f t="shared" si="226"/>
        <v>8508673.8640152793</v>
      </c>
      <c r="DI89" s="130">
        <f t="shared" si="226"/>
        <v>8508673.8640152793</v>
      </c>
      <c r="DJ89" s="130">
        <f t="shared" si="226"/>
        <v>8508673.8640152793</v>
      </c>
      <c r="DK89" s="130">
        <f t="shared" si="226"/>
        <v>8508673.8640152793</v>
      </c>
      <c r="DL89" s="130">
        <f t="shared" si="226"/>
        <v>8508673.8640152793</v>
      </c>
      <c r="DM89" s="130">
        <f t="shared" si="226"/>
        <v>8508673.8640152793</v>
      </c>
      <c r="DN89" s="130">
        <f t="shared" si="226"/>
        <v>8508673.8640152793</v>
      </c>
      <c r="DO89" s="130">
        <f t="shared" si="226"/>
        <v>8508673.8640152793</v>
      </c>
      <c r="DP89" s="130">
        <f t="shared" si="226"/>
        <v>8508673.8640152793</v>
      </c>
      <c r="DQ89" s="130">
        <f t="shared" si="226"/>
        <v>8508673.8640152793</v>
      </c>
      <c r="DR89" s="130">
        <f t="shared" ref="DR89" si="227">DQ89*(1+DR99)</f>
        <v>8934107.5572160445</v>
      </c>
      <c r="DS89" s="130">
        <f t="shared" ref="DS89" si="228">DR89*(1+DS99)</f>
        <v>8934107.5572160445</v>
      </c>
      <c r="DT89" s="130">
        <f t="shared" ref="DT89" si="229">DS89*(1+DT99)</f>
        <v>8934107.5572160445</v>
      </c>
      <c r="DU89" s="130">
        <f t="shared" ref="DU89" si="230">DT89*(1+DU99)</f>
        <v>8934107.5572160445</v>
      </c>
      <c r="DV89" s="130">
        <f t="shared" ref="DV89" si="231">DU89*(1+DV99)</f>
        <v>8934107.5572160445</v>
      </c>
      <c r="DW89" s="130">
        <f t="shared" ref="DW89" si="232">DV89*(1+DW99)</f>
        <v>8934107.5572160445</v>
      </c>
      <c r="DX89" s="130">
        <f t="shared" ref="DX89" si="233">DW89*(1+DX99)</f>
        <v>8934107.5572160445</v>
      </c>
      <c r="DY89" s="130">
        <f t="shared" ref="DY89" si="234">DX89*(1+DY99)</f>
        <v>8934107.5572160445</v>
      </c>
      <c r="DZ89" s="130">
        <f t="shared" ref="DZ89" si="235">DY89*(1+DZ99)</f>
        <v>8934107.5572160445</v>
      </c>
      <c r="EA89" s="130">
        <f t="shared" ref="EA89" si="236">DZ89*(1+EA99)</f>
        <v>8934107.5572160445</v>
      </c>
      <c r="EB89" s="130">
        <f t="shared" ref="EB89" si="237">EA89*(1+EB99)</f>
        <v>8934107.5572160445</v>
      </c>
      <c r="EC89" s="130">
        <f t="shared" ref="EC89" si="238">EB89*(1+EC99)</f>
        <v>8934107.5572160445</v>
      </c>
      <c r="ED89" s="113" t="s">
        <v>1</v>
      </c>
    </row>
    <row r="90" spans="1:134" x14ac:dyDescent="0.2">
      <c r="A90" s="698" t="s">
        <v>35</v>
      </c>
      <c r="B90" s="129">
        <v>0</v>
      </c>
      <c r="C90" s="129">
        <v>0</v>
      </c>
      <c r="D90" s="129">
        <v>0</v>
      </c>
      <c r="E90" s="129">
        <v>0</v>
      </c>
      <c r="F90" s="129">
        <v>0</v>
      </c>
      <c r="G90" s="129">
        <v>0</v>
      </c>
      <c r="H90" s="129">
        <v>0</v>
      </c>
      <c r="I90" s="129">
        <v>0</v>
      </c>
      <c r="J90" s="129">
        <v>0</v>
      </c>
      <c r="K90" s="129">
        <v>0</v>
      </c>
      <c r="L90" s="129">
        <v>0</v>
      </c>
      <c r="M90" s="129">
        <v>0</v>
      </c>
      <c r="N90" s="129">
        <v>0</v>
      </c>
      <c r="O90" s="129">
        <v>0</v>
      </c>
      <c r="P90" s="129">
        <v>0</v>
      </c>
      <c r="Q90" s="129">
        <v>0</v>
      </c>
      <c r="R90" s="129">
        <v>0</v>
      </c>
      <c r="S90" s="129">
        <v>0</v>
      </c>
      <c r="T90" s="129">
        <v>0</v>
      </c>
      <c r="U90" s="129">
        <v>0</v>
      </c>
      <c r="V90" s="129">
        <v>0</v>
      </c>
      <c r="W90" s="129">
        <v>0</v>
      </c>
      <c r="X90" s="129">
        <v>0</v>
      </c>
      <c r="Y90" s="129">
        <v>0</v>
      </c>
      <c r="Z90" s="129">
        <v>0</v>
      </c>
      <c r="AA90" s="129">
        <v>0</v>
      </c>
      <c r="AB90" s="129">
        <v>0</v>
      </c>
      <c r="AC90" s="129">
        <v>0</v>
      </c>
      <c r="AD90" s="129">
        <v>0</v>
      </c>
      <c r="AE90" s="129">
        <v>0</v>
      </c>
      <c r="AF90" s="129">
        <v>0</v>
      </c>
      <c r="AG90" s="129">
        <v>0</v>
      </c>
      <c r="AH90" s="129">
        <v>0</v>
      </c>
      <c r="AI90" s="129">
        <v>809552</v>
      </c>
      <c r="AJ90" s="129">
        <v>816376</v>
      </c>
      <c r="AK90" s="129">
        <v>497982</v>
      </c>
      <c r="AL90" s="129">
        <v>466651</v>
      </c>
      <c r="AM90" s="129">
        <v>374698</v>
      </c>
      <c r="AN90" s="129">
        <v>720916.86</v>
      </c>
      <c r="AO90" s="129">
        <v>1357513.78</v>
      </c>
      <c r="AP90" s="129">
        <v>1297784.25</v>
      </c>
      <c r="AQ90" s="129">
        <v>1334624</v>
      </c>
      <c r="AR90" s="129">
        <v>1052798</v>
      </c>
      <c r="AS90" s="129">
        <v>1341651</v>
      </c>
      <c r="AT90" s="129">
        <v>1806139</v>
      </c>
      <c r="AU90" s="129">
        <v>1517439</v>
      </c>
      <c r="AV90" s="129">
        <v>1642441.3499999999</v>
      </c>
      <c r="AW90" s="129">
        <v>1101807</v>
      </c>
      <c r="AX90" s="129">
        <v>1065755.3999999999</v>
      </c>
      <c r="AY90" s="129">
        <v>1092267</v>
      </c>
      <c r="AZ90" s="129">
        <v>889922</v>
      </c>
      <c r="BA90" s="129">
        <v>1043874.8</v>
      </c>
      <c r="BB90" s="129">
        <v>961400</v>
      </c>
      <c r="BC90" s="129">
        <v>539452</v>
      </c>
      <c r="BD90" s="129">
        <v>494035</v>
      </c>
      <c r="BE90" s="129">
        <v>580184</v>
      </c>
      <c r="BF90" s="129">
        <v>316241.53999999998</v>
      </c>
      <c r="BG90" s="129">
        <v>324508</v>
      </c>
      <c r="BH90" s="129">
        <v>401301.78</v>
      </c>
      <c r="BI90" s="129">
        <v>279410</v>
      </c>
      <c r="BJ90" s="129">
        <v>186000</v>
      </c>
      <c r="BK90" s="129">
        <v>195946</v>
      </c>
      <c r="BL90" s="129">
        <v>80607</v>
      </c>
      <c r="BM90" s="129">
        <v>88994.79</v>
      </c>
      <c r="BN90" s="129">
        <v>365</v>
      </c>
      <c r="BO90" s="129">
        <v>102418</v>
      </c>
      <c r="BP90" s="129">
        <v>0</v>
      </c>
      <c r="BQ90" s="129">
        <v>0</v>
      </c>
      <c r="BR90" s="129">
        <v>0</v>
      </c>
      <c r="BS90" s="129">
        <v>0</v>
      </c>
      <c r="BT90" s="129">
        <v>0</v>
      </c>
      <c r="BU90" s="129">
        <v>0</v>
      </c>
      <c r="BV90" s="129">
        <v>0</v>
      </c>
      <c r="BW90" s="129">
        <v>0</v>
      </c>
      <c r="BX90" s="129">
        <v>0</v>
      </c>
      <c r="BY90" s="129">
        <v>0</v>
      </c>
      <c r="BZ90" s="129">
        <v>0</v>
      </c>
      <c r="CA90" s="129">
        <v>0</v>
      </c>
      <c r="CB90" s="129">
        <v>0</v>
      </c>
      <c r="CC90" s="129">
        <v>0</v>
      </c>
      <c r="CD90" s="129">
        <v>0</v>
      </c>
      <c r="CE90" s="129">
        <v>0</v>
      </c>
      <c r="CF90" s="129">
        <v>0</v>
      </c>
      <c r="CG90" s="129">
        <v>0</v>
      </c>
      <c r="CH90" s="129">
        <v>0</v>
      </c>
      <c r="CI90" s="129">
        <v>0</v>
      </c>
      <c r="CJ90" s="129">
        <v>0</v>
      </c>
      <c r="CK90" s="129">
        <v>0</v>
      </c>
      <c r="CL90" s="129">
        <v>0</v>
      </c>
      <c r="CM90" s="129">
        <v>0</v>
      </c>
      <c r="CN90" s="129">
        <v>0</v>
      </c>
      <c r="CO90" s="129">
        <v>0</v>
      </c>
      <c r="CP90" s="129">
        <v>0</v>
      </c>
      <c r="CQ90" s="129">
        <v>0</v>
      </c>
      <c r="CR90" s="129">
        <v>0</v>
      </c>
      <c r="CS90" s="129">
        <v>0</v>
      </c>
      <c r="CT90" s="129">
        <v>0</v>
      </c>
      <c r="CU90" s="129">
        <v>0</v>
      </c>
      <c r="CV90" s="129">
        <v>0</v>
      </c>
      <c r="CW90" s="129">
        <v>0</v>
      </c>
      <c r="CX90" s="129">
        <v>0</v>
      </c>
      <c r="CY90" s="129">
        <v>0</v>
      </c>
      <c r="CZ90" s="129">
        <v>0</v>
      </c>
      <c r="DA90" s="129">
        <v>0</v>
      </c>
      <c r="DB90" s="129">
        <v>0</v>
      </c>
      <c r="DC90" s="129">
        <v>0</v>
      </c>
      <c r="DD90" s="129">
        <v>0</v>
      </c>
      <c r="DE90" s="129">
        <v>0</v>
      </c>
      <c r="DF90" s="129">
        <v>0</v>
      </c>
      <c r="DG90" s="129">
        <v>0</v>
      </c>
      <c r="DH90" s="129">
        <v>0</v>
      </c>
      <c r="DI90" s="129">
        <v>0</v>
      </c>
      <c r="DJ90" s="129">
        <v>0</v>
      </c>
      <c r="DK90" s="129">
        <v>0</v>
      </c>
      <c r="DL90" s="129">
        <v>0</v>
      </c>
      <c r="DM90" s="129">
        <v>0</v>
      </c>
      <c r="DN90" s="129">
        <v>0</v>
      </c>
      <c r="DO90" s="129">
        <v>0</v>
      </c>
      <c r="DP90" s="129">
        <v>0</v>
      </c>
      <c r="DQ90" s="129">
        <v>0</v>
      </c>
      <c r="DR90" s="129">
        <v>0</v>
      </c>
      <c r="DS90" s="129">
        <v>0</v>
      </c>
      <c r="DT90" s="129">
        <v>0</v>
      </c>
      <c r="DU90" s="129">
        <v>0</v>
      </c>
      <c r="DV90" s="129">
        <v>0</v>
      </c>
      <c r="DW90" s="129">
        <v>0</v>
      </c>
      <c r="DX90" s="129">
        <v>0</v>
      </c>
      <c r="DY90" s="129">
        <v>0</v>
      </c>
      <c r="DZ90" s="129">
        <v>0</v>
      </c>
      <c r="EA90" s="129">
        <v>0</v>
      </c>
      <c r="EB90" s="129">
        <v>0</v>
      </c>
      <c r="EC90" s="129">
        <v>0</v>
      </c>
      <c r="ED90" s="113" t="s">
        <v>1</v>
      </c>
    </row>
    <row r="91" spans="1:134" x14ac:dyDescent="0.2">
      <c r="A91" s="698" t="s">
        <v>36</v>
      </c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>
        <v>132236</v>
      </c>
      <c r="Q91" s="129">
        <v>246328</v>
      </c>
      <c r="R91" s="129">
        <v>100000</v>
      </c>
      <c r="S91" s="129">
        <v>0</v>
      </c>
      <c r="T91" s="129">
        <v>22200</v>
      </c>
      <c r="U91" s="129"/>
      <c r="V91" s="129">
        <v>3664</v>
      </c>
      <c r="W91" s="129">
        <v>0</v>
      </c>
      <c r="X91" s="129">
        <v>15400</v>
      </c>
      <c r="Y91" s="129">
        <v>10780</v>
      </c>
      <c r="Z91" s="129">
        <v>0</v>
      </c>
      <c r="AA91" s="129">
        <v>0</v>
      </c>
      <c r="AB91" s="129">
        <v>0</v>
      </c>
      <c r="AC91" s="129">
        <v>0</v>
      </c>
      <c r="AD91" s="129">
        <v>0</v>
      </c>
      <c r="AE91" s="129">
        <v>0</v>
      </c>
      <c r="AF91" s="129">
        <v>991235</v>
      </c>
      <c r="AG91" s="129">
        <v>27047</v>
      </c>
      <c r="AH91" s="129">
        <v>636741</v>
      </c>
      <c r="AI91" s="129">
        <v>525417</v>
      </c>
      <c r="AJ91" s="129">
        <v>994895</v>
      </c>
      <c r="AK91" s="129">
        <v>524193</v>
      </c>
      <c r="AL91" s="129">
        <v>526382</v>
      </c>
      <c r="AM91" s="129">
        <v>183628</v>
      </c>
      <c r="AN91" s="129">
        <v>486306</v>
      </c>
      <c r="AO91" s="129">
        <v>629079</v>
      </c>
      <c r="AP91" s="129">
        <v>893154</v>
      </c>
      <c r="AQ91" s="129">
        <v>1037449</v>
      </c>
      <c r="AR91" s="129">
        <v>1358157</v>
      </c>
      <c r="AS91" s="129">
        <v>1180268</v>
      </c>
      <c r="AT91" s="129">
        <v>1431850</v>
      </c>
      <c r="AU91" s="129">
        <v>1283728</v>
      </c>
      <c r="AV91" s="129">
        <v>1284172</v>
      </c>
      <c r="AW91" s="129">
        <v>1091070</v>
      </c>
      <c r="AX91" s="129">
        <v>757143</v>
      </c>
      <c r="AY91" s="129">
        <v>835450</v>
      </c>
      <c r="AZ91" s="129">
        <v>611523</v>
      </c>
      <c r="BA91" s="129">
        <v>688281</v>
      </c>
      <c r="BB91" s="129">
        <v>785268</v>
      </c>
      <c r="BC91" s="129">
        <v>833268</v>
      </c>
      <c r="BD91" s="129">
        <v>773124</v>
      </c>
      <c r="BE91" s="129">
        <v>973784</v>
      </c>
      <c r="BF91" s="129">
        <v>1210258</v>
      </c>
      <c r="BG91" s="129">
        <v>1070468</v>
      </c>
      <c r="BH91" s="129">
        <v>860902</v>
      </c>
      <c r="BI91" s="129">
        <v>996898</v>
      </c>
      <c r="BJ91" s="129">
        <v>857850</v>
      </c>
      <c r="BK91" s="129">
        <v>885705</v>
      </c>
      <c r="BL91" s="129">
        <v>651765</v>
      </c>
      <c r="BM91" s="129">
        <v>661890</v>
      </c>
      <c r="BN91" s="129">
        <v>717165</v>
      </c>
      <c r="BO91" s="129">
        <v>707160</v>
      </c>
      <c r="BP91" s="129">
        <v>594480</v>
      </c>
      <c r="BQ91" s="129">
        <v>700800</v>
      </c>
      <c r="BR91" s="129">
        <v>523785</v>
      </c>
      <c r="BS91" s="129">
        <v>486195</v>
      </c>
      <c r="BT91" s="129">
        <v>501645</v>
      </c>
      <c r="BU91" s="129">
        <v>495225</v>
      </c>
      <c r="BV91" s="129">
        <v>522030</v>
      </c>
      <c r="BW91" s="129">
        <v>587160</v>
      </c>
      <c r="BX91" s="129">
        <v>567930</v>
      </c>
      <c r="BY91" s="129">
        <v>596655</v>
      </c>
      <c r="BZ91" s="129">
        <v>529095</v>
      </c>
      <c r="CA91" s="129">
        <v>477675</v>
      </c>
      <c r="CB91" s="129">
        <v>502500</v>
      </c>
      <c r="CC91" s="129">
        <v>538455</v>
      </c>
      <c r="CD91" s="129">
        <v>687360</v>
      </c>
      <c r="CE91" s="129">
        <v>762930</v>
      </c>
      <c r="CF91" s="129">
        <v>703875</v>
      </c>
      <c r="CG91" s="129">
        <v>888150</v>
      </c>
      <c r="CH91" s="129">
        <v>786195</v>
      </c>
      <c r="CI91" s="129">
        <v>815175</v>
      </c>
      <c r="CJ91" s="129">
        <v>775920</v>
      </c>
      <c r="CK91" s="129">
        <v>774975</v>
      </c>
      <c r="CL91" s="129">
        <v>722565</v>
      </c>
      <c r="CM91" s="129">
        <v>628275</v>
      </c>
      <c r="CN91" s="129">
        <v>737250</v>
      </c>
      <c r="CO91" s="129">
        <v>907320</v>
      </c>
      <c r="CP91" s="129">
        <v>1010580</v>
      </c>
      <c r="CQ91" s="129">
        <v>950055</v>
      </c>
      <c r="CR91" s="129">
        <v>927878.46216000011</v>
      </c>
      <c r="CS91" s="129">
        <v>894185.59031399991</v>
      </c>
      <c r="CT91" s="129">
        <f t="shared" ref="CT91:EC91" si="239">CT50*CT98</f>
        <v>1105368.126519724</v>
      </c>
      <c r="CU91" s="129">
        <f t="shared" si="239"/>
        <v>1145838.9535491823</v>
      </c>
      <c r="CV91" s="129">
        <f t="shared" si="239"/>
        <v>1080773.8058343804</v>
      </c>
      <c r="CW91" s="129">
        <f t="shared" si="239"/>
        <v>1081009.1248904939</v>
      </c>
      <c r="CX91" s="129">
        <f t="shared" si="239"/>
        <v>1005974.817777867</v>
      </c>
      <c r="CY91" s="129">
        <f t="shared" si="239"/>
        <v>876465.06308276276</v>
      </c>
      <c r="CZ91" s="129">
        <f t="shared" si="239"/>
        <v>1026329.1657808989</v>
      </c>
      <c r="DA91" s="129">
        <f t="shared" si="239"/>
        <v>1268539.2827534641</v>
      </c>
      <c r="DB91" s="129">
        <f t="shared" si="239"/>
        <v>1413326.3374395806</v>
      </c>
      <c r="DC91" s="129">
        <f t="shared" si="239"/>
        <v>1324464.6838902554</v>
      </c>
      <c r="DD91" s="129">
        <f t="shared" si="239"/>
        <v>1292221.1024973567</v>
      </c>
      <c r="DE91" s="129">
        <f t="shared" si="239"/>
        <v>1243375.5063150888</v>
      </c>
      <c r="DF91" s="129">
        <f t="shared" si="239"/>
        <v>1450795.6660571375</v>
      </c>
      <c r="DG91" s="129">
        <f t="shared" si="239"/>
        <v>1503913.6265333018</v>
      </c>
      <c r="DH91" s="129">
        <f t="shared" si="239"/>
        <v>1418515.6201576246</v>
      </c>
      <c r="DI91" s="129">
        <f t="shared" si="239"/>
        <v>1418824.4764187732</v>
      </c>
      <c r="DJ91" s="129">
        <f t="shared" si="239"/>
        <v>1320341.9483334506</v>
      </c>
      <c r="DK91" s="129">
        <f t="shared" si="239"/>
        <v>1150360.3952961261</v>
      </c>
      <c r="DL91" s="129">
        <f t="shared" si="239"/>
        <v>1347057.0300874298</v>
      </c>
      <c r="DM91" s="129">
        <f t="shared" si="239"/>
        <v>1664957.8086139217</v>
      </c>
      <c r="DN91" s="129">
        <f t="shared" si="239"/>
        <v>1854990.8178894497</v>
      </c>
      <c r="DO91" s="129">
        <f t="shared" si="239"/>
        <v>1738359.8976059603</v>
      </c>
      <c r="DP91" s="129">
        <f t="shared" si="239"/>
        <v>1696040.1970277806</v>
      </c>
      <c r="DQ91" s="129">
        <f t="shared" si="239"/>
        <v>1631930.3520385541</v>
      </c>
      <c r="DR91" s="129">
        <f t="shared" si="239"/>
        <v>1828002.5392319937</v>
      </c>
      <c r="DS91" s="129">
        <f t="shared" si="239"/>
        <v>1894931.1694319602</v>
      </c>
      <c r="DT91" s="129">
        <f t="shared" si="239"/>
        <v>1787329.6813986069</v>
      </c>
      <c r="DU91" s="129">
        <f t="shared" si="239"/>
        <v>1787718.8402876544</v>
      </c>
      <c r="DV91" s="129">
        <f t="shared" si="239"/>
        <v>1663630.8549001475</v>
      </c>
      <c r="DW91" s="129">
        <f t="shared" si="239"/>
        <v>1449454.0980731186</v>
      </c>
      <c r="DX91" s="129">
        <f t="shared" si="239"/>
        <v>1697291.8579101616</v>
      </c>
      <c r="DY91" s="129">
        <f t="shared" si="239"/>
        <v>2097846.8388535418</v>
      </c>
      <c r="DZ91" s="129">
        <f t="shared" si="239"/>
        <v>2337288.4305407065</v>
      </c>
      <c r="EA91" s="129">
        <f t="shared" si="239"/>
        <v>2190333.4709835099</v>
      </c>
      <c r="EB91" s="129">
        <f t="shared" si="239"/>
        <v>2137010.6482550036</v>
      </c>
      <c r="EC91" s="129">
        <f t="shared" si="239"/>
        <v>2056232.2435685783</v>
      </c>
      <c r="ED91" s="113" t="s">
        <v>1</v>
      </c>
    </row>
    <row r="92" spans="1:134" x14ac:dyDescent="0.2">
      <c r="A92" s="698" t="s">
        <v>37</v>
      </c>
      <c r="B92" s="133">
        <f t="shared" ref="B92:AG92" si="240">B87/B46</f>
        <v>1.5746962568591413E-2</v>
      </c>
      <c r="C92" s="133">
        <f t="shared" si="240"/>
        <v>1.7995009978309783E-2</v>
      </c>
      <c r="D92" s="133">
        <f t="shared" si="240"/>
        <v>1.8224257914552729E-2</v>
      </c>
      <c r="E92" s="133">
        <f t="shared" si="240"/>
        <v>1.7194473240446585E-2</v>
      </c>
      <c r="F92" s="133">
        <f t="shared" si="240"/>
        <v>1.5993590130107545E-2</v>
      </c>
      <c r="G92" s="133">
        <f t="shared" si="240"/>
        <v>1.6721735333859112E-2</v>
      </c>
      <c r="H92" s="133">
        <f t="shared" si="240"/>
        <v>1.5302007099540781E-2</v>
      </c>
      <c r="I92" s="133">
        <f t="shared" si="240"/>
        <v>1.7824274091713731E-2</v>
      </c>
      <c r="J92" s="133">
        <f t="shared" si="240"/>
        <v>1.681726378647691E-2</v>
      </c>
      <c r="K92" s="133">
        <f t="shared" si="240"/>
        <v>1.2107098690852592E-2</v>
      </c>
      <c r="L92" s="133">
        <f t="shared" si="240"/>
        <v>1.5343226922666365E-2</v>
      </c>
      <c r="M92" s="133">
        <f t="shared" si="240"/>
        <v>2.0378716112937012E-2</v>
      </c>
      <c r="N92" s="133">
        <f t="shared" si="240"/>
        <v>1.6626100821085274E-2</v>
      </c>
      <c r="O92" s="133">
        <f t="shared" si="240"/>
        <v>1.8985076739915334E-2</v>
      </c>
      <c r="P92" s="133">
        <f t="shared" si="240"/>
        <v>1.8369642029360658E-2</v>
      </c>
      <c r="Q92" s="133">
        <f t="shared" si="240"/>
        <v>1.8124570854190697E-2</v>
      </c>
      <c r="R92" s="133">
        <f t="shared" si="240"/>
        <v>2.0526926837850377E-2</v>
      </c>
      <c r="S92" s="133">
        <f t="shared" si="240"/>
        <v>2.2021194452208636E-2</v>
      </c>
      <c r="T92" s="133">
        <f t="shared" si="240"/>
        <v>2.6415319647770497E-2</v>
      </c>
      <c r="U92" s="133">
        <f t="shared" si="240"/>
        <v>2.4638651502692812E-2</v>
      </c>
      <c r="V92" s="133">
        <f t="shared" si="240"/>
        <v>2.1610328915831093E-2</v>
      </c>
      <c r="W92" s="133">
        <f t="shared" si="240"/>
        <v>2.2208702430773195E-2</v>
      </c>
      <c r="X92" s="133">
        <f t="shared" si="240"/>
        <v>2.0667415050149188E-2</v>
      </c>
      <c r="Y92" s="133">
        <f t="shared" si="240"/>
        <v>3.2634584069829865E-2</v>
      </c>
      <c r="Z92" s="133">
        <f t="shared" si="240"/>
        <v>-90.091368164408223</v>
      </c>
      <c r="AA92" s="133">
        <f t="shared" si="240"/>
        <v>3.9701664379544539E-2</v>
      </c>
      <c r="AB92" s="133">
        <f t="shared" si="240"/>
        <v>3.9495308752434038E-2</v>
      </c>
      <c r="AC92" s="133">
        <f t="shared" si="240"/>
        <v>4.6742483875395563E-2</v>
      </c>
      <c r="AD92" s="133">
        <f t="shared" si="240"/>
        <v>3.303969789891454E-2</v>
      </c>
      <c r="AE92" s="133">
        <f t="shared" si="240"/>
        <v>2.7967003243947904E-2</v>
      </c>
      <c r="AF92" s="133">
        <f t="shared" si="240"/>
        <v>3.7647296409031833E-2</v>
      </c>
      <c r="AG92" s="133">
        <f t="shared" si="240"/>
        <v>2.91139932601873E-2</v>
      </c>
      <c r="AH92" s="133">
        <f t="shared" ref="AH92:BM92" si="241">AH87/AH46</f>
        <v>1.7438057693654259E-2</v>
      </c>
      <c r="AI92" s="133">
        <f t="shared" si="241"/>
        <v>2.4383483981712816E-2</v>
      </c>
      <c r="AJ92" s="133">
        <f t="shared" si="241"/>
        <v>2.0337516276227135E-2</v>
      </c>
      <c r="AK92" s="133">
        <f t="shared" si="241"/>
        <v>2.2454184412739098E-2</v>
      </c>
      <c r="AL92" s="133">
        <f t="shared" si="241"/>
        <v>3.3258276213388352E-2</v>
      </c>
      <c r="AM92" s="133">
        <f t="shared" si="241"/>
        <v>6.4532915142088018E-2</v>
      </c>
      <c r="AN92" s="133">
        <f t="shared" si="241"/>
        <v>3.3680547536104492E-2</v>
      </c>
      <c r="AO92" s="133">
        <f t="shared" si="241"/>
        <v>3.061741889819004E-2</v>
      </c>
      <c r="AP92" s="133">
        <f t="shared" si="241"/>
        <v>3.5092970702532374E-2</v>
      </c>
      <c r="AQ92" s="133">
        <f t="shared" si="241"/>
        <v>4.0006226394207083E-2</v>
      </c>
      <c r="AR92" s="133">
        <f t="shared" si="241"/>
        <v>5.0432019967721967E-2</v>
      </c>
      <c r="AS92" s="133">
        <f t="shared" si="241"/>
        <v>4.2714342110604715E-2</v>
      </c>
      <c r="AT92" s="133">
        <f t="shared" si="241"/>
        <v>3.1084249275154786E-2</v>
      </c>
      <c r="AU92" s="133">
        <f t="shared" si="241"/>
        <v>3.1441644374314119E-2</v>
      </c>
      <c r="AV92" s="133">
        <f t="shared" si="241"/>
        <v>3.5121383483694937E-2</v>
      </c>
      <c r="AW92" s="133">
        <f t="shared" si="241"/>
        <v>3.9930554713889906E-2</v>
      </c>
      <c r="AX92" s="133">
        <f t="shared" si="241"/>
        <v>3.795136867376623E-2</v>
      </c>
      <c r="AY92" s="133">
        <f t="shared" si="241"/>
        <v>3.5471170854035131E-2</v>
      </c>
      <c r="AZ92" s="133">
        <f t="shared" si="241"/>
        <v>4.7707735968533518E-2</v>
      </c>
      <c r="BA92" s="133">
        <f t="shared" si="241"/>
        <v>4.7432991856100816E-2</v>
      </c>
      <c r="BB92" s="133">
        <f t="shared" si="241"/>
        <v>4.8752661111851059E-2</v>
      </c>
      <c r="BC92" s="133">
        <f t="shared" si="241"/>
        <v>4.5984066481131444E-2</v>
      </c>
      <c r="BD92" s="133">
        <f t="shared" si="241"/>
        <v>3.7549806399619655E-2</v>
      </c>
      <c r="BE92" s="133">
        <f t="shared" si="241"/>
        <v>3.7713206122082864E-2</v>
      </c>
      <c r="BF92" s="133">
        <f t="shared" si="241"/>
        <v>3.150158682172087E-2</v>
      </c>
      <c r="BG92" s="133">
        <f t="shared" si="241"/>
        <v>3.4444473214722965E-2</v>
      </c>
      <c r="BH92" s="133">
        <f t="shared" si="241"/>
        <v>3.9569661145158953E-2</v>
      </c>
      <c r="BI92" s="133">
        <f t="shared" si="241"/>
        <v>3.3674253414620575E-2</v>
      </c>
      <c r="BJ92" s="133">
        <f t="shared" si="241"/>
        <v>3.1200156259301347E-2</v>
      </c>
      <c r="BK92" s="133">
        <f t="shared" si="241"/>
        <v>2.9382642702655358E-2</v>
      </c>
      <c r="BL92" s="133">
        <f t="shared" si="241"/>
        <v>3.5401264812380005E-2</v>
      </c>
      <c r="BM92" s="133">
        <f t="shared" si="241"/>
        <v>3.3825574341067678E-2</v>
      </c>
      <c r="BN92" s="133">
        <f t="shared" ref="BN92:CS92" si="242">BN87/BN46</f>
        <v>3.4491524488319845E-2</v>
      </c>
      <c r="BO92" s="133">
        <f t="shared" si="242"/>
        <v>3.6655562668211294E-2</v>
      </c>
      <c r="BP92" s="133">
        <f t="shared" si="242"/>
        <v>3.3737573817406448E-2</v>
      </c>
      <c r="BQ92" s="133">
        <f t="shared" si="242"/>
        <v>2.9207641486198824E-2</v>
      </c>
      <c r="BR92" s="133">
        <f t="shared" si="242"/>
        <v>3.0823397066875903E-2</v>
      </c>
      <c r="BS92" s="133">
        <f t="shared" si="242"/>
        <v>3.1140743013578585E-2</v>
      </c>
      <c r="BT92" s="133">
        <f t="shared" si="242"/>
        <v>2.8780665711882439E-2</v>
      </c>
      <c r="BU92" s="133">
        <f t="shared" si="242"/>
        <v>2.6526557808830065E-2</v>
      </c>
      <c r="BV92" s="133">
        <f t="shared" si="242"/>
        <v>2.3137781308979637E-2</v>
      </c>
      <c r="BW92" s="133">
        <f t="shared" si="242"/>
        <v>2.3692431512819918E-2</v>
      </c>
      <c r="BX92" s="133">
        <f t="shared" si="242"/>
        <v>2.4443012662906011E-2</v>
      </c>
      <c r="BY92" s="133">
        <f t="shared" si="242"/>
        <v>2.7938108359222301E-2</v>
      </c>
      <c r="BZ92" s="133">
        <f t="shared" si="242"/>
        <v>2.5909732441587247E-2</v>
      </c>
      <c r="CA92" s="133">
        <f t="shared" si="242"/>
        <v>3.016383568713988E-2</v>
      </c>
      <c r="CB92" s="133">
        <f t="shared" si="242"/>
        <v>2.5865049013021293E-2</v>
      </c>
      <c r="CC92" s="133">
        <f t="shared" si="242"/>
        <v>2.7511372995121106E-2</v>
      </c>
      <c r="CD92" s="133">
        <f t="shared" si="242"/>
        <v>2.5481809821049861E-2</v>
      </c>
      <c r="CE92" s="133">
        <f t="shared" si="242"/>
        <v>2.4112585202999973E-2</v>
      </c>
      <c r="CF92" s="133">
        <f t="shared" si="242"/>
        <v>2.1481455179689093E-2</v>
      </c>
      <c r="CG92" s="133">
        <f t="shared" si="242"/>
        <v>1.6192051610726399E-2</v>
      </c>
      <c r="CH92" s="133">
        <f t="shared" si="242"/>
        <v>1.9163773791826644E-2</v>
      </c>
      <c r="CI92" s="133">
        <f t="shared" si="242"/>
        <v>1.8430934557309937E-2</v>
      </c>
      <c r="CJ92" s="133">
        <f t="shared" si="242"/>
        <v>2.0511100751109148E-2</v>
      </c>
      <c r="CK92" s="133">
        <f t="shared" si="242"/>
        <v>2.2694762595099383E-2</v>
      </c>
      <c r="CL92" s="133">
        <f t="shared" si="242"/>
        <v>2.4210425358579559E-2</v>
      </c>
      <c r="CM92" s="133">
        <f t="shared" si="242"/>
        <v>2.7403251044884402E-2</v>
      </c>
      <c r="CN92" s="133">
        <f t="shared" si="242"/>
        <v>2.2989994096478068E-2</v>
      </c>
      <c r="CO92" s="133">
        <f t="shared" si="242"/>
        <v>2.2652496021644812E-2</v>
      </c>
      <c r="CP92" s="133">
        <f t="shared" si="242"/>
        <v>1.8122254233327289E-2</v>
      </c>
      <c r="CQ92" s="133">
        <f t="shared" si="242"/>
        <v>1.632348556737348E-2</v>
      </c>
      <c r="CR92" s="133">
        <f t="shared" si="242"/>
        <v>1.7460171762033301E-2</v>
      </c>
      <c r="CS92" s="133">
        <f t="shared" si="242"/>
        <v>1.9816995127075059E-2</v>
      </c>
      <c r="CT92" s="133">
        <f t="shared" ref="CT92:EC92" si="243">CT87/CT46</f>
        <v>1.808231431826493E-2</v>
      </c>
      <c r="CU92" s="133">
        <f t="shared" si="243"/>
        <v>1.761053893044973E-2</v>
      </c>
      <c r="CV92" s="133">
        <f t="shared" si="243"/>
        <v>1.8463450979419399E-2</v>
      </c>
      <c r="CW92" s="133">
        <f t="shared" si="243"/>
        <v>1.8448689452671238E-2</v>
      </c>
      <c r="CX92" s="133">
        <f t="shared" si="243"/>
        <v>1.949155941640477E-2</v>
      </c>
      <c r="CY92" s="133">
        <f t="shared" si="243"/>
        <v>2.1658866833859231E-2</v>
      </c>
      <c r="CZ92" s="133">
        <f t="shared" si="243"/>
        <v>1.9198825871566429E-2</v>
      </c>
      <c r="DA92" s="133">
        <f t="shared" si="243"/>
        <v>1.6397836693248288E-2</v>
      </c>
      <c r="DB92" s="133">
        <f t="shared" si="243"/>
        <v>1.5195869882486796E-2</v>
      </c>
      <c r="DC92" s="133">
        <f t="shared" si="243"/>
        <v>1.5923543297654129E-2</v>
      </c>
      <c r="DD92" s="133">
        <f t="shared" si="243"/>
        <v>1.6211225132952992E-2</v>
      </c>
      <c r="DE92" s="133">
        <f t="shared" si="243"/>
        <v>1.6675196163299811E-2</v>
      </c>
      <c r="DF92" s="133">
        <f t="shared" si="243"/>
        <v>1.6170425324617321E-2</v>
      </c>
      <c r="DG92" s="133">
        <f t="shared" si="243"/>
        <v>1.5774236948448143E-2</v>
      </c>
      <c r="DH92" s="133">
        <f t="shared" si="243"/>
        <v>1.6494635262311128E-2</v>
      </c>
      <c r="DI92" s="133">
        <f t="shared" si="243"/>
        <v>1.6481607685565832E-2</v>
      </c>
      <c r="DJ92" s="133">
        <f t="shared" si="243"/>
        <v>1.7358455765406108E-2</v>
      </c>
      <c r="DK92" s="133">
        <f t="shared" si="243"/>
        <v>1.9178113302252241E-2</v>
      </c>
      <c r="DL92" s="133">
        <f t="shared" si="243"/>
        <v>1.7112598228029925E-2</v>
      </c>
      <c r="DM92" s="133">
        <f t="shared" si="243"/>
        <v>1.4757886581115267E-2</v>
      </c>
      <c r="DN92" s="133">
        <f t="shared" si="243"/>
        <v>1.3748106072192259E-2</v>
      </c>
      <c r="DO92" s="133">
        <f t="shared" si="243"/>
        <v>1.4360736383254098E-2</v>
      </c>
      <c r="DP92" s="133">
        <f t="shared" si="243"/>
        <v>1.4602838263329919E-2</v>
      </c>
      <c r="DQ92" s="133">
        <f t="shared" si="243"/>
        <v>1.499325154148567E-2</v>
      </c>
      <c r="DR92" s="133">
        <f t="shared" si="243"/>
        <v>1.5007743294155588E-2</v>
      </c>
      <c r="DS92" s="133">
        <f t="shared" si="243"/>
        <v>1.4661168545903703E-2</v>
      </c>
      <c r="DT92" s="133">
        <f t="shared" si="243"/>
        <v>1.529497523917122E-2</v>
      </c>
      <c r="DU92" s="133">
        <f t="shared" si="243"/>
        <v>1.5283026702026841E-2</v>
      </c>
      <c r="DV92" s="133">
        <f t="shared" si="243"/>
        <v>1.6051001418403182E-2</v>
      </c>
      <c r="DW92" s="133">
        <f t="shared" si="243"/>
        <v>1.7642431156054881E-2</v>
      </c>
      <c r="DX92" s="133">
        <f t="shared" si="243"/>
        <v>1.583590988345104E-2</v>
      </c>
      <c r="DY92" s="133">
        <f t="shared" si="243"/>
        <v>1.3773891547414215E-2</v>
      </c>
      <c r="DZ92" s="133">
        <f t="shared" si="243"/>
        <v>1.289022126270865E-2</v>
      </c>
      <c r="EA92" s="133">
        <f t="shared" si="243"/>
        <v>1.3427484346918886E-2</v>
      </c>
      <c r="EB92" s="133">
        <f t="shared" si="243"/>
        <v>1.3639716488106909E-2</v>
      </c>
      <c r="EC92" s="133">
        <f t="shared" si="243"/>
        <v>1.3981921017574565E-2</v>
      </c>
      <c r="ED92" s="113" t="s">
        <v>1</v>
      </c>
    </row>
    <row r="93" spans="1:134" x14ac:dyDescent="0.2">
      <c r="A93" s="698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5"/>
      <c r="BC93" s="115"/>
      <c r="BD93" s="115"/>
      <c r="BE93" s="115"/>
      <c r="BF93" s="115"/>
      <c r="BG93" s="115"/>
      <c r="BH93" s="115"/>
      <c r="BI93" s="115"/>
      <c r="BJ93" s="115"/>
      <c r="BK93" s="115"/>
      <c r="BL93" s="115"/>
      <c r="BM93" s="115"/>
      <c r="BN93" s="115"/>
      <c r="BO93" s="115"/>
      <c r="BP93" s="115"/>
      <c r="BQ93" s="115"/>
      <c r="BR93" s="115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115"/>
      <c r="CD93" s="115"/>
      <c r="CE93" s="115"/>
      <c r="CF93" s="115"/>
      <c r="CG93" s="115"/>
      <c r="CH93" s="115"/>
      <c r="CI93" s="115"/>
      <c r="CJ93" s="115"/>
      <c r="CK93" s="115"/>
      <c r="CL93" s="115"/>
      <c r="CM93" s="115"/>
      <c r="CN93" s="115"/>
      <c r="CO93" s="115"/>
      <c r="CP93" s="115"/>
      <c r="CQ93" s="115"/>
      <c r="CR93" s="129"/>
      <c r="CS93" s="115"/>
      <c r="CT93" s="115"/>
      <c r="CU93" s="115"/>
      <c r="CV93" s="133"/>
      <c r="CW93" s="133"/>
      <c r="CX93" s="115"/>
      <c r="CY93" s="115"/>
      <c r="CZ93" s="133"/>
      <c r="DA93" s="133"/>
      <c r="DB93" s="115"/>
      <c r="DC93" s="115"/>
      <c r="DD93" s="133"/>
      <c r="DE93" s="133"/>
      <c r="DF93" s="115"/>
      <c r="DG93" s="115"/>
      <c r="DH93" s="133"/>
      <c r="DI93" s="133"/>
      <c r="DJ93" s="115"/>
      <c r="DK93" s="115"/>
      <c r="DL93" s="133"/>
      <c r="DM93" s="133"/>
      <c r="DN93" s="115"/>
      <c r="DO93" s="115"/>
      <c r="DP93" s="133"/>
      <c r="DQ93" s="133"/>
      <c r="DR93" s="115"/>
      <c r="DS93" s="115"/>
      <c r="DT93" s="115"/>
      <c r="DU93" s="115"/>
      <c r="DV93" s="115"/>
      <c r="DW93" s="115"/>
      <c r="DX93" s="115"/>
      <c r="DY93" s="115"/>
      <c r="DZ93" s="115"/>
      <c r="EA93" s="115"/>
      <c r="EB93" s="115"/>
      <c r="EC93" s="115"/>
      <c r="ED93" s="113" t="s">
        <v>1</v>
      </c>
    </row>
    <row r="94" spans="1:134" x14ac:dyDescent="0.2">
      <c r="A94" s="330" t="s">
        <v>103</v>
      </c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  <c r="AU94" s="115"/>
      <c r="AV94" s="115"/>
      <c r="AW94" s="115"/>
      <c r="AX94" s="115"/>
      <c r="AY94" s="115"/>
      <c r="AZ94" s="115"/>
      <c r="BA94" s="115"/>
      <c r="BB94" s="115"/>
      <c r="BC94" s="115"/>
      <c r="BD94" s="115"/>
      <c r="BE94" s="115"/>
      <c r="BF94" s="115"/>
      <c r="BG94" s="115"/>
      <c r="BH94" s="115"/>
      <c r="BI94" s="115"/>
      <c r="BJ94" s="115"/>
      <c r="BK94" s="115"/>
      <c r="BL94" s="115"/>
      <c r="BM94" s="115"/>
      <c r="BN94" s="115"/>
      <c r="BO94" s="115"/>
      <c r="BP94" s="115"/>
      <c r="BQ94" s="115"/>
      <c r="BR94" s="115"/>
      <c r="BS94" s="115"/>
      <c r="BT94" s="115"/>
      <c r="BU94" s="115"/>
      <c r="BV94" s="115"/>
      <c r="BW94" s="115"/>
      <c r="BX94" s="115"/>
      <c r="BY94" s="115"/>
      <c r="BZ94" s="115"/>
      <c r="CA94" s="115"/>
      <c r="CB94" s="115"/>
      <c r="CC94" s="115"/>
      <c r="CD94" s="115"/>
      <c r="CE94" s="115"/>
      <c r="CF94" s="115"/>
      <c r="CG94" s="115"/>
      <c r="CH94" s="115"/>
      <c r="CI94" s="115"/>
      <c r="CJ94" s="115"/>
      <c r="CK94" s="115"/>
      <c r="CL94" s="115"/>
      <c r="CM94" s="115"/>
      <c r="CN94" s="115"/>
      <c r="CO94" s="115"/>
      <c r="CP94" s="115"/>
      <c r="CQ94" s="115"/>
      <c r="CR94" s="129"/>
      <c r="CS94" s="115"/>
      <c r="CT94" s="115"/>
      <c r="CU94" s="115"/>
      <c r="CV94" s="133"/>
      <c r="CW94" s="133"/>
      <c r="CX94" s="115"/>
      <c r="CY94" s="115"/>
      <c r="CZ94" s="133"/>
      <c r="DA94" s="133"/>
      <c r="DB94" s="115"/>
      <c r="DC94" s="115"/>
      <c r="DD94" s="133"/>
      <c r="DE94" s="133"/>
      <c r="DF94" s="115"/>
      <c r="DG94" s="115"/>
      <c r="DH94" s="133"/>
      <c r="DI94" s="133"/>
      <c r="DJ94" s="115"/>
      <c r="DK94" s="115"/>
      <c r="DL94" s="133"/>
      <c r="DM94" s="133"/>
      <c r="DN94" s="115"/>
      <c r="DO94" s="115"/>
      <c r="DP94" s="133"/>
      <c r="DQ94" s="133"/>
      <c r="DR94" s="115"/>
      <c r="DS94" s="115"/>
      <c r="DT94" s="115"/>
      <c r="DU94" s="115"/>
      <c r="DV94" s="115"/>
      <c r="DW94" s="115"/>
      <c r="DX94" s="115"/>
      <c r="DY94" s="115"/>
      <c r="DZ94" s="115"/>
      <c r="EA94" s="115"/>
      <c r="EB94" s="115"/>
      <c r="EC94" s="115"/>
      <c r="ED94" s="113" t="s">
        <v>1</v>
      </c>
    </row>
    <row r="95" spans="1:134" x14ac:dyDescent="0.2">
      <c r="A95" s="698" t="s">
        <v>104</v>
      </c>
      <c r="B95" s="129">
        <f t="shared" ref="B95:AG95" si="244">B88/B50</f>
        <v>3.1174985191882034</v>
      </c>
      <c r="C95" s="129">
        <f t="shared" si="244"/>
        <v>3.4861425832316542</v>
      </c>
      <c r="D95" s="129">
        <f t="shared" si="244"/>
        <v>2.8770355026181025</v>
      </c>
      <c r="E95" s="129">
        <f t="shared" si="244"/>
        <v>2.544658761260115</v>
      </c>
      <c r="F95" s="129">
        <f t="shared" si="244"/>
        <v>2.1176570242683495</v>
      </c>
      <c r="G95" s="129">
        <f t="shared" si="244"/>
        <v>2.0345052083333335</v>
      </c>
      <c r="H95" s="129">
        <f t="shared" si="244"/>
        <v>1.8969572805220427</v>
      </c>
      <c r="I95" s="129">
        <f t="shared" si="244"/>
        <v>1.8940111367854844</v>
      </c>
      <c r="J95" s="129">
        <f t="shared" si="244"/>
        <v>22.477845609969847</v>
      </c>
      <c r="K95" s="129">
        <f t="shared" si="244"/>
        <v>3.4713287823464043</v>
      </c>
      <c r="L95" s="129">
        <f t="shared" si="244"/>
        <v>1.5276501976872083</v>
      </c>
      <c r="M95" s="129">
        <f t="shared" si="244"/>
        <v>10.524431133212779</v>
      </c>
      <c r="N95" s="129">
        <f t="shared" si="244"/>
        <v>5.2750908312266018</v>
      </c>
      <c r="O95" s="129">
        <f t="shared" si="244"/>
        <v>5.6513506723611311</v>
      </c>
      <c r="P95" s="129">
        <f t="shared" si="244"/>
        <v>4.2525237976771892</v>
      </c>
      <c r="Q95" s="129">
        <f t="shared" si="244"/>
        <v>7.4254115872816389</v>
      </c>
      <c r="R95" s="129">
        <f t="shared" si="244"/>
        <v>4.0302977482688132</v>
      </c>
      <c r="S95" s="129">
        <f t="shared" si="244"/>
        <v>6.0371143213839842</v>
      </c>
      <c r="T95" s="129">
        <f t="shared" si="244"/>
        <v>3.1728812081853248</v>
      </c>
      <c r="U95" s="129">
        <f t="shared" si="244"/>
        <v>5.4481737598620716</v>
      </c>
      <c r="V95" s="129">
        <f t="shared" si="244"/>
        <v>4.0000603782698603</v>
      </c>
      <c r="W95" s="129">
        <f t="shared" si="244"/>
        <v>3.7752374624363871</v>
      </c>
      <c r="X95" s="129">
        <f t="shared" si="244"/>
        <v>4.1525926464000777</v>
      </c>
      <c r="Y95" s="129">
        <f t="shared" si="244"/>
        <v>6.3810389947846096</v>
      </c>
      <c r="Z95" s="129">
        <f t="shared" si="244"/>
        <v>0</v>
      </c>
      <c r="AA95" s="129">
        <f t="shared" si="244"/>
        <v>4.5437334343051878</v>
      </c>
      <c r="AB95" s="129">
        <f t="shared" si="244"/>
        <v>8.9794276765375862</v>
      </c>
      <c r="AC95" s="129">
        <f t="shared" si="244"/>
        <v>15.690965759058049</v>
      </c>
      <c r="AD95" s="129">
        <f t="shared" si="244"/>
        <v>17.56304798717828</v>
      </c>
      <c r="AE95" s="129">
        <f t="shared" si="244"/>
        <v>27.335323913623032</v>
      </c>
      <c r="AF95" s="129">
        <f t="shared" si="244"/>
        <v>32.610496148081928</v>
      </c>
      <c r="AG95" s="129">
        <f t="shared" si="244"/>
        <v>23.048013499002913</v>
      </c>
      <c r="AH95" s="129">
        <f t="shared" ref="AH95:BM95" si="245">AH88/AH50</f>
        <v>18.286271581610105</v>
      </c>
      <c r="AI95" s="129">
        <f t="shared" si="245"/>
        <v>19.063017745573589</v>
      </c>
      <c r="AJ95" s="129">
        <f t="shared" si="245"/>
        <v>17.995399930345947</v>
      </c>
      <c r="AK95" s="129">
        <f t="shared" si="245"/>
        <v>24.117753902568584</v>
      </c>
      <c r="AL95" s="129">
        <f t="shared" si="245"/>
        <v>28.699870469611156</v>
      </c>
      <c r="AM95" s="129">
        <f t="shared" si="245"/>
        <v>52.280731392228958</v>
      </c>
      <c r="AN95" s="129">
        <f t="shared" si="245"/>
        <v>29.641446852378923</v>
      </c>
      <c r="AO95" s="129">
        <f t="shared" si="245"/>
        <v>39.572802070814461</v>
      </c>
      <c r="AP95" s="129">
        <f t="shared" si="245"/>
        <v>38.675800574695621</v>
      </c>
      <c r="AQ95" s="129">
        <f t="shared" si="245"/>
        <v>43.195996730716836</v>
      </c>
      <c r="AR95" s="129">
        <f t="shared" si="245"/>
        <v>68.047611114196329</v>
      </c>
      <c r="AS95" s="129">
        <f t="shared" si="245"/>
        <v>45.532245532245533</v>
      </c>
      <c r="AT95" s="129">
        <f t="shared" si="245"/>
        <v>24.450543128049343</v>
      </c>
      <c r="AU95" s="129">
        <f t="shared" si="245"/>
        <v>22.083650287172944</v>
      </c>
      <c r="AV95" s="129">
        <f t="shared" si="245"/>
        <v>50.594904029632957</v>
      </c>
      <c r="AW95" s="129">
        <f t="shared" si="245"/>
        <v>57.830611357779368</v>
      </c>
      <c r="AX95" s="129">
        <f t="shared" si="245"/>
        <v>62.01598379491719</v>
      </c>
      <c r="AY95" s="129">
        <f t="shared" si="245"/>
        <v>63.681448414241494</v>
      </c>
      <c r="AZ95" s="129">
        <f t="shared" si="245"/>
        <v>87.971577009994647</v>
      </c>
      <c r="BA95" s="129">
        <f t="shared" si="245"/>
        <v>104.23442834382824</v>
      </c>
      <c r="BB95" s="129">
        <f t="shared" si="245"/>
        <v>98.191966008528652</v>
      </c>
      <c r="BC95" s="129">
        <f t="shared" si="245"/>
        <v>91.918784566763236</v>
      </c>
      <c r="BD95" s="129">
        <f t="shared" si="245"/>
        <v>84.412626107087547</v>
      </c>
      <c r="BE95" s="129">
        <f t="shared" si="245"/>
        <v>93.208921484212439</v>
      </c>
      <c r="BF95" s="129">
        <f t="shared" si="245"/>
        <v>86.630568330401672</v>
      </c>
      <c r="BG95" s="129">
        <f t="shared" si="245"/>
        <v>98.616958731869175</v>
      </c>
      <c r="BH95" s="129">
        <f t="shared" si="245"/>
        <v>108.73550080677494</v>
      </c>
      <c r="BI95" s="129">
        <f t="shared" si="245"/>
        <v>92.296820534193117</v>
      </c>
      <c r="BJ95" s="129">
        <f t="shared" si="245"/>
        <v>80.404789181876524</v>
      </c>
      <c r="BK95" s="129">
        <f t="shared" si="245"/>
        <v>82.416338660893729</v>
      </c>
      <c r="BL95" s="129">
        <f t="shared" si="245"/>
        <v>105.70815314268769</v>
      </c>
      <c r="BM95" s="129">
        <f t="shared" si="245"/>
        <v>75.599108380291312</v>
      </c>
      <c r="BN95" s="129">
        <f t="shared" ref="BN95:CS95" si="246">BN88/BN50</f>
        <v>54.794166022578153</v>
      </c>
      <c r="BO95" s="129">
        <f t="shared" si="246"/>
        <v>78.847457591024963</v>
      </c>
      <c r="BP95" s="129">
        <f t="shared" si="246"/>
        <v>87.789211743932398</v>
      </c>
      <c r="BQ95" s="129">
        <f t="shared" si="246"/>
        <v>73.083279303484332</v>
      </c>
      <c r="BR95" s="129">
        <f t="shared" si="246"/>
        <v>111.97333672131303</v>
      </c>
      <c r="BS95" s="129">
        <f t="shared" si="246"/>
        <v>122.80733869497863</v>
      </c>
      <c r="BT95" s="129">
        <f t="shared" si="246"/>
        <v>86.575917640785391</v>
      </c>
      <c r="BU95" s="129">
        <f t="shared" si="246"/>
        <v>64.854822201759518</v>
      </c>
      <c r="BV95" s="129">
        <f t="shared" si="246"/>
        <v>50.161408415793929</v>
      </c>
      <c r="BW95" s="129">
        <f t="shared" si="246"/>
        <v>6.3785015241205869</v>
      </c>
      <c r="BX95" s="129">
        <f t="shared" si="246"/>
        <v>29.739028699050102</v>
      </c>
      <c r="BY95" s="129">
        <f t="shared" si="246"/>
        <v>27.62660257149696</v>
      </c>
      <c r="BZ95" s="129">
        <f t="shared" si="246"/>
        <v>31.069283791323091</v>
      </c>
      <c r="CA95" s="129">
        <f t="shared" si="246"/>
        <v>31.153263455743247</v>
      </c>
      <c r="CB95" s="129">
        <f t="shared" si="246"/>
        <v>47.317039014130401</v>
      </c>
      <c r="CC95" s="129">
        <f t="shared" si="246"/>
        <v>49.679015761385159</v>
      </c>
      <c r="CD95" s="129">
        <f t="shared" si="246"/>
        <v>35.060854591766223</v>
      </c>
      <c r="CE95" s="129">
        <f t="shared" si="246"/>
        <v>39.883503953000755</v>
      </c>
      <c r="CF95" s="129">
        <f t="shared" si="246"/>
        <v>45.256640979982969</v>
      </c>
      <c r="CG95" s="129">
        <f t="shared" si="246"/>
        <v>12.680074945694733</v>
      </c>
      <c r="CH95" s="129">
        <f t="shared" si="246"/>
        <v>20.032408450123718</v>
      </c>
      <c r="CI95" s="129">
        <f t="shared" si="246"/>
        <v>12.339486626145971</v>
      </c>
      <c r="CJ95" s="129">
        <f t="shared" si="246"/>
        <v>23.088702675989477</v>
      </c>
      <c r="CK95" s="129">
        <f t="shared" si="246"/>
        <v>38.214450645514049</v>
      </c>
      <c r="CL95" s="129">
        <f t="shared" si="246"/>
        <v>23.657249844583117</v>
      </c>
      <c r="CM95" s="129">
        <f t="shared" si="246"/>
        <v>24.348707951762528</v>
      </c>
      <c r="CN95" s="129">
        <f t="shared" si="246"/>
        <v>17.431331601414332</v>
      </c>
      <c r="CO95" s="129">
        <f t="shared" si="246"/>
        <v>20.7579689701676</v>
      </c>
      <c r="CP95" s="129">
        <f t="shared" si="246"/>
        <v>19.826973255526156</v>
      </c>
      <c r="CQ95" s="129">
        <f t="shared" si="246"/>
        <v>29.593810643351684</v>
      </c>
      <c r="CR95" s="129">
        <f t="shared" si="246"/>
        <v>17.826088440905099</v>
      </c>
      <c r="CS95" s="129">
        <f t="shared" si="246"/>
        <v>53.892901272661646</v>
      </c>
      <c r="CT95" s="130">
        <f>SUM(CH88:CS88)/SUM($CH$50:$CS$50)*(1+CT96)</f>
        <v>26.429492970902494</v>
      </c>
      <c r="CU95" s="130">
        <f t="shared" ref="CU95:DQ95" si="247">CT95*(1+CU96)</f>
        <v>26.429492970902494</v>
      </c>
      <c r="CV95" s="130">
        <f t="shared" si="247"/>
        <v>26.429492970902494</v>
      </c>
      <c r="CW95" s="130">
        <f t="shared" si="247"/>
        <v>26.429492970902494</v>
      </c>
      <c r="CX95" s="130">
        <f t="shared" si="247"/>
        <v>26.429492970902494</v>
      </c>
      <c r="CY95" s="130">
        <f t="shared" si="247"/>
        <v>26.429492970902494</v>
      </c>
      <c r="CZ95" s="130">
        <f t="shared" si="247"/>
        <v>26.429492970902494</v>
      </c>
      <c r="DA95" s="130">
        <f t="shared" si="247"/>
        <v>26.429492970902494</v>
      </c>
      <c r="DB95" s="130">
        <f t="shared" si="247"/>
        <v>26.429492970902494</v>
      </c>
      <c r="DC95" s="130">
        <f t="shared" si="247"/>
        <v>26.429492970902494</v>
      </c>
      <c r="DD95" s="130">
        <f t="shared" si="247"/>
        <v>26.429492970902494</v>
      </c>
      <c r="DE95" s="130">
        <f t="shared" si="247"/>
        <v>26.429492970902494</v>
      </c>
      <c r="DF95" s="130">
        <f t="shared" si="247"/>
        <v>27.750967619447621</v>
      </c>
      <c r="DG95" s="130">
        <f t="shared" si="247"/>
        <v>27.750967619447621</v>
      </c>
      <c r="DH95" s="130">
        <f t="shared" si="247"/>
        <v>27.750967619447621</v>
      </c>
      <c r="DI95" s="130">
        <f t="shared" si="247"/>
        <v>27.750967619447621</v>
      </c>
      <c r="DJ95" s="130">
        <f t="shared" si="247"/>
        <v>27.750967619447621</v>
      </c>
      <c r="DK95" s="130">
        <f t="shared" si="247"/>
        <v>27.750967619447621</v>
      </c>
      <c r="DL95" s="130">
        <f t="shared" si="247"/>
        <v>27.750967619447621</v>
      </c>
      <c r="DM95" s="130">
        <f t="shared" si="247"/>
        <v>27.750967619447621</v>
      </c>
      <c r="DN95" s="130">
        <f t="shared" si="247"/>
        <v>27.750967619447621</v>
      </c>
      <c r="DO95" s="130">
        <f t="shared" si="247"/>
        <v>27.750967619447621</v>
      </c>
      <c r="DP95" s="130">
        <f t="shared" si="247"/>
        <v>27.750967619447621</v>
      </c>
      <c r="DQ95" s="130">
        <f t="shared" si="247"/>
        <v>27.750967619447621</v>
      </c>
      <c r="DR95" s="130">
        <f t="shared" ref="DR95" si="248">DQ95*(1+DR96)</f>
        <v>29.138516000420005</v>
      </c>
      <c r="DS95" s="130">
        <f t="shared" ref="DS95" si="249">DR95*(1+DS96)</f>
        <v>29.138516000420005</v>
      </c>
      <c r="DT95" s="130">
        <f t="shared" ref="DT95" si="250">DS95*(1+DT96)</f>
        <v>29.138516000420005</v>
      </c>
      <c r="DU95" s="130">
        <f t="shared" ref="DU95" si="251">DT95*(1+DU96)</f>
        <v>29.138516000420005</v>
      </c>
      <c r="DV95" s="130">
        <f t="shared" ref="DV95" si="252">DU95*(1+DV96)</f>
        <v>29.138516000420005</v>
      </c>
      <c r="DW95" s="130">
        <f t="shared" ref="DW95" si="253">DV95*(1+DW96)</f>
        <v>29.138516000420005</v>
      </c>
      <c r="DX95" s="130">
        <f t="shared" ref="DX95" si="254">DW95*(1+DX96)</f>
        <v>29.138516000420005</v>
      </c>
      <c r="DY95" s="130">
        <f t="shared" ref="DY95" si="255">DX95*(1+DY96)</f>
        <v>29.138516000420005</v>
      </c>
      <c r="DZ95" s="130">
        <f t="shared" ref="DZ95" si="256">DY95*(1+DZ96)</f>
        <v>29.138516000420005</v>
      </c>
      <c r="EA95" s="130">
        <f t="shared" ref="EA95" si="257">DZ95*(1+EA96)</f>
        <v>29.138516000420005</v>
      </c>
      <c r="EB95" s="130">
        <f t="shared" ref="EB95" si="258">EA95*(1+EB96)</f>
        <v>29.138516000420005</v>
      </c>
      <c r="EC95" s="130">
        <f t="shared" ref="EC95" si="259">EB95*(1+EC96)</f>
        <v>29.138516000420005</v>
      </c>
      <c r="ED95" s="113" t="s">
        <v>1</v>
      </c>
    </row>
    <row r="96" spans="1:134" x14ac:dyDescent="0.2">
      <c r="A96" s="698" t="s">
        <v>245</v>
      </c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9"/>
      <c r="AX96" s="129"/>
      <c r="AY96" s="129"/>
      <c r="AZ96" s="129"/>
      <c r="BA96" s="129"/>
      <c r="BB96" s="129"/>
      <c r="BC96" s="129"/>
      <c r="BD96" s="129"/>
      <c r="BE96" s="129"/>
      <c r="BF96" s="129"/>
      <c r="BG96" s="129"/>
      <c r="BH96" s="129"/>
      <c r="BI96" s="129"/>
      <c r="BJ96" s="129"/>
      <c r="BK96" s="129"/>
      <c r="BL96" s="129"/>
      <c r="BM96" s="129"/>
      <c r="BN96" s="129"/>
      <c r="BO96" s="129"/>
      <c r="BP96" s="129"/>
      <c r="BQ96" s="129"/>
      <c r="BR96" s="129"/>
      <c r="BS96" s="129"/>
      <c r="BT96" s="129"/>
      <c r="BU96" s="129"/>
      <c r="BV96" s="129"/>
      <c r="BW96" s="129"/>
      <c r="BX96" s="129"/>
      <c r="BY96" s="129"/>
      <c r="BZ96" s="129"/>
      <c r="CA96" s="129"/>
      <c r="CB96" s="129"/>
      <c r="CC96" s="129"/>
      <c r="CD96" s="129"/>
      <c r="CE96" s="129"/>
      <c r="CF96" s="129"/>
      <c r="CG96" s="129"/>
      <c r="CH96" s="129"/>
      <c r="CI96" s="129"/>
      <c r="CJ96" s="129"/>
      <c r="CK96" s="129"/>
      <c r="CL96" s="129"/>
      <c r="CM96" s="129"/>
      <c r="CN96" s="129"/>
      <c r="CO96" s="129"/>
      <c r="CP96" s="129"/>
      <c r="CQ96" s="129"/>
      <c r="CR96" s="129"/>
      <c r="CS96" s="129"/>
      <c r="CT96" s="701">
        <v>0.05</v>
      </c>
      <c r="CU96" s="130"/>
      <c r="CV96" s="130"/>
      <c r="CW96" s="130"/>
      <c r="CX96" s="130"/>
      <c r="CY96" s="130"/>
      <c r="CZ96" s="130"/>
      <c r="DA96" s="130"/>
      <c r="DB96" s="130"/>
      <c r="DC96" s="130"/>
      <c r="DD96" s="130"/>
      <c r="DE96" s="130"/>
      <c r="DF96" s="701">
        <v>0.05</v>
      </c>
      <c r="DG96" s="130"/>
      <c r="DH96" s="130"/>
      <c r="DI96" s="130"/>
      <c r="DJ96" s="130"/>
      <c r="DK96" s="130"/>
      <c r="DL96" s="130"/>
      <c r="DM96" s="130"/>
      <c r="DN96" s="130"/>
      <c r="DO96" s="130"/>
      <c r="DP96" s="130"/>
      <c r="DQ96" s="130"/>
      <c r="DR96" s="701">
        <v>0.05</v>
      </c>
      <c r="DS96" s="130"/>
      <c r="DT96" s="130"/>
      <c r="DU96" s="130"/>
      <c r="DV96" s="130"/>
      <c r="DW96" s="130"/>
      <c r="DX96" s="130"/>
      <c r="DY96" s="130"/>
      <c r="DZ96" s="130"/>
      <c r="EA96" s="130"/>
      <c r="EB96" s="130"/>
      <c r="EC96" s="130"/>
      <c r="ED96" s="113" t="s">
        <v>1</v>
      </c>
    </row>
    <row r="97" spans="1:134" x14ac:dyDescent="0.2">
      <c r="A97" s="698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/>
      <c r="AY97" s="129"/>
      <c r="AZ97" s="129"/>
      <c r="BA97" s="129"/>
      <c r="BB97" s="129"/>
      <c r="BC97" s="129"/>
      <c r="BD97" s="129"/>
      <c r="BE97" s="129"/>
      <c r="BF97" s="129"/>
      <c r="BG97" s="129"/>
      <c r="BH97" s="129"/>
      <c r="BI97" s="129"/>
      <c r="BJ97" s="129"/>
      <c r="BK97" s="129"/>
      <c r="BL97" s="129"/>
      <c r="BM97" s="129"/>
      <c r="BN97" s="129"/>
      <c r="BO97" s="129"/>
      <c r="BP97" s="129"/>
      <c r="BQ97" s="129"/>
      <c r="BR97" s="129"/>
      <c r="BS97" s="129"/>
      <c r="BT97" s="129"/>
      <c r="BU97" s="129"/>
      <c r="BV97" s="129"/>
      <c r="BW97" s="129"/>
      <c r="BX97" s="129"/>
      <c r="BY97" s="129"/>
      <c r="BZ97" s="129"/>
      <c r="CA97" s="129"/>
      <c r="CB97" s="129"/>
      <c r="CC97" s="129"/>
      <c r="CD97" s="129"/>
      <c r="CE97" s="129"/>
      <c r="CF97" s="129"/>
      <c r="CG97" s="129"/>
      <c r="CH97" s="129"/>
      <c r="CI97" s="129"/>
      <c r="CJ97" s="129"/>
      <c r="CK97" s="129"/>
      <c r="CL97" s="129"/>
      <c r="CM97" s="129"/>
      <c r="CN97" s="129"/>
      <c r="CO97" s="129"/>
      <c r="CP97" s="129"/>
      <c r="CQ97" s="129"/>
      <c r="CR97" s="129"/>
      <c r="CS97" s="129"/>
      <c r="CT97" s="702"/>
      <c r="CU97" s="130"/>
      <c r="CV97" s="130"/>
      <c r="CW97" s="130"/>
      <c r="CX97" s="130"/>
      <c r="CY97" s="130"/>
      <c r="CZ97" s="130"/>
      <c r="DA97" s="130"/>
      <c r="DB97" s="130"/>
      <c r="DC97" s="130"/>
      <c r="DD97" s="130"/>
      <c r="DE97" s="130"/>
      <c r="DF97" s="130"/>
      <c r="DG97" s="130"/>
      <c r="DH97" s="130"/>
      <c r="DI97" s="130"/>
      <c r="DJ97" s="130"/>
      <c r="DK97" s="130"/>
      <c r="DL97" s="130"/>
      <c r="DM97" s="130"/>
      <c r="DN97" s="130"/>
      <c r="DO97" s="130"/>
      <c r="DP97" s="130"/>
      <c r="DQ97" s="130"/>
      <c r="DR97" s="115"/>
      <c r="DS97" s="115"/>
      <c r="DT97" s="115"/>
      <c r="DU97" s="115"/>
      <c r="DV97" s="115"/>
      <c r="DW97" s="115"/>
      <c r="DX97" s="115"/>
      <c r="DY97" s="115"/>
      <c r="DZ97" s="115"/>
      <c r="EA97" s="115"/>
      <c r="EB97" s="115"/>
      <c r="EC97" s="115"/>
      <c r="ED97" s="113" t="s">
        <v>1</v>
      </c>
    </row>
    <row r="98" spans="1:134" x14ac:dyDescent="0.2">
      <c r="A98" s="698" t="s">
        <v>105</v>
      </c>
      <c r="B98" s="129">
        <f t="shared" ref="B98:AG98" si="260">B91/B50</f>
        <v>0</v>
      </c>
      <c r="C98" s="129">
        <f t="shared" si="260"/>
        <v>0</v>
      </c>
      <c r="D98" s="129">
        <f t="shared" si="260"/>
        <v>0</v>
      </c>
      <c r="E98" s="129">
        <f t="shared" si="260"/>
        <v>0</v>
      </c>
      <c r="F98" s="129">
        <f t="shared" si="260"/>
        <v>0</v>
      </c>
      <c r="G98" s="129">
        <f t="shared" si="260"/>
        <v>0</v>
      </c>
      <c r="H98" s="129">
        <f t="shared" si="260"/>
        <v>0</v>
      </c>
      <c r="I98" s="129">
        <f t="shared" si="260"/>
        <v>0</v>
      </c>
      <c r="J98" s="129">
        <f t="shared" si="260"/>
        <v>0</v>
      </c>
      <c r="K98" s="129">
        <f t="shared" si="260"/>
        <v>0</v>
      </c>
      <c r="L98" s="129">
        <f t="shared" si="260"/>
        <v>0</v>
      </c>
      <c r="M98" s="129">
        <f t="shared" si="260"/>
        <v>0</v>
      </c>
      <c r="N98" s="129">
        <f t="shared" si="260"/>
        <v>0</v>
      </c>
      <c r="O98" s="129">
        <f t="shared" si="260"/>
        <v>0</v>
      </c>
      <c r="P98" s="129">
        <f t="shared" si="260"/>
        <v>1.7314495960614353</v>
      </c>
      <c r="Q98" s="129">
        <f t="shared" si="260"/>
        <v>3.4397106670576569</v>
      </c>
      <c r="R98" s="129">
        <f t="shared" si="260"/>
        <v>1.5846102651052973</v>
      </c>
      <c r="S98" s="129">
        <f t="shared" si="260"/>
        <v>0</v>
      </c>
      <c r="T98" s="129">
        <f t="shared" si="260"/>
        <v>0.48379715387800465</v>
      </c>
      <c r="U98" s="129">
        <f t="shared" si="260"/>
        <v>0</v>
      </c>
      <c r="V98" s="129">
        <f t="shared" si="260"/>
        <v>5.5306495192380262E-2</v>
      </c>
      <c r="W98" s="129">
        <f t="shared" si="260"/>
        <v>0</v>
      </c>
      <c r="X98" s="129">
        <f t="shared" si="260"/>
        <v>0.18644293514449328</v>
      </c>
      <c r="Y98" s="129">
        <f t="shared" si="260"/>
        <v>0.20007795244900611</v>
      </c>
      <c r="Z98" s="129">
        <f t="shared" si="260"/>
        <v>0</v>
      </c>
      <c r="AA98" s="129">
        <f t="shared" si="260"/>
        <v>0</v>
      </c>
      <c r="AB98" s="129">
        <f t="shared" si="260"/>
        <v>0</v>
      </c>
      <c r="AC98" s="129">
        <f t="shared" si="260"/>
        <v>0</v>
      </c>
      <c r="AD98" s="129">
        <f t="shared" si="260"/>
        <v>0</v>
      </c>
      <c r="AE98" s="129">
        <f t="shared" si="260"/>
        <v>0</v>
      </c>
      <c r="AF98" s="129">
        <f t="shared" si="260"/>
        <v>26.062498356690242</v>
      </c>
      <c r="AG98" s="129">
        <f t="shared" si="260"/>
        <v>0.51861865316766376</v>
      </c>
      <c r="AH98" s="129">
        <f t="shared" ref="AH98:BM98" si="261">AH91/AH50</f>
        <v>9.7030157109550004</v>
      </c>
      <c r="AI98" s="129">
        <f t="shared" si="261"/>
        <v>10.487993293011558</v>
      </c>
      <c r="AJ98" s="129">
        <f t="shared" si="261"/>
        <v>14.437180752263757</v>
      </c>
      <c r="AK98" s="129">
        <f t="shared" si="261"/>
        <v>8.9822135403279706</v>
      </c>
      <c r="AL98" s="129">
        <f t="shared" si="261"/>
        <v>13.369110811977752</v>
      </c>
      <c r="AM98" s="129">
        <f t="shared" si="261"/>
        <v>9.1239193083573493</v>
      </c>
      <c r="AN98" s="129">
        <f t="shared" si="261"/>
        <v>10.898590349835279</v>
      </c>
      <c r="AO98" s="129">
        <f t="shared" si="261"/>
        <v>9.6927521493944724</v>
      </c>
      <c r="AP98" s="129">
        <f t="shared" si="261"/>
        <v>13.229167283822614</v>
      </c>
      <c r="AQ98" s="129">
        <f t="shared" si="261"/>
        <v>16.626051699546466</v>
      </c>
      <c r="AR98" s="129">
        <f t="shared" si="261"/>
        <v>25.141278391736545</v>
      </c>
      <c r="AS98" s="129">
        <f t="shared" si="261"/>
        <v>16.673984601257327</v>
      </c>
      <c r="AT98" s="129">
        <f t="shared" si="261"/>
        <v>16.476226640891099</v>
      </c>
      <c r="AU98" s="129">
        <f t="shared" si="261"/>
        <v>16.384530950861517</v>
      </c>
      <c r="AV98" s="129">
        <f t="shared" si="261"/>
        <v>18.017903243910652</v>
      </c>
      <c r="AW98" s="129">
        <f t="shared" si="261"/>
        <v>16.938398484801439</v>
      </c>
      <c r="AX98" s="129">
        <f t="shared" si="261"/>
        <v>12.888198546308749</v>
      </c>
      <c r="AY98" s="129">
        <f t="shared" si="261"/>
        <v>12.994820425876094</v>
      </c>
      <c r="AZ98" s="129">
        <f t="shared" si="261"/>
        <v>14.246977145120331</v>
      </c>
      <c r="BA98" s="129">
        <f t="shared" si="261"/>
        <v>13.054415446475987</v>
      </c>
      <c r="BB98" s="129">
        <f t="shared" si="261"/>
        <v>14.085272013058061</v>
      </c>
      <c r="BC98" s="129">
        <f t="shared" si="261"/>
        <v>13.715894126942322</v>
      </c>
      <c r="BD98" s="129">
        <f t="shared" si="261"/>
        <v>13.706900219842565</v>
      </c>
      <c r="BE98" s="129">
        <f t="shared" si="261"/>
        <v>15.830025197106396</v>
      </c>
      <c r="BF98" s="129">
        <f t="shared" si="261"/>
        <v>15.564617976516583</v>
      </c>
      <c r="BG98" s="129">
        <f t="shared" si="261"/>
        <v>15.54918366161176</v>
      </c>
      <c r="BH98" s="129">
        <f t="shared" si="261"/>
        <v>15.839380335590226</v>
      </c>
      <c r="BI98" s="129">
        <f t="shared" si="261"/>
        <v>15.708333989883869</v>
      </c>
      <c r="BJ98" s="129">
        <f t="shared" si="261"/>
        <v>16.467031384969768</v>
      </c>
      <c r="BK98" s="129">
        <f t="shared" si="261"/>
        <v>17.411488332776347</v>
      </c>
      <c r="BL98" s="129">
        <f t="shared" si="261"/>
        <v>17.483904715918236</v>
      </c>
      <c r="BM98" s="129">
        <f t="shared" si="261"/>
        <v>17.483490939827778</v>
      </c>
      <c r="BN98" s="129">
        <f t="shared" ref="BN98:CS98" si="262">BN91/BN50</f>
        <v>17.371499854665245</v>
      </c>
      <c r="BO98" s="129">
        <f t="shared" si="262"/>
        <v>17.050682355210494</v>
      </c>
      <c r="BP98" s="129">
        <f t="shared" si="262"/>
        <v>17.068044788975023</v>
      </c>
      <c r="BQ98" s="129">
        <f t="shared" si="262"/>
        <v>16.190366177659698</v>
      </c>
      <c r="BR98" s="129">
        <f t="shared" si="262"/>
        <v>16.776151431682788</v>
      </c>
      <c r="BS98" s="129">
        <f t="shared" si="262"/>
        <v>16.74167556213629</v>
      </c>
      <c r="BT98" s="129">
        <f t="shared" si="262"/>
        <v>16.712029849751808</v>
      </c>
      <c r="BU98" s="129">
        <f t="shared" si="262"/>
        <v>16.54002872315554</v>
      </c>
      <c r="BV98" s="129">
        <f t="shared" si="262"/>
        <v>16.597672644028997</v>
      </c>
      <c r="BW98" s="129">
        <f t="shared" si="262"/>
        <v>16.649464073044857</v>
      </c>
      <c r="BX98" s="129">
        <f t="shared" si="262"/>
        <v>16.782305487426495</v>
      </c>
      <c r="BY98" s="129">
        <f t="shared" si="262"/>
        <v>16.68965034965035</v>
      </c>
      <c r="BZ98" s="129">
        <f t="shared" si="262"/>
        <v>16.907774901735213</v>
      </c>
      <c r="CA98" s="129">
        <f t="shared" si="262"/>
        <v>17.277018229166668</v>
      </c>
      <c r="CB98" s="129">
        <f t="shared" si="262"/>
        <v>16.968325791855204</v>
      </c>
      <c r="CC98" s="129">
        <f t="shared" si="262"/>
        <v>16.663210992139629</v>
      </c>
      <c r="CD98" s="129">
        <f t="shared" si="262"/>
        <v>16.415743217424531</v>
      </c>
      <c r="CE98" s="129">
        <f t="shared" si="262"/>
        <v>15.968562278920819</v>
      </c>
      <c r="CF98" s="129">
        <f t="shared" si="262"/>
        <v>15.873418577904067</v>
      </c>
      <c r="CG98" s="129">
        <f t="shared" si="262"/>
        <v>15.813510433729791</v>
      </c>
      <c r="CH98" s="129">
        <f t="shared" si="262"/>
        <v>16.047415904637493</v>
      </c>
      <c r="CI98" s="129">
        <f t="shared" si="262"/>
        <v>15.945367055923947</v>
      </c>
      <c r="CJ98" s="129">
        <f t="shared" si="262"/>
        <v>16.536249684529317</v>
      </c>
      <c r="CK98" s="129">
        <f t="shared" si="262"/>
        <v>16.197617305883583</v>
      </c>
      <c r="CL98" s="129">
        <f t="shared" si="262"/>
        <v>16.357246344003261</v>
      </c>
      <c r="CM98" s="129">
        <f t="shared" si="262"/>
        <v>16.288369801928859</v>
      </c>
      <c r="CN98" s="129">
        <f t="shared" si="262"/>
        <v>16.279506260074633</v>
      </c>
      <c r="CO98" s="129">
        <f t="shared" si="262"/>
        <v>16.045697308386092</v>
      </c>
      <c r="CP98" s="129">
        <f t="shared" si="262"/>
        <v>16.159455051328791</v>
      </c>
      <c r="CQ98" s="129">
        <f t="shared" si="262"/>
        <v>16.079189655756018</v>
      </c>
      <c r="CR98" s="129">
        <f t="shared" si="262"/>
        <v>16.160466513337386</v>
      </c>
      <c r="CS98" s="129">
        <f t="shared" si="262"/>
        <v>16.310893844441352</v>
      </c>
      <c r="CT98" s="130">
        <f>SUM(CH91:CS91)/SUM($CH$50:$CS$50)*(1+CT99)</f>
        <v>17.000646585249914</v>
      </c>
      <c r="CU98" s="130">
        <f t="shared" ref="CU98:DQ98" si="263">CT98*(1+CU99)</f>
        <v>17.000646585249914</v>
      </c>
      <c r="CV98" s="130">
        <f t="shared" si="263"/>
        <v>17.000646585249914</v>
      </c>
      <c r="CW98" s="130">
        <f t="shared" si="263"/>
        <v>17.000646585249914</v>
      </c>
      <c r="CX98" s="130">
        <f t="shared" si="263"/>
        <v>17.000646585249914</v>
      </c>
      <c r="CY98" s="130">
        <f t="shared" si="263"/>
        <v>17.000646585249914</v>
      </c>
      <c r="CZ98" s="130">
        <f t="shared" si="263"/>
        <v>17.000646585249914</v>
      </c>
      <c r="DA98" s="130">
        <f t="shared" si="263"/>
        <v>17.000646585249914</v>
      </c>
      <c r="DB98" s="130">
        <f t="shared" si="263"/>
        <v>17.000646585249914</v>
      </c>
      <c r="DC98" s="130">
        <f t="shared" si="263"/>
        <v>17.000646585249914</v>
      </c>
      <c r="DD98" s="130">
        <f t="shared" si="263"/>
        <v>17.000646585249914</v>
      </c>
      <c r="DE98" s="130">
        <f t="shared" si="263"/>
        <v>17.000646585249914</v>
      </c>
      <c r="DF98" s="130">
        <f t="shared" si="263"/>
        <v>17.850678914512411</v>
      </c>
      <c r="DG98" s="130">
        <f t="shared" si="263"/>
        <v>17.850678914512411</v>
      </c>
      <c r="DH98" s="130">
        <f t="shared" si="263"/>
        <v>17.850678914512411</v>
      </c>
      <c r="DI98" s="130">
        <f t="shared" si="263"/>
        <v>17.850678914512411</v>
      </c>
      <c r="DJ98" s="130">
        <f t="shared" si="263"/>
        <v>17.850678914512411</v>
      </c>
      <c r="DK98" s="130">
        <f t="shared" si="263"/>
        <v>17.850678914512411</v>
      </c>
      <c r="DL98" s="130">
        <f t="shared" si="263"/>
        <v>17.850678914512411</v>
      </c>
      <c r="DM98" s="130">
        <f t="shared" si="263"/>
        <v>17.850678914512411</v>
      </c>
      <c r="DN98" s="130">
        <f t="shared" si="263"/>
        <v>17.850678914512411</v>
      </c>
      <c r="DO98" s="130">
        <f t="shared" si="263"/>
        <v>17.850678914512411</v>
      </c>
      <c r="DP98" s="130">
        <f t="shared" si="263"/>
        <v>17.850678914512411</v>
      </c>
      <c r="DQ98" s="130">
        <f t="shared" si="263"/>
        <v>17.850678914512411</v>
      </c>
      <c r="DR98" s="130">
        <f t="shared" ref="DR98" si="264">DQ98*(1+DR99)</f>
        <v>18.743212860238032</v>
      </c>
      <c r="DS98" s="130">
        <f t="shared" ref="DS98" si="265">DR98*(1+DS99)</f>
        <v>18.743212860238032</v>
      </c>
      <c r="DT98" s="130">
        <f t="shared" ref="DT98" si="266">DS98*(1+DT99)</f>
        <v>18.743212860238032</v>
      </c>
      <c r="DU98" s="130">
        <f t="shared" ref="DU98" si="267">DT98*(1+DU99)</f>
        <v>18.743212860238032</v>
      </c>
      <c r="DV98" s="130">
        <f t="shared" ref="DV98" si="268">DU98*(1+DV99)</f>
        <v>18.743212860238032</v>
      </c>
      <c r="DW98" s="130">
        <f t="shared" ref="DW98" si="269">DV98*(1+DW99)</f>
        <v>18.743212860238032</v>
      </c>
      <c r="DX98" s="130">
        <f t="shared" ref="DX98" si="270">DW98*(1+DX99)</f>
        <v>18.743212860238032</v>
      </c>
      <c r="DY98" s="130">
        <f t="shared" ref="DY98" si="271">DX98*(1+DY99)</f>
        <v>18.743212860238032</v>
      </c>
      <c r="DZ98" s="130">
        <f t="shared" ref="DZ98" si="272">DY98*(1+DZ99)</f>
        <v>18.743212860238032</v>
      </c>
      <c r="EA98" s="130">
        <f t="shared" ref="EA98" si="273">DZ98*(1+EA99)</f>
        <v>18.743212860238032</v>
      </c>
      <c r="EB98" s="130">
        <f t="shared" ref="EB98" si="274">EA98*(1+EB99)</f>
        <v>18.743212860238032</v>
      </c>
      <c r="EC98" s="130">
        <f t="shared" ref="EC98" si="275">EB98*(1+EC99)</f>
        <v>18.743212860238032</v>
      </c>
      <c r="ED98" s="113" t="s">
        <v>1</v>
      </c>
    </row>
    <row r="99" spans="1:134" x14ac:dyDescent="0.2">
      <c r="A99" s="698" t="s">
        <v>176</v>
      </c>
      <c r="B99" s="115"/>
      <c r="C99" s="133">
        <f>C89/B89-1</f>
        <v>7.181385527180395E-2</v>
      </c>
      <c r="D99" s="133">
        <f t="shared" ref="D99:BO99" si="276">D89/C89-1</f>
        <v>0.13885883866077986</v>
      </c>
      <c r="E99" s="133">
        <f t="shared" si="276"/>
        <v>0.10261461364849933</v>
      </c>
      <c r="F99" s="133">
        <f t="shared" si="276"/>
        <v>9.3866266817768773E-2</v>
      </c>
      <c r="G99" s="133">
        <f t="shared" si="276"/>
        <v>9.3622224300597523E-2</v>
      </c>
      <c r="H99" s="133">
        <f t="shared" si="276"/>
        <v>-1.8168604411196054E-2</v>
      </c>
      <c r="I99" s="133">
        <f t="shared" si="276"/>
        <v>9.3754928960748884E-2</v>
      </c>
      <c r="J99" s="133">
        <f t="shared" si="276"/>
        <v>-0.23431737210575854</v>
      </c>
      <c r="K99" s="133">
        <f t="shared" si="276"/>
        <v>3.7312084272343116E-2</v>
      </c>
      <c r="L99" s="133">
        <f t="shared" si="276"/>
        <v>0.36541137930887646</v>
      </c>
      <c r="M99" s="133">
        <f t="shared" si="276"/>
        <v>3.7357199298786892E-2</v>
      </c>
      <c r="N99" s="133">
        <f t="shared" si="276"/>
        <v>0.11062014747494464</v>
      </c>
      <c r="O99" s="133">
        <f t="shared" si="276"/>
        <v>0.13160562240634799</v>
      </c>
      <c r="P99" s="133">
        <f t="shared" si="276"/>
        <v>3.2897303574574099E-2</v>
      </c>
      <c r="Q99" s="133">
        <f t="shared" si="276"/>
        <v>-6.0728923092600584E-2</v>
      </c>
      <c r="R99" s="133">
        <f t="shared" si="276"/>
        <v>1.215405462050656E-2</v>
      </c>
      <c r="S99" s="133">
        <f t="shared" si="276"/>
        <v>-5.0589476024756386E-2</v>
      </c>
      <c r="T99" s="133">
        <f t="shared" si="276"/>
        <v>5.4382663981920931E-2</v>
      </c>
      <c r="U99" s="133">
        <f t="shared" si="276"/>
        <v>0.11502452063252999</v>
      </c>
      <c r="V99" s="133">
        <f t="shared" si="276"/>
        <v>1.2217881384685381E-2</v>
      </c>
      <c r="W99" s="133">
        <f t="shared" si="276"/>
        <v>4.3379604074668787E-2</v>
      </c>
      <c r="X99" s="133">
        <f t="shared" si="276"/>
        <v>4.9325439349283684E-2</v>
      </c>
      <c r="Y99" s="133">
        <f t="shared" si="276"/>
        <v>-1.4072317089313779E-2</v>
      </c>
      <c r="Z99" s="133">
        <f t="shared" si="276"/>
        <v>-5.6711037907433148E-2</v>
      </c>
      <c r="AA99" s="133">
        <f t="shared" si="276"/>
        <v>1.1839313959016717E-2</v>
      </c>
      <c r="AB99" s="133">
        <f t="shared" si="276"/>
        <v>2.1993798738106918E-4</v>
      </c>
      <c r="AC99" s="133">
        <f t="shared" si="276"/>
        <v>-2.8019758870862943E-2</v>
      </c>
      <c r="AD99" s="133">
        <f t="shared" si="276"/>
        <v>0.11737501365003244</v>
      </c>
      <c r="AE99" s="133">
        <f t="shared" si="276"/>
        <v>-0.19503139421855986</v>
      </c>
      <c r="AF99" s="133">
        <f t="shared" si="276"/>
        <v>-2.6670501811431047E-3</v>
      </c>
      <c r="AG99" s="133">
        <f t="shared" si="276"/>
        <v>8.5879693208584795E-2</v>
      </c>
      <c r="AH99" s="133">
        <f t="shared" si="276"/>
        <v>-0.1570237523377751</v>
      </c>
      <c r="AI99" s="133">
        <f t="shared" si="276"/>
        <v>0.18897353491082369</v>
      </c>
      <c r="AJ99" s="133">
        <f t="shared" si="276"/>
        <v>-8.878712801824884E-2</v>
      </c>
      <c r="AK99" s="133">
        <f t="shared" si="276"/>
        <v>1.3376516786529846E-2</v>
      </c>
      <c r="AL99" s="133">
        <f t="shared" si="276"/>
        <v>9.4073938200680107E-2</v>
      </c>
      <c r="AM99" s="133">
        <f t="shared" si="276"/>
        <v>-7.1376417792349045E-2</v>
      </c>
      <c r="AN99" s="133">
        <f t="shared" si="276"/>
        <v>1.1810534893713198E-2</v>
      </c>
      <c r="AO99" s="133">
        <f t="shared" si="276"/>
        <v>-5.7961098828234192E-3</v>
      </c>
      <c r="AP99" s="133">
        <f t="shared" si="276"/>
        <v>0.1823115905013224</v>
      </c>
      <c r="AQ99" s="133">
        <f t="shared" si="276"/>
        <v>9.0478206752207413E-2</v>
      </c>
      <c r="AR99" s="133">
        <f t="shared" si="276"/>
        <v>-3.1588229288656233E-2</v>
      </c>
      <c r="AS99" s="133">
        <f t="shared" si="276"/>
        <v>0.10241455526322207</v>
      </c>
      <c r="AT99" s="133">
        <f t="shared" si="276"/>
        <v>1.3595954503221597E-2</v>
      </c>
      <c r="AU99" s="133">
        <f t="shared" si="276"/>
        <v>-1.7688797975843551E-2</v>
      </c>
      <c r="AV99" s="133">
        <f t="shared" si="276"/>
        <v>-6.5322644850714817E-2</v>
      </c>
      <c r="AW99" s="133">
        <f t="shared" si="276"/>
        <v>7.980687328289382E-2</v>
      </c>
      <c r="AX99" s="133">
        <f t="shared" si="276"/>
        <v>-3.1744526373846282E-2</v>
      </c>
      <c r="AY99" s="133">
        <f t="shared" si="276"/>
        <v>7.8226120660196408E-4</v>
      </c>
      <c r="AZ99" s="133">
        <f t="shared" si="276"/>
        <v>5.090737812958368E-2</v>
      </c>
      <c r="BA99" s="133">
        <f t="shared" si="276"/>
        <v>-1.6854319548858965E-2</v>
      </c>
      <c r="BB99" s="133">
        <f t="shared" si="276"/>
        <v>0.20559897181149545</v>
      </c>
      <c r="BC99" s="133">
        <f t="shared" si="276"/>
        <v>-2.3401564741437841E-2</v>
      </c>
      <c r="BD99" s="133">
        <f t="shared" si="276"/>
        <v>3.9439348163904597E-2</v>
      </c>
      <c r="BE99" s="133">
        <f t="shared" si="276"/>
        <v>-4.0422081981743574E-3</v>
      </c>
      <c r="BF99" s="133">
        <f t="shared" si="276"/>
        <v>-5.8222497412123708E-3</v>
      </c>
      <c r="BG99" s="133">
        <f t="shared" si="276"/>
        <v>-1.7542138214642788E-2</v>
      </c>
      <c r="BH99" s="133">
        <f t="shared" si="276"/>
        <v>-2.3992464625976817E-2</v>
      </c>
      <c r="BI99" s="133">
        <f t="shared" si="276"/>
        <v>-0.10991366628220545</v>
      </c>
      <c r="BJ99" s="133">
        <f t="shared" si="276"/>
        <v>-1.8746348859600581E-2</v>
      </c>
      <c r="BK99" s="133">
        <f t="shared" si="276"/>
        <v>-7.5382775225730225E-2</v>
      </c>
      <c r="BL99" s="133">
        <f t="shared" si="276"/>
        <v>-6.6628852974475739E-2</v>
      </c>
      <c r="BM99" s="133">
        <f t="shared" si="276"/>
        <v>6.443699477998166E-4</v>
      </c>
      <c r="BN99" s="133">
        <f t="shared" si="276"/>
        <v>0.24354190233716078</v>
      </c>
      <c r="BO99" s="133">
        <f t="shared" si="276"/>
        <v>-0.11226436300730869</v>
      </c>
      <c r="BP99" s="133">
        <f t="shared" ref="BP99:CS99" si="277">BP89/BO89-1</f>
        <v>-0.15833774054895</v>
      </c>
      <c r="BQ99" s="133">
        <f t="shared" si="277"/>
        <v>7.129188863621172E-2</v>
      </c>
      <c r="BR99" s="133">
        <f t="shared" si="277"/>
        <v>-0.10591710232321871</v>
      </c>
      <c r="BS99" s="133">
        <f t="shared" si="277"/>
        <v>-0.17046055194401322</v>
      </c>
      <c r="BT99" s="133">
        <f t="shared" si="277"/>
        <v>0.1598170066432647</v>
      </c>
      <c r="BU99" s="133">
        <f t="shared" si="277"/>
        <v>6.0539642000252858E-2</v>
      </c>
      <c r="BV99" s="133">
        <f t="shared" si="277"/>
        <v>-7.4499644024598966E-2</v>
      </c>
      <c r="BW99" s="133">
        <f t="shared" si="277"/>
        <v>0.35440796100899341</v>
      </c>
      <c r="BX99" s="133">
        <f t="shared" si="277"/>
        <v>-0.13533480068793569</v>
      </c>
      <c r="BY99" s="133">
        <f t="shared" si="277"/>
        <v>0.102280611774062</v>
      </c>
      <c r="BZ99" s="133">
        <f t="shared" si="277"/>
        <v>-0.11532952542335329</v>
      </c>
      <c r="CA99" s="133">
        <f t="shared" si="277"/>
        <v>5.9231666346587719E-2</v>
      </c>
      <c r="CB99" s="133">
        <f t="shared" si="277"/>
        <v>-6.8519831599834546E-2</v>
      </c>
      <c r="CC99" s="133">
        <f t="shared" si="277"/>
        <v>7.0087717425853624E-2</v>
      </c>
      <c r="CD99" s="133">
        <f t="shared" si="277"/>
        <v>7.1986585300302774E-2</v>
      </c>
      <c r="CE99" s="133">
        <f t="shared" si="277"/>
        <v>3.1576957012171336E-2</v>
      </c>
      <c r="CF99" s="133">
        <f t="shared" si="277"/>
        <v>3.4358261329584527E-2</v>
      </c>
      <c r="CG99" s="133">
        <f t="shared" si="277"/>
        <v>8.3755055861866712E-2</v>
      </c>
      <c r="CH99" s="133">
        <f t="shared" si="277"/>
        <v>-2.0565455291729595E-2</v>
      </c>
      <c r="CI99" s="133">
        <f t="shared" si="277"/>
        <v>-1.9906203178886916E-2</v>
      </c>
      <c r="CJ99" s="133">
        <f t="shared" si="277"/>
        <v>5.1463524999016963E-2</v>
      </c>
      <c r="CK99" s="133">
        <f t="shared" si="277"/>
        <v>4.4269683125008008E-2</v>
      </c>
      <c r="CL99" s="133">
        <f t="shared" si="277"/>
        <v>-2.7741827986354495E-2</v>
      </c>
      <c r="CM99" s="133">
        <f t="shared" si="277"/>
        <v>-4.2378295400409272E-3</v>
      </c>
      <c r="CN99" s="133">
        <f t="shared" si="277"/>
        <v>0.11444452782357684</v>
      </c>
      <c r="CO99" s="133">
        <f t="shared" si="277"/>
        <v>0.15211420077238214</v>
      </c>
      <c r="CP99" s="133">
        <f t="shared" si="277"/>
        <v>-5.4107542160878097E-2</v>
      </c>
      <c r="CQ99" s="133">
        <f t="shared" si="277"/>
        <v>-9.1771656845515026E-2</v>
      </c>
      <c r="CR99" s="133">
        <f t="shared" si="277"/>
        <v>5.6646986862828985E-2</v>
      </c>
      <c r="CS99" s="133">
        <f t="shared" si="277"/>
        <v>-9.594921910161891E-2</v>
      </c>
      <c r="CT99" s="701">
        <v>0.05</v>
      </c>
      <c r="CU99" s="133"/>
      <c r="CV99" s="133"/>
      <c r="CW99" s="133"/>
      <c r="CX99" s="133"/>
      <c r="CY99" s="133"/>
      <c r="CZ99" s="133"/>
      <c r="DA99" s="133"/>
      <c r="DB99" s="133"/>
      <c r="DC99" s="133"/>
      <c r="DD99" s="133"/>
      <c r="DE99" s="133"/>
      <c r="DF99" s="701">
        <v>0.05</v>
      </c>
      <c r="DG99" s="133"/>
      <c r="DH99" s="133"/>
      <c r="DI99" s="133"/>
      <c r="DJ99" s="133"/>
      <c r="DK99" s="133"/>
      <c r="DL99" s="133"/>
      <c r="DM99" s="133"/>
      <c r="DN99" s="133"/>
      <c r="DO99" s="133"/>
      <c r="DP99" s="133"/>
      <c r="DQ99" s="133"/>
      <c r="DR99" s="701">
        <v>0.05</v>
      </c>
      <c r="DS99" s="133"/>
      <c r="DT99" s="133"/>
      <c r="DU99" s="133"/>
      <c r="DV99" s="133"/>
      <c r="DW99" s="133"/>
      <c r="DX99" s="133"/>
      <c r="DY99" s="133"/>
      <c r="DZ99" s="133"/>
      <c r="EA99" s="133"/>
      <c r="EB99" s="133"/>
      <c r="EC99" s="133"/>
      <c r="ED99" s="113" t="s">
        <v>1</v>
      </c>
    </row>
    <row r="100" spans="1:134" x14ac:dyDescent="0.2">
      <c r="A100" s="698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5"/>
      <c r="AK100" s="115"/>
      <c r="AL100" s="115"/>
      <c r="AM100" s="115"/>
      <c r="AN100" s="115"/>
      <c r="AO100" s="115"/>
      <c r="AP100" s="115"/>
      <c r="AQ100" s="115"/>
      <c r="AR100" s="115"/>
      <c r="AS100" s="115"/>
      <c r="AT100" s="115"/>
      <c r="AU100" s="115"/>
      <c r="AV100" s="115"/>
      <c r="AW100" s="115"/>
      <c r="AX100" s="115"/>
      <c r="AY100" s="115"/>
      <c r="AZ100" s="115"/>
      <c r="BA100" s="115"/>
      <c r="BB100" s="115"/>
      <c r="BC100" s="115"/>
      <c r="BD100" s="115"/>
      <c r="BE100" s="115"/>
      <c r="BF100" s="115"/>
      <c r="BG100" s="115"/>
      <c r="BH100" s="115"/>
      <c r="BI100" s="115"/>
      <c r="BJ100" s="115"/>
      <c r="BK100" s="115"/>
      <c r="BL100" s="115"/>
      <c r="BM100" s="115"/>
      <c r="BN100" s="115"/>
      <c r="BO100" s="115"/>
      <c r="BP100" s="115"/>
      <c r="BQ100" s="115"/>
      <c r="BR100" s="115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115"/>
      <c r="CD100" s="115"/>
      <c r="CE100" s="115"/>
      <c r="CF100" s="115"/>
      <c r="CG100" s="115"/>
      <c r="CH100" s="115"/>
      <c r="CI100" s="115"/>
      <c r="CJ100" s="115"/>
      <c r="CK100" s="115"/>
      <c r="CL100" s="115"/>
      <c r="CM100" s="115"/>
      <c r="CN100" s="115"/>
      <c r="CO100" s="115"/>
      <c r="CP100" s="115"/>
      <c r="CQ100" s="115"/>
      <c r="CR100" s="129"/>
      <c r="CS100" s="115"/>
      <c r="CT100" s="115"/>
      <c r="CU100" s="115"/>
      <c r="CV100" s="133"/>
      <c r="CW100" s="133"/>
      <c r="CX100" s="115"/>
      <c r="CY100" s="115"/>
      <c r="CZ100" s="133"/>
      <c r="DA100" s="133"/>
      <c r="DB100" s="115"/>
      <c r="DC100" s="115"/>
      <c r="DD100" s="133"/>
      <c r="DE100" s="133"/>
      <c r="DF100" s="115"/>
      <c r="DG100" s="115"/>
      <c r="DH100" s="133"/>
      <c r="DI100" s="133"/>
      <c r="DJ100" s="115"/>
      <c r="DK100" s="115"/>
      <c r="DL100" s="133"/>
      <c r="DM100" s="133"/>
      <c r="DN100" s="115"/>
      <c r="DO100" s="115"/>
      <c r="DP100" s="133"/>
      <c r="DQ100" s="133"/>
      <c r="DR100" s="115"/>
      <c r="DS100" s="115"/>
      <c r="DT100" s="115"/>
      <c r="DU100" s="115"/>
      <c r="DV100" s="115"/>
      <c r="DW100" s="115"/>
      <c r="DX100" s="115"/>
      <c r="DY100" s="115"/>
      <c r="DZ100" s="115"/>
      <c r="EA100" s="115"/>
      <c r="EB100" s="115"/>
      <c r="EC100" s="115"/>
      <c r="ED100" s="113" t="s">
        <v>1</v>
      </c>
    </row>
    <row r="101" spans="1:134" x14ac:dyDescent="0.2">
      <c r="A101" s="700" t="s">
        <v>106</v>
      </c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5"/>
      <c r="BL101" s="115"/>
      <c r="BM101" s="115"/>
      <c r="BN101" s="115"/>
      <c r="BO101" s="115"/>
      <c r="BP101" s="115"/>
      <c r="BQ101" s="115"/>
      <c r="BR101" s="115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115"/>
      <c r="CD101" s="115"/>
      <c r="CE101" s="115"/>
      <c r="CF101" s="115"/>
      <c r="CG101" s="115"/>
      <c r="CH101" s="115"/>
      <c r="CI101" s="115"/>
      <c r="CJ101" s="115"/>
      <c r="CK101" s="115"/>
      <c r="CL101" s="115"/>
      <c r="CM101" s="115"/>
      <c r="CN101" s="115"/>
      <c r="CO101" s="115"/>
      <c r="CP101" s="115"/>
      <c r="CQ101" s="115"/>
      <c r="CR101" s="129"/>
      <c r="CS101" s="115"/>
      <c r="CT101" s="115"/>
      <c r="CU101" s="115"/>
      <c r="CV101" s="133"/>
      <c r="CW101" s="133"/>
      <c r="CX101" s="115"/>
      <c r="CY101" s="115"/>
      <c r="CZ101" s="133"/>
      <c r="DA101" s="133"/>
      <c r="DB101" s="115"/>
      <c r="DC101" s="115"/>
      <c r="DD101" s="133"/>
      <c r="DE101" s="133"/>
      <c r="DF101" s="115"/>
      <c r="DG101" s="115"/>
      <c r="DH101" s="133"/>
      <c r="DI101" s="133"/>
      <c r="DJ101" s="115"/>
      <c r="DK101" s="115"/>
      <c r="DL101" s="133"/>
      <c r="DM101" s="133"/>
      <c r="DN101" s="115"/>
      <c r="DO101" s="115"/>
      <c r="DP101" s="133"/>
      <c r="DQ101" s="133"/>
      <c r="DR101" s="115"/>
      <c r="DS101" s="115"/>
      <c r="DT101" s="115"/>
      <c r="DU101" s="115"/>
      <c r="DV101" s="115"/>
      <c r="DW101" s="115"/>
      <c r="DX101" s="115"/>
      <c r="DY101" s="115"/>
      <c r="DZ101" s="115"/>
      <c r="EA101" s="115"/>
      <c r="EB101" s="115"/>
      <c r="EC101" s="115"/>
      <c r="ED101" s="113" t="s">
        <v>1</v>
      </c>
    </row>
    <row r="102" spans="1:134" x14ac:dyDescent="0.2">
      <c r="A102" s="712" t="s">
        <v>72</v>
      </c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115"/>
      <c r="AT102" s="115"/>
      <c r="AU102" s="115"/>
      <c r="AV102" s="115"/>
      <c r="AW102" s="115"/>
      <c r="AX102" s="115"/>
      <c r="AY102" s="115"/>
      <c r="AZ102" s="115"/>
      <c r="BA102" s="115"/>
      <c r="BB102" s="115"/>
      <c r="BC102" s="115"/>
      <c r="BD102" s="115"/>
      <c r="BE102" s="115"/>
      <c r="BF102" s="115"/>
      <c r="BG102" s="115"/>
      <c r="BH102" s="115"/>
      <c r="BI102" s="115"/>
      <c r="BJ102" s="115"/>
      <c r="BK102" s="115"/>
      <c r="BL102" s="115"/>
      <c r="BM102" s="115"/>
      <c r="BN102" s="115"/>
      <c r="BO102" s="115"/>
      <c r="BP102" s="115"/>
      <c r="BQ102" s="115"/>
      <c r="BR102" s="115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115"/>
      <c r="CD102" s="115"/>
      <c r="CE102" s="115"/>
      <c r="CF102" s="115"/>
      <c r="CG102" s="115"/>
      <c r="CH102" s="115"/>
      <c r="CI102" s="115"/>
      <c r="CJ102" s="115"/>
      <c r="CK102" s="115"/>
      <c r="CL102" s="115"/>
      <c r="CM102" s="115"/>
      <c r="CN102" s="115"/>
      <c r="CO102" s="115"/>
      <c r="CP102" s="115"/>
      <c r="CQ102" s="115"/>
      <c r="CR102" s="129"/>
      <c r="CS102" s="115"/>
      <c r="CT102" s="115"/>
      <c r="CU102" s="115"/>
      <c r="CV102" s="133"/>
      <c r="CW102" s="133"/>
      <c r="CX102" s="115"/>
      <c r="CY102" s="115"/>
      <c r="CZ102" s="133"/>
      <c r="DA102" s="133"/>
      <c r="DB102" s="115"/>
      <c r="DC102" s="115"/>
      <c r="DD102" s="133"/>
      <c r="DE102" s="133"/>
      <c r="DF102" s="115"/>
      <c r="DG102" s="115"/>
      <c r="DH102" s="133"/>
      <c r="DI102" s="133"/>
      <c r="DJ102" s="115"/>
      <c r="DK102" s="115"/>
      <c r="DL102" s="133"/>
      <c r="DM102" s="133"/>
      <c r="DN102" s="115"/>
      <c r="DO102" s="115"/>
      <c r="DP102" s="133"/>
      <c r="DQ102" s="133"/>
      <c r="DR102" s="115"/>
      <c r="DS102" s="115"/>
      <c r="DT102" s="115"/>
      <c r="DU102" s="115"/>
      <c r="DV102" s="115"/>
      <c r="DW102" s="115"/>
      <c r="DX102" s="115"/>
      <c r="DY102" s="115"/>
      <c r="DZ102" s="115"/>
      <c r="EA102" s="115"/>
      <c r="EB102" s="115"/>
      <c r="EC102" s="115"/>
      <c r="ED102" s="113" t="s">
        <v>1</v>
      </c>
    </row>
    <row r="103" spans="1:134" x14ac:dyDescent="0.2">
      <c r="A103" s="713" t="s">
        <v>107</v>
      </c>
      <c r="B103" s="129">
        <v>1153397</v>
      </c>
      <c r="C103" s="129">
        <v>1183074</v>
      </c>
      <c r="D103" s="129">
        <v>1207526.2857142857</v>
      </c>
      <c r="E103" s="129">
        <v>1384564.5714285714</v>
      </c>
      <c r="F103" s="129">
        <v>1809860</v>
      </c>
      <c r="G103" s="129">
        <v>2066871</v>
      </c>
      <c r="H103" s="129">
        <v>2050690</v>
      </c>
      <c r="I103" s="129">
        <v>2221215</v>
      </c>
      <c r="J103" s="129">
        <v>2409673</v>
      </c>
      <c r="K103" s="129">
        <v>2656904</v>
      </c>
      <c r="L103" s="129">
        <v>2744009.5714285714</v>
      </c>
      <c r="M103" s="129">
        <v>2979938.1428571427</v>
      </c>
      <c r="N103" s="129">
        <v>3140584</v>
      </c>
      <c r="O103" s="129">
        <v>3072734.5714285718</v>
      </c>
      <c r="P103" s="129">
        <v>3114124.5714285718</v>
      </c>
      <c r="Q103" s="129">
        <v>2879222</v>
      </c>
      <c r="R103" s="129">
        <v>2931189</v>
      </c>
      <c r="S103" s="129">
        <v>2723924</v>
      </c>
      <c r="T103" s="129">
        <v>2612268</v>
      </c>
      <c r="U103" s="129">
        <v>2443740</v>
      </c>
      <c r="V103" s="129">
        <v>2402431.75</v>
      </c>
      <c r="W103" s="129">
        <v>2642995</v>
      </c>
      <c r="X103" s="129">
        <v>2299244.0333333332</v>
      </c>
      <c r="Y103" s="129">
        <v>2262405.0333333332</v>
      </c>
      <c r="Z103" s="129">
        <v>2158911.9636904765</v>
      </c>
      <c r="AA103" s="129">
        <v>2094516.7008333332</v>
      </c>
      <c r="AB103" s="129">
        <v>2082020.8846428571</v>
      </c>
      <c r="AC103" s="129">
        <v>1949900.6715476201</v>
      </c>
      <c r="AD103" s="129">
        <v>1979221.1682142857</v>
      </c>
      <c r="AE103" s="129">
        <v>1857942</v>
      </c>
      <c r="AF103" s="129">
        <v>1911700.5</v>
      </c>
      <c r="AG103" s="129">
        <v>2151887.15</v>
      </c>
      <c r="AH103" s="129">
        <v>1972375.3050000002</v>
      </c>
      <c r="AI103" s="129">
        <v>2257388</v>
      </c>
      <c r="AJ103" s="129">
        <v>1972736.200000002</v>
      </c>
      <c r="AK103" s="129">
        <v>2011963.5</v>
      </c>
      <c r="AL103" s="129">
        <v>1946634.7621153845</v>
      </c>
      <c r="AM103" s="129">
        <v>1918887.9551923079</v>
      </c>
      <c r="AN103" s="129">
        <v>1934911.801346154</v>
      </c>
      <c r="AO103" s="129">
        <v>1892420.301346154</v>
      </c>
      <c r="AP103" s="129">
        <v>2201143.346153846</v>
      </c>
      <c r="AQ103" s="129">
        <v>1810231.1231410259</v>
      </c>
      <c r="AR103" s="129">
        <v>2093125</v>
      </c>
      <c r="AS103" s="129">
        <v>1984572</v>
      </c>
      <c r="AT103" s="129">
        <v>2262431</v>
      </c>
      <c r="AU103" s="129">
        <v>2336458.6694871788</v>
      </c>
      <c r="AV103" s="129">
        <v>2945834.8608333338</v>
      </c>
      <c r="AW103" s="129">
        <v>3128599.662564103</v>
      </c>
      <c r="AX103" s="129">
        <v>3274392.669807693</v>
      </c>
      <c r="AY103" s="129">
        <v>2951223.622628205</v>
      </c>
      <c r="AZ103" s="129">
        <v>3492318.9732692312</v>
      </c>
      <c r="BA103" s="129">
        <v>3670987.5675641</v>
      </c>
      <c r="BB103" s="129">
        <v>3587847.4175000009</v>
      </c>
      <c r="BC103" s="129">
        <v>3932913.3344871807</v>
      </c>
      <c r="BD103" s="129">
        <v>3696399.274038462</v>
      </c>
      <c r="BE103" s="129">
        <v>3820065.2879487183</v>
      </c>
      <c r="BF103" s="129">
        <v>3396058.2762179491</v>
      </c>
      <c r="BG103" s="129">
        <v>4072291.325192309</v>
      </c>
      <c r="BH103" s="129">
        <v>3270551.9140384598</v>
      </c>
      <c r="BI103" s="129">
        <v>2775075.5345512815</v>
      </c>
      <c r="BJ103" s="129">
        <v>3041913.1529136128</v>
      </c>
      <c r="BK103" s="129">
        <v>3171234.1076572002</v>
      </c>
      <c r="BL103" s="129">
        <v>3279692.6948076901</v>
      </c>
      <c r="BM103" s="129">
        <v>3330664.5858333297</v>
      </c>
      <c r="BN103" s="129">
        <v>3220555.3069230798</v>
      </c>
      <c r="BO103" s="129">
        <v>3223956.2907692301</v>
      </c>
      <c r="BP103" s="129">
        <v>3208915.86730769</v>
      </c>
      <c r="BQ103" s="129">
        <v>3100829.8661538502</v>
      </c>
      <c r="BR103" s="129">
        <v>2673035.6178639401</v>
      </c>
      <c r="BS103" s="129">
        <v>1511371.8344230771</v>
      </c>
      <c r="BT103" s="129">
        <v>1585299.7673718</v>
      </c>
      <c r="BU103" s="129">
        <v>1540343.10583333</v>
      </c>
      <c r="BV103" s="129">
        <v>2127821.7023718003</v>
      </c>
      <c r="BW103" s="129">
        <v>2294046.4408333302</v>
      </c>
      <c r="BX103" s="129">
        <v>2300232.5177564099</v>
      </c>
      <c r="BY103" s="129">
        <v>2241220.62288462</v>
      </c>
      <c r="BZ103" s="129">
        <v>2301737.8151923101</v>
      </c>
      <c r="CA103" s="129">
        <v>2301532.8498718003</v>
      </c>
      <c r="CB103" s="129">
        <v>2308655.9282651003</v>
      </c>
      <c r="CC103" s="129">
        <v>2319841.4651282099</v>
      </c>
      <c r="CD103" s="129">
        <v>2321683.5799358976</v>
      </c>
      <c r="CE103" s="129">
        <v>2464180.3287820499</v>
      </c>
      <c r="CF103" s="129">
        <v>2512469.3446794897</v>
      </c>
      <c r="CG103" s="129">
        <v>3247590.2473076899</v>
      </c>
      <c r="CH103" s="129">
        <v>3168623.1924359002</v>
      </c>
      <c r="CI103" s="129">
        <v>2989374.03852564</v>
      </c>
      <c r="CJ103" s="129">
        <v>3007540.9403846199</v>
      </c>
      <c r="CK103" s="129">
        <v>3320995.3051923099</v>
      </c>
      <c r="CL103" s="129">
        <v>3067761.5096153799</v>
      </c>
      <c r="CM103" s="129">
        <v>3190422.4442307702</v>
      </c>
      <c r="CN103" s="129">
        <v>2920215.54038462</v>
      </c>
      <c r="CO103" s="129">
        <v>2741688.6464102599</v>
      </c>
      <c r="CP103" s="129">
        <v>3507446.3375641</v>
      </c>
      <c r="CQ103" s="129">
        <v>3080076.61698718</v>
      </c>
      <c r="CR103" s="129">
        <v>3831354.96022894</v>
      </c>
      <c r="CS103" s="129">
        <v>3547302.4667948699</v>
      </c>
      <c r="CT103" s="129">
        <f>CT104*CT117</f>
        <v>3759351.7611352215</v>
      </c>
      <c r="CU103" s="129">
        <f t="shared" ref="CU103:DQ103" si="278">CU104*CU117</f>
        <v>3759351.7611352215</v>
      </c>
      <c r="CV103" s="129">
        <f t="shared" si="278"/>
        <v>3759351.7611352215</v>
      </c>
      <c r="CW103" s="129">
        <f t="shared" si="278"/>
        <v>3759351.7611352215</v>
      </c>
      <c r="CX103" s="129">
        <f t="shared" si="278"/>
        <v>3759351.7611352215</v>
      </c>
      <c r="CY103" s="129">
        <f t="shared" si="278"/>
        <v>3759351.7611352215</v>
      </c>
      <c r="CZ103" s="129">
        <f t="shared" si="278"/>
        <v>3759351.7611352215</v>
      </c>
      <c r="DA103" s="129">
        <f t="shared" si="278"/>
        <v>3759351.7611352215</v>
      </c>
      <c r="DB103" s="129">
        <f t="shared" si="278"/>
        <v>3759351.7611352215</v>
      </c>
      <c r="DC103" s="129">
        <f t="shared" si="278"/>
        <v>3759351.7611352215</v>
      </c>
      <c r="DD103" s="129">
        <f t="shared" si="278"/>
        <v>3759351.7611352215</v>
      </c>
      <c r="DE103" s="129">
        <f t="shared" si="278"/>
        <v>3759351.7611352215</v>
      </c>
      <c r="DF103" s="129">
        <f t="shared" si="278"/>
        <v>4263104.8971273415</v>
      </c>
      <c r="DG103" s="129">
        <f t="shared" si="278"/>
        <v>4263104.8971273415</v>
      </c>
      <c r="DH103" s="129">
        <f t="shared" si="278"/>
        <v>4263104.8971273415</v>
      </c>
      <c r="DI103" s="129">
        <f t="shared" si="278"/>
        <v>4263104.8971273415</v>
      </c>
      <c r="DJ103" s="129">
        <f t="shared" si="278"/>
        <v>4263104.8971273415</v>
      </c>
      <c r="DK103" s="129">
        <f t="shared" si="278"/>
        <v>4263104.8971273415</v>
      </c>
      <c r="DL103" s="129">
        <f t="shared" si="278"/>
        <v>4263104.8971273415</v>
      </c>
      <c r="DM103" s="129">
        <f t="shared" si="278"/>
        <v>4263104.8971273415</v>
      </c>
      <c r="DN103" s="129">
        <f t="shared" si="278"/>
        <v>4263104.8971273415</v>
      </c>
      <c r="DO103" s="129">
        <f t="shared" si="278"/>
        <v>4263104.8971273415</v>
      </c>
      <c r="DP103" s="129">
        <f t="shared" si="278"/>
        <v>4263104.8971273415</v>
      </c>
      <c r="DQ103" s="129">
        <f t="shared" si="278"/>
        <v>4263104.8971273415</v>
      </c>
      <c r="DR103" s="129">
        <f t="shared" ref="DR103:EC103" si="279">DR104*DR117</f>
        <v>4834360.9533424051</v>
      </c>
      <c r="DS103" s="129">
        <f t="shared" si="279"/>
        <v>4834360.9533424051</v>
      </c>
      <c r="DT103" s="129">
        <f t="shared" si="279"/>
        <v>4834360.9533424051</v>
      </c>
      <c r="DU103" s="129">
        <f t="shared" si="279"/>
        <v>4834360.9533424051</v>
      </c>
      <c r="DV103" s="129">
        <f t="shared" si="279"/>
        <v>4834360.9533424051</v>
      </c>
      <c r="DW103" s="129">
        <f t="shared" si="279"/>
        <v>4834360.9533424051</v>
      </c>
      <c r="DX103" s="129">
        <f t="shared" si="279"/>
        <v>4834360.9533424051</v>
      </c>
      <c r="DY103" s="129">
        <f t="shared" si="279"/>
        <v>4834360.9533424051</v>
      </c>
      <c r="DZ103" s="129">
        <f t="shared" si="279"/>
        <v>4834360.9533424051</v>
      </c>
      <c r="EA103" s="129">
        <f t="shared" si="279"/>
        <v>4834360.9533424051</v>
      </c>
      <c r="EB103" s="129">
        <f t="shared" si="279"/>
        <v>4834360.9533424051</v>
      </c>
      <c r="EC103" s="129">
        <f t="shared" si="279"/>
        <v>4834360.9533424051</v>
      </c>
      <c r="ED103" s="113" t="s">
        <v>1</v>
      </c>
    </row>
    <row r="104" spans="1:134" x14ac:dyDescent="0.2">
      <c r="A104" s="713" t="s">
        <v>111</v>
      </c>
      <c r="B104" s="129">
        <v>25</v>
      </c>
      <c r="C104" s="129">
        <v>27</v>
      </c>
      <c r="D104" s="129">
        <v>30</v>
      </c>
      <c r="E104" s="129">
        <v>38</v>
      </c>
      <c r="F104" s="129">
        <v>53</v>
      </c>
      <c r="G104" s="129">
        <v>53</v>
      </c>
      <c r="H104" s="129">
        <v>51</v>
      </c>
      <c r="I104" s="129">
        <v>52</v>
      </c>
      <c r="J104" s="129">
        <v>54</v>
      </c>
      <c r="K104" s="129">
        <v>56</v>
      </c>
      <c r="L104" s="129">
        <v>62</v>
      </c>
      <c r="M104" s="129">
        <v>62</v>
      </c>
      <c r="N104" s="129">
        <v>66</v>
      </c>
      <c r="O104" s="129">
        <v>66</v>
      </c>
      <c r="P104" s="129">
        <v>66</v>
      </c>
      <c r="Q104" s="129">
        <v>64</v>
      </c>
      <c r="R104" s="129">
        <v>58</v>
      </c>
      <c r="S104" s="129">
        <v>63</v>
      </c>
      <c r="T104" s="129">
        <v>59</v>
      </c>
      <c r="U104" s="129">
        <v>57</v>
      </c>
      <c r="V104" s="129">
        <v>54</v>
      </c>
      <c r="W104" s="129">
        <v>57</v>
      </c>
      <c r="X104" s="129">
        <v>58</v>
      </c>
      <c r="Y104" s="129">
        <v>54</v>
      </c>
      <c r="Z104" s="129">
        <v>52</v>
      </c>
      <c r="AA104" s="129">
        <v>52</v>
      </c>
      <c r="AB104" s="129">
        <v>52</v>
      </c>
      <c r="AC104" s="129">
        <v>47</v>
      </c>
      <c r="AD104" s="129">
        <v>47</v>
      </c>
      <c r="AE104" s="129">
        <v>43</v>
      </c>
      <c r="AF104" s="129">
        <v>42</v>
      </c>
      <c r="AG104" s="129">
        <v>42</v>
      </c>
      <c r="AH104" s="129">
        <v>39</v>
      </c>
      <c r="AI104" s="129">
        <v>39</v>
      </c>
      <c r="AJ104" s="129">
        <v>36</v>
      </c>
      <c r="AK104" s="129">
        <v>38</v>
      </c>
      <c r="AL104" s="129">
        <v>36</v>
      </c>
      <c r="AM104" s="129">
        <v>38</v>
      </c>
      <c r="AN104" s="129">
        <v>39</v>
      </c>
      <c r="AO104" s="129">
        <v>37</v>
      </c>
      <c r="AP104" s="129">
        <v>40</v>
      </c>
      <c r="AQ104" s="129">
        <v>36</v>
      </c>
      <c r="AR104" s="129">
        <v>40</v>
      </c>
      <c r="AS104" s="129">
        <v>40</v>
      </c>
      <c r="AT104" s="129">
        <v>42</v>
      </c>
      <c r="AU104" s="129">
        <v>40</v>
      </c>
      <c r="AV104" s="129">
        <v>45</v>
      </c>
      <c r="AW104" s="129">
        <v>42</v>
      </c>
      <c r="AX104" s="129">
        <v>49</v>
      </c>
      <c r="AY104" s="129">
        <v>45</v>
      </c>
      <c r="AZ104" s="129">
        <v>51</v>
      </c>
      <c r="BA104" s="129">
        <v>52</v>
      </c>
      <c r="BB104" s="129">
        <v>54</v>
      </c>
      <c r="BC104" s="129">
        <v>51</v>
      </c>
      <c r="BD104" s="129">
        <v>49</v>
      </c>
      <c r="BE104" s="129">
        <v>51</v>
      </c>
      <c r="BF104" s="129">
        <v>47</v>
      </c>
      <c r="BG104" s="129">
        <v>45</v>
      </c>
      <c r="BH104" s="129">
        <v>45</v>
      </c>
      <c r="BI104" s="129">
        <v>41</v>
      </c>
      <c r="BJ104" s="129">
        <v>41</v>
      </c>
      <c r="BK104" s="129">
        <v>41</v>
      </c>
      <c r="BL104" s="129">
        <v>39</v>
      </c>
      <c r="BM104" s="129">
        <v>37</v>
      </c>
      <c r="BN104" s="129">
        <v>37</v>
      </c>
      <c r="BO104" s="129">
        <v>36</v>
      </c>
      <c r="BP104" s="129">
        <v>39</v>
      </c>
      <c r="BQ104" s="129">
        <v>39</v>
      </c>
      <c r="BR104" s="129">
        <v>36</v>
      </c>
      <c r="BS104" s="129">
        <v>24</v>
      </c>
      <c r="BT104" s="129">
        <v>23</v>
      </c>
      <c r="BU104" s="129">
        <v>24</v>
      </c>
      <c r="BV104" s="129">
        <v>25</v>
      </c>
      <c r="BW104" s="129">
        <v>24</v>
      </c>
      <c r="BX104" s="129">
        <v>24</v>
      </c>
      <c r="BY104" s="129">
        <v>24</v>
      </c>
      <c r="BZ104" s="129">
        <v>24</v>
      </c>
      <c r="CA104" s="129">
        <v>24</v>
      </c>
      <c r="CB104" s="129">
        <v>24</v>
      </c>
      <c r="CC104" s="129">
        <v>24</v>
      </c>
      <c r="CD104" s="129">
        <v>25</v>
      </c>
      <c r="CE104" s="129">
        <v>27</v>
      </c>
      <c r="CF104" s="129">
        <v>31</v>
      </c>
      <c r="CG104" s="129">
        <v>36</v>
      </c>
      <c r="CH104" s="129">
        <v>35</v>
      </c>
      <c r="CI104" s="129">
        <v>34</v>
      </c>
      <c r="CJ104" s="129">
        <v>32</v>
      </c>
      <c r="CK104" s="129">
        <v>30</v>
      </c>
      <c r="CL104" s="129">
        <v>28</v>
      </c>
      <c r="CM104" s="129">
        <v>30</v>
      </c>
      <c r="CN104" s="129">
        <v>29</v>
      </c>
      <c r="CO104" s="129">
        <v>29</v>
      </c>
      <c r="CP104" s="129">
        <v>34</v>
      </c>
      <c r="CQ104" s="129">
        <v>33</v>
      </c>
      <c r="CR104" s="129">
        <v>32</v>
      </c>
      <c r="CS104" s="129">
        <v>31</v>
      </c>
      <c r="CT104" s="130">
        <f>CS104*(1+CT128)</f>
        <v>34.1</v>
      </c>
      <c r="CU104" s="130">
        <f t="shared" ref="CU104:DQ104" si="280">CT104*(1+CU128)</f>
        <v>34.1</v>
      </c>
      <c r="CV104" s="130">
        <f t="shared" si="280"/>
        <v>34.1</v>
      </c>
      <c r="CW104" s="130">
        <f t="shared" si="280"/>
        <v>34.1</v>
      </c>
      <c r="CX104" s="130">
        <f t="shared" si="280"/>
        <v>34.1</v>
      </c>
      <c r="CY104" s="130">
        <f t="shared" si="280"/>
        <v>34.1</v>
      </c>
      <c r="CZ104" s="130">
        <f t="shared" si="280"/>
        <v>34.1</v>
      </c>
      <c r="DA104" s="130">
        <f t="shared" si="280"/>
        <v>34.1</v>
      </c>
      <c r="DB104" s="130">
        <f t="shared" si="280"/>
        <v>34.1</v>
      </c>
      <c r="DC104" s="130">
        <f t="shared" si="280"/>
        <v>34.1</v>
      </c>
      <c r="DD104" s="130">
        <f t="shared" si="280"/>
        <v>34.1</v>
      </c>
      <c r="DE104" s="130">
        <f t="shared" si="280"/>
        <v>34.1</v>
      </c>
      <c r="DF104" s="130">
        <f t="shared" si="280"/>
        <v>35.805</v>
      </c>
      <c r="DG104" s="130">
        <f t="shared" si="280"/>
        <v>35.805</v>
      </c>
      <c r="DH104" s="130">
        <f t="shared" si="280"/>
        <v>35.805</v>
      </c>
      <c r="DI104" s="130">
        <f t="shared" si="280"/>
        <v>35.805</v>
      </c>
      <c r="DJ104" s="130">
        <f t="shared" si="280"/>
        <v>35.805</v>
      </c>
      <c r="DK104" s="130">
        <f t="shared" si="280"/>
        <v>35.805</v>
      </c>
      <c r="DL104" s="130">
        <f t="shared" si="280"/>
        <v>35.805</v>
      </c>
      <c r="DM104" s="130">
        <f t="shared" si="280"/>
        <v>35.805</v>
      </c>
      <c r="DN104" s="130">
        <f t="shared" si="280"/>
        <v>35.805</v>
      </c>
      <c r="DO104" s="130">
        <f t="shared" si="280"/>
        <v>35.805</v>
      </c>
      <c r="DP104" s="130">
        <f t="shared" si="280"/>
        <v>35.805</v>
      </c>
      <c r="DQ104" s="130">
        <f t="shared" si="280"/>
        <v>35.805</v>
      </c>
      <c r="DR104" s="130">
        <f t="shared" ref="DR104" si="281">DQ104*(1+DR128)</f>
        <v>37.59525</v>
      </c>
      <c r="DS104" s="130">
        <f t="shared" ref="DS104" si="282">DR104*(1+DS128)</f>
        <v>37.59525</v>
      </c>
      <c r="DT104" s="130">
        <f t="shared" ref="DT104" si="283">DS104*(1+DT128)</f>
        <v>37.59525</v>
      </c>
      <c r="DU104" s="130">
        <f t="shared" ref="DU104" si="284">DT104*(1+DU128)</f>
        <v>37.59525</v>
      </c>
      <c r="DV104" s="130">
        <f t="shared" ref="DV104" si="285">DU104*(1+DV128)</f>
        <v>37.59525</v>
      </c>
      <c r="DW104" s="130">
        <f t="shared" ref="DW104" si="286">DV104*(1+DW128)</f>
        <v>37.59525</v>
      </c>
      <c r="DX104" s="130">
        <f t="shared" ref="DX104" si="287">DW104*(1+DX128)</f>
        <v>37.59525</v>
      </c>
      <c r="DY104" s="130">
        <f t="shared" ref="DY104" si="288">DX104*(1+DY128)</f>
        <v>37.59525</v>
      </c>
      <c r="DZ104" s="130">
        <f t="shared" ref="DZ104" si="289">DY104*(1+DZ128)</f>
        <v>37.59525</v>
      </c>
      <c r="EA104" s="130">
        <f t="shared" ref="EA104" si="290">DZ104*(1+EA128)</f>
        <v>37.59525</v>
      </c>
      <c r="EB104" s="130">
        <f t="shared" ref="EB104" si="291">EA104*(1+EB128)</f>
        <v>37.59525</v>
      </c>
      <c r="EC104" s="130">
        <f t="shared" ref="EC104" si="292">EB104*(1+EC128)</f>
        <v>37.59525</v>
      </c>
      <c r="ED104" s="113" t="s">
        <v>1</v>
      </c>
    </row>
    <row r="105" spans="1:134" x14ac:dyDescent="0.2">
      <c r="A105" s="713" t="s">
        <v>108</v>
      </c>
      <c r="B105" s="129">
        <v>0</v>
      </c>
      <c r="C105" s="129">
        <v>0</v>
      </c>
      <c r="D105" s="129">
        <v>0</v>
      </c>
      <c r="E105" s="129">
        <v>0</v>
      </c>
      <c r="F105" s="129">
        <v>48016.71428571429</v>
      </c>
      <c r="G105" s="129">
        <v>66407.71428571429</v>
      </c>
      <c r="H105" s="129">
        <v>120122.85714285714</v>
      </c>
      <c r="I105" s="129">
        <v>148516.71428571429</v>
      </c>
      <c r="J105" s="129">
        <v>186363.85714285713</v>
      </c>
      <c r="K105" s="129">
        <v>198211.85714285713</v>
      </c>
      <c r="L105" s="129">
        <v>210363.85714285713</v>
      </c>
      <c r="M105" s="129">
        <v>211071.85714285713</v>
      </c>
      <c r="N105" s="129">
        <v>228947.14285714284</v>
      </c>
      <c r="O105" s="129">
        <v>256543.57142857142</v>
      </c>
      <c r="P105" s="129">
        <v>293578.71428571426</v>
      </c>
      <c r="Q105" s="129">
        <v>265287</v>
      </c>
      <c r="R105" s="129">
        <v>160558</v>
      </c>
      <c r="S105" s="129">
        <v>160708</v>
      </c>
      <c r="T105" s="129">
        <v>160708</v>
      </c>
      <c r="U105" s="129">
        <v>160633</v>
      </c>
      <c r="V105" s="129">
        <v>175806</v>
      </c>
      <c r="W105" s="129">
        <v>143286</v>
      </c>
      <c r="X105" s="129">
        <v>137227.63333333333</v>
      </c>
      <c r="Y105" s="129">
        <v>154729.63333333333</v>
      </c>
      <c r="Z105" s="129">
        <v>135461</v>
      </c>
      <c r="AA105" s="129">
        <v>215577</v>
      </c>
      <c r="AB105" s="129">
        <v>223957</v>
      </c>
      <c r="AC105" s="129">
        <v>207429</v>
      </c>
      <c r="AD105" s="129">
        <v>236490</v>
      </c>
      <c r="AE105" s="129">
        <v>207490</v>
      </c>
      <c r="AF105" s="129">
        <v>229490</v>
      </c>
      <c r="AG105" s="129">
        <v>284911</v>
      </c>
      <c r="AH105" s="129">
        <v>274415</v>
      </c>
      <c r="AI105" s="129">
        <v>330156</v>
      </c>
      <c r="AJ105" s="129">
        <v>264378.65384615387</v>
      </c>
      <c r="AK105" s="129">
        <v>277763.65384615387</v>
      </c>
      <c r="AL105" s="129">
        <v>307829.80769230769</v>
      </c>
      <c r="AM105" s="129">
        <v>279674.80769230769</v>
      </c>
      <c r="AN105" s="129">
        <v>281439.80769230769</v>
      </c>
      <c r="AO105" s="129">
        <v>468044.50641025644</v>
      </c>
      <c r="AP105" s="129">
        <v>898037.29237179481</v>
      </c>
      <c r="AQ105" s="129">
        <v>810022.40878205129</v>
      </c>
      <c r="AR105" s="129">
        <v>857193.85621794872</v>
      </c>
      <c r="AS105" s="129">
        <v>826064.62333333329</v>
      </c>
      <c r="AT105" s="129">
        <v>719943.0464102563</v>
      </c>
      <c r="AU105" s="129">
        <v>1341639.923076923</v>
      </c>
      <c r="AV105" s="129">
        <v>1425144.461538462</v>
      </c>
      <c r="AW105" s="129">
        <v>1426122.684679487</v>
      </c>
      <c r="AX105" s="129">
        <v>744395.15384615399</v>
      </c>
      <c r="AY105" s="129">
        <v>704094.15384615376</v>
      </c>
      <c r="AZ105" s="129">
        <v>706090.15384615376</v>
      </c>
      <c r="BA105" s="129">
        <v>600150.5</v>
      </c>
      <c r="BB105" s="129">
        <v>540888.88461538451</v>
      </c>
      <c r="BC105" s="129">
        <v>540888.88461538451</v>
      </c>
      <c r="BD105" s="129">
        <v>568058.92307692301</v>
      </c>
      <c r="BE105" s="129">
        <v>572391.15384615376</v>
      </c>
      <c r="BF105" s="129">
        <v>426612.49131513643</v>
      </c>
      <c r="BG105" s="129">
        <v>865211</v>
      </c>
      <c r="BH105" s="129">
        <v>374630.07692307688</v>
      </c>
      <c r="BI105" s="129">
        <v>309596.18734491314</v>
      </c>
      <c r="BJ105" s="129">
        <v>777601.55650689406</v>
      </c>
      <c r="BK105" s="129">
        <v>793521.55650689406</v>
      </c>
      <c r="BL105" s="129">
        <v>777601.61897435889</v>
      </c>
      <c r="BM105" s="129">
        <v>842649.61897435889</v>
      </c>
      <c r="BN105" s="129">
        <v>777649.61897435889</v>
      </c>
      <c r="BO105" s="129">
        <v>810982.61897435889</v>
      </c>
      <c r="BP105" s="129">
        <v>778138.81897435896</v>
      </c>
      <c r="BQ105" s="129">
        <v>935067.14974358969</v>
      </c>
      <c r="BR105" s="129">
        <v>1023394.4389102564</v>
      </c>
      <c r="BS105" s="129">
        <v>845466.39230769232</v>
      </c>
      <c r="BT105" s="129">
        <v>945466.39230769197</v>
      </c>
      <c r="BU105" s="129">
        <v>945466.39230769197</v>
      </c>
      <c r="BV105" s="129">
        <v>990756.22538461548</v>
      </c>
      <c r="BW105" s="129">
        <v>1059485.22307692</v>
      </c>
      <c r="BX105" s="129">
        <v>553046.07012820896</v>
      </c>
      <c r="BY105" s="129">
        <v>616981.84955128201</v>
      </c>
      <c r="BZ105" s="129">
        <v>528369.70679487183</v>
      </c>
      <c r="CA105" s="129">
        <v>590369.03025641036</v>
      </c>
      <c r="CB105" s="129">
        <v>608238.06198717956</v>
      </c>
      <c r="CC105" s="129">
        <v>601545.46961538482</v>
      </c>
      <c r="CD105" s="129">
        <v>638930.10326923092</v>
      </c>
      <c r="CE105" s="129">
        <v>840897.1974359001</v>
      </c>
      <c r="CF105" s="129">
        <v>787151.07282051281</v>
      </c>
      <c r="CG105" s="129">
        <v>1740551.4115384601</v>
      </c>
      <c r="CH105" s="129">
        <v>1494747.9482692301</v>
      </c>
      <c r="CI105" s="129">
        <v>1525753.98051282</v>
      </c>
      <c r="CJ105" s="129">
        <v>1364771.0432692301</v>
      </c>
      <c r="CK105" s="129">
        <v>1521765.6057134001</v>
      </c>
      <c r="CL105" s="129">
        <v>1357258.69442308</v>
      </c>
      <c r="CM105" s="129">
        <v>1637191.49903846</v>
      </c>
      <c r="CN105" s="129">
        <v>1802831.84448718</v>
      </c>
      <c r="CO105" s="129">
        <v>1714319.11615385</v>
      </c>
      <c r="CP105" s="129">
        <v>1812493.56365385</v>
      </c>
      <c r="CQ105" s="129">
        <v>1701836.8164743599</v>
      </c>
      <c r="CR105" s="129">
        <v>1884606.6636538501</v>
      </c>
      <c r="CS105" s="129">
        <v>1966762.8944230799</v>
      </c>
      <c r="CT105" s="129">
        <f>CT106*CT118</f>
        <v>2208530.0140813072</v>
      </c>
      <c r="CU105" s="129">
        <f t="shared" ref="CU105:DQ105" si="293">CU106*CU118</f>
        <v>2208530.0140813072</v>
      </c>
      <c r="CV105" s="129">
        <f t="shared" si="293"/>
        <v>2208530.0140813072</v>
      </c>
      <c r="CW105" s="129">
        <f t="shared" si="293"/>
        <v>2208530.0140813072</v>
      </c>
      <c r="CX105" s="129">
        <f t="shared" si="293"/>
        <v>2208530.0140813072</v>
      </c>
      <c r="CY105" s="129">
        <f t="shared" si="293"/>
        <v>2208530.0140813072</v>
      </c>
      <c r="CZ105" s="129">
        <f t="shared" si="293"/>
        <v>2208530.0140813072</v>
      </c>
      <c r="DA105" s="129">
        <f t="shared" si="293"/>
        <v>2208530.0140813072</v>
      </c>
      <c r="DB105" s="129">
        <f t="shared" si="293"/>
        <v>2208530.0140813072</v>
      </c>
      <c r="DC105" s="129">
        <f t="shared" si="293"/>
        <v>2208530.0140813072</v>
      </c>
      <c r="DD105" s="129">
        <f t="shared" si="293"/>
        <v>2208530.0140813072</v>
      </c>
      <c r="DE105" s="129">
        <f t="shared" si="293"/>
        <v>2208530.0140813072</v>
      </c>
      <c r="DF105" s="129">
        <f t="shared" si="293"/>
        <v>2504473.0359682022</v>
      </c>
      <c r="DG105" s="129">
        <f t="shared" si="293"/>
        <v>2504473.0359682022</v>
      </c>
      <c r="DH105" s="129">
        <f t="shared" si="293"/>
        <v>2504473.0359682022</v>
      </c>
      <c r="DI105" s="129">
        <f t="shared" si="293"/>
        <v>2504473.0359682022</v>
      </c>
      <c r="DJ105" s="129">
        <f t="shared" si="293"/>
        <v>2504473.0359682022</v>
      </c>
      <c r="DK105" s="129">
        <f t="shared" si="293"/>
        <v>2504473.0359682022</v>
      </c>
      <c r="DL105" s="129">
        <f t="shared" si="293"/>
        <v>2504473.0359682022</v>
      </c>
      <c r="DM105" s="129">
        <f t="shared" si="293"/>
        <v>2504473.0359682022</v>
      </c>
      <c r="DN105" s="129">
        <f t="shared" si="293"/>
        <v>2504473.0359682022</v>
      </c>
      <c r="DO105" s="129">
        <f t="shared" si="293"/>
        <v>2504473.0359682022</v>
      </c>
      <c r="DP105" s="129">
        <f t="shared" si="293"/>
        <v>2504473.0359682022</v>
      </c>
      <c r="DQ105" s="129">
        <f t="shared" si="293"/>
        <v>2504473.0359682022</v>
      </c>
      <c r="DR105" s="129">
        <f t="shared" ref="DR105:EC105" si="294">DR106*DR118</f>
        <v>2840072.422787942</v>
      </c>
      <c r="DS105" s="129">
        <f t="shared" si="294"/>
        <v>2840072.422787942</v>
      </c>
      <c r="DT105" s="129">
        <f t="shared" si="294"/>
        <v>2840072.422787942</v>
      </c>
      <c r="DU105" s="129">
        <f t="shared" si="294"/>
        <v>2840072.422787942</v>
      </c>
      <c r="DV105" s="129">
        <f t="shared" si="294"/>
        <v>2840072.422787942</v>
      </c>
      <c r="DW105" s="129">
        <f t="shared" si="294"/>
        <v>2840072.422787942</v>
      </c>
      <c r="DX105" s="129">
        <f t="shared" si="294"/>
        <v>2840072.422787942</v>
      </c>
      <c r="DY105" s="129">
        <f t="shared" si="294"/>
        <v>2840072.422787942</v>
      </c>
      <c r="DZ105" s="129">
        <f t="shared" si="294"/>
        <v>2840072.422787942</v>
      </c>
      <c r="EA105" s="129">
        <f t="shared" si="294"/>
        <v>2840072.422787942</v>
      </c>
      <c r="EB105" s="129">
        <f t="shared" si="294"/>
        <v>2840072.422787942</v>
      </c>
      <c r="EC105" s="129">
        <f t="shared" si="294"/>
        <v>2840072.422787942</v>
      </c>
      <c r="ED105" s="113" t="s">
        <v>1</v>
      </c>
    </row>
    <row r="106" spans="1:134" x14ac:dyDescent="0.2">
      <c r="A106" s="713" t="s">
        <v>110</v>
      </c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9"/>
      <c r="AN106" s="129"/>
      <c r="AO106" s="129"/>
      <c r="AP106" s="129"/>
      <c r="AQ106" s="129"/>
      <c r="AR106" s="129"/>
      <c r="AS106" s="129"/>
      <c r="AT106" s="129"/>
      <c r="AU106" s="129"/>
      <c r="AV106" s="129"/>
      <c r="AW106" s="129"/>
      <c r="AX106" s="129"/>
      <c r="AY106" s="129">
        <v>8</v>
      </c>
      <c r="AZ106" s="129">
        <v>8</v>
      </c>
      <c r="BA106" s="129">
        <v>8</v>
      </c>
      <c r="BB106" s="129">
        <v>6</v>
      </c>
      <c r="BC106" s="129">
        <v>6</v>
      </c>
      <c r="BD106" s="129">
        <v>6</v>
      </c>
      <c r="BE106" s="129">
        <v>6</v>
      </c>
      <c r="BF106" s="129">
        <v>6</v>
      </c>
      <c r="BG106" s="129">
        <v>6</v>
      </c>
      <c r="BH106" s="129">
        <v>5</v>
      </c>
      <c r="BI106" s="129">
        <v>5</v>
      </c>
      <c r="BJ106" s="129">
        <v>4</v>
      </c>
      <c r="BK106" s="129">
        <v>4</v>
      </c>
      <c r="BL106" s="129">
        <v>4</v>
      </c>
      <c r="BM106" s="129">
        <v>4</v>
      </c>
      <c r="BN106" s="129">
        <v>4</v>
      </c>
      <c r="BO106" s="129">
        <v>4</v>
      </c>
      <c r="BP106" s="129">
        <v>4</v>
      </c>
      <c r="BQ106" s="129">
        <v>6</v>
      </c>
      <c r="BR106" s="129">
        <v>7</v>
      </c>
      <c r="BS106" s="129">
        <v>4</v>
      </c>
      <c r="BT106" s="129">
        <v>4</v>
      </c>
      <c r="BU106" s="129">
        <v>4</v>
      </c>
      <c r="BV106" s="129">
        <v>6</v>
      </c>
      <c r="BW106" s="129">
        <v>6</v>
      </c>
      <c r="BX106" s="129">
        <v>7</v>
      </c>
      <c r="BY106" s="129">
        <v>8</v>
      </c>
      <c r="BZ106" s="129">
        <v>7</v>
      </c>
      <c r="CA106" s="129">
        <v>8</v>
      </c>
      <c r="CB106" s="129">
        <v>9</v>
      </c>
      <c r="CC106" s="129">
        <v>10</v>
      </c>
      <c r="CD106" s="129">
        <v>10</v>
      </c>
      <c r="CE106" s="129">
        <v>10</v>
      </c>
      <c r="CF106" s="129">
        <v>14</v>
      </c>
      <c r="CG106" s="129">
        <v>15</v>
      </c>
      <c r="CH106" s="129">
        <v>15</v>
      </c>
      <c r="CI106" s="129">
        <v>16</v>
      </c>
      <c r="CJ106" s="129">
        <v>15</v>
      </c>
      <c r="CK106" s="129">
        <v>15</v>
      </c>
      <c r="CL106" s="129">
        <v>15</v>
      </c>
      <c r="CM106" s="129">
        <v>17</v>
      </c>
      <c r="CN106" s="129">
        <v>18</v>
      </c>
      <c r="CO106" s="129">
        <v>17</v>
      </c>
      <c r="CP106" s="129">
        <v>17</v>
      </c>
      <c r="CQ106" s="129">
        <v>19</v>
      </c>
      <c r="CR106" s="129">
        <v>19</v>
      </c>
      <c r="CS106" s="129">
        <v>19</v>
      </c>
      <c r="CT106" s="129">
        <f>CS106*(1+CT129)</f>
        <v>20.900000000000002</v>
      </c>
      <c r="CU106" s="129">
        <f t="shared" ref="CU106:DQ106" si="295">CT106*(1+CU129)</f>
        <v>20.900000000000002</v>
      </c>
      <c r="CV106" s="129">
        <f t="shared" si="295"/>
        <v>20.900000000000002</v>
      </c>
      <c r="CW106" s="129">
        <f t="shared" si="295"/>
        <v>20.900000000000002</v>
      </c>
      <c r="CX106" s="129">
        <f t="shared" si="295"/>
        <v>20.900000000000002</v>
      </c>
      <c r="CY106" s="129">
        <f t="shared" si="295"/>
        <v>20.900000000000002</v>
      </c>
      <c r="CZ106" s="129">
        <f t="shared" si="295"/>
        <v>20.900000000000002</v>
      </c>
      <c r="DA106" s="129">
        <f t="shared" si="295"/>
        <v>20.900000000000002</v>
      </c>
      <c r="DB106" s="129">
        <f t="shared" si="295"/>
        <v>20.900000000000002</v>
      </c>
      <c r="DC106" s="129">
        <f t="shared" si="295"/>
        <v>20.900000000000002</v>
      </c>
      <c r="DD106" s="129">
        <f t="shared" si="295"/>
        <v>20.900000000000002</v>
      </c>
      <c r="DE106" s="129">
        <f t="shared" si="295"/>
        <v>20.900000000000002</v>
      </c>
      <c r="DF106" s="129">
        <f t="shared" si="295"/>
        <v>21.945000000000004</v>
      </c>
      <c r="DG106" s="129">
        <f t="shared" si="295"/>
        <v>21.945000000000004</v>
      </c>
      <c r="DH106" s="129">
        <f t="shared" si="295"/>
        <v>21.945000000000004</v>
      </c>
      <c r="DI106" s="129">
        <f t="shared" si="295"/>
        <v>21.945000000000004</v>
      </c>
      <c r="DJ106" s="129">
        <f t="shared" si="295"/>
        <v>21.945000000000004</v>
      </c>
      <c r="DK106" s="129">
        <f t="shared" si="295"/>
        <v>21.945000000000004</v>
      </c>
      <c r="DL106" s="129">
        <f t="shared" si="295"/>
        <v>21.945000000000004</v>
      </c>
      <c r="DM106" s="129">
        <f t="shared" si="295"/>
        <v>21.945000000000004</v>
      </c>
      <c r="DN106" s="129">
        <f t="shared" si="295"/>
        <v>21.945000000000004</v>
      </c>
      <c r="DO106" s="129">
        <f t="shared" si="295"/>
        <v>21.945000000000004</v>
      </c>
      <c r="DP106" s="129">
        <f t="shared" si="295"/>
        <v>21.945000000000004</v>
      </c>
      <c r="DQ106" s="129">
        <f t="shared" si="295"/>
        <v>21.945000000000004</v>
      </c>
      <c r="DR106" s="129">
        <f t="shared" ref="DR106" si="296">DQ106*(1+DR129)</f>
        <v>23.042250000000006</v>
      </c>
      <c r="DS106" s="129">
        <f t="shared" ref="DS106" si="297">DR106*(1+DS129)</f>
        <v>23.042250000000006</v>
      </c>
      <c r="DT106" s="129">
        <f t="shared" ref="DT106" si="298">DS106*(1+DT129)</f>
        <v>23.042250000000006</v>
      </c>
      <c r="DU106" s="129">
        <f t="shared" ref="DU106" si="299">DT106*(1+DU129)</f>
        <v>23.042250000000006</v>
      </c>
      <c r="DV106" s="129">
        <f t="shared" ref="DV106" si="300">DU106*(1+DV129)</f>
        <v>23.042250000000006</v>
      </c>
      <c r="DW106" s="129">
        <f t="shared" ref="DW106" si="301">DV106*(1+DW129)</f>
        <v>23.042250000000006</v>
      </c>
      <c r="DX106" s="129">
        <f t="shared" ref="DX106" si="302">DW106*(1+DX129)</f>
        <v>23.042250000000006</v>
      </c>
      <c r="DY106" s="129">
        <f t="shared" ref="DY106" si="303">DX106*(1+DY129)</f>
        <v>23.042250000000006</v>
      </c>
      <c r="DZ106" s="129">
        <f t="shared" ref="DZ106" si="304">DY106*(1+DZ129)</f>
        <v>23.042250000000006</v>
      </c>
      <c r="EA106" s="129">
        <f t="shared" ref="EA106" si="305">DZ106*(1+EA129)</f>
        <v>23.042250000000006</v>
      </c>
      <c r="EB106" s="129">
        <f t="shared" ref="EB106" si="306">EA106*(1+EB129)</f>
        <v>23.042250000000006</v>
      </c>
      <c r="EC106" s="129">
        <f t="shared" ref="EC106" si="307">EB106*(1+EC129)</f>
        <v>23.042250000000006</v>
      </c>
      <c r="ED106" s="113" t="s">
        <v>1</v>
      </c>
    </row>
    <row r="107" spans="1:134" x14ac:dyDescent="0.2">
      <c r="A107" s="713" t="s">
        <v>109</v>
      </c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  <c r="AH107" s="129"/>
      <c r="AI107" s="129">
        <v>0</v>
      </c>
      <c r="AJ107" s="129">
        <v>0</v>
      </c>
      <c r="AK107" s="129">
        <v>0</v>
      </c>
      <c r="AL107" s="129">
        <v>0</v>
      </c>
      <c r="AM107" s="129">
        <v>0</v>
      </c>
      <c r="AN107" s="129">
        <v>0</v>
      </c>
      <c r="AO107" s="129">
        <v>0</v>
      </c>
      <c r="AP107" s="129">
        <v>20689.686858974361</v>
      </c>
      <c r="AQ107" s="129">
        <v>236338.46762820517</v>
      </c>
      <c r="AR107" s="129">
        <v>668992.86705128173</v>
      </c>
      <c r="AS107" s="129">
        <v>1192753.5571794873</v>
      </c>
      <c r="AT107" s="129">
        <v>1751672</v>
      </c>
      <c r="AU107" s="129">
        <v>2107061.4253846155</v>
      </c>
      <c r="AV107" s="129">
        <v>2280695.851794872</v>
      </c>
      <c r="AW107" s="129">
        <v>2700368.9803205132</v>
      </c>
      <c r="AX107" s="129">
        <v>2100509.2591025629</v>
      </c>
      <c r="AY107" s="129">
        <v>2333468.7605769229</v>
      </c>
      <c r="AZ107" s="129">
        <v>2360756.3622435895</v>
      </c>
      <c r="BA107" s="129">
        <v>2068969.9749999999</v>
      </c>
      <c r="BB107" s="129">
        <v>2417548.5716666663</v>
      </c>
      <c r="BC107" s="129">
        <v>2700698.7644871781</v>
      </c>
      <c r="BD107" s="129">
        <v>2811901.3320512804</v>
      </c>
      <c r="BE107" s="129">
        <v>2356094.8586538462</v>
      </c>
      <c r="BF107" s="129">
        <v>1767396.7675641028</v>
      </c>
      <c r="BG107" s="129">
        <v>1818032</v>
      </c>
      <c r="BH107" s="129">
        <v>1537817.6064102568</v>
      </c>
      <c r="BI107" s="129">
        <v>1350437.9992948722</v>
      </c>
      <c r="BJ107" s="129">
        <v>1402560.5380344104</v>
      </c>
      <c r="BK107" s="129">
        <v>1680237.8423933852</v>
      </c>
      <c r="BL107" s="129">
        <v>1303144.2385897436</v>
      </c>
      <c r="BM107" s="129">
        <v>1585299.846153846</v>
      </c>
      <c r="BN107" s="129">
        <v>1668030.4615384601</v>
      </c>
      <c r="BO107" s="129">
        <v>1157132.8586538462</v>
      </c>
      <c r="BP107" s="129">
        <v>1160809.17435897</v>
      </c>
      <c r="BQ107" s="129">
        <v>1196063.8335897434</v>
      </c>
      <c r="BR107" s="129">
        <v>1093742.0135897435</v>
      </c>
      <c r="BS107" s="129">
        <v>869613.31794871786</v>
      </c>
      <c r="BT107" s="129">
        <v>960034.12064102991</v>
      </c>
      <c r="BU107" s="129">
        <v>1010099.669679487</v>
      </c>
      <c r="BV107" s="129">
        <v>1057581.6661538463</v>
      </c>
      <c r="BW107" s="129">
        <v>1046297.2046153799</v>
      </c>
      <c r="BX107" s="129">
        <v>1030864.9815384618</v>
      </c>
      <c r="BY107" s="129">
        <v>1450731.06378205</v>
      </c>
      <c r="BZ107" s="129">
        <v>1177041.7200000002</v>
      </c>
      <c r="CA107" s="129">
        <v>1172592.1435897436</v>
      </c>
      <c r="CB107" s="129">
        <v>1156849.9892307699</v>
      </c>
      <c r="CC107" s="129">
        <v>1117040.7692307692</v>
      </c>
      <c r="CD107" s="129">
        <v>1088620.4661538461</v>
      </c>
      <c r="CE107" s="129">
        <v>1028396.16615385</v>
      </c>
      <c r="CF107" s="129">
        <v>1049286.020897436</v>
      </c>
      <c r="CG107" s="129">
        <v>1027655.9396153846</v>
      </c>
      <c r="CH107" s="129">
        <v>1285350.0623717899</v>
      </c>
      <c r="CI107" s="129">
        <v>1167514.4328846156</v>
      </c>
      <c r="CJ107" s="129">
        <v>1147356.0974358977</v>
      </c>
      <c r="CK107" s="129">
        <v>1493637.5919871801</v>
      </c>
      <c r="CL107" s="129">
        <v>1238161.0495512823</v>
      </c>
      <c r="CM107" s="129">
        <v>1247515.198717949</v>
      </c>
      <c r="CN107" s="129">
        <v>1408632.67948718</v>
      </c>
      <c r="CO107" s="129">
        <v>1382790.8951282101</v>
      </c>
      <c r="CP107" s="129">
        <v>1759919.54705128</v>
      </c>
      <c r="CQ107" s="129">
        <v>1574939.2546794901</v>
      </c>
      <c r="CR107" s="129">
        <v>2058587.22307692</v>
      </c>
      <c r="CS107" s="129">
        <v>1694910.5246794899</v>
      </c>
      <c r="CT107" s="129">
        <f>CT108*CT119</f>
        <v>1995697.7457753972</v>
      </c>
      <c r="CU107" s="129">
        <f t="shared" ref="CU107:DQ107" si="308">CU108*CU119</f>
        <v>1995697.7457753972</v>
      </c>
      <c r="CV107" s="129">
        <f t="shared" si="308"/>
        <v>1995697.7457753972</v>
      </c>
      <c r="CW107" s="129">
        <f t="shared" si="308"/>
        <v>1995697.7457753972</v>
      </c>
      <c r="CX107" s="129">
        <f t="shared" si="308"/>
        <v>1995697.7457753972</v>
      </c>
      <c r="CY107" s="129">
        <f t="shared" si="308"/>
        <v>1995697.7457753972</v>
      </c>
      <c r="CZ107" s="129">
        <f t="shared" si="308"/>
        <v>1995697.7457753972</v>
      </c>
      <c r="DA107" s="129">
        <f t="shared" si="308"/>
        <v>1995697.7457753972</v>
      </c>
      <c r="DB107" s="129">
        <f t="shared" si="308"/>
        <v>1995697.7457753972</v>
      </c>
      <c r="DC107" s="129">
        <f t="shared" si="308"/>
        <v>1995697.7457753972</v>
      </c>
      <c r="DD107" s="129">
        <f t="shared" si="308"/>
        <v>1995697.7457753972</v>
      </c>
      <c r="DE107" s="129">
        <f t="shared" si="308"/>
        <v>1995697.7457753972</v>
      </c>
      <c r="DF107" s="129">
        <f t="shared" si="308"/>
        <v>2263121.2437093006</v>
      </c>
      <c r="DG107" s="129">
        <f t="shared" si="308"/>
        <v>2263121.2437093006</v>
      </c>
      <c r="DH107" s="129">
        <f t="shared" si="308"/>
        <v>2263121.2437093006</v>
      </c>
      <c r="DI107" s="129">
        <f t="shared" si="308"/>
        <v>2263121.2437093006</v>
      </c>
      <c r="DJ107" s="129">
        <f t="shared" si="308"/>
        <v>2263121.2437093006</v>
      </c>
      <c r="DK107" s="129">
        <f t="shared" si="308"/>
        <v>2263121.2437093006</v>
      </c>
      <c r="DL107" s="129">
        <f t="shared" si="308"/>
        <v>2263121.2437093006</v>
      </c>
      <c r="DM107" s="129">
        <f t="shared" si="308"/>
        <v>2263121.2437093006</v>
      </c>
      <c r="DN107" s="129">
        <f t="shared" si="308"/>
        <v>2263121.2437093006</v>
      </c>
      <c r="DO107" s="129">
        <f t="shared" si="308"/>
        <v>2263121.2437093006</v>
      </c>
      <c r="DP107" s="129">
        <f t="shared" si="308"/>
        <v>2263121.2437093006</v>
      </c>
      <c r="DQ107" s="129">
        <f t="shared" si="308"/>
        <v>2263121.2437093006</v>
      </c>
      <c r="DR107" s="129">
        <f t="shared" ref="DR107:EC107" si="309">DR108*DR119</f>
        <v>2566379.4903663471</v>
      </c>
      <c r="DS107" s="129">
        <f t="shared" si="309"/>
        <v>2566379.4903663471</v>
      </c>
      <c r="DT107" s="129">
        <f t="shared" si="309"/>
        <v>2566379.4903663471</v>
      </c>
      <c r="DU107" s="129">
        <f t="shared" si="309"/>
        <v>2566379.4903663471</v>
      </c>
      <c r="DV107" s="129">
        <f t="shared" si="309"/>
        <v>2566379.4903663471</v>
      </c>
      <c r="DW107" s="129">
        <f t="shared" si="309"/>
        <v>2566379.4903663471</v>
      </c>
      <c r="DX107" s="129">
        <f t="shared" si="309"/>
        <v>2566379.4903663471</v>
      </c>
      <c r="DY107" s="129">
        <f t="shared" si="309"/>
        <v>2566379.4903663471</v>
      </c>
      <c r="DZ107" s="129">
        <f t="shared" si="309"/>
        <v>2566379.4903663471</v>
      </c>
      <c r="EA107" s="129">
        <f t="shared" si="309"/>
        <v>2566379.4903663471</v>
      </c>
      <c r="EB107" s="129">
        <f t="shared" si="309"/>
        <v>2566379.4903663471</v>
      </c>
      <c r="EC107" s="129">
        <f t="shared" si="309"/>
        <v>2566379.4903663471</v>
      </c>
      <c r="ED107" s="113" t="s">
        <v>1</v>
      </c>
    </row>
    <row r="108" spans="1:134" x14ac:dyDescent="0.2">
      <c r="A108" s="713" t="s">
        <v>110</v>
      </c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9"/>
      <c r="AN108" s="129"/>
      <c r="AO108" s="129"/>
      <c r="AP108" s="129"/>
      <c r="AQ108" s="129"/>
      <c r="AR108" s="129"/>
      <c r="AS108" s="129"/>
      <c r="AT108" s="129"/>
      <c r="AU108" s="129"/>
      <c r="AV108" s="129"/>
      <c r="AW108" s="129">
        <v>99</v>
      </c>
      <c r="AX108" s="129">
        <v>86</v>
      </c>
      <c r="AY108" s="129">
        <v>93</v>
      </c>
      <c r="AZ108" s="129">
        <v>92</v>
      </c>
      <c r="BA108" s="129">
        <v>84</v>
      </c>
      <c r="BB108" s="129">
        <v>96</v>
      </c>
      <c r="BC108" s="129">
        <v>102</v>
      </c>
      <c r="BD108" s="129">
        <v>102</v>
      </c>
      <c r="BE108" s="129">
        <v>95</v>
      </c>
      <c r="BF108" s="129">
        <v>68</v>
      </c>
      <c r="BG108" s="129">
        <v>57</v>
      </c>
      <c r="BH108" s="129">
        <v>56</v>
      </c>
      <c r="BI108" s="129">
        <v>49</v>
      </c>
      <c r="BJ108" s="129">
        <v>46</v>
      </c>
      <c r="BK108" s="129">
        <v>46</v>
      </c>
      <c r="BL108" s="129">
        <v>45</v>
      </c>
      <c r="BM108" s="129">
        <v>42</v>
      </c>
      <c r="BN108" s="129">
        <v>40</v>
      </c>
      <c r="BO108" s="129">
        <v>40</v>
      </c>
      <c r="BP108" s="129">
        <v>39</v>
      </c>
      <c r="BQ108" s="129">
        <v>38</v>
      </c>
      <c r="BR108" s="129">
        <v>38</v>
      </c>
      <c r="BS108" s="129">
        <v>27</v>
      </c>
      <c r="BT108" s="129">
        <v>28</v>
      </c>
      <c r="BU108" s="129">
        <v>29</v>
      </c>
      <c r="BV108" s="129">
        <v>29</v>
      </c>
      <c r="BW108" s="129">
        <v>29</v>
      </c>
      <c r="BX108" s="129">
        <v>28</v>
      </c>
      <c r="BY108" s="129">
        <v>31</v>
      </c>
      <c r="BZ108" s="129">
        <v>32</v>
      </c>
      <c r="CA108" s="129">
        <v>33</v>
      </c>
      <c r="CB108" s="129">
        <v>32</v>
      </c>
      <c r="CC108" s="129">
        <v>31</v>
      </c>
      <c r="CD108" s="129">
        <v>30</v>
      </c>
      <c r="CE108" s="129">
        <v>29</v>
      </c>
      <c r="CF108" s="129">
        <v>31</v>
      </c>
      <c r="CG108" s="129">
        <v>30</v>
      </c>
      <c r="CH108" s="129">
        <v>30</v>
      </c>
      <c r="CI108" s="129">
        <v>30</v>
      </c>
      <c r="CJ108" s="129">
        <v>29</v>
      </c>
      <c r="CK108" s="129">
        <v>30</v>
      </c>
      <c r="CL108" s="129">
        <v>32</v>
      </c>
      <c r="CM108" s="129">
        <v>32</v>
      </c>
      <c r="CN108" s="129">
        <v>30</v>
      </c>
      <c r="CO108" s="129">
        <v>30</v>
      </c>
      <c r="CP108" s="129">
        <v>32</v>
      </c>
      <c r="CQ108" s="129">
        <v>35</v>
      </c>
      <c r="CR108" s="129">
        <v>36</v>
      </c>
      <c r="CS108" s="129">
        <v>37</v>
      </c>
      <c r="CT108" s="129">
        <f>CS108*(1+CT130)</f>
        <v>40.700000000000003</v>
      </c>
      <c r="CU108" s="129">
        <f t="shared" ref="CU108:DQ108" si="310">CT108*(1+CU130)</f>
        <v>40.700000000000003</v>
      </c>
      <c r="CV108" s="129">
        <f t="shared" si="310"/>
        <v>40.700000000000003</v>
      </c>
      <c r="CW108" s="129">
        <f t="shared" si="310"/>
        <v>40.700000000000003</v>
      </c>
      <c r="CX108" s="129">
        <f t="shared" si="310"/>
        <v>40.700000000000003</v>
      </c>
      <c r="CY108" s="129">
        <f t="shared" si="310"/>
        <v>40.700000000000003</v>
      </c>
      <c r="CZ108" s="129">
        <f t="shared" si="310"/>
        <v>40.700000000000003</v>
      </c>
      <c r="DA108" s="129">
        <f t="shared" si="310"/>
        <v>40.700000000000003</v>
      </c>
      <c r="DB108" s="129">
        <f t="shared" si="310"/>
        <v>40.700000000000003</v>
      </c>
      <c r="DC108" s="129">
        <f t="shared" si="310"/>
        <v>40.700000000000003</v>
      </c>
      <c r="DD108" s="129">
        <f t="shared" si="310"/>
        <v>40.700000000000003</v>
      </c>
      <c r="DE108" s="129">
        <f t="shared" si="310"/>
        <v>40.700000000000003</v>
      </c>
      <c r="DF108" s="129">
        <f t="shared" si="310"/>
        <v>42.735000000000007</v>
      </c>
      <c r="DG108" s="129">
        <f t="shared" si="310"/>
        <v>42.735000000000007</v>
      </c>
      <c r="DH108" s="129">
        <f t="shared" si="310"/>
        <v>42.735000000000007</v>
      </c>
      <c r="DI108" s="129">
        <f t="shared" si="310"/>
        <v>42.735000000000007</v>
      </c>
      <c r="DJ108" s="129">
        <f t="shared" si="310"/>
        <v>42.735000000000007</v>
      </c>
      <c r="DK108" s="129">
        <f t="shared" si="310"/>
        <v>42.735000000000007</v>
      </c>
      <c r="DL108" s="129">
        <f t="shared" si="310"/>
        <v>42.735000000000007</v>
      </c>
      <c r="DM108" s="129">
        <f t="shared" si="310"/>
        <v>42.735000000000007</v>
      </c>
      <c r="DN108" s="129">
        <f t="shared" si="310"/>
        <v>42.735000000000007</v>
      </c>
      <c r="DO108" s="129">
        <f t="shared" si="310"/>
        <v>42.735000000000007</v>
      </c>
      <c r="DP108" s="129">
        <f t="shared" si="310"/>
        <v>42.735000000000007</v>
      </c>
      <c r="DQ108" s="129">
        <f t="shared" si="310"/>
        <v>42.735000000000007</v>
      </c>
      <c r="DR108" s="129">
        <f t="shared" ref="DR108" si="311">DQ108*(1+DR130)</f>
        <v>44.871750000000006</v>
      </c>
      <c r="DS108" s="129">
        <f t="shared" ref="DS108" si="312">DR108*(1+DS130)</f>
        <v>44.871750000000006</v>
      </c>
      <c r="DT108" s="129">
        <f t="shared" ref="DT108" si="313">DS108*(1+DT130)</f>
        <v>44.871750000000006</v>
      </c>
      <c r="DU108" s="129">
        <f t="shared" ref="DU108" si="314">DT108*(1+DU130)</f>
        <v>44.871750000000006</v>
      </c>
      <c r="DV108" s="129">
        <f t="shared" ref="DV108" si="315">DU108*(1+DV130)</f>
        <v>44.871750000000006</v>
      </c>
      <c r="DW108" s="129">
        <f t="shared" ref="DW108" si="316">DV108*(1+DW130)</f>
        <v>44.871750000000006</v>
      </c>
      <c r="DX108" s="129">
        <f t="shared" ref="DX108" si="317">DW108*(1+DX130)</f>
        <v>44.871750000000006</v>
      </c>
      <c r="DY108" s="129">
        <f t="shared" ref="DY108" si="318">DX108*(1+DY130)</f>
        <v>44.871750000000006</v>
      </c>
      <c r="DZ108" s="129">
        <f t="shared" ref="DZ108" si="319">DY108*(1+DZ130)</f>
        <v>44.871750000000006</v>
      </c>
      <c r="EA108" s="129">
        <f t="shared" ref="EA108" si="320">DZ108*(1+EA130)</f>
        <v>44.871750000000006</v>
      </c>
      <c r="EB108" s="129">
        <f t="shared" ref="EB108" si="321">EA108*(1+EB130)</f>
        <v>44.871750000000006</v>
      </c>
      <c r="EC108" s="129">
        <f t="shared" ref="EC108" si="322">EB108*(1+EC130)</f>
        <v>44.871750000000006</v>
      </c>
      <c r="ED108" s="113" t="s">
        <v>1</v>
      </c>
    </row>
    <row r="109" spans="1:134" x14ac:dyDescent="0.2">
      <c r="A109" s="698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115"/>
      <c r="AL109" s="115"/>
      <c r="AM109" s="115"/>
      <c r="AN109" s="115"/>
      <c r="AO109" s="115"/>
      <c r="AP109" s="115"/>
      <c r="AQ109" s="115"/>
      <c r="AR109" s="115"/>
      <c r="AS109" s="115"/>
      <c r="AT109" s="115"/>
      <c r="AU109" s="115"/>
      <c r="AV109" s="115"/>
      <c r="AW109" s="115"/>
      <c r="AX109" s="115"/>
      <c r="AY109" s="115"/>
      <c r="AZ109" s="115"/>
      <c r="BA109" s="115"/>
      <c r="BB109" s="115"/>
      <c r="BC109" s="115"/>
      <c r="BD109" s="115"/>
      <c r="BE109" s="115"/>
      <c r="BF109" s="115"/>
      <c r="BG109" s="115"/>
      <c r="BH109" s="115"/>
      <c r="BI109" s="115"/>
      <c r="BJ109" s="115"/>
      <c r="BK109" s="115"/>
      <c r="BL109" s="115"/>
      <c r="BM109" s="115"/>
      <c r="BN109" s="115"/>
      <c r="BO109" s="115"/>
      <c r="BP109" s="115"/>
      <c r="BQ109" s="115"/>
      <c r="BR109" s="115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115"/>
      <c r="CD109" s="115"/>
      <c r="CE109" s="115"/>
      <c r="CF109" s="115"/>
      <c r="CG109" s="115"/>
      <c r="CH109" s="115"/>
      <c r="CI109" s="115"/>
      <c r="CJ109" s="115"/>
      <c r="CK109" s="115"/>
      <c r="CL109" s="115"/>
      <c r="CM109" s="115"/>
      <c r="CN109" s="115"/>
      <c r="CO109" s="115"/>
      <c r="CP109" s="115"/>
      <c r="CQ109" s="115"/>
      <c r="CR109" s="129"/>
      <c r="CS109" s="115"/>
      <c r="CT109" s="115"/>
      <c r="CU109" s="115"/>
      <c r="CV109" s="133"/>
      <c r="CW109" s="133"/>
      <c r="CX109" s="115"/>
      <c r="CY109" s="115"/>
      <c r="CZ109" s="133"/>
      <c r="DA109" s="133"/>
      <c r="DB109" s="115"/>
      <c r="DC109" s="115"/>
      <c r="DD109" s="133"/>
      <c r="DE109" s="133"/>
      <c r="DF109" s="115"/>
      <c r="DG109" s="115"/>
      <c r="DH109" s="133"/>
      <c r="DI109" s="133"/>
      <c r="DJ109" s="115"/>
      <c r="DK109" s="115"/>
      <c r="DL109" s="133"/>
      <c r="DM109" s="133"/>
      <c r="DN109" s="115"/>
      <c r="DO109" s="115"/>
      <c r="DP109" s="133"/>
      <c r="DQ109" s="133"/>
      <c r="DR109" s="115"/>
      <c r="DS109" s="115"/>
      <c r="DT109" s="115"/>
      <c r="DU109" s="115"/>
      <c r="DV109" s="115"/>
      <c r="DW109" s="115"/>
      <c r="DX109" s="115"/>
      <c r="DY109" s="115"/>
      <c r="DZ109" s="115"/>
      <c r="EA109" s="115"/>
      <c r="EB109" s="115"/>
      <c r="EC109" s="115"/>
      <c r="ED109" s="113" t="s">
        <v>1</v>
      </c>
    </row>
    <row r="110" spans="1:134" x14ac:dyDescent="0.2">
      <c r="A110" s="698" t="s">
        <v>49</v>
      </c>
      <c r="B110" s="129">
        <v>320000</v>
      </c>
      <c r="C110" s="129">
        <v>320000</v>
      </c>
      <c r="D110" s="129">
        <v>320000</v>
      </c>
      <c r="E110" s="129">
        <v>446210</v>
      </c>
      <c r="F110" s="129">
        <v>507500</v>
      </c>
      <c r="G110" s="129">
        <v>507500</v>
      </c>
      <c r="H110" s="129">
        <v>547500</v>
      </c>
      <c r="I110" s="129">
        <v>580276</v>
      </c>
      <c r="J110" s="129">
        <v>1357440</v>
      </c>
      <c r="K110" s="129">
        <v>1221762</v>
      </c>
      <c r="L110" s="129">
        <v>1546858</v>
      </c>
      <c r="M110" s="129">
        <v>1989393</v>
      </c>
      <c r="N110" s="129">
        <v>2271585</v>
      </c>
      <c r="O110" s="129">
        <v>1948753</v>
      </c>
      <c r="P110" s="129">
        <v>2203116</v>
      </c>
      <c r="Q110" s="129">
        <v>1963936</v>
      </c>
      <c r="R110" s="129">
        <v>1858616</v>
      </c>
      <c r="S110" s="129">
        <v>2029568</v>
      </c>
      <c r="T110" s="129">
        <v>1969242</v>
      </c>
      <c r="U110" s="129">
        <v>1922785</v>
      </c>
      <c r="V110" s="129">
        <v>1847884</v>
      </c>
      <c r="W110" s="129">
        <v>1646565.42</v>
      </c>
      <c r="X110" s="129">
        <v>1759024</v>
      </c>
      <c r="Y110" s="129">
        <v>1759024</v>
      </c>
      <c r="Z110" s="129">
        <v>1338388</v>
      </c>
      <c r="AA110" s="129">
        <v>1678513</v>
      </c>
      <c r="AB110" s="129">
        <v>1469579</v>
      </c>
      <c r="AC110" s="129">
        <v>1188968</v>
      </c>
      <c r="AD110" s="129">
        <v>884423</v>
      </c>
      <c r="AE110" s="129">
        <v>792176</v>
      </c>
      <c r="AF110" s="129">
        <v>834854</v>
      </c>
      <c r="AG110" s="129">
        <v>725750</v>
      </c>
      <c r="AH110" s="129">
        <v>670132</v>
      </c>
      <c r="AI110" s="129">
        <v>940825</v>
      </c>
      <c r="AJ110" s="129">
        <v>685520</v>
      </c>
      <c r="AK110" s="129">
        <v>939634</v>
      </c>
      <c r="AL110" s="129">
        <v>769651</v>
      </c>
      <c r="AM110" s="129">
        <v>687987</v>
      </c>
      <c r="AN110" s="129">
        <v>711449</v>
      </c>
      <c r="AO110" s="129">
        <v>716783</v>
      </c>
      <c r="AP110" s="129">
        <v>696632</v>
      </c>
      <c r="AQ110" s="129">
        <v>673343</v>
      </c>
      <c r="AR110" s="129">
        <v>667766</v>
      </c>
      <c r="AS110" s="129">
        <v>640553</v>
      </c>
      <c r="AT110" s="129">
        <v>682629</v>
      </c>
      <c r="AU110" s="129">
        <v>668720</v>
      </c>
      <c r="AV110" s="129">
        <v>687703</v>
      </c>
      <c r="AW110" s="129">
        <v>766940</v>
      </c>
      <c r="AX110" s="129">
        <v>624180</v>
      </c>
      <c r="AY110" s="129">
        <v>716394</v>
      </c>
      <c r="AZ110" s="129">
        <v>998450</v>
      </c>
      <c r="BA110" s="129">
        <v>893303</v>
      </c>
      <c r="BB110" s="129">
        <v>841346</v>
      </c>
      <c r="BC110" s="129">
        <v>867407</v>
      </c>
      <c r="BD110" s="129">
        <v>856798</v>
      </c>
      <c r="BE110" s="129">
        <v>887008</v>
      </c>
      <c r="BF110" s="129">
        <v>940165.5</v>
      </c>
      <c r="BG110" s="129">
        <v>1213858.8</v>
      </c>
      <c r="BH110" s="129">
        <v>1055313.2</v>
      </c>
      <c r="BI110" s="129">
        <v>1004496</v>
      </c>
      <c r="BJ110" s="129">
        <v>1076597</v>
      </c>
      <c r="BK110" s="129">
        <v>698785</v>
      </c>
      <c r="BL110" s="129">
        <v>723618</v>
      </c>
      <c r="BM110" s="129">
        <v>350087</v>
      </c>
      <c r="BN110" s="129">
        <v>303995</v>
      </c>
      <c r="BO110" s="129">
        <v>243061</v>
      </c>
      <c r="BP110" s="129">
        <v>234254</v>
      </c>
      <c r="BQ110" s="129">
        <v>263345</v>
      </c>
      <c r="BR110" s="129">
        <v>273364</v>
      </c>
      <c r="BS110" s="129">
        <v>197453</v>
      </c>
      <c r="BT110" s="129">
        <v>0</v>
      </c>
      <c r="BU110" s="129">
        <v>0</v>
      </c>
      <c r="BV110" s="129">
        <v>0</v>
      </c>
      <c r="BW110" s="129">
        <v>0</v>
      </c>
      <c r="BX110" s="129">
        <v>0</v>
      </c>
      <c r="BY110" s="129">
        <v>0</v>
      </c>
      <c r="BZ110" s="129">
        <v>0</v>
      </c>
      <c r="CA110" s="129">
        <v>0</v>
      </c>
      <c r="CB110" s="129">
        <v>0</v>
      </c>
      <c r="CC110" s="129">
        <v>0</v>
      </c>
      <c r="CD110" s="129">
        <v>0</v>
      </c>
      <c r="CE110" s="129">
        <v>0</v>
      </c>
      <c r="CF110" s="129">
        <v>0</v>
      </c>
      <c r="CG110" s="129">
        <v>0</v>
      </c>
      <c r="CH110" s="129">
        <v>0</v>
      </c>
      <c r="CI110" s="129">
        <v>0</v>
      </c>
      <c r="CJ110" s="129">
        <v>0</v>
      </c>
      <c r="CK110" s="129">
        <v>0</v>
      </c>
      <c r="CL110" s="129">
        <v>0</v>
      </c>
      <c r="CM110" s="129">
        <v>0</v>
      </c>
      <c r="CN110" s="129">
        <v>0</v>
      </c>
      <c r="CO110" s="129">
        <v>0</v>
      </c>
      <c r="CP110" s="129">
        <v>0</v>
      </c>
      <c r="CQ110" s="129">
        <v>0</v>
      </c>
      <c r="CR110" s="129">
        <v>0</v>
      </c>
      <c r="CS110" s="129">
        <v>0</v>
      </c>
      <c r="CT110" s="130">
        <v>0</v>
      </c>
      <c r="CU110" s="130">
        <v>0</v>
      </c>
      <c r="CV110" s="130">
        <v>0</v>
      </c>
      <c r="CW110" s="130">
        <v>0</v>
      </c>
      <c r="CX110" s="130">
        <v>0</v>
      </c>
      <c r="CY110" s="130">
        <v>0</v>
      </c>
      <c r="CZ110" s="130">
        <v>0</v>
      </c>
      <c r="DA110" s="130">
        <v>0</v>
      </c>
      <c r="DB110" s="130">
        <v>0</v>
      </c>
      <c r="DC110" s="130">
        <v>0</v>
      </c>
      <c r="DD110" s="130">
        <v>0</v>
      </c>
      <c r="DE110" s="130">
        <v>0</v>
      </c>
      <c r="DF110" s="130">
        <v>0</v>
      </c>
      <c r="DG110" s="130">
        <v>0</v>
      </c>
      <c r="DH110" s="130">
        <v>0</v>
      </c>
      <c r="DI110" s="130">
        <v>0</v>
      </c>
      <c r="DJ110" s="130">
        <v>0</v>
      </c>
      <c r="DK110" s="130">
        <v>0</v>
      </c>
      <c r="DL110" s="130">
        <v>0</v>
      </c>
      <c r="DM110" s="130">
        <v>0</v>
      </c>
      <c r="DN110" s="130">
        <v>0</v>
      </c>
      <c r="DO110" s="130">
        <v>0</v>
      </c>
      <c r="DP110" s="130">
        <v>0</v>
      </c>
      <c r="DQ110" s="130">
        <v>0</v>
      </c>
      <c r="DR110" s="130">
        <v>0</v>
      </c>
      <c r="DS110" s="130">
        <v>0</v>
      </c>
      <c r="DT110" s="130">
        <v>0</v>
      </c>
      <c r="DU110" s="130">
        <v>0</v>
      </c>
      <c r="DV110" s="130">
        <v>0</v>
      </c>
      <c r="DW110" s="130">
        <v>0</v>
      </c>
      <c r="DX110" s="130">
        <v>0</v>
      </c>
      <c r="DY110" s="130">
        <v>0</v>
      </c>
      <c r="DZ110" s="130">
        <v>0</v>
      </c>
      <c r="EA110" s="130">
        <v>0</v>
      </c>
      <c r="EB110" s="130">
        <v>0</v>
      </c>
      <c r="EC110" s="130">
        <v>0</v>
      </c>
      <c r="ED110" s="113" t="s">
        <v>1</v>
      </c>
    </row>
    <row r="111" spans="1:134" x14ac:dyDescent="0.2">
      <c r="A111" s="698" t="s">
        <v>50</v>
      </c>
      <c r="B111" s="129">
        <v>119170</v>
      </c>
      <c r="C111" s="129">
        <v>102860</v>
      </c>
      <c r="D111" s="129">
        <v>129867</v>
      </c>
      <c r="E111" s="129">
        <v>193196</v>
      </c>
      <c r="F111" s="129">
        <v>345137</v>
      </c>
      <c r="G111" s="129">
        <v>360871</v>
      </c>
      <c r="H111" s="129">
        <v>347888</v>
      </c>
      <c r="I111" s="129">
        <v>300767</v>
      </c>
      <c r="J111" s="129">
        <v>281112</v>
      </c>
      <c r="K111" s="129">
        <v>321420</v>
      </c>
      <c r="L111" s="129">
        <v>375351</v>
      </c>
      <c r="M111" s="129">
        <v>511418</v>
      </c>
      <c r="N111" s="129">
        <v>488191</v>
      </c>
      <c r="O111" s="129">
        <v>580173</v>
      </c>
      <c r="P111" s="129">
        <v>575894</v>
      </c>
      <c r="Q111" s="129">
        <v>503788</v>
      </c>
      <c r="R111" s="129">
        <v>418438</v>
      </c>
      <c r="S111" s="129">
        <v>476815</v>
      </c>
      <c r="T111" s="129">
        <v>507810</v>
      </c>
      <c r="U111" s="129">
        <v>464905</v>
      </c>
      <c r="V111" s="129">
        <v>415640</v>
      </c>
      <c r="W111" s="129">
        <v>411605</v>
      </c>
      <c r="X111" s="129">
        <v>393867</v>
      </c>
      <c r="Y111" s="129">
        <v>316005</v>
      </c>
      <c r="Z111" s="129">
        <v>470553.5317254329</v>
      </c>
      <c r="AA111" s="129">
        <v>167968</v>
      </c>
      <c r="AB111" s="129">
        <v>111563</v>
      </c>
      <c r="AC111" s="129">
        <v>133921</v>
      </c>
      <c r="AD111" s="129">
        <v>181099</v>
      </c>
      <c r="AE111" s="129">
        <v>401699</v>
      </c>
      <c r="AF111" s="129">
        <v>635256</v>
      </c>
      <c r="AG111" s="129">
        <v>733431</v>
      </c>
      <c r="AH111" s="129">
        <v>688456</v>
      </c>
      <c r="AI111" s="129">
        <v>802236</v>
      </c>
      <c r="AJ111" s="129">
        <v>914556</v>
      </c>
      <c r="AK111" s="129">
        <v>861589</v>
      </c>
      <c r="AL111" s="129">
        <v>921391</v>
      </c>
      <c r="AM111" s="129">
        <v>638622</v>
      </c>
      <c r="AN111" s="129">
        <v>880572</v>
      </c>
      <c r="AO111" s="129">
        <v>639506</v>
      </c>
      <c r="AP111" s="129">
        <v>682309</v>
      </c>
      <c r="AQ111" s="129">
        <v>803734</v>
      </c>
      <c r="AR111" s="129">
        <v>2002634</v>
      </c>
      <c r="AS111" s="129">
        <v>1877212</v>
      </c>
      <c r="AT111" s="129">
        <v>1774777</v>
      </c>
      <c r="AU111" s="129">
        <v>1644553</v>
      </c>
      <c r="AV111" s="129">
        <v>1983331</v>
      </c>
      <c r="AW111" s="129">
        <v>2552623</v>
      </c>
      <c r="AX111" s="129">
        <v>2369337</v>
      </c>
      <c r="AY111" s="129">
        <v>1358909.8698016074</v>
      </c>
      <c r="AZ111" s="129">
        <v>1563745.8719496131</v>
      </c>
      <c r="BA111" s="129">
        <v>1703150.730842442</v>
      </c>
      <c r="BB111" s="129">
        <v>1993670.0127223311</v>
      </c>
      <c r="BC111" s="129">
        <v>3364599.9783716546</v>
      </c>
      <c r="BD111" s="129">
        <v>3178769.9658822352</v>
      </c>
      <c r="BE111" s="129">
        <v>1335971.2222654747</v>
      </c>
      <c r="BF111" s="129">
        <v>1154484.005361205</v>
      </c>
      <c r="BG111" s="129">
        <v>1210013.1657019169</v>
      </c>
      <c r="BH111" s="129">
        <v>1152992.3919665134</v>
      </c>
      <c r="BI111" s="129">
        <v>1151979.3302819543</v>
      </c>
      <c r="BJ111" s="129">
        <v>894992.89759653993</v>
      </c>
      <c r="BK111" s="129">
        <v>809606.70645641349</v>
      </c>
      <c r="BL111" s="129">
        <v>715257.06970813009</v>
      </c>
      <c r="BM111" s="129">
        <v>628208.81039874791</v>
      </c>
      <c r="BN111" s="129">
        <v>626620.08275778405</v>
      </c>
      <c r="BO111" s="129">
        <v>375671.14197331824</v>
      </c>
      <c r="BP111" s="129">
        <v>444778.81229756272</v>
      </c>
      <c r="BQ111" s="129">
        <v>444549.22529820644</v>
      </c>
      <c r="BR111" s="129">
        <v>386114.64227372286</v>
      </c>
      <c r="BS111" s="129">
        <v>397408.89736923954</v>
      </c>
      <c r="BT111" s="129">
        <v>395985</v>
      </c>
      <c r="BU111" s="129">
        <v>428776.98275514529</v>
      </c>
      <c r="BV111" s="129">
        <v>492032.03192551283</v>
      </c>
      <c r="BW111" s="129">
        <v>477779.39648057235</v>
      </c>
      <c r="BX111" s="129">
        <v>444452.2087641923</v>
      </c>
      <c r="BY111" s="129">
        <v>405979.25320796296</v>
      </c>
      <c r="BZ111" s="129">
        <v>401174.58221780002</v>
      </c>
      <c r="CA111" s="129">
        <v>380405.59515486262</v>
      </c>
      <c r="CB111" s="129">
        <v>442235.62397427199</v>
      </c>
      <c r="CC111" s="129">
        <v>481871.09502941289</v>
      </c>
      <c r="CD111" s="129">
        <v>469342.00489583873</v>
      </c>
      <c r="CE111" s="129">
        <v>485979.21991715091</v>
      </c>
      <c r="CF111" s="129">
        <v>708086.84594271518</v>
      </c>
      <c r="CG111" s="129">
        <v>739058.38846764877</v>
      </c>
      <c r="CH111" s="129">
        <v>578355.14984714834</v>
      </c>
      <c r="CI111" s="129">
        <v>621023.88317124231</v>
      </c>
      <c r="CJ111" s="129">
        <v>862619.47294813907</v>
      </c>
      <c r="CK111" s="129">
        <v>1122276.7524906197</v>
      </c>
      <c r="CL111" s="129">
        <v>911971.87214929913</v>
      </c>
      <c r="CM111" s="129">
        <v>561922.44644767803</v>
      </c>
      <c r="CN111" s="129">
        <v>664171.2840262081</v>
      </c>
      <c r="CO111" s="129">
        <v>669677.40772518329</v>
      </c>
      <c r="CP111" s="129">
        <v>516865.18216863566</v>
      </c>
      <c r="CQ111" s="129">
        <v>537621.72732288623</v>
      </c>
      <c r="CR111" s="129">
        <v>487070.68551804364</v>
      </c>
      <c r="CS111" s="129">
        <v>499855.95290070958</v>
      </c>
      <c r="CT111" s="130">
        <f>AVERAGE(CH111:CS111)*(1+CT135)</f>
        <v>702925.28396263183</v>
      </c>
      <c r="CU111" s="130">
        <f t="shared" ref="CU111:DQ112" si="323">CT111*(1+CU135)</f>
        <v>702925.28396263183</v>
      </c>
      <c r="CV111" s="130">
        <f t="shared" si="323"/>
        <v>702925.28396263183</v>
      </c>
      <c r="CW111" s="130">
        <f t="shared" si="323"/>
        <v>702925.28396263183</v>
      </c>
      <c r="CX111" s="130">
        <f t="shared" si="323"/>
        <v>702925.28396263183</v>
      </c>
      <c r="CY111" s="130">
        <f t="shared" si="323"/>
        <v>702925.28396263183</v>
      </c>
      <c r="CZ111" s="130">
        <f t="shared" si="323"/>
        <v>702925.28396263183</v>
      </c>
      <c r="DA111" s="130">
        <f t="shared" si="323"/>
        <v>702925.28396263183</v>
      </c>
      <c r="DB111" s="130">
        <f t="shared" si="323"/>
        <v>702925.28396263183</v>
      </c>
      <c r="DC111" s="130">
        <f t="shared" si="323"/>
        <v>702925.28396263183</v>
      </c>
      <c r="DD111" s="130">
        <f t="shared" si="323"/>
        <v>702925.28396263183</v>
      </c>
      <c r="DE111" s="130">
        <f t="shared" si="323"/>
        <v>702925.28396263183</v>
      </c>
      <c r="DF111" s="130">
        <f t="shared" si="323"/>
        <v>738071.54816076346</v>
      </c>
      <c r="DG111" s="130">
        <f t="shared" ref="DG111" si="324">DF111*(1+DG135)</f>
        <v>738071.54816076346</v>
      </c>
      <c r="DH111" s="130">
        <f t="shared" ref="DH111" si="325">DG111*(1+DH135)</f>
        <v>738071.54816076346</v>
      </c>
      <c r="DI111" s="130">
        <f t="shared" ref="DI111" si="326">DH111*(1+DI135)</f>
        <v>738071.54816076346</v>
      </c>
      <c r="DJ111" s="130">
        <f t="shared" ref="DJ111" si="327">DI111*(1+DJ135)</f>
        <v>738071.54816076346</v>
      </c>
      <c r="DK111" s="130">
        <f t="shared" ref="DK111" si="328">DJ111*(1+DK135)</f>
        <v>738071.54816076346</v>
      </c>
      <c r="DL111" s="130">
        <f t="shared" ref="DL111" si="329">DK111*(1+DL135)</f>
        <v>738071.54816076346</v>
      </c>
      <c r="DM111" s="130">
        <f t="shared" ref="DM111" si="330">DL111*(1+DM135)</f>
        <v>738071.54816076346</v>
      </c>
      <c r="DN111" s="130">
        <f t="shared" ref="DN111" si="331">DM111*(1+DN135)</f>
        <v>738071.54816076346</v>
      </c>
      <c r="DO111" s="130">
        <f t="shared" ref="DO111" si="332">DN111*(1+DO135)</f>
        <v>738071.54816076346</v>
      </c>
      <c r="DP111" s="130">
        <f t="shared" ref="DP111" si="333">DO111*(1+DP135)</f>
        <v>738071.54816076346</v>
      </c>
      <c r="DQ111" s="130">
        <f t="shared" ref="DQ111" si="334">DP111*(1+DQ135)</f>
        <v>738071.54816076346</v>
      </c>
      <c r="DR111" s="130">
        <f t="shared" ref="DR111" si="335">DQ111*(1+DR135)</f>
        <v>774975.12556880165</v>
      </c>
      <c r="DS111" s="130">
        <f t="shared" ref="DS111" si="336">DR111*(1+DS135)</f>
        <v>774975.12556880165</v>
      </c>
      <c r="DT111" s="130">
        <f t="shared" ref="DT111" si="337">DS111*(1+DT135)</f>
        <v>774975.12556880165</v>
      </c>
      <c r="DU111" s="130">
        <f t="shared" ref="DU111" si="338">DT111*(1+DU135)</f>
        <v>774975.12556880165</v>
      </c>
      <c r="DV111" s="130">
        <f t="shared" ref="DV111" si="339">DU111*(1+DV135)</f>
        <v>774975.12556880165</v>
      </c>
      <c r="DW111" s="130">
        <f t="shared" ref="DW111" si="340">DV111*(1+DW135)</f>
        <v>774975.12556880165</v>
      </c>
      <c r="DX111" s="130">
        <f t="shared" ref="DX111" si="341">DW111*(1+DX135)</f>
        <v>774975.12556880165</v>
      </c>
      <c r="DY111" s="130">
        <f t="shared" ref="DY111" si="342">DX111*(1+DY135)</f>
        <v>774975.12556880165</v>
      </c>
      <c r="DZ111" s="130">
        <f t="shared" ref="DZ111" si="343">DY111*(1+DZ135)</f>
        <v>774975.12556880165</v>
      </c>
      <c r="EA111" s="130">
        <f t="shared" ref="EA111" si="344">DZ111*(1+EA135)</f>
        <v>774975.12556880165</v>
      </c>
      <c r="EB111" s="130">
        <f t="shared" ref="EB111" si="345">EA111*(1+EB135)</f>
        <v>774975.12556880165</v>
      </c>
      <c r="EC111" s="130">
        <f t="shared" ref="EC111" si="346">EB111*(1+EC135)</f>
        <v>774975.12556880165</v>
      </c>
      <c r="ED111" s="113" t="s">
        <v>1</v>
      </c>
    </row>
    <row r="112" spans="1:134" x14ac:dyDescent="0.2">
      <c r="A112" s="698" t="s">
        <v>51</v>
      </c>
      <c r="B112" s="129">
        <v>0</v>
      </c>
      <c r="C112" s="129">
        <v>0</v>
      </c>
      <c r="D112" s="129">
        <v>0</v>
      </c>
      <c r="E112" s="129">
        <v>0</v>
      </c>
      <c r="F112" s="129">
        <v>0</v>
      </c>
      <c r="G112" s="129">
        <v>0</v>
      </c>
      <c r="H112" s="129">
        <v>0</v>
      </c>
      <c r="I112" s="129">
        <v>0</v>
      </c>
      <c r="J112" s="129">
        <v>223720</v>
      </c>
      <c r="K112" s="129">
        <v>108957.42</v>
      </c>
      <c r="L112" s="129">
        <v>201652</v>
      </c>
      <c r="M112" s="129">
        <v>194828</v>
      </c>
      <c r="N112" s="129">
        <v>175006</v>
      </c>
      <c r="O112" s="129">
        <v>142392.24</v>
      </c>
      <c r="P112" s="129">
        <v>116776</v>
      </c>
      <c r="Q112" s="129">
        <v>140877</v>
      </c>
      <c r="R112" s="129">
        <v>46296</v>
      </c>
      <c r="S112" s="129">
        <v>39858.239999999998</v>
      </c>
      <c r="T112" s="129">
        <v>90814.05</v>
      </c>
      <c r="U112" s="129">
        <v>29802.58</v>
      </c>
      <c r="V112" s="129">
        <v>75439.570000000007</v>
      </c>
      <c r="W112" s="129">
        <v>112611</v>
      </c>
      <c r="X112" s="129">
        <v>95791.32</v>
      </c>
      <c r="Y112" s="129">
        <v>100979.75</v>
      </c>
      <c r="Z112" s="129">
        <v>0</v>
      </c>
      <c r="AA112" s="129">
        <v>0</v>
      </c>
      <c r="AB112" s="129">
        <v>22497</v>
      </c>
      <c r="AC112" s="129">
        <v>29680</v>
      </c>
      <c r="AD112" s="129">
        <v>30124</v>
      </c>
      <c r="AE112" s="129">
        <v>314508</v>
      </c>
      <c r="AF112" s="129">
        <v>365079</v>
      </c>
      <c r="AG112" s="129">
        <v>102558.26</v>
      </c>
      <c r="AH112" s="129">
        <v>145448</v>
      </c>
      <c r="AI112" s="129">
        <v>223298</v>
      </c>
      <c r="AJ112" s="129">
        <v>162567</v>
      </c>
      <c r="AK112" s="129">
        <v>152324.94</v>
      </c>
      <c r="AL112" s="129">
        <v>31014</v>
      </c>
      <c r="AM112" s="129">
        <v>49774</v>
      </c>
      <c r="AN112" s="129">
        <v>10190</v>
      </c>
      <c r="AO112" s="129">
        <v>224784</v>
      </c>
      <c r="AP112" s="129">
        <v>368820</v>
      </c>
      <c r="AQ112" s="129">
        <v>713891</v>
      </c>
      <c r="AR112" s="129">
        <v>752883</v>
      </c>
      <c r="AS112" s="129">
        <v>570663</v>
      </c>
      <c r="AT112" s="129">
        <v>757780</v>
      </c>
      <c r="AU112" s="129">
        <v>706812</v>
      </c>
      <c r="AV112" s="129">
        <v>561038</v>
      </c>
      <c r="AW112" s="129">
        <v>1495893</v>
      </c>
      <c r="AX112" s="129">
        <v>1104824</v>
      </c>
      <c r="AY112" s="129">
        <v>918076</v>
      </c>
      <c r="AZ112" s="129">
        <v>1226325</v>
      </c>
      <c r="BA112" s="129">
        <v>1231887</v>
      </c>
      <c r="BB112" s="129">
        <v>1151398</v>
      </c>
      <c r="BC112" s="129">
        <v>1185646</v>
      </c>
      <c r="BD112" s="129">
        <v>1277978</v>
      </c>
      <c r="BE112" s="129">
        <v>709870</v>
      </c>
      <c r="BF112" s="129">
        <v>1045439</v>
      </c>
      <c r="BG112" s="129">
        <v>1108738.5</v>
      </c>
      <c r="BH112" s="129">
        <v>826071.5</v>
      </c>
      <c r="BI112" s="129">
        <v>687174</v>
      </c>
      <c r="BJ112" s="129">
        <v>200344</v>
      </c>
      <c r="BK112" s="129">
        <v>554715</v>
      </c>
      <c r="BL112" s="129">
        <v>409415</v>
      </c>
      <c r="BM112" s="129">
        <v>538292</v>
      </c>
      <c r="BN112" s="129">
        <v>646996</v>
      </c>
      <c r="BO112" s="129">
        <v>635395</v>
      </c>
      <c r="BP112" s="129">
        <v>691652</v>
      </c>
      <c r="BQ112" s="129">
        <v>570943</v>
      </c>
      <c r="BR112" s="129">
        <v>723911</v>
      </c>
      <c r="BS112" s="129">
        <v>571906</v>
      </c>
      <c r="BT112" s="129">
        <v>368881</v>
      </c>
      <c r="BU112" s="129">
        <v>362579</v>
      </c>
      <c r="BV112" s="129">
        <v>242469</v>
      </c>
      <c r="BW112" s="129">
        <v>372064</v>
      </c>
      <c r="BX112" s="129">
        <v>561237</v>
      </c>
      <c r="BY112" s="129">
        <v>534976</v>
      </c>
      <c r="BZ112" s="129">
        <v>436541</v>
      </c>
      <c r="CA112" s="129">
        <v>310815</v>
      </c>
      <c r="CB112" s="129">
        <v>431886</v>
      </c>
      <c r="CC112" s="129">
        <v>353467</v>
      </c>
      <c r="CD112" s="129">
        <v>597770</v>
      </c>
      <c r="CE112" s="129">
        <v>459291</v>
      </c>
      <c r="CF112" s="129">
        <v>417915</v>
      </c>
      <c r="CG112" s="129">
        <v>773852</v>
      </c>
      <c r="CH112" s="129">
        <v>414395</v>
      </c>
      <c r="CI112" s="129">
        <v>510735.8</v>
      </c>
      <c r="CJ112" s="129">
        <v>178406</v>
      </c>
      <c r="CK112" s="129">
        <v>674624</v>
      </c>
      <c r="CL112" s="129">
        <v>399506</v>
      </c>
      <c r="CM112" s="129">
        <v>735973.19433333341</v>
      </c>
      <c r="CN112" s="129">
        <v>437111.36</v>
      </c>
      <c r="CO112" s="129">
        <v>664771.59</v>
      </c>
      <c r="CP112" s="129">
        <v>611423.99</v>
      </c>
      <c r="CQ112" s="129">
        <v>831832</v>
      </c>
      <c r="CR112" s="129">
        <v>494409</v>
      </c>
      <c r="CS112" s="129">
        <v>2516874</v>
      </c>
      <c r="CT112" s="130">
        <f>AVERAGE(CH112:CS112)*(1+CT136)</f>
        <v>776422.34398055554</v>
      </c>
      <c r="CU112" s="130">
        <f t="shared" ref="CU112:DF112" si="347">CT112*(1+CU136)</f>
        <v>776422.34398055554</v>
      </c>
      <c r="CV112" s="130">
        <f t="shared" si="347"/>
        <v>776422.34398055554</v>
      </c>
      <c r="CW112" s="130">
        <f t="shared" si="347"/>
        <v>776422.34398055554</v>
      </c>
      <c r="CX112" s="130">
        <f t="shared" si="347"/>
        <v>776422.34398055554</v>
      </c>
      <c r="CY112" s="130">
        <f t="shared" si="347"/>
        <v>776422.34398055554</v>
      </c>
      <c r="CZ112" s="130">
        <f t="shared" si="347"/>
        <v>776422.34398055554</v>
      </c>
      <c r="DA112" s="130">
        <f t="shared" si="347"/>
        <v>776422.34398055554</v>
      </c>
      <c r="DB112" s="130">
        <f t="shared" si="347"/>
        <v>776422.34398055554</v>
      </c>
      <c r="DC112" s="130">
        <f t="shared" si="347"/>
        <v>776422.34398055554</v>
      </c>
      <c r="DD112" s="130">
        <f t="shared" si="347"/>
        <v>776422.34398055554</v>
      </c>
      <c r="DE112" s="130">
        <f t="shared" si="347"/>
        <v>776422.34398055554</v>
      </c>
      <c r="DF112" s="130">
        <f t="shared" si="347"/>
        <v>815243.46117958333</v>
      </c>
      <c r="DG112" s="130">
        <f t="shared" si="323"/>
        <v>815243.46117958333</v>
      </c>
      <c r="DH112" s="130">
        <f t="shared" si="323"/>
        <v>815243.46117958333</v>
      </c>
      <c r="DI112" s="130">
        <f t="shared" si="323"/>
        <v>815243.46117958333</v>
      </c>
      <c r="DJ112" s="130">
        <f t="shared" si="323"/>
        <v>815243.46117958333</v>
      </c>
      <c r="DK112" s="130">
        <f t="shared" si="323"/>
        <v>815243.46117958333</v>
      </c>
      <c r="DL112" s="130">
        <f t="shared" si="323"/>
        <v>815243.46117958333</v>
      </c>
      <c r="DM112" s="130">
        <f t="shared" si="323"/>
        <v>815243.46117958333</v>
      </c>
      <c r="DN112" s="130">
        <f t="shared" si="323"/>
        <v>815243.46117958333</v>
      </c>
      <c r="DO112" s="130">
        <f t="shared" si="323"/>
        <v>815243.46117958333</v>
      </c>
      <c r="DP112" s="130">
        <f t="shared" si="323"/>
        <v>815243.46117958333</v>
      </c>
      <c r="DQ112" s="130">
        <f t="shared" si="323"/>
        <v>815243.46117958333</v>
      </c>
      <c r="DR112" s="130">
        <f t="shared" ref="DR112" si="348">DQ112*(1+DR136)</f>
        <v>856005.63423856255</v>
      </c>
      <c r="DS112" s="130">
        <f t="shared" ref="DS112" si="349">DR112*(1+DS136)</f>
        <v>856005.63423856255</v>
      </c>
      <c r="DT112" s="130">
        <f t="shared" ref="DT112" si="350">DS112*(1+DT136)</f>
        <v>856005.63423856255</v>
      </c>
      <c r="DU112" s="130">
        <f t="shared" ref="DU112" si="351">DT112*(1+DU136)</f>
        <v>856005.63423856255</v>
      </c>
      <c r="DV112" s="130">
        <f t="shared" ref="DV112" si="352">DU112*(1+DV136)</f>
        <v>856005.63423856255</v>
      </c>
      <c r="DW112" s="130">
        <f t="shared" ref="DW112" si="353">DV112*(1+DW136)</f>
        <v>856005.63423856255</v>
      </c>
      <c r="DX112" s="130">
        <f t="shared" ref="DX112" si="354">DW112*(1+DX136)</f>
        <v>856005.63423856255</v>
      </c>
      <c r="DY112" s="130">
        <f t="shared" ref="DY112" si="355">DX112*(1+DY136)</f>
        <v>856005.63423856255</v>
      </c>
      <c r="DZ112" s="130">
        <f t="shared" ref="DZ112" si="356">DY112*(1+DZ136)</f>
        <v>856005.63423856255</v>
      </c>
      <c r="EA112" s="130">
        <f t="shared" ref="EA112" si="357">DZ112*(1+EA136)</f>
        <v>856005.63423856255</v>
      </c>
      <c r="EB112" s="130">
        <f t="shared" ref="EB112" si="358">EA112*(1+EB136)</f>
        <v>856005.63423856255</v>
      </c>
      <c r="EC112" s="130">
        <f t="shared" ref="EC112" si="359">EB112*(1+EC136)</f>
        <v>856005.63423856255</v>
      </c>
      <c r="ED112" s="113" t="s">
        <v>1</v>
      </c>
    </row>
    <row r="113" spans="1:134" x14ac:dyDescent="0.2">
      <c r="A113" s="698" t="s">
        <v>52</v>
      </c>
      <c r="B113" s="129">
        <v>0</v>
      </c>
      <c r="C113" s="129">
        <v>0</v>
      </c>
      <c r="D113" s="129">
        <v>0</v>
      </c>
      <c r="E113" s="129">
        <v>0</v>
      </c>
      <c r="F113" s="129">
        <v>0</v>
      </c>
      <c r="G113" s="129">
        <v>0</v>
      </c>
      <c r="H113" s="129">
        <v>0</v>
      </c>
      <c r="I113" s="129">
        <v>0</v>
      </c>
      <c r="J113" s="129">
        <v>158674</v>
      </c>
      <c r="K113" s="129">
        <v>1654852.1</v>
      </c>
      <c r="L113" s="129">
        <v>192854.99</v>
      </c>
      <c r="M113" s="129">
        <v>365557.41000000003</v>
      </c>
      <c r="N113" s="129">
        <v>227829.82</v>
      </c>
      <c r="O113" s="129">
        <v>227280.96</v>
      </c>
      <c r="P113" s="129">
        <v>310897.38</v>
      </c>
      <c r="Q113" s="129">
        <v>161887.74</v>
      </c>
      <c r="R113" s="129">
        <v>227408.43</v>
      </c>
      <c r="S113" s="129">
        <v>61017.98000000001</v>
      </c>
      <c r="T113" s="129">
        <v>164806.57</v>
      </c>
      <c r="U113" s="129">
        <v>93312.78</v>
      </c>
      <c r="V113" s="129">
        <v>5298.1700000000128</v>
      </c>
      <c r="W113" s="129">
        <v>615749</v>
      </c>
      <c r="X113" s="129">
        <v>560359</v>
      </c>
      <c r="Y113" s="129">
        <v>169016.56</v>
      </c>
      <c r="Z113" s="129">
        <v>761.1</v>
      </c>
      <c r="AA113" s="129">
        <v>30371.9</v>
      </c>
      <c r="AB113" s="129">
        <v>47443.63</v>
      </c>
      <c r="AC113" s="129">
        <v>546226.91999999993</v>
      </c>
      <c r="AD113" s="129">
        <v>822478.77</v>
      </c>
      <c r="AE113" s="129">
        <v>1017687.94</v>
      </c>
      <c r="AF113" s="129">
        <v>804606</v>
      </c>
      <c r="AG113" s="129">
        <v>399660.73</v>
      </c>
      <c r="AH113" s="129">
        <v>751814.44</v>
      </c>
      <c r="AI113" s="129">
        <v>1609564.25</v>
      </c>
      <c r="AJ113" s="129">
        <v>699862.16999999993</v>
      </c>
      <c r="AK113" s="129">
        <v>817191</v>
      </c>
      <c r="AL113" s="129">
        <v>3000</v>
      </c>
      <c r="AM113" s="129">
        <v>23011</v>
      </c>
      <c r="AN113" s="129">
        <v>8603</v>
      </c>
      <c r="AO113" s="129">
        <v>37244</v>
      </c>
      <c r="AP113" s="129">
        <v>36166</v>
      </c>
      <c r="AQ113" s="129">
        <v>99322.2</v>
      </c>
      <c r="AR113" s="129">
        <v>2881.7400000000002</v>
      </c>
      <c r="AS113" s="129">
        <v>73622</v>
      </c>
      <c r="AT113" s="129">
        <v>83672.759999999995</v>
      </c>
      <c r="AU113" s="129">
        <v>160053.1</v>
      </c>
      <c r="AV113" s="129">
        <v>48366.7</v>
      </c>
      <c r="AW113" s="129">
        <v>222101.01</v>
      </c>
      <c r="AX113" s="129">
        <v>3261519</v>
      </c>
      <c r="AY113" s="129">
        <v>131883.75</v>
      </c>
      <c r="AZ113" s="129">
        <v>211168</v>
      </c>
      <c r="BA113" s="129">
        <v>66893</v>
      </c>
      <c r="BB113" s="129">
        <v>106450</v>
      </c>
      <c r="BC113" s="129">
        <v>245602</v>
      </c>
      <c r="BD113" s="129">
        <v>179786</v>
      </c>
      <c r="BE113" s="129">
        <v>52942</v>
      </c>
      <c r="BF113" s="129">
        <v>66503</v>
      </c>
      <c r="BG113" s="129">
        <v>99016</v>
      </c>
      <c r="BH113" s="129">
        <v>130266</v>
      </c>
      <c r="BI113" s="129">
        <v>62067</v>
      </c>
      <c r="BJ113" s="129">
        <v>150556</v>
      </c>
      <c r="BK113" s="129">
        <v>143604.58000000002</v>
      </c>
      <c r="BL113" s="129">
        <v>127781</v>
      </c>
      <c r="BM113" s="129">
        <v>110589</v>
      </c>
      <c r="BN113" s="129">
        <v>67460</v>
      </c>
      <c r="BO113" s="129">
        <v>109510.37</v>
      </c>
      <c r="BP113" s="129">
        <v>57328.6</v>
      </c>
      <c r="BQ113" s="129">
        <v>59263.270000000004</v>
      </c>
      <c r="BR113" s="129">
        <v>79249</v>
      </c>
      <c r="BS113" s="129">
        <v>97078.73</v>
      </c>
      <c r="BT113" s="129">
        <v>68543.31</v>
      </c>
      <c r="BU113" s="129">
        <v>92905.36</v>
      </c>
      <c r="BV113" s="129">
        <v>0</v>
      </c>
      <c r="BW113" s="129">
        <v>21993.46</v>
      </c>
      <c r="BX113" s="129">
        <v>30288.84</v>
      </c>
      <c r="BY113" s="129">
        <v>46845.490000000005</v>
      </c>
      <c r="BZ113" s="129">
        <v>53556</v>
      </c>
      <c r="CA113" s="129">
        <v>38677</v>
      </c>
      <c r="CB113" s="129">
        <v>28338.54</v>
      </c>
      <c r="CC113" s="129">
        <v>138486.29999999999</v>
      </c>
      <c r="CD113" s="129">
        <v>45313.82</v>
      </c>
      <c r="CE113" s="129">
        <v>107626</v>
      </c>
      <c r="CF113" s="129">
        <v>51976.28</v>
      </c>
      <c r="CG113" s="129">
        <v>2612761.2799999998</v>
      </c>
      <c r="CH113" s="129">
        <v>422500</v>
      </c>
      <c r="CI113" s="129">
        <v>31352</v>
      </c>
      <c r="CJ113" s="129">
        <v>27860</v>
      </c>
      <c r="CK113" s="129">
        <v>29100</v>
      </c>
      <c r="CL113" s="129">
        <v>15390</v>
      </c>
      <c r="CM113" s="129">
        <v>4200</v>
      </c>
      <c r="CN113" s="129">
        <v>0</v>
      </c>
      <c r="CO113" s="129">
        <v>0</v>
      </c>
      <c r="CP113" s="129">
        <v>0</v>
      </c>
      <c r="CQ113" s="129">
        <v>0</v>
      </c>
      <c r="CR113" s="129">
        <v>0</v>
      </c>
      <c r="CS113" s="129">
        <v>0</v>
      </c>
      <c r="CT113" s="130">
        <v>0</v>
      </c>
      <c r="CU113" s="130">
        <v>0</v>
      </c>
      <c r="CV113" s="130">
        <v>0</v>
      </c>
      <c r="CW113" s="130">
        <v>0</v>
      </c>
      <c r="CX113" s="130">
        <v>0</v>
      </c>
      <c r="CY113" s="130">
        <v>0</v>
      </c>
      <c r="CZ113" s="130">
        <v>0</v>
      </c>
      <c r="DA113" s="130">
        <v>0</v>
      </c>
      <c r="DB113" s="130">
        <v>0</v>
      </c>
      <c r="DC113" s="130">
        <v>0</v>
      </c>
      <c r="DD113" s="130">
        <v>0</v>
      </c>
      <c r="DE113" s="130">
        <v>0</v>
      </c>
      <c r="DF113" s="130">
        <v>0</v>
      </c>
      <c r="DG113" s="130">
        <v>0</v>
      </c>
      <c r="DH113" s="130">
        <v>0</v>
      </c>
      <c r="DI113" s="130">
        <v>0</v>
      </c>
      <c r="DJ113" s="130">
        <v>0</v>
      </c>
      <c r="DK113" s="130">
        <v>0</v>
      </c>
      <c r="DL113" s="130">
        <v>0</v>
      </c>
      <c r="DM113" s="130">
        <v>0</v>
      </c>
      <c r="DN113" s="130">
        <v>0</v>
      </c>
      <c r="DO113" s="130">
        <v>0</v>
      </c>
      <c r="DP113" s="130">
        <v>0</v>
      </c>
      <c r="DQ113" s="130">
        <v>0</v>
      </c>
      <c r="DR113" s="130">
        <v>0</v>
      </c>
      <c r="DS113" s="130">
        <v>0</v>
      </c>
      <c r="DT113" s="130">
        <v>0</v>
      </c>
      <c r="DU113" s="130">
        <v>0</v>
      </c>
      <c r="DV113" s="130">
        <v>0</v>
      </c>
      <c r="DW113" s="130">
        <v>0</v>
      </c>
      <c r="DX113" s="130">
        <v>0</v>
      </c>
      <c r="DY113" s="130">
        <v>0</v>
      </c>
      <c r="DZ113" s="130">
        <v>0</v>
      </c>
      <c r="EA113" s="130">
        <v>0</v>
      </c>
      <c r="EB113" s="130">
        <v>0</v>
      </c>
      <c r="EC113" s="130">
        <v>0</v>
      </c>
      <c r="ED113" s="113" t="s">
        <v>1</v>
      </c>
    </row>
    <row r="114" spans="1:134" x14ac:dyDescent="0.2">
      <c r="A114" s="698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  <c r="AH114" s="129"/>
      <c r="AI114" s="129"/>
      <c r="AJ114" s="129"/>
      <c r="AK114" s="129"/>
      <c r="AL114" s="129"/>
      <c r="AM114" s="129"/>
      <c r="AN114" s="129"/>
      <c r="AO114" s="129"/>
      <c r="AP114" s="129"/>
      <c r="AQ114" s="129"/>
      <c r="AR114" s="129"/>
      <c r="AS114" s="129"/>
      <c r="AT114" s="129"/>
      <c r="AU114" s="129"/>
      <c r="AV114" s="129"/>
      <c r="AW114" s="129"/>
      <c r="AX114" s="129"/>
      <c r="AY114" s="129"/>
      <c r="AZ114" s="129"/>
      <c r="BA114" s="129"/>
      <c r="BB114" s="129"/>
      <c r="BC114" s="129"/>
      <c r="BD114" s="129"/>
      <c r="BE114" s="129"/>
      <c r="BF114" s="129"/>
      <c r="BG114" s="129"/>
      <c r="BH114" s="129"/>
      <c r="BI114" s="129"/>
      <c r="BJ114" s="129"/>
      <c r="BK114" s="129"/>
      <c r="BL114" s="129"/>
      <c r="BM114" s="129"/>
      <c r="BN114" s="129"/>
      <c r="BO114" s="129"/>
      <c r="BP114" s="129"/>
      <c r="BQ114" s="129"/>
      <c r="BR114" s="129"/>
      <c r="BS114" s="129"/>
      <c r="BT114" s="129"/>
      <c r="BU114" s="129"/>
      <c r="BV114" s="129"/>
      <c r="BW114" s="129"/>
      <c r="BX114" s="129"/>
      <c r="BY114" s="129"/>
      <c r="BZ114" s="129"/>
      <c r="CA114" s="129"/>
      <c r="CB114" s="129"/>
      <c r="CC114" s="129"/>
      <c r="CD114" s="129"/>
      <c r="CE114" s="129"/>
      <c r="CF114" s="129"/>
      <c r="CG114" s="129"/>
      <c r="CH114" s="129"/>
      <c r="CI114" s="129"/>
      <c r="CJ114" s="129"/>
      <c r="CK114" s="129"/>
      <c r="CL114" s="129"/>
      <c r="CM114" s="129"/>
      <c r="CN114" s="129"/>
      <c r="CO114" s="129"/>
      <c r="CP114" s="129"/>
      <c r="CQ114" s="129"/>
      <c r="CR114" s="129"/>
      <c r="CS114" s="129"/>
      <c r="CT114" s="130"/>
      <c r="CU114" s="130"/>
      <c r="CV114" s="130"/>
      <c r="CW114" s="130"/>
      <c r="CX114" s="130"/>
      <c r="CY114" s="130"/>
      <c r="CZ114" s="130"/>
      <c r="DA114" s="130"/>
      <c r="DB114" s="130"/>
      <c r="DC114" s="130"/>
      <c r="DD114" s="130"/>
      <c r="DE114" s="130"/>
      <c r="DF114" s="130"/>
      <c r="DG114" s="130"/>
      <c r="DH114" s="130"/>
      <c r="DI114" s="130"/>
      <c r="DJ114" s="130"/>
      <c r="DK114" s="130"/>
      <c r="DL114" s="130"/>
      <c r="DM114" s="130"/>
      <c r="DN114" s="130"/>
      <c r="DO114" s="130"/>
      <c r="DP114" s="130"/>
      <c r="DQ114" s="130"/>
      <c r="DR114" s="115"/>
      <c r="DS114" s="115"/>
      <c r="DT114" s="115"/>
      <c r="DU114" s="115"/>
      <c r="DV114" s="115"/>
      <c r="DW114" s="115"/>
      <c r="DX114" s="115"/>
      <c r="DY114" s="115"/>
      <c r="DZ114" s="115"/>
      <c r="EA114" s="115"/>
      <c r="EB114" s="115"/>
      <c r="EC114" s="115"/>
      <c r="ED114" s="113" t="s">
        <v>1</v>
      </c>
    </row>
    <row r="115" spans="1:134" x14ac:dyDescent="0.2">
      <c r="A115" s="698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115"/>
      <c r="AK115" s="115"/>
      <c r="AL115" s="115"/>
      <c r="AM115" s="115"/>
      <c r="AN115" s="115"/>
      <c r="AO115" s="115"/>
      <c r="AP115" s="115"/>
      <c r="AQ115" s="115"/>
      <c r="AR115" s="115"/>
      <c r="AS115" s="115"/>
      <c r="AT115" s="115"/>
      <c r="AU115" s="115"/>
      <c r="AV115" s="115"/>
      <c r="AW115" s="115"/>
      <c r="AX115" s="115"/>
      <c r="AY115" s="115"/>
      <c r="AZ115" s="115"/>
      <c r="BA115" s="115"/>
      <c r="BB115" s="115"/>
      <c r="BC115" s="115"/>
      <c r="BD115" s="115"/>
      <c r="BE115" s="115"/>
      <c r="BF115" s="115"/>
      <c r="BG115" s="115"/>
      <c r="BH115" s="115"/>
      <c r="BI115" s="115"/>
      <c r="BJ115" s="115"/>
      <c r="BK115" s="115"/>
      <c r="BL115" s="115"/>
      <c r="BM115" s="115"/>
      <c r="BN115" s="115"/>
      <c r="BO115" s="115"/>
      <c r="BP115" s="115"/>
      <c r="BQ115" s="115"/>
      <c r="BR115" s="115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115"/>
      <c r="CD115" s="115"/>
      <c r="CE115" s="115"/>
      <c r="CF115" s="115"/>
      <c r="CG115" s="115"/>
      <c r="CH115" s="115"/>
      <c r="CI115" s="115"/>
      <c r="CJ115" s="115"/>
      <c r="CK115" s="115"/>
      <c r="CL115" s="115"/>
      <c r="CM115" s="115"/>
      <c r="CN115" s="115"/>
      <c r="CO115" s="115"/>
      <c r="CP115" s="115"/>
      <c r="CQ115" s="115"/>
      <c r="CR115" s="129"/>
      <c r="CS115" s="115"/>
      <c r="CT115" s="115"/>
      <c r="CU115" s="115"/>
      <c r="CV115" s="133"/>
      <c r="CW115" s="133"/>
      <c r="CX115" s="115"/>
      <c r="CY115" s="115"/>
      <c r="CZ115" s="133"/>
      <c r="DA115" s="133"/>
      <c r="DB115" s="115"/>
      <c r="DC115" s="115"/>
      <c r="DD115" s="133"/>
      <c r="DE115" s="133"/>
      <c r="DF115" s="115"/>
      <c r="DG115" s="115"/>
      <c r="DH115" s="133"/>
      <c r="DI115" s="133"/>
      <c r="DJ115" s="115"/>
      <c r="DK115" s="115"/>
      <c r="DL115" s="133"/>
      <c r="DM115" s="133"/>
      <c r="DN115" s="115"/>
      <c r="DO115" s="115"/>
      <c r="DP115" s="133"/>
      <c r="DQ115" s="133"/>
      <c r="DR115" s="115"/>
      <c r="DS115" s="115"/>
      <c r="DT115" s="115"/>
      <c r="DU115" s="115"/>
      <c r="DV115" s="115"/>
      <c r="DW115" s="115"/>
      <c r="DX115" s="115"/>
      <c r="DY115" s="115"/>
      <c r="DZ115" s="115"/>
      <c r="EA115" s="115"/>
      <c r="EB115" s="115"/>
      <c r="EC115" s="115"/>
      <c r="ED115" s="113" t="s">
        <v>1</v>
      </c>
    </row>
    <row r="116" spans="1:134" x14ac:dyDescent="0.2">
      <c r="A116" s="700" t="s">
        <v>112</v>
      </c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  <c r="BP116" s="115"/>
      <c r="BQ116" s="115"/>
      <c r="BR116" s="115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115"/>
      <c r="CD116" s="115"/>
      <c r="CE116" s="115"/>
      <c r="CF116" s="115"/>
      <c r="CG116" s="115"/>
      <c r="CH116" s="115"/>
      <c r="CI116" s="115"/>
      <c r="CJ116" s="115"/>
      <c r="CK116" s="115"/>
      <c r="CL116" s="115"/>
      <c r="CM116" s="115"/>
      <c r="CN116" s="115"/>
      <c r="CO116" s="115"/>
      <c r="CP116" s="115"/>
      <c r="CQ116" s="115"/>
      <c r="CR116" s="129"/>
      <c r="CS116" s="115"/>
      <c r="CT116" s="115"/>
      <c r="CU116" s="115"/>
      <c r="CV116" s="133"/>
      <c r="CW116" s="133"/>
      <c r="CX116" s="115"/>
      <c r="CY116" s="115"/>
      <c r="CZ116" s="133"/>
      <c r="DA116" s="133"/>
      <c r="DB116" s="115"/>
      <c r="DC116" s="115"/>
      <c r="DD116" s="133"/>
      <c r="DE116" s="133"/>
      <c r="DF116" s="115"/>
      <c r="DG116" s="115"/>
      <c r="DH116" s="133"/>
      <c r="DI116" s="133"/>
      <c r="DJ116" s="115"/>
      <c r="DK116" s="115"/>
      <c r="DL116" s="133"/>
      <c r="DM116" s="133"/>
      <c r="DN116" s="115"/>
      <c r="DO116" s="115"/>
      <c r="DP116" s="133"/>
      <c r="DQ116" s="133"/>
      <c r="DR116" s="115"/>
      <c r="DS116" s="115"/>
      <c r="DT116" s="115"/>
      <c r="DU116" s="115"/>
      <c r="DV116" s="115"/>
      <c r="DW116" s="115"/>
      <c r="DX116" s="115"/>
      <c r="DY116" s="115"/>
      <c r="DZ116" s="115"/>
      <c r="EA116" s="115"/>
      <c r="EB116" s="115"/>
      <c r="EC116" s="115"/>
      <c r="ED116" s="113" t="s">
        <v>1</v>
      </c>
    </row>
    <row r="117" spans="1:134" x14ac:dyDescent="0.2">
      <c r="A117" s="698" t="s">
        <v>115</v>
      </c>
      <c r="B117" s="129">
        <f t="shared" ref="B117:AG117" si="360">IFERROR(B103/B104,0)</f>
        <v>46135.88</v>
      </c>
      <c r="C117" s="129">
        <f t="shared" si="360"/>
        <v>43817.555555555555</v>
      </c>
      <c r="D117" s="129">
        <f t="shared" si="360"/>
        <v>40250.876190476192</v>
      </c>
      <c r="E117" s="129">
        <f t="shared" si="360"/>
        <v>36435.909774436092</v>
      </c>
      <c r="F117" s="129">
        <f t="shared" si="360"/>
        <v>34148.301886792455</v>
      </c>
      <c r="G117" s="129">
        <f t="shared" si="360"/>
        <v>38997.566037735851</v>
      </c>
      <c r="H117" s="129">
        <f t="shared" si="360"/>
        <v>40209.607843137252</v>
      </c>
      <c r="I117" s="129">
        <f t="shared" si="360"/>
        <v>42715.673076923078</v>
      </c>
      <c r="J117" s="129">
        <f t="shared" si="360"/>
        <v>44623.574074074073</v>
      </c>
      <c r="K117" s="129">
        <f t="shared" si="360"/>
        <v>47444.714285714283</v>
      </c>
      <c r="L117" s="129">
        <f t="shared" si="360"/>
        <v>44258.218894009216</v>
      </c>
      <c r="M117" s="129">
        <f t="shared" si="360"/>
        <v>48063.518433179721</v>
      </c>
      <c r="N117" s="129">
        <f t="shared" si="360"/>
        <v>47584.606060606064</v>
      </c>
      <c r="O117" s="129">
        <f t="shared" si="360"/>
        <v>46556.584415584424</v>
      </c>
      <c r="P117" s="129">
        <f t="shared" si="360"/>
        <v>47183.705627705633</v>
      </c>
      <c r="Q117" s="129">
        <f t="shared" si="360"/>
        <v>44987.84375</v>
      </c>
      <c r="R117" s="129">
        <f t="shared" si="360"/>
        <v>50537.741379310348</v>
      </c>
      <c r="S117" s="129">
        <f t="shared" si="360"/>
        <v>43236.888888888891</v>
      </c>
      <c r="T117" s="129">
        <f t="shared" si="360"/>
        <v>44275.728813559319</v>
      </c>
      <c r="U117" s="129">
        <f t="shared" si="360"/>
        <v>42872.631578947367</v>
      </c>
      <c r="V117" s="129">
        <f t="shared" si="360"/>
        <v>44489.476851851854</v>
      </c>
      <c r="W117" s="129">
        <f t="shared" si="360"/>
        <v>46368.333333333336</v>
      </c>
      <c r="X117" s="129">
        <f t="shared" si="360"/>
        <v>39642.138505747127</v>
      </c>
      <c r="Y117" s="129">
        <f t="shared" si="360"/>
        <v>41896.38950617284</v>
      </c>
      <c r="Z117" s="129">
        <f t="shared" si="360"/>
        <v>41517.537763278393</v>
      </c>
      <c r="AA117" s="129">
        <f t="shared" si="360"/>
        <v>40279.167323717949</v>
      </c>
      <c r="AB117" s="129">
        <f t="shared" si="360"/>
        <v>40038.863166208794</v>
      </c>
      <c r="AC117" s="129">
        <f t="shared" si="360"/>
        <v>41487.24833080043</v>
      </c>
      <c r="AD117" s="129">
        <f t="shared" si="360"/>
        <v>42111.088685410337</v>
      </c>
      <c r="AE117" s="129">
        <f t="shared" si="360"/>
        <v>43207.953488372092</v>
      </c>
      <c r="AF117" s="129">
        <f t="shared" si="360"/>
        <v>45516.678571428572</v>
      </c>
      <c r="AG117" s="129">
        <f t="shared" si="360"/>
        <v>51235.408333333333</v>
      </c>
      <c r="AH117" s="129">
        <f t="shared" ref="AH117:BM117" si="361">IFERROR(AH103/AH104,0)</f>
        <v>50573.725769230776</v>
      </c>
      <c r="AI117" s="129">
        <f t="shared" si="361"/>
        <v>57881.743589743586</v>
      </c>
      <c r="AJ117" s="129">
        <f t="shared" si="361"/>
        <v>54798.227777777836</v>
      </c>
      <c r="AK117" s="129">
        <f t="shared" si="361"/>
        <v>52946.40789473684</v>
      </c>
      <c r="AL117" s="129">
        <f t="shared" si="361"/>
        <v>54073.187836538455</v>
      </c>
      <c r="AM117" s="129">
        <f t="shared" si="361"/>
        <v>50497.051452429158</v>
      </c>
      <c r="AN117" s="129">
        <f t="shared" si="361"/>
        <v>49613.123111439847</v>
      </c>
      <c r="AO117" s="129">
        <f t="shared" si="361"/>
        <v>51146.494630977133</v>
      </c>
      <c r="AP117" s="129">
        <f t="shared" si="361"/>
        <v>55028.583653846152</v>
      </c>
      <c r="AQ117" s="129">
        <f t="shared" si="361"/>
        <v>50284.197865028495</v>
      </c>
      <c r="AR117" s="129">
        <f t="shared" si="361"/>
        <v>52328.125</v>
      </c>
      <c r="AS117" s="129">
        <f t="shared" si="361"/>
        <v>49614.3</v>
      </c>
      <c r="AT117" s="129">
        <f t="shared" si="361"/>
        <v>53867.404761904763</v>
      </c>
      <c r="AU117" s="129">
        <f t="shared" si="361"/>
        <v>58411.466737179471</v>
      </c>
      <c r="AV117" s="129">
        <f t="shared" si="361"/>
        <v>65462.996907407418</v>
      </c>
      <c r="AW117" s="129">
        <f t="shared" si="361"/>
        <v>74490.468156288174</v>
      </c>
      <c r="AX117" s="129">
        <f t="shared" si="361"/>
        <v>66824.340200157007</v>
      </c>
      <c r="AY117" s="129">
        <f t="shared" si="361"/>
        <v>65582.747169515671</v>
      </c>
      <c r="AZ117" s="129">
        <f t="shared" si="361"/>
        <v>68476.842613122179</v>
      </c>
      <c r="BA117" s="129">
        <f t="shared" si="361"/>
        <v>70595.914760848071</v>
      </c>
      <c r="BB117" s="129">
        <f t="shared" si="361"/>
        <v>66441.618842592608</v>
      </c>
      <c r="BC117" s="129">
        <f t="shared" si="361"/>
        <v>77115.947735042762</v>
      </c>
      <c r="BD117" s="129">
        <f t="shared" si="361"/>
        <v>75436.719878335964</v>
      </c>
      <c r="BE117" s="129">
        <f t="shared" si="361"/>
        <v>74903.240940170945</v>
      </c>
      <c r="BF117" s="129">
        <f t="shared" si="361"/>
        <v>72256.559068467002</v>
      </c>
      <c r="BG117" s="129">
        <f t="shared" si="361"/>
        <v>90495.362782051307</v>
      </c>
      <c r="BH117" s="129">
        <f t="shared" si="361"/>
        <v>72678.93142307688</v>
      </c>
      <c r="BI117" s="129">
        <f t="shared" si="361"/>
        <v>67684.769135397102</v>
      </c>
      <c r="BJ117" s="129">
        <f t="shared" si="361"/>
        <v>74193.003729600314</v>
      </c>
      <c r="BK117" s="129">
        <f t="shared" si="361"/>
        <v>77347.173357492691</v>
      </c>
      <c r="BL117" s="129">
        <f t="shared" si="361"/>
        <v>84094.684482248471</v>
      </c>
      <c r="BM117" s="129">
        <f t="shared" si="361"/>
        <v>90017.961779279183</v>
      </c>
      <c r="BN117" s="129">
        <f t="shared" ref="BN117:CS117" si="362">IFERROR(BN103/BN104,0)</f>
        <v>87042.0353222454</v>
      </c>
      <c r="BO117" s="129">
        <f t="shared" si="362"/>
        <v>89554.341410256398</v>
      </c>
      <c r="BP117" s="129">
        <f t="shared" si="362"/>
        <v>82279.894033530509</v>
      </c>
      <c r="BQ117" s="129">
        <f t="shared" si="362"/>
        <v>79508.458106508973</v>
      </c>
      <c r="BR117" s="129">
        <f t="shared" si="362"/>
        <v>74250.989385109453</v>
      </c>
      <c r="BS117" s="129">
        <f t="shared" si="362"/>
        <v>62973.826434294875</v>
      </c>
      <c r="BT117" s="129">
        <f t="shared" si="362"/>
        <v>68926.07684225218</v>
      </c>
      <c r="BU117" s="129">
        <f t="shared" si="362"/>
        <v>64180.962743055417</v>
      </c>
      <c r="BV117" s="129">
        <f t="shared" si="362"/>
        <v>85112.868094872014</v>
      </c>
      <c r="BW117" s="129">
        <f t="shared" si="362"/>
        <v>95585.268368055418</v>
      </c>
      <c r="BX117" s="129">
        <f t="shared" si="362"/>
        <v>95843.021573183752</v>
      </c>
      <c r="BY117" s="129">
        <f t="shared" si="362"/>
        <v>93384.192620192494</v>
      </c>
      <c r="BZ117" s="129">
        <f t="shared" si="362"/>
        <v>95905.742299679594</v>
      </c>
      <c r="CA117" s="129">
        <f t="shared" si="362"/>
        <v>95897.202077991678</v>
      </c>
      <c r="CB117" s="129">
        <f t="shared" si="362"/>
        <v>96193.997011045853</v>
      </c>
      <c r="CC117" s="129">
        <f t="shared" si="362"/>
        <v>96660.061047008741</v>
      </c>
      <c r="CD117" s="129">
        <f t="shared" si="362"/>
        <v>92867.343197435897</v>
      </c>
      <c r="CE117" s="129">
        <f t="shared" si="362"/>
        <v>91265.93810303889</v>
      </c>
      <c r="CF117" s="129">
        <f t="shared" si="362"/>
        <v>81047.398215467416</v>
      </c>
      <c r="CG117" s="129">
        <f t="shared" si="362"/>
        <v>90210.840202991385</v>
      </c>
      <c r="CH117" s="129">
        <f t="shared" si="362"/>
        <v>90532.091212454296</v>
      </c>
      <c r="CI117" s="129">
        <f t="shared" si="362"/>
        <v>87922.765838989406</v>
      </c>
      <c r="CJ117" s="129">
        <f t="shared" si="362"/>
        <v>93985.654387019371</v>
      </c>
      <c r="CK117" s="129">
        <f t="shared" si="362"/>
        <v>110699.84350641033</v>
      </c>
      <c r="CL117" s="129">
        <f t="shared" si="362"/>
        <v>109562.91105769214</v>
      </c>
      <c r="CM117" s="129">
        <f t="shared" si="362"/>
        <v>106347.41480769234</v>
      </c>
      <c r="CN117" s="129">
        <f t="shared" si="362"/>
        <v>100697.08759946965</v>
      </c>
      <c r="CO117" s="129">
        <f t="shared" si="362"/>
        <v>94540.987807250334</v>
      </c>
      <c r="CP117" s="129">
        <f t="shared" si="362"/>
        <v>103160.18639894412</v>
      </c>
      <c r="CQ117" s="129">
        <f t="shared" si="362"/>
        <v>93335.65506021757</v>
      </c>
      <c r="CR117" s="129">
        <f t="shared" si="362"/>
        <v>119729.84250715438</v>
      </c>
      <c r="CS117" s="129">
        <f t="shared" si="362"/>
        <v>114429.11183209257</v>
      </c>
      <c r="CT117" s="129">
        <f>AVERAGE(CH117:CS117)*(1+CT122)</f>
        <v>110244.9196813848</v>
      </c>
      <c r="CU117" s="129">
        <f t="shared" ref="CU117:DQ117" si="363">CT117*(1+CU122)</f>
        <v>110244.9196813848</v>
      </c>
      <c r="CV117" s="129">
        <f t="shared" si="363"/>
        <v>110244.9196813848</v>
      </c>
      <c r="CW117" s="129">
        <f t="shared" si="363"/>
        <v>110244.9196813848</v>
      </c>
      <c r="CX117" s="129">
        <f t="shared" si="363"/>
        <v>110244.9196813848</v>
      </c>
      <c r="CY117" s="129">
        <f t="shared" si="363"/>
        <v>110244.9196813848</v>
      </c>
      <c r="CZ117" s="129">
        <f t="shared" si="363"/>
        <v>110244.9196813848</v>
      </c>
      <c r="DA117" s="129">
        <f t="shared" si="363"/>
        <v>110244.9196813848</v>
      </c>
      <c r="DB117" s="129">
        <f t="shared" si="363"/>
        <v>110244.9196813848</v>
      </c>
      <c r="DC117" s="129">
        <f t="shared" si="363"/>
        <v>110244.9196813848</v>
      </c>
      <c r="DD117" s="129">
        <f t="shared" si="363"/>
        <v>110244.9196813848</v>
      </c>
      <c r="DE117" s="129">
        <f t="shared" si="363"/>
        <v>110244.9196813848</v>
      </c>
      <c r="DF117" s="129">
        <f t="shared" si="363"/>
        <v>119064.51325589558</v>
      </c>
      <c r="DG117" s="129">
        <f t="shared" si="363"/>
        <v>119064.51325589558</v>
      </c>
      <c r="DH117" s="129">
        <f t="shared" si="363"/>
        <v>119064.51325589558</v>
      </c>
      <c r="DI117" s="129">
        <f t="shared" si="363"/>
        <v>119064.51325589558</v>
      </c>
      <c r="DJ117" s="129">
        <f t="shared" si="363"/>
        <v>119064.51325589558</v>
      </c>
      <c r="DK117" s="129">
        <f t="shared" si="363"/>
        <v>119064.51325589558</v>
      </c>
      <c r="DL117" s="129">
        <f t="shared" si="363"/>
        <v>119064.51325589558</v>
      </c>
      <c r="DM117" s="129">
        <f t="shared" si="363"/>
        <v>119064.51325589558</v>
      </c>
      <c r="DN117" s="129">
        <f t="shared" si="363"/>
        <v>119064.51325589558</v>
      </c>
      <c r="DO117" s="129">
        <f t="shared" si="363"/>
        <v>119064.51325589558</v>
      </c>
      <c r="DP117" s="129">
        <f t="shared" si="363"/>
        <v>119064.51325589558</v>
      </c>
      <c r="DQ117" s="129">
        <f t="shared" si="363"/>
        <v>119064.51325589558</v>
      </c>
      <c r="DR117" s="129">
        <f t="shared" ref="DR117:DR119" si="364">DQ117*(1+DR122)</f>
        <v>128589.67431636724</v>
      </c>
      <c r="DS117" s="129">
        <f t="shared" ref="DS117:DS119" si="365">DR117*(1+DS122)</f>
        <v>128589.67431636724</v>
      </c>
      <c r="DT117" s="129">
        <f t="shared" ref="DT117:DT119" si="366">DS117*(1+DT122)</f>
        <v>128589.67431636724</v>
      </c>
      <c r="DU117" s="129">
        <f t="shared" ref="DU117:DU119" si="367">DT117*(1+DU122)</f>
        <v>128589.67431636724</v>
      </c>
      <c r="DV117" s="129">
        <f t="shared" ref="DV117:DV119" si="368">DU117*(1+DV122)</f>
        <v>128589.67431636724</v>
      </c>
      <c r="DW117" s="129">
        <f t="shared" ref="DW117:DW119" si="369">DV117*(1+DW122)</f>
        <v>128589.67431636724</v>
      </c>
      <c r="DX117" s="129">
        <f t="shared" ref="DX117:DX119" si="370">DW117*(1+DX122)</f>
        <v>128589.67431636724</v>
      </c>
      <c r="DY117" s="129">
        <f t="shared" ref="DY117:DY119" si="371">DX117*(1+DY122)</f>
        <v>128589.67431636724</v>
      </c>
      <c r="DZ117" s="129">
        <f t="shared" ref="DZ117:DZ119" si="372">DY117*(1+DZ122)</f>
        <v>128589.67431636724</v>
      </c>
      <c r="EA117" s="129">
        <f t="shared" ref="EA117:EA119" si="373">DZ117*(1+EA122)</f>
        <v>128589.67431636724</v>
      </c>
      <c r="EB117" s="129">
        <f t="shared" ref="EB117:EB119" si="374">EA117*(1+EB122)</f>
        <v>128589.67431636724</v>
      </c>
      <c r="EC117" s="129">
        <f t="shared" ref="EC117:EC119" si="375">EB117*(1+EC122)</f>
        <v>128589.67431636724</v>
      </c>
      <c r="ED117" s="113" t="s">
        <v>1</v>
      </c>
    </row>
    <row r="118" spans="1:134" x14ac:dyDescent="0.2">
      <c r="A118" s="698" t="s">
        <v>113</v>
      </c>
      <c r="B118" s="129">
        <f t="shared" ref="B118:AG118" si="376">IFERROR(B105/B106,0)</f>
        <v>0</v>
      </c>
      <c r="C118" s="129">
        <f t="shared" si="376"/>
        <v>0</v>
      </c>
      <c r="D118" s="129">
        <f t="shared" si="376"/>
        <v>0</v>
      </c>
      <c r="E118" s="129">
        <f t="shared" si="376"/>
        <v>0</v>
      </c>
      <c r="F118" s="129">
        <f t="shared" si="376"/>
        <v>0</v>
      </c>
      <c r="G118" s="129">
        <f t="shared" si="376"/>
        <v>0</v>
      </c>
      <c r="H118" s="129">
        <f t="shared" si="376"/>
        <v>0</v>
      </c>
      <c r="I118" s="129">
        <f t="shared" si="376"/>
        <v>0</v>
      </c>
      <c r="J118" s="129">
        <f t="shared" si="376"/>
        <v>0</v>
      </c>
      <c r="K118" s="129">
        <f t="shared" si="376"/>
        <v>0</v>
      </c>
      <c r="L118" s="129">
        <f t="shared" si="376"/>
        <v>0</v>
      </c>
      <c r="M118" s="129">
        <f t="shared" si="376"/>
        <v>0</v>
      </c>
      <c r="N118" s="129">
        <f t="shared" si="376"/>
        <v>0</v>
      </c>
      <c r="O118" s="129">
        <f t="shared" si="376"/>
        <v>0</v>
      </c>
      <c r="P118" s="129">
        <f t="shared" si="376"/>
        <v>0</v>
      </c>
      <c r="Q118" s="129">
        <f t="shared" si="376"/>
        <v>0</v>
      </c>
      <c r="R118" s="129">
        <f t="shared" si="376"/>
        <v>0</v>
      </c>
      <c r="S118" s="129">
        <f t="shared" si="376"/>
        <v>0</v>
      </c>
      <c r="T118" s="129">
        <f t="shared" si="376"/>
        <v>0</v>
      </c>
      <c r="U118" s="129">
        <f t="shared" si="376"/>
        <v>0</v>
      </c>
      <c r="V118" s="129">
        <f t="shared" si="376"/>
        <v>0</v>
      </c>
      <c r="W118" s="129">
        <f t="shared" si="376"/>
        <v>0</v>
      </c>
      <c r="X118" s="129">
        <f t="shared" si="376"/>
        <v>0</v>
      </c>
      <c r="Y118" s="129">
        <f t="shared" si="376"/>
        <v>0</v>
      </c>
      <c r="Z118" s="129">
        <f t="shared" si="376"/>
        <v>0</v>
      </c>
      <c r="AA118" s="129">
        <f t="shared" si="376"/>
        <v>0</v>
      </c>
      <c r="AB118" s="129">
        <f t="shared" si="376"/>
        <v>0</v>
      </c>
      <c r="AC118" s="129">
        <f t="shared" si="376"/>
        <v>0</v>
      </c>
      <c r="AD118" s="129">
        <f t="shared" si="376"/>
        <v>0</v>
      </c>
      <c r="AE118" s="129">
        <f t="shared" si="376"/>
        <v>0</v>
      </c>
      <c r="AF118" s="129">
        <f t="shared" si="376"/>
        <v>0</v>
      </c>
      <c r="AG118" s="129">
        <f t="shared" si="376"/>
        <v>0</v>
      </c>
      <c r="AH118" s="129">
        <f t="shared" ref="AH118:BM118" si="377">IFERROR(AH105/AH106,0)</f>
        <v>0</v>
      </c>
      <c r="AI118" s="129">
        <f t="shared" si="377"/>
        <v>0</v>
      </c>
      <c r="AJ118" s="129">
        <f t="shared" si="377"/>
        <v>0</v>
      </c>
      <c r="AK118" s="129">
        <f t="shared" si="377"/>
        <v>0</v>
      </c>
      <c r="AL118" s="129">
        <f t="shared" si="377"/>
        <v>0</v>
      </c>
      <c r="AM118" s="129">
        <f t="shared" si="377"/>
        <v>0</v>
      </c>
      <c r="AN118" s="129">
        <f t="shared" si="377"/>
        <v>0</v>
      </c>
      <c r="AO118" s="129">
        <f t="shared" si="377"/>
        <v>0</v>
      </c>
      <c r="AP118" s="129">
        <f t="shared" si="377"/>
        <v>0</v>
      </c>
      <c r="AQ118" s="129">
        <f t="shared" si="377"/>
        <v>0</v>
      </c>
      <c r="AR118" s="129">
        <f t="shared" si="377"/>
        <v>0</v>
      </c>
      <c r="AS118" s="129">
        <f t="shared" si="377"/>
        <v>0</v>
      </c>
      <c r="AT118" s="129">
        <f t="shared" si="377"/>
        <v>0</v>
      </c>
      <c r="AU118" s="129">
        <f t="shared" si="377"/>
        <v>0</v>
      </c>
      <c r="AV118" s="129">
        <f t="shared" si="377"/>
        <v>0</v>
      </c>
      <c r="AW118" s="129">
        <f t="shared" si="377"/>
        <v>0</v>
      </c>
      <c r="AX118" s="129">
        <f t="shared" si="377"/>
        <v>0</v>
      </c>
      <c r="AY118" s="129">
        <f t="shared" si="377"/>
        <v>88011.76923076922</v>
      </c>
      <c r="AZ118" s="129">
        <f t="shared" si="377"/>
        <v>88261.26923076922</v>
      </c>
      <c r="BA118" s="129">
        <f t="shared" si="377"/>
        <v>75018.8125</v>
      </c>
      <c r="BB118" s="129">
        <f t="shared" si="377"/>
        <v>90148.147435897423</v>
      </c>
      <c r="BC118" s="129">
        <f t="shared" si="377"/>
        <v>90148.147435897423</v>
      </c>
      <c r="BD118" s="129">
        <f t="shared" si="377"/>
        <v>94676.487179487172</v>
      </c>
      <c r="BE118" s="129">
        <f t="shared" si="377"/>
        <v>95398.525641025626</v>
      </c>
      <c r="BF118" s="129">
        <f t="shared" si="377"/>
        <v>71102.081885856067</v>
      </c>
      <c r="BG118" s="129">
        <f t="shared" si="377"/>
        <v>144201.83333333334</v>
      </c>
      <c r="BH118" s="129">
        <f t="shared" si="377"/>
        <v>74926.01538461537</v>
      </c>
      <c r="BI118" s="129">
        <f t="shared" si="377"/>
        <v>61919.237468982625</v>
      </c>
      <c r="BJ118" s="129">
        <f t="shared" si="377"/>
        <v>194400.38912672352</v>
      </c>
      <c r="BK118" s="129">
        <f t="shared" si="377"/>
        <v>198380.38912672352</v>
      </c>
      <c r="BL118" s="129">
        <f t="shared" si="377"/>
        <v>194400.40474358972</v>
      </c>
      <c r="BM118" s="129">
        <f t="shared" si="377"/>
        <v>210662.40474358972</v>
      </c>
      <c r="BN118" s="129">
        <f t="shared" ref="BN118:CS118" si="378">IFERROR(BN105/BN106,0)</f>
        <v>194412.40474358972</v>
      </c>
      <c r="BO118" s="129">
        <f t="shared" si="378"/>
        <v>202745.65474358972</v>
      </c>
      <c r="BP118" s="129">
        <f t="shared" si="378"/>
        <v>194534.70474358974</v>
      </c>
      <c r="BQ118" s="129">
        <f t="shared" si="378"/>
        <v>155844.52495726495</v>
      </c>
      <c r="BR118" s="129">
        <f t="shared" si="378"/>
        <v>146199.20555860805</v>
      </c>
      <c r="BS118" s="129">
        <f t="shared" si="378"/>
        <v>211366.59807692308</v>
      </c>
      <c r="BT118" s="129">
        <f t="shared" si="378"/>
        <v>236366.59807692299</v>
      </c>
      <c r="BU118" s="129">
        <f t="shared" si="378"/>
        <v>236366.59807692299</v>
      </c>
      <c r="BV118" s="129">
        <f t="shared" si="378"/>
        <v>165126.03756410259</v>
      </c>
      <c r="BW118" s="129">
        <f t="shared" si="378"/>
        <v>176580.87051281999</v>
      </c>
      <c r="BX118" s="129">
        <f t="shared" si="378"/>
        <v>79006.581446886994</v>
      </c>
      <c r="BY118" s="129">
        <f t="shared" si="378"/>
        <v>77122.731193910251</v>
      </c>
      <c r="BZ118" s="129">
        <f t="shared" si="378"/>
        <v>75481.386684981684</v>
      </c>
      <c r="CA118" s="129">
        <f t="shared" si="378"/>
        <v>73796.128782051295</v>
      </c>
      <c r="CB118" s="129">
        <f t="shared" si="378"/>
        <v>67582.006887464391</v>
      </c>
      <c r="CC118" s="129">
        <f t="shared" si="378"/>
        <v>60154.546961538479</v>
      </c>
      <c r="CD118" s="129">
        <f t="shared" si="378"/>
        <v>63893.010326923089</v>
      </c>
      <c r="CE118" s="129">
        <f t="shared" si="378"/>
        <v>84089.719743590016</v>
      </c>
      <c r="CF118" s="129">
        <f t="shared" si="378"/>
        <v>56225.07663003663</v>
      </c>
      <c r="CG118" s="129">
        <f t="shared" si="378"/>
        <v>116036.76076923068</v>
      </c>
      <c r="CH118" s="129">
        <f t="shared" si="378"/>
        <v>99649.863217948674</v>
      </c>
      <c r="CI118" s="129">
        <f t="shared" si="378"/>
        <v>95359.623782051247</v>
      </c>
      <c r="CJ118" s="129">
        <f t="shared" si="378"/>
        <v>90984.736217948666</v>
      </c>
      <c r="CK118" s="129">
        <f t="shared" si="378"/>
        <v>101451.04038089333</v>
      </c>
      <c r="CL118" s="129">
        <f t="shared" si="378"/>
        <v>90483.912961538663</v>
      </c>
      <c r="CM118" s="129">
        <f t="shared" si="378"/>
        <v>96305.382296380005</v>
      </c>
      <c r="CN118" s="129">
        <f t="shared" si="378"/>
        <v>100157.32469373223</v>
      </c>
      <c r="CO118" s="129">
        <f t="shared" si="378"/>
        <v>100842.30095022648</v>
      </c>
      <c r="CP118" s="129">
        <f t="shared" si="378"/>
        <v>106617.26845022647</v>
      </c>
      <c r="CQ118" s="129">
        <f t="shared" si="378"/>
        <v>89570.358761808413</v>
      </c>
      <c r="CR118" s="129">
        <f t="shared" si="378"/>
        <v>99189.824402834216</v>
      </c>
      <c r="CS118" s="129">
        <f t="shared" si="378"/>
        <v>103513.83654858316</v>
      </c>
      <c r="CT118" s="129">
        <f t="shared" ref="CT118:CT119" si="379">AVERAGE(CH118:CS118)*(1+CT123)</f>
        <v>105671.29253977544</v>
      </c>
      <c r="CU118" s="129">
        <f t="shared" ref="CU118:DQ118" si="380">CT118*(1+CU123)</f>
        <v>105671.29253977544</v>
      </c>
      <c r="CV118" s="129">
        <f t="shared" si="380"/>
        <v>105671.29253977544</v>
      </c>
      <c r="CW118" s="129">
        <f t="shared" si="380"/>
        <v>105671.29253977544</v>
      </c>
      <c r="CX118" s="129">
        <f t="shared" si="380"/>
        <v>105671.29253977544</v>
      </c>
      <c r="CY118" s="129">
        <f t="shared" si="380"/>
        <v>105671.29253977544</v>
      </c>
      <c r="CZ118" s="129">
        <f t="shared" si="380"/>
        <v>105671.29253977544</v>
      </c>
      <c r="DA118" s="129">
        <f t="shared" si="380"/>
        <v>105671.29253977544</v>
      </c>
      <c r="DB118" s="129">
        <f t="shared" si="380"/>
        <v>105671.29253977544</v>
      </c>
      <c r="DC118" s="129">
        <f t="shared" si="380"/>
        <v>105671.29253977544</v>
      </c>
      <c r="DD118" s="129">
        <f t="shared" si="380"/>
        <v>105671.29253977544</v>
      </c>
      <c r="DE118" s="129">
        <f t="shared" si="380"/>
        <v>105671.29253977544</v>
      </c>
      <c r="DF118" s="129">
        <f t="shared" si="380"/>
        <v>114124.99594295748</v>
      </c>
      <c r="DG118" s="129">
        <f t="shared" si="380"/>
        <v>114124.99594295748</v>
      </c>
      <c r="DH118" s="129">
        <f t="shared" si="380"/>
        <v>114124.99594295748</v>
      </c>
      <c r="DI118" s="129">
        <f t="shared" si="380"/>
        <v>114124.99594295748</v>
      </c>
      <c r="DJ118" s="129">
        <f t="shared" si="380"/>
        <v>114124.99594295748</v>
      </c>
      <c r="DK118" s="129">
        <f t="shared" si="380"/>
        <v>114124.99594295748</v>
      </c>
      <c r="DL118" s="129">
        <f t="shared" si="380"/>
        <v>114124.99594295748</v>
      </c>
      <c r="DM118" s="129">
        <f t="shared" si="380"/>
        <v>114124.99594295748</v>
      </c>
      <c r="DN118" s="129">
        <f t="shared" si="380"/>
        <v>114124.99594295748</v>
      </c>
      <c r="DO118" s="129">
        <f t="shared" si="380"/>
        <v>114124.99594295748</v>
      </c>
      <c r="DP118" s="129">
        <f t="shared" si="380"/>
        <v>114124.99594295748</v>
      </c>
      <c r="DQ118" s="129">
        <f t="shared" si="380"/>
        <v>114124.99594295748</v>
      </c>
      <c r="DR118" s="129">
        <f t="shared" si="364"/>
        <v>123254.99561839408</v>
      </c>
      <c r="DS118" s="129">
        <f t="shared" si="365"/>
        <v>123254.99561839408</v>
      </c>
      <c r="DT118" s="129">
        <f t="shared" si="366"/>
        <v>123254.99561839408</v>
      </c>
      <c r="DU118" s="129">
        <f t="shared" si="367"/>
        <v>123254.99561839408</v>
      </c>
      <c r="DV118" s="129">
        <f t="shared" si="368"/>
        <v>123254.99561839408</v>
      </c>
      <c r="DW118" s="129">
        <f t="shared" si="369"/>
        <v>123254.99561839408</v>
      </c>
      <c r="DX118" s="129">
        <f t="shared" si="370"/>
        <v>123254.99561839408</v>
      </c>
      <c r="DY118" s="129">
        <f t="shared" si="371"/>
        <v>123254.99561839408</v>
      </c>
      <c r="DZ118" s="129">
        <f t="shared" si="372"/>
        <v>123254.99561839408</v>
      </c>
      <c r="EA118" s="129">
        <f t="shared" si="373"/>
        <v>123254.99561839408</v>
      </c>
      <c r="EB118" s="129">
        <f t="shared" si="374"/>
        <v>123254.99561839408</v>
      </c>
      <c r="EC118" s="129">
        <f t="shared" si="375"/>
        <v>123254.99561839408</v>
      </c>
      <c r="ED118" s="113" t="s">
        <v>1</v>
      </c>
    </row>
    <row r="119" spans="1:134" x14ac:dyDescent="0.2">
      <c r="A119" s="698" t="s">
        <v>114</v>
      </c>
      <c r="B119" s="129">
        <f t="shared" ref="B119:AG119" si="381">IFERROR(B107/B108,0)</f>
        <v>0</v>
      </c>
      <c r="C119" s="129">
        <f t="shared" si="381"/>
        <v>0</v>
      </c>
      <c r="D119" s="129">
        <f t="shared" si="381"/>
        <v>0</v>
      </c>
      <c r="E119" s="129">
        <f t="shared" si="381"/>
        <v>0</v>
      </c>
      <c r="F119" s="129">
        <f t="shared" si="381"/>
        <v>0</v>
      </c>
      <c r="G119" s="129">
        <f t="shared" si="381"/>
        <v>0</v>
      </c>
      <c r="H119" s="129">
        <f t="shared" si="381"/>
        <v>0</v>
      </c>
      <c r="I119" s="129">
        <f t="shared" si="381"/>
        <v>0</v>
      </c>
      <c r="J119" s="129">
        <f t="shared" si="381"/>
        <v>0</v>
      </c>
      <c r="K119" s="129">
        <f t="shared" si="381"/>
        <v>0</v>
      </c>
      <c r="L119" s="129">
        <f t="shared" si="381"/>
        <v>0</v>
      </c>
      <c r="M119" s="129">
        <f t="shared" si="381"/>
        <v>0</v>
      </c>
      <c r="N119" s="129">
        <f t="shared" si="381"/>
        <v>0</v>
      </c>
      <c r="O119" s="129">
        <f t="shared" si="381"/>
        <v>0</v>
      </c>
      <c r="P119" s="129">
        <f t="shared" si="381"/>
        <v>0</v>
      </c>
      <c r="Q119" s="129">
        <f t="shared" si="381"/>
        <v>0</v>
      </c>
      <c r="R119" s="129">
        <f t="shared" si="381"/>
        <v>0</v>
      </c>
      <c r="S119" s="129">
        <f t="shared" si="381"/>
        <v>0</v>
      </c>
      <c r="T119" s="129">
        <f t="shared" si="381"/>
        <v>0</v>
      </c>
      <c r="U119" s="129">
        <f t="shared" si="381"/>
        <v>0</v>
      </c>
      <c r="V119" s="129">
        <f t="shared" si="381"/>
        <v>0</v>
      </c>
      <c r="W119" s="129">
        <f t="shared" si="381"/>
        <v>0</v>
      </c>
      <c r="X119" s="129">
        <f t="shared" si="381"/>
        <v>0</v>
      </c>
      <c r="Y119" s="129">
        <f t="shared" si="381"/>
        <v>0</v>
      </c>
      <c r="Z119" s="129">
        <f t="shared" si="381"/>
        <v>0</v>
      </c>
      <c r="AA119" s="129">
        <f t="shared" si="381"/>
        <v>0</v>
      </c>
      <c r="AB119" s="129">
        <f t="shared" si="381"/>
        <v>0</v>
      </c>
      <c r="AC119" s="129">
        <f t="shared" si="381"/>
        <v>0</v>
      </c>
      <c r="AD119" s="129">
        <f t="shared" si="381"/>
        <v>0</v>
      </c>
      <c r="AE119" s="129">
        <f t="shared" si="381"/>
        <v>0</v>
      </c>
      <c r="AF119" s="129">
        <f t="shared" si="381"/>
        <v>0</v>
      </c>
      <c r="AG119" s="129">
        <f t="shared" si="381"/>
        <v>0</v>
      </c>
      <c r="AH119" s="129">
        <f t="shared" ref="AH119:BM119" si="382">IFERROR(AH107/AH108,0)</f>
        <v>0</v>
      </c>
      <c r="AI119" s="129">
        <f t="shared" si="382"/>
        <v>0</v>
      </c>
      <c r="AJ119" s="129">
        <f t="shared" si="382"/>
        <v>0</v>
      </c>
      <c r="AK119" s="129">
        <f t="shared" si="382"/>
        <v>0</v>
      </c>
      <c r="AL119" s="129">
        <f t="shared" si="382"/>
        <v>0</v>
      </c>
      <c r="AM119" s="129">
        <f t="shared" si="382"/>
        <v>0</v>
      </c>
      <c r="AN119" s="129">
        <f t="shared" si="382"/>
        <v>0</v>
      </c>
      <c r="AO119" s="129">
        <f t="shared" si="382"/>
        <v>0</v>
      </c>
      <c r="AP119" s="129">
        <f t="shared" si="382"/>
        <v>0</v>
      </c>
      <c r="AQ119" s="129">
        <f t="shared" si="382"/>
        <v>0</v>
      </c>
      <c r="AR119" s="129">
        <f t="shared" si="382"/>
        <v>0</v>
      </c>
      <c r="AS119" s="129">
        <f t="shared" si="382"/>
        <v>0</v>
      </c>
      <c r="AT119" s="129">
        <f t="shared" si="382"/>
        <v>0</v>
      </c>
      <c r="AU119" s="129">
        <f t="shared" si="382"/>
        <v>0</v>
      </c>
      <c r="AV119" s="129">
        <f t="shared" si="382"/>
        <v>0</v>
      </c>
      <c r="AW119" s="129">
        <f t="shared" si="382"/>
        <v>27276.45434667185</v>
      </c>
      <c r="AX119" s="129">
        <f t="shared" si="382"/>
        <v>24424.526268634454</v>
      </c>
      <c r="AY119" s="129">
        <f t="shared" si="382"/>
        <v>25091.061941687341</v>
      </c>
      <c r="AZ119" s="129">
        <f t="shared" si="382"/>
        <v>25660.395241778147</v>
      </c>
      <c r="BA119" s="129">
        <f t="shared" si="382"/>
        <v>24630.594940476189</v>
      </c>
      <c r="BB119" s="129">
        <f t="shared" si="382"/>
        <v>25182.797621527774</v>
      </c>
      <c r="BC119" s="129">
        <f t="shared" si="382"/>
        <v>26477.438867521352</v>
      </c>
      <c r="BD119" s="129">
        <f t="shared" si="382"/>
        <v>27567.660118149808</v>
      </c>
      <c r="BE119" s="129">
        <f t="shared" si="382"/>
        <v>24800.99851214575</v>
      </c>
      <c r="BF119" s="129">
        <f t="shared" si="382"/>
        <v>25991.128934766217</v>
      </c>
      <c r="BG119" s="129">
        <f t="shared" si="382"/>
        <v>31895.298245614034</v>
      </c>
      <c r="BH119" s="129">
        <f t="shared" si="382"/>
        <v>27461.028685897443</v>
      </c>
      <c r="BI119" s="129">
        <f t="shared" si="382"/>
        <v>27559.959169283105</v>
      </c>
      <c r="BJ119" s="129">
        <f t="shared" si="382"/>
        <v>30490.446479008922</v>
      </c>
      <c r="BK119" s="129">
        <f t="shared" si="382"/>
        <v>36526.909617247504</v>
      </c>
      <c r="BL119" s="129">
        <f t="shared" si="382"/>
        <v>28958.76085754986</v>
      </c>
      <c r="BM119" s="129">
        <f t="shared" si="382"/>
        <v>37745.234432234429</v>
      </c>
      <c r="BN119" s="129">
        <f t="shared" ref="BN119:CS119" si="383">IFERROR(BN107/BN108,0)</f>
        <v>41700.761538461506</v>
      </c>
      <c r="BO119" s="129">
        <f t="shared" si="383"/>
        <v>28928.321466346155</v>
      </c>
      <c r="BP119" s="129">
        <f t="shared" si="383"/>
        <v>29764.337804076153</v>
      </c>
      <c r="BQ119" s="129">
        <f t="shared" si="383"/>
        <v>31475.36404183535</v>
      </c>
      <c r="BR119" s="129">
        <f t="shared" si="383"/>
        <v>28782.684568151144</v>
      </c>
      <c r="BS119" s="129">
        <f t="shared" si="383"/>
        <v>32207.900664767327</v>
      </c>
      <c r="BT119" s="129">
        <f t="shared" si="383"/>
        <v>34286.93288003678</v>
      </c>
      <c r="BU119" s="129">
        <f t="shared" si="383"/>
        <v>34831.023092396106</v>
      </c>
      <c r="BV119" s="129">
        <f t="shared" si="383"/>
        <v>36468.33331564987</v>
      </c>
      <c r="BW119" s="129">
        <f t="shared" si="383"/>
        <v>36079.213952254482</v>
      </c>
      <c r="BX119" s="129">
        <f t="shared" si="383"/>
        <v>36816.606483516494</v>
      </c>
      <c r="BY119" s="129">
        <f t="shared" si="383"/>
        <v>46797.776251033873</v>
      </c>
      <c r="BZ119" s="129">
        <f t="shared" si="383"/>
        <v>36782.553750000006</v>
      </c>
      <c r="CA119" s="129">
        <f t="shared" si="383"/>
        <v>35533.09526029526</v>
      </c>
      <c r="CB119" s="129">
        <f t="shared" si="383"/>
        <v>36151.56216346156</v>
      </c>
      <c r="CC119" s="129">
        <f t="shared" si="383"/>
        <v>36033.573200992556</v>
      </c>
      <c r="CD119" s="129">
        <f t="shared" si="383"/>
        <v>36287.348871794871</v>
      </c>
      <c r="CE119" s="129">
        <f t="shared" si="383"/>
        <v>35461.936763925863</v>
      </c>
      <c r="CF119" s="129">
        <f t="shared" si="383"/>
        <v>33847.936157981807</v>
      </c>
      <c r="CG119" s="129">
        <f t="shared" si="383"/>
        <v>34255.197987179483</v>
      </c>
      <c r="CH119" s="129">
        <f t="shared" si="383"/>
        <v>42845.002079059668</v>
      </c>
      <c r="CI119" s="129">
        <f t="shared" si="383"/>
        <v>38917.147762820518</v>
      </c>
      <c r="CJ119" s="129">
        <f t="shared" si="383"/>
        <v>39564.003359858543</v>
      </c>
      <c r="CK119" s="129">
        <f t="shared" si="383"/>
        <v>49787.919732906004</v>
      </c>
      <c r="CL119" s="129">
        <f t="shared" si="383"/>
        <v>38692.532798477572</v>
      </c>
      <c r="CM119" s="129">
        <f t="shared" si="383"/>
        <v>38984.849959935906</v>
      </c>
      <c r="CN119" s="129">
        <f t="shared" si="383"/>
        <v>46954.422649572669</v>
      </c>
      <c r="CO119" s="129">
        <f t="shared" si="383"/>
        <v>46093.029837607006</v>
      </c>
      <c r="CP119" s="129">
        <f t="shared" si="383"/>
        <v>54997.485845352501</v>
      </c>
      <c r="CQ119" s="129">
        <f t="shared" si="383"/>
        <v>44998.264419414001</v>
      </c>
      <c r="CR119" s="129">
        <f t="shared" si="383"/>
        <v>57182.978418803337</v>
      </c>
      <c r="CS119" s="129">
        <f t="shared" si="383"/>
        <v>45808.392558905136</v>
      </c>
      <c r="CT119" s="129">
        <f t="shared" si="379"/>
        <v>49034.342648044156</v>
      </c>
      <c r="CU119" s="129">
        <f t="shared" ref="CU119:DQ119" si="384">CT119*(1+CU124)</f>
        <v>49034.342648044156</v>
      </c>
      <c r="CV119" s="129">
        <f t="shared" si="384"/>
        <v>49034.342648044156</v>
      </c>
      <c r="CW119" s="129">
        <f t="shared" si="384"/>
        <v>49034.342648044156</v>
      </c>
      <c r="CX119" s="129">
        <f t="shared" si="384"/>
        <v>49034.342648044156</v>
      </c>
      <c r="CY119" s="129">
        <f t="shared" si="384"/>
        <v>49034.342648044156</v>
      </c>
      <c r="CZ119" s="129">
        <f t="shared" si="384"/>
        <v>49034.342648044156</v>
      </c>
      <c r="DA119" s="129">
        <f t="shared" si="384"/>
        <v>49034.342648044156</v>
      </c>
      <c r="DB119" s="129">
        <f t="shared" si="384"/>
        <v>49034.342648044156</v>
      </c>
      <c r="DC119" s="129">
        <f t="shared" si="384"/>
        <v>49034.342648044156</v>
      </c>
      <c r="DD119" s="129">
        <f t="shared" si="384"/>
        <v>49034.342648044156</v>
      </c>
      <c r="DE119" s="129">
        <f t="shared" si="384"/>
        <v>49034.342648044156</v>
      </c>
      <c r="DF119" s="129">
        <f t="shared" si="384"/>
        <v>52957.090059887691</v>
      </c>
      <c r="DG119" s="129">
        <f t="shared" si="384"/>
        <v>52957.090059887691</v>
      </c>
      <c r="DH119" s="129">
        <f t="shared" si="384"/>
        <v>52957.090059887691</v>
      </c>
      <c r="DI119" s="129">
        <f t="shared" si="384"/>
        <v>52957.090059887691</v>
      </c>
      <c r="DJ119" s="129">
        <f t="shared" si="384"/>
        <v>52957.090059887691</v>
      </c>
      <c r="DK119" s="129">
        <f t="shared" si="384"/>
        <v>52957.090059887691</v>
      </c>
      <c r="DL119" s="129">
        <f t="shared" si="384"/>
        <v>52957.090059887691</v>
      </c>
      <c r="DM119" s="129">
        <f t="shared" si="384"/>
        <v>52957.090059887691</v>
      </c>
      <c r="DN119" s="129">
        <f t="shared" si="384"/>
        <v>52957.090059887691</v>
      </c>
      <c r="DO119" s="129">
        <f t="shared" si="384"/>
        <v>52957.090059887691</v>
      </c>
      <c r="DP119" s="129">
        <f t="shared" si="384"/>
        <v>52957.090059887691</v>
      </c>
      <c r="DQ119" s="129">
        <f t="shared" si="384"/>
        <v>52957.090059887691</v>
      </c>
      <c r="DR119" s="129">
        <f t="shared" si="364"/>
        <v>57193.65726467871</v>
      </c>
      <c r="DS119" s="129">
        <f t="shared" si="365"/>
        <v>57193.65726467871</v>
      </c>
      <c r="DT119" s="129">
        <f t="shared" si="366"/>
        <v>57193.65726467871</v>
      </c>
      <c r="DU119" s="129">
        <f t="shared" si="367"/>
        <v>57193.65726467871</v>
      </c>
      <c r="DV119" s="129">
        <f t="shared" si="368"/>
        <v>57193.65726467871</v>
      </c>
      <c r="DW119" s="129">
        <f t="shared" si="369"/>
        <v>57193.65726467871</v>
      </c>
      <c r="DX119" s="129">
        <f t="shared" si="370"/>
        <v>57193.65726467871</v>
      </c>
      <c r="DY119" s="129">
        <f t="shared" si="371"/>
        <v>57193.65726467871</v>
      </c>
      <c r="DZ119" s="129">
        <f t="shared" si="372"/>
        <v>57193.65726467871</v>
      </c>
      <c r="EA119" s="129">
        <f t="shared" si="373"/>
        <v>57193.65726467871</v>
      </c>
      <c r="EB119" s="129">
        <f t="shared" si="374"/>
        <v>57193.65726467871</v>
      </c>
      <c r="EC119" s="129">
        <f t="shared" si="375"/>
        <v>57193.65726467871</v>
      </c>
      <c r="ED119" s="113" t="s">
        <v>1</v>
      </c>
    </row>
    <row r="120" spans="1:134" x14ac:dyDescent="0.2">
      <c r="A120" s="698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/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29"/>
      <c r="BJ120" s="129"/>
      <c r="BK120" s="129"/>
      <c r="BL120" s="129"/>
      <c r="BM120" s="129"/>
      <c r="BN120" s="129"/>
      <c r="BO120" s="129"/>
      <c r="BP120" s="129"/>
      <c r="BQ120" s="129"/>
      <c r="BR120" s="129"/>
      <c r="BS120" s="129"/>
      <c r="BT120" s="129"/>
      <c r="BU120" s="129"/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/>
      <c r="CP120" s="129"/>
      <c r="CQ120" s="129"/>
      <c r="CR120" s="129"/>
      <c r="CS120" s="129"/>
      <c r="CT120" s="129"/>
      <c r="CU120" s="129"/>
      <c r="CV120" s="129"/>
      <c r="CW120" s="133"/>
      <c r="CX120" s="115"/>
      <c r="CY120" s="115"/>
      <c r="CZ120" s="133"/>
      <c r="DA120" s="133"/>
      <c r="DB120" s="115"/>
      <c r="DC120" s="115"/>
      <c r="DD120" s="133"/>
      <c r="DE120" s="133"/>
      <c r="DF120" s="115"/>
      <c r="DG120" s="115"/>
      <c r="DH120" s="133"/>
      <c r="DI120" s="133"/>
      <c r="DJ120" s="115"/>
      <c r="DK120" s="115"/>
      <c r="DL120" s="133"/>
      <c r="DM120" s="133"/>
      <c r="DN120" s="115"/>
      <c r="DO120" s="115"/>
      <c r="DP120" s="133"/>
      <c r="DQ120" s="133"/>
      <c r="DR120" s="115"/>
      <c r="DS120" s="115"/>
      <c r="DT120" s="115"/>
      <c r="DU120" s="115"/>
      <c r="DV120" s="115"/>
      <c r="DW120" s="115"/>
      <c r="DX120" s="115"/>
      <c r="DY120" s="115"/>
      <c r="DZ120" s="115"/>
      <c r="EA120" s="115"/>
      <c r="EB120" s="115"/>
      <c r="EC120" s="115"/>
      <c r="ED120" s="113" t="s">
        <v>1</v>
      </c>
    </row>
    <row r="121" spans="1:134" x14ac:dyDescent="0.2">
      <c r="A121" s="700" t="s">
        <v>116</v>
      </c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29"/>
      <c r="BJ121" s="129"/>
      <c r="BK121" s="129"/>
      <c r="BL121" s="129"/>
      <c r="BM121" s="129"/>
      <c r="BN121" s="129"/>
      <c r="BO121" s="129"/>
      <c r="BP121" s="129"/>
      <c r="BQ121" s="129"/>
      <c r="BR121" s="129"/>
      <c r="BS121" s="129"/>
      <c r="BT121" s="129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34"/>
      <c r="CU121" s="134"/>
      <c r="CV121" s="134"/>
      <c r="CW121" s="133"/>
      <c r="CX121" s="133"/>
      <c r="CY121" s="133"/>
      <c r="CZ121" s="133"/>
      <c r="DA121" s="133"/>
      <c r="DB121" s="133"/>
      <c r="DC121" s="133"/>
      <c r="DD121" s="133"/>
      <c r="DE121" s="133"/>
      <c r="DF121" s="714"/>
      <c r="DG121" s="133"/>
      <c r="DH121" s="133"/>
      <c r="DI121" s="133"/>
      <c r="DJ121" s="133"/>
      <c r="DK121" s="133"/>
      <c r="DL121" s="133"/>
      <c r="DM121" s="133"/>
      <c r="DN121" s="133"/>
      <c r="DO121" s="133"/>
      <c r="DP121" s="133"/>
      <c r="DQ121" s="133"/>
      <c r="DR121" s="115"/>
      <c r="DS121" s="115"/>
      <c r="DT121" s="115"/>
      <c r="DU121" s="115"/>
      <c r="DV121" s="115"/>
      <c r="DW121" s="115"/>
      <c r="DX121" s="115"/>
      <c r="DY121" s="115"/>
      <c r="DZ121" s="115"/>
      <c r="EA121" s="115"/>
      <c r="EB121" s="115"/>
      <c r="EC121" s="115"/>
      <c r="ED121" s="113" t="s">
        <v>1</v>
      </c>
    </row>
    <row r="122" spans="1:134" x14ac:dyDescent="0.2">
      <c r="A122" s="698" t="s">
        <v>246</v>
      </c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129"/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129"/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129"/>
      <c r="BQ122" s="129"/>
      <c r="BR122" s="129"/>
      <c r="BS122" s="129"/>
      <c r="BT122" s="129"/>
      <c r="BU122" s="134"/>
      <c r="BV122" s="134"/>
      <c r="BW122" s="134"/>
      <c r="BX122" s="129"/>
      <c r="BY122" s="129"/>
      <c r="BZ122" s="129"/>
      <c r="CA122" s="129"/>
      <c r="CB122" s="129"/>
      <c r="CC122" s="129"/>
      <c r="CD122" s="129"/>
      <c r="CE122" s="129"/>
      <c r="CF122" s="129"/>
      <c r="CG122" s="134"/>
      <c r="CH122" s="134"/>
      <c r="CI122" s="129"/>
      <c r="CJ122" s="129"/>
      <c r="CK122" s="129"/>
      <c r="CL122" s="129"/>
      <c r="CM122" s="129"/>
      <c r="CN122" s="129"/>
      <c r="CO122" s="129"/>
      <c r="CP122" s="129"/>
      <c r="CQ122" s="129"/>
      <c r="CR122" s="129"/>
      <c r="CS122" s="134"/>
      <c r="CT122" s="701">
        <v>0.08</v>
      </c>
      <c r="CU122" s="134"/>
      <c r="CV122" s="134"/>
      <c r="CW122" s="133"/>
      <c r="CX122" s="133"/>
      <c r="CY122" s="133"/>
      <c r="CZ122" s="133"/>
      <c r="DA122" s="133"/>
      <c r="DB122" s="133"/>
      <c r="DC122" s="133"/>
      <c r="DD122" s="133"/>
      <c r="DE122" s="133"/>
      <c r="DF122" s="701">
        <v>0.08</v>
      </c>
      <c r="DG122" s="133"/>
      <c r="DH122" s="133"/>
      <c r="DI122" s="133"/>
      <c r="DJ122" s="133"/>
      <c r="DK122" s="133"/>
      <c r="DL122" s="133"/>
      <c r="DM122" s="133"/>
      <c r="DN122" s="133"/>
      <c r="DO122" s="133"/>
      <c r="DP122" s="133"/>
      <c r="DQ122" s="133"/>
      <c r="DR122" s="701">
        <v>0.08</v>
      </c>
      <c r="DS122" s="115"/>
      <c r="DT122" s="115"/>
      <c r="DU122" s="115"/>
      <c r="DV122" s="115"/>
      <c r="DW122" s="115"/>
      <c r="DX122" s="115"/>
      <c r="DY122" s="115"/>
      <c r="DZ122" s="115"/>
      <c r="EA122" s="115"/>
      <c r="EB122" s="115"/>
      <c r="EC122" s="115"/>
      <c r="ED122" s="113" t="s">
        <v>1</v>
      </c>
    </row>
    <row r="123" spans="1:134" x14ac:dyDescent="0.2">
      <c r="A123" s="698" t="s">
        <v>247</v>
      </c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9"/>
      <c r="AX123" s="129"/>
      <c r="AY123" s="129"/>
      <c r="AZ123" s="129"/>
      <c r="BA123" s="129"/>
      <c r="BB123" s="129"/>
      <c r="BC123" s="129"/>
      <c r="BD123" s="129"/>
      <c r="BE123" s="129"/>
      <c r="BF123" s="129"/>
      <c r="BG123" s="129"/>
      <c r="BH123" s="129"/>
      <c r="BI123" s="129"/>
      <c r="BJ123" s="129"/>
      <c r="BK123" s="129"/>
      <c r="BL123" s="129"/>
      <c r="BM123" s="129"/>
      <c r="BN123" s="129"/>
      <c r="BO123" s="129"/>
      <c r="BP123" s="129"/>
      <c r="BQ123" s="129"/>
      <c r="BR123" s="129"/>
      <c r="BS123" s="129"/>
      <c r="BT123" s="129"/>
      <c r="BU123" s="134"/>
      <c r="BV123" s="134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34"/>
      <c r="CH123" s="134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34"/>
      <c r="CT123" s="701">
        <v>0.08</v>
      </c>
      <c r="CU123" s="134"/>
      <c r="CV123" s="134"/>
      <c r="CW123" s="133"/>
      <c r="CX123" s="133"/>
      <c r="CY123" s="133"/>
      <c r="CZ123" s="133"/>
      <c r="DA123" s="133"/>
      <c r="DB123" s="133"/>
      <c r="DC123" s="133"/>
      <c r="DD123" s="133"/>
      <c r="DE123" s="133"/>
      <c r="DF123" s="701">
        <v>0.08</v>
      </c>
      <c r="DG123" s="133"/>
      <c r="DH123" s="133"/>
      <c r="DI123" s="133"/>
      <c r="DJ123" s="133"/>
      <c r="DK123" s="133"/>
      <c r="DL123" s="133"/>
      <c r="DM123" s="133"/>
      <c r="DN123" s="133"/>
      <c r="DO123" s="133"/>
      <c r="DP123" s="133"/>
      <c r="DQ123" s="133"/>
      <c r="DR123" s="701">
        <v>0.08</v>
      </c>
      <c r="DS123" s="115"/>
      <c r="DT123" s="115"/>
      <c r="DU123" s="115"/>
      <c r="DV123" s="115"/>
      <c r="DW123" s="115"/>
      <c r="DX123" s="115"/>
      <c r="DY123" s="115"/>
      <c r="DZ123" s="115"/>
      <c r="EA123" s="115"/>
      <c r="EB123" s="115"/>
      <c r="EC123" s="115"/>
      <c r="ED123" s="113" t="s">
        <v>1</v>
      </c>
    </row>
    <row r="124" spans="1:134" x14ac:dyDescent="0.2">
      <c r="A124" s="698" t="s">
        <v>248</v>
      </c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34"/>
      <c r="BV124" s="134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34"/>
      <c r="CH124" s="134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34"/>
      <c r="CT124" s="701">
        <v>0.08</v>
      </c>
      <c r="CU124" s="134"/>
      <c r="CV124" s="134"/>
      <c r="CW124" s="133"/>
      <c r="CX124" s="133"/>
      <c r="CY124" s="133"/>
      <c r="CZ124" s="133"/>
      <c r="DA124" s="133"/>
      <c r="DB124" s="133"/>
      <c r="DC124" s="133"/>
      <c r="DD124" s="133"/>
      <c r="DE124" s="133"/>
      <c r="DF124" s="701">
        <v>0.08</v>
      </c>
      <c r="DG124" s="133"/>
      <c r="DH124" s="133"/>
      <c r="DI124" s="133"/>
      <c r="DJ124" s="133"/>
      <c r="DK124" s="133"/>
      <c r="DL124" s="133"/>
      <c r="DM124" s="133"/>
      <c r="DN124" s="133"/>
      <c r="DO124" s="133"/>
      <c r="DP124" s="133"/>
      <c r="DQ124" s="133"/>
      <c r="DR124" s="701">
        <v>0.08</v>
      </c>
      <c r="DS124" s="115"/>
      <c r="DT124" s="115"/>
      <c r="DU124" s="115"/>
      <c r="DV124" s="115"/>
      <c r="DW124" s="115"/>
      <c r="DX124" s="115"/>
      <c r="DY124" s="115"/>
      <c r="DZ124" s="115"/>
      <c r="EA124" s="115"/>
      <c r="EB124" s="115"/>
      <c r="EC124" s="115"/>
      <c r="ED124" s="113" t="s">
        <v>1</v>
      </c>
    </row>
    <row r="125" spans="1:134" x14ac:dyDescent="0.2">
      <c r="A125" s="715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34"/>
      <c r="CU125" s="134"/>
      <c r="CV125" s="134"/>
      <c r="CW125" s="133"/>
      <c r="CX125" s="133"/>
      <c r="CY125" s="133"/>
      <c r="CZ125" s="133"/>
      <c r="DA125" s="133"/>
      <c r="DB125" s="133"/>
      <c r="DC125" s="133"/>
      <c r="DD125" s="133"/>
      <c r="DE125" s="133"/>
      <c r="DF125" s="714"/>
      <c r="DG125" s="133"/>
      <c r="DH125" s="133"/>
      <c r="DI125" s="133"/>
      <c r="DJ125" s="133"/>
      <c r="DK125" s="133"/>
      <c r="DL125" s="133"/>
      <c r="DM125" s="133"/>
      <c r="DN125" s="133"/>
      <c r="DO125" s="133"/>
      <c r="DP125" s="133"/>
      <c r="DQ125" s="133"/>
      <c r="DR125" s="115"/>
      <c r="DS125" s="115"/>
      <c r="DT125" s="115"/>
      <c r="DU125" s="115"/>
      <c r="DV125" s="115"/>
      <c r="DW125" s="115"/>
      <c r="DX125" s="115"/>
      <c r="DY125" s="115"/>
      <c r="DZ125" s="115"/>
      <c r="EA125" s="115"/>
      <c r="EB125" s="115"/>
      <c r="EC125" s="115"/>
      <c r="ED125" s="113" t="s">
        <v>1</v>
      </c>
    </row>
    <row r="126" spans="1:134" x14ac:dyDescent="0.2">
      <c r="A126" s="715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34"/>
      <c r="CU126" s="134"/>
      <c r="CV126" s="134"/>
      <c r="CW126" s="133"/>
      <c r="CX126" s="133"/>
      <c r="CY126" s="133"/>
      <c r="CZ126" s="133"/>
      <c r="DA126" s="133"/>
      <c r="DB126" s="133"/>
      <c r="DC126" s="133"/>
      <c r="DD126" s="133"/>
      <c r="DE126" s="133"/>
      <c r="DF126" s="714"/>
      <c r="DG126" s="133"/>
      <c r="DH126" s="133"/>
      <c r="DI126" s="133"/>
      <c r="DJ126" s="133"/>
      <c r="DK126" s="133"/>
      <c r="DL126" s="133"/>
      <c r="DM126" s="133"/>
      <c r="DN126" s="133"/>
      <c r="DO126" s="133"/>
      <c r="DP126" s="133"/>
      <c r="DQ126" s="133"/>
      <c r="DR126" s="115"/>
      <c r="DS126" s="115"/>
      <c r="DT126" s="115"/>
      <c r="DU126" s="115"/>
      <c r="DV126" s="115"/>
      <c r="DW126" s="115"/>
      <c r="DX126" s="115"/>
      <c r="DY126" s="115"/>
      <c r="DZ126" s="115"/>
      <c r="EA126" s="115"/>
      <c r="EB126" s="115"/>
      <c r="EC126" s="115"/>
      <c r="ED126" s="113" t="s">
        <v>1</v>
      </c>
    </row>
    <row r="127" spans="1:134" x14ac:dyDescent="0.2">
      <c r="A127" s="700" t="s">
        <v>249</v>
      </c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34"/>
      <c r="CU127" s="134"/>
      <c r="CV127" s="134"/>
      <c r="CW127" s="133"/>
      <c r="CX127" s="133"/>
      <c r="CY127" s="133"/>
      <c r="CZ127" s="133"/>
      <c r="DA127" s="133"/>
      <c r="DB127" s="133"/>
      <c r="DC127" s="133"/>
      <c r="DD127" s="133"/>
      <c r="DE127" s="133"/>
      <c r="DF127" s="714"/>
      <c r="DG127" s="133"/>
      <c r="DH127" s="133"/>
      <c r="DI127" s="133"/>
      <c r="DJ127" s="133"/>
      <c r="DK127" s="133"/>
      <c r="DL127" s="133"/>
      <c r="DM127" s="133"/>
      <c r="DN127" s="133"/>
      <c r="DO127" s="133"/>
      <c r="DP127" s="133"/>
      <c r="DQ127" s="133"/>
      <c r="DR127" s="115"/>
      <c r="DS127" s="115"/>
      <c r="DT127" s="115"/>
      <c r="DU127" s="115"/>
      <c r="DV127" s="115"/>
      <c r="DW127" s="115"/>
      <c r="DX127" s="115"/>
      <c r="DY127" s="115"/>
      <c r="DZ127" s="115"/>
      <c r="EA127" s="115"/>
      <c r="EB127" s="115"/>
      <c r="EC127" s="115"/>
      <c r="ED127" s="113" t="s">
        <v>1</v>
      </c>
    </row>
    <row r="128" spans="1:134" x14ac:dyDescent="0.2">
      <c r="A128" s="698" t="s">
        <v>246</v>
      </c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34"/>
      <c r="BJ128" s="134"/>
      <c r="BK128" s="134">
        <f t="shared" ref="BK128" si="385">BK104/AY104-1</f>
        <v>-8.8888888888888906E-2</v>
      </c>
      <c r="BL128" s="134">
        <f t="shared" ref="BL128:BL130" si="386">BL104/AZ104-1</f>
        <v>-0.23529411764705888</v>
      </c>
      <c r="BM128" s="134">
        <f t="shared" ref="BM128:BM130" si="387">BM104/BA104-1</f>
        <v>-0.28846153846153844</v>
      </c>
      <c r="BN128" s="134">
        <f t="shared" ref="BN128:BN130" si="388">BN104/BB104-1</f>
        <v>-0.31481481481481477</v>
      </c>
      <c r="BO128" s="134">
        <f t="shared" ref="BO128:BO130" si="389">BO104/BC104-1</f>
        <v>-0.29411764705882348</v>
      </c>
      <c r="BP128" s="134">
        <f t="shared" ref="BP128:BP130" si="390">BP104/BD104-1</f>
        <v>-0.20408163265306123</v>
      </c>
      <c r="BQ128" s="134">
        <f t="shared" ref="BQ128:BQ130" si="391">BQ104/BE104-1</f>
        <v>-0.23529411764705888</v>
      </c>
      <c r="BR128" s="134">
        <f t="shared" ref="BR128:BR130" si="392">BR104/BF104-1</f>
        <v>-0.23404255319148937</v>
      </c>
      <c r="BS128" s="134">
        <f t="shared" ref="BS128:BS130" si="393">BS104/BG104-1</f>
        <v>-0.46666666666666667</v>
      </c>
      <c r="BT128" s="134">
        <f t="shared" ref="BT128:BT130" si="394">BT104/BH104-1</f>
        <v>-0.48888888888888893</v>
      </c>
      <c r="BU128" s="134">
        <f t="shared" ref="BU128:BU130" si="395">BU104/BI104-1</f>
        <v>-0.41463414634146345</v>
      </c>
      <c r="BV128" s="134">
        <f t="shared" ref="BV128:BV130" si="396">BV104/BJ104-1</f>
        <v>-0.3902439024390244</v>
      </c>
      <c r="BW128" s="134">
        <f t="shared" ref="BW128:BW130" si="397">BW104/BK104-1</f>
        <v>-0.41463414634146345</v>
      </c>
      <c r="BX128" s="134">
        <f t="shared" ref="BX128:BX130" si="398">BX104/BL104-1</f>
        <v>-0.38461538461538458</v>
      </c>
      <c r="BY128" s="134">
        <f t="shared" ref="BY128:BY130" si="399">BY104/BM104-1</f>
        <v>-0.35135135135135132</v>
      </c>
      <c r="BZ128" s="134">
        <f t="shared" ref="BZ128:BZ130" si="400">BZ104/BN104-1</f>
        <v>-0.35135135135135132</v>
      </c>
      <c r="CA128" s="134">
        <f t="shared" ref="CA128:CA130" si="401">CA104/BO104-1</f>
        <v>-0.33333333333333337</v>
      </c>
      <c r="CB128" s="134">
        <f t="shared" ref="CB128:CB130" si="402">CB104/BP104-1</f>
        <v>-0.38461538461538458</v>
      </c>
      <c r="CC128" s="134">
        <f t="shared" ref="CC128:CC130" si="403">CC104/BQ104-1</f>
        <v>-0.38461538461538458</v>
      </c>
      <c r="CD128" s="134">
        <f t="shared" ref="CD128:CD130" si="404">CD104/BR104-1</f>
        <v>-0.30555555555555558</v>
      </c>
      <c r="CE128" s="134">
        <f t="shared" ref="CE128:CE130" si="405">CE104/BS104-1</f>
        <v>0.125</v>
      </c>
      <c r="CF128" s="134">
        <f t="shared" ref="CF128:CF130" si="406">CF104/BT104-1</f>
        <v>0.34782608695652173</v>
      </c>
      <c r="CG128" s="134">
        <f t="shared" ref="CG128:CG130" si="407">CG104/BU104-1</f>
        <v>0.5</v>
      </c>
      <c r="CH128" s="134">
        <f t="shared" ref="CH128:CH130" si="408">CH104/BV104-1</f>
        <v>0.39999999999999991</v>
      </c>
      <c r="CI128" s="134">
        <f t="shared" ref="CI128:CI130" si="409">CI104/BW104-1</f>
        <v>0.41666666666666674</v>
      </c>
      <c r="CJ128" s="134">
        <f t="shared" ref="CJ128:CJ130" si="410">CJ104/BX104-1</f>
        <v>0.33333333333333326</v>
      </c>
      <c r="CK128" s="134">
        <f t="shared" ref="CK128:CK130" si="411">CK104/BY104-1</f>
        <v>0.25</v>
      </c>
      <c r="CL128" s="134">
        <f t="shared" ref="CL128:CL130" si="412">CL104/BZ104-1</f>
        <v>0.16666666666666674</v>
      </c>
      <c r="CM128" s="134">
        <f t="shared" ref="CM128:CM130" si="413">CM104/CA104-1</f>
        <v>0.25</v>
      </c>
      <c r="CN128" s="134">
        <f t="shared" ref="CN128:CN130" si="414">CN104/CB104-1</f>
        <v>0.20833333333333326</v>
      </c>
      <c r="CO128" s="134">
        <f t="shared" ref="CO128:CO130" si="415">CO104/CC104-1</f>
        <v>0.20833333333333326</v>
      </c>
      <c r="CP128" s="134">
        <f t="shared" ref="CP128:CP130" si="416">CP104/CD104-1</f>
        <v>0.3600000000000001</v>
      </c>
      <c r="CQ128" s="134">
        <f t="shared" ref="CQ128:CQ130" si="417">CQ104/CE104-1</f>
        <v>0.22222222222222232</v>
      </c>
      <c r="CR128" s="134">
        <f t="shared" ref="CR128:CR130" si="418">CR104/CF104-1</f>
        <v>3.2258064516129004E-2</v>
      </c>
      <c r="CS128" s="134">
        <f t="shared" ref="CS128:CS130" si="419">CS104/CG104-1</f>
        <v>-0.13888888888888884</v>
      </c>
      <c r="CT128" s="701">
        <v>0.1</v>
      </c>
      <c r="CU128" s="134"/>
      <c r="CV128" s="134"/>
      <c r="CW128" s="134"/>
      <c r="CX128" s="134"/>
      <c r="CY128" s="134"/>
      <c r="CZ128" s="134"/>
      <c r="DA128" s="134"/>
      <c r="DB128" s="134"/>
      <c r="DC128" s="134"/>
      <c r="DD128" s="134"/>
      <c r="DE128" s="134"/>
      <c r="DF128" s="701">
        <v>0.05</v>
      </c>
      <c r="DG128" s="133"/>
      <c r="DH128" s="133"/>
      <c r="DI128" s="133"/>
      <c r="DJ128" s="133"/>
      <c r="DK128" s="133"/>
      <c r="DL128" s="133"/>
      <c r="DM128" s="133"/>
      <c r="DN128" s="133"/>
      <c r="DO128" s="133"/>
      <c r="DP128" s="133"/>
      <c r="DQ128" s="133"/>
      <c r="DR128" s="701">
        <v>0.05</v>
      </c>
      <c r="DS128" s="115"/>
      <c r="DT128" s="115"/>
      <c r="DU128" s="115"/>
      <c r="DV128" s="115"/>
      <c r="DW128" s="115"/>
      <c r="DX128" s="115"/>
      <c r="DY128" s="115"/>
      <c r="DZ128" s="115"/>
      <c r="EA128" s="115"/>
      <c r="EB128" s="115"/>
      <c r="EC128" s="115"/>
      <c r="ED128" s="113" t="s">
        <v>1</v>
      </c>
    </row>
    <row r="129" spans="1:134" x14ac:dyDescent="0.2">
      <c r="A129" s="698" t="s">
        <v>247</v>
      </c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34"/>
      <c r="BJ129" s="134"/>
      <c r="BK129" s="134">
        <f t="shared" ref="BK129" si="420">BK105/AY105-1</f>
        <v>0.1270105740435965</v>
      </c>
      <c r="BL129" s="134">
        <f t="shared" si="386"/>
        <v>0.10127809421881051</v>
      </c>
      <c r="BM129" s="134">
        <f t="shared" si="387"/>
        <v>0.4040638456093244</v>
      </c>
      <c r="BN129" s="134">
        <f t="shared" si="388"/>
        <v>0.43772527240475712</v>
      </c>
      <c r="BO129" s="134">
        <f t="shared" si="389"/>
        <v>0.49935160814227619</v>
      </c>
      <c r="BP129" s="134">
        <f t="shared" si="390"/>
        <v>0.36982060726997545</v>
      </c>
      <c r="BQ129" s="134">
        <f t="shared" si="391"/>
        <v>0.63361565506464013</v>
      </c>
      <c r="BR129" s="134">
        <f t="shared" si="392"/>
        <v>1.3988853110123309</v>
      </c>
      <c r="BS129" s="134">
        <f t="shared" si="393"/>
        <v>-2.2820569424461423E-2</v>
      </c>
      <c r="BT129" s="134">
        <f t="shared" si="394"/>
        <v>1.5237332786332192</v>
      </c>
      <c r="BU129" s="134">
        <f t="shared" si="395"/>
        <v>2.0538696242223815</v>
      </c>
      <c r="BV129" s="134">
        <f t="shared" si="396"/>
        <v>0.2741181098392409</v>
      </c>
      <c r="BW129" s="134">
        <f t="shared" si="397"/>
        <v>0.33516879836359581</v>
      </c>
      <c r="BX129" s="134">
        <f t="shared" si="398"/>
        <v>-0.28877968276652288</v>
      </c>
      <c r="BY129" s="134">
        <f t="shared" si="399"/>
        <v>-0.26780735947848777</v>
      </c>
      <c r="BZ129" s="134">
        <f t="shared" si="400"/>
        <v>-0.32055556396756424</v>
      </c>
      <c r="CA129" s="134">
        <f t="shared" si="401"/>
        <v>-0.27203244996416343</v>
      </c>
      <c r="CB129" s="134">
        <f t="shared" si="402"/>
        <v>-0.21834247674614204</v>
      </c>
      <c r="CC129" s="134">
        <f t="shared" si="403"/>
        <v>-0.35668206312205686</v>
      </c>
      <c r="CD129" s="134">
        <f t="shared" si="404"/>
        <v>-0.3756756154063291</v>
      </c>
      <c r="CE129" s="134">
        <f t="shared" si="405"/>
        <v>-5.4043483139769588E-3</v>
      </c>
      <c r="CF129" s="134">
        <f t="shared" si="406"/>
        <v>-0.16744679744857305</v>
      </c>
      <c r="CG129" s="134">
        <f t="shared" si="407"/>
        <v>0.84094477149010727</v>
      </c>
      <c r="CH129" s="134">
        <f t="shared" si="408"/>
        <v>0.50869397534086946</v>
      </c>
      <c r="CI129" s="134">
        <f t="shared" si="409"/>
        <v>0.44008991091143157</v>
      </c>
      <c r="CJ129" s="134">
        <f t="shared" si="410"/>
        <v>1.4677348181008578</v>
      </c>
      <c r="CK129" s="134">
        <f t="shared" si="411"/>
        <v>1.4664673795836105</v>
      </c>
      <c r="CL129" s="134">
        <f t="shared" si="412"/>
        <v>1.5687670526312107</v>
      </c>
      <c r="CM129" s="134">
        <f t="shared" si="413"/>
        <v>1.7731662996065212</v>
      </c>
      <c r="CN129" s="134">
        <f t="shared" si="414"/>
        <v>1.9640233934014804</v>
      </c>
      <c r="CO129" s="134">
        <f t="shared" si="415"/>
        <v>1.8498579122372054</v>
      </c>
      <c r="CP129" s="134">
        <f t="shared" si="416"/>
        <v>1.8367634493660812</v>
      </c>
      <c r="CQ129" s="134">
        <f t="shared" si="417"/>
        <v>1.0238345682012904</v>
      </c>
      <c r="CR129" s="134">
        <f t="shared" si="418"/>
        <v>1.3942121515517272</v>
      </c>
      <c r="CS129" s="134">
        <f t="shared" si="419"/>
        <v>0.12996541290594421</v>
      </c>
      <c r="CT129" s="701">
        <v>0.1</v>
      </c>
      <c r="CU129" s="134"/>
      <c r="CV129" s="134"/>
      <c r="CW129" s="134"/>
      <c r="CX129" s="134"/>
      <c r="CY129" s="134"/>
      <c r="CZ129" s="134"/>
      <c r="DA129" s="134"/>
      <c r="DB129" s="134"/>
      <c r="DC129" s="134"/>
      <c r="DD129" s="134"/>
      <c r="DE129" s="134"/>
      <c r="DF129" s="701">
        <v>0.05</v>
      </c>
      <c r="DG129" s="133"/>
      <c r="DH129" s="133"/>
      <c r="DI129" s="133"/>
      <c r="DJ129" s="133"/>
      <c r="DK129" s="133"/>
      <c r="DL129" s="133"/>
      <c r="DM129" s="133"/>
      <c r="DN129" s="133"/>
      <c r="DO129" s="133"/>
      <c r="DP129" s="133"/>
      <c r="DQ129" s="133"/>
      <c r="DR129" s="701">
        <v>0.05</v>
      </c>
      <c r="DS129" s="115"/>
      <c r="DT129" s="115"/>
      <c r="DU129" s="115"/>
      <c r="DV129" s="115"/>
      <c r="DW129" s="115"/>
      <c r="DX129" s="115"/>
      <c r="DY129" s="115"/>
      <c r="DZ129" s="115"/>
      <c r="EA129" s="115"/>
      <c r="EB129" s="115"/>
      <c r="EC129" s="115"/>
      <c r="ED129" s="113" t="s">
        <v>1</v>
      </c>
    </row>
    <row r="130" spans="1:134" x14ac:dyDescent="0.2">
      <c r="A130" s="698" t="s">
        <v>248</v>
      </c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34"/>
      <c r="BJ130" s="134"/>
      <c r="BK130" s="134">
        <f t="shared" ref="BK130" si="421">BK106/AY106-1</f>
        <v>-0.5</v>
      </c>
      <c r="BL130" s="134">
        <f t="shared" si="386"/>
        <v>-0.5</v>
      </c>
      <c r="BM130" s="134">
        <f t="shared" si="387"/>
        <v>-0.5</v>
      </c>
      <c r="BN130" s="134">
        <f t="shared" si="388"/>
        <v>-0.33333333333333337</v>
      </c>
      <c r="BO130" s="134">
        <f t="shared" si="389"/>
        <v>-0.33333333333333337</v>
      </c>
      <c r="BP130" s="134">
        <f t="shared" si="390"/>
        <v>-0.33333333333333337</v>
      </c>
      <c r="BQ130" s="134">
        <f t="shared" si="391"/>
        <v>0</v>
      </c>
      <c r="BR130" s="134">
        <f t="shared" si="392"/>
        <v>0.16666666666666674</v>
      </c>
      <c r="BS130" s="134">
        <f t="shared" si="393"/>
        <v>-0.33333333333333337</v>
      </c>
      <c r="BT130" s="134">
        <f t="shared" si="394"/>
        <v>-0.19999999999999996</v>
      </c>
      <c r="BU130" s="134">
        <f t="shared" si="395"/>
        <v>-0.19999999999999996</v>
      </c>
      <c r="BV130" s="134">
        <f t="shared" si="396"/>
        <v>0.5</v>
      </c>
      <c r="BW130" s="134">
        <f t="shared" si="397"/>
        <v>0.5</v>
      </c>
      <c r="BX130" s="134">
        <f t="shared" si="398"/>
        <v>0.75</v>
      </c>
      <c r="BY130" s="134">
        <f t="shared" si="399"/>
        <v>1</v>
      </c>
      <c r="BZ130" s="134">
        <f t="shared" si="400"/>
        <v>0.75</v>
      </c>
      <c r="CA130" s="134">
        <f t="shared" si="401"/>
        <v>1</v>
      </c>
      <c r="CB130" s="134">
        <f t="shared" si="402"/>
        <v>1.25</v>
      </c>
      <c r="CC130" s="134">
        <f t="shared" si="403"/>
        <v>0.66666666666666674</v>
      </c>
      <c r="CD130" s="134">
        <f t="shared" si="404"/>
        <v>0.4285714285714286</v>
      </c>
      <c r="CE130" s="134">
        <f t="shared" si="405"/>
        <v>1.5</v>
      </c>
      <c r="CF130" s="134">
        <f t="shared" si="406"/>
        <v>2.5</v>
      </c>
      <c r="CG130" s="134">
        <f t="shared" si="407"/>
        <v>2.75</v>
      </c>
      <c r="CH130" s="134">
        <f t="shared" si="408"/>
        <v>1.5</v>
      </c>
      <c r="CI130" s="134">
        <f t="shared" si="409"/>
        <v>1.6666666666666665</v>
      </c>
      <c r="CJ130" s="134">
        <f t="shared" si="410"/>
        <v>1.1428571428571428</v>
      </c>
      <c r="CK130" s="134">
        <f t="shared" si="411"/>
        <v>0.875</v>
      </c>
      <c r="CL130" s="134">
        <f t="shared" si="412"/>
        <v>1.1428571428571428</v>
      </c>
      <c r="CM130" s="134">
        <f t="shared" si="413"/>
        <v>1.125</v>
      </c>
      <c r="CN130" s="134">
        <f t="shared" si="414"/>
        <v>1</v>
      </c>
      <c r="CO130" s="134">
        <f t="shared" si="415"/>
        <v>0.7</v>
      </c>
      <c r="CP130" s="134">
        <f t="shared" si="416"/>
        <v>0.7</v>
      </c>
      <c r="CQ130" s="134">
        <f t="shared" si="417"/>
        <v>0.89999999999999991</v>
      </c>
      <c r="CR130" s="134">
        <f t="shared" si="418"/>
        <v>0.35714285714285721</v>
      </c>
      <c r="CS130" s="134">
        <f t="shared" si="419"/>
        <v>0.26666666666666661</v>
      </c>
      <c r="CT130" s="701">
        <v>0.1</v>
      </c>
      <c r="CU130" s="134"/>
      <c r="CV130" s="134"/>
      <c r="CW130" s="134"/>
      <c r="CX130" s="134"/>
      <c r="CY130" s="134"/>
      <c r="CZ130" s="134"/>
      <c r="DA130" s="134"/>
      <c r="DB130" s="134"/>
      <c r="DC130" s="134"/>
      <c r="DD130" s="134"/>
      <c r="DE130" s="134"/>
      <c r="DF130" s="701">
        <v>0.05</v>
      </c>
      <c r="DG130" s="133"/>
      <c r="DH130" s="133"/>
      <c r="DI130" s="133"/>
      <c r="DJ130" s="133"/>
      <c r="DK130" s="133"/>
      <c r="DL130" s="133"/>
      <c r="DM130" s="133"/>
      <c r="DN130" s="133"/>
      <c r="DO130" s="133"/>
      <c r="DP130" s="133"/>
      <c r="DQ130" s="133"/>
      <c r="DR130" s="701">
        <v>0.05</v>
      </c>
      <c r="DS130" s="115"/>
      <c r="DT130" s="115"/>
      <c r="DU130" s="115"/>
      <c r="DV130" s="115"/>
      <c r="DW130" s="115"/>
      <c r="DX130" s="115"/>
      <c r="DY130" s="115"/>
      <c r="DZ130" s="115"/>
      <c r="EA130" s="115"/>
      <c r="EB130" s="115"/>
      <c r="EC130" s="115"/>
      <c r="ED130" s="113" t="s">
        <v>1</v>
      </c>
    </row>
    <row r="131" spans="1:134" x14ac:dyDescent="0.2">
      <c r="A131" s="715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34"/>
      <c r="CU131" s="134"/>
      <c r="CV131" s="134"/>
      <c r="CW131" s="133"/>
      <c r="CX131" s="133"/>
      <c r="CY131" s="133"/>
      <c r="CZ131" s="133"/>
      <c r="DA131" s="133"/>
      <c r="DB131" s="133"/>
      <c r="DC131" s="133"/>
      <c r="DD131" s="133"/>
      <c r="DE131" s="133"/>
      <c r="DF131" s="714"/>
      <c r="DG131" s="133"/>
      <c r="DH131" s="133"/>
      <c r="DI131" s="133"/>
      <c r="DJ131" s="133"/>
      <c r="DK131" s="133"/>
      <c r="DL131" s="133"/>
      <c r="DM131" s="133"/>
      <c r="DN131" s="133"/>
      <c r="DO131" s="133"/>
      <c r="DP131" s="133"/>
      <c r="DQ131" s="133"/>
      <c r="DR131" s="115"/>
      <c r="DS131" s="115"/>
      <c r="DT131" s="115"/>
      <c r="DU131" s="115"/>
      <c r="DV131" s="115"/>
      <c r="DW131" s="115"/>
      <c r="DX131" s="115"/>
      <c r="DY131" s="115"/>
      <c r="DZ131" s="115"/>
      <c r="EA131" s="115"/>
      <c r="EB131" s="115"/>
      <c r="EC131" s="115"/>
      <c r="ED131" s="113" t="s">
        <v>1</v>
      </c>
    </row>
    <row r="132" spans="1:134" x14ac:dyDescent="0.2">
      <c r="A132" s="715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34"/>
      <c r="CU132" s="134"/>
      <c r="CV132" s="134"/>
      <c r="CW132" s="133"/>
      <c r="CX132" s="133"/>
      <c r="CY132" s="133"/>
      <c r="CZ132" s="133"/>
      <c r="DA132" s="133"/>
      <c r="DB132" s="133"/>
      <c r="DC132" s="133"/>
      <c r="DD132" s="133"/>
      <c r="DE132" s="133"/>
      <c r="DF132" s="714"/>
      <c r="DG132" s="133"/>
      <c r="DH132" s="133"/>
      <c r="DI132" s="133"/>
      <c r="DJ132" s="133"/>
      <c r="DK132" s="133"/>
      <c r="DL132" s="133"/>
      <c r="DM132" s="133"/>
      <c r="DN132" s="133"/>
      <c r="DO132" s="133"/>
      <c r="DP132" s="133"/>
      <c r="DQ132" s="133"/>
      <c r="DR132" s="115"/>
      <c r="DS132" s="115"/>
      <c r="DT132" s="115"/>
      <c r="DU132" s="115"/>
      <c r="DV132" s="115"/>
      <c r="DW132" s="115"/>
      <c r="DX132" s="115"/>
      <c r="DY132" s="115"/>
      <c r="DZ132" s="115"/>
      <c r="EA132" s="115"/>
      <c r="EB132" s="115"/>
      <c r="EC132" s="115"/>
      <c r="ED132" s="113" t="s">
        <v>1</v>
      </c>
    </row>
    <row r="133" spans="1:134" x14ac:dyDescent="0.2">
      <c r="A133" s="715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34"/>
      <c r="CU133" s="134"/>
      <c r="CV133" s="134"/>
      <c r="CW133" s="133"/>
      <c r="CX133" s="133"/>
      <c r="CY133" s="133"/>
      <c r="CZ133" s="133"/>
      <c r="DA133" s="133"/>
      <c r="DB133" s="133"/>
      <c r="DC133" s="133"/>
      <c r="DD133" s="133"/>
      <c r="DE133" s="133"/>
      <c r="DF133" s="134"/>
      <c r="DG133" s="133"/>
      <c r="DH133" s="133"/>
      <c r="DI133" s="133"/>
      <c r="DJ133" s="133"/>
      <c r="DK133" s="133"/>
      <c r="DL133" s="133"/>
      <c r="DM133" s="133"/>
      <c r="DN133" s="133"/>
      <c r="DO133" s="133"/>
      <c r="DP133" s="133"/>
      <c r="DQ133" s="133"/>
      <c r="DR133" s="115"/>
      <c r="DS133" s="115"/>
      <c r="DT133" s="115"/>
      <c r="DU133" s="115"/>
      <c r="DV133" s="115"/>
      <c r="DW133" s="115"/>
      <c r="DX133" s="115"/>
      <c r="DY133" s="115"/>
      <c r="DZ133" s="115"/>
      <c r="EA133" s="115"/>
      <c r="EB133" s="115"/>
      <c r="EC133" s="115"/>
      <c r="ED133" s="113" t="s">
        <v>1</v>
      </c>
    </row>
    <row r="134" spans="1:134" x14ac:dyDescent="0.2">
      <c r="A134" s="700" t="s">
        <v>177</v>
      </c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29"/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9"/>
      <c r="AX134" s="129"/>
      <c r="AY134" s="129"/>
      <c r="AZ134" s="129"/>
      <c r="BA134" s="129"/>
      <c r="BB134" s="129"/>
      <c r="BC134" s="129"/>
      <c r="BD134" s="129"/>
      <c r="BE134" s="129"/>
      <c r="BF134" s="129"/>
      <c r="BG134" s="129"/>
      <c r="BH134" s="129"/>
      <c r="BI134" s="129"/>
      <c r="BJ134" s="129"/>
      <c r="BK134" s="129"/>
      <c r="BL134" s="129"/>
      <c r="BM134" s="129"/>
      <c r="BN134" s="129"/>
      <c r="BO134" s="129"/>
      <c r="BP134" s="129"/>
      <c r="BQ134" s="129"/>
      <c r="BR134" s="129"/>
      <c r="BS134" s="129"/>
      <c r="BT134" s="129"/>
      <c r="BU134" s="129"/>
      <c r="BV134" s="129"/>
      <c r="BW134" s="129"/>
      <c r="BX134" s="129"/>
      <c r="BY134" s="129"/>
      <c r="BZ134" s="129"/>
      <c r="CA134" s="129"/>
      <c r="CB134" s="129"/>
      <c r="CC134" s="129"/>
      <c r="CD134" s="129"/>
      <c r="CE134" s="129"/>
      <c r="CF134" s="129"/>
      <c r="CG134" s="129"/>
      <c r="CH134" s="129"/>
      <c r="CI134" s="129"/>
      <c r="CJ134" s="129"/>
      <c r="CK134" s="129"/>
      <c r="CL134" s="129"/>
      <c r="CM134" s="129"/>
      <c r="CN134" s="129"/>
      <c r="CO134" s="129"/>
      <c r="CP134" s="129"/>
      <c r="CQ134" s="129"/>
      <c r="CR134" s="129"/>
      <c r="CS134" s="129"/>
      <c r="CT134" s="134"/>
      <c r="CU134" s="134"/>
      <c r="CV134" s="134"/>
      <c r="CW134" s="133"/>
      <c r="CX134" s="133"/>
      <c r="CY134" s="133"/>
      <c r="CZ134" s="133"/>
      <c r="DA134" s="133"/>
      <c r="DB134" s="133"/>
      <c r="DC134" s="133"/>
      <c r="DD134" s="133"/>
      <c r="DE134" s="133"/>
      <c r="DF134" s="134"/>
      <c r="DG134" s="133"/>
      <c r="DH134" s="133"/>
      <c r="DI134" s="133"/>
      <c r="DJ134" s="133"/>
      <c r="DK134" s="133"/>
      <c r="DL134" s="133"/>
      <c r="DM134" s="133"/>
      <c r="DN134" s="133"/>
      <c r="DO134" s="133"/>
      <c r="DP134" s="133"/>
      <c r="DQ134" s="133"/>
      <c r="DR134" s="115"/>
      <c r="DS134" s="115"/>
      <c r="DT134" s="115"/>
      <c r="DU134" s="115"/>
      <c r="DV134" s="115"/>
      <c r="DW134" s="115"/>
      <c r="DX134" s="115"/>
      <c r="DY134" s="115"/>
      <c r="DZ134" s="115"/>
      <c r="EA134" s="115"/>
      <c r="EB134" s="115"/>
      <c r="EC134" s="115"/>
      <c r="ED134" s="113" t="s">
        <v>1</v>
      </c>
    </row>
    <row r="135" spans="1:134" x14ac:dyDescent="0.2">
      <c r="A135" s="698" t="s">
        <v>178</v>
      </c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  <c r="AH135" s="129"/>
      <c r="AI135" s="129"/>
      <c r="AJ135" s="129"/>
      <c r="AK135" s="129"/>
      <c r="AL135" s="129"/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9"/>
      <c r="AX135" s="129"/>
      <c r="AY135" s="129"/>
      <c r="AZ135" s="129"/>
      <c r="BA135" s="129"/>
      <c r="BB135" s="129"/>
      <c r="BC135" s="129"/>
      <c r="BD135" s="129"/>
      <c r="BE135" s="129"/>
      <c r="BF135" s="129"/>
      <c r="BG135" s="129"/>
      <c r="BH135" s="129"/>
      <c r="BI135" s="129"/>
      <c r="BJ135" s="129"/>
      <c r="BK135" s="129"/>
      <c r="BL135" s="129"/>
      <c r="BM135" s="129"/>
      <c r="BN135" s="129"/>
      <c r="BO135" s="129"/>
      <c r="BP135" s="129"/>
      <c r="BQ135" s="129"/>
      <c r="BR135" s="129"/>
      <c r="BS135" s="129"/>
      <c r="BT135" s="129"/>
      <c r="BU135" s="129"/>
      <c r="BV135" s="129"/>
      <c r="BW135" s="129"/>
      <c r="BX135" s="129"/>
      <c r="BY135" s="129"/>
      <c r="BZ135" s="129"/>
      <c r="CA135" s="129"/>
      <c r="CB135" s="129"/>
      <c r="CC135" s="129"/>
      <c r="CD135" s="129"/>
      <c r="CE135" s="129"/>
      <c r="CF135" s="129"/>
      <c r="CG135" s="129"/>
      <c r="CH135" s="129"/>
      <c r="CI135" s="129"/>
      <c r="CJ135" s="129"/>
      <c r="CK135" s="129"/>
      <c r="CL135" s="129"/>
      <c r="CM135" s="129"/>
      <c r="CN135" s="129"/>
      <c r="CO135" s="129"/>
      <c r="CP135" s="129"/>
      <c r="CQ135" s="129"/>
      <c r="CR135" s="129"/>
      <c r="CS135" s="129"/>
      <c r="CT135" s="701">
        <v>0.05</v>
      </c>
      <c r="CU135" s="716"/>
      <c r="CV135" s="716"/>
      <c r="CW135" s="716"/>
      <c r="CX135" s="716"/>
      <c r="CY135" s="716"/>
      <c r="CZ135" s="716"/>
      <c r="DA135" s="716"/>
      <c r="DB135" s="716"/>
      <c r="DC135" s="716"/>
      <c r="DD135" s="716"/>
      <c r="DE135" s="716"/>
      <c r="DF135" s="701">
        <v>0.05</v>
      </c>
      <c r="DG135" s="716"/>
      <c r="DH135" s="716"/>
      <c r="DI135" s="716"/>
      <c r="DJ135" s="716"/>
      <c r="DK135" s="716"/>
      <c r="DL135" s="716"/>
      <c r="DM135" s="716"/>
      <c r="DN135" s="716"/>
      <c r="DO135" s="716"/>
      <c r="DP135" s="716"/>
      <c r="DQ135" s="702"/>
      <c r="DR135" s="701">
        <v>0.05</v>
      </c>
      <c r="DS135" s="115"/>
      <c r="DT135" s="115"/>
      <c r="DU135" s="115"/>
      <c r="DV135" s="115"/>
      <c r="DW135" s="115"/>
      <c r="DX135" s="115"/>
      <c r="DY135" s="115"/>
      <c r="DZ135" s="115"/>
      <c r="EA135" s="115"/>
      <c r="EB135" s="115"/>
      <c r="EC135" s="115"/>
      <c r="ED135" s="113" t="s">
        <v>1</v>
      </c>
    </row>
    <row r="136" spans="1:134" x14ac:dyDescent="0.2">
      <c r="A136" s="698" t="s">
        <v>179</v>
      </c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9"/>
      <c r="AX136" s="129"/>
      <c r="AY136" s="129"/>
      <c r="AZ136" s="129"/>
      <c r="BA136" s="129"/>
      <c r="BB136" s="129"/>
      <c r="BC136" s="129"/>
      <c r="BD136" s="129"/>
      <c r="BE136" s="129"/>
      <c r="BF136" s="129"/>
      <c r="BG136" s="129"/>
      <c r="BH136" s="129"/>
      <c r="BI136" s="129"/>
      <c r="BJ136" s="129"/>
      <c r="BK136" s="129"/>
      <c r="BL136" s="129"/>
      <c r="BM136" s="129"/>
      <c r="BN136" s="129"/>
      <c r="BO136" s="129"/>
      <c r="BP136" s="129"/>
      <c r="BQ136" s="129"/>
      <c r="BR136" s="129"/>
      <c r="BS136" s="129"/>
      <c r="BT136" s="129"/>
      <c r="BU136" s="129"/>
      <c r="BV136" s="129"/>
      <c r="BW136" s="129"/>
      <c r="BX136" s="129"/>
      <c r="BY136" s="129"/>
      <c r="BZ136" s="129"/>
      <c r="CA136" s="129"/>
      <c r="CB136" s="129"/>
      <c r="CC136" s="129"/>
      <c r="CD136" s="129"/>
      <c r="CE136" s="129"/>
      <c r="CF136" s="129"/>
      <c r="CG136" s="129"/>
      <c r="CH136" s="129"/>
      <c r="CI136" s="129"/>
      <c r="CJ136" s="129"/>
      <c r="CK136" s="129"/>
      <c r="CL136" s="129"/>
      <c r="CM136" s="129"/>
      <c r="CN136" s="129"/>
      <c r="CO136" s="129"/>
      <c r="CP136" s="129"/>
      <c r="CQ136" s="129"/>
      <c r="CR136" s="129"/>
      <c r="CS136" s="129"/>
      <c r="CT136" s="701">
        <v>0.1</v>
      </c>
      <c r="CU136" s="716"/>
      <c r="CV136" s="716"/>
      <c r="CW136" s="716"/>
      <c r="CX136" s="716"/>
      <c r="CY136" s="716"/>
      <c r="CZ136" s="716"/>
      <c r="DA136" s="716"/>
      <c r="DB136" s="716"/>
      <c r="DC136" s="716"/>
      <c r="DD136" s="716"/>
      <c r="DE136" s="716"/>
      <c r="DF136" s="701">
        <v>0.05</v>
      </c>
      <c r="DG136" s="716"/>
      <c r="DH136" s="716"/>
      <c r="DI136" s="716"/>
      <c r="DJ136" s="716"/>
      <c r="DK136" s="716"/>
      <c r="DL136" s="716"/>
      <c r="DM136" s="716"/>
      <c r="DN136" s="716"/>
      <c r="DO136" s="716"/>
      <c r="DP136" s="716"/>
      <c r="DQ136" s="702"/>
      <c r="DR136" s="701">
        <v>0.05</v>
      </c>
      <c r="DS136" s="115"/>
      <c r="DT136" s="115"/>
      <c r="DU136" s="115"/>
      <c r="DV136" s="115"/>
      <c r="DW136" s="115"/>
      <c r="DX136" s="115"/>
      <c r="DY136" s="115"/>
      <c r="DZ136" s="115"/>
      <c r="EA136" s="115"/>
      <c r="EB136" s="115"/>
      <c r="EC136" s="115"/>
      <c r="ED136" s="113" t="s">
        <v>1</v>
      </c>
    </row>
    <row r="137" spans="1:134" x14ac:dyDescent="0.2">
      <c r="A137" s="712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9"/>
      <c r="AX137" s="129"/>
      <c r="AY137" s="129"/>
      <c r="AZ137" s="129"/>
      <c r="BA137" s="129"/>
      <c r="BB137" s="129"/>
      <c r="BC137" s="129"/>
      <c r="BD137" s="129"/>
      <c r="BE137" s="129"/>
      <c r="BF137" s="129"/>
      <c r="BG137" s="129"/>
      <c r="BH137" s="129"/>
      <c r="BI137" s="129"/>
      <c r="BJ137" s="129"/>
      <c r="BK137" s="129"/>
      <c r="BL137" s="129"/>
      <c r="BM137" s="129"/>
      <c r="BN137" s="129"/>
      <c r="BO137" s="129"/>
      <c r="BP137" s="129"/>
      <c r="BQ137" s="129"/>
      <c r="BR137" s="129"/>
      <c r="BS137" s="129"/>
      <c r="BT137" s="129"/>
      <c r="BU137" s="129"/>
      <c r="BV137" s="129"/>
      <c r="BW137" s="129"/>
      <c r="BX137" s="129"/>
      <c r="BY137" s="129"/>
      <c r="BZ137" s="129"/>
      <c r="CA137" s="129"/>
      <c r="CB137" s="129"/>
      <c r="CC137" s="129"/>
      <c r="CD137" s="129"/>
      <c r="CE137" s="129"/>
      <c r="CF137" s="129"/>
      <c r="CG137" s="129"/>
      <c r="CH137" s="129"/>
      <c r="CI137" s="129"/>
      <c r="CJ137" s="129"/>
      <c r="CK137" s="129"/>
      <c r="CL137" s="129"/>
      <c r="CM137" s="129"/>
      <c r="CN137" s="129"/>
      <c r="CO137" s="129"/>
      <c r="CP137" s="129"/>
      <c r="CQ137" s="129"/>
      <c r="CR137" s="129"/>
      <c r="CS137" s="129"/>
      <c r="CT137" s="129"/>
      <c r="CU137" s="129"/>
      <c r="CV137" s="129"/>
      <c r="CW137" s="133"/>
      <c r="CX137" s="115"/>
      <c r="CY137" s="115"/>
      <c r="CZ137" s="133"/>
      <c r="DA137" s="133"/>
      <c r="DB137" s="115"/>
      <c r="DC137" s="115"/>
      <c r="DD137" s="133"/>
      <c r="DE137" s="133"/>
      <c r="DF137" s="115"/>
      <c r="DG137" s="115"/>
      <c r="DH137" s="133"/>
      <c r="DI137" s="133"/>
      <c r="DJ137" s="115"/>
      <c r="DK137" s="115"/>
      <c r="DL137" s="133"/>
      <c r="DM137" s="133"/>
      <c r="DN137" s="115"/>
      <c r="DO137" s="115"/>
      <c r="DP137" s="133"/>
      <c r="DQ137" s="133"/>
      <c r="DR137" s="115"/>
      <c r="DS137" s="115"/>
      <c r="DT137" s="115"/>
      <c r="DU137" s="115"/>
      <c r="DV137" s="115"/>
      <c r="DW137" s="115"/>
      <c r="DX137" s="115"/>
      <c r="DY137" s="115"/>
      <c r="DZ137" s="115"/>
      <c r="EA137" s="115"/>
      <c r="EB137" s="115"/>
      <c r="EC137" s="115"/>
      <c r="ED137" s="113" t="s">
        <v>1</v>
      </c>
    </row>
    <row r="138" spans="1:134" x14ac:dyDescent="0.2">
      <c r="A138" s="700" t="s">
        <v>56</v>
      </c>
      <c r="B138" s="129">
        <v>4480556</v>
      </c>
      <c r="C138" s="129">
        <v>6137979</v>
      </c>
      <c r="D138" s="129">
        <v>5594941</v>
      </c>
      <c r="E138" s="129">
        <v>6427801</v>
      </c>
      <c r="F138" s="129">
        <v>5604444.2599999998</v>
      </c>
      <c r="G138" s="129">
        <v>7136365.2400000002</v>
      </c>
      <c r="H138" s="129">
        <v>2943303.1799999997</v>
      </c>
      <c r="I138" s="129">
        <v>7506569.8300000001</v>
      </c>
      <c r="J138" s="129">
        <v>8817679</v>
      </c>
      <c r="K138" s="129">
        <v>6835882</v>
      </c>
      <c r="L138" s="129">
        <v>3646105</v>
      </c>
      <c r="M138" s="129">
        <v>3097880</v>
      </c>
      <c r="N138" s="129">
        <v>4852199</v>
      </c>
      <c r="O138" s="129">
        <v>5525719</v>
      </c>
      <c r="P138" s="129">
        <v>7780014</v>
      </c>
      <c r="Q138" s="129">
        <v>4888403</v>
      </c>
      <c r="R138" s="129">
        <v>1911931</v>
      </c>
      <c r="S138" s="129">
        <v>1476526</v>
      </c>
      <c r="T138" s="129">
        <v>1024134</v>
      </c>
      <c r="U138" s="129">
        <v>686071</v>
      </c>
      <c r="V138" s="129">
        <v>878174</v>
      </c>
      <c r="W138" s="129">
        <v>868165</v>
      </c>
      <c r="X138" s="129">
        <v>1007499</v>
      </c>
      <c r="Y138" s="129">
        <v>739568</v>
      </c>
      <c r="Z138" s="129">
        <v>118847.33994843056</v>
      </c>
      <c r="AA138" s="129">
        <v>125780</v>
      </c>
      <c r="AB138" s="129">
        <v>293889</v>
      </c>
      <c r="AC138" s="129">
        <v>595013</v>
      </c>
      <c r="AD138" s="129">
        <v>829021</v>
      </c>
      <c r="AE138" s="129">
        <v>971923</v>
      </c>
      <c r="AF138" s="129">
        <v>1162919</v>
      </c>
      <c r="AG138" s="129">
        <v>827946</v>
      </c>
      <c r="AH138" s="129">
        <v>1247068</v>
      </c>
      <c r="AI138" s="129">
        <v>1071894</v>
      </c>
      <c r="AJ138" s="129">
        <v>1199904</v>
      </c>
      <c r="AK138" s="129">
        <v>2048894</v>
      </c>
      <c r="AL138" s="129">
        <v>988493</v>
      </c>
      <c r="AM138" s="129">
        <v>145161</v>
      </c>
      <c r="AN138" s="129">
        <v>932409</v>
      </c>
      <c r="AO138" s="129">
        <v>1576466</v>
      </c>
      <c r="AP138" s="129">
        <v>2370838</v>
      </c>
      <c r="AQ138" s="129">
        <v>3267287.5175110432</v>
      </c>
      <c r="AR138" s="129">
        <v>3618693</v>
      </c>
      <c r="AS138" s="129">
        <v>3155660</v>
      </c>
      <c r="AT138" s="129">
        <v>4019162</v>
      </c>
      <c r="AU138" s="129">
        <v>4021321</v>
      </c>
      <c r="AV138" s="129">
        <v>5235959</v>
      </c>
      <c r="AW138" s="129">
        <v>10033257.133917231</v>
      </c>
      <c r="AX138" s="129">
        <v>6306556</v>
      </c>
      <c r="AY138" s="129">
        <v>2769247</v>
      </c>
      <c r="AZ138" s="129">
        <v>4826736</v>
      </c>
      <c r="BA138" s="129">
        <v>5163711.5341815669</v>
      </c>
      <c r="BB138" s="129">
        <v>8286220.4510787716</v>
      </c>
      <c r="BC138" s="129">
        <v>3428299.4543616418</v>
      </c>
      <c r="BD138" s="129">
        <v>3014346.2062729048</v>
      </c>
      <c r="BE138" s="129">
        <v>2101110.7453082642</v>
      </c>
      <c r="BF138" s="129">
        <v>2744914.1078894567</v>
      </c>
      <c r="BG138" s="129">
        <v>4791988.6777349534</v>
      </c>
      <c r="BH138" s="129">
        <v>4247115.6451519579</v>
      </c>
      <c r="BI138" s="129">
        <v>3011019.5638672593</v>
      </c>
      <c r="BJ138" s="129">
        <v>0</v>
      </c>
      <c r="BK138" s="129">
        <v>0</v>
      </c>
      <c r="BL138" s="129">
        <v>0</v>
      </c>
      <c r="BM138" s="129">
        <v>0</v>
      </c>
      <c r="BN138" s="129">
        <v>0</v>
      </c>
      <c r="BO138" s="129">
        <v>0</v>
      </c>
      <c r="BP138" s="129">
        <v>0</v>
      </c>
      <c r="BQ138" s="129">
        <v>0</v>
      </c>
      <c r="BR138" s="129">
        <v>0</v>
      </c>
      <c r="BS138" s="129">
        <v>0</v>
      </c>
      <c r="BT138" s="129">
        <v>0</v>
      </c>
      <c r="BU138" s="129">
        <v>0</v>
      </c>
      <c r="BV138" s="129">
        <v>0</v>
      </c>
      <c r="BW138" s="129">
        <v>0</v>
      </c>
      <c r="BX138" s="129">
        <v>0</v>
      </c>
      <c r="BY138" s="129">
        <v>0</v>
      </c>
      <c r="BZ138" s="129">
        <v>0</v>
      </c>
      <c r="CA138" s="129">
        <v>0</v>
      </c>
      <c r="CB138" s="129">
        <v>0</v>
      </c>
      <c r="CC138" s="129">
        <v>0</v>
      </c>
      <c r="CD138" s="129">
        <v>0</v>
      </c>
      <c r="CE138" s="129">
        <v>0</v>
      </c>
      <c r="CF138" s="129">
        <v>0</v>
      </c>
      <c r="CG138" s="129">
        <v>0</v>
      </c>
      <c r="CH138" s="129">
        <v>0</v>
      </c>
      <c r="CI138" s="129">
        <v>0</v>
      </c>
      <c r="CJ138" s="129">
        <v>0</v>
      </c>
      <c r="CK138" s="129">
        <v>0</v>
      </c>
      <c r="CL138" s="129">
        <v>0</v>
      </c>
      <c r="CM138" s="129">
        <v>0</v>
      </c>
      <c r="CN138" s="129">
        <v>0</v>
      </c>
      <c r="CO138" s="129">
        <v>0</v>
      </c>
      <c r="CP138" s="129">
        <v>0</v>
      </c>
      <c r="CQ138" s="129">
        <v>0</v>
      </c>
      <c r="CR138" s="129">
        <v>0</v>
      </c>
      <c r="CS138" s="129">
        <v>0</v>
      </c>
      <c r="CT138" s="129">
        <v>0</v>
      </c>
      <c r="CU138" s="129">
        <v>0</v>
      </c>
      <c r="CV138" s="129">
        <v>0</v>
      </c>
      <c r="CW138" s="129">
        <v>0</v>
      </c>
      <c r="CX138" s="129">
        <v>0</v>
      </c>
      <c r="CY138" s="129">
        <v>0</v>
      </c>
      <c r="CZ138" s="129">
        <v>0</v>
      </c>
      <c r="DA138" s="129">
        <v>0</v>
      </c>
      <c r="DB138" s="129">
        <v>0</v>
      </c>
      <c r="DC138" s="129">
        <v>0</v>
      </c>
      <c r="DD138" s="129">
        <v>0</v>
      </c>
      <c r="DE138" s="129">
        <v>0</v>
      </c>
      <c r="DF138" s="129">
        <v>0</v>
      </c>
      <c r="DG138" s="129">
        <v>0</v>
      </c>
      <c r="DH138" s="129">
        <v>0</v>
      </c>
      <c r="DI138" s="129">
        <v>0</v>
      </c>
      <c r="DJ138" s="129">
        <v>0</v>
      </c>
      <c r="DK138" s="129">
        <v>0</v>
      </c>
      <c r="DL138" s="129">
        <v>0</v>
      </c>
      <c r="DM138" s="129">
        <v>0</v>
      </c>
      <c r="DN138" s="129">
        <v>0</v>
      </c>
      <c r="DO138" s="129">
        <v>0</v>
      </c>
      <c r="DP138" s="129">
        <v>0</v>
      </c>
      <c r="DQ138" s="129">
        <v>0</v>
      </c>
      <c r="DR138" s="115"/>
      <c r="DS138" s="115"/>
      <c r="DT138" s="115"/>
      <c r="DU138" s="115"/>
      <c r="DV138" s="115"/>
      <c r="DW138" s="115"/>
      <c r="DX138" s="115"/>
      <c r="DY138" s="115"/>
      <c r="DZ138" s="115"/>
      <c r="EA138" s="115"/>
      <c r="EB138" s="115"/>
      <c r="EC138" s="115"/>
      <c r="ED138" s="113" t="s">
        <v>1</v>
      </c>
    </row>
    <row r="139" spans="1:134" x14ac:dyDescent="0.2">
      <c r="A139" s="712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9"/>
      <c r="AX139" s="129"/>
      <c r="AY139" s="129"/>
      <c r="AZ139" s="129"/>
      <c r="BA139" s="129"/>
      <c r="BB139" s="129"/>
      <c r="BC139" s="129"/>
      <c r="BD139" s="129"/>
      <c r="BE139" s="129"/>
      <c r="BF139" s="129"/>
      <c r="BG139" s="129"/>
      <c r="BH139" s="129"/>
      <c r="BI139" s="129"/>
      <c r="BJ139" s="129"/>
      <c r="BK139" s="129"/>
      <c r="BL139" s="129"/>
      <c r="BM139" s="129"/>
      <c r="BN139" s="129"/>
      <c r="BO139" s="129"/>
      <c r="BP139" s="129"/>
      <c r="BQ139" s="129"/>
      <c r="BR139" s="129"/>
      <c r="BS139" s="129"/>
      <c r="BT139" s="129"/>
      <c r="BU139" s="129"/>
      <c r="BV139" s="129"/>
      <c r="BW139" s="129"/>
      <c r="BX139" s="129"/>
      <c r="BY139" s="129"/>
      <c r="BZ139" s="129"/>
      <c r="CA139" s="129"/>
      <c r="CB139" s="129"/>
      <c r="CC139" s="129"/>
      <c r="CD139" s="129"/>
      <c r="CE139" s="129"/>
      <c r="CF139" s="129"/>
      <c r="CG139" s="129"/>
      <c r="CH139" s="129"/>
      <c r="CI139" s="129"/>
      <c r="CJ139" s="129"/>
      <c r="CK139" s="129"/>
      <c r="CL139" s="129"/>
      <c r="CM139" s="129"/>
      <c r="CN139" s="129"/>
      <c r="CO139" s="129"/>
      <c r="CP139" s="129"/>
      <c r="CQ139" s="129"/>
      <c r="CR139" s="129"/>
      <c r="CS139" s="129"/>
      <c r="CT139" s="129"/>
      <c r="CU139" s="129"/>
      <c r="CV139" s="129"/>
      <c r="CW139" s="133"/>
      <c r="CX139" s="115"/>
      <c r="CY139" s="115"/>
      <c r="CZ139" s="133"/>
      <c r="DA139" s="133"/>
      <c r="DB139" s="115"/>
      <c r="DC139" s="115"/>
      <c r="DD139" s="133"/>
      <c r="DE139" s="133"/>
      <c r="DF139" s="115"/>
      <c r="DG139" s="115"/>
      <c r="DH139" s="133"/>
      <c r="DI139" s="133"/>
      <c r="DJ139" s="115"/>
      <c r="DK139" s="115"/>
      <c r="DL139" s="133"/>
      <c r="DM139" s="133"/>
      <c r="DN139" s="115"/>
      <c r="DO139" s="115"/>
      <c r="DP139" s="133"/>
      <c r="DQ139" s="133"/>
      <c r="DR139" s="115"/>
      <c r="DS139" s="115"/>
      <c r="DT139" s="115"/>
      <c r="DU139" s="115"/>
      <c r="DV139" s="115"/>
      <c r="DW139" s="115"/>
      <c r="DX139" s="115"/>
      <c r="DY139" s="115"/>
      <c r="DZ139" s="115"/>
      <c r="EA139" s="115"/>
      <c r="EB139" s="115"/>
      <c r="EC139" s="115"/>
      <c r="ED139" s="113" t="s">
        <v>1</v>
      </c>
    </row>
    <row r="140" spans="1:134" s="331" customFormat="1" x14ac:dyDescent="0.2">
      <c r="A140" s="700" t="s">
        <v>60</v>
      </c>
      <c r="B140" s="132">
        <f t="shared" ref="B140:BI140" si="422">SUM(B141:B142)</f>
        <v>0</v>
      </c>
      <c r="C140" s="132">
        <f t="shared" si="422"/>
        <v>0</v>
      </c>
      <c r="D140" s="132">
        <f t="shared" si="422"/>
        <v>0</v>
      </c>
      <c r="E140" s="132">
        <f t="shared" si="422"/>
        <v>0</v>
      </c>
      <c r="F140" s="132">
        <f t="shared" si="422"/>
        <v>0</v>
      </c>
      <c r="G140" s="132">
        <f t="shared" si="422"/>
        <v>0</v>
      </c>
      <c r="H140" s="132">
        <f t="shared" si="422"/>
        <v>0</v>
      </c>
      <c r="I140" s="132">
        <f t="shared" si="422"/>
        <v>0</v>
      </c>
      <c r="J140" s="132">
        <f t="shared" si="422"/>
        <v>0</v>
      </c>
      <c r="K140" s="132">
        <f t="shared" si="422"/>
        <v>0</v>
      </c>
      <c r="L140" s="132">
        <f t="shared" si="422"/>
        <v>0</v>
      </c>
      <c r="M140" s="132">
        <f t="shared" si="422"/>
        <v>0</v>
      </c>
      <c r="N140" s="132">
        <f t="shared" si="422"/>
        <v>0</v>
      </c>
      <c r="O140" s="132">
        <f t="shared" si="422"/>
        <v>0</v>
      </c>
      <c r="P140" s="132">
        <f t="shared" si="422"/>
        <v>0</v>
      </c>
      <c r="Q140" s="132">
        <f t="shared" si="422"/>
        <v>0</v>
      </c>
      <c r="R140" s="132">
        <f t="shared" si="422"/>
        <v>0</v>
      </c>
      <c r="S140" s="132">
        <f t="shared" si="422"/>
        <v>0</v>
      </c>
      <c r="T140" s="132">
        <f t="shared" si="422"/>
        <v>0</v>
      </c>
      <c r="U140" s="132">
        <f t="shared" si="422"/>
        <v>0</v>
      </c>
      <c r="V140" s="132">
        <f t="shared" si="422"/>
        <v>0</v>
      </c>
      <c r="W140" s="132">
        <f t="shared" si="422"/>
        <v>0</v>
      </c>
      <c r="X140" s="132">
        <f t="shared" si="422"/>
        <v>0</v>
      </c>
      <c r="Y140" s="132">
        <f t="shared" si="422"/>
        <v>0</v>
      </c>
      <c r="Z140" s="132">
        <f t="shared" si="422"/>
        <v>0</v>
      </c>
      <c r="AA140" s="132">
        <f t="shared" si="422"/>
        <v>0</v>
      </c>
      <c r="AB140" s="132">
        <f t="shared" si="422"/>
        <v>0</v>
      </c>
      <c r="AC140" s="132">
        <f t="shared" si="422"/>
        <v>0</v>
      </c>
      <c r="AD140" s="132">
        <f t="shared" si="422"/>
        <v>0</v>
      </c>
      <c r="AE140" s="132">
        <f t="shared" si="422"/>
        <v>0</v>
      </c>
      <c r="AF140" s="132">
        <f t="shared" si="422"/>
        <v>0</v>
      </c>
      <c r="AG140" s="132">
        <f t="shared" si="422"/>
        <v>0</v>
      </c>
      <c r="AH140" s="132">
        <f t="shared" si="422"/>
        <v>0</v>
      </c>
      <c r="AI140" s="132">
        <f t="shared" si="422"/>
        <v>0</v>
      </c>
      <c r="AJ140" s="132">
        <f t="shared" si="422"/>
        <v>0</v>
      </c>
      <c r="AK140" s="132">
        <f t="shared" si="422"/>
        <v>0</v>
      </c>
      <c r="AL140" s="132">
        <f t="shared" si="422"/>
        <v>0</v>
      </c>
      <c r="AM140" s="132">
        <f t="shared" si="422"/>
        <v>0</v>
      </c>
      <c r="AN140" s="132">
        <f t="shared" si="422"/>
        <v>0</v>
      </c>
      <c r="AO140" s="132">
        <f t="shared" si="422"/>
        <v>0</v>
      </c>
      <c r="AP140" s="132">
        <f t="shared" si="422"/>
        <v>0</v>
      </c>
      <c r="AQ140" s="132">
        <f t="shared" si="422"/>
        <v>0</v>
      </c>
      <c r="AR140" s="132">
        <f t="shared" si="422"/>
        <v>0</v>
      </c>
      <c r="AS140" s="132">
        <f t="shared" si="422"/>
        <v>0</v>
      </c>
      <c r="AT140" s="132">
        <f t="shared" si="422"/>
        <v>0</v>
      </c>
      <c r="AU140" s="132">
        <f t="shared" si="422"/>
        <v>0</v>
      </c>
      <c r="AV140" s="132">
        <f t="shared" si="422"/>
        <v>0</v>
      </c>
      <c r="AW140" s="132">
        <f t="shared" si="422"/>
        <v>0</v>
      </c>
      <c r="AX140" s="132">
        <f t="shared" si="422"/>
        <v>0</v>
      </c>
      <c r="AY140" s="132">
        <f t="shared" si="422"/>
        <v>0</v>
      </c>
      <c r="AZ140" s="132">
        <f t="shared" si="422"/>
        <v>0</v>
      </c>
      <c r="BA140" s="132">
        <f t="shared" si="422"/>
        <v>0</v>
      </c>
      <c r="BB140" s="132">
        <f t="shared" si="422"/>
        <v>0</v>
      </c>
      <c r="BC140" s="132">
        <f t="shared" si="422"/>
        <v>0</v>
      </c>
      <c r="BD140" s="132">
        <f t="shared" si="422"/>
        <v>0</v>
      </c>
      <c r="BE140" s="132">
        <f t="shared" si="422"/>
        <v>0</v>
      </c>
      <c r="BF140" s="132">
        <f t="shared" si="422"/>
        <v>0</v>
      </c>
      <c r="BG140" s="132">
        <f t="shared" si="422"/>
        <v>0</v>
      </c>
      <c r="BH140" s="132">
        <f t="shared" si="422"/>
        <v>0</v>
      </c>
      <c r="BI140" s="132">
        <f t="shared" si="422"/>
        <v>0</v>
      </c>
      <c r="BJ140" s="132">
        <f>SUM(BJ141:BJ142)</f>
        <v>3065464.4640198471</v>
      </c>
      <c r="BK140" s="132">
        <f t="shared" ref="BK140:CS140" si="423">SUM(BK141:BK142)</f>
        <v>3107256.5105091059</v>
      </c>
      <c r="BL140" s="132">
        <f t="shared" si="423"/>
        <v>3076564.4508836716</v>
      </c>
      <c r="BM140" s="132">
        <f t="shared" si="423"/>
        <v>3038324.801206368</v>
      </c>
      <c r="BN140" s="132">
        <f t="shared" si="423"/>
        <v>3019629.4353246326</v>
      </c>
      <c r="BO140" s="132">
        <f t="shared" si="423"/>
        <v>3093482.8838247196</v>
      </c>
      <c r="BP140" s="132">
        <f t="shared" si="423"/>
        <v>3254415.5737470794</v>
      </c>
      <c r="BQ140" s="132">
        <f t="shared" si="423"/>
        <v>3094554.4088653852</v>
      </c>
      <c r="BR140" s="132">
        <f t="shared" si="423"/>
        <v>2917374.5199620565</v>
      </c>
      <c r="BS140" s="132">
        <f t="shared" si="423"/>
        <v>2782202.2349686725</v>
      </c>
      <c r="BT140" s="132">
        <f t="shared" si="423"/>
        <v>2629615.9607925504</v>
      </c>
      <c r="BU140" s="132">
        <f t="shared" si="423"/>
        <v>2848293.5641931333</v>
      </c>
      <c r="BV140" s="132">
        <f t="shared" si="423"/>
        <v>3010945.8167371806</v>
      </c>
      <c r="BW140" s="132">
        <f t="shared" si="423"/>
        <v>3076484.1752724354</v>
      </c>
      <c r="BX140" s="132">
        <f t="shared" si="423"/>
        <v>3109969.6301128268</v>
      </c>
      <c r="BY140" s="132">
        <f t="shared" si="423"/>
        <v>3105900.8458301267</v>
      </c>
      <c r="BZ140" s="132">
        <f t="shared" si="423"/>
        <v>3135617.3969615381</v>
      </c>
      <c r="CA140" s="132">
        <f t="shared" si="423"/>
        <v>3103019.0749615384</v>
      </c>
      <c r="CB140" s="132">
        <f t="shared" si="423"/>
        <v>3426768.1637114324</v>
      </c>
      <c r="CC140" s="132">
        <f t="shared" si="423"/>
        <v>3258686.75149359</v>
      </c>
      <c r="CD140" s="132">
        <f t="shared" si="423"/>
        <v>3376046.5980723742</v>
      </c>
      <c r="CE140" s="132">
        <f t="shared" si="423"/>
        <v>3394080.2099949317</v>
      </c>
      <c r="CF140" s="132">
        <f t="shared" si="423"/>
        <v>3275990.5314267408</v>
      </c>
      <c r="CG140" s="132">
        <f t="shared" si="423"/>
        <v>3610048.5554200779</v>
      </c>
      <c r="CH140" s="132">
        <f t="shared" si="423"/>
        <v>6562581.0852434617</v>
      </c>
      <c r="CI140" s="132">
        <f t="shared" si="423"/>
        <v>9024240.1800612416</v>
      </c>
      <c r="CJ140" s="132">
        <f t="shared" si="423"/>
        <v>9073954.1592340395</v>
      </c>
      <c r="CK140" s="132">
        <f t="shared" si="423"/>
        <v>9012150.4951320197</v>
      </c>
      <c r="CL140" s="132">
        <f t="shared" si="423"/>
        <v>8986317.5189645831</v>
      </c>
      <c r="CM140" s="132">
        <f t="shared" si="423"/>
        <v>9262556.1493976153</v>
      </c>
      <c r="CN140" s="132">
        <f t="shared" si="423"/>
        <v>9900408.0835492089</v>
      </c>
      <c r="CO140" s="132">
        <f t="shared" si="423"/>
        <v>9262385.8848317768</v>
      </c>
      <c r="CP140" s="132">
        <f t="shared" si="423"/>
        <v>9329230.5776555724</v>
      </c>
      <c r="CQ140" s="132">
        <f t="shared" si="423"/>
        <v>9800720.0475477111</v>
      </c>
      <c r="CR140" s="132">
        <f t="shared" si="423"/>
        <v>9603986.6414748896</v>
      </c>
      <c r="CS140" s="132">
        <f t="shared" si="423"/>
        <v>10062034.749782788</v>
      </c>
      <c r="CT140" s="132">
        <f>CS140*(1+CT143)</f>
        <v>10565136.487271927</v>
      </c>
      <c r="CU140" s="132">
        <f t="shared" ref="CU140:DQ140" si="424">CT140*(1+CU143)</f>
        <v>10565136.487271927</v>
      </c>
      <c r="CV140" s="132">
        <f t="shared" si="424"/>
        <v>10565136.487271927</v>
      </c>
      <c r="CW140" s="132">
        <f t="shared" si="424"/>
        <v>10565136.487271927</v>
      </c>
      <c r="CX140" s="132">
        <f t="shared" si="424"/>
        <v>10565136.487271927</v>
      </c>
      <c r="CY140" s="132">
        <f t="shared" si="424"/>
        <v>10565136.487271927</v>
      </c>
      <c r="CZ140" s="132">
        <f t="shared" si="424"/>
        <v>10565136.487271927</v>
      </c>
      <c r="DA140" s="132">
        <f t="shared" si="424"/>
        <v>10565136.487271927</v>
      </c>
      <c r="DB140" s="132">
        <f t="shared" si="424"/>
        <v>10565136.487271927</v>
      </c>
      <c r="DC140" s="132">
        <f t="shared" si="424"/>
        <v>10565136.487271927</v>
      </c>
      <c r="DD140" s="132">
        <f t="shared" si="424"/>
        <v>10565136.487271927</v>
      </c>
      <c r="DE140" s="132">
        <f t="shared" si="424"/>
        <v>10565136.487271927</v>
      </c>
      <c r="DF140" s="132">
        <f t="shared" si="424"/>
        <v>11093393.311635524</v>
      </c>
      <c r="DG140" s="132">
        <f t="shared" si="424"/>
        <v>11093393.311635524</v>
      </c>
      <c r="DH140" s="132">
        <f t="shared" si="424"/>
        <v>11093393.311635524</v>
      </c>
      <c r="DI140" s="132">
        <f t="shared" si="424"/>
        <v>11093393.311635524</v>
      </c>
      <c r="DJ140" s="132">
        <f t="shared" si="424"/>
        <v>11093393.311635524</v>
      </c>
      <c r="DK140" s="132">
        <f t="shared" si="424"/>
        <v>11093393.311635524</v>
      </c>
      <c r="DL140" s="132">
        <f t="shared" si="424"/>
        <v>11093393.311635524</v>
      </c>
      <c r="DM140" s="132">
        <f t="shared" si="424"/>
        <v>11093393.311635524</v>
      </c>
      <c r="DN140" s="132">
        <f t="shared" si="424"/>
        <v>11093393.311635524</v>
      </c>
      <c r="DO140" s="132">
        <f t="shared" si="424"/>
        <v>11093393.311635524</v>
      </c>
      <c r="DP140" s="132">
        <f t="shared" si="424"/>
        <v>11093393.311635524</v>
      </c>
      <c r="DQ140" s="132">
        <f t="shared" si="424"/>
        <v>11093393.311635524</v>
      </c>
      <c r="DR140" s="132">
        <f t="shared" ref="DR140" si="425">DQ140*(1+DR143)</f>
        <v>11648062.9772173</v>
      </c>
      <c r="DS140" s="132">
        <f t="shared" ref="DS140" si="426">DR140*(1+DS143)</f>
        <v>11648062.9772173</v>
      </c>
      <c r="DT140" s="132">
        <f t="shared" ref="DT140" si="427">DS140*(1+DT143)</f>
        <v>11648062.9772173</v>
      </c>
      <c r="DU140" s="132">
        <f t="shared" ref="DU140" si="428">DT140*(1+DU143)</f>
        <v>11648062.9772173</v>
      </c>
      <c r="DV140" s="132">
        <f t="shared" ref="DV140" si="429">DU140*(1+DV143)</f>
        <v>11648062.9772173</v>
      </c>
      <c r="DW140" s="132">
        <f t="shared" ref="DW140" si="430">DV140*(1+DW143)</f>
        <v>11648062.9772173</v>
      </c>
      <c r="DX140" s="132">
        <f t="shared" ref="DX140" si="431">DW140*(1+DX143)</f>
        <v>11648062.9772173</v>
      </c>
      <c r="DY140" s="132">
        <f t="shared" ref="DY140" si="432">DX140*(1+DY143)</f>
        <v>11648062.9772173</v>
      </c>
      <c r="DZ140" s="132">
        <f t="shared" ref="DZ140" si="433">DY140*(1+DZ143)</f>
        <v>11648062.9772173</v>
      </c>
      <c r="EA140" s="132">
        <f t="shared" ref="EA140" si="434">DZ140*(1+EA143)</f>
        <v>11648062.9772173</v>
      </c>
      <c r="EB140" s="132">
        <f t="shared" ref="EB140" si="435">EA140*(1+EB143)</f>
        <v>11648062.9772173</v>
      </c>
      <c r="EC140" s="132">
        <f t="shared" ref="EC140" si="436">EB140*(1+EC143)</f>
        <v>11648062.9772173</v>
      </c>
      <c r="ED140" s="113" t="s">
        <v>1</v>
      </c>
    </row>
    <row r="141" spans="1:134" x14ac:dyDescent="0.2">
      <c r="A141" s="698" t="s">
        <v>61</v>
      </c>
      <c r="B141" s="129">
        <v>0</v>
      </c>
      <c r="C141" s="129">
        <v>0</v>
      </c>
      <c r="D141" s="129">
        <v>0</v>
      </c>
      <c r="E141" s="129">
        <v>0</v>
      </c>
      <c r="F141" s="129">
        <v>0</v>
      </c>
      <c r="G141" s="129">
        <v>0</v>
      </c>
      <c r="H141" s="129">
        <v>0</v>
      </c>
      <c r="I141" s="129">
        <v>0</v>
      </c>
      <c r="J141" s="129">
        <v>0</v>
      </c>
      <c r="K141" s="129">
        <v>0</v>
      </c>
      <c r="L141" s="129">
        <v>0</v>
      </c>
      <c r="M141" s="129">
        <v>0</v>
      </c>
      <c r="N141" s="129">
        <v>0</v>
      </c>
      <c r="O141" s="129">
        <v>0</v>
      </c>
      <c r="P141" s="129">
        <v>0</v>
      </c>
      <c r="Q141" s="129">
        <v>0</v>
      </c>
      <c r="R141" s="129">
        <v>0</v>
      </c>
      <c r="S141" s="129">
        <v>0</v>
      </c>
      <c r="T141" s="129">
        <v>0</v>
      </c>
      <c r="U141" s="129">
        <v>0</v>
      </c>
      <c r="V141" s="129">
        <v>0</v>
      </c>
      <c r="W141" s="129">
        <v>0</v>
      </c>
      <c r="X141" s="129">
        <v>0</v>
      </c>
      <c r="Y141" s="129">
        <v>0</v>
      </c>
      <c r="Z141" s="129">
        <v>0</v>
      </c>
      <c r="AA141" s="129">
        <v>0</v>
      </c>
      <c r="AB141" s="129">
        <v>0</v>
      </c>
      <c r="AC141" s="129">
        <v>0</v>
      </c>
      <c r="AD141" s="129">
        <v>0</v>
      </c>
      <c r="AE141" s="129">
        <v>0</v>
      </c>
      <c r="AF141" s="129">
        <v>0</v>
      </c>
      <c r="AG141" s="129">
        <v>0</v>
      </c>
      <c r="AH141" s="129">
        <v>0</v>
      </c>
      <c r="AI141" s="129">
        <v>0</v>
      </c>
      <c r="AJ141" s="129">
        <v>0</v>
      </c>
      <c r="AK141" s="129">
        <v>0</v>
      </c>
      <c r="AL141" s="129">
        <v>0</v>
      </c>
      <c r="AM141" s="129">
        <v>0</v>
      </c>
      <c r="AN141" s="129">
        <v>0</v>
      </c>
      <c r="AO141" s="129">
        <v>0</v>
      </c>
      <c r="AP141" s="129">
        <v>0</v>
      </c>
      <c r="AQ141" s="129">
        <v>0</v>
      </c>
      <c r="AR141" s="129">
        <v>0</v>
      </c>
      <c r="AS141" s="129">
        <v>0</v>
      </c>
      <c r="AT141" s="129">
        <v>0</v>
      </c>
      <c r="AU141" s="129">
        <v>0</v>
      </c>
      <c r="AV141" s="129">
        <v>0</v>
      </c>
      <c r="AW141" s="129">
        <v>0</v>
      </c>
      <c r="AX141" s="129">
        <v>0</v>
      </c>
      <c r="AY141" s="129">
        <v>0</v>
      </c>
      <c r="AZ141" s="129">
        <v>0</v>
      </c>
      <c r="BA141" s="129">
        <v>0</v>
      </c>
      <c r="BB141" s="129">
        <v>0</v>
      </c>
      <c r="BC141" s="129">
        <v>0</v>
      </c>
      <c r="BD141" s="129">
        <v>0</v>
      </c>
      <c r="BE141" s="129">
        <v>0</v>
      </c>
      <c r="BF141" s="129">
        <v>0</v>
      </c>
      <c r="BG141" s="129">
        <v>0</v>
      </c>
      <c r="BH141" s="129">
        <v>0</v>
      </c>
      <c r="BI141" s="129">
        <v>0</v>
      </c>
      <c r="BJ141" s="129">
        <v>1632952.7973137989</v>
      </c>
      <c r="BK141" s="129">
        <v>1642960.1243753664</v>
      </c>
      <c r="BL141" s="129">
        <v>1638139.7881159917</v>
      </c>
      <c r="BM141" s="129">
        <v>1621592.7416552932</v>
      </c>
      <c r="BN141" s="129">
        <v>1613685.7655239713</v>
      </c>
      <c r="BO141" s="129">
        <v>1665251.7859461007</v>
      </c>
      <c r="BP141" s="129">
        <v>1712389.8525128982</v>
      </c>
      <c r="BQ141" s="129">
        <v>1541642.9843269233</v>
      </c>
      <c r="BR141" s="129">
        <v>1481792.8404085001</v>
      </c>
      <c r="BS141" s="129">
        <v>1365408.7166545698</v>
      </c>
      <c r="BT141" s="129">
        <v>1302724.6237883503</v>
      </c>
      <c r="BU141" s="129">
        <v>1369585.0624848001</v>
      </c>
      <c r="BV141" s="129">
        <v>1358542.3124848001</v>
      </c>
      <c r="BW141" s="129">
        <v>1480303.9075416664</v>
      </c>
      <c r="BX141" s="129">
        <v>1508381.0021480832</v>
      </c>
      <c r="BY141" s="129">
        <v>1492209.6939166652</v>
      </c>
      <c r="BZ141" s="129">
        <v>1489336.9496474359</v>
      </c>
      <c r="CA141" s="129">
        <v>1511912.4321378199</v>
      </c>
      <c r="CB141" s="129">
        <v>1532547.9710698901</v>
      </c>
      <c r="CC141" s="129">
        <v>1538100.2793750002</v>
      </c>
      <c r="CD141" s="129">
        <v>1650550.4726783501</v>
      </c>
      <c r="CE141" s="129">
        <v>1574547.4301586002</v>
      </c>
      <c r="CF141" s="129">
        <v>1525384.4992587001</v>
      </c>
      <c r="CG141" s="129">
        <v>1659869.6862797753</v>
      </c>
      <c r="CH141" s="129">
        <v>3125111.0539986533</v>
      </c>
      <c r="CI141" s="129">
        <v>3280248.3255498242</v>
      </c>
      <c r="CJ141" s="129">
        <v>3249189.4762803861</v>
      </c>
      <c r="CK141" s="129">
        <v>3213010.4889666345</v>
      </c>
      <c r="CL141" s="129">
        <v>3284161.2144388766</v>
      </c>
      <c r="CM141" s="129">
        <v>3262064.1863269228</v>
      </c>
      <c r="CN141" s="129">
        <v>3530220.4897420923</v>
      </c>
      <c r="CO141" s="129">
        <v>3345904.9254367766</v>
      </c>
      <c r="CP141" s="129">
        <v>3277462.5876161661</v>
      </c>
      <c r="CQ141" s="129">
        <v>3587141.6980884052</v>
      </c>
      <c r="CR141" s="129">
        <v>3571025.531009505</v>
      </c>
      <c r="CS141" s="129">
        <v>3621963.9240625952</v>
      </c>
      <c r="CT141" s="129">
        <f>SUM(CH141:CS141)/SUM($CH$140:$CS$140)*$CT$140</f>
        <v>3879456.6028834907</v>
      </c>
      <c r="CU141" s="129">
        <f t="shared" ref="CU141:DQ141" si="437">CT141/CT140*CU140</f>
        <v>3879456.6028834907</v>
      </c>
      <c r="CV141" s="129">
        <f t="shared" si="437"/>
        <v>3879456.6028834907</v>
      </c>
      <c r="CW141" s="129">
        <f t="shared" si="437"/>
        <v>3879456.6028834907</v>
      </c>
      <c r="CX141" s="129">
        <f t="shared" si="437"/>
        <v>3879456.6028834907</v>
      </c>
      <c r="CY141" s="129">
        <f t="shared" si="437"/>
        <v>3879456.6028834907</v>
      </c>
      <c r="CZ141" s="129">
        <f t="shared" si="437"/>
        <v>3879456.6028834907</v>
      </c>
      <c r="DA141" s="129">
        <f t="shared" si="437"/>
        <v>3879456.6028834907</v>
      </c>
      <c r="DB141" s="129">
        <f t="shared" si="437"/>
        <v>3879456.6028834907</v>
      </c>
      <c r="DC141" s="129">
        <f t="shared" si="437"/>
        <v>3879456.6028834907</v>
      </c>
      <c r="DD141" s="129">
        <f t="shared" si="437"/>
        <v>3879456.6028834907</v>
      </c>
      <c r="DE141" s="129">
        <f t="shared" si="437"/>
        <v>3879456.6028834907</v>
      </c>
      <c r="DF141" s="129">
        <f t="shared" si="437"/>
        <v>4073429.4330276656</v>
      </c>
      <c r="DG141" s="129">
        <f t="shared" si="437"/>
        <v>4073429.4330276656</v>
      </c>
      <c r="DH141" s="129">
        <f t="shared" si="437"/>
        <v>4073429.4330276656</v>
      </c>
      <c r="DI141" s="129">
        <f t="shared" si="437"/>
        <v>4073429.4330276656</v>
      </c>
      <c r="DJ141" s="129">
        <f t="shared" si="437"/>
        <v>4073429.4330276656</v>
      </c>
      <c r="DK141" s="129">
        <f t="shared" si="437"/>
        <v>4073429.4330276656</v>
      </c>
      <c r="DL141" s="129">
        <f t="shared" si="437"/>
        <v>4073429.4330276656</v>
      </c>
      <c r="DM141" s="129">
        <f t="shared" si="437"/>
        <v>4073429.4330276656</v>
      </c>
      <c r="DN141" s="129">
        <f t="shared" si="437"/>
        <v>4073429.4330276656</v>
      </c>
      <c r="DO141" s="129">
        <f t="shared" si="437"/>
        <v>4073429.4330276656</v>
      </c>
      <c r="DP141" s="129">
        <f t="shared" si="437"/>
        <v>4073429.4330276656</v>
      </c>
      <c r="DQ141" s="129">
        <f t="shared" si="437"/>
        <v>4073429.4330276656</v>
      </c>
      <c r="DR141" s="129">
        <f t="shared" ref="DR141" si="438">DQ141/DQ140*DR140</f>
        <v>4277100.9046790488</v>
      </c>
      <c r="DS141" s="129">
        <f t="shared" ref="DS141" si="439">DR141/DR140*DS140</f>
        <v>4277100.9046790488</v>
      </c>
      <c r="DT141" s="129">
        <f t="shared" ref="DT141" si="440">DS141/DS140*DT140</f>
        <v>4277100.9046790488</v>
      </c>
      <c r="DU141" s="129">
        <f t="shared" ref="DU141" si="441">DT141/DT140*DU140</f>
        <v>4277100.9046790488</v>
      </c>
      <c r="DV141" s="129">
        <f t="shared" ref="DV141" si="442">DU141/DU140*DV140</f>
        <v>4277100.9046790488</v>
      </c>
      <c r="DW141" s="129">
        <f t="shared" ref="DW141" si="443">DV141/DV140*DW140</f>
        <v>4277100.9046790488</v>
      </c>
      <c r="DX141" s="129">
        <f t="shared" ref="DX141" si="444">DW141/DW140*DX140</f>
        <v>4277100.9046790488</v>
      </c>
      <c r="DY141" s="129">
        <f t="shared" ref="DY141" si="445">DX141/DX140*DY140</f>
        <v>4277100.9046790488</v>
      </c>
      <c r="DZ141" s="129">
        <f t="shared" ref="DZ141" si="446">DY141/DY140*DZ140</f>
        <v>4277100.9046790488</v>
      </c>
      <c r="EA141" s="129">
        <f t="shared" ref="EA141" si="447">DZ141/DZ140*EA140</f>
        <v>4277100.9046790488</v>
      </c>
      <c r="EB141" s="129">
        <f t="shared" ref="EB141" si="448">EA141/EA140*EB140</f>
        <v>4277100.9046790488</v>
      </c>
      <c r="EC141" s="129">
        <f t="shared" ref="EC141" si="449">EB141/EB140*EC140</f>
        <v>4277100.9046790488</v>
      </c>
      <c r="ED141" s="113" t="s">
        <v>1</v>
      </c>
    </row>
    <row r="142" spans="1:134" x14ac:dyDescent="0.2">
      <c r="A142" s="698" t="s">
        <v>52</v>
      </c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  <c r="AH142" s="129"/>
      <c r="AI142" s="129"/>
      <c r="AJ142" s="129"/>
      <c r="AK142" s="129"/>
      <c r="AL142" s="129"/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9"/>
      <c r="AX142" s="129"/>
      <c r="AY142" s="129"/>
      <c r="AZ142" s="129"/>
      <c r="BA142" s="129"/>
      <c r="BB142" s="129"/>
      <c r="BC142" s="129"/>
      <c r="BD142" s="129"/>
      <c r="BE142" s="129"/>
      <c r="BF142" s="129"/>
      <c r="BG142" s="129"/>
      <c r="BH142" s="129"/>
      <c r="BI142" s="129"/>
      <c r="BJ142" s="129">
        <v>1432511.666706048</v>
      </c>
      <c r="BK142" s="129">
        <v>1464296.3861337395</v>
      </c>
      <c r="BL142" s="129">
        <v>1438424.6627676801</v>
      </c>
      <c r="BM142" s="129">
        <v>1416732.0595510751</v>
      </c>
      <c r="BN142" s="129">
        <v>1405943.6698006615</v>
      </c>
      <c r="BO142" s="129">
        <v>1428231.0978786189</v>
      </c>
      <c r="BP142" s="129">
        <v>1542025.7212341812</v>
      </c>
      <c r="BQ142" s="129">
        <v>1552911.424538462</v>
      </c>
      <c r="BR142" s="129">
        <v>1435581.6795535565</v>
      </c>
      <c r="BS142" s="129">
        <v>1416793.5183141029</v>
      </c>
      <c r="BT142" s="129">
        <v>1326891.3370042001</v>
      </c>
      <c r="BU142" s="129">
        <v>1478708.5017083334</v>
      </c>
      <c r="BV142" s="129">
        <v>1652403.5042523807</v>
      </c>
      <c r="BW142" s="129">
        <v>1596180.267730769</v>
      </c>
      <c r="BX142" s="129">
        <v>1601588.6279647439</v>
      </c>
      <c r="BY142" s="129">
        <v>1613691.1519134615</v>
      </c>
      <c r="BZ142" s="129">
        <v>1646280.4473141024</v>
      </c>
      <c r="CA142" s="129">
        <v>1591106.6428237185</v>
      </c>
      <c r="CB142" s="129">
        <v>1894220.1926415423</v>
      </c>
      <c r="CC142" s="129">
        <v>1720586.47211859</v>
      </c>
      <c r="CD142" s="129">
        <v>1725496.125394024</v>
      </c>
      <c r="CE142" s="129">
        <v>1819532.7798363315</v>
      </c>
      <c r="CF142" s="129">
        <v>1750606.032168041</v>
      </c>
      <c r="CG142" s="129">
        <v>1950178.8691403025</v>
      </c>
      <c r="CH142" s="129">
        <v>3437470.0312448079</v>
      </c>
      <c r="CI142" s="129">
        <v>5743991.8545114174</v>
      </c>
      <c r="CJ142" s="129">
        <v>5824764.6829536539</v>
      </c>
      <c r="CK142" s="129">
        <v>5799140.0061653852</v>
      </c>
      <c r="CL142" s="129">
        <v>5702156.3045257069</v>
      </c>
      <c r="CM142" s="129">
        <v>6000491.9630706925</v>
      </c>
      <c r="CN142" s="129">
        <v>6370187.5938071171</v>
      </c>
      <c r="CO142" s="129">
        <v>5916480.9593950007</v>
      </c>
      <c r="CP142" s="129">
        <v>6051767.9900394063</v>
      </c>
      <c r="CQ142" s="129">
        <v>6213578.3494593054</v>
      </c>
      <c r="CR142" s="129">
        <v>6032961.110465385</v>
      </c>
      <c r="CS142" s="129">
        <v>6440070.8257201929</v>
      </c>
      <c r="CT142" s="129">
        <f>SUM(CH142:CS142)/SUM($CH$140:$CS$140)*$CT$140</f>
        <v>6685679.8843884375</v>
      </c>
      <c r="CU142" s="129">
        <f t="shared" ref="CU142:DQ142" si="450">CT142/CT140*CU140</f>
        <v>6685679.8843884375</v>
      </c>
      <c r="CV142" s="129">
        <f t="shared" si="450"/>
        <v>6685679.8843884375</v>
      </c>
      <c r="CW142" s="129">
        <f t="shared" si="450"/>
        <v>6685679.8843884375</v>
      </c>
      <c r="CX142" s="129">
        <f t="shared" si="450"/>
        <v>6685679.8843884375</v>
      </c>
      <c r="CY142" s="129">
        <f t="shared" si="450"/>
        <v>6685679.8843884375</v>
      </c>
      <c r="CZ142" s="129">
        <f t="shared" si="450"/>
        <v>6685679.8843884375</v>
      </c>
      <c r="DA142" s="129">
        <f t="shared" si="450"/>
        <v>6685679.8843884375</v>
      </c>
      <c r="DB142" s="129">
        <f t="shared" si="450"/>
        <v>6685679.8843884375</v>
      </c>
      <c r="DC142" s="129">
        <f t="shared" si="450"/>
        <v>6685679.8843884375</v>
      </c>
      <c r="DD142" s="129">
        <f t="shared" si="450"/>
        <v>6685679.8843884375</v>
      </c>
      <c r="DE142" s="129">
        <f t="shared" si="450"/>
        <v>6685679.8843884375</v>
      </c>
      <c r="DF142" s="129">
        <f t="shared" si="450"/>
        <v>7019963.8786078598</v>
      </c>
      <c r="DG142" s="129">
        <f t="shared" si="450"/>
        <v>7019963.8786078598</v>
      </c>
      <c r="DH142" s="129">
        <f t="shared" si="450"/>
        <v>7019963.8786078598</v>
      </c>
      <c r="DI142" s="129">
        <f t="shared" si="450"/>
        <v>7019963.8786078598</v>
      </c>
      <c r="DJ142" s="129">
        <f t="shared" si="450"/>
        <v>7019963.8786078598</v>
      </c>
      <c r="DK142" s="129">
        <f t="shared" si="450"/>
        <v>7019963.8786078598</v>
      </c>
      <c r="DL142" s="129">
        <f t="shared" si="450"/>
        <v>7019963.8786078598</v>
      </c>
      <c r="DM142" s="129">
        <f t="shared" si="450"/>
        <v>7019963.8786078598</v>
      </c>
      <c r="DN142" s="129">
        <f t="shared" si="450"/>
        <v>7019963.8786078598</v>
      </c>
      <c r="DO142" s="129">
        <f t="shared" si="450"/>
        <v>7019963.8786078598</v>
      </c>
      <c r="DP142" s="129">
        <f t="shared" si="450"/>
        <v>7019963.8786078598</v>
      </c>
      <c r="DQ142" s="129">
        <f t="shared" si="450"/>
        <v>7019963.8786078598</v>
      </c>
      <c r="DR142" s="129">
        <f t="shared" ref="DR142" si="451">DQ142/DQ140*DR140</f>
        <v>7370962.0725382529</v>
      </c>
      <c r="DS142" s="129">
        <f t="shared" ref="DS142" si="452">DR142/DR140*DS140</f>
        <v>7370962.0725382529</v>
      </c>
      <c r="DT142" s="129">
        <f t="shared" ref="DT142" si="453">DS142/DS140*DT140</f>
        <v>7370962.0725382529</v>
      </c>
      <c r="DU142" s="129">
        <f t="shared" ref="DU142" si="454">DT142/DT140*DU140</f>
        <v>7370962.0725382529</v>
      </c>
      <c r="DV142" s="129">
        <f t="shared" ref="DV142" si="455">DU142/DU140*DV140</f>
        <v>7370962.0725382529</v>
      </c>
      <c r="DW142" s="129">
        <f t="shared" ref="DW142" si="456">DV142/DV140*DW140</f>
        <v>7370962.0725382529</v>
      </c>
      <c r="DX142" s="129">
        <f t="shared" ref="DX142" si="457">DW142/DW140*DX140</f>
        <v>7370962.0725382529</v>
      </c>
      <c r="DY142" s="129">
        <f t="shared" ref="DY142" si="458">DX142/DX140*DY140</f>
        <v>7370962.0725382529</v>
      </c>
      <c r="DZ142" s="129">
        <f t="shared" ref="DZ142" si="459">DY142/DY140*DZ140</f>
        <v>7370962.0725382529</v>
      </c>
      <c r="EA142" s="129">
        <f t="shared" ref="EA142" si="460">DZ142/DZ140*EA140</f>
        <v>7370962.0725382529</v>
      </c>
      <c r="EB142" s="129">
        <f t="shared" ref="EB142" si="461">EA142/EA140*EB140</f>
        <v>7370962.0725382529</v>
      </c>
      <c r="EC142" s="129">
        <f t="shared" ref="EC142" si="462">EB142/EB140*EC140</f>
        <v>7370962.0725382529</v>
      </c>
      <c r="ED142" s="113" t="s">
        <v>1</v>
      </c>
    </row>
    <row r="143" spans="1:134" x14ac:dyDescent="0.2">
      <c r="A143" s="698" t="s">
        <v>250</v>
      </c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  <c r="AH143" s="129"/>
      <c r="AI143" s="129"/>
      <c r="AJ143" s="129"/>
      <c r="AK143" s="129"/>
      <c r="AL143" s="129"/>
      <c r="AM143" s="129"/>
      <c r="AN143" s="129"/>
      <c r="AO143" s="129"/>
      <c r="AP143" s="129"/>
      <c r="AQ143" s="129"/>
      <c r="AR143" s="129"/>
      <c r="AS143" s="129"/>
      <c r="AT143" s="129"/>
      <c r="AU143" s="129"/>
      <c r="AV143" s="129"/>
      <c r="AW143" s="129"/>
      <c r="AX143" s="129"/>
      <c r="AY143" s="129"/>
      <c r="AZ143" s="129"/>
      <c r="BA143" s="129"/>
      <c r="BB143" s="129"/>
      <c r="BC143" s="129"/>
      <c r="BD143" s="129"/>
      <c r="BE143" s="129"/>
      <c r="BF143" s="129"/>
      <c r="BG143" s="129"/>
      <c r="BH143" s="129"/>
      <c r="BI143" s="129"/>
      <c r="BJ143" s="134"/>
      <c r="BK143" s="134"/>
      <c r="BL143" s="134"/>
      <c r="BM143" s="134"/>
      <c r="BN143" s="134"/>
      <c r="BO143" s="134"/>
      <c r="BP143" s="134"/>
      <c r="BQ143" s="134"/>
      <c r="BR143" s="134"/>
      <c r="BS143" s="134"/>
      <c r="BT143" s="134"/>
      <c r="BU143" s="134"/>
      <c r="BV143" s="134">
        <f t="shared" ref="BV143" si="463">BV140/BJ140-1</f>
        <v>-1.7784791806450873E-2</v>
      </c>
      <c r="BW143" s="134">
        <f t="shared" ref="BW143" si="464">BW140/BK140-1</f>
        <v>-9.9033778294759234E-3</v>
      </c>
      <c r="BX143" s="134">
        <f t="shared" ref="BX143" si="465">BX140/BL140-1</f>
        <v>1.0857948781004767E-2</v>
      </c>
      <c r="BY143" s="134">
        <f t="shared" ref="BY143" si="466">BY140/BM140-1</f>
        <v>2.2241218120237605E-2</v>
      </c>
      <c r="BZ143" s="134">
        <f t="shared" ref="BZ143" si="467">BZ140/BN140-1</f>
        <v>3.8411323018659127E-2</v>
      </c>
      <c r="CA143" s="134">
        <f t="shared" ref="CA143" si="468">CA140/BO140-1</f>
        <v>3.0826713755818247E-3</v>
      </c>
      <c r="CB143" s="134">
        <f t="shared" ref="CB143" si="469">CB140/BP140-1</f>
        <v>5.2959613195898481E-2</v>
      </c>
      <c r="CC143" s="134">
        <f t="shared" ref="CC143" si="470">CC140/BQ140-1</f>
        <v>5.3039087681894692E-2</v>
      </c>
      <c r="CD143" s="134">
        <f t="shared" ref="CD143" si="471">CD140/BR140-1</f>
        <v>0.15722084188089891</v>
      </c>
      <c r="CE143" s="134">
        <f t="shared" ref="CE143:CK143" si="472">CE140/BS140-1</f>
        <v>0.21992577223026677</v>
      </c>
      <c r="CF143" s="134">
        <f t="shared" si="472"/>
        <v>0.24580569188490053</v>
      </c>
      <c r="CG143" s="134">
        <f t="shared" si="472"/>
        <v>0.26744258415046307</v>
      </c>
      <c r="CH143" s="134">
        <f t="shared" si="472"/>
        <v>1.1795746202949013</v>
      </c>
      <c r="CI143" s="134">
        <f t="shared" si="472"/>
        <v>1.9332964728356217</v>
      </c>
      <c r="CJ143" s="134">
        <f t="shared" si="472"/>
        <v>1.9176986396824862</v>
      </c>
      <c r="CK143" s="134">
        <f t="shared" si="472"/>
        <v>1.9016220872702414</v>
      </c>
      <c r="CL143" s="134">
        <f t="shared" ref="CL143:CS143" si="473">CL140/BZ140-1</f>
        <v>1.8658845711445742</v>
      </c>
      <c r="CM143" s="134">
        <f t="shared" si="473"/>
        <v>1.9850142476202546</v>
      </c>
      <c r="CN143" s="134">
        <f t="shared" si="473"/>
        <v>1.8891385733041148</v>
      </c>
      <c r="CO143" s="134">
        <f t="shared" si="473"/>
        <v>1.8423676748268134</v>
      </c>
      <c r="CP143" s="134">
        <f t="shared" si="473"/>
        <v>1.763359541003461</v>
      </c>
      <c r="CQ143" s="134">
        <f t="shared" si="473"/>
        <v>1.8875923493753692</v>
      </c>
      <c r="CR143" s="134">
        <f t="shared" si="473"/>
        <v>1.9316283271710848</v>
      </c>
      <c r="CS143" s="134">
        <f t="shared" si="473"/>
        <v>1.787229754756563</v>
      </c>
      <c r="CT143" s="701">
        <v>0.05</v>
      </c>
      <c r="CU143" s="134"/>
      <c r="CV143" s="134"/>
      <c r="CW143" s="134"/>
      <c r="CX143" s="134"/>
      <c r="CY143" s="134"/>
      <c r="CZ143" s="134"/>
      <c r="DA143" s="134"/>
      <c r="DB143" s="134"/>
      <c r="DC143" s="134"/>
      <c r="DD143" s="134"/>
      <c r="DE143" s="134"/>
      <c r="DF143" s="701">
        <v>0.05</v>
      </c>
      <c r="DG143" s="134"/>
      <c r="DH143" s="134"/>
      <c r="DI143" s="134"/>
      <c r="DJ143" s="134"/>
      <c r="DK143" s="134"/>
      <c r="DL143" s="134"/>
      <c r="DM143" s="134"/>
      <c r="DN143" s="134"/>
      <c r="DO143" s="134"/>
      <c r="DP143" s="134"/>
      <c r="DQ143" s="134"/>
      <c r="DR143" s="701">
        <v>0.05</v>
      </c>
      <c r="DS143" s="115"/>
      <c r="DT143" s="115"/>
      <c r="DU143" s="115"/>
      <c r="DV143" s="115"/>
      <c r="DW143" s="115"/>
      <c r="DX143" s="115"/>
      <c r="DY143" s="115"/>
      <c r="DZ143" s="115"/>
      <c r="EA143" s="115"/>
      <c r="EB143" s="115"/>
      <c r="EC143" s="115"/>
      <c r="ED143" s="113" t="s">
        <v>1</v>
      </c>
    </row>
    <row r="144" spans="1:134" x14ac:dyDescent="0.2">
      <c r="A144" s="712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29"/>
      <c r="AI144" s="129"/>
      <c r="AJ144" s="129"/>
      <c r="AK144" s="129"/>
      <c r="AL144" s="129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9"/>
      <c r="AX144" s="129"/>
      <c r="AY144" s="129"/>
      <c r="AZ144" s="129"/>
      <c r="BA144" s="129"/>
      <c r="BB144" s="129"/>
      <c r="BC144" s="129"/>
      <c r="BD144" s="129"/>
      <c r="BE144" s="129"/>
      <c r="BF144" s="129"/>
      <c r="BG144" s="129"/>
      <c r="BH144" s="129"/>
      <c r="BI144" s="129"/>
      <c r="BJ144" s="129"/>
      <c r="BK144" s="129"/>
      <c r="BL144" s="129"/>
      <c r="BM144" s="129"/>
      <c r="BN144" s="129"/>
      <c r="BO144" s="129"/>
      <c r="BP144" s="129"/>
      <c r="BQ144" s="129"/>
      <c r="BR144" s="129"/>
      <c r="BS144" s="129"/>
      <c r="BT144" s="129"/>
      <c r="BU144" s="129"/>
      <c r="BV144" s="129"/>
      <c r="BW144" s="129"/>
      <c r="BX144" s="129"/>
      <c r="BY144" s="129"/>
      <c r="BZ144" s="129"/>
      <c r="CA144" s="129"/>
      <c r="CB144" s="129"/>
      <c r="CC144" s="129"/>
      <c r="CD144" s="129"/>
      <c r="CE144" s="129"/>
      <c r="CF144" s="129"/>
      <c r="CG144" s="129"/>
      <c r="CH144" s="129"/>
      <c r="CI144" s="129"/>
      <c r="CJ144" s="129"/>
      <c r="CK144" s="129"/>
      <c r="CL144" s="129"/>
      <c r="CM144" s="129"/>
      <c r="CN144" s="129"/>
      <c r="CO144" s="129"/>
      <c r="CP144" s="129"/>
      <c r="CQ144" s="129"/>
      <c r="CR144" s="129"/>
      <c r="CS144" s="129"/>
      <c r="CT144" s="129"/>
      <c r="CU144" s="129"/>
      <c r="CV144" s="129"/>
      <c r="CW144" s="133"/>
      <c r="CX144" s="115"/>
      <c r="CY144" s="115"/>
      <c r="CZ144" s="133"/>
      <c r="DA144" s="133"/>
      <c r="DB144" s="115"/>
      <c r="DC144" s="115"/>
      <c r="DD144" s="133"/>
      <c r="DE144" s="133"/>
      <c r="DF144" s="115"/>
      <c r="DG144" s="115"/>
      <c r="DH144" s="133"/>
      <c r="DI144" s="133"/>
      <c r="DJ144" s="115"/>
      <c r="DK144" s="115"/>
      <c r="DL144" s="133"/>
      <c r="DM144" s="133"/>
      <c r="DN144" s="115"/>
      <c r="DO144" s="115"/>
      <c r="DP144" s="133"/>
      <c r="DQ144" s="133"/>
      <c r="DR144" s="115"/>
      <c r="DS144" s="115"/>
      <c r="DT144" s="115"/>
      <c r="DU144" s="115"/>
      <c r="DV144" s="115"/>
      <c r="DW144" s="115"/>
      <c r="DX144" s="115"/>
      <c r="DY144" s="115"/>
      <c r="DZ144" s="115"/>
      <c r="EA144" s="115"/>
      <c r="EB144" s="115"/>
      <c r="EC144" s="115"/>
      <c r="ED144" s="113" t="s">
        <v>1</v>
      </c>
    </row>
    <row r="145" spans="1:134" x14ac:dyDescent="0.2">
      <c r="A145" s="717" t="s">
        <v>155</v>
      </c>
      <c r="B145" s="678"/>
      <c r="C145" s="678"/>
      <c r="D145" s="678"/>
      <c r="E145" s="678"/>
      <c r="F145" s="678"/>
      <c r="G145" s="678"/>
      <c r="H145" s="678"/>
      <c r="I145" s="678"/>
      <c r="J145" s="678"/>
      <c r="K145" s="678"/>
      <c r="L145" s="678"/>
      <c r="M145" s="678"/>
      <c r="N145" s="678"/>
      <c r="O145" s="678"/>
      <c r="P145" s="678"/>
      <c r="Q145" s="678"/>
      <c r="R145" s="678"/>
      <c r="S145" s="678"/>
      <c r="T145" s="678"/>
      <c r="U145" s="678"/>
      <c r="V145" s="678"/>
      <c r="W145" s="678"/>
      <c r="X145" s="678"/>
      <c r="Y145" s="678"/>
      <c r="Z145" s="678"/>
      <c r="AA145" s="678"/>
      <c r="AB145" s="678"/>
      <c r="AC145" s="678"/>
      <c r="AD145" s="678"/>
      <c r="AE145" s="678"/>
      <c r="AF145" s="678"/>
      <c r="AG145" s="678"/>
      <c r="AH145" s="678"/>
      <c r="AI145" s="678"/>
      <c r="AJ145" s="678"/>
      <c r="AK145" s="678"/>
      <c r="AL145" s="678"/>
      <c r="AM145" s="678"/>
      <c r="AN145" s="678"/>
      <c r="AO145" s="678"/>
      <c r="AP145" s="678"/>
      <c r="AQ145" s="678"/>
      <c r="AR145" s="678"/>
      <c r="AS145" s="678"/>
      <c r="AT145" s="678"/>
      <c r="AU145" s="678"/>
      <c r="AV145" s="678"/>
      <c r="AW145" s="678"/>
      <c r="AX145" s="678"/>
      <c r="AY145" s="678"/>
      <c r="AZ145" s="678"/>
      <c r="BA145" s="678"/>
      <c r="BB145" s="678"/>
      <c r="BC145" s="678"/>
      <c r="BD145" s="678"/>
      <c r="BE145" s="678"/>
      <c r="BF145" s="678"/>
      <c r="BG145" s="678"/>
      <c r="BH145" s="678"/>
      <c r="BI145" s="678"/>
      <c r="BJ145" s="678"/>
      <c r="BK145" s="678"/>
      <c r="BL145" s="678"/>
      <c r="BM145" s="678"/>
      <c r="BN145" s="678"/>
      <c r="BO145" s="678"/>
      <c r="BP145" s="678"/>
      <c r="BQ145" s="678"/>
      <c r="BR145" s="678"/>
      <c r="BS145" s="678"/>
      <c r="BT145" s="678"/>
      <c r="BU145" s="678"/>
      <c r="BV145" s="678"/>
      <c r="BW145" s="678"/>
      <c r="BX145" s="678"/>
      <c r="BY145" s="678"/>
      <c r="BZ145" s="678"/>
      <c r="CA145" s="678"/>
      <c r="CB145" s="678"/>
      <c r="CC145" s="678"/>
      <c r="CD145" s="678"/>
      <c r="CE145" s="678"/>
      <c r="CF145" s="678"/>
      <c r="CG145" s="678"/>
      <c r="CH145" s="678"/>
      <c r="CI145" s="678"/>
      <c r="CJ145" s="678"/>
      <c r="CK145" s="678"/>
      <c r="CL145" s="678"/>
      <c r="CM145" s="678"/>
      <c r="CN145" s="678"/>
      <c r="CO145" s="678"/>
      <c r="CP145" s="678"/>
      <c r="CQ145" s="678"/>
      <c r="CR145" s="678"/>
      <c r="CS145" s="678"/>
      <c r="CT145" s="678"/>
      <c r="CU145" s="678"/>
      <c r="CV145" s="678"/>
      <c r="CW145" s="678"/>
      <c r="CX145" s="678"/>
      <c r="CY145" s="678"/>
      <c r="CZ145" s="678"/>
      <c r="DA145" s="678"/>
      <c r="DB145" s="678"/>
      <c r="DC145" s="678"/>
      <c r="DD145" s="678"/>
      <c r="DE145" s="678"/>
      <c r="DF145" s="678"/>
      <c r="DG145" s="678"/>
      <c r="DH145" s="678"/>
      <c r="DI145" s="678"/>
      <c r="DJ145" s="678"/>
      <c r="DK145" s="678"/>
      <c r="DL145" s="678"/>
      <c r="DM145" s="678"/>
      <c r="DN145" s="678"/>
      <c r="DO145" s="678"/>
      <c r="DP145" s="678"/>
      <c r="DQ145" s="678"/>
      <c r="DR145" s="681"/>
      <c r="DS145" s="681"/>
      <c r="DT145" s="681"/>
      <c r="DU145" s="681"/>
      <c r="DV145" s="681"/>
      <c r="DW145" s="681"/>
      <c r="DX145" s="681"/>
      <c r="DY145" s="681"/>
      <c r="DZ145" s="681"/>
      <c r="EA145" s="681"/>
      <c r="EB145" s="681"/>
      <c r="EC145" s="718"/>
      <c r="ED145" s="113" t="s">
        <v>1</v>
      </c>
    </row>
    <row r="146" spans="1:134" s="687" customFormat="1" x14ac:dyDescent="0.2">
      <c r="A146" s="719"/>
      <c r="B146" s="693"/>
      <c r="C146" s="693"/>
      <c r="D146" s="693"/>
      <c r="E146" s="693"/>
      <c r="F146" s="693"/>
      <c r="G146" s="693"/>
      <c r="H146" s="693"/>
      <c r="I146" s="693"/>
      <c r="J146" s="693"/>
      <c r="K146" s="693"/>
      <c r="L146" s="693"/>
      <c r="M146" s="693"/>
      <c r="N146" s="693"/>
      <c r="O146" s="693"/>
      <c r="P146" s="693"/>
      <c r="Q146" s="693"/>
      <c r="R146" s="693"/>
      <c r="S146" s="693"/>
      <c r="T146" s="693"/>
      <c r="U146" s="693"/>
      <c r="V146" s="693"/>
      <c r="W146" s="693"/>
      <c r="X146" s="693"/>
      <c r="Y146" s="693"/>
      <c r="Z146" s="693"/>
      <c r="AA146" s="693"/>
      <c r="AB146" s="693"/>
      <c r="AC146" s="693"/>
      <c r="AD146" s="693"/>
      <c r="AE146" s="693"/>
      <c r="AF146" s="693"/>
      <c r="AG146" s="693"/>
      <c r="AH146" s="693"/>
      <c r="AI146" s="693"/>
      <c r="AJ146" s="693"/>
      <c r="AK146" s="693"/>
      <c r="AL146" s="693"/>
      <c r="AM146" s="693"/>
      <c r="AN146" s="693"/>
      <c r="AO146" s="693"/>
      <c r="AP146" s="693"/>
      <c r="AQ146" s="693"/>
      <c r="AR146" s="693"/>
      <c r="AS146" s="693"/>
      <c r="AT146" s="693"/>
      <c r="AU146" s="693"/>
      <c r="AV146" s="693"/>
      <c r="AW146" s="693"/>
      <c r="AX146" s="693"/>
      <c r="AY146" s="693"/>
      <c r="AZ146" s="693"/>
      <c r="BA146" s="693"/>
      <c r="BB146" s="693"/>
      <c r="BC146" s="693"/>
      <c r="BD146" s="693"/>
      <c r="BE146" s="693"/>
      <c r="BF146" s="693"/>
      <c r="BG146" s="693"/>
      <c r="BH146" s="693"/>
      <c r="BI146" s="693"/>
      <c r="BJ146" s="693"/>
      <c r="BK146" s="693"/>
      <c r="BL146" s="693"/>
      <c r="BM146" s="693"/>
      <c r="BN146" s="693"/>
      <c r="BO146" s="693"/>
      <c r="BP146" s="693"/>
      <c r="BQ146" s="693"/>
      <c r="BR146" s="693"/>
      <c r="BS146" s="693"/>
      <c r="BT146" s="693"/>
      <c r="BU146" s="693"/>
      <c r="BV146" s="693"/>
      <c r="BW146" s="693"/>
      <c r="BX146" s="693"/>
      <c r="BY146" s="693"/>
      <c r="BZ146" s="693"/>
      <c r="CA146" s="693"/>
      <c r="CB146" s="693"/>
      <c r="CC146" s="693"/>
      <c r="CD146" s="693"/>
      <c r="CE146" s="693"/>
      <c r="CF146" s="693"/>
      <c r="CG146" s="693"/>
      <c r="CH146" s="693"/>
      <c r="CI146" s="693"/>
      <c r="CJ146" s="693"/>
      <c r="CK146" s="693"/>
      <c r="CL146" s="693"/>
      <c r="CM146" s="693"/>
      <c r="CN146" s="693"/>
      <c r="CO146" s="693"/>
      <c r="CP146" s="693"/>
      <c r="CQ146" s="693"/>
      <c r="CR146" s="693"/>
      <c r="CS146" s="693"/>
      <c r="CT146" s="693"/>
      <c r="CU146" s="693"/>
      <c r="CV146" s="693"/>
      <c r="CW146" s="693"/>
      <c r="CX146" s="693"/>
      <c r="CY146" s="693"/>
      <c r="CZ146" s="693"/>
      <c r="DA146" s="693"/>
      <c r="DB146" s="693"/>
      <c r="DC146" s="693"/>
      <c r="DD146" s="693"/>
      <c r="DE146" s="693"/>
      <c r="DF146" s="693"/>
      <c r="DG146" s="693"/>
      <c r="DH146" s="693"/>
      <c r="DI146" s="693"/>
      <c r="DJ146" s="693"/>
      <c r="DK146" s="693"/>
      <c r="DL146" s="693"/>
      <c r="DM146" s="693"/>
      <c r="DN146" s="693"/>
      <c r="DO146" s="693"/>
      <c r="DP146" s="693"/>
      <c r="DQ146" s="693"/>
      <c r="DR146" s="683"/>
      <c r="DS146" s="683"/>
      <c r="DT146" s="683"/>
      <c r="DU146" s="683"/>
      <c r="DV146" s="683"/>
      <c r="DW146" s="683"/>
      <c r="DX146" s="683"/>
      <c r="DY146" s="683"/>
      <c r="DZ146" s="683"/>
      <c r="EA146" s="683"/>
      <c r="EB146" s="683"/>
      <c r="EC146" s="720"/>
      <c r="ED146" s="113" t="s">
        <v>1</v>
      </c>
    </row>
    <row r="147" spans="1:134" s="687" customFormat="1" x14ac:dyDescent="0.2">
      <c r="A147" s="721" t="s">
        <v>156</v>
      </c>
      <c r="B147" s="693"/>
      <c r="C147" s="693"/>
      <c r="D147" s="693"/>
      <c r="E147" s="693"/>
      <c r="F147" s="693"/>
      <c r="G147" s="693"/>
      <c r="H147" s="693"/>
      <c r="I147" s="693"/>
      <c r="J147" s="693"/>
      <c r="K147" s="693"/>
      <c r="L147" s="722"/>
      <c r="M147" s="722"/>
      <c r="N147" s="722"/>
      <c r="O147" s="722"/>
      <c r="P147" s="722"/>
      <c r="Q147" s="722"/>
      <c r="R147" s="722"/>
      <c r="S147" s="722"/>
      <c r="T147" s="722"/>
      <c r="U147" s="722"/>
      <c r="V147" s="722"/>
      <c r="W147" s="722">
        <f t="shared" ref="W147:BY147" si="474">W158/K158-1</f>
        <v>32.725000000000001</v>
      </c>
      <c r="X147" s="722">
        <f t="shared" si="474"/>
        <v>4.135746606334842</v>
      </c>
      <c r="Y147" s="722">
        <f t="shared" si="474"/>
        <v>0.22937390286717374</v>
      </c>
      <c r="Z147" s="722">
        <f t="shared" si="474"/>
        <v>-1</v>
      </c>
      <c r="AA147" s="722">
        <f t="shared" si="474"/>
        <v>-2.126736111111116E-2</v>
      </c>
      <c r="AB147" s="722">
        <f t="shared" si="474"/>
        <v>-0.19822485207100593</v>
      </c>
      <c r="AC147" s="722">
        <f t="shared" si="474"/>
        <v>-0.74699557242251746</v>
      </c>
      <c r="AD147" s="722">
        <f t="shared" si="474"/>
        <v>-0.6461857093545047</v>
      </c>
      <c r="AE147" s="722">
        <f t="shared" si="474"/>
        <v>-0.62232838823233594</v>
      </c>
      <c r="AF147" s="722">
        <f t="shared" si="474"/>
        <v>-0.2626938279112192</v>
      </c>
      <c r="AG147" s="722">
        <f t="shared" si="474"/>
        <v>0.28795483061480542</v>
      </c>
      <c r="AH147" s="722">
        <f t="shared" si="474"/>
        <v>0.92184920198128784</v>
      </c>
      <c r="AI147" s="722">
        <f t="shared" si="474"/>
        <v>0.73091178650852484</v>
      </c>
      <c r="AJ147" s="722">
        <f t="shared" si="474"/>
        <v>0.24581497797356833</v>
      </c>
      <c r="AK147" s="722">
        <f t="shared" si="474"/>
        <v>0.97239409804854837</v>
      </c>
      <c r="AL147" s="722" t="e">
        <f t="shared" si="474"/>
        <v>#DIV/0!</v>
      </c>
      <c r="AM147" s="722">
        <f t="shared" si="474"/>
        <v>-0.26208425720620843</v>
      </c>
      <c r="AN147" s="722">
        <f t="shared" si="474"/>
        <v>0.76752767527675281</v>
      </c>
      <c r="AO147" s="722">
        <f t="shared" si="474"/>
        <v>1.7850000000000001</v>
      </c>
      <c r="AP147" s="722">
        <f t="shared" si="474"/>
        <v>0.32195121951219519</v>
      </c>
      <c r="AQ147" s="722">
        <f t="shared" si="474"/>
        <v>-5.9920106524633532E-3</v>
      </c>
      <c r="AR147" s="722">
        <f t="shared" si="474"/>
        <v>-0.15876288659793814</v>
      </c>
      <c r="AS147" s="722">
        <f t="shared" si="474"/>
        <v>0.99756453969800285</v>
      </c>
      <c r="AT147" s="722">
        <f t="shared" si="474"/>
        <v>0.65635738831615131</v>
      </c>
      <c r="AU147" s="722">
        <f t="shared" si="474"/>
        <v>0.25845824411134899</v>
      </c>
      <c r="AV147" s="722">
        <f t="shared" si="474"/>
        <v>0.56647807637906644</v>
      </c>
      <c r="AW147" s="722">
        <f t="shared" si="474"/>
        <v>-0.29078185328185324</v>
      </c>
      <c r="AX147" s="722">
        <f t="shared" si="474"/>
        <v>-0.28911564625850339</v>
      </c>
      <c r="AY147" s="722">
        <f t="shared" si="474"/>
        <v>1.2289663461538463</v>
      </c>
      <c r="AZ147" s="722">
        <f t="shared" si="474"/>
        <v>0.41878914405010437</v>
      </c>
      <c r="BA147" s="722">
        <f t="shared" si="474"/>
        <v>0.81328545780969486</v>
      </c>
      <c r="BB147" s="722">
        <f t="shared" si="474"/>
        <v>1.6870848708487083</v>
      </c>
      <c r="BC147" s="722">
        <f t="shared" si="474"/>
        <v>2.2819825853985263</v>
      </c>
      <c r="BD147" s="722">
        <f t="shared" si="474"/>
        <v>1.8338235294117649</v>
      </c>
      <c r="BE147" s="722">
        <f t="shared" si="474"/>
        <v>0.14557425018288228</v>
      </c>
      <c r="BF147" s="722">
        <f t="shared" si="474"/>
        <v>-0.19968879668049788</v>
      </c>
      <c r="BG147" s="722">
        <f t="shared" si="474"/>
        <v>-0.3489875786966139</v>
      </c>
      <c r="BH147" s="722">
        <f t="shared" si="474"/>
        <v>0.32054176072234752</v>
      </c>
      <c r="BI147" s="722">
        <f t="shared" si="474"/>
        <v>2.5835318135420211</v>
      </c>
      <c r="BJ147" s="722">
        <f t="shared" si="474"/>
        <v>4.6421052631578945</v>
      </c>
      <c r="BK147" s="722">
        <f t="shared" si="474"/>
        <v>1.7948234025343757</v>
      </c>
      <c r="BL147" s="722">
        <f t="shared" si="474"/>
        <v>2.7039434961742201</v>
      </c>
      <c r="BM147" s="722">
        <f t="shared" si="474"/>
        <v>1.6061881188118812</v>
      </c>
      <c r="BN147" s="722">
        <f t="shared" si="474"/>
        <v>1.9887393573194179</v>
      </c>
      <c r="BO147" s="722">
        <f t="shared" si="474"/>
        <v>1.4259183673469389</v>
      </c>
      <c r="BP147" s="722">
        <f t="shared" si="474"/>
        <v>1.6083722539353054</v>
      </c>
      <c r="BQ147" s="722">
        <f t="shared" si="474"/>
        <v>1.7769263516389953</v>
      </c>
      <c r="BR147" s="722">
        <f t="shared" si="474"/>
        <v>1.4707280190105854</v>
      </c>
      <c r="BS147" s="722">
        <f t="shared" si="474"/>
        <v>2.0888656560376373</v>
      </c>
      <c r="BT147" s="722">
        <f t="shared" si="474"/>
        <v>0.60290598290598285</v>
      </c>
      <c r="BU147" s="722">
        <f t="shared" si="474"/>
        <v>0.11992024306874294</v>
      </c>
      <c r="BV147" s="722">
        <f t="shared" si="474"/>
        <v>-2.162483039348706E-2</v>
      </c>
      <c r="BW147" s="722">
        <f t="shared" si="474"/>
        <v>0.16747057688597344</v>
      </c>
      <c r="BX147" s="722">
        <f t="shared" si="474"/>
        <v>-1.8194819640870774E-2</v>
      </c>
      <c r="BY147" s="722">
        <f t="shared" si="474"/>
        <v>0.23819925918890683</v>
      </c>
      <c r="BZ147" s="722">
        <f t="shared" ref="BZ147:CR147" si="475">BZ158/BN158-1</f>
        <v>0.12745818783311891</v>
      </c>
      <c r="CA147" s="722">
        <f t="shared" si="475"/>
        <v>4.0548498359552543E-2</v>
      </c>
      <c r="CB147" s="722">
        <f t="shared" si="475"/>
        <v>-0.20551760726838653</v>
      </c>
      <c r="CC147" s="722">
        <f t="shared" si="475"/>
        <v>-0.1614287904338495</v>
      </c>
      <c r="CD147" s="722">
        <f t="shared" si="475"/>
        <v>0.1074582495409635</v>
      </c>
      <c r="CE147" s="722">
        <f t="shared" si="475"/>
        <v>0.23058047046877639</v>
      </c>
      <c r="CF147" s="722">
        <f t="shared" si="475"/>
        <v>0.54047136610856361</v>
      </c>
      <c r="CG147" s="722">
        <f t="shared" si="475"/>
        <v>0.60432386604493438</v>
      </c>
      <c r="CH147" s="722">
        <f t="shared" si="475"/>
        <v>0.43928230909248511</v>
      </c>
      <c r="CI147" s="722">
        <f t="shared" si="475"/>
        <v>0.3860518922492151</v>
      </c>
      <c r="CJ147" s="722">
        <f t="shared" si="475"/>
        <v>0.356478109573521</v>
      </c>
      <c r="CK147" s="722">
        <f t="shared" si="475"/>
        <v>0.30513154866917236</v>
      </c>
      <c r="CL147" s="722">
        <f t="shared" si="475"/>
        <v>0.30678946939440865</v>
      </c>
      <c r="CM147" s="722">
        <f t="shared" si="475"/>
        <v>0.41798043495836357</v>
      </c>
      <c r="CN147" s="722">
        <f t="shared" si="475"/>
        <v>0.42353923205342237</v>
      </c>
      <c r="CO147" s="722">
        <f t="shared" si="475"/>
        <v>0.56252285191956131</v>
      </c>
      <c r="CP147" s="722">
        <f t="shared" si="475"/>
        <v>0.65663982314858682</v>
      </c>
      <c r="CQ147" s="722">
        <f t="shared" si="475"/>
        <v>0.55463109399711197</v>
      </c>
      <c r="CR147" s="722">
        <f t="shared" si="475"/>
        <v>0.34184839044652127</v>
      </c>
      <c r="CS147" s="722">
        <f>CS158/CG158-1</f>
        <v>0.10685409290281678</v>
      </c>
      <c r="CT147" s="723">
        <v>0.15</v>
      </c>
      <c r="CU147" s="723">
        <f>CT147</f>
        <v>0.15</v>
      </c>
      <c r="CV147" s="723">
        <f t="shared" ref="CV147:EC147" si="476">CU147</f>
        <v>0.15</v>
      </c>
      <c r="CW147" s="723">
        <f t="shared" si="476"/>
        <v>0.15</v>
      </c>
      <c r="CX147" s="723">
        <f t="shared" si="476"/>
        <v>0.15</v>
      </c>
      <c r="CY147" s="723">
        <f t="shared" si="476"/>
        <v>0.15</v>
      </c>
      <c r="CZ147" s="723">
        <f t="shared" si="476"/>
        <v>0.15</v>
      </c>
      <c r="DA147" s="723">
        <f t="shared" si="476"/>
        <v>0.15</v>
      </c>
      <c r="DB147" s="723">
        <f t="shared" si="476"/>
        <v>0.15</v>
      </c>
      <c r="DC147" s="723">
        <f t="shared" si="476"/>
        <v>0.15</v>
      </c>
      <c r="DD147" s="723">
        <f t="shared" si="476"/>
        <v>0.15</v>
      </c>
      <c r="DE147" s="723">
        <f t="shared" si="476"/>
        <v>0.15</v>
      </c>
      <c r="DF147" s="723">
        <v>0.15</v>
      </c>
      <c r="DG147" s="723">
        <f t="shared" si="476"/>
        <v>0.15</v>
      </c>
      <c r="DH147" s="723">
        <f t="shared" si="476"/>
        <v>0.15</v>
      </c>
      <c r="DI147" s="723">
        <f t="shared" si="476"/>
        <v>0.15</v>
      </c>
      <c r="DJ147" s="723">
        <f t="shared" si="476"/>
        <v>0.15</v>
      </c>
      <c r="DK147" s="723">
        <f t="shared" si="476"/>
        <v>0.15</v>
      </c>
      <c r="DL147" s="723">
        <f t="shared" si="476"/>
        <v>0.15</v>
      </c>
      <c r="DM147" s="723">
        <f t="shared" si="476"/>
        <v>0.15</v>
      </c>
      <c r="DN147" s="723">
        <f t="shared" si="476"/>
        <v>0.15</v>
      </c>
      <c r="DO147" s="723">
        <f t="shared" si="476"/>
        <v>0.15</v>
      </c>
      <c r="DP147" s="723">
        <f t="shared" si="476"/>
        <v>0.15</v>
      </c>
      <c r="DQ147" s="723">
        <f t="shared" si="476"/>
        <v>0.15</v>
      </c>
      <c r="DR147" s="723">
        <v>0.15</v>
      </c>
      <c r="DS147" s="723">
        <f t="shared" si="476"/>
        <v>0.15</v>
      </c>
      <c r="DT147" s="723">
        <f t="shared" si="476"/>
        <v>0.15</v>
      </c>
      <c r="DU147" s="723">
        <f t="shared" si="476"/>
        <v>0.15</v>
      </c>
      <c r="DV147" s="723">
        <f t="shared" si="476"/>
        <v>0.15</v>
      </c>
      <c r="DW147" s="723">
        <f t="shared" si="476"/>
        <v>0.15</v>
      </c>
      <c r="DX147" s="723">
        <f t="shared" si="476"/>
        <v>0.15</v>
      </c>
      <c r="DY147" s="723">
        <f t="shared" si="476"/>
        <v>0.15</v>
      </c>
      <c r="DZ147" s="723">
        <f t="shared" si="476"/>
        <v>0.15</v>
      </c>
      <c r="EA147" s="723">
        <f t="shared" si="476"/>
        <v>0.15</v>
      </c>
      <c r="EB147" s="723">
        <f t="shared" si="476"/>
        <v>0.15</v>
      </c>
      <c r="EC147" s="723">
        <f t="shared" si="476"/>
        <v>0.15</v>
      </c>
      <c r="ED147" s="113" t="s">
        <v>1</v>
      </c>
    </row>
    <row r="148" spans="1:134" s="687" customFormat="1" x14ac:dyDescent="0.2">
      <c r="A148" s="719"/>
      <c r="B148" s="693"/>
      <c r="C148" s="693"/>
      <c r="D148" s="693"/>
      <c r="E148" s="693"/>
      <c r="F148" s="693"/>
      <c r="G148" s="693"/>
      <c r="H148" s="693"/>
      <c r="I148" s="693"/>
      <c r="J148" s="693"/>
      <c r="K148" s="693"/>
      <c r="L148" s="693"/>
      <c r="M148" s="693"/>
      <c r="N148" s="693"/>
      <c r="O148" s="693"/>
      <c r="P148" s="693"/>
      <c r="Q148" s="693"/>
      <c r="R148" s="693"/>
      <c r="S148" s="693"/>
      <c r="T148" s="693"/>
      <c r="U148" s="693"/>
      <c r="V148" s="693"/>
      <c r="W148" s="693"/>
      <c r="X148" s="693"/>
      <c r="Y148" s="693"/>
      <c r="Z148" s="693"/>
      <c r="AA148" s="693"/>
      <c r="AB148" s="693"/>
      <c r="AC148" s="693"/>
      <c r="AD148" s="693"/>
      <c r="AE148" s="693"/>
      <c r="AF148" s="693"/>
      <c r="AG148" s="693"/>
      <c r="AH148" s="693"/>
      <c r="AI148" s="693"/>
      <c r="AJ148" s="693"/>
      <c r="AK148" s="693"/>
      <c r="AL148" s="693"/>
      <c r="AM148" s="693"/>
      <c r="AN148" s="693"/>
      <c r="AO148" s="693"/>
      <c r="AP148" s="693"/>
      <c r="AQ148" s="693"/>
      <c r="AR148" s="693"/>
      <c r="AS148" s="693"/>
      <c r="AT148" s="693"/>
      <c r="AU148" s="693"/>
      <c r="AV148" s="693"/>
      <c r="AW148" s="693"/>
      <c r="AX148" s="693"/>
      <c r="AY148" s="693"/>
      <c r="AZ148" s="693"/>
      <c r="BA148" s="693"/>
      <c r="BB148" s="693"/>
      <c r="BC148" s="693"/>
      <c r="BD148" s="693"/>
      <c r="BE148" s="693"/>
      <c r="BF148" s="693"/>
      <c r="BG148" s="693"/>
      <c r="BH148" s="693"/>
      <c r="BI148" s="693"/>
      <c r="BJ148" s="693"/>
      <c r="BK148" s="693"/>
      <c r="BL148" s="693"/>
      <c r="BM148" s="693"/>
      <c r="BN148" s="693"/>
      <c r="BO148" s="693"/>
      <c r="BP148" s="693"/>
      <c r="BQ148" s="693"/>
      <c r="BR148" s="693"/>
      <c r="BS148" s="693"/>
      <c r="BT148" s="693"/>
      <c r="BU148" s="693"/>
      <c r="BV148" s="693"/>
      <c r="BW148" s="693"/>
      <c r="BX148" s="693"/>
      <c r="BY148" s="693"/>
      <c r="BZ148" s="693"/>
      <c r="CA148" s="693"/>
      <c r="CB148" s="693"/>
      <c r="CC148" s="693"/>
      <c r="CD148" s="693"/>
      <c r="CE148" s="693"/>
      <c r="CF148" s="693"/>
      <c r="CG148" s="693"/>
      <c r="CH148" s="693"/>
      <c r="CI148" s="693"/>
      <c r="CJ148" s="693"/>
      <c r="CK148" s="693"/>
      <c r="CL148" s="693"/>
      <c r="CM148" s="693"/>
      <c r="CN148" s="693"/>
      <c r="CO148" s="693"/>
      <c r="CP148" s="693"/>
      <c r="CQ148" s="693"/>
      <c r="CR148" s="693"/>
      <c r="CS148" s="693"/>
      <c r="CT148" s="693"/>
      <c r="CU148" s="693"/>
      <c r="CV148" s="693"/>
      <c r="CW148" s="693"/>
      <c r="CX148" s="693"/>
      <c r="CY148" s="693"/>
      <c r="CZ148" s="693"/>
      <c r="DA148" s="693"/>
      <c r="DB148" s="693"/>
      <c r="DC148" s="693"/>
      <c r="DD148" s="693"/>
      <c r="DE148" s="693"/>
      <c r="DF148" s="693"/>
      <c r="DG148" s="693"/>
      <c r="DH148" s="693"/>
      <c r="DI148" s="693"/>
      <c r="DJ148" s="693"/>
      <c r="DK148" s="693"/>
      <c r="DL148" s="693"/>
      <c r="DM148" s="693"/>
      <c r="DN148" s="693"/>
      <c r="DO148" s="693"/>
      <c r="DP148" s="693"/>
      <c r="DQ148" s="693"/>
      <c r="DR148" s="683"/>
      <c r="DS148" s="683"/>
      <c r="DT148" s="683"/>
      <c r="DU148" s="683"/>
      <c r="DV148" s="683"/>
      <c r="DW148" s="683"/>
      <c r="DX148" s="683"/>
      <c r="DY148" s="683"/>
      <c r="DZ148" s="683"/>
      <c r="EA148" s="683"/>
      <c r="EB148" s="683"/>
      <c r="EC148" s="720"/>
      <c r="ED148" s="113" t="s">
        <v>1</v>
      </c>
    </row>
    <row r="149" spans="1:134" s="687" customFormat="1" x14ac:dyDescent="0.2">
      <c r="A149" s="688" t="s">
        <v>168</v>
      </c>
      <c r="B149" s="693"/>
      <c r="C149" s="693"/>
      <c r="D149" s="693"/>
      <c r="E149" s="693"/>
      <c r="F149" s="693"/>
      <c r="G149" s="693"/>
      <c r="H149" s="693"/>
      <c r="I149" s="693"/>
      <c r="J149" s="693"/>
      <c r="K149" s="693"/>
      <c r="L149" s="693"/>
      <c r="M149" s="693"/>
      <c r="N149" s="693"/>
      <c r="O149" s="693"/>
      <c r="P149" s="693"/>
      <c r="Q149" s="693"/>
      <c r="R149" s="693"/>
      <c r="S149" s="693"/>
      <c r="T149" s="693"/>
      <c r="U149" s="693"/>
      <c r="V149" s="693"/>
      <c r="W149" s="693"/>
      <c r="X149" s="693"/>
      <c r="Y149" s="693"/>
      <c r="Z149" s="693"/>
      <c r="AA149" s="693"/>
      <c r="AB149" s="693"/>
      <c r="AC149" s="693"/>
      <c r="AD149" s="693"/>
      <c r="AE149" s="693"/>
      <c r="AF149" s="693"/>
      <c r="AG149" s="693"/>
      <c r="AH149" s="693"/>
      <c r="AI149" s="693"/>
      <c r="AJ149" s="693"/>
      <c r="AK149" s="693"/>
      <c r="AL149" s="693"/>
      <c r="AM149" s="693"/>
      <c r="AN149" s="693"/>
      <c r="AO149" s="693"/>
      <c r="AP149" s="693"/>
      <c r="AQ149" s="693"/>
      <c r="AR149" s="693"/>
      <c r="AS149" s="693"/>
      <c r="AT149" s="693"/>
      <c r="AU149" s="693"/>
      <c r="AV149" s="693"/>
      <c r="AW149" s="693"/>
      <c r="AX149" s="693"/>
      <c r="AY149" s="693"/>
      <c r="AZ149" s="693"/>
      <c r="BA149" s="693"/>
      <c r="BB149" s="693"/>
      <c r="BC149" s="693"/>
      <c r="BD149" s="693"/>
      <c r="BE149" s="693"/>
      <c r="BF149" s="693"/>
      <c r="BG149" s="693"/>
      <c r="BH149" s="693"/>
      <c r="BI149" s="693"/>
      <c r="BJ149" s="693"/>
      <c r="BK149" s="693"/>
      <c r="BL149" s="693"/>
      <c r="BM149" s="693"/>
      <c r="BN149" s="693"/>
      <c r="BO149" s="693"/>
      <c r="BP149" s="693"/>
      <c r="BQ149" s="693"/>
      <c r="BR149" s="693"/>
      <c r="BS149" s="693"/>
      <c r="BT149" s="693"/>
      <c r="BU149" s="693"/>
      <c r="BV149" s="693"/>
      <c r="BW149" s="693"/>
      <c r="BX149" s="693"/>
      <c r="BY149" s="693"/>
      <c r="BZ149" s="693"/>
      <c r="CA149" s="693"/>
      <c r="CB149" s="693"/>
      <c r="CC149" s="693"/>
      <c r="CD149" s="693"/>
      <c r="CE149" s="693"/>
      <c r="CF149" s="693"/>
      <c r="CG149" s="693"/>
      <c r="CH149" s="693"/>
      <c r="CI149" s="693"/>
      <c r="CJ149" s="693"/>
      <c r="CK149" s="693"/>
      <c r="CL149" s="693"/>
      <c r="CM149" s="693"/>
      <c r="CN149" s="693"/>
      <c r="CO149" s="693"/>
      <c r="CP149" s="693"/>
      <c r="CQ149" s="693"/>
      <c r="CR149" s="693"/>
      <c r="CS149" s="693"/>
      <c r="CT149" s="693"/>
      <c r="CU149" s="693"/>
      <c r="CV149" s="693"/>
      <c r="CW149" s="693"/>
      <c r="CX149" s="693"/>
      <c r="CY149" s="693"/>
      <c r="CZ149" s="693"/>
      <c r="DA149" s="693"/>
      <c r="DB149" s="693"/>
      <c r="DC149" s="693"/>
      <c r="DD149" s="693"/>
      <c r="DE149" s="693"/>
      <c r="DF149" s="693"/>
      <c r="DG149" s="693"/>
      <c r="DH149" s="693"/>
      <c r="DI149" s="693"/>
      <c r="DJ149" s="693"/>
      <c r="DK149" s="693"/>
      <c r="DL149" s="693"/>
      <c r="DM149" s="693"/>
      <c r="DN149" s="693"/>
      <c r="DO149" s="693"/>
      <c r="DP149" s="693"/>
      <c r="DQ149" s="693"/>
      <c r="DR149" s="683"/>
      <c r="DS149" s="683"/>
      <c r="DT149" s="683"/>
      <c r="DU149" s="683"/>
      <c r="DV149" s="683"/>
      <c r="DW149" s="683"/>
      <c r="DX149" s="683"/>
      <c r="DY149" s="683"/>
      <c r="DZ149" s="683"/>
      <c r="EA149" s="683"/>
      <c r="EB149" s="683"/>
      <c r="EC149" s="720"/>
      <c r="ED149" s="113" t="s">
        <v>1</v>
      </c>
    </row>
    <row r="150" spans="1:134" s="687" customFormat="1" x14ac:dyDescent="0.2">
      <c r="A150" s="682" t="s">
        <v>599</v>
      </c>
      <c r="B150" s="690">
        <f>SUM(B151:B152)</f>
        <v>0</v>
      </c>
      <c r="C150" s="690">
        <f t="shared" ref="C150:BN150" si="477">SUM(C151:C152)</f>
        <v>0</v>
      </c>
      <c r="D150" s="690">
        <f t="shared" si="477"/>
        <v>0</v>
      </c>
      <c r="E150" s="690">
        <f t="shared" si="477"/>
        <v>0</v>
      </c>
      <c r="F150" s="690">
        <f t="shared" si="477"/>
        <v>0</v>
      </c>
      <c r="G150" s="690">
        <f t="shared" si="477"/>
        <v>0</v>
      </c>
      <c r="H150" s="690">
        <f t="shared" si="477"/>
        <v>0</v>
      </c>
      <c r="I150" s="690">
        <f t="shared" si="477"/>
        <v>0</v>
      </c>
      <c r="J150" s="690">
        <f t="shared" si="477"/>
        <v>0</v>
      </c>
      <c r="K150" s="690">
        <f t="shared" si="477"/>
        <v>590804.63071428565</v>
      </c>
      <c r="L150" s="690">
        <f t="shared" si="477"/>
        <v>3765480.3707142859</v>
      </c>
      <c r="M150" s="690">
        <f t="shared" si="477"/>
        <v>20372817.199285716</v>
      </c>
      <c r="N150" s="690">
        <f t="shared" si="477"/>
        <v>26331762.631428573</v>
      </c>
      <c r="O150" s="690">
        <f t="shared" si="477"/>
        <v>28979750.864642859</v>
      </c>
      <c r="P150" s="690">
        <f t="shared" si="477"/>
        <v>20037428.975000001</v>
      </c>
      <c r="Q150" s="690">
        <f t="shared" si="477"/>
        <v>39843556.579642855</v>
      </c>
      <c r="R150" s="690">
        <f t="shared" si="477"/>
        <v>26529236.465714287</v>
      </c>
      <c r="S150" s="690">
        <f t="shared" si="477"/>
        <v>41731558.912857145</v>
      </c>
      <c r="T150" s="690">
        <f t="shared" si="477"/>
        <v>34579467.400357142</v>
      </c>
      <c r="U150" s="690">
        <f t="shared" si="477"/>
        <v>14310639.342857143</v>
      </c>
      <c r="V150" s="690">
        <f t="shared" si="477"/>
        <v>19194474.905357141</v>
      </c>
      <c r="W150" s="690">
        <f t="shared" si="477"/>
        <v>27559547.121071428</v>
      </c>
      <c r="X150" s="690">
        <f t="shared" si="477"/>
        <v>24073865.376428571</v>
      </c>
      <c r="Y150" s="690">
        <f t="shared" si="477"/>
        <v>21898913.805357143</v>
      </c>
      <c r="Z150" s="690">
        <f t="shared" si="477"/>
        <v>0</v>
      </c>
      <c r="AA150" s="690">
        <f t="shared" si="477"/>
        <v>26448165.739152543</v>
      </c>
      <c r="AB150" s="690">
        <f t="shared" si="477"/>
        <v>21427418.026000001</v>
      </c>
      <c r="AC150" s="690">
        <f t="shared" si="477"/>
        <v>14451598</v>
      </c>
      <c r="AD150" s="690">
        <f t="shared" si="477"/>
        <v>13976624.02</v>
      </c>
      <c r="AE150" s="690">
        <f t="shared" si="477"/>
        <v>17198803.025999997</v>
      </c>
      <c r="AF150" s="690">
        <f t="shared" si="477"/>
        <v>29977510.026000001</v>
      </c>
      <c r="AG150" s="690">
        <f t="shared" si="477"/>
        <v>23482672</v>
      </c>
      <c r="AH150" s="690">
        <f t="shared" si="477"/>
        <v>37602094.950000003</v>
      </c>
      <c r="AI150" s="690">
        <f t="shared" si="477"/>
        <v>51027456.450000003</v>
      </c>
      <c r="AJ150" s="690">
        <f t="shared" si="477"/>
        <v>34941666</v>
      </c>
      <c r="AK150" s="690">
        <f t="shared" si="477"/>
        <v>39703152</v>
      </c>
      <c r="AL150" s="690">
        <f t="shared" si="477"/>
        <v>27181836.079999998</v>
      </c>
      <c r="AM150" s="690">
        <f t="shared" si="477"/>
        <v>15422768.899999997</v>
      </c>
      <c r="AN150" s="690">
        <f t="shared" si="477"/>
        <v>22663955.899999991</v>
      </c>
      <c r="AO150" s="690">
        <f t="shared" si="477"/>
        <v>21224141</v>
      </c>
      <c r="AP150" s="690">
        <f t="shared" si="477"/>
        <v>12739590</v>
      </c>
      <c r="AQ150" s="690">
        <f t="shared" si="477"/>
        <v>15609635</v>
      </c>
      <c r="AR150" s="690">
        <f t="shared" si="477"/>
        <v>23186713</v>
      </c>
      <c r="AS150" s="690">
        <f t="shared" si="477"/>
        <v>47294129</v>
      </c>
      <c r="AT150" s="690">
        <f t="shared" si="477"/>
        <v>63914193</v>
      </c>
      <c r="AU150" s="690">
        <f t="shared" si="477"/>
        <v>69656889</v>
      </c>
      <c r="AV150" s="690">
        <f t="shared" si="477"/>
        <v>58890647</v>
      </c>
      <c r="AW150" s="690">
        <f t="shared" si="477"/>
        <v>39800955.399999999</v>
      </c>
      <c r="AX150" s="690">
        <f t="shared" si="477"/>
        <v>28946004.209999993</v>
      </c>
      <c r="AY150" s="690">
        <f t="shared" si="477"/>
        <v>41128733.179999992</v>
      </c>
      <c r="AZ150" s="690">
        <f t="shared" si="477"/>
        <v>61224145.060000002</v>
      </c>
      <c r="BA150" s="690">
        <f t="shared" si="477"/>
        <v>62155013.400000401</v>
      </c>
      <c r="BB150" s="690">
        <f t="shared" si="477"/>
        <v>49288291.220000073</v>
      </c>
      <c r="BC150" s="690">
        <f t="shared" si="477"/>
        <v>66069308.580000088</v>
      </c>
      <c r="BD150" s="690">
        <f t="shared" si="477"/>
        <v>98030780.550000161</v>
      </c>
      <c r="BE150" s="690">
        <f t="shared" si="477"/>
        <v>93276680.109999999</v>
      </c>
      <c r="BF150" s="690">
        <f t="shared" si="477"/>
        <v>91650372.090000212</v>
      </c>
      <c r="BG150" s="690">
        <f t="shared" si="477"/>
        <v>89341205.750000358</v>
      </c>
      <c r="BH150" s="690">
        <f t="shared" si="477"/>
        <v>122456019.92000024</v>
      </c>
      <c r="BI150" s="690">
        <f t="shared" si="477"/>
        <v>228795374.60000095</v>
      </c>
      <c r="BJ150" s="690">
        <f t="shared" si="477"/>
        <v>252174853.04230279</v>
      </c>
      <c r="BK150" s="690">
        <f t="shared" si="477"/>
        <v>223961114.9779605</v>
      </c>
      <c r="BL150" s="690">
        <f t="shared" si="477"/>
        <v>254596340.13318229</v>
      </c>
      <c r="BM150" s="690">
        <f t="shared" si="477"/>
        <v>218694752.89905122</v>
      </c>
      <c r="BN150" s="690">
        <f t="shared" si="477"/>
        <v>222556498.25425178</v>
      </c>
      <c r="BO150" s="690">
        <f t="shared" ref="BO150:DZ150" si="478">SUM(BO151:BO152)</f>
        <v>255759965.27878931</v>
      </c>
      <c r="BP150" s="690">
        <f t="shared" si="478"/>
        <v>387371877.53215408</v>
      </c>
      <c r="BQ150" s="690">
        <f t="shared" si="478"/>
        <v>302891530.21127993</v>
      </c>
      <c r="BR150" s="690">
        <f t="shared" si="478"/>
        <v>272757893.06306797</v>
      </c>
      <c r="BS150" s="690">
        <f t="shared" si="478"/>
        <v>278091728.85167193</v>
      </c>
      <c r="BT150" s="690">
        <f t="shared" si="478"/>
        <v>231852458</v>
      </c>
      <c r="BU150" s="690">
        <f t="shared" si="478"/>
        <v>278533560.31716239</v>
      </c>
      <c r="BV150" s="690">
        <f t="shared" si="478"/>
        <v>275363218.8877117</v>
      </c>
      <c r="BW150" s="690">
        <f t="shared" si="478"/>
        <v>298185179.29365683</v>
      </c>
      <c r="BX150" s="690">
        <f t="shared" si="478"/>
        <v>305543953.87704253</v>
      </c>
      <c r="BY150" s="690">
        <f t="shared" si="478"/>
        <v>321805524.56689703</v>
      </c>
      <c r="BZ150" s="690">
        <f t="shared" si="478"/>
        <v>312831578.98424667</v>
      </c>
      <c r="CA150" s="690">
        <f t="shared" si="478"/>
        <v>322902748.88117516</v>
      </c>
      <c r="CB150" s="690">
        <f t="shared" si="478"/>
        <v>328284149.9342829</v>
      </c>
      <c r="CC150" s="690">
        <f t="shared" si="478"/>
        <v>301372361.33225411</v>
      </c>
      <c r="CD150" s="690">
        <f t="shared" si="478"/>
        <v>340051005.91368407</v>
      </c>
      <c r="CE150" s="690">
        <f t="shared" si="478"/>
        <v>389801836.33157235</v>
      </c>
      <c r="CF150" s="690">
        <f t="shared" si="478"/>
        <v>377296304.1417616</v>
      </c>
      <c r="CG150" s="690">
        <f t="shared" si="478"/>
        <v>511408792.90617436</v>
      </c>
      <c r="CH150" s="690">
        <f t="shared" si="478"/>
        <v>463859744.50764561</v>
      </c>
      <c r="CI150" s="690">
        <f t="shared" si="478"/>
        <v>463692851.46933931</v>
      </c>
      <c r="CJ150" s="690">
        <f t="shared" si="478"/>
        <v>457837690.40383381</v>
      </c>
      <c r="CK150" s="690">
        <f t="shared" si="478"/>
        <v>465130672.15745705</v>
      </c>
      <c r="CL150" s="690">
        <f t="shared" si="478"/>
        <v>422840430</v>
      </c>
      <c r="CM150" s="690">
        <f t="shared" si="478"/>
        <v>451918104.03670436</v>
      </c>
      <c r="CN150" s="690">
        <f t="shared" si="478"/>
        <v>464918845.62749183</v>
      </c>
      <c r="CO150" s="690">
        <f t="shared" si="478"/>
        <v>448242146.97059989</v>
      </c>
      <c r="CP150" s="690">
        <f t="shared" si="478"/>
        <v>527734280.64499974</v>
      </c>
      <c r="CQ150" s="690">
        <f t="shared" si="478"/>
        <v>577401974.45063937</v>
      </c>
      <c r="CR150" s="690">
        <f t="shared" si="478"/>
        <v>476815410.4677586</v>
      </c>
      <c r="CS150" s="690">
        <f t="shared" si="478"/>
        <v>548884954.49144971</v>
      </c>
      <c r="CT150" s="690">
        <f t="shared" si="478"/>
        <v>518628007.2790212</v>
      </c>
      <c r="CU150" s="690">
        <f t="shared" si="478"/>
        <v>523906425.41995186</v>
      </c>
      <c r="CV150" s="690">
        <f t="shared" si="478"/>
        <v>523531626.49870235</v>
      </c>
      <c r="CW150" s="690">
        <f t="shared" si="478"/>
        <v>531433637.08837974</v>
      </c>
      <c r="CX150" s="690">
        <f t="shared" si="478"/>
        <v>500762592.03279406</v>
      </c>
      <c r="CY150" s="690">
        <f t="shared" si="478"/>
        <v>547799856.64960861</v>
      </c>
      <c r="CZ150" s="690">
        <f t="shared" si="478"/>
        <v>532651733.58244061</v>
      </c>
      <c r="DA150" s="690">
        <f t="shared" si="478"/>
        <v>533901063.31993902</v>
      </c>
      <c r="DB150" s="690">
        <f t="shared" si="478"/>
        <v>655367147.0482204</v>
      </c>
      <c r="DC150" s="690">
        <f t="shared" si="478"/>
        <v>706152400.87753022</v>
      </c>
      <c r="DD150" s="690">
        <f t="shared" si="478"/>
        <v>605393957.54828465</v>
      </c>
      <c r="DE150" s="690">
        <f t="shared" si="478"/>
        <v>654180283.79759693</v>
      </c>
      <c r="DF150" s="690">
        <f t="shared" si="478"/>
        <v>614314874.62200058</v>
      </c>
      <c r="DG150" s="690">
        <f t="shared" si="478"/>
        <v>620567160.90993297</v>
      </c>
      <c r="DH150" s="690">
        <f t="shared" si="478"/>
        <v>620123211.587713</v>
      </c>
      <c r="DI150" s="690">
        <f t="shared" si="478"/>
        <v>629483143.13118577</v>
      </c>
      <c r="DJ150" s="690">
        <f t="shared" si="478"/>
        <v>593153290.26284456</v>
      </c>
      <c r="DK150" s="690">
        <f t="shared" si="478"/>
        <v>648868930.20146143</v>
      </c>
      <c r="DL150" s="690">
        <f t="shared" si="478"/>
        <v>630925978.42840087</v>
      </c>
      <c r="DM150" s="690">
        <f t="shared" si="478"/>
        <v>632405809.50246775</v>
      </c>
      <c r="DN150" s="690">
        <f t="shared" si="478"/>
        <v>776282385.67861712</v>
      </c>
      <c r="DO150" s="690">
        <f t="shared" si="478"/>
        <v>836437518.8394345</v>
      </c>
      <c r="DP150" s="690">
        <f t="shared" si="478"/>
        <v>717089142.7159431</v>
      </c>
      <c r="DQ150" s="690">
        <f t="shared" si="478"/>
        <v>774876546.15825355</v>
      </c>
      <c r="DR150" s="690">
        <f t="shared" si="478"/>
        <v>727655968.98975968</v>
      </c>
      <c r="DS150" s="690">
        <f t="shared" si="478"/>
        <v>735061802.09781563</v>
      </c>
      <c r="DT150" s="690">
        <f t="shared" si="478"/>
        <v>734535944.125646</v>
      </c>
      <c r="DU150" s="690">
        <f t="shared" si="478"/>
        <v>745622783.03888953</v>
      </c>
      <c r="DV150" s="690">
        <f t="shared" si="478"/>
        <v>702590072.31633937</v>
      </c>
      <c r="DW150" s="690">
        <f t="shared" si="478"/>
        <v>768585247.82363105</v>
      </c>
      <c r="DX150" s="690">
        <f t="shared" si="478"/>
        <v>747331821.44844079</v>
      </c>
      <c r="DY150" s="690">
        <f t="shared" si="478"/>
        <v>749084681.35567296</v>
      </c>
      <c r="DZ150" s="690">
        <f t="shared" si="478"/>
        <v>919506485.83632195</v>
      </c>
      <c r="EA150" s="690">
        <f t="shared" ref="EA150:EC150" si="479">SUM(EA151:EA152)</f>
        <v>990760241.06531012</v>
      </c>
      <c r="EB150" s="690">
        <f t="shared" si="479"/>
        <v>849392089.5470345</v>
      </c>
      <c r="EC150" s="690">
        <f t="shared" si="479"/>
        <v>917841268.92445123</v>
      </c>
      <c r="ED150" s="113" t="s">
        <v>1</v>
      </c>
    </row>
    <row r="151" spans="1:134" x14ac:dyDescent="0.2">
      <c r="A151" s="713" t="s">
        <v>132</v>
      </c>
      <c r="B151" s="129">
        <v>0</v>
      </c>
      <c r="C151" s="129">
        <v>0</v>
      </c>
      <c r="D151" s="129">
        <v>0</v>
      </c>
      <c r="E151" s="129">
        <v>0</v>
      </c>
      <c r="F151" s="129">
        <v>0</v>
      </c>
      <c r="G151" s="129">
        <v>0</v>
      </c>
      <c r="H151" s="129">
        <v>0</v>
      </c>
      <c r="I151" s="129">
        <v>0</v>
      </c>
      <c r="J151" s="129">
        <v>0</v>
      </c>
      <c r="K151" s="129">
        <v>0</v>
      </c>
      <c r="L151" s="129">
        <v>0</v>
      </c>
      <c r="M151" s="129">
        <v>0</v>
      </c>
      <c r="N151" s="129">
        <v>0</v>
      </c>
      <c r="O151" s="129">
        <v>0</v>
      </c>
      <c r="P151" s="129">
        <v>0</v>
      </c>
      <c r="Q151" s="129">
        <v>0</v>
      </c>
      <c r="R151" s="129">
        <v>0</v>
      </c>
      <c r="S151" s="129">
        <v>0</v>
      </c>
      <c r="T151" s="129">
        <v>0</v>
      </c>
      <c r="U151" s="129">
        <v>0</v>
      </c>
      <c r="V151" s="129">
        <v>0</v>
      </c>
      <c r="W151" s="129">
        <v>0</v>
      </c>
      <c r="X151" s="129">
        <v>0</v>
      </c>
      <c r="Y151" s="129">
        <v>0</v>
      </c>
      <c r="Z151" s="129">
        <v>0</v>
      </c>
      <c r="AA151" s="129">
        <v>957075</v>
      </c>
      <c r="AB151" s="129">
        <v>1103510.0260000001</v>
      </c>
      <c r="AC151" s="129">
        <v>546932</v>
      </c>
      <c r="AD151" s="129">
        <v>577549.02</v>
      </c>
      <c r="AE151" s="129">
        <v>1008846.026</v>
      </c>
      <c r="AF151" s="129">
        <v>1579837.0260000001</v>
      </c>
      <c r="AG151" s="129">
        <v>875375.05</v>
      </c>
      <c r="AH151" s="129">
        <v>5354947</v>
      </c>
      <c r="AI151" s="129">
        <v>4242332</v>
      </c>
      <c r="AJ151" s="129">
        <v>3772001</v>
      </c>
      <c r="AK151" s="129">
        <v>5552748</v>
      </c>
      <c r="AL151" s="129">
        <v>3836476.0799999996</v>
      </c>
      <c r="AM151" s="129">
        <v>3785723.8999999966</v>
      </c>
      <c r="AN151" s="129">
        <v>5138666.8999999901</v>
      </c>
      <c r="AO151" s="129">
        <v>5903505</v>
      </c>
      <c r="AP151" s="129">
        <v>5544390</v>
      </c>
      <c r="AQ151" s="129">
        <v>6845178</v>
      </c>
      <c r="AR151" s="129">
        <v>4449624</v>
      </c>
      <c r="AS151" s="129">
        <v>14431400</v>
      </c>
      <c r="AT151" s="129">
        <v>16368535</v>
      </c>
      <c r="AU151" s="129">
        <v>24919559</v>
      </c>
      <c r="AV151" s="129">
        <v>27842886</v>
      </c>
      <c r="AW151" s="129">
        <v>29713649.399999999</v>
      </c>
      <c r="AX151" s="129">
        <v>24104799.209999993</v>
      </c>
      <c r="AY151" s="129">
        <v>28258584.179999996</v>
      </c>
      <c r="AZ151" s="129">
        <v>53877372.060000002</v>
      </c>
      <c r="BA151" s="129">
        <v>52522425.400000401</v>
      </c>
      <c r="BB151" s="129">
        <v>41784984.220000073</v>
      </c>
      <c r="BC151" s="129">
        <v>47330406.580000088</v>
      </c>
      <c r="BD151" s="129">
        <v>71201176.050000161</v>
      </c>
      <c r="BE151" s="129">
        <v>58230592.109999999</v>
      </c>
      <c r="BF151" s="129">
        <v>62072809.040000208</v>
      </c>
      <c r="BG151" s="129">
        <v>68883437.750000358</v>
      </c>
      <c r="BH151" s="129">
        <v>96146013.92000024</v>
      </c>
      <c r="BI151" s="129">
        <v>189086761.60000095</v>
      </c>
      <c r="BJ151" s="129">
        <v>229232773.04230279</v>
      </c>
      <c r="BK151" s="129">
        <v>223961114.9779605</v>
      </c>
      <c r="BL151" s="129">
        <v>254596340.13318229</v>
      </c>
      <c r="BM151" s="129">
        <v>218694752.89905122</v>
      </c>
      <c r="BN151" s="129">
        <v>222556498.25425178</v>
      </c>
      <c r="BO151" s="129">
        <v>255759965.27878931</v>
      </c>
      <c r="BP151" s="129">
        <v>387371877.53215408</v>
      </c>
      <c r="BQ151" s="129">
        <v>302891530.21127993</v>
      </c>
      <c r="BR151" s="129">
        <v>272757893.06306797</v>
      </c>
      <c r="BS151" s="129">
        <v>278091728.85167193</v>
      </c>
      <c r="BT151" s="129">
        <v>231852458</v>
      </c>
      <c r="BU151" s="129">
        <v>278533560.31716239</v>
      </c>
      <c r="BV151" s="129">
        <v>275363218.8877117</v>
      </c>
      <c r="BW151" s="129">
        <v>298185179.29365683</v>
      </c>
      <c r="BX151" s="129">
        <v>305543953.87704253</v>
      </c>
      <c r="BY151" s="129">
        <v>321805524.56689703</v>
      </c>
      <c r="BZ151" s="129">
        <v>312831578.98424667</v>
      </c>
      <c r="CA151" s="129">
        <v>322902748.88117516</v>
      </c>
      <c r="CB151" s="129">
        <v>328284149.9342829</v>
      </c>
      <c r="CC151" s="129">
        <v>301372361.33225411</v>
      </c>
      <c r="CD151" s="129">
        <v>340051005.91368407</v>
      </c>
      <c r="CE151" s="129">
        <v>389801836.33157235</v>
      </c>
      <c r="CF151" s="129">
        <v>377296304.1417616</v>
      </c>
      <c r="CG151" s="129">
        <v>511408792.90617436</v>
      </c>
      <c r="CH151" s="129">
        <v>463859744.50764561</v>
      </c>
      <c r="CI151" s="129">
        <v>463692851.46933931</v>
      </c>
      <c r="CJ151" s="129">
        <v>457837690.40383381</v>
      </c>
      <c r="CK151" s="129">
        <v>465130672.15745705</v>
      </c>
      <c r="CL151" s="129">
        <v>422840430</v>
      </c>
      <c r="CM151" s="129">
        <v>451918104.03670436</v>
      </c>
      <c r="CN151" s="129">
        <v>464918845.62749183</v>
      </c>
      <c r="CO151" s="129">
        <v>448242146.97059989</v>
      </c>
      <c r="CP151" s="129">
        <v>527734280.64499974</v>
      </c>
      <c r="CQ151" s="129">
        <v>577401974.45063937</v>
      </c>
      <c r="CR151" s="129">
        <v>476815410.4677586</v>
      </c>
      <c r="CS151" s="129">
        <v>548884954.49144971</v>
      </c>
      <c r="CT151" s="129">
        <f>CT158*CT162</f>
        <v>518628007.2790212</v>
      </c>
      <c r="CU151" s="129">
        <f t="shared" ref="CU151:DQ151" si="480">CU158*CU162</f>
        <v>523906425.41995186</v>
      </c>
      <c r="CV151" s="129">
        <f t="shared" si="480"/>
        <v>523531626.49870235</v>
      </c>
      <c r="CW151" s="129">
        <f t="shared" si="480"/>
        <v>531433637.08837974</v>
      </c>
      <c r="CX151" s="129">
        <f t="shared" si="480"/>
        <v>500762592.03279406</v>
      </c>
      <c r="CY151" s="129">
        <f t="shared" si="480"/>
        <v>547799856.64960861</v>
      </c>
      <c r="CZ151" s="129">
        <f t="shared" si="480"/>
        <v>532651733.58244061</v>
      </c>
      <c r="DA151" s="129">
        <f t="shared" si="480"/>
        <v>533901063.31993902</v>
      </c>
      <c r="DB151" s="129">
        <f t="shared" si="480"/>
        <v>655367147.0482204</v>
      </c>
      <c r="DC151" s="129">
        <f t="shared" si="480"/>
        <v>706152400.87753022</v>
      </c>
      <c r="DD151" s="129">
        <f t="shared" si="480"/>
        <v>605393957.54828465</v>
      </c>
      <c r="DE151" s="129">
        <f t="shared" si="480"/>
        <v>654180283.79759693</v>
      </c>
      <c r="DF151" s="129">
        <f t="shared" si="480"/>
        <v>614314874.62200058</v>
      </c>
      <c r="DG151" s="129">
        <f t="shared" si="480"/>
        <v>620567160.90993297</v>
      </c>
      <c r="DH151" s="129">
        <f t="shared" si="480"/>
        <v>620123211.587713</v>
      </c>
      <c r="DI151" s="129">
        <f t="shared" si="480"/>
        <v>629483143.13118577</v>
      </c>
      <c r="DJ151" s="129">
        <f t="shared" si="480"/>
        <v>593153290.26284456</v>
      </c>
      <c r="DK151" s="129">
        <f t="shared" si="480"/>
        <v>648868930.20146143</v>
      </c>
      <c r="DL151" s="129">
        <f t="shared" si="480"/>
        <v>630925978.42840087</v>
      </c>
      <c r="DM151" s="129">
        <f t="shared" si="480"/>
        <v>632405809.50246775</v>
      </c>
      <c r="DN151" s="129">
        <f t="shared" si="480"/>
        <v>776282385.67861712</v>
      </c>
      <c r="DO151" s="129">
        <f t="shared" si="480"/>
        <v>836437518.8394345</v>
      </c>
      <c r="DP151" s="129">
        <f t="shared" si="480"/>
        <v>717089142.7159431</v>
      </c>
      <c r="DQ151" s="129">
        <f t="shared" si="480"/>
        <v>774876546.15825355</v>
      </c>
      <c r="DR151" s="129">
        <f t="shared" ref="DR151:EC151" si="481">DR158*DR162</f>
        <v>727655968.98975968</v>
      </c>
      <c r="DS151" s="129">
        <f t="shared" si="481"/>
        <v>735061802.09781563</v>
      </c>
      <c r="DT151" s="129">
        <f t="shared" si="481"/>
        <v>734535944.125646</v>
      </c>
      <c r="DU151" s="129">
        <f t="shared" si="481"/>
        <v>745622783.03888953</v>
      </c>
      <c r="DV151" s="129">
        <f t="shared" si="481"/>
        <v>702590072.31633937</v>
      </c>
      <c r="DW151" s="129">
        <f t="shared" si="481"/>
        <v>768585247.82363105</v>
      </c>
      <c r="DX151" s="129">
        <f t="shared" si="481"/>
        <v>747331821.44844079</v>
      </c>
      <c r="DY151" s="129">
        <f t="shared" si="481"/>
        <v>749084681.35567296</v>
      </c>
      <c r="DZ151" s="129">
        <f t="shared" si="481"/>
        <v>919506485.83632195</v>
      </c>
      <c r="EA151" s="129">
        <f t="shared" si="481"/>
        <v>990760241.06531012</v>
      </c>
      <c r="EB151" s="129">
        <f t="shared" si="481"/>
        <v>849392089.5470345</v>
      </c>
      <c r="EC151" s="129">
        <f t="shared" si="481"/>
        <v>917841268.92445123</v>
      </c>
      <c r="ED151" s="113" t="s">
        <v>1</v>
      </c>
    </row>
    <row r="152" spans="1:134" x14ac:dyDescent="0.2">
      <c r="A152" s="713" t="s">
        <v>133</v>
      </c>
      <c r="B152" s="129">
        <v>0</v>
      </c>
      <c r="C152" s="129">
        <v>0</v>
      </c>
      <c r="D152" s="129">
        <v>0</v>
      </c>
      <c r="E152" s="129">
        <v>0</v>
      </c>
      <c r="F152" s="129">
        <v>0</v>
      </c>
      <c r="G152" s="129">
        <v>0</v>
      </c>
      <c r="H152" s="129">
        <v>0</v>
      </c>
      <c r="I152" s="129">
        <v>0</v>
      </c>
      <c r="J152" s="129">
        <v>0</v>
      </c>
      <c r="K152" s="129">
        <v>590804.63071428565</v>
      </c>
      <c r="L152" s="129">
        <v>3765480.3707142859</v>
      </c>
      <c r="M152" s="129">
        <v>20372817.199285716</v>
      </c>
      <c r="N152" s="129">
        <v>26331762.631428573</v>
      </c>
      <c r="O152" s="129">
        <v>28979750.864642859</v>
      </c>
      <c r="P152" s="129">
        <v>20037428.975000001</v>
      </c>
      <c r="Q152" s="129">
        <v>39843556.579642855</v>
      </c>
      <c r="R152" s="129">
        <v>26529236.465714287</v>
      </c>
      <c r="S152" s="129">
        <v>41731558.912857145</v>
      </c>
      <c r="T152" s="129">
        <v>34579467.400357142</v>
      </c>
      <c r="U152" s="129">
        <v>14310639.342857143</v>
      </c>
      <c r="V152" s="129">
        <v>19194474.905357141</v>
      </c>
      <c r="W152" s="129">
        <v>27559547.121071428</v>
      </c>
      <c r="X152" s="129">
        <v>24073865.376428571</v>
      </c>
      <c r="Y152" s="129">
        <v>21898913.805357143</v>
      </c>
      <c r="Z152" s="129">
        <v>0</v>
      </c>
      <c r="AA152" s="129">
        <v>25491090.739152543</v>
      </c>
      <c r="AB152" s="129">
        <v>20323908</v>
      </c>
      <c r="AC152" s="129">
        <v>13904666</v>
      </c>
      <c r="AD152" s="129">
        <v>13399075</v>
      </c>
      <c r="AE152" s="129">
        <v>16189956.999999998</v>
      </c>
      <c r="AF152" s="129">
        <v>28397673</v>
      </c>
      <c r="AG152" s="129">
        <v>22607296.949999999</v>
      </c>
      <c r="AH152" s="129">
        <v>32247147.950000003</v>
      </c>
      <c r="AI152" s="129">
        <v>46785124.450000003</v>
      </c>
      <c r="AJ152" s="129">
        <v>31169665</v>
      </c>
      <c r="AK152" s="129">
        <v>34150404</v>
      </c>
      <c r="AL152" s="129">
        <v>23345360</v>
      </c>
      <c r="AM152" s="129">
        <v>11637045</v>
      </c>
      <c r="AN152" s="129">
        <v>17525289</v>
      </c>
      <c r="AO152" s="129">
        <v>15320636</v>
      </c>
      <c r="AP152" s="129">
        <v>7195200</v>
      </c>
      <c r="AQ152" s="129">
        <v>8764457</v>
      </c>
      <c r="AR152" s="129">
        <v>18737089</v>
      </c>
      <c r="AS152" s="129">
        <v>32862729</v>
      </c>
      <c r="AT152" s="129">
        <v>47545658</v>
      </c>
      <c r="AU152" s="129">
        <v>44737330</v>
      </c>
      <c r="AV152" s="129">
        <v>31047761</v>
      </c>
      <c r="AW152" s="129">
        <v>10087306</v>
      </c>
      <c r="AX152" s="129">
        <v>4841205</v>
      </c>
      <c r="AY152" s="129">
        <v>12870149</v>
      </c>
      <c r="AZ152" s="129">
        <v>7346773</v>
      </c>
      <c r="BA152" s="129">
        <v>9632588</v>
      </c>
      <c r="BB152" s="129">
        <v>7503307</v>
      </c>
      <c r="BC152" s="129">
        <v>18738902</v>
      </c>
      <c r="BD152" s="129">
        <v>26829604.5</v>
      </c>
      <c r="BE152" s="129">
        <v>35046088</v>
      </c>
      <c r="BF152" s="129">
        <v>29577563.050000001</v>
      </c>
      <c r="BG152" s="129">
        <v>20457768</v>
      </c>
      <c r="BH152" s="129">
        <v>26310006</v>
      </c>
      <c r="BI152" s="129">
        <v>39708613</v>
      </c>
      <c r="BJ152" s="129">
        <v>22942080</v>
      </c>
      <c r="BK152" s="129">
        <v>0</v>
      </c>
      <c r="BL152" s="129">
        <v>0</v>
      </c>
      <c r="BM152" s="129">
        <v>0</v>
      </c>
      <c r="BN152" s="129">
        <v>0</v>
      </c>
      <c r="BO152" s="129">
        <v>0</v>
      </c>
      <c r="BP152" s="129">
        <v>0</v>
      </c>
      <c r="BQ152" s="129">
        <v>0</v>
      </c>
      <c r="BR152" s="129">
        <v>0</v>
      </c>
      <c r="BS152" s="129">
        <v>0</v>
      </c>
      <c r="BT152" s="129">
        <v>0</v>
      </c>
      <c r="BU152" s="129">
        <v>0</v>
      </c>
      <c r="BV152" s="129">
        <v>0</v>
      </c>
      <c r="BW152" s="129">
        <v>0</v>
      </c>
      <c r="BX152" s="129">
        <v>0</v>
      </c>
      <c r="BY152" s="129">
        <v>0</v>
      </c>
      <c r="BZ152" s="129">
        <v>0</v>
      </c>
      <c r="CA152" s="129">
        <v>0</v>
      </c>
      <c r="CB152" s="129">
        <v>0</v>
      </c>
      <c r="CC152" s="129">
        <v>0</v>
      </c>
      <c r="CD152" s="129">
        <v>0</v>
      </c>
      <c r="CE152" s="129">
        <v>0</v>
      </c>
      <c r="CF152" s="129">
        <v>0</v>
      </c>
      <c r="CG152" s="129">
        <v>0</v>
      </c>
      <c r="CH152" s="129">
        <v>0</v>
      </c>
      <c r="CI152" s="129">
        <v>0</v>
      </c>
      <c r="CJ152" s="129">
        <v>0</v>
      </c>
      <c r="CK152" s="129">
        <v>0</v>
      </c>
      <c r="CL152" s="129">
        <v>0</v>
      </c>
      <c r="CM152" s="129">
        <v>0</v>
      </c>
      <c r="CN152" s="129">
        <v>0</v>
      </c>
      <c r="CO152" s="129">
        <v>0</v>
      </c>
      <c r="CP152" s="129">
        <v>0</v>
      </c>
      <c r="CQ152" s="129">
        <v>0</v>
      </c>
      <c r="CR152" s="129">
        <v>0</v>
      </c>
      <c r="CS152" s="129">
        <v>0</v>
      </c>
      <c r="CT152" s="129">
        <v>0</v>
      </c>
      <c r="CU152" s="129">
        <v>0</v>
      </c>
      <c r="CV152" s="129">
        <v>0</v>
      </c>
      <c r="CW152" s="129">
        <v>0</v>
      </c>
      <c r="CX152" s="129">
        <v>0</v>
      </c>
      <c r="CY152" s="129">
        <v>0</v>
      </c>
      <c r="CZ152" s="129">
        <v>0</v>
      </c>
      <c r="DA152" s="129">
        <v>0</v>
      </c>
      <c r="DB152" s="129">
        <v>0</v>
      </c>
      <c r="DC152" s="129">
        <v>0</v>
      </c>
      <c r="DD152" s="129">
        <v>0</v>
      </c>
      <c r="DE152" s="129">
        <v>0</v>
      </c>
      <c r="DF152" s="129">
        <v>0</v>
      </c>
      <c r="DG152" s="129">
        <v>0</v>
      </c>
      <c r="DH152" s="129">
        <v>0</v>
      </c>
      <c r="DI152" s="129">
        <v>0</v>
      </c>
      <c r="DJ152" s="129">
        <v>0</v>
      </c>
      <c r="DK152" s="129">
        <v>0</v>
      </c>
      <c r="DL152" s="129">
        <v>0</v>
      </c>
      <c r="DM152" s="129">
        <v>0</v>
      </c>
      <c r="DN152" s="129">
        <v>0</v>
      </c>
      <c r="DO152" s="129">
        <v>0</v>
      </c>
      <c r="DP152" s="129">
        <v>0</v>
      </c>
      <c r="DQ152" s="129">
        <v>0</v>
      </c>
      <c r="DR152" s="129">
        <v>0</v>
      </c>
      <c r="DS152" s="129">
        <v>0</v>
      </c>
      <c r="DT152" s="129">
        <v>0</v>
      </c>
      <c r="DU152" s="129">
        <v>0</v>
      </c>
      <c r="DV152" s="129">
        <v>0</v>
      </c>
      <c r="DW152" s="129">
        <v>0</v>
      </c>
      <c r="DX152" s="129">
        <v>0</v>
      </c>
      <c r="DY152" s="129">
        <v>0</v>
      </c>
      <c r="DZ152" s="129">
        <v>0</v>
      </c>
      <c r="EA152" s="129">
        <v>0</v>
      </c>
      <c r="EB152" s="129">
        <v>0</v>
      </c>
      <c r="EC152" s="129">
        <v>0</v>
      </c>
      <c r="ED152" s="113" t="s">
        <v>1</v>
      </c>
    </row>
    <row r="153" spans="1:134" x14ac:dyDescent="0.2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  <c r="BN153" s="130"/>
      <c r="BO153" s="130"/>
      <c r="BP153" s="130"/>
      <c r="BQ153" s="130"/>
      <c r="BR153" s="130"/>
      <c r="BS153" s="130"/>
      <c r="BT153" s="130"/>
      <c r="BU153" s="130"/>
      <c r="BV153" s="130"/>
      <c r="BW153" s="130"/>
      <c r="BX153" s="130"/>
      <c r="BY153" s="130"/>
      <c r="BZ153" s="130"/>
      <c r="CA153" s="130"/>
      <c r="CB153" s="130"/>
      <c r="CC153" s="130"/>
      <c r="CD153" s="130"/>
      <c r="CE153" s="130"/>
      <c r="CF153" s="130"/>
      <c r="CG153" s="130"/>
      <c r="CH153" s="130"/>
      <c r="CI153" s="130"/>
      <c r="CJ153" s="130"/>
      <c r="CK153" s="130"/>
      <c r="CL153" s="130"/>
      <c r="CM153" s="130"/>
      <c r="CN153" s="130"/>
      <c r="CO153" s="130"/>
      <c r="CP153" s="130"/>
      <c r="CQ153" s="130"/>
      <c r="CR153" s="130"/>
      <c r="CS153" s="130"/>
      <c r="CT153" s="115"/>
      <c r="CU153" s="115"/>
      <c r="CV153" s="115"/>
      <c r="CW153" s="115"/>
      <c r="CX153" s="115"/>
      <c r="CY153" s="115"/>
      <c r="CZ153" s="115"/>
      <c r="DA153" s="115"/>
      <c r="DB153" s="115"/>
      <c r="DC153" s="115"/>
      <c r="DD153" s="115"/>
      <c r="DE153" s="115"/>
      <c r="DF153" s="115"/>
      <c r="DG153" s="115"/>
      <c r="DH153" s="115"/>
      <c r="DI153" s="115"/>
      <c r="DJ153" s="115"/>
      <c r="DK153" s="115"/>
      <c r="DL153" s="115"/>
      <c r="DM153" s="115"/>
      <c r="DN153" s="115"/>
      <c r="DO153" s="115"/>
      <c r="DP153" s="115"/>
      <c r="DQ153" s="115"/>
      <c r="DR153" s="115"/>
      <c r="DS153" s="115"/>
      <c r="DT153" s="115"/>
      <c r="DU153" s="115"/>
      <c r="DV153" s="115"/>
      <c r="DW153" s="115"/>
      <c r="DX153" s="115"/>
      <c r="DY153" s="115"/>
      <c r="DZ153" s="115"/>
      <c r="EA153" s="115"/>
      <c r="EB153" s="115"/>
      <c r="EC153" s="645"/>
      <c r="ED153" s="113" t="s">
        <v>1</v>
      </c>
    </row>
    <row r="154" spans="1:134" x14ac:dyDescent="0.2">
      <c r="A154" s="682" t="s">
        <v>599</v>
      </c>
      <c r="B154" s="131">
        <f>SUM(B155:B156)</f>
        <v>0</v>
      </c>
      <c r="C154" s="131">
        <f t="shared" ref="C154:BN154" si="482">SUM(C155:C156)</f>
        <v>0</v>
      </c>
      <c r="D154" s="131">
        <f t="shared" si="482"/>
        <v>0</v>
      </c>
      <c r="E154" s="131">
        <f t="shared" si="482"/>
        <v>0</v>
      </c>
      <c r="F154" s="131">
        <f t="shared" si="482"/>
        <v>0</v>
      </c>
      <c r="G154" s="131">
        <f t="shared" si="482"/>
        <v>0</v>
      </c>
      <c r="H154" s="131">
        <f t="shared" si="482"/>
        <v>0</v>
      </c>
      <c r="I154" s="131">
        <f t="shared" si="482"/>
        <v>0</v>
      </c>
      <c r="J154" s="131">
        <f t="shared" si="482"/>
        <v>0</v>
      </c>
      <c r="K154" s="131">
        <f t="shared" si="482"/>
        <v>0</v>
      </c>
      <c r="L154" s="131">
        <f t="shared" si="482"/>
        <v>0</v>
      </c>
      <c r="M154" s="131">
        <f t="shared" si="482"/>
        <v>0</v>
      </c>
      <c r="N154" s="131">
        <f t="shared" si="482"/>
        <v>0</v>
      </c>
      <c r="O154" s="131">
        <f t="shared" si="482"/>
        <v>0</v>
      </c>
      <c r="P154" s="131">
        <f t="shared" si="482"/>
        <v>0</v>
      </c>
      <c r="Q154" s="131">
        <f t="shared" si="482"/>
        <v>0</v>
      </c>
      <c r="R154" s="131">
        <f t="shared" si="482"/>
        <v>0</v>
      </c>
      <c r="S154" s="131">
        <f t="shared" si="482"/>
        <v>0</v>
      </c>
      <c r="T154" s="131">
        <f t="shared" si="482"/>
        <v>0</v>
      </c>
      <c r="U154" s="131">
        <f t="shared" si="482"/>
        <v>0</v>
      </c>
      <c r="V154" s="131">
        <f t="shared" si="482"/>
        <v>0</v>
      </c>
      <c r="W154" s="131">
        <f t="shared" si="482"/>
        <v>0</v>
      </c>
      <c r="X154" s="131">
        <f t="shared" si="482"/>
        <v>0</v>
      </c>
      <c r="Y154" s="131">
        <f t="shared" si="482"/>
        <v>0</v>
      </c>
      <c r="Z154" s="131">
        <f t="shared" si="482"/>
        <v>0</v>
      </c>
      <c r="AA154" s="131">
        <f t="shared" si="482"/>
        <v>0</v>
      </c>
      <c r="AB154" s="131">
        <f t="shared" si="482"/>
        <v>0</v>
      </c>
      <c r="AC154" s="131">
        <f t="shared" si="482"/>
        <v>0</v>
      </c>
      <c r="AD154" s="131">
        <f t="shared" si="482"/>
        <v>0</v>
      </c>
      <c r="AE154" s="131">
        <f t="shared" si="482"/>
        <v>0</v>
      </c>
      <c r="AF154" s="131">
        <f t="shared" si="482"/>
        <v>0</v>
      </c>
      <c r="AG154" s="131">
        <f t="shared" si="482"/>
        <v>0</v>
      </c>
      <c r="AH154" s="131">
        <f t="shared" si="482"/>
        <v>0</v>
      </c>
      <c r="AI154" s="131">
        <f t="shared" si="482"/>
        <v>0</v>
      </c>
      <c r="AJ154" s="131">
        <f t="shared" si="482"/>
        <v>0</v>
      </c>
      <c r="AK154" s="131">
        <f t="shared" si="482"/>
        <v>0</v>
      </c>
      <c r="AL154" s="131">
        <f t="shared" si="482"/>
        <v>0</v>
      </c>
      <c r="AM154" s="131">
        <f t="shared" si="482"/>
        <v>0</v>
      </c>
      <c r="AN154" s="131">
        <f t="shared" si="482"/>
        <v>0</v>
      </c>
      <c r="AO154" s="131">
        <f t="shared" si="482"/>
        <v>0</v>
      </c>
      <c r="AP154" s="131">
        <f t="shared" si="482"/>
        <v>0</v>
      </c>
      <c r="AQ154" s="131">
        <f t="shared" si="482"/>
        <v>0</v>
      </c>
      <c r="AR154" s="131">
        <f t="shared" si="482"/>
        <v>0</v>
      </c>
      <c r="AS154" s="131">
        <f t="shared" si="482"/>
        <v>0</v>
      </c>
      <c r="AT154" s="131">
        <f t="shared" si="482"/>
        <v>0</v>
      </c>
      <c r="AU154" s="131">
        <f t="shared" si="482"/>
        <v>0</v>
      </c>
      <c r="AV154" s="131">
        <f t="shared" si="482"/>
        <v>0</v>
      </c>
      <c r="AW154" s="131">
        <f t="shared" si="482"/>
        <v>0</v>
      </c>
      <c r="AX154" s="131">
        <f t="shared" si="482"/>
        <v>0</v>
      </c>
      <c r="AY154" s="131">
        <f t="shared" si="482"/>
        <v>0</v>
      </c>
      <c r="AZ154" s="131">
        <f t="shared" si="482"/>
        <v>0</v>
      </c>
      <c r="BA154" s="131">
        <f t="shared" si="482"/>
        <v>0</v>
      </c>
      <c r="BB154" s="131">
        <f t="shared" si="482"/>
        <v>0</v>
      </c>
      <c r="BC154" s="131">
        <f t="shared" si="482"/>
        <v>0</v>
      </c>
      <c r="BD154" s="131">
        <f t="shared" si="482"/>
        <v>0</v>
      </c>
      <c r="BE154" s="131">
        <f t="shared" si="482"/>
        <v>0</v>
      </c>
      <c r="BF154" s="131">
        <f t="shared" si="482"/>
        <v>0</v>
      </c>
      <c r="BG154" s="131">
        <f t="shared" si="482"/>
        <v>0</v>
      </c>
      <c r="BH154" s="131">
        <f t="shared" si="482"/>
        <v>0</v>
      </c>
      <c r="BI154" s="131">
        <f t="shared" si="482"/>
        <v>0</v>
      </c>
      <c r="BJ154" s="131">
        <f t="shared" si="482"/>
        <v>0</v>
      </c>
      <c r="BK154" s="131">
        <f t="shared" si="482"/>
        <v>0</v>
      </c>
      <c r="BL154" s="131">
        <f t="shared" si="482"/>
        <v>0</v>
      </c>
      <c r="BM154" s="131">
        <f t="shared" si="482"/>
        <v>0</v>
      </c>
      <c r="BN154" s="131">
        <f t="shared" si="482"/>
        <v>0</v>
      </c>
      <c r="BO154" s="131">
        <f t="shared" ref="BO154:CG154" si="483">SUM(BO155:BO156)</f>
        <v>0</v>
      </c>
      <c r="BP154" s="131">
        <f t="shared" si="483"/>
        <v>0</v>
      </c>
      <c r="BQ154" s="131">
        <f t="shared" si="483"/>
        <v>0</v>
      </c>
      <c r="BR154" s="131">
        <f t="shared" si="483"/>
        <v>0</v>
      </c>
      <c r="BS154" s="131">
        <f t="shared" si="483"/>
        <v>0</v>
      </c>
      <c r="BT154" s="131">
        <f t="shared" si="483"/>
        <v>0</v>
      </c>
      <c r="BU154" s="131">
        <f t="shared" si="483"/>
        <v>0</v>
      </c>
      <c r="BV154" s="131">
        <f t="shared" si="483"/>
        <v>0</v>
      </c>
      <c r="BW154" s="131">
        <f t="shared" si="483"/>
        <v>0</v>
      </c>
      <c r="BX154" s="131">
        <f t="shared" si="483"/>
        <v>0</v>
      </c>
      <c r="BY154" s="131">
        <f t="shared" si="483"/>
        <v>0</v>
      </c>
      <c r="BZ154" s="131">
        <f t="shared" si="483"/>
        <v>0</v>
      </c>
      <c r="CA154" s="131">
        <f t="shared" si="483"/>
        <v>0</v>
      </c>
      <c r="CB154" s="131">
        <f t="shared" si="483"/>
        <v>0</v>
      </c>
      <c r="CC154" s="131">
        <f t="shared" si="483"/>
        <v>0</v>
      </c>
      <c r="CD154" s="131">
        <f t="shared" si="483"/>
        <v>0</v>
      </c>
      <c r="CE154" s="131">
        <f t="shared" si="483"/>
        <v>0</v>
      </c>
      <c r="CF154" s="131">
        <f t="shared" si="483"/>
        <v>0</v>
      </c>
      <c r="CG154" s="131">
        <f t="shared" si="483"/>
        <v>0</v>
      </c>
      <c r="CH154" s="131">
        <f>SUM(CH155:CH156)</f>
        <v>463859744.50764561</v>
      </c>
      <c r="CI154" s="131">
        <f t="shared" ref="CI154:CS154" si="484">SUM(CI155:CI156)</f>
        <v>463692851.46933931</v>
      </c>
      <c r="CJ154" s="131">
        <f t="shared" si="484"/>
        <v>457837690.40383381</v>
      </c>
      <c r="CK154" s="131">
        <f t="shared" si="484"/>
        <v>465130672.15745705</v>
      </c>
      <c r="CL154" s="131">
        <f t="shared" si="484"/>
        <v>422840429.50949383</v>
      </c>
      <c r="CM154" s="131">
        <f t="shared" si="484"/>
        <v>451918104.03670436</v>
      </c>
      <c r="CN154" s="131">
        <f t="shared" si="484"/>
        <v>464918845.62749183</v>
      </c>
      <c r="CO154" s="131">
        <f t="shared" si="484"/>
        <v>448242146.97059989</v>
      </c>
      <c r="CP154" s="131">
        <f t="shared" si="484"/>
        <v>527734280.64499974</v>
      </c>
      <c r="CQ154" s="131">
        <f t="shared" si="484"/>
        <v>577401974.45063937</v>
      </c>
      <c r="CR154" s="131">
        <f t="shared" si="484"/>
        <v>476815410.4677586</v>
      </c>
      <c r="CS154" s="131">
        <f t="shared" si="484"/>
        <v>548884954.49144971</v>
      </c>
      <c r="CT154" s="131">
        <f t="shared" ref="CT154" si="485">SUM(CT155:CT156)</f>
        <v>518628007.2790212</v>
      </c>
      <c r="CU154" s="131">
        <f t="shared" ref="CU154" si="486">SUM(CU155:CU156)</f>
        <v>523906425.41995186</v>
      </c>
      <c r="CV154" s="131">
        <f t="shared" ref="CV154" si="487">SUM(CV155:CV156)</f>
        <v>523531626.49870235</v>
      </c>
      <c r="CW154" s="131">
        <f t="shared" ref="CW154" si="488">SUM(CW155:CW156)</f>
        <v>531433637.08837974</v>
      </c>
      <c r="CX154" s="131">
        <f t="shared" ref="CX154" si="489">SUM(CX155:CX156)</f>
        <v>500762592.03279406</v>
      </c>
      <c r="CY154" s="131">
        <f t="shared" ref="CY154" si="490">SUM(CY155:CY156)</f>
        <v>547799856.64960861</v>
      </c>
      <c r="CZ154" s="131">
        <f t="shared" ref="CZ154" si="491">SUM(CZ155:CZ156)</f>
        <v>532651733.58244061</v>
      </c>
      <c r="DA154" s="131">
        <f t="shared" ref="DA154" si="492">SUM(DA155:DA156)</f>
        <v>533901063.31993902</v>
      </c>
      <c r="DB154" s="131">
        <f t="shared" ref="DB154" si="493">SUM(DB155:DB156)</f>
        <v>655367147.0482204</v>
      </c>
      <c r="DC154" s="131">
        <f t="shared" ref="DC154" si="494">SUM(DC155:DC156)</f>
        <v>706152400.87753022</v>
      </c>
      <c r="DD154" s="131">
        <f t="shared" ref="DD154" si="495">SUM(DD155:DD156)</f>
        <v>605393957.54828465</v>
      </c>
      <c r="DE154" s="131">
        <f t="shared" ref="DE154" si="496">SUM(DE155:DE156)</f>
        <v>654180283.79759693</v>
      </c>
      <c r="DF154" s="131">
        <f t="shared" ref="DF154" si="497">SUM(DF155:DF156)</f>
        <v>614314874.62200058</v>
      </c>
      <c r="DG154" s="131">
        <f t="shared" ref="DG154" si="498">SUM(DG155:DG156)</f>
        <v>620567160.90993297</v>
      </c>
      <c r="DH154" s="131">
        <f t="shared" ref="DH154" si="499">SUM(DH155:DH156)</f>
        <v>620123211.587713</v>
      </c>
      <c r="DI154" s="131">
        <f t="shared" ref="DI154" si="500">SUM(DI155:DI156)</f>
        <v>629483143.13118577</v>
      </c>
      <c r="DJ154" s="131">
        <f t="shared" ref="DJ154" si="501">SUM(DJ155:DJ156)</f>
        <v>593153290.26284456</v>
      </c>
      <c r="DK154" s="131">
        <f t="shared" ref="DK154" si="502">SUM(DK155:DK156)</f>
        <v>648868930.20146143</v>
      </c>
      <c r="DL154" s="131">
        <f t="shared" ref="DL154" si="503">SUM(DL155:DL156)</f>
        <v>630925978.42840087</v>
      </c>
      <c r="DM154" s="131">
        <f t="shared" ref="DM154" si="504">SUM(DM155:DM156)</f>
        <v>632405809.50246775</v>
      </c>
      <c r="DN154" s="131">
        <f t="shared" ref="DN154" si="505">SUM(DN155:DN156)</f>
        <v>776282385.67861712</v>
      </c>
      <c r="DO154" s="131">
        <f t="shared" ref="DO154" si="506">SUM(DO155:DO156)</f>
        <v>836437518.8394345</v>
      </c>
      <c r="DP154" s="131">
        <f t="shared" ref="DP154" si="507">SUM(DP155:DP156)</f>
        <v>717089142.7159431</v>
      </c>
      <c r="DQ154" s="131">
        <f t="shared" ref="DQ154:EC154" si="508">SUM(DQ155:DQ156)</f>
        <v>774876546.15825355</v>
      </c>
      <c r="DR154" s="131">
        <f t="shared" si="508"/>
        <v>727655968.98975968</v>
      </c>
      <c r="DS154" s="131">
        <f t="shared" si="508"/>
        <v>735061802.09781563</v>
      </c>
      <c r="DT154" s="131">
        <f t="shared" si="508"/>
        <v>734535944.125646</v>
      </c>
      <c r="DU154" s="131">
        <f t="shared" si="508"/>
        <v>745622783.03888953</v>
      </c>
      <c r="DV154" s="131">
        <f t="shared" si="508"/>
        <v>702590072.31633937</v>
      </c>
      <c r="DW154" s="131">
        <f t="shared" si="508"/>
        <v>768585247.82363105</v>
      </c>
      <c r="DX154" s="131">
        <f t="shared" si="508"/>
        <v>747331821.44844079</v>
      </c>
      <c r="DY154" s="131">
        <f t="shared" si="508"/>
        <v>749084681.35567296</v>
      </c>
      <c r="DZ154" s="131">
        <f t="shared" si="508"/>
        <v>919506485.83632195</v>
      </c>
      <c r="EA154" s="131">
        <f t="shared" si="508"/>
        <v>990760241.06531012</v>
      </c>
      <c r="EB154" s="131">
        <f t="shared" si="508"/>
        <v>849392089.5470345</v>
      </c>
      <c r="EC154" s="131">
        <f t="shared" si="508"/>
        <v>917841268.92445123</v>
      </c>
      <c r="ED154" s="113" t="s">
        <v>1</v>
      </c>
    </row>
    <row r="155" spans="1:134" x14ac:dyDescent="0.2">
      <c r="A155" s="713" t="s">
        <v>139</v>
      </c>
      <c r="B155" s="130">
        <v>0</v>
      </c>
      <c r="C155" s="130">
        <v>0</v>
      </c>
      <c r="D155" s="130">
        <v>0</v>
      </c>
      <c r="E155" s="130">
        <v>0</v>
      </c>
      <c r="F155" s="130">
        <v>0</v>
      </c>
      <c r="G155" s="130">
        <v>0</v>
      </c>
      <c r="H155" s="130">
        <v>0</v>
      </c>
      <c r="I155" s="130">
        <v>0</v>
      </c>
      <c r="J155" s="130">
        <v>0</v>
      </c>
      <c r="K155" s="130">
        <v>0</v>
      </c>
      <c r="L155" s="130">
        <v>0</v>
      </c>
      <c r="M155" s="130">
        <v>0</v>
      </c>
      <c r="N155" s="130">
        <v>0</v>
      </c>
      <c r="O155" s="130">
        <v>0</v>
      </c>
      <c r="P155" s="130">
        <v>0</v>
      </c>
      <c r="Q155" s="130">
        <v>0</v>
      </c>
      <c r="R155" s="130">
        <v>0</v>
      </c>
      <c r="S155" s="130">
        <v>0</v>
      </c>
      <c r="T155" s="130">
        <v>0</v>
      </c>
      <c r="U155" s="130">
        <v>0</v>
      </c>
      <c r="V155" s="130">
        <v>0</v>
      </c>
      <c r="W155" s="130">
        <v>0</v>
      </c>
      <c r="X155" s="130">
        <v>0</v>
      </c>
      <c r="Y155" s="130">
        <v>0</v>
      </c>
      <c r="Z155" s="130">
        <v>0</v>
      </c>
      <c r="AA155" s="130">
        <v>0</v>
      </c>
      <c r="AB155" s="130">
        <v>0</v>
      </c>
      <c r="AC155" s="130">
        <v>0</v>
      </c>
      <c r="AD155" s="130">
        <v>0</v>
      </c>
      <c r="AE155" s="130">
        <v>0</v>
      </c>
      <c r="AF155" s="130">
        <v>0</v>
      </c>
      <c r="AG155" s="130">
        <v>0</v>
      </c>
      <c r="AH155" s="130">
        <v>0</v>
      </c>
      <c r="AI155" s="130">
        <v>0</v>
      </c>
      <c r="AJ155" s="130">
        <v>0</v>
      </c>
      <c r="AK155" s="130">
        <v>0</v>
      </c>
      <c r="AL155" s="130">
        <v>0</v>
      </c>
      <c r="AM155" s="130">
        <v>0</v>
      </c>
      <c r="AN155" s="130">
        <v>0</v>
      </c>
      <c r="AO155" s="130">
        <v>0</v>
      </c>
      <c r="AP155" s="130">
        <v>0</v>
      </c>
      <c r="AQ155" s="130">
        <v>0</v>
      </c>
      <c r="AR155" s="130">
        <v>0</v>
      </c>
      <c r="AS155" s="130">
        <v>0</v>
      </c>
      <c r="AT155" s="130">
        <v>0</v>
      </c>
      <c r="AU155" s="130">
        <v>0</v>
      </c>
      <c r="AV155" s="130">
        <v>0</v>
      </c>
      <c r="AW155" s="130">
        <v>0</v>
      </c>
      <c r="AX155" s="130">
        <v>0</v>
      </c>
      <c r="AY155" s="130">
        <v>0</v>
      </c>
      <c r="AZ155" s="130">
        <v>0</v>
      </c>
      <c r="BA155" s="130">
        <v>0</v>
      </c>
      <c r="BB155" s="130">
        <v>0</v>
      </c>
      <c r="BC155" s="130">
        <v>0</v>
      </c>
      <c r="BD155" s="130">
        <v>0</v>
      </c>
      <c r="BE155" s="130">
        <v>0</v>
      </c>
      <c r="BF155" s="130">
        <v>0</v>
      </c>
      <c r="BG155" s="130">
        <v>0</v>
      </c>
      <c r="BH155" s="130">
        <v>0</v>
      </c>
      <c r="BI155" s="130">
        <v>0</v>
      </c>
      <c r="BJ155" s="130">
        <v>0</v>
      </c>
      <c r="BK155" s="130">
        <v>0</v>
      </c>
      <c r="BL155" s="130">
        <v>0</v>
      </c>
      <c r="BM155" s="130">
        <v>0</v>
      </c>
      <c r="BN155" s="130">
        <v>0</v>
      </c>
      <c r="BO155" s="130">
        <v>0</v>
      </c>
      <c r="BP155" s="130">
        <v>0</v>
      </c>
      <c r="BQ155" s="130">
        <v>0</v>
      </c>
      <c r="BR155" s="130">
        <v>0</v>
      </c>
      <c r="BS155" s="130">
        <v>0</v>
      </c>
      <c r="BT155" s="130">
        <v>0</v>
      </c>
      <c r="BU155" s="130">
        <v>0</v>
      </c>
      <c r="BV155" s="130">
        <v>0</v>
      </c>
      <c r="BW155" s="130">
        <v>0</v>
      </c>
      <c r="BX155" s="130">
        <v>0</v>
      </c>
      <c r="BY155" s="130">
        <v>0</v>
      </c>
      <c r="BZ155" s="130">
        <v>0</v>
      </c>
      <c r="CA155" s="130">
        <v>0</v>
      </c>
      <c r="CB155" s="130">
        <v>0</v>
      </c>
      <c r="CC155" s="130">
        <v>0</v>
      </c>
      <c r="CD155" s="130">
        <v>0</v>
      </c>
      <c r="CE155" s="130">
        <v>0</v>
      </c>
      <c r="CF155" s="130">
        <v>0</v>
      </c>
      <c r="CG155" s="130">
        <v>0</v>
      </c>
      <c r="CH155" s="129">
        <v>461076962.50764561</v>
      </c>
      <c r="CI155" s="129">
        <v>460732592.46933931</v>
      </c>
      <c r="CJ155" s="129">
        <v>454945054.11811954</v>
      </c>
      <c r="CK155" s="129">
        <v>461745975.87174278</v>
      </c>
      <c r="CL155" s="129">
        <v>419345811.50949383</v>
      </c>
      <c r="CM155" s="129">
        <v>447746421.03670436</v>
      </c>
      <c r="CN155" s="129">
        <v>460971611.62749183</v>
      </c>
      <c r="CO155" s="129">
        <v>444816146.97059989</v>
      </c>
      <c r="CP155" s="129">
        <v>522898280.64499974</v>
      </c>
      <c r="CQ155" s="129">
        <v>570193974.45063937</v>
      </c>
      <c r="CR155" s="129">
        <v>470731410.4677586</v>
      </c>
      <c r="CS155" s="129">
        <v>541999954.49144971</v>
      </c>
      <c r="CT155" s="129">
        <f>SUM(CH155:CS155)/SUM(CH150:CS150)*CT150</f>
        <v>513946923.5717504</v>
      </c>
      <c r="CU155" s="129">
        <f t="shared" ref="CU155:DQ155" si="509">CT155/CT150*CU150</f>
        <v>519177699.24676543</v>
      </c>
      <c r="CV155" s="129">
        <f t="shared" si="509"/>
        <v>518806283.22250402</v>
      </c>
      <c r="CW155" s="129">
        <f t="shared" si="509"/>
        <v>526636971.06734914</v>
      </c>
      <c r="CX155" s="129">
        <f t="shared" si="509"/>
        <v>496242759.74862224</v>
      </c>
      <c r="CY155" s="129">
        <f t="shared" si="509"/>
        <v>542855470.7934314</v>
      </c>
      <c r="CZ155" s="129">
        <f t="shared" si="509"/>
        <v>527844073.14619875</v>
      </c>
      <c r="DA155" s="129">
        <f t="shared" si="509"/>
        <v>529082126.56040353</v>
      </c>
      <c r="DB155" s="129">
        <f t="shared" si="509"/>
        <v>649451869.75646114</v>
      </c>
      <c r="DC155" s="129">
        <f t="shared" si="509"/>
        <v>699778741.04388463</v>
      </c>
      <c r="DD155" s="129">
        <f t="shared" si="509"/>
        <v>599929733.18827081</v>
      </c>
      <c r="DE155" s="129">
        <f t="shared" si="509"/>
        <v>648275719.01296663</v>
      </c>
      <c r="DF155" s="129">
        <f t="shared" si="509"/>
        <v>608770130.97073841</v>
      </c>
      <c r="DG155" s="129">
        <f t="shared" si="509"/>
        <v>614965984.75779378</v>
      </c>
      <c r="DH155" s="129">
        <f t="shared" si="509"/>
        <v>614526042.47705626</v>
      </c>
      <c r="DI155" s="129">
        <f t="shared" si="509"/>
        <v>623801492.22927523</v>
      </c>
      <c r="DJ155" s="129">
        <f t="shared" si="509"/>
        <v>587799548.92224324</v>
      </c>
      <c r="DK155" s="129">
        <f t="shared" si="509"/>
        <v>643012305.15481973</v>
      </c>
      <c r="DL155" s="129">
        <f t="shared" si="509"/>
        <v>625231304.64167261</v>
      </c>
      <c r="DM155" s="129">
        <f t="shared" si="509"/>
        <v>626697778.91079819</v>
      </c>
      <c r="DN155" s="129">
        <f t="shared" si="509"/>
        <v>769275739.72652853</v>
      </c>
      <c r="DO155" s="129">
        <f t="shared" si="509"/>
        <v>828887918.76648164</v>
      </c>
      <c r="DP155" s="129">
        <f t="shared" si="509"/>
        <v>710616768.96150696</v>
      </c>
      <c r="DQ155" s="129">
        <f t="shared" si="509"/>
        <v>767882589.1708591</v>
      </c>
      <c r="DR155" s="129">
        <f t="shared" ref="DR155" si="510">DQ155/DQ150*DR150</f>
        <v>721088220.13483965</v>
      </c>
      <c r="DS155" s="129">
        <f t="shared" ref="DS155" si="511">DR155/DR150*DS150</f>
        <v>728427208.94560683</v>
      </c>
      <c r="DT155" s="129">
        <f t="shared" ref="DT155" si="512">DS155/DS150*DT150</f>
        <v>727906097.31407309</v>
      </c>
      <c r="DU155" s="129">
        <f t="shared" ref="DU155" si="513">DT155/DT150*DU150</f>
        <v>738892867.54557657</v>
      </c>
      <c r="DV155" s="129">
        <f t="shared" ref="DV155" si="514">DU155/DU150*DV150</f>
        <v>696248565.69839716</v>
      </c>
      <c r="DW155" s="129">
        <f t="shared" ref="DW155" si="515">DV155/DV150*DW150</f>
        <v>761648075.45588398</v>
      </c>
      <c r="DX155" s="129">
        <f t="shared" ref="DX155" si="516">DW155/DW150*DX150</f>
        <v>740586480.34806108</v>
      </c>
      <c r="DY155" s="129">
        <f t="shared" ref="DY155" si="517">DX155/DX150*DY150</f>
        <v>742323519.11984026</v>
      </c>
      <c r="DZ155" s="129">
        <f t="shared" ref="DZ155" si="518">DY155/DY150*DZ150</f>
        <v>911207113.70607281</v>
      </c>
      <c r="EA155" s="129">
        <f t="shared" ref="EA155" si="519">DZ155/DZ150*EA150</f>
        <v>981817739.77889717</v>
      </c>
      <c r="EB155" s="129">
        <f t="shared" ref="EB155" si="520">EA155/EA150*EB150</f>
        <v>841725562.83490479</v>
      </c>
      <c r="EC155" s="129">
        <f t="shared" ref="EC155" si="521">EB155/EB150*EC150</f>
        <v>909556926.87288249</v>
      </c>
      <c r="ED155" s="113" t="s">
        <v>1</v>
      </c>
    </row>
    <row r="156" spans="1:134" x14ac:dyDescent="0.2">
      <c r="A156" s="713" t="s">
        <v>157</v>
      </c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  <c r="AT156" s="130"/>
      <c r="AU156" s="130"/>
      <c r="AV156" s="130"/>
      <c r="AW156" s="130"/>
      <c r="AX156" s="130"/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  <c r="BN156" s="130"/>
      <c r="BO156" s="130"/>
      <c r="BP156" s="130"/>
      <c r="BQ156" s="130"/>
      <c r="BR156" s="130"/>
      <c r="BS156" s="130"/>
      <c r="BT156" s="130"/>
      <c r="BU156" s="130"/>
      <c r="BV156" s="130"/>
      <c r="BW156" s="130"/>
      <c r="BX156" s="130"/>
      <c r="BY156" s="130"/>
      <c r="BZ156" s="130"/>
      <c r="CA156" s="130"/>
      <c r="CB156" s="130"/>
      <c r="CC156" s="130"/>
      <c r="CD156" s="130"/>
      <c r="CE156" s="130"/>
      <c r="CF156" s="130"/>
      <c r="CG156" s="130"/>
      <c r="CH156" s="129">
        <v>2782782</v>
      </c>
      <c r="CI156" s="129">
        <v>2960259</v>
      </c>
      <c r="CJ156" s="129">
        <v>2892636.2857142854</v>
      </c>
      <c r="CK156" s="129">
        <v>3384696.2857142854</v>
      </c>
      <c r="CL156" s="129">
        <v>3494618</v>
      </c>
      <c r="CM156" s="129">
        <v>4171683.0000000005</v>
      </c>
      <c r="CN156" s="129">
        <v>3947234</v>
      </c>
      <c r="CO156" s="129">
        <v>3426000</v>
      </c>
      <c r="CP156" s="129">
        <v>4836000</v>
      </c>
      <c r="CQ156" s="129">
        <v>7208000.0000000009</v>
      </c>
      <c r="CR156" s="129">
        <v>6084000</v>
      </c>
      <c r="CS156" s="129">
        <v>6885000</v>
      </c>
      <c r="CT156" s="130">
        <f>CT150-CT155</f>
        <v>4681083.7072708011</v>
      </c>
      <c r="CU156" s="130">
        <f t="shared" ref="CU156:DQ156" si="522">CU150-CU155</f>
        <v>4728726.1731864214</v>
      </c>
      <c r="CV156" s="130">
        <f t="shared" si="522"/>
        <v>4725343.2761983275</v>
      </c>
      <c r="CW156" s="130">
        <f t="shared" si="522"/>
        <v>4796666.0210306048</v>
      </c>
      <c r="CX156" s="130">
        <f t="shared" si="522"/>
        <v>4519832.2841718197</v>
      </c>
      <c r="CY156" s="130">
        <f t="shared" si="522"/>
        <v>4944385.8561772108</v>
      </c>
      <c r="CZ156" s="130">
        <f t="shared" si="522"/>
        <v>4807660.4362418652</v>
      </c>
      <c r="DA156" s="130">
        <f t="shared" si="522"/>
        <v>4818936.7595354915</v>
      </c>
      <c r="DB156" s="130">
        <f t="shared" si="522"/>
        <v>5915277.2917592525</v>
      </c>
      <c r="DC156" s="130">
        <f t="shared" si="522"/>
        <v>6373659.8336455822</v>
      </c>
      <c r="DD156" s="130">
        <f t="shared" si="522"/>
        <v>5464224.3600138426</v>
      </c>
      <c r="DE156" s="130">
        <f t="shared" si="522"/>
        <v>5904564.7846302986</v>
      </c>
      <c r="DF156" s="130">
        <f t="shared" si="522"/>
        <v>5544743.6512621641</v>
      </c>
      <c r="DG156" s="130">
        <f t="shared" si="522"/>
        <v>5601176.1521391869</v>
      </c>
      <c r="DH156" s="130">
        <f t="shared" si="522"/>
        <v>5597169.1106567383</v>
      </c>
      <c r="DI156" s="130">
        <f t="shared" si="522"/>
        <v>5681650.9019105434</v>
      </c>
      <c r="DJ156" s="130">
        <f t="shared" si="522"/>
        <v>5353741.340601325</v>
      </c>
      <c r="DK156" s="130">
        <f t="shared" si="522"/>
        <v>5856625.0466417074</v>
      </c>
      <c r="DL156" s="130">
        <f t="shared" si="522"/>
        <v>5694673.7867282629</v>
      </c>
      <c r="DM156" s="130">
        <f t="shared" si="522"/>
        <v>5708030.5916695595</v>
      </c>
      <c r="DN156" s="130">
        <f t="shared" si="522"/>
        <v>7006645.9520885944</v>
      </c>
      <c r="DO156" s="130">
        <f t="shared" si="522"/>
        <v>7549600.0729528666</v>
      </c>
      <c r="DP156" s="130">
        <f t="shared" si="522"/>
        <v>6472373.7544361353</v>
      </c>
      <c r="DQ156" s="130">
        <f t="shared" si="522"/>
        <v>6993956.9873944521</v>
      </c>
      <c r="DR156" s="130">
        <f t="shared" ref="DR156:EC156" si="523">DR150-DR155</f>
        <v>6567748.8549200296</v>
      </c>
      <c r="DS156" s="130">
        <f t="shared" si="523"/>
        <v>6634593.1522088051</v>
      </c>
      <c r="DT156" s="130">
        <f t="shared" si="523"/>
        <v>6629846.8115729094</v>
      </c>
      <c r="DU156" s="130">
        <f t="shared" si="523"/>
        <v>6729915.4933129549</v>
      </c>
      <c r="DV156" s="130">
        <f t="shared" si="523"/>
        <v>6341506.617942214</v>
      </c>
      <c r="DW156" s="130">
        <f t="shared" si="523"/>
        <v>6937172.3677470684</v>
      </c>
      <c r="DX156" s="130">
        <f t="shared" si="523"/>
        <v>6745341.1003797054</v>
      </c>
      <c r="DY156" s="130">
        <f t="shared" si="523"/>
        <v>6761162.2358326912</v>
      </c>
      <c r="DZ156" s="130">
        <f t="shared" si="523"/>
        <v>8299372.1302491426</v>
      </c>
      <c r="EA156" s="130">
        <f t="shared" si="523"/>
        <v>8942501.2864129543</v>
      </c>
      <c r="EB156" s="130">
        <f t="shared" si="523"/>
        <v>7666526.7121297121</v>
      </c>
      <c r="EC156" s="130">
        <f t="shared" si="523"/>
        <v>8284342.0515687466</v>
      </c>
      <c r="ED156" s="113" t="s">
        <v>1</v>
      </c>
    </row>
    <row r="157" spans="1:134" x14ac:dyDescent="0.2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  <c r="BN157" s="130"/>
      <c r="BO157" s="130"/>
      <c r="BP157" s="130"/>
      <c r="BQ157" s="130"/>
      <c r="BR157" s="130"/>
      <c r="BS157" s="130"/>
      <c r="BT157" s="130"/>
      <c r="BU157" s="130"/>
      <c r="BV157" s="130"/>
      <c r="BW157" s="130"/>
      <c r="BX157" s="130"/>
      <c r="BY157" s="130"/>
      <c r="BZ157" s="130"/>
      <c r="CA157" s="130"/>
      <c r="CB157" s="130"/>
      <c r="CC157" s="130"/>
      <c r="CD157" s="130"/>
      <c r="CE157" s="130"/>
      <c r="CF157" s="130"/>
      <c r="CG157" s="130"/>
      <c r="CH157" s="130"/>
      <c r="CI157" s="130"/>
      <c r="CJ157" s="130"/>
      <c r="CK157" s="130"/>
      <c r="CL157" s="130"/>
      <c r="CM157" s="130"/>
      <c r="CN157" s="130"/>
      <c r="CO157" s="130"/>
      <c r="CP157" s="130"/>
      <c r="CQ157" s="130"/>
      <c r="CR157" s="130"/>
      <c r="CS157" s="130"/>
      <c r="CT157" s="115"/>
      <c r="CU157" s="115"/>
      <c r="CV157" s="115"/>
      <c r="CW157" s="115"/>
      <c r="CX157" s="115"/>
      <c r="CY157" s="115"/>
      <c r="CZ157" s="115"/>
      <c r="DA157" s="115"/>
      <c r="DB157" s="115"/>
      <c r="DC157" s="115"/>
      <c r="DD157" s="115"/>
      <c r="DE157" s="115"/>
      <c r="DF157" s="115"/>
      <c r="DG157" s="115"/>
      <c r="DH157" s="115"/>
      <c r="DI157" s="115"/>
      <c r="DJ157" s="115"/>
      <c r="DK157" s="115"/>
      <c r="DL157" s="115"/>
      <c r="DM157" s="115"/>
      <c r="DN157" s="115"/>
      <c r="DO157" s="115"/>
      <c r="DP157" s="115"/>
      <c r="DQ157" s="115"/>
      <c r="DR157" s="115"/>
      <c r="DS157" s="115"/>
      <c r="DT157" s="115"/>
      <c r="DU157" s="115"/>
      <c r="DV157" s="115"/>
      <c r="DW157" s="115"/>
      <c r="DX157" s="115"/>
      <c r="DY157" s="115"/>
      <c r="DZ157" s="115"/>
      <c r="EA157" s="115"/>
      <c r="EB157" s="115"/>
      <c r="EC157" s="645"/>
      <c r="ED157" s="113" t="s">
        <v>1</v>
      </c>
    </row>
    <row r="158" spans="1:134" x14ac:dyDescent="0.2">
      <c r="A158" s="712" t="s">
        <v>5</v>
      </c>
      <c r="B158" s="132">
        <f>SUM(B159:B160)</f>
        <v>0</v>
      </c>
      <c r="C158" s="132">
        <f t="shared" ref="C158:J158" si="524">SUM(C159:C160)</f>
        <v>0</v>
      </c>
      <c r="D158" s="132">
        <f t="shared" si="524"/>
        <v>0</v>
      </c>
      <c r="E158" s="132">
        <f t="shared" si="524"/>
        <v>0</v>
      </c>
      <c r="F158" s="132">
        <f t="shared" si="524"/>
        <v>0</v>
      </c>
      <c r="G158" s="132">
        <f t="shared" si="524"/>
        <v>0</v>
      </c>
      <c r="H158" s="132">
        <f t="shared" si="524"/>
        <v>0</v>
      </c>
      <c r="I158" s="132">
        <f t="shared" si="524"/>
        <v>0</v>
      </c>
      <c r="J158" s="132">
        <f t="shared" si="524"/>
        <v>0</v>
      </c>
      <c r="K158" s="132">
        <v>80</v>
      </c>
      <c r="L158" s="132">
        <v>442</v>
      </c>
      <c r="M158" s="132">
        <v>1709</v>
      </c>
      <c r="N158" s="132">
        <v>2055</v>
      </c>
      <c r="O158" s="132">
        <v>2304</v>
      </c>
      <c r="P158" s="132">
        <v>1690</v>
      </c>
      <c r="Q158" s="132">
        <v>3162</v>
      </c>
      <c r="R158" s="132">
        <v>2897</v>
      </c>
      <c r="S158" s="132">
        <v>3977</v>
      </c>
      <c r="T158" s="132">
        <v>3289</v>
      </c>
      <c r="U158" s="132">
        <v>1594</v>
      </c>
      <c r="V158" s="132">
        <v>1817</v>
      </c>
      <c r="W158" s="132">
        <v>2698</v>
      </c>
      <c r="X158" s="132">
        <v>2270</v>
      </c>
      <c r="Y158" s="132">
        <v>2101</v>
      </c>
      <c r="Z158" s="132">
        <v>0</v>
      </c>
      <c r="AA158" s="132">
        <v>2255</v>
      </c>
      <c r="AB158" s="132">
        <v>1355</v>
      </c>
      <c r="AC158" s="132">
        <v>800</v>
      </c>
      <c r="AD158" s="132">
        <v>1025</v>
      </c>
      <c r="AE158" s="132">
        <v>1502</v>
      </c>
      <c r="AF158" s="132">
        <v>2425</v>
      </c>
      <c r="AG158" s="132">
        <v>2053</v>
      </c>
      <c r="AH158" s="132">
        <v>3492</v>
      </c>
      <c r="AI158" s="132">
        <v>4670</v>
      </c>
      <c r="AJ158" s="132">
        <v>2828</v>
      </c>
      <c r="AK158" s="132">
        <v>4144</v>
      </c>
      <c r="AL158" s="132">
        <v>2940</v>
      </c>
      <c r="AM158" s="132">
        <v>1664</v>
      </c>
      <c r="AN158" s="132">
        <v>2395</v>
      </c>
      <c r="AO158" s="132">
        <v>2228</v>
      </c>
      <c r="AP158" s="132">
        <v>1355</v>
      </c>
      <c r="AQ158" s="132">
        <v>1493</v>
      </c>
      <c r="AR158" s="132">
        <v>2040</v>
      </c>
      <c r="AS158" s="132">
        <v>4101</v>
      </c>
      <c r="AT158" s="132">
        <v>5784</v>
      </c>
      <c r="AU158" s="132">
        <v>5877</v>
      </c>
      <c r="AV158" s="132">
        <v>4430</v>
      </c>
      <c r="AW158" s="132">
        <v>2939</v>
      </c>
      <c r="AX158" s="132">
        <v>2090</v>
      </c>
      <c r="AY158" s="132">
        <v>3709</v>
      </c>
      <c r="AZ158" s="132">
        <v>3398</v>
      </c>
      <c r="BA158" s="132">
        <v>4040</v>
      </c>
      <c r="BB158" s="132">
        <v>3641</v>
      </c>
      <c r="BC158" s="132">
        <v>4900</v>
      </c>
      <c r="BD158" s="132">
        <v>5781</v>
      </c>
      <c r="BE158" s="132">
        <v>4698</v>
      </c>
      <c r="BF158" s="132">
        <v>4629</v>
      </c>
      <c r="BG158" s="132">
        <v>3826</v>
      </c>
      <c r="BH158" s="132">
        <v>5850</v>
      </c>
      <c r="BI158" s="132">
        <v>10532</v>
      </c>
      <c r="BJ158" s="132">
        <v>11792</v>
      </c>
      <c r="BK158" s="132">
        <v>10366</v>
      </c>
      <c r="BL158" s="132">
        <v>12586</v>
      </c>
      <c r="BM158" s="132">
        <v>10529</v>
      </c>
      <c r="BN158" s="132">
        <v>10882</v>
      </c>
      <c r="BO158" s="132">
        <v>11887</v>
      </c>
      <c r="BP158" s="132">
        <v>15079</v>
      </c>
      <c r="BQ158" s="132">
        <v>13046</v>
      </c>
      <c r="BR158" s="132">
        <v>11437</v>
      </c>
      <c r="BS158" s="132">
        <v>11818</v>
      </c>
      <c r="BT158" s="132">
        <v>9377</v>
      </c>
      <c r="BU158" s="132">
        <v>11795</v>
      </c>
      <c r="BV158" s="132">
        <v>11537</v>
      </c>
      <c r="BW158" s="132">
        <v>12102</v>
      </c>
      <c r="BX158" s="132">
        <v>12357</v>
      </c>
      <c r="BY158" s="132">
        <v>13037</v>
      </c>
      <c r="BZ158" s="132">
        <v>12269</v>
      </c>
      <c r="CA158" s="132">
        <v>12369</v>
      </c>
      <c r="CB158" s="132">
        <v>11980</v>
      </c>
      <c r="CC158" s="132">
        <v>10940</v>
      </c>
      <c r="CD158" s="132">
        <v>12666</v>
      </c>
      <c r="CE158" s="132">
        <v>14543</v>
      </c>
      <c r="CF158" s="132">
        <v>14445</v>
      </c>
      <c r="CG158" s="132">
        <v>18923</v>
      </c>
      <c r="CH158" s="132">
        <v>16605</v>
      </c>
      <c r="CI158" s="132">
        <v>16774</v>
      </c>
      <c r="CJ158" s="132">
        <v>16762</v>
      </c>
      <c r="CK158" s="132">
        <v>17015</v>
      </c>
      <c r="CL158" s="132">
        <v>16033</v>
      </c>
      <c r="CM158" s="132">
        <v>17539</v>
      </c>
      <c r="CN158" s="132">
        <v>17054</v>
      </c>
      <c r="CO158" s="132">
        <v>17094</v>
      </c>
      <c r="CP158" s="132">
        <v>20983</v>
      </c>
      <c r="CQ158" s="132">
        <v>22609</v>
      </c>
      <c r="CR158" s="132">
        <v>19383</v>
      </c>
      <c r="CS158" s="132">
        <v>20945</v>
      </c>
      <c r="CT158" s="132">
        <f t="shared" ref="CT158:DQ158" si="525">SUM(CT159:CT160)</f>
        <v>19095.75</v>
      </c>
      <c r="CU158" s="132">
        <f t="shared" si="525"/>
        <v>19290.099999999999</v>
      </c>
      <c r="CV158" s="132">
        <f t="shared" si="525"/>
        <v>19276.3</v>
      </c>
      <c r="CW158" s="132">
        <f t="shared" si="525"/>
        <v>19567.25</v>
      </c>
      <c r="CX158" s="132">
        <f t="shared" si="525"/>
        <v>18437.949999999997</v>
      </c>
      <c r="CY158" s="132">
        <f t="shared" si="525"/>
        <v>20169.849999999999</v>
      </c>
      <c r="CZ158" s="132">
        <f t="shared" si="525"/>
        <v>19612.099999999999</v>
      </c>
      <c r="DA158" s="132">
        <f t="shared" si="525"/>
        <v>19658.099999999999</v>
      </c>
      <c r="DB158" s="132">
        <f t="shared" si="525"/>
        <v>24130.449999999997</v>
      </c>
      <c r="DC158" s="132">
        <f t="shared" si="525"/>
        <v>26000.35</v>
      </c>
      <c r="DD158" s="132">
        <f t="shared" si="525"/>
        <v>22290.449999999997</v>
      </c>
      <c r="DE158" s="132">
        <f t="shared" si="525"/>
        <v>24086.749999999996</v>
      </c>
      <c r="DF158" s="132">
        <f t="shared" si="525"/>
        <v>21960.112499999999</v>
      </c>
      <c r="DG158" s="132">
        <f t="shared" si="525"/>
        <v>22183.614999999998</v>
      </c>
      <c r="DH158" s="132">
        <f t="shared" si="525"/>
        <v>22167.744999999999</v>
      </c>
      <c r="DI158" s="132">
        <f t="shared" si="525"/>
        <v>22502.337499999998</v>
      </c>
      <c r="DJ158" s="132">
        <f t="shared" si="525"/>
        <v>21203.642499999994</v>
      </c>
      <c r="DK158" s="132">
        <f t="shared" si="525"/>
        <v>23195.327499999996</v>
      </c>
      <c r="DL158" s="132">
        <f t="shared" si="525"/>
        <v>22553.914999999997</v>
      </c>
      <c r="DM158" s="132">
        <f t="shared" si="525"/>
        <v>22606.814999999995</v>
      </c>
      <c r="DN158" s="132">
        <f t="shared" si="525"/>
        <v>27750.017499999994</v>
      </c>
      <c r="DO158" s="132">
        <f t="shared" si="525"/>
        <v>29900.402499999997</v>
      </c>
      <c r="DP158" s="132">
        <f t="shared" si="525"/>
        <v>25634.017499999994</v>
      </c>
      <c r="DQ158" s="132">
        <f t="shared" si="525"/>
        <v>27699.762499999993</v>
      </c>
      <c r="DR158" s="132">
        <f t="shared" ref="DR158:EC158" si="526">SUM(DR159:DR160)</f>
        <v>25254.129374999997</v>
      </c>
      <c r="DS158" s="132">
        <f t="shared" si="526"/>
        <v>25511.157249999997</v>
      </c>
      <c r="DT158" s="132">
        <f t="shared" si="526"/>
        <v>25492.906749999998</v>
      </c>
      <c r="DU158" s="132">
        <f t="shared" si="526"/>
        <v>25877.688124999997</v>
      </c>
      <c r="DV158" s="132">
        <f t="shared" si="526"/>
        <v>24384.188874999993</v>
      </c>
      <c r="DW158" s="132">
        <f t="shared" si="526"/>
        <v>26674.626624999994</v>
      </c>
      <c r="DX158" s="132">
        <f t="shared" si="526"/>
        <v>25937.002249999994</v>
      </c>
      <c r="DY158" s="132">
        <f t="shared" si="526"/>
        <v>25997.837249999993</v>
      </c>
      <c r="DZ158" s="132">
        <f t="shared" si="526"/>
        <v>31912.520124999992</v>
      </c>
      <c r="EA158" s="132">
        <f t="shared" si="526"/>
        <v>34385.46287499999</v>
      </c>
      <c r="EB158" s="132">
        <f t="shared" si="526"/>
        <v>29479.12012499999</v>
      </c>
      <c r="EC158" s="132">
        <f t="shared" si="526"/>
        <v>31854.726874999989</v>
      </c>
      <c r="ED158" s="113" t="s">
        <v>1</v>
      </c>
    </row>
    <row r="159" spans="1:134" x14ac:dyDescent="0.2">
      <c r="A159" s="713" t="s">
        <v>132</v>
      </c>
      <c r="B159" s="129"/>
      <c r="C159" s="129"/>
      <c r="D159" s="129"/>
      <c r="E159" s="129"/>
      <c r="F159" s="129"/>
      <c r="G159" s="129"/>
      <c r="H159" s="129"/>
      <c r="I159" s="129"/>
      <c r="J159" s="129"/>
      <c r="K159" s="129">
        <v>0</v>
      </c>
      <c r="L159" s="129">
        <v>0</v>
      </c>
      <c r="M159" s="129">
        <v>0</v>
      </c>
      <c r="N159" s="129">
        <v>0</v>
      </c>
      <c r="O159" s="129">
        <v>0</v>
      </c>
      <c r="P159" s="129">
        <v>0</v>
      </c>
      <c r="Q159" s="129">
        <v>0</v>
      </c>
      <c r="R159" s="129">
        <v>0</v>
      </c>
      <c r="S159" s="129">
        <v>0</v>
      </c>
      <c r="T159" s="129">
        <v>0</v>
      </c>
      <c r="U159" s="129">
        <v>0</v>
      </c>
      <c r="V159" s="129">
        <v>0</v>
      </c>
      <c r="W159" s="129">
        <v>0</v>
      </c>
      <c r="X159" s="129">
        <v>0</v>
      </c>
      <c r="Y159" s="129">
        <v>0</v>
      </c>
      <c r="Z159" s="129">
        <v>0</v>
      </c>
      <c r="AA159" s="129">
        <v>60</v>
      </c>
      <c r="AB159" s="129">
        <v>67</v>
      </c>
      <c r="AC159" s="129">
        <v>38</v>
      </c>
      <c r="AD159" s="129">
        <v>36</v>
      </c>
      <c r="AE159" s="129">
        <v>78</v>
      </c>
      <c r="AF159" s="129">
        <v>101</v>
      </c>
      <c r="AG159" s="129">
        <v>58</v>
      </c>
      <c r="AH159" s="129">
        <v>250</v>
      </c>
      <c r="AI159" s="129">
        <v>250</v>
      </c>
      <c r="AJ159" s="129">
        <v>255</v>
      </c>
      <c r="AK159" s="129">
        <v>364</v>
      </c>
      <c r="AL159" s="129">
        <v>318</v>
      </c>
      <c r="AM159" s="129">
        <v>293</v>
      </c>
      <c r="AN159" s="129">
        <v>356</v>
      </c>
      <c r="AO159" s="129">
        <v>409</v>
      </c>
      <c r="AP159" s="129">
        <v>419</v>
      </c>
      <c r="AQ159" s="129">
        <v>431</v>
      </c>
      <c r="AR159" s="129">
        <v>290</v>
      </c>
      <c r="AS159" s="129">
        <v>851</v>
      </c>
      <c r="AT159" s="129">
        <v>1039</v>
      </c>
      <c r="AU159" s="129">
        <v>1589</v>
      </c>
      <c r="AV159" s="129">
        <v>1699</v>
      </c>
      <c r="AW159" s="129">
        <v>1827</v>
      </c>
      <c r="AX159" s="129">
        <v>1461</v>
      </c>
      <c r="AY159" s="129">
        <v>1431</v>
      </c>
      <c r="AZ159" s="129">
        <v>2842</v>
      </c>
      <c r="BA159" s="129">
        <v>3099</v>
      </c>
      <c r="BB159" s="129">
        <v>2790</v>
      </c>
      <c r="BC159" s="129">
        <v>3118</v>
      </c>
      <c r="BD159" s="129">
        <v>3609</v>
      </c>
      <c r="BE159" s="129">
        <v>2578</v>
      </c>
      <c r="BF159" s="129">
        <v>2887</v>
      </c>
      <c r="BG159" s="129">
        <v>2826</v>
      </c>
      <c r="BH159" s="129">
        <v>4310</v>
      </c>
      <c r="BI159" s="129">
        <v>8131</v>
      </c>
      <c r="BJ159" s="129">
        <v>10190</v>
      </c>
      <c r="BK159" s="129">
        <v>10366</v>
      </c>
      <c r="BL159" s="129">
        <v>12586</v>
      </c>
      <c r="BM159" s="129">
        <v>10529</v>
      </c>
      <c r="BN159" s="129">
        <v>10882</v>
      </c>
      <c r="BO159" s="129">
        <v>11887</v>
      </c>
      <c r="BP159" s="129">
        <v>15079</v>
      </c>
      <c r="BQ159" s="129">
        <v>13046</v>
      </c>
      <c r="BR159" s="129">
        <v>11437</v>
      </c>
      <c r="BS159" s="129">
        <v>11818</v>
      </c>
      <c r="BT159" s="129">
        <v>9377</v>
      </c>
      <c r="BU159" s="129">
        <v>11795</v>
      </c>
      <c r="BV159" s="129">
        <v>11537</v>
      </c>
      <c r="BW159" s="129">
        <v>12102</v>
      </c>
      <c r="BX159" s="129">
        <v>12357</v>
      </c>
      <c r="BY159" s="129">
        <v>13037</v>
      </c>
      <c r="BZ159" s="129">
        <v>12269</v>
      </c>
      <c r="CA159" s="129">
        <v>12369</v>
      </c>
      <c r="CB159" s="129">
        <v>11980</v>
      </c>
      <c r="CC159" s="129">
        <v>10940</v>
      </c>
      <c r="CD159" s="129">
        <v>12666</v>
      </c>
      <c r="CE159" s="129">
        <v>14543</v>
      </c>
      <c r="CF159" s="129">
        <v>14445</v>
      </c>
      <c r="CG159" s="129">
        <v>18923</v>
      </c>
      <c r="CH159" s="129">
        <v>16605</v>
      </c>
      <c r="CI159" s="129">
        <v>16774</v>
      </c>
      <c r="CJ159" s="129">
        <v>16762</v>
      </c>
      <c r="CK159" s="129">
        <v>17015</v>
      </c>
      <c r="CL159" s="129">
        <v>16033</v>
      </c>
      <c r="CM159" s="129">
        <v>17539</v>
      </c>
      <c r="CN159" s="129">
        <v>17054</v>
      </c>
      <c r="CO159" s="129">
        <v>17094</v>
      </c>
      <c r="CP159" s="129">
        <v>20983</v>
      </c>
      <c r="CQ159" s="129">
        <v>22609</v>
      </c>
      <c r="CR159" s="129">
        <v>19383</v>
      </c>
      <c r="CS159" s="129">
        <v>20945</v>
      </c>
      <c r="CT159" s="129">
        <f>CH159*(1+CT147)</f>
        <v>19095.75</v>
      </c>
      <c r="CU159" s="129">
        <f t="shared" ref="CU159:EC159" si="527">CI159*(1+CU147)</f>
        <v>19290.099999999999</v>
      </c>
      <c r="CV159" s="129">
        <f t="shared" si="527"/>
        <v>19276.3</v>
      </c>
      <c r="CW159" s="129">
        <f t="shared" si="527"/>
        <v>19567.25</v>
      </c>
      <c r="CX159" s="129">
        <f t="shared" si="527"/>
        <v>18437.949999999997</v>
      </c>
      <c r="CY159" s="129">
        <f t="shared" si="527"/>
        <v>20169.849999999999</v>
      </c>
      <c r="CZ159" s="129">
        <f t="shared" si="527"/>
        <v>19612.099999999999</v>
      </c>
      <c r="DA159" s="129">
        <f t="shared" si="527"/>
        <v>19658.099999999999</v>
      </c>
      <c r="DB159" s="129">
        <f t="shared" si="527"/>
        <v>24130.449999999997</v>
      </c>
      <c r="DC159" s="129">
        <f t="shared" si="527"/>
        <v>26000.35</v>
      </c>
      <c r="DD159" s="129">
        <f t="shared" si="527"/>
        <v>22290.449999999997</v>
      </c>
      <c r="DE159" s="129">
        <f t="shared" si="527"/>
        <v>24086.749999999996</v>
      </c>
      <c r="DF159" s="129">
        <f t="shared" si="527"/>
        <v>21960.112499999999</v>
      </c>
      <c r="DG159" s="129">
        <f t="shared" si="527"/>
        <v>22183.614999999998</v>
      </c>
      <c r="DH159" s="129">
        <f t="shared" si="527"/>
        <v>22167.744999999999</v>
      </c>
      <c r="DI159" s="129">
        <f t="shared" si="527"/>
        <v>22502.337499999998</v>
      </c>
      <c r="DJ159" s="129">
        <f t="shared" si="527"/>
        <v>21203.642499999994</v>
      </c>
      <c r="DK159" s="129">
        <f t="shared" si="527"/>
        <v>23195.327499999996</v>
      </c>
      <c r="DL159" s="129">
        <f t="shared" si="527"/>
        <v>22553.914999999997</v>
      </c>
      <c r="DM159" s="129">
        <f t="shared" si="527"/>
        <v>22606.814999999995</v>
      </c>
      <c r="DN159" s="129">
        <f t="shared" si="527"/>
        <v>27750.017499999994</v>
      </c>
      <c r="DO159" s="129">
        <f t="shared" si="527"/>
        <v>29900.402499999997</v>
      </c>
      <c r="DP159" s="129">
        <f t="shared" si="527"/>
        <v>25634.017499999994</v>
      </c>
      <c r="DQ159" s="129">
        <f t="shared" si="527"/>
        <v>27699.762499999993</v>
      </c>
      <c r="DR159" s="129">
        <f t="shared" si="527"/>
        <v>25254.129374999997</v>
      </c>
      <c r="DS159" s="129">
        <f t="shared" si="527"/>
        <v>25511.157249999997</v>
      </c>
      <c r="DT159" s="129">
        <f t="shared" si="527"/>
        <v>25492.906749999998</v>
      </c>
      <c r="DU159" s="129">
        <f t="shared" si="527"/>
        <v>25877.688124999997</v>
      </c>
      <c r="DV159" s="129">
        <f t="shared" si="527"/>
        <v>24384.188874999993</v>
      </c>
      <c r="DW159" s="129">
        <f t="shared" si="527"/>
        <v>26674.626624999994</v>
      </c>
      <c r="DX159" s="129">
        <f t="shared" si="527"/>
        <v>25937.002249999994</v>
      </c>
      <c r="DY159" s="129">
        <f t="shared" si="527"/>
        <v>25997.837249999993</v>
      </c>
      <c r="DZ159" s="129">
        <f t="shared" si="527"/>
        <v>31912.520124999992</v>
      </c>
      <c r="EA159" s="129">
        <f t="shared" si="527"/>
        <v>34385.46287499999</v>
      </c>
      <c r="EB159" s="129">
        <f t="shared" si="527"/>
        <v>29479.12012499999</v>
      </c>
      <c r="EC159" s="129">
        <f t="shared" si="527"/>
        <v>31854.726874999989</v>
      </c>
      <c r="ED159" s="113" t="s">
        <v>1</v>
      </c>
    </row>
    <row r="160" spans="1:134" x14ac:dyDescent="0.2">
      <c r="A160" s="713" t="s">
        <v>133</v>
      </c>
      <c r="B160" s="129">
        <v>0</v>
      </c>
      <c r="C160" s="129">
        <v>0</v>
      </c>
      <c r="D160" s="129">
        <v>0</v>
      </c>
      <c r="E160" s="129">
        <v>0</v>
      </c>
      <c r="F160" s="129">
        <v>0</v>
      </c>
      <c r="G160" s="129">
        <v>0</v>
      </c>
      <c r="H160" s="129">
        <v>0</v>
      </c>
      <c r="I160" s="129">
        <v>0</v>
      </c>
      <c r="J160" s="129">
        <v>0</v>
      </c>
      <c r="K160" s="129">
        <v>80</v>
      </c>
      <c r="L160" s="129">
        <v>442</v>
      </c>
      <c r="M160" s="129">
        <v>1709</v>
      </c>
      <c r="N160" s="129">
        <v>2055</v>
      </c>
      <c r="O160" s="129">
        <v>2304</v>
      </c>
      <c r="P160" s="129">
        <v>1690</v>
      </c>
      <c r="Q160" s="129">
        <v>3162</v>
      </c>
      <c r="R160" s="129">
        <v>2897</v>
      </c>
      <c r="S160" s="129">
        <v>3977</v>
      </c>
      <c r="T160" s="129">
        <v>3289</v>
      </c>
      <c r="U160" s="129">
        <v>1594</v>
      </c>
      <c r="V160" s="129">
        <v>1817</v>
      </c>
      <c r="W160" s="129">
        <v>2698</v>
      </c>
      <c r="X160" s="129">
        <v>2270</v>
      </c>
      <c r="Y160" s="129">
        <v>2101</v>
      </c>
      <c r="Z160" s="129">
        <v>0</v>
      </c>
      <c r="AA160" s="129">
        <v>2195</v>
      </c>
      <c r="AB160" s="129">
        <v>1288</v>
      </c>
      <c r="AC160" s="129">
        <v>762</v>
      </c>
      <c r="AD160" s="129">
        <v>989</v>
      </c>
      <c r="AE160" s="129">
        <v>1424</v>
      </c>
      <c r="AF160" s="129">
        <v>2324</v>
      </c>
      <c r="AG160" s="129">
        <v>1995</v>
      </c>
      <c r="AH160" s="129">
        <v>3242</v>
      </c>
      <c r="AI160" s="129">
        <v>4420</v>
      </c>
      <c r="AJ160" s="129">
        <v>2573</v>
      </c>
      <c r="AK160" s="129">
        <v>3780</v>
      </c>
      <c r="AL160" s="129">
        <v>2622</v>
      </c>
      <c r="AM160" s="129">
        <v>1371</v>
      </c>
      <c r="AN160" s="129">
        <v>2039</v>
      </c>
      <c r="AO160" s="129">
        <v>1819</v>
      </c>
      <c r="AP160" s="129">
        <v>936</v>
      </c>
      <c r="AQ160" s="129">
        <v>1062</v>
      </c>
      <c r="AR160" s="129">
        <v>1750</v>
      </c>
      <c r="AS160" s="129">
        <v>3250</v>
      </c>
      <c r="AT160" s="129">
        <v>4745</v>
      </c>
      <c r="AU160" s="129">
        <v>4288</v>
      </c>
      <c r="AV160" s="129">
        <v>2731</v>
      </c>
      <c r="AW160" s="129">
        <v>1112</v>
      </c>
      <c r="AX160" s="129">
        <v>629</v>
      </c>
      <c r="AY160" s="129">
        <v>2278</v>
      </c>
      <c r="AZ160" s="129">
        <v>556</v>
      </c>
      <c r="BA160" s="129">
        <v>941</v>
      </c>
      <c r="BB160" s="129">
        <v>851</v>
      </c>
      <c r="BC160" s="129">
        <v>1782</v>
      </c>
      <c r="BD160" s="129">
        <v>2172</v>
      </c>
      <c r="BE160" s="129">
        <v>2120</v>
      </c>
      <c r="BF160" s="129">
        <v>1742</v>
      </c>
      <c r="BG160" s="129">
        <v>1000</v>
      </c>
      <c r="BH160" s="129">
        <v>1540</v>
      </c>
      <c r="BI160" s="129">
        <v>2401</v>
      </c>
      <c r="BJ160" s="129">
        <v>1602</v>
      </c>
      <c r="BK160" s="129">
        <v>0</v>
      </c>
      <c r="BL160" s="129">
        <v>0</v>
      </c>
      <c r="BM160" s="129">
        <v>0</v>
      </c>
      <c r="BN160" s="129">
        <v>0</v>
      </c>
      <c r="BO160" s="129">
        <v>0</v>
      </c>
      <c r="BP160" s="129">
        <v>0</v>
      </c>
      <c r="BQ160" s="129">
        <v>0</v>
      </c>
      <c r="BR160" s="129">
        <v>0</v>
      </c>
      <c r="BS160" s="129">
        <v>0</v>
      </c>
      <c r="BT160" s="129">
        <v>0</v>
      </c>
      <c r="BU160" s="129">
        <v>0</v>
      </c>
      <c r="BV160" s="129">
        <v>0</v>
      </c>
      <c r="BW160" s="129">
        <v>0</v>
      </c>
      <c r="BX160" s="129">
        <v>0</v>
      </c>
      <c r="BY160" s="129">
        <v>0</v>
      </c>
      <c r="BZ160" s="129">
        <v>0</v>
      </c>
      <c r="CA160" s="129">
        <v>0</v>
      </c>
      <c r="CB160" s="129">
        <v>0</v>
      </c>
      <c r="CC160" s="129">
        <v>0</v>
      </c>
      <c r="CD160" s="129">
        <v>0</v>
      </c>
      <c r="CE160" s="129">
        <v>0</v>
      </c>
      <c r="CF160" s="129">
        <v>0</v>
      </c>
      <c r="CG160" s="129">
        <v>0</v>
      </c>
      <c r="CH160" s="129">
        <v>0</v>
      </c>
      <c r="CI160" s="129">
        <v>0</v>
      </c>
      <c r="CJ160" s="129">
        <v>0</v>
      </c>
      <c r="CK160" s="129">
        <v>0</v>
      </c>
      <c r="CL160" s="129">
        <v>0</v>
      </c>
      <c r="CM160" s="129">
        <v>0</v>
      </c>
      <c r="CN160" s="129">
        <v>0</v>
      </c>
      <c r="CO160" s="129">
        <v>0</v>
      </c>
      <c r="CP160" s="129">
        <v>0</v>
      </c>
      <c r="CQ160" s="129">
        <v>0</v>
      </c>
      <c r="CR160" s="129">
        <v>0</v>
      </c>
      <c r="CS160" s="129">
        <v>0</v>
      </c>
      <c r="CT160" s="129">
        <v>0</v>
      </c>
      <c r="CU160" s="129">
        <v>0</v>
      </c>
      <c r="CV160" s="129">
        <v>0</v>
      </c>
      <c r="CW160" s="129">
        <v>0</v>
      </c>
      <c r="CX160" s="129">
        <v>0</v>
      </c>
      <c r="CY160" s="129">
        <v>0</v>
      </c>
      <c r="CZ160" s="129">
        <v>0</v>
      </c>
      <c r="DA160" s="129">
        <v>0</v>
      </c>
      <c r="DB160" s="129">
        <v>0</v>
      </c>
      <c r="DC160" s="129">
        <v>0</v>
      </c>
      <c r="DD160" s="129">
        <v>0</v>
      </c>
      <c r="DE160" s="129">
        <v>0</v>
      </c>
      <c r="DF160" s="129">
        <v>0</v>
      </c>
      <c r="DG160" s="129">
        <v>0</v>
      </c>
      <c r="DH160" s="129">
        <v>0</v>
      </c>
      <c r="DI160" s="129">
        <v>0</v>
      </c>
      <c r="DJ160" s="129">
        <v>0</v>
      </c>
      <c r="DK160" s="129">
        <v>0</v>
      </c>
      <c r="DL160" s="129">
        <v>0</v>
      </c>
      <c r="DM160" s="129">
        <v>0</v>
      </c>
      <c r="DN160" s="129">
        <v>0</v>
      </c>
      <c r="DO160" s="129">
        <v>0</v>
      </c>
      <c r="DP160" s="129">
        <v>0</v>
      </c>
      <c r="DQ160" s="129">
        <v>0</v>
      </c>
      <c r="DR160" s="129">
        <v>0</v>
      </c>
      <c r="DS160" s="129">
        <v>0</v>
      </c>
      <c r="DT160" s="129">
        <v>0</v>
      </c>
      <c r="DU160" s="129">
        <v>0</v>
      </c>
      <c r="DV160" s="129">
        <v>0</v>
      </c>
      <c r="DW160" s="129">
        <v>0</v>
      </c>
      <c r="DX160" s="129">
        <v>0</v>
      </c>
      <c r="DY160" s="129">
        <v>0</v>
      </c>
      <c r="DZ160" s="129">
        <v>0</v>
      </c>
      <c r="EA160" s="129">
        <v>0</v>
      </c>
      <c r="EB160" s="129">
        <v>0</v>
      </c>
      <c r="EC160" s="129">
        <v>0</v>
      </c>
      <c r="ED160" s="113" t="s">
        <v>1</v>
      </c>
    </row>
    <row r="161" spans="1:134" x14ac:dyDescent="0.2">
      <c r="A161" s="707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  <c r="BP161" s="115"/>
      <c r="BQ161" s="115"/>
      <c r="BR161" s="115"/>
      <c r="BS161" s="115"/>
      <c r="BT161" s="115"/>
      <c r="BU161" s="115"/>
      <c r="BV161" s="115"/>
      <c r="BW161" s="115"/>
      <c r="BX161" s="115"/>
      <c r="BY161" s="115"/>
      <c r="BZ161" s="115"/>
      <c r="CA161" s="115"/>
      <c r="CB161" s="115"/>
      <c r="CC161" s="115"/>
      <c r="CD161" s="115"/>
      <c r="CE161" s="115"/>
      <c r="CF161" s="115"/>
      <c r="CG161" s="115"/>
      <c r="CH161" s="115"/>
      <c r="CI161" s="115"/>
      <c r="CJ161" s="115"/>
      <c r="CK161" s="115"/>
      <c r="CL161" s="115"/>
      <c r="CM161" s="115"/>
      <c r="CN161" s="115"/>
      <c r="CO161" s="115"/>
      <c r="CP161" s="115"/>
      <c r="CQ161" s="115"/>
      <c r="CR161" s="115"/>
      <c r="CS161" s="115"/>
      <c r="CT161" s="115"/>
      <c r="CU161" s="115"/>
      <c r="CV161" s="115"/>
      <c r="CW161" s="115"/>
      <c r="CX161" s="115"/>
      <c r="CY161" s="115"/>
      <c r="CZ161" s="115"/>
      <c r="DA161" s="115"/>
      <c r="DB161" s="115"/>
      <c r="DC161" s="115"/>
      <c r="DD161" s="115"/>
      <c r="DE161" s="115"/>
      <c r="DF161" s="115"/>
      <c r="DG161" s="115"/>
      <c r="DH161" s="115"/>
      <c r="DI161" s="115"/>
      <c r="DJ161" s="115"/>
      <c r="DK161" s="115"/>
      <c r="DL161" s="115"/>
      <c r="DM161" s="115"/>
      <c r="DN161" s="115"/>
      <c r="DO161" s="115"/>
      <c r="DP161" s="115"/>
      <c r="DQ161" s="115"/>
      <c r="DR161" s="115"/>
      <c r="DS161" s="115"/>
      <c r="DT161" s="115"/>
      <c r="DU161" s="115"/>
      <c r="DV161" s="115"/>
      <c r="DW161" s="115"/>
      <c r="DX161" s="115"/>
      <c r="DY161" s="115"/>
      <c r="DZ161" s="115"/>
      <c r="EA161" s="115"/>
      <c r="EB161" s="115"/>
      <c r="EC161" s="645"/>
      <c r="ED161" s="113" t="s">
        <v>1</v>
      </c>
    </row>
    <row r="162" spans="1:134" x14ac:dyDescent="0.2">
      <c r="A162" s="712" t="s">
        <v>90</v>
      </c>
      <c r="B162" s="129">
        <f>IFERROR(B150/B158,0)</f>
        <v>0</v>
      </c>
      <c r="C162" s="129">
        <f t="shared" ref="C162:BN162" si="528">IFERROR(C150/C158,0)</f>
        <v>0</v>
      </c>
      <c r="D162" s="129">
        <f t="shared" si="528"/>
        <v>0</v>
      </c>
      <c r="E162" s="129">
        <f t="shared" si="528"/>
        <v>0</v>
      </c>
      <c r="F162" s="129">
        <f t="shared" si="528"/>
        <v>0</v>
      </c>
      <c r="G162" s="129">
        <f t="shared" si="528"/>
        <v>0</v>
      </c>
      <c r="H162" s="129">
        <f t="shared" si="528"/>
        <v>0</v>
      </c>
      <c r="I162" s="129">
        <f t="shared" si="528"/>
        <v>0</v>
      </c>
      <c r="J162" s="129">
        <f t="shared" si="528"/>
        <v>0</v>
      </c>
      <c r="K162" s="129">
        <f t="shared" si="528"/>
        <v>7385.0578839285708</v>
      </c>
      <c r="L162" s="129">
        <f t="shared" si="528"/>
        <v>8519.186359082094</v>
      </c>
      <c r="M162" s="129">
        <f t="shared" si="528"/>
        <v>11920.899472958288</v>
      </c>
      <c r="N162" s="129">
        <f t="shared" si="528"/>
        <v>12813.509796315608</v>
      </c>
      <c r="O162" s="129">
        <f t="shared" si="528"/>
        <v>12578.016868334575</v>
      </c>
      <c r="P162" s="129">
        <f t="shared" si="528"/>
        <v>11856.466849112427</v>
      </c>
      <c r="Q162" s="129">
        <f t="shared" si="528"/>
        <v>12600.745281354477</v>
      </c>
      <c r="R162" s="129">
        <f t="shared" si="528"/>
        <v>9157.4858355934721</v>
      </c>
      <c r="S162" s="129">
        <f t="shared" si="528"/>
        <v>10493.225776428751</v>
      </c>
      <c r="T162" s="129">
        <f t="shared" si="528"/>
        <v>10513.672058484994</v>
      </c>
      <c r="U162" s="129">
        <f t="shared" si="528"/>
        <v>8977.8164007886717</v>
      </c>
      <c r="V162" s="129">
        <f t="shared" si="528"/>
        <v>10563.827685942289</v>
      </c>
      <c r="W162" s="129">
        <f t="shared" si="528"/>
        <v>10214.806197580217</v>
      </c>
      <c r="X162" s="129">
        <f t="shared" si="528"/>
        <v>10605.227038074259</v>
      </c>
      <c r="Y162" s="129">
        <f t="shared" si="528"/>
        <v>10423.09081644795</v>
      </c>
      <c r="Z162" s="129">
        <f t="shared" si="528"/>
        <v>0</v>
      </c>
      <c r="AA162" s="129">
        <f t="shared" si="528"/>
        <v>11728.676602728401</v>
      </c>
      <c r="AB162" s="129">
        <f t="shared" si="528"/>
        <v>15813.592639114391</v>
      </c>
      <c r="AC162" s="129">
        <f t="shared" si="528"/>
        <v>18064.497500000001</v>
      </c>
      <c r="AD162" s="129">
        <f t="shared" si="528"/>
        <v>13635.730751219511</v>
      </c>
      <c r="AE162" s="129">
        <f t="shared" si="528"/>
        <v>11450.601215712381</v>
      </c>
      <c r="AF162" s="129">
        <f t="shared" si="528"/>
        <v>12361.859804536083</v>
      </c>
      <c r="AG162" s="129">
        <f t="shared" si="528"/>
        <v>11438.223088163662</v>
      </c>
      <c r="AH162" s="129">
        <f t="shared" si="528"/>
        <v>10768.068427835053</v>
      </c>
      <c r="AI162" s="129">
        <f t="shared" si="528"/>
        <v>10926.650203426125</v>
      </c>
      <c r="AJ162" s="129">
        <f t="shared" si="528"/>
        <v>12355.610325318246</v>
      </c>
      <c r="AK162" s="129">
        <f t="shared" si="528"/>
        <v>9580.8764478764479</v>
      </c>
      <c r="AL162" s="129">
        <f t="shared" si="528"/>
        <v>9245.5224761904756</v>
      </c>
      <c r="AM162" s="129">
        <f t="shared" si="528"/>
        <v>9268.4909254807681</v>
      </c>
      <c r="AN162" s="129">
        <f t="shared" si="528"/>
        <v>9463.0296033402883</v>
      </c>
      <c r="AO162" s="129">
        <f t="shared" si="528"/>
        <v>9526.0956014362655</v>
      </c>
      <c r="AP162" s="129">
        <f t="shared" si="528"/>
        <v>9401.9114391143903</v>
      </c>
      <c r="AQ162" s="129">
        <f t="shared" si="528"/>
        <v>10455.214333556598</v>
      </c>
      <c r="AR162" s="129">
        <f t="shared" si="528"/>
        <v>11366.035784313726</v>
      </c>
      <c r="AS162" s="129">
        <f t="shared" si="528"/>
        <v>11532.340648622287</v>
      </c>
      <c r="AT162" s="129">
        <f t="shared" si="528"/>
        <v>11050.171680497926</v>
      </c>
      <c r="AU162" s="129">
        <f t="shared" si="528"/>
        <v>11852.45686574783</v>
      </c>
      <c r="AV162" s="129">
        <f t="shared" si="528"/>
        <v>13293.599774266366</v>
      </c>
      <c r="AW162" s="129">
        <f t="shared" si="528"/>
        <v>13542.346172167403</v>
      </c>
      <c r="AX162" s="129">
        <f t="shared" si="528"/>
        <v>13849.762779904304</v>
      </c>
      <c r="AY162" s="129">
        <f t="shared" si="528"/>
        <v>11088.900830412507</v>
      </c>
      <c r="AZ162" s="129">
        <f t="shared" si="528"/>
        <v>18017.700135373751</v>
      </c>
      <c r="BA162" s="129">
        <f t="shared" si="528"/>
        <v>15384.904306930792</v>
      </c>
      <c r="BB162" s="129">
        <f t="shared" si="528"/>
        <v>13537.020384509769</v>
      </c>
      <c r="BC162" s="129">
        <f t="shared" si="528"/>
        <v>13483.532363265324</v>
      </c>
      <c r="BD162" s="129">
        <f t="shared" si="528"/>
        <v>16957.40884795021</v>
      </c>
      <c r="BE162" s="129">
        <f t="shared" si="528"/>
        <v>19854.550896126009</v>
      </c>
      <c r="BF162" s="129">
        <f t="shared" si="528"/>
        <v>19799.173058976066</v>
      </c>
      <c r="BG162" s="129">
        <f t="shared" si="528"/>
        <v>23351.073118139142</v>
      </c>
      <c r="BH162" s="129">
        <f t="shared" si="528"/>
        <v>20932.65297777782</v>
      </c>
      <c r="BI162" s="129">
        <f t="shared" si="528"/>
        <v>21723.829718951856</v>
      </c>
      <c r="BJ162" s="129">
        <f t="shared" si="528"/>
        <v>21385.248731538566</v>
      </c>
      <c r="BK162" s="129">
        <f t="shared" si="528"/>
        <v>21605.355486972843</v>
      </c>
      <c r="BL162" s="129">
        <f t="shared" si="528"/>
        <v>20228.534890607207</v>
      </c>
      <c r="BM162" s="129">
        <f t="shared" si="528"/>
        <v>20770.704995635977</v>
      </c>
      <c r="BN162" s="129">
        <f t="shared" si="528"/>
        <v>20451.800979071108</v>
      </c>
      <c r="BO162" s="129">
        <f t="shared" ref="BO162:CP162" si="529">IFERROR(BO150/BO158,0)</f>
        <v>21515.938864203694</v>
      </c>
      <c r="BP162" s="129">
        <f t="shared" si="529"/>
        <v>25689.493834614634</v>
      </c>
      <c r="BQ162" s="129">
        <f t="shared" si="529"/>
        <v>23217.19532510194</v>
      </c>
      <c r="BR162" s="129">
        <f t="shared" si="529"/>
        <v>23848.727206703505</v>
      </c>
      <c r="BS162" s="129">
        <f t="shared" si="529"/>
        <v>23531.200613612451</v>
      </c>
      <c r="BT162" s="129">
        <f t="shared" si="529"/>
        <v>24725.65404713661</v>
      </c>
      <c r="BU162" s="129">
        <f t="shared" si="529"/>
        <v>23614.545173137973</v>
      </c>
      <c r="BV162" s="129">
        <f t="shared" si="529"/>
        <v>23867.835562772965</v>
      </c>
      <c r="BW162" s="129">
        <f t="shared" si="529"/>
        <v>24639.330630776469</v>
      </c>
      <c r="BX162" s="129">
        <f t="shared" si="529"/>
        <v>24726.386167924458</v>
      </c>
      <c r="BY162" s="129">
        <f t="shared" si="529"/>
        <v>24684.016611712588</v>
      </c>
      <c r="BZ162" s="129">
        <f t="shared" si="529"/>
        <v>25497.724263122233</v>
      </c>
      <c r="CA162" s="129">
        <f t="shared" si="529"/>
        <v>26105.808786577345</v>
      </c>
      <c r="CB162" s="129">
        <f t="shared" si="529"/>
        <v>27402.683633913432</v>
      </c>
      <c r="CC162" s="129">
        <f t="shared" si="529"/>
        <v>27547.747836586299</v>
      </c>
      <c r="CD162" s="129">
        <f t="shared" si="529"/>
        <v>26847.545074505295</v>
      </c>
      <c r="CE162" s="129">
        <f t="shared" si="529"/>
        <v>26803.39932143109</v>
      </c>
      <c r="CF162" s="129">
        <f t="shared" si="529"/>
        <v>26119.508767169373</v>
      </c>
      <c r="CG162" s="129">
        <f t="shared" si="529"/>
        <v>27025.777778691241</v>
      </c>
      <c r="CH162" s="129">
        <f t="shared" si="529"/>
        <v>27934.943963122289</v>
      </c>
      <c r="CI162" s="129">
        <f t="shared" si="529"/>
        <v>27643.546647748855</v>
      </c>
      <c r="CJ162" s="129">
        <f t="shared" si="529"/>
        <v>27314.02520008554</v>
      </c>
      <c r="CK162" s="129">
        <f t="shared" si="529"/>
        <v>27336.507326327184</v>
      </c>
      <c r="CL162" s="129">
        <f t="shared" si="529"/>
        <v>26373.132289652593</v>
      </c>
      <c r="CM162" s="129">
        <f t="shared" si="529"/>
        <v>25766.469242072202</v>
      </c>
      <c r="CN162" s="129">
        <f t="shared" si="529"/>
        <v>27261.571808812703</v>
      </c>
      <c r="CO162" s="129">
        <f t="shared" si="529"/>
        <v>26222.191819971915</v>
      </c>
      <c r="CP162" s="129">
        <f t="shared" si="529"/>
        <v>25150.563820473704</v>
      </c>
      <c r="CQ162" s="129">
        <f t="shared" ref="CQ162:CS162" si="530">IFERROR(CQ150/CQ158,0)</f>
        <v>25538.589696609288</v>
      </c>
      <c r="CR162" s="129">
        <f t="shared" si="530"/>
        <v>24599.670353802743</v>
      </c>
      <c r="CS162" s="129">
        <f t="shared" si="530"/>
        <v>26206.013582785854</v>
      </c>
      <c r="CT162" s="129">
        <f>SUM(CH151:CS151)/SUM(CH159:CS159)*(1+CT163)</f>
        <v>27159.342119530324</v>
      </c>
      <c r="CU162" s="129">
        <f>CT162*(1+CU163)</f>
        <v>27159.342119530324</v>
      </c>
      <c r="CV162" s="129">
        <f t="shared" ref="CV162:EC162" si="531">CU162*(1+CV163)</f>
        <v>27159.342119530324</v>
      </c>
      <c r="CW162" s="129">
        <f t="shared" si="531"/>
        <v>27159.342119530324</v>
      </c>
      <c r="CX162" s="129">
        <f t="shared" si="531"/>
        <v>27159.342119530324</v>
      </c>
      <c r="CY162" s="129">
        <f t="shared" si="531"/>
        <v>27159.342119530324</v>
      </c>
      <c r="CZ162" s="129">
        <f t="shared" si="531"/>
        <v>27159.342119530324</v>
      </c>
      <c r="DA162" s="129">
        <f t="shared" si="531"/>
        <v>27159.342119530324</v>
      </c>
      <c r="DB162" s="129">
        <f t="shared" si="531"/>
        <v>27159.342119530324</v>
      </c>
      <c r="DC162" s="129">
        <f t="shared" si="531"/>
        <v>27159.342119530324</v>
      </c>
      <c r="DD162" s="129">
        <f t="shared" si="531"/>
        <v>27159.342119530324</v>
      </c>
      <c r="DE162" s="129">
        <f t="shared" si="531"/>
        <v>27159.342119530324</v>
      </c>
      <c r="DF162" s="129">
        <f t="shared" si="531"/>
        <v>27974.122383116235</v>
      </c>
      <c r="DG162" s="129">
        <f t="shared" si="531"/>
        <v>27974.122383116235</v>
      </c>
      <c r="DH162" s="129">
        <f t="shared" si="531"/>
        <v>27974.122383116235</v>
      </c>
      <c r="DI162" s="129">
        <f t="shared" si="531"/>
        <v>27974.122383116235</v>
      </c>
      <c r="DJ162" s="129">
        <f t="shared" si="531"/>
        <v>27974.122383116235</v>
      </c>
      <c r="DK162" s="129">
        <f t="shared" si="531"/>
        <v>27974.122383116235</v>
      </c>
      <c r="DL162" s="129">
        <f t="shared" si="531"/>
        <v>27974.122383116235</v>
      </c>
      <c r="DM162" s="129">
        <f t="shared" si="531"/>
        <v>27974.122383116235</v>
      </c>
      <c r="DN162" s="129">
        <f t="shared" si="531"/>
        <v>27974.122383116235</v>
      </c>
      <c r="DO162" s="129">
        <f t="shared" si="531"/>
        <v>27974.122383116235</v>
      </c>
      <c r="DP162" s="129">
        <f t="shared" si="531"/>
        <v>27974.122383116235</v>
      </c>
      <c r="DQ162" s="129">
        <f t="shared" si="531"/>
        <v>27974.122383116235</v>
      </c>
      <c r="DR162" s="129">
        <f t="shared" si="531"/>
        <v>28813.346054609723</v>
      </c>
      <c r="DS162" s="129">
        <f t="shared" si="531"/>
        <v>28813.346054609723</v>
      </c>
      <c r="DT162" s="129">
        <f t="shared" si="531"/>
        <v>28813.346054609723</v>
      </c>
      <c r="DU162" s="129">
        <f t="shared" si="531"/>
        <v>28813.346054609723</v>
      </c>
      <c r="DV162" s="129">
        <f t="shared" si="531"/>
        <v>28813.346054609723</v>
      </c>
      <c r="DW162" s="129">
        <f t="shared" si="531"/>
        <v>28813.346054609723</v>
      </c>
      <c r="DX162" s="129">
        <f t="shared" si="531"/>
        <v>28813.346054609723</v>
      </c>
      <c r="DY162" s="129">
        <f t="shared" si="531"/>
        <v>28813.346054609723</v>
      </c>
      <c r="DZ162" s="129">
        <f t="shared" si="531"/>
        <v>28813.346054609723</v>
      </c>
      <c r="EA162" s="129">
        <f t="shared" si="531"/>
        <v>28813.346054609723</v>
      </c>
      <c r="EB162" s="129">
        <f t="shared" si="531"/>
        <v>28813.346054609723</v>
      </c>
      <c r="EC162" s="129">
        <f t="shared" si="531"/>
        <v>28813.346054609723</v>
      </c>
    </row>
    <row r="163" spans="1:134" x14ac:dyDescent="0.2">
      <c r="A163" s="698" t="s">
        <v>91</v>
      </c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  <c r="AY163" s="133"/>
      <c r="AZ163" s="133"/>
      <c r="BA163" s="133"/>
      <c r="BB163" s="133"/>
      <c r="BC163" s="133"/>
      <c r="BD163" s="133"/>
      <c r="BE163" s="133"/>
      <c r="BF163" s="133"/>
      <c r="BG163" s="133"/>
      <c r="BH163" s="133"/>
      <c r="BI163" s="133"/>
      <c r="BJ163" s="133"/>
      <c r="BK163" s="133"/>
      <c r="BL163" s="133"/>
      <c r="BM163" s="133"/>
      <c r="BN163" s="133"/>
      <c r="BO163" s="133"/>
      <c r="BP163" s="133"/>
      <c r="BQ163" s="133"/>
      <c r="BR163" s="133"/>
      <c r="BS163" s="133"/>
      <c r="BT163" s="133"/>
      <c r="BU163" s="133"/>
      <c r="BV163" s="133">
        <f t="shared" ref="BV163" si="532">BV162/BU162-1</f>
        <v>1.0726032950366449E-2</v>
      </c>
      <c r="BW163" s="133">
        <f t="shared" ref="BW163" si="533">BW162/BV162-1</f>
        <v>3.2323629261415521E-2</v>
      </c>
      <c r="BX163" s="133">
        <f t="shared" ref="BX163" si="534">BX162/BW162-1</f>
        <v>3.533194081143165E-3</v>
      </c>
      <c r="BY163" s="133">
        <f t="shared" ref="BY163" si="535">BY162/BX162-1</f>
        <v>-1.7135361360178791E-3</v>
      </c>
      <c r="BZ163" s="133">
        <f t="shared" ref="BZ163" si="536">BZ162/BY162-1</f>
        <v>3.2964961262566206E-2</v>
      </c>
      <c r="CA163" s="133">
        <f t="shared" ref="CA163" si="537">CA162/BZ162-1</f>
        <v>2.3848580256811136E-2</v>
      </c>
      <c r="CB163" s="133">
        <f t="shared" ref="CB163" si="538">CB162/CA162-1</f>
        <v>4.967763527031166E-2</v>
      </c>
      <c r="CC163" s="133">
        <f t="shared" ref="CC163" si="539">CC162/CB162-1</f>
        <v>5.2937954767808826E-3</v>
      </c>
      <c r="CD163" s="133">
        <f t="shared" ref="CD163" si="540">CD162/CC162-1</f>
        <v>-2.5417786101231132E-2</v>
      </c>
      <c r="CE163" s="133">
        <f t="shared" ref="CE163" si="541">CE162/CD162-1</f>
        <v>-1.6443124669944797E-3</v>
      </c>
      <c r="CF163" s="133">
        <f t="shared" ref="CF163" si="542">CF162/CE162-1</f>
        <v>-2.5515067923302603E-2</v>
      </c>
      <c r="CG163" s="133">
        <f t="shared" ref="CG163:CR163" si="543">CG162/CF162-1</f>
        <v>3.469701592018426E-2</v>
      </c>
      <c r="CH163" s="133">
        <f t="shared" si="543"/>
        <v>3.3640703770897229E-2</v>
      </c>
      <c r="CI163" s="133">
        <f t="shared" si="543"/>
        <v>-1.0431283333094066E-2</v>
      </c>
      <c r="CJ163" s="133">
        <f t="shared" si="543"/>
        <v>-1.1920375191442734E-2</v>
      </c>
      <c r="CK163" s="133">
        <f t="shared" si="543"/>
        <v>8.2309824630222295E-4</v>
      </c>
      <c r="CL163" s="133">
        <f t="shared" si="543"/>
        <v>-3.5241335887367997E-2</v>
      </c>
      <c r="CM163" s="133">
        <f t="shared" si="543"/>
        <v>-2.3003071494030025E-2</v>
      </c>
      <c r="CN163" s="133">
        <f t="shared" si="543"/>
        <v>5.8025123764309017E-2</v>
      </c>
      <c r="CO163" s="133">
        <f t="shared" si="543"/>
        <v>-3.8126194488345422E-2</v>
      </c>
      <c r="CP163" s="133">
        <f t="shared" si="543"/>
        <v>-4.0867216854161392E-2</v>
      </c>
      <c r="CQ163" s="133">
        <f t="shared" si="543"/>
        <v>1.5428118387537326E-2</v>
      </c>
      <c r="CR163" s="133">
        <f t="shared" si="543"/>
        <v>-3.6764729531294504E-2</v>
      </c>
      <c r="CS163" s="133">
        <f>CS162/CR162-1</f>
        <v>6.5299380271361729E-2</v>
      </c>
      <c r="CT163" s="701">
        <v>0.03</v>
      </c>
      <c r="CU163" s="702"/>
      <c r="CV163" s="702"/>
      <c r="CW163" s="702"/>
      <c r="CX163" s="702"/>
      <c r="CY163" s="702"/>
      <c r="CZ163" s="702"/>
      <c r="DA163" s="702"/>
      <c r="DB163" s="702"/>
      <c r="DC163" s="702"/>
      <c r="DD163" s="702"/>
      <c r="DE163" s="702"/>
      <c r="DF163" s="701">
        <v>0.03</v>
      </c>
      <c r="DG163" s="702"/>
      <c r="DH163" s="702"/>
      <c r="DI163" s="702"/>
      <c r="DJ163" s="702"/>
      <c r="DK163" s="702"/>
      <c r="DL163" s="702"/>
      <c r="DM163" s="702"/>
      <c r="DN163" s="702"/>
      <c r="DO163" s="702"/>
      <c r="DP163" s="702"/>
      <c r="DQ163" s="702"/>
      <c r="DR163" s="701">
        <v>0.03</v>
      </c>
      <c r="DS163" s="702"/>
      <c r="DT163" s="702"/>
      <c r="DU163" s="702"/>
      <c r="DV163" s="702"/>
      <c r="DW163" s="702"/>
      <c r="DX163" s="702"/>
      <c r="DY163" s="702"/>
      <c r="DZ163" s="702"/>
      <c r="EA163" s="702"/>
      <c r="EB163" s="702"/>
      <c r="EC163" s="702"/>
    </row>
    <row r="164" spans="1:134" x14ac:dyDescent="0.2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  <c r="BP164" s="115"/>
      <c r="BQ164" s="115"/>
      <c r="BR164" s="115"/>
      <c r="BS164" s="115"/>
      <c r="BT164" s="115"/>
      <c r="BU164" s="115"/>
      <c r="BV164" s="115"/>
      <c r="BW164" s="115"/>
      <c r="BX164" s="115"/>
      <c r="BY164" s="115"/>
      <c r="BZ164" s="115"/>
      <c r="CA164" s="115"/>
      <c r="CB164" s="115"/>
      <c r="CC164" s="115"/>
      <c r="CD164" s="115"/>
      <c r="CE164" s="115"/>
      <c r="CF164" s="115"/>
      <c r="CG164" s="115"/>
      <c r="CH164" s="115"/>
      <c r="CI164" s="115"/>
      <c r="CJ164" s="115"/>
      <c r="CK164" s="115"/>
      <c r="CL164" s="115"/>
      <c r="CM164" s="115"/>
      <c r="CN164" s="115"/>
      <c r="CO164" s="115"/>
      <c r="CP164" s="115"/>
      <c r="CQ164" s="115"/>
      <c r="CR164" s="115"/>
      <c r="CS164" s="115"/>
      <c r="CT164" s="115"/>
      <c r="CU164" s="115"/>
      <c r="CV164" s="115"/>
      <c r="CW164" s="115"/>
      <c r="CX164" s="115"/>
      <c r="CY164" s="115"/>
      <c r="CZ164" s="115"/>
      <c r="DA164" s="115"/>
      <c r="DB164" s="115"/>
      <c r="DC164" s="115"/>
      <c r="DD164" s="115"/>
      <c r="DE164" s="115"/>
      <c r="DF164" s="115"/>
      <c r="DG164" s="115"/>
      <c r="DH164" s="115"/>
      <c r="DI164" s="115"/>
      <c r="DJ164" s="115"/>
      <c r="DK164" s="115"/>
      <c r="DL164" s="115"/>
      <c r="DM164" s="115"/>
      <c r="DN164" s="115"/>
      <c r="DO164" s="115"/>
      <c r="DP164" s="115"/>
      <c r="DQ164" s="115"/>
      <c r="DR164" s="115"/>
      <c r="DS164" s="115"/>
      <c r="DT164" s="115"/>
      <c r="DU164" s="115"/>
      <c r="DV164" s="115"/>
      <c r="DW164" s="115"/>
      <c r="DX164" s="115"/>
      <c r="DY164" s="115"/>
      <c r="DZ164" s="115"/>
      <c r="EA164" s="115"/>
      <c r="EB164" s="115"/>
      <c r="EC164" s="645"/>
      <c r="ED164" s="113" t="s">
        <v>1</v>
      </c>
    </row>
    <row r="165" spans="1:134" x14ac:dyDescent="0.2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  <c r="BP165" s="115"/>
      <c r="BQ165" s="115"/>
      <c r="BR165" s="115"/>
      <c r="BS165" s="115"/>
      <c r="BT165" s="115"/>
      <c r="BU165" s="115"/>
      <c r="BV165" s="115"/>
      <c r="BW165" s="115"/>
      <c r="BX165" s="115"/>
      <c r="BY165" s="115"/>
      <c r="BZ165" s="115"/>
      <c r="CA165" s="115"/>
      <c r="CB165" s="115"/>
      <c r="CC165" s="115"/>
      <c r="CD165" s="115"/>
      <c r="CE165" s="115"/>
      <c r="CF165" s="115"/>
      <c r="CG165" s="115"/>
      <c r="CH165" s="115"/>
      <c r="CI165" s="115"/>
      <c r="CJ165" s="115"/>
      <c r="CK165" s="115"/>
      <c r="CL165" s="115"/>
      <c r="CM165" s="115"/>
      <c r="CN165" s="115"/>
      <c r="CO165" s="115"/>
      <c r="CP165" s="115"/>
      <c r="CQ165" s="115"/>
      <c r="CR165" s="115"/>
      <c r="CS165" s="115"/>
      <c r="CT165" s="115"/>
      <c r="CU165" s="115"/>
      <c r="CV165" s="115"/>
      <c r="CW165" s="115"/>
      <c r="CX165" s="115"/>
      <c r="CY165" s="115"/>
      <c r="CZ165" s="115"/>
      <c r="DA165" s="115"/>
      <c r="DB165" s="115"/>
      <c r="DC165" s="115"/>
      <c r="DD165" s="115"/>
      <c r="DE165" s="115"/>
      <c r="DF165" s="115"/>
      <c r="DG165" s="115"/>
      <c r="DH165" s="115"/>
      <c r="DI165" s="115"/>
      <c r="DJ165" s="115"/>
      <c r="DK165" s="115"/>
      <c r="DL165" s="115"/>
      <c r="DM165" s="115"/>
      <c r="DN165" s="115"/>
      <c r="DO165" s="115"/>
      <c r="DP165" s="115"/>
      <c r="DQ165" s="115"/>
      <c r="DR165" s="115"/>
      <c r="DS165" s="115"/>
      <c r="DT165" s="115"/>
      <c r="DU165" s="115"/>
      <c r="DV165" s="115"/>
      <c r="DW165" s="115"/>
      <c r="DX165" s="115"/>
      <c r="DY165" s="115"/>
      <c r="DZ165" s="115"/>
      <c r="EA165" s="115"/>
      <c r="EB165" s="115"/>
      <c r="EC165" s="645"/>
      <c r="ED165" s="113" t="s">
        <v>1</v>
      </c>
    </row>
    <row r="166" spans="1:134" x14ac:dyDescent="0.2">
      <c r="A166" s="700" t="s">
        <v>92</v>
      </c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  <c r="BP166" s="115"/>
      <c r="BQ166" s="115"/>
      <c r="BR166" s="115"/>
      <c r="BS166" s="115"/>
      <c r="BT166" s="115"/>
      <c r="BU166" s="115"/>
      <c r="BV166" s="115"/>
      <c r="BW166" s="115"/>
      <c r="BX166" s="115"/>
      <c r="BY166" s="115"/>
      <c r="BZ166" s="115"/>
      <c r="CA166" s="115"/>
      <c r="CB166" s="115"/>
      <c r="CC166" s="115"/>
      <c r="CD166" s="115"/>
      <c r="CE166" s="115"/>
      <c r="CF166" s="115"/>
      <c r="CG166" s="115"/>
      <c r="CH166" s="115"/>
      <c r="CI166" s="115"/>
      <c r="CJ166" s="115"/>
      <c r="CK166" s="115"/>
      <c r="CL166" s="115"/>
      <c r="CM166" s="115"/>
      <c r="CN166" s="115"/>
      <c r="CO166" s="115"/>
      <c r="CP166" s="115"/>
      <c r="CQ166" s="115"/>
      <c r="CR166" s="115"/>
      <c r="CS166" s="115"/>
      <c r="CT166" s="115"/>
      <c r="CU166" s="115"/>
      <c r="CV166" s="115"/>
      <c r="CW166" s="115"/>
      <c r="CX166" s="115"/>
      <c r="CY166" s="115"/>
      <c r="CZ166" s="115"/>
      <c r="DA166" s="115"/>
      <c r="DB166" s="115"/>
      <c r="DC166" s="115"/>
      <c r="DD166" s="115"/>
      <c r="DE166" s="115"/>
      <c r="DF166" s="115"/>
      <c r="DG166" s="115"/>
      <c r="DH166" s="115"/>
      <c r="DI166" s="115"/>
      <c r="DJ166" s="115"/>
      <c r="DK166" s="115"/>
      <c r="DL166" s="115"/>
      <c r="DM166" s="115"/>
      <c r="DN166" s="115"/>
      <c r="DO166" s="115"/>
      <c r="DP166" s="115"/>
      <c r="DQ166" s="115"/>
      <c r="DR166" s="115"/>
      <c r="DS166" s="115"/>
      <c r="DT166" s="115"/>
      <c r="DU166" s="115"/>
      <c r="DV166" s="115"/>
      <c r="DW166" s="115"/>
      <c r="DX166" s="115"/>
      <c r="DY166" s="115"/>
      <c r="DZ166" s="115"/>
      <c r="EA166" s="115"/>
      <c r="EB166" s="115"/>
      <c r="EC166" s="645"/>
      <c r="ED166" s="113" t="s">
        <v>1</v>
      </c>
    </row>
    <row r="167" spans="1:134" x14ac:dyDescent="0.2">
      <c r="A167" s="700" t="s">
        <v>93</v>
      </c>
      <c r="B167" s="131">
        <f>SUM(B168:B169)</f>
        <v>0</v>
      </c>
      <c r="C167" s="131">
        <f t="shared" ref="C167:BN167" si="544">SUM(C168:C169)</f>
        <v>0</v>
      </c>
      <c r="D167" s="131">
        <f t="shared" si="544"/>
        <v>0</v>
      </c>
      <c r="E167" s="131">
        <f t="shared" si="544"/>
        <v>0</v>
      </c>
      <c r="F167" s="131">
        <f t="shared" si="544"/>
        <v>0</v>
      </c>
      <c r="G167" s="131">
        <f t="shared" si="544"/>
        <v>0</v>
      </c>
      <c r="H167" s="131">
        <f t="shared" si="544"/>
        <v>0</v>
      </c>
      <c r="I167" s="131">
        <f t="shared" si="544"/>
        <v>0</v>
      </c>
      <c r="J167" s="131">
        <f t="shared" si="544"/>
        <v>0</v>
      </c>
      <c r="K167" s="131">
        <f t="shared" si="544"/>
        <v>0</v>
      </c>
      <c r="L167" s="131">
        <f t="shared" si="544"/>
        <v>45188.72</v>
      </c>
      <c r="M167" s="131">
        <f t="shared" si="544"/>
        <v>14401.34</v>
      </c>
      <c r="N167" s="131">
        <f t="shared" si="544"/>
        <v>0</v>
      </c>
      <c r="O167" s="131">
        <f t="shared" si="544"/>
        <v>29624</v>
      </c>
      <c r="P167" s="131">
        <f t="shared" si="544"/>
        <v>1166773</v>
      </c>
      <c r="Q167" s="131">
        <f t="shared" si="544"/>
        <v>413272</v>
      </c>
      <c r="R167" s="131">
        <f t="shared" si="544"/>
        <v>156539</v>
      </c>
      <c r="S167" s="131">
        <f t="shared" si="544"/>
        <v>4006057.7999999993</v>
      </c>
      <c r="T167" s="131">
        <f t="shared" si="544"/>
        <v>281230</v>
      </c>
      <c r="U167" s="131">
        <f t="shared" si="544"/>
        <v>4495700</v>
      </c>
      <c r="V167" s="131">
        <f t="shared" si="544"/>
        <v>1391295</v>
      </c>
      <c r="W167" s="131">
        <f t="shared" si="544"/>
        <v>3247790</v>
      </c>
      <c r="X167" s="131">
        <f t="shared" si="544"/>
        <v>23165479</v>
      </c>
      <c r="Y167" s="131">
        <f t="shared" si="544"/>
        <v>7371049</v>
      </c>
      <c r="Z167" s="131">
        <f t="shared" si="544"/>
        <v>3340188</v>
      </c>
      <c r="AA167" s="131">
        <f t="shared" si="544"/>
        <v>5781799</v>
      </c>
      <c r="AB167" s="131">
        <f t="shared" si="544"/>
        <v>7483437.0250000004</v>
      </c>
      <c r="AC167" s="131">
        <f t="shared" si="544"/>
        <v>4584859</v>
      </c>
      <c r="AD167" s="131">
        <f t="shared" si="544"/>
        <v>4787254.0199999996</v>
      </c>
      <c r="AE167" s="131">
        <f t="shared" si="544"/>
        <v>5457613.0249999985</v>
      </c>
      <c r="AF167" s="131">
        <f t="shared" si="544"/>
        <v>8695469.0250000004</v>
      </c>
      <c r="AG167" s="131">
        <f t="shared" si="544"/>
        <v>5657017</v>
      </c>
      <c r="AH167" s="131">
        <f t="shared" si="544"/>
        <v>10141958.000000004</v>
      </c>
      <c r="AI167" s="131">
        <f t="shared" si="544"/>
        <v>18507303.100000001</v>
      </c>
      <c r="AJ167" s="131">
        <f t="shared" si="544"/>
        <v>15155991</v>
      </c>
      <c r="AK167" s="131">
        <f t="shared" si="544"/>
        <v>14631315</v>
      </c>
      <c r="AL167" s="131">
        <f t="shared" si="544"/>
        <v>8298740.0800000001</v>
      </c>
      <c r="AM167" s="131">
        <f t="shared" si="544"/>
        <v>3561271.0999999973</v>
      </c>
      <c r="AN167" s="131">
        <f t="shared" si="544"/>
        <v>4606447.0499999467</v>
      </c>
      <c r="AO167" s="131">
        <f t="shared" si="544"/>
        <v>5710635</v>
      </c>
      <c r="AP167" s="131">
        <f t="shared" si="544"/>
        <v>2880500</v>
      </c>
      <c r="AQ167" s="131">
        <f t="shared" si="544"/>
        <v>3210812</v>
      </c>
      <c r="AR167" s="131">
        <f t="shared" si="544"/>
        <v>7701886.0499999998</v>
      </c>
      <c r="AS167" s="131">
        <f t="shared" si="544"/>
        <v>10390569.050000001</v>
      </c>
      <c r="AT167" s="131">
        <f t="shared" si="544"/>
        <v>21431296</v>
      </c>
      <c r="AU167" s="131">
        <f t="shared" si="544"/>
        <v>20628347.169999998</v>
      </c>
      <c r="AV167" s="131">
        <f t="shared" si="544"/>
        <v>15745518</v>
      </c>
      <c r="AW167" s="131">
        <f t="shared" si="544"/>
        <v>16029261.199999999</v>
      </c>
      <c r="AX167" s="131">
        <f t="shared" si="544"/>
        <v>7448353.9900000002</v>
      </c>
      <c r="AY167" s="131">
        <f t="shared" si="544"/>
        <v>10536815.060000001</v>
      </c>
      <c r="AZ167" s="131">
        <f t="shared" si="544"/>
        <v>17815995.359999999</v>
      </c>
      <c r="BA167" s="131">
        <f t="shared" si="544"/>
        <v>21967094.319999982</v>
      </c>
      <c r="BB167" s="131">
        <f t="shared" si="544"/>
        <v>21013238.759999979</v>
      </c>
      <c r="BC167" s="131">
        <f t="shared" si="544"/>
        <v>26811307.949999984</v>
      </c>
      <c r="BD167" s="131">
        <f t="shared" si="544"/>
        <v>29604812.639999986</v>
      </c>
      <c r="BE167" s="131">
        <f t="shared" si="544"/>
        <v>35587355.25</v>
      </c>
      <c r="BF167" s="131">
        <f t="shared" si="544"/>
        <v>42634668.859999985</v>
      </c>
      <c r="BG167" s="131">
        <f t="shared" si="544"/>
        <v>30266807.07</v>
      </c>
      <c r="BH167" s="131">
        <f t="shared" si="544"/>
        <v>34270896.709999993</v>
      </c>
      <c r="BI167" s="131">
        <f t="shared" si="544"/>
        <v>75821838.350000113</v>
      </c>
      <c r="BJ167" s="131">
        <f t="shared" si="544"/>
        <v>75000837.702900261</v>
      </c>
      <c r="BK167" s="131">
        <f t="shared" si="544"/>
        <v>66242323.428300701</v>
      </c>
      <c r="BL167" s="131">
        <f t="shared" si="544"/>
        <v>61992288.316796906</v>
      </c>
      <c r="BM167" s="131">
        <f t="shared" si="544"/>
        <v>83797824.555950761</v>
      </c>
      <c r="BN167" s="131">
        <f t="shared" si="544"/>
        <v>64337075.079313576</v>
      </c>
      <c r="BO167" s="131">
        <f t="shared" ref="BO167:DQ167" si="545">SUM(BO168:BO169)</f>
        <v>80094705.911831737</v>
      </c>
      <c r="BP167" s="131">
        <f t="shared" si="545"/>
        <v>110750679.92354873</v>
      </c>
      <c r="BQ167" s="131">
        <f t="shared" si="545"/>
        <v>86969746.886757255</v>
      </c>
      <c r="BR167" s="131">
        <f t="shared" si="545"/>
        <v>68662283.398047894</v>
      </c>
      <c r="BS167" s="131">
        <f t="shared" si="545"/>
        <v>69485129.439170867</v>
      </c>
      <c r="BT167" s="131">
        <f t="shared" si="545"/>
        <v>78284819.977285311</v>
      </c>
      <c r="BU167" s="131">
        <f t="shared" si="545"/>
        <v>61100254</v>
      </c>
      <c r="BV167" s="131">
        <f t="shared" si="545"/>
        <v>67336287.00135459</v>
      </c>
      <c r="BW167" s="131">
        <f t="shared" si="545"/>
        <v>72663141.375642285</v>
      </c>
      <c r="BX167" s="131">
        <f t="shared" si="545"/>
        <v>70978356.135166034</v>
      </c>
      <c r="BY167" s="131">
        <f t="shared" si="545"/>
        <v>76374290.018131271</v>
      </c>
      <c r="BZ167" s="131">
        <f t="shared" si="545"/>
        <v>81213938.385640159</v>
      </c>
      <c r="CA167" s="131">
        <f t="shared" si="545"/>
        <v>82608537.574527636</v>
      </c>
      <c r="CB167" s="131">
        <f t="shared" si="545"/>
        <v>70181602.439170733</v>
      </c>
      <c r="CC167" s="131">
        <f t="shared" si="545"/>
        <v>76134056.059188887</v>
      </c>
      <c r="CD167" s="131">
        <f t="shared" si="545"/>
        <v>71718804.892820045</v>
      </c>
      <c r="CE167" s="131">
        <f t="shared" si="545"/>
        <v>88276103.901116952</v>
      </c>
      <c r="CF167" s="131">
        <f t="shared" si="545"/>
        <v>87900977.298842773</v>
      </c>
      <c r="CG167" s="131">
        <f t="shared" si="545"/>
        <v>122481478.46658428</v>
      </c>
      <c r="CH167" s="131">
        <f t="shared" si="545"/>
        <v>130288537.13456243</v>
      </c>
      <c r="CI167" s="131">
        <f t="shared" si="545"/>
        <v>126101952.34102412</v>
      </c>
      <c r="CJ167" s="131">
        <f t="shared" si="545"/>
        <v>125553900.74023493</v>
      </c>
      <c r="CK167" s="131">
        <f t="shared" si="545"/>
        <v>116592179.83000053</v>
      </c>
      <c r="CL167" s="131">
        <f t="shared" si="545"/>
        <v>113948660.62000078</v>
      </c>
      <c r="CM167" s="131">
        <f t="shared" si="545"/>
        <v>61477975.21000044</v>
      </c>
      <c r="CN167" s="131">
        <f t="shared" si="545"/>
        <v>127727227.58999993</v>
      </c>
      <c r="CO167" s="131">
        <f t="shared" si="545"/>
        <v>114688809.56999992</v>
      </c>
      <c r="CP167" s="131">
        <f t="shared" si="545"/>
        <v>127168565.17000028</v>
      </c>
      <c r="CQ167" s="131">
        <f t="shared" si="545"/>
        <v>131547257.53999972</v>
      </c>
      <c r="CR167" s="131">
        <f t="shared" si="545"/>
        <v>117221203.89999908</v>
      </c>
      <c r="CS167" s="131">
        <f t="shared" si="545"/>
        <v>123944195.34999995</v>
      </c>
      <c r="CT167" s="131">
        <f t="shared" si="545"/>
        <v>117111847.43208978</v>
      </c>
      <c r="CU167" s="131">
        <f t="shared" si="545"/>
        <v>118303771.68478613</v>
      </c>
      <c r="CV167" s="131">
        <f t="shared" si="545"/>
        <v>118219138.01003847</v>
      </c>
      <c r="CW167" s="131">
        <f t="shared" si="545"/>
        <v>120003497.98596853</v>
      </c>
      <c r="CX167" s="131">
        <f t="shared" si="545"/>
        <v>113077642.26911744</v>
      </c>
      <c r="CY167" s="131">
        <f t="shared" si="545"/>
        <v>123699168.44995016</v>
      </c>
      <c r="CZ167" s="131">
        <f t="shared" si="545"/>
        <v>120278557.42889847</v>
      </c>
      <c r="DA167" s="131">
        <f t="shared" si="545"/>
        <v>120560669.67805737</v>
      </c>
      <c r="DB167" s="131">
        <f t="shared" si="545"/>
        <v>147989033.10253173</v>
      </c>
      <c r="DC167" s="131">
        <f t="shared" si="545"/>
        <v>159456896.03084117</v>
      </c>
      <c r="DD167" s="131">
        <f t="shared" si="545"/>
        <v>136704543.1361756</v>
      </c>
      <c r="DE167" s="131">
        <f t="shared" si="545"/>
        <v>147721026.46583077</v>
      </c>
      <c r="DF167" s="131">
        <f t="shared" si="545"/>
        <v>138718983.28331032</v>
      </c>
      <c r="DG167" s="131">
        <f t="shared" si="545"/>
        <v>140130817.56062916</v>
      </c>
      <c r="DH167" s="131">
        <f t="shared" si="545"/>
        <v>140030568.97289056</v>
      </c>
      <c r="DI167" s="131">
        <f t="shared" si="545"/>
        <v>142144143.3643797</v>
      </c>
      <c r="DJ167" s="131">
        <f t="shared" si="545"/>
        <v>133940467.26776959</v>
      </c>
      <c r="DK167" s="131">
        <f t="shared" si="545"/>
        <v>146521665.02896595</v>
      </c>
      <c r="DL167" s="131">
        <f t="shared" si="545"/>
        <v>142469951.2745302</v>
      </c>
      <c r="DM167" s="131">
        <f t="shared" si="545"/>
        <v>142804113.23365894</v>
      </c>
      <c r="DN167" s="131">
        <f t="shared" si="545"/>
        <v>175293009.70994884</v>
      </c>
      <c r="DO167" s="131">
        <f t="shared" si="545"/>
        <v>188876693.34853137</v>
      </c>
      <c r="DP167" s="131">
        <f t="shared" si="545"/>
        <v>161926531.3448</v>
      </c>
      <c r="DQ167" s="131">
        <f t="shared" si="545"/>
        <v>174975555.84877658</v>
      </c>
      <c r="DR167" s="131">
        <f t="shared" ref="DR167:EC167" si="546">SUM(DR168:DR169)</f>
        <v>164312635.69908112</v>
      </c>
      <c r="DS167" s="131">
        <f t="shared" si="546"/>
        <v>165984953.4005653</v>
      </c>
      <c r="DT167" s="131">
        <f t="shared" si="546"/>
        <v>165866208.9483889</v>
      </c>
      <c r="DU167" s="131">
        <f t="shared" si="546"/>
        <v>168369737.81510782</v>
      </c>
      <c r="DV167" s="131">
        <f t="shared" si="546"/>
        <v>158652483.47867313</v>
      </c>
      <c r="DW167" s="131">
        <f t="shared" si="546"/>
        <v>173554912.22681022</v>
      </c>
      <c r="DX167" s="131">
        <f t="shared" si="546"/>
        <v>168755657.28468105</v>
      </c>
      <c r="DY167" s="131">
        <f t="shared" si="546"/>
        <v>169151472.125269</v>
      </c>
      <c r="DZ167" s="131">
        <f t="shared" si="546"/>
        <v>207634570.00143439</v>
      </c>
      <c r="EA167" s="131">
        <f t="shared" si="546"/>
        <v>223724443.27133533</v>
      </c>
      <c r="EB167" s="131">
        <f t="shared" si="546"/>
        <v>191801976.37791553</v>
      </c>
      <c r="EC167" s="131">
        <f t="shared" si="546"/>
        <v>207258545.90287578</v>
      </c>
      <c r="ED167" s="113" t="s">
        <v>1</v>
      </c>
    </row>
    <row r="168" spans="1:134" x14ac:dyDescent="0.2">
      <c r="A168" s="713" t="s">
        <v>132</v>
      </c>
      <c r="B168" s="129"/>
      <c r="C168" s="129"/>
      <c r="D168" s="129"/>
      <c r="E168" s="129"/>
      <c r="F168" s="129"/>
      <c r="G168" s="129"/>
      <c r="H168" s="129"/>
      <c r="I168" s="129"/>
      <c r="J168" s="129"/>
      <c r="K168" s="129">
        <v>0</v>
      </c>
      <c r="L168" s="129">
        <v>0</v>
      </c>
      <c r="M168" s="129">
        <v>0</v>
      </c>
      <c r="N168" s="129">
        <v>0</v>
      </c>
      <c r="O168" s="129">
        <v>0</v>
      </c>
      <c r="P168" s="129">
        <v>0</v>
      </c>
      <c r="Q168" s="129">
        <v>0</v>
      </c>
      <c r="R168" s="129">
        <v>0</v>
      </c>
      <c r="S168" s="129">
        <v>0</v>
      </c>
      <c r="T168" s="129">
        <v>0</v>
      </c>
      <c r="U168" s="129">
        <v>0</v>
      </c>
      <c r="V168" s="129">
        <v>0</v>
      </c>
      <c r="W168" s="129">
        <v>0</v>
      </c>
      <c r="X168" s="129">
        <v>0</v>
      </c>
      <c r="Y168" s="129">
        <v>0</v>
      </c>
      <c r="Z168" s="129">
        <v>0</v>
      </c>
      <c r="AA168" s="129">
        <v>0</v>
      </c>
      <c r="AB168" s="129">
        <v>55013.024999999907</v>
      </c>
      <c r="AC168" s="129">
        <v>18299</v>
      </c>
      <c r="AD168" s="129">
        <v>93046.020000000019</v>
      </c>
      <c r="AE168" s="129">
        <v>61322.025000000023</v>
      </c>
      <c r="AF168" s="129">
        <v>26538.024999999907</v>
      </c>
      <c r="AG168" s="129">
        <v>0</v>
      </c>
      <c r="AH168" s="129">
        <v>144892</v>
      </c>
      <c r="AI168" s="129">
        <v>32518</v>
      </c>
      <c r="AJ168" s="129">
        <v>191679</v>
      </c>
      <c r="AK168" s="129">
        <v>247318</v>
      </c>
      <c r="AL168" s="129">
        <v>208143.07999999961</v>
      </c>
      <c r="AM168" s="129">
        <v>184705.0999999973</v>
      </c>
      <c r="AN168" s="129">
        <v>151295.04999999516</v>
      </c>
      <c r="AO168" s="129">
        <v>367997</v>
      </c>
      <c r="AP168" s="129">
        <v>103185</v>
      </c>
      <c r="AQ168" s="129">
        <v>55683</v>
      </c>
      <c r="AR168" s="129">
        <v>1152032.0499999998</v>
      </c>
      <c r="AS168" s="129">
        <v>948856.05000000075</v>
      </c>
      <c r="AT168" s="129">
        <v>1635594</v>
      </c>
      <c r="AU168" s="129">
        <v>1921789.1699999981</v>
      </c>
      <c r="AV168" s="129">
        <v>2919967</v>
      </c>
      <c r="AW168" s="129">
        <v>10653825.199999999</v>
      </c>
      <c r="AX168" s="129">
        <v>5332350.99</v>
      </c>
      <c r="AY168" s="129">
        <v>4489392.0600000005</v>
      </c>
      <c r="AZ168" s="129">
        <v>14616234.359999999</v>
      </c>
      <c r="BA168" s="129">
        <v>19886846.319999982</v>
      </c>
      <c r="BB168" s="129">
        <v>18850241.759999979</v>
      </c>
      <c r="BC168" s="129">
        <v>22870050.129999984</v>
      </c>
      <c r="BD168" s="129">
        <v>22352591.139999986</v>
      </c>
      <c r="BE168" s="129">
        <v>20401411.25</v>
      </c>
      <c r="BF168" s="129">
        <v>26628443.859999981</v>
      </c>
      <c r="BG168" s="129">
        <v>21813497.07</v>
      </c>
      <c r="BH168" s="129">
        <v>28392750.70999999</v>
      </c>
      <c r="BI168" s="129">
        <v>64248156.350000121</v>
      </c>
      <c r="BJ168" s="129">
        <v>68636000.702900261</v>
      </c>
      <c r="BK168" s="129">
        <v>64181226.428300701</v>
      </c>
      <c r="BL168" s="129">
        <v>61811032.316796906</v>
      </c>
      <c r="BM168" s="129">
        <v>83797824.555950761</v>
      </c>
      <c r="BN168" s="129">
        <v>64337075.079313576</v>
      </c>
      <c r="BO168" s="129">
        <v>80094705.911831737</v>
      </c>
      <c r="BP168" s="129">
        <v>110750679.92354873</v>
      </c>
      <c r="BQ168" s="129">
        <v>86969746.886757255</v>
      </c>
      <c r="BR168" s="129">
        <v>68662283.398047894</v>
      </c>
      <c r="BS168" s="129">
        <v>69485129.439170867</v>
      </c>
      <c r="BT168" s="129">
        <v>78284819.977285311</v>
      </c>
      <c r="BU168" s="129">
        <v>61100254</v>
      </c>
      <c r="BV168" s="129">
        <v>67336287.00135459</v>
      </c>
      <c r="BW168" s="129">
        <v>72663141.375642285</v>
      </c>
      <c r="BX168" s="129">
        <v>70978356.135166034</v>
      </c>
      <c r="BY168" s="129">
        <v>76374290.018131271</v>
      </c>
      <c r="BZ168" s="129">
        <v>81213938.385640159</v>
      </c>
      <c r="CA168" s="129">
        <v>82608537.574527636</v>
      </c>
      <c r="CB168" s="129">
        <v>70181602.439170733</v>
      </c>
      <c r="CC168" s="129">
        <v>76134056.059188887</v>
      </c>
      <c r="CD168" s="129">
        <v>71718804.892820045</v>
      </c>
      <c r="CE168" s="129">
        <v>88276103.901116952</v>
      </c>
      <c r="CF168" s="129">
        <v>87900977.298842773</v>
      </c>
      <c r="CG168" s="129">
        <v>122481478.46658428</v>
      </c>
      <c r="CH168" s="129">
        <v>130288537.13456243</v>
      </c>
      <c r="CI168" s="129">
        <v>126101952.34102412</v>
      </c>
      <c r="CJ168" s="129">
        <v>125553900.74023493</v>
      </c>
      <c r="CK168" s="129">
        <v>116592179.83000053</v>
      </c>
      <c r="CL168" s="129">
        <v>113948660.62000078</v>
      </c>
      <c r="CM168" s="129">
        <v>61477975.21000044</v>
      </c>
      <c r="CN168" s="129">
        <v>127727227.58999993</v>
      </c>
      <c r="CO168" s="129">
        <v>114688809.56999992</v>
      </c>
      <c r="CP168" s="129">
        <v>127168565.17000028</v>
      </c>
      <c r="CQ168" s="129">
        <v>131547257.53999972</v>
      </c>
      <c r="CR168" s="129">
        <v>117221203.89999908</v>
      </c>
      <c r="CS168" s="129">
        <v>123944195.34999995</v>
      </c>
      <c r="CT168" s="129">
        <f>CS168/CS151*CT151</f>
        <v>117111847.43208978</v>
      </c>
      <c r="CU168" s="129">
        <f t="shared" ref="CU168:DQ168" si="547">CT168/CT151*CU151</f>
        <v>118303771.68478613</v>
      </c>
      <c r="CV168" s="129">
        <f t="shared" si="547"/>
        <v>118219138.01003847</v>
      </c>
      <c r="CW168" s="129">
        <f t="shared" si="547"/>
        <v>120003497.98596853</v>
      </c>
      <c r="CX168" s="129">
        <f t="shared" si="547"/>
        <v>113077642.26911744</v>
      </c>
      <c r="CY168" s="129">
        <f t="shared" si="547"/>
        <v>123699168.44995016</v>
      </c>
      <c r="CZ168" s="129">
        <f t="shared" si="547"/>
        <v>120278557.42889847</v>
      </c>
      <c r="DA168" s="129">
        <f t="shared" si="547"/>
        <v>120560669.67805737</v>
      </c>
      <c r="DB168" s="129">
        <f t="shared" si="547"/>
        <v>147989033.10253173</v>
      </c>
      <c r="DC168" s="129">
        <f t="shared" si="547"/>
        <v>159456896.03084117</v>
      </c>
      <c r="DD168" s="129">
        <f t="shared" si="547"/>
        <v>136704543.1361756</v>
      </c>
      <c r="DE168" s="129">
        <f t="shared" si="547"/>
        <v>147721026.46583077</v>
      </c>
      <c r="DF168" s="129">
        <f t="shared" si="547"/>
        <v>138718983.28331032</v>
      </c>
      <c r="DG168" s="129">
        <f t="shared" si="547"/>
        <v>140130817.56062916</v>
      </c>
      <c r="DH168" s="129">
        <f t="shared" si="547"/>
        <v>140030568.97289056</v>
      </c>
      <c r="DI168" s="129">
        <f t="shared" si="547"/>
        <v>142144143.3643797</v>
      </c>
      <c r="DJ168" s="129">
        <f t="shared" si="547"/>
        <v>133940467.26776959</v>
      </c>
      <c r="DK168" s="129">
        <f t="shared" si="547"/>
        <v>146521665.02896595</v>
      </c>
      <c r="DL168" s="129">
        <f t="shared" si="547"/>
        <v>142469951.2745302</v>
      </c>
      <c r="DM168" s="129">
        <f t="shared" si="547"/>
        <v>142804113.23365894</v>
      </c>
      <c r="DN168" s="129">
        <f t="shared" si="547"/>
        <v>175293009.70994884</v>
      </c>
      <c r="DO168" s="129">
        <f t="shared" si="547"/>
        <v>188876693.34853137</v>
      </c>
      <c r="DP168" s="129">
        <f t="shared" si="547"/>
        <v>161926531.3448</v>
      </c>
      <c r="DQ168" s="129">
        <f t="shared" si="547"/>
        <v>174975555.84877658</v>
      </c>
      <c r="DR168" s="129">
        <f t="shared" ref="DR168" si="548">DQ168/DQ151*DR151</f>
        <v>164312635.69908112</v>
      </c>
      <c r="DS168" s="129">
        <f t="shared" ref="DS168" si="549">DR168/DR151*DS151</f>
        <v>165984953.4005653</v>
      </c>
      <c r="DT168" s="129">
        <f t="shared" ref="DT168" si="550">DS168/DS151*DT151</f>
        <v>165866208.9483889</v>
      </c>
      <c r="DU168" s="129">
        <f t="shared" ref="DU168" si="551">DT168/DT151*DU151</f>
        <v>168369737.81510782</v>
      </c>
      <c r="DV168" s="129">
        <f t="shared" ref="DV168" si="552">DU168/DU151*DV151</f>
        <v>158652483.47867313</v>
      </c>
      <c r="DW168" s="129">
        <f t="shared" ref="DW168" si="553">DV168/DV151*DW151</f>
        <v>173554912.22681022</v>
      </c>
      <c r="DX168" s="129">
        <f t="shared" ref="DX168" si="554">DW168/DW151*DX151</f>
        <v>168755657.28468105</v>
      </c>
      <c r="DY168" s="129">
        <f t="shared" ref="DY168" si="555">DX168/DX151*DY151</f>
        <v>169151472.125269</v>
      </c>
      <c r="DZ168" s="129">
        <f t="shared" ref="DZ168" si="556">DY168/DY151*DZ151</f>
        <v>207634570.00143439</v>
      </c>
      <c r="EA168" s="129">
        <f t="shared" ref="EA168" si="557">DZ168/DZ151*EA151</f>
        <v>223724443.27133533</v>
      </c>
      <c r="EB168" s="129">
        <f t="shared" ref="EB168" si="558">EA168/EA151*EB151</f>
        <v>191801976.37791553</v>
      </c>
      <c r="EC168" s="129">
        <f t="shared" ref="EC168" si="559">EB168/EB151*EC151</f>
        <v>207258545.90287578</v>
      </c>
      <c r="ED168" s="113" t="s">
        <v>1</v>
      </c>
    </row>
    <row r="169" spans="1:134" x14ac:dyDescent="0.2">
      <c r="A169" s="713" t="s">
        <v>133</v>
      </c>
      <c r="B169" s="129"/>
      <c r="C169" s="129"/>
      <c r="D169" s="129"/>
      <c r="E169" s="129"/>
      <c r="F169" s="129"/>
      <c r="G169" s="129"/>
      <c r="H169" s="129"/>
      <c r="I169" s="129"/>
      <c r="J169" s="129"/>
      <c r="K169" s="129">
        <v>0</v>
      </c>
      <c r="L169" s="129">
        <v>45188.72</v>
      </c>
      <c r="M169" s="129">
        <v>14401.34</v>
      </c>
      <c r="N169" s="129">
        <v>0</v>
      </c>
      <c r="O169" s="129">
        <v>29624</v>
      </c>
      <c r="P169" s="129">
        <v>1166773</v>
      </c>
      <c r="Q169" s="129">
        <v>413272</v>
      </c>
      <c r="R169" s="129">
        <v>156539</v>
      </c>
      <c r="S169" s="129">
        <v>4006057.7999999993</v>
      </c>
      <c r="T169" s="129">
        <v>281230</v>
      </c>
      <c r="U169" s="129">
        <v>4495700</v>
      </c>
      <c r="V169" s="129">
        <v>1391295</v>
      </c>
      <c r="W169" s="129">
        <v>3247790</v>
      </c>
      <c r="X169" s="129">
        <v>23165479</v>
      </c>
      <c r="Y169" s="129">
        <v>7371049</v>
      </c>
      <c r="Z169" s="129">
        <v>3340188</v>
      </c>
      <c r="AA169" s="129">
        <v>5781799</v>
      </c>
      <c r="AB169" s="129">
        <v>7428424</v>
      </c>
      <c r="AC169" s="129">
        <v>4566560</v>
      </c>
      <c r="AD169" s="129">
        <v>4694208</v>
      </c>
      <c r="AE169" s="129">
        <v>5396290.9999999981</v>
      </c>
      <c r="AF169" s="129">
        <v>8668931</v>
      </c>
      <c r="AG169" s="129">
        <v>5657017</v>
      </c>
      <c r="AH169" s="129">
        <v>9997066.0000000037</v>
      </c>
      <c r="AI169" s="129">
        <v>18474785.100000001</v>
      </c>
      <c r="AJ169" s="129">
        <v>14964312</v>
      </c>
      <c r="AK169" s="129">
        <v>14383997</v>
      </c>
      <c r="AL169" s="129">
        <v>8090597</v>
      </c>
      <c r="AM169" s="129">
        <v>3376566</v>
      </c>
      <c r="AN169" s="129">
        <v>4455151.9999999516</v>
      </c>
      <c r="AO169" s="129">
        <v>5342638</v>
      </c>
      <c r="AP169" s="129">
        <v>2777315</v>
      </c>
      <c r="AQ169" s="129">
        <v>3155129</v>
      </c>
      <c r="AR169" s="129">
        <v>6549854</v>
      </c>
      <c r="AS169" s="129">
        <v>9441713</v>
      </c>
      <c r="AT169" s="129">
        <v>19795702</v>
      </c>
      <c r="AU169" s="129">
        <v>18706558</v>
      </c>
      <c r="AV169" s="129">
        <v>12825551</v>
      </c>
      <c r="AW169" s="129">
        <v>5375436</v>
      </c>
      <c r="AX169" s="129">
        <v>2116003</v>
      </c>
      <c r="AY169" s="129">
        <v>6047423</v>
      </c>
      <c r="AZ169" s="129">
        <v>3199761</v>
      </c>
      <c r="BA169" s="129">
        <v>2080248</v>
      </c>
      <c r="BB169" s="129">
        <v>2162997</v>
      </c>
      <c r="BC169" s="129">
        <v>3941257.8200000003</v>
      </c>
      <c r="BD169" s="129">
        <v>7252221.5</v>
      </c>
      <c r="BE169" s="129">
        <v>15185944</v>
      </c>
      <c r="BF169" s="129">
        <v>16006225</v>
      </c>
      <c r="BG169" s="129">
        <v>8453310</v>
      </c>
      <c r="BH169" s="129">
        <v>5878146</v>
      </c>
      <c r="BI169" s="129">
        <v>11573682</v>
      </c>
      <c r="BJ169" s="129">
        <v>6364837</v>
      </c>
      <c r="BK169" s="129">
        <v>2061097</v>
      </c>
      <c r="BL169" s="129">
        <v>181256</v>
      </c>
      <c r="BM169" s="129">
        <v>0</v>
      </c>
      <c r="BN169" s="129">
        <v>0</v>
      </c>
      <c r="BO169" s="129">
        <v>0</v>
      </c>
      <c r="BP169" s="129">
        <v>0</v>
      </c>
      <c r="BQ169" s="129">
        <v>0</v>
      </c>
      <c r="BR169" s="129">
        <v>0</v>
      </c>
      <c r="BS169" s="129">
        <v>0</v>
      </c>
      <c r="BT169" s="129">
        <v>0</v>
      </c>
      <c r="BU169" s="129">
        <v>0</v>
      </c>
      <c r="BV169" s="129">
        <v>0</v>
      </c>
      <c r="BW169" s="129">
        <v>0</v>
      </c>
      <c r="BX169" s="129">
        <v>0</v>
      </c>
      <c r="BY169" s="129">
        <v>0</v>
      </c>
      <c r="BZ169" s="129">
        <v>0</v>
      </c>
      <c r="CA169" s="129">
        <v>0</v>
      </c>
      <c r="CB169" s="129">
        <v>0</v>
      </c>
      <c r="CC169" s="129">
        <v>0</v>
      </c>
      <c r="CD169" s="129">
        <v>0</v>
      </c>
      <c r="CE169" s="129">
        <v>0</v>
      </c>
      <c r="CF169" s="129">
        <v>0</v>
      </c>
      <c r="CG169" s="129">
        <v>0</v>
      </c>
      <c r="CH169" s="129">
        <v>0</v>
      </c>
      <c r="CI169" s="129">
        <v>0</v>
      </c>
      <c r="CJ169" s="129">
        <v>0</v>
      </c>
      <c r="CK169" s="129">
        <v>0</v>
      </c>
      <c r="CL169" s="129">
        <v>0</v>
      </c>
      <c r="CM169" s="129">
        <v>0</v>
      </c>
      <c r="CN169" s="129">
        <v>0</v>
      </c>
      <c r="CO169" s="129">
        <v>0</v>
      </c>
      <c r="CP169" s="129">
        <v>0</v>
      </c>
      <c r="CQ169" s="129">
        <v>0</v>
      </c>
      <c r="CR169" s="129">
        <v>0</v>
      </c>
      <c r="CS169" s="129">
        <v>0</v>
      </c>
      <c r="CT169" s="129">
        <v>0</v>
      </c>
      <c r="CU169" s="129">
        <v>0</v>
      </c>
      <c r="CV169" s="129">
        <v>0</v>
      </c>
      <c r="CW169" s="129">
        <v>0</v>
      </c>
      <c r="CX169" s="129">
        <v>0</v>
      </c>
      <c r="CY169" s="129">
        <v>0</v>
      </c>
      <c r="CZ169" s="129">
        <v>0</v>
      </c>
      <c r="DA169" s="129">
        <v>0</v>
      </c>
      <c r="DB169" s="129">
        <v>0</v>
      </c>
      <c r="DC169" s="129">
        <v>0</v>
      </c>
      <c r="DD169" s="129">
        <v>0</v>
      </c>
      <c r="DE169" s="129">
        <v>0</v>
      </c>
      <c r="DF169" s="129">
        <v>0</v>
      </c>
      <c r="DG169" s="129">
        <v>0</v>
      </c>
      <c r="DH169" s="129">
        <v>0</v>
      </c>
      <c r="DI169" s="129">
        <v>0</v>
      </c>
      <c r="DJ169" s="129">
        <v>0</v>
      </c>
      <c r="DK169" s="129">
        <v>0</v>
      </c>
      <c r="DL169" s="129">
        <v>0</v>
      </c>
      <c r="DM169" s="129">
        <v>0</v>
      </c>
      <c r="DN169" s="129">
        <v>0</v>
      </c>
      <c r="DO169" s="129">
        <v>0</v>
      </c>
      <c r="DP169" s="129">
        <v>0</v>
      </c>
      <c r="DQ169" s="129">
        <v>0</v>
      </c>
      <c r="DR169" s="129">
        <v>0</v>
      </c>
      <c r="DS169" s="129">
        <v>0</v>
      </c>
      <c r="DT169" s="129">
        <v>0</v>
      </c>
      <c r="DU169" s="129">
        <v>0</v>
      </c>
      <c r="DV169" s="129">
        <v>0</v>
      </c>
      <c r="DW169" s="129">
        <v>0</v>
      </c>
      <c r="DX169" s="129">
        <v>0</v>
      </c>
      <c r="DY169" s="129">
        <v>0</v>
      </c>
      <c r="DZ169" s="129">
        <v>0</v>
      </c>
      <c r="EA169" s="129">
        <v>0</v>
      </c>
      <c r="EB169" s="129">
        <v>0</v>
      </c>
      <c r="EC169" s="129">
        <v>0</v>
      </c>
      <c r="ED169" s="113" t="s">
        <v>1</v>
      </c>
    </row>
    <row r="170" spans="1:134" x14ac:dyDescent="0.2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15"/>
      <c r="AJ170" s="115"/>
      <c r="AK170" s="115"/>
      <c r="AL170" s="115"/>
      <c r="AM170" s="115"/>
      <c r="AN170" s="115"/>
      <c r="AO170" s="115"/>
      <c r="AP170" s="115"/>
      <c r="AQ170" s="115"/>
      <c r="AR170" s="115"/>
      <c r="AS170" s="115"/>
      <c r="AT170" s="115"/>
      <c r="AU170" s="115"/>
      <c r="AV170" s="115"/>
      <c r="AW170" s="115"/>
      <c r="AX170" s="115"/>
      <c r="AY170" s="115"/>
      <c r="AZ170" s="115"/>
      <c r="BA170" s="115"/>
      <c r="BB170" s="115"/>
      <c r="BC170" s="115"/>
      <c r="BD170" s="115"/>
      <c r="BE170" s="115"/>
      <c r="BF170" s="115"/>
      <c r="BG170" s="115"/>
      <c r="BH170" s="115"/>
      <c r="BI170" s="115"/>
      <c r="BJ170" s="115"/>
      <c r="BK170" s="115"/>
      <c r="BL170" s="115"/>
      <c r="BM170" s="115"/>
      <c r="BN170" s="115"/>
      <c r="BO170" s="115"/>
      <c r="BP170" s="115"/>
      <c r="BQ170" s="115"/>
      <c r="BR170" s="115"/>
      <c r="BS170" s="115"/>
      <c r="BT170" s="115"/>
      <c r="BU170" s="115"/>
      <c r="BV170" s="115"/>
      <c r="BW170" s="115"/>
      <c r="BX170" s="115"/>
      <c r="BY170" s="115"/>
      <c r="BZ170" s="115"/>
      <c r="CA170" s="115"/>
      <c r="CB170" s="115"/>
      <c r="CC170" s="115"/>
      <c r="CD170" s="115"/>
      <c r="CE170" s="115"/>
      <c r="CF170" s="115"/>
      <c r="CG170" s="115"/>
      <c r="CH170" s="115"/>
      <c r="CI170" s="115"/>
      <c r="CJ170" s="115"/>
      <c r="CK170" s="115"/>
      <c r="CL170" s="115"/>
      <c r="CM170" s="115"/>
      <c r="CN170" s="115"/>
      <c r="CO170" s="115"/>
      <c r="CP170" s="115"/>
      <c r="CQ170" s="115"/>
      <c r="CR170" s="115"/>
      <c r="CS170" s="115"/>
      <c r="CT170" s="115"/>
      <c r="CU170" s="115"/>
      <c r="CV170" s="115"/>
      <c r="CW170" s="115"/>
      <c r="CX170" s="115"/>
      <c r="CY170" s="115"/>
      <c r="CZ170" s="115"/>
      <c r="DA170" s="115"/>
      <c r="DB170" s="115"/>
      <c r="DC170" s="115"/>
      <c r="DD170" s="115"/>
      <c r="DE170" s="115"/>
      <c r="DF170" s="115"/>
      <c r="DG170" s="115"/>
      <c r="DH170" s="115"/>
      <c r="DI170" s="115"/>
      <c r="DJ170" s="115"/>
      <c r="DK170" s="115"/>
      <c r="DL170" s="115"/>
      <c r="DM170" s="115"/>
      <c r="DN170" s="115"/>
      <c r="DO170" s="115"/>
      <c r="DP170" s="115"/>
      <c r="DQ170" s="115"/>
      <c r="DR170" s="115"/>
      <c r="DS170" s="115"/>
      <c r="DT170" s="115"/>
      <c r="DU170" s="115"/>
      <c r="DV170" s="115"/>
      <c r="DW170" s="115"/>
      <c r="DX170" s="115"/>
      <c r="DY170" s="115"/>
      <c r="DZ170" s="115"/>
      <c r="EA170" s="115"/>
      <c r="EB170" s="115"/>
      <c r="EC170" s="645"/>
      <c r="ED170" s="113" t="s">
        <v>1</v>
      </c>
    </row>
    <row r="171" spans="1:134" x14ac:dyDescent="0.2">
      <c r="A171" s="700" t="s">
        <v>93</v>
      </c>
      <c r="B171" s="131">
        <f t="shared" ref="B171:BM171" si="560">SUM(B172:B173)</f>
        <v>0</v>
      </c>
      <c r="C171" s="131">
        <f t="shared" si="560"/>
        <v>0</v>
      </c>
      <c r="D171" s="131">
        <f t="shared" si="560"/>
        <v>0</v>
      </c>
      <c r="E171" s="131">
        <f t="shared" si="560"/>
        <v>0</v>
      </c>
      <c r="F171" s="131">
        <f t="shared" si="560"/>
        <v>0</v>
      </c>
      <c r="G171" s="131">
        <f t="shared" si="560"/>
        <v>0</v>
      </c>
      <c r="H171" s="131">
        <f t="shared" si="560"/>
        <v>0</v>
      </c>
      <c r="I171" s="131">
        <f t="shared" si="560"/>
        <v>0</v>
      </c>
      <c r="J171" s="131">
        <f t="shared" si="560"/>
        <v>0</v>
      </c>
      <c r="K171" s="131">
        <f t="shared" si="560"/>
        <v>0</v>
      </c>
      <c r="L171" s="131">
        <f t="shared" si="560"/>
        <v>0</v>
      </c>
      <c r="M171" s="131">
        <f t="shared" si="560"/>
        <v>0</v>
      </c>
      <c r="N171" s="131">
        <f t="shared" si="560"/>
        <v>0</v>
      </c>
      <c r="O171" s="131">
        <f t="shared" si="560"/>
        <v>0</v>
      </c>
      <c r="P171" s="131">
        <f t="shared" si="560"/>
        <v>0</v>
      </c>
      <c r="Q171" s="131">
        <f t="shared" si="560"/>
        <v>0</v>
      </c>
      <c r="R171" s="131">
        <f t="shared" si="560"/>
        <v>0</v>
      </c>
      <c r="S171" s="131">
        <f t="shared" si="560"/>
        <v>0</v>
      </c>
      <c r="T171" s="131">
        <f t="shared" si="560"/>
        <v>0</v>
      </c>
      <c r="U171" s="131">
        <f t="shared" si="560"/>
        <v>0</v>
      </c>
      <c r="V171" s="131">
        <f t="shared" si="560"/>
        <v>0</v>
      </c>
      <c r="W171" s="131">
        <f t="shared" si="560"/>
        <v>0</v>
      </c>
      <c r="X171" s="131">
        <f t="shared" si="560"/>
        <v>0</v>
      </c>
      <c r="Y171" s="131">
        <f t="shared" si="560"/>
        <v>0</v>
      </c>
      <c r="Z171" s="131">
        <f t="shared" si="560"/>
        <v>0</v>
      </c>
      <c r="AA171" s="131">
        <f t="shared" si="560"/>
        <v>0</v>
      </c>
      <c r="AB171" s="131">
        <f t="shared" si="560"/>
        <v>0</v>
      </c>
      <c r="AC171" s="131">
        <f t="shared" si="560"/>
        <v>0</v>
      </c>
      <c r="AD171" s="131">
        <f t="shared" si="560"/>
        <v>0</v>
      </c>
      <c r="AE171" s="131">
        <f t="shared" si="560"/>
        <v>0</v>
      </c>
      <c r="AF171" s="131">
        <f t="shared" si="560"/>
        <v>0</v>
      </c>
      <c r="AG171" s="131">
        <f t="shared" si="560"/>
        <v>0</v>
      </c>
      <c r="AH171" s="131">
        <f t="shared" si="560"/>
        <v>0</v>
      </c>
      <c r="AI171" s="131">
        <f t="shared" si="560"/>
        <v>0</v>
      </c>
      <c r="AJ171" s="131">
        <f t="shared" si="560"/>
        <v>0</v>
      </c>
      <c r="AK171" s="131">
        <f t="shared" si="560"/>
        <v>0</v>
      </c>
      <c r="AL171" s="131">
        <f t="shared" si="560"/>
        <v>0</v>
      </c>
      <c r="AM171" s="131">
        <f t="shared" si="560"/>
        <v>0</v>
      </c>
      <c r="AN171" s="131">
        <f t="shared" si="560"/>
        <v>0</v>
      </c>
      <c r="AO171" s="131">
        <f t="shared" si="560"/>
        <v>0</v>
      </c>
      <c r="AP171" s="131">
        <f t="shared" si="560"/>
        <v>0</v>
      </c>
      <c r="AQ171" s="131">
        <f t="shared" si="560"/>
        <v>0</v>
      </c>
      <c r="AR171" s="131">
        <f t="shared" si="560"/>
        <v>0</v>
      </c>
      <c r="AS171" s="131">
        <f t="shared" si="560"/>
        <v>0</v>
      </c>
      <c r="AT171" s="131">
        <f t="shared" si="560"/>
        <v>0</v>
      </c>
      <c r="AU171" s="131">
        <f t="shared" si="560"/>
        <v>0</v>
      </c>
      <c r="AV171" s="131">
        <f t="shared" si="560"/>
        <v>0</v>
      </c>
      <c r="AW171" s="131">
        <f t="shared" si="560"/>
        <v>0</v>
      </c>
      <c r="AX171" s="131">
        <f t="shared" si="560"/>
        <v>0</v>
      </c>
      <c r="AY171" s="131">
        <f t="shared" si="560"/>
        <v>0</v>
      </c>
      <c r="AZ171" s="131">
        <f t="shared" si="560"/>
        <v>0</v>
      </c>
      <c r="BA171" s="131">
        <f t="shared" si="560"/>
        <v>0</v>
      </c>
      <c r="BB171" s="131">
        <f t="shared" si="560"/>
        <v>0</v>
      </c>
      <c r="BC171" s="131">
        <f t="shared" si="560"/>
        <v>0</v>
      </c>
      <c r="BD171" s="131">
        <f t="shared" si="560"/>
        <v>0</v>
      </c>
      <c r="BE171" s="131">
        <f t="shared" si="560"/>
        <v>0</v>
      </c>
      <c r="BF171" s="131">
        <f t="shared" si="560"/>
        <v>0</v>
      </c>
      <c r="BG171" s="131">
        <f t="shared" si="560"/>
        <v>0</v>
      </c>
      <c r="BH171" s="131">
        <f t="shared" si="560"/>
        <v>0</v>
      </c>
      <c r="BI171" s="131">
        <f t="shared" si="560"/>
        <v>0</v>
      </c>
      <c r="BJ171" s="131">
        <f t="shared" si="560"/>
        <v>0</v>
      </c>
      <c r="BK171" s="131">
        <f t="shared" si="560"/>
        <v>0</v>
      </c>
      <c r="BL171" s="131">
        <f t="shared" si="560"/>
        <v>0</v>
      </c>
      <c r="BM171" s="131">
        <f t="shared" si="560"/>
        <v>0</v>
      </c>
      <c r="BN171" s="131">
        <f t="shared" ref="BN171:CG171" si="561">SUM(BN172:BN173)</f>
        <v>0</v>
      </c>
      <c r="BO171" s="131">
        <f t="shared" si="561"/>
        <v>0</v>
      </c>
      <c r="BP171" s="131">
        <f t="shared" si="561"/>
        <v>0</v>
      </c>
      <c r="BQ171" s="131">
        <f t="shared" si="561"/>
        <v>0</v>
      </c>
      <c r="BR171" s="131">
        <f t="shared" si="561"/>
        <v>0</v>
      </c>
      <c r="BS171" s="131">
        <f t="shared" si="561"/>
        <v>0</v>
      </c>
      <c r="BT171" s="131">
        <f t="shared" si="561"/>
        <v>0</v>
      </c>
      <c r="BU171" s="131">
        <f t="shared" si="561"/>
        <v>0</v>
      </c>
      <c r="BV171" s="131">
        <f t="shared" si="561"/>
        <v>0</v>
      </c>
      <c r="BW171" s="131">
        <f t="shared" si="561"/>
        <v>0</v>
      </c>
      <c r="BX171" s="131">
        <f t="shared" si="561"/>
        <v>0</v>
      </c>
      <c r="BY171" s="131">
        <f t="shared" si="561"/>
        <v>0</v>
      </c>
      <c r="BZ171" s="131">
        <f t="shared" si="561"/>
        <v>0</v>
      </c>
      <c r="CA171" s="131">
        <f t="shared" si="561"/>
        <v>0</v>
      </c>
      <c r="CB171" s="131">
        <f t="shared" si="561"/>
        <v>0</v>
      </c>
      <c r="CC171" s="131">
        <f t="shared" si="561"/>
        <v>0</v>
      </c>
      <c r="CD171" s="131">
        <f t="shared" si="561"/>
        <v>0</v>
      </c>
      <c r="CE171" s="131">
        <f t="shared" si="561"/>
        <v>0</v>
      </c>
      <c r="CF171" s="131">
        <f t="shared" si="561"/>
        <v>0</v>
      </c>
      <c r="CG171" s="131">
        <f t="shared" si="561"/>
        <v>0</v>
      </c>
      <c r="CH171" s="131">
        <f>SUM(CH172:CH173)</f>
        <v>130288537.13456243</v>
      </c>
      <c r="CI171" s="131">
        <f t="shared" ref="CI171:DQ171" si="562">SUM(CI172:CI173)</f>
        <v>126101952.34102412</v>
      </c>
      <c r="CJ171" s="131">
        <f t="shared" si="562"/>
        <v>125553900.74023493</v>
      </c>
      <c r="CK171" s="131">
        <f t="shared" si="562"/>
        <v>116592179.83000053</v>
      </c>
      <c r="CL171" s="131">
        <f t="shared" si="562"/>
        <v>113948660.62000078</v>
      </c>
      <c r="CM171" s="131">
        <f t="shared" si="562"/>
        <v>61477975.21000044</v>
      </c>
      <c r="CN171" s="131">
        <f t="shared" si="562"/>
        <v>127727227.58999993</v>
      </c>
      <c r="CO171" s="131">
        <f t="shared" si="562"/>
        <v>114688809.56999992</v>
      </c>
      <c r="CP171" s="131">
        <f t="shared" si="562"/>
        <v>127168565.17000028</v>
      </c>
      <c r="CQ171" s="131">
        <f t="shared" si="562"/>
        <v>131547257.53999972</v>
      </c>
      <c r="CR171" s="131">
        <f t="shared" si="562"/>
        <v>117221203.89999908</v>
      </c>
      <c r="CS171" s="131">
        <f t="shared" si="562"/>
        <v>123944195.34999995</v>
      </c>
      <c r="CT171" s="131">
        <f t="shared" si="562"/>
        <v>117529046.57432666</v>
      </c>
      <c r="CU171" s="131">
        <f t="shared" si="562"/>
        <v>118725216.93693195</v>
      </c>
      <c r="CV171" s="131">
        <f t="shared" si="562"/>
        <v>118640281.76325585</v>
      </c>
      <c r="CW171" s="131">
        <f t="shared" si="562"/>
        <v>120430998.34159398</v>
      </c>
      <c r="CX171" s="131">
        <f t="shared" si="562"/>
        <v>113480469.96243173</v>
      </c>
      <c r="CY171" s="131">
        <f t="shared" si="562"/>
        <v>124139834.2587844</v>
      </c>
      <c r="CZ171" s="131">
        <f t="shared" si="562"/>
        <v>120707037.65604135</v>
      </c>
      <c r="DA171" s="131">
        <f t="shared" si="562"/>
        <v>120990154.90162842</v>
      </c>
      <c r="DB171" s="131">
        <f t="shared" si="562"/>
        <v>148516229.10382992</v>
      </c>
      <c r="DC171" s="131">
        <f t="shared" si="562"/>
        <v>160024945.13694376</v>
      </c>
      <c r="DD171" s="131">
        <f t="shared" si="562"/>
        <v>137191539.28034768</v>
      </c>
      <c r="DE171" s="131">
        <f t="shared" si="562"/>
        <v>148247267.72052222</v>
      </c>
      <c r="DF171" s="131">
        <f t="shared" si="562"/>
        <v>139213155.66728994</v>
      </c>
      <c r="DG171" s="131">
        <f t="shared" si="562"/>
        <v>140630019.46179593</v>
      </c>
      <c r="DH171" s="131">
        <f t="shared" si="562"/>
        <v>140529413.74857661</v>
      </c>
      <c r="DI171" s="131">
        <f t="shared" si="562"/>
        <v>142650517.5356181</v>
      </c>
      <c r="DJ171" s="131">
        <f t="shared" si="562"/>
        <v>134417616.67050043</v>
      </c>
      <c r="DK171" s="131">
        <f t="shared" si="562"/>
        <v>147043633.67953017</v>
      </c>
      <c r="DL171" s="131">
        <f t="shared" si="562"/>
        <v>142977486.10358104</v>
      </c>
      <c r="DM171" s="131">
        <f t="shared" si="562"/>
        <v>143312838.48097894</v>
      </c>
      <c r="DN171" s="131">
        <f t="shared" si="562"/>
        <v>175917473.37348667</v>
      </c>
      <c r="DO171" s="131">
        <f t="shared" si="562"/>
        <v>189549547.51471001</v>
      </c>
      <c r="DP171" s="131">
        <f t="shared" si="562"/>
        <v>162503378.27757192</v>
      </c>
      <c r="DQ171" s="131">
        <f t="shared" si="562"/>
        <v>175598888.61495864</v>
      </c>
      <c r="DR171" s="131">
        <f t="shared" ref="DR171:EC171" si="563">SUM(DR172:DR173)</f>
        <v>164897982.88790497</v>
      </c>
      <c r="DS171" s="131">
        <f t="shared" si="563"/>
        <v>166576258.05249733</v>
      </c>
      <c r="DT171" s="131">
        <f t="shared" si="563"/>
        <v>166457090.58518898</v>
      </c>
      <c r="DU171" s="131">
        <f t="shared" si="563"/>
        <v>168969538.02093968</v>
      </c>
      <c r="DV171" s="131">
        <f t="shared" si="563"/>
        <v>159217666.94620779</v>
      </c>
      <c r="DW171" s="131">
        <f t="shared" si="563"/>
        <v>174173184.09340352</v>
      </c>
      <c r="DX171" s="131">
        <f t="shared" si="563"/>
        <v>169356832.28969172</v>
      </c>
      <c r="DY171" s="131">
        <f t="shared" si="563"/>
        <v>169754057.18071949</v>
      </c>
      <c r="DZ171" s="131">
        <f t="shared" si="563"/>
        <v>208374247.21089488</v>
      </c>
      <c r="EA171" s="131">
        <f t="shared" si="563"/>
        <v>224521439.03117391</v>
      </c>
      <c r="EB171" s="131">
        <f t="shared" si="563"/>
        <v>192485251.56978387</v>
      </c>
      <c r="EC171" s="131">
        <f t="shared" si="563"/>
        <v>207996883.56441846</v>
      </c>
      <c r="ED171" s="113" t="s">
        <v>1</v>
      </c>
    </row>
    <row r="172" spans="1:134" x14ac:dyDescent="0.2">
      <c r="A172" s="713" t="s">
        <v>139</v>
      </c>
      <c r="B172" s="129">
        <v>0</v>
      </c>
      <c r="C172" s="129">
        <v>0</v>
      </c>
      <c r="D172" s="129">
        <v>0</v>
      </c>
      <c r="E172" s="129">
        <v>0</v>
      </c>
      <c r="F172" s="129">
        <v>0</v>
      </c>
      <c r="G172" s="129">
        <v>0</v>
      </c>
      <c r="H172" s="129">
        <v>0</v>
      </c>
      <c r="I172" s="129">
        <v>0</v>
      </c>
      <c r="J172" s="129">
        <v>0</v>
      </c>
      <c r="K172" s="129">
        <v>0</v>
      </c>
      <c r="L172" s="129">
        <v>0</v>
      </c>
      <c r="M172" s="129">
        <v>0</v>
      </c>
      <c r="N172" s="129">
        <v>0</v>
      </c>
      <c r="O172" s="129">
        <v>0</v>
      </c>
      <c r="P172" s="129">
        <v>0</v>
      </c>
      <c r="Q172" s="129">
        <v>0</v>
      </c>
      <c r="R172" s="129">
        <v>0</v>
      </c>
      <c r="S172" s="129">
        <v>0</v>
      </c>
      <c r="T172" s="129">
        <v>0</v>
      </c>
      <c r="U172" s="129">
        <v>0</v>
      </c>
      <c r="V172" s="129">
        <v>0</v>
      </c>
      <c r="W172" s="129">
        <v>0</v>
      </c>
      <c r="X172" s="129">
        <v>0</v>
      </c>
      <c r="Y172" s="129">
        <v>0</v>
      </c>
      <c r="Z172" s="129">
        <v>0</v>
      </c>
      <c r="AA172" s="129">
        <v>0</v>
      </c>
      <c r="AB172" s="129">
        <v>0</v>
      </c>
      <c r="AC172" s="129">
        <v>0</v>
      </c>
      <c r="AD172" s="129">
        <v>0</v>
      </c>
      <c r="AE172" s="129">
        <v>0</v>
      </c>
      <c r="AF172" s="129">
        <v>0</v>
      </c>
      <c r="AG172" s="129">
        <v>0</v>
      </c>
      <c r="AH172" s="129">
        <v>0</v>
      </c>
      <c r="AI172" s="129">
        <v>0</v>
      </c>
      <c r="AJ172" s="129">
        <v>0</v>
      </c>
      <c r="AK172" s="129">
        <v>0</v>
      </c>
      <c r="AL172" s="129">
        <v>0</v>
      </c>
      <c r="AM172" s="129">
        <v>0</v>
      </c>
      <c r="AN172" s="129">
        <v>0</v>
      </c>
      <c r="AO172" s="129">
        <v>0</v>
      </c>
      <c r="AP172" s="129">
        <v>0</v>
      </c>
      <c r="AQ172" s="129">
        <v>0</v>
      </c>
      <c r="AR172" s="129">
        <v>0</v>
      </c>
      <c r="AS172" s="129">
        <v>0</v>
      </c>
      <c r="AT172" s="129">
        <v>0</v>
      </c>
      <c r="AU172" s="129">
        <v>0</v>
      </c>
      <c r="AV172" s="129">
        <v>0</v>
      </c>
      <c r="AW172" s="129">
        <v>0</v>
      </c>
      <c r="AX172" s="129">
        <v>0</v>
      </c>
      <c r="AY172" s="129">
        <v>0</v>
      </c>
      <c r="AZ172" s="129">
        <v>0</v>
      </c>
      <c r="BA172" s="129">
        <v>0</v>
      </c>
      <c r="BB172" s="129">
        <v>0</v>
      </c>
      <c r="BC172" s="129">
        <v>0</v>
      </c>
      <c r="BD172" s="129">
        <v>0</v>
      </c>
      <c r="BE172" s="129">
        <v>0</v>
      </c>
      <c r="BF172" s="129">
        <v>0</v>
      </c>
      <c r="BG172" s="129">
        <v>0</v>
      </c>
      <c r="BH172" s="129">
        <v>0</v>
      </c>
      <c r="BI172" s="129">
        <v>0</v>
      </c>
      <c r="BJ172" s="129">
        <v>0</v>
      </c>
      <c r="BK172" s="129">
        <v>0</v>
      </c>
      <c r="BL172" s="129">
        <v>0</v>
      </c>
      <c r="BM172" s="129">
        <v>0</v>
      </c>
      <c r="BN172" s="129">
        <v>0</v>
      </c>
      <c r="BO172" s="129">
        <v>0</v>
      </c>
      <c r="BP172" s="129">
        <v>0</v>
      </c>
      <c r="BQ172" s="129">
        <v>0</v>
      </c>
      <c r="BR172" s="129">
        <v>0</v>
      </c>
      <c r="BS172" s="129">
        <v>0</v>
      </c>
      <c r="BT172" s="129">
        <v>0</v>
      </c>
      <c r="BU172" s="129">
        <v>0</v>
      </c>
      <c r="BV172" s="129">
        <v>0</v>
      </c>
      <c r="BW172" s="129">
        <v>0</v>
      </c>
      <c r="BX172" s="129">
        <v>0</v>
      </c>
      <c r="BY172" s="129">
        <v>0</v>
      </c>
      <c r="BZ172" s="129">
        <v>0</v>
      </c>
      <c r="CA172" s="129">
        <v>0</v>
      </c>
      <c r="CB172" s="129">
        <v>0</v>
      </c>
      <c r="CC172" s="129">
        <v>0</v>
      </c>
      <c r="CD172" s="129">
        <v>0</v>
      </c>
      <c r="CE172" s="129">
        <v>0</v>
      </c>
      <c r="CF172" s="129">
        <v>0</v>
      </c>
      <c r="CG172" s="129">
        <v>0</v>
      </c>
      <c r="CH172" s="129">
        <v>130288537.13456243</v>
      </c>
      <c r="CI172" s="129">
        <v>126101952.34102412</v>
      </c>
      <c r="CJ172" s="129">
        <v>125553900.74023493</v>
      </c>
      <c r="CK172" s="129">
        <v>116592179.83000053</v>
      </c>
      <c r="CL172" s="129">
        <v>113948660.62000078</v>
      </c>
      <c r="CM172" s="129">
        <v>61477975.21000044</v>
      </c>
      <c r="CN172" s="129">
        <v>127727227.58999993</v>
      </c>
      <c r="CO172" s="129">
        <v>114688809.56999992</v>
      </c>
      <c r="CP172" s="129">
        <v>127168565.17000028</v>
      </c>
      <c r="CQ172" s="129">
        <v>131547257.53999972</v>
      </c>
      <c r="CR172" s="129">
        <v>117221203.89999908</v>
      </c>
      <c r="CS172" s="129">
        <v>123944195.34999995</v>
      </c>
      <c r="CT172" s="129">
        <f>CS172/CS155*CT155</f>
        <v>117529046.57432666</v>
      </c>
      <c r="CU172" s="129">
        <f t="shared" ref="CU172:DQ172" si="564">CT172/CT155*CU155</f>
        <v>118725216.93693195</v>
      </c>
      <c r="CV172" s="129">
        <f t="shared" si="564"/>
        <v>118640281.76325585</v>
      </c>
      <c r="CW172" s="129">
        <f t="shared" si="564"/>
        <v>120430998.34159398</v>
      </c>
      <c r="CX172" s="129">
        <f t="shared" si="564"/>
        <v>113480469.96243173</v>
      </c>
      <c r="CY172" s="129">
        <f t="shared" si="564"/>
        <v>124139834.2587844</v>
      </c>
      <c r="CZ172" s="129">
        <f t="shared" si="564"/>
        <v>120707037.65604135</v>
      </c>
      <c r="DA172" s="129">
        <f t="shared" si="564"/>
        <v>120990154.90162842</v>
      </c>
      <c r="DB172" s="129">
        <f t="shared" si="564"/>
        <v>148516229.10382992</v>
      </c>
      <c r="DC172" s="129">
        <f t="shared" si="564"/>
        <v>160024945.13694376</v>
      </c>
      <c r="DD172" s="129">
        <f t="shared" si="564"/>
        <v>137191539.28034768</v>
      </c>
      <c r="DE172" s="129">
        <f t="shared" si="564"/>
        <v>148247267.72052222</v>
      </c>
      <c r="DF172" s="129">
        <f t="shared" si="564"/>
        <v>139213155.66728994</v>
      </c>
      <c r="DG172" s="129">
        <f t="shared" si="564"/>
        <v>140630019.46179593</v>
      </c>
      <c r="DH172" s="129">
        <f t="shared" si="564"/>
        <v>140529413.74857661</v>
      </c>
      <c r="DI172" s="129">
        <f t="shared" si="564"/>
        <v>142650517.5356181</v>
      </c>
      <c r="DJ172" s="129">
        <f t="shared" si="564"/>
        <v>134417616.67050043</v>
      </c>
      <c r="DK172" s="129">
        <f t="shared" si="564"/>
        <v>147043633.67953017</v>
      </c>
      <c r="DL172" s="129">
        <f t="shared" si="564"/>
        <v>142977486.10358104</v>
      </c>
      <c r="DM172" s="129">
        <f t="shared" si="564"/>
        <v>143312838.48097894</v>
      </c>
      <c r="DN172" s="129">
        <f t="shared" si="564"/>
        <v>175917473.37348667</v>
      </c>
      <c r="DO172" s="129">
        <f t="shared" si="564"/>
        <v>189549547.51471001</v>
      </c>
      <c r="DP172" s="129">
        <f t="shared" si="564"/>
        <v>162503378.27757192</v>
      </c>
      <c r="DQ172" s="129">
        <f t="shared" si="564"/>
        <v>175598888.61495864</v>
      </c>
      <c r="DR172" s="129">
        <f t="shared" ref="DR172" si="565">DQ172/DQ155*DR155</f>
        <v>164897982.88790497</v>
      </c>
      <c r="DS172" s="129">
        <f t="shared" ref="DS172" si="566">DR172/DR155*DS155</f>
        <v>166576258.05249733</v>
      </c>
      <c r="DT172" s="129">
        <f t="shared" ref="DT172" si="567">DS172/DS155*DT155</f>
        <v>166457090.58518898</v>
      </c>
      <c r="DU172" s="129">
        <f t="shared" ref="DU172" si="568">DT172/DT155*DU155</f>
        <v>168969538.02093968</v>
      </c>
      <c r="DV172" s="129">
        <f t="shared" ref="DV172" si="569">DU172/DU155*DV155</f>
        <v>159217666.94620779</v>
      </c>
      <c r="DW172" s="129">
        <f t="shared" ref="DW172" si="570">DV172/DV155*DW155</f>
        <v>174173184.09340352</v>
      </c>
      <c r="DX172" s="129">
        <f t="shared" ref="DX172" si="571">DW172/DW155*DX155</f>
        <v>169356832.28969172</v>
      </c>
      <c r="DY172" s="129">
        <f t="shared" ref="DY172" si="572">DX172/DX155*DY155</f>
        <v>169754057.18071949</v>
      </c>
      <c r="DZ172" s="129">
        <f t="shared" ref="DZ172" si="573">DY172/DY155*DZ155</f>
        <v>208374247.21089488</v>
      </c>
      <c r="EA172" s="129">
        <f t="shared" ref="EA172" si="574">DZ172/DZ155*EA155</f>
        <v>224521439.03117391</v>
      </c>
      <c r="EB172" s="129">
        <f t="shared" ref="EB172" si="575">EA172/EA155*EB155</f>
        <v>192485251.56978387</v>
      </c>
      <c r="EC172" s="129">
        <f t="shared" ref="EC172" si="576">EB172/EB155*EC155</f>
        <v>207996883.56441846</v>
      </c>
      <c r="ED172" s="113" t="s">
        <v>1</v>
      </c>
    </row>
    <row r="173" spans="1:134" x14ac:dyDescent="0.2">
      <c r="A173" s="713" t="s">
        <v>157</v>
      </c>
      <c r="B173" s="129">
        <v>0</v>
      </c>
      <c r="C173" s="129">
        <v>0</v>
      </c>
      <c r="D173" s="129">
        <v>0</v>
      </c>
      <c r="E173" s="129">
        <v>0</v>
      </c>
      <c r="F173" s="129">
        <v>0</v>
      </c>
      <c r="G173" s="129">
        <v>0</v>
      </c>
      <c r="H173" s="129">
        <v>0</v>
      </c>
      <c r="I173" s="129">
        <v>0</v>
      </c>
      <c r="J173" s="129">
        <v>0</v>
      </c>
      <c r="K173" s="129">
        <v>0</v>
      </c>
      <c r="L173" s="129">
        <v>0</v>
      </c>
      <c r="M173" s="129">
        <v>0</v>
      </c>
      <c r="N173" s="129">
        <v>0</v>
      </c>
      <c r="O173" s="129">
        <v>0</v>
      </c>
      <c r="P173" s="129">
        <v>0</v>
      </c>
      <c r="Q173" s="129">
        <v>0</v>
      </c>
      <c r="R173" s="129">
        <v>0</v>
      </c>
      <c r="S173" s="129">
        <v>0</v>
      </c>
      <c r="T173" s="129">
        <v>0</v>
      </c>
      <c r="U173" s="129">
        <v>0</v>
      </c>
      <c r="V173" s="129">
        <v>0</v>
      </c>
      <c r="W173" s="129">
        <v>0</v>
      </c>
      <c r="X173" s="129">
        <v>0</v>
      </c>
      <c r="Y173" s="129">
        <v>0</v>
      </c>
      <c r="Z173" s="129">
        <v>0</v>
      </c>
      <c r="AA173" s="129">
        <v>0</v>
      </c>
      <c r="AB173" s="129">
        <v>0</v>
      </c>
      <c r="AC173" s="129">
        <v>0</v>
      </c>
      <c r="AD173" s="129">
        <v>0</v>
      </c>
      <c r="AE173" s="129">
        <v>0</v>
      </c>
      <c r="AF173" s="129">
        <v>0</v>
      </c>
      <c r="AG173" s="129">
        <v>0</v>
      </c>
      <c r="AH173" s="129">
        <v>0</v>
      </c>
      <c r="AI173" s="129">
        <v>0</v>
      </c>
      <c r="AJ173" s="129">
        <v>0</v>
      </c>
      <c r="AK173" s="129">
        <v>0</v>
      </c>
      <c r="AL173" s="129">
        <v>0</v>
      </c>
      <c r="AM173" s="129">
        <v>0</v>
      </c>
      <c r="AN173" s="129">
        <v>0</v>
      </c>
      <c r="AO173" s="129">
        <v>0</v>
      </c>
      <c r="AP173" s="129">
        <v>0</v>
      </c>
      <c r="AQ173" s="129">
        <v>0</v>
      </c>
      <c r="AR173" s="129">
        <v>0</v>
      </c>
      <c r="AS173" s="129">
        <v>0</v>
      </c>
      <c r="AT173" s="129">
        <v>0</v>
      </c>
      <c r="AU173" s="129">
        <v>0</v>
      </c>
      <c r="AV173" s="129">
        <v>0</v>
      </c>
      <c r="AW173" s="129">
        <v>0</v>
      </c>
      <c r="AX173" s="129">
        <v>0</v>
      </c>
      <c r="AY173" s="129">
        <v>0</v>
      </c>
      <c r="AZ173" s="129">
        <v>0</v>
      </c>
      <c r="BA173" s="129">
        <v>0</v>
      </c>
      <c r="BB173" s="129">
        <v>0</v>
      </c>
      <c r="BC173" s="129">
        <v>0</v>
      </c>
      <c r="BD173" s="129">
        <v>0</v>
      </c>
      <c r="BE173" s="129">
        <v>0</v>
      </c>
      <c r="BF173" s="129">
        <v>0</v>
      </c>
      <c r="BG173" s="129">
        <v>0</v>
      </c>
      <c r="BH173" s="129">
        <v>0</v>
      </c>
      <c r="BI173" s="129">
        <v>0</v>
      </c>
      <c r="BJ173" s="129">
        <v>0</v>
      </c>
      <c r="BK173" s="129">
        <v>0</v>
      </c>
      <c r="BL173" s="129">
        <v>0</v>
      </c>
      <c r="BM173" s="129">
        <v>0</v>
      </c>
      <c r="BN173" s="129">
        <v>0</v>
      </c>
      <c r="BO173" s="129">
        <v>0</v>
      </c>
      <c r="BP173" s="129">
        <v>0</v>
      </c>
      <c r="BQ173" s="129">
        <v>0</v>
      </c>
      <c r="BR173" s="129">
        <v>0</v>
      </c>
      <c r="BS173" s="129">
        <v>0</v>
      </c>
      <c r="BT173" s="129">
        <v>0</v>
      </c>
      <c r="BU173" s="129">
        <v>0</v>
      </c>
      <c r="BV173" s="129">
        <v>0</v>
      </c>
      <c r="BW173" s="129">
        <v>0</v>
      </c>
      <c r="BX173" s="129">
        <v>0</v>
      </c>
      <c r="BY173" s="129">
        <v>0</v>
      </c>
      <c r="BZ173" s="129">
        <v>0</v>
      </c>
      <c r="CA173" s="129">
        <v>0</v>
      </c>
      <c r="CB173" s="129">
        <v>0</v>
      </c>
      <c r="CC173" s="129">
        <v>0</v>
      </c>
      <c r="CD173" s="129">
        <v>0</v>
      </c>
      <c r="CE173" s="129">
        <v>0</v>
      </c>
      <c r="CF173" s="129">
        <v>0</v>
      </c>
      <c r="CG173" s="129">
        <v>0</v>
      </c>
      <c r="CH173" s="129">
        <v>0</v>
      </c>
      <c r="CI173" s="129">
        <v>0</v>
      </c>
      <c r="CJ173" s="129">
        <v>0</v>
      </c>
      <c r="CK173" s="129">
        <v>0</v>
      </c>
      <c r="CL173" s="129">
        <v>0</v>
      </c>
      <c r="CM173" s="129">
        <v>0</v>
      </c>
      <c r="CN173" s="129">
        <v>0</v>
      </c>
      <c r="CO173" s="129">
        <v>0</v>
      </c>
      <c r="CP173" s="129">
        <v>0</v>
      </c>
      <c r="CQ173" s="129">
        <v>0</v>
      </c>
      <c r="CR173" s="129">
        <v>0</v>
      </c>
      <c r="CS173" s="129">
        <v>0</v>
      </c>
      <c r="CT173" s="130">
        <v>0</v>
      </c>
      <c r="CU173" s="130">
        <v>0</v>
      </c>
      <c r="CV173" s="130">
        <v>0</v>
      </c>
      <c r="CW173" s="130">
        <v>0</v>
      </c>
      <c r="CX173" s="130">
        <v>0</v>
      </c>
      <c r="CY173" s="130">
        <v>0</v>
      </c>
      <c r="CZ173" s="130">
        <v>0</v>
      </c>
      <c r="DA173" s="130">
        <v>0</v>
      </c>
      <c r="DB173" s="130">
        <v>0</v>
      </c>
      <c r="DC173" s="130">
        <v>0</v>
      </c>
      <c r="DD173" s="130">
        <v>0</v>
      </c>
      <c r="DE173" s="130">
        <v>0</v>
      </c>
      <c r="DF173" s="130">
        <v>0</v>
      </c>
      <c r="DG173" s="130">
        <v>0</v>
      </c>
      <c r="DH173" s="130">
        <v>0</v>
      </c>
      <c r="DI173" s="130">
        <v>0</v>
      </c>
      <c r="DJ173" s="130">
        <v>0</v>
      </c>
      <c r="DK173" s="130">
        <v>0</v>
      </c>
      <c r="DL173" s="130">
        <v>0</v>
      </c>
      <c r="DM173" s="130">
        <v>0</v>
      </c>
      <c r="DN173" s="130">
        <v>0</v>
      </c>
      <c r="DO173" s="130">
        <v>0</v>
      </c>
      <c r="DP173" s="130">
        <v>0</v>
      </c>
      <c r="DQ173" s="130">
        <v>0</v>
      </c>
      <c r="DR173" s="130">
        <v>0</v>
      </c>
      <c r="DS173" s="130">
        <v>0</v>
      </c>
      <c r="DT173" s="130">
        <v>0</v>
      </c>
      <c r="DU173" s="130">
        <v>0</v>
      </c>
      <c r="DV173" s="130">
        <v>0</v>
      </c>
      <c r="DW173" s="130">
        <v>0</v>
      </c>
      <c r="DX173" s="130">
        <v>0</v>
      </c>
      <c r="DY173" s="130">
        <v>0</v>
      </c>
      <c r="DZ173" s="130">
        <v>0</v>
      </c>
      <c r="EA173" s="130">
        <v>0</v>
      </c>
      <c r="EB173" s="130">
        <v>0</v>
      </c>
      <c r="EC173" s="130">
        <v>0</v>
      </c>
      <c r="ED173" s="113" t="s">
        <v>1</v>
      </c>
    </row>
    <row r="174" spans="1:134" x14ac:dyDescent="0.2">
      <c r="A174" s="707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115"/>
      <c r="AN174" s="115"/>
      <c r="AO174" s="115"/>
      <c r="AP174" s="115"/>
      <c r="AQ174" s="115"/>
      <c r="AR174" s="115"/>
      <c r="AS174" s="115"/>
      <c r="AT174" s="115"/>
      <c r="AU174" s="115"/>
      <c r="AV174" s="115"/>
      <c r="AW174" s="115"/>
      <c r="AX174" s="115"/>
      <c r="AY174" s="115"/>
      <c r="AZ174" s="115"/>
      <c r="BA174" s="115"/>
      <c r="BB174" s="115"/>
      <c r="BC174" s="115"/>
      <c r="BD174" s="115"/>
      <c r="BE174" s="115"/>
      <c r="BF174" s="115"/>
      <c r="BG174" s="115"/>
      <c r="BH174" s="115"/>
      <c r="BI174" s="115"/>
      <c r="BJ174" s="115"/>
      <c r="BK174" s="115"/>
      <c r="BL174" s="115"/>
      <c r="BM174" s="115"/>
      <c r="BN174" s="115"/>
      <c r="BO174" s="115"/>
      <c r="BP174" s="115"/>
      <c r="BQ174" s="115"/>
      <c r="BR174" s="115"/>
      <c r="BS174" s="115"/>
      <c r="BT174" s="115"/>
      <c r="BU174" s="115"/>
      <c r="BV174" s="115"/>
      <c r="BW174" s="115"/>
      <c r="BX174" s="115"/>
      <c r="BY174" s="115"/>
      <c r="BZ174" s="115"/>
      <c r="CA174" s="115"/>
      <c r="CB174" s="115"/>
      <c r="CC174" s="115"/>
      <c r="CD174" s="115"/>
      <c r="CE174" s="115"/>
      <c r="CF174" s="115"/>
      <c r="CG174" s="115"/>
      <c r="CH174" s="115"/>
      <c r="CI174" s="115"/>
      <c r="CJ174" s="115"/>
      <c r="CK174" s="115"/>
      <c r="CL174" s="115"/>
      <c r="CM174" s="115"/>
      <c r="CN174" s="115"/>
      <c r="CO174" s="115"/>
      <c r="CP174" s="115"/>
      <c r="CQ174" s="115"/>
      <c r="CR174" s="115"/>
      <c r="CS174" s="115"/>
      <c r="CT174" s="115"/>
      <c r="CU174" s="115"/>
      <c r="CV174" s="115"/>
      <c r="CW174" s="115"/>
      <c r="CX174" s="115"/>
      <c r="CY174" s="115"/>
      <c r="CZ174" s="115"/>
      <c r="DA174" s="115"/>
      <c r="DB174" s="115"/>
      <c r="DC174" s="115"/>
      <c r="DD174" s="115"/>
      <c r="DE174" s="115"/>
      <c r="DF174" s="115"/>
      <c r="DG174" s="115"/>
      <c r="DH174" s="115"/>
      <c r="DI174" s="115"/>
      <c r="DJ174" s="115"/>
      <c r="DK174" s="115"/>
      <c r="DL174" s="115"/>
      <c r="DM174" s="115"/>
      <c r="DN174" s="115"/>
      <c r="DO174" s="115"/>
      <c r="DP174" s="115"/>
      <c r="DQ174" s="115"/>
      <c r="DR174" s="115"/>
      <c r="DS174" s="115"/>
      <c r="DT174" s="115"/>
      <c r="DU174" s="115"/>
      <c r="DV174" s="115"/>
      <c r="DW174" s="115"/>
      <c r="DX174" s="115"/>
      <c r="DY174" s="115"/>
      <c r="DZ174" s="115"/>
      <c r="EA174" s="115"/>
      <c r="EB174" s="115"/>
      <c r="EC174" s="645"/>
      <c r="ED174" s="113" t="s">
        <v>1</v>
      </c>
    </row>
    <row r="175" spans="1:134" x14ac:dyDescent="0.2">
      <c r="A175" s="712" t="s">
        <v>5</v>
      </c>
      <c r="B175" s="132">
        <v>0</v>
      </c>
      <c r="C175" s="132">
        <v>0</v>
      </c>
      <c r="D175" s="132">
        <v>0</v>
      </c>
      <c r="E175" s="132">
        <v>0</v>
      </c>
      <c r="F175" s="132">
        <v>0</v>
      </c>
      <c r="G175" s="132">
        <v>0</v>
      </c>
      <c r="H175" s="132">
        <v>0</v>
      </c>
      <c r="I175" s="132">
        <v>0</v>
      </c>
      <c r="J175" s="132">
        <v>0</v>
      </c>
      <c r="K175" s="132">
        <v>0</v>
      </c>
      <c r="L175" s="132">
        <v>10</v>
      </c>
      <c r="M175" s="132">
        <v>4</v>
      </c>
      <c r="N175" s="132">
        <v>0</v>
      </c>
      <c r="O175" s="132">
        <v>3</v>
      </c>
      <c r="P175" s="132">
        <v>69</v>
      </c>
      <c r="Q175" s="132">
        <v>31</v>
      </c>
      <c r="R175" s="132">
        <v>14</v>
      </c>
      <c r="S175" s="132">
        <v>321</v>
      </c>
      <c r="T175" s="132">
        <v>28</v>
      </c>
      <c r="U175" s="132">
        <v>354</v>
      </c>
      <c r="V175" s="132">
        <v>129</v>
      </c>
      <c r="W175" s="132">
        <v>228</v>
      </c>
      <c r="X175" s="132">
        <v>2025</v>
      </c>
      <c r="Y175" s="132">
        <v>702</v>
      </c>
      <c r="Z175" s="132">
        <v>233</v>
      </c>
      <c r="AA175" s="132">
        <v>498</v>
      </c>
      <c r="AB175" s="132">
        <v>486</v>
      </c>
      <c r="AC175" s="132">
        <v>271</v>
      </c>
      <c r="AD175" s="132">
        <v>363</v>
      </c>
      <c r="AE175" s="132">
        <v>457</v>
      </c>
      <c r="AF175" s="132">
        <v>732</v>
      </c>
      <c r="AG175" s="132">
        <v>499</v>
      </c>
      <c r="AH175" s="132">
        <v>940</v>
      </c>
      <c r="AI175" s="132">
        <v>1546</v>
      </c>
      <c r="AJ175" s="132">
        <v>1107</v>
      </c>
      <c r="AK175" s="132">
        <v>1782</v>
      </c>
      <c r="AL175" s="132">
        <v>866</v>
      </c>
      <c r="AM175" s="132">
        <v>399</v>
      </c>
      <c r="AN175" s="132">
        <v>547</v>
      </c>
      <c r="AO175" s="132">
        <v>676</v>
      </c>
      <c r="AP175" s="132">
        <v>371</v>
      </c>
      <c r="AQ175" s="132">
        <v>398</v>
      </c>
      <c r="AR175" s="132">
        <v>734</v>
      </c>
      <c r="AS175" s="132">
        <v>1102</v>
      </c>
      <c r="AT175" s="132">
        <v>2111</v>
      </c>
      <c r="AU175" s="132">
        <v>2018</v>
      </c>
      <c r="AV175" s="132">
        <v>1448</v>
      </c>
      <c r="AW175" s="132">
        <v>1422</v>
      </c>
      <c r="AX175" s="132">
        <v>660</v>
      </c>
      <c r="AY175" s="132">
        <v>1486</v>
      </c>
      <c r="AZ175" s="132">
        <v>1178</v>
      </c>
      <c r="BA175" s="132">
        <v>1399</v>
      </c>
      <c r="BB175" s="132">
        <v>1548</v>
      </c>
      <c r="BC175" s="132">
        <v>1833</v>
      </c>
      <c r="BD175" s="132">
        <v>1731</v>
      </c>
      <c r="BE175" s="132">
        <v>1776</v>
      </c>
      <c r="BF175" s="132">
        <v>1999</v>
      </c>
      <c r="BG175" s="132">
        <v>1283</v>
      </c>
      <c r="BH175" s="132">
        <v>1505</v>
      </c>
      <c r="BI175" s="132">
        <v>3507</v>
      </c>
      <c r="BJ175" s="132">
        <v>3436</v>
      </c>
      <c r="BK175" s="132">
        <v>3186</v>
      </c>
      <c r="BL175" s="132">
        <v>3037</v>
      </c>
      <c r="BM175" s="132">
        <v>4278</v>
      </c>
      <c r="BN175" s="132">
        <v>3263</v>
      </c>
      <c r="BO175" s="132">
        <v>4017</v>
      </c>
      <c r="BP175" s="132">
        <v>4821</v>
      </c>
      <c r="BQ175" s="132">
        <v>3884</v>
      </c>
      <c r="BR175" s="132">
        <v>3125</v>
      </c>
      <c r="BS175" s="132">
        <v>3088</v>
      </c>
      <c r="BT175" s="132">
        <v>3463</v>
      </c>
      <c r="BU175" s="132">
        <v>2665</v>
      </c>
      <c r="BV175" s="132">
        <v>3125</v>
      </c>
      <c r="BW175" s="132">
        <v>3252</v>
      </c>
      <c r="BX175" s="132">
        <v>3104</v>
      </c>
      <c r="BY175" s="132">
        <v>3405</v>
      </c>
      <c r="BZ175" s="132">
        <v>3475</v>
      </c>
      <c r="CA175" s="132">
        <v>3502</v>
      </c>
      <c r="CB175" s="132">
        <v>3115</v>
      </c>
      <c r="CC175" s="132">
        <v>3002</v>
      </c>
      <c r="CD175" s="132">
        <v>2802</v>
      </c>
      <c r="CE175" s="132">
        <v>3487</v>
      </c>
      <c r="CF175" s="132">
        <v>3516</v>
      </c>
      <c r="CG175" s="132">
        <v>4589</v>
      </c>
      <c r="CH175" s="132">
        <v>4992</v>
      </c>
      <c r="CI175" s="132">
        <v>4733</v>
      </c>
      <c r="CJ175" s="132">
        <v>4569.7142857142853</v>
      </c>
      <c r="CK175" s="132">
        <v>4262</v>
      </c>
      <c r="CL175" s="132">
        <v>4271</v>
      </c>
      <c r="CM175" s="132">
        <v>2442</v>
      </c>
      <c r="CN175" s="132">
        <v>4688</v>
      </c>
      <c r="CO175" s="132">
        <v>4369</v>
      </c>
      <c r="CP175" s="132">
        <v>5001</v>
      </c>
      <c r="CQ175" s="132">
        <v>5033</v>
      </c>
      <c r="CR175" s="132">
        <v>4576</v>
      </c>
      <c r="CS175" s="132">
        <v>4758</v>
      </c>
      <c r="CT175" s="132">
        <f t="shared" ref="CT175:DP175" si="577">CT176+CT181</f>
        <v>4337.9125566961093</v>
      </c>
      <c r="CU175" s="132">
        <f t="shared" si="577"/>
        <v>4382.0623442349006</v>
      </c>
      <c r="CV175" s="132">
        <f t="shared" si="577"/>
        <v>4378.9274480783006</v>
      </c>
      <c r="CW175" s="132">
        <f t="shared" si="577"/>
        <v>4445.0215087132965</v>
      </c>
      <c r="CX175" s="132">
        <f t="shared" si="577"/>
        <v>4188.482506564812</v>
      </c>
      <c r="CY175" s="132">
        <f t="shared" si="577"/>
        <v>4581.9119742181902</v>
      </c>
      <c r="CZ175" s="132">
        <f t="shared" si="577"/>
        <v>4455.2099212222483</v>
      </c>
      <c r="DA175" s="132">
        <f t="shared" si="577"/>
        <v>4465.6595750775841</v>
      </c>
      <c r="DB175" s="132">
        <f t="shared" si="577"/>
        <v>5481.6271711625677</v>
      </c>
      <c r="DC175" s="132">
        <f t="shared" si="577"/>
        <v>5906.4056003819524</v>
      </c>
      <c r="DD175" s="132">
        <f t="shared" si="577"/>
        <v>5063.6410169491519</v>
      </c>
      <c r="DE175" s="132">
        <f t="shared" si="577"/>
        <v>5471.6999999999989</v>
      </c>
      <c r="DF175" s="132">
        <f t="shared" si="577"/>
        <v>4988.5994402005254</v>
      </c>
      <c r="DG175" s="132">
        <f t="shared" si="577"/>
        <v>5039.3716958701361</v>
      </c>
      <c r="DH175" s="132">
        <f t="shared" si="577"/>
        <v>5035.7665652900459</v>
      </c>
      <c r="DI175" s="132">
        <f t="shared" si="577"/>
        <v>5111.7747350202917</v>
      </c>
      <c r="DJ175" s="132">
        <f t="shared" si="577"/>
        <v>4816.7548825495342</v>
      </c>
      <c r="DK175" s="132">
        <f t="shared" si="577"/>
        <v>5269.1987703509185</v>
      </c>
      <c r="DL175" s="132">
        <f t="shared" si="577"/>
        <v>5123.4914094055857</v>
      </c>
      <c r="DM175" s="132">
        <f t="shared" si="577"/>
        <v>5135.5085113392215</v>
      </c>
      <c r="DN175" s="132">
        <f t="shared" si="577"/>
        <v>6303.871246836954</v>
      </c>
      <c r="DO175" s="132">
        <f t="shared" si="577"/>
        <v>6792.3664404392457</v>
      </c>
      <c r="DP175" s="132">
        <f t="shared" si="577"/>
        <v>5823.1871694915253</v>
      </c>
      <c r="DQ175" s="132">
        <f t="shared" ref="DQ175:EC175" si="578">DQ176+DQ181</f>
        <v>6292.454999999999</v>
      </c>
      <c r="DR175" s="132">
        <f t="shared" si="578"/>
        <v>5736.8893562306039</v>
      </c>
      <c r="DS175" s="132">
        <f t="shared" si="578"/>
        <v>5795.2774502506563</v>
      </c>
      <c r="DT175" s="132">
        <f t="shared" si="578"/>
        <v>5791.1315500835526</v>
      </c>
      <c r="DU175" s="132">
        <f t="shared" si="578"/>
        <v>5878.5409452733347</v>
      </c>
      <c r="DV175" s="132">
        <f t="shared" si="578"/>
        <v>5539.2681149319642</v>
      </c>
      <c r="DW175" s="132">
        <f t="shared" si="578"/>
        <v>6059.5785859035559</v>
      </c>
      <c r="DX175" s="132">
        <f t="shared" si="578"/>
        <v>5892.0151208164234</v>
      </c>
      <c r="DY175" s="132">
        <f t="shared" si="578"/>
        <v>5905.8347880401043</v>
      </c>
      <c r="DZ175" s="132">
        <f t="shared" si="578"/>
        <v>7249.4519338624959</v>
      </c>
      <c r="EA175" s="132">
        <f t="shared" si="578"/>
        <v>7811.2214065051312</v>
      </c>
      <c r="EB175" s="132">
        <f t="shared" si="578"/>
        <v>6696.6652449152534</v>
      </c>
      <c r="EC175" s="132">
        <f t="shared" si="578"/>
        <v>7236.3232499999986</v>
      </c>
      <c r="ED175" s="113" t="s">
        <v>1</v>
      </c>
    </row>
    <row r="176" spans="1:134" x14ac:dyDescent="0.2">
      <c r="A176" s="698" t="s">
        <v>132</v>
      </c>
      <c r="B176" s="129">
        <v>0</v>
      </c>
      <c r="C176" s="129">
        <v>0</v>
      </c>
      <c r="D176" s="129">
        <v>0</v>
      </c>
      <c r="E176" s="129">
        <v>0</v>
      </c>
      <c r="F176" s="129">
        <v>0</v>
      </c>
      <c r="G176" s="129">
        <v>0</v>
      </c>
      <c r="H176" s="129">
        <v>0</v>
      </c>
      <c r="I176" s="129">
        <v>0</v>
      </c>
      <c r="J176" s="129">
        <v>0</v>
      </c>
      <c r="K176" s="129">
        <v>0</v>
      </c>
      <c r="L176" s="129">
        <v>0</v>
      </c>
      <c r="M176" s="129">
        <v>0</v>
      </c>
      <c r="N176" s="129">
        <v>0</v>
      </c>
      <c r="O176" s="129">
        <v>0</v>
      </c>
      <c r="P176" s="129">
        <v>0</v>
      </c>
      <c r="Q176" s="129">
        <v>0</v>
      </c>
      <c r="R176" s="129">
        <v>0</v>
      </c>
      <c r="S176" s="129">
        <v>0</v>
      </c>
      <c r="T176" s="129">
        <v>0</v>
      </c>
      <c r="U176" s="129">
        <v>0</v>
      </c>
      <c r="V176" s="129">
        <v>0</v>
      </c>
      <c r="W176" s="129">
        <v>0</v>
      </c>
      <c r="X176" s="129">
        <v>0</v>
      </c>
      <c r="Y176" s="129">
        <v>0</v>
      </c>
      <c r="Z176" s="129">
        <v>0</v>
      </c>
      <c r="AA176" s="129">
        <v>0</v>
      </c>
      <c r="AB176" s="129">
        <v>4</v>
      </c>
      <c r="AC176" s="129">
        <v>1</v>
      </c>
      <c r="AD176" s="129">
        <v>4</v>
      </c>
      <c r="AE176" s="129">
        <v>4</v>
      </c>
      <c r="AF176" s="129">
        <v>2</v>
      </c>
      <c r="AG176" s="129">
        <v>0</v>
      </c>
      <c r="AH176" s="129">
        <v>8</v>
      </c>
      <c r="AI176" s="129">
        <v>3</v>
      </c>
      <c r="AJ176" s="129">
        <v>9</v>
      </c>
      <c r="AK176" s="129">
        <v>9</v>
      </c>
      <c r="AL176" s="129">
        <v>30</v>
      </c>
      <c r="AM176" s="129">
        <v>10</v>
      </c>
      <c r="AN176" s="129">
        <v>11</v>
      </c>
      <c r="AO176" s="129">
        <v>37</v>
      </c>
      <c r="AP176" s="129">
        <v>10</v>
      </c>
      <c r="AQ176" s="129">
        <v>5</v>
      </c>
      <c r="AR176" s="129">
        <v>90</v>
      </c>
      <c r="AS176" s="129">
        <v>97</v>
      </c>
      <c r="AT176" s="129">
        <v>156</v>
      </c>
      <c r="AU176" s="129">
        <v>207</v>
      </c>
      <c r="AV176" s="129">
        <v>241</v>
      </c>
      <c r="AW176" s="129">
        <v>872</v>
      </c>
      <c r="AX176" s="129">
        <v>393</v>
      </c>
      <c r="AY176" s="129">
        <v>229</v>
      </c>
      <c r="AZ176" s="129">
        <v>881</v>
      </c>
      <c r="BA176" s="129">
        <v>1212</v>
      </c>
      <c r="BB176" s="129">
        <v>1327</v>
      </c>
      <c r="BC176" s="129">
        <v>1474</v>
      </c>
      <c r="BD176" s="129">
        <v>1208</v>
      </c>
      <c r="BE176" s="129">
        <v>945</v>
      </c>
      <c r="BF176" s="129">
        <v>1210</v>
      </c>
      <c r="BG176" s="129">
        <v>910</v>
      </c>
      <c r="BH176" s="129">
        <v>1183</v>
      </c>
      <c r="BI176" s="129">
        <v>2863</v>
      </c>
      <c r="BJ176" s="129">
        <v>3037</v>
      </c>
      <c r="BK176" s="129">
        <v>3072</v>
      </c>
      <c r="BL176" s="129">
        <v>3021</v>
      </c>
      <c r="BM176" s="129">
        <v>4278</v>
      </c>
      <c r="BN176" s="129">
        <v>3263</v>
      </c>
      <c r="BO176" s="129">
        <v>4017</v>
      </c>
      <c r="BP176" s="129">
        <v>4821</v>
      </c>
      <c r="BQ176" s="129">
        <v>3884</v>
      </c>
      <c r="BR176" s="129">
        <v>3125</v>
      </c>
      <c r="BS176" s="129">
        <v>3088</v>
      </c>
      <c r="BT176" s="129">
        <v>3463</v>
      </c>
      <c r="BU176" s="129">
        <v>2665</v>
      </c>
      <c r="BV176" s="129">
        <v>3125</v>
      </c>
      <c r="BW176" s="129">
        <v>3252</v>
      </c>
      <c r="BX176" s="129">
        <v>3104</v>
      </c>
      <c r="BY176" s="129">
        <v>3405</v>
      </c>
      <c r="BZ176" s="129">
        <v>3475</v>
      </c>
      <c r="CA176" s="129">
        <v>3502</v>
      </c>
      <c r="CB176" s="129">
        <v>3115</v>
      </c>
      <c r="CC176" s="129">
        <v>3002</v>
      </c>
      <c r="CD176" s="129">
        <v>2802</v>
      </c>
      <c r="CE176" s="129">
        <v>3487</v>
      </c>
      <c r="CF176" s="129">
        <v>3516</v>
      </c>
      <c r="CG176" s="129">
        <v>4589</v>
      </c>
      <c r="CH176" s="129">
        <v>4992</v>
      </c>
      <c r="CI176" s="129">
        <v>4733</v>
      </c>
      <c r="CJ176" s="129">
        <v>4569.7142857142853</v>
      </c>
      <c r="CK176" s="129">
        <v>4262</v>
      </c>
      <c r="CL176" s="129">
        <v>4271</v>
      </c>
      <c r="CM176" s="129">
        <v>2442</v>
      </c>
      <c r="CN176" s="129">
        <v>4688</v>
      </c>
      <c r="CO176" s="129">
        <v>4369</v>
      </c>
      <c r="CP176" s="129">
        <v>5001</v>
      </c>
      <c r="CQ176" s="129">
        <v>5033</v>
      </c>
      <c r="CR176" s="129">
        <v>4576</v>
      </c>
      <c r="CS176" s="129">
        <v>4758</v>
      </c>
      <c r="CT176" s="129">
        <f>CT159*CT186</f>
        <v>4337.9125566961093</v>
      </c>
      <c r="CU176" s="129">
        <f t="shared" ref="CU176:DQ176" si="579">CU159*CU186</f>
        <v>4382.0623442349006</v>
      </c>
      <c r="CV176" s="129">
        <f t="shared" si="579"/>
        <v>4378.9274480783006</v>
      </c>
      <c r="CW176" s="129">
        <f t="shared" si="579"/>
        <v>4445.0215087132965</v>
      </c>
      <c r="CX176" s="129">
        <f t="shared" si="579"/>
        <v>4188.482506564812</v>
      </c>
      <c r="CY176" s="129">
        <f t="shared" si="579"/>
        <v>4581.9119742181902</v>
      </c>
      <c r="CZ176" s="129">
        <f t="shared" si="579"/>
        <v>4455.2099212222483</v>
      </c>
      <c r="DA176" s="129">
        <f t="shared" si="579"/>
        <v>4465.6595750775841</v>
      </c>
      <c r="DB176" s="129">
        <f t="shared" si="579"/>
        <v>5481.6271711625677</v>
      </c>
      <c r="DC176" s="129">
        <f t="shared" si="579"/>
        <v>5906.4056003819524</v>
      </c>
      <c r="DD176" s="129">
        <f t="shared" si="579"/>
        <v>5063.6410169491519</v>
      </c>
      <c r="DE176" s="129">
        <f t="shared" si="579"/>
        <v>5471.6999999999989</v>
      </c>
      <c r="DF176" s="129">
        <f t="shared" si="579"/>
        <v>4988.5994402005254</v>
      </c>
      <c r="DG176" s="129">
        <f t="shared" si="579"/>
        <v>5039.3716958701361</v>
      </c>
      <c r="DH176" s="129">
        <f t="shared" si="579"/>
        <v>5035.7665652900459</v>
      </c>
      <c r="DI176" s="129">
        <f t="shared" si="579"/>
        <v>5111.7747350202917</v>
      </c>
      <c r="DJ176" s="129">
        <f t="shared" si="579"/>
        <v>4816.7548825495342</v>
      </c>
      <c r="DK176" s="129">
        <f t="shared" si="579"/>
        <v>5269.1987703509185</v>
      </c>
      <c r="DL176" s="129">
        <f t="shared" si="579"/>
        <v>5123.4914094055857</v>
      </c>
      <c r="DM176" s="129">
        <f t="shared" si="579"/>
        <v>5135.5085113392215</v>
      </c>
      <c r="DN176" s="129">
        <f t="shared" si="579"/>
        <v>6303.871246836954</v>
      </c>
      <c r="DO176" s="129">
        <f t="shared" si="579"/>
        <v>6792.3664404392457</v>
      </c>
      <c r="DP176" s="129">
        <f t="shared" si="579"/>
        <v>5823.1871694915253</v>
      </c>
      <c r="DQ176" s="129">
        <f t="shared" si="579"/>
        <v>6292.454999999999</v>
      </c>
      <c r="DR176" s="129">
        <f t="shared" ref="DR176:EC176" si="580">DR159*DR186</f>
        <v>5736.8893562306039</v>
      </c>
      <c r="DS176" s="129">
        <f t="shared" si="580"/>
        <v>5795.2774502506563</v>
      </c>
      <c r="DT176" s="129">
        <f t="shared" si="580"/>
        <v>5791.1315500835526</v>
      </c>
      <c r="DU176" s="129">
        <f t="shared" si="580"/>
        <v>5878.5409452733347</v>
      </c>
      <c r="DV176" s="129">
        <f t="shared" si="580"/>
        <v>5539.2681149319642</v>
      </c>
      <c r="DW176" s="129">
        <f t="shared" si="580"/>
        <v>6059.5785859035559</v>
      </c>
      <c r="DX176" s="129">
        <f t="shared" si="580"/>
        <v>5892.0151208164234</v>
      </c>
      <c r="DY176" s="129">
        <f t="shared" si="580"/>
        <v>5905.8347880401043</v>
      </c>
      <c r="DZ176" s="129">
        <f t="shared" si="580"/>
        <v>7249.4519338624959</v>
      </c>
      <c r="EA176" s="129">
        <f t="shared" si="580"/>
        <v>7811.2214065051312</v>
      </c>
      <c r="EB176" s="129">
        <f t="shared" si="580"/>
        <v>6696.6652449152534</v>
      </c>
      <c r="EC176" s="129">
        <f t="shared" si="580"/>
        <v>7236.3232499999986</v>
      </c>
      <c r="ED176" s="113" t="s">
        <v>1</v>
      </c>
    </row>
    <row r="177" spans="1:134" x14ac:dyDescent="0.2">
      <c r="A177" s="713" t="s">
        <v>8</v>
      </c>
      <c r="B177" s="129">
        <v>0</v>
      </c>
      <c r="C177" s="129">
        <v>0</v>
      </c>
      <c r="D177" s="129">
        <v>0</v>
      </c>
      <c r="E177" s="129">
        <v>0</v>
      </c>
      <c r="F177" s="129">
        <v>0</v>
      </c>
      <c r="G177" s="129">
        <v>0</v>
      </c>
      <c r="H177" s="129">
        <v>0</v>
      </c>
      <c r="I177" s="129">
        <v>0</v>
      </c>
      <c r="J177" s="129">
        <v>0</v>
      </c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  <c r="AH177" s="129"/>
      <c r="AI177" s="129"/>
      <c r="AJ177" s="129"/>
      <c r="AK177" s="129"/>
      <c r="AL177" s="129"/>
      <c r="AM177" s="129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9"/>
      <c r="AX177" s="129"/>
      <c r="AY177" s="129"/>
      <c r="AZ177" s="129"/>
      <c r="BA177" s="129"/>
      <c r="BB177" s="129"/>
      <c r="BC177" s="129"/>
      <c r="BD177" s="129"/>
      <c r="BE177" s="129"/>
      <c r="BF177" s="129"/>
      <c r="BG177" s="129"/>
      <c r="BH177" s="129"/>
      <c r="BI177" s="129">
        <v>2204</v>
      </c>
      <c r="BJ177" s="129">
        <v>2231</v>
      </c>
      <c r="BK177" s="129">
        <v>1981</v>
      </c>
      <c r="BL177" s="129">
        <v>1465</v>
      </c>
      <c r="BM177" s="129">
        <v>2833</v>
      </c>
      <c r="BN177" s="129">
        <v>1662</v>
      </c>
      <c r="BO177" s="129">
        <v>2303</v>
      </c>
      <c r="BP177" s="129">
        <v>2663</v>
      </c>
      <c r="BQ177" s="129">
        <v>2086</v>
      </c>
      <c r="BR177" s="129">
        <v>1811</v>
      </c>
      <c r="BS177" s="129">
        <v>1669</v>
      </c>
      <c r="BT177" s="129">
        <v>2290</v>
      </c>
      <c r="BU177" s="129">
        <v>1306</v>
      </c>
      <c r="BV177" s="129">
        <v>1575</v>
      </c>
      <c r="BW177" s="129">
        <v>1557</v>
      </c>
      <c r="BX177" s="129">
        <v>1527</v>
      </c>
      <c r="BY177" s="129">
        <v>1525</v>
      </c>
      <c r="BZ177" s="129">
        <v>1475</v>
      </c>
      <c r="CA177" s="129">
        <v>1575</v>
      </c>
      <c r="CB177" s="129">
        <v>1513</v>
      </c>
      <c r="CC177" s="129">
        <v>1507</v>
      </c>
      <c r="CD177" s="129">
        <v>1229</v>
      </c>
      <c r="CE177" s="129">
        <v>1646</v>
      </c>
      <c r="CF177" s="129">
        <v>1700</v>
      </c>
      <c r="CG177" s="129">
        <v>2385</v>
      </c>
      <c r="CH177" s="129">
        <v>2738</v>
      </c>
      <c r="CI177" s="129">
        <v>2682</v>
      </c>
      <c r="CJ177" s="129">
        <v>2066.7142857142858</v>
      </c>
      <c r="CK177" s="129">
        <v>1687</v>
      </c>
      <c r="CL177" s="129">
        <v>1859</v>
      </c>
      <c r="CM177" s="129">
        <v>-226</v>
      </c>
      <c r="CN177" s="129">
        <v>2043</v>
      </c>
      <c r="CO177" s="129">
        <v>1839</v>
      </c>
      <c r="CP177" s="129">
        <v>2186</v>
      </c>
      <c r="CQ177" s="129">
        <v>2202</v>
      </c>
      <c r="CR177" s="129">
        <v>1936</v>
      </c>
      <c r="CS177" s="129">
        <v>2095</v>
      </c>
      <c r="CT177" s="129">
        <f>CT$176*CT187</f>
        <v>1910.0308546192412</v>
      </c>
      <c r="CU177" s="129">
        <f t="shared" ref="CU177:DQ180" si="581">CU$176*CU187</f>
        <v>1929.4704941513487</v>
      </c>
      <c r="CV177" s="129">
        <f t="shared" si="581"/>
        <v>1928.0901647171165</v>
      </c>
      <c r="CW177" s="129">
        <f t="shared" si="581"/>
        <v>1957.1921102888518</v>
      </c>
      <c r="CX177" s="129">
        <f t="shared" si="581"/>
        <v>1844.2351515874909</v>
      </c>
      <c r="CY177" s="129">
        <f t="shared" si="581"/>
        <v>2017.4664955836715</v>
      </c>
      <c r="CZ177" s="129">
        <f t="shared" si="581"/>
        <v>1961.6781809501074</v>
      </c>
      <c r="DA177" s="129">
        <f t="shared" si="581"/>
        <v>1966.2792790642159</v>
      </c>
      <c r="DB177" s="129">
        <f t="shared" si="581"/>
        <v>2413.6210432084026</v>
      </c>
      <c r="DC177" s="129">
        <f t="shared" si="581"/>
        <v>2600.6556815469085</v>
      </c>
      <c r="DD177" s="129">
        <f t="shared" si="581"/>
        <v>2229.5771186440675</v>
      </c>
      <c r="DE177" s="129">
        <f t="shared" si="581"/>
        <v>2409.2499999999995</v>
      </c>
      <c r="DF177" s="129">
        <f t="shared" si="581"/>
        <v>2196.5354828121281</v>
      </c>
      <c r="DG177" s="129">
        <f t="shared" si="581"/>
        <v>2218.891068274052</v>
      </c>
      <c r="DH177" s="129">
        <f t="shared" si="581"/>
        <v>2217.3036894246848</v>
      </c>
      <c r="DI177" s="129">
        <f t="shared" si="581"/>
        <v>2250.7709268321805</v>
      </c>
      <c r="DJ177" s="129">
        <f t="shared" si="581"/>
        <v>2120.8704243256157</v>
      </c>
      <c r="DK177" s="129">
        <f t="shared" si="581"/>
        <v>2320.0864699212229</v>
      </c>
      <c r="DL177" s="129">
        <f t="shared" si="581"/>
        <v>2255.9299080926244</v>
      </c>
      <c r="DM177" s="129">
        <f t="shared" si="581"/>
        <v>2261.2211709238491</v>
      </c>
      <c r="DN177" s="129">
        <f t="shared" si="581"/>
        <v>2775.6641996896647</v>
      </c>
      <c r="DO177" s="129">
        <f t="shared" si="581"/>
        <v>2990.754033778946</v>
      </c>
      <c r="DP177" s="129">
        <f t="shared" si="581"/>
        <v>2564.0136864406791</v>
      </c>
      <c r="DQ177" s="129">
        <f t="shared" si="581"/>
        <v>2770.6375000000007</v>
      </c>
      <c r="DR177" s="129">
        <f t="shared" ref="DR177:EC177" si="582">DR$176*DR187</f>
        <v>2526.015805233947</v>
      </c>
      <c r="DS177" s="129">
        <f t="shared" si="582"/>
        <v>2551.7247285151598</v>
      </c>
      <c r="DT177" s="129">
        <f t="shared" si="582"/>
        <v>2549.8992428383876</v>
      </c>
      <c r="DU177" s="129">
        <f t="shared" si="582"/>
        <v>2588.3865658570076</v>
      </c>
      <c r="DV177" s="129">
        <f t="shared" si="582"/>
        <v>2439.0009879744575</v>
      </c>
      <c r="DW177" s="129">
        <f t="shared" si="582"/>
        <v>2668.0994404094063</v>
      </c>
      <c r="DX177" s="129">
        <f t="shared" si="582"/>
        <v>2594.319394306518</v>
      </c>
      <c r="DY177" s="129">
        <f t="shared" si="582"/>
        <v>2600.4043465624263</v>
      </c>
      <c r="DZ177" s="129">
        <f t="shared" si="582"/>
        <v>3192.0138296431137</v>
      </c>
      <c r="EA177" s="129">
        <f t="shared" si="582"/>
        <v>3439.3671388457874</v>
      </c>
      <c r="EB177" s="129">
        <f t="shared" si="582"/>
        <v>2948.6157394067804</v>
      </c>
      <c r="EC177" s="129">
        <f t="shared" si="582"/>
        <v>3186.2331250000007</v>
      </c>
      <c r="ED177" s="113" t="s">
        <v>1</v>
      </c>
    </row>
    <row r="178" spans="1:134" x14ac:dyDescent="0.2">
      <c r="A178" s="713" t="s">
        <v>134</v>
      </c>
      <c r="B178" s="129">
        <v>0</v>
      </c>
      <c r="C178" s="129">
        <v>0</v>
      </c>
      <c r="D178" s="129">
        <v>0</v>
      </c>
      <c r="E178" s="129">
        <v>0</v>
      </c>
      <c r="F178" s="129">
        <v>0</v>
      </c>
      <c r="G178" s="129">
        <v>0</v>
      </c>
      <c r="H178" s="129">
        <v>0</v>
      </c>
      <c r="I178" s="129">
        <v>0</v>
      </c>
      <c r="J178" s="129">
        <v>0</v>
      </c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  <c r="AH178" s="129"/>
      <c r="AI178" s="129"/>
      <c r="AJ178" s="129"/>
      <c r="AK178" s="129"/>
      <c r="AL178" s="129"/>
      <c r="AM178" s="129"/>
      <c r="AN178" s="129"/>
      <c r="AO178" s="129"/>
      <c r="AP178" s="129"/>
      <c r="AQ178" s="129"/>
      <c r="AR178" s="129"/>
      <c r="AS178" s="129"/>
      <c r="AT178" s="129"/>
      <c r="AU178" s="129"/>
      <c r="AV178" s="129"/>
      <c r="AW178" s="129"/>
      <c r="AX178" s="129"/>
      <c r="AY178" s="129"/>
      <c r="AZ178" s="129"/>
      <c r="BA178" s="129"/>
      <c r="BB178" s="129"/>
      <c r="BC178" s="129"/>
      <c r="BD178" s="129"/>
      <c r="BE178" s="129"/>
      <c r="BF178" s="129"/>
      <c r="BG178" s="129"/>
      <c r="BH178" s="129"/>
      <c r="BI178" s="129">
        <v>0</v>
      </c>
      <c r="BJ178" s="129">
        <v>0</v>
      </c>
      <c r="BK178" s="129">
        <v>0</v>
      </c>
      <c r="BL178" s="129">
        <v>44</v>
      </c>
      <c r="BM178" s="129">
        <v>399</v>
      </c>
      <c r="BN178" s="129">
        <v>433</v>
      </c>
      <c r="BO178" s="129">
        <v>459</v>
      </c>
      <c r="BP178" s="129">
        <v>648</v>
      </c>
      <c r="BQ178" s="129">
        <v>414</v>
      </c>
      <c r="BR178" s="129">
        <v>270</v>
      </c>
      <c r="BS178" s="129">
        <v>356</v>
      </c>
      <c r="BT178" s="129">
        <v>216</v>
      </c>
      <c r="BU178" s="129">
        <v>286</v>
      </c>
      <c r="BV178" s="129">
        <v>321</v>
      </c>
      <c r="BW178" s="129">
        <v>412</v>
      </c>
      <c r="BX178" s="129">
        <v>403</v>
      </c>
      <c r="BY178" s="129">
        <v>448</v>
      </c>
      <c r="BZ178" s="129">
        <v>406</v>
      </c>
      <c r="CA178" s="129">
        <v>463</v>
      </c>
      <c r="CB178" s="129">
        <v>379</v>
      </c>
      <c r="CC178" s="129">
        <v>386</v>
      </c>
      <c r="CD178" s="129">
        <v>460</v>
      </c>
      <c r="CE178" s="129">
        <v>415</v>
      </c>
      <c r="CF178" s="129">
        <v>558</v>
      </c>
      <c r="CG178" s="129">
        <v>548</v>
      </c>
      <c r="CH178" s="129">
        <v>528</v>
      </c>
      <c r="CI178" s="129">
        <v>408</v>
      </c>
      <c r="CJ178" s="129">
        <v>545</v>
      </c>
      <c r="CK178" s="129">
        <v>582</v>
      </c>
      <c r="CL178" s="129">
        <v>528</v>
      </c>
      <c r="CM178" s="129">
        <v>630</v>
      </c>
      <c r="CN178" s="129">
        <v>607</v>
      </c>
      <c r="CO178" s="129">
        <v>524</v>
      </c>
      <c r="CP178" s="129">
        <v>560</v>
      </c>
      <c r="CQ178" s="129">
        <v>580</v>
      </c>
      <c r="CR178" s="129">
        <v>513</v>
      </c>
      <c r="CS178" s="129">
        <v>571</v>
      </c>
      <c r="CT178" s="129">
        <f t="shared" ref="CT178:DI180" si="583">CT$176*CT188</f>
        <v>520.58597517307237</v>
      </c>
      <c r="CU178" s="129">
        <f t="shared" si="583"/>
        <v>525.88432084029591</v>
      </c>
      <c r="CV178" s="129">
        <f t="shared" si="583"/>
        <v>525.50810694676534</v>
      </c>
      <c r="CW178" s="129">
        <f t="shared" si="583"/>
        <v>533.43994986870371</v>
      </c>
      <c r="CX178" s="129">
        <f t="shared" si="583"/>
        <v>502.65311291477667</v>
      </c>
      <c r="CY178" s="129">
        <f t="shared" si="583"/>
        <v>549.86795655287654</v>
      </c>
      <c r="CZ178" s="129">
        <f t="shared" si="583"/>
        <v>534.66264502267836</v>
      </c>
      <c r="DA178" s="129">
        <f t="shared" si="583"/>
        <v>535.91669133444736</v>
      </c>
      <c r="DB178" s="129">
        <f t="shared" si="583"/>
        <v>657.84134399618029</v>
      </c>
      <c r="DC178" s="129">
        <f t="shared" si="583"/>
        <v>708.81832656958693</v>
      </c>
      <c r="DD178" s="129">
        <f t="shared" si="583"/>
        <v>607.6794915254236</v>
      </c>
      <c r="DE178" s="129">
        <f t="shared" si="583"/>
        <v>656.64999999999986</v>
      </c>
      <c r="DF178" s="129">
        <f t="shared" si="583"/>
        <v>598.6738714490333</v>
      </c>
      <c r="DG178" s="129">
        <f t="shared" si="583"/>
        <v>604.76696896634053</v>
      </c>
      <c r="DH178" s="129">
        <f t="shared" si="583"/>
        <v>604.33432298878029</v>
      </c>
      <c r="DI178" s="129">
        <f t="shared" si="583"/>
        <v>613.45594234900943</v>
      </c>
      <c r="DJ178" s="129">
        <f t="shared" si="581"/>
        <v>578.05107985199334</v>
      </c>
      <c r="DK178" s="129">
        <f t="shared" si="581"/>
        <v>632.34815003580809</v>
      </c>
      <c r="DL178" s="129">
        <f t="shared" si="581"/>
        <v>614.86204177608033</v>
      </c>
      <c r="DM178" s="129">
        <f t="shared" si="581"/>
        <v>616.30419503461451</v>
      </c>
      <c r="DN178" s="129">
        <f t="shared" si="581"/>
        <v>756.51754559560766</v>
      </c>
      <c r="DO178" s="129">
        <f t="shared" si="581"/>
        <v>815.14107555502517</v>
      </c>
      <c r="DP178" s="129">
        <f t="shared" si="581"/>
        <v>698.83141525423741</v>
      </c>
      <c r="DQ178" s="129">
        <f t="shared" si="581"/>
        <v>755.14750000000004</v>
      </c>
      <c r="DR178" s="129">
        <f t="shared" ref="DR178:EC178" si="584">DR$176*DR188</f>
        <v>688.47495216638822</v>
      </c>
      <c r="DS178" s="129">
        <f t="shared" si="584"/>
        <v>695.48201431129155</v>
      </c>
      <c r="DT178" s="129">
        <f t="shared" si="584"/>
        <v>694.98447143709734</v>
      </c>
      <c r="DU178" s="129">
        <f t="shared" si="584"/>
        <v>705.47433370136082</v>
      </c>
      <c r="DV178" s="129">
        <f t="shared" si="584"/>
        <v>664.75874182979237</v>
      </c>
      <c r="DW178" s="129">
        <f t="shared" si="584"/>
        <v>727.20037254117926</v>
      </c>
      <c r="DX178" s="129">
        <f t="shared" si="584"/>
        <v>707.09134804249231</v>
      </c>
      <c r="DY178" s="129">
        <f t="shared" si="584"/>
        <v>708.74982428980672</v>
      </c>
      <c r="DZ178" s="129">
        <f t="shared" si="584"/>
        <v>869.99517743494869</v>
      </c>
      <c r="EA178" s="129">
        <f t="shared" si="584"/>
        <v>937.41223688827881</v>
      </c>
      <c r="EB178" s="129">
        <f t="shared" si="584"/>
        <v>803.65612754237293</v>
      </c>
      <c r="EC178" s="129">
        <f t="shared" si="584"/>
        <v>868.419625</v>
      </c>
      <c r="ED178" s="113" t="s">
        <v>1</v>
      </c>
    </row>
    <row r="179" spans="1:134" x14ac:dyDescent="0.2">
      <c r="A179" s="724" t="s">
        <v>135</v>
      </c>
      <c r="B179" s="129">
        <v>0</v>
      </c>
      <c r="C179" s="129">
        <v>0</v>
      </c>
      <c r="D179" s="129">
        <v>0</v>
      </c>
      <c r="E179" s="129">
        <v>0</v>
      </c>
      <c r="F179" s="129">
        <v>0</v>
      </c>
      <c r="G179" s="129">
        <v>0</v>
      </c>
      <c r="H179" s="129">
        <v>0</v>
      </c>
      <c r="I179" s="129">
        <v>0</v>
      </c>
      <c r="J179" s="129">
        <v>0</v>
      </c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  <c r="AH179" s="129"/>
      <c r="AI179" s="129"/>
      <c r="AJ179" s="129"/>
      <c r="AK179" s="129"/>
      <c r="AL179" s="129"/>
      <c r="AM179" s="129"/>
      <c r="AN179" s="129"/>
      <c r="AO179" s="129"/>
      <c r="AP179" s="129"/>
      <c r="AQ179" s="129"/>
      <c r="AR179" s="129"/>
      <c r="AS179" s="129"/>
      <c r="AT179" s="129"/>
      <c r="AU179" s="129"/>
      <c r="AV179" s="129"/>
      <c r="AW179" s="129"/>
      <c r="AX179" s="129"/>
      <c r="AY179" s="129"/>
      <c r="AZ179" s="129"/>
      <c r="BA179" s="129"/>
      <c r="BB179" s="129"/>
      <c r="BC179" s="129"/>
      <c r="BD179" s="129"/>
      <c r="BE179" s="129"/>
      <c r="BF179" s="129"/>
      <c r="BG179" s="129"/>
      <c r="BH179" s="129"/>
      <c r="BI179" s="129">
        <v>307</v>
      </c>
      <c r="BJ179" s="129">
        <v>431</v>
      </c>
      <c r="BK179" s="129">
        <v>388</v>
      </c>
      <c r="BL179" s="129">
        <v>767</v>
      </c>
      <c r="BM179" s="129">
        <v>230</v>
      </c>
      <c r="BN179" s="129">
        <v>200</v>
      </c>
      <c r="BO179" s="129">
        <v>189</v>
      </c>
      <c r="BP179" s="129">
        <v>232</v>
      </c>
      <c r="BQ179" s="129">
        <v>204</v>
      </c>
      <c r="BR179" s="129">
        <v>149</v>
      </c>
      <c r="BS179" s="129">
        <v>166</v>
      </c>
      <c r="BT179" s="129">
        <v>151</v>
      </c>
      <c r="BU179" s="129">
        <v>159</v>
      </c>
      <c r="BV179" s="129">
        <v>143</v>
      </c>
      <c r="BW179" s="129">
        <v>125</v>
      </c>
      <c r="BX179" s="129">
        <v>116</v>
      </c>
      <c r="BY179" s="129">
        <v>179</v>
      </c>
      <c r="BZ179" s="129">
        <v>169</v>
      </c>
      <c r="CA179" s="129">
        <v>220</v>
      </c>
      <c r="CB179" s="129">
        <v>242</v>
      </c>
      <c r="CC179" s="129">
        <v>208</v>
      </c>
      <c r="CD179" s="129">
        <v>263</v>
      </c>
      <c r="CE179" s="129">
        <v>386</v>
      </c>
      <c r="CF179" s="129">
        <v>369</v>
      </c>
      <c r="CG179" s="129">
        <v>525</v>
      </c>
      <c r="CH179" s="129">
        <v>583</v>
      </c>
      <c r="CI179" s="129">
        <v>553</v>
      </c>
      <c r="CJ179" s="129">
        <v>686</v>
      </c>
      <c r="CK179" s="129">
        <v>684</v>
      </c>
      <c r="CL179" s="129">
        <v>482</v>
      </c>
      <c r="CM179" s="129">
        <v>605</v>
      </c>
      <c r="CN179" s="129">
        <v>561</v>
      </c>
      <c r="CO179" s="129">
        <v>647</v>
      </c>
      <c r="CP179" s="129">
        <v>745</v>
      </c>
      <c r="CQ179" s="129">
        <v>718</v>
      </c>
      <c r="CR179" s="129">
        <v>661</v>
      </c>
      <c r="CS179" s="129">
        <v>418</v>
      </c>
      <c r="CT179" s="129">
        <f t="shared" si="583"/>
        <v>381.09446168536647</v>
      </c>
      <c r="CU179" s="129">
        <f t="shared" si="581"/>
        <v>384.9731105275722</v>
      </c>
      <c r="CV179" s="129">
        <f t="shared" si="581"/>
        <v>384.69770350919077</v>
      </c>
      <c r="CW179" s="129">
        <f t="shared" si="581"/>
        <v>390.50420148006685</v>
      </c>
      <c r="CX179" s="129">
        <f t="shared" si="581"/>
        <v>367.96672714251605</v>
      </c>
      <c r="CY179" s="129">
        <f t="shared" si="581"/>
        <v>402.53030794939127</v>
      </c>
      <c r="CZ179" s="129">
        <f t="shared" si="581"/>
        <v>391.39927428980661</v>
      </c>
      <c r="DA179" s="129">
        <f t="shared" si="581"/>
        <v>392.31729768441159</v>
      </c>
      <c r="DB179" s="129">
        <f t="shared" si="581"/>
        <v>481.57212222487459</v>
      </c>
      <c r="DC179" s="129">
        <f t="shared" si="581"/>
        <v>518.88977321556456</v>
      </c>
      <c r="DD179" s="129">
        <f t="shared" si="581"/>
        <v>444.85118644067791</v>
      </c>
      <c r="DE179" s="129">
        <f t="shared" si="581"/>
        <v>480.69999999999993</v>
      </c>
      <c r="DF179" s="129">
        <f t="shared" si="581"/>
        <v>438.25863093817128</v>
      </c>
      <c r="DG179" s="129">
        <f t="shared" si="581"/>
        <v>442.71907710670791</v>
      </c>
      <c r="DH179" s="129">
        <f t="shared" si="581"/>
        <v>442.40235903556925</v>
      </c>
      <c r="DI179" s="129">
        <f t="shared" si="581"/>
        <v>449.07983170207677</v>
      </c>
      <c r="DJ179" s="129">
        <f t="shared" si="581"/>
        <v>423.16173621389339</v>
      </c>
      <c r="DK179" s="129">
        <f t="shared" si="581"/>
        <v>462.90985414179977</v>
      </c>
      <c r="DL179" s="129">
        <f t="shared" si="581"/>
        <v>450.1091654332775</v>
      </c>
      <c r="DM179" s="129">
        <f t="shared" si="581"/>
        <v>451.16489233707313</v>
      </c>
      <c r="DN179" s="129">
        <f t="shared" si="581"/>
        <v>553.80794055860576</v>
      </c>
      <c r="DO179" s="129">
        <f t="shared" si="581"/>
        <v>596.72323919789915</v>
      </c>
      <c r="DP179" s="129">
        <f t="shared" si="581"/>
        <v>511.57886440677953</v>
      </c>
      <c r="DQ179" s="129">
        <f t="shared" si="581"/>
        <v>552.80499999999972</v>
      </c>
      <c r="DR179" s="129">
        <f t="shared" ref="DR179:EC179" si="585">DR$176*DR189</f>
        <v>503.99742557889698</v>
      </c>
      <c r="DS179" s="129">
        <f t="shared" si="585"/>
        <v>509.12693867271412</v>
      </c>
      <c r="DT179" s="129">
        <f t="shared" si="585"/>
        <v>508.76271289090465</v>
      </c>
      <c r="DU179" s="129">
        <f t="shared" si="585"/>
        <v>516.44180645738822</v>
      </c>
      <c r="DV179" s="129">
        <f t="shared" si="585"/>
        <v>486.6359966459774</v>
      </c>
      <c r="DW179" s="129">
        <f t="shared" si="585"/>
        <v>532.34633226306971</v>
      </c>
      <c r="DX179" s="129">
        <f t="shared" si="585"/>
        <v>517.62554024826909</v>
      </c>
      <c r="DY179" s="129">
        <f t="shared" si="585"/>
        <v>518.83962618763405</v>
      </c>
      <c r="DZ179" s="129">
        <f t="shared" si="585"/>
        <v>636.87913164239649</v>
      </c>
      <c r="EA179" s="129">
        <f t="shared" si="585"/>
        <v>686.23172507758386</v>
      </c>
      <c r="EB179" s="129">
        <f t="shared" si="585"/>
        <v>588.31569406779636</v>
      </c>
      <c r="EC179" s="129">
        <f t="shared" si="585"/>
        <v>635.72574999999972</v>
      </c>
      <c r="ED179" s="113" t="s">
        <v>1</v>
      </c>
    </row>
    <row r="180" spans="1:134" x14ac:dyDescent="0.2">
      <c r="A180" s="713" t="s">
        <v>136</v>
      </c>
      <c r="B180" s="129">
        <v>0</v>
      </c>
      <c r="C180" s="129">
        <v>0</v>
      </c>
      <c r="D180" s="129">
        <v>0</v>
      </c>
      <c r="E180" s="129">
        <v>0</v>
      </c>
      <c r="F180" s="129">
        <v>0</v>
      </c>
      <c r="G180" s="129">
        <v>0</v>
      </c>
      <c r="H180" s="129">
        <v>0</v>
      </c>
      <c r="I180" s="129">
        <v>0</v>
      </c>
      <c r="J180" s="129">
        <v>0</v>
      </c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  <c r="AH180" s="129"/>
      <c r="AI180" s="129"/>
      <c r="AJ180" s="129"/>
      <c r="AK180" s="129"/>
      <c r="AL180" s="129"/>
      <c r="AM180" s="129"/>
      <c r="AN180" s="129"/>
      <c r="AO180" s="129"/>
      <c r="AP180" s="129"/>
      <c r="AQ180" s="129"/>
      <c r="AR180" s="129"/>
      <c r="AS180" s="129"/>
      <c r="AT180" s="129"/>
      <c r="AU180" s="129"/>
      <c r="AV180" s="129"/>
      <c r="AW180" s="129"/>
      <c r="AX180" s="129"/>
      <c r="AY180" s="129"/>
      <c r="AZ180" s="129"/>
      <c r="BA180" s="129"/>
      <c r="BB180" s="129"/>
      <c r="BC180" s="129"/>
      <c r="BD180" s="129"/>
      <c r="BE180" s="129"/>
      <c r="BF180" s="129"/>
      <c r="BG180" s="129"/>
      <c r="BH180" s="129"/>
      <c r="BI180" s="129">
        <v>352</v>
      </c>
      <c r="BJ180" s="129">
        <v>375</v>
      </c>
      <c r="BK180" s="129">
        <v>703</v>
      </c>
      <c r="BL180" s="129">
        <v>745</v>
      </c>
      <c r="BM180" s="129">
        <v>816</v>
      </c>
      <c r="BN180" s="129">
        <v>968</v>
      </c>
      <c r="BO180" s="129">
        <v>1066</v>
      </c>
      <c r="BP180" s="129">
        <v>1278</v>
      </c>
      <c r="BQ180" s="129">
        <v>1180</v>
      </c>
      <c r="BR180" s="129">
        <v>895</v>
      </c>
      <c r="BS180" s="129">
        <v>897</v>
      </c>
      <c r="BT180" s="129">
        <v>806</v>
      </c>
      <c r="BU180" s="129">
        <v>914</v>
      </c>
      <c r="BV180" s="129">
        <v>1086</v>
      </c>
      <c r="BW180" s="129">
        <v>1158</v>
      </c>
      <c r="BX180" s="129">
        <v>1058</v>
      </c>
      <c r="BY180" s="129">
        <v>1253</v>
      </c>
      <c r="BZ180" s="129">
        <v>1425</v>
      </c>
      <c r="CA180" s="129">
        <v>1244</v>
      </c>
      <c r="CB180" s="129">
        <v>981</v>
      </c>
      <c r="CC180" s="129">
        <v>901</v>
      </c>
      <c r="CD180" s="129">
        <v>850</v>
      </c>
      <c r="CE180" s="129">
        <v>1040</v>
      </c>
      <c r="CF180" s="129">
        <v>889</v>
      </c>
      <c r="CG180" s="129">
        <v>1131</v>
      </c>
      <c r="CH180" s="129">
        <v>1143</v>
      </c>
      <c r="CI180" s="129">
        <v>1090</v>
      </c>
      <c r="CJ180" s="129">
        <v>1271.9999999999995</v>
      </c>
      <c r="CK180" s="129">
        <v>1309</v>
      </c>
      <c r="CL180" s="129">
        <v>1402</v>
      </c>
      <c r="CM180" s="129">
        <v>1433</v>
      </c>
      <c r="CN180" s="129">
        <v>1477</v>
      </c>
      <c r="CO180" s="129">
        <v>1359</v>
      </c>
      <c r="CP180" s="129">
        <v>1510</v>
      </c>
      <c r="CQ180" s="129">
        <v>1533</v>
      </c>
      <c r="CR180" s="129">
        <v>1466</v>
      </c>
      <c r="CS180" s="129">
        <v>1674</v>
      </c>
      <c r="CT180" s="129">
        <f t="shared" si="583"/>
        <v>1526.2012652184294</v>
      </c>
      <c r="CU180" s="129">
        <f t="shared" si="581"/>
        <v>1541.7344187156837</v>
      </c>
      <c r="CV180" s="129">
        <f t="shared" si="581"/>
        <v>1540.6314729052281</v>
      </c>
      <c r="CW180" s="129">
        <f t="shared" si="581"/>
        <v>1563.8852470756742</v>
      </c>
      <c r="CX180" s="129">
        <f t="shared" si="581"/>
        <v>1473.6275149200283</v>
      </c>
      <c r="CY180" s="129">
        <f t="shared" si="581"/>
        <v>1612.0472141322509</v>
      </c>
      <c r="CZ180" s="129">
        <f t="shared" si="581"/>
        <v>1567.4698209596561</v>
      </c>
      <c r="DA180" s="129">
        <f t="shared" si="581"/>
        <v>1571.1463069945094</v>
      </c>
      <c r="DB180" s="129">
        <f t="shared" si="581"/>
        <v>1928.5926617331102</v>
      </c>
      <c r="DC180" s="129">
        <f t="shared" si="581"/>
        <v>2078.0418190498922</v>
      </c>
      <c r="DD180" s="129">
        <f t="shared" si="581"/>
        <v>1781.5332203389828</v>
      </c>
      <c r="DE180" s="129">
        <f t="shared" si="581"/>
        <v>1925.0999999999995</v>
      </c>
      <c r="DF180" s="129">
        <f t="shared" si="581"/>
        <v>1755.1314550011937</v>
      </c>
      <c r="DG180" s="129">
        <f t="shared" si="581"/>
        <v>1772.9945815230365</v>
      </c>
      <c r="DH180" s="129">
        <f t="shared" si="581"/>
        <v>1771.7261938410122</v>
      </c>
      <c r="DI180" s="129">
        <f t="shared" si="581"/>
        <v>1798.4680341370256</v>
      </c>
      <c r="DJ180" s="129">
        <f t="shared" si="581"/>
        <v>1694.6716421580327</v>
      </c>
      <c r="DK180" s="129">
        <f t="shared" si="581"/>
        <v>1853.8542962520885</v>
      </c>
      <c r="DL180" s="129">
        <f t="shared" si="581"/>
        <v>1802.5902941036045</v>
      </c>
      <c r="DM180" s="129">
        <f t="shared" si="581"/>
        <v>1806.8182530436857</v>
      </c>
      <c r="DN180" s="129">
        <f t="shared" si="581"/>
        <v>2217.8815609930771</v>
      </c>
      <c r="DO180" s="129">
        <f t="shared" si="581"/>
        <v>2389.7480919073764</v>
      </c>
      <c r="DP180" s="129">
        <f t="shared" si="581"/>
        <v>2048.7632033898303</v>
      </c>
      <c r="DQ180" s="129">
        <f t="shared" si="581"/>
        <v>2213.8649999999998</v>
      </c>
      <c r="DR180" s="129">
        <f t="shared" ref="DR180:EC180" si="586">DR$176*DR190</f>
        <v>2018.4011732513725</v>
      </c>
      <c r="DS180" s="129">
        <f t="shared" si="586"/>
        <v>2038.9437687514919</v>
      </c>
      <c r="DT180" s="129">
        <f t="shared" si="586"/>
        <v>2037.4851229171641</v>
      </c>
      <c r="DU180" s="129">
        <f t="shared" si="586"/>
        <v>2068.2382392575792</v>
      </c>
      <c r="DV180" s="129">
        <f t="shared" si="586"/>
        <v>1948.8723884817377</v>
      </c>
      <c r="DW180" s="129">
        <f t="shared" si="586"/>
        <v>2131.9324406899018</v>
      </c>
      <c r="DX180" s="129">
        <f t="shared" si="586"/>
        <v>2072.978838219145</v>
      </c>
      <c r="DY180" s="129">
        <f t="shared" si="586"/>
        <v>2077.8409910002383</v>
      </c>
      <c r="DZ180" s="129">
        <f t="shared" si="586"/>
        <v>2550.5637951420381</v>
      </c>
      <c r="EA180" s="129">
        <f t="shared" si="586"/>
        <v>2748.2103056934825</v>
      </c>
      <c r="EB180" s="129">
        <f t="shared" si="586"/>
        <v>2356.0776838983047</v>
      </c>
      <c r="EC180" s="129">
        <f t="shared" si="586"/>
        <v>2545.9447499999992</v>
      </c>
      <c r="ED180" s="113" t="s">
        <v>1</v>
      </c>
    </row>
    <row r="181" spans="1:134" x14ac:dyDescent="0.2">
      <c r="A181" s="725" t="s">
        <v>133</v>
      </c>
      <c r="B181" s="129">
        <v>0</v>
      </c>
      <c r="C181" s="129">
        <v>0</v>
      </c>
      <c r="D181" s="129">
        <v>0</v>
      </c>
      <c r="E181" s="129">
        <v>0</v>
      </c>
      <c r="F181" s="129">
        <v>0</v>
      </c>
      <c r="G181" s="129">
        <v>0</v>
      </c>
      <c r="H181" s="129">
        <v>0</v>
      </c>
      <c r="I181" s="129">
        <v>0</v>
      </c>
      <c r="J181" s="129">
        <v>0</v>
      </c>
      <c r="K181" s="129"/>
      <c r="L181" s="129">
        <v>10</v>
      </c>
      <c r="M181" s="129">
        <v>4</v>
      </c>
      <c r="N181" s="129">
        <v>0</v>
      </c>
      <c r="O181" s="129">
        <v>3</v>
      </c>
      <c r="P181" s="129">
        <v>69</v>
      </c>
      <c r="Q181" s="129">
        <v>31</v>
      </c>
      <c r="R181" s="129">
        <v>14</v>
      </c>
      <c r="S181" s="129">
        <v>321</v>
      </c>
      <c r="T181" s="129">
        <v>28</v>
      </c>
      <c r="U181" s="129">
        <v>354</v>
      </c>
      <c r="V181" s="129">
        <v>129</v>
      </c>
      <c r="W181" s="129">
        <v>228</v>
      </c>
      <c r="X181" s="129">
        <v>2025</v>
      </c>
      <c r="Y181" s="129">
        <v>702</v>
      </c>
      <c r="Z181" s="129">
        <v>233</v>
      </c>
      <c r="AA181" s="129">
        <v>498</v>
      </c>
      <c r="AB181" s="129">
        <v>482</v>
      </c>
      <c r="AC181" s="129">
        <v>270</v>
      </c>
      <c r="AD181" s="129">
        <v>359</v>
      </c>
      <c r="AE181" s="129">
        <v>453</v>
      </c>
      <c r="AF181" s="129">
        <v>730</v>
      </c>
      <c r="AG181" s="129">
        <v>499</v>
      </c>
      <c r="AH181" s="129">
        <v>932</v>
      </c>
      <c r="AI181" s="129">
        <v>1543</v>
      </c>
      <c r="AJ181" s="129">
        <v>1098</v>
      </c>
      <c r="AK181" s="129">
        <v>1773</v>
      </c>
      <c r="AL181" s="129">
        <v>836</v>
      </c>
      <c r="AM181" s="129">
        <v>389</v>
      </c>
      <c r="AN181" s="129">
        <v>536</v>
      </c>
      <c r="AO181" s="129">
        <v>639</v>
      </c>
      <c r="AP181" s="129">
        <v>361</v>
      </c>
      <c r="AQ181" s="129">
        <v>393</v>
      </c>
      <c r="AR181" s="129">
        <v>644</v>
      </c>
      <c r="AS181" s="129">
        <v>1005</v>
      </c>
      <c r="AT181" s="129">
        <v>1955</v>
      </c>
      <c r="AU181" s="129">
        <v>1811</v>
      </c>
      <c r="AV181" s="129">
        <v>1207</v>
      </c>
      <c r="AW181" s="129">
        <v>550</v>
      </c>
      <c r="AX181" s="129">
        <v>267</v>
      </c>
      <c r="AY181" s="129">
        <v>1257</v>
      </c>
      <c r="AZ181" s="129">
        <v>297</v>
      </c>
      <c r="BA181" s="129">
        <v>187</v>
      </c>
      <c r="BB181" s="129">
        <v>221</v>
      </c>
      <c r="BC181" s="129">
        <v>359</v>
      </c>
      <c r="BD181" s="129">
        <v>523</v>
      </c>
      <c r="BE181" s="129">
        <v>831</v>
      </c>
      <c r="BF181" s="129">
        <v>789</v>
      </c>
      <c r="BG181" s="129">
        <v>373</v>
      </c>
      <c r="BH181" s="129">
        <v>322</v>
      </c>
      <c r="BI181" s="129">
        <v>644</v>
      </c>
      <c r="BJ181" s="129">
        <v>399</v>
      </c>
      <c r="BK181" s="129">
        <v>114</v>
      </c>
      <c r="BL181" s="129">
        <v>16</v>
      </c>
      <c r="BM181" s="129">
        <v>0</v>
      </c>
      <c r="BN181" s="129">
        <v>0</v>
      </c>
      <c r="BO181" s="129">
        <v>0</v>
      </c>
      <c r="BP181" s="129">
        <v>0</v>
      </c>
      <c r="BQ181" s="129">
        <v>0</v>
      </c>
      <c r="BR181" s="129">
        <v>0</v>
      </c>
      <c r="BS181" s="129">
        <v>0</v>
      </c>
      <c r="BT181" s="129">
        <v>0</v>
      </c>
      <c r="BU181" s="129">
        <v>0</v>
      </c>
      <c r="BV181" s="129">
        <v>0</v>
      </c>
      <c r="BW181" s="129">
        <v>0</v>
      </c>
      <c r="BX181" s="129">
        <v>0</v>
      </c>
      <c r="BY181" s="129">
        <v>0</v>
      </c>
      <c r="BZ181" s="129">
        <v>0</v>
      </c>
      <c r="CA181" s="129">
        <v>0</v>
      </c>
      <c r="CB181" s="129">
        <v>0</v>
      </c>
      <c r="CC181" s="129">
        <v>0</v>
      </c>
      <c r="CD181" s="129">
        <v>0</v>
      </c>
      <c r="CE181" s="129">
        <v>0</v>
      </c>
      <c r="CF181" s="129">
        <v>0</v>
      </c>
      <c r="CG181" s="129">
        <v>0</v>
      </c>
      <c r="CH181" s="129">
        <v>0</v>
      </c>
      <c r="CI181" s="129">
        <v>0</v>
      </c>
      <c r="CJ181" s="129">
        <v>0</v>
      </c>
      <c r="CK181" s="129">
        <v>0</v>
      </c>
      <c r="CL181" s="129">
        <v>0</v>
      </c>
      <c r="CM181" s="129">
        <v>0</v>
      </c>
      <c r="CN181" s="129">
        <v>0</v>
      </c>
      <c r="CO181" s="129">
        <v>0</v>
      </c>
      <c r="CP181" s="129">
        <v>0</v>
      </c>
      <c r="CQ181" s="129">
        <v>0</v>
      </c>
      <c r="CR181" s="129">
        <v>0</v>
      </c>
      <c r="CS181" s="129">
        <v>0</v>
      </c>
      <c r="CT181" s="129">
        <f>IFERROR(CT160*CT193,0)</f>
        <v>0</v>
      </c>
      <c r="CU181" s="129">
        <f t="shared" ref="CU181:DQ181" si="587">IFERROR(CU160*CU193,0)</f>
        <v>0</v>
      </c>
      <c r="CV181" s="129">
        <f t="shared" si="587"/>
        <v>0</v>
      </c>
      <c r="CW181" s="129">
        <f t="shared" si="587"/>
        <v>0</v>
      </c>
      <c r="CX181" s="129">
        <f t="shared" si="587"/>
        <v>0</v>
      </c>
      <c r="CY181" s="129">
        <f t="shared" si="587"/>
        <v>0</v>
      </c>
      <c r="CZ181" s="129">
        <f t="shared" si="587"/>
        <v>0</v>
      </c>
      <c r="DA181" s="129">
        <f t="shared" si="587"/>
        <v>0</v>
      </c>
      <c r="DB181" s="129">
        <f t="shared" si="587"/>
        <v>0</v>
      </c>
      <c r="DC181" s="129">
        <f t="shared" si="587"/>
        <v>0</v>
      </c>
      <c r="DD181" s="129">
        <f t="shared" si="587"/>
        <v>0</v>
      </c>
      <c r="DE181" s="129">
        <f t="shared" si="587"/>
        <v>0</v>
      </c>
      <c r="DF181" s="129">
        <f t="shared" si="587"/>
        <v>0</v>
      </c>
      <c r="DG181" s="129">
        <f t="shared" si="587"/>
        <v>0</v>
      </c>
      <c r="DH181" s="129">
        <f t="shared" si="587"/>
        <v>0</v>
      </c>
      <c r="DI181" s="129">
        <f t="shared" si="587"/>
        <v>0</v>
      </c>
      <c r="DJ181" s="129">
        <f t="shared" si="587"/>
        <v>0</v>
      </c>
      <c r="DK181" s="129">
        <f t="shared" si="587"/>
        <v>0</v>
      </c>
      <c r="DL181" s="129">
        <f t="shared" si="587"/>
        <v>0</v>
      </c>
      <c r="DM181" s="129">
        <f t="shared" si="587"/>
        <v>0</v>
      </c>
      <c r="DN181" s="129">
        <f t="shared" si="587"/>
        <v>0</v>
      </c>
      <c r="DO181" s="129">
        <f t="shared" si="587"/>
        <v>0</v>
      </c>
      <c r="DP181" s="129">
        <f t="shared" si="587"/>
        <v>0</v>
      </c>
      <c r="DQ181" s="129">
        <f t="shared" si="587"/>
        <v>0</v>
      </c>
      <c r="DR181" s="129">
        <f t="shared" ref="DR181:EC181" si="588">IFERROR(DR160*DR193,0)</f>
        <v>0</v>
      </c>
      <c r="DS181" s="129">
        <f t="shared" si="588"/>
        <v>0</v>
      </c>
      <c r="DT181" s="129">
        <f t="shared" si="588"/>
        <v>0</v>
      </c>
      <c r="DU181" s="129">
        <f t="shared" si="588"/>
        <v>0</v>
      </c>
      <c r="DV181" s="129">
        <f t="shared" si="588"/>
        <v>0</v>
      </c>
      <c r="DW181" s="129">
        <f t="shared" si="588"/>
        <v>0</v>
      </c>
      <c r="DX181" s="129">
        <f t="shared" si="588"/>
        <v>0</v>
      </c>
      <c r="DY181" s="129">
        <f t="shared" si="588"/>
        <v>0</v>
      </c>
      <c r="DZ181" s="129">
        <f t="shared" si="588"/>
        <v>0</v>
      </c>
      <c r="EA181" s="129">
        <f t="shared" si="588"/>
        <v>0</v>
      </c>
      <c r="EB181" s="129">
        <f t="shared" si="588"/>
        <v>0</v>
      </c>
      <c r="EC181" s="129">
        <f t="shared" si="588"/>
        <v>0</v>
      </c>
      <c r="ED181" s="113" t="s">
        <v>1</v>
      </c>
    </row>
    <row r="182" spans="1:134" x14ac:dyDescent="0.2">
      <c r="A182" s="713" t="s">
        <v>8</v>
      </c>
      <c r="B182" s="129">
        <v>0</v>
      </c>
      <c r="C182" s="129">
        <v>0</v>
      </c>
      <c r="D182" s="129">
        <v>0</v>
      </c>
      <c r="E182" s="129">
        <v>0</v>
      </c>
      <c r="F182" s="129">
        <v>0</v>
      </c>
      <c r="G182" s="129">
        <v>0</v>
      </c>
      <c r="H182" s="129">
        <v>0</v>
      </c>
      <c r="I182" s="129">
        <v>0</v>
      </c>
      <c r="J182" s="129">
        <v>0</v>
      </c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  <c r="AH182" s="129"/>
      <c r="AI182" s="129"/>
      <c r="AJ182" s="129"/>
      <c r="AK182" s="129"/>
      <c r="AL182" s="129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9"/>
      <c r="AX182" s="129"/>
      <c r="AY182" s="129"/>
      <c r="AZ182" s="129"/>
      <c r="BA182" s="129"/>
      <c r="BB182" s="129"/>
      <c r="BC182" s="129"/>
      <c r="BD182" s="129"/>
      <c r="BE182" s="129"/>
      <c r="BF182" s="129"/>
      <c r="BG182" s="129"/>
      <c r="BH182" s="129"/>
      <c r="BI182" s="129">
        <v>240</v>
      </c>
      <c r="BJ182" s="129">
        <v>160</v>
      </c>
      <c r="BK182" s="129">
        <v>0</v>
      </c>
      <c r="BL182" s="129">
        <v>0</v>
      </c>
      <c r="BM182" s="129">
        <v>0</v>
      </c>
      <c r="BN182" s="129">
        <v>0</v>
      </c>
      <c r="BO182" s="129">
        <v>0</v>
      </c>
      <c r="BP182" s="129">
        <v>0</v>
      </c>
      <c r="BQ182" s="129">
        <v>0</v>
      </c>
      <c r="BR182" s="129">
        <v>0</v>
      </c>
      <c r="BS182" s="129">
        <v>0</v>
      </c>
      <c r="BT182" s="129">
        <v>0</v>
      </c>
      <c r="BU182" s="129">
        <v>0</v>
      </c>
      <c r="BV182" s="129">
        <v>0</v>
      </c>
      <c r="BW182" s="129">
        <v>0</v>
      </c>
      <c r="BX182" s="129">
        <v>0</v>
      </c>
      <c r="BY182" s="129">
        <v>0</v>
      </c>
      <c r="BZ182" s="129">
        <v>0</v>
      </c>
      <c r="CA182" s="129">
        <v>0</v>
      </c>
      <c r="CB182" s="129">
        <v>0</v>
      </c>
      <c r="CC182" s="129">
        <v>0</v>
      </c>
      <c r="CD182" s="129">
        <v>0</v>
      </c>
      <c r="CE182" s="129">
        <v>0</v>
      </c>
      <c r="CF182" s="129">
        <v>0</v>
      </c>
      <c r="CG182" s="129">
        <v>0</v>
      </c>
      <c r="CH182" s="129">
        <v>0</v>
      </c>
      <c r="CI182" s="129">
        <v>0</v>
      </c>
      <c r="CJ182" s="129">
        <v>0</v>
      </c>
      <c r="CK182" s="129">
        <v>0</v>
      </c>
      <c r="CL182" s="129">
        <v>0</v>
      </c>
      <c r="CM182" s="129">
        <v>0</v>
      </c>
      <c r="CN182" s="129">
        <v>0</v>
      </c>
      <c r="CO182" s="129">
        <v>0</v>
      </c>
      <c r="CP182" s="129">
        <v>0</v>
      </c>
      <c r="CQ182" s="129">
        <v>0</v>
      </c>
      <c r="CR182" s="129">
        <v>0</v>
      </c>
      <c r="CS182" s="129">
        <v>0</v>
      </c>
      <c r="CT182" s="129"/>
      <c r="CU182" s="129"/>
      <c r="CV182" s="129"/>
      <c r="CW182" s="129"/>
      <c r="CX182" s="129"/>
      <c r="CY182" s="129"/>
      <c r="CZ182" s="129"/>
      <c r="DA182" s="129"/>
      <c r="DB182" s="129"/>
      <c r="DC182" s="129"/>
      <c r="DD182" s="129"/>
      <c r="DE182" s="129"/>
      <c r="DF182" s="129"/>
      <c r="DG182" s="129"/>
      <c r="DH182" s="129"/>
      <c r="DI182" s="129"/>
      <c r="DJ182" s="129"/>
      <c r="DK182" s="129"/>
      <c r="DL182" s="129"/>
      <c r="DM182" s="129"/>
      <c r="DN182" s="129"/>
      <c r="DO182" s="129"/>
      <c r="DP182" s="129"/>
      <c r="DQ182" s="129"/>
      <c r="DR182" s="115"/>
      <c r="DS182" s="115"/>
      <c r="DT182" s="115"/>
      <c r="DU182" s="115"/>
      <c r="DV182" s="115"/>
      <c r="DW182" s="115"/>
      <c r="DX182" s="115"/>
      <c r="DY182" s="115"/>
      <c r="DZ182" s="115"/>
      <c r="EA182" s="115"/>
      <c r="EB182" s="115"/>
      <c r="EC182" s="645"/>
      <c r="ED182" s="113" t="s">
        <v>1</v>
      </c>
    </row>
    <row r="183" spans="1:134" x14ac:dyDescent="0.2">
      <c r="A183" s="713" t="s">
        <v>136</v>
      </c>
      <c r="B183" s="129">
        <v>0</v>
      </c>
      <c r="C183" s="129">
        <v>0</v>
      </c>
      <c r="D183" s="129">
        <v>0</v>
      </c>
      <c r="E183" s="129">
        <v>0</v>
      </c>
      <c r="F183" s="129">
        <v>0</v>
      </c>
      <c r="G183" s="129">
        <v>0</v>
      </c>
      <c r="H183" s="129">
        <v>0</v>
      </c>
      <c r="I183" s="129">
        <v>0</v>
      </c>
      <c r="J183" s="129">
        <v>0</v>
      </c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  <c r="AH183" s="129"/>
      <c r="AI183" s="129"/>
      <c r="AJ183" s="129"/>
      <c r="AK183" s="129"/>
      <c r="AL183" s="129"/>
      <c r="AM183" s="129"/>
      <c r="AN183" s="129"/>
      <c r="AO183" s="129"/>
      <c r="AP183" s="129"/>
      <c r="AQ183" s="129"/>
      <c r="AR183" s="129"/>
      <c r="AS183" s="129"/>
      <c r="AT183" s="129"/>
      <c r="AU183" s="129"/>
      <c r="AV183" s="129"/>
      <c r="AW183" s="129"/>
      <c r="AX183" s="129"/>
      <c r="AY183" s="129"/>
      <c r="AZ183" s="129"/>
      <c r="BA183" s="129"/>
      <c r="BB183" s="129"/>
      <c r="BC183" s="129"/>
      <c r="BD183" s="129"/>
      <c r="BE183" s="129"/>
      <c r="BF183" s="129"/>
      <c r="BG183" s="129"/>
      <c r="BH183" s="129"/>
      <c r="BI183" s="129">
        <v>404</v>
      </c>
      <c r="BJ183" s="129">
        <v>239</v>
      </c>
      <c r="BK183" s="129">
        <v>114</v>
      </c>
      <c r="BL183" s="129">
        <v>16</v>
      </c>
      <c r="BM183" s="129">
        <v>0</v>
      </c>
      <c r="BN183" s="129">
        <v>0</v>
      </c>
      <c r="BO183" s="129">
        <v>0</v>
      </c>
      <c r="BP183" s="129">
        <v>0</v>
      </c>
      <c r="BQ183" s="129">
        <v>0</v>
      </c>
      <c r="BR183" s="129">
        <v>0</v>
      </c>
      <c r="BS183" s="129">
        <v>0</v>
      </c>
      <c r="BT183" s="129">
        <v>0</v>
      </c>
      <c r="BU183" s="129">
        <v>0</v>
      </c>
      <c r="BV183" s="129">
        <v>0</v>
      </c>
      <c r="BW183" s="129">
        <v>0</v>
      </c>
      <c r="BX183" s="129">
        <v>0</v>
      </c>
      <c r="BY183" s="129">
        <v>0</v>
      </c>
      <c r="BZ183" s="129">
        <v>0</v>
      </c>
      <c r="CA183" s="129">
        <v>0</v>
      </c>
      <c r="CB183" s="129">
        <v>0</v>
      </c>
      <c r="CC183" s="129">
        <v>0</v>
      </c>
      <c r="CD183" s="129">
        <v>0</v>
      </c>
      <c r="CE183" s="129">
        <v>0</v>
      </c>
      <c r="CF183" s="129">
        <v>0</v>
      </c>
      <c r="CG183" s="129">
        <v>0</v>
      </c>
      <c r="CH183" s="129">
        <v>0</v>
      </c>
      <c r="CI183" s="129">
        <v>0</v>
      </c>
      <c r="CJ183" s="129">
        <v>0</v>
      </c>
      <c r="CK183" s="129">
        <v>0</v>
      </c>
      <c r="CL183" s="129">
        <v>0</v>
      </c>
      <c r="CM183" s="129">
        <v>0</v>
      </c>
      <c r="CN183" s="129">
        <v>0</v>
      </c>
      <c r="CO183" s="129">
        <v>0</v>
      </c>
      <c r="CP183" s="129">
        <v>0</v>
      </c>
      <c r="CQ183" s="129">
        <v>0</v>
      </c>
      <c r="CR183" s="129">
        <v>0</v>
      </c>
      <c r="CS183" s="129">
        <v>0</v>
      </c>
      <c r="CT183" s="129">
        <v>0</v>
      </c>
      <c r="CU183" s="129">
        <v>0</v>
      </c>
      <c r="CV183" s="129">
        <v>0</v>
      </c>
      <c r="CW183" s="129">
        <v>0</v>
      </c>
      <c r="CX183" s="129">
        <v>0</v>
      </c>
      <c r="CY183" s="129">
        <v>0</v>
      </c>
      <c r="CZ183" s="129">
        <v>0</v>
      </c>
      <c r="DA183" s="129">
        <v>0</v>
      </c>
      <c r="DB183" s="129">
        <v>0</v>
      </c>
      <c r="DC183" s="129">
        <v>0</v>
      </c>
      <c r="DD183" s="129">
        <v>0</v>
      </c>
      <c r="DE183" s="129">
        <v>0</v>
      </c>
      <c r="DF183" s="129">
        <v>0</v>
      </c>
      <c r="DG183" s="129">
        <v>0</v>
      </c>
      <c r="DH183" s="129">
        <v>0</v>
      </c>
      <c r="DI183" s="129">
        <v>0</v>
      </c>
      <c r="DJ183" s="129">
        <v>0</v>
      </c>
      <c r="DK183" s="129">
        <v>0</v>
      </c>
      <c r="DL183" s="129">
        <v>0</v>
      </c>
      <c r="DM183" s="129">
        <v>0</v>
      </c>
      <c r="DN183" s="129">
        <v>0</v>
      </c>
      <c r="DO183" s="129">
        <v>0</v>
      </c>
      <c r="DP183" s="129">
        <v>0</v>
      </c>
      <c r="DQ183" s="129">
        <v>0</v>
      </c>
      <c r="DR183" s="115"/>
      <c r="DS183" s="115"/>
      <c r="DT183" s="115"/>
      <c r="DU183" s="115"/>
      <c r="DV183" s="115"/>
      <c r="DW183" s="115"/>
      <c r="DX183" s="115"/>
      <c r="DY183" s="115"/>
      <c r="DZ183" s="115"/>
      <c r="EA183" s="115"/>
      <c r="EB183" s="115"/>
      <c r="EC183" s="645"/>
      <c r="ED183" s="113" t="s">
        <v>1</v>
      </c>
    </row>
    <row r="184" spans="1:134" x14ac:dyDescent="0.2">
      <c r="A184" s="707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  <c r="AH184" s="129"/>
      <c r="AI184" s="129"/>
      <c r="AJ184" s="129"/>
      <c r="AK184" s="129"/>
      <c r="AL184" s="129"/>
      <c r="AM184" s="129"/>
      <c r="AN184" s="129"/>
      <c r="AO184" s="129"/>
      <c r="AP184" s="129"/>
      <c r="AQ184" s="129"/>
      <c r="AR184" s="129"/>
      <c r="AS184" s="129"/>
      <c r="AT184" s="129"/>
      <c r="AU184" s="129"/>
      <c r="AV184" s="129"/>
      <c r="AW184" s="129"/>
      <c r="AX184" s="129"/>
      <c r="AY184" s="129"/>
      <c r="AZ184" s="129"/>
      <c r="BA184" s="129"/>
      <c r="BB184" s="129"/>
      <c r="BC184" s="129"/>
      <c r="BD184" s="129"/>
      <c r="BE184" s="129"/>
      <c r="BF184" s="129"/>
      <c r="BG184" s="129"/>
      <c r="BH184" s="129"/>
      <c r="BI184" s="129"/>
      <c r="BJ184" s="115"/>
      <c r="BK184" s="115"/>
      <c r="BL184" s="115"/>
      <c r="BM184" s="115"/>
      <c r="BN184" s="115"/>
      <c r="BO184" s="115"/>
      <c r="BP184" s="115"/>
      <c r="BQ184" s="115"/>
      <c r="BR184" s="115"/>
      <c r="BS184" s="115"/>
      <c r="BT184" s="115"/>
      <c r="BU184" s="115"/>
      <c r="BV184" s="115"/>
      <c r="BW184" s="115"/>
      <c r="BX184" s="115"/>
      <c r="BY184" s="115"/>
      <c r="BZ184" s="115"/>
      <c r="CA184" s="115"/>
      <c r="CB184" s="115"/>
      <c r="CC184" s="115"/>
      <c r="CD184" s="115"/>
      <c r="CE184" s="115"/>
      <c r="CF184" s="115"/>
      <c r="CG184" s="115"/>
      <c r="CH184" s="115"/>
      <c r="CI184" s="115"/>
      <c r="CJ184" s="115"/>
      <c r="CK184" s="115"/>
      <c r="CL184" s="115"/>
      <c r="CM184" s="115"/>
      <c r="CN184" s="115"/>
      <c r="CO184" s="115"/>
      <c r="CP184" s="115"/>
      <c r="CQ184" s="115"/>
      <c r="CR184" s="115"/>
      <c r="CS184" s="115"/>
      <c r="CT184" s="115"/>
      <c r="CU184" s="115"/>
      <c r="CV184" s="115"/>
      <c r="CW184" s="115"/>
      <c r="CX184" s="115"/>
      <c r="CY184" s="115"/>
      <c r="CZ184" s="115"/>
      <c r="DA184" s="115"/>
      <c r="DB184" s="115"/>
      <c r="DC184" s="115"/>
      <c r="DD184" s="115"/>
      <c r="DE184" s="115"/>
      <c r="DF184" s="115"/>
      <c r="DG184" s="115"/>
      <c r="DH184" s="115"/>
      <c r="DI184" s="115"/>
      <c r="DJ184" s="115"/>
      <c r="DK184" s="115"/>
      <c r="DL184" s="115"/>
      <c r="DM184" s="115"/>
      <c r="DN184" s="115"/>
      <c r="DO184" s="115"/>
      <c r="DP184" s="115"/>
      <c r="DQ184" s="115"/>
      <c r="DR184" s="115"/>
      <c r="DS184" s="115"/>
      <c r="DT184" s="115"/>
      <c r="DU184" s="115"/>
      <c r="DV184" s="115"/>
      <c r="DW184" s="115"/>
      <c r="DX184" s="115"/>
      <c r="DY184" s="115"/>
      <c r="DZ184" s="115"/>
      <c r="EA184" s="115"/>
      <c r="EB184" s="115"/>
      <c r="EC184" s="645"/>
      <c r="ED184" s="113" t="s">
        <v>1</v>
      </c>
    </row>
    <row r="185" spans="1:134" x14ac:dyDescent="0.2">
      <c r="A185" s="707" t="s">
        <v>164</v>
      </c>
      <c r="B185" s="134">
        <f>IFERROR(B175/B158,0)</f>
        <v>0</v>
      </c>
      <c r="C185" s="134">
        <f t="shared" ref="C185:BN185" si="589">IFERROR(C175/C158,0)</f>
        <v>0</v>
      </c>
      <c r="D185" s="134">
        <f t="shared" si="589"/>
        <v>0</v>
      </c>
      <c r="E185" s="134">
        <f t="shared" si="589"/>
        <v>0</v>
      </c>
      <c r="F185" s="134">
        <f t="shared" si="589"/>
        <v>0</v>
      </c>
      <c r="G185" s="134">
        <f t="shared" si="589"/>
        <v>0</v>
      </c>
      <c r="H185" s="134">
        <f t="shared" si="589"/>
        <v>0</v>
      </c>
      <c r="I185" s="134">
        <f t="shared" si="589"/>
        <v>0</v>
      </c>
      <c r="J185" s="134">
        <f t="shared" si="589"/>
        <v>0</v>
      </c>
      <c r="K185" s="134">
        <f t="shared" si="589"/>
        <v>0</v>
      </c>
      <c r="L185" s="134">
        <f t="shared" si="589"/>
        <v>2.2624434389140271E-2</v>
      </c>
      <c r="M185" s="134">
        <f t="shared" si="589"/>
        <v>2.3405500292568754E-3</v>
      </c>
      <c r="N185" s="134">
        <f t="shared" si="589"/>
        <v>0</v>
      </c>
      <c r="O185" s="134">
        <f t="shared" si="589"/>
        <v>1.3020833333333333E-3</v>
      </c>
      <c r="P185" s="134">
        <f t="shared" si="589"/>
        <v>4.0828402366863907E-2</v>
      </c>
      <c r="Q185" s="134">
        <f t="shared" si="589"/>
        <v>9.8039215686274508E-3</v>
      </c>
      <c r="R185" s="134">
        <f t="shared" si="589"/>
        <v>4.832585433206766E-3</v>
      </c>
      <c r="S185" s="134">
        <f t="shared" si="589"/>
        <v>8.0714106110133271E-2</v>
      </c>
      <c r="T185" s="134">
        <f t="shared" si="589"/>
        <v>8.513225904530252E-3</v>
      </c>
      <c r="U185" s="134">
        <f t="shared" si="589"/>
        <v>0.22208281053952322</v>
      </c>
      <c r="V185" s="134">
        <f t="shared" si="589"/>
        <v>7.0996147495872311E-2</v>
      </c>
      <c r="W185" s="134">
        <f t="shared" si="589"/>
        <v>8.4507042253521125E-2</v>
      </c>
      <c r="X185" s="134">
        <f t="shared" si="589"/>
        <v>0.89207048458149785</v>
      </c>
      <c r="Y185" s="134">
        <f t="shared" si="589"/>
        <v>0.3341266063779153</v>
      </c>
      <c r="Z185" s="134">
        <f t="shared" si="589"/>
        <v>0</v>
      </c>
      <c r="AA185" s="134">
        <f t="shared" si="589"/>
        <v>0.22084257206208427</v>
      </c>
      <c r="AB185" s="134">
        <f t="shared" si="589"/>
        <v>0.35867158671586719</v>
      </c>
      <c r="AC185" s="134">
        <f t="shared" si="589"/>
        <v>0.33875</v>
      </c>
      <c r="AD185" s="134">
        <f t="shared" si="589"/>
        <v>0.35414634146341462</v>
      </c>
      <c r="AE185" s="134">
        <f t="shared" si="589"/>
        <v>0.30426098535286283</v>
      </c>
      <c r="AF185" s="134">
        <f t="shared" si="589"/>
        <v>0.30185567010309278</v>
      </c>
      <c r="AG185" s="134">
        <f t="shared" si="589"/>
        <v>0.24305893813930832</v>
      </c>
      <c r="AH185" s="134">
        <f t="shared" si="589"/>
        <v>0.26918671248568155</v>
      </c>
      <c r="AI185" s="134">
        <f t="shared" si="589"/>
        <v>0.33104925053533191</v>
      </c>
      <c r="AJ185" s="134">
        <f t="shared" si="589"/>
        <v>0.39144271570014144</v>
      </c>
      <c r="AK185" s="134">
        <f t="shared" si="589"/>
        <v>0.43001930501930502</v>
      </c>
      <c r="AL185" s="134">
        <f t="shared" si="589"/>
        <v>0.29455782312925172</v>
      </c>
      <c r="AM185" s="134">
        <f t="shared" si="589"/>
        <v>0.23978365384615385</v>
      </c>
      <c r="AN185" s="134">
        <f t="shared" si="589"/>
        <v>0.22839248434237996</v>
      </c>
      <c r="AO185" s="134">
        <f t="shared" si="589"/>
        <v>0.30341113105924594</v>
      </c>
      <c r="AP185" s="134">
        <f t="shared" si="589"/>
        <v>0.27380073800738008</v>
      </c>
      <c r="AQ185" s="134">
        <f t="shared" si="589"/>
        <v>0.26657736101808438</v>
      </c>
      <c r="AR185" s="134">
        <f t="shared" si="589"/>
        <v>0.35980392156862745</v>
      </c>
      <c r="AS185" s="134">
        <f t="shared" si="589"/>
        <v>0.26871494757376252</v>
      </c>
      <c r="AT185" s="134">
        <f t="shared" si="589"/>
        <v>0.36497233748271091</v>
      </c>
      <c r="AU185" s="134">
        <f t="shared" si="589"/>
        <v>0.34337246894674156</v>
      </c>
      <c r="AV185" s="134">
        <f t="shared" si="589"/>
        <v>0.32686230248306997</v>
      </c>
      <c r="AW185" s="134">
        <f t="shared" si="589"/>
        <v>0.48383804014971077</v>
      </c>
      <c r="AX185" s="134">
        <f t="shared" si="589"/>
        <v>0.31578947368421051</v>
      </c>
      <c r="AY185" s="134">
        <f t="shared" si="589"/>
        <v>0.40064707468320304</v>
      </c>
      <c r="AZ185" s="134">
        <f t="shared" si="589"/>
        <v>0.34667451442024722</v>
      </c>
      <c r="BA185" s="134">
        <f t="shared" si="589"/>
        <v>0.34628712871287126</v>
      </c>
      <c r="BB185" s="134">
        <f t="shared" si="589"/>
        <v>0.42515792364734961</v>
      </c>
      <c r="BC185" s="134">
        <f t="shared" si="589"/>
        <v>0.37408163265306121</v>
      </c>
      <c r="BD185" s="134">
        <f t="shared" si="589"/>
        <v>0.29942916450441098</v>
      </c>
      <c r="BE185" s="134">
        <f t="shared" si="589"/>
        <v>0.3780332056194125</v>
      </c>
      <c r="BF185" s="134">
        <f t="shared" si="589"/>
        <v>0.43184273061136313</v>
      </c>
      <c r="BG185" s="134">
        <f t="shared" si="589"/>
        <v>0.33533716675378988</v>
      </c>
      <c r="BH185" s="134">
        <f t="shared" si="589"/>
        <v>0.25726495726495724</v>
      </c>
      <c r="BI185" s="134">
        <f t="shared" si="589"/>
        <v>0.33298518799848081</v>
      </c>
      <c r="BJ185" s="134">
        <f t="shared" si="589"/>
        <v>0.29138398914518315</v>
      </c>
      <c r="BK185" s="134">
        <f t="shared" si="589"/>
        <v>0.30735095504534055</v>
      </c>
      <c r="BL185" s="134">
        <f t="shared" si="589"/>
        <v>0.24129985698395043</v>
      </c>
      <c r="BM185" s="134">
        <f t="shared" si="589"/>
        <v>0.40630639187007311</v>
      </c>
      <c r="BN185" s="134">
        <f t="shared" si="589"/>
        <v>0.29985296820437418</v>
      </c>
      <c r="BO185" s="134">
        <f t="shared" ref="BO185:CS185" si="590">IFERROR(BO175/BO158,0)</f>
        <v>0.33793219483469339</v>
      </c>
      <c r="BP185" s="134">
        <f t="shared" si="590"/>
        <v>0.31971616154917437</v>
      </c>
      <c r="BQ185" s="134">
        <f t="shared" si="590"/>
        <v>0.29771577495017632</v>
      </c>
      <c r="BR185" s="134">
        <f t="shared" si="590"/>
        <v>0.27323598845851182</v>
      </c>
      <c r="BS185" s="134">
        <f t="shared" si="590"/>
        <v>0.26129632763580979</v>
      </c>
      <c r="BT185" s="134">
        <f t="shared" si="590"/>
        <v>0.3693078809853898</v>
      </c>
      <c r="BU185" s="134">
        <f t="shared" si="590"/>
        <v>0.22594319626960577</v>
      </c>
      <c r="BV185" s="134">
        <f t="shared" si="590"/>
        <v>0.27086764323480972</v>
      </c>
      <c r="BW185" s="134">
        <f t="shared" si="590"/>
        <v>0.26871591472483886</v>
      </c>
      <c r="BX185" s="134">
        <f t="shared" si="590"/>
        <v>0.25119365541798172</v>
      </c>
      <c r="BY185" s="134">
        <f t="shared" si="590"/>
        <v>0.2611797192605661</v>
      </c>
      <c r="BZ185" s="134">
        <f t="shared" si="590"/>
        <v>0.28323416741380714</v>
      </c>
      <c r="CA185" s="134">
        <f t="shared" si="590"/>
        <v>0.28312717277063626</v>
      </c>
      <c r="CB185" s="134">
        <f t="shared" si="590"/>
        <v>0.26001669449081805</v>
      </c>
      <c r="CC185" s="134">
        <f t="shared" si="590"/>
        <v>0.27440585009140767</v>
      </c>
      <c r="CD185" s="134">
        <f t="shared" si="590"/>
        <v>0.22122216958787305</v>
      </c>
      <c r="CE185" s="134">
        <f t="shared" si="590"/>
        <v>0.23977171147631163</v>
      </c>
      <c r="CF185" s="134">
        <f t="shared" si="590"/>
        <v>0.24340602284527518</v>
      </c>
      <c r="CG185" s="134">
        <f t="shared" si="590"/>
        <v>0.242509115890715</v>
      </c>
      <c r="CH185" s="134">
        <f t="shared" si="590"/>
        <v>0.30063233965672992</v>
      </c>
      <c r="CI185" s="134">
        <f t="shared" si="590"/>
        <v>0.28216287111005128</v>
      </c>
      <c r="CJ185" s="134">
        <f t="shared" si="590"/>
        <v>0.2726234510031193</v>
      </c>
      <c r="CK185" s="134">
        <f t="shared" si="590"/>
        <v>0.25048486629444605</v>
      </c>
      <c r="CL185" s="134">
        <f t="shared" si="590"/>
        <v>0.26638807459614544</v>
      </c>
      <c r="CM185" s="134">
        <f t="shared" si="590"/>
        <v>0.13923256742117568</v>
      </c>
      <c r="CN185" s="134">
        <f t="shared" si="590"/>
        <v>0.27489152105077985</v>
      </c>
      <c r="CO185" s="134">
        <f t="shared" si="590"/>
        <v>0.25558675558675559</v>
      </c>
      <c r="CP185" s="134">
        <f t="shared" si="590"/>
        <v>0.23833579564409282</v>
      </c>
      <c r="CQ185" s="134">
        <f t="shared" si="590"/>
        <v>0.22261046485912689</v>
      </c>
      <c r="CR185" s="134">
        <f t="shared" si="590"/>
        <v>0.23608316566063045</v>
      </c>
      <c r="CS185" s="134">
        <f t="shared" si="590"/>
        <v>0.22716638815946527</v>
      </c>
      <c r="CT185" s="134">
        <f>CS185</f>
        <v>0.22716638815946527</v>
      </c>
      <c r="CU185" s="134">
        <f t="shared" ref="CU185:DQ185" si="591">CT185</f>
        <v>0.22716638815946527</v>
      </c>
      <c r="CV185" s="134">
        <f t="shared" si="591"/>
        <v>0.22716638815946527</v>
      </c>
      <c r="CW185" s="134">
        <f t="shared" si="591"/>
        <v>0.22716638815946527</v>
      </c>
      <c r="CX185" s="134">
        <f t="shared" si="591"/>
        <v>0.22716638815946527</v>
      </c>
      <c r="CY185" s="134">
        <f t="shared" si="591"/>
        <v>0.22716638815946527</v>
      </c>
      <c r="CZ185" s="134">
        <f t="shared" si="591"/>
        <v>0.22716638815946527</v>
      </c>
      <c r="DA185" s="134">
        <f t="shared" si="591"/>
        <v>0.22716638815946527</v>
      </c>
      <c r="DB185" s="134">
        <f t="shared" si="591"/>
        <v>0.22716638815946527</v>
      </c>
      <c r="DC185" s="134">
        <f t="shared" si="591"/>
        <v>0.22716638815946527</v>
      </c>
      <c r="DD185" s="134">
        <f t="shared" si="591"/>
        <v>0.22716638815946527</v>
      </c>
      <c r="DE185" s="134">
        <f t="shared" si="591"/>
        <v>0.22716638815946527</v>
      </c>
      <c r="DF185" s="134">
        <f>AVERAGE(CT185:DE185)</f>
        <v>0.2271663881594653</v>
      </c>
      <c r="DG185" s="134">
        <f t="shared" si="591"/>
        <v>0.2271663881594653</v>
      </c>
      <c r="DH185" s="134">
        <f t="shared" si="591"/>
        <v>0.2271663881594653</v>
      </c>
      <c r="DI185" s="134">
        <f t="shared" si="591"/>
        <v>0.2271663881594653</v>
      </c>
      <c r="DJ185" s="134">
        <f t="shared" si="591"/>
        <v>0.2271663881594653</v>
      </c>
      <c r="DK185" s="134">
        <f t="shared" si="591"/>
        <v>0.2271663881594653</v>
      </c>
      <c r="DL185" s="134">
        <f t="shared" si="591"/>
        <v>0.2271663881594653</v>
      </c>
      <c r="DM185" s="134">
        <f t="shared" si="591"/>
        <v>0.2271663881594653</v>
      </c>
      <c r="DN185" s="134">
        <f t="shared" si="591"/>
        <v>0.2271663881594653</v>
      </c>
      <c r="DO185" s="134">
        <f t="shared" si="591"/>
        <v>0.2271663881594653</v>
      </c>
      <c r="DP185" s="134">
        <f t="shared" si="591"/>
        <v>0.2271663881594653</v>
      </c>
      <c r="DQ185" s="134">
        <f t="shared" si="591"/>
        <v>0.2271663881594653</v>
      </c>
      <c r="DR185" s="134">
        <f t="shared" ref="DR185:DR190" si="592">DQ185</f>
        <v>0.2271663881594653</v>
      </c>
      <c r="DS185" s="134">
        <f t="shared" ref="DS185:DS190" si="593">DR185</f>
        <v>0.2271663881594653</v>
      </c>
      <c r="DT185" s="134">
        <f t="shared" ref="DT185:DT190" si="594">DS185</f>
        <v>0.2271663881594653</v>
      </c>
      <c r="DU185" s="134">
        <f t="shared" ref="DU185:DU190" si="595">DT185</f>
        <v>0.2271663881594653</v>
      </c>
      <c r="DV185" s="134">
        <f t="shared" ref="DV185:DV190" si="596">DU185</f>
        <v>0.2271663881594653</v>
      </c>
      <c r="DW185" s="134">
        <f t="shared" ref="DW185:DW190" si="597">DV185</f>
        <v>0.2271663881594653</v>
      </c>
      <c r="DX185" s="134">
        <f t="shared" ref="DX185:DX190" si="598">DW185</f>
        <v>0.2271663881594653</v>
      </c>
      <c r="DY185" s="134">
        <f t="shared" ref="DY185:DY190" si="599">DX185</f>
        <v>0.2271663881594653</v>
      </c>
      <c r="DZ185" s="134">
        <f t="shared" ref="DZ185:DZ190" si="600">DY185</f>
        <v>0.2271663881594653</v>
      </c>
      <c r="EA185" s="134">
        <f t="shared" ref="EA185:EA190" si="601">DZ185</f>
        <v>0.2271663881594653</v>
      </c>
      <c r="EB185" s="134">
        <f t="shared" ref="EB185:EB190" si="602">EA185</f>
        <v>0.2271663881594653</v>
      </c>
      <c r="EC185" s="134">
        <f t="shared" ref="EC185:EC190" si="603">EB185</f>
        <v>0.2271663881594653</v>
      </c>
      <c r="ED185" s="113" t="s">
        <v>1</v>
      </c>
    </row>
    <row r="186" spans="1:134" x14ac:dyDescent="0.2">
      <c r="A186" s="698" t="s">
        <v>137</v>
      </c>
      <c r="B186" s="133">
        <f>IFERROR(B176/B159,0)</f>
        <v>0</v>
      </c>
      <c r="C186" s="133">
        <f t="shared" ref="C186:BN186" si="604">IFERROR(C176/C159,0)</f>
        <v>0</v>
      </c>
      <c r="D186" s="133">
        <f t="shared" si="604"/>
        <v>0</v>
      </c>
      <c r="E186" s="133">
        <f t="shared" si="604"/>
        <v>0</v>
      </c>
      <c r="F186" s="133">
        <f t="shared" si="604"/>
        <v>0</v>
      </c>
      <c r="G186" s="133">
        <f t="shared" si="604"/>
        <v>0</v>
      </c>
      <c r="H186" s="133">
        <f t="shared" si="604"/>
        <v>0</v>
      </c>
      <c r="I186" s="133">
        <f t="shared" si="604"/>
        <v>0</v>
      </c>
      <c r="J186" s="133">
        <f t="shared" si="604"/>
        <v>0</v>
      </c>
      <c r="K186" s="133">
        <f t="shared" si="604"/>
        <v>0</v>
      </c>
      <c r="L186" s="133">
        <f t="shared" si="604"/>
        <v>0</v>
      </c>
      <c r="M186" s="133">
        <f t="shared" si="604"/>
        <v>0</v>
      </c>
      <c r="N186" s="133">
        <f t="shared" si="604"/>
        <v>0</v>
      </c>
      <c r="O186" s="133">
        <f t="shared" si="604"/>
        <v>0</v>
      </c>
      <c r="P186" s="133">
        <f t="shared" si="604"/>
        <v>0</v>
      </c>
      <c r="Q186" s="133">
        <f t="shared" si="604"/>
        <v>0</v>
      </c>
      <c r="R186" s="133">
        <f t="shared" si="604"/>
        <v>0</v>
      </c>
      <c r="S186" s="133">
        <f t="shared" si="604"/>
        <v>0</v>
      </c>
      <c r="T186" s="133">
        <f t="shared" si="604"/>
        <v>0</v>
      </c>
      <c r="U186" s="133">
        <f t="shared" si="604"/>
        <v>0</v>
      </c>
      <c r="V186" s="133">
        <f t="shared" si="604"/>
        <v>0</v>
      </c>
      <c r="W186" s="133">
        <f t="shared" si="604"/>
        <v>0</v>
      </c>
      <c r="X186" s="133">
        <f t="shared" si="604"/>
        <v>0</v>
      </c>
      <c r="Y186" s="133">
        <f t="shared" si="604"/>
        <v>0</v>
      </c>
      <c r="Z186" s="133">
        <f t="shared" si="604"/>
        <v>0</v>
      </c>
      <c r="AA186" s="133">
        <f t="shared" si="604"/>
        <v>0</v>
      </c>
      <c r="AB186" s="133">
        <f t="shared" si="604"/>
        <v>5.9701492537313432E-2</v>
      </c>
      <c r="AC186" s="133">
        <f t="shared" si="604"/>
        <v>2.6315789473684209E-2</v>
      </c>
      <c r="AD186" s="133">
        <f t="shared" si="604"/>
        <v>0.1111111111111111</v>
      </c>
      <c r="AE186" s="133">
        <f t="shared" si="604"/>
        <v>5.128205128205128E-2</v>
      </c>
      <c r="AF186" s="133">
        <f t="shared" si="604"/>
        <v>1.9801980198019802E-2</v>
      </c>
      <c r="AG186" s="133">
        <f t="shared" si="604"/>
        <v>0</v>
      </c>
      <c r="AH186" s="133">
        <f t="shared" si="604"/>
        <v>3.2000000000000001E-2</v>
      </c>
      <c r="AI186" s="133">
        <f t="shared" si="604"/>
        <v>1.2E-2</v>
      </c>
      <c r="AJ186" s="133">
        <f t="shared" si="604"/>
        <v>3.5294117647058823E-2</v>
      </c>
      <c r="AK186" s="133">
        <f t="shared" si="604"/>
        <v>2.4725274725274724E-2</v>
      </c>
      <c r="AL186" s="133">
        <f t="shared" si="604"/>
        <v>9.4339622641509441E-2</v>
      </c>
      <c r="AM186" s="133">
        <f t="shared" si="604"/>
        <v>3.4129692832764506E-2</v>
      </c>
      <c r="AN186" s="133">
        <f t="shared" si="604"/>
        <v>3.0898876404494381E-2</v>
      </c>
      <c r="AO186" s="133">
        <f t="shared" si="604"/>
        <v>9.0464547677261614E-2</v>
      </c>
      <c r="AP186" s="133">
        <f t="shared" si="604"/>
        <v>2.386634844868735E-2</v>
      </c>
      <c r="AQ186" s="133">
        <f t="shared" si="604"/>
        <v>1.1600928074245939E-2</v>
      </c>
      <c r="AR186" s="133">
        <f t="shared" si="604"/>
        <v>0.31034482758620691</v>
      </c>
      <c r="AS186" s="133">
        <f t="shared" si="604"/>
        <v>0.11398354876615746</v>
      </c>
      <c r="AT186" s="133">
        <f t="shared" si="604"/>
        <v>0.15014436958614052</v>
      </c>
      <c r="AU186" s="133">
        <f t="shared" si="604"/>
        <v>0.13027061044682189</v>
      </c>
      <c r="AV186" s="133">
        <f t="shared" si="604"/>
        <v>0.1418481459682166</v>
      </c>
      <c r="AW186" s="133">
        <f t="shared" si="604"/>
        <v>0.47728516694033934</v>
      </c>
      <c r="AX186" s="133">
        <f t="shared" si="604"/>
        <v>0.26899383983572894</v>
      </c>
      <c r="AY186" s="133">
        <f t="shared" si="604"/>
        <v>0.16002795248078266</v>
      </c>
      <c r="AZ186" s="133">
        <f t="shared" si="604"/>
        <v>0.30999296270232229</v>
      </c>
      <c r="BA186" s="133">
        <f t="shared" si="604"/>
        <v>0.39109390125847049</v>
      </c>
      <c r="BB186" s="133">
        <f t="shared" si="604"/>
        <v>0.47562724014336916</v>
      </c>
      <c r="BC186" s="133">
        <f t="shared" si="604"/>
        <v>0.47273893521488136</v>
      </c>
      <c r="BD186" s="133">
        <f t="shared" si="604"/>
        <v>0.33471875865890827</v>
      </c>
      <c r="BE186" s="133">
        <f t="shared" si="604"/>
        <v>0.36656322730799068</v>
      </c>
      <c r="BF186" s="133">
        <f t="shared" si="604"/>
        <v>0.41912019397298234</v>
      </c>
      <c r="BG186" s="133">
        <f t="shared" si="604"/>
        <v>0.32200990799716916</v>
      </c>
      <c r="BH186" s="133">
        <f t="shared" si="604"/>
        <v>0.27447795823665894</v>
      </c>
      <c r="BI186" s="133">
        <f t="shared" si="604"/>
        <v>0.35210921165908254</v>
      </c>
      <c r="BJ186" s="133">
        <f t="shared" si="604"/>
        <v>0.29803729146221786</v>
      </c>
      <c r="BK186" s="133">
        <f t="shared" si="604"/>
        <v>0.29635346324522477</v>
      </c>
      <c r="BL186" s="133">
        <f t="shared" si="604"/>
        <v>0.24002860320991579</v>
      </c>
      <c r="BM186" s="133">
        <f t="shared" si="604"/>
        <v>0.40630639187007311</v>
      </c>
      <c r="BN186" s="133">
        <f t="shared" si="604"/>
        <v>0.29985296820437418</v>
      </c>
      <c r="BO186" s="133">
        <f t="shared" ref="BO186:CS186" si="605">IFERROR(BO176/BO159,0)</f>
        <v>0.33793219483469339</v>
      </c>
      <c r="BP186" s="133">
        <f t="shared" si="605"/>
        <v>0.31971616154917437</v>
      </c>
      <c r="BQ186" s="133">
        <f t="shared" si="605"/>
        <v>0.29771577495017632</v>
      </c>
      <c r="BR186" s="133">
        <f t="shared" si="605"/>
        <v>0.27323598845851182</v>
      </c>
      <c r="BS186" s="133">
        <f t="shared" si="605"/>
        <v>0.26129632763580979</v>
      </c>
      <c r="BT186" s="133">
        <f t="shared" si="605"/>
        <v>0.3693078809853898</v>
      </c>
      <c r="BU186" s="133">
        <f t="shared" si="605"/>
        <v>0.22594319626960577</v>
      </c>
      <c r="BV186" s="133">
        <f t="shared" si="605"/>
        <v>0.27086764323480972</v>
      </c>
      <c r="BW186" s="133">
        <f t="shared" si="605"/>
        <v>0.26871591472483886</v>
      </c>
      <c r="BX186" s="133">
        <f t="shared" si="605"/>
        <v>0.25119365541798172</v>
      </c>
      <c r="BY186" s="133">
        <f t="shared" si="605"/>
        <v>0.2611797192605661</v>
      </c>
      <c r="BZ186" s="133">
        <f t="shared" si="605"/>
        <v>0.28323416741380714</v>
      </c>
      <c r="CA186" s="133">
        <f t="shared" si="605"/>
        <v>0.28312717277063626</v>
      </c>
      <c r="CB186" s="133">
        <f t="shared" si="605"/>
        <v>0.26001669449081805</v>
      </c>
      <c r="CC186" s="133">
        <f t="shared" si="605"/>
        <v>0.27440585009140767</v>
      </c>
      <c r="CD186" s="133">
        <f t="shared" si="605"/>
        <v>0.22122216958787305</v>
      </c>
      <c r="CE186" s="133">
        <f t="shared" si="605"/>
        <v>0.23977171147631163</v>
      </c>
      <c r="CF186" s="133">
        <f t="shared" si="605"/>
        <v>0.24340602284527518</v>
      </c>
      <c r="CG186" s="133">
        <f t="shared" si="605"/>
        <v>0.242509115890715</v>
      </c>
      <c r="CH186" s="133">
        <f t="shared" si="605"/>
        <v>0.30063233965672992</v>
      </c>
      <c r="CI186" s="133">
        <f t="shared" si="605"/>
        <v>0.28216287111005128</v>
      </c>
      <c r="CJ186" s="133">
        <f t="shared" si="605"/>
        <v>0.2726234510031193</v>
      </c>
      <c r="CK186" s="133">
        <f t="shared" si="605"/>
        <v>0.25048486629444605</v>
      </c>
      <c r="CL186" s="133">
        <f t="shared" si="605"/>
        <v>0.26638807459614544</v>
      </c>
      <c r="CM186" s="133">
        <f t="shared" si="605"/>
        <v>0.13923256742117568</v>
      </c>
      <c r="CN186" s="133">
        <f t="shared" si="605"/>
        <v>0.27489152105077985</v>
      </c>
      <c r="CO186" s="133">
        <f t="shared" si="605"/>
        <v>0.25558675558675559</v>
      </c>
      <c r="CP186" s="133">
        <f t="shared" si="605"/>
        <v>0.23833579564409282</v>
      </c>
      <c r="CQ186" s="133">
        <f t="shared" si="605"/>
        <v>0.22261046485912689</v>
      </c>
      <c r="CR186" s="133">
        <f t="shared" si="605"/>
        <v>0.23608316566063045</v>
      </c>
      <c r="CS186" s="133">
        <f t="shared" si="605"/>
        <v>0.22716638815946527</v>
      </c>
      <c r="CT186" s="133">
        <f>CS186</f>
        <v>0.22716638815946527</v>
      </c>
      <c r="CU186" s="133">
        <f t="shared" ref="CU186:DQ186" si="606">CT186</f>
        <v>0.22716638815946527</v>
      </c>
      <c r="CV186" s="133">
        <f t="shared" si="606"/>
        <v>0.22716638815946527</v>
      </c>
      <c r="CW186" s="133">
        <f t="shared" si="606"/>
        <v>0.22716638815946527</v>
      </c>
      <c r="CX186" s="133">
        <f t="shared" si="606"/>
        <v>0.22716638815946527</v>
      </c>
      <c r="CY186" s="133">
        <f t="shared" si="606"/>
        <v>0.22716638815946527</v>
      </c>
      <c r="CZ186" s="133">
        <f t="shared" si="606"/>
        <v>0.22716638815946527</v>
      </c>
      <c r="DA186" s="133">
        <f t="shared" si="606"/>
        <v>0.22716638815946527</v>
      </c>
      <c r="DB186" s="133">
        <f t="shared" si="606"/>
        <v>0.22716638815946527</v>
      </c>
      <c r="DC186" s="133">
        <f t="shared" si="606"/>
        <v>0.22716638815946527</v>
      </c>
      <c r="DD186" s="133">
        <f t="shared" si="606"/>
        <v>0.22716638815946527</v>
      </c>
      <c r="DE186" s="133">
        <f t="shared" si="606"/>
        <v>0.22716638815946527</v>
      </c>
      <c r="DF186" s="134">
        <f t="shared" ref="DF186:DF190" si="607">AVERAGE(CT186:DE186)</f>
        <v>0.2271663881594653</v>
      </c>
      <c r="DG186" s="133">
        <f t="shared" si="606"/>
        <v>0.2271663881594653</v>
      </c>
      <c r="DH186" s="133">
        <f t="shared" si="606"/>
        <v>0.2271663881594653</v>
      </c>
      <c r="DI186" s="133">
        <f t="shared" si="606"/>
        <v>0.2271663881594653</v>
      </c>
      <c r="DJ186" s="133">
        <f t="shared" si="606"/>
        <v>0.2271663881594653</v>
      </c>
      <c r="DK186" s="133">
        <f t="shared" si="606"/>
        <v>0.2271663881594653</v>
      </c>
      <c r="DL186" s="133">
        <f t="shared" si="606"/>
        <v>0.2271663881594653</v>
      </c>
      <c r="DM186" s="133">
        <f t="shared" si="606"/>
        <v>0.2271663881594653</v>
      </c>
      <c r="DN186" s="133">
        <f t="shared" si="606"/>
        <v>0.2271663881594653</v>
      </c>
      <c r="DO186" s="133">
        <f t="shared" si="606"/>
        <v>0.2271663881594653</v>
      </c>
      <c r="DP186" s="133">
        <f t="shared" si="606"/>
        <v>0.2271663881594653</v>
      </c>
      <c r="DQ186" s="133">
        <f t="shared" si="606"/>
        <v>0.2271663881594653</v>
      </c>
      <c r="DR186" s="133">
        <f t="shared" si="592"/>
        <v>0.2271663881594653</v>
      </c>
      <c r="DS186" s="133">
        <f t="shared" si="593"/>
        <v>0.2271663881594653</v>
      </c>
      <c r="DT186" s="133">
        <f t="shared" si="594"/>
        <v>0.2271663881594653</v>
      </c>
      <c r="DU186" s="133">
        <f t="shared" si="595"/>
        <v>0.2271663881594653</v>
      </c>
      <c r="DV186" s="133">
        <f t="shared" si="596"/>
        <v>0.2271663881594653</v>
      </c>
      <c r="DW186" s="133">
        <f t="shared" si="597"/>
        <v>0.2271663881594653</v>
      </c>
      <c r="DX186" s="133">
        <f t="shared" si="598"/>
        <v>0.2271663881594653</v>
      </c>
      <c r="DY186" s="133">
        <f t="shared" si="599"/>
        <v>0.2271663881594653</v>
      </c>
      <c r="DZ186" s="133">
        <f t="shared" si="600"/>
        <v>0.2271663881594653</v>
      </c>
      <c r="EA186" s="133">
        <f t="shared" si="601"/>
        <v>0.2271663881594653</v>
      </c>
      <c r="EB186" s="133">
        <f t="shared" si="602"/>
        <v>0.2271663881594653</v>
      </c>
      <c r="EC186" s="133">
        <f t="shared" si="603"/>
        <v>0.2271663881594653</v>
      </c>
      <c r="ED186" s="113" t="s">
        <v>1</v>
      </c>
    </row>
    <row r="187" spans="1:134" x14ac:dyDescent="0.2">
      <c r="A187" s="713" t="s">
        <v>8</v>
      </c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  <c r="AX187" s="133"/>
      <c r="AY187" s="133"/>
      <c r="AZ187" s="133"/>
      <c r="BA187" s="133"/>
      <c r="BB187" s="133"/>
      <c r="BC187" s="133"/>
      <c r="BD187" s="133"/>
      <c r="BE187" s="133"/>
      <c r="BF187" s="133"/>
      <c r="BG187" s="133"/>
      <c r="BH187" s="133"/>
      <c r="BI187" s="133">
        <f>BI177/BI176</f>
        <v>0.7698218651763884</v>
      </c>
      <c r="BJ187" s="133">
        <f t="shared" ref="BJ187:BR187" si="608">BJ177/BJ176</f>
        <v>0.73460651959170231</v>
      </c>
      <c r="BK187" s="133">
        <f t="shared" si="608"/>
        <v>0.64485677083333337</v>
      </c>
      <c r="BL187" s="133">
        <f t="shared" si="608"/>
        <v>0.48493876199933794</v>
      </c>
      <c r="BM187" s="133">
        <f t="shared" si="608"/>
        <v>0.6622253389434315</v>
      </c>
      <c r="BN187" s="133">
        <f t="shared" si="608"/>
        <v>0.50934722647870057</v>
      </c>
      <c r="BO187" s="133">
        <f t="shared" si="608"/>
        <v>0.57331341797361213</v>
      </c>
      <c r="BP187" s="133">
        <f t="shared" si="608"/>
        <v>0.55237502592823062</v>
      </c>
      <c r="BQ187" s="133">
        <f t="shared" si="608"/>
        <v>0.53707518022657053</v>
      </c>
      <c r="BR187" s="133">
        <f t="shared" si="608"/>
        <v>0.57952000000000004</v>
      </c>
      <c r="BS187" s="133">
        <f t="shared" ref="BS187:CS187" si="609">BS177/BS176</f>
        <v>0.540479274611399</v>
      </c>
      <c r="BT187" s="133">
        <f t="shared" si="609"/>
        <v>0.66127634998556162</v>
      </c>
      <c r="BU187" s="133">
        <f t="shared" si="609"/>
        <v>0.49005628517823641</v>
      </c>
      <c r="BV187" s="133">
        <f t="shared" si="609"/>
        <v>0.504</v>
      </c>
      <c r="BW187" s="133">
        <f t="shared" si="609"/>
        <v>0.47878228782287824</v>
      </c>
      <c r="BX187" s="133">
        <f t="shared" si="609"/>
        <v>0.49194587628865977</v>
      </c>
      <c r="BY187" s="133">
        <f t="shared" si="609"/>
        <v>0.44787077826725402</v>
      </c>
      <c r="BZ187" s="133">
        <f t="shared" si="609"/>
        <v>0.42446043165467628</v>
      </c>
      <c r="CA187" s="133">
        <f t="shared" si="609"/>
        <v>0.44974300399771561</v>
      </c>
      <c r="CB187" s="133">
        <f t="shared" si="609"/>
        <v>0.48571428571428571</v>
      </c>
      <c r="CC187" s="133">
        <f t="shared" si="609"/>
        <v>0.50199866755496336</v>
      </c>
      <c r="CD187" s="133">
        <f t="shared" si="609"/>
        <v>0.43861527480371165</v>
      </c>
      <c r="CE187" s="133">
        <f t="shared" si="609"/>
        <v>0.47203900200745624</v>
      </c>
      <c r="CF187" s="133">
        <f t="shared" si="609"/>
        <v>0.48350398179749715</v>
      </c>
      <c r="CG187" s="133">
        <f t="shared" si="609"/>
        <v>0.51972107212900409</v>
      </c>
      <c r="CH187" s="133">
        <f t="shared" si="609"/>
        <v>0.5484775641025641</v>
      </c>
      <c r="CI187" s="133">
        <f t="shared" si="609"/>
        <v>0.56665962391717728</v>
      </c>
      <c r="CJ187" s="133">
        <f t="shared" si="609"/>
        <v>0.45226334875578345</v>
      </c>
      <c r="CK187" s="133">
        <f t="shared" si="609"/>
        <v>0.39582355701548566</v>
      </c>
      <c r="CL187" s="133">
        <f t="shared" si="609"/>
        <v>0.43526106298290801</v>
      </c>
      <c r="CM187" s="133">
        <f t="shared" si="609"/>
        <v>-9.2547092547092549E-2</v>
      </c>
      <c r="CN187" s="133">
        <f t="shared" si="609"/>
        <v>0.43579351535836175</v>
      </c>
      <c r="CO187" s="133">
        <f t="shared" si="609"/>
        <v>0.4209201190203708</v>
      </c>
      <c r="CP187" s="133">
        <f t="shared" si="609"/>
        <v>0.43711257748450311</v>
      </c>
      <c r="CQ187" s="133">
        <f t="shared" si="609"/>
        <v>0.43751241804092988</v>
      </c>
      <c r="CR187" s="133">
        <f t="shared" si="609"/>
        <v>0.42307692307692307</v>
      </c>
      <c r="CS187" s="133">
        <f t="shared" si="609"/>
        <v>0.44031105506515344</v>
      </c>
      <c r="CT187" s="133">
        <f>CS187</f>
        <v>0.44031105506515344</v>
      </c>
      <c r="CU187" s="133">
        <f t="shared" ref="CU187:DQ190" si="610">CT187</f>
        <v>0.44031105506515344</v>
      </c>
      <c r="CV187" s="133">
        <f t="shared" si="610"/>
        <v>0.44031105506515344</v>
      </c>
      <c r="CW187" s="133">
        <f t="shared" si="610"/>
        <v>0.44031105506515344</v>
      </c>
      <c r="CX187" s="133">
        <f t="shared" si="610"/>
        <v>0.44031105506515344</v>
      </c>
      <c r="CY187" s="133">
        <f t="shared" si="610"/>
        <v>0.44031105506515344</v>
      </c>
      <c r="CZ187" s="133">
        <f t="shared" si="610"/>
        <v>0.44031105506515344</v>
      </c>
      <c r="DA187" s="133">
        <f t="shared" si="610"/>
        <v>0.44031105506515344</v>
      </c>
      <c r="DB187" s="133">
        <f t="shared" si="610"/>
        <v>0.44031105506515344</v>
      </c>
      <c r="DC187" s="133">
        <f t="shared" si="610"/>
        <v>0.44031105506515344</v>
      </c>
      <c r="DD187" s="133">
        <f t="shared" si="610"/>
        <v>0.44031105506515344</v>
      </c>
      <c r="DE187" s="133">
        <f t="shared" si="610"/>
        <v>0.44031105506515344</v>
      </c>
      <c r="DF187" s="134">
        <f t="shared" si="607"/>
        <v>0.44031105506515361</v>
      </c>
      <c r="DG187" s="133">
        <f t="shared" si="610"/>
        <v>0.44031105506515361</v>
      </c>
      <c r="DH187" s="133">
        <f t="shared" si="610"/>
        <v>0.44031105506515361</v>
      </c>
      <c r="DI187" s="133">
        <f t="shared" si="610"/>
        <v>0.44031105506515361</v>
      </c>
      <c r="DJ187" s="133">
        <f t="shared" si="610"/>
        <v>0.44031105506515361</v>
      </c>
      <c r="DK187" s="133">
        <f t="shared" si="610"/>
        <v>0.44031105506515361</v>
      </c>
      <c r="DL187" s="133">
        <f t="shared" si="610"/>
        <v>0.44031105506515361</v>
      </c>
      <c r="DM187" s="133">
        <f t="shared" si="610"/>
        <v>0.44031105506515361</v>
      </c>
      <c r="DN187" s="133">
        <f t="shared" si="610"/>
        <v>0.44031105506515361</v>
      </c>
      <c r="DO187" s="133">
        <f t="shared" si="610"/>
        <v>0.44031105506515361</v>
      </c>
      <c r="DP187" s="133">
        <f t="shared" si="610"/>
        <v>0.44031105506515361</v>
      </c>
      <c r="DQ187" s="133">
        <f t="shared" si="610"/>
        <v>0.44031105506515361</v>
      </c>
      <c r="DR187" s="133">
        <f t="shared" si="592"/>
        <v>0.44031105506515361</v>
      </c>
      <c r="DS187" s="133">
        <f t="shared" si="593"/>
        <v>0.44031105506515361</v>
      </c>
      <c r="DT187" s="133">
        <f t="shared" si="594"/>
        <v>0.44031105506515361</v>
      </c>
      <c r="DU187" s="133">
        <f t="shared" si="595"/>
        <v>0.44031105506515361</v>
      </c>
      <c r="DV187" s="133">
        <f t="shared" si="596"/>
        <v>0.44031105506515361</v>
      </c>
      <c r="DW187" s="133">
        <f t="shared" si="597"/>
        <v>0.44031105506515361</v>
      </c>
      <c r="DX187" s="133">
        <f t="shared" si="598"/>
        <v>0.44031105506515361</v>
      </c>
      <c r="DY187" s="133">
        <f t="shared" si="599"/>
        <v>0.44031105506515361</v>
      </c>
      <c r="DZ187" s="133">
        <f t="shared" si="600"/>
        <v>0.44031105506515361</v>
      </c>
      <c r="EA187" s="133">
        <f t="shared" si="601"/>
        <v>0.44031105506515361</v>
      </c>
      <c r="EB187" s="133">
        <f t="shared" si="602"/>
        <v>0.44031105506515361</v>
      </c>
      <c r="EC187" s="133">
        <f t="shared" si="603"/>
        <v>0.44031105506515361</v>
      </c>
      <c r="ED187" s="113" t="s">
        <v>1</v>
      </c>
    </row>
    <row r="188" spans="1:134" x14ac:dyDescent="0.2">
      <c r="A188" s="713" t="s">
        <v>134</v>
      </c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/>
      <c r="AY188" s="133"/>
      <c r="AZ188" s="133"/>
      <c r="BA188" s="133"/>
      <c r="BB188" s="133"/>
      <c r="BC188" s="133"/>
      <c r="BD188" s="133"/>
      <c r="BE188" s="133"/>
      <c r="BF188" s="133"/>
      <c r="BG188" s="133"/>
      <c r="BH188" s="133"/>
      <c r="BI188" s="133">
        <f>BI178/BI176</f>
        <v>0</v>
      </c>
      <c r="BJ188" s="133">
        <f t="shared" ref="BJ188:BR188" si="611">BJ178/BJ176</f>
        <v>0</v>
      </c>
      <c r="BK188" s="133">
        <f t="shared" si="611"/>
        <v>0</v>
      </c>
      <c r="BL188" s="133">
        <f t="shared" si="611"/>
        <v>1.4564713670969877E-2</v>
      </c>
      <c r="BM188" s="133">
        <f t="shared" si="611"/>
        <v>9.3267882187938286E-2</v>
      </c>
      <c r="BN188" s="133">
        <f t="shared" si="611"/>
        <v>0.13269996935335582</v>
      </c>
      <c r="BO188" s="133">
        <f t="shared" si="611"/>
        <v>0.11426437640029873</v>
      </c>
      <c r="BP188" s="133">
        <f t="shared" si="611"/>
        <v>0.134411947728687</v>
      </c>
      <c r="BQ188" s="133">
        <f t="shared" si="611"/>
        <v>0.10659114315139032</v>
      </c>
      <c r="BR188" s="133">
        <f t="shared" si="611"/>
        <v>8.6400000000000005E-2</v>
      </c>
      <c r="BS188" s="133">
        <f t="shared" ref="BS188:CS188" si="612">BS178/BS176</f>
        <v>0.11528497409326424</v>
      </c>
      <c r="BT188" s="133">
        <f t="shared" si="612"/>
        <v>6.2373664452786602E-2</v>
      </c>
      <c r="BU188" s="133">
        <f t="shared" si="612"/>
        <v>0.10731707317073171</v>
      </c>
      <c r="BV188" s="133">
        <f t="shared" si="612"/>
        <v>0.10272000000000001</v>
      </c>
      <c r="BW188" s="133">
        <f t="shared" si="612"/>
        <v>0.12669126691266913</v>
      </c>
      <c r="BX188" s="133">
        <f t="shared" si="612"/>
        <v>0.12983247422680413</v>
      </c>
      <c r="BY188" s="133">
        <f t="shared" si="612"/>
        <v>0.1315712187958884</v>
      </c>
      <c r="BZ188" s="133">
        <f t="shared" si="612"/>
        <v>0.11683453237410071</v>
      </c>
      <c r="CA188" s="133">
        <f t="shared" si="612"/>
        <v>0.13221016561964591</v>
      </c>
      <c r="CB188" s="133">
        <f t="shared" si="612"/>
        <v>0.12166934189406099</v>
      </c>
      <c r="CC188" s="133">
        <f t="shared" si="612"/>
        <v>0.12858094603597603</v>
      </c>
      <c r="CD188" s="133">
        <f t="shared" si="612"/>
        <v>0.16416845110635261</v>
      </c>
      <c r="CE188" s="133">
        <f t="shared" si="612"/>
        <v>0.11901347863492974</v>
      </c>
      <c r="CF188" s="133">
        <f t="shared" si="612"/>
        <v>0.15870307167235495</v>
      </c>
      <c r="CG188" s="133">
        <f t="shared" si="612"/>
        <v>0.11941599477010242</v>
      </c>
      <c r="CH188" s="133">
        <f t="shared" si="612"/>
        <v>0.10576923076923077</v>
      </c>
      <c r="CI188" s="133">
        <f t="shared" si="612"/>
        <v>8.6203253750264108E-2</v>
      </c>
      <c r="CJ188" s="133">
        <f t="shared" si="612"/>
        <v>0.11926347380267602</v>
      </c>
      <c r="CK188" s="133">
        <f t="shared" si="612"/>
        <v>0.1365556076959174</v>
      </c>
      <c r="CL188" s="133">
        <f t="shared" si="612"/>
        <v>0.12362444392413954</v>
      </c>
      <c r="CM188" s="133">
        <f t="shared" si="612"/>
        <v>0.25798525798525801</v>
      </c>
      <c r="CN188" s="133">
        <f t="shared" si="612"/>
        <v>0.12947952218430034</v>
      </c>
      <c r="CO188" s="133">
        <f t="shared" si="612"/>
        <v>0.11993591210803388</v>
      </c>
      <c r="CP188" s="133">
        <f t="shared" si="612"/>
        <v>0.11197760447910418</v>
      </c>
      <c r="CQ188" s="133">
        <f t="shared" si="612"/>
        <v>0.11523941982912776</v>
      </c>
      <c r="CR188" s="133">
        <f t="shared" si="612"/>
        <v>0.11210664335664336</v>
      </c>
      <c r="CS188" s="133">
        <f t="shared" si="612"/>
        <v>0.12000840689365279</v>
      </c>
      <c r="CT188" s="133">
        <f t="shared" ref="CT188:DI190" si="613">CS188</f>
        <v>0.12000840689365279</v>
      </c>
      <c r="CU188" s="133">
        <f t="shared" si="613"/>
        <v>0.12000840689365279</v>
      </c>
      <c r="CV188" s="133">
        <f t="shared" si="613"/>
        <v>0.12000840689365279</v>
      </c>
      <c r="CW188" s="133">
        <f t="shared" si="613"/>
        <v>0.12000840689365279</v>
      </c>
      <c r="CX188" s="133">
        <f t="shared" si="613"/>
        <v>0.12000840689365279</v>
      </c>
      <c r="CY188" s="133">
        <f t="shared" si="613"/>
        <v>0.12000840689365279</v>
      </c>
      <c r="CZ188" s="133">
        <f t="shared" si="613"/>
        <v>0.12000840689365279</v>
      </c>
      <c r="DA188" s="133">
        <f t="shared" si="613"/>
        <v>0.12000840689365279</v>
      </c>
      <c r="DB188" s="133">
        <f t="shared" si="613"/>
        <v>0.12000840689365279</v>
      </c>
      <c r="DC188" s="133">
        <f t="shared" si="613"/>
        <v>0.12000840689365279</v>
      </c>
      <c r="DD188" s="133">
        <f t="shared" si="613"/>
        <v>0.12000840689365279</v>
      </c>
      <c r="DE188" s="133">
        <f t="shared" si="613"/>
        <v>0.12000840689365279</v>
      </c>
      <c r="DF188" s="134">
        <f t="shared" si="607"/>
        <v>0.12000840689365282</v>
      </c>
      <c r="DG188" s="133">
        <f t="shared" si="613"/>
        <v>0.12000840689365282</v>
      </c>
      <c r="DH188" s="133">
        <f t="shared" si="613"/>
        <v>0.12000840689365282</v>
      </c>
      <c r="DI188" s="133">
        <f t="shared" si="613"/>
        <v>0.12000840689365282</v>
      </c>
      <c r="DJ188" s="133">
        <f t="shared" si="610"/>
        <v>0.12000840689365282</v>
      </c>
      <c r="DK188" s="133">
        <f t="shared" si="610"/>
        <v>0.12000840689365282</v>
      </c>
      <c r="DL188" s="133">
        <f t="shared" si="610"/>
        <v>0.12000840689365282</v>
      </c>
      <c r="DM188" s="133">
        <f t="shared" si="610"/>
        <v>0.12000840689365282</v>
      </c>
      <c r="DN188" s="133">
        <f t="shared" si="610"/>
        <v>0.12000840689365282</v>
      </c>
      <c r="DO188" s="133">
        <f t="shared" si="610"/>
        <v>0.12000840689365282</v>
      </c>
      <c r="DP188" s="133">
        <f t="shared" si="610"/>
        <v>0.12000840689365282</v>
      </c>
      <c r="DQ188" s="133">
        <f t="shared" si="610"/>
        <v>0.12000840689365282</v>
      </c>
      <c r="DR188" s="133">
        <f t="shared" si="592"/>
        <v>0.12000840689365282</v>
      </c>
      <c r="DS188" s="133">
        <f t="shared" si="593"/>
        <v>0.12000840689365282</v>
      </c>
      <c r="DT188" s="133">
        <f t="shared" si="594"/>
        <v>0.12000840689365282</v>
      </c>
      <c r="DU188" s="133">
        <f t="shared" si="595"/>
        <v>0.12000840689365282</v>
      </c>
      <c r="DV188" s="133">
        <f t="shared" si="596"/>
        <v>0.12000840689365282</v>
      </c>
      <c r="DW188" s="133">
        <f t="shared" si="597"/>
        <v>0.12000840689365282</v>
      </c>
      <c r="DX188" s="133">
        <f t="shared" si="598"/>
        <v>0.12000840689365282</v>
      </c>
      <c r="DY188" s="133">
        <f t="shared" si="599"/>
        <v>0.12000840689365282</v>
      </c>
      <c r="DZ188" s="133">
        <f t="shared" si="600"/>
        <v>0.12000840689365282</v>
      </c>
      <c r="EA188" s="133">
        <f t="shared" si="601"/>
        <v>0.12000840689365282</v>
      </c>
      <c r="EB188" s="133">
        <f t="shared" si="602"/>
        <v>0.12000840689365282</v>
      </c>
      <c r="EC188" s="133">
        <f t="shared" si="603"/>
        <v>0.12000840689365282</v>
      </c>
      <c r="ED188" s="113" t="s">
        <v>1</v>
      </c>
    </row>
    <row r="189" spans="1:134" x14ac:dyDescent="0.2">
      <c r="A189" s="713" t="s">
        <v>135</v>
      </c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  <c r="AY189" s="133"/>
      <c r="AZ189" s="133"/>
      <c r="BA189" s="133"/>
      <c r="BB189" s="133"/>
      <c r="BC189" s="133"/>
      <c r="BD189" s="133"/>
      <c r="BE189" s="133"/>
      <c r="BF189" s="133"/>
      <c r="BG189" s="133"/>
      <c r="BH189" s="133"/>
      <c r="BI189" s="133">
        <f>BI179/BI176</f>
        <v>0.10723017813482361</v>
      </c>
      <c r="BJ189" s="133">
        <f t="shared" ref="BJ189:BR189" si="614">BJ179/BJ176</f>
        <v>0.14191636483371747</v>
      </c>
      <c r="BK189" s="133">
        <f t="shared" si="614"/>
        <v>0.12630208333333334</v>
      </c>
      <c r="BL189" s="133">
        <f t="shared" si="614"/>
        <v>0.25388944058258855</v>
      </c>
      <c r="BM189" s="133">
        <f t="shared" si="614"/>
        <v>5.3763440860215055E-2</v>
      </c>
      <c r="BN189" s="133">
        <f t="shared" si="614"/>
        <v>6.1293288384921853E-2</v>
      </c>
      <c r="BO189" s="133">
        <f t="shared" si="614"/>
        <v>4.7050037341299478E-2</v>
      </c>
      <c r="BP189" s="133">
        <f t="shared" si="614"/>
        <v>4.8122796100394112E-2</v>
      </c>
      <c r="BQ189" s="133">
        <f t="shared" si="614"/>
        <v>5.2523171987641608E-2</v>
      </c>
      <c r="BR189" s="133">
        <f t="shared" si="614"/>
        <v>4.768E-2</v>
      </c>
      <c r="BS189" s="133">
        <f t="shared" ref="BS189:CS189" si="615">BS179/BS176</f>
        <v>5.3756476683937821E-2</v>
      </c>
      <c r="BT189" s="133">
        <f t="shared" si="615"/>
        <v>4.3603811723938783E-2</v>
      </c>
      <c r="BU189" s="133">
        <f t="shared" si="615"/>
        <v>5.9662288930581613E-2</v>
      </c>
      <c r="BV189" s="133">
        <f t="shared" si="615"/>
        <v>4.5760000000000002E-2</v>
      </c>
      <c r="BW189" s="133">
        <f t="shared" si="615"/>
        <v>3.8437884378843788E-2</v>
      </c>
      <c r="BX189" s="133">
        <f t="shared" si="615"/>
        <v>3.7371134020618556E-2</v>
      </c>
      <c r="BY189" s="133">
        <f t="shared" si="615"/>
        <v>5.2569750367107197E-2</v>
      </c>
      <c r="BZ189" s="133">
        <f t="shared" si="615"/>
        <v>4.8633093525179853E-2</v>
      </c>
      <c r="CA189" s="133">
        <f t="shared" si="615"/>
        <v>6.2821245002855505E-2</v>
      </c>
      <c r="CB189" s="133">
        <f t="shared" si="615"/>
        <v>7.7688603531300165E-2</v>
      </c>
      <c r="CC189" s="133">
        <f t="shared" si="615"/>
        <v>6.9287141905396407E-2</v>
      </c>
      <c r="CD189" s="133">
        <f t="shared" si="615"/>
        <v>9.386152748037116E-2</v>
      </c>
      <c r="CE189" s="133">
        <f t="shared" si="615"/>
        <v>0.11069687410381417</v>
      </c>
      <c r="CF189" s="133">
        <f t="shared" si="615"/>
        <v>0.10494880546075085</v>
      </c>
      <c r="CG189" s="133">
        <f t="shared" si="615"/>
        <v>0.11440400958814556</v>
      </c>
      <c r="CH189" s="133">
        <f t="shared" si="615"/>
        <v>0.11678685897435898</v>
      </c>
      <c r="CI189" s="133">
        <f t="shared" si="615"/>
        <v>0.11683921402915698</v>
      </c>
      <c r="CJ189" s="133">
        <f t="shared" si="615"/>
        <v>0.15011879454795549</v>
      </c>
      <c r="CK189" s="133">
        <f t="shared" si="615"/>
        <v>0.16048803378695448</v>
      </c>
      <c r="CL189" s="133">
        <f t="shared" si="615"/>
        <v>0.11285413252165769</v>
      </c>
      <c r="CM189" s="133">
        <f t="shared" si="615"/>
        <v>0.24774774774774774</v>
      </c>
      <c r="CN189" s="133">
        <f t="shared" si="615"/>
        <v>0.11966723549488055</v>
      </c>
      <c r="CO189" s="133">
        <f t="shared" si="615"/>
        <v>0.14808880750743877</v>
      </c>
      <c r="CP189" s="133">
        <f t="shared" si="615"/>
        <v>0.14897020595880825</v>
      </c>
      <c r="CQ189" s="133">
        <f t="shared" si="615"/>
        <v>0.14265845420226506</v>
      </c>
      <c r="CR189" s="133">
        <f t="shared" si="615"/>
        <v>0.1444493006993007</v>
      </c>
      <c r="CS189" s="133">
        <f t="shared" si="615"/>
        <v>8.7852038671710805E-2</v>
      </c>
      <c r="CT189" s="133">
        <f t="shared" si="613"/>
        <v>8.7852038671710805E-2</v>
      </c>
      <c r="CU189" s="133">
        <f t="shared" si="610"/>
        <v>8.7852038671710805E-2</v>
      </c>
      <c r="CV189" s="133">
        <f t="shared" si="610"/>
        <v>8.7852038671710805E-2</v>
      </c>
      <c r="CW189" s="133">
        <f t="shared" si="610"/>
        <v>8.7852038671710805E-2</v>
      </c>
      <c r="CX189" s="133">
        <f t="shared" si="610"/>
        <v>8.7852038671710805E-2</v>
      </c>
      <c r="CY189" s="133">
        <f t="shared" si="610"/>
        <v>8.7852038671710805E-2</v>
      </c>
      <c r="CZ189" s="133">
        <f t="shared" si="610"/>
        <v>8.7852038671710805E-2</v>
      </c>
      <c r="DA189" s="133">
        <f t="shared" si="610"/>
        <v>8.7852038671710805E-2</v>
      </c>
      <c r="DB189" s="133">
        <f t="shared" si="610"/>
        <v>8.7852038671710805E-2</v>
      </c>
      <c r="DC189" s="133">
        <f t="shared" si="610"/>
        <v>8.7852038671710805E-2</v>
      </c>
      <c r="DD189" s="133">
        <f t="shared" si="610"/>
        <v>8.7852038671710805E-2</v>
      </c>
      <c r="DE189" s="133">
        <f t="shared" si="610"/>
        <v>8.7852038671710805E-2</v>
      </c>
      <c r="DF189" s="134">
        <f t="shared" si="607"/>
        <v>8.7852038671710778E-2</v>
      </c>
      <c r="DG189" s="133">
        <f t="shared" si="610"/>
        <v>8.7852038671710778E-2</v>
      </c>
      <c r="DH189" s="133">
        <f t="shared" si="610"/>
        <v>8.7852038671710778E-2</v>
      </c>
      <c r="DI189" s="133">
        <f t="shared" si="610"/>
        <v>8.7852038671710778E-2</v>
      </c>
      <c r="DJ189" s="133">
        <f t="shared" si="610"/>
        <v>8.7852038671710778E-2</v>
      </c>
      <c r="DK189" s="133">
        <f t="shared" si="610"/>
        <v>8.7852038671710778E-2</v>
      </c>
      <c r="DL189" s="133">
        <f t="shared" si="610"/>
        <v>8.7852038671710778E-2</v>
      </c>
      <c r="DM189" s="133">
        <f t="shared" si="610"/>
        <v>8.7852038671710778E-2</v>
      </c>
      <c r="DN189" s="133">
        <f t="shared" si="610"/>
        <v>8.7852038671710778E-2</v>
      </c>
      <c r="DO189" s="133">
        <f t="shared" si="610"/>
        <v>8.7852038671710778E-2</v>
      </c>
      <c r="DP189" s="133">
        <f t="shared" si="610"/>
        <v>8.7852038671710778E-2</v>
      </c>
      <c r="DQ189" s="133">
        <f t="shared" si="610"/>
        <v>8.7852038671710778E-2</v>
      </c>
      <c r="DR189" s="133">
        <f t="shared" si="592"/>
        <v>8.7852038671710778E-2</v>
      </c>
      <c r="DS189" s="133">
        <f t="shared" si="593"/>
        <v>8.7852038671710778E-2</v>
      </c>
      <c r="DT189" s="133">
        <f t="shared" si="594"/>
        <v>8.7852038671710778E-2</v>
      </c>
      <c r="DU189" s="133">
        <f t="shared" si="595"/>
        <v>8.7852038671710778E-2</v>
      </c>
      <c r="DV189" s="133">
        <f t="shared" si="596"/>
        <v>8.7852038671710778E-2</v>
      </c>
      <c r="DW189" s="133">
        <f t="shared" si="597"/>
        <v>8.7852038671710778E-2</v>
      </c>
      <c r="DX189" s="133">
        <f t="shared" si="598"/>
        <v>8.7852038671710778E-2</v>
      </c>
      <c r="DY189" s="133">
        <f t="shared" si="599"/>
        <v>8.7852038671710778E-2</v>
      </c>
      <c r="DZ189" s="133">
        <f t="shared" si="600"/>
        <v>8.7852038671710778E-2</v>
      </c>
      <c r="EA189" s="133">
        <f t="shared" si="601"/>
        <v>8.7852038671710778E-2</v>
      </c>
      <c r="EB189" s="133">
        <f t="shared" si="602"/>
        <v>8.7852038671710778E-2</v>
      </c>
      <c r="EC189" s="133">
        <f t="shared" si="603"/>
        <v>8.7852038671710778E-2</v>
      </c>
      <c r="ED189" s="113" t="s">
        <v>1</v>
      </c>
    </row>
    <row r="190" spans="1:134" x14ac:dyDescent="0.2">
      <c r="A190" s="713" t="s">
        <v>136</v>
      </c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/>
      <c r="AY190" s="133"/>
      <c r="AZ190" s="133"/>
      <c r="BA190" s="133"/>
      <c r="BB190" s="133"/>
      <c r="BC190" s="133"/>
      <c r="BD190" s="133"/>
      <c r="BE190" s="133"/>
      <c r="BF190" s="133"/>
      <c r="BG190" s="133"/>
      <c r="BH190" s="133"/>
      <c r="BI190" s="133">
        <f>BI180/BI176</f>
        <v>0.12294795668878798</v>
      </c>
      <c r="BJ190" s="133">
        <f t="shared" ref="BJ190:BR190" si="616">BJ180/BJ176</f>
        <v>0.12347711557458017</v>
      </c>
      <c r="BK190" s="133">
        <f t="shared" si="616"/>
        <v>0.22884114583333334</v>
      </c>
      <c r="BL190" s="133">
        <f t="shared" si="616"/>
        <v>0.24660708374710361</v>
      </c>
      <c r="BM190" s="133">
        <f t="shared" si="616"/>
        <v>0.19074333800841514</v>
      </c>
      <c r="BN190" s="133">
        <f t="shared" si="616"/>
        <v>0.29665951578302174</v>
      </c>
      <c r="BO190" s="133">
        <f t="shared" si="616"/>
        <v>0.26537216828478966</v>
      </c>
      <c r="BP190" s="133">
        <f t="shared" si="616"/>
        <v>0.26509023024268824</v>
      </c>
      <c r="BQ190" s="133">
        <f t="shared" si="616"/>
        <v>0.30381050463439752</v>
      </c>
      <c r="BR190" s="133">
        <f t="shared" si="616"/>
        <v>0.28639999999999999</v>
      </c>
      <c r="BS190" s="133">
        <f t="shared" ref="BS190:CS190" si="617">BS180/BS176</f>
        <v>0.29047927461139894</v>
      </c>
      <c r="BT190" s="133">
        <f t="shared" si="617"/>
        <v>0.23274617383771296</v>
      </c>
      <c r="BU190" s="133">
        <f t="shared" si="617"/>
        <v>0.34296435272045028</v>
      </c>
      <c r="BV190" s="133">
        <f t="shared" si="617"/>
        <v>0.34752</v>
      </c>
      <c r="BW190" s="133">
        <f t="shared" si="617"/>
        <v>0.35608856088560886</v>
      </c>
      <c r="BX190" s="133">
        <f t="shared" si="617"/>
        <v>0.34085051546391754</v>
      </c>
      <c r="BY190" s="133">
        <f t="shared" si="617"/>
        <v>0.36798825256975037</v>
      </c>
      <c r="BZ190" s="133">
        <f t="shared" si="617"/>
        <v>0.41007194244604317</v>
      </c>
      <c r="CA190" s="133">
        <f t="shared" si="617"/>
        <v>0.35522558537978299</v>
      </c>
      <c r="CB190" s="133">
        <f t="shared" si="617"/>
        <v>0.31492776886035312</v>
      </c>
      <c r="CC190" s="133">
        <f t="shared" si="617"/>
        <v>0.30013324450366424</v>
      </c>
      <c r="CD190" s="133">
        <f t="shared" si="617"/>
        <v>0.30335474660956457</v>
      </c>
      <c r="CE190" s="133">
        <f t="shared" si="617"/>
        <v>0.29825064525379985</v>
      </c>
      <c r="CF190" s="133">
        <f t="shared" si="617"/>
        <v>0.25284414106939707</v>
      </c>
      <c r="CG190" s="133">
        <f t="shared" si="617"/>
        <v>0.24645892351274787</v>
      </c>
      <c r="CH190" s="133">
        <f t="shared" si="617"/>
        <v>0.22896634615384615</v>
      </c>
      <c r="CI190" s="133">
        <f t="shared" si="617"/>
        <v>0.23029790830340166</v>
      </c>
      <c r="CJ190" s="133">
        <f t="shared" si="617"/>
        <v>0.278354382893585</v>
      </c>
      <c r="CK190" s="133">
        <f t="shared" si="617"/>
        <v>0.30713280150164241</v>
      </c>
      <c r="CL190" s="133">
        <f t="shared" si="617"/>
        <v>0.32826036057129476</v>
      </c>
      <c r="CM190" s="133">
        <f t="shared" si="617"/>
        <v>0.58681408681408687</v>
      </c>
      <c r="CN190" s="133">
        <f t="shared" si="617"/>
        <v>0.31505972696245732</v>
      </c>
      <c r="CO190" s="133">
        <f t="shared" si="617"/>
        <v>0.31105516136415656</v>
      </c>
      <c r="CP190" s="133">
        <f t="shared" si="617"/>
        <v>0.30193961207758446</v>
      </c>
      <c r="CQ190" s="133">
        <f t="shared" si="617"/>
        <v>0.30458970792767731</v>
      </c>
      <c r="CR190" s="133">
        <f t="shared" si="617"/>
        <v>0.32036713286713286</v>
      </c>
      <c r="CS190" s="133">
        <f t="shared" si="617"/>
        <v>0.35182849936948296</v>
      </c>
      <c r="CT190" s="133">
        <f t="shared" si="613"/>
        <v>0.35182849936948296</v>
      </c>
      <c r="CU190" s="133">
        <f t="shared" si="610"/>
        <v>0.35182849936948296</v>
      </c>
      <c r="CV190" s="133">
        <f t="shared" si="610"/>
        <v>0.35182849936948296</v>
      </c>
      <c r="CW190" s="133">
        <f t="shared" si="610"/>
        <v>0.35182849936948296</v>
      </c>
      <c r="CX190" s="133">
        <f t="shared" si="610"/>
        <v>0.35182849936948296</v>
      </c>
      <c r="CY190" s="133">
        <f t="shared" si="610"/>
        <v>0.35182849936948296</v>
      </c>
      <c r="CZ190" s="133">
        <f t="shared" si="610"/>
        <v>0.35182849936948296</v>
      </c>
      <c r="DA190" s="133">
        <f t="shared" si="610"/>
        <v>0.35182849936948296</v>
      </c>
      <c r="DB190" s="133">
        <f t="shared" si="610"/>
        <v>0.35182849936948296</v>
      </c>
      <c r="DC190" s="133">
        <f t="shared" si="610"/>
        <v>0.35182849936948296</v>
      </c>
      <c r="DD190" s="133">
        <f t="shared" si="610"/>
        <v>0.35182849936948296</v>
      </c>
      <c r="DE190" s="133">
        <f t="shared" si="610"/>
        <v>0.35182849936948296</v>
      </c>
      <c r="DF190" s="134">
        <f t="shared" si="607"/>
        <v>0.35182849936948296</v>
      </c>
      <c r="DG190" s="133">
        <f t="shared" si="610"/>
        <v>0.35182849936948296</v>
      </c>
      <c r="DH190" s="133">
        <f t="shared" si="610"/>
        <v>0.35182849936948296</v>
      </c>
      <c r="DI190" s="133">
        <f t="shared" si="610"/>
        <v>0.35182849936948296</v>
      </c>
      <c r="DJ190" s="133">
        <f t="shared" si="610"/>
        <v>0.35182849936948296</v>
      </c>
      <c r="DK190" s="133">
        <f t="shared" si="610"/>
        <v>0.35182849936948296</v>
      </c>
      <c r="DL190" s="133">
        <f t="shared" si="610"/>
        <v>0.35182849936948296</v>
      </c>
      <c r="DM190" s="133">
        <f t="shared" si="610"/>
        <v>0.35182849936948296</v>
      </c>
      <c r="DN190" s="133">
        <f t="shared" si="610"/>
        <v>0.35182849936948296</v>
      </c>
      <c r="DO190" s="133">
        <f t="shared" si="610"/>
        <v>0.35182849936948296</v>
      </c>
      <c r="DP190" s="133">
        <f t="shared" si="610"/>
        <v>0.35182849936948296</v>
      </c>
      <c r="DQ190" s="133">
        <f t="shared" si="610"/>
        <v>0.35182849936948296</v>
      </c>
      <c r="DR190" s="133">
        <f t="shared" si="592"/>
        <v>0.35182849936948296</v>
      </c>
      <c r="DS190" s="133">
        <f t="shared" si="593"/>
        <v>0.35182849936948296</v>
      </c>
      <c r="DT190" s="133">
        <f t="shared" si="594"/>
        <v>0.35182849936948296</v>
      </c>
      <c r="DU190" s="133">
        <f t="shared" si="595"/>
        <v>0.35182849936948296</v>
      </c>
      <c r="DV190" s="133">
        <f t="shared" si="596"/>
        <v>0.35182849936948296</v>
      </c>
      <c r="DW190" s="133">
        <f t="shared" si="597"/>
        <v>0.35182849936948296</v>
      </c>
      <c r="DX190" s="133">
        <f t="shared" si="598"/>
        <v>0.35182849936948296</v>
      </c>
      <c r="DY190" s="133">
        <f t="shared" si="599"/>
        <v>0.35182849936948296</v>
      </c>
      <c r="DZ190" s="133">
        <f t="shared" si="600"/>
        <v>0.35182849936948296</v>
      </c>
      <c r="EA190" s="133">
        <f t="shared" si="601"/>
        <v>0.35182849936948296</v>
      </c>
      <c r="EB190" s="133">
        <f t="shared" si="602"/>
        <v>0.35182849936948296</v>
      </c>
      <c r="EC190" s="133">
        <f t="shared" si="603"/>
        <v>0.35182849936948296</v>
      </c>
      <c r="ED190" s="113" t="s">
        <v>1</v>
      </c>
    </row>
    <row r="191" spans="1:134" x14ac:dyDescent="0.2">
      <c r="A191" s="707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  <c r="AY191" s="133"/>
      <c r="AZ191" s="133"/>
      <c r="BA191" s="133"/>
      <c r="BB191" s="133"/>
      <c r="BC191" s="133"/>
      <c r="BD191" s="133"/>
      <c r="BE191" s="133"/>
      <c r="BF191" s="133"/>
      <c r="BG191" s="133"/>
      <c r="BH191" s="133"/>
      <c r="BI191" s="133"/>
      <c r="BJ191" s="133"/>
      <c r="BK191" s="133"/>
      <c r="BL191" s="133"/>
      <c r="BM191" s="133"/>
      <c r="BN191" s="133"/>
      <c r="BO191" s="133"/>
      <c r="BP191" s="133"/>
      <c r="BQ191" s="133"/>
      <c r="BR191" s="133"/>
      <c r="BS191" s="133"/>
      <c r="BT191" s="133"/>
      <c r="BU191" s="133"/>
      <c r="BV191" s="133"/>
      <c r="BW191" s="133"/>
      <c r="BX191" s="133"/>
      <c r="BY191" s="133"/>
      <c r="BZ191" s="133"/>
      <c r="CA191" s="133"/>
      <c r="CB191" s="133"/>
      <c r="CC191" s="133"/>
      <c r="CD191" s="133"/>
      <c r="CE191" s="133"/>
      <c r="CF191" s="133"/>
      <c r="CG191" s="133"/>
      <c r="CH191" s="133"/>
      <c r="CI191" s="133"/>
      <c r="CJ191" s="133"/>
      <c r="CK191" s="133"/>
      <c r="CL191" s="133"/>
      <c r="CM191" s="133"/>
      <c r="CN191" s="133"/>
      <c r="CO191" s="133"/>
      <c r="CP191" s="133"/>
      <c r="CQ191" s="133"/>
      <c r="CR191" s="133"/>
      <c r="CS191" s="133"/>
      <c r="CT191" s="133"/>
      <c r="CU191" s="133"/>
      <c r="CV191" s="133"/>
      <c r="CW191" s="133"/>
      <c r="CX191" s="133"/>
      <c r="CY191" s="133"/>
      <c r="CZ191" s="133"/>
      <c r="DA191" s="133"/>
      <c r="DB191" s="133"/>
      <c r="DC191" s="133"/>
      <c r="DD191" s="133"/>
      <c r="DE191" s="133"/>
      <c r="DF191" s="133"/>
      <c r="DG191" s="133"/>
      <c r="DH191" s="133"/>
      <c r="DI191" s="133"/>
      <c r="DJ191" s="133"/>
      <c r="DK191" s="133"/>
      <c r="DL191" s="133"/>
      <c r="DM191" s="133"/>
      <c r="DN191" s="133"/>
      <c r="DO191" s="133"/>
      <c r="DP191" s="133"/>
      <c r="DQ191" s="133"/>
      <c r="DR191" s="115"/>
      <c r="DS191" s="115"/>
      <c r="DT191" s="115"/>
      <c r="DU191" s="115"/>
      <c r="DV191" s="115"/>
      <c r="DW191" s="115"/>
      <c r="DX191" s="115"/>
      <c r="DY191" s="115"/>
      <c r="DZ191" s="115"/>
      <c r="EA191" s="115"/>
      <c r="EB191" s="115"/>
      <c r="EC191" s="645"/>
      <c r="ED191" s="113" t="s">
        <v>1</v>
      </c>
    </row>
    <row r="192" spans="1:134" x14ac:dyDescent="0.2">
      <c r="A192" s="707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  <c r="AX192" s="133"/>
      <c r="AY192" s="133"/>
      <c r="AZ192" s="133"/>
      <c r="BA192" s="133"/>
      <c r="BB192" s="133"/>
      <c r="BC192" s="133"/>
      <c r="BD192" s="133"/>
      <c r="BE192" s="133"/>
      <c r="BF192" s="133"/>
      <c r="BG192" s="133"/>
      <c r="BH192" s="133"/>
      <c r="BI192" s="133"/>
      <c r="BJ192" s="133"/>
      <c r="BK192" s="133"/>
      <c r="BL192" s="133"/>
      <c r="BM192" s="133"/>
      <c r="BN192" s="133"/>
      <c r="BO192" s="133"/>
      <c r="BP192" s="133"/>
      <c r="BQ192" s="133"/>
      <c r="BR192" s="133"/>
      <c r="BS192" s="133"/>
      <c r="BT192" s="133"/>
      <c r="BU192" s="133"/>
      <c r="BV192" s="133"/>
      <c r="BW192" s="133"/>
      <c r="BX192" s="133"/>
      <c r="BY192" s="133"/>
      <c r="BZ192" s="133"/>
      <c r="CA192" s="133"/>
      <c r="CB192" s="133"/>
      <c r="CC192" s="133"/>
      <c r="CD192" s="133"/>
      <c r="CE192" s="133"/>
      <c r="CF192" s="133"/>
      <c r="CG192" s="133"/>
      <c r="CH192" s="133"/>
      <c r="CI192" s="133"/>
      <c r="CJ192" s="133"/>
      <c r="CK192" s="133"/>
      <c r="CL192" s="133"/>
      <c r="CM192" s="133"/>
      <c r="CN192" s="133"/>
      <c r="CO192" s="133"/>
      <c r="CP192" s="133"/>
      <c r="CQ192" s="133"/>
      <c r="CR192" s="133"/>
      <c r="CS192" s="133"/>
      <c r="CT192" s="133"/>
      <c r="CU192" s="133"/>
      <c r="CV192" s="133"/>
      <c r="CW192" s="133"/>
      <c r="CX192" s="133"/>
      <c r="CY192" s="133"/>
      <c r="CZ192" s="133"/>
      <c r="DA192" s="133"/>
      <c r="DB192" s="133"/>
      <c r="DC192" s="133"/>
      <c r="DD192" s="133"/>
      <c r="DE192" s="133"/>
      <c r="DF192" s="133"/>
      <c r="DG192" s="133"/>
      <c r="DH192" s="133"/>
      <c r="DI192" s="133"/>
      <c r="DJ192" s="133"/>
      <c r="DK192" s="133"/>
      <c r="DL192" s="133"/>
      <c r="DM192" s="133"/>
      <c r="DN192" s="133"/>
      <c r="DO192" s="133"/>
      <c r="DP192" s="133"/>
      <c r="DQ192" s="133"/>
      <c r="DR192" s="115"/>
      <c r="DS192" s="115"/>
      <c r="DT192" s="115"/>
      <c r="DU192" s="115"/>
      <c r="DV192" s="115"/>
      <c r="DW192" s="115"/>
      <c r="DX192" s="115"/>
      <c r="DY192" s="115"/>
      <c r="DZ192" s="115"/>
      <c r="EA192" s="115"/>
      <c r="EB192" s="115"/>
      <c r="EC192" s="645"/>
      <c r="ED192" s="113" t="s">
        <v>1</v>
      </c>
    </row>
    <row r="193" spans="1:134" x14ac:dyDescent="0.2">
      <c r="A193" s="707" t="s">
        <v>138</v>
      </c>
      <c r="B193" s="134">
        <f>IFERROR(B181/B160,0)</f>
        <v>0</v>
      </c>
      <c r="C193" s="134">
        <f t="shared" ref="C193:BN193" si="618">IFERROR(C181/C160,0)</f>
        <v>0</v>
      </c>
      <c r="D193" s="134">
        <f t="shared" si="618"/>
        <v>0</v>
      </c>
      <c r="E193" s="134">
        <f t="shared" si="618"/>
        <v>0</v>
      </c>
      <c r="F193" s="134">
        <f t="shared" si="618"/>
        <v>0</v>
      </c>
      <c r="G193" s="134">
        <f t="shared" si="618"/>
        <v>0</v>
      </c>
      <c r="H193" s="134">
        <f t="shared" si="618"/>
        <v>0</v>
      </c>
      <c r="I193" s="134">
        <f t="shared" si="618"/>
        <v>0</v>
      </c>
      <c r="J193" s="134">
        <f t="shared" si="618"/>
        <v>0</v>
      </c>
      <c r="K193" s="134">
        <f t="shared" si="618"/>
        <v>0</v>
      </c>
      <c r="L193" s="134">
        <f t="shared" si="618"/>
        <v>2.2624434389140271E-2</v>
      </c>
      <c r="M193" s="134">
        <f t="shared" si="618"/>
        <v>2.3405500292568754E-3</v>
      </c>
      <c r="N193" s="134">
        <f t="shared" si="618"/>
        <v>0</v>
      </c>
      <c r="O193" s="134">
        <f t="shared" si="618"/>
        <v>1.3020833333333333E-3</v>
      </c>
      <c r="P193" s="134">
        <f t="shared" si="618"/>
        <v>4.0828402366863907E-2</v>
      </c>
      <c r="Q193" s="134">
        <f t="shared" si="618"/>
        <v>9.8039215686274508E-3</v>
      </c>
      <c r="R193" s="134">
        <f t="shared" si="618"/>
        <v>4.832585433206766E-3</v>
      </c>
      <c r="S193" s="134">
        <f t="shared" si="618"/>
        <v>8.0714106110133271E-2</v>
      </c>
      <c r="T193" s="134">
        <f t="shared" si="618"/>
        <v>8.513225904530252E-3</v>
      </c>
      <c r="U193" s="134">
        <f t="shared" si="618"/>
        <v>0.22208281053952322</v>
      </c>
      <c r="V193" s="134">
        <f t="shared" si="618"/>
        <v>7.0996147495872311E-2</v>
      </c>
      <c r="W193" s="134">
        <f t="shared" si="618"/>
        <v>8.4507042253521125E-2</v>
      </c>
      <c r="X193" s="134">
        <f t="shared" si="618"/>
        <v>0.89207048458149785</v>
      </c>
      <c r="Y193" s="134">
        <f t="shared" si="618"/>
        <v>0.3341266063779153</v>
      </c>
      <c r="Z193" s="134">
        <f t="shared" si="618"/>
        <v>0</v>
      </c>
      <c r="AA193" s="134">
        <f t="shared" si="618"/>
        <v>0.22687927107061504</v>
      </c>
      <c r="AB193" s="134">
        <f t="shared" si="618"/>
        <v>0.37422360248447206</v>
      </c>
      <c r="AC193" s="134">
        <f t="shared" si="618"/>
        <v>0.3543307086614173</v>
      </c>
      <c r="AD193" s="134">
        <f t="shared" si="618"/>
        <v>0.36299292214357937</v>
      </c>
      <c r="AE193" s="134">
        <f t="shared" si="618"/>
        <v>0.3181179775280899</v>
      </c>
      <c r="AF193" s="134">
        <f t="shared" si="618"/>
        <v>0.31411359724612736</v>
      </c>
      <c r="AG193" s="134">
        <f t="shared" si="618"/>
        <v>0.25012531328320803</v>
      </c>
      <c r="AH193" s="134">
        <f t="shared" si="618"/>
        <v>0.28747686613201728</v>
      </c>
      <c r="AI193" s="134">
        <f t="shared" si="618"/>
        <v>0.34909502262443437</v>
      </c>
      <c r="AJ193" s="134">
        <f t="shared" si="618"/>
        <v>0.42673921492421296</v>
      </c>
      <c r="AK193" s="134">
        <f t="shared" si="618"/>
        <v>0.46904761904761905</v>
      </c>
      <c r="AL193" s="134">
        <f t="shared" si="618"/>
        <v>0.3188405797101449</v>
      </c>
      <c r="AM193" s="134">
        <f t="shared" si="618"/>
        <v>0.28373450036469733</v>
      </c>
      <c r="AN193" s="134">
        <f t="shared" si="618"/>
        <v>0.26287395782246198</v>
      </c>
      <c r="AO193" s="134">
        <f t="shared" si="618"/>
        <v>0.35129191863661352</v>
      </c>
      <c r="AP193" s="134">
        <f t="shared" si="618"/>
        <v>0.3856837606837607</v>
      </c>
      <c r="AQ193" s="134">
        <f t="shared" si="618"/>
        <v>0.37005649717514122</v>
      </c>
      <c r="AR193" s="134">
        <f t="shared" si="618"/>
        <v>0.36799999999999999</v>
      </c>
      <c r="AS193" s="134">
        <f t="shared" si="618"/>
        <v>0.30923076923076925</v>
      </c>
      <c r="AT193" s="134">
        <f t="shared" si="618"/>
        <v>0.41201264488935724</v>
      </c>
      <c r="AU193" s="134">
        <f t="shared" si="618"/>
        <v>0.42234141791044777</v>
      </c>
      <c r="AV193" s="134">
        <f t="shared" si="618"/>
        <v>0.4419626510435738</v>
      </c>
      <c r="AW193" s="134">
        <f t="shared" si="618"/>
        <v>0.49460431654676257</v>
      </c>
      <c r="AX193" s="134">
        <f t="shared" si="618"/>
        <v>0.42448330683624802</v>
      </c>
      <c r="AY193" s="134">
        <f t="shared" si="618"/>
        <v>0.55179982440737485</v>
      </c>
      <c r="AZ193" s="134">
        <f t="shared" si="618"/>
        <v>0.53417266187050361</v>
      </c>
      <c r="BA193" s="134">
        <f t="shared" si="618"/>
        <v>0.19872476089266738</v>
      </c>
      <c r="BB193" s="134">
        <f t="shared" si="618"/>
        <v>0.25969447708578142</v>
      </c>
      <c r="BC193" s="134">
        <f t="shared" si="618"/>
        <v>0.20145903479236812</v>
      </c>
      <c r="BD193" s="134">
        <f t="shared" si="618"/>
        <v>0.24079189686924493</v>
      </c>
      <c r="BE193" s="134">
        <f t="shared" si="618"/>
        <v>0.39198113207547169</v>
      </c>
      <c r="BF193" s="134">
        <f t="shared" si="618"/>
        <v>0.45292766934557982</v>
      </c>
      <c r="BG193" s="134">
        <f t="shared" si="618"/>
        <v>0.373</v>
      </c>
      <c r="BH193" s="134">
        <f t="shared" si="618"/>
        <v>0.20909090909090908</v>
      </c>
      <c r="BI193" s="134">
        <f t="shared" si="618"/>
        <v>0.26822157434402333</v>
      </c>
      <c r="BJ193" s="134">
        <f t="shared" si="618"/>
        <v>0.24906367041198502</v>
      </c>
      <c r="BK193" s="134">
        <f t="shared" si="618"/>
        <v>0</v>
      </c>
      <c r="BL193" s="134">
        <f t="shared" si="618"/>
        <v>0</v>
      </c>
      <c r="BM193" s="134">
        <f t="shared" si="618"/>
        <v>0</v>
      </c>
      <c r="BN193" s="134">
        <f t="shared" si="618"/>
        <v>0</v>
      </c>
      <c r="BO193" s="134">
        <f t="shared" ref="BO193:CS193" si="619">IFERROR(BO181/BO160,0)</f>
        <v>0</v>
      </c>
      <c r="BP193" s="134">
        <f t="shared" si="619"/>
        <v>0</v>
      </c>
      <c r="BQ193" s="134">
        <f t="shared" si="619"/>
        <v>0</v>
      </c>
      <c r="BR193" s="134">
        <f t="shared" si="619"/>
        <v>0</v>
      </c>
      <c r="BS193" s="134">
        <f t="shared" si="619"/>
        <v>0</v>
      </c>
      <c r="BT193" s="134">
        <f t="shared" si="619"/>
        <v>0</v>
      </c>
      <c r="BU193" s="134">
        <f t="shared" si="619"/>
        <v>0</v>
      </c>
      <c r="BV193" s="134">
        <f t="shared" si="619"/>
        <v>0</v>
      </c>
      <c r="BW193" s="134">
        <f t="shared" si="619"/>
        <v>0</v>
      </c>
      <c r="BX193" s="134">
        <f t="shared" si="619"/>
        <v>0</v>
      </c>
      <c r="BY193" s="134">
        <f t="shared" si="619"/>
        <v>0</v>
      </c>
      <c r="BZ193" s="134">
        <f t="shared" si="619"/>
        <v>0</v>
      </c>
      <c r="CA193" s="134">
        <f t="shared" si="619"/>
        <v>0</v>
      </c>
      <c r="CB193" s="134">
        <f t="shared" si="619"/>
        <v>0</v>
      </c>
      <c r="CC193" s="134">
        <f t="shared" si="619"/>
        <v>0</v>
      </c>
      <c r="CD193" s="134">
        <f t="shared" si="619"/>
        <v>0</v>
      </c>
      <c r="CE193" s="134">
        <f t="shared" si="619"/>
        <v>0</v>
      </c>
      <c r="CF193" s="134">
        <f t="shared" si="619"/>
        <v>0</v>
      </c>
      <c r="CG193" s="134">
        <f t="shared" si="619"/>
        <v>0</v>
      </c>
      <c r="CH193" s="134">
        <f t="shared" si="619"/>
        <v>0</v>
      </c>
      <c r="CI193" s="134">
        <f t="shared" si="619"/>
        <v>0</v>
      </c>
      <c r="CJ193" s="134">
        <f t="shared" si="619"/>
        <v>0</v>
      </c>
      <c r="CK193" s="134">
        <f t="shared" si="619"/>
        <v>0</v>
      </c>
      <c r="CL193" s="134">
        <f t="shared" si="619"/>
        <v>0</v>
      </c>
      <c r="CM193" s="134">
        <f t="shared" si="619"/>
        <v>0</v>
      </c>
      <c r="CN193" s="134">
        <f t="shared" si="619"/>
        <v>0</v>
      </c>
      <c r="CO193" s="134">
        <f t="shared" si="619"/>
        <v>0</v>
      </c>
      <c r="CP193" s="134">
        <f t="shared" si="619"/>
        <v>0</v>
      </c>
      <c r="CQ193" s="134">
        <f t="shared" si="619"/>
        <v>0</v>
      </c>
      <c r="CR193" s="134">
        <f t="shared" si="619"/>
        <v>0</v>
      </c>
      <c r="CS193" s="134">
        <f t="shared" si="619"/>
        <v>0</v>
      </c>
      <c r="CT193" s="134">
        <f>CS193</f>
        <v>0</v>
      </c>
      <c r="CU193" s="134">
        <f t="shared" ref="CU193:DQ193" si="620">CT193</f>
        <v>0</v>
      </c>
      <c r="CV193" s="134">
        <f t="shared" si="620"/>
        <v>0</v>
      </c>
      <c r="CW193" s="134">
        <f t="shared" si="620"/>
        <v>0</v>
      </c>
      <c r="CX193" s="134">
        <f t="shared" si="620"/>
        <v>0</v>
      </c>
      <c r="CY193" s="134">
        <f t="shared" si="620"/>
        <v>0</v>
      </c>
      <c r="CZ193" s="134">
        <f t="shared" si="620"/>
        <v>0</v>
      </c>
      <c r="DA193" s="134">
        <f t="shared" si="620"/>
        <v>0</v>
      </c>
      <c r="DB193" s="134">
        <f t="shared" si="620"/>
        <v>0</v>
      </c>
      <c r="DC193" s="134">
        <f t="shared" si="620"/>
        <v>0</v>
      </c>
      <c r="DD193" s="134">
        <f t="shared" si="620"/>
        <v>0</v>
      </c>
      <c r="DE193" s="134">
        <f t="shared" si="620"/>
        <v>0</v>
      </c>
      <c r="DF193" s="134">
        <f t="shared" si="620"/>
        <v>0</v>
      </c>
      <c r="DG193" s="134">
        <f t="shared" si="620"/>
        <v>0</v>
      </c>
      <c r="DH193" s="134">
        <f t="shared" si="620"/>
        <v>0</v>
      </c>
      <c r="DI193" s="134">
        <f t="shared" si="620"/>
        <v>0</v>
      </c>
      <c r="DJ193" s="134">
        <f t="shared" si="620"/>
        <v>0</v>
      </c>
      <c r="DK193" s="134">
        <f t="shared" si="620"/>
        <v>0</v>
      </c>
      <c r="DL193" s="134">
        <f t="shared" si="620"/>
        <v>0</v>
      </c>
      <c r="DM193" s="134">
        <f t="shared" si="620"/>
        <v>0</v>
      </c>
      <c r="DN193" s="134">
        <f t="shared" si="620"/>
        <v>0</v>
      </c>
      <c r="DO193" s="134">
        <f t="shared" si="620"/>
        <v>0</v>
      </c>
      <c r="DP193" s="134">
        <f t="shared" si="620"/>
        <v>0</v>
      </c>
      <c r="DQ193" s="134">
        <f t="shared" si="620"/>
        <v>0</v>
      </c>
      <c r="DR193" s="134">
        <f t="shared" ref="DR193" si="621">DQ193</f>
        <v>0</v>
      </c>
      <c r="DS193" s="134">
        <f t="shared" ref="DS193" si="622">DR193</f>
        <v>0</v>
      </c>
      <c r="DT193" s="134">
        <f t="shared" ref="DT193" si="623">DS193</f>
        <v>0</v>
      </c>
      <c r="DU193" s="134">
        <f t="shared" ref="DU193" si="624">DT193</f>
        <v>0</v>
      </c>
      <c r="DV193" s="134">
        <f t="shared" ref="DV193" si="625">DU193</f>
        <v>0</v>
      </c>
      <c r="DW193" s="134">
        <f t="shared" ref="DW193" si="626">DV193</f>
        <v>0</v>
      </c>
      <c r="DX193" s="134">
        <f t="shared" ref="DX193" si="627">DW193</f>
        <v>0</v>
      </c>
      <c r="DY193" s="134">
        <f t="shared" ref="DY193" si="628">DX193</f>
        <v>0</v>
      </c>
      <c r="DZ193" s="134">
        <f t="shared" ref="DZ193" si="629">DY193</f>
        <v>0</v>
      </c>
      <c r="EA193" s="134">
        <f t="shared" ref="EA193" si="630">DZ193</f>
        <v>0</v>
      </c>
      <c r="EB193" s="134">
        <f t="shared" ref="EB193" si="631">EA193</f>
        <v>0</v>
      </c>
      <c r="EC193" s="134">
        <f t="shared" ref="EC193" si="632">EB193</f>
        <v>0</v>
      </c>
      <c r="ED193" s="113" t="s">
        <v>1</v>
      </c>
    </row>
    <row r="194" spans="1:134" x14ac:dyDescent="0.2">
      <c r="A194" s="698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  <c r="AH194" s="129"/>
      <c r="AI194" s="129"/>
      <c r="AJ194" s="129"/>
      <c r="AK194" s="129"/>
      <c r="AL194" s="133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  <c r="AY194" s="133"/>
      <c r="AZ194" s="133"/>
      <c r="BA194" s="133"/>
      <c r="BB194" s="133"/>
      <c r="BC194" s="133"/>
      <c r="BD194" s="133"/>
      <c r="BE194" s="133"/>
      <c r="BF194" s="133"/>
      <c r="BG194" s="133"/>
      <c r="BH194" s="133"/>
      <c r="BI194" s="133"/>
      <c r="BJ194" s="133"/>
      <c r="BK194" s="133"/>
      <c r="BL194" s="133"/>
      <c r="BM194" s="133"/>
      <c r="BN194" s="133"/>
      <c r="BO194" s="133"/>
      <c r="BP194" s="133"/>
      <c r="BQ194" s="133"/>
      <c r="BR194" s="133"/>
      <c r="BS194" s="133"/>
      <c r="BT194" s="133"/>
      <c r="BU194" s="133"/>
      <c r="BV194" s="133"/>
      <c r="BW194" s="133"/>
      <c r="BX194" s="133"/>
      <c r="BY194" s="133"/>
      <c r="BZ194" s="133"/>
      <c r="CA194" s="133"/>
      <c r="CB194" s="133"/>
      <c r="CC194" s="133"/>
      <c r="CD194" s="133"/>
      <c r="CE194" s="133"/>
      <c r="CF194" s="133"/>
      <c r="CG194" s="133"/>
      <c r="CH194" s="133"/>
      <c r="CI194" s="133"/>
      <c r="CJ194" s="133"/>
      <c r="CK194" s="133"/>
      <c r="CL194" s="133"/>
      <c r="CM194" s="133"/>
      <c r="CN194" s="133"/>
      <c r="CO194" s="133"/>
      <c r="CP194" s="133"/>
      <c r="CQ194" s="133"/>
      <c r="CR194" s="133"/>
      <c r="CS194" s="133"/>
      <c r="CT194" s="133"/>
      <c r="CU194" s="133"/>
      <c r="CV194" s="133"/>
      <c r="CW194" s="133"/>
      <c r="CX194" s="133"/>
      <c r="CY194" s="133"/>
      <c r="CZ194" s="133"/>
      <c r="DA194" s="133"/>
      <c r="DB194" s="133"/>
      <c r="DC194" s="133"/>
      <c r="DD194" s="133"/>
      <c r="DE194" s="133"/>
      <c r="DF194" s="133"/>
      <c r="DG194" s="133"/>
      <c r="DH194" s="133"/>
      <c r="DI194" s="133"/>
      <c r="DJ194" s="133"/>
      <c r="DK194" s="133"/>
      <c r="DL194" s="133"/>
      <c r="DM194" s="133"/>
      <c r="DN194" s="133"/>
      <c r="DO194" s="133"/>
      <c r="DP194" s="133"/>
      <c r="DQ194" s="133"/>
      <c r="DR194" s="115"/>
      <c r="DS194" s="115"/>
      <c r="DT194" s="115"/>
      <c r="DU194" s="115"/>
      <c r="DV194" s="115"/>
      <c r="DW194" s="115"/>
      <c r="DX194" s="115"/>
      <c r="DY194" s="115"/>
      <c r="DZ194" s="115"/>
      <c r="EA194" s="115"/>
      <c r="EB194" s="115"/>
      <c r="EC194" s="645"/>
      <c r="ED194" s="113" t="s">
        <v>1</v>
      </c>
    </row>
    <row r="195" spans="1:134" x14ac:dyDescent="0.2">
      <c r="A195" s="698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  <c r="AH195" s="129"/>
      <c r="AI195" s="129"/>
      <c r="AJ195" s="129"/>
      <c r="AK195" s="129"/>
      <c r="AL195" s="133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  <c r="AY195" s="133"/>
      <c r="AZ195" s="133"/>
      <c r="BA195" s="133"/>
      <c r="BB195" s="133"/>
      <c r="BC195" s="133"/>
      <c r="BD195" s="133"/>
      <c r="BE195" s="133"/>
      <c r="BF195" s="133"/>
      <c r="BG195" s="133"/>
      <c r="BH195" s="133"/>
      <c r="BI195" s="133"/>
      <c r="BJ195" s="133"/>
      <c r="BK195" s="133"/>
      <c r="BL195" s="133"/>
      <c r="BM195" s="133"/>
      <c r="BN195" s="133"/>
      <c r="BO195" s="133"/>
      <c r="BP195" s="133"/>
      <c r="BQ195" s="133"/>
      <c r="BR195" s="133"/>
      <c r="BS195" s="133"/>
      <c r="BT195" s="133"/>
      <c r="BU195" s="133"/>
      <c r="BV195" s="133"/>
      <c r="BW195" s="133"/>
      <c r="BX195" s="133"/>
      <c r="BY195" s="133"/>
      <c r="BZ195" s="133"/>
      <c r="CA195" s="133"/>
      <c r="CB195" s="133"/>
      <c r="CC195" s="133"/>
      <c r="CD195" s="133"/>
      <c r="CE195" s="133"/>
      <c r="CF195" s="133"/>
      <c r="CG195" s="133"/>
      <c r="CH195" s="133"/>
      <c r="CI195" s="133"/>
      <c r="CJ195" s="133"/>
      <c r="CK195" s="133"/>
      <c r="CL195" s="133"/>
      <c r="CM195" s="133"/>
      <c r="CN195" s="133"/>
      <c r="CO195" s="133"/>
      <c r="CP195" s="133"/>
      <c r="CQ195" s="133"/>
      <c r="CR195" s="133"/>
      <c r="CS195" s="133"/>
      <c r="CT195" s="133"/>
      <c r="CU195" s="133"/>
      <c r="CV195" s="133"/>
      <c r="CW195" s="133"/>
      <c r="CX195" s="133"/>
      <c r="CY195" s="133"/>
      <c r="CZ195" s="133"/>
      <c r="DA195" s="133"/>
      <c r="DB195" s="133"/>
      <c r="DC195" s="133"/>
      <c r="DD195" s="133"/>
      <c r="DE195" s="133"/>
      <c r="DF195" s="133"/>
      <c r="DG195" s="133"/>
      <c r="DH195" s="133"/>
      <c r="DI195" s="133"/>
      <c r="DJ195" s="133"/>
      <c r="DK195" s="133"/>
      <c r="DL195" s="133"/>
      <c r="DM195" s="133"/>
      <c r="DN195" s="133"/>
      <c r="DO195" s="133"/>
      <c r="DP195" s="133"/>
      <c r="DQ195" s="133"/>
      <c r="DR195" s="115"/>
      <c r="DS195" s="115"/>
      <c r="DT195" s="115"/>
      <c r="DU195" s="115"/>
      <c r="DV195" s="115"/>
      <c r="DW195" s="115"/>
      <c r="DX195" s="115"/>
      <c r="DY195" s="115"/>
      <c r="DZ195" s="115"/>
      <c r="EA195" s="115"/>
      <c r="EB195" s="115"/>
      <c r="EC195" s="645"/>
      <c r="ED195" s="113" t="s">
        <v>1</v>
      </c>
    </row>
    <row r="196" spans="1:134" x14ac:dyDescent="0.2">
      <c r="A196" s="700" t="s">
        <v>10</v>
      </c>
      <c r="B196" s="131">
        <f>SUM(B197:B198)</f>
        <v>0</v>
      </c>
      <c r="C196" s="131">
        <f t="shared" ref="C196:BN196" si="633">SUM(C197:C198)</f>
        <v>0</v>
      </c>
      <c r="D196" s="131">
        <f t="shared" si="633"/>
        <v>0</v>
      </c>
      <c r="E196" s="131">
        <f t="shared" si="633"/>
        <v>0</v>
      </c>
      <c r="F196" s="131">
        <f t="shared" si="633"/>
        <v>0</v>
      </c>
      <c r="G196" s="131">
        <f t="shared" si="633"/>
        <v>0</v>
      </c>
      <c r="H196" s="131">
        <f t="shared" si="633"/>
        <v>0</v>
      </c>
      <c r="I196" s="131">
        <f t="shared" si="633"/>
        <v>0</v>
      </c>
      <c r="J196" s="131">
        <f t="shared" si="633"/>
        <v>0</v>
      </c>
      <c r="K196" s="131">
        <f t="shared" si="633"/>
        <v>590804.63071428565</v>
      </c>
      <c r="L196" s="131">
        <f t="shared" si="633"/>
        <v>3720291.6507142857</v>
      </c>
      <c r="M196" s="131">
        <f t="shared" si="633"/>
        <v>20358415.859285716</v>
      </c>
      <c r="N196" s="131">
        <f t="shared" si="633"/>
        <v>26331762.631428573</v>
      </c>
      <c r="O196" s="131">
        <f t="shared" si="633"/>
        <v>28950126.864642859</v>
      </c>
      <c r="P196" s="131">
        <f t="shared" si="633"/>
        <v>18870655.975000001</v>
      </c>
      <c r="Q196" s="131">
        <f t="shared" si="633"/>
        <v>39430284.579642855</v>
      </c>
      <c r="R196" s="131">
        <f t="shared" si="633"/>
        <v>26372697.465714287</v>
      </c>
      <c r="S196" s="131">
        <f t="shared" si="633"/>
        <v>37725501.112857148</v>
      </c>
      <c r="T196" s="131">
        <f t="shared" si="633"/>
        <v>34298237.400357142</v>
      </c>
      <c r="U196" s="131">
        <f t="shared" si="633"/>
        <v>9814939.3428571429</v>
      </c>
      <c r="V196" s="131">
        <f t="shared" si="633"/>
        <v>17803179.905357141</v>
      </c>
      <c r="W196" s="131">
        <f t="shared" si="633"/>
        <v>24311757.121071428</v>
      </c>
      <c r="X196" s="131">
        <f t="shared" si="633"/>
        <v>908386.3764285706</v>
      </c>
      <c r="Y196" s="131">
        <f t="shared" si="633"/>
        <v>14527864.805357143</v>
      </c>
      <c r="Z196" s="131">
        <f t="shared" si="633"/>
        <v>-3340188</v>
      </c>
      <c r="AA196" s="131">
        <f t="shared" si="633"/>
        <v>20666366.739152543</v>
      </c>
      <c r="AB196" s="131">
        <f t="shared" si="633"/>
        <v>13943981</v>
      </c>
      <c r="AC196" s="131">
        <f t="shared" si="633"/>
        <v>9866739</v>
      </c>
      <c r="AD196" s="131">
        <f t="shared" si="633"/>
        <v>9189370</v>
      </c>
      <c r="AE196" s="131">
        <f t="shared" si="633"/>
        <v>11741190</v>
      </c>
      <c r="AF196" s="131">
        <f t="shared" si="633"/>
        <v>21282041</v>
      </c>
      <c r="AG196" s="131">
        <f t="shared" si="633"/>
        <v>17825655</v>
      </c>
      <c r="AH196" s="131">
        <f t="shared" si="633"/>
        <v>27460136.949999999</v>
      </c>
      <c r="AI196" s="131">
        <f t="shared" si="633"/>
        <v>32520153.350000001</v>
      </c>
      <c r="AJ196" s="131">
        <f t="shared" si="633"/>
        <v>19785675</v>
      </c>
      <c r="AK196" s="131">
        <f t="shared" si="633"/>
        <v>25071837</v>
      </c>
      <c r="AL196" s="131">
        <f t="shared" si="633"/>
        <v>18883096</v>
      </c>
      <c r="AM196" s="131">
        <f t="shared" si="633"/>
        <v>11861497.799999999</v>
      </c>
      <c r="AN196" s="131">
        <f t="shared" si="633"/>
        <v>18057508.850000042</v>
      </c>
      <c r="AO196" s="131">
        <f t="shared" si="633"/>
        <v>15513506</v>
      </c>
      <c r="AP196" s="131">
        <f t="shared" si="633"/>
        <v>9859090</v>
      </c>
      <c r="AQ196" s="131">
        <f t="shared" si="633"/>
        <v>12398823</v>
      </c>
      <c r="AR196" s="131">
        <f t="shared" si="633"/>
        <v>15484826.949999999</v>
      </c>
      <c r="AS196" s="131">
        <f t="shared" si="633"/>
        <v>36903559.950000003</v>
      </c>
      <c r="AT196" s="131">
        <f t="shared" si="633"/>
        <v>42482897</v>
      </c>
      <c r="AU196" s="131">
        <f t="shared" si="633"/>
        <v>49028541.829999998</v>
      </c>
      <c r="AV196" s="131">
        <f t="shared" si="633"/>
        <v>43145129</v>
      </c>
      <c r="AW196" s="131">
        <f t="shared" si="633"/>
        <v>23771694.199999999</v>
      </c>
      <c r="AX196" s="131">
        <f t="shared" si="633"/>
        <v>21497650.219999991</v>
      </c>
      <c r="AY196" s="131">
        <f t="shared" si="633"/>
        <v>30591918.119999997</v>
      </c>
      <c r="AZ196" s="131">
        <f t="shared" si="633"/>
        <v>43408149.700000003</v>
      </c>
      <c r="BA196" s="131">
        <f t="shared" si="633"/>
        <v>40187919.080000415</v>
      </c>
      <c r="BB196" s="131">
        <f t="shared" si="633"/>
        <v>28275052.460000094</v>
      </c>
      <c r="BC196" s="131">
        <f t="shared" si="633"/>
        <v>39258000.6300001</v>
      </c>
      <c r="BD196" s="131">
        <f t="shared" si="633"/>
        <v>68425967.910000175</v>
      </c>
      <c r="BE196" s="131">
        <f t="shared" si="633"/>
        <v>57689324.859999999</v>
      </c>
      <c r="BF196" s="131">
        <f t="shared" si="633"/>
        <v>49015703.230000228</v>
      </c>
      <c r="BG196" s="131">
        <f t="shared" si="633"/>
        <v>59074398.680000357</v>
      </c>
      <c r="BH196" s="131">
        <f t="shared" si="633"/>
        <v>88185123.210000247</v>
      </c>
      <c r="BI196" s="131">
        <f t="shared" si="633"/>
        <v>152973536.25000083</v>
      </c>
      <c r="BJ196" s="131">
        <f t="shared" si="633"/>
        <v>177174015.33940253</v>
      </c>
      <c r="BK196" s="131">
        <f t="shared" si="633"/>
        <v>157718791.54965979</v>
      </c>
      <c r="BL196" s="131">
        <f t="shared" si="633"/>
        <v>192604051.81638539</v>
      </c>
      <c r="BM196" s="131">
        <f t="shared" si="633"/>
        <v>134896928.34310046</v>
      </c>
      <c r="BN196" s="131">
        <f t="shared" si="633"/>
        <v>158219423.1749382</v>
      </c>
      <c r="BO196" s="131">
        <f t="shared" ref="BO196:DQ196" si="634">SUM(BO197:BO198)</f>
        <v>175665259.36695758</v>
      </c>
      <c r="BP196" s="131">
        <f t="shared" si="634"/>
        <v>276621197.60860538</v>
      </c>
      <c r="BQ196" s="131">
        <f t="shared" si="634"/>
        <v>215921783.32452267</v>
      </c>
      <c r="BR196" s="131">
        <f t="shared" si="634"/>
        <v>204095609.66502008</v>
      </c>
      <c r="BS196" s="131">
        <f t="shared" si="634"/>
        <v>208606599.41250107</v>
      </c>
      <c r="BT196" s="131">
        <f t="shared" si="634"/>
        <v>153567638.02271467</v>
      </c>
      <c r="BU196" s="131">
        <f t="shared" si="634"/>
        <v>217433306.31716239</v>
      </c>
      <c r="BV196" s="131">
        <f t="shared" si="634"/>
        <v>208026931.88635713</v>
      </c>
      <c r="BW196" s="131">
        <f t="shared" si="634"/>
        <v>225522037.91801453</v>
      </c>
      <c r="BX196" s="131">
        <f t="shared" si="634"/>
        <v>234565597.74187648</v>
      </c>
      <c r="BY196" s="131">
        <f t="shared" si="634"/>
        <v>245431234.54876578</v>
      </c>
      <c r="BZ196" s="131">
        <f t="shared" si="634"/>
        <v>231617640.59860653</v>
      </c>
      <c r="CA196" s="131">
        <f t="shared" si="634"/>
        <v>240294211.30664754</v>
      </c>
      <c r="CB196" s="131">
        <f t="shared" si="634"/>
        <v>258102547.49511218</v>
      </c>
      <c r="CC196" s="131">
        <f t="shared" si="634"/>
        <v>225238305.27306521</v>
      </c>
      <c r="CD196" s="131">
        <f t="shared" si="634"/>
        <v>268332201.02086401</v>
      </c>
      <c r="CE196" s="131">
        <f t="shared" si="634"/>
        <v>301525732.43045539</v>
      </c>
      <c r="CF196" s="131">
        <f t="shared" si="634"/>
        <v>289395326.84291881</v>
      </c>
      <c r="CG196" s="131">
        <f t="shared" si="634"/>
        <v>388927314.4395901</v>
      </c>
      <c r="CH196" s="131">
        <f t="shared" si="634"/>
        <v>333571207.37308317</v>
      </c>
      <c r="CI196" s="131">
        <f t="shared" si="634"/>
        <v>337590899.12831521</v>
      </c>
      <c r="CJ196" s="131">
        <f t="shared" si="634"/>
        <v>332283789.6635989</v>
      </c>
      <c r="CK196" s="131">
        <f t="shared" si="634"/>
        <v>348538492.32745653</v>
      </c>
      <c r="CL196" s="131">
        <f t="shared" si="634"/>
        <v>308891769.37999922</v>
      </c>
      <c r="CM196" s="131">
        <f t="shared" si="634"/>
        <v>390440128.82670391</v>
      </c>
      <c r="CN196" s="131">
        <f t="shared" si="634"/>
        <v>337191618.03749192</v>
      </c>
      <c r="CO196" s="131">
        <f t="shared" si="634"/>
        <v>333553337.40059996</v>
      </c>
      <c r="CP196" s="131">
        <f t="shared" si="634"/>
        <v>400565715.47499943</v>
      </c>
      <c r="CQ196" s="131">
        <f t="shared" si="634"/>
        <v>445854716.91063964</v>
      </c>
      <c r="CR196" s="131">
        <f t="shared" si="634"/>
        <v>359594206.56775951</v>
      </c>
      <c r="CS196" s="131">
        <f t="shared" si="634"/>
        <v>424940759.14144975</v>
      </c>
      <c r="CT196" s="131">
        <f t="shared" si="634"/>
        <v>401516159.84693146</v>
      </c>
      <c r="CU196" s="131">
        <f t="shared" si="634"/>
        <v>405602653.73516572</v>
      </c>
      <c r="CV196" s="131">
        <f t="shared" si="634"/>
        <v>405312488.48866391</v>
      </c>
      <c r="CW196" s="131">
        <f t="shared" si="634"/>
        <v>411430139.10241121</v>
      </c>
      <c r="CX196" s="131">
        <f t="shared" si="634"/>
        <v>387684949.76367664</v>
      </c>
      <c r="CY196" s="131">
        <f t="shared" si="634"/>
        <v>424100688.19965845</v>
      </c>
      <c r="CZ196" s="131">
        <f t="shared" si="634"/>
        <v>412373176.15354216</v>
      </c>
      <c r="DA196" s="131">
        <f t="shared" si="634"/>
        <v>413340393.64188164</v>
      </c>
      <c r="DB196" s="131">
        <f t="shared" si="634"/>
        <v>507378113.94568866</v>
      </c>
      <c r="DC196" s="131">
        <f t="shared" si="634"/>
        <v>546695504.84668899</v>
      </c>
      <c r="DD196" s="131">
        <f t="shared" si="634"/>
        <v>468689414.41210902</v>
      </c>
      <c r="DE196" s="131">
        <f t="shared" si="634"/>
        <v>506459257.33176613</v>
      </c>
      <c r="DF196" s="131">
        <f t="shared" si="634"/>
        <v>475595891.33869028</v>
      </c>
      <c r="DG196" s="131">
        <f t="shared" si="634"/>
        <v>480436343.34930384</v>
      </c>
      <c r="DH196" s="131">
        <f t="shared" si="634"/>
        <v>480092642.61482245</v>
      </c>
      <c r="DI196" s="131">
        <f t="shared" si="634"/>
        <v>487338999.76680607</v>
      </c>
      <c r="DJ196" s="131">
        <f t="shared" si="634"/>
        <v>459212822.99507499</v>
      </c>
      <c r="DK196" s="131">
        <f t="shared" si="634"/>
        <v>502347265.17249548</v>
      </c>
      <c r="DL196" s="131">
        <f t="shared" si="634"/>
        <v>488456027.1538707</v>
      </c>
      <c r="DM196" s="131">
        <f t="shared" si="634"/>
        <v>489601696.26880884</v>
      </c>
      <c r="DN196" s="131">
        <f t="shared" si="634"/>
        <v>600989375.96866822</v>
      </c>
      <c r="DO196" s="131">
        <f t="shared" si="634"/>
        <v>647560825.49090314</v>
      </c>
      <c r="DP196" s="131">
        <f t="shared" si="634"/>
        <v>555162611.3711431</v>
      </c>
      <c r="DQ196" s="131">
        <f t="shared" si="634"/>
        <v>599900990.30947697</v>
      </c>
      <c r="DR196" s="131">
        <f t="shared" ref="DR196:EC196" si="635">SUM(DR197:DR198)</f>
        <v>563343333.2906785</v>
      </c>
      <c r="DS196" s="131">
        <f t="shared" si="635"/>
        <v>569076848.69725037</v>
      </c>
      <c r="DT196" s="131">
        <f t="shared" si="635"/>
        <v>568669735.17725706</v>
      </c>
      <c r="DU196" s="131">
        <f t="shared" si="635"/>
        <v>577253045.2237817</v>
      </c>
      <c r="DV196" s="131">
        <f t="shared" si="635"/>
        <v>543937588.83766627</v>
      </c>
      <c r="DW196" s="131">
        <f t="shared" si="635"/>
        <v>595030335.59682083</v>
      </c>
      <c r="DX196" s="131">
        <f t="shared" si="635"/>
        <v>578576164.16375971</v>
      </c>
      <c r="DY196" s="131">
        <f t="shared" si="635"/>
        <v>579933209.2304039</v>
      </c>
      <c r="DZ196" s="131">
        <f t="shared" si="635"/>
        <v>711871915.8348875</v>
      </c>
      <c r="EA196" s="131">
        <f t="shared" si="635"/>
        <v>767035797.79397476</v>
      </c>
      <c r="EB196" s="131">
        <f t="shared" si="635"/>
        <v>657590113.169119</v>
      </c>
      <c r="EC196" s="131">
        <f t="shared" si="635"/>
        <v>710582723.02157545</v>
      </c>
      <c r="ED196" s="113" t="s">
        <v>1</v>
      </c>
    </row>
    <row r="197" spans="1:134" x14ac:dyDescent="0.2">
      <c r="A197" s="698" t="s">
        <v>132</v>
      </c>
      <c r="B197" s="129"/>
      <c r="C197" s="129"/>
      <c r="D197" s="129"/>
      <c r="E197" s="129"/>
      <c r="F197" s="129"/>
      <c r="G197" s="129"/>
      <c r="H197" s="129"/>
      <c r="I197" s="129"/>
      <c r="J197" s="129"/>
      <c r="K197" s="129">
        <v>0</v>
      </c>
      <c r="L197" s="129">
        <v>0</v>
      </c>
      <c r="M197" s="129">
        <v>0</v>
      </c>
      <c r="N197" s="129">
        <v>0</v>
      </c>
      <c r="O197" s="129">
        <v>0</v>
      </c>
      <c r="P197" s="129">
        <v>0</v>
      </c>
      <c r="Q197" s="129">
        <v>0</v>
      </c>
      <c r="R197" s="129">
        <v>0</v>
      </c>
      <c r="S197" s="129">
        <v>0</v>
      </c>
      <c r="T197" s="129">
        <v>0</v>
      </c>
      <c r="U197" s="129">
        <v>0</v>
      </c>
      <c r="V197" s="129">
        <v>0</v>
      </c>
      <c r="W197" s="129">
        <v>0</v>
      </c>
      <c r="X197" s="129">
        <v>0</v>
      </c>
      <c r="Y197" s="129">
        <v>0</v>
      </c>
      <c r="Z197" s="129">
        <v>0</v>
      </c>
      <c r="AA197" s="129">
        <v>957075</v>
      </c>
      <c r="AB197" s="129">
        <v>1048497</v>
      </c>
      <c r="AC197" s="129">
        <v>528633</v>
      </c>
      <c r="AD197" s="129">
        <v>484503</v>
      </c>
      <c r="AE197" s="129">
        <v>947524</v>
      </c>
      <c r="AF197" s="129">
        <v>1553299</v>
      </c>
      <c r="AG197" s="129">
        <v>875375.05</v>
      </c>
      <c r="AH197" s="129">
        <v>5210055</v>
      </c>
      <c r="AI197" s="129">
        <v>4209814</v>
      </c>
      <c r="AJ197" s="129">
        <v>3580322</v>
      </c>
      <c r="AK197" s="129">
        <v>5305430</v>
      </c>
      <c r="AL197" s="129">
        <v>3628333</v>
      </c>
      <c r="AM197" s="129">
        <v>3601018.7999999993</v>
      </c>
      <c r="AN197" s="129">
        <v>4987371.849999995</v>
      </c>
      <c r="AO197" s="129">
        <v>5535508</v>
      </c>
      <c r="AP197" s="129">
        <v>5441205</v>
      </c>
      <c r="AQ197" s="129">
        <v>6789495</v>
      </c>
      <c r="AR197" s="129">
        <v>3297591.95</v>
      </c>
      <c r="AS197" s="129">
        <v>13482543.949999999</v>
      </c>
      <c r="AT197" s="129">
        <v>14732941</v>
      </c>
      <c r="AU197" s="129">
        <v>22997769.830000002</v>
      </c>
      <c r="AV197" s="129">
        <v>24922919</v>
      </c>
      <c r="AW197" s="129">
        <v>19059824.199999999</v>
      </c>
      <c r="AX197" s="129">
        <v>18772448.219999991</v>
      </c>
      <c r="AY197" s="129">
        <v>23769192.119999997</v>
      </c>
      <c r="AZ197" s="129">
        <v>39261137.700000003</v>
      </c>
      <c r="BA197" s="129">
        <v>32635579.080000419</v>
      </c>
      <c r="BB197" s="129">
        <v>22934742.460000094</v>
      </c>
      <c r="BC197" s="129">
        <v>24460356.450000104</v>
      </c>
      <c r="BD197" s="129">
        <v>48848584.910000175</v>
      </c>
      <c r="BE197" s="129">
        <v>37829180.859999999</v>
      </c>
      <c r="BF197" s="129">
        <v>35444365.180000231</v>
      </c>
      <c r="BG197" s="129">
        <v>47069940.680000357</v>
      </c>
      <c r="BH197" s="129">
        <v>67753263.210000247</v>
      </c>
      <c r="BI197" s="129">
        <v>124838605.25000083</v>
      </c>
      <c r="BJ197" s="129">
        <v>160596772.33940253</v>
      </c>
      <c r="BK197" s="129">
        <v>159779888.54965979</v>
      </c>
      <c r="BL197" s="129">
        <v>192785307.81638539</v>
      </c>
      <c r="BM197" s="129">
        <v>134896928.34310046</v>
      </c>
      <c r="BN197" s="129">
        <v>158219423.1749382</v>
      </c>
      <c r="BO197" s="129">
        <v>175665259.36695758</v>
      </c>
      <c r="BP197" s="129">
        <v>276621197.60860538</v>
      </c>
      <c r="BQ197" s="129">
        <v>215921783.32452267</v>
      </c>
      <c r="BR197" s="129">
        <v>204095609.66502008</v>
      </c>
      <c r="BS197" s="129">
        <v>208606599.41250107</v>
      </c>
      <c r="BT197" s="129">
        <v>153567638.02271467</v>
      </c>
      <c r="BU197" s="129">
        <v>217433306.31716239</v>
      </c>
      <c r="BV197" s="129">
        <v>208026931.88635713</v>
      </c>
      <c r="BW197" s="129">
        <v>225522037.91801453</v>
      </c>
      <c r="BX197" s="129">
        <v>234565597.74187648</v>
      </c>
      <c r="BY197" s="129">
        <v>245431234.54876578</v>
      </c>
      <c r="BZ197" s="129">
        <v>231617640.59860653</v>
      </c>
      <c r="CA197" s="129">
        <v>240294211.30664754</v>
      </c>
      <c r="CB197" s="129">
        <v>258102547.49511218</v>
      </c>
      <c r="CC197" s="129">
        <v>225238305.27306521</v>
      </c>
      <c r="CD197" s="129">
        <v>268332201.02086401</v>
      </c>
      <c r="CE197" s="129">
        <v>301525732.43045539</v>
      </c>
      <c r="CF197" s="129">
        <v>289395326.84291881</v>
      </c>
      <c r="CG197" s="129">
        <v>388927314.4395901</v>
      </c>
      <c r="CH197" s="129">
        <v>333571207.37308317</v>
      </c>
      <c r="CI197" s="129">
        <v>337590899.12831521</v>
      </c>
      <c r="CJ197" s="129">
        <v>332283789.6635989</v>
      </c>
      <c r="CK197" s="129">
        <v>348538492.32745653</v>
      </c>
      <c r="CL197" s="129">
        <v>308891769.37999922</v>
      </c>
      <c r="CM197" s="129">
        <v>390440128.82670391</v>
      </c>
      <c r="CN197" s="129">
        <v>337191618.03749192</v>
      </c>
      <c r="CO197" s="129">
        <v>333553337.40059996</v>
      </c>
      <c r="CP197" s="129">
        <v>400565715.47499943</v>
      </c>
      <c r="CQ197" s="129">
        <v>445854716.91063964</v>
      </c>
      <c r="CR197" s="129">
        <v>359594206.56775951</v>
      </c>
      <c r="CS197" s="129">
        <v>424940759.14144975</v>
      </c>
      <c r="CT197" s="129">
        <f>CT151-CT168</f>
        <v>401516159.84693146</v>
      </c>
      <c r="CU197" s="129">
        <f t="shared" ref="CU197:DQ197" si="636">CU151-CU168</f>
        <v>405602653.73516572</v>
      </c>
      <c r="CV197" s="129">
        <f t="shared" si="636"/>
        <v>405312488.48866391</v>
      </c>
      <c r="CW197" s="129">
        <f t="shared" si="636"/>
        <v>411430139.10241121</v>
      </c>
      <c r="CX197" s="129">
        <f t="shared" si="636"/>
        <v>387684949.76367664</v>
      </c>
      <c r="CY197" s="129">
        <f t="shared" si="636"/>
        <v>424100688.19965845</v>
      </c>
      <c r="CZ197" s="129">
        <f t="shared" si="636"/>
        <v>412373176.15354216</v>
      </c>
      <c r="DA197" s="129">
        <f t="shared" si="636"/>
        <v>413340393.64188164</v>
      </c>
      <c r="DB197" s="129">
        <f t="shared" si="636"/>
        <v>507378113.94568866</v>
      </c>
      <c r="DC197" s="129">
        <f t="shared" si="636"/>
        <v>546695504.84668899</v>
      </c>
      <c r="DD197" s="129">
        <f t="shared" si="636"/>
        <v>468689414.41210902</v>
      </c>
      <c r="DE197" s="129">
        <f t="shared" si="636"/>
        <v>506459257.33176613</v>
      </c>
      <c r="DF197" s="129">
        <f t="shared" si="636"/>
        <v>475595891.33869028</v>
      </c>
      <c r="DG197" s="129">
        <f t="shared" si="636"/>
        <v>480436343.34930384</v>
      </c>
      <c r="DH197" s="129">
        <f t="shared" si="636"/>
        <v>480092642.61482245</v>
      </c>
      <c r="DI197" s="129">
        <f t="shared" si="636"/>
        <v>487338999.76680607</v>
      </c>
      <c r="DJ197" s="129">
        <f t="shared" si="636"/>
        <v>459212822.99507499</v>
      </c>
      <c r="DK197" s="129">
        <f t="shared" si="636"/>
        <v>502347265.17249548</v>
      </c>
      <c r="DL197" s="129">
        <f t="shared" si="636"/>
        <v>488456027.1538707</v>
      </c>
      <c r="DM197" s="129">
        <f t="shared" si="636"/>
        <v>489601696.26880884</v>
      </c>
      <c r="DN197" s="129">
        <f t="shared" si="636"/>
        <v>600989375.96866822</v>
      </c>
      <c r="DO197" s="129">
        <f t="shared" si="636"/>
        <v>647560825.49090314</v>
      </c>
      <c r="DP197" s="129">
        <f t="shared" si="636"/>
        <v>555162611.3711431</v>
      </c>
      <c r="DQ197" s="129">
        <f t="shared" si="636"/>
        <v>599900990.30947697</v>
      </c>
      <c r="DR197" s="129">
        <f t="shared" ref="DR197:EC197" si="637">DR151-DR168</f>
        <v>563343333.2906785</v>
      </c>
      <c r="DS197" s="129">
        <f t="shared" si="637"/>
        <v>569076848.69725037</v>
      </c>
      <c r="DT197" s="129">
        <f t="shared" si="637"/>
        <v>568669735.17725706</v>
      </c>
      <c r="DU197" s="129">
        <f t="shared" si="637"/>
        <v>577253045.2237817</v>
      </c>
      <c r="DV197" s="129">
        <f t="shared" si="637"/>
        <v>543937588.83766627</v>
      </c>
      <c r="DW197" s="129">
        <f t="shared" si="637"/>
        <v>595030335.59682083</v>
      </c>
      <c r="DX197" s="129">
        <f t="shared" si="637"/>
        <v>578576164.16375971</v>
      </c>
      <c r="DY197" s="129">
        <f t="shared" si="637"/>
        <v>579933209.2304039</v>
      </c>
      <c r="DZ197" s="129">
        <f t="shared" si="637"/>
        <v>711871915.8348875</v>
      </c>
      <c r="EA197" s="129">
        <f t="shared" si="637"/>
        <v>767035797.79397476</v>
      </c>
      <c r="EB197" s="129">
        <f t="shared" si="637"/>
        <v>657590113.169119</v>
      </c>
      <c r="EC197" s="129">
        <f t="shared" si="637"/>
        <v>710582723.02157545</v>
      </c>
      <c r="ED197" s="113" t="s">
        <v>1</v>
      </c>
    </row>
    <row r="198" spans="1:134" x14ac:dyDescent="0.2">
      <c r="A198" s="698" t="s">
        <v>133</v>
      </c>
      <c r="B198" s="129"/>
      <c r="C198" s="129"/>
      <c r="D198" s="129"/>
      <c r="E198" s="129"/>
      <c r="F198" s="129"/>
      <c r="G198" s="129"/>
      <c r="H198" s="129"/>
      <c r="I198" s="129"/>
      <c r="J198" s="129"/>
      <c r="K198" s="129">
        <v>590804.63071428565</v>
      </c>
      <c r="L198" s="129">
        <v>3720291.6507142857</v>
      </c>
      <c r="M198" s="129">
        <v>20358415.859285716</v>
      </c>
      <c r="N198" s="129">
        <v>26331762.631428573</v>
      </c>
      <c r="O198" s="129">
        <v>28950126.864642859</v>
      </c>
      <c r="P198" s="129">
        <v>18870655.975000001</v>
      </c>
      <c r="Q198" s="129">
        <v>39430284.579642855</v>
      </c>
      <c r="R198" s="129">
        <v>26372697.465714287</v>
      </c>
      <c r="S198" s="129">
        <v>37725501.112857148</v>
      </c>
      <c r="T198" s="129">
        <v>34298237.400357142</v>
      </c>
      <c r="U198" s="129">
        <v>9814939.3428571429</v>
      </c>
      <c r="V198" s="129">
        <v>17803179.905357141</v>
      </c>
      <c r="W198" s="129">
        <v>24311757.121071428</v>
      </c>
      <c r="X198" s="129">
        <v>908386.3764285706</v>
      </c>
      <c r="Y198" s="129">
        <v>14527864.805357143</v>
      </c>
      <c r="Z198" s="129">
        <v>-3340188</v>
      </c>
      <c r="AA198" s="129">
        <v>19709291.739152543</v>
      </c>
      <c r="AB198" s="129">
        <v>12895484</v>
      </c>
      <c r="AC198" s="129">
        <v>9338106</v>
      </c>
      <c r="AD198" s="129">
        <v>8704867</v>
      </c>
      <c r="AE198" s="129">
        <v>10793666</v>
      </c>
      <c r="AF198" s="129">
        <v>19728742</v>
      </c>
      <c r="AG198" s="129">
        <v>16950279.949999999</v>
      </c>
      <c r="AH198" s="129">
        <v>22250081.949999999</v>
      </c>
      <c r="AI198" s="129">
        <v>28310339.350000001</v>
      </c>
      <c r="AJ198" s="129">
        <v>16205353</v>
      </c>
      <c r="AK198" s="129">
        <v>19766407</v>
      </c>
      <c r="AL198" s="129">
        <v>15254763</v>
      </c>
      <c r="AM198" s="129">
        <v>8260479</v>
      </c>
      <c r="AN198" s="129">
        <v>13070137.000000048</v>
      </c>
      <c r="AO198" s="129">
        <v>9977998</v>
      </c>
      <c r="AP198" s="129">
        <v>4417885</v>
      </c>
      <c r="AQ198" s="129">
        <v>5609328</v>
      </c>
      <c r="AR198" s="129">
        <v>12187235</v>
      </c>
      <c r="AS198" s="129">
        <v>23421016</v>
      </c>
      <c r="AT198" s="129">
        <v>27749956</v>
      </c>
      <c r="AU198" s="129">
        <v>26030772</v>
      </c>
      <c r="AV198" s="129">
        <v>18222210</v>
      </c>
      <c r="AW198" s="129">
        <v>4711870</v>
      </c>
      <c r="AX198" s="129">
        <v>2725202</v>
      </c>
      <c r="AY198" s="129">
        <v>6822726</v>
      </c>
      <c r="AZ198" s="129">
        <v>4147012</v>
      </c>
      <c r="BA198" s="129">
        <v>7552340</v>
      </c>
      <c r="BB198" s="129">
        <v>5340310</v>
      </c>
      <c r="BC198" s="129">
        <v>14797644.18</v>
      </c>
      <c r="BD198" s="129">
        <v>19577383</v>
      </c>
      <c r="BE198" s="129">
        <v>19860144</v>
      </c>
      <c r="BF198" s="129">
        <v>13571338.050000001</v>
      </c>
      <c r="BG198" s="129">
        <v>12004458</v>
      </c>
      <c r="BH198" s="129">
        <v>20431860</v>
      </c>
      <c r="BI198" s="129">
        <v>28134931</v>
      </c>
      <c r="BJ198" s="130">
        <v>16577243</v>
      </c>
      <c r="BK198" s="130">
        <v>-2061097</v>
      </c>
      <c r="BL198" s="130">
        <v>-181256</v>
      </c>
      <c r="BM198" s="130">
        <v>0</v>
      </c>
      <c r="BN198" s="130">
        <v>0</v>
      </c>
      <c r="BO198" s="130">
        <v>0</v>
      </c>
      <c r="BP198" s="130">
        <v>0</v>
      </c>
      <c r="BQ198" s="130">
        <v>0</v>
      </c>
      <c r="BR198" s="130">
        <v>0</v>
      </c>
      <c r="BS198" s="130">
        <v>0</v>
      </c>
      <c r="BT198" s="130">
        <v>0</v>
      </c>
      <c r="BU198" s="130">
        <v>0</v>
      </c>
      <c r="BV198" s="130">
        <v>0</v>
      </c>
      <c r="BW198" s="130">
        <v>0</v>
      </c>
      <c r="BX198" s="130">
        <v>0</v>
      </c>
      <c r="BY198" s="130">
        <v>0</v>
      </c>
      <c r="BZ198" s="130">
        <v>0</v>
      </c>
      <c r="CA198" s="130">
        <v>0</v>
      </c>
      <c r="CB198" s="130">
        <v>0</v>
      </c>
      <c r="CC198" s="130">
        <v>0</v>
      </c>
      <c r="CD198" s="130">
        <v>0</v>
      </c>
      <c r="CE198" s="130">
        <v>0</v>
      </c>
      <c r="CF198" s="130">
        <v>0</v>
      </c>
      <c r="CG198" s="130">
        <v>0</v>
      </c>
      <c r="CH198" s="130">
        <v>0</v>
      </c>
      <c r="CI198" s="130">
        <v>0</v>
      </c>
      <c r="CJ198" s="130">
        <v>0</v>
      </c>
      <c r="CK198" s="130">
        <v>0</v>
      </c>
      <c r="CL198" s="130">
        <v>0</v>
      </c>
      <c r="CM198" s="130">
        <v>0</v>
      </c>
      <c r="CN198" s="130">
        <v>0</v>
      </c>
      <c r="CO198" s="130">
        <v>0</v>
      </c>
      <c r="CP198" s="130">
        <v>0</v>
      </c>
      <c r="CQ198" s="130">
        <v>0</v>
      </c>
      <c r="CR198" s="130">
        <v>0</v>
      </c>
      <c r="CS198" s="130">
        <v>0</v>
      </c>
      <c r="CT198" s="130">
        <v>0</v>
      </c>
      <c r="CU198" s="130">
        <v>0</v>
      </c>
      <c r="CV198" s="130">
        <v>0</v>
      </c>
      <c r="CW198" s="130">
        <v>0</v>
      </c>
      <c r="CX198" s="130">
        <v>0</v>
      </c>
      <c r="CY198" s="130">
        <v>0</v>
      </c>
      <c r="CZ198" s="130">
        <v>0</v>
      </c>
      <c r="DA198" s="130">
        <v>0</v>
      </c>
      <c r="DB198" s="130">
        <v>0</v>
      </c>
      <c r="DC198" s="130">
        <v>0</v>
      </c>
      <c r="DD198" s="130">
        <v>0</v>
      </c>
      <c r="DE198" s="130">
        <v>0</v>
      </c>
      <c r="DF198" s="130">
        <v>0</v>
      </c>
      <c r="DG198" s="130">
        <v>0</v>
      </c>
      <c r="DH198" s="130">
        <v>0</v>
      </c>
      <c r="DI198" s="130">
        <v>0</v>
      </c>
      <c r="DJ198" s="130">
        <v>0</v>
      </c>
      <c r="DK198" s="130">
        <v>0</v>
      </c>
      <c r="DL198" s="130">
        <v>0</v>
      </c>
      <c r="DM198" s="130">
        <v>0</v>
      </c>
      <c r="DN198" s="130">
        <v>0</v>
      </c>
      <c r="DO198" s="130">
        <v>0</v>
      </c>
      <c r="DP198" s="130">
        <v>0</v>
      </c>
      <c r="DQ198" s="130">
        <v>0</v>
      </c>
      <c r="DR198" s="130">
        <v>0</v>
      </c>
      <c r="DS198" s="130">
        <v>0</v>
      </c>
      <c r="DT198" s="130">
        <v>0</v>
      </c>
      <c r="DU198" s="130">
        <v>0</v>
      </c>
      <c r="DV198" s="130">
        <v>0</v>
      </c>
      <c r="DW198" s="130">
        <v>0</v>
      </c>
      <c r="DX198" s="130">
        <v>0</v>
      </c>
      <c r="DY198" s="130">
        <v>0</v>
      </c>
      <c r="DZ198" s="130">
        <v>0</v>
      </c>
      <c r="EA198" s="130">
        <v>0</v>
      </c>
      <c r="EB198" s="130">
        <v>0</v>
      </c>
      <c r="EC198" s="130">
        <v>0</v>
      </c>
      <c r="ED198" s="113" t="s">
        <v>1</v>
      </c>
    </row>
    <row r="199" spans="1:134" x14ac:dyDescent="0.2">
      <c r="A199" s="707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/>
      <c r="AM199" s="115"/>
      <c r="AN199" s="115"/>
      <c r="AO199" s="115"/>
      <c r="AP199" s="115"/>
      <c r="AQ199" s="115"/>
      <c r="AR199" s="115"/>
      <c r="AS199" s="115"/>
      <c r="AT199" s="115"/>
      <c r="AU199" s="115"/>
      <c r="AV199" s="115"/>
      <c r="AW199" s="115"/>
      <c r="AX199" s="115"/>
      <c r="AY199" s="115"/>
      <c r="AZ199" s="115"/>
      <c r="BA199" s="115"/>
      <c r="BB199" s="115"/>
      <c r="BC199" s="115"/>
      <c r="BD199" s="115"/>
      <c r="BE199" s="115"/>
      <c r="BF199" s="115"/>
      <c r="BG199" s="115"/>
      <c r="BH199" s="115"/>
      <c r="BI199" s="115"/>
      <c r="BJ199" s="115"/>
      <c r="BK199" s="115"/>
      <c r="BL199" s="115"/>
      <c r="BM199" s="115"/>
      <c r="BN199" s="115"/>
      <c r="BO199" s="115"/>
      <c r="BP199" s="115"/>
      <c r="BQ199" s="115"/>
      <c r="BR199" s="115"/>
      <c r="BS199" s="115"/>
      <c r="BT199" s="115"/>
      <c r="BU199" s="115"/>
      <c r="BV199" s="115"/>
      <c r="BW199" s="115"/>
      <c r="BX199" s="115"/>
      <c r="BY199" s="115"/>
      <c r="BZ199" s="115"/>
      <c r="CA199" s="115"/>
      <c r="CB199" s="115"/>
      <c r="CC199" s="115"/>
      <c r="CD199" s="115"/>
      <c r="CE199" s="115"/>
      <c r="CF199" s="115"/>
      <c r="CG199" s="115"/>
      <c r="CH199" s="115"/>
      <c r="CI199" s="115"/>
      <c r="CJ199" s="115"/>
      <c r="CK199" s="115"/>
      <c r="CL199" s="115"/>
      <c r="CM199" s="115"/>
      <c r="CN199" s="115"/>
      <c r="CO199" s="115"/>
      <c r="CP199" s="115"/>
      <c r="CQ199" s="115"/>
      <c r="CR199" s="115"/>
      <c r="CS199" s="115"/>
      <c r="CT199" s="115"/>
      <c r="CU199" s="115"/>
      <c r="CV199" s="115"/>
      <c r="CW199" s="115"/>
      <c r="CX199" s="115"/>
      <c r="CY199" s="115"/>
      <c r="CZ199" s="115"/>
      <c r="DA199" s="115"/>
      <c r="DB199" s="115"/>
      <c r="DC199" s="115"/>
      <c r="DD199" s="115"/>
      <c r="DE199" s="115"/>
      <c r="DF199" s="115"/>
      <c r="DG199" s="115"/>
      <c r="DH199" s="115"/>
      <c r="DI199" s="115"/>
      <c r="DJ199" s="115"/>
      <c r="DK199" s="115"/>
      <c r="DL199" s="115"/>
      <c r="DM199" s="115"/>
      <c r="DN199" s="115"/>
      <c r="DO199" s="115"/>
      <c r="DP199" s="115"/>
      <c r="DQ199" s="115"/>
      <c r="DR199" s="115"/>
      <c r="DS199" s="115"/>
      <c r="DT199" s="115"/>
      <c r="DU199" s="115"/>
      <c r="DV199" s="115"/>
      <c r="DW199" s="115"/>
      <c r="DX199" s="115"/>
      <c r="DY199" s="115"/>
      <c r="DZ199" s="115"/>
      <c r="EA199" s="115"/>
      <c r="EB199" s="115"/>
      <c r="EC199" s="645"/>
      <c r="ED199" s="113" t="s">
        <v>1</v>
      </c>
    </row>
    <row r="200" spans="1:134" x14ac:dyDescent="0.2">
      <c r="A200" s="698" t="s">
        <v>139</v>
      </c>
      <c r="B200" s="128">
        <v>0</v>
      </c>
      <c r="C200" s="128">
        <v>0</v>
      </c>
      <c r="D200" s="128">
        <v>0</v>
      </c>
      <c r="E200" s="128">
        <v>0</v>
      </c>
      <c r="F200" s="128">
        <v>0</v>
      </c>
      <c r="G200" s="128">
        <v>0</v>
      </c>
      <c r="H200" s="128">
        <v>0</v>
      </c>
      <c r="I200" s="128">
        <v>0</v>
      </c>
      <c r="J200" s="128">
        <v>0</v>
      </c>
      <c r="K200" s="129">
        <v>590804.63071428565</v>
      </c>
      <c r="L200" s="129">
        <v>3720291.6507142857</v>
      </c>
      <c r="M200" s="129">
        <v>20358415.859285716</v>
      </c>
      <c r="N200" s="129">
        <v>26331762.631428573</v>
      </c>
      <c r="O200" s="129">
        <v>28950126.864642859</v>
      </c>
      <c r="P200" s="129">
        <v>18870655.975000001</v>
      </c>
      <c r="Q200" s="129">
        <v>39430284.579642855</v>
      </c>
      <c r="R200" s="129">
        <v>26372697.465714287</v>
      </c>
      <c r="S200" s="129">
        <v>37725501.112857148</v>
      </c>
      <c r="T200" s="129">
        <v>34298237.400357142</v>
      </c>
      <c r="U200" s="129">
        <v>9814939.3428571429</v>
      </c>
      <c r="V200" s="129">
        <v>17803179.905357141</v>
      </c>
      <c r="W200" s="129">
        <v>24311757.121071428</v>
      </c>
      <c r="X200" s="129">
        <v>908386.3764285706</v>
      </c>
      <c r="Y200" s="129">
        <v>14527864.805357143</v>
      </c>
      <c r="Z200" s="129">
        <v>-3340188</v>
      </c>
      <c r="AA200" s="129">
        <v>20666366.739152543</v>
      </c>
      <c r="AB200" s="129">
        <v>13943981</v>
      </c>
      <c r="AC200" s="129">
        <v>9866739</v>
      </c>
      <c r="AD200" s="129">
        <v>9189370</v>
      </c>
      <c r="AE200" s="129">
        <v>11741190</v>
      </c>
      <c r="AF200" s="129">
        <v>21282041</v>
      </c>
      <c r="AG200" s="129">
        <v>17825655</v>
      </c>
      <c r="AH200" s="129">
        <v>27460136.949999999</v>
      </c>
      <c r="AI200" s="129">
        <v>32520153.350000001</v>
      </c>
      <c r="AJ200" s="129">
        <v>19785675</v>
      </c>
      <c r="AK200" s="129">
        <v>25071837</v>
      </c>
      <c r="AL200" s="129">
        <v>18883096</v>
      </c>
      <c r="AM200" s="129">
        <v>11861497.799999999</v>
      </c>
      <c r="AN200" s="129">
        <v>18057508.850000042</v>
      </c>
      <c r="AO200" s="129">
        <v>15513506</v>
      </c>
      <c r="AP200" s="129">
        <v>9859090</v>
      </c>
      <c r="AQ200" s="129">
        <v>12398823</v>
      </c>
      <c r="AR200" s="129">
        <v>15484826.949999999</v>
      </c>
      <c r="AS200" s="129">
        <v>36903559.950000003</v>
      </c>
      <c r="AT200" s="129">
        <v>42482897</v>
      </c>
      <c r="AU200" s="129">
        <v>49028541.829999998</v>
      </c>
      <c r="AV200" s="129">
        <v>43145129</v>
      </c>
      <c r="AW200" s="129">
        <v>23771694.199999999</v>
      </c>
      <c r="AX200" s="129">
        <v>21497650.219999991</v>
      </c>
      <c r="AY200" s="129">
        <v>30591918.119999997</v>
      </c>
      <c r="AZ200" s="129">
        <v>43408149.700000003</v>
      </c>
      <c r="BA200" s="129">
        <v>40187919.080000415</v>
      </c>
      <c r="BB200" s="129">
        <v>28275052.460000094</v>
      </c>
      <c r="BC200" s="129">
        <v>39258000.6300001</v>
      </c>
      <c r="BD200" s="129">
        <v>68425967.910000175</v>
      </c>
      <c r="BE200" s="129">
        <v>57689324.859999999</v>
      </c>
      <c r="BF200" s="129">
        <v>49015703.230000228</v>
      </c>
      <c r="BG200" s="129">
        <v>59074398.680000357</v>
      </c>
      <c r="BH200" s="129">
        <v>88185123.210000247</v>
      </c>
      <c r="BI200" s="129">
        <v>152973536.25000083</v>
      </c>
      <c r="BJ200" s="129">
        <v>177174015.33940253</v>
      </c>
      <c r="BK200" s="129">
        <v>157718791.54965979</v>
      </c>
      <c r="BL200" s="129">
        <v>192604051.81638539</v>
      </c>
      <c r="BM200" s="129">
        <v>134896928.34310046</v>
      </c>
      <c r="BN200" s="129">
        <v>158219423.1749382</v>
      </c>
      <c r="BO200" s="129">
        <v>175665259.36695758</v>
      </c>
      <c r="BP200" s="129">
        <v>276621197.60860538</v>
      </c>
      <c r="BQ200" s="129">
        <v>215921783.32452267</v>
      </c>
      <c r="BR200" s="129">
        <v>204095609.66502008</v>
      </c>
      <c r="BS200" s="129">
        <v>208606599.41250107</v>
      </c>
      <c r="BT200" s="129">
        <v>153567638.02271467</v>
      </c>
      <c r="BU200" s="129">
        <v>217433306.31716239</v>
      </c>
      <c r="BV200" s="129">
        <v>208026931.88635713</v>
      </c>
      <c r="BW200" s="129">
        <v>225522037.91801453</v>
      </c>
      <c r="BX200" s="129">
        <v>234565597.74187648</v>
      </c>
      <c r="BY200" s="129">
        <v>245431234.54876578</v>
      </c>
      <c r="BZ200" s="129">
        <v>231617640.59860653</v>
      </c>
      <c r="CA200" s="129">
        <v>240294211.30664754</v>
      </c>
      <c r="CB200" s="129">
        <v>258102547.49511218</v>
      </c>
      <c r="CC200" s="129">
        <v>225238305.27306521</v>
      </c>
      <c r="CD200" s="129">
        <v>268332201.02086401</v>
      </c>
      <c r="CE200" s="129">
        <v>301525732.43045539</v>
      </c>
      <c r="CF200" s="129">
        <v>289395326.84291881</v>
      </c>
      <c r="CG200" s="129">
        <v>388927314.4395901</v>
      </c>
      <c r="CH200" s="129">
        <v>330788425.37308317</v>
      </c>
      <c r="CI200" s="129">
        <v>334630640.12831521</v>
      </c>
      <c r="CJ200" s="129">
        <v>329391153.37788463</v>
      </c>
      <c r="CK200" s="129">
        <v>345153796.04174227</v>
      </c>
      <c r="CL200" s="129">
        <v>305397150.88949305</v>
      </c>
      <c r="CM200" s="129">
        <v>386268445.82670391</v>
      </c>
      <c r="CN200" s="129">
        <v>333244384.03749192</v>
      </c>
      <c r="CO200" s="129">
        <v>330127337.40059996</v>
      </c>
      <c r="CP200" s="129">
        <v>395729715.47499943</v>
      </c>
      <c r="CQ200" s="129">
        <v>438646716.91063964</v>
      </c>
      <c r="CR200" s="129">
        <v>353510206.56775951</v>
      </c>
      <c r="CS200" s="129">
        <v>418055759.14144975</v>
      </c>
      <c r="CT200" s="130">
        <f>CT155-CT172</f>
        <v>396417876.99742377</v>
      </c>
      <c r="CU200" s="130">
        <f t="shared" ref="CU200:DQ200" si="638">CU155-CU172</f>
        <v>400452482.30983347</v>
      </c>
      <c r="CV200" s="130">
        <f t="shared" si="638"/>
        <v>400166001.45924819</v>
      </c>
      <c r="CW200" s="130">
        <f t="shared" si="638"/>
        <v>406205972.72575516</v>
      </c>
      <c r="CX200" s="130">
        <f t="shared" si="638"/>
        <v>382762289.78619051</v>
      </c>
      <c r="CY200" s="130">
        <f t="shared" si="638"/>
        <v>418715636.53464699</v>
      </c>
      <c r="CZ200" s="130">
        <f t="shared" si="638"/>
        <v>407137035.49015737</v>
      </c>
      <c r="DA200" s="130">
        <f t="shared" si="638"/>
        <v>408091971.65877509</v>
      </c>
      <c r="DB200" s="130">
        <f t="shared" si="638"/>
        <v>500935640.65263122</v>
      </c>
      <c r="DC200" s="130">
        <f t="shared" si="638"/>
        <v>539753795.90694094</v>
      </c>
      <c r="DD200" s="130">
        <f t="shared" si="638"/>
        <v>462738193.9079231</v>
      </c>
      <c r="DE200" s="130">
        <f t="shared" si="638"/>
        <v>500028451.29244441</v>
      </c>
      <c r="DF200" s="130">
        <f t="shared" si="638"/>
        <v>469556975.30344844</v>
      </c>
      <c r="DG200" s="130">
        <f t="shared" si="638"/>
        <v>474335965.29599786</v>
      </c>
      <c r="DH200" s="130">
        <f t="shared" si="638"/>
        <v>473996628.72847962</v>
      </c>
      <c r="DI200" s="130">
        <f t="shared" si="638"/>
        <v>481150974.69365716</v>
      </c>
      <c r="DJ200" s="130">
        <f t="shared" si="638"/>
        <v>453381932.25174284</v>
      </c>
      <c r="DK200" s="130">
        <f t="shared" si="638"/>
        <v>495968671.47528958</v>
      </c>
      <c r="DL200" s="130">
        <f t="shared" si="638"/>
        <v>482253818.53809154</v>
      </c>
      <c r="DM200" s="130">
        <f t="shared" si="638"/>
        <v>483384940.42981923</v>
      </c>
      <c r="DN200" s="130">
        <f t="shared" si="638"/>
        <v>593358266.35304189</v>
      </c>
      <c r="DO200" s="130">
        <f t="shared" si="638"/>
        <v>639338371.25177169</v>
      </c>
      <c r="DP200" s="130">
        <f t="shared" si="638"/>
        <v>548113390.68393505</v>
      </c>
      <c r="DQ200" s="130">
        <f t="shared" si="638"/>
        <v>592283700.55590045</v>
      </c>
      <c r="DR200" s="130">
        <f t="shared" ref="DR200:EC200" si="639">DR155-DR172</f>
        <v>556190237.24693465</v>
      </c>
      <c r="DS200" s="130">
        <f t="shared" si="639"/>
        <v>561850950.89310956</v>
      </c>
      <c r="DT200" s="130">
        <f t="shared" si="639"/>
        <v>561449006.7288841</v>
      </c>
      <c r="DU200" s="130">
        <f t="shared" si="639"/>
        <v>569923329.52463686</v>
      </c>
      <c r="DV200" s="130">
        <f t="shared" si="639"/>
        <v>537030898.7521894</v>
      </c>
      <c r="DW200" s="130">
        <f t="shared" si="639"/>
        <v>587474891.3624804</v>
      </c>
      <c r="DX200" s="130">
        <f t="shared" si="639"/>
        <v>571229648.0583694</v>
      </c>
      <c r="DY200" s="130">
        <f t="shared" si="639"/>
        <v>572569461.93912077</v>
      </c>
      <c r="DZ200" s="130">
        <f t="shared" si="639"/>
        <v>702832866.49517798</v>
      </c>
      <c r="EA200" s="130">
        <f t="shared" si="639"/>
        <v>757296300.74772322</v>
      </c>
      <c r="EB200" s="130">
        <f t="shared" si="639"/>
        <v>649240311.26512098</v>
      </c>
      <c r="EC200" s="130">
        <f t="shared" si="639"/>
        <v>701560043.30846405</v>
      </c>
      <c r="ED200" s="113" t="s">
        <v>1</v>
      </c>
    </row>
    <row r="201" spans="1:134" x14ac:dyDescent="0.2">
      <c r="A201" s="698" t="s">
        <v>158</v>
      </c>
      <c r="B201" s="128"/>
      <c r="C201" s="128"/>
      <c r="D201" s="128"/>
      <c r="E201" s="128"/>
      <c r="F201" s="128"/>
      <c r="G201" s="128"/>
      <c r="H201" s="128"/>
      <c r="I201" s="128"/>
      <c r="J201" s="128"/>
      <c r="K201" s="129">
        <v>0</v>
      </c>
      <c r="L201" s="129">
        <v>0</v>
      </c>
      <c r="M201" s="129">
        <v>0</v>
      </c>
      <c r="N201" s="129">
        <v>0</v>
      </c>
      <c r="O201" s="129">
        <v>0</v>
      </c>
      <c r="P201" s="129">
        <v>0</v>
      </c>
      <c r="Q201" s="129">
        <v>0</v>
      </c>
      <c r="R201" s="129">
        <v>0</v>
      </c>
      <c r="S201" s="129">
        <v>0</v>
      </c>
      <c r="T201" s="129">
        <v>0</v>
      </c>
      <c r="U201" s="129">
        <v>0</v>
      </c>
      <c r="V201" s="129">
        <v>0</v>
      </c>
      <c r="W201" s="129">
        <v>0</v>
      </c>
      <c r="X201" s="129">
        <v>0</v>
      </c>
      <c r="Y201" s="129">
        <v>0</v>
      </c>
      <c r="Z201" s="129">
        <v>0</v>
      </c>
      <c r="AA201" s="129">
        <v>0</v>
      </c>
      <c r="AB201" s="129">
        <v>60026</v>
      </c>
      <c r="AC201" s="129">
        <v>3996</v>
      </c>
      <c r="AD201" s="129">
        <v>0</v>
      </c>
      <c r="AE201" s="129">
        <v>22283</v>
      </c>
      <c r="AF201" s="129">
        <v>0</v>
      </c>
      <c r="AG201" s="129">
        <v>0</v>
      </c>
      <c r="AH201" s="129">
        <v>0</v>
      </c>
      <c r="AI201" s="129">
        <v>0</v>
      </c>
      <c r="AJ201" s="129">
        <v>0</v>
      </c>
      <c r="AK201" s="129">
        <v>0</v>
      </c>
      <c r="AL201" s="129">
        <v>0</v>
      </c>
      <c r="AM201" s="129">
        <v>0</v>
      </c>
      <c r="AN201" s="129">
        <v>0</v>
      </c>
      <c r="AO201" s="129">
        <v>0</v>
      </c>
      <c r="AP201" s="129">
        <v>0</v>
      </c>
      <c r="AQ201" s="129">
        <v>0</v>
      </c>
      <c r="AR201" s="129">
        <v>0</v>
      </c>
      <c r="AS201" s="129">
        <v>0</v>
      </c>
      <c r="AT201" s="129">
        <v>0</v>
      </c>
      <c r="AU201" s="129">
        <v>0</v>
      </c>
      <c r="AV201" s="129">
        <v>0</v>
      </c>
      <c r="AW201" s="129">
        <v>0</v>
      </c>
      <c r="AX201" s="129">
        <v>0</v>
      </c>
      <c r="AY201" s="129">
        <v>0</v>
      </c>
      <c r="AZ201" s="129">
        <v>0</v>
      </c>
      <c r="BA201" s="129">
        <v>0</v>
      </c>
      <c r="BB201" s="129">
        <v>0</v>
      </c>
      <c r="BC201" s="129">
        <v>0</v>
      </c>
      <c r="BD201" s="129">
        <v>0</v>
      </c>
      <c r="BE201" s="129">
        <v>0</v>
      </c>
      <c r="BF201" s="129">
        <v>0</v>
      </c>
      <c r="BG201" s="129">
        <v>0</v>
      </c>
      <c r="BH201" s="129">
        <v>0</v>
      </c>
      <c r="BI201" s="129">
        <v>0</v>
      </c>
      <c r="BJ201" s="129">
        <v>0</v>
      </c>
      <c r="BK201" s="129">
        <v>0</v>
      </c>
      <c r="BL201" s="129">
        <v>0</v>
      </c>
      <c r="BM201" s="129">
        <v>0</v>
      </c>
      <c r="BN201" s="129">
        <v>0</v>
      </c>
      <c r="BO201" s="129">
        <v>0</v>
      </c>
      <c r="BP201" s="129">
        <v>0</v>
      </c>
      <c r="BQ201" s="129">
        <v>0</v>
      </c>
      <c r="BR201" s="129">
        <v>0</v>
      </c>
      <c r="BS201" s="129">
        <v>0</v>
      </c>
      <c r="BT201" s="129">
        <v>0</v>
      </c>
      <c r="BU201" s="129">
        <v>0</v>
      </c>
      <c r="BV201" s="129">
        <v>0</v>
      </c>
      <c r="BW201" s="129">
        <v>0</v>
      </c>
      <c r="BX201" s="129">
        <v>0</v>
      </c>
      <c r="BY201" s="129">
        <v>0</v>
      </c>
      <c r="BZ201" s="129">
        <v>0</v>
      </c>
      <c r="CA201" s="129">
        <v>0</v>
      </c>
      <c r="CB201" s="129">
        <v>0</v>
      </c>
      <c r="CC201" s="129">
        <v>0</v>
      </c>
      <c r="CD201" s="129">
        <v>0</v>
      </c>
      <c r="CE201" s="129">
        <v>0</v>
      </c>
      <c r="CF201" s="129">
        <v>0</v>
      </c>
      <c r="CG201" s="129">
        <v>0</v>
      </c>
      <c r="CH201" s="129">
        <v>2782782</v>
      </c>
      <c r="CI201" s="129">
        <v>2960259</v>
      </c>
      <c r="CJ201" s="129">
        <v>2892636.2857142854</v>
      </c>
      <c r="CK201" s="129">
        <v>3384696.2857142854</v>
      </c>
      <c r="CL201" s="129">
        <v>3494618</v>
      </c>
      <c r="CM201" s="129">
        <v>4171683.0000000005</v>
      </c>
      <c r="CN201" s="129">
        <v>3947234</v>
      </c>
      <c r="CO201" s="129">
        <v>3426000</v>
      </c>
      <c r="CP201" s="129">
        <v>4836000</v>
      </c>
      <c r="CQ201" s="129">
        <v>7208000.0000000009</v>
      </c>
      <c r="CR201" s="129">
        <v>6084000</v>
      </c>
      <c r="CS201" s="130">
        <v>6885000</v>
      </c>
      <c r="CT201" s="130">
        <f>CT156-CT173</f>
        <v>4681083.7072708011</v>
      </c>
      <c r="CU201" s="130">
        <f t="shared" ref="CU201:DQ201" si="640">CU156-CU173</f>
        <v>4728726.1731864214</v>
      </c>
      <c r="CV201" s="130">
        <f t="shared" si="640"/>
        <v>4725343.2761983275</v>
      </c>
      <c r="CW201" s="130">
        <f t="shared" si="640"/>
        <v>4796666.0210306048</v>
      </c>
      <c r="CX201" s="130">
        <f t="shared" si="640"/>
        <v>4519832.2841718197</v>
      </c>
      <c r="CY201" s="130">
        <f t="shared" si="640"/>
        <v>4944385.8561772108</v>
      </c>
      <c r="CZ201" s="130">
        <f t="shared" si="640"/>
        <v>4807660.4362418652</v>
      </c>
      <c r="DA201" s="130">
        <f t="shared" si="640"/>
        <v>4818936.7595354915</v>
      </c>
      <c r="DB201" s="130">
        <f t="shared" si="640"/>
        <v>5915277.2917592525</v>
      </c>
      <c r="DC201" s="130">
        <f t="shared" si="640"/>
        <v>6373659.8336455822</v>
      </c>
      <c r="DD201" s="130">
        <f t="shared" si="640"/>
        <v>5464224.3600138426</v>
      </c>
      <c r="DE201" s="130">
        <f t="shared" si="640"/>
        <v>5904564.7846302986</v>
      </c>
      <c r="DF201" s="130">
        <f t="shared" si="640"/>
        <v>5544743.6512621641</v>
      </c>
      <c r="DG201" s="130">
        <f t="shared" si="640"/>
        <v>5601176.1521391869</v>
      </c>
      <c r="DH201" s="130">
        <f t="shared" si="640"/>
        <v>5597169.1106567383</v>
      </c>
      <c r="DI201" s="130">
        <f t="shared" si="640"/>
        <v>5681650.9019105434</v>
      </c>
      <c r="DJ201" s="130">
        <f t="shared" si="640"/>
        <v>5353741.340601325</v>
      </c>
      <c r="DK201" s="130">
        <f t="shared" si="640"/>
        <v>5856625.0466417074</v>
      </c>
      <c r="DL201" s="130">
        <f t="shared" si="640"/>
        <v>5694673.7867282629</v>
      </c>
      <c r="DM201" s="130">
        <f t="shared" si="640"/>
        <v>5708030.5916695595</v>
      </c>
      <c r="DN201" s="130">
        <f t="shared" si="640"/>
        <v>7006645.9520885944</v>
      </c>
      <c r="DO201" s="130">
        <f t="shared" si="640"/>
        <v>7549600.0729528666</v>
      </c>
      <c r="DP201" s="130">
        <f t="shared" si="640"/>
        <v>6472373.7544361353</v>
      </c>
      <c r="DQ201" s="130">
        <f t="shared" si="640"/>
        <v>6993956.9873944521</v>
      </c>
      <c r="DR201" s="130">
        <f t="shared" ref="DR201:EC201" si="641">DR156-DR173</f>
        <v>6567748.8549200296</v>
      </c>
      <c r="DS201" s="130">
        <f t="shared" si="641"/>
        <v>6634593.1522088051</v>
      </c>
      <c r="DT201" s="130">
        <f t="shared" si="641"/>
        <v>6629846.8115729094</v>
      </c>
      <c r="DU201" s="130">
        <f t="shared" si="641"/>
        <v>6729915.4933129549</v>
      </c>
      <c r="DV201" s="130">
        <f t="shared" si="641"/>
        <v>6341506.617942214</v>
      </c>
      <c r="DW201" s="130">
        <f t="shared" si="641"/>
        <v>6937172.3677470684</v>
      </c>
      <c r="DX201" s="130">
        <f t="shared" si="641"/>
        <v>6745341.1003797054</v>
      </c>
      <c r="DY201" s="130">
        <f t="shared" si="641"/>
        <v>6761162.2358326912</v>
      </c>
      <c r="DZ201" s="130">
        <f t="shared" si="641"/>
        <v>8299372.1302491426</v>
      </c>
      <c r="EA201" s="130">
        <f t="shared" si="641"/>
        <v>8942501.2864129543</v>
      </c>
      <c r="EB201" s="130">
        <f t="shared" si="641"/>
        <v>7666526.7121297121</v>
      </c>
      <c r="EC201" s="130">
        <f t="shared" si="641"/>
        <v>8284342.0515687466</v>
      </c>
      <c r="ED201" s="113" t="s">
        <v>1</v>
      </c>
    </row>
    <row r="202" spans="1:134" x14ac:dyDescent="0.2">
      <c r="A202" s="707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15"/>
      <c r="AL202" s="115"/>
      <c r="AM202" s="115"/>
      <c r="AN202" s="115"/>
      <c r="AO202" s="115"/>
      <c r="AP202" s="115"/>
      <c r="AQ202" s="115"/>
      <c r="AR202" s="115"/>
      <c r="AS202" s="115"/>
      <c r="AT202" s="115"/>
      <c r="AU202" s="115"/>
      <c r="AV202" s="115"/>
      <c r="AW202" s="115"/>
      <c r="AX202" s="115"/>
      <c r="AY202" s="115"/>
      <c r="AZ202" s="115"/>
      <c r="BA202" s="115"/>
      <c r="BB202" s="115"/>
      <c r="BC202" s="115"/>
      <c r="BD202" s="115"/>
      <c r="BE202" s="115"/>
      <c r="BF202" s="115"/>
      <c r="BG202" s="115"/>
      <c r="BH202" s="115"/>
      <c r="BI202" s="115"/>
      <c r="BJ202" s="115"/>
      <c r="BK202" s="115"/>
      <c r="BL202" s="115"/>
      <c r="BM202" s="115"/>
      <c r="BN202" s="115"/>
      <c r="BO202" s="115"/>
      <c r="BP202" s="115"/>
      <c r="BQ202" s="115"/>
      <c r="BR202" s="115"/>
      <c r="BS202" s="115"/>
      <c r="BT202" s="115"/>
      <c r="BU202" s="115"/>
      <c r="BV202" s="115"/>
      <c r="BW202" s="115"/>
      <c r="BX202" s="115"/>
      <c r="BY202" s="115"/>
      <c r="BZ202" s="115"/>
      <c r="CA202" s="115"/>
      <c r="CB202" s="115"/>
      <c r="CC202" s="115"/>
      <c r="CD202" s="115"/>
      <c r="CE202" s="115"/>
      <c r="CF202" s="115"/>
      <c r="CG202" s="115"/>
      <c r="CH202" s="115"/>
      <c r="CI202" s="115"/>
      <c r="CJ202" s="115"/>
      <c r="CK202" s="115"/>
      <c r="CL202" s="115"/>
      <c r="CM202" s="115"/>
      <c r="CN202" s="115"/>
      <c r="CO202" s="115"/>
      <c r="CP202" s="115"/>
      <c r="CQ202" s="115"/>
      <c r="CR202" s="115"/>
      <c r="CS202" s="115"/>
      <c r="CT202" s="115"/>
      <c r="CU202" s="115"/>
      <c r="CV202" s="115"/>
      <c r="CW202" s="115"/>
      <c r="CX202" s="115"/>
      <c r="CY202" s="115"/>
      <c r="CZ202" s="115"/>
      <c r="DA202" s="115"/>
      <c r="DB202" s="115"/>
      <c r="DC202" s="115"/>
      <c r="DD202" s="115"/>
      <c r="DE202" s="115"/>
      <c r="DF202" s="115"/>
      <c r="DG202" s="115"/>
      <c r="DH202" s="115"/>
      <c r="DI202" s="115"/>
      <c r="DJ202" s="115"/>
      <c r="DK202" s="115"/>
      <c r="DL202" s="115"/>
      <c r="DM202" s="115"/>
      <c r="DN202" s="115"/>
      <c r="DO202" s="115"/>
      <c r="DP202" s="115"/>
      <c r="DQ202" s="115"/>
      <c r="DR202" s="115"/>
      <c r="DS202" s="115"/>
      <c r="DT202" s="115"/>
      <c r="DU202" s="115"/>
      <c r="DV202" s="115"/>
      <c r="DW202" s="115"/>
      <c r="DX202" s="115"/>
      <c r="DY202" s="115"/>
      <c r="DZ202" s="115"/>
      <c r="EA202" s="115"/>
      <c r="EB202" s="115"/>
      <c r="EC202" s="645"/>
      <c r="ED202" s="113" t="s">
        <v>1</v>
      </c>
    </row>
    <row r="203" spans="1:134" x14ac:dyDescent="0.2">
      <c r="A203" s="700" t="s">
        <v>99</v>
      </c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115"/>
      <c r="AO203" s="115"/>
      <c r="AP203" s="115"/>
      <c r="AQ203" s="115"/>
      <c r="AR203" s="115"/>
      <c r="AS203" s="115"/>
      <c r="AT203" s="115"/>
      <c r="AU203" s="115"/>
      <c r="AV203" s="115"/>
      <c r="AW203" s="115"/>
      <c r="AX203" s="115"/>
      <c r="AY203" s="115"/>
      <c r="AZ203" s="115"/>
      <c r="BA203" s="115"/>
      <c r="BB203" s="115"/>
      <c r="BC203" s="115"/>
      <c r="BD203" s="115"/>
      <c r="BE203" s="115"/>
      <c r="BF203" s="115"/>
      <c r="BG203" s="115"/>
      <c r="BH203" s="115"/>
      <c r="BI203" s="115"/>
      <c r="BJ203" s="115"/>
      <c r="BK203" s="115"/>
      <c r="BL203" s="115"/>
      <c r="BM203" s="115"/>
      <c r="BN203" s="115"/>
      <c r="BO203" s="115"/>
      <c r="BP203" s="115"/>
      <c r="BQ203" s="115"/>
      <c r="BR203" s="115"/>
      <c r="BS203" s="115"/>
      <c r="BT203" s="115"/>
      <c r="BU203" s="115"/>
      <c r="BV203" s="115"/>
      <c r="BW203" s="115"/>
      <c r="BX203" s="115"/>
      <c r="BY203" s="115"/>
      <c r="BZ203" s="115"/>
      <c r="CA203" s="115"/>
      <c r="CB203" s="115"/>
      <c r="CC203" s="115"/>
      <c r="CD203" s="115"/>
      <c r="CE203" s="115"/>
      <c r="CF203" s="115"/>
      <c r="CG203" s="115"/>
      <c r="CH203" s="115"/>
      <c r="CI203" s="115"/>
      <c r="CJ203" s="115"/>
      <c r="CK203" s="115"/>
      <c r="CL203" s="115"/>
      <c r="CM203" s="115"/>
      <c r="CN203" s="115"/>
      <c r="CO203" s="115"/>
      <c r="CP203" s="115"/>
      <c r="CQ203" s="115"/>
      <c r="CR203" s="115"/>
      <c r="CS203" s="115"/>
      <c r="CT203" s="115"/>
      <c r="CU203" s="115"/>
      <c r="CV203" s="115"/>
      <c r="CW203" s="115"/>
      <c r="CX203" s="115"/>
      <c r="CY203" s="115"/>
      <c r="CZ203" s="115"/>
      <c r="DA203" s="115"/>
      <c r="DB203" s="115"/>
      <c r="DC203" s="115"/>
      <c r="DD203" s="115"/>
      <c r="DE203" s="115"/>
      <c r="DF203" s="115"/>
      <c r="DG203" s="115"/>
      <c r="DH203" s="115"/>
      <c r="DI203" s="115"/>
      <c r="DJ203" s="115"/>
      <c r="DK203" s="115"/>
      <c r="DL203" s="115"/>
      <c r="DM203" s="115"/>
      <c r="DN203" s="115"/>
      <c r="DO203" s="115"/>
      <c r="DP203" s="115"/>
      <c r="DQ203" s="115"/>
      <c r="DR203" s="115"/>
      <c r="DS203" s="115"/>
      <c r="DT203" s="115"/>
      <c r="DU203" s="115"/>
      <c r="DV203" s="115"/>
      <c r="DW203" s="115"/>
      <c r="DX203" s="115"/>
      <c r="DY203" s="115"/>
      <c r="DZ203" s="115"/>
      <c r="EA203" s="115"/>
      <c r="EB203" s="115"/>
      <c r="EC203" s="645"/>
      <c r="ED203" s="113" t="s">
        <v>1</v>
      </c>
    </row>
    <row r="204" spans="1:134" x14ac:dyDescent="0.2">
      <c r="A204" s="698" t="s">
        <v>141</v>
      </c>
      <c r="B204" s="128">
        <v>0</v>
      </c>
      <c r="C204" s="128">
        <v>0</v>
      </c>
      <c r="D204" s="128">
        <v>0</v>
      </c>
      <c r="E204" s="128">
        <v>0</v>
      </c>
      <c r="F204" s="128">
        <v>0</v>
      </c>
      <c r="G204" s="128">
        <v>0</v>
      </c>
      <c r="H204" s="128">
        <v>0</v>
      </c>
      <c r="I204" s="128">
        <v>0</v>
      </c>
      <c r="J204" s="128">
        <v>0</v>
      </c>
      <c r="K204" s="132">
        <f>K205+K208</f>
        <v>80</v>
      </c>
      <c r="L204" s="132">
        <f t="shared" ref="L204:BW204" si="642">L205+L208</f>
        <v>432</v>
      </c>
      <c r="M204" s="132">
        <f t="shared" si="642"/>
        <v>1705</v>
      </c>
      <c r="N204" s="132">
        <f t="shared" si="642"/>
        <v>2055</v>
      </c>
      <c r="O204" s="132">
        <f t="shared" si="642"/>
        <v>2301</v>
      </c>
      <c r="P204" s="132">
        <f t="shared" si="642"/>
        <v>1621</v>
      </c>
      <c r="Q204" s="132">
        <f t="shared" si="642"/>
        <v>3131</v>
      </c>
      <c r="R204" s="132">
        <f t="shared" si="642"/>
        <v>2883</v>
      </c>
      <c r="S204" s="132">
        <f t="shared" si="642"/>
        <v>3656</v>
      </c>
      <c r="T204" s="132">
        <f t="shared" si="642"/>
        <v>3261</v>
      </c>
      <c r="U204" s="132">
        <f t="shared" si="642"/>
        <v>1240</v>
      </c>
      <c r="V204" s="132">
        <f t="shared" si="642"/>
        <v>1688</v>
      </c>
      <c r="W204" s="132">
        <f t="shared" si="642"/>
        <v>2470</v>
      </c>
      <c r="X204" s="132">
        <f t="shared" si="642"/>
        <v>245</v>
      </c>
      <c r="Y204" s="132">
        <f t="shared" si="642"/>
        <v>1399</v>
      </c>
      <c r="Z204" s="132">
        <f t="shared" si="642"/>
        <v>-340</v>
      </c>
      <c r="AA204" s="132">
        <f t="shared" si="642"/>
        <v>1757</v>
      </c>
      <c r="AB204" s="132">
        <f t="shared" si="642"/>
        <v>1034</v>
      </c>
      <c r="AC204" s="132">
        <f t="shared" si="642"/>
        <v>533</v>
      </c>
      <c r="AD204" s="132">
        <f t="shared" si="642"/>
        <v>662</v>
      </c>
      <c r="AE204" s="132">
        <f t="shared" si="642"/>
        <v>1062</v>
      </c>
      <c r="AF204" s="132">
        <f t="shared" si="642"/>
        <v>1693</v>
      </c>
      <c r="AG204" s="132">
        <f t="shared" si="642"/>
        <v>1554</v>
      </c>
      <c r="AH204" s="132">
        <f t="shared" si="642"/>
        <v>2552</v>
      </c>
      <c r="AI204" s="132">
        <f t="shared" si="642"/>
        <v>3124</v>
      </c>
      <c r="AJ204" s="132">
        <f t="shared" si="642"/>
        <v>1721</v>
      </c>
      <c r="AK204" s="132">
        <f t="shared" si="642"/>
        <v>2362</v>
      </c>
      <c r="AL204" s="132">
        <f t="shared" si="642"/>
        <v>2074</v>
      </c>
      <c r="AM204" s="132">
        <f t="shared" si="642"/>
        <v>1265</v>
      </c>
      <c r="AN204" s="132">
        <f t="shared" si="642"/>
        <v>1848</v>
      </c>
      <c r="AO204" s="132">
        <f t="shared" si="642"/>
        <v>1552</v>
      </c>
      <c r="AP204" s="132">
        <f t="shared" si="642"/>
        <v>984</v>
      </c>
      <c r="AQ204" s="132">
        <f t="shared" si="642"/>
        <v>1095</v>
      </c>
      <c r="AR204" s="132">
        <f t="shared" si="642"/>
        <v>1306</v>
      </c>
      <c r="AS204" s="132">
        <f t="shared" si="642"/>
        <v>2999</v>
      </c>
      <c r="AT204" s="132">
        <f t="shared" si="642"/>
        <v>3673</v>
      </c>
      <c r="AU204" s="132">
        <f t="shared" si="642"/>
        <v>3859</v>
      </c>
      <c r="AV204" s="132">
        <f t="shared" si="642"/>
        <v>2982</v>
      </c>
      <c r="AW204" s="132">
        <f t="shared" si="642"/>
        <v>1517</v>
      </c>
      <c r="AX204" s="132">
        <f t="shared" si="642"/>
        <v>1430</v>
      </c>
      <c r="AY204" s="132">
        <f t="shared" si="642"/>
        <v>2223</v>
      </c>
      <c r="AZ204" s="132">
        <f t="shared" si="642"/>
        <v>2220</v>
      </c>
      <c r="BA204" s="132">
        <f t="shared" si="642"/>
        <v>2641</v>
      </c>
      <c r="BB204" s="132">
        <f t="shared" si="642"/>
        <v>2093</v>
      </c>
      <c r="BC204" s="132">
        <f t="shared" si="642"/>
        <v>3067</v>
      </c>
      <c r="BD204" s="132">
        <f t="shared" si="642"/>
        <v>4050</v>
      </c>
      <c r="BE204" s="132">
        <f t="shared" si="642"/>
        <v>2922</v>
      </c>
      <c r="BF204" s="132">
        <f t="shared" si="642"/>
        <v>2630</v>
      </c>
      <c r="BG204" s="132">
        <f t="shared" si="642"/>
        <v>2543</v>
      </c>
      <c r="BH204" s="132">
        <f t="shared" si="642"/>
        <v>4345</v>
      </c>
      <c r="BI204" s="132">
        <f t="shared" si="642"/>
        <v>7025</v>
      </c>
      <c r="BJ204" s="132">
        <f t="shared" si="642"/>
        <v>8356</v>
      </c>
      <c r="BK204" s="132">
        <f t="shared" si="642"/>
        <v>7180</v>
      </c>
      <c r="BL204" s="132">
        <f t="shared" si="642"/>
        <v>9549</v>
      </c>
      <c r="BM204" s="132">
        <f t="shared" si="642"/>
        <v>6251</v>
      </c>
      <c r="BN204" s="132">
        <f t="shared" si="642"/>
        <v>7619</v>
      </c>
      <c r="BO204" s="132">
        <f t="shared" si="642"/>
        <v>7870</v>
      </c>
      <c r="BP204" s="132">
        <f t="shared" si="642"/>
        <v>10258</v>
      </c>
      <c r="BQ204" s="132">
        <f t="shared" si="642"/>
        <v>9162</v>
      </c>
      <c r="BR204" s="132">
        <f t="shared" si="642"/>
        <v>8312</v>
      </c>
      <c r="BS204" s="132">
        <f t="shared" si="642"/>
        <v>8730</v>
      </c>
      <c r="BT204" s="132">
        <f t="shared" si="642"/>
        <v>5914</v>
      </c>
      <c r="BU204" s="132">
        <f t="shared" si="642"/>
        <v>9130</v>
      </c>
      <c r="BV204" s="132">
        <f t="shared" si="642"/>
        <v>8412</v>
      </c>
      <c r="BW204" s="132">
        <f t="shared" si="642"/>
        <v>8850</v>
      </c>
      <c r="BX204" s="132">
        <f t="shared" ref="BX204:DQ204" si="643">BX205+BX208</f>
        <v>9253</v>
      </c>
      <c r="BY204" s="132">
        <f t="shared" si="643"/>
        <v>9632</v>
      </c>
      <c r="BZ204" s="132">
        <f t="shared" si="643"/>
        <v>8794</v>
      </c>
      <c r="CA204" s="132">
        <f t="shared" si="643"/>
        <v>8867</v>
      </c>
      <c r="CB204" s="132">
        <f t="shared" si="643"/>
        <v>8865</v>
      </c>
      <c r="CC204" s="132">
        <f t="shared" si="643"/>
        <v>7938</v>
      </c>
      <c r="CD204" s="132">
        <f t="shared" si="643"/>
        <v>9864</v>
      </c>
      <c r="CE204" s="132">
        <f t="shared" si="643"/>
        <v>11056</v>
      </c>
      <c r="CF204" s="132">
        <f t="shared" si="643"/>
        <v>10929</v>
      </c>
      <c r="CG204" s="132">
        <f t="shared" si="643"/>
        <v>14334</v>
      </c>
      <c r="CH204" s="132">
        <f t="shared" si="643"/>
        <v>11613</v>
      </c>
      <c r="CI204" s="132">
        <f t="shared" si="643"/>
        <v>12041</v>
      </c>
      <c r="CJ204" s="132">
        <f t="shared" si="643"/>
        <v>12192.285714285714</v>
      </c>
      <c r="CK204" s="132">
        <f t="shared" si="643"/>
        <v>12753</v>
      </c>
      <c r="CL204" s="132">
        <f t="shared" si="643"/>
        <v>11762</v>
      </c>
      <c r="CM204" s="132">
        <f t="shared" si="643"/>
        <v>15097</v>
      </c>
      <c r="CN204" s="132">
        <f t="shared" si="643"/>
        <v>12366</v>
      </c>
      <c r="CO204" s="132">
        <f t="shared" si="643"/>
        <v>12725</v>
      </c>
      <c r="CP204" s="132">
        <f t="shared" si="643"/>
        <v>15982</v>
      </c>
      <c r="CQ204" s="132">
        <f t="shared" si="643"/>
        <v>17576</v>
      </c>
      <c r="CR204" s="132">
        <f t="shared" si="643"/>
        <v>14807</v>
      </c>
      <c r="CS204" s="132">
        <f t="shared" si="643"/>
        <v>16187</v>
      </c>
      <c r="CT204" s="132">
        <f t="shared" si="643"/>
        <v>14757.837443303892</v>
      </c>
      <c r="CU204" s="132">
        <f t="shared" si="643"/>
        <v>14908.037655765098</v>
      </c>
      <c r="CV204" s="132">
        <f t="shared" si="643"/>
        <v>14897.372551921699</v>
      </c>
      <c r="CW204" s="132">
        <f t="shared" si="643"/>
        <v>15122.228491286704</v>
      </c>
      <c r="CX204" s="132">
        <f t="shared" si="643"/>
        <v>14249.467493435186</v>
      </c>
      <c r="CY204" s="132">
        <f t="shared" si="643"/>
        <v>15587.938025781808</v>
      </c>
      <c r="CZ204" s="132">
        <f t="shared" si="643"/>
        <v>15156.890078777749</v>
      </c>
      <c r="DA204" s="132">
        <f t="shared" si="643"/>
        <v>15192.440424922414</v>
      </c>
      <c r="DB204" s="132">
        <f t="shared" si="643"/>
        <v>18648.82282883743</v>
      </c>
      <c r="DC204" s="132">
        <f t="shared" si="643"/>
        <v>20093.944399618045</v>
      </c>
      <c r="DD204" s="132">
        <f t="shared" si="643"/>
        <v>17226.808983050847</v>
      </c>
      <c r="DE204" s="132">
        <f t="shared" si="643"/>
        <v>18615.049999999996</v>
      </c>
      <c r="DF204" s="132">
        <f t="shared" si="643"/>
        <v>16971.513059799472</v>
      </c>
      <c r="DG204" s="132">
        <f t="shared" si="643"/>
        <v>17144.243304129861</v>
      </c>
      <c r="DH204" s="132">
        <f t="shared" si="643"/>
        <v>17131.978434709952</v>
      </c>
      <c r="DI204" s="132">
        <f t="shared" si="643"/>
        <v>17390.562764979706</v>
      </c>
      <c r="DJ204" s="132">
        <f t="shared" si="643"/>
        <v>16386.887617450462</v>
      </c>
      <c r="DK204" s="132">
        <f t="shared" si="643"/>
        <v>17926.128729649077</v>
      </c>
      <c r="DL204" s="132">
        <f t="shared" si="643"/>
        <v>17430.423590594412</v>
      </c>
      <c r="DM204" s="132">
        <f t="shared" si="643"/>
        <v>17471.306488660775</v>
      </c>
      <c r="DN204" s="132">
        <f t="shared" si="643"/>
        <v>21446.146253163039</v>
      </c>
      <c r="DO204" s="132">
        <f t="shared" si="643"/>
        <v>23108.036059560749</v>
      </c>
      <c r="DP204" s="132">
        <f t="shared" si="643"/>
        <v>19810.83033050847</v>
      </c>
      <c r="DQ204" s="132">
        <f t="shared" si="643"/>
        <v>21407.307499999995</v>
      </c>
      <c r="DR204" s="132">
        <f t="shared" ref="DR204:EC204" si="644">DR205+DR208</f>
        <v>19517.240018769393</v>
      </c>
      <c r="DS204" s="132">
        <f t="shared" si="644"/>
        <v>19715.879799749338</v>
      </c>
      <c r="DT204" s="132">
        <f t="shared" si="644"/>
        <v>19701.775199916447</v>
      </c>
      <c r="DU204" s="132">
        <f t="shared" si="644"/>
        <v>19999.147179726664</v>
      </c>
      <c r="DV204" s="132">
        <f t="shared" si="644"/>
        <v>18844.920760068027</v>
      </c>
      <c r="DW204" s="132">
        <f t="shared" si="644"/>
        <v>20615.048039096437</v>
      </c>
      <c r="DX204" s="132">
        <f t="shared" si="644"/>
        <v>20044.98712918357</v>
      </c>
      <c r="DY204" s="132">
        <f t="shared" si="644"/>
        <v>20092.002461959888</v>
      </c>
      <c r="DZ204" s="132">
        <f t="shared" si="644"/>
        <v>24663.068191137496</v>
      </c>
      <c r="EA204" s="132">
        <f t="shared" si="644"/>
        <v>26574.24146849486</v>
      </c>
      <c r="EB204" s="132">
        <f t="shared" si="644"/>
        <v>22782.454880084737</v>
      </c>
      <c r="EC204" s="132">
        <f t="shared" si="644"/>
        <v>24618.403624999992</v>
      </c>
      <c r="ED204" s="113" t="s">
        <v>1</v>
      </c>
    </row>
    <row r="205" spans="1:134" x14ac:dyDescent="0.2">
      <c r="A205" s="698" t="s">
        <v>139</v>
      </c>
      <c r="B205" s="128">
        <v>0</v>
      </c>
      <c r="C205" s="128">
        <v>0</v>
      </c>
      <c r="D205" s="128">
        <v>0</v>
      </c>
      <c r="E205" s="128">
        <v>0</v>
      </c>
      <c r="F205" s="128">
        <v>0</v>
      </c>
      <c r="G205" s="128">
        <v>0</v>
      </c>
      <c r="H205" s="128">
        <v>0</v>
      </c>
      <c r="I205" s="128">
        <v>0</v>
      </c>
      <c r="J205" s="128">
        <v>0</v>
      </c>
      <c r="K205" s="129">
        <v>80</v>
      </c>
      <c r="L205" s="129">
        <v>432</v>
      </c>
      <c r="M205" s="129">
        <v>1705</v>
      </c>
      <c r="N205" s="129">
        <v>2055</v>
      </c>
      <c r="O205" s="129">
        <v>2301</v>
      </c>
      <c r="P205" s="129">
        <v>1621</v>
      </c>
      <c r="Q205" s="129">
        <v>3131</v>
      </c>
      <c r="R205" s="129">
        <v>2883</v>
      </c>
      <c r="S205" s="129">
        <v>3656</v>
      </c>
      <c r="T205" s="129">
        <v>3261</v>
      </c>
      <c r="U205" s="129">
        <v>1240</v>
      </c>
      <c r="V205" s="129">
        <v>1688</v>
      </c>
      <c r="W205" s="129">
        <v>2470</v>
      </c>
      <c r="X205" s="129">
        <v>245</v>
      </c>
      <c r="Y205" s="129">
        <v>1399</v>
      </c>
      <c r="Z205" s="129">
        <v>-340</v>
      </c>
      <c r="AA205" s="129">
        <v>1757</v>
      </c>
      <c r="AB205" s="129">
        <v>869</v>
      </c>
      <c r="AC205" s="129">
        <v>529</v>
      </c>
      <c r="AD205" s="129">
        <v>662</v>
      </c>
      <c r="AE205" s="129">
        <v>1045</v>
      </c>
      <c r="AF205" s="129">
        <v>1693</v>
      </c>
      <c r="AG205" s="129">
        <v>1554</v>
      </c>
      <c r="AH205" s="129">
        <v>2552</v>
      </c>
      <c r="AI205" s="129">
        <v>3124</v>
      </c>
      <c r="AJ205" s="129">
        <v>1721</v>
      </c>
      <c r="AK205" s="129">
        <v>2362</v>
      </c>
      <c r="AL205" s="129">
        <v>2074</v>
      </c>
      <c r="AM205" s="129">
        <v>1265</v>
      </c>
      <c r="AN205" s="129">
        <v>1848</v>
      </c>
      <c r="AO205" s="129">
        <v>1552</v>
      </c>
      <c r="AP205" s="129">
        <v>984</v>
      </c>
      <c r="AQ205" s="129">
        <v>1095</v>
      </c>
      <c r="AR205" s="129">
        <v>1306</v>
      </c>
      <c r="AS205" s="129">
        <v>2999</v>
      </c>
      <c r="AT205" s="129">
        <v>3673</v>
      </c>
      <c r="AU205" s="129">
        <v>3859</v>
      </c>
      <c r="AV205" s="129">
        <v>2982</v>
      </c>
      <c r="AW205" s="129">
        <v>1517</v>
      </c>
      <c r="AX205" s="129">
        <v>1430</v>
      </c>
      <c r="AY205" s="129">
        <v>2223</v>
      </c>
      <c r="AZ205" s="129">
        <v>2220</v>
      </c>
      <c r="BA205" s="129">
        <v>2641</v>
      </c>
      <c r="BB205" s="129">
        <v>2093</v>
      </c>
      <c r="BC205" s="129">
        <v>3067</v>
      </c>
      <c r="BD205" s="129">
        <v>4050</v>
      </c>
      <c r="BE205" s="129">
        <v>2922</v>
      </c>
      <c r="BF205" s="129">
        <v>2630</v>
      </c>
      <c r="BG205" s="129">
        <v>2543</v>
      </c>
      <c r="BH205" s="129">
        <v>4345</v>
      </c>
      <c r="BI205" s="129">
        <v>7025</v>
      </c>
      <c r="BJ205" s="129">
        <v>8356</v>
      </c>
      <c r="BK205" s="129">
        <v>7180</v>
      </c>
      <c r="BL205" s="129">
        <v>9549</v>
      </c>
      <c r="BM205" s="129">
        <v>6251</v>
      </c>
      <c r="BN205" s="129">
        <v>7619</v>
      </c>
      <c r="BO205" s="129">
        <v>7870</v>
      </c>
      <c r="BP205" s="129">
        <v>10258</v>
      </c>
      <c r="BQ205" s="129">
        <v>9162</v>
      </c>
      <c r="BR205" s="129">
        <v>8312</v>
      </c>
      <c r="BS205" s="129">
        <v>8730</v>
      </c>
      <c r="BT205" s="129">
        <v>5914</v>
      </c>
      <c r="BU205" s="129">
        <v>9130</v>
      </c>
      <c r="BV205" s="129">
        <v>8412</v>
      </c>
      <c r="BW205" s="129">
        <v>8850</v>
      </c>
      <c r="BX205" s="129">
        <v>9253</v>
      </c>
      <c r="BY205" s="129">
        <v>9632</v>
      </c>
      <c r="BZ205" s="129">
        <v>8794</v>
      </c>
      <c r="CA205" s="129">
        <v>8867</v>
      </c>
      <c r="CB205" s="129">
        <v>8865</v>
      </c>
      <c r="CC205" s="129">
        <v>7938</v>
      </c>
      <c r="CD205" s="129">
        <v>9864</v>
      </c>
      <c r="CE205" s="129">
        <v>11056</v>
      </c>
      <c r="CF205" s="129">
        <v>10929</v>
      </c>
      <c r="CG205" s="129">
        <v>14334</v>
      </c>
      <c r="CH205" s="129">
        <v>11613</v>
      </c>
      <c r="CI205" s="129">
        <v>12041</v>
      </c>
      <c r="CJ205" s="129">
        <v>12192.285714285714</v>
      </c>
      <c r="CK205" s="129">
        <v>12753</v>
      </c>
      <c r="CL205" s="129">
        <v>11762</v>
      </c>
      <c r="CM205" s="129">
        <v>15097</v>
      </c>
      <c r="CN205" s="129">
        <v>12366</v>
      </c>
      <c r="CO205" s="129">
        <v>12725</v>
      </c>
      <c r="CP205" s="129">
        <v>15982</v>
      </c>
      <c r="CQ205" s="129">
        <v>17576</v>
      </c>
      <c r="CR205" s="129">
        <v>14807</v>
      </c>
      <c r="CS205" s="129">
        <v>16187</v>
      </c>
      <c r="CT205" s="129">
        <f>SUM(CT206)</f>
        <v>14757.837443303892</v>
      </c>
      <c r="CU205" s="129">
        <f t="shared" ref="CU205:EC205" si="645">SUM(CU206)</f>
        <v>14908.037655765098</v>
      </c>
      <c r="CV205" s="129">
        <f t="shared" si="645"/>
        <v>14897.372551921699</v>
      </c>
      <c r="CW205" s="129">
        <f t="shared" si="645"/>
        <v>15122.228491286704</v>
      </c>
      <c r="CX205" s="129">
        <f t="shared" si="645"/>
        <v>14249.467493435186</v>
      </c>
      <c r="CY205" s="129">
        <f t="shared" si="645"/>
        <v>15587.938025781808</v>
      </c>
      <c r="CZ205" s="129">
        <f t="shared" si="645"/>
        <v>15156.890078777749</v>
      </c>
      <c r="DA205" s="129">
        <f t="shared" si="645"/>
        <v>15192.440424922414</v>
      </c>
      <c r="DB205" s="129">
        <f t="shared" si="645"/>
        <v>18648.82282883743</v>
      </c>
      <c r="DC205" s="129">
        <f t="shared" si="645"/>
        <v>20093.944399618045</v>
      </c>
      <c r="DD205" s="129">
        <f t="shared" si="645"/>
        <v>17226.808983050847</v>
      </c>
      <c r="DE205" s="129">
        <f t="shared" si="645"/>
        <v>18615.049999999996</v>
      </c>
      <c r="DF205" s="129">
        <f t="shared" si="645"/>
        <v>16971.513059799472</v>
      </c>
      <c r="DG205" s="129">
        <f t="shared" si="645"/>
        <v>17144.243304129861</v>
      </c>
      <c r="DH205" s="129">
        <f t="shared" si="645"/>
        <v>17131.978434709952</v>
      </c>
      <c r="DI205" s="129">
        <f t="shared" si="645"/>
        <v>17390.562764979706</v>
      </c>
      <c r="DJ205" s="129">
        <f t="shared" si="645"/>
        <v>16386.887617450462</v>
      </c>
      <c r="DK205" s="129">
        <f t="shared" si="645"/>
        <v>17926.128729649077</v>
      </c>
      <c r="DL205" s="129">
        <f t="shared" si="645"/>
        <v>17430.423590594412</v>
      </c>
      <c r="DM205" s="129">
        <f t="shared" si="645"/>
        <v>17471.306488660775</v>
      </c>
      <c r="DN205" s="129">
        <f t="shared" si="645"/>
        <v>21446.146253163039</v>
      </c>
      <c r="DO205" s="129">
        <f t="shared" si="645"/>
        <v>23108.036059560749</v>
      </c>
      <c r="DP205" s="129">
        <f t="shared" si="645"/>
        <v>19810.83033050847</v>
      </c>
      <c r="DQ205" s="129">
        <f t="shared" si="645"/>
        <v>21407.307499999995</v>
      </c>
      <c r="DR205" s="129">
        <f t="shared" si="645"/>
        <v>19517.240018769393</v>
      </c>
      <c r="DS205" s="129">
        <f t="shared" si="645"/>
        <v>19715.879799749338</v>
      </c>
      <c r="DT205" s="129">
        <f t="shared" si="645"/>
        <v>19701.775199916447</v>
      </c>
      <c r="DU205" s="129">
        <f t="shared" si="645"/>
        <v>19999.147179726664</v>
      </c>
      <c r="DV205" s="129">
        <f t="shared" si="645"/>
        <v>18844.920760068027</v>
      </c>
      <c r="DW205" s="129">
        <f t="shared" si="645"/>
        <v>20615.048039096437</v>
      </c>
      <c r="DX205" s="129">
        <f t="shared" si="645"/>
        <v>20044.98712918357</v>
      </c>
      <c r="DY205" s="129">
        <f t="shared" si="645"/>
        <v>20092.002461959888</v>
      </c>
      <c r="DZ205" s="129">
        <f t="shared" si="645"/>
        <v>24663.068191137496</v>
      </c>
      <c r="EA205" s="129">
        <f t="shared" si="645"/>
        <v>26574.24146849486</v>
      </c>
      <c r="EB205" s="129">
        <f t="shared" si="645"/>
        <v>22782.454880084737</v>
      </c>
      <c r="EC205" s="129">
        <f t="shared" si="645"/>
        <v>24618.403624999992</v>
      </c>
      <c r="ED205" s="113" t="s">
        <v>1</v>
      </c>
    </row>
    <row r="206" spans="1:134" x14ac:dyDescent="0.2">
      <c r="A206" s="713" t="s">
        <v>132</v>
      </c>
      <c r="B206" s="128">
        <v>0</v>
      </c>
      <c r="C206" s="128">
        <v>0</v>
      </c>
      <c r="D206" s="128">
        <v>0</v>
      </c>
      <c r="E206" s="128">
        <v>0</v>
      </c>
      <c r="F206" s="128">
        <v>0</v>
      </c>
      <c r="G206" s="128">
        <v>0</v>
      </c>
      <c r="H206" s="128">
        <v>0</v>
      </c>
      <c r="I206" s="128">
        <v>0</v>
      </c>
      <c r="J206" s="128">
        <v>0</v>
      </c>
      <c r="K206" s="129">
        <f t="shared" ref="K206:AP206" si="646">K159-K176</f>
        <v>0</v>
      </c>
      <c r="L206" s="129">
        <f t="shared" si="646"/>
        <v>0</v>
      </c>
      <c r="M206" s="129">
        <f t="shared" si="646"/>
        <v>0</v>
      </c>
      <c r="N206" s="129">
        <f t="shared" si="646"/>
        <v>0</v>
      </c>
      <c r="O206" s="129">
        <f t="shared" si="646"/>
        <v>0</v>
      </c>
      <c r="P206" s="129">
        <f t="shared" si="646"/>
        <v>0</v>
      </c>
      <c r="Q206" s="129">
        <f t="shared" si="646"/>
        <v>0</v>
      </c>
      <c r="R206" s="129">
        <f t="shared" si="646"/>
        <v>0</v>
      </c>
      <c r="S206" s="129">
        <f t="shared" si="646"/>
        <v>0</v>
      </c>
      <c r="T206" s="129">
        <f t="shared" si="646"/>
        <v>0</v>
      </c>
      <c r="U206" s="129">
        <f t="shared" si="646"/>
        <v>0</v>
      </c>
      <c r="V206" s="129">
        <f t="shared" si="646"/>
        <v>0</v>
      </c>
      <c r="W206" s="129">
        <f t="shared" si="646"/>
        <v>0</v>
      </c>
      <c r="X206" s="129">
        <f t="shared" si="646"/>
        <v>0</v>
      </c>
      <c r="Y206" s="129">
        <f t="shared" si="646"/>
        <v>0</v>
      </c>
      <c r="Z206" s="129">
        <f t="shared" si="646"/>
        <v>0</v>
      </c>
      <c r="AA206" s="129">
        <f t="shared" si="646"/>
        <v>60</v>
      </c>
      <c r="AB206" s="129">
        <f t="shared" si="646"/>
        <v>63</v>
      </c>
      <c r="AC206" s="129">
        <f t="shared" si="646"/>
        <v>37</v>
      </c>
      <c r="AD206" s="129">
        <f t="shared" si="646"/>
        <v>32</v>
      </c>
      <c r="AE206" s="129">
        <f t="shared" si="646"/>
        <v>74</v>
      </c>
      <c r="AF206" s="129">
        <f t="shared" si="646"/>
        <v>99</v>
      </c>
      <c r="AG206" s="129">
        <f t="shared" si="646"/>
        <v>58</v>
      </c>
      <c r="AH206" s="129">
        <f t="shared" si="646"/>
        <v>242</v>
      </c>
      <c r="AI206" s="129">
        <f t="shared" si="646"/>
        <v>247</v>
      </c>
      <c r="AJ206" s="129">
        <f t="shared" si="646"/>
        <v>246</v>
      </c>
      <c r="AK206" s="129">
        <f t="shared" si="646"/>
        <v>355</v>
      </c>
      <c r="AL206" s="129">
        <f t="shared" si="646"/>
        <v>288</v>
      </c>
      <c r="AM206" s="129">
        <f t="shared" si="646"/>
        <v>283</v>
      </c>
      <c r="AN206" s="129">
        <f t="shared" si="646"/>
        <v>345</v>
      </c>
      <c r="AO206" s="129">
        <f t="shared" si="646"/>
        <v>372</v>
      </c>
      <c r="AP206" s="129">
        <f t="shared" si="646"/>
        <v>409</v>
      </c>
      <c r="AQ206" s="129">
        <f t="shared" ref="AQ206:BV206" si="647">AQ159-AQ176</f>
        <v>426</v>
      </c>
      <c r="AR206" s="129">
        <f t="shared" si="647"/>
        <v>200</v>
      </c>
      <c r="AS206" s="129">
        <f t="shared" si="647"/>
        <v>754</v>
      </c>
      <c r="AT206" s="129">
        <f t="shared" si="647"/>
        <v>883</v>
      </c>
      <c r="AU206" s="129">
        <f t="shared" si="647"/>
        <v>1382</v>
      </c>
      <c r="AV206" s="129">
        <f t="shared" si="647"/>
        <v>1458</v>
      </c>
      <c r="AW206" s="129">
        <f t="shared" si="647"/>
        <v>955</v>
      </c>
      <c r="AX206" s="129">
        <f t="shared" si="647"/>
        <v>1068</v>
      </c>
      <c r="AY206" s="129">
        <f t="shared" si="647"/>
        <v>1202</v>
      </c>
      <c r="AZ206" s="129">
        <f t="shared" si="647"/>
        <v>1961</v>
      </c>
      <c r="BA206" s="129">
        <f t="shared" si="647"/>
        <v>1887</v>
      </c>
      <c r="BB206" s="129">
        <f t="shared" si="647"/>
        <v>1463</v>
      </c>
      <c r="BC206" s="129">
        <f t="shared" si="647"/>
        <v>1644</v>
      </c>
      <c r="BD206" s="129">
        <f t="shared" si="647"/>
        <v>2401</v>
      </c>
      <c r="BE206" s="129">
        <f t="shared" si="647"/>
        <v>1633</v>
      </c>
      <c r="BF206" s="129">
        <f t="shared" si="647"/>
        <v>1677</v>
      </c>
      <c r="BG206" s="129">
        <f t="shared" si="647"/>
        <v>1916</v>
      </c>
      <c r="BH206" s="129">
        <f t="shared" si="647"/>
        <v>3127</v>
      </c>
      <c r="BI206" s="129">
        <f t="shared" si="647"/>
        <v>5268</v>
      </c>
      <c r="BJ206" s="129">
        <f t="shared" si="647"/>
        <v>7153</v>
      </c>
      <c r="BK206" s="129">
        <f t="shared" si="647"/>
        <v>7294</v>
      </c>
      <c r="BL206" s="129">
        <f t="shared" si="647"/>
        <v>9565</v>
      </c>
      <c r="BM206" s="129">
        <f t="shared" si="647"/>
        <v>6251</v>
      </c>
      <c r="BN206" s="129">
        <f t="shared" si="647"/>
        <v>7619</v>
      </c>
      <c r="BO206" s="129">
        <f t="shared" si="647"/>
        <v>7870</v>
      </c>
      <c r="BP206" s="129">
        <f t="shared" si="647"/>
        <v>10258</v>
      </c>
      <c r="BQ206" s="129">
        <f t="shared" si="647"/>
        <v>9162</v>
      </c>
      <c r="BR206" s="129">
        <f t="shared" si="647"/>
        <v>8312</v>
      </c>
      <c r="BS206" s="129">
        <f t="shared" si="647"/>
        <v>8730</v>
      </c>
      <c r="BT206" s="129">
        <f t="shared" si="647"/>
        <v>5914</v>
      </c>
      <c r="BU206" s="129">
        <f t="shared" si="647"/>
        <v>9130</v>
      </c>
      <c r="BV206" s="129">
        <f t="shared" si="647"/>
        <v>8412</v>
      </c>
      <c r="BW206" s="129">
        <f t="shared" ref="BW206:CS206" si="648">BW159-BW176</f>
        <v>8850</v>
      </c>
      <c r="BX206" s="129">
        <f t="shared" si="648"/>
        <v>9253</v>
      </c>
      <c r="BY206" s="129">
        <f t="shared" si="648"/>
        <v>9632</v>
      </c>
      <c r="BZ206" s="129">
        <f t="shared" si="648"/>
        <v>8794</v>
      </c>
      <c r="CA206" s="129">
        <f t="shared" si="648"/>
        <v>8867</v>
      </c>
      <c r="CB206" s="129">
        <f t="shared" si="648"/>
        <v>8865</v>
      </c>
      <c r="CC206" s="129">
        <f t="shared" si="648"/>
        <v>7938</v>
      </c>
      <c r="CD206" s="129">
        <f t="shared" si="648"/>
        <v>9864</v>
      </c>
      <c r="CE206" s="129">
        <f t="shared" si="648"/>
        <v>11056</v>
      </c>
      <c r="CF206" s="129">
        <f t="shared" si="648"/>
        <v>10929</v>
      </c>
      <c r="CG206" s="129">
        <f t="shared" si="648"/>
        <v>14334</v>
      </c>
      <c r="CH206" s="129">
        <f t="shared" si="648"/>
        <v>11613</v>
      </c>
      <c r="CI206" s="129">
        <f t="shared" si="648"/>
        <v>12041</v>
      </c>
      <c r="CJ206" s="129">
        <f t="shared" si="648"/>
        <v>12192.285714285714</v>
      </c>
      <c r="CK206" s="129">
        <f t="shared" si="648"/>
        <v>12753</v>
      </c>
      <c r="CL206" s="129">
        <f t="shared" si="648"/>
        <v>11762</v>
      </c>
      <c r="CM206" s="129">
        <f t="shared" si="648"/>
        <v>15097</v>
      </c>
      <c r="CN206" s="129">
        <f t="shared" si="648"/>
        <v>12366</v>
      </c>
      <c r="CO206" s="129">
        <f t="shared" si="648"/>
        <v>12725</v>
      </c>
      <c r="CP206" s="129">
        <f t="shared" si="648"/>
        <v>15982</v>
      </c>
      <c r="CQ206" s="129">
        <f t="shared" si="648"/>
        <v>17576</v>
      </c>
      <c r="CR206" s="129">
        <f t="shared" si="648"/>
        <v>14807</v>
      </c>
      <c r="CS206" s="129">
        <f t="shared" si="648"/>
        <v>16187</v>
      </c>
      <c r="CT206" s="129">
        <f t="shared" ref="CT206:DQ206" si="649">CT159-CT176</f>
        <v>14757.837443303892</v>
      </c>
      <c r="CU206" s="129">
        <f t="shared" si="649"/>
        <v>14908.037655765098</v>
      </c>
      <c r="CV206" s="129">
        <f t="shared" si="649"/>
        <v>14897.372551921699</v>
      </c>
      <c r="CW206" s="129">
        <f t="shared" si="649"/>
        <v>15122.228491286704</v>
      </c>
      <c r="CX206" s="129">
        <f t="shared" si="649"/>
        <v>14249.467493435186</v>
      </c>
      <c r="CY206" s="129">
        <f t="shared" si="649"/>
        <v>15587.938025781808</v>
      </c>
      <c r="CZ206" s="129">
        <f t="shared" si="649"/>
        <v>15156.890078777749</v>
      </c>
      <c r="DA206" s="129">
        <f t="shared" si="649"/>
        <v>15192.440424922414</v>
      </c>
      <c r="DB206" s="129">
        <f t="shared" si="649"/>
        <v>18648.82282883743</v>
      </c>
      <c r="DC206" s="129">
        <f t="shared" si="649"/>
        <v>20093.944399618045</v>
      </c>
      <c r="DD206" s="129">
        <f t="shared" si="649"/>
        <v>17226.808983050847</v>
      </c>
      <c r="DE206" s="129">
        <f t="shared" si="649"/>
        <v>18615.049999999996</v>
      </c>
      <c r="DF206" s="129">
        <f t="shared" si="649"/>
        <v>16971.513059799472</v>
      </c>
      <c r="DG206" s="129">
        <f t="shared" si="649"/>
        <v>17144.243304129861</v>
      </c>
      <c r="DH206" s="129">
        <f t="shared" si="649"/>
        <v>17131.978434709952</v>
      </c>
      <c r="DI206" s="129">
        <f t="shared" si="649"/>
        <v>17390.562764979706</v>
      </c>
      <c r="DJ206" s="129">
        <f t="shared" si="649"/>
        <v>16386.887617450462</v>
      </c>
      <c r="DK206" s="129">
        <f t="shared" si="649"/>
        <v>17926.128729649077</v>
      </c>
      <c r="DL206" s="129">
        <f t="shared" si="649"/>
        <v>17430.423590594412</v>
      </c>
      <c r="DM206" s="129">
        <f t="shared" si="649"/>
        <v>17471.306488660775</v>
      </c>
      <c r="DN206" s="129">
        <f t="shared" si="649"/>
        <v>21446.146253163039</v>
      </c>
      <c r="DO206" s="129">
        <f t="shared" si="649"/>
        <v>23108.036059560749</v>
      </c>
      <c r="DP206" s="129">
        <f t="shared" si="649"/>
        <v>19810.83033050847</v>
      </c>
      <c r="DQ206" s="129">
        <f t="shared" si="649"/>
        <v>21407.307499999995</v>
      </c>
      <c r="DR206" s="129">
        <f t="shared" ref="DR206:EC206" si="650">DR159-DR176</f>
        <v>19517.240018769393</v>
      </c>
      <c r="DS206" s="129">
        <f t="shared" si="650"/>
        <v>19715.879799749338</v>
      </c>
      <c r="DT206" s="129">
        <f t="shared" si="650"/>
        <v>19701.775199916447</v>
      </c>
      <c r="DU206" s="129">
        <f t="shared" si="650"/>
        <v>19999.147179726664</v>
      </c>
      <c r="DV206" s="129">
        <f t="shared" si="650"/>
        <v>18844.920760068027</v>
      </c>
      <c r="DW206" s="129">
        <f t="shared" si="650"/>
        <v>20615.048039096437</v>
      </c>
      <c r="DX206" s="129">
        <f t="shared" si="650"/>
        <v>20044.98712918357</v>
      </c>
      <c r="DY206" s="129">
        <f t="shared" si="650"/>
        <v>20092.002461959888</v>
      </c>
      <c r="DZ206" s="129">
        <f t="shared" si="650"/>
        <v>24663.068191137496</v>
      </c>
      <c r="EA206" s="129">
        <f t="shared" si="650"/>
        <v>26574.24146849486</v>
      </c>
      <c r="EB206" s="129">
        <f t="shared" si="650"/>
        <v>22782.454880084737</v>
      </c>
      <c r="EC206" s="129">
        <f t="shared" si="650"/>
        <v>24618.403624999992</v>
      </c>
      <c r="ED206" s="113" t="s">
        <v>1</v>
      </c>
    </row>
    <row r="207" spans="1:134" x14ac:dyDescent="0.2">
      <c r="A207" s="713" t="s">
        <v>133</v>
      </c>
      <c r="B207" s="128">
        <v>0</v>
      </c>
      <c r="C207" s="128">
        <v>0</v>
      </c>
      <c r="D207" s="128">
        <v>0</v>
      </c>
      <c r="E207" s="128">
        <v>0</v>
      </c>
      <c r="F207" s="128">
        <v>0</v>
      </c>
      <c r="G207" s="128">
        <v>0</v>
      </c>
      <c r="H207" s="128">
        <v>0</v>
      </c>
      <c r="I207" s="128">
        <v>0</v>
      </c>
      <c r="J207" s="128">
        <v>0</v>
      </c>
      <c r="K207" s="129">
        <f>K160-K181</f>
        <v>80</v>
      </c>
      <c r="L207" s="129">
        <f t="shared" ref="L207:BW207" si="651">L160-L181</f>
        <v>432</v>
      </c>
      <c r="M207" s="129">
        <f t="shared" si="651"/>
        <v>1705</v>
      </c>
      <c r="N207" s="129">
        <f t="shared" si="651"/>
        <v>2055</v>
      </c>
      <c r="O207" s="129">
        <f t="shared" si="651"/>
        <v>2301</v>
      </c>
      <c r="P207" s="129">
        <f t="shared" si="651"/>
        <v>1621</v>
      </c>
      <c r="Q207" s="129">
        <f t="shared" si="651"/>
        <v>3131</v>
      </c>
      <c r="R207" s="129">
        <f t="shared" si="651"/>
        <v>2883</v>
      </c>
      <c r="S207" s="129">
        <f t="shared" si="651"/>
        <v>3656</v>
      </c>
      <c r="T207" s="129">
        <f t="shared" si="651"/>
        <v>3261</v>
      </c>
      <c r="U207" s="129">
        <f t="shared" si="651"/>
        <v>1240</v>
      </c>
      <c r="V207" s="129">
        <f t="shared" si="651"/>
        <v>1688</v>
      </c>
      <c r="W207" s="129">
        <f t="shared" si="651"/>
        <v>2470</v>
      </c>
      <c r="X207" s="129">
        <f t="shared" si="651"/>
        <v>245</v>
      </c>
      <c r="Y207" s="129">
        <f t="shared" si="651"/>
        <v>1399</v>
      </c>
      <c r="Z207" s="129">
        <f t="shared" si="651"/>
        <v>-233</v>
      </c>
      <c r="AA207" s="129">
        <f t="shared" si="651"/>
        <v>1697</v>
      </c>
      <c r="AB207" s="129">
        <f t="shared" si="651"/>
        <v>806</v>
      </c>
      <c r="AC207" s="129">
        <f t="shared" si="651"/>
        <v>492</v>
      </c>
      <c r="AD207" s="129">
        <f t="shared" si="651"/>
        <v>630</v>
      </c>
      <c r="AE207" s="129">
        <f t="shared" si="651"/>
        <v>971</v>
      </c>
      <c r="AF207" s="129">
        <f t="shared" si="651"/>
        <v>1594</v>
      </c>
      <c r="AG207" s="129">
        <f t="shared" si="651"/>
        <v>1496</v>
      </c>
      <c r="AH207" s="129">
        <f t="shared" si="651"/>
        <v>2310</v>
      </c>
      <c r="AI207" s="129">
        <f t="shared" si="651"/>
        <v>2877</v>
      </c>
      <c r="AJ207" s="129">
        <f t="shared" si="651"/>
        <v>1475</v>
      </c>
      <c r="AK207" s="129">
        <f t="shared" si="651"/>
        <v>2007</v>
      </c>
      <c r="AL207" s="129">
        <f t="shared" si="651"/>
        <v>1786</v>
      </c>
      <c r="AM207" s="129">
        <f t="shared" si="651"/>
        <v>982</v>
      </c>
      <c r="AN207" s="129">
        <f t="shared" si="651"/>
        <v>1503</v>
      </c>
      <c r="AO207" s="129">
        <f t="shared" si="651"/>
        <v>1180</v>
      </c>
      <c r="AP207" s="129">
        <f t="shared" si="651"/>
        <v>575</v>
      </c>
      <c r="AQ207" s="129">
        <f t="shared" si="651"/>
        <v>669</v>
      </c>
      <c r="AR207" s="129">
        <f t="shared" si="651"/>
        <v>1106</v>
      </c>
      <c r="AS207" s="129">
        <f t="shared" si="651"/>
        <v>2245</v>
      </c>
      <c r="AT207" s="129">
        <f t="shared" si="651"/>
        <v>2790</v>
      </c>
      <c r="AU207" s="129">
        <f t="shared" si="651"/>
        <v>2477</v>
      </c>
      <c r="AV207" s="129">
        <f t="shared" si="651"/>
        <v>1524</v>
      </c>
      <c r="AW207" s="129">
        <f t="shared" si="651"/>
        <v>562</v>
      </c>
      <c r="AX207" s="129">
        <f t="shared" si="651"/>
        <v>362</v>
      </c>
      <c r="AY207" s="129">
        <f t="shared" si="651"/>
        <v>1021</v>
      </c>
      <c r="AZ207" s="129">
        <f t="shared" si="651"/>
        <v>259</v>
      </c>
      <c r="BA207" s="129">
        <f t="shared" si="651"/>
        <v>754</v>
      </c>
      <c r="BB207" s="129">
        <f t="shared" si="651"/>
        <v>630</v>
      </c>
      <c r="BC207" s="129">
        <f t="shared" si="651"/>
        <v>1423</v>
      </c>
      <c r="BD207" s="129">
        <f t="shared" si="651"/>
        <v>1649</v>
      </c>
      <c r="BE207" s="129">
        <f t="shared" si="651"/>
        <v>1289</v>
      </c>
      <c r="BF207" s="129">
        <f t="shared" si="651"/>
        <v>953</v>
      </c>
      <c r="BG207" s="129">
        <f t="shared" si="651"/>
        <v>627</v>
      </c>
      <c r="BH207" s="129">
        <f t="shared" si="651"/>
        <v>1218</v>
      </c>
      <c r="BI207" s="129">
        <f t="shared" si="651"/>
        <v>1757</v>
      </c>
      <c r="BJ207" s="129">
        <f t="shared" si="651"/>
        <v>1203</v>
      </c>
      <c r="BK207" s="129">
        <f t="shared" si="651"/>
        <v>-114</v>
      </c>
      <c r="BL207" s="129">
        <f t="shared" si="651"/>
        <v>-16</v>
      </c>
      <c r="BM207" s="129">
        <f t="shared" si="651"/>
        <v>0</v>
      </c>
      <c r="BN207" s="129">
        <f t="shared" si="651"/>
        <v>0</v>
      </c>
      <c r="BO207" s="129">
        <f t="shared" si="651"/>
        <v>0</v>
      </c>
      <c r="BP207" s="129">
        <f t="shared" si="651"/>
        <v>0</v>
      </c>
      <c r="BQ207" s="129">
        <f t="shared" si="651"/>
        <v>0</v>
      </c>
      <c r="BR207" s="129">
        <f t="shared" si="651"/>
        <v>0</v>
      </c>
      <c r="BS207" s="129">
        <f t="shared" si="651"/>
        <v>0</v>
      </c>
      <c r="BT207" s="129">
        <f t="shared" si="651"/>
        <v>0</v>
      </c>
      <c r="BU207" s="129">
        <f t="shared" si="651"/>
        <v>0</v>
      </c>
      <c r="BV207" s="129">
        <f t="shared" si="651"/>
        <v>0</v>
      </c>
      <c r="BW207" s="129">
        <f t="shared" si="651"/>
        <v>0</v>
      </c>
      <c r="BX207" s="129">
        <f t="shared" ref="BX207:DQ207" si="652">BX160-BX181</f>
        <v>0</v>
      </c>
      <c r="BY207" s="129">
        <f t="shared" si="652"/>
        <v>0</v>
      </c>
      <c r="BZ207" s="129">
        <f t="shared" si="652"/>
        <v>0</v>
      </c>
      <c r="CA207" s="129">
        <f t="shared" si="652"/>
        <v>0</v>
      </c>
      <c r="CB207" s="129">
        <f t="shared" si="652"/>
        <v>0</v>
      </c>
      <c r="CC207" s="129">
        <f t="shared" si="652"/>
        <v>0</v>
      </c>
      <c r="CD207" s="129">
        <f t="shared" si="652"/>
        <v>0</v>
      </c>
      <c r="CE207" s="129">
        <f t="shared" si="652"/>
        <v>0</v>
      </c>
      <c r="CF207" s="129">
        <f t="shared" si="652"/>
        <v>0</v>
      </c>
      <c r="CG207" s="129">
        <f t="shared" si="652"/>
        <v>0</v>
      </c>
      <c r="CH207" s="129">
        <f t="shared" si="652"/>
        <v>0</v>
      </c>
      <c r="CI207" s="129">
        <f t="shared" si="652"/>
        <v>0</v>
      </c>
      <c r="CJ207" s="129">
        <f t="shared" si="652"/>
        <v>0</v>
      </c>
      <c r="CK207" s="129">
        <f t="shared" si="652"/>
        <v>0</v>
      </c>
      <c r="CL207" s="129">
        <f t="shared" si="652"/>
        <v>0</v>
      </c>
      <c r="CM207" s="129">
        <f t="shared" si="652"/>
        <v>0</v>
      </c>
      <c r="CN207" s="129">
        <f t="shared" si="652"/>
        <v>0</v>
      </c>
      <c r="CO207" s="129">
        <f t="shared" si="652"/>
        <v>0</v>
      </c>
      <c r="CP207" s="129">
        <f t="shared" si="652"/>
        <v>0</v>
      </c>
      <c r="CQ207" s="129">
        <f t="shared" si="652"/>
        <v>0</v>
      </c>
      <c r="CR207" s="129">
        <f t="shared" si="652"/>
        <v>0</v>
      </c>
      <c r="CS207" s="129">
        <f t="shared" si="652"/>
        <v>0</v>
      </c>
      <c r="CT207" s="129">
        <f t="shared" si="652"/>
        <v>0</v>
      </c>
      <c r="CU207" s="129">
        <f t="shared" si="652"/>
        <v>0</v>
      </c>
      <c r="CV207" s="129">
        <f t="shared" si="652"/>
        <v>0</v>
      </c>
      <c r="CW207" s="129">
        <f t="shared" si="652"/>
        <v>0</v>
      </c>
      <c r="CX207" s="129">
        <f t="shared" si="652"/>
        <v>0</v>
      </c>
      <c r="CY207" s="129">
        <f t="shared" si="652"/>
        <v>0</v>
      </c>
      <c r="CZ207" s="129">
        <f t="shared" si="652"/>
        <v>0</v>
      </c>
      <c r="DA207" s="129">
        <f t="shared" si="652"/>
        <v>0</v>
      </c>
      <c r="DB207" s="129">
        <f t="shared" si="652"/>
        <v>0</v>
      </c>
      <c r="DC207" s="129">
        <f t="shared" si="652"/>
        <v>0</v>
      </c>
      <c r="DD207" s="129">
        <f t="shared" si="652"/>
        <v>0</v>
      </c>
      <c r="DE207" s="129">
        <f t="shared" si="652"/>
        <v>0</v>
      </c>
      <c r="DF207" s="129">
        <f t="shared" si="652"/>
        <v>0</v>
      </c>
      <c r="DG207" s="129">
        <f t="shared" si="652"/>
        <v>0</v>
      </c>
      <c r="DH207" s="129">
        <f t="shared" si="652"/>
        <v>0</v>
      </c>
      <c r="DI207" s="129">
        <f t="shared" si="652"/>
        <v>0</v>
      </c>
      <c r="DJ207" s="129">
        <f t="shared" si="652"/>
        <v>0</v>
      </c>
      <c r="DK207" s="129">
        <f t="shared" si="652"/>
        <v>0</v>
      </c>
      <c r="DL207" s="129">
        <f t="shared" si="652"/>
        <v>0</v>
      </c>
      <c r="DM207" s="129">
        <f t="shared" si="652"/>
        <v>0</v>
      </c>
      <c r="DN207" s="129">
        <f t="shared" si="652"/>
        <v>0</v>
      </c>
      <c r="DO207" s="129">
        <f t="shared" si="652"/>
        <v>0</v>
      </c>
      <c r="DP207" s="129">
        <f t="shared" si="652"/>
        <v>0</v>
      </c>
      <c r="DQ207" s="129">
        <f t="shared" si="652"/>
        <v>0</v>
      </c>
      <c r="DR207" s="129">
        <f t="shared" ref="DR207:EC207" si="653">DR160-DR181</f>
        <v>0</v>
      </c>
      <c r="DS207" s="129">
        <f t="shared" si="653"/>
        <v>0</v>
      </c>
      <c r="DT207" s="129">
        <f t="shared" si="653"/>
        <v>0</v>
      </c>
      <c r="DU207" s="129">
        <f t="shared" si="653"/>
        <v>0</v>
      </c>
      <c r="DV207" s="129">
        <f t="shared" si="653"/>
        <v>0</v>
      </c>
      <c r="DW207" s="129">
        <f t="shared" si="653"/>
        <v>0</v>
      </c>
      <c r="DX207" s="129">
        <f t="shared" si="653"/>
        <v>0</v>
      </c>
      <c r="DY207" s="129">
        <f t="shared" si="653"/>
        <v>0</v>
      </c>
      <c r="DZ207" s="129">
        <f t="shared" si="653"/>
        <v>0</v>
      </c>
      <c r="EA207" s="129">
        <f t="shared" si="653"/>
        <v>0</v>
      </c>
      <c r="EB207" s="129">
        <f t="shared" si="653"/>
        <v>0</v>
      </c>
      <c r="EC207" s="129">
        <f t="shared" si="653"/>
        <v>0</v>
      </c>
      <c r="ED207" s="113" t="s">
        <v>1</v>
      </c>
    </row>
    <row r="208" spans="1:134" x14ac:dyDescent="0.2">
      <c r="A208" s="698" t="s">
        <v>140</v>
      </c>
      <c r="B208" s="128">
        <v>0</v>
      </c>
      <c r="C208" s="128">
        <v>0</v>
      </c>
      <c r="D208" s="128">
        <v>0</v>
      </c>
      <c r="E208" s="128">
        <v>0</v>
      </c>
      <c r="F208" s="128">
        <v>0</v>
      </c>
      <c r="G208" s="128">
        <v>0</v>
      </c>
      <c r="H208" s="128">
        <v>0</v>
      </c>
      <c r="I208" s="128">
        <v>0</v>
      </c>
      <c r="J208" s="128">
        <v>0</v>
      </c>
      <c r="K208" s="129">
        <v>0</v>
      </c>
      <c r="L208" s="129">
        <v>0</v>
      </c>
      <c r="M208" s="129">
        <v>0</v>
      </c>
      <c r="N208" s="129">
        <v>0</v>
      </c>
      <c r="O208" s="129">
        <v>0</v>
      </c>
      <c r="P208" s="129">
        <v>0</v>
      </c>
      <c r="Q208" s="129">
        <v>0</v>
      </c>
      <c r="R208" s="129">
        <v>0</v>
      </c>
      <c r="S208" s="129">
        <v>0</v>
      </c>
      <c r="T208" s="129">
        <v>0</v>
      </c>
      <c r="U208" s="129">
        <v>0</v>
      </c>
      <c r="V208" s="129">
        <v>0</v>
      </c>
      <c r="W208" s="129">
        <v>0</v>
      </c>
      <c r="X208" s="129">
        <v>0</v>
      </c>
      <c r="Y208" s="129">
        <v>0</v>
      </c>
      <c r="Z208" s="129">
        <v>0</v>
      </c>
      <c r="AA208" s="129">
        <v>0</v>
      </c>
      <c r="AB208" s="129">
        <v>165</v>
      </c>
      <c r="AC208" s="129">
        <v>4</v>
      </c>
      <c r="AD208" s="129">
        <v>0</v>
      </c>
      <c r="AE208" s="129">
        <v>17</v>
      </c>
      <c r="AF208" s="129">
        <v>0</v>
      </c>
      <c r="AG208" s="129">
        <v>0</v>
      </c>
      <c r="AH208" s="129">
        <v>0</v>
      </c>
      <c r="AI208" s="129">
        <v>0</v>
      </c>
      <c r="AJ208" s="129">
        <v>0</v>
      </c>
      <c r="AK208" s="129">
        <v>0</v>
      </c>
      <c r="AL208" s="129">
        <v>0</v>
      </c>
      <c r="AM208" s="129">
        <v>0</v>
      </c>
      <c r="AN208" s="129">
        <v>0</v>
      </c>
      <c r="AO208" s="129">
        <v>0</v>
      </c>
      <c r="AP208" s="129">
        <v>0</v>
      </c>
      <c r="AQ208" s="129">
        <v>0</v>
      </c>
      <c r="AR208" s="129">
        <v>0</v>
      </c>
      <c r="AS208" s="129">
        <v>0</v>
      </c>
      <c r="AT208" s="129">
        <v>0</v>
      </c>
      <c r="AU208" s="129">
        <v>0</v>
      </c>
      <c r="AV208" s="129">
        <v>0</v>
      </c>
      <c r="AW208" s="129">
        <v>0</v>
      </c>
      <c r="AX208" s="129">
        <v>0</v>
      </c>
      <c r="AY208" s="129">
        <v>0</v>
      </c>
      <c r="AZ208" s="129">
        <v>0</v>
      </c>
      <c r="BA208" s="129">
        <v>0</v>
      </c>
      <c r="BB208" s="129">
        <v>0</v>
      </c>
      <c r="BC208" s="129">
        <v>0</v>
      </c>
      <c r="BD208" s="129">
        <v>0</v>
      </c>
      <c r="BE208" s="129">
        <v>0</v>
      </c>
      <c r="BF208" s="129">
        <v>0</v>
      </c>
      <c r="BG208" s="129">
        <v>0</v>
      </c>
      <c r="BH208" s="129">
        <v>0</v>
      </c>
      <c r="BI208" s="129">
        <v>0</v>
      </c>
      <c r="BJ208" s="129">
        <v>0</v>
      </c>
      <c r="BK208" s="129">
        <v>0</v>
      </c>
      <c r="BL208" s="129">
        <v>0</v>
      </c>
      <c r="BM208" s="129">
        <v>0</v>
      </c>
      <c r="BN208" s="129">
        <v>0</v>
      </c>
      <c r="BO208" s="129">
        <v>0</v>
      </c>
      <c r="BP208" s="129">
        <v>0</v>
      </c>
      <c r="BQ208" s="129">
        <v>0</v>
      </c>
      <c r="BR208" s="129">
        <v>0</v>
      </c>
      <c r="BS208" s="129">
        <v>0</v>
      </c>
      <c r="BT208" s="129">
        <v>0</v>
      </c>
      <c r="BU208" s="129">
        <v>0</v>
      </c>
      <c r="BV208" s="129">
        <v>0</v>
      </c>
      <c r="BW208" s="129">
        <v>0</v>
      </c>
      <c r="BX208" s="129">
        <v>0</v>
      </c>
      <c r="BY208" s="129">
        <v>0</v>
      </c>
      <c r="BZ208" s="129">
        <v>0</v>
      </c>
      <c r="CA208" s="129">
        <v>0</v>
      </c>
      <c r="CB208" s="129">
        <v>0</v>
      </c>
      <c r="CC208" s="129">
        <v>0</v>
      </c>
      <c r="CD208" s="129">
        <v>0</v>
      </c>
      <c r="CE208" s="129">
        <v>0</v>
      </c>
      <c r="CF208" s="129">
        <v>0</v>
      </c>
      <c r="CG208" s="129">
        <v>0</v>
      </c>
      <c r="CH208" s="129">
        <v>0</v>
      </c>
      <c r="CI208" s="129">
        <v>0</v>
      </c>
      <c r="CJ208" s="129">
        <v>0</v>
      </c>
      <c r="CK208" s="129">
        <v>0</v>
      </c>
      <c r="CL208" s="129">
        <v>0</v>
      </c>
      <c r="CM208" s="129">
        <v>0</v>
      </c>
      <c r="CN208" s="129">
        <v>0</v>
      </c>
      <c r="CO208" s="129">
        <v>0</v>
      </c>
      <c r="CP208" s="129">
        <v>0</v>
      </c>
      <c r="CQ208" s="129">
        <v>0</v>
      </c>
      <c r="CR208" s="129">
        <v>0</v>
      </c>
      <c r="CS208" s="129">
        <v>0</v>
      </c>
      <c r="CT208" s="129">
        <v>0</v>
      </c>
      <c r="CU208" s="129">
        <v>0</v>
      </c>
      <c r="CV208" s="129">
        <v>0</v>
      </c>
      <c r="CW208" s="129">
        <v>0</v>
      </c>
      <c r="CX208" s="129">
        <v>0</v>
      </c>
      <c r="CY208" s="129">
        <v>0</v>
      </c>
      <c r="CZ208" s="129">
        <v>0</v>
      </c>
      <c r="DA208" s="129">
        <v>0</v>
      </c>
      <c r="DB208" s="129">
        <v>0</v>
      </c>
      <c r="DC208" s="129">
        <v>0</v>
      </c>
      <c r="DD208" s="129">
        <v>0</v>
      </c>
      <c r="DE208" s="129">
        <v>0</v>
      </c>
      <c r="DF208" s="129">
        <v>0</v>
      </c>
      <c r="DG208" s="129">
        <v>0</v>
      </c>
      <c r="DH208" s="129">
        <v>0</v>
      </c>
      <c r="DI208" s="129">
        <v>0</v>
      </c>
      <c r="DJ208" s="129">
        <v>0</v>
      </c>
      <c r="DK208" s="129">
        <v>0</v>
      </c>
      <c r="DL208" s="129">
        <v>0</v>
      </c>
      <c r="DM208" s="129">
        <v>0</v>
      </c>
      <c r="DN208" s="129">
        <v>0</v>
      </c>
      <c r="DO208" s="129">
        <v>0</v>
      </c>
      <c r="DP208" s="129">
        <v>0</v>
      </c>
      <c r="DQ208" s="129">
        <v>0</v>
      </c>
      <c r="DR208" s="129">
        <v>0</v>
      </c>
      <c r="DS208" s="129">
        <v>0</v>
      </c>
      <c r="DT208" s="129">
        <v>0</v>
      </c>
      <c r="DU208" s="129">
        <v>0</v>
      </c>
      <c r="DV208" s="129">
        <v>0</v>
      </c>
      <c r="DW208" s="129">
        <v>0</v>
      </c>
      <c r="DX208" s="129">
        <v>0</v>
      </c>
      <c r="DY208" s="129">
        <v>0</v>
      </c>
      <c r="DZ208" s="129">
        <v>0</v>
      </c>
      <c r="EA208" s="129">
        <v>0</v>
      </c>
      <c r="EB208" s="129">
        <v>0</v>
      </c>
      <c r="EC208" s="129">
        <v>0</v>
      </c>
      <c r="ED208" s="113" t="s">
        <v>1</v>
      </c>
    </row>
    <row r="209" spans="1:134" x14ac:dyDescent="0.2">
      <c r="A209" s="698" t="s">
        <v>14</v>
      </c>
      <c r="B209" s="128">
        <v>0</v>
      </c>
      <c r="C209" s="128">
        <v>0</v>
      </c>
      <c r="D209" s="128">
        <v>0</v>
      </c>
      <c r="E209" s="128">
        <v>0</v>
      </c>
      <c r="F209" s="128">
        <v>0</v>
      </c>
      <c r="G209" s="128">
        <v>0</v>
      </c>
      <c r="H209" s="128">
        <v>0</v>
      </c>
      <c r="I209" s="128">
        <v>0</v>
      </c>
      <c r="J209" s="128">
        <v>0</v>
      </c>
      <c r="K209" s="129">
        <f>K196/K204</f>
        <v>7385.0578839285708</v>
      </c>
      <c r="L209" s="129">
        <f t="shared" ref="L209:BW209" si="654">L196/L204</f>
        <v>8611.7862285052906</v>
      </c>
      <c r="M209" s="129">
        <f t="shared" si="654"/>
        <v>11940.419858818601</v>
      </c>
      <c r="N209" s="129">
        <f t="shared" si="654"/>
        <v>12813.509796315608</v>
      </c>
      <c r="O209" s="129">
        <f t="shared" si="654"/>
        <v>12581.541444868692</v>
      </c>
      <c r="P209" s="129">
        <f t="shared" si="654"/>
        <v>11641.367041949416</v>
      </c>
      <c r="Q209" s="129">
        <f t="shared" si="654"/>
        <v>12593.511523360861</v>
      </c>
      <c r="R209" s="129">
        <f t="shared" si="654"/>
        <v>9147.6578098211194</v>
      </c>
      <c r="S209" s="129">
        <f t="shared" si="654"/>
        <v>10318.791332838389</v>
      </c>
      <c r="T209" s="129">
        <f t="shared" si="654"/>
        <v>10517.705427892408</v>
      </c>
      <c r="U209" s="129">
        <f t="shared" si="654"/>
        <v>7915.2736635944702</v>
      </c>
      <c r="V209" s="129">
        <f t="shared" si="654"/>
        <v>10546.907526870344</v>
      </c>
      <c r="W209" s="129">
        <f t="shared" si="654"/>
        <v>9842.8166482070556</v>
      </c>
      <c r="X209" s="129">
        <f t="shared" si="654"/>
        <v>3707.6994956268186</v>
      </c>
      <c r="Y209" s="129">
        <f t="shared" si="654"/>
        <v>10384.463763657715</v>
      </c>
      <c r="Z209" s="129">
        <f t="shared" si="654"/>
        <v>9824.0823529411773</v>
      </c>
      <c r="AA209" s="129">
        <f t="shared" si="654"/>
        <v>11762.303209534743</v>
      </c>
      <c r="AB209" s="129">
        <f t="shared" si="654"/>
        <v>13485.474854932301</v>
      </c>
      <c r="AC209" s="129">
        <f t="shared" si="654"/>
        <v>18511.705440900561</v>
      </c>
      <c r="AD209" s="129">
        <f t="shared" si="654"/>
        <v>13881.223564954682</v>
      </c>
      <c r="AE209" s="129">
        <f t="shared" si="654"/>
        <v>11055.734463276836</v>
      </c>
      <c r="AF209" s="129">
        <f t="shared" si="654"/>
        <v>12570.608978145305</v>
      </c>
      <c r="AG209" s="129">
        <f t="shared" si="654"/>
        <v>11470.820463320464</v>
      </c>
      <c r="AH209" s="129">
        <f t="shared" si="654"/>
        <v>10760.241751567397</v>
      </c>
      <c r="AI209" s="129">
        <f t="shared" si="654"/>
        <v>10409.780201664533</v>
      </c>
      <c r="AJ209" s="129">
        <f t="shared" si="654"/>
        <v>11496.615339918651</v>
      </c>
      <c r="AK209" s="129">
        <f t="shared" si="654"/>
        <v>10614.664267569857</v>
      </c>
      <c r="AL209" s="129">
        <f t="shared" si="654"/>
        <v>9104.6750241080044</v>
      </c>
      <c r="AM209" s="129">
        <f t="shared" si="654"/>
        <v>9376.6781027667967</v>
      </c>
      <c r="AN209" s="129">
        <f t="shared" si="654"/>
        <v>9771.3792478355208</v>
      </c>
      <c r="AO209" s="129">
        <f t="shared" si="654"/>
        <v>9995.8157216494837</v>
      </c>
      <c r="AP209" s="129">
        <f t="shared" si="654"/>
        <v>10019.400406504064</v>
      </c>
      <c r="AQ209" s="129">
        <f t="shared" si="654"/>
        <v>11323.12602739726</v>
      </c>
      <c r="AR209" s="129">
        <f t="shared" si="654"/>
        <v>11856.68219754977</v>
      </c>
      <c r="AS209" s="129">
        <f t="shared" si="654"/>
        <v>12305.28841280427</v>
      </c>
      <c r="AT209" s="129">
        <f t="shared" si="654"/>
        <v>11566.266539613394</v>
      </c>
      <c r="AU209" s="129">
        <f t="shared" si="654"/>
        <v>12704.986221819123</v>
      </c>
      <c r="AV209" s="129">
        <f t="shared" si="654"/>
        <v>14468.520791415158</v>
      </c>
      <c r="AW209" s="129">
        <f t="shared" si="654"/>
        <v>15670.200527356625</v>
      </c>
      <c r="AX209" s="129">
        <f t="shared" si="654"/>
        <v>15033.321832167827</v>
      </c>
      <c r="AY209" s="129">
        <f t="shared" si="654"/>
        <v>13761.546612685559</v>
      </c>
      <c r="AZ209" s="129">
        <f t="shared" si="654"/>
        <v>19553.220585585586</v>
      </c>
      <c r="BA209" s="129">
        <f t="shared" si="654"/>
        <v>15216.932631579104</v>
      </c>
      <c r="BB209" s="129">
        <f t="shared" si="654"/>
        <v>13509.341834687097</v>
      </c>
      <c r="BC209" s="129">
        <f t="shared" si="654"/>
        <v>12800.130626018943</v>
      </c>
      <c r="BD209" s="129">
        <f t="shared" si="654"/>
        <v>16895.300718518563</v>
      </c>
      <c r="BE209" s="129">
        <f t="shared" si="654"/>
        <v>19743.095434633811</v>
      </c>
      <c r="BF209" s="129">
        <f t="shared" si="654"/>
        <v>18637.149517110352</v>
      </c>
      <c r="BG209" s="129">
        <f t="shared" si="654"/>
        <v>23230.200031459048</v>
      </c>
      <c r="BH209" s="129">
        <f t="shared" si="654"/>
        <v>20295.770589183026</v>
      </c>
      <c r="BI209" s="129">
        <f t="shared" si="654"/>
        <v>21775.592348754566</v>
      </c>
      <c r="BJ209" s="129">
        <f t="shared" si="654"/>
        <v>21203.209111943816</v>
      </c>
      <c r="BK209" s="129">
        <f t="shared" si="654"/>
        <v>21966.405508309163</v>
      </c>
      <c r="BL209" s="129">
        <f t="shared" si="654"/>
        <v>20170.075590782846</v>
      </c>
      <c r="BM209" s="129">
        <f t="shared" si="654"/>
        <v>21580.055725979917</v>
      </c>
      <c r="BN209" s="129">
        <f t="shared" si="654"/>
        <v>20766.429081892402</v>
      </c>
      <c r="BO209" s="129">
        <f t="shared" si="654"/>
        <v>22320.871584111508</v>
      </c>
      <c r="BP209" s="129">
        <f t="shared" si="654"/>
        <v>26966.386976857611</v>
      </c>
      <c r="BQ209" s="129">
        <f t="shared" si="654"/>
        <v>23567.101432495379</v>
      </c>
      <c r="BR209" s="129">
        <f t="shared" si="654"/>
        <v>24554.332250363339</v>
      </c>
      <c r="BS209" s="129">
        <f t="shared" si="654"/>
        <v>23895.372212199436</v>
      </c>
      <c r="BT209" s="129">
        <f t="shared" si="654"/>
        <v>25966.797095487771</v>
      </c>
      <c r="BU209" s="129">
        <f t="shared" si="654"/>
        <v>23815.258085121841</v>
      </c>
      <c r="BV209" s="129">
        <f t="shared" si="654"/>
        <v>24729.782677883635</v>
      </c>
      <c r="BW209" s="129">
        <f t="shared" si="654"/>
        <v>25482.716148928193</v>
      </c>
      <c r="BX209" s="129">
        <f t="shared" ref="BX209:DQ209" si="655">BX196/BX204</f>
        <v>25350.221305725332</v>
      </c>
      <c r="BY209" s="129">
        <f t="shared" si="655"/>
        <v>25480.817540361895</v>
      </c>
      <c r="BZ209" s="129">
        <f t="shared" si="655"/>
        <v>26338.144257289801</v>
      </c>
      <c r="CA209" s="129">
        <f t="shared" si="655"/>
        <v>27099.832108565191</v>
      </c>
      <c r="CB209" s="129">
        <f t="shared" si="655"/>
        <v>29114.782571360651</v>
      </c>
      <c r="CC209" s="129">
        <f t="shared" si="655"/>
        <v>28374.692022306022</v>
      </c>
      <c r="CD209" s="129">
        <f t="shared" si="655"/>
        <v>27203.183396275752</v>
      </c>
      <c r="CE209" s="129">
        <f t="shared" si="655"/>
        <v>27272.587954997773</v>
      </c>
      <c r="CF209" s="129">
        <f t="shared" si="655"/>
        <v>26479.579727598026</v>
      </c>
      <c r="CG209" s="129">
        <f t="shared" si="655"/>
        <v>27133.201788725415</v>
      </c>
      <c r="CH209" s="129">
        <f t="shared" si="655"/>
        <v>28723.947935338256</v>
      </c>
      <c r="CI209" s="129">
        <f t="shared" si="655"/>
        <v>28036.782586854515</v>
      </c>
      <c r="CJ209" s="129">
        <f t="shared" si="655"/>
        <v>27253.609163231929</v>
      </c>
      <c r="CK209" s="129">
        <f t="shared" si="655"/>
        <v>27329.921769580218</v>
      </c>
      <c r="CL209" s="129">
        <f t="shared" si="655"/>
        <v>26261.840620642681</v>
      </c>
      <c r="CM209" s="129">
        <f t="shared" si="655"/>
        <v>25862.100339584282</v>
      </c>
      <c r="CN209" s="129">
        <f t="shared" si="655"/>
        <v>27267.638528019725</v>
      </c>
      <c r="CO209" s="129">
        <f t="shared" si="655"/>
        <v>26212.443017728878</v>
      </c>
      <c r="CP209" s="129">
        <f t="shared" si="655"/>
        <v>25063.55371511697</v>
      </c>
      <c r="CQ209" s="129">
        <f t="shared" si="655"/>
        <v>25367.246069107856</v>
      </c>
      <c r="CR209" s="129">
        <f t="shared" si="655"/>
        <v>24285.41950211113</v>
      </c>
      <c r="CS209" s="129">
        <f t="shared" si="655"/>
        <v>26251.977459779439</v>
      </c>
      <c r="CT209" s="129">
        <f t="shared" si="655"/>
        <v>27206.978081271136</v>
      </c>
      <c r="CU209" s="129">
        <f t="shared" si="655"/>
        <v>27206.978081271132</v>
      </c>
      <c r="CV209" s="129">
        <f t="shared" si="655"/>
        <v>27206.978081271136</v>
      </c>
      <c r="CW209" s="129">
        <f t="shared" si="655"/>
        <v>27206.978081271136</v>
      </c>
      <c r="CX209" s="129">
        <f t="shared" si="655"/>
        <v>27206.978081271136</v>
      </c>
      <c r="CY209" s="129">
        <f t="shared" si="655"/>
        <v>27206.978081271132</v>
      </c>
      <c r="CZ209" s="129">
        <f t="shared" si="655"/>
        <v>27206.978081271136</v>
      </c>
      <c r="DA209" s="129">
        <f t="shared" si="655"/>
        <v>27206.978081271136</v>
      </c>
      <c r="DB209" s="129">
        <f t="shared" si="655"/>
        <v>27206.978081271132</v>
      </c>
      <c r="DC209" s="129">
        <f t="shared" si="655"/>
        <v>27206.978081271132</v>
      </c>
      <c r="DD209" s="129">
        <f t="shared" si="655"/>
        <v>27206.978081271132</v>
      </c>
      <c r="DE209" s="129">
        <f t="shared" si="655"/>
        <v>27206.978081271136</v>
      </c>
      <c r="DF209" s="129">
        <f t="shared" si="655"/>
        <v>28023.187423709274</v>
      </c>
      <c r="DG209" s="129">
        <f t="shared" si="655"/>
        <v>28023.187423709274</v>
      </c>
      <c r="DH209" s="129">
        <f t="shared" si="655"/>
        <v>28023.187423709274</v>
      </c>
      <c r="DI209" s="129">
        <f t="shared" si="655"/>
        <v>28023.187423709274</v>
      </c>
      <c r="DJ209" s="129">
        <f t="shared" si="655"/>
        <v>28023.187423709271</v>
      </c>
      <c r="DK209" s="129">
        <f t="shared" si="655"/>
        <v>28023.187423709271</v>
      </c>
      <c r="DL209" s="129">
        <f t="shared" si="655"/>
        <v>28023.187423709271</v>
      </c>
      <c r="DM209" s="129">
        <f t="shared" si="655"/>
        <v>28023.187423709271</v>
      </c>
      <c r="DN209" s="129">
        <f t="shared" si="655"/>
        <v>28023.187423709274</v>
      </c>
      <c r="DO209" s="129">
        <f t="shared" si="655"/>
        <v>28023.187423709271</v>
      </c>
      <c r="DP209" s="129">
        <f t="shared" si="655"/>
        <v>28023.187423709271</v>
      </c>
      <c r="DQ209" s="129">
        <f t="shared" si="655"/>
        <v>28023.187423709267</v>
      </c>
      <c r="DR209" s="129">
        <f t="shared" ref="DR209:EC209" si="656">DR196/DR204</f>
        <v>28863.883046420546</v>
      </c>
      <c r="DS209" s="129">
        <f t="shared" si="656"/>
        <v>28863.883046420553</v>
      </c>
      <c r="DT209" s="129">
        <f t="shared" si="656"/>
        <v>28863.883046420546</v>
      </c>
      <c r="DU209" s="129">
        <f t="shared" si="656"/>
        <v>28863.883046420546</v>
      </c>
      <c r="DV209" s="129">
        <f t="shared" si="656"/>
        <v>28863.883046420553</v>
      </c>
      <c r="DW209" s="129">
        <f t="shared" si="656"/>
        <v>28863.883046420549</v>
      </c>
      <c r="DX209" s="129">
        <f t="shared" si="656"/>
        <v>28863.883046420546</v>
      </c>
      <c r="DY209" s="129">
        <f t="shared" si="656"/>
        <v>28863.883046420546</v>
      </c>
      <c r="DZ209" s="129">
        <f t="shared" si="656"/>
        <v>28863.883046420549</v>
      </c>
      <c r="EA209" s="129">
        <f t="shared" si="656"/>
        <v>28863.883046420549</v>
      </c>
      <c r="EB209" s="129">
        <f t="shared" si="656"/>
        <v>28863.883046420553</v>
      </c>
      <c r="EC209" s="129">
        <f t="shared" si="656"/>
        <v>28863.883046420549</v>
      </c>
      <c r="ED209" s="113" t="s">
        <v>1</v>
      </c>
    </row>
    <row r="210" spans="1:134" x14ac:dyDescent="0.2">
      <c r="A210" s="707"/>
      <c r="B210" s="115"/>
      <c r="C210" s="115"/>
      <c r="D210" s="115"/>
      <c r="E210" s="115"/>
      <c r="F210" s="115"/>
      <c r="G210" s="115"/>
      <c r="H210" s="115"/>
      <c r="I210" s="115"/>
      <c r="J210" s="115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  <c r="AH210" s="129"/>
      <c r="AI210" s="129"/>
      <c r="AJ210" s="129"/>
      <c r="AK210" s="129"/>
      <c r="AL210" s="129"/>
      <c r="AM210" s="129"/>
      <c r="AN210" s="129"/>
      <c r="AO210" s="129"/>
      <c r="AP210" s="129"/>
      <c r="AQ210" s="129"/>
      <c r="AR210" s="129"/>
      <c r="AS210" s="129"/>
      <c r="AT210" s="129"/>
      <c r="AU210" s="129"/>
      <c r="AV210" s="129"/>
      <c r="AW210" s="129"/>
      <c r="AX210" s="129"/>
      <c r="AY210" s="129"/>
      <c r="AZ210" s="129"/>
      <c r="BA210" s="129"/>
      <c r="BB210" s="129"/>
      <c r="BC210" s="129"/>
      <c r="BD210" s="129"/>
      <c r="BE210" s="129"/>
      <c r="BF210" s="129"/>
      <c r="BG210" s="129"/>
      <c r="BH210" s="129"/>
      <c r="BI210" s="129"/>
      <c r="BJ210" s="129"/>
      <c r="BK210" s="129"/>
      <c r="BL210" s="129"/>
      <c r="BM210" s="129"/>
      <c r="BN210" s="129"/>
      <c r="BO210" s="129"/>
      <c r="BP210" s="129"/>
      <c r="BQ210" s="129"/>
      <c r="BR210" s="129"/>
      <c r="BS210" s="129"/>
      <c r="BT210" s="129"/>
      <c r="BU210" s="129"/>
      <c r="BV210" s="129"/>
      <c r="BW210" s="129"/>
      <c r="BX210" s="129"/>
      <c r="BY210" s="129"/>
      <c r="BZ210" s="129"/>
      <c r="CA210" s="129"/>
      <c r="CB210" s="129"/>
      <c r="CC210" s="129"/>
      <c r="CD210" s="129"/>
      <c r="CE210" s="129"/>
      <c r="CF210" s="129"/>
      <c r="CG210" s="129"/>
      <c r="CH210" s="129"/>
      <c r="CI210" s="129"/>
      <c r="CJ210" s="129"/>
      <c r="CK210" s="129"/>
      <c r="CL210" s="129"/>
      <c r="CM210" s="129"/>
      <c r="CN210" s="129"/>
      <c r="CO210" s="129"/>
      <c r="CP210" s="129"/>
      <c r="CQ210" s="129"/>
      <c r="CR210" s="129"/>
      <c r="CS210" s="129"/>
      <c r="CT210" s="129"/>
      <c r="CU210" s="129"/>
      <c r="CV210" s="129"/>
      <c r="CW210" s="129"/>
      <c r="CX210" s="129"/>
      <c r="CY210" s="129"/>
      <c r="CZ210" s="129"/>
      <c r="DA210" s="129"/>
      <c r="DB210" s="129"/>
      <c r="DC210" s="129"/>
      <c r="DD210" s="129"/>
      <c r="DE210" s="129"/>
      <c r="DF210" s="129"/>
      <c r="DG210" s="129"/>
      <c r="DH210" s="129"/>
      <c r="DI210" s="129"/>
      <c r="DJ210" s="129"/>
      <c r="DK210" s="129"/>
      <c r="DL210" s="129"/>
      <c r="DM210" s="129"/>
      <c r="DN210" s="129"/>
      <c r="DO210" s="129"/>
      <c r="DP210" s="129"/>
      <c r="DQ210" s="129"/>
      <c r="DR210" s="129"/>
      <c r="DS210" s="129"/>
      <c r="DT210" s="129"/>
      <c r="DU210" s="129"/>
      <c r="DV210" s="129"/>
      <c r="DW210" s="129"/>
      <c r="DX210" s="129"/>
      <c r="DY210" s="129"/>
      <c r="DZ210" s="129"/>
      <c r="EA210" s="129"/>
      <c r="EB210" s="129"/>
      <c r="EC210" s="644"/>
      <c r="ED210" s="113" t="s">
        <v>1</v>
      </c>
    </row>
    <row r="211" spans="1:134" s="331" customFormat="1" x14ac:dyDescent="0.2">
      <c r="A211" s="700" t="s">
        <v>11</v>
      </c>
      <c r="B211" s="330"/>
      <c r="C211" s="330"/>
      <c r="D211" s="330"/>
      <c r="E211" s="330"/>
      <c r="F211" s="330"/>
      <c r="G211" s="330"/>
      <c r="H211" s="330"/>
      <c r="I211" s="330"/>
      <c r="J211" s="330"/>
      <c r="K211" s="132">
        <f>SUM(K212:K213)</f>
        <v>23249.770714285711</v>
      </c>
      <c r="L211" s="132">
        <f t="shared" ref="L211:BW211" si="657">SUM(L212:L213)</f>
        <v>151773.31071428568</v>
      </c>
      <c r="M211" s="132">
        <f t="shared" si="657"/>
        <v>730418.59928571433</v>
      </c>
      <c r="N211" s="132">
        <f t="shared" si="657"/>
        <v>757281.53142857144</v>
      </c>
      <c r="O211" s="132">
        <f t="shared" si="657"/>
        <v>756556.81040556892</v>
      </c>
      <c r="P211" s="132">
        <f t="shared" si="657"/>
        <v>447224.04838983039</v>
      </c>
      <c r="Q211" s="132">
        <f t="shared" si="657"/>
        <v>1080000.8094733653</v>
      </c>
      <c r="R211" s="132">
        <f t="shared" si="657"/>
        <v>905353.33859564154</v>
      </c>
      <c r="S211" s="132">
        <f t="shared" si="657"/>
        <v>700174.89334140427</v>
      </c>
      <c r="T211" s="132">
        <f t="shared" si="657"/>
        <v>1189511.5252481841</v>
      </c>
      <c r="U211" s="132">
        <f t="shared" si="657"/>
        <v>178951.32087167056</v>
      </c>
      <c r="V211" s="132">
        <f t="shared" si="657"/>
        <v>533213.37343220331</v>
      </c>
      <c r="W211" s="132">
        <f t="shared" si="657"/>
        <v>429863.65383123478</v>
      </c>
      <c r="X211" s="132">
        <f t="shared" si="657"/>
        <v>-541382.27686035167</v>
      </c>
      <c r="Y211" s="132">
        <f t="shared" si="657"/>
        <v>110579.61828398175</v>
      </c>
      <c r="Z211" s="132">
        <f t="shared" si="657"/>
        <v>-158683.25237288114</v>
      </c>
      <c r="AA211" s="132">
        <f t="shared" si="657"/>
        <v>747781.27849249367</v>
      </c>
      <c r="AB211" s="132">
        <f t="shared" si="657"/>
        <v>812366.31968055281</v>
      </c>
      <c r="AC211" s="132">
        <f t="shared" si="657"/>
        <v>1055859.3830355932</v>
      </c>
      <c r="AD211" s="132">
        <f t="shared" si="657"/>
        <v>670348.56583728816</v>
      </c>
      <c r="AE211" s="132">
        <f t="shared" si="657"/>
        <v>836814.78675084771</v>
      </c>
      <c r="AF211" s="132">
        <f t="shared" si="657"/>
        <v>1384635.1033898299</v>
      </c>
      <c r="AG211" s="132">
        <f t="shared" si="657"/>
        <v>1084944.6374000001</v>
      </c>
      <c r="AH211" s="132">
        <f t="shared" si="657"/>
        <v>1553170.172755932</v>
      </c>
      <c r="AI211" s="132">
        <f t="shared" si="657"/>
        <v>1927510.123036406</v>
      </c>
      <c r="AJ211" s="132">
        <f t="shared" si="657"/>
        <v>1373930.835072</v>
      </c>
      <c r="AK211" s="132">
        <f t="shared" si="657"/>
        <v>1657000.501888677</v>
      </c>
      <c r="AL211" s="132">
        <f t="shared" si="657"/>
        <v>1164956.7958473037</v>
      </c>
      <c r="AM211" s="132">
        <f t="shared" si="657"/>
        <v>716963.30072039086</v>
      </c>
      <c r="AN211" s="132">
        <f t="shared" si="657"/>
        <v>1092481.7094915272</v>
      </c>
      <c r="AO211" s="132">
        <f t="shared" si="657"/>
        <v>1046079.4968341684</v>
      </c>
      <c r="AP211" s="132">
        <f t="shared" si="657"/>
        <v>641482.12525423756</v>
      </c>
      <c r="AQ211" s="132">
        <f t="shared" si="657"/>
        <v>790338.5954446278</v>
      </c>
      <c r="AR211" s="132">
        <f t="shared" si="657"/>
        <v>1021890.0355169473</v>
      </c>
      <c r="AS211" s="132">
        <f t="shared" si="657"/>
        <v>2293739.6112739751</v>
      </c>
      <c r="AT211" s="132">
        <f t="shared" si="657"/>
        <v>2657087.4906614665</v>
      </c>
      <c r="AU211" s="132">
        <f t="shared" si="657"/>
        <v>2993067.3670627032</v>
      </c>
      <c r="AV211" s="132">
        <f t="shared" si="657"/>
        <v>2574965.1119491514</v>
      </c>
      <c r="AW211" s="132">
        <f t="shared" si="657"/>
        <v>1337071.8836928832</v>
      </c>
      <c r="AX211" s="132">
        <f t="shared" si="657"/>
        <v>1213980.5972135607</v>
      </c>
      <c r="AY211" s="132">
        <f t="shared" si="657"/>
        <v>1652729</v>
      </c>
      <c r="AZ211" s="132">
        <f t="shared" si="657"/>
        <v>2126091.4886440691</v>
      </c>
      <c r="BA211" s="132">
        <f t="shared" si="657"/>
        <v>2101871.2657423578</v>
      </c>
      <c r="BB211" s="132">
        <f t="shared" si="657"/>
        <v>1644629.6611220364</v>
      </c>
      <c r="BC211" s="132">
        <f t="shared" si="657"/>
        <v>2188754.5927118654</v>
      </c>
      <c r="BD211" s="132">
        <f t="shared" si="657"/>
        <v>3467761.5694576185</v>
      </c>
      <c r="BE211" s="132">
        <f t="shared" si="657"/>
        <v>2843056.2790464344</v>
      </c>
      <c r="BF211" s="132">
        <f t="shared" si="657"/>
        <v>2331055.4126796662</v>
      </c>
      <c r="BG211" s="132">
        <f t="shared" si="657"/>
        <v>2660431.2799118692</v>
      </c>
      <c r="BH211" s="132">
        <f t="shared" si="657"/>
        <v>4174519.0588779431</v>
      </c>
      <c r="BI211" s="132">
        <f t="shared" si="657"/>
        <v>6364031.3191525415</v>
      </c>
      <c r="BJ211" s="132">
        <f t="shared" si="657"/>
        <v>6971324.3708644081</v>
      </c>
      <c r="BK211" s="132">
        <f t="shared" si="657"/>
        <v>6524973.1861287449</v>
      </c>
      <c r="BL211" s="132">
        <f t="shared" si="657"/>
        <v>8219570.5434075082</v>
      </c>
      <c r="BM211" s="132">
        <f t="shared" si="657"/>
        <v>5580815.1694878386</v>
      </c>
      <c r="BN211" s="132">
        <f t="shared" si="657"/>
        <v>7172450.5368256224</v>
      </c>
      <c r="BO211" s="132">
        <f t="shared" si="657"/>
        <v>6527556.6579259653</v>
      </c>
      <c r="BP211" s="132">
        <f t="shared" si="657"/>
        <v>10595798.164963771</v>
      </c>
      <c r="BQ211" s="132">
        <f t="shared" si="657"/>
        <v>9395502.2333211899</v>
      </c>
      <c r="BR211" s="132">
        <f t="shared" si="657"/>
        <v>9005456.6848356742</v>
      </c>
      <c r="BS211" s="132">
        <f t="shared" si="657"/>
        <v>10023072.933221292</v>
      </c>
      <c r="BT211" s="132">
        <f t="shared" si="657"/>
        <v>8822484.8565103933</v>
      </c>
      <c r="BU211" s="132">
        <f t="shared" si="657"/>
        <v>12397647.47121332</v>
      </c>
      <c r="BV211" s="132">
        <f t="shared" si="657"/>
        <v>10476443.635275342</v>
      </c>
      <c r="BW211" s="132">
        <f t="shared" si="657"/>
        <v>10872420.455322813</v>
      </c>
      <c r="BX211" s="132">
        <f t="shared" ref="BX211:DQ211" si="658">SUM(BX212:BX213)</f>
        <v>11729305.877416171</v>
      </c>
      <c r="BY211" s="132">
        <f t="shared" si="658"/>
        <v>12067966.926290344</v>
      </c>
      <c r="BZ211" s="132">
        <f t="shared" si="658"/>
        <v>12155838.629640646</v>
      </c>
      <c r="CA211" s="132">
        <f t="shared" si="658"/>
        <v>12222698.71987989</v>
      </c>
      <c r="CB211" s="132">
        <f t="shared" si="658"/>
        <v>14380827.164690362</v>
      </c>
      <c r="CC211" s="132">
        <f t="shared" si="658"/>
        <v>11664817.411626155</v>
      </c>
      <c r="CD211" s="132">
        <f t="shared" si="658"/>
        <v>13601462.690532621</v>
      </c>
      <c r="CE211" s="132">
        <f t="shared" si="658"/>
        <v>15549033.111793833</v>
      </c>
      <c r="CF211" s="132">
        <f t="shared" si="658"/>
        <v>14910790.514405008</v>
      </c>
      <c r="CG211" s="132">
        <f t="shared" si="658"/>
        <v>21065291.637704343</v>
      </c>
      <c r="CH211" s="132">
        <f t="shared" si="658"/>
        <v>18984566.854446828</v>
      </c>
      <c r="CI211" s="132">
        <f t="shared" si="658"/>
        <v>20218927.597169138</v>
      </c>
      <c r="CJ211" s="132">
        <f t="shared" si="658"/>
        <v>19107011.746712036</v>
      </c>
      <c r="CK211" s="132">
        <f t="shared" si="658"/>
        <v>20396822.040000036</v>
      </c>
      <c r="CL211" s="132">
        <f t="shared" si="658"/>
        <v>18556943.960000001</v>
      </c>
      <c r="CM211" s="132">
        <f t="shared" si="658"/>
        <v>19046366.440000057</v>
      </c>
      <c r="CN211" s="132">
        <f t="shared" si="658"/>
        <v>19696949.650000017</v>
      </c>
      <c r="CO211" s="132">
        <f t="shared" si="658"/>
        <v>18803466.70000004</v>
      </c>
      <c r="CP211" s="132">
        <f t="shared" si="658"/>
        <v>21632722.57000012</v>
      </c>
      <c r="CQ211" s="132">
        <f t="shared" si="658"/>
        <v>23962521.420000069</v>
      </c>
      <c r="CR211" s="132">
        <f t="shared" si="658"/>
        <v>19122657.230000034</v>
      </c>
      <c r="CS211" s="132">
        <f t="shared" si="658"/>
        <v>21896498.280000038</v>
      </c>
      <c r="CT211" s="132">
        <f>SUM(CT212:CT213)</f>
        <v>22382213.628398106</v>
      </c>
      <c r="CU211" s="132">
        <f t="shared" si="658"/>
        <v>22610012.129042439</v>
      </c>
      <c r="CV211" s="132">
        <f t="shared" si="658"/>
        <v>22593837.087576572</v>
      </c>
      <c r="CW211" s="132">
        <f t="shared" si="658"/>
        <v>22934860.878482006</v>
      </c>
      <c r="CX211" s="132">
        <f t="shared" si="658"/>
        <v>21611203.318524946</v>
      </c>
      <c r="CY211" s="132">
        <f t="shared" si="658"/>
        <v>23641171.022491675</v>
      </c>
      <c r="CZ211" s="132">
        <f t="shared" si="658"/>
        <v>22987429.763246082</v>
      </c>
      <c r="DA211" s="132">
        <f t="shared" si="658"/>
        <v>23041346.568132319</v>
      </c>
      <c r="DB211" s="132">
        <f t="shared" si="658"/>
        <v>28283407.923196465</v>
      </c>
      <c r="DC211" s="132">
        <f t="shared" si="658"/>
        <v>30475126.041821897</v>
      </c>
      <c r="DD211" s="132">
        <f t="shared" si="658"/>
        <v>26126735.727747086</v>
      </c>
      <c r="DE211" s="132">
        <f t="shared" si="658"/>
        <v>28232186.95855454</v>
      </c>
      <c r="DF211" s="132">
        <f t="shared" si="658"/>
        <v>26511732.042837553</v>
      </c>
      <c r="DG211" s="132">
        <f t="shared" si="658"/>
        <v>26781559.366850775</v>
      </c>
      <c r="DH211" s="132">
        <f t="shared" si="658"/>
        <v>26762400.030234452</v>
      </c>
      <c r="DI211" s="132">
        <f t="shared" si="658"/>
        <v>27166342.710561939</v>
      </c>
      <c r="DJ211" s="132">
        <f t="shared" si="658"/>
        <v>25598470.3307928</v>
      </c>
      <c r="DK211" s="132">
        <f t="shared" si="658"/>
        <v>28002967.076141391</v>
      </c>
      <c r="DL211" s="132">
        <f t="shared" si="658"/>
        <v>27228610.554564986</v>
      </c>
      <c r="DM211" s="132">
        <f t="shared" si="658"/>
        <v>27292475.009952731</v>
      </c>
      <c r="DN211" s="132">
        <f t="shared" si="658"/>
        <v>33501696.685026214</v>
      </c>
      <c r="DO211" s="132">
        <f t="shared" si="658"/>
        <v>36097786.79653804</v>
      </c>
      <c r="DP211" s="132">
        <f t="shared" si="658"/>
        <v>30947118.469516423</v>
      </c>
      <c r="DQ211" s="132">
        <f t="shared" si="658"/>
        <v>33441025.452407856</v>
      </c>
      <c r="DR211" s="132">
        <f t="shared" ref="DR211:EC211" si="659">SUM(DR212:DR213)</f>
        <v>31403146.604741074</v>
      </c>
      <c r="DS211" s="132">
        <f t="shared" si="659"/>
        <v>31722757.070034739</v>
      </c>
      <c r="DT211" s="132">
        <f t="shared" si="659"/>
        <v>31700062.835812703</v>
      </c>
      <c r="DU211" s="132">
        <f t="shared" si="659"/>
        <v>32178532.940660611</v>
      </c>
      <c r="DV211" s="132">
        <f t="shared" si="659"/>
        <v>30321388.10682407</v>
      </c>
      <c r="DW211" s="132">
        <f t="shared" si="659"/>
        <v>33169514.501689471</v>
      </c>
      <c r="DX211" s="132">
        <f t="shared" si="659"/>
        <v>32252289.201882217</v>
      </c>
      <c r="DY211" s="132">
        <f t="shared" si="659"/>
        <v>32327936.649289001</v>
      </c>
      <c r="DZ211" s="132">
        <f t="shared" si="659"/>
        <v>39682759.723413549</v>
      </c>
      <c r="EA211" s="132">
        <f t="shared" si="659"/>
        <v>42757828.460499309</v>
      </c>
      <c r="EB211" s="132">
        <f t="shared" si="659"/>
        <v>36656861.827142201</v>
      </c>
      <c r="EC211" s="132">
        <f t="shared" si="659"/>
        <v>39610894.648377098</v>
      </c>
      <c r="ED211" s="113" t="s">
        <v>1</v>
      </c>
    </row>
    <row r="212" spans="1:134" x14ac:dyDescent="0.2">
      <c r="A212" s="698" t="s">
        <v>132</v>
      </c>
      <c r="B212" s="115"/>
      <c r="C212" s="115"/>
      <c r="D212" s="115"/>
      <c r="E212" s="115"/>
      <c r="F212" s="115"/>
      <c r="G212" s="115"/>
      <c r="H212" s="115"/>
      <c r="I212" s="115"/>
      <c r="J212" s="115"/>
      <c r="K212" s="129">
        <v>0</v>
      </c>
      <c r="L212" s="129">
        <v>0</v>
      </c>
      <c r="M212" s="129">
        <v>0</v>
      </c>
      <c r="N212" s="129">
        <v>0</v>
      </c>
      <c r="O212" s="129">
        <v>0</v>
      </c>
      <c r="P212" s="129">
        <v>0</v>
      </c>
      <c r="Q212" s="129">
        <v>0</v>
      </c>
      <c r="R212" s="129">
        <v>0</v>
      </c>
      <c r="S212" s="129">
        <v>0</v>
      </c>
      <c r="T212" s="129">
        <v>0</v>
      </c>
      <c r="U212" s="129">
        <v>0</v>
      </c>
      <c r="V212" s="129">
        <v>0</v>
      </c>
      <c r="W212" s="129">
        <v>0</v>
      </c>
      <c r="X212" s="129">
        <v>0</v>
      </c>
      <c r="Y212" s="129">
        <v>0</v>
      </c>
      <c r="Z212" s="129">
        <v>0</v>
      </c>
      <c r="AA212" s="129">
        <v>24762.811864406776</v>
      </c>
      <c r="AB212" s="129">
        <v>25828.171186440686</v>
      </c>
      <c r="AC212" s="129">
        <v>17214.250338983045</v>
      </c>
      <c r="AD212" s="129">
        <v>11386.371525423723</v>
      </c>
      <c r="AE212" s="129">
        <v>24044.945254237282</v>
      </c>
      <c r="AF212" s="129">
        <v>24865.927627118632</v>
      </c>
      <c r="AG212" s="129">
        <v>14793.259830508468</v>
      </c>
      <c r="AH212" s="129">
        <v>65002.2713559322</v>
      </c>
      <c r="AI212" s="129">
        <v>197312.00338983053</v>
      </c>
      <c r="AJ212" s="129">
        <v>179231.02682033903</v>
      </c>
      <c r="AK212" s="129">
        <v>300256.66639830527</v>
      </c>
      <c r="AL212" s="129">
        <v>210998.71792372887</v>
      </c>
      <c r="AM212" s="129">
        <v>221348.1279661016</v>
      </c>
      <c r="AN212" s="129">
        <v>315803.53601694893</v>
      </c>
      <c r="AO212" s="129">
        <v>410223.5649152543</v>
      </c>
      <c r="AP212" s="129">
        <v>359825.57847457641</v>
      </c>
      <c r="AQ212" s="129">
        <v>426317.36407459324</v>
      </c>
      <c r="AR212" s="129">
        <v>187453.16115254228</v>
      </c>
      <c r="AS212" s="129">
        <v>787543.86770160974</v>
      </c>
      <c r="AT212" s="129">
        <v>851297.74468474626</v>
      </c>
      <c r="AU212" s="129">
        <v>1283254.8697067786</v>
      </c>
      <c r="AV212" s="129">
        <v>1390343.6722881356</v>
      </c>
      <c r="AW212" s="129">
        <v>975384.37423525564</v>
      </c>
      <c r="AX212" s="129">
        <v>1029204.5031457635</v>
      </c>
      <c r="AY212" s="129">
        <v>1197687</v>
      </c>
      <c r="AZ212" s="129">
        <v>1904694.4125762724</v>
      </c>
      <c r="BA212" s="129">
        <v>1651902.5140474436</v>
      </c>
      <c r="BB212" s="129">
        <v>1304900.9926474597</v>
      </c>
      <c r="BC212" s="129">
        <v>1257571.2127118653</v>
      </c>
      <c r="BD212" s="129">
        <v>2224229.1714915186</v>
      </c>
      <c r="BE212" s="129">
        <v>1804774.3794915208</v>
      </c>
      <c r="BF212" s="129">
        <v>1585262.3625762747</v>
      </c>
      <c r="BG212" s="129">
        <v>2068631.0629627162</v>
      </c>
      <c r="BH212" s="129">
        <v>3249375.2295559105</v>
      </c>
      <c r="BI212" s="129">
        <v>4933753.038305087</v>
      </c>
      <c r="BJ212" s="129">
        <v>6214976.0739152571</v>
      </c>
      <c r="BK212" s="129">
        <v>6607551.3346033208</v>
      </c>
      <c r="BL212" s="129">
        <v>8227419.8247634405</v>
      </c>
      <c r="BM212" s="129">
        <v>5580815.1694878386</v>
      </c>
      <c r="BN212" s="129">
        <v>7172450.5368256224</v>
      </c>
      <c r="BO212" s="129">
        <v>6527556.6579259653</v>
      </c>
      <c r="BP212" s="129">
        <v>10595798.164963771</v>
      </c>
      <c r="BQ212" s="129">
        <v>9395502.2333211899</v>
      </c>
      <c r="BR212" s="129">
        <v>9005456.6848356742</v>
      </c>
      <c r="BS212" s="129">
        <v>10023072.933221292</v>
      </c>
      <c r="BT212" s="129">
        <v>8822484.8565103933</v>
      </c>
      <c r="BU212" s="129">
        <v>12397647.47121332</v>
      </c>
      <c r="BV212" s="129">
        <v>10476443.635275342</v>
      </c>
      <c r="BW212" s="129">
        <v>10872420.455322813</v>
      </c>
      <c r="BX212" s="129">
        <v>11729305.877416171</v>
      </c>
      <c r="BY212" s="129">
        <v>12067966.926290344</v>
      </c>
      <c r="BZ212" s="129">
        <v>12155838.629640646</v>
      </c>
      <c r="CA212" s="129">
        <v>12222698.71987989</v>
      </c>
      <c r="CB212" s="129">
        <v>14380827.164690362</v>
      </c>
      <c r="CC212" s="129">
        <v>11664817.411626155</v>
      </c>
      <c r="CD212" s="129">
        <v>13601462.690532621</v>
      </c>
      <c r="CE212" s="129">
        <v>15549033.111793833</v>
      </c>
      <c r="CF212" s="129">
        <v>14910790.514405008</v>
      </c>
      <c r="CG212" s="129">
        <v>21065291.637704343</v>
      </c>
      <c r="CH212" s="129">
        <v>18984566.854446828</v>
      </c>
      <c r="CI212" s="129">
        <v>20218927.597169138</v>
      </c>
      <c r="CJ212" s="129">
        <v>19107011.746712036</v>
      </c>
      <c r="CK212" s="129">
        <v>20396822.040000036</v>
      </c>
      <c r="CL212" s="129">
        <v>18556943.960000001</v>
      </c>
      <c r="CM212" s="129">
        <v>19046366.440000057</v>
      </c>
      <c r="CN212" s="129">
        <v>19696949.650000017</v>
      </c>
      <c r="CO212" s="129">
        <v>18803466.70000004</v>
      </c>
      <c r="CP212" s="129">
        <v>21632722.57000012</v>
      </c>
      <c r="CQ212" s="129">
        <v>23962521.420000069</v>
      </c>
      <c r="CR212" s="129">
        <v>19122657.230000034</v>
      </c>
      <c r="CS212" s="129">
        <v>21896498.280000038</v>
      </c>
      <c r="CT212" s="129">
        <f>CT197*CT217</f>
        <v>22382213.628398106</v>
      </c>
      <c r="CU212" s="129">
        <f t="shared" ref="CU212:DQ212" si="660">CU197*CU217</f>
        <v>22610012.129042439</v>
      </c>
      <c r="CV212" s="129">
        <f t="shared" si="660"/>
        <v>22593837.087576572</v>
      </c>
      <c r="CW212" s="129">
        <f t="shared" si="660"/>
        <v>22934860.878482006</v>
      </c>
      <c r="CX212" s="129">
        <f t="shared" si="660"/>
        <v>21611203.318524946</v>
      </c>
      <c r="CY212" s="129">
        <f t="shared" si="660"/>
        <v>23641171.022491675</v>
      </c>
      <c r="CZ212" s="129">
        <f t="shared" si="660"/>
        <v>22987429.763246082</v>
      </c>
      <c r="DA212" s="129">
        <f t="shared" si="660"/>
        <v>23041346.568132319</v>
      </c>
      <c r="DB212" s="129">
        <f t="shared" si="660"/>
        <v>28283407.923196465</v>
      </c>
      <c r="DC212" s="129">
        <f t="shared" si="660"/>
        <v>30475126.041821897</v>
      </c>
      <c r="DD212" s="129">
        <f t="shared" si="660"/>
        <v>26126735.727747086</v>
      </c>
      <c r="DE212" s="129">
        <f t="shared" si="660"/>
        <v>28232186.95855454</v>
      </c>
      <c r="DF212" s="129">
        <f t="shared" si="660"/>
        <v>26511732.042837553</v>
      </c>
      <c r="DG212" s="129">
        <f t="shared" si="660"/>
        <v>26781559.366850775</v>
      </c>
      <c r="DH212" s="129">
        <f t="shared" si="660"/>
        <v>26762400.030234452</v>
      </c>
      <c r="DI212" s="129">
        <f t="shared" si="660"/>
        <v>27166342.710561939</v>
      </c>
      <c r="DJ212" s="129">
        <f t="shared" si="660"/>
        <v>25598470.3307928</v>
      </c>
      <c r="DK212" s="129">
        <f t="shared" si="660"/>
        <v>28002967.076141391</v>
      </c>
      <c r="DL212" s="129">
        <f t="shared" si="660"/>
        <v>27228610.554564986</v>
      </c>
      <c r="DM212" s="129">
        <f t="shared" si="660"/>
        <v>27292475.009952731</v>
      </c>
      <c r="DN212" s="129">
        <f t="shared" si="660"/>
        <v>33501696.685026214</v>
      </c>
      <c r="DO212" s="129">
        <f t="shared" si="660"/>
        <v>36097786.79653804</v>
      </c>
      <c r="DP212" s="129">
        <f t="shared" si="660"/>
        <v>30947118.469516423</v>
      </c>
      <c r="DQ212" s="129">
        <f t="shared" si="660"/>
        <v>33441025.452407856</v>
      </c>
      <c r="DR212" s="129">
        <f t="shared" ref="DR212:EC212" si="661">DR197*DR217</f>
        <v>31403146.604741074</v>
      </c>
      <c r="DS212" s="129">
        <f t="shared" si="661"/>
        <v>31722757.070034739</v>
      </c>
      <c r="DT212" s="129">
        <f t="shared" si="661"/>
        <v>31700062.835812703</v>
      </c>
      <c r="DU212" s="129">
        <f t="shared" si="661"/>
        <v>32178532.940660611</v>
      </c>
      <c r="DV212" s="129">
        <f t="shared" si="661"/>
        <v>30321388.10682407</v>
      </c>
      <c r="DW212" s="129">
        <f t="shared" si="661"/>
        <v>33169514.501689471</v>
      </c>
      <c r="DX212" s="129">
        <f t="shared" si="661"/>
        <v>32252289.201882217</v>
      </c>
      <c r="DY212" s="129">
        <f t="shared" si="661"/>
        <v>32327936.649289001</v>
      </c>
      <c r="DZ212" s="129">
        <f t="shared" si="661"/>
        <v>39682759.723413549</v>
      </c>
      <c r="EA212" s="129">
        <f t="shared" si="661"/>
        <v>42757828.460499309</v>
      </c>
      <c r="EB212" s="129">
        <f t="shared" si="661"/>
        <v>36656861.827142201</v>
      </c>
      <c r="EC212" s="129">
        <f t="shared" si="661"/>
        <v>39610894.648377098</v>
      </c>
      <c r="ED212" s="113" t="s">
        <v>1</v>
      </c>
    </row>
    <row r="213" spans="1:134" x14ac:dyDescent="0.2">
      <c r="A213" s="698" t="s">
        <v>133</v>
      </c>
      <c r="B213" s="115"/>
      <c r="C213" s="115"/>
      <c r="D213" s="115"/>
      <c r="E213" s="115"/>
      <c r="F213" s="115"/>
      <c r="G213" s="115"/>
      <c r="H213" s="115"/>
      <c r="I213" s="115"/>
      <c r="J213" s="115"/>
      <c r="K213" s="129">
        <v>23249.770714285711</v>
      </c>
      <c r="L213" s="129">
        <v>151773.31071428568</v>
      </c>
      <c r="M213" s="129">
        <v>730418.59928571433</v>
      </c>
      <c r="N213" s="129">
        <v>757281.53142857144</v>
      </c>
      <c r="O213" s="129">
        <v>756556.81040556892</v>
      </c>
      <c r="P213" s="129">
        <v>447224.04838983039</v>
      </c>
      <c r="Q213" s="129">
        <v>1080000.8094733653</v>
      </c>
      <c r="R213" s="129">
        <v>905353.33859564154</v>
      </c>
      <c r="S213" s="129">
        <v>700174.89334140427</v>
      </c>
      <c r="T213" s="129">
        <v>1189511.5252481841</v>
      </c>
      <c r="U213" s="129">
        <v>178951.32087167056</v>
      </c>
      <c r="V213" s="129">
        <v>533213.37343220331</v>
      </c>
      <c r="W213" s="129">
        <v>429863.65383123478</v>
      </c>
      <c r="X213" s="129">
        <v>-541382.27686035167</v>
      </c>
      <c r="Y213" s="129">
        <v>110579.61828398175</v>
      </c>
      <c r="Z213" s="129">
        <v>-158683.25237288114</v>
      </c>
      <c r="AA213" s="129">
        <v>723018.46662808687</v>
      </c>
      <c r="AB213" s="129">
        <v>786538.14849411207</v>
      </c>
      <c r="AC213" s="129">
        <v>1038645.1326966102</v>
      </c>
      <c r="AD213" s="129">
        <v>658962.19431186444</v>
      </c>
      <c r="AE213" s="129">
        <v>812769.84149661043</v>
      </c>
      <c r="AF213" s="129">
        <v>1359769.1757627113</v>
      </c>
      <c r="AG213" s="129">
        <v>1070151.3775694917</v>
      </c>
      <c r="AH213" s="129">
        <v>1488167.9013999999</v>
      </c>
      <c r="AI213" s="129">
        <v>1730198.1196465755</v>
      </c>
      <c r="AJ213" s="129">
        <v>1194699.808251661</v>
      </c>
      <c r="AK213" s="129">
        <v>1356743.8354903718</v>
      </c>
      <c r="AL213" s="129">
        <v>953958.07792357483</v>
      </c>
      <c r="AM213" s="129">
        <v>495615.17275428923</v>
      </c>
      <c r="AN213" s="129">
        <v>776678.17347457819</v>
      </c>
      <c r="AO213" s="129">
        <v>635855.9319189142</v>
      </c>
      <c r="AP213" s="129">
        <v>281656.54677966121</v>
      </c>
      <c r="AQ213" s="129">
        <v>364021.23137003451</v>
      </c>
      <c r="AR213" s="129">
        <v>834436.87436440506</v>
      </c>
      <c r="AS213" s="129">
        <v>1506195.7435723655</v>
      </c>
      <c r="AT213" s="129">
        <v>1805789.7459767205</v>
      </c>
      <c r="AU213" s="129">
        <v>1709812.4973559247</v>
      </c>
      <c r="AV213" s="129">
        <v>1184621.4396610158</v>
      </c>
      <c r="AW213" s="129">
        <v>361687.50945762749</v>
      </c>
      <c r="AX213" s="129">
        <v>184776.09406779709</v>
      </c>
      <c r="AY213" s="129">
        <v>455042</v>
      </c>
      <c r="AZ213" s="129">
        <v>221397.07606779662</v>
      </c>
      <c r="BA213" s="129">
        <v>449968.75169491419</v>
      </c>
      <c r="BB213" s="129">
        <v>339728.66847457673</v>
      </c>
      <c r="BC213" s="129">
        <v>931183.38</v>
      </c>
      <c r="BD213" s="129">
        <v>1243532.3979661001</v>
      </c>
      <c r="BE213" s="129">
        <v>1038281.8995549135</v>
      </c>
      <c r="BF213" s="129">
        <v>745793.0501033914</v>
      </c>
      <c r="BG213" s="129">
        <v>591800.21694915323</v>
      </c>
      <c r="BH213" s="129">
        <v>925143.82932203251</v>
      </c>
      <c r="BI213" s="129">
        <v>1430278.2808474547</v>
      </c>
      <c r="BJ213" s="129">
        <v>756348.29694915144</v>
      </c>
      <c r="BK213" s="129">
        <v>-82578.148474576301</v>
      </c>
      <c r="BL213" s="129">
        <v>-7849.281355932204</v>
      </c>
      <c r="BM213" s="129">
        <v>0</v>
      </c>
      <c r="BN213" s="129">
        <v>0</v>
      </c>
      <c r="BO213" s="129">
        <v>0</v>
      </c>
      <c r="BP213" s="129">
        <v>0</v>
      </c>
      <c r="BQ213" s="129">
        <v>0</v>
      </c>
      <c r="BR213" s="129">
        <v>0</v>
      </c>
      <c r="BS213" s="129">
        <v>0</v>
      </c>
      <c r="BT213" s="129">
        <v>0</v>
      </c>
      <c r="BU213" s="129">
        <v>0</v>
      </c>
      <c r="BV213" s="129">
        <v>0</v>
      </c>
      <c r="BW213" s="129">
        <v>0</v>
      </c>
      <c r="BX213" s="129">
        <v>0</v>
      </c>
      <c r="BY213" s="129">
        <v>0</v>
      </c>
      <c r="BZ213" s="129">
        <v>0</v>
      </c>
      <c r="CA213" s="129">
        <v>0</v>
      </c>
      <c r="CB213" s="129">
        <v>0</v>
      </c>
      <c r="CC213" s="129">
        <v>0</v>
      </c>
      <c r="CD213" s="129">
        <v>0</v>
      </c>
      <c r="CE213" s="129">
        <v>0</v>
      </c>
      <c r="CF213" s="129">
        <v>0</v>
      </c>
      <c r="CG213" s="129">
        <v>0</v>
      </c>
      <c r="CH213" s="129">
        <v>0</v>
      </c>
      <c r="CI213" s="129">
        <v>0</v>
      </c>
      <c r="CJ213" s="129">
        <v>0</v>
      </c>
      <c r="CK213" s="129">
        <v>0</v>
      </c>
      <c r="CL213" s="129">
        <v>0</v>
      </c>
      <c r="CM213" s="129">
        <v>0</v>
      </c>
      <c r="CN213" s="129">
        <v>0</v>
      </c>
      <c r="CO213" s="129">
        <v>0</v>
      </c>
      <c r="CP213" s="129">
        <v>0</v>
      </c>
      <c r="CQ213" s="129">
        <v>0</v>
      </c>
      <c r="CR213" s="129">
        <v>0</v>
      </c>
      <c r="CS213" s="129">
        <v>0</v>
      </c>
      <c r="CT213" s="129">
        <f>CT198*CT217</f>
        <v>0</v>
      </c>
      <c r="CU213" s="129">
        <f t="shared" ref="CU213:DQ213" si="662">CU198*CU217</f>
        <v>0</v>
      </c>
      <c r="CV213" s="129">
        <f t="shared" si="662"/>
        <v>0</v>
      </c>
      <c r="CW213" s="129">
        <f t="shared" si="662"/>
        <v>0</v>
      </c>
      <c r="CX213" s="129">
        <f t="shared" si="662"/>
        <v>0</v>
      </c>
      <c r="CY213" s="129">
        <f t="shared" si="662"/>
        <v>0</v>
      </c>
      <c r="CZ213" s="129">
        <f t="shared" si="662"/>
        <v>0</v>
      </c>
      <c r="DA213" s="129">
        <f t="shared" si="662"/>
        <v>0</v>
      </c>
      <c r="DB213" s="129">
        <f t="shared" si="662"/>
        <v>0</v>
      </c>
      <c r="DC213" s="129">
        <f t="shared" si="662"/>
        <v>0</v>
      </c>
      <c r="DD213" s="129">
        <f t="shared" si="662"/>
        <v>0</v>
      </c>
      <c r="DE213" s="129">
        <f t="shared" si="662"/>
        <v>0</v>
      </c>
      <c r="DF213" s="129">
        <f t="shared" si="662"/>
        <v>0</v>
      </c>
      <c r="DG213" s="129">
        <f t="shared" si="662"/>
        <v>0</v>
      </c>
      <c r="DH213" s="129">
        <f t="shared" si="662"/>
        <v>0</v>
      </c>
      <c r="DI213" s="129">
        <f t="shared" si="662"/>
        <v>0</v>
      </c>
      <c r="DJ213" s="129">
        <f t="shared" si="662"/>
        <v>0</v>
      </c>
      <c r="DK213" s="129">
        <f t="shared" si="662"/>
        <v>0</v>
      </c>
      <c r="DL213" s="129">
        <f t="shared" si="662"/>
        <v>0</v>
      </c>
      <c r="DM213" s="129">
        <f t="shared" si="662"/>
        <v>0</v>
      </c>
      <c r="DN213" s="129">
        <f t="shared" si="662"/>
        <v>0</v>
      </c>
      <c r="DO213" s="129">
        <f t="shared" si="662"/>
        <v>0</v>
      </c>
      <c r="DP213" s="129">
        <f t="shared" si="662"/>
        <v>0</v>
      </c>
      <c r="DQ213" s="129">
        <f t="shared" si="662"/>
        <v>0</v>
      </c>
      <c r="DR213" s="129">
        <f t="shared" ref="DR213:EC213" si="663">DR198*DR217</f>
        <v>0</v>
      </c>
      <c r="DS213" s="129">
        <f t="shared" si="663"/>
        <v>0</v>
      </c>
      <c r="DT213" s="129">
        <f t="shared" si="663"/>
        <v>0</v>
      </c>
      <c r="DU213" s="129">
        <f t="shared" si="663"/>
        <v>0</v>
      </c>
      <c r="DV213" s="129">
        <f t="shared" si="663"/>
        <v>0</v>
      </c>
      <c r="DW213" s="129">
        <f t="shared" si="663"/>
        <v>0</v>
      </c>
      <c r="DX213" s="129">
        <f t="shared" si="663"/>
        <v>0</v>
      </c>
      <c r="DY213" s="129">
        <f t="shared" si="663"/>
        <v>0</v>
      </c>
      <c r="DZ213" s="129">
        <f t="shared" si="663"/>
        <v>0</v>
      </c>
      <c r="EA213" s="129">
        <f t="shared" si="663"/>
        <v>0</v>
      </c>
      <c r="EB213" s="129">
        <f t="shared" si="663"/>
        <v>0</v>
      </c>
      <c r="EC213" s="129">
        <f t="shared" si="663"/>
        <v>0</v>
      </c>
      <c r="ED213" s="113" t="s">
        <v>1</v>
      </c>
    </row>
    <row r="214" spans="1:134" s="331" customFormat="1" x14ac:dyDescent="0.2">
      <c r="A214" s="700"/>
      <c r="B214" s="330"/>
      <c r="C214" s="330"/>
      <c r="D214" s="330"/>
      <c r="E214" s="330"/>
      <c r="F214" s="330"/>
      <c r="G214" s="330"/>
      <c r="H214" s="330"/>
      <c r="I214" s="330"/>
      <c r="J214" s="330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  <c r="AP214" s="132"/>
      <c r="AQ214" s="132"/>
      <c r="AR214" s="132"/>
      <c r="AS214" s="132"/>
      <c r="AT214" s="132"/>
      <c r="AU214" s="132"/>
      <c r="AV214" s="132"/>
      <c r="AW214" s="132"/>
      <c r="AX214" s="132"/>
      <c r="AY214" s="132"/>
      <c r="AZ214" s="132"/>
      <c r="BA214" s="132"/>
      <c r="BB214" s="132"/>
      <c r="BC214" s="132"/>
      <c r="BD214" s="132"/>
      <c r="BE214" s="132"/>
      <c r="BF214" s="132"/>
      <c r="BG214" s="132"/>
      <c r="BH214" s="132"/>
      <c r="BI214" s="132"/>
      <c r="BJ214" s="132"/>
      <c r="BK214" s="132"/>
      <c r="BL214" s="132"/>
      <c r="BM214" s="132"/>
      <c r="BN214" s="132"/>
      <c r="BO214" s="132"/>
      <c r="BP214" s="132"/>
      <c r="BQ214" s="132"/>
      <c r="BR214" s="132"/>
      <c r="BS214" s="132"/>
      <c r="BT214" s="132"/>
      <c r="BU214" s="132"/>
      <c r="BV214" s="132"/>
      <c r="BW214" s="132"/>
      <c r="BX214" s="132"/>
      <c r="BY214" s="132"/>
      <c r="BZ214" s="132"/>
      <c r="CA214" s="132"/>
      <c r="CB214" s="132"/>
      <c r="CC214" s="132"/>
      <c r="CD214" s="132"/>
      <c r="CE214" s="132"/>
      <c r="CF214" s="132"/>
      <c r="CG214" s="132"/>
      <c r="CH214" s="132"/>
      <c r="CI214" s="132"/>
      <c r="CJ214" s="132"/>
      <c r="CK214" s="132"/>
      <c r="CL214" s="132"/>
      <c r="CM214" s="132"/>
      <c r="CN214" s="132"/>
      <c r="CO214" s="132"/>
      <c r="CP214" s="132"/>
      <c r="CQ214" s="132"/>
      <c r="CR214" s="132"/>
      <c r="CS214" s="132"/>
      <c r="CT214" s="330"/>
      <c r="CU214" s="330"/>
      <c r="CV214" s="330"/>
      <c r="CW214" s="330"/>
      <c r="CX214" s="330"/>
      <c r="CY214" s="330"/>
      <c r="CZ214" s="330"/>
      <c r="DA214" s="330"/>
      <c r="DB214" s="330"/>
      <c r="DC214" s="330"/>
      <c r="DD214" s="330"/>
      <c r="DE214" s="330"/>
      <c r="DF214" s="330"/>
      <c r="DG214" s="330"/>
      <c r="DH214" s="330"/>
      <c r="DI214" s="330"/>
      <c r="DJ214" s="330"/>
      <c r="DK214" s="330"/>
      <c r="DL214" s="330"/>
      <c r="DM214" s="330"/>
      <c r="DN214" s="330"/>
      <c r="DO214" s="330"/>
      <c r="DP214" s="330"/>
      <c r="DQ214" s="330"/>
      <c r="DR214" s="330"/>
      <c r="DS214" s="330"/>
      <c r="DT214" s="330"/>
      <c r="DU214" s="330"/>
      <c r="DV214" s="330"/>
      <c r="DW214" s="330"/>
      <c r="DX214" s="330"/>
      <c r="DY214" s="330"/>
      <c r="DZ214" s="330"/>
      <c r="EA214" s="330"/>
      <c r="EB214" s="330"/>
      <c r="EC214" s="726"/>
      <c r="ED214" s="113" t="s">
        <v>1</v>
      </c>
    </row>
    <row r="215" spans="1:134" x14ac:dyDescent="0.2">
      <c r="A215" s="698" t="s">
        <v>139</v>
      </c>
      <c r="B215" s="115"/>
      <c r="C215" s="115"/>
      <c r="D215" s="115"/>
      <c r="E215" s="115"/>
      <c r="F215" s="115"/>
      <c r="G215" s="115"/>
      <c r="H215" s="115"/>
      <c r="I215" s="115"/>
      <c r="J215" s="115"/>
      <c r="K215" s="129">
        <v>23249.770714285711</v>
      </c>
      <c r="L215" s="129">
        <v>151773.31071428568</v>
      </c>
      <c r="M215" s="129">
        <v>730418.59928571433</v>
      </c>
      <c r="N215" s="129">
        <v>757281.53142857144</v>
      </c>
      <c r="O215" s="129">
        <v>756556.81040556892</v>
      </c>
      <c r="P215" s="129">
        <v>447224.04838983039</v>
      </c>
      <c r="Q215" s="129">
        <v>1080000.8094733653</v>
      </c>
      <c r="R215" s="129">
        <v>905353.33859564154</v>
      </c>
      <c r="S215" s="129">
        <v>700174.89334140427</v>
      </c>
      <c r="T215" s="129">
        <v>1189511.5252481841</v>
      </c>
      <c r="U215" s="129">
        <v>178951.32087167056</v>
      </c>
      <c r="V215" s="129">
        <v>533213.37343220331</v>
      </c>
      <c r="W215" s="129">
        <v>429863.65383123478</v>
      </c>
      <c r="X215" s="129">
        <v>-541382.27686035167</v>
      </c>
      <c r="Y215" s="129">
        <v>110579.61828398175</v>
      </c>
      <c r="Z215" s="129">
        <v>-158683.25237288114</v>
      </c>
      <c r="AA215" s="129">
        <v>747781.27849249367</v>
      </c>
      <c r="AB215" s="129">
        <v>812366.31968055281</v>
      </c>
      <c r="AC215" s="129">
        <v>1055859.3830355932</v>
      </c>
      <c r="AD215" s="129">
        <v>670348.56583728816</v>
      </c>
      <c r="AE215" s="129">
        <v>836814.78675084771</v>
      </c>
      <c r="AF215" s="129">
        <v>1384635.1033898299</v>
      </c>
      <c r="AG215" s="129">
        <v>1084944.6374000001</v>
      </c>
      <c r="AH215" s="129">
        <v>1553170.172755932</v>
      </c>
      <c r="AI215" s="129">
        <v>1927510.123036406</v>
      </c>
      <c r="AJ215" s="129">
        <v>1373930.835072</v>
      </c>
      <c r="AK215" s="129">
        <v>1657000.501888677</v>
      </c>
      <c r="AL215" s="129">
        <v>1164956.7958473037</v>
      </c>
      <c r="AM215" s="129">
        <v>716963.30072039086</v>
      </c>
      <c r="AN215" s="129">
        <v>1092481.7094915272</v>
      </c>
      <c r="AO215" s="129">
        <v>1046079.4968341684</v>
      </c>
      <c r="AP215" s="129">
        <v>641482.12525423756</v>
      </c>
      <c r="AQ215" s="129">
        <v>790338.5954446278</v>
      </c>
      <c r="AR215" s="129">
        <v>1021890.0355169473</v>
      </c>
      <c r="AS215" s="129">
        <v>2293739.6112739751</v>
      </c>
      <c r="AT215" s="129">
        <v>2657087.4906614665</v>
      </c>
      <c r="AU215" s="129">
        <v>2993067.3670627032</v>
      </c>
      <c r="AV215" s="129">
        <v>2574965.1119491514</v>
      </c>
      <c r="AW215" s="129">
        <v>1337071.8836928832</v>
      </c>
      <c r="AX215" s="129">
        <v>1213980.5972135607</v>
      </c>
      <c r="AY215" s="129">
        <v>1652729</v>
      </c>
      <c r="AZ215" s="129">
        <v>2126091.4886440691</v>
      </c>
      <c r="BA215" s="129">
        <v>2101871.2657423578</v>
      </c>
      <c r="BB215" s="129">
        <v>1644629.6611220364</v>
      </c>
      <c r="BC215" s="129">
        <v>2188754.5927118654</v>
      </c>
      <c r="BD215" s="129">
        <v>3467761.5694576185</v>
      </c>
      <c r="BE215" s="129">
        <v>2843056.2790464344</v>
      </c>
      <c r="BF215" s="129">
        <v>2331055.4126796662</v>
      </c>
      <c r="BG215" s="129">
        <v>2660431.2799118692</v>
      </c>
      <c r="BH215" s="129">
        <v>4174519.0588779431</v>
      </c>
      <c r="BI215" s="129">
        <v>6364031.3191525415</v>
      </c>
      <c r="BJ215" s="129">
        <v>6971324.3708644081</v>
      </c>
      <c r="BK215" s="129">
        <v>6524973.1861287449</v>
      </c>
      <c r="BL215" s="129">
        <v>8219570.5434075082</v>
      </c>
      <c r="BM215" s="129">
        <v>5580815.1694878386</v>
      </c>
      <c r="BN215" s="129">
        <v>7172450.5368256224</v>
      </c>
      <c r="BO215" s="129">
        <v>6527556.6579259653</v>
      </c>
      <c r="BP215" s="129">
        <v>10595798.164963771</v>
      </c>
      <c r="BQ215" s="129">
        <v>9395502.2333211899</v>
      </c>
      <c r="BR215" s="129">
        <v>9005456.6848356742</v>
      </c>
      <c r="BS215" s="129">
        <v>10023072.933221292</v>
      </c>
      <c r="BT215" s="129">
        <v>8822484.8565103933</v>
      </c>
      <c r="BU215" s="129">
        <v>12397647.47121332</v>
      </c>
      <c r="BV215" s="129">
        <v>10476443.635275342</v>
      </c>
      <c r="BW215" s="129">
        <v>10872420.455322813</v>
      </c>
      <c r="BX215" s="129">
        <v>11729305.877416171</v>
      </c>
      <c r="BY215" s="129">
        <v>12067966.926290344</v>
      </c>
      <c r="BZ215" s="129">
        <v>12155838.629640646</v>
      </c>
      <c r="CA215" s="129">
        <v>12222698.71987989</v>
      </c>
      <c r="CB215" s="129">
        <v>14380827.164690362</v>
      </c>
      <c r="CC215" s="129">
        <v>11664817.411626155</v>
      </c>
      <c r="CD215" s="129">
        <v>13601462.690532621</v>
      </c>
      <c r="CE215" s="129">
        <v>15549033.111793833</v>
      </c>
      <c r="CF215" s="129">
        <v>14910790.514405008</v>
      </c>
      <c r="CG215" s="129">
        <v>21065291.637704343</v>
      </c>
      <c r="CH215" s="129">
        <v>18560074.684955303</v>
      </c>
      <c r="CI215" s="129">
        <v>19767362.664965749</v>
      </c>
      <c r="CJ215" s="129">
        <v>18665762.143806469</v>
      </c>
      <c r="CK215" s="129">
        <v>19880512.437094469</v>
      </c>
      <c r="CL215" s="129">
        <v>18023866.637966104</v>
      </c>
      <c r="CM215" s="129">
        <v>18410008.016271245</v>
      </c>
      <c r="CN215" s="129">
        <v>19094829.20932205</v>
      </c>
      <c r="CO215" s="129">
        <v>18280856.530508514</v>
      </c>
      <c r="CP215" s="129">
        <v>20895027.654745881</v>
      </c>
      <c r="CQ215" s="129">
        <v>22862995.996271256</v>
      </c>
      <c r="CR215" s="129">
        <v>18194589.433389865</v>
      </c>
      <c r="CS215" s="129">
        <v>20846244.042711902</v>
      </c>
      <c r="CT215" s="129">
        <f>CT200*CT217</f>
        <v>22098013.719933197</v>
      </c>
      <c r="CU215" s="129">
        <f t="shared" ref="CU215:DQ215" si="664">CU200*CU217</f>
        <v>22322919.731295355</v>
      </c>
      <c r="CV215" s="129">
        <f t="shared" si="664"/>
        <v>22306950.073683843</v>
      </c>
      <c r="CW215" s="129">
        <f t="shared" si="664"/>
        <v>22643643.688326605</v>
      </c>
      <c r="CX215" s="129">
        <f t="shared" si="664"/>
        <v>21336793.373784333</v>
      </c>
      <c r="CY215" s="129">
        <f t="shared" si="664"/>
        <v>23340985.404029403</v>
      </c>
      <c r="CZ215" s="129">
        <f t="shared" si="664"/>
        <v>22695545.075564027</v>
      </c>
      <c r="DA215" s="129">
        <f t="shared" si="664"/>
        <v>22748777.267602406</v>
      </c>
      <c r="DB215" s="129">
        <f t="shared" si="664"/>
        <v>27924277.138534069</v>
      </c>
      <c r="DC215" s="129">
        <f t="shared" si="664"/>
        <v>30088165.744894288</v>
      </c>
      <c r="DD215" s="129">
        <f t="shared" si="664"/>
        <v>25794989.456998799</v>
      </c>
      <c r="DE215" s="129">
        <f t="shared" si="664"/>
        <v>27873706.556097604</v>
      </c>
      <c r="DF215" s="129">
        <f t="shared" si="664"/>
        <v>26175097.251260873</v>
      </c>
      <c r="DG215" s="129">
        <f t="shared" si="664"/>
        <v>26441498.421719354</v>
      </c>
      <c r="DH215" s="129">
        <f t="shared" si="664"/>
        <v>26422582.362278517</v>
      </c>
      <c r="DI215" s="129">
        <f t="shared" si="664"/>
        <v>26821395.948822875</v>
      </c>
      <c r="DJ215" s="129">
        <f t="shared" si="664"/>
        <v>25273431.751247551</v>
      </c>
      <c r="DK215" s="129">
        <f t="shared" si="664"/>
        <v>27647397.21107284</v>
      </c>
      <c r="DL215" s="129">
        <f t="shared" si="664"/>
        <v>26882873.142005596</v>
      </c>
      <c r="DM215" s="129">
        <f t="shared" si="664"/>
        <v>26945926.673475061</v>
      </c>
      <c r="DN215" s="129">
        <f t="shared" si="664"/>
        <v>33076306.270593613</v>
      </c>
      <c r="DO215" s="129">
        <f t="shared" si="664"/>
        <v>35639432.324827291</v>
      </c>
      <c r="DP215" s="129">
        <f t="shared" si="664"/>
        <v>30554165.011815086</v>
      </c>
      <c r="DQ215" s="129">
        <f t="shared" si="664"/>
        <v>33016405.415697616</v>
      </c>
      <c r="DR215" s="129">
        <f t="shared" ref="DR215:EC215" si="665">DR200*DR217</f>
        <v>31004402.6941185</v>
      </c>
      <c r="DS215" s="129">
        <f t="shared" si="665"/>
        <v>31319954.88052658</v>
      </c>
      <c r="DT215" s="129">
        <f t="shared" si="665"/>
        <v>31297548.808118906</v>
      </c>
      <c r="DU215" s="129">
        <f t="shared" si="665"/>
        <v>31769943.501380693</v>
      </c>
      <c r="DV215" s="129">
        <f t="shared" si="665"/>
        <v>29936379.909352727</v>
      </c>
      <c r="DW215" s="129">
        <f t="shared" si="665"/>
        <v>32748341.996515773</v>
      </c>
      <c r="DX215" s="129">
        <f t="shared" si="665"/>
        <v>31842763.236705627</v>
      </c>
      <c r="DY215" s="129">
        <f t="shared" si="665"/>
        <v>31917450.144731201</v>
      </c>
      <c r="DZ215" s="129">
        <f t="shared" si="665"/>
        <v>39178884.777518131</v>
      </c>
      <c r="EA215" s="129">
        <f t="shared" si="665"/>
        <v>42214907.58875791</v>
      </c>
      <c r="EB215" s="129">
        <f t="shared" si="665"/>
        <v>36191408.456494965</v>
      </c>
      <c r="EC215" s="129">
        <f t="shared" si="665"/>
        <v>39107932.214893825</v>
      </c>
      <c r="ED215" s="113" t="s">
        <v>1</v>
      </c>
    </row>
    <row r="216" spans="1:134" x14ac:dyDescent="0.2">
      <c r="A216" s="698" t="s">
        <v>158</v>
      </c>
      <c r="B216" s="115"/>
      <c r="C216" s="115"/>
      <c r="D216" s="115"/>
      <c r="E216" s="115"/>
      <c r="F216" s="115"/>
      <c r="G216" s="115"/>
      <c r="H216" s="115"/>
      <c r="I216" s="115"/>
      <c r="J216" s="115"/>
      <c r="K216" s="129">
        <v>0</v>
      </c>
      <c r="L216" s="129">
        <v>0</v>
      </c>
      <c r="M216" s="129">
        <v>0</v>
      </c>
      <c r="N216" s="129">
        <v>0</v>
      </c>
      <c r="O216" s="129">
        <v>0</v>
      </c>
      <c r="P216" s="129">
        <v>0</v>
      </c>
      <c r="Q216" s="129">
        <v>0</v>
      </c>
      <c r="R216" s="129">
        <v>0</v>
      </c>
      <c r="S216" s="129">
        <v>0</v>
      </c>
      <c r="T216" s="129">
        <v>0</v>
      </c>
      <c r="U216" s="129">
        <v>0</v>
      </c>
      <c r="V216" s="129">
        <v>0</v>
      </c>
      <c r="W216" s="129">
        <v>0</v>
      </c>
      <c r="X216" s="129">
        <v>0</v>
      </c>
      <c r="Y216" s="129">
        <v>0</v>
      </c>
      <c r="Z216" s="129">
        <v>0</v>
      </c>
      <c r="AA216" s="129">
        <v>0</v>
      </c>
      <c r="AB216" s="129">
        <v>9156.5084745762761</v>
      </c>
      <c r="AC216" s="129">
        <v>609.5593220338983</v>
      </c>
      <c r="AD216" s="129">
        <v>0</v>
      </c>
      <c r="AE216" s="129">
        <v>3399.101694915254</v>
      </c>
      <c r="AF216" s="129">
        <v>0</v>
      </c>
      <c r="AG216" s="129">
        <v>0</v>
      </c>
      <c r="AH216" s="129">
        <v>0</v>
      </c>
      <c r="AI216" s="129">
        <v>0</v>
      </c>
      <c r="AJ216" s="129">
        <v>0</v>
      </c>
      <c r="AK216" s="129">
        <v>0</v>
      </c>
      <c r="AL216" s="129">
        <v>0</v>
      </c>
      <c r="AM216" s="129">
        <v>0</v>
      </c>
      <c r="AN216" s="129">
        <v>0</v>
      </c>
      <c r="AO216" s="129">
        <v>0</v>
      </c>
      <c r="AP216" s="129">
        <v>0</v>
      </c>
      <c r="AQ216" s="129">
        <v>0</v>
      </c>
      <c r="AR216" s="129">
        <v>0</v>
      </c>
      <c r="AS216" s="129">
        <v>0</v>
      </c>
      <c r="AT216" s="129">
        <v>0</v>
      </c>
      <c r="AU216" s="129">
        <v>0</v>
      </c>
      <c r="AV216" s="129">
        <v>0</v>
      </c>
      <c r="AW216" s="129">
        <v>0</v>
      </c>
      <c r="AX216" s="129">
        <v>0</v>
      </c>
      <c r="AY216" s="129">
        <v>0</v>
      </c>
      <c r="AZ216" s="129">
        <v>0</v>
      </c>
      <c r="BA216" s="129">
        <v>0</v>
      </c>
      <c r="BB216" s="129">
        <v>0</v>
      </c>
      <c r="BC216" s="129">
        <v>0</v>
      </c>
      <c r="BD216" s="129">
        <v>0</v>
      </c>
      <c r="BE216" s="129">
        <v>0</v>
      </c>
      <c r="BF216" s="129">
        <v>0</v>
      </c>
      <c r="BG216" s="129">
        <v>0</v>
      </c>
      <c r="BH216" s="129">
        <v>0</v>
      </c>
      <c r="BI216" s="129">
        <v>0</v>
      </c>
      <c r="BJ216" s="129">
        <v>0</v>
      </c>
      <c r="BK216" s="129">
        <v>0</v>
      </c>
      <c r="BL216" s="129">
        <v>0</v>
      </c>
      <c r="BM216" s="129">
        <v>0</v>
      </c>
      <c r="BN216" s="129">
        <v>0</v>
      </c>
      <c r="BO216" s="129">
        <v>0</v>
      </c>
      <c r="BP216" s="129">
        <v>0</v>
      </c>
      <c r="BQ216" s="129">
        <v>0</v>
      </c>
      <c r="BR216" s="129">
        <v>0</v>
      </c>
      <c r="BS216" s="129">
        <v>0</v>
      </c>
      <c r="BT216" s="129">
        <v>0</v>
      </c>
      <c r="BU216" s="129">
        <v>0</v>
      </c>
      <c r="BV216" s="129">
        <v>0</v>
      </c>
      <c r="BW216" s="129">
        <v>0</v>
      </c>
      <c r="BX216" s="129">
        <v>0</v>
      </c>
      <c r="BY216" s="129">
        <v>0</v>
      </c>
      <c r="BZ216" s="129">
        <v>0</v>
      </c>
      <c r="CA216" s="129">
        <v>0</v>
      </c>
      <c r="CB216" s="129">
        <v>0</v>
      </c>
      <c r="CC216" s="129">
        <v>0</v>
      </c>
      <c r="CD216" s="129">
        <v>0</v>
      </c>
      <c r="CE216" s="129">
        <v>0</v>
      </c>
      <c r="CF216" s="129">
        <v>0</v>
      </c>
      <c r="CG216" s="129">
        <v>0</v>
      </c>
      <c r="CH216" s="129">
        <v>424492.16949152545</v>
      </c>
      <c r="CI216" s="129">
        <v>451564.93220338982</v>
      </c>
      <c r="CJ216" s="129">
        <v>441249.60290556902</v>
      </c>
      <c r="CK216" s="129">
        <v>516309.60290556902</v>
      </c>
      <c r="CL216" s="129">
        <v>533077.32203389832</v>
      </c>
      <c r="CM216" s="129">
        <v>636358.42372881365</v>
      </c>
      <c r="CN216" s="129">
        <v>602120.44067796611</v>
      </c>
      <c r="CO216" s="129">
        <v>522610.16949152545</v>
      </c>
      <c r="CP216" s="129">
        <v>737694.91525423725</v>
      </c>
      <c r="CQ216" s="129">
        <v>1099525.4237288137</v>
      </c>
      <c r="CR216" s="129">
        <v>928067.79661016958</v>
      </c>
      <c r="CS216" s="129">
        <v>1050254.2372881356</v>
      </c>
      <c r="CT216" s="129">
        <f>CT201*CT217</f>
        <v>260943.45888467124</v>
      </c>
      <c r="CU216" s="129">
        <f t="shared" ref="CU216:DQ216" si="666">CU201*CU217</f>
        <v>263599.25199226028</v>
      </c>
      <c r="CV216" s="129">
        <f t="shared" si="666"/>
        <v>263410.67496686918</v>
      </c>
      <c r="CW216" s="129">
        <f t="shared" si="666"/>
        <v>267386.50725219573</v>
      </c>
      <c r="CX216" s="129">
        <f t="shared" si="666"/>
        <v>251954.62067437227</v>
      </c>
      <c r="CY216" s="129">
        <f t="shared" si="666"/>
        <v>275621.03736093041</v>
      </c>
      <c r="CZ216" s="129">
        <f t="shared" si="666"/>
        <v>267999.38258471421</v>
      </c>
      <c r="DA216" s="129">
        <f t="shared" si="666"/>
        <v>268627.97266935004</v>
      </c>
      <c r="DB216" s="129">
        <f t="shared" si="666"/>
        <v>329742.64364811865</v>
      </c>
      <c r="DC216" s="129">
        <f t="shared" si="666"/>
        <v>355294.83058858756</v>
      </c>
      <c r="DD216" s="129">
        <f t="shared" si="666"/>
        <v>304599.04026266659</v>
      </c>
      <c r="DE216" s="129">
        <f t="shared" si="666"/>
        <v>329145.48306771414</v>
      </c>
      <c r="DF216" s="129">
        <f t="shared" si="666"/>
        <v>309087.52704888757</v>
      </c>
      <c r="DG216" s="129">
        <f t="shared" si="666"/>
        <v>312233.3139848251</v>
      </c>
      <c r="DH216" s="129">
        <f t="shared" si="666"/>
        <v>312009.94449824648</v>
      </c>
      <c r="DI216" s="129">
        <f t="shared" si="666"/>
        <v>316719.31784021424</v>
      </c>
      <c r="DJ216" s="129">
        <f t="shared" si="666"/>
        <v>298440.24818878307</v>
      </c>
      <c r="DK216" s="129">
        <f t="shared" si="666"/>
        <v>326473.118754011</v>
      </c>
      <c r="DL216" s="129">
        <f t="shared" si="666"/>
        <v>317445.26867158141</v>
      </c>
      <c r="DM216" s="129">
        <f t="shared" si="666"/>
        <v>318189.83362683229</v>
      </c>
      <c r="DN216" s="129">
        <f t="shared" si="666"/>
        <v>390580.16140118317</v>
      </c>
      <c r="DO216" s="129">
        <f t="shared" si="666"/>
        <v>420846.72683216381</v>
      </c>
      <c r="DP216" s="129">
        <f t="shared" si="666"/>
        <v>360797.56319111399</v>
      </c>
      <c r="DQ216" s="129">
        <f t="shared" si="666"/>
        <v>389872.82469369983</v>
      </c>
      <c r="DR216" s="129">
        <f t="shared" ref="DR216:EC216" si="667">DR201*DR217</f>
        <v>366114.17578940711</v>
      </c>
      <c r="DS216" s="129">
        <f t="shared" si="667"/>
        <v>369840.36041502189</v>
      </c>
      <c r="DT216" s="129">
        <f t="shared" si="667"/>
        <v>369575.77925817313</v>
      </c>
      <c r="DU216" s="129">
        <f t="shared" si="667"/>
        <v>375154.03198172909</v>
      </c>
      <c r="DV216" s="129">
        <f t="shared" si="667"/>
        <v>353502.47397961043</v>
      </c>
      <c r="DW216" s="129">
        <f t="shared" si="667"/>
        <v>386707.40916412411</v>
      </c>
      <c r="DX216" s="129">
        <f t="shared" si="667"/>
        <v>376013.92074149247</v>
      </c>
      <c r="DY216" s="129">
        <f t="shared" si="667"/>
        <v>376895.85793098831</v>
      </c>
      <c r="DZ216" s="129">
        <f t="shared" si="667"/>
        <v>462642.20117971278</v>
      </c>
      <c r="EA216" s="129">
        <f t="shared" si="667"/>
        <v>498492.94793271384</v>
      </c>
      <c r="EB216" s="129">
        <f t="shared" si="667"/>
        <v>427364.71359988063</v>
      </c>
      <c r="EC216" s="129">
        <f t="shared" si="667"/>
        <v>461804.36084968841</v>
      </c>
      <c r="ED216" s="113" t="s">
        <v>1</v>
      </c>
    </row>
    <row r="217" spans="1:134" x14ac:dyDescent="0.2">
      <c r="A217" s="713" t="s">
        <v>12</v>
      </c>
      <c r="B217" s="115"/>
      <c r="C217" s="115"/>
      <c r="D217" s="115"/>
      <c r="E217" s="115"/>
      <c r="F217" s="115"/>
      <c r="G217" s="115"/>
      <c r="H217" s="115"/>
      <c r="I217" s="115"/>
      <c r="J217" s="115"/>
      <c r="K217" s="134">
        <f t="shared" ref="K217:AP217" si="668">K211/K196</f>
        <v>3.9352722550899145E-2</v>
      </c>
      <c r="L217" s="134">
        <f t="shared" si="668"/>
        <v>4.0796078631401285E-2</v>
      </c>
      <c r="M217" s="134">
        <f t="shared" si="668"/>
        <v>3.5877968322007812E-2</v>
      </c>
      <c r="N217" s="134">
        <f t="shared" si="668"/>
        <v>2.8759241909795643E-2</v>
      </c>
      <c r="O217" s="134">
        <f t="shared" si="668"/>
        <v>2.6133108636893779E-2</v>
      </c>
      <c r="P217" s="134">
        <f t="shared" si="668"/>
        <v>2.369944367500083E-2</v>
      </c>
      <c r="Q217" s="134">
        <f t="shared" si="668"/>
        <v>2.739013479073266E-2</v>
      </c>
      <c r="R217" s="134">
        <f t="shared" si="668"/>
        <v>3.4329189866627877E-2</v>
      </c>
      <c r="S217" s="134">
        <f t="shared" si="668"/>
        <v>1.8559724130550494E-2</v>
      </c>
      <c r="T217" s="134">
        <f t="shared" si="668"/>
        <v>3.4681418504491371E-2</v>
      </c>
      <c r="U217" s="134">
        <f t="shared" si="668"/>
        <v>1.823254475860852E-2</v>
      </c>
      <c r="V217" s="134">
        <f t="shared" si="668"/>
        <v>2.9950456955824756E-2</v>
      </c>
      <c r="W217" s="134">
        <f t="shared" si="668"/>
        <v>1.7681307512679302E-2</v>
      </c>
      <c r="X217" s="134">
        <f t="shared" si="668"/>
        <v>-0.59598238250650637</v>
      </c>
      <c r="Y217" s="134">
        <f t="shared" si="668"/>
        <v>7.6115533676501153E-3</v>
      </c>
      <c r="Z217" s="134">
        <f t="shared" si="668"/>
        <v>4.7507281737698935E-2</v>
      </c>
      <c r="AA217" s="134">
        <f t="shared" si="668"/>
        <v>3.6183490205649843E-2</v>
      </c>
      <c r="AB217" s="134">
        <f t="shared" si="668"/>
        <v>5.8259281885177039E-2</v>
      </c>
      <c r="AC217" s="134">
        <f t="shared" si="668"/>
        <v>0.10701199079408032</v>
      </c>
      <c r="AD217" s="134">
        <f t="shared" si="668"/>
        <v>7.2948261506206424E-2</v>
      </c>
      <c r="AE217" s="134">
        <f t="shared" si="668"/>
        <v>7.1271718348042037E-2</v>
      </c>
      <c r="AF217" s="134">
        <f t="shared" si="668"/>
        <v>6.506119894186041E-2</v>
      </c>
      <c r="AG217" s="134">
        <f t="shared" si="668"/>
        <v>6.0864222795740192E-2</v>
      </c>
      <c r="AH217" s="134">
        <f t="shared" si="668"/>
        <v>5.6560904105612334E-2</v>
      </c>
      <c r="AI217" s="134">
        <f t="shared" si="668"/>
        <v>5.927124950154658E-2</v>
      </c>
      <c r="AJ217" s="134">
        <f t="shared" si="668"/>
        <v>6.9440685499584931E-2</v>
      </c>
      <c r="AK217" s="134">
        <f t="shared" si="668"/>
        <v>6.6090111462063075E-2</v>
      </c>
      <c r="AL217" s="134">
        <f t="shared" si="668"/>
        <v>6.1693103495703443E-2</v>
      </c>
      <c r="AM217" s="134">
        <f t="shared" si="668"/>
        <v>6.0444584049106423E-2</v>
      </c>
      <c r="AN217" s="134">
        <f t="shared" si="668"/>
        <v>6.0500134241469557E-2</v>
      </c>
      <c r="AO217" s="134">
        <f t="shared" si="668"/>
        <v>6.7430244126258018E-2</v>
      </c>
      <c r="AP217" s="134">
        <f t="shared" si="668"/>
        <v>6.5065044061291419E-2</v>
      </c>
      <c r="AQ217" s="134">
        <f t="shared" ref="AQ217:CS217" si="669">AQ211/AQ196</f>
        <v>6.3743033951257133E-2</v>
      </c>
      <c r="AR217" s="134">
        <f t="shared" si="669"/>
        <v>6.5992990352207154E-2</v>
      </c>
      <c r="AS217" s="134">
        <f t="shared" si="669"/>
        <v>6.2154968636676876E-2</v>
      </c>
      <c r="AT217" s="134">
        <f t="shared" si="669"/>
        <v>6.2544875192044144E-2</v>
      </c>
      <c r="AU217" s="134">
        <f t="shared" si="669"/>
        <v>6.1047448187236925E-2</v>
      </c>
      <c r="AV217" s="134">
        <f t="shared" si="669"/>
        <v>5.9681479036698473E-2</v>
      </c>
      <c r="AW217" s="134">
        <f t="shared" si="669"/>
        <v>5.6246385825242662E-2</v>
      </c>
      <c r="AX217" s="134">
        <f t="shared" si="669"/>
        <v>5.6470385590521588E-2</v>
      </c>
      <c r="AY217" s="134">
        <f t="shared" si="669"/>
        <v>5.4025020383390077E-2</v>
      </c>
      <c r="AZ217" s="134">
        <f t="shared" si="669"/>
        <v>4.8979085801578615E-2</v>
      </c>
      <c r="BA217" s="134">
        <f t="shared" si="669"/>
        <v>5.2301072408308835E-2</v>
      </c>
      <c r="BB217" s="134">
        <f t="shared" si="669"/>
        <v>5.8165397339179012E-2</v>
      </c>
      <c r="BC217" s="134">
        <f t="shared" si="669"/>
        <v>5.5753083641230251E-2</v>
      </c>
      <c r="BD217" s="134">
        <f t="shared" si="669"/>
        <v>5.0679028377336545E-2</v>
      </c>
      <c r="BE217" s="134">
        <f t="shared" si="669"/>
        <v>4.9282190178961897E-2</v>
      </c>
      <c r="BF217" s="134">
        <f t="shared" si="669"/>
        <v>4.7557318554453297E-2</v>
      </c>
      <c r="BG217" s="134">
        <f t="shared" si="669"/>
        <v>4.5035266365099004E-2</v>
      </c>
      <c r="BH217" s="134">
        <f t="shared" si="669"/>
        <v>4.7338132634196402E-2</v>
      </c>
      <c r="BI217" s="134">
        <f t="shared" si="669"/>
        <v>4.160217169035018E-2</v>
      </c>
      <c r="BJ217" s="134">
        <f t="shared" si="669"/>
        <v>3.9347329559076848E-2</v>
      </c>
      <c r="BK217" s="134">
        <f t="shared" si="669"/>
        <v>4.1370930641922099E-2</v>
      </c>
      <c r="BL217" s="134">
        <f t="shared" si="669"/>
        <v>4.2676000145850747E-2</v>
      </c>
      <c r="BM217" s="134">
        <f t="shared" si="669"/>
        <v>4.1370958093971157E-2</v>
      </c>
      <c r="BN217" s="134">
        <f t="shared" si="669"/>
        <v>4.5332301135337039E-2</v>
      </c>
      <c r="BO217" s="134">
        <f t="shared" si="669"/>
        <v>3.7159064242122938E-2</v>
      </c>
      <c r="BP217" s="134">
        <f t="shared" si="669"/>
        <v>3.8304360824711239E-2</v>
      </c>
      <c r="BQ217" s="134">
        <f t="shared" si="669"/>
        <v>4.3513452365295115E-2</v>
      </c>
      <c r="BR217" s="134">
        <f t="shared" si="669"/>
        <v>4.4123715838945449E-2</v>
      </c>
      <c r="BS217" s="134">
        <f t="shared" si="669"/>
        <v>4.8047726972441335E-2</v>
      </c>
      <c r="BT217" s="134">
        <f t="shared" si="669"/>
        <v>5.7450156622226821E-2</v>
      </c>
      <c r="BU217" s="134">
        <f t="shared" si="669"/>
        <v>5.7018161942169542E-2</v>
      </c>
      <c r="BV217" s="134">
        <f t="shared" si="669"/>
        <v>5.0360996724205451E-2</v>
      </c>
      <c r="BW217" s="134">
        <f t="shared" si="669"/>
        <v>4.821001333481801E-2</v>
      </c>
      <c r="BX217" s="134">
        <f t="shared" si="669"/>
        <v>5.0004374001696002E-2</v>
      </c>
      <c r="BY217" s="134">
        <f t="shared" si="669"/>
        <v>4.9170460917404173E-2</v>
      </c>
      <c r="BZ217" s="134">
        <f t="shared" si="669"/>
        <v>5.2482352372748328E-2</v>
      </c>
      <c r="CA217" s="134">
        <f t="shared" si="669"/>
        <v>5.0865556242143894E-2</v>
      </c>
      <c r="CB217" s="134">
        <f t="shared" si="669"/>
        <v>5.5717494090067821E-2</v>
      </c>
      <c r="CC217" s="134">
        <f t="shared" si="669"/>
        <v>5.1788781652767457E-2</v>
      </c>
      <c r="CD217" s="134">
        <f t="shared" si="669"/>
        <v>5.0688894731180802E-2</v>
      </c>
      <c r="CE217" s="134">
        <f t="shared" si="669"/>
        <v>5.1567847912881194E-2</v>
      </c>
      <c r="CF217" s="134">
        <f t="shared" si="669"/>
        <v>5.1523950566411361E-2</v>
      </c>
      <c r="CG217" s="134">
        <f t="shared" si="669"/>
        <v>5.4162541060037317E-2</v>
      </c>
      <c r="CH217" s="134">
        <f t="shared" si="669"/>
        <v>5.6913086126206068E-2</v>
      </c>
      <c r="CI217" s="134">
        <f t="shared" si="669"/>
        <v>5.989180291700965E-2</v>
      </c>
      <c r="CJ217" s="134">
        <f t="shared" si="669"/>
        <v>5.7502088097814832E-2</v>
      </c>
      <c r="CK217" s="134">
        <f t="shared" si="669"/>
        <v>5.8521002669733681E-2</v>
      </c>
      <c r="CL217" s="134">
        <f t="shared" si="669"/>
        <v>6.007587705314095E-2</v>
      </c>
      <c r="CM217" s="134">
        <f t="shared" si="669"/>
        <v>4.8781785051745415E-2</v>
      </c>
      <c r="CN217" s="134">
        <f t="shared" si="669"/>
        <v>5.8414707235723569E-2</v>
      </c>
      <c r="CO217" s="134">
        <f t="shared" si="669"/>
        <v>5.6373193104696601E-2</v>
      </c>
      <c r="CP217" s="134">
        <f t="shared" si="669"/>
        <v>5.4005427160303952E-2</v>
      </c>
      <c r="CQ217" s="134">
        <f t="shared" si="669"/>
        <v>5.3745133809591956E-2</v>
      </c>
      <c r="CR217" s="134">
        <f t="shared" si="669"/>
        <v>5.3178435249336221E-2</v>
      </c>
      <c r="CS217" s="134">
        <f t="shared" si="669"/>
        <v>5.1528354974090321E-2</v>
      </c>
      <c r="CT217" s="133">
        <f>AVERAGE(CH217:CS217)</f>
        <v>5.5744241120782773E-2</v>
      </c>
      <c r="CU217" s="133">
        <f t="shared" ref="CU217:DQ217" si="670">CT217</f>
        <v>5.5744241120782773E-2</v>
      </c>
      <c r="CV217" s="133">
        <f t="shared" si="670"/>
        <v>5.5744241120782773E-2</v>
      </c>
      <c r="CW217" s="133">
        <f t="shared" si="670"/>
        <v>5.5744241120782773E-2</v>
      </c>
      <c r="CX217" s="133">
        <f t="shared" si="670"/>
        <v>5.5744241120782773E-2</v>
      </c>
      <c r="CY217" s="133">
        <f t="shared" si="670"/>
        <v>5.5744241120782773E-2</v>
      </c>
      <c r="CZ217" s="133">
        <f t="shared" si="670"/>
        <v>5.5744241120782773E-2</v>
      </c>
      <c r="DA217" s="133">
        <f t="shared" si="670"/>
        <v>5.5744241120782773E-2</v>
      </c>
      <c r="DB217" s="133">
        <f t="shared" si="670"/>
        <v>5.5744241120782773E-2</v>
      </c>
      <c r="DC217" s="133">
        <f t="shared" si="670"/>
        <v>5.5744241120782773E-2</v>
      </c>
      <c r="DD217" s="133">
        <f t="shared" si="670"/>
        <v>5.5744241120782773E-2</v>
      </c>
      <c r="DE217" s="133">
        <f t="shared" si="670"/>
        <v>5.5744241120782773E-2</v>
      </c>
      <c r="DF217" s="133">
        <f t="shared" si="670"/>
        <v>5.5744241120782773E-2</v>
      </c>
      <c r="DG217" s="133">
        <f t="shared" si="670"/>
        <v>5.5744241120782773E-2</v>
      </c>
      <c r="DH217" s="133">
        <f t="shared" si="670"/>
        <v>5.5744241120782773E-2</v>
      </c>
      <c r="DI217" s="133">
        <f t="shared" si="670"/>
        <v>5.5744241120782773E-2</v>
      </c>
      <c r="DJ217" s="133">
        <f t="shared" si="670"/>
        <v>5.5744241120782773E-2</v>
      </c>
      <c r="DK217" s="133">
        <f t="shared" si="670"/>
        <v>5.5744241120782773E-2</v>
      </c>
      <c r="DL217" s="133">
        <f t="shared" si="670"/>
        <v>5.5744241120782773E-2</v>
      </c>
      <c r="DM217" s="133">
        <f t="shared" si="670"/>
        <v>5.5744241120782773E-2</v>
      </c>
      <c r="DN217" s="133">
        <f t="shared" si="670"/>
        <v>5.5744241120782773E-2</v>
      </c>
      <c r="DO217" s="133">
        <f t="shared" si="670"/>
        <v>5.5744241120782773E-2</v>
      </c>
      <c r="DP217" s="133">
        <f t="shared" si="670"/>
        <v>5.5744241120782773E-2</v>
      </c>
      <c r="DQ217" s="133">
        <f t="shared" si="670"/>
        <v>5.5744241120782773E-2</v>
      </c>
      <c r="DR217" s="133">
        <f t="shared" ref="DR217" si="671">DQ217</f>
        <v>5.5744241120782773E-2</v>
      </c>
      <c r="DS217" s="133">
        <f t="shared" ref="DS217" si="672">DR217</f>
        <v>5.5744241120782773E-2</v>
      </c>
      <c r="DT217" s="133">
        <f t="shared" ref="DT217" si="673">DS217</f>
        <v>5.5744241120782773E-2</v>
      </c>
      <c r="DU217" s="133">
        <f t="shared" ref="DU217" si="674">DT217</f>
        <v>5.5744241120782773E-2</v>
      </c>
      <c r="DV217" s="133">
        <f t="shared" ref="DV217" si="675">DU217</f>
        <v>5.5744241120782773E-2</v>
      </c>
      <c r="DW217" s="133">
        <f t="shared" ref="DW217" si="676">DV217</f>
        <v>5.5744241120782773E-2</v>
      </c>
      <c r="DX217" s="133">
        <f t="shared" ref="DX217" si="677">DW217</f>
        <v>5.5744241120782773E-2</v>
      </c>
      <c r="DY217" s="133">
        <f t="shared" ref="DY217" si="678">DX217</f>
        <v>5.5744241120782773E-2</v>
      </c>
      <c r="DZ217" s="133">
        <f t="shared" ref="DZ217" si="679">DY217</f>
        <v>5.5744241120782773E-2</v>
      </c>
      <c r="EA217" s="133">
        <f t="shared" ref="EA217" si="680">DZ217</f>
        <v>5.5744241120782773E-2</v>
      </c>
      <c r="EB217" s="133">
        <f t="shared" ref="EB217" si="681">EA217</f>
        <v>5.5744241120782773E-2</v>
      </c>
      <c r="EC217" s="133">
        <f t="shared" ref="EC217" si="682">EB217</f>
        <v>5.5744241120782773E-2</v>
      </c>
      <c r="ED217" s="113" t="s">
        <v>1</v>
      </c>
    </row>
    <row r="218" spans="1:134" x14ac:dyDescent="0.2">
      <c r="A218" s="707"/>
      <c r="B218" s="115"/>
      <c r="C218" s="115"/>
      <c r="D218" s="115"/>
      <c r="E218" s="115"/>
      <c r="F218" s="115"/>
      <c r="G218" s="115"/>
      <c r="H218" s="115"/>
      <c r="I218" s="115"/>
      <c r="J218" s="115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  <c r="AH218" s="129"/>
      <c r="AI218" s="129"/>
      <c r="AJ218" s="129"/>
      <c r="AK218" s="129"/>
      <c r="AL218" s="129"/>
      <c r="AM218" s="129"/>
      <c r="AN218" s="129"/>
      <c r="AO218" s="129"/>
      <c r="AP218" s="129"/>
      <c r="AQ218" s="129"/>
      <c r="AR218" s="129"/>
      <c r="AS218" s="129"/>
      <c r="AT218" s="129"/>
      <c r="AU218" s="129"/>
      <c r="AV218" s="129"/>
      <c r="AW218" s="129"/>
      <c r="AX218" s="129"/>
      <c r="AY218" s="129"/>
      <c r="AZ218" s="129"/>
      <c r="BA218" s="129"/>
      <c r="BB218" s="129"/>
      <c r="BC218" s="129"/>
      <c r="BD218" s="129"/>
      <c r="BE218" s="129"/>
      <c r="BF218" s="129"/>
      <c r="BG218" s="129"/>
      <c r="BH218" s="129"/>
      <c r="BI218" s="129"/>
      <c r="BJ218" s="129"/>
      <c r="BK218" s="129"/>
      <c r="BL218" s="129"/>
      <c r="BM218" s="129"/>
      <c r="BN218" s="129"/>
      <c r="BO218" s="129"/>
      <c r="BP218" s="129"/>
      <c r="BQ218" s="129"/>
      <c r="BR218" s="129"/>
      <c r="BS218" s="129"/>
      <c r="BT218" s="129"/>
      <c r="BU218" s="129"/>
      <c r="BV218" s="129"/>
      <c r="BW218" s="129"/>
      <c r="BX218" s="129"/>
      <c r="BY218" s="129"/>
      <c r="BZ218" s="129"/>
      <c r="CA218" s="129"/>
      <c r="CB218" s="129"/>
      <c r="CC218" s="129"/>
      <c r="CD218" s="129"/>
      <c r="CE218" s="129"/>
      <c r="CF218" s="129"/>
      <c r="CG218" s="129"/>
      <c r="CH218" s="129"/>
      <c r="CI218" s="129"/>
      <c r="CJ218" s="129"/>
      <c r="CK218" s="129"/>
      <c r="CL218" s="129"/>
      <c r="CM218" s="129"/>
      <c r="CN218" s="129"/>
      <c r="CO218" s="129"/>
      <c r="CP218" s="129"/>
      <c r="CQ218" s="129"/>
      <c r="CR218" s="129"/>
      <c r="CS218" s="129"/>
      <c r="CT218" s="115"/>
      <c r="CU218" s="115"/>
      <c r="CV218" s="115"/>
      <c r="CW218" s="115"/>
      <c r="CX218" s="115"/>
      <c r="CY218" s="115"/>
      <c r="CZ218" s="115"/>
      <c r="DA218" s="115"/>
      <c r="DB218" s="115"/>
      <c r="DC218" s="115"/>
      <c r="DD218" s="115"/>
      <c r="DE218" s="115"/>
      <c r="DF218" s="115"/>
      <c r="DG218" s="115"/>
      <c r="DH218" s="115"/>
      <c r="DI218" s="115"/>
      <c r="DJ218" s="115"/>
      <c r="DK218" s="115"/>
      <c r="DL218" s="115"/>
      <c r="DM218" s="115"/>
      <c r="DN218" s="115"/>
      <c r="DO218" s="115"/>
      <c r="DP218" s="115"/>
      <c r="DQ218" s="115"/>
      <c r="DR218" s="115"/>
      <c r="DS218" s="115"/>
      <c r="DT218" s="115"/>
      <c r="DU218" s="115"/>
      <c r="DV218" s="115"/>
      <c r="DW218" s="115"/>
      <c r="DX218" s="115"/>
      <c r="DY218" s="115"/>
      <c r="DZ218" s="115"/>
      <c r="EA218" s="115"/>
      <c r="EB218" s="115"/>
      <c r="EC218" s="645"/>
      <c r="ED218" s="113" t="s">
        <v>1</v>
      </c>
    </row>
    <row r="219" spans="1:134" x14ac:dyDescent="0.2">
      <c r="A219" s="700" t="s">
        <v>13</v>
      </c>
      <c r="B219" s="115"/>
      <c r="C219" s="115"/>
      <c r="D219" s="115"/>
      <c r="E219" s="115"/>
      <c r="F219" s="115"/>
      <c r="G219" s="115"/>
      <c r="H219" s="115"/>
      <c r="I219" s="115"/>
      <c r="J219" s="115"/>
      <c r="K219" s="132">
        <f>SUM(K220:K221)</f>
        <v>567554.86</v>
      </c>
      <c r="L219" s="132">
        <f t="shared" ref="L219:BW219" si="683">SUM(L220:L221)</f>
        <v>3568518.34</v>
      </c>
      <c r="M219" s="132">
        <f t="shared" si="683"/>
        <v>19627997.260000002</v>
      </c>
      <c r="N219" s="132">
        <f t="shared" si="683"/>
        <v>25574481.100000001</v>
      </c>
      <c r="O219" s="132">
        <f t="shared" si="683"/>
        <v>28193570.054237291</v>
      </c>
      <c r="P219" s="132">
        <f t="shared" si="683"/>
        <v>18423431.926610172</v>
      </c>
      <c r="Q219" s="132">
        <f t="shared" si="683"/>
        <v>38350283.770169489</v>
      </c>
      <c r="R219" s="132">
        <f t="shared" si="683"/>
        <v>25467344.127118647</v>
      </c>
      <c r="S219" s="132">
        <f t="shared" si="683"/>
        <v>37025326.219515741</v>
      </c>
      <c r="T219" s="132">
        <f t="shared" si="683"/>
        <v>33108725.875108957</v>
      </c>
      <c r="U219" s="132">
        <f t="shared" si="683"/>
        <v>9635988.0219854731</v>
      </c>
      <c r="V219" s="132">
        <f t="shared" si="683"/>
        <v>17269966.531924937</v>
      </c>
      <c r="W219" s="132">
        <f t="shared" si="683"/>
        <v>23881893.467240192</v>
      </c>
      <c r="X219" s="132">
        <f t="shared" si="683"/>
        <v>1449768.6532889223</v>
      </c>
      <c r="Y219" s="132">
        <f t="shared" si="683"/>
        <v>14417285.187073162</v>
      </c>
      <c r="Z219" s="132">
        <f t="shared" si="683"/>
        <v>-3181504.7476271191</v>
      </c>
      <c r="AA219" s="132">
        <f t="shared" si="683"/>
        <v>19918585.460660052</v>
      </c>
      <c r="AB219" s="132">
        <f t="shared" si="683"/>
        <v>13131614.680319447</v>
      </c>
      <c r="AC219" s="132">
        <f t="shared" si="683"/>
        <v>8810879.6169644073</v>
      </c>
      <c r="AD219" s="132">
        <f t="shared" si="683"/>
        <v>8519021.4341627117</v>
      </c>
      <c r="AE219" s="132">
        <f t="shared" si="683"/>
        <v>10904375.213249153</v>
      </c>
      <c r="AF219" s="132">
        <f t="shared" si="683"/>
        <v>19897405.896610167</v>
      </c>
      <c r="AG219" s="132">
        <f t="shared" si="683"/>
        <v>16740710.362600001</v>
      </c>
      <c r="AH219" s="132">
        <f t="shared" si="683"/>
        <v>25906966.777244069</v>
      </c>
      <c r="AI219" s="132">
        <f t="shared" si="683"/>
        <v>30592643.226963595</v>
      </c>
      <c r="AJ219" s="132">
        <f t="shared" si="683"/>
        <v>18411744.164928</v>
      </c>
      <c r="AK219" s="132">
        <f t="shared" si="683"/>
        <v>23414836.498111323</v>
      </c>
      <c r="AL219" s="132">
        <f t="shared" si="683"/>
        <v>17718139.204152696</v>
      </c>
      <c r="AM219" s="132">
        <f t="shared" si="683"/>
        <v>11144534.499279607</v>
      </c>
      <c r="AN219" s="132">
        <f t="shared" si="683"/>
        <v>16965027.140508518</v>
      </c>
      <c r="AO219" s="132">
        <f t="shared" si="683"/>
        <v>14467426.503165832</v>
      </c>
      <c r="AP219" s="132">
        <f t="shared" si="683"/>
        <v>9217607.874745762</v>
      </c>
      <c r="AQ219" s="132">
        <f t="shared" si="683"/>
        <v>11608484.404555373</v>
      </c>
      <c r="AR219" s="132">
        <f t="shared" si="683"/>
        <v>14462936.914483052</v>
      </c>
      <c r="AS219" s="132">
        <f t="shared" si="683"/>
        <v>34609820.338726021</v>
      </c>
      <c r="AT219" s="132">
        <f t="shared" si="683"/>
        <v>39825809.509338535</v>
      </c>
      <c r="AU219" s="132">
        <f t="shared" si="683"/>
        <v>46035474.462937295</v>
      </c>
      <c r="AV219" s="132">
        <f t="shared" si="683"/>
        <v>40570163.888050854</v>
      </c>
      <c r="AW219" s="132">
        <f t="shared" si="683"/>
        <v>22434622.31630712</v>
      </c>
      <c r="AX219" s="132">
        <f t="shared" si="683"/>
        <v>20283669.622786433</v>
      </c>
      <c r="AY219" s="132">
        <f t="shared" si="683"/>
        <v>28939189.119999997</v>
      </c>
      <c r="AZ219" s="132">
        <f t="shared" si="683"/>
        <v>41282058.211355932</v>
      </c>
      <c r="BA219" s="132">
        <f t="shared" si="683"/>
        <v>38086047.814258061</v>
      </c>
      <c r="BB219" s="132">
        <f t="shared" si="683"/>
        <v>26630422.798878059</v>
      </c>
      <c r="BC219" s="132">
        <f t="shared" si="683"/>
        <v>37069246.037288234</v>
      </c>
      <c r="BD219" s="132">
        <f t="shared" si="683"/>
        <v>64958206.340542555</v>
      </c>
      <c r="BE219" s="132">
        <f t="shared" si="683"/>
        <v>54846268.580953568</v>
      </c>
      <c r="BF219" s="132">
        <f t="shared" si="683"/>
        <v>46684647.817320563</v>
      </c>
      <c r="BG219" s="132">
        <f t="shared" si="683"/>
        <v>56413967.400088489</v>
      </c>
      <c r="BH219" s="132">
        <f t="shared" si="683"/>
        <v>84010604.151122302</v>
      </c>
      <c r="BI219" s="132">
        <f t="shared" si="683"/>
        <v>146609504.9308483</v>
      </c>
      <c r="BJ219" s="132">
        <f t="shared" si="683"/>
        <v>170202690.96853814</v>
      </c>
      <c r="BK219" s="132">
        <f t="shared" si="683"/>
        <v>151193818.36353105</v>
      </c>
      <c r="BL219" s="132">
        <f t="shared" si="683"/>
        <v>184384481.27297786</v>
      </c>
      <c r="BM219" s="132">
        <f t="shared" si="683"/>
        <v>129316113.17361262</v>
      </c>
      <c r="BN219" s="132">
        <f t="shared" si="683"/>
        <v>151046972.63811257</v>
      </c>
      <c r="BO219" s="132">
        <f t="shared" si="683"/>
        <v>169137702.70903161</v>
      </c>
      <c r="BP219" s="132">
        <f t="shared" si="683"/>
        <v>266025399.4436416</v>
      </c>
      <c r="BQ219" s="132">
        <f t="shared" si="683"/>
        <v>206526281.09120148</v>
      </c>
      <c r="BR219" s="132">
        <f t="shared" si="683"/>
        <v>195090152.98018441</v>
      </c>
      <c r="BS219" s="132">
        <f t="shared" si="683"/>
        <v>198583526.47927979</v>
      </c>
      <c r="BT219" s="132">
        <f t="shared" si="683"/>
        <v>144745153.16620427</v>
      </c>
      <c r="BU219" s="132">
        <f t="shared" si="683"/>
        <v>205035658.84594908</v>
      </c>
      <c r="BV219" s="132">
        <f t="shared" si="683"/>
        <v>197550488.25108179</v>
      </c>
      <c r="BW219" s="132">
        <f t="shared" si="683"/>
        <v>214649617.46269172</v>
      </c>
      <c r="BX219" s="132">
        <f t="shared" ref="BX219:DQ219" si="684">SUM(BX220:BX221)</f>
        <v>222836291.86446032</v>
      </c>
      <c r="BY219" s="132">
        <f t="shared" si="684"/>
        <v>233363267.62247545</v>
      </c>
      <c r="BZ219" s="132">
        <f t="shared" si="684"/>
        <v>219461801.96896589</v>
      </c>
      <c r="CA219" s="132">
        <f t="shared" si="684"/>
        <v>228071512.58676764</v>
      </c>
      <c r="CB219" s="132">
        <f t="shared" si="684"/>
        <v>243721720.33042181</v>
      </c>
      <c r="CC219" s="132">
        <f t="shared" si="684"/>
        <v>213573487.86143905</v>
      </c>
      <c r="CD219" s="132">
        <f t="shared" si="684"/>
        <v>254730738.33033139</v>
      </c>
      <c r="CE219" s="132">
        <f t="shared" si="684"/>
        <v>285976699.31866157</v>
      </c>
      <c r="CF219" s="132">
        <f t="shared" si="684"/>
        <v>274484536.3285138</v>
      </c>
      <c r="CG219" s="132">
        <f t="shared" si="684"/>
        <v>367862022.80188572</v>
      </c>
      <c r="CH219" s="132">
        <f t="shared" si="684"/>
        <v>314586640.51863635</v>
      </c>
      <c r="CI219" s="132">
        <f t="shared" si="684"/>
        <v>317371971.53114605</v>
      </c>
      <c r="CJ219" s="132">
        <f t="shared" si="684"/>
        <v>313176777.91688687</v>
      </c>
      <c r="CK219" s="132">
        <f t="shared" si="684"/>
        <v>328141670.28745651</v>
      </c>
      <c r="CL219" s="132">
        <f t="shared" si="684"/>
        <v>290334825.41999924</v>
      </c>
      <c r="CM219" s="132">
        <f t="shared" si="684"/>
        <v>371393762.38670385</v>
      </c>
      <c r="CN219" s="132">
        <f t="shared" si="684"/>
        <v>317494668.38749188</v>
      </c>
      <c r="CO219" s="132">
        <f t="shared" si="684"/>
        <v>314749870.70059991</v>
      </c>
      <c r="CP219" s="132">
        <f t="shared" si="684"/>
        <v>378932992.90499932</v>
      </c>
      <c r="CQ219" s="132">
        <f t="shared" si="684"/>
        <v>421892195.49063957</v>
      </c>
      <c r="CR219" s="132">
        <f t="shared" si="684"/>
        <v>340471549.33775949</v>
      </c>
      <c r="CS219" s="132">
        <f t="shared" si="684"/>
        <v>403044260.86144972</v>
      </c>
      <c r="CT219" s="132">
        <f t="shared" si="684"/>
        <v>379133946.21853334</v>
      </c>
      <c r="CU219" s="132">
        <f t="shared" si="684"/>
        <v>382992641.60612327</v>
      </c>
      <c r="CV219" s="132">
        <f t="shared" si="684"/>
        <v>382718651.40108734</v>
      </c>
      <c r="CW219" s="132">
        <f t="shared" si="684"/>
        <v>388495278.22392923</v>
      </c>
      <c r="CX219" s="132">
        <f t="shared" si="684"/>
        <v>366073746.44515169</v>
      </c>
      <c r="CY219" s="132">
        <f t="shared" si="684"/>
        <v>400459517.17716676</v>
      </c>
      <c r="CZ219" s="132">
        <f t="shared" si="684"/>
        <v>389385746.3902961</v>
      </c>
      <c r="DA219" s="132">
        <f t="shared" si="684"/>
        <v>390299047.0737493</v>
      </c>
      <c r="DB219" s="132">
        <f t="shared" si="684"/>
        <v>479094706.02249217</v>
      </c>
      <c r="DC219" s="132">
        <f t="shared" si="684"/>
        <v>516220378.80486709</v>
      </c>
      <c r="DD219" s="132">
        <f t="shared" si="684"/>
        <v>442562678.68436193</v>
      </c>
      <c r="DE219" s="132">
        <f t="shared" si="684"/>
        <v>478227070.37321156</v>
      </c>
      <c r="DF219" s="132">
        <f t="shared" si="684"/>
        <v>449084159.29585272</v>
      </c>
      <c r="DG219" s="132">
        <f t="shared" si="684"/>
        <v>453654783.98245305</v>
      </c>
      <c r="DH219" s="132">
        <f t="shared" si="684"/>
        <v>453330242.58458799</v>
      </c>
      <c r="DI219" s="132">
        <f t="shared" si="684"/>
        <v>460172657.05624413</v>
      </c>
      <c r="DJ219" s="132">
        <f t="shared" si="684"/>
        <v>433614352.6642822</v>
      </c>
      <c r="DK219" s="132">
        <f t="shared" si="684"/>
        <v>474344298.09635407</v>
      </c>
      <c r="DL219" s="132">
        <f t="shared" si="684"/>
        <v>461227416.59930569</v>
      </c>
      <c r="DM219" s="132">
        <f t="shared" si="684"/>
        <v>462309221.25885612</v>
      </c>
      <c r="DN219" s="132">
        <f t="shared" si="684"/>
        <v>567487679.28364205</v>
      </c>
      <c r="DO219" s="132">
        <f t="shared" si="684"/>
        <v>611463038.69436514</v>
      </c>
      <c r="DP219" s="132">
        <f t="shared" si="684"/>
        <v>524215492.90162671</v>
      </c>
      <c r="DQ219" s="132">
        <f t="shared" si="684"/>
        <v>566459964.85706913</v>
      </c>
      <c r="DR219" s="132">
        <f t="shared" ref="DR219:EC219" si="685">SUM(DR220:DR221)</f>
        <v>531940186.6859374</v>
      </c>
      <c r="DS219" s="132">
        <f t="shared" si="685"/>
        <v>537354091.62721562</v>
      </c>
      <c r="DT219" s="132">
        <f t="shared" si="685"/>
        <v>536969672.34144437</v>
      </c>
      <c r="DU219" s="132">
        <f t="shared" si="685"/>
        <v>545074512.28312111</v>
      </c>
      <c r="DV219" s="132">
        <f t="shared" si="685"/>
        <v>513616200.73084223</v>
      </c>
      <c r="DW219" s="132">
        <f t="shared" si="685"/>
        <v>561860821.0951314</v>
      </c>
      <c r="DX219" s="132">
        <f t="shared" si="685"/>
        <v>546323874.96187747</v>
      </c>
      <c r="DY219" s="132">
        <f t="shared" si="685"/>
        <v>547605272.58111489</v>
      </c>
      <c r="DZ219" s="132">
        <f t="shared" si="685"/>
        <v>672189156.11147392</v>
      </c>
      <c r="EA219" s="132">
        <f t="shared" si="685"/>
        <v>724277969.33347547</v>
      </c>
      <c r="EB219" s="132">
        <f t="shared" si="685"/>
        <v>620933251.34197676</v>
      </c>
      <c r="EC219" s="132">
        <f t="shared" si="685"/>
        <v>670971828.37319839</v>
      </c>
      <c r="ED219" s="113" t="s">
        <v>1</v>
      </c>
    </row>
    <row r="220" spans="1:134" x14ac:dyDescent="0.2">
      <c r="A220" s="698" t="s">
        <v>132</v>
      </c>
      <c r="B220" s="115"/>
      <c r="C220" s="115"/>
      <c r="D220" s="115"/>
      <c r="E220" s="115"/>
      <c r="F220" s="115"/>
      <c r="G220" s="115"/>
      <c r="H220" s="115"/>
      <c r="I220" s="115"/>
      <c r="J220" s="115"/>
      <c r="K220" s="129">
        <f t="shared" ref="K220:AP220" si="686">K197-K212</f>
        <v>0</v>
      </c>
      <c r="L220" s="129">
        <f t="shared" si="686"/>
        <v>0</v>
      </c>
      <c r="M220" s="129">
        <f t="shared" si="686"/>
        <v>0</v>
      </c>
      <c r="N220" s="129">
        <f t="shared" si="686"/>
        <v>0</v>
      </c>
      <c r="O220" s="129">
        <f t="shared" si="686"/>
        <v>0</v>
      </c>
      <c r="P220" s="129">
        <f t="shared" si="686"/>
        <v>0</v>
      </c>
      <c r="Q220" s="129">
        <f t="shared" si="686"/>
        <v>0</v>
      </c>
      <c r="R220" s="129">
        <f t="shared" si="686"/>
        <v>0</v>
      </c>
      <c r="S220" s="129">
        <f t="shared" si="686"/>
        <v>0</v>
      </c>
      <c r="T220" s="129">
        <f t="shared" si="686"/>
        <v>0</v>
      </c>
      <c r="U220" s="129">
        <f t="shared" si="686"/>
        <v>0</v>
      </c>
      <c r="V220" s="129">
        <f t="shared" si="686"/>
        <v>0</v>
      </c>
      <c r="W220" s="129">
        <f t="shared" si="686"/>
        <v>0</v>
      </c>
      <c r="X220" s="129">
        <f t="shared" si="686"/>
        <v>0</v>
      </c>
      <c r="Y220" s="129">
        <f t="shared" si="686"/>
        <v>0</v>
      </c>
      <c r="Z220" s="129">
        <f t="shared" si="686"/>
        <v>0</v>
      </c>
      <c r="AA220" s="129">
        <f t="shared" si="686"/>
        <v>932312.1881355932</v>
      </c>
      <c r="AB220" s="129">
        <f t="shared" si="686"/>
        <v>1022668.8288135593</v>
      </c>
      <c r="AC220" s="129">
        <f t="shared" si="686"/>
        <v>511418.74966101698</v>
      </c>
      <c r="AD220" s="129">
        <f t="shared" si="686"/>
        <v>473116.62847457628</v>
      </c>
      <c r="AE220" s="129">
        <f t="shared" si="686"/>
        <v>923479.05474576273</v>
      </c>
      <c r="AF220" s="129">
        <f t="shared" si="686"/>
        <v>1528433.0723728815</v>
      </c>
      <c r="AG220" s="129">
        <f t="shared" si="686"/>
        <v>860581.79016949155</v>
      </c>
      <c r="AH220" s="129">
        <f t="shared" si="686"/>
        <v>5145052.7286440674</v>
      </c>
      <c r="AI220" s="129">
        <f t="shared" si="686"/>
        <v>4012501.9966101693</v>
      </c>
      <c r="AJ220" s="129">
        <f t="shared" si="686"/>
        <v>3401090.9731796607</v>
      </c>
      <c r="AK220" s="129">
        <f t="shared" si="686"/>
        <v>5005173.3336016946</v>
      </c>
      <c r="AL220" s="129">
        <f t="shared" si="686"/>
        <v>3417334.2820762713</v>
      </c>
      <c r="AM220" s="129">
        <f t="shared" si="686"/>
        <v>3379670.6720338976</v>
      </c>
      <c r="AN220" s="129">
        <f t="shared" si="686"/>
        <v>4671568.3139830464</v>
      </c>
      <c r="AO220" s="129">
        <f t="shared" si="686"/>
        <v>5125284.4350847453</v>
      </c>
      <c r="AP220" s="129">
        <f t="shared" si="686"/>
        <v>5081379.4215254234</v>
      </c>
      <c r="AQ220" s="129">
        <f t="shared" ref="AQ220:BV220" si="687">AQ197-AQ212</f>
        <v>6363177.6359254066</v>
      </c>
      <c r="AR220" s="129">
        <f t="shared" si="687"/>
        <v>3110138.7888474581</v>
      </c>
      <c r="AS220" s="129">
        <f t="shared" si="687"/>
        <v>12695000.082298389</v>
      </c>
      <c r="AT220" s="129">
        <f t="shared" si="687"/>
        <v>13881643.255315254</v>
      </c>
      <c r="AU220" s="129">
        <f t="shared" si="687"/>
        <v>21714514.960293222</v>
      </c>
      <c r="AV220" s="129">
        <f t="shared" si="687"/>
        <v>23532575.327711865</v>
      </c>
      <c r="AW220" s="129">
        <f t="shared" si="687"/>
        <v>18084439.825764745</v>
      </c>
      <c r="AX220" s="129">
        <f t="shared" si="687"/>
        <v>17743243.71685423</v>
      </c>
      <c r="AY220" s="129">
        <f t="shared" si="687"/>
        <v>22571505.119999997</v>
      </c>
      <c r="AZ220" s="129">
        <f t="shared" si="687"/>
        <v>37356443.28742373</v>
      </c>
      <c r="BA220" s="129">
        <f t="shared" si="687"/>
        <v>30983676.565952975</v>
      </c>
      <c r="BB220" s="129">
        <f t="shared" si="687"/>
        <v>21629841.467352636</v>
      </c>
      <c r="BC220" s="129">
        <f t="shared" si="687"/>
        <v>23202785.237288237</v>
      </c>
      <c r="BD220" s="129">
        <f t="shared" si="687"/>
        <v>46624355.738508657</v>
      </c>
      <c r="BE220" s="129">
        <f t="shared" si="687"/>
        <v>36024406.480508476</v>
      </c>
      <c r="BF220" s="129">
        <f t="shared" si="687"/>
        <v>33859102.817423955</v>
      </c>
      <c r="BG220" s="129">
        <f t="shared" si="687"/>
        <v>45001309.617037639</v>
      </c>
      <c r="BH220" s="129">
        <f t="shared" si="687"/>
        <v>64503887.980444334</v>
      </c>
      <c r="BI220" s="129">
        <f t="shared" si="687"/>
        <v>119904852.21169575</v>
      </c>
      <c r="BJ220" s="129">
        <f t="shared" si="687"/>
        <v>154381796.26548728</v>
      </c>
      <c r="BK220" s="129">
        <f t="shared" si="687"/>
        <v>153172337.21505648</v>
      </c>
      <c r="BL220" s="129">
        <f t="shared" si="687"/>
        <v>184557887.99162194</v>
      </c>
      <c r="BM220" s="129">
        <f t="shared" si="687"/>
        <v>129316113.17361262</v>
      </c>
      <c r="BN220" s="129">
        <f t="shared" si="687"/>
        <v>151046972.63811257</v>
      </c>
      <c r="BO220" s="129">
        <f t="shared" si="687"/>
        <v>169137702.70903161</v>
      </c>
      <c r="BP220" s="129">
        <f t="shared" si="687"/>
        <v>266025399.4436416</v>
      </c>
      <c r="BQ220" s="129">
        <f t="shared" si="687"/>
        <v>206526281.09120148</v>
      </c>
      <c r="BR220" s="129">
        <f t="shared" si="687"/>
        <v>195090152.98018441</v>
      </c>
      <c r="BS220" s="129">
        <f t="shared" si="687"/>
        <v>198583526.47927979</v>
      </c>
      <c r="BT220" s="129">
        <f t="shared" si="687"/>
        <v>144745153.16620427</v>
      </c>
      <c r="BU220" s="129">
        <f t="shared" si="687"/>
        <v>205035658.84594908</v>
      </c>
      <c r="BV220" s="129">
        <f t="shared" si="687"/>
        <v>197550488.25108179</v>
      </c>
      <c r="BW220" s="129">
        <f t="shared" ref="BW220:DB220" si="688">BW197-BW212</f>
        <v>214649617.46269172</v>
      </c>
      <c r="BX220" s="129">
        <f t="shared" si="688"/>
        <v>222836291.86446032</v>
      </c>
      <c r="BY220" s="129">
        <f t="shared" si="688"/>
        <v>233363267.62247545</v>
      </c>
      <c r="BZ220" s="129">
        <f t="shared" si="688"/>
        <v>219461801.96896589</v>
      </c>
      <c r="CA220" s="129">
        <f t="shared" si="688"/>
        <v>228071512.58676764</v>
      </c>
      <c r="CB220" s="129">
        <f t="shared" si="688"/>
        <v>243721720.33042181</v>
      </c>
      <c r="CC220" s="129">
        <f t="shared" si="688"/>
        <v>213573487.86143905</v>
      </c>
      <c r="CD220" s="129">
        <f t="shared" si="688"/>
        <v>254730738.33033139</v>
      </c>
      <c r="CE220" s="129">
        <f t="shared" si="688"/>
        <v>285976699.31866157</v>
      </c>
      <c r="CF220" s="129">
        <f t="shared" si="688"/>
        <v>274484536.3285138</v>
      </c>
      <c r="CG220" s="129">
        <f t="shared" si="688"/>
        <v>367862022.80188572</v>
      </c>
      <c r="CH220" s="129">
        <f t="shared" si="688"/>
        <v>314586640.51863635</v>
      </c>
      <c r="CI220" s="129">
        <f t="shared" si="688"/>
        <v>317371971.53114605</v>
      </c>
      <c r="CJ220" s="129">
        <f t="shared" si="688"/>
        <v>313176777.91688687</v>
      </c>
      <c r="CK220" s="129">
        <f t="shared" si="688"/>
        <v>328141670.28745651</v>
      </c>
      <c r="CL220" s="129">
        <f t="shared" si="688"/>
        <v>290334825.41999924</v>
      </c>
      <c r="CM220" s="129">
        <f t="shared" si="688"/>
        <v>371393762.38670385</v>
      </c>
      <c r="CN220" s="129">
        <f t="shared" si="688"/>
        <v>317494668.38749188</v>
      </c>
      <c r="CO220" s="129">
        <f t="shared" si="688"/>
        <v>314749870.70059991</v>
      </c>
      <c r="CP220" s="129">
        <f t="shared" si="688"/>
        <v>378932992.90499932</v>
      </c>
      <c r="CQ220" s="129">
        <f t="shared" si="688"/>
        <v>421892195.49063957</v>
      </c>
      <c r="CR220" s="129">
        <f t="shared" si="688"/>
        <v>340471549.33775949</v>
      </c>
      <c r="CS220" s="129">
        <f t="shared" si="688"/>
        <v>403044260.86144972</v>
      </c>
      <c r="CT220" s="129">
        <f>CT197-CT212</f>
        <v>379133946.21853334</v>
      </c>
      <c r="CU220" s="129">
        <f t="shared" si="688"/>
        <v>382992641.60612327</v>
      </c>
      <c r="CV220" s="129">
        <f t="shared" si="688"/>
        <v>382718651.40108734</v>
      </c>
      <c r="CW220" s="129">
        <f t="shared" si="688"/>
        <v>388495278.22392923</v>
      </c>
      <c r="CX220" s="129">
        <f t="shared" si="688"/>
        <v>366073746.44515169</v>
      </c>
      <c r="CY220" s="129">
        <f t="shared" si="688"/>
        <v>400459517.17716676</v>
      </c>
      <c r="CZ220" s="129">
        <f t="shared" si="688"/>
        <v>389385746.3902961</v>
      </c>
      <c r="DA220" s="129">
        <f t="shared" si="688"/>
        <v>390299047.0737493</v>
      </c>
      <c r="DB220" s="129">
        <f t="shared" si="688"/>
        <v>479094706.02249217</v>
      </c>
      <c r="DC220" s="129">
        <f t="shared" ref="DC220:DQ220" si="689">DC197-DC212</f>
        <v>516220378.80486709</v>
      </c>
      <c r="DD220" s="129">
        <f t="shared" si="689"/>
        <v>442562678.68436193</v>
      </c>
      <c r="DE220" s="129">
        <f t="shared" si="689"/>
        <v>478227070.37321156</v>
      </c>
      <c r="DF220" s="129">
        <f t="shared" si="689"/>
        <v>449084159.29585272</v>
      </c>
      <c r="DG220" s="129">
        <f t="shared" si="689"/>
        <v>453654783.98245305</v>
      </c>
      <c r="DH220" s="129">
        <f t="shared" si="689"/>
        <v>453330242.58458799</v>
      </c>
      <c r="DI220" s="129">
        <f t="shared" si="689"/>
        <v>460172657.05624413</v>
      </c>
      <c r="DJ220" s="129">
        <f t="shared" si="689"/>
        <v>433614352.6642822</v>
      </c>
      <c r="DK220" s="129">
        <f t="shared" si="689"/>
        <v>474344298.09635407</v>
      </c>
      <c r="DL220" s="129">
        <f t="shared" si="689"/>
        <v>461227416.59930569</v>
      </c>
      <c r="DM220" s="129">
        <f t="shared" si="689"/>
        <v>462309221.25885612</v>
      </c>
      <c r="DN220" s="129">
        <f t="shared" si="689"/>
        <v>567487679.28364205</v>
      </c>
      <c r="DO220" s="129">
        <f t="shared" si="689"/>
        <v>611463038.69436514</v>
      </c>
      <c r="DP220" s="129">
        <f t="shared" si="689"/>
        <v>524215492.90162671</v>
      </c>
      <c r="DQ220" s="129">
        <f t="shared" si="689"/>
        <v>566459964.85706913</v>
      </c>
      <c r="DR220" s="129">
        <f t="shared" ref="DR220:EC220" si="690">DR197-DR212</f>
        <v>531940186.6859374</v>
      </c>
      <c r="DS220" s="129">
        <f t="shared" si="690"/>
        <v>537354091.62721562</v>
      </c>
      <c r="DT220" s="129">
        <f t="shared" si="690"/>
        <v>536969672.34144437</v>
      </c>
      <c r="DU220" s="129">
        <f t="shared" si="690"/>
        <v>545074512.28312111</v>
      </c>
      <c r="DV220" s="129">
        <f t="shared" si="690"/>
        <v>513616200.73084223</v>
      </c>
      <c r="DW220" s="129">
        <f t="shared" si="690"/>
        <v>561860821.0951314</v>
      </c>
      <c r="DX220" s="129">
        <f t="shared" si="690"/>
        <v>546323874.96187747</v>
      </c>
      <c r="DY220" s="129">
        <f t="shared" si="690"/>
        <v>547605272.58111489</v>
      </c>
      <c r="DZ220" s="129">
        <f t="shared" si="690"/>
        <v>672189156.11147392</v>
      </c>
      <c r="EA220" s="129">
        <f t="shared" si="690"/>
        <v>724277969.33347547</v>
      </c>
      <c r="EB220" s="129">
        <f t="shared" si="690"/>
        <v>620933251.34197676</v>
      </c>
      <c r="EC220" s="129">
        <f t="shared" si="690"/>
        <v>670971828.37319839</v>
      </c>
      <c r="ED220" s="113" t="s">
        <v>1</v>
      </c>
    </row>
    <row r="221" spans="1:134" x14ac:dyDescent="0.2">
      <c r="A221" s="698" t="s">
        <v>133</v>
      </c>
      <c r="B221" s="115"/>
      <c r="C221" s="115"/>
      <c r="D221" s="115"/>
      <c r="E221" s="115"/>
      <c r="F221" s="115"/>
      <c r="G221" s="115"/>
      <c r="H221" s="115"/>
      <c r="I221" s="115"/>
      <c r="J221" s="115"/>
      <c r="K221" s="129">
        <f t="shared" ref="K221:AP221" si="691">K198-K213</f>
        <v>567554.86</v>
      </c>
      <c r="L221" s="129">
        <f t="shared" si="691"/>
        <v>3568518.34</v>
      </c>
      <c r="M221" s="129">
        <f t="shared" si="691"/>
        <v>19627997.260000002</v>
      </c>
      <c r="N221" s="129">
        <f t="shared" si="691"/>
        <v>25574481.100000001</v>
      </c>
      <c r="O221" s="129">
        <f t="shared" si="691"/>
        <v>28193570.054237291</v>
      </c>
      <c r="P221" s="129">
        <f t="shared" si="691"/>
        <v>18423431.926610172</v>
      </c>
      <c r="Q221" s="129">
        <f t="shared" si="691"/>
        <v>38350283.770169489</v>
      </c>
      <c r="R221" s="129">
        <f t="shared" si="691"/>
        <v>25467344.127118647</v>
      </c>
      <c r="S221" s="129">
        <f t="shared" si="691"/>
        <v>37025326.219515741</v>
      </c>
      <c r="T221" s="129">
        <f t="shared" si="691"/>
        <v>33108725.875108957</v>
      </c>
      <c r="U221" s="129">
        <f t="shared" si="691"/>
        <v>9635988.0219854731</v>
      </c>
      <c r="V221" s="129">
        <f t="shared" si="691"/>
        <v>17269966.531924937</v>
      </c>
      <c r="W221" s="129">
        <f t="shared" si="691"/>
        <v>23881893.467240192</v>
      </c>
      <c r="X221" s="129">
        <f t="shared" si="691"/>
        <v>1449768.6532889223</v>
      </c>
      <c r="Y221" s="129">
        <f t="shared" si="691"/>
        <v>14417285.187073162</v>
      </c>
      <c r="Z221" s="129">
        <f t="shared" si="691"/>
        <v>-3181504.7476271191</v>
      </c>
      <c r="AA221" s="129">
        <f t="shared" si="691"/>
        <v>18986273.272524457</v>
      </c>
      <c r="AB221" s="129">
        <f t="shared" si="691"/>
        <v>12108945.851505889</v>
      </c>
      <c r="AC221" s="129">
        <f t="shared" si="691"/>
        <v>8299460.8673033901</v>
      </c>
      <c r="AD221" s="129">
        <f t="shared" si="691"/>
        <v>8045904.8056881353</v>
      </c>
      <c r="AE221" s="129">
        <f t="shared" si="691"/>
        <v>9980896.158503389</v>
      </c>
      <c r="AF221" s="129">
        <f t="shared" si="691"/>
        <v>18368972.824237287</v>
      </c>
      <c r="AG221" s="129">
        <f t="shared" si="691"/>
        <v>15880128.572430508</v>
      </c>
      <c r="AH221" s="129">
        <f t="shared" si="691"/>
        <v>20761914.048599999</v>
      </c>
      <c r="AI221" s="129">
        <f t="shared" si="691"/>
        <v>26580141.230353426</v>
      </c>
      <c r="AJ221" s="129">
        <f t="shared" si="691"/>
        <v>15010653.19174834</v>
      </c>
      <c r="AK221" s="129">
        <f t="shared" si="691"/>
        <v>18409663.164509628</v>
      </c>
      <c r="AL221" s="129">
        <f t="shared" si="691"/>
        <v>14300804.922076425</v>
      </c>
      <c r="AM221" s="129">
        <f t="shared" si="691"/>
        <v>7764863.8272457104</v>
      </c>
      <c r="AN221" s="129">
        <f t="shared" si="691"/>
        <v>12293458.82652547</v>
      </c>
      <c r="AO221" s="129">
        <f t="shared" si="691"/>
        <v>9342142.0680810865</v>
      </c>
      <c r="AP221" s="129">
        <f t="shared" si="691"/>
        <v>4136228.4532203386</v>
      </c>
      <c r="AQ221" s="129">
        <f t="shared" ref="AQ221:BV221" si="692">AQ198-AQ213</f>
        <v>5245306.7686299654</v>
      </c>
      <c r="AR221" s="129">
        <f t="shared" si="692"/>
        <v>11352798.125635594</v>
      </c>
      <c r="AS221" s="129">
        <f t="shared" si="692"/>
        <v>21914820.256427635</v>
      </c>
      <c r="AT221" s="129">
        <f t="shared" si="692"/>
        <v>25944166.25402328</v>
      </c>
      <c r="AU221" s="129">
        <f t="shared" si="692"/>
        <v>24320959.502644077</v>
      </c>
      <c r="AV221" s="129">
        <f t="shared" si="692"/>
        <v>17037588.560338985</v>
      </c>
      <c r="AW221" s="129">
        <f t="shared" si="692"/>
        <v>4350182.4905423727</v>
      </c>
      <c r="AX221" s="129">
        <f t="shared" si="692"/>
        <v>2540425.9059322029</v>
      </c>
      <c r="AY221" s="129">
        <f t="shared" si="692"/>
        <v>6367684</v>
      </c>
      <c r="AZ221" s="129">
        <f t="shared" si="692"/>
        <v>3925614.9239322036</v>
      </c>
      <c r="BA221" s="129">
        <f t="shared" si="692"/>
        <v>7102371.248305086</v>
      </c>
      <c r="BB221" s="129">
        <f t="shared" si="692"/>
        <v>5000581.3315254236</v>
      </c>
      <c r="BC221" s="129">
        <f t="shared" si="692"/>
        <v>13866460.799999999</v>
      </c>
      <c r="BD221" s="129">
        <f t="shared" si="692"/>
        <v>18333850.602033898</v>
      </c>
      <c r="BE221" s="129">
        <f t="shared" si="692"/>
        <v>18821862.100445088</v>
      </c>
      <c r="BF221" s="129">
        <f t="shared" si="692"/>
        <v>12825544.99989661</v>
      </c>
      <c r="BG221" s="129">
        <f t="shared" si="692"/>
        <v>11412657.783050846</v>
      </c>
      <c r="BH221" s="129">
        <f t="shared" si="692"/>
        <v>19506716.170677967</v>
      </c>
      <c r="BI221" s="129">
        <f t="shared" si="692"/>
        <v>26704652.719152544</v>
      </c>
      <c r="BJ221" s="129">
        <f t="shared" si="692"/>
        <v>15820894.703050848</v>
      </c>
      <c r="BK221" s="129">
        <f t="shared" si="692"/>
        <v>-1978518.8515254236</v>
      </c>
      <c r="BL221" s="129">
        <f t="shared" si="692"/>
        <v>-173406.71864406779</v>
      </c>
      <c r="BM221" s="129">
        <f t="shared" si="692"/>
        <v>0</v>
      </c>
      <c r="BN221" s="129">
        <f t="shared" si="692"/>
        <v>0</v>
      </c>
      <c r="BO221" s="129">
        <f t="shared" si="692"/>
        <v>0</v>
      </c>
      <c r="BP221" s="129">
        <f t="shared" si="692"/>
        <v>0</v>
      </c>
      <c r="BQ221" s="129">
        <f t="shared" si="692"/>
        <v>0</v>
      </c>
      <c r="BR221" s="129">
        <f t="shared" si="692"/>
        <v>0</v>
      </c>
      <c r="BS221" s="129">
        <f t="shared" si="692"/>
        <v>0</v>
      </c>
      <c r="BT221" s="129">
        <f t="shared" si="692"/>
        <v>0</v>
      </c>
      <c r="BU221" s="129">
        <f t="shared" si="692"/>
        <v>0</v>
      </c>
      <c r="BV221" s="129">
        <f t="shared" si="692"/>
        <v>0</v>
      </c>
      <c r="BW221" s="129">
        <f t="shared" ref="BW221:DB221" si="693">BW198-BW213</f>
        <v>0</v>
      </c>
      <c r="BX221" s="129">
        <f t="shared" si="693"/>
        <v>0</v>
      </c>
      <c r="BY221" s="129">
        <f t="shared" si="693"/>
        <v>0</v>
      </c>
      <c r="BZ221" s="129">
        <f t="shared" si="693"/>
        <v>0</v>
      </c>
      <c r="CA221" s="129">
        <f t="shared" si="693"/>
        <v>0</v>
      </c>
      <c r="CB221" s="129">
        <f t="shared" si="693"/>
        <v>0</v>
      </c>
      <c r="CC221" s="129">
        <f t="shared" si="693"/>
        <v>0</v>
      </c>
      <c r="CD221" s="129">
        <f t="shared" si="693"/>
        <v>0</v>
      </c>
      <c r="CE221" s="129">
        <f t="shared" si="693"/>
        <v>0</v>
      </c>
      <c r="CF221" s="129">
        <f t="shared" si="693"/>
        <v>0</v>
      </c>
      <c r="CG221" s="129">
        <f t="shared" si="693"/>
        <v>0</v>
      </c>
      <c r="CH221" s="129">
        <f t="shared" si="693"/>
        <v>0</v>
      </c>
      <c r="CI221" s="129">
        <f t="shared" si="693"/>
        <v>0</v>
      </c>
      <c r="CJ221" s="129">
        <f t="shared" si="693"/>
        <v>0</v>
      </c>
      <c r="CK221" s="129">
        <f t="shared" si="693"/>
        <v>0</v>
      </c>
      <c r="CL221" s="129">
        <f t="shared" si="693"/>
        <v>0</v>
      </c>
      <c r="CM221" s="129">
        <f t="shared" si="693"/>
        <v>0</v>
      </c>
      <c r="CN221" s="129">
        <f t="shared" si="693"/>
        <v>0</v>
      </c>
      <c r="CO221" s="129">
        <f t="shared" si="693"/>
        <v>0</v>
      </c>
      <c r="CP221" s="129">
        <f t="shared" si="693"/>
        <v>0</v>
      </c>
      <c r="CQ221" s="129">
        <f t="shared" si="693"/>
        <v>0</v>
      </c>
      <c r="CR221" s="129">
        <f t="shared" si="693"/>
        <v>0</v>
      </c>
      <c r="CS221" s="129">
        <f t="shared" si="693"/>
        <v>0</v>
      </c>
      <c r="CT221" s="129">
        <f>CT198-CT213</f>
        <v>0</v>
      </c>
      <c r="CU221" s="129">
        <f t="shared" si="693"/>
        <v>0</v>
      </c>
      <c r="CV221" s="129">
        <f t="shared" si="693"/>
        <v>0</v>
      </c>
      <c r="CW221" s="129">
        <f t="shared" si="693"/>
        <v>0</v>
      </c>
      <c r="CX221" s="129">
        <f t="shared" si="693"/>
        <v>0</v>
      </c>
      <c r="CY221" s="129">
        <f t="shared" si="693"/>
        <v>0</v>
      </c>
      <c r="CZ221" s="129">
        <f t="shared" si="693"/>
        <v>0</v>
      </c>
      <c r="DA221" s="129">
        <f t="shared" si="693"/>
        <v>0</v>
      </c>
      <c r="DB221" s="129">
        <f t="shared" si="693"/>
        <v>0</v>
      </c>
      <c r="DC221" s="129">
        <f t="shared" ref="DC221:DQ221" si="694">DC198-DC213</f>
        <v>0</v>
      </c>
      <c r="DD221" s="129">
        <f t="shared" si="694"/>
        <v>0</v>
      </c>
      <c r="DE221" s="129">
        <f t="shared" si="694"/>
        <v>0</v>
      </c>
      <c r="DF221" s="129">
        <f t="shared" si="694"/>
        <v>0</v>
      </c>
      <c r="DG221" s="129">
        <f t="shared" si="694"/>
        <v>0</v>
      </c>
      <c r="DH221" s="129">
        <f t="shared" si="694"/>
        <v>0</v>
      </c>
      <c r="DI221" s="129">
        <f t="shared" si="694"/>
        <v>0</v>
      </c>
      <c r="DJ221" s="129">
        <f t="shared" si="694"/>
        <v>0</v>
      </c>
      <c r="DK221" s="129">
        <f t="shared" si="694"/>
        <v>0</v>
      </c>
      <c r="DL221" s="129">
        <f t="shared" si="694"/>
        <v>0</v>
      </c>
      <c r="DM221" s="129">
        <f t="shared" si="694"/>
        <v>0</v>
      </c>
      <c r="DN221" s="129">
        <f t="shared" si="694"/>
        <v>0</v>
      </c>
      <c r="DO221" s="129">
        <f t="shared" si="694"/>
        <v>0</v>
      </c>
      <c r="DP221" s="129">
        <f t="shared" si="694"/>
        <v>0</v>
      </c>
      <c r="DQ221" s="129">
        <f t="shared" si="694"/>
        <v>0</v>
      </c>
      <c r="DR221" s="129">
        <f t="shared" ref="DR221:EC221" si="695">DR198-DR213</f>
        <v>0</v>
      </c>
      <c r="DS221" s="129">
        <f t="shared" si="695"/>
        <v>0</v>
      </c>
      <c r="DT221" s="129">
        <f t="shared" si="695"/>
        <v>0</v>
      </c>
      <c r="DU221" s="129">
        <f t="shared" si="695"/>
        <v>0</v>
      </c>
      <c r="DV221" s="129">
        <f t="shared" si="695"/>
        <v>0</v>
      </c>
      <c r="DW221" s="129">
        <f t="shared" si="695"/>
        <v>0</v>
      </c>
      <c r="DX221" s="129">
        <f t="shared" si="695"/>
        <v>0</v>
      </c>
      <c r="DY221" s="129">
        <f t="shared" si="695"/>
        <v>0</v>
      </c>
      <c r="DZ221" s="129">
        <f t="shared" si="695"/>
        <v>0</v>
      </c>
      <c r="EA221" s="129">
        <f t="shared" si="695"/>
        <v>0</v>
      </c>
      <c r="EB221" s="129">
        <f t="shared" si="695"/>
        <v>0</v>
      </c>
      <c r="EC221" s="129">
        <f t="shared" si="695"/>
        <v>0</v>
      </c>
      <c r="ED221" s="113" t="s">
        <v>1</v>
      </c>
    </row>
    <row r="222" spans="1:134" x14ac:dyDescent="0.2">
      <c r="A222" s="698"/>
      <c r="B222" s="115"/>
      <c r="C222" s="115"/>
      <c r="D222" s="115"/>
      <c r="E222" s="115"/>
      <c r="F222" s="115"/>
      <c r="G222" s="115"/>
      <c r="H222" s="115"/>
      <c r="I222" s="115"/>
      <c r="J222" s="115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  <c r="AH222" s="129"/>
      <c r="AI222" s="129"/>
      <c r="AJ222" s="129"/>
      <c r="AK222" s="129"/>
      <c r="AL222" s="129"/>
      <c r="AM222" s="129"/>
      <c r="AN222" s="129"/>
      <c r="AO222" s="129"/>
      <c r="AP222" s="129"/>
      <c r="AQ222" s="129"/>
      <c r="AR222" s="129"/>
      <c r="AS222" s="129"/>
      <c r="AT222" s="129"/>
      <c r="AU222" s="129"/>
      <c r="AV222" s="129"/>
      <c r="AW222" s="129"/>
      <c r="AX222" s="129"/>
      <c r="AY222" s="129"/>
      <c r="AZ222" s="129"/>
      <c r="BA222" s="129"/>
      <c r="BB222" s="129"/>
      <c r="BC222" s="129"/>
      <c r="BD222" s="129"/>
      <c r="BE222" s="129"/>
      <c r="BF222" s="129"/>
      <c r="BG222" s="129"/>
      <c r="BH222" s="129"/>
      <c r="BI222" s="129"/>
      <c r="BJ222" s="129"/>
      <c r="BK222" s="129"/>
      <c r="BL222" s="129"/>
      <c r="BM222" s="129"/>
      <c r="BN222" s="129"/>
      <c r="BO222" s="129"/>
      <c r="BP222" s="129"/>
      <c r="BQ222" s="129"/>
      <c r="BR222" s="129"/>
      <c r="BS222" s="129"/>
      <c r="BT222" s="129"/>
      <c r="BU222" s="129"/>
      <c r="BV222" s="129"/>
      <c r="BW222" s="129"/>
      <c r="BX222" s="129"/>
      <c r="BY222" s="129"/>
      <c r="BZ222" s="129"/>
      <c r="CA222" s="129"/>
      <c r="CB222" s="129"/>
      <c r="CC222" s="129"/>
      <c r="CD222" s="129"/>
      <c r="CE222" s="129"/>
      <c r="CF222" s="129"/>
      <c r="CG222" s="129"/>
      <c r="CH222" s="129"/>
      <c r="CI222" s="129"/>
      <c r="CJ222" s="129"/>
      <c r="CK222" s="129"/>
      <c r="CL222" s="129"/>
      <c r="CM222" s="129"/>
      <c r="CN222" s="129"/>
      <c r="CO222" s="129"/>
      <c r="CP222" s="129"/>
      <c r="CQ222" s="129"/>
      <c r="CR222" s="129"/>
      <c r="CS222" s="129"/>
      <c r="CT222" s="129"/>
      <c r="CU222" s="129"/>
      <c r="CV222" s="129"/>
      <c r="CW222" s="129"/>
      <c r="CX222" s="129"/>
      <c r="CY222" s="129"/>
      <c r="CZ222" s="129"/>
      <c r="DA222" s="129"/>
      <c r="DB222" s="129"/>
      <c r="DC222" s="129"/>
      <c r="DD222" s="129"/>
      <c r="DE222" s="129"/>
      <c r="DF222" s="129"/>
      <c r="DG222" s="129"/>
      <c r="DH222" s="129"/>
      <c r="DI222" s="129"/>
      <c r="DJ222" s="129"/>
      <c r="DK222" s="129"/>
      <c r="DL222" s="129"/>
      <c r="DM222" s="129"/>
      <c r="DN222" s="129"/>
      <c r="DO222" s="129"/>
      <c r="DP222" s="129"/>
      <c r="DQ222" s="129"/>
      <c r="DR222" s="115"/>
      <c r="DS222" s="115"/>
      <c r="DT222" s="115"/>
      <c r="DU222" s="115"/>
      <c r="DV222" s="115"/>
      <c r="DW222" s="115"/>
      <c r="DX222" s="115"/>
      <c r="DY222" s="115"/>
      <c r="DZ222" s="115"/>
      <c r="EA222" s="115"/>
      <c r="EB222" s="115"/>
      <c r="EC222" s="645"/>
      <c r="ED222" s="113" t="s">
        <v>1</v>
      </c>
    </row>
    <row r="223" spans="1:134" x14ac:dyDescent="0.2">
      <c r="A223" s="707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15"/>
      <c r="AL223" s="115"/>
      <c r="AM223" s="115"/>
      <c r="AN223" s="115"/>
      <c r="AO223" s="115"/>
      <c r="AP223" s="115"/>
      <c r="AQ223" s="115"/>
      <c r="AR223" s="115"/>
      <c r="AS223" s="115"/>
      <c r="AT223" s="115"/>
      <c r="AU223" s="115"/>
      <c r="AV223" s="115"/>
      <c r="AW223" s="115"/>
      <c r="AX223" s="115"/>
      <c r="AY223" s="115"/>
      <c r="AZ223" s="115"/>
      <c r="BA223" s="115"/>
      <c r="BB223" s="115"/>
      <c r="BC223" s="115"/>
      <c r="BD223" s="115"/>
      <c r="BE223" s="115"/>
      <c r="BF223" s="115"/>
      <c r="BG223" s="115"/>
      <c r="BH223" s="115"/>
      <c r="BI223" s="115"/>
      <c r="BJ223" s="115"/>
      <c r="BK223" s="115"/>
      <c r="BL223" s="115"/>
      <c r="BM223" s="115"/>
      <c r="BN223" s="115"/>
      <c r="BO223" s="115"/>
      <c r="BP223" s="115"/>
      <c r="BQ223" s="115"/>
      <c r="BR223" s="115"/>
      <c r="BS223" s="115"/>
      <c r="BT223" s="115"/>
      <c r="BU223" s="115"/>
      <c r="BV223" s="115"/>
      <c r="BW223" s="115"/>
      <c r="BX223" s="115"/>
      <c r="BY223" s="115"/>
      <c r="BZ223" s="115"/>
      <c r="CA223" s="115"/>
      <c r="CB223" s="115"/>
      <c r="CC223" s="115"/>
      <c r="CD223" s="115"/>
      <c r="CE223" s="115"/>
      <c r="CF223" s="115"/>
      <c r="CG223" s="115"/>
      <c r="CH223" s="115"/>
      <c r="CI223" s="115"/>
      <c r="CJ223" s="115"/>
      <c r="CK223" s="115"/>
      <c r="CL223" s="115"/>
      <c r="CM223" s="115"/>
      <c r="CN223" s="115"/>
      <c r="CO223" s="115"/>
      <c r="CP223" s="115"/>
      <c r="CQ223" s="115"/>
      <c r="CR223" s="115"/>
      <c r="CS223" s="115"/>
      <c r="CT223" s="115"/>
      <c r="CU223" s="115"/>
      <c r="CV223" s="115"/>
      <c r="CW223" s="115"/>
      <c r="CX223" s="115"/>
      <c r="CY223" s="115"/>
      <c r="CZ223" s="115"/>
      <c r="DA223" s="115"/>
      <c r="DB223" s="115"/>
      <c r="DC223" s="115"/>
      <c r="DD223" s="115"/>
      <c r="DE223" s="115"/>
      <c r="DF223" s="115"/>
      <c r="DG223" s="115"/>
      <c r="DH223" s="115"/>
      <c r="DI223" s="115"/>
      <c r="DJ223" s="115"/>
      <c r="DK223" s="115"/>
      <c r="DL223" s="115"/>
      <c r="DM223" s="115"/>
      <c r="DN223" s="115"/>
      <c r="DO223" s="115"/>
      <c r="DP223" s="115"/>
      <c r="DQ223" s="115"/>
      <c r="DR223" s="115"/>
      <c r="DS223" s="115"/>
      <c r="DT223" s="115"/>
      <c r="DU223" s="115"/>
      <c r="DV223" s="115"/>
      <c r="DW223" s="115"/>
      <c r="DX223" s="115"/>
      <c r="DY223" s="115"/>
      <c r="DZ223" s="115"/>
      <c r="EA223" s="115"/>
      <c r="EB223" s="115"/>
      <c r="EC223" s="645"/>
      <c r="ED223" s="113" t="s">
        <v>1</v>
      </c>
    </row>
    <row r="224" spans="1:134" s="331" customFormat="1" x14ac:dyDescent="0.2">
      <c r="A224" s="700" t="s">
        <v>18</v>
      </c>
      <c r="B224" s="330"/>
      <c r="C224" s="330"/>
      <c r="D224" s="330"/>
      <c r="E224" s="330"/>
      <c r="F224" s="330"/>
      <c r="G224" s="330"/>
      <c r="H224" s="330"/>
      <c r="I224" s="330"/>
      <c r="J224" s="330"/>
      <c r="K224" s="132">
        <f t="shared" ref="K224:BV224" si="696">SUM(K225,K228:K233)</f>
        <v>433283.49105309474</v>
      </c>
      <c r="L224" s="132">
        <f t="shared" si="696"/>
        <v>2620933.3994805194</v>
      </c>
      <c r="M224" s="132">
        <f t="shared" si="696"/>
        <v>14613239.11315182</v>
      </c>
      <c r="N224" s="132">
        <f t="shared" si="696"/>
        <v>21063306.604636919</v>
      </c>
      <c r="O224" s="132">
        <f t="shared" si="696"/>
        <v>24258879.014495738</v>
      </c>
      <c r="P224" s="132">
        <f t="shared" si="696"/>
        <v>16334396.882941747</v>
      </c>
      <c r="Q224" s="132">
        <f t="shared" si="696"/>
        <v>33053514.100395307</v>
      </c>
      <c r="R224" s="132">
        <f t="shared" si="696"/>
        <v>22252644.938390359</v>
      </c>
      <c r="S224" s="132">
        <f t="shared" si="696"/>
        <v>35406190.326349989</v>
      </c>
      <c r="T224" s="132">
        <f t="shared" si="696"/>
        <v>29051738.376132071</v>
      </c>
      <c r="U224" s="132">
        <f t="shared" si="696"/>
        <v>10197394.84142464</v>
      </c>
      <c r="V224" s="132">
        <f t="shared" si="696"/>
        <v>15427101.068853475</v>
      </c>
      <c r="W224" s="132">
        <f t="shared" si="696"/>
        <v>24031015.923580609</v>
      </c>
      <c r="X224" s="132">
        <f t="shared" si="696"/>
        <v>3281963.5864003003</v>
      </c>
      <c r="Y224" s="132">
        <f t="shared" si="696"/>
        <v>15512785.919600366</v>
      </c>
      <c r="Z224" s="132">
        <f t="shared" si="696"/>
        <v>-2216959.5399999996</v>
      </c>
      <c r="AA224" s="132">
        <f t="shared" si="696"/>
        <v>19636534.519239735</v>
      </c>
      <c r="AB224" s="132">
        <f t="shared" si="696"/>
        <v>10901347.394194942</v>
      </c>
      <c r="AC224" s="132">
        <f t="shared" si="696"/>
        <v>5748025.8220244031</v>
      </c>
      <c r="AD224" s="132">
        <f t="shared" si="696"/>
        <v>6437543.0251269918</v>
      </c>
      <c r="AE224" s="132">
        <f t="shared" si="696"/>
        <v>8763212.0097528566</v>
      </c>
      <c r="AF224" s="132">
        <f t="shared" si="696"/>
        <v>16795868.241499189</v>
      </c>
      <c r="AG224" s="132">
        <f t="shared" si="696"/>
        <v>14362130.861266229</v>
      </c>
      <c r="AH224" s="132">
        <f t="shared" si="696"/>
        <v>21319504.597339895</v>
      </c>
      <c r="AI224" s="132">
        <f t="shared" si="696"/>
        <v>24348363.523616686</v>
      </c>
      <c r="AJ224" s="132">
        <f t="shared" si="696"/>
        <v>14162870.932645101</v>
      </c>
      <c r="AK224" s="132">
        <f t="shared" si="696"/>
        <v>19276826.138448428</v>
      </c>
      <c r="AL224" s="132">
        <f t="shared" si="696"/>
        <v>14861225.158906134</v>
      </c>
      <c r="AM224" s="132">
        <f t="shared" si="696"/>
        <v>10020539.42200179</v>
      </c>
      <c r="AN224" s="132">
        <f t="shared" si="696"/>
        <v>14992047.379407533</v>
      </c>
      <c r="AO224" s="132">
        <f t="shared" si="696"/>
        <v>11885126.69729656</v>
      </c>
      <c r="AP224" s="132">
        <f t="shared" si="696"/>
        <v>7720646.7826341614</v>
      </c>
      <c r="AQ224" s="132">
        <f t="shared" si="696"/>
        <v>9233276.1266593821</v>
      </c>
      <c r="AR224" s="132">
        <f t="shared" si="696"/>
        <v>10830604.87410596</v>
      </c>
      <c r="AS224" s="132">
        <f t="shared" si="696"/>
        <v>26865229.4747102</v>
      </c>
      <c r="AT224" s="132">
        <f t="shared" si="696"/>
        <v>31176828.180481832</v>
      </c>
      <c r="AU224" s="132">
        <f t="shared" si="696"/>
        <v>35991949.332048185</v>
      </c>
      <c r="AV224" s="132">
        <f t="shared" si="696"/>
        <v>31226957.376008883</v>
      </c>
      <c r="AW224" s="132">
        <f t="shared" si="696"/>
        <v>18253091.6961063</v>
      </c>
      <c r="AX224" s="132">
        <f t="shared" si="696"/>
        <v>16764759.914544636</v>
      </c>
      <c r="AY224" s="132">
        <f t="shared" si="696"/>
        <v>24949476.494950686</v>
      </c>
      <c r="AZ224" s="132">
        <f t="shared" si="696"/>
        <v>35551723.258408248</v>
      </c>
      <c r="BA224" s="132">
        <f t="shared" si="696"/>
        <v>33836471.421072647</v>
      </c>
      <c r="BB224" s="132">
        <f t="shared" si="696"/>
        <v>24047095.372728806</v>
      </c>
      <c r="BC224" s="132">
        <f t="shared" si="696"/>
        <v>32802580.04763585</v>
      </c>
      <c r="BD224" s="132">
        <f t="shared" si="696"/>
        <v>55923078.489722617</v>
      </c>
      <c r="BE224" s="132">
        <f t="shared" si="696"/>
        <v>46605522.138639025</v>
      </c>
      <c r="BF224" s="132">
        <f t="shared" si="696"/>
        <v>39858438.049138077</v>
      </c>
      <c r="BG224" s="132">
        <f t="shared" si="696"/>
        <v>47248737.457172602</v>
      </c>
      <c r="BH224" s="132">
        <f t="shared" si="696"/>
        <v>70594063.933746725</v>
      </c>
      <c r="BI224" s="132">
        <f t="shared" si="696"/>
        <v>124408083.02721524</v>
      </c>
      <c r="BJ224" s="132">
        <f t="shared" si="696"/>
        <v>150339921.26334244</v>
      </c>
      <c r="BK224" s="132">
        <f t="shared" si="696"/>
        <v>131221500.17714185</v>
      </c>
      <c r="BL224" s="132">
        <f t="shared" si="696"/>
        <v>157856500.91275519</v>
      </c>
      <c r="BM224" s="132">
        <f t="shared" si="696"/>
        <v>110547543.72282162</v>
      </c>
      <c r="BN224" s="132">
        <f t="shared" si="696"/>
        <v>128707808.59583162</v>
      </c>
      <c r="BO224" s="132">
        <f t="shared" si="696"/>
        <v>151817520.86237288</v>
      </c>
      <c r="BP224" s="132">
        <f t="shared" si="696"/>
        <v>232860935.46962333</v>
      </c>
      <c r="BQ224" s="132">
        <f t="shared" si="696"/>
        <v>177318284.89842957</v>
      </c>
      <c r="BR224" s="132">
        <f t="shared" si="696"/>
        <v>164670494.35322011</v>
      </c>
      <c r="BS224" s="132">
        <f t="shared" si="696"/>
        <v>165153290.56198257</v>
      </c>
      <c r="BT224" s="132">
        <f t="shared" si="696"/>
        <v>115097944.43632841</v>
      </c>
      <c r="BU224" s="132">
        <f t="shared" si="696"/>
        <v>164575828.32015568</v>
      </c>
      <c r="BV224" s="132">
        <f t="shared" si="696"/>
        <v>160812154.48014563</v>
      </c>
      <c r="BW224" s="132">
        <f t="shared" ref="BW224:DP224" si="697">SUM(BW225,BW228:BW233)</f>
        <v>175208151.43928212</v>
      </c>
      <c r="BX224" s="132">
        <f t="shared" si="697"/>
        <v>177332883.53145739</v>
      </c>
      <c r="BY224" s="132">
        <f t="shared" si="697"/>
        <v>189284447.78650746</v>
      </c>
      <c r="BZ224" s="132">
        <f t="shared" si="697"/>
        <v>178427754.07474685</v>
      </c>
      <c r="CA224" s="132">
        <f t="shared" si="697"/>
        <v>186531531.99537244</v>
      </c>
      <c r="CB224" s="132">
        <f t="shared" si="697"/>
        <v>196458278.56011313</v>
      </c>
      <c r="CC224" s="132">
        <f t="shared" si="697"/>
        <v>171942474.66347858</v>
      </c>
      <c r="CD224" s="132">
        <f t="shared" si="697"/>
        <v>208573773.43765733</v>
      </c>
      <c r="CE224" s="132">
        <f t="shared" si="697"/>
        <v>234867690.71546042</v>
      </c>
      <c r="CF224" s="132">
        <f t="shared" si="697"/>
        <v>229507798.19632638</v>
      </c>
      <c r="CG224" s="132">
        <f t="shared" si="697"/>
        <v>302843122.38202989</v>
      </c>
      <c r="CH224" s="132">
        <f t="shared" si="697"/>
        <v>259767230.3377943</v>
      </c>
      <c r="CI224" s="132">
        <f t="shared" si="697"/>
        <v>260255175.69516674</v>
      </c>
      <c r="CJ224" s="132">
        <f t="shared" si="697"/>
        <v>254434949.39085126</v>
      </c>
      <c r="CK224" s="132">
        <f t="shared" si="697"/>
        <v>265391433.30693322</v>
      </c>
      <c r="CL224" s="132">
        <f t="shared" si="697"/>
        <v>234260606.72014678</v>
      </c>
      <c r="CM224" s="132">
        <f t="shared" si="697"/>
        <v>312043610.02490067</v>
      </c>
      <c r="CN224" s="132">
        <f t="shared" si="697"/>
        <v>263546040.46228582</v>
      </c>
      <c r="CO224" s="132">
        <f t="shared" si="697"/>
        <v>263410413.94391373</v>
      </c>
      <c r="CP224" s="132">
        <f t="shared" si="697"/>
        <v>319992910.12266129</v>
      </c>
      <c r="CQ224" s="132">
        <f t="shared" si="697"/>
        <v>359201561.73007691</v>
      </c>
      <c r="CR224" s="132">
        <f t="shared" si="697"/>
        <v>292532273.13527018</v>
      </c>
      <c r="CS224" s="132">
        <f t="shared" si="697"/>
        <v>346889334.59157753</v>
      </c>
      <c r="CT224" s="132">
        <f t="shared" si="697"/>
        <v>315367920.95921332</v>
      </c>
      <c r="CU224" s="132">
        <f t="shared" si="697"/>
        <v>318577627.592282</v>
      </c>
      <c r="CV224" s="132">
        <f t="shared" si="697"/>
        <v>318349719.42898721</v>
      </c>
      <c r="CW224" s="132">
        <f t="shared" si="697"/>
        <v>323154783.20511979</v>
      </c>
      <c r="CX224" s="132">
        <f t="shared" si="697"/>
        <v>304504298.50882661</v>
      </c>
      <c r="CY224" s="132">
        <f t="shared" si="697"/>
        <v>333106773.00232708</v>
      </c>
      <c r="CZ224" s="132">
        <f t="shared" si="697"/>
        <v>323895484.73582804</v>
      </c>
      <c r="DA224" s="132">
        <f t="shared" si="697"/>
        <v>324655178.61347729</v>
      </c>
      <c r="DB224" s="132">
        <f t="shared" si="697"/>
        <v>398516415.86794168</v>
      </c>
      <c r="DC224" s="132">
        <f t="shared" si="697"/>
        <v>429397971.99439037</v>
      </c>
      <c r="DD224" s="132">
        <f t="shared" si="697"/>
        <v>368128660.76196504</v>
      </c>
      <c r="DE224" s="132">
        <f t="shared" si="697"/>
        <v>397794706.6841746</v>
      </c>
      <c r="DF224" s="132">
        <f t="shared" si="697"/>
        <v>374325356.20949632</v>
      </c>
      <c r="DG224" s="132">
        <f t="shared" si="697"/>
        <v>378135111.41572368</v>
      </c>
      <c r="DH224" s="132">
        <f t="shared" si="697"/>
        <v>377864596.2531513</v>
      </c>
      <c r="DI224" s="132">
        <f t="shared" si="697"/>
        <v>383567957.59738511</v>
      </c>
      <c r="DJ224" s="132">
        <f t="shared" si="697"/>
        <v>361430800.12688071</v>
      </c>
      <c r="DK224" s="132">
        <f t="shared" si="697"/>
        <v>395380453.02971119</v>
      </c>
      <c r="DL224" s="132">
        <f t="shared" si="697"/>
        <v>384447131.87574524</v>
      </c>
      <c r="DM224" s="132">
        <f t="shared" si="697"/>
        <v>385348849.08431977</v>
      </c>
      <c r="DN224" s="132">
        <f t="shared" si="697"/>
        <v>473018304.68797702</v>
      </c>
      <c r="DO224" s="132">
        <f t="shared" si="697"/>
        <v>509673109.21653128</v>
      </c>
      <c r="DP224" s="132">
        <f t="shared" si="697"/>
        <v>436949616.34499645</v>
      </c>
      <c r="DQ224" s="132">
        <f t="shared" ref="DQ224:EC224" si="698">SUM(DQ225,DQ228:DQ233)</f>
        <v>472161673.33983129</v>
      </c>
      <c r="DR224" s="132">
        <f t="shared" si="698"/>
        <v>444320639.43386781</v>
      </c>
      <c r="DS224" s="132">
        <f t="shared" si="698"/>
        <v>448842782.64761817</v>
      </c>
      <c r="DT224" s="132">
        <f t="shared" si="698"/>
        <v>448521683.7211979</v>
      </c>
      <c r="DU224" s="132">
        <f t="shared" si="698"/>
        <v>455291519.41988921</v>
      </c>
      <c r="DV224" s="132">
        <f t="shared" si="698"/>
        <v>429014923.94117451</v>
      </c>
      <c r="DW224" s="132">
        <f t="shared" si="698"/>
        <v>469312839.20690197</v>
      </c>
      <c r="DX224" s="132">
        <f t="shared" si="698"/>
        <v>456335090.9307546</v>
      </c>
      <c r="DY224" s="132">
        <f t="shared" si="698"/>
        <v>457405420.6854884</v>
      </c>
      <c r="DZ224" s="132">
        <f t="shared" si="698"/>
        <v>561468231.08948195</v>
      </c>
      <c r="EA224" s="132">
        <f t="shared" si="698"/>
        <v>604977135.61941111</v>
      </c>
      <c r="EB224" s="132">
        <f t="shared" si="698"/>
        <v>518655040.90012997</v>
      </c>
      <c r="EC224" s="132">
        <f t="shared" si="698"/>
        <v>560451417.82248485</v>
      </c>
      <c r="ED224" s="113" t="s">
        <v>1</v>
      </c>
    </row>
    <row r="225" spans="1:134" x14ac:dyDescent="0.2">
      <c r="A225" s="698" t="s">
        <v>19</v>
      </c>
      <c r="B225" s="115"/>
      <c r="C225" s="115"/>
      <c r="D225" s="115"/>
      <c r="E225" s="115"/>
      <c r="F225" s="115"/>
      <c r="G225" s="115"/>
      <c r="H225" s="115"/>
      <c r="I225" s="115"/>
      <c r="J225" s="115"/>
      <c r="K225" s="129">
        <f>K226+K227</f>
        <v>350557</v>
      </c>
      <c r="L225" s="129">
        <f t="shared" ref="L225:BW225" si="699">L226+L227</f>
        <v>2151967.44</v>
      </c>
      <c r="M225" s="129">
        <f t="shared" si="699"/>
        <v>12810757</v>
      </c>
      <c r="N225" s="129">
        <f t="shared" si="699"/>
        <v>18506520.140000001</v>
      </c>
      <c r="O225" s="129">
        <f t="shared" si="699"/>
        <v>21125074.890000001</v>
      </c>
      <c r="P225" s="129">
        <f t="shared" si="699"/>
        <v>14063325.290000001</v>
      </c>
      <c r="Q225" s="129">
        <f t="shared" si="699"/>
        <v>28119857.809999999</v>
      </c>
      <c r="R225" s="129">
        <f t="shared" si="699"/>
        <v>16973850.82</v>
      </c>
      <c r="S225" s="129">
        <f t="shared" si="699"/>
        <v>28668380.680000003</v>
      </c>
      <c r="T225" s="129">
        <f t="shared" si="699"/>
        <v>21919201.27</v>
      </c>
      <c r="U225" s="129">
        <f t="shared" si="699"/>
        <v>6274034.3000000007</v>
      </c>
      <c r="V225" s="129">
        <f t="shared" si="699"/>
        <v>11694411.189999999</v>
      </c>
      <c r="W225" s="129">
        <f t="shared" si="699"/>
        <v>18779560.939999998</v>
      </c>
      <c r="X225" s="129">
        <f t="shared" si="699"/>
        <v>-577586.96980001777</v>
      </c>
      <c r="Y225" s="129">
        <f t="shared" si="699"/>
        <v>10627869.890099999</v>
      </c>
      <c r="Z225" s="129">
        <f t="shared" si="699"/>
        <v>-2216959.5399999996</v>
      </c>
      <c r="AA225" s="129">
        <f t="shared" si="699"/>
        <v>14569906.5802</v>
      </c>
      <c r="AB225" s="129">
        <f t="shared" si="699"/>
        <v>8499221.5022793524</v>
      </c>
      <c r="AC225" s="129">
        <f t="shared" si="699"/>
        <v>3893658.7901000003</v>
      </c>
      <c r="AD225" s="129">
        <f t="shared" si="699"/>
        <v>4449637.3084000004</v>
      </c>
      <c r="AE225" s="129">
        <f t="shared" si="699"/>
        <v>6294068.7313000001</v>
      </c>
      <c r="AF225" s="129">
        <f t="shared" si="699"/>
        <v>12730573.800000001</v>
      </c>
      <c r="AG225" s="129">
        <f t="shared" si="699"/>
        <v>11282700.3971</v>
      </c>
      <c r="AH225" s="129">
        <f t="shared" si="699"/>
        <v>17427280.928599998</v>
      </c>
      <c r="AI225" s="129">
        <f t="shared" si="699"/>
        <v>20240238.243427999</v>
      </c>
      <c r="AJ225" s="129">
        <f t="shared" si="699"/>
        <v>11120390.750399999</v>
      </c>
      <c r="AK225" s="129">
        <f t="shared" si="699"/>
        <v>14407722.550952001</v>
      </c>
      <c r="AL225" s="129">
        <f t="shared" si="699"/>
        <v>11263791.945001002</v>
      </c>
      <c r="AM225" s="129">
        <f t="shared" si="699"/>
        <v>7183197.000833001</v>
      </c>
      <c r="AN225" s="129">
        <f t="shared" si="699"/>
        <v>10991208.310000001</v>
      </c>
      <c r="AO225" s="129">
        <f t="shared" si="699"/>
        <v>8764458.5429759994</v>
      </c>
      <c r="AP225" s="129">
        <f t="shared" si="699"/>
        <v>5664910.2899999991</v>
      </c>
      <c r="AQ225" s="129">
        <f t="shared" si="699"/>
        <v>7317663.4298629994</v>
      </c>
      <c r="AR225" s="129">
        <f t="shared" si="699"/>
        <v>8877624.5504999869</v>
      </c>
      <c r="AS225" s="129">
        <f t="shared" si="699"/>
        <v>22202758.658314899</v>
      </c>
      <c r="AT225" s="129">
        <f t="shared" si="699"/>
        <v>25279483.338996999</v>
      </c>
      <c r="AU225" s="129">
        <f t="shared" si="699"/>
        <v>29932327.8587</v>
      </c>
      <c r="AV225" s="129">
        <f t="shared" si="699"/>
        <v>26273416.655000031</v>
      </c>
      <c r="AW225" s="129">
        <f t="shared" si="699"/>
        <v>15051239.184679996</v>
      </c>
      <c r="AX225" s="129">
        <f t="shared" si="699"/>
        <v>13550102.251599999</v>
      </c>
      <c r="AY225" s="129">
        <f t="shared" si="699"/>
        <v>19879173.72174</v>
      </c>
      <c r="AZ225" s="129">
        <f t="shared" si="699"/>
        <v>29618957.280000016</v>
      </c>
      <c r="BA225" s="129">
        <f t="shared" si="699"/>
        <v>26600172.766800001</v>
      </c>
      <c r="BB225" s="129">
        <f t="shared" si="699"/>
        <v>17523182.228199996</v>
      </c>
      <c r="BC225" s="129">
        <f t="shared" si="699"/>
        <v>24977375.259999998</v>
      </c>
      <c r="BD225" s="129">
        <f t="shared" si="699"/>
        <v>45984470.837999962</v>
      </c>
      <c r="BE225" s="129">
        <f t="shared" si="699"/>
        <v>39310570.225140288</v>
      </c>
      <c r="BF225" s="129">
        <f t="shared" si="699"/>
        <v>33735560.159100018</v>
      </c>
      <c r="BG225" s="129">
        <f t="shared" si="699"/>
        <v>41785946.012799986</v>
      </c>
      <c r="BH225" s="129">
        <f t="shared" si="699"/>
        <v>62151623.131799988</v>
      </c>
      <c r="BI225" s="129">
        <f t="shared" si="699"/>
        <v>111497137.21000001</v>
      </c>
      <c r="BJ225" s="129">
        <f t="shared" si="699"/>
        <v>132012459.99479999</v>
      </c>
      <c r="BK225" s="129">
        <f t="shared" si="699"/>
        <v>115315851.83999999</v>
      </c>
      <c r="BL225" s="129">
        <f t="shared" si="699"/>
        <v>139932383.63507</v>
      </c>
      <c r="BM225" s="129">
        <f t="shared" si="699"/>
        <v>98781056.241830647</v>
      </c>
      <c r="BN225" s="129">
        <f t="shared" si="699"/>
        <v>111726092.84516488</v>
      </c>
      <c r="BO225" s="129">
        <f t="shared" si="699"/>
        <v>133304287.27922672</v>
      </c>
      <c r="BP225" s="129">
        <f t="shared" si="699"/>
        <v>206535888.83796996</v>
      </c>
      <c r="BQ225" s="129">
        <f t="shared" si="699"/>
        <v>153402678.82051003</v>
      </c>
      <c r="BR225" s="129">
        <f t="shared" si="699"/>
        <v>143592071.67948997</v>
      </c>
      <c r="BS225" s="129">
        <f t="shared" si="699"/>
        <v>141704390.25999999</v>
      </c>
      <c r="BT225" s="129">
        <f t="shared" si="699"/>
        <v>97792768.079999998</v>
      </c>
      <c r="BU225" s="129">
        <f t="shared" si="699"/>
        <v>141334164.68144083</v>
      </c>
      <c r="BV225" s="129">
        <f t="shared" si="699"/>
        <v>141103884.38314098</v>
      </c>
      <c r="BW225" s="129">
        <f t="shared" si="699"/>
        <v>153674318.31450784</v>
      </c>
      <c r="BX225" s="129">
        <f t="shared" ref="BX225:CS225" si="700">BX226+BX227</f>
        <v>153313386.44202435</v>
      </c>
      <c r="BY225" s="129">
        <f t="shared" si="700"/>
        <v>163271476.80508807</v>
      </c>
      <c r="BZ225" s="129">
        <f t="shared" si="700"/>
        <v>152772417.89544427</v>
      </c>
      <c r="CA225" s="129">
        <f t="shared" si="700"/>
        <v>159269627.82944432</v>
      </c>
      <c r="CB225" s="129">
        <f t="shared" si="700"/>
        <v>170480710.33432174</v>
      </c>
      <c r="CC225" s="129">
        <f t="shared" si="700"/>
        <v>152369727.05831912</v>
      </c>
      <c r="CD225" s="129">
        <f t="shared" si="700"/>
        <v>183756962.90021792</v>
      </c>
      <c r="CE225" s="129">
        <f t="shared" si="700"/>
        <v>207188528.16374046</v>
      </c>
      <c r="CF225" s="129">
        <f t="shared" si="700"/>
        <v>201511158.29692981</v>
      </c>
      <c r="CG225" s="129">
        <f t="shared" si="700"/>
        <v>265881894.62482172</v>
      </c>
      <c r="CH225" s="129">
        <f t="shared" si="700"/>
        <v>227811259.8046</v>
      </c>
      <c r="CI225" s="129">
        <f t="shared" si="700"/>
        <v>230140690.75736246</v>
      </c>
      <c r="CJ225" s="129">
        <f t="shared" si="700"/>
        <v>222835729.58111086</v>
      </c>
      <c r="CK225" s="129">
        <f t="shared" si="700"/>
        <v>231464646.74195552</v>
      </c>
      <c r="CL225" s="129">
        <f t="shared" si="700"/>
        <v>198706202.57076854</v>
      </c>
      <c r="CM225" s="129">
        <f t="shared" si="700"/>
        <v>269906409.7284779</v>
      </c>
      <c r="CN225" s="129">
        <f t="shared" si="700"/>
        <v>224286270.14147013</v>
      </c>
      <c r="CO225" s="129">
        <f t="shared" si="700"/>
        <v>225527622.73705932</v>
      </c>
      <c r="CP225" s="129">
        <f t="shared" si="700"/>
        <v>271119929.3222</v>
      </c>
      <c r="CQ225" s="129">
        <f t="shared" si="700"/>
        <v>299963335.17030001</v>
      </c>
      <c r="CR225" s="129">
        <f t="shared" si="700"/>
        <v>240900461.87980008</v>
      </c>
      <c r="CS225" s="129">
        <f t="shared" si="700"/>
        <v>292756504.22990012</v>
      </c>
      <c r="CT225" s="129">
        <f>CT226+CT227</f>
        <v>270471230.87280095</v>
      </c>
      <c r="CU225" s="129">
        <f t="shared" ref="CU225:DQ225" si="701">CU226+CU227</f>
        <v>273223994.3788234</v>
      </c>
      <c r="CV225" s="129">
        <f t="shared" si="701"/>
        <v>273028531.88135439</v>
      </c>
      <c r="CW225" s="129">
        <f t="shared" si="701"/>
        <v>277149532.86966026</v>
      </c>
      <c r="CX225" s="129">
        <f t="shared" si="701"/>
        <v>261154185.16010943</v>
      </c>
      <c r="CY225" s="129">
        <f t="shared" si="701"/>
        <v>285684728.59247541</v>
      </c>
      <c r="CZ225" s="129">
        <f t="shared" si="701"/>
        <v>277784785.98643464</v>
      </c>
      <c r="DA225" s="129">
        <f t="shared" si="701"/>
        <v>278436327.64466476</v>
      </c>
      <c r="DB225" s="129">
        <f t="shared" si="701"/>
        <v>341782465.3660934</v>
      </c>
      <c r="DC225" s="129">
        <f t="shared" si="701"/>
        <v>368267633.77314997</v>
      </c>
      <c r="DD225" s="129">
        <f t="shared" si="701"/>
        <v>315720799.03688645</v>
      </c>
      <c r="DE225" s="129">
        <f t="shared" si="701"/>
        <v>341163500.7907747</v>
      </c>
      <c r="DF225" s="129">
        <f t="shared" si="701"/>
        <v>320373172.96883273</v>
      </c>
      <c r="DG225" s="129">
        <f t="shared" si="701"/>
        <v>323633821.34171635</v>
      </c>
      <c r="DH225" s="129">
        <f t="shared" si="701"/>
        <v>323402296.01346427</v>
      </c>
      <c r="DI225" s="129">
        <f t="shared" si="701"/>
        <v>328283621.68411255</v>
      </c>
      <c r="DJ225" s="129">
        <f t="shared" si="701"/>
        <v>309337132.32214963</v>
      </c>
      <c r="DK225" s="129">
        <f t="shared" si="701"/>
        <v>338393561.01778716</v>
      </c>
      <c r="DL225" s="129">
        <f t="shared" si="701"/>
        <v>329036079.0009318</v>
      </c>
      <c r="DM225" s="129">
        <f t="shared" si="701"/>
        <v>329807830.09510547</v>
      </c>
      <c r="DN225" s="129">
        <f t="shared" si="701"/>
        <v>404841330.2261377</v>
      </c>
      <c r="DO225" s="129">
        <f t="shared" si="701"/>
        <v>436213012.20429623</v>
      </c>
      <c r="DP225" s="129">
        <f t="shared" si="701"/>
        <v>373971286.45919204</v>
      </c>
      <c r="DQ225" s="129">
        <f t="shared" si="701"/>
        <v>404108166.68667269</v>
      </c>
      <c r="DR225" s="129">
        <f t="shared" ref="DR225:EC225" si="702">DR226+DR227</f>
        <v>379482023.38158226</v>
      </c>
      <c r="DS225" s="129">
        <f t="shared" si="702"/>
        <v>383344261.37926298</v>
      </c>
      <c r="DT225" s="129">
        <f t="shared" si="702"/>
        <v>383070019.62794834</v>
      </c>
      <c r="DU225" s="129">
        <f t="shared" si="702"/>
        <v>388851949.88483125</v>
      </c>
      <c r="DV225" s="129">
        <f t="shared" si="702"/>
        <v>366409833.23558623</v>
      </c>
      <c r="DW225" s="129">
        <f t="shared" si="702"/>
        <v>400827173.0255689</v>
      </c>
      <c r="DX225" s="129">
        <f t="shared" si="702"/>
        <v>389743235.57660359</v>
      </c>
      <c r="DY225" s="129">
        <f t="shared" si="702"/>
        <v>390657374.74765229</v>
      </c>
      <c r="DZ225" s="129">
        <f t="shared" si="702"/>
        <v>479534555.65285999</v>
      </c>
      <c r="EA225" s="129">
        <f t="shared" si="702"/>
        <v>516694312.95598882</v>
      </c>
      <c r="EB225" s="129">
        <f t="shared" si="702"/>
        <v>442968988.81091291</v>
      </c>
      <c r="EC225" s="129">
        <f t="shared" si="702"/>
        <v>478666123.44036376</v>
      </c>
      <c r="ED225" s="113" t="s">
        <v>1</v>
      </c>
    </row>
    <row r="226" spans="1:134" x14ac:dyDescent="0.2">
      <c r="A226" s="724" t="s">
        <v>139</v>
      </c>
      <c r="B226" s="115"/>
      <c r="C226" s="115"/>
      <c r="D226" s="115"/>
      <c r="E226" s="115"/>
      <c r="F226" s="115"/>
      <c r="G226" s="115"/>
      <c r="H226" s="115"/>
      <c r="I226" s="115"/>
      <c r="J226" s="115"/>
      <c r="K226" s="129">
        <v>350557</v>
      </c>
      <c r="L226" s="129">
        <v>2151967.44</v>
      </c>
      <c r="M226" s="129">
        <v>12810757</v>
      </c>
      <c r="N226" s="129">
        <v>18506520.140000001</v>
      </c>
      <c r="O226" s="129">
        <v>21125074.890000001</v>
      </c>
      <c r="P226" s="129">
        <v>14063325.290000001</v>
      </c>
      <c r="Q226" s="129">
        <v>28119857.809999999</v>
      </c>
      <c r="R226" s="129">
        <v>16973850.82</v>
      </c>
      <c r="S226" s="129">
        <v>28668380.680000003</v>
      </c>
      <c r="T226" s="129">
        <v>21919201.27</v>
      </c>
      <c r="U226" s="129">
        <v>6274034.3000000007</v>
      </c>
      <c r="V226" s="129">
        <v>11694411.189999999</v>
      </c>
      <c r="W226" s="129">
        <v>18779560.939999998</v>
      </c>
      <c r="X226" s="129">
        <v>-577586.96980001777</v>
      </c>
      <c r="Y226" s="129">
        <v>10627869.890099999</v>
      </c>
      <c r="Z226" s="129">
        <v>-2216959.5399999996</v>
      </c>
      <c r="AA226" s="129">
        <v>14569906.5802</v>
      </c>
      <c r="AB226" s="129">
        <v>8468669.3798719458</v>
      </c>
      <c r="AC226" s="129">
        <v>3891624.9001000002</v>
      </c>
      <c r="AD226" s="129">
        <v>4449637.3084000004</v>
      </c>
      <c r="AE226" s="129">
        <v>6281794.7313000001</v>
      </c>
      <c r="AF226" s="129">
        <v>12730573.800000001</v>
      </c>
      <c r="AG226" s="129">
        <v>11282700.3971</v>
      </c>
      <c r="AH226" s="129">
        <v>17427280.928599998</v>
      </c>
      <c r="AI226" s="129">
        <v>20240238.243427999</v>
      </c>
      <c r="AJ226" s="129">
        <v>11120390.750399999</v>
      </c>
      <c r="AK226" s="129">
        <v>14407722.550952001</v>
      </c>
      <c r="AL226" s="129">
        <v>11263791.945001002</v>
      </c>
      <c r="AM226" s="129">
        <v>7183197.000833001</v>
      </c>
      <c r="AN226" s="129">
        <v>10991208.310000001</v>
      </c>
      <c r="AO226" s="129">
        <v>8764458.5429759994</v>
      </c>
      <c r="AP226" s="129">
        <v>5664910.2899999991</v>
      </c>
      <c r="AQ226" s="129">
        <v>7317663.4298629994</v>
      </c>
      <c r="AR226" s="129">
        <v>8877624.5504999869</v>
      </c>
      <c r="AS226" s="129">
        <v>22202758.658314899</v>
      </c>
      <c r="AT226" s="129">
        <v>25279483.338996999</v>
      </c>
      <c r="AU226" s="129">
        <v>29932327.8587</v>
      </c>
      <c r="AV226" s="129">
        <v>26273416.655000031</v>
      </c>
      <c r="AW226" s="129">
        <v>15051239.184679996</v>
      </c>
      <c r="AX226" s="129">
        <v>13550102.251599999</v>
      </c>
      <c r="AY226" s="129">
        <v>19879173.72174</v>
      </c>
      <c r="AZ226" s="129">
        <v>29618957.280000016</v>
      </c>
      <c r="BA226" s="129">
        <v>26600172.766800001</v>
      </c>
      <c r="BB226" s="129">
        <v>17523182.228199996</v>
      </c>
      <c r="BC226" s="129">
        <v>24977375.259999998</v>
      </c>
      <c r="BD226" s="129">
        <v>45984470.837999962</v>
      </c>
      <c r="BE226" s="129">
        <v>39310570.225140288</v>
      </c>
      <c r="BF226" s="129">
        <v>33735560.159100018</v>
      </c>
      <c r="BG226" s="129">
        <v>41785946.012799986</v>
      </c>
      <c r="BH226" s="129">
        <v>62151623.131799988</v>
      </c>
      <c r="BI226" s="129">
        <v>111497137.21000001</v>
      </c>
      <c r="BJ226" s="129">
        <v>132012459.99479999</v>
      </c>
      <c r="BK226" s="129">
        <v>115315851.83999999</v>
      </c>
      <c r="BL226" s="129">
        <v>139932383.63507</v>
      </c>
      <c r="BM226" s="129">
        <v>98781056.241830647</v>
      </c>
      <c r="BN226" s="129">
        <v>111726092.84516488</v>
      </c>
      <c r="BO226" s="129">
        <v>133304287.27922672</v>
      </c>
      <c r="BP226" s="129">
        <v>206535888.83796996</v>
      </c>
      <c r="BQ226" s="129">
        <v>153402678.82051003</v>
      </c>
      <c r="BR226" s="129">
        <v>143592071.67948997</v>
      </c>
      <c r="BS226" s="129">
        <v>141704390.25999999</v>
      </c>
      <c r="BT226" s="129">
        <v>97792768.079999998</v>
      </c>
      <c r="BU226" s="129">
        <v>141334164.68144083</v>
      </c>
      <c r="BV226" s="129">
        <v>141103884.38314098</v>
      </c>
      <c r="BW226" s="129">
        <v>153674318.31450784</v>
      </c>
      <c r="BX226" s="129">
        <v>153313386.44202435</v>
      </c>
      <c r="BY226" s="129">
        <v>163271476.80508807</v>
      </c>
      <c r="BZ226" s="129">
        <v>152772417.89544427</v>
      </c>
      <c r="CA226" s="129">
        <v>159269627.82944432</v>
      </c>
      <c r="CB226" s="129">
        <v>170480710.33432174</v>
      </c>
      <c r="CC226" s="129">
        <v>152369727.05831912</v>
      </c>
      <c r="CD226" s="129">
        <v>183756962.90021792</v>
      </c>
      <c r="CE226" s="129">
        <v>207188528.16374046</v>
      </c>
      <c r="CF226" s="129">
        <v>201511158.29692981</v>
      </c>
      <c r="CG226" s="129">
        <v>265881894.62482172</v>
      </c>
      <c r="CH226" s="129">
        <v>227811259.8046</v>
      </c>
      <c r="CI226" s="129">
        <v>230140690.75736246</v>
      </c>
      <c r="CJ226" s="129">
        <v>222835729.58111086</v>
      </c>
      <c r="CK226" s="129">
        <v>231464646.74195552</v>
      </c>
      <c r="CL226" s="129">
        <v>198706202.57076854</v>
      </c>
      <c r="CM226" s="129">
        <v>269906409.7284779</v>
      </c>
      <c r="CN226" s="129">
        <v>224286270.14147013</v>
      </c>
      <c r="CO226" s="129">
        <v>225527622.73705932</v>
      </c>
      <c r="CP226" s="129">
        <v>271119929.3222</v>
      </c>
      <c r="CQ226" s="129">
        <v>299963335.17030001</v>
      </c>
      <c r="CR226" s="129">
        <v>240900461.87980008</v>
      </c>
      <c r="CS226" s="129">
        <v>292756504.22990012</v>
      </c>
      <c r="CT226" s="129">
        <f>CT237</f>
        <v>270471230.87280095</v>
      </c>
      <c r="CU226" s="129">
        <f t="shared" ref="CU226:DQ226" si="703">CU237</f>
        <v>273223994.3788234</v>
      </c>
      <c r="CV226" s="129">
        <f t="shared" si="703"/>
        <v>273028531.88135439</v>
      </c>
      <c r="CW226" s="129">
        <f t="shared" si="703"/>
        <v>277149532.86966026</v>
      </c>
      <c r="CX226" s="129">
        <f t="shared" si="703"/>
        <v>261154185.16010943</v>
      </c>
      <c r="CY226" s="129">
        <f t="shared" si="703"/>
        <v>285684728.59247541</v>
      </c>
      <c r="CZ226" s="129">
        <f t="shared" si="703"/>
        <v>277784785.98643464</v>
      </c>
      <c r="DA226" s="129">
        <f t="shared" si="703"/>
        <v>278436327.64466476</v>
      </c>
      <c r="DB226" s="129">
        <f t="shared" si="703"/>
        <v>341782465.3660934</v>
      </c>
      <c r="DC226" s="129">
        <f t="shared" si="703"/>
        <v>368267633.77314997</v>
      </c>
      <c r="DD226" s="129">
        <f t="shared" si="703"/>
        <v>315720799.03688645</v>
      </c>
      <c r="DE226" s="129">
        <f t="shared" si="703"/>
        <v>341163500.7907747</v>
      </c>
      <c r="DF226" s="129">
        <f t="shared" si="703"/>
        <v>320373172.96883273</v>
      </c>
      <c r="DG226" s="129">
        <f t="shared" si="703"/>
        <v>323633821.34171635</v>
      </c>
      <c r="DH226" s="129">
        <f t="shared" si="703"/>
        <v>323402296.01346427</v>
      </c>
      <c r="DI226" s="129">
        <f t="shared" si="703"/>
        <v>328283621.68411255</v>
      </c>
      <c r="DJ226" s="129">
        <f t="shared" si="703"/>
        <v>309337132.32214963</v>
      </c>
      <c r="DK226" s="129">
        <f t="shared" si="703"/>
        <v>338393561.01778716</v>
      </c>
      <c r="DL226" s="129">
        <f t="shared" si="703"/>
        <v>329036079.0009318</v>
      </c>
      <c r="DM226" s="129">
        <f t="shared" si="703"/>
        <v>329807830.09510547</v>
      </c>
      <c r="DN226" s="129">
        <f t="shared" si="703"/>
        <v>404841330.2261377</v>
      </c>
      <c r="DO226" s="129">
        <f t="shared" si="703"/>
        <v>436213012.20429623</v>
      </c>
      <c r="DP226" s="129">
        <f t="shared" si="703"/>
        <v>373971286.45919204</v>
      </c>
      <c r="DQ226" s="129">
        <f t="shared" si="703"/>
        <v>404108166.68667269</v>
      </c>
      <c r="DR226" s="129">
        <f t="shared" ref="DR226:EC226" si="704">DR237</f>
        <v>379482023.38158226</v>
      </c>
      <c r="DS226" s="129">
        <f t="shared" si="704"/>
        <v>383344261.37926298</v>
      </c>
      <c r="DT226" s="129">
        <f t="shared" si="704"/>
        <v>383070019.62794834</v>
      </c>
      <c r="DU226" s="129">
        <f t="shared" si="704"/>
        <v>388851949.88483125</v>
      </c>
      <c r="DV226" s="129">
        <f t="shared" si="704"/>
        <v>366409833.23558623</v>
      </c>
      <c r="DW226" s="129">
        <f t="shared" si="704"/>
        <v>400827173.0255689</v>
      </c>
      <c r="DX226" s="129">
        <f t="shared" si="704"/>
        <v>389743235.57660359</v>
      </c>
      <c r="DY226" s="129">
        <f t="shared" si="704"/>
        <v>390657374.74765229</v>
      </c>
      <c r="DZ226" s="129">
        <f t="shared" si="704"/>
        <v>479534555.65285999</v>
      </c>
      <c r="EA226" s="129">
        <f t="shared" si="704"/>
        <v>516694312.95598882</v>
      </c>
      <c r="EB226" s="129">
        <f t="shared" si="704"/>
        <v>442968988.81091291</v>
      </c>
      <c r="EC226" s="129">
        <f t="shared" si="704"/>
        <v>478666123.44036376</v>
      </c>
      <c r="ED226" s="113" t="s">
        <v>1</v>
      </c>
    </row>
    <row r="227" spans="1:134" x14ac:dyDescent="0.2">
      <c r="A227" s="713" t="s">
        <v>158</v>
      </c>
      <c r="B227" s="115"/>
      <c r="C227" s="115"/>
      <c r="D227" s="115"/>
      <c r="E227" s="115"/>
      <c r="F227" s="115"/>
      <c r="G227" s="115"/>
      <c r="H227" s="115"/>
      <c r="I227" s="115"/>
      <c r="J227" s="115"/>
      <c r="K227" s="129">
        <v>0</v>
      </c>
      <c r="L227" s="129">
        <v>0</v>
      </c>
      <c r="M227" s="129">
        <v>0</v>
      </c>
      <c r="N227" s="129">
        <v>0</v>
      </c>
      <c r="O227" s="129">
        <v>0</v>
      </c>
      <c r="P227" s="129">
        <v>0</v>
      </c>
      <c r="Q227" s="129">
        <v>0</v>
      </c>
      <c r="R227" s="129">
        <v>0</v>
      </c>
      <c r="S227" s="129">
        <v>0</v>
      </c>
      <c r="T227" s="129">
        <v>0</v>
      </c>
      <c r="U227" s="129">
        <v>0</v>
      </c>
      <c r="V227" s="129">
        <v>0</v>
      </c>
      <c r="W227" s="129">
        <v>0</v>
      </c>
      <c r="X227" s="129">
        <v>0</v>
      </c>
      <c r="Y227" s="129">
        <v>0</v>
      </c>
      <c r="Z227" s="129">
        <v>0</v>
      </c>
      <c r="AA227" s="129">
        <v>0</v>
      </c>
      <c r="AB227" s="129">
        <v>30552.122407407409</v>
      </c>
      <c r="AC227" s="129">
        <v>2033.89</v>
      </c>
      <c r="AD227" s="129">
        <v>0</v>
      </c>
      <c r="AE227" s="129">
        <v>12274</v>
      </c>
      <c r="AF227" s="129">
        <v>0</v>
      </c>
      <c r="AG227" s="129">
        <v>0</v>
      </c>
      <c r="AH227" s="129">
        <v>0</v>
      </c>
      <c r="AI227" s="129">
        <v>0</v>
      </c>
      <c r="AJ227" s="129">
        <v>0</v>
      </c>
      <c r="AK227" s="129">
        <v>0</v>
      </c>
      <c r="AL227" s="129">
        <v>0</v>
      </c>
      <c r="AM227" s="129">
        <v>0</v>
      </c>
      <c r="AN227" s="129">
        <v>0</v>
      </c>
      <c r="AO227" s="129">
        <v>0</v>
      </c>
      <c r="AP227" s="129">
        <v>0</v>
      </c>
      <c r="AQ227" s="129">
        <v>0</v>
      </c>
      <c r="AR227" s="129">
        <v>0</v>
      </c>
      <c r="AS227" s="129">
        <v>0</v>
      </c>
      <c r="AT227" s="129">
        <v>0</v>
      </c>
      <c r="AU227" s="129">
        <v>0</v>
      </c>
      <c r="AV227" s="129">
        <v>0</v>
      </c>
      <c r="AW227" s="129">
        <v>0</v>
      </c>
      <c r="AX227" s="129">
        <v>0</v>
      </c>
      <c r="AY227" s="129">
        <v>0</v>
      </c>
      <c r="AZ227" s="129">
        <v>0</v>
      </c>
      <c r="BA227" s="129">
        <v>0</v>
      </c>
      <c r="BB227" s="129">
        <v>0</v>
      </c>
      <c r="BC227" s="129">
        <v>0</v>
      </c>
      <c r="BD227" s="129">
        <v>0</v>
      </c>
      <c r="BE227" s="129">
        <v>0</v>
      </c>
      <c r="BF227" s="129">
        <v>0</v>
      </c>
      <c r="BG227" s="129">
        <v>0</v>
      </c>
      <c r="BH227" s="129">
        <v>0</v>
      </c>
      <c r="BI227" s="129">
        <v>0</v>
      </c>
      <c r="BJ227" s="129">
        <v>0</v>
      </c>
      <c r="BK227" s="129">
        <v>0</v>
      </c>
      <c r="BL227" s="129">
        <v>0</v>
      </c>
      <c r="BM227" s="129">
        <v>0</v>
      </c>
      <c r="BN227" s="129">
        <v>0</v>
      </c>
      <c r="BO227" s="129">
        <v>0</v>
      </c>
      <c r="BP227" s="129">
        <v>0</v>
      </c>
      <c r="BQ227" s="129">
        <v>0</v>
      </c>
      <c r="BR227" s="129">
        <v>0</v>
      </c>
      <c r="BS227" s="129">
        <v>0</v>
      </c>
      <c r="BT227" s="129">
        <v>0</v>
      </c>
      <c r="BU227" s="129">
        <v>0</v>
      </c>
      <c r="BV227" s="129">
        <v>0</v>
      </c>
      <c r="BW227" s="129">
        <v>0</v>
      </c>
      <c r="BX227" s="129">
        <v>0</v>
      </c>
      <c r="BY227" s="129">
        <v>0</v>
      </c>
      <c r="BZ227" s="129">
        <v>0</v>
      </c>
      <c r="CA227" s="129">
        <v>0</v>
      </c>
      <c r="CB227" s="129">
        <v>0</v>
      </c>
      <c r="CC227" s="129">
        <v>0</v>
      </c>
      <c r="CD227" s="129">
        <v>0</v>
      </c>
      <c r="CE227" s="129">
        <v>0</v>
      </c>
      <c r="CF227" s="129">
        <v>0</v>
      </c>
      <c r="CG227" s="129">
        <v>0</v>
      </c>
      <c r="CH227" s="129">
        <v>0</v>
      </c>
      <c r="CI227" s="129">
        <v>0</v>
      </c>
      <c r="CJ227" s="129">
        <v>0</v>
      </c>
      <c r="CK227" s="129">
        <v>0</v>
      </c>
      <c r="CL227" s="129">
        <v>0</v>
      </c>
      <c r="CM227" s="129">
        <v>0</v>
      </c>
      <c r="CN227" s="129">
        <v>0</v>
      </c>
      <c r="CO227" s="129">
        <v>0</v>
      </c>
      <c r="CP227" s="129">
        <v>0</v>
      </c>
      <c r="CQ227" s="129">
        <v>0</v>
      </c>
      <c r="CR227" s="129">
        <v>0</v>
      </c>
      <c r="CS227" s="129">
        <v>0</v>
      </c>
      <c r="CT227" s="129">
        <v>0</v>
      </c>
      <c r="CU227" s="129">
        <v>0</v>
      </c>
      <c r="CV227" s="129">
        <v>0</v>
      </c>
      <c r="CW227" s="129">
        <v>0</v>
      </c>
      <c r="CX227" s="129">
        <v>0</v>
      </c>
      <c r="CY227" s="129">
        <v>0</v>
      </c>
      <c r="CZ227" s="129">
        <v>0</v>
      </c>
      <c r="DA227" s="129">
        <v>0</v>
      </c>
      <c r="DB227" s="129">
        <v>0</v>
      </c>
      <c r="DC227" s="129">
        <v>0</v>
      </c>
      <c r="DD227" s="129">
        <v>0</v>
      </c>
      <c r="DE227" s="129">
        <v>0</v>
      </c>
      <c r="DF227" s="129">
        <v>0</v>
      </c>
      <c r="DG227" s="129">
        <v>0</v>
      </c>
      <c r="DH227" s="129">
        <v>0</v>
      </c>
      <c r="DI227" s="129">
        <v>0</v>
      </c>
      <c r="DJ227" s="129">
        <v>0</v>
      </c>
      <c r="DK227" s="129">
        <v>0</v>
      </c>
      <c r="DL227" s="129">
        <v>0</v>
      </c>
      <c r="DM227" s="129">
        <v>0</v>
      </c>
      <c r="DN227" s="129">
        <v>0</v>
      </c>
      <c r="DO227" s="129">
        <v>0</v>
      </c>
      <c r="DP227" s="129">
        <v>0</v>
      </c>
      <c r="DQ227" s="129">
        <v>0</v>
      </c>
      <c r="DR227" s="129">
        <v>0</v>
      </c>
      <c r="DS227" s="129">
        <v>0</v>
      </c>
      <c r="DT227" s="129">
        <v>0</v>
      </c>
      <c r="DU227" s="129">
        <v>0</v>
      </c>
      <c r="DV227" s="129">
        <v>0</v>
      </c>
      <c r="DW227" s="129">
        <v>0</v>
      </c>
      <c r="DX227" s="129">
        <v>0</v>
      </c>
      <c r="DY227" s="129">
        <v>0</v>
      </c>
      <c r="DZ227" s="129">
        <v>0</v>
      </c>
      <c r="EA227" s="129">
        <v>0</v>
      </c>
      <c r="EB227" s="129">
        <v>0</v>
      </c>
      <c r="EC227" s="129">
        <v>0</v>
      </c>
      <c r="ED227" s="113" t="s">
        <v>1</v>
      </c>
    </row>
    <row r="228" spans="1:134" x14ac:dyDescent="0.2">
      <c r="A228" s="698" t="s">
        <v>142</v>
      </c>
      <c r="B228" s="115"/>
      <c r="C228" s="115"/>
      <c r="D228" s="115"/>
      <c r="E228" s="115"/>
      <c r="F228" s="115"/>
      <c r="G228" s="115"/>
      <c r="H228" s="115"/>
      <c r="I228" s="115"/>
      <c r="J228" s="115"/>
      <c r="K228" s="129">
        <v>38690.299794661194</v>
      </c>
      <c r="L228" s="129">
        <v>254392.77650349651</v>
      </c>
      <c r="M228" s="129">
        <v>894672.81844106468</v>
      </c>
      <c r="N228" s="129">
        <v>1469181.2121785174</v>
      </c>
      <c r="O228" s="129">
        <v>1669650.0071880883</v>
      </c>
      <c r="P228" s="129">
        <v>978506.28257191193</v>
      </c>
      <c r="Q228" s="129">
        <v>2859192.2795731248</v>
      </c>
      <c r="R228" s="129">
        <v>2688122.5830093315</v>
      </c>
      <c r="S228" s="129">
        <v>3505430.315752707</v>
      </c>
      <c r="T228" s="129">
        <v>3328709.1745283022</v>
      </c>
      <c r="U228" s="129">
        <v>1525000.6569856314</v>
      </c>
      <c r="V228" s="129">
        <v>1631520.6051748923</v>
      </c>
      <c r="W228" s="129">
        <v>2474016.3632047474</v>
      </c>
      <c r="X228" s="129">
        <v>1995372.9459459458</v>
      </c>
      <c r="Y228" s="129">
        <v>2072029.3353530031</v>
      </c>
      <c r="Z228" s="129">
        <v>0</v>
      </c>
      <c r="AA228" s="129">
        <v>2000271</v>
      </c>
      <c r="AB228" s="129">
        <v>869766.04000000097</v>
      </c>
      <c r="AC228" s="129">
        <v>666803</v>
      </c>
      <c r="AD228" s="129">
        <v>788538.32</v>
      </c>
      <c r="AE228" s="129">
        <v>1202331.976</v>
      </c>
      <c r="AF228" s="129">
        <v>2377901.35</v>
      </c>
      <c r="AG228" s="129">
        <v>1900120.4326399998</v>
      </c>
      <c r="AH228" s="129">
        <v>2233030.769125999</v>
      </c>
      <c r="AI228" s="129">
        <v>3053035.0663279998</v>
      </c>
      <c r="AJ228" s="129">
        <v>1877793.6643999999</v>
      </c>
      <c r="AK228" s="129">
        <v>2983088.9337719991</v>
      </c>
      <c r="AL228" s="129">
        <v>1761841.2200000214</v>
      </c>
      <c r="AM228" s="129">
        <v>1306659.1399999987</v>
      </c>
      <c r="AN228" s="129">
        <v>2454196.4591999971</v>
      </c>
      <c r="AO228" s="129">
        <v>1983590.3515999999</v>
      </c>
      <c r="AP228" s="129">
        <v>1342049</v>
      </c>
      <c r="AQ228" s="129">
        <v>1171946.8306309998</v>
      </c>
      <c r="AR228" s="129">
        <v>1003521</v>
      </c>
      <c r="AS228" s="129">
        <v>2721991.5659400052</v>
      </c>
      <c r="AT228" s="129">
        <v>3694904.4846399995</v>
      </c>
      <c r="AU228" s="129">
        <v>4159500.4734999994</v>
      </c>
      <c r="AV228" s="129">
        <v>3199726</v>
      </c>
      <c r="AW228" s="129">
        <v>2318667</v>
      </c>
      <c r="AX228" s="129">
        <v>1879221.8197351983</v>
      </c>
      <c r="AY228" s="129">
        <v>2612820.1661399994</v>
      </c>
      <c r="AZ228" s="129">
        <v>3551152.9000000106</v>
      </c>
      <c r="BA228" s="129">
        <v>4392929.811360009</v>
      </c>
      <c r="BB228" s="129">
        <v>3609958.3898000019</v>
      </c>
      <c r="BC228" s="129">
        <v>3416887.1105000018</v>
      </c>
      <c r="BD228" s="129">
        <v>4326829.1619999716</v>
      </c>
      <c r="BE228" s="129">
        <v>2746901.4196600066</v>
      </c>
      <c r="BF228" s="129">
        <v>2322614.2381999991</v>
      </c>
      <c r="BG228" s="129">
        <v>2057364.4871999896</v>
      </c>
      <c r="BH228" s="129">
        <v>3308916.2974000033</v>
      </c>
      <c r="BI228" s="129">
        <v>5857771.3199999854</v>
      </c>
      <c r="BJ228" s="129">
        <v>7099524.1430508895</v>
      </c>
      <c r="BK228" s="129">
        <v>5644830.1016949369</v>
      </c>
      <c r="BL228" s="129">
        <v>7130880.4446928157</v>
      </c>
      <c r="BM228" s="129">
        <v>3951468.4349159626</v>
      </c>
      <c r="BN228" s="129">
        <v>6387793.7694995189</v>
      </c>
      <c r="BO228" s="129">
        <v>7953398.4214641945</v>
      </c>
      <c r="BP228" s="129">
        <v>11599647.728982957</v>
      </c>
      <c r="BQ228" s="129">
        <v>10075364.717627287</v>
      </c>
      <c r="BR228" s="129">
        <v>9988253.3759324327</v>
      </c>
      <c r="BS228" s="129">
        <v>12920830.702881364</v>
      </c>
      <c r="BT228" s="129">
        <v>7699943.2099999897</v>
      </c>
      <c r="BU228" s="129">
        <v>13033544.610169485</v>
      </c>
      <c r="BV228" s="129">
        <v>10369917.938305248</v>
      </c>
      <c r="BW228" s="129">
        <v>12098493.816440687</v>
      </c>
      <c r="BX228" s="129">
        <v>14065540.018305134</v>
      </c>
      <c r="BY228" s="129">
        <v>16004166.994576257</v>
      </c>
      <c r="BZ228" s="129">
        <v>15225506.830847437</v>
      </c>
      <c r="CA228" s="129">
        <v>15683640.590508653</v>
      </c>
      <c r="CB228" s="129">
        <v>14117023.855593197</v>
      </c>
      <c r="CC228" s="129">
        <v>9035968.3030508254</v>
      </c>
      <c r="CD228" s="129">
        <v>13740527.967966314</v>
      </c>
      <c r="CE228" s="129">
        <v>15672203.150847428</v>
      </c>
      <c r="CF228" s="129">
        <v>15483804.41260105</v>
      </c>
      <c r="CG228" s="129">
        <v>22966719.584478289</v>
      </c>
      <c r="CH228" s="129">
        <v>18229128.593647912</v>
      </c>
      <c r="CI228" s="129">
        <v>17231695.051941589</v>
      </c>
      <c r="CJ228" s="129">
        <v>18261333.067144372</v>
      </c>
      <c r="CK228" s="129">
        <v>19501631.567796621</v>
      </c>
      <c r="CL228" s="129">
        <v>20052061.432203401</v>
      </c>
      <c r="CM228" s="129">
        <v>23994659.237288099</v>
      </c>
      <c r="CN228" s="129">
        <v>22321727.152542356</v>
      </c>
      <c r="CO228" s="129">
        <v>20517251.381355956</v>
      </c>
      <c r="CP228" s="129">
        <v>30251824.288135573</v>
      </c>
      <c r="CQ228" s="129">
        <v>38000810.279661037</v>
      </c>
      <c r="CR228" s="129">
        <v>32047568.519880701</v>
      </c>
      <c r="CS228" s="129">
        <v>34129440.122518703</v>
      </c>
      <c r="CT228" s="129">
        <f>CT238</f>
        <v>27204229.650181673</v>
      </c>
      <c r="CU228" s="129">
        <f t="shared" ref="CU228:DQ228" si="705">CU238</f>
        <v>27481104.977545761</v>
      </c>
      <c r="CV228" s="129">
        <f t="shared" si="705"/>
        <v>27461445.190987363</v>
      </c>
      <c r="CW228" s="129">
        <f t="shared" si="705"/>
        <v>27875939.024260234</v>
      </c>
      <c r="CX228" s="129">
        <f t="shared" si="705"/>
        <v>26267113.157564752</v>
      </c>
      <c r="CY228" s="129">
        <f t="shared" si="705"/>
        <v>28734416.37064356</v>
      </c>
      <c r="CZ228" s="129">
        <f t="shared" si="705"/>
        <v>27939833.330575019</v>
      </c>
      <c r="DA228" s="129">
        <f t="shared" si="705"/>
        <v>28005365.952436343</v>
      </c>
      <c r="DB228" s="129">
        <f t="shared" si="705"/>
        <v>34376775.112903461</v>
      </c>
      <c r="DC228" s="129">
        <f t="shared" si="705"/>
        <v>37040676.191566236</v>
      </c>
      <c r="DD228" s="129">
        <f t="shared" si="705"/>
        <v>31755470.23845055</v>
      </c>
      <c r="DE228" s="129">
        <f t="shared" si="705"/>
        <v>34314519.1221352</v>
      </c>
      <c r="DF228" s="129">
        <f t="shared" si="705"/>
        <v>32849107.302594367</v>
      </c>
      <c r="DG228" s="129">
        <f t="shared" si="705"/>
        <v>33183434.260386504</v>
      </c>
      <c r="DH228" s="129">
        <f t="shared" si="705"/>
        <v>33159695.068117239</v>
      </c>
      <c r="DI228" s="129">
        <f t="shared" si="705"/>
        <v>33660196.371794224</v>
      </c>
      <c r="DJ228" s="129">
        <f t="shared" si="705"/>
        <v>31717539.137759436</v>
      </c>
      <c r="DK228" s="129">
        <f t="shared" si="705"/>
        <v>34696807.7675521</v>
      </c>
      <c r="DL228" s="129">
        <f t="shared" si="705"/>
        <v>33737348.746669337</v>
      </c>
      <c r="DM228" s="129">
        <f t="shared" si="705"/>
        <v>33816479.387566887</v>
      </c>
      <c r="DN228" s="129">
        <f t="shared" si="705"/>
        <v>41509955.948830925</v>
      </c>
      <c r="DO228" s="129">
        <f t="shared" si="705"/>
        <v>44726616.501316227</v>
      </c>
      <c r="DP228" s="129">
        <f t="shared" si="705"/>
        <v>38344730.312929034</v>
      </c>
      <c r="DQ228" s="129">
        <f t="shared" si="705"/>
        <v>41434781.839978255</v>
      </c>
      <c r="DR228" s="129">
        <f t="shared" ref="DR228:EC228" si="706">DR238</f>
        <v>39665297.067882702</v>
      </c>
      <c r="DS228" s="129">
        <f t="shared" si="706"/>
        <v>40068996.869416706</v>
      </c>
      <c r="DT228" s="129">
        <f t="shared" si="706"/>
        <v>40040331.794751577</v>
      </c>
      <c r="DU228" s="129">
        <f t="shared" si="706"/>
        <v>40644687.118941538</v>
      </c>
      <c r="DV228" s="129">
        <f t="shared" si="706"/>
        <v>38298928.508844517</v>
      </c>
      <c r="DW228" s="129">
        <f t="shared" si="706"/>
        <v>41896395.379319154</v>
      </c>
      <c r="DX228" s="129">
        <f t="shared" si="706"/>
        <v>40737848.611603223</v>
      </c>
      <c r="DY228" s="129">
        <f t="shared" si="706"/>
        <v>40833398.860487007</v>
      </c>
      <c r="DZ228" s="129">
        <f t="shared" si="706"/>
        <v>50123271.808213346</v>
      </c>
      <c r="EA228" s="129">
        <f t="shared" si="706"/>
        <v>54007389.425339349</v>
      </c>
      <c r="EB228" s="129">
        <f t="shared" si="706"/>
        <v>46301261.852861799</v>
      </c>
      <c r="EC228" s="129">
        <f t="shared" si="706"/>
        <v>50032499.071773745</v>
      </c>
      <c r="ED228" s="113" t="s">
        <v>1</v>
      </c>
    </row>
    <row r="229" spans="1:134" x14ac:dyDescent="0.2">
      <c r="A229" s="698" t="s">
        <v>22</v>
      </c>
      <c r="B229" s="115"/>
      <c r="C229" s="115"/>
      <c r="D229" s="115"/>
      <c r="E229" s="115"/>
      <c r="F229" s="115"/>
      <c r="G229" s="115"/>
      <c r="H229" s="115"/>
      <c r="I229" s="115"/>
      <c r="J229" s="115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29"/>
      <c r="AI229" s="129"/>
      <c r="AJ229" s="129"/>
      <c r="AK229" s="129"/>
      <c r="AL229" s="129">
        <v>0</v>
      </c>
      <c r="AM229" s="129">
        <v>0</v>
      </c>
      <c r="AN229" s="129">
        <v>0</v>
      </c>
      <c r="AO229" s="129">
        <v>0</v>
      </c>
      <c r="AP229" s="129">
        <v>0</v>
      </c>
      <c r="AQ229" s="129">
        <v>0</v>
      </c>
      <c r="AR229" s="129">
        <v>0</v>
      </c>
      <c r="AS229" s="129">
        <v>0</v>
      </c>
      <c r="AT229" s="129">
        <v>0</v>
      </c>
      <c r="AU229" s="129">
        <v>0</v>
      </c>
      <c r="AV229" s="129">
        <v>0</v>
      </c>
      <c r="AW229" s="129">
        <v>0</v>
      </c>
      <c r="AX229" s="129">
        <v>0</v>
      </c>
      <c r="AY229" s="129">
        <v>0</v>
      </c>
      <c r="AZ229" s="129">
        <v>0</v>
      </c>
      <c r="BA229" s="129">
        <v>0</v>
      </c>
      <c r="BB229" s="129">
        <v>0</v>
      </c>
      <c r="BC229" s="129">
        <v>261378.57739136802</v>
      </c>
      <c r="BD229" s="129">
        <v>381898.21129192185</v>
      </c>
      <c r="BE229" s="129">
        <v>272615.69316780468</v>
      </c>
      <c r="BF229" s="129">
        <v>196776.72130750277</v>
      </c>
      <c r="BG229" s="129">
        <v>479999.69379161159</v>
      </c>
      <c r="BH229" s="129">
        <v>690676.18695706723</v>
      </c>
      <c r="BI229" s="129">
        <v>716463.24475161603</v>
      </c>
      <c r="BJ229" s="129">
        <v>955728.59024755249</v>
      </c>
      <c r="BK229" s="129">
        <v>1293457.5213996274</v>
      </c>
      <c r="BL229" s="129">
        <v>1204406.880352661</v>
      </c>
      <c r="BM229" s="129">
        <v>1204506.8424153221</v>
      </c>
      <c r="BN229" s="129">
        <v>1625091.4887228194</v>
      </c>
      <c r="BO229" s="129">
        <v>972072.79501688213</v>
      </c>
      <c r="BP229" s="129">
        <v>2867293.2735212776</v>
      </c>
      <c r="BQ229" s="129">
        <v>1908899.0216644953</v>
      </c>
      <c r="BR229" s="129">
        <v>1549043.8574665007</v>
      </c>
      <c r="BS229" s="129">
        <v>882333.34770038154</v>
      </c>
      <c r="BT229" s="129">
        <v>1249448.0897950039</v>
      </c>
      <c r="BU229" s="129">
        <v>1685974.6049490504</v>
      </c>
      <c r="BV229" s="129">
        <v>1278430.5853510678</v>
      </c>
      <c r="BW229" s="129">
        <v>931791.93548262748</v>
      </c>
      <c r="BX229" s="129">
        <v>1339705.4788189924</v>
      </c>
      <c r="BY229" s="129">
        <v>569469.29445742676</v>
      </c>
      <c r="BZ229" s="129">
        <v>585789.64438476355</v>
      </c>
      <c r="CA229" s="129">
        <v>640460.44989030773</v>
      </c>
      <c r="CB229" s="129">
        <v>1144159.6835783895</v>
      </c>
      <c r="CC229" s="129">
        <v>605197.58488256764</v>
      </c>
      <c r="CD229" s="129">
        <v>602956.29447578406</v>
      </c>
      <c r="CE229" s="129">
        <v>752194.57310561033</v>
      </c>
      <c r="CF229" s="129">
        <v>1122683.5541825397</v>
      </c>
      <c r="CG229" s="129">
        <v>1077114.5115670504</v>
      </c>
      <c r="CH229" s="129">
        <v>1103175.9284127459</v>
      </c>
      <c r="CI229" s="129">
        <v>992297.81419755635</v>
      </c>
      <c r="CJ229" s="129">
        <v>816389.08306880062</v>
      </c>
      <c r="CK229" s="129">
        <v>1238731.5238108037</v>
      </c>
      <c r="CL229" s="129">
        <v>1105113.9367624328</v>
      </c>
      <c r="CM229" s="129">
        <v>1523529.2030033041</v>
      </c>
      <c r="CN229" s="129">
        <v>534703.02095410298</v>
      </c>
      <c r="CO229" s="129">
        <v>689671.92055561708</v>
      </c>
      <c r="CP229" s="129">
        <v>682890.49813772645</v>
      </c>
      <c r="CQ229" s="129">
        <v>1360896.0213538483</v>
      </c>
      <c r="CR229" s="129">
        <v>1181315.5902238614</v>
      </c>
      <c r="CS229" s="129">
        <v>1558115.1649007758</v>
      </c>
      <c r="CT229" s="129">
        <f>CT239</f>
        <v>1472225.0199632696</v>
      </c>
      <c r="CU229" s="129">
        <f t="shared" ref="CU229:DQ229" si="707">CU239</f>
        <v>1487208.8217322421</v>
      </c>
      <c r="CV229" s="129">
        <f t="shared" si="707"/>
        <v>1486144.8831450962</v>
      </c>
      <c r="CW229" s="129">
        <f t="shared" si="707"/>
        <v>1508576.2550240911</v>
      </c>
      <c r="CX229" s="129">
        <f t="shared" si="707"/>
        <v>1421510.6139759768</v>
      </c>
      <c r="CY229" s="129">
        <f t="shared" si="707"/>
        <v>1555034.9066627992</v>
      </c>
      <c r="CZ229" s="129">
        <f t="shared" si="707"/>
        <v>1512034.0554323155</v>
      </c>
      <c r="DA229" s="129">
        <f t="shared" si="707"/>
        <v>1515580.5173894686</v>
      </c>
      <c r="DB229" s="129">
        <f t="shared" si="707"/>
        <v>1860385.2811736995</v>
      </c>
      <c r="DC229" s="129">
        <f t="shared" si="707"/>
        <v>2004548.9597319819</v>
      </c>
      <c r="DD229" s="129">
        <f t="shared" si="707"/>
        <v>1718526.8028875671</v>
      </c>
      <c r="DE229" s="129">
        <f t="shared" si="707"/>
        <v>1857016.1423144038</v>
      </c>
      <c r="DF229" s="129">
        <f t="shared" si="707"/>
        <v>1743850.5361464927</v>
      </c>
      <c r="DG229" s="129">
        <f t="shared" si="707"/>
        <v>1761598.8493418409</v>
      </c>
      <c r="DH229" s="129">
        <f t="shared" si="707"/>
        <v>1760338.6140853667</v>
      </c>
      <c r="DI229" s="129">
        <f t="shared" si="707"/>
        <v>1786908.5740760358</v>
      </c>
      <c r="DJ229" s="129">
        <f t="shared" si="707"/>
        <v>1683779.3222545446</v>
      </c>
      <c r="DK229" s="129">
        <f t="shared" si="707"/>
        <v>1841938.8469420858</v>
      </c>
      <c r="DL229" s="129">
        <f t="shared" si="707"/>
        <v>1791004.3386595775</v>
      </c>
      <c r="DM229" s="129">
        <f t="shared" si="707"/>
        <v>1795205.1228478255</v>
      </c>
      <c r="DN229" s="129">
        <f t="shared" si="707"/>
        <v>2203626.365550247</v>
      </c>
      <c r="DO229" s="129">
        <f t="shared" si="707"/>
        <v>2374388.2428025319</v>
      </c>
      <c r="DP229" s="129">
        <f t="shared" si="707"/>
        <v>2035594.9980203228</v>
      </c>
      <c r="DQ229" s="129">
        <f t="shared" si="707"/>
        <v>2199635.6205714107</v>
      </c>
      <c r="DR229" s="129">
        <f t="shared" ref="DR229:EC229" si="708">DR239</f>
        <v>2065590.9600655199</v>
      </c>
      <c r="DS229" s="129">
        <f t="shared" si="708"/>
        <v>2086613.8370454099</v>
      </c>
      <c r="DT229" s="129">
        <f t="shared" si="708"/>
        <v>2085121.0883841161</v>
      </c>
      <c r="DU229" s="129">
        <f t="shared" si="708"/>
        <v>2116593.2059930637</v>
      </c>
      <c r="DV229" s="129">
        <f t="shared" si="708"/>
        <v>1994436.6072105076</v>
      </c>
      <c r="DW229" s="129">
        <f t="shared" si="708"/>
        <v>2181776.5642028996</v>
      </c>
      <c r="DX229" s="129">
        <f t="shared" si="708"/>
        <v>2121444.6391422683</v>
      </c>
      <c r="DY229" s="129">
        <f t="shared" si="708"/>
        <v>2126420.4680132484</v>
      </c>
      <c r="DZ229" s="129">
        <f t="shared" si="708"/>
        <v>2610195.4299942669</v>
      </c>
      <c r="EA229" s="129">
        <f t="shared" si="708"/>
        <v>2812462.8735995986</v>
      </c>
      <c r="EB229" s="129">
        <f t="shared" si="708"/>
        <v>2411162.2751550716</v>
      </c>
      <c r="EC229" s="129">
        <f t="shared" si="708"/>
        <v>2605468.3925668355</v>
      </c>
      <c r="ED229" s="113" t="s">
        <v>1</v>
      </c>
    </row>
    <row r="230" spans="1:134" x14ac:dyDescent="0.2">
      <c r="A230" s="698" t="s">
        <v>36</v>
      </c>
      <c r="B230" s="115"/>
      <c r="C230" s="115"/>
      <c r="D230" s="115"/>
      <c r="E230" s="115"/>
      <c r="F230" s="115"/>
      <c r="G230" s="115"/>
      <c r="H230" s="115"/>
      <c r="I230" s="115"/>
      <c r="J230" s="115"/>
      <c r="K230" s="129">
        <v>5288.1149897330588</v>
      </c>
      <c r="L230" s="129">
        <v>27485.833846153844</v>
      </c>
      <c r="M230" s="129">
        <v>105162.1958174905</v>
      </c>
      <c r="N230" s="129">
        <v>129758.01626323751</v>
      </c>
      <c r="O230" s="129">
        <v>153501.28906383709</v>
      </c>
      <c r="P230" s="129">
        <v>120289.68189509308</v>
      </c>
      <c r="Q230" s="129">
        <v>220296.29761010074</v>
      </c>
      <c r="R230" s="129">
        <v>203625.19653965786</v>
      </c>
      <c r="S230" s="129">
        <v>308086.22982885083</v>
      </c>
      <c r="T230" s="129">
        <v>321393.97169811319</v>
      </c>
      <c r="U230" s="129">
        <v>180422.67196575971</v>
      </c>
      <c r="V230" s="129">
        <v>165231.64183037853</v>
      </c>
      <c r="W230" s="129">
        <v>219706.33273986151</v>
      </c>
      <c r="X230" s="129">
        <v>144347.45945945947</v>
      </c>
      <c r="Y230" s="129">
        <v>198511.29135932561</v>
      </c>
      <c r="Z230" s="129">
        <v>0</v>
      </c>
      <c r="AA230" s="129">
        <v>188832.23178807946</v>
      </c>
      <c r="AB230" s="129">
        <v>90576.518578878749</v>
      </c>
      <c r="AC230" s="129">
        <v>67324.076509264793</v>
      </c>
      <c r="AD230" s="129">
        <v>69249.693053311799</v>
      </c>
      <c r="AE230" s="129">
        <v>85834.411764705888</v>
      </c>
      <c r="AF230" s="129">
        <v>111366.70009756097</v>
      </c>
      <c r="AG230" s="129">
        <v>93926.144530134246</v>
      </c>
      <c r="AH230" s="129">
        <v>153663.65482625482</v>
      </c>
      <c r="AI230" s="129">
        <v>93124.423440453684</v>
      </c>
      <c r="AJ230" s="129">
        <v>97088.14399591212</v>
      </c>
      <c r="AK230" s="129">
        <v>164943.91763039888</v>
      </c>
      <c r="AL230" s="129">
        <v>116018.17946917567</v>
      </c>
      <c r="AM230" s="129">
        <v>83723.846830985916</v>
      </c>
      <c r="AN230" s="129">
        <v>103199.32680449764</v>
      </c>
      <c r="AO230" s="129">
        <v>87792.200039377829</v>
      </c>
      <c r="AP230" s="129">
        <v>55916.042194092828</v>
      </c>
      <c r="AQ230" s="129">
        <v>62534.921575416578</v>
      </c>
      <c r="AR230" s="129">
        <v>86919.654159221769</v>
      </c>
      <c r="AS230" s="129">
        <v>194480.52912292583</v>
      </c>
      <c r="AT230" s="129">
        <v>209461.95348262394</v>
      </c>
      <c r="AU230" s="129">
        <v>200899.41491085899</v>
      </c>
      <c r="AV230" s="129">
        <v>154793.17192707313</v>
      </c>
      <c r="AW230" s="129">
        <v>82945.541513696691</v>
      </c>
      <c r="AX230" s="129">
        <v>74360</v>
      </c>
      <c r="AY230" s="129">
        <v>205033.38868961661</v>
      </c>
      <c r="AZ230" s="129">
        <v>122100</v>
      </c>
      <c r="BA230" s="129">
        <v>145255</v>
      </c>
      <c r="BB230" s="129">
        <v>115115</v>
      </c>
      <c r="BC230" s="129">
        <v>168685</v>
      </c>
      <c r="BD230" s="129">
        <v>222750</v>
      </c>
      <c r="BE230" s="129">
        <v>160710</v>
      </c>
      <c r="BF230" s="129">
        <v>144650</v>
      </c>
      <c r="BG230" s="129">
        <v>139865</v>
      </c>
      <c r="BH230" s="129">
        <v>238975</v>
      </c>
      <c r="BI230" s="129">
        <v>386375</v>
      </c>
      <c r="BJ230" s="129">
        <v>459580</v>
      </c>
      <c r="BK230" s="129">
        <v>430800</v>
      </c>
      <c r="BL230" s="129">
        <v>572940</v>
      </c>
      <c r="BM230" s="129">
        <v>375060</v>
      </c>
      <c r="BN230" s="129">
        <v>457140</v>
      </c>
      <c r="BO230" s="129">
        <v>472200</v>
      </c>
      <c r="BP230" s="129">
        <v>615480</v>
      </c>
      <c r="BQ230" s="129">
        <v>549720</v>
      </c>
      <c r="BR230" s="129">
        <v>498720</v>
      </c>
      <c r="BS230" s="129">
        <v>523800</v>
      </c>
      <c r="BT230" s="129">
        <v>354840</v>
      </c>
      <c r="BU230" s="129">
        <v>547800</v>
      </c>
      <c r="BV230" s="129">
        <v>504720</v>
      </c>
      <c r="BW230" s="129">
        <v>531000</v>
      </c>
      <c r="BX230" s="129">
        <v>555180</v>
      </c>
      <c r="BY230" s="129">
        <v>577920</v>
      </c>
      <c r="BZ230" s="129">
        <v>527640</v>
      </c>
      <c r="CA230" s="129">
        <v>532680</v>
      </c>
      <c r="CB230" s="129">
        <v>531900</v>
      </c>
      <c r="CC230" s="129">
        <v>476280</v>
      </c>
      <c r="CD230" s="129">
        <v>591840</v>
      </c>
      <c r="CE230" s="129">
        <v>663360</v>
      </c>
      <c r="CF230" s="129">
        <v>655740</v>
      </c>
      <c r="CG230" s="129">
        <v>860040</v>
      </c>
      <c r="CH230" s="129">
        <v>696780</v>
      </c>
      <c r="CI230" s="129">
        <v>722460</v>
      </c>
      <c r="CJ230" s="129">
        <v>731537.14285714284</v>
      </c>
      <c r="CK230" s="129">
        <v>765180</v>
      </c>
      <c r="CL230" s="129">
        <v>705720</v>
      </c>
      <c r="CM230" s="129">
        <v>905820</v>
      </c>
      <c r="CN230" s="129">
        <v>741960</v>
      </c>
      <c r="CO230" s="129">
        <v>763500</v>
      </c>
      <c r="CP230" s="129">
        <v>958920</v>
      </c>
      <c r="CQ230" s="129">
        <v>1054560</v>
      </c>
      <c r="CR230" s="129">
        <v>888420</v>
      </c>
      <c r="CS230" s="129">
        <v>971220</v>
      </c>
      <c r="CT230" s="129">
        <f>CT240</f>
        <v>929743.75892814517</v>
      </c>
      <c r="CU230" s="129">
        <f t="shared" ref="CU230:DQ230" si="709">CU240</f>
        <v>939206.37231320119</v>
      </c>
      <c r="CV230" s="129">
        <f t="shared" si="709"/>
        <v>938534.47077106696</v>
      </c>
      <c r="CW230" s="129">
        <f t="shared" si="709"/>
        <v>952700.39495106228</v>
      </c>
      <c r="CX230" s="129">
        <f t="shared" si="709"/>
        <v>897716.45208641677</v>
      </c>
      <c r="CY230" s="129">
        <f t="shared" si="709"/>
        <v>982040.09562425397</v>
      </c>
      <c r="CZ230" s="129">
        <f t="shared" si="709"/>
        <v>954884.07496299816</v>
      </c>
      <c r="DA230" s="129">
        <f t="shared" si="709"/>
        <v>957123.74677011208</v>
      </c>
      <c r="DB230" s="129">
        <f t="shared" si="709"/>
        <v>1174875.8382167581</v>
      </c>
      <c r="DC230" s="129">
        <f t="shared" si="709"/>
        <v>1265918.4971759368</v>
      </c>
      <c r="DD230" s="129">
        <f t="shared" si="709"/>
        <v>1085288.9659322035</v>
      </c>
      <c r="DE230" s="129">
        <f t="shared" si="709"/>
        <v>1172748.1499999997</v>
      </c>
      <c r="DF230" s="129">
        <f t="shared" si="709"/>
        <v>1122665.5889057352</v>
      </c>
      <c r="DG230" s="129">
        <f t="shared" si="709"/>
        <v>1134091.6945681905</v>
      </c>
      <c r="DH230" s="129">
        <f t="shared" si="709"/>
        <v>1133280.3734560634</v>
      </c>
      <c r="DI230" s="129">
        <f t="shared" si="709"/>
        <v>1150385.7269034076</v>
      </c>
      <c r="DJ230" s="129">
        <f t="shared" si="709"/>
        <v>1083992.6158943481</v>
      </c>
      <c r="DK230" s="129">
        <f t="shared" si="709"/>
        <v>1185813.4154662865</v>
      </c>
      <c r="DL230" s="129">
        <f t="shared" si="709"/>
        <v>1153022.5205178205</v>
      </c>
      <c r="DM230" s="129">
        <f t="shared" si="709"/>
        <v>1155726.9242249103</v>
      </c>
      <c r="DN230" s="129">
        <f t="shared" si="709"/>
        <v>1418662.5746467351</v>
      </c>
      <c r="DO230" s="129">
        <f t="shared" si="709"/>
        <v>1528596.5853399436</v>
      </c>
      <c r="DP230" s="129">
        <f t="shared" si="709"/>
        <v>1310486.4263631355</v>
      </c>
      <c r="DQ230" s="129">
        <f t="shared" si="709"/>
        <v>1416093.3911249998</v>
      </c>
      <c r="DR230" s="129">
        <f t="shared" ref="DR230:EC230" si="710">DR240</f>
        <v>1355618.6986036752</v>
      </c>
      <c r="DS230" s="129">
        <f t="shared" si="710"/>
        <v>1369415.7211910898</v>
      </c>
      <c r="DT230" s="129">
        <f t="shared" si="710"/>
        <v>1368436.0509481968</v>
      </c>
      <c r="DU230" s="129">
        <f t="shared" si="710"/>
        <v>1389090.765235865</v>
      </c>
      <c r="DV230" s="129">
        <f t="shared" si="710"/>
        <v>1308921.0836924252</v>
      </c>
      <c r="DW230" s="129">
        <f t="shared" si="710"/>
        <v>1431869.6991755411</v>
      </c>
      <c r="DX230" s="129">
        <f t="shared" si="710"/>
        <v>1392274.693525268</v>
      </c>
      <c r="DY230" s="129">
        <f t="shared" si="710"/>
        <v>1395540.2610015792</v>
      </c>
      <c r="DZ230" s="129">
        <f t="shared" si="710"/>
        <v>1713035.0588859329</v>
      </c>
      <c r="EA230" s="129">
        <f t="shared" si="710"/>
        <v>1845780.376797982</v>
      </c>
      <c r="EB230" s="129">
        <f t="shared" si="710"/>
        <v>1582412.3598334859</v>
      </c>
      <c r="EC230" s="129">
        <f t="shared" si="710"/>
        <v>1709932.7697834373</v>
      </c>
      <c r="ED230" s="113" t="s">
        <v>1</v>
      </c>
    </row>
    <row r="231" spans="1:134" x14ac:dyDescent="0.2">
      <c r="A231" s="698" t="s">
        <v>24</v>
      </c>
      <c r="B231" s="115"/>
      <c r="C231" s="115"/>
      <c r="D231" s="115"/>
      <c r="E231" s="115"/>
      <c r="F231" s="115"/>
      <c r="G231" s="115"/>
      <c r="H231" s="115"/>
      <c r="I231" s="115"/>
      <c r="J231" s="115"/>
      <c r="K231" s="129">
        <v>7921.1498973305961</v>
      </c>
      <c r="L231" s="129">
        <v>39730.586853146859</v>
      </c>
      <c r="M231" s="129">
        <v>169829.83127376426</v>
      </c>
      <c r="N231" s="129">
        <v>218515.12953857792</v>
      </c>
      <c r="O231" s="129">
        <v>253705.37600547666</v>
      </c>
      <c r="P231" s="129">
        <v>258430.45346869712</v>
      </c>
      <c r="Q231" s="129">
        <v>487027.84608447313</v>
      </c>
      <c r="R231" s="129">
        <v>336843.26846811816</v>
      </c>
      <c r="S231" s="129">
        <v>468117.07038071955</v>
      </c>
      <c r="T231" s="129">
        <v>817791.09198113205</v>
      </c>
      <c r="U231" s="129">
        <v>279744.31977988384</v>
      </c>
      <c r="V231" s="129">
        <v>241269.5293086746</v>
      </c>
      <c r="W231" s="129">
        <v>339630.43125618197</v>
      </c>
      <c r="X231" s="129">
        <v>221340.87917329092</v>
      </c>
      <c r="Y231" s="129">
        <v>367831.61656569771</v>
      </c>
      <c r="Z231" s="129">
        <v>0</v>
      </c>
      <c r="AA231" s="129">
        <v>313168.36423841061</v>
      </c>
      <c r="AB231" s="129">
        <v>143651.19752281616</v>
      </c>
      <c r="AC231" s="129">
        <v>227661.3980872684</v>
      </c>
      <c r="AD231" s="129">
        <v>323580.48599892296</v>
      </c>
      <c r="AE231" s="129">
        <v>369800.03493351361</v>
      </c>
      <c r="AF231" s="129">
        <v>465335.02400000003</v>
      </c>
      <c r="AG231" s="129">
        <v>359555.08940302767</v>
      </c>
      <c r="AH231" s="129">
        <v>705372.0610038609</v>
      </c>
      <c r="AI231" s="129">
        <v>376892.90737240075</v>
      </c>
      <c r="AJ231" s="129">
        <v>303143.28932038834</v>
      </c>
      <c r="AK231" s="129">
        <v>493385.3972150106</v>
      </c>
      <c r="AL231" s="129">
        <v>313463.79497261619</v>
      </c>
      <c r="AM231" s="129">
        <v>135329.86544265595</v>
      </c>
      <c r="AN231" s="129">
        <v>251893.50453391369</v>
      </c>
      <c r="AO231" s="129">
        <v>260935.4758495767</v>
      </c>
      <c r="AP231" s="129">
        <v>171303.92597046416</v>
      </c>
      <c r="AQ231" s="129">
        <v>216938.90980669649</v>
      </c>
      <c r="AR231" s="129">
        <v>259424.35510555227</v>
      </c>
      <c r="AS231" s="129">
        <v>601334.29444509558</v>
      </c>
      <c r="AT231" s="129">
        <v>736479.11420367984</v>
      </c>
      <c r="AU231" s="129">
        <v>771800</v>
      </c>
      <c r="AV231" s="129">
        <v>598326.62041485996</v>
      </c>
      <c r="AW231" s="129">
        <v>304176.1002578226</v>
      </c>
      <c r="AX231" s="129">
        <v>419069.24821282085</v>
      </c>
      <c r="AY231" s="129">
        <v>743697.53187624516</v>
      </c>
      <c r="AZ231" s="129">
        <v>681338.42364936136</v>
      </c>
      <c r="BA231" s="129">
        <v>810066.87214344309</v>
      </c>
      <c r="BB231" s="129">
        <v>730062.74293917732</v>
      </c>
      <c r="BC231" s="129">
        <v>1017355.5888762391</v>
      </c>
      <c r="BD231" s="129">
        <v>1159157.5712527833</v>
      </c>
      <c r="BE231" s="129">
        <v>942003.50626977615</v>
      </c>
      <c r="BF231" s="129">
        <v>928168.2057306926</v>
      </c>
      <c r="BG231" s="129">
        <v>767157.38931208255</v>
      </c>
      <c r="BH231" s="129">
        <v>1172992.8717918668</v>
      </c>
      <c r="BI231" s="129">
        <v>2111788.1924293917</v>
      </c>
      <c r="BJ231" s="129">
        <v>5086043.8738283692</v>
      </c>
      <c r="BK231" s="129">
        <v>4146151.077183431</v>
      </c>
      <c r="BL231" s="129">
        <v>3994009.0462831198</v>
      </c>
      <c r="BM231" s="129">
        <v>3157231.1085259737</v>
      </c>
      <c r="BN231" s="129">
        <v>3382217.2720218552</v>
      </c>
      <c r="BO231" s="129">
        <v>3646238.0301493416</v>
      </c>
      <c r="BP231" s="129">
        <v>4192479.737699436</v>
      </c>
      <c r="BQ231" s="129">
        <v>4385612.9686380345</v>
      </c>
      <c r="BR231" s="129">
        <v>3278764.1607415052</v>
      </c>
      <c r="BS231" s="129">
        <v>3122622.7601543684</v>
      </c>
      <c r="BT231" s="129">
        <v>2824009.4035381554</v>
      </c>
      <c r="BU231" s="129">
        <v>2927903.2874052366</v>
      </c>
      <c r="BV231" s="129">
        <v>3066014.855725443</v>
      </c>
      <c r="BW231" s="129">
        <v>3170937.3402007339</v>
      </c>
      <c r="BX231" s="129">
        <v>2985187.7052210588</v>
      </c>
      <c r="BY231" s="129">
        <v>3507227.0969264489</v>
      </c>
      <c r="BZ231" s="129">
        <v>3413150.9907794497</v>
      </c>
      <c r="CA231" s="129">
        <v>3847489.6572665935</v>
      </c>
      <c r="CB231" s="129">
        <v>4225936.1360460501</v>
      </c>
      <c r="CC231" s="129">
        <v>3867064.9526926023</v>
      </c>
      <c r="CD231" s="129">
        <v>3538447.2631022669</v>
      </c>
      <c r="CE231" s="129">
        <v>3821897.844474595</v>
      </c>
      <c r="CF231" s="129">
        <v>3981646.7165057207</v>
      </c>
      <c r="CG231" s="129">
        <v>4688989.7629824821</v>
      </c>
      <c r="CH231" s="129">
        <v>4482792.6928629912</v>
      </c>
      <c r="CI231" s="129">
        <v>4225396.7124858266</v>
      </c>
      <c r="CJ231" s="129">
        <v>3587775.2582462346</v>
      </c>
      <c r="CK231" s="129">
        <v>3381716.0610245932</v>
      </c>
      <c r="CL231" s="129">
        <v>3443584.4608201766</v>
      </c>
      <c r="CM231" s="129">
        <v>3991782.7244699961</v>
      </c>
      <c r="CN231" s="129">
        <v>4065120.8979366431</v>
      </c>
      <c r="CO231" s="129">
        <v>4114268.7839523191</v>
      </c>
      <c r="CP231" s="129">
        <v>6086064.259233186</v>
      </c>
      <c r="CQ231" s="129">
        <v>7176374.4608418802</v>
      </c>
      <c r="CR231" s="129">
        <v>7065678.4770377735</v>
      </c>
      <c r="CS231" s="129">
        <v>7055954.8861356722</v>
      </c>
      <c r="CT231" s="129">
        <f t="shared" ref="CT231:DQ231" si="711">CT241</f>
        <v>5433584.5608079741</v>
      </c>
      <c r="CU231" s="129">
        <f t="shared" si="711"/>
        <v>5488885.7225530231</v>
      </c>
      <c r="CV231" s="129">
        <f t="shared" si="711"/>
        <v>5484959.0128433155</v>
      </c>
      <c r="CW231" s="129">
        <f t="shared" si="711"/>
        <v>5567747.142556319</v>
      </c>
      <c r="CX231" s="129">
        <f t="shared" si="711"/>
        <v>5246411.397978575</v>
      </c>
      <c r="CY231" s="129">
        <f t="shared" si="711"/>
        <v>5739213.4665468866</v>
      </c>
      <c r="CZ231" s="129">
        <f t="shared" si="711"/>
        <v>5580508.9491128679</v>
      </c>
      <c r="DA231" s="129">
        <f t="shared" si="711"/>
        <v>5593597.9814785598</v>
      </c>
      <c r="DB231" s="129">
        <f t="shared" si="711"/>
        <v>6866179.1532329842</v>
      </c>
      <c r="DC231" s="129">
        <f t="shared" si="711"/>
        <v>7398248.3188983724</v>
      </c>
      <c r="DD231" s="129">
        <f t="shared" si="711"/>
        <v>6342617.8586052964</v>
      </c>
      <c r="DE231" s="129">
        <f t="shared" si="711"/>
        <v>6853744.5724855755</v>
      </c>
      <c r="DF231" s="129">
        <f t="shared" si="711"/>
        <v>6561053.3571756277</v>
      </c>
      <c r="DG231" s="129">
        <f t="shared" si="711"/>
        <v>6627829.509982775</v>
      </c>
      <c r="DH231" s="129">
        <f t="shared" si="711"/>
        <v>6623088.0080083031</v>
      </c>
      <c r="DI231" s="129">
        <f t="shared" si="711"/>
        <v>6723054.6746367542</v>
      </c>
      <c r="DJ231" s="129">
        <f t="shared" si="711"/>
        <v>6335041.763059129</v>
      </c>
      <c r="DK231" s="129">
        <f t="shared" si="711"/>
        <v>6930100.2608553646</v>
      </c>
      <c r="DL231" s="129">
        <f t="shared" si="711"/>
        <v>6738464.5560537884</v>
      </c>
      <c r="DM231" s="129">
        <f t="shared" si="711"/>
        <v>6754269.5626353612</v>
      </c>
      <c r="DN231" s="129">
        <f t="shared" si="711"/>
        <v>8290911.3275288269</v>
      </c>
      <c r="DO231" s="129">
        <f t="shared" si="711"/>
        <v>8933384.8450697828</v>
      </c>
      <c r="DP231" s="129">
        <f t="shared" si="711"/>
        <v>7658711.0642658947</v>
      </c>
      <c r="DQ231" s="129">
        <f t="shared" si="711"/>
        <v>8275896.5712763332</v>
      </c>
      <c r="DR231" s="129">
        <f t="shared" ref="DR231:EC231" si="712">DR241</f>
        <v>7922471.9287895709</v>
      </c>
      <c r="DS231" s="129">
        <f t="shared" si="712"/>
        <v>8003104.1333042011</v>
      </c>
      <c r="DT231" s="129">
        <f t="shared" si="712"/>
        <v>7997378.7696700273</v>
      </c>
      <c r="DU231" s="129">
        <f t="shared" si="712"/>
        <v>8118088.5196238821</v>
      </c>
      <c r="DV231" s="129">
        <f t="shared" si="712"/>
        <v>7649562.9288938968</v>
      </c>
      <c r="DW231" s="129">
        <f t="shared" si="712"/>
        <v>8368096.0649828529</v>
      </c>
      <c r="DX231" s="129">
        <f t="shared" si="712"/>
        <v>8136695.9514349485</v>
      </c>
      <c r="DY231" s="129">
        <f t="shared" si="712"/>
        <v>8155780.4968821984</v>
      </c>
      <c r="DZ231" s="129">
        <f t="shared" si="712"/>
        <v>10011275.427991061</v>
      </c>
      <c r="EA231" s="129">
        <f t="shared" si="712"/>
        <v>10787062.200421764</v>
      </c>
      <c r="EB231" s="129">
        <f t="shared" si="712"/>
        <v>9247893.6101010665</v>
      </c>
      <c r="EC231" s="129">
        <f t="shared" si="712"/>
        <v>9993145.1098161712</v>
      </c>
      <c r="ED231" s="113" t="s">
        <v>1</v>
      </c>
    </row>
    <row r="232" spans="1:134" x14ac:dyDescent="0.2">
      <c r="A232" s="698" t="s">
        <v>159</v>
      </c>
      <c r="B232" s="115"/>
      <c r="C232" s="115"/>
      <c r="D232" s="115"/>
      <c r="E232" s="115"/>
      <c r="F232" s="115"/>
      <c r="G232" s="115"/>
      <c r="H232" s="115"/>
      <c r="I232" s="115"/>
      <c r="J232" s="115"/>
      <c r="K232" s="129">
        <v>15568.628923437964</v>
      </c>
      <c r="L232" s="129">
        <v>85663.243636363637</v>
      </c>
      <c r="M232" s="129">
        <v>382340.9826520913</v>
      </c>
      <c r="N232" s="129">
        <v>538020.55151826353</v>
      </c>
      <c r="O232" s="129">
        <v>564032.22375981079</v>
      </c>
      <c r="P232" s="129">
        <v>446134.59076625569</v>
      </c>
      <c r="Q232" s="129">
        <v>749822.2221554186</v>
      </c>
      <c r="R232" s="129">
        <v>989229.19615085539</v>
      </c>
      <c r="S232" s="129">
        <v>1283618.0757946211</v>
      </c>
      <c r="T232" s="129">
        <v>1370773.2570754716</v>
      </c>
      <c r="U232" s="129">
        <v>1048339.8343014368</v>
      </c>
      <c r="V232" s="129">
        <v>893215.26018207951</v>
      </c>
      <c r="W232" s="129">
        <v>1228177.6356083085</v>
      </c>
      <c r="X232" s="129">
        <v>845183.63251192356</v>
      </c>
      <c r="Y232" s="129">
        <v>1318998.7783192834</v>
      </c>
      <c r="Z232" s="129">
        <v>0</v>
      </c>
      <c r="AA232" s="129">
        <v>1464507.4423509934</v>
      </c>
      <c r="AB232" s="129">
        <v>600742.29096382798</v>
      </c>
      <c r="AC232" s="129">
        <v>403954.50054364855</v>
      </c>
      <c r="AD232" s="129">
        <v>369727.89888100367</v>
      </c>
      <c r="AE232" s="129">
        <v>405136.8293854699</v>
      </c>
      <c r="AF232" s="129">
        <v>539363.17657235882</v>
      </c>
      <c r="AG232" s="129">
        <v>366823.18091212033</v>
      </c>
      <c r="AH232" s="129">
        <v>406938.32355212356</v>
      </c>
      <c r="AI232" s="129">
        <v>305610.73832174978</v>
      </c>
      <c r="AJ232" s="129">
        <v>381173.05495635391</v>
      </c>
      <c r="AK232" s="129">
        <v>602108.10086294205</v>
      </c>
      <c r="AL232" s="129">
        <v>710101.97799174604</v>
      </c>
      <c r="AM232" s="129">
        <v>665033.44243797672</v>
      </c>
      <c r="AN232" s="129">
        <v>713180.9285134665</v>
      </c>
      <c r="AO232" s="129">
        <v>479273.27202764107</v>
      </c>
      <c r="AP232" s="129">
        <v>283349.72747481911</v>
      </c>
      <c r="AQ232" s="129">
        <v>262188.81830425095</v>
      </c>
      <c r="AR232" s="129">
        <v>394646.28787014034</v>
      </c>
      <c r="AS232" s="129">
        <v>749986.92101268889</v>
      </c>
      <c r="AT232" s="129">
        <v>816324.48702325579</v>
      </c>
      <c r="AU232" s="129">
        <v>531251.34608587041</v>
      </c>
      <c r="AV232" s="129">
        <v>638624.62485212064</v>
      </c>
      <c r="AW232" s="129">
        <v>322209.17891599756</v>
      </c>
      <c r="AX232" s="129">
        <v>530048.30561189994</v>
      </c>
      <c r="AY232" s="129">
        <v>933413.51376925083</v>
      </c>
      <c r="AZ232" s="129">
        <v>818803.64164582931</v>
      </c>
      <c r="BA232" s="129">
        <v>981217.42448018573</v>
      </c>
      <c r="BB232" s="129">
        <v>1116917.5856901915</v>
      </c>
      <c r="BC232" s="129">
        <v>1663423.5286301058</v>
      </c>
      <c r="BD232" s="129">
        <v>2094025.3199830086</v>
      </c>
      <c r="BE232" s="129">
        <v>1704440.9484638164</v>
      </c>
      <c r="BF232" s="129">
        <v>1332455.5567386134</v>
      </c>
      <c r="BG232" s="129">
        <v>1068434.843163176</v>
      </c>
      <c r="BH232" s="129">
        <v>1546686.7080416267</v>
      </c>
      <c r="BI232" s="129">
        <v>1891508.519107396</v>
      </c>
      <c r="BJ232" s="129">
        <v>2266292.5404363549</v>
      </c>
      <c r="BK232" s="129">
        <v>2002424.6751247968</v>
      </c>
      <c r="BL232" s="129">
        <v>2469046.4370414023</v>
      </c>
      <c r="BM232" s="129">
        <v>1389909.5855348348</v>
      </c>
      <c r="BN232" s="129">
        <v>2501764.5440050941</v>
      </c>
      <c r="BO232" s="129">
        <v>2641347.3746356852</v>
      </c>
      <c r="BP232" s="129">
        <v>3981737.9861472272</v>
      </c>
      <c r="BQ232" s="129">
        <v>3561407.5497863316</v>
      </c>
      <c r="BR232" s="129">
        <v>3151406.4990010741</v>
      </c>
      <c r="BS232" s="129">
        <v>3390393.9233157048</v>
      </c>
      <c r="BT232" s="129">
        <v>2930516.9060635068</v>
      </c>
      <c r="BU232" s="129">
        <v>2909476.2131884387</v>
      </c>
      <c r="BV232" s="129">
        <v>2655033.8735007276</v>
      </c>
      <c r="BW232" s="129">
        <v>2603337.8814277602</v>
      </c>
      <c r="BX232" s="129">
        <v>2667382.4628141359</v>
      </c>
      <c r="BY232" s="129">
        <v>2820339.8094923422</v>
      </c>
      <c r="BZ232" s="129">
        <v>3289413.8405080615</v>
      </c>
      <c r="CA232" s="129">
        <v>3714502.9566830196</v>
      </c>
      <c r="CB232" s="129">
        <v>3417047.1999027701</v>
      </c>
      <c r="CC232" s="129">
        <v>3319254.4502193797</v>
      </c>
      <c r="CD232" s="129">
        <v>3753461.3363344972</v>
      </c>
      <c r="CE232" s="129">
        <v>4094753.1605177545</v>
      </c>
      <c r="CF232" s="129">
        <v>4108366.2585280221</v>
      </c>
      <c r="CG232" s="129">
        <v>4481952.9015162522</v>
      </c>
      <c r="CH232" s="129">
        <v>4505712.4982939204</v>
      </c>
      <c r="CI232" s="129">
        <v>4181920.5074814754</v>
      </c>
      <c r="CJ232" s="129">
        <v>5167959.7952254694</v>
      </c>
      <c r="CK232" s="129">
        <v>5507651.6027820837</v>
      </c>
      <c r="CL232" s="129">
        <v>6340876.2384895096</v>
      </c>
      <c r="CM232" s="129">
        <v>7405886.048072191</v>
      </c>
      <c r="CN232" s="129">
        <v>7376360.8714768989</v>
      </c>
      <c r="CO232" s="129">
        <v>7369461.1715008719</v>
      </c>
      <c r="CP232" s="129">
        <v>6838082.4219234623</v>
      </c>
      <c r="CQ232" s="129">
        <v>7336439.4941596892</v>
      </c>
      <c r="CR232" s="129">
        <v>6534929.4932712689</v>
      </c>
      <c r="CS232" s="129">
        <v>6526771.5842954582</v>
      </c>
      <c r="CT232" s="129">
        <f t="shared" ref="CT232:DQ232" si="713">CT242</f>
        <v>6166987.2949327184</v>
      </c>
      <c r="CU232" s="129">
        <f t="shared" si="713"/>
        <v>6229752.7783921352</v>
      </c>
      <c r="CV232" s="129">
        <f t="shared" si="713"/>
        <v>6225296.0576731227</v>
      </c>
      <c r="CW232" s="129">
        <f t="shared" si="713"/>
        <v>6319258.5861656247</v>
      </c>
      <c r="CX232" s="129">
        <f t="shared" si="713"/>
        <v>5954550.2739931494</v>
      </c>
      <c r="CY232" s="129">
        <f t="shared" si="713"/>
        <v>6513868.724229143</v>
      </c>
      <c r="CZ232" s="129">
        <f t="shared" si="713"/>
        <v>6333742.9285024125</v>
      </c>
      <c r="DA232" s="129">
        <f t="shared" si="713"/>
        <v>6348598.6642324524</v>
      </c>
      <c r="DB232" s="129">
        <f t="shared" si="713"/>
        <v>7792947.5705855582</v>
      </c>
      <c r="DC232" s="129">
        <f t="shared" si="713"/>
        <v>8396833.2280116715</v>
      </c>
      <c r="DD232" s="129">
        <f t="shared" si="713"/>
        <v>7198718.141383972</v>
      </c>
      <c r="DE232" s="129">
        <f t="shared" si="713"/>
        <v>7778834.6216420205</v>
      </c>
      <c r="DF232" s="129">
        <f t="shared" si="713"/>
        <v>7304796.4508478036</v>
      </c>
      <c r="DG232" s="129">
        <f t="shared" si="713"/>
        <v>7379142.1660054838</v>
      </c>
      <c r="DH232" s="129">
        <f t="shared" si="713"/>
        <v>7373863.1803138154</v>
      </c>
      <c r="DI232" s="129">
        <f t="shared" si="713"/>
        <v>7485161.7953131814</v>
      </c>
      <c r="DJ232" s="129">
        <f t="shared" si="713"/>
        <v>7053164.7995448858</v>
      </c>
      <c r="DK232" s="129">
        <f t="shared" si="713"/>
        <v>7715677.5038494198</v>
      </c>
      <c r="DL232" s="129">
        <f t="shared" si="713"/>
        <v>7502318.4988111071</v>
      </c>
      <c r="DM232" s="129">
        <f t="shared" si="713"/>
        <v>7519915.1177833397</v>
      </c>
      <c r="DN232" s="129">
        <f t="shared" si="713"/>
        <v>9230746.3973585945</v>
      </c>
      <c r="DO232" s="129">
        <f t="shared" si="713"/>
        <v>9946048.9585798252</v>
      </c>
      <c r="DP232" s="129">
        <f t="shared" si="713"/>
        <v>8526881.6384693142</v>
      </c>
      <c r="DQ232" s="129">
        <f t="shared" si="713"/>
        <v>9214029.6093349736</v>
      </c>
      <c r="DR232" s="129">
        <f t="shared" ref="DR232:EC232" si="714">DR242</f>
        <v>8652531.3960292246</v>
      </c>
      <c r="DS232" s="129">
        <f t="shared" si="714"/>
        <v>8740593.8956334963</v>
      </c>
      <c r="DT232" s="129">
        <f t="shared" si="714"/>
        <v>8734340.9370817151</v>
      </c>
      <c r="DU232" s="129">
        <f t="shared" si="714"/>
        <v>8866174.1465484649</v>
      </c>
      <c r="DV232" s="129">
        <f t="shared" si="714"/>
        <v>8354473.7050609179</v>
      </c>
      <c r="DW232" s="129">
        <f t="shared" si="714"/>
        <v>9139220.0033096392</v>
      </c>
      <c r="DX232" s="129">
        <f t="shared" si="714"/>
        <v>8886496.2618417572</v>
      </c>
      <c r="DY232" s="129">
        <f t="shared" si="714"/>
        <v>8907339.4570143651</v>
      </c>
      <c r="DZ232" s="129">
        <f t="shared" si="714"/>
        <v>10933819.107671257</v>
      </c>
      <c r="EA232" s="129">
        <f t="shared" si="714"/>
        <v>11781094.991437804</v>
      </c>
      <c r="EB232" s="129">
        <f t="shared" si="714"/>
        <v>10100091.300766902</v>
      </c>
      <c r="EC232" s="129">
        <f t="shared" si="714"/>
        <v>10914018.072257275</v>
      </c>
      <c r="ED232" s="113" t="s">
        <v>1</v>
      </c>
    </row>
    <row r="233" spans="1:134" x14ac:dyDescent="0.2">
      <c r="A233" s="698" t="s">
        <v>26</v>
      </c>
      <c r="B233" s="115"/>
      <c r="C233" s="115"/>
      <c r="D233" s="115"/>
      <c r="E233" s="115"/>
      <c r="F233" s="115"/>
      <c r="G233" s="115"/>
      <c r="H233" s="115"/>
      <c r="I233" s="115"/>
      <c r="J233" s="115"/>
      <c r="K233" s="129">
        <v>15258.29744793196</v>
      </c>
      <c r="L233" s="129">
        <v>61693.518641358693</v>
      </c>
      <c r="M233" s="129">
        <v>250476.28496740916</v>
      </c>
      <c r="N233" s="129">
        <v>201311.55513831862</v>
      </c>
      <c r="O233" s="129">
        <v>492915.22847852128</v>
      </c>
      <c r="P233" s="129">
        <v>467710.58423978853</v>
      </c>
      <c r="Q233" s="129">
        <v>617317.64497219305</v>
      </c>
      <c r="R233" s="129">
        <v>1060973.874222395</v>
      </c>
      <c r="S233" s="129">
        <v>1172557.9545930843</v>
      </c>
      <c r="T233" s="129">
        <v>1293869.6108490566</v>
      </c>
      <c r="U233" s="129">
        <v>889853.05839192914</v>
      </c>
      <c r="V233" s="129">
        <v>801452.84235745098</v>
      </c>
      <c r="W233" s="129">
        <v>989924.2207715133</v>
      </c>
      <c r="X233" s="129">
        <v>653305.63910969789</v>
      </c>
      <c r="Y233" s="129">
        <v>927545.00790305575</v>
      </c>
      <c r="Z233" s="129">
        <v>0</v>
      </c>
      <c r="AA233" s="129">
        <v>1099848.9006622517</v>
      </c>
      <c r="AB233" s="129">
        <v>697389.84485006519</v>
      </c>
      <c r="AC233" s="129">
        <v>488624.05678421998</v>
      </c>
      <c r="AD233" s="129">
        <v>436809.31879375339</v>
      </c>
      <c r="AE233" s="129">
        <v>406040.02636916836</v>
      </c>
      <c r="AF233" s="129">
        <v>571328.19082926831</v>
      </c>
      <c r="AG233" s="129">
        <v>359005.6166809483</v>
      </c>
      <c r="AH233" s="129">
        <v>393218.86023166019</v>
      </c>
      <c r="AI233" s="129">
        <v>279462.14472608338</v>
      </c>
      <c r="AJ233" s="129">
        <v>383282.02957244654</v>
      </c>
      <c r="AK233" s="129">
        <v>625577.23801607091</v>
      </c>
      <c r="AL233" s="129">
        <v>696008.04147157189</v>
      </c>
      <c r="AM233" s="129">
        <v>646596.12645717186</v>
      </c>
      <c r="AN233" s="129">
        <v>478368.85035565699</v>
      </c>
      <c r="AO233" s="129">
        <v>309076.8548039638</v>
      </c>
      <c r="AP233" s="129">
        <v>203117.79699478686</v>
      </c>
      <c r="AQ233" s="129">
        <v>202003.2164790174</v>
      </c>
      <c r="AR233" s="129">
        <v>208469.02647105724</v>
      </c>
      <c r="AS233" s="129">
        <v>394677.50587458751</v>
      </c>
      <c r="AT233" s="129">
        <v>440174.80213527306</v>
      </c>
      <c r="AU233" s="129">
        <v>396170.23885145976</v>
      </c>
      <c r="AV233" s="129">
        <v>362070.30381479871</v>
      </c>
      <c r="AW233" s="129">
        <v>173854.69073879067</v>
      </c>
      <c r="AX233" s="129">
        <v>311958.28938471945</v>
      </c>
      <c r="AY233" s="129">
        <v>575338.17273557815</v>
      </c>
      <c r="AZ233" s="129">
        <v>759371.01311303431</v>
      </c>
      <c r="BA233" s="129">
        <v>906829.54628901125</v>
      </c>
      <c r="BB233" s="129">
        <v>951859.42609943787</v>
      </c>
      <c r="BC233" s="129">
        <v>1297474.9822381386</v>
      </c>
      <c r="BD233" s="129">
        <v>1753947.3871949709</v>
      </c>
      <c r="BE233" s="129">
        <v>1468280.3459373238</v>
      </c>
      <c r="BF233" s="129">
        <v>1198213.1680612466</v>
      </c>
      <c r="BG233" s="129">
        <v>949970.0309057564</v>
      </c>
      <c r="BH233" s="129">
        <v>1484193.7377561745</v>
      </c>
      <c r="BI233" s="129">
        <v>1947039.5409268292</v>
      </c>
      <c r="BJ233" s="129">
        <v>2460292.120979276</v>
      </c>
      <c r="BK233" s="129">
        <v>2387984.9617390623</v>
      </c>
      <c r="BL233" s="129">
        <v>2552834.4693151573</v>
      </c>
      <c r="BM233" s="129">
        <v>1688311.5095988791</v>
      </c>
      <c r="BN233" s="129">
        <v>2627708.6764174467</v>
      </c>
      <c r="BO233" s="129">
        <v>2827976.9618800394</v>
      </c>
      <c r="BP233" s="129">
        <v>3068407.9053024724</v>
      </c>
      <c r="BQ233" s="129">
        <v>3434601.8202034058</v>
      </c>
      <c r="BR233" s="129">
        <v>2612234.7805886399</v>
      </c>
      <c r="BS233" s="129">
        <v>2608919.5679307701</v>
      </c>
      <c r="BT233" s="129">
        <v>2246418.7469317396</v>
      </c>
      <c r="BU233" s="129">
        <v>2136964.9230026691</v>
      </c>
      <c r="BV233" s="129">
        <v>1834152.8441221269</v>
      </c>
      <c r="BW233" s="129">
        <v>2198272.1512224623</v>
      </c>
      <c r="BX233" s="129">
        <v>2406501.424273747</v>
      </c>
      <c r="BY233" s="129">
        <v>2533847.7859668895</v>
      </c>
      <c r="BZ233" s="129">
        <v>2613834.8727828166</v>
      </c>
      <c r="CA233" s="129">
        <v>2843130.5115795624</v>
      </c>
      <c r="CB233" s="129">
        <v>2541501.3506709766</v>
      </c>
      <c r="CC233" s="129">
        <v>2268982.3143141023</v>
      </c>
      <c r="CD233" s="129">
        <v>2589577.6755605452</v>
      </c>
      <c r="CE233" s="129">
        <v>2674753.8227745765</v>
      </c>
      <c r="CF233" s="129">
        <v>2644398.9575792425</v>
      </c>
      <c r="CG233" s="129">
        <v>2886410.9966640742</v>
      </c>
      <c r="CH233" s="129">
        <v>2938380.819976768</v>
      </c>
      <c r="CI233" s="129">
        <v>2760714.8516978077</v>
      </c>
      <c r="CJ233" s="129">
        <v>3034225.4631983824</v>
      </c>
      <c r="CK233" s="129">
        <v>3531875.8095636084</v>
      </c>
      <c r="CL233" s="129">
        <v>3907048.0811027349</v>
      </c>
      <c r="CM233" s="129">
        <v>4315523.0835891524</v>
      </c>
      <c r="CN233" s="129">
        <v>4219898.3779057097</v>
      </c>
      <c r="CO233" s="129">
        <v>4428637.9494896336</v>
      </c>
      <c r="CP233" s="129">
        <v>4055199.3330313554</v>
      </c>
      <c r="CQ233" s="129">
        <v>4309146.3037603898</v>
      </c>
      <c r="CR233" s="129">
        <v>3913899.1750564701</v>
      </c>
      <c r="CS233" s="129">
        <v>3891328.6038267845</v>
      </c>
      <c r="CT233" s="129">
        <f t="shared" ref="CT233:DQ233" si="715">CT243</f>
        <v>3689919.8015985824</v>
      </c>
      <c r="CU233" s="129">
        <f t="shared" si="715"/>
        <v>3727474.5409222892</v>
      </c>
      <c r="CV233" s="129">
        <f t="shared" si="715"/>
        <v>3724807.9322129139</v>
      </c>
      <c r="CW233" s="129">
        <f t="shared" si="715"/>
        <v>3781028.9325022511</v>
      </c>
      <c r="CX233" s="129">
        <f t="shared" si="715"/>
        <v>3562811.4531183415</v>
      </c>
      <c r="CY233" s="129">
        <f t="shared" si="715"/>
        <v>3897470.8461449882</v>
      </c>
      <c r="CZ233" s="129">
        <f t="shared" si="715"/>
        <v>3789695.4108077218</v>
      </c>
      <c r="DA233" s="129">
        <f t="shared" si="715"/>
        <v>3798584.1065056408</v>
      </c>
      <c r="DB233" s="129">
        <f t="shared" si="715"/>
        <v>4662787.5457358053</v>
      </c>
      <c r="DC233" s="129">
        <f t="shared" si="715"/>
        <v>5024113.025856209</v>
      </c>
      <c r="DD233" s="129">
        <f t="shared" si="715"/>
        <v>4307239.71781905</v>
      </c>
      <c r="DE233" s="129">
        <f t="shared" si="715"/>
        <v>4654343.2848227834</v>
      </c>
      <c r="DF233" s="129">
        <f t="shared" si="715"/>
        <v>4370710.0049935225</v>
      </c>
      <c r="DG233" s="129">
        <f t="shared" si="715"/>
        <v>4415193.5937224543</v>
      </c>
      <c r="DH233" s="129">
        <f t="shared" si="715"/>
        <v>4412034.9957061997</v>
      </c>
      <c r="DI233" s="129">
        <f t="shared" si="715"/>
        <v>4478628.7705489192</v>
      </c>
      <c r="DJ233" s="129">
        <f t="shared" si="715"/>
        <v>4220150.1662186785</v>
      </c>
      <c r="DK233" s="129">
        <f t="shared" si="715"/>
        <v>4616554.2172587421</v>
      </c>
      <c r="DL233" s="129">
        <f t="shared" si="715"/>
        <v>4488894.2141017504</v>
      </c>
      <c r="DM233" s="129">
        <f t="shared" si="715"/>
        <v>4499422.8741559358</v>
      </c>
      <c r="DN233" s="129">
        <f t="shared" si="715"/>
        <v>5523071.8479240667</v>
      </c>
      <c r="DO233" s="129">
        <f t="shared" si="715"/>
        <v>5951061.8791266857</v>
      </c>
      <c r="DP233" s="129">
        <f t="shared" si="715"/>
        <v>5101925.4457566692</v>
      </c>
      <c r="DQ233" s="129">
        <f t="shared" si="715"/>
        <v>5513069.6208725907</v>
      </c>
      <c r="DR233" s="129">
        <f t="shared" ref="DR233:EC233" si="716">DR243</f>
        <v>5177106.0009148298</v>
      </c>
      <c r="DS233" s="129">
        <f t="shared" si="716"/>
        <v>5229796.8117642496</v>
      </c>
      <c r="DT233" s="129">
        <f t="shared" si="716"/>
        <v>5226055.4524139948</v>
      </c>
      <c r="DU233" s="129">
        <f t="shared" si="716"/>
        <v>5304935.778715197</v>
      </c>
      <c r="DV233" s="129">
        <f t="shared" si="716"/>
        <v>4998767.871886027</v>
      </c>
      <c r="DW233" s="129">
        <f t="shared" si="716"/>
        <v>5468308.4703429816</v>
      </c>
      <c r="DX233" s="129">
        <f t="shared" si="716"/>
        <v>5317095.1966035236</v>
      </c>
      <c r="DY233" s="129">
        <f t="shared" si="716"/>
        <v>5329566.3944377052</v>
      </c>
      <c r="DZ233" s="129">
        <f t="shared" si="716"/>
        <v>6542078.6038660565</v>
      </c>
      <c r="EA233" s="129">
        <f t="shared" si="716"/>
        <v>7049032.7958255569</v>
      </c>
      <c r="EB233" s="129">
        <f t="shared" si="716"/>
        <v>6043230.690498773</v>
      </c>
      <c r="EC233" s="129">
        <f t="shared" si="716"/>
        <v>6530230.9659235831</v>
      </c>
      <c r="ED233" s="113" t="s">
        <v>1</v>
      </c>
    </row>
    <row r="234" spans="1:134" x14ac:dyDescent="0.2">
      <c r="A234" s="698" t="s">
        <v>182</v>
      </c>
      <c r="B234" s="115"/>
      <c r="C234" s="115"/>
      <c r="D234" s="115"/>
      <c r="E234" s="115"/>
      <c r="F234" s="115"/>
      <c r="G234" s="115"/>
      <c r="H234" s="115"/>
      <c r="I234" s="115"/>
      <c r="J234" s="115"/>
      <c r="K234" s="133">
        <f>K224/K219</f>
        <v>0.76342133878140828</v>
      </c>
      <c r="L234" s="133">
        <f t="shared" ref="L234:BW234" si="717">L224/L219</f>
        <v>0.73445983732299369</v>
      </c>
      <c r="M234" s="133">
        <f t="shared" si="717"/>
        <v>0.74450994258758207</v>
      </c>
      <c r="N234" s="133">
        <f t="shared" si="717"/>
        <v>0.82360641149575142</v>
      </c>
      <c r="O234" s="133">
        <f t="shared" si="717"/>
        <v>0.86044012758326793</v>
      </c>
      <c r="P234" s="133">
        <f t="shared" si="717"/>
        <v>0.88660988614987124</v>
      </c>
      <c r="Q234" s="133">
        <f t="shared" si="717"/>
        <v>0.86188447257607415</v>
      </c>
      <c r="R234" s="133">
        <f t="shared" si="717"/>
        <v>0.8737717143694953</v>
      </c>
      <c r="S234" s="133">
        <f t="shared" si="717"/>
        <v>0.9562695036482266</v>
      </c>
      <c r="T234" s="133">
        <f t="shared" si="717"/>
        <v>0.87746470479472849</v>
      </c>
      <c r="U234" s="133">
        <f t="shared" si="717"/>
        <v>1.0582614692087891</v>
      </c>
      <c r="V234" s="133">
        <f t="shared" si="717"/>
        <v>0.89329073338591736</v>
      </c>
      <c r="W234" s="133">
        <f t="shared" si="717"/>
        <v>1.0062441638702131</v>
      </c>
      <c r="X234" s="133">
        <f t="shared" si="717"/>
        <v>2.2637843485958187</v>
      </c>
      <c r="Y234" s="133">
        <f t="shared" si="717"/>
        <v>1.0759852301118003</v>
      </c>
      <c r="Z234" s="133">
        <f t="shared" si="717"/>
        <v>0.69682735556295738</v>
      </c>
      <c r="AA234" s="133">
        <f t="shared" si="717"/>
        <v>0.98583981066439796</v>
      </c>
      <c r="AB234" s="133">
        <f t="shared" si="717"/>
        <v>0.83016046842533076</v>
      </c>
      <c r="AC234" s="133">
        <f t="shared" si="717"/>
        <v>0.65237820420984916</v>
      </c>
      <c r="AD234" s="133">
        <f t="shared" si="717"/>
        <v>0.75566695950679963</v>
      </c>
      <c r="AE234" s="133">
        <f t="shared" si="717"/>
        <v>0.8036418261823276</v>
      </c>
      <c r="AF234" s="133">
        <f t="shared" si="717"/>
        <v>0.84412351684299847</v>
      </c>
      <c r="AG234" s="133">
        <f t="shared" si="717"/>
        <v>0.85791645337537792</v>
      </c>
      <c r="AH234" s="133">
        <f t="shared" si="717"/>
        <v>0.82292553893519993</v>
      </c>
      <c r="AI234" s="133">
        <f t="shared" si="717"/>
        <v>0.79588950006636383</v>
      </c>
      <c r="AJ234" s="133">
        <f t="shared" si="717"/>
        <v>0.76923026986348986</v>
      </c>
      <c r="AK234" s="133">
        <f t="shared" si="717"/>
        <v>0.82327400150769059</v>
      </c>
      <c r="AL234" s="133">
        <f t="shared" si="717"/>
        <v>0.83875767018598812</v>
      </c>
      <c r="AM234" s="133">
        <f t="shared" si="717"/>
        <v>0.89914382899075118</v>
      </c>
      <c r="AN234" s="133">
        <f t="shared" si="717"/>
        <v>0.88370311790483547</v>
      </c>
      <c r="AO234" s="133">
        <f t="shared" si="717"/>
        <v>0.82150938832803466</v>
      </c>
      <c r="AP234" s="133">
        <f t="shared" si="717"/>
        <v>0.83759765956057342</v>
      </c>
      <c r="AQ234" s="133">
        <f t="shared" si="717"/>
        <v>0.79539032012103861</v>
      </c>
      <c r="AR234" s="133">
        <f t="shared" si="717"/>
        <v>0.74885238994994796</v>
      </c>
      <c r="AS234" s="133">
        <f t="shared" si="717"/>
        <v>0.77623140518443678</v>
      </c>
      <c r="AT234" s="133">
        <f t="shared" si="717"/>
        <v>0.78282974193333976</v>
      </c>
      <c r="AU234" s="133">
        <f t="shared" si="717"/>
        <v>0.78183074578768486</v>
      </c>
      <c r="AV234" s="133">
        <f t="shared" si="717"/>
        <v>0.76970251986598881</v>
      </c>
      <c r="AW234" s="133">
        <f t="shared" si="717"/>
        <v>0.81361261352006897</v>
      </c>
      <c r="AX234" s="133">
        <f t="shared" si="717"/>
        <v>0.82651513391399878</v>
      </c>
      <c r="AY234" s="133">
        <f t="shared" si="717"/>
        <v>0.86213460893788474</v>
      </c>
      <c r="AZ234" s="133">
        <f t="shared" si="717"/>
        <v>0.86119066729644367</v>
      </c>
      <c r="BA234" s="133">
        <f t="shared" si="717"/>
        <v>0.88842170198624482</v>
      </c>
      <c r="BB234" s="133">
        <f t="shared" si="717"/>
        <v>0.90299337544659308</v>
      </c>
      <c r="BC234" s="133">
        <f t="shared" si="717"/>
        <v>0.88490011409024849</v>
      </c>
      <c r="BD234" s="133">
        <f t="shared" si="717"/>
        <v>0.86090860016279702</v>
      </c>
      <c r="BE234" s="133">
        <f t="shared" si="717"/>
        <v>0.84974827539723818</v>
      </c>
      <c r="BF234" s="133">
        <f t="shared" si="717"/>
        <v>0.85378041631814816</v>
      </c>
      <c r="BG234" s="133">
        <f t="shared" si="717"/>
        <v>0.83753615699608619</v>
      </c>
      <c r="BH234" s="133">
        <f t="shared" si="717"/>
        <v>0.84029944370782927</v>
      </c>
      <c r="BI234" s="133">
        <f t="shared" si="717"/>
        <v>0.84856764972977117</v>
      </c>
      <c r="BJ234" s="133">
        <f t="shared" si="717"/>
        <v>0.88329932040341641</v>
      </c>
      <c r="BK234" s="133">
        <f t="shared" si="717"/>
        <v>0.86790254785174037</v>
      </c>
      <c r="BL234" s="133">
        <f t="shared" si="717"/>
        <v>0.85612682706768317</v>
      </c>
      <c r="BM234" s="133">
        <f t="shared" si="717"/>
        <v>0.85486287060303645</v>
      </c>
      <c r="BN234" s="133">
        <f t="shared" si="717"/>
        <v>0.85210452316841545</v>
      </c>
      <c r="BO234" s="133">
        <f t="shared" si="717"/>
        <v>0.89759715563563769</v>
      </c>
      <c r="BP234" s="133">
        <f t="shared" si="717"/>
        <v>0.87533346799449396</v>
      </c>
      <c r="BQ234" s="133">
        <f t="shared" si="717"/>
        <v>0.85857491822130994</v>
      </c>
      <c r="BR234" s="133">
        <f t="shared" si="717"/>
        <v>0.84407383887769016</v>
      </c>
      <c r="BS234" s="133">
        <f t="shared" si="717"/>
        <v>0.83165655021850304</v>
      </c>
      <c r="BT234" s="133">
        <f t="shared" si="717"/>
        <v>0.7951765010339702</v>
      </c>
      <c r="BU234" s="133">
        <f t="shared" si="717"/>
        <v>0.80266929785031993</v>
      </c>
      <c r="BV234" s="133">
        <f t="shared" si="717"/>
        <v>0.81403066073801522</v>
      </c>
      <c r="BW234" s="133">
        <f t="shared" si="717"/>
        <v>0.81625186902434177</v>
      </c>
      <c r="BX234" s="133">
        <f t="shared" ref="BX234:DQ234" si="718">BX224/BX219</f>
        <v>0.7957989340413173</v>
      </c>
      <c r="BY234" s="133">
        <f t="shared" si="718"/>
        <v>0.81111500415190996</v>
      </c>
      <c r="BZ234" s="133">
        <f t="shared" si="718"/>
        <v>0.81302419133502934</v>
      </c>
      <c r="CA234" s="133">
        <f t="shared" si="718"/>
        <v>0.81786422986258878</v>
      </c>
      <c r="CB234" s="133">
        <f t="shared" si="718"/>
        <v>0.80607620155383763</v>
      </c>
      <c r="CC234" s="133">
        <f t="shared" si="718"/>
        <v>0.80507405851343505</v>
      </c>
      <c r="CD234" s="133">
        <f t="shared" si="718"/>
        <v>0.81880096137899805</v>
      </c>
      <c r="CE234" s="133">
        <f t="shared" si="718"/>
        <v>0.82128261244720924</v>
      </c>
      <c r="CF234" s="133">
        <f t="shared" si="718"/>
        <v>0.83614108563712486</v>
      </c>
      <c r="CG234" s="133">
        <f t="shared" si="718"/>
        <v>0.82325193580835565</v>
      </c>
      <c r="CH234" s="133">
        <f t="shared" si="718"/>
        <v>0.82574145523005926</v>
      </c>
      <c r="CI234" s="133">
        <f t="shared" si="718"/>
        <v>0.82003200988284497</v>
      </c>
      <c r="CJ234" s="133">
        <f t="shared" si="718"/>
        <v>0.81243236194982205</v>
      </c>
      <c r="CK234" s="133">
        <f t="shared" si="718"/>
        <v>0.80877089786995582</v>
      </c>
      <c r="CL234" s="133">
        <f t="shared" si="718"/>
        <v>0.80686361472918267</v>
      </c>
      <c r="CM234" s="133">
        <f t="shared" si="718"/>
        <v>0.84019615197520092</v>
      </c>
      <c r="CN234" s="133">
        <f t="shared" si="718"/>
        <v>0.83008020827813234</v>
      </c>
      <c r="CO234" s="133">
        <f t="shared" si="718"/>
        <v>0.83688807673721999</v>
      </c>
      <c r="CP234" s="133">
        <f t="shared" si="718"/>
        <v>0.84445776988040033</v>
      </c>
      <c r="CQ234" s="133">
        <f t="shared" si="718"/>
        <v>0.85140603587687469</v>
      </c>
      <c r="CR234" s="133">
        <f t="shared" si="718"/>
        <v>0.85919740931148436</v>
      </c>
      <c r="CS234" s="133">
        <f t="shared" si="718"/>
        <v>0.86067305325264021</v>
      </c>
      <c r="CT234" s="133">
        <f t="shared" si="718"/>
        <v>0.83181135349308655</v>
      </c>
      <c r="CU234" s="133">
        <f t="shared" si="718"/>
        <v>0.83181135349308655</v>
      </c>
      <c r="CV234" s="133">
        <f t="shared" si="718"/>
        <v>0.83181135349308644</v>
      </c>
      <c r="CW234" s="133">
        <f t="shared" si="718"/>
        <v>0.83181135349308655</v>
      </c>
      <c r="CX234" s="133">
        <f t="shared" si="718"/>
        <v>0.83181135349308655</v>
      </c>
      <c r="CY234" s="133">
        <f t="shared" si="718"/>
        <v>0.83181135349308666</v>
      </c>
      <c r="CZ234" s="133">
        <f t="shared" si="718"/>
        <v>0.83181135349308677</v>
      </c>
      <c r="DA234" s="133">
        <f t="shared" si="718"/>
        <v>0.83181135349308655</v>
      </c>
      <c r="DB234" s="133">
        <f t="shared" si="718"/>
        <v>0.83181135349308666</v>
      </c>
      <c r="DC234" s="133">
        <f t="shared" si="718"/>
        <v>0.83181135349308655</v>
      </c>
      <c r="DD234" s="133">
        <f t="shared" si="718"/>
        <v>0.83181135349308644</v>
      </c>
      <c r="DE234" s="133">
        <f t="shared" si="718"/>
        <v>0.83181135349308644</v>
      </c>
      <c r="DF234" s="133">
        <f t="shared" si="718"/>
        <v>0.8335305275439342</v>
      </c>
      <c r="DG234" s="133">
        <f t="shared" si="718"/>
        <v>0.83353052754393442</v>
      </c>
      <c r="DH234" s="133">
        <f t="shared" si="718"/>
        <v>0.8335305275439342</v>
      </c>
      <c r="DI234" s="133">
        <f t="shared" si="718"/>
        <v>0.8335305275439342</v>
      </c>
      <c r="DJ234" s="133">
        <f t="shared" si="718"/>
        <v>0.83353052754393431</v>
      </c>
      <c r="DK234" s="133">
        <f t="shared" si="718"/>
        <v>0.8335305275439342</v>
      </c>
      <c r="DL234" s="133">
        <f t="shared" si="718"/>
        <v>0.83353052754393431</v>
      </c>
      <c r="DM234" s="133">
        <f t="shared" si="718"/>
        <v>0.83353052754393431</v>
      </c>
      <c r="DN234" s="133">
        <f t="shared" si="718"/>
        <v>0.83353052754393409</v>
      </c>
      <c r="DO234" s="133">
        <f t="shared" si="718"/>
        <v>0.83353052754393431</v>
      </c>
      <c r="DP234" s="133">
        <f t="shared" si="718"/>
        <v>0.83353052754393431</v>
      </c>
      <c r="DQ234" s="133">
        <f t="shared" si="718"/>
        <v>0.8335305275439342</v>
      </c>
      <c r="DR234" s="133">
        <f t="shared" ref="DR234:EC234" si="719">DR224/DR219</f>
        <v>0.83528308361518655</v>
      </c>
      <c r="DS234" s="133">
        <f t="shared" si="719"/>
        <v>0.83528308361518655</v>
      </c>
      <c r="DT234" s="133">
        <f t="shared" si="719"/>
        <v>0.83528308361518633</v>
      </c>
      <c r="DU234" s="133">
        <f t="shared" si="719"/>
        <v>0.83528308361518644</v>
      </c>
      <c r="DV234" s="133">
        <f t="shared" si="719"/>
        <v>0.83528308361518655</v>
      </c>
      <c r="DW234" s="133">
        <f t="shared" si="719"/>
        <v>0.83528308361518644</v>
      </c>
      <c r="DX234" s="133">
        <f t="shared" si="719"/>
        <v>0.83528308361518655</v>
      </c>
      <c r="DY234" s="133">
        <f t="shared" si="719"/>
        <v>0.83528308361518655</v>
      </c>
      <c r="DZ234" s="133">
        <f t="shared" si="719"/>
        <v>0.83528308361518655</v>
      </c>
      <c r="EA234" s="133">
        <f t="shared" si="719"/>
        <v>0.83528308361518677</v>
      </c>
      <c r="EB234" s="133">
        <f t="shared" si="719"/>
        <v>0.83528308361518644</v>
      </c>
      <c r="EC234" s="133">
        <f t="shared" si="719"/>
        <v>0.83528308361518655</v>
      </c>
      <c r="ED234" s="113" t="s">
        <v>1</v>
      </c>
    </row>
    <row r="235" spans="1:134" x14ac:dyDescent="0.2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15"/>
      <c r="AL235" s="115"/>
      <c r="AM235" s="115"/>
      <c r="AN235" s="115"/>
      <c r="AO235" s="115"/>
      <c r="AP235" s="115"/>
      <c r="AQ235" s="115"/>
      <c r="AR235" s="115"/>
      <c r="AS235" s="115"/>
      <c r="AT235" s="115"/>
      <c r="AU235" s="115"/>
      <c r="AV235" s="115"/>
      <c r="AW235" s="115"/>
      <c r="AX235" s="115"/>
      <c r="AY235" s="115"/>
      <c r="AZ235" s="115"/>
      <c r="BA235" s="115"/>
      <c r="BB235" s="115"/>
      <c r="BC235" s="115"/>
      <c r="BD235" s="115"/>
      <c r="BE235" s="115"/>
      <c r="BF235" s="115"/>
      <c r="BG235" s="115"/>
      <c r="BH235" s="115"/>
      <c r="BI235" s="115"/>
      <c r="BJ235" s="115"/>
      <c r="BK235" s="115"/>
      <c r="BL235" s="115"/>
      <c r="BM235" s="115"/>
      <c r="BN235" s="115"/>
      <c r="BO235" s="115"/>
      <c r="BP235" s="115"/>
      <c r="BQ235" s="115"/>
      <c r="BR235" s="115"/>
      <c r="BS235" s="115"/>
      <c r="BT235" s="115"/>
      <c r="BU235" s="115"/>
      <c r="BV235" s="115"/>
      <c r="BW235" s="115"/>
      <c r="BX235" s="115"/>
      <c r="BY235" s="115"/>
      <c r="BZ235" s="115"/>
      <c r="CA235" s="115"/>
      <c r="CB235" s="115"/>
      <c r="CC235" s="115"/>
      <c r="CD235" s="115"/>
      <c r="CE235" s="115"/>
      <c r="CF235" s="115"/>
      <c r="CG235" s="115"/>
      <c r="CH235" s="115"/>
      <c r="CI235" s="115"/>
      <c r="CJ235" s="115"/>
      <c r="CK235" s="115"/>
      <c r="CL235" s="115"/>
      <c r="CM235" s="115"/>
      <c r="CN235" s="115"/>
      <c r="CO235" s="115"/>
      <c r="CP235" s="115"/>
      <c r="CQ235" s="115"/>
      <c r="CR235" s="115"/>
      <c r="CS235" s="115"/>
      <c r="CT235" s="115"/>
      <c r="CU235" s="115"/>
      <c r="CV235" s="115"/>
      <c r="CW235" s="115"/>
      <c r="CX235" s="115"/>
      <c r="CY235" s="115"/>
      <c r="CZ235" s="115"/>
      <c r="DA235" s="115"/>
      <c r="DB235" s="115"/>
      <c r="DC235" s="115"/>
      <c r="DD235" s="115"/>
      <c r="DE235" s="115"/>
      <c r="DF235" s="115"/>
      <c r="DG235" s="115"/>
      <c r="DH235" s="115"/>
      <c r="DI235" s="115"/>
      <c r="DJ235" s="115"/>
      <c r="DK235" s="115"/>
      <c r="DL235" s="115"/>
      <c r="DM235" s="115"/>
      <c r="DN235" s="115"/>
      <c r="DO235" s="115"/>
      <c r="DP235" s="115"/>
      <c r="DQ235" s="115"/>
      <c r="DR235" s="115"/>
      <c r="DS235" s="115"/>
      <c r="DT235" s="115"/>
      <c r="DU235" s="115"/>
      <c r="DV235" s="115"/>
      <c r="DW235" s="115"/>
      <c r="DX235" s="115"/>
      <c r="DY235" s="115"/>
      <c r="DZ235" s="115"/>
      <c r="EA235" s="115"/>
      <c r="EB235" s="115"/>
      <c r="EC235" s="645"/>
      <c r="ED235" s="113" t="s">
        <v>1</v>
      </c>
    </row>
    <row r="236" spans="1:134" x14ac:dyDescent="0.2">
      <c r="A236" s="712" t="s">
        <v>132</v>
      </c>
      <c r="B236" s="115"/>
      <c r="C236" s="115"/>
      <c r="D236" s="115"/>
      <c r="E236" s="115"/>
      <c r="F236" s="115"/>
      <c r="G236" s="115"/>
      <c r="H236" s="115"/>
      <c r="I236" s="115"/>
      <c r="J236" s="115"/>
      <c r="K236" s="131">
        <f>SUM(K237:K243)</f>
        <v>0</v>
      </c>
      <c r="L236" s="131">
        <f t="shared" ref="L236:BW236" si="720">SUM(L237:L243)</f>
        <v>0</v>
      </c>
      <c r="M236" s="131">
        <f t="shared" si="720"/>
        <v>0</v>
      </c>
      <c r="N236" s="131">
        <f t="shared" si="720"/>
        <v>0</v>
      </c>
      <c r="O236" s="131">
        <f t="shared" si="720"/>
        <v>0</v>
      </c>
      <c r="P236" s="131">
        <f t="shared" si="720"/>
        <v>0</v>
      </c>
      <c r="Q236" s="131">
        <f t="shared" si="720"/>
        <v>0</v>
      </c>
      <c r="R236" s="131">
        <f t="shared" si="720"/>
        <v>0</v>
      </c>
      <c r="S236" s="131">
        <f t="shared" si="720"/>
        <v>0</v>
      </c>
      <c r="T236" s="131">
        <f t="shared" si="720"/>
        <v>0</v>
      </c>
      <c r="U236" s="131">
        <f t="shared" si="720"/>
        <v>0</v>
      </c>
      <c r="V236" s="131">
        <f t="shared" si="720"/>
        <v>0</v>
      </c>
      <c r="W236" s="131">
        <f t="shared" si="720"/>
        <v>0</v>
      </c>
      <c r="X236" s="131">
        <f t="shared" si="720"/>
        <v>0</v>
      </c>
      <c r="Y236" s="131">
        <f t="shared" si="720"/>
        <v>0</v>
      </c>
      <c r="Z236" s="131">
        <f t="shared" si="720"/>
        <v>0</v>
      </c>
      <c r="AA236" s="131">
        <f t="shared" si="720"/>
        <v>755024.00639320305</v>
      </c>
      <c r="AB236" s="131">
        <f t="shared" si="720"/>
        <v>827691.57759462867</v>
      </c>
      <c r="AC236" s="131">
        <f t="shared" si="720"/>
        <v>415339.10241678107</v>
      </c>
      <c r="AD236" s="131">
        <f t="shared" si="720"/>
        <v>383223.97136264102</v>
      </c>
      <c r="AE236" s="131">
        <f t="shared" si="720"/>
        <v>747561.44640061574</v>
      </c>
      <c r="AF236" s="131">
        <f t="shared" si="720"/>
        <v>1233727.4265096283</v>
      </c>
      <c r="AG236" s="131">
        <f t="shared" si="720"/>
        <v>694487.12467628217</v>
      </c>
      <c r="AH236" s="131">
        <f t="shared" si="720"/>
        <v>4145656.3304180144</v>
      </c>
      <c r="AI236" s="131">
        <f t="shared" si="720"/>
        <v>3305153.9772316236</v>
      </c>
      <c r="AJ236" s="131">
        <f t="shared" si="720"/>
        <v>2938885.8304157439</v>
      </c>
      <c r="AK236" s="131">
        <f t="shared" si="720"/>
        <v>4171333.8800089629</v>
      </c>
      <c r="AL236" s="131">
        <f t="shared" si="720"/>
        <v>2835016.6655880767</v>
      </c>
      <c r="AM236" s="131">
        <f t="shared" si="720"/>
        <v>2916620.2455104883</v>
      </c>
      <c r="AN236" s="131">
        <f t="shared" si="720"/>
        <v>3824307.3226848482</v>
      </c>
      <c r="AO236" s="131">
        <f t="shared" si="720"/>
        <v>3665958.6291057011</v>
      </c>
      <c r="AP236" s="131">
        <f t="shared" si="720"/>
        <v>4007113.9264302561</v>
      </c>
      <c r="AQ236" s="131">
        <f t="shared" si="720"/>
        <v>4726062.7047912702</v>
      </c>
      <c r="AR236" s="131">
        <f t="shared" si="720"/>
        <v>2345109.9281387399</v>
      </c>
      <c r="AS236" s="131">
        <f t="shared" si="720"/>
        <v>9592458.4325932749</v>
      </c>
      <c r="AT236" s="131">
        <f t="shared" si="720"/>
        <v>10565125.962827632</v>
      </c>
      <c r="AU236" s="131">
        <f t="shared" si="720"/>
        <v>17036899.097077999</v>
      </c>
      <c r="AV236" s="131">
        <f t="shared" si="720"/>
        <v>18341918.863098893</v>
      </c>
      <c r="AW236" s="131">
        <f t="shared" si="720"/>
        <v>14671834.262442766</v>
      </c>
      <c r="AX236" s="131">
        <f t="shared" si="720"/>
        <v>14312467.196586652</v>
      </c>
      <c r="AY236" s="131">
        <f t="shared" si="720"/>
        <v>18690002.934701215</v>
      </c>
      <c r="AZ236" s="131">
        <f t="shared" si="720"/>
        <v>32268020.033260625</v>
      </c>
      <c r="BA236" s="131">
        <f t="shared" si="720"/>
        <v>27317553.587863207</v>
      </c>
      <c r="BB236" s="131">
        <f t="shared" si="720"/>
        <v>18916346.015887365</v>
      </c>
      <c r="BC236" s="131">
        <f t="shared" si="720"/>
        <v>20326356.630747091</v>
      </c>
      <c r="BD236" s="131">
        <f t="shared" si="720"/>
        <v>40620002.758598588</v>
      </c>
      <c r="BE236" s="131">
        <f t="shared" si="720"/>
        <v>30500219.044845816</v>
      </c>
      <c r="BF236" s="131">
        <f t="shared" si="720"/>
        <v>29076365.208734781</v>
      </c>
      <c r="BG236" s="131">
        <f t="shared" si="720"/>
        <v>37888821.582018368</v>
      </c>
      <c r="BH236" s="131">
        <f t="shared" si="720"/>
        <v>54037973.582437642</v>
      </c>
      <c r="BI236" s="131">
        <f t="shared" si="720"/>
        <v>102474301.95495798</v>
      </c>
      <c r="BJ236" s="131">
        <f t="shared" si="720"/>
        <v>136239461.60462379</v>
      </c>
      <c r="BK236" s="131">
        <f t="shared" si="720"/>
        <v>132810552.72358252</v>
      </c>
      <c r="BL236" s="131">
        <f t="shared" si="720"/>
        <v>158021405.66529757</v>
      </c>
      <c r="BM236" s="131">
        <f t="shared" si="720"/>
        <v>110547543.72282162</v>
      </c>
      <c r="BN236" s="131">
        <f t="shared" si="720"/>
        <v>128707808.59583162</v>
      </c>
      <c r="BO236" s="131">
        <f t="shared" si="720"/>
        <v>151817520.86237288</v>
      </c>
      <c r="BP236" s="131">
        <f t="shared" si="720"/>
        <v>232860935.46962333</v>
      </c>
      <c r="BQ236" s="131">
        <f t="shared" si="720"/>
        <v>177318284.89842957</v>
      </c>
      <c r="BR236" s="131">
        <f t="shared" si="720"/>
        <v>164670494.35322011</v>
      </c>
      <c r="BS236" s="131">
        <f t="shared" si="720"/>
        <v>165153290.56198257</v>
      </c>
      <c r="BT236" s="131">
        <f t="shared" si="720"/>
        <v>115097944.43632841</v>
      </c>
      <c r="BU236" s="131">
        <f t="shared" si="720"/>
        <v>164575828.32015568</v>
      </c>
      <c r="BV236" s="131">
        <f t="shared" si="720"/>
        <v>160812154.48014563</v>
      </c>
      <c r="BW236" s="131">
        <f t="shared" si="720"/>
        <v>175208151.43928212</v>
      </c>
      <c r="BX236" s="131">
        <f t="shared" ref="BX236:DQ236" si="721">SUM(BX237:BX243)</f>
        <v>177332883.53145739</v>
      </c>
      <c r="BY236" s="131">
        <f t="shared" si="721"/>
        <v>189284447.78650746</v>
      </c>
      <c r="BZ236" s="131">
        <f t="shared" si="721"/>
        <v>178427754.07474685</v>
      </c>
      <c r="CA236" s="131">
        <f t="shared" si="721"/>
        <v>186531531.99537244</v>
      </c>
      <c r="CB236" s="131">
        <f t="shared" si="721"/>
        <v>196458278.56011313</v>
      </c>
      <c r="CC236" s="131">
        <f t="shared" si="721"/>
        <v>171942474.66347858</v>
      </c>
      <c r="CD236" s="131">
        <f t="shared" si="721"/>
        <v>208573773.43765733</v>
      </c>
      <c r="CE236" s="131">
        <f t="shared" si="721"/>
        <v>234867690.71546042</v>
      </c>
      <c r="CF236" s="131">
        <f t="shared" si="721"/>
        <v>229507798.19632638</v>
      </c>
      <c r="CG236" s="131">
        <f t="shared" si="721"/>
        <v>302843122.38202989</v>
      </c>
      <c r="CH236" s="131">
        <f t="shared" si="721"/>
        <v>259767230.3377943</v>
      </c>
      <c r="CI236" s="131">
        <f t="shared" si="721"/>
        <v>260255175.69516674</v>
      </c>
      <c r="CJ236" s="131">
        <f t="shared" si="721"/>
        <v>254434949.39085126</v>
      </c>
      <c r="CK236" s="131">
        <f t="shared" si="721"/>
        <v>265391433.30693322</v>
      </c>
      <c r="CL236" s="131">
        <f t="shared" si="721"/>
        <v>234260606.72014678</v>
      </c>
      <c r="CM236" s="131">
        <f t="shared" si="721"/>
        <v>312043610.02490067</v>
      </c>
      <c r="CN236" s="131">
        <f t="shared" si="721"/>
        <v>263546040.46228582</v>
      </c>
      <c r="CO236" s="131">
        <f t="shared" si="721"/>
        <v>263410413.94391373</v>
      </c>
      <c r="CP236" s="131">
        <f t="shared" si="721"/>
        <v>319992910.12266129</v>
      </c>
      <c r="CQ236" s="131">
        <f t="shared" si="721"/>
        <v>359201561.73007691</v>
      </c>
      <c r="CR236" s="131">
        <f t="shared" si="721"/>
        <v>292532273.13527018</v>
      </c>
      <c r="CS236" s="131">
        <f t="shared" si="721"/>
        <v>346889334.59157753</v>
      </c>
      <c r="CT236" s="131">
        <f t="shared" si="721"/>
        <v>315367920.95921332</v>
      </c>
      <c r="CU236" s="131">
        <f t="shared" si="721"/>
        <v>318577627.592282</v>
      </c>
      <c r="CV236" s="131">
        <f t="shared" si="721"/>
        <v>318349719.42898721</v>
      </c>
      <c r="CW236" s="131">
        <f t="shared" si="721"/>
        <v>323154783.20511979</v>
      </c>
      <c r="CX236" s="131">
        <f t="shared" si="721"/>
        <v>304504298.50882661</v>
      </c>
      <c r="CY236" s="131">
        <f t="shared" si="721"/>
        <v>333106773.00232708</v>
      </c>
      <c r="CZ236" s="131">
        <f t="shared" si="721"/>
        <v>323895484.73582804</v>
      </c>
      <c r="DA236" s="131">
        <f t="shared" si="721"/>
        <v>324655178.61347729</v>
      </c>
      <c r="DB236" s="131">
        <f t="shared" si="721"/>
        <v>398516415.86794168</v>
      </c>
      <c r="DC236" s="131">
        <f t="shared" si="721"/>
        <v>429397971.99439037</v>
      </c>
      <c r="DD236" s="131">
        <f t="shared" si="721"/>
        <v>368128660.76196504</v>
      </c>
      <c r="DE236" s="131">
        <f t="shared" si="721"/>
        <v>397794706.6841746</v>
      </c>
      <c r="DF236" s="131">
        <f t="shared" si="721"/>
        <v>374325356.20949632</v>
      </c>
      <c r="DG236" s="131">
        <f t="shared" si="721"/>
        <v>378135111.41572368</v>
      </c>
      <c r="DH236" s="131">
        <f t="shared" si="721"/>
        <v>377864596.2531513</v>
      </c>
      <c r="DI236" s="131">
        <f t="shared" si="721"/>
        <v>383567957.59738511</v>
      </c>
      <c r="DJ236" s="131">
        <f t="shared" si="721"/>
        <v>361430800.12688071</v>
      </c>
      <c r="DK236" s="131">
        <f t="shared" si="721"/>
        <v>395380453.02971119</v>
      </c>
      <c r="DL236" s="131">
        <f t="shared" si="721"/>
        <v>384447131.87574524</v>
      </c>
      <c r="DM236" s="131">
        <f t="shared" si="721"/>
        <v>385348849.08431977</v>
      </c>
      <c r="DN236" s="131">
        <f t="shared" si="721"/>
        <v>473018304.68797702</v>
      </c>
      <c r="DO236" s="131">
        <f t="shared" si="721"/>
        <v>509673109.21653128</v>
      </c>
      <c r="DP236" s="131">
        <f t="shared" si="721"/>
        <v>436949616.34499645</v>
      </c>
      <c r="DQ236" s="131">
        <f t="shared" si="721"/>
        <v>472161673.33983129</v>
      </c>
      <c r="DR236" s="131">
        <f t="shared" ref="DR236:EC236" si="722">SUM(DR237:DR243)</f>
        <v>444320639.43386781</v>
      </c>
      <c r="DS236" s="131">
        <f t="shared" si="722"/>
        <v>448842782.64761817</v>
      </c>
      <c r="DT236" s="131">
        <f t="shared" si="722"/>
        <v>448521683.7211979</v>
      </c>
      <c r="DU236" s="131">
        <f t="shared" si="722"/>
        <v>455291519.41988921</v>
      </c>
      <c r="DV236" s="131">
        <f t="shared" si="722"/>
        <v>429014923.94117451</v>
      </c>
      <c r="DW236" s="131">
        <f t="shared" si="722"/>
        <v>469312839.20690197</v>
      </c>
      <c r="DX236" s="131">
        <f t="shared" si="722"/>
        <v>456335090.9307546</v>
      </c>
      <c r="DY236" s="131">
        <f t="shared" si="722"/>
        <v>457405420.6854884</v>
      </c>
      <c r="DZ236" s="131">
        <f t="shared" si="722"/>
        <v>561468231.08948195</v>
      </c>
      <c r="EA236" s="131">
        <f t="shared" si="722"/>
        <v>604977135.61941111</v>
      </c>
      <c r="EB236" s="131">
        <f t="shared" si="722"/>
        <v>518655040.90012997</v>
      </c>
      <c r="EC236" s="131">
        <f t="shared" si="722"/>
        <v>560451417.82248485</v>
      </c>
      <c r="ED236" s="113" t="s">
        <v>1</v>
      </c>
    </row>
    <row r="237" spans="1:134" x14ac:dyDescent="0.2">
      <c r="A237" s="713" t="s">
        <v>19</v>
      </c>
      <c r="B237" s="115"/>
      <c r="C237" s="115"/>
      <c r="D237" s="115"/>
      <c r="E237" s="115"/>
      <c r="F237" s="115"/>
      <c r="G237" s="115"/>
      <c r="H237" s="115"/>
      <c r="I237" s="115"/>
      <c r="J237" s="115"/>
      <c r="K237" s="129">
        <v>0</v>
      </c>
      <c r="L237" s="129">
        <v>0</v>
      </c>
      <c r="M237" s="129">
        <v>0</v>
      </c>
      <c r="N237" s="129">
        <v>0</v>
      </c>
      <c r="O237" s="129">
        <v>0</v>
      </c>
      <c r="P237" s="129">
        <v>0</v>
      </c>
      <c r="Q237" s="129">
        <v>0</v>
      </c>
      <c r="R237" s="129">
        <v>0</v>
      </c>
      <c r="S237" s="129">
        <v>0</v>
      </c>
      <c r="T237" s="129">
        <v>0</v>
      </c>
      <c r="U237" s="129">
        <v>0</v>
      </c>
      <c r="V237" s="129">
        <v>0</v>
      </c>
      <c r="W237" s="129">
        <v>0</v>
      </c>
      <c r="X237" s="129">
        <v>0</v>
      </c>
      <c r="Y237" s="129">
        <v>0</v>
      </c>
      <c r="Z237" s="129">
        <v>0</v>
      </c>
      <c r="AA237" s="129">
        <v>689018.8398873189</v>
      </c>
      <c r="AB237" s="129">
        <v>755796.28689307754</v>
      </c>
      <c r="AC237" s="129">
        <v>377960.47082976479</v>
      </c>
      <c r="AD237" s="129">
        <v>349653.55449750012</v>
      </c>
      <c r="AE237" s="129">
        <v>682490.77407601383</v>
      </c>
      <c r="AF237" s="129">
        <v>1129577.8343065169</v>
      </c>
      <c r="AG237" s="129">
        <v>636006.98804175342</v>
      </c>
      <c r="AH237" s="129">
        <v>3802415.4434135081</v>
      </c>
      <c r="AI237" s="129">
        <v>2965411.7</v>
      </c>
      <c r="AJ237" s="129">
        <v>2465656.8664000002</v>
      </c>
      <c r="AK237" s="129">
        <v>3444551.0525000002</v>
      </c>
      <c r="AL237" s="129">
        <v>2252330.1825000001</v>
      </c>
      <c r="AM237" s="129">
        <v>2169196.7999999998</v>
      </c>
      <c r="AN237" s="129">
        <v>2944245.2250000001</v>
      </c>
      <c r="AO237" s="129">
        <v>2867817.63</v>
      </c>
      <c r="AP237" s="129">
        <v>3083449.4299999997</v>
      </c>
      <c r="AQ237" s="129">
        <v>4006476.8355109994</v>
      </c>
      <c r="AR237" s="129">
        <v>2082880.338</v>
      </c>
      <c r="AS237" s="129">
        <v>8417481.3728449997</v>
      </c>
      <c r="AT237" s="129">
        <v>9182499.3403999992</v>
      </c>
      <c r="AU237" s="129">
        <v>14763337.944700001</v>
      </c>
      <c r="AV237" s="129">
        <v>15816275.915000003</v>
      </c>
      <c r="AW237" s="129">
        <v>12709620.746679995</v>
      </c>
      <c r="AX237" s="129">
        <v>12032541.201599998</v>
      </c>
      <c r="AY237" s="129">
        <v>16008652.698739998</v>
      </c>
      <c r="AZ237" s="129">
        <v>26899342.112000015</v>
      </c>
      <c r="BA237" s="129">
        <v>21975750.9168</v>
      </c>
      <c r="BB237" s="129">
        <v>14408592.3882</v>
      </c>
      <c r="BC237" s="129">
        <v>16271918.459999997</v>
      </c>
      <c r="BD237" s="129">
        <v>34559133.558000028</v>
      </c>
      <c r="BE237" s="129">
        <v>26234692.900000285</v>
      </c>
      <c r="BF237" s="129">
        <v>25060528.882000022</v>
      </c>
      <c r="BG237" s="129">
        <v>33573844.212799989</v>
      </c>
      <c r="BH237" s="129">
        <v>47699851.901799984</v>
      </c>
      <c r="BI237" s="129">
        <v>92634625.939999998</v>
      </c>
      <c r="BJ237" s="129">
        <v>120338980.27479994</v>
      </c>
      <c r="BK237" s="129">
        <v>116843035.19999999</v>
      </c>
      <c r="BL237" s="129">
        <v>140089236.23506999</v>
      </c>
      <c r="BM237" s="129">
        <v>98781056.241830647</v>
      </c>
      <c r="BN237" s="129">
        <v>111726092.84516488</v>
      </c>
      <c r="BO237" s="129">
        <v>133304287.27922672</v>
      </c>
      <c r="BP237" s="129">
        <v>206535888.83796996</v>
      </c>
      <c r="BQ237" s="129">
        <v>153402678.82051003</v>
      </c>
      <c r="BR237" s="129">
        <v>143592071.67948997</v>
      </c>
      <c r="BS237" s="129">
        <v>141704390.25999999</v>
      </c>
      <c r="BT237" s="129">
        <v>97792768.079999998</v>
      </c>
      <c r="BU237" s="129">
        <v>141334164.68144083</v>
      </c>
      <c r="BV237" s="129">
        <v>141103884.38314098</v>
      </c>
      <c r="BW237" s="129">
        <v>153674318.31450784</v>
      </c>
      <c r="BX237" s="129">
        <v>153313386.44202435</v>
      </c>
      <c r="BY237" s="129">
        <v>163271476.80508807</v>
      </c>
      <c r="BZ237" s="129">
        <v>152772417.89544427</v>
      </c>
      <c r="CA237" s="129">
        <v>159269627.82944432</v>
      </c>
      <c r="CB237" s="129">
        <v>170480710.33432174</v>
      </c>
      <c r="CC237" s="129">
        <v>152369727.05831912</v>
      </c>
      <c r="CD237" s="129">
        <v>183756962.90021792</v>
      </c>
      <c r="CE237" s="129">
        <v>207188528.16374046</v>
      </c>
      <c r="CF237" s="129">
        <v>201511158.29692981</v>
      </c>
      <c r="CG237" s="129">
        <v>265881894.62482172</v>
      </c>
      <c r="CH237" s="129">
        <v>227811259.8046</v>
      </c>
      <c r="CI237" s="129">
        <v>230140690.75736246</v>
      </c>
      <c r="CJ237" s="129">
        <v>222835729.58111086</v>
      </c>
      <c r="CK237" s="129">
        <v>231464646.74195552</v>
      </c>
      <c r="CL237" s="129">
        <v>198706202.57076854</v>
      </c>
      <c r="CM237" s="129">
        <v>269906409.7284779</v>
      </c>
      <c r="CN237" s="129">
        <v>224286270.14147013</v>
      </c>
      <c r="CO237" s="129">
        <v>225527622.73705932</v>
      </c>
      <c r="CP237" s="129">
        <v>271119929.3222</v>
      </c>
      <c r="CQ237" s="129">
        <v>299963335.17030001</v>
      </c>
      <c r="CR237" s="129">
        <v>240900461.87980008</v>
      </c>
      <c r="CS237" s="129">
        <v>292756504.22990012</v>
      </c>
      <c r="CT237" s="129">
        <f t="shared" ref="CT237:DQ237" si="723">CT219*CT248</f>
        <v>270471230.87280095</v>
      </c>
      <c r="CU237" s="129">
        <f t="shared" si="723"/>
        <v>273223994.3788234</v>
      </c>
      <c r="CV237" s="129">
        <f t="shared" si="723"/>
        <v>273028531.88135439</v>
      </c>
      <c r="CW237" s="129">
        <f t="shared" si="723"/>
        <v>277149532.86966026</v>
      </c>
      <c r="CX237" s="129">
        <f t="shared" si="723"/>
        <v>261154185.16010943</v>
      </c>
      <c r="CY237" s="129">
        <f t="shared" si="723"/>
        <v>285684728.59247541</v>
      </c>
      <c r="CZ237" s="129">
        <f t="shared" si="723"/>
        <v>277784785.98643464</v>
      </c>
      <c r="DA237" s="129">
        <f t="shared" si="723"/>
        <v>278436327.64466476</v>
      </c>
      <c r="DB237" s="129">
        <f t="shared" si="723"/>
        <v>341782465.3660934</v>
      </c>
      <c r="DC237" s="129">
        <f t="shared" si="723"/>
        <v>368267633.77314997</v>
      </c>
      <c r="DD237" s="129">
        <f t="shared" si="723"/>
        <v>315720799.03688645</v>
      </c>
      <c r="DE237" s="129">
        <f t="shared" si="723"/>
        <v>341163500.7907747</v>
      </c>
      <c r="DF237" s="129">
        <f t="shared" si="723"/>
        <v>320373172.96883273</v>
      </c>
      <c r="DG237" s="129">
        <f t="shared" si="723"/>
        <v>323633821.34171635</v>
      </c>
      <c r="DH237" s="129">
        <f t="shared" si="723"/>
        <v>323402296.01346427</v>
      </c>
      <c r="DI237" s="129">
        <f t="shared" si="723"/>
        <v>328283621.68411255</v>
      </c>
      <c r="DJ237" s="129">
        <f t="shared" si="723"/>
        <v>309337132.32214963</v>
      </c>
      <c r="DK237" s="129">
        <f t="shared" si="723"/>
        <v>338393561.01778716</v>
      </c>
      <c r="DL237" s="129">
        <f t="shared" si="723"/>
        <v>329036079.0009318</v>
      </c>
      <c r="DM237" s="129">
        <f t="shared" si="723"/>
        <v>329807830.09510547</v>
      </c>
      <c r="DN237" s="129">
        <f t="shared" si="723"/>
        <v>404841330.2261377</v>
      </c>
      <c r="DO237" s="129">
        <f t="shared" si="723"/>
        <v>436213012.20429623</v>
      </c>
      <c r="DP237" s="129">
        <f t="shared" si="723"/>
        <v>373971286.45919204</v>
      </c>
      <c r="DQ237" s="129">
        <f t="shared" si="723"/>
        <v>404108166.68667269</v>
      </c>
      <c r="DR237" s="129">
        <f t="shared" ref="DR237:EC237" si="724">DR219*DR248</f>
        <v>379482023.38158226</v>
      </c>
      <c r="DS237" s="129">
        <f t="shared" si="724"/>
        <v>383344261.37926298</v>
      </c>
      <c r="DT237" s="129">
        <f t="shared" si="724"/>
        <v>383070019.62794834</v>
      </c>
      <c r="DU237" s="129">
        <f t="shared" si="724"/>
        <v>388851949.88483125</v>
      </c>
      <c r="DV237" s="129">
        <f t="shared" si="724"/>
        <v>366409833.23558623</v>
      </c>
      <c r="DW237" s="129">
        <f t="shared" si="724"/>
        <v>400827173.0255689</v>
      </c>
      <c r="DX237" s="129">
        <f t="shared" si="724"/>
        <v>389743235.57660359</v>
      </c>
      <c r="DY237" s="129">
        <f t="shared" si="724"/>
        <v>390657374.74765229</v>
      </c>
      <c r="DZ237" s="129">
        <f t="shared" si="724"/>
        <v>479534555.65285999</v>
      </c>
      <c r="EA237" s="129">
        <f t="shared" si="724"/>
        <v>516694312.95598882</v>
      </c>
      <c r="EB237" s="129">
        <f t="shared" si="724"/>
        <v>442968988.81091291</v>
      </c>
      <c r="EC237" s="129">
        <f t="shared" si="724"/>
        <v>478666123.44036376</v>
      </c>
      <c r="ED237" s="113" t="s">
        <v>1</v>
      </c>
    </row>
    <row r="238" spans="1:134" x14ac:dyDescent="0.2">
      <c r="A238" s="713" t="s">
        <v>142</v>
      </c>
      <c r="B238" s="115"/>
      <c r="C238" s="115"/>
      <c r="D238" s="115"/>
      <c r="E238" s="115"/>
      <c r="F238" s="115"/>
      <c r="G238" s="115"/>
      <c r="H238" s="115"/>
      <c r="I238" s="115"/>
      <c r="J238" s="115"/>
      <c r="K238" s="129">
        <v>0</v>
      </c>
      <c r="L238" s="129">
        <v>0</v>
      </c>
      <c r="M238" s="129">
        <v>0</v>
      </c>
      <c r="N238" s="129">
        <v>0</v>
      </c>
      <c r="O238" s="129">
        <v>0</v>
      </c>
      <c r="P238" s="129">
        <v>0</v>
      </c>
      <c r="Q238" s="129">
        <v>0</v>
      </c>
      <c r="R238" s="129">
        <v>0</v>
      </c>
      <c r="S238" s="129">
        <v>0</v>
      </c>
      <c r="T238" s="129">
        <v>0</v>
      </c>
      <c r="U238" s="129">
        <v>0</v>
      </c>
      <c r="V238" s="129">
        <v>0</v>
      </c>
      <c r="W238" s="129">
        <v>0</v>
      </c>
      <c r="X238" s="129">
        <v>0</v>
      </c>
      <c r="Y238" s="129">
        <v>0</v>
      </c>
      <c r="Z238" s="129">
        <v>0</v>
      </c>
      <c r="AA238" s="129">
        <v>59556.712375386225</v>
      </c>
      <c r="AB238" s="129">
        <v>65328.753681448281</v>
      </c>
      <c r="AC238" s="129">
        <v>32669.764231925968</v>
      </c>
      <c r="AD238" s="129">
        <v>30222.999678273831</v>
      </c>
      <c r="AE238" s="129">
        <v>58992.446036957699</v>
      </c>
      <c r="AF238" s="129">
        <v>97637.304365156087</v>
      </c>
      <c r="AG238" s="129">
        <v>54974.527636621664</v>
      </c>
      <c r="AH238" s="129">
        <v>328669.3335296025</v>
      </c>
      <c r="AI238" s="129">
        <v>256321.25200000001</v>
      </c>
      <c r="AJ238" s="129">
        <v>306748.49719999998</v>
      </c>
      <c r="AK238" s="129">
        <v>443321.69199999998</v>
      </c>
      <c r="AL238" s="129">
        <v>327792.32</v>
      </c>
      <c r="AM238" s="129">
        <v>404986</v>
      </c>
      <c r="AN238" s="129">
        <v>591322</v>
      </c>
      <c r="AO238" s="129">
        <v>525594</v>
      </c>
      <c r="AP238" s="129">
        <v>627020</v>
      </c>
      <c r="AQ238" s="129">
        <v>430269.28573099972</v>
      </c>
      <c r="AR238" s="129">
        <v>116830</v>
      </c>
      <c r="AS238" s="129">
        <v>687107.31822000002</v>
      </c>
      <c r="AT238" s="129">
        <v>853153.48463999946</v>
      </c>
      <c r="AU238" s="129">
        <v>1593082.4734999996</v>
      </c>
      <c r="AV238" s="129">
        <v>1668144</v>
      </c>
      <c r="AW238" s="129">
        <v>1406220</v>
      </c>
      <c r="AX238" s="129">
        <v>1282551.5330651985</v>
      </c>
      <c r="AY238" s="129">
        <v>1352562.9693399994</v>
      </c>
      <c r="AZ238" s="129">
        <v>3264919.7020000108</v>
      </c>
      <c r="BA238" s="129">
        <v>3310209.7113600089</v>
      </c>
      <c r="BB238" s="129">
        <v>2470908.9998000027</v>
      </c>
      <c r="BC238" s="129">
        <v>1691453.4099999992</v>
      </c>
      <c r="BD238" s="129">
        <v>2733985.2120000022</v>
      </c>
      <c r="BE238" s="129">
        <v>1723785.400000006</v>
      </c>
      <c r="BF238" s="129">
        <v>1592626.3859999997</v>
      </c>
      <c r="BG238" s="129">
        <v>1749189.6971999896</v>
      </c>
      <c r="BH238" s="129">
        <v>2643638.1074000029</v>
      </c>
      <c r="BI238" s="129">
        <v>4550548.1499999845</v>
      </c>
      <c r="BJ238" s="129">
        <v>6289012.4142373297</v>
      </c>
      <c r="BK238" s="129">
        <v>5706699.2881356152</v>
      </c>
      <c r="BL238" s="129">
        <v>7138932.5972351888</v>
      </c>
      <c r="BM238" s="129">
        <v>3951468.4349159626</v>
      </c>
      <c r="BN238" s="129">
        <v>6387793.7694995189</v>
      </c>
      <c r="BO238" s="129">
        <v>7953398.4214641945</v>
      </c>
      <c r="BP238" s="129">
        <v>11599647.728982957</v>
      </c>
      <c r="BQ238" s="129">
        <v>10075364.717627287</v>
      </c>
      <c r="BR238" s="129">
        <v>9988253.3759324327</v>
      </c>
      <c r="BS238" s="129">
        <v>12920830.702881364</v>
      </c>
      <c r="BT238" s="129">
        <v>7699943.2099999897</v>
      </c>
      <c r="BU238" s="129">
        <v>13033544.610169485</v>
      </c>
      <c r="BV238" s="129">
        <v>10369917.938305248</v>
      </c>
      <c r="BW238" s="129">
        <v>12098493.816440687</v>
      </c>
      <c r="BX238" s="129">
        <v>14065540.018305134</v>
      </c>
      <c r="BY238" s="129">
        <v>16004166.994576257</v>
      </c>
      <c r="BZ238" s="129">
        <v>15225506.830847437</v>
      </c>
      <c r="CA238" s="129">
        <v>15683640.590508653</v>
      </c>
      <c r="CB238" s="129">
        <v>14117023.855593197</v>
      </c>
      <c r="CC238" s="129">
        <v>9035968.3030508254</v>
      </c>
      <c r="CD238" s="129">
        <v>13740527.967966314</v>
      </c>
      <c r="CE238" s="129">
        <v>15672203.150847428</v>
      </c>
      <c r="CF238" s="129">
        <v>15483804.41260105</v>
      </c>
      <c r="CG238" s="129">
        <v>22966719.584478289</v>
      </c>
      <c r="CH238" s="129">
        <v>18229128.593647912</v>
      </c>
      <c r="CI238" s="129">
        <v>17231695.051941589</v>
      </c>
      <c r="CJ238" s="129">
        <v>18261333.067144372</v>
      </c>
      <c r="CK238" s="129">
        <v>19501631.567796621</v>
      </c>
      <c r="CL238" s="129">
        <v>20052061.432203401</v>
      </c>
      <c r="CM238" s="129">
        <v>23994659.237288099</v>
      </c>
      <c r="CN238" s="129">
        <v>22321727.152542356</v>
      </c>
      <c r="CO238" s="129">
        <v>20517251.381355956</v>
      </c>
      <c r="CP238" s="129">
        <v>30251824.288135573</v>
      </c>
      <c r="CQ238" s="129">
        <v>38000810.279661037</v>
      </c>
      <c r="CR238" s="129">
        <v>32047568.519880701</v>
      </c>
      <c r="CS238" s="129">
        <v>34129440.122518703</v>
      </c>
      <c r="CT238" s="129">
        <f t="shared" ref="CT238:DQ238" si="725">CT204*CT252</f>
        <v>27204229.650181673</v>
      </c>
      <c r="CU238" s="129">
        <f t="shared" si="725"/>
        <v>27481104.977545761</v>
      </c>
      <c r="CV238" s="129">
        <f t="shared" si="725"/>
        <v>27461445.190987363</v>
      </c>
      <c r="CW238" s="129">
        <f t="shared" si="725"/>
        <v>27875939.024260234</v>
      </c>
      <c r="CX238" s="129">
        <f t="shared" si="725"/>
        <v>26267113.157564752</v>
      </c>
      <c r="CY238" s="129">
        <f t="shared" si="725"/>
        <v>28734416.37064356</v>
      </c>
      <c r="CZ238" s="129">
        <f t="shared" si="725"/>
        <v>27939833.330575019</v>
      </c>
      <c r="DA238" s="129">
        <f t="shared" si="725"/>
        <v>28005365.952436343</v>
      </c>
      <c r="DB238" s="129">
        <f t="shared" si="725"/>
        <v>34376775.112903461</v>
      </c>
      <c r="DC238" s="129">
        <f t="shared" si="725"/>
        <v>37040676.191566236</v>
      </c>
      <c r="DD238" s="129">
        <f t="shared" si="725"/>
        <v>31755470.23845055</v>
      </c>
      <c r="DE238" s="129">
        <f t="shared" si="725"/>
        <v>34314519.1221352</v>
      </c>
      <c r="DF238" s="129">
        <f t="shared" si="725"/>
        <v>32849107.302594367</v>
      </c>
      <c r="DG238" s="129">
        <f t="shared" si="725"/>
        <v>33183434.260386504</v>
      </c>
      <c r="DH238" s="129">
        <f t="shared" si="725"/>
        <v>33159695.068117239</v>
      </c>
      <c r="DI238" s="129">
        <f t="shared" si="725"/>
        <v>33660196.371794224</v>
      </c>
      <c r="DJ238" s="129">
        <f t="shared" si="725"/>
        <v>31717539.137759436</v>
      </c>
      <c r="DK238" s="129">
        <f t="shared" si="725"/>
        <v>34696807.7675521</v>
      </c>
      <c r="DL238" s="129">
        <f t="shared" si="725"/>
        <v>33737348.746669337</v>
      </c>
      <c r="DM238" s="129">
        <f t="shared" si="725"/>
        <v>33816479.387566887</v>
      </c>
      <c r="DN238" s="129">
        <f t="shared" si="725"/>
        <v>41509955.948830925</v>
      </c>
      <c r="DO238" s="129">
        <f t="shared" si="725"/>
        <v>44726616.501316227</v>
      </c>
      <c r="DP238" s="129">
        <f t="shared" si="725"/>
        <v>38344730.312929034</v>
      </c>
      <c r="DQ238" s="129">
        <f t="shared" si="725"/>
        <v>41434781.839978255</v>
      </c>
      <c r="DR238" s="129">
        <f t="shared" ref="DR238:EC238" si="726">DR204*DR252</f>
        <v>39665297.067882702</v>
      </c>
      <c r="DS238" s="129">
        <f t="shared" si="726"/>
        <v>40068996.869416706</v>
      </c>
      <c r="DT238" s="129">
        <f t="shared" si="726"/>
        <v>40040331.794751577</v>
      </c>
      <c r="DU238" s="129">
        <f t="shared" si="726"/>
        <v>40644687.118941538</v>
      </c>
      <c r="DV238" s="129">
        <f t="shared" si="726"/>
        <v>38298928.508844517</v>
      </c>
      <c r="DW238" s="129">
        <f t="shared" si="726"/>
        <v>41896395.379319154</v>
      </c>
      <c r="DX238" s="129">
        <f t="shared" si="726"/>
        <v>40737848.611603223</v>
      </c>
      <c r="DY238" s="129">
        <f t="shared" si="726"/>
        <v>40833398.860487007</v>
      </c>
      <c r="DZ238" s="129">
        <f t="shared" si="726"/>
        <v>50123271.808213346</v>
      </c>
      <c r="EA238" s="129">
        <f t="shared" si="726"/>
        <v>54007389.425339349</v>
      </c>
      <c r="EB238" s="129">
        <f t="shared" si="726"/>
        <v>46301261.852861799</v>
      </c>
      <c r="EC238" s="129">
        <f t="shared" si="726"/>
        <v>50032499.071773745</v>
      </c>
      <c r="ED238" s="113" t="s">
        <v>1</v>
      </c>
    </row>
    <row r="239" spans="1:134" x14ac:dyDescent="0.2">
      <c r="A239" s="713" t="s">
        <v>22</v>
      </c>
      <c r="B239" s="115"/>
      <c r="C239" s="115"/>
      <c r="D239" s="115"/>
      <c r="E239" s="115"/>
      <c r="F239" s="115"/>
      <c r="G239" s="115"/>
      <c r="H239" s="115"/>
      <c r="I239" s="115"/>
      <c r="J239" s="115"/>
      <c r="K239" s="129">
        <v>0</v>
      </c>
      <c r="L239" s="129">
        <v>0</v>
      </c>
      <c r="M239" s="129">
        <v>0</v>
      </c>
      <c r="N239" s="129">
        <v>0</v>
      </c>
      <c r="O239" s="129">
        <v>0</v>
      </c>
      <c r="P239" s="129">
        <v>0</v>
      </c>
      <c r="Q239" s="129">
        <v>0</v>
      </c>
      <c r="R239" s="129">
        <v>0</v>
      </c>
      <c r="S239" s="129">
        <v>0</v>
      </c>
      <c r="T239" s="129">
        <v>0</v>
      </c>
      <c r="U239" s="129">
        <v>0</v>
      </c>
      <c r="V239" s="129">
        <v>0</v>
      </c>
      <c r="W239" s="129">
        <v>0</v>
      </c>
      <c r="X239" s="129">
        <v>0</v>
      </c>
      <c r="Y239" s="129">
        <v>0</v>
      </c>
      <c r="Z239" s="129">
        <v>0</v>
      </c>
      <c r="AA239" s="129">
        <v>0</v>
      </c>
      <c r="AB239" s="129">
        <v>0</v>
      </c>
      <c r="AC239" s="129">
        <v>0</v>
      </c>
      <c r="AD239" s="129">
        <v>0</v>
      </c>
      <c r="AE239" s="129">
        <v>0</v>
      </c>
      <c r="AF239" s="129">
        <v>0</v>
      </c>
      <c r="AG239" s="129">
        <v>0</v>
      </c>
      <c r="AH239" s="129">
        <v>0</v>
      </c>
      <c r="AI239" s="129">
        <v>0</v>
      </c>
      <c r="AJ239" s="129">
        <v>0</v>
      </c>
      <c r="AK239" s="129">
        <v>0</v>
      </c>
      <c r="AL239" s="129">
        <v>0</v>
      </c>
      <c r="AM239" s="129">
        <v>0</v>
      </c>
      <c r="AN239" s="129">
        <v>0</v>
      </c>
      <c r="AO239" s="129">
        <v>0</v>
      </c>
      <c r="AP239" s="129">
        <v>0</v>
      </c>
      <c r="AQ239" s="129">
        <v>0</v>
      </c>
      <c r="AR239" s="129">
        <v>0</v>
      </c>
      <c r="AS239" s="129">
        <v>0</v>
      </c>
      <c r="AT239" s="129">
        <v>0</v>
      </c>
      <c r="AU239" s="129">
        <v>0</v>
      </c>
      <c r="AV239" s="129">
        <v>0</v>
      </c>
      <c r="AW239" s="129">
        <v>0</v>
      </c>
      <c r="AX239" s="129">
        <v>0</v>
      </c>
      <c r="AY239" s="129">
        <v>0</v>
      </c>
      <c r="AZ239" s="129">
        <v>0</v>
      </c>
      <c r="BA239" s="129">
        <v>0</v>
      </c>
      <c r="BB239" s="129">
        <v>0</v>
      </c>
      <c r="BC239" s="129">
        <v>140106.41709534041</v>
      </c>
      <c r="BD239" s="129">
        <v>226404.34699059368</v>
      </c>
      <c r="BE239" s="129">
        <v>152355.04002156915</v>
      </c>
      <c r="BF239" s="129">
        <v>125473.21735082973</v>
      </c>
      <c r="BG239" s="129">
        <v>361651.36189725826</v>
      </c>
      <c r="BH239" s="129">
        <v>497064.31222433818</v>
      </c>
      <c r="BI239" s="129">
        <v>537270.94282583811</v>
      </c>
      <c r="BJ239" s="129">
        <v>818133.86860229087</v>
      </c>
      <c r="BK239" s="129">
        <v>1293457.5213996274</v>
      </c>
      <c r="BL239" s="129">
        <v>1204406.880352661</v>
      </c>
      <c r="BM239" s="129">
        <v>1204506.8424153221</v>
      </c>
      <c r="BN239" s="129">
        <v>1625091.4887228194</v>
      </c>
      <c r="BO239" s="129">
        <v>972072.79501688213</v>
      </c>
      <c r="BP239" s="129">
        <v>2867293.2735212776</v>
      </c>
      <c r="BQ239" s="129">
        <v>1908899.0216644953</v>
      </c>
      <c r="BR239" s="129">
        <v>1549043.8574665007</v>
      </c>
      <c r="BS239" s="129">
        <v>882333.34770038154</v>
      </c>
      <c r="BT239" s="129">
        <v>1249448.0897950039</v>
      </c>
      <c r="BU239" s="129">
        <v>1685974.6049490504</v>
      </c>
      <c r="BV239" s="129">
        <v>1278430.5853510678</v>
      </c>
      <c r="BW239" s="129">
        <v>931791.93548262748</v>
      </c>
      <c r="BX239" s="129">
        <v>1339705.4788189924</v>
      </c>
      <c r="BY239" s="129">
        <v>569469.29445742676</v>
      </c>
      <c r="BZ239" s="129">
        <v>585789.64438476355</v>
      </c>
      <c r="CA239" s="129">
        <v>640460.44989030773</v>
      </c>
      <c r="CB239" s="129">
        <v>1144159.6835783895</v>
      </c>
      <c r="CC239" s="129">
        <v>605197.58488256764</v>
      </c>
      <c r="CD239" s="129">
        <v>602956.29447578406</v>
      </c>
      <c r="CE239" s="129">
        <v>752194.57310561033</v>
      </c>
      <c r="CF239" s="129">
        <v>1122683.5541825397</v>
      </c>
      <c r="CG239" s="129">
        <v>1077114.5115670504</v>
      </c>
      <c r="CH239" s="129">
        <v>1103175.9284127459</v>
      </c>
      <c r="CI239" s="129">
        <v>992297.81419755635</v>
      </c>
      <c r="CJ239" s="129">
        <v>816389.08306880062</v>
      </c>
      <c r="CK239" s="129">
        <v>1238731.5238108037</v>
      </c>
      <c r="CL239" s="129">
        <v>1105113.9367624328</v>
      </c>
      <c r="CM239" s="129">
        <v>1523529.2030033041</v>
      </c>
      <c r="CN239" s="129">
        <v>534703.02095410298</v>
      </c>
      <c r="CO239" s="129">
        <v>689671.92055561708</v>
      </c>
      <c r="CP239" s="129">
        <v>682890.49813772645</v>
      </c>
      <c r="CQ239" s="129">
        <v>1360896.0213538483</v>
      </c>
      <c r="CR239" s="129">
        <v>1181315.5902238614</v>
      </c>
      <c r="CS239" s="129">
        <v>1558115.1649007758</v>
      </c>
      <c r="CT239" s="129">
        <f>CS239/CS150*CT150</f>
        <v>1472225.0199632696</v>
      </c>
      <c r="CU239" s="129">
        <f t="shared" ref="CU239:DQ239" si="727">CT239/CT150*CU150</f>
        <v>1487208.8217322421</v>
      </c>
      <c r="CV239" s="129">
        <f t="shared" si="727"/>
        <v>1486144.8831450962</v>
      </c>
      <c r="CW239" s="129">
        <f t="shared" si="727"/>
        <v>1508576.2550240911</v>
      </c>
      <c r="CX239" s="129">
        <f t="shared" si="727"/>
        <v>1421510.6139759768</v>
      </c>
      <c r="CY239" s="129">
        <f t="shared" si="727"/>
        <v>1555034.9066627992</v>
      </c>
      <c r="CZ239" s="129">
        <f t="shared" si="727"/>
        <v>1512034.0554323155</v>
      </c>
      <c r="DA239" s="129">
        <f t="shared" si="727"/>
        <v>1515580.5173894686</v>
      </c>
      <c r="DB239" s="129">
        <f t="shared" si="727"/>
        <v>1860385.2811736995</v>
      </c>
      <c r="DC239" s="129">
        <f t="shared" si="727"/>
        <v>2004548.9597319819</v>
      </c>
      <c r="DD239" s="129">
        <f t="shared" si="727"/>
        <v>1718526.8028875671</v>
      </c>
      <c r="DE239" s="129">
        <f t="shared" si="727"/>
        <v>1857016.1423144038</v>
      </c>
      <c r="DF239" s="129">
        <f t="shared" si="727"/>
        <v>1743850.5361464927</v>
      </c>
      <c r="DG239" s="129">
        <f t="shared" si="727"/>
        <v>1761598.8493418409</v>
      </c>
      <c r="DH239" s="129">
        <f t="shared" si="727"/>
        <v>1760338.6140853667</v>
      </c>
      <c r="DI239" s="129">
        <f t="shared" si="727"/>
        <v>1786908.5740760358</v>
      </c>
      <c r="DJ239" s="129">
        <f t="shared" si="727"/>
        <v>1683779.3222545446</v>
      </c>
      <c r="DK239" s="129">
        <f t="shared" si="727"/>
        <v>1841938.8469420858</v>
      </c>
      <c r="DL239" s="129">
        <f t="shared" si="727"/>
        <v>1791004.3386595775</v>
      </c>
      <c r="DM239" s="129">
        <f t="shared" si="727"/>
        <v>1795205.1228478255</v>
      </c>
      <c r="DN239" s="129">
        <f t="shared" si="727"/>
        <v>2203626.365550247</v>
      </c>
      <c r="DO239" s="129">
        <f t="shared" si="727"/>
        <v>2374388.2428025319</v>
      </c>
      <c r="DP239" s="129">
        <f t="shared" si="727"/>
        <v>2035594.9980203228</v>
      </c>
      <c r="DQ239" s="129">
        <f t="shared" si="727"/>
        <v>2199635.6205714107</v>
      </c>
      <c r="DR239" s="129">
        <f t="shared" ref="DR239" si="728">DQ239/DQ150*DR150</f>
        <v>2065590.9600655199</v>
      </c>
      <c r="DS239" s="129">
        <f t="shared" ref="DS239" si="729">DR239/DR150*DS150</f>
        <v>2086613.8370454099</v>
      </c>
      <c r="DT239" s="129">
        <f t="shared" ref="DT239" si="730">DS239/DS150*DT150</f>
        <v>2085121.0883841161</v>
      </c>
      <c r="DU239" s="129">
        <f t="shared" ref="DU239" si="731">DT239/DT150*DU150</f>
        <v>2116593.2059930637</v>
      </c>
      <c r="DV239" s="129">
        <f t="shared" ref="DV239" si="732">DU239/DU150*DV150</f>
        <v>1994436.6072105076</v>
      </c>
      <c r="DW239" s="129">
        <f t="shared" ref="DW239" si="733">DV239/DV150*DW150</f>
        <v>2181776.5642028996</v>
      </c>
      <c r="DX239" s="129">
        <f t="shared" ref="DX239" si="734">DW239/DW150*DX150</f>
        <v>2121444.6391422683</v>
      </c>
      <c r="DY239" s="129">
        <f t="shared" ref="DY239" si="735">DX239/DX150*DY150</f>
        <v>2126420.4680132484</v>
      </c>
      <c r="DZ239" s="129">
        <f t="shared" ref="DZ239" si="736">DY239/DY150*DZ150</f>
        <v>2610195.4299942669</v>
      </c>
      <c r="EA239" s="129">
        <f t="shared" ref="EA239" si="737">DZ239/DZ150*EA150</f>
        <v>2812462.8735995986</v>
      </c>
      <c r="EB239" s="129">
        <f t="shared" ref="EB239" si="738">EA239/EA150*EB150</f>
        <v>2411162.2751550716</v>
      </c>
      <c r="EC239" s="129">
        <f t="shared" ref="EC239" si="739">EB239/EB150*EC150</f>
        <v>2605468.3925668355</v>
      </c>
      <c r="ED239" s="113" t="s">
        <v>1</v>
      </c>
    </row>
    <row r="240" spans="1:134" x14ac:dyDescent="0.2">
      <c r="A240" s="713" t="s">
        <v>36</v>
      </c>
      <c r="B240" s="115"/>
      <c r="C240" s="115"/>
      <c r="D240" s="115"/>
      <c r="E240" s="115"/>
      <c r="F240" s="115"/>
      <c r="G240" s="115"/>
      <c r="H240" s="115"/>
      <c r="I240" s="115"/>
      <c r="J240" s="115"/>
      <c r="K240" s="129">
        <v>0</v>
      </c>
      <c r="L240" s="129">
        <v>0</v>
      </c>
      <c r="M240" s="129">
        <v>0</v>
      </c>
      <c r="N240" s="129">
        <v>0</v>
      </c>
      <c r="O240" s="129">
        <v>0</v>
      </c>
      <c r="P240" s="129">
        <v>0</v>
      </c>
      <c r="Q240" s="129">
        <v>0</v>
      </c>
      <c r="R240" s="129">
        <v>0</v>
      </c>
      <c r="S240" s="129">
        <v>0</v>
      </c>
      <c r="T240" s="129">
        <v>0</v>
      </c>
      <c r="U240" s="129">
        <v>0</v>
      </c>
      <c r="V240" s="129">
        <v>0</v>
      </c>
      <c r="W240" s="129">
        <v>0</v>
      </c>
      <c r="X240" s="129">
        <v>0</v>
      </c>
      <c r="Y240" s="129">
        <v>0</v>
      </c>
      <c r="Z240" s="129">
        <v>0</v>
      </c>
      <c r="AA240" s="129">
        <v>6448.4541304978757</v>
      </c>
      <c r="AB240" s="129">
        <v>6566.5370201028318</v>
      </c>
      <c r="AC240" s="129">
        <v>4708.8673550903541</v>
      </c>
      <c r="AD240" s="129">
        <v>3347.4171868670355</v>
      </c>
      <c r="AE240" s="129">
        <v>6078.2262876442446</v>
      </c>
      <c r="AF240" s="129">
        <v>6512.2878379554268</v>
      </c>
      <c r="AG240" s="129">
        <v>3505.608997907198</v>
      </c>
      <c r="AH240" s="129">
        <v>14571.553474903474</v>
      </c>
      <c r="AI240" s="129">
        <v>7362.9105601126957</v>
      </c>
      <c r="AJ240" s="129">
        <v>13877.793970362802</v>
      </c>
      <c r="AK240" s="129">
        <v>24790.470261977818</v>
      </c>
      <c r="AL240" s="129">
        <v>16110.528296587556</v>
      </c>
      <c r="AM240" s="129">
        <v>18730.315140845069</v>
      </c>
      <c r="AN240" s="129">
        <v>19266.108088501995</v>
      </c>
      <c r="AO240" s="129">
        <v>21042.975782634378</v>
      </c>
      <c r="AP240" s="129">
        <v>23241.525668073136</v>
      </c>
      <c r="AQ240" s="129">
        <v>24328.654421120969</v>
      </c>
      <c r="AR240" s="129">
        <v>13310.819932499504</v>
      </c>
      <c r="AS240" s="129">
        <v>48895.738232306132</v>
      </c>
      <c r="AT240" s="129">
        <v>50355.26951406397</v>
      </c>
      <c r="AU240" s="129">
        <v>71946.87520259319</v>
      </c>
      <c r="AV240" s="129">
        <v>75683.583054886869</v>
      </c>
      <c r="AW240" s="129">
        <v>52216.870234397058</v>
      </c>
      <c r="AX240" s="129">
        <v>55536</v>
      </c>
      <c r="AY240" s="129">
        <v>110863.75762704415</v>
      </c>
      <c r="AZ240" s="129">
        <v>107855</v>
      </c>
      <c r="BA240" s="129">
        <v>103785</v>
      </c>
      <c r="BB240" s="129">
        <v>80465</v>
      </c>
      <c r="BC240" s="129">
        <v>90420</v>
      </c>
      <c r="BD240" s="129">
        <v>132055</v>
      </c>
      <c r="BE240" s="129">
        <v>89815</v>
      </c>
      <c r="BF240" s="129">
        <v>92235</v>
      </c>
      <c r="BG240" s="129">
        <v>105380</v>
      </c>
      <c r="BH240" s="129">
        <v>171985</v>
      </c>
      <c r="BI240" s="129">
        <v>289740</v>
      </c>
      <c r="BJ240" s="129">
        <v>393415</v>
      </c>
      <c r="BK240" s="129">
        <v>430800</v>
      </c>
      <c r="BL240" s="129">
        <v>572940</v>
      </c>
      <c r="BM240" s="129">
        <v>375060</v>
      </c>
      <c r="BN240" s="129">
        <v>457140</v>
      </c>
      <c r="BO240" s="129">
        <v>472200</v>
      </c>
      <c r="BP240" s="129">
        <v>615480</v>
      </c>
      <c r="BQ240" s="129">
        <v>549720</v>
      </c>
      <c r="BR240" s="129">
        <v>498720</v>
      </c>
      <c r="BS240" s="129">
        <v>523800</v>
      </c>
      <c r="BT240" s="129">
        <v>354840</v>
      </c>
      <c r="BU240" s="129">
        <v>547800</v>
      </c>
      <c r="BV240" s="129">
        <v>504720</v>
      </c>
      <c r="BW240" s="129">
        <v>531000</v>
      </c>
      <c r="BX240" s="129">
        <v>555180</v>
      </c>
      <c r="BY240" s="129">
        <v>577920</v>
      </c>
      <c r="BZ240" s="129">
        <v>527640</v>
      </c>
      <c r="CA240" s="129">
        <v>532680</v>
      </c>
      <c r="CB240" s="129">
        <v>531900</v>
      </c>
      <c r="CC240" s="129">
        <v>476280</v>
      </c>
      <c r="CD240" s="129">
        <v>591840</v>
      </c>
      <c r="CE240" s="129">
        <v>663360</v>
      </c>
      <c r="CF240" s="129">
        <v>655740</v>
      </c>
      <c r="CG240" s="129">
        <v>860040</v>
      </c>
      <c r="CH240" s="129">
        <v>696780</v>
      </c>
      <c r="CI240" s="129">
        <v>722460</v>
      </c>
      <c r="CJ240" s="129">
        <v>731537.14285714284</v>
      </c>
      <c r="CK240" s="129">
        <v>765180</v>
      </c>
      <c r="CL240" s="129">
        <v>705720</v>
      </c>
      <c r="CM240" s="129">
        <v>905820</v>
      </c>
      <c r="CN240" s="129">
        <v>741960</v>
      </c>
      <c r="CO240" s="129">
        <v>763500</v>
      </c>
      <c r="CP240" s="129">
        <v>958920</v>
      </c>
      <c r="CQ240" s="129">
        <v>1054560</v>
      </c>
      <c r="CR240" s="129">
        <v>888420</v>
      </c>
      <c r="CS240" s="129">
        <v>971220</v>
      </c>
      <c r="CT240" s="129">
        <f t="shared" ref="CT240:DQ240" si="740">CT204*CT258</f>
        <v>929743.75892814517</v>
      </c>
      <c r="CU240" s="129">
        <f t="shared" si="740"/>
        <v>939206.37231320119</v>
      </c>
      <c r="CV240" s="129">
        <f t="shared" si="740"/>
        <v>938534.47077106696</v>
      </c>
      <c r="CW240" s="129">
        <f t="shared" si="740"/>
        <v>952700.39495106228</v>
      </c>
      <c r="CX240" s="129">
        <f t="shared" si="740"/>
        <v>897716.45208641677</v>
      </c>
      <c r="CY240" s="129">
        <f t="shared" si="740"/>
        <v>982040.09562425397</v>
      </c>
      <c r="CZ240" s="129">
        <f t="shared" si="740"/>
        <v>954884.07496299816</v>
      </c>
      <c r="DA240" s="129">
        <f t="shared" si="740"/>
        <v>957123.74677011208</v>
      </c>
      <c r="DB240" s="129">
        <f t="shared" si="740"/>
        <v>1174875.8382167581</v>
      </c>
      <c r="DC240" s="129">
        <f t="shared" si="740"/>
        <v>1265918.4971759368</v>
      </c>
      <c r="DD240" s="129">
        <f t="shared" si="740"/>
        <v>1085288.9659322035</v>
      </c>
      <c r="DE240" s="129">
        <f t="shared" si="740"/>
        <v>1172748.1499999997</v>
      </c>
      <c r="DF240" s="129">
        <f t="shared" si="740"/>
        <v>1122665.5889057352</v>
      </c>
      <c r="DG240" s="129">
        <f t="shared" si="740"/>
        <v>1134091.6945681905</v>
      </c>
      <c r="DH240" s="129">
        <f t="shared" si="740"/>
        <v>1133280.3734560634</v>
      </c>
      <c r="DI240" s="129">
        <f t="shared" si="740"/>
        <v>1150385.7269034076</v>
      </c>
      <c r="DJ240" s="129">
        <f t="shared" si="740"/>
        <v>1083992.6158943481</v>
      </c>
      <c r="DK240" s="129">
        <f t="shared" si="740"/>
        <v>1185813.4154662865</v>
      </c>
      <c r="DL240" s="129">
        <f t="shared" si="740"/>
        <v>1153022.5205178205</v>
      </c>
      <c r="DM240" s="129">
        <f t="shared" si="740"/>
        <v>1155726.9242249103</v>
      </c>
      <c r="DN240" s="129">
        <f t="shared" si="740"/>
        <v>1418662.5746467351</v>
      </c>
      <c r="DO240" s="129">
        <f t="shared" si="740"/>
        <v>1528596.5853399436</v>
      </c>
      <c r="DP240" s="129">
        <f t="shared" si="740"/>
        <v>1310486.4263631355</v>
      </c>
      <c r="DQ240" s="129">
        <f t="shared" si="740"/>
        <v>1416093.3911249998</v>
      </c>
      <c r="DR240" s="129">
        <f t="shared" ref="DR240:EC240" si="741">DR204*DR258</f>
        <v>1355618.6986036752</v>
      </c>
      <c r="DS240" s="129">
        <f t="shared" si="741"/>
        <v>1369415.7211910898</v>
      </c>
      <c r="DT240" s="129">
        <f t="shared" si="741"/>
        <v>1368436.0509481968</v>
      </c>
      <c r="DU240" s="129">
        <f t="shared" si="741"/>
        <v>1389090.765235865</v>
      </c>
      <c r="DV240" s="129">
        <f t="shared" si="741"/>
        <v>1308921.0836924252</v>
      </c>
      <c r="DW240" s="129">
        <f t="shared" si="741"/>
        <v>1431869.6991755411</v>
      </c>
      <c r="DX240" s="129">
        <f t="shared" si="741"/>
        <v>1392274.693525268</v>
      </c>
      <c r="DY240" s="129">
        <f t="shared" si="741"/>
        <v>1395540.2610015792</v>
      </c>
      <c r="DZ240" s="129">
        <f t="shared" si="741"/>
        <v>1713035.0588859329</v>
      </c>
      <c r="EA240" s="129">
        <f t="shared" si="741"/>
        <v>1845780.376797982</v>
      </c>
      <c r="EB240" s="129">
        <f t="shared" si="741"/>
        <v>1582412.3598334859</v>
      </c>
      <c r="EC240" s="129">
        <f t="shared" si="741"/>
        <v>1709932.7697834373</v>
      </c>
      <c r="ED240" s="113" t="s">
        <v>1</v>
      </c>
    </row>
    <row r="241" spans="1:134" x14ac:dyDescent="0.2">
      <c r="A241" s="713" t="s">
        <v>24</v>
      </c>
      <c r="B241" s="115"/>
      <c r="C241" s="115"/>
      <c r="D241" s="115"/>
      <c r="E241" s="115"/>
      <c r="F241" s="115"/>
      <c r="G241" s="115"/>
      <c r="H241" s="115"/>
      <c r="I241" s="115"/>
      <c r="J241" s="115"/>
      <c r="K241" s="129">
        <v>0</v>
      </c>
      <c r="L241" s="129">
        <v>0</v>
      </c>
      <c r="M241" s="129">
        <v>0</v>
      </c>
      <c r="N241" s="129">
        <v>0</v>
      </c>
      <c r="O241" s="129">
        <v>0</v>
      </c>
      <c r="P241" s="129">
        <v>0</v>
      </c>
      <c r="Q241" s="129">
        <v>0</v>
      </c>
      <c r="R241" s="129">
        <v>0</v>
      </c>
      <c r="S241" s="129">
        <v>0</v>
      </c>
      <c r="T241" s="129">
        <v>0</v>
      </c>
      <c r="U241" s="129">
        <v>0</v>
      </c>
      <c r="V241" s="129">
        <v>0</v>
      </c>
      <c r="W241" s="129">
        <v>0</v>
      </c>
      <c r="X241" s="129">
        <v>0</v>
      </c>
      <c r="Y241" s="129">
        <v>0</v>
      </c>
      <c r="Z241" s="129">
        <v>0</v>
      </c>
      <c r="AA241" s="129">
        <v>0</v>
      </c>
      <c r="AB241" s="129">
        <v>0</v>
      </c>
      <c r="AC241" s="129">
        <v>0</v>
      </c>
      <c r="AD241" s="129">
        <v>0</v>
      </c>
      <c r="AE241" s="129">
        <v>0</v>
      </c>
      <c r="AF241" s="129">
        <v>0</v>
      </c>
      <c r="AG241" s="129">
        <v>0</v>
      </c>
      <c r="AH241" s="129">
        <v>0</v>
      </c>
      <c r="AI241" s="129">
        <v>29799.151127075216</v>
      </c>
      <c r="AJ241" s="129">
        <v>43331.347572815532</v>
      </c>
      <c r="AK241" s="129">
        <v>74154.028793957987</v>
      </c>
      <c r="AL241" s="129">
        <v>43528.241539109673</v>
      </c>
      <c r="AM241" s="129">
        <v>30275.37701207244</v>
      </c>
      <c r="AN241" s="129">
        <v>47025.573086688433</v>
      </c>
      <c r="AO241" s="129">
        <v>62543.812510336684</v>
      </c>
      <c r="AP241" s="129">
        <v>71202.546465365682</v>
      </c>
      <c r="AQ241" s="129">
        <v>84398.151212468234</v>
      </c>
      <c r="AR241" s="129">
        <v>39728.078882932969</v>
      </c>
      <c r="AS241" s="129">
        <v>151185.74791984065</v>
      </c>
      <c r="AT241" s="129">
        <v>177051.74457986641</v>
      </c>
      <c r="AU241" s="129">
        <v>276400</v>
      </c>
      <c r="AV241" s="129">
        <v>292541.98945837218</v>
      </c>
      <c r="AW241" s="129">
        <v>191488.57992499712</v>
      </c>
      <c r="AX241" s="129">
        <v>312983.18677712773</v>
      </c>
      <c r="AY241" s="129">
        <v>402125.2511539571</v>
      </c>
      <c r="AZ241" s="129">
        <v>601848.94089026912</v>
      </c>
      <c r="BA241" s="129">
        <v>578794.46714679187</v>
      </c>
      <c r="BB241" s="129">
        <v>510311.41563307046</v>
      </c>
      <c r="BC241" s="129">
        <v>545331.78614689829</v>
      </c>
      <c r="BD241" s="129">
        <v>687194.402118008</v>
      </c>
      <c r="BE241" s="129">
        <v>526451.65151900903</v>
      </c>
      <c r="BF241" s="129">
        <v>591839.5745286583</v>
      </c>
      <c r="BG241" s="129">
        <v>578007.69088554871</v>
      </c>
      <c r="BH241" s="129">
        <v>844176.91831833543</v>
      </c>
      <c r="BI241" s="129">
        <v>1583615.6865079054</v>
      </c>
      <c r="BJ241" s="129">
        <v>4353814.2447934812</v>
      </c>
      <c r="BK241" s="129">
        <v>4146151.077183431</v>
      </c>
      <c r="BL241" s="129">
        <v>3994009.0462831198</v>
      </c>
      <c r="BM241" s="129">
        <v>3157231.1085259737</v>
      </c>
      <c r="BN241" s="129">
        <v>3382217.2720218552</v>
      </c>
      <c r="BO241" s="129">
        <v>3646238.0301493416</v>
      </c>
      <c r="BP241" s="129">
        <v>4192479.737699436</v>
      </c>
      <c r="BQ241" s="129">
        <v>4385612.9686380345</v>
      </c>
      <c r="BR241" s="129">
        <v>3278764.1607415052</v>
      </c>
      <c r="BS241" s="129">
        <v>3122622.7601543684</v>
      </c>
      <c r="BT241" s="129">
        <v>2824009.4035381554</v>
      </c>
      <c r="BU241" s="129">
        <v>2927903.2874052366</v>
      </c>
      <c r="BV241" s="129">
        <v>3066014.855725443</v>
      </c>
      <c r="BW241" s="129">
        <v>3170937.3402007339</v>
      </c>
      <c r="BX241" s="129">
        <v>2985187.7052210588</v>
      </c>
      <c r="BY241" s="129">
        <v>3507227.0969264489</v>
      </c>
      <c r="BZ241" s="129">
        <v>3413150.9907794497</v>
      </c>
      <c r="CA241" s="129">
        <v>3847489.6572665935</v>
      </c>
      <c r="CB241" s="129">
        <v>4225936.1360460501</v>
      </c>
      <c r="CC241" s="129">
        <v>3867064.9526926023</v>
      </c>
      <c r="CD241" s="129">
        <v>3538447.2631022669</v>
      </c>
      <c r="CE241" s="129">
        <v>3821897.844474595</v>
      </c>
      <c r="CF241" s="129">
        <v>3981646.7165057207</v>
      </c>
      <c r="CG241" s="129">
        <v>4688989.7629824821</v>
      </c>
      <c r="CH241" s="129">
        <v>4482792.6928629912</v>
      </c>
      <c r="CI241" s="129">
        <v>4225396.7124858266</v>
      </c>
      <c r="CJ241" s="129">
        <v>3587775.2582462346</v>
      </c>
      <c r="CK241" s="129">
        <v>3381716.0610245932</v>
      </c>
      <c r="CL241" s="129">
        <v>3443584.4608201766</v>
      </c>
      <c r="CM241" s="129">
        <v>3991782.7244699961</v>
      </c>
      <c r="CN241" s="129">
        <v>4065120.8979366431</v>
      </c>
      <c r="CO241" s="129">
        <v>4114268.7839523191</v>
      </c>
      <c r="CP241" s="129">
        <v>6086064.259233186</v>
      </c>
      <c r="CQ241" s="129">
        <v>7176374.4608418802</v>
      </c>
      <c r="CR241" s="129">
        <v>7065678.4770377735</v>
      </c>
      <c r="CS241" s="129">
        <v>7055954.8861356722</v>
      </c>
      <c r="CT241" s="129">
        <f t="shared" ref="CT241:DQ241" si="742">CT204*CT255</f>
        <v>5433584.5608079741</v>
      </c>
      <c r="CU241" s="129">
        <f t="shared" si="742"/>
        <v>5488885.7225530231</v>
      </c>
      <c r="CV241" s="129">
        <f t="shared" si="742"/>
        <v>5484959.0128433155</v>
      </c>
      <c r="CW241" s="129">
        <f t="shared" si="742"/>
        <v>5567747.142556319</v>
      </c>
      <c r="CX241" s="129">
        <f t="shared" si="742"/>
        <v>5246411.397978575</v>
      </c>
      <c r="CY241" s="129">
        <f t="shared" si="742"/>
        <v>5739213.4665468866</v>
      </c>
      <c r="CZ241" s="129">
        <f t="shared" si="742"/>
        <v>5580508.9491128679</v>
      </c>
      <c r="DA241" s="129">
        <f t="shared" si="742"/>
        <v>5593597.9814785598</v>
      </c>
      <c r="DB241" s="129">
        <f t="shared" si="742"/>
        <v>6866179.1532329842</v>
      </c>
      <c r="DC241" s="129">
        <f t="shared" si="742"/>
        <v>7398248.3188983724</v>
      </c>
      <c r="DD241" s="129">
        <f t="shared" si="742"/>
        <v>6342617.8586052964</v>
      </c>
      <c r="DE241" s="129">
        <f t="shared" si="742"/>
        <v>6853744.5724855755</v>
      </c>
      <c r="DF241" s="129">
        <f t="shared" si="742"/>
        <v>6561053.3571756277</v>
      </c>
      <c r="DG241" s="129">
        <f t="shared" si="742"/>
        <v>6627829.509982775</v>
      </c>
      <c r="DH241" s="129">
        <f t="shared" si="742"/>
        <v>6623088.0080083031</v>
      </c>
      <c r="DI241" s="129">
        <f t="shared" si="742"/>
        <v>6723054.6746367542</v>
      </c>
      <c r="DJ241" s="129">
        <f t="shared" si="742"/>
        <v>6335041.763059129</v>
      </c>
      <c r="DK241" s="129">
        <f t="shared" si="742"/>
        <v>6930100.2608553646</v>
      </c>
      <c r="DL241" s="129">
        <f t="shared" si="742"/>
        <v>6738464.5560537884</v>
      </c>
      <c r="DM241" s="129">
        <f t="shared" si="742"/>
        <v>6754269.5626353612</v>
      </c>
      <c r="DN241" s="129">
        <f t="shared" si="742"/>
        <v>8290911.3275288269</v>
      </c>
      <c r="DO241" s="129">
        <f t="shared" si="742"/>
        <v>8933384.8450697828</v>
      </c>
      <c r="DP241" s="129">
        <f t="shared" si="742"/>
        <v>7658711.0642658947</v>
      </c>
      <c r="DQ241" s="129">
        <f t="shared" si="742"/>
        <v>8275896.5712763332</v>
      </c>
      <c r="DR241" s="129">
        <f t="shared" ref="DR241:EC241" si="743">DR204*DR255</f>
        <v>7922471.9287895709</v>
      </c>
      <c r="DS241" s="129">
        <f t="shared" si="743"/>
        <v>8003104.1333042011</v>
      </c>
      <c r="DT241" s="129">
        <f t="shared" si="743"/>
        <v>7997378.7696700273</v>
      </c>
      <c r="DU241" s="129">
        <f t="shared" si="743"/>
        <v>8118088.5196238821</v>
      </c>
      <c r="DV241" s="129">
        <f t="shared" si="743"/>
        <v>7649562.9288938968</v>
      </c>
      <c r="DW241" s="129">
        <f t="shared" si="743"/>
        <v>8368096.0649828529</v>
      </c>
      <c r="DX241" s="129">
        <f t="shared" si="743"/>
        <v>8136695.9514349485</v>
      </c>
      <c r="DY241" s="129">
        <f t="shared" si="743"/>
        <v>8155780.4968821984</v>
      </c>
      <c r="DZ241" s="129">
        <f t="shared" si="743"/>
        <v>10011275.427991061</v>
      </c>
      <c r="EA241" s="129">
        <f t="shared" si="743"/>
        <v>10787062.200421764</v>
      </c>
      <c r="EB241" s="129">
        <f t="shared" si="743"/>
        <v>9247893.6101010665</v>
      </c>
      <c r="EC241" s="129">
        <f t="shared" si="743"/>
        <v>9993145.1098161712</v>
      </c>
      <c r="ED241" s="113" t="s">
        <v>1</v>
      </c>
    </row>
    <row r="242" spans="1:134" x14ac:dyDescent="0.2">
      <c r="A242" s="713" t="s">
        <v>25</v>
      </c>
      <c r="B242" s="115"/>
      <c r="C242" s="115"/>
      <c r="D242" s="115"/>
      <c r="E242" s="115"/>
      <c r="F242" s="115"/>
      <c r="G242" s="115"/>
      <c r="H242" s="115"/>
      <c r="I242" s="115"/>
      <c r="J242" s="115"/>
      <c r="K242" s="129">
        <v>0</v>
      </c>
      <c r="L242" s="129">
        <v>0</v>
      </c>
      <c r="M242" s="129">
        <v>0</v>
      </c>
      <c r="N242" s="129">
        <v>0</v>
      </c>
      <c r="O242" s="129">
        <v>0</v>
      </c>
      <c r="P242" s="129">
        <v>0</v>
      </c>
      <c r="Q242" s="129">
        <v>0</v>
      </c>
      <c r="R242" s="129">
        <v>0</v>
      </c>
      <c r="S242" s="129">
        <v>0</v>
      </c>
      <c r="T242" s="129">
        <v>0</v>
      </c>
      <c r="U242" s="129">
        <v>0</v>
      </c>
      <c r="V242" s="129">
        <v>0</v>
      </c>
      <c r="W242" s="129">
        <v>0</v>
      </c>
      <c r="X242" s="129">
        <v>0</v>
      </c>
      <c r="Y242" s="129">
        <v>0</v>
      </c>
      <c r="Z242" s="129">
        <v>0</v>
      </c>
      <c r="AA242" s="129">
        <v>0</v>
      </c>
      <c r="AB242" s="129">
        <v>0</v>
      </c>
      <c r="AC242" s="129">
        <v>0</v>
      </c>
      <c r="AD242" s="129">
        <v>0</v>
      </c>
      <c r="AE242" s="129">
        <v>0</v>
      </c>
      <c r="AF242" s="129">
        <v>0</v>
      </c>
      <c r="AG242" s="129">
        <v>0</v>
      </c>
      <c r="AH242" s="129">
        <v>0</v>
      </c>
      <c r="AI242" s="129">
        <v>24163.204982545518</v>
      </c>
      <c r="AJ242" s="129">
        <v>54484.934061163898</v>
      </c>
      <c r="AK242" s="129">
        <v>90494.655294811368</v>
      </c>
      <c r="AL242" s="129">
        <v>98606.25345304863</v>
      </c>
      <c r="AM242" s="129">
        <v>148778.23257703352</v>
      </c>
      <c r="AN242" s="129">
        <v>133142.54347248157</v>
      </c>
      <c r="AO242" s="129">
        <v>114877.356439615</v>
      </c>
      <c r="AP242" s="129">
        <v>117774.4294077246</v>
      </c>
      <c r="AQ242" s="129">
        <v>102002.22520329764</v>
      </c>
      <c r="AR242" s="129">
        <v>60435.878693742779</v>
      </c>
      <c r="AS242" s="129">
        <v>188559.56600319021</v>
      </c>
      <c r="AT242" s="129">
        <v>196246.8069810876</v>
      </c>
      <c r="AU242" s="129">
        <v>190253.78603023395</v>
      </c>
      <c r="AV242" s="129">
        <v>312245.03790556401</v>
      </c>
      <c r="AW242" s="129">
        <v>202840.97947579279</v>
      </c>
      <c r="AX242" s="129">
        <v>395868.24503042595</v>
      </c>
      <c r="AY242" s="129">
        <v>504706.72224500205</v>
      </c>
      <c r="AZ242" s="129">
        <v>723276.55012048257</v>
      </c>
      <c r="BA242" s="129">
        <v>701081.89322003431</v>
      </c>
      <c r="BB242" s="129">
        <v>780721.65688712371</v>
      </c>
      <c r="BC242" s="129">
        <v>891642.73918092391</v>
      </c>
      <c r="BD242" s="129">
        <v>1241420.936612149</v>
      </c>
      <c r="BE242" s="129">
        <v>952550.33156790293</v>
      </c>
      <c r="BF242" s="129">
        <v>849630.40633104742</v>
      </c>
      <c r="BG242" s="129">
        <v>805002.42213945929</v>
      </c>
      <c r="BH242" s="129">
        <v>1113116.072737898</v>
      </c>
      <c r="BI242" s="129">
        <v>1418429.4489192544</v>
      </c>
      <c r="BJ242" s="129">
        <v>1940018.016005415</v>
      </c>
      <c r="BK242" s="129">
        <v>2002424.6751247968</v>
      </c>
      <c r="BL242" s="129">
        <v>2469046.4370414023</v>
      </c>
      <c r="BM242" s="129">
        <v>1389909.5855348348</v>
      </c>
      <c r="BN242" s="129">
        <v>2501764.5440050941</v>
      </c>
      <c r="BO242" s="129">
        <v>2641347.3746356852</v>
      </c>
      <c r="BP242" s="129">
        <v>3981737.9861472272</v>
      </c>
      <c r="BQ242" s="129">
        <v>3561407.5497863316</v>
      </c>
      <c r="BR242" s="129">
        <v>3151406.4990010741</v>
      </c>
      <c r="BS242" s="129">
        <v>3390393.9233157048</v>
      </c>
      <c r="BT242" s="129">
        <v>2930516.9060635068</v>
      </c>
      <c r="BU242" s="129">
        <v>2909476.2131884387</v>
      </c>
      <c r="BV242" s="129">
        <v>2655033.8735007276</v>
      </c>
      <c r="BW242" s="129">
        <v>2603337.8814277602</v>
      </c>
      <c r="BX242" s="129">
        <v>2667382.4628141359</v>
      </c>
      <c r="BY242" s="129">
        <v>2820339.8094923422</v>
      </c>
      <c r="BZ242" s="129">
        <v>3289413.8405080615</v>
      </c>
      <c r="CA242" s="129">
        <v>3714502.9566830196</v>
      </c>
      <c r="CB242" s="129">
        <v>3417047.1999027701</v>
      </c>
      <c r="CC242" s="129">
        <v>3319254.4502193797</v>
      </c>
      <c r="CD242" s="129">
        <v>3753461.3363344972</v>
      </c>
      <c r="CE242" s="129">
        <v>4094753.1605177545</v>
      </c>
      <c r="CF242" s="129">
        <v>4108366.2585280221</v>
      </c>
      <c r="CG242" s="129">
        <v>4481952.9015162522</v>
      </c>
      <c r="CH242" s="129">
        <v>4505712.4982939204</v>
      </c>
      <c r="CI242" s="129">
        <v>4181920.5074814754</v>
      </c>
      <c r="CJ242" s="129">
        <v>5167959.7952254694</v>
      </c>
      <c r="CK242" s="129">
        <v>5507651.6027820837</v>
      </c>
      <c r="CL242" s="129">
        <v>6340876.2384895096</v>
      </c>
      <c r="CM242" s="129">
        <v>7405886.048072191</v>
      </c>
      <c r="CN242" s="129">
        <v>7376360.8714768989</v>
      </c>
      <c r="CO242" s="129">
        <v>7369461.1715008719</v>
      </c>
      <c r="CP242" s="129">
        <v>6838082.4219234623</v>
      </c>
      <c r="CQ242" s="129">
        <v>7336439.4941596892</v>
      </c>
      <c r="CR242" s="129">
        <v>6534929.4932712689</v>
      </c>
      <c r="CS242" s="129">
        <v>6526771.5842954582</v>
      </c>
      <c r="CT242" s="129">
        <f>CS242/CS154*CT154</f>
        <v>6166987.2949327184</v>
      </c>
      <c r="CU242" s="129">
        <f t="shared" ref="CU242:DQ242" si="744">CT242/CT154*CU154</f>
        <v>6229752.7783921352</v>
      </c>
      <c r="CV242" s="129">
        <f t="shared" si="744"/>
        <v>6225296.0576731227</v>
      </c>
      <c r="CW242" s="129">
        <f t="shared" si="744"/>
        <v>6319258.5861656247</v>
      </c>
      <c r="CX242" s="129">
        <f t="shared" si="744"/>
        <v>5954550.2739931494</v>
      </c>
      <c r="CY242" s="129">
        <f t="shared" si="744"/>
        <v>6513868.724229143</v>
      </c>
      <c r="CZ242" s="129">
        <f t="shared" si="744"/>
        <v>6333742.9285024125</v>
      </c>
      <c r="DA242" s="129">
        <f t="shared" si="744"/>
        <v>6348598.6642324524</v>
      </c>
      <c r="DB242" s="129">
        <f t="shared" si="744"/>
        <v>7792947.5705855582</v>
      </c>
      <c r="DC242" s="129">
        <f t="shared" si="744"/>
        <v>8396833.2280116715</v>
      </c>
      <c r="DD242" s="129">
        <f t="shared" si="744"/>
        <v>7198718.141383972</v>
      </c>
      <c r="DE242" s="129">
        <f t="shared" si="744"/>
        <v>7778834.6216420205</v>
      </c>
      <c r="DF242" s="129">
        <f t="shared" si="744"/>
        <v>7304796.4508478036</v>
      </c>
      <c r="DG242" s="129">
        <f t="shared" si="744"/>
        <v>7379142.1660054838</v>
      </c>
      <c r="DH242" s="129">
        <f t="shared" si="744"/>
        <v>7373863.1803138154</v>
      </c>
      <c r="DI242" s="129">
        <f t="shared" si="744"/>
        <v>7485161.7953131814</v>
      </c>
      <c r="DJ242" s="129">
        <f t="shared" si="744"/>
        <v>7053164.7995448858</v>
      </c>
      <c r="DK242" s="129">
        <f t="shared" si="744"/>
        <v>7715677.5038494198</v>
      </c>
      <c r="DL242" s="129">
        <f t="shared" si="744"/>
        <v>7502318.4988111071</v>
      </c>
      <c r="DM242" s="129">
        <f t="shared" si="744"/>
        <v>7519915.1177833397</v>
      </c>
      <c r="DN242" s="129">
        <f t="shared" si="744"/>
        <v>9230746.3973585945</v>
      </c>
      <c r="DO242" s="129">
        <f t="shared" si="744"/>
        <v>9946048.9585798252</v>
      </c>
      <c r="DP242" s="129">
        <f t="shared" si="744"/>
        <v>8526881.6384693142</v>
      </c>
      <c r="DQ242" s="129">
        <f t="shared" si="744"/>
        <v>9214029.6093349736</v>
      </c>
      <c r="DR242" s="129">
        <f t="shared" ref="DR242:DR243" si="745">DQ242/DQ154*DR154</f>
        <v>8652531.3960292246</v>
      </c>
      <c r="DS242" s="129">
        <f t="shared" ref="DS242:DS243" si="746">DR242/DR154*DS154</f>
        <v>8740593.8956334963</v>
      </c>
      <c r="DT242" s="129">
        <f t="shared" ref="DT242:DT243" si="747">DS242/DS154*DT154</f>
        <v>8734340.9370817151</v>
      </c>
      <c r="DU242" s="129">
        <f t="shared" ref="DU242:DU243" si="748">DT242/DT154*DU154</f>
        <v>8866174.1465484649</v>
      </c>
      <c r="DV242" s="129">
        <f t="shared" ref="DV242:DV243" si="749">DU242/DU154*DV154</f>
        <v>8354473.7050609179</v>
      </c>
      <c r="DW242" s="129">
        <f t="shared" ref="DW242:DW243" si="750">DV242/DV154*DW154</f>
        <v>9139220.0033096392</v>
      </c>
      <c r="DX242" s="129">
        <f t="shared" ref="DX242:DX243" si="751">DW242/DW154*DX154</f>
        <v>8886496.2618417572</v>
      </c>
      <c r="DY242" s="129">
        <f t="shared" ref="DY242:DY243" si="752">DX242/DX154*DY154</f>
        <v>8907339.4570143651</v>
      </c>
      <c r="DZ242" s="129">
        <f t="shared" ref="DZ242:DZ243" si="753">DY242/DY154*DZ154</f>
        <v>10933819.107671257</v>
      </c>
      <c r="EA242" s="129">
        <f t="shared" ref="EA242:EA243" si="754">DZ242/DZ154*EA154</f>
        <v>11781094.991437804</v>
      </c>
      <c r="EB242" s="129">
        <f t="shared" ref="EB242:EB243" si="755">EA242/EA154*EB154</f>
        <v>10100091.300766902</v>
      </c>
      <c r="EC242" s="129">
        <f t="shared" ref="EC242:EC243" si="756">EB242/EB154*EC154</f>
        <v>10914018.072257275</v>
      </c>
      <c r="ED242" s="113" t="s">
        <v>1</v>
      </c>
    </row>
    <row r="243" spans="1:134" x14ac:dyDescent="0.2">
      <c r="A243" s="713" t="s">
        <v>26</v>
      </c>
      <c r="B243" s="115"/>
      <c r="C243" s="115"/>
      <c r="D243" s="115"/>
      <c r="E243" s="115"/>
      <c r="F243" s="115"/>
      <c r="G243" s="115"/>
      <c r="H243" s="115"/>
      <c r="I243" s="115"/>
      <c r="J243" s="115"/>
      <c r="K243" s="129">
        <v>0</v>
      </c>
      <c r="L243" s="129">
        <v>0</v>
      </c>
      <c r="M243" s="129">
        <v>0</v>
      </c>
      <c r="N243" s="129">
        <v>0</v>
      </c>
      <c r="O243" s="129">
        <v>0</v>
      </c>
      <c r="P243" s="129">
        <v>0</v>
      </c>
      <c r="Q243" s="129">
        <v>0</v>
      </c>
      <c r="R243" s="129">
        <v>0</v>
      </c>
      <c r="S243" s="129">
        <v>0</v>
      </c>
      <c r="T243" s="129">
        <v>0</v>
      </c>
      <c r="U243" s="129">
        <v>0</v>
      </c>
      <c r="V243" s="129">
        <v>0</v>
      </c>
      <c r="W243" s="129">
        <v>0</v>
      </c>
      <c r="X243" s="129">
        <v>0</v>
      </c>
      <c r="Y243" s="129">
        <v>0</v>
      </c>
      <c r="Z243" s="129">
        <v>0</v>
      </c>
      <c r="AA243" s="129">
        <v>0</v>
      </c>
      <c r="AB243" s="129">
        <v>0</v>
      </c>
      <c r="AC243" s="129">
        <v>0</v>
      </c>
      <c r="AD243" s="129">
        <v>0</v>
      </c>
      <c r="AE243" s="129">
        <v>0</v>
      </c>
      <c r="AF243" s="129">
        <v>0</v>
      </c>
      <c r="AG243" s="129">
        <v>0</v>
      </c>
      <c r="AH243" s="129">
        <v>0</v>
      </c>
      <c r="AI243" s="129">
        <v>22095.758561889434</v>
      </c>
      <c r="AJ243" s="129">
        <v>54786.391211401424</v>
      </c>
      <c r="AK243" s="129">
        <v>94021.981158215567</v>
      </c>
      <c r="AL243" s="129">
        <v>96649.139799331097</v>
      </c>
      <c r="AM243" s="129">
        <v>144653.52078053728</v>
      </c>
      <c r="AN243" s="129">
        <v>89305.873037176221</v>
      </c>
      <c r="AO243" s="129">
        <v>74082.854373115028</v>
      </c>
      <c r="AP243" s="129">
        <v>84425.994889093316</v>
      </c>
      <c r="AQ243" s="129">
        <v>78587.552712384859</v>
      </c>
      <c r="AR243" s="129">
        <v>31924.812629564662</v>
      </c>
      <c r="AS243" s="129">
        <v>99228.689372937297</v>
      </c>
      <c r="AT243" s="129">
        <v>105819.31671261805</v>
      </c>
      <c r="AU243" s="129">
        <v>141878.01764517164</v>
      </c>
      <c r="AV243" s="129">
        <v>177028.33768007261</v>
      </c>
      <c r="AW243" s="129">
        <v>109447.08612758412</v>
      </c>
      <c r="AX243" s="129">
        <v>232987.03011390235</v>
      </c>
      <c r="AY243" s="129">
        <v>311091.53559521592</v>
      </c>
      <c r="AZ243" s="129">
        <v>670777.72824984696</v>
      </c>
      <c r="BA243" s="129">
        <v>647931.5993363742</v>
      </c>
      <c r="BB243" s="129">
        <v>665346.55536716559</v>
      </c>
      <c r="BC243" s="129">
        <v>695483.81832393212</v>
      </c>
      <c r="BD243" s="129">
        <v>1039809.3028778087</v>
      </c>
      <c r="BE243" s="129">
        <v>820568.72173704649</v>
      </c>
      <c r="BF243" s="129">
        <v>764031.74252422457</v>
      </c>
      <c r="BG243" s="129">
        <v>715746.19709611847</v>
      </c>
      <c r="BH243" s="129">
        <v>1068141.2699570905</v>
      </c>
      <c r="BI243" s="129">
        <v>1460071.7867049873</v>
      </c>
      <c r="BJ243" s="129">
        <v>2106087.786185347</v>
      </c>
      <c r="BK243" s="129">
        <v>2387984.9617390623</v>
      </c>
      <c r="BL243" s="129">
        <v>2552834.4693151573</v>
      </c>
      <c r="BM243" s="129">
        <v>1688311.5095988791</v>
      </c>
      <c r="BN243" s="129">
        <v>2627708.6764174467</v>
      </c>
      <c r="BO243" s="129">
        <v>2827976.9618800394</v>
      </c>
      <c r="BP243" s="129">
        <v>3068407.9053024724</v>
      </c>
      <c r="BQ243" s="129">
        <v>3434601.8202034058</v>
      </c>
      <c r="BR243" s="129">
        <v>2612234.7805886399</v>
      </c>
      <c r="BS243" s="129">
        <v>2608919.5679307701</v>
      </c>
      <c r="BT243" s="129">
        <v>2246418.7469317396</v>
      </c>
      <c r="BU243" s="129">
        <v>2136964.9230026691</v>
      </c>
      <c r="BV243" s="129">
        <v>1834152.8441221269</v>
      </c>
      <c r="BW243" s="129">
        <v>2198272.1512224623</v>
      </c>
      <c r="BX243" s="129">
        <v>2406501.424273747</v>
      </c>
      <c r="BY243" s="129">
        <v>2533847.7859668895</v>
      </c>
      <c r="BZ243" s="129">
        <v>2613834.8727828166</v>
      </c>
      <c r="CA243" s="129">
        <v>2843130.5115795624</v>
      </c>
      <c r="CB243" s="129">
        <v>2541501.3506709766</v>
      </c>
      <c r="CC243" s="129">
        <v>2268982.3143141023</v>
      </c>
      <c r="CD243" s="129">
        <v>2589577.6755605452</v>
      </c>
      <c r="CE243" s="129">
        <v>2674753.8227745765</v>
      </c>
      <c r="CF243" s="129">
        <v>2644398.9575792425</v>
      </c>
      <c r="CG243" s="129">
        <v>2886410.9966640742</v>
      </c>
      <c r="CH243" s="129">
        <v>2938380.819976768</v>
      </c>
      <c r="CI243" s="129">
        <v>2760714.8516978077</v>
      </c>
      <c r="CJ243" s="129">
        <v>3034225.4631983824</v>
      </c>
      <c r="CK243" s="129">
        <v>3531875.8095636084</v>
      </c>
      <c r="CL243" s="129">
        <v>3907048.0811027349</v>
      </c>
      <c r="CM243" s="129">
        <v>4315523.0835891524</v>
      </c>
      <c r="CN243" s="129">
        <v>4219898.3779057097</v>
      </c>
      <c r="CO243" s="129">
        <v>4428637.9494896336</v>
      </c>
      <c r="CP243" s="129">
        <v>4055199.3330313554</v>
      </c>
      <c r="CQ243" s="129">
        <v>4309146.3037603898</v>
      </c>
      <c r="CR243" s="129">
        <v>3913899.1750564701</v>
      </c>
      <c r="CS243" s="129">
        <v>3891328.6038267845</v>
      </c>
      <c r="CT243" s="129">
        <f>CS243/CS155*CT155</f>
        <v>3689919.8015985824</v>
      </c>
      <c r="CU243" s="129">
        <f t="shared" ref="CU243:DQ243" si="757">CT243/CT155*CU155</f>
        <v>3727474.5409222892</v>
      </c>
      <c r="CV243" s="129">
        <f t="shared" si="757"/>
        <v>3724807.9322129139</v>
      </c>
      <c r="CW243" s="129">
        <f t="shared" si="757"/>
        <v>3781028.9325022511</v>
      </c>
      <c r="CX243" s="129">
        <f t="shared" si="757"/>
        <v>3562811.4531183415</v>
      </c>
      <c r="CY243" s="129">
        <f t="shared" si="757"/>
        <v>3897470.8461449882</v>
      </c>
      <c r="CZ243" s="129">
        <f t="shared" si="757"/>
        <v>3789695.4108077218</v>
      </c>
      <c r="DA243" s="129">
        <f t="shared" si="757"/>
        <v>3798584.1065056408</v>
      </c>
      <c r="DB243" s="129">
        <f t="shared" si="757"/>
        <v>4662787.5457358053</v>
      </c>
      <c r="DC243" s="129">
        <f t="shared" si="757"/>
        <v>5024113.025856209</v>
      </c>
      <c r="DD243" s="129">
        <f t="shared" si="757"/>
        <v>4307239.71781905</v>
      </c>
      <c r="DE243" s="129">
        <f t="shared" si="757"/>
        <v>4654343.2848227834</v>
      </c>
      <c r="DF243" s="129">
        <f t="shared" si="757"/>
        <v>4370710.0049935225</v>
      </c>
      <c r="DG243" s="129">
        <f t="shared" si="757"/>
        <v>4415193.5937224543</v>
      </c>
      <c r="DH243" s="129">
        <f t="shared" si="757"/>
        <v>4412034.9957061997</v>
      </c>
      <c r="DI243" s="129">
        <f t="shared" si="757"/>
        <v>4478628.7705489192</v>
      </c>
      <c r="DJ243" s="129">
        <f t="shared" si="757"/>
        <v>4220150.1662186785</v>
      </c>
      <c r="DK243" s="129">
        <f t="shared" si="757"/>
        <v>4616554.2172587421</v>
      </c>
      <c r="DL243" s="129">
        <f t="shared" si="757"/>
        <v>4488894.2141017504</v>
      </c>
      <c r="DM243" s="129">
        <f t="shared" si="757"/>
        <v>4499422.8741559358</v>
      </c>
      <c r="DN243" s="129">
        <f t="shared" si="757"/>
        <v>5523071.8479240667</v>
      </c>
      <c r="DO243" s="129">
        <f t="shared" si="757"/>
        <v>5951061.8791266857</v>
      </c>
      <c r="DP243" s="129">
        <f t="shared" si="757"/>
        <v>5101925.4457566692</v>
      </c>
      <c r="DQ243" s="129">
        <f t="shared" si="757"/>
        <v>5513069.6208725907</v>
      </c>
      <c r="DR243" s="129">
        <f t="shared" si="745"/>
        <v>5177106.0009148298</v>
      </c>
      <c r="DS243" s="129">
        <f t="shared" si="746"/>
        <v>5229796.8117642496</v>
      </c>
      <c r="DT243" s="129">
        <f t="shared" si="747"/>
        <v>5226055.4524139948</v>
      </c>
      <c r="DU243" s="129">
        <f t="shared" si="748"/>
        <v>5304935.778715197</v>
      </c>
      <c r="DV243" s="129">
        <f t="shared" si="749"/>
        <v>4998767.871886027</v>
      </c>
      <c r="DW243" s="129">
        <f t="shared" si="750"/>
        <v>5468308.4703429816</v>
      </c>
      <c r="DX243" s="129">
        <f t="shared" si="751"/>
        <v>5317095.1966035236</v>
      </c>
      <c r="DY243" s="129">
        <f t="shared" si="752"/>
        <v>5329566.3944377052</v>
      </c>
      <c r="DZ243" s="129">
        <f t="shared" si="753"/>
        <v>6542078.6038660565</v>
      </c>
      <c r="EA243" s="129">
        <f t="shared" si="754"/>
        <v>7049032.7958255569</v>
      </c>
      <c r="EB243" s="129">
        <f t="shared" si="755"/>
        <v>6043230.690498773</v>
      </c>
      <c r="EC243" s="129">
        <f t="shared" si="756"/>
        <v>6530230.9659235831</v>
      </c>
      <c r="ED243" s="113" t="s">
        <v>1</v>
      </c>
    </row>
    <row r="244" spans="1:134" x14ac:dyDescent="0.2">
      <c r="A244" s="713"/>
      <c r="B244" s="115"/>
      <c r="C244" s="115"/>
      <c r="D244" s="115"/>
      <c r="E244" s="115"/>
      <c r="F244" s="115"/>
      <c r="G244" s="115"/>
      <c r="H244" s="115"/>
      <c r="I244" s="115"/>
      <c r="J244" s="115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15"/>
      <c r="CU244" s="115"/>
      <c r="CV244" s="115"/>
      <c r="CW244" s="115"/>
      <c r="CX244" s="115"/>
      <c r="CY244" s="115"/>
      <c r="CZ244" s="115"/>
      <c r="DA244" s="115"/>
      <c r="DB244" s="115"/>
      <c r="DC244" s="115"/>
      <c r="DD244" s="115"/>
      <c r="DE244" s="115"/>
      <c r="DF244" s="115"/>
      <c r="DG244" s="115"/>
      <c r="DH244" s="115"/>
      <c r="DI244" s="115"/>
      <c r="DJ244" s="115"/>
      <c r="DK244" s="115"/>
      <c r="DL244" s="115"/>
      <c r="DM244" s="115"/>
      <c r="DN244" s="115"/>
      <c r="DO244" s="115"/>
      <c r="DP244" s="115"/>
      <c r="DQ244" s="115"/>
      <c r="DR244" s="115"/>
      <c r="DS244" s="115"/>
      <c r="DT244" s="115"/>
      <c r="DU244" s="115"/>
      <c r="DV244" s="115"/>
      <c r="DW244" s="115"/>
      <c r="DX244" s="115"/>
      <c r="DY244" s="115"/>
      <c r="DZ244" s="115"/>
      <c r="EA244" s="115"/>
      <c r="EB244" s="115"/>
      <c r="EC244" s="645"/>
      <c r="ED244" s="113" t="s">
        <v>1</v>
      </c>
    </row>
    <row r="245" spans="1:134" x14ac:dyDescent="0.2">
      <c r="A245" s="712" t="s">
        <v>133</v>
      </c>
      <c r="B245" s="115"/>
      <c r="C245" s="115"/>
      <c r="D245" s="115"/>
      <c r="E245" s="115"/>
      <c r="F245" s="115"/>
      <c r="G245" s="115"/>
      <c r="H245" s="115"/>
      <c r="I245" s="115"/>
      <c r="J245" s="115"/>
      <c r="K245" s="129">
        <v>394535.4147843942</v>
      </c>
      <c r="L245" s="129">
        <v>2433846.05034965</v>
      </c>
      <c r="M245" s="129">
        <v>13810592.014258556</v>
      </c>
      <c r="N245" s="129">
        <v>20105459.368441757</v>
      </c>
      <c r="O245" s="129">
        <v>22948226.186251927</v>
      </c>
      <c r="P245" s="129">
        <v>15162121.254467007</v>
      </c>
      <c r="Q245" s="129">
        <v>31199346.387183223</v>
      </c>
      <c r="R245" s="129">
        <v>19865598.599548992</v>
      </c>
      <c r="S245" s="129">
        <v>32481897.22558156</v>
      </c>
      <c r="T245" s="129">
        <v>25569304.416226413</v>
      </c>
      <c r="U245" s="129">
        <v>7979457.6289513912</v>
      </c>
      <c r="V245" s="129">
        <v>13491163.43700527</v>
      </c>
      <c r="W245" s="129">
        <v>21473283.635944605</v>
      </c>
      <c r="X245" s="129">
        <v>1562133.4356053874</v>
      </c>
      <c r="Y245" s="129">
        <v>12898410.516812328</v>
      </c>
      <c r="Z245" s="129">
        <v>-2216959.5399999996</v>
      </c>
      <c r="AA245" s="129">
        <v>16003985.805594876</v>
      </c>
      <c r="AB245" s="129">
        <v>8587914.5127351154</v>
      </c>
      <c r="AC245" s="129">
        <v>4209942.9664314771</v>
      </c>
      <c r="AD245" s="129">
        <v>4924201.3500906713</v>
      </c>
      <c r="AE245" s="129">
        <v>6821122.9728965666</v>
      </c>
      <c r="AF245" s="129">
        <v>13986114.423587931</v>
      </c>
      <c r="AG245" s="129">
        <v>12582259.849593852</v>
      </c>
      <c r="AH245" s="129">
        <v>15668319.022134239</v>
      </c>
      <c r="AI245" s="129">
        <v>21043209.546385061</v>
      </c>
      <c r="AJ245" s="129">
        <v>11223985.102229355</v>
      </c>
      <c r="AK245" s="129">
        <v>15105492.258439461</v>
      </c>
      <c r="AL245" s="129">
        <v>12026208.493318053</v>
      </c>
      <c r="AM245" s="129">
        <v>7103919.1764913024</v>
      </c>
      <c r="AN245" s="129">
        <v>11167740.056722684</v>
      </c>
      <c r="AO245" s="129">
        <v>8219168.0681908587</v>
      </c>
      <c r="AP245" s="129">
        <v>3713532.8562039058</v>
      </c>
      <c r="AQ245" s="129">
        <v>4507213.4218681091</v>
      </c>
      <c r="AR245" s="129">
        <v>8485494.9459672179</v>
      </c>
      <c r="AS245" s="129">
        <v>17272771.042116929</v>
      </c>
      <c r="AT245" s="129">
        <v>20611702.217654198</v>
      </c>
      <c r="AU245" s="129">
        <v>18955050.23497019</v>
      </c>
      <c r="AV245" s="129">
        <v>12885038.512909986</v>
      </c>
      <c r="AW245" s="129">
        <v>3581257.4336635377</v>
      </c>
      <c r="AX245" s="129">
        <v>2452292.7179579837</v>
      </c>
      <c r="AY245" s="129">
        <v>6259473.5602494748</v>
      </c>
      <c r="AZ245" s="129">
        <v>3283703.2251476264</v>
      </c>
      <c r="BA245" s="129">
        <v>6518917.833209442</v>
      </c>
      <c r="BB245" s="129">
        <v>5130749.356841444</v>
      </c>
      <c r="BC245" s="129">
        <v>12476223.416888759</v>
      </c>
      <c r="BD245" s="129">
        <v>15303075.731124027</v>
      </c>
      <c r="BE245" s="129">
        <v>16105303.093793193</v>
      </c>
      <c r="BF245" s="129">
        <v>10782072.840403292</v>
      </c>
      <c r="BG245" s="129">
        <v>9359915.8751542382</v>
      </c>
      <c r="BH245" s="129">
        <v>16556090.351309076</v>
      </c>
      <c r="BI245" s="129">
        <v>21933781.072257262</v>
      </c>
      <c r="BJ245" s="129">
        <v>14100459.658718616</v>
      </c>
      <c r="BK245" s="129">
        <v>-1589052.546440678</v>
      </c>
      <c r="BL245" s="129">
        <v>-164904.75254237288</v>
      </c>
      <c r="BM245" s="129">
        <v>0</v>
      </c>
      <c r="BN245" s="129">
        <v>0</v>
      </c>
      <c r="BO245" s="129">
        <v>0</v>
      </c>
      <c r="BP245" s="129">
        <v>0</v>
      </c>
      <c r="BQ245" s="129">
        <v>0</v>
      </c>
      <c r="BR245" s="129">
        <v>0</v>
      </c>
      <c r="BS245" s="129">
        <v>0</v>
      </c>
      <c r="BT245" s="129">
        <v>0</v>
      </c>
      <c r="BU245" s="129">
        <v>0</v>
      </c>
      <c r="BV245" s="129">
        <v>0</v>
      </c>
      <c r="BW245" s="129">
        <v>0</v>
      </c>
      <c r="BX245" s="129">
        <v>0</v>
      </c>
      <c r="BY245" s="129">
        <v>0</v>
      </c>
      <c r="BZ245" s="129">
        <v>0</v>
      </c>
      <c r="CA245" s="129">
        <v>0</v>
      </c>
      <c r="CB245" s="129">
        <v>0</v>
      </c>
      <c r="CC245" s="129">
        <v>0</v>
      </c>
      <c r="CD245" s="129">
        <v>0</v>
      </c>
      <c r="CE245" s="129">
        <v>0</v>
      </c>
      <c r="CF245" s="129">
        <v>0</v>
      </c>
      <c r="CG245" s="129">
        <v>0</v>
      </c>
      <c r="CH245" s="129">
        <v>0</v>
      </c>
      <c r="CI245" s="129">
        <v>0</v>
      </c>
      <c r="CJ245" s="129">
        <v>0</v>
      </c>
      <c r="CK245" s="129">
        <v>0</v>
      </c>
      <c r="CL245" s="129">
        <v>0</v>
      </c>
      <c r="CM245" s="129">
        <v>0</v>
      </c>
      <c r="CN245" s="129">
        <v>0</v>
      </c>
      <c r="CO245" s="129">
        <v>0</v>
      </c>
      <c r="CP245" s="129">
        <v>0</v>
      </c>
      <c r="CQ245" s="129">
        <v>0</v>
      </c>
      <c r="CR245" s="129">
        <v>0</v>
      </c>
      <c r="CS245" s="129">
        <v>0</v>
      </c>
      <c r="CT245" s="130">
        <f>CS245</f>
        <v>0</v>
      </c>
      <c r="CU245" s="130">
        <f t="shared" ref="CU245:DQ245" si="758">CT245</f>
        <v>0</v>
      </c>
      <c r="CV245" s="130">
        <f t="shared" si="758"/>
        <v>0</v>
      </c>
      <c r="CW245" s="130">
        <f t="shared" si="758"/>
        <v>0</v>
      </c>
      <c r="CX245" s="130">
        <f t="shared" si="758"/>
        <v>0</v>
      </c>
      <c r="CY245" s="130">
        <f t="shared" si="758"/>
        <v>0</v>
      </c>
      <c r="CZ245" s="130">
        <f t="shared" si="758"/>
        <v>0</v>
      </c>
      <c r="DA245" s="130">
        <f t="shared" si="758"/>
        <v>0</v>
      </c>
      <c r="DB245" s="130">
        <f t="shared" si="758"/>
        <v>0</v>
      </c>
      <c r="DC245" s="130">
        <f t="shared" si="758"/>
        <v>0</v>
      </c>
      <c r="DD245" s="130">
        <f t="shared" si="758"/>
        <v>0</v>
      </c>
      <c r="DE245" s="130">
        <f t="shared" si="758"/>
        <v>0</v>
      </c>
      <c r="DF245" s="130">
        <f t="shared" si="758"/>
        <v>0</v>
      </c>
      <c r="DG245" s="130">
        <f t="shared" si="758"/>
        <v>0</v>
      </c>
      <c r="DH245" s="130">
        <f t="shared" si="758"/>
        <v>0</v>
      </c>
      <c r="DI245" s="130">
        <f t="shared" si="758"/>
        <v>0</v>
      </c>
      <c r="DJ245" s="130">
        <f t="shared" si="758"/>
        <v>0</v>
      </c>
      <c r="DK245" s="130">
        <f t="shared" si="758"/>
        <v>0</v>
      </c>
      <c r="DL245" s="130">
        <f t="shared" si="758"/>
        <v>0</v>
      </c>
      <c r="DM245" s="130">
        <f t="shared" si="758"/>
        <v>0</v>
      </c>
      <c r="DN245" s="130">
        <f t="shared" si="758"/>
        <v>0</v>
      </c>
      <c r="DO245" s="130">
        <f t="shared" si="758"/>
        <v>0</v>
      </c>
      <c r="DP245" s="130">
        <f t="shared" si="758"/>
        <v>0</v>
      </c>
      <c r="DQ245" s="130">
        <f t="shared" si="758"/>
        <v>0</v>
      </c>
      <c r="DR245" s="115"/>
      <c r="DS245" s="115"/>
      <c r="DT245" s="115"/>
      <c r="DU245" s="115"/>
      <c r="DV245" s="115"/>
      <c r="DW245" s="115"/>
      <c r="DX245" s="115"/>
      <c r="DY245" s="115"/>
      <c r="DZ245" s="115"/>
      <c r="EA245" s="115"/>
      <c r="EB245" s="115"/>
      <c r="EC245" s="645"/>
      <c r="ED245" s="113" t="s">
        <v>1</v>
      </c>
    </row>
    <row r="246" spans="1:134" x14ac:dyDescent="0.2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  <c r="AG246" s="130"/>
      <c r="AH246" s="130"/>
      <c r="AI246" s="130"/>
      <c r="AJ246" s="130"/>
      <c r="AK246" s="130"/>
      <c r="AL246" s="130"/>
      <c r="AM246" s="130"/>
      <c r="AN246" s="130"/>
      <c r="AO246" s="130"/>
      <c r="AP246" s="130"/>
      <c r="AQ246" s="130"/>
      <c r="AR246" s="130"/>
      <c r="AS246" s="130"/>
      <c r="AT246" s="130"/>
      <c r="AU246" s="130"/>
      <c r="AV246" s="130"/>
      <c r="AW246" s="130"/>
      <c r="AX246" s="130"/>
      <c r="AY246" s="130"/>
      <c r="AZ246" s="130"/>
      <c r="BA246" s="130"/>
      <c r="BB246" s="130"/>
      <c r="BC246" s="130"/>
      <c r="BD246" s="130"/>
      <c r="BE246" s="130"/>
      <c r="BF246" s="130"/>
      <c r="BG246" s="130"/>
      <c r="BH246" s="130"/>
      <c r="BI246" s="130"/>
      <c r="BJ246" s="130"/>
      <c r="BK246" s="130"/>
      <c r="BL246" s="130"/>
      <c r="BM246" s="130"/>
      <c r="BN246" s="130"/>
      <c r="BO246" s="130"/>
      <c r="BP246" s="130"/>
      <c r="BQ246" s="130"/>
      <c r="BR246" s="130"/>
      <c r="BS246" s="130"/>
      <c r="BT246" s="130"/>
      <c r="BU246" s="130"/>
      <c r="BV246" s="130"/>
      <c r="BW246" s="130"/>
      <c r="BX246" s="130"/>
      <c r="BY246" s="130"/>
      <c r="BZ246" s="130"/>
      <c r="CA246" s="130"/>
      <c r="CB246" s="130"/>
      <c r="CC246" s="130"/>
      <c r="CD246" s="130"/>
      <c r="CE246" s="130"/>
      <c r="CF246" s="130"/>
      <c r="CG246" s="130"/>
      <c r="CH246" s="130"/>
      <c r="CI246" s="130"/>
      <c r="CJ246" s="130"/>
      <c r="CK246" s="130"/>
      <c r="CL246" s="130"/>
      <c r="CM246" s="130"/>
      <c r="CN246" s="130"/>
      <c r="CO246" s="130"/>
      <c r="CP246" s="130"/>
      <c r="CQ246" s="130"/>
      <c r="CR246" s="130"/>
      <c r="CS246" s="130"/>
      <c r="CT246" s="130"/>
      <c r="CU246" s="130"/>
      <c r="CV246" s="130"/>
      <c r="CW246" s="130"/>
      <c r="CX246" s="130"/>
      <c r="CY246" s="130"/>
      <c r="CZ246" s="130"/>
      <c r="DA246" s="130"/>
      <c r="DB246" s="130"/>
      <c r="DC246" s="130"/>
      <c r="DD246" s="130"/>
      <c r="DE246" s="130"/>
      <c r="DF246" s="130"/>
      <c r="DG246" s="130"/>
      <c r="DH246" s="130"/>
      <c r="DI246" s="130"/>
      <c r="DJ246" s="130"/>
      <c r="DK246" s="130"/>
      <c r="DL246" s="130"/>
      <c r="DM246" s="130"/>
      <c r="DN246" s="130"/>
      <c r="DO246" s="130"/>
      <c r="DP246" s="115"/>
      <c r="DQ246" s="115"/>
      <c r="DR246" s="115"/>
      <c r="DS246" s="115"/>
      <c r="DT246" s="115"/>
      <c r="DU246" s="115"/>
      <c r="DV246" s="115"/>
      <c r="DW246" s="115"/>
      <c r="DX246" s="115"/>
      <c r="DY246" s="115"/>
      <c r="DZ246" s="115"/>
      <c r="EA246" s="115"/>
      <c r="EB246" s="115"/>
      <c r="EC246" s="645"/>
      <c r="ED246" s="113" t="s">
        <v>1</v>
      </c>
    </row>
    <row r="247" spans="1:134" x14ac:dyDescent="0.2">
      <c r="A247" s="700" t="s">
        <v>100</v>
      </c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115"/>
      <c r="AM247" s="115"/>
      <c r="AN247" s="115"/>
      <c r="AO247" s="115"/>
      <c r="AP247" s="115"/>
      <c r="AQ247" s="115"/>
      <c r="AR247" s="115"/>
      <c r="AS247" s="115"/>
      <c r="AT247" s="115"/>
      <c r="AU247" s="115"/>
      <c r="AV247" s="115"/>
      <c r="AW247" s="115"/>
      <c r="AX247" s="115"/>
      <c r="AY247" s="115"/>
      <c r="AZ247" s="115"/>
      <c r="BA247" s="115"/>
      <c r="BB247" s="115"/>
      <c r="BC247" s="115"/>
      <c r="BD247" s="115"/>
      <c r="BE247" s="115"/>
      <c r="BF247" s="115"/>
      <c r="BG247" s="115"/>
      <c r="BH247" s="115"/>
      <c r="BI247" s="115"/>
      <c r="BJ247" s="115"/>
      <c r="BK247" s="115"/>
      <c r="BL247" s="115"/>
      <c r="BM247" s="115"/>
      <c r="BN247" s="115"/>
      <c r="BO247" s="115"/>
      <c r="BP247" s="115"/>
      <c r="BQ247" s="115"/>
      <c r="BR247" s="115"/>
      <c r="BS247" s="115"/>
      <c r="BT247" s="115"/>
      <c r="BU247" s="115"/>
      <c r="BV247" s="115"/>
      <c r="BW247" s="115"/>
      <c r="BX247" s="115"/>
      <c r="BY247" s="115"/>
      <c r="BZ247" s="115"/>
      <c r="CA247" s="115"/>
      <c r="CB247" s="115"/>
      <c r="CC247" s="115"/>
      <c r="CD247" s="115"/>
      <c r="CE247" s="115"/>
      <c r="CF247" s="115"/>
      <c r="CG247" s="115"/>
      <c r="CH247" s="115"/>
      <c r="CI247" s="115"/>
      <c r="CJ247" s="115"/>
      <c r="CK247" s="115"/>
      <c r="CL247" s="115"/>
      <c r="CM247" s="115"/>
      <c r="CN247" s="115"/>
      <c r="CO247" s="115"/>
      <c r="CP247" s="115"/>
      <c r="CQ247" s="115"/>
      <c r="CR247" s="115"/>
      <c r="CS247" s="130"/>
      <c r="CT247" s="115"/>
      <c r="CU247" s="115"/>
      <c r="CV247" s="115"/>
      <c r="CW247" s="115"/>
      <c r="CX247" s="115"/>
      <c r="CY247" s="115"/>
      <c r="CZ247" s="115"/>
      <c r="DA247" s="115"/>
      <c r="DB247" s="115"/>
      <c r="DC247" s="115"/>
      <c r="DD247" s="115"/>
      <c r="DE247" s="115"/>
      <c r="DF247" s="115"/>
      <c r="DG247" s="115"/>
      <c r="DH247" s="115"/>
      <c r="DI247" s="115"/>
      <c r="DJ247" s="115"/>
      <c r="DK247" s="115"/>
      <c r="DL247" s="115"/>
      <c r="DM247" s="115"/>
      <c r="DN247" s="115"/>
      <c r="DO247" s="115"/>
      <c r="DP247" s="115"/>
      <c r="DQ247" s="115"/>
      <c r="DR247" s="115"/>
      <c r="DS247" s="115"/>
      <c r="DT247" s="115"/>
      <c r="DU247" s="115"/>
      <c r="DV247" s="115"/>
      <c r="DW247" s="115"/>
      <c r="DX247" s="115"/>
      <c r="DY247" s="115"/>
      <c r="DZ247" s="115"/>
      <c r="EA247" s="115"/>
      <c r="EB247" s="115"/>
      <c r="EC247" s="645"/>
      <c r="ED247" s="113" t="s">
        <v>1</v>
      </c>
    </row>
    <row r="248" spans="1:134" x14ac:dyDescent="0.2">
      <c r="A248" s="707" t="s">
        <v>244</v>
      </c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15"/>
      <c r="AL248" s="133">
        <f t="shared" ref="AL248:BQ248" si="759">AL225/AL219</f>
        <v>0.63572093069237467</v>
      </c>
      <c r="AM248" s="133">
        <f t="shared" si="759"/>
        <v>0.64454885946984408</v>
      </c>
      <c r="AN248" s="133">
        <f t="shared" si="759"/>
        <v>0.64787449020671273</v>
      </c>
      <c r="AO248" s="133">
        <f t="shared" si="759"/>
        <v>0.60580632920845445</v>
      </c>
      <c r="AP248" s="133">
        <f t="shared" si="759"/>
        <v>0.61457488395884352</v>
      </c>
      <c r="AQ248" s="133">
        <f t="shared" si="759"/>
        <v>0.6303719912817749</v>
      </c>
      <c r="AR248" s="133">
        <f t="shared" si="759"/>
        <v>0.61381893615327987</v>
      </c>
      <c r="AS248" s="133">
        <f t="shared" si="759"/>
        <v>0.64151614891428754</v>
      </c>
      <c r="AT248" s="133">
        <f t="shared" si="759"/>
        <v>0.63475127437320145</v>
      </c>
      <c r="AU248" s="133">
        <f t="shared" si="759"/>
        <v>0.65020135467047746</v>
      </c>
      <c r="AV248" s="133">
        <f t="shared" si="759"/>
        <v>0.64760440030508115</v>
      </c>
      <c r="AW248" s="133">
        <f t="shared" si="759"/>
        <v>0.67089336171884906</v>
      </c>
      <c r="AX248" s="133">
        <f t="shared" si="759"/>
        <v>0.6680301199728661</v>
      </c>
      <c r="AY248" s="133">
        <f t="shared" si="759"/>
        <v>0.68692918931862601</v>
      </c>
      <c r="AZ248" s="133">
        <f t="shared" si="759"/>
        <v>0.71747772672469101</v>
      </c>
      <c r="BA248" s="133">
        <f t="shared" si="759"/>
        <v>0.69842302610463669</v>
      </c>
      <c r="BB248" s="133">
        <f t="shared" si="759"/>
        <v>0.65801366957411767</v>
      </c>
      <c r="BC248" s="133">
        <f t="shared" si="759"/>
        <v>0.6738031638106442</v>
      </c>
      <c r="BD248" s="133">
        <f t="shared" si="759"/>
        <v>0.70790856811727487</v>
      </c>
      <c r="BE248" s="133">
        <f t="shared" si="759"/>
        <v>0.71674101524550471</v>
      </c>
      <c r="BF248" s="133">
        <f t="shared" si="759"/>
        <v>0.7226264250960831</v>
      </c>
      <c r="BG248" s="133">
        <f t="shared" si="759"/>
        <v>0.74070213350629266</v>
      </c>
      <c r="BH248" s="133">
        <f t="shared" si="759"/>
        <v>0.73980688223594571</v>
      </c>
      <c r="BI248" s="133">
        <f t="shared" si="759"/>
        <v>0.76050415191423071</v>
      </c>
      <c r="BJ248" s="133">
        <f t="shared" si="759"/>
        <v>0.77561911179889875</v>
      </c>
      <c r="BK248" s="133">
        <f t="shared" si="759"/>
        <v>0.76270215997015212</v>
      </c>
      <c r="BL248" s="133">
        <f t="shared" si="759"/>
        <v>0.75891627467228473</v>
      </c>
      <c r="BM248" s="133">
        <f t="shared" si="759"/>
        <v>0.76387275968627899</v>
      </c>
      <c r="BN248" s="133">
        <f t="shared" si="759"/>
        <v>0.73967780283054718</v>
      </c>
      <c r="BO248" s="133">
        <f t="shared" si="759"/>
        <v>0.78814058098300366</v>
      </c>
      <c r="BP248" s="133">
        <f t="shared" si="759"/>
        <v>0.77637657633411539</v>
      </c>
      <c r="BQ248" s="133">
        <f t="shared" si="759"/>
        <v>0.7427755828943039</v>
      </c>
      <c r="BR248" s="133">
        <f t="shared" ref="BR248:CS248" si="760">BR225/BR219</f>
        <v>0.73602931509349334</v>
      </c>
      <c r="BS248" s="133">
        <f t="shared" si="760"/>
        <v>0.71357575712497701</v>
      </c>
      <c r="BT248" s="133">
        <f t="shared" si="760"/>
        <v>0.67562032952985318</v>
      </c>
      <c r="BU248" s="133">
        <f t="shared" si="760"/>
        <v>0.68931504635313434</v>
      </c>
      <c r="BV248" s="133">
        <f t="shared" si="760"/>
        <v>0.71426745452434126</v>
      </c>
      <c r="BW248" s="133">
        <f t="shared" si="760"/>
        <v>0.71593101413850879</v>
      </c>
      <c r="BX248" s="133">
        <f t="shared" si="760"/>
        <v>0.68800905435671533</v>
      </c>
      <c r="BY248" s="133">
        <f t="shared" si="760"/>
        <v>0.69964514325031346</v>
      </c>
      <c r="BZ248" s="133">
        <f t="shared" si="760"/>
        <v>0.69612304521698876</v>
      </c>
      <c r="CA248" s="133">
        <f t="shared" si="760"/>
        <v>0.69833196624612071</v>
      </c>
      <c r="CB248" s="133">
        <f t="shared" si="760"/>
        <v>0.69948919654430164</v>
      </c>
      <c r="CC248" s="133">
        <f t="shared" si="760"/>
        <v>0.71342997009616038</v>
      </c>
      <c r="CD248" s="133">
        <f t="shared" si="760"/>
        <v>0.72137726332000174</v>
      </c>
      <c r="CE248" s="133">
        <f t="shared" si="760"/>
        <v>0.72449443838384864</v>
      </c>
      <c r="CF248" s="133">
        <f t="shared" si="760"/>
        <v>0.73414393755046869</v>
      </c>
      <c r="CG248" s="133">
        <f t="shared" si="760"/>
        <v>0.72277614470688101</v>
      </c>
      <c r="CH248" s="133">
        <f t="shared" si="760"/>
        <v>0.72416063005416875</v>
      </c>
      <c r="CI248" s="133">
        <f t="shared" si="760"/>
        <v>0.72514497624682983</v>
      </c>
      <c r="CJ248" s="133">
        <f t="shared" si="760"/>
        <v>0.71153337441976183</v>
      </c>
      <c r="CK248" s="133">
        <f t="shared" si="760"/>
        <v>0.70538022964041536</v>
      </c>
      <c r="CL248" s="133">
        <f t="shared" si="760"/>
        <v>0.68440360980919024</v>
      </c>
      <c r="CM248" s="133">
        <f t="shared" si="760"/>
        <v>0.72673921068024039</v>
      </c>
      <c r="CN248" s="133">
        <f t="shared" si="760"/>
        <v>0.70642531189763491</v>
      </c>
      <c r="CO248" s="133">
        <f t="shared" si="760"/>
        <v>0.71652967556446867</v>
      </c>
      <c r="CP248" s="133">
        <f t="shared" si="760"/>
        <v>0.71548251115249639</v>
      </c>
      <c r="CQ248" s="133">
        <f t="shared" si="760"/>
        <v>0.71099522194634968</v>
      </c>
      <c r="CR248" s="133">
        <f t="shared" si="760"/>
        <v>0.70754946293858623</v>
      </c>
      <c r="CS248" s="133">
        <f t="shared" si="760"/>
        <v>0.72636316320241057</v>
      </c>
      <c r="CT248" s="133">
        <f>AVERAGE(CH248:CS248)</f>
        <v>0.71339228146271283</v>
      </c>
      <c r="CU248" s="133">
        <f>CT248</f>
        <v>0.71339228146271283</v>
      </c>
      <c r="CV248" s="133">
        <f t="shared" ref="CV248:EC248" si="761">CU248</f>
        <v>0.71339228146271283</v>
      </c>
      <c r="CW248" s="133">
        <f t="shared" si="761"/>
        <v>0.71339228146271283</v>
      </c>
      <c r="CX248" s="133">
        <f t="shared" si="761"/>
        <v>0.71339228146271283</v>
      </c>
      <c r="CY248" s="133">
        <f t="shared" si="761"/>
        <v>0.71339228146271283</v>
      </c>
      <c r="CZ248" s="133">
        <f t="shared" si="761"/>
        <v>0.71339228146271283</v>
      </c>
      <c r="DA248" s="133">
        <f t="shared" si="761"/>
        <v>0.71339228146271283</v>
      </c>
      <c r="DB248" s="133">
        <f t="shared" si="761"/>
        <v>0.71339228146271283</v>
      </c>
      <c r="DC248" s="133">
        <f t="shared" si="761"/>
        <v>0.71339228146271283</v>
      </c>
      <c r="DD248" s="133">
        <f t="shared" si="761"/>
        <v>0.71339228146271283</v>
      </c>
      <c r="DE248" s="133">
        <f t="shared" si="761"/>
        <v>0.71339228146271283</v>
      </c>
      <c r="DF248" s="133">
        <f t="shared" si="761"/>
        <v>0.71339228146271283</v>
      </c>
      <c r="DG248" s="133">
        <f t="shared" si="761"/>
        <v>0.71339228146271283</v>
      </c>
      <c r="DH248" s="133">
        <f t="shared" si="761"/>
        <v>0.71339228146271283</v>
      </c>
      <c r="DI248" s="133">
        <f t="shared" si="761"/>
        <v>0.71339228146271283</v>
      </c>
      <c r="DJ248" s="133">
        <f t="shared" si="761"/>
        <v>0.71339228146271283</v>
      </c>
      <c r="DK248" s="133">
        <f t="shared" si="761"/>
        <v>0.71339228146271283</v>
      </c>
      <c r="DL248" s="133">
        <f t="shared" si="761"/>
        <v>0.71339228146271283</v>
      </c>
      <c r="DM248" s="133">
        <f t="shared" si="761"/>
        <v>0.71339228146271283</v>
      </c>
      <c r="DN248" s="133">
        <f t="shared" si="761"/>
        <v>0.71339228146271283</v>
      </c>
      <c r="DO248" s="133">
        <f t="shared" si="761"/>
        <v>0.71339228146271283</v>
      </c>
      <c r="DP248" s="133">
        <f t="shared" si="761"/>
        <v>0.71339228146271283</v>
      </c>
      <c r="DQ248" s="133">
        <f t="shared" si="761"/>
        <v>0.71339228146271283</v>
      </c>
      <c r="DR248" s="133">
        <f t="shared" si="761"/>
        <v>0.71339228146271283</v>
      </c>
      <c r="DS248" s="133">
        <f t="shared" si="761"/>
        <v>0.71339228146271283</v>
      </c>
      <c r="DT248" s="133">
        <f t="shared" si="761"/>
        <v>0.71339228146271283</v>
      </c>
      <c r="DU248" s="133">
        <f t="shared" si="761"/>
        <v>0.71339228146271283</v>
      </c>
      <c r="DV248" s="133">
        <f t="shared" si="761"/>
        <v>0.71339228146271283</v>
      </c>
      <c r="DW248" s="133">
        <f t="shared" si="761"/>
        <v>0.71339228146271283</v>
      </c>
      <c r="DX248" s="133">
        <f t="shared" si="761"/>
        <v>0.71339228146271283</v>
      </c>
      <c r="DY248" s="133">
        <f t="shared" si="761"/>
        <v>0.71339228146271283</v>
      </c>
      <c r="DZ248" s="133">
        <f t="shared" si="761"/>
        <v>0.71339228146271283</v>
      </c>
      <c r="EA248" s="133">
        <f t="shared" si="761"/>
        <v>0.71339228146271283</v>
      </c>
      <c r="EB248" s="133">
        <f t="shared" si="761"/>
        <v>0.71339228146271283</v>
      </c>
      <c r="EC248" s="133">
        <f t="shared" si="761"/>
        <v>0.71339228146271283</v>
      </c>
      <c r="ED248" s="113" t="s">
        <v>1</v>
      </c>
    </row>
    <row r="249" spans="1:134" x14ac:dyDescent="0.2">
      <c r="A249" s="700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15"/>
      <c r="AL249" s="115"/>
      <c r="AM249" s="115"/>
      <c r="AN249" s="115"/>
      <c r="AO249" s="115"/>
      <c r="AP249" s="115"/>
      <c r="AQ249" s="115"/>
      <c r="AR249" s="115"/>
      <c r="AS249" s="115"/>
      <c r="AT249" s="115"/>
      <c r="AU249" s="115"/>
      <c r="AV249" s="115"/>
      <c r="AW249" s="115"/>
      <c r="AX249" s="115"/>
      <c r="AY249" s="115"/>
      <c r="AZ249" s="115"/>
      <c r="BA249" s="115"/>
      <c r="BB249" s="115"/>
      <c r="BC249" s="115"/>
      <c r="BD249" s="115"/>
      <c r="BE249" s="115"/>
      <c r="BF249" s="115"/>
      <c r="BG249" s="115"/>
      <c r="BH249" s="115"/>
      <c r="BI249" s="115"/>
      <c r="BJ249" s="115"/>
      <c r="BK249" s="115"/>
      <c r="BL249" s="115"/>
      <c r="BM249" s="115"/>
      <c r="BN249" s="115"/>
      <c r="BO249" s="115"/>
      <c r="BP249" s="115"/>
      <c r="BQ249" s="115"/>
      <c r="BR249" s="115"/>
      <c r="BS249" s="115"/>
      <c r="BT249" s="115"/>
      <c r="BU249" s="115"/>
      <c r="BV249" s="115"/>
      <c r="BW249" s="115"/>
      <c r="BX249" s="115"/>
      <c r="BY249" s="115"/>
      <c r="BZ249" s="115"/>
      <c r="CA249" s="115"/>
      <c r="CB249" s="115"/>
      <c r="CC249" s="115"/>
      <c r="CD249" s="115"/>
      <c r="CE249" s="115"/>
      <c r="CF249" s="115"/>
      <c r="CG249" s="115"/>
      <c r="CH249" s="115"/>
      <c r="CI249" s="115"/>
      <c r="CJ249" s="115"/>
      <c r="CK249" s="115"/>
      <c r="CL249" s="115"/>
      <c r="CM249" s="115"/>
      <c r="CN249" s="115"/>
      <c r="CO249" s="115"/>
      <c r="CP249" s="115"/>
      <c r="CQ249" s="115"/>
      <c r="CR249" s="115"/>
      <c r="CS249" s="130"/>
      <c r="CT249" s="115"/>
      <c r="CU249" s="115"/>
      <c r="CV249" s="115"/>
      <c r="CW249" s="115"/>
      <c r="CX249" s="115"/>
      <c r="CY249" s="115"/>
      <c r="CZ249" s="115"/>
      <c r="DA249" s="115"/>
      <c r="DB249" s="115"/>
      <c r="DC249" s="115"/>
      <c r="DD249" s="115"/>
      <c r="DE249" s="115"/>
      <c r="DF249" s="115"/>
      <c r="DG249" s="115"/>
      <c r="DH249" s="115"/>
      <c r="DI249" s="115"/>
      <c r="DJ249" s="115"/>
      <c r="DK249" s="115"/>
      <c r="DL249" s="115"/>
      <c r="DM249" s="115"/>
      <c r="DN249" s="115"/>
      <c r="DO249" s="115"/>
      <c r="DP249" s="115"/>
      <c r="DQ249" s="115"/>
      <c r="DR249" s="115"/>
      <c r="DS249" s="115"/>
      <c r="DT249" s="115"/>
      <c r="DU249" s="115"/>
      <c r="DV249" s="115"/>
      <c r="DW249" s="115"/>
      <c r="DX249" s="115"/>
      <c r="DY249" s="115"/>
      <c r="DZ249" s="115"/>
      <c r="EA249" s="115"/>
      <c r="EB249" s="115"/>
      <c r="EC249" s="645"/>
      <c r="ED249" s="113" t="s">
        <v>1</v>
      </c>
    </row>
    <row r="250" spans="1:134" x14ac:dyDescent="0.2">
      <c r="A250" s="115" t="s">
        <v>98</v>
      </c>
      <c r="B250" s="115"/>
      <c r="C250" s="115"/>
      <c r="D250" s="115"/>
      <c r="E250" s="115"/>
      <c r="F250" s="115"/>
      <c r="G250" s="115"/>
      <c r="H250" s="115"/>
      <c r="I250" s="115"/>
      <c r="J250" s="115"/>
      <c r="K250" s="133">
        <f t="shared" ref="K250:AP250" si="762">(K219-K224)/K219</f>
        <v>0.23657866121859172</v>
      </c>
      <c r="L250" s="133">
        <f t="shared" si="762"/>
        <v>0.26554016267700631</v>
      </c>
      <c r="M250" s="133">
        <f t="shared" si="762"/>
        <v>0.25549005741241787</v>
      </c>
      <c r="N250" s="133">
        <f t="shared" si="762"/>
        <v>0.17639358850424858</v>
      </c>
      <c r="O250" s="133">
        <f t="shared" si="762"/>
        <v>0.13955987241673204</v>
      </c>
      <c r="P250" s="133">
        <f t="shared" si="762"/>
        <v>0.11339011385012877</v>
      </c>
      <c r="Q250" s="133">
        <f t="shared" si="762"/>
        <v>0.13811552742392583</v>
      </c>
      <c r="R250" s="133">
        <f t="shared" si="762"/>
        <v>0.12622828563050464</v>
      </c>
      <c r="S250" s="133">
        <f t="shared" si="762"/>
        <v>4.3730496351773375E-2</v>
      </c>
      <c r="T250" s="133">
        <f t="shared" si="762"/>
        <v>0.12253529520527148</v>
      </c>
      <c r="U250" s="133">
        <f t="shared" si="762"/>
        <v>-5.8261469208789093E-2</v>
      </c>
      <c r="V250" s="133">
        <f t="shared" si="762"/>
        <v>0.10670926661408262</v>
      </c>
      <c r="W250" s="133">
        <f t="shared" si="762"/>
        <v>-6.244163870213008E-3</v>
      </c>
      <c r="X250" s="133">
        <f t="shared" si="762"/>
        <v>-1.2637843485958187</v>
      </c>
      <c r="Y250" s="133">
        <f t="shared" si="762"/>
        <v>-7.5985230111800292E-2</v>
      </c>
      <c r="Z250" s="133">
        <f t="shared" si="762"/>
        <v>0.30317264443704262</v>
      </c>
      <c r="AA250" s="133">
        <f t="shared" si="762"/>
        <v>1.416018933560206E-2</v>
      </c>
      <c r="AB250" s="133">
        <f t="shared" si="762"/>
        <v>0.16983953157466927</v>
      </c>
      <c r="AC250" s="133">
        <f t="shared" si="762"/>
        <v>0.3476217957901509</v>
      </c>
      <c r="AD250" s="133">
        <f t="shared" si="762"/>
        <v>0.2443330404932004</v>
      </c>
      <c r="AE250" s="133">
        <f t="shared" si="762"/>
        <v>0.19635817381767243</v>
      </c>
      <c r="AF250" s="133">
        <f t="shared" si="762"/>
        <v>0.15587648315700153</v>
      </c>
      <c r="AG250" s="133">
        <f t="shared" si="762"/>
        <v>0.14208354662462208</v>
      </c>
      <c r="AH250" s="133">
        <f t="shared" si="762"/>
        <v>0.17707446106480007</v>
      </c>
      <c r="AI250" s="133">
        <f t="shared" si="762"/>
        <v>0.20411049993363617</v>
      </c>
      <c r="AJ250" s="133">
        <f t="shared" si="762"/>
        <v>0.23076973013651012</v>
      </c>
      <c r="AK250" s="133">
        <f t="shared" si="762"/>
        <v>0.17672599849230947</v>
      </c>
      <c r="AL250" s="133">
        <f t="shared" si="762"/>
        <v>0.16124232981401182</v>
      </c>
      <c r="AM250" s="133">
        <f t="shared" si="762"/>
        <v>0.10085617100924879</v>
      </c>
      <c r="AN250" s="133">
        <f t="shared" si="762"/>
        <v>0.11629688209516452</v>
      </c>
      <c r="AO250" s="133">
        <f t="shared" si="762"/>
        <v>0.17849061167196534</v>
      </c>
      <c r="AP250" s="133">
        <f t="shared" si="762"/>
        <v>0.16240234043942658</v>
      </c>
      <c r="AQ250" s="133">
        <f t="shared" ref="AQ250:BV250" si="763">(AQ219-AQ224)/AQ219</f>
        <v>0.20460967987896139</v>
      </c>
      <c r="AR250" s="133">
        <f t="shared" si="763"/>
        <v>0.25114761005005198</v>
      </c>
      <c r="AS250" s="133">
        <f t="shared" si="763"/>
        <v>0.22376859481556319</v>
      </c>
      <c r="AT250" s="133">
        <f t="shared" si="763"/>
        <v>0.21717025806666029</v>
      </c>
      <c r="AU250" s="133">
        <f t="shared" si="763"/>
        <v>0.21816925421231517</v>
      </c>
      <c r="AV250" s="133">
        <f t="shared" si="763"/>
        <v>0.23029748013401122</v>
      </c>
      <c r="AW250" s="133">
        <f t="shared" si="763"/>
        <v>0.186387386479931</v>
      </c>
      <c r="AX250" s="133">
        <f t="shared" si="763"/>
        <v>0.17348486608600128</v>
      </c>
      <c r="AY250" s="133">
        <f t="shared" si="763"/>
        <v>0.13786539106211529</v>
      </c>
      <c r="AZ250" s="133">
        <f t="shared" si="763"/>
        <v>0.1388093327035563</v>
      </c>
      <c r="BA250" s="133">
        <f t="shared" si="763"/>
        <v>0.11157829801375516</v>
      </c>
      <c r="BB250" s="133">
        <f t="shared" si="763"/>
        <v>9.7006624553406959E-2</v>
      </c>
      <c r="BC250" s="133">
        <f t="shared" si="763"/>
        <v>0.11509988590975151</v>
      </c>
      <c r="BD250" s="133">
        <f t="shared" si="763"/>
        <v>0.13909139983720298</v>
      </c>
      <c r="BE250" s="133">
        <f t="shared" si="763"/>
        <v>0.15025172460276179</v>
      </c>
      <c r="BF250" s="133">
        <f t="shared" si="763"/>
        <v>0.14621958368185184</v>
      </c>
      <c r="BG250" s="133">
        <f t="shared" si="763"/>
        <v>0.16246384300391378</v>
      </c>
      <c r="BH250" s="133">
        <f t="shared" si="763"/>
        <v>0.1597005562921707</v>
      </c>
      <c r="BI250" s="133">
        <f t="shared" si="763"/>
        <v>0.1514323502702288</v>
      </c>
      <c r="BJ250" s="133">
        <f t="shared" si="763"/>
        <v>0.11670067959658356</v>
      </c>
      <c r="BK250" s="133">
        <f t="shared" si="763"/>
        <v>0.13209745214825969</v>
      </c>
      <c r="BL250" s="133">
        <f t="shared" si="763"/>
        <v>0.14387317293231677</v>
      </c>
      <c r="BM250" s="133">
        <f t="shared" si="763"/>
        <v>0.14513712939696358</v>
      </c>
      <c r="BN250" s="133">
        <f t="shared" si="763"/>
        <v>0.14789547683158449</v>
      </c>
      <c r="BO250" s="133">
        <f t="shared" si="763"/>
        <v>0.10240284436436226</v>
      </c>
      <c r="BP250" s="133">
        <f t="shared" si="763"/>
        <v>0.12466653200550605</v>
      </c>
      <c r="BQ250" s="133">
        <f t="shared" si="763"/>
        <v>0.14142508177869012</v>
      </c>
      <c r="BR250" s="133">
        <f t="shared" si="763"/>
        <v>0.15592616112230981</v>
      </c>
      <c r="BS250" s="133">
        <f t="shared" si="763"/>
        <v>0.16834344978149698</v>
      </c>
      <c r="BT250" s="133">
        <f t="shared" si="763"/>
        <v>0.20482349896602978</v>
      </c>
      <c r="BU250" s="133">
        <f t="shared" si="763"/>
        <v>0.19733070214968013</v>
      </c>
      <c r="BV250" s="133">
        <f t="shared" si="763"/>
        <v>0.18596933926198475</v>
      </c>
      <c r="BW250" s="133">
        <f t="shared" ref="BW250:CS250" si="764">(BW219-BW224)/BW219</f>
        <v>0.18374813097565817</v>
      </c>
      <c r="BX250" s="133">
        <f t="shared" si="764"/>
        <v>0.20420106595868268</v>
      </c>
      <c r="BY250" s="133">
        <f t="shared" si="764"/>
        <v>0.18888499584808999</v>
      </c>
      <c r="BZ250" s="133">
        <f t="shared" si="764"/>
        <v>0.18697580866497063</v>
      </c>
      <c r="CA250" s="133">
        <f t="shared" si="764"/>
        <v>0.18213577013741122</v>
      </c>
      <c r="CB250" s="133">
        <f t="shared" si="764"/>
        <v>0.19392379844616237</v>
      </c>
      <c r="CC250" s="133">
        <f t="shared" si="764"/>
        <v>0.194925941486565</v>
      </c>
      <c r="CD250" s="133">
        <f t="shared" si="764"/>
        <v>0.18119903862100195</v>
      </c>
      <c r="CE250" s="133">
        <f t="shared" si="764"/>
        <v>0.17871738755279076</v>
      </c>
      <c r="CF250" s="133">
        <f t="shared" si="764"/>
        <v>0.16385891436287511</v>
      </c>
      <c r="CG250" s="133">
        <f t="shared" si="764"/>
        <v>0.17674806419164435</v>
      </c>
      <c r="CH250" s="133">
        <f t="shared" si="764"/>
        <v>0.17425854476994074</v>
      </c>
      <c r="CI250" s="133">
        <f t="shared" si="764"/>
        <v>0.17996799011715506</v>
      </c>
      <c r="CJ250" s="133">
        <f t="shared" si="764"/>
        <v>0.18756763805017798</v>
      </c>
      <c r="CK250" s="133">
        <f t="shared" si="764"/>
        <v>0.19122910213004413</v>
      </c>
      <c r="CL250" s="133">
        <f t="shared" si="764"/>
        <v>0.19313638527081733</v>
      </c>
      <c r="CM250" s="133">
        <f t="shared" si="764"/>
        <v>0.15980384802479911</v>
      </c>
      <c r="CN250" s="133">
        <f t="shared" si="764"/>
        <v>0.16991979172186766</v>
      </c>
      <c r="CO250" s="133">
        <f t="shared" si="764"/>
        <v>0.16311192326278001</v>
      </c>
      <c r="CP250" s="133">
        <f t="shared" si="764"/>
        <v>0.15554223011959964</v>
      </c>
      <c r="CQ250" s="133">
        <f t="shared" si="764"/>
        <v>0.14859396412312528</v>
      </c>
      <c r="CR250" s="133">
        <f t="shared" si="764"/>
        <v>0.14080259068851567</v>
      </c>
      <c r="CS250" s="133">
        <f t="shared" si="764"/>
        <v>0.13932694674735979</v>
      </c>
      <c r="CT250" s="133">
        <f>AVERAGE(CH250:CS250)</f>
        <v>0.16693841291884851</v>
      </c>
      <c r="CU250" s="133">
        <f>CT250</f>
        <v>0.16693841291884851</v>
      </c>
      <c r="CV250" s="133">
        <f t="shared" ref="CV250:DQ250" si="765">CU250</f>
        <v>0.16693841291884851</v>
      </c>
      <c r="CW250" s="133">
        <f t="shared" si="765"/>
        <v>0.16693841291884851</v>
      </c>
      <c r="CX250" s="133">
        <f t="shared" si="765"/>
        <v>0.16693841291884851</v>
      </c>
      <c r="CY250" s="133">
        <f t="shared" si="765"/>
        <v>0.16693841291884851</v>
      </c>
      <c r="CZ250" s="133">
        <f t="shared" si="765"/>
        <v>0.16693841291884851</v>
      </c>
      <c r="DA250" s="133">
        <f t="shared" si="765"/>
        <v>0.16693841291884851</v>
      </c>
      <c r="DB250" s="133">
        <f t="shared" si="765"/>
        <v>0.16693841291884851</v>
      </c>
      <c r="DC250" s="133">
        <f t="shared" si="765"/>
        <v>0.16693841291884851</v>
      </c>
      <c r="DD250" s="133">
        <f t="shared" si="765"/>
        <v>0.16693841291884851</v>
      </c>
      <c r="DE250" s="133">
        <f t="shared" si="765"/>
        <v>0.16693841291884851</v>
      </c>
      <c r="DF250" s="133">
        <f t="shared" si="765"/>
        <v>0.16693841291884851</v>
      </c>
      <c r="DG250" s="133">
        <f t="shared" si="765"/>
        <v>0.16693841291884851</v>
      </c>
      <c r="DH250" s="133">
        <f t="shared" si="765"/>
        <v>0.16693841291884851</v>
      </c>
      <c r="DI250" s="133">
        <f t="shared" si="765"/>
        <v>0.16693841291884851</v>
      </c>
      <c r="DJ250" s="133">
        <f t="shared" si="765"/>
        <v>0.16693841291884851</v>
      </c>
      <c r="DK250" s="133">
        <f t="shared" si="765"/>
        <v>0.16693841291884851</v>
      </c>
      <c r="DL250" s="133">
        <f t="shared" si="765"/>
        <v>0.16693841291884851</v>
      </c>
      <c r="DM250" s="133">
        <f t="shared" si="765"/>
        <v>0.16693841291884851</v>
      </c>
      <c r="DN250" s="133">
        <f t="shared" si="765"/>
        <v>0.16693841291884851</v>
      </c>
      <c r="DO250" s="133">
        <f t="shared" si="765"/>
        <v>0.16693841291884851</v>
      </c>
      <c r="DP250" s="133">
        <f t="shared" si="765"/>
        <v>0.16693841291884851</v>
      </c>
      <c r="DQ250" s="133">
        <f t="shared" si="765"/>
        <v>0.16693841291884851</v>
      </c>
      <c r="DR250" s="115"/>
      <c r="DS250" s="115"/>
      <c r="DT250" s="115"/>
      <c r="DU250" s="115"/>
      <c r="DV250" s="115"/>
      <c r="DW250" s="115"/>
      <c r="DX250" s="115"/>
      <c r="DY250" s="115"/>
      <c r="DZ250" s="115"/>
      <c r="EA250" s="115"/>
      <c r="EB250" s="115"/>
      <c r="EC250" s="645"/>
      <c r="ED250" s="113" t="s">
        <v>1</v>
      </c>
    </row>
    <row r="251" spans="1:134" x14ac:dyDescent="0.2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15"/>
      <c r="AK251" s="115"/>
      <c r="AL251" s="115"/>
      <c r="AM251" s="115"/>
      <c r="AN251" s="115"/>
      <c r="AO251" s="115"/>
      <c r="AP251" s="115"/>
      <c r="AQ251" s="115"/>
      <c r="AR251" s="115"/>
      <c r="AS251" s="115"/>
      <c r="AT251" s="115"/>
      <c r="AU251" s="115"/>
      <c r="AV251" s="115"/>
      <c r="AW251" s="115"/>
      <c r="AX251" s="115"/>
      <c r="AY251" s="115"/>
      <c r="AZ251" s="115"/>
      <c r="BA251" s="115"/>
      <c r="BB251" s="115"/>
      <c r="BC251" s="115"/>
      <c r="BD251" s="115"/>
      <c r="BE251" s="115"/>
      <c r="BF251" s="115"/>
      <c r="BG251" s="115"/>
      <c r="BH251" s="115"/>
      <c r="BI251" s="115"/>
      <c r="BJ251" s="115"/>
      <c r="BK251" s="115"/>
      <c r="BL251" s="115"/>
      <c r="BM251" s="115"/>
      <c r="BN251" s="115"/>
      <c r="BO251" s="115"/>
      <c r="BP251" s="115"/>
      <c r="BQ251" s="115"/>
      <c r="BR251" s="115"/>
      <c r="BS251" s="115"/>
      <c r="BT251" s="115"/>
      <c r="BU251" s="115"/>
      <c r="BV251" s="115"/>
      <c r="BW251" s="115"/>
      <c r="BX251" s="115"/>
      <c r="BY251" s="115"/>
      <c r="BZ251" s="115"/>
      <c r="CA251" s="115"/>
      <c r="CB251" s="115"/>
      <c r="CC251" s="115"/>
      <c r="CD251" s="115"/>
      <c r="CE251" s="115"/>
      <c r="CF251" s="115"/>
      <c r="CG251" s="115"/>
      <c r="CH251" s="115"/>
      <c r="CI251" s="115"/>
      <c r="CJ251" s="115"/>
      <c r="CK251" s="115"/>
      <c r="CL251" s="115"/>
      <c r="CM251" s="115"/>
      <c r="CN251" s="115"/>
      <c r="CO251" s="115"/>
      <c r="CP251" s="115"/>
      <c r="CQ251" s="115"/>
      <c r="CR251" s="115"/>
      <c r="CS251" s="115"/>
      <c r="CT251" s="115"/>
      <c r="CU251" s="115"/>
      <c r="CV251" s="115"/>
      <c r="CW251" s="115"/>
      <c r="CX251" s="115"/>
      <c r="CY251" s="115"/>
      <c r="CZ251" s="115"/>
      <c r="DA251" s="115"/>
      <c r="DB251" s="115"/>
      <c r="DC251" s="115"/>
      <c r="DD251" s="115"/>
      <c r="DE251" s="115"/>
      <c r="DF251" s="115"/>
      <c r="DG251" s="115"/>
      <c r="DH251" s="115"/>
      <c r="DI251" s="115"/>
      <c r="DJ251" s="115"/>
      <c r="DK251" s="115"/>
      <c r="DL251" s="115"/>
      <c r="DM251" s="115"/>
      <c r="DN251" s="115"/>
      <c r="DO251" s="115"/>
      <c r="DP251" s="115"/>
      <c r="DQ251" s="115"/>
      <c r="DR251" s="115"/>
      <c r="DS251" s="115"/>
      <c r="DT251" s="115"/>
      <c r="DU251" s="115"/>
      <c r="DV251" s="115"/>
      <c r="DW251" s="115"/>
      <c r="DX251" s="115"/>
      <c r="DY251" s="115"/>
      <c r="DZ251" s="115"/>
      <c r="EA251" s="115"/>
      <c r="EB251" s="115"/>
      <c r="EC251" s="645"/>
      <c r="ED251" s="113" t="s">
        <v>1</v>
      </c>
    </row>
    <row r="252" spans="1:134" x14ac:dyDescent="0.2">
      <c r="A252" s="115" t="s">
        <v>69</v>
      </c>
      <c r="B252" s="115"/>
      <c r="C252" s="115"/>
      <c r="D252" s="115"/>
      <c r="E252" s="115"/>
      <c r="F252" s="115"/>
      <c r="G252" s="115"/>
      <c r="H252" s="115"/>
      <c r="I252" s="115"/>
      <c r="J252" s="115"/>
      <c r="K252" s="129">
        <f t="shared" ref="K252:AP252" si="766">IFERROR(K228/K204,0)</f>
        <v>483.62874743326495</v>
      </c>
      <c r="L252" s="129">
        <f t="shared" si="766"/>
        <v>588.87216783216786</v>
      </c>
      <c r="M252" s="129">
        <f t="shared" si="766"/>
        <v>524.73479087452472</v>
      </c>
      <c r="N252" s="129">
        <f t="shared" si="766"/>
        <v>714.9300302571861</v>
      </c>
      <c r="O252" s="129">
        <f t="shared" si="766"/>
        <v>725.61929908217655</v>
      </c>
      <c r="P252" s="129">
        <f t="shared" si="766"/>
        <v>603.64360430099441</v>
      </c>
      <c r="Q252" s="129">
        <f t="shared" si="766"/>
        <v>913.18820810384057</v>
      </c>
      <c r="R252" s="129">
        <f t="shared" si="766"/>
        <v>932.40464204277885</v>
      </c>
      <c r="S252" s="129">
        <f t="shared" si="766"/>
        <v>958.81573187984327</v>
      </c>
      <c r="T252" s="129">
        <f t="shared" si="766"/>
        <v>1020.7633163226931</v>
      </c>
      <c r="U252" s="129">
        <f t="shared" si="766"/>
        <v>1229.8392395045414</v>
      </c>
      <c r="V252" s="129">
        <f t="shared" si="766"/>
        <v>966.54064287612107</v>
      </c>
      <c r="W252" s="129">
        <f t="shared" si="766"/>
        <v>1001.6260579776306</v>
      </c>
      <c r="X252" s="129">
        <f t="shared" si="766"/>
        <v>8144.3793712079423</v>
      </c>
      <c r="Y252" s="129">
        <f t="shared" si="766"/>
        <v>1481.0788673002166</v>
      </c>
      <c r="Z252" s="129">
        <f t="shared" si="766"/>
        <v>0</v>
      </c>
      <c r="AA252" s="129">
        <f t="shared" si="766"/>
        <v>1138.4581673306773</v>
      </c>
      <c r="AB252" s="129">
        <f t="shared" si="766"/>
        <v>841.1663829787243</v>
      </c>
      <c r="AC252" s="129">
        <f t="shared" si="766"/>
        <v>1251.0375234521575</v>
      </c>
      <c r="AD252" s="129">
        <f t="shared" si="766"/>
        <v>1191.145498489426</v>
      </c>
      <c r="AE252" s="129">
        <f t="shared" si="766"/>
        <v>1132.1393370998117</v>
      </c>
      <c r="AF252" s="129">
        <f t="shared" si="766"/>
        <v>1404.5489367985824</v>
      </c>
      <c r="AG252" s="129">
        <f t="shared" si="766"/>
        <v>1222.7287211325611</v>
      </c>
      <c r="AH252" s="129">
        <f t="shared" si="766"/>
        <v>875.01205686755441</v>
      </c>
      <c r="AI252" s="129">
        <f t="shared" si="766"/>
        <v>977.28395208962866</v>
      </c>
      <c r="AJ252" s="129">
        <f t="shared" si="766"/>
        <v>1091.1061385241139</v>
      </c>
      <c r="AK252" s="129">
        <f t="shared" si="766"/>
        <v>1262.9504376680775</v>
      </c>
      <c r="AL252" s="129">
        <f t="shared" si="766"/>
        <v>849.4894985535301</v>
      </c>
      <c r="AM252" s="129">
        <f t="shared" si="766"/>
        <v>1032.9321264822124</v>
      </c>
      <c r="AN252" s="129">
        <f t="shared" si="766"/>
        <v>1328.0283870129854</v>
      </c>
      <c r="AO252" s="129">
        <f t="shared" si="766"/>
        <v>1278.0865667525773</v>
      </c>
      <c r="AP252" s="129">
        <f t="shared" si="766"/>
        <v>1363.8709349593496</v>
      </c>
      <c r="AQ252" s="129">
        <f t="shared" ref="AQ252:BV252" si="767">IFERROR(AQ228/AQ204,0)</f>
        <v>1070.2710782018262</v>
      </c>
      <c r="AR252" s="129">
        <f t="shared" si="767"/>
        <v>768.39280245022974</v>
      </c>
      <c r="AS252" s="129">
        <f t="shared" si="767"/>
        <v>907.63306633544687</v>
      </c>
      <c r="AT252" s="129">
        <f t="shared" si="767"/>
        <v>1005.9636495072147</v>
      </c>
      <c r="AU252" s="129">
        <f t="shared" si="767"/>
        <v>1077.8700371857992</v>
      </c>
      <c r="AV252" s="129">
        <f t="shared" si="767"/>
        <v>1073.0134138162307</v>
      </c>
      <c r="AW252" s="129">
        <f t="shared" si="767"/>
        <v>1528.4555042847726</v>
      </c>
      <c r="AX252" s="129">
        <f t="shared" si="767"/>
        <v>1314.1411326819568</v>
      </c>
      <c r="AY252" s="129">
        <f t="shared" si="767"/>
        <v>1175.3576995681508</v>
      </c>
      <c r="AZ252" s="129">
        <f t="shared" si="767"/>
        <v>1599.6184234234281</v>
      </c>
      <c r="BA252" s="129">
        <f t="shared" si="767"/>
        <v>1663.358504869371</v>
      </c>
      <c r="BB252" s="129">
        <f t="shared" si="767"/>
        <v>1724.7770615384625</v>
      </c>
      <c r="BC252" s="129">
        <f t="shared" si="767"/>
        <v>1114.081222856212</v>
      </c>
      <c r="BD252" s="129">
        <f t="shared" si="767"/>
        <v>1068.3528795061659</v>
      </c>
      <c r="BE252" s="129">
        <f t="shared" si="767"/>
        <v>940.07577674880451</v>
      </c>
      <c r="BF252" s="129">
        <f t="shared" si="767"/>
        <v>883.12328448669166</v>
      </c>
      <c r="BG252" s="129">
        <f t="shared" si="767"/>
        <v>809.03047078253621</v>
      </c>
      <c r="BH252" s="129">
        <f t="shared" si="767"/>
        <v>761.54575314154272</v>
      </c>
      <c r="BI252" s="129">
        <f t="shared" si="767"/>
        <v>833.84645124554947</v>
      </c>
      <c r="BJ252" s="129">
        <f t="shared" si="767"/>
        <v>849.63189840245207</v>
      </c>
      <c r="BK252" s="129">
        <f t="shared" si="767"/>
        <v>786.18803644776278</v>
      </c>
      <c r="BL252" s="129">
        <f t="shared" si="767"/>
        <v>746.76724732357479</v>
      </c>
      <c r="BM252" s="129">
        <f t="shared" si="767"/>
        <v>632.13380817724567</v>
      </c>
      <c r="BN252" s="129">
        <f t="shared" si="767"/>
        <v>838.40317226663853</v>
      </c>
      <c r="BO252" s="129">
        <f t="shared" si="767"/>
        <v>1010.5970039979917</v>
      </c>
      <c r="BP252" s="129">
        <f t="shared" si="767"/>
        <v>1130.7903810667729</v>
      </c>
      <c r="BQ252" s="129">
        <f t="shared" si="767"/>
        <v>1099.690538924611</v>
      </c>
      <c r="BR252" s="129">
        <f t="shared" si="767"/>
        <v>1201.6666717916787</v>
      </c>
      <c r="BS252" s="129">
        <f t="shared" si="767"/>
        <v>1480.0493359543373</v>
      </c>
      <c r="BT252" s="129">
        <f t="shared" si="767"/>
        <v>1301.9856628339517</v>
      </c>
      <c r="BU252" s="129">
        <f t="shared" si="767"/>
        <v>1427.5514359440838</v>
      </c>
      <c r="BV252" s="129">
        <f t="shared" si="767"/>
        <v>1232.7529646107046</v>
      </c>
      <c r="BW252" s="129">
        <f t="shared" ref="BW252:CS252" si="768">IFERROR(BW228/BW204,0)</f>
        <v>1367.0614481853884</v>
      </c>
      <c r="BX252" s="129">
        <f t="shared" si="768"/>
        <v>1520.1059135745309</v>
      </c>
      <c r="BY252" s="129">
        <f t="shared" si="768"/>
        <v>1661.5621879751097</v>
      </c>
      <c r="BZ252" s="129">
        <f t="shared" si="768"/>
        <v>1731.3516978448301</v>
      </c>
      <c r="CA252" s="129">
        <f t="shared" si="768"/>
        <v>1768.7651506156144</v>
      </c>
      <c r="CB252" s="129">
        <f t="shared" si="768"/>
        <v>1592.4448793675349</v>
      </c>
      <c r="CC252" s="129">
        <f t="shared" si="768"/>
        <v>1138.3180023999528</v>
      </c>
      <c r="CD252" s="129">
        <f t="shared" si="768"/>
        <v>1392.9975636624406</v>
      </c>
      <c r="CE252" s="129">
        <f t="shared" si="768"/>
        <v>1417.5292285498758</v>
      </c>
      <c r="CF252" s="129">
        <f t="shared" si="768"/>
        <v>1416.7631450819883</v>
      </c>
      <c r="CG252" s="129">
        <f t="shared" si="768"/>
        <v>1602.254749858957</v>
      </c>
      <c r="CH252" s="129">
        <f t="shared" si="768"/>
        <v>1569.7174368077078</v>
      </c>
      <c r="CI252" s="129">
        <f t="shared" si="768"/>
        <v>1431.0850470842611</v>
      </c>
      <c r="CJ252" s="129">
        <f t="shared" si="768"/>
        <v>1497.7776517939985</v>
      </c>
      <c r="CK252" s="129">
        <f t="shared" si="768"/>
        <v>1529.1799237666919</v>
      </c>
      <c r="CL252" s="129">
        <f t="shared" si="768"/>
        <v>1704.8173297231253</v>
      </c>
      <c r="CM252" s="129">
        <f t="shared" si="768"/>
        <v>1589.3660487042523</v>
      </c>
      <c r="CN252" s="129">
        <f t="shared" si="768"/>
        <v>1805.0887233173505</v>
      </c>
      <c r="CO252" s="129">
        <f t="shared" si="768"/>
        <v>1612.3576724051832</v>
      </c>
      <c r="CP252" s="129">
        <f t="shared" si="768"/>
        <v>1892.8684950654219</v>
      </c>
      <c r="CQ252" s="129">
        <f t="shared" si="768"/>
        <v>2162.0852457704277</v>
      </c>
      <c r="CR252" s="129">
        <f t="shared" si="768"/>
        <v>2164.3525710731883</v>
      </c>
      <c r="CS252" s="129">
        <f t="shared" si="768"/>
        <v>2108.4475271834622</v>
      </c>
      <c r="CT252" s="129">
        <f>AVERAGE(CH252:CS252)*(1+CT253)</f>
        <v>1843.3750713608188</v>
      </c>
      <c r="CU252" s="129">
        <f t="shared" ref="CU252:DQ252" si="769">CT252*(1+CU253)</f>
        <v>1843.3750713608188</v>
      </c>
      <c r="CV252" s="129">
        <f t="shared" si="769"/>
        <v>1843.3750713608188</v>
      </c>
      <c r="CW252" s="129">
        <f t="shared" si="769"/>
        <v>1843.3750713608188</v>
      </c>
      <c r="CX252" s="129">
        <f t="shared" si="769"/>
        <v>1843.3750713608188</v>
      </c>
      <c r="CY252" s="129">
        <f t="shared" si="769"/>
        <v>1843.3750713608188</v>
      </c>
      <c r="CZ252" s="129">
        <f t="shared" si="769"/>
        <v>1843.3750713608188</v>
      </c>
      <c r="DA252" s="129">
        <f t="shared" si="769"/>
        <v>1843.3750713608188</v>
      </c>
      <c r="DB252" s="129">
        <f t="shared" si="769"/>
        <v>1843.3750713608188</v>
      </c>
      <c r="DC252" s="129">
        <f t="shared" si="769"/>
        <v>1843.3750713608188</v>
      </c>
      <c r="DD252" s="129">
        <f t="shared" si="769"/>
        <v>1843.3750713608188</v>
      </c>
      <c r="DE252" s="129">
        <f t="shared" si="769"/>
        <v>1843.3750713608188</v>
      </c>
      <c r="DF252" s="129">
        <f t="shared" si="769"/>
        <v>1935.5438249288597</v>
      </c>
      <c r="DG252" s="129">
        <f t="shared" si="769"/>
        <v>1935.5438249288597</v>
      </c>
      <c r="DH252" s="129">
        <f t="shared" si="769"/>
        <v>1935.5438249288597</v>
      </c>
      <c r="DI252" s="129">
        <f t="shared" si="769"/>
        <v>1935.5438249288597</v>
      </c>
      <c r="DJ252" s="129">
        <f t="shared" si="769"/>
        <v>1935.5438249288597</v>
      </c>
      <c r="DK252" s="129">
        <f t="shared" si="769"/>
        <v>1935.5438249288597</v>
      </c>
      <c r="DL252" s="129">
        <f t="shared" si="769"/>
        <v>1935.5438249288597</v>
      </c>
      <c r="DM252" s="129">
        <f t="shared" si="769"/>
        <v>1935.5438249288597</v>
      </c>
      <c r="DN252" s="129">
        <f t="shared" si="769"/>
        <v>1935.5438249288597</v>
      </c>
      <c r="DO252" s="129">
        <f t="shared" si="769"/>
        <v>1935.5438249288597</v>
      </c>
      <c r="DP252" s="129">
        <f t="shared" si="769"/>
        <v>1935.5438249288597</v>
      </c>
      <c r="DQ252" s="129">
        <f t="shared" si="769"/>
        <v>1935.5438249288597</v>
      </c>
      <c r="DR252" s="129">
        <f t="shared" ref="DR252" si="770">DQ252*(1+DR253)</f>
        <v>2032.3210161753029</v>
      </c>
      <c r="DS252" s="129">
        <f t="shared" ref="DS252" si="771">DR252*(1+DS253)</f>
        <v>2032.3210161753029</v>
      </c>
      <c r="DT252" s="129">
        <f t="shared" ref="DT252" si="772">DS252*(1+DT253)</f>
        <v>2032.3210161753029</v>
      </c>
      <c r="DU252" s="129">
        <f t="shared" ref="DU252" si="773">DT252*(1+DU253)</f>
        <v>2032.3210161753029</v>
      </c>
      <c r="DV252" s="129">
        <f t="shared" ref="DV252" si="774">DU252*(1+DV253)</f>
        <v>2032.3210161753029</v>
      </c>
      <c r="DW252" s="129">
        <f t="shared" ref="DW252" si="775">DV252*(1+DW253)</f>
        <v>2032.3210161753029</v>
      </c>
      <c r="DX252" s="129">
        <f t="shared" ref="DX252" si="776">DW252*(1+DX253)</f>
        <v>2032.3210161753029</v>
      </c>
      <c r="DY252" s="129">
        <f t="shared" ref="DY252" si="777">DX252*(1+DY253)</f>
        <v>2032.3210161753029</v>
      </c>
      <c r="DZ252" s="129">
        <f t="shared" ref="DZ252" si="778">DY252*(1+DZ253)</f>
        <v>2032.3210161753029</v>
      </c>
      <c r="EA252" s="129">
        <f t="shared" ref="EA252" si="779">DZ252*(1+EA253)</f>
        <v>2032.3210161753029</v>
      </c>
      <c r="EB252" s="129">
        <f t="shared" ref="EB252" si="780">EA252*(1+EB253)</f>
        <v>2032.3210161753029</v>
      </c>
      <c r="EC252" s="129">
        <f t="shared" ref="EC252" si="781">EB252*(1+EC253)</f>
        <v>2032.3210161753029</v>
      </c>
      <c r="ED252" s="113" t="s">
        <v>1</v>
      </c>
    </row>
    <row r="253" spans="1:134" x14ac:dyDescent="0.2">
      <c r="A253" s="115" t="s">
        <v>70</v>
      </c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5"/>
      <c r="AK253" s="115"/>
      <c r="AL253" s="115"/>
      <c r="AM253" s="115"/>
      <c r="AN253" s="115"/>
      <c r="AO253" s="115"/>
      <c r="AP253" s="115"/>
      <c r="AQ253" s="115"/>
      <c r="AR253" s="115"/>
      <c r="AS253" s="115"/>
      <c r="AT253" s="115"/>
      <c r="AU253" s="115"/>
      <c r="AV253" s="115"/>
      <c r="AW253" s="115"/>
      <c r="AX253" s="115"/>
      <c r="AY253" s="115"/>
      <c r="AZ253" s="115"/>
      <c r="BA253" s="115"/>
      <c r="BB253" s="115"/>
      <c r="BC253" s="115"/>
      <c r="BD253" s="115"/>
      <c r="BE253" s="115"/>
      <c r="BF253" s="115"/>
      <c r="BG253" s="115"/>
      <c r="BH253" s="115"/>
      <c r="BI253" s="115"/>
      <c r="BJ253" s="115"/>
      <c r="BK253" s="115"/>
      <c r="BL253" s="115"/>
      <c r="BM253" s="115"/>
      <c r="BN253" s="115"/>
      <c r="BO253" s="115"/>
      <c r="BP253" s="115"/>
      <c r="BQ253" s="115"/>
      <c r="BR253" s="115"/>
      <c r="BS253" s="115"/>
      <c r="BT253" s="115"/>
      <c r="BU253" s="115"/>
      <c r="BV253" s="115"/>
      <c r="BW253" s="115"/>
      <c r="BX253" s="115"/>
      <c r="BY253" s="115"/>
      <c r="BZ253" s="115"/>
      <c r="CA253" s="115"/>
      <c r="CB253" s="115"/>
      <c r="CC253" s="115"/>
      <c r="CD253" s="115"/>
      <c r="CE253" s="115"/>
      <c r="CF253" s="115"/>
      <c r="CG253" s="115"/>
      <c r="CH253" s="115"/>
      <c r="CI253" s="115"/>
      <c r="CJ253" s="115"/>
      <c r="CK253" s="115"/>
      <c r="CL253" s="115"/>
      <c r="CM253" s="115"/>
      <c r="CN253" s="115"/>
      <c r="CO253" s="115"/>
      <c r="CP253" s="115"/>
      <c r="CQ253" s="115"/>
      <c r="CR253" s="115"/>
      <c r="CS253" s="115"/>
      <c r="CT253" s="701">
        <v>0.05</v>
      </c>
      <c r="CU253" s="708"/>
      <c r="CV253" s="708"/>
      <c r="CW253" s="708"/>
      <c r="CX253" s="708"/>
      <c r="CY253" s="708"/>
      <c r="CZ253" s="708"/>
      <c r="DA253" s="708"/>
      <c r="DB253" s="708"/>
      <c r="DC253" s="708"/>
      <c r="DD253" s="708"/>
      <c r="DE253" s="708"/>
      <c r="DF253" s="701">
        <v>0.05</v>
      </c>
      <c r="DG253" s="115"/>
      <c r="DH253" s="115"/>
      <c r="DI253" s="115"/>
      <c r="DJ253" s="115"/>
      <c r="DK253" s="115"/>
      <c r="DL253" s="115"/>
      <c r="DM253" s="115"/>
      <c r="DN253" s="115"/>
      <c r="DO253" s="115"/>
      <c r="DP253" s="115"/>
      <c r="DQ253" s="115"/>
      <c r="DR253" s="701">
        <v>0.05</v>
      </c>
      <c r="DS253" s="115"/>
      <c r="DT253" s="115"/>
      <c r="DU253" s="115"/>
      <c r="DV253" s="115"/>
      <c r="DW253" s="115"/>
      <c r="DX253" s="115"/>
      <c r="DY253" s="115"/>
      <c r="DZ253" s="115"/>
      <c r="EA253" s="115"/>
      <c r="EB253" s="115"/>
      <c r="EC253" s="645"/>
      <c r="ED253" s="113" t="s">
        <v>1</v>
      </c>
    </row>
    <row r="254" spans="1:134" x14ac:dyDescent="0.2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115"/>
      <c r="AL254" s="115"/>
      <c r="AM254" s="115"/>
      <c r="AN254" s="115"/>
      <c r="AO254" s="115"/>
      <c r="AP254" s="115"/>
      <c r="AQ254" s="115"/>
      <c r="AR254" s="115"/>
      <c r="AS254" s="115"/>
      <c r="AT254" s="115"/>
      <c r="AU254" s="115"/>
      <c r="AV254" s="115"/>
      <c r="AW254" s="115"/>
      <c r="AX254" s="115"/>
      <c r="AY254" s="115"/>
      <c r="AZ254" s="115"/>
      <c r="BA254" s="115"/>
      <c r="BB254" s="115"/>
      <c r="BC254" s="115"/>
      <c r="BD254" s="115"/>
      <c r="BE254" s="115"/>
      <c r="BF254" s="115"/>
      <c r="BG254" s="115"/>
      <c r="BH254" s="115"/>
      <c r="BI254" s="115"/>
      <c r="BJ254" s="115"/>
      <c r="BK254" s="115"/>
      <c r="BL254" s="115"/>
      <c r="BM254" s="115"/>
      <c r="BN254" s="115"/>
      <c r="BO254" s="115"/>
      <c r="BP254" s="115"/>
      <c r="BQ254" s="115"/>
      <c r="BR254" s="115"/>
      <c r="BS254" s="115"/>
      <c r="BT254" s="115"/>
      <c r="BU254" s="115"/>
      <c r="BV254" s="115"/>
      <c r="BW254" s="115"/>
      <c r="BX254" s="115"/>
      <c r="BY254" s="115"/>
      <c r="BZ254" s="115"/>
      <c r="CA254" s="115"/>
      <c r="CB254" s="115"/>
      <c r="CC254" s="115"/>
      <c r="CD254" s="115"/>
      <c r="CE254" s="115"/>
      <c r="CF254" s="115"/>
      <c r="CG254" s="115"/>
      <c r="CH254" s="115"/>
      <c r="CI254" s="115"/>
      <c r="CJ254" s="115"/>
      <c r="CK254" s="115"/>
      <c r="CL254" s="115"/>
      <c r="CM254" s="115"/>
      <c r="CN254" s="115"/>
      <c r="CO254" s="115"/>
      <c r="CP254" s="115"/>
      <c r="CQ254" s="115"/>
      <c r="CR254" s="115"/>
      <c r="CS254" s="115"/>
      <c r="CT254" s="115"/>
      <c r="CU254" s="115"/>
      <c r="CV254" s="115"/>
      <c r="CW254" s="115"/>
      <c r="CX254" s="115"/>
      <c r="CY254" s="115"/>
      <c r="CZ254" s="115"/>
      <c r="DA254" s="115"/>
      <c r="DB254" s="115"/>
      <c r="DC254" s="115"/>
      <c r="DD254" s="115"/>
      <c r="DE254" s="115"/>
      <c r="DF254" s="115"/>
      <c r="DG254" s="115"/>
      <c r="DH254" s="115"/>
      <c r="DI254" s="115"/>
      <c r="DJ254" s="115"/>
      <c r="DK254" s="115"/>
      <c r="DL254" s="115"/>
      <c r="DM254" s="115"/>
      <c r="DN254" s="115"/>
      <c r="DO254" s="115"/>
      <c r="DP254" s="115"/>
      <c r="DQ254" s="115"/>
      <c r="DR254" s="115"/>
      <c r="DS254" s="115"/>
      <c r="DT254" s="115"/>
      <c r="DU254" s="115"/>
      <c r="DV254" s="115"/>
      <c r="DW254" s="115"/>
      <c r="DX254" s="115"/>
      <c r="DY254" s="115"/>
      <c r="DZ254" s="115"/>
      <c r="EA254" s="115"/>
      <c r="EB254" s="115"/>
      <c r="EC254" s="645"/>
      <c r="ED254" s="113" t="s">
        <v>1</v>
      </c>
    </row>
    <row r="255" spans="1:134" x14ac:dyDescent="0.2">
      <c r="A255" s="115" t="s">
        <v>71</v>
      </c>
      <c r="B255" s="115"/>
      <c r="C255" s="115"/>
      <c r="D255" s="115"/>
      <c r="E255" s="115"/>
      <c r="F255" s="115"/>
      <c r="G255" s="115"/>
      <c r="H255" s="115"/>
      <c r="I255" s="115"/>
      <c r="J255" s="115"/>
      <c r="K255" s="129">
        <f t="shared" ref="K255:AP255" si="782">K231/K204</f>
        <v>99.014373716632448</v>
      </c>
      <c r="L255" s="129">
        <f t="shared" si="782"/>
        <v>91.968951048951055</v>
      </c>
      <c r="M255" s="129">
        <f t="shared" si="782"/>
        <v>99.606939163498097</v>
      </c>
      <c r="N255" s="129">
        <f t="shared" si="782"/>
        <v>106.33339636913767</v>
      </c>
      <c r="O255" s="129">
        <f t="shared" si="782"/>
        <v>110.25874663427929</v>
      </c>
      <c r="P255" s="129">
        <f t="shared" si="782"/>
        <v>159.42655982029433</v>
      </c>
      <c r="Q255" s="129">
        <f t="shared" si="782"/>
        <v>155.55025425885441</v>
      </c>
      <c r="R255" s="129">
        <f t="shared" si="782"/>
        <v>116.83776221578847</v>
      </c>
      <c r="S255" s="129">
        <f t="shared" si="782"/>
        <v>128.04077417415743</v>
      </c>
      <c r="T255" s="129">
        <f t="shared" si="782"/>
        <v>250.77923703806565</v>
      </c>
      <c r="U255" s="129">
        <f t="shared" si="782"/>
        <v>225.6002578870031</v>
      </c>
      <c r="V255" s="129">
        <f t="shared" si="782"/>
        <v>142.93218560940437</v>
      </c>
      <c r="W255" s="129">
        <f t="shared" si="782"/>
        <v>137.50219888914251</v>
      </c>
      <c r="X255" s="129">
        <f t="shared" si="782"/>
        <v>903.43215989098337</v>
      </c>
      <c r="Y255" s="129">
        <f t="shared" si="782"/>
        <v>262.92467231286469</v>
      </c>
      <c r="Z255" s="129">
        <f t="shared" si="782"/>
        <v>0</v>
      </c>
      <c r="AA255" s="129">
        <f t="shared" si="782"/>
        <v>178.24038943563494</v>
      </c>
      <c r="AB255" s="129">
        <f t="shared" si="782"/>
        <v>138.92765717873903</v>
      </c>
      <c r="AC255" s="129">
        <f t="shared" si="782"/>
        <v>427.13207896298013</v>
      </c>
      <c r="AD255" s="129">
        <f t="shared" si="782"/>
        <v>488.79227492284434</v>
      </c>
      <c r="AE255" s="129">
        <f t="shared" si="782"/>
        <v>348.21095568127458</v>
      </c>
      <c r="AF255" s="129">
        <f t="shared" si="782"/>
        <v>274.85825398700536</v>
      </c>
      <c r="AG255" s="129">
        <f t="shared" si="782"/>
        <v>231.37393140477971</v>
      </c>
      <c r="AH255" s="129">
        <f t="shared" si="782"/>
        <v>276.39971042471041</v>
      </c>
      <c r="AI255" s="129">
        <f t="shared" si="782"/>
        <v>120.64433654686323</v>
      </c>
      <c r="AJ255" s="129">
        <f t="shared" si="782"/>
        <v>176.14368932038835</v>
      </c>
      <c r="AK255" s="129">
        <f t="shared" si="782"/>
        <v>208.88458815199434</v>
      </c>
      <c r="AL255" s="129">
        <f t="shared" si="782"/>
        <v>151.13972756635303</v>
      </c>
      <c r="AM255" s="129">
        <f t="shared" si="782"/>
        <v>106.98013078470827</v>
      </c>
      <c r="AN255" s="129">
        <f t="shared" si="782"/>
        <v>136.30600894692299</v>
      </c>
      <c r="AO255" s="129">
        <f t="shared" si="782"/>
        <v>168.12852825359323</v>
      </c>
      <c r="AP255" s="129">
        <f t="shared" si="782"/>
        <v>174.0893556610408</v>
      </c>
      <c r="AQ255" s="129">
        <f t="shared" ref="AQ255:BV255" si="783">AQ231/AQ204</f>
        <v>198.11772585086439</v>
      </c>
      <c r="AR255" s="129">
        <f t="shared" si="783"/>
        <v>198.64039441466483</v>
      </c>
      <c r="AS255" s="129">
        <f t="shared" si="783"/>
        <v>200.51160201570377</v>
      </c>
      <c r="AT255" s="129">
        <f t="shared" si="783"/>
        <v>200.51160201570374</v>
      </c>
      <c r="AU255" s="129">
        <f t="shared" si="783"/>
        <v>200</v>
      </c>
      <c r="AV255" s="129">
        <f t="shared" si="783"/>
        <v>200.64608330478202</v>
      </c>
      <c r="AW255" s="129">
        <f t="shared" si="783"/>
        <v>200.51160201570377</v>
      </c>
      <c r="AX255" s="129">
        <f t="shared" si="783"/>
        <v>293.05541833064393</v>
      </c>
      <c r="AY255" s="129">
        <f t="shared" si="783"/>
        <v>334.54679796502256</v>
      </c>
      <c r="AZ255" s="129">
        <f t="shared" si="783"/>
        <v>306.90919984205465</v>
      </c>
      <c r="BA255" s="129">
        <f t="shared" si="783"/>
        <v>306.72732758176568</v>
      </c>
      <c r="BB255" s="129">
        <f t="shared" si="783"/>
        <v>348.81163064461413</v>
      </c>
      <c r="BC255" s="129">
        <f t="shared" si="783"/>
        <v>331.71033220614254</v>
      </c>
      <c r="BD255" s="129">
        <f t="shared" si="783"/>
        <v>286.21174598834153</v>
      </c>
      <c r="BE255" s="129">
        <f t="shared" si="783"/>
        <v>322.38313014023822</v>
      </c>
      <c r="BF255" s="129">
        <f t="shared" si="783"/>
        <v>352.9156675782101</v>
      </c>
      <c r="BG255" s="129">
        <f t="shared" si="783"/>
        <v>301.67416016991058</v>
      </c>
      <c r="BH255" s="129">
        <f t="shared" si="783"/>
        <v>269.96383700618338</v>
      </c>
      <c r="BI255" s="129">
        <f t="shared" si="783"/>
        <v>300.61041885115895</v>
      </c>
      <c r="BJ255" s="129">
        <f t="shared" si="783"/>
        <v>608.66968332077181</v>
      </c>
      <c r="BK255" s="129">
        <f t="shared" si="783"/>
        <v>577.45836729574251</v>
      </c>
      <c r="BL255" s="129">
        <f t="shared" si="783"/>
        <v>418.26463988722588</v>
      </c>
      <c r="BM255" s="129">
        <f t="shared" si="783"/>
        <v>505.07616517772738</v>
      </c>
      <c r="BN255" s="129">
        <f t="shared" si="783"/>
        <v>443.91879144531504</v>
      </c>
      <c r="BO255" s="129">
        <f t="shared" si="783"/>
        <v>463.30851717272446</v>
      </c>
      <c r="BP255" s="129">
        <f t="shared" si="783"/>
        <v>408.70342539475882</v>
      </c>
      <c r="BQ255" s="129">
        <f t="shared" si="783"/>
        <v>478.67419435036396</v>
      </c>
      <c r="BR255" s="129">
        <f t="shared" si="783"/>
        <v>394.46152078218302</v>
      </c>
      <c r="BS255" s="129">
        <f t="shared" si="783"/>
        <v>357.68874686762524</v>
      </c>
      <c r="BT255" s="129">
        <f t="shared" si="783"/>
        <v>477.5125809161575</v>
      </c>
      <c r="BU255" s="129">
        <f t="shared" si="783"/>
        <v>320.69039292499855</v>
      </c>
      <c r="BV255" s="129">
        <f t="shared" si="783"/>
        <v>364.48108127977213</v>
      </c>
      <c r="BW255" s="129">
        <f t="shared" ref="BW255:CS255" si="784">BW231/BW204</f>
        <v>358.29800454245583</v>
      </c>
      <c r="BX255" s="129">
        <f t="shared" si="784"/>
        <v>322.61836217670583</v>
      </c>
      <c r="BY255" s="129">
        <f t="shared" si="784"/>
        <v>364.1224145480117</v>
      </c>
      <c r="BZ255" s="129">
        <f t="shared" si="784"/>
        <v>388.12269624510458</v>
      </c>
      <c r="CA255" s="129">
        <f t="shared" si="784"/>
        <v>433.9110925077922</v>
      </c>
      <c r="CB255" s="129">
        <f t="shared" si="784"/>
        <v>476.69894371641851</v>
      </c>
      <c r="CC255" s="129">
        <f t="shared" si="784"/>
        <v>487.15859822280203</v>
      </c>
      <c r="CD255" s="129">
        <f t="shared" si="784"/>
        <v>358.72336406146258</v>
      </c>
      <c r="CE255" s="129">
        <f t="shared" si="784"/>
        <v>345.68540561456177</v>
      </c>
      <c r="CF255" s="129">
        <f t="shared" si="784"/>
        <v>364.31939944237541</v>
      </c>
      <c r="CG255" s="129">
        <f t="shared" si="784"/>
        <v>327.12360562177213</v>
      </c>
      <c r="CH255" s="129">
        <f t="shared" si="784"/>
        <v>386.01504287117808</v>
      </c>
      <c r="CI255" s="129">
        <f t="shared" si="784"/>
        <v>350.91742483895246</v>
      </c>
      <c r="CJ255" s="129">
        <f t="shared" si="784"/>
        <v>294.26600904229423</v>
      </c>
      <c r="CK255" s="129">
        <f t="shared" si="784"/>
        <v>265.17023923975484</v>
      </c>
      <c r="CL255" s="129">
        <f t="shared" si="784"/>
        <v>292.77201673356376</v>
      </c>
      <c r="CM255" s="129">
        <f t="shared" si="784"/>
        <v>264.40900340928636</v>
      </c>
      <c r="CN255" s="129">
        <f t="shared" si="784"/>
        <v>328.73369706749497</v>
      </c>
      <c r="CO255" s="129">
        <f t="shared" si="784"/>
        <v>323.32171190195044</v>
      </c>
      <c r="CP255" s="129">
        <f t="shared" si="784"/>
        <v>380.80742455469817</v>
      </c>
      <c r="CQ255" s="129">
        <f t="shared" si="784"/>
        <v>408.30532890543242</v>
      </c>
      <c r="CR255" s="129">
        <f t="shared" si="784"/>
        <v>477.18501229403483</v>
      </c>
      <c r="CS255" s="129">
        <f t="shared" si="784"/>
        <v>435.90256910704096</v>
      </c>
      <c r="CT255" s="129">
        <f>AVERAGE(CH255:CS255)*(1+CT256)</f>
        <v>368.18297949699718</v>
      </c>
      <c r="CU255" s="129">
        <f t="shared" ref="CU255" si="785">CT255*(1+CU256)</f>
        <v>368.18297949699718</v>
      </c>
      <c r="CV255" s="129">
        <f t="shared" ref="CV255" si="786">CU255*(1+CV256)</f>
        <v>368.18297949699718</v>
      </c>
      <c r="CW255" s="129">
        <f t="shared" ref="CW255" si="787">CV255*(1+CW256)</f>
        <v>368.18297949699718</v>
      </c>
      <c r="CX255" s="129">
        <f t="shared" ref="CX255" si="788">CW255*(1+CX256)</f>
        <v>368.18297949699718</v>
      </c>
      <c r="CY255" s="129">
        <f t="shared" ref="CY255" si="789">CX255*(1+CY256)</f>
        <v>368.18297949699718</v>
      </c>
      <c r="CZ255" s="129">
        <f t="shared" ref="CZ255" si="790">CY255*(1+CZ256)</f>
        <v>368.18297949699718</v>
      </c>
      <c r="DA255" s="129">
        <f t="shared" ref="DA255" si="791">CZ255*(1+DA256)</f>
        <v>368.18297949699718</v>
      </c>
      <c r="DB255" s="129">
        <f t="shared" ref="DB255" si="792">DA255*(1+DB256)</f>
        <v>368.18297949699718</v>
      </c>
      <c r="DC255" s="129">
        <f t="shared" ref="DC255" si="793">DB255*(1+DC256)</f>
        <v>368.18297949699718</v>
      </c>
      <c r="DD255" s="129">
        <f t="shared" ref="DD255" si="794">DC255*(1+DD256)</f>
        <v>368.18297949699718</v>
      </c>
      <c r="DE255" s="129">
        <f t="shared" ref="DE255" si="795">DD255*(1+DE256)</f>
        <v>368.18297949699718</v>
      </c>
      <c r="DF255" s="129">
        <f t="shared" ref="DF255" si="796">DE255*(1+DF256)</f>
        <v>386.59212847184705</v>
      </c>
      <c r="DG255" s="129">
        <f t="shared" ref="DG255" si="797">DF255*(1+DG256)</f>
        <v>386.59212847184705</v>
      </c>
      <c r="DH255" s="129">
        <f t="shared" ref="DH255" si="798">DG255*(1+DH256)</f>
        <v>386.59212847184705</v>
      </c>
      <c r="DI255" s="129">
        <f t="shared" ref="DI255" si="799">DH255*(1+DI256)</f>
        <v>386.59212847184705</v>
      </c>
      <c r="DJ255" s="129">
        <f t="shared" ref="DJ255" si="800">DI255*(1+DJ256)</f>
        <v>386.59212847184705</v>
      </c>
      <c r="DK255" s="129">
        <f t="shared" ref="DK255" si="801">DJ255*(1+DK256)</f>
        <v>386.59212847184705</v>
      </c>
      <c r="DL255" s="129">
        <f t="shared" ref="DL255" si="802">DK255*(1+DL256)</f>
        <v>386.59212847184705</v>
      </c>
      <c r="DM255" s="129">
        <f t="shared" ref="DM255" si="803">DL255*(1+DM256)</f>
        <v>386.59212847184705</v>
      </c>
      <c r="DN255" s="129">
        <f t="shared" ref="DN255" si="804">DM255*(1+DN256)</f>
        <v>386.59212847184705</v>
      </c>
      <c r="DO255" s="129">
        <f t="shared" ref="DO255" si="805">DN255*(1+DO256)</f>
        <v>386.59212847184705</v>
      </c>
      <c r="DP255" s="129">
        <f t="shared" ref="DP255" si="806">DO255*(1+DP256)</f>
        <v>386.59212847184705</v>
      </c>
      <c r="DQ255" s="129">
        <f t="shared" ref="DQ255" si="807">DP255*(1+DQ256)</f>
        <v>386.59212847184705</v>
      </c>
      <c r="DR255" s="129">
        <f t="shared" ref="DR255" si="808">DQ255*(1+DR256)</f>
        <v>405.92173489543944</v>
      </c>
      <c r="DS255" s="129">
        <f t="shared" ref="DS255" si="809">DR255*(1+DS256)</f>
        <v>405.92173489543944</v>
      </c>
      <c r="DT255" s="129">
        <f t="shared" ref="DT255" si="810">DS255*(1+DT256)</f>
        <v>405.92173489543944</v>
      </c>
      <c r="DU255" s="129">
        <f t="shared" ref="DU255" si="811">DT255*(1+DU256)</f>
        <v>405.92173489543944</v>
      </c>
      <c r="DV255" s="129">
        <f t="shared" ref="DV255" si="812">DU255*(1+DV256)</f>
        <v>405.92173489543944</v>
      </c>
      <c r="DW255" s="129">
        <f t="shared" ref="DW255" si="813">DV255*(1+DW256)</f>
        <v>405.92173489543944</v>
      </c>
      <c r="DX255" s="129">
        <f t="shared" ref="DX255" si="814">DW255*(1+DX256)</f>
        <v>405.92173489543944</v>
      </c>
      <c r="DY255" s="129">
        <f t="shared" ref="DY255" si="815">DX255*(1+DY256)</f>
        <v>405.92173489543944</v>
      </c>
      <c r="DZ255" s="129">
        <f t="shared" ref="DZ255" si="816">DY255*(1+DZ256)</f>
        <v>405.92173489543944</v>
      </c>
      <c r="EA255" s="129">
        <f t="shared" ref="EA255" si="817">DZ255*(1+EA256)</f>
        <v>405.92173489543944</v>
      </c>
      <c r="EB255" s="129">
        <f t="shared" ref="EB255" si="818">EA255*(1+EB256)</f>
        <v>405.92173489543944</v>
      </c>
      <c r="EC255" s="129">
        <f t="shared" ref="EC255" si="819">EB255*(1+EC256)</f>
        <v>405.92173489543944</v>
      </c>
      <c r="ED255" s="113" t="s">
        <v>1</v>
      </c>
    </row>
    <row r="256" spans="1:134" x14ac:dyDescent="0.2">
      <c r="A256" s="115" t="s">
        <v>181</v>
      </c>
      <c r="B256" s="115"/>
      <c r="C256" s="115"/>
      <c r="D256" s="115"/>
      <c r="E256" s="115"/>
      <c r="F256" s="115"/>
      <c r="G256" s="115"/>
      <c r="H256" s="115"/>
      <c r="I256" s="115"/>
      <c r="J256" s="115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  <c r="AH256" s="129"/>
      <c r="AI256" s="129"/>
      <c r="AJ256" s="129"/>
      <c r="AK256" s="129"/>
      <c r="AL256" s="129"/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9"/>
      <c r="AX256" s="129"/>
      <c r="AY256" s="129"/>
      <c r="AZ256" s="129"/>
      <c r="BA256" s="129"/>
      <c r="BB256" s="129"/>
      <c r="BC256" s="129"/>
      <c r="BD256" s="129"/>
      <c r="BE256" s="129"/>
      <c r="BF256" s="129"/>
      <c r="BG256" s="129"/>
      <c r="BH256" s="129"/>
      <c r="BI256" s="129"/>
      <c r="BJ256" s="129"/>
      <c r="BK256" s="129"/>
      <c r="BL256" s="129"/>
      <c r="BM256" s="129"/>
      <c r="BN256" s="129"/>
      <c r="BO256" s="129"/>
      <c r="BP256" s="129"/>
      <c r="BQ256" s="129"/>
      <c r="BR256" s="129"/>
      <c r="BS256" s="129"/>
      <c r="BT256" s="129"/>
      <c r="BU256" s="129"/>
      <c r="BV256" s="129"/>
      <c r="BW256" s="129"/>
      <c r="BX256" s="129"/>
      <c r="BY256" s="129"/>
      <c r="BZ256" s="129"/>
      <c r="CA256" s="129"/>
      <c r="CB256" s="129"/>
      <c r="CC256" s="129"/>
      <c r="CD256" s="129"/>
      <c r="CE256" s="129"/>
      <c r="CF256" s="129"/>
      <c r="CG256" s="129"/>
      <c r="CH256" s="129"/>
      <c r="CI256" s="129"/>
      <c r="CJ256" s="129"/>
      <c r="CK256" s="129"/>
      <c r="CL256" s="129"/>
      <c r="CM256" s="129"/>
      <c r="CN256" s="129"/>
      <c r="CO256" s="129"/>
      <c r="CP256" s="129"/>
      <c r="CQ256" s="129"/>
      <c r="CR256" s="129"/>
      <c r="CS256" s="129"/>
      <c r="CT256" s="701">
        <v>0.05</v>
      </c>
      <c r="CU256" s="708"/>
      <c r="CV256" s="708"/>
      <c r="CW256" s="708"/>
      <c r="CX256" s="708"/>
      <c r="CY256" s="708"/>
      <c r="CZ256" s="708"/>
      <c r="DA256" s="708"/>
      <c r="DB256" s="708"/>
      <c r="DC256" s="708"/>
      <c r="DD256" s="708"/>
      <c r="DE256" s="708"/>
      <c r="DF256" s="701">
        <v>0.05</v>
      </c>
      <c r="DG256" s="115"/>
      <c r="DH256" s="115"/>
      <c r="DI256" s="115"/>
      <c r="DJ256" s="115"/>
      <c r="DK256" s="115"/>
      <c r="DL256" s="115"/>
      <c r="DM256" s="115"/>
      <c r="DN256" s="115"/>
      <c r="DO256" s="115"/>
      <c r="DP256" s="115"/>
      <c r="DQ256" s="115"/>
      <c r="DR256" s="701">
        <v>0.05</v>
      </c>
      <c r="DS256" s="115"/>
      <c r="DT256" s="115"/>
      <c r="DU256" s="115"/>
      <c r="DV256" s="115"/>
      <c r="DW256" s="115"/>
      <c r="DX256" s="115"/>
      <c r="DY256" s="115"/>
      <c r="DZ256" s="115"/>
      <c r="EA256" s="115"/>
      <c r="EB256" s="115"/>
      <c r="EC256" s="645"/>
      <c r="ED256" s="113" t="s">
        <v>1</v>
      </c>
    </row>
    <row r="257" spans="1:134" x14ac:dyDescent="0.2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29"/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9"/>
      <c r="AX257" s="129"/>
      <c r="AY257" s="129"/>
      <c r="AZ257" s="129"/>
      <c r="BA257" s="129"/>
      <c r="BB257" s="129"/>
      <c r="BC257" s="129"/>
      <c r="BD257" s="129"/>
      <c r="BE257" s="129"/>
      <c r="BF257" s="129"/>
      <c r="BG257" s="129"/>
      <c r="BH257" s="129"/>
      <c r="BI257" s="129"/>
      <c r="BJ257" s="129"/>
      <c r="BK257" s="129"/>
      <c r="BL257" s="129"/>
      <c r="BM257" s="129"/>
      <c r="BN257" s="129"/>
      <c r="BO257" s="129"/>
      <c r="BP257" s="129"/>
      <c r="BQ257" s="129"/>
      <c r="BR257" s="129"/>
      <c r="BS257" s="129"/>
      <c r="BT257" s="129"/>
      <c r="BU257" s="129"/>
      <c r="BV257" s="129"/>
      <c r="BW257" s="129"/>
      <c r="BX257" s="129"/>
      <c r="BY257" s="129"/>
      <c r="BZ257" s="129"/>
      <c r="CA257" s="129"/>
      <c r="CB257" s="129"/>
      <c r="CC257" s="129"/>
      <c r="CD257" s="129"/>
      <c r="CE257" s="129"/>
      <c r="CF257" s="129"/>
      <c r="CG257" s="129"/>
      <c r="CH257" s="129"/>
      <c r="CI257" s="129"/>
      <c r="CJ257" s="129"/>
      <c r="CK257" s="129"/>
      <c r="CL257" s="129"/>
      <c r="CM257" s="129"/>
      <c r="CN257" s="129"/>
      <c r="CO257" s="129"/>
      <c r="CP257" s="129"/>
      <c r="CQ257" s="129"/>
      <c r="CR257" s="129"/>
      <c r="CS257" s="129"/>
      <c r="CT257" s="130"/>
      <c r="CU257" s="130"/>
      <c r="CV257" s="130"/>
      <c r="CW257" s="130"/>
      <c r="CX257" s="130"/>
      <c r="CY257" s="130"/>
      <c r="CZ257" s="130"/>
      <c r="DA257" s="130"/>
      <c r="DB257" s="130"/>
      <c r="DC257" s="130"/>
      <c r="DD257" s="130"/>
      <c r="DE257" s="130"/>
      <c r="DF257" s="130"/>
      <c r="DG257" s="130"/>
      <c r="DH257" s="130"/>
      <c r="DI257" s="130"/>
      <c r="DJ257" s="130"/>
      <c r="DK257" s="130"/>
      <c r="DL257" s="130"/>
      <c r="DM257" s="130"/>
      <c r="DN257" s="130"/>
      <c r="DO257" s="130"/>
      <c r="DP257" s="130"/>
      <c r="DQ257" s="130"/>
      <c r="DR257" s="115"/>
      <c r="DS257" s="115"/>
      <c r="DT257" s="115"/>
      <c r="DU257" s="115"/>
      <c r="DV257" s="115"/>
      <c r="DW257" s="115"/>
      <c r="DX257" s="115"/>
      <c r="DY257" s="115"/>
      <c r="DZ257" s="115"/>
      <c r="EA257" s="115"/>
      <c r="EB257" s="115"/>
      <c r="EC257" s="645"/>
      <c r="ED257" s="113" t="s">
        <v>1</v>
      </c>
    </row>
    <row r="258" spans="1:134" x14ac:dyDescent="0.2">
      <c r="A258" s="115" t="s">
        <v>105</v>
      </c>
      <c r="B258" s="115"/>
      <c r="C258" s="115"/>
      <c r="D258" s="115"/>
      <c r="E258" s="115"/>
      <c r="F258" s="115"/>
      <c r="G258" s="115"/>
      <c r="H258" s="115"/>
      <c r="I258" s="115"/>
      <c r="J258" s="115"/>
      <c r="K258" s="129">
        <f t="shared" ref="K258:AP258" si="820">K230/K204</f>
        <v>66.101437371663238</v>
      </c>
      <c r="L258" s="129">
        <f t="shared" si="820"/>
        <v>63.624615384615382</v>
      </c>
      <c r="M258" s="129">
        <f t="shared" si="820"/>
        <v>61.678707224334602</v>
      </c>
      <c r="N258" s="129">
        <f t="shared" si="820"/>
        <v>63.142586989409985</v>
      </c>
      <c r="O258" s="129">
        <f t="shared" si="820"/>
        <v>66.710686251124329</v>
      </c>
      <c r="P258" s="129">
        <f t="shared" si="820"/>
        <v>74.207083217207327</v>
      </c>
      <c r="Q258" s="129">
        <f t="shared" si="820"/>
        <v>70.359724564069225</v>
      </c>
      <c r="R258" s="129">
        <f t="shared" si="820"/>
        <v>70.629620721352012</v>
      </c>
      <c r="S258" s="129">
        <f t="shared" si="820"/>
        <v>84.268662425834478</v>
      </c>
      <c r="T258" s="129">
        <f t="shared" si="820"/>
        <v>98.55687571239288</v>
      </c>
      <c r="U258" s="129">
        <f t="shared" si="820"/>
        <v>145.50215481109655</v>
      </c>
      <c r="V258" s="129">
        <f t="shared" si="820"/>
        <v>97.886043738375903</v>
      </c>
      <c r="W258" s="129">
        <f t="shared" si="820"/>
        <v>88.949932283344737</v>
      </c>
      <c r="X258" s="129">
        <f t="shared" si="820"/>
        <v>589.1733039161611</v>
      </c>
      <c r="Y258" s="129">
        <f t="shared" si="820"/>
        <v>141.89513320895327</v>
      </c>
      <c r="Z258" s="129">
        <f t="shared" si="820"/>
        <v>0</v>
      </c>
      <c r="AA258" s="129">
        <f t="shared" si="820"/>
        <v>107.47423550829792</v>
      </c>
      <c r="AB258" s="129">
        <f t="shared" si="820"/>
        <v>87.5981804437899</v>
      </c>
      <c r="AC258" s="129">
        <f t="shared" si="820"/>
        <v>126.31158819749491</v>
      </c>
      <c r="AD258" s="129">
        <f t="shared" si="820"/>
        <v>104.60678708959486</v>
      </c>
      <c r="AE258" s="129">
        <f t="shared" si="820"/>
        <v>80.823363243602529</v>
      </c>
      <c r="AF258" s="129">
        <f t="shared" si="820"/>
        <v>65.780685231872994</v>
      </c>
      <c r="AG258" s="129">
        <f t="shared" si="820"/>
        <v>60.441534446675831</v>
      </c>
      <c r="AH258" s="129">
        <f t="shared" si="820"/>
        <v>60.213030888030886</v>
      </c>
      <c r="AI258" s="129">
        <f t="shared" si="820"/>
        <v>29.809354494383381</v>
      </c>
      <c r="AJ258" s="129">
        <f t="shared" si="820"/>
        <v>56.413796627491067</v>
      </c>
      <c r="AK258" s="129">
        <f t="shared" si="820"/>
        <v>69.83231059712061</v>
      </c>
      <c r="AL258" s="129">
        <f t="shared" si="820"/>
        <v>55.939334363151239</v>
      </c>
      <c r="AM258" s="129">
        <f t="shared" si="820"/>
        <v>66.184859154929583</v>
      </c>
      <c r="AN258" s="129">
        <f t="shared" si="820"/>
        <v>55.843791560875346</v>
      </c>
      <c r="AO258" s="129">
        <f t="shared" si="820"/>
        <v>56.567139200630045</v>
      </c>
      <c r="AP258" s="129">
        <f t="shared" si="820"/>
        <v>56.825246132208157</v>
      </c>
      <c r="AQ258" s="129">
        <f t="shared" ref="AQ258:BV258" si="821">AQ230/AQ204</f>
        <v>57.109517420471761</v>
      </c>
      <c r="AR258" s="129">
        <f t="shared" si="821"/>
        <v>66.554099662497521</v>
      </c>
      <c r="AS258" s="129">
        <f t="shared" si="821"/>
        <v>64.848459194039961</v>
      </c>
      <c r="AT258" s="129">
        <f t="shared" si="821"/>
        <v>57.027485293390676</v>
      </c>
      <c r="AU258" s="129">
        <f t="shared" si="821"/>
        <v>52.05996758508914</v>
      </c>
      <c r="AV258" s="129">
        <f t="shared" si="821"/>
        <v>51.909179049990989</v>
      </c>
      <c r="AW258" s="129">
        <f t="shared" si="821"/>
        <v>54.677351030782262</v>
      </c>
      <c r="AX258" s="129">
        <f t="shared" si="821"/>
        <v>52</v>
      </c>
      <c r="AY258" s="129">
        <f t="shared" si="821"/>
        <v>92.232743450119926</v>
      </c>
      <c r="AZ258" s="129">
        <f t="shared" si="821"/>
        <v>55</v>
      </c>
      <c r="BA258" s="129">
        <f t="shared" si="821"/>
        <v>55</v>
      </c>
      <c r="BB258" s="129">
        <f t="shared" si="821"/>
        <v>55</v>
      </c>
      <c r="BC258" s="129">
        <f t="shared" si="821"/>
        <v>55</v>
      </c>
      <c r="BD258" s="129">
        <f t="shared" si="821"/>
        <v>55</v>
      </c>
      <c r="BE258" s="129">
        <f t="shared" si="821"/>
        <v>55</v>
      </c>
      <c r="BF258" s="129">
        <f t="shared" si="821"/>
        <v>55</v>
      </c>
      <c r="BG258" s="129">
        <f t="shared" si="821"/>
        <v>55</v>
      </c>
      <c r="BH258" s="129">
        <f t="shared" si="821"/>
        <v>55</v>
      </c>
      <c r="BI258" s="129">
        <f t="shared" si="821"/>
        <v>55</v>
      </c>
      <c r="BJ258" s="129">
        <f t="shared" si="821"/>
        <v>55</v>
      </c>
      <c r="BK258" s="129">
        <f t="shared" si="821"/>
        <v>60</v>
      </c>
      <c r="BL258" s="129">
        <f t="shared" si="821"/>
        <v>60</v>
      </c>
      <c r="BM258" s="129">
        <f t="shared" si="821"/>
        <v>60</v>
      </c>
      <c r="BN258" s="129">
        <f t="shared" si="821"/>
        <v>60</v>
      </c>
      <c r="BO258" s="129">
        <f t="shared" si="821"/>
        <v>60</v>
      </c>
      <c r="BP258" s="129">
        <f t="shared" si="821"/>
        <v>60</v>
      </c>
      <c r="BQ258" s="129">
        <f t="shared" si="821"/>
        <v>60</v>
      </c>
      <c r="BR258" s="129">
        <f t="shared" si="821"/>
        <v>60</v>
      </c>
      <c r="BS258" s="129">
        <f t="shared" si="821"/>
        <v>60</v>
      </c>
      <c r="BT258" s="129">
        <f t="shared" si="821"/>
        <v>60</v>
      </c>
      <c r="BU258" s="129">
        <f t="shared" si="821"/>
        <v>60</v>
      </c>
      <c r="BV258" s="129">
        <f t="shared" si="821"/>
        <v>60</v>
      </c>
      <c r="BW258" s="129">
        <f t="shared" ref="BW258:CS258" si="822">BW230/BW204</f>
        <v>60</v>
      </c>
      <c r="BX258" s="129">
        <f t="shared" si="822"/>
        <v>60</v>
      </c>
      <c r="BY258" s="129">
        <f t="shared" si="822"/>
        <v>60</v>
      </c>
      <c r="BZ258" s="129">
        <f t="shared" si="822"/>
        <v>60</v>
      </c>
      <c r="CA258" s="129">
        <f t="shared" si="822"/>
        <v>60.074433291981506</v>
      </c>
      <c r="CB258" s="129">
        <f t="shared" si="822"/>
        <v>60</v>
      </c>
      <c r="CC258" s="129">
        <f t="shared" si="822"/>
        <v>60</v>
      </c>
      <c r="CD258" s="129">
        <f t="shared" si="822"/>
        <v>60</v>
      </c>
      <c r="CE258" s="129">
        <f t="shared" si="822"/>
        <v>60</v>
      </c>
      <c r="CF258" s="129">
        <f t="shared" si="822"/>
        <v>60</v>
      </c>
      <c r="CG258" s="129">
        <f t="shared" si="822"/>
        <v>60</v>
      </c>
      <c r="CH258" s="129">
        <f t="shared" si="822"/>
        <v>60</v>
      </c>
      <c r="CI258" s="129">
        <f t="shared" si="822"/>
        <v>60</v>
      </c>
      <c r="CJ258" s="129">
        <f t="shared" si="822"/>
        <v>60</v>
      </c>
      <c r="CK258" s="129">
        <f t="shared" si="822"/>
        <v>60</v>
      </c>
      <c r="CL258" s="129">
        <f t="shared" si="822"/>
        <v>60</v>
      </c>
      <c r="CM258" s="129">
        <f t="shared" si="822"/>
        <v>60</v>
      </c>
      <c r="CN258" s="129">
        <f t="shared" si="822"/>
        <v>60</v>
      </c>
      <c r="CO258" s="129">
        <f t="shared" si="822"/>
        <v>60</v>
      </c>
      <c r="CP258" s="129">
        <f t="shared" si="822"/>
        <v>60</v>
      </c>
      <c r="CQ258" s="129">
        <f t="shared" si="822"/>
        <v>60</v>
      </c>
      <c r="CR258" s="129">
        <f t="shared" si="822"/>
        <v>60</v>
      </c>
      <c r="CS258" s="129">
        <f t="shared" si="822"/>
        <v>60</v>
      </c>
      <c r="CT258" s="129">
        <f>AVERAGE(CH258:CS258)*(1+CT259)</f>
        <v>63</v>
      </c>
      <c r="CU258" s="129">
        <f t="shared" ref="CU258" si="823">CT258*(1+CU259)</f>
        <v>63</v>
      </c>
      <c r="CV258" s="129">
        <f t="shared" ref="CV258" si="824">CU258*(1+CV259)</f>
        <v>63</v>
      </c>
      <c r="CW258" s="129">
        <f t="shared" ref="CW258" si="825">CV258*(1+CW259)</f>
        <v>63</v>
      </c>
      <c r="CX258" s="129">
        <f t="shared" ref="CX258" si="826">CW258*(1+CX259)</f>
        <v>63</v>
      </c>
      <c r="CY258" s="129">
        <f t="shared" ref="CY258" si="827">CX258*(1+CY259)</f>
        <v>63</v>
      </c>
      <c r="CZ258" s="129">
        <f t="shared" ref="CZ258" si="828">CY258*(1+CZ259)</f>
        <v>63</v>
      </c>
      <c r="DA258" s="129">
        <f t="shared" ref="DA258" si="829">CZ258*(1+DA259)</f>
        <v>63</v>
      </c>
      <c r="DB258" s="129">
        <f t="shared" ref="DB258" si="830">DA258*(1+DB259)</f>
        <v>63</v>
      </c>
      <c r="DC258" s="129">
        <f t="shared" ref="DC258" si="831">DB258*(1+DC259)</f>
        <v>63</v>
      </c>
      <c r="DD258" s="129">
        <f t="shared" ref="DD258" si="832">DC258*(1+DD259)</f>
        <v>63</v>
      </c>
      <c r="DE258" s="129">
        <f t="shared" ref="DE258" si="833">DD258*(1+DE259)</f>
        <v>63</v>
      </c>
      <c r="DF258" s="129">
        <f t="shared" ref="DF258" si="834">DE258*(1+DF259)</f>
        <v>66.150000000000006</v>
      </c>
      <c r="DG258" s="129">
        <f t="shared" ref="DG258" si="835">DF258*(1+DG259)</f>
        <v>66.150000000000006</v>
      </c>
      <c r="DH258" s="129">
        <f t="shared" ref="DH258" si="836">DG258*(1+DH259)</f>
        <v>66.150000000000006</v>
      </c>
      <c r="DI258" s="129">
        <f t="shared" ref="DI258" si="837">DH258*(1+DI259)</f>
        <v>66.150000000000006</v>
      </c>
      <c r="DJ258" s="129">
        <f t="shared" ref="DJ258" si="838">DI258*(1+DJ259)</f>
        <v>66.150000000000006</v>
      </c>
      <c r="DK258" s="129">
        <f t="shared" ref="DK258" si="839">DJ258*(1+DK259)</f>
        <v>66.150000000000006</v>
      </c>
      <c r="DL258" s="129">
        <f t="shared" ref="DL258" si="840">DK258*(1+DL259)</f>
        <v>66.150000000000006</v>
      </c>
      <c r="DM258" s="129">
        <f t="shared" ref="DM258" si="841">DL258*(1+DM259)</f>
        <v>66.150000000000006</v>
      </c>
      <c r="DN258" s="129">
        <f t="shared" ref="DN258" si="842">DM258*(1+DN259)</f>
        <v>66.150000000000006</v>
      </c>
      <c r="DO258" s="129">
        <f t="shared" ref="DO258" si="843">DN258*(1+DO259)</f>
        <v>66.150000000000006</v>
      </c>
      <c r="DP258" s="129">
        <f t="shared" ref="DP258" si="844">DO258*(1+DP259)</f>
        <v>66.150000000000006</v>
      </c>
      <c r="DQ258" s="129">
        <f t="shared" ref="DQ258" si="845">DP258*(1+DQ259)</f>
        <v>66.150000000000006</v>
      </c>
      <c r="DR258" s="129">
        <f t="shared" ref="DR258" si="846">DQ258*(1+DR259)</f>
        <v>69.45750000000001</v>
      </c>
      <c r="DS258" s="129">
        <f t="shared" ref="DS258" si="847">DR258*(1+DS259)</f>
        <v>69.45750000000001</v>
      </c>
      <c r="DT258" s="129">
        <f t="shared" ref="DT258" si="848">DS258*(1+DT259)</f>
        <v>69.45750000000001</v>
      </c>
      <c r="DU258" s="129">
        <f t="shared" ref="DU258" si="849">DT258*(1+DU259)</f>
        <v>69.45750000000001</v>
      </c>
      <c r="DV258" s="129">
        <f t="shared" ref="DV258" si="850">DU258*(1+DV259)</f>
        <v>69.45750000000001</v>
      </c>
      <c r="DW258" s="129">
        <f t="shared" ref="DW258" si="851">DV258*(1+DW259)</f>
        <v>69.45750000000001</v>
      </c>
      <c r="DX258" s="129">
        <f t="shared" ref="DX258" si="852">DW258*(1+DX259)</f>
        <v>69.45750000000001</v>
      </c>
      <c r="DY258" s="129">
        <f t="shared" ref="DY258" si="853">DX258*(1+DY259)</f>
        <v>69.45750000000001</v>
      </c>
      <c r="DZ258" s="129">
        <f t="shared" ref="DZ258" si="854">DY258*(1+DZ259)</f>
        <v>69.45750000000001</v>
      </c>
      <c r="EA258" s="129">
        <f t="shared" ref="EA258" si="855">DZ258*(1+EA259)</f>
        <v>69.45750000000001</v>
      </c>
      <c r="EB258" s="129">
        <f t="shared" ref="EB258" si="856">EA258*(1+EB259)</f>
        <v>69.45750000000001</v>
      </c>
      <c r="EC258" s="129">
        <f t="shared" ref="EC258" si="857">EB258*(1+EC259)</f>
        <v>69.45750000000001</v>
      </c>
      <c r="ED258" s="113" t="s">
        <v>1</v>
      </c>
    </row>
    <row r="259" spans="1:134" x14ac:dyDescent="0.2">
      <c r="A259" s="115" t="s">
        <v>180</v>
      </c>
      <c r="B259" s="115"/>
      <c r="C259" s="115"/>
      <c r="D259" s="115"/>
      <c r="E259" s="115"/>
      <c r="F259" s="115"/>
      <c r="G259" s="115"/>
      <c r="H259" s="115"/>
      <c r="I259" s="115"/>
      <c r="J259" s="115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129"/>
      <c r="AN259" s="129"/>
      <c r="AO259" s="129"/>
      <c r="AP259" s="129"/>
      <c r="AQ259" s="129"/>
      <c r="AR259" s="129"/>
      <c r="AS259" s="129"/>
      <c r="AT259" s="129"/>
      <c r="AU259" s="129"/>
      <c r="AV259" s="129"/>
      <c r="AW259" s="129"/>
      <c r="AX259" s="129"/>
      <c r="AY259" s="129"/>
      <c r="AZ259" s="129"/>
      <c r="BA259" s="129"/>
      <c r="BB259" s="129"/>
      <c r="BC259" s="129"/>
      <c r="BD259" s="129"/>
      <c r="BE259" s="129"/>
      <c r="BF259" s="129"/>
      <c r="BG259" s="129"/>
      <c r="BH259" s="129"/>
      <c r="BI259" s="129"/>
      <c r="BJ259" s="129"/>
      <c r="BK259" s="129"/>
      <c r="BL259" s="129"/>
      <c r="BM259" s="129"/>
      <c r="BN259" s="129"/>
      <c r="BO259" s="129"/>
      <c r="BP259" s="129"/>
      <c r="BQ259" s="129"/>
      <c r="BR259" s="129"/>
      <c r="BS259" s="129"/>
      <c r="BT259" s="129"/>
      <c r="BU259" s="129"/>
      <c r="BV259" s="129"/>
      <c r="BW259" s="129"/>
      <c r="BX259" s="129"/>
      <c r="BY259" s="129"/>
      <c r="BZ259" s="129"/>
      <c r="CA259" s="129"/>
      <c r="CB259" s="129"/>
      <c r="CC259" s="129"/>
      <c r="CD259" s="129"/>
      <c r="CE259" s="129"/>
      <c r="CF259" s="129"/>
      <c r="CG259" s="129"/>
      <c r="CH259" s="129"/>
      <c r="CI259" s="129"/>
      <c r="CJ259" s="129"/>
      <c r="CK259" s="129"/>
      <c r="CL259" s="129"/>
      <c r="CM259" s="129"/>
      <c r="CN259" s="129"/>
      <c r="CO259" s="129"/>
      <c r="CP259" s="129"/>
      <c r="CQ259" s="129"/>
      <c r="CR259" s="129"/>
      <c r="CS259" s="129"/>
      <c r="CT259" s="701">
        <v>0.05</v>
      </c>
      <c r="CU259" s="708"/>
      <c r="CV259" s="708"/>
      <c r="CW259" s="708"/>
      <c r="CX259" s="708"/>
      <c r="CY259" s="708"/>
      <c r="CZ259" s="708"/>
      <c r="DA259" s="708"/>
      <c r="DB259" s="708"/>
      <c r="DC259" s="708"/>
      <c r="DD259" s="708"/>
      <c r="DE259" s="708"/>
      <c r="DF259" s="701">
        <v>0.05</v>
      </c>
      <c r="DG259" s="115"/>
      <c r="DH259" s="115"/>
      <c r="DI259" s="115"/>
      <c r="DJ259" s="115"/>
      <c r="DK259" s="115"/>
      <c r="DL259" s="115"/>
      <c r="DM259" s="115"/>
      <c r="DN259" s="115"/>
      <c r="DO259" s="115"/>
      <c r="DP259" s="115"/>
      <c r="DQ259" s="115"/>
      <c r="DR259" s="701">
        <v>0.05</v>
      </c>
      <c r="DS259" s="115"/>
      <c r="DT259" s="115"/>
      <c r="DU259" s="115"/>
      <c r="DV259" s="115"/>
      <c r="DW259" s="115"/>
      <c r="DX259" s="115"/>
      <c r="DY259" s="115"/>
      <c r="DZ259" s="115"/>
      <c r="EA259" s="115"/>
      <c r="EB259" s="115"/>
      <c r="EC259" s="645"/>
      <c r="ED259" s="113" t="s">
        <v>1</v>
      </c>
    </row>
    <row r="260" spans="1:134" x14ac:dyDescent="0.2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15"/>
      <c r="AL260" s="115"/>
      <c r="AM260" s="115"/>
      <c r="AN260" s="115"/>
      <c r="AO260" s="115"/>
      <c r="AP260" s="115"/>
      <c r="AQ260" s="115"/>
      <c r="AR260" s="115"/>
      <c r="AS260" s="115"/>
      <c r="AT260" s="115"/>
      <c r="AU260" s="115"/>
      <c r="AV260" s="115"/>
      <c r="AW260" s="115"/>
      <c r="AX260" s="115"/>
      <c r="AY260" s="115"/>
      <c r="AZ260" s="115"/>
      <c r="BA260" s="115"/>
      <c r="BB260" s="115"/>
      <c r="BC260" s="115"/>
      <c r="BD260" s="115"/>
      <c r="BE260" s="115"/>
      <c r="BF260" s="115"/>
      <c r="BG260" s="115"/>
      <c r="BH260" s="115"/>
      <c r="BI260" s="115"/>
      <c r="BJ260" s="115"/>
      <c r="BK260" s="115"/>
      <c r="BL260" s="115"/>
      <c r="BM260" s="115"/>
      <c r="BN260" s="115"/>
      <c r="BO260" s="115"/>
      <c r="BP260" s="115"/>
      <c r="BQ260" s="115"/>
      <c r="BR260" s="115"/>
      <c r="BS260" s="115"/>
      <c r="BT260" s="115"/>
      <c r="BU260" s="115"/>
      <c r="BV260" s="115"/>
      <c r="BW260" s="115"/>
      <c r="BX260" s="115"/>
      <c r="BY260" s="115"/>
      <c r="BZ260" s="115"/>
      <c r="CA260" s="115"/>
      <c r="CB260" s="115"/>
      <c r="CC260" s="115"/>
      <c r="CD260" s="115"/>
      <c r="CE260" s="115"/>
      <c r="CF260" s="115"/>
      <c r="CG260" s="115"/>
      <c r="CH260" s="115"/>
      <c r="CI260" s="115"/>
      <c r="CJ260" s="115"/>
      <c r="CK260" s="115"/>
      <c r="CL260" s="115"/>
      <c r="CM260" s="115"/>
      <c r="CN260" s="115"/>
      <c r="CO260" s="115"/>
      <c r="CP260" s="115"/>
      <c r="CQ260" s="115"/>
      <c r="CR260" s="115"/>
      <c r="CS260" s="115"/>
      <c r="CT260" s="115"/>
      <c r="CU260" s="115"/>
      <c r="CV260" s="115"/>
      <c r="CW260" s="115"/>
      <c r="CX260" s="115"/>
      <c r="CY260" s="115"/>
      <c r="CZ260" s="115"/>
      <c r="DA260" s="115"/>
      <c r="DB260" s="115"/>
      <c r="DC260" s="115"/>
      <c r="DD260" s="115"/>
      <c r="DE260" s="115"/>
      <c r="DF260" s="115"/>
      <c r="DG260" s="115"/>
      <c r="DH260" s="115"/>
      <c r="DI260" s="115"/>
      <c r="DJ260" s="115"/>
      <c r="DK260" s="115"/>
      <c r="DL260" s="115"/>
      <c r="DM260" s="115"/>
      <c r="DN260" s="115"/>
      <c r="DO260" s="115"/>
      <c r="DP260" s="115"/>
      <c r="DQ260" s="115"/>
      <c r="DR260" s="115"/>
      <c r="DS260" s="115"/>
      <c r="DT260" s="115"/>
      <c r="DU260" s="115"/>
      <c r="DV260" s="115"/>
      <c r="DW260" s="115"/>
      <c r="DX260" s="115"/>
      <c r="DY260" s="115"/>
      <c r="DZ260" s="115"/>
      <c r="EA260" s="115"/>
      <c r="EB260" s="115"/>
      <c r="EC260" s="645"/>
      <c r="ED260" s="113" t="s">
        <v>1</v>
      </c>
    </row>
    <row r="261" spans="1:134" x14ac:dyDescent="0.2">
      <c r="A261" s="330" t="s">
        <v>160</v>
      </c>
      <c r="B261" s="115"/>
      <c r="C261" s="115"/>
      <c r="D261" s="115"/>
      <c r="E261" s="115"/>
      <c r="F261" s="115"/>
      <c r="G261" s="115"/>
      <c r="H261" s="115"/>
      <c r="I261" s="115"/>
      <c r="J261" s="115"/>
      <c r="K261" s="131">
        <f>SUM(K262:K267)</f>
        <v>19313.938398357292</v>
      </c>
      <c r="L261" s="131">
        <f t="shared" ref="L261:BW261" si="858">SUM(L262:L267)</f>
        <v>119359.84783216783</v>
      </c>
      <c r="M261" s="131">
        <f t="shared" si="858"/>
        <v>427288.07271863119</v>
      </c>
      <c r="N261" s="131">
        <f t="shared" si="858"/>
        <v>462840.9502647504</v>
      </c>
      <c r="O261" s="131">
        <f t="shared" si="858"/>
        <v>691149.13297963375</v>
      </c>
      <c r="P261" s="131">
        <f t="shared" si="858"/>
        <v>332077.27918781724</v>
      </c>
      <c r="Q261" s="131">
        <f t="shared" si="858"/>
        <v>799551.1240042086</v>
      </c>
      <c r="R261" s="131">
        <f t="shared" si="858"/>
        <v>743989.47317262832</v>
      </c>
      <c r="S261" s="131">
        <f t="shared" si="858"/>
        <v>780053.19734544179</v>
      </c>
      <c r="T261" s="131">
        <f t="shared" si="858"/>
        <v>651716.33726415085</v>
      </c>
      <c r="U261" s="131">
        <f t="shared" si="858"/>
        <v>395336.23893610516</v>
      </c>
      <c r="V261" s="131">
        <f t="shared" si="858"/>
        <v>437783.47450167703</v>
      </c>
      <c r="W261" s="131">
        <f t="shared" si="858"/>
        <v>668841.66686844709</v>
      </c>
      <c r="X261" s="131">
        <f t="shared" si="858"/>
        <v>464127.05103338632</v>
      </c>
      <c r="Y261" s="131">
        <f t="shared" si="858"/>
        <v>585437.42061248678</v>
      </c>
      <c r="Z261" s="131">
        <f t="shared" si="858"/>
        <v>0</v>
      </c>
      <c r="AA261" s="131">
        <f t="shared" si="858"/>
        <v>640322.47930463566</v>
      </c>
      <c r="AB261" s="131">
        <f t="shared" si="858"/>
        <v>1457736.3153808021</v>
      </c>
      <c r="AC261" s="131">
        <f t="shared" si="858"/>
        <v>1206484.3729753268</v>
      </c>
      <c r="AD261" s="131">
        <f t="shared" si="858"/>
        <v>1096583.7071723645</v>
      </c>
      <c r="AE261" s="131">
        <f t="shared" si="858"/>
        <v>1377631.8842779407</v>
      </c>
      <c r="AF261" s="131">
        <f t="shared" si="858"/>
        <v>2430904.0082555991</v>
      </c>
      <c r="AG261" s="131">
        <f t="shared" si="858"/>
        <v>2023545.2268423084</v>
      </c>
      <c r="AH261" s="131">
        <f t="shared" si="858"/>
        <v>3122450.7425099006</v>
      </c>
      <c r="AI261" s="131">
        <f t="shared" si="858"/>
        <v>3597274.2419644166</v>
      </c>
      <c r="AJ261" s="131">
        <f t="shared" si="858"/>
        <v>2209289.7887334968</v>
      </c>
      <c r="AK261" s="131">
        <f t="shared" si="858"/>
        <v>3030695.0024811896</v>
      </c>
      <c r="AL261" s="131">
        <f t="shared" si="858"/>
        <v>2297722.2498859731</v>
      </c>
      <c r="AM261" s="131">
        <f t="shared" si="858"/>
        <v>1560702.8936065354</v>
      </c>
      <c r="AN261" s="131">
        <f t="shared" si="858"/>
        <v>2115007.6885940768</v>
      </c>
      <c r="AO261" s="131">
        <f t="shared" si="858"/>
        <v>1473887.3917950355</v>
      </c>
      <c r="AP261" s="131">
        <f t="shared" si="858"/>
        <v>833667.7698461723</v>
      </c>
      <c r="AQ261" s="131">
        <f t="shared" si="858"/>
        <v>1056303.2353233153</v>
      </c>
      <c r="AR261" s="131">
        <f t="shared" si="858"/>
        <v>1679115.8434499665</v>
      </c>
      <c r="AS261" s="131">
        <f t="shared" si="858"/>
        <v>3502941.6820963286</v>
      </c>
      <c r="AT261" s="131">
        <f t="shared" si="858"/>
        <v>4019061.7463563071</v>
      </c>
      <c r="AU261" s="131">
        <f t="shared" si="858"/>
        <v>4154059.3665580298</v>
      </c>
      <c r="AV261" s="131">
        <f t="shared" si="858"/>
        <v>3311165.563169145</v>
      </c>
      <c r="AW261" s="131">
        <f t="shared" si="858"/>
        <v>1549840.7298089268</v>
      </c>
      <c r="AX261" s="131">
        <f t="shared" si="858"/>
        <v>1494214.9942529139</v>
      </c>
      <c r="AY261" s="131">
        <f t="shared" si="858"/>
        <v>2176777.5862549148</v>
      </c>
      <c r="AZ261" s="131">
        <f t="shared" si="858"/>
        <v>2621581.4142428092</v>
      </c>
      <c r="BA261" s="131">
        <f t="shared" si="858"/>
        <v>2912134.9531102432</v>
      </c>
      <c r="BB261" s="131">
        <f t="shared" si="858"/>
        <v>2326944.2766092573</v>
      </c>
      <c r="BC261" s="131">
        <f t="shared" si="858"/>
        <v>3863668.0608779779</v>
      </c>
      <c r="BD261" s="131">
        <f t="shared" si="858"/>
        <v>5617530.7989462316</v>
      </c>
      <c r="BE261" s="131">
        <f t="shared" si="858"/>
        <v>5075536.1741855135</v>
      </c>
      <c r="BF261" s="131">
        <f t="shared" si="858"/>
        <v>4153230.8451653617</v>
      </c>
      <c r="BG261" s="131">
        <f t="shared" si="858"/>
        <v>4274295.5515142297</v>
      </c>
      <c r="BH261" s="131">
        <f t="shared" si="858"/>
        <v>6522802.2546098093</v>
      </c>
      <c r="BI261" s="131">
        <f t="shared" si="858"/>
        <v>15154540.666125644</v>
      </c>
      <c r="BJ261" s="131">
        <f t="shared" si="858"/>
        <v>14023056.199479993</v>
      </c>
      <c r="BK261" s="131">
        <f t="shared" si="858"/>
        <v>10943168.526432095</v>
      </c>
      <c r="BL261" s="131">
        <f t="shared" si="858"/>
        <v>11907531.575548051</v>
      </c>
      <c r="BM261" s="131">
        <f t="shared" si="858"/>
        <v>10488339.789743049</v>
      </c>
      <c r="BN261" s="131">
        <f t="shared" si="858"/>
        <v>10994651.32871994</v>
      </c>
      <c r="BO261" s="131">
        <f t="shared" si="858"/>
        <v>11772223.866211524</v>
      </c>
      <c r="BP261" s="131">
        <f t="shared" si="858"/>
        <v>20107040.246410076</v>
      </c>
      <c r="BQ261" s="131">
        <f t="shared" si="858"/>
        <v>11786702.792447269</v>
      </c>
      <c r="BR261" s="131">
        <f t="shared" si="858"/>
        <v>10149850.625315748</v>
      </c>
      <c r="BS261" s="131">
        <f t="shared" si="858"/>
        <v>11306341.52876357</v>
      </c>
      <c r="BT261" s="131">
        <f t="shared" si="858"/>
        <v>11232315.787155248</v>
      </c>
      <c r="BU261" s="131">
        <f t="shared" si="858"/>
        <v>12997162.39157404</v>
      </c>
      <c r="BV261" s="131">
        <f t="shared" si="858"/>
        <v>11432232.901747197</v>
      </c>
      <c r="BW261" s="131">
        <f t="shared" si="858"/>
        <v>13429312.186326377</v>
      </c>
      <c r="BX261" s="131">
        <f t="shared" ref="BX261:DQ261" si="859">SUM(BX262:BX267)</f>
        <v>15240229.108804077</v>
      </c>
      <c r="BY261" s="131">
        <f t="shared" si="859"/>
        <v>16114170.745189702</v>
      </c>
      <c r="BZ261" s="131">
        <f t="shared" si="859"/>
        <v>14022331.569350606</v>
      </c>
      <c r="CA261" s="131">
        <f t="shared" si="859"/>
        <v>13746262.962236155</v>
      </c>
      <c r="CB261" s="131">
        <f t="shared" si="859"/>
        <v>15082367.858397357</v>
      </c>
      <c r="CC261" s="131">
        <f t="shared" si="859"/>
        <v>14137362.734426841</v>
      </c>
      <c r="CD261" s="131">
        <f t="shared" si="859"/>
        <v>14155408.826992447</v>
      </c>
      <c r="CE261" s="131">
        <f t="shared" si="859"/>
        <v>15054042.84350035</v>
      </c>
      <c r="CF261" s="131">
        <f t="shared" si="859"/>
        <v>11276306.266790459</v>
      </c>
      <c r="CG261" s="131">
        <f t="shared" si="859"/>
        <v>20837775.747474745</v>
      </c>
      <c r="CH261" s="131">
        <f t="shared" si="859"/>
        <v>19312000.767726883</v>
      </c>
      <c r="CI261" s="131">
        <f t="shared" si="859"/>
        <v>19595218.730950698</v>
      </c>
      <c r="CJ261" s="131">
        <f t="shared" si="859"/>
        <v>21263255.100793973</v>
      </c>
      <c r="CK261" s="131">
        <f t="shared" si="859"/>
        <v>19516269.745977808</v>
      </c>
      <c r="CL261" s="131">
        <f t="shared" si="859"/>
        <v>15892174.303431101</v>
      </c>
      <c r="CM261" s="131">
        <f t="shared" si="859"/>
        <v>19135784.938886411</v>
      </c>
      <c r="CN261" s="131">
        <f t="shared" si="859"/>
        <v>20730624.578885205</v>
      </c>
      <c r="CO261" s="131">
        <f t="shared" si="859"/>
        <v>18848804.375661843</v>
      </c>
      <c r="CP261" s="131">
        <f t="shared" si="859"/>
        <v>22348042.969460003</v>
      </c>
      <c r="CQ261" s="131">
        <f t="shared" si="859"/>
        <v>24981016.869870305</v>
      </c>
      <c r="CR261" s="131">
        <f t="shared" si="859"/>
        <v>21301249.22925378</v>
      </c>
      <c r="CS261" s="131">
        <f t="shared" si="859"/>
        <v>24811155.322419528</v>
      </c>
      <c r="CT261" s="132">
        <f t="shared" si="859"/>
        <v>23006672.48363005</v>
      </c>
      <c r="CU261" s="132">
        <f t="shared" si="859"/>
        <v>23240826.512520947</v>
      </c>
      <c r="CV261" s="132">
        <f t="shared" si="859"/>
        <v>23224200.190942898</v>
      </c>
      <c r="CW261" s="132">
        <f t="shared" si="859"/>
        <v>23574738.470880173</v>
      </c>
      <c r="CX261" s="132">
        <f t="shared" si="859"/>
        <v>22214151.155076213</v>
      </c>
      <c r="CY261" s="132">
        <f t="shared" si="859"/>
        <v>24300754.513121791</v>
      </c>
      <c r="CZ261" s="132">
        <f t="shared" si="859"/>
        <v>23628774.016008839</v>
      </c>
      <c r="DA261" s="132">
        <f t="shared" si="859"/>
        <v>23684195.087935679</v>
      </c>
      <c r="DB261" s="132">
        <f t="shared" si="859"/>
        <v>29072508.806022834</v>
      </c>
      <c r="DC261" s="132">
        <f t="shared" si="859"/>
        <v>31325375.379848935</v>
      </c>
      <c r="DD261" s="132">
        <f t="shared" si="859"/>
        <v>26855665.928949177</v>
      </c>
      <c r="DE261" s="132">
        <f t="shared" si="859"/>
        <v>29019858.787692335</v>
      </c>
      <c r="DF261" s="132">
        <f t="shared" si="859"/>
        <v>27424754.9576739</v>
      </c>
      <c r="DG261" s="132">
        <f t="shared" si="859"/>
        <v>27703874.716050707</v>
      </c>
      <c r="DH261" s="132">
        <f t="shared" si="859"/>
        <v>27684055.561609749</v>
      </c>
      <c r="DI261" s="132">
        <f t="shared" si="859"/>
        <v>28101909.401073255</v>
      </c>
      <c r="DJ261" s="132">
        <f t="shared" si="859"/>
        <v>26480041.929321624</v>
      </c>
      <c r="DK261" s="132">
        <f t="shared" si="859"/>
        <v>28967345.811661698</v>
      </c>
      <c r="DL261" s="132">
        <f t="shared" si="859"/>
        <v>28166321.65300636</v>
      </c>
      <c r="DM261" s="132">
        <f t="shared" si="859"/>
        <v>28232385.501142886</v>
      </c>
      <c r="DN261" s="132">
        <f t="shared" si="859"/>
        <v>34655443.136216283</v>
      </c>
      <c r="DO261" s="132">
        <f t="shared" si="859"/>
        <v>37340938.562965922</v>
      </c>
      <c r="DP261" s="132">
        <f t="shared" si="859"/>
        <v>32012889.210755378</v>
      </c>
      <c r="DQ261" s="132">
        <f t="shared" si="859"/>
        <v>34592682.480486587</v>
      </c>
      <c r="DR261" s="132">
        <f t="shared" ref="DR261:EC261" si="860">SUM(DR262:DR267)</f>
        <v>32170639.522640169</v>
      </c>
      <c r="DS261" s="132">
        <f t="shared" si="860"/>
        <v>32498061.267857041</v>
      </c>
      <c r="DT261" s="132">
        <f t="shared" si="860"/>
        <v>32474812.386539869</v>
      </c>
      <c r="DU261" s="132">
        <f t="shared" si="860"/>
        <v>32964976.300976966</v>
      </c>
      <c r="DV261" s="132">
        <f t="shared" si="860"/>
        <v>31062442.846521515</v>
      </c>
      <c r="DW261" s="132">
        <f t="shared" si="860"/>
        <v>33980177.451826915</v>
      </c>
      <c r="DX261" s="132">
        <f t="shared" si="860"/>
        <v>33040535.165257774</v>
      </c>
      <c r="DY261" s="132">
        <f t="shared" si="860"/>
        <v>33118031.436315022</v>
      </c>
      <c r="DZ261" s="132">
        <f t="shared" si="860"/>
        <v>40652606.389855988</v>
      </c>
      <c r="EA261" s="132">
        <f t="shared" si="860"/>
        <v>43802829.808333129</v>
      </c>
      <c r="EB261" s="132">
        <f t="shared" si="860"/>
        <v>37552755.547566056</v>
      </c>
      <c r="EC261" s="132">
        <f t="shared" si="860"/>
        <v>40578984.932351604</v>
      </c>
      <c r="ED261" s="113" t="s">
        <v>1</v>
      </c>
    </row>
    <row r="262" spans="1:134" x14ac:dyDescent="0.2">
      <c r="A262" s="698" t="s">
        <v>146</v>
      </c>
      <c r="B262" s="115"/>
      <c r="C262" s="115"/>
      <c r="D262" s="115"/>
      <c r="E262" s="115"/>
      <c r="F262" s="115"/>
      <c r="G262" s="115"/>
      <c r="H262" s="115"/>
      <c r="I262" s="115"/>
      <c r="J262" s="115"/>
      <c r="K262" s="129">
        <v>43.597535934291578</v>
      </c>
      <c r="L262" s="129">
        <v>20191.377902097902</v>
      </c>
      <c r="M262" s="129">
        <v>127108.80346958175</v>
      </c>
      <c r="N262" s="129">
        <v>116189.49791981846</v>
      </c>
      <c r="O262" s="129">
        <v>111118.80883107992</v>
      </c>
      <c r="P262" s="129">
        <v>80344.201353637894</v>
      </c>
      <c r="Q262" s="129">
        <v>292075.55117991881</v>
      </c>
      <c r="R262" s="129">
        <v>276111.5832037325</v>
      </c>
      <c r="S262" s="129">
        <v>151290.60862731401</v>
      </c>
      <c r="T262" s="129">
        <v>54624.62028301887</v>
      </c>
      <c r="U262" s="129">
        <v>128953.06009171507</v>
      </c>
      <c r="V262" s="129">
        <v>69813.893627216094</v>
      </c>
      <c r="W262" s="129">
        <v>119485.09575469831</v>
      </c>
      <c r="X262" s="129">
        <v>70746.047694753579</v>
      </c>
      <c r="Y262" s="129">
        <v>91947.530821917811</v>
      </c>
      <c r="Z262" s="129">
        <v>0</v>
      </c>
      <c r="AA262" s="129">
        <v>67590.701986754968</v>
      </c>
      <c r="AB262" s="129">
        <v>83297.059973924392</v>
      </c>
      <c r="AC262" s="129">
        <v>81677.199641362822</v>
      </c>
      <c r="AD262" s="129">
        <v>29343.257942918688</v>
      </c>
      <c r="AE262" s="129">
        <v>35929.434527834121</v>
      </c>
      <c r="AF262" s="129">
        <v>59230.172878048783</v>
      </c>
      <c r="AG262" s="129">
        <v>43886.889460154242</v>
      </c>
      <c r="AH262" s="129">
        <v>102172.62084942084</v>
      </c>
      <c r="AI262" s="129">
        <v>86985.519848771262</v>
      </c>
      <c r="AJ262" s="129">
        <v>72527.002861522735</v>
      </c>
      <c r="AK262" s="129">
        <v>235263.4505546377</v>
      </c>
      <c r="AL262" s="129">
        <v>133451.31301783456</v>
      </c>
      <c r="AM262" s="129">
        <v>108001.60211267606</v>
      </c>
      <c r="AN262" s="129">
        <v>80464.748639825892</v>
      </c>
      <c r="AO262" s="129">
        <v>43996.078605037364</v>
      </c>
      <c r="AP262" s="129">
        <v>50997.80775993436</v>
      </c>
      <c r="AQ262" s="129">
        <v>20490.569900070655</v>
      </c>
      <c r="AR262" s="129">
        <v>12842.60140925538</v>
      </c>
      <c r="AS262" s="129">
        <v>45886.95411808951</v>
      </c>
      <c r="AT262" s="129">
        <v>68585.752749670035</v>
      </c>
      <c r="AU262" s="129">
        <v>106606.75152346131</v>
      </c>
      <c r="AV262" s="129">
        <v>123717.49594862253</v>
      </c>
      <c r="AW262" s="129">
        <v>92061.556758847422</v>
      </c>
      <c r="AX262" s="129">
        <v>103794.30874387413</v>
      </c>
      <c r="AY262" s="129">
        <v>114709.68608445297</v>
      </c>
      <c r="AZ262" s="129">
        <v>243834.80433467735</v>
      </c>
      <c r="BA262" s="129">
        <v>249837.58457975491</v>
      </c>
      <c r="BB262" s="129">
        <v>283244.53390893398</v>
      </c>
      <c r="BC262" s="129">
        <v>494751.14570121909</v>
      </c>
      <c r="BD262" s="129">
        <v>709160.19219373073</v>
      </c>
      <c r="BE262" s="129">
        <v>522445.28905559873</v>
      </c>
      <c r="BF262" s="129">
        <v>444933.53738721705</v>
      </c>
      <c r="BG262" s="129">
        <v>485957.01947376999</v>
      </c>
      <c r="BH262" s="129">
        <v>720062.88516990189</v>
      </c>
      <c r="BI262" s="129">
        <v>1054614.8269059903</v>
      </c>
      <c r="BJ262" s="129">
        <v>1825341.2224048995</v>
      </c>
      <c r="BK262" s="129">
        <v>1655918.4403285661</v>
      </c>
      <c r="BL262" s="129">
        <v>1735162.678108427</v>
      </c>
      <c r="BM262" s="129">
        <v>1746582.0993620085</v>
      </c>
      <c r="BN262" s="129">
        <v>1910225.2424238836</v>
      </c>
      <c r="BO262" s="129">
        <v>1680564.1363698312</v>
      </c>
      <c r="BP262" s="129">
        <v>3368447.4083562708</v>
      </c>
      <c r="BQ262" s="129">
        <v>2136834.5699640652</v>
      </c>
      <c r="BR262" s="129">
        <v>1907060.0555025488</v>
      </c>
      <c r="BS262" s="129">
        <v>1918035.4809334851</v>
      </c>
      <c r="BT262" s="129">
        <v>2020858.7483175711</v>
      </c>
      <c r="BU262" s="129">
        <v>1788324.5411494258</v>
      </c>
      <c r="BV262" s="129">
        <v>2112347.2070577294</v>
      </c>
      <c r="BW262" s="129">
        <v>2194133.7060836935</v>
      </c>
      <c r="BX262" s="129">
        <v>2515522.4369108258</v>
      </c>
      <c r="BY262" s="129">
        <v>1371672.3931330834</v>
      </c>
      <c r="BZ262" s="129">
        <v>1962014.4441771014</v>
      </c>
      <c r="CA262" s="129">
        <v>1645144.6396038206</v>
      </c>
      <c r="CB262" s="129">
        <v>1720688.7908807821</v>
      </c>
      <c r="CC262" s="129">
        <v>1951513.2101994203</v>
      </c>
      <c r="CD262" s="129">
        <v>2121527.5197386928</v>
      </c>
      <c r="CE262" s="129">
        <v>2612937.2600349197</v>
      </c>
      <c r="CF262" s="129">
        <v>2306545.2819699398</v>
      </c>
      <c r="CG262" s="129">
        <v>3382846.3507916653</v>
      </c>
      <c r="CH262" s="129">
        <v>3083564.5172532042</v>
      </c>
      <c r="CI262" s="129">
        <v>3126545.8672532043</v>
      </c>
      <c r="CJ262" s="129">
        <v>3335626.163881409</v>
      </c>
      <c r="CK262" s="129">
        <v>3847558.8363237176</v>
      </c>
      <c r="CL262" s="129">
        <v>3344173.7470737179</v>
      </c>
      <c r="CM262" s="129">
        <v>2715453.9669679478</v>
      </c>
      <c r="CN262" s="129">
        <v>3870918.0766054597</v>
      </c>
      <c r="CO262" s="129">
        <v>3653050.8356182799</v>
      </c>
      <c r="CP262" s="129">
        <v>3988488.5673631104</v>
      </c>
      <c r="CQ262" s="129">
        <v>5757290.3616185896</v>
      </c>
      <c r="CR262" s="129">
        <v>4221531.0238044867</v>
      </c>
      <c r="CS262" s="129">
        <v>4270600.0401987173</v>
      </c>
      <c r="CT262" s="129">
        <f t="shared" ref="CT262:DQ262" si="861">CT272</f>
        <v>4249472.8187782718</v>
      </c>
      <c r="CU262" s="129">
        <f t="shared" si="861"/>
        <v>4292722.4969699923</v>
      </c>
      <c r="CV262" s="129">
        <f t="shared" si="861"/>
        <v>4289651.5139031243</v>
      </c>
      <c r="CW262" s="129">
        <f t="shared" si="861"/>
        <v>4354398.0735629201</v>
      </c>
      <c r="CX262" s="129">
        <f t="shared" si="861"/>
        <v>4103089.2925909073</v>
      </c>
      <c r="CY262" s="129">
        <f t="shared" si="861"/>
        <v>4488497.667482812</v>
      </c>
      <c r="CZ262" s="129">
        <f t="shared" si="861"/>
        <v>4364378.7685302394</v>
      </c>
      <c r="DA262" s="129">
        <f t="shared" si="861"/>
        <v>4374615.3787531322</v>
      </c>
      <c r="DB262" s="129">
        <f t="shared" si="861"/>
        <v>5369869.8076738613</v>
      </c>
      <c r="DC262" s="129">
        <f t="shared" si="861"/>
        <v>5785988.013234443</v>
      </c>
      <c r="DD262" s="129">
        <f t="shared" si="861"/>
        <v>4960405.398758159</v>
      </c>
      <c r="DE262" s="129">
        <f t="shared" si="861"/>
        <v>5360145.0279621119</v>
      </c>
      <c r="DF262" s="129">
        <f t="shared" si="861"/>
        <v>5131238.4286747621</v>
      </c>
      <c r="DG262" s="129">
        <f t="shared" si="861"/>
        <v>5183462.415091265</v>
      </c>
      <c r="DH262" s="129">
        <f t="shared" si="861"/>
        <v>5179754.2030380219</v>
      </c>
      <c r="DI262" s="129">
        <f t="shared" si="861"/>
        <v>5257935.6738272253</v>
      </c>
      <c r="DJ262" s="129">
        <f t="shared" si="861"/>
        <v>4954480.3208035203</v>
      </c>
      <c r="DK262" s="129">
        <f t="shared" si="861"/>
        <v>5419860.9334854949</v>
      </c>
      <c r="DL262" s="129">
        <f t="shared" si="861"/>
        <v>5269987.3630002644</v>
      </c>
      <c r="DM262" s="129">
        <f t="shared" si="861"/>
        <v>5282348.069844407</v>
      </c>
      <c r="DN262" s="129">
        <f t="shared" si="861"/>
        <v>6484117.7927661855</v>
      </c>
      <c r="DO262" s="129">
        <f t="shared" si="861"/>
        <v>6986580.525980589</v>
      </c>
      <c r="DP262" s="129">
        <f t="shared" si="861"/>
        <v>5989689.5190004762</v>
      </c>
      <c r="DQ262" s="129">
        <f t="shared" si="861"/>
        <v>6472375.1212642509</v>
      </c>
      <c r="DR262" s="129">
        <f t="shared" ref="DR262:EC262" si="862">DR272</f>
        <v>5900924.1929759765</v>
      </c>
      <c r="DS262" s="129">
        <f t="shared" si="862"/>
        <v>5960981.7773549538</v>
      </c>
      <c r="DT262" s="129">
        <f t="shared" si="862"/>
        <v>5956717.3334937263</v>
      </c>
      <c r="DU262" s="129">
        <f t="shared" si="862"/>
        <v>6046626.0249013091</v>
      </c>
      <c r="DV262" s="129">
        <f t="shared" si="862"/>
        <v>5697652.3689240469</v>
      </c>
      <c r="DW262" s="129">
        <f t="shared" si="862"/>
        <v>6232840.0735083185</v>
      </c>
      <c r="DX262" s="129">
        <f t="shared" si="862"/>
        <v>6060485.467450303</v>
      </c>
      <c r="DY262" s="129">
        <f t="shared" si="862"/>
        <v>6074700.2803210672</v>
      </c>
      <c r="DZ262" s="129">
        <f t="shared" si="862"/>
        <v>7456735.4616811136</v>
      </c>
      <c r="EA262" s="129">
        <f t="shared" si="862"/>
        <v>8034567.6048776768</v>
      </c>
      <c r="EB262" s="129">
        <f t="shared" si="862"/>
        <v>6888142.9468505457</v>
      </c>
      <c r="EC262" s="129">
        <f t="shared" si="862"/>
        <v>7443231.389453887</v>
      </c>
      <c r="ED262" s="113" t="s">
        <v>1</v>
      </c>
    </row>
    <row r="263" spans="1:134" x14ac:dyDescent="0.2">
      <c r="A263" s="698" t="s">
        <v>34</v>
      </c>
      <c r="B263" s="115"/>
      <c r="C263" s="115"/>
      <c r="D263" s="115"/>
      <c r="E263" s="115"/>
      <c r="F263" s="115"/>
      <c r="G263" s="115"/>
      <c r="H263" s="115"/>
      <c r="I263" s="115"/>
      <c r="J263" s="115"/>
      <c r="K263" s="129">
        <v>14723.712525667352</v>
      </c>
      <c r="L263" s="129">
        <v>74110.173986013979</v>
      </c>
      <c r="M263" s="129">
        <v>167191.29515209125</v>
      </c>
      <c r="N263" s="129">
        <v>180503.07015885023</v>
      </c>
      <c r="O263" s="129">
        <v>396619.62142734899</v>
      </c>
      <c r="P263" s="129">
        <v>130842.60236886633</v>
      </c>
      <c r="Q263" s="129">
        <v>236560.18457838567</v>
      </c>
      <c r="R263" s="129">
        <v>259640.80909797823</v>
      </c>
      <c r="S263" s="129">
        <v>283253.24729304924</v>
      </c>
      <c r="T263" s="129">
        <v>315586.03773584904</v>
      </c>
      <c r="U263" s="129">
        <v>157778.71048608987</v>
      </c>
      <c r="V263" s="129">
        <v>165820.18615237184</v>
      </c>
      <c r="W263" s="129">
        <v>231718.43719090009</v>
      </c>
      <c r="X263" s="129">
        <v>145911.55802861686</v>
      </c>
      <c r="Y263" s="129">
        <v>236000.52581664911</v>
      </c>
      <c r="Z263" s="129">
        <v>0</v>
      </c>
      <c r="AA263" s="129">
        <v>271181.80794701987</v>
      </c>
      <c r="AB263" s="129">
        <v>139711.03520208603</v>
      </c>
      <c r="AC263" s="129">
        <v>151449.97907949792</v>
      </c>
      <c r="AD263" s="129">
        <v>126125.46849757673</v>
      </c>
      <c r="AE263" s="129">
        <v>137072.2057696642</v>
      </c>
      <c r="AF263" s="129">
        <v>173563.76936585366</v>
      </c>
      <c r="AG263" s="129">
        <v>130275.34990002857</v>
      </c>
      <c r="AH263" s="129">
        <v>158278.6857142857</v>
      </c>
      <c r="AI263" s="129">
        <v>130652.33270321361</v>
      </c>
      <c r="AJ263" s="129">
        <v>102777.02953500256</v>
      </c>
      <c r="AK263" s="129">
        <v>208743.21335850836</v>
      </c>
      <c r="AL263" s="129">
        <v>206909.24167953941</v>
      </c>
      <c r="AM263" s="129">
        <v>221540.12449698191</v>
      </c>
      <c r="AN263" s="129">
        <v>160379.18607181718</v>
      </c>
      <c r="AO263" s="129">
        <v>110423.16518999802</v>
      </c>
      <c r="AP263" s="129">
        <v>82447.812005550339</v>
      </c>
      <c r="AQ263" s="129">
        <v>108447.48510673179</v>
      </c>
      <c r="AR263" s="129">
        <v>169899.26175026887</v>
      </c>
      <c r="AS263" s="129">
        <v>325916.21497911727</v>
      </c>
      <c r="AT263" s="129">
        <v>293911.67792760901</v>
      </c>
      <c r="AU263" s="129">
        <v>212796.82181060431</v>
      </c>
      <c r="AV263" s="129">
        <v>181290.86963340524</v>
      </c>
      <c r="AW263" s="129">
        <v>113638.97980796386</v>
      </c>
      <c r="AX263" s="129">
        <v>264302.62321486062</v>
      </c>
      <c r="AY263" s="129">
        <v>337361.77844637248</v>
      </c>
      <c r="AZ263" s="129">
        <v>332063.78528724884</v>
      </c>
      <c r="BA263" s="129">
        <v>462496.6300086744</v>
      </c>
      <c r="BB263" s="129">
        <v>397994.86910861306</v>
      </c>
      <c r="BC263" s="129">
        <v>492765.08639525686</v>
      </c>
      <c r="BD263" s="129">
        <v>644759.73909249564</v>
      </c>
      <c r="BE263" s="129">
        <v>489493.09363831306</v>
      </c>
      <c r="BF263" s="129">
        <v>384817.05209813861</v>
      </c>
      <c r="BG263" s="129">
        <v>352512.84844045265</v>
      </c>
      <c r="BH263" s="129">
        <v>654398.20523990283</v>
      </c>
      <c r="BI263" s="129">
        <v>896576.76921963668</v>
      </c>
      <c r="BJ263" s="129">
        <v>1141488.82368107</v>
      </c>
      <c r="BK263" s="129">
        <v>954604.08610352897</v>
      </c>
      <c r="BL263" s="129">
        <v>1462770.8974396235</v>
      </c>
      <c r="BM263" s="129">
        <v>1148179.690381041</v>
      </c>
      <c r="BN263" s="129">
        <v>1294752.0862960569</v>
      </c>
      <c r="BO263" s="129">
        <v>1240103.7298416926</v>
      </c>
      <c r="BP263" s="129">
        <v>1845674.5955348462</v>
      </c>
      <c r="BQ263" s="129">
        <v>1440850.6745064985</v>
      </c>
      <c r="BR263" s="129">
        <v>1492724.1285297479</v>
      </c>
      <c r="BS263" s="129">
        <v>1373622.8925437406</v>
      </c>
      <c r="BT263" s="129">
        <v>1233653</v>
      </c>
      <c r="BU263" s="129">
        <v>1733236.1251766894</v>
      </c>
      <c r="BV263" s="129">
        <v>1424867.7919139466</v>
      </c>
      <c r="BW263" s="129">
        <v>1824379.9461413026</v>
      </c>
      <c r="BX263" s="129">
        <v>1410649.626269911</v>
      </c>
      <c r="BY263" s="129">
        <v>1838361.6857151566</v>
      </c>
      <c r="BZ263" s="129">
        <v>1839591.0081062941</v>
      </c>
      <c r="CA263" s="129">
        <v>2027415.3273169363</v>
      </c>
      <c r="CB263" s="129">
        <v>1901122.1407438717</v>
      </c>
      <c r="CC263" s="129">
        <v>1591557.8169075474</v>
      </c>
      <c r="CD263" s="129">
        <v>1624198.4988187943</v>
      </c>
      <c r="CE263" s="129">
        <v>1719783.5419637957</v>
      </c>
      <c r="CF263" s="129">
        <v>1729237.0304288592</v>
      </c>
      <c r="CG263" s="129">
        <v>2157348.3666513986</v>
      </c>
      <c r="CH263" s="129">
        <v>2136153.5133848335</v>
      </c>
      <c r="CI263" s="129">
        <v>2108630.2213413161</v>
      </c>
      <c r="CJ263" s="129">
        <v>2368478.496530558</v>
      </c>
      <c r="CK263" s="129">
        <v>2348848.5305251805</v>
      </c>
      <c r="CL263" s="129">
        <v>2267113.2677776362</v>
      </c>
      <c r="CM263" s="129">
        <v>2945112.8895535818</v>
      </c>
      <c r="CN263" s="129">
        <v>2722173.913944819</v>
      </c>
      <c r="CO263" s="129">
        <v>2659080.3978544781</v>
      </c>
      <c r="CP263" s="129">
        <v>2744300.1122413995</v>
      </c>
      <c r="CQ263" s="129">
        <v>2839753.1052747592</v>
      </c>
      <c r="CR263" s="129">
        <v>2696799.7632719995</v>
      </c>
      <c r="CS263" s="129">
        <v>2631944.5039378535</v>
      </c>
      <c r="CT263" s="129">
        <f>CT285*CT219</f>
        <v>2822650.4396020272</v>
      </c>
      <c r="CU263" s="129">
        <f t="shared" ref="CU263:EC263" si="863">CU285*CU219</f>
        <v>2851378.4085446787</v>
      </c>
      <c r="CV263" s="129">
        <f t="shared" si="863"/>
        <v>2849338.5527617689</v>
      </c>
      <c r="CW263" s="129">
        <f t="shared" si="863"/>
        <v>2892345.5121847931</v>
      </c>
      <c r="CX263" s="129">
        <f t="shared" si="863"/>
        <v>2725417.3139499724</v>
      </c>
      <c r="CY263" s="129">
        <f t="shared" si="863"/>
        <v>2981419.2147052055</v>
      </c>
      <c r="CZ263" s="129">
        <f t="shared" si="863"/>
        <v>2898975.0434792507</v>
      </c>
      <c r="DA263" s="129">
        <f t="shared" si="863"/>
        <v>2905774.5627556178</v>
      </c>
      <c r="DB263" s="129">
        <f t="shared" si="863"/>
        <v>3566857.8244004403</v>
      </c>
      <c r="DC263" s="129">
        <f t="shared" si="863"/>
        <v>3843258.2829847764</v>
      </c>
      <c r="DD263" s="129">
        <f t="shared" si="863"/>
        <v>3294877.0533457436</v>
      </c>
      <c r="DE263" s="129">
        <f t="shared" si="863"/>
        <v>3560398.2810878912</v>
      </c>
      <c r="DF263" s="129">
        <f t="shared" si="863"/>
        <v>3343429.4457086008</v>
      </c>
      <c r="DG263" s="129">
        <f t="shared" si="863"/>
        <v>3377457.724921172</v>
      </c>
      <c r="DH263" s="129">
        <f t="shared" si="863"/>
        <v>3375041.5157463155</v>
      </c>
      <c r="DI263" s="129">
        <f t="shared" si="863"/>
        <v>3425983.2591828872</v>
      </c>
      <c r="DJ263" s="129">
        <f t="shared" si="863"/>
        <v>3228256.8083737423</v>
      </c>
      <c r="DK263" s="129">
        <f t="shared" si="863"/>
        <v>3531491.0598183163</v>
      </c>
      <c r="DL263" s="129">
        <f t="shared" si="863"/>
        <v>3433835.9390011723</v>
      </c>
      <c r="DM263" s="129">
        <f t="shared" si="863"/>
        <v>3441889.9695840301</v>
      </c>
      <c r="DN263" s="129">
        <f t="shared" si="863"/>
        <v>4224943.0930023221</v>
      </c>
      <c r="DO263" s="129">
        <f t="shared" si="863"/>
        <v>4552339.4361954685</v>
      </c>
      <c r="DP263" s="129">
        <f t="shared" si="863"/>
        <v>3902781.8696880336</v>
      </c>
      <c r="DQ263" s="129">
        <f t="shared" si="863"/>
        <v>4217291.7639486073</v>
      </c>
      <c r="DR263" s="129">
        <f t="shared" si="863"/>
        <v>3960292.1784418365</v>
      </c>
      <c r="DS263" s="129">
        <f t="shared" si="863"/>
        <v>4000598.6751691285</v>
      </c>
      <c r="DT263" s="129">
        <f t="shared" si="863"/>
        <v>3997736.6754015097</v>
      </c>
      <c r="DU263" s="129">
        <f t="shared" si="863"/>
        <v>4058077.1705021295</v>
      </c>
      <c r="DV263" s="129">
        <f t="shared" si="863"/>
        <v>3823870.1895186976</v>
      </c>
      <c r="DW263" s="129">
        <f t="shared" si="863"/>
        <v>4183051.1603547954</v>
      </c>
      <c r="DX263" s="129">
        <f t="shared" si="863"/>
        <v>4067378.6697468879</v>
      </c>
      <c r="DY263" s="129">
        <f t="shared" si="863"/>
        <v>4076918.6689722822</v>
      </c>
      <c r="DZ263" s="129">
        <f t="shared" si="863"/>
        <v>5004445.0936612496</v>
      </c>
      <c r="EA263" s="129">
        <f t="shared" si="863"/>
        <v>5392246.0621735314</v>
      </c>
      <c r="EB263" s="129">
        <f t="shared" si="863"/>
        <v>4622845.1246454753</v>
      </c>
      <c r="EC263" s="129">
        <f t="shared" si="863"/>
        <v>4995382.0943971258</v>
      </c>
      <c r="ED263" s="113" t="s">
        <v>1</v>
      </c>
    </row>
    <row r="264" spans="1:134" x14ac:dyDescent="0.2">
      <c r="A264" s="698" t="s">
        <v>147</v>
      </c>
      <c r="B264" s="115"/>
      <c r="C264" s="115"/>
      <c r="D264" s="115"/>
      <c r="E264" s="115"/>
      <c r="F264" s="115"/>
      <c r="G264" s="115"/>
      <c r="H264" s="115"/>
      <c r="I264" s="115"/>
      <c r="J264" s="115"/>
      <c r="K264" s="129">
        <v>0</v>
      </c>
      <c r="L264" s="129">
        <v>0</v>
      </c>
      <c r="M264" s="129">
        <v>0</v>
      </c>
      <c r="N264" s="129">
        <v>0</v>
      </c>
      <c r="O264" s="129">
        <v>0</v>
      </c>
      <c r="P264" s="129">
        <v>0</v>
      </c>
      <c r="Q264" s="129">
        <v>0</v>
      </c>
      <c r="R264" s="129">
        <v>0</v>
      </c>
      <c r="S264" s="129">
        <v>0</v>
      </c>
      <c r="T264" s="129">
        <v>0</v>
      </c>
      <c r="U264" s="129">
        <v>0</v>
      </c>
      <c r="V264" s="129">
        <v>0</v>
      </c>
      <c r="W264" s="129">
        <v>0</v>
      </c>
      <c r="X264" s="129">
        <v>0</v>
      </c>
      <c r="Y264" s="129">
        <v>0</v>
      </c>
      <c r="Z264" s="129">
        <v>0</v>
      </c>
      <c r="AA264" s="129">
        <v>0</v>
      </c>
      <c r="AB264" s="129">
        <v>0</v>
      </c>
      <c r="AC264" s="129">
        <v>0</v>
      </c>
      <c r="AD264" s="129">
        <v>0</v>
      </c>
      <c r="AE264" s="129">
        <v>0</v>
      </c>
      <c r="AF264" s="129">
        <v>0</v>
      </c>
      <c r="AG264" s="129">
        <v>0</v>
      </c>
      <c r="AH264" s="129">
        <v>0</v>
      </c>
      <c r="AI264" s="129">
        <v>0</v>
      </c>
      <c r="AJ264" s="129">
        <v>0</v>
      </c>
      <c r="AK264" s="129">
        <v>0</v>
      </c>
      <c r="AL264" s="129">
        <v>0</v>
      </c>
      <c r="AM264" s="129">
        <v>0</v>
      </c>
      <c r="AN264" s="129">
        <v>0</v>
      </c>
      <c r="AO264" s="129">
        <v>89200</v>
      </c>
      <c r="AP264" s="129">
        <v>83750</v>
      </c>
      <c r="AQ264" s="129">
        <v>134521</v>
      </c>
      <c r="AR264" s="129">
        <v>75672</v>
      </c>
      <c r="AS264" s="129">
        <v>205950</v>
      </c>
      <c r="AT264" s="129">
        <v>224983</v>
      </c>
      <c r="AU264" s="129">
        <v>378547</v>
      </c>
      <c r="AV264" s="129">
        <v>356216</v>
      </c>
      <c r="AW264" s="129">
        <v>336128.17000000068</v>
      </c>
      <c r="AX264" s="129">
        <v>339351</v>
      </c>
      <c r="AY264" s="129">
        <v>358223</v>
      </c>
      <c r="AZ264" s="129">
        <v>564761</v>
      </c>
      <c r="BA264" s="129">
        <v>517700</v>
      </c>
      <c r="BB264" s="129">
        <v>462000</v>
      </c>
      <c r="BC264" s="129">
        <v>611575</v>
      </c>
      <c r="BD264" s="129">
        <v>1303500</v>
      </c>
      <c r="BE264" s="129">
        <v>1346484</v>
      </c>
      <c r="BF264" s="129">
        <v>1289000</v>
      </c>
      <c r="BG264" s="129">
        <v>1597400</v>
      </c>
      <c r="BH264" s="129">
        <v>781899</v>
      </c>
      <c r="BI264" s="129">
        <v>2312142.3448275859</v>
      </c>
      <c r="BJ264" s="129">
        <v>2228010</v>
      </c>
      <c r="BK264" s="129">
        <v>2228879</v>
      </c>
      <c r="BL264" s="129">
        <v>1789026</v>
      </c>
      <c r="BM264" s="129">
        <v>1708098</v>
      </c>
      <c r="BN264" s="129">
        <v>2239853</v>
      </c>
      <c r="BO264" s="129">
        <v>2444371</v>
      </c>
      <c r="BP264" s="129">
        <v>3435837</v>
      </c>
      <c r="BQ264" s="129">
        <v>2400956</v>
      </c>
      <c r="BR264" s="129">
        <v>2503811</v>
      </c>
      <c r="BS264" s="129">
        <v>2164443</v>
      </c>
      <c r="BT264" s="129">
        <v>1956449</v>
      </c>
      <c r="BU264" s="129">
        <v>2285397</v>
      </c>
      <c r="BV264" s="129">
        <v>2414256</v>
      </c>
      <c r="BW264" s="129">
        <v>2414228</v>
      </c>
      <c r="BX264" s="129">
        <v>2118993</v>
      </c>
      <c r="BY264" s="129">
        <v>1785874</v>
      </c>
      <c r="BZ264" s="129">
        <v>1899294.88</v>
      </c>
      <c r="CA264" s="129">
        <v>1945712.88</v>
      </c>
      <c r="CB264" s="129">
        <v>1874014.5211863993</v>
      </c>
      <c r="CC264" s="129">
        <v>1782123.1749999998</v>
      </c>
      <c r="CD264" s="129">
        <v>2198813</v>
      </c>
      <c r="CE264" s="129">
        <v>3353078.0069491006</v>
      </c>
      <c r="CF264" s="129">
        <v>2106379</v>
      </c>
      <c r="CG264" s="129">
        <v>2554944</v>
      </c>
      <c r="CH264" s="129">
        <v>2911400</v>
      </c>
      <c r="CI264" s="129">
        <v>2741548</v>
      </c>
      <c r="CJ264" s="129">
        <v>2560353</v>
      </c>
      <c r="CK264" s="129">
        <v>2541604</v>
      </c>
      <c r="CL264" s="129">
        <v>2544354</v>
      </c>
      <c r="CM264" s="129">
        <v>2128897</v>
      </c>
      <c r="CN264" s="129">
        <v>2784130</v>
      </c>
      <c r="CO264" s="129">
        <v>2530995</v>
      </c>
      <c r="CP264" s="129">
        <v>3446659</v>
      </c>
      <c r="CQ264" s="129">
        <v>3885350</v>
      </c>
      <c r="CR264" s="129">
        <v>3219142</v>
      </c>
      <c r="CS264" s="129">
        <v>3605094</v>
      </c>
      <c r="CT264" s="129">
        <f t="shared" ref="CT264:DQ264" si="864">CT274</f>
        <v>3287544.6079222676</v>
      </c>
      <c r="CU264" s="129">
        <f t="shared" si="864"/>
        <v>3321004.1104057883</v>
      </c>
      <c r="CV264" s="129">
        <f t="shared" si="864"/>
        <v>3318628.2877442366</v>
      </c>
      <c r="CW264" s="129">
        <f t="shared" si="864"/>
        <v>3368718.5488586198</v>
      </c>
      <c r="CX264" s="129">
        <f t="shared" si="864"/>
        <v>3174297.0610549659</v>
      </c>
      <c r="CY264" s="129">
        <f t="shared" si="864"/>
        <v>3472462.8050797139</v>
      </c>
      <c r="CZ264" s="129">
        <f t="shared" si="864"/>
        <v>3376439.9725086628</v>
      </c>
      <c r="DA264" s="129">
        <f t="shared" si="864"/>
        <v>3384359.3813805021</v>
      </c>
      <c r="DB264" s="129">
        <f t="shared" si="864"/>
        <v>4154323.9089450729</v>
      </c>
      <c r="DC264" s="129">
        <f t="shared" si="864"/>
        <v>4476247.8795853378</v>
      </c>
      <c r="DD264" s="129">
        <f t="shared" si="864"/>
        <v>3837547.5540715032</v>
      </c>
      <c r="DE264" s="129">
        <f t="shared" si="864"/>
        <v>4146800.4705168251</v>
      </c>
      <c r="DF264" s="129">
        <f t="shared" si="864"/>
        <v>3969710.1140661379</v>
      </c>
      <c r="DG264" s="129">
        <f t="shared" si="864"/>
        <v>4010112.4633149891</v>
      </c>
      <c r="DH264" s="129">
        <f t="shared" si="864"/>
        <v>4007243.6574511654</v>
      </c>
      <c r="DI264" s="129">
        <f t="shared" si="864"/>
        <v>4067727.6477467832</v>
      </c>
      <c r="DJ264" s="129">
        <f t="shared" si="864"/>
        <v>3832963.7012238712</v>
      </c>
      <c r="DK264" s="129">
        <f t="shared" si="864"/>
        <v>4192998.837133754</v>
      </c>
      <c r="DL264" s="129">
        <f t="shared" si="864"/>
        <v>4077051.2668042104</v>
      </c>
      <c r="DM264" s="129">
        <f t="shared" si="864"/>
        <v>4086613.9530169563</v>
      </c>
      <c r="DN264" s="129">
        <f t="shared" si="864"/>
        <v>5016346.1200511744</v>
      </c>
      <c r="DO264" s="129">
        <f t="shared" si="864"/>
        <v>5405069.3145992951</v>
      </c>
      <c r="DP264" s="129">
        <f t="shared" si="864"/>
        <v>4633838.6715413397</v>
      </c>
      <c r="DQ264" s="129">
        <f t="shared" si="864"/>
        <v>5007261.5681490665</v>
      </c>
      <c r="DR264" s="129">
        <f t="shared" ref="DR264:EC264" si="865">DR274</f>
        <v>4565166.6311760582</v>
      </c>
      <c r="DS264" s="129">
        <f t="shared" si="865"/>
        <v>4611629.3328122366</v>
      </c>
      <c r="DT264" s="129">
        <f t="shared" si="865"/>
        <v>4608330.2060688408</v>
      </c>
      <c r="DU264" s="129">
        <f t="shared" si="865"/>
        <v>4677886.7949088011</v>
      </c>
      <c r="DV264" s="129">
        <f t="shared" si="865"/>
        <v>4407908.2564074509</v>
      </c>
      <c r="DW264" s="129">
        <f t="shared" si="865"/>
        <v>4821948.6627038168</v>
      </c>
      <c r="DX264" s="129">
        <f t="shared" si="865"/>
        <v>4688608.956824841</v>
      </c>
      <c r="DY264" s="129">
        <f t="shared" si="865"/>
        <v>4699606.0459694983</v>
      </c>
      <c r="DZ264" s="129">
        <f t="shared" si="865"/>
        <v>5768798.0380588509</v>
      </c>
      <c r="EA264" s="129">
        <f t="shared" si="865"/>
        <v>6215829.7117891898</v>
      </c>
      <c r="EB264" s="129">
        <f t="shared" si="865"/>
        <v>5328914.4722725395</v>
      </c>
      <c r="EC264" s="129">
        <f t="shared" si="865"/>
        <v>5758350.8033714257</v>
      </c>
      <c r="ED264" s="113" t="s">
        <v>1</v>
      </c>
    </row>
    <row r="265" spans="1:134" x14ac:dyDescent="0.2">
      <c r="A265" s="698" t="s">
        <v>148</v>
      </c>
      <c r="B265" s="115"/>
      <c r="C265" s="115"/>
      <c r="D265" s="115"/>
      <c r="E265" s="115"/>
      <c r="F265" s="115"/>
      <c r="G265" s="115"/>
      <c r="H265" s="115"/>
      <c r="I265" s="115"/>
      <c r="J265" s="115"/>
      <c r="K265" s="129">
        <v>0</v>
      </c>
      <c r="L265" s="129">
        <v>0</v>
      </c>
      <c r="M265" s="129">
        <v>0</v>
      </c>
      <c r="N265" s="129">
        <v>0</v>
      </c>
      <c r="O265" s="129">
        <v>0</v>
      </c>
      <c r="P265" s="129">
        <v>0</v>
      </c>
      <c r="Q265" s="129">
        <v>0</v>
      </c>
      <c r="R265" s="129">
        <v>0</v>
      </c>
      <c r="S265" s="129">
        <v>0</v>
      </c>
      <c r="T265" s="129">
        <v>0</v>
      </c>
      <c r="U265" s="129">
        <v>0</v>
      </c>
      <c r="V265" s="129">
        <v>0</v>
      </c>
      <c r="W265" s="129">
        <v>0</v>
      </c>
      <c r="X265" s="129">
        <v>0</v>
      </c>
      <c r="Y265" s="129">
        <v>0</v>
      </c>
      <c r="Z265" s="129">
        <v>0</v>
      </c>
      <c r="AA265" s="129">
        <v>0</v>
      </c>
      <c r="AB265" s="129">
        <v>0</v>
      </c>
      <c r="AC265" s="129">
        <v>0</v>
      </c>
      <c r="AD265" s="129">
        <v>0</v>
      </c>
      <c r="AE265" s="129">
        <v>0</v>
      </c>
      <c r="AF265" s="129">
        <v>0</v>
      </c>
      <c r="AG265" s="129">
        <v>0</v>
      </c>
      <c r="AH265" s="129">
        <v>0</v>
      </c>
      <c r="AI265" s="129">
        <v>0</v>
      </c>
      <c r="AJ265" s="129">
        <v>0</v>
      </c>
      <c r="AK265" s="129">
        <v>0</v>
      </c>
      <c r="AL265" s="129">
        <v>0</v>
      </c>
      <c r="AM265" s="129">
        <v>0</v>
      </c>
      <c r="AN265" s="129">
        <v>0</v>
      </c>
      <c r="AO265" s="129">
        <v>0</v>
      </c>
      <c r="AP265" s="129">
        <v>0</v>
      </c>
      <c r="AQ265" s="129">
        <v>0</v>
      </c>
      <c r="AR265" s="129">
        <v>0</v>
      </c>
      <c r="AS265" s="129">
        <v>0</v>
      </c>
      <c r="AT265" s="129">
        <v>0</v>
      </c>
      <c r="AU265" s="129">
        <v>0</v>
      </c>
      <c r="AV265" s="129">
        <v>0</v>
      </c>
      <c r="AW265" s="129">
        <v>0</v>
      </c>
      <c r="AX265" s="129">
        <v>0</v>
      </c>
      <c r="AY265" s="129">
        <v>0</v>
      </c>
      <c r="AZ265" s="129">
        <v>0</v>
      </c>
      <c r="BA265" s="129">
        <v>0</v>
      </c>
      <c r="BB265" s="129">
        <v>0</v>
      </c>
      <c r="BC265" s="129">
        <v>0</v>
      </c>
      <c r="BD265" s="129">
        <v>0</v>
      </c>
      <c r="BE265" s="129">
        <v>0</v>
      </c>
      <c r="BF265" s="129">
        <v>0</v>
      </c>
      <c r="BG265" s="129">
        <v>0</v>
      </c>
      <c r="BH265" s="129">
        <v>1751049</v>
      </c>
      <c r="BI265" s="129">
        <v>6345057.6551724141</v>
      </c>
      <c r="BJ265" s="129">
        <v>6169164</v>
      </c>
      <c r="BK265" s="129">
        <v>4057001</v>
      </c>
      <c r="BL265" s="129">
        <v>4873806</v>
      </c>
      <c r="BM265" s="129">
        <v>4338714</v>
      </c>
      <c r="BN265" s="129">
        <v>3903055</v>
      </c>
      <c r="BO265" s="129">
        <v>5060419</v>
      </c>
      <c r="BP265" s="129">
        <v>8551741</v>
      </c>
      <c r="BQ265" s="129">
        <v>3636347</v>
      </c>
      <c r="BR265" s="129">
        <v>1846395</v>
      </c>
      <c r="BS265" s="129">
        <v>1907101</v>
      </c>
      <c r="BT265" s="129">
        <v>1799714</v>
      </c>
      <c r="BU265" s="129">
        <v>2371784</v>
      </c>
      <c r="BV265" s="129">
        <v>2032100</v>
      </c>
      <c r="BW265" s="129">
        <v>3534065</v>
      </c>
      <c r="BX265" s="129">
        <v>6214618</v>
      </c>
      <c r="BY265" s="129">
        <v>7323086</v>
      </c>
      <c r="BZ265" s="129">
        <v>5400553</v>
      </c>
      <c r="CA265" s="129">
        <v>5067215.6101695001</v>
      </c>
      <c r="CB265" s="129">
        <v>5790256.1988136005</v>
      </c>
      <c r="CC265" s="129">
        <v>6441011</v>
      </c>
      <c r="CD265" s="129">
        <v>5843336</v>
      </c>
      <c r="CE265" s="129">
        <v>4707460</v>
      </c>
      <c r="CF265" s="129">
        <v>2854584</v>
      </c>
      <c r="CG265" s="129">
        <v>8466927</v>
      </c>
      <c r="CH265" s="129">
        <v>6924316</v>
      </c>
      <c r="CI265" s="129">
        <v>7435223</v>
      </c>
      <c r="CJ265" s="129">
        <v>8173857</v>
      </c>
      <c r="CK265" s="129">
        <v>5786793</v>
      </c>
      <c r="CL265" s="129">
        <v>4334258</v>
      </c>
      <c r="CM265" s="129">
        <v>5942944.2282299995</v>
      </c>
      <c r="CN265" s="129">
        <v>5139227.4479999989</v>
      </c>
      <c r="CO265" s="129">
        <v>5396341.0106000006</v>
      </c>
      <c r="CP265" s="129">
        <v>6289048.8649999993</v>
      </c>
      <c r="CQ265" s="129">
        <v>7773952.3206400005</v>
      </c>
      <c r="CR265" s="129">
        <v>6774355.4477599999</v>
      </c>
      <c r="CS265" s="129">
        <v>7702395.1414499991</v>
      </c>
      <c r="CT265" s="129">
        <f t="shared" ref="CT265:DQ265" si="866">CT275</f>
        <v>7162278.6117616305</v>
      </c>
      <c r="CU265" s="129">
        <f t="shared" si="866"/>
        <v>7235173.8291893741</v>
      </c>
      <c r="CV265" s="129">
        <f t="shared" si="866"/>
        <v>7229997.8374193581</v>
      </c>
      <c r="CW265" s="129">
        <f t="shared" si="866"/>
        <v>7339124.997237226</v>
      </c>
      <c r="CX265" s="129">
        <f t="shared" si="866"/>
        <v>6915556.3373907981</v>
      </c>
      <c r="CY265" s="129">
        <f t="shared" si="866"/>
        <v>7565143.3045279849</v>
      </c>
      <c r="CZ265" s="129">
        <f t="shared" si="866"/>
        <v>7355946.9704897823</v>
      </c>
      <c r="DA265" s="129">
        <f t="shared" si="866"/>
        <v>7373200.2763898391</v>
      </c>
      <c r="DB265" s="129">
        <f t="shared" si="866"/>
        <v>9050652.9425229896</v>
      </c>
      <c r="DC265" s="129">
        <f t="shared" si="866"/>
        <v>9751999.8273603525</v>
      </c>
      <c r="DD265" s="129">
        <f t="shared" si="866"/>
        <v>8360520.7065206654</v>
      </c>
      <c r="DE265" s="129">
        <f t="shared" si="866"/>
        <v>9034262.3019179348</v>
      </c>
      <c r="DF265" s="129">
        <f t="shared" si="866"/>
        <v>8483719.0156316515</v>
      </c>
      <c r="DG265" s="129">
        <f t="shared" si="866"/>
        <v>8570063.4006748144</v>
      </c>
      <c r="DH265" s="129">
        <f t="shared" si="866"/>
        <v>8563932.4384232294</v>
      </c>
      <c r="DI265" s="129">
        <f t="shared" si="866"/>
        <v>8693193.5592274927</v>
      </c>
      <c r="DJ265" s="129">
        <f t="shared" si="866"/>
        <v>8191476.4816393992</v>
      </c>
      <c r="DK265" s="129">
        <f t="shared" si="866"/>
        <v>8960912.2442133985</v>
      </c>
      <c r="DL265" s="129">
        <f t="shared" si="866"/>
        <v>8713119.1865451466</v>
      </c>
      <c r="DM265" s="129">
        <f t="shared" si="866"/>
        <v>8733555.7273837663</v>
      </c>
      <c r="DN265" s="129">
        <f t="shared" si="866"/>
        <v>10720498.410418482</v>
      </c>
      <c r="DO265" s="129">
        <f t="shared" si="866"/>
        <v>11551243.79550834</v>
      </c>
      <c r="DP265" s="129">
        <f t="shared" si="866"/>
        <v>9903036.7768737283</v>
      </c>
      <c r="DQ265" s="129">
        <f t="shared" si="866"/>
        <v>10701083.696621794</v>
      </c>
      <c r="DR265" s="129">
        <f t="shared" ref="DR265:EC265" si="867">DR275</f>
        <v>10048965.174015688</v>
      </c>
      <c r="DS265" s="129">
        <f t="shared" si="867"/>
        <v>10151240.098099317</v>
      </c>
      <c r="DT265" s="129">
        <f t="shared" si="867"/>
        <v>10143977.973312315</v>
      </c>
      <c r="DU265" s="129">
        <f t="shared" si="867"/>
        <v>10297087.770904966</v>
      </c>
      <c r="DV265" s="129">
        <f t="shared" si="867"/>
        <v>9702803.8925018702</v>
      </c>
      <c r="DW265" s="129">
        <f t="shared" si="867"/>
        <v>10614200.553270774</v>
      </c>
      <c r="DX265" s="129">
        <f t="shared" si="867"/>
        <v>10320689.676462725</v>
      </c>
      <c r="DY265" s="129">
        <f t="shared" si="867"/>
        <v>10344896.759086069</v>
      </c>
      <c r="DZ265" s="129">
        <f t="shared" si="867"/>
        <v>12698430.367140694</v>
      </c>
      <c r="EA265" s="129">
        <f t="shared" si="867"/>
        <v>13682448.275779629</v>
      </c>
      <c r="EB265" s="129">
        <f t="shared" si="867"/>
        <v>11730147.062206931</v>
      </c>
      <c r="EC265" s="129">
        <f t="shared" si="867"/>
        <v>12675433.638648517</v>
      </c>
      <c r="ED265" s="113" t="s">
        <v>1</v>
      </c>
    </row>
    <row r="266" spans="1:134" x14ac:dyDescent="0.2">
      <c r="A266" s="698" t="s">
        <v>149</v>
      </c>
      <c r="B266" s="115"/>
      <c r="C266" s="115"/>
      <c r="D266" s="115"/>
      <c r="E266" s="115"/>
      <c r="F266" s="115"/>
      <c r="G266" s="115"/>
      <c r="H266" s="115"/>
      <c r="I266" s="115"/>
      <c r="J266" s="115"/>
      <c r="K266" s="129">
        <v>4546.6283367556471</v>
      </c>
      <c r="L266" s="129">
        <v>25058.295944055946</v>
      </c>
      <c r="M266" s="129">
        <v>132987.97409695818</v>
      </c>
      <c r="N266" s="129">
        <v>166148.3821860817</v>
      </c>
      <c r="O266" s="129">
        <v>183410.70272120487</v>
      </c>
      <c r="P266" s="129">
        <v>120890.47546531304</v>
      </c>
      <c r="Q266" s="129">
        <v>270915.38824590412</v>
      </c>
      <c r="R266" s="129">
        <v>208237.08087091756</v>
      </c>
      <c r="S266" s="129">
        <v>345509.34142507857</v>
      </c>
      <c r="T266" s="129">
        <v>281505.67924528301</v>
      </c>
      <c r="U266" s="129">
        <v>108604.46835830022</v>
      </c>
      <c r="V266" s="129">
        <v>202149.39472208911</v>
      </c>
      <c r="W266" s="129">
        <v>317638.13392284868</v>
      </c>
      <c r="X266" s="129">
        <v>247469.44531001587</v>
      </c>
      <c r="Y266" s="129">
        <v>257489.36397391988</v>
      </c>
      <c r="Z266" s="129">
        <v>0</v>
      </c>
      <c r="AA266" s="129">
        <v>301549.9693708609</v>
      </c>
      <c r="AB266" s="129">
        <v>196974.22020479169</v>
      </c>
      <c r="AC266" s="129">
        <v>132163.1942544661</v>
      </c>
      <c r="AD266" s="129">
        <v>127785.32151244067</v>
      </c>
      <c r="AE266" s="129">
        <v>163565.62819873728</v>
      </c>
      <c r="AF266" s="129">
        <v>298461.08844915254</v>
      </c>
      <c r="AG266" s="129">
        <v>251110.65543899999</v>
      </c>
      <c r="AH266" s="129">
        <v>388604.501658661</v>
      </c>
      <c r="AI266" s="129">
        <v>458889.64840445388</v>
      </c>
      <c r="AJ266" s="129">
        <v>276176.16247391998</v>
      </c>
      <c r="AK266" s="129">
        <v>351222.54747166985</v>
      </c>
      <c r="AL266" s="129">
        <v>265772.08806229045</v>
      </c>
      <c r="AM266" s="129">
        <v>167168.01748919411</v>
      </c>
      <c r="AN266" s="129">
        <v>254475.40710762769</v>
      </c>
      <c r="AO266" s="129">
        <v>352368.14800000004</v>
      </c>
      <c r="AP266" s="129">
        <v>227782.39</v>
      </c>
      <c r="AQ266" s="129">
        <v>299932.08600000001</v>
      </c>
      <c r="AR266" s="129">
        <v>353856.56070000003</v>
      </c>
      <c r="AS266" s="129">
        <v>865808.49470000016</v>
      </c>
      <c r="AT266" s="129">
        <v>993555.49800000002</v>
      </c>
      <c r="AU266" s="129">
        <v>1170618.9995800001</v>
      </c>
      <c r="AV266" s="129">
        <v>1048884.5140000002</v>
      </c>
      <c r="AW266" s="129">
        <v>599216.56920000003</v>
      </c>
      <c r="AX266" s="129">
        <v>548038.09771999985</v>
      </c>
      <c r="AY266" s="129">
        <v>768098.96711999993</v>
      </c>
      <c r="AZ266" s="129">
        <v>1112023.8442000002</v>
      </c>
      <c r="BA266" s="129">
        <v>1014676.5360800109</v>
      </c>
      <c r="BB266" s="129">
        <v>713790.12396000256</v>
      </c>
      <c r="BC266" s="129">
        <v>961517.43966000271</v>
      </c>
      <c r="BD266" s="129">
        <v>1661610.8676600046</v>
      </c>
      <c r="BE266" s="129">
        <v>1380761.5823600001</v>
      </c>
      <c r="BF266" s="129">
        <v>1192980.255680006</v>
      </c>
      <c r="BG266" s="129">
        <v>1121465.6836000071</v>
      </c>
      <c r="BH266" s="129">
        <v>1661543.1642000049</v>
      </c>
      <c r="BI266" s="129">
        <v>2918796.0700000166</v>
      </c>
      <c r="BJ266" s="129">
        <v>1771740.1533940253</v>
      </c>
      <c r="BK266" s="129">
        <v>2046766</v>
      </c>
      <c r="BL266" s="129">
        <v>2046766</v>
      </c>
      <c r="BM266" s="129">
        <v>1546766</v>
      </c>
      <c r="BN266" s="129">
        <v>1646766</v>
      </c>
      <c r="BO266" s="129">
        <v>1346766</v>
      </c>
      <c r="BP266" s="129">
        <v>2905340.2425189591</v>
      </c>
      <c r="BQ266" s="129">
        <v>2171714.5479767071</v>
      </c>
      <c r="BR266" s="129">
        <v>2399860.4412834514</v>
      </c>
      <c r="BS266" s="129">
        <v>3943139.1552863438</v>
      </c>
      <c r="BT266" s="129">
        <v>4221641.0388376769</v>
      </c>
      <c r="BU266" s="129">
        <v>4818420.7252479242</v>
      </c>
      <c r="BV266" s="129">
        <v>3448661.9027755195</v>
      </c>
      <c r="BW266" s="129">
        <v>3462505.5341013824</v>
      </c>
      <c r="BX266" s="129">
        <v>2980446.0456233402</v>
      </c>
      <c r="BY266" s="129">
        <v>3795176.6663414631</v>
      </c>
      <c r="BZ266" s="129">
        <v>2920878.2370672096</v>
      </c>
      <c r="CA266" s="129">
        <v>3060774.5051458972</v>
      </c>
      <c r="CB266" s="129">
        <v>3796286.2067727041</v>
      </c>
      <c r="CC266" s="129">
        <v>2371157.532319874</v>
      </c>
      <c r="CD266" s="129">
        <v>2367533.8084349595</v>
      </c>
      <c r="CE266" s="129">
        <v>2660784.0345525332</v>
      </c>
      <c r="CF266" s="129">
        <v>2279560.9543916606</v>
      </c>
      <c r="CG266" s="129">
        <v>4275710.0300316811</v>
      </c>
      <c r="CH266" s="129">
        <v>4256566.7370888479</v>
      </c>
      <c r="CI266" s="129">
        <v>4183271.6423561769</v>
      </c>
      <c r="CJ266" s="129">
        <v>4824940.4403820038</v>
      </c>
      <c r="CK266" s="129">
        <v>4991465.3791289097</v>
      </c>
      <c r="CL266" s="129">
        <v>3402275.288579748</v>
      </c>
      <c r="CM266" s="129">
        <v>5403376.85413488</v>
      </c>
      <c r="CN266" s="129">
        <v>6214175.1403349284</v>
      </c>
      <c r="CO266" s="129">
        <v>4609337.1315890849</v>
      </c>
      <c r="CP266" s="129">
        <v>5879546.4248554911</v>
      </c>
      <c r="CQ266" s="129">
        <v>4724671.0823369566</v>
      </c>
      <c r="CR266" s="129">
        <v>4389420.9944172958</v>
      </c>
      <c r="CS266" s="129">
        <v>6601121.6368329562</v>
      </c>
      <c r="CT266" s="129">
        <f t="shared" ref="CT266:DQ266" si="868">CT276</f>
        <v>5484726.005565851</v>
      </c>
      <c r="CU266" s="129">
        <f t="shared" si="868"/>
        <v>5540547.667411115</v>
      </c>
      <c r="CV266" s="129">
        <f t="shared" si="868"/>
        <v>5536583.99911441</v>
      </c>
      <c r="CW266" s="129">
        <f t="shared" si="868"/>
        <v>5620151.3390366128</v>
      </c>
      <c r="CX266" s="129">
        <f t="shared" si="868"/>
        <v>5295791.1500895675</v>
      </c>
      <c r="CY266" s="129">
        <f t="shared" si="868"/>
        <v>5793231.5213260716</v>
      </c>
      <c r="CZ266" s="129">
        <f t="shared" si="868"/>
        <v>5633033.2610009033</v>
      </c>
      <c r="DA266" s="129">
        <f t="shared" si="868"/>
        <v>5646245.488656586</v>
      </c>
      <c r="DB266" s="129">
        <f t="shared" si="868"/>
        <v>6930804.322480469</v>
      </c>
      <c r="DC266" s="129">
        <f t="shared" si="868"/>
        <v>7467881.3766840268</v>
      </c>
      <c r="DD266" s="129">
        <f t="shared" si="868"/>
        <v>6402315.2162531065</v>
      </c>
      <c r="DE266" s="129">
        <f t="shared" si="868"/>
        <v>6918252.7062075688</v>
      </c>
      <c r="DF266" s="129">
        <f t="shared" si="868"/>
        <v>6496657.9535927484</v>
      </c>
      <c r="DG266" s="129">
        <f t="shared" si="868"/>
        <v>6562778.7120484645</v>
      </c>
      <c r="DH266" s="129">
        <f t="shared" si="868"/>
        <v>6558083.7469510175</v>
      </c>
      <c r="DI266" s="129">
        <f t="shared" si="868"/>
        <v>6657069.2610888649</v>
      </c>
      <c r="DJ266" s="129">
        <f t="shared" si="868"/>
        <v>6272864.6172810905</v>
      </c>
      <c r="DK266" s="129">
        <f t="shared" si="868"/>
        <v>6862082.7370107304</v>
      </c>
      <c r="DL266" s="129">
        <f t="shared" si="868"/>
        <v>6672327.8976555672</v>
      </c>
      <c r="DM266" s="129">
        <f t="shared" si="868"/>
        <v>6687977.7813137257</v>
      </c>
      <c r="DN266" s="129">
        <f t="shared" si="868"/>
        <v>8209537.7199781155</v>
      </c>
      <c r="DO266" s="129">
        <f t="shared" si="868"/>
        <v>8845705.4906822294</v>
      </c>
      <c r="DP266" s="129">
        <f t="shared" si="868"/>
        <v>7583542.3736518035</v>
      </c>
      <c r="DQ266" s="129">
        <f t="shared" si="868"/>
        <v>8194670.3305028649</v>
      </c>
      <c r="DR266" s="129">
        <f t="shared" ref="DR266:EC266" si="869">DR276</f>
        <v>7695291.3460306078</v>
      </c>
      <c r="DS266" s="129">
        <f t="shared" si="869"/>
        <v>7773611.3844214054</v>
      </c>
      <c r="DT266" s="129">
        <f t="shared" si="869"/>
        <v>7768050.1982634785</v>
      </c>
      <c r="DU266" s="129">
        <f t="shared" si="869"/>
        <v>7885298.5397597589</v>
      </c>
      <c r="DV266" s="129">
        <f t="shared" si="869"/>
        <v>7430208.1391694518</v>
      </c>
      <c r="DW266" s="129">
        <f t="shared" si="869"/>
        <v>8128137.00198921</v>
      </c>
      <c r="DX266" s="129">
        <f t="shared" si="869"/>
        <v>7903372.3947730176</v>
      </c>
      <c r="DY266" s="129">
        <f t="shared" si="869"/>
        <v>7921909.6819661055</v>
      </c>
      <c r="DZ266" s="129">
        <f t="shared" si="869"/>
        <v>9724197.4293140769</v>
      </c>
      <c r="EA266" s="129">
        <f t="shared" si="869"/>
        <v>10477738.153713102</v>
      </c>
      <c r="EB266" s="129">
        <f t="shared" si="869"/>
        <v>8982705.9415905625</v>
      </c>
      <c r="EC266" s="129">
        <f t="shared" si="869"/>
        <v>9706587.0064806454</v>
      </c>
      <c r="ED266" s="113" t="s">
        <v>1</v>
      </c>
    </row>
    <row r="267" spans="1:134" x14ac:dyDescent="0.2">
      <c r="A267" s="698" t="s">
        <v>150</v>
      </c>
      <c r="B267" s="115"/>
      <c r="C267" s="115"/>
      <c r="D267" s="115"/>
      <c r="E267" s="115"/>
      <c r="F267" s="115"/>
      <c r="G267" s="115"/>
      <c r="H267" s="115"/>
      <c r="I267" s="115"/>
      <c r="J267" s="115"/>
      <c r="K267" s="129">
        <v>0</v>
      </c>
      <c r="L267" s="129">
        <v>0</v>
      </c>
      <c r="M267" s="129">
        <v>0</v>
      </c>
      <c r="N267" s="129">
        <v>0</v>
      </c>
      <c r="O267" s="129">
        <v>0</v>
      </c>
      <c r="P267" s="129">
        <v>0</v>
      </c>
      <c r="Q267" s="129">
        <v>0</v>
      </c>
      <c r="R267" s="129">
        <v>0</v>
      </c>
      <c r="S267" s="129">
        <v>0</v>
      </c>
      <c r="T267" s="129">
        <v>0</v>
      </c>
      <c r="U267" s="129">
        <v>0</v>
      </c>
      <c r="V267" s="129">
        <v>0</v>
      </c>
      <c r="W267" s="129">
        <v>0</v>
      </c>
      <c r="X267" s="129">
        <v>0</v>
      </c>
      <c r="Y267" s="129">
        <v>0</v>
      </c>
      <c r="Z267" s="129">
        <v>0</v>
      </c>
      <c r="AA267" s="129">
        <v>0</v>
      </c>
      <c r="AB267" s="129">
        <v>1037754</v>
      </c>
      <c r="AC267" s="129">
        <v>841194</v>
      </c>
      <c r="AD267" s="129">
        <v>813329.65921942831</v>
      </c>
      <c r="AE267" s="129">
        <v>1041064.6157817051</v>
      </c>
      <c r="AF267" s="129">
        <v>1899648.9775625439</v>
      </c>
      <c r="AG267" s="129">
        <v>1598272.3320431258</v>
      </c>
      <c r="AH267" s="129">
        <v>2473394.9342875332</v>
      </c>
      <c r="AI267" s="129">
        <v>2920746.7410079776</v>
      </c>
      <c r="AJ267" s="129">
        <v>1757809.5938630514</v>
      </c>
      <c r="AK267" s="129">
        <v>2235465.7910963739</v>
      </c>
      <c r="AL267" s="129">
        <v>1691589.6071263086</v>
      </c>
      <c r="AM267" s="129">
        <v>1063993.1495076832</v>
      </c>
      <c r="AN267" s="129">
        <v>1619688.3467748063</v>
      </c>
      <c r="AO267" s="129">
        <v>877900</v>
      </c>
      <c r="AP267" s="129">
        <v>388689.76008068753</v>
      </c>
      <c r="AQ267" s="129">
        <v>492912.09431651281</v>
      </c>
      <c r="AR267" s="129">
        <v>1066845.4195904422</v>
      </c>
      <c r="AS267" s="129">
        <v>2059380.0182991216</v>
      </c>
      <c r="AT267" s="129">
        <v>2438025.817679028</v>
      </c>
      <c r="AU267" s="129">
        <v>2285489.793643964</v>
      </c>
      <c r="AV267" s="129">
        <v>1601056.6835871171</v>
      </c>
      <c r="AW267" s="129">
        <v>408795.45404211478</v>
      </c>
      <c r="AX267" s="129">
        <v>238728.96457417944</v>
      </c>
      <c r="AY267" s="129">
        <v>598384.15460408933</v>
      </c>
      <c r="AZ267" s="129">
        <v>368897.9804208827</v>
      </c>
      <c r="BA267" s="129">
        <v>667424.20244180295</v>
      </c>
      <c r="BB267" s="129">
        <v>469914.74963170785</v>
      </c>
      <c r="BC267" s="129">
        <v>1303059.3891214989</v>
      </c>
      <c r="BD267" s="129">
        <v>1298500</v>
      </c>
      <c r="BE267" s="129">
        <v>1336352.209131601</v>
      </c>
      <c r="BF267" s="129">
        <v>841500</v>
      </c>
      <c r="BG267" s="129">
        <v>716960</v>
      </c>
      <c r="BH267" s="129">
        <v>953850</v>
      </c>
      <c r="BI267" s="129">
        <v>1627353</v>
      </c>
      <c r="BJ267" s="129">
        <v>887312</v>
      </c>
      <c r="BK267" s="129">
        <v>0</v>
      </c>
      <c r="BL267" s="129">
        <v>0</v>
      </c>
      <c r="BM267" s="129">
        <v>0</v>
      </c>
      <c r="BN267" s="129">
        <v>0</v>
      </c>
      <c r="BO267" s="129">
        <v>0</v>
      </c>
      <c r="BP267" s="129">
        <v>0</v>
      </c>
      <c r="BQ267" s="129">
        <v>0</v>
      </c>
      <c r="BR267" s="129">
        <v>0</v>
      </c>
      <c r="BS267" s="129">
        <v>0</v>
      </c>
      <c r="BT267" s="129">
        <v>0</v>
      </c>
      <c r="BU267" s="129">
        <v>0</v>
      </c>
      <c r="BV267" s="129">
        <v>0</v>
      </c>
      <c r="BW267" s="129">
        <v>0</v>
      </c>
      <c r="BX267" s="129">
        <v>0</v>
      </c>
      <c r="BY267" s="129">
        <v>0</v>
      </c>
      <c r="BZ267" s="129">
        <v>0</v>
      </c>
      <c r="CA267" s="129">
        <v>0</v>
      </c>
      <c r="CB267" s="129">
        <v>0</v>
      </c>
      <c r="CC267" s="129">
        <v>0</v>
      </c>
      <c r="CD267" s="129">
        <v>0</v>
      </c>
      <c r="CE267" s="129">
        <v>0</v>
      </c>
      <c r="CF267" s="129">
        <v>0</v>
      </c>
      <c r="CG267" s="129">
        <v>0</v>
      </c>
      <c r="CH267" s="129">
        <v>0</v>
      </c>
      <c r="CI267" s="129">
        <v>0</v>
      </c>
      <c r="CJ267" s="129">
        <v>0</v>
      </c>
      <c r="CK267" s="129">
        <v>0</v>
      </c>
      <c r="CL267" s="129">
        <v>0</v>
      </c>
      <c r="CM267" s="129">
        <v>0</v>
      </c>
      <c r="CN267" s="129">
        <v>0</v>
      </c>
      <c r="CO267" s="129">
        <v>0</v>
      </c>
      <c r="CP267" s="129">
        <v>0</v>
      </c>
      <c r="CQ267" s="129">
        <v>0</v>
      </c>
      <c r="CR267" s="129">
        <v>0</v>
      </c>
      <c r="CS267" s="129">
        <v>0</v>
      </c>
      <c r="CT267" s="129">
        <f t="shared" ref="CT267:DQ267" si="870">CT277</f>
        <v>0</v>
      </c>
      <c r="CU267" s="129">
        <f t="shared" si="870"/>
        <v>0</v>
      </c>
      <c r="CV267" s="129">
        <f t="shared" si="870"/>
        <v>0</v>
      </c>
      <c r="CW267" s="129">
        <f t="shared" si="870"/>
        <v>0</v>
      </c>
      <c r="CX267" s="129">
        <f t="shared" si="870"/>
        <v>0</v>
      </c>
      <c r="CY267" s="129">
        <f t="shared" si="870"/>
        <v>0</v>
      </c>
      <c r="CZ267" s="129">
        <f t="shared" si="870"/>
        <v>0</v>
      </c>
      <c r="DA267" s="129">
        <f t="shared" si="870"/>
        <v>0</v>
      </c>
      <c r="DB267" s="129">
        <f t="shared" si="870"/>
        <v>0</v>
      </c>
      <c r="DC267" s="129">
        <f t="shared" si="870"/>
        <v>0</v>
      </c>
      <c r="DD267" s="129">
        <f t="shared" si="870"/>
        <v>0</v>
      </c>
      <c r="DE267" s="129">
        <f t="shared" si="870"/>
        <v>0</v>
      </c>
      <c r="DF267" s="129">
        <f t="shared" si="870"/>
        <v>0</v>
      </c>
      <c r="DG267" s="129">
        <f t="shared" si="870"/>
        <v>0</v>
      </c>
      <c r="DH267" s="129">
        <f t="shared" si="870"/>
        <v>0</v>
      </c>
      <c r="DI267" s="129">
        <f t="shared" si="870"/>
        <v>0</v>
      </c>
      <c r="DJ267" s="129">
        <f t="shared" si="870"/>
        <v>0</v>
      </c>
      <c r="DK267" s="129">
        <f t="shared" si="870"/>
        <v>0</v>
      </c>
      <c r="DL267" s="129">
        <f t="shared" si="870"/>
        <v>0</v>
      </c>
      <c r="DM267" s="129">
        <f t="shared" si="870"/>
        <v>0</v>
      </c>
      <c r="DN267" s="129">
        <f t="shared" si="870"/>
        <v>0</v>
      </c>
      <c r="DO267" s="129">
        <f t="shared" si="870"/>
        <v>0</v>
      </c>
      <c r="DP267" s="129">
        <f t="shared" si="870"/>
        <v>0</v>
      </c>
      <c r="DQ267" s="129">
        <f t="shared" si="870"/>
        <v>0</v>
      </c>
      <c r="DR267" s="129">
        <f t="shared" ref="DR267:EC267" si="871">DR277</f>
        <v>0</v>
      </c>
      <c r="DS267" s="129">
        <f t="shared" si="871"/>
        <v>0</v>
      </c>
      <c r="DT267" s="129">
        <f t="shared" si="871"/>
        <v>0</v>
      </c>
      <c r="DU267" s="129">
        <f t="shared" si="871"/>
        <v>0</v>
      </c>
      <c r="DV267" s="129">
        <f t="shared" si="871"/>
        <v>0</v>
      </c>
      <c r="DW267" s="129">
        <f t="shared" si="871"/>
        <v>0</v>
      </c>
      <c r="DX267" s="129">
        <f t="shared" si="871"/>
        <v>0</v>
      </c>
      <c r="DY267" s="129">
        <f t="shared" si="871"/>
        <v>0</v>
      </c>
      <c r="DZ267" s="129">
        <f t="shared" si="871"/>
        <v>0</v>
      </c>
      <c r="EA267" s="129">
        <f t="shared" si="871"/>
        <v>0</v>
      </c>
      <c r="EB267" s="129">
        <f t="shared" si="871"/>
        <v>0</v>
      </c>
      <c r="EC267" s="129">
        <f t="shared" si="871"/>
        <v>0</v>
      </c>
      <c r="ED267" s="113" t="s">
        <v>1</v>
      </c>
    </row>
    <row r="268" spans="1:134" x14ac:dyDescent="0.2">
      <c r="A268" s="698" t="s">
        <v>37</v>
      </c>
      <c r="B268" s="115"/>
      <c r="C268" s="115"/>
      <c r="D268" s="115"/>
      <c r="E268" s="115"/>
      <c r="F268" s="115"/>
      <c r="G268" s="115"/>
      <c r="H268" s="115"/>
      <c r="I268" s="115"/>
      <c r="J268" s="115"/>
      <c r="K268" s="133">
        <f t="shared" ref="K268:AP268" si="872">K261/K219</f>
        <v>3.4030081952531058E-2</v>
      </c>
      <c r="L268" s="133">
        <f t="shared" si="872"/>
        <v>3.3448013001431805E-2</v>
      </c>
      <c r="M268" s="133">
        <f t="shared" si="872"/>
        <v>2.1769315893955407E-2</v>
      </c>
      <c r="N268" s="133">
        <f t="shared" si="872"/>
        <v>1.8097765051614298E-2</v>
      </c>
      <c r="O268" s="133">
        <f t="shared" si="872"/>
        <v>2.4514424092090422E-2</v>
      </c>
      <c r="P268" s="133">
        <f t="shared" si="872"/>
        <v>1.8024724194202722E-2</v>
      </c>
      <c r="Q268" s="133">
        <f t="shared" si="872"/>
        <v>2.0848636448060238E-2</v>
      </c>
      <c r="R268" s="133">
        <f t="shared" si="872"/>
        <v>2.9213469196436487E-2</v>
      </c>
      <c r="S268" s="133">
        <f t="shared" si="872"/>
        <v>2.1068097893875738E-2</v>
      </c>
      <c r="T268" s="133">
        <f t="shared" si="872"/>
        <v>1.968412616427832E-2</v>
      </c>
      <c r="U268" s="133">
        <f t="shared" si="872"/>
        <v>4.1027057945081075E-2</v>
      </c>
      <c r="V268" s="133">
        <f t="shared" si="872"/>
        <v>2.5349410706291681E-2</v>
      </c>
      <c r="W268" s="133">
        <f t="shared" si="872"/>
        <v>2.800622437186254E-2</v>
      </c>
      <c r="X268" s="133">
        <f t="shared" si="872"/>
        <v>0.32013869935763545</v>
      </c>
      <c r="Y268" s="133">
        <f t="shared" si="872"/>
        <v>4.0606633843755978E-2</v>
      </c>
      <c r="Z268" s="133">
        <f t="shared" si="872"/>
        <v>0</v>
      </c>
      <c r="AA268" s="133">
        <f t="shared" si="872"/>
        <v>3.2146985566284134E-2</v>
      </c>
      <c r="AB268" s="133">
        <f t="shared" si="872"/>
        <v>0.11100967785519431</v>
      </c>
      <c r="AC268" s="133">
        <f t="shared" si="872"/>
        <v>0.13693120612525111</v>
      </c>
      <c r="AD268" s="133">
        <f t="shared" si="872"/>
        <v>0.12872179224422173</v>
      </c>
      <c r="AE268" s="133">
        <f t="shared" si="872"/>
        <v>0.12633753491938496</v>
      </c>
      <c r="AF268" s="133">
        <f t="shared" si="872"/>
        <v>0.12217190627194982</v>
      </c>
      <c r="AG268" s="133">
        <f t="shared" si="872"/>
        <v>0.12087570855792713</v>
      </c>
      <c r="AH268" s="133">
        <f t="shared" si="872"/>
        <v>0.12052552386227519</v>
      </c>
      <c r="AI268" s="133">
        <f t="shared" si="872"/>
        <v>0.11758625154670743</v>
      </c>
      <c r="AJ268" s="133">
        <f t="shared" si="872"/>
        <v>0.11999350897683606</v>
      </c>
      <c r="AK268" s="133">
        <f t="shared" si="872"/>
        <v>0.12943481380814467</v>
      </c>
      <c r="AL268" s="133">
        <f t="shared" si="872"/>
        <v>0.12968191656082279</v>
      </c>
      <c r="AM268" s="133">
        <f t="shared" si="872"/>
        <v>0.14004199939507753</v>
      </c>
      <c r="AN268" s="133">
        <f t="shared" si="872"/>
        <v>0.12466868877232344</v>
      </c>
      <c r="AO268" s="133">
        <f t="shared" si="872"/>
        <v>0.10187626607071495</v>
      </c>
      <c r="AP268" s="133">
        <f t="shared" si="872"/>
        <v>9.0442963204177995E-2</v>
      </c>
      <c r="AQ268" s="133">
        <f t="shared" ref="AQ268:BV268" si="873">AQ261/AQ219</f>
        <v>9.0994069381598458E-2</v>
      </c>
      <c r="AR268" s="133">
        <f t="shared" si="873"/>
        <v>0.11609784744124241</v>
      </c>
      <c r="AS268" s="133">
        <f t="shared" si="873"/>
        <v>0.10121236249749545</v>
      </c>
      <c r="AT268" s="133">
        <f t="shared" si="873"/>
        <v>0.10091600888649606</v>
      </c>
      <c r="AU268" s="133">
        <f t="shared" si="873"/>
        <v>9.0236049807685195E-2</v>
      </c>
      <c r="AV268" s="133">
        <f t="shared" si="873"/>
        <v>8.1615779820509521E-2</v>
      </c>
      <c r="AW268" s="133">
        <f t="shared" si="873"/>
        <v>6.908254161615146E-2</v>
      </c>
      <c r="AX268" s="133">
        <f t="shared" si="873"/>
        <v>7.3665910658213957E-2</v>
      </c>
      <c r="AY268" s="133">
        <f t="shared" si="873"/>
        <v>7.5219024874146681E-2</v>
      </c>
      <c r="AZ268" s="133">
        <f t="shared" si="873"/>
        <v>6.3504135399955919E-2</v>
      </c>
      <c r="BA268" s="133">
        <f t="shared" si="873"/>
        <v>7.6461988582077117E-2</v>
      </c>
      <c r="BB268" s="133">
        <f t="shared" si="873"/>
        <v>8.7379171340354819E-2</v>
      </c>
      <c r="BC268" s="133">
        <f t="shared" si="873"/>
        <v>0.10422839614788726</v>
      </c>
      <c r="BD268" s="133">
        <f t="shared" si="873"/>
        <v>8.6479155066203628E-2</v>
      </c>
      <c r="BE268" s="133">
        <f t="shared" si="873"/>
        <v>9.2541139178757045E-2</v>
      </c>
      <c r="BF268" s="133">
        <f t="shared" si="873"/>
        <v>8.8963525256036388E-2</v>
      </c>
      <c r="BG268" s="133">
        <f t="shared" si="873"/>
        <v>7.5766618596435131E-2</v>
      </c>
      <c r="BH268" s="133">
        <f t="shared" si="873"/>
        <v>7.7642606198573216E-2</v>
      </c>
      <c r="BI268" s="133">
        <f t="shared" si="873"/>
        <v>0.103366699677989</v>
      </c>
      <c r="BJ268" s="133">
        <f t="shared" si="873"/>
        <v>8.2390331901815508E-2</v>
      </c>
      <c r="BK268" s="133">
        <f t="shared" si="873"/>
        <v>7.2378412324505856E-2</v>
      </c>
      <c r="BL268" s="133">
        <f t="shared" si="873"/>
        <v>6.4579901157295158E-2</v>
      </c>
      <c r="BM268" s="133">
        <f t="shared" si="873"/>
        <v>8.1106209677536373E-2</v>
      </c>
      <c r="BN268" s="133">
        <f t="shared" si="873"/>
        <v>7.278961727396939E-2</v>
      </c>
      <c r="BO268" s="133">
        <f t="shared" si="873"/>
        <v>6.9601417529380399E-2</v>
      </c>
      <c r="BP268" s="133">
        <f t="shared" si="873"/>
        <v>7.558315968498272E-2</v>
      </c>
      <c r="BQ268" s="133">
        <f t="shared" si="873"/>
        <v>5.7071200479527788E-2</v>
      </c>
      <c r="BR268" s="133">
        <f t="shared" si="873"/>
        <v>5.2026462998092389E-2</v>
      </c>
      <c r="BS268" s="133">
        <f t="shared" si="873"/>
        <v>5.6934941831357166E-2</v>
      </c>
      <c r="BT268" s="133">
        <f t="shared" si="873"/>
        <v>7.7600634919068351E-2</v>
      </c>
      <c r="BU268" s="133">
        <f t="shared" si="873"/>
        <v>6.3389765783810767E-2</v>
      </c>
      <c r="BV268" s="133">
        <f t="shared" si="873"/>
        <v>5.7869929874418288E-2</v>
      </c>
      <c r="BW268" s="133">
        <f t="shared" ref="BW268:CS268" si="874">BW261/BW219</f>
        <v>6.2563876633325605E-2</v>
      </c>
      <c r="BX268" s="133">
        <f t="shared" si="874"/>
        <v>6.8392042343236953E-2</v>
      </c>
      <c r="BY268" s="133">
        <f t="shared" si="874"/>
        <v>6.9051873113374809E-2</v>
      </c>
      <c r="BZ268" s="133">
        <f t="shared" si="874"/>
        <v>6.389417859301777E-2</v>
      </c>
      <c r="CA268" s="133">
        <f t="shared" si="874"/>
        <v>6.0271722699285032E-2</v>
      </c>
      <c r="CB268" s="133">
        <f t="shared" si="874"/>
        <v>6.1883560636079867E-2</v>
      </c>
      <c r="CC268" s="133">
        <f t="shared" si="874"/>
        <v>6.6194371202097882E-2</v>
      </c>
      <c r="CD268" s="133">
        <f t="shared" si="874"/>
        <v>5.5570085180045699E-2</v>
      </c>
      <c r="CE268" s="133">
        <f t="shared" si="874"/>
        <v>5.2640802133063817E-2</v>
      </c>
      <c r="CF268" s="133">
        <f t="shared" si="874"/>
        <v>4.1081754249698552E-2</v>
      </c>
      <c r="CG268" s="133">
        <f t="shared" si="874"/>
        <v>5.6645629219238686E-2</v>
      </c>
      <c r="CH268" s="133">
        <f t="shared" si="874"/>
        <v>6.1388496141757891E-2</v>
      </c>
      <c r="CI268" s="133">
        <f t="shared" si="874"/>
        <v>6.1742121197453238E-2</v>
      </c>
      <c r="CJ268" s="133">
        <f t="shared" si="874"/>
        <v>6.7895376030840227E-2</v>
      </c>
      <c r="CK268" s="133">
        <f t="shared" si="874"/>
        <v>5.9475133800840636E-2</v>
      </c>
      <c r="CL268" s="133">
        <f t="shared" si="874"/>
        <v>5.4737402860443742E-2</v>
      </c>
      <c r="CM268" s="133">
        <f t="shared" si="874"/>
        <v>5.1524249669443252E-2</v>
      </c>
      <c r="CN268" s="133">
        <f t="shared" si="874"/>
        <v>6.5294402215233902E-2</v>
      </c>
      <c r="CO268" s="133">
        <f t="shared" si="874"/>
        <v>5.9885026588593661E-2</v>
      </c>
      <c r="CP268" s="133">
        <f t="shared" si="874"/>
        <v>5.89762395671437E-2</v>
      </c>
      <c r="CQ268" s="133">
        <f t="shared" si="874"/>
        <v>5.9211848753965762E-2</v>
      </c>
      <c r="CR268" s="133">
        <f t="shared" si="874"/>
        <v>6.2563962453503597E-2</v>
      </c>
      <c r="CS268" s="133">
        <f t="shared" si="874"/>
        <v>6.1559381268422524E-2</v>
      </c>
      <c r="CT268" s="133">
        <f>CS268</f>
        <v>6.1559381268422524E-2</v>
      </c>
      <c r="CU268" s="133">
        <f t="shared" ref="CU268:DQ268" si="875">CT268</f>
        <v>6.1559381268422524E-2</v>
      </c>
      <c r="CV268" s="133">
        <f t="shared" si="875"/>
        <v>6.1559381268422524E-2</v>
      </c>
      <c r="CW268" s="133">
        <f t="shared" si="875"/>
        <v>6.1559381268422524E-2</v>
      </c>
      <c r="CX268" s="133">
        <f t="shared" si="875"/>
        <v>6.1559381268422524E-2</v>
      </c>
      <c r="CY268" s="133">
        <f t="shared" si="875"/>
        <v>6.1559381268422524E-2</v>
      </c>
      <c r="CZ268" s="133">
        <f t="shared" si="875"/>
        <v>6.1559381268422524E-2</v>
      </c>
      <c r="DA268" s="133">
        <f t="shared" si="875"/>
        <v>6.1559381268422524E-2</v>
      </c>
      <c r="DB268" s="133">
        <f t="shared" si="875"/>
        <v>6.1559381268422524E-2</v>
      </c>
      <c r="DC268" s="133">
        <f t="shared" si="875"/>
        <v>6.1559381268422524E-2</v>
      </c>
      <c r="DD268" s="133">
        <f t="shared" si="875"/>
        <v>6.1559381268422524E-2</v>
      </c>
      <c r="DE268" s="133">
        <f t="shared" si="875"/>
        <v>6.1559381268422524E-2</v>
      </c>
      <c r="DF268" s="133">
        <f t="shared" si="875"/>
        <v>6.1559381268422524E-2</v>
      </c>
      <c r="DG268" s="133">
        <f t="shared" si="875"/>
        <v>6.1559381268422524E-2</v>
      </c>
      <c r="DH268" s="133">
        <f t="shared" si="875"/>
        <v>6.1559381268422524E-2</v>
      </c>
      <c r="DI268" s="133">
        <f t="shared" si="875"/>
        <v>6.1559381268422524E-2</v>
      </c>
      <c r="DJ268" s="133">
        <f t="shared" si="875"/>
        <v>6.1559381268422524E-2</v>
      </c>
      <c r="DK268" s="133">
        <f t="shared" si="875"/>
        <v>6.1559381268422524E-2</v>
      </c>
      <c r="DL268" s="133">
        <f t="shared" si="875"/>
        <v>6.1559381268422524E-2</v>
      </c>
      <c r="DM268" s="133">
        <f t="shared" si="875"/>
        <v>6.1559381268422524E-2</v>
      </c>
      <c r="DN268" s="133">
        <f t="shared" si="875"/>
        <v>6.1559381268422524E-2</v>
      </c>
      <c r="DO268" s="133">
        <f t="shared" si="875"/>
        <v>6.1559381268422524E-2</v>
      </c>
      <c r="DP268" s="133">
        <f t="shared" si="875"/>
        <v>6.1559381268422524E-2</v>
      </c>
      <c r="DQ268" s="133">
        <f t="shared" si="875"/>
        <v>6.1559381268422524E-2</v>
      </c>
      <c r="DR268" s="133">
        <f t="shared" ref="DR268" si="876">DQ268</f>
        <v>6.1559381268422524E-2</v>
      </c>
      <c r="DS268" s="133">
        <f t="shared" ref="DS268" si="877">DR268</f>
        <v>6.1559381268422524E-2</v>
      </c>
      <c r="DT268" s="133">
        <f t="shared" ref="DT268" si="878">DS268</f>
        <v>6.1559381268422524E-2</v>
      </c>
      <c r="DU268" s="133">
        <f t="shared" ref="DU268" si="879">DT268</f>
        <v>6.1559381268422524E-2</v>
      </c>
      <c r="DV268" s="133">
        <f t="shared" ref="DV268" si="880">DU268</f>
        <v>6.1559381268422524E-2</v>
      </c>
      <c r="DW268" s="133">
        <f t="shared" ref="DW268" si="881">DV268</f>
        <v>6.1559381268422524E-2</v>
      </c>
      <c r="DX268" s="133">
        <f t="shared" ref="DX268" si="882">DW268</f>
        <v>6.1559381268422524E-2</v>
      </c>
      <c r="DY268" s="133">
        <f t="shared" ref="DY268" si="883">DX268</f>
        <v>6.1559381268422524E-2</v>
      </c>
      <c r="DZ268" s="133">
        <f t="shared" ref="DZ268" si="884">DY268</f>
        <v>6.1559381268422524E-2</v>
      </c>
      <c r="EA268" s="133">
        <f t="shared" ref="EA268" si="885">DZ268</f>
        <v>6.1559381268422524E-2</v>
      </c>
      <c r="EB268" s="133">
        <f t="shared" ref="EB268" si="886">EA268</f>
        <v>6.1559381268422524E-2</v>
      </c>
      <c r="EC268" s="133">
        <f t="shared" ref="EC268" si="887">EB268</f>
        <v>6.1559381268422524E-2</v>
      </c>
      <c r="ED268" s="113" t="s">
        <v>1</v>
      </c>
    </row>
    <row r="269" spans="1:134" x14ac:dyDescent="0.2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115"/>
      <c r="AL269" s="115"/>
      <c r="AM269" s="115"/>
      <c r="AN269" s="115"/>
      <c r="AO269" s="115"/>
      <c r="AP269" s="115"/>
      <c r="AQ269" s="115"/>
      <c r="AR269" s="115"/>
      <c r="AS269" s="115"/>
      <c r="AT269" s="115"/>
      <c r="AU269" s="115"/>
      <c r="AV269" s="115"/>
      <c r="AW269" s="115"/>
      <c r="AX269" s="115"/>
      <c r="AY269" s="115"/>
      <c r="AZ269" s="115"/>
      <c r="BA269" s="115"/>
      <c r="BB269" s="115"/>
      <c r="BC269" s="115"/>
      <c r="BD269" s="115"/>
      <c r="BE269" s="115"/>
      <c r="BF269" s="115"/>
      <c r="BG269" s="115"/>
      <c r="BH269" s="115"/>
      <c r="BI269" s="115"/>
      <c r="BJ269" s="115"/>
      <c r="BK269" s="115"/>
      <c r="BL269" s="115"/>
      <c r="BM269" s="115"/>
      <c r="BN269" s="115"/>
      <c r="BO269" s="115"/>
      <c r="BP269" s="115"/>
      <c r="BQ269" s="115"/>
      <c r="BR269" s="115"/>
      <c r="BS269" s="115"/>
      <c r="BT269" s="115"/>
      <c r="BU269" s="115"/>
      <c r="BV269" s="115"/>
      <c r="BW269" s="115"/>
      <c r="BX269" s="115"/>
      <c r="BY269" s="115"/>
      <c r="BZ269" s="115"/>
      <c r="CA269" s="115"/>
      <c r="CB269" s="115"/>
      <c r="CC269" s="115"/>
      <c r="CD269" s="115"/>
      <c r="CE269" s="115"/>
      <c r="CF269" s="115"/>
      <c r="CG269" s="115"/>
      <c r="CH269" s="115"/>
      <c r="CI269" s="115"/>
      <c r="CJ269" s="115"/>
      <c r="CK269" s="115"/>
      <c r="CL269" s="115"/>
      <c r="CM269" s="115"/>
      <c r="CN269" s="115"/>
      <c r="CO269" s="115"/>
      <c r="CP269" s="115"/>
      <c r="CQ269" s="115"/>
      <c r="CR269" s="115"/>
      <c r="CS269" s="115"/>
      <c r="CT269" s="115"/>
      <c r="CU269" s="115"/>
      <c r="CV269" s="115"/>
      <c r="CW269" s="115"/>
      <c r="CX269" s="115"/>
      <c r="CY269" s="115"/>
      <c r="CZ269" s="115"/>
      <c r="DA269" s="115"/>
      <c r="DB269" s="115"/>
      <c r="DC269" s="115"/>
      <c r="DD269" s="115"/>
      <c r="DE269" s="115"/>
      <c r="DF269" s="115"/>
      <c r="DG269" s="115"/>
      <c r="DH269" s="115"/>
      <c r="DI269" s="115"/>
      <c r="DJ269" s="115"/>
      <c r="DK269" s="115"/>
      <c r="DL269" s="115"/>
      <c r="DM269" s="115"/>
      <c r="DN269" s="115"/>
      <c r="DO269" s="115"/>
      <c r="DP269" s="115"/>
      <c r="DQ269" s="115"/>
      <c r="DR269" s="115"/>
      <c r="DS269" s="115"/>
      <c r="DT269" s="115"/>
      <c r="DU269" s="115"/>
      <c r="DV269" s="115"/>
      <c r="DW269" s="115"/>
      <c r="DX269" s="115"/>
      <c r="DY269" s="115"/>
      <c r="DZ269" s="115"/>
      <c r="EA269" s="115"/>
      <c r="EB269" s="115"/>
      <c r="EC269" s="645"/>
      <c r="ED269" s="113" t="s">
        <v>1</v>
      </c>
    </row>
    <row r="270" spans="1:134" x14ac:dyDescent="0.2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115"/>
      <c r="AL270" s="115"/>
      <c r="AM270" s="115"/>
      <c r="AN270" s="115"/>
      <c r="AO270" s="115"/>
      <c r="AP270" s="115"/>
      <c r="AQ270" s="115"/>
      <c r="AR270" s="115"/>
      <c r="AS270" s="115"/>
      <c r="AT270" s="115"/>
      <c r="AU270" s="115"/>
      <c r="AV270" s="115"/>
      <c r="AW270" s="115"/>
      <c r="AX270" s="115"/>
      <c r="AY270" s="115"/>
      <c r="AZ270" s="115"/>
      <c r="BA270" s="115"/>
      <c r="BB270" s="115"/>
      <c r="BC270" s="115"/>
      <c r="BD270" s="115"/>
      <c r="BE270" s="115"/>
      <c r="BF270" s="115"/>
      <c r="BG270" s="115"/>
      <c r="BH270" s="115"/>
      <c r="BI270" s="115"/>
      <c r="BJ270" s="115"/>
      <c r="BK270" s="115"/>
      <c r="BL270" s="115"/>
      <c r="BM270" s="115"/>
      <c r="BN270" s="115"/>
      <c r="BO270" s="115"/>
      <c r="BP270" s="115"/>
      <c r="BQ270" s="115"/>
      <c r="BR270" s="115"/>
      <c r="BS270" s="115"/>
      <c r="BT270" s="115"/>
      <c r="BU270" s="115"/>
      <c r="BV270" s="115"/>
      <c r="BW270" s="115"/>
      <c r="BX270" s="115"/>
      <c r="BY270" s="115"/>
      <c r="BZ270" s="115"/>
      <c r="CA270" s="115"/>
      <c r="CB270" s="115"/>
      <c r="CC270" s="115"/>
      <c r="CD270" s="115"/>
      <c r="CE270" s="115"/>
      <c r="CF270" s="115"/>
      <c r="CG270" s="115"/>
      <c r="CH270" s="115"/>
      <c r="CI270" s="115"/>
      <c r="CJ270" s="115"/>
      <c r="CK270" s="115"/>
      <c r="CL270" s="115"/>
      <c r="CM270" s="115"/>
      <c r="CN270" s="115"/>
      <c r="CO270" s="115"/>
      <c r="CP270" s="115"/>
      <c r="CQ270" s="115"/>
      <c r="CR270" s="115"/>
      <c r="CS270" s="115"/>
      <c r="CT270" s="115"/>
      <c r="CU270" s="115"/>
      <c r="CV270" s="115"/>
      <c r="CW270" s="115"/>
      <c r="CX270" s="115"/>
      <c r="CY270" s="115"/>
      <c r="CZ270" s="115"/>
      <c r="DA270" s="115"/>
      <c r="DB270" s="115"/>
      <c r="DC270" s="115"/>
      <c r="DD270" s="115"/>
      <c r="DE270" s="115"/>
      <c r="DF270" s="115"/>
      <c r="DG270" s="115"/>
      <c r="DH270" s="115"/>
      <c r="DI270" s="115"/>
      <c r="DJ270" s="115"/>
      <c r="DK270" s="115"/>
      <c r="DL270" s="115"/>
      <c r="DM270" s="115"/>
      <c r="DN270" s="115"/>
      <c r="DO270" s="115"/>
      <c r="DP270" s="115"/>
      <c r="DQ270" s="115"/>
      <c r="DR270" s="115"/>
      <c r="DS270" s="115"/>
      <c r="DT270" s="115"/>
      <c r="DU270" s="115"/>
      <c r="DV270" s="115"/>
      <c r="DW270" s="115"/>
      <c r="DX270" s="115"/>
      <c r="DY270" s="115"/>
      <c r="DZ270" s="115"/>
      <c r="EA270" s="115"/>
      <c r="EB270" s="115"/>
      <c r="EC270" s="645"/>
      <c r="ED270" s="113" t="s">
        <v>1</v>
      </c>
    </row>
    <row r="271" spans="1:134" s="331" customFormat="1" x14ac:dyDescent="0.2">
      <c r="A271" s="330" t="s">
        <v>132</v>
      </c>
      <c r="B271" s="330"/>
      <c r="C271" s="330"/>
      <c r="D271" s="330"/>
      <c r="E271" s="330"/>
      <c r="F271" s="330"/>
      <c r="G271" s="330"/>
      <c r="H271" s="330"/>
      <c r="I271" s="330"/>
      <c r="J271" s="330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  <c r="AD271" s="132"/>
      <c r="AE271" s="132"/>
      <c r="AF271" s="132"/>
      <c r="AG271" s="132"/>
      <c r="AH271" s="132"/>
      <c r="AI271" s="132">
        <v>118243.13829844439</v>
      </c>
      <c r="AJ271" s="132">
        <v>110985.71287480838</v>
      </c>
      <c r="AK271" s="132">
        <v>194062.90496577768</v>
      </c>
      <c r="AL271" s="132">
        <v>134343.17413734028</v>
      </c>
      <c r="AM271" s="132">
        <v>160148.01533480885</v>
      </c>
      <c r="AN271" s="132">
        <v>164659.6719516865</v>
      </c>
      <c r="AO271" s="132">
        <v>292515.67875624821</v>
      </c>
      <c r="AP271" s="132">
        <v>299606.19433541206</v>
      </c>
      <c r="AQ271" s="132">
        <v>373728.96835255262</v>
      </c>
      <c r="AR271" s="132">
        <v>200270.25577698415</v>
      </c>
      <c r="AS271" s="132">
        <v>684324.01915695402</v>
      </c>
      <c r="AT271" s="132">
        <v>747282.45033422729</v>
      </c>
      <c r="AU271" s="132">
        <v>1159303.3876637763</v>
      </c>
      <c r="AV271" s="132">
        <v>1216568.5877774304</v>
      </c>
      <c r="AW271" s="132">
        <v>995284.52689926047</v>
      </c>
      <c r="AX271" s="132">
        <v>1128624.2083334341</v>
      </c>
      <c r="AY271" s="132">
        <v>1273346.8218668639</v>
      </c>
      <c r="AZ271" s="132">
        <v>2122708.3948717471</v>
      </c>
      <c r="BA271" s="132">
        <v>1946517.4459707725</v>
      </c>
      <c r="BB271" s="132">
        <v>1619744.9202893383</v>
      </c>
      <c r="BC271" s="132">
        <v>2006431.6383877893</v>
      </c>
      <c r="BD271" s="132">
        <v>3664962.4451774592</v>
      </c>
      <c r="BE271" s="132">
        <v>3126047.9578465931</v>
      </c>
      <c r="BF271" s="132">
        <v>2900862.7721313215</v>
      </c>
      <c r="BG271" s="132">
        <v>3290353.4019341422</v>
      </c>
      <c r="BH271" s="132">
        <v>5079032.00386592</v>
      </c>
      <c r="BI271" s="132">
        <v>12880923.788880961</v>
      </c>
      <c r="BJ271" s="132">
        <v>12805633.443141038</v>
      </c>
      <c r="BK271" s="132">
        <v>10943168.526432095</v>
      </c>
      <c r="BL271" s="132">
        <v>11907531.575548051</v>
      </c>
      <c r="BM271" s="132">
        <v>10488339.789743049</v>
      </c>
      <c r="BN271" s="132">
        <v>10994651.32871994</v>
      </c>
      <c r="BO271" s="132">
        <v>11772223.866211524</v>
      </c>
      <c r="BP271" s="132">
        <v>20107040.246410076</v>
      </c>
      <c r="BQ271" s="132">
        <v>11786702.792447269</v>
      </c>
      <c r="BR271" s="132">
        <v>10149850.625315748</v>
      </c>
      <c r="BS271" s="132">
        <v>11306341.52876357</v>
      </c>
      <c r="BT271" s="132">
        <v>11232315.787155248</v>
      </c>
      <c r="BU271" s="132">
        <v>12997162.39157404</v>
      </c>
      <c r="BV271" s="132">
        <v>11432232.901747197</v>
      </c>
      <c r="BW271" s="132">
        <v>13429312.186326377</v>
      </c>
      <c r="BX271" s="132">
        <v>15240229.108804077</v>
      </c>
      <c r="BY271" s="132">
        <v>16114170.745189702</v>
      </c>
      <c r="BZ271" s="132">
        <v>14022331.569350606</v>
      </c>
      <c r="CA271" s="132">
        <v>13746262.962236155</v>
      </c>
      <c r="CB271" s="132">
        <v>15082367.858397357</v>
      </c>
      <c r="CC271" s="132">
        <v>14137362.734426841</v>
      </c>
      <c r="CD271" s="132">
        <v>14155408.826992447</v>
      </c>
      <c r="CE271" s="132">
        <v>15054042.84350035</v>
      </c>
      <c r="CF271" s="132">
        <v>11276306.266790459</v>
      </c>
      <c r="CG271" s="132">
        <v>20837775.747474745</v>
      </c>
      <c r="CH271" s="132">
        <v>19312000.767726883</v>
      </c>
      <c r="CI271" s="132">
        <v>19595218.730950698</v>
      </c>
      <c r="CJ271" s="132">
        <v>21263255.100793973</v>
      </c>
      <c r="CK271" s="132">
        <v>19516269.745977808</v>
      </c>
      <c r="CL271" s="132">
        <v>15892174.303431101</v>
      </c>
      <c r="CM271" s="132">
        <v>19135784.938886411</v>
      </c>
      <c r="CN271" s="132">
        <v>20730624.578885205</v>
      </c>
      <c r="CO271" s="132">
        <v>18848804.375661843</v>
      </c>
      <c r="CP271" s="132">
        <v>22348042.969460003</v>
      </c>
      <c r="CQ271" s="132">
        <v>24981016.869870305</v>
      </c>
      <c r="CR271" s="132">
        <v>21301249.22925378</v>
      </c>
      <c r="CS271" s="132">
        <v>24811155.322419528</v>
      </c>
      <c r="CT271" s="132">
        <f>SUM(CT272:CT277)</f>
        <v>22815966.547965877</v>
      </c>
      <c r="CU271" s="132">
        <f t="shared" ref="CU271:DQ271" si="888">SUM(CU272:CU277)</f>
        <v>23021392.607914124</v>
      </c>
      <c r="CV271" s="132">
        <f t="shared" si="888"/>
        <v>23006806.142118983</v>
      </c>
      <c r="CW271" s="132">
        <f t="shared" si="888"/>
        <v>23314337.462633234</v>
      </c>
      <c r="CX271" s="132">
        <f t="shared" si="888"/>
        <v>22120678.345064089</v>
      </c>
      <c r="CY271" s="132">
        <f t="shared" si="888"/>
        <v>23951279.802354436</v>
      </c>
      <c r="CZ271" s="132">
        <f t="shared" si="888"/>
        <v>23361743.476467438</v>
      </c>
      <c r="DA271" s="132">
        <f t="shared" si="888"/>
        <v>23410365.029117912</v>
      </c>
      <c r="DB271" s="132">
        <f t="shared" si="888"/>
        <v>28137595.485560246</v>
      </c>
      <c r="DC271" s="132">
        <f t="shared" si="888"/>
        <v>30114061.600802012</v>
      </c>
      <c r="DD271" s="132">
        <f t="shared" si="888"/>
        <v>26192733.379541289</v>
      </c>
      <c r="DE271" s="132">
        <f t="shared" si="888"/>
        <v>28091405.010542292</v>
      </c>
      <c r="DF271" s="132">
        <f t="shared" si="888"/>
        <v>26713270.015903153</v>
      </c>
      <c r="DG271" s="132">
        <f t="shared" si="888"/>
        <v>26958361.495067388</v>
      </c>
      <c r="DH271" s="132">
        <f t="shared" si="888"/>
        <v>26940958.549801286</v>
      </c>
      <c r="DI271" s="132">
        <f t="shared" si="888"/>
        <v>27307870.645828217</v>
      </c>
      <c r="DJ271" s="132">
        <f t="shared" si="888"/>
        <v>25883729.624885734</v>
      </c>
      <c r="DK271" s="132">
        <f t="shared" si="888"/>
        <v>28067799.255781233</v>
      </c>
      <c r="DL271" s="132">
        <f t="shared" si="888"/>
        <v>27364430.217943043</v>
      </c>
      <c r="DM271" s="132">
        <f t="shared" si="888"/>
        <v>27422440.035496708</v>
      </c>
      <c r="DN271" s="132">
        <f t="shared" si="888"/>
        <v>33062444.547151811</v>
      </c>
      <c r="DO271" s="132">
        <f t="shared" si="888"/>
        <v>35420543.630708307</v>
      </c>
      <c r="DP271" s="132">
        <f t="shared" si="888"/>
        <v>30742051.845005199</v>
      </c>
      <c r="DQ271" s="132">
        <f t="shared" si="888"/>
        <v>33007335.22047583</v>
      </c>
      <c r="DR271" s="132">
        <f t="shared" ref="DR271:EC271" si="889">SUM(DR272:DR277)</f>
        <v>30842291.848136187</v>
      </c>
      <c r="DS271" s="132">
        <f t="shared" si="889"/>
        <v>31129407.096625764</v>
      </c>
      <c r="DT271" s="132">
        <f t="shared" si="889"/>
        <v>31109020.215076212</v>
      </c>
      <c r="DU271" s="132">
        <f t="shared" si="889"/>
        <v>31538843.634412687</v>
      </c>
      <c r="DV271" s="132">
        <f t="shared" si="889"/>
        <v>29870517.160940673</v>
      </c>
      <c r="DW271" s="132">
        <f t="shared" si="889"/>
        <v>32429070.79540997</v>
      </c>
      <c r="DX271" s="132">
        <f t="shared" si="889"/>
        <v>31605100.999448743</v>
      </c>
      <c r="DY271" s="132">
        <f t="shared" si="889"/>
        <v>31673057.271280594</v>
      </c>
      <c r="DZ271" s="132">
        <f t="shared" si="889"/>
        <v>38280105.800132588</v>
      </c>
      <c r="EA271" s="132">
        <f t="shared" si="889"/>
        <v>41042528.250097446</v>
      </c>
      <c r="EB271" s="132">
        <f t="shared" si="889"/>
        <v>35561854.926858433</v>
      </c>
      <c r="EC271" s="132">
        <f t="shared" si="889"/>
        <v>38215547.341892332</v>
      </c>
      <c r="ED271" s="113" t="s">
        <v>1</v>
      </c>
    </row>
    <row r="272" spans="1:134" x14ac:dyDescent="0.2">
      <c r="A272" s="698" t="s">
        <v>146</v>
      </c>
      <c r="B272" s="115"/>
      <c r="C272" s="115"/>
      <c r="D272" s="115"/>
      <c r="E272" s="115"/>
      <c r="F272" s="115"/>
      <c r="G272" s="115"/>
      <c r="H272" s="115"/>
      <c r="I272" s="115"/>
      <c r="J272" s="115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>
        <v>6877.536300463029</v>
      </c>
      <c r="AJ272" s="129">
        <v>10367.020746039856</v>
      </c>
      <c r="AK272" s="129">
        <v>35359.240028321925</v>
      </c>
      <c r="AL272" s="129">
        <v>18531.329869400364</v>
      </c>
      <c r="AM272" s="129">
        <v>24161.62323943662</v>
      </c>
      <c r="AN272" s="129">
        <v>15021.828073993471</v>
      </c>
      <c r="AO272" s="129">
        <v>43996.078605037364</v>
      </c>
      <c r="AP272" s="129">
        <v>50997.80775993436</v>
      </c>
      <c r="AQ272" s="129">
        <v>20490.569900070655</v>
      </c>
      <c r="AR272" s="129">
        <v>12842.60140925538</v>
      </c>
      <c r="AS272" s="129">
        <v>45886.95411808951</v>
      </c>
      <c r="AT272" s="129">
        <v>68585.752749670035</v>
      </c>
      <c r="AU272" s="129">
        <v>106606.75152346131</v>
      </c>
      <c r="AV272" s="129">
        <v>123717.49594862253</v>
      </c>
      <c r="AW272" s="129">
        <v>92061.556758847422</v>
      </c>
      <c r="AX272" s="129">
        <v>103794.30874387413</v>
      </c>
      <c r="AY272" s="129">
        <v>114709.68608445297</v>
      </c>
      <c r="AZ272" s="129">
        <v>243834.80433467735</v>
      </c>
      <c r="BA272" s="129">
        <v>249837.58457975491</v>
      </c>
      <c r="BB272" s="129">
        <v>283244.53390893398</v>
      </c>
      <c r="BC272" s="129">
        <v>494751.14570121909</v>
      </c>
      <c r="BD272" s="129">
        <v>709160.19219373073</v>
      </c>
      <c r="BE272" s="129">
        <v>522445.28905559873</v>
      </c>
      <c r="BF272" s="129">
        <v>444933.53738721705</v>
      </c>
      <c r="BG272" s="129">
        <v>485957.01947376999</v>
      </c>
      <c r="BH272" s="129">
        <v>720062.88516990189</v>
      </c>
      <c r="BI272" s="129">
        <v>1054614.8269059903</v>
      </c>
      <c r="BJ272" s="129">
        <v>1825341.2224048995</v>
      </c>
      <c r="BK272" s="129">
        <v>1655918.4403285661</v>
      </c>
      <c r="BL272" s="129">
        <v>1735162.678108427</v>
      </c>
      <c r="BM272" s="129">
        <v>1746582.0993620085</v>
      </c>
      <c r="BN272" s="129">
        <v>1910225.2424238836</v>
      </c>
      <c r="BO272" s="129">
        <v>1680564.1363698312</v>
      </c>
      <c r="BP272" s="129">
        <v>3368447.4083562708</v>
      </c>
      <c r="BQ272" s="129">
        <v>2136834.5699640652</v>
      </c>
      <c r="BR272" s="129">
        <v>1907060.0555025488</v>
      </c>
      <c r="BS272" s="129">
        <v>1918035.4809334851</v>
      </c>
      <c r="BT272" s="129">
        <v>2020858.7483175711</v>
      </c>
      <c r="BU272" s="129">
        <v>1788324.5411494258</v>
      </c>
      <c r="BV272" s="129">
        <v>2112347.2070577294</v>
      </c>
      <c r="BW272" s="129">
        <v>2194133.7060836935</v>
      </c>
      <c r="BX272" s="129">
        <v>2515522.4369108258</v>
      </c>
      <c r="BY272" s="129">
        <v>1371672.3931330834</v>
      </c>
      <c r="BZ272" s="129">
        <v>1962014.4441771014</v>
      </c>
      <c r="CA272" s="129">
        <v>1645144.6396038206</v>
      </c>
      <c r="CB272" s="129">
        <v>1720688.7908807821</v>
      </c>
      <c r="CC272" s="129">
        <v>1951513.2101994203</v>
      </c>
      <c r="CD272" s="129">
        <v>2121527.5197386928</v>
      </c>
      <c r="CE272" s="129">
        <v>2612937.2600349197</v>
      </c>
      <c r="CF272" s="129">
        <v>2306545.2819699398</v>
      </c>
      <c r="CG272" s="129">
        <v>3382846.3507916653</v>
      </c>
      <c r="CH272" s="129">
        <v>3083564.5172532042</v>
      </c>
      <c r="CI272" s="129">
        <v>3126545.8672532043</v>
      </c>
      <c r="CJ272" s="129">
        <v>3335626.163881409</v>
      </c>
      <c r="CK272" s="129">
        <v>3847558.8363237176</v>
      </c>
      <c r="CL272" s="129">
        <v>3344173.7470737179</v>
      </c>
      <c r="CM272" s="129">
        <v>2715453.9669679478</v>
      </c>
      <c r="CN272" s="129">
        <v>3870918.0766054597</v>
      </c>
      <c r="CO272" s="129">
        <v>3653050.8356182799</v>
      </c>
      <c r="CP272" s="129">
        <v>3988488.5673631104</v>
      </c>
      <c r="CQ272" s="129">
        <v>5757290.3616185896</v>
      </c>
      <c r="CR272" s="129">
        <v>4221531.0238044867</v>
      </c>
      <c r="CS272" s="129">
        <v>4270600.0401987173</v>
      </c>
      <c r="CT272" s="129">
        <f t="shared" ref="CT272:DQ272" si="890">CT204*CT282</f>
        <v>4249472.8187782718</v>
      </c>
      <c r="CU272" s="129">
        <f t="shared" si="890"/>
        <v>4292722.4969699923</v>
      </c>
      <c r="CV272" s="129">
        <f t="shared" si="890"/>
        <v>4289651.5139031243</v>
      </c>
      <c r="CW272" s="129">
        <f t="shared" si="890"/>
        <v>4354398.0735629201</v>
      </c>
      <c r="CX272" s="129">
        <f t="shared" si="890"/>
        <v>4103089.2925909073</v>
      </c>
      <c r="CY272" s="129">
        <f t="shared" si="890"/>
        <v>4488497.667482812</v>
      </c>
      <c r="CZ272" s="129">
        <f t="shared" si="890"/>
        <v>4364378.7685302394</v>
      </c>
      <c r="DA272" s="129">
        <f t="shared" si="890"/>
        <v>4374615.3787531322</v>
      </c>
      <c r="DB272" s="129">
        <f t="shared" si="890"/>
        <v>5369869.8076738613</v>
      </c>
      <c r="DC272" s="129">
        <f t="shared" si="890"/>
        <v>5785988.013234443</v>
      </c>
      <c r="DD272" s="129">
        <f t="shared" si="890"/>
        <v>4960405.398758159</v>
      </c>
      <c r="DE272" s="129">
        <f t="shared" si="890"/>
        <v>5360145.0279621119</v>
      </c>
      <c r="DF272" s="129">
        <f t="shared" si="890"/>
        <v>5131238.4286747621</v>
      </c>
      <c r="DG272" s="129">
        <f t="shared" si="890"/>
        <v>5183462.415091265</v>
      </c>
      <c r="DH272" s="129">
        <f t="shared" si="890"/>
        <v>5179754.2030380219</v>
      </c>
      <c r="DI272" s="129">
        <f t="shared" si="890"/>
        <v>5257935.6738272253</v>
      </c>
      <c r="DJ272" s="129">
        <f t="shared" si="890"/>
        <v>4954480.3208035203</v>
      </c>
      <c r="DK272" s="129">
        <f t="shared" si="890"/>
        <v>5419860.9334854949</v>
      </c>
      <c r="DL272" s="129">
        <f t="shared" si="890"/>
        <v>5269987.3630002644</v>
      </c>
      <c r="DM272" s="129">
        <f t="shared" si="890"/>
        <v>5282348.069844407</v>
      </c>
      <c r="DN272" s="129">
        <f t="shared" si="890"/>
        <v>6484117.7927661855</v>
      </c>
      <c r="DO272" s="129">
        <f t="shared" si="890"/>
        <v>6986580.525980589</v>
      </c>
      <c r="DP272" s="129">
        <f t="shared" si="890"/>
        <v>5989689.5190004762</v>
      </c>
      <c r="DQ272" s="129">
        <f t="shared" si="890"/>
        <v>6472375.1212642509</v>
      </c>
      <c r="DR272" s="129">
        <f t="shared" ref="DR272:EC272" si="891">DR204*DR282</f>
        <v>5900924.1929759765</v>
      </c>
      <c r="DS272" s="129">
        <f t="shared" si="891"/>
        <v>5960981.7773549538</v>
      </c>
      <c r="DT272" s="129">
        <f t="shared" si="891"/>
        <v>5956717.3334937263</v>
      </c>
      <c r="DU272" s="129">
        <f t="shared" si="891"/>
        <v>6046626.0249013091</v>
      </c>
      <c r="DV272" s="129">
        <f t="shared" si="891"/>
        <v>5697652.3689240469</v>
      </c>
      <c r="DW272" s="129">
        <f t="shared" si="891"/>
        <v>6232840.0735083185</v>
      </c>
      <c r="DX272" s="129">
        <f t="shared" si="891"/>
        <v>6060485.467450303</v>
      </c>
      <c r="DY272" s="129">
        <f t="shared" si="891"/>
        <v>6074700.2803210672</v>
      </c>
      <c r="DZ272" s="129">
        <f t="shared" si="891"/>
        <v>7456735.4616811136</v>
      </c>
      <c r="EA272" s="129">
        <f t="shared" si="891"/>
        <v>8034567.6048776768</v>
      </c>
      <c r="EB272" s="129">
        <f t="shared" si="891"/>
        <v>6888142.9468505457</v>
      </c>
      <c r="EC272" s="129">
        <f t="shared" si="891"/>
        <v>7443231.389453887</v>
      </c>
      <c r="ED272" s="113" t="s">
        <v>1</v>
      </c>
    </row>
    <row r="273" spans="1:134" x14ac:dyDescent="0.2">
      <c r="A273" s="698" t="s">
        <v>34</v>
      </c>
      <c r="B273" s="115"/>
      <c r="C273" s="115"/>
      <c r="D273" s="115"/>
      <c r="E273" s="115"/>
      <c r="F273" s="115"/>
      <c r="G273" s="115"/>
      <c r="H273" s="115"/>
      <c r="I273" s="115"/>
      <c r="J273" s="115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>
        <v>10330.065997981359</v>
      </c>
      <c r="AJ273" s="129">
        <v>14690.964128768523</v>
      </c>
      <c r="AK273" s="129">
        <v>31373.344937455746</v>
      </c>
      <c r="AL273" s="129">
        <v>28731.852267939899</v>
      </c>
      <c r="AM273" s="129">
        <v>49561.940895372238</v>
      </c>
      <c r="AN273" s="129">
        <v>29940.919477693144</v>
      </c>
      <c r="AO273" s="129">
        <v>26467.408151210868</v>
      </c>
      <c r="AP273" s="129">
        <v>34269.466575477731</v>
      </c>
      <c r="AQ273" s="129">
        <v>42190.528452481958</v>
      </c>
      <c r="AR273" s="129">
        <v>26018.26366772877</v>
      </c>
      <c r="AS273" s="129">
        <v>81940.922338864431</v>
      </c>
      <c r="AT273" s="129">
        <v>70657.231584557245</v>
      </c>
      <c r="AU273" s="129">
        <v>76207.620560314885</v>
      </c>
      <c r="AV273" s="129">
        <v>88639.197828807795</v>
      </c>
      <c r="AW273" s="129">
        <v>71539.370940412307</v>
      </c>
      <c r="AX273" s="129">
        <v>197395.24586956025</v>
      </c>
      <c r="AY273" s="129">
        <v>182415.14066241105</v>
      </c>
      <c r="AZ273" s="129">
        <v>293323.01033706981</v>
      </c>
      <c r="BA273" s="129">
        <v>330454.80531100667</v>
      </c>
      <c r="BB273" s="129">
        <v>278197.0824204018</v>
      </c>
      <c r="BC273" s="129">
        <v>264136.22498656739</v>
      </c>
      <c r="BD273" s="129">
        <v>382239.04532372399</v>
      </c>
      <c r="BE273" s="129">
        <v>273559.96643099427</v>
      </c>
      <c r="BF273" s="129">
        <v>245375.74006409827</v>
      </c>
      <c r="BG273" s="129">
        <v>265597.56886036461</v>
      </c>
      <c r="BH273" s="129">
        <v>470955.85449601297</v>
      </c>
      <c r="BI273" s="129">
        <v>672336.85697495309</v>
      </c>
      <c r="BJ273" s="129">
        <v>977150.49734211271</v>
      </c>
      <c r="BK273" s="129">
        <v>954604.08610352897</v>
      </c>
      <c r="BL273" s="129">
        <v>1462770.8974396235</v>
      </c>
      <c r="BM273" s="129">
        <v>1148179.690381041</v>
      </c>
      <c r="BN273" s="129">
        <v>1294752.0862960569</v>
      </c>
      <c r="BO273" s="129">
        <v>1240103.7298416926</v>
      </c>
      <c r="BP273" s="129">
        <v>1845674.5955348462</v>
      </c>
      <c r="BQ273" s="129">
        <v>1440850.6745064985</v>
      </c>
      <c r="BR273" s="129">
        <v>1492724.1285297479</v>
      </c>
      <c r="BS273" s="129">
        <v>1373622.8925437406</v>
      </c>
      <c r="BT273" s="129">
        <v>1233653</v>
      </c>
      <c r="BU273" s="129">
        <v>1733236.1251766894</v>
      </c>
      <c r="BV273" s="129">
        <v>1424867.7919139466</v>
      </c>
      <c r="BW273" s="129">
        <v>1824379.9461413026</v>
      </c>
      <c r="BX273" s="129">
        <v>1410649.626269911</v>
      </c>
      <c r="BY273" s="129">
        <v>1838361.6857151566</v>
      </c>
      <c r="BZ273" s="129">
        <v>1839591.0081062941</v>
      </c>
      <c r="CA273" s="129">
        <v>2027415.3273169363</v>
      </c>
      <c r="CB273" s="129">
        <v>1901122.1407438717</v>
      </c>
      <c r="CC273" s="129">
        <v>1591557.8169075474</v>
      </c>
      <c r="CD273" s="129">
        <v>1624198.4988187943</v>
      </c>
      <c r="CE273" s="129">
        <v>1719783.5419637957</v>
      </c>
      <c r="CF273" s="129">
        <v>1729237.0304288592</v>
      </c>
      <c r="CG273" s="129">
        <v>2157348.3666513986</v>
      </c>
      <c r="CH273" s="129">
        <v>2136153.5133848335</v>
      </c>
      <c r="CI273" s="129">
        <v>2108630.2213413161</v>
      </c>
      <c r="CJ273" s="129">
        <v>2368478.496530558</v>
      </c>
      <c r="CK273" s="129">
        <v>2348848.5305251805</v>
      </c>
      <c r="CL273" s="129">
        <v>2267113.2677776362</v>
      </c>
      <c r="CM273" s="129">
        <v>2945112.8895535818</v>
      </c>
      <c r="CN273" s="129">
        <v>2722173.913944819</v>
      </c>
      <c r="CO273" s="129">
        <v>2659080.3978544781</v>
      </c>
      <c r="CP273" s="129">
        <v>2744300.1122413995</v>
      </c>
      <c r="CQ273" s="129">
        <v>2839753.1052747592</v>
      </c>
      <c r="CR273" s="129">
        <v>2696799.7632719995</v>
      </c>
      <c r="CS273" s="129">
        <v>2631944.5039378535</v>
      </c>
      <c r="CT273" s="129">
        <f>CS273*(1+CT286)</f>
        <v>2631944.5039378535</v>
      </c>
      <c r="CU273" s="129">
        <f t="shared" ref="CU273:DQ273" si="892">CT273*(1+CU286)</f>
        <v>2631944.5039378535</v>
      </c>
      <c r="CV273" s="129">
        <f t="shared" si="892"/>
        <v>2631944.5039378535</v>
      </c>
      <c r="CW273" s="129">
        <f t="shared" si="892"/>
        <v>2631944.5039378535</v>
      </c>
      <c r="CX273" s="129">
        <f t="shared" si="892"/>
        <v>2631944.5039378535</v>
      </c>
      <c r="CY273" s="129">
        <f t="shared" si="892"/>
        <v>2631944.5039378535</v>
      </c>
      <c r="CZ273" s="129">
        <f t="shared" si="892"/>
        <v>2631944.5039378535</v>
      </c>
      <c r="DA273" s="129">
        <f t="shared" si="892"/>
        <v>2631944.5039378535</v>
      </c>
      <c r="DB273" s="129">
        <f t="shared" si="892"/>
        <v>2631944.5039378535</v>
      </c>
      <c r="DC273" s="129">
        <f t="shared" si="892"/>
        <v>2631944.5039378535</v>
      </c>
      <c r="DD273" s="129">
        <f t="shared" si="892"/>
        <v>2631944.5039378535</v>
      </c>
      <c r="DE273" s="129">
        <f t="shared" si="892"/>
        <v>2631944.5039378535</v>
      </c>
      <c r="DF273" s="129">
        <f t="shared" si="892"/>
        <v>2631944.5039378535</v>
      </c>
      <c r="DG273" s="129">
        <f t="shared" si="892"/>
        <v>2631944.5039378535</v>
      </c>
      <c r="DH273" s="129">
        <f t="shared" si="892"/>
        <v>2631944.5039378535</v>
      </c>
      <c r="DI273" s="129">
        <f t="shared" si="892"/>
        <v>2631944.5039378535</v>
      </c>
      <c r="DJ273" s="129">
        <f t="shared" si="892"/>
        <v>2631944.5039378535</v>
      </c>
      <c r="DK273" s="129">
        <f t="shared" si="892"/>
        <v>2631944.5039378535</v>
      </c>
      <c r="DL273" s="129">
        <f t="shared" si="892"/>
        <v>2631944.5039378535</v>
      </c>
      <c r="DM273" s="129">
        <f t="shared" si="892"/>
        <v>2631944.5039378535</v>
      </c>
      <c r="DN273" s="129">
        <f t="shared" si="892"/>
        <v>2631944.5039378535</v>
      </c>
      <c r="DO273" s="129">
        <f t="shared" si="892"/>
        <v>2631944.5039378535</v>
      </c>
      <c r="DP273" s="129">
        <f t="shared" si="892"/>
        <v>2631944.5039378535</v>
      </c>
      <c r="DQ273" s="129">
        <f t="shared" si="892"/>
        <v>2631944.5039378535</v>
      </c>
      <c r="DR273" s="129">
        <f t="shared" ref="DR273" si="893">DQ273*(1+DR286)</f>
        <v>2631944.5039378535</v>
      </c>
      <c r="DS273" s="129">
        <f t="shared" ref="DS273" si="894">DR273*(1+DS286)</f>
        <v>2631944.5039378535</v>
      </c>
      <c r="DT273" s="129">
        <f t="shared" ref="DT273" si="895">DS273*(1+DT286)</f>
        <v>2631944.5039378535</v>
      </c>
      <c r="DU273" s="129">
        <f t="shared" ref="DU273" si="896">DT273*(1+DU286)</f>
        <v>2631944.5039378535</v>
      </c>
      <c r="DV273" s="129">
        <f t="shared" ref="DV273" si="897">DU273*(1+DV286)</f>
        <v>2631944.5039378535</v>
      </c>
      <c r="DW273" s="129">
        <f t="shared" ref="DW273" si="898">DV273*(1+DW286)</f>
        <v>2631944.5039378535</v>
      </c>
      <c r="DX273" s="129">
        <f t="shared" ref="DX273" si="899">DW273*(1+DX286)</f>
        <v>2631944.5039378535</v>
      </c>
      <c r="DY273" s="129">
        <f t="shared" ref="DY273" si="900">DX273*(1+DY286)</f>
        <v>2631944.5039378535</v>
      </c>
      <c r="DZ273" s="129">
        <f t="shared" ref="DZ273" si="901">DY273*(1+DZ286)</f>
        <v>2631944.5039378535</v>
      </c>
      <c r="EA273" s="129">
        <f t="shared" ref="EA273" si="902">DZ273*(1+EA286)</f>
        <v>2631944.5039378535</v>
      </c>
      <c r="EB273" s="129">
        <f t="shared" ref="EB273" si="903">EA273*(1+EB286)</f>
        <v>2631944.5039378535</v>
      </c>
      <c r="EC273" s="129">
        <f t="shared" ref="EC273" si="904">EB273*(1+EC286)</f>
        <v>2631944.5039378535</v>
      </c>
      <c r="ED273" s="113" t="s">
        <v>1</v>
      </c>
    </row>
    <row r="274" spans="1:134" x14ac:dyDescent="0.2">
      <c r="A274" s="698" t="s">
        <v>147</v>
      </c>
      <c r="B274" s="115"/>
      <c r="C274" s="115"/>
      <c r="D274" s="115"/>
      <c r="E274" s="115"/>
      <c r="F274" s="115"/>
      <c r="G274" s="115"/>
      <c r="H274" s="115"/>
      <c r="I274" s="115"/>
      <c r="J274" s="115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9">
        <v>0</v>
      </c>
      <c r="AJ274" s="129">
        <v>0</v>
      </c>
      <c r="AK274" s="129">
        <v>0</v>
      </c>
      <c r="AL274" s="129">
        <v>0</v>
      </c>
      <c r="AM274" s="129">
        <v>0</v>
      </c>
      <c r="AN274" s="129">
        <v>0</v>
      </c>
      <c r="AO274" s="129">
        <v>89200</v>
      </c>
      <c r="AP274" s="129">
        <v>83750</v>
      </c>
      <c r="AQ274" s="129">
        <v>134521</v>
      </c>
      <c r="AR274" s="129">
        <v>75672</v>
      </c>
      <c r="AS274" s="129">
        <v>205950</v>
      </c>
      <c r="AT274" s="129">
        <v>224983</v>
      </c>
      <c r="AU274" s="129">
        <v>378547</v>
      </c>
      <c r="AV274" s="129">
        <v>356216</v>
      </c>
      <c r="AW274" s="129">
        <v>336128.17000000068</v>
      </c>
      <c r="AX274" s="129">
        <v>339351</v>
      </c>
      <c r="AY274" s="129">
        <v>358223</v>
      </c>
      <c r="AZ274" s="129">
        <v>564761</v>
      </c>
      <c r="BA274" s="129">
        <v>517700</v>
      </c>
      <c r="BB274" s="129">
        <v>462000</v>
      </c>
      <c r="BC274" s="129">
        <v>611575</v>
      </c>
      <c r="BD274" s="129">
        <v>1303500</v>
      </c>
      <c r="BE274" s="129">
        <v>1346484</v>
      </c>
      <c r="BF274" s="129">
        <v>1289000</v>
      </c>
      <c r="BG274" s="129">
        <v>1597400</v>
      </c>
      <c r="BH274" s="129">
        <v>781899</v>
      </c>
      <c r="BI274" s="129">
        <v>2312142.3448275859</v>
      </c>
      <c r="BJ274" s="129">
        <v>2228010</v>
      </c>
      <c r="BK274" s="129">
        <v>2228879</v>
      </c>
      <c r="BL274" s="129">
        <v>1789026</v>
      </c>
      <c r="BM274" s="129">
        <v>1708098</v>
      </c>
      <c r="BN274" s="129">
        <v>2239853</v>
      </c>
      <c r="BO274" s="129">
        <v>2444371</v>
      </c>
      <c r="BP274" s="129">
        <v>3435837</v>
      </c>
      <c r="BQ274" s="129">
        <v>2400956</v>
      </c>
      <c r="BR274" s="129">
        <v>2503811</v>
      </c>
      <c r="BS274" s="129">
        <v>2164443</v>
      </c>
      <c r="BT274" s="129">
        <v>1956449</v>
      </c>
      <c r="BU274" s="129">
        <v>2285397</v>
      </c>
      <c r="BV274" s="129">
        <v>2414256</v>
      </c>
      <c r="BW274" s="129">
        <v>2414228</v>
      </c>
      <c r="BX274" s="129">
        <v>2118993</v>
      </c>
      <c r="BY274" s="129">
        <v>1785874</v>
      </c>
      <c r="BZ274" s="129">
        <v>1899294.88</v>
      </c>
      <c r="CA274" s="129">
        <v>1945712.88</v>
      </c>
      <c r="CB274" s="129">
        <v>1874014.5211863993</v>
      </c>
      <c r="CC274" s="129">
        <v>1782123.1749999998</v>
      </c>
      <c r="CD274" s="129">
        <v>2198813</v>
      </c>
      <c r="CE274" s="129">
        <v>3353078.0069491006</v>
      </c>
      <c r="CF274" s="129">
        <v>2106379</v>
      </c>
      <c r="CG274" s="129">
        <v>2554944</v>
      </c>
      <c r="CH274" s="129">
        <v>2911400</v>
      </c>
      <c r="CI274" s="129">
        <v>2741548</v>
      </c>
      <c r="CJ274" s="129">
        <v>2560353</v>
      </c>
      <c r="CK274" s="129">
        <v>2541604</v>
      </c>
      <c r="CL274" s="129">
        <v>2544354</v>
      </c>
      <c r="CM274" s="129">
        <v>2128897</v>
      </c>
      <c r="CN274" s="129">
        <v>2784130</v>
      </c>
      <c r="CO274" s="129">
        <v>2530995</v>
      </c>
      <c r="CP274" s="129">
        <v>3446659</v>
      </c>
      <c r="CQ274" s="129">
        <v>3885350</v>
      </c>
      <c r="CR274" s="129">
        <v>3219142</v>
      </c>
      <c r="CS274" s="129">
        <v>3605094</v>
      </c>
      <c r="CT274" s="129">
        <f t="shared" ref="CT274:DQ274" si="905">CT288*CT204</f>
        <v>3287544.6079222676</v>
      </c>
      <c r="CU274" s="129">
        <f t="shared" si="905"/>
        <v>3321004.1104057883</v>
      </c>
      <c r="CV274" s="129">
        <f t="shared" si="905"/>
        <v>3318628.2877442366</v>
      </c>
      <c r="CW274" s="129">
        <f t="shared" si="905"/>
        <v>3368718.5488586198</v>
      </c>
      <c r="CX274" s="129">
        <f t="shared" si="905"/>
        <v>3174297.0610549659</v>
      </c>
      <c r="CY274" s="129">
        <f t="shared" si="905"/>
        <v>3472462.8050797139</v>
      </c>
      <c r="CZ274" s="129">
        <f t="shared" si="905"/>
        <v>3376439.9725086628</v>
      </c>
      <c r="DA274" s="129">
        <f t="shared" si="905"/>
        <v>3384359.3813805021</v>
      </c>
      <c r="DB274" s="129">
        <f t="shared" si="905"/>
        <v>4154323.9089450729</v>
      </c>
      <c r="DC274" s="129">
        <f t="shared" si="905"/>
        <v>4476247.8795853378</v>
      </c>
      <c r="DD274" s="129">
        <f t="shared" si="905"/>
        <v>3837547.5540715032</v>
      </c>
      <c r="DE274" s="129">
        <f t="shared" si="905"/>
        <v>4146800.4705168251</v>
      </c>
      <c r="DF274" s="129">
        <f t="shared" si="905"/>
        <v>3969710.1140661379</v>
      </c>
      <c r="DG274" s="129">
        <f t="shared" si="905"/>
        <v>4010112.4633149891</v>
      </c>
      <c r="DH274" s="129">
        <f t="shared" si="905"/>
        <v>4007243.6574511654</v>
      </c>
      <c r="DI274" s="129">
        <f t="shared" si="905"/>
        <v>4067727.6477467832</v>
      </c>
      <c r="DJ274" s="129">
        <f t="shared" si="905"/>
        <v>3832963.7012238712</v>
      </c>
      <c r="DK274" s="129">
        <f t="shared" si="905"/>
        <v>4192998.837133754</v>
      </c>
      <c r="DL274" s="129">
        <f t="shared" si="905"/>
        <v>4077051.2668042104</v>
      </c>
      <c r="DM274" s="129">
        <f t="shared" si="905"/>
        <v>4086613.9530169563</v>
      </c>
      <c r="DN274" s="129">
        <f t="shared" si="905"/>
        <v>5016346.1200511744</v>
      </c>
      <c r="DO274" s="129">
        <f t="shared" si="905"/>
        <v>5405069.3145992951</v>
      </c>
      <c r="DP274" s="129">
        <f t="shared" si="905"/>
        <v>4633838.6715413397</v>
      </c>
      <c r="DQ274" s="129">
        <f t="shared" si="905"/>
        <v>5007261.5681490665</v>
      </c>
      <c r="DR274" s="129">
        <f t="shared" ref="DR274:EC274" si="906">DR288*DR204</f>
        <v>4565166.6311760582</v>
      </c>
      <c r="DS274" s="129">
        <f t="shared" si="906"/>
        <v>4611629.3328122366</v>
      </c>
      <c r="DT274" s="129">
        <f t="shared" si="906"/>
        <v>4608330.2060688408</v>
      </c>
      <c r="DU274" s="129">
        <f t="shared" si="906"/>
        <v>4677886.7949088011</v>
      </c>
      <c r="DV274" s="129">
        <f t="shared" si="906"/>
        <v>4407908.2564074509</v>
      </c>
      <c r="DW274" s="129">
        <f t="shared" si="906"/>
        <v>4821948.6627038168</v>
      </c>
      <c r="DX274" s="129">
        <f t="shared" si="906"/>
        <v>4688608.956824841</v>
      </c>
      <c r="DY274" s="129">
        <f t="shared" si="906"/>
        <v>4699606.0459694983</v>
      </c>
      <c r="DZ274" s="129">
        <f t="shared" si="906"/>
        <v>5768798.0380588509</v>
      </c>
      <c r="EA274" s="129">
        <f t="shared" si="906"/>
        <v>6215829.7117891898</v>
      </c>
      <c r="EB274" s="129">
        <f t="shared" si="906"/>
        <v>5328914.4722725395</v>
      </c>
      <c r="EC274" s="129">
        <f t="shared" si="906"/>
        <v>5758350.8033714257</v>
      </c>
      <c r="ED274" s="113" t="s">
        <v>1</v>
      </c>
    </row>
    <row r="275" spans="1:134" x14ac:dyDescent="0.2">
      <c r="A275" s="698" t="s">
        <v>148</v>
      </c>
      <c r="B275" s="115"/>
      <c r="C275" s="115"/>
      <c r="D275" s="115"/>
      <c r="E275" s="115"/>
      <c r="F275" s="115"/>
      <c r="G275" s="115"/>
      <c r="H275" s="115"/>
      <c r="I275" s="115"/>
      <c r="J275" s="115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29"/>
      <c r="AM275" s="129"/>
      <c r="AN275" s="129"/>
      <c r="AO275" s="129"/>
      <c r="AP275" s="129"/>
      <c r="AQ275" s="129"/>
      <c r="AR275" s="129"/>
      <c r="AS275" s="129"/>
      <c r="AT275" s="129"/>
      <c r="AU275" s="129"/>
      <c r="AV275" s="129"/>
      <c r="AW275" s="129"/>
      <c r="AX275" s="129"/>
      <c r="AY275" s="129"/>
      <c r="AZ275" s="129"/>
      <c r="BA275" s="129"/>
      <c r="BB275" s="129"/>
      <c r="BC275" s="129"/>
      <c r="BD275" s="129">
        <v>0</v>
      </c>
      <c r="BE275" s="129">
        <v>0</v>
      </c>
      <c r="BF275" s="129">
        <v>0</v>
      </c>
      <c r="BG275" s="129">
        <v>0</v>
      </c>
      <c r="BH275" s="129">
        <v>1751049</v>
      </c>
      <c r="BI275" s="129">
        <v>6345057.6551724141</v>
      </c>
      <c r="BJ275" s="129">
        <v>6169164</v>
      </c>
      <c r="BK275" s="129">
        <v>4057001</v>
      </c>
      <c r="BL275" s="129">
        <v>4873806</v>
      </c>
      <c r="BM275" s="129">
        <v>4338714</v>
      </c>
      <c r="BN275" s="129">
        <v>3903055</v>
      </c>
      <c r="BO275" s="129">
        <v>5060419</v>
      </c>
      <c r="BP275" s="129">
        <v>8551741</v>
      </c>
      <c r="BQ275" s="129">
        <v>3636347</v>
      </c>
      <c r="BR275" s="129">
        <v>1846395</v>
      </c>
      <c r="BS275" s="129">
        <v>1907101</v>
      </c>
      <c r="BT275" s="129">
        <v>1799714</v>
      </c>
      <c r="BU275" s="129">
        <v>2371784</v>
      </c>
      <c r="BV275" s="129">
        <v>2032100</v>
      </c>
      <c r="BW275" s="129">
        <v>3534065</v>
      </c>
      <c r="BX275" s="129">
        <v>6214618</v>
      </c>
      <c r="BY275" s="129">
        <v>7323086</v>
      </c>
      <c r="BZ275" s="129">
        <v>5400553</v>
      </c>
      <c r="CA275" s="129">
        <v>5067215.6101695001</v>
      </c>
      <c r="CB275" s="129">
        <v>5790256.1988136005</v>
      </c>
      <c r="CC275" s="129">
        <v>6441011</v>
      </c>
      <c r="CD275" s="129">
        <v>5843336</v>
      </c>
      <c r="CE275" s="129">
        <v>4707460</v>
      </c>
      <c r="CF275" s="129">
        <v>2854584</v>
      </c>
      <c r="CG275" s="129">
        <v>8466927</v>
      </c>
      <c r="CH275" s="129">
        <v>6924316</v>
      </c>
      <c r="CI275" s="129">
        <v>7435223</v>
      </c>
      <c r="CJ275" s="129">
        <v>8173857</v>
      </c>
      <c r="CK275" s="129">
        <v>5786793</v>
      </c>
      <c r="CL275" s="129">
        <v>4334258</v>
      </c>
      <c r="CM275" s="129">
        <v>5942944.2282299995</v>
      </c>
      <c r="CN275" s="129">
        <v>5139227.4479999989</v>
      </c>
      <c r="CO275" s="129">
        <v>5396341.0106000006</v>
      </c>
      <c r="CP275" s="129">
        <v>6289048.8649999993</v>
      </c>
      <c r="CQ275" s="129">
        <v>7773952.3206400005</v>
      </c>
      <c r="CR275" s="129">
        <v>6774355.4477599999</v>
      </c>
      <c r="CS275" s="129">
        <v>7702395.1414499991</v>
      </c>
      <c r="CT275" s="129">
        <f>SUM(CH275:CS275)/SUM($CH$219:$CS$219)*$CT$219</f>
        <v>7162278.6117616305</v>
      </c>
      <c r="CU275" s="129">
        <f t="shared" ref="CU275:DQ275" si="907">CT275/CT219*CU219</f>
        <v>7235173.8291893741</v>
      </c>
      <c r="CV275" s="129">
        <f t="shared" si="907"/>
        <v>7229997.8374193581</v>
      </c>
      <c r="CW275" s="129">
        <f t="shared" si="907"/>
        <v>7339124.997237226</v>
      </c>
      <c r="CX275" s="129">
        <f t="shared" si="907"/>
        <v>6915556.3373907981</v>
      </c>
      <c r="CY275" s="129">
        <f t="shared" si="907"/>
        <v>7565143.3045279849</v>
      </c>
      <c r="CZ275" s="129">
        <f t="shared" si="907"/>
        <v>7355946.9704897823</v>
      </c>
      <c r="DA275" s="129">
        <f t="shared" si="907"/>
        <v>7373200.2763898391</v>
      </c>
      <c r="DB275" s="129">
        <f t="shared" si="907"/>
        <v>9050652.9425229896</v>
      </c>
      <c r="DC275" s="129">
        <f t="shared" si="907"/>
        <v>9751999.8273603525</v>
      </c>
      <c r="DD275" s="129">
        <f t="shared" si="907"/>
        <v>8360520.7065206654</v>
      </c>
      <c r="DE275" s="129">
        <f t="shared" si="907"/>
        <v>9034262.3019179348</v>
      </c>
      <c r="DF275" s="129">
        <f t="shared" si="907"/>
        <v>8483719.0156316515</v>
      </c>
      <c r="DG275" s="129">
        <f t="shared" si="907"/>
        <v>8570063.4006748144</v>
      </c>
      <c r="DH275" s="129">
        <f t="shared" si="907"/>
        <v>8563932.4384232294</v>
      </c>
      <c r="DI275" s="129">
        <f t="shared" si="907"/>
        <v>8693193.5592274927</v>
      </c>
      <c r="DJ275" s="129">
        <f t="shared" si="907"/>
        <v>8191476.4816393992</v>
      </c>
      <c r="DK275" s="129">
        <f t="shared" si="907"/>
        <v>8960912.2442133985</v>
      </c>
      <c r="DL275" s="129">
        <f t="shared" si="907"/>
        <v>8713119.1865451466</v>
      </c>
      <c r="DM275" s="129">
        <f t="shared" si="907"/>
        <v>8733555.7273837663</v>
      </c>
      <c r="DN275" s="129">
        <f t="shared" si="907"/>
        <v>10720498.410418482</v>
      </c>
      <c r="DO275" s="129">
        <f t="shared" si="907"/>
        <v>11551243.79550834</v>
      </c>
      <c r="DP275" s="129">
        <f t="shared" si="907"/>
        <v>9903036.7768737283</v>
      </c>
      <c r="DQ275" s="129">
        <f t="shared" si="907"/>
        <v>10701083.696621794</v>
      </c>
      <c r="DR275" s="129">
        <f t="shared" ref="DR275" si="908">DQ275/DQ219*DR219</f>
        <v>10048965.174015688</v>
      </c>
      <c r="DS275" s="129">
        <f t="shared" ref="DS275" si="909">DR275/DR219*DS219</f>
        <v>10151240.098099317</v>
      </c>
      <c r="DT275" s="129">
        <f t="shared" ref="DT275" si="910">DS275/DS219*DT219</f>
        <v>10143977.973312315</v>
      </c>
      <c r="DU275" s="129">
        <f t="shared" ref="DU275" si="911">DT275/DT219*DU219</f>
        <v>10297087.770904966</v>
      </c>
      <c r="DV275" s="129">
        <f t="shared" ref="DV275" si="912">DU275/DU219*DV219</f>
        <v>9702803.8925018702</v>
      </c>
      <c r="DW275" s="129">
        <f t="shared" ref="DW275" si="913">DV275/DV219*DW219</f>
        <v>10614200.553270774</v>
      </c>
      <c r="DX275" s="129">
        <f t="shared" ref="DX275" si="914">DW275/DW219*DX219</f>
        <v>10320689.676462725</v>
      </c>
      <c r="DY275" s="129">
        <f t="shared" ref="DY275" si="915">DX275/DX219*DY219</f>
        <v>10344896.759086069</v>
      </c>
      <c r="DZ275" s="129">
        <f t="shared" ref="DZ275" si="916">DY275/DY219*DZ219</f>
        <v>12698430.367140694</v>
      </c>
      <c r="EA275" s="129">
        <f t="shared" ref="EA275" si="917">DZ275/DZ219*EA219</f>
        <v>13682448.275779629</v>
      </c>
      <c r="EB275" s="129">
        <f t="shared" ref="EB275" si="918">EA275/EA219*EB219</f>
        <v>11730147.062206931</v>
      </c>
      <c r="EC275" s="129">
        <f t="shared" ref="EC275" si="919">EB275/EB219*EC219</f>
        <v>12675433.638648517</v>
      </c>
      <c r="ED275" s="113" t="s">
        <v>1</v>
      </c>
    </row>
    <row r="276" spans="1:134" x14ac:dyDescent="0.2">
      <c r="A276" s="698" t="s">
        <v>149</v>
      </c>
      <c r="B276" s="115"/>
      <c r="C276" s="115"/>
      <c r="D276" s="115"/>
      <c r="E276" s="115"/>
      <c r="F276" s="115"/>
      <c r="G276" s="115"/>
      <c r="H276" s="115"/>
      <c r="I276" s="115"/>
      <c r="J276" s="115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>
        <v>101035.53600000001</v>
      </c>
      <c r="AJ276" s="129">
        <v>85927.728000000003</v>
      </c>
      <c r="AK276" s="129">
        <v>127330.32</v>
      </c>
      <c r="AL276" s="129">
        <v>87079.991999999998</v>
      </c>
      <c r="AM276" s="129">
        <v>86424.451199999981</v>
      </c>
      <c r="AN276" s="129">
        <v>119696.92439999989</v>
      </c>
      <c r="AO276" s="129">
        <v>132852.19200000001</v>
      </c>
      <c r="AP276" s="129">
        <v>130588.92</v>
      </c>
      <c r="AQ276" s="129">
        <v>176526.87000000002</v>
      </c>
      <c r="AR276" s="129">
        <v>85737.390700000018</v>
      </c>
      <c r="AS276" s="129">
        <v>350546.14270000003</v>
      </c>
      <c r="AT276" s="129">
        <v>383056.46600000001</v>
      </c>
      <c r="AU276" s="129">
        <v>597942.01558000012</v>
      </c>
      <c r="AV276" s="129">
        <v>647995.89400000009</v>
      </c>
      <c r="AW276" s="129">
        <v>495555.42920000001</v>
      </c>
      <c r="AX276" s="129">
        <v>488083.65371999983</v>
      </c>
      <c r="AY276" s="129">
        <v>617998.99511999998</v>
      </c>
      <c r="AZ276" s="129">
        <v>1020789.5802000002</v>
      </c>
      <c r="BA276" s="129">
        <v>848525.05608001095</v>
      </c>
      <c r="BB276" s="129">
        <v>596303.30396000249</v>
      </c>
      <c r="BC276" s="129">
        <v>635969.26770000276</v>
      </c>
      <c r="BD276" s="129">
        <v>1270063.2076600047</v>
      </c>
      <c r="BE276" s="129">
        <v>983558.70236000011</v>
      </c>
      <c r="BF276" s="129">
        <v>921553.49468000606</v>
      </c>
      <c r="BG276" s="129">
        <v>941398.81360000721</v>
      </c>
      <c r="BH276" s="129">
        <v>1355065.264200005</v>
      </c>
      <c r="BI276" s="129">
        <v>2496772.1050000167</v>
      </c>
      <c r="BJ276" s="129">
        <v>1605967.7233940253</v>
      </c>
      <c r="BK276" s="129">
        <v>2046766</v>
      </c>
      <c r="BL276" s="129">
        <v>2046766</v>
      </c>
      <c r="BM276" s="129">
        <v>1546766</v>
      </c>
      <c r="BN276" s="129">
        <v>1646766</v>
      </c>
      <c r="BO276" s="129">
        <v>1346766</v>
      </c>
      <c r="BP276" s="129">
        <v>2905340.2425189591</v>
      </c>
      <c r="BQ276" s="129">
        <v>2171714.5479767071</v>
      </c>
      <c r="BR276" s="129">
        <v>2399860.4412834514</v>
      </c>
      <c r="BS276" s="129">
        <v>3943139.1552863438</v>
      </c>
      <c r="BT276" s="129">
        <v>4221641.0388376769</v>
      </c>
      <c r="BU276" s="129">
        <v>4818420.7252479242</v>
      </c>
      <c r="BV276" s="129">
        <v>3448661.9027755195</v>
      </c>
      <c r="BW276" s="129">
        <v>3462505.5341013824</v>
      </c>
      <c r="BX276" s="129">
        <v>2980446.0456233402</v>
      </c>
      <c r="BY276" s="129">
        <v>3795176.6663414631</v>
      </c>
      <c r="BZ276" s="129">
        <v>2920878.2370672096</v>
      </c>
      <c r="CA276" s="129">
        <v>3060774.5051458972</v>
      </c>
      <c r="CB276" s="129">
        <v>3796286.2067727041</v>
      </c>
      <c r="CC276" s="129">
        <v>2371157.532319874</v>
      </c>
      <c r="CD276" s="129">
        <v>2367533.8084349595</v>
      </c>
      <c r="CE276" s="129">
        <v>2660784.0345525332</v>
      </c>
      <c r="CF276" s="129">
        <v>2279560.9543916606</v>
      </c>
      <c r="CG276" s="129">
        <v>4275710.0300316811</v>
      </c>
      <c r="CH276" s="129">
        <v>4256566.7370888479</v>
      </c>
      <c r="CI276" s="129">
        <v>4183271.6423561769</v>
      </c>
      <c r="CJ276" s="129">
        <v>4824940.4403820038</v>
      </c>
      <c r="CK276" s="129">
        <v>4991465.3791289097</v>
      </c>
      <c r="CL276" s="129">
        <v>3402275.288579748</v>
      </c>
      <c r="CM276" s="129">
        <v>5403376.85413488</v>
      </c>
      <c r="CN276" s="129">
        <v>6214175.1403349284</v>
      </c>
      <c r="CO276" s="129">
        <v>4609337.1315890849</v>
      </c>
      <c r="CP276" s="129">
        <v>5879546.4248554911</v>
      </c>
      <c r="CQ276" s="129">
        <v>4724671.0823369566</v>
      </c>
      <c r="CR276" s="129">
        <v>4389420.9944172958</v>
      </c>
      <c r="CS276" s="129">
        <v>6601121.6368329562</v>
      </c>
      <c r="CT276" s="129">
        <f>SUM(CH276:CS276)/SUM($CH$219:$CS$219)*$CT$219</f>
        <v>5484726.005565851</v>
      </c>
      <c r="CU276" s="129">
        <f t="shared" ref="CU276:DQ276" si="920">CT276/CT219*CU219</f>
        <v>5540547.667411115</v>
      </c>
      <c r="CV276" s="129">
        <f t="shared" si="920"/>
        <v>5536583.99911441</v>
      </c>
      <c r="CW276" s="129">
        <f t="shared" si="920"/>
        <v>5620151.3390366128</v>
      </c>
      <c r="CX276" s="129">
        <f t="shared" si="920"/>
        <v>5295791.1500895675</v>
      </c>
      <c r="CY276" s="129">
        <f t="shared" si="920"/>
        <v>5793231.5213260716</v>
      </c>
      <c r="CZ276" s="129">
        <f t="shared" si="920"/>
        <v>5633033.2610009033</v>
      </c>
      <c r="DA276" s="129">
        <f t="shared" si="920"/>
        <v>5646245.488656586</v>
      </c>
      <c r="DB276" s="129">
        <f t="shared" si="920"/>
        <v>6930804.322480469</v>
      </c>
      <c r="DC276" s="129">
        <f t="shared" si="920"/>
        <v>7467881.3766840268</v>
      </c>
      <c r="DD276" s="129">
        <f t="shared" si="920"/>
        <v>6402315.2162531065</v>
      </c>
      <c r="DE276" s="129">
        <f t="shared" si="920"/>
        <v>6918252.7062075688</v>
      </c>
      <c r="DF276" s="129">
        <f t="shared" si="920"/>
        <v>6496657.9535927484</v>
      </c>
      <c r="DG276" s="129">
        <f t="shared" si="920"/>
        <v>6562778.7120484645</v>
      </c>
      <c r="DH276" s="129">
        <f t="shared" si="920"/>
        <v>6558083.7469510175</v>
      </c>
      <c r="DI276" s="129">
        <f t="shared" si="920"/>
        <v>6657069.2610888649</v>
      </c>
      <c r="DJ276" s="129">
        <f t="shared" si="920"/>
        <v>6272864.6172810905</v>
      </c>
      <c r="DK276" s="129">
        <f t="shared" si="920"/>
        <v>6862082.7370107304</v>
      </c>
      <c r="DL276" s="129">
        <f t="shared" si="920"/>
        <v>6672327.8976555672</v>
      </c>
      <c r="DM276" s="129">
        <f t="shared" si="920"/>
        <v>6687977.7813137257</v>
      </c>
      <c r="DN276" s="129">
        <f t="shared" si="920"/>
        <v>8209537.7199781155</v>
      </c>
      <c r="DO276" s="129">
        <f t="shared" si="920"/>
        <v>8845705.4906822294</v>
      </c>
      <c r="DP276" s="129">
        <f t="shared" si="920"/>
        <v>7583542.3736518035</v>
      </c>
      <c r="DQ276" s="129">
        <f t="shared" si="920"/>
        <v>8194670.3305028649</v>
      </c>
      <c r="DR276" s="129">
        <f t="shared" ref="DR276" si="921">DQ276/DQ219*DR219</f>
        <v>7695291.3460306078</v>
      </c>
      <c r="DS276" s="129">
        <f t="shared" ref="DS276" si="922">DR276/DR219*DS219</f>
        <v>7773611.3844214054</v>
      </c>
      <c r="DT276" s="129">
        <f t="shared" ref="DT276" si="923">DS276/DS219*DT219</f>
        <v>7768050.1982634785</v>
      </c>
      <c r="DU276" s="129">
        <f t="shared" ref="DU276" si="924">DT276/DT219*DU219</f>
        <v>7885298.5397597589</v>
      </c>
      <c r="DV276" s="129">
        <f t="shared" ref="DV276" si="925">DU276/DU219*DV219</f>
        <v>7430208.1391694518</v>
      </c>
      <c r="DW276" s="129">
        <f t="shared" ref="DW276" si="926">DV276/DV219*DW219</f>
        <v>8128137.00198921</v>
      </c>
      <c r="DX276" s="129">
        <f t="shared" ref="DX276" si="927">DW276/DW219*DX219</f>
        <v>7903372.3947730176</v>
      </c>
      <c r="DY276" s="129">
        <f t="shared" ref="DY276" si="928">DX276/DX219*DY219</f>
        <v>7921909.6819661055</v>
      </c>
      <c r="DZ276" s="129">
        <f t="shared" ref="DZ276" si="929">DY276/DY219*DZ219</f>
        <v>9724197.4293140769</v>
      </c>
      <c r="EA276" s="129">
        <f t="shared" ref="EA276" si="930">DZ276/DZ219*EA219</f>
        <v>10477738.153713102</v>
      </c>
      <c r="EB276" s="129">
        <f t="shared" ref="EB276" si="931">EA276/EA219*EB219</f>
        <v>8982705.9415905625</v>
      </c>
      <c r="EC276" s="129">
        <f t="shared" ref="EC276" si="932">EB276/EB219*EC219</f>
        <v>9706587.0064806454</v>
      </c>
      <c r="ED276" s="113" t="s">
        <v>1</v>
      </c>
    </row>
    <row r="277" spans="1:134" x14ac:dyDescent="0.2">
      <c r="A277" s="698" t="s">
        <v>150</v>
      </c>
      <c r="B277" s="115"/>
      <c r="C277" s="115"/>
      <c r="D277" s="115"/>
      <c r="E277" s="115"/>
      <c r="F277" s="115"/>
      <c r="G277" s="115"/>
      <c r="H277" s="115"/>
      <c r="I277" s="115"/>
      <c r="J277" s="115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>
        <v>0</v>
      </c>
      <c r="AJ277" s="129">
        <v>0</v>
      </c>
      <c r="AK277" s="129">
        <v>0</v>
      </c>
      <c r="AL277" s="129">
        <v>0</v>
      </c>
      <c r="AM277" s="129">
        <v>0</v>
      </c>
      <c r="AN277" s="129">
        <v>0</v>
      </c>
      <c r="AO277" s="129">
        <v>0</v>
      </c>
      <c r="AP277" s="129">
        <v>0</v>
      </c>
      <c r="AQ277" s="129">
        <v>0</v>
      </c>
      <c r="AR277" s="129">
        <v>0</v>
      </c>
      <c r="AS277" s="129">
        <v>0</v>
      </c>
      <c r="AT277" s="129">
        <v>0</v>
      </c>
      <c r="AU277" s="129">
        <v>0</v>
      </c>
      <c r="AV277" s="129">
        <v>0</v>
      </c>
      <c r="AW277" s="129">
        <v>0</v>
      </c>
      <c r="AX277" s="129">
        <v>0</v>
      </c>
      <c r="AY277" s="129">
        <v>0</v>
      </c>
      <c r="AZ277" s="129">
        <v>0</v>
      </c>
      <c r="BA277" s="129">
        <v>0</v>
      </c>
      <c r="BB277" s="129">
        <v>0</v>
      </c>
      <c r="BC277" s="129">
        <v>0</v>
      </c>
      <c r="BD277" s="129">
        <v>0</v>
      </c>
      <c r="BE277" s="129">
        <v>0</v>
      </c>
      <c r="BF277" s="129">
        <v>0</v>
      </c>
      <c r="BG277" s="129">
        <v>0</v>
      </c>
      <c r="BH277" s="129">
        <v>0</v>
      </c>
      <c r="BI277" s="129">
        <v>0</v>
      </c>
      <c r="BJ277" s="129">
        <v>0</v>
      </c>
      <c r="BK277" s="129">
        <v>0</v>
      </c>
      <c r="BL277" s="129">
        <v>0</v>
      </c>
      <c r="BM277" s="129">
        <v>0</v>
      </c>
      <c r="BN277" s="129">
        <v>0</v>
      </c>
      <c r="BO277" s="129">
        <v>0</v>
      </c>
      <c r="BP277" s="129">
        <v>0</v>
      </c>
      <c r="BQ277" s="129">
        <v>0</v>
      </c>
      <c r="BR277" s="129">
        <v>0</v>
      </c>
      <c r="BS277" s="129">
        <v>0</v>
      </c>
      <c r="BT277" s="129">
        <v>0</v>
      </c>
      <c r="BU277" s="129">
        <v>0</v>
      </c>
      <c r="BV277" s="129">
        <v>0</v>
      </c>
      <c r="BW277" s="129">
        <v>0</v>
      </c>
      <c r="BX277" s="129">
        <v>0</v>
      </c>
      <c r="BY277" s="129">
        <v>0</v>
      </c>
      <c r="BZ277" s="129">
        <v>0</v>
      </c>
      <c r="CA277" s="129">
        <v>0</v>
      </c>
      <c r="CB277" s="129">
        <v>0</v>
      </c>
      <c r="CC277" s="129">
        <v>0</v>
      </c>
      <c r="CD277" s="129">
        <v>0</v>
      </c>
      <c r="CE277" s="129">
        <v>0</v>
      </c>
      <c r="CF277" s="129">
        <v>0</v>
      </c>
      <c r="CG277" s="129">
        <v>0</v>
      </c>
      <c r="CH277" s="129">
        <v>0</v>
      </c>
      <c r="CI277" s="129">
        <v>0</v>
      </c>
      <c r="CJ277" s="129">
        <v>0</v>
      </c>
      <c r="CK277" s="129">
        <v>0</v>
      </c>
      <c r="CL277" s="129">
        <v>0</v>
      </c>
      <c r="CM277" s="129">
        <v>0</v>
      </c>
      <c r="CN277" s="129">
        <v>0</v>
      </c>
      <c r="CO277" s="129">
        <v>0</v>
      </c>
      <c r="CP277" s="129">
        <v>0</v>
      </c>
      <c r="CQ277" s="129">
        <v>0</v>
      </c>
      <c r="CR277" s="129">
        <v>0</v>
      </c>
      <c r="CS277" s="129">
        <v>0</v>
      </c>
      <c r="CT277" s="129">
        <v>0</v>
      </c>
      <c r="CU277" s="129">
        <v>0</v>
      </c>
      <c r="CV277" s="129">
        <v>0</v>
      </c>
      <c r="CW277" s="129">
        <v>0</v>
      </c>
      <c r="CX277" s="129">
        <v>0</v>
      </c>
      <c r="CY277" s="129">
        <v>0</v>
      </c>
      <c r="CZ277" s="129">
        <v>0</v>
      </c>
      <c r="DA277" s="129">
        <v>0</v>
      </c>
      <c r="DB277" s="129">
        <v>0</v>
      </c>
      <c r="DC277" s="129">
        <v>0</v>
      </c>
      <c r="DD277" s="129">
        <v>0</v>
      </c>
      <c r="DE277" s="129">
        <v>0</v>
      </c>
      <c r="DF277" s="129">
        <v>0</v>
      </c>
      <c r="DG277" s="129">
        <v>0</v>
      </c>
      <c r="DH277" s="129">
        <v>0</v>
      </c>
      <c r="DI277" s="129">
        <v>0</v>
      </c>
      <c r="DJ277" s="129">
        <v>0</v>
      </c>
      <c r="DK277" s="129">
        <v>0</v>
      </c>
      <c r="DL277" s="129">
        <v>0</v>
      </c>
      <c r="DM277" s="129">
        <v>0</v>
      </c>
      <c r="DN277" s="129">
        <v>0</v>
      </c>
      <c r="DO277" s="129">
        <v>0</v>
      </c>
      <c r="DP277" s="129">
        <v>0</v>
      </c>
      <c r="DQ277" s="129">
        <v>0</v>
      </c>
      <c r="DR277" s="129">
        <v>0</v>
      </c>
      <c r="DS277" s="129">
        <v>0</v>
      </c>
      <c r="DT277" s="129">
        <v>0</v>
      </c>
      <c r="DU277" s="129">
        <v>0</v>
      </c>
      <c r="DV277" s="129">
        <v>0</v>
      </c>
      <c r="DW277" s="129">
        <v>0</v>
      </c>
      <c r="DX277" s="129">
        <v>0</v>
      </c>
      <c r="DY277" s="129">
        <v>0</v>
      </c>
      <c r="DZ277" s="129">
        <v>0</v>
      </c>
      <c r="EA277" s="129">
        <v>0</v>
      </c>
      <c r="EB277" s="129">
        <v>0</v>
      </c>
      <c r="EC277" s="129">
        <v>0</v>
      </c>
      <c r="ED277" s="113" t="s">
        <v>1</v>
      </c>
    </row>
    <row r="278" spans="1:134" x14ac:dyDescent="0.2">
      <c r="A278" s="698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15"/>
      <c r="AL278" s="115"/>
      <c r="AM278" s="115"/>
      <c r="AN278" s="115"/>
      <c r="AO278" s="115"/>
      <c r="AP278" s="115"/>
      <c r="AQ278" s="115"/>
      <c r="AR278" s="115"/>
      <c r="AS278" s="115"/>
      <c r="AT278" s="115"/>
      <c r="AU278" s="115"/>
      <c r="AV278" s="115"/>
      <c r="AW278" s="115"/>
      <c r="AX278" s="115"/>
      <c r="AY278" s="115"/>
      <c r="AZ278" s="115"/>
      <c r="BA278" s="115"/>
      <c r="BB278" s="115"/>
      <c r="BC278" s="115"/>
      <c r="BD278" s="115"/>
      <c r="BE278" s="115"/>
      <c r="BF278" s="115"/>
      <c r="BG278" s="115"/>
      <c r="BH278" s="115"/>
      <c r="BI278" s="115"/>
      <c r="BJ278" s="115"/>
      <c r="BK278" s="115"/>
      <c r="BL278" s="115"/>
      <c r="BM278" s="115"/>
      <c r="BN278" s="115"/>
      <c r="BO278" s="115"/>
      <c r="BP278" s="115"/>
      <c r="BQ278" s="115"/>
      <c r="BR278" s="115"/>
      <c r="BS278" s="115"/>
      <c r="BT278" s="115"/>
      <c r="BU278" s="115"/>
      <c r="BV278" s="115"/>
      <c r="BW278" s="115"/>
      <c r="BX278" s="115"/>
      <c r="BY278" s="115"/>
      <c r="BZ278" s="115"/>
      <c r="CA278" s="115"/>
      <c r="CB278" s="115"/>
      <c r="CC278" s="115"/>
      <c r="CD278" s="115"/>
      <c r="CE278" s="115"/>
      <c r="CF278" s="115"/>
      <c r="CG278" s="115"/>
      <c r="CH278" s="115"/>
      <c r="CI278" s="115"/>
      <c r="CJ278" s="115"/>
      <c r="CK278" s="115"/>
      <c r="CL278" s="115"/>
      <c r="CM278" s="115"/>
      <c r="CN278" s="115"/>
      <c r="CO278" s="115"/>
      <c r="CP278" s="115"/>
      <c r="CQ278" s="115"/>
      <c r="CR278" s="115"/>
      <c r="CS278" s="115"/>
      <c r="CT278" s="115"/>
      <c r="CU278" s="115"/>
      <c r="CV278" s="115"/>
      <c r="CW278" s="115"/>
      <c r="CX278" s="115"/>
      <c r="CY278" s="115"/>
      <c r="CZ278" s="115"/>
      <c r="DA278" s="115"/>
      <c r="DB278" s="115"/>
      <c r="DC278" s="115"/>
      <c r="DD278" s="115"/>
      <c r="DE278" s="115"/>
      <c r="DF278" s="115"/>
      <c r="DG278" s="115"/>
      <c r="DH278" s="115"/>
      <c r="DI278" s="115"/>
      <c r="DJ278" s="115"/>
      <c r="DK278" s="115"/>
      <c r="DL278" s="115"/>
      <c r="DM278" s="115"/>
      <c r="DN278" s="115"/>
      <c r="DO278" s="115"/>
      <c r="DP278" s="115"/>
      <c r="DQ278" s="115"/>
      <c r="DR278" s="115"/>
      <c r="DS278" s="115"/>
      <c r="DT278" s="115"/>
      <c r="DU278" s="115"/>
      <c r="DV278" s="115"/>
      <c r="DW278" s="115"/>
      <c r="DX278" s="115"/>
      <c r="DY278" s="115"/>
      <c r="DZ278" s="115"/>
      <c r="EA278" s="115"/>
      <c r="EB278" s="115"/>
      <c r="EC278" s="645"/>
      <c r="ED278" s="113" t="s">
        <v>1</v>
      </c>
    </row>
    <row r="279" spans="1:134" x14ac:dyDescent="0.2">
      <c r="A279" s="115" t="s">
        <v>133</v>
      </c>
      <c r="B279" s="115"/>
      <c r="C279" s="115"/>
      <c r="D279" s="115"/>
      <c r="E279" s="115"/>
      <c r="F279" s="115"/>
      <c r="G279" s="115"/>
      <c r="H279" s="115"/>
      <c r="I279" s="115"/>
      <c r="J279" s="115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>
        <v>2689138.4230428375</v>
      </c>
      <c r="AJ279" s="129">
        <v>1622918.4792141905</v>
      </c>
      <c r="AK279" s="129">
        <v>2232068.1887798524</v>
      </c>
      <c r="AL279" s="129">
        <v>1705902.1468088408</v>
      </c>
      <c r="AM279" s="129">
        <v>1112806.4099676134</v>
      </c>
      <c r="AN279" s="129">
        <v>1512316.2105822461</v>
      </c>
      <c r="AO279" s="129">
        <v>1181371.7130387872</v>
      </c>
      <c r="AP279" s="129">
        <v>534061.57551076007</v>
      </c>
      <c r="AQ279" s="129">
        <v>682574.26697076263</v>
      </c>
      <c r="AR279" s="129">
        <v>1478845.5876729824</v>
      </c>
      <c r="AS279" s="129">
        <v>2818617.6629393743</v>
      </c>
      <c r="AT279" s="129">
        <v>3271779.2960220799</v>
      </c>
      <c r="AU279" s="129">
        <v>2994755.9788942533</v>
      </c>
      <c r="AV279" s="129">
        <v>2094596.9753917146</v>
      </c>
      <c r="AW279" s="129">
        <v>554556.20290966635</v>
      </c>
      <c r="AX279" s="129">
        <v>365590.78591947979</v>
      </c>
      <c r="AY279" s="129">
        <v>903430.76438805077</v>
      </c>
      <c r="AZ279" s="129">
        <v>498873.0193710617</v>
      </c>
      <c r="BA279" s="129">
        <v>965617.50713947066</v>
      </c>
      <c r="BB279" s="129">
        <v>707199.35631991911</v>
      </c>
      <c r="BC279" s="129">
        <v>1857236.4224901884</v>
      </c>
      <c r="BD279" s="129">
        <v>1952568.3537687717</v>
      </c>
      <c r="BE279" s="129">
        <v>1949488.2163389199</v>
      </c>
      <c r="BF279" s="129">
        <v>1252368.0730340404</v>
      </c>
      <c r="BG279" s="129">
        <v>983942.14958008798</v>
      </c>
      <c r="BH279" s="129">
        <v>1443770.2507438899</v>
      </c>
      <c r="BI279" s="129">
        <v>2273616.8772446834</v>
      </c>
      <c r="BJ279" s="129">
        <v>1217422.7563389572</v>
      </c>
      <c r="BK279" s="129">
        <v>0</v>
      </c>
      <c r="BL279" s="129">
        <v>0</v>
      </c>
      <c r="BM279" s="129">
        <v>0</v>
      </c>
      <c r="BN279" s="129">
        <v>0</v>
      </c>
      <c r="BO279" s="129">
        <v>0</v>
      </c>
      <c r="BP279" s="129">
        <v>0</v>
      </c>
      <c r="BQ279" s="129">
        <v>0</v>
      </c>
      <c r="BR279" s="129">
        <v>0</v>
      </c>
      <c r="BS279" s="129">
        <v>0</v>
      </c>
      <c r="BT279" s="129">
        <v>0</v>
      </c>
      <c r="BU279" s="129">
        <v>0</v>
      </c>
      <c r="BV279" s="129">
        <v>0</v>
      </c>
      <c r="BW279" s="129">
        <v>0</v>
      </c>
      <c r="BX279" s="129">
        <v>0</v>
      </c>
      <c r="BY279" s="129">
        <v>0</v>
      </c>
      <c r="BZ279" s="129">
        <v>0</v>
      </c>
      <c r="CA279" s="129">
        <v>0</v>
      </c>
      <c r="CB279" s="129">
        <v>0</v>
      </c>
      <c r="CC279" s="129">
        <v>0</v>
      </c>
      <c r="CD279" s="129">
        <v>0</v>
      </c>
      <c r="CE279" s="129">
        <v>0</v>
      </c>
      <c r="CF279" s="129">
        <v>0</v>
      </c>
      <c r="CG279" s="129">
        <v>0</v>
      </c>
      <c r="CH279" s="129">
        <v>0</v>
      </c>
      <c r="CI279" s="129">
        <v>0</v>
      </c>
      <c r="CJ279" s="129">
        <v>0</v>
      </c>
      <c r="CK279" s="129">
        <v>0</v>
      </c>
      <c r="CL279" s="129">
        <v>0</v>
      </c>
      <c r="CM279" s="129">
        <v>0</v>
      </c>
      <c r="CN279" s="129">
        <v>0</v>
      </c>
      <c r="CO279" s="129">
        <v>0</v>
      </c>
      <c r="CP279" s="129">
        <v>0</v>
      </c>
      <c r="CQ279" s="129">
        <v>0</v>
      </c>
      <c r="CR279" s="129">
        <v>0</v>
      </c>
      <c r="CS279" s="129">
        <v>0</v>
      </c>
      <c r="CT279" s="129">
        <v>0</v>
      </c>
      <c r="CU279" s="129">
        <v>0</v>
      </c>
      <c r="CV279" s="129">
        <v>0</v>
      </c>
      <c r="CW279" s="129">
        <v>0</v>
      </c>
      <c r="CX279" s="129">
        <v>0</v>
      </c>
      <c r="CY279" s="129">
        <v>0</v>
      </c>
      <c r="CZ279" s="129">
        <v>0</v>
      </c>
      <c r="DA279" s="129">
        <v>0</v>
      </c>
      <c r="DB279" s="129">
        <v>0</v>
      </c>
      <c r="DC279" s="129">
        <v>0</v>
      </c>
      <c r="DD279" s="129">
        <v>0</v>
      </c>
      <c r="DE279" s="129">
        <v>0</v>
      </c>
      <c r="DF279" s="129">
        <v>0</v>
      </c>
      <c r="DG279" s="129">
        <v>0</v>
      </c>
      <c r="DH279" s="129">
        <v>0</v>
      </c>
      <c r="DI279" s="129">
        <v>0</v>
      </c>
      <c r="DJ279" s="129">
        <v>0</v>
      </c>
      <c r="DK279" s="129">
        <v>0</v>
      </c>
      <c r="DL279" s="129">
        <v>0</v>
      </c>
      <c r="DM279" s="129">
        <v>0</v>
      </c>
      <c r="DN279" s="129">
        <v>0</v>
      </c>
      <c r="DO279" s="129">
        <v>0</v>
      </c>
      <c r="DP279" s="129">
        <v>0</v>
      </c>
      <c r="DQ279" s="129">
        <v>0</v>
      </c>
      <c r="DR279" s="129">
        <v>0</v>
      </c>
      <c r="DS279" s="129">
        <v>0</v>
      </c>
      <c r="DT279" s="129">
        <v>0</v>
      </c>
      <c r="DU279" s="129">
        <v>0</v>
      </c>
      <c r="DV279" s="129">
        <v>0</v>
      </c>
      <c r="DW279" s="129">
        <v>0</v>
      </c>
      <c r="DX279" s="129">
        <v>0</v>
      </c>
      <c r="DY279" s="129">
        <v>0</v>
      </c>
      <c r="DZ279" s="129">
        <v>0</v>
      </c>
      <c r="EA279" s="129">
        <v>0</v>
      </c>
      <c r="EB279" s="129">
        <v>0</v>
      </c>
      <c r="EC279" s="129">
        <v>0</v>
      </c>
      <c r="ED279" s="113" t="s">
        <v>1</v>
      </c>
    </row>
    <row r="280" spans="1:134" x14ac:dyDescent="0.2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15"/>
      <c r="CU280" s="115"/>
      <c r="CV280" s="115"/>
      <c r="CW280" s="115"/>
      <c r="CX280" s="115"/>
      <c r="CY280" s="115"/>
      <c r="CZ280" s="115"/>
      <c r="DA280" s="115"/>
      <c r="DB280" s="115"/>
      <c r="DC280" s="115"/>
      <c r="DD280" s="115"/>
      <c r="DE280" s="115"/>
      <c r="DF280" s="115"/>
      <c r="DG280" s="115"/>
      <c r="DH280" s="115"/>
      <c r="DI280" s="115"/>
      <c r="DJ280" s="115"/>
      <c r="DK280" s="115"/>
      <c r="DL280" s="115"/>
      <c r="DM280" s="115"/>
      <c r="DN280" s="115"/>
      <c r="DO280" s="115"/>
      <c r="DP280" s="115"/>
      <c r="DQ280" s="115"/>
      <c r="DR280" s="115"/>
      <c r="DS280" s="115"/>
      <c r="DT280" s="115"/>
      <c r="DU280" s="115"/>
      <c r="DV280" s="115"/>
      <c r="DW280" s="115"/>
      <c r="DX280" s="115"/>
      <c r="DY280" s="115"/>
      <c r="DZ280" s="115"/>
      <c r="EA280" s="115"/>
      <c r="EB280" s="115"/>
      <c r="EC280" s="115"/>
      <c r="ED280" s="113" t="s">
        <v>1</v>
      </c>
    </row>
    <row r="281" spans="1:134" x14ac:dyDescent="0.2">
      <c r="A281" s="700" t="s">
        <v>165</v>
      </c>
      <c r="B281" s="115"/>
      <c r="C281" s="115"/>
      <c r="D281" s="115"/>
      <c r="E281" s="115"/>
      <c r="F281" s="115"/>
      <c r="G281" s="115"/>
      <c r="H281" s="115"/>
      <c r="I281" s="115"/>
      <c r="J281" s="115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15"/>
      <c r="CU281" s="115"/>
      <c r="CV281" s="115"/>
      <c r="CW281" s="115"/>
      <c r="CX281" s="115"/>
      <c r="CY281" s="115"/>
      <c r="CZ281" s="115"/>
      <c r="DA281" s="115"/>
      <c r="DB281" s="115"/>
      <c r="DC281" s="115"/>
      <c r="DD281" s="115"/>
      <c r="DE281" s="115"/>
      <c r="DF281" s="115"/>
      <c r="DG281" s="115"/>
      <c r="DH281" s="115"/>
      <c r="DI281" s="115"/>
      <c r="DJ281" s="115"/>
      <c r="DK281" s="115"/>
      <c r="DL281" s="115"/>
      <c r="DM281" s="115"/>
      <c r="DN281" s="115"/>
      <c r="DO281" s="115"/>
      <c r="DP281" s="115"/>
      <c r="DQ281" s="115"/>
      <c r="DR281" s="115"/>
      <c r="DS281" s="115"/>
      <c r="DT281" s="115"/>
      <c r="DU281" s="115"/>
      <c r="DV281" s="115"/>
      <c r="DW281" s="115"/>
      <c r="DX281" s="115"/>
      <c r="DY281" s="115"/>
      <c r="DZ281" s="115"/>
      <c r="EA281" s="115"/>
      <c r="EB281" s="115"/>
      <c r="EC281" s="115"/>
      <c r="ED281" s="113" t="s">
        <v>1</v>
      </c>
    </row>
    <row r="282" spans="1:134" x14ac:dyDescent="0.2">
      <c r="A282" s="115" t="s">
        <v>104</v>
      </c>
      <c r="B282" s="115"/>
      <c r="C282" s="115"/>
      <c r="D282" s="115"/>
      <c r="E282" s="115"/>
      <c r="F282" s="115"/>
      <c r="G282" s="115"/>
      <c r="H282" s="115"/>
      <c r="I282" s="115"/>
      <c r="J282" s="115"/>
      <c r="K282" s="129">
        <f t="shared" ref="K282:AP282" si="933">K262/K204</f>
        <v>0.54496919917864473</v>
      </c>
      <c r="L282" s="129">
        <f t="shared" si="933"/>
        <v>46.739300699300699</v>
      </c>
      <c r="M282" s="129">
        <f t="shared" si="933"/>
        <v>74.550617870722434</v>
      </c>
      <c r="N282" s="129">
        <f t="shared" si="933"/>
        <v>56.539901664145233</v>
      </c>
      <c r="O282" s="129">
        <f t="shared" si="933"/>
        <v>48.291529261660116</v>
      </c>
      <c r="P282" s="129">
        <f t="shared" si="933"/>
        <v>49.564590594471248</v>
      </c>
      <c r="Q282" s="129">
        <f t="shared" si="933"/>
        <v>93.285069045007603</v>
      </c>
      <c r="R282" s="129">
        <f t="shared" si="933"/>
        <v>95.772314673511104</v>
      </c>
      <c r="S282" s="129">
        <f t="shared" si="933"/>
        <v>41.381457502000551</v>
      </c>
      <c r="T282" s="129">
        <f t="shared" si="933"/>
        <v>16.75088018491839</v>
      </c>
      <c r="U282" s="129">
        <f t="shared" si="933"/>
        <v>103.99440329977023</v>
      </c>
      <c r="V282" s="129">
        <f t="shared" si="933"/>
        <v>41.358941722284413</v>
      </c>
      <c r="W282" s="129">
        <f t="shared" si="933"/>
        <v>48.37453269420984</v>
      </c>
      <c r="X282" s="129">
        <f t="shared" si="933"/>
        <v>288.75937834593299</v>
      </c>
      <c r="Y282" s="129">
        <f t="shared" si="933"/>
        <v>65.723753267989864</v>
      </c>
      <c r="Z282" s="129">
        <f t="shared" si="933"/>
        <v>0</v>
      </c>
      <c r="AA282" s="129">
        <f t="shared" si="933"/>
        <v>38.469380755125194</v>
      </c>
      <c r="AB282" s="129">
        <f t="shared" si="933"/>
        <v>80.558085081164791</v>
      </c>
      <c r="AC282" s="129">
        <f t="shared" si="933"/>
        <v>153.24052465546495</v>
      </c>
      <c r="AD282" s="129">
        <f t="shared" si="933"/>
        <v>44.325163055768414</v>
      </c>
      <c r="AE282" s="129">
        <f t="shared" si="933"/>
        <v>33.831859254081095</v>
      </c>
      <c r="AF282" s="129">
        <f t="shared" si="933"/>
        <v>34.985335427081381</v>
      </c>
      <c r="AG282" s="129">
        <f t="shared" si="933"/>
        <v>28.241241608850864</v>
      </c>
      <c r="AH282" s="129">
        <f t="shared" si="933"/>
        <v>40.036293436293434</v>
      </c>
      <c r="AI282" s="129">
        <f t="shared" si="933"/>
        <v>27.844276520093235</v>
      </c>
      <c r="AJ282" s="129">
        <f t="shared" si="933"/>
        <v>42.142360756259578</v>
      </c>
      <c r="AK282" s="129">
        <f t="shared" si="933"/>
        <v>99.603493037526547</v>
      </c>
      <c r="AL282" s="129">
        <f t="shared" si="933"/>
        <v>64.344895379862379</v>
      </c>
      <c r="AM282" s="129">
        <f t="shared" si="933"/>
        <v>85.376760563380287</v>
      </c>
      <c r="AN282" s="129">
        <f t="shared" si="933"/>
        <v>43.541530649256437</v>
      </c>
      <c r="AO282" s="129">
        <f t="shared" si="933"/>
        <v>28.347988791905518</v>
      </c>
      <c r="AP282" s="129">
        <f t="shared" si="933"/>
        <v>51.827040406437355</v>
      </c>
      <c r="AQ282" s="129">
        <f t="shared" ref="AQ282:BV282" si="934">AQ262/AQ204</f>
        <v>18.712849223808817</v>
      </c>
      <c r="AR282" s="129">
        <f t="shared" si="934"/>
        <v>9.833538598204731</v>
      </c>
      <c r="AS282" s="129">
        <f t="shared" si="934"/>
        <v>15.300751623237582</v>
      </c>
      <c r="AT282" s="129">
        <f t="shared" si="934"/>
        <v>18.672952014612044</v>
      </c>
      <c r="AU282" s="129">
        <f t="shared" si="934"/>
        <v>27.625486271951623</v>
      </c>
      <c r="AV282" s="129">
        <f t="shared" si="934"/>
        <v>41.488093879484417</v>
      </c>
      <c r="AW282" s="129">
        <f t="shared" si="934"/>
        <v>60.686589821257364</v>
      </c>
      <c r="AX282" s="129">
        <f t="shared" si="934"/>
        <v>72.583432688023876</v>
      </c>
      <c r="AY282" s="129">
        <f t="shared" si="934"/>
        <v>51.601298283604578</v>
      </c>
      <c r="AZ282" s="129">
        <f t="shared" si="934"/>
        <v>109.83549744805286</v>
      </c>
      <c r="BA282" s="129">
        <f t="shared" si="934"/>
        <v>94.59961551675687</v>
      </c>
      <c r="BB282" s="129">
        <f t="shared" si="934"/>
        <v>135.32944763924223</v>
      </c>
      <c r="BC282" s="129">
        <f t="shared" si="934"/>
        <v>161.31436116766193</v>
      </c>
      <c r="BD282" s="129">
        <f t="shared" si="934"/>
        <v>175.1012820231434</v>
      </c>
      <c r="BE282" s="129">
        <f t="shared" si="934"/>
        <v>178.79715573429115</v>
      </c>
      <c r="BF282" s="129">
        <f t="shared" si="934"/>
        <v>169.17624995711674</v>
      </c>
      <c r="BG282" s="129">
        <f t="shared" si="934"/>
        <v>191.09595732354305</v>
      </c>
      <c r="BH282" s="129">
        <f t="shared" si="934"/>
        <v>165.72218300803266</v>
      </c>
      <c r="BI282" s="129">
        <f t="shared" si="934"/>
        <v>150.12310703288117</v>
      </c>
      <c r="BJ282" s="129">
        <f t="shared" si="934"/>
        <v>218.44677147018902</v>
      </c>
      <c r="BK282" s="129">
        <f t="shared" si="934"/>
        <v>230.62930923796185</v>
      </c>
      <c r="BL282" s="129">
        <f t="shared" si="934"/>
        <v>181.71145440448498</v>
      </c>
      <c r="BM282" s="129">
        <f t="shared" si="934"/>
        <v>279.40843054903354</v>
      </c>
      <c r="BN282" s="129">
        <f t="shared" si="934"/>
        <v>250.7186300595726</v>
      </c>
      <c r="BO282" s="129">
        <f t="shared" si="934"/>
        <v>213.54055099997854</v>
      </c>
      <c r="BP282" s="129">
        <f t="shared" si="934"/>
        <v>328.37272454243231</v>
      </c>
      <c r="BQ282" s="129">
        <f t="shared" si="934"/>
        <v>233.22796004846816</v>
      </c>
      <c r="BR282" s="129">
        <f t="shared" si="934"/>
        <v>229.43455913168296</v>
      </c>
      <c r="BS282" s="129">
        <f t="shared" si="934"/>
        <v>219.70624065675659</v>
      </c>
      <c r="BT282" s="129">
        <f t="shared" si="934"/>
        <v>341.70760032424266</v>
      </c>
      <c r="BU282" s="129">
        <f t="shared" si="934"/>
        <v>195.8734437184475</v>
      </c>
      <c r="BV282" s="129">
        <f t="shared" si="934"/>
        <v>251.11117535160835</v>
      </c>
      <c r="BW282" s="129">
        <f t="shared" ref="BW282:CS282" si="935">BW262/BW204</f>
        <v>247.92471255182977</v>
      </c>
      <c r="BX282" s="129">
        <f t="shared" si="935"/>
        <v>271.86020068203021</v>
      </c>
      <c r="BY282" s="129">
        <f t="shared" si="935"/>
        <v>142.40784812428191</v>
      </c>
      <c r="BZ282" s="129">
        <f t="shared" si="935"/>
        <v>223.10830613794647</v>
      </c>
      <c r="CA282" s="129">
        <f t="shared" si="935"/>
        <v>185.53565350217895</v>
      </c>
      <c r="CB282" s="129">
        <f t="shared" si="935"/>
        <v>194.09913038700304</v>
      </c>
      <c r="CC282" s="129">
        <f t="shared" si="935"/>
        <v>245.84444572932986</v>
      </c>
      <c r="CD282" s="129">
        <f t="shared" si="935"/>
        <v>215.07781019248711</v>
      </c>
      <c r="CE282" s="129">
        <f t="shared" si="935"/>
        <v>236.33658285409911</v>
      </c>
      <c r="CF282" s="129">
        <f t="shared" si="935"/>
        <v>211.04815463170829</v>
      </c>
      <c r="CG282" s="129">
        <f t="shared" si="935"/>
        <v>236.00155928503315</v>
      </c>
      <c r="CH282" s="129">
        <f t="shared" si="935"/>
        <v>265.52695403885338</v>
      </c>
      <c r="CI282" s="129">
        <f t="shared" si="935"/>
        <v>259.65832300084747</v>
      </c>
      <c r="CJ282" s="129">
        <f t="shared" si="935"/>
        <v>273.58497348639497</v>
      </c>
      <c r="CK282" s="129">
        <f t="shared" si="935"/>
        <v>301.69833265300065</v>
      </c>
      <c r="CL282" s="129">
        <f t="shared" si="935"/>
        <v>284.32016213855786</v>
      </c>
      <c r="CM282" s="129">
        <f t="shared" si="935"/>
        <v>179.86712373106894</v>
      </c>
      <c r="CN282" s="129">
        <f t="shared" si="935"/>
        <v>313.02911827635933</v>
      </c>
      <c r="CO282" s="129">
        <f t="shared" si="935"/>
        <v>287.07668649259568</v>
      </c>
      <c r="CP282" s="129">
        <f t="shared" si="935"/>
        <v>249.56129191359719</v>
      </c>
      <c r="CQ282" s="129">
        <f t="shared" si="935"/>
        <v>327.56545070656517</v>
      </c>
      <c r="CR282" s="129">
        <f t="shared" si="935"/>
        <v>285.10373632771575</v>
      </c>
      <c r="CS282" s="129">
        <f t="shared" si="935"/>
        <v>263.82900106250185</v>
      </c>
      <c r="CT282" s="129">
        <f>AVERAGE(CH282:CS282)*(1+CT283)</f>
        <v>287.94685095995516</v>
      </c>
      <c r="CU282" s="129">
        <f t="shared" ref="CU282:DQ282" si="936">CT282*(1+CU283)</f>
        <v>287.94685095995516</v>
      </c>
      <c r="CV282" s="129">
        <f t="shared" si="936"/>
        <v>287.94685095995516</v>
      </c>
      <c r="CW282" s="129">
        <f t="shared" si="936"/>
        <v>287.94685095995516</v>
      </c>
      <c r="CX282" s="129">
        <f t="shared" si="936"/>
        <v>287.94685095995516</v>
      </c>
      <c r="CY282" s="129">
        <f t="shared" si="936"/>
        <v>287.94685095995516</v>
      </c>
      <c r="CZ282" s="129">
        <f t="shared" si="936"/>
        <v>287.94685095995516</v>
      </c>
      <c r="DA282" s="129">
        <f t="shared" si="936"/>
        <v>287.94685095995516</v>
      </c>
      <c r="DB282" s="129">
        <f t="shared" si="936"/>
        <v>287.94685095995516</v>
      </c>
      <c r="DC282" s="129">
        <f t="shared" si="936"/>
        <v>287.94685095995516</v>
      </c>
      <c r="DD282" s="129">
        <f t="shared" si="936"/>
        <v>287.94685095995516</v>
      </c>
      <c r="DE282" s="129">
        <f t="shared" si="936"/>
        <v>287.94685095995516</v>
      </c>
      <c r="DF282" s="129">
        <f t="shared" si="936"/>
        <v>302.34419350795292</v>
      </c>
      <c r="DG282" s="129">
        <f t="shared" si="936"/>
        <v>302.34419350795292</v>
      </c>
      <c r="DH282" s="129">
        <f t="shared" si="936"/>
        <v>302.34419350795292</v>
      </c>
      <c r="DI282" s="129">
        <f t="shared" si="936"/>
        <v>302.34419350795292</v>
      </c>
      <c r="DJ282" s="129">
        <f t="shared" si="936"/>
        <v>302.34419350795292</v>
      </c>
      <c r="DK282" s="129">
        <f t="shared" si="936"/>
        <v>302.34419350795292</v>
      </c>
      <c r="DL282" s="129">
        <f t="shared" si="936"/>
        <v>302.34419350795292</v>
      </c>
      <c r="DM282" s="129">
        <f t="shared" si="936"/>
        <v>302.34419350795292</v>
      </c>
      <c r="DN282" s="129">
        <f t="shared" si="936"/>
        <v>302.34419350795292</v>
      </c>
      <c r="DO282" s="129">
        <f t="shared" si="936"/>
        <v>302.34419350795292</v>
      </c>
      <c r="DP282" s="129">
        <f t="shared" si="936"/>
        <v>302.34419350795292</v>
      </c>
      <c r="DQ282" s="129">
        <f t="shared" si="936"/>
        <v>302.34419350795292</v>
      </c>
      <c r="DR282" s="129">
        <f t="shared" ref="DR282" si="937">DQ282*(1+DR283)</f>
        <v>302.34419350795292</v>
      </c>
      <c r="DS282" s="129">
        <f t="shared" ref="DS282" si="938">DR282*(1+DS283)</f>
        <v>302.34419350795292</v>
      </c>
      <c r="DT282" s="129">
        <f t="shared" ref="DT282" si="939">DS282*(1+DT283)</f>
        <v>302.34419350795292</v>
      </c>
      <c r="DU282" s="129">
        <f t="shared" ref="DU282" si="940">DT282*(1+DU283)</f>
        <v>302.34419350795292</v>
      </c>
      <c r="DV282" s="129">
        <f t="shared" ref="DV282" si="941">DU282*(1+DV283)</f>
        <v>302.34419350795292</v>
      </c>
      <c r="DW282" s="129">
        <f t="shared" ref="DW282" si="942">DV282*(1+DW283)</f>
        <v>302.34419350795292</v>
      </c>
      <c r="DX282" s="129">
        <f t="shared" ref="DX282" si="943">DW282*(1+DX283)</f>
        <v>302.34419350795292</v>
      </c>
      <c r="DY282" s="129">
        <f t="shared" ref="DY282" si="944">DX282*(1+DY283)</f>
        <v>302.34419350795292</v>
      </c>
      <c r="DZ282" s="129">
        <f t="shared" ref="DZ282" si="945">DY282*(1+DZ283)</f>
        <v>302.34419350795292</v>
      </c>
      <c r="EA282" s="129">
        <f t="shared" ref="EA282" si="946">DZ282*(1+EA283)</f>
        <v>302.34419350795292</v>
      </c>
      <c r="EB282" s="129">
        <f t="shared" ref="EB282" si="947">EA282*(1+EB283)</f>
        <v>302.34419350795292</v>
      </c>
      <c r="EC282" s="129">
        <f t="shared" ref="EC282" si="948">EB282*(1+EC283)</f>
        <v>302.34419350795292</v>
      </c>
      <c r="ED282" s="113" t="s">
        <v>1</v>
      </c>
    </row>
    <row r="283" spans="1:134" x14ac:dyDescent="0.2">
      <c r="A283" s="115" t="s">
        <v>183</v>
      </c>
      <c r="B283" s="115"/>
      <c r="C283" s="115"/>
      <c r="D283" s="115"/>
      <c r="E283" s="115"/>
      <c r="F283" s="115"/>
      <c r="G283" s="115"/>
      <c r="H283" s="115"/>
      <c r="I283" s="115"/>
      <c r="J283" s="115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701">
        <v>0.05</v>
      </c>
      <c r="CU283" s="115"/>
      <c r="CV283" s="115"/>
      <c r="CW283" s="115"/>
      <c r="CX283" s="115"/>
      <c r="CY283" s="115"/>
      <c r="CZ283" s="115"/>
      <c r="DA283" s="115"/>
      <c r="DB283" s="115"/>
      <c r="DC283" s="115"/>
      <c r="DD283" s="115"/>
      <c r="DE283" s="115"/>
      <c r="DF283" s="701">
        <v>0.05</v>
      </c>
      <c r="DG283" s="115"/>
      <c r="DH283" s="115"/>
      <c r="DI283" s="115"/>
      <c r="DJ283" s="115"/>
      <c r="DK283" s="115"/>
      <c r="DL283" s="115"/>
      <c r="DM283" s="115"/>
      <c r="DN283" s="115"/>
      <c r="DO283" s="115"/>
      <c r="DP283" s="115"/>
      <c r="DQ283" s="115"/>
      <c r="DR283" s="115"/>
      <c r="DS283" s="115"/>
      <c r="DT283" s="115"/>
      <c r="DU283" s="115"/>
      <c r="DV283" s="115"/>
      <c r="DW283" s="115"/>
      <c r="DX283" s="115"/>
      <c r="DY283" s="115"/>
      <c r="DZ283" s="115"/>
      <c r="EA283" s="115"/>
      <c r="EB283" s="115"/>
      <c r="EC283" s="115"/>
      <c r="ED283" s="113" t="s">
        <v>1</v>
      </c>
    </row>
    <row r="284" spans="1:134" x14ac:dyDescent="0.2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33"/>
      <c r="CU284" s="115"/>
      <c r="CV284" s="115"/>
      <c r="CW284" s="115"/>
      <c r="CX284" s="115"/>
      <c r="CY284" s="115"/>
      <c r="CZ284" s="115"/>
      <c r="DA284" s="115"/>
      <c r="DB284" s="115"/>
      <c r="DC284" s="115"/>
      <c r="DD284" s="115"/>
      <c r="DE284" s="115"/>
      <c r="DF284" s="133"/>
      <c r="DG284" s="115"/>
      <c r="DH284" s="115"/>
      <c r="DI284" s="115"/>
      <c r="DJ284" s="115"/>
      <c r="DK284" s="115"/>
      <c r="DL284" s="115"/>
      <c r="DM284" s="115"/>
      <c r="DN284" s="115"/>
      <c r="DO284" s="115"/>
      <c r="DP284" s="115"/>
      <c r="DQ284" s="115"/>
      <c r="DR284" s="115"/>
      <c r="DS284" s="115"/>
      <c r="DT284" s="115"/>
      <c r="DU284" s="115"/>
      <c r="DV284" s="115"/>
      <c r="DW284" s="115"/>
      <c r="DX284" s="115"/>
      <c r="DY284" s="115"/>
      <c r="DZ284" s="115"/>
      <c r="EA284" s="115"/>
      <c r="EB284" s="115"/>
      <c r="EC284" s="115"/>
      <c r="ED284" s="113" t="s">
        <v>1</v>
      </c>
    </row>
    <row r="285" spans="1:134" x14ac:dyDescent="0.2">
      <c r="A285" s="115" t="s">
        <v>587</v>
      </c>
      <c r="B285" s="727">
        <f t="shared" ref="B285:BM285" si="949">IFERROR(B273/B219,0)</f>
        <v>0</v>
      </c>
      <c r="C285" s="727">
        <f t="shared" si="949"/>
        <v>0</v>
      </c>
      <c r="D285" s="727">
        <f t="shared" si="949"/>
        <v>0</v>
      </c>
      <c r="E285" s="727">
        <f t="shared" si="949"/>
        <v>0</v>
      </c>
      <c r="F285" s="727">
        <f t="shared" si="949"/>
        <v>0</v>
      </c>
      <c r="G285" s="727">
        <f t="shared" si="949"/>
        <v>0</v>
      </c>
      <c r="H285" s="727">
        <f t="shared" si="949"/>
        <v>0</v>
      </c>
      <c r="I285" s="727">
        <f t="shared" si="949"/>
        <v>0</v>
      </c>
      <c r="J285" s="727">
        <f t="shared" si="949"/>
        <v>0</v>
      </c>
      <c r="K285" s="727">
        <f t="shared" si="949"/>
        <v>0</v>
      </c>
      <c r="L285" s="727">
        <f t="shared" si="949"/>
        <v>0</v>
      </c>
      <c r="M285" s="727">
        <f t="shared" si="949"/>
        <v>0</v>
      </c>
      <c r="N285" s="727">
        <f t="shared" si="949"/>
        <v>0</v>
      </c>
      <c r="O285" s="727">
        <f t="shared" si="949"/>
        <v>0</v>
      </c>
      <c r="P285" s="727">
        <f t="shared" si="949"/>
        <v>0</v>
      </c>
      <c r="Q285" s="727">
        <f t="shared" si="949"/>
        <v>0</v>
      </c>
      <c r="R285" s="727">
        <f t="shared" si="949"/>
        <v>0</v>
      </c>
      <c r="S285" s="727">
        <f t="shared" si="949"/>
        <v>0</v>
      </c>
      <c r="T285" s="727">
        <f t="shared" si="949"/>
        <v>0</v>
      </c>
      <c r="U285" s="727">
        <f t="shared" si="949"/>
        <v>0</v>
      </c>
      <c r="V285" s="727">
        <f t="shared" si="949"/>
        <v>0</v>
      </c>
      <c r="W285" s="727">
        <f t="shared" si="949"/>
        <v>0</v>
      </c>
      <c r="X285" s="727">
        <f t="shared" si="949"/>
        <v>0</v>
      </c>
      <c r="Y285" s="727">
        <f t="shared" si="949"/>
        <v>0</v>
      </c>
      <c r="Z285" s="727">
        <f t="shared" si="949"/>
        <v>0</v>
      </c>
      <c r="AA285" s="727">
        <f t="shared" si="949"/>
        <v>0</v>
      </c>
      <c r="AB285" s="727">
        <f t="shared" si="949"/>
        <v>0</v>
      </c>
      <c r="AC285" s="727">
        <f t="shared" si="949"/>
        <v>0</v>
      </c>
      <c r="AD285" s="727">
        <f t="shared" si="949"/>
        <v>0</v>
      </c>
      <c r="AE285" s="727">
        <f t="shared" si="949"/>
        <v>0</v>
      </c>
      <c r="AF285" s="727">
        <f t="shared" si="949"/>
        <v>0</v>
      </c>
      <c r="AG285" s="727">
        <f t="shared" si="949"/>
        <v>0</v>
      </c>
      <c r="AH285" s="727">
        <f t="shared" si="949"/>
        <v>0</v>
      </c>
      <c r="AI285" s="727">
        <f t="shared" si="949"/>
        <v>3.3766503669995721E-4</v>
      </c>
      <c r="AJ285" s="727">
        <f t="shared" si="949"/>
        <v>7.9791267992702811E-4</v>
      </c>
      <c r="AK285" s="727">
        <f t="shared" si="949"/>
        <v>1.3398916938833364E-3</v>
      </c>
      <c r="AL285" s="727">
        <f t="shared" si="949"/>
        <v>1.621606644856129E-3</v>
      </c>
      <c r="AM285" s="727">
        <f t="shared" si="949"/>
        <v>4.4471970452041728E-3</v>
      </c>
      <c r="AN285" s="727">
        <f t="shared" si="949"/>
        <v>1.7648612778344002E-3</v>
      </c>
      <c r="AO285" s="727">
        <f t="shared" si="949"/>
        <v>1.8294482536627466E-3</v>
      </c>
      <c r="AP285" s="727">
        <f t="shared" si="949"/>
        <v>3.7178264731100794E-3</v>
      </c>
      <c r="AQ285" s="727">
        <f t="shared" si="949"/>
        <v>3.6344562289221541E-3</v>
      </c>
      <c r="AR285" s="727">
        <f t="shared" si="949"/>
        <v>1.7989612913041418E-3</v>
      </c>
      <c r="AS285" s="727">
        <f t="shared" si="949"/>
        <v>2.367562776602401E-3</v>
      </c>
      <c r="AT285" s="727">
        <f t="shared" si="949"/>
        <v>1.7741568207920349E-3</v>
      </c>
      <c r="AU285" s="727">
        <f t="shared" si="949"/>
        <v>1.6554107772185315E-3</v>
      </c>
      <c r="AV285" s="727">
        <f t="shared" si="949"/>
        <v>2.1848370658151257E-3</v>
      </c>
      <c r="AW285" s="727">
        <f t="shared" si="949"/>
        <v>3.1887931934745464E-3</v>
      </c>
      <c r="AX285" s="727">
        <f t="shared" si="949"/>
        <v>9.7317324498230242E-3</v>
      </c>
      <c r="AY285" s="727">
        <f t="shared" si="949"/>
        <v>6.3033950227839369E-3</v>
      </c>
      <c r="AZ285" s="727">
        <f t="shared" si="949"/>
        <v>7.10533880930341E-3</v>
      </c>
      <c r="BA285" s="727">
        <f t="shared" si="949"/>
        <v>8.6765318082517393E-3</v>
      </c>
      <c r="BB285" s="727">
        <f t="shared" si="949"/>
        <v>1.044658902043877E-2</v>
      </c>
      <c r="BC285" s="727">
        <f t="shared" si="949"/>
        <v>7.1254814495247832E-3</v>
      </c>
      <c r="BD285" s="727">
        <f t="shared" si="949"/>
        <v>5.8843842349932006E-3</v>
      </c>
      <c r="BE285" s="727">
        <f t="shared" si="949"/>
        <v>4.9877589398304714E-3</v>
      </c>
      <c r="BF285" s="727">
        <f t="shared" si="949"/>
        <v>5.2560263713301685E-3</v>
      </c>
      <c r="BG285" s="727">
        <f t="shared" si="949"/>
        <v>4.7080108189651634E-3</v>
      </c>
      <c r="BH285" s="727">
        <f t="shared" si="949"/>
        <v>5.6059096259900116E-3</v>
      </c>
      <c r="BI285" s="727">
        <f t="shared" si="949"/>
        <v>4.5859022393676049E-3</v>
      </c>
      <c r="BJ285" s="727">
        <f t="shared" si="949"/>
        <v>5.7410989907482621E-3</v>
      </c>
      <c r="BK285" s="727">
        <f t="shared" si="949"/>
        <v>6.3137772194381313E-3</v>
      </c>
      <c r="BL285" s="727">
        <f t="shared" si="949"/>
        <v>7.9332647050378274E-3</v>
      </c>
      <c r="BM285" s="727">
        <f t="shared" si="949"/>
        <v>8.8788601992665743E-3</v>
      </c>
      <c r="BN285" s="727">
        <f t="shared" ref="BN285:CR285" si="950">IFERROR(BN273/BN219,0)</f>
        <v>8.5718506215818162E-3</v>
      </c>
      <c r="BO285" s="727">
        <f t="shared" si="950"/>
        <v>7.3319177804788381E-3</v>
      </c>
      <c r="BP285" s="727">
        <f t="shared" si="950"/>
        <v>6.937963816217702E-3</v>
      </c>
      <c r="BQ285" s="727">
        <f t="shared" si="950"/>
        <v>6.9765972005772113E-3</v>
      </c>
      <c r="BR285" s="727">
        <f t="shared" si="950"/>
        <v>7.6514580860540214E-3</v>
      </c>
      <c r="BS285" s="727">
        <f t="shared" si="950"/>
        <v>6.9171039355425306E-3</v>
      </c>
      <c r="BT285" s="727">
        <f t="shared" si="950"/>
        <v>8.522931324570519E-3</v>
      </c>
      <c r="BU285" s="727">
        <f t="shared" si="950"/>
        <v>8.4533399455113036E-3</v>
      </c>
      <c r="BV285" s="727">
        <f t="shared" si="950"/>
        <v>7.2126766404291285E-3</v>
      </c>
      <c r="BW285" s="727">
        <f t="shared" si="950"/>
        <v>8.4993393778509674E-3</v>
      </c>
      <c r="BX285" s="727">
        <f t="shared" si="950"/>
        <v>6.3304303552490252E-3</v>
      </c>
      <c r="BY285" s="727">
        <f t="shared" si="950"/>
        <v>7.8776823124073452E-3</v>
      </c>
      <c r="BZ285" s="727">
        <f t="shared" si="950"/>
        <v>8.3822833477255002E-3</v>
      </c>
      <c r="CA285" s="727">
        <f t="shared" si="950"/>
        <v>8.8893843177614094E-3</v>
      </c>
      <c r="CB285" s="727">
        <f t="shared" si="950"/>
        <v>7.8003804427707792E-3</v>
      </c>
      <c r="CC285" s="727">
        <f t="shared" si="950"/>
        <v>7.4520383257500053E-3</v>
      </c>
      <c r="CD285" s="727">
        <f t="shared" si="950"/>
        <v>6.376138621765213E-3</v>
      </c>
      <c r="CE285" s="727">
        <f t="shared" si="950"/>
        <v>6.0137191108967048E-3</v>
      </c>
      <c r="CF285" s="727">
        <f t="shared" si="950"/>
        <v>6.299943354037405E-3</v>
      </c>
      <c r="CG285" s="727">
        <f t="shared" si="950"/>
        <v>5.864558538061569E-3</v>
      </c>
      <c r="CH285" s="727">
        <f t="shared" si="950"/>
        <v>6.7903503780806168E-3</v>
      </c>
      <c r="CI285" s="727">
        <f t="shared" si="950"/>
        <v>6.6440341633457094E-3</v>
      </c>
      <c r="CJ285" s="727">
        <f t="shared" si="950"/>
        <v>7.5627526162208684E-3</v>
      </c>
      <c r="CK285" s="727">
        <f t="shared" si="950"/>
        <v>7.1580318600425168E-3</v>
      </c>
      <c r="CL285" s="727">
        <f t="shared" si="950"/>
        <v>7.8086163604315232E-3</v>
      </c>
      <c r="CM285" s="727">
        <f t="shared" si="950"/>
        <v>7.9298932502992921E-3</v>
      </c>
      <c r="CN285" s="727">
        <f t="shared" si="950"/>
        <v>8.5739200842972728E-3</v>
      </c>
      <c r="CO285" s="727">
        <f t="shared" si="950"/>
        <v>8.448233487548848E-3</v>
      </c>
      <c r="CP285" s="727">
        <f t="shared" si="950"/>
        <v>7.2421778088069813E-3</v>
      </c>
      <c r="CQ285" s="727">
        <f t="shared" si="950"/>
        <v>6.7309922668094581E-3</v>
      </c>
      <c r="CR285" s="727">
        <f t="shared" si="950"/>
        <v>7.920778604019808E-3</v>
      </c>
      <c r="CS285" s="727">
        <f>IFERROR(CS273/CS219,0)</f>
        <v>6.5301624648182481E-3</v>
      </c>
      <c r="CT285" s="727">
        <f>AVERAGE(CH285:CS285)*(1+CT286)</f>
        <v>7.4449952787267624E-3</v>
      </c>
      <c r="CU285" s="727">
        <f t="shared" ref="CU285" si="951">CT285*(1+CU286)</f>
        <v>7.4449952787267624E-3</v>
      </c>
      <c r="CV285" s="727">
        <f t="shared" ref="CV285" si="952">CU285*(1+CV286)</f>
        <v>7.4449952787267624E-3</v>
      </c>
      <c r="CW285" s="727">
        <f t="shared" ref="CW285" si="953">CV285*(1+CW286)</f>
        <v>7.4449952787267624E-3</v>
      </c>
      <c r="CX285" s="727">
        <f t="shared" ref="CX285" si="954">CW285*(1+CX286)</f>
        <v>7.4449952787267624E-3</v>
      </c>
      <c r="CY285" s="727">
        <f t="shared" ref="CY285" si="955">CX285*(1+CY286)</f>
        <v>7.4449952787267624E-3</v>
      </c>
      <c r="CZ285" s="727">
        <f t="shared" ref="CZ285" si="956">CY285*(1+CZ286)</f>
        <v>7.4449952787267624E-3</v>
      </c>
      <c r="DA285" s="727">
        <f t="shared" ref="DA285" si="957">CZ285*(1+DA286)</f>
        <v>7.4449952787267624E-3</v>
      </c>
      <c r="DB285" s="727">
        <f t="shared" ref="DB285" si="958">DA285*(1+DB286)</f>
        <v>7.4449952787267624E-3</v>
      </c>
      <c r="DC285" s="727">
        <f t="shared" ref="DC285" si="959">DB285*(1+DC286)</f>
        <v>7.4449952787267624E-3</v>
      </c>
      <c r="DD285" s="727">
        <f t="shared" ref="DD285" si="960">DC285*(1+DD286)</f>
        <v>7.4449952787267624E-3</v>
      </c>
      <c r="DE285" s="727">
        <f t="shared" ref="DE285" si="961">DD285*(1+DE286)</f>
        <v>7.4449952787267624E-3</v>
      </c>
      <c r="DF285" s="727">
        <f t="shared" ref="DF285" si="962">DE285*(1+DF286)</f>
        <v>7.4449952787267624E-3</v>
      </c>
      <c r="DG285" s="727">
        <f t="shared" ref="DG285" si="963">DF285*(1+DG286)</f>
        <v>7.4449952787267624E-3</v>
      </c>
      <c r="DH285" s="727">
        <f t="shared" ref="DH285" si="964">DG285*(1+DH286)</f>
        <v>7.4449952787267624E-3</v>
      </c>
      <c r="DI285" s="727">
        <f t="shared" ref="DI285" si="965">DH285*(1+DI286)</f>
        <v>7.4449952787267624E-3</v>
      </c>
      <c r="DJ285" s="727">
        <f t="shared" ref="DJ285" si="966">DI285*(1+DJ286)</f>
        <v>7.4449952787267624E-3</v>
      </c>
      <c r="DK285" s="727">
        <f t="shared" ref="DK285" si="967">DJ285*(1+DK286)</f>
        <v>7.4449952787267624E-3</v>
      </c>
      <c r="DL285" s="727">
        <f t="shared" ref="DL285" si="968">DK285*(1+DL286)</f>
        <v>7.4449952787267624E-3</v>
      </c>
      <c r="DM285" s="727">
        <f t="shared" ref="DM285" si="969">DL285*(1+DM286)</f>
        <v>7.4449952787267624E-3</v>
      </c>
      <c r="DN285" s="727">
        <f t="shared" ref="DN285" si="970">DM285*(1+DN286)</f>
        <v>7.4449952787267624E-3</v>
      </c>
      <c r="DO285" s="727">
        <f t="shared" ref="DO285" si="971">DN285*(1+DO286)</f>
        <v>7.4449952787267624E-3</v>
      </c>
      <c r="DP285" s="727">
        <f t="shared" ref="DP285" si="972">DO285*(1+DP286)</f>
        <v>7.4449952787267624E-3</v>
      </c>
      <c r="DQ285" s="727">
        <f t="shared" ref="DQ285" si="973">DP285*(1+DQ286)</f>
        <v>7.4449952787267624E-3</v>
      </c>
      <c r="DR285" s="727">
        <f t="shared" ref="DR285" si="974">DQ285*(1+DR286)</f>
        <v>7.4449952787267624E-3</v>
      </c>
      <c r="DS285" s="727">
        <f t="shared" ref="DS285" si="975">DR285*(1+DS286)</f>
        <v>7.4449952787267624E-3</v>
      </c>
      <c r="DT285" s="727">
        <f t="shared" ref="DT285" si="976">DS285*(1+DT286)</f>
        <v>7.4449952787267624E-3</v>
      </c>
      <c r="DU285" s="727">
        <f t="shared" ref="DU285" si="977">DT285*(1+DU286)</f>
        <v>7.4449952787267624E-3</v>
      </c>
      <c r="DV285" s="727">
        <f t="shared" ref="DV285" si="978">DU285*(1+DV286)</f>
        <v>7.4449952787267624E-3</v>
      </c>
      <c r="DW285" s="727">
        <f t="shared" ref="DW285" si="979">DV285*(1+DW286)</f>
        <v>7.4449952787267624E-3</v>
      </c>
      <c r="DX285" s="727">
        <f t="shared" ref="DX285" si="980">DW285*(1+DX286)</f>
        <v>7.4449952787267624E-3</v>
      </c>
      <c r="DY285" s="727">
        <f t="shared" ref="DY285" si="981">DX285*(1+DY286)</f>
        <v>7.4449952787267624E-3</v>
      </c>
      <c r="DZ285" s="727">
        <f t="shared" ref="DZ285" si="982">DY285*(1+DZ286)</f>
        <v>7.4449952787267624E-3</v>
      </c>
      <c r="EA285" s="727">
        <f t="shared" ref="EA285" si="983">DZ285*(1+EA286)</f>
        <v>7.4449952787267624E-3</v>
      </c>
      <c r="EB285" s="727">
        <f t="shared" ref="EB285" si="984">EA285*(1+EB286)</f>
        <v>7.4449952787267624E-3</v>
      </c>
      <c r="EC285" s="727">
        <f t="shared" ref="EC285" si="985">EB285*(1+EC286)</f>
        <v>7.4449952787267624E-3</v>
      </c>
    </row>
    <row r="286" spans="1:134" x14ac:dyDescent="0.2">
      <c r="A286" s="115" t="s">
        <v>588</v>
      </c>
      <c r="B286" s="115"/>
      <c r="C286" s="115"/>
      <c r="D286" s="115"/>
      <c r="E286" s="115"/>
      <c r="F286" s="115"/>
      <c r="G286" s="115"/>
      <c r="H286" s="115"/>
      <c r="I286" s="115"/>
      <c r="J286" s="115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  <c r="AH286" s="129"/>
      <c r="AI286" s="129"/>
      <c r="AJ286" s="129"/>
      <c r="AK286" s="129"/>
      <c r="AL286" s="129"/>
      <c r="AM286" s="129"/>
      <c r="AN286" s="129"/>
      <c r="AO286" s="129"/>
      <c r="AP286" s="129"/>
      <c r="AQ286" s="129"/>
      <c r="AR286" s="129"/>
      <c r="AS286" s="129"/>
      <c r="AT286" s="129"/>
      <c r="AU286" s="129"/>
      <c r="AV286" s="129"/>
      <c r="AW286" s="129"/>
      <c r="AX286" s="129"/>
      <c r="AY286" s="129"/>
      <c r="AZ286" s="129"/>
      <c r="BA286" s="129"/>
      <c r="BB286" s="129"/>
      <c r="BC286" s="129"/>
      <c r="BD286" s="129"/>
      <c r="BE286" s="129"/>
      <c r="BF286" s="129"/>
      <c r="BG286" s="129"/>
      <c r="BH286" s="129"/>
      <c r="BI286" s="129"/>
      <c r="BJ286" s="129"/>
      <c r="BK286" s="129"/>
      <c r="BL286" s="129"/>
      <c r="BM286" s="129"/>
      <c r="BN286" s="129"/>
      <c r="BO286" s="129"/>
      <c r="BP286" s="129"/>
      <c r="BQ286" s="129"/>
      <c r="BR286" s="129"/>
      <c r="BS286" s="129"/>
      <c r="BT286" s="129"/>
      <c r="BU286" s="129"/>
      <c r="BV286" s="129"/>
      <c r="BW286" s="129"/>
      <c r="BX286" s="129"/>
      <c r="BY286" s="129"/>
      <c r="BZ286" s="129"/>
      <c r="CA286" s="129"/>
      <c r="CB286" s="129"/>
      <c r="CC286" s="129"/>
      <c r="CD286" s="129"/>
      <c r="CE286" s="129"/>
      <c r="CF286" s="129"/>
      <c r="CG286" s="129"/>
      <c r="CH286" s="129"/>
      <c r="CI286" s="129"/>
      <c r="CJ286" s="129"/>
      <c r="CK286" s="129"/>
      <c r="CL286" s="129"/>
      <c r="CM286" s="129"/>
      <c r="CN286" s="129"/>
      <c r="CO286" s="129"/>
      <c r="CP286" s="129"/>
      <c r="CQ286" s="129"/>
      <c r="CR286" s="129"/>
      <c r="CS286" s="129"/>
      <c r="CT286" s="701"/>
      <c r="CU286" s="115"/>
      <c r="CV286" s="115"/>
      <c r="CW286" s="115"/>
      <c r="CX286" s="115"/>
      <c r="CY286" s="115"/>
      <c r="CZ286" s="115"/>
      <c r="DA286" s="115"/>
      <c r="DB286" s="115"/>
      <c r="DC286" s="115"/>
      <c r="DD286" s="115"/>
      <c r="DE286" s="115"/>
      <c r="DF286" s="701"/>
      <c r="DG286" s="115"/>
      <c r="DH286" s="115"/>
      <c r="DI286" s="115"/>
      <c r="DJ286" s="115"/>
      <c r="DK286" s="115"/>
      <c r="DL286" s="115"/>
      <c r="DM286" s="115"/>
      <c r="DN286" s="115"/>
      <c r="DO286" s="115"/>
      <c r="DP286" s="115"/>
      <c r="DQ286" s="115"/>
      <c r="DR286" s="701"/>
      <c r="DS286" s="115"/>
      <c r="DT286" s="115"/>
      <c r="DU286" s="115"/>
      <c r="DV286" s="115"/>
      <c r="DW286" s="115"/>
      <c r="DX286" s="115"/>
      <c r="DY286" s="115"/>
      <c r="DZ286" s="115"/>
      <c r="EA286" s="115"/>
      <c r="EB286" s="115"/>
      <c r="EC286" s="115"/>
      <c r="ED286" s="113" t="s">
        <v>1</v>
      </c>
    </row>
    <row r="287" spans="1:134" x14ac:dyDescent="0.2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  <c r="AH287" s="129"/>
      <c r="AI287" s="129"/>
      <c r="AJ287" s="129"/>
      <c r="AK287" s="129"/>
      <c r="AL287" s="129"/>
      <c r="AM287" s="129"/>
      <c r="AN287" s="129"/>
      <c r="AO287" s="129"/>
      <c r="AP287" s="129"/>
      <c r="AQ287" s="129"/>
      <c r="AR287" s="129"/>
      <c r="AS287" s="129"/>
      <c r="AT287" s="129"/>
      <c r="AU287" s="129"/>
      <c r="AV287" s="129"/>
      <c r="AW287" s="129"/>
      <c r="AX287" s="129"/>
      <c r="AY287" s="129"/>
      <c r="AZ287" s="129"/>
      <c r="BA287" s="129"/>
      <c r="BB287" s="129"/>
      <c r="BC287" s="129"/>
      <c r="BD287" s="129"/>
      <c r="BE287" s="129"/>
      <c r="BF287" s="129"/>
      <c r="BG287" s="129"/>
      <c r="BH287" s="129"/>
      <c r="BI287" s="129"/>
      <c r="BJ287" s="129"/>
      <c r="BK287" s="129"/>
      <c r="BL287" s="129"/>
      <c r="BM287" s="129"/>
      <c r="BN287" s="129"/>
      <c r="BO287" s="129"/>
      <c r="BP287" s="129"/>
      <c r="BQ287" s="129"/>
      <c r="BR287" s="129"/>
      <c r="BS287" s="129"/>
      <c r="BT287" s="129"/>
      <c r="BU287" s="129"/>
      <c r="BV287" s="129"/>
      <c r="BW287" s="129"/>
      <c r="BX287" s="129"/>
      <c r="BY287" s="129"/>
      <c r="BZ287" s="129"/>
      <c r="CA287" s="129"/>
      <c r="CB287" s="129"/>
      <c r="CC287" s="129"/>
      <c r="CD287" s="129"/>
      <c r="CE287" s="129"/>
      <c r="CF287" s="129"/>
      <c r="CG287" s="129"/>
      <c r="CH287" s="129"/>
      <c r="CI287" s="129"/>
      <c r="CJ287" s="129"/>
      <c r="CK287" s="129"/>
      <c r="CL287" s="129"/>
      <c r="CM287" s="129"/>
      <c r="CN287" s="129"/>
      <c r="CO287" s="129"/>
      <c r="CP287" s="129"/>
      <c r="CQ287" s="129"/>
      <c r="CR287" s="129"/>
      <c r="CS287" s="129"/>
      <c r="CT287" s="115"/>
      <c r="CU287" s="115"/>
      <c r="CV287" s="115"/>
      <c r="CW287" s="115"/>
      <c r="CX287" s="115"/>
      <c r="CY287" s="115"/>
      <c r="CZ287" s="115"/>
      <c r="DA287" s="115"/>
      <c r="DB287" s="115"/>
      <c r="DC287" s="115"/>
      <c r="DD287" s="115"/>
      <c r="DE287" s="115"/>
      <c r="DF287" s="115"/>
      <c r="DG287" s="115"/>
      <c r="DH287" s="115"/>
      <c r="DI287" s="115"/>
      <c r="DJ287" s="115"/>
      <c r="DK287" s="115"/>
      <c r="DL287" s="115"/>
      <c r="DM287" s="115"/>
      <c r="DN287" s="115"/>
      <c r="DO287" s="115"/>
      <c r="DP287" s="115"/>
      <c r="DQ287" s="115"/>
      <c r="DR287" s="115"/>
      <c r="DS287" s="115"/>
      <c r="DT287" s="115"/>
      <c r="DU287" s="115"/>
      <c r="DV287" s="115"/>
      <c r="DW287" s="115"/>
      <c r="DX287" s="115"/>
      <c r="DY287" s="115"/>
      <c r="DZ287" s="115"/>
      <c r="EA287" s="115"/>
      <c r="EB287" s="115"/>
      <c r="EC287" s="115"/>
      <c r="ED287" s="113" t="s">
        <v>1</v>
      </c>
    </row>
    <row r="288" spans="1:134" x14ac:dyDescent="0.2">
      <c r="A288" s="115" t="s">
        <v>184</v>
      </c>
      <c r="B288" s="115"/>
      <c r="C288" s="115"/>
      <c r="D288" s="115"/>
      <c r="E288" s="115"/>
      <c r="F288" s="115"/>
      <c r="G288" s="115"/>
      <c r="H288" s="115"/>
      <c r="I288" s="115"/>
      <c r="J288" s="115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29"/>
      <c r="AM288" s="129"/>
      <c r="AN288" s="129"/>
      <c r="AO288" s="129">
        <f t="shared" ref="AO288:BT288" si="986">AO274/AO204</f>
        <v>57.47422680412371</v>
      </c>
      <c r="AP288" s="129">
        <f t="shared" si="986"/>
        <v>85.111788617886177</v>
      </c>
      <c r="AQ288" s="129">
        <f t="shared" si="986"/>
        <v>122.85022831050229</v>
      </c>
      <c r="AR288" s="129">
        <f t="shared" si="986"/>
        <v>57.94180704441041</v>
      </c>
      <c r="AS288" s="129">
        <f t="shared" si="986"/>
        <v>68.672890963654552</v>
      </c>
      <c r="AT288" s="129">
        <f t="shared" si="986"/>
        <v>61.253199019874764</v>
      </c>
      <c r="AU288" s="129">
        <f t="shared" si="986"/>
        <v>98.094584089142259</v>
      </c>
      <c r="AV288" s="129">
        <f t="shared" si="986"/>
        <v>119.45539906103286</v>
      </c>
      <c r="AW288" s="129">
        <f t="shared" si="986"/>
        <v>221.57427158866227</v>
      </c>
      <c r="AX288" s="129">
        <f t="shared" si="986"/>
        <v>237.30839160839162</v>
      </c>
      <c r="AY288" s="129">
        <f t="shared" si="986"/>
        <v>161.14394961763384</v>
      </c>
      <c r="AZ288" s="129">
        <f t="shared" si="986"/>
        <v>254.39684684684684</v>
      </c>
      <c r="BA288" s="129">
        <f t="shared" si="986"/>
        <v>196.02423324498295</v>
      </c>
      <c r="BB288" s="129">
        <f t="shared" si="986"/>
        <v>220.73578595317727</v>
      </c>
      <c r="BC288" s="129">
        <f t="shared" si="986"/>
        <v>199.40495598304531</v>
      </c>
      <c r="BD288" s="129">
        <f t="shared" si="986"/>
        <v>321.85185185185185</v>
      </c>
      <c r="BE288" s="129">
        <f t="shared" si="986"/>
        <v>460.80903490759755</v>
      </c>
      <c r="BF288" s="129">
        <f t="shared" si="986"/>
        <v>490.11406844106466</v>
      </c>
      <c r="BG288" s="129">
        <f t="shared" si="986"/>
        <v>628.15572158867474</v>
      </c>
      <c r="BH288" s="129">
        <f t="shared" si="986"/>
        <v>179.95373993095512</v>
      </c>
      <c r="BI288" s="129">
        <f t="shared" si="986"/>
        <v>329.13058289360652</v>
      </c>
      <c r="BJ288" s="129">
        <f t="shared" si="986"/>
        <v>266.63595021541408</v>
      </c>
      <c r="BK288" s="129">
        <f t="shared" si="986"/>
        <v>310.42883008356546</v>
      </c>
      <c r="BL288" s="129">
        <f t="shared" si="986"/>
        <v>187.35218347470939</v>
      </c>
      <c r="BM288" s="129">
        <f t="shared" si="986"/>
        <v>273.25195968645016</v>
      </c>
      <c r="BN288" s="129">
        <f t="shared" si="986"/>
        <v>293.98254364089775</v>
      </c>
      <c r="BO288" s="129">
        <f t="shared" si="986"/>
        <v>310.59351969504445</v>
      </c>
      <c r="BP288" s="129">
        <f t="shared" si="986"/>
        <v>334.94219146032367</v>
      </c>
      <c r="BQ288" s="129">
        <f t="shared" si="986"/>
        <v>262.05588299497924</v>
      </c>
      <c r="BR288" s="129">
        <f t="shared" si="986"/>
        <v>301.2284648700674</v>
      </c>
      <c r="BS288" s="129">
        <f t="shared" si="986"/>
        <v>247.93161512027493</v>
      </c>
      <c r="BT288" s="129">
        <f t="shared" si="986"/>
        <v>330.81653703077444</v>
      </c>
      <c r="BU288" s="129">
        <f t="shared" ref="BU288:CS288" si="987">BU274/BU204</f>
        <v>250.31730558598028</v>
      </c>
      <c r="BV288" s="129">
        <f t="shared" si="987"/>
        <v>287.00142653352356</v>
      </c>
      <c r="BW288" s="129">
        <f t="shared" si="987"/>
        <v>272.79412429378533</v>
      </c>
      <c r="BX288" s="129">
        <f t="shared" si="987"/>
        <v>229.00605209121366</v>
      </c>
      <c r="BY288" s="129">
        <f t="shared" si="987"/>
        <v>185.41050664451828</v>
      </c>
      <c r="BZ288" s="129">
        <f t="shared" si="987"/>
        <v>215.97622015010234</v>
      </c>
      <c r="CA288" s="129">
        <f t="shared" si="987"/>
        <v>219.43305289274838</v>
      </c>
      <c r="CB288" s="129">
        <f t="shared" si="987"/>
        <v>211.39475704302305</v>
      </c>
      <c r="CC288" s="129">
        <f t="shared" si="987"/>
        <v>224.50531305114637</v>
      </c>
      <c r="CD288" s="129">
        <f t="shared" si="987"/>
        <v>222.91291565287915</v>
      </c>
      <c r="CE288" s="129">
        <f t="shared" si="987"/>
        <v>303.28129585284921</v>
      </c>
      <c r="CF288" s="129">
        <f t="shared" si="987"/>
        <v>192.73300393448622</v>
      </c>
      <c r="CG288" s="129">
        <f t="shared" si="987"/>
        <v>178.24361657597322</v>
      </c>
      <c r="CH288" s="129">
        <f t="shared" si="987"/>
        <v>250.70179970722467</v>
      </c>
      <c r="CI288" s="129">
        <f t="shared" si="987"/>
        <v>227.68441159372145</v>
      </c>
      <c r="CJ288" s="129">
        <f t="shared" si="987"/>
        <v>209.9977854849671</v>
      </c>
      <c r="CK288" s="129">
        <f t="shared" si="987"/>
        <v>199.29459734964323</v>
      </c>
      <c r="CL288" s="129">
        <f t="shared" si="987"/>
        <v>216.31984356401972</v>
      </c>
      <c r="CM288" s="129">
        <f t="shared" si="987"/>
        <v>141.01457243160894</v>
      </c>
      <c r="CN288" s="129">
        <f t="shared" si="987"/>
        <v>225.14394306970726</v>
      </c>
      <c r="CO288" s="129">
        <f t="shared" si="987"/>
        <v>198.89941060903732</v>
      </c>
      <c r="CP288" s="129">
        <f t="shared" si="987"/>
        <v>215.65880365411087</v>
      </c>
      <c r="CQ288" s="129">
        <f t="shared" si="987"/>
        <v>221.05996813837049</v>
      </c>
      <c r="CR288" s="129">
        <f t="shared" si="987"/>
        <v>217.40676706962924</v>
      </c>
      <c r="CS288" s="129">
        <f t="shared" si="987"/>
        <v>222.71538889232099</v>
      </c>
      <c r="CT288" s="129">
        <f>AVERAGE(CH288:CS288)*(1+CT289)</f>
        <v>222.76601301188157</v>
      </c>
      <c r="CU288" s="129">
        <f t="shared" ref="CU288:DQ288" si="988">CT288*(1+CU289)</f>
        <v>222.76601301188157</v>
      </c>
      <c r="CV288" s="129">
        <f t="shared" si="988"/>
        <v>222.76601301188157</v>
      </c>
      <c r="CW288" s="129">
        <f t="shared" si="988"/>
        <v>222.76601301188157</v>
      </c>
      <c r="CX288" s="129">
        <f t="shared" si="988"/>
        <v>222.76601301188157</v>
      </c>
      <c r="CY288" s="129">
        <f t="shared" si="988"/>
        <v>222.76601301188157</v>
      </c>
      <c r="CZ288" s="129">
        <f t="shared" si="988"/>
        <v>222.76601301188157</v>
      </c>
      <c r="DA288" s="129">
        <f t="shared" si="988"/>
        <v>222.76601301188157</v>
      </c>
      <c r="DB288" s="129">
        <f t="shared" si="988"/>
        <v>222.76601301188157</v>
      </c>
      <c r="DC288" s="129">
        <f t="shared" si="988"/>
        <v>222.76601301188157</v>
      </c>
      <c r="DD288" s="129">
        <f t="shared" si="988"/>
        <v>222.76601301188157</v>
      </c>
      <c r="DE288" s="129">
        <f t="shared" si="988"/>
        <v>222.76601301188157</v>
      </c>
      <c r="DF288" s="129">
        <f t="shared" si="988"/>
        <v>233.90431366247566</v>
      </c>
      <c r="DG288" s="129">
        <f t="shared" si="988"/>
        <v>233.90431366247566</v>
      </c>
      <c r="DH288" s="129">
        <f t="shared" si="988"/>
        <v>233.90431366247566</v>
      </c>
      <c r="DI288" s="129">
        <f t="shared" si="988"/>
        <v>233.90431366247566</v>
      </c>
      <c r="DJ288" s="129">
        <f t="shared" si="988"/>
        <v>233.90431366247566</v>
      </c>
      <c r="DK288" s="129">
        <f t="shared" si="988"/>
        <v>233.90431366247566</v>
      </c>
      <c r="DL288" s="129">
        <f t="shared" si="988"/>
        <v>233.90431366247566</v>
      </c>
      <c r="DM288" s="129">
        <f t="shared" si="988"/>
        <v>233.90431366247566</v>
      </c>
      <c r="DN288" s="129">
        <f t="shared" si="988"/>
        <v>233.90431366247566</v>
      </c>
      <c r="DO288" s="129">
        <f t="shared" si="988"/>
        <v>233.90431366247566</v>
      </c>
      <c r="DP288" s="129">
        <f t="shared" si="988"/>
        <v>233.90431366247566</v>
      </c>
      <c r="DQ288" s="129">
        <f t="shared" si="988"/>
        <v>233.90431366247566</v>
      </c>
      <c r="DR288" s="129">
        <f t="shared" ref="DR288" si="989">DQ288*(1+DR289)</f>
        <v>233.90431366247566</v>
      </c>
      <c r="DS288" s="129">
        <f t="shared" ref="DS288" si="990">DR288*(1+DS289)</f>
        <v>233.90431366247566</v>
      </c>
      <c r="DT288" s="129">
        <f t="shared" ref="DT288" si="991">DS288*(1+DT289)</f>
        <v>233.90431366247566</v>
      </c>
      <c r="DU288" s="129">
        <f t="shared" ref="DU288" si="992">DT288*(1+DU289)</f>
        <v>233.90431366247566</v>
      </c>
      <c r="DV288" s="129">
        <f t="shared" ref="DV288" si="993">DU288*(1+DV289)</f>
        <v>233.90431366247566</v>
      </c>
      <c r="DW288" s="129">
        <f t="shared" ref="DW288" si="994">DV288*(1+DW289)</f>
        <v>233.90431366247566</v>
      </c>
      <c r="DX288" s="129">
        <f t="shared" ref="DX288" si="995">DW288*(1+DX289)</f>
        <v>233.90431366247566</v>
      </c>
      <c r="DY288" s="129">
        <f t="shared" ref="DY288" si="996">DX288*(1+DY289)</f>
        <v>233.90431366247566</v>
      </c>
      <c r="DZ288" s="129">
        <f t="shared" ref="DZ288" si="997">DY288*(1+DZ289)</f>
        <v>233.90431366247566</v>
      </c>
      <c r="EA288" s="129">
        <f t="shared" ref="EA288" si="998">DZ288*(1+EA289)</f>
        <v>233.90431366247566</v>
      </c>
      <c r="EB288" s="129">
        <f t="shared" ref="EB288" si="999">EA288*(1+EB289)</f>
        <v>233.90431366247566</v>
      </c>
      <c r="EC288" s="129">
        <f t="shared" ref="EC288" si="1000">EB288*(1+EC289)</f>
        <v>233.90431366247566</v>
      </c>
      <c r="ED288" s="113" t="s">
        <v>1</v>
      </c>
    </row>
    <row r="289" spans="1:134" x14ac:dyDescent="0.2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  <c r="AH289" s="129"/>
      <c r="AI289" s="129"/>
      <c r="AJ289" s="129"/>
      <c r="AK289" s="129"/>
      <c r="AL289" s="129"/>
      <c r="AM289" s="129"/>
      <c r="AN289" s="129"/>
      <c r="AO289" s="129"/>
      <c r="AP289" s="129"/>
      <c r="AQ289" s="129"/>
      <c r="AR289" s="129"/>
      <c r="AS289" s="129"/>
      <c r="AT289" s="129"/>
      <c r="AU289" s="129"/>
      <c r="AV289" s="129"/>
      <c r="AW289" s="129"/>
      <c r="AX289" s="129"/>
      <c r="AY289" s="129"/>
      <c r="AZ289" s="129"/>
      <c r="BA289" s="129"/>
      <c r="BB289" s="129"/>
      <c r="BC289" s="129"/>
      <c r="BD289" s="129"/>
      <c r="BE289" s="129"/>
      <c r="BF289" s="129"/>
      <c r="BG289" s="129"/>
      <c r="BH289" s="129"/>
      <c r="BI289" s="129"/>
      <c r="BJ289" s="129"/>
      <c r="BK289" s="129"/>
      <c r="BL289" s="129"/>
      <c r="BM289" s="129"/>
      <c r="BN289" s="129"/>
      <c r="BO289" s="129"/>
      <c r="BP289" s="129"/>
      <c r="BQ289" s="129"/>
      <c r="BR289" s="129"/>
      <c r="BS289" s="129"/>
      <c r="BT289" s="129"/>
      <c r="BU289" s="129"/>
      <c r="BV289" s="129"/>
      <c r="BW289" s="129"/>
      <c r="BX289" s="129"/>
      <c r="BY289" s="129"/>
      <c r="BZ289" s="129"/>
      <c r="CA289" s="129"/>
      <c r="CB289" s="129"/>
      <c r="CC289" s="129"/>
      <c r="CD289" s="129"/>
      <c r="CE289" s="129"/>
      <c r="CF289" s="129"/>
      <c r="CG289" s="129"/>
      <c r="CH289" s="129"/>
      <c r="CI289" s="129"/>
      <c r="CJ289" s="129"/>
      <c r="CK289" s="129"/>
      <c r="CL289" s="129"/>
      <c r="CM289" s="129"/>
      <c r="CN289" s="129"/>
      <c r="CO289" s="129"/>
      <c r="CP289" s="129"/>
      <c r="CQ289" s="129"/>
      <c r="CR289" s="129"/>
      <c r="CS289" s="129"/>
      <c r="CT289" s="701">
        <v>0.05</v>
      </c>
      <c r="CU289" s="115"/>
      <c r="CV289" s="115"/>
      <c r="CW289" s="115"/>
      <c r="CX289" s="115"/>
      <c r="CY289" s="115"/>
      <c r="CZ289" s="115"/>
      <c r="DA289" s="115"/>
      <c r="DB289" s="115"/>
      <c r="DC289" s="115"/>
      <c r="DD289" s="115"/>
      <c r="DE289" s="115"/>
      <c r="DF289" s="701">
        <v>0.05</v>
      </c>
      <c r="DG289" s="115"/>
      <c r="DH289" s="115"/>
      <c r="DI289" s="115"/>
      <c r="DJ289" s="115"/>
      <c r="DK289" s="115"/>
      <c r="DL289" s="115"/>
      <c r="DM289" s="115"/>
      <c r="DN289" s="115"/>
      <c r="DO289" s="115"/>
      <c r="DP289" s="115"/>
      <c r="DQ289" s="115"/>
      <c r="DR289" s="115"/>
      <c r="DS289" s="115"/>
      <c r="DT289" s="115"/>
      <c r="DU289" s="115"/>
      <c r="DV289" s="115"/>
      <c r="DW289" s="115"/>
      <c r="DX289" s="115"/>
      <c r="DY289" s="115"/>
      <c r="DZ289" s="115"/>
      <c r="EA289" s="115"/>
      <c r="EB289" s="115"/>
      <c r="EC289" s="645"/>
      <c r="ED289" s="113" t="s">
        <v>1</v>
      </c>
    </row>
    <row r="290" spans="1:134" x14ac:dyDescent="0.2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15"/>
      <c r="AL290" s="115"/>
      <c r="AM290" s="115"/>
      <c r="AN290" s="115"/>
      <c r="AO290" s="115"/>
      <c r="AP290" s="115"/>
      <c r="AQ290" s="115"/>
      <c r="AR290" s="115"/>
      <c r="AS290" s="115"/>
      <c r="AT290" s="115"/>
      <c r="AU290" s="115"/>
      <c r="AV290" s="115"/>
      <c r="AW290" s="115"/>
      <c r="AX290" s="115"/>
      <c r="AY290" s="115"/>
      <c r="AZ290" s="115"/>
      <c r="BA290" s="115"/>
      <c r="BB290" s="115"/>
      <c r="BC290" s="115"/>
      <c r="BD290" s="115"/>
      <c r="BE290" s="115"/>
      <c r="BF290" s="115"/>
      <c r="BG290" s="115"/>
      <c r="BH290" s="115"/>
      <c r="BI290" s="115"/>
      <c r="BJ290" s="115"/>
      <c r="BK290" s="115"/>
      <c r="BL290" s="115"/>
      <c r="BM290" s="115"/>
      <c r="BN290" s="115"/>
      <c r="BO290" s="115"/>
      <c r="BP290" s="115"/>
      <c r="BQ290" s="115"/>
      <c r="BR290" s="115"/>
      <c r="BS290" s="115"/>
      <c r="BT290" s="115"/>
      <c r="BU290" s="115"/>
      <c r="BV290" s="115"/>
      <c r="BW290" s="115"/>
      <c r="BX290" s="115"/>
      <c r="BY290" s="115"/>
      <c r="BZ290" s="115"/>
      <c r="CA290" s="115"/>
      <c r="CB290" s="115"/>
      <c r="CC290" s="115"/>
      <c r="CD290" s="115"/>
      <c r="CE290" s="115"/>
      <c r="CF290" s="115"/>
      <c r="CG290" s="115"/>
      <c r="CH290" s="115"/>
      <c r="CI290" s="115"/>
      <c r="CJ290" s="115"/>
      <c r="CK290" s="115"/>
      <c r="CL290" s="115"/>
      <c r="CM290" s="115"/>
      <c r="CN290" s="115"/>
      <c r="CO290" s="115"/>
      <c r="CP290" s="115"/>
      <c r="CQ290" s="115"/>
      <c r="CR290" s="115"/>
      <c r="CS290" s="115"/>
      <c r="CT290" s="115"/>
      <c r="CU290" s="115"/>
      <c r="CV290" s="115"/>
      <c r="CW290" s="115"/>
      <c r="CX290" s="115"/>
      <c r="CY290" s="115"/>
      <c r="CZ290" s="115"/>
      <c r="DA290" s="115"/>
      <c r="DB290" s="115"/>
      <c r="DC290" s="115"/>
      <c r="DD290" s="115"/>
      <c r="DE290" s="115"/>
      <c r="DF290" s="115"/>
      <c r="DG290" s="115"/>
      <c r="DH290" s="115"/>
      <c r="DI290" s="115"/>
      <c r="DJ290" s="115"/>
      <c r="DK290" s="115"/>
      <c r="DL290" s="115"/>
      <c r="DM290" s="115"/>
      <c r="DN290" s="115"/>
      <c r="DO290" s="115"/>
      <c r="DP290" s="115"/>
      <c r="DQ290" s="115"/>
      <c r="DR290" s="115"/>
      <c r="DS290" s="115"/>
      <c r="DT290" s="115"/>
      <c r="DU290" s="115"/>
      <c r="DV290" s="115"/>
      <c r="DW290" s="115"/>
      <c r="DX290" s="115"/>
      <c r="DY290" s="115"/>
      <c r="DZ290" s="115"/>
      <c r="EA290" s="115"/>
      <c r="EB290" s="115"/>
      <c r="EC290" s="645"/>
      <c r="ED290" s="113" t="s">
        <v>1</v>
      </c>
    </row>
    <row r="291" spans="1:134" x14ac:dyDescent="0.2">
      <c r="A291" s="330" t="s">
        <v>40</v>
      </c>
      <c r="B291" s="115"/>
      <c r="C291" s="115"/>
      <c r="D291" s="115"/>
      <c r="E291" s="115"/>
      <c r="F291" s="115"/>
      <c r="G291" s="115"/>
      <c r="H291" s="115"/>
      <c r="I291" s="115"/>
      <c r="J291" s="115"/>
      <c r="K291" s="130">
        <f>K292+K296+K297</f>
        <v>214543.74086242303</v>
      </c>
      <c r="L291" s="130">
        <f t="shared" ref="L291:BW291" si="1001">L292+L296+L297</f>
        <v>252978.51188811188</v>
      </c>
      <c r="M291" s="130">
        <f t="shared" si="1001"/>
        <v>423221.06896387838</v>
      </c>
      <c r="N291" s="130">
        <f t="shared" si="1001"/>
        <v>403903.56728441751</v>
      </c>
      <c r="O291" s="130">
        <f t="shared" si="1001"/>
        <v>398598.87771692628</v>
      </c>
      <c r="P291" s="130">
        <f t="shared" si="1001"/>
        <v>311423.36104060913</v>
      </c>
      <c r="Q291" s="130">
        <f t="shared" si="1001"/>
        <v>404985.24219650286</v>
      </c>
      <c r="R291" s="130">
        <f t="shared" si="1001"/>
        <v>416864.83405909792</v>
      </c>
      <c r="S291" s="130">
        <f t="shared" si="1001"/>
        <v>499289.56871368235</v>
      </c>
      <c r="T291" s="130">
        <f t="shared" si="1001"/>
        <v>474904.60227272724</v>
      </c>
      <c r="U291" s="130">
        <f t="shared" si="1001"/>
        <v>497887.22317334148</v>
      </c>
      <c r="V291" s="130">
        <f t="shared" si="1001"/>
        <v>389519.99901646789</v>
      </c>
      <c r="W291" s="130">
        <f t="shared" si="1001"/>
        <v>519822.62655786349</v>
      </c>
      <c r="X291" s="130">
        <f t="shared" si="1001"/>
        <v>368787.42050874402</v>
      </c>
      <c r="Y291" s="130">
        <f t="shared" si="1001"/>
        <v>478817.17017913586</v>
      </c>
      <c r="Z291" s="130">
        <f t="shared" si="1001"/>
        <v>139147.51093749999</v>
      </c>
      <c r="AA291" s="130">
        <f t="shared" si="1001"/>
        <v>621946.48517694522</v>
      </c>
      <c r="AB291" s="130">
        <f t="shared" si="1001"/>
        <v>482683.23990074714</v>
      </c>
      <c r="AC291" s="130">
        <f t="shared" si="1001"/>
        <v>367445.64951135137</v>
      </c>
      <c r="AD291" s="130">
        <f t="shared" si="1001"/>
        <v>373431.33573803882</v>
      </c>
      <c r="AE291" s="130">
        <f t="shared" si="1001"/>
        <v>347149.0004904588</v>
      </c>
      <c r="AF291" s="130">
        <f t="shared" si="1001"/>
        <v>435422.21273353865</v>
      </c>
      <c r="AG291" s="130">
        <f t="shared" si="1001"/>
        <v>354897.69126976794</v>
      </c>
      <c r="AH291" s="130">
        <f t="shared" si="1001"/>
        <v>392925.96638762066</v>
      </c>
      <c r="AI291" s="130">
        <f t="shared" si="1001"/>
        <v>346762.253289318</v>
      </c>
      <c r="AJ291" s="130">
        <f t="shared" si="1001"/>
        <v>245668.42700150507</v>
      </c>
      <c r="AK291" s="130">
        <f t="shared" si="1001"/>
        <v>308201.97306525422</v>
      </c>
      <c r="AL291" s="130">
        <f t="shared" si="1001"/>
        <v>362071.79454965505</v>
      </c>
      <c r="AM291" s="130">
        <f t="shared" si="1001"/>
        <v>311187.31508626702</v>
      </c>
      <c r="AN291" s="130">
        <f t="shared" si="1001"/>
        <v>270730.30862628418</v>
      </c>
      <c r="AO291" s="130">
        <f t="shared" si="1001"/>
        <v>316414.53515993134</v>
      </c>
      <c r="AP291" s="130">
        <f t="shared" si="1001"/>
        <v>271128.45802260912</v>
      </c>
      <c r="AQ291" s="130">
        <f t="shared" si="1001"/>
        <v>308329.96415981342</v>
      </c>
      <c r="AR291" s="130">
        <f t="shared" si="1001"/>
        <v>389212.69714503048</v>
      </c>
      <c r="AS291" s="130">
        <f t="shared" si="1001"/>
        <v>535432.21654927649</v>
      </c>
      <c r="AT291" s="130">
        <f t="shared" si="1001"/>
        <v>474043.02762674761</v>
      </c>
      <c r="AU291" s="130">
        <f t="shared" si="1001"/>
        <v>630635.32118296949</v>
      </c>
      <c r="AV291" s="130">
        <f t="shared" si="1001"/>
        <v>640553.16399803117</v>
      </c>
      <c r="AW291" s="130">
        <f t="shared" si="1001"/>
        <v>578536.17905740114</v>
      </c>
      <c r="AX291" s="130">
        <f t="shared" si="1001"/>
        <v>709318.52002381487</v>
      </c>
      <c r="AY291" s="130">
        <f t="shared" si="1001"/>
        <v>1158234.2118266444</v>
      </c>
      <c r="AZ291" s="130">
        <f t="shared" si="1001"/>
        <v>896822.43212682276</v>
      </c>
      <c r="BA291" s="130">
        <f t="shared" si="1001"/>
        <v>949398.99515301082</v>
      </c>
      <c r="BB291" s="130">
        <f t="shared" si="1001"/>
        <v>1361774.0577951805</v>
      </c>
      <c r="BC291" s="130">
        <f t="shared" si="1001"/>
        <v>1600377.1263299575</v>
      </c>
      <c r="BD291" s="130">
        <f t="shared" si="1001"/>
        <v>1644791.6195541818</v>
      </c>
      <c r="BE291" s="130">
        <f t="shared" si="1001"/>
        <v>1254266.9149934249</v>
      </c>
      <c r="BF291" s="130">
        <f t="shared" si="1001"/>
        <v>2138192.511109313</v>
      </c>
      <c r="BG291" s="130">
        <f t="shared" si="1001"/>
        <v>1986689.0909876414</v>
      </c>
      <c r="BH291" s="130">
        <f t="shared" si="1001"/>
        <v>1745251.0520016593</v>
      </c>
      <c r="BI291" s="130">
        <f t="shared" si="1001"/>
        <v>1602491.2439195565</v>
      </c>
      <c r="BJ291" s="130">
        <f t="shared" si="1001"/>
        <v>8714673.8345939089</v>
      </c>
      <c r="BK291" s="130">
        <f t="shared" si="1001"/>
        <v>8387934.3310181526</v>
      </c>
      <c r="BL291" s="130">
        <f t="shared" si="1001"/>
        <v>8735396.1732494812</v>
      </c>
      <c r="BM291" s="130">
        <f t="shared" si="1001"/>
        <v>8545863.803497497</v>
      </c>
      <c r="BN291" s="130">
        <f t="shared" si="1001"/>
        <v>8307038.9739374351</v>
      </c>
      <c r="BO291" s="130">
        <f t="shared" si="1001"/>
        <v>8099330.1557859201</v>
      </c>
      <c r="BP291" s="130">
        <f t="shared" si="1001"/>
        <v>8114653.693603361</v>
      </c>
      <c r="BQ291" s="130">
        <f t="shared" si="1001"/>
        <v>8878632.0866131596</v>
      </c>
      <c r="BR291" s="130">
        <f t="shared" si="1001"/>
        <v>8995375.6372000221</v>
      </c>
      <c r="BS291" s="130">
        <f t="shared" si="1001"/>
        <v>8564917.642701555</v>
      </c>
      <c r="BT291" s="130">
        <f t="shared" si="1001"/>
        <v>8188431.4224315658</v>
      </c>
      <c r="BU291" s="130">
        <f t="shared" si="1001"/>
        <v>8251314.8234345606</v>
      </c>
      <c r="BV291" s="130">
        <f t="shared" si="1001"/>
        <v>9249081.4455334209</v>
      </c>
      <c r="BW291" s="130">
        <f t="shared" si="1001"/>
        <v>9073936.8769987635</v>
      </c>
      <c r="BX291" s="130">
        <f t="shared" ref="BX291:DQ291" si="1002">BX292+BX296+BX297</f>
        <v>9006360.3346385956</v>
      </c>
      <c r="BY291" s="130">
        <f t="shared" si="1002"/>
        <v>9190877.8964193687</v>
      </c>
      <c r="BZ291" s="130">
        <f t="shared" si="1002"/>
        <v>8750218.7652838882</v>
      </c>
      <c r="CA291" s="130">
        <f t="shared" si="1002"/>
        <v>8658025.8681800198</v>
      </c>
      <c r="CB291" s="130">
        <f t="shared" si="1002"/>
        <v>5820379.8844252666</v>
      </c>
      <c r="CC291" s="130">
        <f t="shared" si="1002"/>
        <v>6778391.9709212817</v>
      </c>
      <c r="CD291" s="130">
        <f t="shared" si="1002"/>
        <v>5812094.3977090679</v>
      </c>
      <c r="CE291" s="130">
        <f t="shared" si="1002"/>
        <v>6020942.4705372863</v>
      </c>
      <c r="CF291" s="130">
        <f t="shared" si="1002"/>
        <v>6100083.5904015219</v>
      </c>
      <c r="CG291" s="130">
        <f t="shared" si="1002"/>
        <v>7965224.1090434529</v>
      </c>
      <c r="CH291" s="130">
        <f t="shared" si="1002"/>
        <v>6167028.4623858444</v>
      </c>
      <c r="CI291" s="130">
        <f t="shared" si="1002"/>
        <v>7509026.2065696586</v>
      </c>
      <c r="CJ291" s="130">
        <f t="shared" si="1002"/>
        <v>7629130.2045053942</v>
      </c>
      <c r="CK291" s="130">
        <f t="shared" si="1002"/>
        <v>9534408.79947621</v>
      </c>
      <c r="CL291" s="130">
        <f t="shared" si="1002"/>
        <v>8407527.8967166711</v>
      </c>
      <c r="CM291" s="130">
        <f t="shared" si="1002"/>
        <v>8777124.8611775246</v>
      </c>
      <c r="CN291" s="130">
        <f t="shared" si="1002"/>
        <v>8517352.5401461981</v>
      </c>
      <c r="CO291" s="130">
        <f t="shared" si="1002"/>
        <v>7710994.4627630487</v>
      </c>
      <c r="CP291" s="130">
        <f t="shared" si="1002"/>
        <v>8100928.0383353913</v>
      </c>
      <c r="CQ291" s="130">
        <f t="shared" si="1002"/>
        <v>7882409.5874094702</v>
      </c>
      <c r="CR291" s="130">
        <f t="shared" si="1002"/>
        <v>7597391.1613454018</v>
      </c>
      <c r="CS291" s="130">
        <f t="shared" si="1002"/>
        <v>7243720.1672302261</v>
      </c>
      <c r="CT291" s="130">
        <f t="shared" si="1002"/>
        <v>8401586.7499249615</v>
      </c>
      <c r="CU291" s="130">
        <f t="shared" si="1002"/>
        <v>8404565.9783921912</v>
      </c>
      <c r="CV291" s="130">
        <f t="shared" si="1002"/>
        <v>8404354.4355424456</v>
      </c>
      <c r="CW291" s="130">
        <f t="shared" si="1002"/>
        <v>8408814.4639578834</v>
      </c>
      <c r="CX291" s="130">
        <f t="shared" si="1002"/>
        <v>8391503.2074204944</v>
      </c>
      <c r="CY291" s="130">
        <f t="shared" si="1002"/>
        <v>8418051.8350633737</v>
      </c>
      <c r="CZ291" s="130">
        <f t="shared" si="1002"/>
        <v>8409501.978219552</v>
      </c>
      <c r="DA291" s="130">
        <f t="shared" si="1002"/>
        <v>8410207.1210520323</v>
      </c>
      <c r="DB291" s="130">
        <f t="shared" si="1002"/>
        <v>8478764.632939918</v>
      </c>
      <c r="DC291" s="130">
        <f t="shared" si="1002"/>
        <v>8507428.6890802365</v>
      </c>
      <c r="DD291" s="130">
        <f t="shared" si="1002"/>
        <v>8450558.9196407106</v>
      </c>
      <c r="DE291" s="130">
        <f t="shared" si="1002"/>
        <v>8478094.7472490612</v>
      </c>
      <c r="DF291" s="130">
        <f t="shared" si="1002"/>
        <v>9065845.8257537819</v>
      </c>
      <c r="DG291" s="130">
        <f t="shared" si="1002"/>
        <v>9069374.7218732145</v>
      </c>
      <c r="DH291" s="130">
        <f t="shared" si="1002"/>
        <v>9069124.1493676919</v>
      </c>
      <c r="DI291" s="130">
        <f t="shared" si="1002"/>
        <v>9074407.0530257784</v>
      </c>
      <c r="DJ291" s="130">
        <f t="shared" si="1002"/>
        <v>9053901.8696572408</v>
      </c>
      <c r="DK291" s="130">
        <f t="shared" si="1002"/>
        <v>9085348.7191002313</v>
      </c>
      <c r="DL291" s="130">
        <f t="shared" si="1002"/>
        <v>9075221.4136687238</v>
      </c>
      <c r="DM291" s="130">
        <f t="shared" si="1002"/>
        <v>9076056.6553537957</v>
      </c>
      <c r="DN291" s="130">
        <f t="shared" si="1002"/>
        <v>9157263.0281849969</v>
      </c>
      <c r="DO291" s="130">
        <f t="shared" si="1002"/>
        <v>9191215.6026832052</v>
      </c>
      <c r="DP291" s="130">
        <f t="shared" si="1002"/>
        <v>9123853.360782085</v>
      </c>
      <c r="DQ291" s="130">
        <f t="shared" si="1002"/>
        <v>9156469.5485841781</v>
      </c>
      <c r="DR291" s="130">
        <f t="shared" ref="DR291:EC291" si="1003">DR292+DR296+DR297</f>
        <v>9798026.1841565315</v>
      </c>
      <c r="DS291" s="130">
        <f t="shared" si="1003"/>
        <v>9802206.1616099998</v>
      </c>
      <c r="DT291" s="130">
        <f t="shared" si="1003"/>
        <v>9801909.3584772088</v>
      </c>
      <c r="DU291" s="130">
        <f t="shared" si="1003"/>
        <v>9808166.9578602109</v>
      </c>
      <c r="DV291" s="130">
        <f t="shared" si="1003"/>
        <v>9783878.56816018</v>
      </c>
      <c r="DW291" s="130">
        <f t="shared" si="1003"/>
        <v>9821127.3613254</v>
      </c>
      <c r="DX291" s="130">
        <f t="shared" si="1003"/>
        <v>9809131.568041781</v>
      </c>
      <c r="DY291" s="130">
        <f t="shared" si="1003"/>
        <v>9810120.9118177481</v>
      </c>
      <c r="DZ291" s="130">
        <f t="shared" si="1003"/>
        <v>9906309.8604363054</v>
      </c>
      <c r="EA291" s="130">
        <f t="shared" si="1003"/>
        <v>9946526.6849294323</v>
      </c>
      <c r="EB291" s="130">
        <f t="shared" si="1003"/>
        <v>9866736.1093975566</v>
      </c>
      <c r="EC291" s="130">
        <f t="shared" si="1003"/>
        <v>9905369.9838491343</v>
      </c>
      <c r="ED291" s="113" t="s">
        <v>1</v>
      </c>
    </row>
    <row r="292" spans="1:134" x14ac:dyDescent="0.2">
      <c r="A292" s="712" t="s">
        <v>72</v>
      </c>
      <c r="B292" s="115"/>
      <c r="C292" s="115"/>
      <c r="D292" s="115"/>
      <c r="E292" s="115"/>
      <c r="F292" s="115"/>
      <c r="G292" s="115"/>
      <c r="H292" s="115"/>
      <c r="I292" s="115"/>
      <c r="J292" s="115"/>
      <c r="K292" s="129">
        <f>K293+K295</f>
        <v>214317.47392197128</v>
      </c>
      <c r="L292" s="129">
        <f t="shared" ref="L292:BW292" si="1004">L293+L295</f>
        <v>251454.36755244754</v>
      </c>
      <c r="M292" s="129">
        <f t="shared" si="1004"/>
        <v>416292.07538022817</v>
      </c>
      <c r="N292" s="129">
        <f t="shared" si="1004"/>
        <v>392361.29137670191</v>
      </c>
      <c r="O292" s="129">
        <f t="shared" si="1004"/>
        <v>381343.52259113471</v>
      </c>
      <c r="P292" s="129">
        <f t="shared" si="1004"/>
        <v>294858.21552453469</v>
      </c>
      <c r="Q292" s="129">
        <f t="shared" si="1004"/>
        <v>375284.87514404533</v>
      </c>
      <c r="R292" s="129">
        <f t="shared" si="1004"/>
        <v>396179.21780715394</v>
      </c>
      <c r="S292" s="129">
        <f t="shared" si="1004"/>
        <v>469507.90909090906</v>
      </c>
      <c r="T292" s="129">
        <f t="shared" si="1004"/>
        <v>425226.88057461404</v>
      </c>
      <c r="U292" s="129">
        <f t="shared" si="1004"/>
        <v>483088.50963008252</v>
      </c>
      <c r="V292" s="129">
        <f t="shared" si="1004"/>
        <v>375609.9803293572</v>
      </c>
      <c r="W292" s="129">
        <f t="shared" si="1004"/>
        <v>501856.77532146388</v>
      </c>
      <c r="X292" s="129">
        <f t="shared" si="1004"/>
        <v>355620.33783783781</v>
      </c>
      <c r="Y292" s="129">
        <f t="shared" si="1004"/>
        <v>459825.1485774499</v>
      </c>
      <c r="Z292" s="129">
        <f t="shared" si="1004"/>
        <v>139147.51093749999</v>
      </c>
      <c r="AA292" s="129">
        <f t="shared" si="1004"/>
        <v>610043.56464714394</v>
      </c>
      <c r="AB292" s="129">
        <f t="shared" si="1004"/>
        <v>479074.98012238991</v>
      </c>
      <c r="AC292" s="129">
        <f t="shared" si="1004"/>
        <v>362300.37156753783</v>
      </c>
      <c r="AD292" s="129">
        <f t="shared" si="1004"/>
        <v>366507.40062764572</v>
      </c>
      <c r="AE292" s="129">
        <f t="shared" si="1004"/>
        <v>333280.91191709845</v>
      </c>
      <c r="AF292" s="129">
        <f t="shared" si="1004"/>
        <v>394472.69624573376</v>
      </c>
      <c r="AG292" s="129">
        <f t="shared" si="1004"/>
        <v>328846.61100698588</v>
      </c>
      <c r="AH292" s="129">
        <f t="shared" si="1004"/>
        <v>364994.86831812258</v>
      </c>
      <c r="AI292" s="129">
        <f t="shared" si="1004"/>
        <v>326482.03400765447</v>
      </c>
      <c r="AJ292" s="129">
        <f t="shared" si="1004"/>
        <v>230346.69026159705</v>
      </c>
      <c r="AK292" s="129">
        <f t="shared" si="1004"/>
        <v>283101.89045963704</v>
      </c>
      <c r="AL292" s="129">
        <f t="shared" si="1004"/>
        <v>339962.91377448302</v>
      </c>
      <c r="AM292" s="129">
        <f t="shared" si="1004"/>
        <v>306113.95241021068</v>
      </c>
      <c r="AN292" s="129">
        <f t="shared" si="1004"/>
        <v>261664.13815113003</v>
      </c>
      <c r="AO292" s="129">
        <f t="shared" si="1004"/>
        <v>215731.97146629085</v>
      </c>
      <c r="AP292" s="129">
        <f t="shared" si="1004"/>
        <v>168078.08671459224</v>
      </c>
      <c r="AQ292" s="129">
        <f t="shared" si="1004"/>
        <v>181998.20035339447</v>
      </c>
      <c r="AR292" s="129">
        <f t="shared" si="1004"/>
        <v>175278.79641046625</v>
      </c>
      <c r="AS292" s="129">
        <f t="shared" si="1004"/>
        <v>296895.68087933632</v>
      </c>
      <c r="AT292" s="129">
        <f t="shared" si="1004"/>
        <v>281845.93701426062</v>
      </c>
      <c r="AU292" s="129">
        <f t="shared" si="1004"/>
        <v>372966.61018505332</v>
      </c>
      <c r="AV292" s="129">
        <f t="shared" si="1004"/>
        <v>397966.61018505332</v>
      </c>
      <c r="AW292" s="129">
        <f t="shared" si="1004"/>
        <v>384103.71049861365</v>
      </c>
      <c r="AX292" s="129">
        <f t="shared" si="1004"/>
        <v>508427.69289219682</v>
      </c>
      <c r="AY292" s="129">
        <f t="shared" si="1004"/>
        <v>592475.66708355036</v>
      </c>
      <c r="AZ292" s="129">
        <f t="shared" si="1004"/>
        <v>374819.76923076919</v>
      </c>
      <c r="BA292" s="129">
        <f t="shared" si="1004"/>
        <v>366835.76923076919</v>
      </c>
      <c r="BB292" s="129">
        <f t="shared" si="1004"/>
        <v>761400.30769230798</v>
      </c>
      <c r="BC292" s="129">
        <f t="shared" si="1004"/>
        <v>756738.87679487199</v>
      </c>
      <c r="BD292" s="129">
        <f t="shared" si="1004"/>
        <v>779929.7620512821</v>
      </c>
      <c r="BE292" s="129">
        <f t="shared" si="1004"/>
        <v>916392.69692307699</v>
      </c>
      <c r="BF292" s="129">
        <f t="shared" si="1004"/>
        <v>1633862.0646153851</v>
      </c>
      <c r="BG292" s="129">
        <f t="shared" si="1004"/>
        <v>1457840.0046153851</v>
      </c>
      <c r="BH292" s="129">
        <f t="shared" si="1004"/>
        <v>1125895.6200000001</v>
      </c>
      <c r="BI292" s="129">
        <f t="shared" si="1004"/>
        <v>974091.58153846161</v>
      </c>
      <c r="BJ292" s="129">
        <f t="shared" si="1004"/>
        <v>7188750.6360996664</v>
      </c>
      <c r="BK292" s="129">
        <f t="shared" si="1004"/>
        <v>6918463.2008566912</v>
      </c>
      <c r="BL292" s="129">
        <f t="shared" si="1004"/>
        <v>6924724.8845330859</v>
      </c>
      <c r="BM292" s="129">
        <f t="shared" si="1004"/>
        <v>6990388.7767758491</v>
      </c>
      <c r="BN292" s="129">
        <f t="shared" si="1004"/>
        <v>6626505.8633495672</v>
      </c>
      <c r="BO292" s="129">
        <f t="shared" si="1004"/>
        <v>6530019.94410918</v>
      </c>
      <c r="BP292" s="129">
        <f t="shared" si="1004"/>
        <v>6346393.4712307733</v>
      </c>
      <c r="BQ292" s="129">
        <f t="shared" si="1004"/>
        <v>7157330.2280347105</v>
      </c>
      <c r="BR292" s="129">
        <f t="shared" si="1004"/>
        <v>7038377.0555042243</v>
      </c>
      <c r="BS292" s="129">
        <f t="shared" si="1004"/>
        <v>6699384.3496163609</v>
      </c>
      <c r="BT292" s="129">
        <f t="shared" si="1004"/>
        <v>6198563.4632448731</v>
      </c>
      <c r="BU292" s="129">
        <f t="shared" si="1004"/>
        <v>6413198.0158127435</v>
      </c>
      <c r="BV292" s="129">
        <f t="shared" si="1004"/>
        <v>7275568.6635465529</v>
      </c>
      <c r="BW292" s="129">
        <f t="shared" si="1004"/>
        <v>7199995.4042485356</v>
      </c>
      <c r="BX292" s="129">
        <f t="shared" ref="BX292:DQ292" si="1005">BX293+BX295</f>
        <v>7062298.7726910096</v>
      </c>
      <c r="BY292" s="129">
        <f t="shared" si="1005"/>
        <v>7244955.2645557355</v>
      </c>
      <c r="BZ292" s="129">
        <f t="shared" si="1005"/>
        <v>6834292.5767926984</v>
      </c>
      <c r="CA292" s="129">
        <f t="shared" si="1005"/>
        <v>6682492.0664941873</v>
      </c>
      <c r="CB292" s="129">
        <f t="shared" si="1005"/>
        <v>3806439.0644192202</v>
      </c>
      <c r="CC292" s="129">
        <f t="shared" si="1005"/>
        <v>4667742.2372192992</v>
      </c>
      <c r="CD292" s="129">
        <f t="shared" si="1005"/>
        <v>3692881.506346154</v>
      </c>
      <c r="CE292" s="129">
        <f t="shared" si="1005"/>
        <v>3956490.1883333335</v>
      </c>
      <c r="CF292" s="129">
        <f t="shared" si="1005"/>
        <v>3919132.3201923072</v>
      </c>
      <c r="CG292" s="129">
        <f t="shared" si="1005"/>
        <v>5709136.6004296653</v>
      </c>
      <c r="CH292" s="129">
        <f t="shared" si="1005"/>
        <v>3943817.2411807501</v>
      </c>
      <c r="CI292" s="129">
        <f t="shared" si="1005"/>
        <v>4523600.4126192126</v>
      </c>
      <c r="CJ292" s="129">
        <f t="shared" si="1005"/>
        <v>4142533.2781730406</v>
      </c>
      <c r="CK292" s="129">
        <f t="shared" si="1005"/>
        <v>5039871.3975422792</v>
      </c>
      <c r="CL292" s="129">
        <f t="shared" si="1005"/>
        <v>4595773.6232599281</v>
      </c>
      <c r="CM292" s="129">
        <f t="shared" si="1005"/>
        <v>4975668.7636654489</v>
      </c>
      <c r="CN292" s="129">
        <f t="shared" si="1005"/>
        <v>4650982.8623842988</v>
      </c>
      <c r="CO292" s="129">
        <f t="shared" si="1005"/>
        <v>4120982.7521839449</v>
      </c>
      <c r="CP292" s="129">
        <f t="shared" si="1005"/>
        <v>4306073.9183915816</v>
      </c>
      <c r="CQ292" s="129">
        <f t="shared" si="1005"/>
        <v>4443822.1662532948</v>
      </c>
      <c r="CR292" s="129">
        <f t="shared" si="1005"/>
        <v>4573769.8324095812</v>
      </c>
      <c r="CS292" s="129">
        <f t="shared" si="1005"/>
        <v>4289854.6959867291</v>
      </c>
      <c r="CT292" s="129">
        <f t="shared" si="1005"/>
        <v>4787572.36949067</v>
      </c>
      <c r="CU292" s="129">
        <f t="shared" si="1005"/>
        <v>4787572.36949067</v>
      </c>
      <c r="CV292" s="129">
        <f t="shared" si="1005"/>
        <v>4787572.36949067</v>
      </c>
      <c r="CW292" s="129">
        <f t="shared" si="1005"/>
        <v>4787572.36949067</v>
      </c>
      <c r="CX292" s="129">
        <f t="shared" si="1005"/>
        <v>4787572.36949067</v>
      </c>
      <c r="CY292" s="129">
        <f t="shared" si="1005"/>
        <v>4787572.36949067</v>
      </c>
      <c r="CZ292" s="129">
        <f t="shared" si="1005"/>
        <v>4787572.36949067</v>
      </c>
      <c r="DA292" s="129">
        <f t="shared" si="1005"/>
        <v>4787572.36949067</v>
      </c>
      <c r="DB292" s="129">
        <f t="shared" si="1005"/>
        <v>4787572.36949067</v>
      </c>
      <c r="DC292" s="129">
        <f t="shared" si="1005"/>
        <v>4787572.36949067</v>
      </c>
      <c r="DD292" s="129">
        <f t="shared" si="1005"/>
        <v>4787572.36949067</v>
      </c>
      <c r="DE292" s="129">
        <f t="shared" si="1005"/>
        <v>4787572.36949067</v>
      </c>
      <c r="DF292" s="129">
        <f t="shared" si="1005"/>
        <v>5231759.5610319423</v>
      </c>
      <c r="DG292" s="129">
        <f t="shared" si="1005"/>
        <v>5231759.5610319423</v>
      </c>
      <c r="DH292" s="129">
        <f t="shared" si="1005"/>
        <v>5231759.5610319423</v>
      </c>
      <c r="DI292" s="129">
        <f t="shared" si="1005"/>
        <v>5231759.5610319423</v>
      </c>
      <c r="DJ292" s="129">
        <f t="shared" si="1005"/>
        <v>5231759.5610319423</v>
      </c>
      <c r="DK292" s="129">
        <f t="shared" si="1005"/>
        <v>5231759.5610319423</v>
      </c>
      <c r="DL292" s="129">
        <f t="shared" si="1005"/>
        <v>5231759.5610319423</v>
      </c>
      <c r="DM292" s="129">
        <f t="shared" si="1005"/>
        <v>5231759.5610319423</v>
      </c>
      <c r="DN292" s="129">
        <f t="shared" si="1005"/>
        <v>5231759.5610319423</v>
      </c>
      <c r="DO292" s="129">
        <f t="shared" si="1005"/>
        <v>5231759.5610319423</v>
      </c>
      <c r="DP292" s="129">
        <f t="shared" si="1005"/>
        <v>5231759.5610319423</v>
      </c>
      <c r="DQ292" s="129">
        <f t="shared" si="1005"/>
        <v>5231759.5610319423</v>
      </c>
      <c r="DR292" s="129">
        <f t="shared" ref="DR292:EC292" si="1006">DR293+DR295</f>
        <v>5725600.4609412206</v>
      </c>
      <c r="DS292" s="129">
        <f t="shared" si="1006"/>
        <v>5725600.4609412206</v>
      </c>
      <c r="DT292" s="129">
        <f t="shared" si="1006"/>
        <v>5725600.4609412206</v>
      </c>
      <c r="DU292" s="129">
        <f t="shared" si="1006"/>
        <v>5725600.4609412206</v>
      </c>
      <c r="DV292" s="129">
        <f t="shared" si="1006"/>
        <v>5725600.4609412206</v>
      </c>
      <c r="DW292" s="129">
        <f t="shared" si="1006"/>
        <v>5725600.4609412206</v>
      </c>
      <c r="DX292" s="129">
        <f t="shared" si="1006"/>
        <v>5725600.4609412206</v>
      </c>
      <c r="DY292" s="129">
        <f t="shared" si="1006"/>
        <v>5725600.4609412206</v>
      </c>
      <c r="DZ292" s="129">
        <f t="shared" si="1006"/>
        <v>5725600.4609412206</v>
      </c>
      <c r="EA292" s="129">
        <f t="shared" si="1006"/>
        <v>5725600.4609412206</v>
      </c>
      <c r="EB292" s="129">
        <f t="shared" si="1006"/>
        <v>5725600.4609412206</v>
      </c>
      <c r="EC292" s="129">
        <f t="shared" si="1006"/>
        <v>5725600.4609412206</v>
      </c>
      <c r="ED292" s="113" t="s">
        <v>1</v>
      </c>
    </row>
    <row r="293" spans="1:134" x14ac:dyDescent="0.2">
      <c r="A293" s="713" t="s">
        <v>73</v>
      </c>
      <c r="B293" s="115"/>
      <c r="C293" s="115"/>
      <c r="D293" s="115"/>
      <c r="E293" s="115"/>
      <c r="F293" s="115"/>
      <c r="G293" s="115"/>
      <c r="H293" s="115"/>
      <c r="I293" s="115"/>
      <c r="J293" s="115"/>
      <c r="K293" s="129">
        <v>207113.40000000002</v>
      </c>
      <c r="L293" s="129">
        <v>209013.59999999998</v>
      </c>
      <c r="M293" s="129">
        <v>260990.40000000002</v>
      </c>
      <c r="N293" s="129">
        <v>220092.59999999998</v>
      </c>
      <c r="O293" s="129">
        <v>208267.5</v>
      </c>
      <c r="P293" s="129">
        <v>168254.625</v>
      </c>
      <c r="Q293" s="129">
        <v>166231.66666666666</v>
      </c>
      <c r="R293" s="129">
        <v>148698.59999999998</v>
      </c>
      <c r="S293" s="129">
        <v>135439.90909090909</v>
      </c>
      <c r="T293" s="129">
        <v>130568.72727272726</v>
      </c>
      <c r="U293" s="129">
        <v>131295</v>
      </c>
      <c r="V293" s="129">
        <v>117032.68421052632</v>
      </c>
      <c r="W293" s="129">
        <v>160075.95000000001</v>
      </c>
      <c r="X293" s="129">
        <v>136897.17647058822</v>
      </c>
      <c r="Y293" s="129">
        <v>142240.125</v>
      </c>
      <c r="Z293" s="129">
        <v>139147.51093749999</v>
      </c>
      <c r="AA293" s="129">
        <v>135211.50203124993</v>
      </c>
      <c r="AB293" s="129">
        <v>175218.5</v>
      </c>
      <c r="AC293" s="129">
        <v>175218.5</v>
      </c>
      <c r="AD293" s="129">
        <v>175224</v>
      </c>
      <c r="AE293" s="129">
        <v>175224</v>
      </c>
      <c r="AF293" s="129">
        <v>175224</v>
      </c>
      <c r="AG293" s="129">
        <v>181400</v>
      </c>
      <c r="AH293" s="129">
        <v>178312</v>
      </c>
      <c r="AI293" s="129">
        <v>206685</v>
      </c>
      <c r="AJ293" s="129">
        <v>79214.923076923063</v>
      </c>
      <c r="AK293" s="129">
        <v>79214.923076923063</v>
      </c>
      <c r="AL293" s="129">
        <v>87318.461538461532</v>
      </c>
      <c r="AM293" s="129">
        <v>87318.461538461532</v>
      </c>
      <c r="AN293" s="129">
        <v>87318.461538461532</v>
      </c>
      <c r="AO293" s="129">
        <v>87318.461538461532</v>
      </c>
      <c r="AP293" s="129">
        <v>87318.461538461532</v>
      </c>
      <c r="AQ293" s="129">
        <v>87318.461538461532</v>
      </c>
      <c r="AR293" s="129">
        <v>74712.346153846156</v>
      </c>
      <c r="AS293" s="129">
        <v>59137.461538461539</v>
      </c>
      <c r="AT293" s="129">
        <v>44716.538461538461</v>
      </c>
      <c r="AU293" s="129">
        <v>148843.73076923075</v>
      </c>
      <c r="AV293" s="129">
        <v>173843.73076923078</v>
      </c>
      <c r="AW293" s="129">
        <v>252779.61538461538</v>
      </c>
      <c r="AX293" s="129">
        <v>317333.11538461538</v>
      </c>
      <c r="AY293" s="129">
        <v>312389.80769230769</v>
      </c>
      <c r="AZ293" s="129">
        <v>374819.76923076919</v>
      </c>
      <c r="BA293" s="129">
        <v>366835.76923076919</v>
      </c>
      <c r="BB293" s="129">
        <v>761400.30769230798</v>
      </c>
      <c r="BC293" s="129">
        <v>756738.87679487199</v>
      </c>
      <c r="BD293" s="129">
        <v>779929.7620512821</v>
      </c>
      <c r="BE293" s="129">
        <v>916392.69692307699</v>
      </c>
      <c r="BF293" s="129">
        <v>1633862.0646153851</v>
      </c>
      <c r="BG293" s="129">
        <v>1457840.0046153851</v>
      </c>
      <c r="BH293" s="129">
        <v>1125895.6200000001</v>
      </c>
      <c r="BI293" s="129">
        <v>974091.58153846161</v>
      </c>
      <c r="BJ293" s="129">
        <v>1670685.8856271771</v>
      </c>
      <c r="BK293" s="129">
        <v>1731837.4160758951</v>
      </c>
      <c r="BL293" s="129">
        <v>1768492.1850641025</v>
      </c>
      <c r="BM293" s="129">
        <v>1802024.0012758479</v>
      </c>
      <c r="BN293" s="129">
        <v>1571553.7501861043</v>
      </c>
      <c r="BO293" s="129">
        <v>1646420.0649937966</v>
      </c>
      <c r="BP293" s="129">
        <v>1709706.8744230769</v>
      </c>
      <c r="BQ293" s="129">
        <v>1704322.2128846152</v>
      </c>
      <c r="BR293" s="129">
        <v>1586066.6341480564</v>
      </c>
      <c r="BS293" s="129">
        <v>1477020.0307692308</v>
      </c>
      <c r="BT293" s="129">
        <v>1429159.7893899204</v>
      </c>
      <c r="BU293" s="129">
        <v>1459177.0384615399</v>
      </c>
      <c r="BV293" s="129">
        <v>2043554.7576282001</v>
      </c>
      <c r="BW293" s="129">
        <v>1738236.9</v>
      </c>
      <c r="BX293" s="129">
        <v>1696119.63076923</v>
      </c>
      <c r="BY293" s="129">
        <v>1854253.85846154</v>
      </c>
      <c r="BZ293" s="129">
        <v>1446045.4815384615</v>
      </c>
      <c r="CA293" s="129">
        <v>1515998.4158333333</v>
      </c>
      <c r="CB293" s="129">
        <v>1743299.0007692301</v>
      </c>
      <c r="CC293" s="129">
        <v>1528335.5007692308</v>
      </c>
      <c r="CD293" s="129">
        <v>1881539.5063461538</v>
      </c>
      <c r="CE293" s="129">
        <v>1939033.1883333332</v>
      </c>
      <c r="CF293" s="129">
        <v>1901675.3201923072</v>
      </c>
      <c r="CG293" s="129">
        <v>2793842.8851282001</v>
      </c>
      <c r="CH293" s="129">
        <v>1337228.8089807699</v>
      </c>
      <c r="CI293" s="129">
        <v>1389836.012269232</v>
      </c>
      <c r="CJ293" s="129">
        <v>1415538.8214230768</v>
      </c>
      <c r="CK293" s="129">
        <v>1511868.2934423075</v>
      </c>
      <c r="CL293" s="129">
        <v>1609265.7070000002</v>
      </c>
      <c r="CM293" s="129">
        <v>1877053.7361153816</v>
      </c>
      <c r="CN293" s="129">
        <v>2505879.832821792</v>
      </c>
      <c r="CO293" s="129">
        <v>2251002.4034839747</v>
      </c>
      <c r="CP293" s="129">
        <v>2167628.8408865384</v>
      </c>
      <c r="CQ293" s="129">
        <v>2252689.6722083334</v>
      </c>
      <c r="CR293" s="129">
        <v>2300453.099209615</v>
      </c>
      <c r="CS293" s="129">
        <v>2052354.6282942304</v>
      </c>
      <c r="CT293" s="130">
        <f>CT302*CT294</f>
        <v>2438197.2984135463</v>
      </c>
      <c r="CU293" s="130">
        <f t="shared" ref="CU293:DQ293" si="1007">CU302*CU294</f>
        <v>2438197.2984135463</v>
      </c>
      <c r="CV293" s="130">
        <f t="shared" si="1007"/>
        <v>2438197.2984135463</v>
      </c>
      <c r="CW293" s="130">
        <f t="shared" si="1007"/>
        <v>2438197.2984135463</v>
      </c>
      <c r="CX293" s="130">
        <f t="shared" si="1007"/>
        <v>2438197.2984135463</v>
      </c>
      <c r="CY293" s="130">
        <f t="shared" si="1007"/>
        <v>2438197.2984135463</v>
      </c>
      <c r="CZ293" s="130">
        <f t="shared" si="1007"/>
        <v>2438197.2984135463</v>
      </c>
      <c r="DA293" s="130">
        <f t="shared" si="1007"/>
        <v>2438197.2984135463</v>
      </c>
      <c r="DB293" s="130">
        <f t="shared" si="1007"/>
        <v>2438197.2984135463</v>
      </c>
      <c r="DC293" s="130">
        <f t="shared" si="1007"/>
        <v>2438197.2984135463</v>
      </c>
      <c r="DD293" s="130">
        <f t="shared" si="1007"/>
        <v>2438197.2984135463</v>
      </c>
      <c r="DE293" s="130">
        <f t="shared" si="1007"/>
        <v>2438197.2984135463</v>
      </c>
      <c r="DF293" s="130">
        <f t="shared" si="1007"/>
        <v>2764915.7364009619</v>
      </c>
      <c r="DG293" s="130">
        <f t="shared" si="1007"/>
        <v>2764915.7364009619</v>
      </c>
      <c r="DH293" s="130">
        <f t="shared" si="1007"/>
        <v>2764915.7364009619</v>
      </c>
      <c r="DI293" s="130">
        <f t="shared" si="1007"/>
        <v>2764915.7364009619</v>
      </c>
      <c r="DJ293" s="130">
        <f t="shared" si="1007"/>
        <v>2764915.7364009619</v>
      </c>
      <c r="DK293" s="130">
        <f t="shared" si="1007"/>
        <v>2764915.7364009619</v>
      </c>
      <c r="DL293" s="130">
        <f t="shared" si="1007"/>
        <v>2764915.7364009619</v>
      </c>
      <c r="DM293" s="130">
        <f t="shared" si="1007"/>
        <v>2764915.7364009619</v>
      </c>
      <c r="DN293" s="130">
        <f t="shared" si="1007"/>
        <v>2764915.7364009619</v>
      </c>
      <c r="DO293" s="130">
        <f t="shared" si="1007"/>
        <v>2764915.7364009619</v>
      </c>
      <c r="DP293" s="130">
        <f t="shared" si="1007"/>
        <v>2764915.7364009619</v>
      </c>
      <c r="DQ293" s="130">
        <f t="shared" si="1007"/>
        <v>2764915.7364009619</v>
      </c>
      <c r="DR293" s="130">
        <f t="shared" ref="DR293:EC293" si="1008">DR302*DR294</f>
        <v>3135414.445078691</v>
      </c>
      <c r="DS293" s="130">
        <f t="shared" si="1008"/>
        <v>3135414.445078691</v>
      </c>
      <c r="DT293" s="130">
        <f t="shared" si="1008"/>
        <v>3135414.445078691</v>
      </c>
      <c r="DU293" s="130">
        <f t="shared" si="1008"/>
        <v>3135414.445078691</v>
      </c>
      <c r="DV293" s="130">
        <f t="shared" si="1008"/>
        <v>3135414.445078691</v>
      </c>
      <c r="DW293" s="130">
        <f t="shared" si="1008"/>
        <v>3135414.445078691</v>
      </c>
      <c r="DX293" s="130">
        <f t="shared" si="1008"/>
        <v>3135414.445078691</v>
      </c>
      <c r="DY293" s="130">
        <f t="shared" si="1008"/>
        <v>3135414.445078691</v>
      </c>
      <c r="DZ293" s="130">
        <f t="shared" si="1008"/>
        <v>3135414.445078691</v>
      </c>
      <c r="EA293" s="130">
        <f t="shared" si="1008"/>
        <v>3135414.445078691</v>
      </c>
      <c r="EB293" s="130">
        <f t="shared" si="1008"/>
        <v>3135414.445078691</v>
      </c>
      <c r="EC293" s="130">
        <f t="shared" si="1008"/>
        <v>3135414.445078691</v>
      </c>
      <c r="ED293" s="113" t="s">
        <v>1</v>
      </c>
    </row>
    <row r="294" spans="1:134" x14ac:dyDescent="0.2">
      <c r="A294" s="762" t="s">
        <v>45</v>
      </c>
      <c r="B294" s="115"/>
      <c r="C294" s="115"/>
      <c r="D294" s="115"/>
      <c r="E294" s="115"/>
      <c r="F294" s="115"/>
      <c r="G294" s="115"/>
      <c r="H294" s="115"/>
      <c r="I294" s="115"/>
      <c r="J294" s="115"/>
      <c r="K294" s="129">
        <v>3</v>
      </c>
      <c r="L294" s="129">
        <v>3</v>
      </c>
      <c r="M294" s="129">
        <v>3</v>
      </c>
      <c r="N294" s="129">
        <v>3</v>
      </c>
      <c r="O294" s="129">
        <v>3</v>
      </c>
      <c r="P294" s="129">
        <v>3</v>
      </c>
      <c r="Q294" s="129">
        <v>3</v>
      </c>
      <c r="R294" s="129">
        <v>3</v>
      </c>
      <c r="S294" s="129">
        <v>3</v>
      </c>
      <c r="T294" s="129">
        <v>3</v>
      </c>
      <c r="U294" s="129">
        <v>3</v>
      </c>
      <c r="V294" s="129">
        <v>3</v>
      </c>
      <c r="W294" s="129">
        <v>3</v>
      </c>
      <c r="X294" s="129">
        <v>3</v>
      </c>
      <c r="Y294" s="129">
        <v>3</v>
      </c>
      <c r="Z294" s="129">
        <v>3</v>
      </c>
      <c r="AA294" s="129">
        <v>3</v>
      </c>
      <c r="AB294" s="129">
        <v>3</v>
      </c>
      <c r="AC294" s="129">
        <v>3</v>
      </c>
      <c r="AD294" s="129">
        <v>3</v>
      </c>
      <c r="AE294" s="129">
        <v>3</v>
      </c>
      <c r="AF294" s="129">
        <v>3</v>
      </c>
      <c r="AG294" s="129">
        <v>3</v>
      </c>
      <c r="AH294" s="129">
        <v>3</v>
      </c>
      <c r="AI294" s="129">
        <v>3</v>
      </c>
      <c r="AJ294" s="129">
        <v>2</v>
      </c>
      <c r="AK294" s="129">
        <v>2</v>
      </c>
      <c r="AL294" s="129">
        <v>2</v>
      </c>
      <c r="AM294" s="129">
        <v>2</v>
      </c>
      <c r="AN294" s="129">
        <v>2</v>
      </c>
      <c r="AO294" s="129">
        <v>2</v>
      </c>
      <c r="AP294" s="129">
        <v>2</v>
      </c>
      <c r="AQ294" s="129">
        <v>2</v>
      </c>
      <c r="AR294" s="129">
        <v>2</v>
      </c>
      <c r="AS294" s="129">
        <v>1</v>
      </c>
      <c r="AT294" s="129">
        <v>1</v>
      </c>
      <c r="AU294" s="129">
        <v>1</v>
      </c>
      <c r="AV294" s="129">
        <v>1</v>
      </c>
      <c r="AW294" s="129">
        <v>2</v>
      </c>
      <c r="AX294" s="129">
        <v>4</v>
      </c>
      <c r="AY294" s="129">
        <v>5</v>
      </c>
      <c r="AZ294" s="129">
        <v>6</v>
      </c>
      <c r="BA294" s="129">
        <v>6</v>
      </c>
      <c r="BB294" s="129">
        <v>7</v>
      </c>
      <c r="BC294" s="129">
        <v>8</v>
      </c>
      <c r="BD294" s="129">
        <v>8</v>
      </c>
      <c r="BE294" s="129">
        <v>13</v>
      </c>
      <c r="BF294" s="129">
        <v>17</v>
      </c>
      <c r="BG294" s="129">
        <v>17</v>
      </c>
      <c r="BH294" s="129">
        <v>16</v>
      </c>
      <c r="BI294" s="129">
        <v>13</v>
      </c>
      <c r="BJ294" s="129">
        <v>18</v>
      </c>
      <c r="BK294" s="129">
        <v>18</v>
      </c>
      <c r="BL294" s="129">
        <v>20</v>
      </c>
      <c r="BM294" s="129">
        <v>20</v>
      </c>
      <c r="BN294" s="129">
        <v>19</v>
      </c>
      <c r="BO294" s="129">
        <v>19</v>
      </c>
      <c r="BP294" s="129">
        <v>18</v>
      </c>
      <c r="BQ294" s="129">
        <v>19</v>
      </c>
      <c r="BR294" s="129">
        <v>19</v>
      </c>
      <c r="BS294" s="129">
        <v>15</v>
      </c>
      <c r="BT294" s="129">
        <v>15</v>
      </c>
      <c r="BU294" s="129">
        <v>15</v>
      </c>
      <c r="BV294" s="129">
        <v>15</v>
      </c>
      <c r="BW294" s="129">
        <v>14</v>
      </c>
      <c r="BX294" s="129">
        <v>13</v>
      </c>
      <c r="BY294" s="129">
        <v>19</v>
      </c>
      <c r="BZ294" s="129">
        <v>18</v>
      </c>
      <c r="CA294" s="129">
        <v>21</v>
      </c>
      <c r="CB294" s="129">
        <v>21</v>
      </c>
      <c r="CC294" s="129">
        <v>21</v>
      </c>
      <c r="CD294" s="129">
        <v>25</v>
      </c>
      <c r="CE294" s="129">
        <v>26</v>
      </c>
      <c r="CF294" s="129">
        <v>29</v>
      </c>
      <c r="CG294" s="129">
        <v>29</v>
      </c>
      <c r="CH294" s="129">
        <v>11.5</v>
      </c>
      <c r="CI294" s="129">
        <v>11.5</v>
      </c>
      <c r="CJ294" s="129">
        <v>12.2</v>
      </c>
      <c r="CK294" s="129">
        <v>12.5</v>
      </c>
      <c r="CL294" s="129">
        <v>16</v>
      </c>
      <c r="CM294" s="129">
        <v>16</v>
      </c>
      <c r="CN294" s="129">
        <v>24.7</v>
      </c>
      <c r="CO294" s="129">
        <v>26.88</v>
      </c>
      <c r="CP294" s="129">
        <v>27.88</v>
      </c>
      <c r="CQ294" s="129">
        <v>28.65</v>
      </c>
      <c r="CR294" s="129">
        <v>29.24</v>
      </c>
      <c r="CS294" s="129">
        <v>25.65</v>
      </c>
      <c r="CT294" s="129">
        <f>CS294*(1+CT305)</f>
        <v>28.215</v>
      </c>
      <c r="CU294" s="129">
        <f t="shared" ref="CU294:DQ294" si="1009">CT294*(1+CU305)</f>
        <v>28.215</v>
      </c>
      <c r="CV294" s="129">
        <f t="shared" si="1009"/>
        <v>28.215</v>
      </c>
      <c r="CW294" s="129">
        <f t="shared" si="1009"/>
        <v>28.215</v>
      </c>
      <c r="CX294" s="129">
        <f t="shared" si="1009"/>
        <v>28.215</v>
      </c>
      <c r="CY294" s="129">
        <f t="shared" si="1009"/>
        <v>28.215</v>
      </c>
      <c r="CZ294" s="129">
        <f t="shared" si="1009"/>
        <v>28.215</v>
      </c>
      <c r="DA294" s="129">
        <f t="shared" si="1009"/>
        <v>28.215</v>
      </c>
      <c r="DB294" s="129">
        <f t="shared" si="1009"/>
        <v>28.215</v>
      </c>
      <c r="DC294" s="129">
        <f t="shared" si="1009"/>
        <v>28.215</v>
      </c>
      <c r="DD294" s="129">
        <f t="shared" si="1009"/>
        <v>28.215</v>
      </c>
      <c r="DE294" s="129">
        <f t="shared" si="1009"/>
        <v>28.215</v>
      </c>
      <c r="DF294" s="129">
        <f t="shared" si="1009"/>
        <v>29.62575</v>
      </c>
      <c r="DG294" s="129">
        <f t="shared" si="1009"/>
        <v>29.62575</v>
      </c>
      <c r="DH294" s="129">
        <f t="shared" si="1009"/>
        <v>29.62575</v>
      </c>
      <c r="DI294" s="129">
        <f t="shared" si="1009"/>
        <v>29.62575</v>
      </c>
      <c r="DJ294" s="129">
        <f t="shared" si="1009"/>
        <v>29.62575</v>
      </c>
      <c r="DK294" s="129">
        <f t="shared" si="1009"/>
        <v>29.62575</v>
      </c>
      <c r="DL294" s="129">
        <f t="shared" si="1009"/>
        <v>29.62575</v>
      </c>
      <c r="DM294" s="129">
        <f t="shared" si="1009"/>
        <v>29.62575</v>
      </c>
      <c r="DN294" s="129">
        <f t="shared" si="1009"/>
        <v>29.62575</v>
      </c>
      <c r="DO294" s="129">
        <f t="shared" si="1009"/>
        <v>29.62575</v>
      </c>
      <c r="DP294" s="129">
        <f t="shared" si="1009"/>
        <v>29.62575</v>
      </c>
      <c r="DQ294" s="129">
        <f t="shared" si="1009"/>
        <v>29.62575</v>
      </c>
      <c r="DR294" s="129">
        <f t="shared" ref="DR294" si="1010">DQ294*(1+DR305)</f>
        <v>31.107037500000001</v>
      </c>
      <c r="DS294" s="129">
        <f t="shared" ref="DS294" si="1011">DR294*(1+DS305)</f>
        <v>31.107037500000001</v>
      </c>
      <c r="DT294" s="129">
        <f t="shared" ref="DT294" si="1012">DS294*(1+DT305)</f>
        <v>31.107037500000001</v>
      </c>
      <c r="DU294" s="129">
        <f t="shared" ref="DU294" si="1013">DT294*(1+DU305)</f>
        <v>31.107037500000001</v>
      </c>
      <c r="DV294" s="129">
        <f t="shared" ref="DV294" si="1014">DU294*(1+DV305)</f>
        <v>31.107037500000001</v>
      </c>
      <c r="DW294" s="129">
        <f t="shared" ref="DW294" si="1015">DV294*(1+DW305)</f>
        <v>31.107037500000001</v>
      </c>
      <c r="DX294" s="129">
        <f t="shared" ref="DX294" si="1016">DW294*(1+DX305)</f>
        <v>31.107037500000001</v>
      </c>
      <c r="DY294" s="129">
        <f t="shared" ref="DY294" si="1017">DX294*(1+DY305)</f>
        <v>31.107037500000001</v>
      </c>
      <c r="DZ294" s="129">
        <f t="shared" ref="DZ294" si="1018">DY294*(1+DZ305)</f>
        <v>31.107037500000001</v>
      </c>
      <c r="EA294" s="129">
        <f t="shared" ref="EA294" si="1019">DZ294*(1+EA305)</f>
        <v>31.107037500000001</v>
      </c>
      <c r="EB294" s="129">
        <f t="shared" ref="EB294" si="1020">EA294*(1+EB305)</f>
        <v>31.107037500000001</v>
      </c>
      <c r="EC294" s="129">
        <f t="shared" ref="EC294" si="1021">EB294*(1+EC305)</f>
        <v>31.107037500000001</v>
      </c>
      <c r="ED294" s="113" t="s">
        <v>1</v>
      </c>
    </row>
    <row r="295" spans="1:134" x14ac:dyDescent="0.2">
      <c r="A295" s="698" t="s">
        <v>151</v>
      </c>
      <c r="B295" s="115"/>
      <c r="C295" s="115"/>
      <c r="D295" s="115"/>
      <c r="E295" s="115"/>
      <c r="F295" s="115"/>
      <c r="G295" s="115"/>
      <c r="H295" s="115"/>
      <c r="I295" s="115"/>
      <c r="J295" s="115"/>
      <c r="K295" s="129">
        <v>7204.0739219712523</v>
      </c>
      <c r="L295" s="129">
        <v>42440.767552447556</v>
      </c>
      <c r="M295" s="129">
        <v>155301.67538022815</v>
      </c>
      <c r="N295" s="129">
        <v>172268.69137670196</v>
      </c>
      <c r="O295" s="129">
        <v>173076.02259113471</v>
      </c>
      <c r="P295" s="129">
        <v>126603.59052453468</v>
      </c>
      <c r="Q295" s="129">
        <v>209053.20847737865</v>
      </c>
      <c r="R295" s="129">
        <v>247480.61780715396</v>
      </c>
      <c r="S295" s="129">
        <v>334068</v>
      </c>
      <c r="T295" s="129">
        <v>294658.15330188681</v>
      </c>
      <c r="U295" s="129">
        <v>351793.50963008252</v>
      </c>
      <c r="V295" s="129">
        <v>258577.29611883085</v>
      </c>
      <c r="W295" s="129">
        <v>341780.82532146387</v>
      </c>
      <c r="X295" s="129">
        <v>218723.16136724959</v>
      </c>
      <c r="Y295" s="129">
        <v>317585.0235774499</v>
      </c>
      <c r="Z295" s="129">
        <v>0</v>
      </c>
      <c r="AA295" s="129">
        <v>474832.06261589407</v>
      </c>
      <c r="AB295" s="129">
        <v>303856.48012238991</v>
      </c>
      <c r="AC295" s="129">
        <v>187081.87156753783</v>
      </c>
      <c r="AD295" s="129">
        <v>191283.40062764572</v>
      </c>
      <c r="AE295" s="129">
        <v>158056.91191709845</v>
      </c>
      <c r="AF295" s="129">
        <v>219248.69624573379</v>
      </c>
      <c r="AG295" s="129">
        <v>147446.61100698586</v>
      </c>
      <c r="AH295" s="129">
        <v>186682.86831812258</v>
      </c>
      <c r="AI295" s="129">
        <v>119797.03400765445</v>
      </c>
      <c r="AJ295" s="129">
        <v>151131.76718467398</v>
      </c>
      <c r="AK295" s="129">
        <v>203886.96738271398</v>
      </c>
      <c r="AL295" s="129">
        <v>252644.45223602152</v>
      </c>
      <c r="AM295" s="129">
        <v>218795.49087174915</v>
      </c>
      <c r="AN295" s="129">
        <v>174345.6766126685</v>
      </c>
      <c r="AO295" s="129">
        <v>128413.50992782932</v>
      </c>
      <c r="AP295" s="129">
        <v>80759.625176130707</v>
      </c>
      <c r="AQ295" s="129">
        <v>94679.738814932934</v>
      </c>
      <c r="AR295" s="129">
        <v>100566.4502566201</v>
      </c>
      <c r="AS295" s="129">
        <v>237758.21934087476</v>
      </c>
      <c r="AT295" s="129">
        <v>237129.39855272218</v>
      </c>
      <c r="AU295" s="129">
        <v>224122.87941582254</v>
      </c>
      <c r="AV295" s="129">
        <v>224122.87941582254</v>
      </c>
      <c r="AW295" s="129">
        <v>131324.09511399825</v>
      </c>
      <c r="AX295" s="129">
        <v>191094.57750758145</v>
      </c>
      <c r="AY295" s="129">
        <v>280085.85939124267</v>
      </c>
      <c r="AZ295" s="129">
        <v>0</v>
      </c>
      <c r="BA295" s="129">
        <v>0</v>
      </c>
      <c r="BB295" s="129">
        <v>0</v>
      </c>
      <c r="BC295" s="129">
        <v>0</v>
      </c>
      <c r="BD295" s="129">
        <v>0</v>
      </c>
      <c r="BE295" s="129">
        <v>0</v>
      </c>
      <c r="BF295" s="129">
        <v>0</v>
      </c>
      <c r="BG295" s="129">
        <v>0</v>
      </c>
      <c r="BH295" s="129">
        <v>0</v>
      </c>
      <c r="BI295" s="129">
        <v>0</v>
      </c>
      <c r="BJ295" s="129">
        <v>5518064.7504724897</v>
      </c>
      <c r="BK295" s="129">
        <v>5186625.7847807957</v>
      </c>
      <c r="BL295" s="129">
        <v>5156232.6994689833</v>
      </c>
      <c r="BM295" s="129">
        <v>5188364.7755000014</v>
      </c>
      <c r="BN295" s="129">
        <v>5054952.1131634628</v>
      </c>
      <c r="BO295" s="129">
        <v>4883599.8791153831</v>
      </c>
      <c r="BP295" s="129">
        <v>4636686.5968076959</v>
      </c>
      <c r="BQ295" s="129">
        <v>5453008.0151500953</v>
      </c>
      <c r="BR295" s="129">
        <v>5452310.4213561676</v>
      </c>
      <c r="BS295" s="129">
        <v>5222364.3188471301</v>
      </c>
      <c r="BT295" s="129">
        <v>4769403.6738549527</v>
      </c>
      <c r="BU295" s="129">
        <v>4954020.9773512036</v>
      </c>
      <c r="BV295" s="129">
        <v>5232013.9059183523</v>
      </c>
      <c r="BW295" s="129">
        <v>5461758.5042485353</v>
      </c>
      <c r="BX295" s="129">
        <v>5366179.1419217791</v>
      </c>
      <c r="BY295" s="129">
        <v>5390701.4060941953</v>
      </c>
      <c r="BZ295" s="129">
        <v>5388247.0952542368</v>
      </c>
      <c r="CA295" s="129">
        <v>5166493.6506608538</v>
      </c>
      <c r="CB295" s="129">
        <v>2063140.0636499899</v>
      </c>
      <c r="CC295" s="129">
        <v>3139406.7364500682</v>
      </c>
      <c r="CD295" s="129">
        <v>1811342</v>
      </c>
      <c r="CE295" s="129">
        <v>2017457</v>
      </c>
      <c r="CF295" s="129">
        <v>2017457</v>
      </c>
      <c r="CG295" s="129">
        <v>2915293.7153014648</v>
      </c>
      <c r="CH295" s="129">
        <v>2606588.4321999801</v>
      </c>
      <c r="CI295" s="129">
        <v>3133764.4003499807</v>
      </c>
      <c r="CJ295" s="129">
        <v>2726994.456749964</v>
      </c>
      <c r="CK295" s="129">
        <v>3528003.1040999717</v>
      </c>
      <c r="CL295" s="129">
        <v>2986507.9162599281</v>
      </c>
      <c r="CM295" s="129">
        <v>3098615.0275500673</v>
      </c>
      <c r="CN295" s="129">
        <v>2145103.0295625073</v>
      </c>
      <c r="CO295" s="129">
        <v>1869980.3486999704</v>
      </c>
      <c r="CP295" s="129">
        <v>2138445.0775050437</v>
      </c>
      <c r="CQ295" s="129">
        <v>2191132.4940449609</v>
      </c>
      <c r="CR295" s="129">
        <v>2273316.7331999657</v>
      </c>
      <c r="CS295" s="129">
        <v>2237500.0676924991</v>
      </c>
      <c r="CT295" s="129">
        <f>CS295*(1+CT307)</f>
        <v>2349375.0710771242</v>
      </c>
      <c r="CU295" s="129">
        <f t="shared" ref="CU295:DQ295" si="1022">CT295*(1+CU307)</f>
        <v>2349375.0710771242</v>
      </c>
      <c r="CV295" s="129">
        <f t="shared" si="1022"/>
        <v>2349375.0710771242</v>
      </c>
      <c r="CW295" s="129">
        <f t="shared" si="1022"/>
        <v>2349375.0710771242</v>
      </c>
      <c r="CX295" s="129">
        <f t="shared" si="1022"/>
        <v>2349375.0710771242</v>
      </c>
      <c r="CY295" s="129">
        <f t="shared" si="1022"/>
        <v>2349375.0710771242</v>
      </c>
      <c r="CZ295" s="129">
        <f t="shared" si="1022"/>
        <v>2349375.0710771242</v>
      </c>
      <c r="DA295" s="129">
        <f t="shared" si="1022"/>
        <v>2349375.0710771242</v>
      </c>
      <c r="DB295" s="129">
        <f t="shared" si="1022"/>
        <v>2349375.0710771242</v>
      </c>
      <c r="DC295" s="129">
        <f t="shared" si="1022"/>
        <v>2349375.0710771242</v>
      </c>
      <c r="DD295" s="129">
        <f t="shared" si="1022"/>
        <v>2349375.0710771242</v>
      </c>
      <c r="DE295" s="129">
        <f t="shared" si="1022"/>
        <v>2349375.0710771242</v>
      </c>
      <c r="DF295" s="129">
        <f t="shared" si="1022"/>
        <v>2466843.8246309804</v>
      </c>
      <c r="DG295" s="129">
        <f t="shared" si="1022"/>
        <v>2466843.8246309804</v>
      </c>
      <c r="DH295" s="129">
        <f t="shared" si="1022"/>
        <v>2466843.8246309804</v>
      </c>
      <c r="DI295" s="129">
        <f t="shared" si="1022"/>
        <v>2466843.8246309804</v>
      </c>
      <c r="DJ295" s="129">
        <f t="shared" si="1022"/>
        <v>2466843.8246309804</v>
      </c>
      <c r="DK295" s="129">
        <f t="shared" si="1022"/>
        <v>2466843.8246309804</v>
      </c>
      <c r="DL295" s="129">
        <f t="shared" si="1022"/>
        <v>2466843.8246309804</v>
      </c>
      <c r="DM295" s="129">
        <f t="shared" si="1022"/>
        <v>2466843.8246309804</v>
      </c>
      <c r="DN295" s="129">
        <f t="shared" si="1022"/>
        <v>2466843.8246309804</v>
      </c>
      <c r="DO295" s="129">
        <f t="shared" si="1022"/>
        <v>2466843.8246309804</v>
      </c>
      <c r="DP295" s="129">
        <f t="shared" si="1022"/>
        <v>2466843.8246309804</v>
      </c>
      <c r="DQ295" s="129">
        <f t="shared" si="1022"/>
        <v>2466843.8246309804</v>
      </c>
      <c r="DR295" s="129">
        <f t="shared" ref="DR295:DR296" si="1023">DQ295*(1+DR307)</f>
        <v>2590186.0158625296</v>
      </c>
      <c r="DS295" s="129">
        <f t="shared" ref="DS295:DS296" si="1024">DR295*(1+DS307)</f>
        <v>2590186.0158625296</v>
      </c>
      <c r="DT295" s="129">
        <f t="shared" ref="DT295:DT296" si="1025">DS295*(1+DT307)</f>
        <v>2590186.0158625296</v>
      </c>
      <c r="DU295" s="129">
        <f t="shared" ref="DU295:DU296" si="1026">DT295*(1+DU307)</f>
        <v>2590186.0158625296</v>
      </c>
      <c r="DV295" s="129">
        <f t="shared" ref="DV295:DV296" si="1027">DU295*(1+DV307)</f>
        <v>2590186.0158625296</v>
      </c>
      <c r="DW295" s="129">
        <f t="shared" ref="DW295:DW296" si="1028">DV295*(1+DW307)</f>
        <v>2590186.0158625296</v>
      </c>
      <c r="DX295" s="129">
        <f t="shared" ref="DX295:DX296" si="1029">DW295*(1+DX307)</f>
        <v>2590186.0158625296</v>
      </c>
      <c r="DY295" s="129">
        <f t="shared" ref="DY295:DY296" si="1030">DX295*(1+DY307)</f>
        <v>2590186.0158625296</v>
      </c>
      <c r="DZ295" s="129">
        <f t="shared" ref="DZ295:DZ296" si="1031">DY295*(1+DZ307)</f>
        <v>2590186.0158625296</v>
      </c>
      <c r="EA295" s="129">
        <f t="shared" ref="EA295:EA296" si="1032">DZ295*(1+EA307)</f>
        <v>2590186.0158625296</v>
      </c>
      <c r="EB295" s="129">
        <f t="shared" ref="EB295:EB296" si="1033">EA295*(1+EB307)</f>
        <v>2590186.0158625296</v>
      </c>
      <c r="EC295" s="129">
        <f t="shared" ref="EC295:EC296" si="1034">EB295*(1+EC307)</f>
        <v>2590186.0158625296</v>
      </c>
      <c r="ED295" s="113" t="s">
        <v>1</v>
      </c>
    </row>
    <row r="296" spans="1:134" x14ac:dyDescent="0.2">
      <c r="A296" s="698" t="s">
        <v>152</v>
      </c>
      <c r="B296" s="115"/>
      <c r="C296" s="115"/>
      <c r="D296" s="115"/>
      <c r="E296" s="115"/>
      <c r="F296" s="115"/>
      <c r="G296" s="115"/>
      <c r="H296" s="115"/>
      <c r="I296" s="115"/>
      <c r="J296" s="115"/>
      <c r="K296" s="129">
        <v>226.26694045174537</v>
      </c>
      <c r="L296" s="129">
        <v>1524.1443356643356</v>
      </c>
      <c r="M296" s="129">
        <v>6928.9935836501909</v>
      </c>
      <c r="N296" s="129">
        <v>11542.275907715582</v>
      </c>
      <c r="O296" s="129">
        <v>17255.355125791546</v>
      </c>
      <c r="P296" s="129">
        <v>16565.145516074452</v>
      </c>
      <c r="Q296" s="129">
        <v>29700.367052457535</v>
      </c>
      <c r="R296" s="129">
        <v>20685.616251944011</v>
      </c>
      <c r="S296" s="129">
        <v>29781.659622773313</v>
      </c>
      <c r="T296" s="129">
        <v>49677.721698113208</v>
      </c>
      <c r="U296" s="129">
        <v>14798.713543258942</v>
      </c>
      <c r="V296" s="129">
        <v>13910.018687110685</v>
      </c>
      <c r="W296" s="129">
        <v>17965.851236399605</v>
      </c>
      <c r="X296" s="129">
        <v>13167.0826709062</v>
      </c>
      <c r="Y296" s="129">
        <v>18992.021601685985</v>
      </c>
      <c r="Z296" s="129">
        <v>0</v>
      </c>
      <c r="AA296" s="129">
        <v>11902.920529801324</v>
      </c>
      <c r="AB296" s="129">
        <v>3608.259778357236</v>
      </c>
      <c r="AC296" s="129">
        <v>5145.2779438135085</v>
      </c>
      <c r="AD296" s="129">
        <v>6923.9351103931067</v>
      </c>
      <c r="AE296" s="129">
        <v>13868.088573360379</v>
      </c>
      <c r="AF296" s="129">
        <v>40949.516487804882</v>
      </c>
      <c r="AG296" s="129">
        <v>26051.080262782059</v>
      </c>
      <c r="AH296" s="129">
        <v>27931.098069498072</v>
      </c>
      <c r="AI296" s="129">
        <v>20280.219281663518</v>
      </c>
      <c r="AJ296" s="129">
        <v>15321.736739908023</v>
      </c>
      <c r="AK296" s="129">
        <v>25100.082605617183</v>
      </c>
      <c r="AL296" s="129">
        <v>22108.880775172027</v>
      </c>
      <c r="AM296" s="129">
        <v>5073.3626760563375</v>
      </c>
      <c r="AN296" s="129">
        <v>9066.1704751541529</v>
      </c>
      <c r="AO296" s="129">
        <v>100682.56369364048</v>
      </c>
      <c r="AP296" s="129">
        <v>103050.37130801688</v>
      </c>
      <c r="AQ296" s="129">
        <v>126331.76380641894</v>
      </c>
      <c r="AR296" s="129">
        <v>213933.90073456423</v>
      </c>
      <c r="AS296" s="129">
        <v>238536.53566994017</v>
      </c>
      <c r="AT296" s="129">
        <v>192197.09061248702</v>
      </c>
      <c r="AU296" s="129">
        <v>257668.71099791618</v>
      </c>
      <c r="AV296" s="129">
        <v>242586.55381297786</v>
      </c>
      <c r="AW296" s="129">
        <v>194432.46855878754</v>
      </c>
      <c r="AX296" s="129">
        <v>200890.82713161811</v>
      </c>
      <c r="AY296" s="129">
        <v>565758.54474309401</v>
      </c>
      <c r="AZ296" s="129">
        <v>522002.66289605357</v>
      </c>
      <c r="BA296" s="129">
        <v>582563.22592224157</v>
      </c>
      <c r="BB296" s="129">
        <v>600373.75010287249</v>
      </c>
      <c r="BC296" s="129">
        <v>843638.24953508563</v>
      </c>
      <c r="BD296" s="129">
        <v>864861.85750289971</v>
      </c>
      <c r="BE296" s="129">
        <v>337874.21807034803</v>
      </c>
      <c r="BF296" s="129">
        <v>304330.44649392762</v>
      </c>
      <c r="BG296" s="129">
        <v>328849.08637225628</v>
      </c>
      <c r="BH296" s="129">
        <v>419355.43200165918</v>
      </c>
      <c r="BI296" s="129">
        <v>428399.66238109476</v>
      </c>
      <c r="BJ296" s="129">
        <v>1325923.198494243</v>
      </c>
      <c r="BK296" s="129">
        <v>1269471.1301614617</v>
      </c>
      <c r="BL296" s="129">
        <v>1210671.2887163959</v>
      </c>
      <c r="BM296" s="129">
        <v>1355475.0267216491</v>
      </c>
      <c r="BN296" s="129">
        <v>1480533.1105878674</v>
      </c>
      <c r="BO296" s="129">
        <v>1369310.2116767396</v>
      </c>
      <c r="BP296" s="129">
        <v>1568260.2223725875</v>
      </c>
      <c r="BQ296" s="129">
        <v>1521301.8585784489</v>
      </c>
      <c r="BR296" s="129">
        <v>1756998.5816957974</v>
      </c>
      <c r="BS296" s="129">
        <v>1698546.2930851949</v>
      </c>
      <c r="BT296" s="129">
        <v>1614434.9591866923</v>
      </c>
      <c r="BU296" s="129">
        <v>1621541.8076218169</v>
      </c>
      <c r="BV296" s="129">
        <v>1650853.7819868685</v>
      </c>
      <c r="BW296" s="129">
        <v>1666365.9727502279</v>
      </c>
      <c r="BX296" s="129">
        <v>1734472.5619475862</v>
      </c>
      <c r="BY296" s="129">
        <v>1729347.1318636322</v>
      </c>
      <c r="BZ296" s="129">
        <v>1699350.6884911901</v>
      </c>
      <c r="CA296" s="129">
        <v>1765944.8016858327</v>
      </c>
      <c r="CB296" s="129">
        <v>1797365.3200060464</v>
      </c>
      <c r="CC296" s="129">
        <v>1894382.7337019825</v>
      </c>
      <c r="CD296" s="129">
        <v>1868223.8913629134</v>
      </c>
      <c r="CE296" s="129">
        <v>1813215.7822039523</v>
      </c>
      <c r="CF296" s="129">
        <v>1929028.2702092149</v>
      </c>
      <c r="CG296" s="129">
        <v>2004851.0086137871</v>
      </c>
      <c r="CH296" s="129">
        <v>1953914.2212050948</v>
      </c>
      <c r="CI296" s="129">
        <v>2734189.2939504464</v>
      </c>
      <c r="CJ296" s="129">
        <v>3243464.9263323536</v>
      </c>
      <c r="CK296" s="129">
        <v>4198837.4019339299</v>
      </c>
      <c r="CL296" s="129">
        <v>3560517.773456743</v>
      </c>
      <c r="CM296" s="129">
        <v>3549862.5975120761</v>
      </c>
      <c r="CN296" s="129">
        <v>3507577.1777618993</v>
      </c>
      <c r="CO296" s="129">
        <v>3425040.2305791033</v>
      </c>
      <c r="CP296" s="129">
        <v>3475171.6199438097</v>
      </c>
      <c r="CQ296" s="129">
        <v>3113569.2411561757</v>
      </c>
      <c r="CR296" s="129">
        <v>2714707.1489358214</v>
      </c>
      <c r="CS296" s="129">
        <v>2480770.7912434973</v>
      </c>
      <c r="CT296" s="129">
        <f>AVERAGE(CH296:CS296)*(1+CT308)</f>
        <v>3321291.962100958</v>
      </c>
      <c r="CU296" s="129">
        <f t="shared" ref="CU296:DQ296" si="1035">CT296*(1+CU308)</f>
        <v>3321291.962100958</v>
      </c>
      <c r="CV296" s="129">
        <f t="shared" si="1035"/>
        <v>3321291.962100958</v>
      </c>
      <c r="CW296" s="129">
        <f t="shared" si="1035"/>
        <v>3321291.962100958</v>
      </c>
      <c r="CX296" s="129">
        <f t="shared" si="1035"/>
        <v>3321291.962100958</v>
      </c>
      <c r="CY296" s="129">
        <f t="shared" si="1035"/>
        <v>3321291.962100958</v>
      </c>
      <c r="CZ296" s="129">
        <f t="shared" si="1035"/>
        <v>3321291.962100958</v>
      </c>
      <c r="DA296" s="129">
        <f t="shared" si="1035"/>
        <v>3321291.962100958</v>
      </c>
      <c r="DB296" s="129">
        <f t="shared" si="1035"/>
        <v>3321291.962100958</v>
      </c>
      <c r="DC296" s="129">
        <f t="shared" si="1035"/>
        <v>3321291.962100958</v>
      </c>
      <c r="DD296" s="129">
        <f t="shared" si="1035"/>
        <v>3321291.962100958</v>
      </c>
      <c r="DE296" s="129">
        <f t="shared" si="1035"/>
        <v>3321291.962100958</v>
      </c>
      <c r="DF296" s="129">
        <f t="shared" si="1035"/>
        <v>3487356.5602060058</v>
      </c>
      <c r="DG296" s="129">
        <f t="shared" si="1035"/>
        <v>3487356.5602060058</v>
      </c>
      <c r="DH296" s="129">
        <f t="shared" si="1035"/>
        <v>3487356.5602060058</v>
      </c>
      <c r="DI296" s="129">
        <f t="shared" si="1035"/>
        <v>3487356.5602060058</v>
      </c>
      <c r="DJ296" s="129">
        <f t="shared" si="1035"/>
        <v>3487356.5602060058</v>
      </c>
      <c r="DK296" s="129">
        <f t="shared" si="1035"/>
        <v>3487356.5602060058</v>
      </c>
      <c r="DL296" s="129">
        <f t="shared" si="1035"/>
        <v>3487356.5602060058</v>
      </c>
      <c r="DM296" s="129">
        <f t="shared" si="1035"/>
        <v>3487356.5602060058</v>
      </c>
      <c r="DN296" s="129">
        <f t="shared" si="1035"/>
        <v>3487356.5602060058</v>
      </c>
      <c r="DO296" s="129">
        <f t="shared" si="1035"/>
        <v>3487356.5602060058</v>
      </c>
      <c r="DP296" s="129">
        <f t="shared" si="1035"/>
        <v>3487356.5602060058</v>
      </c>
      <c r="DQ296" s="129">
        <f t="shared" si="1035"/>
        <v>3487356.5602060058</v>
      </c>
      <c r="DR296" s="129">
        <f t="shared" si="1023"/>
        <v>3661724.3882163065</v>
      </c>
      <c r="DS296" s="129">
        <f t="shared" si="1024"/>
        <v>3661724.3882163065</v>
      </c>
      <c r="DT296" s="129">
        <f t="shared" si="1025"/>
        <v>3661724.3882163065</v>
      </c>
      <c r="DU296" s="129">
        <f t="shared" si="1026"/>
        <v>3661724.3882163065</v>
      </c>
      <c r="DV296" s="129">
        <f t="shared" si="1027"/>
        <v>3661724.3882163065</v>
      </c>
      <c r="DW296" s="129">
        <f t="shared" si="1028"/>
        <v>3661724.3882163065</v>
      </c>
      <c r="DX296" s="129">
        <f t="shared" si="1029"/>
        <v>3661724.3882163065</v>
      </c>
      <c r="DY296" s="129">
        <f t="shared" si="1030"/>
        <v>3661724.3882163065</v>
      </c>
      <c r="DZ296" s="129">
        <f t="shared" si="1031"/>
        <v>3661724.3882163065</v>
      </c>
      <c r="EA296" s="129">
        <f t="shared" si="1032"/>
        <v>3661724.3882163065</v>
      </c>
      <c r="EB296" s="129">
        <f t="shared" si="1033"/>
        <v>3661724.3882163065</v>
      </c>
      <c r="EC296" s="129">
        <f t="shared" si="1034"/>
        <v>3661724.3882163065</v>
      </c>
      <c r="ED296" s="113" t="s">
        <v>1</v>
      </c>
    </row>
    <row r="297" spans="1:134" x14ac:dyDescent="0.2">
      <c r="A297" s="698" t="s">
        <v>52</v>
      </c>
      <c r="B297" s="115"/>
      <c r="C297" s="115"/>
      <c r="D297" s="115"/>
      <c r="E297" s="115"/>
      <c r="F297" s="115"/>
      <c r="G297" s="115"/>
      <c r="H297" s="115"/>
      <c r="I297" s="115"/>
      <c r="J297" s="115"/>
      <c r="K297" s="129">
        <v>0</v>
      </c>
      <c r="L297" s="129">
        <v>0</v>
      </c>
      <c r="M297" s="129">
        <v>0</v>
      </c>
      <c r="N297" s="129">
        <v>0</v>
      </c>
      <c r="O297" s="129">
        <v>0</v>
      </c>
      <c r="P297" s="129">
        <v>0</v>
      </c>
      <c r="Q297" s="129">
        <v>0</v>
      </c>
      <c r="R297" s="129">
        <v>0</v>
      </c>
      <c r="S297" s="129">
        <v>0</v>
      </c>
      <c r="T297" s="129">
        <v>0</v>
      </c>
      <c r="U297" s="129">
        <v>0</v>
      </c>
      <c r="V297" s="129">
        <v>0</v>
      </c>
      <c r="W297" s="129">
        <v>0</v>
      </c>
      <c r="X297" s="129">
        <v>0</v>
      </c>
      <c r="Y297" s="129">
        <v>0</v>
      </c>
      <c r="Z297" s="129">
        <v>0</v>
      </c>
      <c r="AA297" s="129">
        <v>0</v>
      </c>
      <c r="AB297" s="129">
        <v>0</v>
      </c>
      <c r="AC297" s="129">
        <v>0</v>
      </c>
      <c r="AD297" s="129">
        <v>0</v>
      </c>
      <c r="AE297" s="129">
        <v>0</v>
      </c>
      <c r="AF297" s="129">
        <v>0</v>
      </c>
      <c r="AG297" s="129">
        <v>0</v>
      </c>
      <c r="AH297" s="129">
        <v>0</v>
      </c>
      <c r="AI297" s="129">
        <v>0</v>
      </c>
      <c r="AJ297" s="129">
        <v>0</v>
      </c>
      <c r="AK297" s="129">
        <v>0</v>
      </c>
      <c r="AL297" s="129">
        <v>0</v>
      </c>
      <c r="AM297" s="129">
        <v>0</v>
      </c>
      <c r="AN297" s="129">
        <v>0</v>
      </c>
      <c r="AO297" s="129">
        <v>0</v>
      </c>
      <c r="AP297" s="129">
        <v>0</v>
      </c>
      <c r="AQ297" s="129">
        <v>0</v>
      </c>
      <c r="AR297" s="129">
        <v>0</v>
      </c>
      <c r="AS297" s="129">
        <v>0</v>
      </c>
      <c r="AT297" s="129">
        <v>0</v>
      </c>
      <c r="AU297" s="129">
        <v>0</v>
      </c>
      <c r="AV297" s="129">
        <v>0</v>
      </c>
      <c r="AW297" s="129">
        <v>0</v>
      </c>
      <c r="AX297" s="129">
        <v>0</v>
      </c>
      <c r="AY297" s="129">
        <v>0</v>
      </c>
      <c r="AZ297" s="129">
        <v>0</v>
      </c>
      <c r="BA297" s="129">
        <v>0</v>
      </c>
      <c r="BB297" s="129">
        <v>0</v>
      </c>
      <c r="BC297" s="129">
        <v>0</v>
      </c>
      <c r="BD297" s="129">
        <v>0</v>
      </c>
      <c r="BE297" s="129">
        <v>0</v>
      </c>
      <c r="BF297" s="129">
        <v>200000</v>
      </c>
      <c r="BG297" s="129">
        <v>200000</v>
      </c>
      <c r="BH297" s="129">
        <v>200000</v>
      </c>
      <c r="BI297" s="129">
        <v>200000</v>
      </c>
      <c r="BJ297" s="129">
        <v>200000</v>
      </c>
      <c r="BK297" s="129">
        <v>200000</v>
      </c>
      <c r="BL297" s="129">
        <v>600000</v>
      </c>
      <c r="BM297" s="129">
        <v>200000</v>
      </c>
      <c r="BN297" s="129">
        <v>200000</v>
      </c>
      <c r="BO297" s="129">
        <v>200000</v>
      </c>
      <c r="BP297" s="129">
        <v>200000</v>
      </c>
      <c r="BQ297" s="129">
        <v>200000</v>
      </c>
      <c r="BR297" s="129">
        <v>200000</v>
      </c>
      <c r="BS297" s="129">
        <v>166987</v>
      </c>
      <c r="BT297" s="129">
        <v>375433</v>
      </c>
      <c r="BU297" s="129">
        <v>216575</v>
      </c>
      <c r="BV297" s="129">
        <v>322659</v>
      </c>
      <c r="BW297" s="129">
        <v>207575.5</v>
      </c>
      <c r="BX297" s="129">
        <v>209589</v>
      </c>
      <c r="BY297" s="129">
        <v>216575.5</v>
      </c>
      <c r="BZ297" s="129">
        <v>216575.5</v>
      </c>
      <c r="CA297" s="129">
        <v>209589</v>
      </c>
      <c r="CB297" s="129">
        <v>216575.5</v>
      </c>
      <c r="CC297" s="129">
        <v>216267</v>
      </c>
      <c r="CD297" s="129">
        <v>250989</v>
      </c>
      <c r="CE297" s="129">
        <v>251236.5</v>
      </c>
      <c r="CF297" s="129">
        <v>251923</v>
      </c>
      <c r="CG297" s="129">
        <v>251236.5</v>
      </c>
      <c r="CH297" s="129">
        <v>269297</v>
      </c>
      <c r="CI297" s="129">
        <v>251236.5</v>
      </c>
      <c r="CJ297" s="129">
        <v>243132</v>
      </c>
      <c r="CK297" s="129">
        <v>295700</v>
      </c>
      <c r="CL297" s="129">
        <v>251236.5</v>
      </c>
      <c r="CM297" s="129">
        <v>251593.5</v>
      </c>
      <c r="CN297" s="129">
        <v>358792.5</v>
      </c>
      <c r="CO297" s="129">
        <v>164971.47999999998</v>
      </c>
      <c r="CP297" s="129">
        <v>319682.5</v>
      </c>
      <c r="CQ297" s="129">
        <v>325018.18</v>
      </c>
      <c r="CR297" s="129">
        <v>308914.18</v>
      </c>
      <c r="CS297" s="129">
        <v>473094.68</v>
      </c>
      <c r="CT297" s="129">
        <f>AVERAGE(CH297:CS297)*(1+CT309)</f>
        <v>292722.41833333339</v>
      </c>
      <c r="CU297" s="129">
        <f t="shared" ref="CU297:DQ297" si="1036">CT297/CT196*CU196</f>
        <v>295701.64680056204</v>
      </c>
      <c r="CV297" s="129">
        <f t="shared" si="1036"/>
        <v>295490.10395081801</v>
      </c>
      <c r="CW297" s="129">
        <f t="shared" si="1036"/>
        <v>299950.13236625516</v>
      </c>
      <c r="CX297" s="129">
        <f t="shared" si="1036"/>
        <v>282638.87582886679</v>
      </c>
      <c r="CY297" s="129">
        <f t="shared" si="1036"/>
        <v>309187.50347174541</v>
      </c>
      <c r="CZ297" s="129">
        <f t="shared" si="1036"/>
        <v>300637.6466279233</v>
      </c>
      <c r="DA297" s="129">
        <f t="shared" si="1036"/>
        <v>301342.7894604035</v>
      </c>
      <c r="DB297" s="129">
        <f t="shared" si="1036"/>
        <v>369900.30134828866</v>
      </c>
      <c r="DC297" s="129">
        <f t="shared" si="1036"/>
        <v>398564.35748860787</v>
      </c>
      <c r="DD297" s="129">
        <f t="shared" si="1036"/>
        <v>341694.58804908162</v>
      </c>
      <c r="DE297" s="129">
        <f t="shared" si="1036"/>
        <v>369230.41565743252</v>
      </c>
      <c r="DF297" s="129">
        <f t="shared" si="1036"/>
        <v>346729.70451583341</v>
      </c>
      <c r="DG297" s="129">
        <f t="shared" si="1036"/>
        <v>350258.60063526587</v>
      </c>
      <c r="DH297" s="129">
        <f t="shared" si="1036"/>
        <v>350008.02812974405</v>
      </c>
      <c r="DI297" s="129">
        <f t="shared" si="1036"/>
        <v>355290.93178782932</v>
      </c>
      <c r="DJ297" s="129">
        <f t="shared" si="1036"/>
        <v>334785.7484192928</v>
      </c>
      <c r="DK297" s="129">
        <f t="shared" si="1036"/>
        <v>366232.59786228254</v>
      </c>
      <c r="DL297" s="129">
        <f t="shared" si="1036"/>
        <v>356105.29243077524</v>
      </c>
      <c r="DM297" s="129">
        <f t="shared" si="1036"/>
        <v>356940.53411584802</v>
      </c>
      <c r="DN297" s="129">
        <f t="shared" si="1036"/>
        <v>438146.90694704797</v>
      </c>
      <c r="DO297" s="129">
        <f t="shared" si="1036"/>
        <v>472099.48144525604</v>
      </c>
      <c r="DP297" s="129">
        <f t="shared" si="1036"/>
        <v>404737.23954413715</v>
      </c>
      <c r="DQ297" s="129">
        <f t="shared" si="1036"/>
        <v>437353.4273462288</v>
      </c>
      <c r="DR297" s="129">
        <f t="shared" ref="DR297" si="1037">DQ297/DQ196*DR196</f>
        <v>410701.33499900461</v>
      </c>
      <c r="DS297" s="129">
        <f t="shared" ref="DS297" si="1038">DR297/DR196*DS196</f>
        <v>414881.3124524724</v>
      </c>
      <c r="DT297" s="129">
        <f t="shared" ref="DT297" si="1039">DS297/DS196*DT196</f>
        <v>414584.50931968173</v>
      </c>
      <c r="DU297" s="129">
        <f t="shared" ref="DU297" si="1040">DT297/DT196*DU196</f>
        <v>420842.10870268376</v>
      </c>
      <c r="DV297" s="129">
        <f t="shared" ref="DV297" si="1041">DU297/DU196*DV196</f>
        <v>396553.71900265227</v>
      </c>
      <c r="DW297" s="129">
        <f t="shared" ref="DW297" si="1042">DV297/DV196*DW196</f>
        <v>433802.51216787362</v>
      </c>
      <c r="DX297" s="129">
        <f t="shared" ref="DX297" si="1043">DW297/DW196*DX196</f>
        <v>421806.71888425318</v>
      </c>
      <c r="DY297" s="129">
        <f t="shared" ref="DY297" si="1044">DX297/DX196*DY196</f>
        <v>422796.06266022183</v>
      </c>
      <c r="DZ297" s="129">
        <f t="shared" ref="DZ297" si="1045">DY297/DY196*DZ196</f>
        <v>518985.01127877831</v>
      </c>
      <c r="EA297" s="129">
        <f t="shared" ref="EA297" si="1046">DZ297/DZ196*EA196</f>
        <v>559201.83577190572</v>
      </c>
      <c r="EB297" s="129">
        <f t="shared" ref="EB297" si="1047">EA297/EA196*EB196</f>
        <v>479411.26024003042</v>
      </c>
      <c r="EC297" s="129">
        <f t="shared" ref="EC297" si="1048">EB297/EB196*EC196</f>
        <v>518045.13469160791</v>
      </c>
      <c r="ED297" s="113" t="s">
        <v>1</v>
      </c>
    </row>
    <row r="298" spans="1:134" x14ac:dyDescent="0.2">
      <c r="A298" s="115" t="s">
        <v>53</v>
      </c>
      <c r="B298" s="115"/>
      <c r="C298" s="115"/>
      <c r="D298" s="115"/>
      <c r="E298" s="115"/>
      <c r="F298" s="115"/>
      <c r="G298" s="115"/>
      <c r="H298" s="115"/>
      <c r="I298" s="115"/>
      <c r="J298" s="115"/>
      <c r="K298" s="133">
        <f t="shared" ref="K298:AP298" si="1049">K291/K219</f>
        <v>0.37801410221810633</v>
      </c>
      <c r="L298" s="133">
        <f t="shared" si="1049"/>
        <v>7.0891750520781102E-2</v>
      </c>
      <c r="M298" s="133">
        <f t="shared" si="1049"/>
        <v>2.1562111679440818E-2</v>
      </c>
      <c r="N298" s="133">
        <f t="shared" si="1049"/>
        <v>1.5793226290891096E-2</v>
      </c>
      <c r="O298" s="133">
        <f t="shared" si="1049"/>
        <v>1.4137935598440458E-2</v>
      </c>
      <c r="P298" s="133">
        <f t="shared" si="1049"/>
        <v>1.6903656293852608E-2</v>
      </c>
      <c r="Q298" s="133">
        <f t="shared" si="1049"/>
        <v>1.0560162856252915E-2</v>
      </c>
      <c r="R298" s="133">
        <f t="shared" si="1049"/>
        <v>1.6368602551500591E-2</v>
      </c>
      <c r="S298" s="133">
        <f t="shared" si="1049"/>
        <v>1.3485082231375749E-2</v>
      </c>
      <c r="T298" s="133">
        <f t="shared" si="1049"/>
        <v>1.4343789732777338E-2</v>
      </c>
      <c r="U298" s="133">
        <f t="shared" si="1049"/>
        <v>5.1669556047326114E-2</v>
      </c>
      <c r="V298" s="133">
        <f t="shared" si="1049"/>
        <v>2.2554762818816614E-2</v>
      </c>
      <c r="W298" s="133">
        <f t="shared" si="1049"/>
        <v>2.1766390812810812E-2</v>
      </c>
      <c r="X298" s="133">
        <f t="shared" si="1049"/>
        <v>0.25437673774510072</v>
      </c>
      <c r="Y298" s="133">
        <f t="shared" si="1049"/>
        <v>3.3211326818203837E-2</v>
      </c>
      <c r="Z298" s="133">
        <f t="shared" si="1049"/>
        <v>-4.3736383244840735E-2</v>
      </c>
      <c r="AA298" s="133">
        <f t="shared" si="1049"/>
        <v>3.1224430389663597E-2</v>
      </c>
      <c r="AB298" s="133">
        <f t="shared" si="1049"/>
        <v>3.6757341092573476E-2</v>
      </c>
      <c r="AC298" s="133">
        <f t="shared" si="1049"/>
        <v>4.1703628410025492E-2</v>
      </c>
      <c r="AD298" s="133">
        <f t="shared" si="1049"/>
        <v>4.3835003659048938E-2</v>
      </c>
      <c r="AE298" s="133">
        <f t="shared" si="1049"/>
        <v>3.1835753420210819E-2</v>
      </c>
      <c r="AF298" s="133">
        <f t="shared" si="1049"/>
        <v>2.1883365851611821E-2</v>
      </c>
      <c r="AG298" s="133">
        <f t="shared" si="1049"/>
        <v>2.1199679319620506E-2</v>
      </c>
      <c r="AH298" s="133">
        <f t="shared" si="1049"/>
        <v>1.5166807051019013E-2</v>
      </c>
      <c r="AI298" s="133">
        <f t="shared" si="1049"/>
        <v>1.1334824870042297E-2</v>
      </c>
      <c r="AJ298" s="133">
        <f t="shared" si="1049"/>
        <v>1.3343028493165343E-2</v>
      </c>
      <c r="AK298" s="133">
        <f t="shared" si="1049"/>
        <v>1.3162678846385037E-2</v>
      </c>
      <c r="AL298" s="133">
        <f t="shared" si="1049"/>
        <v>2.043509142680143E-2</v>
      </c>
      <c r="AM298" s="133">
        <f t="shared" si="1049"/>
        <v>2.7922863454402914E-2</v>
      </c>
      <c r="AN298" s="133">
        <f t="shared" si="1049"/>
        <v>1.5958141792761622E-2</v>
      </c>
      <c r="AO298" s="133">
        <f t="shared" si="1049"/>
        <v>2.187082374952394E-2</v>
      </c>
      <c r="AP298" s="133">
        <f t="shared" si="1049"/>
        <v>2.9414188768589523E-2</v>
      </c>
      <c r="AQ298" s="133">
        <f t="shared" ref="AQ298:BV298" si="1050">AQ291/AQ219</f>
        <v>2.6560742420330026E-2</v>
      </c>
      <c r="AR298" s="133">
        <f t="shared" si="1050"/>
        <v>2.6911041612528674E-2</v>
      </c>
      <c r="AS298" s="133">
        <f t="shared" si="1050"/>
        <v>1.5470528633463158E-2</v>
      </c>
      <c r="AT298" s="133">
        <f t="shared" si="1050"/>
        <v>1.1902910034147375E-2</v>
      </c>
      <c r="AU298" s="133">
        <f t="shared" si="1050"/>
        <v>1.3698899132465503E-2</v>
      </c>
      <c r="AV298" s="133">
        <f t="shared" si="1050"/>
        <v>1.5788774375316082E-2</v>
      </c>
      <c r="AW298" s="133">
        <f t="shared" si="1050"/>
        <v>2.5787649593587269E-2</v>
      </c>
      <c r="AX298" s="133">
        <f t="shared" si="1050"/>
        <v>3.496993064938185E-2</v>
      </c>
      <c r="AY298" s="133">
        <f t="shared" si="1050"/>
        <v>4.0023036133593107E-2</v>
      </c>
      <c r="AZ298" s="133">
        <f t="shared" si="1050"/>
        <v>2.1724266448520328E-2</v>
      </c>
      <c r="BA298" s="133">
        <f t="shared" si="1050"/>
        <v>2.4927737311656411E-2</v>
      </c>
      <c r="BB298" s="133">
        <f t="shared" si="1050"/>
        <v>5.1136028446854102E-2</v>
      </c>
      <c r="BC298" s="133">
        <f t="shared" si="1050"/>
        <v>4.3172637628510868E-2</v>
      </c>
      <c r="BD298" s="133">
        <f t="shared" si="1050"/>
        <v>2.5320767185771465E-2</v>
      </c>
      <c r="BE298" s="133">
        <f t="shared" si="1050"/>
        <v>2.286877389192149E-2</v>
      </c>
      <c r="BF298" s="133">
        <f t="shared" si="1050"/>
        <v>4.5800763443180952E-2</v>
      </c>
      <c r="BG298" s="133">
        <f t="shared" si="1050"/>
        <v>3.5216262612732412E-2</v>
      </c>
      <c r="BH298" s="133">
        <f t="shared" si="1050"/>
        <v>2.0774175708369126E-2</v>
      </c>
      <c r="BI298" s="133">
        <f t="shared" si="1050"/>
        <v>1.0930336642739553E-2</v>
      </c>
      <c r="BJ298" s="133">
        <f t="shared" si="1050"/>
        <v>5.1201739437861243E-2</v>
      </c>
      <c r="BK298" s="133">
        <f t="shared" si="1050"/>
        <v>5.5478024312145935E-2</v>
      </c>
      <c r="BL298" s="133">
        <f t="shared" si="1050"/>
        <v>4.7375983667068418E-2</v>
      </c>
      <c r="BM298" s="133">
        <f t="shared" si="1050"/>
        <v>6.6085065455256109E-2</v>
      </c>
      <c r="BN298" s="133">
        <f t="shared" si="1050"/>
        <v>5.4996395021037189E-2</v>
      </c>
      <c r="BO298" s="133">
        <f t="shared" si="1050"/>
        <v>4.7886012556994678E-2</v>
      </c>
      <c r="BP298" s="133">
        <f t="shared" si="1050"/>
        <v>3.050330423551334E-2</v>
      </c>
      <c r="BQ298" s="133">
        <f t="shared" si="1050"/>
        <v>4.2990325684954249E-2</v>
      </c>
      <c r="BR298" s="133">
        <f t="shared" si="1050"/>
        <v>4.6108814308601705E-2</v>
      </c>
      <c r="BS298" s="133">
        <f t="shared" si="1050"/>
        <v>4.313005109008989E-2</v>
      </c>
      <c r="BT298" s="133">
        <f t="shared" si="1050"/>
        <v>5.6571368666342582E-2</v>
      </c>
      <c r="BU298" s="133">
        <f t="shared" si="1050"/>
        <v>4.0243316064519682E-2</v>
      </c>
      <c r="BV298" s="133">
        <f t="shared" si="1050"/>
        <v>4.6818823519069547E-2</v>
      </c>
      <c r="BW298" s="133">
        <f t="shared" ref="BW298:DB298" si="1051">BW291/BW219</f>
        <v>4.2273249699948362E-2</v>
      </c>
      <c r="BX298" s="133">
        <f t="shared" si="1051"/>
        <v>4.0416936843109444E-2</v>
      </c>
      <c r="BY298" s="133">
        <f t="shared" si="1051"/>
        <v>3.9384424078634156E-2</v>
      </c>
      <c r="BZ298" s="133">
        <f t="shared" si="1051"/>
        <v>3.9871260906356988E-2</v>
      </c>
      <c r="CA298" s="133">
        <f t="shared" si="1051"/>
        <v>3.7961890855992615E-2</v>
      </c>
      <c r="CB298" s="133">
        <f t="shared" si="1051"/>
        <v>2.388125225989042E-2</v>
      </c>
      <c r="CC298" s="133">
        <f t="shared" si="1051"/>
        <v>3.1737984142109092E-2</v>
      </c>
      <c r="CD298" s="133">
        <f t="shared" si="1051"/>
        <v>2.2816619760164251E-2</v>
      </c>
      <c r="CE298" s="133">
        <f t="shared" si="1051"/>
        <v>2.1053961685977073E-2</v>
      </c>
      <c r="CF298" s="133">
        <f t="shared" si="1051"/>
        <v>2.2223778694405952E-2</v>
      </c>
      <c r="CG298" s="133">
        <f t="shared" si="1051"/>
        <v>2.1652749170395259E-2</v>
      </c>
      <c r="CH298" s="133">
        <f t="shared" si="1051"/>
        <v>1.9603592994981316E-2</v>
      </c>
      <c r="CI298" s="133">
        <f t="shared" si="1051"/>
        <v>2.3660016889149718E-2</v>
      </c>
      <c r="CJ298" s="133">
        <f t="shared" si="1051"/>
        <v>2.4360459467176934E-2</v>
      </c>
      <c r="CK298" s="133">
        <f t="shared" si="1051"/>
        <v>2.9055769695826621E-2</v>
      </c>
      <c r="CL298" s="133">
        <f t="shared" si="1051"/>
        <v>2.8958041408068479E-2</v>
      </c>
      <c r="CM298" s="133">
        <f t="shared" si="1051"/>
        <v>2.3632935579673459E-2</v>
      </c>
      <c r="CN298" s="133">
        <f t="shared" si="1051"/>
        <v>2.6826757700860182E-2</v>
      </c>
      <c r="CO298" s="133">
        <f t="shared" si="1051"/>
        <v>2.4498801049859659E-2</v>
      </c>
      <c r="CP298" s="133">
        <f t="shared" si="1051"/>
        <v>2.1378259982672822E-2</v>
      </c>
      <c r="CQ298" s="133">
        <f t="shared" si="1051"/>
        <v>1.8683468600888958E-2</v>
      </c>
      <c r="CR298" s="133">
        <f t="shared" si="1051"/>
        <v>2.2314320171899379E-2</v>
      </c>
      <c r="CS298" s="133">
        <f t="shared" si="1051"/>
        <v>1.7972517836497177E-2</v>
      </c>
      <c r="CT298" s="133">
        <f t="shared" si="1051"/>
        <v>2.2159943296352246E-2</v>
      </c>
      <c r="CU298" s="133">
        <f t="shared" si="1051"/>
        <v>2.1944458105374261E-2</v>
      </c>
      <c r="CV298" s="133">
        <f t="shared" si="1051"/>
        <v>2.1959615515928232E-2</v>
      </c>
      <c r="CW298" s="133">
        <f t="shared" si="1051"/>
        <v>2.1644573139730752E-2</v>
      </c>
      <c r="CX298" s="133">
        <f t="shared" si="1051"/>
        <v>2.2922985570279844E-2</v>
      </c>
      <c r="CY298" s="133">
        <f t="shared" si="1051"/>
        <v>2.1020980833224037E-2</v>
      </c>
      <c r="CZ298" s="133">
        <f t="shared" si="1051"/>
        <v>2.1596840809345881E-2</v>
      </c>
      <c r="DA298" s="133">
        <f t="shared" si="1051"/>
        <v>2.1548110824525981E-2</v>
      </c>
      <c r="DB298" s="133">
        <f t="shared" si="1051"/>
        <v>1.7697470930813967E-2</v>
      </c>
      <c r="DC298" s="133">
        <f t="shared" ref="DC298:DQ298" si="1052">DC291/DC219</f>
        <v>1.6480226349793275E-2</v>
      </c>
      <c r="DD298" s="133">
        <f t="shared" si="1052"/>
        <v>1.9094603604538678E-2</v>
      </c>
      <c r="DE298" s="133">
        <f t="shared" si="1052"/>
        <v>1.7728178249367399E-2</v>
      </c>
      <c r="DF298" s="133">
        <f t="shared" si="1052"/>
        <v>2.0187409504643164E-2</v>
      </c>
      <c r="DG298" s="133">
        <f t="shared" si="1052"/>
        <v>1.9991797820926339E-2</v>
      </c>
      <c r="DH298" s="133">
        <f t="shared" si="1052"/>
        <v>2.0005557312173943E-2</v>
      </c>
      <c r="DI298" s="133">
        <f t="shared" si="1052"/>
        <v>1.9719570282761646E-2</v>
      </c>
      <c r="DJ298" s="133">
        <f t="shared" si="1052"/>
        <v>2.088007883970357E-2</v>
      </c>
      <c r="DK298" s="133">
        <f t="shared" si="1052"/>
        <v>1.9153489892387649E-2</v>
      </c>
      <c r="DL298" s="133">
        <f t="shared" si="1052"/>
        <v>1.9676240151944135E-2</v>
      </c>
      <c r="DM298" s="133">
        <f t="shared" si="1052"/>
        <v>1.9632004377156759E-2</v>
      </c>
      <c r="DN298" s="133">
        <f t="shared" si="1052"/>
        <v>1.6136496636798361E-2</v>
      </c>
      <c r="DO298" s="133">
        <f t="shared" si="1052"/>
        <v>1.5031514615027058E-2</v>
      </c>
      <c r="DP298" s="133">
        <f t="shared" si="1052"/>
        <v>1.7404776250087385E-2</v>
      </c>
      <c r="DQ298" s="133">
        <f t="shared" si="1052"/>
        <v>1.6164371917959931E-2</v>
      </c>
      <c r="DR298" s="133">
        <f t="shared" ref="DR298:EC298" si="1053">DR291/DR219</f>
        <v>1.8419413365249993E-2</v>
      </c>
      <c r="DS298" s="133">
        <f t="shared" si="1053"/>
        <v>1.8241614448169474E-2</v>
      </c>
      <c r="DT298" s="133">
        <f t="shared" si="1053"/>
        <v>1.8254120974348885E-2</v>
      </c>
      <c r="DU298" s="133">
        <f t="shared" si="1053"/>
        <v>1.7994176459980357E-2</v>
      </c>
      <c r="DV298" s="133">
        <f t="shared" si="1053"/>
        <v>1.904900693209903E-2</v>
      </c>
      <c r="DW298" s="133">
        <f t="shared" si="1053"/>
        <v>1.7479644411195806E-2</v>
      </c>
      <c r="DX298" s="133">
        <f t="shared" si="1053"/>
        <v>1.7954792052106937E-2</v>
      </c>
      <c r="DY298" s="133">
        <f t="shared" si="1053"/>
        <v>1.7914584469901372E-2</v>
      </c>
      <c r="DZ298" s="133">
        <f t="shared" si="1053"/>
        <v>1.4737384217476831E-2</v>
      </c>
      <c r="EA298" s="133">
        <f t="shared" si="1053"/>
        <v>1.3733023930139459E-2</v>
      </c>
      <c r="EB298" s="133">
        <f t="shared" si="1053"/>
        <v>1.5890171911511125E-2</v>
      </c>
      <c r="EC298" s="133">
        <f t="shared" si="1053"/>
        <v>1.476272112327749E-2</v>
      </c>
      <c r="ED298" s="113" t="s">
        <v>1</v>
      </c>
    </row>
    <row r="299" spans="1:134" x14ac:dyDescent="0.2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15"/>
      <c r="AL299" s="115"/>
      <c r="AM299" s="115"/>
      <c r="AN299" s="115"/>
      <c r="AO299" s="115"/>
      <c r="AP299" s="115"/>
      <c r="AQ299" s="115"/>
      <c r="AR299" s="115"/>
      <c r="AS299" s="115"/>
      <c r="AT299" s="115"/>
      <c r="AU299" s="115"/>
      <c r="AV299" s="115"/>
      <c r="AW299" s="115"/>
      <c r="AX299" s="115"/>
      <c r="AY299" s="115"/>
      <c r="AZ299" s="115"/>
      <c r="BA299" s="115"/>
      <c r="BB299" s="115"/>
      <c r="BC299" s="115"/>
      <c r="BD299" s="115"/>
      <c r="BE299" s="115"/>
      <c r="BF299" s="115"/>
      <c r="BG299" s="115"/>
      <c r="BH299" s="115"/>
      <c r="BI299" s="115"/>
      <c r="BJ299" s="115"/>
      <c r="BK299" s="115"/>
      <c r="BL299" s="115"/>
      <c r="BM299" s="115"/>
      <c r="BN299" s="115"/>
      <c r="BO299" s="115"/>
      <c r="BP299" s="115"/>
      <c r="BQ299" s="115"/>
      <c r="BR299" s="115"/>
      <c r="BS299" s="115"/>
      <c r="BT299" s="115"/>
      <c r="BU299" s="115"/>
      <c r="BV299" s="115"/>
      <c r="BW299" s="115"/>
      <c r="BX299" s="115"/>
      <c r="BY299" s="115"/>
      <c r="BZ299" s="115"/>
      <c r="CA299" s="115"/>
      <c r="CB299" s="115"/>
      <c r="CC299" s="115"/>
      <c r="CD299" s="115"/>
      <c r="CE299" s="115"/>
      <c r="CF299" s="115"/>
      <c r="CG299" s="115"/>
      <c r="CH299" s="115"/>
      <c r="CI299" s="115"/>
      <c r="CJ299" s="115"/>
      <c r="CK299" s="115"/>
      <c r="CL299" s="115"/>
      <c r="CM299" s="115"/>
      <c r="CN299" s="115"/>
      <c r="CO299" s="115"/>
      <c r="CP299" s="115"/>
      <c r="CQ299" s="115"/>
      <c r="CR299" s="115"/>
      <c r="CS299" s="115"/>
      <c r="CT299" s="115"/>
      <c r="CU299" s="115"/>
      <c r="CV299" s="115"/>
      <c r="CW299" s="115"/>
      <c r="CX299" s="115"/>
      <c r="CY299" s="115"/>
      <c r="CZ299" s="115"/>
      <c r="DA299" s="115"/>
      <c r="DB299" s="115"/>
      <c r="DC299" s="115"/>
      <c r="DD299" s="115"/>
      <c r="DE299" s="115"/>
      <c r="DF299" s="115"/>
      <c r="DG299" s="115"/>
      <c r="DH299" s="115"/>
      <c r="DI299" s="115"/>
      <c r="DJ299" s="115"/>
      <c r="DK299" s="115"/>
      <c r="DL299" s="115"/>
      <c r="DM299" s="115"/>
      <c r="DN299" s="115"/>
      <c r="DO299" s="115"/>
      <c r="DP299" s="115"/>
      <c r="DQ299" s="115"/>
      <c r="DR299" s="115"/>
      <c r="DS299" s="115"/>
      <c r="DT299" s="115"/>
      <c r="DU299" s="115"/>
      <c r="DV299" s="115"/>
      <c r="DW299" s="115"/>
      <c r="DX299" s="115"/>
      <c r="DY299" s="115"/>
      <c r="DZ299" s="115"/>
      <c r="EA299" s="115"/>
      <c r="EB299" s="115"/>
      <c r="EC299" s="645"/>
      <c r="ED299" s="113" t="s">
        <v>1</v>
      </c>
    </row>
    <row r="300" spans="1:134" x14ac:dyDescent="0.2">
      <c r="A300" s="330" t="s">
        <v>279</v>
      </c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  <c r="AL300" s="115"/>
      <c r="AM300" s="115"/>
      <c r="AN300" s="115"/>
      <c r="AO300" s="115"/>
      <c r="AP300" s="115"/>
      <c r="AQ300" s="115"/>
      <c r="AR300" s="115"/>
      <c r="AS300" s="115"/>
      <c r="AT300" s="115"/>
      <c r="AU300" s="115"/>
      <c r="AV300" s="115"/>
      <c r="AW300" s="115"/>
      <c r="AX300" s="115"/>
      <c r="AY300" s="115"/>
      <c r="AZ300" s="115"/>
      <c r="BA300" s="115"/>
      <c r="BB300" s="115"/>
      <c r="BC300" s="115"/>
      <c r="BD300" s="115"/>
      <c r="BE300" s="115"/>
      <c r="BF300" s="115"/>
      <c r="BG300" s="115"/>
      <c r="BH300" s="115"/>
      <c r="BI300" s="115"/>
      <c r="BJ300" s="115"/>
      <c r="BK300" s="115"/>
      <c r="BL300" s="115"/>
      <c r="BM300" s="115"/>
      <c r="BN300" s="115"/>
      <c r="BO300" s="115"/>
      <c r="BP300" s="115"/>
      <c r="BQ300" s="115"/>
      <c r="BR300" s="115"/>
      <c r="BS300" s="115"/>
      <c r="BT300" s="115"/>
      <c r="BU300" s="115"/>
      <c r="BV300" s="115"/>
      <c r="BW300" s="115"/>
      <c r="BX300" s="115"/>
      <c r="BY300" s="115"/>
      <c r="BZ300" s="115"/>
      <c r="CA300" s="115"/>
      <c r="CB300" s="115"/>
      <c r="CC300" s="115"/>
      <c r="CD300" s="115"/>
      <c r="CE300" s="115"/>
      <c r="CF300" s="115"/>
      <c r="CG300" s="115"/>
      <c r="CH300" s="115"/>
      <c r="CI300" s="115"/>
      <c r="CJ300" s="115"/>
      <c r="CK300" s="115"/>
      <c r="CL300" s="115"/>
      <c r="CM300" s="115"/>
      <c r="CN300" s="115"/>
      <c r="CO300" s="115"/>
      <c r="CP300" s="115"/>
      <c r="CQ300" s="115"/>
      <c r="CR300" s="115"/>
      <c r="CS300" s="115"/>
      <c r="CT300" s="115"/>
      <c r="CU300" s="115"/>
      <c r="CV300" s="115"/>
      <c r="CW300" s="115"/>
      <c r="CX300" s="115"/>
      <c r="CY300" s="115"/>
      <c r="CZ300" s="115"/>
      <c r="DA300" s="115"/>
      <c r="DB300" s="115"/>
      <c r="DC300" s="115"/>
      <c r="DD300" s="115"/>
      <c r="DE300" s="115"/>
      <c r="DF300" s="115"/>
      <c r="DG300" s="115"/>
      <c r="DH300" s="115"/>
      <c r="DI300" s="115"/>
      <c r="DJ300" s="115"/>
      <c r="DK300" s="115"/>
      <c r="DL300" s="115"/>
      <c r="DM300" s="115"/>
      <c r="DN300" s="115"/>
      <c r="DO300" s="115"/>
      <c r="DP300" s="115"/>
      <c r="DQ300" s="115"/>
      <c r="DR300" s="115"/>
      <c r="DS300" s="115"/>
      <c r="DT300" s="115"/>
      <c r="DU300" s="115"/>
      <c r="DV300" s="115"/>
      <c r="DW300" s="115"/>
      <c r="DX300" s="115"/>
      <c r="DY300" s="115"/>
      <c r="DZ300" s="115"/>
      <c r="EA300" s="115"/>
      <c r="EB300" s="115"/>
      <c r="EC300" s="645"/>
      <c r="ED300" s="113" t="s">
        <v>1</v>
      </c>
    </row>
    <row r="301" spans="1:134" x14ac:dyDescent="0.2">
      <c r="A301" s="712" t="s">
        <v>112</v>
      </c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15"/>
      <c r="AL301" s="115"/>
      <c r="AM301" s="115"/>
      <c r="AN301" s="115"/>
      <c r="AO301" s="115"/>
      <c r="AP301" s="115"/>
      <c r="AQ301" s="115"/>
      <c r="AR301" s="115"/>
      <c r="AS301" s="115"/>
      <c r="AT301" s="115"/>
      <c r="AU301" s="115"/>
      <c r="AV301" s="115"/>
      <c r="AW301" s="115"/>
      <c r="AX301" s="115"/>
      <c r="AY301" s="115"/>
      <c r="AZ301" s="115"/>
      <c r="BA301" s="115"/>
      <c r="BB301" s="115"/>
      <c r="BC301" s="115"/>
      <c r="BD301" s="115"/>
      <c r="BE301" s="115"/>
      <c r="BF301" s="115"/>
      <c r="BG301" s="115"/>
      <c r="BH301" s="115"/>
      <c r="BI301" s="115"/>
      <c r="BJ301" s="115"/>
      <c r="BK301" s="115"/>
      <c r="BL301" s="115"/>
      <c r="BM301" s="115"/>
      <c r="BN301" s="115"/>
      <c r="BO301" s="115"/>
      <c r="BP301" s="115"/>
      <c r="BQ301" s="115"/>
      <c r="BR301" s="115"/>
      <c r="BS301" s="115"/>
      <c r="BT301" s="115"/>
      <c r="BU301" s="115"/>
      <c r="BV301" s="115"/>
      <c r="BW301" s="115"/>
      <c r="BX301" s="115"/>
      <c r="BY301" s="115"/>
      <c r="BZ301" s="115"/>
      <c r="CA301" s="115"/>
      <c r="CB301" s="115"/>
      <c r="CC301" s="115"/>
      <c r="CD301" s="115"/>
      <c r="CE301" s="115"/>
      <c r="CF301" s="115"/>
      <c r="CG301" s="115"/>
      <c r="CH301" s="115"/>
      <c r="CI301" s="115"/>
      <c r="CJ301" s="115"/>
      <c r="CK301" s="115"/>
      <c r="CL301" s="115"/>
      <c r="CM301" s="115"/>
      <c r="CN301" s="115"/>
      <c r="CO301" s="115"/>
      <c r="CP301" s="115"/>
      <c r="CQ301" s="115"/>
      <c r="CR301" s="115"/>
      <c r="CS301" s="115"/>
      <c r="CT301" s="115"/>
      <c r="CU301" s="115"/>
      <c r="CV301" s="115"/>
      <c r="CW301" s="115"/>
      <c r="CX301" s="115"/>
      <c r="CY301" s="115"/>
      <c r="CZ301" s="115"/>
      <c r="DA301" s="115"/>
      <c r="DB301" s="115"/>
      <c r="DC301" s="115"/>
      <c r="DD301" s="115"/>
      <c r="DE301" s="115"/>
      <c r="DF301" s="115"/>
      <c r="DG301" s="115"/>
      <c r="DH301" s="115"/>
      <c r="DI301" s="115"/>
      <c r="DJ301" s="115"/>
      <c r="DK301" s="115"/>
      <c r="DL301" s="115"/>
      <c r="DM301" s="115"/>
      <c r="DN301" s="115"/>
      <c r="DO301" s="115"/>
      <c r="DP301" s="115"/>
      <c r="DQ301" s="115"/>
      <c r="DR301" s="115"/>
      <c r="DS301" s="115"/>
      <c r="DT301" s="115"/>
      <c r="DU301" s="115"/>
      <c r="DV301" s="115"/>
      <c r="DW301" s="115"/>
      <c r="DX301" s="115"/>
      <c r="DY301" s="115"/>
      <c r="DZ301" s="115"/>
      <c r="EA301" s="115"/>
      <c r="EB301" s="115"/>
      <c r="EC301" s="645"/>
      <c r="ED301" s="113" t="s">
        <v>1</v>
      </c>
    </row>
    <row r="302" spans="1:134" x14ac:dyDescent="0.2">
      <c r="A302" s="698" t="s">
        <v>280</v>
      </c>
      <c r="B302" s="115"/>
      <c r="C302" s="115"/>
      <c r="D302" s="115"/>
      <c r="E302" s="115"/>
      <c r="F302" s="115"/>
      <c r="G302" s="115"/>
      <c r="H302" s="115"/>
      <c r="I302" s="115"/>
      <c r="J302" s="115"/>
      <c r="K302" s="129">
        <f>K293/K294</f>
        <v>69037.8</v>
      </c>
      <c r="L302" s="129">
        <f t="shared" ref="L302:BW302" si="1054">L293/L294</f>
        <v>69671.199999999997</v>
      </c>
      <c r="M302" s="129">
        <f t="shared" si="1054"/>
        <v>86996.800000000003</v>
      </c>
      <c r="N302" s="129">
        <f t="shared" si="1054"/>
        <v>73364.2</v>
      </c>
      <c r="O302" s="129">
        <f t="shared" si="1054"/>
        <v>69422.5</v>
      </c>
      <c r="P302" s="129">
        <f t="shared" si="1054"/>
        <v>56084.875</v>
      </c>
      <c r="Q302" s="129">
        <f t="shared" si="1054"/>
        <v>55410.555555555555</v>
      </c>
      <c r="R302" s="129">
        <f t="shared" si="1054"/>
        <v>49566.19999999999</v>
      </c>
      <c r="S302" s="129">
        <f t="shared" si="1054"/>
        <v>45146.63636363636</v>
      </c>
      <c r="T302" s="129">
        <f t="shared" si="1054"/>
        <v>43522.909090909088</v>
      </c>
      <c r="U302" s="129">
        <f t="shared" si="1054"/>
        <v>43765</v>
      </c>
      <c r="V302" s="129">
        <f t="shared" si="1054"/>
        <v>39010.894736842107</v>
      </c>
      <c r="W302" s="129">
        <f t="shared" si="1054"/>
        <v>53358.65</v>
      </c>
      <c r="X302" s="129">
        <f t="shared" si="1054"/>
        <v>45632.392156862741</v>
      </c>
      <c r="Y302" s="129">
        <f t="shared" si="1054"/>
        <v>47413.375</v>
      </c>
      <c r="Z302" s="129">
        <f t="shared" si="1054"/>
        <v>46382.503645833327</v>
      </c>
      <c r="AA302" s="129">
        <f t="shared" si="1054"/>
        <v>45070.500677083306</v>
      </c>
      <c r="AB302" s="129">
        <f t="shared" si="1054"/>
        <v>58406.166666666664</v>
      </c>
      <c r="AC302" s="129">
        <f t="shared" si="1054"/>
        <v>58406.166666666664</v>
      </c>
      <c r="AD302" s="129">
        <f t="shared" si="1054"/>
        <v>58408</v>
      </c>
      <c r="AE302" s="129">
        <f t="shared" si="1054"/>
        <v>58408</v>
      </c>
      <c r="AF302" s="129">
        <f t="shared" si="1054"/>
        <v>58408</v>
      </c>
      <c r="AG302" s="129">
        <f t="shared" si="1054"/>
        <v>60466.666666666664</v>
      </c>
      <c r="AH302" s="129">
        <f t="shared" si="1054"/>
        <v>59437.333333333336</v>
      </c>
      <c r="AI302" s="129">
        <f t="shared" si="1054"/>
        <v>68895</v>
      </c>
      <c r="AJ302" s="129">
        <f t="shared" si="1054"/>
        <v>39607.461538461532</v>
      </c>
      <c r="AK302" s="129">
        <f t="shared" si="1054"/>
        <v>39607.461538461532</v>
      </c>
      <c r="AL302" s="129">
        <f t="shared" si="1054"/>
        <v>43659.230769230766</v>
      </c>
      <c r="AM302" s="129">
        <f t="shared" si="1054"/>
        <v>43659.230769230766</v>
      </c>
      <c r="AN302" s="129">
        <f t="shared" si="1054"/>
        <v>43659.230769230766</v>
      </c>
      <c r="AO302" s="129">
        <f t="shared" si="1054"/>
        <v>43659.230769230766</v>
      </c>
      <c r="AP302" s="129">
        <f t="shared" si="1054"/>
        <v>43659.230769230766</v>
      </c>
      <c r="AQ302" s="129">
        <f t="shared" si="1054"/>
        <v>43659.230769230766</v>
      </c>
      <c r="AR302" s="129">
        <f t="shared" si="1054"/>
        <v>37356.173076923078</v>
      </c>
      <c r="AS302" s="129">
        <f t="shared" si="1054"/>
        <v>59137.461538461539</v>
      </c>
      <c r="AT302" s="129">
        <f t="shared" si="1054"/>
        <v>44716.538461538461</v>
      </c>
      <c r="AU302" s="129">
        <f t="shared" si="1054"/>
        <v>148843.73076923075</v>
      </c>
      <c r="AV302" s="129">
        <f t="shared" si="1054"/>
        <v>173843.73076923078</v>
      </c>
      <c r="AW302" s="129">
        <f t="shared" si="1054"/>
        <v>126389.80769230769</v>
      </c>
      <c r="AX302" s="129">
        <f t="shared" si="1054"/>
        <v>79333.278846153844</v>
      </c>
      <c r="AY302" s="129">
        <f t="shared" si="1054"/>
        <v>62477.961538461539</v>
      </c>
      <c r="AZ302" s="129">
        <f t="shared" si="1054"/>
        <v>62469.961538461532</v>
      </c>
      <c r="BA302" s="129">
        <f t="shared" si="1054"/>
        <v>61139.294871794868</v>
      </c>
      <c r="BB302" s="129">
        <f t="shared" si="1054"/>
        <v>108771.47252747256</v>
      </c>
      <c r="BC302" s="129">
        <f t="shared" si="1054"/>
        <v>94592.359599358999</v>
      </c>
      <c r="BD302" s="129">
        <f t="shared" si="1054"/>
        <v>97491.220256410263</v>
      </c>
      <c r="BE302" s="129">
        <f t="shared" si="1054"/>
        <v>70491.745917159773</v>
      </c>
      <c r="BF302" s="129">
        <f t="shared" si="1054"/>
        <v>96109.533212669718</v>
      </c>
      <c r="BG302" s="129">
        <f t="shared" si="1054"/>
        <v>85755.294389140297</v>
      </c>
      <c r="BH302" s="129">
        <f t="shared" si="1054"/>
        <v>70368.476250000007</v>
      </c>
      <c r="BI302" s="129">
        <f t="shared" si="1054"/>
        <v>74930.121656804738</v>
      </c>
      <c r="BJ302" s="129">
        <f t="shared" si="1054"/>
        <v>92815.882534843171</v>
      </c>
      <c r="BK302" s="129">
        <f t="shared" si="1054"/>
        <v>96213.189781994166</v>
      </c>
      <c r="BL302" s="129">
        <f t="shared" si="1054"/>
        <v>88424.609253205126</v>
      </c>
      <c r="BM302" s="129">
        <f t="shared" si="1054"/>
        <v>90101.200063792392</v>
      </c>
      <c r="BN302" s="129">
        <f t="shared" si="1054"/>
        <v>82713.35527295286</v>
      </c>
      <c r="BO302" s="129">
        <f t="shared" si="1054"/>
        <v>86653.687631252455</v>
      </c>
      <c r="BP302" s="129">
        <f t="shared" si="1054"/>
        <v>94983.715245726489</v>
      </c>
      <c r="BQ302" s="129">
        <f t="shared" si="1054"/>
        <v>89701.169099190272</v>
      </c>
      <c r="BR302" s="129">
        <f t="shared" si="1054"/>
        <v>83477.191270950338</v>
      </c>
      <c r="BS302" s="129">
        <f t="shared" si="1054"/>
        <v>98468.002051282048</v>
      </c>
      <c r="BT302" s="129">
        <f t="shared" si="1054"/>
        <v>95277.319292661356</v>
      </c>
      <c r="BU302" s="129">
        <f t="shared" si="1054"/>
        <v>97278.469230769333</v>
      </c>
      <c r="BV302" s="129">
        <f t="shared" si="1054"/>
        <v>136236.98384188002</v>
      </c>
      <c r="BW302" s="129">
        <f t="shared" si="1054"/>
        <v>124159.77857142857</v>
      </c>
      <c r="BX302" s="129">
        <f t="shared" ref="BX302:CS302" si="1055">BX293/BX294</f>
        <v>130470.74082840231</v>
      </c>
      <c r="BY302" s="129">
        <f t="shared" si="1055"/>
        <v>97592.308340081057</v>
      </c>
      <c r="BZ302" s="129">
        <f t="shared" si="1055"/>
        <v>80335.860085470078</v>
      </c>
      <c r="CA302" s="129">
        <f t="shared" si="1055"/>
        <v>72190.40075396825</v>
      </c>
      <c r="CB302" s="129">
        <f t="shared" si="1055"/>
        <v>83014.2381318681</v>
      </c>
      <c r="CC302" s="129">
        <f t="shared" si="1055"/>
        <v>72777.880989010984</v>
      </c>
      <c r="CD302" s="129">
        <f t="shared" si="1055"/>
        <v>75261.580253846158</v>
      </c>
      <c r="CE302" s="129">
        <f t="shared" si="1055"/>
        <v>74578.199551282043</v>
      </c>
      <c r="CF302" s="129">
        <f t="shared" si="1055"/>
        <v>65575.011041114049</v>
      </c>
      <c r="CG302" s="129">
        <f t="shared" si="1055"/>
        <v>96339.409832006902</v>
      </c>
      <c r="CH302" s="129">
        <f t="shared" si="1055"/>
        <v>116280.76599832783</v>
      </c>
      <c r="CI302" s="129">
        <f t="shared" si="1055"/>
        <v>120855.30541471583</v>
      </c>
      <c r="CJ302" s="129">
        <f t="shared" si="1055"/>
        <v>116027.77224779318</v>
      </c>
      <c r="CK302" s="129">
        <f t="shared" si="1055"/>
        <v>120949.4634753846</v>
      </c>
      <c r="CL302" s="129">
        <f t="shared" si="1055"/>
        <v>100579.10668750001</v>
      </c>
      <c r="CM302" s="129">
        <f t="shared" si="1055"/>
        <v>117315.85850721135</v>
      </c>
      <c r="CN302" s="129">
        <f t="shared" si="1055"/>
        <v>101452.62481059886</v>
      </c>
      <c r="CO302" s="129">
        <f t="shared" si="1055"/>
        <v>83742.648939135965</v>
      </c>
      <c r="CP302" s="129">
        <f t="shared" si="1055"/>
        <v>77748.523704682157</v>
      </c>
      <c r="CQ302" s="129">
        <f t="shared" si="1055"/>
        <v>78627.91176992438</v>
      </c>
      <c r="CR302" s="129">
        <f t="shared" si="1055"/>
        <v>78674.866594036081</v>
      </c>
      <c r="CS302" s="129">
        <f t="shared" si="1055"/>
        <v>80013.825664492426</v>
      </c>
      <c r="CT302" s="129">
        <f>CS302*(1+CT303)</f>
        <v>86414.931717651823</v>
      </c>
      <c r="CU302" s="129">
        <f t="shared" ref="CU302:DQ302" si="1056">CT302*(1+CU303)</f>
        <v>86414.931717651823</v>
      </c>
      <c r="CV302" s="129">
        <f t="shared" si="1056"/>
        <v>86414.931717651823</v>
      </c>
      <c r="CW302" s="129">
        <f t="shared" si="1056"/>
        <v>86414.931717651823</v>
      </c>
      <c r="CX302" s="129">
        <f t="shared" si="1056"/>
        <v>86414.931717651823</v>
      </c>
      <c r="CY302" s="129">
        <f t="shared" si="1056"/>
        <v>86414.931717651823</v>
      </c>
      <c r="CZ302" s="129">
        <f t="shared" si="1056"/>
        <v>86414.931717651823</v>
      </c>
      <c r="DA302" s="129">
        <f t="shared" si="1056"/>
        <v>86414.931717651823</v>
      </c>
      <c r="DB302" s="129">
        <f t="shared" si="1056"/>
        <v>86414.931717651823</v>
      </c>
      <c r="DC302" s="129">
        <f t="shared" si="1056"/>
        <v>86414.931717651823</v>
      </c>
      <c r="DD302" s="129">
        <f t="shared" si="1056"/>
        <v>86414.931717651823</v>
      </c>
      <c r="DE302" s="129">
        <f t="shared" si="1056"/>
        <v>86414.931717651823</v>
      </c>
      <c r="DF302" s="129">
        <f t="shared" si="1056"/>
        <v>93328.12625506398</v>
      </c>
      <c r="DG302" s="129">
        <f t="shared" si="1056"/>
        <v>93328.12625506398</v>
      </c>
      <c r="DH302" s="129">
        <f t="shared" si="1056"/>
        <v>93328.12625506398</v>
      </c>
      <c r="DI302" s="129">
        <f t="shared" si="1056"/>
        <v>93328.12625506398</v>
      </c>
      <c r="DJ302" s="129">
        <f t="shared" si="1056"/>
        <v>93328.12625506398</v>
      </c>
      <c r="DK302" s="129">
        <f t="shared" si="1056"/>
        <v>93328.12625506398</v>
      </c>
      <c r="DL302" s="129">
        <f t="shared" si="1056"/>
        <v>93328.12625506398</v>
      </c>
      <c r="DM302" s="129">
        <f t="shared" si="1056"/>
        <v>93328.12625506398</v>
      </c>
      <c r="DN302" s="129">
        <f t="shared" si="1056"/>
        <v>93328.12625506398</v>
      </c>
      <c r="DO302" s="129">
        <f t="shared" si="1056"/>
        <v>93328.12625506398</v>
      </c>
      <c r="DP302" s="129">
        <f t="shared" si="1056"/>
        <v>93328.12625506398</v>
      </c>
      <c r="DQ302" s="129">
        <f t="shared" si="1056"/>
        <v>93328.12625506398</v>
      </c>
      <c r="DR302" s="129">
        <f t="shared" ref="DR302" si="1057">DQ302*(1+DR303)</f>
        <v>100794.37635546911</v>
      </c>
      <c r="DS302" s="129">
        <f t="shared" ref="DS302" si="1058">DR302*(1+DS303)</f>
        <v>100794.37635546911</v>
      </c>
      <c r="DT302" s="129">
        <f t="shared" ref="DT302" si="1059">DS302*(1+DT303)</f>
        <v>100794.37635546911</v>
      </c>
      <c r="DU302" s="129">
        <f t="shared" ref="DU302" si="1060">DT302*(1+DU303)</f>
        <v>100794.37635546911</v>
      </c>
      <c r="DV302" s="129">
        <f t="shared" ref="DV302" si="1061">DU302*(1+DV303)</f>
        <v>100794.37635546911</v>
      </c>
      <c r="DW302" s="129">
        <f t="shared" ref="DW302" si="1062">DV302*(1+DW303)</f>
        <v>100794.37635546911</v>
      </c>
      <c r="DX302" s="129">
        <f t="shared" ref="DX302" si="1063">DW302*(1+DX303)</f>
        <v>100794.37635546911</v>
      </c>
      <c r="DY302" s="129">
        <f t="shared" ref="DY302" si="1064">DX302*(1+DY303)</f>
        <v>100794.37635546911</v>
      </c>
      <c r="DZ302" s="129">
        <f t="shared" ref="DZ302" si="1065">DY302*(1+DZ303)</f>
        <v>100794.37635546911</v>
      </c>
      <c r="EA302" s="129">
        <f t="shared" ref="EA302" si="1066">DZ302*(1+EA303)</f>
        <v>100794.37635546911</v>
      </c>
      <c r="EB302" s="129">
        <f t="shared" ref="EB302" si="1067">EA302*(1+EB303)</f>
        <v>100794.37635546911</v>
      </c>
      <c r="EC302" s="129">
        <f t="shared" ref="EC302" si="1068">EB302*(1+EC303)</f>
        <v>100794.37635546911</v>
      </c>
      <c r="ED302" s="113" t="s">
        <v>1</v>
      </c>
    </row>
    <row r="303" spans="1:134" x14ac:dyDescent="0.2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15"/>
      <c r="AL303" s="115"/>
      <c r="AM303" s="115"/>
      <c r="AN303" s="115"/>
      <c r="AO303" s="115"/>
      <c r="AP303" s="115"/>
      <c r="AQ303" s="115"/>
      <c r="AR303" s="115"/>
      <c r="AS303" s="115"/>
      <c r="AT303" s="115"/>
      <c r="AU303" s="115"/>
      <c r="AV303" s="115"/>
      <c r="AW303" s="115"/>
      <c r="AX303" s="115"/>
      <c r="AY303" s="115"/>
      <c r="AZ303" s="115"/>
      <c r="BA303" s="115"/>
      <c r="BB303" s="115"/>
      <c r="BC303" s="115"/>
      <c r="BD303" s="115"/>
      <c r="BE303" s="115"/>
      <c r="BF303" s="115"/>
      <c r="BG303" s="115"/>
      <c r="BH303" s="115"/>
      <c r="BI303" s="115"/>
      <c r="BJ303" s="115"/>
      <c r="BK303" s="115"/>
      <c r="BL303" s="115"/>
      <c r="BM303" s="115"/>
      <c r="BN303" s="115"/>
      <c r="BO303" s="115"/>
      <c r="BP303" s="115"/>
      <c r="BQ303" s="115"/>
      <c r="BR303" s="115"/>
      <c r="BS303" s="115"/>
      <c r="BT303" s="115"/>
      <c r="BU303" s="115"/>
      <c r="BV303" s="115"/>
      <c r="BW303" s="115"/>
      <c r="BX303" s="115"/>
      <c r="BY303" s="115"/>
      <c r="BZ303" s="115"/>
      <c r="CA303" s="115"/>
      <c r="CB303" s="115"/>
      <c r="CC303" s="115"/>
      <c r="CD303" s="115"/>
      <c r="CE303" s="115"/>
      <c r="CF303" s="115"/>
      <c r="CG303" s="115"/>
      <c r="CH303" s="115"/>
      <c r="CI303" s="115"/>
      <c r="CJ303" s="115"/>
      <c r="CK303" s="115"/>
      <c r="CL303" s="115"/>
      <c r="CM303" s="115"/>
      <c r="CN303" s="115"/>
      <c r="CO303" s="115"/>
      <c r="CP303" s="115"/>
      <c r="CQ303" s="115"/>
      <c r="CR303" s="115"/>
      <c r="CS303" s="115"/>
      <c r="CT303" s="701">
        <v>0.08</v>
      </c>
      <c r="CU303" s="115"/>
      <c r="CV303" s="115"/>
      <c r="CW303" s="115"/>
      <c r="CX303" s="115"/>
      <c r="CY303" s="115"/>
      <c r="CZ303" s="115"/>
      <c r="DA303" s="115"/>
      <c r="DB303" s="115"/>
      <c r="DC303" s="115"/>
      <c r="DD303" s="115"/>
      <c r="DE303" s="115"/>
      <c r="DF303" s="701">
        <v>0.08</v>
      </c>
      <c r="DG303" s="115"/>
      <c r="DH303" s="115"/>
      <c r="DI303" s="115"/>
      <c r="DJ303" s="115"/>
      <c r="DK303" s="115"/>
      <c r="DL303" s="115"/>
      <c r="DM303" s="115"/>
      <c r="DN303" s="115"/>
      <c r="DO303" s="115"/>
      <c r="DP303" s="115"/>
      <c r="DQ303" s="115"/>
      <c r="DR303" s="701">
        <v>0.08</v>
      </c>
      <c r="DS303" s="115"/>
      <c r="DT303" s="115"/>
      <c r="DU303" s="115"/>
      <c r="DV303" s="115"/>
      <c r="DW303" s="115"/>
      <c r="DX303" s="115"/>
      <c r="DY303" s="115"/>
      <c r="DZ303" s="115"/>
      <c r="EA303" s="115"/>
      <c r="EB303" s="115"/>
      <c r="EC303" s="645"/>
      <c r="ED303" s="113" t="s">
        <v>1</v>
      </c>
    </row>
    <row r="304" spans="1:134" x14ac:dyDescent="0.2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15"/>
      <c r="AL304" s="115"/>
      <c r="AM304" s="115"/>
      <c r="AN304" s="115"/>
      <c r="AO304" s="115"/>
      <c r="AP304" s="115"/>
      <c r="AQ304" s="115"/>
      <c r="AR304" s="115"/>
      <c r="AS304" s="115"/>
      <c r="AT304" s="115"/>
      <c r="AU304" s="115"/>
      <c r="AV304" s="115"/>
      <c r="AW304" s="115"/>
      <c r="AX304" s="115"/>
      <c r="AY304" s="115"/>
      <c r="AZ304" s="115"/>
      <c r="BA304" s="115"/>
      <c r="BB304" s="115"/>
      <c r="BC304" s="115"/>
      <c r="BD304" s="115"/>
      <c r="BE304" s="115"/>
      <c r="BF304" s="115"/>
      <c r="BG304" s="115"/>
      <c r="BH304" s="115"/>
      <c r="BI304" s="115"/>
      <c r="BJ304" s="115"/>
      <c r="BK304" s="115"/>
      <c r="BL304" s="115"/>
      <c r="BM304" s="115"/>
      <c r="BN304" s="115"/>
      <c r="BO304" s="115"/>
      <c r="BP304" s="115"/>
      <c r="BQ304" s="115"/>
      <c r="BR304" s="115"/>
      <c r="BS304" s="115"/>
      <c r="BT304" s="115"/>
      <c r="BU304" s="115"/>
      <c r="BV304" s="115"/>
      <c r="BW304" s="115"/>
      <c r="BX304" s="115"/>
      <c r="BY304" s="115"/>
      <c r="BZ304" s="115"/>
      <c r="CA304" s="115"/>
      <c r="CB304" s="115"/>
      <c r="CC304" s="115"/>
      <c r="CD304" s="115"/>
      <c r="CE304" s="115"/>
      <c r="CF304" s="115"/>
      <c r="CG304" s="115"/>
      <c r="CH304" s="115"/>
      <c r="CI304" s="115"/>
      <c r="CJ304" s="115"/>
      <c r="CK304" s="115"/>
      <c r="CL304" s="115"/>
      <c r="CM304" s="115"/>
      <c r="CN304" s="115"/>
      <c r="CO304" s="115"/>
      <c r="CP304" s="115"/>
      <c r="CQ304" s="115"/>
      <c r="CR304" s="115"/>
      <c r="CS304" s="115"/>
      <c r="CT304" s="702"/>
      <c r="CU304" s="115"/>
      <c r="CV304" s="115"/>
      <c r="CW304" s="115"/>
      <c r="CX304" s="115"/>
      <c r="CY304" s="115"/>
      <c r="CZ304" s="115"/>
      <c r="DA304" s="115"/>
      <c r="DB304" s="115"/>
      <c r="DC304" s="115"/>
      <c r="DD304" s="115"/>
      <c r="DE304" s="115"/>
      <c r="DF304" s="115"/>
      <c r="DG304" s="115"/>
      <c r="DH304" s="115"/>
      <c r="DI304" s="115"/>
      <c r="DJ304" s="115"/>
      <c r="DK304" s="115"/>
      <c r="DL304" s="115"/>
      <c r="DM304" s="115"/>
      <c r="DN304" s="115"/>
      <c r="DO304" s="115"/>
      <c r="DP304" s="115"/>
      <c r="DQ304" s="115"/>
      <c r="DR304" s="115"/>
      <c r="DS304" s="115"/>
      <c r="DT304" s="115"/>
      <c r="DU304" s="115"/>
      <c r="DV304" s="115"/>
      <c r="DW304" s="115"/>
      <c r="DX304" s="115"/>
      <c r="DY304" s="115"/>
      <c r="DZ304" s="115"/>
      <c r="EA304" s="115"/>
      <c r="EB304" s="115"/>
      <c r="EC304" s="645"/>
      <c r="ED304" s="113" t="s">
        <v>1</v>
      </c>
    </row>
    <row r="305" spans="1:134" x14ac:dyDescent="0.2">
      <c r="A305" s="115" t="s">
        <v>281</v>
      </c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15"/>
      <c r="AL305" s="115"/>
      <c r="AM305" s="115"/>
      <c r="AN305" s="115"/>
      <c r="AO305" s="115"/>
      <c r="AP305" s="115"/>
      <c r="AQ305" s="115"/>
      <c r="AR305" s="115"/>
      <c r="AS305" s="115"/>
      <c r="AT305" s="115"/>
      <c r="AU305" s="115"/>
      <c r="AV305" s="115"/>
      <c r="AW305" s="115"/>
      <c r="AX305" s="115"/>
      <c r="AY305" s="115"/>
      <c r="AZ305" s="115"/>
      <c r="BA305" s="115"/>
      <c r="BB305" s="115"/>
      <c r="BC305" s="115"/>
      <c r="BD305" s="115"/>
      <c r="BE305" s="115"/>
      <c r="BF305" s="115"/>
      <c r="BG305" s="115"/>
      <c r="BH305" s="115"/>
      <c r="BI305" s="115"/>
      <c r="BJ305" s="115"/>
      <c r="BK305" s="115"/>
      <c r="BL305" s="115"/>
      <c r="BM305" s="115"/>
      <c r="BN305" s="115"/>
      <c r="BO305" s="115"/>
      <c r="BP305" s="115"/>
      <c r="BQ305" s="115"/>
      <c r="BR305" s="115"/>
      <c r="BS305" s="115"/>
      <c r="BT305" s="115"/>
      <c r="BU305" s="115"/>
      <c r="BV305" s="115"/>
      <c r="BW305" s="115"/>
      <c r="BX305" s="115"/>
      <c r="BY305" s="115"/>
      <c r="BZ305" s="115"/>
      <c r="CA305" s="115"/>
      <c r="CB305" s="115"/>
      <c r="CC305" s="115"/>
      <c r="CD305" s="115"/>
      <c r="CE305" s="115"/>
      <c r="CF305" s="115"/>
      <c r="CG305" s="115"/>
      <c r="CH305" s="115"/>
      <c r="CI305" s="115"/>
      <c r="CJ305" s="115"/>
      <c r="CK305" s="115"/>
      <c r="CL305" s="115"/>
      <c r="CM305" s="115"/>
      <c r="CN305" s="115"/>
      <c r="CO305" s="115"/>
      <c r="CP305" s="115"/>
      <c r="CQ305" s="115"/>
      <c r="CR305" s="115"/>
      <c r="CS305" s="115"/>
      <c r="CT305" s="701">
        <v>0.1</v>
      </c>
      <c r="CU305" s="115"/>
      <c r="CV305" s="115"/>
      <c r="CW305" s="115"/>
      <c r="CX305" s="115"/>
      <c r="CY305" s="115"/>
      <c r="CZ305" s="115"/>
      <c r="DA305" s="115"/>
      <c r="DB305" s="115"/>
      <c r="DC305" s="115"/>
      <c r="DD305" s="115"/>
      <c r="DE305" s="115"/>
      <c r="DF305" s="701">
        <v>0.05</v>
      </c>
      <c r="DG305" s="115"/>
      <c r="DH305" s="115"/>
      <c r="DI305" s="115"/>
      <c r="DJ305" s="115"/>
      <c r="DK305" s="115"/>
      <c r="DL305" s="115"/>
      <c r="DM305" s="115"/>
      <c r="DN305" s="115"/>
      <c r="DO305" s="115"/>
      <c r="DP305" s="115"/>
      <c r="DQ305" s="115"/>
      <c r="DR305" s="701">
        <v>0.05</v>
      </c>
      <c r="DS305" s="115"/>
      <c r="DT305" s="115"/>
      <c r="DU305" s="115"/>
      <c r="DV305" s="115"/>
      <c r="DW305" s="115"/>
      <c r="DX305" s="115"/>
      <c r="DY305" s="115"/>
      <c r="DZ305" s="115"/>
      <c r="EA305" s="115"/>
      <c r="EB305" s="115"/>
      <c r="EC305" s="645"/>
      <c r="ED305" s="113" t="s">
        <v>1</v>
      </c>
    </row>
    <row r="306" spans="1:134" x14ac:dyDescent="0.2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15"/>
      <c r="AL306" s="115"/>
      <c r="AM306" s="115"/>
      <c r="AN306" s="115"/>
      <c r="AO306" s="115"/>
      <c r="AP306" s="115"/>
      <c r="AQ306" s="115"/>
      <c r="AR306" s="115"/>
      <c r="AS306" s="115"/>
      <c r="AT306" s="115"/>
      <c r="AU306" s="115"/>
      <c r="AV306" s="115"/>
      <c r="AW306" s="115"/>
      <c r="AX306" s="115"/>
      <c r="AY306" s="115"/>
      <c r="AZ306" s="115"/>
      <c r="BA306" s="115"/>
      <c r="BB306" s="115"/>
      <c r="BC306" s="115"/>
      <c r="BD306" s="115"/>
      <c r="BE306" s="115"/>
      <c r="BF306" s="115"/>
      <c r="BG306" s="115"/>
      <c r="BH306" s="115"/>
      <c r="BI306" s="115"/>
      <c r="BJ306" s="115"/>
      <c r="BK306" s="115"/>
      <c r="BL306" s="115"/>
      <c r="BM306" s="115"/>
      <c r="BN306" s="115"/>
      <c r="BO306" s="115"/>
      <c r="BP306" s="115"/>
      <c r="BQ306" s="115"/>
      <c r="BR306" s="115"/>
      <c r="BS306" s="115"/>
      <c r="BT306" s="115"/>
      <c r="BU306" s="115"/>
      <c r="BV306" s="115"/>
      <c r="BW306" s="115"/>
      <c r="BX306" s="115"/>
      <c r="BY306" s="115"/>
      <c r="BZ306" s="115"/>
      <c r="CA306" s="115"/>
      <c r="CB306" s="115"/>
      <c r="CC306" s="115"/>
      <c r="CD306" s="115"/>
      <c r="CE306" s="115"/>
      <c r="CF306" s="115"/>
      <c r="CG306" s="115"/>
      <c r="CH306" s="115"/>
      <c r="CI306" s="115"/>
      <c r="CJ306" s="115"/>
      <c r="CK306" s="115"/>
      <c r="CL306" s="115"/>
      <c r="CM306" s="115"/>
      <c r="CN306" s="115"/>
      <c r="CO306" s="115"/>
      <c r="CP306" s="115"/>
      <c r="CQ306" s="115"/>
      <c r="CR306" s="115"/>
      <c r="CS306" s="115"/>
      <c r="CT306" s="702"/>
      <c r="CU306" s="115"/>
      <c r="CV306" s="115"/>
      <c r="CW306" s="115"/>
      <c r="CX306" s="115"/>
      <c r="CY306" s="115"/>
      <c r="CZ306" s="115"/>
      <c r="DA306" s="115"/>
      <c r="DB306" s="115"/>
      <c r="DC306" s="115"/>
      <c r="DD306" s="115"/>
      <c r="DE306" s="115"/>
      <c r="DF306" s="702"/>
      <c r="DG306" s="115"/>
      <c r="DH306" s="115"/>
      <c r="DI306" s="115"/>
      <c r="DJ306" s="115"/>
      <c r="DK306" s="115"/>
      <c r="DL306" s="115"/>
      <c r="DM306" s="115"/>
      <c r="DN306" s="115"/>
      <c r="DO306" s="115"/>
      <c r="DP306" s="115"/>
      <c r="DQ306" s="115"/>
      <c r="DR306" s="115"/>
      <c r="DS306" s="115"/>
      <c r="DT306" s="115"/>
      <c r="DU306" s="115"/>
      <c r="DV306" s="115"/>
      <c r="DW306" s="115"/>
      <c r="DX306" s="115"/>
      <c r="DY306" s="115"/>
      <c r="DZ306" s="115"/>
      <c r="EA306" s="115"/>
      <c r="EB306" s="115"/>
      <c r="EC306" s="645"/>
      <c r="ED306" s="113" t="s">
        <v>1</v>
      </c>
    </row>
    <row r="307" spans="1:134" x14ac:dyDescent="0.2">
      <c r="A307" s="115" t="s">
        <v>282</v>
      </c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115"/>
      <c r="AM307" s="115"/>
      <c r="AN307" s="115"/>
      <c r="AO307" s="115"/>
      <c r="AP307" s="115"/>
      <c r="AQ307" s="115"/>
      <c r="AR307" s="115"/>
      <c r="AS307" s="115"/>
      <c r="AT307" s="115"/>
      <c r="AU307" s="115"/>
      <c r="AV307" s="115"/>
      <c r="AW307" s="115"/>
      <c r="AX307" s="115"/>
      <c r="AY307" s="115"/>
      <c r="AZ307" s="115"/>
      <c r="BA307" s="115"/>
      <c r="BB307" s="115"/>
      <c r="BC307" s="115"/>
      <c r="BD307" s="115"/>
      <c r="BE307" s="115"/>
      <c r="BF307" s="115"/>
      <c r="BG307" s="115"/>
      <c r="BH307" s="115"/>
      <c r="BI307" s="115"/>
      <c r="BJ307" s="115"/>
      <c r="BK307" s="115"/>
      <c r="BL307" s="115"/>
      <c r="BM307" s="115"/>
      <c r="BN307" s="115"/>
      <c r="BO307" s="115"/>
      <c r="BP307" s="115"/>
      <c r="BQ307" s="115"/>
      <c r="BR307" s="115"/>
      <c r="BS307" s="115"/>
      <c r="BT307" s="115"/>
      <c r="BU307" s="115"/>
      <c r="BV307" s="115"/>
      <c r="BW307" s="115"/>
      <c r="BX307" s="115"/>
      <c r="BY307" s="115"/>
      <c r="BZ307" s="115"/>
      <c r="CA307" s="115"/>
      <c r="CB307" s="115"/>
      <c r="CC307" s="115"/>
      <c r="CD307" s="115"/>
      <c r="CE307" s="115"/>
      <c r="CF307" s="115"/>
      <c r="CG307" s="115"/>
      <c r="CH307" s="115"/>
      <c r="CI307" s="115"/>
      <c r="CJ307" s="115"/>
      <c r="CK307" s="115"/>
      <c r="CL307" s="115"/>
      <c r="CM307" s="115"/>
      <c r="CN307" s="115"/>
      <c r="CO307" s="115"/>
      <c r="CP307" s="115"/>
      <c r="CQ307" s="115"/>
      <c r="CR307" s="115"/>
      <c r="CS307" s="115"/>
      <c r="CT307" s="701">
        <v>0.05</v>
      </c>
      <c r="CU307" s="115"/>
      <c r="CV307" s="115"/>
      <c r="CW307" s="115"/>
      <c r="CX307" s="115"/>
      <c r="CY307" s="115"/>
      <c r="CZ307" s="115"/>
      <c r="DA307" s="115"/>
      <c r="DB307" s="115"/>
      <c r="DC307" s="115"/>
      <c r="DD307" s="115"/>
      <c r="DE307" s="115"/>
      <c r="DF307" s="701">
        <v>0.05</v>
      </c>
      <c r="DG307" s="115"/>
      <c r="DH307" s="115"/>
      <c r="DI307" s="115"/>
      <c r="DJ307" s="115"/>
      <c r="DK307" s="115"/>
      <c r="DL307" s="115"/>
      <c r="DM307" s="115"/>
      <c r="DN307" s="115"/>
      <c r="DO307" s="115"/>
      <c r="DP307" s="115"/>
      <c r="DQ307" s="115"/>
      <c r="DR307" s="701">
        <v>0.05</v>
      </c>
      <c r="DS307" s="115"/>
      <c r="DT307" s="115"/>
      <c r="DU307" s="115"/>
      <c r="DV307" s="115"/>
      <c r="DW307" s="115"/>
      <c r="DX307" s="115"/>
      <c r="DY307" s="115"/>
      <c r="DZ307" s="115"/>
      <c r="EA307" s="115"/>
      <c r="EB307" s="115"/>
      <c r="EC307" s="645"/>
      <c r="ED307" s="113" t="s">
        <v>1</v>
      </c>
    </row>
    <row r="308" spans="1:134" x14ac:dyDescent="0.2">
      <c r="A308" s="115" t="s">
        <v>186</v>
      </c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15"/>
      <c r="AO308" s="115"/>
      <c r="AP308" s="115"/>
      <c r="AQ308" s="115"/>
      <c r="AR308" s="115"/>
      <c r="AS308" s="115"/>
      <c r="AT308" s="115"/>
      <c r="AU308" s="115"/>
      <c r="AV308" s="115"/>
      <c r="AW308" s="115"/>
      <c r="AX308" s="115"/>
      <c r="AY308" s="115"/>
      <c r="AZ308" s="115"/>
      <c r="BA308" s="115"/>
      <c r="BB308" s="115"/>
      <c r="BC308" s="115"/>
      <c r="BD308" s="115"/>
      <c r="BE308" s="115"/>
      <c r="BF308" s="115"/>
      <c r="BG308" s="115"/>
      <c r="BH308" s="115"/>
      <c r="BI308" s="115"/>
      <c r="BJ308" s="115"/>
      <c r="BK308" s="115"/>
      <c r="BL308" s="115"/>
      <c r="BM308" s="115"/>
      <c r="BN308" s="115"/>
      <c r="BO308" s="115"/>
      <c r="BP308" s="115"/>
      <c r="BQ308" s="115"/>
      <c r="BR308" s="115"/>
      <c r="BS308" s="115"/>
      <c r="BT308" s="115"/>
      <c r="BU308" s="115"/>
      <c r="BV308" s="115"/>
      <c r="BW308" s="115"/>
      <c r="BX308" s="115"/>
      <c r="BY308" s="115"/>
      <c r="BZ308" s="115"/>
      <c r="CA308" s="115"/>
      <c r="CB308" s="115"/>
      <c r="CC308" s="115"/>
      <c r="CD308" s="115"/>
      <c r="CE308" s="115"/>
      <c r="CF308" s="115"/>
      <c r="CG308" s="115"/>
      <c r="CH308" s="115"/>
      <c r="CI308" s="115"/>
      <c r="CJ308" s="115"/>
      <c r="CK308" s="115"/>
      <c r="CL308" s="115"/>
      <c r="CM308" s="115"/>
      <c r="CN308" s="115"/>
      <c r="CO308" s="115"/>
      <c r="CP308" s="115"/>
      <c r="CQ308" s="115"/>
      <c r="CR308" s="115"/>
      <c r="CS308" s="115"/>
      <c r="CT308" s="701">
        <v>0.05</v>
      </c>
      <c r="CU308" s="115"/>
      <c r="CV308" s="115"/>
      <c r="CW308" s="115"/>
      <c r="CX308" s="115"/>
      <c r="CY308" s="115"/>
      <c r="CZ308" s="115"/>
      <c r="DA308" s="115"/>
      <c r="DB308" s="115"/>
      <c r="DC308" s="115"/>
      <c r="DD308" s="115"/>
      <c r="DE308" s="115"/>
      <c r="DF308" s="701">
        <v>0.05</v>
      </c>
      <c r="DG308" s="115"/>
      <c r="DH308" s="115"/>
      <c r="DI308" s="115"/>
      <c r="DJ308" s="115"/>
      <c r="DK308" s="115"/>
      <c r="DL308" s="115"/>
      <c r="DM308" s="115"/>
      <c r="DN308" s="115"/>
      <c r="DO308" s="115"/>
      <c r="DP308" s="115"/>
      <c r="DQ308" s="115"/>
      <c r="DR308" s="701">
        <v>0.05</v>
      </c>
      <c r="DS308" s="115"/>
      <c r="DT308" s="115"/>
      <c r="DU308" s="115"/>
      <c r="DV308" s="115"/>
      <c r="DW308" s="115"/>
      <c r="DX308" s="115"/>
      <c r="DY308" s="115"/>
      <c r="DZ308" s="115"/>
      <c r="EA308" s="115"/>
      <c r="EB308" s="115"/>
      <c r="EC308" s="645"/>
      <c r="ED308" s="113" t="s">
        <v>1</v>
      </c>
    </row>
    <row r="309" spans="1:134" x14ac:dyDescent="0.2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115"/>
      <c r="AM309" s="115"/>
      <c r="AN309" s="115"/>
      <c r="AO309" s="115"/>
      <c r="AP309" s="115"/>
      <c r="AQ309" s="115"/>
      <c r="AR309" s="115"/>
      <c r="AS309" s="115"/>
      <c r="AT309" s="115"/>
      <c r="AU309" s="115"/>
      <c r="AV309" s="115"/>
      <c r="AW309" s="115"/>
      <c r="AX309" s="115"/>
      <c r="AY309" s="115"/>
      <c r="AZ309" s="115"/>
      <c r="BA309" s="115"/>
      <c r="BB309" s="115"/>
      <c r="BC309" s="115"/>
      <c r="BD309" s="115"/>
      <c r="BE309" s="115"/>
      <c r="BF309" s="115"/>
      <c r="BG309" s="115"/>
      <c r="BH309" s="115"/>
      <c r="BI309" s="115"/>
      <c r="BJ309" s="115"/>
      <c r="BK309" s="115"/>
      <c r="BL309" s="115"/>
      <c r="BM309" s="115"/>
      <c r="BN309" s="115"/>
      <c r="BO309" s="115"/>
      <c r="BP309" s="115"/>
      <c r="BQ309" s="115"/>
      <c r="BR309" s="115"/>
      <c r="BS309" s="115"/>
      <c r="BT309" s="115"/>
      <c r="BU309" s="115"/>
      <c r="BV309" s="115"/>
      <c r="BW309" s="115"/>
      <c r="BX309" s="115"/>
      <c r="BY309" s="115"/>
      <c r="BZ309" s="115"/>
      <c r="CA309" s="115"/>
      <c r="CB309" s="115"/>
      <c r="CC309" s="115"/>
      <c r="CD309" s="115"/>
      <c r="CE309" s="115"/>
      <c r="CF309" s="115"/>
      <c r="CG309" s="115"/>
      <c r="CH309" s="115"/>
      <c r="CI309" s="115"/>
      <c r="CJ309" s="115"/>
      <c r="CK309" s="115"/>
      <c r="CL309" s="115"/>
      <c r="CM309" s="115"/>
      <c r="CN309" s="115"/>
      <c r="CO309" s="115"/>
      <c r="CP309" s="115"/>
      <c r="CQ309" s="115"/>
      <c r="CR309" s="115"/>
      <c r="CS309" s="115"/>
      <c r="CT309" s="115"/>
      <c r="CU309" s="115"/>
      <c r="CV309" s="115"/>
      <c r="CW309" s="115"/>
      <c r="CX309" s="115"/>
      <c r="CY309" s="115"/>
      <c r="CZ309" s="115"/>
      <c r="DA309" s="115"/>
      <c r="DB309" s="115"/>
      <c r="DC309" s="115"/>
      <c r="DD309" s="115"/>
      <c r="DE309" s="115"/>
      <c r="DF309" s="115"/>
      <c r="DG309" s="115"/>
      <c r="DH309" s="115"/>
      <c r="DI309" s="115"/>
      <c r="DJ309" s="115"/>
      <c r="DK309" s="115"/>
      <c r="DL309" s="115"/>
      <c r="DM309" s="115"/>
      <c r="DN309" s="115"/>
      <c r="DO309" s="115"/>
      <c r="DP309" s="115"/>
      <c r="DQ309" s="115"/>
      <c r="DR309" s="115"/>
      <c r="DS309" s="115"/>
      <c r="DT309" s="115"/>
      <c r="DU309" s="115"/>
      <c r="DV309" s="115"/>
      <c r="DW309" s="115"/>
      <c r="DX309" s="115"/>
      <c r="DY309" s="115"/>
      <c r="DZ309" s="115"/>
      <c r="EA309" s="115"/>
      <c r="EB309" s="115"/>
      <c r="EC309" s="645"/>
      <c r="ED309" s="113" t="s">
        <v>1</v>
      </c>
    </row>
    <row r="310" spans="1:134" x14ac:dyDescent="0.2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15"/>
      <c r="AL310" s="115"/>
      <c r="AM310" s="115"/>
      <c r="AN310" s="115"/>
      <c r="AO310" s="115"/>
      <c r="AP310" s="115"/>
      <c r="AQ310" s="115"/>
      <c r="AR310" s="115"/>
      <c r="AS310" s="115"/>
      <c r="AT310" s="115"/>
      <c r="AU310" s="115"/>
      <c r="AV310" s="115"/>
      <c r="AW310" s="115"/>
      <c r="AX310" s="115"/>
      <c r="AY310" s="115"/>
      <c r="AZ310" s="115"/>
      <c r="BA310" s="115"/>
      <c r="BB310" s="115"/>
      <c r="BC310" s="115"/>
      <c r="BD310" s="115"/>
      <c r="BE310" s="115"/>
      <c r="BF310" s="115"/>
      <c r="BG310" s="115"/>
      <c r="BH310" s="115"/>
      <c r="BI310" s="115"/>
      <c r="BJ310" s="115"/>
      <c r="BK310" s="115"/>
      <c r="BL310" s="115"/>
      <c r="BM310" s="115"/>
      <c r="BN310" s="115"/>
      <c r="BO310" s="115"/>
      <c r="BP310" s="115"/>
      <c r="BQ310" s="115"/>
      <c r="BR310" s="115"/>
      <c r="BS310" s="115"/>
      <c r="BT310" s="115"/>
      <c r="BU310" s="115"/>
      <c r="BV310" s="115"/>
      <c r="BW310" s="115"/>
      <c r="BX310" s="115"/>
      <c r="BY310" s="115"/>
      <c r="BZ310" s="115"/>
      <c r="CA310" s="115"/>
      <c r="CB310" s="115"/>
      <c r="CC310" s="115"/>
      <c r="CD310" s="115"/>
      <c r="CE310" s="115"/>
      <c r="CF310" s="115"/>
      <c r="CG310" s="115"/>
      <c r="CH310" s="115"/>
      <c r="CI310" s="115"/>
      <c r="CJ310" s="115"/>
      <c r="CK310" s="115"/>
      <c r="CL310" s="115"/>
      <c r="CM310" s="115"/>
      <c r="CN310" s="115"/>
      <c r="CO310" s="115"/>
      <c r="CP310" s="115"/>
      <c r="CQ310" s="115"/>
      <c r="CR310" s="115"/>
      <c r="CS310" s="115"/>
      <c r="CT310" s="115"/>
      <c r="CU310" s="115"/>
      <c r="CV310" s="115"/>
      <c r="CW310" s="115"/>
      <c r="CX310" s="115"/>
      <c r="CY310" s="115"/>
      <c r="CZ310" s="115"/>
      <c r="DA310" s="115"/>
      <c r="DB310" s="115"/>
      <c r="DC310" s="115"/>
      <c r="DD310" s="115"/>
      <c r="DE310" s="115"/>
      <c r="DF310" s="115"/>
      <c r="DG310" s="115"/>
      <c r="DH310" s="115"/>
      <c r="DI310" s="115"/>
      <c r="DJ310" s="115"/>
      <c r="DK310" s="115"/>
      <c r="DL310" s="115"/>
      <c r="DM310" s="115"/>
      <c r="DN310" s="115"/>
      <c r="DO310" s="115"/>
      <c r="DP310" s="115"/>
      <c r="DQ310" s="115"/>
      <c r="DR310" s="115"/>
      <c r="DS310" s="115"/>
      <c r="DT310" s="115"/>
      <c r="DU310" s="115"/>
      <c r="DV310" s="115"/>
      <c r="DW310" s="115"/>
      <c r="DX310" s="115"/>
      <c r="DY310" s="115"/>
      <c r="DZ310" s="115"/>
      <c r="EA310" s="115"/>
      <c r="EB310" s="115"/>
      <c r="EC310" s="645"/>
      <c r="ED310" s="113" t="s">
        <v>1</v>
      </c>
    </row>
    <row r="311" spans="1:134" x14ac:dyDescent="0.2">
      <c r="A311" s="330" t="s">
        <v>161</v>
      </c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115"/>
      <c r="AM311" s="115"/>
      <c r="AN311" s="115"/>
      <c r="AO311" s="115"/>
      <c r="AP311" s="115"/>
      <c r="AQ311" s="115"/>
      <c r="AR311" s="115"/>
      <c r="AS311" s="115"/>
      <c r="AT311" s="115"/>
      <c r="AU311" s="115"/>
      <c r="AV311" s="115"/>
      <c r="AW311" s="115"/>
      <c r="AX311" s="115"/>
      <c r="AY311" s="115"/>
      <c r="AZ311" s="115"/>
      <c r="BA311" s="115"/>
      <c r="BB311" s="115"/>
      <c r="BC311" s="115"/>
      <c r="BD311" s="115"/>
      <c r="BE311" s="115"/>
      <c r="BF311" s="115"/>
      <c r="BG311" s="115"/>
      <c r="BH311" s="115"/>
      <c r="BI311" s="115"/>
      <c r="BJ311" s="115"/>
      <c r="BK311" s="115"/>
      <c r="BL311" s="115"/>
      <c r="BM311" s="115"/>
      <c r="BN311" s="115"/>
      <c r="BO311" s="115"/>
      <c r="BP311" s="115"/>
      <c r="BQ311" s="115"/>
      <c r="BR311" s="115"/>
      <c r="BS311" s="115"/>
      <c r="BT311" s="115"/>
      <c r="BU311" s="115"/>
      <c r="BV311" s="115"/>
      <c r="BW311" s="115"/>
      <c r="BX311" s="115"/>
      <c r="BY311" s="115"/>
      <c r="BZ311" s="115"/>
      <c r="CA311" s="115"/>
      <c r="CB311" s="115"/>
      <c r="CC311" s="115"/>
      <c r="CD311" s="115"/>
      <c r="CE311" s="115"/>
      <c r="CF311" s="115"/>
      <c r="CG311" s="115"/>
      <c r="CH311" s="115"/>
      <c r="CI311" s="115"/>
      <c r="CJ311" s="115"/>
      <c r="CK311" s="115"/>
      <c r="CL311" s="115"/>
      <c r="CM311" s="115"/>
      <c r="CN311" s="115"/>
      <c r="CO311" s="115"/>
      <c r="CP311" s="115"/>
      <c r="CQ311" s="115"/>
      <c r="CR311" s="115"/>
      <c r="CS311" s="115"/>
      <c r="CT311" s="115"/>
      <c r="CU311" s="115"/>
      <c r="CV311" s="115"/>
      <c r="CW311" s="115"/>
      <c r="CX311" s="115"/>
      <c r="CY311" s="115"/>
      <c r="CZ311" s="115"/>
      <c r="DA311" s="115"/>
      <c r="DB311" s="115"/>
      <c r="DC311" s="115"/>
      <c r="DD311" s="115"/>
      <c r="DE311" s="115"/>
      <c r="DF311" s="115"/>
      <c r="DG311" s="115"/>
      <c r="DH311" s="115"/>
      <c r="DI311" s="115"/>
      <c r="DJ311" s="115"/>
      <c r="DK311" s="115"/>
      <c r="DL311" s="115"/>
      <c r="DM311" s="115"/>
      <c r="DN311" s="115"/>
      <c r="DO311" s="115"/>
      <c r="DP311" s="115"/>
      <c r="DQ311" s="115"/>
      <c r="DR311" s="115"/>
      <c r="DS311" s="115"/>
      <c r="DT311" s="115"/>
      <c r="DU311" s="115"/>
      <c r="DV311" s="115"/>
      <c r="DW311" s="115"/>
      <c r="DX311" s="115"/>
      <c r="DY311" s="115"/>
      <c r="DZ311" s="115"/>
      <c r="EA311" s="115"/>
      <c r="EB311" s="115"/>
      <c r="EC311" s="645"/>
      <c r="ED311" s="113" t="s">
        <v>1</v>
      </c>
    </row>
    <row r="312" spans="1:134" x14ac:dyDescent="0.2">
      <c r="A312" s="698" t="s">
        <v>162</v>
      </c>
      <c r="B312" s="115"/>
      <c r="C312" s="115"/>
      <c r="D312" s="115"/>
      <c r="E312" s="115"/>
      <c r="F312" s="115"/>
      <c r="G312" s="115"/>
      <c r="H312" s="115"/>
      <c r="I312" s="115"/>
      <c r="J312" s="115"/>
      <c r="K312" s="129">
        <v>5173.4537987679678</v>
      </c>
      <c r="L312" s="129">
        <v>17253.415384615386</v>
      </c>
      <c r="M312" s="129">
        <v>53184.006653992394</v>
      </c>
      <c r="N312" s="129">
        <v>127086.67170953102</v>
      </c>
      <c r="O312" s="129">
        <v>168653.35204518228</v>
      </c>
      <c r="P312" s="129">
        <v>207043.58714043992</v>
      </c>
      <c r="Q312" s="129">
        <v>302604.77829550579</v>
      </c>
      <c r="R312" s="129">
        <v>94518.004082426123</v>
      </c>
      <c r="S312" s="129">
        <v>92223.893468389797</v>
      </c>
      <c r="T312" s="129">
        <v>100188.97641509434</v>
      </c>
      <c r="U312" s="129">
        <v>21838.920819321305</v>
      </c>
      <c r="V312" s="129">
        <v>29389.779108768565</v>
      </c>
      <c r="W312" s="129">
        <v>37894.22393669634</v>
      </c>
      <c r="X312" s="129">
        <v>33680.809220985691</v>
      </c>
      <c r="Y312" s="129">
        <v>42468.316649104323</v>
      </c>
      <c r="Z312" s="129">
        <v>0</v>
      </c>
      <c r="AA312" s="129">
        <v>8913.1788079470207</v>
      </c>
      <c r="AB312" s="129">
        <v>9504.8634289439378</v>
      </c>
      <c r="AC312" s="129">
        <v>19402.928272564255</v>
      </c>
      <c r="AD312" s="129">
        <v>31695.601777059775</v>
      </c>
      <c r="AE312" s="129">
        <v>38045.269100743746</v>
      </c>
      <c r="AF312" s="129">
        <v>76227.355707317067</v>
      </c>
      <c r="AG312" s="129">
        <v>32638.990002856328</v>
      </c>
      <c r="AH312" s="129">
        <v>59391.888030888033</v>
      </c>
      <c r="AI312" s="129">
        <v>38866.744801512286</v>
      </c>
      <c r="AJ312" s="129">
        <v>31315.692386305567</v>
      </c>
      <c r="AK312" s="129">
        <v>90699.23908425773</v>
      </c>
      <c r="AL312" s="129">
        <v>33768.249964892566</v>
      </c>
      <c r="AM312" s="129">
        <v>2006.3103621730384</v>
      </c>
      <c r="AN312" s="129">
        <v>16947.931809938338</v>
      </c>
      <c r="AO312" s="129">
        <v>36502.251624335498</v>
      </c>
      <c r="AP312" s="129">
        <v>29031.459915611813</v>
      </c>
      <c r="AQ312" s="129">
        <v>71682.971468045915</v>
      </c>
      <c r="AR312" s="129">
        <v>151189.52948183441</v>
      </c>
      <c r="AS312" s="129">
        <v>277794.43498137488</v>
      </c>
      <c r="AT312" s="129">
        <v>206404.66078402294</v>
      </c>
      <c r="AU312" s="129">
        <v>304246.63361889328</v>
      </c>
      <c r="AV312" s="129">
        <v>285880.18663007254</v>
      </c>
      <c r="AW312" s="129">
        <v>133069.04991922757</v>
      </c>
      <c r="AX312" s="129">
        <v>148567.64777801404</v>
      </c>
      <c r="AY312" s="129">
        <v>77135.347510131818</v>
      </c>
      <c r="AZ312" s="129">
        <v>202131.59368442092</v>
      </c>
      <c r="BA312" s="129">
        <v>621279.97786413156</v>
      </c>
      <c r="BB312" s="129">
        <v>611335.09896101081</v>
      </c>
      <c r="BC312" s="129">
        <v>344186.14960347855</v>
      </c>
      <c r="BD312" s="129">
        <v>958141.53206600668</v>
      </c>
      <c r="BE312" s="129">
        <v>419014.63658939913</v>
      </c>
      <c r="BF312" s="129">
        <v>167974.10797336797</v>
      </c>
      <c r="BG312" s="129">
        <v>326110.81356373656</v>
      </c>
      <c r="BH312" s="129">
        <v>676227.56565463776</v>
      </c>
      <c r="BI312" s="129">
        <v>2893031.2362393457</v>
      </c>
      <c r="BJ312" s="129">
        <v>3858697</v>
      </c>
      <c r="BK312" s="129">
        <v>5295267</v>
      </c>
      <c r="BL312" s="129">
        <v>5188932</v>
      </c>
      <c r="BM312" s="129">
        <v>5905440</v>
      </c>
      <c r="BN312" s="129">
        <v>6218290</v>
      </c>
      <c r="BO312" s="129">
        <v>7027515</v>
      </c>
      <c r="BP312" s="129">
        <v>12745910</v>
      </c>
      <c r="BQ312" s="129">
        <v>9713261</v>
      </c>
      <c r="BR312" s="129">
        <v>7618990</v>
      </c>
      <c r="BS312" s="129">
        <v>7302900</v>
      </c>
      <c r="BT312" s="129">
        <v>6698996</v>
      </c>
      <c r="BU312" s="129">
        <v>9802314</v>
      </c>
      <c r="BV312" s="129">
        <v>8592017</v>
      </c>
      <c r="BW312" s="129">
        <v>9992560</v>
      </c>
      <c r="BX312" s="129">
        <v>7783150</v>
      </c>
      <c r="BY312" s="129">
        <v>8600200</v>
      </c>
      <c r="BZ312" s="129">
        <v>6121800</v>
      </c>
      <c r="CA312" s="129">
        <v>3428300</v>
      </c>
      <c r="CB312" s="129">
        <v>4868965</v>
      </c>
      <c r="CC312" s="129">
        <v>7250147</v>
      </c>
      <c r="CD312" s="129">
        <v>10505819</v>
      </c>
      <c r="CE312" s="129">
        <v>10668875.289999999</v>
      </c>
      <c r="CF312" s="129">
        <v>10066236</v>
      </c>
      <c r="CG312" s="129">
        <v>8953663</v>
      </c>
      <c r="CH312" s="129">
        <v>8771757</v>
      </c>
      <c r="CI312" s="129">
        <v>8342037</v>
      </c>
      <c r="CJ312" s="129">
        <v>9171252</v>
      </c>
      <c r="CK312" s="129">
        <v>9682011</v>
      </c>
      <c r="CL312" s="129">
        <v>9122112</v>
      </c>
      <c r="CM312" s="129">
        <v>6143302</v>
      </c>
      <c r="CN312" s="129">
        <v>5689502</v>
      </c>
      <c r="CO312" s="129">
        <v>6779183</v>
      </c>
      <c r="CP312" s="129">
        <v>7525876.25</v>
      </c>
      <c r="CQ312" s="129">
        <v>7947913</v>
      </c>
      <c r="CR312" s="129">
        <v>7138531</v>
      </c>
      <c r="CS312" s="129">
        <v>8090709</v>
      </c>
      <c r="CT312" s="130">
        <f>CS312*(1+CT315)</f>
        <v>8090709</v>
      </c>
      <c r="CU312" s="130">
        <f t="shared" ref="CU312:DQ312" si="1069">CT312*(1+CU315)</f>
        <v>8090709</v>
      </c>
      <c r="CV312" s="130">
        <f t="shared" si="1069"/>
        <v>8090709</v>
      </c>
      <c r="CW312" s="130">
        <f t="shared" si="1069"/>
        <v>8090709</v>
      </c>
      <c r="CX312" s="130">
        <f t="shared" si="1069"/>
        <v>8090709</v>
      </c>
      <c r="CY312" s="130">
        <f t="shared" si="1069"/>
        <v>8090709</v>
      </c>
      <c r="CZ312" s="130">
        <f t="shared" si="1069"/>
        <v>8495244.4500000011</v>
      </c>
      <c r="DA312" s="130">
        <f t="shared" si="1069"/>
        <v>8495244.4500000011</v>
      </c>
      <c r="DB312" s="130">
        <f t="shared" si="1069"/>
        <v>8495244.4500000011</v>
      </c>
      <c r="DC312" s="130">
        <f t="shared" si="1069"/>
        <v>8495244.4500000011</v>
      </c>
      <c r="DD312" s="130">
        <f t="shared" si="1069"/>
        <v>8495244.4500000011</v>
      </c>
      <c r="DE312" s="130">
        <f t="shared" si="1069"/>
        <v>8495244.4500000011</v>
      </c>
      <c r="DF312" s="130">
        <f t="shared" si="1069"/>
        <v>8495244.4500000011</v>
      </c>
      <c r="DG312" s="130">
        <f t="shared" si="1069"/>
        <v>8495244.4500000011</v>
      </c>
      <c r="DH312" s="130">
        <f t="shared" si="1069"/>
        <v>8495244.4500000011</v>
      </c>
      <c r="DI312" s="130">
        <f t="shared" si="1069"/>
        <v>8495244.4500000011</v>
      </c>
      <c r="DJ312" s="130">
        <f t="shared" si="1069"/>
        <v>8495244.4500000011</v>
      </c>
      <c r="DK312" s="130">
        <f t="shared" si="1069"/>
        <v>8495244.4500000011</v>
      </c>
      <c r="DL312" s="130">
        <f t="shared" si="1069"/>
        <v>8920006.6725000013</v>
      </c>
      <c r="DM312" s="130">
        <f t="shared" si="1069"/>
        <v>8920006.6725000013</v>
      </c>
      <c r="DN312" s="130">
        <f t="shared" si="1069"/>
        <v>8920006.6725000013</v>
      </c>
      <c r="DO312" s="130">
        <f t="shared" si="1069"/>
        <v>8920006.6725000013</v>
      </c>
      <c r="DP312" s="130">
        <f t="shared" si="1069"/>
        <v>8920006.6725000013</v>
      </c>
      <c r="DQ312" s="130">
        <f t="shared" si="1069"/>
        <v>8920006.6725000013</v>
      </c>
      <c r="DR312" s="130">
        <f t="shared" ref="DR312:DR313" si="1070">DQ312*(1+DR315)</f>
        <v>8920006.6725000013</v>
      </c>
      <c r="DS312" s="130">
        <f t="shared" ref="DS312:DS313" si="1071">DR312*(1+DS315)</f>
        <v>8920006.6725000013</v>
      </c>
      <c r="DT312" s="130">
        <f t="shared" ref="DT312:DT313" si="1072">DS312*(1+DT315)</f>
        <v>8920006.6725000013</v>
      </c>
      <c r="DU312" s="130">
        <f t="shared" ref="DU312:DU313" si="1073">DT312*(1+DU315)</f>
        <v>8920006.6725000013</v>
      </c>
      <c r="DV312" s="130">
        <f t="shared" ref="DV312:DV313" si="1074">DU312*(1+DV315)</f>
        <v>8920006.6725000013</v>
      </c>
      <c r="DW312" s="130">
        <f t="shared" ref="DW312:DW313" si="1075">DV312*(1+DW315)</f>
        <v>8920006.6725000013</v>
      </c>
      <c r="DX312" s="130">
        <f t="shared" ref="DX312:DX313" si="1076">DW312*(1+DX315)</f>
        <v>9366007.0061250012</v>
      </c>
      <c r="DY312" s="130">
        <f t="shared" ref="DY312:DY313" si="1077">DX312*(1+DY315)</f>
        <v>9366007.0061250012</v>
      </c>
      <c r="DZ312" s="130">
        <f t="shared" ref="DZ312:DZ313" si="1078">DY312*(1+DZ315)</f>
        <v>9366007.0061250012</v>
      </c>
      <c r="EA312" s="130">
        <f t="shared" ref="EA312:EA313" si="1079">DZ312*(1+EA315)</f>
        <v>9366007.0061250012</v>
      </c>
      <c r="EB312" s="130">
        <f t="shared" ref="EB312:EB313" si="1080">EA312*(1+EB315)</f>
        <v>9366007.0061250012</v>
      </c>
      <c r="EC312" s="130">
        <f t="shared" ref="EC312:EC313" si="1081">EB312*(1+EC315)</f>
        <v>9366007.0061250012</v>
      </c>
      <c r="ED312" s="113" t="s">
        <v>1</v>
      </c>
    </row>
    <row r="313" spans="1:134" x14ac:dyDescent="0.2">
      <c r="A313" s="698" t="s">
        <v>163</v>
      </c>
      <c r="B313" s="115"/>
      <c r="C313" s="115"/>
      <c r="D313" s="115"/>
      <c r="E313" s="115"/>
      <c r="F313" s="115"/>
      <c r="G313" s="115"/>
      <c r="H313" s="115"/>
      <c r="I313" s="115"/>
      <c r="J313" s="115"/>
      <c r="K313" s="129">
        <v>0</v>
      </c>
      <c r="L313" s="129">
        <v>0</v>
      </c>
      <c r="M313" s="129">
        <v>0</v>
      </c>
      <c r="N313" s="129">
        <v>0</v>
      </c>
      <c r="O313" s="129">
        <v>0</v>
      </c>
      <c r="P313" s="129">
        <v>0</v>
      </c>
      <c r="Q313" s="129">
        <v>0</v>
      </c>
      <c r="R313" s="129">
        <v>0</v>
      </c>
      <c r="S313" s="129">
        <v>0</v>
      </c>
      <c r="T313" s="129">
        <v>0</v>
      </c>
      <c r="U313" s="129">
        <v>0</v>
      </c>
      <c r="V313" s="129">
        <v>0</v>
      </c>
      <c r="W313" s="129">
        <v>0</v>
      </c>
      <c r="X313" s="129">
        <v>0</v>
      </c>
      <c r="Y313" s="129">
        <v>0</v>
      </c>
      <c r="Z313" s="129">
        <v>0</v>
      </c>
      <c r="AA313" s="129">
        <v>0</v>
      </c>
      <c r="AB313" s="129">
        <v>0</v>
      </c>
      <c r="AC313" s="129">
        <v>0</v>
      </c>
      <c r="AD313" s="129">
        <v>0</v>
      </c>
      <c r="AE313" s="129">
        <v>0</v>
      </c>
      <c r="AF313" s="129">
        <v>0</v>
      </c>
      <c r="AG313" s="129">
        <v>0</v>
      </c>
      <c r="AH313" s="129">
        <v>0</v>
      </c>
      <c r="AI313" s="129">
        <v>0</v>
      </c>
      <c r="AJ313" s="129">
        <v>0</v>
      </c>
      <c r="AK313" s="129">
        <v>0</v>
      </c>
      <c r="AL313" s="129">
        <v>0</v>
      </c>
      <c r="AM313" s="129">
        <v>0</v>
      </c>
      <c r="AN313" s="129">
        <v>0</v>
      </c>
      <c r="AO313" s="129">
        <v>0</v>
      </c>
      <c r="AP313" s="129">
        <v>0</v>
      </c>
      <c r="AQ313" s="129">
        <v>0</v>
      </c>
      <c r="AR313" s="129">
        <v>0</v>
      </c>
      <c r="AS313" s="129">
        <v>0</v>
      </c>
      <c r="AT313" s="129">
        <v>0</v>
      </c>
      <c r="AU313" s="129">
        <v>0</v>
      </c>
      <c r="AV313" s="129">
        <v>0</v>
      </c>
      <c r="AW313" s="129">
        <v>0</v>
      </c>
      <c r="AX313" s="129">
        <v>0</v>
      </c>
      <c r="AY313" s="129">
        <v>0</v>
      </c>
      <c r="AZ313" s="129">
        <v>0</v>
      </c>
      <c r="BA313" s="129">
        <v>0</v>
      </c>
      <c r="BB313" s="129">
        <v>0</v>
      </c>
      <c r="BC313" s="129">
        <v>0</v>
      </c>
      <c r="BD313" s="129">
        <v>0</v>
      </c>
      <c r="BE313" s="129">
        <v>0</v>
      </c>
      <c r="BF313" s="129">
        <v>0</v>
      </c>
      <c r="BG313" s="129">
        <v>0</v>
      </c>
      <c r="BH313" s="129">
        <v>0</v>
      </c>
      <c r="BI313" s="129">
        <v>0</v>
      </c>
      <c r="BJ313" s="129">
        <v>685400</v>
      </c>
      <c r="BK313" s="129">
        <v>349179</v>
      </c>
      <c r="BL313" s="129">
        <v>695000</v>
      </c>
      <c r="BM313" s="129">
        <v>726000</v>
      </c>
      <c r="BN313" s="129">
        <v>859248</v>
      </c>
      <c r="BO313" s="129">
        <v>707333</v>
      </c>
      <c r="BP313" s="129">
        <v>938744</v>
      </c>
      <c r="BQ313" s="129">
        <v>1311233</v>
      </c>
      <c r="BR313" s="129">
        <v>696100</v>
      </c>
      <c r="BS313" s="129">
        <v>2809410</v>
      </c>
      <c r="BT313" s="129">
        <v>6114480</v>
      </c>
      <c r="BU313" s="129">
        <v>931872</v>
      </c>
      <c r="BV313" s="129">
        <v>4538330</v>
      </c>
      <c r="BW313" s="129">
        <v>3375080</v>
      </c>
      <c r="BX313" s="129">
        <v>6106136</v>
      </c>
      <c r="BY313" s="129">
        <v>2821489</v>
      </c>
      <c r="BZ313" s="129">
        <v>3978428</v>
      </c>
      <c r="CA313" s="129">
        <v>1708094</v>
      </c>
      <c r="CB313" s="129">
        <v>1504276</v>
      </c>
      <c r="CC313" s="129">
        <v>742327</v>
      </c>
      <c r="CD313" s="129">
        <v>1353575</v>
      </c>
      <c r="CE313" s="129">
        <v>636012</v>
      </c>
      <c r="CF313" s="129">
        <v>881890</v>
      </c>
      <c r="CG313" s="129">
        <v>1005454</v>
      </c>
      <c r="CH313" s="129">
        <v>2116529</v>
      </c>
      <c r="CI313" s="129">
        <v>2211570</v>
      </c>
      <c r="CJ313" s="129">
        <v>1561679</v>
      </c>
      <c r="CK313" s="129">
        <v>793632</v>
      </c>
      <c r="CL313" s="129">
        <v>530618</v>
      </c>
      <c r="CM313" s="129">
        <v>724370</v>
      </c>
      <c r="CN313" s="129">
        <v>1661233.25</v>
      </c>
      <c r="CO313" s="129">
        <v>1644032</v>
      </c>
      <c r="CP313" s="129">
        <v>1170726.75</v>
      </c>
      <c r="CQ313" s="129">
        <v>1594965</v>
      </c>
      <c r="CR313" s="129">
        <v>1149598.75</v>
      </c>
      <c r="CS313" s="129">
        <v>1082880.25</v>
      </c>
      <c r="CT313" s="130">
        <f>CS313*(1+CT316)</f>
        <v>1082880.25</v>
      </c>
      <c r="CU313" s="130">
        <f t="shared" ref="CU313:DQ313" si="1082">CT313*(1+CU316)</f>
        <v>1082880.25</v>
      </c>
      <c r="CV313" s="130">
        <f t="shared" si="1082"/>
        <v>1082880.25</v>
      </c>
      <c r="CW313" s="130">
        <f t="shared" si="1082"/>
        <v>1082880.25</v>
      </c>
      <c r="CX313" s="130">
        <f t="shared" si="1082"/>
        <v>1082880.25</v>
      </c>
      <c r="CY313" s="130">
        <f t="shared" si="1082"/>
        <v>1082880.25</v>
      </c>
      <c r="CZ313" s="130">
        <f t="shared" si="1082"/>
        <v>1137024.2625</v>
      </c>
      <c r="DA313" s="130">
        <f t="shared" si="1082"/>
        <v>1137024.2625</v>
      </c>
      <c r="DB313" s="130">
        <f t="shared" si="1082"/>
        <v>1137024.2625</v>
      </c>
      <c r="DC313" s="130">
        <f t="shared" si="1082"/>
        <v>1137024.2625</v>
      </c>
      <c r="DD313" s="130">
        <f t="shared" si="1082"/>
        <v>1137024.2625</v>
      </c>
      <c r="DE313" s="130">
        <f t="shared" si="1082"/>
        <v>1137024.2625</v>
      </c>
      <c r="DF313" s="130">
        <f t="shared" si="1082"/>
        <v>1137024.2625</v>
      </c>
      <c r="DG313" s="130">
        <f t="shared" si="1082"/>
        <v>1137024.2625</v>
      </c>
      <c r="DH313" s="130">
        <f t="shared" si="1082"/>
        <v>1137024.2625</v>
      </c>
      <c r="DI313" s="130">
        <f t="shared" si="1082"/>
        <v>1137024.2625</v>
      </c>
      <c r="DJ313" s="130">
        <f t="shared" si="1082"/>
        <v>1137024.2625</v>
      </c>
      <c r="DK313" s="130">
        <f t="shared" si="1082"/>
        <v>1137024.2625</v>
      </c>
      <c r="DL313" s="130">
        <f t="shared" si="1082"/>
        <v>1193875.475625</v>
      </c>
      <c r="DM313" s="130">
        <f t="shared" si="1082"/>
        <v>1193875.475625</v>
      </c>
      <c r="DN313" s="130">
        <f t="shared" si="1082"/>
        <v>1193875.475625</v>
      </c>
      <c r="DO313" s="130">
        <f t="shared" si="1082"/>
        <v>1193875.475625</v>
      </c>
      <c r="DP313" s="130">
        <f t="shared" si="1082"/>
        <v>1193875.475625</v>
      </c>
      <c r="DQ313" s="130">
        <f t="shared" si="1082"/>
        <v>1193875.475625</v>
      </c>
      <c r="DR313" s="130">
        <f t="shared" si="1070"/>
        <v>1193875.475625</v>
      </c>
      <c r="DS313" s="130">
        <f t="shared" si="1071"/>
        <v>1193875.475625</v>
      </c>
      <c r="DT313" s="130">
        <f t="shared" si="1072"/>
        <v>1193875.475625</v>
      </c>
      <c r="DU313" s="130">
        <f t="shared" si="1073"/>
        <v>1193875.475625</v>
      </c>
      <c r="DV313" s="130">
        <f t="shared" si="1074"/>
        <v>1193875.475625</v>
      </c>
      <c r="DW313" s="130">
        <f t="shared" si="1075"/>
        <v>1193875.475625</v>
      </c>
      <c r="DX313" s="130">
        <f t="shared" si="1076"/>
        <v>1253569.24940625</v>
      </c>
      <c r="DY313" s="130">
        <f t="shared" si="1077"/>
        <v>1253569.24940625</v>
      </c>
      <c r="DZ313" s="130">
        <f t="shared" si="1078"/>
        <v>1253569.24940625</v>
      </c>
      <c r="EA313" s="130">
        <f t="shared" si="1079"/>
        <v>1253569.24940625</v>
      </c>
      <c r="EB313" s="130">
        <f t="shared" si="1080"/>
        <v>1253569.24940625</v>
      </c>
      <c r="EC313" s="130">
        <f t="shared" si="1081"/>
        <v>1253569.24940625</v>
      </c>
      <c r="ED313" s="113" t="s">
        <v>1</v>
      </c>
    </row>
    <row r="314" spans="1:134" x14ac:dyDescent="0.2">
      <c r="A314" s="698"/>
      <c r="B314" s="115"/>
      <c r="C314" s="115"/>
      <c r="D314" s="115"/>
      <c r="E314" s="115"/>
      <c r="F314" s="115"/>
      <c r="G314" s="115"/>
      <c r="H314" s="115"/>
      <c r="I314" s="115"/>
      <c r="J314" s="115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15"/>
      <c r="CU314" s="115"/>
      <c r="CV314" s="115"/>
      <c r="CW314" s="115"/>
      <c r="CX314" s="115"/>
      <c r="CY314" s="115"/>
      <c r="CZ314" s="115"/>
      <c r="DA314" s="115"/>
      <c r="DB314" s="115"/>
      <c r="DC314" s="115"/>
      <c r="DD314" s="115"/>
      <c r="DE314" s="115"/>
      <c r="DF314" s="115"/>
      <c r="DG314" s="115"/>
      <c r="DH314" s="115"/>
      <c r="DI314" s="115"/>
      <c r="DJ314" s="115"/>
      <c r="DK314" s="115"/>
      <c r="DL314" s="115"/>
      <c r="DM314" s="115"/>
      <c r="DN314" s="115"/>
      <c r="DO314" s="115"/>
      <c r="DP314" s="115"/>
      <c r="DQ314" s="115"/>
      <c r="DR314" s="115"/>
      <c r="DS314" s="115"/>
      <c r="DT314" s="115"/>
      <c r="DU314" s="115"/>
      <c r="DV314" s="115"/>
      <c r="DW314" s="115"/>
      <c r="DX314" s="115"/>
      <c r="DY314" s="115"/>
      <c r="DZ314" s="115"/>
      <c r="EA314" s="115"/>
      <c r="EB314" s="115"/>
      <c r="EC314" s="645"/>
      <c r="ED314" s="113" t="s">
        <v>1</v>
      </c>
    </row>
    <row r="315" spans="1:134" x14ac:dyDescent="0.2">
      <c r="A315" s="698" t="s">
        <v>210</v>
      </c>
      <c r="B315" s="115"/>
      <c r="C315" s="115"/>
      <c r="D315" s="115"/>
      <c r="E315" s="115"/>
      <c r="F315" s="115"/>
      <c r="G315" s="115"/>
      <c r="H315" s="115"/>
      <c r="I315" s="115"/>
      <c r="J315" s="115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702"/>
      <c r="CU315" s="115"/>
      <c r="CV315" s="115"/>
      <c r="CW315" s="115"/>
      <c r="CX315" s="115"/>
      <c r="CY315" s="115"/>
      <c r="CZ315" s="701">
        <v>0.05</v>
      </c>
      <c r="DA315" s="115"/>
      <c r="DB315" s="115"/>
      <c r="DC315" s="115"/>
      <c r="DD315" s="115"/>
      <c r="DE315" s="115"/>
      <c r="DF315" s="702"/>
      <c r="DG315" s="115"/>
      <c r="DH315" s="115"/>
      <c r="DI315" s="115"/>
      <c r="DJ315" s="115"/>
      <c r="DK315" s="115"/>
      <c r="DL315" s="701">
        <v>0.05</v>
      </c>
      <c r="DM315" s="115"/>
      <c r="DN315" s="115"/>
      <c r="DO315" s="115"/>
      <c r="DP315" s="115"/>
      <c r="DQ315" s="115"/>
      <c r="DR315" s="115"/>
      <c r="DS315" s="115"/>
      <c r="DT315" s="115"/>
      <c r="DU315" s="115"/>
      <c r="DV315" s="115"/>
      <c r="DW315" s="115"/>
      <c r="DX315" s="701">
        <v>0.05</v>
      </c>
      <c r="DY315" s="115"/>
      <c r="DZ315" s="115"/>
      <c r="EA315" s="115"/>
      <c r="EB315" s="115"/>
      <c r="EC315" s="645"/>
      <c r="ED315" s="113" t="s">
        <v>1</v>
      </c>
    </row>
    <row r="316" spans="1:134" x14ac:dyDescent="0.2">
      <c r="A316" s="698" t="s">
        <v>211</v>
      </c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115"/>
      <c r="AM316" s="115"/>
      <c r="AN316" s="115"/>
      <c r="AO316" s="115"/>
      <c r="AP316" s="115"/>
      <c r="AQ316" s="115"/>
      <c r="AR316" s="115"/>
      <c r="AS316" s="115"/>
      <c r="AT316" s="115"/>
      <c r="AU316" s="115"/>
      <c r="AV316" s="115"/>
      <c r="AW316" s="115"/>
      <c r="AX316" s="115"/>
      <c r="AY316" s="115"/>
      <c r="AZ316" s="115"/>
      <c r="BA316" s="115"/>
      <c r="BB316" s="115"/>
      <c r="BC316" s="115"/>
      <c r="BD316" s="115"/>
      <c r="BE316" s="115"/>
      <c r="BF316" s="115"/>
      <c r="BG316" s="115"/>
      <c r="BH316" s="115"/>
      <c r="BI316" s="115"/>
      <c r="BJ316" s="115"/>
      <c r="BK316" s="115"/>
      <c r="BL316" s="115"/>
      <c r="BM316" s="115"/>
      <c r="BN316" s="115"/>
      <c r="BO316" s="115"/>
      <c r="BP316" s="115"/>
      <c r="BQ316" s="115"/>
      <c r="BR316" s="115"/>
      <c r="BS316" s="115"/>
      <c r="BT316" s="115"/>
      <c r="BU316" s="115"/>
      <c r="BV316" s="115"/>
      <c r="BW316" s="115"/>
      <c r="BX316" s="115"/>
      <c r="BY316" s="115"/>
      <c r="BZ316" s="115"/>
      <c r="CA316" s="115"/>
      <c r="CB316" s="115"/>
      <c r="CC316" s="115"/>
      <c r="CD316" s="115"/>
      <c r="CE316" s="115"/>
      <c r="CF316" s="115"/>
      <c r="CG316" s="115"/>
      <c r="CH316" s="115"/>
      <c r="CI316" s="115"/>
      <c r="CJ316" s="115"/>
      <c r="CK316" s="115"/>
      <c r="CL316" s="115"/>
      <c r="CM316" s="115"/>
      <c r="CN316" s="115"/>
      <c r="CO316" s="115"/>
      <c r="CP316" s="115"/>
      <c r="CQ316" s="115"/>
      <c r="CR316" s="115"/>
      <c r="CS316" s="133"/>
      <c r="CT316" s="702"/>
      <c r="CU316" s="115"/>
      <c r="CV316" s="115"/>
      <c r="CW316" s="115"/>
      <c r="CX316" s="115"/>
      <c r="CY316" s="115"/>
      <c r="CZ316" s="701">
        <v>0.05</v>
      </c>
      <c r="DA316" s="115"/>
      <c r="DB316" s="115"/>
      <c r="DC316" s="115"/>
      <c r="DD316" s="115"/>
      <c r="DE316" s="115"/>
      <c r="DF316" s="702"/>
      <c r="DG316" s="115"/>
      <c r="DH316" s="115"/>
      <c r="DI316" s="115"/>
      <c r="DJ316" s="115"/>
      <c r="DK316" s="115"/>
      <c r="DL316" s="701">
        <v>0.05</v>
      </c>
      <c r="DM316" s="115"/>
      <c r="DN316" s="115"/>
      <c r="DO316" s="115"/>
      <c r="DP316" s="115"/>
      <c r="DQ316" s="115"/>
      <c r="DR316" s="115"/>
      <c r="DS316" s="115"/>
      <c r="DT316" s="115"/>
      <c r="DU316" s="115"/>
      <c r="DV316" s="115"/>
      <c r="DW316" s="115"/>
      <c r="DX316" s="701">
        <v>0.05</v>
      </c>
      <c r="DY316" s="115"/>
      <c r="DZ316" s="115"/>
      <c r="EA316" s="115"/>
      <c r="EB316" s="115"/>
      <c r="EC316" s="645"/>
      <c r="ED316" s="113" t="s">
        <v>1</v>
      </c>
    </row>
    <row r="317" spans="1:134" x14ac:dyDescent="0.2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115"/>
      <c r="AM317" s="115"/>
      <c r="AN317" s="115"/>
      <c r="AO317" s="115"/>
      <c r="AP317" s="115"/>
      <c r="AQ317" s="115"/>
      <c r="AR317" s="115"/>
      <c r="AS317" s="115"/>
      <c r="AT317" s="115"/>
      <c r="AU317" s="115"/>
      <c r="AV317" s="115"/>
      <c r="AW317" s="115"/>
      <c r="AX317" s="115"/>
      <c r="AY317" s="115"/>
      <c r="AZ317" s="115"/>
      <c r="BA317" s="115"/>
      <c r="BB317" s="115"/>
      <c r="BC317" s="115"/>
      <c r="BD317" s="115"/>
      <c r="BE317" s="115"/>
      <c r="BF317" s="115"/>
      <c r="BG317" s="115"/>
      <c r="BH317" s="115"/>
      <c r="BI317" s="115"/>
      <c r="BJ317" s="115"/>
      <c r="BK317" s="115"/>
      <c r="BL317" s="115"/>
      <c r="BM317" s="115"/>
      <c r="BN317" s="115"/>
      <c r="BO317" s="115"/>
      <c r="BP317" s="115"/>
      <c r="BQ317" s="115"/>
      <c r="BR317" s="115"/>
      <c r="BS317" s="115"/>
      <c r="BT317" s="115"/>
      <c r="BU317" s="115"/>
      <c r="BV317" s="115"/>
      <c r="BW317" s="115"/>
      <c r="BX317" s="115"/>
      <c r="BY317" s="115"/>
      <c r="BZ317" s="115"/>
      <c r="CA317" s="115"/>
      <c r="CB317" s="115"/>
      <c r="CC317" s="115"/>
      <c r="CD317" s="115"/>
      <c r="CE317" s="115"/>
      <c r="CF317" s="115"/>
      <c r="CG317" s="115"/>
      <c r="CH317" s="115"/>
      <c r="CI317" s="115"/>
      <c r="CJ317" s="115"/>
      <c r="CK317" s="115"/>
      <c r="CL317" s="115"/>
      <c r="CM317" s="115"/>
      <c r="CN317" s="115"/>
      <c r="CO317" s="115"/>
      <c r="CP317" s="115"/>
      <c r="CQ317" s="115"/>
      <c r="CR317" s="115"/>
      <c r="CS317" s="115"/>
      <c r="CT317" s="115"/>
      <c r="CU317" s="115"/>
      <c r="CV317" s="115"/>
      <c r="CW317" s="115"/>
      <c r="CX317" s="115"/>
      <c r="CY317" s="115"/>
      <c r="CZ317" s="115"/>
      <c r="DA317" s="115"/>
      <c r="DB317" s="115"/>
      <c r="DC317" s="115"/>
      <c r="DD317" s="115"/>
      <c r="DE317" s="115"/>
      <c r="DF317" s="115"/>
      <c r="DG317" s="115"/>
      <c r="DH317" s="115"/>
      <c r="DI317" s="115"/>
      <c r="DJ317" s="115"/>
      <c r="DK317" s="115"/>
      <c r="DL317" s="115"/>
      <c r="DM317" s="115"/>
      <c r="DN317" s="115"/>
      <c r="DO317" s="115"/>
      <c r="DP317" s="115"/>
      <c r="DQ317" s="115"/>
      <c r="DR317" s="115"/>
      <c r="DS317" s="115"/>
      <c r="DT317" s="115"/>
      <c r="DU317" s="115"/>
      <c r="DV317" s="115"/>
      <c r="DW317" s="115"/>
      <c r="DX317" s="115"/>
      <c r="DY317" s="115"/>
      <c r="DZ317" s="115"/>
      <c r="EA317" s="115"/>
      <c r="EB317" s="115"/>
      <c r="EC317" s="645"/>
      <c r="ED317" s="113" t="s">
        <v>1</v>
      </c>
    </row>
    <row r="318" spans="1:134" s="331" customFormat="1" x14ac:dyDescent="0.2">
      <c r="A318" s="330" t="s">
        <v>60</v>
      </c>
      <c r="B318" s="330"/>
      <c r="C318" s="330"/>
      <c r="D318" s="330"/>
      <c r="E318" s="330"/>
      <c r="F318" s="330"/>
      <c r="G318" s="330"/>
      <c r="H318" s="330"/>
      <c r="I318" s="330"/>
      <c r="J318" s="330"/>
      <c r="K318" s="330"/>
      <c r="L318" s="330"/>
      <c r="M318" s="330"/>
      <c r="N318" s="330"/>
      <c r="O318" s="330"/>
      <c r="P318" s="330"/>
      <c r="Q318" s="330"/>
      <c r="R318" s="330"/>
      <c r="S318" s="330"/>
      <c r="T318" s="330"/>
      <c r="U318" s="330"/>
      <c r="V318" s="330"/>
      <c r="W318" s="330"/>
      <c r="X318" s="330"/>
      <c r="Y318" s="330"/>
      <c r="Z318" s="330"/>
      <c r="AA318" s="330"/>
      <c r="AB318" s="330"/>
      <c r="AC318" s="330"/>
      <c r="AD318" s="330"/>
      <c r="AE318" s="330"/>
      <c r="AF318" s="330"/>
      <c r="AG318" s="330"/>
      <c r="AH318" s="330"/>
      <c r="AI318" s="330"/>
      <c r="AJ318" s="330"/>
      <c r="AK318" s="330"/>
      <c r="AL318" s="330"/>
      <c r="AM318" s="330"/>
      <c r="AN318" s="330"/>
      <c r="AO318" s="330"/>
      <c r="AP318" s="330"/>
      <c r="AQ318" s="330"/>
      <c r="AR318" s="330"/>
      <c r="AS318" s="330"/>
      <c r="AT318" s="330"/>
      <c r="AU318" s="330"/>
      <c r="AV318" s="330"/>
      <c r="AW318" s="330"/>
      <c r="AX318" s="330"/>
      <c r="AY318" s="330"/>
      <c r="AZ318" s="330"/>
      <c r="BA318" s="330"/>
      <c r="BB318" s="330"/>
      <c r="BC318" s="330"/>
      <c r="BD318" s="330"/>
      <c r="BE318" s="330"/>
      <c r="BF318" s="330"/>
      <c r="BG318" s="330"/>
      <c r="BH318" s="330"/>
      <c r="BI318" s="330"/>
      <c r="BJ318" s="131">
        <f>BJ319+BJ320</f>
        <v>14333025.752235526</v>
      </c>
      <c r="BK318" s="131">
        <f t="shared" ref="BK318:CS318" si="1083">BK319+BK320</f>
        <v>16000874.055504926</v>
      </c>
      <c r="BL318" s="131">
        <f t="shared" si="1083"/>
        <v>17217187.176864438</v>
      </c>
      <c r="BM318" s="131">
        <f t="shared" si="1083"/>
        <v>17514222.512494698</v>
      </c>
      <c r="BN318" s="131">
        <f t="shared" si="1083"/>
        <v>17861552.325490139</v>
      </c>
      <c r="BO318" s="131">
        <f t="shared" si="1083"/>
        <v>18306677.812627513</v>
      </c>
      <c r="BP318" s="131">
        <f t="shared" si="1083"/>
        <v>20767192.051864855</v>
      </c>
      <c r="BQ318" s="131">
        <f t="shared" si="1083"/>
        <v>17020049.248759616</v>
      </c>
      <c r="BR318" s="131">
        <f t="shared" si="1083"/>
        <v>16045559.859791309</v>
      </c>
      <c r="BS318" s="131">
        <f t="shared" si="1083"/>
        <v>15302112.292327698</v>
      </c>
      <c r="BT318" s="131">
        <f t="shared" si="1083"/>
        <v>14462887.784359023</v>
      </c>
      <c r="BU318" s="131">
        <f t="shared" si="1083"/>
        <v>15665614.603062231</v>
      </c>
      <c r="BV318" s="131">
        <f t="shared" si="1083"/>
        <v>16560201.992054492</v>
      </c>
      <c r="BW318" s="131">
        <f t="shared" si="1083"/>
        <v>16920662.963998392</v>
      </c>
      <c r="BX318" s="131">
        <f t="shared" si="1083"/>
        <v>17104832.965620544</v>
      </c>
      <c r="BY318" s="131">
        <f t="shared" si="1083"/>
        <v>17082454.652065694</v>
      </c>
      <c r="BZ318" s="131">
        <f t="shared" si="1083"/>
        <v>17245895.683288459</v>
      </c>
      <c r="CA318" s="131">
        <f t="shared" si="1083"/>
        <v>17066604.912288457</v>
      </c>
      <c r="CB318" s="131">
        <f t="shared" si="1083"/>
        <v>18847224.900412876</v>
      </c>
      <c r="CC318" s="131">
        <f t="shared" si="1083"/>
        <v>17922777.133214742</v>
      </c>
      <c r="CD318" s="131">
        <f t="shared" si="1083"/>
        <v>18568256.289398052</v>
      </c>
      <c r="CE318" s="131">
        <f t="shared" si="1083"/>
        <v>18667441.154972121</v>
      </c>
      <c r="CF318" s="131">
        <f t="shared" si="1083"/>
        <v>18017947.92284707</v>
      </c>
      <c r="CG318" s="131">
        <f t="shared" si="1083"/>
        <v>19855267.054810427</v>
      </c>
      <c r="CH318" s="131">
        <f t="shared" si="1083"/>
        <v>18857991.624262821</v>
      </c>
      <c r="CI318" s="131">
        <f t="shared" si="1083"/>
        <v>18747816.609371383</v>
      </c>
      <c r="CJ318" s="131">
        <f t="shared" si="1083"/>
        <v>18890672.871362187</v>
      </c>
      <c r="CK318" s="131">
        <f t="shared" si="1083"/>
        <v>18713076.13543684</v>
      </c>
      <c r="CL318" s="131">
        <f t="shared" si="1083"/>
        <v>18638843.445300527</v>
      </c>
      <c r="CM318" s="131">
        <f t="shared" si="1083"/>
        <v>19432632.613211539</v>
      </c>
      <c r="CN318" s="131">
        <f t="shared" si="1083"/>
        <v>21265540.469968993</v>
      </c>
      <c r="CO318" s="131">
        <f t="shared" si="1083"/>
        <v>19432143.347217754</v>
      </c>
      <c r="CP318" s="131">
        <f t="shared" si="1083"/>
        <v>19624225.797860842</v>
      </c>
      <c r="CQ318" s="131">
        <f t="shared" si="1083"/>
        <v>20979080.596401468</v>
      </c>
      <c r="CR318" s="131">
        <f t="shared" si="1083"/>
        <v>20413754.716881871</v>
      </c>
      <c r="CS318" s="131">
        <f t="shared" si="1083"/>
        <v>21729984.913168933</v>
      </c>
      <c r="CT318" s="132">
        <f>CS318*(1+CT323)</f>
        <v>22816484.158827379</v>
      </c>
      <c r="CU318" s="132">
        <f t="shared" ref="CU318:DQ318" si="1084">CT318*(1+CU323)</f>
        <v>22816484.158827379</v>
      </c>
      <c r="CV318" s="132">
        <f t="shared" si="1084"/>
        <v>22816484.158827379</v>
      </c>
      <c r="CW318" s="132">
        <f t="shared" si="1084"/>
        <v>22816484.158827379</v>
      </c>
      <c r="CX318" s="132">
        <f t="shared" si="1084"/>
        <v>22816484.158827379</v>
      </c>
      <c r="CY318" s="132">
        <f t="shared" si="1084"/>
        <v>22816484.158827379</v>
      </c>
      <c r="CZ318" s="132">
        <f t="shared" si="1084"/>
        <v>22816484.158827379</v>
      </c>
      <c r="DA318" s="132">
        <f t="shared" si="1084"/>
        <v>22816484.158827379</v>
      </c>
      <c r="DB318" s="132">
        <f t="shared" si="1084"/>
        <v>22816484.158827379</v>
      </c>
      <c r="DC318" s="132">
        <f t="shared" si="1084"/>
        <v>22816484.158827379</v>
      </c>
      <c r="DD318" s="132">
        <f t="shared" si="1084"/>
        <v>22816484.158827379</v>
      </c>
      <c r="DE318" s="132">
        <f t="shared" si="1084"/>
        <v>22816484.158827379</v>
      </c>
      <c r="DF318" s="132">
        <f t="shared" si="1084"/>
        <v>23957308.366768748</v>
      </c>
      <c r="DG318" s="132">
        <f t="shared" si="1084"/>
        <v>23957308.366768748</v>
      </c>
      <c r="DH318" s="132">
        <f t="shared" si="1084"/>
        <v>23957308.366768748</v>
      </c>
      <c r="DI318" s="132">
        <f t="shared" si="1084"/>
        <v>23957308.366768748</v>
      </c>
      <c r="DJ318" s="132">
        <f t="shared" si="1084"/>
        <v>23957308.366768748</v>
      </c>
      <c r="DK318" s="132">
        <f t="shared" si="1084"/>
        <v>23957308.366768748</v>
      </c>
      <c r="DL318" s="132">
        <f t="shared" si="1084"/>
        <v>23957308.366768748</v>
      </c>
      <c r="DM318" s="132">
        <f t="shared" si="1084"/>
        <v>23957308.366768748</v>
      </c>
      <c r="DN318" s="132">
        <f t="shared" si="1084"/>
        <v>23957308.366768748</v>
      </c>
      <c r="DO318" s="132">
        <f t="shared" si="1084"/>
        <v>23957308.366768748</v>
      </c>
      <c r="DP318" s="132">
        <f t="shared" si="1084"/>
        <v>23957308.366768748</v>
      </c>
      <c r="DQ318" s="132">
        <f t="shared" si="1084"/>
        <v>23957308.366768748</v>
      </c>
      <c r="DR318" s="132">
        <f t="shared" ref="DR318" si="1085">DQ318*(1+DR323)</f>
        <v>25155173.785107184</v>
      </c>
      <c r="DS318" s="132">
        <f t="shared" ref="DS318" si="1086">DR318*(1+DS323)</f>
        <v>25155173.785107184</v>
      </c>
      <c r="DT318" s="132">
        <f t="shared" ref="DT318" si="1087">DS318*(1+DT323)</f>
        <v>25155173.785107184</v>
      </c>
      <c r="DU318" s="132">
        <f t="shared" ref="DU318" si="1088">DT318*(1+DU323)</f>
        <v>25155173.785107184</v>
      </c>
      <c r="DV318" s="132">
        <f t="shared" ref="DV318" si="1089">DU318*(1+DV323)</f>
        <v>25155173.785107184</v>
      </c>
      <c r="DW318" s="132">
        <f t="shared" ref="DW318" si="1090">DV318*(1+DW323)</f>
        <v>25155173.785107184</v>
      </c>
      <c r="DX318" s="132">
        <f t="shared" ref="DX318" si="1091">DW318*(1+DX323)</f>
        <v>25155173.785107184</v>
      </c>
      <c r="DY318" s="132">
        <f t="shared" ref="DY318" si="1092">DX318*(1+DY323)</f>
        <v>25155173.785107184</v>
      </c>
      <c r="DZ318" s="132">
        <f t="shared" ref="DZ318" si="1093">DY318*(1+DZ323)</f>
        <v>25155173.785107184</v>
      </c>
      <c r="EA318" s="132">
        <f t="shared" ref="EA318" si="1094">DZ318*(1+EA323)</f>
        <v>25155173.785107184</v>
      </c>
      <c r="EB318" s="132">
        <f t="shared" ref="EB318" si="1095">EA318*(1+EB323)</f>
        <v>25155173.785107184</v>
      </c>
      <c r="EC318" s="132">
        <f t="shared" ref="EC318" si="1096">EB318*(1+EC323)</f>
        <v>25155173.785107184</v>
      </c>
      <c r="ED318" s="113" t="s">
        <v>1</v>
      </c>
    </row>
    <row r="319" spans="1:134" x14ac:dyDescent="0.2">
      <c r="A319" s="698" t="s">
        <v>61</v>
      </c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15"/>
      <c r="AM319" s="115"/>
      <c r="AN319" s="115"/>
      <c r="AO319" s="115"/>
      <c r="AP319" s="115"/>
      <c r="AQ319" s="115"/>
      <c r="AR319" s="115"/>
      <c r="AS319" s="115"/>
      <c r="AT319" s="115"/>
      <c r="AU319" s="115"/>
      <c r="AV319" s="115"/>
      <c r="AW319" s="115"/>
      <c r="AX319" s="115"/>
      <c r="AY319" s="115"/>
      <c r="AZ319" s="115"/>
      <c r="BA319" s="115"/>
      <c r="BB319" s="115"/>
      <c r="BC319" s="115"/>
      <c r="BD319" s="115"/>
      <c r="BE319" s="115"/>
      <c r="BF319" s="115"/>
      <c r="BG319" s="115"/>
      <c r="BH319" s="115"/>
      <c r="BI319" s="115"/>
      <c r="BJ319" s="129">
        <v>8506590.6389999185</v>
      </c>
      <c r="BK319" s="129">
        <v>9297344.0684801321</v>
      </c>
      <c r="BL319" s="129">
        <v>9697697.2894246913</v>
      </c>
      <c r="BM319" s="129">
        <v>10108132.592909822</v>
      </c>
      <c r="BN319" s="129">
        <v>10058844.777855353</v>
      </c>
      <c r="BO319" s="129">
        <v>10380279.474944286</v>
      </c>
      <c r="BP319" s="129">
        <v>11530720.183650283</v>
      </c>
      <c r="BQ319" s="129">
        <v>8479036.413798077</v>
      </c>
      <c r="BR319" s="129">
        <v>8149860.6222467488</v>
      </c>
      <c r="BS319" s="129">
        <v>7509747.9416001337</v>
      </c>
      <c r="BT319" s="129">
        <v>7164985.4308359241</v>
      </c>
      <c r="BU319" s="129">
        <v>7532717.8436663998</v>
      </c>
      <c r="BV319" s="129">
        <v>7471982.7186663998</v>
      </c>
      <c r="BW319" s="129">
        <v>8141671.491479164</v>
      </c>
      <c r="BX319" s="129">
        <v>8296095.5118144555</v>
      </c>
      <c r="BY319" s="129">
        <v>8207153.3165416569</v>
      </c>
      <c r="BZ319" s="129">
        <v>8191353.2230608957</v>
      </c>
      <c r="CA319" s="129">
        <v>8315518.3767580083</v>
      </c>
      <c r="CB319" s="129">
        <v>8429013.8408843949</v>
      </c>
      <c r="CC319" s="129">
        <v>8459551.5365624987</v>
      </c>
      <c r="CD319" s="129">
        <v>9078027.5997309238</v>
      </c>
      <c r="CE319" s="129">
        <v>8660010.8658722993</v>
      </c>
      <c r="CF319" s="129">
        <v>8389614.7459228486</v>
      </c>
      <c r="CG319" s="129">
        <v>9129283.2745387629</v>
      </c>
      <c r="CH319" s="129">
        <v>8980204.1781570502</v>
      </c>
      <c r="CI319" s="129">
        <v>9426000.9354880005</v>
      </c>
      <c r="CJ319" s="129">
        <v>9336751.3686218001</v>
      </c>
      <c r="CK319" s="129">
        <v>9232788.761398375</v>
      </c>
      <c r="CL319" s="129">
        <v>9437244.8690772317</v>
      </c>
      <c r="CM319" s="129">
        <v>9373747.661858974</v>
      </c>
      <c r="CN319" s="129">
        <v>10144311.752132449</v>
      </c>
      <c r="CO319" s="129">
        <v>9614669.3259677496</v>
      </c>
      <c r="CP319" s="129">
        <v>9417995.9414257649</v>
      </c>
      <c r="CQ319" s="129">
        <v>10307878.442782775</v>
      </c>
      <c r="CR319" s="129">
        <v>10261567.617843406</v>
      </c>
      <c r="CS319" s="129">
        <v>10407942.3105247</v>
      </c>
      <c r="CT319" s="115"/>
      <c r="CU319" s="115"/>
      <c r="CV319" s="115"/>
      <c r="CW319" s="115"/>
      <c r="CX319" s="115"/>
      <c r="CY319" s="115"/>
      <c r="CZ319" s="115"/>
      <c r="DA319" s="115"/>
      <c r="DB319" s="115"/>
      <c r="DC319" s="115"/>
      <c r="DD319" s="115"/>
      <c r="DE319" s="115"/>
      <c r="DF319" s="115"/>
      <c r="DG319" s="115"/>
      <c r="DH319" s="115"/>
      <c r="DI319" s="115"/>
      <c r="DJ319" s="115"/>
      <c r="DK319" s="115"/>
      <c r="DL319" s="115"/>
      <c r="DM319" s="115"/>
      <c r="DN319" s="115"/>
      <c r="DO319" s="115"/>
      <c r="DP319" s="115"/>
      <c r="DQ319" s="115"/>
      <c r="DR319" s="115"/>
      <c r="DS319" s="115"/>
      <c r="DT319" s="115"/>
      <c r="DU319" s="115"/>
      <c r="DV319" s="115"/>
      <c r="DW319" s="115"/>
      <c r="DX319" s="115"/>
      <c r="DY319" s="115"/>
      <c r="DZ319" s="115"/>
      <c r="EA319" s="115"/>
      <c r="EB319" s="115"/>
      <c r="EC319" s="645"/>
      <c r="ED319" s="113" t="s">
        <v>1</v>
      </c>
    </row>
    <row r="320" spans="1:134" x14ac:dyDescent="0.2">
      <c r="A320" s="698" t="s">
        <v>52</v>
      </c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115"/>
      <c r="AM320" s="115"/>
      <c r="AN320" s="115"/>
      <c r="AO320" s="115"/>
      <c r="AP320" s="115"/>
      <c r="AQ320" s="115"/>
      <c r="AR320" s="115"/>
      <c r="AS320" s="115"/>
      <c r="AT320" s="115"/>
      <c r="AU320" s="115"/>
      <c r="AV320" s="115"/>
      <c r="AW320" s="115"/>
      <c r="AX320" s="115"/>
      <c r="AY320" s="115"/>
      <c r="AZ320" s="115"/>
      <c r="BA320" s="115"/>
      <c r="BB320" s="115"/>
      <c r="BC320" s="115"/>
      <c r="BD320" s="115"/>
      <c r="BE320" s="115"/>
      <c r="BF320" s="115"/>
      <c r="BG320" s="115"/>
      <c r="BH320" s="115"/>
      <c r="BI320" s="115"/>
      <c r="BJ320" s="129">
        <v>5826435.1132356077</v>
      </c>
      <c r="BK320" s="129">
        <v>6703529.9870247934</v>
      </c>
      <c r="BL320" s="129">
        <v>7519489.8874397455</v>
      </c>
      <c r="BM320" s="129">
        <v>7406089.9195848778</v>
      </c>
      <c r="BN320" s="129">
        <v>7802707.5476347869</v>
      </c>
      <c r="BO320" s="129">
        <v>7926398.337683226</v>
      </c>
      <c r="BP320" s="129">
        <v>9236471.8682145737</v>
      </c>
      <c r="BQ320" s="129">
        <v>8541012.8349615391</v>
      </c>
      <c r="BR320" s="129">
        <v>7895699.2375445599</v>
      </c>
      <c r="BS320" s="129">
        <v>7792364.3507275647</v>
      </c>
      <c r="BT320" s="129">
        <v>7297902.3535230989</v>
      </c>
      <c r="BU320" s="129">
        <v>8132896.7593958313</v>
      </c>
      <c r="BV320" s="129">
        <v>9088219.2733880915</v>
      </c>
      <c r="BW320" s="129">
        <v>8778991.4725192282</v>
      </c>
      <c r="BX320" s="129">
        <v>8808737.4538060892</v>
      </c>
      <c r="BY320" s="129">
        <v>8875301.3355240375</v>
      </c>
      <c r="BZ320" s="129">
        <v>9054542.4602275621</v>
      </c>
      <c r="CA320" s="129">
        <v>8751086.5355304498</v>
      </c>
      <c r="CB320" s="129">
        <v>10418211.059528481</v>
      </c>
      <c r="CC320" s="129">
        <v>9463225.5966522433</v>
      </c>
      <c r="CD320" s="129">
        <v>9490228.6896671299</v>
      </c>
      <c r="CE320" s="129">
        <v>10007430.289099822</v>
      </c>
      <c r="CF320" s="129">
        <v>9628333.1769242231</v>
      </c>
      <c r="CG320" s="129">
        <v>10725983.780271662</v>
      </c>
      <c r="CH320" s="129">
        <v>9877787.4461057708</v>
      </c>
      <c r="CI320" s="129">
        <v>9321815.6738833822</v>
      </c>
      <c r="CJ320" s="129">
        <v>9553921.5027403869</v>
      </c>
      <c r="CK320" s="129">
        <v>9480287.3740384653</v>
      </c>
      <c r="CL320" s="129">
        <v>9201598.5762232952</v>
      </c>
      <c r="CM320" s="129">
        <v>10058884.951352565</v>
      </c>
      <c r="CN320" s="129">
        <v>11121228.717836544</v>
      </c>
      <c r="CO320" s="129">
        <v>9817474.0212500039</v>
      </c>
      <c r="CP320" s="129">
        <v>10206229.856435077</v>
      </c>
      <c r="CQ320" s="129">
        <v>10671202.153618693</v>
      </c>
      <c r="CR320" s="129">
        <v>10152187.099038465</v>
      </c>
      <c r="CS320" s="129">
        <v>11322042.602644233</v>
      </c>
      <c r="CT320" s="115"/>
      <c r="CU320" s="115"/>
      <c r="CV320" s="115"/>
      <c r="CW320" s="115"/>
      <c r="CX320" s="115"/>
      <c r="CY320" s="115"/>
      <c r="CZ320" s="115"/>
      <c r="DA320" s="115"/>
      <c r="DB320" s="115"/>
      <c r="DC320" s="115"/>
      <c r="DD320" s="115"/>
      <c r="DE320" s="115"/>
      <c r="DF320" s="115"/>
      <c r="DG320" s="115"/>
      <c r="DH320" s="115"/>
      <c r="DI320" s="115"/>
      <c r="DJ320" s="115"/>
      <c r="DK320" s="115"/>
      <c r="DL320" s="115"/>
      <c r="DM320" s="115"/>
      <c r="DN320" s="115"/>
      <c r="DO320" s="115"/>
      <c r="DP320" s="115"/>
      <c r="DQ320" s="115"/>
      <c r="DR320" s="115"/>
      <c r="DS320" s="115"/>
      <c r="DT320" s="115"/>
      <c r="DU320" s="115"/>
      <c r="DV320" s="115"/>
      <c r="DW320" s="115"/>
      <c r="DX320" s="115"/>
      <c r="DY320" s="115"/>
      <c r="DZ320" s="115"/>
      <c r="EA320" s="115"/>
      <c r="EB320" s="115"/>
      <c r="EC320" s="645"/>
      <c r="ED320" s="113" t="s">
        <v>1</v>
      </c>
    </row>
    <row r="321" spans="1:134" x14ac:dyDescent="0.2">
      <c r="A321" s="698" t="s">
        <v>62</v>
      </c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15"/>
      <c r="AM321" s="115"/>
      <c r="AN321" s="115"/>
      <c r="AO321" s="115"/>
      <c r="AP321" s="115"/>
      <c r="AQ321" s="115"/>
      <c r="AR321" s="115"/>
      <c r="AS321" s="115"/>
      <c r="AT321" s="115"/>
      <c r="AU321" s="115"/>
      <c r="AV321" s="115"/>
      <c r="AW321" s="115"/>
      <c r="AX321" s="115"/>
      <c r="AY321" s="115"/>
      <c r="AZ321" s="115"/>
      <c r="BA321" s="115"/>
      <c r="BB321" s="115"/>
      <c r="BC321" s="115"/>
      <c r="BD321" s="115"/>
      <c r="BE321" s="115"/>
      <c r="BF321" s="115"/>
      <c r="BG321" s="115"/>
      <c r="BH321" s="115"/>
      <c r="BI321" s="115"/>
      <c r="BJ321" s="133">
        <f t="shared" ref="BJ321:DU321" si="1097">BJ318/BJ219</f>
        <v>8.4211510820854041E-2</v>
      </c>
      <c r="BK321" s="133">
        <f t="shared" si="1097"/>
        <v>0.10583021335589499</v>
      </c>
      <c r="BL321" s="133">
        <f t="shared" si="1097"/>
        <v>9.3376552397458581E-2</v>
      </c>
      <c r="BM321" s="133">
        <f t="shared" si="1097"/>
        <v>0.13543727910365722</v>
      </c>
      <c r="BN321" s="133">
        <f t="shared" si="1097"/>
        <v>0.11825164062231105</v>
      </c>
      <c r="BO321" s="133">
        <f t="shared" si="1097"/>
        <v>0.10823534622626735</v>
      </c>
      <c r="BP321" s="133">
        <f t="shared" si="1097"/>
        <v>7.806469643611777E-2</v>
      </c>
      <c r="BQ321" s="133">
        <f t="shared" si="1097"/>
        <v>8.2411057608903562E-2</v>
      </c>
      <c r="BR321" s="133">
        <f t="shared" si="1097"/>
        <v>8.2246897727437221E-2</v>
      </c>
      <c r="BS321" s="133">
        <f t="shared" si="1097"/>
        <v>7.7056302522275535E-2</v>
      </c>
      <c r="BT321" s="133">
        <f t="shared" si="1097"/>
        <v>9.9919668935317979E-2</v>
      </c>
      <c r="BU321" s="133">
        <f t="shared" si="1097"/>
        <v>7.6404342011710216E-2</v>
      </c>
      <c r="BV321" s="133">
        <f t="shared" si="1097"/>
        <v>8.3827694573991057E-2</v>
      </c>
      <c r="BW321" s="133">
        <f t="shared" si="1097"/>
        <v>7.8829224873598364E-2</v>
      </c>
      <c r="BX321" s="133">
        <f t="shared" si="1097"/>
        <v>7.6759637411416448E-2</v>
      </c>
      <c r="BY321" s="133">
        <f t="shared" si="1097"/>
        <v>7.3201128978451394E-2</v>
      </c>
      <c r="BZ321" s="133">
        <f t="shared" si="1097"/>
        <v>7.8582676021803563E-2</v>
      </c>
      <c r="CA321" s="133">
        <f t="shared" si="1097"/>
        <v>7.4830059741878674E-2</v>
      </c>
      <c r="CB321" s="133">
        <f t="shared" si="1097"/>
        <v>7.733092017757405E-2</v>
      </c>
      <c r="CC321" s="133">
        <f t="shared" si="1097"/>
        <v>8.3918548658261247E-2</v>
      </c>
      <c r="CD321" s="133">
        <f t="shared" si="1097"/>
        <v>7.2893661797968759E-2</v>
      </c>
      <c r="CE321" s="133">
        <f t="shared" si="1097"/>
        <v>6.5276091371944747E-2</v>
      </c>
      <c r="CF321" s="133">
        <f t="shared" si="1097"/>
        <v>6.5642852467588511E-2</v>
      </c>
      <c r="CG321" s="133">
        <f t="shared" si="1097"/>
        <v>5.3974767233592902E-2</v>
      </c>
      <c r="CH321" s="133">
        <f t="shared" si="1097"/>
        <v>5.9945303440645185E-2</v>
      </c>
      <c r="CI321" s="133">
        <f t="shared" si="1097"/>
        <v>5.9072061464418013E-2</v>
      </c>
      <c r="CJ321" s="133">
        <f t="shared" si="1097"/>
        <v>6.0319519847590777E-2</v>
      </c>
      <c r="CK321" s="133">
        <f t="shared" si="1097"/>
        <v>5.7027430009251596E-2</v>
      </c>
      <c r="CL321" s="133">
        <f t="shared" si="1097"/>
        <v>6.4197753122924611E-2</v>
      </c>
      <c r="CM321" s="133">
        <f t="shared" si="1097"/>
        <v>5.2323529852334537E-2</v>
      </c>
      <c r="CN321" s="133">
        <f t="shared" si="1097"/>
        <v>6.6979204967357417E-2</v>
      </c>
      <c r="CO321" s="133">
        <f t="shared" si="1097"/>
        <v>6.1738368006200792E-2</v>
      </c>
      <c r="CP321" s="133">
        <f t="shared" si="1097"/>
        <v>5.1788116013378516E-2</v>
      </c>
      <c r="CQ321" s="133">
        <f t="shared" si="1097"/>
        <v>4.9726164220705346E-2</v>
      </c>
      <c r="CR321" s="133">
        <f t="shared" si="1097"/>
        <v>5.9957299682126229E-2</v>
      </c>
      <c r="CS321" s="133">
        <f t="shared" si="1097"/>
        <v>5.3914636736730068E-2</v>
      </c>
      <c r="CT321" s="133">
        <f t="shared" si="1097"/>
        <v>6.0180536157202674E-2</v>
      </c>
      <c r="CU321" s="133">
        <f t="shared" si="1097"/>
        <v>5.9574210259350814E-2</v>
      </c>
      <c r="CV321" s="133">
        <f t="shared" si="1097"/>
        <v>5.9616859735732636E-2</v>
      </c>
      <c r="CW321" s="133">
        <f t="shared" si="1097"/>
        <v>5.8730402755824293E-2</v>
      </c>
      <c r="CX321" s="133">
        <f t="shared" si="1097"/>
        <v>6.2327562083848972E-2</v>
      </c>
      <c r="CY321" s="133">
        <f t="shared" si="1097"/>
        <v>5.6975757049452687E-2</v>
      </c>
      <c r="CZ321" s="133">
        <f t="shared" si="1097"/>
        <v>5.8596094927310341E-2</v>
      </c>
      <c r="DA321" s="133">
        <f t="shared" si="1097"/>
        <v>5.8458979928065438E-2</v>
      </c>
      <c r="DB321" s="133">
        <f t="shared" si="1097"/>
        <v>4.7624162554942132E-2</v>
      </c>
      <c r="DC321" s="133">
        <f t="shared" si="1097"/>
        <v>4.4199115524364223E-2</v>
      </c>
      <c r="DD321" s="133">
        <f t="shared" si="1097"/>
        <v>5.1555373414350236E-2</v>
      </c>
      <c r="DE321" s="133">
        <f t="shared" si="1097"/>
        <v>4.7710565905483442E-2</v>
      </c>
      <c r="DF321" s="133">
        <f t="shared" si="1097"/>
        <v>5.334703500638481E-2</v>
      </c>
      <c r="DG321" s="133">
        <f t="shared" si="1097"/>
        <v>5.2809557427031112E-2</v>
      </c>
      <c r="DH321" s="133">
        <f t="shared" si="1097"/>
        <v>5.2847364054469617E-2</v>
      </c>
      <c r="DI321" s="133">
        <f t="shared" si="1097"/>
        <v>5.2061564283339391E-2</v>
      </c>
      <c r="DJ321" s="133">
        <f t="shared" si="1097"/>
        <v>5.5250266093745393E-2</v>
      </c>
      <c r="DK321" s="133">
        <f t="shared" si="1097"/>
        <v>5.0506158633959741E-2</v>
      </c>
      <c r="DL321" s="133">
        <f t="shared" si="1097"/>
        <v>5.1942507111587891E-2</v>
      </c>
      <c r="DM321" s="133">
        <f t="shared" si="1097"/>
        <v>5.1820961523401182E-2</v>
      </c>
      <c r="DN321" s="133">
        <f t="shared" si="1097"/>
        <v>4.221643789167516E-2</v>
      </c>
      <c r="DO321" s="133">
        <f t="shared" si="1097"/>
        <v>3.9180305023708249E-2</v>
      </c>
      <c r="DP321" s="133">
        <f t="shared" si="1097"/>
        <v>4.5701259675025536E-2</v>
      </c>
      <c r="DQ321" s="133">
        <f t="shared" si="1097"/>
        <v>4.2293030139938889E-2</v>
      </c>
      <c r="DR321" s="133">
        <f t="shared" si="1097"/>
        <v>4.7289478055469875E-2</v>
      </c>
      <c r="DS321" s="133">
        <f t="shared" si="1097"/>
        <v>4.6813031066595748E-2</v>
      </c>
      <c r="DT321" s="133">
        <f t="shared" si="1097"/>
        <v>4.684654475069068E-2</v>
      </c>
      <c r="DU321" s="133">
        <f t="shared" si="1097"/>
        <v>4.6149972560157342E-2</v>
      </c>
      <c r="DV321" s="133">
        <f t="shared" ref="DV321:EC321" si="1098">DV318/DV219</f>
        <v>4.8976597212691146E-2</v>
      </c>
      <c r="DW321" s="133">
        <f t="shared" si="1098"/>
        <v>4.4771183255093057E-2</v>
      </c>
      <c r="DX321" s="133">
        <f t="shared" si="1098"/>
        <v>4.6044434332771042E-2</v>
      </c>
      <c r="DY321" s="133">
        <f t="shared" si="1098"/>
        <v>4.5936690248688274E-2</v>
      </c>
      <c r="DZ321" s="133">
        <f t="shared" si="1098"/>
        <v>3.7422760478057343E-2</v>
      </c>
      <c r="EA321" s="133">
        <f t="shared" si="1098"/>
        <v>3.4731380561328545E-2</v>
      </c>
      <c r="EB321" s="133">
        <f t="shared" si="1098"/>
        <v>4.0511880674357799E-2</v>
      </c>
      <c r="EC321" s="133">
        <f t="shared" si="1098"/>
        <v>3.7490655674914164E-2</v>
      </c>
      <c r="ED321" s="113" t="s">
        <v>1</v>
      </c>
    </row>
    <row r="322" spans="1:134" x14ac:dyDescent="0.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115"/>
      <c r="AM322" s="115"/>
      <c r="AN322" s="115"/>
      <c r="AO322" s="115"/>
      <c r="AP322" s="115"/>
      <c r="AQ322" s="115"/>
      <c r="AR322" s="115"/>
      <c r="AS322" s="115"/>
      <c r="AT322" s="115"/>
      <c r="AU322" s="115"/>
      <c r="AV322" s="115"/>
      <c r="AW322" s="115"/>
      <c r="AX322" s="115"/>
      <c r="AY322" s="115"/>
      <c r="AZ322" s="115"/>
      <c r="BA322" s="115"/>
      <c r="BB322" s="115"/>
      <c r="BC322" s="115"/>
      <c r="BD322" s="115"/>
      <c r="BE322" s="115"/>
      <c r="BF322" s="115"/>
      <c r="BG322" s="115"/>
      <c r="BH322" s="115"/>
      <c r="BI322" s="115"/>
      <c r="BJ322" s="115"/>
      <c r="BK322" s="115"/>
      <c r="BL322" s="115"/>
      <c r="BM322" s="115"/>
      <c r="BN322" s="115"/>
      <c r="BO322" s="115"/>
      <c r="BP322" s="115"/>
      <c r="BQ322" s="115"/>
      <c r="BR322" s="115"/>
      <c r="BS322" s="115"/>
      <c r="BT322" s="115"/>
      <c r="BU322" s="115"/>
      <c r="BV322" s="115"/>
      <c r="BW322" s="115"/>
      <c r="BX322" s="115"/>
      <c r="BY322" s="115"/>
      <c r="BZ322" s="115"/>
      <c r="CA322" s="115"/>
      <c r="CB322" s="115"/>
      <c r="CC322" s="115"/>
      <c r="CD322" s="115"/>
      <c r="CE322" s="115"/>
      <c r="CF322" s="115"/>
      <c r="CG322" s="115"/>
      <c r="CH322" s="115"/>
      <c r="CI322" s="115"/>
      <c r="CJ322" s="115"/>
      <c r="CK322" s="115"/>
      <c r="CL322" s="115"/>
      <c r="CM322" s="115"/>
      <c r="CN322" s="115"/>
      <c r="CO322" s="115"/>
      <c r="CP322" s="115"/>
      <c r="CQ322" s="115"/>
      <c r="CR322" s="115"/>
      <c r="CS322" s="115"/>
      <c r="CT322" s="115"/>
      <c r="CU322" s="115"/>
      <c r="CV322" s="115"/>
      <c r="CW322" s="115"/>
      <c r="CX322" s="115"/>
      <c r="CY322" s="115"/>
      <c r="CZ322" s="115"/>
      <c r="DA322" s="115"/>
      <c r="DB322" s="115"/>
      <c r="DC322" s="115"/>
      <c r="DD322" s="115"/>
      <c r="DE322" s="115"/>
      <c r="DF322" s="115"/>
      <c r="DG322" s="115"/>
      <c r="DH322" s="115"/>
      <c r="DI322" s="115"/>
      <c r="DJ322" s="115"/>
      <c r="DK322" s="115"/>
      <c r="DL322" s="115"/>
      <c r="DM322" s="115"/>
      <c r="DN322" s="115"/>
      <c r="DO322" s="115"/>
      <c r="DP322" s="115"/>
      <c r="DQ322" s="115"/>
      <c r="DR322" s="115"/>
      <c r="DS322" s="115"/>
      <c r="DT322" s="115"/>
      <c r="DU322" s="115"/>
      <c r="DV322" s="115"/>
      <c r="DW322" s="115"/>
      <c r="DX322" s="115"/>
      <c r="DY322" s="115"/>
      <c r="DZ322" s="115"/>
      <c r="EA322" s="115"/>
      <c r="EB322" s="115"/>
      <c r="EC322" s="645"/>
      <c r="ED322" s="113" t="s">
        <v>1</v>
      </c>
    </row>
    <row r="323" spans="1:134" x14ac:dyDescent="0.2">
      <c r="A323" s="698" t="s">
        <v>187</v>
      </c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115"/>
      <c r="AT323" s="115"/>
      <c r="AU323" s="115"/>
      <c r="AV323" s="115"/>
      <c r="AW323" s="115"/>
      <c r="AX323" s="115"/>
      <c r="AY323" s="115"/>
      <c r="AZ323" s="115"/>
      <c r="BA323" s="115"/>
      <c r="BB323" s="115"/>
      <c r="BC323" s="115"/>
      <c r="BD323" s="115"/>
      <c r="BE323" s="115"/>
      <c r="BF323" s="115"/>
      <c r="BG323" s="115"/>
      <c r="BH323" s="115"/>
      <c r="BI323" s="115"/>
      <c r="BJ323" s="115"/>
      <c r="BK323" s="115"/>
      <c r="BL323" s="115"/>
      <c r="BM323" s="115"/>
      <c r="BN323" s="115"/>
      <c r="BO323" s="115"/>
      <c r="BP323" s="115"/>
      <c r="BQ323" s="115"/>
      <c r="BR323" s="115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115"/>
      <c r="CD323" s="115"/>
      <c r="CE323" s="115"/>
      <c r="CF323" s="115"/>
      <c r="CG323" s="115"/>
      <c r="CH323" s="115"/>
      <c r="CI323" s="115"/>
      <c r="CJ323" s="115"/>
      <c r="CK323" s="115"/>
      <c r="CL323" s="115"/>
      <c r="CM323" s="115"/>
      <c r="CN323" s="115"/>
      <c r="CO323" s="115"/>
      <c r="CP323" s="115"/>
      <c r="CQ323" s="115"/>
      <c r="CR323" s="115"/>
      <c r="CS323" s="115"/>
      <c r="CT323" s="701">
        <v>0.05</v>
      </c>
      <c r="CU323" s="115"/>
      <c r="CV323" s="115"/>
      <c r="CW323" s="115"/>
      <c r="CX323" s="115"/>
      <c r="CY323" s="115"/>
      <c r="CZ323" s="115"/>
      <c r="DA323" s="115"/>
      <c r="DB323" s="115"/>
      <c r="DC323" s="115"/>
      <c r="DD323" s="115"/>
      <c r="DE323" s="115"/>
      <c r="DF323" s="701">
        <v>0.05</v>
      </c>
      <c r="DG323" s="115"/>
      <c r="DH323" s="115"/>
      <c r="DI323" s="115"/>
      <c r="DJ323" s="115"/>
      <c r="DK323" s="115"/>
      <c r="DL323" s="115"/>
      <c r="DM323" s="115"/>
      <c r="DN323" s="115"/>
      <c r="DO323" s="115"/>
      <c r="DP323" s="115"/>
      <c r="DQ323" s="115"/>
      <c r="DR323" s="701">
        <v>0.05</v>
      </c>
      <c r="DS323" s="115"/>
      <c r="DT323" s="115"/>
      <c r="DU323" s="115"/>
      <c r="DV323" s="115"/>
      <c r="DW323" s="115"/>
      <c r="DX323" s="115"/>
      <c r="DY323" s="115"/>
      <c r="DZ323" s="115"/>
      <c r="EA323" s="115"/>
      <c r="EB323" s="115"/>
      <c r="EC323" s="645"/>
      <c r="ED323" s="113" t="s">
        <v>1</v>
      </c>
    </row>
    <row r="324" spans="1:134" x14ac:dyDescent="0.2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115"/>
      <c r="AM324" s="115"/>
      <c r="AN324" s="115"/>
      <c r="AO324" s="115"/>
      <c r="AP324" s="115"/>
      <c r="AQ324" s="115"/>
      <c r="AR324" s="115"/>
      <c r="AS324" s="115"/>
      <c r="AT324" s="115"/>
      <c r="AU324" s="115"/>
      <c r="AV324" s="115"/>
      <c r="AW324" s="115"/>
      <c r="AX324" s="115"/>
      <c r="AY324" s="115"/>
      <c r="AZ324" s="115"/>
      <c r="BA324" s="115"/>
      <c r="BB324" s="115"/>
      <c r="BC324" s="115"/>
      <c r="BD324" s="115"/>
      <c r="BE324" s="115"/>
      <c r="BF324" s="115"/>
      <c r="BG324" s="115"/>
      <c r="BH324" s="115"/>
      <c r="BI324" s="115"/>
      <c r="BJ324" s="115"/>
      <c r="BK324" s="115"/>
      <c r="BL324" s="115"/>
      <c r="BM324" s="115"/>
      <c r="BN324" s="115"/>
      <c r="BO324" s="115"/>
      <c r="BP324" s="115"/>
      <c r="BQ324" s="115"/>
      <c r="BR324" s="115"/>
      <c r="BS324" s="115"/>
      <c r="BT324" s="115"/>
      <c r="BU324" s="115"/>
      <c r="BV324" s="115"/>
      <c r="BW324" s="115"/>
      <c r="BX324" s="115"/>
      <c r="BY324" s="115"/>
      <c r="BZ324" s="115"/>
      <c r="CA324" s="115"/>
      <c r="CB324" s="115"/>
      <c r="CC324" s="115"/>
      <c r="CD324" s="115"/>
      <c r="CE324" s="115"/>
      <c r="CF324" s="115"/>
      <c r="CG324" s="115"/>
      <c r="CH324" s="115"/>
      <c r="CI324" s="115"/>
      <c r="CJ324" s="115"/>
      <c r="CK324" s="115"/>
      <c r="CL324" s="115"/>
      <c r="CM324" s="115"/>
      <c r="CN324" s="115"/>
      <c r="CO324" s="115"/>
      <c r="CP324" s="115"/>
      <c r="CQ324" s="115"/>
      <c r="CR324" s="115"/>
      <c r="CS324" s="115"/>
      <c r="CT324" s="115"/>
      <c r="CU324" s="115"/>
      <c r="CV324" s="115"/>
      <c r="CW324" s="115"/>
      <c r="CX324" s="115"/>
      <c r="CY324" s="115"/>
      <c r="CZ324" s="115"/>
      <c r="DA324" s="115"/>
      <c r="DB324" s="115"/>
      <c r="DC324" s="115"/>
      <c r="DD324" s="115"/>
      <c r="DE324" s="115"/>
      <c r="DF324" s="115"/>
      <c r="DG324" s="115"/>
      <c r="DH324" s="115"/>
      <c r="DI324" s="115"/>
      <c r="DJ324" s="115"/>
      <c r="DK324" s="115"/>
      <c r="DL324" s="115"/>
      <c r="DM324" s="115"/>
      <c r="DN324" s="115"/>
      <c r="DO324" s="115"/>
      <c r="DP324" s="115"/>
      <c r="DQ324" s="115"/>
      <c r="DR324" s="115"/>
      <c r="DS324" s="115"/>
      <c r="DT324" s="115"/>
      <c r="DU324" s="115"/>
      <c r="DV324" s="115"/>
      <c r="DW324" s="115"/>
      <c r="DX324" s="115"/>
      <c r="DY324" s="115"/>
      <c r="DZ324" s="115"/>
      <c r="EA324" s="115"/>
      <c r="EB324" s="115"/>
      <c r="EC324" s="645"/>
      <c r="ED324" s="113" t="s">
        <v>1</v>
      </c>
    </row>
    <row r="325" spans="1:134" x14ac:dyDescent="0.2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15"/>
      <c r="AM325" s="115"/>
      <c r="AN325" s="115"/>
      <c r="AO325" s="115"/>
      <c r="AP325" s="115"/>
      <c r="AQ325" s="115"/>
      <c r="AR325" s="115"/>
      <c r="AS325" s="115"/>
      <c r="AT325" s="115"/>
      <c r="AU325" s="115"/>
      <c r="AV325" s="115"/>
      <c r="AW325" s="115"/>
      <c r="AX325" s="115"/>
      <c r="AY325" s="115"/>
      <c r="AZ325" s="115"/>
      <c r="BA325" s="115"/>
      <c r="BB325" s="115"/>
      <c r="BC325" s="115"/>
      <c r="BD325" s="115"/>
      <c r="BE325" s="115"/>
      <c r="BF325" s="115"/>
      <c r="BG325" s="115"/>
      <c r="BH325" s="115"/>
      <c r="BI325" s="115"/>
      <c r="BJ325" s="115"/>
      <c r="BK325" s="115"/>
      <c r="BL325" s="115"/>
      <c r="BM325" s="115"/>
      <c r="BN325" s="115"/>
      <c r="BO325" s="115"/>
      <c r="BP325" s="115"/>
      <c r="BQ325" s="115"/>
      <c r="BR325" s="115"/>
      <c r="BS325" s="115"/>
      <c r="BT325" s="115"/>
      <c r="BU325" s="115"/>
      <c r="BV325" s="115"/>
      <c r="BW325" s="115"/>
      <c r="BX325" s="115"/>
      <c r="BY325" s="115"/>
      <c r="BZ325" s="115"/>
      <c r="CA325" s="115"/>
      <c r="CB325" s="115"/>
      <c r="CC325" s="115"/>
      <c r="CD325" s="115"/>
      <c r="CE325" s="115"/>
      <c r="CF325" s="115"/>
      <c r="CG325" s="115"/>
      <c r="CH325" s="115"/>
      <c r="CI325" s="115"/>
      <c r="CJ325" s="115"/>
      <c r="CK325" s="115"/>
      <c r="CL325" s="115"/>
      <c r="CM325" s="115"/>
      <c r="CN325" s="115"/>
      <c r="CO325" s="115"/>
      <c r="CP325" s="115"/>
      <c r="CQ325" s="115"/>
      <c r="CR325" s="115"/>
      <c r="CS325" s="115"/>
      <c r="CT325" s="115"/>
      <c r="CU325" s="115"/>
      <c r="CV325" s="115"/>
      <c r="CW325" s="115"/>
      <c r="CX325" s="115"/>
      <c r="CY325" s="115"/>
      <c r="CZ325" s="115"/>
      <c r="DA325" s="115"/>
      <c r="DB325" s="115"/>
      <c r="DC325" s="115"/>
      <c r="DD325" s="115"/>
      <c r="DE325" s="115"/>
      <c r="DF325" s="115"/>
      <c r="DG325" s="115"/>
      <c r="DH325" s="115"/>
      <c r="DI325" s="115"/>
      <c r="DJ325" s="115"/>
      <c r="DK325" s="115"/>
      <c r="DL325" s="115"/>
      <c r="DM325" s="115"/>
      <c r="DN325" s="115"/>
      <c r="DO325" s="115"/>
      <c r="DP325" s="115"/>
      <c r="DQ325" s="115"/>
      <c r="DR325" s="115"/>
      <c r="DS325" s="115"/>
      <c r="DT325" s="115"/>
      <c r="DU325" s="115"/>
      <c r="DV325" s="115"/>
      <c r="DW325" s="115"/>
      <c r="DX325" s="115"/>
      <c r="DY325" s="115"/>
      <c r="DZ325" s="115"/>
      <c r="EA325" s="115"/>
      <c r="EB325" s="115"/>
      <c r="EC325" s="645"/>
      <c r="ED325" s="113" t="s">
        <v>1</v>
      </c>
    </row>
    <row r="326" spans="1:134" x14ac:dyDescent="0.2">
      <c r="A326" s="717" t="s">
        <v>167</v>
      </c>
      <c r="B326" s="678"/>
      <c r="C326" s="678"/>
      <c r="D326" s="678"/>
      <c r="E326" s="678"/>
      <c r="F326" s="678"/>
      <c r="G326" s="678"/>
      <c r="H326" s="678"/>
      <c r="I326" s="678"/>
      <c r="J326" s="678"/>
      <c r="K326" s="678"/>
      <c r="L326" s="678"/>
      <c r="M326" s="678"/>
      <c r="N326" s="678"/>
      <c r="O326" s="678"/>
      <c r="P326" s="678"/>
      <c r="Q326" s="678"/>
      <c r="R326" s="678"/>
      <c r="S326" s="678"/>
      <c r="T326" s="678"/>
      <c r="U326" s="678"/>
      <c r="V326" s="678"/>
      <c r="W326" s="678"/>
      <c r="X326" s="678"/>
      <c r="Y326" s="678"/>
      <c r="Z326" s="678"/>
      <c r="AA326" s="678"/>
      <c r="AB326" s="678"/>
      <c r="AC326" s="678"/>
      <c r="AD326" s="678"/>
      <c r="AE326" s="678"/>
      <c r="AF326" s="678"/>
      <c r="AG326" s="678"/>
      <c r="AH326" s="678"/>
      <c r="AI326" s="678"/>
      <c r="AJ326" s="678"/>
      <c r="AK326" s="678"/>
      <c r="AL326" s="678"/>
      <c r="AM326" s="678"/>
      <c r="AN326" s="678"/>
      <c r="AO326" s="678"/>
      <c r="AP326" s="678"/>
      <c r="AQ326" s="678"/>
      <c r="AR326" s="678"/>
      <c r="AS326" s="678"/>
      <c r="AT326" s="678"/>
      <c r="AU326" s="678"/>
      <c r="AV326" s="678"/>
      <c r="AW326" s="678"/>
      <c r="AX326" s="678"/>
      <c r="AY326" s="678"/>
      <c r="AZ326" s="678"/>
      <c r="BA326" s="678"/>
      <c r="BB326" s="678"/>
      <c r="BC326" s="678"/>
      <c r="BD326" s="678"/>
      <c r="BE326" s="678"/>
      <c r="BF326" s="678"/>
      <c r="BG326" s="678"/>
      <c r="BH326" s="678"/>
      <c r="BI326" s="678"/>
      <c r="BJ326" s="678"/>
      <c r="BK326" s="678"/>
      <c r="BL326" s="678"/>
      <c r="BM326" s="678"/>
      <c r="BN326" s="678"/>
      <c r="BO326" s="678"/>
      <c r="BP326" s="678"/>
      <c r="BQ326" s="678"/>
      <c r="BR326" s="678"/>
      <c r="BS326" s="678"/>
      <c r="BT326" s="678"/>
      <c r="BU326" s="678"/>
      <c r="BV326" s="678"/>
      <c r="BW326" s="678"/>
      <c r="BX326" s="678"/>
      <c r="BY326" s="678"/>
      <c r="BZ326" s="678"/>
      <c r="CA326" s="678"/>
      <c r="CB326" s="678"/>
      <c r="CC326" s="678"/>
      <c r="CD326" s="678"/>
      <c r="CE326" s="678"/>
      <c r="CF326" s="678"/>
      <c r="CG326" s="678"/>
      <c r="CH326" s="678"/>
      <c r="CI326" s="678"/>
      <c r="CJ326" s="678"/>
      <c r="CK326" s="678"/>
      <c r="CL326" s="678"/>
      <c r="CM326" s="678"/>
      <c r="CN326" s="678"/>
      <c r="CO326" s="678"/>
      <c r="CP326" s="678"/>
      <c r="CQ326" s="678"/>
      <c r="CR326" s="678"/>
      <c r="CS326" s="678"/>
      <c r="CT326" s="678"/>
      <c r="CU326" s="678"/>
      <c r="CV326" s="678"/>
      <c r="CW326" s="678"/>
      <c r="CX326" s="678"/>
      <c r="CY326" s="678"/>
      <c r="CZ326" s="678"/>
      <c r="DA326" s="678"/>
      <c r="DB326" s="678"/>
      <c r="DC326" s="678"/>
      <c r="DD326" s="678"/>
      <c r="DE326" s="678"/>
      <c r="DF326" s="678"/>
      <c r="DG326" s="678"/>
      <c r="DH326" s="678"/>
      <c r="DI326" s="678"/>
      <c r="DJ326" s="678"/>
      <c r="DK326" s="678"/>
      <c r="DL326" s="678"/>
      <c r="DM326" s="678"/>
      <c r="DN326" s="678"/>
      <c r="DO326" s="678"/>
      <c r="DP326" s="678"/>
      <c r="DQ326" s="678"/>
      <c r="DR326" s="681"/>
      <c r="DS326" s="681"/>
      <c r="DT326" s="681"/>
      <c r="DU326" s="681"/>
      <c r="DV326" s="681"/>
      <c r="DW326" s="681"/>
      <c r="DX326" s="681"/>
      <c r="DY326" s="681"/>
      <c r="DZ326" s="681"/>
      <c r="EA326" s="681"/>
      <c r="EB326" s="681"/>
      <c r="EC326" s="718"/>
      <c r="ED326" s="113" t="s">
        <v>1</v>
      </c>
    </row>
    <row r="327" spans="1:134" s="331" customFormat="1" x14ac:dyDescent="0.2">
      <c r="A327" s="330" t="s">
        <v>168</v>
      </c>
      <c r="B327" s="132">
        <v>71270131.644141346</v>
      </c>
      <c r="C327" s="132">
        <v>92247410</v>
      </c>
      <c r="D327" s="132">
        <v>80512562</v>
      </c>
      <c r="E327" s="132">
        <v>66231280</v>
      </c>
      <c r="F327" s="132">
        <v>40103506</v>
      </c>
      <c r="G327" s="132">
        <v>27837941</v>
      </c>
      <c r="H327" s="132">
        <v>33141999</v>
      </c>
      <c r="I327" s="132">
        <v>31956623</v>
      </c>
      <c r="J327" s="132">
        <v>33593105</v>
      </c>
      <c r="K327" s="132">
        <v>34836719</v>
      </c>
      <c r="L327" s="132">
        <v>32068866</v>
      </c>
      <c r="M327" s="132">
        <v>34657352</v>
      </c>
      <c r="N327" s="132">
        <v>33048358</v>
      </c>
      <c r="O327" s="132">
        <v>39205134</v>
      </c>
      <c r="P327" s="132">
        <v>38218846</v>
      </c>
      <c r="Q327" s="132">
        <v>41865167</v>
      </c>
      <c r="R327" s="132">
        <v>43946303</v>
      </c>
      <c r="S327" s="132">
        <v>47552402</v>
      </c>
      <c r="T327" s="132">
        <v>60751537</v>
      </c>
      <c r="U327" s="132">
        <v>47363757</v>
      </c>
      <c r="V327" s="132">
        <v>47939667.745729305</v>
      </c>
      <c r="W327" s="132">
        <v>57555452</v>
      </c>
      <c r="X327" s="132">
        <v>52021865</v>
      </c>
      <c r="Y327" s="132">
        <v>43950013</v>
      </c>
      <c r="Z327" s="132">
        <v>1299063</v>
      </c>
      <c r="AA327" s="132">
        <v>24854297</v>
      </c>
      <c r="AB327" s="132">
        <v>77955180</v>
      </c>
      <c r="AC327" s="132">
        <v>116955847</v>
      </c>
      <c r="AD327" s="132">
        <v>145030466</v>
      </c>
      <c r="AE327" s="132">
        <v>147111137</v>
      </c>
      <c r="AF327" s="132">
        <v>175182084</v>
      </c>
      <c r="AG327" s="132">
        <v>138930600</v>
      </c>
      <c r="AH327" s="132">
        <v>125718110</v>
      </c>
      <c r="AI327" s="132">
        <v>148093328</v>
      </c>
      <c r="AJ327" s="132">
        <v>127905470</v>
      </c>
      <c r="AK327" s="132">
        <v>147564948</v>
      </c>
      <c r="AL327" s="132">
        <v>107723268</v>
      </c>
      <c r="AM327" s="132">
        <v>47966856</v>
      </c>
      <c r="AN327" s="132">
        <v>138659913</v>
      </c>
      <c r="AO327" s="132">
        <v>182022957</v>
      </c>
      <c r="AP327" s="132">
        <v>211585543</v>
      </c>
      <c r="AQ327" s="132">
        <v>230081321</v>
      </c>
      <c r="AR327" s="132">
        <v>319577784</v>
      </c>
      <c r="AS327" s="132">
        <v>215826925</v>
      </c>
      <c r="AT327" s="132">
        <v>234772415</v>
      </c>
      <c r="AU327" s="132">
        <v>259779566</v>
      </c>
      <c r="AV327" s="132">
        <v>225664202</v>
      </c>
      <c r="AW327" s="132">
        <v>302732394</v>
      </c>
      <c r="AX327" s="132">
        <v>262685366</v>
      </c>
      <c r="AY327" s="132">
        <v>247150228</v>
      </c>
      <c r="AZ327" s="132">
        <v>273600413</v>
      </c>
      <c r="BA327" s="132">
        <v>257624651</v>
      </c>
      <c r="BB327" s="132">
        <v>260575667</v>
      </c>
      <c r="BC327" s="132">
        <v>334053466</v>
      </c>
      <c r="BD327" s="132">
        <v>350649447</v>
      </c>
      <c r="BE327" s="132">
        <v>265938887</v>
      </c>
      <c r="BF327" s="132">
        <v>290870377</v>
      </c>
      <c r="BG327" s="132">
        <v>330681913</v>
      </c>
      <c r="BH327" s="132">
        <v>301021717</v>
      </c>
      <c r="BI327" s="132">
        <v>346697577</v>
      </c>
      <c r="BJ327" s="132">
        <v>358323663</v>
      </c>
      <c r="BK327" s="132">
        <v>355490399</v>
      </c>
      <c r="BL327" s="132">
        <v>358300066</v>
      </c>
      <c r="BM327" s="132">
        <v>391053006</v>
      </c>
      <c r="BN327" s="132">
        <v>403553071</v>
      </c>
      <c r="BO327" s="132">
        <v>354056114</v>
      </c>
      <c r="BP327" s="132">
        <v>535096186</v>
      </c>
      <c r="BQ327" s="132">
        <v>419031748</v>
      </c>
      <c r="BR327" s="132">
        <v>417172119</v>
      </c>
      <c r="BS327" s="132">
        <v>494989573</v>
      </c>
      <c r="BT327" s="132">
        <v>424185625</v>
      </c>
      <c r="BU327" s="132">
        <v>423902506</v>
      </c>
      <c r="BV327" s="132">
        <v>400542527</v>
      </c>
      <c r="BW327" s="132">
        <v>465434152</v>
      </c>
      <c r="BX327" s="132">
        <v>424115527</v>
      </c>
      <c r="BY327" s="132">
        <v>516742424</v>
      </c>
      <c r="BZ327" s="132">
        <v>461541464</v>
      </c>
      <c r="CA327" s="132">
        <v>436030374</v>
      </c>
      <c r="CB327" s="132">
        <v>612890852</v>
      </c>
      <c r="CC327" s="132">
        <v>493867798</v>
      </c>
      <c r="CD327" s="132">
        <v>510320215</v>
      </c>
      <c r="CE327" s="132">
        <v>550182363</v>
      </c>
      <c r="CF327" s="132">
        <v>597158559</v>
      </c>
      <c r="CG327" s="132">
        <v>525220211</v>
      </c>
      <c r="CH327" s="132">
        <v>522396489</v>
      </c>
      <c r="CI327" s="132">
        <v>533212781</v>
      </c>
      <c r="CJ327" s="132">
        <v>524900246</v>
      </c>
      <c r="CK327" s="132">
        <v>551603570</v>
      </c>
      <c r="CL327" s="132">
        <v>491825213</v>
      </c>
      <c r="CM327" s="132">
        <v>584148781</v>
      </c>
      <c r="CN327" s="132">
        <v>732417296</v>
      </c>
      <c r="CO327" s="132">
        <v>587050377</v>
      </c>
      <c r="CP327" s="132">
        <v>634712901</v>
      </c>
      <c r="CQ327" s="132">
        <v>656848445</v>
      </c>
      <c r="CR327" s="132">
        <v>588289828</v>
      </c>
      <c r="CS327" s="132">
        <v>762976597</v>
      </c>
      <c r="CT327" s="132">
        <f>SUM(CH327:CS327)/SUM(CH329:CS329)*CT329</f>
        <v>643696810.78576148</v>
      </c>
      <c r="CU327" s="132">
        <f t="shared" ref="CU327:DQ327" si="1099">CT327/CT329*CU329</f>
        <v>701392352.48606777</v>
      </c>
      <c r="CV327" s="132">
        <f t="shared" si="1099"/>
        <v>693099425.07165027</v>
      </c>
      <c r="CW327" s="132">
        <f t="shared" si="1099"/>
        <v>757786410.11744475</v>
      </c>
      <c r="CX327" s="132">
        <f t="shared" si="1099"/>
        <v>707308189.16301954</v>
      </c>
      <c r="CY327" s="132">
        <f t="shared" si="1099"/>
        <v>821666690.16183674</v>
      </c>
      <c r="CZ327" s="132">
        <f t="shared" si="1099"/>
        <v>1015684621.0324786</v>
      </c>
      <c r="DA327" s="132">
        <f t="shared" si="1099"/>
        <v>751827549.17375171</v>
      </c>
      <c r="DB327" s="132">
        <f t="shared" si="1099"/>
        <v>776781623.88380206</v>
      </c>
      <c r="DC327" s="132">
        <f t="shared" si="1099"/>
        <v>814987172.75022411</v>
      </c>
      <c r="DD327" s="132">
        <f t="shared" si="1099"/>
        <v>698778628.2815237</v>
      </c>
      <c r="DE327" s="132">
        <f t="shared" si="1099"/>
        <v>848858026.74244344</v>
      </c>
      <c r="DF327" s="132">
        <f t="shared" si="1099"/>
        <v>772436172.94291401</v>
      </c>
      <c r="DG327" s="132">
        <f t="shared" si="1099"/>
        <v>841670822.98328137</v>
      </c>
      <c r="DH327" s="132">
        <f t="shared" si="1099"/>
        <v>831719310.0859803</v>
      </c>
      <c r="DI327" s="132">
        <f t="shared" si="1099"/>
        <v>909343692.14093351</v>
      </c>
      <c r="DJ327" s="132">
        <f t="shared" si="1099"/>
        <v>848769826.99562323</v>
      </c>
      <c r="DK327" s="132">
        <f t="shared" si="1099"/>
        <v>986000028.19420397</v>
      </c>
      <c r="DL327" s="132">
        <f t="shared" si="1099"/>
        <v>1218821545.2389746</v>
      </c>
      <c r="DM327" s="132">
        <f t="shared" si="1099"/>
        <v>902193059.00850189</v>
      </c>
      <c r="DN327" s="132">
        <f t="shared" si="1099"/>
        <v>932137948.66056252</v>
      </c>
      <c r="DO327" s="132">
        <f t="shared" si="1099"/>
        <v>977984607.30026889</v>
      </c>
      <c r="DP327" s="132">
        <f t="shared" si="1099"/>
        <v>838534353.93782854</v>
      </c>
      <c r="DQ327" s="132">
        <f t="shared" si="1099"/>
        <v>1018629632.090932</v>
      </c>
      <c r="DR327" s="132">
        <f t="shared" ref="DR327" si="1100">DQ327/DQ329*DR329</f>
        <v>888301598.8843509</v>
      </c>
      <c r="DS327" s="132">
        <f t="shared" ref="DS327" si="1101">DR327/DR329*DS329</f>
        <v>967921446.43077362</v>
      </c>
      <c r="DT327" s="132">
        <f t="shared" ref="DT327" si="1102">DS327/DS329*DT329</f>
        <v>956477206.59887731</v>
      </c>
      <c r="DU327" s="132">
        <f t="shared" ref="DU327" si="1103">DT327/DT329*DU329</f>
        <v>1045745245.9620737</v>
      </c>
      <c r="DV327" s="132">
        <f t="shared" ref="DV327" si="1104">DU327/DU329*DV329</f>
        <v>976085301.04496682</v>
      </c>
      <c r="DW327" s="132">
        <f t="shared" ref="DW327" si="1105">DV327/DV329*DW329</f>
        <v>1133900032.4233346</v>
      </c>
      <c r="DX327" s="132">
        <f t="shared" ref="DX327" si="1106">DW327/DW329*DX329</f>
        <v>1401644777.0248208</v>
      </c>
      <c r="DY327" s="132">
        <f t="shared" ref="DY327" si="1107">DX327/DX329*DY329</f>
        <v>1037522017.8597772</v>
      </c>
      <c r="DZ327" s="132">
        <f t="shared" ref="DZ327" si="1108">DY327/DY329*DZ329</f>
        <v>1071958640.9596469</v>
      </c>
      <c r="EA327" s="132">
        <f t="shared" ref="EA327" si="1109">DZ327/DZ329*EA329</f>
        <v>1124682298.3953092</v>
      </c>
      <c r="EB327" s="132">
        <f t="shared" ref="EB327" si="1110">EA327/EA329*EB329</f>
        <v>964314507.02850282</v>
      </c>
      <c r="EC327" s="132">
        <f t="shared" ref="EC327" si="1111">EB327/EB329*EC329</f>
        <v>1171424076.904572</v>
      </c>
      <c r="ED327" s="113" t="s">
        <v>1</v>
      </c>
    </row>
    <row r="328" spans="1:134" x14ac:dyDescent="0.2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115"/>
      <c r="AM328" s="115"/>
      <c r="AN328" s="115"/>
      <c r="AO328" s="115"/>
      <c r="AP328" s="115"/>
      <c r="AQ328" s="115"/>
      <c r="AR328" s="115"/>
      <c r="AS328" s="115"/>
      <c r="AT328" s="115"/>
      <c r="AU328" s="115"/>
      <c r="AV328" s="115"/>
      <c r="AW328" s="115"/>
      <c r="AX328" s="115"/>
      <c r="AY328" s="115"/>
      <c r="AZ328" s="115"/>
      <c r="BA328" s="115"/>
      <c r="BB328" s="115"/>
      <c r="BC328" s="115"/>
      <c r="BD328" s="115"/>
      <c r="BE328" s="115"/>
      <c r="BF328" s="115"/>
      <c r="BG328" s="115"/>
      <c r="BH328" s="115"/>
      <c r="BI328" s="115"/>
      <c r="BJ328" s="115"/>
      <c r="BK328" s="115"/>
      <c r="BL328" s="115"/>
      <c r="BM328" s="115"/>
      <c r="BN328" s="115"/>
      <c r="BO328" s="115"/>
      <c r="BP328" s="115"/>
      <c r="BQ328" s="115"/>
      <c r="BR328" s="115"/>
      <c r="BS328" s="115"/>
      <c r="BT328" s="115"/>
      <c r="BU328" s="115"/>
      <c r="BV328" s="115"/>
      <c r="BW328" s="115"/>
      <c r="BX328" s="115"/>
      <c r="BY328" s="115"/>
      <c r="BZ328" s="115"/>
      <c r="CA328" s="115"/>
      <c r="CB328" s="115"/>
      <c r="CC328" s="115"/>
      <c r="CD328" s="115"/>
      <c r="CE328" s="115"/>
      <c r="CF328" s="115"/>
      <c r="CG328" s="115"/>
      <c r="CH328" s="115"/>
      <c r="CI328" s="115"/>
      <c r="CJ328" s="115"/>
      <c r="CK328" s="115"/>
      <c r="CL328" s="115"/>
      <c r="CM328" s="115"/>
      <c r="CN328" s="115"/>
      <c r="CO328" s="115"/>
      <c r="CP328" s="115"/>
      <c r="CQ328" s="115"/>
      <c r="CR328" s="115"/>
      <c r="CS328" s="115"/>
      <c r="CT328" s="115"/>
      <c r="CU328" s="115"/>
      <c r="CV328" s="115"/>
      <c r="CW328" s="115"/>
      <c r="CX328" s="115"/>
      <c r="CY328" s="115"/>
      <c r="CZ328" s="115"/>
      <c r="DA328" s="115"/>
      <c r="DB328" s="115"/>
      <c r="DC328" s="115"/>
      <c r="DD328" s="115"/>
      <c r="DE328" s="115"/>
      <c r="DF328" s="115"/>
      <c r="DG328" s="115"/>
      <c r="DH328" s="115"/>
      <c r="DI328" s="115"/>
      <c r="DJ328" s="115"/>
      <c r="DK328" s="115"/>
      <c r="DL328" s="115"/>
      <c r="DM328" s="115"/>
      <c r="DN328" s="115"/>
      <c r="DO328" s="115"/>
      <c r="DP328" s="115"/>
      <c r="DQ328" s="115"/>
      <c r="DR328" s="115"/>
      <c r="DS328" s="115"/>
      <c r="DT328" s="115"/>
      <c r="DU328" s="115"/>
      <c r="DV328" s="115"/>
      <c r="DW328" s="115"/>
      <c r="DX328" s="115"/>
      <c r="DY328" s="115"/>
      <c r="DZ328" s="115"/>
      <c r="EA328" s="115"/>
      <c r="EB328" s="115"/>
      <c r="EC328" s="115"/>
      <c r="ED328" s="113" t="s">
        <v>1</v>
      </c>
    </row>
    <row r="329" spans="1:134" s="331" customFormat="1" x14ac:dyDescent="0.2">
      <c r="A329" s="330" t="s">
        <v>169</v>
      </c>
      <c r="B329" s="132">
        <v>5037141.5199999996</v>
      </c>
      <c r="C329" s="132">
        <v>7483366.4799999995</v>
      </c>
      <c r="D329" s="132">
        <v>6940571.1999999993</v>
      </c>
      <c r="E329" s="132">
        <v>5992624.0999999996</v>
      </c>
      <c r="F329" s="132">
        <v>3592413.2399999998</v>
      </c>
      <c r="G329" s="132">
        <v>2666191.1199999996</v>
      </c>
      <c r="H329" s="132">
        <v>3294731.0999999996</v>
      </c>
      <c r="I329" s="132">
        <v>2948318.5</v>
      </c>
      <c r="J329" s="132">
        <v>3756528.82</v>
      </c>
      <c r="K329" s="132">
        <v>3942207.7199999997</v>
      </c>
      <c r="L329" s="132">
        <v>3494748.1799999997</v>
      </c>
      <c r="M329" s="132">
        <v>3183586.9</v>
      </c>
      <c r="N329" s="132">
        <v>3134571.0003599999</v>
      </c>
      <c r="O329" s="132">
        <v>3522761.0024000001</v>
      </c>
      <c r="P329" s="132">
        <v>3625072</v>
      </c>
      <c r="Q329" s="132">
        <v>4126418.6999999997</v>
      </c>
      <c r="R329" s="132">
        <v>4442845.1399999997</v>
      </c>
      <c r="S329" s="132">
        <v>4465010.26</v>
      </c>
      <c r="T329" s="132">
        <v>5754935.5199999996</v>
      </c>
      <c r="U329" s="132">
        <v>4266889.4399999995</v>
      </c>
      <c r="V329" s="132">
        <v>4431723.6399999997</v>
      </c>
      <c r="W329" s="132">
        <v>5115912.42</v>
      </c>
      <c r="X329" s="132">
        <v>4767477.3</v>
      </c>
      <c r="Y329" s="132">
        <v>3902536.1199999996</v>
      </c>
      <c r="Z329" s="132">
        <v>70048.34</v>
      </c>
      <c r="AA329" s="132">
        <v>2301717.44</v>
      </c>
      <c r="AB329" s="132">
        <v>7162144.5199999996</v>
      </c>
      <c r="AC329" s="132">
        <v>10723278.32</v>
      </c>
      <c r="AD329" s="132">
        <v>14061486.52</v>
      </c>
      <c r="AE329" s="132">
        <v>14792490.619999999</v>
      </c>
      <c r="AF329" s="132">
        <v>18074284.199999999</v>
      </c>
      <c r="AG329" s="132">
        <v>14545867.08</v>
      </c>
      <c r="AH329" s="132">
        <v>12589519.119999999</v>
      </c>
      <c r="AI329" s="132">
        <v>15575773.439999999</v>
      </c>
      <c r="AJ329" s="132">
        <v>13618755.239999998</v>
      </c>
      <c r="AK329" s="132">
        <v>15407885.399999999</v>
      </c>
      <c r="AL329" s="132">
        <v>11347887.719999999</v>
      </c>
      <c r="AM329" s="132">
        <v>5113180.72</v>
      </c>
      <c r="AN329" s="132">
        <v>15730204.76</v>
      </c>
      <c r="AO329" s="132">
        <v>20350553.759999998</v>
      </c>
      <c r="AP329" s="132">
        <v>23513832.859999999</v>
      </c>
      <c r="AQ329" s="132">
        <v>22755332.600000005</v>
      </c>
      <c r="AR329" s="132">
        <v>32204996.599999998</v>
      </c>
      <c r="AS329" s="132">
        <v>20863025.399999999</v>
      </c>
      <c r="AT329" s="132">
        <v>22902468</v>
      </c>
      <c r="AU329" s="132">
        <v>24690158.34</v>
      </c>
      <c r="AV329" s="132">
        <v>22715897.98</v>
      </c>
      <c r="AW329" s="132">
        <v>29537732.859999999</v>
      </c>
      <c r="AX329" s="132">
        <v>26344736.639999997</v>
      </c>
      <c r="AY329" s="132">
        <v>25057708.279999997</v>
      </c>
      <c r="AZ329" s="132">
        <v>27981552.399999999</v>
      </c>
      <c r="BA329" s="132">
        <v>27514383.600000001</v>
      </c>
      <c r="BB329" s="132">
        <v>28644535.699999999</v>
      </c>
      <c r="BC329" s="132">
        <v>35781950.600000001</v>
      </c>
      <c r="BD329" s="132">
        <v>36652303.600000001</v>
      </c>
      <c r="BE329" s="132">
        <v>29292672.199999999</v>
      </c>
      <c r="BF329" s="132">
        <v>33118752.699999999</v>
      </c>
      <c r="BG329" s="132">
        <v>37538967.399999999</v>
      </c>
      <c r="BH329" s="132">
        <v>34811191.799999997</v>
      </c>
      <c r="BI329" s="132">
        <v>39334982.5</v>
      </c>
      <c r="BJ329" s="132">
        <v>43178511.199999996</v>
      </c>
      <c r="BK329" s="132">
        <v>45187280.599999994</v>
      </c>
      <c r="BL329" s="132">
        <v>44856414.600000001</v>
      </c>
      <c r="BM329" s="132">
        <v>48982039.799999997</v>
      </c>
      <c r="BN329" s="132">
        <v>50518089.699999996</v>
      </c>
      <c r="BO329" s="132">
        <v>44960297.300000004</v>
      </c>
      <c r="BP329" s="132">
        <v>66784382</v>
      </c>
      <c r="BQ329" s="132">
        <v>55621871.5</v>
      </c>
      <c r="BR329" s="132">
        <v>51448122.200000003</v>
      </c>
      <c r="BS329" s="132">
        <v>58472463.899999999</v>
      </c>
      <c r="BT329" s="132">
        <v>51764888.200000003</v>
      </c>
      <c r="BU329" s="132">
        <v>52977776.799999997</v>
      </c>
      <c r="BV329" s="132">
        <v>50664829.200000003</v>
      </c>
      <c r="BW329" s="132">
        <v>58635265.799999997</v>
      </c>
      <c r="BX329" s="132">
        <v>54144114.299999997</v>
      </c>
      <c r="BY329" s="132">
        <v>63681462</v>
      </c>
      <c r="BZ329" s="132">
        <v>60089615.899999999</v>
      </c>
      <c r="CA329" s="132">
        <v>57165476.700000003</v>
      </c>
      <c r="CB329" s="132">
        <v>80389169</v>
      </c>
      <c r="CC329" s="132">
        <v>61787164.100000001</v>
      </c>
      <c r="CD329" s="132">
        <v>63288101.100000001</v>
      </c>
      <c r="CE329" s="132">
        <v>68244290.200000003</v>
      </c>
      <c r="CF329" s="132">
        <v>68161695.099999994</v>
      </c>
      <c r="CG329" s="132">
        <v>66744770.899999999</v>
      </c>
      <c r="CH329" s="132">
        <v>67297281.599999994</v>
      </c>
      <c r="CI329" s="132">
        <v>71162635.299999997</v>
      </c>
      <c r="CJ329" s="132">
        <v>70151011.299999997</v>
      </c>
      <c r="CK329" s="132">
        <v>74141842.400000006</v>
      </c>
      <c r="CL329" s="132">
        <v>68520557.900000006</v>
      </c>
      <c r="CM329" s="132">
        <v>82727019.400000006</v>
      </c>
      <c r="CN329" s="132">
        <v>104441401</v>
      </c>
      <c r="CO329" s="132">
        <v>80810639</v>
      </c>
      <c r="CP329" s="132">
        <v>84431312.5</v>
      </c>
      <c r="CQ329" s="132">
        <v>88183692</v>
      </c>
      <c r="CR329" s="132">
        <v>77328942.5</v>
      </c>
      <c r="CS329" s="132">
        <v>97862297</v>
      </c>
      <c r="CT329" s="132">
        <f>CT330+CT333</f>
        <v>86814414.030677676</v>
      </c>
      <c r="CU329" s="132">
        <f t="shared" ref="CU329:DQ329" si="1112">CU330+CU333</f>
        <v>94595724.363379747</v>
      </c>
      <c r="CV329" s="132">
        <f t="shared" si="1112"/>
        <v>93477269.802135661</v>
      </c>
      <c r="CW329" s="132">
        <f t="shared" si="1112"/>
        <v>102201505.51072444</v>
      </c>
      <c r="CX329" s="132">
        <f t="shared" si="1112"/>
        <v>95393584.296822354</v>
      </c>
      <c r="CY329" s="132">
        <f t="shared" si="1112"/>
        <v>110816942.13748014</v>
      </c>
      <c r="CZ329" s="132">
        <f t="shared" si="1112"/>
        <v>136983846.6455487</v>
      </c>
      <c r="DA329" s="132">
        <f t="shared" si="1112"/>
        <v>101397842.95958407</v>
      </c>
      <c r="DB329" s="132">
        <f t="shared" si="1112"/>
        <v>104763361.22428742</v>
      </c>
      <c r="DC329" s="132">
        <f t="shared" si="1112"/>
        <v>109916085.73990221</v>
      </c>
      <c r="DD329" s="132">
        <f t="shared" si="1112"/>
        <v>94243215.338240549</v>
      </c>
      <c r="DE329" s="132">
        <f t="shared" si="1112"/>
        <v>114484196.52246724</v>
      </c>
      <c r="DF329" s="132">
        <f t="shared" si="1112"/>
        <v>104177296.83681323</v>
      </c>
      <c r="DG329" s="132">
        <f t="shared" si="1112"/>
        <v>113514869.2360557</v>
      </c>
      <c r="DH329" s="132">
        <f t="shared" si="1112"/>
        <v>112172723.7625628</v>
      </c>
      <c r="DI329" s="132">
        <f t="shared" si="1112"/>
        <v>122641806.61286932</v>
      </c>
      <c r="DJ329" s="132">
        <f t="shared" si="1112"/>
        <v>114472301.15618682</v>
      </c>
      <c r="DK329" s="132">
        <f t="shared" si="1112"/>
        <v>132980330.56497617</v>
      </c>
      <c r="DL329" s="132">
        <f t="shared" si="1112"/>
        <v>164380615.97465849</v>
      </c>
      <c r="DM329" s="132">
        <f t="shared" si="1112"/>
        <v>121677411.55150087</v>
      </c>
      <c r="DN329" s="132">
        <f t="shared" si="1112"/>
        <v>125716033.46914491</v>
      </c>
      <c r="DO329" s="132">
        <f t="shared" si="1112"/>
        <v>131899302.88788265</v>
      </c>
      <c r="DP329" s="132">
        <f t="shared" si="1112"/>
        <v>113091858.40588866</v>
      </c>
      <c r="DQ329" s="132">
        <f t="shared" si="1112"/>
        <v>137381035.82696068</v>
      </c>
      <c r="DR329" s="132">
        <f t="shared" ref="DR329:EC329" si="1113">DR330+DR333</f>
        <v>119803891.36233518</v>
      </c>
      <c r="DS329" s="132">
        <f t="shared" si="1113"/>
        <v>130542099.62146404</v>
      </c>
      <c r="DT329" s="132">
        <f t="shared" si="1113"/>
        <v>128998632.3269472</v>
      </c>
      <c r="DU329" s="132">
        <f t="shared" si="1113"/>
        <v>141038077.60479972</v>
      </c>
      <c r="DV329" s="132">
        <f t="shared" si="1113"/>
        <v>131643146.32961483</v>
      </c>
      <c r="DW329" s="132">
        <f t="shared" si="1113"/>
        <v>152927380.14972258</v>
      </c>
      <c r="DX329" s="132">
        <f t="shared" si="1113"/>
        <v>189037708.37085724</v>
      </c>
      <c r="DY329" s="132">
        <f t="shared" si="1113"/>
        <v>139929023.284226</v>
      </c>
      <c r="DZ329" s="132">
        <f t="shared" si="1113"/>
        <v>144573438.48951665</v>
      </c>
      <c r="EA329" s="132">
        <f t="shared" si="1113"/>
        <v>151684198.32106504</v>
      </c>
      <c r="EB329" s="132">
        <f t="shared" si="1113"/>
        <v>130055637.16677196</v>
      </c>
      <c r="EC329" s="132">
        <f t="shared" si="1113"/>
        <v>157988191.2010048</v>
      </c>
      <c r="ED329" s="113" t="s">
        <v>1</v>
      </c>
    </row>
    <row r="330" spans="1:134" x14ac:dyDescent="0.2">
      <c r="A330" s="698" t="s">
        <v>11</v>
      </c>
      <c r="B330" s="704">
        <v>768377.52</v>
      </c>
      <c r="C330" s="704">
        <v>1141530.48</v>
      </c>
      <c r="D330" s="704">
        <v>1058731.2</v>
      </c>
      <c r="E330" s="704">
        <v>914129.1</v>
      </c>
      <c r="F330" s="704">
        <v>547995.24</v>
      </c>
      <c r="G330" s="704">
        <v>406707.12</v>
      </c>
      <c r="H330" s="704">
        <v>502586.1</v>
      </c>
      <c r="I330" s="704">
        <v>449743.5</v>
      </c>
      <c r="J330" s="704">
        <v>573029.81999999995</v>
      </c>
      <c r="K330" s="704">
        <v>601353.72</v>
      </c>
      <c r="L330" s="704">
        <v>533097.17999999993</v>
      </c>
      <c r="M330" s="704">
        <v>485631.89999999997</v>
      </c>
      <c r="N330" s="704">
        <v>478154.89835999999</v>
      </c>
      <c r="O330" s="704">
        <v>537370.32240000006</v>
      </c>
      <c r="P330" s="704">
        <v>552977.08474576275</v>
      </c>
      <c r="Q330" s="704">
        <v>629453.69999999995</v>
      </c>
      <c r="R330" s="704">
        <v>677722.14</v>
      </c>
      <c r="S330" s="704">
        <v>681103.26</v>
      </c>
      <c r="T330" s="704">
        <v>877871.52</v>
      </c>
      <c r="U330" s="704">
        <v>650881.43999999994</v>
      </c>
      <c r="V330" s="704">
        <v>676025.64</v>
      </c>
      <c r="W330" s="704">
        <v>780393.41999999993</v>
      </c>
      <c r="X330" s="704">
        <v>727242.29999999993</v>
      </c>
      <c r="Y330" s="704">
        <v>595302.12</v>
      </c>
      <c r="Z330" s="704">
        <v>10685.34</v>
      </c>
      <c r="AA330" s="704">
        <v>351109.44</v>
      </c>
      <c r="AB330" s="704">
        <v>1092530.52</v>
      </c>
      <c r="AC330" s="704">
        <v>1635754.3199999998</v>
      </c>
      <c r="AD330" s="704">
        <v>2144972.52</v>
      </c>
      <c r="AE330" s="704">
        <v>2256481.62</v>
      </c>
      <c r="AF330" s="704">
        <v>2757094.1999999997</v>
      </c>
      <c r="AG330" s="704">
        <v>2218861.08</v>
      </c>
      <c r="AH330" s="704">
        <v>1920435.1199999999</v>
      </c>
      <c r="AI330" s="704">
        <v>2375965.44</v>
      </c>
      <c r="AJ330" s="704">
        <v>2077437.24</v>
      </c>
      <c r="AK330" s="704">
        <v>2350355.4</v>
      </c>
      <c r="AL330" s="704">
        <v>1731033.72</v>
      </c>
      <c r="AM330" s="704">
        <v>779976.72</v>
      </c>
      <c r="AN330" s="704">
        <v>2399522.7599999998</v>
      </c>
      <c r="AO330" s="704">
        <v>3104321.76</v>
      </c>
      <c r="AP330" s="704">
        <v>3586855.86</v>
      </c>
      <c r="AQ330" s="704">
        <v>3471152.4305084753</v>
      </c>
      <c r="AR330" s="704">
        <v>4912626.5999999996</v>
      </c>
      <c r="AS330" s="704">
        <v>3182495.4</v>
      </c>
      <c r="AT330" s="704">
        <v>3493596.8135593222</v>
      </c>
      <c r="AU330" s="704">
        <v>3766295.34</v>
      </c>
      <c r="AV330" s="704">
        <v>3465136.98</v>
      </c>
      <c r="AW330" s="704">
        <v>4505755.8599999994</v>
      </c>
      <c r="AX330" s="704">
        <v>4018688.6399999997</v>
      </c>
      <c r="AY330" s="704">
        <v>3822362.28</v>
      </c>
      <c r="AZ330" s="704">
        <v>4268372.3999999994</v>
      </c>
      <c r="BA330" s="704">
        <v>4197109.3627118655</v>
      </c>
      <c r="BB330" s="704">
        <v>4369505.4457627125</v>
      </c>
      <c r="BC330" s="704">
        <v>5458263.6508474573</v>
      </c>
      <c r="BD330" s="704">
        <v>5591029.3627118645</v>
      </c>
      <c r="BE330" s="704">
        <v>4468373.725423729</v>
      </c>
      <c r="BF330" s="704">
        <v>5052013.1237288136</v>
      </c>
      <c r="BG330" s="704">
        <v>5726283.1627118643</v>
      </c>
      <c r="BH330" s="704">
        <v>5310181.8</v>
      </c>
      <c r="BI330" s="704">
        <v>6000251.5677966103</v>
      </c>
      <c r="BJ330" s="704">
        <v>6586552.5559322024</v>
      </c>
      <c r="BK330" s="704">
        <v>6892975.0067796605</v>
      </c>
      <c r="BL330" s="704">
        <v>6842503.9220338985</v>
      </c>
      <c r="BM330" s="704">
        <v>7471836.5796610173</v>
      </c>
      <c r="BN330" s="704">
        <v>7706149.2762711849</v>
      </c>
      <c r="BO330" s="704">
        <v>6858350.4355932213</v>
      </c>
      <c r="BP330" s="704">
        <v>10187448.101694915</v>
      </c>
      <c r="BQ330" s="704">
        <v>8484692.262711864</v>
      </c>
      <c r="BR330" s="704">
        <v>7848018.6406779662</v>
      </c>
      <c r="BS330" s="704">
        <v>8919528.391525425</v>
      </c>
      <c r="BT330" s="704">
        <v>7896338.8779661022</v>
      </c>
      <c r="BU330" s="704">
        <v>8081355.7830508472</v>
      </c>
      <c r="BV330" s="704">
        <v>7728533.2677966114</v>
      </c>
      <c r="BW330" s="704">
        <v>8944362.5796610173</v>
      </c>
      <c r="BX330" s="704">
        <v>8259271.6728813564</v>
      </c>
      <c r="BY330" s="704">
        <v>9714121.3220338989</v>
      </c>
      <c r="BZ330" s="704">
        <v>9166212.594915254</v>
      </c>
      <c r="CA330" s="704">
        <v>8720157.4627118651</v>
      </c>
      <c r="CB330" s="704">
        <v>12262754.593220338</v>
      </c>
      <c r="CC330" s="704">
        <v>9425160.6254237294</v>
      </c>
      <c r="CD330" s="704">
        <v>9654117.1169491541</v>
      </c>
      <c r="CE330" s="704">
        <v>10410145.962711865</v>
      </c>
      <c r="CF330" s="704">
        <v>10397546.71016949</v>
      </c>
      <c r="CG330" s="704">
        <v>10181405.730508475</v>
      </c>
      <c r="CH330" s="704">
        <v>10265687.023728812</v>
      </c>
      <c r="CI330" s="704">
        <v>10855317.249152541</v>
      </c>
      <c r="CJ330" s="704">
        <v>10701001.723728813</v>
      </c>
      <c r="CK330" s="704">
        <v>11309772.569491526</v>
      </c>
      <c r="CL330" s="704">
        <v>10452288.49322034</v>
      </c>
      <c r="CM330" s="704">
        <v>12619375.840677967</v>
      </c>
      <c r="CN330" s="704">
        <v>15931739.135593221</v>
      </c>
      <c r="CO330" s="704">
        <v>12327046.627118643</v>
      </c>
      <c r="CP330" s="704">
        <v>12879352.754237289</v>
      </c>
      <c r="CQ330" s="704">
        <v>13451749.627118643</v>
      </c>
      <c r="CR330" s="704">
        <v>11795940.381355932</v>
      </c>
      <c r="CS330" s="704">
        <v>14928147</v>
      </c>
      <c r="CT330" s="129">
        <f>CT333*18%</f>
        <v>13242876.716544053</v>
      </c>
      <c r="CU330" s="129">
        <f t="shared" ref="CU330:DQ330" si="1114">CU333*18%</f>
        <v>14429856.25882064</v>
      </c>
      <c r="CV330" s="129">
        <f t="shared" si="1114"/>
        <v>14259244.546088491</v>
      </c>
      <c r="CW330" s="129">
        <f t="shared" si="1114"/>
        <v>15590060.16265288</v>
      </c>
      <c r="CX330" s="129">
        <f t="shared" si="1114"/>
        <v>14551563.706294933</v>
      </c>
      <c r="CY330" s="129">
        <f t="shared" si="1114"/>
        <v>16904279.30910714</v>
      </c>
      <c r="CZ330" s="129">
        <f t="shared" si="1114"/>
        <v>20895841.013727769</v>
      </c>
      <c r="DA330" s="129">
        <f t="shared" si="1114"/>
        <v>15467467.570106044</v>
      </c>
      <c r="DB330" s="129">
        <f t="shared" si="1114"/>
        <v>15980851.712179437</v>
      </c>
      <c r="DC330" s="129">
        <f t="shared" si="1114"/>
        <v>16766860.536595251</v>
      </c>
      <c r="DD330" s="129">
        <f t="shared" si="1114"/>
        <v>14376083.695663812</v>
      </c>
      <c r="DE330" s="129">
        <f t="shared" si="1114"/>
        <v>17463690.99495263</v>
      </c>
      <c r="DF330" s="129">
        <f t="shared" si="1114"/>
        <v>15891452.059852865</v>
      </c>
      <c r="DG330" s="129">
        <f t="shared" si="1114"/>
        <v>17315827.510584768</v>
      </c>
      <c r="DH330" s="129">
        <f t="shared" si="1114"/>
        <v>17111093.455306187</v>
      </c>
      <c r="DI330" s="129">
        <f t="shared" si="1114"/>
        <v>18708072.195183456</v>
      </c>
      <c r="DJ330" s="129">
        <f t="shared" si="1114"/>
        <v>17461876.447553921</v>
      </c>
      <c r="DK330" s="129">
        <f t="shared" si="1114"/>
        <v>20285135.170928568</v>
      </c>
      <c r="DL330" s="129">
        <f t="shared" si="1114"/>
        <v>25075009.216473326</v>
      </c>
      <c r="DM330" s="129">
        <f t="shared" si="1114"/>
        <v>18560961.084127251</v>
      </c>
      <c r="DN330" s="129">
        <f t="shared" si="1114"/>
        <v>19177022.054615326</v>
      </c>
      <c r="DO330" s="129">
        <f t="shared" si="1114"/>
        <v>20120232.643914301</v>
      </c>
      <c r="DP330" s="129">
        <f t="shared" si="1114"/>
        <v>17251300.434796575</v>
      </c>
      <c r="DQ330" s="129">
        <f t="shared" si="1114"/>
        <v>20956429.193943158</v>
      </c>
      <c r="DR330" s="129">
        <f t="shared" ref="DR330:EC330" si="1115">DR333*18%</f>
        <v>18275169.868830789</v>
      </c>
      <c r="DS330" s="129">
        <f t="shared" si="1115"/>
        <v>19913201.637172483</v>
      </c>
      <c r="DT330" s="129">
        <f t="shared" si="1115"/>
        <v>19677757.473602112</v>
      </c>
      <c r="DU330" s="129">
        <f t="shared" si="1115"/>
        <v>21514283.024460975</v>
      </c>
      <c r="DV330" s="129">
        <f t="shared" si="1115"/>
        <v>20081157.914687008</v>
      </c>
      <c r="DW330" s="129">
        <f t="shared" si="1115"/>
        <v>23327905.446567848</v>
      </c>
      <c r="DX330" s="129">
        <f t="shared" si="1115"/>
        <v>28836260.598944321</v>
      </c>
      <c r="DY330" s="129">
        <f t="shared" si="1115"/>
        <v>21345105.246746339</v>
      </c>
      <c r="DZ330" s="129">
        <f t="shared" si="1115"/>
        <v>22053575.36280762</v>
      </c>
      <c r="EA330" s="129">
        <f t="shared" si="1115"/>
        <v>23138267.540501446</v>
      </c>
      <c r="EB330" s="129">
        <f t="shared" si="1115"/>
        <v>19838995.50001606</v>
      </c>
      <c r="EC330" s="129">
        <f t="shared" si="1115"/>
        <v>24099893.573034629</v>
      </c>
      <c r="ED330" s="113" t="s">
        <v>1</v>
      </c>
    </row>
    <row r="331" spans="1:134" x14ac:dyDescent="0.2">
      <c r="A331" s="713" t="s">
        <v>173</v>
      </c>
      <c r="B331" s="133">
        <f t="shared" ref="B331:BM331" si="1116">B330/B329</f>
        <v>0.15254237288135594</v>
      </c>
      <c r="C331" s="133">
        <f t="shared" si="1116"/>
        <v>0.15254237288135594</v>
      </c>
      <c r="D331" s="133">
        <f t="shared" si="1116"/>
        <v>0.15254237288135594</v>
      </c>
      <c r="E331" s="133">
        <f t="shared" si="1116"/>
        <v>0.15254237288135594</v>
      </c>
      <c r="F331" s="133">
        <f t="shared" si="1116"/>
        <v>0.15254237288135594</v>
      </c>
      <c r="G331" s="133">
        <f t="shared" si="1116"/>
        <v>0.15254237288135594</v>
      </c>
      <c r="H331" s="133">
        <f t="shared" si="1116"/>
        <v>0.15254237288135594</v>
      </c>
      <c r="I331" s="133">
        <f t="shared" si="1116"/>
        <v>0.15254237288135594</v>
      </c>
      <c r="J331" s="133">
        <f t="shared" si="1116"/>
        <v>0.15254237288135591</v>
      </c>
      <c r="K331" s="133">
        <f t="shared" si="1116"/>
        <v>0.15254237288135594</v>
      </c>
      <c r="L331" s="133">
        <f t="shared" si="1116"/>
        <v>0.15254237288135591</v>
      </c>
      <c r="M331" s="133">
        <f t="shared" si="1116"/>
        <v>0.15254237288135591</v>
      </c>
      <c r="N331" s="133">
        <f t="shared" si="1116"/>
        <v>0.15254237288135594</v>
      </c>
      <c r="O331" s="133">
        <f t="shared" si="1116"/>
        <v>0.15254237288135594</v>
      </c>
      <c r="P331" s="133">
        <f t="shared" si="1116"/>
        <v>0.15254237288135594</v>
      </c>
      <c r="Q331" s="133">
        <f t="shared" si="1116"/>
        <v>0.15254237288135594</v>
      </c>
      <c r="R331" s="133">
        <f t="shared" si="1116"/>
        <v>0.15254237288135594</v>
      </c>
      <c r="S331" s="133">
        <f t="shared" si="1116"/>
        <v>0.15254237288135594</v>
      </c>
      <c r="T331" s="133">
        <f t="shared" si="1116"/>
        <v>0.15254237288135594</v>
      </c>
      <c r="U331" s="133">
        <f t="shared" si="1116"/>
        <v>0.15254237288135594</v>
      </c>
      <c r="V331" s="133">
        <f t="shared" si="1116"/>
        <v>0.15254237288135594</v>
      </c>
      <c r="W331" s="133">
        <f t="shared" si="1116"/>
        <v>0.15254237288135591</v>
      </c>
      <c r="X331" s="133">
        <f t="shared" si="1116"/>
        <v>0.15254237288135591</v>
      </c>
      <c r="Y331" s="133">
        <f t="shared" si="1116"/>
        <v>0.15254237288135594</v>
      </c>
      <c r="Z331" s="133">
        <f t="shared" si="1116"/>
        <v>0.15254237288135594</v>
      </c>
      <c r="AA331" s="133">
        <f t="shared" si="1116"/>
        <v>0.15254237288135594</v>
      </c>
      <c r="AB331" s="133">
        <f t="shared" si="1116"/>
        <v>0.15254237288135594</v>
      </c>
      <c r="AC331" s="133">
        <f t="shared" si="1116"/>
        <v>0.15254237288135591</v>
      </c>
      <c r="AD331" s="133">
        <f t="shared" si="1116"/>
        <v>0.15254237288135594</v>
      </c>
      <c r="AE331" s="133">
        <f t="shared" si="1116"/>
        <v>0.15254237288135594</v>
      </c>
      <c r="AF331" s="133">
        <f t="shared" si="1116"/>
        <v>0.15254237288135591</v>
      </c>
      <c r="AG331" s="133">
        <f t="shared" si="1116"/>
        <v>0.15254237288135594</v>
      </c>
      <c r="AH331" s="133">
        <f t="shared" si="1116"/>
        <v>0.15254237288135594</v>
      </c>
      <c r="AI331" s="133">
        <f t="shared" si="1116"/>
        <v>0.15254237288135594</v>
      </c>
      <c r="AJ331" s="133">
        <f t="shared" si="1116"/>
        <v>0.15254237288135594</v>
      </c>
      <c r="AK331" s="133">
        <f t="shared" si="1116"/>
        <v>0.15254237288135594</v>
      </c>
      <c r="AL331" s="133">
        <f t="shared" si="1116"/>
        <v>0.15254237288135594</v>
      </c>
      <c r="AM331" s="133">
        <f t="shared" si="1116"/>
        <v>0.15254237288135594</v>
      </c>
      <c r="AN331" s="133">
        <f t="shared" si="1116"/>
        <v>0.15254237288135591</v>
      </c>
      <c r="AO331" s="133">
        <f t="shared" si="1116"/>
        <v>0.15254237288135594</v>
      </c>
      <c r="AP331" s="133">
        <f t="shared" si="1116"/>
        <v>0.15254237288135594</v>
      </c>
      <c r="AQ331" s="133">
        <f t="shared" si="1116"/>
        <v>0.15254237288135594</v>
      </c>
      <c r="AR331" s="133">
        <f t="shared" si="1116"/>
        <v>0.15254237288135594</v>
      </c>
      <c r="AS331" s="133">
        <f t="shared" si="1116"/>
        <v>0.15254237288135594</v>
      </c>
      <c r="AT331" s="133">
        <f t="shared" si="1116"/>
        <v>0.15254237288135594</v>
      </c>
      <c r="AU331" s="133">
        <f t="shared" si="1116"/>
        <v>0.15254237288135591</v>
      </c>
      <c r="AV331" s="133">
        <f t="shared" si="1116"/>
        <v>0.15254237288135594</v>
      </c>
      <c r="AW331" s="133">
        <f t="shared" si="1116"/>
        <v>0.15254237288135591</v>
      </c>
      <c r="AX331" s="133">
        <f t="shared" si="1116"/>
        <v>0.15254237288135594</v>
      </c>
      <c r="AY331" s="133">
        <f t="shared" si="1116"/>
        <v>0.15254237288135594</v>
      </c>
      <c r="AZ331" s="133">
        <f t="shared" si="1116"/>
        <v>0.15254237288135591</v>
      </c>
      <c r="BA331" s="133">
        <f t="shared" si="1116"/>
        <v>0.15254237288135597</v>
      </c>
      <c r="BB331" s="133">
        <f t="shared" si="1116"/>
        <v>0.15254237288135597</v>
      </c>
      <c r="BC331" s="133">
        <f t="shared" si="1116"/>
        <v>0.15254237288135591</v>
      </c>
      <c r="BD331" s="133">
        <f t="shared" si="1116"/>
        <v>0.15254237288135594</v>
      </c>
      <c r="BE331" s="133">
        <f t="shared" si="1116"/>
        <v>0.15254237288135594</v>
      </c>
      <c r="BF331" s="133">
        <f t="shared" si="1116"/>
        <v>0.15254237288135594</v>
      </c>
      <c r="BG331" s="133">
        <f t="shared" si="1116"/>
        <v>0.15254237288135594</v>
      </c>
      <c r="BH331" s="133">
        <f t="shared" si="1116"/>
        <v>0.15254237288135594</v>
      </c>
      <c r="BI331" s="133">
        <f t="shared" si="1116"/>
        <v>0.15254237288135594</v>
      </c>
      <c r="BJ331" s="133">
        <f t="shared" si="1116"/>
        <v>0.15254237288135591</v>
      </c>
      <c r="BK331" s="133">
        <f t="shared" si="1116"/>
        <v>0.15254237288135594</v>
      </c>
      <c r="BL331" s="133">
        <f t="shared" si="1116"/>
        <v>0.15254237288135594</v>
      </c>
      <c r="BM331" s="133">
        <f t="shared" si="1116"/>
        <v>0.15254237288135594</v>
      </c>
      <c r="BN331" s="133">
        <f t="shared" ref="BN331:DQ331" si="1117">BN330/BN329</f>
        <v>0.15254237288135591</v>
      </c>
      <c r="BO331" s="133">
        <f t="shared" si="1117"/>
        <v>0.15254237288135594</v>
      </c>
      <c r="BP331" s="133">
        <f t="shared" si="1117"/>
        <v>0.15254237288135594</v>
      </c>
      <c r="BQ331" s="133">
        <f t="shared" si="1117"/>
        <v>0.15254237288135591</v>
      </c>
      <c r="BR331" s="133">
        <f t="shared" si="1117"/>
        <v>0.15254237288135591</v>
      </c>
      <c r="BS331" s="133">
        <f t="shared" si="1117"/>
        <v>0.15254237288135597</v>
      </c>
      <c r="BT331" s="133">
        <f t="shared" si="1117"/>
        <v>0.15254237288135594</v>
      </c>
      <c r="BU331" s="133">
        <f t="shared" si="1117"/>
        <v>0.15254237288135594</v>
      </c>
      <c r="BV331" s="133">
        <f t="shared" si="1117"/>
        <v>0.15254237288135594</v>
      </c>
      <c r="BW331" s="133">
        <f t="shared" si="1117"/>
        <v>0.15254237288135594</v>
      </c>
      <c r="BX331" s="133">
        <f t="shared" si="1117"/>
        <v>0.15254237288135594</v>
      </c>
      <c r="BY331" s="133">
        <f t="shared" si="1117"/>
        <v>0.15254237288135594</v>
      </c>
      <c r="BZ331" s="133">
        <f t="shared" si="1117"/>
        <v>0.15254237288135594</v>
      </c>
      <c r="CA331" s="133">
        <f t="shared" si="1117"/>
        <v>0.15254237288135594</v>
      </c>
      <c r="CB331" s="133">
        <f t="shared" si="1117"/>
        <v>0.15254237288135591</v>
      </c>
      <c r="CC331" s="133">
        <f t="shared" si="1117"/>
        <v>0.15254237288135594</v>
      </c>
      <c r="CD331" s="133">
        <f t="shared" si="1117"/>
        <v>0.15254237288135594</v>
      </c>
      <c r="CE331" s="133">
        <f t="shared" si="1117"/>
        <v>0.15254237288135594</v>
      </c>
      <c r="CF331" s="133">
        <f t="shared" si="1117"/>
        <v>0.15254237288135594</v>
      </c>
      <c r="CG331" s="133">
        <f t="shared" si="1117"/>
        <v>0.15254237288135594</v>
      </c>
      <c r="CH331" s="133">
        <f t="shared" si="1117"/>
        <v>0.15254237288135591</v>
      </c>
      <c r="CI331" s="133">
        <f t="shared" si="1117"/>
        <v>0.15254237288135591</v>
      </c>
      <c r="CJ331" s="133">
        <f t="shared" si="1117"/>
        <v>0.15254237288135594</v>
      </c>
      <c r="CK331" s="133">
        <f t="shared" si="1117"/>
        <v>0.15254237288135594</v>
      </c>
      <c r="CL331" s="133">
        <f t="shared" si="1117"/>
        <v>0.15254237288135594</v>
      </c>
      <c r="CM331" s="133">
        <f t="shared" si="1117"/>
        <v>0.15254237288135594</v>
      </c>
      <c r="CN331" s="133">
        <f t="shared" si="1117"/>
        <v>0.15254237288135594</v>
      </c>
      <c r="CO331" s="133">
        <f t="shared" si="1117"/>
        <v>0.15254237288135591</v>
      </c>
      <c r="CP331" s="133">
        <f t="shared" si="1117"/>
        <v>0.15254237288135594</v>
      </c>
      <c r="CQ331" s="133">
        <f>CQ330/CQ329</f>
        <v>0.15254237288135591</v>
      </c>
      <c r="CR331" s="133">
        <f t="shared" si="1117"/>
        <v>0.15254237288135594</v>
      </c>
      <c r="CS331" s="133">
        <f t="shared" si="1117"/>
        <v>0.15254237288135594</v>
      </c>
      <c r="CT331" s="133">
        <f t="shared" si="1117"/>
        <v>0.15254237288135594</v>
      </c>
      <c r="CU331" s="133">
        <f t="shared" si="1117"/>
        <v>0.15254237288135594</v>
      </c>
      <c r="CV331" s="133">
        <f t="shared" si="1117"/>
        <v>0.15254237288135594</v>
      </c>
      <c r="CW331" s="133">
        <f t="shared" si="1117"/>
        <v>0.15254237288135591</v>
      </c>
      <c r="CX331" s="133">
        <f t="shared" si="1117"/>
        <v>0.15254237288135591</v>
      </c>
      <c r="CY331" s="133">
        <f t="shared" si="1117"/>
        <v>0.15254237288135594</v>
      </c>
      <c r="CZ331" s="133">
        <f t="shared" si="1117"/>
        <v>0.15254237288135594</v>
      </c>
      <c r="DA331" s="133">
        <f t="shared" si="1117"/>
        <v>0.15254237288135591</v>
      </c>
      <c r="DB331" s="133">
        <f t="shared" si="1117"/>
        <v>0.15254237288135594</v>
      </c>
      <c r="DC331" s="133">
        <f t="shared" si="1117"/>
        <v>0.15254237288135591</v>
      </c>
      <c r="DD331" s="133">
        <f t="shared" si="1117"/>
        <v>0.15254237288135591</v>
      </c>
      <c r="DE331" s="133">
        <f t="shared" si="1117"/>
        <v>0.15254237288135594</v>
      </c>
      <c r="DF331" s="133">
        <f t="shared" si="1117"/>
        <v>0.15254237288135591</v>
      </c>
      <c r="DG331" s="133">
        <f t="shared" si="1117"/>
        <v>0.15254237288135594</v>
      </c>
      <c r="DH331" s="133">
        <f t="shared" si="1117"/>
        <v>0.15254237288135591</v>
      </c>
      <c r="DI331" s="133">
        <f t="shared" si="1117"/>
        <v>0.15254237288135594</v>
      </c>
      <c r="DJ331" s="133">
        <f t="shared" si="1117"/>
        <v>0.15254237288135594</v>
      </c>
      <c r="DK331" s="133">
        <f t="shared" si="1117"/>
        <v>0.15254237288135591</v>
      </c>
      <c r="DL331" s="133">
        <f t="shared" si="1117"/>
        <v>0.15254237288135591</v>
      </c>
      <c r="DM331" s="133">
        <f t="shared" si="1117"/>
        <v>0.15254237288135591</v>
      </c>
      <c r="DN331" s="133">
        <f t="shared" si="1117"/>
        <v>0.15254237288135594</v>
      </c>
      <c r="DO331" s="133">
        <f t="shared" si="1117"/>
        <v>0.15254237288135591</v>
      </c>
      <c r="DP331" s="133">
        <f t="shared" si="1117"/>
        <v>0.15254237288135594</v>
      </c>
      <c r="DQ331" s="133">
        <f t="shared" si="1117"/>
        <v>0.15254237288135594</v>
      </c>
      <c r="DR331" s="133">
        <f t="shared" ref="DR331:EC331" si="1118">DR330/DR329</f>
        <v>0.15254237288135591</v>
      </c>
      <c r="DS331" s="133">
        <f t="shared" si="1118"/>
        <v>0.15254237288135594</v>
      </c>
      <c r="DT331" s="133">
        <f t="shared" si="1118"/>
        <v>0.15254237288135591</v>
      </c>
      <c r="DU331" s="133">
        <f t="shared" si="1118"/>
        <v>0.15254237288135594</v>
      </c>
      <c r="DV331" s="133">
        <f t="shared" si="1118"/>
        <v>0.15254237288135591</v>
      </c>
      <c r="DW331" s="133">
        <f t="shared" si="1118"/>
        <v>0.15254237288135591</v>
      </c>
      <c r="DX331" s="133">
        <f t="shared" si="1118"/>
        <v>0.15254237288135591</v>
      </c>
      <c r="DY331" s="133">
        <f t="shared" si="1118"/>
        <v>0.15254237288135594</v>
      </c>
      <c r="DZ331" s="133">
        <f t="shared" si="1118"/>
        <v>0.15254237288135591</v>
      </c>
      <c r="EA331" s="133">
        <f t="shared" si="1118"/>
        <v>0.15254237288135591</v>
      </c>
      <c r="EB331" s="133">
        <f t="shared" si="1118"/>
        <v>0.15254237288135591</v>
      </c>
      <c r="EC331" s="133">
        <f t="shared" si="1118"/>
        <v>0.15254237288135591</v>
      </c>
      <c r="ED331" s="113" t="s">
        <v>1</v>
      </c>
    </row>
    <row r="332" spans="1:134" x14ac:dyDescent="0.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115"/>
      <c r="AM332" s="115"/>
      <c r="AN332" s="115"/>
      <c r="AO332" s="115"/>
      <c r="AP332" s="115"/>
      <c r="AQ332" s="115"/>
      <c r="AR332" s="115"/>
      <c r="AS332" s="115"/>
      <c r="AT332" s="115"/>
      <c r="AU332" s="115"/>
      <c r="AV332" s="115"/>
      <c r="AW332" s="115"/>
      <c r="AX332" s="115"/>
      <c r="AY332" s="115"/>
      <c r="AZ332" s="115"/>
      <c r="BA332" s="115"/>
      <c r="BB332" s="115"/>
      <c r="BC332" s="115"/>
      <c r="BD332" s="115"/>
      <c r="BE332" s="115"/>
      <c r="BF332" s="115"/>
      <c r="BG332" s="115"/>
      <c r="BH332" s="115"/>
      <c r="BI332" s="115"/>
      <c r="BJ332" s="115"/>
      <c r="BK332" s="115"/>
      <c r="BL332" s="115"/>
      <c r="BM332" s="115"/>
      <c r="BN332" s="115"/>
      <c r="BO332" s="115"/>
      <c r="BP332" s="115"/>
      <c r="BQ332" s="115"/>
      <c r="BR332" s="115"/>
      <c r="BS332" s="115"/>
      <c r="BT332" s="115"/>
      <c r="BU332" s="115"/>
      <c r="BV332" s="115"/>
      <c r="BW332" s="115"/>
      <c r="BX332" s="115"/>
      <c r="BY332" s="115"/>
      <c r="BZ332" s="115"/>
      <c r="CA332" s="115"/>
      <c r="CB332" s="115"/>
      <c r="CC332" s="115"/>
      <c r="CD332" s="115"/>
      <c r="CE332" s="115"/>
      <c r="CF332" s="115"/>
      <c r="CG332" s="115"/>
      <c r="CH332" s="115"/>
      <c r="CI332" s="115"/>
      <c r="CJ332" s="115"/>
      <c r="CK332" s="115"/>
      <c r="CL332" s="115"/>
      <c r="CM332" s="115"/>
      <c r="CN332" s="115"/>
      <c r="CO332" s="115"/>
      <c r="CP332" s="115"/>
      <c r="CQ332" s="115"/>
      <c r="CR332" s="115"/>
      <c r="CS332" s="115"/>
      <c r="CT332" s="115"/>
      <c r="CU332" s="115"/>
      <c r="CV332" s="115"/>
      <c r="CW332" s="115"/>
      <c r="CX332" s="115"/>
      <c r="CY332" s="115"/>
      <c r="CZ332" s="115"/>
      <c r="DA332" s="115"/>
      <c r="DB332" s="115"/>
      <c r="DC332" s="115"/>
      <c r="DD332" s="115"/>
      <c r="DE332" s="115"/>
      <c r="DF332" s="115"/>
      <c r="DG332" s="115"/>
      <c r="DH332" s="115"/>
      <c r="DI332" s="115"/>
      <c r="DJ332" s="115"/>
      <c r="DK332" s="115"/>
      <c r="DL332" s="115"/>
      <c r="DM332" s="115"/>
      <c r="DN332" s="115"/>
      <c r="DO332" s="115"/>
      <c r="DP332" s="115"/>
      <c r="DQ332" s="115"/>
      <c r="DR332" s="115"/>
      <c r="DS332" s="115"/>
      <c r="DT332" s="115"/>
      <c r="DU332" s="115"/>
      <c r="DV332" s="115"/>
      <c r="DW332" s="115"/>
      <c r="DX332" s="115"/>
      <c r="DY332" s="115"/>
      <c r="DZ332" s="115"/>
      <c r="EA332" s="115"/>
      <c r="EB332" s="115"/>
      <c r="EC332" s="115"/>
      <c r="ED332" s="113" t="s">
        <v>1</v>
      </c>
    </row>
    <row r="333" spans="1:134" s="331" customFormat="1" x14ac:dyDescent="0.2">
      <c r="A333" s="330" t="s">
        <v>170</v>
      </c>
      <c r="B333" s="132">
        <v>4268764</v>
      </c>
      <c r="C333" s="132">
        <v>6341836</v>
      </c>
      <c r="D333" s="132">
        <v>5881840</v>
      </c>
      <c r="E333" s="132">
        <v>5078495</v>
      </c>
      <c r="F333" s="132">
        <v>3044418</v>
      </c>
      <c r="G333" s="132">
        <v>2259484</v>
      </c>
      <c r="H333" s="132">
        <v>2792145</v>
      </c>
      <c r="I333" s="132">
        <v>2498575</v>
      </c>
      <c r="J333" s="132">
        <v>3183499</v>
      </c>
      <c r="K333" s="132">
        <v>3340854</v>
      </c>
      <c r="L333" s="132">
        <v>2961651</v>
      </c>
      <c r="M333" s="132">
        <v>2697955</v>
      </c>
      <c r="N333" s="132">
        <v>2656416.102</v>
      </c>
      <c r="O333" s="132">
        <v>2985390.68</v>
      </c>
      <c r="P333" s="132">
        <v>3072094.9152542376</v>
      </c>
      <c r="Q333" s="132">
        <v>3496965</v>
      </c>
      <c r="R333" s="132">
        <v>3765123</v>
      </c>
      <c r="S333" s="132">
        <v>3783907</v>
      </c>
      <c r="T333" s="132">
        <v>4877064</v>
      </c>
      <c r="U333" s="132">
        <v>3616008</v>
      </c>
      <c r="V333" s="132">
        <v>3755698</v>
      </c>
      <c r="W333" s="132">
        <v>4335519</v>
      </c>
      <c r="X333" s="132">
        <v>4040235</v>
      </c>
      <c r="Y333" s="132">
        <v>3307234</v>
      </c>
      <c r="Z333" s="132">
        <v>59363</v>
      </c>
      <c r="AA333" s="132">
        <v>1950608</v>
      </c>
      <c r="AB333" s="132">
        <v>6069614</v>
      </c>
      <c r="AC333" s="132">
        <v>9087524</v>
      </c>
      <c r="AD333" s="132">
        <v>11916514</v>
      </c>
      <c r="AE333" s="132">
        <v>12536009</v>
      </c>
      <c r="AF333" s="132">
        <v>15317190</v>
      </c>
      <c r="AG333" s="132">
        <v>12327006</v>
      </c>
      <c r="AH333" s="132">
        <v>10669084</v>
      </c>
      <c r="AI333" s="132">
        <v>13199808</v>
      </c>
      <c r="AJ333" s="132">
        <v>11541318</v>
      </c>
      <c r="AK333" s="132">
        <v>13057530</v>
      </c>
      <c r="AL333" s="132">
        <v>9616854</v>
      </c>
      <c r="AM333" s="132">
        <v>4333204</v>
      </c>
      <c r="AN333" s="132">
        <v>13330682</v>
      </c>
      <c r="AO333" s="132">
        <v>17246232</v>
      </c>
      <c r="AP333" s="132">
        <v>19926977</v>
      </c>
      <c r="AQ333" s="132">
        <v>19284180.169491529</v>
      </c>
      <c r="AR333" s="132">
        <v>27292370</v>
      </c>
      <c r="AS333" s="132">
        <v>17680530</v>
      </c>
      <c r="AT333" s="132">
        <v>19408871.18644068</v>
      </c>
      <c r="AU333" s="132">
        <v>20923863</v>
      </c>
      <c r="AV333" s="132">
        <v>19250761</v>
      </c>
      <c r="AW333" s="132">
        <v>25031977</v>
      </c>
      <c r="AX333" s="132">
        <v>22326048</v>
      </c>
      <c r="AY333" s="132">
        <v>21235346</v>
      </c>
      <c r="AZ333" s="132">
        <v>23713180</v>
      </c>
      <c r="BA333" s="132">
        <v>23317274.237288136</v>
      </c>
      <c r="BB333" s="132">
        <v>24275030.254237287</v>
      </c>
      <c r="BC333" s="132">
        <v>30323686.949152544</v>
      </c>
      <c r="BD333" s="132">
        <v>31061274.237288136</v>
      </c>
      <c r="BE333" s="132">
        <v>24824298.474576272</v>
      </c>
      <c r="BF333" s="132">
        <v>28066739.576271184</v>
      </c>
      <c r="BG333" s="132">
        <v>31812684.237288132</v>
      </c>
      <c r="BH333" s="132">
        <v>29501009.999999996</v>
      </c>
      <c r="BI333" s="132">
        <v>33334730.93220339</v>
      </c>
      <c r="BJ333" s="132">
        <v>36591958.644067794</v>
      </c>
      <c r="BK333" s="132">
        <v>38294305.593220331</v>
      </c>
      <c r="BL333" s="132">
        <v>38013910.677966103</v>
      </c>
      <c r="BM333" s="132">
        <v>41510203.220338978</v>
      </c>
      <c r="BN333" s="132">
        <v>42811940.423728809</v>
      </c>
      <c r="BO333" s="132">
        <v>38101946.864406779</v>
      </c>
      <c r="BP333" s="132">
        <v>56596933.898305088</v>
      </c>
      <c r="BQ333" s="132">
        <v>47137179.237288132</v>
      </c>
      <c r="BR333" s="132">
        <v>43600103.559322037</v>
      </c>
      <c r="BS333" s="132">
        <v>49552935.508474573</v>
      </c>
      <c r="BT333" s="132">
        <v>43868549.322033897</v>
      </c>
      <c r="BU333" s="132">
        <v>44896421.016949147</v>
      </c>
      <c r="BV333" s="132">
        <v>42936295.93220339</v>
      </c>
      <c r="BW333" s="132">
        <v>49690903.220338978</v>
      </c>
      <c r="BX333" s="132">
        <v>45884842.62711864</v>
      </c>
      <c r="BY333" s="132">
        <v>53967340.677966103</v>
      </c>
      <c r="BZ333" s="132">
        <v>50923403.305084743</v>
      </c>
      <c r="CA333" s="132">
        <v>48445319.23728814</v>
      </c>
      <c r="CB333" s="132">
        <v>68126414.406779662</v>
      </c>
      <c r="CC333" s="132">
        <v>52362003.474576272</v>
      </c>
      <c r="CD333" s="132">
        <v>53633983.983050846</v>
      </c>
      <c r="CE333" s="132">
        <v>57834144.23728814</v>
      </c>
      <c r="CF333" s="132">
        <v>57764148.3898305</v>
      </c>
      <c r="CG333" s="132">
        <v>56563365.169491522</v>
      </c>
      <c r="CH333" s="132">
        <v>57031594.576271184</v>
      </c>
      <c r="CI333" s="132">
        <v>60307318.050847456</v>
      </c>
      <c r="CJ333" s="132">
        <v>59450009.576271184</v>
      </c>
      <c r="CK333" s="132">
        <v>62832069.830508478</v>
      </c>
      <c r="CL333" s="132">
        <v>58068269.406779662</v>
      </c>
      <c r="CM333" s="132">
        <v>70107643.559322044</v>
      </c>
      <c r="CN333" s="132">
        <v>88509661.864406779</v>
      </c>
      <c r="CO333" s="132">
        <v>68483592.372881353</v>
      </c>
      <c r="CP333" s="132">
        <v>71551959.745762706</v>
      </c>
      <c r="CQ333" s="132">
        <v>74731942.372881353</v>
      </c>
      <c r="CR333" s="132">
        <v>65533002.118644066</v>
      </c>
      <c r="CS333" s="132">
        <v>82934150</v>
      </c>
      <c r="CT333" s="132">
        <f>CT335*CT337</f>
        <v>73571537.314133629</v>
      </c>
      <c r="CU333" s="132">
        <f t="shared" ref="CU333:DQ333" si="1119">CU335*CU337</f>
        <v>80165868.104559109</v>
      </c>
      <c r="CV333" s="132">
        <f t="shared" si="1119"/>
        <v>79218025.256047174</v>
      </c>
      <c r="CW333" s="132">
        <f t="shared" si="1119"/>
        <v>86611445.34807156</v>
      </c>
      <c r="CX333" s="132">
        <f t="shared" si="1119"/>
        <v>80842020.590527415</v>
      </c>
      <c r="CY333" s="132">
        <f t="shared" si="1119"/>
        <v>93912662.828373</v>
      </c>
      <c r="CZ333" s="132">
        <f t="shared" si="1119"/>
        <v>116088005.63182095</v>
      </c>
      <c r="DA333" s="132">
        <f t="shared" si="1119"/>
        <v>85930375.389478028</v>
      </c>
      <c r="DB333" s="132">
        <f t="shared" si="1119"/>
        <v>88782509.512107983</v>
      </c>
      <c r="DC333" s="132">
        <f t="shared" si="1119"/>
        <v>93149225.203306958</v>
      </c>
      <c r="DD333" s="132">
        <f t="shared" si="1119"/>
        <v>79867131.642576739</v>
      </c>
      <c r="DE333" s="132">
        <f t="shared" si="1119"/>
        <v>97020505.527514607</v>
      </c>
      <c r="DF333" s="132">
        <f t="shared" si="1119"/>
        <v>88285844.776960358</v>
      </c>
      <c r="DG333" s="132">
        <f t="shared" si="1119"/>
        <v>96199041.72547093</v>
      </c>
      <c r="DH333" s="132">
        <f t="shared" si="1119"/>
        <v>95061630.307256609</v>
      </c>
      <c r="DI333" s="132">
        <f t="shared" si="1119"/>
        <v>103933734.41768587</v>
      </c>
      <c r="DJ333" s="132">
        <f t="shared" si="1119"/>
        <v>97010424.708632901</v>
      </c>
      <c r="DK333" s="132">
        <f t="shared" si="1119"/>
        <v>112695195.3940476</v>
      </c>
      <c r="DL333" s="132">
        <f t="shared" si="1119"/>
        <v>139305606.75818515</v>
      </c>
      <c r="DM333" s="132">
        <f t="shared" si="1119"/>
        <v>103116450.46737362</v>
      </c>
      <c r="DN333" s="132">
        <f t="shared" si="1119"/>
        <v>106539011.41452959</v>
      </c>
      <c r="DO333" s="132">
        <f t="shared" si="1119"/>
        <v>111779070.24396835</v>
      </c>
      <c r="DP333" s="132">
        <f t="shared" si="1119"/>
        <v>95840557.97109209</v>
      </c>
      <c r="DQ333" s="132">
        <f t="shared" si="1119"/>
        <v>116424606.63301754</v>
      </c>
      <c r="DR333" s="132">
        <f t="shared" ref="DR333:EC333" si="1120">DR335*DR337</f>
        <v>101528721.49350439</v>
      </c>
      <c r="DS333" s="132">
        <f t="shared" si="1120"/>
        <v>110628897.98429157</v>
      </c>
      <c r="DT333" s="132">
        <f t="shared" si="1120"/>
        <v>109320874.85334508</v>
      </c>
      <c r="DU333" s="132">
        <f t="shared" si="1120"/>
        <v>119523794.58033875</v>
      </c>
      <c r="DV333" s="132">
        <f t="shared" si="1120"/>
        <v>111561988.41492783</v>
      </c>
      <c r="DW333" s="132">
        <f t="shared" si="1120"/>
        <v>129599474.70315471</v>
      </c>
      <c r="DX333" s="132">
        <f t="shared" si="1120"/>
        <v>160201447.7719129</v>
      </c>
      <c r="DY333" s="132">
        <f t="shared" si="1120"/>
        <v>118583918.03747967</v>
      </c>
      <c r="DZ333" s="132">
        <f t="shared" si="1120"/>
        <v>122519863.12670901</v>
      </c>
      <c r="EA333" s="132">
        <f t="shared" si="1120"/>
        <v>128545930.78056359</v>
      </c>
      <c r="EB333" s="132">
        <f t="shared" si="1120"/>
        <v>110216641.6667559</v>
      </c>
      <c r="EC333" s="132">
        <f t="shared" si="1120"/>
        <v>133888297.62797016</v>
      </c>
      <c r="ED333" s="113" t="s">
        <v>1</v>
      </c>
    </row>
    <row r="334" spans="1:134" x14ac:dyDescent="0.2">
      <c r="A334" s="115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  <c r="AG334" s="130"/>
      <c r="AH334" s="130"/>
      <c r="AI334" s="130"/>
      <c r="AJ334" s="130"/>
      <c r="AK334" s="130"/>
      <c r="AL334" s="130"/>
      <c r="AM334" s="130"/>
      <c r="AN334" s="130"/>
      <c r="AO334" s="130"/>
      <c r="AP334" s="130"/>
      <c r="AQ334" s="130"/>
      <c r="AR334" s="130"/>
      <c r="AS334" s="130"/>
      <c r="AT334" s="130"/>
      <c r="AU334" s="130"/>
      <c r="AV334" s="130"/>
      <c r="AW334" s="130"/>
      <c r="AX334" s="130"/>
      <c r="AY334" s="130"/>
      <c r="AZ334" s="130"/>
      <c r="BA334" s="130"/>
      <c r="BB334" s="130"/>
      <c r="BC334" s="130"/>
      <c r="BD334" s="130"/>
      <c r="BE334" s="130"/>
      <c r="BF334" s="130"/>
      <c r="BG334" s="130"/>
      <c r="BH334" s="130"/>
      <c r="BI334" s="130"/>
      <c r="BJ334" s="130"/>
      <c r="BK334" s="130"/>
      <c r="BL334" s="130"/>
      <c r="BM334" s="130"/>
      <c r="BN334" s="130"/>
      <c r="BO334" s="130"/>
      <c r="BP334" s="130"/>
      <c r="BQ334" s="130"/>
      <c r="BR334" s="130"/>
      <c r="BS334" s="130"/>
      <c r="BT334" s="130"/>
      <c r="BU334" s="130"/>
      <c r="BV334" s="130"/>
      <c r="BW334" s="130"/>
      <c r="BX334" s="130"/>
      <c r="BY334" s="130"/>
      <c r="BZ334" s="130"/>
      <c r="CA334" s="130"/>
      <c r="CB334" s="130"/>
      <c r="CC334" s="130"/>
      <c r="CD334" s="130"/>
      <c r="CE334" s="130"/>
      <c r="CF334" s="130"/>
      <c r="CG334" s="130"/>
      <c r="CH334" s="130"/>
      <c r="CI334" s="130"/>
      <c r="CJ334" s="130"/>
      <c r="CK334" s="130"/>
      <c r="CL334" s="130"/>
      <c r="CM334" s="130"/>
      <c r="CN334" s="130"/>
      <c r="CO334" s="130"/>
      <c r="CP334" s="130"/>
      <c r="CQ334" s="130"/>
      <c r="CR334" s="130"/>
      <c r="CS334" s="130"/>
      <c r="CT334" s="130"/>
      <c r="CU334" s="130"/>
      <c r="CV334" s="130"/>
      <c r="CW334" s="130"/>
      <c r="CX334" s="130"/>
      <c r="CY334" s="130"/>
      <c r="CZ334" s="130"/>
      <c r="DA334" s="130"/>
      <c r="DB334" s="130"/>
      <c r="DC334" s="130"/>
      <c r="DD334" s="130"/>
      <c r="DE334" s="130"/>
      <c r="DF334" s="130"/>
      <c r="DG334" s="130"/>
      <c r="DH334" s="130"/>
      <c r="DI334" s="130"/>
      <c r="DJ334" s="130"/>
      <c r="DK334" s="130"/>
      <c r="DL334" s="130"/>
      <c r="DM334" s="130"/>
      <c r="DN334" s="130"/>
      <c r="DO334" s="130"/>
      <c r="DP334" s="130"/>
      <c r="DQ334" s="130"/>
      <c r="DR334" s="130"/>
      <c r="DS334" s="130"/>
      <c r="DT334" s="130"/>
      <c r="DU334" s="130"/>
      <c r="DV334" s="130"/>
      <c r="DW334" s="130"/>
      <c r="DX334" s="130"/>
      <c r="DY334" s="130"/>
      <c r="DZ334" s="130"/>
      <c r="EA334" s="130"/>
      <c r="EB334" s="130"/>
      <c r="EC334" s="130"/>
      <c r="ED334" s="113" t="s">
        <v>1</v>
      </c>
    </row>
    <row r="335" spans="1:134" x14ac:dyDescent="0.2">
      <c r="A335" s="115" t="s">
        <v>171</v>
      </c>
      <c r="B335" s="129">
        <v>12462</v>
      </c>
      <c r="C335" s="129">
        <v>16130</v>
      </c>
      <c r="D335" s="129">
        <v>15564</v>
      </c>
      <c r="E335" s="129">
        <v>13358</v>
      </c>
      <c r="F335" s="129">
        <v>7745</v>
      </c>
      <c r="G335" s="129">
        <v>5065</v>
      </c>
      <c r="H335" s="129">
        <v>6044</v>
      </c>
      <c r="I335" s="129">
        <v>5387</v>
      </c>
      <c r="J335" s="129">
        <v>5895</v>
      </c>
      <c r="K335" s="129">
        <v>6032</v>
      </c>
      <c r="L335" s="129">
        <v>5518</v>
      </c>
      <c r="M335" s="129">
        <v>5797</v>
      </c>
      <c r="N335" s="129">
        <v>5657</v>
      </c>
      <c r="O335" s="129">
        <v>6260</v>
      </c>
      <c r="P335" s="129">
        <v>6234</v>
      </c>
      <c r="Q335" s="129">
        <v>7265</v>
      </c>
      <c r="R335" s="129">
        <v>8260</v>
      </c>
      <c r="S335" s="129">
        <v>8246</v>
      </c>
      <c r="T335" s="129">
        <v>11201</v>
      </c>
      <c r="U335" s="129">
        <v>8107</v>
      </c>
      <c r="V335" s="129">
        <v>8643</v>
      </c>
      <c r="W335" s="129">
        <v>10206</v>
      </c>
      <c r="X335" s="129">
        <v>9270</v>
      </c>
      <c r="Y335" s="129">
        <v>7374</v>
      </c>
      <c r="Z335" s="129">
        <v>95</v>
      </c>
      <c r="AA335" s="129">
        <v>3900</v>
      </c>
      <c r="AB335" s="129">
        <v>12423</v>
      </c>
      <c r="AC335" s="129">
        <v>16894</v>
      </c>
      <c r="AD335" s="129">
        <v>22072</v>
      </c>
      <c r="AE335" s="129">
        <v>23273</v>
      </c>
      <c r="AF335" s="129">
        <v>27669</v>
      </c>
      <c r="AG335" s="129">
        <v>23476</v>
      </c>
      <c r="AH335" s="129">
        <v>20166</v>
      </c>
      <c r="AI335" s="129">
        <v>24581</v>
      </c>
      <c r="AJ335" s="129">
        <v>21836</v>
      </c>
      <c r="AK335" s="129">
        <v>24239</v>
      </c>
      <c r="AL335" s="129">
        <v>18016</v>
      </c>
      <c r="AM335" s="129">
        <v>8266</v>
      </c>
      <c r="AN335" s="129">
        <v>26810</v>
      </c>
      <c r="AO335" s="129">
        <v>33947</v>
      </c>
      <c r="AP335" s="129">
        <v>39124</v>
      </c>
      <c r="AQ335" s="129">
        <v>39601</v>
      </c>
      <c r="AR335" s="129">
        <v>52331</v>
      </c>
      <c r="AS335" s="129">
        <v>34852</v>
      </c>
      <c r="AT335" s="129">
        <v>38477</v>
      </c>
      <c r="AU335" s="129">
        <v>40669</v>
      </c>
      <c r="AV335" s="129">
        <v>37435</v>
      </c>
      <c r="AW335" s="129">
        <v>47022</v>
      </c>
      <c r="AX335" s="129">
        <v>42384</v>
      </c>
      <c r="AY335" s="129">
        <v>41540</v>
      </c>
      <c r="AZ335" s="129">
        <v>47337</v>
      </c>
      <c r="BA335" s="129">
        <v>45196</v>
      </c>
      <c r="BB335" s="129">
        <v>43482</v>
      </c>
      <c r="BC335" s="129">
        <v>51187</v>
      </c>
      <c r="BD335" s="129">
        <v>51956</v>
      </c>
      <c r="BE335" s="129">
        <v>39058</v>
      </c>
      <c r="BF335" s="129">
        <v>41562</v>
      </c>
      <c r="BG335" s="129">
        <v>47563</v>
      </c>
      <c r="BH335" s="129">
        <v>44375</v>
      </c>
      <c r="BI335" s="129">
        <v>50068</v>
      </c>
      <c r="BJ335" s="129">
        <v>54192</v>
      </c>
      <c r="BK335" s="129">
        <v>58147</v>
      </c>
      <c r="BL335" s="129">
        <v>55196</v>
      </c>
      <c r="BM335" s="129">
        <v>57834</v>
      </c>
      <c r="BN335" s="129">
        <v>58192</v>
      </c>
      <c r="BO335" s="129">
        <v>52716</v>
      </c>
      <c r="BP335" s="129">
        <v>76285</v>
      </c>
      <c r="BQ335" s="129">
        <v>61963</v>
      </c>
      <c r="BR335" s="129">
        <v>55860</v>
      </c>
      <c r="BS335" s="129">
        <v>59120</v>
      </c>
      <c r="BT335" s="129">
        <v>53513</v>
      </c>
      <c r="BU335" s="129">
        <v>55133</v>
      </c>
      <c r="BV335" s="129">
        <v>52304</v>
      </c>
      <c r="BW335" s="129">
        <v>59813</v>
      </c>
      <c r="BX335" s="129">
        <v>54260</v>
      </c>
      <c r="BY335" s="129">
        <v>61976</v>
      </c>
      <c r="BZ335" s="129">
        <v>60546</v>
      </c>
      <c r="CA335" s="129">
        <v>56776</v>
      </c>
      <c r="CB335" s="129">
        <v>78506</v>
      </c>
      <c r="CC335" s="129">
        <v>57876</v>
      </c>
      <c r="CD335" s="129">
        <v>58235</v>
      </c>
      <c r="CE335" s="129">
        <v>62843</v>
      </c>
      <c r="CF335" s="129">
        <v>58630</v>
      </c>
      <c r="CG335" s="129">
        <v>59318</v>
      </c>
      <c r="CH335" s="129">
        <v>59845</v>
      </c>
      <c r="CI335" s="129">
        <v>65209</v>
      </c>
      <c r="CJ335" s="129">
        <v>64438</v>
      </c>
      <c r="CK335" s="129">
        <v>70452</v>
      </c>
      <c r="CL335" s="129">
        <v>65759</v>
      </c>
      <c r="CM335" s="129">
        <v>76391</v>
      </c>
      <c r="CN335" s="129">
        <v>94429</v>
      </c>
      <c r="CO335" s="129">
        <v>69898</v>
      </c>
      <c r="CP335" s="129">
        <v>72218</v>
      </c>
      <c r="CQ335" s="129">
        <v>75770</v>
      </c>
      <c r="CR335" s="129">
        <v>64966</v>
      </c>
      <c r="CS335" s="129">
        <v>78919</v>
      </c>
      <c r="CT335" s="129">
        <f>CH335*(1+CT336)</f>
        <v>74806.25</v>
      </c>
      <c r="CU335" s="129">
        <f t="shared" ref="CU335:EC335" si="1121">CI335*(1+CU336)</f>
        <v>81511.25</v>
      </c>
      <c r="CV335" s="129">
        <f t="shared" si="1121"/>
        <v>80547.5</v>
      </c>
      <c r="CW335" s="129">
        <f t="shared" si="1121"/>
        <v>88065</v>
      </c>
      <c r="CX335" s="129">
        <f t="shared" si="1121"/>
        <v>82198.75</v>
      </c>
      <c r="CY335" s="129">
        <f t="shared" si="1121"/>
        <v>95488.75</v>
      </c>
      <c r="CZ335" s="129">
        <f t="shared" si="1121"/>
        <v>118036.25</v>
      </c>
      <c r="DA335" s="129">
        <f t="shared" si="1121"/>
        <v>87372.5</v>
      </c>
      <c r="DB335" s="129">
        <f t="shared" si="1121"/>
        <v>90272.5</v>
      </c>
      <c r="DC335" s="129">
        <f t="shared" si="1121"/>
        <v>94712.5</v>
      </c>
      <c r="DD335" s="129">
        <f t="shared" si="1121"/>
        <v>81207.5</v>
      </c>
      <c r="DE335" s="129">
        <f t="shared" si="1121"/>
        <v>98648.75</v>
      </c>
      <c r="DF335" s="129">
        <f t="shared" si="1121"/>
        <v>89767.5</v>
      </c>
      <c r="DG335" s="129">
        <f t="shared" si="1121"/>
        <v>97813.5</v>
      </c>
      <c r="DH335" s="129">
        <f t="shared" si="1121"/>
        <v>96657</v>
      </c>
      <c r="DI335" s="129">
        <f t="shared" si="1121"/>
        <v>105678</v>
      </c>
      <c r="DJ335" s="129">
        <f t="shared" si="1121"/>
        <v>98638.5</v>
      </c>
      <c r="DK335" s="129">
        <f t="shared" si="1121"/>
        <v>114586.5</v>
      </c>
      <c r="DL335" s="129">
        <f t="shared" si="1121"/>
        <v>141643.5</v>
      </c>
      <c r="DM335" s="129">
        <f t="shared" si="1121"/>
        <v>104847</v>
      </c>
      <c r="DN335" s="129">
        <f t="shared" si="1121"/>
        <v>108327</v>
      </c>
      <c r="DO335" s="129">
        <f t="shared" si="1121"/>
        <v>113655</v>
      </c>
      <c r="DP335" s="129">
        <f t="shared" si="1121"/>
        <v>97449</v>
      </c>
      <c r="DQ335" s="129">
        <f t="shared" si="1121"/>
        <v>118378.5</v>
      </c>
      <c r="DR335" s="129">
        <f t="shared" si="1121"/>
        <v>103232.62499999999</v>
      </c>
      <c r="DS335" s="129">
        <f t="shared" si="1121"/>
        <v>112485.52499999999</v>
      </c>
      <c r="DT335" s="129">
        <f t="shared" si="1121"/>
        <v>111155.54999999999</v>
      </c>
      <c r="DU335" s="129">
        <f t="shared" si="1121"/>
        <v>121529.7</v>
      </c>
      <c r="DV335" s="129">
        <f t="shared" si="1121"/>
        <v>113434.27499999999</v>
      </c>
      <c r="DW335" s="129">
        <f t="shared" si="1121"/>
        <v>131774.47499999998</v>
      </c>
      <c r="DX335" s="129">
        <f t="shared" si="1121"/>
        <v>162890.02499999999</v>
      </c>
      <c r="DY335" s="129">
        <f t="shared" si="1121"/>
        <v>120574.04999999999</v>
      </c>
      <c r="DZ335" s="129">
        <f t="shared" si="1121"/>
        <v>124576.04999999999</v>
      </c>
      <c r="EA335" s="129">
        <f t="shared" si="1121"/>
        <v>130703.24999999999</v>
      </c>
      <c r="EB335" s="129">
        <f t="shared" si="1121"/>
        <v>112066.34999999999</v>
      </c>
      <c r="EC335" s="129">
        <f t="shared" si="1121"/>
        <v>136135.27499999999</v>
      </c>
      <c r="ED335" s="113" t="s">
        <v>1</v>
      </c>
    </row>
    <row r="336" spans="1:134" x14ac:dyDescent="0.2">
      <c r="A336" s="698" t="s">
        <v>175</v>
      </c>
      <c r="B336" s="129"/>
      <c r="C336" s="759">
        <f>C335/B335-1</f>
        <v>0.29433477772428174</v>
      </c>
      <c r="D336" s="759">
        <f t="shared" ref="D336:AL336" si="1122">D335/C335-1</f>
        <v>-3.5089894606323613E-2</v>
      </c>
      <c r="E336" s="759">
        <f t="shared" si="1122"/>
        <v>-0.14173734258545356</v>
      </c>
      <c r="F336" s="759">
        <f t="shared" si="1122"/>
        <v>-0.42019763437640367</v>
      </c>
      <c r="G336" s="759">
        <f t="shared" si="1122"/>
        <v>-0.34602969657843774</v>
      </c>
      <c r="H336" s="759">
        <f t="shared" si="1122"/>
        <v>0.19328726554787767</v>
      </c>
      <c r="I336" s="759">
        <f t="shared" si="1122"/>
        <v>-0.10870284579748513</v>
      </c>
      <c r="J336" s="759">
        <f t="shared" si="1122"/>
        <v>9.430109522925556E-2</v>
      </c>
      <c r="K336" s="759">
        <f t="shared" si="1122"/>
        <v>2.3240033927056869E-2</v>
      </c>
      <c r="L336" s="759">
        <f t="shared" si="1122"/>
        <v>-8.5212201591511882E-2</v>
      </c>
      <c r="M336" s="759">
        <f t="shared" si="1122"/>
        <v>5.0561797752809001E-2</v>
      </c>
      <c r="N336" s="759">
        <f t="shared" si="1122"/>
        <v>-2.4150422632396085E-2</v>
      </c>
      <c r="O336" s="759">
        <f t="shared" si="1122"/>
        <v>0.10659360084850622</v>
      </c>
      <c r="P336" s="759">
        <f t="shared" si="1122"/>
        <v>-4.1533546325878135E-3</v>
      </c>
      <c r="Q336" s="759">
        <f t="shared" si="1122"/>
        <v>0.16538338145652864</v>
      </c>
      <c r="R336" s="759">
        <f t="shared" si="1122"/>
        <v>0.13695801789401241</v>
      </c>
      <c r="S336" s="759">
        <f t="shared" si="1122"/>
        <v>-1.6949152542372614E-3</v>
      </c>
      <c r="T336" s="759">
        <f t="shared" si="1122"/>
        <v>0.35835556633519272</v>
      </c>
      <c r="U336" s="759">
        <f t="shared" si="1122"/>
        <v>-0.27622533702348007</v>
      </c>
      <c r="V336" s="759">
        <f t="shared" si="1122"/>
        <v>6.6115702479338845E-2</v>
      </c>
      <c r="W336" s="759">
        <f t="shared" si="1122"/>
        <v>0.18083998611593199</v>
      </c>
      <c r="X336" s="759">
        <f t="shared" si="1122"/>
        <v>-9.1710758377425039E-2</v>
      </c>
      <c r="Y336" s="759">
        <f t="shared" si="1122"/>
        <v>-0.20453074433656959</v>
      </c>
      <c r="Z336" s="759">
        <f t="shared" si="1122"/>
        <v>-0.98711689720640083</v>
      </c>
      <c r="AA336" s="759">
        <f t="shared" si="1122"/>
        <v>40.05263157894737</v>
      </c>
      <c r="AB336" s="759">
        <f t="shared" si="1122"/>
        <v>2.1853846153846153</v>
      </c>
      <c r="AC336" s="759">
        <f t="shared" si="1122"/>
        <v>0.35989696530628668</v>
      </c>
      <c r="AD336" s="759">
        <f t="shared" si="1122"/>
        <v>0.30649934888125951</v>
      </c>
      <c r="AE336" s="759">
        <f t="shared" si="1122"/>
        <v>5.4412830735773854E-2</v>
      </c>
      <c r="AF336" s="759">
        <f t="shared" si="1122"/>
        <v>0.18888841146392821</v>
      </c>
      <c r="AG336" s="759">
        <f t="shared" si="1122"/>
        <v>-0.15154143626441141</v>
      </c>
      <c r="AH336" s="759">
        <f t="shared" si="1122"/>
        <v>-0.14099505878343843</v>
      </c>
      <c r="AI336" s="759">
        <f t="shared" si="1122"/>
        <v>0.21893285728453837</v>
      </c>
      <c r="AJ336" s="759">
        <f t="shared" si="1122"/>
        <v>-0.11167161628900368</v>
      </c>
      <c r="AK336" s="759">
        <f t="shared" si="1122"/>
        <v>0.11004762777065391</v>
      </c>
      <c r="AL336" s="759">
        <f t="shared" si="1122"/>
        <v>-0.25673501382070218</v>
      </c>
      <c r="AM336" s="759">
        <f>AM335/AL335-1</f>
        <v>-0.54118561278863231</v>
      </c>
      <c r="AN336" s="759">
        <f t="shared" ref="AN336:CS336" si="1123">AN335/AM335-1</f>
        <v>2.243406726348899</v>
      </c>
      <c r="AO336" s="759">
        <f t="shared" si="1123"/>
        <v>0.26620663931368882</v>
      </c>
      <c r="AP336" s="759">
        <f t="shared" si="1123"/>
        <v>0.15250243025893306</v>
      </c>
      <c r="AQ336" s="759">
        <f t="shared" si="1123"/>
        <v>1.2192004907473741E-2</v>
      </c>
      <c r="AR336" s="759">
        <f t="shared" si="1123"/>
        <v>0.32145652887553355</v>
      </c>
      <c r="AS336" s="759">
        <f t="shared" si="1123"/>
        <v>-0.33400852267298542</v>
      </c>
      <c r="AT336" s="759">
        <f t="shared" si="1123"/>
        <v>0.10401124756111568</v>
      </c>
      <c r="AU336" s="759">
        <f t="shared" si="1123"/>
        <v>5.696909842243425E-2</v>
      </c>
      <c r="AV336" s="759">
        <f t="shared" si="1123"/>
        <v>-7.9520027539403459E-2</v>
      </c>
      <c r="AW336" s="759">
        <f t="shared" si="1123"/>
        <v>0.25609723520769334</v>
      </c>
      <c r="AX336" s="759">
        <f t="shared" si="1123"/>
        <v>-9.8634681638382071E-2</v>
      </c>
      <c r="AY336" s="759">
        <f t="shared" si="1123"/>
        <v>-1.9913174782936971E-2</v>
      </c>
      <c r="AZ336" s="759">
        <f t="shared" si="1123"/>
        <v>0.13955223880597023</v>
      </c>
      <c r="BA336" s="759">
        <f t="shared" si="1123"/>
        <v>-4.5228890719733017E-2</v>
      </c>
      <c r="BB336" s="759">
        <f t="shared" si="1123"/>
        <v>-3.7923710062837457E-2</v>
      </c>
      <c r="BC336" s="759">
        <f t="shared" si="1123"/>
        <v>0.17719976082056954</v>
      </c>
      <c r="BD336" s="759">
        <f t="shared" si="1123"/>
        <v>1.5023345771387309E-2</v>
      </c>
      <c r="BE336" s="759">
        <f t="shared" si="1123"/>
        <v>-0.24824851797674952</v>
      </c>
      <c r="BF336" s="759">
        <f t="shared" si="1123"/>
        <v>6.4109785447283629E-2</v>
      </c>
      <c r="BG336" s="759">
        <f t="shared" si="1123"/>
        <v>0.14438669938886473</v>
      </c>
      <c r="BH336" s="759">
        <f t="shared" si="1123"/>
        <v>-6.7026890650295434E-2</v>
      </c>
      <c r="BI336" s="759">
        <f t="shared" si="1123"/>
        <v>0.12829295774647886</v>
      </c>
      <c r="BJ336" s="759">
        <f t="shared" si="1123"/>
        <v>8.236797954781494E-2</v>
      </c>
      <c r="BK336" s="759">
        <f t="shared" si="1123"/>
        <v>7.2981251845290807E-2</v>
      </c>
      <c r="BL336" s="759">
        <f t="shared" si="1123"/>
        <v>-5.0750683612224234E-2</v>
      </c>
      <c r="BM336" s="759">
        <f t="shared" si="1123"/>
        <v>4.7793318356402548E-2</v>
      </c>
      <c r="BN336" s="759">
        <f t="shared" si="1123"/>
        <v>6.1901303731368706E-3</v>
      </c>
      <c r="BO336" s="759">
        <f t="shared" si="1123"/>
        <v>-9.4102282100632428E-2</v>
      </c>
      <c r="BP336" s="759">
        <f t="shared" si="1123"/>
        <v>0.4470938614462403</v>
      </c>
      <c r="BQ336" s="759">
        <f t="shared" si="1123"/>
        <v>-0.1877433309300649</v>
      </c>
      <c r="BR336" s="759">
        <f t="shared" si="1123"/>
        <v>-9.8494262705162705E-2</v>
      </c>
      <c r="BS336" s="759">
        <f t="shared" si="1123"/>
        <v>5.8360186179735152E-2</v>
      </c>
      <c r="BT336" s="759">
        <f t="shared" si="1123"/>
        <v>-9.4841001353179966E-2</v>
      </c>
      <c r="BU336" s="759">
        <f t="shared" si="1123"/>
        <v>3.0273017771382582E-2</v>
      </c>
      <c r="BV336" s="759">
        <f t="shared" si="1123"/>
        <v>-5.1312281210890043E-2</v>
      </c>
      <c r="BW336" s="759">
        <f t="shared" si="1123"/>
        <v>0.14356454573263999</v>
      </c>
      <c r="BX336" s="759">
        <f t="shared" si="1123"/>
        <v>-9.2839349305334995E-2</v>
      </c>
      <c r="BY336" s="759">
        <f t="shared" si="1123"/>
        <v>0.14220420199041661</v>
      </c>
      <c r="BZ336" s="759">
        <f t="shared" si="1123"/>
        <v>-2.3073447786239876E-2</v>
      </c>
      <c r="CA336" s="759">
        <f t="shared" si="1123"/>
        <v>-6.2266706305949215E-2</v>
      </c>
      <c r="CB336" s="759">
        <f t="shared" si="1123"/>
        <v>0.38273214034098912</v>
      </c>
      <c r="CC336" s="759">
        <f t="shared" si="1123"/>
        <v>-0.2627824624869437</v>
      </c>
      <c r="CD336" s="759">
        <f t="shared" si="1123"/>
        <v>6.202916580275053E-3</v>
      </c>
      <c r="CE336" s="759">
        <f t="shared" si="1123"/>
        <v>7.9127672361981594E-2</v>
      </c>
      <c r="CF336" s="759">
        <f t="shared" si="1123"/>
        <v>-6.7040084018904267E-2</v>
      </c>
      <c r="CG336" s="759">
        <f t="shared" si="1123"/>
        <v>1.1734606856558027E-2</v>
      </c>
      <c r="CH336" s="759">
        <f t="shared" si="1123"/>
        <v>8.8843184193667657E-3</v>
      </c>
      <c r="CI336" s="759">
        <f t="shared" si="1123"/>
        <v>8.9631548166095643E-2</v>
      </c>
      <c r="CJ336" s="759">
        <f t="shared" si="1123"/>
        <v>-1.1823521293073069E-2</v>
      </c>
      <c r="CK336" s="759">
        <f t="shared" si="1123"/>
        <v>9.3330022657438061E-2</v>
      </c>
      <c r="CL336" s="759">
        <f t="shared" si="1123"/>
        <v>-6.6612729234088452E-2</v>
      </c>
      <c r="CM336" s="759">
        <f t="shared" si="1123"/>
        <v>0.16168129077388649</v>
      </c>
      <c r="CN336" s="759">
        <f t="shared" si="1123"/>
        <v>0.23612729248209874</v>
      </c>
      <c r="CO336" s="759">
        <f t="shared" si="1123"/>
        <v>-0.25978248207648069</v>
      </c>
      <c r="CP336" s="759">
        <f t="shared" si="1123"/>
        <v>3.3191221494177192E-2</v>
      </c>
      <c r="CQ336" s="759">
        <f t="shared" si="1123"/>
        <v>4.9184413858040843E-2</v>
      </c>
      <c r="CR336" s="759">
        <f t="shared" si="1123"/>
        <v>-0.14258941533588487</v>
      </c>
      <c r="CS336" s="759">
        <f t="shared" si="1123"/>
        <v>0.21477388172274736</v>
      </c>
      <c r="CT336" s="701">
        <v>0.25</v>
      </c>
      <c r="CU336" s="701">
        <f>CT336</f>
        <v>0.25</v>
      </c>
      <c r="CV336" s="701">
        <f t="shared" ref="CV336:EC336" si="1124">CU336</f>
        <v>0.25</v>
      </c>
      <c r="CW336" s="701">
        <f t="shared" si="1124"/>
        <v>0.25</v>
      </c>
      <c r="CX336" s="701">
        <f t="shared" si="1124"/>
        <v>0.25</v>
      </c>
      <c r="CY336" s="701">
        <f t="shared" si="1124"/>
        <v>0.25</v>
      </c>
      <c r="CZ336" s="701">
        <f t="shared" si="1124"/>
        <v>0.25</v>
      </c>
      <c r="DA336" s="701">
        <f t="shared" si="1124"/>
        <v>0.25</v>
      </c>
      <c r="DB336" s="701">
        <f t="shared" si="1124"/>
        <v>0.25</v>
      </c>
      <c r="DC336" s="701">
        <f t="shared" si="1124"/>
        <v>0.25</v>
      </c>
      <c r="DD336" s="701">
        <f t="shared" si="1124"/>
        <v>0.25</v>
      </c>
      <c r="DE336" s="701">
        <f t="shared" si="1124"/>
        <v>0.25</v>
      </c>
      <c r="DF336" s="701">
        <v>0.2</v>
      </c>
      <c r="DG336" s="701">
        <f t="shared" si="1124"/>
        <v>0.2</v>
      </c>
      <c r="DH336" s="701">
        <f t="shared" si="1124"/>
        <v>0.2</v>
      </c>
      <c r="DI336" s="701">
        <f t="shared" si="1124"/>
        <v>0.2</v>
      </c>
      <c r="DJ336" s="701">
        <f t="shared" si="1124"/>
        <v>0.2</v>
      </c>
      <c r="DK336" s="701">
        <f t="shared" si="1124"/>
        <v>0.2</v>
      </c>
      <c r="DL336" s="701">
        <f t="shared" si="1124"/>
        <v>0.2</v>
      </c>
      <c r="DM336" s="701">
        <f t="shared" si="1124"/>
        <v>0.2</v>
      </c>
      <c r="DN336" s="701">
        <f t="shared" si="1124"/>
        <v>0.2</v>
      </c>
      <c r="DO336" s="701">
        <f t="shared" si="1124"/>
        <v>0.2</v>
      </c>
      <c r="DP336" s="701">
        <f t="shared" si="1124"/>
        <v>0.2</v>
      </c>
      <c r="DQ336" s="701">
        <f t="shared" si="1124"/>
        <v>0.2</v>
      </c>
      <c r="DR336" s="701">
        <v>0.15</v>
      </c>
      <c r="DS336" s="701">
        <f t="shared" si="1124"/>
        <v>0.15</v>
      </c>
      <c r="DT336" s="701">
        <f t="shared" si="1124"/>
        <v>0.15</v>
      </c>
      <c r="DU336" s="701">
        <f t="shared" si="1124"/>
        <v>0.15</v>
      </c>
      <c r="DV336" s="701">
        <f t="shared" si="1124"/>
        <v>0.15</v>
      </c>
      <c r="DW336" s="701">
        <f t="shared" si="1124"/>
        <v>0.15</v>
      </c>
      <c r="DX336" s="701">
        <f t="shared" si="1124"/>
        <v>0.15</v>
      </c>
      <c r="DY336" s="701">
        <f t="shared" si="1124"/>
        <v>0.15</v>
      </c>
      <c r="DZ336" s="701">
        <f t="shared" si="1124"/>
        <v>0.15</v>
      </c>
      <c r="EA336" s="701">
        <f t="shared" si="1124"/>
        <v>0.15</v>
      </c>
      <c r="EB336" s="701">
        <f t="shared" si="1124"/>
        <v>0.15</v>
      </c>
      <c r="EC336" s="701">
        <f t="shared" si="1124"/>
        <v>0.15</v>
      </c>
      <c r="ED336" s="113" t="s">
        <v>1</v>
      </c>
    </row>
    <row r="337" spans="1:134" x14ac:dyDescent="0.2">
      <c r="A337" s="115" t="s">
        <v>14</v>
      </c>
      <c r="B337" s="129">
        <v>342.5424490450971</v>
      </c>
      <c r="C337" s="129">
        <v>393.17024178549286</v>
      </c>
      <c r="D337" s="129">
        <v>377.91313287072734</v>
      </c>
      <c r="E337" s="129">
        <v>380.18378499775417</v>
      </c>
      <c r="F337" s="129">
        <v>393.0817301484829</v>
      </c>
      <c r="G337" s="129">
        <v>446.09753208292199</v>
      </c>
      <c r="H337" s="129">
        <v>461.96972203838516</v>
      </c>
      <c r="I337" s="129">
        <v>463.81566734731763</v>
      </c>
      <c r="J337" s="129">
        <v>540.03375742154367</v>
      </c>
      <c r="K337" s="129">
        <v>553.85510610079575</v>
      </c>
      <c r="L337" s="129">
        <v>536.72544400144977</v>
      </c>
      <c r="M337" s="129">
        <v>465.40538209418662</v>
      </c>
      <c r="N337" s="129">
        <v>469.58036096871132</v>
      </c>
      <c r="O337" s="129">
        <v>476.89946964856233</v>
      </c>
      <c r="P337" s="129">
        <v>492.79674611072147</v>
      </c>
      <c r="Q337" s="129">
        <v>481.3441156228493</v>
      </c>
      <c r="R337" s="129">
        <v>455.82602905569007</v>
      </c>
      <c r="S337" s="129">
        <v>458.87788018433179</v>
      </c>
      <c r="T337" s="129">
        <v>435.41326667261853</v>
      </c>
      <c r="U337" s="129">
        <v>446.03527815468112</v>
      </c>
      <c r="V337" s="129">
        <v>434.53638782830035</v>
      </c>
      <c r="W337" s="129">
        <v>424.80099941211051</v>
      </c>
      <c r="X337" s="129">
        <v>435.83980582524271</v>
      </c>
      <c r="Y337" s="129">
        <v>448.49932194195821</v>
      </c>
      <c r="Z337" s="129">
        <v>624.87368421052633</v>
      </c>
      <c r="AA337" s="129">
        <v>500.15589743589743</v>
      </c>
      <c r="AB337" s="129">
        <v>488.57876519359252</v>
      </c>
      <c r="AC337" s="129">
        <v>537.91428909672072</v>
      </c>
      <c r="AD337" s="129">
        <v>539.89280536426236</v>
      </c>
      <c r="AE337" s="129">
        <v>538.65032441026085</v>
      </c>
      <c r="AF337" s="129">
        <v>553.5866854602624</v>
      </c>
      <c r="AG337" s="129">
        <v>525.08970863860964</v>
      </c>
      <c r="AH337" s="129">
        <v>529.06297728850541</v>
      </c>
      <c r="AI337" s="129">
        <v>536.99231113461622</v>
      </c>
      <c r="AJ337" s="129">
        <v>528.54542956585453</v>
      </c>
      <c r="AK337" s="129">
        <v>538.69920376253151</v>
      </c>
      <c r="AL337" s="129">
        <v>533.79518206039074</v>
      </c>
      <c r="AM337" s="129">
        <v>524.22017904669735</v>
      </c>
      <c r="AN337" s="129">
        <v>497.22797463632975</v>
      </c>
      <c r="AO337" s="129">
        <v>508.03405308274665</v>
      </c>
      <c r="AP337" s="129">
        <v>509.32872405684492</v>
      </c>
      <c r="AQ337" s="129">
        <v>486.9619496854001</v>
      </c>
      <c r="AR337" s="129">
        <v>521.53350786340798</v>
      </c>
      <c r="AS337" s="129">
        <v>507.30316768047743</v>
      </c>
      <c r="AT337" s="129">
        <v>504.42787084337863</v>
      </c>
      <c r="AU337" s="129">
        <v>514.49170129582728</v>
      </c>
      <c r="AV337" s="129">
        <v>514.24498464004273</v>
      </c>
      <c r="AW337" s="129">
        <v>532.34607205138025</v>
      </c>
      <c r="AX337" s="129">
        <v>526.75651189127973</v>
      </c>
      <c r="AY337" s="129">
        <v>511.20235917188251</v>
      </c>
      <c r="AZ337" s="129">
        <v>500.94387054523946</v>
      </c>
      <c r="BA337" s="129">
        <v>515.91455521037562</v>
      </c>
      <c r="BB337" s="129">
        <v>558.27768396663646</v>
      </c>
      <c r="BC337" s="129">
        <v>592.40992730874132</v>
      </c>
      <c r="BD337" s="129">
        <v>597.83805984464038</v>
      </c>
      <c r="BE337" s="129">
        <v>635.57525921901458</v>
      </c>
      <c r="BF337" s="129">
        <v>675.2980986543281</v>
      </c>
      <c r="BG337" s="129">
        <v>668.85360968164605</v>
      </c>
      <c r="BH337" s="129">
        <v>664.8114929577464</v>
      </c>
      <c r="BI337" s="129">
        <v>665.78914540631524</v>
      </c>
      <c r="BJ337" s="129">
        <v>675.22805292419162</v>
      </c>
      <c r="BK337" s="129">
        <v>658.57749485305055</v>
      </c>
      <c r="BL337" s="129">
        <v>688.70770849275493</v>
      </c>
      <c r="BM337" s="129">
        <v>717.74740153437381</v>
      </c>
      <c r="BN337" s="129">
        <v>735.70147827414098</v>
      </c>
      <c r="BO337" s="129">
        <v>722.77765506500452</v>
      </c>
      <c r="BP337" s="129">
        <v>741.91431996205131</v>
      </c>
      <c r="BQ337" s="129">
        <v>760.73106914268408</v>
      </c>
      <c r="BR337" s="129">
        <v>780.52458931833223</v>
      </c>
      <c r="BS337" s="129">
        <v>838.17549912846027</v>
      </c>
      <c r="BT337" s="129">
        <v>819.77368717944978</v>
      </c>
      <c r="BU337" s="129">
        <v>814.32936747409258</v>
      </c>
      <c r="BV337" s="129">
        <v>820.89889744959066</v>
      </c>
      <c r="BW337" s="129">
        <v>830.7709564866999</v>
      </c>
      <c r="BX337" s="129">
        <v>845.64767097527897</v>
      </c>
      <c r="BY337" s="129">
        <v>870.77805405263496</v>
      </c>
      <c r="BZ337" s="129">
        <v>841.06965456156877</v>
      </c>
      <c r="CA337" s="129">
        <v>853.27108703128329</v>
      </c>
      <c r="CB337" s="129">
        <v>867.78608522634784</v>
      </c>
      <c r="CC337" s="129">
        <v>904.72740815841235</v>
      </c>
      <c r="CD337" s="129">
        <v>920.9922552253945</v>
      </c>
      <c r="CE337" s="129">
        <v>920.29572485858637</v>
      </c>
      <c r="CF337" s="129">
        <v>985.2319356955569</v>
      </c>
      <c r="CG337" s="129">
        <v>953.56156932957151</v>
      </c>
      <c r="CH337" s="129">
        <v>952.98846313428328</v>
      </c>
      <c r="CI337" s="129">
        <v>924.83120506137891</v>
      </c>
      <c r="CJ337" s="129">
        <v>922.59240783809526</v>
      </c>
      <c r="CK337" s="129">
        <v>891.84224479799695</v>
      </c>
      <c r="CL337" s="129">
        <v>883.04672222478541</v>
      </c>
      <c r="CM337" s="129">
        <v>917.74742521137364</v>
      </c>
      <c r="CN337" s="129">
        <v>937.31440409627101</v>
      </c>
      <c r="CO337" s="129">
        <v>979.76469101950488</v>
      </c>
      <c r="CP337" s="129">
        <v>990.77736500266838</v>
      </c>
      <c r="CQ337" s="129">
        <v>986.2998861407068</v>
      </c>
      <c r="CR337" s="129">
        <v>1008.7276747628616</v>
      </c>
      <c r="CS337" s="129">
        <v>1050.8768484141967</v>
      </c>
      <c r="CT337" s="129">
        <f>SUM(CH333:CS333)/SUM(CH335:CS335)*(1+CT338)</f>
        <v>983.49452504481417</v>
      </c>
      <c r="CU337" s="129">
        <f t="shared" ref="CU337:DQ337" si="1125">CT337*(1+CU338)</f>
        <v>983.49452504481417</v>
      </c>
      <c r="CV337" s="129">
        <f t="shared" si="1125"/>
        <v>983.49452504481417</v>
      </c>
      <c r="CW337" s="129">
        <f t="shared" si="1125"/>
        <v>983.49452504481417</v>
      </c>
      <c r="CX337" s="129">
        <f t="shared" si="1125"/>
        <v>983.49452504481417</v>
      </c>
      <c r="CY337" s="129">
        <f t="shared" si="1125"/>
        <v>983.49452504481417</v>
      </c>
      <c r="CZ337" s="129">
        <f t="shared" si="1125"/>
        <v>983.49452504481417</v>
      </c>
      <c r="DA337" s="129">
        <f t="shared" si="1125"/>
        <v>983.49452504481417</v>
      </c>
      <c r="DB337" s="129">
        <f t="shared" si="1125"/>
        <v>983.49452504481417</v>
      </c>
      <c r="DC337" s="129">
        <f t="shared" si="1125"/>
        <v>983.49452504481417</v>
      </c>
      <c r="DD337" s="129">
        <f t="shared" si="1125"/>
        <v>983.49452504481417</v>
      </c>
      <c r="DE337" s="129">
        <f t="shared" si="1125"/>
        <v>983.49452504481417</v>
      </c>
      <c r="DF337" s="129">
        <f t="shared" si="1125"/>
        <v>983.49452504481417</v>
      </c>
      <c r="DG337" s="129">
        <f t="shared" si="1125"/>
        <v>983.49452504481417</v>
      </c>
      <c r="DH337" s="129">
        <f t="shared" si="1125"/>
        <v>983.49452504481417</v>
      </c>
      <c r="DI337" s="129">
        <f t="shared" si="1125"/>
        <v>983.49452504481417</v>
      </c>
      <c r="DJ337" s="129">
        <f t="shared" si="1125"/>
        <v>983.49452504481417</v>
      </c>
      <c r="DK337" s="129">
        <f t="shared" si="1125"/>
        <v>983.49452504481417</v>
      </c>
      <c r="DL337" s="129">
        <f t="shared" si="1125"/>
        <v>983.49452504481417</v>
      </c>
      <c r="DM337" s="129">
        <f t="shared" si="1125"/>
        <v>983.49452504481417</v>
      </c>
      <c r="DN337" s="129">
        <f t="shared" si="1125"/>
        <v>983.49452504481417</v>
      </c>
      <c r="DO337" s="129">
        <f t="shared" si="1125"/>
        <v>983.49452504481417</v>
      </c>
      <c r="DP337" s="129">
        <f t="shared" si="1125"/>
        <v>983.49452504481417</v>
      </c>
      <c r="DQ337" s="129">
        <f t="shared" si="1125"/>
        <v>983.49452504481417</v>
      </c>
      <c r="DR337" s="129">
        <f t="shared" ref="DR337" si="1126">DQ337*(1+DR338)</f>
        <v>983.49452504481417</v>
      </c>
      <c r="DS337" s="129">
        <f t="shared" ref="DS337" si="1127">DR337*(1+DS338)</f>
        <v>983.49452504481417</v>
      </c>
      <c r="DT337" s="129">
        <f t="shared" ref="DT337" si="1128">DS337*(1+DT338)</f>
        <v>983.49452504481417</v>
      </c>
      <c r="DU337" s="129">
        <f t="shared" ref="DU337" si="1129">DT337*(1+DU338)</f>
        <v>983.49452504481417</v>
      </c>
      <c r="DV337" s="129">
        <f t="shared" ref="DV337" si="1130">DU337*(1+DV338)</f>
        <v>983.49452504481417</v>
      </c>
      <c r="DW337" s="129">
        <f t="shared" ref="DW337" si="1131">DV337*(1+DW338)</f>
        <v>983.49452504481417</v>
      </c>
      <c r="DX337" s="129">
        <f t="shared" ref="DX337" si="1132">DW337*(1+DX338)</f>
        <v>983.49452504481417</v>
      </c>
      <c r="DY337" s="129">
        <f t="shared" ref="DY337" si="1133">DX337*(1+DY338)</f>
        <v>983.49452504481417</v>
      </c>
      <c r="DZ337" s="129">
        <f t="shared" ref="DZ337" si="1134">DY337*(1+DZ338)</f>
        <v>983.49452504481417</v>
      </c>
      <c r="EA337" s="129">
        <f t="shared" ref="EA337" si="1135">DZ337*(1+EA338)</f>
        <v>983.49452504481417</v>
      </c>
      <c r="EB337" s="129">
        <f t="shared" ref="EB337" si="1136">EA337*(1+EB338)</f>
        <v>983.49452504481417</v>
      </c>
      <c r="EC337" s="129">
        <f t="shared" ref="EC337" si="1137">EB337*(1+EC338)</f>
        <v>983.49452504481417</v>
      </c>
      <c r="ED337" s="113" t="s">
        <v>1</v>
      </c>
    </row>
    <row r="338" spans="1:134" x14ac:dyDescent="0.2">
      <c r="A338" s="698" t="s">
        <v>91</v>
      </c>
      <c r="B338" s="115"/>
      <c r="C338" s="133">
        <f>C337/B337-1</f>
        <v>0.14780005480059621</v>
      </c>
      <c r="D338" s="133">
        <f t="shared" ref="D338:BO338" si="1138">D337/C337-1</f>
        <v>-3.8805350184894061E-2</v>
      </c>
      <c r="E338" s="133">
        <f t="shared" si="1138"/>
        <v>6.0083969820745597E-3</v>
      </c>
      <c r="F338" s="133">
        <f t="shared" si="1138"/>
        <v>3.3925553008014031E-2</v>
      </c>
      <c r="G338" s="133">
        <f t="shared" si="1138"/>
        <v>0.13487221070898636</v>
      </c>
      <c r="H338" s="133">
        <f t="shared" si="1138"/>
        <v>3.5580089137352111E-2</v>
      </c>
      <c r="I338" s="133">
        <f t="shared" si="1138"/>
        <v>3.9958144892862091E-3</v>
      </c>
      <c r="J338" s="133">
        <f t="shared" si="1138"/>
        <v>0.16432840768432233</v>
      </c>
      <c r="K338" s="133">
        <f t="shared" si="1138"/>
        <v>2.5593490201878843E-2</v>
      </c>
      <c r="L338" s="133">
        <f t="shared" si="1138"/>
        <v>-3.0928056653554692E-2</v>
      </c>
      <c r="M338" s="133">
        <f t="shared" si="1138"/>
        <v>-0.13287997188199352</v>
      </c>
      <c r="N338" s="133">
        <f t="shared" si="1138"/>
        <v>8.9706286930728574E-3</v>
      </c>
      <c r="O338" s="133">
        <f t="shared" si="1138"/>
        <v>1.5586488039559754E-2</v>
      </c>
      <c r="P338" s="133">
        <f t="shared" si="1138"/>
        <v>3.3334649069486577E-2</v>
      </c>
      <c r="Q338" s="133">
        <f t="shared" si="1138"/>
        <v>-2.3240069213644965E-2</v>
      </c>
      <c r="R338" s="133">
        <f t="shared" si="1138"/>
        <v>-5.3014227740458275E-2</v>
      </c>
      <c r="S338" s="133">
        <f t="shared" si="1138"/>
        <v>6.695210308555799E-3</v>
      </c>
      <c r="T338" s="133">
        <f t="shared" si="1138"/>
        <v>-5.1134767058912289E-2</v>
      </c>
      <c r="U338" s="133">
        <f t="shared" si="1138"/>
        <v>2.4395240786379446E-2</v>
      </c>
      <c r="V338" s="133">
        <f t="shared" si="1138"/>
        <v>-2.5780226115641569E-2</v>
      </c>
      <c r="W338" s="133">
        <f t="shared" si="1138"/>
        <v>-2.2404080967407092E-2</v>
      </c>
      <c r="X338" s="133">
        <f t="shared" si="1138"/>
        <v>2.5985829667088733E-2</v>
      </c>
      <c r="Y338" s="133">
        <f t="shared" si="1138"/>
        <v>2.9046259537366614E-2</v>
      </c>
      <c r="Z338" s="133">
        <f t="shared" si="1138"/>
        <v>0.39325446804442055</v>
      </c>
      <c r="AA338" s="133">
        <f t="shared" si="1138"/>
        <v>-0.19958879678570396</v>
      </c>
      <c r="AB338" s="133">
        <f t="shared" si="1138"/>
        <v>-2.3147047353947681E-2</v>
      </c>
      <c r="AC338" s="133">
        <f t="shared" si="1138"/>
        <v>0.10097762616346961</v>
      </c>
      <c r="AD338" s="133">
        <f t="shared" si="1138"/>
        <v>3.6781255074371799E-3</v>
      </c>
      <c r="AE338" s="133">
        <f t="shared" si="1138"/>
        <v>-2.3013474927920941E-3</v>
      </c>
      <c r="AF338" s="133">
        <f t="shared" si="1138"/>
        <v>2.7729234297509286E-2</v>
      </c>
      <c r="AG338" s="133">
        <f t="shared" si="1138"/>
        <v>-5.1476990993668537E-2</v>
      </c>
      <c r="AH338" s="133">
        <f t="shared" si="1138"/>
        <v>7.5668377889126504E-3</v>
      </c>
      <c r="AI338" s="133">
        <f t="shared" si="1138"/>
        <v>1.4987504676190699E-2</v>
      </c>
      <c r="AJ338" s="133">
        <f t="shared" si="1138"/>
        <v>-1.572998606053444E-2</v>
      </c>
      <c r="AK338" s="133">
        <f t="shared" si="1138"/>
        <v>1.9210788001737589E-2</v>
      </c>
      <c r="AL338" s="133">
        <f t="shared" si="1138"/>
        <v>-9.1034508087050048E-3</v>
      </c>
      <c r="AM338" s="133">
        <f t="shared" si="1138"/>
        <v>-1.7937597294780616E-2</v>
      </c>
      <c r="AN338" s="133">
        <f t="shared" si="1138"/>
        <v>-5.1490204859060085E-2</v>
      </c>
      <c r="AO338" s="133">
        <f t="shared" si="1138"/>
        <v>2.1732643772346849E-2</v>
      </c>
      <c r="AP338" s="133">
        <f t="shared" si="1138"/>
        <v>2.5483940815427264E-3</v>
      </c>
      <c r="AQ338" s="133">
        <f t="shared" si="1138"/>
        <v>-4.3914221435012779E-2</v>
      </c>
      <c r="AR338" s="133">
        <f t="shared" si="1138"/>
        <v>7.0994372764325187E-2</v>
      </c>
      <c r="AS338" s="133">
        <f t="shared" si="1138"/>
        <v>-2.7285572198857744E-2</v>
      </c>
      <c r="AT338" s="133">
        <f t="shared" si="1138"/>
        <v>-5.6678077731022736E-3</v>
      </c>
      <c r="AU338" s="133">
        <f t="shared" si="1138"/>
        <v>1.9950980178042865E-2</v>
      </c>
      <c r="AV338" s="133">
        <f t="shared" si="1138"/>
        <v>-4.7953476249118498E-4</v>
      </c>
      <c r="AW338" s="133">
        <f t="shared" si="1138"/>
        <v>3.519934652159562E-2</v>
      </c>
      <c r="AX338" s="133">
        <f t="shared" si="1138"/>
        <v>-1.0499861750761674E-2</v>
      </c>
      <c r="AY338" s="133">
        <f t="shared" si="1138"/>
        <v>-2.9528164091510156E-2</v>
      </c>
      <c r="AZ338" s="133">
        <f t="shared" si="1138"/>
        <v>-2.0067373404264344E-2</v>
      </c>
      <c r="BA338" s="133">
        <f t="shared" si="1138"/>
        <v>2.9884954274101982E-2</v>
      </c>
      <c r="BB338" s="133">
        <f t="shared" si="1138"/>
        <v>8.2112683831892186E-2</v>
      </c>
      <c r="BC338" s="133">
        <f t="shared" si="1138"/>
        <v>6.1138469837430653E-2</v>
      </c>
      <c r="BD338" s="133">
        <f t="shared" si="1138"/>
        <v>9.1627980654520602E-3</v>
      </c>
      <c r="BE338" s="133">
        <f t="shared" si="1138"/>
        <v>6.3122778406214053E-2</v>
      </c>
      <c r="BF338" s="133">
        <f t="shared" si="1138"/>
        <v>6.2499033527712022E-2</v>
      </c>
      <c r="BG338" s="133">
        <f t="shared" si="1138"/>
        <v>-9.5431765401443602E-3</v>
      </c>
      <c r="BH338" s="133">
        <f t="shared" si="1138"/>
        <v>-6.0433503914609776E-3</v>
      </c>
      <c r="BI338" s="133">
        <f t="shared" si="1138"/>
        <v>1.4705709196141115E-3</v>
      </c>
      <c r="BJ338" s="133">
        <f t="shared" si="1138"/>
        <v>1.4177022234443282E-2</v>
      </c>
      <c r="BK338" s="133">
        <f t="shared" si="1138"/>
        <v>-2.4659162188290229E-2</v>
      </c>
      <c r="BL338" s="133">
        <f t="shared" si="1138"/>
        <v>4.575044527816341E-2</v>
      </c>
      <c r="BM338" s="133">
        <f t="shared" si="1138"/>
        <v>4.2165482807173138E-2</v>
      </c>
      <c r="BN338" s="133">
        <f t="shared" si="1138"/>
        <v>2.5014478215296343E-2</v>
      </c>
      <c r="BO338" s="133">
        <f t="shared" si="1138"/>
        <v>-1.7566667447038498E-2</v>
      </c>
      <c r="BP338" s="133">
        <f t="shared" ref="BP338:CS338" si="1139">BP337/BO337-1</f>
        <v>2.6476558541818296E-2</v>
      </c>
      <c r="BQ338" s="133">
        <f t="shared" si="1139"/>
        <v>2.5362428887469424E-2</v>
      </c>
      <c r="BR338" s="133">
        <f t="shared" si="1139"/>
        <v>2.601907688344407E-2</v>
      </c>
      <c r="BS338" s="133">
        <f t="shared" si="1139"/>
        <v>7.3861747085350871E-2</v>
      </c>
      <c r="BT338" s="133">
        <f t="shared" si="1139"/>
        <v>-2.1954604934342314E-2</v>
      </c>
      <c r="BU338" s="133">
        <f t="shared" si="1139"/>
        <v>-6.6412472009063084E-3</v>
      </c>
      <c r="BV338" s="133">
        <f t="shared" si="1139"/>
        <v>8.0674113422627425E-3</v>
      </c>
      <c r="BW338" s="133">
        <f t="shared" si="1139"/>
        <v>1.2025913383219677E-2</v>
      </c>
      <c r="BX338" s="133">
        <f t="shared" si="1139"/>
        <v>1.7907119131236993E-2</v>
      </c>
      <c r="BY338" s="133">
        <f t="shared" si="1139"/>
        <v>2.9717320747035592E-2</v>
      </c>
      <c r="BZ338" s="133">
        <f t="shared" si="1139"/>
        <v>-3.4117074210589182E-2</v>
      </c>
      <c r="CA338" s="133">
        <f t="shared" si="1139"/>
        <v>1.4507041602963122E-2</v>
      </c>
      <c r="CB338" s="133">
        <f t="shared" si="1139"/>
        <v>1.7011004375602878E-2</v>
      </c>
      <c r="CC338" s="133">
        <f t="shared" si="1139"/>
        <v>4.2569618896837857E-2</v>
      </c>
      <c r="CD338" s="133">
        <f t="shared" si="1139"/>
        <v>1.7977621679539313E-2</v>
      </c>
      <c r="CE338" s="133">
        <f t="shared" si="1139"/>
        <v>-7.5628254510962112E-4</v>
      </c>
      <c r="CF338" s="133">
        <f t="shared" si="1139"/>
        <v>7.056015700491125E-2</v>
      </c>
      <c r="CG338" s="133">
        <f t="shared" si="1139"/>
        <v>-3.2145087079040624E-2</v>
      </c>
      <c r="CH338" s="133">
        <f t="shared" si="1139"/>
        <v>-6.010164563271525E-4</v>
      </c>
      <c r="CI338" s="133">
        <f t="shared" si="1139"/>
        <v>-2.9546273813533919E-2</v>
      </c>
      <c r="CJ338" s="133">
        <f t="shared" si="1139"/>
        <v>-2.4207630657694379E-3</v>
      </c>
      <c r="CK338" s="133">
        <f t="shared" si="1139"/>
        <v>-3.3330171350699711E-2</v>
      </c>
      <c r="CL338" s="133">
        <f t="shared" si="1139"/>
        <v>-9.8621954998372452E-3</v>
      </c>
      <c r="CM338" s="133">
        <f t="shared" si="1139"/>
        <v>3.92965650777366E-2</v>
      </c>
      <c r="CN338" s="133">
        <f t="shared" si="1139"/>
        <v>2.1320657892764716E-2</v>
      </c>
      <c r="CO338" s="133">
        <f t="shared" si="1139"/>
        <v>4.5289271921691077E-2</v>
      </c>
      <c r="CP338" s="133">
        <f t="shared" si="1139"/>
        <v>1.1240121310867046E-2</v>
      </c>
      <c r="CQ338" s="133">
        <f t="shared" si="1139"/>
        <v>-4.5191574011680391E-3</v>
      </c>
      <c r="CR338" s="133">
        <f t="shared" si="1139"/>
        <v>2.2739319893782639E-2</v>
      </c>
      <c r="CS338" s="133">
        <f t="shared" si="1139"/>
        <v>4.178449219334035E-2</v>
      </c>
      <c r="CT338" s="701">
        <v>0.03</v>
      </c>
      <c r="CU338" s="115"/>
      <c r="CV338" s="115"/>
      <c r="CW338" s="115"/>
      <c r="CX338" s="115"/>
      <c r="CY338" s="115"/>
      <c r="CZ338" s="115"/>
      <c r="DA338" s="115"/>
      <c r="DB338" s="115"/>
      <c r="DC338" s="115"/>
      <c r="DD338" s="115"/>
      <c r="DE338" s="115"/>
      <c r="DF338" s="701">
        <v>0</v>
      </c>
      <c r="DG338" s="115"/>
      <c r="DH338" s="115"/>
      <c r="DI338" s="115"/>
      <c r="DJ338" s="702"/>
      <c r="DK338" s="115"/>
      <c r="DL338" s="115"/>
      <c r="DM338" s="115"/>
      <c r="DN338" s="115"/>
      <c r="DO338" s="115"/>
      <c r="DP338" s="115"/>
      <c r="DQ338" s="115"/>
      <c r="DR338" s="701">
        <v>0</v>
      </c>
      <c r="DS338" s="115"/>
      <c r="DT338" s="115"/>
      <c r="DU338" s="115"/>
      <c r="DV338" s="115"/>
      <c r="DW338" s="115"/>
      <c r="DX338" s="115"/>
      <c r="DY338" s="115"/>
      <c r="DZ338" s="115"/>
      <c r="EA338" s="115"/>
      <c r="EB338" s="115"/>
      <c r="EC338" s="645"/>
      <c r="ED338" s="113" t="s">
        <v>1</v>
      </c>
    </row>
    <row r="339" spans="1:134" x14ac:dyDescent="0.2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115"/>
      <c r="AM339" s="115"/>
      <c r="AN339" s="115"/>
      <c r="AO339" s="115"/>
      <c r="AP339" s="115"/>
      <c r="AQ339" s="115"/>
      <c r="AR339" s="115"/>
      <c r="AS339" s="115"/>
      <c r="AT339" s="115"/>
      <c r="AU339" s="115"/>
      <c r="AV339" s="115"/>
      <c r="AW339" s="115"/>
      <c r="AX339" s="115"/>
      <c r="AY339" s="115"/>
      <c r="AZ339" s="115"/>
      <c r="BA339" s="115"/>
      <c r="BB339" s="115"/>
      <c r="BC339" s="115"/>
      <c r="BD339" s="115"/>
      <c r="BE339" s="115"/>
      <c r="BF339" s="115"/>
      <c r="BG339" s="115"/>
      <c r="BH339" s="115"/>
      <c r="BI339" s="115"/>
      <c r="BJ339" s="115"/>
      <c r="BK339" s="115"/>
      <c r="BL339" s="115"/>
      <c r="BM339" s="115"/>
      <c r="BN339" s="115"/>
      <c r="BO339" s="115"/>
      <c r="BP339" s="115"/>
      <c r="BQ339" s="115"/>
      <c r="BR339" s="115"/>
      <c r="BS339" s="115"/>
      <c r="BT339" s="115"/>
      <c r="BU339" s="115"/>
      <c r="BV339" s="115"/>
      <c r="BW339" s="115"/>
      <c r="BX339" s="115"/>
      <c r="BY339" s="115"/>
      <c r="BZ339" s="115"/>
      <c r="CA339" s="115"/>
      <c r="CB339" s="115"/>
      <c r="CC339" s="115"/>
      <c r="CD339" s="115"/>
      <c r="CE339" s="115"/>
      <c r="CF339" s="115"/>
      <c r="CG339" s="115"/>
      <c r="CH339" s="115"/>
      <c r="CI339" s="115"/>
      <c r="CJ339" s="115"/>
      <c r="CK339" s="115"/>
      <c r="CL339" s="115"/>
      <c r="CM339" s="115"/>
      <c r="CN339" s="115"/>
      <c r="CO339" s="115"/>
      <c r="CP339" s="115"/>
      <c r="CQ339" s="115"/>
      <c r="CR339" s="115"/>
      <c r="CS339" s="115"/>
      <c r="CT339" s="115"/>
      <c r="CU339" s="115"/>
      <c r="CV339" s="115"/>
      <c r="CW339" s="115"/>
      <c r="CX339" s="115"/>
      <c r="CY339" s="115"/>
      <c r="CZ339" s="115"/>
      <c r="DA339" s="115"/>
      <c r="DB339" s="115"/>
      <c r="DC339" s="115"/>
      <c r="DD339" s="115"/>
      <c r="DE339" s="115"/>
      <c r="DF339" s="115"/>
      <c r="DG339" s="115"/>
      <c r="DH339" s="115"/>
      <c r="DI339" s="115"/>
      <c r="DJ339" s="115"/>
      <c r="DK339" s="115"/>
      <c r="DL339" s="115"/>
      <c r="DM339" s="115"/>
      <c r="DN339" s="115"/>
      <c r="DO339" s="115"/>
      <c r="DP339" s="115"/>
      <c r="DQ339" s="115"/>
      <c r="DR339" s="115"/>
      <c r="DS339" s="115"/>
      <c r="DT339" s="115"/>
      <c r="DU339" s="115"/>
      <c r="DV339" s="115"/>
      <c r="DW339" s="115"/>
      <c r="DX339" s="115"/>
      <c r="DY339" s="115"/>
      <c r="DZ339" s="115"/>
      <c r="EA339" s="115"/>
      <c r="EB339" s="115"/>
      <c r="EC339" s="645"/>
      <c r="ED339" s="113" t="s">
        <v>1</v>
      </c>
    </row>
    <row r="340" spans="1:134" x14ac:dyDescent="0.2">
      <c r="A340" s="115" t="s">
        <v>174</v>
      </c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29">
        <v>0</v>
      </c>
      <c r="AM340" s="129">
        <v>0</v>
      </c>
      <c r="AN340" s="129">
        <v>0</v>
      </c>
      <c r="AO340" s="129">
        <v>0</v>
      </c>
      <c r="AP340" s="129">
        <v>0</v>
      </c>
      <c r="AQ340" s="129">
        <v>0</v>
      </c>
      <c r="AR340" s="129">
        <v>0</v>
      </c>
      <c r="AS340" s="129">
        <v>0</v>
      </c>
      <c r="AT340" s="129">
        <v>0</v>
      </c>
      <c r="AU340" s="129">
        <v>0</v>
      </c>
      <c r="AV340" s="129">
        <v>0</v>
      </c>
      <c r="AW340" s="129">
        <v>0</v>
      </c>
      <c r="AX340" s="129">
        <v>0</v>
      </c>
      <c r="AY340" s="129">
        <v>0</v>
      </c>
      <c r="AZ340" s="129">
        <v>0</v>
      </c>
      <c r="BA340" s="129">
        <v>0</v>
      </c>
      <c r="BB340" s="129">
        <v>0</v>
      </c>
      <c r="BC340" s="129">
        <v>0</v>
      </c>
      <c r="BD340" s="129">
        <v>0</v>
      </c>
      <c r="BE340" s="129">
        <v>0</v>
      </c>
      <c r="BF340" s="129">
        <v>0</v>
      </c>
      <c r="BG340" s="129">
        <v>0</v>
      </c>
      <c r="BH340" s="129">
        <v>0</v>
      </c>
      <c r="BI340" s="129">
        <v>0</v>
      </c>
      <c r="BJ340" s="129">
        <v>0</v>
      </c>
      <c r="BK340" s="129">
        <v>0</v>
      </c>
      <c r="BL340" s="129">
        <v>0</v>
      </c>
      <c r="BM340" s="129">
        <v>0</v>
      </c>
      <c r="BN340" s="129">
        <v>0</v>
      </c>
      <c r="BO340" s="129">
        <v>0</v>
      </c>
      <c r="BP340" s="129">
        <v>0</v>
      </c>
      <c r="BQ340" s="129">
        <v>0</v>
      </c>
      <c r="BR340" s="129">
        <v>0</v>
      </c>
      <c r="BS340" s="129">
        <v>0</v>
      </c>
      <c r="BT340" s="129">
        <v>0</v>
      </c>
      <c r="BU340" s="129">
        <v>0</v>
      </c>
      <c r="BV340" s="129">
        <v>0</v>
      </c>
      <c r="BW340" s="129">
        <v>0</v>
      </c>
      <c r="BX340" s="129">
        <v>0</v>
      </c>
      <c r="BY340" s="129">
        <v>0</v>
      </c>
      <c r="BZ340" s="129">
        <v>0</v>
      </c>
      <c r="CA340" s="129">
        <v>0</v>
      </c>
      <c r="CB340" s="129">
        <v>0</v>
      </c>
      <c r="CC340" s="129">
        <v>0</v>
      </c>
      <c r="CD340" s="129">
        <v>0</v>
      </c>
      <c r="CE340" s="129">
        <v>0</v>
      </c>
      <c r="CF340" s="129">
        <v>0</v>
      </c>
      <c r="CG340" s="129">
        <v>0</v>
      </c>
      <c r="CH340" s="129">
        <v>0</v>
      </c>
      <c r="CI340" s="129">
        <v>0</v>
      </c>
      <c r="CJ340" s="129">
        <v>0</v>
      </c>
      <c r="CK340" s="129">
        <v>0</v>
      </c>
      <c r="CL340" s="129">
        <v>0</v>
      </c>
      <c r="CM340" s="129">
        <v>0</v>
      </c>
      <c r="CN340" s="129">
        <v>0</v>
      </c>
      <c r="CO340" s="129">
        <v>0</v>
      </c>
      <c r="CP340" s="129">
        <v>0</v>
      </c>
      <c r="CQ340" s="129">
        <v>0</v>
      </c>
      <c r="CR340" s="129">
        <v>0</v>
      </c>
      <c r="CS340" s="129">
        <v>0</v>
      </c>
      <c r="CT340" s="129">
        <v>0</v>
      </c>
      <c r="CU340" s="129">
        <v>0</v>
      </c>
      <c r="CV340" s="129">
        <v>0</v>
      </c>
      <c r="CW340" s="129">
        <v>0</v>
      </c>
      <c r="CX340" s="129">
        <v>0</v>
      </c>
      <c r="CY340" s="129">
        <v>0</v>
      </c>
      <c r="CZ340" s="129">
        <v>0</v>
      </c>
      <c r="DA340" s="129">
        <v>0</v>
      </c>
      <c r="DB340" s="129">
        <v>0</v>
      </c>
      <c r="DC340" s="129">
        <v>0</v>
      </c>
      <c r="DD340" s="129">
        <v>0</v>
      </c>
      <c r="DE340" s="129">
        <v>0</v>
      </c>
      <c r="DF340" s="129">
        <v>0</v>
      </c>
      <c r="DG340" s="129">
        <v>0</v>
      </c>
      <c r="DH340" s="129">
        <v>0</v>
      </c>
      <c r="DI340" s="129">
        <v>0</v>
      </c>
      <c r="DJ340" s="129">
        <v>0</v>
      </c>
      <c r="DK340" s="129">
        <v>0</v>
      </c>
      <c r="DL340" s="129">
        <v>0</v>
      </c>
      <c r="DM340" s="129">
        <v>0</v>
      </c>
      <c r="DN340" s="129">
        <v>0</v>
      </c>
      <c r="DO340" s="129">
        <v>0</v>
      </c>
      <c r="DP340" s="129">
        <v>0</v>
      </c>
      <c r="DQ340" s="129">
        <v>0</v>
      </c>
      <c r="DR340" s="129">
        <v>0</v>
      </c>
      <c r="DS340" s="129">
        <v>0</v>
      </c>
      <c r="DT340" s="129">
        <v>0</v>
      </c>
      <c r="DU340" s="129">
        <v>0</v>
      </c>
      <c r="DV340" s="129">
        <v>0</v>
      </c>
      <c r="DW340" s="129">
        <v>0</v>
      </c>
      <c r="DX340" s="129">
        <v>0</v>
      </c>
      <c r="DY340" s="129">
        <v>0</v>
      </c>
      <c r="DZ340" s="129">
        <v>0</v>
      </c>
      <c r="EA340" s="129">
        <v>0</v>
      </c>
      <c r="EB340" s="129">
        <v>0</v>
      </c>
      <c r="EC340" s="129">
        <v>0</v>
      </c>
      <c r="ED340" s="113" t="s">
        <v>1</v>
      </c>
    </row>
    <row r="341" spans="1:134" x14ac:dyDescent="0.2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15"/>
      <c r="AM341" s="115"/>
      <c r="AN341" s="115"/>
      <c r="AO341" s="115"/>
      <c r="AP341" s="115"/>
      <c r="AQ341" s="115"/>
      <c r="AR341" s="115"/>
      <c r="AS341" s="115"/>
      <c r="AT341" s="115"/>
      <c r="AU341" s="115"/>
      <c r="AV341" s="115"/>
      <c r="AW341" s="115"/>
      <c r="AX341" s="115"/>
      <c r="AY341" s="115"/>
      <c r="AZ341" s="115"/>
      <c r="BA341" s="115"/>
      <c r="BB341" s="115"/>
      <c r="BC341" s="115"/>
      <c r="BD341" s="115"/>
      <c r="BE341" s="115"/>
      <c r="BF341" s="115"/>
      <c r="BG341" s="115"/>
      <c r="BH341" s="115"/>
      <c r="BI341" s="115"/>
      <c r="BJ341" s="115"/>
      <c r="BK341" s="115"/>
      <c r="BL341" s="115"/>
      <c r="BM341" s="115"/>
      <c r="BN341" s="115"/>
      <c r="BO341" s="115"/>
      <c r="BP341" s="115"/>
      <c r="BQ341" s="115"/>
      <c r="BR341" s="115"/>
      <c r="BS341" s="115"/>
      <c r="BT341" s="115"/>
      <c r="BU341" s="115"/>
      <c r="BV341" s="115"/>
      <c r="BW341" s="115"/>
      <c r="BX341" s="115"/>
      <c r="BY341" s="115"/>
      <c r="BZ341" s="115"/>
      <c r="CA341" s="115"/>
      <c r="CB341" s="115"/>
      <c r="CC341" s="115"/>
      <c r="CD341" s="115"/>
      <c r="CE341" s="115"/>
      <c r="CF341" s="115"/>
      <c r="CG341" s="115"/>
      <c r="CH341" s="115"/>
      <c r="CI341" s="115"/>
      <c r="CJ341" s="115"/>
      <c r="CK341" s="115"/>
      <c r="CL341" s="115"/>
      <c r="CM341" s="115"/>
      <c r="CN341" s="115"/>
      <c r="CO341" s="115"/>
      <c r="CP341" s="115"/>
      <c r="CQ341" s="115"/>
      <c r="CR341" s="115"/>
      <c r="CS341" s="115"/>
      <c r="CT341" s="115"/>
      <c r="CU341" s="115"/>
      <c r="CV341" s="115"/>
      <c r="CW341" s="115"/>
      <c r="CX341" s="115"/>
      <c r="CY341" s="115"/>
      <c r="CZ341" s="115"/>
      <c r="DA341" s="115"/>
      <c r="DB341" s="115"/>
      <c r="DC341" s="115"/>
      <c r="DD341" s="115"/>
      <c r="DE341" s="115"/>
      <c r="DF341" s="115"/>
      <c r="DG341" s="115"/>
      <c r="DH341" s="115"/>
      <c r="DI341" s="115"/>
      <c r="DJ341" s="115"/>
      <c r="DK341" s="115"/>
      <c r="DL341" s="115"/>
      <c r="DM341" s="115"/>
      <c r="DN341" s="115"/>
      <c r="DO341" s="115"/>
      <c r="DP341" s="115"/>
      <c r="DQ341" s="115"/>
      <c r="DR341" s="115"/>
      <c r="DS341" s="115"/>
      <c r="DT341" s="115"/>
      <c r="DU341" s="115"/>
      <c r="DV341" s="115"/>
      <c r="DW341" s="115"/>
      <c r="DX341" s="115"/>
      <c r="DY341" s="115"/>
      <c r="DZ341" s="115"/>
      <c r="EA341" s="115"/>
      <c r="EB341" s="115"/>
      <c r="EC341" s="645"/>
      <c r="ED341" s="113" t="s">
        <v>1</v>
      </c>
    </row>
    <row r="342" spans="1:134" x14ac:dyDescent="0.2">
      <c r="A342" s="330" t="s">
        <v>40</v>
      </c>
      <c r="B342" s="131">
        <f t="shared" ref="B342:AK342" si="1140">SUM(B343:B346)</f>
        <v>1063614.1428571427</v>
      </c>
      <c r="C342" s="131">
        <f t="shared" si="1140"/>
        <v>1171810.1428571427</v>
      </c>
      <c r="D342" s="131">
        <f t="shared" si="1140"/>
        <v>1134855.1428571427</v>
      </c>
      <c r="E342" s="131">
        <f t="shared" si="1140"/>
        <v>1285917.1428571427</v>
      </c>
      <c r="F342" s="131">
        <f t="shared" si="1140"/>
        <v>1234087.1428571427</v>
      </c>
      <c r="G342" s="131">
        <f t="shared" si="1140"/>
        <v>1239079.4285714284</v>
      </c>
      <c r="H342" s="131">
        <f t="shared" si="1140"/>
        <v>1275190.7142857141</v>
      </c>
      <c r="I342" s="131">
        <f t="shared" si="1140"/>
        <v>1136396.7142857143</v>
      </c>
      <c r="J342" s="131">
        <f t="shared" si="1140"/>
        <v>1085702.1428571427</v>
      </c>
      <c r="K342" s="131">
        <f t="shared" si="1140"/>
        <v>902237</v>
      </c>
      <c r="L342" s="131">
        <f t="shared" si="1140"/>
        <v>981571</v>
      </c>
      <c r="M342" s="131">
        <f t="shared" si="1140"/>
        <v>1187626</v>
      </c>
      <c r="N342" s="131">
        <f t="shared" si="1140"/>
        <v>961155</v>
      </c>
      <c r="O342" s="131">
        <f t="shared" si="1140"/>
        <v>964291</v>
      </c>
      <c r="P342" s="131">
        <f t="shared" si="1140"/>
        <v>1004016.8571428572</v>
      </c>
      <c r="Q342" s="131">
        <f t="shared" si="1140"/>
        <v>1190054</v>
      </c>
      <c r="R342" s="131">
        <f t="shared" si="1140"/>
        <v>987449</v>
      </c>
      <c r="S342" s="131">
        <f t="shared" si="1140"/>
        <v>1070730</v>
      </c>
      <c r="T342" s="131">
        <f t="shared" si="1140"/>
        <v>1248472</v>
      </c>
      <c r="U342" s="131">
        <f t="shared" si="1140"/>
        <v>1200702</v>
      </c>
      <c r="V342" s="131">
        <f t="shared" si="1140"/>
        <v>1038842</v>
      </c>
      <c r="W342" s="131">
        <f t="shared" si="1140"/>
        <v>1299927</v>
      </c>
      <c r="X342" s="131">
        <f t="shared" si="1140"/>
        <v>1123920</v>
      </c>
      <c r="Y342" s="131">
        <f t="shared" si="1140"/>
        <v>995871</v>
      </c>
      <c r="Z342" s="131">
        <f t="shared" si="1140"/>
        <v>1313843.5239457542</v>
      </c>
      <c r="AA342" s="131">
        <f t="shared" si="1140"/>
        <v>1357600</v>
      </c>
      <c r="AB342" s="131">
        <f t="shared" si="1140"/>
        <v>1204526</v>
      </c>
      <c r="AC342" s="131">
        <f t="shared" si="1140"/>
        <v>1103126</v>
      </c>
      <c r="AD342" s="131">
        <f t="shared" si="1140"/>
        <v>1387242</v>
      </c>
      <c r="AE342" s="131">
        <f t="shared" si="1140"/>
        <v>1677452</v>
      </c>
      <c r="AF342" s="131">
        <f t="shared" si="1140"/>
        <v>1729440</v>
      </c>
      <c r="AG342" s="131">
        <f t="shared" si="1140"/>
        <v>1564097</v>
      </c>
      <c r="AH342" s="131">
        <f t="shared" si="1140"/>
        <v>1711388</v>
      </c>
      <c r="AI342" s="131">
        <f t="shared" si="1140"/>
        <v>1789371</v>
      </c>
      <c r="AJ342" s="131">
        <f t="shared" si="1140"/>
        <v>1675685</v>
      </c>
      <c r="AK342" s="131">
        <f t="shared" si="1140"/>
        <v>2271220</v>
      </c>
      <c r="AL342" s="131">
        <f>SUM(AL343:AL346)</f>
        <v>2090454</v>
      </c>
      <c r="AM342" s="131">
        <f t="shared" ref="AM342:CX342" si="1141">SUM(AM343:AM346)</f>
        <v>2550418</v>
      </c>
      <c r="AN342" s="131">
        <f t="shared" si="1141"/>
        <v>3026879</v>
      </c>
      <c r="AO342" s="131">
        <f t="shared" si="1141"/>
        <v>2878569</v>
      </c>
      <c r="AP342" s="131">
        <f t="shared" si="1141"/>
        <v>3009628</v>
      </c>
      <c r="AQ342" s="131">
        <f t="shared" si="1141"/>
        <v>5340998.4666582299</v>
      </c>
      <c r="AR342" s="131">
        <f t="shared" si="1141"/>
        <v>6598978</v>
      </c>
      <c r="AS342" s="131">
        <f t="shared" si="1141"/>
        <v>3817100</v>
      </c>
      <c r="AT342" s="131">
        <f t="shared" si="1141"/>
        <v>4692803</v>
      </c>
      <c r="AU342" s="131">
        <f t="shared" si="1141"/>
        <v>4370305</v>
      </c>
      <c r="AV342" s="131">
        <f t="shared" si="1141"/>
        <v>4602192</v>
      </c>
      <c r="AW342" s="131">
        <f t="shared" si="1141"/>
        <v>5441928</v>
      </c>
      <c r="AX342" s="131">
        <f t="shared" si="1141"/>
        <v>5427317</v>
      </c>
      <c r="AY342" s="131">
        <f t="shared" si="1141"/>
        <v>6094636.179551282</v>
      </c>
      <c r="AZ342" s="131">
        <f t="shared" si="1141"/>
        <v>6661770.3176923059</v>
      </c>
      <c r="BA342" s="131">
        <f t="shared" si="1141"/>
        <v>5991644.9809711371</v>
      </c>
      <c r="BB342" s="131">
        <f t="shared" si="1141"/>
        <v>5675555.1115059126</v>
      </c>
      <c r="BC342" s="131">
        <f t="shared" si="1141"/>
        <v>8598734.0565006323</v>
      </c>
      <c r="BD342" s="131">
        <f t="shared" si="1141"/>
        <v>10294440.986447815</v>
      </c>
      <c r="BE342" s="131">
        <f t="shared" si="1141"/>
        <v>7182110.0441603605</v>
      </c>
      <c r="BF342" s="131">
        <f t="shared" si="1141"/>
        <v>7341717.4429592099</v>
      </c>
      <c r="BG342" s="131">
        <f t="shared" si="1141"/>
        <v>6636433.1251996662</v>
      </c>
      <c r="BH342" s="131">
        <f t="shared" si="1141"/>
        <v>6651669.7328090565</v>
      </c>
      <c r="BI342" s="131">
        <f t="shared" si="1141"/>
        <v>6304244.8900692509</v>
      </c>
      <c r="BJ342" s="131">
        <f t="shared" si="1141"/>
        <v>7239708.0533900065</v>
      </c>
      <c r="BK342" s="131">
        <f t="shared" si="1141"/>
        <v>7460076.6133514112</v>
      </c>
      <c r="BL342" s="131">
        <f t="shared" si="1141"/>
        <v>6744994.6212526811</v>
      </c>
      <c r="BM342" s="131">
        <f t="shared" si="1141"/>
        <v>6500101.0562241171</v>
      </c>
      <c r="BN342" s="131">
        <f t="shared" si="1141"/>
        <v>7367840.2220355188</v>
      </c>
      <c r="BO342" s="131">
        <f t="shared" si="1141"/>
        <v>7046712.5116620976</v>
      </c>
      <c r="BP342" s="131">
        <f t="shared" si="1141"/>
        <v>8149573.9116530772</v>
      </c>
      <c r="BQ342" s="131">
        <f t="shared" si="1141"/>
        <v>7228632.719450457</v>
      </c>
      <c r="BR342" s="131">
        <f t="shared" si="1141"/>
        <v>7307532.0051790886</v>
      </c>
      <c r="BS342" s="131">
        <f t="shared" si="1141"/>
        <v>7242182.1301233498</v>
      </c>
      <c r="BT342" s="131">
        <f t="shared" si="1141"/>
        <v>6791082.8645835146</v>
      </c>
      <c r="BU342" s="131">
        <f t="shared" si="1141"/>
        <v>6688512.1478825826</v>
      </c>
      <c r="BV342" s="131">
        <f t="shared" si="1141"/>
        <v>7340465.5510260146</v>
      </c>
      <c r="BW342" s="131">
        <f t="shared" si="1141"/>
        <v>7474643.7291403618</v>
      </c>
      <c r="BX342" s="131">
        <f t="shared" si="1141"/>
        <v>7728766.0601704735</v>
      </c>
      <c r="BY342" s="131">
        <f t="shared" si="1141"/>
        <v>7560010.1715115858</v>
      </c>
      <c r="BZ342" s="131">
        <f t="shared" si="1141"/>
        <v>7822819.6773071196</v>
      </c>
      <c r="CA342" s="131">
        <f t="shared" si="1141"/>
        <v>7519220.9984555757</v>
      </c>
      <c r="CB342" s="131">
        <f t="shared" si="1141"/>
        <v>8164981.087384304</v>
      </c>
      <c r="CC342" s="131">
        <f t="shared" si="1141"/>
        <v>7740924.6244842391</v>
      </c>
      <c r="CD342" s="131">
        <f t="shared" si="1141"/>
        <v>7945353.2550098179</v>
      </c>
      <c r="CE342" s="131">
        <f t="shared" si="1141"/>
        <v>8476297.0566480923</v>
      </c>
      <c r="CF342" s="131">
        <f t="shared" si="1141"/>
        <v>8271961.6025343696</v>
      </c>
      <c r="CG342" s="131">
        <f t="shared" si="1141"/>
        <v>10459133.527879855</v>
      </c>
      <c r="CH342" s="131">
        <f t="shared" si="1141"/>
        <v>10029113.140107088</v>
      </c>
      <c r="CI342" s="131">
        <f t="shared" si="1141"/>
        <v>9916440.1582132094</v>
      </c>
      <c r="CJ342" s="131">
        <f t="shared" si="1141"/>
        <v>10470189.62770604</v>
      </c>
      <c r="CK342" s="131">
        <f t="shared" si="1141"/>
        <v>11201471.067289051</v>
      </c>
      <c r="CL342" s="131">
        <f t="shared" si="1141"/>
        <v>9906228.1274996903</v>
      </c>
      <c r="CM342" s="131">
        <f t="shared" si="1141"/>
        <v>10169151.284843663</v>
      </c>
      <c r="CN342" s="131">
        <f t="shared" si="1141"/>
        <v>11605641.416522076</v>
      </c>
      <c r="CO342" s="131">
        <f t="shared" si="1141"/>
        <v>10127513.669346314</v>
      </c>
      <c r="CP342" s="131">
        <f t="shared" si="1141"/>
        <v>9360491.1165597625</v>
      </c>
      <c r="CQ342" s="131">
        <f t="shared" si="1141"/>
        <v>10977082.446090035</v>
      </c>
      <c r="CR342" s="131">
        <f t="shared" si="1141"/>
        <v>9598749.5381732509</v>
      </c>
      <c r="CS342" s="131">
        <f t="shared" si="1141"/>
        <v>10716365.549841955</v>
      </c>
      <c r="CT342" s="131">
        <f t="shared" si="1141"/>
        <v>12004456.405828619</v>
      </c>
      <c r="CU342" s="131">
        <f t="shared" si="1141"/>
        <v>12004456.405828619</v>
      </c>
      <c r="CV342" s="131">
        <f t="shared" si="1141"/>
        <v>12004456.405828619</v>
      </c>
      <c r="CW342" s="131">
        <f t="shared" si="1141"/>
        <v>12004456.405828619</v>
      </c>
      <c r="CX342" s="131">
        <f t="shared" si="1141"/>
        <v>12004456.405828619</v>
      </c>
      <c r="CY342" s="131">
        <f t="shared" ref="CY342:DQ342" si="1142">SUM(CY343:CY346)</f>
        <v>12004456.405828619</v>
      </c>
      <c r="CZ342" s="131">
        <f t="shared" si="1142"/>
        <v>12004456.405828619</v>
      </c>
      <c r="DA342" s="131">
        <f t="shared" si="1142"/>
        <v>12004456.405828619</v>
      </c>
      <c r="DB342" s="131">
        <f t="shared" si="1142"/>
        <v>12004456.405828619</v>
      </c>
      <c r="DC342" s="131">
        <f t="shared" si="1142"/>
        <v>12004456.405828619</v>
      </c>
      <c r="DD342" s="131">
        <f t="shared" si="1142"/>
        <v>12004456.405828619</v>
      </c>
      <c r="DE342" s="131">
        <f t="shared" si="1142"/>
        <v>12004456.405828619</v>
      </c>
      <c r="DF342" s="131">
        <f t="shared" si="1142"/>
        <v>12951915.693294909</v>
      </c>
      <c r="DG342" s="131">
        <f t="shared" si="1142"/>
        <v>12951915.693294909</v>
      </c>
      <c r="DH342" s="131">
        <f t="shared" si="1142"/>
        <v>12951915.693294909</v>
      </c>
      <c r="DI342" s="131">
        <f t="shared" si="1142"/>
        <v>12951915.693294909</v>
      </c>
      <c r="DJ342" s="131">
        <f t="shared" si="1142"/>
        <v>12951915.693294909</v>
      </c>
      <c r="DK342" s="131">
        <f t="shared" si="1142"/>
        <v>12951915.693294909</v>
      </c>
      <c r="DL342" s="131">
        <f t="shared" si="1142"/>
        <v>12951915.693294909</v>
      </c>
      <c r="DM342" s="131">
        <f t="shared" si="1142"/>
        <v>12951915.693294909</v>
      </c>
      <c r="DN342" s="131">
        <f t="shared" si="1142"/>
        <v>12951915.693294909</v>
      </c>
      <c r="DO342" s="131">
        <f t="shared" si="1142"/>
        <v>12951915.693294909</v>
      </c>
      <c r="DP342" s="131">
        <f t="shared" si="1142"/>
        <v>12951915.693294909</v>
      </c>
      <c r="DQ342" s="131">
        <f t="shared" si="1142"/>
        <v>12951915.693294909</v>
      </c>
      <c r="DR342" s="131">
        <f t="shared" ref="DR342:EC342" si="1143">SUM(DR343:DR346)</f>
        <v>13974526.862508506</v>
      </c>
      <c r="DS342" s="131">
        <f t="shared" si="1143"/>
        <v>13974526.862508506</v>
      </c>
      <c r="DT342" s="131">
        <f t="shared" si="1143"/>
        <v>13974526.862508506</v>
      </c>
      <c r="DU342" s="131">
        <f t="shared" si="1143"/>
        <v>13974526.862508506</v>
      </c>
      <c r="DV342" s="131">
        <f t="shared" si="1143"/>
        <v>13974526.862508506</v>
      </c>
      <c r="DW342" s="131">
        <f t="shared" si="1143"/>
        <v>13974526.862508506</v>
      </c>
      <c r="DX342" s="131">
        <f t="shared" si="1143"/>
        <v>13974526.862508506</v>
      </c>
      <c r="DY342" s="131">
        <f t="shared" si="1143"/>
        <v>13974526.862508506</v>
      </c>
      <c r="DZ342" s="131">
        <f t="shared" si="1143"/>
        <v>13974526.862508506</v>
      </c>
      <c r="EA342" s="131">
        <f t="shared" si="1143"/>
        <v>13974526.862508506</v>
      </c>
      <c r="EB342" s="131">
        <f t="shared" si="1143"/>
        <v>13974526.862508506</v>
      </c>
      <c r="EC342" s="131">
        <f t="shared" si="1143"/>
        <v>13974526.862508506</v>
      </c>
      <c r="ED342" s="113" t="s">
        <v>1</v>
      </c>
    </row>
    <row r="343" spans="1:134" x14ac:dyDescent="0.2">
      <c r="A343" s="698" t="s">
        <v>72</v>
      </c>
      <c r="B343" s="129">
        <v>678411.14285714284</v>
      </c>
      <c r="C343" s="129">
        <v>802238.14285714284</v>
      </c>
      <c r="D343" s="129">
        <v>828929.14285714284</v>
      </c>
      <c r="E343" s="129">
        <v>1046834.1428571428</v>
      </c>
      <c r="F343" s="129">
        <v>1078804.1428571427</v>
      </c>
      <c r="G343" s="129">
        <v>1132019.4285714284</v>
      </c>
      <c r="H343" s="129">
        <v>1160996.7142857141</v>
      </c>
      <c r="I343" s="129">
        <v>1020363.7142857143</v>
      </c>
      <c r="J343" s="129">
        <v>975999.14285714284</v>
      </c>
      <c r="K343" s="129">
        <v>792126</v>
      </c>
      <c r="L343" s="129">
        <v>844368</v>
      </c>
      <c r="M343" s="129">
        <v>1063559</v>
      </c>
      <c r="N343" s="129">
        <v>832659</v>
      </c>
      <c r="O343" s="129">
        <v>811768</v>
      </c>
      <c r="P343" s="129">
        <v>858337.85714285716</v>
      </c>
      <c r="Q343" s="129">
        <v>1024713</v>
      </c>
      <c r="R343" s="129">
        <v>817335</v>
      </c>
      <c r="S343" s="129">
        <v>876783</v>
      </c>
      <c r="T343" s="129">
        <v>1068113</v>
      </c>
      <c r="U343" s="129">
        <v>948619</v>
      </c>
      <c r="V343" s="129">
        <v>787457</v>
      </c>
      <c r="W343" s="129">
        <v>1029154</v>
      </c>
      <c r="X343" s="129">
        <v>864921</v>
      </c>
      <c r="Y343" s="129">
        <v>747065</v>
      </c>
      <c r="Z343" s="129">
        <v>943354</v>
      </c>
      <c r="AA343" s="129">
        <v>850602</v>
      </c>
      <c r="AB343" s="129">
        <v>810227</v>
      </c>
      <c r="AC343" s="129">
        <v>701565</v>
      </c>
      <c r="AD343" s="129">
        <v>879980</v>
      </c>
      <c r="AE343" s="129">
        <v>769687</v>
      </c>
      <c r="AF343" s="129">
        <v>870930</v>
      </c>
      <c r="AG343" s="129">
        <v>791196</v>
      </c>
      <c r="AH343" s="129">
        <v>865006</v>
      </c>
      <c r="AI343" s="129">
        <v>968054</v>
      </c>
      <c r="AJ343" s="129">
        <v>888985</v>
      </c>
      <c r="AK343" s="129">
        <v>1396479</v>
      </c>
      <c r="AL343" s="129">
        <v>970690</v>
      </c>
      <c r="AM343" s="129">
        <v>957790</v>
      </c>
      <c r="AN343" s="129">
        <v>1431877</v>
      </c>
      <c r="AO343" s="129">
        <v>1426822</v>
      </c>
      <c r="AP343" s="129">
        <v>1737926</v>
      </c>
      <c r="AQ343" s="129">
        <v>1921748.07</v>
      </c>
      <c r="AR343" s="129">
        <v>1724435</v>
      </c>
      <c r="AS343" s="129">
        <v>1956096</v>
      </c>
      <c r="AT343" s="129">
        <v>2578855</v>
      </c>
      <c r="AU343" s="129">
        <v>2431065</v>
      </c>
      <c r="AV343" s="129">
        <v>2649636</v>
      </c>
      <c r="AW343" s="129">
        <v>3305177</v>
      </c>
      <c r="AX343" s="129">
        <v>3384400</v>
      </c>
      <c r="AY343" s="129">
        <v>3837152.179551282</v>
      </c>
      <c r="AZ343" s="129">
        <v>4391416.3176923059</v>
      </c>
      <c r="BA343" s="129">
        <v>3870671.1553846151</v>
      </c>
      <c r="BB343" s="129">
        <v>3810763.694679488</v>
      </c>
      <c r="BC343" s="129">
        <v>4203883.7696153857</v>
      </c>
      <c r="BD343" s="129">
        <v>3813878.1066025649</v>
      </c>
      <c r="BE343" s="129">
        <v>3917583.2440384612</v>
      </c>
      <c r="BF343" s="129">
        <v>3661444.933459471</v>
      </c>
      <c r="BG343" s="129">
        <v>3735862.7416666667</v>
      </c>
      <c r="BH343" s="129">
        <v>3568441.692307692</v>
      </c>
      <c r="BI343" s="129">
        <v>3285130.1492307694</v>
      </c>
      <c r="BJ343" s="129">
        <v>4787668.1058095098</v>
      </c>
      <c r="BK343" s="129">
        <v>4860581.7754248902</v>
      </c>
      <c r="BL343" s="129">
        <v>4273270.4431410301</v>
      </c>
      <c r="BM343" s="129">
        <v>4280586.3778205123</v>
      </c>
      <c r="BN343" s="129">
        <v>4773875.2601282001</v>
      </c>
      <c r="BO343" s="129">
        <v>3972558.7436538497</v>
      </c>
      <c r="BP343" s="129">
        <v>4984655.7717307704</v>
      </c>
      <c r="BQ343" s="129">
        <v>4459498.2475641016</v>
      </c>
      <c r="BR343" s="129">
        <v>4375010.8123717951</v>
      </c>
      <c r="BS343" s="129">
        <v>4567202.2783333333</v>
      </c>
      <c r="BT343" s="129">
        <v>4207100.8091025641</v>
      </c>
      <c r="BU343" s="129">
        <v>4321778.9221153902</v>
      </c>
      <c r="BV343" s="129">
        <v>4851279.8871153798</v>
      </c>
      <c r="BW343" s="129">
        <v>4904437.9953846103</v>
      </c>
      <c r="BX343" s="129">
        <v>4915038.4519871799</v>
      </c>
      <c r="BY343" s="129">
        <v>5077429.4928846201</v>
      </c>
      <c r="BZ343" s="129">
        <v>4871472.6641025636</v>
      </c>
      <c r="CA343" s="129">
        <v>4877722.0525000012</v>
      </c>
      <c r="CB343" s="129">
        <v>5641629.6778205102</v>
      </c>
      <c r="CC343" s="129">
        <v>5035906.878461537</v>
      </c>
      <c r="CD343" s="129">
        <v>5379150.9874358997</v>
      </c>
      <c r="CE343" s="129">
        <v>5642708.3550640997</v>
      </c>
      <c r="CF343" s="129">
        <v>5560350.5030769221</v>
      </c>
      <c r="CG343" s="129">
        <v>6064680.9310897402</v>
      </c>
      <c r="CH343" s="129">
        <v>6994107.2767307702</v>
      </c>
      <c r="CI343" s="129">
        <v>6671192.4108974403</v>
      </c>
      <c r="CJ343" s="129">
        <v>6900084.68717949</v>
      </c>
      <c r="CK343" s="129">
        <v>6964542.5253205104</v>
      </c>
      <c r="CL343" s="129">
        <v>6263484.5226282049</v>
      </c>
      <c r="CM343" s="129">
        <v>6645066.55217948</v>
      </c>
      <c r="CN343" s="129">
        <v>8440320.2827564105</v>
      </c>
      <c r="CO343" s="129">
        <v>6843066.8335256502</v>
      </c>
      <c r="CP343" s="129">
        <v>6562674.1144230813</v>
      </c>
      <c r="CQ343" s="129">
        <v>8347558.5867307801</v>
      </c>
      <c r="CR343" s="129">
        <v>7120731.8822435997</v>
      </c>
      <c r="CS343" s="129">
        <v>8074351.5946794897</v>
      </c>
      <c r="CT343" s="129">
        <f>CS343*(1+CT350)</f>
        <v>8720299.7222538497</v>
      </c>
      <c r="CU343" s="129">
        <f t="shared" ref="CU343:DQ343" si="1144">CT343*(1+CU350)</f>
        <v>8720299.7222538497</v>
      </c>
      <c r="CV343" s="129">
        <f t="shared" si="1144"/>
        <v>8720299.7222538497</v>
      </c>
      <c r="CW343" s="129">
        <f t="shared" si="1144"/>
        <v>8720299.7222538497</v>
      </c>
      <c r="CX343" s="129">
        <f t="shared" si="1144"/>
        <v>8720299.7222538497</v>
      </c>
      <c r="CY343" s="129">
        <f t="shared" si="1144"/>
        <v>8720299.7222538497</v>
      </c>
      <c r="CZ343" s="129">
        <f t="shared" si="1144"/>
        <v>8720299.7222538497</v>
      </c>
      <c r="DA343" s="129">
        <f t="shared" si="1144"/>
        <v>8720299.7222538497</v>
      </c>
      <c r="DB343" s="129">
        <f t="shared" si="1144"/>
        <v>8720299.7222538497</v>
      </c>
      <c r="DC343" s="129">
        <f t="shared" si="1144"/>
        <v>8720299.7222538497</v>
      </c>
      <c r="DD343" s="129">
        <f t="shared" si="1144"/>
        <v>8720299.7222538497</v>
      </c>
      <c r="DE343" s="129">
        <f t="shared" si="1144"/>
        <v>8720299.7222538497</v>
      </c>
      <c r="DF343" s="129">
        <f t="shared" si="1144"/>
        <v>9417923.7000341583</v>
      </c>
      <c r="DG343" s="129">
        <f t="shared" si="1144"/>
        <v>9417923.7000341583</v>
      </c>
      <c r="DH343" s="129">
        <f t="shared" si="1144"/>
        <v>9417923.7000341583</v>
      </c>
      <c r="DI343" s="129">
        <f t="shared" si="1144"/>
        <v>9417923.7000341583</v>
      </c>
      <c r="DJ343" s="129">
        <f t="shared" si="1144"/>
        <v>9417923.7000341583</v>
      </c>
      <c r="DK343" s="129">
        <f t="shared" si="1144"/>
        <v>9417923.7000341583</v>
      </c>
      <c r="DL343" s="129">
        <f t="shared" si="1144"/>
        <v>9417923.7000341583</v>
      </c>
      <c r="DM343" s="129">
        <f t="shared" si="1144"/>
        <v>9417923.7000341583</v>
      </c>
      <c r="DN343" s="129">
        <f t="shared" si="1144"/>
        <v>9417923.7000341583</v>
      </c>
      <c r="DO343" s="129">
        <f t="shared" si="1144"/>
        <v>9417923.7000341583</v>
      </c>
      <c r="DP343" s="129">
        <f t="shared" si="1144"/>
        <v>9417923.7000341583</v>
      </c>
      <c r="DQ343" s="129">
        <f t="shared" si="1144"/>
        <v>9417923.7000341583</v>
      </c>
      <c r="DR343" s="129">
        <f t="shared" ref="DR343" si="1145">DQ343*(1+DR350)</f>
        <v>10171357.596036892</v>
      </c>
      <c r="DS343" s="129">
        <f t="shared" ref="DS343" si="1146">DR343*(1+DS350)</f>
        <v>10171357.596036892</v>
      </c>
      <c r="DT343" s="129">
        <f t="shared" ref="DT343" si="1147">DS343*(1+DT350)</f>
        <v>10171357.596036892</v>
      </c>
      <c r="DU343" s="129">
        <f t="shared" ref="DU343" si="1148">DT343*(1+DU350)</f>
        <v>10171357.596036892</v>
      </c>
      <c r="DV343" s="129">
        <f t="shared" ref="DV343" si="1149">DU343*(1+DV350)</f>
        <v>10171357.596036892</v>
      </c>
      <c r="DW343" s="129">
        <f t="shared" ref="DW343" si="1150">DV343*(1+DW350)</f>
        <v>10171357.596036892</v>
      </c>
      <c r="DX343" s="129">
        <f t="shared" ref="DX343" si="1151">DW343*(1+DX350)</f>
        <v>10171357.596036892</v>
      </c>
      <c r="DY343" s="129">
        <f t="shared" ref="DY343" si="1152">DX343*(1+DY350)</f>
        <v>10171357.596036892</v>
      </c>
      <c r="DZ343" s="129">
        <f t="shared" ref="DZ343" si="1153">DY343*(1+DZ350)</f>
        <v>10171357.596036892</v>
      </c>
      <c r="EA343" s="129">
        <f t="shared" ref="EA343" si="1154">DZ343*(1+EA350)</f>
        <v>10171357.596036892</v>
      </c>
      <c r="EB343" s="129">
        <f t="shared" ref="EB343" si="1155">EA343*(1+EB350)</f>
        <v>10171357.596036892</v>
      </c>
      <c r="EC343" s="129">
        <f t="shared" ref="EC343" si="1156">EB343*(1+EC350)</f>
        <v>10171357.596036892</v>
      </c>
      <c r="ED343" s="113" t="s">
        <v>1</v>
      </c>
    </row>
    <row r="344" spans="1:134" x14ac:dyDescent="0.2">
      <c r="A344" s="698" t="s">
        <v>152</v>
      </c>
      <c r="B344" s="129">
        <v>385203</v>
      </c>
      <c r="C344" s="129">
        <v>369572</v>
      </c>
      <c r="D344" s="129">
        <v>305926</v>
      </c>
      <c r="E344" s="129">
        <v>239083</v>
      </c>
      <c r="F344" s="129">
        <v>155283</v>
      </c>
      <c r="G344" s="129">
        <v>107060</v>
      </c>
      <c r="H344" s="129">
        <v>114194</v>
      </c>
      <c r="I344" s="129">
        <v>116033</v>
      </c>
      <c r="J344" s="129">
        <v>109703</v>
      </c>
      <c r="K344" s="129">
        <v>110111</v>
      </c>
      <c r="L344" s="129">
        <v>137203</v>
      </c>
      <c r="M344" s="129">
        <v>124067</v>
      </c>
      <c r="N344" s="129">
        <v>128496</v>
      </c>
      <c r="O344" s="129">
        <v>152523</v>
      </c>
      <c r="P344" s="129">
        <v>145679</v>
      </c>
      <c r="Q344" s="129">
        <v>165341</v>
      </c>
      <c r="R344" s="129">
        <v>170114</v>
      </c>
      <c r="S344" s="129">
        <v>193947</v>
      </c>
      <c r="T344" s="129">
        <v>180359</v>
      </c>
      <c r="U344" s="129">
        <v>252083</v>
      </c>
      <c r="V344" s="129">
        <v>251385</v>
      </c>
      <c r="W344" s="129">
        <v>270773</v>
      </c>
      <c r="X344" s="129">
        <v>258999</v>
      </c>
      <c r="Y344" s="129">
        <v>248806</v>
      </c>
      <c r="Z344" s="129">
        <v>370489.52394575422</v>
      </c>
      <c r="AA344" s="129">
        <v>506998</v>
      </c>
      <c r="AB344" s="129">
        <v>394299</v>
      </c>
      <c r="AC344" s="129">
        <v>401561</v>
      </c>
      <c r="AD344" s="129">
        <v>507262</v>
      </c>
      <c r="AE344" s="129">
        <v>907765</v>
      </c>
      <c r="AF344" s="129">
        <v>858510</v>
      </c>
      <c r="AG344" s="129">
        <v>772901</v>
      </c>
      <c r="AH344" s="129">
        <v>846382</v>
      </c>
      <c r="AI344" s="129">
        <v>821317</v>
      </c>
      <c r="AJ344" s="129">
        <v>786700</v>
      </c>
      <c r="AK344" s="129">
        <v>874741</v>
      </c>
      <c r="AL344" s="129">
        <v>1119764</v>
      </c>
      <c r="AM344" s="129">
        <v>1592628</v>
      </c>
      <c r="AN344" s="129">
        <v>1595002</v>
      </c>
      <c r="AO344" s="129">
        <v>1451747</v>
      </c>
      <c r="AP344" s="129">
        <v>1271702</v>
      </c>
      <c r="AQ344" s="129">
        <v>3419250.3966582301</v>
      </c>
      <c r="AR344" s="129">
        <v>4874543</v>
      </c>
      <c r="AS344" s="129">
        <v>1861004</v>
      </c>
      <c r="AT344" s="129">
        <v>2113948</v>
      </c>
      <c r="AU344" s="129">
        <v>1939240</v>
      </c>
      <c r="AV344" s="129">
        <v>1952556</v>
      </c>
      <c r="AW344" s="129">
        <v>2136751</v>
      </c>
      <c r="AX344" s="129">
        <v>2042917</v>
      </c>
      <c r="AY344" s="129">
        <v>2257484</v>
      </c>
      <c r="AZ344" s="129">
        <v>2270354</v>
      </c>
      <c r="BA344" s="129">
        <v>2120973.825586522</v>
      </c>
      <c r="BB344" s="129">
        <v>1864791.4168264244</v>
      </c>
      <c r="BC344" s="129">
        <v>3911807.2868852457</v>
      </c>
      <c r="BD344" s="129">
        <v>6142334.8798452495</v>
      </c>
      <c r="BE344" s="129">
        <v>2885815.8001218992</v>
      </c>
      <c r="BF344" s="129">
        <v>3423809.5094997385</v>
      </c>
      <c r="BG344" s="129">
        <v>2878188.883533</v>
      </c>
      <c r="BH344" s="129">
        <v>3053987.5405013645</v>
      </c>
      <c r="BI344" s="129">
        <v>2978525.7408384816</v>
      </c>
      <c r="BJ344" s="129">
        <v>2431307.9475804968</v>
      </c>
      <c r="BK344" s="129">
        <v>2585429.837926521</v>
      </c>
      <c r="BL344" s="129">
        <v>2246268.178111651</v>
      </c>
      <c r="BM344" s="129">
        <v>2178790.6784036048</v>
      </c>
      <c r="BN344" s="129">
        <v>2477189.9619073188</v>
      </c>
      <c r="BO344" s="129">
        <v>2952533.7680082479</v>
      </c>
      <c r="BP344" s="129">
        <v>3043298.1399223064</v>
      </c>
      <c r="BQ344" s="129">
        <v>2718987.4718863559</v>
      </c>
      <c r="BR344" s="129">
        <v>2817016.1928072935</v>
      </c>
      <c r="BS344" s="129">
        <v>2659997.8517900165</v>
      </c>
      <c r="BT344" s="129">
        <v>2495233.05548095</v>
      </c>
      <c r="BU344" s="129">
        <v>2333183.225767192</v>
      </c>
      <c r="BV344" s="129">
        <v>2377955.6639106353</v>
      </c>
      <c r="BW344" s="129">
        <v>2440845.733755751</v>
      </c>
      <c r="BX344" s="129">
        <v>2684367.6081832936</v>
      </c>
      <c r="BY344" s="129">
        <v>2423230.6786269657</v>
      </c>
      <c r="BZ344" s="129">
        <v>2443240.1032045553</v>
      </c>
      <c r="CA344" s="129">
        <v>2533646.9459555745</v>
      </c>
      <c r="CB344" s="129">
        <v>2406689.9895637939</v>
      </c>
      <c r="CC344" s="129">
        <v>2515920.2460227017</v>
      </c>
      <c r="CD344" s="129">
        <v>2393329.1475739176</v>
      </c>
      <c r="CE344" s="129">
        <v>2602927.7015839927</v>
      </c>
      <c r="CF344" s="129">
        <v>2562108.2294574478</v>
      </c>
      <c r="CG344" s="129">
        <v>2713544.5967901144</v>
      </c>
      <c r="CH344" s="129">
        <v>2765169.6633763174</v>
      </c>
      <c r="CI344" s="129">
        <v>2736405.9473157674</v>
      </c>
      <c r="CJ344" s="129">
        <v>3208706.9405265502</v>
      </c>
      <c r="CK344" s="129">
        <v>3851405.5419685398</v>
      </c>
      <c r="CL344" s="129">
        <v>3480039.6048714858</v>
      </c>
      <c r="CM344" s="129">
        <v>3191947.0026641823</v>
      </c>
      <c r="CN344" s="129">
        <v>2941818.3537656665</v>
      </c>
      <c r="CO344" s="129">
        <v>3019507.9758206648</v>
      </c>
      <c r="CP344" s="129">
        <v>2729744.2021366805</v>
      </c>
      <c r="CQ344" s="129">
        <v>2162436.8593592555</v>
      </c>
      <c r="CR344" s="129">
        <v>1918814.1559296511</v>
      </c>
      <c r="CS344" s="129">
        <v>2244993.9551624665</v>
      </c>
      <c r="CT344" s="129">
        <f>AVERAGE(CH344:CS344)*(1+CT352)</f>
        <v>2854249.1835747692</v>
      </c>
      <c r="CU344" s="129">
        <f t="shared" ref="CU344:DQ344" si="1157">CT344*(1+CU352)</f>
        <v>2854249.1835747692</v>
      </c>
      <c r="CV344" s="129">
        <f t="shared" si="1157"/>
        <v>2854249.1835747692</v>
      </c>
      <c r="CW344" s="129">
        <f t="shared" si="1157"/>
        <v>2854249.1835747692</v>
      </c>
      <c r="CX344" s="129">
        <f t="shared" si="1157"/>
        <v>2854249.1835747692</v>
      </c>
      <c r="CY344" s="129">
        <f t="shared" si="1157"/>
        <v>2854249.1835747692</v>
      </c>
      <c r="CZ344" s="129">
        <f t="shared" si="1157"/>
        <v>2854249.1835747692</v>
      </c>
      <c r="DA344" s="129">
        <f t="shared" si="1157"/>
        <v>2854249.1835747692</v>
      </c>
      <c r="DB344" s="129">
        <f t="shared" si="1157"/>
        <v>2854249.1835747692</v>
      </c>
      <c r="DC344" s="129">
        <f t="shared" si="1157"/>
        <v>2854249.1835747692</v>
      </c>
      <c r="DD344" s="129">
        <f t="shared" si="1157"/>
        <v>2854249.1835747692</v>
      </c>
      <c r="DE344" s="129">
        <f t="shared" si="1157"/>
        <v>2854249.1835747692</v>
      </c>
      <c r="DF344" s="129">
        <f t="shared" si="1157"/>
        <v>3082589.118260751</v>
      </c>
      <c r="DG344" s="129">
        <f t="shared" si="1157"/>
        <v>3082589.118260751</v>
      </c>
      <c r="DH344" s="129">
        <f t="shared" si="1157"/>
        <v>3082589.118260751</v>
      </c>
      <c r="DI344" s="129">
        <f t="shared" si="1157"/>
        <v>3082589.118260751</v>
      </c>
      <c r="DJ344" s="129">
        <f t="shared" si="1157"/>
        <v>3082589.118260751</v>
      </c>
      <c r="DK344" s="129">
        <f t="shared" si="1157"/>
        <v>3082589.118260751</v>
      </c>
      <c r="DL344" s="129">
        <f t="shared" si="1157"/>
        <v>3082589.118260751</v>
      </c>
      <c r="DM344" s="129">
        <f t="shared" si="1157"/>
        <v>3082589.118260751</v>
      </c>
      <c r="DN344" s="129">
        <f t="shared" si="1157"/>
        <v>3082589.118260751</v>
      </c>
      <c r="DO344" s="129">
        <f t="shared" si="1157"/>
        <v>3082589.118260751</v>
      </c>
      <c r="DP344" s="129">
        <f t="shared" si="1157"/>
        <v>3082589.118260751</v>
      </c>
      <c r="DQ344" s="129">
        <f t="shared" si="1157"/>
        <v>3082589.118260751</v>
      </c>
      <c r="DR344" s="129">
        <f t="shared" ref="DR344" si="1158">DQ344*(1+DR352)</f>
        <v>3329196.2477216115</v>
      </c>
      <c r="DS344" s="129">
        <f t="shared" ref="DS344" si="1159">DR344*(1+DS352)</f>
        <v>3329196.2477216115</v>
      </c>
      <c r="DT344" s="129">
        <f t="shared" ref="DT344" si="1160">DS344*(1+DT352)</f>
        <v>3329196.2477216115</v>
      </c>
      <c r="DU344" s="129">
        <f t="shared" ref="DU344" si="1161">DT344*(1+DU352)</f>
        <v>3329196.2477216115</v>
      </c>
      <c r="DV344" s="129">
        <f t="shared" ref="DV344" si="1162">DU344*(1+DV352)</f>
        <v>3329196.2477216115</v>
      </c>
      <c r="DW344" s="129">
        <f t="shared" ref="DW344" si="1163">DV344*(1+DW352)</f>
        <v>3329196.2477216115</v>
      </c>
      <c r="DX344" s="129">
        <f t="shared" ref="DX344" si="1164">DW344*(1+DX352)</f>
        <v>3329196.2477216115</v>
      </c>
      <c r="DY344" s="129">
        <f t="shared" ref="DY344" si="1165">DX344*(1+DY352)</f>
        <v>3329196.2477216115</v>
      </c>
      <c r="DZ344" s="129">
        <f t="shared" ref="DZ344" si="1166">DY344*(1+DZ352)</f>
        <v>3329196.2477216115</v>
      </c>
      <c r="EA344" s="129">
        <f t="shared" ref="EA344" si="1167">DZ344*(1+EA352)</f>
        <v>3329196.2477216115</v>
      </c>
      <c r="EB344" s="129">
        <f t="shared" ref="EB344" si="1168">EA344*(1+EB352)</f>
        <v>3329196.2477216115</v>
      </c>
      <c r="EC344" s="129">
        <f t="shared" ref="EC344" si="1169">EB344*(1+EC352)</f>
        <v>3329196.2477216115</v>
      </c>
      <c r="ED344" s="113" t="s">
        <v>1</v>
      </c>
    </row>
    <row r="345" spans="1:134" x14ac:dyDescent="0.2">
      <c r="A345" s="698" t="s">
        <v>51</v>
      </c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  <c r="AE345" s="129"/>
      <c r="AF345" s="129"/>
      <c r="AG345" s="129"/>
      <c r="AH345" s="129"/>
      <c r="AI345" s="129"/>
      <c r="AJ345" s="129"/>
      <c r="AK345" s="129"/>
      <c r="AL345" s="129">
        <v>0</v>
      </c>
      <c r="AM345" s="129">
        <v>0</v>
      </c>
      <c r="AN345" s="129">
        <v>0</v>
      </c>
      <c r="AO345" s="129">
        <v>0</v>
      </c>
      <c r="AP345" s="129">
        <v>0</v>
      </c>
      <c r="AQ345" s="129">
        <v>0</v>
      </c>
      <c r="AR345" s="129">
        <v>0</v>
      </c>
      <c r="AS345" s="129">
        <v>0</v>
      </c>
      <c r="AT345" s="129">
        <v>0</v>
      </c>
      <c r="AU345" s="129">
        <v>0</v>
      </c>
      <c r="AV345" s="129">
        <v>0</v>
      </c>
      <c r="AW345" s="129">
        <v>0</v>
      </c>
      <c r="AX345" s="129">
        <v>0</v>
      </c>
      <c r="AY345" s="129">
        <v>0</v>
      </c>
      <c r="AZ345" s="129">
        <v>0</v>
      </c>
      <c r="BA345" s="129">
        <v>0</v>
      </c>
      <c r="BB345" s="129">
        <v>0</v>
      </c>
      <c r="BC345" s="129">
        <v>483043</v>
      </c>
      <c r="BD345" s="129">
        <v>338228</v>
      </c>
      <c r="BE345" s="129">
        <v>378711</v>
      </c>
      <c r="BF345" s="129">
        <v>256463</v>
      </c>
      <c r="BG345" s="129">
        <v>22381.5</v>
      </c>
      <c r="BH345" s="129">
        <v>29240.5</v>
      </c>
      <c r="BI345" s="129">
        <v>40589</v>
      </c>
      <c r="BJ345" s="129">
        <v>20732</v>
      </c>
      <c r="BK345" s="129">
        <v>14065</v>
      </c>
      <c r="BL345" s="129">
        <v>225456</v>
      </c>
      <c r="BM345" s="129">
        <v>40724</v>
      </c>
      <c r="BN345" s="129">
        <v>116775</v>
      </c>
      <c r="BO345" s="129">
        <v>121620</v>
      </c>
      <c r="BP345" s="129">
        <v>121620</v>
      </c>
      <c r="BQ345" s="129">
        <v>50147</v>
      </c>
      <c r="BR345" s="129">
        <v>115505</v>
      </c>
      <c r="BS345" s="129">
        <v>14982</v>
      </c>
      <c r="BT345" s="129">
        <v>88749</v>
      </c>
      <c r="BU345" s="129">
        <v>33550</v>
      </c>
      <c r="BV345" s="129">
        <v>111230</v>
      </c>
      <c r="BW345" s="129">
        <v>129360</v>
      </c>
      <c r="BX345" s="129">
        <v>129360</v>
      </c>
      <c r="BY345" s="129">
        <v>59350</v>
      </c>
      <c r="BZ345" s="129">
        <v>241874</v>
      </c>
      <c r="CA345" s="129">
        <v>99027</v>
      </c>
      <c r="CB345" s="129">
        <v>112430</v>
      </c>
      <c r="CC345" s="129">
        <v>174062</v>
      </c>
      <c r="CD345" s="129">
        <v>62845</v>
      </c>
      <c r="CE345" s="129">
        <v>170336</v>
      </c>
      <c r="CF345" s="129">
        <v>91015</v>
      </c>
      <c r="CG345" s="129">
        <v>614892</v>
      </c>
      <c r="CH345" s="129">
        <v>238279.2</v>
      </c>
      <c r="CI345" s="129">
        <v>500290.8</v>
      </c>
      <c r="CJ345" s="129">
        <v>303079</v>
      </c>
      <c r="CK345" s="129">
        <v>107178</v>
      </c>
      <c r="CL345" s="129">
        <v>162704</v>
      </c>
      <c r="CM345" s="129">
        <v>288155.73</v>
      </c>
      <c r="CN345" s="129">
        <v>223502.78</v>
      </c>
      <c r="CO345" s="129">
        <v>262105.86</v>
      </c>
      <c r="CP345" s="129">
        <v>48072.800000000003</v>
      </c>
      <c r="CQ345" s="129">
        <v>240153</v>
      </c>
      <c r="CR345" s="129">
        <v>559203.5</v>
      </c>
      <c r="CS345" s="129">
        <v>390825</v>
      </c>
      <c r="CT345" s="129">
        <f t="shared" ref="CT345:DQ345" si="1170">CS345*(1+CT354)</f>
        <v>429907.50000000006</v>
      </c>
      <c r="CU345" s="129">
        <f t="shared" si="1170"/>
        <v>429907.50000000006</v>
      </c>
      <c r="CV345" s="129">
        <f t="shared" si="1170"/>
        <v>429907.50000000006</v>
      </c>
      <c r="CW345" s="129">
        <f t="shared" si="1170"/>
        <v>429907.50000000006</v>
      </c>
      <c r="CX345" s="129">
        <f t="shared" si="1170"/>
        <v>429907.50000000006</v>
      </c>
      <c r="CY345" s="129">
        <f t="shared" si="1170"/>
        <v>429907.50000000006</v>
      </c>
      <c r="CZ345" s="129">
        <f t="shared" si="1170"/>
        <v>429907.50000000006</v>
      </c>
      <c r="DA345" s="129">
        <f t="shared" si="1170"/>
        <v>429907.50000000006</v>
      </c>
      <c r="DB345" s="129">
        <f t="shared" si="1170"/>
        <v>429907.50000000006</v>
      </c>
      <c r="DC345" s="129">
        <f t="shared" si="1170"/>
        <v>429907.50000000006</v>
      </c>
      <c r="DD345" s="129">
        <f t="shared" si="1170"/>
        <v>429907.50000000006</v>
      </c>
      <c r="DE345" s="129">
        <f t="shared" si="1170"/>
        <v>429907.50000000006</v>
      </c>
      <c r="DF345" s="129">
        <f t="shared" si="1170"/>
        <v>451402.87500000006</v>
      </c>
      <c r="DG345" s="129">
        <f t="shared" si="1170"/>
        <v>451402.87500000006</v>
      </c>
      <c r="DH345" s="129">
        <f t="shared" si="1170"/>
        <v>451402.87500000006</v>
      </c>
      <c r="DI345" s="129">
        <f t="shared" si="1170"/>
        <v>451402.87500000006</v>
      </c>
      <c r="DJ345" s="129">
        <f t="shared" si="1170"/>
        <v>451402.87500000006</v>
      </c>
      <c r="DK345" s="129">
        <f t="shared" si="1170"/>
        <v>451402.87500000006</v>
      </c>
      <c r="DL345" s="129">
        <f t="shared" si="1170"/>
        <v>451402.87500000006</v>
      </c>
      <c r="DM345" s="129">
        <f t="shared" si="1170"/>
        <v>451402.87500000006</v>
      </c>
      <c r="DN345" s="129">
        <f t="shared" si="1170"/>
        <v>451402.87500000006</v>
      </c>
      <c r="DO345" s="129">
        <f t="shared" si="1170"/>
        <v>451402.87500000006</v>
      </c>
      <c r="DP345" s="129">
        <f t="shared" si="1170"/>
        <v>451402.87500000006</v>
      </c>
      <c r="DQ345" s="129">
        <f t="shared" si="1170"/>
        <v>451402.87500000006</v>
      </c>
      <c r="DR345" s="129">
        <f t="shared" ref="DR345" si="1171">DQ345*(1+DR354)</f>
        <v>473973.0187500001</v>
      </c>
      <c r="DS345" s="129">
        <f t="shared" ref="DS345" si="1172">DR345*(1+DS354)</f>
        <v>473973.0187500001</v>
      </c>
      <c r="DT345" s="129">
        <f t="shared" ref="DT345" si="1173">DS345*(1+DT354)</f>
        <v>473973.0187500001</v>
      </c>
      <c r="DU345" s="129">
        <f t="shared" ref="DU345" si="1174">DT345*(1+DU354)</f>
        <v>473973.0187500001</v>
      </c>
      <c r="DV345" s="129">
        <f t="shared" ref="DV345" si="1175">DU345*(1+DV354)</f>
        <v>473973.0187500001</v>
      </c>
      <c r="DW345" s="129">
        <f t="shared" ref="DW345" si="1176">DV345*(1+DW354)</f>
        <v>473973.0187500001</v>
      </c>
      <c r="DX345" s="129">
        <f t="shared" ref="DX345" si="1177">DW345*(1+DX354)</f>
        <v>473973.0187500001</v>
      </c>
      <c r="DY345" s="129">
        <f t="shared" ref="DY345" si="1178">DX345*(1+DY354)</f>
        <v>473973.0187500001</v>
      </c>
      <c r="DZ345" s="129">
        <f t="shared" ref="DZ345" si="1179">DY345*(1+DZ354)</f>
        <v>473973.0187500001</v>
      </c>
      <c r="EA345" s="129">
        <f t="shared" ref="EA345" si="1180">DZ345*(1+EA354)</f>
        <v>473973.0187500001</v>
      </c>
      <c r="EB345" s="129">
        <f t="shared" ref="EB345" si="1181">EA345*(1+EB354)</f>
        <v>473973.0187500001</v>
      </c>
      <c r="EC345" s="129">
        <f t="shared" ref="EC345" si="1182">EB345*(1+EC354)</f>
        <v>473973.0187500001</v>
      </c>
      <c r="ED345" s="113" t="s">
        <v>1</v>
      </c>
    </row>
    <row r="346" spans="1:134" x14ac:dyDescent="0.2">
      <c r="A346" s="698" t="s">
        <v>52</v>
      </c>
      <c r="B346" s="129">
        <v>0</v>
      </c>
      <c r="C346" s="129">
        <v>0</v>
      </c>
      <c r="D346" s="129">
        <v>0</v>
      </c>
      <c r="E346" s="129">
        <v>0</v>
      </c>
      <c r="F346" s="129">
        <v>0</v>
      </c>
      <c r="G346" s="129">
        <v>0</v>
      </c>
      <c r="H346" s="129">
        <v>0</v>
      </c>
      <c r="I346" s="129">
        <v>0</v>
      </c>
      <c r="J346" s="129">
        <v>0</v>
      </c>
      <c r="K346" s="129">
        <v>0</v>
      </c>
      <c r="L346" s="129">
        <v>0</v>
      </c>
      <c r="M346" s="129">
        <v>0</v>
      </c>
      <c r="N346" s="129">
        <v>0</v>
      </c>
      <c r="O346" s="129">
        <v>0</v>
      </c>
      <c r="P346" s="129">
        <v>0</v>
      </c>
      <c r="Q346" s="129">
        <v>0</v>
      </c>
      <c r="R346" s="129">
        <v>0</v>
      </c>
      <c r="S346" s="129">
        <v>0</v>
      </c>
      <c r="T346" s="129">
        <v>0</v>
      </c>
      <c r="U346" s="129">
        <v>0</v>
      </c>
      <c r="V346" s="129">
        <v>0</v>
      </c>
      <c r="W346" s="129">
        <v>0</v>
      </c>
      <c r="X346" s="129">
        <v>0</v>
      </c>
      <c r="Y346" s="129">
        <v>0</v>
      </c>
      <c r="Z346" s="129">
        <v>0</v>
      </c>
      <c r="AA346" s="129">
        <v>0</v>
      </c>
      <c r="AB346" s="129">
        <v>0</v>
      </c>
      <c r="AC346" s="129">
        <v>0</v>
      </c>
      <c r="AD346" s="129">
        <v>0</v>
      </c>
      <c r="AE346" s="129">
        <v>0</v>
      </c>
      <c r="AF346" s="129">
        <v>0</v>
      </c>
      <c r="AG346" s="129">
        <v>0</v>
      </c>
      <c r="AH346" s="129">
        <v>0</v>
      </c>
      <c r="AI346" s="129">
        <v>0</v>
      </c>
      <c r="AJ346" s="129">
        <v>0</v>
      </c>
      <c r="AK346" s="129">
        <v>0</v>
      </c>
      <c r="AL346" s="129"/>
      <c r="AM346" s="129"/>
      <c r="AN346" s="129"/>
      <c r="AO346" s="129"/>
      <c r="AP346" s="129"/>
      <c r="AQ346" s="129"/>
      <c r="AR346" s="129"/>
      <c r="AS346" s="129"/>
      <c r="AT346" s="129"/>
      <c r="AU346" s="129"/>
      <c r="AV346" s="129"/>
      <c r="AW346" s="129"/>
      <c r="AX346" s="129"/>
      <c r="AY346" s="129"/>
      <c r="AZ346" s="129"/>
      <c r="BA346" s="129"/>
      <c r="BB346" s="129"/>
      <c r="BC346" s="129"/>
      <c r="BD346" s="129"/>
      <c r="BE346" s="129"/>
      <c r="BF346" s="129"/>
      <c r="BG346" s="129"/>
      <c r="BH346" s="129"/>
      <c r="BI346" s="129"/>
      <c r="BJ346" s="129"/>
      <c r="BK346" s="129"/>
      <c r="BL346" s="129"/>
      <c r="BM346" s="129"/>
      <c r="BN346" s="129"/>
      <c r="BO346" s="129"/>
      <c r="BP346" s="129"/>
      <c r="BQ346" s="129"/>
      <c r="BR346" s="129"/>
      <c r="BS346" s="129">
        <v>0</v>
      </c>
      <c r="BT346" s="129">
        <v>0</v>
      </c>
      <c r="BU346" s="129">
        <v>0</v>
      </c>
      <c r="BV346" s="129">
        <v>0</v>
      </c>
      <c r="BW346" s="129">
        <v>0</v>
      </c>
      <c r="BX346" s="129">
        <v>0</v>
      </c>
      <c r="BY346" s="129">
        <v>0</v>
      </c>
      <c r="BZ346" s="129">
        <v>266232.91000000003</v>
      </c>
      <c r="CA346" s="129">
        <v>8825</v>
      </c>
      <c r="CB346" s="129">
        <v>4231.42</v>
      </c>
      <c r="CC346" s="129">
        <v>15035.5</v>
      </c>
      <c r="CD346" s="129">
        <v>110028.12</v>
      </c>
      <c r="CE346" s="129">
        <v>60325</v>
      </c>
      <c r="CF346" s="129">
        <v>58487.869999999995</v>
      </c>
      <c r="CG346" s="129">
        <v>1066016</v>
      </c>
      <c r="CH346" s="129">
        <v>31557</v>
      </c>
      <c r="CI346" s="129">
        <v>8551</v>
      </c>
      <c r="CJ346" s="129">
        <v>58319</v>
      </c>
      <c r="CK346" s="129">
        <v>278345</v>
      </c>
      <c r="CL346" s="129">
        <v>0</v>
      </c>
      <c r="CM346" s="129">
        <v>43982</v>
      </c>
      <c r="CN346" s="129">
        <v>0</v>
      </c>
      <c r="CO346" s="129">
        <v>2833</v>
      </c>
      <c r="CP346" s="129">
        <v>20000</v>
      </c>
      <c r="CQ346" s="129">
        <v>226934</v>
      </c>
      <c r="CR346" s="129">
        <v>0</v>
      </c>
      <c r="CS346" s="129">
        <v>6195</v>
      </c>
      <c r="CT346" s="129">
        <v>0</v>
      </c>
      <c r="CU346" s="129">
        <v>0</v>
      </c>
      <c r="CV346" s="129">
        <v>0</v>
      </c>
      <c r="CW346" s="129">
        <v>0</v>
      </c>
      <c r="CX346" s="129">
        <v>0</v>
      </c>
      <c r="CY346" s="129">
        <v>0</v>
      </c>
      <c r="CZ346" s="129">
        <v>0</v>
      </c>
      <c r="DA346" s="129">
        <v>0</v>
      </c>
      <c r="DB346" s="129">
        <v>0</v>
      </c>
      <c r="DC346" s="129">
        <v>0</v>
      </c>
      <c r="DD346" s="129">
        <v>0</v>
      </c>
      <c r="DE346" s="129">
        <v>0</v>
      </c>
      <c r="DF346" s="129">
        <v>0</v>
      </c>
      <c r="DG346" s="129">
        <v>0</v>
      </c>
      <c r="DH346" s="129">
        <v>0</v>
      </c>
      <c r="DI346" s="129">
        <v>0</v>
      </c>
      <c r="DJ346" s="129">
        <v>0</v>
      </c>
      <c r="DK346" s="129">
        <v>0</v>
      </c>
      <c r="DL346" s="129">
        <v>0</v>
      </c>
      <c r="DM346" s="129">
        <v>0</v>
      </c>
      <c r="DN346" s="129">
        <v>0</v>
      </c>
      <c r="DO346" s="129">
        <v>0</v>
      </c>
      <c r="DP346" s="129">
        <v>0</v>
      </c>
      <c r="DQ346" s="129">
        <v>0</v>
      </c>
      <c r="DR346" s="129">
        <v>0</v>
      </c>
      <c r="DS346" s="129">
        <v>0</v>
      </c>
      <c r="DT346" s="129">
        <v>0</v>
      </c>
      <c r="DU346" s="129">
        <v>0</v>
      </c>
      <c r="DV346" s="129">
        <v>0</v>
      </c>
      <c r="DW346" s="129">
        <v>0</v>
      </c>
      <c r="DX346" s="129">
        <v>0</v>
      </c>
      <c r="DY346" s="129">
        <v>0</v>
      </c>
      <c r="DZ346" s="129">
        <v>0</v>
      </c>
      <c r="EA346" s="129">
        <v>0</v>
      </c>
      <c r="EB346" s="129">
        <v>0</v>
      </c>
      <c r="EC346" s="129">
        <v>0</v>
      </c>
      <c r="ED346" s="113" t="s">
        <v>1</v>
      </c>
    </row>
    <row r="347" spans="1:134" x14ac:dyDescent="0.2">
      <c r="A347" s="713" t="s">
        <v>53</v>
      </c>
      <c r="B347" s="133">
        <f>B342/B333</f>
        <v>0.24916208599424627</v>
      </c>
      <c r="C347" s="133">
        <f t="shared" ref="C347:AK347" si="1183">C342/C333</f>
        <v>0.18477458938659763</v>
      </c>
      <c r="D347" s="133">
        <f t="shared" si="1183"/>
        <v>0.19294219884545358</v>
      </c>
      <c r="E347" s="133">
        <f t="shared" si="1183"/>
        <v>0.25320831129244842</v>
      </c>
      <c r="F347" s="133">
        <f t="shared" si="1183"/>
        <v>0.40536061173503202</v>
      </c>
      <c r="G347" s="133">
        <f t="shared" si="1183"/>
        <v>0.54839044161030948</v>
      </c>
      <c r="H347" s="133">
        <f t="shared" si="1183"/>
        <v>0.45670647988758251</v>
      </c>
      <c r="I347" s="133">
        <f t="shared" si="1183"/>
        <v>0.45481793193548897</v>
      </c>
      <c r="J347" s="133">
        <f t="shared" si="1183"/>
        <v>0.34104051638060595</v>
      </c>
      <c r="K347" s="133">
        <f t="shared" si="1183"/>
        <v>0.27006178659707969</v>
      </c>
      <c r="L347" s="133">
        <f t="shared" si="1183"/>
        <v>0.3314269642169182</v>
      </c>
      <c r="M347" s="133">
        <f t="shared" si="1183"/>
        <v>0.44019488835062109</v>
      </c>
      <c r="N347" s="133">
        <f t="shared" si="1183"/>
        <v>0.36182396247197574</v>
      </c>
      <c r="O347" s="133">
        <f t="shared" si="1183"/>
        <v>0.32300328612267254</v>
      </c>
      <c r="P347" s="133">
        <f t="shared" si="1183"/>
        <v>0.32681830634772807</v>
      </c>
      <c r="Q347" s="133">
        <f t="shared" si="1183"/>
        <v>0.34031052641361864</v>
      </c>
      <c r="R347" s="133">
        <f t="shared" si="1183"/>
        <v>0.26226208280579411</v>
      </c>
      <c r="S347" s="133">
        <f t="shared" si="1183"/>
        <v>0.28296942815983583</v>
      </c>
      <c r="T347" s="133">
        <f t="shared" si="1183"/>
        <v>0.25598843894605444</v>
      </c>
      <c r="U347" s="133">
        <f t="shared" si="1183"/>
        <v>0.33205180961989023</v>
      </c>
      <c r="V347" s="133">
        <f t="shared" si="1183"/>
        <v>0.2766042424071371</v>
      </c>
      <c r="W347" s="133">
        <f t="shared" si="1183"/>
        <v>0.29983192323687197</v>
      </c>
      <c r="X347" s="133">
        <f t="shared" si="1183"/>
        <v>0.27818183843266542</v>
      </c>
      <c r="Y347" s="133">
        <f t="shared" si="1183"/>
        <v>0.30111900155840199</v>
      </c>
      <c r="Z347" s="133">
        <f t="shared" si="1183"/>
        <v>22.132363996862594</v>
      </c>
      <c r="AA347" s="133">
        <f t="shared" si="1183"/>
        <v>0.6959881226776472</v>
      </c>
      <c r="AB347" s="133">
        <f t="shared" si="1183"/>
        <v>0.19845182906194694</v>
      </c>
      <c r="AC347" s="133">
        <f t="shared" si="1183"/>
        <v>0.12138906043054191</v>
      </c>
      <c r="AD347" s="133">
        <f t="shared" si="1183"/>
        <v>0.11641340747805944</v>
      </c>
      <c r="AE347" s="133">
        <f t="shared" si="1183"/>
        <v>0.13381068887235165</v>
      </c>
      <c r="AF347" s="133">
        <f t="shared" si="1183"/>
        <v>0.11290843816653054</v>
      </c>
      <c r="AG347" s="133">
        <f t="shared" si="1183"/>
        <v>0.12688377047922261</v>
      </c>
      <c r="AH347" s="133">
        <f t="shared" si="1183"/>
        <v>0.1604062729283976</v>
      </c>
      <c r="AI347" s="133">
        <f t="shared" si="1183"/>
        <v>0.13556038087826733</v>
      </c>
      <c r="AJ347" s="133">
        <f t="shared" si="1183"/>
        <v>0.14519009007463446</v>
      </c>
      <c r="AK347" s="133">
        <f t="shared" si="1183"/>
        <v>0.17393948166307105</v>
      </c>
      <c r="AL347" s="185">
        <f>AL342/AL333</f>
        <v>0.21737399777515598</v>
      </c>
      <c r="AM347" s="185">
        <f t="shared" ref="AM347:CX347" si="1184">AM342/AM333</f>
        <v>0.58857556671691436</v>
      </c>
      <c r="AN347" s="185">
        <f t="shared" si="1184"/>
        <v>0.2270610760949815</v>
      </c>
      <c r="AO347" s="185">
        <f t="shared" si="1184"/>
        <v>0.16691002417223658</v>
      </c>
      <c r="AP347" s="185">
        <f t="shared" si="1184"/>
        <v>0.15103284356678889</v>
      </c>
      <c r="AQ347" s="185">
        <f t="shared" si="1184"/>
        <v>0.27696269272094531</v>
      </c>
      <c r="AR347" s="185">
        <f t="shared" si="1184"/>
        <v>0.24178838261389538</v>
      </c>
      <c r="AS347" s="185">
        <f t="shared" si="1184"/>
        <v>0.21589284936594094</v>
      </c>
      <c r="AT347" s="185">
        <f t="shared" si="1184"/>
        <v>0.24178649829354631</v>
      </c>
      <c r="AU347" s="185">
        <f t="shared" si="1184"/>
        <v>0.20886702422014519</v>
      </c>
      <c r="AV347" s="185">
        <f t="shared" si="1184"/>
        <v>0.23906545824344294</v>
      </c>
      <c r="AW347" s="185">
        <f t="shared" si="1184"/>
        <v>0.2173990492241184</v>
      </c>
      <c r="AX347" s="185">
        <f t="shared" si="1184"/>
        <v>0.24309349330432328</v>
      </c>
      <c r="AY347" s="185">
        <f t="shared" si="1184"/>
        <v>0.28700432663311831</v>
      </c>
      <c r="AZ347" s="185">
        <f t="shared" si="1184"/>
        <v>0.28093112428161493</v>
      </c>
      <c r="BA347" s="185">
        <f t="shared" si="1184"/>
        <v>0.2569616379683658</v>
      </c>
      <c r="BB347" s="185">
        <f t="shared" si="1184"/>
        <v>0.23380218488152968</v>
      </c>
      <c r="BC347" s="185">
        <f t="shared" si="1184"/>
        <v>0.2835649263534209</v>
      </c>
      <c r="BD347" s="185">
        <f t="shared" si="1184"/>
        <v>0.3314236533828237</v>
      </c>
      <c r="BE347" s="185">
        <f t="shared" si="1184"/>
        <v>0.28931774452824505</v>
      </c>
      <c r="BF347" s="185">
        <f t="shared" si="1184"/>
        <v>0.26158070206224487</v>
      </c>
      <c r="BG347" s="185">
        <f t="shared" si="1184"/>
        <v>0.20860965631504311</v>
      </c>
      <c r="BH347" s="185">
        <f t="shared" si="1184"/>
        <v>0.22547261035500335</v>
      </c>
      <c r="BI347" s="185">
        <f t="shared" si="1184"/>
        <v>0.18911941730955939</v>
      </c>
      <c r="BJ347" s="185">
        <f t="shared" si="1184"/>
        <v>0.19784970036206825</v>
      </c>
      <c r="BK347" s="185">
        <f t="shared" si="1184"/>
        <v>0.19480903225131602</v>
      </c>
      <c r="BL347" s="185">
        <f t="shared" si="1184"/>
        <v>0.17743490477453727</v>
      </c>
      <c r="BM347" s="185">
        <f t="shared" si="1184"/>
        <v>0.15659044167336736</v>
      </c>
      <c r="BN347" s="185">
        <f t="shared" si="1184"/>
        <v>0.17209778741894735</v>
      </c>
      <c r="BO347" s="185">
        <f t="shared" si="1184"/>
        <v>0.18494363389721791</v>
      </c>
      <c r="BP347" s="185">
        <f t="shared" si="1184"/>
        <v>0.14399320511419317</v>
      </c>
      <c r="BQ347" s="185">
        <f t="shared" si="1184"/>
        <v>0.15335310335524291</v>
      </c>
      <c r="BR347" s="185">
        <f t="shared" si="1184"/>
        <v>0.16760354697865579</v>
      </c>
      <c r="BS347" s="185">
        <f t="shared" si="1184"/>
        <v>0.14615041582924562</v>
      </c>
      <c r="BT347" s="185">
        <f t="shared" si="1184"/>
        <v>0.15480527552281176</v>
      </c>
      <c r="BU347" s="185">
        <f t="shared" si="1184"/>
        <v>0.1489765107414143</v>
      </c>
      <c r="BV347" s="185">
        <f t="shared" si="1184"/>
        <v>0.17096177934437204</v>
      </c>
      <c r="BW347" s="185">
        <f t="shared" si="1184"/>
        <v>0.15042277851131747</v>
      </c>
      <c r="BX347" s="185">
        <f t="shared" si="1184"/>
        <v>0.16843832554854737</v>
      </c>
      <c r="BY347" s="185">
        <f t="shared" si="1184"/>
        <v>0.1400849120326991</v>
      </c>
      <c r="BZ347" s="185">
        <f t="shared" si="1184"/>
        <v>0.15361934139476505</v>
      </c>
      <c r="CA347" s="185">
        <f t="shared" si="1184"/>
        <v>0.15521047475455721</v>
      </c>
      <c r="CB347" s="185">
        <f t="shared" si="1184"/>
        <v>0.11985044506572121</v>
      </c>
      <c r="CC347" s="185">
        <f t="shared" si="1184"/>
        <v>0.14783476778620111</v>
      </c>
      <c r="CD347" s="185">
        <f t="shared" si="1184"/>
        <v>0.14814027720783654</v>
      </c>
      <c r="CE347" s="185">
        <f t="shared" si="1184"/>
        <v>0.14656215923020544</v>
      </c>
      <c r="CF347" s="185">
        <f t="shared" si="1184"/>
        <v>0.14320234666509279</v>
      </c>
      <c r="CG347" s="185">
        <f t="shared" si="1184"/>
        <v>0.18491002960200781</v>
      </c>
      <c r="CH347" s="185">
        <f t="shared" si="1184"/>
        <v>0.17585188025375403</v>
      </c>
      <c r="CI347" s="185">
        <f t="shared" si="1184"/>
        <v>0.1644317883586246</v>
      </c>
      <c r="CJ347" s="185">
        <f t="shared" si="1184"/>
        <v>0.17611754316495687</v>
      </c>
      <c r="CK347" s="185">
        <f t="shared" si="1184"/>
        <v>0.1782763340043608</v>
      </c>
      <c r="CL347" s="185">
        <f t="shared" si="1184"/>
        <v>0.17059623489215103</v>
      </c>
      <c r="CM347" s="185">
        <f t="shared" si="1184"/>
        <v>0.1450505361264777</v>
      </c>
      <c r="CN347" s="185">
        <f t="shared" si="1184"/>
        <v>0.13112287598953265</v>
      </c>
      <c r="CO347" s="185">
        <f t="shared" si="1184"/>
        <v>0.1478823367530685</v>
      </c>
      <c r="CP347" s="185">
        <f t="shared" si="1184"/>
        <v>0.13082089085776702</v>
      </c>
      <c r="CQ347" s="185">
        <f t="shared" si="1184"/>
        <v>0.14688608508686893</v>
      </c>
      <c r="CR347" s="185">
        <f t="shared" si="1184"/>
        <v>0.14647199468742814</v>
      </c>
      <c r="CS347" s="185">
        <f t="shared" si="1184"/>
        <v>0.12921535398677089</v>
      </c>
      <c r="CT347" s="185">
        <f t="shared" si="1184"/>
        <v>0.16316712745273132</v>
      </c>
      <c r="CU347" s="185">
        <f t="shared" si="1184"/>
        <v>0.14974523060327111</v>
      </c>
      <c r="CV347" s="185">
        <f t="shared" si="1184"/>
        <v>0.15153693073044949</v>
      </c>
      <c r="CW347" s="185">
        <f t="shared" si="1184"/>
        <v>0.1386012709704296</v>
      </c>
      <c r="CX347" s="185">
        <f t="shared" si="1184"/>
        <v>0.14849278034046604</v>
      </c>
      <c r="CY347" s="185">
        <f t="shared" ref="CY347:DQ347" si="1185">CY342/CY333</f>
        <v>0.12782574835266858</v>
      </c>
      <c r="CZ347" s="185">
        <f t="shared" si="1185"/>
        <v>0.10340824050248022</v>
      </c>
      <c r="DA347" s="185">
        <f t="shared" si="1185"/>
        <v>0.13969980174552499</v>
      </c>
      <c r="DB347" s="185">
        <f t="shared" si="1185"/>
        <v>0.13521195190130861</v>
      </c>
      <c r="DC347" s="185">
        <f t="shared" si="1185"/>
        <v>0.12887338976387364</v>
      </c>
      <c r="DD347" s="185">
        <f t="shared" si="1185"/>
        <v>0.1503053403689423</v>
      </c>
      <c r="DE347" s="185">
        <f t="shared" si="1185"/>
        <v>0.12373112612183006</v>
      </c>
      <c r="DF347" s="185">
        <f t="shared" si="1185"/>
        <v>0.14670432985056428</v>
      </c>
      <c r="DG347" s="185">
        <f t="shared" si="1185"/>
        <v>0.13463663941951293</v>
      </c>
      <c r="DH347" s="185">
        <f t="shared" si="1185"/>
        <v>0.13624756541027061</v>
      </c>
      <c r="DI347" s="185">
        <f t="shared" si="1185"/>
        <v>0.12461705302769288</v>
      </c>
      <c r="DJ347" s="185">
        <f t="shared" si="1185"/>
        <v>0.1335105555118998</v>
      </c>
      <c r="DK347" s="185">
        <f t="shared" si="1185"/>
        <v>0.11492873008478771</v>
      </c>
      <c r="DL347" s="185">
        <f t="shared" si="1185"/>
        <v>9.297483421308092E-2</v>
      </c>
      <c r="DM347" s="185">
        <f t="shared" si="1185"/>
        <v>0.12560474720173709</v>
      </c>
      <c r="DN347" s="185">
        <f t="shared" si="1185"/>
        <v>0.12156970035042536</v>
      </c>
      <c r="DO347" s="185">
        <f t="shared" si="1185"/>
        <v>0.1158706693929922</v>
      </c>
      <c r="DP347" s="185">
        <f t="shared" si="1185"/>
        <v>0.13514023673778622</v>
      </c>
      <c r="DQ347" s="185">
        <f t="shared" si="1185"/>
        <v>0.11124723602563411</v>
      </c>
      <c r="DR347" s="185">
        <f t="shared" ref="DR347:EC347" si="1186">DR342/DR333</f>
        <v>0.13764111925119207</v>
      </c>
      <c r="DS347" s="185">
        <f t="shared" si="1186"/>
        <v>0.12631895568997514</v>
      </c>
      <c r="DT347" s="185">
        <f t="shared" si="1186"/>
        <v>0.12783036068139281</v>
      </c>
      <c r="DU347" s="185">
        <f t="shared" si="1186"/>
        <v>0.11691836685385211</v>
      </c>
      <c r="DV347" s="185">
        <f t="shared" si="1186"/>
        <v>0.12526243984226629</v>
      </c>
      <c r="DW347" s="185">
        <f t="shared" si="1186"/>
        <v>0.10782857642376183</v>
      </c>
      <c r="DX347" s="185">
        <f t="shared" si="1186"/>
        <v>8.7230964868711819E-2</v>
      </c>
      <c r="DY347" s="185">
        <f t="shared" si="1186"/>
        <v>0.11784504251319906</v>
      </c>
      <c r="DZ347" s="185">
        <f t="shared" si="1186"/>
        <v>0.1140592758257995</v>
      </c>
      <c r="EA347" s="185">
        <f t="shared" si="1186"/>
        <v>0.10871232389583725</v>
      </c>
      <c r="EB347" s="185">
        <f t="shared" si="1186"/>
        <v>0.12679144139376888</v>
      </c>
      <c r="EC347" s="185">
        <f t="shared" si="1186"/>
        <v>0.10437452047780114</v>
      </c>
      <c r="ED347" s="113" t="s">
        <v>1</v>
      </c>
    </row>
    <row r="348" spans="1:134" x14ac:dyDescent="0.2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15"/>
      <c r="AN348" s="115"/>
      <c r="AO348" s="115"/>
      <c r="AP348" s="115"/>
      <c r="AQ348" s="115"/>
      <c r="AR348" s="115"/>
      <c r="AS348" s="115"/>
      <c r="AT348" s="115"/>
      <c r="AU348" s="115"/>
      <c r="AV348" s="115"/>
      <c r="AW348" s="115"/>
      <c r="AX348" s="115"/>
      <c r="AY348" s="115"/>
      <c r="AZ348" s="115"/>
      <c r="BA348" s="115"/>
      <c r="BB348" s="115"/>
      <c r="BC348" s="115"/>
      <c r="BD348" s="115"/>
      <c r="BE348" s="115"/>
      <c r="BF348" s="115"/>
      <c r="BG348" s="115"/>
      <c r="BH348" s="115"/>
      <c r="BI348" s="115"/>
      <c r="BJ348" s="115"/>
      <c r="BK348" s="115"/>
      <c r="BL348" s="115"/>
      <c r="BM348" s="115"/>
      <c r="BN348" s="115"/>
      <c r="BO348" s="115"/>
      <c r="BP348" s="115"/>
      <c r="BQ348" s="115"/>
      <c r="BR348" s="115"/>
      <c r="BS348" s="115"/>
      <c r="BT348" s="115"/>
      <c r="BU348" s="115"/>
      <c r="BV348" s="115"/>
      <c r="BW348" s="115"/>
      <c r="BX348" s="115"/>
      <c r="BY348" s="115"/>
      <c r="BZ348" s="115"/>
      <c r="CA348" s="115"/>
      <c r="CB348" s="115"/>
      <c r="CC348" s="115"/>
      <c r="CD348" s="115"/>
      <c r="CE348" s="115"/>
      <c r="CF348" s="115"/>
      <c r="CG348" s="115"/>
      <c r="CH348" s="115"/>
      <c r="CI348" s="115"/>
      <c r="CJ348" s="115"/>
      <c r="CK348" s="115"/>
      <c r="CL348" s="115"/>
      <c r="CM348" s="115"/>
      <c r="CN348" s="115"/>
      <c r="CO348" s="115"/>
      <c r="CP348" s="115"/>
      <c r="CQ348" s="115"/>
      <c r="CR348" s="115"/>
      <c r="CS348" s="115"/>
      <c r="CT348" s="115"/>
      <c r="CU348" s="115"/>
      <c r="CV348" s="115"/>
      <c r="CW348" s="115"/>
      <c r="CX348" s="115"/>
      <c r="CY348" s="115"/>
      <c r="CZ348" s="115"/>
      <c r="DA348" s="115"/>
      <c r="DB348" s="115"/>
      <c r="DC348" s="115"/>
      <c r="DD348" s="115"/>
      <c r="DE348" s="115"/>
      <c r="DF348" s="115"/>
      <c r="DG348" s="115"/>
      <c r="DH348" s="115"/>
      <c r="DI348" s="115"/>
      <c r="DJ348" s="115"/>
      <c r="DK348" s="115"/>
      <c r="DL348" s="115"/>
      <c r="DM348" s="115"/>
      <c r="DN348" s="115"/>
      <c r="DO348" s="115"/>
      <c r="DP348" s="115"/>
      <c r="DQ348" s="115"/>
      <c r="DR348" s="115"/>
      <c r="DS348" s="115"/>
      <c r="DT348" s="115"/>
      <c r="DU348" s="115"/>
      <c r="DV348" s="115"/>
      <c r="DW348" s="115"/>
      <c r="DX348" s="115"/>
      <c r="DY348" s="115"/>
      <c r="DZ348" s="115"/>
      <c r="EA348" s="115"/>
      <c r="EB348" s="115"/>
      <c r="EC348" s="645"/>
      <c r="ED348" s="113" t="s">
        <v>1</v>
      </c>
    </row>
    <row r="349" spans="1:134" x14ac:dyDescent="0.2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115"/>
      <c r="AO349" s="115"/>
      <c r="AP349" s="115"/>
      <c r="AQ349" s="115"/>
      <c r="AR349" s="115"/>
      <c r="AS349" s="115"/>
      <c r="AT349" s="115"/>
      <c r="AU349" s="115"/>
      <c r="AV349" s="115"/>
      <c r="AW349" s="115"/>
      <c r="AX349" s="115"/>
      <c r="AY349" s="115"/>
      <c r="AZ349" s="115"/>
      <c r="BA349" s="115"/>
      <c r="BB349" s="115"/>
      <c r="BC349" s="115"/>
      <c r="BD349" s="115"/>
      <c r="BE349" s="115"/>
      <c r="BF349" s="115"/>
      <c r="BG349" s="115"/>
      <c r="BH349" s="115"/>
      <c r="BI349" s="115"/>
      <c r="BJ349" s="115"/>
      <c r="BK349" s="115"/>
      <c r="BL349" s="115"/>
      <c r="BM349" s="115"/>
      <c r="BN349" s="115"/>
      <c r="BO349" s="115"/>
      <c r="BP349" s="115"/>
      <c r="BQ349" s="115"/>
      <c r="BR349" s="115"/>
      <c r="BS349" s="115"/>
      <c r="BT349" s="115"/>
      <c r="BU349" s="115"/>
      <c r="BV349" s="115"/>
      <c r="BW349" s="115"/>
      <c r="BX349" s="115"/>
      <c r="BY349" s="115"/>
      <c r="BZ349" s="115"/>
      <c r="CA349" s="115"/>
      <c r="CB349" s="115"/>
      <c r="CC349" s="115"/>
      <c r="CD349" s="115"/>
      <c r="CE349" s="115"/>
      <c r="CF349" s="115"/>
      <c r="CG349" s="115"/>
      <c r="CH349" s="115"/>
      <c r="CI349" s="115"/>
      <c r="CJ349" s="115"/>
      <c r="CK349" s="115"/>
      <c r="CL349" s="115"/>
      <c r="CM349" s="115"/>
      <c r="CN349" s="115"/>
      <c r="CO349" s="115"/>
      <c r="CP349" s="115"/>
      <c r="CQ349" s="115"/>
      <c r="CR349" s="115"/>
      <c r="CS349" s="115"/>
      <c r="CT349" s="115"/>
      <c r="CU349" s="115"/>
      <c r="CV349" s="115"/>
      <c r="CW349" s="115"/>
      <c r="CX349" s="115"/>
      <c r="CY349" s="115"/>
      <c r="CZ349" s="115"/>
      <c r="DA349" s="115"/>
      <c r="DB349" s="115"/>
      <c r="DC349" s="115"/>
      <c r="DD349" s="115"/>
      <c r="DE349" s="115"/>
      <c r="DF349" s="115"/>
      <c r="DG349" s="115"/>
      <c r="DH349" s="115"/>
      <c r="DI349" s="115"/>
      <c r="DJ349" s="115"/>
      <c r="DK349" s="115"/>
      <c r="DL349" s="115"/>
      <c r="DM349" s="115"/>
      <c r="DN349" s="115"/>
      <c r="DO349" s="115"/>
      <c r="DP349" s="115"/>
      <c r="DQ349" s="115"/>
      <c r="DR349" s="115"/>
      <c r="DS349" s="115"/>
      <c r="DT349" s="115"/>
      <c r="DU349" s="115"/>
      <c r="DV349" s="115"/>
      <c r="DW349" s="115"/>
      <c r="DX349" s="115"/>
      <c r="DY349" s="115"/>
      <c r="DZ349" s="115"/>
      <c r="EA349" s="115"/>
      <c r="EB349" s="115"/>
      <c r="EC349" s="645"/>
      <c r="ED349" s="113" t="s">
        <v>1</v>
      </c>
    </row>
    <row r="350" spans="1:134" x14ac:dyDescent="0.2">
      <c r="A350" s="115" t="s">
        <v>185</v>
      </c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115"/>
      <c r="AN350" s="115"/>
      <c r="AO350" s="115"/>
      <c r="AP350" s="115"/>
      <c r="AQ350" s="115"/>
      <c r="AR350" s="115"/>
      <c r="AS350" s="115"/>
      <c r="AT350" s="115"/>
      <c r="AU350" s="115"/>
      <c r="AV350" s="115"/>
      <c r="AW350" s="115"/>
      <c r="AX350" s="115"/>
      <c r="AY350" s="115"/>
      <c r="AZ350" s="115"/>
      <c r="BA350" s="115"/>
      <c r="BB350" s="115"/>
      <c r="BC350" s="115"/>
      <c r="BD350" s="115"/>
      <c r="BE350" s="115"/>
      <c r="BF350" s="115"/>
      <c r="BG350" s="115"/>
      <c r="BH350" s="115"/>
      <c r="BI350" s="115"/>
      <c r="BJ350" s="115"/>
      <c r="BK350" s="115"/>
      <c r="BL350" s="115"/>
      <c r="BM350" s="115"/>
      <c r="BN350" s="115"/>
      <c r="BO350" s="115"/>
      <c r="BP350" s="115"/>
      <c r="BQ350" s="115"/>
      <c r="BR350" s="115"/>
      <c r="BS350" s="115"/>
      <c r="BT350" s="115"/>
      <c r="BU350" s="115"/>
      <c r="BV350" s="115"/>
      <c r="BW350" s="115"/>
      <c r="BX350" s="115"/>
      <c r="BY350" s="115"/>
      <c r="BZ350" s="115"/>
      <c r="CA350" s="115"/>
      <c r="CB350" s="115"/>
      <c r="CC350" s="115"/>
      <c r="CD350" s="115"/>
      <c r="CE350" s="115"/>
      <c r="CF350" s="115"/>
      <c r="CG350" s="115"/>
      <c r="CH350" s="115"/>
      <c r="CI350" s="115"/>
      <c r="CJ350" s="115"/>
      <c r="CK350" s="115"/>
      <c r="CL350" s="115"/>
      <c r="CM350" s="115"/>
      <c r="CN350" s="115"/>
      <c r="CO350" s="115"/>
      <c r="CP350" s="115"/>
      <c r="CQ350" s="115"/>
      <c r="CR350" s="115"/>
      <c r="CS350" s="115"/>
      <c r="CT350" s="701">
        <v>0.08</v>
      </c>
      <c r="CU350" s="115"/>
      <c r="CV350" s="115"/>
      <c r="CW350" s="115"/>
      <c r="CX350" s="115"/>
      <c r="CY350" s="115"/>
      <c r="CZ350" s="115"/>
      <c r="DA350" s="115"/>
      <c r="DB350" s="115"/>
      <c r="DC350" s="115"/>
      <c r="DD350" s="115"/>
      <c r="DE350" s="115"/>
      <c r="DF350" s="701">
        <v>0.08</v>
      </c>
      <c r="DG350" s="115"/>
      <c r="DH350" s="115"/>
      <c r="DI350" s="115"/>
      <c r="DJ350" s="115"/>
      <c r="DK350" s="115"/>
      <c r="DL350" s="115"/>
      <c r="DM350" s="115"/>
      <c r="DN350" s="115"/>
      <c r="DO350" s="115"/>
      <c r="DP350" s="115"/>
      <c r="DQ350" s="115"/>
      <c r="DR350" s="701">
        <v>0.08</v>
      </c>
      <c r="DS350" s="115"/>
      <c r="DT350" s="115"/>
      <c r="DU350" s="115"/>
      <c r="DV350" s="115"/>
      <c r="DW350" s="115"/>
      <c r="DX350" s="115"/>
      <c r="DY350" s="115"/>
      <c r="DZ350" s="115"/>
      <c r="EA350" s="115"/>
      <c r="EB350" s="115"/>
      <c r="EC350" s="645"/>
      <c r="ED350" s="113" t="s">
        <v>1</v>
      </c>
    </row>
    <row r="351" spans="1:134" x14ac:dyDescent="0.2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15"/>
      <c r="AN351" s="115"/>
      <c r="AO351" s="115"/>
      <c r="AP351" s="115"/>
      <c r="AQ351" s="115"/>
      <c r="AR351" s="115"/>
      <c r="AS351" s="115"/>
      <c r="AT351" s="115"/>
      <c r="AU351" s="115"/>
      <c r="AV351" s="115"/>
      <c r="AW351" s="115"/>
      <c r="AX351" s="115"/>
      <c r="AY351" s="115"/>
      <c r="AZ351" s="115"/>
      <c r="BA351" s="115"/>
      <c r="BB351" s="115"/>
      <c r="BC351" s="115"/>
      <c r="BD351" s="115"/>
      <c r="BE351" s="115"/>
      <c r="BF351" s="115"/>
      <c r="BG351" s="115"/>
      <c r="BH351" s="115"/>
      <c r="BI351" s="115"/>
      <c r="BJ351" s="115"/>
      <c r="BK351" s="115"/>
      <c r="BL351" s="115"/>
      <c r="BM351" s="115"/>
      <c r="BN351" s="115"/>
      <c r="BO351" s="115"/>
      <c r="BP351" s="115"/>
      <c r="BQ351" s="115"/>
      <c r="BR351" s="115"/>
      <c r="BS351" s="115"/>
      <c r="BT351" s="115"/>
      <c r="BU351" s="115"/>
      <c r="BV351" s="115"/>
      <c r="BW351" s="115"/>
      <c r="BX351" s="115"/>
      <c r="BY351" s="115"/>
      <c r="BZ351" s="115"/>
      <c r="CA351" s="115"/>
      <c r="CB351" s="115"/>
      <c r="CC351" s="115"/>
      <c r="CD351" s="115"/>
      <c r="CE351" s="115"/>
      <c r="CF351" s="115"/>
      <c r="CG351" s="115"/>
      <c r="CH351" s="115"/>
      <c r="CI351" s="115"/>
      <c r="CJ351" s="115"/>
      <c r="CK351" s="115"/>
      <c r="CL351" s="115"/>
      <c r="CM351" s="115"/>
      <c r="CN351" s="115"/>
      <c r="CO351" s="115"/>
      <c r="CP351" s="115"/>
      <c r="CQ351" s="115"/>
      <c r="CR351" s="115"/>
      <c r="CS351" s="115"/>
      <c r="CT351" s="115"/>
      <c r="CU351" s="115"/>
      <c r="CV351" s="115"/>
      <c r="CW351" s="115"/>
      <c r="CX351" s="115"/>
      <c r="CY351" s="115"/>
      <c r="CZ351" s="115"/>
      <c r="DA351" s="115"/>
      <c r="DB351" s="115"/>
      <c r="DC351" s="115"/>
      <c r="DD351" s="115"/>
      <c r="DE351" s="115"/>
      <c r="DF351" s="115"/>
      <c r="DG351" s="115"/>
      <c r="DH351" s="115"/>
      <c r="DI351" s="115"/>
      <c r="DJ351" s="115"/>
      <c r="DK351" s="115"/>
      <c r="DL351" s="115"/>
      <c r="DM351" s="115"/>
      <c r="DN351" s="115"/>
      <c r="DO351" s="115"/>
      <c r="DP351" s="115"/>
      <c r="DQ351" s="115"/>
      <c r="DR351" s="115"/>
      <c r="DS351" s="115"/>
      <c r="DT351" s="115"/>
      <c r="DU351" s="115"/>
      <c r="DV351" s="115"/>
      <c r="DW351" s="115"/>
      <c r="DX351" s="115"/>
      <c r="DY351" s="115"/>
      <c r="DZ351" s="115"/>
      <c r="EA351" s="115"/>
      <c r="EB351" s="115"/>
      <c r="EC351" s="645"/>
      <c r="ED351" s="113" t="s">
        <v>1</v>
      </c>
    </row>
    <row r="352" spans="1:134" x14ac:dyDescent="0.2">
      <c r="A352" s="115" t="s">
        <v>186</v>
      </c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115"/>
      <c r="AN352" s="115"/>
      <c r="AO352" s="115"/>
      <c r="AP352" s="115"/>
      <c r="AQ352" s="115"/>
      <c r="AR352" s="115"/>
      <c r="AS352" s="115"/>
      <c r="AT352" s="115"/>
      <c r="AU352" s="115"/>
      <c r="AV352" s="115"/>
      <c r="AW352" s="115"/>
      <c r="AX352" s="115"/>
      <c r="AY352" s="115"/>
      <c r="AZ352" s="115"/>
      <c r="BA352" s="115"/>
      <c r="BB352" s="115"/>
      <c r="BC352" s="115"/>
      <c r="BD352" s="115"/>
      <c r="BE352" s="115"/>
      <c r="BF352" s="115"/>
      <c r="BG352" s="115"/>
      <c r="BH352" s="115"/>
      <c r="BI352" s="115"/>
      <c r="BJ352" s="115"/>
      <c r="BK352" s="115"/>
      <c r="BL352" s="115"/>
      <c r="BM352" s="115"/>
      <c r="BN352" s="115"/>
      <c r="BO352" s="115"/>
      <c r="BP352" s="115"/>
      <c r="BQ352" s="115"/>
      <c r="BR352" s="115"/>
      <c r="BS352" s="115"/>
      <c r="BT352" s="115"/>
      <c r="BU352" s="115"/>
      <c r="BV352" s="115"/>
      <c r="BW352" s="115"/>
      <c r="BX352" s="115"/>
      <c r="BY352" s="115"/>
      <c r="BZ352" s="115"/>
      <c r="CA352" s="115"/>
      <c r="CB352" s="115"/>
      <c r="CC352" s="115"/>
      <c r="CD352" s="115"/>
      <c r="CE352" s="115"/>
      <c r="CF352" s="115"/>
      <c r="CG352" s="115"/>
      <c r="CH352" s="115"/>
      <c r="CI352" s="115"/>
      <c r="CJ352" s="115"/>
      <c r="CK352" s="115"/>
      <c r="CL352" s="115"/>
      <c r="CM352" s="115"/>
      <c r="CN352" s="115"/>
      <c r="CO352" s="115"/>
      <c r="CP352" s="115"/>
      <c r="CQ352" s="115"/>
      <c r="CR352" s="115"/>
      <c r="CS352" s="115"/>
      <c r="CT352" s="701"/>
      <c r="CU352" s="115"/>
      <c r="CV352" s="115"/>
      <c r="CW352" s="115"/>
      <c r="CX352" s="115"/>
      <c r="CY352" s="115"/>
      <c r="CZ352" s="115"/>
      <c r="DA352" s="115"/>
      <c r="DB352" s="115"/>
      <c r="DC352" s="115"/>
      <c r="DD352" s="115"/>
      <c r="DE352" s="115"/>
      <c r="DF352" s="701">
        <v>0.08</v>
      </c>
      <c r="DG352" s="115"/>
      <c r="DH352" s="115"/>
      <c r="DI352" s="115"/>
      <c r="DJ352" s="115"/>
      <c r="DK352" s="115"/>
      <c r="DL352" s="115"/>
      <c r="DM352" s="115"/>
      <c r="DN352" s="115"/>
      <c r="DO352" s="115"/>
      <c r="DP352" s="115"/>
      <c r="DQ352" s="115"/>
      <c r="DR352" s="701">
        <v>0.08</v>
      </c>
      <c r="DS352" s="115"/>
      <c r="DT352" s="115"/>
      <c r="DU352" s="115"/>
      <c r="DV352" s="115"/>
      <c r="DW352" s="115"/>
      <c r="DX352" s="115"/>
      <c r="DY352" s="115"/>
      <c r="DZ352" s="115"/>
      <c r="EA352" s="115"/>
      <c r="EB352" s="115"/>
      <c r="EC352" s="645"/>
      <c r="ED352" s="113" t="s">
        <v>1</v>
      </c>
    </row>
    <row r="353" spans="1:134" x14ac:dyDescent="0.2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115"/>
      <c r="AM353" s="115"/>
      <c r="AN353" s="115"/>
      <c r="AO353" s="115"/>
      <c r="AP353" s="115"/>
      <c r="AQ353" s="115"/>
      <c r="AR353" s="115"/>
      <c r="AS353" s="115"/>
      <c r="AT353" s="115"/>
      <c r="AU353" s="115"/>
      <c r="AV353" s="115"/>
      <c r="AW353" s="115"/>
      <c r="AX353" s="115"/>
      <c r="AY353" s="115"/>
      <c r="AZ353" s="115"/>
      <c r="BA353" s="115"/>
      <c r="BB353" s="115"/>
      <c r="BC353" s="115"/>
      <c r="BD353" s="115"/>
      <c r="BE353" s="115"/>
      <c r="BF353" s="115"/>
      <c r="BG353" s="115"/>
      <c r="BH353" s="115"/>
      <c r="BI353" s="115"/>
      <c r="BJ353" s="115"/>
      <c r="BK353" s="115"/>
      <c r="BL353" s="115"/>
      <c r="BM353" s="115"/>
      <c r="BN353" s="115"/>
      <c r="BO353" s="115"/>
      <c r="BP353" s="115"/>
      <c r="BQ353" s="115"/>
      <c r="BR353" s="115"/>
      <c r="BS353" s="115"/>
      <c r="BT353" s="115"/>
      <c r="BU353" s="115"/>
      <c r="BV353" s="115"/>
      <c r="BW353" s="115"/>
      <c r="BX353" s="115"/>
      <c r="BY353" s="115"/>
      <c r="BZ353" s="115"/>
      <c r="CA353" s="115"/>
      <c r="CB353" s="115"/>
      <c r="CC353" s="115"/>
      <c r="CD353" s="115"/>
      <c r="CE353" s="115"/>
      <c r="CF353" s="115"/>
      <c r="CG353" s="115"/>
      <c r="CH353" s="115"/>
      <c r="CI353" s="115"/>
      <c r="CJ353" s="115"/>
      <c r="CK353" s="115"/>
      <c r="CL353" s="115"/>
      <c r="CM353" s="115"/>
      <c r="CN353" s="115"/>
      <c r="CO353" s="115"/>
      <c r="CP353" s="115"/>
      <c r="CQ353" s="115"/>
      <c r="CR353" s="115"/>
      <c r="CS353" s="115"/>
      <c r="CT353" s="702"/>
      <c r="CU353" s="115"/>
      <c r="CV353" s="115"/>
      <c r="CW353" s="115"/>
      <c r="CX353" s="115"/>
      <c r="CY353" s="115"/>
      <c r="CZ353" s="115"/>
      <c r="DA353" s="115"/>
      <c r="DB353" s="115"/>
      <c r="DC353" s="115"/>
      <c r="DD353" s="115"/>
      <c r="DE353" s="115"/>
      <c r="DF353" s="702"/>
      <c r="DG353" s="115"/>
      <c r="DH353" s="115"/>
      <c r="DI353" s="115"/>
      <c r="DJ353" s="115"/>
      <c r="DK353" s="115"/>
      <c r="DL353" s="115"/>
      <c r="DM353" s="115"/>
      <c r="DN353" s="115"/>
      <c r="DO353" s="115"/>
      <c r="DP353" s="115"/>
      <c r="DQ353" s="115"/>
      <c r="DR353" s="702"/>
      <c r="DS353" s="115"/>
      <c r="DT353" s="115"/>
      <c r="DU353" s="115"/>
      <c r="DV353" s="115"/>
      <c r="DW353" s="115"/>
      <c r="DX353" s="115"/>
      <c r="DY353" s="115"/>
      <c r="DZ353" s="115"/>
      <c r="EA353" s="115"/>
      <c r="EB353" s="115"/>
      <c r="EC353" s="645"/>
      <c r="ED353" s="113" t="s">
        <v>1</v>
      </c>
    </row>
    <row r="354" spans="1:134" x14ac:dyDescent="0.2">
      <c r="A354" s="115" t="s">
        <v>51</v>
      </c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115"/>
      <c r="AN354" s="115"/>
      <c r="AO354" s="115"/>
      <c r="AP354" s="115"/>
      <c r="AQ354" s="115"/>
      <c r="AR354" s="115"/>
      <c r="AS354" s="115"/>
      <c r="AT354" s="115"/>
      <c r="AU354" s="115"/>
      <c r="AV354" s="115"/>
      <c r="AW354" s="115"/>
      <c r="AX354" s="115"/>
      <c r="AY354" s="115"/>
      <c r="AZ354" s="115"/>
      <c r="BA354" s="115"/>
      <c r="BB354" s="115"/>
      <c r="BC354" s="115"/>
      <c r="BD354" s="115"/>
      <c r="BE354" s="115"/>
      <c r="BF354" s="115"/>
      <c r="BG354" s="115"/>
      <c r="BH354" s="115"/>
      <c r="BI354" s="115"/>
      <c r="BJ354" s="115"/>
      <c r="BK354" s="115"/>
      <c r="BL354" s="115"/>
      <c r="BM354" s="115"/>
      <c r="BN354" s="115"/>
      <c r="BO354" s="115"/>
      <c r="BP354" s="115"/>
      <c r="BQ354" s="115"/>
      <c r="BR354" s="115"/>
      <c r="BS354" s="115"/>
      <c r="BT354" s="115"/>
      <c r="BU354" s="115"/>
      <c r="BV354" s="115"/>
      <c r="BW354" s="115"/>
      <c r="BX354" s="115"/>
      <c r="BY354" s="115"/>
      <c r="BZ354" s="115"/>
      <c r="CA354" s="115"/>
      <c r="CB354" s="115"/>
      <c r="CC354" s="115"/>
      <c r="CD354" s="115"/>
      <c r="CE354" s="115"/>
      <c r="CF354" s="115"/>
      <c r="CG354" s="115"/>
      <c r="CH354" s="115"/>
      <c r="CI354" s="115"/>
      <c r="CJ354" s="115"/>
      <c r="CK354" s="115"/>
      <c r="CL354" s="115"/>
      <c r="CM354" s="115"/>
      <c r="CN354" s="115"/>
      <c r="CO354" s="115"/>
      <c r="CP354" s="115"/>
      <c r="CQ354" s="115"/>
      <c r="CR354" s="115"/>
      <c r="CS354" s="115"/>
      <c r="CT354" s="701">
        <v>0.1</v>
      </c>
      <c r="CU354" s="115"/>
      <c r="CV354" s="115"/>
      <c r="CW354" s="115"/>
      <c r="CX354" s="115"/>
      <c r="CY354" s="115"/>
      <c r="CZ354" s="115"/>
      <c r="DA354" s="115"/>
      <c r="DB354" s="115"/>
      <c r="DC354" s="115"/>
      <c r="DD354" s="115"/>
      <c r="DE354" s="115"/>
      <c r="DF354" s="701">
        <v>0.05</v>
      </c>
      <c r="DG354" s="115"/>
      <c r="DH354" s="115"/>
      <c r="DI354" s="115"/>
      <c r="DJ354" s="115"/>
      <c r="DK354" s="115"/>
      <c r="DL354" s="115"/>
      <c r="DM354" s="115"/>
      <c r="DN354" s="115"/>
      <c r="DO354" s="115"/>
      <c r="DP354" s="115"/>
      <c r="DQ354" s="115"/>
      <c r="DR354" s="701">
        <v>0.05</v>
      </c>
      <c r="DS354" s="115"/>
      <c r="DT354" s="115"/>
      <c r="DU354" s="115"/>
      <c r="DV354" s="115"/>
      <c r="DW354" s="115"/>
      <c r="DX354" s="115"/>
      <c r="DY354" s="115"/>
      <c r="DZ354" s="115"/>
      <c r="EA354" s="115"/>
      <c r="EB354" s="115"/>
      <c r="EC354" s="645"/>
      <c r="ED354" s="113" t="s">
        <v>1</v>
      </c>
    </row>
    <row r="355" spans="1:134" x14ac:dyDescent="0.2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115"/>
      <c r="AO355" s="115"/>
      <c r="AP355" s="115"/>
      <c r="AQ355" s="115"/>
      <c r="AR355" s="115"/>
      <c r="AS355" s="115"/>
      <c r="AT355" s="115"/>
      <c r="AU355" s="115"/>
      <c r="AV355" s="115"/>
      <c r="AW355" s="115"/>
      <c r="AX355" s="115"/>
      <c r="AY355" s="115"/>
      <c r="AZ355" s="115"/>
      <c r="BA355" s="115"/>
      <c r="BB355" s="115"/>
      <c r="BC355" s="115"/>
      <c r="BD355" s="115"/>
      <c r="BE355" s="115"/>
      <c r="BF355" s="115"/>
      <c r="BG355" s="115"/>
      <c r="BH355" s="115"/>
      <c r="BI355" s="115"/>
      <c r="BJ355" s="115"/>
      <c r="BK355" s="115"/>
      <c r="BL355" s="115"/>
      <c r="BM355" s="115"/>
      <c r="BN355" s="115"/>
      <c r="BO355" s="115"/>
      <c r="BP355" s="115"/>
      <c r="BQ355" s="115"/>
      <c r="BR355" s="115"/>
      <c r="BS355" s="115"/>
      <c r="BT355" s="115"/>
      <c r="BU355" s="115"/>
      <c r="BV355" s="115"/>
      <c r="BW355" s="115"/>
      <c r="BX355" s="115"/>
      <c r="BY355" s="115"/>
      <c r="BZ355" s="115"/>
      <c r="CA355" s="115"/>
      <c r="CB355" s="115"/>
      <c r="CC355" s="115"/>
      <c r="CD355" s="115"/>
      <c r="CE355" s="115"/>
      <c r="CF355" s="115"/>
      <c r="CG355" s="115"/>
      <c r="CH355" s="115"/>
      <c r="CI355" s="115"/>
      <c r="CJ355" s="115"/>
      <c r="CK355" s="115"/>
      <c r="CL355" s="115"/>
      <c r="CM355" s="115"/>
      <c r="CN355" s="115"/>
      <c r="CO355" s="115"/>
      <c r="CP355" s="115"/>
      <c r="CQ355" s="115"/>
      <c r="CR355" s="115"/>
      <c r="CS355" s="115"/>
      <c r="CT355" s="115"/>
      <c r="CU355" s="115"/>
      <c r="CV355" s="115"/>
      <c r="CW355" s="115"/>
      <c r="CX355" s="115"/>
      <c r="CY355" s="115"/>
      <c r="CZ355" s="115"/>
      <c r="DA355" s="115"/>
      <c r="DB355" s="115"/>
      <c r="DC355" s="115"/>
      <c r="DD355" s="115"/>
      <c r="DE355" s="115"/>
      <c r="DF355" s="115"/>
      <c r="DG355" s="115"/>
      <c r="DH355" s="115"/>
      <c r="DI355" s="115"/>
      <c r="DJ355" s="115"/>
      <c r="DK355" s="115"/>
      <c r="DL355" s="115"/>
      <c r="DM355" s="115"/>
      <c r="DN355" s="115"/>
      <c r="DO355" s="115"/>
      <c r="DP355" s="115"/>
      <c r="DQ355" s="115"/>
      <c r="DR355" s="115"/>
      <c r="DS355" s="115"/>
      <c r="DT355" s="115"/>
      <c r="DU355" s="115"/>
      <c r="DV355" s="115"/>
      <c r="DW355" s="115"/>
      <c r="DX355" s="115"/>
      <c r="DY355" s="115"/>
      <c r="DZ355" s="115"/>
      <c r="EA355" s="115"/>
      <c r="EB355" s="115"/>
      <c r="EC355" s="645"/>
      <c r="ED355" s="113" t="s">
        <v>1</v>
      </c>
    </row>
    <row r="356" spans="1:134" x14ac:dyDescent="0.2">
      <c r="A356" s="115" t="s">
        <v>56</v>
      </c>
      <c r="B356" s="129">
        <v>0</v>
      </c>
      <c r="C356" s="129">
        <v>0</v>
      </c>
      <c r="D356" s="129">
        <v>0</v>
      </c>
      <c r="E356" s="129">
        <v>0</v>
      </c>
      <c r="F356" s="129">
        <v>0</v>
      </c>
      <c r="G356" s="129">
        <v>0</v>
      </c>
      <c r="H356" s="129">
        <v>0</v>
      </c>
      <c r="I356" s="129">
        <v>0</v>
      </c>
      <c r="J356" s="129">
        <v>2937359</v>
      </c>
      <c r="K356" s="129">
        <v>1561606</v>
      </c>
      <c r="L356" s="129">
        <v>665531</v>
      </c>
      <c r="M356" s="129">
        <v>438148</v>
      </c>
      <c r="N356" s="129">
        <v>901275</v>
      </c>
      <c r="O356" s="129">
        <v>932034</v>
      </c>
      <c r="P356" s="129">
        <v>1336239</v>
      </c>
      <c r="Q356" s="129">
        <v>723203</v>
      </c>
      <c r="R356" s="129">
        <v>777287</v>
      </c>
      <c r="S356" s="129">
        <v>600584</v>
      </c>
      <c r="T356" s="129">
        <v>363742</v>
      </c>
      <c r="U356" s="129">
        <v>372005</v>
      </c>
      <c r="V356" s="129">
        <v>531131</v>
      </c>
      <c r="W356" s="129">
        <v>571120</v>
      </c>
      <c r="X356" s="129">
        <v>662511</v>
      </c>
      <c r="Y356" s="129">
        <v>469347</v>
      </c>
      <c r="Z356" s="129">
        <v>75423.277457618547</v>
      </c>
      <c r="AA356" s="129">
        <v>379655</v>
      </c>
      <c r="AB356" s="129">
        <v>1038700</v>
      </c>
      <c r="AC356" s="129">
        <v>1514272</v>
      </c>
      <c r="AD356" s="129">
        <v>2322109</v>
      </c>
      <c r="AE356" s="129">
        <v>2565957</v>
      </c>
      <c r="AF356" s="129">
        <v>1598116</v>
      </c>
      <c r="AG356" s="129">
        <v>968352</v>
      </c>
      <c r="AH356" s="129">
        <v>1799730</v>
      </c>
      <c r="AI356" s="129">
        <v>1574041</v>
      </c>
      <c r="AJ356" s="129">
        <v>1607920</v>
      </c>
      <c r="AK356" s="129">
        <v>3160894</v>
      </c>
      <c r="AL356" s="129">
        <v>1710288</v>
      </c>
      <c r="AM356" s="129">
        <v>629793</v>
      </c>
      <c r="AN356" s="129">
        <v>2981636</v>
      </c>
      <c r="AO356" s="129">
        <v>5175228</v>
      </c>
      <c r="AP356" s="129">
        <v>5264570</v>
      </c>
      <c r="AQ356" s="129">
        <v>4989792.4245332303</v>
      </c>
      <c r="AR356" s="129">
        <v>4772902</v>
      </c>
      <c r="AS356" s="129">
        <v>3545757</v>
      </c>
      <c r="AT356" s="129">
        <v>6397231</v>
      </c>
      <c r="AU356" s="129">
        <v>6633389</v>
      </c>
      <c r="AV356" s="129">
        <v>6557030</v>
      </c>
      <c r="AW356" s="129">
        <v>6927830.4187631197</v>
      </c>
      <c r="AX356" s="129">
        <v>5423156</v>
      </c>
      <c r="AY356" s="129">
        <v>3541740</v>
      </c>
      <c r="AZ356" s="129">
        <v>7227290</v>
      </c>
      <c r="BA356" s="129">
        <v>9344516.0597312786</v>
      </c>
      <c r="BB356" s="129">
        <v>9763033.8624721076</v>
      </c>
      <c r="BC356" s="129">
        <v>4674126.8372131148</v>
      </c>
      <c r="BD356" s="129">
        <v>5173633.0994221661</v>
      </c>
      <c r="BE356" s="129">
        <v>7140517.7263173442</v>
      </c>
      <c r="BF356" s="129">
        <v>14462787.953634305</v>
      </c>
      <c r="BG356" s="129">
        <v>20036816.093387417</v>
      </c>
      <c r="BH356" s="129">
        <v>20924894.280781038</v>
      </c>
      <c r="BI356" s="129">
        <v>13884478.308642717</v>
      </c>
      <c r="BJ356" s="129">
        <v>12937443</v>
      </c>
      <c r="BK356" s="129">
        <v>13597076</v>
      </c>
      <c r="BL356" s="129">
        <v>14532451</v>
      </c>
      <c r="BM356" s="129">
        <v>15367917</v>
      </c>
      <c r="BN356" s="129">
        <v>13763336</v>
      </c>
      <c r="BO356" s="129">
        <v>10331206.99999998</v>
      </c>
      <c r="BP356" s="129">
        <v>8461729.6382600926</v>
      </c>
      <c r="BQ356" s="129">
        <v>9232237.5095498972</v>
      </c>
      <c r="BR356" s="129">
        <v>9006076</v>
      </c>
      <c r="BS356" s="129">
        <v>6550508</v>
      </c>
      <c r="BT356" s="129">
        <v>8410629.0000000037</v>
      </c>
      <c r="BU356" s="129">
        <v>8279754</v>
      </c>
      <c r="BV356" s="129">
        <v>11255931</v>
      </c>
      <c r="BW356" s="129">
        <v>9855388</v>
      </c>
      <c r="BX356" s="129">
        <v>10776426</v>
      </c>
      <c r="BY356" s="129">
        <v>10608737.967032965</v>
      </c>
      <c r="BZ356" s="129">
        <v>8577799.9999999963</v>
      </c>
      <c r="CA356" s="129">
        <v>7852941.0000000037</v>
      </c>
      <c r="CB356" s="129">
        <v>6322539</v>
      </c>
      <c r="CC356" s="129">
        <v>7767379.7495350856</v>
      </c>
      <c r="CD356" s="129">
        <v>8856815</v>
      </c>
      <c r="CE356" s="129">
        <v>9407467.4942954052</v>
      </c>
      <c r="CF356" s="129">
        <v>9977095.4013090804</v>
      </c>
      <c r="CG356" s="129">
        <v>10286360</v>
      </c>
      <c r="CH356" s="129">
        <v>10199469.416973887</v>
      </c>
      <c r="CI356" s="129">
        <v>10169748.798407331</v>
      </c>
      <c r="CJ356" s="129">
        <v>11156010.983162329</v>
      </c>
      <c r="CK356" s="129">
        <v>13127855.698457584</v>
      </c>
      <c r="CL356" s="129">
        <v>12561146</v>
      </c>
      <c r="CM356" s="129">
        <v>8305715</v>
      </c>
      <c r="CN356" s="129">
        <v>7679908.8712087907</v>
      </c>
      <c r="CO356" s="129">
        <v>10767176</v>
      </c>
      <c r="CP356" s="129">
        <v>13360784</v>
      </c>
      <c r="CQ356" s="129">
        <v>11803044.050000001</v>
      </c>
      <c r="CR356" s="129">
        <v>10370877.600000001</v>
      </c>
      <c r="CS356" s="129">
        <v>10667883.170000002</v>
      </c>
      <c r="CT356" s="129">
        <f>CT364*CT358</f>
        <v>12268065.645500002</v>
      </c>
      <c r="CU356" s="129">
        <f t="shared" ref="CU356:DQ356" si="1187">CU364*CU358</f>
        <v>12268065.645500002</v>
      </c>
      <c r="CV356" s="129">
        <f t="shared" si="1187"/>
        <v>12268065.645500002</v>
      </c>
      <c r="CW356" s="129">
        <f t="shared" si="1187"/>
        <v>12268065.645500002</v>
      </c>
      <c r="CX356" s="129">
        <f t="shared" si="1187"/>
        <v>12268065.645500002</v>
      </c>
      <c r="CY356" s="129">
        <f t="shared" si="1187"/>
        <v>12268065.645500002</v>
      </c>
      <c r="CZ356" s="129">
        <f t="shared" si="1187"/>
        <v>12268065.645500002</v>
      </c>
      <c r="DA356" s="129">
        <f t="shared" si="1187"/>
        <v>12268065.645500002</v>
      </c>
      <c r="DB356" s="129">
        <f t="shared" si="1187"/>
        <v>12268065.645500002</v>
      </c>
      <c r="DC356" s="129">
        <f t="shared" si="1187"/>
        <v>12268065.645500002</v>
      </c>
      <c r="DD356" s="129">
        <f t="shared" si="1187"/>
        <v>12268065.645500002</v>
      </c>
      <c r="DE356" s="129">
        <f t="shared" si="1187"/>
        <v>12268065.645500002</v>
      </c>
      <c r="DF356" s="129">
        <f t="shared" si="1187"/>
        <v>14108275.492325</v>
      </c>
      <c r="DG356" s="129">
        <f t="shared" si="1187"/>
        <v>14108275.492325</v>
      </c>
      <c r="DH356" s="129">
        <f t="shared" si="1187"/>
        <v>14108275.492325</v>
      </c>
      <c r="DI356" s="129">
        <f t="shared" si="1187"/>
        <v>14108275.492325</v>
      </c>
      <c r="DJ356" s="129">
        <f t="shared" si="1187"/>
        <v>14108275.492325</v>
      </c>
      <c r="DK356" s="129">
        <f t="shared" si="1187"/>
        <v>14108275.492325</v>
      </c>
      <c r="DL356" s="129">
        <f t="shared" si="1187"/>
        <v>14108275.492325</v>
      </c>
      <c r="DM356" s="129">
        <f t="shared" si="1187"/>
        <v>14108275.492325</v>
      </c>
      <c r="DN356" s="129">
        <f t="shared" si="1187"/>
        <v>14108275.492325</v>
      </c>
      <c r="DO356" s="129">
        <f t="shared" si="1187"/>
        <v>14108275.492325</v>
      </c>
      <c r="DP356" s="129">
        <f t="shared" si="1187"/>
        <v>14108275.492325</v>
      </c>
      <c r="DQ356" s="129">
        <f t="shared" si="1187"/>
        <v>14108275.492325</v>
      </c>
      <c r="DR356" s="129">
        <f t="shared" ref="DR356:EC356" si="1188">DR364*DR358</f>
        <v>16224516.816173749</v>
      </c>
      <c r="DS356" s="129">
        <f t="shared" si="1188"/>
        <v>16224516.816173749</v>
      </c>
      <c r="DT356" s="129">
        <f t="shared" si="1188"/>
        <v>16224516.816173749</v>
      </c>
      <c r="DU356" s="129">
        <f t="shared" si="1188"/>
        <v>16224516.816173749</v>
      </c>
      <c r="DV356" s="129">
        <f t="shared" si="1188"/>
        <v>16224516.816173749</v>
      </c>
      <c r="DW356" s="129">
        <f t="shared" si="1188"/>
        <v>16224516.816173749</v>
      </c>
      <c r="DX356" s="129">
        <f t="shared" si="1188"/>
        <v>16224516.816173749</v>
      </c>
      <c r="DY356" s="129">
        <f t="shared" si="1188"/>
        <v>16224516.816173749</v>
      </c>
      <c r="DZ356" s="129">
        <f t="shared" si="1188"/>
        <v>16224516.816173749</v>
      </c>
      <c r="EA356" s="129">
        <f t="shared" si="1188"/>
        <v>16224516.816173749</v>
      </c>
      <c r="EB356" s="129">
        <f t="shared" si="1188"/>
        <v>16224516.816173749</v>
      </c>
      <c r="EC356" s="129">
        <f t="shared" si="1188"/>
        <v>16224516.816173749</v>
      </c>
      <c r="ED356" s="113" t="s">
        <v>1</v>
      </c>
    </row>
    <row r="357" spans="1:134" x14ac:dyDescent="0.2">
      <c r="A357" s="115" t="s">
        <v>57</v>
      </c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5"/>
      <c r="AL357" s="133">
        <f t="shared" ref="AL357:BQ357" si="1189">AL356/AL333</f>
        <v>0.17784277477852944</v>
      </c>
      <c r="AM357" s="133">
        <f t="shared" si="1189"/>
        <v>0.14534118402918486</v>
      </c>
      <c r="AN357" s="133">
        <f t="shared" si="1189"/>
        <v>0.22366717621799095</v>
      </c>
      <c r="AO357" s="133">
        <f t="shared" si="1189"/>
        <v>0.30007876503110942</v>
      </c>
      <c r="AP357" s="133">
        <f t="shared" si="1189"/>
        <v>0.26419310866871576</v>
      </c>
      <c r="AQ357" s="133">
        <f t="shared" si="1189"/>
        <v>0.2587505603389515</v>
      </c>
      <c r="AR357" s="133">
        <f t="shared" si="1189"/>
        <v>0.17488045193583407</v>
      </c>
      <c r="AS357" s="133">
        <f t="shared" si="1189"/>
        <v>0.2005458546774333</v>
      </c>
      <c r="AT357" s="133">
        <f t="shared" si="1189"/>
        <v>0.32960345496389293</v>
      </c>
      <c r="AU357" s="133">
        <f t="shared" si="1189"/>
        <v>0.31702506367968475</v>
      </c>
      <c r="AV357" s="133">
        <f t="shared" si="1189"/>
        <v>0.3406114698530619</v>
      </c>
      <c r="AW357" s="133">
        <f t="shared" si="1189"/>
        <v>0.27675921956795979</v>
      </c>
      <c r="AX357" s="133">
        <f t="shared" si="1189"/>
        <v>0.24290711907454468</v>
      </c>
      <c r="AY357" s="133">
        <f t="shared" si="1189"/>
        <v>0.1667851326745512</v>
      </c>
      <c r="AZ357" s="133">
        <f t="shared" si="1189"/>
        <v>0.30477945176479915</v>
      </c>
      <c r="BA357" s="133">
        <f t="shared" si="1189"/>
        <v>0.4007550781723821</v>
      </c>
      <c r="BB357" s="133">
        <f t="shared" si="1189"/>
        <v>0.40218420987417464</v>
      </c>
      <c r="BC357" s="133">
        <f t="shared" si="1189"/>
        <v>0.15414111236047245</v>
      </c>
      <c r="BD357" s="133">
        <f t="shared" si="1189"/>
        <v>0.16656216547650107</v>
      </c>
      <c r="BE357" s="133">
        <f t="shared" si="1189"/>
        <v>0.28764227652315266</v>
      </c>
      <c r="BF357" s="133">
        <f t="shared" si="1189"/>
        <v>0.51529989489273498</v>
      </c>
      <c r="BG357" s="133">
        <f t="shared" si="1189"/>
        <v>0.62983732978753049</v>
      </c>
      <c r="BH357" s="133">
        <f t="shared" si="1189"/>
        <v>0.70929416588723715</v>
      </c>
      <c r="BI357" s="133">
        <f t="shared" si="1189"/>
        <v>0.41651688555342326</v>
      </c>
      <c r="BJ357" s="133">
        <f t="shared" si="1189"/>
        <v>0.35355972949803793</v>
      </c>
      <c r="BK357" s="133">
        <f t="shared" si="1189"/>
        <v>0.355067830304442</v>
      </c>
      <c r="BL357" s="133">
        <f t="shared" si="1189"/>
        <v>0.38229297488257119</v>
      </c>
      <c r="BM357" s="133">
        <f t="shared" si="1189"/>
        <v>0.37022023039555008</v>
      </c>
      <c r="BN357" s="133">
        <f t="shared" si="1189"/>
        <v>0.32148358293920209</v>
      </c>
      <c r="BO357" s="133">
        <f t="shared" si="1189"/>
        <v>0.27114643345563411</v>
      </c>
      <c r="BP357" s="133">
        <f t="shared" si="1189"/>
        <v>0.14950862273677862</v>
      </c>
      <c r="BQ357" s="133">
        <f t="shared" si="1189"/>
        <v>0.19585893044373523</v>
      </c>
      <c r="BR357" s="133">
        <f t="shared" ref="BR357:DQ357" si="1190">BR356/BR333</f>
        <v>0.20656088552052146</v>
      </c>
      <c r="BS357" s="133">
        <f t="shared" si="1190"/>
        <v>0.13219212813093037</v>
      </c>
      <c r="BT357" s="133">
        <f t="shared" si="1190"/>
        <v>0.19172343580952628</v>
      </c>
      <c r="BU357" s="133">
        <f t="shared" si="1190"/>
        <v>0.18441902076947858</v>
      </c>
      <c r="BV357" s="133">
        <f t="shared" si="1190"/>
        <v>0.26215421604539824</v>
      </c>
      <c r="BW357" s="133">
        <f t="shared" si="1190"/>
        <v>0.1983338470685333</v>
      </c>
      <c r="BX357" s="133">
        <f t="shared" si="1190"/>
        <v>0.2348580791171978</v>
      </c>
      <c r="BY357" s="133">
        <f t="shared" si="1190"/>
        <v>0.19657700071488463</v>
      </c>
      <c r="BZ357" s="133">
        <f t="shared" si="1190"/>
        <v>0.16844514394707583</v>
      </c>
      <c r="CA357" s="133">
        <f t="shared" si="1190"/>
        <v>0.1620990659909953</v>
      </c>
      <c r="CB357" s="133">
        <f t="shared" si="1190"/>
        <v>9.2805985094832857E-2</v>
      </c>
      <c r="CC357" s="133">
        <f t="shared" si="1190"/>
        <v>0.14834000294328772</v>
      </c>
      <c r="CD357" s="133">
        <f t="shared" si="1190"/>
        <v>0.16513438574316777</v>
      </c>
      <c r="CE357" s="133">
        <f t="shared" si="1190"/>
        <v>0.16266286323348084</v>
      </c>
      <c r="CF357" s="133">
        <f t="shared" si="1190"/>
        <v>0.17272124110576464</v>
      </c>
      <c r="CG357" s="133">
        <f t="shared" si="1190"/>
        <v>0.18185551671434386</v>
      </c>
      <c r="CH357" s="133">
        <f t="shared" si="1190"/>
        <v>0.17883893117057476</v>
      </c>
      <c r="CI357" s="133">
        <f t="shared" si="1190"/>
        <v>0.16863208524432838</v>
      </c>
      <c r="CJ357" s="133">
        <f t="shared" si="1190"/>
        <v>0.18765364484676428</v>
      </c>
      <c r="CK357" s="133">
        <f t="shared" si="1190"/>
        <v>0.20893559187004973</v>
      </c>
      <c r="CL357" s="133">
        <f t="shared" si="1190"/>
        <v>0.21631686510246584</v>
      </c>
      <c r="CM357" s="133">
        <f t="shared" si="1190"/>
        <v>0.11847089102306034</v>
      </c>
      <c r="CN357" s="133">
        <f t="shared" si="1190"/>
        <v>8.6769158410909986E-2</v>
      </c>
      <c r="CO357" s="133">
        <f t="shared" si="1190"/>
        <v>0.15722271024239767</v>
      </c>
      <c r="CP357" s="133">
        <f t="shared" si="1190"/>
        <v>0.18672841453222702</v>
      </c>
      <c r="CQ357" s="133">
        <f t="shared" si="1190"/>
        <v>0.15793840860053809</v>
      </c>
      <c r="CR357" s="133">
        <f t="shared" si="1190"/>
        <v>0.15825427288107557</v>
      </c>
      <c r="CS357" s="133">
        <f t="shared" si="1190"/>
        <v>0.12863076513113117</v>
      </c>
      <c r="CT357" s="133">
        <f t="shared" si="1190"/>
        <v>0.16675016036593296</v>
      </c>
      <c r="CU357" s="133">
        <f t="shared" si="1190"/>
        <v>0.15303352830283024</v>
      </c>
      <c r="CV357" s="133">
        <f t="shared" si="1190"/>
        <v>0.15486457287779348</v>
      </c>
      <c r="CW357" s="133">
        <f t="shared" si="1190"/>
        <v>0.14164485532134299</v>
      </c>
      <c r="CX357" s="133">
        <f t="shared" si="1190"/>
        <v>0.15175357513190982</v>
      </c>
      <c r="CY357" s="133">
        <f t="shared" si="1190"/>
        <v>0.130632709967133</v>
      </c>
      <c r="CZ357" s="133">
        <f t="shared" si="1190"/>
        <v>0.10567901118405636</v>
      </c>
      <c r="DA357" s="133">
        <f t="shared" si="1190"/>
        <v>0.14276750904316657</v>
      </c>
      <c r="DB357" s="133">
        <f t="shared" si="1190"/>
        <v>0.13818110924006838</v>
      </c>
      <c r="DC357" s="133">
        <f t="shared" si="1190"/>
        <v>0.13170335683118989</v>
      </c>
      <c r="DD357" s="133">
        <f t="shared" si="1190"/>
        <v>0.15360593767661943</v>
      </c>
      <c r="DE357" s="133">
        <f t="shared" si="1190"/>
        <v>0.12644817277334047</v>
      </c>
      <c r="DF357" s="133">
        <f t="shared" si="1190"/>
        <v>0.15980223701735238</v>
      </c>
      <c r="DG357" s="133">
        <f t="shared" si="1190"/>
        <v>0.14665713129021229</v>
      </c>
      <c r="DH357" s="133">
        <f t="shared" si="1190"/>
        <v>0.14841188234121874</v>
      </c>
      <c r="DI357" s="133">
        <f t="shared" si="1190"/>
        <v>0.13574298634962037</v>
      </c>
      <c r="DJ357" s="133">
        <f t="shared" si="1190"/>
        <v>0.14543050950141354</v>
      </c>
      <c r="DK357" s="133">
        <f t="shared" si="1190"/>
        <v>0.12518968038516909</v>
      </c>
      <c r="DL357" s="133">
        <f t="shared" si="1190"/>
        <v>0.10127571905138731</v>
      </c>
      <c r="DM357" s="133">
        <f t="shared" si="1190"/>
        <v>0.13681886283303463</v>
      </c>
      <c r="DN357" s="133">
        <f t="shared" si="1190"/>
        <v>0.13242356302173214</v>
      </c>
      <c r="DO357" s="133">
        <f t="shared" si="1190"/>
        <v>0.12621571696322362</v>
      </c>
      <c r="DP357" s="133">
        <f t="shared" si="1190"/>
        <v>0.14720569027342692</v>
      </c>
      <c r="DQ357" s="133">
        <f t="shared" si="1190"/>
        <v>0.12117949890778459</v>
      </c>
      <c r="DR357" s="133">
        <f t="shared" ref="DR357:EC357" si="1191">DR356/DR333</f>
        <v>0.15980223701735238</v>
      </c>
      <c r="DS357" s="133">
        <f t="shared" si="1191"/>
        <v>0.14665713129021227</v>
      </c>
      <c r="DT357" s="133">
        <f t="shared" si="1191"/>
        <v>0.14841188234121874</v>
      </c>
      <c r="DU357" s="133">
        <f t="shared" si="1191"/>
        <v>0.13574298634962034</v>
      </c>
      <c r="DV357" s="133">
        <f t="shared" si="1191"/>
        <v>0.14543050950141354</v>
      </c>
      <c r="DW357" s="133">
        <f t="shared" si="1191"/>
        <v>0.12518968038516912</v>
      </c>
      <c r="DX357" s="133">
        <f t="shared" si="1191"/>
        <v>0.10127571905138731</v>
      </c>
      <c r="DY357" s="133">
        <f t="shared" si="1191"/>
        <v>0.1368188628330346</v>
      </c>
      <c r="DZ357" s="133">
        <f t="shared" si="1191"/>
        <v>0.13242356302173217</v>
      </c>
      <c r="EA357" s="133">
        <f t="shared" si="1191"/>
        <v>0.12621571696322362</v>
      </c>
      <c r="EB357" s="133">
        <f t="shared" si="1191"/>
        <v>0.14720569027342692</v>
      </c>
      <c r="EC357" s="133">
        <f t="shared" si="1191"/>
        <v>0.12117949890778459</v>
      </c>
      <c r="ED357" s="113" t="s">
        <v>1</v>
      </c>
    </row>
    <row r="358" spans="1:134" x14ac:dyDescent="0.2">
      <c r="A358" s="115" t="s">
        <v>215</v>
      </c>
      <c r="B358" s="115"/>
      <c r="C358" s="115"/>
      <c r="D358" s="115"/>
      <c r="E358" s="115"/>
      <c r="F358" s="115"/>
      <c r="G358" s="115"/>
      <c r="H358" s="115"/>
      <c r="I358" s="115"/>
      <c r="J358" s="133">
        <f>J356/J364</f>
        <v>0.5</v>
      </c>
      <c r="K358" s="133">
        <f t="shared" ref="K358:BV358" si="1192">K356/K364</f>
        <v>0.5</v>
      </c>
      <c r="L358" s="133">
        <f t="shared" si="1192"/>
        <v>0.5</v>
      </c>
      <c r="M358" s="133">
        <f t="shared" si="1192"/>
        <v>0.5</v>
      </c>
      <c r="N358" s="133">
        <f t="shared" si="1192"/>
        <v>0.5</v>
      </c>
      <c r="O358" s="133">
        <f t="shared" si="1192"/>
        <v>0.5</v>
      </c>
      <c r="P358" s="133">
        <f t="shared" si="1192"/>
        <v>0.5</v>
      </c>
      <c r="Q358" s="133">
        <f t="shared" si="1192"/>
        <v>0.5</v>
      </c>
      <c r="R358" s="133">
        <f t="shared" si="1192"/>
        <v>0.5</v>
      </c>
      <c r="S358" s="133">
        <f t="shared" si="1192"/>
        <v>0.5</v>
      </c>
      <c r="T358" s="133">
        <f t="shared" si="1192"/>
        <v>0.5</v>
      </c>
      <c r="U358" s="133">
        <f t="shared" si="1192"/>
        <v>0.5</v>
      </c>
      <c r="V358" s="133">
        <f t="shared" si="1192"/>
        <v>0.5</v>
      </c>
      <c r="W358" s="133">
        <f t="shared" si="1192"/>
        <v>0.5</v>
      </c>
      <c r="X358" s="133">
        <f t="shared" si="1192"/>
        <v>0.5</v>
      </c>
      <c r="Y358" s="133">
        <f t="shared" si="1192"/>
        <v>0.5</v>
      </c>
      <c r="Z358" s="133">
        <f t="shared" si="1192"/>
        <v>0.5</v>
      </c>
      <c r="AA358" s="133">
        <f t="shared" si="1192"/>
        <v>0.5</v>
      </c>
      <c r="AB358" s="133">
        <f t="shared" si="1192"/>
        <v>0.5</v>
      </c>
      <c r="AC358" s="133">
        <f t="shared" si="1192"/>
        <v>0.5</v>
      </c>
      <c r="AD358" s="133">
        <f t="shared" si="1192"/>
        <v>0.5</v>
      </c>
      <c r="AE358" s="133">
        <f t="shared" si="1192"/>
        <v>0.5</v>
      </c>
      <c r="AF358" s="133">
        <f t="shared" si="1192"/>
        <v>0.5</v>
      </c>
      <c r="AG358" s="133">
        <f t="shared" si="1192"/>
        <v>0.5</v>
      </c>
      <c r="AH358" s="133">
        <f t="shared" si="1192"/>
        <v>0.5</v>
      </c>
      <c r="AI358" s="133">
        <f t="shared" si="1192"/>
        <v>0.5</v>
      </c>
      <c r="AJ358" s="133">
        <f t="shared" si="1192"/>
        <v>0.5</v>
      </c>
      <c r="AK358" s="133">
        <f t="shared" si="1192"/>
        <v>0.5</v>
      </c>
      <c r="AL358" s="133">
        <f t="shared" si="1192"/>
        <v>1</v>
      </c>
      <c r="AM358" s="133">
        <f t="shared" si="1192"/>
        <v>1</v>
      </c>
      <c r="AN358" s="133">
        <f t="shared" si="1192"/>
        <v>1</v>
      </c>
      <c r="AO358" s="133">
        <f t="shared" si="1192"/>
        <v>1</v>
      </c>
      <c r="AP358" s="133">
        <f t="shared" si="1192"/>
        <v>1</v>
      </c>
      <c r="AQ358" s="133">
        <f t="shared" si="1192"/>
        <v>1</v>
      </c>
      <c r="AR358" s="133">
        <f t="shared" si="1192"/>
        <v>1</v>
      </c>
      <c r="AS358" s="133">
        <f t="shared" si="1192"/>
        <v>1</v>
      </c>
      <c r="AT358" s="133">
        <f t="shared" si="1192"/>
        <v>1</v>
      </c>
      <c r="AU358" s="133">
        <f t="shared" si="1192"/>
        <v>1</v>
      </c>
      <c r="AV358" s="133">
        <f t="shared" si="1192"/>
        <v>1</v>
      </c>
      <c r="AW358" s="133">
        <f t="shared" si="1192"/>
        <v>1</v>
      </c>
      <c r="AX358" s="133">
        <f t="shared" si="1192"/>
        <v>1</v>
      </c>
      <c r="AY358" s="133">
        <f t="shared" si="1192"/>
        <v>1</v>
      </c>
      <c r="AZ358" s="133">
        <f t="shared" si="1192"/>
        <v>1</v>
      </c>
      <c r="BA358" s="133">
        <f t="shared" si="1192"/>
        <v>1</v>
      </c>
      <c r="BB358" s="133">
        <f t="shared" si="1192"/>
        <v>1</v>
      </c>
      <c r="BC358" s="133">
        <f t="shared" si="1192"/>
        <v>1</v>
      </c>
      <c r="BD358" s="133">
        <f t="shared" si="1192"/>
        <v>1</v>
      </c>
      <c r="BE358" s="133">
        <f t="shared" si="1192"/>
        <v>1</v>
      </c>
      <c r="BF358" s="133">
        <f t="shared" si="1192"/>
        <v>1</v>
      </c>
      <c r="BG358" s="133">
        <f t="shared" si="1192"/>
        <v>0.5021914728896838</v>
      </c>
      <c r="BH358" s="133">
        <f t="shared" si="1192"/>
        <v>0.47126678410127376</v>
      </c>
      <c r="BI358" s="133">
        <f t="shared" si="1192"/>
        <v>0.37944008911920046</v>
      </c>
      <c r="BJ358" s="133">
        <f t="shared" si="1192"/>
        <v>0.7640126291327286</v>
      </c>
      <c r="BK358" s="133">
        <f t="shared" si="1192"/>
        <v>0.75643968744311574</v>
      </c>
      <c r="BL358" s="133">
        <f t="shared" si="1192"/>
        <v>0.76926225687829708</v>
      </c>
      <c r="BM358" s="133">
        <f t="shared" si="1192"/>
        <v>0.7271281549123858</v>
      </c>
      <c r="BN358" s="133">
        <f t="shared" si="1192"/>
        <v>0.71469483370752585</v>
      </c>
      <c r="BO358" s="133">
        <f t="shared" si="1192"/>
        <v>0.92958776924190567</v>
      </c>
      <c r="BP358" s="133">
        <f t="shared" si="1192"/>
        <v>0.45081187094161723</v>
      </c>
      <c r="BQ358" s="133">
        <f t="shared" si="1192"/>
        <v>0.67969428407485577</v>
      </c>
      <c r="BR358" s="133">
        <f t="shared" si="1192"/>
        <v>0.72363225939209452</v>
      </c>
      <c r="BS358" s="133">
        <f t="shared" si="1192"/>
        <v>0.65570092746958608</v>
      </c>
      <c r="BT358" s="133">
        <f t="shared" si="1192"/>
        <v>0.64562924799566701</v>
      </c>
      <c r="BU358" s="133">
        <f t="shared" si="1192"/>
        <v>0.52138655160557823</v>
      </c>
      <c r="BV358" s="133">
        <f t="shared" si="1192"/>
        <v>0.73753949654364703</v>
      </c>
      <c r="BW358" s="133">
        <f t="shared" ref="BW358:CS358" si="1193">BW356/BW364</f>
        <v>0.69385147882407117</v>
      </c>
      <c r="BX358" s="133">
        <f t="shared" si="1193"/>
        <v>0.67372187802177419</v>
      </c>
      <c r="BY358" s="133">
        <f t="shared" si="1193"/>
        <v>0.7576194259881972</v>
      </c>
      <c r="BZ358" s="133">
        <f t="shared" si="1193"/>
        <v>0.73346953029150996</v>
      </c>
      <c r="CA358" s="133">
        <f t="shared" si="1193"/>
        <v>0.69120548180323871</v>
      </c>
      <c r="CB358" s="133">
        <f t="shared" si="1193"/>
        <v>0.5033108054212827</v>
      </c>
      <c r="CC358" s="133">
        <f t="shared" si="1193"/>
        <v>0.62174991309067551</v>
      </c>
      <c r="CD358" s="133">
        <f t="shared" si="1193"/>
        <v>0.56039050359639397</v>
      </c>
      <c r="CE358" s="133">
        <f t="shared" si="1193"/>
        <v>0.55308364658144615</v>
      </c>
      <c r="CF358" s="133">
        <f t="shared" si="1193"/>
        <v>0.32974149561213095</v>
      </c>
      <c r="CG358" s="133">
        <f t="shared" si="1193"/>
        <v>0.66362872207942458</v>
      </c>
      <c r="CH358" s="133">
        <f t="shared" si="1193"/>
        <v>0.62874212142374852</v>
      </c>
      <c r="CI358" s="133">
        <f t="shared" si="1193"/>
        <v>0.57789891309177444</v>
      </c>
      <c r="CJ358" s="133">
        <f t="shared" si="1193"/>
        <v>0.54600698974181394</v>
      </c>
      <c r="CK358" s="133">
        <f t="shared" si="1193"/>
        <v>0.59205933092180085</v>
      </c>
      <c r="CL358" s="133">
        <f t="shared" si="1193"/>
        <v>0.65178883366543339</v>
      </c>
      <c r="CM358" s="133">
        <f t="shared" si="1193"/>
        <v>0.48817475680792344</v>
      </c>
      <c r="CN358" s="133">
        <f t="shared" si="1193"/>
        <v>0.54325624375768145</v>
      </c>
      <c r="CO358" s="133">
        <f t="shared" si="1193"/>
        <v>0.56960647115699536</v>
      </c>
      <c r="CP358" s="133">
        <f t="shared" si="1193"/>
        <v>0.68046053066491663</v>
      </c>
      <c r="CQ358" s="133">
        <f t="shared" si="1193"/>
        <v>0.71426732707776153</v>
      </c>
      <c r="CR358" s="133">
        <f t="shared" si="1193"/>
        <v>0.71128525082936078</v>
      </c>
      <c r="CS358" s="133">
        <f t="shared" si="1193"/>
        <v>0.63453204055408163</v>
      </c>
      <c r="CT358" s="133">
        <f>CS358</f>
        <v>0.63453204055408163</v>
      </c>
      <c r="CU358" s="133">
        <f t="shared" ref="CU358:DQ358" si="1194">CT358</f>
        <v>0.63453204055408163</v>
      </c>
      <c r="CV358" s="133">
        <f t="shared" si="1194"/>
        <v>0.63453204055408163</v>
      </c>
      <c r="CW358" s="133">
        <f t="shared" si="1194"/>
        <v>0.63453204055408163</v>
      </c>
      <c r="CX358" s="133">
        <f t="shared" si="1194"/>
        <v>0.63453204055408163</v>
      </c>
      <c r="CY358" s="133">
        <f t="shared" si="1194"/>
        <v>0.63453204055408163</v>
      </c>
      <c r="CZ358" s="133">
        <f t="shared" si="1194"/>
        <v>0.63453204055408163</v>
      </c>
      <c r="DA358" s="133">
        <f t="shared" si="1194"/>
        <v>0.63453204055408163</v>
      </c>
      <c r="DB358" s="133">
        <f t="shared" si="1194"/>
        <v>0.63453204055408163</v>
      </c>
      <c r="DC358" s="133">
        <f t="shared" si="1194"/>
        <v>0.63453204055408163</v>
      </c>
      <c r="DD358" s="133">
        <f t="shared" si="1194"/>
        <v>0.63453204055408163</v>
      </c>
      <c r="DE358" s="133">
        <f t="shared" si="1194"/>
        <v>0.63453204055408163</v>
      </c>
      <c r="DF358" s="133">
        <f t="shared" si="1194"/>
        <v>0.63453204055408163</v>
      </c>
      <c r="DG358" s="133">
        <f t="shared" si="1194"/>
        <v>0.63453204055408163</v>
      </c>
      <c r="DH358" s="133">
        <f t="shared" si="1194"/>
        <v>0.63453204055408163</v>
      </c>
      <c r="DI358" s="133">
        <f t="shared" si="1194"/>
        <v>0.63453204055408163</v>
      </c>
      <c r="DJ358" s="133">
        <f t="shared" si="1194"/>
        <v>0.63453204055408163</v>
      </c>
      <c r="DK358" s="133">
        <f t="shared" si="1194"/>
        <v>0.63453204055408163</v>
      </c>
      <c r="DL358" s="133">
        <f t="shared" si="1194"/>
        <v>0.63453204055408163</v>
      </c>
      <c r="DM358" s="133">
        <f t="shared" si="1194"/>
        <v>0.63453204055408163</v>
      </c>
      <c r="DN358" s="133">
        <f t="shared" si="1194"/>
        <v>0.63453204055408163</v>
      </c>
      <c r="DO358" s="133">
        <f t="shared" si="1194"/>
        <v>0.63453204055408163</v>
      </c>
      <c r="DP358" s="133">
        <f t="shared" si="1194"/>
        <v>0.63453204055408163</v>
      </c>
      <c r="DQ358" s="133">
        <f t="shared" si="1194"/>
        <v>0.63453204055408163</v>
      </c>
      <c r="DR358" s="133">
        <f t="shared" ref="DR358" si="1195">DQ358</f>
        <v>0.63453204055408163</v>
      </c>
      <c r="DS358" s="133">
        <f t="shared" ref="DS358" si="1196">DR358</f>
        <v>0.63453204055408163</v>
      </c>
      <c r="DT358" s="133">
        <f t="shared" ref="DT358" si="1197">DS358</f>
        <v>0.63453204055408163</v>
      </c>
      <c r="DU358" s="133">
        <f t="shared" ref="DU358" si="1198">DT358</f>
        <v>0.63453204055408163</v>
      </c>
      <c r="DV358" s="133">
        <f t="shared" ref="DV358" si="1199">DU358</f>
        <v>0.63453204055408163</v>
      </c>
      <c r="DW358" s="133">
        <f t="shared" ref="DW358" si="1200">DV358</f>
        <v>0.63453204055408163</v>
      </c>
      <c r="DX358" s="133">
        <f t="shared" ref="DX358" si="1201">DW358</f>
        <v>0.63453204055408163</v>
      </c>
      <c r="DY358" s="133">
        <f t="shared" ref="DY358" si="1202">DX358</f>
        <v>0.63453204055408163</v>
      </c>
      <c r="DZ358" s="133">
        <f t="shared" ref="DZ358" si="1203">DY358</f>
        <v>0.63453204055408163</v>
      </c>
      <c r="EA358" s="133">
        <f t="shared" ref="EA358" si="1204">DZ358</f>
        <v>0.63453204055408163</v>
      </c>
      <c r="EB358" s="133">
        <f t="shared" ref="EB358" si="1205">EA358</f>
        <v>0.63453204055408163</v>
      </c>
      <c r="EC358" s="133">
        <f t="shared" ref="EC358" si="1206">EB358</f>
        <v>0.63453204055408163</v>
      </c>
      <c r="ED358" s="113" t="s">
        <v>1</v>
      </c>
    </row>
    <row r="359" spans="1:134" x14ac:dyDescent="0.2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115"/>
      <c r="AM359" s="115"/>
      <c r="AN359" s="115"/>
      <c r="AO359" s="115"/>
      <c r="AP359" s="115"/>
      <c r="AQ359" s="115"/>
      <c r="AR359" s="115"/>
      <c r="AS359" s="115"/>
      <c r="AT359" s="115"/>
      <c r="AU359" s="115"/>
      <c r="AV359" s="115"/>
      <c r="AW359" s="115"/>
      <c r="AX359" s="115"/>
      <c r="AY359" s="115"/>
      <c r="AZ359" s="115"/>
      <c r="BA359" s="115"/>
      <c r="BB359" s="115"/>
      <c r="BC359" s="115"/>
      <c r="BD359" s="115"/>
      <c r="BE359" s="115"/>
      <c r="BF359" s="115"/>
      <c r="BG359" s="115"/>
      <c r="BH359" s="115"/>
      <c r="BI359" s="115"/>
      <c r="BJ359" s="115"/>
      <c r="BK359" s="115"/>
      <c r="BL359" s="115"/>
      <c r="BM359" s="115"/>
      <c r="BN359" s="115"/>
      <c r="BO359" s="115"/>
      <c r="BP359" s="115"/>
      <c r="BQ359" s="115"/>
      <c r="BR359" s="115"/>
      <c r="BS359" s="115"/>
      <c r="BT359" s="115"/>
      <c r="BU359" s="115"/>
      <c r="BV359" s="115"/>
      <c r="BW359" s="115"/>
      <c r="BX359" s="115"/>
      <c r="BY359" s="115"/>
      <c r="BZ359" s="115"/>
      <c r="CA359" s="115"/>
      <c r="CB359" s="115"/>
      <c r="CC359" s="115"/>
      <c r="CD359" s="115"/>
      <c r="CE359" s="115"/>
      <c r="CF359" s="115"/>
      <c r="CG359" s="115"/>
      <c r="CH359" s="115"/>
      <c r="CI359" s="115"/>
      <c r="CJ359" s="115"/>
      <c r="CK359" s="115"/>
      <c r="CL359" s="115"/>
      <c r="CM359" s="115"/>
      <c r="CN359" s="115"/>
      <c r="CO359" s="115"/>
      <c r="CP359" s="115"/>
      <c r="CQ359" s="115"/>
      <c r="CR359" s="115"/>
      <c r="CS359" s="115"/>
      <c r="CT359" s="115"/>
      <c r="CU359" s="115"/>
      <c r="CV359" s="115"/>
      <c r="CW359" s="115"/>
      <c r="CX359" s="115"/>
      <c r="CY359" s="115"/>
      <c r="CZ359" s="115"/>
      <c r="DA359" s="115"/>
      <c r="DB359" s="115"/>
      <c r="DC359" s="115"/>
      <c r="DD359" s="115"/>
      <c r="DE359" s="115"/>
      <c r="DF359" s="115"/>
      <c r="DG359" s="115"/>
      <c r="DH359" s="115"/>
      <c r="DI359" s="115"/>
      <c r="DJ359" s="115"/>
      <c r="DK359" s="115"/>
      <c r="DL359" s="115"/>
      <c r="DM359" s="115"/>
      <c r="DN359" s="115"/>
      <c r="DO359" s="115"/>
      <c r="DP359" s="115"/>
      <c r="DQ359" s="115"/>
      <c r="DR359" s="115"/>
      <c r="DS359" s="115"/>
      <c r="DT359" s="115"/>
      <c r="DU359" s="115"/>
      <c r="DV359" s="115"/>
      <c r="DW359" s="115"/>
      <c r="DX359" s="115"/>
      <c r="DY359" s="115"/>
      <c r="DZ359" s="115"/>
      <c r="EA359" s="115"/>
      <c r="EB359" s="115"/>
      <c r="EC359" s="115"/>
      <c r="ED359" s="113" t="s">
        <v>1</v>
      </c>
    </row>
    <row r="360" spans="1:134" x14ac:dyDescent="0.2">
      <c r="A360" s="115" t="s">
        <v>153</v>
      </c>
      <c r="B360" s="129">
        <v>0</v>
      </c>
      <c r="C360" s="129">
        <v>0</v>
      </c>
      <c r="D360" s="129">
        <v>0</v>
      </c>
      <c r="E360" s="129">
        <v>0</v>
      </c>
      <c r="F360" s="129">
        <v>0</v>
      </c>
      <c r="G360" s="129">
        <v>0</v>
      </c>
      <c r="H360" s="129">
        <v>0</v>
      </c>
      <c r="I360" s="129">
        <v>0</v>
      </c>
      <c r="J360" s="129">
        <v>2937359</v>
      </c>
      <c r="K360" s="129">
        <v>1561606</v>
      </c>
      <c r="L360" s="129">
        <v>665531</v>
      </c>
      <c r="M360" s="129">
        <v>438148</v>
      </c>
      <c r="N360" s="129">
        <v>901275</v>
      </c>
      <c r="O360" s="129">
        <v>932034</v>
      </c>
      <c r="P360" s="129">
        <v>1336239</v>
      </c>
      <c r="Q360" s="129">
        <v>723203</v>
      </c>
      <c r="R360" s="129">
        <v>777287</v>
      </c>
      <c r="S360" s="129">
        <v>600584</v>
      </c>
      <c r="T360" s="129">
        <v>363742</v>
      </c>
      <c r="U360" s="129">
        <v>372005</v>
      </c>
      <c r="V360" s="129">
        <v>531131</v>
      </c>
      <c r="W360" s="129">
        <v>571120</v>
      </c>
      <c r="X360" s="129">
        <v>662511</v>
      </c>
      <c r="Y360" s="129">
        <v>469347</v>
      </c>
      <c r="Z360" s="129">
        <v>75423.277457618547</v>
      </c>
      <c r="AA360" s="129">
        <v>379655</v>
      </c>
      <c r="AB360" s="129">
        <v>1038700</v>
      </c>
      <c r="AC360" s="129">
        <v>1514272</v>
      </c>
      <c r="AD360" s="129">
        <v>2322109</v>
      </c>
      <c r="AE360" s="129">
        <v>2565957</v>
      </c>
      <c r="AF360" s="129">
        <v>1598116</v>
      </c>
      <c r="AG360" s="129">
        <v>968352</v>
      </c>
      <c r="AH360" s="129">
        <v>1799730</v>
      </c>
      <c r="AI360" s="129">
        <v>1574041</v>
      </c>
      <c r="AJ360" s="129">
        <v>1607920</v>
      </c>
      <c r="AK360" s="129">
        <v>3160894</v>
      </c>
      <c r="AL360" s="129">
        <v>0</v>
      </c>
      <c r="AM360" s="129">
        <v>0</v>
      </c>
      <c r="AN360" s="129">
        <v>0</v>
      </c>
      <c r="AO360" s="129">
        <v>0</v>
      </c>
      <c r="AP360" s="129">
        <v>0</v>
      </c>
      <c r="AQ360" s="129">
        <v>0</v>
      </c>
      <c r="AR360" s="129">
        <v>0</v>
      </c>
      <c r="AS360" s="129">
        <v>0</v>
      </c>
      <c r="AT360" s="129">
        <v>0</v>
      </c>
      <c r="AU360" s="129">
        <v>0</v>
      </c>
      <c r="AV360" s="129">
        <v>0</v>
      </c>
      <c r="AW360" s="129">
        <v>0</v>
      </c>
      <c r="AX360" s="129">
        <v>0</v>
      </c>
      <c r="AY360" s="129">
        <v>0</v>
      </c>
      <c r="AZ360" s="129">
        <v>0</v>
      </c>
      <c r="BA360" s="129">
        <v>0</v>
      </c>
      <c r="BB360" s="129">
        <v>0</v>
      </c>
      <c r="BC360" s="129">
        <v>0</v>
      </c>
      <c r="BD360" s="129">
        <v>0</v>
      </c>
      <c r="BE360" s="129">
        <v>0</v>
      </c>
      <c r="BF360" s="129">
        <v>0</v>
      </c>
      <c r="BG360" s="129">
        <v>19861942</v>
      </c>
      <c r="BH360" s="129">
        <v>23476483</v>
      </c>
      <c r="BI360" s="129">
        <v>22707539</v>
      </c>
      <c r="BJ360" s="129">
        <v>3996103</v>
      </c>
      <c r="BK360" s="129">
        <v>4378020</v>
      </c>
      <c r="BL360" s="129">
        <v>4358962</v>
      </c>
      <c r="BM360" s="129">
        <v>5767170.2554945052</v>
      </c>
      <c r="BN360" s="129">
        <v>5494304.2554945052</v>
      </c>
      <c r="BO360" s="129">
        <v>782544</v>
      </c>
      <c r="BP360" s="129">
        <v>10308250</v>
      </c>
      <c r="BQ360" s="129">
        <v>4350689</v>
      </c>
      <c r="BR360" s="129">
        <v>3439577</v>
      </c>
      <c r="BS360" s="129">
        <v>3439577</v>
      </c>
      <c r="BT360" s="129">
        <v>4616397</v>
      </c>
      <c r="BU360" s="129">
        <v>7600506</v>
      </c>
      <c r="BV360" s="129">
        <v>4005531</v>
      </c>
      <c r="BW360" s="129">
        <v>4348499</v>
      </c>
      <c r="BX360" s="129">
        <v>5218937</v>
      </c>
      <c r="BY360" s="129">
        <v>3393989</v>
      </c>
      <c r="BZ360" s="129">
        <v>3117028</v>
      </c>
      <c r="CA360" s="129">
        <v>3508284</v>
      </c>
      <c r="CB360" s="129">
        <v>6239359</v>
      </c>
      <c r="CC360" s="129">
        <v>4725392</v>
      </c>
      <c r="CD360" s="129">
        <v>6947905</v>
      </c>
      <c r="CE360" s="129">
        <v>7601655</v>
      </c>
      <c r="CF360" s="129">
        <v>20280229</v>
      </c>
      <c r="CG360" s="129">
        <v>5213813</v>
      </c>
      <c r="CH360" s="129">
        <v>6022554</v>
      </c>
      <c r="CI360" s="129">
        <v>7428050</v>
      </c>
      <c r="CJ360" s="129">
        <v>9275982</v>
      </c>
      <c r="CK360" s="129">
        <v>9045354</v>
      </c>
      <c r="CL360" s="129">
        <v>6710657</v>
      </c>
      <c r="CM360" s="129">
        <v>8708100</v>
      </c>
      <c r="CN360" s="129">
        <v>6456898.5</v>
      </c>
      <c r="CO360" s="129">
        <v>8135657</v>
      </c>
      <c r="CP360" s="129">
        <v>6274130</v>
      </c>
      <c r="CQ360" s="129">
        <v>4721643</v>
      </c>
      <c r="CR360" s="129">
        <v>4209598.5</v>
      </c>
      <c r="CS360" s="129">
        <v>6144322.5</v>
      </c>
      <c r="CT360" s="129">
        <f>CT364*CT362</f>
        <v>7065970.875</v>
      </c>
      <c r="CU360" s="129">
        <f t="shared" ref="CU360:DQ360" si="1207">CU364*CU362</f>
        <v>7065970.875</v>
      </c>
      <c r="CV360" s="129">
        <f t="shared" si="1207"/>
        <v>7065970.875</v>
      </c>
      <c r="CW360" s="129">
        <f t="shared" si="1207"/>
        <v>7065970.875</v>
      </c>
      <c r="CX360" s="129">
        <f t="shared" si="1207"/>
        <v>7065970.875</v>
      </c>
      <c r="CY360" s="129">
        <f t="shared" si="1207"/>
        <v>7065970.875</v>
      </c>
      <c r="CZ360" s="129">
        <f t="shared" si="1207"/>
        <v>7065970.875</v>
      </c>
      <c r="DA360" s="129">
        <f t="shared" si="1207"/>
        <v>7065970.875</v>
      </c>
      <c r="DB360" s="129">
        <f t="shared" si="1207"/>
        <v>7065970.875</v>
      </c>
      <c r="DC360" s="129">
        <f t="shared" si="1207"/>
        <v>7065970.875</v>
      </c>
      <c r="DD360" s="129">
        <f t="shared" si="1207"/>
        <v>7065970.875</v>
      </c>
      <c r="DE360" s="129">
        <f t="shared" si="1207"/>
        <v>7065970.875</v>
      </c>
      <c r="DF360" s="129">
        <f t="shared" si="1207"/>
        <v>8125866.5062499987</v>
      </c>
      <c r="DG360" s="129">
        <f t="shared" si="1207"/>
        <v>8125866.5062499987</v>
      </c>
      <c r="DH360" s="129">
        <f t="shared" si="1207"/>
        <v>8125866.5062499987</v>
      </c>
      <c r="DI360" s="129">
        <f t="shared" si="1207"/>
        <v>8125866.5062499987</v>
      </c>
      <c r="DJ360" s="129">
        <f t="shared" si="1207"/>
        <v>8125866.5062499987</v>
      </c>
      <c r="DK360" s="129">
        <f t="shared" si="1207"/>
        <v>8125866.5062499987</v>
      </c>
      <c r="DL360" s="129">
        <f t="shared" si="1207"/>
        <v>8125866.5062499987</v>
      </c>
      <c r="DM360" s="129">
        <f t="shared" si="1207"/>
        <v>8125866.5062499987</v>
      </c>
      <c r="DN360" s="129">
        <f t="shared" si="1207"/>
        <v>8125866.5062499987</v>
      </c>
      <c r="DO360" s="129">
        <f t="shared" si="1207"/>
        <v>8125866.5062499987</v>
      </c>
      <c r="DP360" s="129">
        <f t="shared" si="1207"/>
        <v>8125866.5062499987</v>
      </c>
      <c r="DQ360" s="129">
        <f t="shared" si="1207"/>
        <v>8125866.5062499987</v>
      </c>
      <c r="DR360" s="129">
        <f t="shared" ref="DR360:EC360" si="1208">DR364*DR362</f>
        <v>9344746.4821874984</v>
      </c>
      <c r="DS360" s="129">
        <f t="shared" si="1208"/>
        <v>9344746.4821874984</v>
      </c>
      <c r="DT360" s="129">
        <f t="shared" si="1208"/>
        <v>9344746.4821874984</v>
      </c>
      <c r="DU360" s="129">
        <f t="shared" si="1208"/>
        <v>9344746.4821874984</v>
      </c>
      <c r="DV360" s="129">
        <f t="shared" si="1208"/>
        <v>9344746.4821874984</v>
      </c>
      <c r="DW360" s="129">
        <f t="shared" si="1208"/>
        <v>9344746.4821874984</v>
      </c>
      <c r="DX360" s="129">
        <f t="shared" si="1208"/>
        <v>9344746.4821874984</v>
      </c>
      <c r="DY360" s="129">
        <f t="shared" si="1208"/>
        <v>9344746.4821874984</v>
      </c>
      <c r="DZ360" s="129">
        <f t="shared" si="1208"/>
        <v>9344746.4821874984</v>
      </c>
      <c r="EA360" s="129">
        <f t="shared" si="1208"/>
        <v>9344746.4821874984</v>
      </c>
      <c r="EB360" s="129">
        <f t="shared" si="1208"/>
        <v>9344746.4821874984</v>
      </c>
      <c r="EC360" s="129">
        <f t="shared" si="1208"/>
        <v>9344746.4821874984</v>
      </c>
      <c r="ED360" s="113" t="s">
        <v>1</v>
      </c>
    </row>
    <row r="361" spans="1:134" x14ac:dyDescent="0.2">
      <c r="A361" s="115" t="s">
        <v>172</v>
      </c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133">
        <f t="shared" ref="AL361:BQ361" si="1209">AL360/AL333</f>
        <v>0</v>
      </c>
      <c r="AM361" s="133">
        <f t="shared" si="1209"/>
        <v>0</v>
      </c>
      <c r="AN361" s="133">
        <f t="shared" si="1209"/>
        <v>0</v>
      </c>
      <c r="AO361" s="133">
        <f t="shared" si="1209"/>
        <v>0</v>
      </c>
      <c r="AP361" s="133">
        <f t="shared" si="1209"/>
        <v>0</v>
      </c>
      <c r="AQ361" s="133">
        <f t="shared" si="1209"/>
        <v>0</v>
      </c>
      <c r="AR361" s="133">
        <f t="shared" si="1209"/>
        <v>0</v>
      </c>
      <c r="AS361" s="133">
        <f t="shared" si="1209"/>
        <v>0</v>
      </c>
      <c r="AT361" s="133">
        <f t="shared" si="1209"/>
        <v>0</v>
      </c>
      <c r="AU361" s="133">
        <f t="shared" si="1209"/>
        <v>0</v>
      </c>
      <c r="AV361" s="133">
        <f t="shared" si="1209"/>
        <v>0</v>
      </c>
      <c r="AW361" s="133">
        <f t="shared" si="1209"/>
        <v>0</v>
      </c>
      <c r="AX361" s="133">
        <f t="shared" si="1209"/>
        <v>0</v>
      </c>
      <c r="AY361" s="133">
        <f t="shared" si="1209"/>
        <v>0</v>
      </c>
      <c r="AZ361" s="133">
        <f t="shared" si="1209"/>
        <v>0</v>
      </c>
      <c r="BA361" s="133">
        <f t="shared" si="1209"/>
        <v>0</v>
      </c>
      <c r="BB361" s="133">
        <f t="shared" si="1209"/>
        <v>0</v>
      </c>
      <c r="BC361" s="133">
        <f t="shared" si="1209"/>
        <v>0</v>
      </c>
      <c r="BD361" s="133">
        <f t="shared" si="1209"/>
        <v>0</v>
      </c>
      <c r="BE361" s="133">
        <f t="shared" si="1209"/>
        <v>0</v>
      </c>
      <c r="BF361" s="133">
        <f t="shared" si="1209"/>
        <v>0</v>
      </c>
      <c r="BG361" s="133">
        <f t="shared" si="1209"/>
        <v>0.62434033707597403</v>
      </c>
      <c r="BH361" s="133">
        <f t="shared" si="1209"/>
        <v>0.79578573750525838</v>
      </c>
      <c r="BI361" s="133">
        <f t="shared" si="1209"/>
        <v>0.681197608769751</v>
      </c>
      <c r="BJ361" s="133">
        <f t="shared" si="1209"/>
        <v>0.10920713588661204</v>
      </c>
      <c r="BK361" s="133">
        <f t="shared" si="1209"/>
        <v>0.11432561400917764</v>
      </c>
      <c r="BL361" s="133">
        <f t="shared" si="1209"/>
        <v>0.11466754991157942</v>
      </c>
      <c r="BM361" s="133">
        <f t="shared" si="1209"/>
        <v>0.13893379959818491</v>
      </c>
      <c r="BN361" s="133">
        <f t="shared" si="1209"/>
        <v>0.12833579139639392</v>
      </c>
      <c r="BO361" s="133">
        <f t="shared" si="1209"/>
        <v>2.0538163122867072E-2</v>
      </c>
      <c r="BP361" s="133">
        <f t="shared" si="1209"/>
        <v>0.18213442478212943</v>
      </c>
      <c r="BQ361" s="133">
        <f t="shared" si="1209"/>
        <v>9.2298458889503568E-2</v>
      </c>
      <c r="BR361" s="133">
        <f t="shared" ref="BR361:DQ361" si="1210">BR360/BR333</f>
        <v>7.8889193355243581E-2</v>
      </c>
      <c r="BS361" s="133">
        <f t="shared" si="1210"/>
        <v>6.9412174368797208E-2</v>
      </c>
      <c r="BT361" s="133">
        <f t="shared" si="1210"/>
        <v>0.1052324973436338</v>
      </c>
      <c r="BU361" s="133">
        <f t="shared" si="1210"/>
        <v>0.16928979700031507</v>
      </c>
      <c r="BV361" s="133">
        <f t="shared" si="1210"/>
        <v>9.3290092054627904E-2</v>
      </c>
      <c r="BW361" s="133">
        <f t="shared" si="1210"/>
        <v>8.7510967162700237E-2</v>
      </c>
      <c r="BX361" s="133">
        <f t="shared" si="1210"/>
        <v>0.11373989102265175</v>
      </c>
      <c r="BY361" s="133">
        <f t="shared" si="1210"/>
        <v>6.2889683971137464E-2</v>
      </c>
      <c r="BZ361" s="133">
        <f t="shared" si="1210"/>
        <v>6.1210127322514643E-2</v>
      </c>
      <c r="CA361" s="133">
        <f t="shared" si="1210"/>
        <v>7.2417398733945995E-2</v>
      </c>
      <c r="CB361" s="133">
        <f t="shared" si="1210"/>
        <v>9.1585019618749888E-2</v>
      </c>
      <c r="CC361" s="133">
        <f t="shared" si="1210"/>
        <v>9.0244675269049932E-2</v>
      </c>
      <c r="CD361" s="133">
        <f t="shared" si="1210"/>
        <v>0.12954295922144518</v>
      </c>
      <c r="CE361" s="133">
        <f t="shared" si="1210"/>
        <v>0.13143887750480257</v>
      </c>
      <c r="CF361" s="133">
        <f t="shared" si="1210"/>
        <v>0.35108678246471609</v>
      </c>
      <c r="CG361" s="133">
        <f t="shared" si="1210"/>
        <v>9.2176499477654217E-2</v>
      </c>
      <c r="CH361" s="133">
        <f t="shared" si="1210"/>
        <v>0.10560030882436119</v>
      </c>
      <c r="CI361" s="133">
        <f t="shared" si="1210"/>
        <v>0.12316996079542322</v>
      </c>
      <c r="CJ361" s="133">
        <f t="shared" si="1210"/>
        <v>0.15602994963523784</v>
      </c>
      <c r="CK361" s="133">
        <f t="shared" si="1210"/>
        <v>0.14396078347251862</v>
      </c>
      <c r="CL361" s="133">
        <f t="shared" si="1210"/>
        <v>0.11556495601738234</v>
      </c>
      <c r="CM361" s="133">
        <f t="shared" si="1210"/>
        <v>0.12421042211512336</v>
      </c>
      <c r="CN361" s="133">
        <f t="shared" si="1210"/>
        <v>7.2951340723589109E-2</v>
      </c>
      <c r="CO361" s="133">
        <f t="shared" si="1210"/>
        <v>0.11879717050622506</v>
      </c>
      <c r="CP361" s="133">
        <f t="shared" si="1210"/>
        <v>8.7686347408137244E-2</v>
      </c>
      <c r="CQ361" s="133">
        <f t="shared" si="1210"/>
        <v>6.3181055517612036E-2</v>
      </c>
      <c r="CR361" s="133">
        <f t="shared" si="1210"/>
        <v>6.423631397778394E-2</v>
      </c>
      <c r="CS361" s="133">
        <f t="shared" si="1210"/>
        <v>7.4086760399666482E-2</v>
      </c>
      <c r="CT361" s="133">
        <f t="shared" si="1210"/>
        <v>9.6042180617076423E-2</v>
      </c>
      <c r="CU361" s="133">
        <f t="shared" si="1210"/>
        <v>8.8141886841217293E-2</v>
      </c>
      <c r="CV361" s="133">
        <f t="shared" si="1210"/>
        <v>8.9196503600809121E-2</v>
      </c>
      <c r="CW361" s="133">
        <f t="shared" si="1210"/>
        <v>8.1582414963790081E-2</v>
      </c>
      <c r="CX361" s="133">
        <f t="shared" si="1210"/>
        <v>8.7404679192641901E-2</v>
      </c>
      <c r="CY361" s="133">
        <f t="shared" si="1210"/>
        <v>7.5239809650730308E-2</v>
      </c>
      <c r="CZ361" s="133">
        <f t="shared" si="1210"/>
        <v>6.0867363829214954E-2</v>
      </c>
      <c r="DA361" s="133">
        <f t="shared" si="1210"/>
        <v>8.2229023706385573E-2</v>
      </c>
      <c r="DB361" s="133">
        <f t="shared" si="1210"/>
        <v>7.9587420020340346E-2</v>
      </c>
      <c r="DC361" s="133">
        <f t="shared" si="1210"/>
        <v>7.5856464287038919E-2</v>
      </c>
      <c r="DD361" s="133">
        <f t="shared" si="1210"/>
        <v>8.8471574347026738E-2</v>
      </c>
      <c r="DE361" s="133">
        <f t="shared" si="1210"/>
        <v>7.2829664580505826E-2</v>
      </c>
      <c r="DF361" s="133">
        <f t="shared" si="1210"/>
        <v>9.2040423091364898E-2</v>
      </c>
      <c r="DG361" s="133">
        <f t="shared" si="1210"/>
        <v>8.4469308222833231E-2</v>
      </c>
      <c r="DH361" s="133">
        <f t="shared" si="1210"/>
        <v>8.5479982617442066E-2</v>
      </c>
      <c r="DI361" s="133">
        <f t="shared" si="1210"/>
        <v>7.8183147673632158E-2</v>
      </c>
      <c r="DJ361" s="133">
        <f t="shared" si="1210"/>
        <v>8.3762817559615149E-2</v>
      </c>
      <c r="DK361" s="133">
        <f t="shared" si="1210"/>
        <v>7.2104817581949865E-2</v>
      </c>
      <c r="DL361" s="133">
        <f t="shared" si="1210"/>
        <v>5.8331223669664319E-2</v>
      </c>
      <c r="DM361" s="133">
        <f t="shared" si="1210"/>
        <v>7.8802814385286163E-2</v>
      </c>
      <c r="DN361" s="133">
        <f t="shared" si="1210"/>
        <v>7.6271277519492808E-2</v>
      </c>
      <c r="DO361" s="133">
        <f t="shared" si="1210"/>
        <v>7.2695778275078948E-2</v>
      </c>
      <c r="DP361" s="133">
        <f t="shared" si="1210"/>
        <v>8.4785258749233941E-2</v>
      </c>
      <c r="DQ361" s="133">
        <f t="shared" si="1210"/>
        <v>6.9795095222984729E-2</v>
      </c>
      <c r="DR361" s="133">
        <f t="shared" ref="DR361:EC361" si="1211">DR360/DR333</f>
        <v>9.2040423091364912E-2</v>
      </c>
      <c r="DS361" s="133">
        <f t="shared" si="1211"/>
        <v>8.4469308222833231E-2</v>
      </c>
      <c r="DT361" s="133">
        <f t="shared" si="1211"/>
        <v>8.547998261744208E-2</v>
      </c>
      <c r="DU361" s="133">
        <f t="shared" si="1211"/>
        <v>7.8183147673632145E-2</v>
      </c>
      <c r="DV361" s="133">
        <f t="shared" si="1211"/>
        <v>8.3762817559615149E-2</v>
      </c>
      <c r="DW361" s="133">
        <f t="shared" si="1211"/>
        <v>7.2104817581949879E-2</v>
      </c>
      <c r="DX361" s="133">
        <f t="shared" si="1211"/>
        <v>5.8331223669664319E-2</v>
      </c>
      <c r="DY361" s="133">
        <f t="shared" si="1211"/>
        <v>7.8802814385286163E-2</v>
      </c>
      <c r="DZ361" s="133">
        <f t="shared" si="1211"/>
        <v>7.6271277519492822E-2</v>
      </c>
      <c r="EA361" s="133">
        <f t="shared" si="1211"/>
        <v>7.2695778275078962E-2</v>
      </c>
      <c r="EB361" s="133">
        <f t="shared" si="1211"/>
        <v>8.4785258749233941E-2</v>
      </c>
      <c r="EC361" s="133">
        <f t="shared" si="1211"/>
        <v>6.9795095222984729E-2</v>
      </c>
      <c r="ED361" s="113" t="s">
        <v>1</v>
      </c>
    </row>
    <row r="362" spans="1:134" x14ac:dyDescent="0.2">
      <c r="A362" s="115" t="s">
        <v>216</v>
      </c>
      <c r="B362" s="115"/>
      <c r="C362" s="115"/>
      <c r="D362" s="115"/>
      <c r="E362" s="115"/>
      <c r="F362" s="115"/>
      <c r="G362" s="115"/>
      <c r="H362" s="115"/>
      <c r="I362" s="115"/>
      <c r="J362" s="133">
        <f>J360/J364</f>
        <v>0.5</v>
      </c>
      <c r="K362" s="133">
        <f t="shared" ref="K362:BV362" si="1212">K360/K364</f>
        <v>0.5</v>
      </c>
      <c r="L362" s="133">
        <f t="shared" si="1212"/>
        <v>0.5</v>
      </c>
      <c r="M362" s="133">
        <f t="shared" si="1212"/>
        <v>0.5</v>
      </c>
      <c r="N362" s="133">
        <f t="shared" si="1212"/>
        <v>0.5</v>
      </c>
      <c r="O362" s="133">
        <f t="shared" si="1212"/>
        <v>0.5</v>
      </c>
      <c r="P362" s="133">
        <f t="shared" si="1212"/>
        <v>0.5</v>
      </c>
      <c r="Q362" s="133">
        <f t="shared" si="1212"/>
        <v>0.5</v>
      </c>
      <c r="R362" s="133">
        <f t="shared" si="1212"/>
        <v>0.5</v>
      </c>
      <c r="S362" s="133">
        <f t="shared" si="1212"/>
        <v>0.5</v>
      </c>
      <c r="T362" s="133">
        <f t="shared" si="1212"/>
        <v>0.5</v>
      </c>
      <c r="U362" s="133">
        <f t="shared" si="1212"/>
        <v>0.5</v>
      </c>
      <c r="V362" s="133">
        <f t="shared" si="1212"/>
        <v>0.5</v>
      </c>
      <c r="W362" s="133">
        <f t="shared" si="1212"/>
        <v>0.5</v>
      </c>
      <c r="X362" s="133">
        <f t="shared" si="1212"/>
        <v>0.5</v>
      </c>
      <c r="Y362" s="133">
        <f t="shared" si="1212"/>
        <v>0.5</v>
      </c>
      <c r="Z362" s="133">
        <f t="shared" si="1212"/>
        <v>0.5</v>
      </c>
      <c r="AA362" s="133">
        <f t="shared" si="1212"/>
        <v>0.5</v>
      </c>
      <c r="AB362" s="133">
        <f t="shared" si="1212"/>
        <v>0.5</v>
      </c>
      <c r="AC362" s="133">
        <f t="shared" si="1212"/>
        <v>0.5</v>
      </c>
      <c r="AD362" s="133">
        <f t="shared" si="1212"/>
        <v>0.5</v>
      </c>
      <c r="AE362" s="133">
        <f t="shared" si="1212"/>
        <v>0.5</v>
      </c>
      <c r="AF362" s="133">
        <f t="shared" si="1212"/>
        <v>0.5</v>
      </c>
      <c r="AG362" s="133">
        <f t="shared" si="1212"/>
        <v>0.5</v>
      </c>
      <c r="AH362" s="133">
        <f t="shared" si="1212"/>
        <v>0.5</v>
      </c>
      <c r="AI362" s="133">
        <f t="shared" si="1212"/>
        <v>0.5</v>
      </c>
      <c r="AJ362" s="133">
        <f t="shared" si="1212"/>
        <v>0.5</v>
      </c>
      <c r="AK362" s="133">
        <f t="shared" si="1212"/>
        <v>0.5</v>
      </c>
      <c r="AL362" s="133">
        <f t="shared" si="1212"/>
        <v>0</v>
      </c>
      <c r="AM362" s="133">
        <f t="shared" si="1212"/>
        <v>0</v>
      </c>
      <c r="AN362" s="133">
        <f t="shared" si="1212"/>
        <v>0</v>
      </c>
      <c r="AO362" s="133">
        <f t="shared" si="1212"/>
        <v>0</v>
      </c>
      <c r="AP362" s="133">
        <f t="shared" si="1212"/>
        <v>0</v>
      </c>
      <c r="AQ362" s="133">
        <f t="shared" si="1212"/>
        <v>0</v>
      </c>
      <c r="AR362" s="133">
        <f t="shared" si="1212"/>
        <v>0</v>
      </c>
      <c r="AS362" s="133">
        <f t="shared" si="1212"/>
        <v>0</v>
      </c>
      <c r="AT362" s="133">
        <f t="shared" si="1212"/>
        <v>0</v>
      </c>
      <c r="AU362" s="133">
        <f t="shared" si="1212"/>
        <v>0</v>
      </c>
      <c r="AV362" s="133">
        <f t="shared" si="1212"/>
        <v>0</v>
      </c>
      <c r="AW362" s="133">
        <f t="shared" si="1212"/>
        <v>0</v>
      </c>
      <c r="AX362" s="133">
        <f t="shared" si="1212"/>
        <v>0</v>
      </c>
      <c r="AY362" s="133">
        <f t="shared" si="1212"/>
        <v>0</v>
      </c>
      <c r="AZ362" s="133">
        <f t="shared" si="1212"/>
        <v>0</v>
      </c>
      <c r="BA362" s="133">
        <f t="shared" si="1212"/>
        <v>0</v>
      </c>
      <c r="BB362" s="133">
        <f t="shared" si="1212"/>
        <v>0</v>
      </c>
      <c r="BC362" s="133">
        <f t="shared" si="1212"/>
        <v>0</v>
      </c>
      <c r="BD362" s="133">
        <f t="shared" si="1212"/>
        <v>0</v>
      </c>
      <c r="BE362" s="133">
        <f t="shared" si="1212"/>
        <v>0</v>
      </c>
      <c r="BF362" s="133">
        <f t="shared" si="1212"/>
        <v>0</v>
      </c>
      <c r="BG362" s="133">
        <f t="shared" si="1212"/>
        <v>0.49780852711031626</v>
      </c>
      <c r="BH362" s="133">
        <f t="shared" si="1212"/>
        <v>0.52873321589872624</v>
      </c>
      <c r="BI362" s="133">
        <f t="shared" si="1212"/>
        <v>0.62055991088079965</v>
      </c>
      <c r="BJ362" s="133">
        <f t="shared" si="1212"/>
        <v>0.2359873708672714</v>
      </c>
      <c r="BK362" s="133">
        <f t="shared" si="1212"/>
        <v>0.24356031255688426</v>
      </c>
      <c r="BL362" s="133">
        <f t="shared" si="1212"/>
        <v>0.23073774312170298</v>
      </c>
      <c r="BM362" s="133">
        <f t="shared" si="1212"/>
        <v>0.2728718450876142</v>
      </c>
      <c r="BN362" s="133">
        <f t="shared" si="1212"/>
        <v>0.28530516629247421</v>
      </c>
      <c r="BO362" s="133">
        <f t="shared" si="1212"/>
        <v>7.0412230758094316E-2</v>
      </c>
      <c r="BP362" s="133">
        <f t="shared" si="1212"/>
        <v>0.54918812905838277</v>
      </c>
      <c r="BQ362" s="133">
        <f t="shared" si="1212"/>
        <v>0.32030571592514423</v>
      </c>
      <c r="BR362" s="133">
        <f t="shared" si="1212"/>
        <v>0.27636774060790542</v>
      </c>
      <c r="BS362" s="133">
        <f t="shared" si="1212"/>
        <v>0.34429907253041392</v>
      </c>
      <c r="BT362" s="133">
        <f t="shared" si="1212"/>
        <v>0.35437075200433305</v>
      </c>
      <c r="BU362" s="133">
        <f t="shared" si="1212"/>
        <v>0.47861344839442177</v>
      </c>
      <c r="BV362" s="133">
        <f t="shared" si="1212"/>
        <v>0.26246050345635302</v>
      </c>
      <c r="BW362" s="133">
        <f t="shared" ref="BW362:CS362" si="1213">BW360/BW364</f>
        <v>0.30614852117592883</v>
      </c>
      <c r="BX362" s="133">
        <f t="shared" si="1213"/>
        <v>0.32627812197822581</v>
      </c>
      <c r="BY362" s="133">
        <f t="shared" si="1213"/>
        <v>0.24238057401180277</v>
      </c>
      <c r="BZ362" s="133">
        <f t="shared" si="1213"/>
        <v>0.26653046970849004</v>
      </c>
      <c r="CA362" s="133">
        <f t="shared" si="1213"/>
        <v>0.30879451819676124</v>
      </c>
      <c r="CB362" s="133">
        <f t="shared" si="1213"/>
        <v>0.4966891945787173</v>
      </c>
      <c r="CC362" s="133">
        <f t="shared" si="1213"/>
        <v>0.37825008690932449</v>
      </c>
      <c r="CD362" s="133">
        <f t="shared" si="1213"/>
        <v>0.43960949640360603</v>
      </c>
      <c r="CE362" s="133">
        <f t="shared" si="1213"/>
        <v>0.4469163534185539</v>
      </c>
      <c r="CF362" s="133">
        <f t="shared" si="1213"/>
        <v>0.67025850438786905</v>
      </c>
      <c r="CG362" s="133">
        <f t="shared" si="1213"/>
        <v>0.33637127792057547</v>
      </c>
      <c r="CH362" s="133">
        <f t="shared" si="1213"/>
        <v>0.37125787857625153</v>
      </c>
      <c r="CI362" s="133">
        <f t="shared" si="1213"/>
        <v>0.42210108690822556</v>
      </c>
      <c r="CJ362" s="133">
        <f t="shared" si="1213"/>
        <v>0.453993010258186</v>
      </c>
      <c r="CK362" s="133">
        <f t="shared" si="1213"/>
        <v>0.40794066907819909</v>
      </c>
      <c r="CL362" s="133">
        <f t="shared" si="1213"/>
        <v>0.34821116633456661</v>
      </c>
      <c r="CM362" s="133">
        <f t="shared" si="1213"/>
        <v>0.51182524319207656</v>
      </c>
      <c r="CN362" s="133">
        <f t="shared" si="1213"/>
        <v>0.45674375624231855</v>
      </c>
      <c r="CO362" s="133">
        <f t="shared" si="1213"/>
        <v>0.43039352884300464</v>
      </c>
      <c r="CP362" s="133">
        <f t="shared" si="1213"/>
        <v>0.31953946933508343</v>
      </c>
      <c r="CQ362" s="133">
        <f t="shared" si="1213"/>
        <v>0.28573267292223847</v>
      </c>
      <c r="CR362" s="133">
        <f t="shared" si="1213"/>
        <v>0.28871474917063922</v>
      </c>
      <c r="CS362" s="133">
        <f t="shared" si="1213"/>
        <v>0.36546795944591842</v>
      </c>
      <c r="CT362" s="133">
        <f>CS362</f>
        <v>0.36546795944591842</v>
      </c>
      <c r="CU362" s="133">
        <f t="shared" ref="CU362:DQ362" si="1214">CT362</f>
        <v>0.36546795944591842</v>
      </c>
      <c r="CV362" s="133">
        <f t="shared" si="1214"/>
        <v>0.36546795944591842</v>
      </c>
      <c r="CW362" s="133">
        <f t="shared" si="1214"/>
        <v>0.36546795944591842</v>
      </c>
      <c r="CX362" s="133">
        <f t="shared" si="1214"/>
        <v>0.36546795944591842</v>
      </c>
      <c r="CY362" s="133">
        <f t="shared" si="1214"/>
        <v>0.36546795944591842</v>
      </c>
      <c r="CZ362" s="133">
        <f t="shared" si="1214"/>
        <v>0.36546795944591842</v>
      </c>
      <c r="DA362" s="133">
        <f t="shared" si="1214"/>
        <v>0.36546795944591842</v>
      </c>
      <c r="DB362" s="133">
        <f t="shared" si="1214"/>
        <v>0.36546795944591842</v>
      </c>
      <c r="DC362" s="133">
        <f t="shared" si="1214"/>
        <v>0.36546795944591842</v>
      </c>
      <c r="DD362" s="133">
        <f t="shared" si="1214"/>
        <v>0.36546795944591842</v>
      </c>
      <c r="DE362" s="133">
        <f t="shared" si="1214"/>
        <v>0.36546795944591842</v>
      </c>
      <c r="DF362" s="133">
        <f t="shared" si="1214"/>
        <v>0.36546795944591842</v>
      </c>
      <c r="DG362" s="133">
        <f t="shared" si="1214"/>
        <v>0.36546795944591842</v>
      </c>
      <c r="DH362" s="133">
        <f t="shared" si="1214"/>
        <v>0.36546795944591842</v>
      </c>
      <c r="DI362" s="133">
        <f t="shared" si="1214"/>
        <v>0.36546795944591842</v>
      </c>
      <c r="DJ362" s="133">
        <f t="shared" si="1214"/>
        <v>0.36546795944591842</v>
      </c>
      <c r="DK362" s="133">
        <f t="shared" si="1214"/>
        <v>0.36546795944591842</v>
      </c>
      <c r="DL362" s="133">
        <f t="shared" si="1214"/>
        <v>0.36546795944591842</v>
      </c>
      <c r="DM362" s="133">
        <f t="shared" si="1214"/>
        <v>0.36546795944591842</v>
      </c>
      <c r="DN362" s="133">
        <f t="shared" si="1214"/>
        <v>0.36546795944591842</v>
      </c>
      <c r="DO362" s="133">
        <f t="shared" si="1214"/>
        <v>0.36546795944591842</v>
      </c>
      <c r="DP362" s="133">
        <f t="shared" si="1214"/>
        <v>0.36546795944591842</v>
      </c>
      <c r="DQ362" s="133">
        <f t="shared" si="1214"/>
        <v>0.36546795944591842</v>
      </c>
      <c r="DR362" s="133">
        <f t="shared" ref="DR362" si="1215">DQ362</f>
        <v>0.36546795944591842</v>
      </c>
      <c r="DS362" s="133">
        <f t="shared" ref="DS362" si="1216">DR362</f>
        <v>0.36546795944591842</v>
      </c>
      <c r="DT362" s="133">
        <f t="shared" ref="DT362" si="1217">DS362</f>
        <v>0.36546795944591842</v>
      </c>
      <c r="DU362" s="133">
        <f t="shared" ref="DU362" si="1218">DT362</f>
        <v>0.36546795944591842</v>
      </c>
      <c r="DV362" s="133">
        <f t="shared" ref="DV362" si="1219">DU362</f>
        <v>0.36546795944591842</v>
      </c>
      <c r="DW362" s="133">
        <f t="shared" ref="DW362" si="1220">DV362</f>
        <v>0.36546795944591842</v>
      </c>
      <c r="DX362" s="133">
        <f t="shared" ref="DX362" si="1221">DW362</f>
        <v>0.36546795944591842</v>
      </c>
      <c r="DY362" s="133">
        <f t="shared" ref="DY362" si="1222">DX362</f>
        <v>0.36546795944591842</v>
      </c>
      <c r="DZ362" s="133">
        <f t="shared" ref="DZ362" si="1223">DY362</f>
        <v>0.36546795944591842</v>
      </c>
      <c r="EA362" s="133">
        <f t="shared" ref="EA362" si="1224">DZ362</f>
        <v>0.36546795944591842</v>
      </c>
      <c r="EB362" s="133">
        <f t="shared" ref="EB362" si="1225">EA362</f>
        <v>0.36546795944591842</v>
      </c>
      <c r="EC362" s="133">
        <f t="shared" ref="EC362" si="1226">EB362</f>
        <v>0.36546795944591842</v>
      </c>
      <c r="ED362" s="113" t="s">
        <v>1</v>
      </c>
    </row>
    <row r="363" spans="1:134" x14ac:dyDescent="0.2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15"/>
      <c r="AN363" s="115"/>
      <c r="AO363" s="115"/>
      <c r="AP363" s="115"/>
      <c r="AQ363" s="115"/>
      <c r="AR363" s="115"/>
      <c r="AS363" s="115"/>
      <c r="AT363" s="115"/>
      <c r="AU363" s="115"/>
      <c r="AV363" s="115"/>
      <c r="AW363" s="115"/>
      <c r="AX363" s="115"/>
      <c r="AY363" s="115"/>
      <c r="AZ363" s="115"/>
      <c r="BA363" s="115"/>
      <c r="BB363" s="115"/>
      <c r="BC363" s="115"/>
      <c r="BD363" s="115"/>
      <c r="BE363" s="115"/>
      <c r="BF363" s="115"/>
      <c r="BG363" s="115"/>
      <c r="BH363" s="115"/>
      <c r="BI363" s="115"/>
      <c r="BJ363" s="115"/>
      <c r="BK363" s="115"/>
      <c r="BL363" s="115"/>
      <c r="BM363" s="115"/>
      <c r="BN363" s="115"/>
      <c r="BO363" s="115"/>
      <c r="BP363" s="115"/>
      <c r="BQ363" s="115"/>
      <c r="BR363" s="115"/>
      <c r="BS363" s="115"/>
      <c r="BT363" s="115"/>
      <c r="BU363" s="115"/>
      <c r="BV363" s="115"/>
      <c r="BW363" s="115"/>
      <c r="BX363" s="115"/>
      <c r="BY363" s="115"/>
      <c r="BZ363" s="115"/>
      <c r="CA363" s="115"/>
      <c r="CB363" s="115"/>
      <c r="CC363" s="115"/>
      <c r="CD363" s="115"/>
      <c r="CE363" s="115"/>
      <c r="CF363" s="115"/>
      <c r="CG363" s="115"/>
      <c r="CH363" s="115"/>
      <c r="CI363" s="115"/>
      <c r="CJ363" s="115"/>
      <c r="CK363" s="115"/>
      <c r="CL363" s="115"/>
      <c r="CM363" s="115"/>
      <c r="CN363" s="115"/>
      <c r="CO363" s="115"/>
      <c r="CP363" s="115"/>
      <c r="CQ363" s="115"/>
      <c r="CR363" s="115"/>
      <c r="CS363" s="115"/>
      <c r="CT363" s="115"/>
      <c r="CU363" s="115"/>
      <c r="CV363" s="115"/>
      <c r="CW363" s="115"/>
      <c r="CX363" s="115"/>
      <c r="CY363" s="115"/>
      <c r="CZ363" s="115"/>
      <c r="DA363" s="115"/>
      <c r="DB363" s="115"/>
      <c r="DC363" s="115"/>
      <c r="DD363" s="115"/>
      <c r="DE363" s="115"/>
      <c r="DF363" s="115"/>
      <c r="DG363" s="115"/>
      <c r="DH363" s="115"/>
      <c r="DI363" s="115"/>
      <c r="DJ363" s="115"/>
      <c r="DK363" s="115"/>
      <c r="DL363" s="115"/>
      <c r="DM363" s="115"/>
      <c r="DN363" s="115"/>
      <c r="DO363" s="115"/>
      <c r="DP363" s="115"/>
      <c r="DQ363" s="115"/>
      <c r="DR363" s="115"/>
      <c r="DS363" s="115"/>
      <c r="DT363" s="115"/>
      <c r="DU363" s="115"/>
      <c r="DV363" s="115"/>
      <c r="DW363" s="115"/>
      <c r="DX363" s="115"/>
      <c r="DY363" s="115"/>
      <c r="DZ363" s="115"/>
      <c r="EA363" s="115"/>
      <c r="EB363" s="115"/>
      <c r="EC363" s="645"/>
      <c r="ED363" s="113" t="s">
        <v>1</v>
      </c>
    </row>
    <row r="364" spans="1:134" x14ac:dyDescent="0.2">
      <c r="A364" s="330" t="s">
        <v>214</v>
      </c>
      <c r="B364" s="115"/>
      <c r="C364" s="115"/>
      <c r="D364" s="115"/>
      <c r="E364" s="115"/>
      <c r="F364" s="115"/>
      <c r="G364" s="115"/>
      <c r="H364" s="115"/>
      <c r="I364" s="115"/>
      <c r="J364" s="131">
        <f>J356+J360</f>
        <v>5874718</v>
      </c>
      <c r="K364" s="131">
        <f t="shared" ref="K364:BV364" si="1227">K356+K360</f>
        <v>3123212</v>
      </c>
      <c r="L364" s="131">
        <f t="shared" si="1227"/>
        <v>1331062</v>
      </c>
      <c r="M364" s="131">
        <f t="shared" si="1227"/>
        <v>876296</v>
      </c>
      <c r="N364" s="131">
        <f t="shared" si="1227"/>
        <v>1802550</v>
      </c>
      <c r="O364" s="131">
        <f t="shared" si="1227"/>
        <v>1864068</v>
      </c>
      <c r="P364" s="131">
        <f t="shared" si="1227"/>
        <v>2672478</v>
      </c>
      <c r="Q364" s="131">
        <f t="shared" si="1227"/>
        <v>1446406</v>
      </c>
      <c r="R364" s="131">
        <f t="shared" si="1227"/>
        <v>1554574</v>
      </c>
      <c r="S364" s="131">
        <f t="shared" si="1227"/>
        <v>1201168</v>
      </c>
      <c r="T364" s="131">
        <f t="shared" si="1227"/>
        <v>727484</v>
      </c>
      <c r="U364" s="131">
        <f t="shared" si="1227"/>
        <v>744010</v>
      </c>
      <c r="V364" s="131">
        <f t="shared" si="1227"/>
        <v>1062262</v>
      </c>
      <c r="W364" s="131">
        <f t="shared" si="1227"/>
        <v>1142240</v>
      </c>
      <c r="X364" s="131">
        <f t="shared" si="1227"/>
        <v>1325022</v>
      </c>
      <c r="Y364" s="131">
        <f t="shared" si="1227"/>
        <v>938694</v>
      </c>
      <c r="Z364" s="131">
        <f t="shared" si="1227"/>
        <v>150846.55491523709</v>
      </c>
      <c r="AA364" s="131">
        <f t="shared" si="1227"/>
        <v>759310</v>
      </c>
      <c r="AB364" s="131">
        <f t="shared" si="1227"/>
        <v>2077400</v>
      </c>
      <c r="AC364" s="131">
        <f t="shared" si="1227"/>
        <v>3028544</v>
      </c>
      <c r="AD364" s="131">
        <f t="shared" si="1227"/>
        <v>4644218</v>
      </c>
      <c r="AE364" s="131">
        <f t="shared" si="1227"/>
        <v>5131914</v>
      </c>
      <c r="AF364" s="131">
        <f t="shared" si="1227"/>
        <v>3196232</v>
      </c>
      <c r="AG364" s="131">
        <f t="shared" si="1227"/>
        <v>1936704</v>
      </c>
      <c r="AH364" s="131">
        <f t="shared" si="1227"/>
        <v>3599460</v>
      </c>
      <c r="AI364" s="131">
        <f t="shared" si="1227"/>
        <v>3148082</v>
      </c>
      <c r="AJ364" s="131">
        <f t="shared" si="1227"/>
        <v>3215840</v>
      </c>
      <c r="AK364" s="131">
        <f t="shared" si="1227"/>
        <v>6321788</v>
      </c>
      <c r="AL364" s="131">
        <f t="shared" si="1227"/>
        <v>1710288</v>
      </c>
      <c r="AM364" s="131">
        <f t="shared" si="1227"/>
        <v>629793</v>
      </c>
      <c r="AN364" s="131">
        <f t="shared" si="1227"/>
        <v>2981636</v>
      </c>
      <c r="AO364" s="131">
        <f t="shared" si="1227"/>
        <v>5175228</v>
      </c>
      <c r="AP364" s="131">
        <f t="shared" si="1227"/>
        <v>5264570</v>
      </c>
      <c r="AQ364" s="131">
        <f t="shared" si="1227"/>
        <v>4989792.4245332303</v>
      </c>
      <c r="AR364" s="131">
        <f t="shared" si="1227"/>
        <v>4772902</v>
      </c>
      <c r="AS364" s="131">
        <f t="shared" si="1227"/>
        <v>3545757</v>
      </c>
      <c r="AT364" s="131">
        <f t="shared" si="1227"/>
        <v>6397231</v>
      </c>
      <c r="AU364" s="131">
        <f t="shared" si="1227"/>
        <v>6633389</v>
      </c>
      <c r="AV364" s="131">
        <f t="shared" si="1227"/>
        <v>6557030</v>
      </c>
      <c r="AW364" s="131">
        <f t="shared" si="1227"/>
        <v>6927830.4187631197</v>
      </c>
      <c r="AX364" s="131">
        <f t="shared" si="1227"/>
        <v>5423156</v>
      </c>
      <c r="AY364" s="131">
        <f t="shared" si="1227"/>
        <v>3541740</v>
      </c>
      <c r="AZ364" s="131">
        <f t="shared" si="1227"/>
        <v>7227290</v>
      </c>
      <c r="BA364" s="131">
        <f t="shared" si="1227"/>
        <v>9344516.0597312786</v>
      </c>
      <c r="BB364" s="131">
        <f t="shared" si="1227"/>
        <v>9763033.8624721076</v>
      </c>
      <c r="BC364" s="131">
        <f t="shared" si="1227"/>
        <v>4674126.8372131148</v>
      </c>
      <c r="BD364" s="131">
        <f t="shared" si="1227"/>
        <v>5173633.0994221661</v>
      </c>
      <c r="BE364" s="131">
        <f t="shared" si="1227"/>
        <v>7140517.7263173442</v>
      </c>
      <c r="BF364" s="131">
        <f t="shared" si="1227"/>
        <v>14462787.953634305</v>
      </c>
      <c r="BG364" s="131">
        <f t="shared" si="1227"/>
        <v>39898758.093387417</v>
      </c>
      <c r="BH364" s="131">
        <f t="shared" si="1227"/>
        <v>44401377.280781038</v>
      </c>
      <c r="BI364" s="131">
        <f t="shared" si="1227"/>
        <v>36592017.308642715</v>
      </c>
      <c r="BJ364" s="131">
        <f t="shared" si="1227"/>
        <v>16933546</v>
      </c>
      <c r="BK364" s="131">
        <f t="shared" si="1227"/>
        <v>17975096</v>
      </c>
      <c r="BL364" s="131">
        <f t="shared" si="1227"/>
        <v>18891413</v>
      </c>
      <c r="BM364" s="131">
        <f t="shared" si="1227"/>
        <v>21135087.255494505</v>
      </c>
      <c r="BN364" s="131">
        <f t="shared" si="1227"/>
        <v>19257640.255494505</v>
      </c>
      <c r="BO364" s="131">
        <f t="shared" si="1227"/>
        <v>11113750.99999998</v>
      </c>
      <c r="BP364" s="131">
        <f t="shared" si="1227"/>
        <v>18769979.638260093</v>
      </c>
      <c r="BQ364" s="131">
        <f t="shared" si="1227"/>
        <v>13582926.509549897</v>
      </c>
      <c r="BR364" s="131">
        <f t="shared" si="1227"/>
        <v>12445653</v>
      </c>
      <c r="BS364" s="131">
        <f t="shared" si="1227"/>
        <v>9990085</v>
      </c>
      <c r="BT364" s="131">
        <f t="shared" si="1227"/>
        <v>13027026.000000004</v>
      </c>
      <c r="BU364" s="131">
        <f t="shared" si="1227"/>
        <v>15880260</v>
      </c>
      <c r="BV364" s="131">
        <f t="shared" si="1227"/>
        <v>15261462</v>
      </c>
      <c r="BW364" s="131">
        <f t="shared" ref="BW364:CS364" si="1228">BW356+BW360</f>
        <v>14203887</v>
      </c>
      <c r="BX364" s="131">
        <f t="shared" si="1228"/>
        <v>15995363</v>
      </c>
      <c r="BY364" s="131">
        <f t="shared" si="1228"/>
        <v>14002726.967032965</v>
      </c>
      <c r="BZ364" s="131">
        <f t="shared" si="1228"/>
        <v>11694827.999999996</v>
      </c>
      <c r="CA364" s="131">
        <f t="shared" si="1228"/>
        <v>11361225.000000004</v>
      </c>
      <c r="CB364" s="131">
        <f t="shared" si="1228"/>
        <v>12561898</v>
      </c>
      <c r="CC364" s="131">
        <f t="shared" si="1228"/>
        <v>12492771.749535086</v>
      </c>
      <c r="CD364" s="131">
        <f t="shared" si="1228"/>
        <v>15804720</v>
      </c>
      <c r="CE364" s="131">
        <f t="shared" si="1228"/>
        <v>17009122.494295403</v>
      </c>
      <c r="CF364" s="131">
        <f t="shared" si="1228"/>
        <v>30257324.40130908</v>
      </c>
      <c r="CG364" s="131">
        <f t="shared" si="1228"/>
        <v>15500173</v>
      </c>
      <c r="CH364" s="131">
        <f t="shared" si="1228"/>
        <v>16222023.416973887</v>
      </c>
      <c r="CI364" s="131">
        <f t="shared" si="1228"/>
        <v>17597798.798407331</v>
      </c>
      <c r="CJ364" s="131">
        <f t="shared" si="1228"/>
        <v>20431992.983162329</v>
      </c>
      <c r="CK364" s="131">
        <f t="shared" si="1228"/>
        <v>22173209.698457584</v>
      </c>
      <c r="CL364" s="131">
        <f t="shared" si="1228"/>
        <v>19271803</v>
      </c>
      <c r="CM364" s="131">
        <f t="shared" si="1228"/>
        <v>17013815</v>
      </c>
      <c r="CN364" s="131">
        <f t="shared" si="1228"/>
        <v>14136807.371208791</v>
      </c>
      <c r="CO364" s="131">
        <f t="shared" si="1228"/>
        <v>18902833</v>
      </c>
      <c r="CP364" s="131">
        <f t="shared" si="1228"/>
        <v>19634914</v>
      </c>
      <c r="CQ364" s="131">
        <f t="shared" si="1228"/>
        <v>16524687.050000001</v>
      </c>
      <c r="CR364" s="131">
        <f t="shared" si="1228"/>
        <v>14580476.100000001</v>
      </c>
      <c r="CS364" s="131">
        <f t="shared" si="1228"/>
        <v>16812205.670000002</v>
      </c>
      <c r="CT364" s="132">
        <f>CS364*(1+CT365)</f>
        <v>19334036.520500001</v>
      </c>
      <c r="CU364" s="132">
        <f t="shared" ref="CU364:DQ364" si="1229">CT364*(1+CU365)</f>
        <v>19334036.520500001</v>
      </c>
      <c r="CV364" s="132">
        <f t="shared" si="1229"/>
        <v>19334036.520500001</v>
      </c>
      <c r="CW364" s="132">
        <f t="shared" si="1229"/>
        <v>19334036.520500001</v>
      </c>
      <c r="CX364" s="132">
        <f t="shared" si="1229"/>
        <v>19334036.520500001</v>
      </c>
      <c r="CY364" s="132">
        <f t="shared" si="1229"/>
        <v>19334036.520500001</v>
      </c>
      <c r="CZ364" s="132">
        <f t="shared" si="1229"/>
        <v>19334036.520500001</v>
      </c>
      <c r="DA364" s="132">
        <f t="shared" si="1229"/>
        <v>19334036.520500001</v>
      </c>
      <c r="DB364" s="132">
        <f t="shared" si="1229"/>
        <v>19334036.520500001</v>
      </c>
      <c r="DC364" s="132">
        <f t="shared" si="1229"/>
        <v>19334036.520500001</v>
      </c>
      <c r="DD364" s="132">
        <f t="shared" si="1229"/>
        <v>19334036.520500001</v>
      </c>
      <c r="DE364" s="132">
        <f t="shared" si="1229"/>
        <v>19334036.520500001</v>
      </c>
      <c r="DF364" s="132">
        <f t="shared" si="1229"/>
        <v>22234141.998574998</v>
      </c>
      <c r="DG364" s="132">
        <f t="shared" si="1229"/>
        <v>22234141.998574998</v>
      </c>
      <c r="DH364" s="132">
        <f t="shared" si="1229"/>
        <v>22234141.998574998</v>
      </c>
      <c r="DI364" s="132">
        <f t="shared" si="1229"/>
        <v>22234141.998574998</v>
      </c>
      <c r="DJ364" s="132">
        <f t="shared" si="1229"/>
        <v>22234141.998574998</v>
      </c>
      <c r="DK364" s="132">
        <f t="shared" si="1229"/>
        <v>22234141.998574998</v>
      </c>
      <c r="DL364" s="132">
        <f t="shared" si="1229"/>
        <v>22234141.998574998</v>
      </c>
      <c r="DM364" s="132">
        <f t="shared" si="1229"/>
        <v>22234141.998574998</v>
      </c>
      <c r="DN364" s="132">
        <f t="shared" si="1229"/>
        <v>22234141.998574998</v>
      </c>
      <c r="DO364" s="132">
        <f t="shared" si="1229"/>
        <v>22234141.998574998</v>
      </c>
      <c r="DP364" s="132">
        <f t="shared" si="1229"/>
        <v>22234141.998574998</v>
      </c>
      <c r="DQ364" s="132">
        <f t="shared" si="1229"/>
        <v>22234141.998574998</v>
      </c>
      <c r="DR364" s="132">
        <f t="shared" ref="DR364" si="1230">DQ364*(1+DR365)</f>
        <v>25569263.298361246</v>
      </c>
      <c r="DS364" s="132">
        <f t="shared" ref="DS364" si="1231">DR364*(1+DS365)</f>
        <v>25569263.298361246</v>
      </c>
      <c r="DT364" s="132">
        <f t="shared" ref="DT364" si="1232">DS364*(1+DT365)</f>
        <v>25569263.298361246</v>
      </c>
      <c r="DU364" s="132">
        <f t="shared" ref="DU364" si="1233">DT364*(1+DU365)</f>
        <v>25569263.298361246</v>
      </c>
      <c r="DV364" s="132">
        <f t="shared" ref="DV364" si="1234">DU364*(1+DV365)</f>
        <v>25569263.298361246</v>
      </c>
      <c r="DW364" s="132">
        <f t="shared" ref="DW364" si="1235">DV364*(1+DW365)</f>
        <v>25569263.298361246</v>
      </c>
      <c r="DX364" s="132">
        <f t="shared" ref="DX364" si="1236">DW364*(1+DX365)</f>
        <v>25569263.298361246</v>
      </c>
      <c r="DY364" s="132">
        <f t="shared" ref="DY364" si="1237">DX364*(1+DY365)</f>
        <v>25569263.298361246</v>
      </c>
      <c r="DZ364" s="132">
        <f t="shared" ref="DZ364" si="1238">DY364*(1+DZ365)</f>
        <v>25569263.298361246</v>
      </c>
      <c r="EA364" s="132">
        <f t="shared" ref="EA364" si="1239">DZ364*(1+EA365)</f>
        <v>25569263.298361246</v>
      </c>
      <c r="EB364" s="132">
        <f t="shared" ref="EB364" si="1240">EA364*(1+EB365)</f>
        <v>25569263.298361246</v>
      </c>
      <c r="EC364" s="132">
        <f t="shared" ref="EC364" si="1241">EB364*(1+EC365)</f>
        <v>25569263.298361246</v>
      </c>
      <c r="ED364" s="113" t="s">
        <v>1</v>
      </c>
    </row>
    <row r="365" spans="1:134" x14ac:dyDescent="0.2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115"/>
      <c r="AM365" s="115"/>
      <c r="AN365" s="115"/>
      <c r="AO365" s="115"/>
      <c r="AP365" s="115"/>
      <c r="AQ365" s="115"/>
      <c r="AR365" s="115"/>
      <c r="AS365" s="115"/>
      <c r="AT365" s="115"/>
      <c r="AU365" s="115"/>
      <c r="AV365" s="115"/>
      <c r="AW365" s="115"/>
      <c r="AX365" s="115"/>
      <c r="AY365" s="115"/>
      <c r="AZ365" s="115"/>
      <c r="BA365" s="115"/>
      <c r="BB365" s="115"/>
      <c r="BC365" s="115"/>
      <c r="BD365" s="115"/>
      <c r="BE365" s="115"/>
      <c r="BF365" s="115"/>
      <c r="BG365" s="115"/>
      <c r="BH365" s="115"/>
      <c r="BI365" s="115"/>
      <c r="BJ365" s="115"/>
      <c r="BK365" s="115"/>
      <c r="BL365" s="115"/>
      <c r="BM365" s="115"/>
      <c r="BN365" s="115"/>
      <c r="BO365" s="115"/>
      <c r="BP365" s="115"/>
      <c r="BQ365" s="115"/>
      <c r="BR365" s="115"/>
      <c r="BS365" s="115"/>
      <c r="BT365" s="115"/>
      <c r="BU365" s="115"/>
      <c r="BV365" s="115"/>
      <c r="BW365" s="115"/>
      <c r="BX365" s="115"/>
      <c r="BY365" s="115"/>
      <c r="BZ365" s="115"/>
      <c r="CA365" s="115"/>
      <c r="CB365" s="115"/>
      <c r="CC365" s="115"/>
      <c r="CD365" s="115"/>
      <c r="CE365" s="115"/>
      <c r="CF365" s="115"/>
      <c r="CG365" s="115"/>
      <c r="CH365" s="115"/>
      <c r="CI365" s="115"/>
      <c r="CJ365" s="115"/>
      <c r="CK365" s="115"/>
      <c r="CL365" s="115"/>
      <c r="CM365" s="115"/>
      <c r="CN365" s="115"/>
      <c r="CO365" s="115"/>
      <c r="CP365" s="115"/>
      <c r="CQ365" s="115"/>
      <c r="CR365" s="115"/>
      <c r="CS365" s="115"/>
      <c r="CT365" s="701">
        <v>0.15</v>
      </c>
      <c r="CU365" s="115"/>
      <c r="CV365" s="115"/>
      <c r="CW365" s="115"/>
      <c r="CX365" s="115"/>
      <c r="CY365" s="115"/>
      <c r="CZ365" s="115"/>
      <c r="DA365" s="115"/>
      <c r="DB365" s="115"/>
      <c r="DC365" s="115"/>
      <c r="DD365" s="115"/>
      <c r="DE365" s="115"/>
      <c r="DF365" s="701">
        <v>0.15</v>
      </c>
      <c r="DG365" s="115"/>
      <c r="DH365" s="115"/>
      <c r="DI365" s="115"/>
      <c r="DJ365" s="115"/>
      <c r="DK365" s="115"/>
      <c r="DL365" s="115"/>
      <c r="DM365" s="115"/>
      <c r="DN365" s="115"/>
      <c r="DO365" s="115"/>
      <c r="DP365" s="115"/>
      <c r="DQ365" s="115"/>
      <c r="DR365" s="701">
        <v>0.15</v>
      </c>
      <c r="DS365" s="115"/>
      <c r="DT365" s="115"/>
      <c r="DU365" s="115"/>
      <c r="DV365" s="115"/>
      <c r="DW365" s="115"/>
      <c r="DX365" s="115"/>
      <c r="DY365" s="115"/>
      <c r="DZ365" s="115"/>
      <c r="EA365" s="115"/>
      <c r="EB365" s="115"/>
      <c r="EC365" s="645"/>
      <c r="ED365" s="113" t="s">
        <v>1</v>
      </c>
    </row>
    <row r="366" spans="1:134" x14ac:dyDescent="0.2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115"/>
      <c r="AN366" s="115"/>
      <c r="AO366" s="115"/>
      <c r="AP366" s="115"/>
      <c r="AQ366" s="115"/>
      <c r="AR366" s="115"/>
      <c r="AS366" s="115"/>
      <c r="AT366" s="115"/>
      <c r="AU366" s="115"/>
      <c r="AV366" s="115"/>
      <c r="AW366" s="115"/>
      <c r="AX366" s="115"/>
      <c r="AY366" s="115"/>
      <c r="AZ366" s="115"/>
      <c r="BA366" s="115"/>
      <c r="BB366" s="115"/>
      <c r="BC366" s="115"/>
      <c r="BD366" s="115"/>
      <c r="BE366" s="115"/>
      <c r="BF366" s="115"/>
      <c r="BG366" s="115"/>
      <c r="BH366" s="115"/>
      <c r="BI366" s="115"/>
      <c r="BJ366" s="115"/>
      <c r="BK366" s="115"/>
      <c r="BL366" s="115"/>
      <c r="BM366" s="115"/>
      <c r="BN366" s="115"/>
      <c r="BO366" s="115"/>
      <c r="BP366" s="115"/>
      <c r="BQ366" s="115"/>
      <c r="BR366" s="115"/>
      <c r="BS366" s="115"/>
      <c r="BT366" s="115"/>
      <c r="BU366" s="115"/>
      <c r="BV366" s="115"/>
      <c r="BW366" s="115"/>
      <c r="BX366" s="115"/>
      <c r="BY366" s="115"/>
      <c r="BZ366" s="115"/>
      <c r="CA366" s="115"/>
      <c r="CB366" s="115"/>
      <c r="CC366" s="115"/>
      <c r="CD366" s="115"/>
      <c r="CE366" s="115"/>
      <c r="CF366" s="115"/>
      <c r="CG366" s="115"/>
      <c r="CH366" s="115"/>
      <c r="CI366" s="115"/>
      <c r="CJ366" s="115"/>
      <c r="CK366" s="115"/>
      <c r="CL366" s="115"/>
      <c r="CM366" s="115"/>
      <c r="CN366" s="115"/>
      <c r="CO366" s="115"/>
      <c r="CP366" s="115"/>
      <c r="CQ366" s="115"/>
      <c r="CR366" s="115"/>
      <c r="CS366" s="115"/>
      <c r="CT366" s="115"/>
      <c r="CU366" s="115"/>
      <c r="CV366" s="115"/>
      <c r="CW366" s="115"/>
      <c r="CX366" s="115"/>
      <c r="CY366" s="115"/>
      <c r="CZ366" s="115"/>
      <c r="DA366" s="115"/>
      <c r="DB366" s="115"/>
      <c r="DC366" s="115"/>
      <c r="DD366" s="115"/>
      <c r="DE366" s="115"/>
      <c r="DF366" s="115"/>
      <c r="DG366" s="115"/>
      <c r="DH366" s="115"/>
      <c r="DI366" s="115"/>
      <c r="DJ366" s="115"/>
      <c r="DK366" s="115"/>
      <c r="DL366" s="115"/>
      <c r="DM366" s="115"/>
      <c r="DN366" s="115"/>
      <c r="DO366" s="115"/>
      <c r="DP366" s="115"/>
      <c r="DQ366" s="115"/>
      <c r="DR366" s="115"/>
      <c r="DS366" s="115"/>
      <c r="DT366" s="115"/>
      <c r="DU366" s="115"/>
      <c r="DV366" s="115"/>
      <c r="DW366" s="115"/>
      <c r="DX366" s="115"/>
      <c r="DY366" s="115"/>
      <c r="DZ366" s="115"/>
      <c r="EA366" s="115"/>
      <c r="EB366" s="115"/>
      <c r="EC366" s="645"/>
      <c r="ED366" s="113" t="s">
        <v>1</v>
      </c>
    </row>
    <row r="367" spans="1:134" s="331" customFormat="1" x14ac:dyDescent="0.2">
      <c r="A367" s="330" t="s">
        <v>60</v>
      </c>
      <c r="B367" s="330"/>
      <c r="C367" s="330"/>
      <c r="D367" s="330"/>
      <c r="E367" s="330"/>
      <c r="F367" s="330"/>
      <c r="G367" s="330"/>
      <c r="H367" s="330"/>
      <c r="I367" s="330"/>
      <c r="J367" s="330"/>
      <c r="K367" s="330"/>
      <c r="L367" s="330"/>
      <c r="M367" s="330"/>
      <c r="N367" s="330"/>
      <c r="O367" s="330"/>
      <c r="P367" s="330"/>
      <c r="Q367" s="330"/>
      <c r="R367" s="330"/>
      <c r="S367" s="330"/>
      <c r="T367" s="330"/>
      <c r="U367" s="330"/>
      <c r="V367" s="330"/>
      <c r="W367" s="330"/>
      <c r="X367" s="330"/>
      <c r="Y367" s="330"/>
      <c r="Z367" s="330"/>
      <c r="AA367" s="330"/>
      <c r="AB367" s="330"/>
      <c r="AC367" s="330"/>
      <c r="AD367" s="330"/>
      <c r="AE367" s="330"/>
      <c r="AF367" s="330"/>
      <c r="AG367" s="330"/>
      <c r="AH367" s="330"/>
      <c r="AI367" s="330"/>
      <c r="AJ367" s="330"/>
      <c r="AK367" s="330"/>
      <c r="AL367" s="131">
        <f>SUM(AL368:AL369)</f>
        <v>0</v>
      </c>
      <c r="AM367" s="131">
        <f t="shared" ref="AM367:CS367" si="1242">SUM(AM368:AM369)</f>
        <v>0</v>
      </c>
      <c r="AN367" s="131">
        <f t="shared" si="1242"/>
        <v>0</v>
      </c>
      <c r="AO367" s="131">
        <f t="shared" si="1242"/>
        <v>0</v>
      </c>
      <c r="AP367" s="131">
        <f t="shared" si="1242"/>
        <v>0</v>
      </c>
      <c r="AQ367" s="131">
        <f t="shared" si="1242"/>
        <v>0</v>
      </c>
      <c r="AR367" s="131">
        <f t="shared" si="1242"/>
        <v>0</v>
      </c>
      <c r="AS367" s="131">
        <f t="shared" si="1242"/>
        <v>0</v>
      </c>
      <c r="AT367" s="131">
        <f t="shared" si="1242"/>
        <v>0</v>
      </c>
      <c r="AU367" s="131">
        <f t="shared" si="1242"/>
        <v>0</v>
      </c>
      <c r="AV367" s="131">
        <f t="shared" si="1242"/>
        <v>0</v>
      </c>
      <c r="AW367" s="131">
        <f t="shared" si="1242"/>
        <v>0</v>
      </c>
      <c r="AX367" s="131">
        <f t="shared" si="1242"/>
        <v>0</v>
      </c>
      <c r="AY367" s="131">
        <f t="shared" si="1242"/>
        <v>0</v>
      </c>
      <c r="AZ367" s="131">
        <f t="shared" si="1242"/>
        <v>0</v>
      </c>
      <c r="BA367" s="131">
        <f t="shared" si="1242"/>
        <v>0</v>
      </c>
      <c r="BB367" s="131">
        <f t="shared" si="1242"/>
        <v>0</v>
      </c>
      <c r="BC367" s="131">
        <f t="shared" si="1242"/>
        <v>0</v>
      </c>
      <c r="BD367" s="131">
        <f t="shared" si="1242"/>
        <v>0</v>
      </c>
      <c r="BE367" s="131">
        <f t="shared" si="1242"/>
        <v>0</v>
      </c>
      <c r="BF367" s="131">
        <f t="shared" si="1242"/>
        <v>0</v>
      </c>
      <c r="BG367" s="131">
        <f t="shared" si="1242"/>
        <v>0</v>
      </c>
      <c r="BH367" s="131">
        <f t="shared" si="1242"/>
        <v>0</v>
      </c>
      <c r="BI367" s="131">
        <f t="shared" si="1242"/>
        <v>0</v>
      </c>
      <c r="BJ367" s="131">
        <f t="shared" si="1242"/>
        <v>23519880.998131402</v>
      </c>
      <c r="BK367" s="131">
        <f t="shared" si="1242"/>
        <v>22984180.232928306</v>
      </c>
      <c r="BL367" s="131">
        <f t="shared" si="1242"/>
        <v>22732584.499995306</v>
      </c>
      <c r="BM367" s="131">
        <f t="shared" si="1242"/>
        <v>22226878.714337088</v>
      </c>
      <c r="BN367" s="131">
        <f t="shared" si="1242"/>
        <v>21892739.315084867</v>
      </c>
      <c r="BO367" s="131">
        <f t="shared" si="1242"/>
        <v>22414859.531063125</v>
      </c>
      <c r="BP367" s="131">
        <f t="shared" si="1242"/>
        <v>21859540.01194562</v>
      </c>
      <c r="BQ367" s="131">
        <f t="shared" si="1242"/>
        <v>24756435.270923082</v>
      </c>
      <c r="BR367" s="131">
        <f t="shared" si="1242"/>
        <v>23338996.159696452</v>
      </c>
      <c r="BS367" s="131">
        <f t="shared" si="1242"/>
        <v>22257617.87974938</v>
      </c>
      <c r="BT367" s="131">
        <f t="shared" si="1242"/>
        <v>21036927.686340403</v>
      </c>
      <c r="BU367" s="131">
        <f t="shared" si="1242"/>
        <v>22786348.513545066</v>
      </c>
      <c r="BV367" s="131">
        <f t="shared" si="1242"/>
        <v>24087566.533897445</v>
      </c>
      <c r="BW367" s="131">
        <f t="shared" si="1242"/>
        <v>24611873.402179483</v>
      </c>
      <c r="BX367" s="131">
        <f t="shared" si="1242"/>
        <v>24879757.040902615</v>
      </c>
      <c r="BY367" s="131">
        <f t="shared" si="1242"/>
        <v>24847206.766641013</v>
      </c>
      <c r="BZ367" s="131">
        <f t="shared" si="1242"/>
        <v>25084939.175692305</v>
      </c>
      <c r="CA367" s="131">
        <f t="shared" si="1242"/>
        <v>24824152.599692307</v>
      </c>
      <c r="CB367" s="131">
        <f t="shared" si="1242"/>
        <v>27414145.309691459</v>
      </c>
      <c r="CC367" s="131">
        <f t="shared" si="1242"/>
        <v>26069494.01194872</v>
      </c>
      <c r="CD367" s="131">
        <f t="shared" si="1242"/>
        <v>27008372.784578994</v>
      </c>
      <c r="CE367" s="131">
        <f t="shared" si="1242"/>
        <v>27152641.679959454</v>
      </c>
      <c r="CF367" s="131">
        <f t="shared" si="1242"/>
        <v>26207924.251413926</v>
      </c>
      <c r="CG367" s="131">
        <f t="shared" si="1242"/>
        <v>28880388.443360623</v>
      </c>
      <c r="CH367" s="131">
        <f t="shared" si="1242"/>
        <v>32888337.392714359</v>
      </c>
      <c r="CI367" s="131">
        <f t="shared" si="1242"/>
        <v>31196192.166743688</v>
      </c>
      <c r="CJ367" s="131">
        <f t="shared" si="1242"/>
        <v>31445333.487655655</v>
      </c>
      <c r="CK367" s="131">
        <f t="shared" si="1242"/>
        <v>31135604.780201849</v>
      </c>
      <c r="CL367" s="131">
        <f t="shared" si="1242"/>
        <v>31006142.968604118</v>
      </c>
      <c r="CM367" s="131">
        <f t="shared" si="1242"/>
        <v>32390511.277440924</v>
      </c>
      <c r="CN367" s="131">
        <f t="shared" si="1242"/>
        <v>35587102.579625919</v>
      </c>
      <c r="CO367" s="131">
        <f t="shared" si="1242"/>
        <v>32389657.997547761</v>
      </c>
      <c r="CP367" s="131">
        <f t="shared" si="1242"/>
        <v>32724649.791469306</v>
      </c>
      <c r="CQ367" s="131">
        <f t="shared" si="1242"/>
        <v>35087516.560124159</v>
      </c>
      <c r="CR367" s="131">
        <f t="shared" si="1242"/>
        <v>34101588.226241983</v>
      </c>
      <c r="CS367" s="131">
        <f t="shared" si="1242"/>
        <v>36397093.688566625</v>
      </c>
      <c r="CT367" s="132">
        <f>CS367*(1+CT371)</f>
        <v>38216948.372994959</v>
      </c>
      <c r="CU367" s="132">
        <f t="shared" ref="CU367:DQ367" si="1243">CT367*(1+CU371)</f>
        <v>38216948.372994959</v>
      </c>
      <c r="CV367" s="132">
        <f t="shared" si="1243"/>
        <v>38216948.372994959</v>
      </c>
      <c r="CW367" s="132">
        <f t="shared" si="1243"/>
        <v>38216948.372994959</v>
      </c>
      <c r="CX367" s="132">
        <f t="shared" si="1243"/>
        <v>38216948.372994959</v>
      </c>
      <c r="CY367" s="132">
        <f t="shared" si="1243"/>
        <v>38216948.372994959</v>
      </c>
      <c r="CZ367" s="132">
        <f t="shared" si="1243"/>
        <v>38216948.372994959</v>
      </c>
      <c r="DA367" s="132">
        <f t="shared" si="1243"/>
        <v>38216948.372994959</v>
      </c>
      <c r="DB367" s="132">
        <f t="shared" si="1243"/>
        <v>38216948.372994959</v>
      </c>
      <c r="DC367" s="132">
        <f t="shared" si="1243"/>
        <v>38216948.372994959</v>
      </c>
      <c r="DD367" s="132">
        <f t="shared" si="1243"/>
        <v>38216948.372994959</v>
      </c>
      <c r="DE367" s="132">
        <f t="shared" si="1243"/>
        <v>38216948.372994959</v>
      </c>
      <c r="DF367" s="132">
        <f t="shared" si="1243"/>
        <v>40127795.791644707</v>
      </c>
      <c r="DG367" s="132">
        <f t="shared" si="1243"/>
        <v>40127795.791644707</v>
      </c>
      <c r="DH367" s="132">
        <f t="shared" si="1243"/>
        <v>40127795.791644707</v>
      </c>
      <c r="DI367" s="132">
        <f t="shared" si="1243"/>
        <v>40127795.791644707</v>
      </c>
      <c r="DJ367" s="132">
        <f t="shared" si="1243"/>
        <v>40127795.791644707</v>
      </c>
      <c r="DK367" s="132">
        <f t="shared" si="1243"/>
        <v>40127795.791644707</v>
      </c>
      <c r="DL367" s="132">
        <f t="shared" si="1243"/>
        <v>40127795.791644707</v>
      </c>
      <c r="DM367" s="132">
        <f t="shared" si="1243"/>
        <v>40127795.791644707</v>
      </c>
      <c r="DN367" s="132">
        <f t="shared" si="1243"/>
        <v>40127795.791644707</v>
      </c>
      <c r="DO367" s="132">
        <f t="shared" si="1243"/>
        <v>40127795.791644707</v>
      </c>
      <c r="DP367" s="132">
        <f t="shared" si="1243"/>
        <v>40127795.791644707</v>
      </c>
      <c r="DQ367" s="132">
        <f t="shared" si="1243"/>
        <v>40127795.791644707</v>
      </c>
      <c r="DR367" s="132">
        <f t="shared" ref="DR367" si="1244">DQ367*(1+DR371)</f>
        <v>42134185.581226945</v>
      </c>
      <c r="DS367" s="132">
        <f t="shared" ref="DS367" si="1245">DR367*(1+DS371)</f>
        <v>42134185.581226945</v>
      </c>
      <c r="DT367" s="132">
        <f t="shared" ref="DT367" si="1246">DS367*(1+DT371)</f>
        <v>42134185.581226945</v>
      </c>
      <c r="DU367" s="132">
        <f t="shared" ref="DU367" si="1247">DT367*(1+DU371)</f>
        <v>42134185.581226945</v>
      </c>
      <c r="DV367" s="132">
        <f t="shared" ref="DV367" si="1248">DU367*(1+DV371)</f>
        <v>42134185.581226945</v>
      </c>
      <c r="DW367" s="132">
        <f t="shared" ref="DW367" si="1249">DV367*(1+DW371)</f>
        <v>42134185.581226945</v>
      </c>
      <c r="DX367" s="132">
        <f t="shared" ref="DX367" si="1250">DW367*(1+DX371)</f>
        <v>42134185.581226945</v>
      </c>
      <c r="DY367" s="132">
        <f t="shared" ref="DY367" si="1251">DX367*(1+DY371)</f>
        <v>42134185.581226945</v>
      </c>
      <c r="DZ367" s="132">
        <f t="shared" ref="DZ367" si="1252">DY367*(1+DZ371)</f>
        <v>42134185.581226945</v>
      </c>
      <c r="EA367" s="132">
        <f t="shared" ref="EA367" si="1253">DZ367*(1+EA371)</f>
        <v>42134185.581226945</v>
      </c>
      <c r="EB367" s="132">
        <f t="shared" ref="EB367" si="1254">EA367*(1+EB371)</f>
        <v>42134185.581226945</v>
      </c>
      <c r="EC367" s="132">
        <f t="shared" ref="EC367" si="1255">EB367*(1+EC371)</f>
        <v>42134185.581226945</v>
      </c>
      <c r="ED367" s="113" t="s">
        <v>1</v>
      </c>
    </row>
    <row r="368" spans="1:134" x14ac:dyDescent="0.2">
      <c r="A368" s="115" t="s">
        <v>61</v>
      </c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29">
        <v>0</v>
      </c>
      <c r="AM368" s="129">
        <v>0</v>
      </c>
      <c r="AN368" s="129">
        <v>0</v>
      </c>
      <c r="AO368" s="129">
        <v>0</v>
      </c>
      <c r="AP368" s="129">
        <v>0</v>
      </c>
      <c r="AQ368" s="129">
        <v>0</v>
      </c>
      <c r="AR368" s="129">
        <v>0</v>
      </c>
      <c r="AS368" s="129">
        <v>0</v>
      </c>
      <c r="AT368" s="129">
        <v>0</v>
      </c>
      <c r="AU368" s="129">
        <v>0</v>
      </c>
      <c r="AV368" s="129">
        <v>0</v>
      </c>
      <c r="AW368" s="129">
        <v>0</v>
      </c>
      <c r="AX368" s="129">
        <v>0</v>
      </c>
      <c r="AY368" s="129">
        <v>0</v>
      </c>
      <c r="AZ368" s="129">
        <v>0</v>
      </c>
      <c r="BA368" s="129">
        <v>0</v>
      </c>
      <c r="BB368" s="129">
        <v>0</v>
      </c>
      <c r="BC368" s="129">
        <v>0</v>
      </c>
      <c r="BD368" s="129">
        <v>0</v>
      </c>
      <c r="BE368" s="129">
        <v>0</v>
      </c>
      <c r="BF368" s="129">
        <v>0</v>
      </c>
      <c r="BG368" s="129">
        <v>0</v>
      </c>
      <c r="BH368" s="129">
        <v>0</v>
      </c>
      <c r="BI368" s="129">
        <v>0</v>
      </c>
      <c r="BJ368" s="129">
        <v>11590012.75409903</v>
      </c>
      <c r="BK368" s="129">
        <v>11221070.325359365</v>
      </c>
      <c r="BL368" s="129">
        <v>11257730.104308637</v>
      </c>
      <c r="BM368" s="129">
        <v>10925074.371125881</v>
      </c>
      <c r="BN368" s="129">
        <v>10871803.10265854</v>
      </c>
      <c r="BO368" s="129">
        <v>11219216.231530644</v>
      </c>
      <c r="BP368" s="129">
        <v>10468835.597972956</v>
      </c>
      <c r="BQ368" s="129">
        <v>12333143.874615386</v>
      </c>
      <c r="BR368" s="129">
        <v>11854342.723268</v>
      </c>
      <c r="BS368" s="129">
        <v>10923269.733236559</v>
      </c>
      <c r="BT368" s="129">
        <v>10421796.990306802</v>
      </c>
      <c r="BU368" s="129">
        <v>10956680.499878401</v>
      </c>
      <c r="BV368" s="129">
        <v>10868338.499878401</v>
      </c>
      <c r="BW368" s="129">
        <v>11842431.260333331</v>
      </c>
      <c r="BX368" s="129">
        <v>12067048.017184665</v>
      </c>
      <c r="BY368" s="129">
        <v>11937677.551333321</v>
      </c>
      <c r="BZ368" s="129">
        <v>11914695.597179487</v>
      </c>
      <c r="CA368" s="129">
        <v>12095299.45710256</v>
      </c>
      <c r="CB368" s="129">
        <v>12260383.768559121</v>
      </c>
      <c r="CC368" s="129">
        <v>12304802.235000001</v>
      </c>
      <c r="CD368" s="129">
        <v>13204403.7814268</v>
      </c>
      <c r="CE368" s="129">
        <v>12596379.441268802</v>
      </c>
      <c r="CF368" s="129">
        <v>12203075.9940696</v>
      </c>
      <c r="CG368" s="129">
        <v>13278957.490238203</v>
      </c>
      <c r="CH368" s="129">
        <v>15661476.086705895</v>
      </c>
      <c r="CI368" s="129">
        <v>16438945.631491072</v>
      </c>
      <c r="CJ368" s="129">
        <v>16283294.386876419</v>
      </c>
      <c r="CK368" s="129">
        <v>16101983.599878766</v>
      </c>
      <c r="CL368" s="129">
        <v>16458555.051670693</v>
      </c>
      <c r="CM368" s="129">
        <v>16347815.922282051</v>
      </c>
      <c r="CN368" s="129">
        <v>17691679.695718993</v>
      </c>
      <c r="CO368" s="129">
        <v>16767983.304487756</v>
      </c>
      <c r="CP368" s="129">
        <v>16424984.921846533</v>
      </c>
      <c r="CQ368" s="129">
        <v>17976940.004213158</v>
      </c>
      <c r="CR368" s="129">
        <v>17896173.9255189</v>
      </c>
      <c r="CS368" s="129">
        <v>18151451.389555078</v>
      </c>
      <c r="CT368" s="115"/>
      <c r="CU368" s="115"/>
      <c r="CV368" s="115"/>
      <c r="CW368" s="115"/>
      <c r="CX368" s="115"/>
      <c r="CY368" s="115"/>
      <c r="CZ368" s="115"/>
      <c r="DA368" s="115"/>
      <c r="DB368" s="115"/>
      <c r="DC368" s="115"/>
      <c r="DD368" s="115"/>
      <c r="DE368" s="115"/>
      <c r="DF368" s="115"/>
      <c r="DG368" s="115"/>
      <c r="DH368" s="115"/>
      <c r="DI368" s="115"/>
      <c r="DJ368" s="115"/>
      <c r="DK368" s="115"/>
      <c r="DL368" s="115"/>
      <c r="DM368" s="115"/>
      <c r="DN368" s="115"/>
      <c r="DO368" s="115"/>
      <c r="DP368" s="115"/>
      <c r="DQ368" s="115"/>
      <c r="DR368" s="115"/>
      <c r="DS368" s="115"/>
      <c r="DT368" s="115"/>
      <c r="DU368" s="115"/>
      <c r="DV368" s="115"/>
      <c r="DW368" s="115"/>
      <c r="DX368" s="115"/>
      <c r="DY368" s="115"/>
      <c r="DZ368" s="115"/>
      <c r="EA368" s="115"/>
      <c r="EB368" s="115"/>
      <c r="EC368" s="645"/>
      <c r="ED368" s="113" t="s">
        <v>1</v>
      </c>
    </row>
    <row r="369" spans="1:134" x14ac:dyDescent="0.2">
      <c r="A369" s="115" t="s">
        <v>52</v>
      </c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29">
        <v>0</v>
      </c>
      <c r="AM369" s="129">
        <v>0</v>
      </c>
      <c r="AN369" s="129">
        <v>0</v>
      </c>
      <c r="AO369" s="129">
        <v>0</v>
      </c>
      <c r="AP369" s="129">
        <v>0</v>
      </c>
      <c r="AQ369" s="129">
        <v>0</v>
      </c>
      <c r="AR369" s="129">
        <v>0</v>
      </c>
      <c r="AS369" s="129">
        <v>0</v>
      </c>
      <c r="AT369" s="129">
        <v>0</v>
      </c>
      <c r="AU369" s="129">
        <v>0</v>
      </c>
      <c r="AV369" s="129">
        <v>0</v>
      </c>
      <c r="AW369" s="129">
        <v>0</v>
      </c>
      <c r="AX369" s="129">
        <v>0</v>
      </c>
      <c r="AY369" s="129">
        <v>0</v>
      </c>
      <c r="AZ369" s="129">
        <v>0</v>
      </c>
      <c r="BA369" s="129">
        <v>0</v>
      </c>
      <c r="BB369" s="129">
        <v>0</v>
      </c>
      <c r="BC369" s="129">
        <v>0</v>
      </c>
      <c r="BD369" s="129">
        <v>0</v>
      </c>
      <c r="BE369" s="129">
        <v>0</v>
      </c>
      <c r="BF369" s="129">
        <v>0</v>
      </c>
      <c r="BG369" s="129">
        <v>0</v>
      </c>
      <c r="BH369" s="129">
        <v>0</v>
      </c>
      <c r="BI369" s="129">
        <v>0</v>
      </c>
      <c r="BJ369" s="129">
        <v>11929868.244032372</v>
      </c>
      <c r="BK369" s="129">
        <v>11763109.907568941</v>
      </c>
      <c r="BL369" s="129">
        <v>11474854.395686667</v>
      </c>
      <c r="BM369" s="129">
        <v>11301804.343211206</v>
      </c>
      <c r="BN369" s="129">
        <v>11020936.212426329</v>
      </c>
      <c r="BO369" s="129">
        <v>11195643.299532482</v>
      </c>
      <c r="BP369" s="129">
        <v>11390704.413972665</v>
      </c>
      <c r="BQ369" s="129">
        <v>12423291.396307696</v>
      </c>
      <c r="BR369" s="129">
        <v>11484653.436428452</v>
      </c>
      <c r="BS369" s="129">
        <v>11334348.146512823</v>
      </c>
      <c r="BT369" s="129">
        <v>10615130.696033601</v>
      </c>
      <c r="BU369" s="129">
        <v>11829668.013666667</v>
      </c>
      <c r="BV369" s="129">
        <v>13219228.034019046</v>
      </c>
      <c r="BW369" s="129">
        <v>12769442.141846152</v>
      </c>
      <c r="BX369" s="129">
        <v>12812709.023717951</v>
      </c>
      <c r="BY369" s="129">
        <v>12909529.215307692</v>
      </c>
      <c r="BZ369" s="129">
        <v>13170243.578512819</v>
      </c>
      <c r="CA369" s="129">
        <v>12728853.142589748</v>
      </c>
      <c r="CB369" s="129">
        <v>15153761.541132338</v>
      </c>
      <c r="CC369" s="129">
        <v>13764691.77694872</v>
      </c>
      <c r="CD369" s="129">
        <v>13803969.003152192</v>
      </c>
      <c r="CE369" s="129">
        <v>14556262.238690652</v>
      </c>
      <c r="CF369" s="129">
        <v>14004848.257344328</v>
      </c>
      <c r="CG369" s="129">
        <v>15601430.95312242</v>
      </c>
      <c r="CH369" s="129">
        <v>17226861.306008466</v>
      </c>
      <c r="CI369" s="129">
        <v>14757246.535252618</v>
      </c>
      <c r="CJ369" s="129">
        <v>15162039.100779235</v>
      </c>
      <c r="CK369" s="129">
        <v>15033621.180323083</v>
      </c>
      <c r="CL369" s="129">
        <v>14547587.916933427</v>
      </c>
      <c r="CM369" s="129">
        <v>16042695.355158873</v>
      </c>
      <c r="CN369" s="129">
        <v>17895422.883906931</v>
      </c>
      <c r="CO369" s="129">
        <v>15621674.693060007</v>
      </c>
      <c r="CP369" s="129">
        <v>16299664.869622774</v>
      </c>
      <c r="CQ369" s="129">
        <v>17110576.555911001</v>
      </c>
      <c r="CR369" s="129">
        <v>16205414.300723083</v>
      </c>
      <c r="CS369" s="129">
        <v>18245642.299011543</v>
      </c>
      <c r="CT369" s="115"/>
      <c r="CU369" s="115"/>
      <c r="CV369" s="115"/>
      <c r="CW369" s="115"/>
      <c r="CX369" s="115"/>
      <c r="CY369" s="115"/>
      <c r="CZ369" s="115"/>
      <c r="DA369" s="115"/>
      <c r="DB369" s="115"/>
      <c r="DC369" s="115"/>
      <c r="DD369" s="115"/>
      <c r="DE369" s="115"/>
      <c r="DF369" s="115"/>
      <c r="DG369" s="115"/>
      <c r="DH369" s="115"/>
      <c r="DI369" s="115"/>
      <c r="DJ369" s="115"/>
      <c r="DK369" s="115"/>
      <c r="DL369" s="115"/>
      <c r="DM369" s="115"/>
      <c r="DN369" s="115"/>
      <c r="DO369" s="115"/>
      <c r="DP369" s="115"/>
      <c r="DQ369" s="115"/>
      <c r="DR369" s="115"/>
      <c r="DS369" s="115"/>
      <c r="DT369" s="115"/>
      <c r="DU369" s="115"/>
      <c r="DV369" s="115"/>
      <c r="DW369" s="115"/>
      <c r="DX369" s="115"/>
      <c r="DY369" s="115"/>
      <c r="DZ369" s="115"/>
      <c r="EA369" s="115"/>
      <c r="EB369" s="115"/>
      <c r="EC369" s="645"/>
      <c r="ED369" s="113" t="s">
        <v>1</v>
      </c>
    </row>
    <row r="370" spans="1:134" x14ac:dyDescent="0.2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129"/>
      <c r="AM370" s="129"/>
      <c r="AN370" s="129"/>
      <c r="AO370" s="129"/>
      <c r="AP370" s="129"/>
      <c r="AQ370" s="129"/>
      <c r="AR370" s="129"/>
      <c r="AS370" s="129"/>
      <c r="AT370" s="129"/>
      <c r="AU370" s="129"/>
      <c r="AV370" s="129"/>
      <c r="AW370" s="129"/>
      <c r="AX370" s="129"/>
      <c r="AY370" s="129"/>
      <c r="AZ370" s="129"/>
      <c r="BA370" s="129"/>
      <c r="BB370" s="129"/>
      <c r="BC370" s="129"/>
      <c r="BD370" s="129"/>
      <c r="BE370" s="129"/>
      <c r="BF370" s="129"/>
      <c r="BG370" s="129"/>
      <c r="BH370" s="129"/>
      <c r="BI370" s="129"/>
      <c r="BJ370" s="129"/>
      <c r="BK370" s="129"/>
      <c r="BL370" s="129"/>
      <c r="BM370" s="129"/>
      <c r="BN370" s="129"/>
      <c r="BO370" s="129"/>
      <c r="BP370" s="129"/>
      <c r="BQ370" s="129"/>
      <c r="BR370" s="129"/>
      <c r="BS370" s="129"/>
      <c r="BT370" s="129"/>
      <c r="BU370" s="129"/>
      <c r="BV370" s="129"/>
      <c r="BW370" s="129"/>
      <c r="BX370" s="129"/>
      <c r="BY370" s="129"/>
      <c r="BZ370" s="129"/>
      <c r="CA370" s="129"/>
      <c r="CB370" s="129"/>
      <c r="CC370" s="129"/>
      <c r="CD370" s="129"/>
      <c r="CE370" s="129"/>
      <c r="CF370" s="129"/>
      <c r="CG370" s="129"/>
      <c r="CH370" s="129"/>
      <c r="CI370" s="129"/>
      <c r="CJ370" s="129"/>
      <c r="CK370" s="129"/>
      <c r="CL370" s="129"/>
      <c r="CM370" s="129"/>
      <c r="CN370" s="129"/>
      <c r="CO370" s="129"/>
      <c r="CP370" s="129"/>
      <c r="CQ370" s="129"/>
      <c r="CR370" s="129"/>
      <c r="CS370" s="129"/>
      <c r="CT370" s="115"/>
      <c r="CU370" s="115"/>
      <c r="CV370" s="115"/>
      <c r="CW370" s="115"/>
      <c r="CX370" s="115"/>
      <c r="CY370" s="115"/>
      <c r="CZ370" s="115"/>
      <c r="DA370" s="115"/>
      <c r="DB370" s="115"/>
      <c r="DC370" s="115"/>
      <c r="DD370" s="115"/>
      <c r="DE370" s="115"/>
      <c r="DF370" s="115"/>
      <c r="DG370" s="115"/>
      <c r="DH370" s="115"/>
      <c r="DI370" s="115"/>
      <c r="DJ370" s="115"/>
      <c r="DK370" s="115"/>
      <c r="DL370" s="115"/>
      <c r="DM370" s="115"/>
      <c r="DN370" s="115"/>
      <c r="DO370" s="115"/>
      <c r="DP370" s="115"/>
      <c r="DQ370" s="115"/>
      <c r="DR370" s="115"/>
      <c r="DS370" s="115"/>
      <c r="DT370" s="115"/>
      <c r="DU370" s="115"/>
      <c r="DV370" s="115"/>
      <c r="DW370" s="115"/>
      <c r="DX370" s="115"/>
      <c r="DY370" s="115"/>
      <c r="DZ370" s="115"/>
      <c r="EA370" s="115"/>
      <c r="EB370" s="115"/>
      <c r="EC370" s="645"/>
      <c r="ED370" s="113" t="s">
        <v>1</v>
      </c>
    </row>
    <row r="371" spans="1:134" x14ac:dyDescent="0.2">
      <c r="A371" s="763" t="s">
        <v>187</v>
      </c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29"/>
      <c r="AM371" s="129"/>
      <c r="AN371" s="129"/>
      <c r="AO371" s="129"/>
      <c r="AP371" s="129"/>
      <c r="AQ371" s="129"/>
      <c r="AR371" s="129"/>
      <c r="AS371" s="129"/>
      <c r="AT371" s="129"/>
      <c r="AU371" s="129"/>
      <c r="AV371" s="129"/>
      <c r="AW371" s="129"/>
      <c r="AX371" s="129"/>
      <c r="AY371" s="129"/>
      <c r="AZ371" s="129"/>
      <c r="BA371" s="129"/>
      <c r="BB371" s="129"/>
      <c r="BC371" s="129"/>
      <c r="BD371" s="129"/>
      <c r="BE371" s="129"/>
      <c r="BF371" s="129"/>
      <c r="BG371" s="129"/>
      <c r="BH371" s="129"/>
      <c r="BI371" s="129"/>
      <c r="BJ371" s="129"/>
      <c r="BK371" s="129"/>
      <c r="BL371" s="129"/>
      <c r="BM371" s="129"/>
      <c r="BN371" s="129"/>
      <c r="BO371" s="129"/>
      <c r="BP371" s="129"/>
      <c r="BQ371" s="129"/>
      <c r="BR371" s="129"/>
      <c r="BS371" s="129"/>
      <c r="BT371" s="129"/>
      <c r="BU371" s="129"/>
      <c r="BV371" s="129"/>
      <c r="BW371" s="129"/>
      <c r="BX371" s="129"/>
      <c r="BY371" s="129"/>
      <c r="BZ371" s="129"/>
      <c r="CA371" s="129"/>
      <c r="CB371" s="129"/>
      <c r="CC371" s="129"/>
      <c r="CD371" s="129"/>
      <c r="CE371" s="129"/>
      <c r="CF371" s="129"/>
      <c r="CG371" s="129"/>
      <c r="CH371" s="129"/>
      <c r="CI371" s="129"/>
      <c r="CJ371" s="129"/>
      <c r="CK371" s="129"/>
      <c r="CL371" s="129"/>
      <c r="CM371" s="129"/>
      <c r="CN371" s="129"/>
      <c r="CO371" s="129"/>
      <c r="CP371" s="129"/>
      <c r="CQ371" s="129"/>
      <c r="CR371" s="129"/>
      <c r="CS371" s="129"/>
      <c r="CT371" s="701">
        <v>0.05</v>
      </c>
      <c r="CU371" s="115"/>
      <c r="CV371" s="115"/>
      <c r="CW371" s="115"/>
      <c r="CX371" s="115"/>
      <c r="CY371" s="115"/>
      <c r="CZ371" s="115"/>
      <c r="DA371" s="115"/>
      <c r="DB371" s="115"/>
      <c r="DC371" s="115"/>
      <c r="DD371" s="115"/>
      <c r="DE371" s="115"/>
      <c r="DF371" s="701">
        <v>0.05</v>
      </c>
      <c r="DG371" s="115"/>
      <c r="DH371" s="115"/>
      <c r="DI371" s="115"/>
      <c r="DJ371" s="115"/>
      <c r="DK371" s="115"/>
      <c r="DL371" s="115"/>
      <c r="DM371" s="115"/>
      <c r="DN371" s="115"/>
      <c r="DO371" s="115"/>
      <c r="DP371" s="115"/>
      <c r="DQ371" s="115"/>
      <c r="DR371" s="701">
        <v>0.05</v>
      </c>
      <c r="DS371" s="115"/>
      <c r="DT371" s="115"/>
      <c r="DU371" s="115"/>
      <c r="DV371" s="115"/>
      <c r="DW371" s="115"/>
      <c r="DX371" s="115"/>
      <c r="DY371" s="115"/>
      <c r="DZ371" s="115"/>
      <c r="EA371" s="115"/>
      <c r="EB371" s="115"/>
      <c r="EC371" s="645"/>
      <c r="ED371" s="113" t="s">
        <v>1</v>
      </c>
    </row>
    <row r="372" spans="1:134" x14ac:dyDescent="0.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115"/>
      <c r="AM372" s="115"/>
      <c r="AN372" s="115"/>
      <c r="AO372" s="115"/>
      <c r="AP372" s="115"/>
      <c r="AQ372" s="115"/>
      <c r="AR372" s="115"/>
      <c r="AS372" s="115"/>
      <c r="AT372" s="115"/>
      <c r="AU372" s="115"/>
      <c r="AV372" s="115"/>
      <c r="AW372" s="115"/>
      <c r="AX372" s="115"/>
      <c r="AY372" s="115"/>
      <c r="AZ372" s="115"/>
      <c r="BA372" s="115"/>
      <c r="BB372" s="115"/>
      <c r="BC372" s="115"/>
      <c r="BD372" s="115"/>
      <c r="BE372" s="115"/>
      <c r="BF372" s="115"/>
      <c r="BG372" s="115"/>
      <c r="BH372" s="115"/>
      <c r="BI372" s="115"/>
      <c r="BJ372" s="115"/>
      <c r="BK372" s="115"/>
      <c r="BL372" s="115"/>
      <c r="BM372" s="115"/>
      <c r="BN372" s="115"/>
      <c r="BO372" s="115"/>
      <c r="BP372" s="115"/>
      <c r="BQ372" s="115"/>
      <c r="BR372" s="115"/>
      <c r="BS372" s="115"/>
      <c r="BT372" s="115"/>
      <c r="BU372" s="115"/>
      <c r="BV372" s="115"/>
      <c r="BW372" s="115"/>
      <c r="BX372" s="115"/>
      <c r="BY372" s="115"/>
      <c r="BZ372" s="115"/>
      <c r="CA372" s="115"/>
      <c r="CB372" s="115"/>
      <c r="CC372" s="115"/>
      <c r="CD372" s="115"/>
      <c r="CE372" s="115"/>
      <c r="CF372" s="115"/>
      <c r="CG372" s="115"/>
      <c r="CH372" s="115"/>
      <c r="CI372" s="115"/>
      <c r="CJ372" s="115"/>
      <c r="CK372" s="115"/>
      <c r="CL372" s="115"/>
      <c r="CM372" s="115"/>
      <c r="CN372" s="115"/>
      <c r="CO372" s="115"/>
      <c r="CP372" s="115"/>
      <c r="CQ372" s="115"/>
      <c r="CR372" s="115"/>
      <c r="CS372" s="115"/>
      <c r="CT372" s="115"/>
      <c r="CU372" s="115"/>
      <c r="CV372" s="115"/>
      <c r="CW372" s="115"/>
      <c r="CX372" s="115"/>
      <c r="CY372" s="115"/>
      <c r="CZ372" s="115"/>
      <c r="DA372" s="115"/>
      <c r="DB372" s="115"/>
      <c r="DC372" s="115"/>
      <c r="DD372" s="115"/>
      <c r="DE372" s="115"/>
      <c r="DF372" s="115"/>
      <c r="DG372" s="115"/>
      <c r="DH372" s="115"/>
      <c r="DI372" s="115"/>
      <c r="DJ372" s="115"/>
      <c r="DK372" s="115"/>
      <c r="DL372" s="115"/>
      <c r="DM372" s="115"/>
      <c r="DN372" s="115"/>
      <c r="DO372" s="115"/>
      <c r="DP372" s="115"/>
      <c r="DQ372" s="115"/>
      <c r="DR372" s="115"/>
      <c r="DS372" s="115"/>
      <c r="DT372" s="115"/>
      <c r="DU372" s="115"/>
      <c r="DV372" s="115"/>
      <c r="DW372" s="115"/>
      <c r="DX372" s="115"/>
      <c r="DY372" s="115"/>
      <c r="DZ372" s="115"/>
      <c r="EA372" s="115"/>
      <c r="EB372" s="115"/>
      <c r="EC372" s="645"/>
      <c r="ED372" s="113" t="s">
        <v>1</v>
      </c>
    </row>
    <row r="373" spans="1:134" x14ac:dyDescent="0.2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15"/>
      <c r="AO373" s="115"/>
      <c r="AP373" s="115"/>
      <c r="AQ373" s="115"/>
      <c r="AR373" s="115"/>
      <c r="AS373" s="115"/>
      <c r="AT373" s="115"/>
      <c r="AU373" s="115"/>
      <c r="AV373" s="115"/>
      <c r="AW373" s="115"/>
      <c r="AX373" s="115"/>
      <c r="AY373" s="115"/>
      <c r="AZ373" s="115"/>
      <c r="BA373" s="115"/>
      <c r="BB373" s="115"/>
      <c r="BC373" s="115"/>
      <c r="BD373" s="115"/>
      <c r="BE373" s="115"/>
      <c r="BF373" s="115"/>
      <c r="BG373" s="115"/>
      <c r="BH373" s="115"/>
      <c r="BI373" s="115"/>
      <c r="BJ373" s="115"/>
      <c r="BK373" s="115"/>
      <c r="BL373" s="115"/>
      <c r="BM373" s="115"/>
      <c r="BN373" s="115"/>
      <c r="BO373" s="115"/>
      <c r="BP373" s="115"/>
      <c r="BQ373" s="115"/>
      <c r="BR373" s="115"/>
      <c r="BS373" s="115"/>
      <c r="BT373" s="115"/>
      <c r="BU373" s="115"/>
      <c r="BV373" s="115"/>
      <c r="BW373" s="115"/>
      <c r="BX373" s="115"/>
      <c r="BY373" s="115"/>
      <c r="BZ373" s="115"/>
      <c r="CA373" s="115"/>
      <c r="CB373" s="115"/>
      <c r="CC373" s="115"/>
      <c r="CD373" s="115"/>
      <c r="CE373" s="115"/>
      <c r="CF373" s="115"/>
      <c r="CG373" s="115"/>
      <c r="CH373" s="115"/>
      <c r="CI373" s="115"/>
      <c r="CJ373" s="115"/>
      <c r="CK373" s="115"/>
      <c r="CL373" s="115"/>
      <c r="CM373" s="115"/>
      <c r="CN373" s="115"/>
      <c r="CO373" s="115"/>
      <c r="CP373" s="115"/>
      <c r="CQ373" s="115"/>
      <c r="CR373" s="115"/>
      <c r="CS373" s="115"/>
      <c r="CT373" s="115"/>
      <c r="CU373" s="115"/>
      <c r="CV373" s="115"/>
      <c r="CW373" s="115"/>
      <c r="CX373" s="115"/>
      <c r="CY373" s="115"/>
      <c r="CZ373" s="115"/>
      <c r="DA373" s="115"/>
      <c r="DB373" s="115"/>
      <c r="DC373" s="115"/>
      <c r="DD373" s="115"/>
      <c r="DE373" s="115"/>
      <c r="DF373" s="115"/>
      <c r="DG373" s="115"/>
      <c r="DH373" s="115"/>
      <c r="DI373" s="115"/>
      <c r="DJ373" s="115"/>
      <c r="DK373" s="115"/>
      <c r="DL373" s="115"/>
      <c r="DM373" s="115"/>
      <c r="DN373" s="115"/>
      <c r="DO373" s="115"/>
      <c r="DP373" s="115"/>
      <c r="DQ373" s="115"/>
      <c r="DR373" s="115"/>
      <c r="DS373" s="115"/>
      <c r="DT373" s="115"/>
      <c r="DU373" s="115"/>
      <c r="DV373" s="115"/>
      <c r="DW373" s="115"/>
      <c r="DX373" s="115"/>
      <c r="DY373" s="115"/>
      <c r="DZ373" s="115"/>
      <c r="EA373" s="115"/>
      <c r="EB373" s="115"/>
      <c r="EC373" s="645"/>
      <c r="ED373" s="113" t="s">
        <v>1</v>
      </c>
    </row>
    <row r="374" spans="1:134" x14ac:dyDescent="0.2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115"/>
      <c r="AN374" s="115"/>
      <c r="AO374" s="115"/>
      <c r="AP374" s="115"/>
      <c r="AQ374" s="115"/>
      <c r="AR374" s="115"/>
      <c r="AS374" s="115"/>
      <c r="AT374" s="115"/>
      <c r="AU374" s="115"/>
      <c r="AV374" s="115"/>
      <c r="AW374" s="115"/>
      <c r="AX374" s="115"/>
      <c r="AY374" s="115"/>
      <c r="AZ374" s="115"/>
      <c r="BA374" s="115"/>
      <c r="BB374" s="115"/>
      <c r="BC374" s="115"/>
      <c r="BD374" s="115"/>
      <c r="BE374" s="115"/>
      <c r="BF374" s="115"/>
      <c r="BG374" s="115"/>
      <c r="BH374" s="115"/>
      <c r="BI374" s="115"/>
      <c r="BJ374" s="115"/>
      <c r="BK374" s="115"/>
      <c r="BL374" s="115"/>
      <c r="BM374" s="115"/>
      <c r="BN374" s="115"/>
      <c r="BO374" s="115"/>
      <c r="BP374" s="115"/>
      <c r="BQ374" s="115"/>
      <c r="BR374" s="115"/>
      <c r="BS374" s="115"/>
      <c r="BT374" s="115"/>
      <c r="BU374" s="115"/>
      <c r="BV374" s="115"/>
      <c r="BW374" s="115"/>
      <c r="BX374" s="115"/>
      <c r="BY374" s="115"/>
      <c r="BZ374" s="115"/>
      <c r="CA374" s="115"/>
      <c r="CB374" s="115"/>
      <c r="CC374" s="115"/>
      <c r="CD374" s="115"/>
      <c r="CE374" s="115"/>
      <c r="CF374" s="115"/>
      <c r="CG374" s="115"/>
      <c r="CH374" s="115"/>
      <c r="CI374" s="115"/>
      <c r="CJ374" s="115"/>
      <c r="CK374" s="115"/>
      <c r="CL374" s="115"/>
      <c r="CM374" s="115"/>
      <c r="CN374" s="115"/>
      <c r="CO374" s="115"/>
      <c r="CP374" s="115"/>
      <c r="CQ374" s="115"/>
      <c r="CR374" s="115"/>
      <c r="CS374" s="115"/>
      <c r="CT374" s="115"/>
      <c r="CU374" s="115"/>
      <c r="CV374" s="115"/>
      <c r="CW374" s="115"/>
      <c r="CX374" s="115"/>
      <c r="CY374" s="115"/>
      <c r="CZ374" s="115"/>
      <c r="DA374" s="115"/>
      <c r="DB374" s="115"/>
      <c r="DC374" s="115"/>
      <c r="DD374" s="115"/>
      <c r="DE374" s="115"/>
      <c r="DF374" s="115"/>
      <c r="DG374" s="115"/>
      <c r="DH374" s="115"/>
      <c r="DI374" s="115"/>
      <c r="DJ374" s="115"/>
      <c r="DK374" s="115"/>
      <c r="DL374" s="115"/>
      <c r="DM374" s="115"/>
      <c r="DN374" s="115"/>
      <c r="DO374" s="115"/>
      <c r="DP374" s="115"/>
      <c r="DQ374" s="115"/>
      <c r="DR374" s="115"/>
      <c r="DS374" s="115"/>
      <c r="DT374" s="115"/>
      <c r="DU374" s="115"/>
      <c r="DV374" s="115"/>
      <c r="DW374" s="115"/>
      <c r="DX374" s="115"/>
      <c r="DY374" s="115"/>
      <c r="DZ374" s="115"/>
      <c r="EA374" s="115"/>
      <c r="EB374" s="115"/>
      <c r="EC374" s="645"/>
      <c r="ED374" s="113" t="s">
        <v>1</v>
      </c>
    </row>
    <row r="375" spans="1:134" x14ac:dyDescent="0.2">
      <c r="A375" s="680" t="s">
        <v>190</v>
      </c>
      <c r="B375" s="678"/>
      <c r="C375" s="678"/>
      <c r="D375" s="678"/>
      <c r="E375" s="678"/>
      <c r="F375" s="678"/>
      <c r="G375" s="678"/>
      <c r="H375" s="678"/>
      <c r="I375" s="678"/>
      <c r="J375" s="678"/>
      <c r="K375" s="678"/>
      <c r="L375" s="678"/>
      <c r="M375" s="678"/>
      <c r="N375" s="678"/>
      <c r="O375" s="678"/>
      <c r="P375" s="678"/>
      <c r="Q375" s="678"/>
      <c r="R375" s="678"/>
      <c r="S375" s="678"/>
      <c r="T375" s="678"/>
      <c r="U375" s="678"/>
      <c r="V375" s="678"/>
      <c r="W375" s="678"/>
      <c r="X375" s="678"/>
      <c r="Y375" s="678"/>
      <c r="Z375" s="678"/>
      <c r="AA375" s="678"/>
      <c r="AB375" s="678"/>
      <c r="AC375" s="678"/>
      <c r="AD375" s="678"/>
      <c r="AE375" s="678"/>
      <c r="AF375" s="678"/>
      <c r="AG375" s="678"/>
      <c r="AH375" s="678"/>
      <c r="AI375" s="678"/>
      <c r="AJ375" s="678"/>
      <c r="AK375" s="678"/>
      <c r="AL375" s="678"/>
      <c r="AM375" s="678"/>
      <c r="AN375" s="678"/>
      <c r="AO375" s="678"/>
      <c r="AP375" s="678"/>
      <c r="AQ375" s="678"/>
      <c r="AR375" s="678"/>
      <c r="AS375" s="678"/>
      <c r="AT375" s="678"/>
      <c r="AU375" s="678"/>
      <c r="AV375" s="678"/>
      <c r="AW375" s="678"/>
      <c r="AX375" s="678"/>
      <c r="AY375" s="678"/>
      <c r="AZ375" s="678"/>
      <c r="BA375" s="678"/>
      <c r="BB375" s="678"/>
      <c r="BC375" s="678"/>
      <c r="BD375" s="678"/>
      <c r="BE375" s="678"/>
      <c r="BF375" s="678"/>
      <c r="BG375" s="678"/>
      <c r="BH375" s="678"/>
      <c r="BI375" s="678"/>
      <c r="BJ375" s="678"/>
      <c r="BK375" s="678"/>
      <c r="BL375" s="678"/>
      <c r="BM375" s="678"/>
      <c r="BN375" s="678"/>
      <c r="BO375" s="678"/>
      <c r="BP375" s="678"/>
      <c r="BQ375" s="678"/>
      <c r="BR375" s="678"/>
      <c r="BS375" s="678"/>
      <c r="BT375" s="678"/>
      <c r="BU375" s="678"/>
      <c r="BV375" s="678"/>
      <c r="BW375" s="678"/>
      <c r="BX375" s="678"/>
      <c r="BY375" s="678"/>
      <c r="BZ375" s="678"/>
      <c r="CA375" s="678"/>
      <c r="CB375" s="678"/>
      <c r="CC375" s="678"/>
      <c r="CD375" s="678"/>
      <c r="CE375" s="678"/>
      <c r="CF375" s="678"/>
      <c r="CG375" s="678"/>
      <c r="CH375" s="678"/>
      <c r="CI375" s="678"/>
      <c r="CJ375" s="678"/>
      <c r="CK375" s="678"/>
      <c r="CL375" s="678"/>
      <c r="CM375" s="678"/>
      <c r="CN375" s="678"/>
      <c r="CO375" s="678"/>
      <c r="CP375" s="678"/>
      <c r="CQ375" s="678"/>
      <c r="CR375" s="678"/>
      <c r="CS375" s="678"/>
      <c r="CT375" s="678"/>
      <c r="CU375" s="678"/>
      <c r="CV375" s="678"/>
      <c r="CW375" s="678"/>
      <c r="CX375" s="678"/>
      <c r="CY375" s="678"/>
      <c r="CZ375" s="678"/>
      <c r="DA375" s="678"/>
      <c r="DB375" s="678"/>
      <c r="DC375" s="678"/>
      <c r="DD375" s="678"/>
      <c r="DE375" s="678"/>
      <c r="DF375" s="678"/>
      <c r="DG375" s="678"/>
      <c r="DH375" s="678"/>
      <c r="DI375" s="678"/>
      <c r="DJ375" s="678"/>
      <c r="DK375" s="678"/>
      <c r="DL375" s="678"/>
      <c r="DM375" s="678"/>
      <c r="DN375" s="678"/>
      <c r="DO375" s="678"/>
      <c r="DP375" s="678"/>
      <c r="DQ375" s="678"/>
      <c r="DR375" s="681"/>
      <c r="DS375" s="681"/>
      <c r="DT375" s="681"/>
      <c r="DU375" s="681"/>
      <c r="DV375" s="681"/>
      <c r="DW375" s="681"/>
      <c r="DX375" s="681"/>
      <c r="DY375" s="681"/>
      <c r="DZ375" s="681"/>
      <c r="EA375" s="681"/>
      <c r="EB375" s="681"/>
      <c r="EC375" s="718"/>
      <c r="ED375" s="113" t="s">
        <v>1</v>
      </c>
    </row>
    <row r="376" spans="1:134" x14ac:dyDescent="0.2">
      <c r="A376" s="682" t="s">
        <v>599</v>
      </c>
      <c r="B376" s="729">
        <f>SUM(B377:B380)</f>
        <v>0</v>
      </c>
      <c r="C376" s="729">
        <f t="shared" ref="C376:BN376" si="1256">SUM(C377:C380)</f>
        <v>0</v>
      </c>
      <c r="D376" s="729">
        <f t="shared" si="1256"/>
        <v>0</v>
      </c>
      <c r="E376" s="729">
        <f t="shared" si="1256"/>
        <v>0</v>
      </c>
      <c r="F376" s="729">
        <f t="shared" si="1256"/>
        <v>0</v>
      </c>
      <c r="G376" s="729">
        <f t="shared" si="1256"/>
        <v>0</v>
      </c>
      <c r="H376" s="729">
        <f t="shared" si="1256"/>
        <v>0</v>
      </c>
      <c r="I376" s="729">
        <f t="shared" si="1256"/>
        <v>0</v>
      </c>
      <c r="J376" s="729">
        <f t="shared" si="1256"/>
        <v>0</v>
      </c>
      <c r="K376" s="729">
        <f t="shared" si="1256"/>
        <v>0</v>
      </c>
      <c r="L376" s="729">
        <f t="shared" si="1256"/>
        <v>0</v>
      </c>
      <c r="M376" s="729">
        <f t="shared" si="1256"/>
        <v>0</v>
      </c>
      <c r="N376" s="729">
        <f t="shared" si="1256"/>
        <v>0</v>
      </c>
      <c r="O376" s="729">
        <f t="shared" si="1256"/>
        <v>0</v>
      </c>
      <c r="P376" s="729">
        <f t="shared" si="1256"/>
        <v>0</v>
      </c>
      <c r="Q376" s="729">
        <f t="shared" si="1256"/>
        <v>0</v>
      </c>
      <c r="R376" s="729">
        <f t="shared" si="1256"/>
        <v>0</v>
      </c>
      <c r="S376" s="729">
        <f t="shared" si="1256"/>
        <v>0</v>
      </c>
      <c r="T376" s="729">
        <f t="shared" si="1256"/>
        <v>0</v>
      </c>
      <c r="U376" s="729">
        <f t="shared" si="1256"/>
        <v>0</v>
      </c>
      <c r="V376" s="729">
        <f t="shared" si="1256"/>
        <v>0</v>
      </c>
      <c r="W376" s="729">
        <f t="shared" si="1256"/>
        <v>0</v>
      </c>
      <c r="X376" s="729">
        <f t="shared" si="1256"/>
        <v>0</v>
      </c>
      <c r="Y376" s="729">
        <f t="shared" si="1256"/>
        <v>0</v>
      </c>
      <c r="Z376" s="729">
        <f t="shared" si="1256"/>
        <v>0</v>
      </c>
      <c r="AA376" s="729">
        <f t="shared" si="1256"/>
        <v>0</v>
      </c>
      <c r="AB376" s="729">
        <f t="shared" si="1256"/>
        <v>8784488.4499999993</v>
      </c>
      <c r="AC376" s="729">
        <f t="shared" si="1256"/>
        <v>8220964</v>
      </c>
      <c r="AD376" s="729">
        <f t="shared" si="1256"/>
        <v>11152693.66</v>
      </c>
      <c r="AE376" s="729">
        <f t="shared" si="1256"/>
        <v>13666226.199999999</v>
      </c>
      <c r="AF376" s="729">
        <f t="shared" si="1256"/>
        <v>14105378.369999999</v>
      </c>
      <c r="AG376" s="729">
        <f t="shared" si="1256"/>
        <v>19649555</v>
      </c>
      <c r="AH376" s="729">
        <f t="shared" si="1256"/>
        <v>43378772.509999998</v>
      </c>
      <c r="AI376" s="729">
        <f t="shared" si="1256"/>
        <v>44307804.639999993</v>
      </c>
      <c r="AJ376" s="729">
        <f t="shared" si="1256"/>
        <v>45537527.779999986</v>
      </c>
      <c r="AK376" s="729">
        <f t="shared" si="1256"/>
        <v>49014180.030000098</v>
      </c>
      <c r="AL376" s="729">
        <f t="shared" si="1256"/>
        <v>29638478.379999973</v>
      </c>
      <c r="AM376" s="729">
        <f t="shared" si="1256"/>
        <v>728899.62000000034</v>
      </c>
      <c r="AN376" s="729">
        <f t="shared" si="1256"/>
        <v>22119751.369999997</v>
      </c>
      <c r="AO376" s="729">
        <f t="shared" si="1256"/>
        <v>32574556.639999952</v>
      </c>
      <c r="AP376" s="729">
        <f t="shared" si="1256"/>
        <v>41207755.070000052</v>
      </c>
      <c r="AQ376" s="729">
        <f t="shared" si="1256"/>
        <v>55565076.070000172</v>
      </c>
      <c r="AR376" s="729">
        <f t="shared" si="1256"/>
        <v>66150442.44000034</v>
      </c>
      <c r="AS376" s="729">
        <f t="shared" si="1256"/>
        <v>94292695.270000279</v>
      </c>
      <c r="AT376" s="729">
        <f t="shared" si="1256"/>
        <v>114426575.24000114</v>
      </c>
      <c r="AU376" s="729">
        <f t="shared" si="1256"/>
        <v>112899577.48000291</v>
      </c>
      <c r="AV376" s="729">
        <f t="shared" si="1256"/>
        <v>121681117.4599963</v>
      </c>
      <c r="AW376" s="729">
        <f t="shared" si="1256"/>
        <v>136308118.46999502</v>
      </c>
      <c r="AX376" s="729">
        <f t="shared" si="1256"/>
        <v>120821523.58999594</v>
      </c>
      <c r="AY376" s="729">
        <f t="shared" si="1256"/>
        <v>147039713.57000482</v>
      </c>
      <c r="AZ376" s="729">
        <f t="shared" si="1256"/>
        <v>174069339.44999015</v>
      </c>
      <c r="BA376" s="729">
        <f t="shared" si="1256"/>
        <v>176465205.17999822</v>
      </c>
      <c r="BB376" s="729">
        <f t="shared" si="1256"/>
        <v>182471278.71000534</v>
      </c>
      <c r="BC376" s="729">
        <f t="shared" si="1256"/>
        <v>174539353.44999975</v>
      </c>
      <c r="BD376" s="729">
        <f t="shared" si="1256"/>
        <v>191776624.96999565</v>
      </c>
      <c r="BE376" s="729">
        <f t="shared" si="1256"/>
        <v>196179147.49999794</v>
      </c>
      <c r="BF376" s="729">
        <f t="shared" si="1256"/>
        <v>238775211.24001384</v>
      </c>
      <c r="BG376" s="729">
        <f t="shared" si="1256"/>
        <v>261788993.19999886</v>
      </c>
      <c r="BH376" s="729">
        <f t="shared" si="1256"/>
        <v>259812967.05000448</v>
      </c>
      <c r="BI376" s="729">
        <f t="shared" si="1256"/>
        <v>330012662.03998053</v>
      </c>
      <c r="BJ376" s="729">
        <f t="shared" si="1256"/>
        <v>355052087.23952562</v>
      </c>
      <c r="BK376" s="729">
        <f t="shared" si="1256"/>
        <v>377828876.41002584</v>
      </c>
      <c r="BL376" s="729">
        <f t="shared" si="1256"/>
        <v>373778384.43003833</v>
      </c>
      <c r="BM376" s="729">
        <f t="shared" si="1256"/>
        <v>332980790.84004146</v>
      </c>
      <c r="BN376" s="729">
        <f t="shared" si="1256"/>
        <v>334194565.95196956</v>
      </c>
      <c r="BO376" s="729">
        <f t="shared" ref="BO376:DQ376" si="1257">SUM(BO377:BO380)</f>
        <v>314696281.25039017</v>
      </c>
      <c r="BP376" s="729">
        <f t="shared" si="1257"/>
        <v>438333007.70424289</v>
      </c>
      <c r="BQ376" s="729">
        <f t="shared" si="1257"/>
        <v>380871517.84648663</v>
      </c>
      <c r="BR376" s="729">
        <f t="shared" si="1257"/>
        <v>331570422.52705711</v>
      </c>
      <c r="BS376" s="729">
        <f t="shared" si="1257"/>
        <v>299879970.71914715</v>
      </c>
      <c r="BT376" s="729">
        <f t="shared" si="1257"/>
        <v>279031670.34520602</v>
      </c>
      <c r="BU376" s="729">
        <f t="shared" si="1257"/>
        <v>337099434.33302683</v>
      </c>
      <c r="BV376" s="729">
        <f t="shared" si="1257"/>
        <v>355053450.1030286</v>
      </c>
      <c r="BW376" s="729">
        <f t="shared" si="1257"/>
        <v>354228123.69021481</v>
      </c>
      <c r="BX376" s="729">
        <f t="shared" si="1257"/>
        <v>376653140.7750445</v>
      </c>
      <c r="BY376" s="729">
        <f t="shared" si="1257"/>
        <v>363405003.58000946</v>
      </c>
      <c r="BZ376" s="729">
        <f t="shared" si="1257"/>
        <v>309852765.26000243</v>
      </c>
      <c r="CA376" s="729">
        <f t="shared" si="1257"/>
        <v>273180907.97662252</v>
      </c>
      <c r="CB376" s="729">
        <f t="shared" si="1257"/>
        <v>365433546.21159124</v>
      </c>
      <c r="CC376" s="729">
        <f t="shared" si="1257"/>
        <v>364585249.00000501</v>
      </c>
      <c r="CD376" s="729">
        <f t="shared" si="1257"/>
        <v>433160677.27055454</v>
      </c>
      <c r="CE376" s="729">
        <f t="shared" si="1257"/>
        <v>450069449.49034607</v>
      </c>
      <c r="CF376" s="729">
        <f t="shared" si="1257"/>
        <v>426337810.18006098</v>
      </c>
      <c r="CG376" s="729">
        <f t="shared" si="1257"/>
        <v>527896467.0001055</v>
      </c>
      <c r="CH376" s="729">
        <f t="shared" si="1257"/>
        <v>517606585.08013833</v>
      </c>
      <c r="CI376" s="729">
        <f t="shared" si="1257"/>
        <v>500661605.62000364</v>
      </c>
      <c r="CJ376" s="729">
        <f t="shared" si="1257"/>
        <v>506117125.06098431</v>
      </c>
      <c r="CK376" s="729">
        <f t="shared" si="1257"/>
        <v>558298024.91000116</v>
      </c>
      <c r="CL376" s="729">
        <f t="shared" si="1257"/>
        <v>473005887.96000177</v>
      </c>
      <c r="CM376" s="729">
        <f t="shared" si="1257"/>
        <v>447096525.3699975</v>
      </c>
      <c r="CN376" s="729">
        <f t="shared" si="1257"/>
        <v>627791340.85999608</v>
      </c>
      <c r="CO376" s="729">
        <f t="shared" si="1257"/>
        <v>567296872.5</v>
      </c>
      <c r="CP376" s="729">
        <f t="shared" si="1257"/>
        <v>700534581.04999578</v>
      </c>
      <c r="CQ376" s="729">
        <f t="shared" si="1257"/>
        <v>748385244.50999868</v>
      </c>
      <c r="CR376" s="729">
        <f t="shared" si="1257"/>
        <v>723323798.41999519</v>
      </c>
      <c r="CS376" s="729">
        <f t="shared" si="1257"/>
        <v>864519334.05999899</v>
      </c>
      <c r="CT376" s="729">
        <f t="shared" si="1257"/>
        <v>737989073.86666751</v>
      </c>
      <c r="CU376" s="729">
        <f t="shared" si="1257"/>
        <v>722574647.77873051</v>
      </c>
      <c r="CV376" s="729">
        <f t="shared" si="1257"/>
        <v>720997887.15389311</v>
      </c>
      <c r="CW376" s="729">
        <f t="shared" si="1257"/>
        <v>781109395.03303659</v>
      </c>
      <c r="CX376" s="729">
        <f t="shared" si="1257"/>
        <v>697294898.53641617</v>
      </c>
      <c r="CY376" s="729">
        <f t="shared" si="1257"/>
        <v>647064530.43506396</v>
      </c>
      <c r="CZ376" s="729">
        <f t="shared" si="1257"/>
        <v>808598278.00979507</v>
      </c>
      <c r="DA376" s="729">
        <f t="shared" si="1257"/>
        <v>744198980.9264791</v>
      </c>
      <c r="DB376" s="729">
        <f t="shared" si="1257"/>
        <v>886258133.258811</v>
      </c>
      <c r="DC376" s="729">
        <f t="shared" si="1257"/>
        <v>908115191.8933655</v>
      </c>
      <c r="DD376" s="729">
        <f t="shared" si="1257"/>
        <v>844024817.57253087</v>
      </c>
      <c r="DE376" s="729">
        <f t="shared" si="1257"/>
        <v>982610537.43466365</v>
      </c>
      <c r="DF376" s="729">
        <f t="shared" si="1257"/>
        <v>900570799.22483706</v>
      </c>
      <c r="DG376" s="729">
        <f t="shared" si="1257"/>
        <v>883984984.75429392</v>
      </c>
      <c r="DH376" s="729">
        <f t="shared" si="1257"/>
        <v>877476569.44785905</v>
      </c>
      <c r="DI376" s="729">
        <f t="shared" si="1257"/>
        <v>950103982.01738727</v>
      </c>
      <c r="DJ376" s="729">
        <f t="shared" si="1257"/>
        <v>846373515.76854718</v>
      </c>
      <c r="DK376" s="729">
        <f t="shared" si="1257"/>
        <v>783534276.01435351</v>
      </c>
      <c r="DL376" s="729">
        <f t="shared" si="1257"/>
        <v>976081630.91126382</v>
      </c>
      <c r="DM376" s="729">
        <f t="shared" si="1257"/>
        <v>893618971.76344955</v>
      </c>
      <c r="DN376" s="729">
        <f t="shared" si="1257"/>
        <v>1060607450.8975278</v>
      </c>
      <c r="DO376" s="729">
        <f t="shared" si="1257"/>
        <v>1082268967.1592412</v>
      </c>
      <c r="DP376" s="729">
        <f t="shared" si="1257"/>
        <v>1000912723.9789027</v>
      </c>
      <c r="DQ376" s="729">
        <f t="shared" si="1257"/>
        <v>1152585823.4251366</v>
      </c>
      <c r="DR376" s="729">
        <f t="shared" ref="DR376:EC376" si="1258">SUM(DR377:DR380)</f>
        <v>1026394846.791955</v>
      </c>
      <c r="DS376" s="729">
        <f t="shared" si="1258"/>
        <v>1006491838.4605958</v>
      </c>
      <c r="DT376" s="729">
        <f t="shared" si="1258"/>
        <v>998445988.73163915</v>
      </c>
      <c r="DU376" s="729">
        <f t="shared" si="1258"/>
        <v>1080709300.7647989</v>
      </c>
      <c r="DV376" s="729">
        <f t="shared" si="1258"/>
        <v>961497232.58673429</v>
      </c>
      <c r="DW376" s="729">
        <f t="shared" si="1258"/>
        <v>888822963.44401336</v>
      </c>
      <c r="DX376" s="729">
        <f t="shared" si="1258"/>
        <v>1107767898.1264563</v>
      </c>
      <c r="DY376" s="729">
        <f t="shared" si="1258"/>
        <v>1013317883.9193017</v>
      </c>
      <c r="DZ376" s="729">
        <f t="shared" si="1258"/>
        <v>1202983753.2857544</v>
      </c>
      <c r="EA376" s="729">
        <f t="shared" si="1258"/>
        <v>1227284970.6029537</v>
      </c>
      <c r="EB376" s="729">
        <f t="shared" si="1258"/>
        <v>1134144873.706372</v>
      </c>
      <c r="EC376" s="729">
        <f t="shared" si="1258"/>
        <v>1306183304.5721023</v>
      </c>
      <c r="ED376" s="113" t="s">
        <v>1</v>
      </c>
    </row>
    <row r="377" spans="1:134" x14ac:dyDescent="0.2">
      <c r="A377" s="114" t="s">
        <v>139</v>
      </c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29">
        <v>4988930.4400000004</v>
      </c>
      <c r="AC377" s="129">
        <v>4117994</v>
      </c>
      <c r="AD377" s="129">
        <v>6819143.1500000004</v>
      </c>
      <c r="AE377" s="129">
        <v>9903184.4000000004</v>
      </c>
      <c r="AF377" s="129">
        <v>10556070.029999999</v>
      </c>
      <c r="AG377" s="129">
        <v>16196801</v>
      </c>
      <c r="AH377" s="129">
        <v>39870979.100000001</v>
      </c>
      <c r="AI377" s="129">
        <v>40759585.979999997</v>
      </c>
      <c r="AJ377" s="129">
        <v>41652311.779999986</v>
      </c>
      <c r="AK377" s="129">
        <v>44495444.060000099</v>
      </c>
      <c r="AL377" s="129">
        <v>26883725.249999974</v>
      </c>
      <c r="AM377" s="129">
        <v>721505.06000000029</v>
      </c>
      <c r="AN377" s="129">
        <v>17421627.459999997</v>
      </c>
      <c r="AO377" s="129">
        <v>25879520.179999951</v>
      </c>
      <c r="AP377" s="129">
        <v>33983700.790000051</v>
      </c>
      <c r="AQ377" s="129">
        <v>46491626.070000172</v>
      </c>
      <c r="AR377" s="129">
        <v>57472120.100000344</v>
      </c>
      <c r="AS377" s="129">
        <v>84978373.91000028</v>
      </c>
      <c r="AT377" s="129">
        <v>101108531.90000114</v>
      </c>
      <c r="AU377" s="129">
        <v>99854735.73000291</v>
      </c>
      <c r="AV377" s="129">
        <v>108673687.2199963</v>
      </c>
      <c r="AW377" s="129">
        <v>122748740.16999501</v>
      </c>
      <c r="AX377" s="129">
        <v>106378748.60999593</v>
      </c>
      <c r="AY377" s="129">
        <v>130881046.39000481</v>
      </c>
      <c r="AZ377" s="129">
        <v>156933465.87999016</v>
      </c>
      <c r="BA377" s="129">
        <v>156671218.99999821</v>
      </c>
      <c r="BB377" s="129">
        <v>161047976.79000536</v>
      </c>
      <c r="BC377" s="129">
        <v>153516431.93999976</v>
      </c>
      <c r="BD377" s="129">
        <v>171770291.64999565</v>
      </c>
      <c r="BE377" s="129">
        <v>176306303.24999794</v>
      </c>
      <c r="BF377" s="129">
        <v>218562642.15001383</v>
      </c>
      <c r="BG377" s="129">
        <v>239543162.08999884</v>
      </c>
      <c r="BH377" s="129">
        <v>237861286.1300045</v>
      </c>
      <c r="BI377" s="129">
        <v>307112209.61998051</v>
      </c>
      <c r="BJ377" s="129">
        <v>331247452.51002562</v>
      </c>
      <c r="BK377" s="129">
        <v>352862390.41002584</v>
      </c>
      <c r="BL377" s="129">
        <v>347308513.82003832</v>
      </c>
      <c r="BM377" s="129">
        <v>305611979.04004145</v>
      </c>
      <c r="BN377" s="129">
        <v>302944856.08996952</v>
      </c>
      <c r="BO377" s="129">
        <v>286685390.22003019</v>
      </c>
      <c r="BP377" s="129">
        <v>406229554.78254288</v>
      </c>
      <c r="BQ377" s="129">
        <v>356900249.68254626</v>
      </c>
      <c r="BR377" s="129">
        <v>308946523.69609708</v>
      </c>
      <c r="BS377" s="129">
        <v>278499313.80915147</v>
      </c>
      <c r="BT377" s="129">
        <v>256713670.98305085</v>
      </c>
      <c r="BU377" s="129">
        <v>311524850.34305489</v>
      </c>
      <c r="BV377" s="129">
        <v>327982013.98305601</v>
      </c>
      <c r="BW377" s="129">
        <v>325838078.57000411</v>
      </c>
      <c r="BX377" s="129">
        <v>345435036.7700063</v>
      </c>
      <c r="BY377" s="129">
        <v>331048534.83000529</v>
      </c>
      <c r="BZ377" s="129">
        <v>278155190.40000242</v>
      </c>
      <c r="CA377" s="129">
        <v>243418973.07000488</v>
      </c>
      <c r="CB377" s="129">
        <v>331641015.35000378</v>
      </c>
      <c r="CC377" s="129">
        <v>335110838.380005</v>
      </c>
      <c r="CD377" s="129">
        <v>398587891.63436681</v>
      </c>
      <c r="CE377" s="129">
        <v>415932381.67034614</v>
      </c>
      <c r="CF377" s="129">
        <v>395855141.99006104</v>
      </c>
      <c r="CG377" s="129">
        <v>489465459.28010553</v>
      </c>
      <c r="CH377" s="129">
        <v>481915569.90013832</v>
      </c>
      <c r="CI377" s="129">
        <v>463449808.51000363</v>
      </c>
      <c r="CJ377" s="129">
        <v>471871293.07098442</v>
      </c>
      <c r="CK377" s="129">
        <v>518723367.32000118</v>
      </c>
      <c r="CL377" s="129">
        <v>431340424.13000178</v>
      </c>
      <c r="CM377" s="129">
        <v>407717177.29999751</v>
      </c>
      <c r="CN377" s="129">
        <v>579535243.67999601</v>
      </c>
      <c r="CO377" s="129">
        <v>520631637.99000001</v>
      </c>
      <c r="CP377" s="129">
        <v>642704999.81999576</v>
      </c>
      <c r="CQ377" s="129">
        <v>693528857.92999864</v>
      </c>
      <c r="CR377" s="129">
        <v>670349875.98999512</v>
      </c>
      <c r="CS377" s="129">
        <v>786420330.02999902</v>
      </c>
      <c r="CT377" s="129">
        <f>CT387*CT394</f>
        <v>682663923.92343342</v>
      </c>
      <c r="CU377" s="129">
        <f t="shared" ref="CU377:DQ377" si="1259">CU387*CU394</f>
        <v>666865977.7248261</v>
      </c>
      <c r="CV377" s="129">
        <f t="shared" si="1259"/>
        <v>664632807.68911266</v>
      </c>
      <c r="CW377" s="129">
        <f t="shared" si="1259"/>
        <v>724076395.5251888</v>
      </c>
      <c r="CX377" s="129">
        <f t="shared" si="1259"/>
        <v>639915163.46472633</v>
      </c>
      <c r="CY377" s="129">
        <f t="shared" si="1259"/>
        <v>588990813.35565341</v>
      </c>
      <c r="CZ377" s="129">
        <f t="shared" si="1259"/>
        <v>749474726.00592625</v>
      </c>
      <c r="DA377" s="129">
        <f t="shared" si="1259"/>
        <v>684655583.61870158</v>
      </c>
      <c r="DB377" s="129">
        <f t="shared" si="1259"/>
        <v>825738234.42716336</v>
      </c>
      <c r="DC377" s="129">
        <f t="shared" si="1259"/>
        <v>847071423.70703781</v>
      </c>
      <c r="DD377" s="129">
        <f t="shared" si="1259"/>
        <v>782560040.80488563</v>
      </c>
      <c r="DE377" s="129">
        <f t="shared" si="1259"/>
        <v>919740774.10984468</v>
      </c>
      <c r="DF377" s="129">
        <f t="shared" si="1259"/>
        <v>837568399.60194206</v>
      </c>
      <c r="DG377" s="129">
        <f t="shared" si="1259"/>
        <v>820382693.70944202</v>
      </c>
      <c r="DH377" s="129">
        <f t="shared" si="1259"/>
        <v>813457221.87999296</v>
      </c>
      <c r="DI377" s="129">
        <f t="shared" si="1259"/>
        <v>885369584.60267842</v>
      </c>
      <c r="DJ377" s="129">
        <f t="shared" si="1259"/>
        <v>781367378.22737277</v>
      </c>
      <c r="DK377" s="129">
        <f t="shared" si="1259"/>
        <v>717881636.34498239</v>
      </c>
      <c r="DL377" s="129">
        <f t="shared" si="1259"/>
        <v>909483153.97634518</v>
      </c>
      <c r="DM377" s="129">
        <f t="shared" si="1259"/>
        <v>826889451.0786016</v>
      </c>
      <c r="DN377" s="129">
        <f t="shared" si="1259"/>
        <v>993028337.27219105</v>
      </c>
      <c r="DO377" s="129">
        <f t="shared" si="1259"/>
        <v>1014387502.7954702</v>
      </c>
      <c r="DP377" s="129">
        <f t="shared" si="1259"/>
        <v>932896049.55291963</v>
      </c>
      <c r="DQ377" s="129">
        <f t="shared" si="1259"/>
        <v>1083777227.5460474</v>
      </c>
      <c r="DR377" s="129">
        <f t="shared" ref="DR377:EC377" si="1260">DR387*DR394</f>
        <v>957619870.21155381</v>
      </c>
      <c r="DS377" s="129">
        <f t="shared" si="1260"/>
        <v>937129461.66040111</v>
      </c>
      <c r="DT377" s="129">
        <f t="shared" si="1260"/>
        <v>928672344.76081371</v>
      </c>
      <c r="DU377" s="129">
        <f t="shared" si="1260"/>
        <v>1010184322.0710346</v>
      </c>
      <c r="DV377" s="129">
        <f t="shared" si="1260"/>
        <v>890758811.17920506</v>
      </c>
      <c r="DW377" s="129">
        <f t="shared" si="1260"/>
        <v>817475074.62664545</v>
      </c>
      <c r="DX377" s="129">
        <f t="shared" si="1260"/>
        <v>1035374769.5004394</v>
      </c>
      <c r="DY377" s="129">
        <f t="shared" si="1260"/>
        <v>940838851.04431129</v>
      </c>
      <c r="DZ377" s="129">
        <f t="shared" si="1260"/>
        <v>1129569733.6471174</v>
      </c>
      <c r="EA377" s="129">
        <f t="shared" si="1260"/>
        <v>1153558660.1859212</v>
      </c>
      <c r="EB377" s="129">
        <f t="shared" si="1260"/>
        <v>1060327726.4248391</v>
      </c>
      <c r="EC377" s="129">
        <f t="shared" si="1260"/>
        <v>1231497548.2869132</v>
      </c>
      <c r="ED377" s="113" t="s">
        <v>1</v>
      </c>
    </row>
    <row r="378" spans="1:134" x14ac:dyDescent="0.2">
      <c r="A378" s="114" t="s">
        <v>191</v>
      </c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29">
        <v>3655563.01</v>
      </c>
      <c r="AC378" s="129">
        <v>3972387</v>
      </c>
      <c r="AD378" s="129">
        <v>4122520.4</v>
      </c>
      <c r="AE378" s="129">
        <v>3482649.1</v>
      </c>
      <c r="AF378" s="129">
        <v>3286270</v>
      </c>
      <c r="AG378" s="129">
        <v>3164743</v>
      </c>
      <c r="AH378" s="129">
        <v>3181133</v>
      </c>
      <c r="AI378" s="129">
        <v>3167770</v>
      </c>
      <c r="AJ378" s="129">
        <v>2816768</v>
      </c>
      <c r="AK378" s="129">
        <v>3828115</v>
      </c>
      <c r="AL378" s="129">
        <v>2399609</v>
      </c>
      <c r="AM378" s="129">
        <v>0</v>
      </c>
      <c r="AN378" s="129">
        <v>4316723</v>
      </c>
      <c r="AO378" s="129">
        <v>6004305</v>
      </c>
      <c r="AP378" s="129">
        <v>5531798</v>
      </c>
      <c r="AQ378" s="129">
        <v>6811484</v>
      </c>
      <c r="AR378" s="129">
        <v>6477790</v>
      </c>
      <c r="AS378" s="129">
        <v>6832610</v>
      </c>
      <c r="AT378" s="129">
        <v>9801213.9399999995</v>
      </c>
      <c r="AU378" s="129">
        <v>9717463</v>
      </c>
      <c r="AV378" s="129">
        <v>9709837</v>
      </c>
      <c r="AW378" s="129">
        <v>8969038</v>
      </c>
      <c r="AX378" s="129">
        <v>11077045</v>
      </c>
      <c r="AY378" s="129">
        <v>12723867</v>
      </c>
      <c r="AZ378" s="129">
        <v>12864451</v>
      </c>
      <c r="BA378" s="129">
        <v>15111163</v>
      </c>
      <c r="BB378" s="129">
        <v>15860874</v>
      </c>
      <c r="BC378" s="129">
        <v>14892958</v>
      </c>
      <c r="BD378" s="129">
        <v>14209739</v>
      </c>
      <c r="BE378" s="129">
        <v>14997847</v>
      </c>
      <c r="BF378" s="129">
        <v>15114599</v>
      </c>
      <c r="BG378" s="129">
        <v>16055224</v>
      </c>
      <c r="BH378" s="129">
        <v>15120818</v>
      </c>
      <c r="BI378" s="129">
        <v>15916436</v>
      </c>
      <c r="BJ378" s="129">
        <v>16455088</v>
      </c>
      <c r="BK378" s="129">
        <v>17261755</v>
      </c>
      <c r="BL378" s="129">
        <v>18137287</v>
      </c>
      <c r="BM378" s="129">
        <v>19516288</v>
      </c>
      <c r="BN378" s="129">
        <v>19725098</v>
      </c>
      <c r="BO378" s="129">
        <v>17099249</v>
      </c>
      <c r="BP378" s="129">
        <v>17511393</v>
      </c>
      <c r="BQ378" s="129">
        <v>14560657</v>
      </c>
      <c r="BR378" s="129">
        <v>14625126</v>
      </c>
      <c r="BS378" s="129">
        <v>14384434</v>
      </c>
      <c r="BT378" s="129">
        <v>14500412</v>
      </c>
      <c r="BU378" s="129">
        <v>16891021</v>
      </c>
      <c r="BV378" s="129">
        <v>17959708</v>
      </c>
      <c r="BW378" s="129">
        <v>19262795</v>
      </c>
      <c r="BX378" s="129">
        <v>20797660</v>
      </c>
      <c r="BY378" s="129">
        <v>22174516.800000001</v>
      </c>
      <c r="BZ378" s="129">
        <v>21618496</v>
      </c>
      <c r="CA378" s="129">
        <v>20817939</v>
      </c>
      <c r="CB378" s="129">
        <v>21207667.68</v>
      </c>
      <c r="CC378" s="129">
        <v>19255836.920000002</v>
      </c>
      <c r="CD378" s="129">
        <v>22400620.879999999</v>
      </c>
      <c r="CE378" s="129">
        <v>21300170.48</v>
      </c>
      <c r="CF378" s="129">
        <v>18619942.399999999</v>
      </c>
      <c r="CG378" s="129">
        <v>24707878.719999999</v>
      </c>
      <c r="CH378" s="129">
        <v>22799477</v>
      </c>
      <c r="CI378" s="129">
        <v>23528850</v>
      </c>
      <c r="CJ378" s="129">
        <v>23644259.399999999</v>
      </c>
      <c r="CK378" s="129">
        <v>26714167.710000001</v>
      </c>
      <c r="CL378" s="129">
        <v>30017121.27</v>
      </c>
      <c r="CM378" s="129">
        <v>25148103.829999998</v>
      </c>
      <c r="CN378" s="129">
        <v>25669120.719999999</v>
      </c>
      <c r="CO378" s="129">
        <v>26616200.09</v>
      </c>
      <c r="CP378" s="129">
        <v>32153333.34</v>
      </c>
      <c r="CQ378" s="129">
        <v>31872046.09</v>
      </c>
      <c r="CR378" s="129">
        <v>31154044.84</v>
      </c>
      <c r="CS378" s="129">
        <v>53076996.660000004</v>
      </c>
      <c r="CT378" s="129">
        <f>AVERAGE(CH378:CS378)/AVERAGE(CH482:CS482)*CT482*(1+CT385)</f>
        <v>33804798.704594932</v>
      </c>
      <c r="CU378" s="129">
        <f t="shared" ref="CU378:EC378" si="1261">CT378/CT482*CU482*(1+CU385)</f>
        <v>34088872.643289007</v>
      </c>
      <c r="CV378" s="129">
        <f t="shared" si="1261"/>
        <v>34514983.551330119</v>
      </c>
      <c r="CW378" s="129">
        <f t="shared" si="1261"/>
        <v>34799057.490024194</v>
      </c>
      <c r="CX378" s="129">
        <f t="shared" si="1261"/>
        <v>35225168.398065306</v>
      </c>
      <c r="CY378" s="129">
        <f t="shared" si="1261"/>
        <v>35793316.275453456</v>
      </c>
      <c r="CZ378" s="129">
        <f t="shared" si="1261"/>
        <v>36077390.21414753</v>
      </c>
      <c r="DA378" s="129">
        <f t="shared" si="1261"/>
        <v>36503501.122188643</v>
      </c>
      <c r="DB378" s="129">
        <f t="shared" si="1261"/>
        <v>36787575.060882717</v>
      </c>
      <c r="DC378" s="129">
        <f t="shared" si="1261"/>
        <v>37071648.999576792</v>
      </c>
      <c r="DD378" s="129">
        <f t="shared" si="1261"/>
        <v>37497759.907617904</v>
      </c>
      <c r="DE378" s="129">
        <f t="shared" si="1261"/>
        <v>38065907.785006054</v>
      </c>
      <c r="DF378" s="129">
        <f t="shared" si="1261"/>
        <v>38349981.723700128</v>
      </c>
      <c r="DG378" s="129">
        <f t="shared" si="1261"/>
        <v>38776092.631741241</v>
      </c>
      <c r="DH378" s="129">
        <f t="shared" si="1261"/>
        <v>39060166.570435315</v>
      </c>
      <c r="DI378" s="129">
        <f t="shared" si="1261"/>
        <v>39344240.50912939</v>
      </c>
      <c r="DJ378" s="129">
        <f t="shared" si="1261"/>
        <v>39770351.417170502</v>
      </c>
      <c r="DK378" s="129">
        <f t="shared" si="1261"/>
        <v>40338499.294558659</v>
      </c>
      <c r="DL378" s="129">
        <f t="shared" si="1261"/>
        <v>40480536.263905697</v>
      </c>
      <c r="DM378" s="129">
        <f t="shared" si="1261"/>
        <v>40764610.202599771</v>
      </c>
      <c r="DN378" s="129">
        <f t="shared" si="1261"/>
        <v>40906647.171946809</v>
      </c>
      <c r="DO378" s="129">
        <f t="shared" si="1261"/>
        <v>41048684.141293846</v>
      </c>
      <c r="DP378" s="129">
        <f t="shared" si="1261"/>
        <v>41332758.079987921</v>
      </c>
      <c r="DQ378" s="129">
        <f t="shared" si="1261"/>
        <v>41474795.049334958</v>
      </c>
      <c r="DR378" s="129">
        <f t="shared" si="1261"/>
        <v>41758868.988029033</v>
      </c>
      <c r="DS378" s="129">
        <f t="shared" si="1261"/>
        <v>42184979.896070145</v>
      </c>
      <c r="DT378" s="129">
        <f t="shared" si="1261"/>
        <v>42469053.83476422</v>
      </c>
      <c r="DU378" s="129">
        <f t="shared" si="1261"/>
        <v>42753127.773458295</v>
      </c>
      <c r="DV378" s="129">
        <f t="shared" si="1261"/>
        <v>43179238.681499407</v>
      </c>
      <c r="DW378" s="129">
        <f t="shared" si="1261"/>
        <v>43747386.558887556</v>
      </c>
      <c r="DX378" s="129">
        <f t="shared" si="1261"/>
        <v>43889423.528234594</v>
      </c>
      <c r="DY378" s="129">
        <f t="shared" si="1261"/>
        <v>44173497.466928668</v>
      </c>
      <c r="DZ378" s="129">
        <f t="shared" si="1261"/>
        <v>44315534.436275706</v>
      </c>
      <c r="EA378" s="129">
        <f t="shared" si="1261"/>
        <v>44457571.405622743</v>
      </c>
      <c r="EB378" s="129">
        <f t="shared" si="1261"/>
        <v>44741645.344316818</v>
      </c>
      <c r="EC378" s="129">
        <f t="shared" si="1261"/>
        <v>44883682.313663855</v>
      </c>
      <c r="ED378" s="113" t="s">
        <v>1</v>
      </c>
    </row>
    <row r="379" spans="1:134" x14ac:dyDescent="0.2">
      <c r="A379" s="114" t="s">
        <v>140</v>
      </c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29">
        <v>139995</v>
      </c>
      <c r="AC379" s="129">
        <v>130583</v>
      </c>
      <c r="AD379" s="129">
        <v>211030.11</v>
      </c>
      <c r="AE379" s="129">
        <v>280392.7</v>
      </c>
      <c r="AF379" s="129">
        <v>263038.33999999997</v>
      </c>
      <c r="AG379" s="129">
        <v>288011</v>
      </c>
      <c r="AH379" s="129">
        <v>326660.40999999997</v>
      </c>
      <c r="AI379" s="129">
        <v>380448.66</v>
      </c>
      <c r="AJ379" s="129">
        <v>1068448.0000000012</v>
      </c>
      <c r="AK379" s="129">
        <v>690620.97</v>
      </c>
      <c r="AL379" s="129">
        <v>355144.12999999995</v>
      </c>
      <c r="AM379" s="129">
        <v>7394.56</v>
      </c>
      <c r="AN379" s="129">
        <v>381400.91</v>
      </c>
      <c r="AO379" s="129">
        <v>690731.45999999985</v>
      </c>
      <c r="AP379" s="129">
        <v>1692256.2799999998</v>
      </c>
      <c r="AQ379" s="129">
        <v>2261966</v>
      </c>
      <c r="AR379" s="129">
        <v>2200532.34</v>
      </c>
      <c r="AS379" s="129">
        <v>2481711.3600000069</v>
      </c>
      <c r="AT379" s="129">
        <v>3516829.4000000134</v>
      </c>
      <c r="AU379" s="129">
        <v>3327378.7500000014</v>
      </c>
      <c r="AV379" s="129">
        <v>3297593.2400000012</v>
      </c>
      <c r="AW379" s="129">
        <v>4590340.3</v>
      </c>
      <c r="AX379" s="129">
        <v>3365729.9800000028</v>
      </c>
      <c r="AY379" s="129">
        <v>3434800.1800000006</v>
      </c>
      <c r="AZ379" s="129">
        <v>4271422.5699999984</v>
      </c>
      <c r="BA379" s="129">
        <v>4682823.1799999941</v>
      </c>
      <c r="BB379" s="129">
        <v>5562427.9199999981</v>
      </c>
      <c r="BC379" s="129">
        <v>6129963.5099999988</v>
      </c>
      <c r="BD379" s="129">
        <v>5796594.3199999984</v>
      </c>
      <c r="BE379" s="129">
        <v>4874997.2500000009</v>
      </c>
      <c r="BF379" s="129">
        <v>5097970.09</v>
      </c>
      <c r="BG379" s="129">
        <v>6190607.1099999994</v>
      </c>
      <c r="BH379" s="129">
        <v>6830862.9200000018</v>
      </c>
      <c r="BI379" s="129">
        <v>6984016.4199999981</v>
      </c>
      <c r="BJ379" s="129">
        <v>7349546.7295000069</v>
      </c>
      <c r="BK379" s="129">
        <v>7704730.9999999972</v>
      </c>
      <c r="BL379" s="129">
        <v>8332583.6100000208</v>
      </c>
      <c r="BM379" s="129">
        <v>7852523.799999997</v>
      </c>
      <c r="BN379" s="129">
        <v>11524611.862000061</v>
      </c>
      <c r="BO379" s="129">
        <v>10911642.03036</v>
      </c>
      <c r="BP379" s="129">
        <v>14592059.921699986</v>
      </c>
      <c r="BQ379" s="129">
        <v>9410611.1639403459</v>
      </c>
      <c r="BR379" s="129">
        <v>7998772.8309600148</v>
      </c>
      <c r="BS379" s="129">
        <v>6996222.9099956984</v>
      </c>
      <c r="BT379" s="129">
        <v>7817587.362155214</v>
      </c>
      <c r="BU379" s="129">
        <v>8683562.9899719376</v>
      </c>
      <c r="BV379" s="129">
        <v>9111728.1199725587</v>
      </c>
      <c r="BW379" s="129">
        <v>9127250.1202107016</v>
      </c>
      <c r="BX379" s="129">
        <v>10420444.005038187</v>
      </c>
      <c r="BY379" s="129">
        <v>10181951.950004138</v>
      </c>
      <c r="BZ379" s="129">
        <v>10079078.859999996</v>
      </c>
      <c r="CA379" s="129">
        <v>8943995.9066176694</v>
      </c>
      <c r="CB379" s="129">
        <v>12584863.181587428</v>
      </c>
      <c r="CC379" s="129">
        <v>10218573.700000005</v>
      </c>
      <c r="CD379" s="129">
        <v>12172164.756187756</v>
      </c>
      <c r="CE379" s="129">
        <v>12836897.339999899</v>
      </c>
      <c r="CF379" s="129">
        <v>11862725.789999932</v>
      </c>
      <c r="CG379" s="129">
        <v>13723129</v>
      </c>
      <c r="CH379" s="129">
        <v>12891538.179999998</v>
      </c>
      <c r="CI379" s="129">
        <v>13682947.109999994</v>
      </c>
      <c r="CJ379" s="129">
        <v>10601572.589999892</v>
      </c>
      <c r="CK379" s="129">
        <v>12860489.880000001</v>
      </c>
      <c r="CL379" s="129">
        <v>11648342.560000001</v>
      </c>
      <c r="CM379" s="129">
        <v>14231244.24</v>
      </c>
      <c r="CN379" s="129">
        <v>19959634.460000001</v>
      </c>
      <c r="CO379" s="129">
        <v>17602546.419999998</v>
      </c>
      <c r="CP379" s="129">
        <v>22515870.890000023</v>
      </c>
      <c r="CQ379" s="129">
        <v>19102775.490000013</v>
      </c>
      <c r="CR379" s="129">
        <v>18503582.590000022</v>
      </c>
      <c r="CS379" s="129">
        <v>21766579.370000031</v>
      </c>
      <c r="CT379" s="129">
        <f>AVERAGE(CH379:CS379)/AVERAGE(CH482:CS482)*CT482*(1+CT385)</f>
        <v>18741384.707634021</v>
      </c>
      <c r="CU379" s="129">
        <f t="shared" ref="CU379:EC379" si="1262">CT379/CT482*(CU482*(1+CU385))</f>
        <v>18898875.335429266</v>
      </c>
      <c r="CV379" s="129">
        <f t="shared" si="1262"/>
        <v>19135111.277122132</v>
      </c>
      <c r="CW379" s="129">
        <f t="shared" si="1262"/>
        <v>19292601.904917378</v>
      </c>
      <c r="CX379" s="129">
        <f t="shared" si="1262"/>
        <v>19528837.846610244</v>
      </c>
      <c r="CY379" s="129">
        <f t="shared" si="1262"/>
        <v>19843819.102200732</v>
      </c>
      <c r="CZ379" s="129">
        <f t="shared" si="1262"/>
        <v>20001309.729995973</v>
      </c>
      <c r="DA379" s="129">
        <f t="shared" si="1262"/>
        <v>20237545.67168884</v>
      </c>
      <c r="DB379" s="129">
        <f t="shared" si="1262"/>
        <v>20395036.299484085</v>
      </c>
      <c r="DC379" s="129">
        <f t="shared" si="1262"/>
        <v>20552526.927279327</v>
      </c>
      <c r="DD379" s="129">
        <f t="shared" si="1262"/>
        <v>20788762.868972193</v>
      </c>
      <c r="DE379" s="129">
        <f t="shared" si="1262"/>
        <v>21103744.124562681</v>
      </c>
      <c r="DF379" s="129">
        <f t="shared" si="1262"/>
        <v>21261234.752357926</v>
      </c>
      <c r="DG379" s="129">
        <f t="shared" si="1262"/>
        <v>21497470.694050793</v>
      </c>
      <c r="DH379" s="129">
        <f t="shared" si="1262"/>
        <v>21654961.321846034</v>
      </c>
      <c r="DI379" s="129">
        <f t="shared" si="1262"/>
        <v>21812451.94964128</v>
      </c>
      <c r="DJ379" s="129">
        <f t="shared" si="1262"/>
        <v>22048687.891334146</v>
      </c>
      <c r="DK379" s="129">
        <f t="shared" si="1262"/>
        <v>22363669.146924634</v>
      </c>
      <c r="DL379" s="129">
        <f t="shared" si="1262"/>
        <v>22442414.460822254</v>
      </c>
      <c r="DM379" s="129">
        <f t="shared" si="1262"/>
        <v>22599905.0886175</v>
      </c>
      <c r="DN379" s="129">
        <f t="shared" si="1262"/>
        <v>22678650.402515121</v>
      </c>
      <c r="DO379" s="129">
        <f t="shared" si="1262"/>
        <v>22757395.716412742</v>
      </c>
      <c r="DP379" s="129">
        <f t="shared" si="1262"/>
        <v>22914886.344207987</v>
      </c>
      <c r="DQ379" s="129">
        <f t="shared" si="1262"/>
        <v>22993631.658105608</v>
      </c>
      <c r="DR379" s="129">
        <f t="shared" si="1262"/>
        <v>23151122.285900854</v>
      </c>
      <c r="DS379" s="129">
        <f t="shared" si="1262"/>
        <v>23387358.22759372</v>
      </c>
      <c r="DT379" s="129">
        <f t="shared" si="1262"/>
        <v>23544848.855388962</v>
      </c>
      <c r="DU379" s="129">
        <f t="shared" si="1262"/>
        <v>23702339.483184207</v>
      </c>
      <c r="DV379" s="129">
        <f t="shared" si="1262"/>
        <v>23938575.424877074</v>
      </c>
      <c r="DW379" s="129">
        <f t="shared" si="1262"/>
        <v>24253556.680467561</v>
      </c>
      <c r="DX379" s="129">
        <f t="shared" si="1262"/>
        <v>24332301.994365182</v>
      </c>
      <c r="DY379" s="129">
        <f t="shared" si="1262"/>
        <v>24489792.622160427</v>
      </c>
      <c r="DZ379" s="129">
        <f t="shared" si="1262"/>
        <v>24568537.936058048</v>
      </c>
      <c r="EA379" s="129">
        <f t="shared" si="1262"/>
        <v>24647283.249955669</v>
      </c>
      <c r="EB379" s="129">
        <f t="shared" si="1262"/>
        <v>24804773.877750915</v>
      </c>
      <c r="EC379" s="129">
        <f t="shared" si="1262"/>
        <v>24883519.191648535</v>
      </c>
      <c r="ED379" s="113" t="s">
        <v>1</v>
      </c>
    </row>
    <row r="380" spans="1:134" x14ac:dyDescent="0.2">
      <c r="A380" s="114" t="s">
        <v>158</v>
      </c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29"/>
      <c r="AC380" s="129">
        <v>0</v>
      </c>
      <c r="AD380" s="129">
        <v>0</v>
      </c>
      <c r="AE380" s="129">
        <v>0</v>
      </c>
      <c r="AF380" s="129">
        <v>0</v>
      </c>
      <c r="AG380" s="129">
        <v>0</v>
      </c>
      <c r="AH380" s="129">
        <v>0</v>
      </c>
      <c r="AI380" s="129">
        <v>0</v>
      </c>
      <c r="AJ380" s="129">
        <v>0</v>
      </c>
      <c r="AK380" s="129">
        <v>0</v>
      </c>
      <c r="AL380" s="129">
        <v>0</v>
      </c>
      <c r="AM380" s="129">
        <v>0</v>
      </c>
      <c r="AN380" s="129">
        <v>0</v>
      </c>
      <c r="AO380" s="129">
        <v>0</v>
      </c>
      <c r="AP380" s="129">
        <v>0</v>
      </c>
      <c r="AQ380" s="129">
        <v>0</v>
      </c>
      <c r="AR380" s="129">
        <v>0</v>
      </c>
      <c r="AS380" s="129">
        <v>0</v>
      </c>
      <c r="AT380" s="129">
        <v>0</v>
      </c>
      <c r="AU380" s="129">
        <v>0</v>
      </c>
      <c r="AV380" s="129">
        <v>0</v>
      </c>
      <c r="AW380" s="129">
        <v>0</v>
      </c>
      <c r="AX380" s="129">
        <v>0</v>
      </c>
      <c r="AY380" s="129">
        <v>0</v>
      </c>
      <c r="AZ380" s="129">
        <v>0</v>
      </c>
      <c r="BA380" s="129">
        <v>0</v>
      </c>
      <c r="BB380" s="129">
        <v>0</v>
      </c>
      <c r="BC380" s="129">
        <v>0</v>
      </c>
      <c r="BD380" s="129">
        <v>0</v>
      </c>
      <c r="BE380" s="129">
        <v>0</v>
      </c>
      <c r="BF380" s="129">
        <v>0</v>
      </c>
      <c r="BG380" s="129">
        <v>0</v>
      </c>
      <c r="BH380" s="129">
        <v>0</v>
      </c>
      <c r="BI380" s="129">
        <v>0</v>
      </c>
      <c r="BJ380" s="129">
        <v>0</v>
      </c>
      <c r="BK380" s="129">
        <v>0</v>
      </c>
      <c r="BL380" s="129">
        <v>0</v>
      </c>
      <c r="BM380" s="129">
        <v>0</v>
      </c>
      <c r="BN380" s="129">
        <v>0</v>
      </c>
      <c r="BO380" s="129">
        <v>0</v>
      </c>
      <c r="BP380" s="129">
        <v>0</v>
      </c>
      <c r="BQ380" s="129">
        <v>0</v>
      </c>
      <c r="BR380" s="129">
        <v>0</v>
      </c>
      <c r="BS380" s="129">
        <v>0</v>
      </c>
      <c r="BT380" s="129">
        <v>0</v>
      </c>
      <c r="BU380" s="129">
        <v>0</v>
      </c>
      <c r="BV380" s="129">
        <v>0</v>
      </c>
      <c r="BW380" s="129">
        <v>0</v>
      </c>
      <c r="BX380" s="129">
        <v>0</v>
      </c>
      <c r="BY380" s="129">
        <v>0</v>
      </c>
      <c r="BZ380" s="129">
        <v>0</v>
      </c>
      <c r="CA380" s="129">
        <v>0</v>
      </c>
      <c r="CB380" s="129">
        <v>0</v>
      </c>
      <c r="CC380" s="129">
        <v>0</v>
      </c>
      <c r="CD380" s="129">
        <v>0</v>
      </c>
      <c r="CE380" s="129">
        <v>0</v>
      </c>
      <c r="CF380" s="129">
        <v>0</v>
      </c>
      <c r="CG380" s="129">
        <v>0</v>
      </c>
      <c r="CH380" s="129">
        <v>0</v>
      </c>
      <c r="CI380" s="129">
        <v>0</v>
      </c>
      <c r="CJ380" s="129">
        <v>0</v>
      </c>
      <c r="CK380" s="129">
        <v>0</v>
      </c>
      <c r="CL380" s="129">
        <v>0</v>
      </c>
      <c r="CM380" s="129">
        <v>0</v>
      </c>
      <c r="CN380" s="129">
        <v>2627342</v>
      </c>
      <c r="CO380" s="129">
        <v>2446488</v>
      </c>
      <c r="CP380" s="129">
        <v>3160377</v>
      </c>
      <c r="CQ380" s="129">
        <v>3881565</v>
      </c>
      <c r="CR380" s="129">
        <v>3316295</v>
      </c>
      <c r="CS380" s="129">
        <v>3255428</v>
      </c>
      <c r="CT380" s="129">
        <f>SUM(CT377:CT379)*CT382</f>
        <v>2778966.531005173</v>
      </c>
      <c r="CU380" s="129">
        <f>SUM(CU377:CU379)*CU382</f>
        <v>2720922.0751860761</v>
      </c>
      <c r="CV380" s="129">
        <f t="shared" ref="CV380:EC380" si="1263">SUM(CV377:CV379)*CV382</f>
        <v>2714984.6363282464</v>
      </c>
      <c r="CW380" s="129">
        <f t="shared" si="1263"/>
        <v>2941340.1129061743</v>
      </c>
      <c r="CX380" s="129">
        <f t="shared" si="1263"/>
        <v>2625728.8270143736</v>
      </c>
      <c r="CY380" s="129">
        <f t="shared" si="1263"/>
        <v>2436581.7017563274</v>
      </c>
      <c r="CZ380" s="129">
        <f t="shared" si="1263"/>
        <v>3044852.0597252287</v>
      </c>
      <c r="DA380" s="129">
        <f t="shared" si="1263"/>
        <v>2802350.5139000025</v>
      </c>
      <c r="DB380" s="129">
        <f t="shared" si="1263"/>
        <v>3337287.4712808109</v>
      </c>
      <c r="DC380" s="129">
        <f t="shared" si="1263"/>
        <v>3419592.2594715077</v>
      </c>
      <c r="DD380" s="129">
        <f t="shared" si="1263"/>
        <v>3178253.991055123</v>
      </c>
      <c r="DE380" s="129">
        <f t="shared" si="1263"/>
        <v>3700111.4152501407</v>
      </c>
      <c r="DF380" s="129">
        <f t="shared" si="1263"/>
        <v>3391183.146836882</v>
      </c>
      <c r="DG380" s="129">
        <f t="shared" si="1263"/>
        <v>3328727.7190598743</v>
      </c>
      <c r="DH380" s="129">
        <f t="shared" si="1263"/>
        <v>3304219.6755847856</v>
      </c>
      <c r="DI380" s="129">
        <f t="shared" si="1263"/>
        <v>3577704.9559382559</v>
      </c>
      <c r="DJ380" s="129">
        <f t="shared" si="1263"/>
        <v>3187098.2326696552</v>
      </c>
      <c r="DK380" s="129">
        <f t="shared" si="1263"/>
        <v>2950471.2278879234</v>
      </c>
      <c r="DL380" s="129">
        <f t="shared" si="1263"/>
        <v>3675526.210190767</v>
      </c>
      <c r="DM380" s="129">
        <f t="shared" si="1263"/>
        <v>3365005.3936307295</v>
      </c>
      <c r="DN380" s="129">
        <f t="shared" si="1263"/>
        <v>3993816.0508748232</v>
      </c>
      <c r="DO380" s="129">
        <f t="shared" si="1263"/>
        <v>4075384.506064448</v>
      </c>
      <c r="DP380" s="129">
        <f t="shared" si="1263"/>
        <v>3769030.0017871587</v>
      </c>
      <c r="DQ380" s="129">
        <f t="shared" si="1263"/>
        <v>4340169.1716484381</v>
      </c>
      <c r="DR380" s="129">
        <f t="shared" si="1263"/>
        <v>3864985.3064712896</v>
      </c>
      <c r="DS380" s="129">
        <f t="shared" si="1263"/>
        <v>3790038.6765308622</v>
      </c>
      <c r="DT380" s="129">
        <f t="shared" si="1263"/>
        <v>3759741.2806722517</v>
      </c>
      <c r="DU380" s="129">
        <f t="shared" si="1263"/>
        <v>4069511.4371218691</v>
      </c>
      <c r="DV380" s="129">
        <f t="shared" si="1263"/>
        <v>3620607.3011527751</v>
      </c>
      <c r="DW380" s="129">
        <f t="shared" si="1263"/>
        <v>3346945.578012723</v>
      </c>
      <c r="DX380" s="129">
        <f t="shared" si="1263"/>
        <v>4171403.1034171567</v>
      </c>
      <c r="DY380" s="129">
        <f t="shared" si="1263"/>
        <v>3815742.7859013085</v>
      </c>
      <c r="DZ380" s="129">
        <f t="shared" si="1263"/>
        <v>4529947.2663034108</v>
      </c>
      <c r="EA380" s="129">
        <f t="shared" si="1263"/>
        <v>4621455.7614540868</v>
      </c>
      <c r="EB380" s="129">
        <f t="shared" si="1263"/>
        <v>4270728.0594651783</v>
      </c>
      <c r="EC380" s="129">
        <f t="shared" si="1263"/>
        <v>4918554.7798766075</v>
      </c>
      <c r="ED380" s="113" t="s">
        <v>1</v>
      </c>
    </row>
    <row r="381" spans="1:134" x14ac:dyDescent="0.2">
      <c r="A381" s="114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29"/>
      <c r="AM381" s="129"/>
      <c r="AN381" s="129"/>
      <c r="AO381" s="129"/>
      <c r="AP381" s="129"/>
      <c r="AQ381" s="129"/>
      <c r="AR381" s="129"/>
      <c r="AS381" s="129"/>
      <c r="AT381" s="129"/>
      <c r="AU381" s="129"/>
      <c r="AV381" s="129"/>
      <c r="AW381" s="129"/>
      <c r="AX381" s="129"/>
      <c r="AY381" s="129"/>
      <c r="AZ381" s="129"/>
      <c r="BA381" s="129"/>
      <c r="BB381" s="129"/>
      <c r="BC381" s="129"/>
      <c r="BD381" s="129"/>
      <c r="BE381" s="129"/>
      <c r="BF381" s="129"/>
      <c r="BG381" s="129"/>
      <c r="BH381" s="129"/>
      <c r="BI381" s="129"/>
      <c r="BJ381" s="129"/>
      <c r="BK381" s="129"/>
      <c r="BL381" s="129"/>
      <c r="BM381" s="129"/>
      <c r="BN381" s="129"/>
      <c r="BO381" s="129"/>
      <c r="BP381" s="129"/>
      <c r="BQ381" s="129"/>
      <c r="BR381" s="129"/>
      <c r="BS381" s="129"/>
      <c r="BT381" s="129"/>
      <c r="BU381" s="129"/>
      <c r="BV381" s="129"/>
      <c r="BW381" s="129"/>
      <c r="BX381" s="129"/>
      <c r="BY381" s="129"/>
      <c r="BZ381" s="129"/>
      <c r="CA381" s="129"/>
      <c r="CB381" s="129"/>
      <c r="CC381" s="129"/>
      <c r="CD381" s="129"/>
      <c r="CE381" s="129"/>
      <c r="CF381" s="129"/>
      <c r="CG381" s="129"/>
      <c r="CH381" s="129"/>
      <c r="CI381" s="129"/>
      <c r="CJ381" s="129"/>
      <c r="CK381" s="129"/>
      <c r="CL381" s="129"/>
      <c r="CM381" s="129"/>
      <c r="CN381" s="129"/>
      <c r="CO381" s="129"/>
      <c r="CP381" s="129"/>
      <c r="CQ381" s="129"/>
      <c r="CR381" s="129"/>
      <c r="CS381" s="129"/>
      <c r="CT381" s="129"/>
      <c r="CU381" s="129"/>
      <c r="CV381" s="129"/>
      <c r="CW381" s="129"/>
      <c r="CX381" s="129"/>
      <c r="CY381" s="129"/>
      <c r="CZ381" s="129"/>
      <c r="DA381" s="129"/>
      <c r="DB381" s="129"/>
      <c r="DC381" s="129"/>
      <c r="DD381" s="129"/>
      <c r="DE381" s="129"/>
      <c r="DF381" s="129"/>
      <c r="DG381" s="129"/>
      <c r="DH381" s="129"/>
      <c r="DI381" s="129"/>
      <c r="DJ381" s="129"/>
      <c r="DK381" s="129"/>
      <c r="DL381" s="129"/>
      <c r="DM381" s="129"/>
      <c r="DN381" s="129"/>
      <c r="DO381" s="129"/>
      <c r="DP381" s="129"/>
      <c r="DQ381" s="129"/>
      <c r="DR381" s="129"/>
      <c r="DS381" s="129"/>
      <c r="DT381" s="129"/>
      <c r="DU381" s="129"/>
      <c r="DV381" s="129"/>
      <c r="DW381" s="129"/>
      <c r="DX381" s="129"/>
      <c r="DY381" s="129"/>
      <c r="DZ381" s="129"/>
      <c r="EA381" s="129"/>
      <c r="EB381" s="129"/>
      <c r="EC381" s="644"/>
    </row>
    <row r="382" spans="1:134" x14ac:dyDescent="0.2">
      <c r="A382" s="114" t="s">
        <v>591</v>
      </c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29"/>
      <c r="AM382" s="129"/>
      <c r="AN382" s="129"/>
      <c r="AO382" s="129"/>
      <c r="AP382" s="129"/>
      <c r="AQ382" s="129"/>
      <c r="AR382" s="129"/>
      <c r="AS382" s="129"/>
      <c r="AT382" s="129"/>
      <c r="AU382" s="129"/>
      <c r="AV382" s="129"/>
      <c r="AW382" s="129"/>
      <c r="AX382" s="129"/>
      <c r="AY382" s="129"/>
      <c r="AZ382" s="129"/>
      <c r="BA382" s="129"/>
      <c r="BB382" s="129"/>
      <c r="BC382" s="129"/>
      <c r="BD382" s="129"/>
      <c r="BE382" s="129"/>
      <c r="BF382" s="129"/>
      <c r="BG382" s="129"/>
      <c r="BH382" s="129"/>
      <c r="BI382" s="129"/>
      <c r="BJ382" s="129"/>
      <c r="BK382" s="129"/>
      <c r="BL382" s="129"/>
      <c r="BM382" s="129"/>
      <c r="BN382" s="129"/>
      <c r="BO382" s="129"/>
      <c r="BP382" s="129"/>
      <c r="BQ382" s="129"/>
      <c r="BR382" s="129"/>
      <c r="BS382" s="129"/>
      <c r="BT382" s="129"/>
      <c r="BU382" s="129"/>
      <c r="BV382" s="129"/>
      <c r="BW382" s="129"/>
      <c r="BX382" s="129"/>
      <c r="BY382" s="129"/>
      <c r="BZ382" s="129"/>
      <c r="CA382" s="129"/>
      <c r="CB382" s="129"/>
      <c r="CC382" s="129"/>
      <c r="CD382" s="129"/>
      <c r="CE382" s="129"/>
      <c r="CF382" s="129"/>
      <c r="CG382" s="129"/>
      <c r="CH382" s="129"/>
      <c r="CI382" s="129"/>
      <c r="CJ382" s="129"/>
      <c r="CK382" s="129"/>
      <c r="CL382" s="129"/>
      <c r="CM382" s="129"/>
      <c r="CN382" s="727">
        <f>CN380/SUM(CN377:CN379)</f>
        <v>4.2026444337662297E-3</v>
      </c>
      <c r="CO382" s="727">
        <f t="shared" ref="CO382:CS382" si="1264">CO380/SUM(CO377:CO379)</f>
        <v>4.3312141889849413E-3</v>
      </c>
      <c r="CP382" s="727">
        <f t="shared" si="1264"/>
        <v>4.5318237778887325E-3</v>
      </c>
      <c r="CQ382" s="727">
        <f t="shared" si="1264"/>
        <v>5.2136276916115235E-3</v>
      </c>
      <c r="CR382" s="727">
        <f t="shared" si="1264"/>
        <v>4.6059172775947269E-3</v>
      </c>
      <c r="CS382" s="727">
        <f t="shared" si="1264"/>
        <v>3.7798263425347983E-3</v>
      </c>
      <c r="CT382" s="734">
        <f>CS382</f>
        <v>3.7798263425347983E-3</v>
      </c>
      <c r="CU382" s="734">
        <f t="shared" ref="CU382:EC382" si="1265">CT382</f>
        <v>3.7798263425347983E-3</v>
      </c>
      <c r="CV382" s="734">
        <f t="shared" si="1265"/>
        <v>3.7798263425347983E-3</v>
      </c>
      <c r="CW382" s="734">
        <f t="shared" si="1265"/>
        <v>3.7798263425347983E-3</v>
      </c>
      <c r="CX382" s="734">
        <f t="shared" si="1265"/>
        <v>3.7798263425347983E-3</v>
      </c>
      <c r="CY382" s="734">
        <f t="shared" si="1265"/>
        <v>3.7798263425347983E-3</v>
      </c>
      <c r="CZ382" s="734">
        <f t="shared" si="1265"/>
        <v>3.7798263425347983E-3</v>
      </c>
      <c r="DA382" s="734">
        <f t="shared" si="1265"/>
        <v>3.7798263425347983E-3</v>
      </c>
      <c r="DB382" s="734">
        <f t="shared" si="1265"/>
        <v>3.7798263425347983E-3</v>
      </c>
      <c r="DC382" s="734">
        <f t="shared" si="1265"/>
        <v>3.7798263425347983E-3</v>
      </c>
      <c r="DD382" s="734">
        <f t="shared" si="1265"/>
        <v>3.7798263425347983E-3</v>
      </c>
      <c r="DE382" s="734">
        <f t="shared" si="1265"/>
        <v>3.7798263425347983E-3</v>
      </c>
      <c r="DF382" s="734">
        <f t="shared" si="1265"/>
        <v>3.7798263425347983E-3</v>
      </c>
      <c r="DG382" s="734">
        <f t="shared" si="1265"/>
        <v>3.7798263425347983E-3</v>
      </c>
      <c r="DH382" s="734">
        <f t="shared" si="1265"/>
        <v>3.7798263425347983E-3</v>
      </c>
      <c r="DI382" s="734">
        <f t="shared" si="1265"/>
        <v>3.7798263425347983E-3</v>
      </c>
      <c r="DJ382" s="734">
        <f t="shared" si="1265"/>
        <v>3.7798263425347983E-3</v>
      </c>
      <c r="DK382" s="734">
        <f t="shared" si="1265"/>
        <v>3.7798263425347983E-3</v>
      </c>
      <c r="DL382" s="734">
        <f t="shared" si="1265"/>
        <v>3.7798263425347983E-3</v>
      </c>
      <c r="DM382" s="734">
        <f t="shared" si="1265"/>
        <v>3.7798263425347983E-3</v>
      </c>
      <c r="DN382" s="734">
        <f t="shared" si="1265"/>
        <v>3.7798263425347983E-3</v>
      </c>
      <c r="DO382" s="734">
        <f t="shared" si="1265"/>
        <v>3.7798263425347983E-3</v>
      </c>
      <c r="DP382" s="734">
        <f t="shared" si="1265"/>
        <v>3.7798263425347983E-3</v>
      </c>
      <c r="DQ382" s="734">
        <f t="shared" si="1265"/>
        <v>3.7798263425347983E-3</v>
      </c>
      <c r="DR382" s="734">
        <f t="shared" si="1265"/>
        <v>3.7798263425347983E-3</v>
      </c>
      <c r="DS382" s="734">
        <f t="shared" si="1265"/>
        <v>3.7798263425347983E-3</v>
      </c>
      <c r="DT382" s="734">
        <f t="shared" si="1265"/>
        <v>3.7798263425347983E-3</v>
      </c>
      <c r="DU382" s="734">
        <f t="shared" si="1265"/>
        <v>3.7798263425347983E-3</v>
      </c>
      <c r="DV382" s="734">
        <f t="shared" si="1265"/>
        <v>3.7798263425347983E-3</v>
      </c>
      <c r="DW382" s="734">
        <f t="shared" si="1265"/>
        <v>3.7798263425347983E-3</v>
      </c>
      <c r="DX382" s="734">
        <f t="shared" si="1265"/>
        <v>3.7798263425347983E-3</v>
      </c>
      <c r="DY382" s="734">
        <f t="shared" si="1265"/>
        <v>3.7798263425347983E-3</v>
      </c>
      <c r="DZ382" s="734">
        <f t="shared" si="1265"/>
        <v>3.7798263425347983E-3</v>
      </c>
      <c r="EA382" s="734">
        <f t="shared" si="1265"/>
        <v>3.7798263425347983E-3</v>
      </c>
      <c r="EB382" s="734">
        <f t="shared" si="1265"/>
        <v>3.7798263425347983E-3</v>
      </c>
      <c r="EC382" s="734">
        <f t="shared" si="1265"/>
        <v>3.7798263425347983E-3</v>
      </c>
    </row>
    <row r="383" spans="1:134" x14ac:dyDescent="0.2">
      <c r="A383" s="114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29"/>
      <c r="AM383" s="129"/>
      <c r="AN383" s="129"/>
      <c r="AO383" s="129"/>
      <c r="AP383" s="129"/>
      <c r="AQ383" s="129"/>
      <c r="AR383" s="129"/>
      <c r="AS383" s="129"/>
      <c r="AT383" s="129"/>
      <c r="AU383" s="129"/>
      <c r="AV383" s="129"/>
      <c r="AW383" s="129"/>
      <c r="AX383" s="129"/>
      <c r="AY383" s="129"/>
      <c r="AZ383" s="129"/>
      <c r="BA383" s="129"/>
      <c r="BB383" s="129"/>
      <c r="BC383" s="129"/>
      <c r="BD383" s="129"/>
      <c r="BE383" s="129"/>
      <c r="BF383" s="129"/>
      <c r="BG383" s="129"/>
      <c r="BH383" s="129"/>
      <c r="BI383" s="129"/>
      <c r="BJ383" s="129"/>
      <c r="BK383" s="129"/>
      <c r="BL383" s="129"/>
      <c r="BM383" s="129"/>
      <c r="BN383" s="129"/>
      <c r="BO383" s="129"/>
      <c r="BP383" s="129"/>
      <c r="BQ383" s="129"/>
      <c r="BR383" s="129"/>
      <c r="BS383" s="129"/>
      <c r="BT383" s="129"/>
      <c r="BU383" s="129"/>
      <c r="BV383" s="129"/>
      <c r="BW383" s="129"/>
      <c r="BX383" s="129"/>
      <c r="BY383" s="129"/>
      <c r="BZ383" s="129"/>
      <c r="CA383" s="129"/>
      <c r="CB383" s="129"/>
      <c r="CC383" s="129"/>
      <c r="CD383" s="129"/>
      <c r="CE383" s="129"/>
      <c r="CF383" s="129"/>
      <c r="CG383" s="129"/>
      <c r="CH383" s="129"/>
      <c r="CI383" s="129"/>
      <c r="CJ383" s="129"/>
      <c r="CK383" s="129"/>
      <c r="CL383" s="129"/>
      <c r="CM383" s="129"/>
      <c r="CN383" s="129"/>
      <c r="CO383" s="129"/>
      <c r="CP383" s="129"/>
      <c r="CQ383" s="129"/>
      <c r="CR383" s="129"/>
      <c r="CS383" s="129"/>
      <c r="CT383" s="115"/>
      <c r="CU383" s="115"/>
      <c r="CV383" s="115"/>
      <c r="CW383" s="115"/>
      <c r="CX383" s="115"/>
      <c r="CY383" s="115"/>
      <c r="CZ383" s="115"/>
      <c r="DA383" s="115"/>
      <c r="DB383" s="115"/>
      <c r="DC383" s="115"/>
      <c r="DD383" s="115"/>
      <c r="DE383" s="115"/>
      <c r="DF383" s="115"/>
      <c r="DG383" s="115"/>
      <c r="DH383" s="115"/>
      <c r="DI383" s="115"/>
      <c r="DJ383" s="115"/>
      <c r="DK383" s="115"/>
      <c r="DL383" s="115"/>
      <c r="DM383" s="115"/>
      <c r="DN383" s="115"/>
      <c r="DO383" s="115"/>
      <c r="DP383" s="115"/>
      <c r="DQ383" s="115"/>
      <c r="DR383" s="115"/>
      <c r="DS383" s="115"/>
      <c r="DT383" s="115"/>
      <c r="DU383" s="115"/>
      <c r="DV383" s="115"/>
      <c r="DW383" s="115"/>
      <c r="DX383" s="115"/>
      <c r="DY383" s="115"/>
      <c r="DZ383" s="115"/>
      <c r="EA383" s="115"/>
      <c r="EB383" s="115"/>
      <c r="EC383" s="645"/>
      <c r="ED383" s="113" t="s">
        <v>1</v>
      </c>
    </row>
    <row r="384" spans="1:134" x14ac:dyDescent="0.2">
      <c r="A384" s="114" t="s">
        <v>590</v>
      </c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29">
        <v>2038</v>
      </c>
      <c r="AC384" s="129">
        <v>2032</v>
      </c>
      <c r="AD384" s="129">
        <v>2469</v>
      </c>
      <c r="AE384" s="129">
        <v>2657</v>
      </c>
      <c r="AF384" s="129">
        <v>2604</v>
      </c>
      <c r="AG384" s="129">
        <v>2902</v>
      </c>
      <c r="AH384" s="129">
        <v>3837</v>
      </c>
      <c r="AI384" s="129">
        <v>3752</v>
      </c>
      <c r="AJ384" s="129">
        <v>4252</v>
      </c>
      <c r="AK384" s="129">
        <v>5420</v>
      </c>
      <c r="AL384" s="129">
        <v>3142</v>
      </c>
      <c r="AM384" s="129">
        <v>56</v>
      </c>
      <c r="AN384" s="129">
        <v>3309</v>
      </c>
      <c r="AO384" s="129">
        <v>4902</v>
      </c>
      <c r="AP384" s="129">
        <v>6877</v>
      </c>
      <c r="AQ384" s="129">
        <v>8734</v>
      </c>
      <c r="AR384" s="129">
        <v>9400</v>
      </c>
      <c r="AS384" s="129">
        <v>10712</v>
      </c>
      <c r="AT384" s="129">
        <v>13767</v>
      </c>
      <c r="AU384" s="129">
        <v>13487</v>
      </c>
      <c r="AV384" s="129">
        <v>13473</v>
      </c>
      <c r="AW384" s="129">
        <v>14827</v>
      </c>
      <c r="AX384" s="129">
        <v>14318</v>
      </c>
      <c r="AY384" s="129">
        <v>16319</v>
      </c>
      <c r="AZ384" s="129">
        <v>17178</v>
      </c>
      <c r="BA384" s="129">
        <v>19475</v>
      </c>
      <c r="BB384" s="129">
        <v>20858</v>
      </c>
      <c r="BC384" s="129">
        <v>21313</v>
      </c>
      <c r="BD384" s="129">
        <v>21303</v>
      </c>
      <c r="BE384" s="129">
        <v>20221</v>
      </c>
      <c r="BF384" s="129">
        <v>21543</v>
      </c>
      <c r="BG384" s="129">
        <v>23760</v>
      </c>
      <c r="BH384" s="129">
        <v>23316</v>
      </c>
      <c r="BI384" s="129">
        <v>25341</v>
      </c>
      <c r="BJ384" s="129">
        <v>26847</v>
      </c>
      <c r="BK384" s="129">
        <v>28141</v>
      </c>
      <c r="BL384" s="129">
        <v>28001</v>
      </c>
      <c r="BM384" s="129">
        <v>27447</v>
      </c>
      <c r="BN384" s="129">
        <v>32361</v>
      </c>
      <c r="BO384" s="129">
        <v>29924</v>
      </c>
      <c r="BP384" s="129">
        <v>35677</v>
      </c>
      <c r="BQ384" s="129">
        <v>29318</v>
      </c>
      <c r="BR384" s="129">
        <v>25187</v>
      </c>
      <c r="BS384" s="129">
        <v>23645</v>
      </c>
      <c r="BT384" s="129">
        <v>21850</v>
      </c>
      <c r="BU384" s="129">
        <v>41006</v>
      </c>
      <c r="BV384" s="129">
        <v>26988</v>
      </c>
      <c r="BW384" s="129">
        <v>26849</v>
      </c>
      <c r="BX384" s="129">
        <v>28441</v>
      </c>
      <c r="BY384" s="129">
        <v>28838</v>
      </c>
      <c r="BZ384" s="129">
        <v>27203</v>
      </c>
      <c r="CA384" s="129">
        <v>23449</v>
      </c>
      <c r="CB384" s="129">
        <v>29058</v>
      </c>
      <c r="CC384" s="129">
        <v>26164</v>
      </c>
      <c r="CD384" s="129">
        <v>28017</v>
      </c>
      <c r="CE384" s="129">
        <v>30442</v>
      </c>
      <c r="CF384" s="129">
        <v>28214</v>
      </c>
      <c r="CG384" s="129">
        <v>33578</v>
      </c>
      <c r="CH384" s="129">
        <v>33507</v>
      </c>
      <c r="CI384" s="129">
        <v>32505</v>
      </c>
      <c r="CJ384" s="129">
        <v>29494</v>
      </c>
      <c r="CK384" s="129">
        <v>33374</v>
      </c>
      <c r="CL384" s="129">
        <v>31270</v>
      </c>
      <c r="CM384" s="129">
        <v>30313</v>
      </c>
      <c r="CN384" s="129">
        <v>38065</v>
      </c>
      <c r="CO384" s="129">
        <v>35164</v>
      </c>
      <c r="CP384" s="129">
        <v>48114</v>
      </c>
      <c r="CQ384" s="129">
        <v>43678</v>
      </c>
      <c r="CR384" s="129">
        <v>40638</v>
      </c>
      <c r="CS384" s="129">
        <v>49825</v>
      </c>
      <c r="CT384" s="129">
        <f>CH384*(1+CT385)</f>
        <v>33507</v>
      </c>
      <c r="CU384" s="129">
        <f t="shared" ref="CU384:EC384" si="1266">CI384*(1+CU385)</f>
        <v>32505</v>
      </c>
      <c r="CV384" s="129">
        <f t="shared" si="1266"/>
        <v>29494</v>
      </c>
      <c r="CW384" s="129">
        <f t="shared" si="1266"/>
        <v>33374</v>
      </c>
      <c r="CX384" s="129">
        <f t="shared" si="1266"/>
        <v>31270</v>
      </c>
      <c r="CY384" s="129">
        <f t="shared" si="1266"/>
        <v>30313</v>
      </c>
      <c r="CZ384" s="129">
        <f t="shared" si="1266"/>
        <v>38065</v>
      </c>
      <c r="DA384" s="129">
        <f t="shared" si="1266"/>
        <v>35164</v>
      </c>
      <c r="DB384" s="129">
        <f t="shared" si="1266"/>
        <v>48114</v>
      </c>
      <c r="DC384" s="129">
        <f t="shared" si="1266"/>
        <v>43678</v>
      </c>
      <c r="DD384" s="129">
        <f t="shared" si="1266"/>
        <v>40638</v>
      </c>
      <c r="DE384" s="129">
        <f t="shared" si="1266"/>
        <v>49825</v>
      </c>
      <c r="DF384" s="129">
        <f t="shared" si="1266"/>
        <v>33507</v>
      </c>
      <c r="DG384" s="129">
        <f t="shared" si="1266"/>
        <v>32505</v>
      </c>
      <c r="DH384" s="129">
        <f t="shared" si="1266"/>
        <v>29494</v>
      </c>
      <c r="DI384" s="129">
        <f t="shared" si="1266"/>
        <v>33374</v>
      </c>
      <c r="DJ384" s="129">
        <f t="shared" si="1266"/>
        <v>31270</v>
      </c>
      <c r="DK384" s="129">
        <f t="shared" si="1266"/>
        <v>30313</v>
      </c>
      <c r="DL384" s="129">
        <f t="shared" si="1266"/>
        <v>38065</v>
      </c>
      <c r="DM384" s="129">
        <f t="shared" si="1266"/>
        <v>35164</v>
      </c>
      <c r="DN384" s="129">
        <f t="shared" si="1266"/>
        <v>48114</v>
      </c>
      <c r="DO384" s="129">
        <f t="shared" si="1266"/>
        <v>43678</v>
      </c>
      <c r="DP384" s="129">
        <f t="shared" si="1266"/>
        <v>40638</v>
      </c>
      <c r="DQ384" s="129">
        <f t="shared" si="1266"/>
        <v>49825</v>
      </c>
      <c r="DR384" s="129">
        <f t="shared" si="1266"/>
        <v>33507</v>
      </c>
      <c r="DS384" s="129">
        <f t="shared" si="1266"/>
        <v>32505</v>
      </c>
      <c r="DT384" s="129">
        <f t="shared" si="1266"/>
        <v>29494</v>
      </c>
      <c r="DU384" s="129">
        <f t="shared" si="1266"/>
        <v>33374</v>
      </c>
      <c r="DV384" s="129">
        <f t="shared" si="1266"/>
        <v>31270</v>
      </c>
      <c r="DW384" s="129">
        <f t="shared" si="1266"/>
        <v>30313</v>
      </c>
      <c r="DX384" s="129">
        <f t="shared" si="1266"/>
        <v>38065</v>
      </c>
      <c r="DY384" s="129">
        <f t="shared" si="1266"/>
        <v>35164</v>
      </c>
      <c r="DZ384" s="129">
        <f t="shared" si="1266"/>
        <v>48114</v>
      </c>
      <c r="EA384" s="129">
        <f t="shared" si="1266"/>
        <v>43678</v>
      </c>
      <c r="EB384" s="129">
        <f t="shared" si="1266"/>
        <v>40638</v>
      </c>
      <c r="EC384" s="129">
        <f t="shared" si="1266"/>
        <v>49825</v>
      </c>
    </row>
    <row r="385" spans="1:134" x14ac:dyDescent="0.2">
      <c r="A385" s="730" t="s">
        <v>89</v>
      </c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15"/>
      <c r="AL385" s="115"/>
      <c r="AM385" s="115"/>
      <c r="AN385" s="115"/>
      <c r="AO385" s="115"/>
      <c r="AP385" s="115"/>
      <c r="AQ385" s="115"/>
      <c r="AR385" s="115"/>
      <c r="AS385" s="115"/>
      <c r="AT385" s="115"/>
      <c r="AU385" s="115"/>
      <c r="AV385" s="115"/>
      <c r="AW385" s="115"/>
      <c r="AX385" s="115"/>
      <c r="AY385" s="115"/>
      <c r="AZ385" s="115"/>
      <c r="BA385" s="115"/>
      <c r="BB385" s="115"/>
      <c r="BC385" s="115"/>
      <c r="BD385" s="115"/>
      <c r="BE385" s="115"/>
      <c r="BF385" s="115"/>
      <c r="BG385" s="115"/>
      <c r="BH385" s="115"/>
      <c r="BI385" s="115"/>
      <c r="BJ385" s="115"/>
      <c r="BK385" s="115"/>
      <c r="BL385" s="115"/>
      <c r="BM385" s="115"/>
      <c r="BN385" s="115"/>
      <c r="BO385" s="115"/>
      <c r="BP385" s="115"/>
      <c r="BQ385" s="115"/>
      <c r="BR385" s="115"/>
      <c r="BS385" s="115"/>
      <c r="BT385" s="115"/>
      <c r="BU385" s="115"/>
      <c r="BV385" s="115"/>
      <c r="BW385" s="115"/>
      <c r="BX385" s="115"/>
      <c r="BY385" s="115"/>
      <c r="BZ385" s="115"/>
      <c r="CA385" s="115"/>
      <c r="CB385" s="115"/>
      <c r="CC385" s="115"/>
      <c r="CD385" s="115"/>
      <c r="CE385" s="115"/>
      <c r="CF385" s="115"/>
      <c r="CG385" s="115"/>
      <c r="CH385" s="115"/>
      <c r="CI385" s="115"/>
      <c r="CJ385" s="115"/>
      <c r="CK385" s="115"/>
      <c r="CL385" s="115"/>
      <c r="CM385" s="115"/>
      <c r="CN385" s="115"/>
      <c r="CO385" s="115"/>
      <c r="CP385" s="115"/>
      <c r="CQ385" s="115"/>
      <c r="CR385" s="115"/>
      <c r="CS385" s="115"/>
      <c r="CT385" s="701">
        <v>0</v>
      </c>
      <c r="CU385" s="701">
        <f>CT385</f>
        <v>0</v>
      </c>
      <c r="CV385" s="701">
        <f t="shared" ref="CV385:DE385" si="1267">CU385</f>
        <v>0</v>
      </c>
      <c r="CW385" s="701">
        <f t="shared" si="1267"/>
        <v>0</v>
      </c>
      <c r="CX385" s="701">
        <f t="shared" si="1267"/>
        <v>0</v>
      </c>
      <c r="CY385" s="701">
        <f t="shared" si="1267"/>
        <v>0</v>
      </c>
      <c r="CZ385" s="701">
        <f t="shared" si="1267"/>
        <v>0</v>
      </c>
      <c r="DA385" s="701">
        <f t="shared" si="1267"/>
        <v>0</v>
      </c>
      <c r="DB385" s="701">
        <f t="shared" si="1267"/>
        <v>0</v>
      </c>
      <c r="DC385" s="701">
        <f t="shared" si="1267"/>
        <v>0</v>
      </c>
      <c r="DD385" s="701">
        <f t="shared" si="1267"/>
        <v>0</v>
      </c>
      <c r="DE385" s="701">
        <f t="shared" si="1267"/>
        <v>0</v>
      </c>
      <c r="DF385" s="701">
        <f t="shared" ref="DF385:DQ385" si="1268">DE385</f>
        <v>0</v>
      </c>
      <c r="DG385" s="701">
        <f t="shared" si="1268"/>
        <v>0</v>
      </c>
      <c r="DH385" s="701">
        <f t="shared" si="1268"/>
        <v>0</v>
      </c>
      <c r="DI385" s="701">
        <f t="shared" si="1268"/>
        <v>0</v>
      </c>
      <c r="DJ385" s="701">
        <f t="shared" si="1268"/>
        <v>0</v>
      </c>
      <c r="DK385" s="701">
        <f t="shared" si="1268"/>
        <v>0</v>
      </c>
      <c r="DL385" s="701">
        <f t="shared" si="1268"/>
        <v>0</v>
      </c>
      <c r="DM385" s="701">
        <f t="shared" si="1268"/>
        <v>0</v>
      </c>
      <c r="DN385" s="701">
        <f t="shared" si="1268"/>
        <v>0</v>
      </c>
      <c r="DO385" s="701">
        <f t="shared" si="1268"/>
        <v>0</v>
      </c>
      <c r="DP385" s="701">
        <f t="shared" si="1268"/>
        <v>0</v>
      </c>
      <c r="DQ385" s="701">
        <f t="shared" si="1268"/>
        <v>0</v>
      </c>
      <c r="DR385" s="701">
        <f t="shared" ref="DR385:EC385" si="1269">DQ385</f>
        <v>0</v>
      </c>
      <c r="DS385" s="701">
        <f t="shared" si="1269"/>
        <v>0</v>
      </c>
      <c r="DT385" s="701">
        <f t="shared" si="1269"/>
        <v>0</v>
      </c>
      <c r="DU385" s="701">
        <f t="shared" si="1269"/>
        <v>0</v>
      </c>
      <c r="DV385" s="701">
        <f t="shared" si="1269"/>
        <v>0</v>
      </c>
      <c r="DW385" s="701">
        <f t="shared" si="1269"/>
        <v>0</v>
      </c>
      <c r="DX385" s="701">
        <f t="shared" si="1269"/>
        <v>0</v>
      </c>
      <c r="DY385" s="701">
        <f t="shared" si="1269"/>
        <v>0</v>
      </c>
      <c r="DZ385" s="701">
        <f t="shared" si="1269"/>
        <v>0</v>
      </c>
      <c r="EA385" s="701">
        <f t="shared" si="1269"/>
        <v>0</v>
      </c>
      <c r="EB385" s="701">
        <f t="shared" si="1269"/>
        <v>0</v>
      </c>
      <c r="EC385" s="701">
        <f t="shared" si="1269"/>
        <v>0</v>
      </c>
      <c r="ED385" s="113" t="s">
        <v>1</v>
      </c>
    </row>
    <row r="386" spans="1:134" x14ac:dyDescent="0.2">
      <c r="A386" s="731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15"/>
      <c r="AO386" s="115"/>
      <c r="AP386" s="115"/>
      <c r="AQ386" s="115"/>
      <c r="AR386" s="115"/>
      <c r="AS386" s="115"/>
      <c r="AT386" s="115"/>
      <c r="AU386" s="115"/>
      <c r="AV386" s="115"/>
      <c r="AW386" s="115"/>
      <c r="AX386" s="115"/>
      <c r="AY386" s="115"/>
      <c r="AZ386" s="115"/>
      <c r="BA386" s="115"/>
      <c r="BB386" s="115"/>
      <c r="BC386" s="115"/>
      <c r="BD386" s="115"/>
      <c r="BE386" s="115"/>
      <c r="BF386" s="115"/>
      <c r="BG386" s="115"/>
      <c r="BH386" s="115"/>
      <c r="BI386" s="115"/>
      <c r="BJ386" s="115"/>
      <c r="BK386" s="115"/>
      <c r="BL386" s="115"/>
      <c r="BM386" s="115"/>
      <c r="BN386" s="115"/>
      <c r="BO386" s="115"/>
      <c r="BP386" s="115"/>
      <c r="BQ386" s="115"/>
      <c r="BR386" s="115"/>
      <c r="BS386" s="115"/>
      <c r="BT386" s="115"/>
      <c r="BU386" s="115"/>
      <c r="BV386" s="115"/>
      <c r="BW386" s="115"/>
      <c r="BX386" s="115"/>
      <c r="BY386" s="115"/>
      <c r="BZ386" s="115"/>
      <c r="CA386" s="115"/>
      <c r="CB386" s="115"/>
      <c r="CC386" s="115"/>
      <c r="CD386" s="115"/>
      <c r="CE386" s="115"/>
      <c r="CF386" s="115"/>
      <c r="CG386" s="115"/>
      <c r="CH386" s="115"/>
      <c r="CI386" s="115"/>
      <c r="CJ386" s="115"/>
      <c r="CK386" s="115"/>
      <c r="CL386" s="115"/>
      <c r="CM386" s="115"/>
      <c r="CN386" s="115"/>
      <c r="CO386" s="115"/>
      <c r="CP386" s="115"/>
      <c r="CQ386" s="115"/>
      <c r="CR386" s="115"/>
      <c r="CS386" s="115"/>
      <c r="CT386" s="115"/>
      <c r="CU386" s="115"/>
      <c r="CV386" s="115"/>
      <c r="CW386" s="115"/>
      <c r="CX386" s="115"/>
      <c r="CY386" s="115"/>
      <c r="CZ386" s="115"/>
      <c r="DA386" s="115"/>
      <c r="DB386" s="115"/>
      <c r="DC386" s="115"/>
      <c r="DD386" s="115"/>
      <c r="DE386" s="115"/>
      <c r="DF386" s="115"/>
      <c r="DG386" s="115"/>
      <c r="DH386" s="115"/>
      <c r="DI386" s="115"/>
      <c r="DJ386" s="115"/>
      <c r="DK386" s="115"/>
      <c r="DL386" s="115"/>
      <c r="DM386" s="115"/>
      <c r="DN386" s="115"/>
      <c r="DO386" s="115"/>
      <c r="DP386" s="115"/>
      <c r="DQ386" s="115"/>
      <c r="DR386" s="115"/>
      <c r="DS386" s="115"/>
      <c r="DT386" s="115"/>
      <c r="DU386" s="115"/>
      <c r="DV386" s="115"/>
      <c r="DW386" s="115"/>
      <c r="DX386" s="115"/>
      <c r="DY386" s="115"/>
      <c r="DZ386" s="115"/>
      <c r="EA386" s="115"/>
      <c r="EB386" s="115"/>
      <c r="EC386" s="645"/>
      <c r="ED386" s="113" t="s">
        <v>1</v>
      </c>
    </row>
    <row r="387" spans="1:134" x14ac:dyDescent="0.2">
      <c r="A387" s="731" t="s">
        <v>240</v>
      </c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29">
        <f>AB377/AB394</f>
        <v>13668.302575342466</v>
      </c>
      <c r="AC387" s="129">
        <f t="shared" ref="AC387:CN387" si="1270">AC377/AC394</f>
        <v>14812.928057553956</v>
      </c>
      <c r="AD387" s="129">
        <f t="shared" si="1270"/>
        <v>12722.281996268657</v>
      </c>
      <c r="AE387" s="129">
        <f t="shared" si="1270"/>
        <v>10694.583585313176</v>
      </c>
      <c r="AF387" s="129">
        <f t="shared" si="1270"/>
        <v>12764.292660217654</v>
      </c>
      <c r="AG387" s="129">
        <f t="shared" si="1270"/>
        <v>12875.04054054054</v>
      </c>
      <c r="AH387" s="129">
        <f t="shared" si="1270"/>
        <v>18896.198625592417</v>
      </c>
      <c r="AI387" s="129">
        <f t="shared" si="1270"/>
        <v>19455.649632458233</v>
      </c>
      <c r="AJ387" s="129">
        <f t="shared" si="1270"/>
        <v>17162.056769674491</v>
      </c>
      <c r="AK387" s="129">
        <f t="shared" si="1270"/>
        <v>14188.598233418399</v>
      </c>
      <c r="AL387" s="129">
        <f t="shared" si="1270"/>
        <v>14869.317063053082</v>
      </c>
      <c r="AM387" s="129">
        <f t="shared" si="1270"/>
        <v>13875.097307692313</v>
      </c>
      <c r="AN387" s="129">
        <f t="shared" si="1270"/>
        <v>13505.137565891471</v>
      </c>
      <c r="AO387" s="129">
        <f t="shared" si="1270"/>
        <v>13210.576916794258</v>
      </c>
      <c r="AP387" s="129">
        <f t="shared" si="1270"/>
        <v>13379.40975984254</v>
      </c>
      <c r="AQ387" s="129">
        <f t="shared" si="1270"/>
        <v>12657.67113258921</v>
      </c>
      <c r="AR387" s="129">
        <f t="shared" si="1270"/>
        <v>14335.774532302406</v>
      </c>
      <c r="AS387" s="129">
        <f t="shared" si="1270"/>
        <v>15231.828985481319</v>
      </c>
      <c r="AT387" s="129">
        <f t="shared" si="1270"/>
        <v>14600.510021660813</v>
      </c>
      <c r="AU387" s="129">
        <f t="shared" si="1270"/>
        <v>14545.482262199987</v>
      </c>
      <c r="AV387" s="129">
        <f t="shared" si="1270"/>
        <v>15573.758558325639</v>
      </c>
      <c r="AW387" s="129">
        <f t="shared" si="1270"/>
        <v>16223.729866507403</v>
      </c>
      <c r="AX387" s="129">
        <f t="shared" si="1270"/>
        <v>16236.072742673372</v>
      </c>
      <c r="AY387" s="129">
        <f t="shared" si="1270"/>
        <v>14925.424380203536</v>
      </c>
      <c r="AZ387" s="129">
        <f t="shared" si="1270"/>
        <v>17254.916534358457</v>
      </c>
      <c r="BA387" s="129">
        <f t="shared" si="1270"/>
        <v>16098.563399095583</v>
      </c>
      <c r="BB387" s="129">
        <f t="shared" si="1270"/>
        <v>15655.485252260654</v>
      </c>
      <c r="BC387" s="129">
        <f t="shared" si="1270"/>
        <v>14775.402496631354</v>
      </c>
      <c r="BD387" s="129">
        <f t="shared" si="1270"/>
        <v>16213.92218708662</v>
      </c>
      <c r="BE387" s="129">
        <f t="shared" si="1270"/>
        <v>17306.989619122211</v>
      </c>
      <c r="BF387" s="129">
        <f t="shared" si="1270"/>
        <v>18887.196867439841</v>
      </c>
      <c r="BG387" s="129">
        <f t="shared" si="1270"/>
        <v>20001.934042251072</v>
      </c>
      <c r="BH387" s="129">
        <f t="shared" si="1270"/>
        <v>21578.634321872858</v>
      </c>
      <c r="BI387" s="129">
        <f t="shared" si="1270"/>
        <v>23748.237675532055</v>
      </c>
      <c r="BJ387" s="129">
        <f t="shared" si="1270"/>
        <v>25092.603023257754</v>
      </c>
      <c r="BK387" s="129">
        <f t="shared" si="1270"/>
        <v>24122.3947504803</v>
      </c>
      <c r="BL387" s="129">
        <f t="shared" si="1270"/>
        <v>23637.685552306426</v>
      </c>
      <c r="BM387" s="129">
        <f t="shared" si="1270"/>
        <v>23113.899488734038</v>
      </c>
      <c r="BN387" s="129">
        <f t="shared" si="1270"/>
        <v>22643.310867028144</v>
      </c>
      <c r="BO387" s="129">
        <f t="shared" si="1270"/>
        <v>22687.985930676652</v>
      </c>
      <c r="BP387" s="129">
        <f t="shared" si="1270"/>
        <v>26631.018407141921</v>
      </c>
      <c r="BQ387" s="129">
        <f t="shared" si="1270"/>
        <v>25881.0913475378</v>
      </c>
      <c r="BR387" s="129">
        <f t="shared" si="1270"/>
        <v>25209.834654924281</v>
      </c>
      <c r="BS387" s="129">
        <f t="shared" si="1270"/>
        <v>25226.387120394156</v>
      </c>
      <c r="BT387" s="129">
        <f t="shared" si="1270"/>
        <v>26386.439611784444</v>
      </c>
      <c r="BU387" s="129">
        <f t="shared" si="1270"/>
        <v>25585.155251564956</v>
      </c>
      <c r="BV387" s="129">
        <f t="shared" si="1270"/>
        <v>25330.708525104728</v>
      </c>
      <c r="BW387" s="129">
        <f t="shared" si="1270"/>
        <v>26000.485043887977</v>
      </c>
      <c r="BX387" s="129">
        <f t="shared" si="1270"/>
        <v>25465.170421673887</v>
      </c>
      <c r="BY387" s="129">
        <f t="shared" si="1270"/>
        <v>25642.798979860981</v>
      </c>
      <c r="BZ387" s="129">
        <f t="shared" si="1270"/>
        <v>26218.794457536282</v>
      </c>
      <c r="CA387" s="129">
        <f t="shared" si="1270"/>
        <v>26176.897846005471</v>
      </c>
      <c r="CB387" s="129">
        <f t="shared" si="1270"/>
        <v>29278.804215591401</v>
      </c>
      <c r="CC387" s="129">
        <f t="shared" si="1270"/>
        <v>30209.216477058057</v>
      </c>
      <c r="CD387" s="129">
        <f t="shared" si="1270"/>
        <v>30477.740605166447</v>
      </c>
      <c r="CE387" s="129">
        <f t="shared" si="1270"/>
        <v>31130.333183919327</v>
      </c>
      <c r="CF387" s="129">
        <f t="shared" si="1270"/>
        <v>31339.9684894356</v>
      </c>
      <c r="CG387" s="129">
        <f t="shared" si="1270"/>
        <v>31556.022131397429</v>
      </c>
      <c r="CH387" s="129">
        <f t="shared" si="1270"/>
        <v>31440.212023756416</v>
      </c>
      <c r="CI387" s="129">
        <f t="shared" si="1270"/>
        <v>30386.166306714113</v>
      </c>
      <c r="CJ387" s="129">
        <f t="shared" si="1270"/>
        <v>30778.898510924559</v>
      </c>
      <c r="CK387" s="129">
        <f t="shared" si="1270"/>
        <v>30522.116347160998</v>
      </c>
      <c r="CL387" s="129">
        <f t="shared" si="1270"/>
        <v>29217.667420578593</v>
      </c>
      <c r="CM387" s="129">
        <f t="shared" si="1270"/>
        <v>29882.525454412014</v>
      </c>
      <c r="CN387" s="129">
        <f t="shared" si="1270"/>
        <v>33150.397190252603</v>
      </c>
      <c r="CO387" s="129">
        <f t="shared" ref="CO387:CS387" si="1271">CO377/CO394</f>
        <v>32824.641446945338</v>
      </c>
      <c r="CP387" s="129">
        <f t="shared" si="1271"/>
        <v>32435.276296744676</v>
      </c>
      <c r="CQ387" s="129">
        <f t="shared" si="1271"/>
        <v>32701.285266408839</v>
      </c>
      <c r="CR387" s="129">
        <f t="shared" si="1271"/>
        <v>33276.241051873672</v>
      </c>
      <c r="CS387" s="129">
        <f t="shared" si="1271"/>
        <v>33291.860554991072</v>
      </c>
      <c r="CT387" s="129">
        <f>SUM(CH377:CS377)/SUM(CH394:CS394)*(1+CT388)</f>
        <v>32792.386788199554</v>
      </c>
      <c r="CU387" s="129">
        <f t="shared" ref="CU387:DQ387" si="1272">CT387*(1+CU388)</f>
        <v>32792.386788199554</v>
      </c>
      <c r="CV387" s="129">
        <f t="shared" si="1272"/>
        <v>32792.386788199554</v>
      </c>
      <c r="CW387" s="129">
        <f t="shared" si="1272"/>
        <v>32792.386788199554</v>
      </c>
      <c r="CX387" s="129">
        <f t="shared" si="1272"/>
        <v>32792.386788199554</v>
      </c>
      <c r="CY387" s="129">
        <f t="shared" si="1272"/>
        <v>32792.386788199554</v>
      </c>
      <c r="CZ387" s="129">
        <f t="shared" si="1272"/>
        <v>32792.386788199554</v>
      </c>
      <c r="DA387" s="129">
        <f t="shared" si="1272"/>
        <v>32792.386788199554</v>
      </c>
      <c r="DB387" s="129">
        <f t="shared" si="1272"/>
        <v>32792.386788199554</v>
      </c>
      <c r="DC387" s="129">
        <f t="shared" si="1272"/>
        <v>32792.386788199554</v>
      </c>
      <c r="DD387" s="129">
        <f t="shared" si="1272"/>
        <v>32792.386788199554</v>
      </c>
      <c r="DE387" s="129">
        <f t="shared" si="1272"/>
        <v>32792.386788199554</v>
      </c>
      <c r="DF387" s="129">
        <f t="shared" si="1272"/>
        <v>33776.158391845544</v>
      </c>
      <c r="DG387" s="129">
        <f t="shared" si="1272"/>
        <v>33776.158391845544</v>
      </c>
      <c r="DH387" s="129">
        <f t="shared" si="1272"/>
        <v>33776.158391845544</v>
      </c>
      <c r="DI387" s="129">
        <f t="shared" si="1272"/>
        <v>33776.158391845544</v>
      </c>
      <c r="DJ387" s="129">
        <f t="shared" si="1272"/>
        <v>33776.158391845544</v>
      </c>
      <c r="DK387" s="129">
        <f t="shared" si="1272"/>
        <v>33776.158391845544</v>
      </c>
      <c r="DL387" s="129">
        <f t="shared" si="1272"/>
        <v>33776.158391845544</v>
      </c>
      <c r="DM387" s="129">
        <f t="shared" si="1272"/>
        <v>33776.158391845544</v>
      </c>
      <c r="DN387" s="129">
        <f t="shared" si="1272"/>
        <v>33776.158391845544</v>
      </c>
      <c r="DO387" s="129">
        <f t="shared" si="1272"/>
        <v>33776.158391845544</v>
      </c>
      <c r="DP387" s="129">
        <f t="shared" si="1272"/>
        <v>33776.158391845544</v>
      </c>
      <c r="DQ387" s="129">
        <f t="shared" si="1272"/>
        <v>33776.158391845544</v>
      </c>
      <c r="DR387" s="129">
        <f t="shared" ref="DR387" si="1273">DQ387*(1+DR388)</f>
        <v>33776.158391845544</v>
      </c>
      <c r="DS387" s="129">
        <f t="shared" ref="DS387" si="1274">DR387*(1+DS388)</f>
        <v>33776.158391845544</v>
      </c>
      <c r="DT387" s="129">
        <f t="shared" ref="DT387" si="1275">DS387*(1+DT388)</f>
        <v>33776.158391845544</v>
      </c>
      <c r="DU387" s="129">
        <f t="shared" ref="DU387" si="1276">DT387*(1+DU388)</f>
        <v>33776.158391845544</v>
      </c>
      <c r="DV387" s="129">
        <f t="shared" ref="DV387" si="1277">DU387*(1+DV388)</f>
        <v>33776.158391845544</v>
      </c>
      <c r="DW387" s="129">
        <f t="shared" ref="DW387" si="1278">DV387*(1+DW388)</f>
        <v>33776.158391845544</v>
      </c>
      <c r="DX387" s="129">
        <f t="shared" ref="DX387" si="1279">DW387*(1+DX388)</f>
        <v>33776.158391845544</v>
      </c>
      <c r="DY387" s="129">
        <f t="shared" ref="DY387" si="1280">DX387*(1+DY388)</f>
        <v>33776.158391845544</v>
      </c>
      <c r="DZ387" s="129">
        <f t="shared" ref="DZ387" si="1281">DY387*(1+DZ388)</f>
        <v>33776.158391845544</v>
      </c>
      <c r="EA387" s="129">
        <f t="shared" ref="EA387" si="1282">DZ387*(1+EA388)</f>
        <v>33776.158391845544</v>
      </c>
      <c r="EB387" s="129">
        <f t="shared" ref="EB387" si="1283">EA387*(1+EB388)</f>
        <v>33776.158391845544</v>
      </c>
      <c r="EC387" s="129">
        <f t="shared" ref="EC387" si="1284">EB387*(1+EC388)</f>
        <v>33776.158391845544</v>
      </c>
      <c r="ED387" s="113" t="s">
        <v>1</v>
      </c>
    </row>
    <row r="388" spans="1:134" x14ac:dyDescent="0.2">
      <c r="A388" s="730" t="s">
        <v>241</v>
      </c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29"/>
      <c r="AM388" s="129"/>
      <c r="AN388" s="129"/>
      <c r="AO388" s="129"/>
      <c r="AP388" s="129"/>
      <c r="AQ388" s="129"/>
      <c r="AR388" s="129"/>
      <c r="AS388" s="129"/>
      <c r="AT388" s="129"/>
      <c r="AU388" s="129"/>
      <c r="AV388" s="129"/>
      <c r="AW388" s="129"/>
      <c r="AX388" s="129"/>
      <c r="AY388" s="129"/>
      <c r="AZ388" s="129"/>
      <c r="BA388" s="129"/>
      <c r="BB388" s="129"/>
      <c r="BC388" s="129"/>
      <c r="BD388" s="129"/>
      <c r="BE388" s="129"/>
      <c r="BF388" s="129"/>
      <c r="BG388" s="129"/>
      <c r="BH388" s="129"/>
      <c r="BI388" s="129"/>
      <c r="BJ388" s="129"/>
      <c r="BK388" s="129"/>
      <c r="BL388" s="129"/>
      <c r="BM388" s="129"/>
      <c r="BN388" s="129"/>
      <c r="BO388" s="129"/>
      <c r="BP388" s="129"/>
      <c r="BQ388" s="129"/>
      <c r="BR388" s="129"/>
      <c r="BS388" s="129"/>
      <c r="BT388" s="129"/>
      <c r="BU388" s="129"/>
      <c r="BV388" s="129"/>
      <c r="BW388" s="129"/>
      <c r="BX388" s="129"/>
      <c r="BY388" s="129"/>
      <c r="BZ388" s="129"/>
      <c r="CA388" s="129"/>
      <c r="CB388" s="129"/>
      <c r="CC388" s="129"/>
      <c r="CD388" s="129"/>
      <c r="CE388" s="129"/>
      <c r="CF388" s="129"/>
      <c r="CG388" s="129"/>
      <c r="CH388" s="129"/>
      <c r="CI388" s="129"/>
      <c r="CJ388" s="129"/>
      <c r="CK388" s="129"/>
      <c r="CL388" s="129"/>
      <c r="CM388" s="129"/>
      <c r="CN388" s="129"/>
      <c r="CO388" s="129"/>
      <c r="CP388" s="129"/>
      <c r="CQ388" s="129"/>
      <c r="CR388" s="129"/>
      <c r="CS388" s="129"/>
      <c r="CT388" s="701">
        <v>0.03</v>
      </c>
      <c r="CU388" s="115"/>
      <c r="CV388" s="115"/>
      <c r="CW388" s="115"/>
      <c r="CX388" s="115"/>
      <c r="CY388" s="115"/>
      <c r="CZ388" s="115"/>
      <c r="DA388" s="115"/>
      <c r="DB388" s="115"/>
      <c r="DC388" s="115"/>
      <c r="DD388" s="115"/>
      <c r="DE388" s="115"/>
      <c r="DF388" s="701">
        <v>0.03</v>
      </c>
      <c r="DG388" s="115"/>
      <c r="DH388" s="115"/>
      <c r="DI388" s="115"/>
      <c r="DJ388" s="115"/>
      <c r="DK388" s="115"/>
      <c r="DL388" s="115"/>
      <c r="DM388" s="115"/>
      <c r="DN388" s="115"/>
      <c r="DO388" s="115"/>
      <c r="DP388" s="115"/>
      <c r="DQ388" s="115"/>
      <c r="DR388" s="115"/>
      <c r="DS388" s="115"/>
      <c r="DT388" s="115"/>
      <c r="DU388" s="115"/>
      <c r="DV388" s="115"/>
      <c r="DW388" s="115"/>
      <c r="DX388" s="115"/>
      <c r="DY388" s="115"/>
      <c r="DZ388" s="115"/>
      <c r="EA388" s="115"/>
      <c r="EB388" s="115"/>
      <c r="EC388" s="645"/>
      <c r="ED388" s="113" t="s">
        <v>1</v>
      </c>
    </row>
    <row r="389" spans="1:134" x14ac:dyDescent="0.2">
      <c r="A389" s="731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115"/>
      <c r="AO389" s="115"/>
      <c r="AP389" s="115"/>
      <c r="AQ389" s="115"/>
      <c r="AR389" s="115"/>
      <c r="AS389" s="115"/>
      <c r="AT389" s="115"/>
      <c r="AU389" s="115"/>
      <c r="AV389" s="115"/>
      <c r="AW389" s="115"/>
      <c r="AX389" s="115"/>
      <c r="AY389" s="115"/>
      <c r="AZ389" s="115"/>
      <c r="BA389" s="115"/>
      <c r="BB389" s="115"/>
      <c r="BC389" s="115"/>
      <c r="BD389" s="115"/>
      <c r="BE389" s="115"/>
      <c r="BF389" s="115"/>
      <c r="BG389" s="115"/>
      <c r="BH389" s="115"/>
      <c r="BI389" s="115"/>
      <c r="BJ389" s="115"/>
      <c r="BK389" s="115"/>
      <c r="BL389" s="115"/>
      <c r="BM389" s="115"/>
      <c r="BN389" s="115"/>
      <c r="BO389" s="115"/>
      <c r="BP389" s="115"/>
      <c r="BQ389" s="115"/>
      <c r="BR389" s="115"/>
      <c r="BS389" s="115"/>
      <c r="BT389" s="115"/>
      <c r="BU389" s="115"/>
      <c r="BV389" s="115"/>
      <c r="BW389" s="115"/>
      <c r="BX389" s="115"/>
      <c r="BY389" s="115"/>
      <c r="BZ389" s="115"/>
      <c r="CA389" s="115"/>
      <c r="CB389" s="115"/>
      <c r="CC389" s="115"/>
      <c r="CD389" s="115"/>
      <c r="CE389" s="115"/>
      <c r="CF389" s="115"/>
      <c r="CG389" s="115"/>
      <c r="CH389" s="115"/>
      <c r="CI389" s="115"/>
      <c r="CJ389" s="115"/>
      <c r="CK389" s="115"/>
      <c r="CL389" s="115"/>
      <c r="CM389" s="115"/>
      <c r="CN389" s="115"/>
      <c r="CO389" s="115"/>
      <c r="CP389" s="115"/>
      <c r="CQ389" s="115"/>
      <c r="CR389" s="115"/>
      <c r="CS389" s="115"/>
      <c r="CT389" s="115"/>
      <c r="CU389" s="115"/>
      <c r="CV389" s="115"/>
      <c r="CW389" s="115"/>
      <c r="CX389" s="115"/>
      <c r="CY389" s="115"/>
      <c r="CZ389" s="115"/>
      <c r="DA389" s="115"/>
      <c r="DB389" s="115"/>
      <c r="DC389" s="115"/>
      <c r="DD389" s="115"/>
      <c r="DE389" s="115"/>
      <c r="DF389" s="115"/>
      <c r="DG389" s="115"/>
      <c r="DH389" s="115"/>
      <c r="DI389" s="115"/>
      <c r="DJ389" s="115"/>
      <c r="DK389" s="115"/>
      <c r="DL389" s="115"/>
      <c r="DM389" s="115"/>
      <c r="DN389" s="115"/>
      <c r="DO389" s="115"/>
      <c r="DP389" s="115"/>
      <c r="DQ389" s="115"/>
      <c r="DR389" s="115"/>
      <c r="DS389" s="115"/>
      <c r="DT389" s="115"/>
      <c r="DU389" s="115"/>
      <c r="DV389" s="115"/>
      <c r="DW389" s="115"/>
      <c r="DX389" s="115"/>
      <c r="DY389" s="115"/>
      <c r="DZ389" s="115"/>
      <c r="EA389" s="115"/>
      <c r="EB389" s="115"/>
      <c r="EC389" s="645"/>
      <c r="ED389" s="113" t="s">
        <v>1</v>
      </c>
    </row>
    <row r="390" spans="1:134" x14ac:dyDescent="0.2">
      <c r="A390" s="116" t="s">
        <v>74</v>
      </c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115"/>
      <c r="AL390" s="115"/>
      <c r="AM390" s="115"/>
      <c r="AN390" s="115"/>
      <c r="AO390" s="115"/>
      <c r="AP390" s="115"/>
      <c r="AQ390" s="115"/>
      <c r="AR390" s="115"/>
      <c r="AS390" s="115"/>
      <c r="AT390" s="115"/>
      <c r="AU390" s="115"/>
      <c r="AV390" s="115"/>
      <c r="AW390" s="115"/>
      <c r="AX390" s="115"/>
      <c r="AY390" s="115"/>
      <c r="AZ390" s="115"/>
      <c r="BA390" s="115"/>
      <c r="BB390" s="115"/>
      <c r="BC390" s="115"/>
      <c r="BD390" s="115"/>
      <c r="BE390" s="115"/>
      <c r="BF390" s="115"/>
      <c r="BG390" s="115"/>
      <c r="BH390" s="115"/>
      <c r="BI390" s="115"/>
      <c r="BJ390" s="115"/>
      <c r="BK390" s="115"/>
      <c r="BL390" s="115"/>
      <c r="BM390" s="115"/>
      <c r="BN390" s="115"/>
      <c r="BO390" s="115"/>
      <c r="BP390" s="115"/>
      <c r="BQ390" s="115"/>
      <c r="BR390" s="115"/>
      <c r="BS390" s="115"/>
      <c r="BT390" s="115"/>
      <c r="BU390" s="115"/>
      <c r="BV390" s="115"/>
      <c r="BW390" s="115"/>
      <c r="BX390" s="115"/>
      <c r="BY390" s="115"/>
      <c r="BZ390" s="115"/>
      <c r="CA390" s="115"/>
      <c r="CB390" s="115"/>
      <c r="CC390" s="115"/>
      <c r="CD390" s="115"/>
      <c r="CE390" s="115"/>
      <c r="CF390" s="115"/>
      <c r="CG390" s="115"/>
      <c r="CH390" s="115"/>
      <c r="CI390" s="115"/>
      <c r="CJ390" s="115"/>
      <c r="CK390" s="115"/>
      <c r="CL390" s="115"/>
      <c r="CM390" s="115"/>
      <c r="CN390" s="115"/>
      <c r="CO390" s="115"/>
      <c r="CP390" s="115"/>
      <c r="CQ390" s="115"/>
      <c r="CR390" s="115"/>
      <c r="CS390" s="115"/>
      <c r="CT390" s="115"/>
      <c r="CU390" s="115"/>
      <c r="CV390" s="115"/>
      <c r="CW390" s="115"/>
      <c r="CX390" s="115"/>
      <c r="CY390" s="115"/>
      <c r="CZ390" s="115"/>
      <c r="DA390" s="115"/>
      <c r="DB390" s="115"/>
      <c r="DC390" s="115"/>
      <c r="DD390" s="115"/>
      <c r="DE390" s="115"/>
      <c r="DF390" s="115"/>
      <c r="DG390" s="115"/>
      <c r="DH390" s="115"/>
      <c r="DI390" s="115"/>
      <c r="DJ390" s="115"/>
      <c r="DK390" s="115"/>
      <c r="DL390" s="115"/>
      <c r="DM390" s="115"/>
      <c r="DN390" s="115"/>
      <c r="DO390" s="115"/>
      <c r="DP390" s="115"/>
      <c r="DQ390" s="115"/>
      <c r="DR390" s="115"/>
      <c r="DS390" s="115"/>
      <c r="DT390" s="115"/>
      <c r="DU390" s="115"/>
      <c r="DV390" s="115"/>
      <c r="DW390" s="115"/>
      <c r="DX390" s="115"/>
      <c r="DY390" s="115"/>
      <c r="DZ390" s="115"/>
      <c r="EA390" s="115"/>
      <c r="EB390" s="115"/>
      <c r="EC390" s="645"/>
      <c r="ED390" s="113" t="s">
        <v>1</v>
      </c>
    </row>
    <row r="391" spans="1:134" x14ac:dyDescent="0.2">
      <c r="A391" s="114" t="s">
        <v>192</v>
      </c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29">
        <v>4988930.4400000004</v>
      </c>
      <c r="AC391" s="129">
        <v>4117994</v>
      </c>
      <c r="AD391" s="129">
        <v>6785143.1500000004</v>
      </c>
      <c r="AE391" s="129">
        <v>9759345.3800000008</v>
      </c>
      <c r="AF391" s="129">
        <v>10092945</v>
      </c>
      <c r="AG391" s="129">
        <v>15035641.810000001</v>
      </c>
      <c r="AH391" s="129">
        <v>37942541.020000003</v>
      </c>
      <c r="AI391" s="129">
        <v>38903383.919999994</v>
      </c>
      <c r="AJ391" s="129">
        <v>39336791.689999983</v>
      </c>
      <c r="AK391" s="129">
        <v>40750175.060000099</v>
      </c>
      <c r="AL391" s="129">
        <v>23254487.249999974</v>
      </c>
      <c r="AM391" s="129">
        <v>701778.06000000029</v>
      </c>
      <c r="AN391" s="129">
        <v>16188961.459999997</v>
      </c>
      <c r="AO391" s="129">
        <v>24576597.179999951</v>
      </c>
      <c r="AP391" s="129">
        <v>31535592.790000055</v>
      </c>
      <c r="AQ391" s="129">
        <v>41136480.070000172</v>
      </c>
      <c r="AR391" s="129">
        <v>51417793.100000344</v>
      </c>
      <c r="AS391" s="129">
        <v>77998426.91000028</v>
      </c>
      <c r="AT391" s="129">
        <v>92234676.900001138</v>
      </c>
      <c r="AU391" s="129">
        <v>92943545.73000291</v>
      </c>
      <c r="AV391" s="129">
        <v>102249811.2199963</v>
      </c>
      <c r="AW391" s="129">
        <v>117352812.94999501</v>
      </c>
      <c r="AX391" s="129">
        <v>101748747.60999593</v>
      </c>
      <c r="AY391" s="129">
        <v>127717580.61000481</v>
      </c>
      <c r="AZ391" s="129">
        <v>155622971.1199902</v>
      </c>
      <c r="BA391" s="129">
        <v>151952033.99999821</v>
      </c>
      <c r="BB391" s="129">
        <v>157997193.89000535</v>
      </c>
      <c r="BC391" s="129">
        <v>149798147.93999976</v>
      </c>
      <c r="BD391" s="129">
        <v>169297268.64999565</v>
      </c>
      <c r="BE391" s="129">
        <v>172803272.02999794</v>
      </c>
      <c r="BF391" s="129">
        <v>214996954.15001383</v>
      </c>
      <c r="BG391" s="129">
        <v>237700437.08999887</v>
      </c>
      <c r="BH391" s="129">
        <v>236582190.1300045</v>
      </c>
      <c r="BI391" s="129">
        <v>305045592.61998051</v>
      </c>
      <c r="BJ391" s="129">
        <v>328111718.51002562</v>
      </c>
      <c r="BK391" s="129">
        <v>349168827.41002584</v>
      </c>
      <c r="BL391" s="129">
        <v>345609150.82003832</v>
      </c>
      <c r="BM391" s="129">
        <v>304784400.04004145</v>
      </c>
      <c r="BN391" s="129">
        <v>302408433.08996952</v>
      </c>
      <c r="BO391" s="129">
        <v>286609732.22003019</v>
      </c>
      <c r="BP391" s="129">
        <v>400739491.78254288</v>
      </c>
      <c r="BQ391" s="129">
        <v>352827429.68254626</v>
      </c>
      <c r="BR391" s="129">
        <v>305103700.69609708</v>
      </c>
      <c r="BS391" s="129">
        <v>273933307.80915147</v>
      </c>
      <c r="BT391" s="129">
        <v>252549245.98305085</v>
      </c>
      <c r="BU391" s="129">
        <v>308984022.34305489</v>
      </c>
      <c r="BV391" s="129">
        <v>323489520.98305601</v>
      </c>
      <c r="BW391" s="129">
        <v>320982620.57000411</v>
      </c>
      <c r="BX391" s="129">
        <v>341570279.77000636</v>
      </c>
      <c r="BY391" s="129">
        <v>326888635.83000529</v>
      </c>
      <c r="BZ391" s="129">
        <v>272870893.40000242</v>
      </c>
      <c r="CA391" s="129">
        <v>241378341.07000488</v>
      </c>
      <c r="CB391" s="129">
        <v>326386354.35000378</v>
      </c>
      <c r="CC391" s="129">
        <v>332028029.38000494</v>
      </c>
      <c r="CD391" s="129">
        <v>393468108.63436681</v>
      </c>
      <c r="CE391" s="129">
        <v>407128548.67034614</v>
      </c>
      <c r="CF391" s="129">
        <v>391995480.99006099</v>
      </c>
      <c r="CG391" s="129">
        <v>482842491.28010553</v>
      </c>
      <c r="CH391" s="129">
        <v>474952212.90013832</v>
      </c>
      <c r="CI391" s="129">
        <v>455498684.51000363</v>
      </c>
      <c r="CJ391" s="129">
        <v>465119968.07098442</v>
      </c>
      <c r="CK391" s="129">
        <v>508133503.32000118</v>
      </c>
      <c r="CL391" s="129">
        <v>424501340.13000178</v>
      </c>
      <c r="CM391" s="129">
        <v>400618944.29999751</v>
      </c>
      <c r="CN391" s="129">
        <v>570949637.67999613</v>
      </c>
      <c r="CO391" s="129">
        <v>513438567.99000001</v>
      </c>
      <c r="CP391" s="129">
        <v>640055629.81999576</v>
      </c>
      <c r="CQ391" s="129">
        <v>691118265.92999864</v>
      </c>
      <c r="CR391" s="129">
        <v>667830111.98999512</v>
      </c>
      <c r="CS391" s="129">
        <v>780787377.02999902</v>
      </c>
      <c r="CT391" s="129">
        <f>CT387*CT395</f>
        <v>671971109.94275129</v>
      </c>
      <c r="CU391" s="129">
        <f t="shared" ref="CU391:DQ391" si="1285">CU387*CU395</f>
        <v>656420612.73633289</v>
      </c>
      <c r="CV391" s="129">
        <f t="shared" si="1285"/>
        <v>654222421.6572367</v>
      </c>
      <c r="CW391" s="129">
        <f t="shared" si="1285"/>
        <v>712734922.90033388</v>
      </c>
      <c r="CX391" s="129">
        <f t="shared" si="1285"/>
        <v>629891938.90787458</v>
      </c>
      <c r="CY391" s="129">
        <f t="shared" si="1285"/>
        <v>579765235.46463668</v>
      </c>
      <c r="CZ391" s="129">
        <f t="shared" si="1285"/>
        <v>737735430.06899476</v>
      </c>
      <c r="DA391" s="129">
        <f t="shared" si="1285"/>
        <v>673931573.54593372</v>
      </c>
      <c r="DB391" s="129">
        <f t="shared" si="1285"/>
        <v>812804395.34757435</v>
      </c>
      <c r="DC391" s="129">
        <f t="shared" si="1285"/>
        <v>833803435.10439599</v>
      </c>
      <c r="DD391" s="129">
        <f t="shared" si="1285"/>
        <v>770302517.5173651</v>
      </c>
      <c r="DE391" s="129">
        <f t="shared" si="1285"/>
        <v>905334538.97223377</v>
      </c>
      <c r="DF391" s="129">
        <f t="shared" si="1285"/>
        <v>824449260.33123171</v>
      </c>
      <c r="DG391" s="129">
        <f t="shared" si="1285"/>
        <v>807532740.41706645</v>
      </c>
      <c r="DH391" s="129">
        <f t="shared" si="1285"/>
        <v>800715744.77832496</v>
      </c>
      <c r="DI391" s="129">
        <f t="shared" si="1285"/>
        <v>871501717.94011843</v>
      </c>
      <c r="DJ391" s="129">
        <f t="shared" si="1285"/>
        <v>769128536.04872036</v>
      </c>
      <c r="DK391" s="129">
        <f t="shared" si="1285"/>
        <v>706637194.4921484</v>
      </c>
      <c r="DL391" s="129">
        <f t="shared" si="1285"/>
        <v>895237587.6834296</v>
      </c>
      <c r="DM391" s="129">
        <f t="shared" si="1285"/>
        <v>813937580.07279837</v>
      </c>
      <c r="DN391" s="129">
        <f t="shared" si="1285"/>
        <v>977474172.30772114</v>
      </c>
      <c r="DO391" s="129">
        <f t="shared" si="1285"/>
        <v>998498781.43257451</v>
      </c>
      <c r="DP391" s="129">
        <f t="shared" si="1285"/>
        <v>918283758.53884041</v>
      </c>
      <c r="DQ391" s="129">
        <f t="shared" si="1285"/>
        <v>1066801629.6207221</v>
      </c>
      <c r="DR391" s="129">
        <f t="shared" ref="DR391:EC391" si="1286">DR387*DR395</f>
        <v>942620320.97870839</v>
      </c>
      <c r="DS391" s="129">
        <f t="shared" si="1286"/>
        <v>922450861.16872609</v>
      </c>
      <c r="DT391" s="129">
        <f t="shared" si="1286"/>
        <v>914126211.17510974</v>
      </c>
      <c r="DU391" s="129">
        <f t="shared" si="1286"/>
        <v>994361436.66055775</v>
      </c>
      <c r="DV391" s="129">
        <f t="shared" si="1286"/>
        <v>876806531.09554136</v>
      </c>
      <c r="DW391" s="129">
        <f t="shared" si="1286"/>
        <v>804670664.43225634</v>
      </c>
      <c r="DX391" s="129">
        <f t="shared" si="1286"/>
        <v>1019157316.9259256</v>
      </c>
      <c r="DY391" s="129">
        <f t="shared" si="1286"/>
        <v>926102149.03404987</v>
      </c>
      <c r="DZ391" s="129">
        <f t="shared" si="1286"/>
        <v>1111876871.0000329</v>
      </c>
      <c r="EA391" s="129">
        <f t="shared" si="1286"/>
        <v>1135490050.2346559</v>
      </c>
      <c r="EB391" s="129">
        <f t="shared" si="1286"/>
        <v>1043719426.5866716</v>
      </c>
      <c r="EC391" s="129">
        <f t="shared" si="1286"/>
        <v>1212208153.110122</v>
      </c>
      <c r="ED391" s="113" t="s">
        <v>1</v>
      </c>
    </row>
    <row r="392" spans="1:134" x14ac:dyDescent="0.2">
      <c r="A392" s="114" t="s">
        <v>193</v>
      </c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29">
        <v>0</v>
      </c>
      <c r="AC392" s="129">
        <v>0</v>
      </c>
      <c r="AD392" s="129">
        <v>34000</v>
      </c>
      <c r="AE392" s="129">
        <v>143839.02000000002</v>
      </c>
      <c r="AF392" s="129">
        <v>463125.03</v>
      </c>
      <c r="AG392" s="129">
        <v>1161159.19</v>
      </c>
      <c r="AH392" s="129">
        <v>1928438.08</v>
      </c>
      <c r="AI392" s="129">
        <v>1856202.06</v>
      </c>
      <c r="AJ392" s="129">
        <v>2315520.09</v>
      </c>
      <c r="AK392" s="129">
        <v>3745269</v>
      </c>
      <c r="AL392" s="129">
        <v>3629238</v>
      </c>
      <c r="AM392" s="129">
        <v>19727</v>
      </c>
      <c r="AN392" s="129">
        <v>1232666</v>
      </c>
      <c r="AO392" s="129">
        <v>1302923</v>
      </c>
      <c r="AP392" s="129">
        <v>2448108</v>
      </c>
      <c r="AQ392" s="129">
        <v>5355146</v>
      </c>
      <c r="AR392" s="129">
        <v>6054327</v>
      </c>
      <c r="AS392" s="129">
        <v>6979947</v>
      </c>
      <c r="AT392" s="129">
        <v>8873855</v>
      </c>
      <c r="AU392" s="129">
        <v>6911190</v>
      </c>
      <c r="AV392" s="129">
        <v>6423876</v>
      </c>
      <c r="AW392" s="129">
        <v>5395927.2200000007</v>
      </c>
      <c r="AX392" s="129">
        <v>4630001</v>
      </c>
      <c r="AY392" s="129">
        <v>3163465.78</v>
      </c>
      <c r="AZ392" s="129">
        <v>1310494.76</v>
      </c>
      <c r="BA392" s="129">
        <v>4719185</v>
      </c>
      <c r="BB392" s="129">
        <v>3050782.9</v>
      </c>
      <c r="BC392" s="129">
        <v>3718284</v>
      </c>
      <c r="BD392" s="129">
        <v>2473023</v>
      </c>
      <c r="BE392" s="129">
        <v>3503031.2199999997</v>
      </c>
      <c r="BF392" s="129">
        <v>3565688</v>
      </c>
      <c r="BG392" s="129">
        <v>1842725</v>
      </c>
      <c r="BH392" s="129">
        <v>1279096</v>
      </c>
      <c r="BI392" s="129">
        <v>2066617</v>
      </c>
      <c r="BJ392" s="129">
        <v>3135734</v>
      </c>
      <c r="BK392" s="129">
        <v>3693563</v>
      </c>
      <c r="BL392" s="129">
        <v>1699363</v>
      </c>
      <c r="BM392" s="129">
        <v>827579</v>
      </c>
      <c r="BN392" s="129">
        <v>536423</v>
      </c>
      <c r="BO392" s="129">
        <v>75658</v>
      </c>
      <c r="BP392" s="129">
        <v>5490063</v>
      </c>
      <c r="BQ392" s="129">
        <v>4072820</v>
      </c>
      <c r="BR392" s="129">
        <v>3842823</v>
      </c>
      <c r="BS392" s="129">
        <v>4566006</v>
      </c>
      <c r="BT392" s="129">
        <v>4164425</v>
      </c>
      <c r="BU392" s="129">
        <v>2540828</v>
      </c>
      <c r="BV392" s="129">
        <v>4492493</v>
      </c>
      <c r="BW392" s="129">
        <v>4855458</v>
      </c>
      <c r="BX392" s="129">
        <v>3864757</v>
      </c>
      <c r="BY392" s="129">
        <v>4159899</v>
      </c>
      <c r="BZ392" s="129">
        <v>5284297</v>
      </c>
      <c r="CA392" s="129">
        <v>2040632</v>
      </c>
      <c r="CB392" s="129">
        <v>5254661</v>
      </c>
      <c r="CC392" s="129">
        <v>3082809</v>
      </c>
      <c r="CD392" s="129">
        <v>5119783</v>
      </c>
      <c r="CE392" s="129">
        <v>8803833</v>
      </c>
      <c r="CF392" s="129">
        <v>3859661</v>
      </c>
      <c r="CG392" s="129">
        <v>6622968</v>
      </c>
      <c r="CH392" s="129">
        <v>6963357</v>
      </c>
      <c r="CI392" s="129">
        <v>7951124</v>
      </c>
      <c r="CJ392" s="129">
        <v>6751325</v>
      </c>
      <c r="CK392" s="129">
        <v>10589864</v>
      </c>
      <c r="CL392" s="129">
        <v>6839084</v>
      </c>
      <c r="CM392" s="129">
        <v>7098233</v>
      </c>
      <c r="CN392" s="129">
        <v>11212948</v>
      </c>
      <c r="CO392" s="129">
        <v>9639558</v>
      </c>
      <c r="CP392" s="129">
        <v>5809747</v>
      </c>
      <c r="CQ392" s="129">
        <v>6292157</v>
      </c>
      <c r="CR392" s="129">
        <v>5836059</v>
      </c>
      <c r="CS392" s="129">
        <v>8888381</v>
      </c>
      <c r="CT392" s="129">
        <f>CT387*CT396</f>
        <v>10692813.980682004</v>
      </c>
      <c r="CU392" s="129">
        <f t="shared" ref="CU392:DQ392" si="1287">CU387*CU396</f>
        <v>10445364.988493171</v>
      </c>
      <c r="CV392" s="129">
        <f t="shared" si="1287"/>
        <v>10410386.031875866</v>
      </c>
      <c r="CW392" s="129">
        <f t="shared" si="1287"/>
        <v>11341472.62485479</v>
      </c>
      <c r="CX392" s="129">
        <f t="shared" si="1287"/>
        <v>10023224.556851609</v>
      </c>
      <c r="CY392" s="129">
        <f t="shared" si="1287"/>
        <v>9225577.8910165001</v>
      </c>
      <c r="CZ392" s="129">
        <f t="shared" si="1287"/>
        <v>11739295.936931364</v>
      </c>
      <c r="DA392" s="129">
        <f t="shared" si="1287"/>
        <v>10724010.07276774</v>
      </c>
      <c r="DB392" s="129">
        <f t="shared" si="1287"/>
        <v>12933839.079588963</v>
      </c>
      <c r="DC392" s="129">
        <f t="shared" si="1287"/>
        <v>13267988.602641774</v>
      </c>
      <c r="DD392" s="129">
        <f t="shared" si="1287"/>
        <v>12257523.287520435</v>
      </c>
      <c r="DE392" s="129">
        <f t="shared" si="1287"/>
        <v>14406235.137610808</v>
      </c>
      <c r="DF392" s="129">
        <f t="shared" si="1287"/>
        <v>13119139.270710293</v>
      </c>
      <c r="DG392" s="129">
        <f t="shared" si="1287"/>
        <v>12849953.292375477</v>
      </c>
      <c r="DH392" s="129">
        <f t="shared" si="1287"/>
        <v>12741477.101667825</v>
      </c>
      <c r="DI392" s="129">
        <f t="shared" si="1287"/>
        <v>13867866.662559945</v>
      </c>
      <c r="DJ392" s="129">
        <f t="shared" si="1287"/>
        <v>12238842.178652441</v>
      </c>
      <c r="DK392" s="129">
        <f t="shared" si="1287"/>
        <v>11244441.852833945</v>
      </c>
      <c r="DL392" s="129">
        <f t="shared" si="1287"/>
        <v>14245566.292915406</v>
      </c>
      <c r="DM392" s="129">
        <f t="shared" si="1287"/>
        <v>12951871.005803175</v>
      </c>
      <c r="DN392" s="129">
        <f t="shared" si="1287"/>
        <v>15554164.964470012</v>
      </c>
      <c r="DO392" s="129">
        <f t="shared" si="1287"/>
        <v>15888721.362895774</v>
      </c>
      <c r="DP392" s="129">
        <f t="shared" si="1287"/>
        <v>14612291.01407926</v>
      </c>
      <c r="DQ392" s="129">
        <f t="shared" si="1287"/>
        <v>16975597.925325442</v>
      </c>
      <c r="DR392" s="129">
        <f t="shared" ref="DR392:EC392" si="1288">DR387*DR396</f>
        <v>14999549.232845437</v>
      </c>
      <c r="DS392" s="129">
        <f t="shared" si="1288"/>
        <v>14678600.491675066</v>
      </c>
      <c r="DT392" s="129">
        <f t="shared" si="1288"/>
        <v>14546133.585704049</v>
      </c>
      <c r="DU392" s="129">
        <f t="shared" si="1288"/>
        <v>15822885.410476793</v>
      </c>
      <c r="DV392" s="129">
        <f t="shared" si="1288"/>
        <v>13952280.083663782</v>
      </c>
      <c r="DW392" s="129">
        <f t="shared" si="1288"/>
        <v>12804410.194389079</v>
      </c>
      <c r="DX392" s="129">
        <f t="shared" si="1288"/>
        <v>16217452.574513698</v>
      </c>
      <c r="DY392" s="129">
        <f t="shared" si="1288"/>
        <v>14736702.010261416</v>
      </c>
      <c r="DZ392" s="129">
        <f t="shared" si="1288"/>
        <v>17692862.647084642</v>
      </c>
      <c r="EA392" s="129">
        <f t="shared" si="1288"/>
        <v>18068609.951265384</v>
      </c>
      <c r="EB392" s="129">
        <f t="shared" si="1288"/>
        <v>16608299.838167405</v>
      </c>
      <c r="EC392" s="129">
        <f t="shared" si="1288"/>
        <v>19289395.176791035</v>
      </c>
      <c r="ED392" s="113" t="s">
        <v>1</v>
      </c>
    </row>
    <row r="393" spans="1:134" x14ac:dyDescent="0.2">
      <c r="A393" s="114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115"/>
      <c r="AL393" s="115"/>
      <c r="AM393" s="115"/>
      <c r="AN393" s="115"/>
      <c r="AO393" s="115"/>
      <c r="AP393" s="115"/>
      <c r="AQ393" s="115"/>
      <c r="AR393" s="115"/>
      <c r="AS393" s="115"/>
      <c r="AT393" s="115"/>
      <c r="AU393" s="115"/>
      <c r="AV393" s="115"/>
      <c r="AW393" s="115"/>
      <c r="AX393" s="115"/>
      <c r="AY393" s="115"/>
      <c r="AZ393" s="115"/>
      <c r="BA393" s="115"/>
      <c r="BB393" s="115"/>
      <c r="BC393" s="115"/>
      <c r="BD393" s="115"/>
      <c r="BE393" s="115"/>
      <c r="BF393" s="115"/>
      <c r="BG393" s="115"/>
      <c r="BH393" s="115"/>
      <c r="BI393" s="115"/>
      <c r="BJ393" s="115"/>
      <c r="BK393" s="115"/>
      <c r="BL393" s="115"/>
      <c r="BM393" s="115"/>
      <c r="BN393" s="115"/>
      <c r="BO393" s="115"/>
      <c r="BP393" s="115"/>
      <c r="BQ393" s="115"/>
      <c r="BR393" s="115"/>
      <c r="BS393" s="115"/>
      <c r="BT393" s="115"/>
      <c r="BU393" s="115"/>
      <c r="BV393" s="115"/>
      <c r="BW393" s="115"/>
      <c r="BX393" s="115"/>
      <c r="BY393" s="115"/>
      <c r="BZ393" s="115"/>
      <c r="CA393" s="115"/>
      <c r="CB393" s="115"/>
      <c r="CC393" s="115"/>
      <c r="CD393" s="115"/>
      <c r="CE393" s="115"/>
      <c r="CF393" s="115"/>
      <c r="CG393" s="115"/>
      <c r="CH393" s="115"/>
      <c r="CI393" s="115"/>
      <c r="CJ393" s="115"/>
      <c r="CK393" s="115"/>
      <c r="CL393" s="115"/>
      <c r="CM393" s="115"/>
      <c r="CN393" s="115"/>
      <c r="CO393" s="115"/>
      <c r="CP393" s="115"/>
      <c r="CQ393" s="115"/>
      <c r="CR393" s="115"/>
      <c r="CS393" s="130"/>
      <c r="CT393" s="130"/>
      <c r="CU393" s="115"/>
      <c r="CV393" s="115"/>
      <c r="CW393" s="115"/>
      <c r="CX393" s="115"/>
      <c r="CY393" s="115"/>
      <c r="CZ393" s="115"/>
      <c r="DA393" s="115"/>
      <c r="DB393" s="115"/>
      <c r="DC393" s="115"/>
      <c r="DD393" s="115"/>
      <c r="DE393" s="115"/>
      <c r="DF393" s="115"/>
      <c r="DG393" s="115"/>
      <c r="DH393" s="115"/>
      <c r="DI393" s="115"/>
      <c r="DJ393" s="115"/>
      <c r="DK393" s="115"/>
      <c r="DL393" s="115"/>
      <c r="DM393" s="115"/>
      <c r="DN393" s="115"/>
      <c r="DO393" s="115"/>
      <c r="DP393" s="115"/>
      <c r="DQ393" s="115"/>
      <c r="DR393" s="115"/>
      <c r="DS393" s="115"/>
      <c r="DT393" s="115"/>
      <c r="DU393" s="115"/>
      <c r="DV393" s="115"/>
      <c r="DW393" s="115"/>
      <c r="DX393" s="115"/>
      <c r="DY393" s="115"/>
      <c r="DZ393" s="115"/>
      <c r="EA393" s="115"/>
      <c r="EB393" s="115"/>
      <c r="EC393" s="645"/>
      <c r="ED393" s="113" t="s">
        <v>1</v>
      </c>
    </row>
    <row r="394" spans="1:134" x14ac:dyDescent="0.2">
      <c r="A394" s="116" t="s">
        <v>5</v>
      </c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31">
        <f>SUM(AB395:AB396)</f>
        <v>365</v>
      </c>
      <c r="AC394" s="131">
        <f t="shared" ref="AC394:CN394" si="1289">SUM(AC395:AC396)</f>
        <v>278</v>
      </c>
      <c r="AD394" s="131">
        <f t="shared" si="1289"/>
        <v>536</v>
      </c>
      <c r="AE394" s="131">
        <f t="shared" si="1289"/>
        <v>926</v>
      </c>
      <c r="AF394" s="131">
        <f t="shared" si="1289"/>
        <v>827</v>
      </c>
      <c r="AG394" s="131">
        <f t="shared" si="1289"/>
        <v>1258</v>
      </c>
      <c r="AH394" s="131">
        <f t="shared" si="1289"/>
        <v>2110</v>
      </c>
      <c r="AI394" s="131">
        <f t="shared" si="1289"/>
        <v>2095</v>
      </c>
      <c r="AJ394" s="131">
        <f t="shared" si="1289"/>
        <v>2427</v>
      </c>
      <c r="AK394" s="131">
        <f t="shared" si="1289"/>
        <v>3136</v>
      </c>
      <c r="AL394" s="131">
        <f t="shared" si="1289"/>
        <v>1808</v>
      </c>
      <c r="AM394" s="131">
        <f t="shared" si="1289"/>
        <v>52</v>
      </c>
      <c r="AN394" s="131">
        <f t="shared" si="1289"/>
        <v>1290</v>
      </c>
      <c r="AO394" s="131">
        <f t="shared" si="1289"/>
        <v>1959</v>
      </c>
      <c r="AP394" s="131">
        <f t="shared" si="1289"/>
        <v>2540</v>
      </c>
      <c r="AQ394" s="131">
        <f t="shared" si="1289"/>
        <v>3673</v>
      </c>
      <c r="AR394" s="131">
        <f t="shared" si="1289"/>
        <v>4009</v>
      </c>
      <c r="AS394" s="131">
        <f t="shared" si="1289"/>
        <v>5579</v>
      </c>
      <c r="AT394" s="131">
        <f t="shared" si="1289"/>
        <v>6925</v>
      </c>
      <c r="AU394" s="131">
        <f t="shared" si="1289"/>
        <v>6865</v>
      </c>
      <c r="AV394" s="131">
        <f t="shared" si="1289"/>
        <v>6978</v>
      </c>
      <c r="AW394" s="131">
        <f t="shared" si="1289"/>
        <v>7566</v>
      </c>
      <c r="AX394" s="131">
        <f t="shared" si="1289"/>
        <v>6552</v>
      </c>
      <c r="AY394" s="131">
        <f t="shared" si="1289"/>
        <v>8769</v>
      </c>
      <c r="AZ394" s="131">
        <f t="shared" si="1289"/>
        <v>9095</v>
      </c>
      <c r="BA394" s="131">
        <f t="shared" si="1289"/>
        <v>9732</v>
      </c>
      <c r="BB394" s="131">
        <f t="shared" si="1289"/>
        <v>10287</v>
      </c>
      <c r="BC394" s="131">
        <f t="shared" si="1289"/>
        <v>10390</v>
      </c>
      <c r="BD394" s="131">
        <f t="shared" si="1289"/>
        <v>10594</v>
      </c>
      <c r="BE394" s="131">
        <f t="shared" si="1289"/>
        <v>10187</v>
      </c>
      <c r="BF394" s="131">
        <f t="shared" si="1289"/>
        <v>11572</v>
      </c>
      <c r="BG394" s="131">
        <f t="shared" si="1289"/>
        <v>11976</v>
      </c>
      <c r="BH394" s="131">
        <f t="shared" si="1289"/>
        <v>11023</v>
      </c>
      <c r="BI394" s="131">
        <f t="shared" si="1289"/>
        <v>12932</v>
      </c>
      <c r="BJ394" s="131">
        <f t="shared" si="1289"/>
        <v>13201</v>
      </c>
      <c r="BK394" s="131">
        <f t="shared" si="1289"/>
        <v>14628</v>
      </c>
      <c r="BL394" s="131">
        <f t="shared" si="1289"/>
        <v>14693</v>
      </c>
      <c r="BM394" s="131">
        <f t="shared" si="1289"/>
        <v>13222</v>
      </c>
      <c r="BN394" s="131">
        <f t="shared" si="1289"/>
        <v>13379</v>
      </c>
      <c r="BO394" s="131">
        <f t="shared" si="1289"/>
        <v>12636</v>
      </c>
      <c r="BP394" s="131">
        <f t="shared" si="1289"/>
        <v>15254</v>
      </c>
      <c r="BQ394" s="131">
        <f t="shared" si="1289"/>
        <v>13790</v>
      </c>
      <c r="BR394" s="131">
        <f t="shared" si="1289"/>
        <v>12255</v>
      </c>
      <c r="BS394" s="131">
        <f t="shared" si="1289"/>
        <v>11040</v>
      </c>
      <c r="BT394" s="131">
        <f t="shared" si="1289"/>
        <v>9729</v>
      </c>
      <c r="BU394" s="131">
        <f t="shared" si="1289"/>
        <v>12176</v>
      </c>
      <c r="BV394" s="131">
        <f t="shared" si="1289"/>
        <v>12948</v>
      </c>
      <c r="BW394" s="131">
        <f t="shared" si="1289"/>
        <v>12532</v>
      </c>
      <c r="BX394" s="131">
        <f t="shared" si="1289"/>
        <v>13565</v>
      </c>
      <c r="BY394" s="131">
        <f t="shared" si="1289"/>
        <v>12910</v>
      </c>
      <c r="BZ394" s="131">
        <f t="shared" si="1289"/>
        <v>10609</v>
      </c>
      <c r="CA394" s="131">
        <f t="shared" si="1289"/>
        <v>9299</v>
      </c>
      <c r="CB394" s="131">
        <f t="shared" si="1289"/>
        <v>11327</v>
      </c>
      <c r="CC394" s="131">
        <f t="shared" si="1289"/>
        <v>11093</v>
      </c>
      <c r="CD394" s="131">
        <f t="shared" si="1289"/>
        <v>13078</v>
      </c>
      <c r="CE394" s="131">
        <f t="shared" si="1289"/>
        <v>13361</v>
      </c>
      <c r="CF394" s="131">
        <f t="shared" si="1289"/>
        <v>12631</v>
      </c>
      <c r="CG394" s="131">
        <f t="shared" si="1289"/>
        <v>15511</v>
      </c>
      <c r="CH394" s="131">
        <f t="shared" si="1289"/>
        <v>15328</v>
      </c>
      <c r="CI394" s="131">
        <f t="shared" si="1289"/>
        <v>15252</v>
      </c>
      <c r="CJ394" s="131">
        <f t="shared" si="1289"/>
        <v>15331</v>
      </c>
      <c r="CK394" s="131">
        <f t="shared" si="1289"/>
        <v>16995</v>
      </c>
      <c r="CL394" s="131">
        <f t="shared" si="1289"/>
        <v>14763</v>
      </c>
      <c r="CM394" s="131">
        <f t="shared" si="1289"/>
        <v>13644</v>
      </c>
      <c r="CN394" s="131">
        <f t="shared" si="1289"/>
        <v>17482</v>
      </c>
      <c r="CO394" s="131">
        <f t="shared" ref="CO394:CS394" si="1290">SUM(CO395:CO396)</f>
        <v>15861</v>
      </c>
      <c r="CP394" s="131">
        <f t="shared" si="1290"/>
        <v>19815</v>
      </c>
      <c r="CQ394" s="131">
        <f t="shared" si="1290"/>
        <v>21208</v>
      </c>
      <c r="CR394" s="131">
        <f t="shared" si="1290"/>
        <v>20145</v>
      </c>
      <c r="CS394" s="131">
        <f t="shared" si="1290"/>
        <v>23622</v>
      </c>
      <c r="CT394" s="131">
        <f t="shared" ref="CT394:DQ394" si="1291">CT482*CT486</f>
        <v>20817.756521739131</v>
      </c>
      <c r="CU394" s="131">
        <f t="shared" si="1291"/>
        <v>20336</v>
      </c>
      <c r="CV394" s="131">
        <f t="shared" si="1291"/>
        <v>20267.89974093264</v>
      </c>
      <c r="CW394" s="131">
        <f t="shared" si="1291"/>
        <v>22080.625</v>
      </c>
      <c r="CX394" s="131">
        <f t="shared" si="1291"/>
        <v>19514.138071065991</v>
      </c>
      <c r="CY394" s="131">
        <f t="shared" si="1291"/>
        <v>17961.205970149254</v>
      </c>
      <c r="CZ394" s="131">
        <f t="shared" si="1291"/>
        <v>22855.144117647062</v>
      </c>
      <c r="DA394" s="131">
        <f t="shared" si="1291"/>
        <v>20878.491951219516</v>
      </c>
      <c r="DB394" s="131">
        <f t="shared" si="1291"/>
        <v>25180.790887850468</v>
      </c>
      <c r="DC394" s="131">
        <f t="shared" si="1291"/>
        <v>25831.344000000001</v>
      </c>
      <c r="DD394" s="131">
        <f t="shared" si="1291"/>
        <v>23864.076923076926</v>
      </c>
      <c r="DE394" s="131">
        <f t="shared" si="1291"/>
        <v>28047.387341772155</v>
      </c>
      <c r="DF394" s="131">
        <f t="shared" si="1291"/>
        <v>24797.621739130438</v>
      </c>
      <c r="DG394" s="131">
        <f t="shared" si="1291"/>
        <v>24288.81</v>
      </c>
      <c r="DH394" s="131">
        <f t="shared" si="1291"/>
        <v>24083.769753886012</v>
      </c>
      <c r="DI394" s="131">
        <f t="shared" si="1291"/>
        <v>26212.856250000001</v>
      </c>
      <c r="DJ394" s="131">
        <f t="shared" si="1291"/>
        <v>23133.695939086298</v>
      </c>
      <c r="DK394" s="131">
        <f t="shared" si="1291"/>
        <v>21254.093731343288</v>
      </c>
      <c r="DL394" s="131">
        <f t="shared" si="1291"/>
        <v>26926.779044117651</v>
      </c>
      <c r="DM394" s="131">
        <f t="shared" si="1291"/>
        <v>24481.453500000003</v>
      </c>
      <c r="DN394" s="131">
        <f t="shared" si="1291"/>
        <v>29400.274766355142</v>
      </c>
      <c r="DO394" s="131">
        <f t="shared" si="1291"/>
        <v>30032.648800000006</v>
      </c>
      <c r="DP394" s="131">
        <f t="shared" si="1291"/>
        <v>27619.957211538462</v>
      </c>
      <c r="DQ394" s="131">
        <f t="shared" si="1291"/>
        <v>32087.048354430382</v>
      </c>
      <c r="DR394" s="131">
        <f t="shared" ref="DR394:EC394" si="1292">DR482*DR486</f>
        <v>28351.947521739137</v>
      </c>
      <c r="DS394" s="131">
        <f t="shared" si="1292"/>
        <v>27745.294500000004</v>
      </c>
      <c r="DT394" s="131">
        <f t="shared" si="1292"/>
        <v>27494.907324481868</v>
      </c>
      <c r="DU394" s="131">
        <f t="shared" si="1292"/>
        <v>29908.206562500007</v>
      </c>
      <c r="DV394" s="131">
        <f t="shared" si="1292"/>
        <v>26372.413370558381</v>
      </c>
      <c r="DW394" s="131">
        <f t="shared" si="1292"/>
        <v>24202.725044776125</v>
      </c>
      <c r="DX394" s="131">
        <f t="shared" si="1292"/>
        <v>30654.012143382362</v>
      </c>
      <c r="DY394" s="131">
        <f t="shared" si="1292"/>
        <v>27855.117214024394</v>
      </c>
      <c r="DZ394" s="131">
        <f t="shared" si="1292"/>
        <v>33442.812546728979</v>
      </c>
      <c r="EA394" s="131">
        <f t="shared" si="1292"/>
        <v>34153.045080000004</v>
      </c>
      <c r="EB394" s="131">
        <f t="shared" si="1292"/>
        <v>31392.786418269232</v>
      </c>
      <c r="EC394" s="131">
        <f t="shared" si="1292"/>
        <v>36460.557000000008</v>
      </c>
      <c r="ED394" s="113" t="s">
        <v>1</v>
      </c>
    </row>
    <row r="395" spans="1:134" x14ac:dyDescent="0.2">
      <c r="A395" s="114" t="s">
        <v>192</v>
      </c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29">
        <v>365</v>
      </c>
      <c r="AC395" s="129">
        <v>278</v>
      </c>
      <c r="AD395" s="129">
        <v>535</v>
      </c>
      <c r="AE395" s="129">
        <v>915</v>
      </c>
      <c r="AF395" s="129">
        <v>789</v>
      </c>
      <c r="AG395" s="129">
        <v>1176</v>
      </c>
      <c r="AH395" s="129">
        <v>1987</v>
      </c>
      <c r="AI395" s="129">
        <v>1998</v>
      </c>
      <c r="AJ395" s="129">
        <v>2274</v>
      </c>
      <c r="AK395" s="129">
        <v>2777</v>
      </c>
      <c r="AL395" s="129">
        <v>1543</v>
      </c>
      <c r="AM395" s="129">
        <v>50</v>
      </c>
      <c r="AN395" s="129">
        <v>1180</v>
      </c>
      <c r="AO395" s="129">
        <v>1853</v>
      </c>
      <c r="AP395" s="129">
        <v>2349</v>
      </c>
      <c r="AQ395" s="129">
        <v>3147</v>
      </c>
      <c r="AR395" s="129">
        <v>3541</v>
      </c>
      <c r="AS395" s="129">
        <v>5012</v>
      </c>
      <c r="AT395" s="129">
        <v>6196</v>
      </c>
      <c r="AU395" s="129">
        <v>6259</v>
      </c>
      <c r="AV395" s="129">
        <v>6499</v>
      </c>
      <c r="AW395" s="129">
        <v>7137</v>
      </c>
      <c r="AX395" s="129">
        <v>6209</v>
      </c>
      <c r="AY395" s="129">
        <v>8564</v>
      </c>
      <c r="AZ395" s="129">
        <v>9023</v>
      </c>
      <c r="BA395" s="129">
        <v>9392</v>
      </c>
      <c r="BB395" s="129">
        <v>10042</v>
      </c>
      <c r="BC395" s="129">
        <v>10047</v>
      </c>
      <c r="BD395" s="129">
        <v>10402</v>
      </c>
      <c r="BE395" s="129">
        <v>9961</v>
      </c>
      <c r="BF395" s="129">
        <v>11350</v>
      </c>
      <c r="BG395" s="129">
        <v>11851</v>
      </c>
      <c r="BH395" s="129">
        <v>10944</v>
      </c>
      <c r="BI395" s="129">
        <v>12804</v>
      </c>
      <c r="BJ395" s="129">
        <v>13045</v>
      </c>
      <c r="BK395" s="129">
        <v>14417</v>
      </c>
      <c r="BL395" s="129">
        <v>14594</v>
      </c>
      <c r="BM395" s="129">
        <v>13172</v>
      </c>
      <c r="BN395" s="129">
        <v>13348</v>
      </c>
      <c r="BO395" s="129">
        <v>12633</v>
      </c>
      <c r="BP395" s="129">
        <v>14998</v>
      </c>
      <c r="BQ395" s="129">
        <v>13606</v>
      </c>
      <c r="BR395" s="129">
        <v>12058</v>
      </c>
      <c r="BS395" s="129">
        <v>10831</v>
      </c>
      <c r="BT395" s="129">
        <v>9543</v>
      </c>
      <c r="BU395" s="129">
        <v>12029</v>
      </c>
      <c r="BV395" s="129">
        <v>12736</v>
      </c>
      <c r="BW395" s="129">
        <v>12288</v>
      </c>
      <c r="BX395" s="129">
        <v>13388</v>
      </c>
      <c r="BY395" s="129">
        <v>12704</v>
      </c>
      <c r="BZ395" s="129">
        <v>10374</v>
      </c>
      <c r="CA395" s="129">
        <v>9214</v>
      </c>
      <c r="CB395" s="129">
        <v>11081</v>
      </c>
      <c r="CC395" s="129">
        <v>10975</v>
      </c>
      <c r="CD395" s="129">
        <v>12841</v>
      </c>
      <c r="CE395" s="129">
        <v>12975</v>
      </c>
      <c r="CF395" s="129">
        <v>12495</v>
      </c>
      <c r="CG395" s="129">
        <v>15262</v>
      </c>
      <c r="CH395" s="129">
        <v>15028</v>
      </c>
      <c r="CI395" s="129">
        <v>14902</v>
      </c>
      <c r="CJ395" s="129">
        <v>15014</v>
      </c>
      <c r="CK395" s="129">
        <v>16548</v>
      </c>
      <c r="CL395" s="129">
        <v>14488</v>
      </c>
      <c r="CM395" s="129">
        <v>13347</v>
      </c>
      <c r="CN395" s="129">
        <v>17081</v>
      </c>
      <c r="CO395" s="129">
        <v>15504</v>
      </c>
      <c r="CP395" s="129">
        <v>19578</v>
      </c>
      <c r="CQ395" s="129">
        <v>20973</v>
      </c>
      <c r="CR395" s="129">
        <v>19919</v>
      </c>
      <c r="CS395" s="129">
        <v>23252</v>
      </c>
      <c r="CT395" s="129">
        <f>CS395/CS394*CT394</f>
        <v>20491.680409934732</v>
      </c>
      <c r="CU395" s="129">
        <f t="shared" ref="CU395:DQ395" si="1293">CT395/CT394*CU394</f>
        <v>20017.469816272966</v>
      </c>
      <c r="CV395" s="129">
        <f t="shared" si="1293"/>
        <v>19950.436236396821</v>
      </c>
      <c r="CW395" s="129">
        <f t="shared" si="1293"/>
        <v>21734.768118702901</v>
      </c>
      <c r="CX395" s="129">
        <f t="shared" si="1293"/>
        <v>19208.481010432068</v>
      </c>
      <c r="CY395" s="129">
        <f t="shared" si="1293"/>
        <v>17679.873051304308</v>
      </c>
      <c r="CZ395" s="129">
        <f t="shared" si="1293"/>
        <v>22497.155660974066</v>
      </c>
      <c r="DA395" s="129">
        <f t="shared" si="1293"/>
        <v>20551.464518235378</v>
      </c>
      <c r="DB395" s="129">
        <f t="shared" si="1293"/>
        <v>24786.374977745279</v>
      </c>
      <c r="DC395" s="129">
        <f t="shared" si="1293"/>
        <v>25426.738239268478</v>
      </c>
      <c r="DD395" s="129">
        <f t="shared" si="1293"/>
        <v>23490.285183954984</v>
      </c>
      <c r="DE395" s="129">
        <f t="shared" si="1293"/>
        <v>27608.070886075951</v>
      </c>
      <c r="DF395" s="129">
        <f t="shared" si="1293"/>
        <v>24409.207547128139</v>
      </c>
      <c r="DG395" s="129">
        <f t="shared" si="1293"/>
        <v>23908.365511811022</v>
      </c>
      <c r="DH395" s="129">
        <f t="shared" si="1293"/>
        <v>23706.536885841906</v>
      </c>
      <c r="DI395" s="129">
        <f t="shared" si="1293"/>
        <v>25802.274723774448</v>
      </c>
      <c r="DJ395" s="129">
        <f t="shared" si="1293"/>
        <v>22771.344423657378</v>
      </c>
      <c r="DK395" s="129">
        <f t="shared" si="1293"/>
        <v>20921.183110710106</v>
      </c>
      <c r="DL395" s="129">
        <f t="shared" si="1293"/>
        <v>26505.015084828701</v>
      </c>
      <c r="DM395" s="129">
        <f t="shared" si="1293"/>
        <v>24097.991566421137</v>
      </c>
      <c r="DN395" s="129">
        <f t="shared" si="1293"/>
        <v>28939.767541583686</v>
      </c>
      <c r="DO395" s="129">
        <f t="shared" si="1293"/>
        <v>29562.236470138014</v>
      </c>
      <c r="DP395" s="129">
        <f t="shared" si="1293"/>
        <v>27187.335749838807</v>
      </c>
      <c r="DQ395" s="129">
        <f t="shared" si="1293"/>
        <v>31584.457215189876</v>
      </c>
      <c r="DR395" s="129">
        <f t="shared" ref="DR395" si="1294">DQ395/DQ394*DR394</f>
        <v>27907.860628883176</v>
      </c>
      <c r="DS395" s="129">
        <f t="shared" ref="DS395" si="1295">DR395/DR394*DS394</f>
        <v>27310.709834645673</v>
      </c>
      <c r="DT395" s="129">
        <f t="shared" ref="DT395" si="1296">DS395/DS394*DT394</f>
        <v>27064.244564763881</v>
      </c>
      <c r="DU395" s="129">
        <f t="shared" ref="DU395" si="1297">DT395/DT394*DU394</f>
        <v>29439.743416783091</v>
      </c>
      <c r="DV395" s="129">
        <f t="shared" ref="DV395" si="1298">DU395/DU394*DV394</f>
        <v>25959.332642969413</v>
      </c>
      <c r="DW395" s="129">
        <f t="shared" ref="DW395" si="1299">DV395/DV394*DW394</f>
        <v>23823.628936632565</v>
      </c>
      <c r="DX395" s="129">
        <f t="shared" ref="DX395" si="1300">DW395/DW394*DX394</f>
        <v>30173.867172886574</v>
      </c>
      <c r="DY395" s="129">
        <f t="shared" ref="DY395" si="1301">DX395/DX394*DY394</f>
        <v>27418.812355452341</v>
      </c>
      <c r="DZ395" s="129">
        <f t="shared" ref="DZ395" si="1302">DY395/DY394*DZ394</f>
        <v>32918.985578551445</v>
      </c>
      <c r="EA395" s="129">
        <f t="shared" ref="EA395" si="1303">DZ395/DZ394*EA394</f>
        <v>33618.093480660405</v>
      </c>
      <c r="EB395" s="129">
        <f t="shared" ref="EB395" si="1304">EA395/EA394*EB394</f>
        <v>30901.069756904417</v>
      </c>
      <c r="EC395" s="129">
        <f t="shared" ref="EC395" si="1305">EB395/EB394*EC394</f>
        <v>35889.462000000007</v>
      </c>
      <c r="ED395" s="113" t="s">
        <v>1</v>
      </c>
    </row>
    <row r="396" spans="1:134" x14ac:dyDescent="0.2">
      <c r="A396" s="114" t="s">
        <v>193</v>
      </c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29">
        <v>0</v>
      </c>
      <c r="AC396" s="129">
        <v>0</v>
      </c>
      <c r="AD396" s="129">
        <v>1</v>
      </c>
      <c r="AE396" s="129">
        <v>11</v>
      </c>
      <c r="AF396" s="129">
        <v>38</v>
      </c>
      <c r="AG396" s="129">
        <v>82</v>
      </c>
      <c r="AH396" s="129">
        <v>123</v>
      </c>
      <c r="AI396" s="129">
        <v>97</v>
      </c>
      <c r="AJ396" s="129">
        <v>153</v>
      </c>
      <c r="AK396" s="129">
        <v>359</v>
      </c>
      <c r="AL396" s="129">
        <v>265</v>
      </c>
      <c r="AM396" s="129">
        <v>2</v>
      </c>
      <c r="AN396" s="129">
        <v>110</v>
      </c>
      <c r="AO396" s="129">
        <v>106</v>
      </c>
      <c r="AP396" s="129">
        <v>191</v>
      </c>
      <c r="AQ396" s="129">
        <v>526</v>
      </c>
      <c r="AR396" s="129">
        <v>468</v>
      </c>
      <c r="AS396" s="129">
        <v>567</v>
      </c>
      <c r="AT396" s="129">
        <v>729</v>
      </c>
      <c r="AU396" s="129">
        <v>606</v>
      </c>
      <c r="AV396" s="129">
        <v>479</v>
      </c>
      <c r="AW396" s="129">
        <v>429</v>
      </c>
      <c r="AX396" s="129">
        <v>343</v>
      </c>
      <c r="AY396" s="129">
        <v>205</v>
      </c>
      <c r="AZ396" s="129">
        <v>72</v>
      </c>
      <c r="BA396" s="129">
        <v>340</v>
      </c>
      <c r="BB396" s="129">
        <v>245</v>
      </c>
      <c r="BC396" s="129">
        <v>343</v>
      </c>
      <c r="BD396" s="129">
        <v>192</v>
      </c>
      <c r="BE396" s="129">
        <v>226</v>
      </c>
      <c r="BF396" s="129">
        <v>222</v>
      </c>
      <c r="BG396" s="129">
        <v>125</v>
      </c>
      <c r="BH396" s="129">
        <v>79</v>
      </c>
      <c r="BI396" s="129">
        <v>128</v>
      </c>
      <c r="BJ396" s="129">
        <v>156</v>
      </c>
      <c r="BK396" s="129">
        <v>211</v>
      </c>
      <c r="BL396" s="129">
        <v>99</v>
      </c>
      <c r="BM396" s="129">
        <v>50</v>
      </c>
      <c r="BN396" s="129">
        <v>31</v>
      </c>
      <c r="BO396" s="129">
        <v>3</v>
      </c>
      <c r="BP396" s="129">
        <v>256</v>
      </c>
      <c r="BQ396" s="129">
        <v>184</v>
      </c>
      <c r="BR396" s="129">
        <v>197</v>
      </c>
      <c r="BS396" s="129">
        <v>209</v>
      </c>
      <c r="BT396" s="129">
        <v>186</v>
      </c>
      <c r="BU396" s="129">
        <v>147</v>
      </c>
      <c r="BV396" s="129">
        <v>212</v>
      </c>
      <c r="BW396" s="129">
        <v>244</v>
      </c>
      <c r="BX396" s="129">
        <v>177</v>
      </c>
      <c r="BY396" s="129">
        <v>206</v>
      </c>
      <c r="BZ396" s="129">
        <v>235</v>
      </c>
      <c r="CA396" s="129">
        <v>85</v>
      </c>
      <c r="CB396" s="129">
        <v>246</v>
      </c>
      <c r="CC396" s="129">
        <v>118</v>
      </c>
      <c r="CD396" s="129">
        <v>237</v>
      </c>
      <c r="CE396" s="129">
        <v>386</v>
      </c>
      <c r="CF396" s="129">
        <v>136</v>
      </c>
      <c r="CG396" s="129">
        <v>249</v>
      </c>
      <c r="CH396" s="129">
        <v>300</v>
      </c>
      <c r="CI396" s="129">
        <v>350</v>
      </c>
      <c r="CJ396" s="129">
        <v>317</v>
      </c>
      <c r="CK396" s="129">
        <v>447</v>
      </c>
      <c r="CL396" s="129">
        <v>275</v>
      </c>
      <c r="CM396" s="129">
        <v>297</v>
      </c>
      <c r="CN396" s="129">
        <v>401</v>
      </c>
      <c r="CO396" s="129">
        <v>357</v>
      </c>
      <c r="CP396" s="129">
        <v>237</v>
      </c>
      <c r="CQ396" s="129">
        <v>235</v>
      </c>
      <c r="CR396" s="129">
        <v>226</v>
      </c>
      <c r="CS396" s="129">
        <v>370</v>
      </c>
      <c r="CT396" s="129">
        <f>CS396/CS394*CT394</f>
        <v>326.0761118043975</v>
      </c>
      <c r="CU396" s="129">
        <f t="shared" ref="CU396:DQ396" si="1306">CT396/CT394*CU394</f>
        <v>318.53018372703411</v>
      </c>
      <c r="CV396" s="129">
        <f t="shared" si="1306"/>
        <v>317.46350453581732</v>
      </c>
      <c r="CW396" s="129">
        <f t="shared" si="1306"/>
        <v>345.85688129709592</v>
      </c>
      <c r="CX396" s="129">
        <f t="shared" si="1306"/>
        <v>305.65706063391821</v>
      </c>
      <c r="CY396" s="129">
        <f t="shared" si="1306"/>
        <v>281.33291884494218</v>
      </c>
      <c r="CZ396" s="129">
        <f t="shared" si="1306"/>
        <v>357.98845667299179</v>
      </c>
      <c r="DA396" s="129">
        <f t="shared" si="1306"/>
        <v>327.02743298413429</v>
      </c>
      <c r="DB396" s="129">
        <f t="shared" si="1306"/>
        <v>394.41591010518471</v>
      </c>
      <c r="DC396" s="129">
        <f t="shared" si="1306"/>
        <v>404.60576073152146</v>
      </c>
      <c r="DD396" s="129">
        <f t="shared" si="1306"/>
        <v>373.79173912193983</v>
      </c>
      <c r="DE396" s="129">
        <f t="shared" si="1306"/>
        <v>439.31645569620258</v>
      </c>
      <c r="DF396" s="129">
        <f t="shared" si="1306"/>
        <v>388.41419200229711</v>
      </c>
      <c r="DG396" s="129">
        <f t="shared" si="1306"/>
        <v>380.44448818897638</v>
      </c>
      <c r="DH396" s="129">
        <f t="shared" si="1306"/>
        <v>377.23286804410395</v>
      </c>
      <c r="DI396" s="129">
        <f t="shared" si="1306"/>
        <v>410.58152622555247</v>
      </c>
      <c r="DJ396" s="129">
        <f t="shared" si="1306"/>
        <v>362.35151542891924</v>
      </c>
      <c r="DK396" s="129">
        <f t="shared" si="1306"/>
        <v>332.91062063318162</v>
      </c>
      <c r="DL396" s="129">
        <f t="shared" si="1306"/>
        <v>421.76395928894806</v>
      </c>
      <c r="DM396" s="129">
        <f t="shared" si="1306"/>
        <v>383.46193357886722</v>
      </c>
      <c r="DN396" s="129">
        <f t="shared" si="1306"/>
        <v>460.50722477145888</v>
      </c>
      <c r="DO396" s="129">
        <f t="shared" si="1306"/>
        <v>470.41232986199316</v>
      </c>
      <c r="DP396" s="129">
        <f t="shared" si="1306"/>
        <v>432.62146169965416</v>
      </c>
      <c r="DQ396" s="129">
        <f t="shared" si="1306"/>
        <v>502.59113924050638</v>
      </c>
      <c r="DR396" s="129">
        <f t="shared" ref="DR396" si="1307">DQ396/DQ394*DR394</f>
        <v>444.08689285595972</v>
      </c>
      <c r="DS396" s="129">
        <f t="shared" ref="DS396" si="1308">DR396/DR394*DS394</f>
        <v>434.58466535433075</v>
      </c>
      <c r="DT396" s="129">
        <f t="shared" ref="DT396" si="1309">DS396/DS394*DT394</f>
        <v>430.66275971798706</v>
      </c>
      <c r="DU396" s="129">
        <f t="shared" ref="DU396" si="1310">DT396/DT394*DU394</f>
        <v>468.46314571691653</v>
      </c>
      <c r="DV396" s="129">
        <f t="shared" ref="DV396" si="1311">DU396/DU394*DV394</f>
        <v>413.08072758896793</v>
      </c>
      <c r="DW396" s="129">
        <f t="shared" ref="DW396" si="1312">DV396/DV394*DW394</f>
        <v>379.09610814355966</v>
      </c>
      <c r="DX396" s="129">
        <f t="shared" ref="DX396" si="1313">DW396/DW394*DX394</f>
        <v>480.14497049578671</v>
      </c>
      <c r="DY396" s="129">
        <f t="shared" ref="DY396" si="1314">DX396/DX394*DY394</f>
        <v>436.30485857205258</v>
      </c>
      <c r="DZ396" s="129">
        <f t="shared" ref="DZ396" si="1315">DY396/DY394*DZ394</f>
        <v>523.82696817753458</v>
      </c>
      <c r="EA396" s="129">
        <f t="shared" ref="EA396" si="1316">DZ396/DZ394*EA394</f>
        <v>534.95159933959872</v>
      </c>
      <c r="EB396" s="129">
        <f t="shared" ref="EB396" si="1317">EA396/EA394*EB394</f>
        <v>491.71666136481309</v>
      </c>
      <c r="EC396" s="129">
        <f t="shared" ref="EC396" si="1318">EB396/EB394*EC394</f>
        <v>571.09500000000014</v>
      </c>
      <c r="ED396" s="113" t="s">
        <v>1</v>
      </c>
    </row>
    <row r="397" spans="1:134" x14ac:dyDescent="0.2">
      <c r="A397" s="732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15"/>
      <c r="AL397" s="115"/>
      <c r="AM397" s="115"/>
      <c r="AN397" s="115"/>
      <c r="AO397" s="115"/>
      <c r="AP397" s="115"/>
      <c r="AQ397" s="115"/>
      <c r="AR397" s="115"/>
      <c r="AS397" s="115"/>
      <c r="AT397" s="115"/>
      <c r="AU397" s="115"/>
      <c r="AV397" s="115"/>
      <c r="AW397" s="115"/>
      <c r="AX397" s="115"/>
      <c r="AY397" s="115"/>
      <c r="AZ397" s="115"/>
      <c r="BA397" s="115"/>
      <c r="BB397" s="115"/>
      <c r="BC397" s="115"/>
      <c r="BD397" s="115"/>
      <c r="BE397" s="115"/>
      <c r="BF397" s="115"/>
      <c r="BG397" s="115"/>
      <c r="BH397" s="115"/>
      <c r="BI397" s="115"/>
      <c r="BJ397" s="115"/>
      <c r="BK397" s="115"/>
      <c r="BL397" s="115"/>
      <c r="BM397" s="115"/>
      <c r="BN397" s="115"/>
      <c r="BO397" s="115"/>
      <c r="BP397" s="115"/>
      <c r="BQ397" s="115"/>
      <c r="BR397" s="115"/>
      <c r="BS397" s="115"/>
      <c r="BT397" s="115"/>
      <c r="BU397" s="115"/>
      <c r="BV397" s="115"/>
      <c r="BW397" s="115"/>
      <c r="BX397" s="115"/>
      <c r="BY397" s="115"/>
      <c r="BZ397" s="115"/>
      <c r="CA397" s="115"/>
      <c r="CB397" s="115"/>
      <c r="CC397" s="115"/>
      <c r="CD397" s="115"/>
      <c r="CE397" s="115"/>
      <c r="CF397" s="115"/>
      <c r="CG397" s="115"/>
      <c r="CH397" s="115"/>
      <c r="CI397" s="115"/>
      <c r="CJ397" s="115"/>
      <c r="CK397" s="115"/>
      <c r="CL397" s="115"/>
      <c r="CM397" s="115"/>
      <c r="CN397" s="115"/>
      <c r="CO397" s="115"/>
      <c r="CP397" s="115"/>
      <c r="CQ397" s="115"/>
      <c r="CR397" s="115"/>
      <c r="CS397" s="115"/>
      <c r="CT397" s="130"/>
      <c r="CU397" s="115"/>
      <c r="CV397" s="115"/>
      <c r="CW397" s="115"/>
      <c r="CX397" s="115"/>
      <c r="CY397" s="115"/>
      <c r="CZ397" s="115"/>
      <c r="DA397" s="115"/>
      <c r="DB397" s="115"/>
      <c r="DC397" s="115"/>
      <c r="DD397" s="115"/>
      <c r="DE397" s="115"/>
      <c r="DF397" s="115"/>
      <c r="DG397" s="115"/>
      <c r="DH397" s="115"/>
      <c r="DI397" s="115"/>
      <c r="DJ397" s="115"/>
      <c r="DK397" s="115"/>
      <c r="DL397" s="115"/>
      <c r="DM397" s="115"/>
      <c r="DN397" s="115"/>
      <c r="DO397" s="115"/>
      <c r="DP397" s="115"/>
      <c r="DQ397" s="115"/>
      <c r="DR397" s="115"/>
      <c r="DS397" s="115"/>
      <c r="DT397" s="115"/>
      <c r="DU397" s="115"/>
      <c r="DV397" s="115"/>
      <c r="DW397" s="115"/>
      <c r="DX397" s="115"/>
      <c r="DY397" s="115"/>
      <c r="DZ397" s="115"/>
      <c r="EA397" s="115"/>
      <c r="EB397" s="115"/>
      <c r="EC397" s="645"/>
      <c r="ED397" s="113" t="s">
        <v>1</v>
      </c>
    </row>
    <row r="398" spans="1:134" x14ac:dyDescent="0.2">
      <c r="A398" s="728" t="s">
        <v>6</v>
      </c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31">
        <f>SUM(AB399:AB401)</f>
        <v>34164.439999999995</v>
      </c>
      <c r="AC398" s="131">
        <f t="shared" ref="AC398:CN398" si="1319">SUM(AC399:AC401)</f>
        <v>80549</v>
      </c>
      <c r="AD398" s="131">
        <f t="shared" si="1319"/>
        <v>1024004.1200000001</v>
      </c>
      <c r="AE398" s="131">
        <f t="shared" si="1319"/>
        <v>1222796</v>
      </c>
      <c r="AF398" s="131">
        <f t="shared" si="1319"/>
        <v>1313040</v>
      </c>
      <c r="AG398" s="131">
        <f t="shared" si="1319"/>
        <v>1433419</v>
      </c>
      <c r="AH398" s="131">
        <f t="shared" si="1319"/>
        <v>2250634</v>
      </c>
      <c r="AI398" s="131">
        <f t="shared" si="1319"/>
        <v>2068956.62</v>
      </c>
      <c r="AJ398" s="131">
        <f t="shared" si="1319"/>
        <v>4367845.8299999973</v>
      </c>
      <c r="AK398" s="131">
        <f t="shared" si="1319"/>
        <v>2991728.5800000005</v>
      </c>
      <c r="AL398" s="131">
        <f t="shared" si="1319"/>
        <v>3273000.3599999584</v>
      </c>
      <c r="AM398" s="131">
        <f t="shared" si="1319"/>
        <v>68026.060000000056</v>
      </c>
      <c r="AN398" s="131">
        <f t="shared" si="1319"/>
        <v>2261112.4200000074</v>
      </c>
      <c r="AO398" s="131">
        <f t="shared" si="1319"/>
        <v>2935903.5299998708</v>
      </c>
      <c r="AP398" s="131">
        <f t="shared" si="1319"/>
        <v>3832517.8299999163</v>
      </c>
      <c r="AQ398" s="131">
        <f t="shared" si="1319"/>
        <v>5223546.9300000295</v>
      </c>
      <c r="AR398" s="131">
        <f t="shared" si="1319"/>
        <v>5010994.1099999994</v>
      </c>
      <c r="AS398" s="131">
        <f t="shared" si="1319"/>
        <v>8870323.5000004321</v>
      </c>
      <c r="AT398" s="131">
        <f t="shared" si="1319"/>
        <v>11043675.230001688</v>
      </c>
      <c r="AU398" s="131">
        <f t="shared" si="1319"/>
        <v>11543984.63000071</v>
      </c>
      <c r="AV398" s="131">
        <f t="shared" si="1319"/>
        <v>12557387.539999999</v>
      </c>
      <c r="AW398" s="131">
        <f t="shared" si="1319"/>
        <v>14143405.550000001</v>
      </c>
      <c r="AX398" s="131">
        <f t="shared" si="1319"/>
        <v>10998459.319999956</v>
      </c>
      <c r="AY398" s="131">
        <f t="shared" si="1319"/>
        <v>13431049.749999998</v>
      </c>
      <c r="AZ398" s="131">
        <f t="shared" si="1319"/>
        <v>15045215.310000077</v>
      </c>
      <c r="BA398" s="131">
        <f t="shared" si="1319"/>
        <v>12127726.770000031</v>
      </c>
      <c r="BB398" s="131">
        <f t="shared" si="1319"/>
        <v>10761139.590000037</v>
      </c>
      <c r="BC398" s="131">
        <f t="shared" si="1319"/>
        <v>9409463.5900000054</v>
      </c>
      <c r="BD398" s="131">
        <f t="shared" si="1319"/>
        <v>8817711.4900000021</v>
      </c>
      <c r="BE398" s="131">
        <f t="shared" si="1319"/>
        <v>7108167.8299999889</v>
      </c>
      <c r="BF398" s="131">
        <f t="shared" si="1319"/>
        <v>10576661.069999991</v>
      </c>
      <c r="BG398" s="131">
        <f t="shared" si="1319"/>
        <v>11054463.079999998</v>
      </c>
      <c r="BH398" s="131">
        <f t="shared" si="1319"/>
        <v>11038924.030000005</v>
      </c>
      <c r="BI398" s="131">
        <f t="shared" si="1319"/>
        <v>16531850.890000023</v>
      </c>
      <c r="BJ398" s="131">
        <f t="shared" si="1319"/>
        <v>20375512.290000118</v>
      </c>
      <c r="BK398" s="131">
        <f t="shared" si="1319"/>
        <v>23840624.250000108</v>
      </c>
      <c r="BL398" s="131">
        <f t="shared" si="1319"/>
        <v>25619441.960000113</v>
      </c>
      <c r="BM398" s="131">
        <f t="shared" si="1319"/>
        <v>25770806.62000015</v>
      </c>
      <c r="BN398" s="131">
        <f t="shared" si="1319"/>
        <v>24796270.190000203</v>
      </c>
      <c r="BO398" s="131">
        <f t="shared" si="1319"/>
        <v>24223043.080000162</v>
      </c>
      <c r="BP398" s="131">
        <f t="shared" si="1319"/>
        <v>27710283.940000098</v>
      </c>
      <c r="BQ398" s="131">
        <f t="shared" si="1319"/>
        <v>22343150.619999979</v>
      </c>
      <c r="BR398" s="131">
        <f t="shared" si="1319"/>
        <v>20604913.030000005</v>
      </c>
      <c r="BS398" s="131">
        <f t="shared" si="1319"/>
        <v>18608746.679999955</v>
      </c>
      <c r="BT398" s="131">
        <f t="shared" si="1319"/>
        <v>19194313.129999984</v>
      </c>
      <c r="BU398" s="131">
        <f t="shared" si="1319"/>
        <v>24341100</v>
      </c>
      <c r="BV398" s="131">
        <f t="shared" si="1319"/>
        <v>24604390.750000104</v>
      </c>
      <c r="BW398" s="131">
        <f t="shared" si="1319"/>
        <v>22977350.029999942</v>
      </c>
      <c r="BX398" s="131">
        <f t="shared" si="1319"/>
        <v>22085517.069999963</v>
      </c>
      <c r="BY398" s="131">
        <f t="shared" si="1319"/>
        <v>27306813.12000002</v>
      </c>
      <c r="BZ398" s="131">
        <f t="shared" si="1319"/>
        <v>23290863.169999931</v>
      </c>
      <c r="CA398" s="131">
        <f t="shared" si="1319"/>
        <v>25601906.309999935</v>
      </c>
      <c r="CB398" s="131">
        <f t="shared" si="1319"/>
        <v>17912273.679999981</v>
      </c>
      <c r="CC398" s="131">
        <f t="shared" si="1319"/>
        <v>25796588.840000004</v>
      </c>
      <c r="CD398" s="131">
        <f t="shared" si="1319"/>
        <v>30517008.910000134</v>
      </c>
      <c r="CE398" s="131">
        <f t="shared" si="1319"/>
        <v>36379918.180026025</v>
      </c>
      <c r="CF398" s="131">
        <f t="shared" si="1319"/>
        <v>35633007.930057935</v>
      </c>
      <c r="CG398" s="131">
        <f t="shared" si="1319"/>
        <v>39641594.680000238</v>
      </c>
      <c r="CH398" s="131">
        <f t="shared" si="1319"/>
        <v>42714330.000003248</v>
      </c>
      <c r="CI398" s="131">
        <f t="shared" si="1319"/>
        <v>45627735.030000284</v>
      </c>
      <c r="CJ398" s="131">
        <f t="shared" si="1319"/>
        <v>40475995.470006377</v>
      </c>
      <c r="CK398" s="131">
        <f t="shared" si="1319"/>
        <v>47041638.630000144</v>
      </c>
      <c r="CL398" s="131">
        <f t="shared" si="1319"/>
        <v>38958747.240000106</v>
      </c>
      <c r="CM398" s="131">
        <f t="shared" si="1319"/>
        <v>40007716.190000072</v>
      </c>
      <c r="CN398" s="131">
        <f t="shared" si="1319"/>
        <v>37580544.089999996</v>
      </c>
      <c r="CO398" s="131">
        <f t="shared" ref="CO398:DQ398" si="1320">SUM(CO399:CO401)</f>
        <v>38908317.349999987</v>
      </c>
      <c r="CP398" s="131">
        <f t="shared" si="1320"/>
        <v>40445500.320000015</v>
      </c>
      <c r="CQ398" s="131">
        <f t="shared" si="1320"/>
        <v>50239215.250000067</v>
      </c>
      <c r="CR398" s="131">
        <f t="shared" si="1320"/>
        <v>47912947.410000049</v>
      </c>
      <c r="CS398" s="131">
        <f t="shared" si="1320"/>
        <v>53283598.100000016</v>
      </c>
      <c r="CT398" s="131">
        <f t="shared" si="1320"/>
        <v>59533081.057991661</v>
      </c>
      <c r="CU398" s="131">
        <f t="shared" si="1320"/>
        <v>58161237.25435698</v>
      </c>
      <c r="CV398" s="131">
        <f t="shared" si="1320"/>
        <v>57969432.353602871</v>
      </c>
      <c r="CW398" s="131">
        <f t="shared" si="1320"/>
        <v>63138745.534192532</v>
      </c>
      <c r="CX398" s="131">
        <f t="shared" si="1320"/>
        <v>55824487.297092006</v>
      </c>
      <c r="CY398" s="131">
        <f t="shared" si="1320"/>
        <v>51400471.427271158</v>
      </c>
      <c r="CZ398" s="131">
        <f t="shared" si="1320"/>
        <v>65353771.202844687</v>
      </c>
      <c r="DA398" s="131">
        <f t="shared" si="1320"/>
        <v>59721026.329058528</v>
      </c>
      <c r="DB398" s="131">
        <f t="shared" si="1320"/>
        <v>71987668.581928864</v>
      </c>
      <c r="DC398" s="131">
        <f t="shared" si="1320"/>
        <v>73843836.929871172</v>
      </c>
      <c r="DD398" s="131">
        <f t="shared" si="1320"/>
        <v>68237847.266901359</v>
      </c>
      <c r="DE398" s="131">
        <f t="shared" si="1320"/>
        <v>80166832.381545067</v>
      </c>
      <c r="DF398" s="131">
        <f t="shared" si="1320"/>
        <v>70903889.993733227</v>
      </c>
      <c r="DG398" s="131">
        <f t="shared" si="1320"/>
        <v>69455695.523902133</v>
      </c>
      <c r="DH398" s="131">
        <f t="shared" si="1320"/>
        <v>68872720.306671187</v>
      </c>
      <c r="DI398" s="131">
        <f t="shared" si="1320"/>
        <v>74943922.764637485</v>
      </c>
      <c r="DJ398" s="131">
        <f t="shared" si="1320"/>
        <v>66168124.452904664</v>
      </c>
      <c r="DK398" s="131">
        <f t="shared" si="1320"/>
        <v>60812830.562626876</v>
      </c>
      <c r="DL398" s="131">
        <f t="shared" si="1320"/>
        <v>76985420.240622312</v>
      </c>
      <c r="DM398" s="131">
        <f t="shared" si="1320"/>
        <v>70015792.513759777</v>
      </c>
      <c r="DN398" s="131">
        <f t="shared" si="1320"/>
        <v>84039250.691283062</v>
      </c>
      <c r="DO398" s="131">
        <f t="shared" si="1320"/>
        <v>85842814.822013438</v>
      </c>
      <c r="DP398" s="131">
        <f t="shared" si="1320"/>
        <v>78966220.663230821</v>
      </c>
      <c r="DQ398" s="131">
        <f t="shared" si="1320"/>
        <v>91701877.091011107</v>
      </c>
      <c r="DR398" s="131">
        <f t="shared" ref="DR398:EC398" si="1321">SUM(DR399:DR401)</f>
        <v>81055330.807851389</v>
      </c>
      <c r="DS398" s="131">
        <f t="shared" si="1321"/>
        <v>79328208.348948896</v>
      </c>
      <c r="DT398" s="131">
        <f t="shared" si="1321"/>
        <v>78615957.150332391</v>
      </c>
      <c r="DU398" s="131">
        <f t="shared" si="1321"/>
        <v>85497399.278651804</v>
      </c>
      <c r="DV398" s="131">
        <f t="shared" si="1321"/>
        <v>75419822.332654804</v>
      </c>
      <c r="DW398" s="131">
        <f t="shared" si="1321"/>
        <v>69237544.827640265</v>
      </c>
      <c r="DX398" s="131">
        <f t="shared" si="1321"/>
        <v>87629788.874620736</v>
      </c>
      <c r="DY398" s="131">
        <f t="shared" si="1321"/>
        <v>79652198.097879604</v>
      </c>
      <c r="DZ398" s="131">
        <f t="shared" si="1321"/>
        <v>95582496.550739616</v>
      </c>
      <c r="EA398" s="131">
        <f t="shared" si="1321"/>
        <v>97608021.331962451</v>
      </c>
      <c r="EB398" s="131">
        <f t="shared" si="1321"/>
        <v>89740575.640681565</v>
      </c>
      <c r="EC398" s="131">
        <f t="shared" si="1321"/>
        <v>104188661.66346161</v>
      </c>
      <c r="ED398" s="113" t="s">
        <v>1</v>
      </c>
    </row>
    <row r="399" spans="1:134" x14ac:dyDescent="0.2">
      <c r="A399" s="114" t="s">
        <v>139</v>
      </c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29">
        <v>34164.439999999995</v>
      </c>
      <c r="AC399" s="129">
        <v>80549</v>
      </c>
      <c r="AD399" s="129">
        <v>1024004.1200000001</v>
      </c>
      <c r="AE399" s="129">
        <v>1222796</v>
      </c>
      <c r="AF399" s="129">
        <v>1313040</v>
      </c>
      <c r="AG399" s="129">
        <v>1433419</v>
      </c>
      <c r="AH399" s="129">
        <v>2250634</v>
      </c>
      <c r="AI399" s="129">
        <v>2068956.62</v>
      </c>
      <c r="AJ399" s="129">
        <v>4367845.8299999973</v>
      </c>
      <c r="AK399" s="129">
        <v>2991728.5800000005</v>
      </c>
      <c r="AL399" s="129">
        <v>3273000.3599999584</v>
      </c>
      <c r="AM399" s="129">
        <v>68026.060000000056</v>
      </c>
      <c r="AN399" s="129">
        <v>2261112.4200000074</v>
      </c>
      <c r="AO399" s="129">
        <v>2935903.5299998708</v>
      </c>
      <c r="AP399" s="129">
        <v>3832517.8299999163</v>
      </c>
      <c r="AQ399" s="129">
        <v>5223546.9300000295</v>
      </c>
      <c r="AR399" s="129">
        <v>5010994.1099999994</v>
      </c>
      <c r="AS399" s="129">
        <v>8870323.5000004321</v>
      </c>
      <c r="AT399" s="129">
        <v>11043675.230001688</v>
      </c>
      <c r="AU399" s="129">
        <v>11543984.63000071</v>
      </c>
      <c r="AV399" s="129">
        <v>12557387.539999999</v>
      </c>
      <c r="AW399" s="129">
        <v>14143405.550000001</v>
      </c>
      <c r="AX399" s="129">
        <v>10998459.319999956</v>
      </c>
      <c r="AY399" s="129">
        <v>13431049.749999998</v>
      </c>
      <c r="AZ399" s="129">
        <v>15045215.310000077</v>
      </c>
      <c r="BA399" s="129">
        <v>12127726.770000031</v>
      </c>
      <c r="BB399" s="129">
        <v>10761139.590000037</v>
      </c>
      <c r="BC399" s="129">
        <v>9409463.5900000054</v>
      </c>
      <c r="BD399" s="129">
        <v>8817711.4900000021</v>
      </c>
      <c r="BE399" s="129">
        <v>7108167.8299999889</v>
      </c>
      <c r="BF399" s="129">
        <v>10576661.069999991</v>
      </c>
      <c r="BG399" s="129">
        <v>11054463.079999998</v>
      </c>
      <c r="BH399" s="129">
        <v>11038924.030000005</v>
      </c>
      <c r="BI399" s="129">
        <v>16531850.890000023</v>
      </c>
      <c r="BJ399" s="129">
        <v>20375512.290000118</v>
      </c>
      <c r="BK399" s="129">
        <v>23840624.250000108</v>
      </c>
      <c r="BL399" s="129">
        <v>25619441.960000113</v>
      </c>
      <c r="BM399" s="129">
        <v>25770806.62000015</v>
      </c>
      <c r="BN399" s="129">
        <v>24796270.190000203</v>
      </c>
      <c r="BO399" s="129">
        <v>24223043.080000162</v>
      </c>
      <c r="BP399" s="129">
        <v>27710283.940000098</v>
      </c>
      <c r="BQ399" s="129">
        <v>22343150.619999979</v>
      </c>
      <c r="BR399" s="129">
        <v>20604913.030000005</v>
      </c>
      <c r="BS399" s="129">
        <v>18608746.679999955</v>
      </c>
      <c r="BT399" s="129">
        <v>19194313.129999984</v>
      </c>
      <c r="BU399" s="129">
        <v>24341100</v>
      </c>
      <c r="BV399" s="129">
        <v>24604390.750000104</v>
      </c>
      <c r="BW399" s="129">
        <v>22977350.029999942</v>
      </c>
      <c r="BX399" s="129">
        <v>22085517.069999963</v>
      </c>
      <c r="BY399" s="129">
        <v>27306813.12000002</v>
      </c>
      <c r="BZ399" s="129">
        <v>23290863.169999931</v>
      </c>
      <c r="CA399" s="129">
        <v>25601906.309999935</v>
      </c>
      <c r="CB399" s="129">
        <v>17912273.679999981</v>
      </c>
      <c r="CC399" s="129">
        <v>25796588.840000004</v>
      </c>
      <c r="CD399" s="129">
        <v>30517008.910000134</v>
      </c>
      <c r="CE399" s="129">
        <v>36379918.180026025</v>
      </c>
      <c r="CF399" s="129">
        <v>35443697.910057932</v>
      </c>
      <c r="CG399" s="129">
        <v>39465340.150000237</v>
      </c>
      <c r="CH399" s="129">
        <v>42482265.380003251</v>
      </c>
      <c r="CI399" s="129">
        <v>45465982.810000286</v>
      </c>
      <c r="CJ399" s="129">
        <v>40341959.620006375</v>
      </c>
      <c r="CK399" s="129">
        <v>46870170.000000142</v>
      </c>
      <c r="CL399" s="129">
        <v>38785726.240000106</v>
      </c>
      <c r="CM399" s="129">
        <v>39860910.350000069</v>
      </c>
      <c r="CN399" s="129">
        <v>37443084.069999993</v>
      </c>
      <c r="CO399" s="129">
        <v>38780500.059999987</v>
      </c>
      <c r="CP399" s="129">
        <v>40195593.830000013</v>
      </c>
      <c r="CQ399" s="129">
        <v>50230534.250000067</v>
      </c>
      <c r="CR399" s="129">
        <v>47794579.180000052</v>
      </c>
      <c r="CS399" s="129">
        <v>53161003.69000002</v>
      </c>
      <c r="CT399" s="129">
        <f>CT404+CT405</f>
        <v>59347698.7296855</v>
      </c>
      <c r="CU399" s="129">
        <f t="shared" ref="CU399:DQ399" si="1322">CU404+CU405</f>
        <v>57974297.091359176</v>
      </c>
      <c r="CV399" s="129">
        <f t="shared" si="1322"/>
        <v>57780155.438567594</v>
      </c>
      <c r="CW399" s="129">
        <f t="shared" si="1322"/>
        <v>62947910.784465604</v>
      </c>
      <c r="CX399" s="129">
        <f t="shared" si="1322"/>
        <v>55631315.795327604</v>
      </c>
      <c r="CY399" s="129">
        <f t="shared" si="1322"/>
        <v>51204184.256123461</v>
      </c>
      <c r="CZ399" s="129">
        <f t="shared" si="1322"/>
        <v>65155926.197005339</v>
      </c>
      <c r="DA399" s="129">
        <f t="shared" si="1322"/>
        <v>59520844.571181715</v>
      </c>
      <c r="DB399" s="129">
        <f t="shared" si="1322"/>
        <v>71785928.989360392</v>
      </c>
      <c r="DC399" s="129">
        <f t="shared" si="1322"/>
        <v>73640539.502611056</v>
      </c>
      <c r="DD399" s="129">
        <f t="shared" si="1322"/>
        <v>68032213.087603778</v>
      </c>
      <c r="DE399" s="129">
        <f t="shared" si="1322"/>
        <v>79958082.532864183</v>
      </c>
      <c r="DF399" s="129">
        <f t="shared" si="1322"/>
        <v>70693582.3103607</v>
      </c>
      <c r="DG399" s="129">
        <f t="shared" si="1322"/>
        <v>69243051.088492125</v>
      </c>
      <c r="DH399" s="129">
        <f t="shared" si="1322"/>
        <v>68658518.036569536</v>
      </c>
      <c r="DI399" s="129">
        <f t="shared" si="1322"/>
        <v>74728162.65984419</v>
      </c>
      <c r="DJ399" s="129">
        <f t="shared" si="1322"/>
        <v>65950027.596073888</v>
      </c>
      <c r="DK399" s="129">
        <f t="shared" si="1322"/>
        <v>60591618.036412805</v>
      </c>
      <c r="DL399" s="129">
        <f t="shared" si="1322"/>
        <v>76763428.797062412</v>
      </c>
      <c r="DM399" s="129">
        <f t="shared" si="1322"/>
        <v>69792243.235508233</v>
      </c>
      <c r="DN399" s="129">
        <f t="shared" si="1322"/>
        <v>83814922.495685697</v>
      </c>
      <c r="DO399" s="129">
        <f t="shared" si="1322"/>
        <v>85617707.70907025</v>
      </c>
      <c r="DP399" s="129">
        <f t="shared" si="1322"/>
        <v>78739555.715595976</v>
      </c>
      <c r="DQ399" s="129">
        <f t="shared" si="1322"/>
        <v>91474433.226030439</v>
      </c>
      <c r="DR399" s="129">
        <f t="shared" ref="DR399:EC399" si="1323">DR404+DR405</f>
        <v>80826329.108179078</v>
      </c>
      <c r="DS399" s="129">
        <f t="shared" si="1323"/>
        <v>79096869.897239104</v>
      </c>
      <c r="DT399" s="129">
        <f t="shared" si="1323"/>
        <v>78383060.863930956</v>
      </c>
      <c r="DU399" s="129">
        <f t="shared" si="1323"/>
        <v>85262945.157558724</v>
      </c>
      <c r="DV399" s="129">
        <f t="shared" si="1323"/>
        <v>75183031.459524244</v>
      </c>
      <c r="DW399" s="129">
        <f t="shared" si="1323"/>
        <v>68997638.285126418</v>
      </c>
      <c r="DX399" s="129">
        <f t="shared" si="1323"/>
        <v>87389103.414761066</v>
      </c>
      <c r="DY399" s="129">
        <f t="shared" si="1323"/>
        <v>79409954.803328276</v>
      </c>
      <c r="DZ399" s="129">
        <f t="shared" si="1323"/>
        <v>95339474.338842466</v>
      </c>
      <c r="EA399" s="129">
        <f t="shared" si="1323"/>
        <v>97364220.20271948</v>
      </c>
      <c r="EB399" s="129">
        <f t="shared" si="1323"/>
        <v>89495216.67674695</v>
      </c>
      <c r="EC399" s="129">
        <f t="shared" si="1323"/>
        <v>103942523.78218117</v>
      </c>
      <c r="ED399" s="113" t="s">
        <v>1</v>
      </c>
    </row>
    <row r="400" spans="1:134" x14ac:dyDescent="0.2">
      <c r="A400" s="114" t="s">
        <v>191</v>
      </c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29">
        <v>0</v>
      </c>
      <c r="AC400" s="129">
        <v>0</v>
      </c>
      <c r="AD400" s="129">
        <v>0</v>
      </c>
      <c r="AE400" s="129">
        <v>0</v>
      </c>
      <c r="AF400" s="129">
        <v>0</v>
      </c>
      <c r="AG400" s="129">
        <v>0</v>
      </c>
      <c r="AH400" s="129">
        <v>0</v>
      </c>
      <c r="AI400" s="129">
        <v>0</v>
      </c>
      <c r="AJ400" s="129">
        <v>0</v>
      </c>
      <c r="AK400" s="129">
        <v>0</v>
      </c>
      <c r="AL400" s="129">
        <v>0</v>
      </c>
      <c r="AM400" s="129">
        <v>0</v>
      </c>
      <c r="AN400" s="129">
        <v>0</v>
      </c>
      <c r="AO400" s="129">
        <v>0</v>
      </c>
      <c r="AP400" s="129">
        <v>0</v>
      </c>
      <c r="AQ400" s="129">
        <v>0</v>
      </c>
      <c r="AR400" s="129">
        <v>0</v>
      </c>
      <c r="AS400" s="129">
        <v>0</v>
      </c>
      <c r="AT400" s="129">
        <v>0</v>
      </c>
      <c r="AU400" s="129">
        <v>0</v>
      </c>
      <c r="AV400" s="129">
        <v>0</v>
      </c>
      <c r="AW400" s="129">
        <v>0</v>
      </c>
      <c r="AX400" s="129">
        <v>0</v>
      </c>
      <c r="AY400" s="129">
        <v>0</v>
      </c>
      <c r="AZ400" s="129">
        <v>0</v>
      </c>
      <c r="BA400" s="129">
        <v>0</v>
      </c>
      <c r="BB400" s="129">
        <v>0</v>
      </c>
      <c r="BC400" s="129">
        <v>0</v>
      </c>
      <c r="BD400" s="129">
        <v>0</v>
      </c>
      <c r="BE400" s="129">
        <v>0</v>
      </c>
      <c r="BF400" s="129">
        <v>0</v>
      </c>
      <c r="BG400" s="129">
        <v>0</v>
      </c>
      <c r="BH400" s="129">
        <v>0</v>
      </c>
      <c r="BI400" s="129">
        <v>0</v>
      </c>
      <c r="BJ400" s="129">
        <v>0</v>
      </c>
      <c r="BK400" s="129">
        <v>0</v>
      </c>
      <c r="BL400" s="129">
        <v>0</v>
      </c>
      <c r="BM400" s="129">
        <v>0</v>
      </c>
      <c r="BN400" s="129">
        <v>0</v>
      </c>
      <c r="BO400" s="129">
        <v>0</v>
      </c>
      <c r="BP400" s="129">
        <v>0</v>
      </c>
      <c r="BQ400" s="129">
        <v>0</v>
      </c>
      <c r="BR400" s="129">
        <v>0</v>
      </c>
      <c r="BS400" s="129">
        <v>0</v>
      </c>
      <c r="BT400" s="129">
        <v>0</v>
      </c>
      <c r="BU400" s="129">
        <v>0</v>
      </c>
      <c r="BV400" s="129">
        <v>0</v>
      </c>
      <c r="BW400" s="129">
        <v>0</v>
      </c>
      <c r="BX400" s="129">
        <v>0</v>
      </c>
      <c r="BY400" s="129">
        <v>0</v>
      </c>
      <c r="BZ400" s="129">
        <v>0</v>
      </c>
      <c r="CA400" s="129">
        <v>0</v>
      </c>
      <c r="CB400" s="129">
        <v>0</v>
      </c>
      <c r="CC400" s="129">
        <v>0</v>
      </c>
      <c r="CD400" s="129">
        <v>0</v>
      </c>
      <c r="CE400" s="129">
        <v>0</v>
      </c>
      <c r="CF400" s="129">
        <v>0</v>
      </c>
      <c r="CG400" s="129">
        <v>0</v>
      </c>
      <c r="CH400" s="129">
        <v>0</v>
      </c>
      <c r="CI400" s="129">
        <v>0</v>
      </c>
      <c r="CJ400" s="129">
        <v>0</v>
      </c>
      <c r="CK400" s="129">
        <v>0</v>
      </c>
      <c r="CL400" s="129">
        <v>0</v>
      </c>
      <c r="CM400" s="129">
        <v>0</v>
      </c>
      <c r="CN400" s="129">
        <v>0</v>
      </c>
      <c r="CO400" s="129">
        <v>0</v>
      </c>
      <c r="CP400" s="129">
        <v>0</v>
      </c>
      <c r="CQ400" s="129">
        <v>0</v>
      </c>
      <c r="CR400" s="129">
        <v>0</v>
      </c>
      <c r="CS400" s="129">
        <v>0</v>
      </c>
      <c r="CT400" s="129">
        <v>0</v>
      </c>
      <c r="CU400" s="129">
        <v>0</v>
      </c>
      <c r="CV400" s="129">
        <v>0</v>
      </c>
      <c r="CW400" s="129">
        <v>0</v>
      </c>
      <c r="CX400" s="129">
        <v>0</v>
      </c>
      <c r="CY400" s="129">
        <v>0</v>
      </c>
      <c r="CZ400" s="129">
        <v>0</v>
      </c>
      <c r="DA400" s="129">
        <v>0</v>
      </c>
      <c r="DB400" s="129">
        <v>0</v>
      </c>
      <c r="DC400" s="129">
        <v>0</v>
      </c>
      <c r="DD400" s="129">
        <v>0</v>
      </c>
      <c r="DE400" s="129">
        <v>0</v>
      </c>
      <c r="DF400" s="129">
        <v>0</v>
      </c>
      <c r="DG400" s="129">
        <v>0</v>
      </c>
      <c r="DH400" s="129">
        <v>0</v>
      </c>
      <c r="DI400" s="129">
        <v>0</v>
      </c>
      <c r="DJ400" s="129">
        <v>0</v>
      </c>
      <c r="DK400" s="129">
        <v>0</v>
      </c>
      <c r="DL400" s="129">
        <v>0</v>
      </c>
      <c r="DM400" s="129">
        <v>0</v>
      </c>
      <c r="DN400" s="129">
        <v>0</v>
      </c>
      <c r="DO400" s="129">
        <v>0</v>
      </c>
      <c r="DP400" s="129">
        <v>0</v>
      </c>
      <c r="DQ400" s="129">
        <v>0</v>
      </c>
      <c r="DR400" s="129">
        <v>0</v>
      </c>
      <c r="DS400" s="129">
        <v>0</v>
      </c>
      <c r="DT400" s="129">
        <v>0</v>
      </c>
      <c r="DU400" s="129">
        <v>0</v>
      </c>
      <c r="DV400" s="129">
        <v>0</v>
      </c>
      <c r="DW400" s="129">
        <v>0</v>
      </c>
      <c r="DX400" s="129">
        <v>0</v>
      </c>
      <c r="DY400" s="129">
        <v>0</v>
      </c>
      <c r="DZ400" s="129">
        <v>0</v>
      </c>
      <c r="EA400" s="129">
        <v>0</v>
      </c>
      <c r="EB400" s="129">
        <v>0</v>
      </c>
      <c r="EC400" s="129">
        <v>0</v>
      </c>
      <c r="ED400" s="113" t="s">
        <v>1</v>
      </c>
    </row>
    <row r="401" spans="1:134" x14ac:dyDescent="0.2">
      <c r="A401" s="114" t="s">
        <v>140</v>
      </c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29">
        <v>0</v>
      </c>
      <c r="AC401" s="129">
        <v>0</v>
      </c>
      <c r="AD401" s="129">
        <v>0</v>
      </c>
      <c r="AE401" s="129">
        <v>0</v>
      </c>
      <c r="AF401" s="129">
        <v>0</v>
      </c>
      <c r="AG401" s="129">
        <v>0</v>
      </c>
      <c r="AH401" s="129">
        <v>0</v>
      </c>
      <c r="AI401" s="129">
        <v>0</v>
      </c>
      <c r="AJ401" s="129">
        <v>0</v>
      </c>
      <c r="AK401" s="129">
        <v>0</v>
      </c>
      <c r="AL401" s="129">
        <v>0</v>
      </c>
      <c r="AM401" s="129">
        <v>0</v>
      </c>
      <c r="AN401" s="129">
        <v>0</v>
      </c>
      <c r="AO401" s="129">
        <v>0</v>
      </c>
      <c r="AP401" s="129">
        <v>0</v>
      </c>
      <c r="AQ401" s="129">
        <v>0</v>
      </c>
      <c r="AR401" s="129">
        <v>0</v>
      </c>
      <c r="AS401" s="129">
        <v>0</v>
      </c>
      <c r="AT401" s="129">
        <v>0</v>
      </c>
      <c r="AU401" s="129">
        <v>0</v>
      </c>
      <c r="AV401" s="129">
        <v>0</v>
      </c>
      <c r="AW401" s="129">
        <v>0</v>
      </c>
      <c r="AX401" s="129">
        <v>0</v>
      </c>
      <c r="AY401" s="129">
        <v>0</v>
      </c>
      <c r="AZ401" s="129">
        <v>0</v>
      </c>
      <c r="BA401" s="129">
        <v>0</v>
      </c>
      <c r="BB401" s="129">
        <v>0</v>
      </c>
      <c r="BC401" s="129">
        <v>0</v>
      </c>
      <c r="BD401" s="129">
        <v>0</v>
      </c>
      <c r="BE401" s="129">
        <v>0</v>
      </c>
      <c r="BF401" s="129">
        <v>0</v>
      </c>
      <c r="BG401" s="129">
        <v>0</v>
      </c>
      <c r="BH401" s="129">
        <v>0</v>
      </c>
      <c r="BI401" s="129">
        <v>0</v>
      </c>
      <c r="BJ401" s="129">
        <v>0</v>
      </c>
      <c r="BK401" s="129">
        <v>0</v>
      </c>
      <c r="BL401" s="129">
        <v>0</v>
      </c>
      <c r="BM401" s="129">
        <v>0</v>
      </c>
      <c r="BN401" s="129">
        <v>0</v>
      </c>
      <c r="BO401" s="129">
        <v>0</v>
      </c>
      <c r="BP401" s="129">
        <v>0</v>
      </c>
      <c r="BQ401" s="129">
        <v>0</v>
      </c>
      <c r="BR401" s="129">
        <v>0</v>
      </c>
      <c r="BS401" s="129">
        <v>0</v>
      </c>
      <c r="BT401" s="129">
        <v>0</v>
      </c>
      <c r="BU401" s="129">
        <v>0</v>
      </c>
      <c r="BV401" s="129">
        <v>0</v>
      </c>
      <c r="BW401" s="129">
        <v>0</v>
      </c>
      <c r="BX401" s="129">
        <v>0</v>
      </c>
      <c r="BY401" s="129">
        <v>0</v>
      </c>
      <c r="BZ401" s="129">
        <v>0</v>
      </c>
      <c r="CA401" s="129">
        <v>0</v>
      </c>
      <c r="CB401" s="129">
        <v>0</v>
      </c>
      <c r="CC401" s="129">
        <v>0</v>
      </c>
      <c r="CD401" s="129">
        <v>0</v>
      </c>
      <c r="CE401" s="129">
        <v>0</v>
      </c>
      <c r="CF401" s="129">
        <v>189310.02000000002</v>
      </c>
      <c r="CG401" s="129">
        <v>176254.53</v>
      </c>
      <c r="CH401" s="129">
        <v>232064.62000000002</v>
      </c>
      <c r="CI401" s="129">
        <v>161752.22000000003</v>
      </c>
      <c r="CJ401" s="129">
        <v>134035.85</v>
      </c>
      <c r="CK401" s="129">
        <v>171468.63000000006</v>
      </c>
      <c r="CL401" s="129">
        <v>173021</v>
      </c>
      <c r="CM401" s="129">
        <v>146805.84000000003</v>
      </c>
      <c r="CN401" s="129">
        <v>137460.01999999999</v>
      </c>
      <c r="CO401" s="129">
        <v>127817.29</v>
      </c>
      <c r="CP401" s="129">
        <v>249906.49000000008</v>
      </c>
      <c r="CQ401" s="129">
        <v>8681</v>
      </c>
      <c r="CR401" s="129">
        <v>118368.23</v>
      </c>
      <c r="CS401" s="129">
        <v>122594.40999999999</v>
      </c>
      <c r="CT401" s="129">
        <f>CT379*CT414</f>
        <v>185382.32830615735</v>
      </c>
      <c r="CU401" s="129">
        <f t="shared" ref="CU401:DQ401" si="1324">CU379*CU414</f>
        <v>186940.16299780575</v>
      </c>
      <c r="CV401" s="129">
        <f t="shared" si="1324"/>
        <v>189276.9150352783</v>
      </c>
      <c r="CW401" s="129">
        <f t="shared" si="1324"/>
        <v>190834.7497269267</v>
      </c>
      <c r="CX401" s="129">
        <f t="shared" si="1324"/>
        <v>193171.50176439929</v>
      </c>
      <c r="CY401" s="129">
        <f t="shared" si="1324"/>
        <v>196287.17114769603</v>
      </c>
      <c r="CZ401" s="129">
        <f t="shared" si="1324"/>
        <v>197845.00583934441</v>
      </c>
      <c r="DA401" s="129">
        <f t="shared" si="1324"/>
        <v>200181.75787681699</v>
      </c>
      <c r="DB401" s="129">
        <f t="shared" si="1324"/>
        <v>201739.59256846539</v>
      </c>
      <c r="DC401" s="129">
        <f t="shared" si="1324"/>
        <v>203297.42726011373</v>
      </c>
      <c r="DD401" s="129">
        <f t="shared" si="1324"/>
        <v>205634.17929758632</v>
      </c>
      <c r="DE401" s="129">
        <f t="shared" si="1324"/>
        <v>208749.84868088306</v>
      </c>
      <c r="DF401" s="129">
        <f t="shared" si="1324"/>
        <v>210307.68337253146</v>
      </c>
      <c r="DG401" s="129">
        <f t="shared" si="1324"/>
        <v>212644.43541000405</v>
      </c>
      <c r="DH401" s="129">
        <f t="shared" si="1324"/>
        <v>214202.27010165242</v>
      </c>
      <c r="DI401" s="129">
        <f t="shared" si="1324"/>
        <v>215760.10479330079</v>
      </c>
      <c r="DJ401" s="129">
        <f t="shared" si="1324"/>
        <v>218096.85683077338</v>
      </c>
      <c r="DK401" s="129">
        <f t="shared" si="1324"/>
        <v>221212.52621407015</v>
      </c>
      <c r="DL401" s="129">
        <f t="shared" si="1324"/>
        <v>221991.44355989431</v>
      </c>
      <c r="DM401" s="129">
        <f t="shared" si="1324"/>
        <v>223549.27825154271</v>
      </c>
      <c r="DN401" s="129">
        <f t="shared" si="1324"/>
        <v>224328.1955973669</v>
      </c>
      <c r="DO401" s="129">
        <f t="shared" si="1324"/>
        <v>225107.11294319108</v>
      </c>
      <c r="DP401" s="129">
        <f t="shared" si="1324"/>
        <v>226664.94763483948</v>
      </c>
      <c r="DQ401" s="129">
        <f t="shared" si="1324"/>
        <v>227443.86498066367</v>
      </c>
      <c r="DR401" s="129">
        <f t="shared" ref="DR401:EC401" si="1325">DR379*DR414</f>
        <v>229001.69967231207</v>
      </c>
      <c r="DS401" s="129">
        <f t="shared" si="1325"/>
        <v>231338.45170978463</v>
      </c>
      <c r="DT401" s="129">
        <f t="shared" si="1325"/>
        <v>232896.286401433</v>
      </c>
      <c r="DU401" s="129">
        <f t="shared" si="1325"/>
        <v>234454.1210930814</v>
      </c>
      <c r="DV401" s="129">
        <f t="shared" si="1325"/>
        <v>236790.87313055395</v>
      </c>
      <c r="DW401" s="129">
        <f t="shared" si="1325"/>
        <v>239906.54251385073</v>
      </c>
      <c r="DX401" s="129">
        <f t="shared" si="1325"/>
        <v>240685.45985967491</v>
      </c>
      <c r="DY401" s="129">
        <f t="shared" si="1325"/>
        <v>242243.29455132331</v>
      </c>
      <c r="DZ401" s="129">
        <f t="shared" si="1325"/>
        <v>243022.21189714747</v>
      </c>
      <c r="EA401" s="129">
        <f t="shared" si="1325"/>
        <v>243801.12924297166</v>
      </c>
      <c r="EB401" s="129">
        <f t="shared" si="1325"/>
        <v>245358.96393462006</v>
      </c>
      <c r="EC401" s="129">
        <f t="shared" si="1325"/>
        <v>246137.88128044424</v>
      </c>
      <c r="ED401" s="113" t="s">
        <v>1</v>
      </c>
    </row>
    <row r="402" spans="1:134" x14ac:dyDescent="0.2">
      <c r="A402" s="114" t="s">
        <v>52</v>
      </c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29"/>
      <c r="AM402" s="129"/>
      <c r="AN402" s="129"/>
      <c r="AO402" s="129"/>
      <c r="AP402" s="129"/>
      <c r="AQ402" s="129"/>
      <c r="AR402" s="129"/>
      <c r="AS402" s="129"/>
      <c r="AT402" s="129"/>
      <c r="AU402" s="129"/>
      <c r="AV402" s="129"/>
      <c r="AW402" s="129"/>
      <c r="AX402" s="129"/>
      <c r="AY402" s="129"/>
      <c r="AZ402" s="129"/>
      <c r="BA402" s="129"/>
      <c r="BB402" s="129"/>
      <c r="BC402" s="129"/>
      <c r="BD402" s="129"/>
      <c r="BE402" s="129"/>
      <c r="BF402" s="129"/>
      <c r="BG402" s="129"/>
      <c r="BH402" s="129"/>
      <c r="BI402" s="129"/>
      <c r="BJ402" s="129"/>
      <c r="BK402" s="129"/>
      <c r="BL402" s="129"/>
      <c r="BM402" s="129"/>
      <c r="BN402" s="129"/>
      <c r="BO402" s="129"/>
      <c r="BP402" s="129"/>
      <c r="BQ402" s="129"/>
      <c r="BR402" s="129"/>
      <c r="BS402" s="129"/>
      <c r="BT402" s="129"/>
      <c r="BU402" s="129"/>
      <c r="BV402" s="129"/>
      <c r="BW402" s="129"/>
      <c r="BX402" s="129"/>
      <c r="BY402" s="129"/>
      <c r="BZ402" s="129"/>
      <c r="CA402" s="129"/>
      <c r="CB402" s="129"/>
      <c r="CC402" s="129"/>
      <c r="CD402" s="129"/>
      <c r="CE402" s="129"/>
      <c r="CF402" s="129"/>
      <c r="CG402" s="129"/>
      <c r="CH402" s="129"/>
      <c r="CI402" s="129"/>
      <c r="CJ402" s="129"/>
      <c r="CK402" s="129"/>
      <c r="CL402" s="129"/>
      <c r="CM402" s="129"/>
      <c r="CN402" s="129"/>
      <c r="CO402" s="129"/>
      <c r="CP402" s="129"/>
      <c r="CQ402" s="129"/>
      <c r="CR402" s="129"/>
      <c r="CS402" s="129"/>
      <c r="CT402" s="129"/>
      <c r="CU402" s="129"/>
      <c r="CV402" s="129"/>
      <c r="CW402" s="129"/>
      <c r="CX402" s="129"/>
      <c r="CY402" s="129"/>
      <c r="CZ402" s="129"/>
      <c r="DA402" s="129"/>
      <c r="DB402" s="129"/>
      <c r="DC402" s="129"/>
      <c r="DD402" s="129"/>
      <c r="DE402" s="129"/>
      <c r="DF402" s="129"/>
      <c r="DG402" s="129"/>
      <c r="DH402" s="129"/>
      <c r="DI402" s="129"/>
      <c r="DJ402" s="129"/>
      <c r="DK402" s="129"/>
      <c r="DL402" s="129"/>
      <c r="DM402" s="129"/>
      <c r="DN402" s="129"/>
      <c r="DO402" s="129"/>
      <c r="DP402" s="129"/>
      <c r="DQ402" s="129"/>
      <c r="DR402" s="115"/>
      <c r="DS402" s="115"/>
      <c r="DT402" s="115"/>
      <c r="DU402" s="115"/>
      <c r="DV402" s="115"/>
      <c r="DW402" s="115"/>
      <c r="DX402" s="115"/>
      <c r="DY402" s="115"/>
      <c r="DZ402" s="115"/>
      <c r="EA402" s="115"/>
      <c r="EB402" s="115"/>
      <c r="EC402" s="645"/>
      <c r="ED402" s="113" t="s">
        <v>1</v>
      </c>
    </row>
    <row r="403" spans="1:134" x14ac:dyDescent="0.2">
      <c r="A403" s="731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15"/>
      <c r="AL403" s="115"/>
      <c r="AM403" s="115"/>
      <c r="AN403" s="115"/>
      <c r="AO403" s="115"/>
      <c r="AP403" s="115"/>
      <c r="AQ403" s="115"/>
      <c r="AR403" s="115"/>
      <c r="AS403" s="115"/>
      <c r="AT403" s="115"/>
      <c r="AU403" s="115"/>
      <c r="AV403" s="115"/>
      <c r="AW403" s="115"/>
      <c r="AX403" s="115"/>
      <c r="AY403" s="115"/>
      <c r="AZ403" s="115"/>
      <c r="BA403" s="115"/>
      <c r="BB403" s="115"/>
      <c r="BC403" s="115"/>
      <c r="BD403" s="115"/>
      <c r="BE403" s="115"/>
      <c r="BF403" s="115"/>
      <c r="BG403" s="115"/>
      <c r="BH403" s="115"/>
      <c r="BI403" s="115"/>
      <c r="BJ403" s="115"/>
      <c r="BK403" s="115"/>
      <c r="BL403" s="115"/>
      <c r="BM403" s="115"/>
      <c r="BN403" s="115"/>
      <c r="BO403" s="115"/>
      <c r="BP403" s="115"/>
      <c r="BQ403" s="115"/>
      <c r="BR403" s="115"/>
      <c r="BS403" s="115"/>
      <c r="BT403" s="115"/>
      <c r="BU403" s="115"/>
      <c r="BV403" s="115"/>
      <c r="BW403" s="115"/>
      <c r="BX403" s="115"/>
      <c r="BY403" s="115"/>
      <c r="BZ403" s="115"/>
      <c r="CA403" s="115"/>
      <c r="CB403" s="115"/>
      <c r="CC403" s="115"/>
      <c r="CD403" s="115"/>
      <c r="CE403" s="115"/>
      <c r="CF403" s="115"/>
      <c r="CG403" s="115"/>
      <c r="CH403" s="115"/>
      <c r="CI403" s="115"/>
      <c r="CJ403" s="115"/>
      <c r="CK403" s="115"/>
      <c r="CL403" s="115"/>
      <c r="CM403" s="115"/>
      <c r="CN403" s="115"/>
      <c r="CO403" s="115"/>
      <c r="CP403" s="115"/>
      <c r="CQ403" s="115"/>
      <c r="CR403" s="115"/>
      <c r="CS403" s="115"/>
      <c r="CT403" s="115"/>
      <c r="CU403" s="115"/>
      <c r="CV403" s="115"/>
      <c r="CW403" s="115"/>
      <c r="CX403" s="115"/>
      <c r="CY403" s="115"/>
      <c r="CZ403" s="115"/>
      <c r="DA403" s="115"/>
      <c r="DB403" s="115"/>
      <c r="DC403" s="115"/>
      <c r="DD403" s="115"/>
      <c r="DE403" s="115"/>
      <c r="DF403" s="115"/>
      <c r="DG403" s="115"/>
      <c r="DH403" s="115"/>
      <c r="DI403" s="115"/>
      <c r="DJ403" s="115"/>
      <c r="DK403" s="115"/>
      <c r="DL403" s="115"/>
      <c r="DM403" s="115"/>
      <c r="DN403" s="115"/>
      <c r="DO403" s="115"/>
      <c r="DP403" s="115"/>
      <c r="DQ403" s="115"/>
      <c r="DR403" s="115"/>
      <c r="DS403" s="115"/>
      <c r="DT403" s="115"/>
      <c r="DU403" s="115"/>
      <c r="DV403" s="115"/>
      <c r="DW403" s="115"/>
      <c r="DX403" s="115"/>
      <c r="DY403" s="115"/>
      <c r="DZ403" s="115"/>
      <c r="EA403" s="115"/>
      <c r="EB403" s="115"/>
      <c r="EC403" s="645"/>
      <c r="ED403" s="113" t="s">
        <v>1</v>
      </c>
    </row>
    <row r="404" spans="1:134" x14ac:dyDescent="0.2">
      <c r="A404" s="114" t="s">
        <v>192</v>
      </c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29">
        <v>34164.439999999995</v>
      </c>
      <c r="AC404" s="129">
        <v>80549</v>
      </c>
      <c r="AD404" s="129">
        <v>1024004.1200000001</v>
      </c>
      <c r="AE404" s="129">
        <v>1222796</v>
      </c>
      <c r="AF404" s="129">
        <v>1304920</v>
      </c>
      <c r="AG404" s="129">
        <v>1381028</v>
      </c>
      <c r="AH404" s="129">
        <v>2191488</v>
      </c>
      <c r="AI404" s="129">
        <v>1889108.62</v>
      </c>
      <c r="AJ404" s="129">
        <v>4228422.8299999973</v>
      </c>
      <c r="AK404" s="129">
        <v>2864265.5800000005</v>
      </c>
      <c r="AL404" s="129">
        <v>3046378.3599999584</v>
      </c>
      <c r="AM404" s="129">
        <v>68026.060000000056</v>
      </c>
      <c r="AN404" s="129">
        <v>2186662.4200000074</v>
      </c>
      <c r="AO404" s="129">
        <v>2778928.5299998708</v>
      </c>
      <c r="AP404" s="129">
        <v>3445900.8299999163</v>
      </c>
      <c r="AQ404" s="129">
        <v>4231724.9300000295</v>
      </c>
      <c r="AR404" s="129">
        <v>4589567.1099999994</v>
      </c>
      <c r="AS404" s="129">
        <v>7992704.5000004321</v>
      </c>
      <c r="AT404" s="129">
        <v>9722879.230001688</v>
      </c>
      <c r="AU404" s="129">
        <v>10530933.63000071</v>
      </c>
      <c r="AV404" s="129">
        <v>11590259.539999999</v>
      </c>
      <c r="AW404" s="129">
        <v>13060725.550000001</v>
      </c>
      <c r="AX404" s="129">
        <v>10051140.049999956</v>
      </c>
      <c r="AY404" s="129">
        <v>12938031.029999997</v>
      </c>
      <c r="AZ404" s="129">
        <v>14369104.310000077</v>
      </c>
      <c r="BA404" s="129">
        <v>12127726.770000031</v>
      </c>
      <c r="BB404" s="129">
        <v>10761139.590000037</v>
      </c>
      <c r="BC404" s="129">
        <v>9409463.5900000054</v>
      </c>
      <c r="BD404" s="129">
        <v>8817711.4900000021</v>
      </c>
      <c r="BE404" s="129">
        <v>7052958.8299999889</v>
      </c>
      <c r="BF404" s="129">
        <v>10443114.069999991</v>
      </c>
      <c r="BG404" s="129">
        <v>11054463.079999998</v>
      </c>
      <c r="BH404" s="129">
        <v>10976426.030000005</v>
      </c>
      <c r="BI404" s="129">
        <v>16470712.890000023</v>
      </c>
      <c r="BJ404" s="129">
        <v>20288599.290000118</v>
      </c>
      <c r="BK404" s="129">
        <v>23793191.250000108</v>
      </c>
      <c r="BL404" s="129">
        <v>25594927.960000113</v>
      </c>
      <c r="BM404" s="129">
        <v>25608054.62000015</v>
      </c>
      <c r="BN404" s="129">
        <v>24796270.190000203</v>
      </c>
      <c r="BO404" s="129">
        <v>24165197.080000162</v>
      </c>
      <c r="BP404" s="129">
        <v>27189867.940000098</v>
      </c>
      <c r="BQ404" s="129">
        <v>22205123.619999979</v>
      </c>
      <c r="BR404" s="129">
        <v>19643200.030000005</v>
      </c>
      <c r="BS404" s="129">
        <v>18022779.679999955</v>
      </c>
      <c r="BT404" s="129">
        <v>19048169.129999984</v>
      </c>
      <c r="BU404" s="129">
        <v>23031848</v>
      </c>
      <c r="BV404" s="129">
        <v>24140338.750000104</v>
      </c>
      <c r="BW404" s="129">
        <v>22876036.029999942</v>
      </c>
      <c r="BX404" s="129">
        <v>22043922.069999963</v>
      </c>
      <c r="BY404" s="129">
        <v>26084919.12000002</v>
      </c>
      <c r="BZ404" s="129">
        <v>23190951.169999931</v>
      </c>
      <c r="CA404" s="129">
        <v>25506390.309999935</v>
      </c>
      <c r="CB404" s="129">
        <v>17326306.679999981</v>
      </c>
      <c r="CC404" s="129">
        <v>25348796.840000004</v>
      </c>
      <c r="CD404" s="129">
        <v>30175866.910000134</v>
      </c>
      <c r="CE404" s="129">
        <v>35649575.180026025</v>
      </c>
      <c r="CF404" s="129">
        <v>31453889.910057928</v>
      </c>
      <c r="CG404" s="129">
        <v>39391842.150000237</v>
      </c>
      <c r="CH404" s="129">
        <v>41501082.380003251</v>
      </c>
      <c r="CI404" s="129">
        <v>45297221.810000286</v>
      </c>
      <c r="CJ404" s="129">
        <v>40182170.620006375</v>
      </c>
      <c r="CK404" s="129">
        <v>46787026.000000142</v>
      </c>
      <c r="CL404" s="129">
        <v>38701118.240000106</v>
      </c>
      <c r="CM404" s="129">
        <v>36979568.350000069</v>
      </c>
      <c r="CN404" s="129">
        <v>37344961.069999993</v>
      </c>
      <c r="CO404" s="129">
        <v>38751262.059999987</v>
      </c>
      <c r="CP404" s="129">
        <v>39009244.830000013</v>
      </c>
      <c r="CQ404" s="129">
        <v>50214428.250000067</v>
      </c>
      <c r="CR404" s="129">
        <v>47794579.180000052</v>
      </c>
      <c r="CS404" s="129">
        <v>53055548.69000002</v>
      </c>
      <c r="CT404" s="129">
        <f>CS404/CS408*CT408</f>
        <v>56685764.982164018</v>
      </c>
      <c r="CU404" s="129">
        <f t="shared" ref="CU404:DQ404" si="1326">CT404/CT408*CU408</f>
        <v>55373964.791715465</v>
      </c>
      <c r="CV404" s="129">
        <f t="shared" si="1326"/>
        <v>55188531.011822529</v>
      </c>
      <c r="CW404" s="129">
        <f t="shared" si="1326"/>
        <v>60124496.033097565</v>
      </c>
      <c r="CX404" s="129">
        <f t="shared" si="1326"/>
        <v>53136073.686461553</v>
      </c>
      <c r="CY404" s="129">
        <f t="shared" si="1326"/>
        <v>48907513.129808918</v>
      </c>
      <c r="CZ404" s="129">
        <f t="shared" si="1326"/>
        <v>62233474.905594558</v>
      </c>
      <c r="DA404" s="129">
        <f t="shared" si="1326"/>
        <v>56851144.679924466</v>
      </c>
      <c r="DB404" s="129">
        <f t="shared" si="1326"/>
        <v>68566100.907325983</v>
      </c>
      <c r="DC404" s="129">
        <f t="shared" si="1326"/>
        <v>70337526.21846433</v>
      </c>
      <c r="DD404" s="129">
        <f t="shared" si="1326"/>
        <v>64980751.146993086</v>
      </c>
      <c r="DE404" s="129">
        <f t="shared" si="1326"/>
        <v>76371707.275909603</v>
      </c>
      <c r="DF404" s="129">
        <f t="shared" si="1326"/>
        <v>67522749.464048341</v>
      </c>
      <c r="DG404" s="129">
        <f t="shared" si="1326"/>
        <v>66137279.198105164</v>
      </c>
      <c r="DH404" s="129">
        <f t="shared" si="1326"/>
        <v>65578964.31960395</v>
      </c>
      <c r="DI404" s="129">
        <f t="shared" si="1326"/>
        <v>71376366.005005851</v>
      </c>
      <c r="DJ404" s="129">
        <f t="shared" si="1326"/>
        <v>62991958.321853653</v>
      </c>
      <c r="DK404" s="129">
        <f t="shared" si="1326"/>
        <v>57873890.53694059</v>
      </c>
      <c r="DL404" s="129">
        <f t="shared" si="1326"/>
        <v>73320343.958658174</v>
      </c>
      <c r="DM404" s="129">
        <f t="shared" si="1326"/>
        <v>66661838.324106008</v>
      </c>
      <c r="DN404" s="129">
        <f t="shared" si="1326"/>
        <v>80055555.653959036</v>
      </c>
      <c r="DO404" s="129">
        <f t="shared" si="1326"/>
        <v>81777480.195375517</v>
      </c>
      <c r="DP404" s="129">
        <f t="shared" si="1326"/>
        <v>75207835.276377797</v>
      </c>
      <c r="DQ404" s="129">
        <f t="shared" si="1326"/>
        <v>87371512.876096576</v>
      </c>
      <c r="DR404" s="129">
        <f t="shared" ref="DR404:DR405" si="1327">DQ404/DQ408*DR408</f>
        <v>77201010.220561951</v>
      </c>
      <c r="DS404" s="129">
        <f t="shared" ref="DS404:DS405" si="1328">DR404/DR408*DS408</f>
        <v>75549122.776297078</v>
      </c>
      <c r="DT404" s="129">
        <f t="shared" ref="DT404:DT405" si="1329">DS404/DS408*DT408</f>
        <v>74867330.356871516</v>
      </c>
      <c r="DU404" s="129">
        <f t="shared" ref="DU404:DU405" si="1330">DT404/DT408*DU408</f>
        <v>81438629.876830712</v>
      </c>
      <c r="DV404" s="129">
        <f t="shared" ref="DV404:DV405" si="1331">DU404/DU408*DV408</f>
        <v>71810832.486913174</v>
      </c>
      <c r="DW404" s="129">
        <f t="shared" ref="DW404:DW405" si="1332">DV404/DV408*DW408</f>
        <v>65902873.942417562</v>
      </c>
      <c r="DX404" s="129">
        <f t="shared" ref="DX404:DX405" si="1333">DW404/DW408*DX408</f>
        <v>83469423.148725078</v>
      </c>
      <c r="DY404" s="129">
        <f t="shared" ref="DY404:DY405" si="1334">DX404/DX408*DY408</f>
        <v>75848164.824866965</v>
      </c>
      <c r="DZ404" s="129">
        <f t="shared" ref="DZ404:DZ405" si="1335">DY404/DY408*DZ408</f>
        <v>91063194.556378394</v>
      </c>
      <c r="EA404" s="129">
        <f t="shared" ref="EA404:EA405" si="1336">DZ404/DZ408*EA408</f>
        <v>92997124.104533419</v>
      </c>
      <c r="EB404" s="129">
        <f t="shared" ref="EB404:EB405" si="1337">EA404/EA408*EB408</f>
        <v>85481070.507429391</v>
      </c>
      <c r="EC404" s="129">
        <f t="shared" ref="EC404:EC405" si="1338">EB404/EB408*EC408</f>
        <v>99280369.768112496</v>
      </c>
      <c r="ED404" s="113" t="s">
        <v>1</v>
      </c>
    </row>
    <row r="405" spans="1:134" x14ac:dyDescent="0.2">
      <c r="A405" s="114" t="s">
        <v>193</v>
      </c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29">
        <v>0</v>
      </c>
      <c r="AC405" s="129">
        <v>0</v>
      </c>
      <c r="AD405" s="129">
        <v>0</v>
      </c>
      <c r="AE405" s="129">
        <v>0</v>
      </c>
      <c r="AF405" s="129">
        <v>8120</v>
      </c>
      <c r="AG405" s="129">
        <v>52391</v>
      </c>
      <c r="AH405" s="129">
        <v>59146</v>
      </c>
      <c r="AI405" s="129">
        <v>179848</v>
      </c>
      <c r="AJ405" s="129">
        <v>139423</v>
      </c>
      <c r="AK405" s="129">
        <v>127463</v>
      </c>
      <c r="AL405" s="129">
        <v>226622</v>
      </c>
      <c r="AM405" s="129">
        <v>0</v>
      </c>
      <c r="AN405" s="129">
        <v>74450</v>
      </c>
      <c r="AO405" s="129">
        <v>156975</v>
      </c>
      <c r="AP405" s="129">
        <v>386617</v>
      </c>
      <c r="AQ405" s="129">
        <v>991822</v>
      </c>
      <c r="AR405" s="129">
        <v>421427</v>
      </c>
      <c r="AS405" s="129">
        <v>877619</v>
      </c>
      <c r="AT405" s="129">
        <v>1320796</v>
      </c>
      <c r="AU405" s="129">
        <v>1013051</v>
      </c>
      <c r="AV405" s="129">
        <v>967128</v>
      </c>
      <c r="AW405" s="129">
        <v>1082680</v>
      </c>
      <c r="AX405" s="129">
        <v>947319.27</v>
      </c>
      <c r="AY405" s="129">
        <v>493018.72</v>
      </c>
      <c r="AZ405" s="129">
        <v>676111</v>
      </c>
      <c r="BA405" s="129">
        <v>0</v>
      </c>
      <c r="BB405" s="129">
        <v>0</v>
      </c>
      <c r="BC405" s="129">
        <v>0</v>
      </c>
      <c r="BD405" s="129">
        <v>0</v>
      </c>
      <c r="BE405" s="129">
        <v>55209</v>
      </c>
      <c r="BF405" s="129">
        <v>133547</v>
      </c>
      <c r="BG405" s="129">
        <v>0</v>
      </c>
      <c r="BH405" s="129">
        <v>62498</v>
      </c>
      <c r="BI405" s="129">
        <v>61138</v>
      </c>
      <c r="BJ405" s="129">
        <v>86913</v>
      </c>
      <c r="BK405" s="129">
        <v>47433</v>
      </c>
      <c r="BL405" s="129">
        <v>24514</v>
      </c>
      <c r="BM405" s="129">
        <v>162752</v>
      </c>
      <c r="BN405" s="129">
        <v>0</v>
      </c>
      <c r="BO405" s="129">
        <v>57846</v>
      </c>
      <c r="BP405" s="129">
        <v>520416</v>
      </c>
      <c r="BQ405" s="129">
        <v>138027</v>
      </c>
      <c r="BR405" s="129">
        <v>961713</v>
      </c>
      <c r="BS405" s="129">
        <v>585967</v>
      </c>
      <c r="BT405" s="129">
        <v>146144</v>
      </c>
      <c r="BU405" s="129">
        <v>1309252</v>
      </c>
      <c r="BV405" s="129">
        <v>464052</v>
      </c>
      <c r="BW405" s="129">
        <v>101314</v>
      </c>
      <c r="BX405" s="129">
        <v>41595</v>
      </c>
      <c r="BY405" s="129">
        <v>1221894</v>
      </c>
      <c r="BZ405" s="129">
        <v>99912</v>
      </c>
      <c r="CA405" s="129">
        <v>95516</v>
      </c>
      <c r="CB405" s="129">
        <v>585967</v>
      </c>
      <c r="CC405" s="129">
        <v>447792</v>
      </c>
      <c r="CD405" s="129">
        <v>341142</v>
      </c>
      <c r="CE405" s="129">
        <v>730343</v>
      </c>
      <c r="CF405" s="129">
        <v>3989808</v>
      </c>
      <c r="CG405" s="129">
        <v>73498</v>
      </c>
      <c r="CH405" s="129">
        <v>981183</v>
      </c>
      <c r="CI405" s="129">
        <v>168761</v>
      </c>
      <c r="CJ405" s="129">
        <v>159789</v>
      </c>
      <c r="CK405" s="129">
        <v>83144</v>
      </c>
      <c r="CL405" s="129">
        <v>84608</v>
      </c>
      <c r="CM405" s="129">
        <v>2881342</v>
      </c>
      <c r="CN405" s="129">
        <v>98123</v>
      </c>
      <c r="CO405" s="129">
        <v>29238</v>
      </c>
      <c r="CP405" s="129">
        <v>1186349</v>
      </c>
      <c r="CQ405" s="129">
        <v>16106</v>
      </c>
      <c r="CR405" s="129">
        <v>0</v>
      </c>
      <c r="CS405" s="129">
        <v>105455</v>
      </c>
      <c r="CT405" s="129">
        <f>CS405/CS409*CT409</f>
        <v>2661933.747521481</v>
      </c>
      <c r="CU405" s="129">
        <f t="shared" ref="CU405:DQ405" si="1339">CT405/CT409*CU409</f>
        <v>2600332.2996437135</v>
      </c>
      <c r="CV405" s="129">
        <f t="shared" si="1339"/>
        <v>2591624.4267450627</v>
      </c>
      <c r="CW405" s="129">
        <f t="shared" si="1339"/>
        <v>2823414.7513680398</v>
      </c>
      <c r="CX405" s="129">
        <f t="shared" si="1339"/>
        <v>2495242.108866048</v>
      </c>
      <c r="CY405" s="129">
        <f t="shared" si="1339"/>
        <v>2296671.1263145455</v>
      </c>
      <c r="CZ405" s="129">
        <f t="shared" si="1339"/>
        <v>2922451.2914107819</v>
      </c>
      <c r="DA405" s="129">
        <f t="shared" si="1339"/>
        <v>2669699.8912572474</v>
      </c>
      <c r="DB405" s="129">
        <f t="shared" si="1339"/>
        <v>3219828.0820344049</v>
      </c>
      <c r="DC405" s="129">
        <f t="shared" si="1339"/>
        <v>3303013.2841467261</v>
      </c>
      <c r="DD405" s="129">
        <f t="shared" si="1339"/>
        <v>3051461.9406106947</v>
      </c>
      <c r="DE405" s="129">
        <f t="shared" si="1339"/>
        <v>3586375.2569545805</v>
      </c>
      <c r="DF405" s="129">
        <f t="shared" si="1339"/>
        <v>3170832.846312352</v>
      </c>
      <c r="DG405" s="129">
        <f t="shared" si="1339"/>
        <v>3105771.89038696</v>
      </c>
      <c r="DH405" s="129">
        <f t="shared" si="1339"/>
        <v>3079553.7169655841</v>
      </c>
      <c r="DI405" s="129">
        <f t="shared" si="1339"/>
        <v>3351796.654838345</v>
      </c>
      <c r="DJ405" s="129">
        <f t="shared" si="1339"/>
        <v>2958069.2742202352</v>
      </c>
      <c r="DK405" s="129">
        <f t="shared" si="1339"/>
        <v>2717727.4994722125</v>
      </c>
      <c r="DL405" s="129">
        <f t="shared" si="1339"/>
        <v>3443084.8384042382</v>
      </c>
      <c r="DM405" s="129">
        <f t="shared" si="1339"/>
        <v>3130404.9114022241</v>
      </c>
      <c r="DN405" s="129">
        <f t="shared" si="1339"/>
        <v>3759366.8417266565</v>
      </c>
      <c r="DO405" s="129">
        <f t="shared" si="1339"/>
        <v>3840227.5136947292</v>
      </c>
      <c r="DP405" s="129">
        <f t="shared" si="1339"/>
        <v>3531720.4392181723</v>
      </c>
      <c r="DQ405" s="129">
        <f t="shared" si="1339"/>
        <v>4102920.3499338594</v>
      </c>
      <c r="DR405" s="129">
        <f t="shared" si="1327"/>
        <v>3625318.8876171219</v>
      </c>
      <c r="DS405" s="129">
        <f t="shared" si="1328"/>
        <v>3547747.1209420273</v>
      </c>
      <c r="DT405" s="129">
        <f t="shared" si="1329"/>
        <v>3515730.5070594363</v>
      </c>
      <c r="DU405" s="129">
        <f t="shared" si="1330"/>
        <v>3824315.2807280105</v>
      </c>
      <c r="DV405" s="129">
        <f t="shared" si="1331"/>
        <v>3372198.9726110678</v>
      </c>
      <c r="DW405" s="129">
        <f t="shared" si="1332"/>
        <v>3094764.3427088507</v>
      </c>
      <c r="DX405" s="129">
        <f t="shared" si="1333"/>
        <v>3919680.2660359833</v>
      </c>
      <c r="DY405" s="129">
        <f t="shared" si="1334"/>
        <v>3561789.9784613112</v>
      </c>
      <c r="DZ405" s="129">
        <f t="shared" si="1335"/>
        <v>4276279.7824640721</v>
      </c>
      <c r="EA405" s="129">
        <f t="shared" si="1336"/>
        <v>4367096.0981860645</v>
      </c>
      <c r="EB405" s="129">
        <f t="shared" si="1337"/>
        <v>4014146.1693175626</v>
      </c>
      <c r="EC405" s="129">
        <f t="shared" si="1338"/>
        <v>4662154.0140686817</v>
      </c>
      <c r="ED405" s="113" t="s">
        <v>1</v>
      </c>
    </row>
    <row r="406" spans="1:134" x14ac:dyDescent="0.2">
      <c r="A406" s="114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115"/>
      <c r="AL406" s="115"/>
      <c r="AM406" s="115"/>
      <c r="AN406" s="115"/>
      <c r="AO406" s="115"/>
      <c r="AP406" s="115"/>
      <c r="AQ406" s="115"/>
      <c r="AR406" s="115"/>
      <c r="AS406" s="115"/>
      <c r="AT406" s="115"/>
      <c r="AU406" s="115"/>
      <c r="AV406" s="115"/>
      <c r="AW406" s="115"/>
      <c r="AX406" s="115"/>
      <c r="AY406" s="115"/>
      <c r="AZ406" s="115"/>
      <c r="BA406" s="115"/>
      <c r="BB406" s="115"/>
      <c r="BC406" s="115"/>
      <c r="BD406" s="115"/>
      <c r="BE406" s="115"/>
      <c r="BF406" s="115"/>
      <c r="BG406" s="115"/>
      <c r="BH406" s="115"/>
      <c r="BI406" s="115"/>
      <c r="BJ406" s="115"/>
      <c r="BK406" s="115"/>
      <c r="BL406" s="115"/>
      <c r="BM406" s="115"/>
      <c r="BN406" s="115"/>
      <c r="BO406" s="115"/>
      <c r="BP406" s="115"/>
      <c r="BQ406" s="115"/>
      <c r="BR406" s="115"/>
      <c r="BS406" s="115"/>
      <c r="BT406" s="115"/>
      <c r="BU406" s="115"/>
      <c r="BV406" s="115"/>
      <c r="BW406" s="115"/>
      <c r="BX406" s="115"/>
      <c r="BY406" s="115"/>
      <c r="BZ406" s="115"/>
      <c r="CA406" s="115"/>
      <c r="CB406" s="115"/>
      <c r="CC406" s="115"/>
      <c r="CD406" s="115"/>
      <c r="CE406" s="115"/>
      <c r="CF406" s="115"/>
      <c r="CG406" s="115"/>
      <c r="CH406" s="115"/>
      <c r="CI406" s="115"/>
      <c r="CJ406" s="115"/>
      <c r="CK406" s="115"/>
      <c r="CL406" s="115"/>
      <c r="CM406" s="115"/>
      <c r="CN406" s="115"/>
      <c r="CO406" s="115"/>
      <c r="CP406" s="115"/>
      <c r="CQ406" s="115"/>
      <c r="CR406" s="115"/>
      <c r="CS406" s="115"/>
      <c r="CT406" s="115"/>
      <c r="CU406" s="115"/>
      <c r="CV406" s="115"/>
      <c r="CW406" s="115"/>
      <c r="CX406" s="115"/>
      <c r="CY406" s="115"/>
      <c r="CZ406" s="115"/>
      <c r="DA406" s="115"/>
      <c r="DB406" s="115"/>
      <c r="DC406" s="115"/>
      <c r="DD406" s="115"/>
      <c r="DE406" s="115"/>
      <c r="DF406" s="115"/>
      <c r="DG406" s="115"/>
      <c r="DH406" s="115"/>
      <c r="DI406" s="115"/>
      <c r="DJ406" s="115"/>
      <c r="DK406" s="115"/>
      <c r="DL406" s="115"/>
      <c r="DM406" s="115"/>
      <c r="DN406" s="115"/>
      <c r="DO406" s="115"/>
      <c r="DP406" s="115"/>
      <c r="DQ406" s="115"/>
      <c r="DR406" s="115"/>
      <c r="DS406" s="115"/>
      <c r="DT406" s="115"/>
      <c r="DU406" s="115"/>
      <c r="DV406" s="115"/>
      <c r="DW406" s="115"/>
      <c r="DX406" s="115"/>
      <c r="DY406" s="115"/>
      <c r="DZ406" s="115"/>
      <c r="EA406" s="115"/>
      <c r="EB406" s="115"/>
      <c r="EC406" s="645"/>
      <c r="ED406" s="113" t="s">
        <v>1</v>
      </c>
    </row>
    <row r="407" spans="1:134" x14ac:dyDescent="0.2">
      <c r="A407" s="116" t="s">
        <v>5</v>
      </c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32">
        <f>SUM(AB408:AB409)</f>
        <v>4</v>
      </c>
      <c r="AC407" s="132">
        <f t="shared" ref="AC407:CN407" si="1340">SUM(AC408:AC409)</f>
        <v>4</v>
      </c>
      <c r="AD407" s="132">
        <f t="shared" si="1340"/>
        <v>73</v>
      </c>
      <c r="AE407" s="132">
        <f t="shared" si="1340"/>
        <v>156</v>
      </c>
      <c r="AF407" s="132">
        <f t="shared" si="1340"/>
        <v>97</v>
      </c>
      <c r="AG407" s="132">
        <f t="shared" si="1340"/>
        <v>99</v>
      </c>
      <c r="AH407" s="132">
        <f t="shared" si="1340"/>
        <v>116</v>
      </c>
      <c r="AI407" s="132">
        <f t="shared" si="1340"/>
        <v>131</v>
      </c>
      <c r="AJ407" s="132">
        <f t="shared" si="1340"/>
        <v>255</v>
      </c>
      <c r="AK407" s="132">
        <f t="shared" si="1340"/>
        <v>175</v>
      </c>
      <c r="AL407" s="132">
        <f t="shared" si="1340"/>
        <v>184</v>
      </c>
      <c r="AM407" s="132">
        <f t="shared" si="1340"/>
        <v>4</v>
      </c>
      <c r="AN407" s="132">
        <f t="shared" si="1340"/>
        <v>156</v>
      </c>
      <c r="AO407" s="132">
        <f t="shared" si="1340"/>
        <v>207</v>
      </c>
      <c r="AP407" s="132">
        <f t="shared" si="1340"/>
        <v>270</v>
      </c>
      <c r="AQ407" s="132">
        <f t="shared" si="1340"/>
        <v>386</v>
      </c>
      <c r="AR407" s="132">
        <f t="shared" si="1340"/>
        <v>356</v>
      </c>
      <c r="AS407" s="132">
        <f t="shared" si="1340"/>
        <v>642</v>
      </c>
      <c r="AT407" s="132">
        <f t="shared" si="1340"/>
        <v>851</v>
      </c>
      <c r="AU407" s="132">
        <f t="shared" si="1340"/>
        <v>875</v>
      </c>
      <c r="AV407" s="132">
        <f t="shared" si="1340"/>
        <v>880</v>
      </c>
      <c r="AW407" s="132">
        <f t="shared" si="1340"/>
        <v>876</v>
      </c>
      <c r="AX407" s="132">
        <f t="shared" si="1340"/>
        <v>703</v>
      </c>
      <c r="AY407" s="132">
        <f t="shared" si="1340"/>
        <v>819</v>
      </c>
      <c r="AZ407" s="132">
        <f t="shared" si="1340"/>
        <v>887</v>
      </c>
      <c r="BA407" s="132">
        <f t="shared" si="1340"/>
        <v>646</v>
      </c>
      <c r="BB407" s="132">
        <f t="shared" si="1340"/>
        <v>590</v>
      </c>
      <c r="BC407" s="132">
        <f t="shared" si="1340"/>
        <v>545</v>
      </c>
      <c r="BD407" s="132">
        <f t="shared" si="1340"/>
        <v>534</v>
      </c>
      <c r="BE407" s="132">
        <f t="shared" si="1340"/>
        <v>438</v>
      </c>
      <c r="BF407" s="132">
        <f t="shared" si="1340"/>
        <v>592</v>
      </c>
      <c r="BG407" s="132">
        <f t="shared" si="1340"/>
        <v>529</v>
      </c>
      <c r="BH407" s="132">
        <f t="shared" si="1340"/>
        <v>546</v>
      </c>
      <c r="BI407" s="132">
        <f t="shared" si="1340"/>
        <v>721</v>
      </c>
      <c r="BJ407" s="132">
        <f t="shared" si="1340"/>
        <v>816</v>
      </c>
      <c r="BK407" s="132">
        <f t="shared" si="1340"/>
        <v>899</v>
      </c>
      <c r="BL407" s="132">
        <f t="shared" si="1340"/>
        <v>1006</v>
      </c>
      <c r="BM407" s="132">
        <f t="shared" si="1340"/>
        <v>1008</v>
      </c>
      <c r="BN407" s="132">
        <f t="shared" si="1340"/>
        <v>1012</v>
      </c>
      <c r="BO407" s="132">
        <f t="shared" si="1340"/>
        <v>993</v>
      </c>
      <c r="BP407" s="132">
        <f t="shared" si="1340"/>
        <v>1106</v>
      </c>
      <c r="BQ407" s="132">
        <f t="shared" si="1340"/>
        <v>865</v>
      </c>
      <c r="BR407" s="132">
        <f t="shared" si="1340"/>
        <v>832</v>
      </c>
      <c r="BS407" s="132">
        <f t="shared" si="1340"/>
        <v>753</v>
      </c>
      <c r="BT407" s="132">
        <f t="shared" si="1340"/>
        <v>739</v>
      </c>
      <c r="BU407" s="132">
        <f t="shared" si="1340"/>
        <v>933</v>
      </c>
      <c r="BV407" s="132">
        <f t="shared" si="1340"/>
        <v>919</v>
      </c>
      <c r="BW407" s="132">
        <f t="shared" si="1340"/>
        <v>887</v>
      </c>
      <c r="BX407" s="132">
        <f t="shared" si="1340"/>
        <v>876</v>
      </c>
      <c r="BY407" s="132">
        <f t="shared" si="1340"/>
        <v>1074</v>
      </c>
      <c r="BZ407" s="132">
        <f t="shared" si="1340"/>
        <v>861</v>
      </c>
      <c r="CA407" s="132">
        <f t="shared" si="1340"/>
        <v>925</v>
      </c>
      <c r="CB407" s="132">
        <f t="shared" si="1340"/>
        <v>726</v>
      </c>
      <c r="CC407" s="132">
        <f t="shared" si="1340"/>
        <v>859</v>
      </c>
      <c r="CD407" s="132">
        <f t="shared" si="1340"/>
        <v>991</v>
      </c>
      <c r="CE407" s="132">
        <f t="shared" si="1340"/>
        <v>1172</v>
      </c>
      <c r="CF407" s="132">
        <f t="shared" si="1340"/>
        <v>1164</v>
      </c>
      <c r="CG407" s="132">
        <f t="shared" si="1340"/>
        <v>1227</v>
      </c>
      <c r="CH407" s="132">
        <f t="shared" si="1340"/>
        <v>1315</v>
      </c>
      <c r="CI407" s="132">
        <f t="shared" si="1340"/>
        <v>1411</v>
      </c>
      <c r="CJ407" s="132">
        <f t="shared" si="1340"/>
        <v>1249</v>
      </c>
      <c r="CK407" s="132">
        <f t="shared" si="1340"/>
        <v>1428</v>
      </c>
      <c r="CL407" s="132">
        <f t="shared" si="1340"/>
        <v>1207</v>
      </c>
      <c r="CM407" s="132">
        <f t="shared" si="1340"/>
        <v>1239</v>
      </c>
      <c r="CN407" s="132">
        <f t="shared" si="1340"/>
        <v>1097</v>
      </c>
      <c r="CO407" s="132">
        <f t="shared" ref="CO407:DQ407" si="1341">SUM(CO408:CO409)</f>
        <v>1109</v>
      </c>
      <c r="CP407" s="132">
        <f t="shared" si="1341"/>
        <v>1205</v>
      </c>
      <c r="CQ407" s="132">
        <f t="shared" si="1341"/>
        <v>1429</v>
      </c>
      <c r="CR407" s="132">
        <f t="shared" si="1341"/>
        <v>1319</v>
      </c>
      <c r="CS407" s="132">
        <f t="shared" si="1341"/>
        <v>1446</v>
      </c>
      <c r="CT407" s="132">
        <f t="shared" si="1341"/>
        <v>1569.1135056323556</v>
      </c>
      <c r="CU407" s="132">
        <f t="shared" si="1341"/>
        <v>1532.8016838518506</v>
      </c>
      <c r="CV407" s="132">
        <f t="shared" si="1341"/>
        <v>1527.6687082534438</v>
      </c>
      <c r="CW407" s="132">
        <f t="shared" si="1341"/>
        <v>1664.3007071450268</v>
      </c>
      <c r="CX407" s="132">
        <f t="shared" si="1341"/>
        <v>1470.8548236746385</v>
      </c>
      <c r="CY407" s="132">
        <f t="shared" si="1341"/>
        <v>1353.8044234389597</v>
      </c>
      <c r="CZ407" s="132">
        <f t="shared" si="1341"/>
        <v>1722.6791595301991</v>
      </c>
      <c r="DA407" s="132">
        <f t="shared" si="1341"/>
        <v>1573.6913660069126</v>
      </c>
      <c r="DB407" s="132">
        <f t="shared" si="1341"/>
        <v>1897.9720040134996</v>
      </c>
      <c r="DC407" s="132">
        <f t="shared" si="1341"/>
        <v>1947.0066669628441</v>
      </c>
      <c r="DD407" s="132">
        <f t="shared" si="1341"/>
        <v>1798.7262633390244</v>
      </c>
      <c r="DE407" s="132">
        <f t="shared" si="1341"/>
        <v>2114.0382840830766</v>
      </c>
      <c r="DF407" s="132">
        <f t="shared" si="1341"/>
        <v>1869.0910875914826</v>
      </c>
      <c r="DG407" s="132">
        <f t="shared" si="1341"/>
        <v>1830.740011150554</v>
      </c>
      <c r="DH407" s="132">
        <f t="shared" si="1341"/>
        <v>1815.2853477702963</v>
      </c>
      <c r="DI407" s="132">
        <f t="shared" si="1341"/>
        <v>1975.762696625025</v>
      </c>
      <c r="DJ407" s="132">
        <f t="shared" si="1341"/>
        <v>1743.6746700013864</v>
      </c>
      <c r="DK407" s="132">
        <f t="shared" si="1341"/>
        <v>1602.0019010694361</v>
      </c>
      <c r="DL407" s="132">
        <f t="shared" si="1341"/>
        <v>2029.5737735803627</v>
      </c>
      <c r="DM407" s="132">
        <f t="shared" si="1341"/>
        <v>1845.2602846154991</v>
      </c>
      <c r="DN407" s="132">
        <f t="shared" si="1341"/>
        <v>2216.010556037384</v>
      </c>
      <c r="DO407" s="132">
        <f t="shared" si="1341"/>
        <v>2263.6749926815141</v>
      </c>
      <c r="DP407" s="132">
        <f t="shared" si="1341"/>
        <v>2081.8212491031777</v>
      </c>
      <c r="DQ407" s="132">
        <f t="shared" si="1341"/>
        <v>2418.5229026114598</v>
      </c>
      <c r="DR407" s="132">
        <f t="shared" ref="DR407:EC407" si="1342">SUM(DR408:DR409)</f>
        <v>2136.9941434795951</v>
      </c>
      <c r="DS407" s="132">
        <f t="shared" si="1342"/>
        <v>2091.2683973527487</v>
      </c>
      <c r="DT407" s="132">
        <f t="shared" si="1342"/>
        <v>2072.3957633908531</v>
      </c>
      <c r="DU407" s="132">
        <f t="shared" si="1342"/>
        <v>2254.2953078279397</v>
      </c>
      <c r="DV407" s="132">
        <f t="shared" si="1342"/>
        <v>1987.7891238015809</v>
      </c>
      <c r="DW407" s="132">
        <f t="shared" si="1342"/>
        <v>1824.2514605839988</v>
      </c>
      <c r="DX407" s="132">
        <f t="shared" si="1342"/>
        <v>2310.5095117128026</v>
      </c>
      <c r="DY407" s="132">
        <f t="shared" si="1342"/>
        <v>2099.5461531051956</v>
      </c>
      <c r="DZ407" s="132">
        <f t="shared" si="1342"/>
        <v>2520.7120074925242</v>
      </c>
      <c r="EA407" s="132">
        <f t="shared" si="1342"/>
        <v>2574.2449354490641</v>
      </c>
      <c r="EB407" s="132">
        <f t="shared" si="1342"/>
        <v>2366.193739315725</v>
      </c>
      <c r="EC407" s="132">
        <f t="shared" si="1342"/>
        <v>2748.1708872824743</v>
      </c>
      <c r="ED407" s="113" t="s">
        <v>1</v>
      </c>
    </row>
    <row r="408" spans="1:134" x14ac:dyDescent="0.2">
      <c r="A408" s="114" t="s">
        <v>192</v>
      </c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>
        <v>4</v>
      </c>
      <c r="AC408" s="115">
        <v>4</v>
      </c>
      <c r="AD408" s="115">
        <v>73</v>
      </c>
      <c r="AE408" s="115">
        <v>156</v>
      </c>
      <c r="AF408" s="115">
        <v>96</v>
      </c>
      <c r="AG408" s="115">
        <v>94</v>
      </c>
      <c r="AH408" s="115">
        <v>111</v>
      </c>
      <c r="AI408" s="115">
        <v>121</v>
      </c>
      <c r="AJ408" s="115">
        <v>243</v>
      </c>
      <c r="AK408" s="115">
        <v>165</v>
      </c>
      <c r="AL408" s="115">
        <v>178</v>
      </c>
      <c r="AM408" s="115">
        <v>4</v>
      </c>
      <c r="AN408" s="115">
        <v>152</v>
      </c>
      <c r="AO408" s="115">
        <v>196</v>
      </c>
      <c r="AP408" s="115">
        <v>249</v>
      </c>
      <c r="AQ408" s="115">
        <v>309</v>
      </c>
      <c r="AR408" s="115">
        <v>327</v>
      </c>
      <c r="AS408" s="115">
        <v>579</v>
      </c>
      <c r="AT408" s="115">
        <v>727</v>
      </c>
      <c r="AU408" s="115">
        <v>811</v>
      </c>
      <c r="AV408" s="115">
        <v>785</v>
      </c>
      <c r="AW408" s="115">
        <v>806</v>
      </c>
      <c r="AX408" s="115">
        <v>613</v>
      </c>
      <c r="AY408" s="115">
        <v>779</v>
      </c>
      <c r="AZ408" s="115">
        <v>831</v>
      </c>
      <c r="BA408" s="115">
        <v>646</v>
      </c>
      <c r="BB408" s="115">
        <v>590</v>
      </c>
      <c r="BC408" s="115">
        <v>545</v>
      </c>
      <c r="BD408" s="115">
        <v>534</v>
      </c>
      <c r="BE408" s="115">
        <v>436</v>
      </c>
      <c r="BF408" s="115">
        <v>580</v>
      </c>
      <c r="BG408" s="115">
        <v>529</v>
      </c>
      <c r="BH408" s="115">
        <v>544</v>
      </c>
      <c r="BI408" s="115">
        <v>715</v>
      </c>
      <c r="BJ408" s="115">
        <v>812</v>
      </c>
      <c r="BK408" s="115">
        <v>897</v>
      </c>
      <c r="BL408" s="115">
        <v>1005</v>
      </c>
      <c r="BM408" s="115">
        <v>1000</v>
      </c>
      <c r="BN408" s="115">
        <v>1012</v>
      </c>
      <c r="BO408" s="115">
        <v>989</v>
      </c>
      <c r="BP408" s="115">
        <v>1043</v>
      </c>
      <c r="BQ408" s="115">
        <v>859</v>
      </c>
      <c r="BR408" s="115">
        <v>781</v>
      </c>
      <c r="BS408" s="115">
        <v>724</v>
      </c>
      <c r="BT408" s="115">
        <v>733</v>
      </c>
      <c r="BU408" s="115">
        <v>872</v>
      </c>
      <c r="BV408" s="115">
        <v>901</v>
      </c>
      <c r="BW408" s="115">
        <v>881</v>
      </c>
      <c r="BX408" s="115">
        <v>873</v>
      </c>
      <c r="BY408" s="115">
        <v>1017</v>
      </c>
      <c r="BZ408" s="115">
        <v>855</v>
      </c>
      <c r="CA408" s="115">
        <v>921</v>
      </c>
      <c r="CB408" s="115">
        <v>697</v>
      </c>
      <c r="CC408" s="115">
        <v>841</v>
      </c>
      <c r="CD408" s="115">
        <v>977</v>
      </c>
      <c r="CE408" s="115">
        <v>1138</v>
      </c>
      <c r="CF408" s="115">
        <v>1010</v>
      </c>
      <c r="CG408" s="115">
        <v>1223</v>
      </c>
      <c r="CH408" s="115">
        <v>1274</v>
      </c>
      <c r="CI408" s="115">
        <v>1400</v>
      </c>
      <c r="CJ408" s="115">
        <v>1239</v>
      </c>
      <c r="CK408" s="115">
        <v>1420</v>
      </c>
      <c r="CL408" s="115">
        <v>1202</v>
      </c>
      <c r="CM408" s="115">
        <v>1122</v>
      </c>
      <c r="CN408" s="115">
        <v>1092</v>
      </c>
      <c r="CO408" s="115">
        <v>1107</v>
      </c>
      <c r="CP408" s="115">
        <v>1140</v>
      </c>
      <c r="CQ408" s="115">
        <v>1428</v>
      </c>
      <c r="CR408" s="115">
        <v>1319</v>
      </c>
      <c r="CS408" s="115">
        <v>1445</v>
      </c>
      <c r="CT408" s="733">
        <f>CT395*CT411</f>
        <v>1543.8711392436448</v>
      </c>
      <c r="CU408" s="733">
        <f t="shared" ref="CU408:DQ408" si="1343">CU395*CU411</f>
        <v>1508.1434666061657</v>
      </c>
      <c r="CV408" s="733">
        <f t="shared" si="1343"/>
        <v>1503.0930653086327</v>
      </c>
      <c r="CW408" s="733">
        <f t="shared" si="1343"/>
        <v>1637.5270619753521</v>
      </c>
      <c r="CX408" s="733">
        <f t="shared" si="1343"/>
        <v>1447.1931470460665</v>
      </c>
      <c r="CY408" s="733">
        <f t="shared" si="1343"/>
        <v>1332.0257393906495</v>
      </c>
      <c r="CZ408" s="733">
        <f t="shared" si="1343"/>
        <v>1694.9663788046689</v>
      </c>
      <c r="DA408" s="733">
        <f t="shared" si="1343"/>
        <v>1548.3753554691739</v>
      </c>
      <c r="DB408" s="733">
        <f t="shared" si="1343"/>
        <v>1867.4392831180048</v>
      </c>
      <c r="DC408" s="733">
        <f t="shared" si="1343"/>
        <v>1915.6851242749988</v>
      </c>
      <c r="DD408" s="733">
        <f t="shared" si="1343"/>
        <v>1769.7901110407863</v>
      </c>
      <c r="DE408" s="733">
        <f t="shared" si="1343"/>
        <v>2080.0296997868877</v>
      </c>
      <c r="DF408" s="733">
        <f t="shared" si="1343"/>
        <v>1839.0229746872831</v>
      </c>
      <c r="DG408" s="733">
        <f t="shared" si="1343"/>
        <v>1801.2888529277388</v>
      </c>
      <c r="DH408" s="733">
        <f t="shared" si="1343"/>
        <v>1786.0828090858756</v>
      </c>
      <c r="DI408" s="733">
        <f t="shared" si="1343"/>
        <v>1943.9785550021684</v>
      </c>
      <c r="DJ408" s="733">
        <f t="shared" si="1343"/>
        <v>1715.62413399816</v>
      </c>
      <c r="DK408" s="733">
        <f t="shared" si="1343"/>
        <v>1576.2304582789359</v>
      </c>
      <c r="DL408" s="733">
        <f t="shared" si="1343"/>
        <v>1996.923971879123</v>
      </c>
      <c r="DM408" s="733">
        <f t="shared" si="1343"/>
        <v>1815.5755384071426</v>
      </c>
      <c r="DN408" s="733">
        <f t="shared" si="1343"/>
        <v>2180.3615413702119</v>
      </c>
      <c r="DO408" s="733">
        <f t="shared" si="1343"/>
        <v>2227.2591990852434</v>
      </c>
      <c r="DP408" s="733">
        <f t="shared" si="1343"/>
        <v>2048.3309410170918</v>
      </c>
      <c r="DQ408" s="733">
        <f t="shared" si="1343"/>
        <v>2379.6160669949991</v>
      </c>
      <c r="DR408" s="733">
        <f t="shared" ref="DR408:EC408" si="1344">DR395*DR411</f>
        <v>2102.6162677257939</v>
      </c>
      <c r="DS408" s="733">
        <f t="shared" si="1344"/>
        <v>2057.6261127674561</v>
      </c>
      <c r="DT408" s="733">
        <f t="shared" si="1344"/>
        <v>2039.057083318221</v>
      </c>
      <c r="DU408" s="733">
        <f t="shared" si="1344"/>
        <v>2218.0304054456155</v>
      </c>
      <c r="DV408" s="733">
        <f t="shared" si="1344"/>
        <v>1955.8115127579028</v>
      </c>
      <c r="DW408" s="733">
        <f t="shared" si="1344"/>
        <v>1794.9046838289009</v>
      </c>
      <c r="DX408" s="733">
        <f t="shared" si="1344"/>
        <v>2273.340290091865</v>
      </c>
      <c r="DY408" s="733">
        <f t="shared" si="1344"/>
        <v>2065.7707040656878</v>
      </c>
      <c r="DZ408" s="733">
        <f t="shared" si="1344"/>
        <v>2480.1612533086159</v>
      </c>
      <c r="EA408" s="733">
        <f t="shared" si="1344"/>
        <v>2532.8329957763499</v>
      </c>
      <c r="EB408" s="733">
        <f t="shared" si="1344"/>
        <v>2328.1287241972614</v>
      </c>
      <c r="EC408" s="733">
        <f t="shared" si="1344"/>
        <v>2703.9609966744547</v>
      </c>
      <c r="ED408" s="113" t="s">
        <v>1</v>
      </c>
    </row>
    <row r="409" spans="1:134" x14ac:dyDescent="0.2">
      <c r="A409" s="114" t="s">
        <v>193</v>
      </c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>
        <v>0</v>
      </c>
      <c r="AC409" s="115">
        <v>0</v>
      </c>
      <c r="AD409" s="115">
        <v>0</v>
      </c>
      <c r="AE409" s="115">
        <v>0</v>
      </c>
      <c r="AF409" s="115">
        <v>1</v>
      </c>
      <c r="AG409" s="115">
        <v>5</v>
      </c>
      <c r="AH409" s="115">
        <v>5</v>
      </c>
      <c r="AI409" s="115">
        <v>10</v>
      </c>
      <c r="AJ409" s="115">
        <v>12</v>
      </c>
      <c r="AK409" s="115">
        <v>10</v>
      </c>
      <c r="AL409" s="115">
        <v>6</v>
      </c>
      <c r="AM409" s="115">
        <v>0</v>
      </c>
      <c r="AN409" s="115">
        <v>4</v>
      </c>
      <c r="AO409" s="115">
        <v>11</v>
      </c>
      <c r="AP409" s="115">
        <v>21</v>
      </c>
      <c r="AQ409" s="115">
        <v>77</v>
      </c>
      <c r="AR409" s="115">
        <v>29</v>
      </c>
      <c r="AS409" s="115">
        <v>63</v>
      </c>
      <c r="AT409" s="115">
        <v>124</v>
      </c>
      <c r="AU409" s="115">
        <v>64</v>
      </c>
      <c r="AV409" s="115">
        <v>95</v>
      </c>
      <c r="AW409" s="115">
        <v>70</v>
      </c>
      <c r="AX409" s="115">
        <v>90</v>
      </c>
      <c r="AY409" s="115">
        <v>40</v>
      </c>
      <c r="AZ409" s="115">
        <v>56</v>
      </c>
      <c r="BA409" s="115">
        <v>0</v>
      </c>
      <c r="BB409" s="115">
        <v>0</v>
      </c>
      <c r="BC409" s="115">
        <v>0</v>
      </c>
      <c r="BD409" s="115">
        <v>0</v>
      </c>
      <c r="BE409" s="115">
        <v>2</v>
      </c>
      <c r="BF409" s="115">
        <v>12</v>
      </c>
      <c r="BG409" s="115">
        <v>0</v>
      </c>
      <c r="BH409" s="115">
        <v>2</v>
      </c>
      <c r="BI409" s="115">
        <v>6</v>
      </c>
      <c r="BJ409" s="115">
        <v>4</v>
      </c>
      <c r="BK409" s="115">
        <v>2</v>
      </c>
      <c r="BL409" s="115">
        <v>1</v>
      </c>
      <c r="BM409" s="115">
        <v>8</v>
      </c>
      <c r="BN409" s="115">
        <v>0</v>
      </c>
      <c r="BO409" s="115">
        <v>4</v>
      </c>
      <c r="BP409" s="115">
        <v>63</v>
      </c>
      <c r="BQ409" s="115">
        <v>6</v>
      </c>
      <c r="BR409" s="115">
        <v>51</v>
      </c>
      <c r="BS409" s="115">
        <v>29</v>
      </c>
      <c r="BT409" s="115">
        <v>6</v>
      </c>
      <c r="BU409" s="115">
        <v>61</v>
      </c>
      <c r="BV409" s="115">
        <v>18</v>
      </c>
      <c r="BW409" s="115">
        <v>6</v>
      </c>
      <c r="BX409" s="115">
        <v>3</v>
      </c>
      <c r="BY409" s="115">
        <v>57</v>
      </c>
      <c r="BZ409" s="115">
        <v>6</v>
      </c>
      <c r="CA409" s="115">
        <v>4</v>
      </c>
      <c r="CB409" s="115">
        <v>29</v>
      </c>
      <c r="CC409" s="115">
        <v>18</v>
      </c>
      <c r="CD409" s="115">
        <v>14</v>
      </c>
      <c r="CE409" s="115">
        <v>34</v>
      </c>
      <c r="CF409" s="115">
        <v>154</v>
      </c>
      <c r="CG409" s="115">
        <v>4</v>
      </c>
      <c r="CH409" s="115">
        <v>41</v>
      </c>
      <c r="CI409" s="115">
        <v>11</v>
      </c>
      <c r="CJ409" s="115">
        <v>10</v>
      </c>
      <c r="CK409" s="115">
        <v>8</v>
      </c>
      <c r="CL409" s="115">
        <v>5</v>
      </c>
      <c r="CM409" s="115">
        <v>117</v>
      </c>
      <c r="CN409" s="115">
        <v>5</v>
      </c>
      <c r="CO409" s="115">
        <v>2</v>
      </c>
      <c r="CP409" s="115">
        <v>65</v>
      </c>
      <c r="CQ409" s="115">
        <v>1</v>
      </c>
      <c r="CR409" s="115">
        <v>0</v>
      </c>
      <c r="CS409" s="115">
        <v>1</v>
      </c>
      <c r="CT409" s="733">
        <f>CT396*CT412</f>
        <v>25.242366388710643</v>
      </c>
      <c r="CU409" s="733">
        <f t="shared" ref="CU409:DQ409" si="1345">CU396*CU412</f>
        <v>24.658217245685019</v>
      </c>
      <c r="CV409" s="733">
        <f t="shared" si="1345"/>
        <v>24.575642944811182</v>
      </c>
      <c r="CW409" s="733">
        <f t="shared" si="1345"/>
        <v>26.773645169674655</v>
      </c>
      <c r="CX409" s="733">
        <f t="shared" si="1345"/>
        <v>23.661676628571893</v>
      </c>
      <c r="CY409" s="733">
        <f t="shared" si="1345"/>
        <v>21.778684048310147</v>
      </c>
      <c r="CZ409" s="733">
        <f t="shared" si="1345"/>
        <v>27.712780725530159</v>
      </c>
      <c r="DA409" s="733">
        <f t="shared" si="1345"/>
        <v>25.316010537738833</v>
      </c>
      <c r="DB409" s="733">
        <f t="shared" si="1345"/>
        <v>30.532720895494819</v>
      </c>
      <c r="DC409" s="733">
        <f t="shared" si="1345"/>
        <v>31.321542687845312</v>
      </c>
      <c r="DD409" s="733">
        <f t="shared" si="1345"/>
        <v>28.936152298238071</v>
      </c>
      <c r="DE409" s="733">
        <f t="shared" si="1345"/>
        <v>34.008584296188722</v>
      </c>
      <c r="DF409" s="733">
        <f t="shared" si="1345"/>
        <v>30.068112904199449</v>
      </c>
      <c r="DG409" s="733">
        <f t="shared" si="1345"/>
        <v>29.451158222815046</v>
      </c>
      <c r="DH409" s="733">
        <f t="shared" si="1345"/>
        <v>29.202538684420698</v>
      </c>
      <c r="DI409" s="733">
        <f t="shared" si="1345"/>
        <v>31.78414162285663</v>
      </c>
      <c r="DJ409" s="733">
        <f t="shared" si="1345"/>
        <v>28.050536003226362</v>
      </c>
      <c r="DK409" s="733">
        <f t="shared" si="1345"/>
        <v>25.771442790500341</v>
      </c>
      <c r="DL409" s="733">
        <f t="shared" si="1345"/>
        <v>32.649801701239767</v>
      </c>
      <c r="DM409" s="733">
        <f t="shared" si="1345"/>
        <v>29.684746208356412</v>
      </c>
      <c r="DN409" s="733">
        <f t="shared" si="1345"/>
        <v>35.649014667172331</v>
      </c>
      <c r="DO409" s="733">
        <f t="shared" si="1345"/>
        <v>36.415793596270738</v>
      </c>
      <c r="DP409" s="733">
        <f t="shared" si="1345"/>
        <v>33.490308086085761</v>
      </c>
      <c r="DQ409" s="733">
        <f t="shared" si="1345"/>
        <v>38.906835616460683</v>
      </c>
      <c r="DR409" s="733">
        <f t="shared" ref="DR409:EC409" si="1346">DR396*DR412</f>
        <v>34.377875753801369</v>
      </c>
      <c r="DS409" s="733">
        <f t="shared" si="1346"/>
        <v>33.642284585292579</v>
      </c>
      <c r="DT409" s="733">
        <f t="shared" si="1346"/>
        <v>33.338680072632286</v>
      </c>
      <c r="DU409" s="733">
        <f t="shared" si="1346"/>
        <v>36.26490238232433</v>
      </c>
      <c r="DV409" s="733">
        <f t="shared" si="1346"/>
        <v>31.977611043678053</v>
      </c>
      <c r="DW409" s="733">
        <f t="shared" si="1346"/>
        <v>29.346776755097927</v>
      </c>
      <c r="DX409" s="733">
        <f t="shared" si="1346"/>
        <v>37.169221620937698</v>
      </c>
      <c r="DY409" s="733">
        <f t="shared" si="1346"/>
        <v>33.775449039507969</v>
      </c>
      <c r="DZ409" s="733">
        <f t="shared" si="1346"/>
        <v>40.550754183908531</v>
      </c>
      <c r="EA409" s="733">
        <f t="shared" si="1346"/>
        <v>41.411939672714105</v>
      </c>
      <c r="EB409" s="733">
        <f t="shared" si="1346"/>
        <v>38.065015118463457</v>
      </c>
      <c r="EC409" s="733">
        <f t="shared" si="1346"/>
        <v>44.209890608019371</v>
      </c>
      <c r="ED409" s="113" t="s">
        <v>1</v>
      </c>
    </row>
    <row r="410" spans="1:134" x14ac:dyDescent="0.2">
      <c r="A410" s="114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115"/>
      <c r="AL410" s="115"/>
      <c r="AM410" s="115"/>
      <c r="AN410" s="115"/>
      <c r="AO410" s="115"/>
      <c r="AP410" s="115"/>
      <c r="AQ410" s="115"/>
      <c r="AR410" s="115"/>
      <c r="AS410" s="115"/>
      <c r="AT410" s="115"/>
      <c r="AU410" s="115"/>
      <c r="AV410" s="115"/>
      <c r="AW410" s="115"/>
      <c r="AX410" s="115"/>
      <c r="AY410" s="115"/>
      <c r="AZ410" s="115"/>
      <c r="BA410" s="115"/>
      <c r="BB410" s="115"/>
      <c r="BC410" s="115"/>
      <c r="BD410" s="115"/>
      <c r="BE410" s="115"/>
      <c r="BF410" s="115"/>
      <c r="BG410" s="115"/>
      <c r="BH410" s="115"/>
      <c r="BI410" s="115"/>
      <c r="BJ410" s="115"/>
      <c r="BK410" s="115"/>
      <c r="BL410" s="115"/>
      <c r="BM410" s="115"/>
      <c r="BN410" s="115"/>
      <c r="BO410" s="115"/>
      <c r="BP410" s="115"/>
      <c r="BQ410" s="115"/>
      <c r="BR410" s="115"/>
      <c r="BS410" s="115"/>
      <c r="BT410" s="115"/>
      <c r="BU410" s="115"/>
      <c r="BV410" s="115"/>
      <c r="BW410" s="115"/>
      <c r="BX410" s="115"/>
      <c r="BY410" s="115"/>
      <c r="BZ410" s="115"/>
      <c r="CA410" s="115"/>
      <c r="CB410" s="115"/>
      <c r="CC410" s="115"/>
      <c r="CD410" s="115"/>
      <c r="CE410" s="115"/>
      <c r="CF410" s="115"/>
      <c r="CG410" s="115"/>
      <c r="CH410" s="115"/>
      <c r="CI410" s="115"/>
      <c r="CJ410" s="115"/>
      <c r="CK410" s="115"/>
      <c r="CL410" s="115"/>
      <c r="CM410" s="115"/>
      <c r="CN410" s="115"/>
      <c r="CO410" s="115"/>
      <c r="CP410" s="115"/>
      <c r="CQ410" s="115"/>
      <c r="CR410" s="115"/>
      <c r="CS410" s="115"/>
      <c r="CT410" s="115"/>
      <c r="CU410" s="115"/>
      <c r="CV410" s="115"/>
      <c r="CW410" s="115"/>
      <c r="CX410" s="115"/>
      <c r="CY410" s="115"/>
      <c r="CZ410" s="115"/>
      <c r="DA410" s="115"/>
      <c r="DB410" s="115"/>
      <c r="DC410" s="115"/>
      <c r="DD410" s="115"/>
      <c r="DE410" s="115"/>
      <c r="DF410" s="115"/>
      <c r="DG410" s="115"/>
      <c r="DH410" s="115"/>
      <c r="DI410" s="115"/>
      <c r="DJ410" s="115"/>
      <c r="DK410" s="115"/>
      <c r="DL410" s="115"/>
      <c r="DM410" s="115"/>
      <c r="DN410" s="115"/>
      <c r="DO410" s="115"/>
      <c r="DP410" s="115"/>
      <c r="DQ410" s="115"/>
      <c r="DR410" s="115"/>
      <c r="DS410" s="115"/>
      <c r="DT410" s="115"/>
      <c r="DU410" s="115"/>
      <c r="DV410" s="115"/>
      <c r="DW410" s="115"/>
      <c r="DX410" s="115"/>
      <c r="DY410" s="115"/>
      <c r="DZ410" s="115"/>
      <c r="EA410" s="115"/>
      <c r="EB410" s="115"/>
      <c r="EC410" s="645"/>
      <c r="ED410" s="113" t="s">
        <v>1</v>
      </c>
    </row>
    <row r="411" spans="1:134" x14ac:dyDescent="0.2">
      <c r="A411" s="114" t="s">
        <v>194</v>
      </c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711">
        <f>IFERROR(AB408/AB395,0)</f>
        <v>1.0958904109589041E-2</v>
      </c>
      <c r="AC411" s="711">
        <f t="shared" ref="AC411:CN411" si="1347">IFERROR(AC408/AC395,0)</f>
        <v>1.4388489208633094E-2</v>
      </c>
      <c r="AD411" s="711">
        <f t="shared" si="1347"/>
        <v>0.13644859813084112</v>
      </c>
      <c r="AE411" s="711">
        <f t="shared" si="1347"/>
        <v>0.17049180327868851</v>
      </c>
      <c r="AF411" s="711">
        <f t="shared" si="1347"/>
        <v>0.12167300380228137</v>
      </c>
      <c r="AG411" s="711">
        <f t="shared" si="1347"/>
        <v>7.9931972789115652E-2</v>
      </c>
      <c r="AH411" s="711">
        <f t="shared" si="1347"/>
        <v>5.5863110216406643E-2</v>
      </c>
      <c r="AI411" s="711">
        <f t="shared" si="1347"/>
        <v>6.0560560560560563E-2</v>
      </c>
      <c r="AJ411" s="711">
        <f t="shared" si="1347"/>
        <v>0.10686015831134564</v>
      </c>
      <c r="AK411" s="711">
        <f t="shared" si="1347"/>
        <v>5.9416636658264313E-2</v>
      </c>
      <c r="AL411" s="711">
        <f t="shared" si="1347"/>
        <v>0.11535968891769281</v>
      </c>
      <c r="AM411" s="711">
        <f t="shared" si="1347"/>
        <v>0.08</v>
      </c>
      <c r="AN411" s="711">
        <f t="shared" si="1347"/>
        <v>0.12881355932203389</v>
      </c>
      <c r="AO411" s="711">
        <f t="shared" si="1347"/>
        <v>0.105774419859687</v>
      </c>
      <c r="AP411" s="711">
        <f t="shared" si="1347"/>
        <v>0.10600255427841634</v>
      </c>
      <c r="AQ411" s="711">
        <f t="shared" si="1347"/>
        <v>9.8188751191611065E-2</v>
      </c>
      <c r="AR411" s="711">
        <f t="shared" si="1347"/>
        <v>9.2346794690765316E-2</v>
      </c>
      <c r="AS411" s="711">
        <f t="shared" si="1347"/>
        <v>0.11552274541101357</v>
      </c>
      <c r="AT411" s="711">
        <f t="shared" si="1347"/>
        <v>0.11733376371852808</v>
      </c>
      <c r="AU411" s="711">
        <f t="shared" si="1347"/>
        <v>0.12957341428343186</v>
      </c>
      <c r="AV411" s="711">
        <f t="shared" si="1347"/>
        <v>0.12078781350977073</v>
      </c>
      <c r="AW411" s="711">
        <f t="shared" si="1347"/>
        <v>0.11293260473588343</v>
      </c>
      <c r="AX411" s="711">
        <f t="shared" si="1347"/>
        <v>9.8727653406345622E-2</v>
      </c>
      <c r="AY411" s="711">
        <f t="shared" si="1347"/>
        <v>9.0962167211583372E-2</v>
      </c>
      <c r="AZ411" s="711">
        <f t="shared" si="1347"/>
        <v>9.2097971849717394E-2</v>
      </c>
      <c r="BA411" s="711">
        <f t="shared" si="1347"/>
        <v>6.8781942078364564E-2</v>
      </c>
      <c r="BB411" s="711">
        <f t="shared" si="1347"/>
        <v>5.8753236407090223E-2</v>
      </c>
      <c r="BC411" s="711">
        <f t="shared" si="1347"/>
        <v>5.4245048273116353E-2</v>
      </c>
      <c r="BD411" s="711">
        <f t="shared" si="1347"/>
        <v>5.1336281484329935E-2</v>
      </c>
      <c r="BE411" s="711">
        <f t="shared" si="1347"/>
        <v>4.3770705752434497E-2</v>
      </c>
      <c r="BF411" s="711">
        <f t="shared" si="1347"/>
        <v>5.1101321585903081E-2</v>
      </c>
      <c r="BG411" s="711">
        <f t="shared" si="1347"/>
        <v>4.4637583326301578E-2</v>
      </c>
      <c r="BH411" s="711">
        <f t="shared" si="1347"/>
        <v>4.9707602339181284E-2</v>
      </c>
      <c r="BI411" s="711">
        <f t="shared" si="1347"/>
        <v>5.5841924398625432E-2</v>
      </c>
      <c r="BJ411" s="711">
        <f t="shared" si="1347"/>
        <v>6.2246071291682636E-2</v>
      </c>
      <c r="BK411" s="711">
        <f t="shared" si="1347"/>
        <v>6.2218214607754736E-2</v>
      </c>
      <c r="BL411" s="711">
        <f t="shared" si="1347"/>
        <v>6.8863916678086889E-2</v>
      </c>
      <c r="BM411" s="711">
        <f t="shared" si="1347"/>
        <v>7.5918615244457935E-2</v>
      </c>
      <c r="BN411" s="711">
        <f t="shared" si="1347"/>
        <v>7.5816601738088102E-2</v>
      </c>
      <c r="BO411" s="711">
        <f t="shared" si="1347"/>
        <v>7.828702604290351E-2</v>
      </c>
      <c r="BP411" s="711">
        <f t="shared" si="1347"/>
        <v>6.954260568075743E-2</v>
      </c>
      <c r="BQ411" s="711">
        <f t="shared" si="1347"/>
        <v>6.3133911509628104E-2</v>
      </c>
      <c r="BR411" s="711">
        <f t="shared" si="1347"/>
        <v>6.4770276994526449E-2</v>
      </c>
      <c r="BS411" s="711">
        <f t="shared" si="1347"/>
        <v>6.6845166651278737E-2</v>
      </c>
      <c r="BT411" s="711">
        <f t="shared" si="1347"/>
        <v>7.6810227391805513E-2</v>
      </c>
      <c r="BU411" s="711">
        <f t="shared" si="1347"/>
        <v>7.2491478925928998E-2</v>
      </c>
      <c r="BV411" s="711">
        <f t="shared" si="1347"/>
        <v>7.0744346733668348E-2</v>
      </c>
      <c r="BW411" s="711">
        <f t="shared" si="1347"/>
        <v>7.1695963541666671E-2</v>
      </c>
      <c r="BX411" s="711">
        <f t="shared" si="1347"/>
        <v>6.5207648640573643E-2</v>
      </c>
      <c r="BY411" s="711">
        <f t="shared" si="1347"/>
        <v>8.0053526448362722E-2</v>
      </c>
      <c r="BZ411" s="711">
        <f t="shared" si="1347"/>
        <v>8.2417582417582416E-2</v>
      </c>
      <c r="CA411" s="711">
        <f t="shared" si="1347"/>
        <v>9.9956587801172128E-2</v>
      </c>
      <c r="CB411" s="711">
        <f t="shared" si="1347"/>
        <v>6.2900460247270099E-2</v>
      </c>
      <c r="CC411" s="711">
        <f t="shared" si="1347"/>
        <v>7.6628701594533027E-2</v>
      </c>
      <c r="CD411" s="711">
        <f t="shared" si="1347"/>
        <v>7.6084417101471846E-2</v>
      </c>
      <c r="CE411" s="711">
        <f t="shared" si="1347"/>
        <v>8.7707129094412334E-2</v>
      </c>
      <c r="CF411" s="711">
        <f t="shared" si="1347"/>
        <v>8.0832332933173268E-2</v>
      </c>
      <c r="CG411" s="711">
        <f t="shared" si="1347"/>
        <v>8.0133665312540958E-2</v>
      </c>
      <c r="CH411" s="711">
        <f t="shared" si="1347"/>
        <v>8.4775086505190306E-2</v>
      </c>
      <c r="CI411" s="711">
        <f t="shared" si="1347"/>
        <v>9.3947121191786331E-2</v>
      </c>
      <c r="CJ411" s="711">
        <f t="shared" si="1347"/>
        <v>8.252297855335021E-2</v>
      </c>
      <c r="CK411" s="711">
        <f t="shared" si="1347"/>
        <v>8.5810974135847234E-2</v>
      </c>
      <c r="CL411" s="711">
        <f t="shared" si="1347"/>
        <v>8.2965212589729428E-2</v>
      </c>
      <c r="CM411" s="711">
        <f t="shared" si="1347"/>
        <v>8.406383456956619E-2</v>
      </c>
      <c r="CN411" s="711">
        <f t="shared" si="1347"/>
        <v>6.393068321526843E-2</v>
      </c>
      <c r="CO411" s="711">
        <f t="shared" ref="CO411:CS412" si="1348">IFERROR(CO408/CO395,0)</f>
        <v>7.1400928792569665E-2</v>
      </c>
      <c r="CP411" s="711">
        <f t="shared" si="1348"/>
        <v>5.8228623965675762E-2</v>
      </c>
      <c r="CQ411" s="711">
        <f t="shared" si="1348"/>
        <v>6.8087541124302681E-2</v>
      </c>
      <c r="CR411" s="711">
        <f t="shared" si="1348"/>
        <v>6.6218183643757214E-2</v>
      </c>
      <c r="CS411" s="711">
        <f t="shared" si="1348"/>
        <v>6.2145191811457078E-2</v>
      </c>
      <c r="CT411" s="734">
        <f>AVERAGE(CH411:CS411)</f>
        <v>7.5341363341541706E-2</v>
      </c>
      <c r="CU411" s="734">
        <f t="shared" ref="CU411:DQ411" si="1349">CT411</f>
        <v>7.5341363341541706E-2</v>
      </c>
      <c r="CV411" s="734">
        <f t="shared" si="1349"/>
        <v>7.5341363341541706E-2</v>
      </c>
      <c r="CW411" s="734">
        <f t="shared" si="1349"/>
        <v>7.5341363341541706E-2</v>
      </c>
      <c r="CX411" s="734">
        <f t="shared" si="1349"/>
        <v>7.5341363341541706E-2</v>
      </c>
      <c r="CY411" s="734">
        <f t="shared" si="1349"/>
        <v>7.5341363341541706E-2</v>
      </c>
      <c r="CZ411" s="734">
        <f t="shared" si="1349"/>
        <v>7.5341363341541706E-2</v>
      </c>
      <c r="DA411" s="734">
        <f t="shared" si="1349"/>
        <v>7.5341363341541706E-2</v>
      </c>
      <c r="DB411" s="734">
        <f t="shared" si="1349"/>
        <v>7.5341363341541706E-2</v>
      </c>
      <c r="DC411" s="734">
        <f t="shared" si="1349"/>
        <v>7.5341363341541706E-2</v>
      </c>
      <c r="DD411" s="734">
        <f t="shared" si="1349"/>
        <v>7.5341363341541706E-2</v>
      </c>
      <c r="DE411" s="734">
        <f t="shared" si="1349"/>
        <v>7.5341363341541706E-2</v>
      </c>
      <c r="DF411" s="734">
        <f t="shared" si="1349"/>
        <v>7.5341363341541706E-2</v>
      </c>
      <c r="DG411" s="734">
        <f t="shared" si="1349"/>
        <v>7.5341363341541706E-2</v>
      </c>
      <c r="DH411" s="734">
        <f t="shared" si="1349"/>
        <v>7.5341363341541706E-2</v>
      </c>
      <c r="DI411" s="734">
        <f t="shared" si="1349"/>
        <v>7.5341363341541706E-2</v>
      </c>
      <c r="DJ411" s="734">
        <f t="shared" si="1349"/>
        <v>7.5341363341541706E-2</v>
      </c>
      <c r="DK411" s="734">
        <f t="shared" si="1349"/>
        <v>7.5341363341541706E-2</v>
      </c>
      <c r="DL411" s="734">
        <f t="shared" si="1349"/>
        <v>7.5341363341541706E-2</v>
      </c>
      <c r="DM411" s="734">
        <f t="shared" si="1349"/>
        <v>7.5341363341541706E-2</v>
      </c>
      <c r="DN411" s="734">
        <f t="shared" si="1349"/>
        <v>7.5341363341541706E-2</v>
      </c>
      <c r="DO411" s="734">
        <f t="shared" si="1349"/>
        <v>7.5341363341541706E-2</v>
      </c>
      <c r="DP411" s="734">
        <f t="shared" si="1349"/>
        <v>7.5341363341541706E-2</v>
      </c>
      <c r="DQ411" s="734">
        <f t="shared" si="1349"/>
        <v>7.5341363341541706E-2</v>
      </c>
      <c r="DR411" s="734">
        <f t="shared" ref="DR411:DR412" si="1350">DQ411</f>
        <v>7.5341363341541706E-2</v>
      </c>
      <c r="DS411" s="734">
        <f t="shared" ref="DS411:DS412" si="1351">DR411</f>
        <v>7.5341363341541706E-2</v>
      </c>
      <c r="DT411" s="734">
        <f t="shared" ref="DT411:DT412" si="1352">DS411</f>
        <v>7.5341363341541706E-2</v>
      </c>
      <c r="DU411" s="734">
        <f t="shared" ref="DU411:DU412" si="1353">DT411</f>
        <v>7.5341363341541706E-2</v>
      </c>
      <c r="DV411" s="734">
        <f t="shared" ref="DV411:DV412" si="1354">DU411</f>
        <v>7.5341363341541706E-2</v>
      </c>
      <c r="DW411" s="734">
        <f t="shared" ref="DW411:DW412" si="1355">DV411</f>
        <v>7.5341363341541706E-2</v>
      </c>
      <c r="DX411" s="734">
        <f t="shared" ref="DX411:DX412" si="1356">DW411</f>
        <v>7.5341363341541706E-2</v>
      </c>
      <c r="DY411" s="734">
        <f t="shared" ref="DY411:DY412" si="1357">DX411</f>
        <v>7.5341363341541706E-2</v>
      </c>
      <c r="DZ411" s="734">
        <f t="shared" ref="DZ411:DZ412" si="1358">DY411</f>
        <v>7.5341363341541706E-2</v>
      </c>
      <c r="EA411" s="734">
        <f t="shared" ref="EA411:EA412" si="1359">DZ411</f>
        <v>7.5341363341541706E-2</v>
      </c>
      <c r="EB411" s="734">
        <f t="shared" ref="EB411:EB412" si="1360">EA411</f>
        <v>7.5341363341541706E-2</v>
      </c>
      <c r="EC411" s="734">
        <f t="shared" ref="EC411:EC412" si="1361">EB411</f>
        <v>7.5341363341541706E-2</v>
      </c>
      <c r="ED411" s="113" t="s">
        <v>1</v>
      </c>
    </row>
    <row r="412" spans="1:134" x14ac:dyDescent="0.2">
      <c r="A412" s="114" t="s">
        <v>195</v>
      </c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711">
        <f t="shared" ref="AB412:CM412" si="1362">IFERROR(AB409/AB396,0)</f>
        <v>0</v>
      </c>
      <c r="AC412" s="711">
        <f t="shared" si="1362"/>
        <v>0</v>
      </c>
      <c r="AD412" s="711">
        <f t="shared" si="1362"/>
        <v>0</v>
      </c>
      <c r="AE412" s="711">
        <f t="shared" si="1362"/>
        <v>0</v>
      </c>
      <c r="AF412" s="711">
        <f t="shared" si="1362"/>
        <v>2.6315789473684209E-2</v>
      </c>
      <c r="AG412" s="711">
        <f t="shared" si="1362"/>
        <v>6.097560975609756E-2</v>
      </c>
      <c r="AH412" s="711">
        <f t="shared" si="1362"/>
        <v>4.065040650406504E-2</v>
      </c>
      <c r="AI412" s="711">
        <f t="shared" si="1362"/>
        <v>0.10309278350515463</v>
      </c>
      <c r="AJ412" s="711">
        <f t="shared" si="1362"/>
        <v>7.8431372549019607E-2</v>
      </c>
      <c r="AK412" s="711">
        <f t="shared" si="1362"/>
        <v>2.7855153203342618E-2</v>
      </c>
      <c r="AL412" s="711">
        <f t="shared" si="1362"/>
        <v>2.2641509433962263E-2</v>
      </c>
      <c r="AM412" s="711">
        <f t="shared" si="1362"/>
        <v>0</v>
      </c>
      <c r="AN412" s="711">
        <f t="shared" si="1362"/>
        <v>3.6363636363636362E-2</v>
      </c>
      <c r="AO412" s="711">
        <f t="shared" si="1362"/>
        <v>0.10377358490566038</v>
      </c>
      <c r="AP412" s="711">
        <f t="shared" si="1362"/>
        <v>0.1099476439790576</v>
      </c>
      <c r="AQ412" s="711">
        <f t="shared" si="1362"/>
        <v>0.14638783269961977</v>
      </c>
      <c r="AR412" s="711">
        <f t="shared" si="1362"/>
        <v>6.1965811965811968E-2</v>
      </c>
      <c r="AS412" s="711">
        <f t="shared" si="1362"/>
        <v>0.1111111111111111</v>
      </c>
      <c r="AT412" s="711">
        <f t="shared" si="1362"/>
        <v>0.17009602194787379</v>
      </c>
      <c r="AU412" s="711">
        <f t="shared" si="1362"/>
        <v>0.10561056105610561</v>
      </c>
      <c r="AV412" s="711">
        <f t="shared" si="1362"/>
        <v>0.19832985386221294</v>
      </c>
      <c r="AW412" s="711">
        <f t="shared" si="1362"/>
        <v>0.16317016317016317</v>
      </c>
      <c r="AX412" s="711">
        <f t="shared" si="1362"/>
        <v>0.26239067055393583</v>
      </c>
      <c r="AY412" s="711">
        <f t="shared" si="1362"/>
        <v>0.1951219512195122</v>
      </c>
      <c r="AZ412" s="711">
        <f t="shared" si="1362"/>
        <v>0.77777777777777779</v>
      </c>
      <c r="BA412" s="711">
        <f t="shared" si="1362"/>
        <v>0</v>
      </c>
      <c r="BB412" s="711">
        <f t="shared" si="1362"/>
        <v>0</v>
      </c>
      <c r="BC412" s="711">
        <f t="shared" si="1362"/>
        <v>0</v>
      </c>
      <c r="BD412" s="711">
        <f t="shared" si="1362"/>
        <v>0</v>
      </c>
      <c r="BE412" s="711">
        <f t="shared" si="1362"/>
        <v>8.8495575221238937E-3</v>
      </c>
      <c r="BF412" s="711">
        <f t="shared" si="1362"/>
        <v>5.4054054054054057E-2</v>
      </c>
      <c r="BG412" s="711">
        <f t="shared" si="1362"/>
        <v>0</v>
      </c>
      <c r="BH412" s="711">
        <f t="shared" si="1362"/>
        <v>2.5316455696202531E-2</v>
      </c>
      <c r="BI412" s="711">
        <f t="shared" si="1362"/>
        <v>4.6875E-2</v>
      </c>
      <c r="BJ412" s="711">
        <f t="shared" si="1362"/>
        <v>2.564102564102564E-2</v>
      </c>
      <c r="BK412" s="711">
        <f t="shared" si="1362"/>
        <v>9.4786729857819912E-3</v>
      </c>
      <c r="BL412" s="711">
        <f t="shared" si="1362"/>
        <v>1.0101010101010102E-2</v>
      </c>
      <c r="BM412" s="711">
        <f t="shared" si="1362"/>
        <v>0.16</v>
      </c>
      <c r="BN412" s="711">
        <f t="shared" si="1362"/>
        <v>0</v>
      </c>
      <c r="BO412" s="711">
        <f t="shared" si="1362"/>
        <v>1.3333333333333333</v>
      </c>
      <c r="BP412" s="711">
        <f t="shared" si="1362"/>
        <v>0.24609375</v>
      </c>
      <c r="BQ412" s="711">
        <f t="shared" si="1362"/>
        <v>3.2608695652173912E-2</v>
      </c>
      <c r="BR412" s="711">
        <f t="shared" si="1362"/>
        <v>0.25888324873096447</v>
      </c>
      <c r="BS412" s="711">
        <f t="shared" si="1362"/>
        <v>0.13875598086124402</v>
      </c>
      <c r="BT412" s="711">
        <f t="shared" si="1362"/>
        <v>3.2258064516129031E-2</v>
      </c>
      <c r="BU412" s="711">
        <f t="shared" si="1362"/>
        <v>0.41496598639455784</v>
      </c>
      <c r="BV412" s="711">
        <f t="shared" si="1362"/>
        <v>8.4905660377358486E-2</v>
      </c>
      <c r="BW412" s="711">
        <f t="shared" si="1362"/>
        <v>2.4590163934426229E-2</v>
      </c>
      <c r="BX412" s="711">
        <f t="shared" si="1362"/>
        <v>1.6949152542372881E-2</v>
      </c>
      <c r="BY412" s="711">
        <f t="shared" si="1362"/>
        <v>0.27669902912621358</v>
      </c>
      <c r="BZ412" s="711">
        <f t="shared" si="1362"/>
        <v>2.553191489361702E-2</v>
      </c>
      <c r="CA412" s="711">
        <f t="shared" si="1362"/>
        <v>4.7058823529411764E-2</v>
      </c>
      <c r="CB412" s="711">
        <f t="shared" si="1362"/>
        <v>0.11788617886178862</v>
      </c>
      <c r="CC412" s="711">
        <f t="shared" si="1362"/>
        <v>0.15254237288135594</v>
      </c>
      <c r="CD412" s="711">
        <f t="shared" si="1362"/>
        <v>5.9071729957805907E-2</v>
      </c>
      <c r="CE412" s="711">
        <f t="shared" si="1362"/>
        <v>8.8082901554404139E-2</v>
      </c>
      <c r="CF412" s="711">
        <f t="shared" si="1362"/>
        <v>1.1323529411764706</v>
      </c>
      <c r="CG412" s="711">
        <f t="shared" si="1362"/>
        <v>1.6064257028112448E-2</v>
      </c>
      <c r="CH412" s="711">
        <f t="shared" si="1362"/>
        <v>0.13666666666666666</v>
      </c>
      <c r="CI412" s="711">
        <f t="shared" si="1362"/>
        <v>3.1428571428571431E-2</v>
      </c>
      <c r="CJ412" s="711">
        <f t="shared" si="1362"/>
        <v>3.1545741324921134E-2</v>
      </c>
      <c r="CK412" s="711">
        <f t="shared" si="1362"/>
        <v>1.7897091722595078E-2</v>
      </c>
      <c r="CL412" s="711">
        <f t="shared" si="1362"/>
        <v>1.8181818181818181E-2</v>
      </c>
      <c r="CM412" s="711">
        <f t="shared" si="1362"/>
        <v>0.39393939393939392</v>
      </c>
      <c r="CN412" s="711">
        <f>IFERROR(CN409/CN396,0)</f>
        <v>1.2468827930174564E-2</v>
      </c>
      <c r="CO412" s="711">
        <f t="shared" si="1348"/>
        <v>5.6022408963585435E-3</v>
      </c>
      <c r="CP412" s="711">
        <f t="shared" si="1348"/>
        <v>0.27426160337552741</v>
      </c>
      <c r="CQ412" s="711">
        <f t="shared" si="1348"/>
        <v>4.2553191489361703E-3</v>
      </c>
      <c r="CR412" s="711">
        <f t="shared" si="1348"/>
        <v>0</v>
      </c>
      <c r="CS412" s="711">
        <f t="shared" si="1348"/>
        <v>2.7027027027027029E-3</v>
      </c>
      <c r="CT412" s="734">
        <f>AVERAGE(CH412:CS412)</f>
        <v>7.741249810980548E-2</v>
      </c>
      <c r="CU412" s="734">
        <f t="shared" ref="CU412:DQ412" si="1363">CT412</f>
        <v>7.741249810980548E-2</v>
      </c>
      <c r="CV412" s="734">
        <f t="shared" si="1363"/>
        <v>7.741249810980548E-2</v>
      </c>
      <c r="CW412" s="734">
        <f t="shared" si="1363"/>
        <v>7.741249810980548E-2</v>
      </c>
      <c r="CX412" s="734">
        <f t="shared" si="1363"/>
        <v>7.741249810980548E-2</v>
      </c>
      <c r="CY412" s="734">
        <f t="shared" si="1363"/>
        <v>7.741249810980548E-2</v>
      </c>
      <c r="CZ412" s="734">
        <f t="shared" si="1363"/>
        <v>7.741249810980548E-2</v>
      </c>
      <c r="DA412" s="734">
        <f t="shared" si="1363"/>
        <v>7.741249810980548E-2</v>
      </c>
      <c r="DB412" s="734">
        <f t="shared" si="1363"/>
        <v>7.741249810980548E-2</v>
      </c>
      <c r="DC412" s="734">
        <f t="shared" si="1363"/>
        <v>7.741249810980548E-2</v>
      </c>
      <c r="DD412" s="734">
        <f t="shared" si="1363"/>
        <v>7.741249810980548E-2</v>
      </c>
      <c r="DE412" s="734">
        <f t="shared" si="1363"/>
        <v>7.741249810980548E-2</v>
      </c>
      <c r="DF412" s="734">
        <f t="shared" si="1363"/>
        <v>7.741249810980548E-2</v>
      </c>
      <c r="DG412" s="734">
        <f t="shared" si="1363"/>
        <v>7.741249810980548E-2</v>
      </c>
      <c r="DH412" s="734">
        <f t="shared" si="1363"/>
        <v>7.741249810980548E-2</v>
      </c>
      <c r="DI412" s="734">
        <f t="shared" si="1363"/>
        <v>7.741249810980548E-2</v>
      </c>
      <c r="DJ412" s="734">
        <f t="shared" si="1363"/>
        <v>7.741249810980548E-2</v>
      </c>
      <c r="DK412" s="734">
        <f t="shared" si="1363"/>
        <v>7.741249810980548E-2</v>
      </c>
      <c r="DL412" s="734">
        <f t="shared" si="1363"/>
        <v>7.741249810980548E-2</v>
      </c>
      <c r="DM412" s="734">
        <f t="shared" si="1363"/>
        <v>7.741249810980548E-2</v>
      </c>
      <c r="DN412" s="734">
        <f t="shared" si="1363"/>
        <v>7.741249810980548E-2</v>
      </c>
      <c r="DO412" s="734">
        <f t="shared" si="1363"/>
        <v>7.741249810980548E-2</v>
      </c>
      <c r="DP412" s="734">
        <f t="shared" si="1363"/>
        <v>7.741249810980548E-2</v>
      </c>
      <c r="DQ412" s="734">
        <f t="shared" si="1363"/>
        <v>7.741249810980548E-2</v>
      </c>
      <c r="DR412" s="734">
        <f t="shared" si="1350"/>
        <v>7.741249810980548E-2</v>
      </c>
      <c r="DS412" s="734">
        <f t="shared" si="1351"/>
        <v>7.741249810980548E-2</v>
      </c>
      <c r="DT412" s="734">
        <f t="shared" si="1352"/>
        <v>7.741249810980548E-2</v>
      </c>
      <c r="DU412" s="734">
        <f t="shared" si="1353"/>
        <v>7.741249810980548E-2</v>
      </c>
      <c r="DV412" s="734">
        <f t="shared" si="1354"/>
        <v>7.741249810980548E-2</v>
      </c>
      <c r="DW412" s="734">
        <f t="shared" si="1355"/>
        <v>7.741249810980548E-2</v>
      </c>
      <c r="DX412" s="734">
        <f t="shared" si="1356"/>
        <v>7.741249810980548E-2</v>
      </c>
      <c r="DY412" s="734">
        <f t="shared" si="1357"/>
        <v>7.741249810980548E-2</v>
      </c>
      <c r="DZ412" s="734">
        <f t="shared" si="1358"/>
        <v>7.741249810980548E-2</v>
      </c>
      <c r="EA412" s="734">
        <f t="shared" si="1359"/>
        <v>7.741249810980548E-2</v>
      </c>
      <c r="EB412" s="734">
        <f t="shared" si="1360"/>
        <v>7.741249810980548E-2</v>
      </c>
      <c r="EC412" s="734">
        <f t="shared" si="1361"/>
        <v>7.741249810980548E-2</v>
      </c>
      <c r="ED412" s="113" t="s">
        <v>1</v>
      </c>
    </row>
    <row r="413" spans="1:134" x14ac:dyDescent="0.2">
      <c r="A413" s="114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85"/>
      <c r="AC413" s="185"/>
      <c r="AD413" s="185"/>
      <c r="AE413" s="185"/>
      <c r="AF413" s="185"/>
      <c r="AG413" s="185"/>
      <c r="AH413" s="185"/>
      <c r="AI413" s="185"/>
      <c r="AJ413" s="185"/>
      <c r="AK413" s="185"/>
      <c r="AL413" s="185"/>
      <c r="AM413" s="185"/>
      <c r="AN413" s="185"/>
      <c r="AO413" s="185"/>
      <c r="AP413" s="185"/>
      <c r="AQ413" s="185"/>
      <c r="AR413" s="185"/>
      <c r="AS413" s="185"/>
      <c r="AT413" s="185"/>
      <c r="AU413" s="185"/>
      <c r="AV413" s="185"/>
      <c r="AW413" s="185"/>
      <c r="AX413" s="185"/>
      <c r="AY413" s="185"/>
      <c r="AZ413" s="185"/>
      <c r="BA413" s="185"/>
      <c r="BB413" s="185"/>
      <c r="BC413" s="185"/>
      <c r="BD413" s="185"/>
      <c r="BE413" s="185"/>
      <c r="BF413" s="185"/>
      <c r="BG413" s="185"/>
      <c r="BH413" s="185"/>
      <c r="BI413" s="185"/>
      <c r="BJ413" s="185"/>
      <c r="BK413" s="185"/>
      <c r="BL413" s="185"/>
      <c r="BM413" s="185"/>
      <c r="BN413" s="185"/>
      <c r="BO413" s="185"/>
      <c r="BP413" s="185"/>
      <c r="BQ413" s="185"/>
      <c r="BR413" s="185"/>
      <c r="BS413" s="185"/>
      <c r="BT413" s="185"/>
      <c r="BU413" s="185"/>
      <c r="BV413" s="185"/>
      <c r="BW413" s="185"/>
      <c r="BX413" s="185"/>
      <c r="BY413" s="185"/>
      <c r="BZ413" s="185"/>
      <c r="CA413" s="185"/>
      <c r="CB413" s="185"/>
      <c r="CC413" s="185"/>
      <c r="CD413" s="185"/>
      <c r="CE413" s="185"/>
      <c r="CF413" s="185"/>
      <c r="CG413" s="185"/>
      <c r="CH413" s="185"/>
      <c r="CI413" s="185"/>
      <c r="CJ413" s="185"/>
      <c r="CK413" s="185"/>
      <c r="CL413" s="185"/>
      <c r="CM413" s="185"/>
      <c r="CN413" s="185"/>
      <c r="CO413" s="185"/>
      <c r="CP413" s="185"/>
      <c r="CQ413" s="185"/>
      <c r="CR413" s="185"/>
      <c r="CS413" s="185"/>
      <c r="CT413" s="185"/>
      <c r="CU413" s="185"/>
      <c r="CV413" s="185"/>
      <c r="CW413" s="185"/>
      <c r="CX413" s="185"/>
      <c r="CY413" s="185"/>
      <c r="CZ413" s="185"/>
      <c r="DA413" s="185"/>
      <c r="DB413" s="185"/>
      <c r="DC413" s="185"/>
      <c r="DD413" s="185"/>
      <c r="DE413" s="185"/>
      <c r="DF413" s="185"/>
      <c r="DG413" s="185"/>
      <c r="DH413" s="185"/>
      <c r="DI413" s="185"/>
      <c r="DJ413" s="185"/>
      <c r="DK413" s="185"/>
      <c r="DL413" s="185"/>
      <c r="DM413" s="185"/>
      <c r="DN413" s="185"/>
      <c r="DO413" s="185"/>
      <c r="DP413" s="185"/>
      <c r="DQ413" s="185"/>
      <c r="DR413" s="115"/>
      <c r="DS413" s="115"/>
      <c r="DT413" s="115"/>
      <c r="DU413" s="115"/>
      <c r="DV413" s="115"/>
      <c r="DW413" s="115"/>
      <c r="DX413" s="115"/>
      <c r="DY413" s="115"/>
      <c r="DZ413" s="115"/>
      <c r="EA413" s="115"/>
      <c r="EB413" s="115"/>
      <c r="EC413" s="645"/>
      <c r="ED413" s="113" t="s">
        <v>1</v>
      </c>
    </row>
    <row r="414" spans="1:134" x14ac:dyDescent="0.2">
      <c r="A414" s="114" t="s">
        <v>251</v>
      </c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85"/>
      <c r="AC414" s="185"/>
      <c r="AD414" s="185"/>
      <c r="AE414" s="185"/>
      <c r="AF414" s="185"/>
      <c r="AG414" s="185"/>
      <c r="AH414" s="185"/>
      <c r="AI414" s="185"/>
      <c r="AJ414" s="185"/>
      <c r="AK414" s="185"/>
      <c r="AL414" s="185"/>
      <c r="AM414" s="185"/>
      <c r="AN414" s="185"/>
      <c r="AO414" s="185"/>
      <c r="AP414" s="185"/>
      <c r="AQ414" s="185"/>
      <c r="AR414" s="185"/>
      <c r="AS414" s="185"/>
      <c r="AT414" s="185"/>
      <c r="AU414" s="185"/>
      <c r="AV414" s="185"/>
      <c r="AW414" s="185"/>
      <c r="AX414" s="185"/>
      <c r="AY414" s="185"/>
      <c r="AZ414" s="185"/>
      <c r="BA414" s="185"/>
      <c r="BB414" s="185"/>
      <c r="BC414" s="185"/>
      <c r="BD414" s="185"/>
      <c r="BE414" s="185"/>
      <c r="BF414" s="185"/>
      <c r="BG414" s="185"/>
      <c r="BH414" s="185"/>
      <c r="BI414" s="185"/>
      <c r="BJ414" s="185"/>
      <c r="BK414" s="185"/>
      <c r="BL414" s="185"/>
      <c r="BM414" s="185"/>
      <c r="BN414" s="185"/>
      <c r="BO414" s="185"/>
      <c r="BP414" s="185"/>
      <c r="BQ414" s="185"/>
      <c r="BR414" s="185"/>
      <c r="BS414" s="185"/>
      <c r="BT414" s="185"/>
      <c r="BU414" s="185"/>
      <c r="BV414" s="711">
        <f t="shared" ref="BV414:BZ414" si="1364">BV401/BV379</f>
        <v>0</v>
      </c>
      <c r="BW414" s="711">
        <f t="shared" si="1364"/>
        <v>0</v>
      </c>
      <c r="BX414" s="711">
        <f t="shared" si="1364"/>
        <v>0</v>
      </c>
      <c r="BY414" s="711">
        <f t="shared" si="1364"/>
        <v>0</v>
      </c>
      <c r="BZ414" s="711">
        <f t="shared" si="1364"/>
        <v>0</v>
      </c>
      <c r="CA414" s="711">
        <f t="shared" ref="CA414:CH414" si="1365">CA401/CA379</f>
        <v>0</v>
      </c>
      <c r="CB414" s="711">
        <f t="shared" si="1365"/>
        <v>0</v>
      </c>
      <c r="CC414" s="711">
        <f t="shared" si="1365"/>
        <v>0</v>
      </c>
      <c r="CD414" s="711">
        <f t="shared" si="1365"/>
        <v>0</v>
      </c>
      <c r="CE414" s="711">
        <f t="shared" si="1365"/>
        <v>0</v>
      </c>
      <c r="CF414" s="711">
        <f t="shared" si="1365"/>
        <v>1.5958391296508348E-2</v>
      </c>
      <c r="CG414" s="711">
        <f t="shared" si="1365"/>
        <v>1.2843610957821645E-2</v>
      </c>
      <c r="CH414" s="711">
        <f t="shared" si="1365"/>
        <v>1.8001313478637197E-2</v>
      </c>
      <c r="CI414" s="711">
        <f t="shared" ref="CI414:CM414" si="1366">CI401/CI379</f>
        <v>1.1821445972102431E-2</v>
      </c>
      <c r="CJ414" s="711">
        <f t="shared" si="1366"/>
        <v>1.264301582261782E-2</v>
      </c>
      <c r="CK414" s="711">
        <f t="shared" si="1366"/>
        <v>1.3332978105807587E-2</v>
      </c>
      <c r="CL414" s="711">
        <f t="shared" si="1366"/>
        <v>1.4853701211891557E-2</v>
      </c>
      <c r="CM414" s="711">
        <f t="shared" si="1366"/>
        <v>1.0315741724632226E-2</v>
      </c>
      <c r="CN414" s="711">
        <f t="shared" ref="CN414:CR414" si="1367">CN401/CN379</f>
        <v>6.8869006732300642E-3</v>
      </c>
      <c r="CO414" s="711">
        <f t="shared" si="1367"/>
        <v>7.2612954370496136E-3</v>
      </c>
      <c r="CP414" s="711">
        <f t="shared" si="1367"/>
        <v>1.1099126088477932E-2</v>
      </c>
      <c r="CQ414" s="711">
        <f t="shared" si="1367"/>
        <v>4.5443658197963745E-4</v>
      </c>
      <c r="CR414" s="711">
        <f t="shared" si="1367"/>
        <v>6.3970438926767778E-3</v>
      </c>
      <c r="CS414" s="711">
        <f>CS401/CS379</f>
        <v>5.6322313173822226E-3</v>
      </c>
      <c r="CT414" s="734">
        <f>AVERAGE(CH414:CS414)</f>
        <v>9.891602525540423E-3</v>
      </c>
      <c r="CU414" s="734">
        <f>CT414</f>
        <v>9.891602525540423E-3</v>
      </c>
      <c r="CV414" s="734">
        <f t="shared" ref="CV414:EC414" si="1368">CU414</f>
        <v>9.891602525540423E-3</v>
      </c>
      <c r="CW414" s="734">
        <f t="shared" si="1368"/>
        <v>9.891602525540423E-3</v>
      </c>
      <c r="CX414" s="734">
        <f t="shared" si="1368"/>
        <v>9.891602525540423E-3</v>
      </c>
      <c r="CY414" s="734">
        <f t="shared" si="1368"/>
        <v>9.891602525540423E-3</v>
      </c>
      <c r="CZ414" s="734">
        <f t="shared" si="1368"/>
        <v>9.891602525540423E-3</v>
      </c>
      <c r="DA414" s="734">
        <f t="shared" si="1368"/>
        <v>9.891602525540423E-3</v>
      </c>
      <c r="DB414" s="734">
        <f t="shared" si="1368"/>
        <v>9.891602525540423E-3</v>
      </c>
      <c r="DC414" s="734">
        <f t="shared" si="1368"/>
        <v>9.891602525540423E-3</v>
      </c>
      <c r="DD414" s="734">
        <f t="shared" si="1368"/>
        <v>9.891602525540423E-3</v>
      </c>
      <c r="DE414" s="734">
        <f t="shared" si="1368"/>
        <v>9.891602525540423E-3</v>
      </c>
      <c r="DF414" s="734">
        <f t="shared" si="1368"/>
        <v>9.891602525540423E-3</v>
      </c>
      <c r="DG414" s="734">
        <f t="shared" si="1368"/>
        <v>9.891602525540423E-3</v>
      </c>
      <c r="DH414" s="734">
        <f t="shared" si="1368"/>
        <v>9.891602525540423E-3</v>
      </c>
      <c r="DI414" s="734">
        <f t="shared" si="1368"/>
        <v>9.891602525540423E-3</v>
      </c>
      <c r="DJ414" s="734">
        <f t="shared" si="1368"/>
        <v>9.891602525540423E-3</v>
      </c>
      <c r="DK414" s="734">
        <f t="shared" si="1368"/>
        <v>9.891602525540423E-3</v>
      </c>
      <c r="DL414" s="734">
        <f t="shared" si="1368"/>
        <v>9.891602525540423E-3</v>
      </c>
      <c r="DM414" s="734">
        <f t="shared" si="1368"/>
        <v>9.891602525540423E-3</v>
      </c>
      <c r="DN414" s="734">
        <f t="shared" si="1368"/>
        <v>9.891602525540423E-3</v>
      </c>
      <c r="DO414" s="734">
        <f t="shared" si="1368"/>
        <v>9.891602525540423E-3</v>
      </c>
      <c r="DP414" s="734">
        <f t="shared" si="1368"/>
        <v>9.891602525540423E-3</v>
      </c>
      <c r="DQ414" s="734">
        <f t="shared" si="1368"/>
        <v>9.891602525540423E-3</v>
      </c>
      <c r="DR414" s="734">
        <f t="shared" si="1368"/>
        <v>9.891602525540423E-3</v>
      </c>
      <c r="DS414" s="734">
        <f t="shared" si="1368"/>
        <v>9.891602525540423E-3</v>
      </c>
      <c r="DT414" s="734">
        <f t="shared" si="1368"/>
        <v>9.891602525540423E-3</v>
      </c>
      <c r="DU414" s="734">
        <f t="shared" si="1368"/>
        <v>9.891602525540423E-3</v>
      </c>
      <c r="DV414" s="734">
        <f t="shared" si="1368"/>
        <v>9.891602525540423E-3</v>
      </c>
      <c r="DW414" s="734">
        <f t="shared" si="1368"/>
        <v>9.891602525540423E-3</v>
      </c>
      <c r="DX414" s="734">
        <f t="shared" si="1368"/>
        <v>9.891602525540423E-3</v>
      </c>
      <c r="DY414" s="734">
        <f t="shared" si="1368"/>
        <v>9.891602525540423E-3</v>
      </c>
      <c r="DZ414" s="734">
        <f t="shared" si="1368"/>
        <v>9.891602525540423E-3</v>
      </c>
      <c r="EA414" s="734">
        <f t="shared" si="1368"/>
        <v>9.891602525540423E-3</v>
      </c>
      <c r="EB414" s="734">
        <f t="shared" si="1368"/>
        <v>9.891602525540423E-3</v>
      </c>
      <c r="EC414" s="734">
        <f t="shared" si="1368"/>
        <v>9.891602525540423E-3</v>
      </c>
      <c r="ED414" s="113" t="s">
        <v>1</v>
      </c>
    </row>
    <row r="415" spans="1:134" x14ac:dyDescent="0.2">
      <c r="A415" s="114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115"/>
      <c r="AQ415" s="115"/>
      <c r="AR415" s="115"/>
      <c r="AS415" s="115"/>
      <c r="AT415" s="115"/>
      <c r="AU415" s="115"/>
      <c r="AV415" s="115"/>
      <c r="AW415" s="115"/>
      <c r="AX415" s="115"/>
      <c r="AY415" s="115"/>
      <c r="AZ415" s="115"/>
      <c r="BA415" s="115"/>
      <c r="BB415" s="115"/>
      <c r="BC415" s="115"/>
      <c r="BD415" s="115"/>
      <c r="BE415" s="115"/>
      <c r="BF415" s="115"/>
      <c r="BG415" s="115"/>
      <c r="BH415" s="115"/>
      <c r="BI415" s="115"/>
      <c r="BJ415" s="115"/>
      <c r="BK415" s="115"/>
      <c r="BL415" s="115"/>
      <c r="BM415" s="115"/>
      <c r="BN415" s="115"/>
      <c r="BO415" s="115"/>
      <c r="BP415" s="115"/>
      <c r="BQ415" s="115"/>
      <c r="BR415" s="115"/>
      <c r="BS415" s="115"/>
      <c r="BT415" s="115"/>
      <c r="BU415" s="115"/>
      <c r="BV415" s="115"/>
      <c r="BW415" s="115"/>
      <c r="BX415" s="115"/>
      <c r="BY415" s="115"/>
      <c r="BZ415" s="115"/>
      <c r="CA415" s="115"/>
      <c r="CB415" s="115"/>
      <c r="CC415" s="115"/>
      <c r="CD415" s="115"/>
      <c r="CE415" s="115"/>
      <c r="CF415" s="115"/>
      <c r="CG415" s="115"/>
      <c r="CH415" s="115"/>
      <c r="CI415" s="115"/>
      <c r="CJ415" s="115"/>
      <c r="CK415" s="115"/>
      <c r="CL415" s="115"/>
      <c r="CM415" s="115"/>
      <c r="CN415" s="115"/>
      <c r="CO415" s="115"/>
      <c r="CP415" s="115"/>
      <c r="CQ415" s="115"/>
      <c r="CR415" s="115"/>
      <c r="CS415" s="115"/>
      <c r="CT415" s="115"/>
      <c r="CU415" s="115"/>
      <c r="CV415" s="115"/>
      <c r="CW415" s="115"/>
      <c r="CX415" s="115"/>
      <c r="CY415" s="115"/>
      <c r="CZ415" s="115"/>
      <c r="DA415" s="115"/>
      <c r="DB415" s="115"/>
      <c r="DC415" s="115"/>
      <c r="DD415" s="115"/>
      <c r="DE415" s="115"/>
      <c r="DF415" s="115"/>
      <c r="DG415" s="115"/>
      <c r="DH415" s="115"/>
      <c r="DI415" s="115"/>
      <c r="DJ415" s="115"/>
      <c r="DK415" s="115"/>
      <c r="DL415" s="115"/>
      <c r="DM415" s="115"/>
      <c r="DN415" s="115"/>
      <c r="DO415" s="115"/>
      <c r="DP415" s="115"/>
      <c r="DQ415" s="115"/>
      <c r="DR415" s="115"/>
      <c r="DS415" s="115"/>
      <c r="DT415" s="115"/>
      <c r="DU415" s="115"/>
      <c r="DV415" s="115"/>
      <c r="DW415" s="115"/>
      <c r="DX415" s="115"/>
      <c r="DY415" s="115"/>
      <c r="DZ415" s="115"/>
      <c r="EA415" s="115"/>
      <c r="EB415" s="115"/>
      <c r="EC415" s="645"/>
      <c r="ED415" s="113" t="s">
        <v>1</v>
      </c>
    </row>
    <row r="416" spans="1:134" s="331" customFormat="1" x14ac:dyDescent="0.2">
      <c r="A416" s="728" t="s">
        <v>10</v>
      </c>
      <c r="B416" s="330"/>
      <c r="C416" s="330"/>
      <c r="D416" s="330"/>
      <c r="E416" s="330"/>
      <c r="F416" s="330"/>
      <c r="G416" s="330"/>
      <c r="H416" s="330"/>
      <c r="I416" s="330"/>
      <c r="J416" s="330"/>
      <c r="K416" s="330"/>
      <c r="L416" s="330"/>
      <c r="M416" s="330"/>
      <c r="N416" s="330"/>
      <c r="O416" s="330"/>
      <c r="P416" s="330"/>
      <c r="Q416" s="330"/>
      <c r="R416" s="330"/>
      <c r="S416" s="330"/>
      <c r="T416" s="330"/>
      <c r="U416" s="330"/>
      <c r="V416" s="330"/>
      <c r="W416" s="330"/>
      <c r="X416" s="330"/>
      <c r="Y416" s="330"/>
      <c r="Z416" s="330"/>
      <c r="AA416" s="330"/>
      <c r="AB416" s="729">
        <f>SUM(AB417:AB420)</f>
        <v>8750324.0099999998</v>
      </c>
      <c r="AC416" s="729">
        <f t="shared" ref="AC416:CN416" si="1369">SUM(AC417:AC420)</f>
        <v>8140415</v>
      </c>
      <c r="AD416" s="729">
        <f t="shared" si="1369"/>
        <v>10128689.539999999</v>
      </c>
      <c r="AE416" s="729">
        <f t="shared" si="1369"/>
        <v>12443430.199999999</v>
      </c>
      <c r="AF416" s="729">
        <f t="shared" si="1369"/>
        <v>12792338.369999999</v>
      </c>
      <c r="AG416" s="729">
        <f t="shared" si="1369"/>
        <v>18216136</v>
      </c>
      <c r="AH416" s="729">
        <f t="shared" si="1369"/>
        <v>41128138.509999998</v>
      </c>
      <c r="AI416" s="729">
        <f t="shared" si="1369"/>
        <v>42238848.019999996</v>
      </c>
      <c r="AJ416" s="729">
        <f t="shared" si="1369"/>
        <v>41169681.949999988</v>
      </c>
      <c r="AK416" s="729">
        <f t="shared" si="1369"/>
        <v>46022451.4500001</v>
      </c>
      <c r="AL416" s="729">
        <f t="shared" si="1369"/>
        <v>26365478.020000014</v>
      </c>
      <c r="AM416" s="729">
        <f t="shared" si="1369"/>
        <v>660873.56000000029</v>
      </c>
      <c r="AN416" s="729">
        <f t="shared" si="1369"/>
        <v>19858638.949999992</v>
      </c>
      <c r="AO416" s="729">
        <f t="shared" si="1369"/>
        <v>29638653.110000081</v>
      </c>
      <c r="AP416" s="729">
        <f t="shared" si="1369"/>
        <v>37375237.240000144</v>
      </c>
      <c r="AQ416" s="729">
        <f t="shared" si="1369"/>
        <v>50341529.140000142</v>
      </c>
      <c r="AR416" s="729">
        <f t="shared" si="1369"/>
        <v>61139448.330000341</v>
      </c>
      <c r="AS416" s="729">
        <f t="shared" si="1369"/>
        <v>85422371.769999862</v>
      </c>
      <c r="AT416" s="729">
        <f t="shared" si="1369"/>
        <v>103382900.00999945</v>
      </c>
      <c r="AU416" s="729">
        <f t="shared" si="1369"/>
        <v>101355592.8500022</v>
      </c>
      <c r="AV416" s="729">
        <f t="shared" si="1369"/>
        <v>109123729.91999631</v>
      </c>
      <c r="AW416" s="729">
        <f t="shared" si="1369"/>
        <v>122164712.91999501</v>
      </c>
      <c r="AX416" s="729">
        <f t="shared" si="1369"/>
        <v>109823064.26999599</v>
      </c>
      <c r="AY416" s="729">
        <f t="shared" si="1369"/>
        <v>133608663.82000482</v>
      </c>
      <c r="AZ416" s="729">
        <f t="shared" si="1369"/>
        <v>159024124.13999009</v>
      </c>
      <c r="BA416" s="729">
        <f t="shared" si="1369"/>
        <v>164337478.40999818</v>
      </c>
      <c r="BB416" s="729">
        <f t="shared" si="1369"/>
        <v>171710139.12000531</v>
      </c>
      <c r="BC416" s="729">
        <f t="shared" si="1369"/>
        <v>165129889.85999975</v>
      </c>
      <c r="BD416" s="729">
        <f t="shared" si="1369"/>
        <v>182958913.47999564</v>
      </c>
      <c r="BE416" s="729">
        <f t="shared" si="1369"/>
        <v>189070979.66999796</v>
      </c>
      <c r="BF416" s="729">
        <f t="shared" si="1369"/>
        <v>228198550.17001384</v>
      </c>
      <c r="BG416" s="729">
        <f t="shared" si="1369"/>
        <v>250734530.11999887</v>
      </c>
      <c r="BH416" s="729">
        <f t="shared" si="1369"/>
        <v>248774043.02000451</v>
      </c>
      <c r="BI416" s="729">
        <f t="shared" si="1369"/>
        <v>313480811.14998049</v>
      </c>
      <c r="BJ416" s="729">
        <f t="shared" si="1369"/>
        <v>334676574.94952548</v>
      </c>
      <c r="BK416" s="729">
        <f t="shared" si="1369"/>
        <v>353988252.16002572</v>
      </c>
      <c r="BL416" s="729">
        <f t="shared" si="1369"/>
        <v>348158942.47003824</v>
      </c>
      <c r="BM416" s="729">
        <f t="shared" si="1369"/>
        <v>307209984.22004133</v>
      </c>
      <c r="BN416" s="729">
        <f t="shared" si="1369"/>
        <v>309398295.76196939</v>
      </c>
      <c r="BO416" s="729">
        <f t="shared" si="1369"/>
        <v>290473238.17039001</v>
      </c>
      <c r="BP416" s="729">
        <f t="shared" si="1369"/>
        <v>410622723.76424277</v>
      </c>
      <c r="BQ416" s="729">
        <f t="shared" si="1369"/>
        <v>358528367.22648662</v>
      </c>
      <c r="BR416" s="729">
        <f t="shared" si="1369"/>
        <v>310965509.49705708</v>
      </c>
      <c r="BS416" s="729">
        <f t="shared" si="1369"/>
        <v>281271224.0391472</v>
      </c>
      <c r="BT416" s="729">
        <f t="shared" si="1369"/>
        <v>259837357.21520609</v>
      </c>
      <c r="BU416" s="729">
        <f t="shared" si="1369"/>
        <v>312758334.33302683</v>
      </c>
      <c r="BV416" s="729">
        <f t="shared" si="1369"/>
        <v>330449059.35302848</v>
      </c>
      <c r="BW416" s="729">
        <f t="shared" si="1369"/>
        <v>331250773.66021484</v>
      </c>
      <c r="BX416" s="729">
        <f t="shared" si="1369"/>
        <v>354567623.70504457</v>
      </c>
      <c r="BY416" s="729">
        <f t="shared" si="1369"/>
        <v>336098190.46000946</v>
      </c>
      <c r="BZ416" s="729">
        <f t="shared" si="1369"/>
        <v>286561902.09000254</v>
      </c>
      <c r="CA416" s="729">
        <f t="shared" si="1369"/>
        <v>246572389.66662261</v>
      </c>
      <c r="CB416" s="729">
        <f t="shared" si="1369"/>
        <v>347521272.53159118</v>
      </c>
      <c r="CC416" s="729">
        <f t="shared" si="1369"/>
        <v>338788660.16000497</v>
      </c>
      <c r="CD416" s="729">
        <f t="shared" si="1369"/>
        <v>402643668.3605544</v>
      </c>
      <c r="CE416" s="729">
        <f t="shared" si="1369"/>
        <v>413689531.31032002</v>
      </c>
      <c r="CF416" s="729">
        <f t="shared" si="1369"/>
        <v>390704802.25000298</v>
      </c>
      <c r="CG416" s="729">
        <f t="shared" si="1369"/>
        <v>488254872.32010531</v>
      </c>
      <c r="CH416" s="729">
        <f t="shared" si="1369"/>
        <v>474892255.08013505</v>
      </c>
      <c r="CI416" s="729">
        <f t="shared" si="1369"/>
        <v>455033870.59000331</v>
      </c>
      <c r="CJ416" s="729">
        <f t="shared" si="1369"/>
        <v>465641129.59097791</v>
      </c>
      <c r="CK416" s="729">
        <f t="shared" si="1369"/>
        <v>511256386.28000104</v>
      </c>
      <c r="CL416" s="729">
        <f t="shared" si="1369"/>
        <v>434047140.72000164</v>
      </c>
      <c r="CM416" s="729">
        <f t="shared" si="1369"/>
        <v>407088809.17999738</v>
      </c>
      <c r="CN416" s="729">
        <f t="shared" si="1369"/>
        <v>590210796.76999617</v>
      </c>
      <c r="CO416" s="729">
        <f t="shared" ref="CO416:DQ416" si="1370">SUM(CO417:CO420)</f>
        <v>528388555.14999998</v>
      </c>
      <c r="CP416" s="729">
        <f t="shared" si="1370"/>
        <v>660089080.72999573</v>
      </c>
      <c r="CQ416" s="729">
        <f t="shared" si="1370"/>
        <v>698146029.25999856</v>
      </c>
      <c r="CR416" s="729">
        <f t="shared" si="1370"/>
        <v>675410851.0099951</v>
      </c>
      <c r="CS416" s="729">
        <f t="shared" si="1370"/>
        <v>811235735.95999897</v>
      </c>
      <c r="CT416" s="729">
        <f t="shared" si="1370"/>
        <v>678455992.80867589</v>
      </c>
      <c r="CU416" s="729">
        <f t="shared" si="1370"/>
        <v>664413410.52437353</v>
      </c>
      <c r="CV416" s="729">
        <f t="shared" si="1370"/>
        <v>663028454.80029023</v>
      </c>
      <c r="CW416" s="729">
        <f t="shared" si="1370"/>
        <v>717970649.49884415</v>
      </c>
      <c r="CX416" s="729">
        <f t="shared" si="1370"/>
        <v>641470411.23932433</v>
      </c>
      <c r="CY416" s="729">
        <f t="shared" si="1370"/>
        <v>595664059.00779283</v>
      </c>
      <c r="CZ416" s="729">
        <f t="shared" si="1370"/>
        <v>743244506.80695033</v>
      </c>
      <c r="DA416" s="729">
        <f t="shared" si="1370"/>
        <v>684477954.59742069</v>
      </c>
      <c r="DB416" s="729">
        <f t="shared" si="1370"/>
        <v>814270464.67688215</v>
      </c>
      <c r="DC416" s="729">
        <f t="shared" si="1370"/>
        <v>834271354.9634943</v>
      </c>
      <c r="DD416" s="729">
        <f t="shared" si="1370"/>
        <v>775786970.30562949</v>
      </c>
      <c r="DE416" s="729">
        <f t="shared" si="1370"/>
        <v>902443705.05311847</v>
      </c>
      <c r="DF416" s="729">
        <f t="shared" si="1370"/>
        <v>829666909.23110378</v>
      </c>
      <c r="DG416" s="729">
        <f t="shared" si="1370"/>
        <v>814529289.23039174</v>
      </c>
      <c r="DH416" s="729">
        <f t="shared" si="1370"/>
        <v>808603849.14118779</v>
      </c>
      <c r="DI416" s="729">
        <f t="shared" si="1370"/>
        <v>875160059.25274992</v>
      </c>
      <c r="DJ416" s="729">
        <f t="shared" si="1370"/>
        <v>780205391.31564248</v>
      </c>
      <c r="DK416" s="729">
        <f t="shared" si="1370"/>
        <v>722721445.45172668</v>
      </c>
      <c r="DL416" s="729">
        <f t="shared" si="1370"/>
        <v>899096210.67064154</v>
      </c>
      <c r="DM416" s="729">
        <f t="shared" si="1370"/>
        <v>823603179.24968982</v>
      </c>
      <c r="DN416" s="729">
        <f t="shared" si="1370"/>
        <v>976568200.20624471</v>
      </c>
      <c r="DO416" s="729">
        <f t="shared" si="1370"/>
        <v>996426152.33722782</v>
      </c>
      <c r="DP416" s="729">
        <f t="shared" si="1370"/>
        <v>921946503.31567192</v>
      </c>
      <c r="DQ416" s="729">
        <f t="shared" si="1370"/>
        <v>1060883946.3341253</v>
      </c>
      <c r="DR416" s="729">
        <f t="shared" ref="DR416:EC416" si="1371">SUM(DR417:DR420)</f>
        <v>945339515.98410356</v>
      </c>
      <c r="DS416" s="729">
        <f t="shared" si="1371"/>
        <v>927163630.11164689</v>
      </c>
      <c r="DT416" s="729">
        <f t="shared" si="1371"/>
        <v>919830031.5813067</v>
      </c>
      <c r="DU416" s="729">
        <f t="shared" si="1371"/>
        <v>995211901.48614717</v>
      </c>
      <c r="DV416" s="729">
        <f t="shared" si="1371"/>
        <v>886077410.25407946</v>
      </c>
      <c r="DW416" s="729">
        <f t="shared" si="1371"/>
        <v>819585418.61637306</v>
      </c>
      <c r="DX416" s="729">
        <f t="shared" si="1371"/>
        <v>1020138109.2518356</v>
      </c>
      <c r="DY416" s="729">
        <f t="shared" si="1371"/>
        <v>933665685.8214221</v>
      </c>
      <c r="DZ416" s="729">
        <f t="shared" si="1371"/>
        <v>1107401256.7350147</v>
      </c>
      <c r="EA416" s="729">
        <f t="shared" si="1371"/>
        <v>1129676949.2709913</v>
      </c>
      <c r="EB416" s="729">
        <f t="shared" si="1371"/>
        <v>1044404298.0656905</v>
      </c>
      <c r="EC416" s="729">
        <f t="shared" si="1371"/>
        <v>1201994642.9086406</v>
      </c>
      <c r="ED416" s="113" t="s">
        <v>1</v>
      </c>
    </row>
    <row r="417" spans="1:134" x14ac:dyDescent="0.2">
      <c r="A417" s="114" t="s">
        <v>139</v>
      </c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29">
        <v>4954766</v>
      </c>
      <c r="AC417" s="129">
        <v>4037445</v>
      </c>
      <c r="AD417" s="129">
        <v>5795139.0300000003</v>
      </c>
      <c r="AE417" s="129">
        <v>8680388.4000000004</v>
      </c>
      <c r="AF417" s="129">
        <v>9243030.0299999993</v>
      </c>
      <c r="AG417" s="129">
        <v>14763382</v>
      </c>
      <c r="AH417" s="129">
        <v>37620345.100000001</v>
      </c>
      <c r="AI417" s="129">
        <v>38690629.359999999</v>
      </c>
      <c r="AJ417" s="129">
        <v>37284465.949999988</v>
      </c>
      <c r="AK417" s="129">
        <v>41503715.480000101</v>
      </c>
      <c r="AL417" s="129">
        <v>23610724.890000015</v>
      </c>
      <c r="AM417" s="129">
        <v>653479.00000000023</v>
      </c>
      <c r="AN417" s="129">
        <v>15160515.03999999</v>
      </c>
      <c r="AO417" s="129">
        <v>22943616.65000008</v>
      </c>
      <c r="AP417" s="129">
        <v>30151182.960000139</v>
      </c>
      <c r="AQ417" s="129">
        <v>41268079.140000142</v>
      </c>
      <c r="AR417" s="129">
        <v>52461125.990000345</v>
      </c>
      <c r="AS417" s="129">
        <v>76108050.409999847</v>
      </c>
      <c r="AT417" s="129">
        <v>90064856.66999945</v>
      </c>
      <c r="AU417" s="129">
        <v>88310751.100002199</v>
      </c>
      <c r="AV417" s="129">
        <v>96116299.679996312</v>
      </c>
      <c r="AW417" s="129">
        <v>108605334.61999501</v>
      </c>
      <c r="AX417" s="129">
        <v>95380289.289995983</v>
      </c>
      <c r="AY417" s="129">
        <v>117449996.64000481</v>
      </c>
      <c r="AZ417" s="129">
        <v>141888250.5699901</v>
      </c>
      <c r="BA417" s="129">
        <v>144543492.22999817</v>
      </c>
      <c r="BB417" s="129">
        <v>150286837.20000532</v>
      </c>
      <c r="BC417" s="129">
        <v>144106968.34999976</v>
      </c>
      <c r="BD417" s="129">
        <v>162952580.15999565</v>
      </c>
      <c r="BE417" s="129">
        <v>169198135.41999796</v>
      </c>
      <c r="BF417" s="129">
        <v>207985981.08001384</v>
      </c>
      <c r="BG417" s="129">
        <v>228488699.00999886</v>
      </c>
      <c r="BH417" s="129">
        <v>226822362.10000449</v>
      </c>
      <c r="BI417" s="129">
        <v>290580358.72998047</v>
      </c>
      <c r="BJ417" s="129">
        <v>310871940.22002548</v>
      </c>
      <c r="BK417" s="129">
        <v>329021766.16002572</v>
      </c>
      <c r="BL417" s="129">
        <v>321689071.86003822</v>
      </c>
      <c r="BM417" s="129">
        <v>279841172.42004132</v>
      </c>
      <c r="BN417" s="129">
        <v>278148585.89996934</v>
      </c>
      <c r="BO417" s="129">
        <v>262462347.14003003</v>
      </c>
      <c r="BP417" s="129">
        <v>378519270.84254277</v>
      </c>
      <c r="BQ417" s="129">
        <v>334557099.06254625</v>
      </c>
      <c r="BR417" s="129">
        <v>288341610.66609704</v>
      </c>
      <c r="BS417" s="129">
        <v>259890567.12915152</v>
      </c>
      <c r="BT417" s="129">
        <v>237519357.85305086</v>
      </c>
      <c r="BU417" s="129">
        <v>287183750.34305489</v>
      </c>
      <c r="BV417" s="129">
        <v>303377623.23305589</v>
      </c>
      <c r="BW417" s="129">
        <v>302860728.54000413</v>
      </c>
      <c r="BX417" s="129">
        <v>323349519.70000637</v>
      </c>
      <c r="BY417" s="129">
        <v>303741721.71000528</v>
      </c>
      <c r="BZ417" s="129">
        <v>254864327.23000249</v>
      </c>
      <c r="CA417" s="129">
        <v>217817066.76000494</v>
      </c>
      <c r="CB417" s="129">
        <v>313728741.67000377</v>
      </c>
      <c r="CC417" s="129">
        <v>309314249.54000497</v>
      </c>
      <c r="CD417" s="129">
        <v>368070882.72436666</v>
      </c>
      <c r="CE417" s="129">
        <v>379552463.49032009</v>
      </c>
      <c r="CF417" s="129">
        <v>360411444.08000308</v>
      </c>
      <c r="CG417" s="129">
        <v>450000119.13010532</v>
      </c>
      <c r="CH417" s="129">
        <v>439433304.52013505</v>
      </c>
      <c r="CI417" s="129">
        <v>417983825.70000333</v>
      </c>
      <c r="CJ417" s="129">
        <v>431529333.45097804</v>
      </c>
      <c r="CK417" s="129">
        <v>471853197.32000107</v>
      </c>
      <c r="CL417" s="129">
        <v>392554697.89000165</v>
      </c>
      <c r="CM417" s="129">
        <v>367856266.94999743</v>
      </c>
      <c r="CN417" s="129">
        <v>542092159.60999608</v>
      </c>
      <c r="CO417" s="129">
        <v>481851137.93000001</v>
      </c>
      <c r="CP417" s="129">
        <v>602509405.98999572</v>
      </c>
      <c r="CQ417" s="129">
        <v>643298323.67999852</v>
      </c>
      <c r="CR417" s="129">
        <v>622555296.80999506</v>
      </c>
      <c r="CS417" s="129">
        <v>733259326.33999896</v>
      </c>
      <c r="CT417" s="130">
        <f>CT377-CT399</f>
        <v>623316225.19374788</v>
      </c>
      <c r="CU417" s="130">
        <f t="shared" ref="CU417:DQ417" si="1372">CU377-CU399</f>
        <v>608891680.63346696</v>
      </c>
      <c r="CV417" s="130">
        <f t="shared" si="1372"/>
        <v>606852652.25054502</v>
      </c>
      <c r="CW417" s="130">
        <f t="shared" si="1372"/>
        <v>661128484.74072325</v>
      </c>
      <c r="CX417" s="130">
        <f t="shared" si="1372"/>
        <v>584283847.66939878</v>
      </c>
      <c r="CY417" s="130">
        <f t="shared" si="1372"/>
        <v>537786629.09952998</v>
      </c>
      <c r="CZ417" s="130">
        <f t="shared" si="1372"/>
        <v>684318799.80892086</v>
      </c>
      <c r="DA417" s="130">
        <f t="shared" si="1372"/>
        <v>625134739.04751992</v>
      </c>
      <c r="DB417" s="130">
        <f t="shared" si="1372"/>
        <v>753952305.43780303</v>
      </c>
      <c r="DC417" s="130">
        <f t="shared" si="1372"/>
        <v>773430884.20442677</v>
      </c>
      <c r="DD417" s="130">
        <f t="shared" si="1372"/>
        <v>714527827.71728182</v>
      </c>
      <c r="DE417" s="130">
        <f t="shared" si="1372"/>
        <v>839782691.57698047</v>
      </c>
      <c r="DF417" s="130">
        <f t="shared" si="1372"/>
        <v>766874817.29158139</v>
      </c>
      <c r="DG417" s="130">
        <f t="shared" si="1372"/>
        <v>751139642.62094986</v>
      </c>
      <c r="DH417" s="130">
        <f t="shared" si="1372"/>
        <v>744798703.84342337</v>
      </c>
      <c r="DI417" s="130">
        <f t="shared" si="1372"/>
        <v>810641421.94283426</v>
      </c>
      <c r="DJ417" s="130">
        <f t="shared" si="1372"/>
        <v>715417350.6312989</v>
      </c>
      <c r="DK417" s="130">
        <f t="shared" si="1372"/>
        <v>657290018.30856955</v>
      </c>
      <c r="DL417" s="130">
        <f t="shared" si="1372"/>
        <v>832719725.17928278</v>
      </c>
      <c r="DM417" s="130">
        <f t="shared" si="1372"/>
        <v>757097207.8430934</v>
      </c>
      <c r="DN417" s="130">
        <f t="shared" si="1372"/>
        <v>909213414.77650535</v>
      </c>
      <c r="DO417" s="130">
        <f t="shared" si="1372"/>
        <v>928769795.08640003</v>
      </c>
      <c r="DP417" s="130">
        <f t="shared" si="1372"/>
        <v>854156493.83732367</v>
      </c>
      <c r="DQ417" s="130">
        <f t="shared" si="1372"/>
        <v>992302794.32001698</v>
      </c>
      <c r="DR417" s="130">
        <f t="shared" ref="DR417:EC417" si="1373">DR377-DR399</f>
        <v>876793541.10337472</v>
      </c>
      <c r="DS417" s="130">
        <f t="shared" si="1373"/>
        <v>858032591.76316202</v>
      </c>
      <c r="DT417" s="130">
        <f t="shared" si="1373"/>
        <v>850289283.89688277</v>
      </c>
      <c r="DU417" s="130">
        <f t="shared" si="1373"/>
        <v>924921376.91347587</v>
      </c>
      <c r="DV417" s="130">
        <f t="shared" si="1373"/>
        <v>815575779.71968079</v>
      </c>
      <c r="DW417" s="130">
        <f t="shared" si="1373"/>
        <v>748477436.341519</v>
      </c>
      <c r="DX417" s="130">
        <f t="shared" si="1373"/>
        <v>947985666.08567834</v>
      </c>
      <c r="DY417" s="130">
        <f t="shared" si="1373"/>
        <v>861428896.24098301</v>
      </c>
      <c r="DZ417" s="130">
        <f t="shared" si="1373"/>
        <v>1034230259.3082749</v>
      </c>
      <c r="EA417" s="130">
        <f t="shared" si="1373"/>
        <v>1056194439.9832017</v>
      </c>
      <c r="EB417" s="130">
        <f t="shared" si="1373"/>
        <v>970832509.74809217</v>
      </c>
      <c r="EC417" s="130">
        <f t="shared" si="1373"/>
        <v>1127555024.5047319</v>
      </c>
      <c r="ED417" s="113" t="s">
        <v>1</v>
      </c>
    </row>
    <row r="418" spans="1:134" x14ac:dyDescent="0.2">
      <c r="A418" s="114" t="s">
        <v>191</v>
      </c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29">
        <v>3655563.01</v>
      </c>
      <c r="AC418" s="129">
        <v>3972387</v>
      </c>
      <c r="AD418" s="129">
        <v>4122520.4</v>
      </c>
      <c r="AE418" s="129">
        <v>3482649.1</v>
      </c>
      <c r="AF418" s="129">
        <v>3286270</v>
      </c>
      <c r="AG418" s="129">
        <v>3164743</v>
      </c>
      <c r="AH418" s="129">
        <v>3181133</v>
      </c>
      <c r="AI418" s="129">
        <v>3167770</v>
      </c>
      <c r="AJ418" s="129">
        <v>2816768</v>
      </c>
      <c r="AK418" s="129">
        <v>3828115</v>
      </c>
      <c r="AL418" s="129">
        <v>2399609</v>
      </c>
      <c r="AM418" s="129">
        <v>0</v>
      </c>
      <c r="AN418" s="129">
        <v>4316723</v>
      </c>
      <c r="AO418" s="129">
        <v>6004305</v>
      </c>
      <c r="AP418" s="129">
        <v>5531798</v>
      </c>
      <c r="AQ418" s="129">
        <v>6811484</v>
      </c>
      <c r="AR418" s="129">
        <v>6477790</v>
      </c>
      <c r="AS418" s="129">
        <v>6832610</v>
      </c>
      <c r="AT418" s="129">
        <v>9801213.9399999995</v>
      </c>
      <c r="AU418" s="129">
        <v>9717463</v>
      </c>
      <c r="AV418" s="129">
        <v>9709837</v>
      </c>
      <c r="AW418" s="129">
        <v>8969038</v>
      </c>
      <c r="AX418" s="129">
        <v>11077045</v>
      </c>
      <c r="AY418" s="129">
        <v>12723867</v>
      </c>
      <c r="AZ418" s="129">
        <v>12864451</v>
      </c>
      <c r="BA418" s="129">
        <v>15111163</v>
      </c>
      <c r="BB418" s="129">
        <v>15860874</v>
      </c>
      <c r="BC418" s="129">
        <v>14892958</v>
      </c>
      <c r="BD418" s="129">
        <v>14209739</v>
      </c>
      <c r="BE418" s="129">
        <v>14997847</v>
      </c>
      <c r="BF418" s="129">
        <v>15114599</v>
      </c>
      <c r="BG418" s="129">
        <v>16055224</v>
      </c>
      <c r="BH418" s="129">
        <v>15120818</v>
      </c>
      <c r="BI418" s="129">
        <v>15916436</v>
      </c>
      <c r="BJ418" s="129">
        <v>16455088</v>
      </c>
      <c r="BK418" s="129">
        <v>17261755</v>
      </c>
      <c r="BL418" s="129">
        <v>18137287</v>
      </c>
      <c r="BM418" s="129">
        <v>19516288</v>
      </c>
      <c r="BN418" s="129">
        <v>19725098</v>
      </c>
      <c r="BO418" s="129">
        <v>17099249</v>
      </c>
      <c r="BP418" s="129">
        <v>17511393</v>
      </c>
      <c r="BQ418" s="129">
        <v>14560657</v>
      </c>
      <c r="BR418" s="129">
        <v>14625126</v>
      </c>
      <c r="BS418" s="129">
        <v>14384434</v>
      </c>
      <c r="BT418" s="129">
        <v>14500412</v>
      </c>
      <c r="BU418" s="129">
        <v>16891021</v>
      </c>
      <c r="BV418" s="129">
        <v>17959708</v>
      </c>
      <c r="BW418" s="129">
        <v>19262795</v>
      </c>
      <c r="BX418" s="129">
        <v>20797660</v>
      </c>
      <c r="BY418" s="129">
        <v>22174516.800000001</v>
      </c>
      <c r="BZ418" s="129">
        <v>21618496</v>
      </c>
      <c r="CA418" s="129">
        <v>20817939</v>
      </c>
      <c r="CB418" s="129">
        <v>21207667.68</v>
      </c>
      <c r="CC418" s="129">
        <v>19255836.920000002</v>
      </c>
      <c r="CD418" s="129">
        <v>22400620.879999999</v>
      </c>
      <c r="CE418" s="129">
        <v>21300170.48</v>
      </c>
      <c r="CF418" s="129">
        <v>18619942.399999999</v>
      </c>
      <c r="CG418" s="129">
        <v>24707878.719999999</v>
      </c>
      <c r="CH418" s="129">
        <v>22799477</v>
      </c>
      <c r="CI418" s="129">
        <v>23528850</v>
      </c>
      <c r="CJ418" s="129">
        <v>23644259.399999999</v>
      </c>
      <c r="CK418" s="129">
        <v>26714167.710000001</v>
      </c>
      <c r="CL418" s="129">
        <v>30017121.27</v>
      </c>
      <c r="CM418" s="129">
        <v>25148103.829999998</v>
      </c>
      <c r="CN418" s="129">
        <v>25669120.719999999</v>
      </c>
      <c r="CO418" s="129">
        <v>26616200.09</v>
      </c>
      <c r="CP418" s="129">
        <v>32153333.34</v>
      </c>
      <c r="CQ418" s="129">
        <v>31872046.09</v>
      </c>
      <c r="CR418" s="129">
        <v>31154044.84</v>
      </c>
      <c r="CS418" s="129">
        <v>53076996.660000004</v>
      </c>
      <c r="CT418" s="130">
        <f>CT378-CT400</f>
        <v>33804798.704594932</v>
      </c>
      <c r="CU418" s="130">
        <f t="shared" ref="CU418:DQ418" si="1374">CU378-CU400</f>
        <v>34088872.643289007</v>
      </c>
      <c r="CV418" s="130">
        <f t="shared" si="1374"/>
        <v>34514983.551330119</v>
      </c>
      <c r="CW418" s="130">
        <f t="shared" si="1374"/>
        <v>34799057.490024194</v>
      </c>
      <c r="CX418" s="130">
        <f t="shared" si="1374"/>
        <v>35225168.398065306</v>
      </c>
      <c r="CY418" s="130">
        <f t="shared" si="1374"/>
        <v>35793316.275453456</v>
      </c>
      <c r="CZ418" s="130">
        <f t="shared" si="1374"/>
        <v>36077390.21414753</v>
      </c>
      <c r="DA418" s="130">
        <f t="shared" si="1374"/>
        <v>36503501.122188643</v>
      </c>
      <c r="DB418" s="130">
        <f t="shared" si="1374"/>
        <v>36787575.060882717</v>
      </c>
      <c r="DC418" s="130">
        <f t="shared" si="1374"/>
        <v>37071648.999576792</v>
      </c>
      <c r="DD418" s="130">
        <f t="shared" si="1374"/>
        <v>37497759.907617904</v>
      </c>
      <c r="DE418" s="130">
        <f t="shared" si="1374"/>
        <v>38065907.785006054</v>
      </c>
      <c r="DF418" s="130">
        <f t="shared" si="1374"/>
        <v>38349981.723700128</v>
      </c>
      <c r="DG418" s="130">
        <f t="shared" si="1374"/>
        <v>38776092.631741241</v>
      </c>
      <c r="DH418" s="130">
        <f t="shared" si="1374"/>
        <v>39060166.570435315</v>
      </c>
      <c r="DI418" s="130">
        <f t="shared" si="1374"/>
        <v>39344240.50912939</v>
      </c>
      <c r="DJ418" s="130">
        <f t="shared" si="1374"/>
        <v>39770351.417170502</v>
      </c>
      <c r="DK418" s="130">
        <f t="shared" si="1374"/>
        <v>40338499.294558659</v>
      </c>
      <c r="DL418" s="130">
        <f t="shared" si="1374"/>
        <v>40480536.263905697</v>
      </c>
      <c r="DM418" s="130">
        <f t="shared" si="1374"/>
        <v>40764610.202599771</v>
      </c>
      <c r="DN418" s="130">
        <f t="shared" si="1374"/>
        <v>40906647.171946809</v>
      </c>
      <c r="DO418" s="130">
        <f t="shared" si="1374"/>
        <v>41048684.141293846</v>
      </c>
      <c r="DP418" s="130">
        <f t="shared" si="1374"/>
        <v>41332758.079987921</v>
      </c>
      <c r="DQ418" s="130">
        <f t="shared" si="1374"/>
        <v>41474795.049334958</v>
      </c>
      <c r="DR418" s="130">
        <f t="shared" ref="DR418:EC418" si="1375">DR378-DR400</f>
        <v>41758868.988029033</v>
      </c>
      <c r="DS418" s="130">
        <f t="shared" si="1375"/>
        <v>42184979.896070145</v>
      </c>
      <c r="DT418" s="130">
        <f t="shared" si="1375"/>
        <v>42469053.83476422</v>
      </c>
      <c r="DU418" s="130">
        <f t="shared" si="1375"/>
        <v>42753127.773458295</v>
      </c>
      <c r="DV418" s="130">
        <f t="shared" si="1375"/>
        <v>43179238.681499407</v>
      </c>
      <c r="DW418" s="130">
        <f t="shared" si="1375"/>
        <v>43747386.558887556</v>
      </c>
      <c r="DX418" s="130">
        <f t="shared" si="1375"/>
        <v>43889423.528234594</v>
      </c>
      <c r="DY418" s="130">
        <f t="shared" si="1375"/>
        <v>44173497.466928668</v>
      </c>
      <c r="DZ418" s="130">
        <f t="shared" si="1375"/>
        <v>44315534.436275706</v>
      </c>
      <c r="EA418" s="130">
        <f t="shared" si="1375"/>
        <v>44457571.405622743</v>
      </c>
      <c r="EB418" s="130">
        <f t="shared" si="1375"/>
        <v>44741645.344316818</v>
      </c>
      <c r="EC418" s="130">
        <f t="shared" si="1375"/>
        <v>44883682.313663855</v>
      </c>
      <c r="ED418" s="113" t="s">
        <v>1</v>
      </c>
    </row>
    <row r="419" spans="1:134" x14ac:dyDescent="0.2">
      <c r="A419" s="114" t="s">
        <v>140</v>
      </c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29">
        <v>139995</v>
      </c>
      <c r="AC419" s="129">
        <v>130583</v>
      </c>
      <c r="AD419" s="129">
        <v>211030.11</v>
      </c>
      <c r="AE419" s="129">
        <v>280392.7</v>
      </c>
      <c r="AF419" s="129">
        <v>263038.33999999997</v>
      </c>
      <c r="AG419" s="129">
        <v>288011</v>
      </c>
      <c r="AH419" s="129">
        <v>326660.40999999997</v>
      </c>
      <c r="AI419" s="129">
        <v>380448.66</v>
      </c>
      <c r="AJ419" s="129">
        <v>1068448.0000000012</v>
      </c>
      <c r="AK419" s="129">
        <v>690620.97</v>
      </c>
      <c r="AL419" s="129">
        <v>355144.12999999995</v>
      </c>
      <c r="AM419" s="129">
        <v>7394.56</v>
      </c>
      <c r="AN419" s="129">
        <v>381400.91</v>
      </c>
      <c r="AO419" s="129">
        <v>690731.45999999985</v>
      </c>
      <c r="AP419" s="129">
        <v>1692256.2799999998</v>
      </c>
      <c r="AQ419" s="129">
        <v>2261966</v>
      </c>
      <c r="AR419" s="129">
        <v>2200532.34</v>
      </c>
      <c r="AS419" s="129">
        <v>2481711.3600000069</v>
      </c>
      <c r="AT419" s="129">
        <v>3516829.4000000134</v>
      </c>
      <c r="AU419" s="129">
        <v>3327378.7500000014</v>
      </c>
      <c r="AV419" s="129">
        <v>3297593.2400000012</v>
      </c>
      <c r="AW419" s="129">
        <v>4590340.3</v>
      </c>
      <c r="AX419" s="129">
        <v>3365729.9800000028</v>
      </c>
      <c r="AY419" s="129">
        <v>3434800.1800000006</v>
      </c>
      <c r="AZ419" s="129">
        <v>4271422.5699999984</v>
      </c>
      <c r="BA419" s="129">
        <v>4682823.1799999941</v>
      </c>
      <c r="BB419" s="129">
        <v>5562427.9199999981</v>
      </c>
      <c r="BC419" s="129">
        <v>6129963.5099999988</v>
      </c>
      <c r="BD419" s="129">
        <v>5796594.3199999984</v>
      </c>
      <c r="BE419" s="129">
        <v>4874997.2500000009</v>
      </c>
      <c r="BF419" s="129">
        <v>5097970.09</v>
      </c>
      <c r="BG419" s="129">
        <v>6190607.1099999994</v>
      </c>
      <c r="BH419" s="129">
        <v>6830862.9200000018</v>
      </c>
      <c r="BI419" s="129">
        <v>6984016.4199999981</v>
      </c>
      <c r="BJ419" s="129">
        <v>7349546.7295000069</v>
      </c>
      <c r="BK419" s="129">
        <v>7704730.9999999972</v>
      </c>
      <c r="BL419" s="129">
        <v>8332583.6100000208</v>
      </c>
      <c r="BM419" s="129">
        <v>7852523.799999997</v>
      </c>
      <c r="BN419" s="129">
        <v>11524611.862000061</v>
      </c>
      <c r="BO419" s="129">
        <v>10911642.03036</v>
      </c>
      <c r="BP419" s="129">
        <v>14592059.921699986</v>
      </c>
      <c r="BQ419" s="129">
        <v>9410611.1639403459</v>
      </c>
      <c r="BR419" s="129">
        <v>7998772.8309600148</v>
      </c>
      <c r="BS419" s="129">
        <v>6996222.9099956984</v>
      </c>
      <c r="BT419" s="129">
        <v>7817587.362155214</v>
      </c>
      <c r="BU419" s="129">
        <v>8683562.9899719376</v>
      </c>
      <c r="BV419" s="129">
        <v>9111728.1199725587</v>
      </c>
      <c r="BW419" s="129">
        <v>9127250.1202107016</v>
      </c>
      <c r="BX419" s="129">
        <v>10420444.005038187</v>
      </c>
      <c r="BY419" s="129">
        <v>10181951.950004138</v>
      </c>
      <c r="BZ419" s="129">
        <v>10079078.859999996</v>
      </c>
      <c r="CA419" s="129">
        <v>7937383.9066176694</v>
      </c>
      <c r="CB419" s="129">
        <v>12584863.181587428</v>
      </c>
      <c r="CC419" s="129">
        <v>10218573.700000005</v>
      </c>
      <c r="CD419" s="129">
        <v>12172164.756187756</v>
      </c>
      <c r="CE419" s="129">
        <v>12836897.339999899</v>
      </c>
      <c r="CF419" s="129">
        <v>11673415.769999932</v>
      </c>
      <c r="CG419" s="129">
        <v>13546874.470000001</v>
      </c>
      <c r="CH419" s="129">
        <v>12659473.559999999</v>
      </c>
      <c r="CI419" s="129">
        <v>13521194.889999993</v>
      </c>
      <c r="CJ419" s="129">
        <v>10467536.739999892</v>
      </c>
      <c r="CK419" s="129">
        <v>12689021.25</v>
      </c>
      <c r="CL419" s="129">
        <v>11475321.560000001</v>
      </c>
      <c r="CM419" s="129">
        <v>14084438.4</v>
      </c>
      <c r="CN419" s="129">
        <v>19822174.440000001</v>
      </c>
      <c r="CO419" s="129">
        <v>17474729.129999999</v>
      </c>
      <c r="CP419" s="129">
        <v>22265964.400000025</v>
      </c>
      <c r="CQ419" s="129">
        <v>19094094.490000013</v>
      </c>
      <c r="CR419" s="129">
        <v>18385214.360000022</v>
      </c>
      <c r="CS419" s="129">
        <v>21643984.960000031</v>
      </c>
      <c r="CT419" s="130">
        <f>CT379-CT401</f>
        <v>18556002.379327863</v>
      </c>
      <c r="CU419" s="130">
        <f t="shared" ref="CU419:DQ419" si="1376">CU379-CU401</f>
        <v>18711935.172431462</v>
      </c>
      <c r="CV419" s="130">
        <f t="shared" si="1376"/>
        <v>18945834.362086855</v>
      </c>
      <c r="CW419" s="130">
        <f t="shared" si="1376"/>
        <v>19101767.155190453</v>
      </c>
      <c r="CX419" s="130">
        <f t="shared" si="1376"/>
        <v>19335666.344845846</v>
      </c>
      <c r="CY419" s="130">
        <f t="shared" si="1376"/>
        <v>19647531.931053035</v>
      </c>
      <c r="CZ419" s="130">
        <f t="shared" si="1376"/>
        <v>19803464.724156629</v>
      </c>
      <c r="DA419" s="130">
        <f t="shared" si="1376"/>
        <v>20037363.913812023</v>
      </c>
      <c r="DB419" s="130">
        <f t="shared" si="1376"/>
        <v>20193296.706915621</v>
      </c>
      <c r="DC419" s="130">
        <f t="shared" si="1376"/>
        <v>20349229.500019215</v>
      </c>
      <c r="DD419" s="130">
        <f t="shared" si="1376"/>
        <v>20583128.689674608</v>
      </c>
      <c r="DE419" s="130">
        <f t="shared" si="1376"/>
        <v>20894994.275881797</v>
      </c>
      <c r="DF419" s="130">
        <f t="shared" si="1376"/>
        <v>21050927.068985395</v>
      </c>
      <c r="DG419" s="130">
        <f t="shared" si="1376"/>
        <v>21284826.258640788</v>
      </c>
      <c r="DH419" s="130">
        <f t="shared" si="1376"/>
        <v>21440759.051744383</v>
      </c>
      <c r="DI419" s="130">
        <f t="shared" si="1376"/>
        <v>21596691.844847981</v>
      </c>
      <c r="DJ419" s="130">
        <f t="shared" si="1376"/>
        <v>21830591.034503374</v>
      </c>
      <c r="DK419" s="130">
        <f t="shared" si="1376"/>
        <v>22142456.620710563</v>
      </c>
      <c r="DL419" s="130">
        <f t="shared" si="1376"/>
        <v>22220423.017262362</v>
      </c>
      <c r="DM419" s="130">
        <f t="shared" si="1376"/>
        <v>22376355.810365956</v>
      </c>
      <c r="DN419" s="130">
        <f t="shared" si="1376"/>
        <v>22454322.206917755</v>
      </c>
      <c r="DO419" s="130">
        <f t="shared" si="1376"/>
        <v>22532288.603469551</v>
      </c>
      <c r="DP419" s="130">
        <f t="shared" si="1376"/>
        <v>22688221.396573149</v>
      </c>
      <c r="DQ419" s="130">
        <f t="shared" si="1376"/>
        <v>22766187.793124944</v>
      </c>
      <c r="DR419" s="130">
        <f t="shared" ref="DR419:EC419" si="1377">DR379-DR401</f>
        <v>22922120.586228542</v>
      </c>
      <c r="DS419" s="130">
        <f t="shared" si="1377"/>
        <v>23156019.775883935</v>
      </c>
      <c r="DT419" s="130">
        <f t="shared" si="1377"/>
        <v>23311952.56898753</v>
      </c>
      <c r="DU419" s="130">
        <f t="shared" si="1377"/>
        <v>23467885.362091124</v>
      </c>
      <c r="DV419" s="130">
        <f t="shared" si="1377"/>
        <v>23701784.551746521</v>
      </c>
      <c r="DW419" s="130">
        <f t="shared" si="1377"/>
        <v>24013650.13795371</v>
      </c>
      <c r="DX419" s="130">
        <f t="shared" si="1377"/>
        <v>24091616.534505505</v>
      </c>
      <c r="DY419" s="130">
        <f t="shared" si="1377"/>
        <v>24247549.327609103</v>
      </c>
      <c r="DZ419" s="130">
        <f t="shared" si="1377"/>
        <v>24325515.724160902</v>
      </c>
      <c r="EA419" s="130">
        <f t="shared" si="1377"/>
        <v>24403482.120712698</v>
      </c>
      <c r="EB419" s="130">
        <f t="shared" si="1377"/>
        <v>24559414.913816296</v>
      </c>
      <c r="EC419" s="130">
        <f t="shared" si="1377"/>
        <v>24637381.310368091</v>
      </c>
      <c r="ED419" s="113" t="s">
        <v>1</v>
      </c>
    </row>
    <row r="420" spans="1:134" x14ac:dyDescent="0.2">
      <c r="A420" s="114" t="s">
        <v>52</v>
      </c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29"/>
      <c r="AM420" s="129"/>
      <c r="AN420" s="129"/>
      <c r="AO420" s="129"/>
      <c r="AP420" s="129"/>
      <c r="AQ420" s="129"/>
      <c r="AR420" s="129"/>
      <c r="AS420" s="129"/>
      <c r="AT420" s="129"/>
      <c r="AU420" s="129"/>
      <c r="AV420" s="129"/>
      <c r="AW420" s="129"/>
      <c r="AX420" s="129"/>
      <c r="AY420" s="129"/>
      <c r="AZ420" s="129"/>
      <c r="BA420" s="129"/>
      <c r="BB420" s="129"/>
      <c r="BC420" s="129"/>
      <c r="BD420" s="129"/>
      <c r="BE420" s="129"/>
      <c r="BF420" s="129"/>
      <c r="BG420" s="129"/>
      <c r="BH420" s="129"/>
      <c r="BI420" s="129"/>
      <c r="BJ420" s="129"/>
      <c r="BK420" s="129"/>
      <c r="BL420" s="129"/>
      <c r="BM420" s="129"/>
      <c r="BN420" s="129"/>
      <c r="BO420" s="129"/>
      <c r="BP420" s="129"/>
      <c r="BQ420" s="129"/>
      <c r="BR420" s="129"/>
      <c r="BS420" s="129"/>
      <c r="BT420" s="129"/>
      <c r="BU420" s="129"/>
      <c r="BV420" s="129"/>
      <c r="BW420" s="129"/>
      <c r="BX420" s="129"/>
      <c r="BY420" s="129"/>
      <c r="BZ420" s="129"/>
      <c r="CA420" s="129"/>
      <c r="CB420" s="129"/>
      <c r="CC420" s="129"/>
      <c r="CD420" s="129"/>
      <c r="CE420" s="129"/>
      <c r="CF420" s="129"/>
      <c r="CG420" s="129"/>
      <c r="CH420" s="129"/>
      <c r="CI420" s="129"/>
      <c r="CJ420" s="129"/>
      <c r="CK420" s="129"/>
      <c r="CL420" s="129"/>
      <c r="CM420" s="129"/>
      <c r="CN420" s="129">
        <v>2627342</v>
      </c>
      <c r="CO420" s="129">
        <v>2446488</v>
      </c>
      <c r="CP420" s="129">
        <v>3160377</v>
      </c>
      <c r="CQ420" s="129">
        <v>3881565</v>
      </c>
      <c r="CR420" s="129">
        <v>3316295</v>
      </c>
      <c r="CS420" s="129">
        <v>3255428</v>
      </c>
      <c r="CT420" s="130">
        <f>CT380-CT403</f>
        <v>2778966.531005173</v>
      </c>
      <c r="CU420" s="130">
        <f t="shared" ref="CU420:DQ420" si="1378">CU380-CU403</f>
        <v>2720922.0751860761</v>
      </c>
      <c r="CV420" s="130">
        <f t="shared" si="1378"/>
        <v>2714984.6363282464</v>
      </c>
      <c r="CW420" s="130">
        <f t="shared" si="1378"/>
        <v>2941340.1129061743</v>
      </c>
      <c r="CX420" s="130">
        <f t="shared" si="1378"/>
        <v>2625728.8270143736</v>
      </c>
      <c r="CY420" s="130">
        <f t="shared" si="1378"/>
        <v>2436581.7017563274</v>
      </c>
      <c r="CZ420" s="130">
        <f t="shared" si="1378"/>
        <v>3044852.0597252287</v>
      </c>
      <c r="DA420" s="130">
        <f t="shared" si="1378"/>
        <v>2802350.5139000025</v>
      </c>
      <c r="DB420" s="130">
        <f t="shared" si="1378"/>
        <v>3337287.4712808109</v>
      </c>
      <c r="DC420" s="130">
        <f t="shared" si="1378"/>
        <v>3419592.2594715077</v>
      </c>
      <c r="DD420" s="130">
        <f t="shared" si="1378"/>
        <v>3178253.991055123</v>
      </c>
      <c r="DE420" s="130">
        <f t="shared" si="1378"/>
        <v>3700111.4152501407</v>
      </c>
      <c r="DF420" s="130">
        <f t="shared" si="1378"/>
        <v>3391183.146836882</v>
      </c>
      <c r="DG420" s="130">
        <f t="shared" si="1378"/>
        <v>3328727.7190598743</v>
      </c>
      <c r="DH420" s="130">
        <f t="shared" si="1378"/>
        <v>3304219.6755847856</v>
      </c>
      <c r="DI420" s="130">
        <f t="shared" si="1378"/>
        <v>3577704.9559382559</v>
      </c>
      <c r="DJ420" s="130">
        <f t="shared" si="1378"/>
        <v>3187098.2326696552</v>
      </c>
      <c r="DK420" s="130">
        <f t="shared" si="1378"/>
        <v>2950471.2278879234</v>
      </c>
      <c r="DL420" s="130">
        <f t="shared" si="1378"/>
        <v>3675526.210190767</v>
      </c>
      <c r="DM420" s="130">
        <f t="shared" si="1378"/>
        <v>3365005.3936307295</v>
      </c>
      <c r="DN420" s="130">
        <f t="shared" si="1378"/>
        <v>3993816.0508748232</v>
      </c>
      <c r="DO420" s="130">
        <f t="shared" si="1378"/>
        <v>4075384.506064448</v>
      </c>
      <c r="DP420" s="130">
        <f t="shared" si="1378"/>
        <v>3769030.0017871587</v>
      </c>
      <c r="DQ420" s="130">
        <f t="shared" si="1378"/>
        <v>4340169.1716484381</v>
      </c>
      <c r="DR420" s="130">
        <f t="shared" ref="DR420:EC420" si="1379">DR380-DR403</f>
        <v>3864985.3064712896</v>
      </c>
      <c r="DS420" s="130">
        <f t="shared" si="1379"/>
        <v>3790038.6765308622</v>
      </c>
      <c r="DT420" s="130">
        <f t="shared" si="1379"/>
        <v>3759741.2806722517</v>
      </c>
      <c r="DU420" s="130">
        <f t="shared" si="1379"/>
        <v>4069511.4371218691</v>
      </c>
      <c r="DV420" s="130">
        <f t="shared" si="1379"/>
        <v>3620607.3011527751</v>
      </c>
      <c r="DW420" s="130">
        <f t="shared" si="1379"/>
        <v>3346945.578012723</v>
      </c>
      <c r="DX420" s="130">
        <f t="shared" si="1379"/>
        <v>4171403.1034171567</v>
      </c>
      <c r="DY420" s="130">
        <f t="shared" si="1379"/>
        <v>3815742.7859013085</v>
      </c>
      <c r="DZ420" s="130">
        <f t="shared" si="1379"/>
        <v>4529947.2663034108</v>
      </c>
      <c r="EA420" s="130">
        <f t="shared" si="1379"/>
        <v>4621455.7614540868</v>
      </c>
      <c r="EB420" s="130">
        <f t="shared" si="1379"/>
        <v>4270728.0594651783</v>
      </c>
      <c r="EC420" s="130">
        <f t="shared" si="1379"/>
        <v>4918554.7798766075</v>
      </c>
      <c r="ED420" s="113" t="s">
        <v>1</v>
      </c>
    </row>
    <row r="421" spans="1:134" x14ac:dyDescent="0.2">
      <c r="A421" s="114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29"/>
      <c r="AM421" s="129"/>
      <c r="AN421" s="129"/>
      <c r="AO421" s="129"/>
      <c r="AP421" s="129"/>
      <c r="AQ421" s="129"/>
      <c r="AR421" s="129"/>
      <c r="AS421" s="129"/>
      <c r="AT421" s="129"/>
      <c r="AU421" s="129"/>
      <c r="AV421" s="129"/>
      <c r="AW421" s="129"/>
      <c r="AX421" s="129"/>
      <c r="AY421" s="129"/>
      <c r="AZ421" s="129"/>
      <c r="BA421" s="129"/>
      <c r="BB421" s="129"/>
      <c r="BC421" s="129"/>
      <c r="BD421" s="129"/>
      <c r="BE421" s="129"/>
      <c r="BF421" s="129"/>
      <c r="BG421" s="129"/>
      <c r="BH421" s="129"/>
      <c r="BI421" s="129"/>
      <c r="BJ421" s="129"/>
      <c r="BK421" s="129"/>
      <c r="BL421" s="129"/>
      <c r="BM421" s="129"/>
      <c r="BN421" s="129"/>
      <c r="BO421" s="129"/>
      <c r="BP421" s="129"/>
      <c r="BQ421" s="129"/>
      <c r="BR421" s="129"/>
      <c r="BS421" s="129"/>
      <c r="BT421" s="129"/>
      <c r="BU421" s="129"/>
      <c r="BV421" s="129"/>
      <c r="BW421" s="129"/>
      <c r="BX421" s="129"/>
      <c r="BY421" s="129"/>
      <c r="BZ421" s="129"/>
      <c r="CA421" s="129"/>
      <c r="CB421" s="129"/>
      <c r="CC421" s="129"/>
      <c r="CD421" s="129"/>
      <c r="CE421" s="129"/>
      <c r="CF421" s="129"/>
      <c r="CG421" s="129"/>
      <c r="CH421" s="129"/>
      <c r="CI421" s="129"/>
      <c r="CJ421" s="129"/>
      <c r="CK421" s="129"/>
      <c r="CL421" s="129"/>
      <c r="CM421" s="129"/>
      <c r="CN421" s="129"/>
      <c r="CO421" s="129"/>
      <c r="CP421" s="129"/>
      <c r="CQ421" s="129"/>
      <c r="CR421" s="129"/>
      <c r="CS421" s="129"/>
      <c r="CT421" s="115"/>
      <c r="CU421" s="115"/>
      <c r="CV421" s="115"/>
      <c r="CW421" s="115"/>
      <c r="CX421" s="115"/>
      <c r="CY421" s="115"/>
      <c r="CZ421" s="115"/>
      <c r="DA421" s="115"/>
      <c r="DB421" s="115"/>
      <c r="DC421" s="115"/>
      <c r="DD421" s="115"/>
      <c r="DE421" s="115"/>
      <c r="DF421" s="115"/>
      <c r="DG421" s="115"/>
      <c r="DH421" s="115"/>
      <c r="DI421" s="115"/>
      <c r="DJ421" s="115"/>
      <c r="DK421" s="115"/>
      <c r="DL421" s="115"/>
      <c r="DM421" s="115"/>
      <c r="DN421" s="115"/>
      <c r="DO421" s="115"/>
      <c r="DP421" s="115"/>
      <c r="DQ421" s="115"/>
      <c r="DR421" s="115"/>
      <c r="DS421" s="115"/>
      <c r="DT421" s="115"/>
      <c r="DU421" s="115"/>
      <c r="DV421" s="115"/>
      <c r="DW421" s="115"/>
      <c r="DX421" s="115"/>
      <c r="DY421" s="115"/>
      <c r="DZ421" s="115"/>
      <c r="EA421" s="115"/>
      <c r="EB421" s="115"/>
      <c r="EC421" s="645"/>
      <c r="ED421" s="113" t="s">
        <v>1</v>
      </c>
    </row>
    <row r="422" spans="1:134" x14ac:dyDescent="0.2">
      <c r="A422" s="116" t="s">
        <v>192</v>
      </c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31">
        <f>SUM(AB423:AB426)</f>
        <v>8750324.0099999998</v>
      </c>
      <c r="AC422" s="131">
        <f t="shared" ref="AC422:CN422" si="1380">SUM(AC423:AC426)</f>
        <v>8140415</v>
      </c>
      <c r="AD422" s="131">
        <f t="shared" si="1380"/>
        <v>10094689.539999999</v>
      </c>
      <c r="AE422" s="131">
        <f t="shared" si="1380"/>
        <v>12299591.18</v>
      </c>
      <c r="AF422" s="131">
        <f t="shared" si="1380"/>
        <v>12337333.34</v>
      </c>
      <c r="AG422" s="131">
        <f t="shared" si="1380"/>
        <v>17107367.810000002</v>
      </c>
      <c r="AH422" s="131">
        <f t="shared" si="1380"/>
        <v>39258846.43</v>
      </c>
      <c r="AI422" s="131">
        <f t="shared" si="1380"/>
        <v>40562493.959999993</v>
      </c>
      <c r="AJ422" s="131">
        <f t="shared" si="1380"/>
        <v>38993584.859999985</v>
      </c>
      <c r="AK422" s="131">
        <f t="shared" si="1380"/>
        <v>42268739.4500001</v>
      </c>
      <c r="AL422" s="131">
        <f t="shared" si="1380"/>
        <v>22886433.020000014</v>
      </c>
      <c r="AM422" s="131">
        <f t="shared" si="1380"/>
        <v>641146.56000000029</v>
      </c>
      <c r="AN422" s="131">
        <f t="shared" si="1380"/>
        <v>18665020.949999992</v>
      </c>
      <c r="AO422" s="131">
        <f t="shared" si="1380"/>
        <v>28435655.110000081</v>
      </c>
      <c r="AP422" s="131">
        <f t="shared" si="1380"/>
        <v>35188851.360000141</v>
      </c>
      <c r="AQ422" s="131">
        <f t="shared" si="1380"/>
        <v>45729395.140000142</v>
      </c>
      <c r="AR422" s="131">
        <f t="shared" si="1380"/>
        <v>55209029.130000345</v>
      </c>
      <c r="AS422" s="131">
        <f t="shared" si="1380"/>
        <v>79117435.569999859</v>
      </c>
      <c r="AT422" s="131">
        <f t="shared" si="1380"/>
        <v>95371383.069999456</v>
      </c>
      <c r="AU422" s="131">
        <f t="shared" si="1380"/>
        <v>94901986.850002199</v>
      </c>
      <c r="AV422" s="131">
        <f t="shared" si="1380"/>
        <v>103215470.75999631</v>
      </c>
      <c r="AW422" s="131">
        <f t="shared" si="1380"/>
        <v>117567548.69999501</v>
      </c>
      <c r="AX422" s="131">
        <f t="shared" si="1380"/>
        <v>105591158.53999598</v>
      </c>
      <c r="AY422" s="131">
        <f t="shared" si="1380"/>
        <v>130480296.12000482</v>
      </c>
      <c r="AZ422" s="131">
        <f t="shared" si="1380"/>
        <v>158201607.97999009</v>
      </c>
      <c r="BA422" s="131">
        <f t="shared" si="1380"/>
        <v>159553028.52999815</v>
      </c>
      <c r="BB422" s="131">
        <f t="shared" si="1380"/>
        <v>168137980.30000532</v>
      </c>
      <c r="BC422" s="131">
        <f t="shared" si="1380"/>
        <v>161336246.54999974</v>
      </c>
      <c r="BD422" s="131">
        <f t="shared" si="1380"/>
        <v>180420687.47999564</v>
      </c>
      <c r="BE422" s="131">
        <f t="shared" si="1380"/>
        <v>185529494.44999796</v>
      </c>
      <c r="BF422" s="131">
        <f t="shared" si="1380"/>
        <v>224736196.17001384</v>
      </c>
      <c r="BG422" s="131">
        <f t="shared" si="1380"/>
        <v>248782292.71999887</v>
      </c>
      <c r="BH422" s="131">
        <f t="shared" si="1380"/>
        <v>247557445.02000451</v>
      </c>
      <c r="BI422" s="131">
        <f t="shared" si="1380"/>
        <v>311441422.55998045</v>
      </c>
      <c r="BJ422" s="131">
        <f t="shared" si="1380"/>
        <v>331558744.21002549</v>
      </c>
      <c r="BK422" s="131">
        <f t="shared" si="1380"/>
        <v>350281930.3600257</v>
      </c>
      <c r="BL422" s="131">
        <f t="shared" si="1380"/>
        <v>346484331.07003826</v>
      </c>
      <c r="BM422" s="131">
        <f t="shared" si="1380"/>
        <v>306545157.22004133</v>
      </c>
      <c r="BN422" s="131">
        <f t="shared" si="1380"/>
        <v>308769267.2099694</v>
      </c>
      <c r="BO422" s="131">
        <f t="shared" si="1380"/>
        <v>290344775.85003</v>
      </c>
      <c r="BP422" s="131">
        <f t="shared" si="1380"/>
        <v>405567023.63424277</v>
      </c>
      <c r="BQ422" s="131">
        <f t="shared" si="1380"/>
        <v>354593574.22648662</v>
      </c>
      <c r="BR422" s="131">
        <f t="shared" si="1380"/>
        <v>308084399.49705708</v>
      </c>
      <c r="BS422" s="131">
        <f t="shared" si="1380"/>
        <v>277291185.0391472</v>
      </c>
      <c r="BT422" s="131">
        <f t="shared" si="1380"/>
        <v>255819076.21520609</v>
      </c>
      <c r="BU422" s="131">
        <f t="shared" si="1380"/>
        <v>311526758.33302683</v>
      </c>
      <c r="BV422" s="131">
        <f t="shared" si="1380"/>
        <v>326420618.35302848</v>
      </c>
      <c r="BW422" s="131">
        <f t="shared" si="1380"/>
        <v>326496629.66021484</v>
      </c>
      <c r="BX422" s="131">
        <f t="shared" si="1380"/>
        <v>350744461.70504457</v>
      </c>
      <c r="BY422" s="131">
        <f t="shared" si="1380"/>
        <v>333160185.46000946</v>
      </c>
      <c r="BZ422" s="131">
        <f t="shared" si="1380"/>
        <v>281377517.09000254</v>
      </c>
      <c r="CA422" s="131">
        <f t="shared" si="1380"/>
        <v>244627273.66662261</v>
      </c>
      <c r="CB422" s="131">
        <f t="shared" si="1380"/>
        <v>342852578.53159118</v>
      </c>
      <c r="CC422" s="131">
        <f t="shared" si="1380"/>
        <v>336153643.16000497</v>
      </c>
      <c r="CD422" s="131">
        <f t="shared" si="1380"/>
        <v>397865027.3605544</v>
      </c>
      <c r="CE422" s="131">
        <f t="shared" si="1380"/>
        <v>405616041.31032002</v>
      </c>
      <c r="CF422" s="131">
        <f t="shared" si="1380"/>
        <v>390600435.25000298</v>
      </c>
      <c r="CG422" s="131">
        <f t="shared" si="1380"/>
        <v>481705402.32010531</v>
      </c>
      <c r="CH422" s="131">
        <f t="shared" si="1380"/>
        <v>468910081.08013505</v>
      </c>
      <c r="CI422" s="131">
        <f t="shared" si="1380"/>
        <v>446965190.95000333</v>
      </c>
      <c r="CJ422" s="131">
        <f t="shared" si="1380"/>
        <v>458975308.59097791</v>
      </c>
      <c r="CK422" s="131">
        <f t="shared" si="1380"/>
        <v>500345758.40000105</v>
      </c>
      <c r="CL422" s="131">
        <f t="shared" si="1380"/>
        <v>426936181.32000166</v>
      </c>
      <c r="CM422" s="131">
        <f t="shared" si="1380"/>
        <v>402558608.17999738</v>
      </c>
      <c r="CN422" s="131">
        <f t="shared" si="1380"/>
        <v>581342872.76999617</v>
      </c>
      <c r="CO422" s="131">
        <f t="shared" ref="CO422:DQ422" si="1381">SUM(CO423:CO426)</f>
        <v>521224723.14999998</v>
      </c>
      <c r="CP422" s="131">
        <f t="shared" si="1381"/>
        <v>658134670.79999578</v>
      </c>
      <c r="CQ422" s="131">
        <f t="shared" si="1381"/>
        <v>695559945.45999861</v>
      </c>
      <c r="CR422" s="131">
        <f t="shared" si="1381"/>
        <v>672684981.40999508</v>
      </c>
      <c r="CS422" s="131">
        <f t="shared" si="1381"/>
        <v>805316935.8999989</v>
      </c>
      <c r="CT422" s="131">
        <f t="shared" si="1381"/>
        <v>678455992.80867589</v>
      </c>
      <c r="CU422" s="131">
        <f t="shared" si="1381"/>
        <v>664413410.52437353</v>
      </c>
      <c r="CV422" s="131">
        <f t="shared" si="1381"/>
        <v>663028454.80029023</v>
      </c>
      <c r="CW422" s="131">
        <f t="shared" si="1381"/>
        <v>717970649.49884415</v>
      </c>
      <c r="CX422" s="131">
        <f t="shared" si="1381"/>
        <v>641470411.23932433</v>
      </c>
      <c r="CY422" s="131">
        <f t="shared" si="1381"/>
        <v>595664059.00779283</v>
      </c>
      <c r="CZ422" s="131">
        <f t="shared" si="1381"/>
        <v>743244506.80695033</v>
      </c>
      <c r="DA422" s="131">
        <f t="shared" si="1381"/>
        <v>684477954.59742069</v>
      </c>
      <c r="DB422" s="131">
        <f t="shared" si="1381"/>
        <v>814270464.67688215</v>
      </c>
      <c r="DC422" s="131">
        <f t="shared" si="1381"/>
        <v>834271354.9634943</v>
      </c>
      <c r="DD422" s="131">
        <f t="shared" si="1381"/>
        <v>775786970.30562949</v>
      </c>
      <c r="DE422" s="131">
        <f t="shared" si="1381"/>
        <v>902443705.05311847</v>
      </c>
      <c r="DF422" s="131">
        <f t="shared" si="1381"/>
        <v>829666909.23110378</v>
      </c>
      <c r="DG422" s="131">
        <f t="shared" si="1381"/>
        <v>814529289.23039174</v>
      </c>
      <c r="DH422" s="131">
        <f t="shared" si="1381"/>
        <v>808603849.14118779</v>
      </c>
      <c r="DI422" s="131">
        <f t="shared" si="1381"/>
        <v>875160059.25274992</v>
      </c>
      <c r="DJ422" s="131">
        <f t="shared" si="1381"/>
        <v>780205391.31564248</v>
      </c>
      <c r="DK422" s="131">
        <f t="shared" si="1381"/>
        <v>722721445.45172668</v>
      </c>
      <c r="DL422" s="131">
        <f t="shared" si="1381"/>
        <v>899096210.67064154</v>
      </c>
      <c r="DM422" s="131">
        <f t="shared" si="1381"/>
        <v>823603179.24968982</v>
      </c>
      <c r="DN422" s="131">
        <f t="shared" si="1381"/>
        <v>976568200.20624471</v>
      </c>
      <c r="DO422" s="131">
        <f t="shared" si="1381"/>
        <v>996426152.33722782</v>
      </c>
      <c r="DP422" s="131">
        <f t="shared" si="1381"/>
        <v>921946503.31567192</v>
      </c>
      <c r="DQ422" s="131">
        <f t="shared" si="1381"/>
        <v>1060883946.3341253</v>
      </c>
      <c r="DR422" s="131">
        <f t="shared" ref="DR422:EC422" si="1382">SUM(DR423:DR426)</f>
        <v>945339515.98410356</v>
      </c>
      <c r="DS422" s="131">
        <f t="shared" si="1382"/>
        <v>927163630.11164689</v>
      </c>
      <c r="DT422" s="131">
        <f t="shared" si="1382"/>
        <v>919830031.5813067</v>
      </c>
      <c r="DU422" s="131">
        <f t="shared" si="1382"/>
        <v>995211901.48614717</v>
      </c>
      <c r="DV422" s="131">
        <f t="shared" si="1382"/>
        <v>886077410.25407946</v>
      </c>
      <c r="DW422" s="131">
        <f t="shared" si="1382"/>
        <v>819585418.61637306</v>
      </c>
      <c r="DX422" s="131">
        <f t="shared" si="1382"/>
        <v>1020138109.2518356</v>
      </c>
      <c r="DY422" s="131">
        <f t="shared" si="1382"/>
        <v>933665685.8214221</v>
      </c>
      <c r="DZ422" s="131">
        <f t="shared" si="1382"/>
        <v>1107401256.7350147</v>
      </c>
      <c r="EA422" s="131">
        <f t="shared" si="1382"/>
        <v>1129676949.2709913</v>
      </c>
      <c r="EB422" s="131">
        <f t="shared" si="1382"/>
        <v>1044404298.0656905</v>
      </c>
      <c r="EC422" s="131">
        <f t="shared" si="1382"/>
        <v>1201994642.9086406</v>
      </c>
      <c r="ED422" s="113" t="s">
        <v>1</v>
      </c>
    </row>
    <row r="423" spans="1:134" x14ac:dyDescent="0.2">
      <c r="A423" s="114" t="s">
        <v>139</v>
      </c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29">
        <v>4954766</v>
      </c>
      <c r="AC423" s="129">
        <v>4037445</v>
      </c>
      <c r="AD423" s="129">
        <v>5761139.0300000003</v>
      </c>
      <c r="AE423" s="129">
        <v>8536549.3800000008</v>
      </c>
      <c r="AF423" s="129">
        <v>8788025</v>
      </c>
      <c r="AG423" s="129">
        <v>13654613.810000001</v>
      </c>
      <c r="AH423" s="129">
        <v>35751053.020000003</v>
      </c>
      <c r="AI423" s="129">
        <v>37014275.299999997</v>
      </c>
      <c r="AJ423" s="129">
        <v>35108368.859999985</v>
      </c>
      <c r="AK423" s="129">
        <v>37885909.480000101</v>
      </c>
      <c r="AL423" s="129">
        <v>20208108.890000015</v>
      </c>
      <c r="AM423" s="129">
        <v>633752.00000000023</v>
      </c>
      <c r="AN423" s="129">
        <v>14002299.03999999</v>
      </c>
      <c r="AO423" s="129">
        <v>21797668.65000008</v>
      </c>
      <c r="AP423" s="129">
        <v>28089691.960000139</v>
      </c>
      <c r="AQ423" s="129">
        <v>36904755.140000142</v>
      </c>
      <c r="AR423" s="129">
        <v>46828225.990000345</v>
      </c>
      <c r="AS423" s="129">
        <v>70005722.409999847</v>
      </c>
      <c r="AT423" s="129">
        <v>82511797.66999945</v>
      </c>
      <c r="AU423" s="129">
        <v>82412612.100002199</v>
      </c>
      <c r="AV423" s="129">
        <v>90659551.679996312</v>
      </c>
      <c r="AW423" s="129">
        <v>104292087.39999501</v>
      </c>
      <c r="AX423" s="129">
        <v>91697607.559995979</v>
      </c>
      <c r="AY423" s="129">
        <v>114779549.58000481</v>
      </c>
      <c r="AZ423" s="129">
        <v>141253866.80999011</v>
      </c>
      <c r="BA423" s="129">
        <v>139824307.22999817</v>
      </c>
      <c r="BB423" s="129">
        <v>147236054.30000532</v>
      </c>
      <c r="BC423" s="129">
        <v>140388684.34999976</v>
      </c>
      <c r="BD423" s="129">
        <v>160479557.15999565</v>
      </c>
      <c r="BE423" s="129">
        <v>165750313.19999796</v>
      </c>
      <c r="BF423" s="129">
        <v>204553840.08001384</v>
      </c>
      <c r="BG423" s="129">
        <v>226645974.00999886</v>
      </c>
      <c r="BH423" s="129">
        <v>225605764.10000449</v>
      </c>
      <c r="BI423" s="129">
        <v>288574879.72998047</v>
      </c>
      <c r="BJ423" s="129">
        <v>307823119.22002548</v>
      </c>
      <c r="BK423" s="129">
        <v>325375636.16002572</v>
      </c>
      <c r="BL423" s="129">
        <v>320014222.86003822</v>
      </c>
      <c r="BM423" s="129">
        <v>279176345.42004132</v>
      </c>
      <c r="BN423" s="129">
        <v>277612162.89996934</v>
      </c>
      <c r="BO423" s="129">
        <v>262444535.14003003</v>
      </c>
      <c r="BP423" s="129">
        <v>373549623.84254277</v>
      </c>
      <c r="BQ423" s="129">
        <v>330622306.06254625</v>
      </c>
      <c r="BR423" s="129">
        <v>285460500.66609704</v>
      </c>
      <c r="BS423" s="129">
        <v>255910528.12915152</v>
      </c>
      <c r="BT423" s="129">
        <v>233501076.85305086</v>
      </c>
      <c r="BU423" s="129">
        <v>285952174.34305489</v>
      </c>
      <c r="BV423" s="129">
        <v>299349182.23305589</v>
      </c>
      <c r="BW423" s="129">
        <v>298106584.54000413</v>
      </c>
      <c r="BX423" s="129">
        <v>319526357.70000637</v>
      </c>
      <c r="BY423" s="129">
        <v>300803716.71000528</v>
      </c>
      <c r="BZ423" s="129">
        <v>249679942.23000249</v>
      </c>
      <c r="CA423" s="129">
        <v>215871950.76000494</v>
      </c>
      <c r="CB423" s="129">
        <v>309060047.67000377</v>
      </c>
      <c r="CC423" s="129">
        <v>306679232.54000497</v>
      </c>
      <c r="CD423" s="129">
        <v>363292241.72436666</v>
      </c>
      <c r="CE423" s="129">
        <v>371478973.49032009</v>
      </c>
      <c r="CF423" s="129">
        <v>360541591.08000308</v>
      </c>
      <c r="CG423" s="129">
        <v>443450649.13010532</v>
      </c>
      <c r="CH423" s="129">
        <v>433451130.52013505</v>
      </c>
      <c r="CI423" s="129">
        <v>410201462.70000333</v>
      </c>
      <c r="CJ423" s="129">
        <v>424937797.45097804</v>
      </c>
      <c r="CK423" s="129">
        <v>461346477.32000107</v>
      </c>
      <c r="CL423" s="129">
        <v>385800221.89000165</v>
      </c>
      <c r="CM423" s="129">
        <v>363639375.94999743</v>
      </c>
      <c r="CN423" s="129">
        <v>533604676.60999614</v>
      </c>
      <c r="CO423" s="129">
        <v>474687305.93000001</v>
      </c>
      <c r="CP423" s="129">
        <v>601046384.98999572</v>
      </c>
      <c r="CQ423" s="129">
        <v>640903837.67999852</v>
      </c>
      <c r="CR423" s="129">
        <v>620035532.80999506</v>
      </c>
      <c r="CS423" s="129">
        <v>727731828.33999896</v>
      </c>
      <c r="CT423" s="130">
        <f>CT377-CT399</f>
        <v>623316225.19374788</v>
      </c>
      <c r="CU423" s="130">
        <f t="shared" ref="CU423:DQ423" si="1383">CU377-CU399</f>
        <v>608891680.63346696</v>
      </c>
      <c r="CV423" s="130">
        <f t="shared" si="1383"/>
        <v>606852652.25054502</v>
      </c>
      <c r="CW423" s="130">
        <f t="shared" si="1383"/>
        <v>661128484.74072325</v>
      </c>
      <c r="CX423" s="130">
        <f t="shared" si="1383"/>
        <v>584283847.66939878</v>
      </c>
      <c r="CY423" s="130">
        <f t="shared" si="1383"/>
        <v>537786629.09952998</v>
      </c>
      <c r="CZ423" s="130">
        <f t="shared" si="1383"/>
        <v>684318799.80892086</v>
      </c>
      <c r="DA423" s="130">
        <f t="shared" si="1383"/>
        <v>625134739.04751992</v>
      </c>
      <c r="DB423" s="130">
        <f t="shared" si="1383"/>
        <v>753952305.43780303</v>
      </c>
      <c r="DC423" s="130">
        <f t="shared" si="1383"/>
        <v>773430884.20442677</v>
      </c>
      <c r="DD423" s="130">
        <f t="shared" si="1383"/>
        <v>714527827.71728182</v>
      </c>
      <c r="DE423" s="130">
        <f t="shared" si="1383"/>
        <v>839782691.57698047</v>
      </c>
      <c r="DF423" s="130">
        <f t="shared" si="1383"/>
        <v>766874817.29158139</v>
      </c>
      <c r="DG423" s="130">
        <f t="shared" si="1383"/>
        <v>751139642.62094986</v>
      </c>
      <c r="DH423" s="130">
        <f t="shared" si="1383"/>
        <v>744798703.84342337</v>
      </c>
      <c r="DI423" s="130">
        <f t="shared" si="1383"/>
        <v>810641421.94283426</v>
      </c>
      <c r="DJ423" s="130">
        <f t="shared" si="1383"/>
        <v>715417350.6312989</v>
      </c>
      <c r="DK423" s="130">
        <f t="shared" si="1383"/>
        <v>657290018.30856955</v>
      </c>
      <c r="DL423" s="130">
        <f t="shared" si="1383"/>
        <v>832719725.17928278</v>
      </c>
      <c r="DM423" s="130">
        <f t="shared" si="1383"/>
        <v>757097207.8430934</v>
      </c>
      <c r="DN423" s="130">
        <f t="shared" si="1383"/>
        <v>909213414.77650535</v>
      </c>
      <c r="DO423" s="130">
        <f t="shared" si="1383"/>
        <v>928769795.08640003</v>
      </c>
      <c r="DP423" s="130">
        <f t="shared" si="1383"/>
        <v>854156493.83732367</v>
      </c>
      <c r="DQ423" s="130">
        <f t="shared" si="1383"/>
        <v>992302794.32001698</v>
      </c>
      <c r="DR423" s="130">
        <f t="shared" ref="DR423:EC423" si="1384">DR377-DR399</f>
        <v>876793541.10337472</v>
      </c>
      <c r="DS423" s="130">
        <f t="shared" si="1384"/>
        <v>858032591.76316202</v>
      </c>
      <c r="DT423" s="130">
        <f t="shared" si="1384"/>
        <v>850289283.89688277</v>
      </c>
      <c r="DU423" s="130">
        <f t="shared" si="1384"/>
        <v>924921376.91347587</v>
      </c>
      <c r="DV423" s="130">
        <f t="shared" si="1384"/>
        <v>815575779.71968079</v>
      </c>
      <c r="DW423" s="130">
        <f t="shared" si="1384"/>
        <v>748477436.341519</v>
      </c>
      <c r="DX423" s="130">
        <f t="shared" si="1384"/>
        <v>947985666.08567834</v>
      </c>
      <c r="DY423" s="130">
        <f t="shared" si="1384"/>
        <v>861428896.24098301</v>
      </c>
      <c r="DZ423" s="130">
        <f t="shared" si="1384"/>
        <v>1034230259.3082749</v>
      </c>
      <c r="EA423" s="130">
        <f t="shared" si="1384"/>
        <v>1056194439.9832017</v>
      </c>
      <c r="EB423" s="130">
        <f t="shared" si="1384"/>
        <v>970832509.74809217</v>
      </c>
      <c r="EC423" s="130">
        <f t="shared" si="1384"/>
        <v>1127555024.5047319</v>
      </c>
      <c r="ED423" s="113" t="s">
        <v>1</v>
      </c>
    </row>
    <row r="424" spans="1:134" x14ac:dyDescent="0.2">
      <c r="A424" s="114" t="s">
        <v>191</v>
      </c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29">
        <v>3655563.01</v>
      </c>
      <c r="AC424" s="129">
        <v>3972387</v>
      </c>
      <c r="AD424" s="129">
        <v>4122520.4</v>
      </c>
      <c r="AE424" s="129">
        <v>3482649.1</v>
      </c>
      <c r="AF424" s="129">
        <v>3286270</v>
      </c>
      <c r="AG424" s="129">
        <v>3164743</v>
      </c>
      <c r="AH424" s="129">
        <v>3181133</v>
      </c>
      <c r="AI424" s="129">
        <v>3167770</v>
      </c>
      <c r="AJ424" s="129">
        <v>2816768</v>
      </c>
      <c r="AK424" s="129">
        <v>3785862</v>
      </c>
      <c r="AL424" s="129">
        <v>2399609</v>
      </c>
      <c r="AM424" s="129">
        <v>0</v>
      </c>
      <c r="AN424" s="129">
        <v>4316723</v>
      </c>
      <c r="AO424" s="129">
        <v>6004305</v>
      </c>
      <c r="AP424" s="129">
        <v>5531798</v>
      </c>
      <c r="AQ424" s="129">
        <v>6766296</v>
      </c>
      <c r="AR424" s="129">
        <v>6376552</v>
      </c>
      <c r="AS424" s="129">
        <v>6766194</v>
      </c>
      <c r="AT424" s="129">
        <v>9614808</v>
      </c>
      <c r="AU424" s="129">
        <v>9353804</v>
      </c>
      <c r="AV424" s="129">
        <v>9491599</v>
      </c>
      <c r="AW424" s="129">
        <v>8812633</v>
      </c>
      <c r="AX424" s="129">
        <v>10571348</v>
      </c>
      <c r="AY424" s="129">
        <v>12359869</v>
      </c>
      <c r="AZ424" s="129">
        <v>12789191</v>
      </c>
      <c r="BA424" s="129">
        <v>15111163</v>
      </c>
      <c r="BB424" s="129">
        <v>15393068</v>
      </c>
      <c r="BC424" s="129">
        <v>14892958</v>
      </c>
      <c r="BD424" s="129">
        <v>14209739</v>
      </c>
      <c r="BE424" s="129">
        <v>14997847</v>
      </c>
      <c r="BF424" s="129">
        <v>15114599</v>
      </c>
      <c r="BG424" s="129">
        <v>16055224</v>
      </c>
      <c r="BH424" s="129">
        <v>15120818</v>
      </c>
      <c r="BI424" s="129">
        <v>15916436</v>
      </c>
      <c r="BJ424" s="129">
        <v>16455088</v>
      </c>
      <c r="BK424" s="129">
        <v>17261755</v>
      </c>
      <c r="BL424" s="129">
        <v>18137287</v>
      </c>
      <c r="BM424" s="129">
        <v>19516288</v>
      </c>
      <c r="BN424" s="129">
        <v>19725098</v>
      </c>
      <c r="BO424" s="129">
        <v>17099249</v>
      </c>
      <c r="BP424" s="129">
        <v>17511393</v>
      </c>
      <c r="BQ424" s="129">
        <v>14560657</v>
      </c>
      <c r="BR424" s="129">
        <v>14625126</v>
      </c>
      <c r="BS424" s="129">
        <v>14384434</v>
      </c>
      <c r="BT424" s="129">
        <v>14500412</v>
      </c>
      <c r="BU424" s="129">
        <v>16891021</v>
      </c>
      <c r="BV424" s="129">
        <v>17959708</v>
      </c>
      <c r="BW424" s="129">
        <v>19262795</v>
      </c>
      <c r="BX424" s="129">
        <v>20797660</v>
      </c>
      <c r="BY424" s="129">
        <v>22174516.800000001</v>
      </c>
      <c r="BZ424" s="129">
        <v>21618496</v>
      </c>
      <c r="CA424" s="129">
        <v>20817939</v>
      </c>
      <c r="CB424" s="129">
        <v>21207667.68</v>
      </c>
      <c r="CC424" s="129">
        <v>19255836.920000002</v>
      </c>
      <c r="CD424" s="129">
        <v>22400620.879999999</v>
      </c>
      <c r="CE424" s="129">
        <v>21300170.48</v>
      </c>
      <c r="CF424" s="129">
        <v>18619942.399999999</v>
      </c>
      <c r="CG424" s="129">
        <v>24707878.719999999</v>
      </c>
      <c r="CH424" s="129">
        <v>22799477</v>
      </c>
      <c r="CI424" s="129">
        <v>23528850</v>
      </c>
      <c r="CJ424" s="129">
        <v>23644259.399999999</v>
      </c>
      <c r="CK424" s="129">
        <v>26714167.710000001</v>
      </c>
      <c r="CL424" s="129">
        <v>30017121.27</v>
      </c>
      <c r="CM424" s="129">
        <v>25148103.829999998</v>
      </c>
      <c r="CN424" s="129">
        <v>25669120.719999999</v>
      </c>
      <c r="CO424" s="129">
        <v>26616200.09</v>
      </c>
      <c r="CP424" s="129">
        <v>32153333.34</v>
      </c>
      <c r="CQ424" s="129">
        <v>31872046.09</v>
      </c>
      <c r="CR424" s="129">
        <v>31154044.84</v>
      </c>
      <c r="CS424" s="129">
        <v>53076996.660000004</v>
      </c>
      <c r="CT424" s="130">
        <f t="shared" ref="CT424:DQ424" si="1385">CT378-CT400</f>
        <v>33804798.704594932</v>
      </c>
      <c r="CU424" s="130">
        <f t="shared" si="1385"/>
        <v>34088872.643289007</v>
      </c>
      <c r="CV424" s="130">
        <f t="shared" si="1385"/>
        <v>34514983.551330119</v>
      </c>
      <c r="CW424" s="130">
        <f t="shared" si="1385"/>
        <v>34799057.490024194</v>
      </c>
      <c r="CX424" s="130">
        <f t="shared" si="1385"/>
        <v>35225168.398065306</v>
      </c>
      <c r="CY424" s="130">
        <f t="shared" si="1385"/>
        <v>35793316.275453456</v>
      </c>
      <c r="CZ424" s="130">
        <f t="shared" si="1385"/>
        <v>36077390.21414753</v>
      </c>
      <c r="DA424" s="130">
        <f t="shared" si="1385"/>
        <v>36503501.122188643</v>
      </c>
      <c r="DB424" s="130">
        <f t="shared" si="1385"/>
        <v>36787575.060882717</v>
      </c>
      <c r="DC424" s="130">
        <f t="shared" si="1385"/>
        <v>37071648.999576792</v>
      </c>
      <c r="DD424" s="130">
        <f t="shared" si="1385"/>
        <v>37497759.907617904</v>
      </c>
      <c r="DE424" s="130">
        <f t="shared" si="1385"/>
        <v>38065907.785006054</v>
      </c>
      <c r="DF424" s="130">
        <f t="shared" si="1385"/>
        <v>38349981.723700128</v>
      </c>
      <c r="DG424" s="130">
        <f t="shared" si="1385"/>
        <v>38776092.631741241</v>
      </c>
      <c r="DH424" s="130">
        <f t="shared" si="1385"/>
        <v>39060166.570435315</v>
      </c>
      <c r="DI424" s="130">
        <f t="shared" si="1385"/>
        <v>39344240.50912939</v>
      </c>
      <c r="DJ424" s="130">
        <f t="shared" si="1385"/>
        <v>39770351.417170502</v>
      </c>
      <c r="DK424" s="130">
        <f t="shared" si="1385"/>
        <v>40338499.294558659</v>
      </c>
      <c r="DL424" s="130">
        <f t="shared" si="1385"/>
        <v>40480536.263905697</v>
      </c>
      <c r="DM424" s="130">
        <f t="shared" si="1385"/>
        <v>40764610.202599771</v>
      </c>
      <c r="DN424" s="130">
        <f t="shared" si="1385"/>
        <v>40906647.171946809</v>
      </c>
      <c r="DO424" s="130">
        <f t="shared" si="1385"/>
        <v>41048684.141293846</v>
      </c>
      <c r="DP424" s="130">
        <f t="shared" si="1385"/>
        <v>41332758.079987921</v>
      </c>
      <c r="DQ424" s="130">
        <f t="shared" si="1385"/>
        <v>41474795.049334958</v>
      </c>
      <c r="DR424" s="130">
        <f t="shared" ref="DR424:EC424" si="1386">DR378-DR400</f>
        <v>41758868.988029033</v>
      </c>
      <c r="DS424" s="130">
        <f t="shared" si="1386"/>
        <v>42184979.896070145</v>
      </c>
      <c r="DT424" s="130">
        <f t="shared" si="1386"/>
        <v>42469053.83476422</v>
      </c>
      <c r="DU424" s="130">
        <f t="shared" si="1386"/>
        <v>42753127.773458295</v>
      </c>
      <c r="DV424" s="130">
        <f t="shared" si="1386"/>
        <v>43179238.681499407</v>
      </c>
      <c r="DW424" s="130">
        <f t="shared" si="1386"/>
        <v>43747386.558887556</v>
      </c>
      <c r="DX424" s="130">
        <f t="shared" si="1386"/>
        <v>43889423.528234594</v>
      </c>
      <c r="DY424" s="130">
        <f t="shared" si="1386"/>
        <v>44173497.466928668</v>
      </c>
      <c r="DZ424" s="130">
        <f t="shared" si="1386"/>
        <v>44315534.436275706</v>
      </c>
      <c r="EA424" s="130">
        <f t="shared" si="1386"/>
        <v>44457571.405622743</v>
      </c>
      <c r="EB424" s="130">
        <f t="shared" si="1386"/>
        <v>44741645.344316818</v>
      </c>
      <c r="EC424" s="130">
        <f t="shared" si="1386"/>
        <v>44883682.313663855</v>
      </c>
      <c r="ED424" s="113" t="s">
        <v>1</v>
      </c>
    </row>
    <row r="425" spans="1:134" x14ac:dyDescent="0.2">
      <c r="A425" s="114" t="s">
        <v>140</v>
      </c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29">
        <v>139995</v>
      </c>
      <c r="AC425" s="129">
        <v>130583</v>
      </c>
      <c r="AD425" s="129">
        <v>211030.11</v>
      </c>
      <c r="AE425" s="129">
        <v>280392.7</v>
      </c>
      <c r="AF425" s="129">
        <v>263038.33999999997</v>
      </c>
      <c r="AG425" s="129">
        <v>288011</v>
      </c>
      <c r="AH425" s="129">
        <v>326660.40999999997</v>
      </c>
      <c r="AI425" s="129">
        <v>380448.66</v>
      </c>
      <c r="AJ425" s="129">
        <v>1068448.0000000012</v>
      </c>
      <c r="AK425" s="129">
        <v>596967.97</v>
      </c>
      <c r="AL425" s="129">
        <v>278715.12999999995</v>
      </c>
      <c r="AM425" s="129">
        <v>7394.56</v>
      </c>
      <c r="AN425" s="129">
        <v>345998.91</v>
      </c>
      <c r="AO425" s="129">
        <v>633681.45999999985</v>
      </c>
      <c r="AP425" s="129">
        <v>1567361.4</v>
      </c>
      <c r="AQ425" s="129">
        <v>2058344</v>
      </c>
      <c r="AR425" s="129">
        <v>2004251.14</v>
      </c>
      <c r="AS425" s="129">
        <v>2345519.1600000067</v>
      </c>
      <c r="AT425" s="129">
        <v>3244777.4000000134</v>
      </c>
      <c r="AU425" s="129">
        <v>3135570.7500000014</v>
      </c>
      <c r="AV425" s="129">
        <v>3064320.080000001</v>
      </c>
      <c r="AW425" s="129">
        <v>4462828.3</v>
      </c>
      <c r="AX425" s="129">
        <v>3322202.9800000028</v>
      </c>
      <c r="AY425" s="129">
        <v>3340877.5400000005</v>
      </c>
      <c r="AZ425" s="129">
        <v>4158550.1699999981</v>
      </c>
      <c r="BA425" s="129">
        <v>4617558.2999999942</v>
      </c>
      <c r="BB425" s="129">
        <v>5508857.9999999981</v>
      </c>
      <c r="BC425" s="129">
        <v>6054604.1999999993</v>
      </c>
      <c r="BD425" s="129">
        <v>5731391.3199999984</v>
      </c>
      <c r="BE425" s="129">
        <v>4781334.2500000009</v>
      </c>
      <c r="BF425" s="129">
        <v>5067757.09</v>
      </c>
      <c r="BG425" s="129">
        <v>6081094.709999999</v>
      </c>
      <c r="BH425" s="129">
        <v>6830862.9200000018</v>
      </c>
      <c r="BI425" s="129">
        <v>6950106.8299999982</v>
      </c>
      <c r="BJ425" s="129">
        <v>7280536.9900000067</v>
      </c>
      <c r="BK425" s="129">
        <v>7644539.1999999974</v>
      </c>
      <c r="BL425" s="129">
        <v>8332821.2100000205</v>
      </c>
      <c r="BM425" s="129">
        <v>7852523.799999997</v>
      </c>
      <c r="BN425" s="129">
        <v>11432006.310000062</v>
      </c>
      <c r="BO425" s="129">
        <v>10800991.710000001</v>
      </c>
      <c r="BP425" s="129">
        <v>14506006.791699985</v>
      </c>
      <c r="BQ425" s="129">
        <v>9410611.1639403459</v>
      </c>
      <c r="BR425" s="129">
        <v>7998772.8309600148</v>
      </c>
      <c r="BS425" s="129">
        <v>6996222.9099956984</v>
      </c>
      <c r="BT425" s="129">
        <v>7817587.362155214</v>
      </c>
      <c r="BU425" s="129">
        <v>8683562.9899719376</v>
      </c>
      <c r="BV425" s="129">
        <v>9111728.1199725587</v>
      </c>
      <c r="BW425" s="129">
        <v>9127250.1202107016</v>
      </c>
      <c r="BX425" s="129">
        <v>10420444.005038187</v>
      </c>
      <c r="BY425" s="129">
        <v>10181951.950004138</v>
      </c>
      <c r="BZ425" s="129">
        <v>10079078.859999996</v>
      </c>
      <c r="CA425" s="129">
        <v>7937383.9066176694</v>
      </c>
      <c r="CB425" s="129">
        <v>12584863.181587428</v>
      </c>
      <c r="CC425" s="129">
        <v>10218573.700000005</v>
      </c>
      <c r="CD425" s="129">
        <v>12172164.756187756</v>
      </c>
      <c r="CE425" s="129">
        <v>12836897.339999899</v>
      </c>
      <c r="CF425" s="129">
        <v>11438901.769999932</v>
      </c>
      <c r="CG425" s="129">
        <v>13546874.470000001</v>
      </c>
      <c r="CH425" s="129">
        <v>12659473.559999999</v>
      </c>
      <c r="CI425" s="129">
        <v>13234878.249999993</v>
      </c>
      <c r="CJ425" s="129">
        <v>10393251.739999892</v>
      </c>
      <c r="CK425" s="129">
        <v>12285113.369999999</v>
      </c>
      <c r="CL425" s="129">
        <v>11118838.16</v>
      </c>
      <c r="CM425" s="129">
        <v>13771128.4</v>
      </c>
      <c r="CN425" s="129">
        <v>19441733.440000001</v>
      </c>
      <c r="CO425" s="129">
        <v>17474729.129999999</v>
      </c>
      <c r="CP425" s="129">
        <v>21774575.470000025</v>
      </c>
      <c r="CQ425" s="129">
        <v>18902496.690000013</v>
      </c>
      <c r="CR425" s="129">
        <v>18179108.76000002</v>
      </c>
      <c r="CS425" s="129">
        <v>21252682.900000032</v>
      </c>
      <c r="CT425" s="130">
        <f t="shared" ref="CT425:DQ425" si="1387">CT379-CT401</f>
        <v>18556002.379327863</v>
      </c>
      <c r="CU425" s="130">
        <f t="shared" si="1387"/>
        <v>18711935.172431462</v>
      </c>
      <c r="CV425" s="130">
        <f t="shared" si="1387"/>
        <v>18945834.362086855</v>
      </c>
      <c r="CW425" s="130">
        <f t="shared" si="1387"/>
        <v>19101767.155190453</v>
      </c>
      <c r="CX425" s="130">
        <f t="shared" si="1387"/>
        <v>19335666.344845846</v>
      </c>
      <c r="CY425" s="130">
        <f t="shared" si="1387"/>
        <v>19647531.931053035</v>
      </c>
      <c r="CZ425" s="130">
        <f t="shared" si="1387"/>
        <v>19803464.724156629</v>
      </c>
      <c r="DA425" s="130">
        <f t="shared" si="1387"/>
        <v>20037363.913812023</v>
      </c>
      <c r="DB425" s="130">
        <f t="shared" si="1387"/>
        <v>20193296.706915621</v>
      </c>
      <c r="DC425" s="130">
        <f t="shared" si="1387"/>
        <v>20349229.500019215</v>
      </c>
      <c r="DD425" s="130">
        <f t="shared" si="1387"/>
        <v>20583128.689674608</v>
      </c>
      <c r="DE425" s="130">
        <f t="shared" si="1387"/>
        <v>20894994.275881797</v>
      </c>
      <c r="DF425" s="130">
        <f t="shared" si="1387"/>
        <v>21050927.068985395</v>
      </c>
      <c r="DG425" s="130">
        <f t="shared" si="1387"/>
        <v>21284826.258640788</v>
      </c>
      <c r="DH425" s="130">
        <f t="shared" si="1387"/>
        <v>21440759.051744383</v>
      </c>
      <c r="DI425" s="130">
        <f t="shared" si="1387"/>
        <v>21596691.844847981</v>
      </c>
      <c r="DJ425" s="130">
        <f t="shared" si="1387"/>
        <v>21830591.034503374</v>
      </c>
      <c r="DK425" s="130">
        <f t="shared" si="1387"/>
        <v>22142456.620710563</v>
      </c>
      <c r="DL425" s="130">
        <f t="shared" si="1387"/>
        <v>22220423.017262362</v>
      </c>
      <c r="DM425" s="130">
        <f t="shared" si="1387"/>
        <v>22376355.810365956</v>
      </c>
      <c r="DN425" s="130">
        <f t="shared" si="1387"/>
        <v>22454322.206917755</v>
      </c>
      <c r="DO425" s="130">
        <f t="shared" si="1387"/>
        <v>22532288.603469551</v>
      </c>
      <c r="DP425" s="130">
        <f t="shared" si="1387"/>
        <v>22688221.396573149</v>
      </c>
      <c r="DQ425" s="130">
        <f t="shared" si="1387"/>
        <v>22766187.793124944</v>
      </c>
      <c r="DR425" s="130">
        <f t="shared" ref="DR425:EC425" si="1388">DR379-DR401</f>
        <v>22922120.586228542</v>
      </c>
      <c r="DS425" s="130">
        <f t="shared" si="1388"/>
        <v>23156019.775883935</v>
      </c>
      <c r="DT425" s="130">
        <f t="shared" si="1388"/>
        <v>23311952.56898753</v>
      </c>
      <c r="DU425" s="130">
        <f t="shared" si="1388"/>
        <v>23467885.362091124</v>
      </c>
      <c r="DV425" s="130">
        <f t="shared" si="1388"/>
        <v>23701784.551746521</v>
      </c>
      <c r="DW425" s="130">
        <f t="shared" si="1388"/>
        <v>24013650.13795371</v>
      </c>
      <c r="DX425" s="130">
        <f t="shared" si="1388"/>
        <v>24091616.534505505</v>
      </c>
      <c r="DY425" s="130">
        <f t="shared" si="1388"/>
        <v>24247549.327609103</v>
      </c>
      <c r="DZ425" s="130">
        <f t="shared" si="1388"/>
        <v>24325515.724160902</v>
      </c>
      <c r="EA425" s="130">
        <f t="shared" si="1388"/>
        <v>24403482.120712698</v>
      </c>
      <c r="EB425" s="130">
        <f t="shared" si="1388"/>
        <v>24559414.913816296</v>
      </c>
      <c r="EC425" s="130">
        <f t="shared" si="1388"/>
        <v>24637381.310368091</v>
      </c>
      <c r="ED425" s="113" t="s">
        <v>1</v>
      </c>
    </row>
    <row r="426" spans="1:134" x14ac:dyDescent="0.2">
      <c r="A426" s="114" t="s">
        <v>52</v>
      </c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29">
        <f>AB380-AB403</f>
        <v>0</v>
      </c>
      <c r="AC426" s="129">
        <f t="shared" ref="AC426:CN426" si="1389">AC380-AC403</f>
        <v>0</v>
      </c>
      <c r="AD426" s="129">
        <f t="shared" si="1389"/>
        <v>0</v>
      </c>
      <c r="AE426" s="129">
        <f t="shared" si="1389"/>
        <v>0</v>
      </c>
      <c r="AF426" s="129">
        <f t="shared" si="1389"/>
        <v>0</v>
      </c>
      <c r="AG426" s="129">
        <f t="shared" si="1389"/>
        <v>0</v>
      </c>
      <c r="AH426" s="129">
        <f t="shared" si="1389"/>
        <v>0</v>
      </c>
      <c r="AI426" s="129">
        <f t="shared" si="1389"/>
        <v>0</v>
      </c>
      <c r="AJ426" s="129">
        <f t="shared" si="1389"/>
        <v>0</v>
      </c>
      <c r="AK426" s="129">
        <f t="shared" si="1389"/>
        <v>0</v>
      </c>
      <c r="AL426" s="129">
        <f t="shared" si="1389"/>
        <v>0</v>
      </c>
      <c r="AM426" s="129">
        <f t="shared" si="1389"/>
        <v>0</v>
      </c>
      <c r="AN426" s="129">
        <f t="shared" si="1389"/>
        <v>0</v>
      </c>
      <c r="AO426" s="129">
        <f t="shared" si="1389"/>
        <v>0</v>
      </c>
      <c r="AP426" s="129">
        <f t="shared" si="1389"/>
        <v>0</v>
      </c>
      <c r="AQ426" s="129">
        <f t="shared" si="1389"/>
        <v>0</v>
      </c>
      <c r="AR426" s="129">
        <f t="shared" si="1389"/>
        <v>0</v>
      </c>
      <c r="AS426" s="129">
        <f t="shared" si="1389"/>
        <v>0</v>
      </c>
      <c r="AT426" s="129">
        <f t="shared" si="1389"/>
        <v>0</v>
      </c>
      <c r="AU426" s="129">
        <f t="shared" si="1389"/>
        <v>0</v>
      </c>
      <c r="AV426" s="129">
        <f t="shared" si="1389"/>
        <v>0</v>
      </c>
      <c r="AW426" s="129">
        <f t="shared" si="1389"/>
        <v>0</v>
      </c>
      <c r="AX426" s="129">
        <f t="shared" si="1389"/>
        <v>0</v>
      </c>
      <c r="AY426" s="129">
        <f t="shared" si="1389"/>
        <v>0</v>
      </c>
      <c r="AZ426" s="129">
        <f t="shared" si="1389"/>
        <v>0</v>
      </c>
      <c r="BA426" s="129">
        <f t="shared" si="1389"/>
        <v>0</v>
      </c>
      <c r="BB426" s="129">
        <f t="shared" si="1389"/>
        <v>0</v>
      </c>
      <c r="BC426" s="129">
        <f t="shared" si="1389"/>
        <v>0</v>
      </c>
      <c r="BD426" s="129">
        <f t="shared" si="1389"/>
        <v>0</v>
      </c>
      <c r="BE426" s="129">
        <f t="shared" si="1389"/>
        <v>0</v>
      </c>
      <c r="BF426" s="129">
        <f t="shared" si="1389"/>
        <v>0</v>
      </c>
      <c r="BG426" s="129">
        <f t="shared" si="1389"/>
        <v>0</v>
      </c>
      <c r="BH426" s="129">
        <f t="shared" si="1389"/>
        <v>0</v>
      </c>
      <c r="BI426" s="129">
        <f t="shared" si="1389"/>
        <v>0</v>
      </c>
      <c r="BJ426" s="129">
        <f t="shared" si="1389"/>
        <v>0</v>
      </c>
      <c r="BK426" s="129">
        <f t="shared" si="1389"/>
        <v>0</v>
      </c>
      <c r="BL426" s="129">
        <f t="shared" si="1389"/>
        <v>0</v>
      </c>
      <c r="BM426" s="129">
        <f t="shared" si="1389"/>
        <v>0</v>
      </c>
      <c r="BN426" s="129">
        <f t="shared" si="1389"/>
        <v>0</v>
      </c>
      <c r="BO426" s="129">
        <f t="shared" si="1389"/>
        <v>0</v>
      </c>
      <c r="BP426" s="129">
        <f t="shared" si="1389"/>
        <v>0</v>
      </c>
      <c r="BQ426" s="129">
        <f t="shared" si="1389"/>
        <v>0</v>
      </c>
      <c r="BR426" s="129">
        <f t="shared" si="1389"/>
        <v>0</v>
      </c>
      <c r="BS426" s="129">
        <f t="shared" si="1389"/>
        <v>0</v>
      </c>
      <c r="BT426" s="129">
        <f t="shared" si="1389"/>
        <v>0</v>
      </c>
      <c r="BU426" s="129">
        <f t="shared" si="1389"/>
        <v>0</v>
      </c>
      <c r="BV426" s="129">
        <f t="shared" si="1389"/>
        <v>0</v>
      </c>
      <c r="BW426" s="129">
        <f t="shared" si="1389"/>
        <v>0</v>
      </c>
      <c r="BX426" s="129">
        <f t="shared" si="1389"/>
        <v>0</v>
      </c>
      <c r="BY426" s="129">
        <f t="shared" si="1389"/>
        <v>0</v>
      </c>
      <c r="BZ426" s="129">
        <f t="shared" si="1389"/>
        <v>0</v>
      </c>
      <c r="CA426" s="129">
        <f t="shared" si="1389"/>
        <v>0</v>
      </c>
      <c r="CB426" s="129">
        <f t="shared" si="1389"/>
        <v>0</v>
      </c>
      <c r="CC426" s="129">
        <f t="shared" si="1389"/>
        <v>0</v>
      </c>
      <c r="CD426" s="129">
        <f t="shared" si="1389"/>
        <v>0</v>
      </c>
      <c r="CE426" s="129">
        <f t="shared" si="1389"/>
        <v>0</v>
      </c>
      <c r="CF426" s="129">
        <f t="shared" si="1389"/>
        <v>0</v>
      </c>
      <c r="CG426" s="129">
        <f t="shared" si="1389"/>
        <v>0</v>
      </c>
      <c r="CH426" s="129">
        <f t="shared" si="1389"/>
        <v>0</v>
      </c>
      <c r="CI426" s="129">
        <f t="shared" si="1389"/>
        <v>0</v>
      </c>
      <c r="CJ426" s="129">
        <f t="shared" si="1389"/>
        <v>0</v>
      </c>
      <c r="CK426" s="129">
        <f t="shared" si="1389"/>
        <v>0</v>
      </c>
      <c r="CL426" s="129">
        <f t="shared" si="1389"/>
        <v>0</v>
      </c>
      <c r="CM426" s="129">
        <f t="shared" si="1389"/>
        <v>0</v>
      </c>
      <c r="CN426" s="129">
        <f t="shared" si="1389"/>
        <v>2627342</v>
      </c>
      <c r="CO426" s="129">
        <f t="shared" ref="CO426:DQ426" si="1390">CO380-CO403</f>
        <v>2446488</v>
      </c>
      <c r="CP426" s="129">
        <f t="shared" si="1390"/>
        <v>3160377</v>
      </c>
      <c r="CQ426" s="129">
        <f t="shared" si="1390"/>
        <v>3881565</v>
      </c>
      <c r="CR426" s="129">
        <f t="shared" si="1390"/>
        <v>3316295</v>
      </c>
      <c r="CS426" s="129">
        <f t="shared" si="1390"/>
        <v>3255428</v>
      </c>
      <c r="CT426" s="129">
        <f t="shared" si="1390"/>
        <v>2778966.531005173</v>
      </c>
      <c r="CU426" s="129">
        <f t="shared" si="1390"/>
        <v>2720922.0751860761</v>
      </c>
      <c r="CV426" s="129">
        <f t="shared" si="1390"/>
        <v>2714984.6363282464</v>
      </c>
      <c r="CW426" s="129">
        <f t="shared" si="1390"/>
        <v>2941340.1129061743</v>
      </c>
      <c r="CX426" s="129">
        <f t="shared" si="1390"/>
        <v>2625728.8270143736</v>
      </c>
      <c r="CY426" s="129">
        <f t="shared" si="1390"/>
        <v>2436581.7017563274</v>
      </c>
      <c r="CZ426" s="129">
        <f t="shared" si="1390"/>
        <v>3044852.0597252287</v>
      </c>
      <c r="DA426" s="129">
        <f t="shared" si="1390"/>
        <v>2802350.5139000025</v>
      </c>
      <c r="DB426" s="129">
        <f t="shared" si="1390"/>
        <v>3337287.4712808109</v>
      </c>
      <c r="DC426" s="129">
        <f t="shared" si="1390"/>
        <v>3419592.2594715077</v>
      </c>
      <c r="DD426" s="129">
        <f t="shared" si="1390"/>
        <v>3178253.991055123</v>
      </c>
      <c r="DE426" s="129">
        <f t="shared" si="1390"/>
        <v>3700111.4152501407</v>
      </c>
      <c r="DF426" s="129">
        <f t="shared" si="1390"/>
        <v>3391183.146836882</v>
      </c>
      <c r="DG426" s="129">
        <f t="shared" si="1390"/>
        <v>3328727.7190598743</v>
      </c>
      <c r="DH426" s="129">
        <f t="shared" si="1390"/>
        <v>3304219.6755847856</v>
      </c>
      <c r="DI426" s="129">
        <f t="shared" si="1390"/>
        <v>3577704.9559382559</v>
      </c>
      <c r="DJ426" s="129">
        <f t="shared" si="1390"/>
        <v>3187098.2326696552</v>
      </c>
      <c r="DK426" s="129">
        <f t="shared" si="1390"/>
        <v>2950471.2278879234</v>
      </c>
      <c r="DL426" s="129">
        <f t="shared" si="1390"/>
        <v>3675526.210190767</v>
      </c>
      <c r="DM426" s="129">
        <f t="shared" si="1390"/>
        <v>3365005.3936307295</v>
      </c>
      <c r="DN426" s="129">
        <f t="shared" si="1390"/>
        <v>3993816.0508748232</v>
      </c>
      <c r="DO426" s="129">
        <f t="shared" si="1390"/>
        <v>4075384.506064448</v>
      </c>
      <c r="DP426" s="129">
        <f t="shared" si="1390"/>
        <v>3769030.0017871587</v>
      </c>
      <c r="DQ426" s="129">
        <f t="shared" si="1390"/>
        <v>4340169.1716484381</v>
      </c>
      <c r="DR426" s="129">
        <f t="shared" ref="DR426:EC426" si="1391">DR380-DR403</f>
        <v>3864985.3064712896</v>
      </c>
      <c r="DS426" s="129">
        <f t="shared" si="1391"/>
        <v>3790038.6765308622</v>
      </c>
      <c r="DT426" s="129">
        <f t="shared" si="1391"/>
        <v>3759741.2806722517</v>
      </c>
      <c r="DU426" s="129">
        <f t="shared" si="1391"/>
        <v>4069511.4371218691</v>
      </c>
      <c r="DV426" s="129">
        <f t="shared" si="1391"/>
        <v>3620607.3011527751</v>
      </c>
      <c r="DW426" s="129">
        <f t="shared" si="1391"/>
        <v>3346945.578012723</v>
      </c>
      <c r="DX426" s="129">
        <f t="shared" si="1391"/>
        <v>4171403.1034171567</v>
      </c>
      <c r="DY426" s="129">
        <f t="shared" si="1391"/>
        <v>3815742.7859013085</v>
      </c>
      <c r="DZ426" s="129">
        <f t="shared" si="1391"/>
        <v>4529947.2663034108</v>
      </c>
      <c r="EA426" s="129">
        <f t="shared" si="1391"/>
        <v>4621455.7614540868</v>
      </c>
      <c r="EB426" s="129">
        <f t="shared" si="1391"/>
        <v>4270728.0594651783</v>
      </c>
      <c r="EC426" s="129">
        <f t="shared" si="1391"/>
        <v>4918554.7798766075</v>
      </c>
      <c r="ED426" s="113" t="s">
        <v>1</v>
      </c>
    </row>
    <row r="427" spans="1:134" x14ac:dyDescent="0.2">
      <c r="A427" s="114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15"/>
      <c r="AU427" s="115"/>
      <c r="AV427" s="115"/>
      <c r="AW427" s="115"/>
      <c r="AX427" s="115"/>
      <c r="AY427" s="115"/>
      <c r="AZ427" s="115"/>
      <c r="BA427" s="115"/>
      <c r="BB427" s="115"/>
      <c r="BC427" s="115"/>
      <c r="BD427" s="115"/>
      <c r="BE427" s="115"/>
      <c r="BF427" s="115"/>
      <c r="BG427" s="115"/>
      <c r="BH427" s="115"/>
      <c r="BI427" s="115"/>
      <c r="BJ427" s="115"/>
      <c r="BK427" s="115"/>
      <c r="BL427" s="115"/>
      <c r="BM427" s="115"/>
      <c r="BN427" s="115"/>
      <c r="BO427" s="115"/>
      <c r="BP427" s="115"/>
      <c r="BQ427" s="115"/>
      <c r="BR427" s="115"/>
      <c r="BS427" s="115"/>
      <c r="BT427" s="115"/>
      <c r="BU427" s="115"/>
      <c r="BV427" s="115"/>
      <c r="BW427" s="115"/>
      <c r="BX427" s="115"/>
      <c r="BY427" s="115"/>
      <c r="BZ427" s="115"/>
      <c r="CA427" s="115"/>
      <c r="CB427" s="115"/>
      <c r="CC427" s="115"/>
      <c r="CD427" s="115"/>
      <c r="CE427" s="115"/>
      <c r="CF427" s="115"/>
      <c r="CG427" s="115"/>
      <c r="CH427" s="115"/>
      <c r="CI427" s="115"/>
      <c r="CJ427" s="115"/>
      <c r="CK427" s="115"/>
      <c r="CL427" s="115"/>
      <c r="CM427" s="115"/>
      <c r="CN427" s="115"/>
      <c r="CO427" s="115"/>
      <c r="CP427" s="115"/>
      <c r="CQ427" s="115"/>
      <c r="CR427" s="115"/>
      <c r="CS427" s="115"/>
      <c r="CT427" s="115"/>
      <c r="CU427" s="115"/>
      <c r="CV427" s="115"/>
      <c r="CW427" s="115"/>
      <c r="CX427" s="115"/>
      <c r="CY427" s="115"/>
      <c r="CZ427" s="115"/>
      <c r="DA427" s="115"/>
      <c r="DB427" s="115"/>
      <c r="DC427" s="115"/>
      <c r="DD427" s="115"/>
      <c r="DE427" s="115"/>
      <c r="DF427" s="115"/>
      <c r="DG427" s="115"/>
      <c r="DH427" s="115"/>
      <c r="DI427" s="115"/>
      <c r="DJ427" s="115"/>
      <c r="DK427" s="115"/>
      <c r="DL427" s="115"/>
      <c r="DM427" s="115"/>
      <c r="DN427" s="115"/>
      <c r="DO427" s="115"/>
      <c r="DP427" s="115"/>
      <c r="DQ427" s="115"/>
      <c r="DR427" s="115"/>
      <c r="DS427" s="115"/>
      <c r="DT427" s="115"/>
      <c r="DU427" s="115"/>
      <c r="DV427" s="115"/>
      <c r="DW427" s="115"/>
      <c r="DX427" s="115"/>
      <c r="DY427" s="115"/>
      <c r="DZ427" s="115"/>
      <c r="EA427" s="115"/>
      <c r="EB427" s="115"/>
      <c r="EC427" s="645"/>
      <c r="ED427" s="113" t="s">
        <v>1</v>
      </c>
    </row>
    <row r="428" spans="1:134" x14ac:dyDescent="0.2">
      <c r="A428" s="116" t="s">
        <v>193</v>
      </c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31">
        <f>SUM(AB429:AB431)</f>
        <v>0</v>
      </c>
      <c r="AC428" s="131">
        <f t="shared" ref="AC428" si="1392">SUM(AC429:AC431)</f>
        <v>0</v>
      </c>
      <c r="AD428" s="131">
        <f t="shared" ref="AD428" si="1393">SUM(AD429:AD431)</f>
        <v>34000</v>
      </c>
      <c r="AE428" s="131">
        <f t="shared" ref="AE428" si="1394">SUM(AE429:AE431)</f>
        <v>143839.02000000002</v>
      </c>
      <c r="AF428" s="131">
        <f t="shared" ref="AF428" si="1395">SUM(AF429:AF431)</f>
        <v>455005.03</v>
      </c>
      <c r="AG428" s="131">
        <f t="shared" ref="AG428" si="1396">SUM(AG429:AG431)</f>
        <v>1108768.19</v>
      </c>
      <c r="AH428" s="131">
        <f t="shared" ref="AH428" si="1397">SUM(AH429:AH431)</f>
        <v>1869292.08</v>
      </c>
      <c r="AI428" s="131">
        <f t="shared" ref="AI428" si="1398">SUM(AI429:AI431)</f>
        <v>1676354.06</v>
      </c>
      <c r="AJ428" s="131">
        <f t="shared" ref="AJ428" si="1399">SUM(AJ429:AJ431)</f>
        <v>2176097.09</v>
      </c>
      <c r="AK428" s="131">
        <f t="shared" ref="AK428" si="1400">SUM(AK429:AK431)</f>
        <v>3753712</v>
      </c>
      <c r="AL428" s="131">
        <f t="shared" ref="AL428" si="1401">SUM(AL429:AL431)</f>
        <v>3479045</v>
      </c>
      <c r="AM428" s="131">
        <f t="shared" ref="AM428" si="1402">SUM(AM429:AM431)</f>
        <v>19727</v>
      </c>
      <c r="AN428" s="131">
        <f t="shared" ref="AN428" si="1403">SUM(AN429:AN431)</f>
        <v>1193618</v>
      </c>
      <c r="AO428" s="131">
        <f t="shared" ref="AO428" si="1404">SUM(AO429:AO431)</f>
        <v>1202998</v>
      </c>
      <c r="AP428" s="131">
        <f t="shared" ref="AP428" si="1405">SUM(AP429:AP431)</f>
        <v>2186385.88</v>
      </c>
      <c r="AQ428" s="131">
        <f t="shared" ref="AQ428" si="1406">SUM(AQ429:AQ431)</f>
        <v>4612134</v>
      </c>
      <c r="AR428" s="131">
        <f t="shared" ref="AR428" si="1407">SUM(AR429:AR431)</f>
        <v>5930419.2000000002</v>
      </c>
      <c r="AS428" s="131">
        <f t="shared" ref="AS428" si="1408">SUM(AS429:AS431)</f>
        <v>6304936.2000000002</v>
      </c>
      <c r="AT428" s="131">
        <f t="shared" ref="AT428" si="1409">SUM(AT429:AT431)</f>
        <v>8011516.9400000004</v>
      </c>
      <c r="AU428" s="131">
        <f t="shared" ref="AU428" si="1410">SUM(AU429:AU431)</f>
        <v>6453606</v>
      </c>
      <c r="AV428" s="131">
        <f t="shared" ref="AV428" si="1411">SUM(AV429:AV431)</f>
        <v>5908259.1600000001</v>
      </c>
      <c r="AW428" s="131">
        <f t="shared" ref="AW428" si="1412">SUM(AW429:AW431)</f>
        <v>4597164.2200000007</v>
      </c>
      <c r="AX428" s="131">
        <f t="shared" ref="AX428" si="1413">SUM(AX429:AX431)</f>
        <v>4231905.7300000004</v>
      </c>
      <c r="AY428" s="131">
        <f t="shared" ref="AY428" si="1414">SUM(AY429:AY431)</f>
        <v>3128367.6999999997</v>
      </c>
      <c r="AZ428" s="131">
        <f t="shared" ref="AZ428" si="1415">SUM(AZ429:AZ431)</f>
        <v>822516.16</v>
      </c>
      <c r="BA428" s="131">
        <f t="shared" ref="BA428" si="1416">SUM(BA429:BA431)</f>
        <v>4784449.88</v>
      </c>
      <c r="BB428" s="131">
        <f t="shared" ref="BB428" si="1417">SUM(BB429:BB431)</f>
        <v>3572158.82</v>
      </c>
      <c r="BC428" s="131">
        <f t="shared" ref="BC428" si="1418">SUM(BC429:BC431)</f>
        <v>3793643.31</v>
      </c>
      <c r="BD428" s="131">
        <f t="shared" ref="BD428" si="1419">SUM(BD429:BD431)</f>
        <v>2538226</v>
      </c>
      <c r="BE428" s="131">
        <f t="shared" ref="BE428" si="1420">SUM(BE429:BE431)</f>
        <v>3541485.2199999997</v>
      </c>
      <c r="BF428" s="131">
        <f t="shared" ref="BF428" si="1421">SUM(BF429:BF431)</f>
        <v>3462354</v>
      </c>
      <c r="BG428" s="131">
        <f t="shared" ref="BG428" si="1422">SUM(BG429:BG431)</f>
        <v>1952237.4</v>
      </c>
      <c r="BH428" s="131">
        <f t="shared" ref="BH428" si="1423">SUM(BH429:BH431)</f>
        <v>1216598</v>
      </c>
      <c r="BI428" s="131">
        <f t="shared" ref="BI428" si="1424">SUM(BI429:BI431)</f>
        <v>2039388.59</v>
      </c>
      <c r="BJ428" s="131">
        <f t="shared" ref="BJ428" si="1425">SUM(BJ429:BJ431)</f>
        <v>3117830.7395000001</v>
      </c>
      <c r="BK428" s="131">
        <f t="shared" ref="BK428" si="1426">SUM(BK429:BK431)</f>
        <v>3706321.8</v>
      </c>
      <c r="BL428" s="131">
        <f t="shared" ref="BL428" si="1427">SUM(BL429:BL431)</f>
        <v>1674611.4</v>
      </c>
      <c r="BM428" s="131">
        <f t="shared" ref="BM428" si="1428">SUM(BM429:BM431)</f>
        <v>664827</v>
      </c>
      <c r="BN428" s="131">
        <f t="shared" ref="BN428" si="1429">SUM(BN429:BN431)</f>
        <v>629028.55200000014</v>
      </c>
      <c r="BO428" s="131">
        <f t="shared" ref="BO428" si="1430">SUM(BO429:BO431)</f>
        <v>128462.32035999997</v>
      </c>
      <c r="BP428" s="131">
        <f t="shared" ref="BP428" si="1431">SUM(BP429:BP431)</f>
        <v>5055700.13</v>
      </c>
      <c r="BQ428" s="131">
        <f t="shared" ref="BQ428" si="1432">SUM(BQ429:BQ431)</f>
        <v>3934793</v>
      </c>
      <c r="BR428" s="131">
        <f t="shared" ref="BR428" si="1433">SUM(BR429:BR431)</f>
        <v>2881110</v>
      </c>
      <c r="BS428" s="131">
        <f t="shared" ref="BS428" si="1434">SUM(BS429:BS431)</f>
        <v>3980039</v>
      </c>
      <c r="BT428" s="131">
        <f t="shared" ref="BT428" si="1435">SUM(BT429:BT431)</f>
        <v>4018281</v>
      </c>
      <c r="BU428" s="131">
        <f t="shared" ref="BU428" si="1436">SUM(BU429:BU431)</f>
        <v>1231576</v>
      </c>
      <c r="BV428" s="131">
        <f t="shared" ref="BV428" si="1437">SUM(BV429:BV431)</f>
        <v>4028441</v>
      </c>
      <c r="BW428" s="131">
        <f t="shared" ref="BW428" si="1438">SUM(BW429:BW431)</f>
        <v>4754144</v>
      </c>
      <c r="BX428" s="131">
        <f t="shared" ref="BX428" si="1439">SUM(BX429:BX431)</f>
        <v>3823162</v>
      </c>
      <c r="BY428" s="131">
        <f t="shared" ref="BY428" si="1440">SUM(BY429:BY431)</f>
        <v>2938005</v>
      </c>
      <c r="BZ428" s="131">
        <f t="shared" ref="BZ428" si="1441">SUM(BZ429:BZ431)</f>
        <v>5184385</v>
      </c>
      <c r="CA428" s="131">
        <f t="shared" ref="CA428" si="1442">SUM(CA429:CA431)</f>
        <v>1945116</v>
      </c>
      <c r="CB428" s="131">
        <f t="shared" ref="CB428" si="1443">SUM(CB429:CB431)</f>
        <v>4668694</v>
      </c>
      <c r="CC428" s="131">
        <f t="shared" ref="CC428" si="1444">SUM(CC429:CC431)</f>
        <v>2635017</v>
      </c>
      <c r="CD428" s="131">
        <f t="shared" ref="CD428" si="1445">SUM(CD429:CD431)</f>
        <v>4778641</v>
      </c>
      <c r="CE428" s="131">
        <f t="shared" ref="CE428" si="1446">SUM(CE429:CE431)</f>
        <v>8073490</v>
      </c>
      <c r="CF428" s="131">
        <f t="shared" ref="CF428" si="1447">SUM(CF429:CF431)</f>
        <v>104367</v>
      </c>
      <c r="CG428" s="131">
        <f t="shared" ref="CG428" si="1448">SUM(CG429:CG431)</f>
        <v>6549470</v>
      </c>
      <c r="CH428" s="131">
        <f t="shared" ref="CH428" si="1449">SUM(CH429:CH431)</f>
        <v>5982174</v>
      </c>
      <c r="CI428" s="131">
        <f t="shared" ref="CI428" si="1450">SUM(CI429:CI431)</f>
        <v>8068679.6399999997</v>
      </c>
      <c r="CJ428" s="131">
        <f t="shared" ref="CJ428" si="1451">SUM(CJ429:CJ431)</f>
        <v>6665821</v>
      </c>
      <c r="CK428" s="131">
        <f t="shared" ref="CK428" si="1452">SUM(CK429:CK431)</f>
        <v>10910627.880000001</v>
      </c>
      <c r="CL428" s="131">
        <f t="shared" ref="CL428" si="1453">SUM(CL429:CL431)</f>
        <v>7110959.4000000004</v>
      </c>
      <c r="CM428" s="131">
        <f t="shared" ref="CM428" si="1454">SUM(CM429:CM431)</f>
        <v>4530201</v>
      </c>
      <c r="CN428" s="131">
        <f t="shared" ref="CN428" si="1455">SUM(CN429:CN431)</f>
        <v>11495266</v>
      </c>
      <c r="CO428" s="131">
        <f t="shared" ref="CO428" si="1456">SUM(CO429:CO431)</f>
        <v>9610320</v>
      </c>
      <c r="CP428" s="131">
        <f t="shared" ref="CP428" si="1457">SUM(CP429:CP431)</f>
        <v>5114786.93</v>
      </c>
      <c r="CQ428" s="131">
        <f t="shared" ref="CQ428" si="1458">SUM(CQ429:CQ431)</f>
        <v>6467648.7999999998</v>
      </c>
      <c r="CR428" s="131">
        <f t="shared" ref="CR428" si="1459">SUM(CR429:CR431)</f>
        <v>6042164.5999999996</v>
      </c>
      <c r="CS428" s="131">
        <f t="shared" ref="CS428:DQ428" si="1460">SUM(CS429:CS431)</f>
        <v>9174228.0600000005</v>
      </c>
      <c r="CT428" s="131">
        <f t="shared" si="1460"/>
        <v>8030880.2331605237</v>
      </c>
      <c r="CU428" s="131">
        <f t="shared" si="1460"/>
        <v>7845032.6888494566</v>
      </c>
      <c r="CV428" s="131">
        <f t="shared" si="1460"/>
        <v>7818761.6051308028</v>
      </c>
      <c r="CW428" s="131">
        <f t="shared" si="1460"/>
        <v>8518057.8734867498</v>
      </c>
      <c r="CX428" s="131">
        <f t="shared" si="1460"/>
        <v>7527982.4479855606</v>
      </c>
      <c r="CY428" s="131">
        <f t="shared" si="1460"/>
        <v>6928906.764701955</v>
      </c>
      <c r="CZ428" s="131">
        <f t="shared" si="1460"/>
        <v>8816844.6455205828</v>
      </c>
      <c r="DA428" s="131">
        <f t="shared" si="1460"/>
        <v>8054310.1815104932</v>
      </c>
      <c r="DB428" s="131">
        <f t="shared" si="1460"/>
        <v>9714010.9975545574</v>
      </c>
      <c r="DC428" s="131">
        <f t="shared" si="1460"/>
        <v>9964975.3184950482</v>
      </c>
      <c r="DD428" s="131">
        <f t="shared" si="1460"/>
        <v>9206061.3469097391</v>
      </c>
      <c r="DE428" s="131">
        <f t="shared" si="1460"/>
        <v>10819859.880656227</v>
      </c>
      <c r="DF428" s="131">
        <f t="shared" si="1460"/>
        <v>9948306.4243979417</v>
      </c>
      <c r="DG428" s="131">
        <f t="shared" si="1460"/>
        <v>9744181.4019885175</v>
      </c>
      <c r="DH428" s="131">
        <f t="shared" si="1460"/>
        <v>9661923.384702241</v>
      </c>
      <c r="DI428" s="131">
        <f t="shared" si="1460"/>
        <v>10516070.007721599</v>
      </c>
      <c r="DJ428" s="131">
        <f t="shared" si="1460"/>
        <v>9280772.9044322055</v>
      </c>
      <c r="DK428" s="131">
        <f t="shared" si="1460"/>
        <v>8526714.3533617333</v>
      </c>
      <c r="DL428" s="131">
        <f t="shared" si="1460"/>
        <v>10802481.454511167</v>
      </c>
      <c r="DM428" s="131">
        <f t="shared" si="1460"/>
        <v>9821466.0944009516</v>
      </c>
      <c r="DN428" s="131">
        <f t="shared" si="1460"/>
        <v>11794798.122743355</v>
      </c>
      <c r="DO428" s="131">
        <f t="shared" si="1460"/>
        <v>12048493.849201044</v>
      </c>
      <c r="DP428" s="131">
        <f t="shared" si="1460"/>
        <v>11080570.574861087</v>
      </c>
      <c r="DQ428" s="131">
        <f t="shared" si="1460"/>
        <v>12872677.575391583</v>
      </c>
      <c r="DR428" s="131">
        <f t="shared" ref="DR428:EC428" si="1461">SUM(DR429:DR431)</f>
        <v>11374230.345228314</v>
      </c>
      <c r="DS428" s="131">
        <f t="shared" si="1461"/>
        <v>11130853.370733038</v>
      </c>
      <c r="DT428" s="131">
        <f t="shared" si="1461"/>
        <v>11030403.078644613</v>
      </c>
      <c r="DU428" s="131">
        <f t="shared" si="1461"/>
        <v>11998570.129748782</v>
      </c>
      <c r="DV428" s="131">
        <f t="shared" si="1461"/>
        <v>10580081.111052714</v>
      </c>
      <c r="DW428" s="131">
        <f t="shared" si="1461"/>
        <v>9709645.8516802285</v>
      </c>
      <c r="DX428" s="131">
        <f t="shared" si="1461"/>
        <v>12297772.308477715</v>
      </c>
      <c r="DY428" s="131">
        <f t="shared" si="1461"/>
        <v>11174912.031800106</v>
      </c>
      <c r="DZ428" s="131">
        <f t="shared" si="1461"/>
        <v>13416582.86462057</v>
      </c>
      <c r="EA428" s="131">
        <f t="shared" si="1461"/>
        <v>13701513.853079319</v>
      </c>
      <c r="EB428" s="131">
        <f t="shared" si="1461"/>
        <v>12594153.668849843</v>
      </c>
      <c r="EC428" s="131">
        <f t="shared" si="1461"/>
        <v>14627241.162722353</v>
      </c>
      <c r="ED428" s="113" t="s">
        <v>1</v>
      </c>
    </row>
    <row r="429" spans="1:134" x14ac:dyDescent="0.2">
      <c r="A429" s="114" t="s">
        <v>139</v>
      </c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29">
        <v>0</v>
      </c>
      <c r="AC429" s="129">
        <v>0</v>
      </c>
      <c r="AD429" s="129">
        <v>34000</v>
      </c>
      <c r="AE429" s="129">
        <v>143839.02000000002</v>
      </c>
      <c r="AF429" s="129">
        <v>455005.03</v>
      </c>
      <c r="AG429" s="129">
        <v>1108768.19</v>
      </c>
      <c r="AH429" s="129">
        <v>1869292.08</v>
      </c>
      <c r="AI429" s="129">
        <v>1676354.06</v>
      </c>
      <c r="AJ429" s="129">
        <v>2176097.09</v>
      </c>
      <c r="AK429" s="129">
        <v>3617806</v>
      </c>
      <c r="AL429" s="129">
        <v>3402616</v>
      </c>
      <c r="AM429" s="129">
        <v>19727</v>
      </c>
      <c r="AN429" s="129">
        <v>1158216</v>
      </c>
      <c r="AO429" s="129">
        <v>1145948</v>
      </c>
      <c r="AP429" s="129">
        <v>2061491</v>
      </c>
      <c r="AQ429" s="129">
        <v>4363324</v>
      </c>
      <c r="AR429" s="129">
        <v>5632900</v>
      </c>
      <c r="AS429" s="129">
        <v>6102328</v>
      </c>
      <c r="AT429" s="129">
        <v>7553059</v>
      </c>
      <c r="AU429" s="129">
        <v>5898139</v>
      </c>
      <c r="AV429" s="129">
        <v>5456748</v>
      </c>
      <c r="AW429" s="129">
        <v>4313247.2200000007</v>
      </c>
      <c r="AX429" s="129">
        <v>3682681.73</v>
      </c>
      <c r="AY429" s="129">
        <v>2670447.0599999996</v>
      </c>
      <c r="AZ429" s="129">
        <v>634383.76</v>
      </c>
      <c r="BA429" s="129">
        <v>4719185</v>
      </c>
      <c r="BB429" s="129">
        <v>3050782.9</v>
      </c>
      <c r="BC429" s="129">
        <v>3718284</v>
      </c>
      <c r="BD429" s="129">
        <v>2473023</v>
      </c>
      <c r="BE429" s="129">
        <v>3447822.2199999997</v>
      </c>
      <c r="BF429" s="129">
        <v>3432141</v>
      </c>
      <c r="BG429" s="129">
        <v>1842725</v>
      </c>
      <c r="BH429" s="129">
        <v>1216598</v>
      </c>
      <c r="BI429" s="129">
        <v>2005479</v>
      </c>
      <c r="BJ429" s="129">
        <v>3048821</v>
      </c>
      <c r="BK429" s="129">
        <v>3646130</v>
      </c>
      <c r="BL429" s="129">
        <v>1674849</v>
      </c>
      <c r="BM429" s="129">
        <v>664827</v>
      </c>
      <c r="BN429" s="129">
        <v>536423</v>
      </c>
      <c r="BO429" s="129">
        <v>17812</v>
      </c>
      <c r="BP429" s="129">
        <v>4969647</v>
      </c>
      <c r="BQ429" s="129">
        <v>3934793</v>
      </c>
      <c r="BR429" s="129">
        <v>2881110</v>
      </c>
      <c r="BS429" s="129">
        <v>3980039</v>
      </c>
      <c r="BT429" s="129">
        <v>4018281</v>
      </c>
      <c r="BU429" s="129">
        <v>1231576</v>
      </c>
      <c r="BV429" s="129">
        <v>4028441</v>
      </c>
      <c r="BW429" s="129">
        <v>4754144</v>
      </c>
      <c r="BX429" s="129">
        <v>3823162</v>
      </c>
      <c r="BY429" s="129">
        <v>2938005</v>
      </c>
      <c r="BZ429" s="129">
        <v>5184385</v>
      </c>
      <c r="CA429" s="129">
        <v>1945116</v>
      </c>
      <c r="CB429" s="129">
        <v>4668694</v>
      </c>
      <c r="CC429" s="129">
        <v>2635017</v>
      </c>
      <c r="CD429" s="129">
        <v>4778641</v>
      </c>
      <c r="CE429" s="129">
        <v>8073490</v>
      </c>
      <c r="CF429" s="129">
        <v>-130147</v>
      </c>
      <c r="CG429" s="129">
        <v>6549470</v>
      </c>
      <c r="CH429" s="129">
        <v>5982174</v>
      </c>
      <c r="CI429" s="129">
        <v>7782363</v>
      </c>
      <c r="CJ429" s="129">
        <v>6591536</v>
      </c>
      <c r="CK429" s="129">
        <v>10506720</v>
      </c>
      <c r="CL429" s="129">
        <v>6754476</v>
      </c>
      <c r="CM429" s="129">
        <v>4216891</v>
      </c>
      <c r="CN429" s="129">
        <v>11114825</v>
      </c>
      <c r="CO429" s="129">
        <v>9610320</v>
      </c>
      <c r="CP429" s="129">
        <v>4623398</v>
      </c>
      <c r="CQ429" s="129">
        <v>6276051</v>
      </c>
      <c r="CR429" s="129">
        <v>5836059</v>
      </c>
      <c r="CS429" s="129">
        <v>8782926</v>
      </c>
      <c r="CT429" s="130">
        <f>CT392-CT405</f>
        <v>8030880.2331605237</v>
      </c>
      <c r="CU429" s="130">
        <f t="shared" ref="CU429:DQ429" si="1462">CU392-CU405</f>
        <v>7845032.6888494566</v>
      </c>
      <c r="CV429" s="130">
        <f t="shared" si="1462"/>
        <v>7818761.6051308028</v>
      </c>
      <c r="CW429" s="130">
        <f t="shared" si="1462"/>
        <v>8518057.8734867498</v>
      </c>
      <c r="CX429" s="130">
        <f t="shared" si="1462"/>
        <v>7527982.4479855606</v>
      </c>
      <c r="CY429" s="130">
        <f t="shared" si="1462"/>
        <v>6928906.764701955</v>
      </c>
      <c r="CZ429" s="130">
        <f t="shared" si="1462"/>
        <v>8816844.6455205828</v>
      </c>
      <c r="DA429" s="130">
        <f t="shared" si="1462"/>
        <v>8054310.1815104932</v>
      </c>
      <c r="DB429" s="130">
        <f t="shared" si="1462"/>
        <v>9714010.9975545574</v>
      </c>
      <c r="DC429" s="130">
        <f t="shared" si="1462"/>
        <v>9964975.3184950482</v>
      </c>
      <c r="DD429" s="130">
        <f t="shared" si="1462"/>
        <v>9206061.3469097391</v>
      </c>
      <c r="DE429" s="130">
        <f t="shared" si="1462"/>
        <v>10819859.880656227</v>
      </c>
      <c r="DF429" s="130">
        <f t="shared" si="1462"/>
        <v>9948306.4243979417</v>
      </c>
      <c r="DG429" s="130">
        <f t="shared" si="1462"/>
        <v>9744181.4019885175</v>
      </c>
      <c r="DH429" s="130">
        <f t="shared" si="1462"/>
        <v>9661923.384702241</v>
      </c>
      <c r="DI429" s="130">
        <f t="shared" si="1462"/>
        <v>10516070.007721599</v>
      </c>
      <c r="DJ429" s="130">
        <f t="shared" si="1462"/>
        <v>9280772.9044322055</v>
      </c>
      <c r="DK429" s="130">
        <f t="shared" si="1462"/>
        <v>8526714.3533617333</v>
      </c>
      <c r="DL429" s="130">
        <f t="shared" si="1462"/>
        <v>10802481.454511167</v>
      </c>
      <c r="DM429" s="130">
        <f t="shared" si="1462"/>
        <v>9821466.0944009516</v>
      </c>
      <c r="DN429" s="130">
        <f t="shared" si="1462"/>
        <v>11794798.122743355</v>
      </c>
      <c r="DO429" s="130">
        <f t="shared" si="1462"/>
        <v>12048493.849201044</v>
      </c>
      <c r="DP429" s="130">
        <f t="shared" si="1462"/>
        <v>11080570.574861087</v>
      </c>
      <c r="DQ429" s="130">
        <f t="shared" si="1462"/>
        <v>12872677.575391583</v>
      </c>
      <c r="DR429" s="130">
        <f t="shared" ref="DR429:EC429" si="1463">DR392-DR405</f>
        <v>11374230.345228314</v>
      </c>
      <c r="DS429" s="130">
        <f t="shared" si="1463"/>
        <v>11130853.370733038</v>
      </c>
      <c r="DT429" s="130">
        <f t="shared" si="1463"/>
        <v>11030403.078644613</v>
      </c>
      <c r="DU429" s="130">
        <f t="shared" si="1463"/>
        <v>11998570.129748782</v>
      </c>
      <c r="DV429" s="130">
        <f t="shared" si="1463"/>
        <v>10580081.111052714</v>
      </c>
      <c r="DW429" s="130">
        <f t="shared" si="1463"/>
        <v>9709645.8516802285</v>
      </c>
      <c r="DX429" s="130">
        <f t="shared" si="1463"/>
        <v>12297772.308477715</v>
      </c>
      <c r="DY429" s="130">
        <f t="shared" si="1463"/>
        <v>11174912.031800106</v>
      </c>
      <c r="DZ429" s="130">
        <f t="shared" si="1463"/>
        <v>13416582.86462057</v>
      </c>
      <c r="EA429" s="130">
        <f t="shared" si="1463"/>
        <v>13701513.853079319</v>
      </c>
      <c r="EB429" s="130">
        <f t="shared" si="1463"/>
        <v>12594153.668849843</v>
      </c>
      <c r="EC429" s="130">
        <f t="shared" si="1463"/>
        <v>14627241.162722353</v>
      </c>
      <c r="ED429" s="113" t="s">
        <v>1</v>
      </c>
    </row>
    <row r="430" spans="1:134" x14ac:dyDescent="0.2">
      <c r="A430" s="114" t="s">
        <v>191</v>
      </c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29">
        <v>0</v>
      </c>
      <c r="AC430" s="129">
        <v>0</v>
      </c>
      <c r="AD430" s="129">
        <v>0</v>
      </c>
      <c r="AE430" s="129">
        <v>0</v>
      </c>
      <c r="AF430" s="129">
        <v>0</v>
      </c>
      <c r="AG430" s="129">
        <v>0</v>
      </c>
      <c r="AH430" s="129">
        <v>0</v>
      </c>
      <c r="AI430" s="129">
        <v>0</v>
      </c>
      <c r="AJ430" s="129">
        <v>0</v>
      </c>
      <c r="AK430" s="129">
        <v>42253</v>
      </c>
      <c r="AL430" s="129">
        <v>0</v>
      </c>
      <c r="AM430" s="129">
        <v>0</v>
      </c>
      <c r="AN430" s="129">
        <v>0</v>
      </c>
      <c r="AO430" s="129">
        <v>0</v>
      </c>
      <c r="AP430" s="129">
        <v>0</v>
      </c>
      <c r="AQ430" s="129">
        <v>45188</v>
      </c>
      <c r="AR430" s="129">
        <v>101238</v>
      </c>
      <c r="AS430" s="129">
        <v>66416</v>
      </c>
      <c r="AT430" s="129">
        <v>186405.94</v>
      </c>
      <c r="AU430" s="129">
        <v>363659</v>
      </c>
      <c r="AV430" s="129">
        <v>218238</v>
      </c>
      <c r="AW430" s="129">
        <v>156405</v>
      </c>
      <c r="AX430" s="129">
        <v>505697</v>
      </c>
      <c r="AY430" s="129">
        <v>363998</v>
      </c>
      <c r="AZ430" s="129">
        <v>75260</v>
      </c>
      <c r="BA430" s="129">
        <v>0</v>
      </c>
      <c r="BB430" s="129">
        <v>467806</v>
      </c>
      <c r="BC430" s="129">
        <v>0</v>
      </c>
      <c r="BD430" s="129">
        <v>0</v>
      </c>
      <c r="BE430" s="129">
        <v>0</v>
      </c>
      <c r="BF430" s="129">
        <v>0</v>
      </c>
      <c r="BG430" s="129">
        <v>0</v>
      </c>
      <c r="BH430" s="129">
        <v>0</v>
      </c>
      <c r="BI430" s="129">
        <v>0</v>
      </c>
      <c r="BJ430" s="129">
        <v>0</v>
      </c>
      <c r="BK430" s="129">
        <v>0</v>
      </c>
      <c r="BL430" s="129">
        <v>0</v>
      </c>
      <c r="BM430" s="129">
        <v>0</v>
      </c>
      <c r="BN430" s="129">
        <v>0</v>
      </c>
      <c r="BO430" s="129">
        <v>0</v>
      </c>
      <c r="BP430" s="129">
        <v>0</v>
      </c>
      <c r="BQ430" s="129">
        <v>0</v>
      </c>
      <c r="BR430" s="129">
        <v>0</v>
      </c>
      <c r="BS430" s="129">
        <v>0</v>
      </c>
      <c r="BT430" s="129">
        <v>0</v>
      </c>
      <c r="BU430" s="129">
        <v>0</v>
      </c>
      <c r="BV430" s="129">
        <v>0</v>
      </c>
      <c r="BW430" s="129">
        <v>0</v>
      </c>
      <c r="BX430" s="129">
        <v>0</v>
      </c>
      <c r="BY430" s="129">
        <v>0</v>
      </c>
      <c r="BZ430" s="129">
        <v>0</v>
      </c>
      <c r="CA430" s="129">
        <v>0</v>
      </c>
      <c r="CB430" s="129">
        <v>0</v>
      </c>
      <c r="CC430" s="129">
        <v>0</v>
      </c>
      <c r="CD430" s="129">
        <v>0</v>
      </c>
      <c r="CE430" s="129">
        <v>0</v>
      </c>
      <c r="CF430" s="129">
        <v>0</v>
      </c>
      <c r="CG430" s="129">
        <v>0</v>
      </c>
      <c r="CH430" s="129">
        <v>0</v>
      </c>
      <c r="CI430" s="129">
        <v>0</v>
      </c>
      <c r="CJ430" s="129">
        <v>0</v>
      </c>
      <c r="CK430" s="129">
        <v>0</v>
      </c>
      <c r="CL430" s="129">
        <v>0</v>
      </c>
      <c r="CM430" s="129">
        <v>0</v>
      </c>
      <c r="CN430" s="129">
        <v>0</v>
      </c>
      <c r="CO430" s="129">
        <v>0</v>
      </c>
      <c r="CP430" s="129">
        <v>0</v>
      </c>
      <c r="CQ430" s="129">
        <v>0</v>
      </c>
      <c r="CR430" s="129">
        <v>0</v>
      </c>
      <c r="CS430" s="129">
        <v>0</v>
      </c>
      <c r="CT430" s="129">
        <v>0</v>
      </c>
      <c r="CU430" s="129">
        <v>0</v>
      </c>
      <c r="CV430" s="129">
        <v>0</v>
      </c>
      <c r="CW430" s="129">
        <v>0</v>
      </c>
      <c r="CX430" s="129">
        <v>0</v>
      </c>
      <c r="CY430" s="129">
        <v>0</v>
      </c>
      <c r="CZ430" s="129">
        <v>0</v>
      </c>
      <c r="DA430" s="129">
        <v>0</v>
      </c>
      <c r="DB430" s="129">
        <v>0</v>
      </c>
      <c r="DC430" s="129">
        <v>0</v>
      </c>
      <c r="DD430" s="129">
        <v>0</v>
      </c>
      <c r="DE430" s="129">
        <v>0</v>
      </c>
      <c r="DF430" s="129">
        <v>0</v>
      </c>
      <c r="DG430" s="129">
        <v>0</v>
      </c>
      <c r="DH430" s="129">
        <v>0</v>
      </c>
      <c r="DI430" s="129">
        <v>0</v>
      </c>
      <c r="DJ430" s="129">
        <v>0</v>
      </c>
      <c r="DK430" s="129">
        <v>0</v>
      </c>
      <c r="DL430" s="129">
        <v>0</v>
      </c>
      <c r="DM430" s="129">
        <v>0</v>
      </c>
      <c r="DN430" s="129">
        <v>0</v>
      </c>
      <c r="DO430" s="129">
        <v>0</v>
      </c>
      <c r="DP430" s="129">
        <v>0</v>
      </c>
      <c r="DQ430" s="129">
        <v>0</v>
      </c>
      <c r="DR430" s="129">
        <v>0</v>
      </c>
      <c r="DS430" s="129">
        <v>0</v>
      </c>
      <c r="DT430" s="129">
        <v>0</v>
      </c>
      <c r="DU430" s="129">
        <v>0</v>
      </c>
      <c r="DV430" s="129">
        <v>0</v>
      </c>
      <c r="DW430" s="129">
        <v>0</v>
      </c>
      <c r="DX430" s="129">
        <v>0</v>
      </c>
      <c r="DY430" s="129">
        <v>0</v>
      </c>
      <c r="DZ430" s="129">
        <v>0</v>
      </c>
      <c r="EA430" s="129">
        <v>0</v>
      </c>
      <c r="EB430" s="129">
        <v>0</v>
      </c>
      <c r="EC430" s="129">
        <v>0</v>
      </c>
      <c r="ED430" s="113" t="s">
        <v>1</v>
      </c>
    </row>
    <row r="431" spans="1:134" x14ac:dyDescent="0.2">
      <c r="A431" s="114" t="s">
        <v>140</v>
      </c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29">
        <v>0</v>
      </c>
      <c r="AC431" s="129">
        <v>0</v>
      </c>
      <c r="AD431" s="129">
        <v>0</v>
      </c>
      <c r="AE431" s="129">
        <v>0</v>
      </c>
      <c r="AF431" s="129">
        <v>0</v>
      </c>
      <c r="AG431" s="129">
        <v>0</v>
      </c>
      <c r="AH431" s="129">
        <v>0</v>
      </c>
      <c r="AI431" s="129">
        <v>0</v>
      </c>
      <c r="AJ431" s="129">
        <v>0</v>
      </c>
      <c r="AK431" s="129">
        <v>93653</v>
      </c>
      <c r="AL431" s="129">
        <v>76429</v>
      </c>
      <c r="AM431" s="129">
        <v>0</v>
      </c>
      <c r="AN431" s="129">
        <v>35402</v>
      </c>
      <c r="AO431" s="129">
        <v>57050</v>
      </c>
      <c r="AP431" s="129">
        <v>124894.88</v>
      </c>
      <c r="AQ431" s="129">
        <v>203622</v>
      </c>
      <c r="AR431" s="129">
        <v>196281.2</v>
      </c>
      <c r="AS431" s="129">
        <v>136192.20000000001</v>
      </c>
      <c r="AT431" s="129">
        <v>272052</v>
      </c>
      <c r="AU431" s="129">
        <v>191808</v>
      </c>
      <c r="AV431" s="129">
        <v>233273.16</v>
      </c>
      <c r="AW431" s="129">
        <v>127512</v>
      </c>
      <c r="AX431" s="129">
        <v>43527</v>
      </c>
      <c r="AY431" s="129">
        <v>93922.64</v>
      </c>
      <c r="AZ431" s="129">
        <v>112872.4</v>
      </c>
      <c r="BA431" s="129">
        <v>65264.87999999999</v>
      </c>
      <c r="BB431" s="129">
        <v>53569.919999999998</v>
      </c>
      <c r="BC431" s="129">
        <v>75359.31</v>
      </c>
      <c r="BD431" s="129">
        <v>65203</v>
      </c>
      <c r="BE431" s="129">
        <v>93663</v>
      </c>
      <c r="BF431" s="129">
        <v>30213.000000000015</v>
      </c>
      <c r="BG431" s="129">
        <v>109512.4</v>
      </c>
      <c r="BH431" s="129">
        <v>0</v>
      </c>
      <c r="BI431" s="129">
        <v>33909.590000000004</v>
      </c>
      <c r="BJ431" s="129">
        <v>69009.739499999967</v>
      </c>
      <c r="BK431" s="129">
        <v>60191.800000000025</v>
      </c>
      <c r="BL431" s="129">
        <v>-237.6</v>
      </c>
      <c r="BM431" s="129">
        <v>0</v>
      </c>
      <c r="BN431" s="129">
        <v>92605.552000000098</v>
      </c>
      <c r="BO431" s="129">
        <v>110650.32035999997</v>
      </c>
      <c r="BP431" s="129">
        <v>86053.13</v>
      </c>
      <c r="BQ431" s="129">
        <v>0</v>
      </c>
      <c r="BR431" s="129">
        <v>0</v>
      </c>
      <c r="BS431" s="129">
        <v>0</v>
      </c>
      <c r="BT431" s="129">
        <v>0</v>
      </c>
      <c r="BU431" s="129">
        <v>0</v>
      </c>
      <c r="BV431" s="129">
        <v>0</v>
      </c>
      <c r="BW431" s="129">
        <v>0</v>
      </c>
      <c r="BX431" s="129">
        <v>0</v>
      </c>
      <c r="BY431" s="129">
        <v>0</v>
      </c>
      <c r="BZ431" s="129">
        <v>0</v>
      </c>
      <c r="CA431" s="129">
        <v>0</v>
      </c>
      <c r="CB431" s="129">
        <v>0</v>
      </c>
      <c r="CC431" s="129">
        <v>0</v>
      </c>
      <c r="CD431" s="129">
        <v>0</v>
      </c>
      <c r="CE431" s="129">
        <v>0</v>
      </c>
      <c r="CF431" s="129">
        <v>234514</v>
      </c>
      <c r="CG431" s="129">
        <v>0</v>
      </c>
      <c r="CH431" s="129">
        <v>0</v>
      </c>
      <c r="CI431" s="129">
        <v>286316.64</v>
      </c>
      <c r="CJ431" s="129">
        <v>74285</v>
      </c>
      <c r="CK431" s="129">
        <v>403907.88000000105</v>
      </c>
      <c r="CL431" s="129">
        <v>356483.4</v>
      </c>
      <c r="CM431" s="129">
        <v>313310</v>
      </c>
      <c r="CN431" s="129">
        <v>380441</v>
      </c>
      <c r="CO431" s="129">
        <v>0</v>
      </c>
      <c r="CP431" s="129">
        <v>491388.93000000005</v>
      </c>
      <c r="CQ431" s="129">
        <v>191597.8</v>
      </c>
      <c r="CR431" s="129">
        <v>206105.60000000003</v>
      </c>
      <c r="CS431" s="129">
        <v>391302.05999999994</v>
      </c>
      <c r="CT431" s="129">
        <v>0</v>
      </c>
      <c r="CU431" s="129">
        <v>0</v>
      </c>
      <c r="CV431" s="129">
        <v>0</v>
      </c>
      <c r="CW431" s="129">
        <v>0</v>
      </c>
      <c r="CX431" s="129">
        <v>0</v>
      </c>
      <c r="CY431" s="129">
        <v>0</v>
      </c>
      <c r="CZ431" s="129">
        <v>0</v>
      </c>
      <c r="DA431" s="129">
        <v>0</v>
      </c>
      <c r="DB431" s="129">
        <v>0</v>
      </c>
      <c r="DC431" s="129">
        <v>0</v>
      </c>
      <c r="DD431" s="129">
        <v>0</v>
      </c>
      <c r="DE431" s="129">
        <v>0</v>
      </c>
      <c r="DF431" s="129">
        <v>0</v>
      </c>
      <c r="DG431" s="129">
        <v>0</v>
      </c>
      <c r="DH431" s="129">
        <v>0</v>
      </c>
      <c r="DI431" s="129">
        <v>0</v>
      </c>
      <c r="DJ431" s="129">
        <v>0</v>
      </c>
      <c r="DK431" s="129">
        <v>0</v>
      </c>
      <c r="DL431" s="129">
        <v>0</v>
      </c>
      <c r="DM431" s="129">
        <v>0</v>
      </c>
      <c r="DN431" s="129">
        <v>0</v>
      </c>
      <c r="DO431" s="129">
        <v>0</v>
      </c>
      <c r="DP431" s="129">
        <v>0</v>
      </c>
      <c r="DQ431" s="129">
        <v>0</v>
      </c>
      <c r="DR431" s="129">
        <v>0</v>
      </c>
      <c r="DS431" s="129">
        <v>0</v>
      </c>
      <c r="DT431" s="129">
        <v>0</v>
      </c>
      <c r="DU431" s="129">
        <v>0</v>
      </c>
      <c r="DV431" s="129">
        <v>0</v>
      </c>
      <c r="DW431" s="129">
        <v>0</v>
      </c>
      <c r="DX431" s="129">
        <v>0</v>
      </c>
      <c r="DY431" s="129">
        <v>0</v>
      </c>
      <c r="DZ431" s="129">
        <v>0</v>
      </c>
      <c r="EA431" s="129">
        <v>0</v>
      </c>
      <c r="EB431" s="129">
        <v>0</v>
      </c>
      <c r="EC431" s="129">
        <v>0</v>
      </c>
      <c r="ED431" s="113" t="s">
        <v>1</v>
      </c>
    </row>
    <row r="432" spans="1:134" x14ac:dyDescent="0.2">
      <c r="A432" s="114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15"/>
      <c r="AU432" s="115"/>
      <c r="AV432" s="115"/>
      <c r="AW432" s="115"/>
      <c r="AX432" s="115"/>
      <c r="AY432" s="115"/>
      <c r="AZ432" s="115"/>
      <c r="BA432" s="115"/>
      <c r="BB432" s="115"/>
      <c r="BC432" s="115"/>
      <c r="BD432" s="115"/>
      <c r="BE432" s="115"/>
      <c r="BF432" s="115"/>
      <c r="BG432" s="115"/>
      <c r="BH432" s="115"/>
      <c r="BI432" s="115"/>
      <c r="BJ432" s="115"/>
      <c r="BK432" s="115"/>
      <c r="BL432" s="115"/>
      <c r="BM432" s="115"/>
      <c r="BN432" s="115"/>
      <c r="BO432" s="115"/>
      <c r="BP432" s="115"/>
      <c r="BQ432" s="115"/>
      <c r="BR432" s="115"/>
      <c r="BS432" s="115"/>
      <c r="BT432" s="115"/>
      <c r="BU432" s="115"/>
      <c r="BV432" s="115"/>
      <c r="BW432" s="115"/>
      <c r="BX432" s="115"/>
      <c r="BY432" s="115"/>
      <c r="BZ432" s="115"/>
      <c r="CA432" s="115"/>
      <c r="CB432" s="115"/>
      <c r="CC432" s="115"/>
      <c r="CD432" s="115"/>
      <c r="CE432" s="115"/>
      <c r="CF432" s="115"/>
      <c r="CG432" s="115"/>
      <c r="CH432" s="115"/>
      <c r="CI432" s="115"/>
      <c r="CJ432" s="115"/>
      <c r="CK432" s="115"/>
      <c r="CL432" s="115"/>
      <c r="CM432" s="115"/>
      <c r="CN432" s="115"/>
      <c r="CO432" s="115"/>
      <c r="CP432" s="115"/>
      <c r="CQ432" s="115"/>
      <c r="CR432" s="115"/>
      <c r="CS432" s="115"/>
      <c r="CT432" s="115"/>
      <c r="CU432" s="115"/>
      <c r="CV432" s="115"/>
      <c r="CW432" s="115"/>
      <c r="CX432" s="115"/>
      <c r="CY432" s="115"/>
      <c r="CZ432" s="115"/>
      <c r="DA432" s="115"/>
      <c r="DB432" s="115"/>
      <c r="DC432" s="115"/>
      <c r="DD432" s="115"/>
      <c r="DE432" s="115"/>
      <c r="DF432" s="115"/>
      <c r="DG432" s="115"/>
      <c r="DH432" s="115"/>
      <c r="DI432" s="115"/>
      <c r="DJ432" s="115"/>
      <c r="DK432" s="115"/>
      <c r="DL432" s="115"/>
      <c r="DM432" s="115"/>
      <c r="DN432" s="115"/>
      <c r="DO432" s="115"/>
      <c r="DP432" s="115"/>
      <c r="DQ432" s="115"/>
      <c r="DR432" s="115"/>
      <c r="DS432" s="115"/>
      <c r="DT432" s="115"/>
      <c r="DU432" s="115"/>
      <c r="DV432" s="115"/>
      <c r="DW432" s="115"/>
      <c r="DX432" s="115"/>
      <c r="DY432" s="115"/>
      <c r="DZ432" s="115"/>
      <c r="EA432" s="115"/>
      <c r="EB432" s="115"/>
      <c r="EC432" s="645"/>
      <c r="ED432" s="113" t="s">
        <v>1</v>
      </c>
    </row>
    <row r="433" spans="1:134" s="331" customFormat="1" x14ac:dyDescent="0.2">
      <c r="A433" s="735" t="s">
        <v>141</v>
      </c>
      <c r="B433" s="330"/>
      <c r="C433" s="330"/>
      <c r="D433" s="330"/>
      <c r="E433" s="330"/>
      <c r="F433" s="330"/>
      <c r="G433" s="330"/>
      <c r="H433" s="330"/>
      <c r="I433" s="330"/>
      <c r="J433" s="330"/>
      <c r="K433" s="330"/>
      <c r="L433" s="330"/>
      <c r="M433" s="330"/>
      <c r="N433" s="330"/>
      <c r="O433" s="330"/>
      <c r="P433" s="330"/>
      <c r="Q433" s="330"/>
      <c r="R433" s="330"/>
      <c r="S433" s="330"/>
      <c r="T433" s="330"/>
      <c r="U433" s="330"/>
      <c r="V433" s="330"/>
      <c r="W433" s="330"/>
      <c r="X433" s="330"/>
      <c r="Y433" s="330"/>
      <c r="Z433" s="330"/>
      <c r="AA433" s="330"/>
      <c r="AB433" s="132">
        <f t="shared" ref="AB433:CM433" si="1464">AB434+AB437+AB438</f>
        <v>2038</v>
      </c>
      <c r="AC433" s="132">
        <f t="shared" si="1464"/>
        <v>2032</v>
      </c>
      <c r="AD433" s="132">
        <f t="shared" si="1464"/>
        <v>2469</v>
      </c>
      <c r="AE433" s="132">
        <f t="shared" si="1464"/>
        <v>2657</v>
      </c>
      <c r="AF433" s="132">
        <f t="shared" si="1464"/>
        <v>2604</v>
      </c>
      <c r="AG433" s="132">
        <f t="shared" si="1464"/>
        <v>2902</v>
      </c>
      <c r="AH433" s="132">
        <f t="shared" si="1464"/>
        <v>3837</v>
      </c>
      <c r="AI433" s="132">
        <f t="shared" si="1464"/>
        <v>3752</v>
      </c>
      <c r="AJ433" s="132">
        <f t="shared" si="1464"/>
        <v>4252</v>
      </c>
      <c r="AK433" s="132">
        <f t="shared" si="1464"/>
        <v>5420</v>
      </c>
      <c r="AL433" s="132">
        <f t="shared" si="1464"/>
        <v>3142</v>
      </c>
      <c r="AM433" s="132">
        <f t="shared" si="1464"/>
        <v>56</v>
      </c>
      <c r="AN433" s="132">
        <f t="shared" si="1464"/>
        <v>3309</v>
      </c>
      <c r="AO433" s="132">
        <f t="shared" si="1464"/>
        <v>4902</v>
      </c>
      <c r="AP433" s="132">
        <f t="shared" si="1464"/>
        <v>6877</v>
      </c>
      <c r="AQ433" s="132">
        <f t="shared" si="1464"/>
        <v>8734</v>
      </c>
      <c r="AR433" s="132">
        <f t="shared" si="1464"/>
        <v>9400</v>
      </c>
      <c r="AS433" s="132">
        <f t="shared" si="1464"/>
        <v>10712</v>
      </c>
      <c r="AT433" s="132">
        <f t="shared" si="1464"/>
        <v>13767</v>
      </c>
      <c r="AU433" s="132">
        <f t="shared" si="1464"/>
        <v>13487</v>
      </c>
      <c r="AV433" s="132">
        <f t="shared" si="1464"/>
        <v>13473</v>
      </c>
      <c r="AW433" s="132">
        <f t="shared" si="1464"/>
        <v>14827</v>
      </c>
      <c r="AX433" s="132">
        <f t="shared" si="1464"/>
        <v>14318</v>
      </c>
      <c r="AY433" s="132">
        <f t="shared" si="1464"/>
        <v>16319</v>
      </c>
      <c r="AZ433" s="132">
        <f t="shared" si="1464"/>
        <v>17178</v>
      </c>
      <c r="BA433" s="132">
        <f t="shared" si="1464"/>
        <v>19475</v>
      </c>
      <c r="BB433" s="132">
        <f t="shared" si="1464"/>
        <v>20858</v>
      </c>
      <c r="BC433" s="132">
        <f t="shared" si="1464"/>
        <v>21313</v>
      </c>
      <c r="BD433" s="132">
        <f t="shared" si="1464"/>
        <v>21303</v>
      </c>
      <c r="BE433" s="132">
        <f t="shared" si="1464"/>
        <v>20221</v>
      </c>
      <c r="BF433" s="132">
        <f t="shared" si="1464"/>
        <v>21543</v>
      </c>
      <c r="BG433" s="132">
        <f t="shared" si="1464"/>
        <v>23760</v>
      </c>
      <c r="BH433" s="132">
        <f t="shared" si="1464"/>
        <v>23316</v>
      </c>
      <c r="BI433" s="132">
        <f t="shared" si="1464"/>
        <v>25341</v>
      </c>
      <c r="BJ433" s="132">
        <f t="shared" si="1464"/>
        <v>26847</v>
      </c>
      <c r="BK433" s="132">
        <f t="shared" si="1464"/>
        <v>28141</v>
      </c>
      <c r="BL433" s="132">
        <f t="shared" si="1464"/>
        <v>28001</v>
      </c>
      <c r="BM433" s="132">
        <f t="shared" si="1464"/>
        <v>27447</v>
      </c>
      <c r="BN433" s="132">
        <f t="shared" si="1464"/>
        <v>32361</v>
      </c>
      <c r="BO433" s="132">
        <f t="shared" si="1464"/>
        <v>29924</v>
      </c>
      <c r="BP433" s="132">
        <f t="shared" si="1464"/>
        <v>35677</v>
      </c>
      <c r="BQ433" s="132">
        <f t="shared" si="1464"/>
        <v>29318</v>
      </c>
      <c r="BR433" s="132">
        <f t="shared" si="1464"/>
        <v>25187</v>
      </c>
      <c r="BS433" s="132">
        <f t="shared" si="1464"/>
        <v>23645</v>
      </c>
      <c r="BT433" s="132">
        <f t="shared" si="1464"/>
        <v>21850</v>
      </c>
      <c r="BU433" s="132">
        <f t="shared" si="1464"/>
        <v>41006</v>
      </c>
      <c r="BV433" s="132">
        <f t="shared" si="1464"/>
        <v>26988</v>
      </c>
      <c r="BW433" s="132">
        <f t="shared" si="1464"/>
        <v>26849</v>
      </c>
      <c r="BX433" s="132">
        <f t="shared" si="1464"/>
        <v>28441</v>
      </c>
      <c r="BY433" s="132">
        <f t="shared" si="1464"/>
        <v>28838</v>
      </c>
      <c r="BZ433" s="132">
        <f t="shared" si="1464"/>
        <v>27203</v>
      </c>
      <c r="CA433" s="132">
        <f t="shared" si="1464"/>
        <v>23449</v>
      </c>
      <c r="CB433" s="132">
        <f t="shared" si="1464"/>
        <v>29058</v>
      </c>
      <c r="CC433" s="132">
        <f t="shared" si="1464"/>
        <v>26164</v>
      </c>
      <c r="CD433" s="132">
        <f t="shared" si="1464"/>
        <v>28017</v>
      </c>
      <c r="CE433" s="132">
        <f t="shared" si="1464"/>
        <v>30442</v>
      </c>
      <c r="CF433" s="132">
        <f t="shared" si="1464"/>
        <v>28214</v>
      </c>
      <c r="CG433" s="132">
        <f t="shared" si="1464"/>
        <v>33578</v>
      </c>
      <c r="CH433" s="132">
        <f t="shared" si="1464"/>
        <v>33507</v>
      </c>
      <c r="CI433" s="132">
        <f t="shared" si="1464"/>
        <v>32505</v>
      </c>
      <c r="CJ433" s="132">
        <f t="shared" si="1464"/>
        <v>29494</v>
      </c>
      <c r="CK433" s="132">
        <f t="shared" si="1464"/>
        <v>33374</v>
      </c>
      <c r="CL433" s="132">
        <f t="shared" si="1464"/>
        <v>31270</v>
      </c>
      <c r="CM433" s="132">
        <f t="shared" si="1464"/>
        <v>30313</v>
      </c>
      <c r="CN433" s="132">
        <f t="shared" ref="CN433:CS433" si="1465">CN434+CN437+CN438</f>
        <v>38065</v>
      </c>
      <c r="CO433" s="132">
        <f t="shared" si="1465"/>
        <v>35164</v>
      </c>
      <c r="CP433" s="132">
        <f t="shared" si="1465"/>
        <v>48114</v>
      </c>
      <c r="CQ433" s="132">
        <f t="shared" si="1465"/>
        <v>43678</v>
      </c>
      <c r="CR433" s="132">
        <f t="shared" si="1465"/>
        <v>40638</v>
      </c>
      <c r="CS433" s="132">
        <f t="shared" si="1465"/>
        <v>49825</v>
      </c>
      <c r="CT433" s="703">
        <f>CT384</f>
        <v>33507</v>
      </c>
      <c r="CU433" s="703">
        <f t="shared" ref="CU433:EC433" si="1466">CU384</f>
        <v>32505</v>
      </c>
      <c r="CV433" s="703">
        <f t="shared" si="1466"/>
        <v>29494</v>
      </c>
      <c r="CW433" s="703">
        <f t="shared" si="1466"/>
        <v>33374</v>
      </c>
      <c r="CX433" s="703">
        <f t="shared" si="1466"/>
        <v>31270</v>
      </c>
      <c r="CY433" s="703">
        <f t="shared" si="1466"/>
        <v>30313</v>
      </c>
      <c r="CZ433" s="703">
        <f t="shared" si="1466"/>
        <v>38065</v>
      </c>
      <c r="DA433" s="703">
        <f t="shared" si="1466"/>
        <v>35164</v>
      </c>
      <c r="DB433" s="703">
        <f t="shared" si="1466"/>
        <v>48114</v>
      </c>
      <c r="DC433" s="703">
        <f t="shared" si="1466"/>
        <v>43678</v>
      </c>
      <c r="DD433" s="703">
        <f t="shared" si="1466"/>
        <v>40638</v>
      </c>
      <c r="DE433" s="703">
        <f t="shared" si="1466"/>
        <v>49825</v>
      </c>
      <c r="DF433" s="703">
        <f t="shared" si="1466"/>
        <v>33507</v>
      </c>
      <c r="DG433" s="703">
        <f t="shared" si="1466"/>
        <v>32505</v>
      </c>
      <c r="DH433" s="703">
        <f t="shared" si="1466"/>
        <v>29494</v>
      </c>
      <c r="DI433" s="703">
        <f t="shared" si="1466"/>
        <v>33374</v>
      </c>
      <c r="DJ433" s="703">
        <f t="shared" si="1466"/>
        <v>31270</v>
      </c>
      <c r="DK433" s="703">
        <f t="shared" si="1466"/>
        <v>30313</v>
      </c>
      <c r="DL433" s="703">
        <f t="shared" si="1466"/>
        <v>38065</v>
      </c>
      <c r="DM433" s="703">
        <f t="shared" si="1466"/>
        <v>35164</v>
      </c>
      <c r="DN433" s="703">
        <f t="shared" si="1466"/>
        <v>48114</v>
      </c>
      <c r="DO433" s="703">
        <f t="shared" si="1466"/>
        <v>43678</v>
      </c>
      <c r="DP433" s="703">
        <f t="shared" si="1466"/>
        <v>40638</v>
      </c>
      <c r="DQ433" s="703">
        <f t="shared" si="1466"/>
        <v>49825</v>
      </c>
      <c r="DR433" s="703">
        <f t="shared" si="1466"/>
        <v>33507</v>
      </c>
      <c r="DS433" s="703">
        <f t="shared" si="1466"/>
        <v>32505</v>
      </c>
      <c r="DT433" s="703">
        <f t="shared" si="1466"/>
        <v>29494</v>
      </c>
      <c r="DU433" s="703">
        <f t="shared" si="1466"/>
        <v>33374</v>
      </c>
      <c r="DV433" s="703">
        <f t="shared" si="1466"/>
        <v>31270</v>
      </c>
      <c r="DW433" s="703">
        <f t="shared" si="1466"/>
        <v>30313</v>
      </c>
      <c r="DX433" s="703">
        <f t="shared" si="1466"/>
        <v>38065</v>
      </c>
      <c r="DY433" s="703">
        <f t="shared" si="1466"/>
        <v>35164</v>
      </c>
      <c r="DZ433" s="703">
        <f t="shared" si="1466"/>
        <v>48114</v>
      </c>
      <c r="EA433" s="703">
        <f t="shared" si="1466"/>
        <v>43678</v>
      </c>
      <c r="EB433" s="703">
        <f t="shared" si="1466"/>
        <v>40638</v>
      </c>
      <c r="EC433" s="703">
        <f t="shared" si="1466"/>
        <v>49825</v>
      </c>
      <c r="ED433" s="113" t="s">
        <v>1</v>
      </c>
    </row>
    <row r="434" spans="1:134" s="331" customFormat="1" x14ac:dyDescent="0.2">
      <c r="A434" s="736" t="s">
        <v>139</v>
      </c>
      <c r="B434" s="330"/>
      <c r="C434" s="330"/>
      <c r="D434" s="330"/>
      <c r="E434" s="330"/>
      <c r="F434" s="330"/>
      <c r="G434" s="330"/>
      <c r="H434" s="330"/>
      <c r="I434" s="330"/>
      <c r="J434" s="330"/>
      <c r="K434" s="330"/>
      <c r="L434" s="330"/>
      <c r="M434" s="330"/>
      <c r="N434" s="330"/>
      <c r="O434" s="330"/>
      <c r="P434" s="330"/>
      <c r="Q434" s="330"/>
      <c r="R434" s="330"/>
      <c r="S434" s="330"/>
      <c r="T434" s="330"/>
      <c r="U434" s="330"/>
      <c r="V434" s="330"/>
      <c r="W434" s="330"/>
      <c r="X434" s="330"/>
      <c r="Y434" s="330"/>
      <c r="Z434" s="330"/>
      <c r="AA434" s="330"/>
      <c r="AB434" s="132">
        <f t="shared" ref="AB434:CM434" si="1467">AB435+AB436</f>
        <v>361</v>
      </c>
      <c r="AC434" s="132">
        <f t="shared" si="1467"/>
        <v>274</v>
      </c>
      <c r="AD434" s="132">
        <f t="shared" si="1467"/>
        <v>463</v>
      </c>
      <c r="AE434" s="132">
        <f t="shared" si="1467"/>
        <v>770</v>
      </c>
      <c r="AF434" s="132">
        <f t="shared" si="1467"/>
        <v>730</v>
      </c>
      <c r="AG434" s="132">
        <f t="shared" si="1467"/>
        <v>1159</v>
      </c>
      <c r="AH434" s="132">
        <f t="shared" si="1467"/>
        <v>1994</v>
      </c>
      <c r="AI434" s="132">
        <f t="shared" si="1467"/>
        <v>1964</v>
      </c>
      <c r="AJ434" s="132">
        <f t="shared" si="1467"/>
        <v>2172</v>
      </c>
      <c r="AK434" s="132">
        <f t="shared" si="1467"/>
        <v>2961</v>
      </c>
      <c r="AL434" s="132">
        <f t="shared" si="1467"/>
        <v>1624</v>
      </c>
      <c r="AM434" s="132">
        <f t="shared" si="1467"/>
        <v>48</v>
      </c>
      <c r="AN434" s="132">
        <f t="shared" si="1467"/>
        <v>1134</v>
      </c>
      <c r="AO434" s="132">
        <f t="shared" si="1467"/>
        <v>1752</v>
      </c>
      <c r="AP434" s="132">
        <f t="shared" si="1467"/>
        <v>2270</v>
      </c>
      <c r="AQ434" s="132">
        <f t="shared" si="1467"/>
        <v>3287</v>
      </c>
      <c r="AR434" s="132">
        <f t="shared" si="1467"/>
        <v>3653</v>
      </c>
      <c r="AS434" s="132">
        <f t="shared" si="1467"/>
        <v>4937</v>
      </c>
      <c r="AT434" s="132">
        <f t="shared" si="1467"/>
        <v>6074</v>
      </c>
      <c r="AU434" s="132">
        <f t="shared" si="1467"/>
        <v>5990</v>
      </c>
      <c r="AV434" s="132">
        <f t="shared" si="1467"/>
        <v>6098</v>
      </c>
      <c r="AW434" s="132">
        <f t="shared" si="1467"/>
        <v>6690</v>
      </c>
      <c r="AX434" s="132">
        <f t="shared" si="1467"/>
        <v>5849</v>
      </c>
      <c r="AY434" s="132">
        <f t="shared" si="1467"/>
        <v>7950</v>
      </c>
      <c r="AZ434" s="132">
        <f t="shared" si="1467"/>
        <v>8208</v>
      </c>
      <c r="BA434" s="132">
        <f t="shared" si="1467"/>
        <v>9086</v>
      </c>
      <c r="BB434" s="132">
        <f t="shared" si="1467"/>
        <v>9697</v>
      </c>
      <c r="BC434" s="132">
        <f t="shared" si="1467"/>
        <v>9845</v>
      </c>
      <c r="BD434" s="132">
        <f t="shared" si="1467"/>
        <v>10060</v>
      </c>
      <c r="BE434" s="132">
        <f t="shared" si="1467"/>
        <v>9749</v>
      </c>
      <c r="BF434" s="132">
        <f t="shared" si="1467"/>
        <v>10980</v>
      </c>
      <c r="BG434" s="132">
        <f t="shared" si="1467"/>
        <v>11447</v>
      </c>
      <c r="BH434" s="132">
        <f t="shared" si="1467"/>
        <v>10477</v>
      </c>
      <c r="BI434" s="132">
        <f t="shared" si="1467"/>
        <v>12211</v>
      </c>
      <c r="BJ434" s="132">
        <f t="shared" si="1467"/>
        <v>12385</v>
      </c>
      <c r="BK434" s="132">
        <f t="shared" si="1467"/>
        <v>13729</v>
      </c>
      <c r="BL434" s="132">
        <f t="shared" si="1467"/>
        <v>13687</v>
      </c>
      <c r="BM434" s="132">
        <f t="shared" si="1467"/>
        <v>12214</v>
      </c>
      <c r="BN434" s="132">
        <f t="shared" si="1467"/>
        <v>12367</v>
      </c>
      <c r="BO434" s="132">
        <f t="shared" si="1467"/>
        <v>11643</v>
      </c>
      <c r="BP434" s="132">
        <f t="shared" si="1467"/>
        <v>14148</v>
      </c>
      <c r="BQ434" s="132">
        <f t="shared" si="1467"/>
        <v>12925</v>
      </c>
      <c r="BR434" s="132">
        <f t="shared" si="1467"/>
        <v>11423</v>
      </c>
      <c r="BS434" s="132">
        <f t="shared" si="1467"/>
        <v>10287</v>
      </c>
      <c r="BT434" s="132">
        <f t="shared" si="1467"/>
        <v>8990</v>
      </c>
      <c r="BU434" s="132">
        <f t="shared" si="1467"/>
        <v>11243</v>
      </c>
      <c r="BV434" s="132">
        <f t="shared" si="1467"/>
        <v>12029</v>
      </c>
      <c r="BW434" s="132">
        <f t="shared" si="1467"/>
        <v>11645</v>
      </c>
      <c r="BX434" s="132">
        <f t="shared" si="1467"/>
        <v>12689</v>
      </c>
      <c r="BY434" s="132">
        <f t="shared" si="1467"/>
        <v>11836</v>
      </c>
      <c r="BZ434" s="132">
        <f t="shared" si="1467"/>
        <v>9748</v>
      </c>
      <c r="CA434" s="132">
        <f t="shared" si="1467"/>
        <v>8374</v>
      </c>
      <c r="CB434" s="132">
        <f t="shared" si="1467"/>
        <v>10601</v>
      </c>
      <c r="CC434" s="132">
        <f t="shared" si="1467"/>
        <v>10234</v>
      </c>
      <c r="CD434" s="132">
        <f t="shared" si="1467"/>
        <v>12087</v>
      </c>
      <c r="CE434" s="132">
        <f t="shared" si="1467"/>
        <v>12189</v>
      </c>
      <c r="CF434" s="132">
        <f t="shared" si="1467"/>
        <v>11467</v>
      </c>
      <c r="CG434" s="132">
        <f t="shared" si="1467"/>
        <v>14284</v>
      </c>
      <c r="CH434" s="132">
        <f t="shared" si="1467"/>
        <v>14013</v>
      </c>
      <c r="CI434" s="132">
        <f t="shared" si="1467"/>
        <v>13841</v>
      </c>
      <c r="CJ434" s="132">
        <f t="shared" si="1467"/>
        <v>14082</v>
      </c>
      <c r="CK434" s="132">
        <f t="shared" si="1467"/>
        <v>15567</v>
      </c>
      <c r="CL434" s="132">
        <f t="shared" si="1467"/>
        <v>13556</v>
      </c>
      <c r="CM434" s="132">
        <f t="shared" si="1467"/>
        <v>12405</v>
      </c>
      <c r="CN434" s="132">
        <f t="shared" ref="CN434:DQ434" si="1468">CN435+CN436</f>
        <v>16385</v>
      </c>
      <c r="CO434" s="132">
        <f t="shared" si="1468"/>
        <v>14752</v>
      </c>
      <c r="CP434" s="132">
        <f t="shared" si="1468"/>
        <v>18610</v>
      </c>
      <c r="CQ434" s="132">
        <f t="shared" si="1468"/>
        <v>19779</v>
      </c>
      <c r="CR434" s="132">
        <f t="shared" si="1468"/>
        <v>18826</v>
      </c>
      <c r="CS434" s="132">
        <f t="shared" si="1468"/>
        <v>22176</v>
      </c>
      <c r="CT434" s="703">
        <f>CT435+CT436</f>
        <v>19248.643016106773</v>
      </c>
      <c r="CU434" s="703">
        <f>CU435+CU436</f>
        <v>18803.198316148151</v>
      </c>
      <c r="CV434" s="703">
        <f t="shared" si="1468"/>
        <v>18740.231032679196</v>
      </c>
      <c r="CW434" s="703">
        <f t="shared" si="1468"/>
        <v>20416.32429285497</v>
      </c>
      <c r="CX434" s="703">
        <f t="shared" si="1468"/>
        <v>18043.283247391348</v>
      </c>
      <c r="CY434" s="703">
        <f t="shared" si="1468"/>
        <v>16607.401546710291</v>
      </c>
      <c r="CZ434" s="703">
        <f t="shared" si="1468"/>
        <v>21132.46495811686</v>
      </c>
      <c r="DA434" s="703">
        <f t="shared" si="1468"/>
        <v>19304.800585212601</v>
      </c>
      <c r="DB434" s="703">
        <f t="shared" si="1468"/>
        <v>23282.818883836964</v>
      </c>
      <c r="DC434" s="703">
        <f t="shared" si="1468"/>
        <v>23884.337333037154</v>
      </c>
      <c r="DD434" s="703">
        <f t="shared" si="1468"/>
        <v>22065.350659737898</v>
      </c>
      <c r="DE434" s="703">
        <f t="shared" si="1468"/>
        <v>25933.34905768908</v>
      </c>
      <c r="DF434" s="703">
        <f t="shared" si="1468"/>
        <v>22928.530651538953</v>
      </c>
      <c r="DG434" s="703">
        <f t="shared" si="1468"/>
        <v>22458.069988849446</v>
      </c>
      <c r="DH434" s="703">
        <f t="shared" si="1468"/>
        <v>22268.484406115716</v>
      </c>
      <c r="DI434" s="703">
        <f t="shared" si="1468"/>
        <v>24237.093553374973</v>
      </c>
      <c r="DJ434" s="703">
        <f t="shared" si="1468"/>
        <v>21390.021269084911</v>
      </c>
      <c r="DK434" s="703">
        <f t="shared" si="1468"/>
        <v>19652.09183027385</v>
      </c>
      <c r="DL434" s="703">
        <f t="shared" si="1468"/>
        <v>24897.205270537288</v>
      </c>
      <c r="DM434" s="703">
        <f t="shared" si="1468"/>
        <v>22636.193215384505</v>
      </c>
      <c r="DN434" s="703">
        <f t="shared" si="1468"/>
        <v>27184.264210317757</v>
      </c>
      <c r="DO434" s="703">
        <f t="shared" si="1468"/>
        <v>27768.973807318493</v>
      </c>
      <c r="DP434" s="703">
        <f t="shared" si="1468"/>
        <v>25538.135962435284</v>
      </c>
      <c r="DQ434" s="703">
        <f t="shared" si="1468"/>
        <v>29668.525451818921</v>
      </c>
      <c r="DR434" s="132">
        <f t="shared" ref="DR434:EC434" si="1469">DR435+DR436</f>
        <v>26214.953378259543</v>
      </c>
      <c r="DS434" s="132">
        <f t="shared" si="1469"/>
        <v>25654.026102647254</v>
      </c>
      <c r="DT434" s="132">
        <f t="shared" si="1469"/>
        <v>25422.511561091014</v>
      </c>
      <c r="DU434" s="132">
        <f t="shared" si="1469"/>
        <v>27653.911254672064</v>
      </c>
      <c r="DV434" s="132">
        <f t="shared" si="1469"/>
        <v>24384.624246756801</v>
      </c>
      <c r="DW434" s="132">
        <f t="shared" si="1469"/>
        <v>22378.473584192128</v>
      </c>
      <c r="DX434" s="132">
        <f t="shared" si="1469"/>
        <v>28343.502631669555</v>
      </c>
      <c r="DY434" s="132">
        <f t="shared" si="1469"/>
        <v>25755.571060919196</v>
      </c>
      <c r="DZ434" s="132">
        <f t="shared" si="1469"/>
        <v>30922.100539236457</v>
      </c>
      <c r="EA434" s="132">
        <f t="shared" si="1469"/>
        <v>31578.80014455094</v>
      </c>
      <c r="EB434" s="132">
        <f t="shared" si="1469"/>
        <v>29026.592678953508</v>
      </c>
      <c r="EC434" s="132">
        <f t="shared" si="1469"/>
        <v>33712.386112717533</v>
      </c>
      <c r="ED434" s="113" t="s">
        <v>1</v>
      </c>
    </row>
    <row r="435" spans="1:134" x14ac:dyDescent="0.2">
      <c r="A435" s="737" t="s">
        <v>192</v>
      </c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29">
        <v>361</v>
      </c>
      <c r="AC435" s="129">
        <v>274</v>
      </c>
      <c r="AD435" s="129">
        <v>462</v>
      </c>
      <c r="AE435" s="129">
        <v>759</v>
      </c>
      <c r="AF435" s="129">
        <v>693</v>
      </c>
      <c r="AG435" s="129">
        <v>1082</v>
      </c>
      <c r="AH435" s="129">
        <v>1876</v>
      </c>
      <c r="AI435" s="129">
        <v>1877</v>
      </c>
      <c r="AJ435" s="129">
        <v>2031</v>
      </c>
      <c r="AK435" s="129">
        <v>2612</v>
      </c>
      <c r="AL435" s="129">
        <v>1365</v>
      </c>
      <c r="AM435" s="129">
        <v>46</v>
      </c>
      <c r="AN435" s="129">
        <v>1028</v>
      </c>
      <c r="AO435" s="129">
        <v>1657</v>
      </c>
      <c r="AP435" s="129">
        <v>2100</v>
      </c>
      <c r="AQ435" s="129">
        <v>2838</v>
      </c>
      <c r="AR435" s="129">
        <v>3214</v>
      </c>
      <c r="AS435" s="129">
        <v>4433</v>
      </c>
      <c r="AT435" s="129">
        <v>5469</v>
      </c>
      <c r="AU435" s="129">
        <v>5448</v>
      </c>
      <c r="AV435" s="129">
        <v>5714</v>
      </c>
      <c r="AW435" s="129">
        <v>6331</v>
      </c>
      <c r="AX435" s="129">
        <v>5596</v>
      </c>
      <c r="AY435" s="129">
        <v>7785</v>
      </c>
      <c r="AZ435" s="129">
        <v>8192</v>
      </c>
      <c r="BA435" s="129">
        <v>8746</v>
      </c>
      <c r="BB435" s="129">
        <v>9452</v>
      </c>
      <c r="BC435" s="129">
        <v>9502</v>
      </c>
      <c r="BD435" s="129">
        <v>9868</v>
      </c>
      <c r="BE435" s="129">
        <v>9525</v>
      </c>
      <c r="BF435" s="129">
        <v>10770</v>
      </c>
      <c r="BG435" s="129">
        <v>11322</v>
      </c>
      <c r="BH435" s="129">
        <v>10400</v>
      </c>
      <c r="BI435" s="129">
        <v>12089</v>
      </c>
      <c r="BJ435" s="129">
        <v>12233</v>
      </c>
      <c r="BK435" s="129">
        <v>13520</v>
      </c>
      <c r="BL435" s="129">
        <v>13589</v>
      </c>
      <c r="BM435" s="129">
        <v>12172</v>
      </c>
      <c r="BN435" s="129">
        <v>12336</v>
      </c>
      <c r="BO435" s="129">
        <v>11644</v>
      </c>
      <c r="BP435" s="129">
        <v>13955</v>
      </c>
      <c r="BQ435" s="129">
        <v>12747</v>
      </c>
      <c r="BR435" s="129">
        <v>11277</v>
      </c>
      <c r="BS435" s="129">
        <v>10107</v>
      </c>
      <c r="BT435" s="129">
        <v>8810</v>
      </c>
      <c r="BU435" s="129">
        <v>11157</v>
      </c>
      <c r="BV435" s="129">
        <v>11835</v>
      </c>
      <c r="BW435" s="129">
        <v>11407</v>
      </c>
      <c r="BX435" s="129">
        <v>12515</v>
      </c>
      <c r="BY435" s="129">
        <v>11687</v>
      </c>
      <c r="BZ435" s="129">
        <v>9519</v>
      </c>
      <c r="CA435" s="129">
        <v>8293</v>
      </c>
      <c r="CB435" s="129">
        <v>10384</v>
      </c>
      <c r="CC435" s="129">
        <v>10134</v>
      </c>
      <c r="CD435" s="129">
        <v>11864</v>
      </c>
      <c r="CE435" s="129">
        <v>11837</v>
      </c>
      <c r="CF435" s="129">
        <v>11485</v>
      </c>
      <c r="CG435" s="129">
        <v>14039</v>
      </c>
      <c r="CH435" s="129">
        <v>13754</v>
      </c>
      <c r="CI435" s="129">
        <v>13502</v>
      </c>
      <c r="CJ435" s="129">
        <v>13775</v>
      </c>
      <c r="CK435" s="129">
        <v>15128</v>
      </c>
      <c r="CL435" s="129">
        <v>13286</v>
      </c>
      <c r="CM435" s="129">
        <v>12225</v>
      </c>
      <c r="CN435" s="129">
        <v>15989</v>
      </c>
      <c r="CO435" s="129">
        <v>14397</v>
      </c>
      <c r="CP435" s="129">
        <v>18438</v>
      </c>
      <c r="CQ435" s="129">
        <v>19545</v>
      </c>
      <c r="CR435" s="129">
        <v>18600</v>
      </c>
      <c r="CS435" s="129">
        <v>21807</v>
      </c>
      <c r="CT435" s="704">
        <f>CT395-CT408</f>
        <v>18947.809270691087</v>
      </c>
      <c r="CU435" s="704">
        <f t="shared" ref="CU435:DQ435" si="1470">CU395-CU408</f>
        <v>18509.326349666801</v>
      </c>
      <c r="CV435" s="704">
        <f t="shared" si="1470"/>
        <v>18447.343171088189</v>
      </c>
      <c r="CW435" s="704">
        <f t="shared" si="1470"/>
        <v>20097.241056727547</v>
      </c>
      <c r="CX435" s="704">
        <f t="shared" si="1470"/>
        <v>17761.287863386002</v>
      </c>
      <c r="CY435" s="704">
        <f t="shared" si="1470"/>
        <v>16347.847311913658</v>
      </c>
      <c r="CZ435" s="704">
        <f t="shared" si="1470"/>
        <v>20802.189282169398</v>
      </c>
      <c r="DA435" s="704">
        <f t="shared" si="1470"/>
        <v>19003.089162766206</v>
      </c>
      <c r="DB435" s="704">
        <f t="shared" si="1470"/>
        <v>22918.935694627275</v>
      </c>
      <c r="DC435" s="704">
        <f t="shared" si="1470"/>
        <v>23511.05311499348</v>
      </c>
      <c r="DD435" s="704">
        <f t="shared" si="1470"/>
        <v>21720.495072914196</v>
      </c>
      <c r="DE435" s="704">
        <f t="shared" si="1470"/>
        <v>25528.041186289065</v>
      </c>
      <c r="DF435" s="704">
        <f t="shared" si="1470"/>
        <v>22570.184572440856</v>
      </c>
      <c r="DG435" s="704">
        <f t="shared" si="1470"/>
        <v>22107.076658883285</v>
      </c>
      <c r="DH435" s="704">
        <f t="shared" si="1470"/>
        <v>21920.454076756032</v>
      </c>
      <c r="DI435" s="704">
        <f t="shared" si="1470"/>
        <v>23858.296168772278</v>
      </c>
      <c r="DJ435" s="704">
        <f t="shared" si="1470"/>
        <v>21055.720289659217</v>
      </c>
      <c r="DK435" s="704">
        <f t="shared" si="1470"/>
        <v>19344.95265243117</v>
      </c>
      <c r="DL435" s="704">
        <f t="shared" si="1470"/>
        <v>24508.09111294958</v>
      </c>
      <c r="DM435" s="704">
        <f t="shared" si="1470"/>
        <v>22282.416028013995</v>
      </c>
      <c r="DN435" s="704">
        <f t="shared" si="1470"/>
        <v>26759.406000213472</v>
      </c>
      <c r="DO435" s="704">
        <f t="shared" si="1470"/>
        <v>27334.977271052769</v>
      </c>
      <c r="DP435" s="704">
        <f t="shared" si="1470"/>
        <v>25139.004808821715</v>
      </c>
      <c r="DQ435" s="704">
        <f t="shared" si="1470"/>
        <v>29204.841148194875</v>
      </c>
      <c r="DR435" s="129">
        <f t="shared" ref="DR435:EC435" si="1471">DR395-DR408</f>
        <v>25805.244361157384</v>
      </c>
      <c r="DS435" s="129">
        <f t="shared" si="1471"/>
        <v>25253.083721878218</v>
      </c>
      <c r="DT435" s="129">
        <f t="shared" si="1471"/>
        <v>25025.187481445661</v>
      </c>
      <c r="DU435" s="129">
        <f t="shared" si="1471"/>
        <v>27221.713011337473</v>
      </c>
      <c r="DV435" s="129">
        <f t="shared" si="1471"/>
        <v>24003.521130211509</v>
      </c>
      <c r="DW435" s="129">
        <f t="shared" si="1471"/>
        <v>22028.724252803666</v>
      </c>
      <c r="DX435" s="129">
        <f t="shared" si="1471"/>
        <v>27900.526882794707</v>
      </c>
      <c r="DY435" s="129">
        <f t="shared" si="1471"/>
        <v>25353.041651386651</v>
      </c>
      <c r="DZ435" s="129">
        <f t="shared" si="1471"/>
        <v>30438.824325242829</v>
      </c>
      <c r="EA435" s="129">
        <f t="shared" si="1471"/>
        <v>31085.260484884056</v>
      </c>
      <c r="EB435" s="129">
        <f t="shared" si="1471"/>
        <v>28572.941032707156</v>
      </c>
      <c r="EC435" s="129">
        <f t="shared" si="1471"/>
        <v>33185.501003325553</v>
      </c>
      <c r="ED435" s="113" t="s">
        <v>1</v>
      </c>
    </row>
    <row r="436" spans="1:134" x14ac:dyDescent="0.2">
      <c r="A436" s="737" t="s">
        <v>193</v>
      </c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29">
        <v>0</v>
      </c>
      <c r="AC436" s="129">
        <v>0</v>
      </c>
      <c r="AD436" s="129">
        <v>1</v>
      </c>
      <c r="AE436" s="129">
        <v>11</v>
      </c>
      <c r="AF436" s="129">
        <v>37</v>
      </c>
      <c r="AG436" s="129">
        <v>77</v>
      </c>
      <c r="AH436" s="129">
        <v>118</v>
      </c>
      <c r="AI436" s="129">
        <v>87</v>
      </c>
      <c r="AJ436" s="129">
        <v>141</v>
      </c>
      <c r="AK436" s="129">
        <v>349</v>
      </c>
      <c r="AL436" s="129">
        <v>259</v>
      </c>
      <c r="AM436" s="129">
        <v>2</v>
      </c>
      <c r="AN436" s="129">
        <v>106</v>
      </c>
      <c r="AO436" s="129">
        <v>95</v>
      </c>
      <c r="AP436" s="129">
        <v>170</v>
      </c>
      <c r="AQ436" s="129">
        <v>449</v>
      </c>
      <c r="AR436" s="129">
        <v>439</v>
      </c>
      <c r="AS436" s="129">
        <v>504</v>
      </c>
      <c r="AT436" s="129">
        <v>605</v>
      </c>
      <c r="AU436" s="129">
        <v>542</v>
      </c>
      <c r="AV436" s="129">
        <v>384</v>
      </c>
      <c r="AW436" s="129">
        <v>359</v>
      </c>
      <c r="AX436" s="129">
        <v>253</v>
      </c>
      <c r="AY436" s="129">
        <v>165</v>
      </c>
      <c r="AZ436" s="129">
        <v>16</v>
      </c>
      <c r="BA436" s="129">
        <v>340</v>
      </c>
      <c r="BB436" s="129">
        <v>245</v>
      </c>
      <c r="BC436" s="129">
        <v>343</v>
      </c>
      <c r="BD436" s="129">
        <v>192</v>
      </c>
      <c r="BE436" s="129">
        <v>224</v>
      </c>
      <c r="BF436" s="129">
        <v>210</v>
      </c>
      <c r="BG436" s="129">
        <v>125</v>
      </c>
      <c r="BH436" s="129">
        <v>77</v>
      </c>
      <c r="BI436" s="129">
        <v>122</v>
      </c>
      <c r="BJ436" s="129">
        <v>152</v>
      </c>
      <c r="BK436" s="129">
        <v>209</v>
      </c>
      <c r="BL436" s="129">
        <v>98</v>
      </c>
      <c r="BM436" s="129">
        <v>42</v>
      </c>
      <c r="BN436" s="129">
        <v>31</v>
      </c>
      <c r="BO436" s="129">
        <v>-1</v>
      </c>
      <c r="BP436" s="129">
        <v>193</v>
      </c>
      <c r="BQ436" s="129">
        <v>178</v>
      </c>
      <c r="BR436" s="129">
        <v>146</v>
      </c>
      <c r="BS436" s="129">
        <v>180</v>
      </c>
      <c r="BT436" s="129">
        <v>180</v>
      </c>
      <c r="BU436" s="129">
        <v>86</v>
      </c>
      <c r="BV436" s="129">
        <v>194</v>
      </c>
      <c r="BW436" s="129">
        <v>238</v>
      </c>
      <c r="BX436" s="129">
        <v>174</v>
      </c>
      <c r="BY436" s="129">
        <v>149</v>
      </c>
      <c r="BZ436" s="129">
        <v>229</v>
      </c>
      <c r="CA436" s="129">
        <v>81</v>
      </c>
      <c r="CB436" s="129">
        <v>217</v>
      </c>
      <c r="CC436" s="129">
        <v>100</v>
      </c>
      <c r="CD436" s="129">
        <v>223</v>
      </c>
      <c r="CE436" s="129">
        <v>352</v>
      </c>
      <c r="CF436" s="129">
        <v>-18</v>
      </c>
      <c r="CG436" s="129">
        <v>245</v>
      </c>
      <c r="CH436" s="129">
        <v>259</v>
      </c>
      <c r="CI436" s="129">
        <v>339</v>
      </c>
      <c r="CJ436" s="129">
        <v>307</v>
      </c>
      <c r="CK436" s="129">
        <v>439</v>
      </c>
      <c r="CL436" s="129">
        <v>270</v>
      </c>
      <c r="CM436" s="129">
        <v>180</v>
      </c>
      <c r="CN436" s="129">
        <v>396</v>
      </c>
      <c r="CO436" s="129">
        <v>355</v>
      </c>
      <c r="CP436" s="129">
        <v>172</v>
      </c>
      <c r="CQ436" s="129">
        <v>234</v>
      </c>
      <c r="CR436" s="129">
        <v>226</v>
      </c>
      <c r="CS436" s="129">
        <v>369</v>
      </c>
      <c r="CT436" s="704">
        <f>CT396-CT409</f>
        <v>300.83374541568685</v>
      </c>
      <c r="CU436" s="704">
        <f t="shared" ref="CU436:DQ436" si="1472">CU396-CU409</f>
        <v>293.87196648134909</v>
      </c>
      <c r="CV436" s="704">
        <f t="shared" si="1472"/>
        <v>292.88786159100613</v>
      </c>
      <c r="CW436" s="704">
        <f t="shared" si="1472"/>
        <v>319.08323612742129</v>
      </c>
      <c r="CX436" s="704">
        <f t="shared" si="1472"/>
        <v>281.9953840053463</v>
      </c>
      <c r="CY436" s="704">
        <f t="shared" si="1472"/>
        <v>259.55423479663204</v>
      </c>
      <c r="CZ436" s="704">
        <f t="shared" si="1472"/>
        <v>330.27567594746165</v>
      </c>
      <c r="DA436" s="704">
        <f t="shared" si="1472"/>
        <v>301.71142244639543</v>
      </c>
      <c r="DB436" s="704">
        <f t="shared" si="1472"/>
        <v>363.88318920968987</v>
      </c>
      <c r="DC436" s="704">
        <f t="shared" si="1472"/>
        <v>373.28421804367616</v>
      </c>
      <c r="DD436" s="704">
        <f t="shared" si="1472"/>
        <v>344.85558682370174</v>
      </c>
      <c r="DE436" s="704">
        <f t="shared" si="1472"/>
        <v>405.30787140001388</v>
      </c>
      <c r="DF436" s="704">
        <f t="shared" si="1472"/>
        <v>358.34607909809768</v>
      </c>
      <c r="DG436" s="704">
        <f t="shared" si="1472"/>
        <v>350.99332996616135</v>
      </c>
      <c r="DH436" s="704">
        <f t="shared" si="1472"/>
        <v>348.03032935968326</v>
      </c>
      <c r="DI436" s="704">
        <f t="shared" si="1472"/>
        <v>378.79738460269584</v>
      </c>
      <c r="DJ436" s="704">
        <f t="shared" si="1472"/>
        <v>334.3009794256929</v>
      </c>
      <c r="DK436" s="704">
        <f t="shared" si="1472"/>
        <v>307.13917784268131</v>
      </c>
      <c r="DL436" s="704">
        <f t="shared" si="1472"/>
        <v>389.11415758770829</v>
      </c>
      <c r="DM436" s="704">
        <f t="shared" si="1472"/>
        <v>353.77718737051083</v>
      </c>
      <c r="DN436" s="704">
        <f t="shared" si="1472"/>
        <v>424.85821010428657</v>
      </c>
      <c r="DO436" s="704">
        <f t="shared" si="1472"/>
        <v>433.9965362657224</v>
      </c>
      <c r="DP436" s="704">
        <f t="shared" si="1472"/>
        <v>399.13115361356842</v>
      </c>
      <c r="DQ436" s="704">
        <f t="shared" si="1472"/>
        <v>463.6843036240457</v>
      </c>
      <c r="DR436" s="129">
        <f t="shared" ref="DR436:EC436" si="1473">DR396-DR409</f>
        <v>409.70901710215833</v>
      </c>
      <c r="DS436" s="129">
        <f t="shared" si="1473"/>
        <v>400.94238076903815</v>
      </c>
      <c r="DT436" s="129">
        <f t="shared" si="1473"/>
        <v>397.3240796453548</v>
      </c>
      <c r="DU436" s="129">
        <f t="shared" si="1473"/>
        <v>432.19824333459218</v>
      </c>
      <c r="DV436" s="129">
        <f t="shared" si="1473"/>
        <v>381.10311654528988</v>
      </c>
      <c r="DW436" s="129">
        <f t="shared" si="1473"/>
        <v>349.74933138846171</v>
      </c>
      <c r="DX436" s="129">
        <f t="shared" si="1473"/>
        <v>442.97574887484899</v>
      </c>
      <c r="DY436" s="129">
        <f t="shared" si="1473"/>
        <v>402.52940953254461</v>
      </c>
      <c r="DZ436" s="129">
        <f t="shared" si="1473"/>
        <v>483.27621399362607</v>
      </c>
      <c r="EA436" s="129">
        <f t="shared" si="1473"/>
        <v>493.53965966688463</v>
      </c>
      <c r="EB436" s="129">
        <f t="shared" si="1473"/>
        <v>453.65164624634963</v>
      </c>
      <c r="EC436" s="129">
        <f t="shared" si="1473"/>
        <v>526.88510939198079</v>
      </c>
      <c r="ED436" s="113" t="s">
        <v>1</v>
      </c>
    </row>
    <row r="437" spans="1:134" s="331" customFormat="1" x14ac:dyDescent="0.2">
      <c r="A437" s="735" t="s">
        <v>191</v>
      </c>
      <c r="B437" s="330"/>
      <c r="C437" s="330"/>
      <c r="D437" s="330"/>
      <c r="E437" s="330"/>
      <c r="F437" s="330"/>
      <c r="G437" s="330"/>
      <c r="H437" s="330"/>
      <c r="I437" s="330"/>
      <c r="J437" s="330"/>
      <c r="K437" s="330"/>
      <c r="L437" s="330"/>
      <c r="M437" s="330"/>
      <c r="N437" s="330"/>
      <c r="O437" s="330"/>
      <c r="P437" s="330"/>
      <c r="Q437" s="330"/>
      <c r="R437" s="330"/>
      <c r="S437" s="330"/>
      <c r="T437" s="330"/>
      <c r="U437" s="330"/>
      <c r="V437" s="330"/>
      <c r="W437" s="330"/>
      <c r="X437" s="330"/>
      <c r="Y437" s="330"/>
      <c r="Z437" s="330"/>
      <c r="AA437" s="330"/>
      <c r="AB437" s="132">
        <v>1482</v>
      </c>
      <c r="AC437" s="132">
        <v>1588</v>
      </c>
      <c r="AD437" s="132">
        <v>1718</v>
      </c>
      <c r="AE437" s="132">
        <v>1453</v>
      </c>
      <c r="AF437" s="132">
        <v>1381</v>
      </c>
      <c r="AG437" s="132">
        <v>1308</v>
      </c>
      <c r="AH437" s="132">
        <v>1396</v>
      </c>
      <c r="AI437" s="132">
        <v>1309</v>
      </c>
      <c r="AJ437" s="132">
        <v>1161</v>
      </c>
      <c r="AK437" s="132">
        <v>1581</v>
      </c>
      <c r="AL437" s="132">
        <v>1004</v>
      </c>
      <c r="AM437" s="132">
        <v>0</v>
      </c>
      <c r="AN437" s="132">
        <v>1629</v>
      </c>
      <c r="AO437" s="132">
        <v>2261</v>
      </c>
      <c r="AP437" s="132">
        <v>2125</v>
      </c>
      <c r="AQ437" s="132">
        <v>2534</v>
      </c>
      <c r="AR437" s="132">
        <v>2778</v>
      </c>
      <c r="AS437" s="132">
        <v>2507</v>
      </c>
      <c r="AT437" s="132">
        <v>3493</v>
      </c>
      <c r="AU437" s="132">
        <v>3337</v>
      </c>
      <c r="AV437" s="132">
        <v>3485</v>
      </c>
      <c r="AW437" s="132">
        <v>3181</v>
      </c>
      <c r="AX437" s="132">
        <v>4062</v>
      </c>
      <c r="AY437" s="132">
        <v>4193</v>
      </c>
      <c r="AZ437" s="132">
        <v>4333</v>
      </c>
      <c r="BA437" s="132">
        <v>5144</v>
      </c>
      <c r="BB437" s="132">
        <v>5144</v>
      </c>
      <c r="BC437" s="132">
        <v>5382</v>
      </c>
      <c r="BD437" s="132">
        <v>5218</v>
      </c>
      <c r="BE437" s="132">
        <v>5535</v>
      </c>
      <c r="BF437" s="132">
        <v>5356</v>
      </c>
      <c r="BG437" s="132">
        <v>5655</v>
      </c>
      <c r="BH437" s="132">
        <v>5655</v>
      </c>
      <c r="BI437" s="132">
        <v>5767</v>
      </c>
      <c r="BJ437" s="132">
        <v>6399</v>
      </c>
      <c r="BK437" s="132">
        <v>6161</v>
      </c>
      <c r="BL437" s="132">
        <v>6127</v>
      </c>
      <c r="BM437" s="132">
        <v>6755</v>
      </c>
      <c r="BN437" s="132">
        <v>6654</v>
      </c>
      <c r="BO437" s="132">
        <v>6016</v>
      </c>
      <c r="BP437" s="132">
        <v>6108</v>
      </c>
      <c r="BQ437" s="132">
        <v>6108</v>
      </c>
      <c r="BR437" s="132">
        <v>5056</v>
      </c>
      <c r="BS437" s="132">
        <v>5056</v>
      </c>
      <c r="BT437" s="132">
        <v>4727</v>
      </c>
      <c r="BU437" s="132">
        <v>4727</v>
      </c>
      <c r="BV437" s="132">
        <v>5680</v>
      </c>
      <c r="BW437" s="132">
        <v>5846</v>
      </c>
      <c r="BX437" s="132">
        <v>5937</v>
      </c>
      <c r="BY437" s="132">
        <v>6152</v>
      </c>
      <c r="BZ437" s="132">
        <v>6020</v>
      </c>
      <c r="CA437" s="132">
        <v>5632</v>
      </c>
      <c r="CB437" s="132">
        <v>5494</v>
      </c>
      <c r="CC437" s="132">
        <v>5200</v>
      </c>
      <c r="CD437" s="132">
        <v>5200</v>
      </c>
      <c r="CE437" s="132">
        <v>5756</v>
      </c>
      <c r="CF437" s="132">
        <v>5064</v>
      </c>
      <c r="CG437" s="132">
        <v>6200</v>
      </c>
      <c r="CH437" s="132">
        <v>5983</v>
      </c>
      <c r="CI437" s="132">
        <v>6182</v>
      </c>
      <c r="CJ437" s="132">
        <v>5870</v>
      </c>
      <c r="CK437" s="132">
        <v>6286</v>
      </c>
      <c r="CL437" s="132">
        <v>6550</v>
      </c>
      <c r="CM437" s="132">
        <v>6485</v>
      </c>
      <c r="CN437" s="132">
        <v>6445</v>
      </c>
      <c r="CO437" s="132">
        <v>6652</v>
      </c>
      <c r="CP437" s="132">
        <v>7592</v>
      </c>
      <c r="CQ437" s="132">
        <v>8007</v>
      </c>
      <c r="CR437" s="132">
        <v>7062</v>
      </c>
      <c r="CS437" s="132">
        <v>10010</v>
      </c>
      <c r="CT437" s="703">
        <f>CS437*(1+CT385)</f>
        <v>10010</v>
      </c>
      <c r="CU437" s="703">
        <f t="shared" ref="CU437:EC437" si="1474">CT437*(1+CU385)</f>
        <v>10010</v>
      </c>
      <c r="CV437" s="703">
        <f t="shared" si="1474"/>
        <v>10010</v>
      </c>
      <c r="CW437" s="703">
        <f t="shared" si="1474"/>
        <v>10010</v>
      </c>
      <c r="CX437" s="703">
        <f t="shared" si="1474"/>
        <v>10010</v>
      </c>
      <c r="CY437" s="703">
        <f t="shared" si="1474"/>
        <v>10010</v>
      </c>
      <c r="CZ437" s="703">
        <f t="shared" si="1474"/>
        <v>10010</v>
      </c>
      <c r="DA437" s="703">
        <f t="shared" si="1474"/>
        <v>10010</v>
      </c>
      <c r="DB437" s="703">
        <f t="shared" si="1474"/>
        <v>10010</v>
      </c>
      <c r="DC437" s="703">
        <f t="shared" si="1474"/>
        <v>10010</v>
      </c>
      <c r="DD437" s="703">
        <f t="shared" si="1474"/>
        <v>10010</v>
      </c>
      <c r="DE437" s="703">
        <f t="shared" si="1474"/>
        <v>10010</v>
      </c>
      <c r="DF437" s="703">
        <f t="shared" si="1474"/>
        <v>10010</v>
      </c>
      <c r="DG437" s="703">
        <f t="shared" si="1474"/>
        <v>10010</v>
      </c>
      <c r="DH437" s="703">
        <f t="shared" si="1474"/>
        <v>10010</v>
      </c>
      <c r="DI437" s="703">
        <f t="shared" si="1474"/>
        <v>10010</v>
      </c>
      <c r="DJ437" s="703">
        <f t="shared" si="1474"/>
        <v>10010</v>
      </c>
      <c r="DK437" s="703">
        <f t="shared" si="1474"/>
        <v>10010</v>
      </c>
      <c r="DL437" s="703">
        <f t="shared" si="1474"/>
        <v>10010</v>
      </c>
      <c r="DM437" s="703">
        <f t="shared" si="1474"/>
        <v>10010</v>
      </c>
      <c r="DN437" s="703">
        <f t="shared" si="1474"/>
        <v>10010</v>
      </c>
      <c r="DO437" s="703">
        <f t="shared" si="1474"/>
        <v>10010</v>
      </c>
      <c r="DP437" s="703">
        <f t="shared" si="1474"/>
        <v>10010</v>
      </c>
      <c r="DQ437" s="703">
        <f t="shared" si="1474"/>
        <v>10010</v>
      </c>
      <c r="DR437" s="703">
        <f t="shared" si="1474"/>
        <v>10010</v>
      </c>
      <c r="DS437" s="703">
        <f t="shared" si="1474"/>
        <v>10010</v>
      </c>
      <c r="DT437" s="703">
        <f t="shared" si="1474"/>
        <v>10010</v>
      </c>
      <c r="DU437" s="703">
        <f t="shared" si="1474"/>
        <v>10010</v>
      </c>
      <c r="DV437" s="703">
        <f t="shared" si="1474"/>
        <v>10010</v>
      </c>
      <c r="DW437" s="703">
        <f t="shared" si="1474"/>
        <v>10010</v>
      </c>
      <c r="DX437" s="703">
        <f t="shared" si="1474"/>
        <v>10010</v>
      </c>
      <c r="DY437" s="703">
        <f t="shared" si="1474"/>
        <v>10010</v>
      </c>
      <c r="DZ437" s="703">
        <f t="shared" si="1474"/>
        <v>10010</v>
      </c>
      <c r="EA437" s="703">
        <f t="shared" si="1474"/>
        <v>10010</v>
      </c>
      <c r="EB437" s="703">
        <f t="shared" si="1474"/>
        <v>10010</v>
      </c>
      <c r="EC437" s="703">
        <f t="shared" si="1474"/>
        <v>10010</v>
      </c>
      <c r="ED437" s="113" t="s">
        <v>1</v>
      </c>
    </row>
    <row r="438" spans="1:134" s="331" customFormat="1" x14ac:dyDescent="0.2">
      <c r="A438" s="735" t="s">
        <v>140</v>
      </c>
      <c r="B438" s="330"/>
      <c r="C438" s="330"/>
      <c r="D438" s="330"/>
      <c r="E438" s="330"/>
      <c r="F438" s="330"/>
      <c r="G438" s="330"/>
      <c r="H438" s="330"/>
      <c r="I438" s="330"/>
      <c r="J438" s="330"/>
      <c r="K438" s="330"/>
      <c r="L438" s="330"/>
      <c r="M438" s="330"/>
      <c r="N438" s="330"/>
      <c r="O438" s="330"/>
      <c r="P438" s="330"/>
      <c r="Q438" s="330"/>
      <c r="R438" s="330"/>
      <c r="S438" s="330"/>
      <c r="T438" s="330"/>
      <c r="U438" s="330"/>
      <c r="V438" s="330"/>
      <c r="W438" s="330"/>
      <c r="X438" s="330"/>
      <c r="Y438" s="330"/>
      <c r="Z438" s="330"/>
      <c r="AA438" s="330"/>
      <c r="AB438" s="132">
        <v>195</v>
      </c>
      <c r="AC438" s="132">
        <v>170</v>
      </c>
      <c r="AD438" s="132">
        <v>288</v>
      </c>
      <c r="AE438" s="132">
        <v>434</v>
      </c>
      <c r="AF438" s="132">
        <v>493</v>
      </c>
      <c r="AG438" s="132">
        <v>435</v>
      </c>
      <c r="AH438" s="132">
        <v>447</v>
      </c>
      <c r="AI438" s="132">
        <v>479</v>
      </c>
      <c r="AJ438" s="132">
        <v>919</v>
      </c>
      <c r="AK438" s="132">
        <v>878</v>
      </c>
      <c r="AL438" s="132">
        <v>514</v>
      </c>
      <c r="AM438" s="132">
        <v>8</v>
      </c>
      <c r="AN438" s="132">
        <v>546</v>
      </c>
      <c r="AO438" s="132">
        <v>889</v>
      </c>
      <c r="AP438" s="132">
        <v>2482</v>
      </c>
      <c r="AQ438" s="132">
        <v>2913</v>
      </c>
      <c r="AR438" s="132">
        <v>2969</v>
      </c>
      <c r="AS438" s="132">
        <v>3268</v>
      </c>
      <c r="AT438" s="132">
        <v>4200</v>
      </c>
      <c r="AU438" s="132">
        <v>4160</v>
      </c>
      <c r="AV438" s="132">
        <v>3890</v>
      </c>
      <c r="AW438" s="132">
        <v>4956</v>
      </c>
      <c r="AX438" s="132">
        <v>4407</v>
      </c>
      <c r="AY438" s="132">
        <v>4176</v>
      </c>
      <c r="AZ438" s="132">
        <v>4637</v>
      </c>
      <c r="BA438" s="132">
        <v>5245</v>
      </c>
      <c r="BB438" s="132">
        <v>6017</v>
      </c>
      <c r="BC438" s="132">
        <v>6086</v>
      </c>
      <c r="BD438" s="132">
        <v>6025</v>
      </c>
      <c r="BE438" s="132">
        <v>4937</v>
      </c>
      <c r="BF438" s="132">
        <v>5207</v>
      </c>
      <c r="BG438" s="132">
        <v>6658</v>
      </c>
      <c r="BH438" s="132">
        <v>7184</v>
      </c>
      <c r="BI438" s="132">
        <v>7363</v>
      </c>
      <c r="BJ438" s="132">
        <v>8063</v>
      </c>
      <c r="BK438" s="132">
        <v>8251</v>
      </c>
      <c r="BL438" s="132">
        <v>8187</v>
      </c>
      <c r="BM438" s="132">
        <v>8478</v>
      </c>
      <c r="BN438" s="132">
        <v>13340</v>
      </c>
      <c r="BO438" s="132">
        <v>12265</v>
      </c>
      <c r="BP438" s="132">
        <v>15421</v>
      </c>
      <c r="BQ438" s="132">
        <v>10285</v>
      </c>
      <c r="BR438" s="132">
        <v>8708</v>
      </c>
      <c r="BS438" s="132">
        <v>8302</v>
      </c>
      <c r="BT438" s="132">
        <v>8133</v>
      </c>
      <c r="BU438" s="132">
        <v>25036</v>
      </c>
      <c r="BV438" s="132">
        <v>9279</v>
      </c>
      <c r="BW438" s="132">
        <v>9358</v>
      </c>
      <c r="BX438" s="132">
        <v>9815</v>
      </c>
      <c r="BY438" s="132">
        <v>10850</v>
      </c>
      <c r="BZ438" s="132">
        <v>11435</v>
      </c>
      <c r="CA438" s="132">
        <v>9443</v>
      </c>
      <c r="CB438" s="132">
        <v>12963</v>
      </c>
      <c r="CC438" s="132">
        <v>10730</v>
      </c>
      <c r="CD438" s="132">
        <v>10730</v>
      </c>
      <c r="CE438" s="132">
        <v>12497</v>
      </c>
      <c r="CF438" s="132">
        <v>11683</v>
      </c>
      <c r="CG438" s="132">
        <v>13094</v>
      </c>
      <c r="CH438" s="132">
        <v>13511</v>
      </c>
      <c r="CI438" s="132">
        <v>12482</v>
      </c>
      <c r="CJ438" s="132">
        <v>9542</v>
      </c>
      <c r="CK438" s="132">
        <v>11521</v>
      </c>
      <c r="CL438" s="132">
        <v>11164</v>
      </c>
      <c r="CM438" s="132">
        <v>11423</v>
      </c>
      <c r="CN438" s="132">
        <v>15235</v>
      </c>
      <c r="CO438" s="132">
        <v>13760</v>
      </c>
      <c r="CP438" s="132">
        <v>21912</v>
      </c>
      <c r="CQ438" s="132">
        <v>15892</v>
      </c>
      <c r="CR438" s="132">
        <v>14750</v>
      </c>
      <c r="CS438" s="132">
        <v>17639</v>
      </c>
      <c r="CT438" s="703">
        <f>CS438*(1+CT385)</f>
        <v>17639</v>
      </c>
      <c r="CU438" s="703">
        <f t="shared" ref="CU438:EC438" si="1475">CT438*(1+CU385)</f>
        <v>17639</v>
      </c>
      <c r="CV438" s="703">
        <f t="shared" si="1475"/>
        <v>17639</v>
      </c>
      <c r="CW438" s="703">
        <f t="shared" si="1475"/>
        <v>17639</v>
      </c>
      <c r="CX438" s="703">
        <f t="shared" si="1475"/>
        <v>17639</v>
      </c>
      <c r="CY438" s="703">
        <f t="shared" si="1475"/>
        <v>17639</v>
      </c>
      <c r="CZ438" s="703">
        <f t="shared" si="1475"/>
        <v>17639</v>
      </c>
      <c r="DA438" s="703">
        <f t="shared" si="1475"/>
        <v>17639</v>
      </c>
      <c r="DB438" s="703">
        <f t="shared" si="1475"/>
        <v>17639</v>
      </c>
      <c r="DC438" s="703">
        <f t="shared" si="1475"/>
        <v>17639</v>
      </c>
      <c r="DD438" s="703">
        <f t="shared" si="1475"/>
        <v>17639</v>
      </c>
      <c r="DE438" s="703">
        <f t="shared" si="1475"/>
        <v>17639</v>
      </c>
      <c r="DF438" s="703">
        <f t="shared" si="1475"/>
        <v>17639</v>
      </c>
      <c r="DG438" s="703">
        <f t="shared" si="1475"/>
        <v>17639</v>
      </c>
      <c r="DH438" s="703">
        <f t="shared" si="1475"/>
        <v>17639</v>
      </c>
      <c r="DI438" s="703">
        <f t="shared" si="1475"/>
        <v>17639</v>
      </c>
      <c r="DJ438" s="703">
        <f t="shared" si="1475"/>
        <v>17639</v>
      </c>
      <c r="DK438" s="703">
        <f t="shared" si="1475"/>
        <v>17639</v>
      </c>
      <c r="DL438" s="703">
        <f t="shared" si="1475"/>
        <v>17639</v>
      </c>
      <c r="DM438" s="703">
        <f t="shared" si="1475"/>
        <v>17639</v>
      </c>
      <c r="DN438" s="703">
        <f t="shared" si="1475"/>
        <v>17639</v>
      </c>
      <c r="DO438" s="703">
        <f t="shared" si="1475"/>
        <v>17639</v>
      </c>
      <c r="DP438" s="703">
        <f t="shared" si="1475"/>
        <v>17639</v>
      </c>
      <c r="DQ438" s="703">
        <f t="shared" si="1475"/>
        <v>17639</v>
      </c>
      <c r="DR438" s="703">
        <f t="shared" si="1475"/>
        <v>17639</v>
      </c>
      <c r="DS438" s="703">
        <f t="shared" si="1475"/>
        <v>17639</v>
      </c>
      <c r="DT438" s="703">
        <f t="shared" si="1475"/>
        <v>17639</v>
      </c>
      <c r="DU438" s="703">
        <f t="shared" si="1475"/>
        <v>17639</v>
      </c>
      <c r="DV438" s="703">
        <f t="shared" si="1475"/>
        <v>17639</v>
      </c>
      <c r="DW438" s="703">
        <f t="shared" si="1475"/>
        <v>17639</v>
      </c>
      <c r="DX438" s="703">
        <f t="shared" si="1475"/>
        <v>17639</v>
      </c>
      <c r="DY438" s="703">
        <f t="shared" si="1475"/>
        <v>17639</v>
      </c>
      <c r="DZ438" s="703">
        <f t="shared" si="1475"/>
        <v>17639</v>
      </c>
      <c r="EA438" s="703">
        <f t="shared" si="1475"/>
        <v>17639</v>
      </c>
      <c r="EB438" s="703">
        <f t="shared" si="1475"/>
        <v>17639</v>
      </c>
      <c r="EC438" s="703">
        <f t="shared" si="1475"/>
        <v>17639</v>
      </c>
      <c r="ED438" s="113" t="s">
        <v>1</v>
      </c>
    </row>
    <row r="439" spans="1:134" x14ac:dyDescent="0.2">
      <c r="A439" s="117" t="s">
        <v>208</v>
      </c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29">
        <f>AB417/AB434</f>
        <v>13725.113573407201</v>
      </c>
      <c r="AC439" s="129">
        <f t="shared" ref="AC439:CN439" si="1476">AC417/AC434</f>
        <v>14735.200729927008</v>
      </c>
      <c r="AD439" s="129">
        <f t="shared" si="1476"/>
        <v>12516.498984881209</v>
      </c>
      <c r="AE439" s="129">
        <f t="shared" si="1476"/>
        <v>11273.231688311689</v>
      </c>
      <c r="AF439" s="129">
        <f t="shared" si="1476"/>
        <v>12661.684972602739</v>
      </c>
      <c r="AG439" s="129">
        <f t="shared" si="1476"/>
        <v>12738.034512510785</v>
      </c>
      <c r="AH439" s="129">
        <f t="shared" si="1476"/>
        <v>18866.772868605818</v>
      </c>
      <c r="AI439" s="129">
        <f t="shared" si="1476"/>
        <v>19699.913116089614</v>
      </c>
      <c r="AJ439" s="129">
        <f t="shared" si="1476"/>
        <v>17165.960382136276</v>
      </c>
      <c r="AK439" s="129">
        <f t="shared" si="1476"/>
        <v>14016.79009793992</v>
      </c>
      <c r="AL439" s="129">
        <f t="shared" si="1476"/>
        <v>14538.623700738926</v>
      </c>
      <c r="AM439" s="129">
        <f t="shared" si="1476"/>
        <v>13614.145833333338</v>
      </c>
      <c r="AN439" s="129">
        <f t="shared" si="1476"/>
        <v>13369.060881834206</v>
      </c>
      <c r="AO439" s="129">
        <f t="shared" si="1476"/>
        <v>13095.671603881325</v>
      </c>
      <c r="AP439" s="129">
        <f t="shared" si="1476"/>
        <v>13282.459453744554</v>
      </c>
      <c r="AQ439" s="129">
        <f t="shared" si="1476"/>
        <v>12554.937371463384</v>
      </c>
      <c r="AR439" s="129">
        <f t="shared" si="1476"/>
        <v>14361.107580071268</v>
      </c>
      <c r="AS439" s="129">
        <f t="shared" si="1476"/>
        <v>15415.849789345726</v>
      </c>
      <c r="AT439" s="129">
        <f t="shared" si="1476"/>
        <v>14827.931621666028</v>
      </c>
      <c r="AU439" s="129">
        <f t="shared" si="1476"/>
        <v>14743.030233723239</v>
      </c>
      <c r="AV439" s="129">
        <f t="shared" si="1476"/>
        <v>15761.938287962661</v>
      </c>
      <c r="AW439" s="129">
        <f t="shared" si="1476"/>
        <v>16233.981258594173</v>
      </c>
      <c r="AX439" s="129">
        <f t="shared" si="1476"/>
        <v>16307.110495810562</v>
      </c>
      <c r="AY439" s="129">
        <f t="shared" si="1476"/>
        <v>14773.584483019473</v>
      </c>
      <c r="AZ439" s="129">
        <f t="shared" si="1476"/>
        <v>17286.580235135247</v>
      </c>
      <c r="BA439" s="129">
        <f t="shared" si="1476"/>
        <v>15908.374667620314</v>
      </c>
      <c r="BB439" s="129">
        <f t="shared" si="1476"/>
        <v>15498.281654120379</v>
      </c>
      <c r="BC439" s="129">
        <f t="shared" si="1476"/>
        <v>14637.579314372753</v>
      </c>
      <c r="BD439" s="129">
        <f t="shared" si="1476"/>
        <v>16198.069598409111</v>
      </c>
      <c r="BE439" s="129">
        <f t="shared" si="1476"/>
        <v>17355.434959482816</v>
      </c>
      <c r="BF439" s="129">
        <f t="shared" si="1476"/>
        <v>18942.256928963008</v>
      </c>
      <c r="BG439" s="129">
        <f t="shared" si="1476"/>
        <v>19960.574736612114</v>
      </c>
      <c r="BH439" s="129">
        <f t="shared" si="1476"/>
        <v>21649.552553212226</v>
      </c>
      <c r="BI439" s="129">
        <f t="shared" si="1476"/>
        <v>23796.606234541025</v>
      </c>
      <c r="BJ439" s="129">
        <f t="shared" si="1476"/>
        <v>25100.681487285063</v>
      </c>
      <c r="BK439" s="129">
        <f t="shared" si="1476"/>
        <v>23965.457510381362</v>
      </c>
      <c r="BL439" s="129">
        <f t="shared" si="1476"/>
        <v>23503.256510560255</v>
      </c>
      <c r="BM439" s="129">
        <f t="shared" si="1476"/>
        <v>22911.509122322033</v>
      </c>
      <c r="BN439" s="129">
        <f t="shared" si="1476"/>
        <v>22491.193167297595</v>
      </c>
      <c r="BO439" s="129">
        <f t="shared" si="1476"/>
        <v>22542.501686853047</v>
      </c>
      <c r="BP439" s="129">
        <f t="shared" si="1476"/>
        <v>26754.260025625019</v>
      </c>
      <c r="BQ439" s="129">
        <f t="shared" si="1476"/>
        <v>25884.495091879788</v>
      </c>
      <c r="BR439" s="129">
        <f t="shared" si="1476"/>
        <v>25242.196504079231</v>
      </c>
      <c r="BS439" s="129">
        <f t="shared" si="1476"/>
        <v>25263.980473330565</v>
      </c>
      <c r="BT439" s="129">
        <f t="shared" si="1476"/>
        <v>26420.395756735357</v>
      </c>
      <c r="BU439" s="129">
        <f t="shared" si="1476"/>
        <v>25543.33810753846</v>
      </c>
      <c r="BV439" s="129">
        <f t="shared" si="1476"/>
        <v>25220.519015134749</v>
      </c>
      <c r="BW439" s="129">
        <f t="shared" si="1476"/>
        <v>26007.791201374333</v>
      </c>
      <c r="BX439" s="129">
        <f t="shared" si="1476"/>
        <v>25482.66370084375</v>
      </c>
      <c r="BY439" s="129">
        <f t="shared" si="1476"/>
        <v>25662.53140503593</v>
      </c>
      <c r="BZ439" s="129">
        <f t="shared" si="1476"/>
        <v>26145.294135207478</v>
      </c>
      <c r="CA439" s="129">
        <f t="shared" si="1476"/>
        <v>26011.113775973841</v>
      </c>
      <c r="CB439" s="129">
        <f t="shared" si="1476"/>
        <v>29594.259189699442</v>
      </c>
      <c r="CC439" s="129">
        <f t="shared" si="1476"/>
        <v>30224.17916161862</v>
      </c>
      <c r="CD439" s="129">
        <f t="shared" si="1476"/>
        <v>30451.798024684922</v>
      </c>
      <c r="CE439" s="129">
        <f t="shared" si="1476"/>
        <v>31138.933750949225</v>
      </c>
      <c r="CF439" s="129">
        <f t="shared" si="1476"/>
        <v>31430.316916368978</v>
      </c>
      <c r="CG439" s="129">
        <f t="shared" si="1476"/>
        <v>31503.788793762622</v>
      </c>
      <c r="CH439" s="129">
        <f t="shared" si="1476"/>
        <v>31358.974132600801</v>
      </c>
      <c r="CI439" s="129">
        <f t="shared" si="1476"/>
        <v>30198.961469547237</v>
      </c>
      <c r="CJ439" s="129">
        <f t="shared" si="1476"/>
        <v>30644.037313661272</v>
      </c>
      <c r="CK439" s="129">
        <f t="shared" si="1476"/>
        <v>30311.119504079212</v>
      </c>
      <c r="CL439" s="129">
        <f t="shared" si="1476"/>
        <v>28958.003680289294</v>
      </c>
      <c r="CM439" s="129">
        <f t="shared" si="1476"/>
        <v>29653.870773881292</v>
      </c>
      <c r="CN439" s="129">
        <f t="shared" si="1476"/>
        <v>33084.660336282948</v>
      </c>
      <c r="CO439" s="129">
        <f t="shared" ref="CO439:DQ439" si="1477">CO417/CO434</f>
        <v>32663.444816296094</v>
      </c>
      <c r="CP439" s="129">
        <f t="shared" si="1477"/>
        <v>32375.572594841255</v>
      </c>
      <c r="CQ439" s="129">
        <f t="shared" si="1477"/>
        <v>32524.309807371381</v>
      </c>
      <c r="CR439" s="129">
        <f t="shared" si="1477"/>
        <v>33068.909848613359</v>
      </c>
      <c r="CS439" s="129">
        <f t="shared" si="1477"/>
        <v>33065.445812590144</v>
      </c>
      <c r="CT439" s="704">
        <f t="shared" si="1477"/>
        <v>32382.346364477369</v>
      </c>
      <c r="CU439" s="704">
        <f t="shared" si="1477"/>
        <v>32382.346364477362</v>
      </c>
      <c r="CV439" s="704">
        <f t="shared" si="1477"/>
        <v>32382.346364477362</v>
      </c>
      <c r="CW439" s="704">
        <f t="shared" si="1477"/>
        <v>32382.346364477376</v>
      </c>
      <c r="CX439" s="704">
        <f t="shared" si="1477"/>
        <v>32382.346364477376</v>
      </c>
      <c r="CY439" s="704">
        <f t="shared" si="1477"/>
        <v>32382.34636447738</v>
      </c>
      <c r="CZ439" s="704">
        <f t="shared" si="1477"/>
        <v>32382.346364477369</v>
      </c>
      <c r="DA439" s="704">
        <f t="shared" si="1477"/>
        <v>32382.346364477373</v>
      </c>
      <c r="DB439" s="704">
        <f t="shared" si="1477"/>
        <v>32382.346364477373</v>
      </c>
      <c r="DC439" s="704">
        <f t="shared" si="1477"/>
        <v>32382.346364477369</v>
      </c>
      <c r="DD439" s="704">
        <f t="shared" si="1477"/>
        <v>32382.346364477369</v>
      </c>
      <c r="DE439" s="704">
        <f t="shared" si="1477"/>
        <v>32382.346364477366</v>
      </c>
      <c r="DF439" s="704">
        <f t="shared" si="1477"/>
        <v>33446.313195830939</v>
      </c>
      <c r="DG439" s="704">
        <f t="shared" si="1477"/>
        <v>33446.313195830931</v>
      </c>
      <c r="DH439" s="704">
        <f t="shared" si="1477"/>
        <v>33446.313195830931</v>
      </c>
      <c r="DI439" s="704">
        <f t="shared" si="1477"/>
        <v>33446.313195830939</v>
      </c>
      <c r="DJ439" s="704">
        <f t="shared" si="1477"/>
        <v>33446.313195830931</v>
      </c>
      <c r="DK439" s="704">
        <f t="shared" si="1477"/>
        <v>33446.313195830931</v>
      </c>
      <c r="DL439" s="704">
        <f t="shared" si="1477"/>
        <v>33446.313195830931</v>
      </c>
      <c r="DM439" s="704">
        <f t="shared" si="1477"/>
        <v>33446.313195830931</v>
      </c>
      <c r="DN439" s="704">
        <f t="shared" si="1477"/>
        <v>33446.313195830931</v>
      </c>
      <c r="DO439" s="704">
        <f t="shared" si="1477"/>
        <v>33446.313195830931</v>
      </c>
      <c r="DP439" s="704">
        <f t="shared" si="1477"/>
        <v>33446.313195830931</v>
      </c>
      <c r="DQ439" s="704">
        <f t="shared" si="1477"/>
        <v>33446.313195830931</v>
      </c>
      <c r="DR439" s="704">
        <f t="shared" ref="DR439:EC439" si="1478">DR417/DR434</f>
        <v>33446.313195830931</v>
      </c>
      <c r="DS439" s="704">
        <f t="shared" si="1478"/>
        <v>33446.313195830931</v>
      </c>
      <c r="DT439" s="704">
        <f t="shared" si="1478"/>
        <v>33446.313195830931</v>
      </c>
      <c r="DU439" s="704">
        <f t="shared" si="1478"/>
        <v>33446.313195830931</v>
      </c>
      <c r="DV439" s="704">
        <f t="shared" si="1478"/>
        <v>33446.313195830931</v>
      </c>
      <c r="DW439" s="704">
        <f t="shared" si="1478"/>
        <v>33446.313195830924</v>
      </c>
      <c r="DX439" s="704">
        <f t="shared" si="1478"/>
        <v>33446.313195830939</v>
      </c>
      <c r="DY439" s="704">
        <f t="shared" si="1478"/>
        <v>33446.313195830931</v>
      </c>
      <c r="DZ439" s="704">
        <f t="shared" si="1478"/>
        <v>33446.313195830924</v>
      </c>
      <c r="EA439" s="704">
        <f t="shared" si="1478"/>
        <v>33446.313195830931</v>
      </c>
      <c r="EB439" s="704">
        <f t="shared" si="1478"/>
        <v>33446.313195830931</v>
      </c>
      <c r="EC439" s="704">
        <f t="shared" si="1478"/>
        <v>33446.313195830931</v>
      </c>
      <c r="ED439" s="113" t="s">
        <v>1</v>
      </c>
    </row>
    <row r="440" spans="1:134" x14ac:dyDescent="0.2">
      <c r="A440" s="117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29"/>
      <c r="AM440" s="129"/>
      <c r="AN440" s="129"/>
      <c r="AO440" s="129"/>
      <c r="AP440" s="129"/>
      <c r="AQ440" s="129"/>
      <c r="AR440" s="129"/>
      <c r="AS440" s="129"/>
      <c r="AT440" s="129"/>
      <c r="AU440" s="129"/>
      <c r="AV440" s="129"/>
      <c r="AW440" s="129"/>
      <c r="AX440" s="129"/>
      <c r="AY440" s="129"/>
      <c r="AZ440" s="129"/>
      <c r="BA440" s="129"/>
      <c r="BB440" s="129"/>
      <c r="BC440" s="129"/>
      <c r="BD440" s="129"/>
      <c r="BE440" s="129"/>
      <c r="BF440" s="129"/>
      <c r="BG440" s="129"/>
      <c r="BH440" s="129"/>
      <c r="BI440" s="129"/>
      <c r="BJ440" s="129"/>
      <c r="BK440" s="129"/>
      <c r="BL440" s="129"/>
      <c r="BM440" s="129"/>
      <c r="BN440" s="129"/>
      <c r="BO440" s="129"/>
      <c r="BP440" s="129"/>
      <c r="BQ440" s="129"/>
      <c r="BR440" s="129"/>
      <c r="BS440" s="129"/>
      <c r="BT440" s="129"/>
      <c r="BU440" s="129"/>
      <c r="BV440" s="129"/>
      <c r="BW440" s="129"/>
      <c r="BX440" s="129"/>
      <c r="BY440" s="129"/>
      <c r="BZ440" s="129"/>
      <c r="CA440" s="129"/>
      <c r="CB440" s="129"/>
      <c r="CC440" s="129"/>
      <c r="CD440" s="129"/>
      <c r="CE440" s="129"/>
      <c r="CF440" s="129"/>
      <c r="CG440" s="129"/>
      <c r="CH440" s="129"/>
      <c r="CI440" s="129"/>
      <c r="CJ440" s="129"/>
      <c r="CK440" s="129"/>
      <c r="CL440" s="129"/>
      <c r="CM440" s="129"/>
      <c r="CN440" s="129"/>
      <c r="CO440" s="129"/>
      <c r="CP440" s="129"/>
      <c r="CQ440" s="129"/>
      <c r="CR440" s="129"/>
      <c r="CS440" s="129"/>
      <c r="CT440" s="704"/>
      <c r="CU440" s="704"/>
      <c r="CV440" s="704"/>
      <c r="CW440" s="704"/>
      <c r="CX440" s="704"/>
      <c r="CY440" s="704"/>
      <c r="CZ440" s="704"/>
      <c r="DA440" s="704"/>
      <c r="DB440" s="704"/>
      <c r="DC440" s="704"/>
      <c r="DD440" s="704"/>
      <c r="DE440" s="704"/>
      <c r="DF440" s="704"/>
      <c r="DG440" s="704"/>
      <c r="DH440" s="704"/>
      <c r="DI440" s="704"/>
      <c r="DJ440" s="704"/>
      <c r="DK440" s="704"/>
      <c r="DL440" s="704"/>
      <c r="DM440" s="704"/>
      <c r="DN440" s="704"/>
      <c r="DO440" s="704"/>
      <c r="DP440" s="704"/>
      <c r="DQ440" s="704"/>
      <c r="DR440" s="704"/>
      <c r="DS440" s="704"/>
      <c r="DT440" s="704"/>
      <c r="DU440" s="704"/>
      <c r="DV440" s="704"/>
      <c r="DW440" s="704"/>
      <c r="DX440" s="704"/>
      <c r="DY440" s="704"/>
      <c r="DZ440" s="704"/>
      <c r="EA440" s="704"/>
      <c r="EB440" s="704"/>
      <c r="EC440" s="801"/>
    </row>
    <row r="441" spans="1:134" x14ac:dyDescent="0.2">
      <c r="A441" s="117" t="s">
        <v>597</v>
      </c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802"/>
      <c r="AC441" s="802"/>
      <c r="AD441" s="802"/>
      <c r="AE441" s="802"/>
      <c r="AF441" s="802"/>
      <c r="AG441" s="802"/>
      <c r="AH441" s="802"/>
      <c r="AI441" s="802"/>
      <c r="AJ441" s="802"/>
      <c r="AK441" s="802"/>
      <c r="AL441" s="802"/>
      <c r="AM441" s="802"/>
      <c r="AN441" s="802"/>
      <c r="AO441" s="802"/>
      <c r="AP441" s="802"/>
      <c r="AQ441" s="802"/>
      <c r="AR441" s="802"/>
      <c r="AS441" s="802"/>
      <c r="AT441" s="802"/>
      <c r="AU441" s="802"/>
      <c r="AV441" s="802"/>
      <c r="AW441" s="802"/>
      <c r="AX441" s="802"/>
      <c r="AY441" s="802"/>
      <c r="AZ441" s="802"/>
      <c r="BA441" s="802"/>
      <c r="BB441" s="802"/>
      <c r="BC441" s="802"/>
      <c r="BD441" s="802"/>
      <c r="BE441" s="802"/>
      <c r="BF441" s="802"/>
      <c r="BG441" s="802"/>
      <c r="BH441" s="802"/>
      <c r="BI441" s="802"/>
      <c r="BJ441" s="802"/>
      <c r="BK441" s="802"/>
      <c r="BL441" s="802"/>
      <c r="BM441" s="802"/>
      <c r="BN441" s="802"/>
      <c r="BO441" s="802"/>
      <c r="BP441" s="802"/>
      <c r="BQ441" s="802"/>
      <c r="BR441" s="802"/>
      <c r="BS441" s="802"/>
      <c r="BT441" s="802"/>
      <c r="BU441" s="802"/>
      <c r="BV441" s="802"/>
      <c r="BW441" s="802"/>
      <c r="BX441" s="802"/>
      <c r="BY441" s="802"/>
      <c r="BZ441" s="802"/>
      <c r="CA441" s="802"/>
      <c r="CB441" s="802"/>
      <c r="CC441" s="802"/>
      <c r="CD441" s="802"/>
      <c r="CE441" s="802"/>
      <c r="CF441" s="802"/>
      <c r="CG441" s="802"/>
      <c r="CH441" s="802"/>
      <c r="CI441" s="802"/>
      <c r="CJ441" s="802"/>
      <c r="CK441" s="802"/>
      <c r="CL441" s="802"/>
      <c r="CM441" s="802"/>
      <c r="CN441" s="802"/>
      <c r="CO441" s="802"/>
      <c r="CP441" s="802"/>
      <c r="CQ441" s="802"/>
      <c r="CR441" s="802"/>
      <c r="CS441" s="802"/>
      <c r="CT441" s="802"/>
      <c r="CU441" s="704"/>
      <c r="CV441" s="704"/>
      <c r="CW441" s="704"/>
      <c r="CX441" s="704"/>
      <c r="CY441" s="704"/>
      <c r="CZ441" s="704"/>
      <c r="DA441" s="704"/>
      <c r="DB441" s="704"/>
      <c r="DC441" s="704"/>
      <c r="DD441" s="704"/>
      <c r="DE441" s="704"/>
      <c r="DF441" s="704"/>
      <c r="DG441" s="704"/>
      <c r="DH441" s="704"/>
      <c r="DI441" s="704"/>
      <c r="DJ441" s="704"/>
      <c r="DK441" s="704"/>
      <c r="DL441" s="704"/>
      <c r="DM441" s="704"/>
      <c r="DN441" s="704"/>
      <c r="DO441" s="704"/>
      <c r="DP441" s="704"/>
      <c r="DQ441" s="704"/>
      <c r="DR441" s="704"/>
      <c r="DS441" s="704"/>
      <c r="DT441" s="704"/>
      <c r="DU441" s="704"/>
      <c r="DV441" s="704"/>
      <c r="DW441" s="704"/>
      <c r="DX441" s="704"/>
      <c r="DY441" s="704"/>
      <c r="DZ441" s="704"/>
      <c r="EA441" s="704"/>
      <c r="EB441" s="704"/>
      <c r="EC441" s="801"/>
    </row>
    <row r="442" spans="1:134" x14ac:dyDescent="0.2">
      <c r="A442" s="117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15"/>
      <c r="AU442" s="115"/>
      <c r="AV442" s="115"/>
      <c r="AW442" s="115"/>
      <c r="AX442" s="115"/>
      <c r="AY442" s="115"/>
      <c r="AZ442" s="115"/>
      <c r="BA442" s="115"/>
      <c r="BB442" s="115"/>
      <c r="BC442" s="115"/>
      <c r="BD442" s="115"/>
      <c r="BE442" s="115"/>
      <c r="BF442" s="115"/>
      <c r="BG442" s="115"/>
      <c r="BH442" s="115"/>
      <c r="BI442" s="115"/>
      <c r="BJ442" s="115"/>
      <c r="BK442" s="115"/>
      <c r="BL442" s="115"/>
      <c r="BM442" s="115"/>
      <c r="BN442" s="115"/>
      <c r="BO442" s="115"/>
      <c r="BP442" s="115"/>
      <c r="BQ442" s="115"/>
      <c r="BR442" s="115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115"/>
      <c r="CC442" s="115"/>
      <c r="CD442" s="115"/>
      <c r="CE442" s="115"/>
      <c r="CF442" s="115"/>
      <c r="CG442" s="115"/>
      <c r="CH442" s="115"/>
      <c r="CI442" s="115"/>
      <c r="CJ442" s="115"/>
      <c r="CK442" s="115"/>
      <c r="CL442" s="115"/>
      <c r="CM442" s="115"/>
      <c r="CN442" s="115"/>
      <c r="CO442" s="115"/>
      <c r="CP442" s="115"/>
      <c r="CQ442" s="115"/>
      <c r="CR442" s="115"/>
      <c r="CS442" s="115"/>
      <c r="CT442" s="115"/>
      <c r="CU442" s="115"/>
      <c r="CV442" s="115"/>
      <c r="CW442" s="115"/>
      <c r="CX442" s="115"/>
      <c r="CY442" s="115"/>
      <c r="CZ442" s="115"/>
      <c r="DA442" s="115"/>
      <c r="DB442" s="115"/>
      <c r="DC442" s="115"/>
      <c r="DD442" s="115"/>
      <c r="DE442" s="115"/>
      <c r="DF442" s="115"/>
      <c r="DG442" s="115"/>
      <c r="DH442" s="115"/>
      <c r="DI442" s="115"/>
      <c r="DJ442" s="115"/>
      <c r="DK442" s="115"/>
      <c r="DL442" s="115"/>
      <c r="DM442" s="115"/>
      <c r="DN442" s="115"/>
      <c r="DO442" s="115"/>
      <c r="DP442" s="115"/>
      <c r="DQ442" s="115"/>
      <c r="DR442" s="115"/>
      <c r="DS442" s="115"/>
      <c r="DT442" s="115"/>
      <c r="DU442" s="115"/>
      <c r="DV442" s="115"/>
      <c r="DW442" s="115"/>
      <c r="DX442" s="115"/>
      <c r="DY442" s="115"/>
      <c r="DZ442" s="115"/>
      <c r="EA442" s="115"/>
      <c r="EB442" s="115"/>
      <c r="EC442" s="645"/>
      <c r="ED442" s="113" t="s">
        <v>1</v>
      </c>
    </row>
    <row r="443" spans="1:134" x14ac:dyDescent="0.2">
      <c r="A443" s="117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15"/>
      <c r="AU443" s="115"/>
      <c r="AV443" s="115"/>
      <c r="AW443" s="115"/>
      <c r="AX443" s="115"/>
      <c r="AY443" s="115"/>
      <c r="AZ443" s="115"/>
      <c r="BA443" s="115"/>
      <c r="BB443" s="115"/>
      <c r="BC443" s="115"/>
      <c r="BD443" s="115"/>
      <c r="BE443" s="115"/>
      <c r="BF443" s="115"/>
      <c r="BG443" s="115"/>
      <c r="BH443" s="115"/>
      <c r="BI443" s="115"/>
      <c r="BJ443" s="115"/>
      <c r="BK443" s="115"/>
      <c r="BL443" s="115"/>
      <c r="BM443" s="115"/>
      <c r="BN443" s="115"/>
      <c r="BO443" s="115"/>
      <c r="BP443" s="115"/>
      <c r="BQ443" s="115"/>
      <c r="BR443" s="115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115"/>
      <c r="CC443" s="115"/>
      <c r="CD443" s="115"/>
      <c r="CE443" s="115"/>
      <c r="CF443" s="115"/>
      <c r="CG443" s="115"/>
      <c r="CH443" s="115"/>
      <c r="CI443" s="115"/>
      <c r="CJ443" s="115"/>
      <c r="CK443" s="115"/>
      <c r="CL443" s="115"/>
      <c r="CM443" s="115"/>
      <c r="CN443" s="115"/>
      <c r="CO443" s="115"/>
      <c r="CP443" s="115"/>
      <c r="CQ443" s="115"/>
      <c r="CR443" s="115"/>
      <c r="CS443" s="115"/>
      <c r="CT443" s="115"/>
      <c r="CU443" s="115"/>
      <c r="CV443" s="115"/>
      <c r="CW443" s="115"/>
      <c r="CX443" s="115"/>
      <c r="CY443" s="115"/>
      <c r="CZ443" s="115"/>
      <c r="DA443" s="115"/>
      <c r="DB443" s="115"/>
      <c r="DC443" s="115"/>
      <c r="DD443" s="115"/>
      <c r="DE443" s="115"/>
      <c r="DF443" s="115"/>
      <c r="DG443" s="115"/>
      <c r="DH443" s="115"/>
      <c r="DI443" s="115"/>
      <c r="DJ443" s="115"/>
      <c r="DK443" s="115"/>
      <c r="DL443" s="115"/>
      <c r="DM443" s="115"/>
      <c r="DN443" s="115"/>
      <c r="DO443" s="115"/>
      <c r="DP443" s="115"/>
      <c r="DQ443" s="115"/>
      <c r="DR443" s="115"/>
      <c r="DS443" s="115"/>
      <c r="DT443" s="115"/>
      <c r="DU443" s="115"/>
      <c r="DV443" s="115"/>
      <c r="DW443" s="115"/>
      <c r="DX443" s="115"/>
      <c r="DY443" s="115"/>
      <c r="DZ443" s="115"/>
      <c r="EA443" s="115"/>
      <c r="EB443" s="115"/>
      <c r="EC443" s="645"/>
      <c r="ED443" s="113" t="s">
        <v>1</v>
      </c>
    </row>
    <row r="444" spans="1:134" x14ac:dyDescent="0.2">
      <c r="A444" s="728" t="s">
        <v>11</v>
      </c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729">
        <f>SUM(AB445:AB448)</f>
        <v>888152.52503898321</v>
      </c>
      <c r="AC444" s="729">
        <f t="shared" ref="AC444" si="1479">SUM(AC445:AC448)</f>
        <v>848998.26764237287</v>
      </c>
      <c r="AD444" s="729">
        <f t="shared" ref="AD444" si="1480">SUM(AD445:AD448)</f>
        <v>968637.04489227221</v>
      </c>
      <c r="AE444" s="729">
        <f t="shared" ref="AE444" si="1481">SUM(AE445:AE448)</f>
        <v>993545.30463050876</v>
      </c>
      <c r="AF444" s="729">
        <f t="shared" ref="AF444" si="1482">SUM(AF445:AF448)</f>
        <v>927420.91627118655</v>
      </c>
      <c r="AG444" s="729">
        <f t="shared" ref="AG444" si="1483">SUM(AG445:AG448)</f>
        <v>1155164.2444355933</v>
      </c>
      <c r="AH444" s="729">
        <f t="shared" ref="AH444" si="1484">SUM(AH445:AH448)</f>
        <v>1863369.0803389829</v>
      </c>
      <c r="AI444" s="729">
        <f t="shared" ref="AI444" si="1485">SUM(AI445:AI448)</f>
        <v>1975272.4591652551</v>
      </c>
      <c r="AJ444" s="729">
        <f t="shared" ref="AJ444" si="1486">SUM(AJ445:AJ448)</f>
        <v>2027289.6272881362</v>
      </c>
      <c r="AK444" s="729">
        <f t="shared" ref="AK444" si="1487">SUM(AK445:AK448)</f>
        <v>2502105.213711868</v>
      </c>
      <c r="AL444" s="729">
        <f t="shared" ref="AL444" si="1488">SUM(AL445:AL448)</f>
        <v>1499461.788139032</v>
      </c>
      <c r="AM444" s="729">
        <f t="shared" ref="AM444" si="1489">SUM(AM445:AM448)</f>
        <v>32761.38305084746</v>
      </c>
      <c r="AN444" s="729">
        <f t="shared" ref="AN444" si="1490">SUM(AN445:AN448)</f>
        <v>1494339.3640192198</v>
      </c>
      <c r="AO444" s="729">
        <f t="shared" ref="AO444" si="1491">SUM(AO445:AO448)</f>
        <v>2303413.9515451347</v>
      </c>
      <c r="AP444" s="729">
        <f t="shared" ref="AP444" si="1492">SUM(AP445:AP448)</f>
        <v>2423693.2490906771</v>
      </c>
      <c r="AQ444" s="729">
        <f t="shared" ref="AQ444" si="1493">SUM(AQ445:AQ448)</f>
        <v>3349477.27938837</v>
      </c>
      <c r="AR444" s="729">
        <f t="shared" ref="AR444" si="1494">SUM(AR445:AR448)</f>
        <v>3891610.9269881346</v>
      </c>
      <c r="AS444" s="729">
        <f t="shared" ref="AS444" si="1495">SUM(AS445:AS448)</f>
        <v>5385659.9589347402</v>
      </c>
      <c r="AT444" s="729">
        <f t="shared" ref="AT444" si="1496">SUM(AT445:AT448)</f>
        <v>6502913.5765486863</v>
      </c>
      <c r="AU444" s="729">
        <f t="shared" ref="AU444" si="1497">SUM(AU445:AU448)</f>
        <v>6183202.6852550693</v>
      </c>
      <c r="AV444" s="729">
        <f t="shared" ref="AV444" si="1498">SUM(AV445:AV448)</f>
        <v>6745929.2407220406</v>
      </c>
      <c r="AW444" s="729">
        <f t="shared" ref="AW444" si="1499">SUM(AW445:AW448)</f>
        <v>7413325.0733044343</v>
      </c>
      <c r="AX444" s="729">
        <f t="shared" ref="AX444" si="1500">SUM(AX445:AX448)</f>
        <v>6596292.4466476431</v>
      </c>
      <c r="AY444" s="729">
        <f t="shared" ref="AY444" si="1501">SUM(AY445:AY448)</f>
        <v>7657682.93268253</v>
      </c>
      <c r="AZ444" s="729">
        <f t="shared" ref="AZ444" si="1502">SUM(AZ445:AZ448)</f>
        <v>8912419.4791251086</v>
      </c>
      <c r="BA444" s="729">
        <f t="shared" ref="BA444" si="1503">SUM(BA445:BA448)</f>
        <v>9410266.5861905385</v>
      </c>
      <c r="BB444" s="729">
        <f t="shared" ref="BB444" si="1504">SUM(BB445:BB448)</f>
        <v>9375461.2703593168</v>
      </c>
      <c r="BC444" s="729">
        <f t="shared" ref="BC444" si="1505">SUM(BC445:BC448)</f>
        <v>8618396.1040220652</v>
      </c>
      <c r="BD444" s="729">
        <f t="shared" ref="BD444" si="1506">SUM(BD445:BD448)</f>
        <v>9256480.0817644</v>
      </c>
      <c r="BE444" s="729">
        <f t="shared" ref="BE444" si="1507">SUM(BE445:BE448)</f>
        <v>9496298.3806372955</v>
      </c>
      <c r="BF444" s="729">
        <f t="shared" ref="BF444" si="1508">SUM(BF445:BF448)</f>
        <v>11161744.187459795</v>
      </c>
      <c r="BG444" s="729">
        <f t="shared" ref="BG444" si="1509">SUM(BG445:BG448)</f>
        <v>12171373.710559329</v>
      </c>
      <c r="BH444" s="729">
        <f t="shared" ref="BH444" si="1510">SUM(BH445:BH448)</f>
        <v>12259723.616298351</v>
      </c>
      <c r="BI444" s="729">
        <f t="shared" ref="BI444" si="1511">SUM(BI445:BI448)</f>
        <v>14577283.198250851</v>
      </c>
      <c r="BJ444" s="729">
        <f t="shared" ref="BJ444" si="1512">SUM(BJ445:BJ448)</f>
        <v>15118317.028525339</v>
      </c>
      <c r="BK444" s="729">
        <f t="shared" ref="BK444" si="1513">SUM(BK445:BK448)</f>
        <v>17008041.492915288</v>
      </c>
      <c r="BL444" s="729">
        <f t="shared" ref="BL444" si="1514">SUM(BL445:BL448)</f>
        <v>18161418.909478027</v>
      </c>
      <c r="BM444" s="729">
        <f t="shared" ref="BM444" si="1515">SUM(BM445:BM448)</f>
        <v>16288819.490074512</v>
      </c>
      <c r="BN444" s="729">
        <f t="shared" ref="BN444" si="1516">SUM(BN445:BN448)</f>
        <v>17329059.819762744</v>
      </c>
      <c r="BO444" s="729">
        <f t="shared" ref="BO444" si="1517">SUM(BO445:BO448)</f>
        <v>14332286.679461636</v>
      </c>
      <c r="BP444" s="729">
        <f t="shared" ref="BP444" si="1518">SUM(BP445:BP448)</f>
        <v>19034022.401574094</v>
      </c>
      <c r="BQ444" s="729">
        <f t="shared" ref="BQ444" si="1519">SUM(BQ445:BQ448)</f>
        <v>17591349.382435046</v>
      </c>
      <c r="BR444" s="729">
        <f t="shared" ref="BR444" si="1520">SUM(BR445:BR448)</f>
        <v>15843544.623512549</v>
      </c>
      <c r="BS444" s="729">
        <f t="shared" ref="BS444" si="1521">SUM(BS445:BS448)</f>
        <v>15566640.48926053</v>
      </c>
      <c r="BT444" s="729">
        <f t="shared" ref="BT444" si="1522">SUM(BT445:BT448)</f>
        <v>16476820.221844532</v>
      </c>
      <c r="BU444" s="729">
        <f t="shared" ref="BU444" si="1523">SUM(BU445:BU448)</f>
        <v>19704056.253788359</v>
      </c>
      <c r="BV444" s="729">
        <f t="shared" ref="BV444" si="1524">SUM(BV445:BV448)</f>
        <v>19610842.112265389</v>
      </c>
      <c r="BW444" s="729">
        <f t="shared" ref="BW444" si="1525">SUM(BW445:BW448)</f>
        <v>19547029.130729429</v>
      </c>
      <c r="BX444" s="729">
        <f t="shared" ref="BX444" si="1526">SUM(BX445:BX448)</f>
        <v>20760167.840995714</v>
      </c>
      <c r="BY444" s="729">
        <f t="shared" ref="BY444" si="1527">SUM(BY445:BY448)</f>
        <v>20025753.756929744</v>
      </c>
      <c r="BZ444" s="729">
        <f t="shared" ref="BZ444" si="1528">SUM(BZ445:BZ448)</f>
        <v>17469884.420706972</v>
      </c>
      <c r="CA444" s="729">
        <f t="shared" ref="CA444" si="1529">SUM(CA445:CA448)</f>
        <v>14836749.05975257</v>
      </c>
      <c r="CB444" s="729">
        <f t="shared" ref="CB444" si="1530">SUM(CB445:CB448)</f>
        <v>19780247.29107172</v>
      </c>
      <c r="CC444" s="729">
        <f t="shared" ref="CC444" si="1531">SUM(CC445:CC448)</f>
        <v>18974341.863184527</v>
      </c>
      <c r="CD444" s="729">
        <f t="shared" ref="CD444" si="1532">SUM(CD445:CD448)</f>
        <v>22129213.146051686</v>
      </c>
      <c r="CE444" s="729">
        <f t="shared" ref="CE444" si="1533">SUM(CE445:CE448)</f>
        <v>22312465.377308547</v>
      </c>
      <c r="CF444" s="729">
        <f t="shared" ref="CF444" si="1534">SUM(CF445:CF448)</f>
        <v>20958109.545093831</v>
      </c>
      <c r="CG444" s="729">
        <f t="shared" ref="CG444" si="1535">SUM(CG445:CG448)</f>
        <v>27954232.751413494</v>
      </c>
      <c r="CH444" s="729">
        <f t="shared" ref="CH444" si="1536">SUM(CH445:CH448)</f>
        <v>28502145.987916529</v>
      </c>
      <c r="CI444" s="729">
        <f t="shared" ref="CI444" si="1537">SUM(CI445:CI448)</f>
        <v>27890314.2234613</v>
      </c>
      <c r="CJ444" s="729">
        <f t="shared" ref="CJ444" si="1538">SUM(CJ445:CJ448)</f>
        <v>26944577.815681636</v>
      </c>
      <c r="CK444" s="729">
        <f t="shared" ref="CK444" si="1539">SUM(CK445:CK448)</f>
        <v>29254341.303050846</v>
      </c>
      <c r="CL444" s="729">
        <f t="shared" ref="CL444" si="1540">SUM(CL445:CL448)</f>
        <v>26952099.135932207</v>
      </c>
      <c r="CM444" s="729">
        <f t="shared" ref="CM444" si="1541">SUM(CM445:CM448)</f>
        <v>24642036.90593221</v>
      </c>
      <c r="CN444" s="729">
        <f t="shared" ref="CN444" si="1542">SUM(CN445:CN448)</f>
        <v>32554875.189152531</v>
      </c>
      <c r="CO444" s="729">
        <f t="shared" ref="CO444" si="1543">SUM(CO445:CO448)</f>
        <v>29671928.965762734</v>
      </c>
      <c r="CP444" s="729">
        <f t="shared" ref="CP444" si="1544">SUM(CP445:CP448)</f>
        <v>36715665.247796625</v>
      </c>
      <c r="CQ444" s="729">
        <f t="shared" ref="CQ444" si="1545">SUM(CQ445:CQ448)</f>
        <v>38595488.74067796</v>
      </c>
      <c r="CR444" s="729">
        <f t="shared" ref="CR444" si="1546">SUM(CR445:CR448)</f>
        <v>36695782.659152538</v>
      </c>
      <c r="CS444" s="729">
        <f t="shared" ref="CS444" si="1547">SUM(CS445:CS448)</f>
        <v>44315859.640338995</v>
      </c>
      <c r="CT444" s="729">
        <f t="shared" ref="CT444:DQ444" si="1548">CT416*CT449</f>
        <v>39022613.680257671</v>
      </c>
      <c r="CU444" s="729">
        <f t="shared" si="1548"/>
        <v>38214929.36563465</v>
      </c>
      <c r="CV444" s="729">
        <f t="shared" si="1548"/>
        <v>38135271.152341507</v>
      </c>
      <c r="CW444" s="729">
        <f t="shared" si="1548"/>
        <v>41295370.055133231</v>
      </c>
      <c r="CX444" s="729">
        <f t="shared" si="1548"/>
        <v>36895321.598503649</v>
      </c>
      <c r="CY444" s="729">
        <f t="shared" si="1548"/>
        <v>34260687.066302039</v>
      </c>
      <c r="CZ444" s="729">
        <f t="shared" si="1548"/>
        <v>42749041.30337631</v>
      </c>
      <c r="DA444" s="729">
        <f t="shared" si="1548"/>
        <v>39368977.616858244</v>
      </c>
      <c r="DB444" s="729">
        <f t="shared" si="1548"/>
        <v>46834226.701702066</v>
      </c>
      <c r="DC444" s="729">
        <f t="shared" si="1548"/>
        <v>47984613.791194223</v>
      </c>
      <c r="DD444" s="729">
        <f t="shared" si="1548"/>
        <v>44620779.477661923</v>
      </c>
      <c r="DE444" s="729">
        <f t="shared" si="1548"/>
        <v>51905668.818226576</v>
      </c>
      <c r="DF444" s="729">
        <f t="shared" si="1548"/>
        <v>47719780.833815582</v>
      </c>
      <c r="DG444" s="729">
        <f t="shared" si="1548"/>
        <v>46849113.460268028</v>
      </c>
      <c r="DH444" s="729">
        <f t="shared" si="1548"/>
        <v>46508301.142391242</v>
      </c>
      <c r="DI444" s="729">
        <f t="shared" si="1548"/>
        <v>50336400.97898294</v>
      </c>
      <c r="DJ444" s="729">
        <f t="shared" si="1548"/>
        <v>44874912.889376208</v>
      </c>
      <c r="DK444" s="729">
        <f t="shared" si="1548"/>
        <v>41568620.608018167</v>
      </c>
      <c r="DL444" s="729">
        <f t="shared" si="1548"/>
        <v>51713131.672901265</v>
      </c>
      <c r="DM444" s="729">
        <f t="shared" si="1548"/>
        <v>47371014.524675116</v>
      </c>
      <c r="DN444" s="729">
        <f t="shared" si="1548"/>
        <v>56169072.147645272</v>
      </c>
      <c r="DO444" s="729">
        <f t="shared" si="1548"/>
        <v>57311237.892663501</v>
      </c>
      <c r="DP444" s="729">
        <f t="shared" si="1548"/>
        <v>53027407.251301691</v>
      </c>
      <c r="DQ444" s="729">
        <f t="shared" si="1548"/>
        <v>61018643.561540656</v>
      </c>
      <c r="DR444" s="729">
        <f t="shared" ref="DR444:EC444" si="1549">DR416*DR449</f>
        <v>54372898.345570803</v>
      </c>
      <c r="DS444" s="729">
        <f t="shared" si="1549"/>
        <v>53327479.659295976</v>
      </c>
      <c r="DT444" s="729">
        <f t="shared" si="1549"/>
        <v>52905674.582225524</v>
      </c>
      <c r="DU444" s="729">
        <f t="shared" si="1549"/>
        <v>57241398.076411769</v>
      </c>
      <c r="DV444" s="729">
        <f t="shared" si="1549"/>
        <v>50964332.009222649</v>
      </c>
      <c r="DW444" s="729">
        <f t="shared" si="1549"/>
        <v>47139925.813372537</v>
      </c>
      <c r="DX444" s="729">
        <f t="shared" si="1549"/>
        <v>58675073.637486219</v>
      </c>
      <c r="DY444" s="729">
        <f t="shared" si="1549"/>
        <v>53701457.059126563</v>
      </c>
      <c r="DZ444" s="729">
        <f t="shared" si="1549"/>
        <v>63694170.128420629</v>
      </c>
      <c r="EA444" s="729">
        <f t="shared" si="1549"/>
        <v>64975396.550628304</v>
      </c>
      <c r="EB444" s="729">
        <f t="shared" si="1549"/>
        <v>60070787.024370968</v>
      </c>
      <c r="EC444" s="729">
        <f t="shared" si="1549"/>
        <v>69134878.44920595</v>
      </c>
      <c r="ED444" s="113" t="s">
        <v>1</v>
      </c>
    </row>
    <row r="445" spans="1:134" x14ac:dyDescent="0.2">
      <c r="A445" s="114" t="s">
        <v>139</v>
      </c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29">
        <v>309190.48329661018</v>
      </c>
      <c r="AC445" s="129">
        <v>223532.74221864401</v>
      </c>
      <c r="AD445" s="129">
        <v>307586.96709566202</v>
      </c>
      <c r="AE445" s="129">
        <v>419521.97920677997</v>
      </c>
      <c r="AF445" s="129">
        <v>386001</v>
      </c>
      <c r="AG445" s="129">
        <v>628472.95629999996</v>
      </c>
      <c r="AH445" s="129">
        <v>1328281.95</v>
      </c>
      <c r="AI445" s="129">
        <v>1434018.76526695</v>
      </c>
      <c r="AJ445" s="129">
        <v>1487716.034067797</v>
      </c>
      <c r="AK445" s="129">
        <v>1812806.5064237323</v>
      </c>
      <c r="AL445" s="129">
        <v>1079245.2089864896</v>
      </c>
      <c r="AM445" s="129">
        <v>31633.38305084746</v>
      </c>
      <c r="AN445" s="129">
        <v>777673.88944294839</v>
      </c>
      <c r="AO445" s="129">
        <v>1282133.4769688635</v>
      </c>
      <c r="AP445" s="129">
        <v>1321715.8945144059</v>
      </c>
      <c r="AQ445" s="129">
        <v>1965380.3641341326</v>
      </c>
      <c r="AR445" s="129">
        <v>2567799.0446152533</v>
      </c>
      <c r="AS445" s="129">
        <v>3964831.2769008409</v>
      </c>
      <c r="AT445" s="129">
        <v>4471347.6433283444</v>
      </c>
      <c r="AU445" s="129">
        <v>4193311.5708482899</v>
      </c>
      <c r="AV445" s="129">
        <v>4761744.9668237353</v>
      </c>
      <c r="AW445" s="129">
        <v>5344945.3326264685</v>
      </c>
      <c r="AX445" s="129">
        <v>4393157.2802069653</v>
      </c>
      <c r="AY445" s="129">
        <v>5192801.4984452417</v>
      </c>
      <c r="AZ445" s="129">
        <v>6298472.6633623969</v>
      </c>
      <c r="BA445" s="129">
        <v>6390844.9655125728</v>
      </c>
      <c r="BB445" s="129">
        <v>6107499.9605288077</v>
      </c>
      <c r="BC445" s="129">
        <v>5411509.7719881665</v>
      </c>
      <c r="BD445" s="129">
        <v>6204666.5244762637</v>
      </c>
      <c r="BE445" s="129">
        <v>6464847.5628406843</v>
      </c>
      <c r="BF445" s="129">
        <v>8078470.9364428455</v>
      </c>
      <c r="BG445" s="129">
        <v>8777941.846322041</v>
      </c>
      <c r="BH445" s="129">
        <v>8911162.120027164</v>
      </c>
      <c r="BI445" s="129">
        <v>11083993.846047461</v>
      </c>
      <c r="BJ445" s="129">
        <v>11487101.561313475</v>
      </c>
      <c r="BK445" s="129">
        <v>13199594.475966137</v>
      </c>
      <c r="BL445" s="129">
        <v>14123642.03676616</v>
      </c>
      <c r="BM445" s="129">
        <v>12113915.995159259</v>
      </c>
      <c r="BN445" s="129">
        <v>12562154.925559344</v>
      </c>
      <c r="BO445" s="129">
        <v>10059438.895169431</v>
      </c>
      <c r="BP445" s="129">
        <v>14136885.51521308</v>
      </c>
      <c r="BQ445" s="129">
        <v>13934715.255732279</v>
      </c>
      <c r="BR445" s="129">
        <v>12392441.412010174</v>
      </c>
      <c r="BS445" s="129">
        <v>12305184.350447627</v>
      </c>
      <c r="BT445" s="129">
        <v>13072379.641176786</v>
      </c>
      <c r="BU445" s="129">
        <v>15802848.526504504</v>
      </c>
      <c r="BV445" s="129">
        <v>15481301.009218726</v>
      </c>
      <c r="BW445" s="129">
        <v>15216344.281883731</v>
      </c>
      <c r="BX445" s="129">
        <v>15998084.179210229</v>
      </c>
      <c r="BY445" s="129">
        <v>15090021.235742671</v>
      </c>
      <c r="BZ445" s="129">
        <v>12634661.136978159</v>
      </c>
      <c r="CA445" s="129">
        <v>10450343.870607503</v>
      </c>
      <c r="CB445" s="129">
        <v>14625454.447778724</v>
      </c>
      <c r="CC445" s="129">
        <v>14478245.327930288</v>
      </c>
      <c r="CD445" s="129">
        <v>16855398.387989145</v>
      </c>
      <c r="CE445" s="129">
        <v>17105116.048833985</v>
      </c>
      <c r="CF445" s="129">
        <v>16337088.807297232</v>
      </c>
      <c r="CG445" s="129">
        <v>22118761.925820276</v>
      </c>
      <c r="CH445" s="129">
        <v>23093153.529611446</v>
      </c>
      <c r="CI445" s="129">
        <v>22238612.460579943</v>
      </c>
      <c r="CJ445" s="129">
        <v>21741083.489240974</v>
      </c>
      <c r="CK445" s="129">
        <v>23243685.359999999</v>
      </c>
      <c r="CL445" s="129">
        <v>20622743.450000003</v>
      </c>
      <c r="CM445" s="129">
        <v>18657411.820000008</v>
      </c>
      <c r="CN445" s="129">
        <v>25214744.096949145</v>
      </c>
      <c r="CO445" s="129">
        <v>22573000.915254261</v>
      </c>
      <c r="CP445" s="129">
        <v>27932325.033220347</v>
      </c>
      <c r="CQ445" s="129">
        <v>30228889.584406771</v>
      </c>
      <c r="CR445" s="129">
        <v>28633071.001525421</v>
      </c>
      <c r="CS445" s="129">
        <v>32421153.0881356</v>
      </c>
      <c r="CT445" s="129">
        <f t="shared" ref="CT445:CV448" si="1550">CS445/CS$444*CT$444</f>
        <v>28548653.739195086</v>
      </c>
      <c r="CU445" s="129">
        <f t="shared" si="1550"/>
        <v>27957757.905879404</v>
      </c>
      <c r="CV445" s="129">
        <f t="shared" si="1550"/>
        <v>27899480.549897496</v>
      </c>
      <c r="CW445" s="129">
        <f t="shared" ref="CW445:DQ445" si="1551">CV445/CV$444*CW$444</f>
        <v>30211385.387862094</v>
      </c>
      <c r="CX445" s="129">
        <f t="shared" si="1551"/>
        <v>26992342.684744824</v>
      </c>
      <c r="CY445" s="129">
        <f t="shared" si="1551"/>
        <v>25064863.669488527</v>
      </c>
      <c r="CZ445" s="129">
        <f t="shared" si="1551"/>
        <v>31274880.453998864</v>
      </c>
      <c r="DA445" s="129">
        <f t="shared" si="1551"/>
        <v>28802051.017367586</v>
      </c>
      <c r="DB445" s="129">
        <f t="shared" si="1551"/>
        <v>34263571.687057436</v>
      </c>
      <c r="DC445" s="129">
        <f t="shared" si="1551"/>
        <v>35105186.319871418</v>
      </c>
      <c r="DD445" s="129">
        <f t="shared" si="1551"/>
        <v>32644230.171727974</v>
      </c>
      <c r="DE445" s="129">
        <f t="shared" si="1551"/>
        <v>37973800.994846664</v>
      </c>
      <c r="DF445" s="129">
        <f t="shared" si="1551"/>
        <v>34911436.499296106</v>
      </c>
      <c r="DG445" s="129">
        <f t="shared" si="1551"/>
        <v>34274462.728828266</v>
      </c>
      <c r="DH445" s="129">
        <f t="shared" si="1551"/>
        <v>34025126.973595671</v>
      </c>
      <c r="DI445" s="129">
        <f t="shared" si="1551"/>
        <v>36825736.32307183</v>
      </c>
      <c r="DJ445" s="129">
        <f t="shared" si="1551"/>
        <v>32830152.284327578</v>
      </c>
      <c r="DK445" s="129">
        <f t="shared" si="1551"/>
        <v>30411293.458661117</v>
      </c>
      <c r="DL445" s="129">
        <f t="shared" si="1551"/>
        <v>37832942.252301544</v>
      </c>
      <c r="DM445" s="129">
        <f t="shared" si="1551"/>
        <v>34656281.6632533</v>
      </c>
      <c r="DN445" s="129">
        <f t="shared" si="1551"/>
        <v>41092875.139890008</v>
      </c>
      <c r="DO445" s="129">
        <f t="shared" si="1551"/>
        <v>41928475.098274961</v>
      </c>
      <c r="DP445" s="129">
        <f t="shared" si="1551"/>
        <v>38794456.483846143</v>
      </c>
      <c r="DQ445" s="129">
        <f t="shared" si="1551"/>
        <v>44640785.492928259</v>
      </c>
      <c r="DR445" s="129">
        <f t="shared" ref="DR445:DR448" si="1552">DQ445/DQ$444*DR$444</f>
        <v>39778807.754475996</v>
      </c>
      <c r="DS445" s="129">
        <f t="shared" ref="DS445:DS448" si="1553">DR445/DR$444*DS$444</f>
        <v>39013987.224219114</v>
      </c>
      <c r="DT445" s="129">
        <f t="shared" ref="DT445:DT448" si="1554">DS445/DS$444*DT$444</f>
        <v>38705397.769156262</v>
      </c>
      <c r="DU445" s="129">
        <f t="shared" ref="DU445:DU448" si="1555">DT445/DT$444*DU$444</f>
        <v>41877380.808494255</v>
      </c>
      <c r="DV445" s="129">
        <f t="shared" ref="DV445:DV448" si="1556">DU445/DU$444*DV$444</f>
        <v>37285125.991362542</v>
      </c>
      <c r="DW445" s="129">
        <f t="shared" ref="DW445:DW448" si="1557">DV445/DV$444*DW$444</f>
        <v>34487218.881962687</v>
      </c>
      <c r="DX445" s="129">
        <f t="shared" ref="DX445:DX448" si="1558">DW445/DW$444*DX$444</f>
        <v>42926247.17871815</v>
      </c>
      <c r="DY445" s="129">
        <f t="shared" ref="DY445:DY448" si="1559">DX445/DX$444*DY$444</f>
        <v>39287586.306575038</v>
      </c>
      <c r="DZ445" s="129">
        <f t="shared" ref="DZ445:DZ448" si="1560">DY445/DY$444*DZ$444</f>
        <v>46598180.81641265</v>
      </c>
      <c r="EA445" s="129">
        <f t="shared" ref="EA445:EA448" si="1561">DZ445/DZ$444*EA$444</f>
        <v>47535516.531257913</v>
      </c>
      <c r="EB445" s="129">
        <f t="shared" ref="EB445:EB448" si="1562">EA445/EA$444*EB$444</f>
        <v>43947340.704841718</v>
      </c>
      <c r="EC445" s="129">
        <f t="shared" ref="EC445:EC448" si="1563">EB445/EB$444*EC$444</f>
        <v>50578562.530942447</v>
      </c>
      <c r="ED445" s="113" t="s">
        <v>1</v>
      </c>
    </row>
    <row r="446" spans="1:134" x14ac:dyDescent="0.2">
      <c r="A446" s="114" t="s">
        <v>191</v>
      </c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29">
        <v>557628.25576271198</v>
      </c>
      <c r="AC446" s="129">
        <v>605957.3389830509</v>
      </c>
      <c r="AD446" s="129">
        <v>628859.04406779667</v>
      </c>
      <c r="AE446" s="129">
        <v>531251.55762711866</v>
      </c>
      <c r="AF446" s="129">
        <v>501295.42372881359</v>
      </c>
      <c r="AG446" s="129">
        <v>482757.40677966102</v>
      </c>
      <c r="AH446" s="129">
        <v>485257.57627118647</v>
      </c>
      <c r="AI446" s="129">
        <v>483219.15254237287</v>
      </c>
      <c r="AJ446" s="129">
        <v>376590</v>
      </c>
      <c r="AK446" s="129">
        <v>583949.74576271186</v>
      </c>
      <c r="AL446" s="129">
        <v>366042.05084745766</v>
      </c>
      <c r="AM446" s="129">
        <v>0</v>
      </c>
      <c r="AN446" s="129">
        <v>658483.16949152539</v>
      </c>
      <c r="AO446" s="129">
        <v>915910.93220338982</v>
      </c>
      <c r="AP446" s="129">
        <v>843833.59322033892</v>
      </c>
      <c r="AQ446" s="129">
        <v>1039039.9322033899</v>
      </c>
      <c r="AR446" s="129">
        <v>988137.45762711868</v>
      </c>
      <c r="AS446" s="129">
        <v>1042262.5423728814</v>
      </c>
      <c r="AT446" s="129">
        <v>1495100.4315254237</v>
      </c>
      <c r="AU446" s="129">
        <v>1482324.8644067796</v>
      </c>
      <c r="AV446" s="129">
        <v>1481161.5762711866</v>
      </c>
      <c r="AW446" s="129">
        <v>1368158.3389830508</v>
      </c>
      <c r="AX446" s="129">
        <v>1689718.7288135593</v>
      </c>
      <c r="AY446" s="129">
        <v>1940928.8644067796</v>
      </c>
      <c r="AZ446" s="129">
        <v>1962373.8813559322</v>
      </c>
      <c r="BA446" s="129">
        <v>2305092.661016949</v>
      </c>
      <c r="BB446" s="129">
        <v>2419455.3559322031</v>
      </c>
      <c r="BC446" s="129">
        <v>2271807.1525423732</v>
      </c>
      <c r="BD446" s="129">
        <v>2167587.3050847459</v>
      </c>
      <c r="BE446" s="129">
        <v>2287807.1694915257</v>
      </c>
      <c r="BF446" s="129">
        <v>2305616.7966101696</v>
      </c>
      <c r="BG446" s="129">
        <v>2449101.9661016949</v>
      </c>
      <c r="BH446" s="129">
        <v>2306565.4576271186</v>
      </c>
      <c r="BI446" s="129">
        <v>2427930.9152542371</v>
      </c>
      <c r="BJ446" s="129">
        <v>2510098.1694915257</v>
      </c>
      <c r="BK446" s="129">
        <v>2633149.0677966098</v>
      </c>
      <c r="BL446" s="129">
        <v>2766704.7966101696</v>
      </c>
      <c r="BM446" s="129">
        <v>2977060.881355932</v>
      </c>
      <c r="BN446" s="129">
        <v>3008913.2542372881</v>
      </c>
      <c r="BO446" s="129">
        <v>2608360.0169491526</v>
      </c>
      <c r="BP446" s="129">
        <v>2671229.440677966</v>
      </c>
      <c r="BQ446" s="129">
        <v>2221117.1694915257</v>
      </c>
      <c r="BR446" s="129">
        <v>2230951.4237288139</v>
      </c>
      <c r="BS446" s="129">
        <v>2194235.6949152541</v>
      </c>
      <c r="BT446" s="129">
        <v>2211927.2542372881</v>
      </c>
      <c r="BU446" s="129">
        <v>2576596.4237288139</v>
      </c>
      <c r="BV446" s="129">
        <v>2739616.4745762711</v>
      </c>
      <c r="BW446" s="129">
        <v>2938392.4576271186</v>
      </c>
      <c r="BX446" s="129">
        <v>3172524.4067796608</v>
      </c>
      <c r="BY446" s="129">
        <v>3382553.410169492</v>
      </c>
      <c r="BZ446" s="129">
        <v>3297736.677966102</v>
      </c>
      <c r="CA446" s="129">
        <v>3175617.8135593222</v>
      </c>
      <c r="CB446" s="129">
        <v>3235067.9511864404</v>
      </c>
      <c r="CC446" s="129">
        <v>2937331.0555932205</v>
      </c>
      <c r="CD446" s="129">
        <v>3417043.8630508478</v>
      </c>
      <c r="CE446" s="129">
        <v>3249178.5477966098</v>
      </c>
      <c r="CF446" s="129">
        <v>2840330.1966101695</v>
      </c>
      <c r="CG446" s="129">
        <v>3768998.4488135595</v>
      </c>
      <c r="CH446" s="129">
        <v>3477886.3220338984</v>
      </c>
      <c r="CI446" s="129">
        <v>3589146.6101694917</v>
      </c>
      <c r="CJ446" s="129">
        <v>3606751.4338983051</v>
      </c>
      <c r="CK446" s="129">
        <v>4075042.5320338984</v>
      </c>
      <c r="CL446" s="129">
        <v>4578882.9055932201</v>
      </c>
      <c r="CM446" s="129">
        <v>3836151.4316949151</v>
      </c>
      <c r="CN446" s="129">
        <v>3915628.5844067796</v>
      </c>
      <c r="CO446" s="129">
        <v>4060098.3188135591</v>
      </c>
      <c r="CP446" s="129">
        <v>4904745.7637288133</v>
      </c>
      <c r="CQ446" s="129">
        <v>4861837.5391525421</v>
      </c>
      <c r="CR446" s="129">
        <v>4752311.9247457627</v>
      </c>
      <c r="CS446" s="129">
        <v>8096491.0159322042</v>
      </c>
      <c r="CT446" s="129">
        <f t="shared" si="1550"/>
        <v>7129416.9546652744</v>
      </c>
      <c r="CU446" s="129">
        <f t="shared" si="1550"/>
        <v>6981853.3318420341</v>
      </c>
      <c r="CV446" s="129">
        <f t="shared" si="1550"/>
        <v>6967299.8060048399</v>
      </c>
      <c r="CW446" s="129">
        <f t="shared" ref="CW446:DQ446" si="1564">CV446/CV$444*CW$444</f>
        <v>7544648.6960762562</v>
      </c>
      <c r="CX446" s="129">
        <f t="shared" si="1564"/>
        <v>6740761.4853148125</v>
      </c>
      <c r="CY446" s="129">
        <f t="shared" si="1564"/>
        <v>6259414.739626999</v>
      </c>
      <c r="CZ446" s="129">
        <f t="shared" si="1564"/>
        <v>7810233.8905650843</v>
      </c>
      <c r="DA446" s="129">
        <f t="shared" si="1564"/>
        <v>7192697.5166060561</v>
      </c>
      <c r="DB446" s="129">
        <f t="shared" si="1564"/>
        <v>8556595.738093242</v>
      </c>
      <c r="DC446" s="129">
        <f t="shared" si="1564"/>
        <v>8766771.0299754143</v>
      </c>
      <c r="DD446" s="129">
        <f t="shared" si="1564"/>
        <v>8152199.7564034685</v>
      </c>
      <c r="DE446" s="129">
        <f t="shared" si="1564"/>
        <v>9483146.3199279401</v>
      </c>
      <c r="DF446" s="129">
        <f t="shared" si="1564"/>
        <v>8718386.1475080289</v>
      </c>
      <c r="DG446" s="129">
        <f t="shared" si="1564"/>
        <v>8559315.5433269404</v>
      </c>
      <c r="DH446" s="129">
        <f t="shared" si="1564"/>
        <v>8497049.2600549199</v>
      </c>
      <c r="DI446" s="129">
        <f t="shared" si="1564"/>
        <v>9196441.6714083347</v>
      </c>
      <c r="DJ446" s="129">
        <f t="shared" si="1564"/>
        <v>8198629.8358714487</v>
      </c>
      <c r="DK446" s="129">
        <f t="shared" si="1564"/>
        <v>7594571.4701008731</v>
      </c>
      <c r="DL446" s="129">
        <f t="shared" si="1564"/>
        <v>9447969.8553391602</v>
      </c>
      <c r="DM446" s="129">
        <f t="shared" si="1564"/>
        <v>8654666.6730008628</v>
      </c>
      <c r="DN446" s="129">
        <f t="shared" si="1564"/>
        <v>10262068.516949089</v>
      </c>
      <c r="DO446" s="129">
        <f t="shared" si="1564"/>
        <v>10470741.772264391</v>
      </c>
      <c r="DP446" s="129">
        <f t="shared" si="1564"/>
        <v>9688087.5129754785</v>
      </c>
      <c r="DQ446" s="129">
        <f t="shared" si="1564"/>
        <v>11148083.404223997</v>
      </c>
      <c r="DR446" s="129">
        <f t="shared" si="1552"/>
        <v>9933908.233710194</v>
      </c>
      <c r="DS446" s="129">
        <f t="shared" si="1553"/>
        <v>9742910.629917644</v>
      </c>
      <c r="DT446" s="129">
        <f t="shared" si="1554"/>
        <v>9665846.9997705072</v>
      </c>
      <c r="DU446" s="129">
        <f t="shared" si="1555"/>
        <v>10457982.063902065</v>
      </c>
      <c r="DV446" s="129">
        <f t="shared" si="1556"/>
        <v>9311164.4362654779</v>
      </c>
      <c r="DW446" s="129">
        <f t="shared" si="1557"/>
        <v>8612446.8516969439</v>
      </c>
      <c r="DX446" s="129">
        <f t="shared" si="1558"/>
        <v>10719914.053808335</v>
      </c>
      <c r="DY446" s="129">
        <f t="shared" si="1559"/>
        <v>9811236.1612841599</v>
      </c>
      <c r="DZ446" s="129">
        <f t="shared" si="1560"/>
        <v>11636901.109385092</v>
      </c>
      <c r="EA446" s="129">
        <f t="shared" si="1561"/>
        <v>11870980.698520195</v>
      </c>
      <c r="EB446" s="129">
        <f t="shared" si="1562"/>
        <v>10974910.368659066</v>
      </c>
      <c r="EC446" s="129">
        <f t="shared" si="1563"/>
        <v>12630916.488914102</v>
      </c>
      <c r="ED446" s="113" t="s">
        <v>1</v>
      </c>
    </row>
    <row r="447" spans="1:134" x14ac:dyDescent="0.2">
      <c r="A447" s="114" t="s">
        <v>140</v>
      </c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29">
        <v>21333.785979661014</v>
      </c>
      <c r="AC447" s="129">
        <v>19508.186440677975</v>
      </c>
      <c r="AD447" s="129">
        <v>32191.033728813556</v>
      </c>
      <c r="AE447" s="129">
        <v>42771.767796610169</v>
      </c>
      <c r="AF447" s="129">
        <v>40124.492542372878</v>
      </c>
      <c r="AG447" s="129">
        <v>43933.881355932208</v>
      </c>
      <c r="AH447" s="129">
        <v>49829.554067796606</v>
      </c>
      <c r="AI447" s="129">
        <v>58034.541355932197</v>
      </c>
      <c r="AJ447" s="129">
        <v>162983.59322033916</v>
      </c>
      <c r="AK447" s="129">
        <v>105348.96152542371</v>
      </c>
      <c r="AL447" s="129">
        <v>54174.528305084743</v>
      </c>
      <c r="AM447" s="129">
        <v>1128</v>
      </c>
      <c r="AN447" s="129">
        <v>58182.305084745763</v>
      </c>
      <c r="AO447" s="129">
        <v>105369.54237288136</v>
      </c>
      <c r="AP447" s="129">
        <v>258143.76135593219</v>
      </c>
      <c r="AQ447" s="129">
        <v>345056.98305084743</v>
      </c>
      <c r="AR447" s="129">
        <v>335674.42474576272</v>
      </c>
      <c r="AS447" s="129">
        <v>378566.13966101798</v>
      </c>
      <c r="AT447" s="129">
        <v>536465.50169491733</v>
      </c>
      <c r="AU447" s="129">
        <v>507566.25000000017</v>
      </c>
      <c r="AV447" s="129">
        <v>503022.69762711873</v>
      </c>
      <c r="AW447" s="129">
        <v>700221.40169491526</v>
      </c>
      <c r="AX447" s="129">
        <v>513416.43762711901</v>
      </c>
      <c r="AY447" s="129">
        <v>523952.56983050855</v>
      </c>
      <c r="AZ447" s="129">
        <v>651572.93440677936</v>
      </c>
      <c r="BA447" s="129">
        <v>714328.95966101601</v>
      </c>
      <c r="BB447" s="129">
        <v>848505.95389830472</v>
      </c>
      <c r="BC447" s="129">
        <v>935079.1794915254</v>
      </c>
      <c r="BD447" s="129">
        <v>884226.25220338954</v>
      </c>
      <c r="BE447" s="129">
        <v>743643.64830508491</v>
      </c>
      <c r="BF447" s="129">
        <v>777656.45440677961</v>
      </c>
      <c r="BG447" s="129">
        <v>944329.89813559304</v>
      </c>
      <c r="BH447" s="129">
        <v>1041996.0386440681</v>
      </c>
      <c r="BI447" s="129">
        <v>1065358.4369491523</v>
      </c>
      <c r="BJ447" s="129">
        <v>1121117.2977203398</v>
      </c>
      <c r="BK447" s="129">
        <v>1175297.949152542</v>
      </c>
      <c r="BL447" s="129">
        <v>1271072.0761016982</v>
      </c>
      <c r="BM447" s="129">
        <v>1197842.6135593215</v>
      </c>
      <c r="BN447" s="129">
        <v>1757991.6399661112</v>
      </c>
      <c r="BO447" s="129">
        <v>1664487.767343051</v>
      </c>
      <c r="BP447" s="129">
        <v>2225907.4456830486</v>
      </c>
      <c r="BQ447" s="129">
        <v>1435516.9572112393</v>
      </c>
      <c r="BR447" s="129">
        <v>1220151.7877735614</v>
      </c>
      <c r="BS447" s="129">
        <v>1067220.4438976489</v>
      </c>
      <c r="BT447" s="129">
        <v>1192513.3264304565</v>
      </c>
      <c r="BU447" s="129">
        <v>1324611.3035550413</v>
      </c>
      <c r="BV447" s="129">
        <v>1389924.6284703903</v>
      </c>
      <c r="BW447" s="129">
        <v>1392292.3912185817</v>
      </c>
      <c r="BX447" s="129">
        <v>1589559.2550058251</v>
      </c>
      <c r="BY447" s="129">
        <v>1553179.1110175806</v>
      </c>
      <c r="BZ447" s="129">
        <v>1537486.6057627113</v>
      </c>
      <c r="CA447" s="129">
        <v>1210787.3755857463</v>
      </c>
      <c r="CB447" s="129">
        <v>1919724.892106557</v>
      </c>
      <c r="CC447" s="129">
        <v>1558765.4796610177</v>
      </c>
      <c r="CD447" s="129">
        <v>1856770.8950116916</v>
      </c>
      <c r="CE447" s="129">
        <v>1958170.7806779507</v>
      </c>
      <c r="CF447" s="129">
        <v>1780690.5411864305</v>
      </c>
      <c r="CG447" s="129">
        <v>2066472.376779661</v>
      </c>
      <c r="CH447" s="129">
        <v>1931106.1362711862</v>
      </c>
      <c r="CI447" s="129">
        <v>2062555.1527118634</v>
      </c>
      <c r="CJ447" s="129">
        <v>1596742.8925423566</v>
      </c>
      <c r="CK447" s="129">
        <v>1935613.4110169492</v>
      </c>
      <c r="CL447" s="129">
        <v>1750472.7803389831</v>
      </c>
      <c r="CM447" s="129">
        <v>2148473.6542372885</v>
      </c>
      <c r="CN447" s="129">
        <v>3023721.5247457633</v>
      </c>
      <c r="CO447" s="129">
        <v>2665636.6469491525</v>
      </c>
      <c r="CP447" s="129">
        <v>3396503.0440678005</v>
      </c>
      <c r="CQ447" s="129">
        <v>2912658.4815254258</v>
      </c>
      <c r="CR447" s="129">
        <v>2804524.2244067825</v>
      </c>
      <c r="CS447" s="129">
        <v>3301624.824406785</v>
      </c>
      <c r="CT447" s="129">
        <f t="shared" si="1550"/>
        <v>2907266.8585378923</v>
      </c>
      <c r="CU447" s="129">
        <f t="shared" si="1550"/>
        <v>2847092.6769901202</v>
      </c>
      <c r="CV447" s="129">
        <f t="shared" si="1550"/>
        <v>2841157.9724258627</v>
      </c>
      <c r="CW447" s="129">
        <f t="shared" ref="CW447:DQ447" si="1565">CV447/CV$444*CW$444</f>
        <v>3076591.9924294059</v>
      </c>
      <c r="CX447" s="129">
        <f t="shared" si="1565"/>
        <v>2748779.1206741813</v>
      </c>
      <c r="CY447" s="129">
        <f t="shared" si="1565"/>
        <v>2552493.3023384311</v>
      </c>
      <c r="CZ447" s="129">
        <f t="shared" si="1565"/>
        <v>3184893.5602806811</v>
      </c>
      <c r="DA447" s="129">
        <f t="shared" si="1565"/>
        <v>2933071.7008819361</v>
      </c>
      <c r="DB447" s="129">
        <f t="shared" si="1565"/>
        <v>3489248.4714317005</v>
      </c>
      <c r="DC447" s="129">
        <f t="shared" si="1565"/>
        <v>3574954.7310680831</v>
      </c>
      <c r="DD447" s="129">
        <f t="shared" si="1565"/>
        <v>3324341.9941182593</v>
      </c>
      <c r="DE447" s="129">
        <f t="shared" si="1565"/>
        <v>3867081.5840769531</v>
      </c>
      <c r="DF447" s="129">
        <f t="shared" si="1565"/>
        <v>3555224.118292009</v>
      </c>
      <c r="DG447" s="129">
        <f t="shared" si="1565"/>
        <v>3490357.5662802546</v>
      </c>
      <c r="DH447" s="129">
        <f t="shared" si="1565"/>
        <v>3464966.3312168289</v>
      </c>
      <c r="DI447" s="129">
        <f t="shared" si="1565"/>
        <v>3750167.8268749202</v>
      </c>
      <c r="DJ447" s="129">
        <f t="shared" si="1565"/>
        <v>3343275.4682206847</v>
      </c>
      <c r="DK447" s="129">
        <f t="shared" si="1565"/>
        <v>3096949.7337890384</v>
      </c>
      <c r="DL447" s="129">
        <f t="shared" si="1565"/>
        <v>3852737.161475528</v>
      </c>
      <c r="DM447" s="129">
        <f t="shared" si="1565"/>
        <v>3529240.2941369489</v>
      </c>
      <c r="DN447" s="129">
        <f t="shared" si="1565"/>
        <v>4184714.1062283306</v>
      </c>
      <c r="DO447" s="129">
        <f t="shared" si="1565"/>
        <v>4269807.8583961586</v>
      </c>
      <c r="DP447" s="129">
        <f t="shared" si="1565"/>
        <v>3950653.4585072254</v>
      </c>
      <c r="DQ447" s="129">
        <f t="shared" si="1565"/>
        <v>4546017.3845083239</v>
      </c>
      <c r="DR447" s="129">
        <f t="shared" si="1552"/>
        <v>4050895.3771772063</v>
      </c>
      <c r="DS447" s="129">
        <f t="shared" si="1553"/>
        <v>3973009.4845302799</v>
      </c>
      <c r="DT447" s="129">
        <f t="shared" si="1554"/>
        <v>3941584.1184238996</v>
      </c>
      <c r="DU447" s="129">
        <f t="shared" si="1555"/>
        <v>4264604.6450783955</v>
      </c>
      <c r="DV447" s="129">
        <f t="shared" si="1556"/>
        <v>3796950.0103704105</v>
      </c>
      <c r="DW447" s="129">
        <f t="shared" si="1557"/>
        <v>3512023.6987223746</v>
      </c>
      <c r="DX447" s="129">
        <f t="shared" si="1558"/>
        <v>4371416.4921463476</v>
      </c>
      <c r="DY447" s="129">
        <f t="shared" si="1559"/>
        <v>4000871.5880090045</v>
      </c>
      <c r="DZ447" s="129">
        <f t="shared" si="1560"/>
        <v>4745349.7455019467</v>
      </c>
      <c r="EA447" s="129">
        <f t="shared" si="1561"/>
        <v>4840803.810831557</v>
      </c>
      <c r="EB447" s="129">
        <f t="shared" si="1562"/>
        <v>4475400.0773299458</v>
      </c>
      <c r="EC447" s="129">
        <f t="shared" si="1563"/>
        <v>5150693.967639301</v>
      </c>
      <c r="ED447" s="113" t="s">
        <v>1</v>
      </c>
    </row>
    <row r="448" spans="1:134" x14ac:dyDescent="0.2">
      <c r="A448" s="114" t="s">
        <v>158</v>
      </c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29"/>
      <c r="AM448" s="129"/>
      <c r="AN448" s="129"/>
      <c r="AO448" s="129"/>
      <c r="AP448" s="129"/>
      <c r="AQ448" s="129"/>
      <c r="AR448" s="129"/>
      <c r="AS448" s="129"/>
      <c r="AT448" s="129"/>
      <c r="AU448" s="129"/>
      <c r="AV448" s="129"/>
      <c r="AW448" s="129"/>
      <c r="AX448" s="129"/>
      <c r="AY448" s="129"/>
      <c r="AZ448" s="129"/>
      <c r="BA448" s="129"/>
      <c r="BB448" s="129"/>
      <c r="BC448" s="129"/>
      <c r="BD448" s="129"/>
      <c r="BE448" s="129"/>
      <c r="BF448" s="129"/>
      <c r="BG448" s="129"/>
      <c r="BH448" s="129"/>
      <c r="BI448" s="129"/>
      <c r="BJ448" s="129"/>
      <c r="BK448" s="129"/>
      <c r="BL448" s="129"/>
      <c r="BM448" s="129"/>
      <c r="BN448" s="129"/>
      <c r="BO448" s="129"/>
      <c r="BP448" s="129"/>
      <c r="BQ448" s="129"/>
      <c r="BR448" s="129"/>
      <c r="BS448" s="129"/>
      <c r="BT448" s="129"/>
      <c r="BU448" s="129"/>
      <c r="BV448" s="129"/>
      <c r="BW448" s="129"/>
      <c r="BX448" s="129"/>
      <c r="BY448" s="129"/>
      <c r="BZ448" s="129"/>
      <c r="CA448" s="129"/>
      <c r="CB448" s="129"/>
      <c r="CC448" s="129"/>
      <c r="CD448" s="129"/>
      <c r="CE448" s="129"/>
      <c r="CF448" s="129"/>
      <c r="CG448" s="129"/>
      <c r="CH448" s="129"/>
      <c r="CI448" s="129"/>
      <c r="CJ448" s="129"/>
      <c r="CK448" s="129"/>
      <c r="CL448" s="129"/>
      <c r="CM448" s="129"/>
      <c r="CN448" s="129">
        <v>400780.98305084743</v>
      </c>
      <c r="CO448" s="129">
        <v>373193.0847457627</v>
      </c>
      <c r="CP448" s="129">
        <v>482091.40677966102</v>
      </c>
      <c r="CQ448" s="129">
        <v>592103.13559322036</v>
      </c>
      <c r="CR448" s="129">
        <v>505875.50847457623</v>
      </c>
      <c r="CS448" s="129">
        <v>496590.71186440677</v>
      </c>
      <c r="CT448" s="129">
        <f t="shared" si="1550"/>
        <v>437276.12785941799</v>
      </c>
      <c r="CU448" s="129">
        <f t="shared" si="1550"/>
        <v>428225.45092309004</v>
      </c>
      <c r="CV448" s="129">
        <f t="shared" si="1550"/>
        <v>427332.8240133081</v>
      </c>
      <c r="CW448" s="129">
        <f t="shared" ref="CW448:DQ448" si="1566">CV448/CV$444*CW$444</f>
        <v>462743.97876547318</v>
      </c>
      <c r="CX448" s="129">
        <f t="shared" si="1566"/>
        <v>413438.30776983203</v>
      </c>
      <c r="CY448" s="129">
        <f t="shared" si="1566"/>
        <v>383915.35484808346</v>
      </c>
      <c r="CZ448" s="129">
        <f t="shared" si="1566"/>
        <v>479033.39853168151</v>
      </c>
      <c r="DA448" s="129">
        <f t="shared" si="1566"/>
        <v>441157.38200266543</v>
      </c>
      <c r="DB448" s="129">
        <f t="shared" si="1566"/>
        <v>524810.80511968443</v>
      </c>
      <c r="DC448" s="129">
        <f t="shared" si="1566"/>
        <v>537701.71027930197</v>
      </c>
      <c r="DD448" s="129">
        <f t="shared" si="1566"/>
        <v>500007.55541221739</v>
      </c>
      <c r="DE448" s="129">
        <f t="shared" si="1566"/>
        <v>581639.91937501554</v>
      </c>
      <c r="DF448" s="129">
        <f t="shared" si="1566"/>
        <v>534734.068719437</v>
      </c>
      <c r="DG448" s="129">
        <f t="shared" si="1566"/>
        <v>524977.62183256377</v>
      </c>
      <c r="DH448" s="129">
        <f t="shared" si="1566"/>
        <v>521158.57752381853</v>
      </c>
      <c r="DI448" s="129">
        <f t="shared" si="1566"/>
        <v>564055.15762785613</v>
      </c>
      <c r="DJ448" s="129">
        <f t="shared" si="1566"/>
        <v>502855.30095649761</v>
      </c>
      <c r="DK448" s="129">
        <f t="shared" si="1566"/>
        <v>465805.94546714029</v>
      </c>
      <c r="DL448" s="129">
        <f t="shared" si="1566"/>
        <v>579482.40378503455</v>
      </c>
      <c r="DM448" s="129">
        <f t="shared" si="1566"/>
        <v>530825.894284009</v>
      </c>
      <c r="DN448" s="129">
        <f t="shared" si="1566"/>
        <v>629414.38457785093</v>
      </c>
      <c r="DO448" s="129">
        <f t="shared" si="1566"/>
        <v>642213.16372800083</v>
      </c>
      <c r="DP448" s="129">
        <f t="shared" si="1566"/>
        <v>594209.79597285949</v>
      </c>
      <c r="DQ448" s="129">
        <f t="shared" si="1566"/>
        <v>683757.27988008829</v>
      </c>
      <c r="DR448" s="129">
        <f t="shared" si="1552"/>
        <v>609286.98020742019</v>
      </c>
      <c r="DS448" s="129">
        <f t="shared" si="1553"/>
        <v>597572.32062895608</v>
      </c>
      <c r="DT448" s="129">
        <f t="shared" si="1554"/>
        <v>592845.69487487117</v>
      </c>
      <c r="DU448" s="129">
        <f t="shared" si="1555"/>
        <v>641430.55893706612</v>
      </c>
      <c r="DV448" s="129">
        <f t="shared" si="1556"/>
        <v>571091.57122423488</v>
      </c>
      <c r="DW448" s="129">
        <f t="shared" si="1557"/>
        <v>528236.38099055341</v>
      </c>
      <c r="DX448" s="129">
        <f t="shared" si="1558"/>
        <v>657495.91281341296</v>
      </c>
      <c r="DY448" s="129">
        <f t="shared" si="1559"/>
        <v>601763.00325838709</v>
      </c>
      <c r="DZ448" s="129">
        <f t="shared" si="1560"/>
        <v>713738.45712097059</v>
      </c>
      <c r="EA448" s="129">
        <f t="shared" si="1561"/>
        <v>728095.51001867512</v>
      </c>
      <c r="EB448" s="129">
        <f t="shared" si="1562"/>
        <v>673135.87354026944</v>
      </c>
      <c r="EC448" s="129">
        <f t="shared" si="1563"/>
        <v>774705.46171013662</v>
      </c>
      <c r="ED448" s="113" t="s">
        <v>1</v>
      </c>
    </row>
    <row r="449" spans="1:134" x14ac:dyDescent="0.2">
      <c r="A449" s="117" t="s">
        <v>12</v>
      </c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34">
        <f t="shared" ref="AB449:BG449" si="1567">AB444/AB416</f>
        <v>0.10149938722543181</v>
      </c>
      <c r="AC449" s="134">
        <f t="shared" si="1567"/>
        <v>0.10429422426772748</v>
      </c>
      <c r="AD449" s="134">
        <f t="shared" si="1567"/>
        <v>9.5633007712098594E-2</v>
      </c>
      <c r="AE449" s="134">
        <f t="shared" si="1567"/>
        <v>7.98449694868308E-2</v>
      </c>
      <c r="AF449" s="134">
        <f t="shared" si="1567"/>
        <v>7.2498153929865652E-2</v>
      </c>
      <c r="AG449" s="134">
        <f t="shared" si="1567"/>
        <v>6.3414340145220335E-2</v>
      </c>
      <c r="AH449" s="134">
        <f t="shared" si="1567"/>
        <v>4.5306428830614802E-2</v>
      </c>
      <c r="AI449" s="134">
        <f t="shared" si="1567"/>
        <v>4.6764354421549761E-2</v>
      </c>
      <c r="AJ449" s="134">
        <f t="shared" si="1567"/>
        <v>4.9242295088658967E-2</v>
      </c>
      <c r="AK449" s="134">
        <f t="shared" si="1567"/>
        <v>5.4367056401378691E-2</v>
      </c>
      <c r="AL449" s="134">
        <f t="shared" si="1567"/>
        <v>5.6872163933518967E-2</v>
      </c>
      <c r="AM449" s="134">
        <f t="shared" si="1567"/>
        <v>4.9572845751080501E-2</v>
      </c>
      <c r="AN449" s="134">
        <f t="shared" si="1567"/>
        <v>7.5248830888242746E-2</v>
      </c>
      <c r="AO449" s="134">
        <f t="shared" si="1567"/>
        <v>7.7716552874258743E-2</v>
      </c>
      <c r="AP449" s="134">
        <f t="shared" si="1567"/>
        <v>6.4847568285045287E-2</v>
      </c>
      <c r="AQ449" s="134">
        <f t="shared" si="1567"/>
        <v>6.6535072267539797E-2</v>
      </c>
      <c r="AR449" s="134">
        <f t="shared" si="1567"/>
        <v>6.3651390931484267E-2</v>
      </c>
      <c r="AS449" s="134">
        <f t="shared" si="1567"/>
        <v>6.3047417758847243E-2</v>
      </c>
      <c r="AT449" s="134">
        <f t="shared" si="1567"/>
        <v>6.290124939346553E-2</v>
      </c>
      <c r="AU449" s="134">
        <f t="shared" si="1567"/>
        <v>6.100504679998954E-2</v>
      </c>
      <c r="AV449" s="134">
        <f t="shared" si="1567"/>
        <v>6.1819085964783242E-2</v>
      </c>
      <c r="AW449" s="134">
        <f t="shared" si="1567"/>
        <v>6.0683031098836042E-2</v>
      </c>
      <c r="AX449" s="134">
        <f t="shared" si="1567"/>
        <v>6.0062906553316517E-2</v>
      </c>
      <c r="AY449" s="134">
        <f t="shared" si="1567"/>
        <v>5.7314269252769584E-2</v>
      </c>
      <c r="AZ449" s="134">
        <f t="shared" si="1567"/>
        <v>5.6044449402402878E-2</v>
      </c>
      <c r="BA449" s="134">
        <f t="shared" si="1567"/>
        <v>5.7261841165125386E-2</v>
      </c>
      <c r="BB449" s="134">
        <f t="shared" si="1567"/>
        <v>5.4600510595399179E-2</v>
      </c>
      <c r="BC449" s="134">
        <f t="shared" si="1567"/>
        <v>5.2191617830841558E-2</v>
      </c>
      <c r="BD449" s="134">
        <f t="shared" si="1567"/>
        <v>5.0593217382527172E-2</v>
      </c>
      <c r="BE449" s="134">
        <f t="shared" si="1567"/>
        <v>5.02261023728338E-2</v>
      </c>
      <c r="BF449" s="134">
        <f t="shared" si="1567"/>
        <v>4.8912423760554158E-2</v>
      </c>
      <c r="BG449" s="134">
        <f t="shared" si="1567"/>
        <v>4.85428700416103E-2</v>
      </c>
      <c r="BH449" s="134">
        <f t="shared" ref="BH449:CM449" si="1568">BH444/BH416</f>
        <v>4.9280557840644647E-2</v>
      </c>
      <c r="BI449" s="134">
        <f t="shared" si="1568"/>
        <v>4.6501357275347086E-2</v>
      </c>
      <c r="BJ449" s="134">
        <f t="shared" si="1568"/>
        <v>4.5172916660825221E-2</v>
      </c>
      <c r="BK449" s="134">
        <f t="shared" si="1568"/>
        <v>4.8046909435928251E-2</v>
      </c>
      <c r="BL449" s="134">
        <f t="shared" si="1568"/>
        <v>5.2164160370635773E-2</v>
      </c>
      <c r="BM449" s="134">
        <f t="shared" si="1568"/>
        <v>5.3021777698499306E-2</v>
      </c>
      <c r="BN449" s="134">
        <f t="shared" si="1568"/>
        <v>5.6008905210953641E-2</v>
      </c>
      <c r="BO449" s="134">
        <f t="shared" si="1568"/>
        <v>4.934116054799649E-2</v>
      </c>
      <c r="BP449" s="134">
        <f t="shared" si="1568"/>
        <v>4.6354040582767146E-2</v>
      </c>
      <c r="BQ449" s="134">
        <f t="shared" si="1568"/>
        <v>4.906543244686238E-2</v>
      </c>
      <c r="BR449" s="134">
        <f t="shared" si="1568"/>
        <v>5.0949523788465324E-2</v>
      </c>
      <c r="BS449" s="134">
        <f t="shared" si="1568"/>
        <v>5.5343878643959586E-2</v>
      </c>
      <c r="BT449" s="134">
        <f t="shared" si="1568"/>
        <v>6.3412052825790835E-2</v>
      </c>
      <c r="BU449" s="134">
        <f t="shared" si="1568"/>
        <v>6.300089906735265E-2</v>
      </c>
      <c r="BV449" s="134">
        <f t="shared" si="1568"/>
        <v>5.9346037028099236E-2</v>
      </c>
      <c r="BW449" s="134">
        <f t="shared" si="1568"/>
        <v>5.9009761440678384E-2</v>
      </c>
      <c r="BX449" s="134">
        <f t="shared" si="1568"/>
        <v>5.8550658472600839E-2</v>
      </c>
      <c r="BY449" s="134">
        <f t="shared" si="1568"/>
        <v>5.9583045447287236E-2</v>
      </c>
      <c r="BZ449" s="134">
        <f t="shared" si="1568"/>
        <v>6.0963736956282773E-2</v>
      </c>
      <c r="CA449" s="134">
        <f t="shared" si="1568"/>
        <v>6.017198064962808E-2</v>
      </c>
      <c r="CB449" s="134">
        <f t="shared" si="1568"/>
        <v>5.6918090645152124E-2</v>
      </c>
      <c r="CC449" s="134">
        <f t="shared" si="1568"/>
        <v>5.6006425522693762E-2</v>
      </c>
      <c r="CD449" s="134">
        <f t="shared" si="1568"/>
        <v>5.4959794192605285E-2</v>
      </c>
      <c r="CE449" s="134">
        <f t="shared" si="1568"/>
        <v>5.3935291295953404E-2</v>
      </c>
      <c r="CF449" s="134">
        <f t="shared" si="1568"/>
        <v>5.3641801750067102E-2</v>
      </c>
      <c r="CG449" s="134">
        <f t="shared" si="1568"/>
        <v>5.7253361586705048E-2</v>
      </c>
      <c r="CH449" s="134">
        <f t="shared" si="1568"/>
        <v>6.0018131866789393E-2</v>
      </c>
      <c r="CI449" s="134">
        <f t="shared" si="1568"/>
        <v>6.1292831206824945E-2</v>
      </c>
      <c r="CJ449" s="134">
        <f t="shared" si="1568"/>
        <v>5.7865545166402979E-2</v>
      </c>
      <c r="CK449" s="134">
        <f t="shared" si="1568"/>
        <v>5.722049071291023E-2</v>
      </c>
      <c r="CL449" s="134">
        <f t="shared" si="1568"/>
        <v>6.2094866219424463E-2</v>
      </c>
      <c r="CM449" s="134">
        <f t="shared" si="1568"/>
        <v>6.0532336802794663E-2</v>
      </c>
      <c r="CN449" s="134">
        <f t="shared" ref="CN449:CS449" si="1569">CN444/CN416</f>
        <v>5.5158047543883024E-2</v>
      </c>
      <c r="CO449" s="134">
        <f t="shared" si="1569"/>
        <v>5.6155510327697028E-2</v>
      </c>
      <c r="CP449" s="134">
        <f t="shared" si="1569"/>
        <v>5.5622288445057434E-2</v>
      </c>
      <c r="CQ449" s="134">
        <f t="shared" si="1569"/>
        <v>5.528283070174779E-2</v>
      </c>
      <c r="CR449" s="134">
        <f t="shared" si="1569"/>
        <v>5.4331052875858363E-2</v>
      </c>
      <c r="CS449" s="134">
        <f t="shared" si="1569"/>
        <v>5.4627597966818556E-2</v>
      </c>
      <c r="CT449" s="133">
        <f>AVERAGE(CH449:CS449)</f>
        <v>5.7516794153017414E-2</v>
      </c>
      <c r="CU449" s="133">
        <f>CT449</f>
        <v>5.7516794153017414E-2</v>
      </c>
      <c r="CV449" s="133">
        <f>CU449</f>
        <v>5.7516794153017414E-2</v>
      </c>
      <c r="CW449" s="133">
        <f t="shared" ref="CW449:DQ449" si="1570">CV449</f>
        <v>5.7516794153017414E-2</v>
      </c>
      <c r="CX449" s="133">
        <f t="shared" si="1570"/>
        <v>5.7516794153017414E-2</v>
      </c>
      <c r="CY449" s="133">
        <f t="shared" si="1570"/>
        <v>5.7516794153017414E-2</v>
      </c>
      <c r="CZ449" s="133">
        <f t="shared" si="1570"/>
        <v>5.7516794153017414E-2</v>
      </c>
      <c r="DA449" s="133">
        <f t="shared" si="1570"/>
        <v>5.7516794153017414E-2</v>
      </c>
      <c r="DB449" s="133">
        <f t="shared" si="1570"/>
        <v>5.7516794153017414E-2</v>
      </c>
      <c r="DC449" s="133">
        <f t="shared" si="1570"/>
        <v>5.7516794153017414E-2</v>
      </c>
      <c r="DD449" s="133">
        <f t="shared" si="1570"/>
        <v>5.7516794153017414E-2</v>
      </c>
      <c r="DE449" s="133">
        <f t="shared" si="1570"/>
        <v>5.7516794153017414E-2</v>
      </c>
      <c r="DF449" s="133">
        <f t="shared" si="1570"/>
        <v>5.7516794153017414E-2</v>
      </c>
      <c r="DG449" s="133">
        <f t="shared" si="1570"/>
        <v>5.7516794153017414E-2</v>
      </c>
      <c r="DH449" s="133">
        <f t="shared" si="1570"/>
        <v>5.7516794153017414E-2</v>
      </c>
      <c r="DI449" s="133">
        <f t="shared" si="1570"/>
        <v>5.7516794153017414E-2</v>
      </c>
      <c r="DJ449" s="133">
        <f t="shared" si="1570"/>
        <v>5.7516794153017414E-2</v>
      </c>
      <c r="DK449" s="133">
        <f t="shared" si="1570"/>
        <v>5.7516794153017414E-2</v>
      </c>
      <c r="DL449" s="133">
        <f t="shared" si="1570"/>
        <v>5.7516794153017414E-2</v>
      </c>
      <c r="DM449" s="133">
        <f t="shared" si="1570"/>
        <v>5.7516794153017414E-2</v>
      </c>
      <c r="DN449" s="133">
        <f t="shared" si="1570"/>
        <v>5.7516794153017414E-2</v>
      </c>
      <c r="DO449" s="133">
        <f t="shared" si="1570"/>
        <v>5.7516794153017414E-2</v>
      </c>
      <c r="DP449" s="133">
        <f t="shared" si="1570"/>
        <v>5.7516794153017414E-2</v>
      </c>
      <c r="DQ449" s="133">
        <f t="shared" si="1570"/>
        <v>5.7516794153017414E-2</v>
      </c>
      <c r="DR449" s="133">
        <f t="shared" ref="DR449" si="1571">DQ449</f>
        <v>5.7516794153017414E-2</v>
      </c>
      <c r="DS449" s="133">
        <f t="shared" ref="DS449" si="1572">DR449</f>
        <v>5.7516794153017414E-2</v>
      </c>
      <c r="DT449" s="133">
        <f t="shared" ref="DT449" si="1573">DS449</f>
        <v>5.7516794153017414E-2</v>
      </c>
      <c r="DU449" s="133">
        <f t="shared" ref="DU449" si="1574">DT449</f>
        <v>5.7516794153017414E-2</v>
      </c>
      <c r="DV449" s="133">
        <f t="shared" ref="DV449" si="1575">DU449</f>
        <v>5.7516794153017414E-2</v>
      </c>
      <c r="DW449" s="133">
        <f t="shared" ref="DW449" si="1576">DV449</f>
        <v>5.7516794153017414E-2</v>
      </c>
      <c r="DX449" s="133">
        <f t="shared" ref="DX449" si="1577">DW449</f>
        <v>5.7516794153017414E-2</v>
      </c>
      <c r="DY449" s="133">
        <f t="shared" ref="DY449" si="1578">DX449</f>
        <v>5.7516794153017414E-2</v>
      </c>
      <c r="DZ449" s="133">
        <f t="shared" ref="DZ449" si="1579">DY449</f>
        <v>5.7516794153017414E-2</v>
      </c>
      <c r="EA449" s="133">
        <f t="shared" ref="EA449" si="1580">DZ449</f>
        <v>5.7516794153017414E-2</v>
      </c>
      <c r="EB449" s="133">
        <f t="shared" ref="EB449" si="1581">EA449</f>
        <v>5.7516794153017414E-2</v>
      </c>
      <c r="EC449" s="133">
        <f t="shared" ref="EC449" si="1582">EB449</f>
        <v>5.7516794153017414E-2</v>
      </c>
      <c r="ED449" s="113" t="s">
        <v>1</v>
      </c>
    </row>
    <row r="450" spans="1:134" x14ac:dyDescent="0.2">
      <c r="A450" s="117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15"/>
      <c r="AU450" s="115"/>
      <c r="AV450" s="115"/>
      <c r="AW450" s="115"/>
      <c r="AX450" s="115"/>
      <c r="AY450" s="115"/>
      <c r="AZ450" s="115"/>
      <c r="BA450" s="115"/>
      <c r="BB450" s="115"/>
      <c r="BC450" s="115"/>
      <c r="BD450" s="115"/>
      <c r="BE450" s="115"/>
      <c r="BF450" s="115"/>
      <c r="BG450" s="115"/>
      <c r="BH450" s="115"/>
      <c r="BI450" s="115"/>
      <c r="BJ450" s="115"/>
      <c r="BK450" s="115"/>
      <c r="BL450" s="115"/>
      <c r="BM450" s="115"/>
      <c r="BN450" s="115"/>
      <c r="BO450" s="115"/>
      <c r="BP450" s="115"/>
      <c r="BQ450" s="115"/>
      <c r="BR450" s="115"/>
      <c r="BS450" s="115"/>
      <c r="BT450" s="115"/>
      <c r="BU450" s="115"/>
      <c r="BV450" s="115"/>
      <c r="BW450" s="115"/>
      <c r="BX450" s="115"/>
      <c r="BY450" s="115"/>
      <c r="BZ450" s="115"/>
      <c r="CA450" s="115"/>
      <c r="CB450" s="115"/>
      <c r="CC450" s="115"/>
      <c r="CD450" s="115"/>
      <c r="CE450" s="115"/>
      <c r="CF450" s="115"/>
      <c r="CG450" s="115"/>
      <c r="CH450" s="115"/>
      <c r="CI450" s="115"/>
      <c r="CJ450" s="115"/>
      <c r="CK450" s="115"/>
      <c r="CL450" s="115"/>
      <c r="CM450" s="115"/>
      <c r="CN450" s="115"/>
      <c r="CO450" s="115"/>
      <c r="CP450" s="115"/>
      <c r="CQ450" s="115"/>
      <c r="CR450" s="115"/>
      <c r="CS450" s="115"/>
      <c r="CT450" s="115"/>
      <c r="CU450" s="115"/>
      <c r="CV450" s="115"/>
      <c r="CW450" s="115"/>
      <c r="CX450" s="115"/>
      <c r="CY450" s="115"/>
      <c r="CZ450" s="115"/>
      <c r="DA450" s="115"/>
      <c r="DB450" s="115"/>
      <c r="DC450" s="115"/>
      <c r="DD450" s="115"/>
      <c r="DE450" s="115"/>
      <c r="DF450" s="115"/>
      <c r="DG450" s="115"/>
      <c r="DH450" s="115"/>
      <c r="DI450" s="115"/>
      <c r="DJ450" s="115"/>
      <c r="DK450" s="115"/>
      <c r="DL450" s="115"/>
      <c r="DM450" s="115"/>
      <c r="DN450" s="115"/>
      <c r="DO450" s="115"/>
      <c r="DP450" s="115"/>
      <c r="DQ450" s="115"/>
      <c r="DR450" s="115"/>
      <c r="DS450" s="115"/>
      <c r="DT450" s="115"/>
      <c r="DU450" s="115"/>
      <c r="DV450" s="115"/>
      <c r="DW450" s="115"/>
      <c r="DX450" s="115"/>
      <c r="DY450" s="115"/>
      <c r="DZ450" s="115"/>
      <c r="EA450" s="115"/>
      <c r="EB450" s="115"/>
      <c r="EC450" s="645"/>
      <c r="ED450" s="113" t="s">
        <v>1</v>
      </c>
    </row>
    <row r="451" spans="1:134" s="331" customFormat="1" x14ac:dyDescent="0.2">
      <c r="A451" s="116" t="s">
        <v>192</v>
      </c>
      <c r="B451" s="330"/>
      <c r="C451" s="330"/>
      <c r="D451" s="330"/>
      <c r="E451" s="330"/>
      <c r="F451" s="330"/>
      <c r="G451" s="330"/>
      <c r="H451" s="330"/>
      <c r="I451" s="330"/>
      <c r="J451" s="330"/>
      <c r="K451" s="330"/>
      <c r="L451" s="330"/>
      <c r="M451" s="330"/>
      <c r="N451" s="330"/>
      <c r="O451" s="330"/>
      <c r="P451" s="330"/>
      <c r="Q451" s="330"/>
      <c r="R451" s="330"/>
      <c r="S451" s="330"/>
      <c r="T451" s="330"/>
      <c r="U451" s="330"/>
      <c r="V451" s="330"/>
      <c r="W451" s="330"/>
      <c r="X451" s="330"/>
      <c r="Y451" s="330"/>
      <c r="Z451" s="330"/>
      <c r="AA451" s="330"/>
      <c r="AB451" s="131">
        <f>SUM(AB452:AB454)</f>
        <v>888152.52503898321</v>
      </c>
      <c r="AC451" s="131">
        <f t="shared" ref="AC451:CN451" si="1583">SUM(AC452:AC454)</f>
        <v>848998.26764237287</v>
      </c>
      <c r="AD451" s="131">
        <f t="shared" si="1583"/>
        <v>968637.04489227221</v>
      </c>
      <c r="AE451" s="131">
        <f t="shared" si="1583"/>
        <v>992801.80463050876</v>
      </c>
      <c r="AF451" s="131">
        <f t="shared" si="1583"/>
        <v>920672.42627118656</v>
      </c>
      <c r="AG451" s="131">
        <f t="shared" si="1583"/>
        <v>1154298.6844355932</v>
      </c>
      <c r="AH451" s="131">
        <f t="shared" si="1583"/>
        <v>1859897.1203389829</v>
      </c>
      <c r="AI451" s="131">
        <f t="shared" si="1583"/>
        <v>1971042.9991652551</v>
      </c>
      <c r="AJ451" s="131">
        <f t="shared" si="1583"/>
        <v>2016876.0072881361</v>
      </c>
      <c r="AK451" s="131">
        <f t="shared" si="1583"/>
        <v>2358171.4008305124</v>
      </c>
      <c r="AL451" s="131">
        <f t="shared" si="1583"/>
        <v>1346224.5525458117</v>
      </c>
      <c r="AM451" s="131">
        <f t="shared" si="1583"/>
        <v>32364.925423728815</v>
      </c>
      <c r="AN451" s="131">
        <f t="shared" si="1583"/>
        <v>1434321.914866677</v>
      </c>
      <c r="AO451" s="131">
        <f t="shared" si="1583"/>
        <v>2241932.5322231008</v>
      </c>
      <c r="AP451" s="131">
        <f t="shared" si="1583"/>
        <v>2336398.2440906772</v>
      </c>
      <c r="AQ451" s="131">
        <f t="shared" si="1583"/>
        <v>3113300.5033050478</v>
      </c>
      <c r="AR451" s="131">
        <f t="shared" si="1583"/>
        <v>3606699.3388932189</v>
      </c>
      <c r="AS451" s="131">
        <f t="shared" si="1583"/>
        <v>5077058.4446338927</v>
      </c>
      <c r="AT451" s="131">
        <f t="shared" si="1583"/>
        <v>6170759.1280741096</v>
      </c>
      <c r="AU451" s="131">
        <f t="shared" si="1583"/>
        <v>5869041.2347347308</v>
      </c>
      <c r="AV451" s="131">
        <f t="shared" si="1583"/>
        <v>6479021.3495186511</v>
      </c>
      <c r="AW451" s="131">
        <f t="shared" si="1583"/>
        <v>7207845.7565349434</v>
      </c>
      <c r="AX451" s="131">
        <f t="shared" si="1583"/>
        <v>6346496.2552917106</v>
      </c>
      <c r="AY451" s="131">
        <f t="shared" si="1583"/>
        <v>7489939.1799706658</v>
      </c>
      <c r="AZ451" s="131">
        <f t="shared" si="1583"/>
        <v>8867924.7360742614</v>
      </c>
      <c r="BA451" s="131">
        <f t="shared" si="1583"/>
        <v>9228444.3714447748</v>
      </c>
      <c r="BB451" s="131">
        <f t="shared" si="1583"/>
        <v>9195203.7452745698</v>
      </c>
      <c r="BC451" s="131">
        <f t="shared" si="1583"/>
        <v>8488097.8702932503</v>
      </c>
      <c r="BD451" s="131">
        <f t="shared" si="1583"/>
        <v>9165790.5902389754</v>
      </c>
      <c r="BE451" s="131">
        <f t="shared" si="1583"/>
        <v>9358038.2877559382</v>
      </c>
      <c r="BF451" s="131">
        <f t="shared" si="1583"/>
        <v>11038785.864069965</v>
      </c>
      <c r="BG451" s="131">
        <f t="shared" si="1583"/>
        <v>12096769.903779669</v>
      </c>
      <c r="BH451" s="131">
        <f t="shared" si="1583"/>
        <v>12221156.099349197</v>
      </c>
      <c r="BI451" s="131">
        <f t="shared" si="1583"/>
        <v>14533793.887911867</v>
      </c>
      <c r="BJ451" s="131">
        <f t="shared" si="1583"/>
        <v>15053914.593686357</v>
      </c>
      <c r="BK451" s="131">
        <f t="shared" si="1583"/>
        <v>16905881.30308478</v>
      </c>
      <c r="BL451" s="131">
        <f t="shared" si="1583"/>
        <v>18120441.58303735</v>
      </c>
      <c r="BM451" s="131">
        <f t="shared" si="1583"/>
        <v>16268983.184989765</v>
      </c>
      <c r="BN451" s="131">
        <f t="shared" si="1583"/>
        <v>17300572.142339014</v>
      </c>
      <c r="BO451" s="131">
        <f t="shared" si="1583"/>
        <v>14313267.342457566</v>
      </c>
      <c r="BP451" s="131">
        <f t="shared" si="1583"/>
        <v>18903576.497629616</v>
      </c>
      <c r="BQ451" s="131">
        <f t="shared" si="1583"/>
        <v>17493503.86758931</v>
      </c>
      <c r="BR451" s="131">
        <f t="shared" si="1583"/>
        <v>15758254.345519518</v>
      </c>
      <c r="BS451" s="131">
        <f t="shared" si="1583"/>
        <v>15406007.993743721</v>
      </c>
      <c r="BT451" s="131">
        <f t="shared" si="1583"/>
        <v>16312854.32107166</v>
      </c>
      <c r="BU451" s="131">
        <f t="shared" si="1583"/>
        <v>19636907.256832119</v>
      </c>
      <c r="BV451" s="131">
        <f t="shared" si="1583"/>
        <v>19465110.555589914</v>
      </c>
      <c r="BW451" s="131">
        <f t="shared" si="1583"/>
        <v>19372932.33760795</v>
      </c>
      <c r="BX451" s="131">
        <f t="shared" si="1583"/>
        <v>20633654.849739995</v>
      </c>
      <c r="BY451" s="131">
        <f t="shared" si="1583"/>
        <v>19936820.151244905</v>
      </c>
      <c r="BZ451" s="131">
        <f t="shared" si="1583"/>
        <v>17280345.21113693</v>
      </c>
      <c r="CA451" s="131">
        <f t="shared" si="1583"/>
        <v>14762436.869752571</v>
      </c>
      <c r="CB451" s="131">
        <f t="shared" si="1583"/>
        <v>19581804.488759257</v>
      </c>
      <c r="CC451" s="131">
        <f t="shared" si="1583"/>
        <v>18895326.329475418</v>
      </c>
      <c r="CD451" s="131">
        <f t="shared" si="1583"/>
        <v>21972860.948443685</v>
      </c>
      <c r="CE451" s="131">
        <f t="shared" si="1583"/>
        <v>22105006.001549546</v>
      </c>
      <c r="CF451" s="131">
        <f t="shared" si="1583"/>
        <v>21024606.002042934</v>
      </c>
      <c r="CG451" s="131">
        <f t="shared" si="1583"/>
        <v>27729045.697578065</v>
      </c>
      <c r="CH451" s="131">
        <f t="shared" si="1583"/>
        <v>28284570.495545529</v>
      </c>
      <c r="CI451" s="131">
        <f t="shared" si="1583"/>
        <v>27552711.060241282</v>
      </c>
      <c r="CJ451" s="131">
        <f t="shared" si="1583"/>
        <v>26717325.464342143</v>
      </c>
      <c r="CK451" s="131">
        <f t="shared" si="1583"/>
        <v>28892756.126610167</v>
      </c>
      <c r="CL451" s="131">
        <f t="shared" si="1583"/>
        <v>26674183.222203393</v>
      </c>
      <c r="CM451" s="131">
        <f t="shared" si="1583"/>
        <v>24446204.185084749</v>
      </c>
      <c r="CN451" s="131">
        <f t="shared" si="1583"/>
        <v>32165112.996271178</v>
      </c>
      <c r="CO451" s="131">
        <f t="shared" ref="CO451:DQ451" si="1584">SUM(CO452:CO454)</f>
        <v>29331682.245762736</v>
      </c>
      <c r="CP451" s="131">
        <f t="shared" si="1584"/>
        <v>36556711.13440679</v>
      </c>
      <c r="CQ451" s="131">
        <f t="shared" si="1584"/>
        <v>38376833.857627109</v>
      </c>
      <c r="CR451" s="131">
        <f t="shared" si="1584"/>
        <v>36504411.731864408</v>
      </c>
      <c r="CS451" s="131">
        <f t="shared" si="1584"/>
        <v>44094572.085593231</v>
      </c>
      <c r="CT451" s="131">
        <f>SUM(CT452:CT454)</f>
        <v>37148388.849380612</v>
      </c>
      <c r="CU451" s="131">
        <f>SUM(CU452:CU454)</f>
        <v>36379496.964459501</v>
      </c>
      <c r="CV451" s="131">
        <f t="shared" si="1584"/>
        <v>36303664.67124851</v>
      </c>
      <c r="CW451" s="131">
        <f t="shared" si="1584"/>
        <v>39311986.558790341</v>
      </c>
      <c r="CX451" s="131">
        <f t="shared" si="1584"/>
        <v>35123268.899786167</v>
      </c>
      <c r="CY451" s="131">
        <f t="shared" si="1584"/>
        <v>32615173.750645839</v>
      </c>
      <c r="CZ451" s="131">
        <f t="shared" si="1584"/>
        <v>40695839.143124506</v>
      </c>
      <c r="DA451" s="131">
        <f t="shared" si="1584"/>
        <v>37478117.203961581</v>
      </c>
      <c r="DB451" s="131">
        <f t="shared" si="1584"/>
        <v>44584816.363930047</v>
      </c>
      <c r="DC451" s="131">
        <f t="shared" si="1584"/>
        <v>45679951.284361646</v>
      </c>
      <c r="DD451" s="131">
        <f t="shared" si="1584"/>
        <v>42477679.234419286</v>
      </c>
      <c r="DE451" s="131">
        <f t="shared" si="1584"/>
        <v>49412681.183940589</v>
      </c>
      <c r="DF451" s="131">
        <f t="shared" si="1584"/>
        <v>45427838.041475229</v>
      </c>
      <c r="DG451" s="131">
        <f t="shared" si="1584"/>
        <v>44598988.123424329</v>
      </c>
      <c r="DH451" s="131">
        <f t="shared" si="1584"/>
        <v>44274544.747773387</v>
      </c>
      <c r="DI451" s="131">
        <f t="shared" si="1584"/>
        <v>47918784.020139307</v>
      </c>
      <c r="DJ451" s="131">
        <f t="shared" si="1584"/>
        <v>42719606.822236359</v>
      </c>
      <c r="DK451" s="131">
        <f t="shared" si="1584"/>
        <v>39572113.106823511</v>
      </c>
      <c r="DL451" s="131">
        <f t="shared" si="1584"/>
        <v>49229391.443250753</v>
      </c>
      <c r="DM451" s="131">
        <f t="shared" si="1584"/>
        <v>45095822.698380262</v>
      </c>
      <c r="DN451" s="131">
        <f t="shared" si="1584"/>
        <v>53471316.671576232</v>
      </c>
      <c r="DO451" s="131">
        <f t="shared" si="1584"/>
        <v>54558625.112113766</v>
      </c>
      <c r="DP451" s="131">
        <f t="shared" si="1584"/>
        <v>50480543.419940718</v>
      </c>
      <c r="DQ451" s="131">
        <f t="shared" si="1584"/>
        <v>58087967.060818858</v>
      </c>
      <c r="DR451" s="131">
        <f t="shared" ref="DR451:EC451" si="1585">SUM(DR452:DR454)</f>
        <v>51761411.656313486</v>
      </c>
      <c r="DS451" s="131">
        <f t="shared" si="1585"/>
        <v>50766203.590899013</v>
      </c>
      <c r="DT451" s="131">
        <f t="shared" si="1585"/>
        <v>50364657.473305576</v>
      </c>
      <c r="DU451" s="131">
        <f t="shared" si="1585"/>
        <v>54492139.646210663</v>
      </c>
      <c r="DV451" s="131">
        <f t="shared" si="1585"/>
        <v>48516556.026726827</v>
      </c>
      <c r="DW451" s="131">
        <f t="shared" si="1585"/>
        <v>44875832.99250073</v>
      </c>
      <c r="DX451" s="131">
        <f t="shared" si="1585"/>
        <v>55856956.920190237</v>
      </c>
      <c r="DY451" s="131">
        <f t="shared" si="1585"/>
        <v>51122219.156222753</v>
      </c>
      <c r="DZ451" s="131">
        <f t="shared" si="1585"/>
        <v>60634990.233015805</v>
      </c>
      <c r="EA451" s="131">
        <f t="shared" si="1585"/>
        <v>61854680.377972722</v>
      </c>
      <c r="EB451" s="131">
        <f t="shared" si="1585"/>
        <v>57185635.31275297</v>
      </c>
      <c r="EC451" s="131">
        <f t="shared" si="1585"/>
        <v>65814385.697724186</v>
      </c>
      <c r="ED451" s="113" t="s">
        <v>1</v>
      </c>
    </row>
    <row r="452" spans="1:134" x14ac:dyDescent="0.2">
      <c r="A452" s="114" t="s">
        <v>139</v>
      </c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29">
        <v>309190.48329661018</v>
      </c>
      <c r="AC452" s="129">
        <v>223532.74221864401</v>
      </c>
      <c r="AD452" s="129">
        <v>307586.96709566202</v>
      </c>
      <c r="AE452" s="129">
        <v>418778.47920677997</v>
      </c>
      <c r="AF452" s="129">
        <v>379252.51</v>
      </c>
      <c r="AG452" s="129">
        <v>627607.39629999991</v>
      </c>
      <c r="AH452" s="129">
        <v>1324809.99</v>
      </c>
      <c r="AI452" s="129">
        <v>1429789.30526695</v>
      </c>
      <c r="AJ452" s="129">
        <v>1477302.4140677969</v>
      </c>
      <c r="AK452" s="129">
        <v>1689604.11727119</v>
      </c>
      <c r="AL452" s="129">
        <v>937666.63441021845</v>
      </c>
      <c r="AM452" s="129">
        <v>31236.925423728815</v>
      </c>
      <c r="AN452" s="129">
        <v>723056.74537515175</v>
      </c>
      <c r="AO452" s="129">
        <v>1229354.6000197111</v>
      </c>
      <c r="AP452" s="129">
        <v>1253472.6508703381</v>
      </c>
      <c r="AQ452" s="129">
        <v>1767157.6558474207</v>
      </c>
      <c r="AR452" s="129">
        <v>2328271.7412661002</v>
      </c>
      <c r="AS452" s="129">
        <v>3687136.0981932138</v>
      </c>
      <c r="AT452" s="129">
        <v>4209127.4568876671</v>
      </c>
      <c r="AU452" s="129">
        <v>3963882.3745652386</v>
      </c>
      <c r="AV452" s="129">
        <v>4563711.6593491593</v>
      </c>
      <c r="AW452" s="129">
        <v>5182775.3887383332</v>
      </c>
      <c r="AX452" s="129">
        <v>4227141.0210544225</v>
      </c>
      <c r="AY452" s="129">
        <v>5094910.0467503266</v>
      </c>
      <c r="AZ452" s="129">
        <v>6282676.083023414</v>
      </c>
      <c r="BA452" s="129">
        <v>6218978.4104278274</v>
      </c>
      <c r="BB452" s="129">
        <v>6006774.3554440616</v>
      </c>
      <c r="BC452" s="129">
        <v>5292707.0262254542</v>
      </c>
      <c r="BD452" s="129">
        <v>6123923.2532898234</v>
      </c>
      <c r="BE452" s="129">
        <v>6340875.0462305145</v>
      </c>
      <c r="BF452" s="129">
        <v>7960121.3757648794</v>
      </c>
      <c r="BG452" s="129">
        <v>8720043.3208983131</v>
      </c>
      <c r="BH452" s="129">
        <v>8872594.6030780114</v>
      </c>
      <c r="BI452" s="129">
        <v>11045677.185030513</v>
      </c>
      <c r="BJ452" s="129">
        <v>11433226.035889747</v>
      </c>
      <c r="BK452" s="129">
        <v>13106616.086135628</v>
      </c>
      <c r="BL452" s="129">
        <v>14082628.466257686</v>
      </c>
      <c r="BM452" s="129">
        <v>12094079.690074513</v>
      </c>
      <c r="BN452" s="129">
        <v>12547793.518779682</v>
      </c>
      <c r="BO452" s="129">
        <v>10057298.420593159</v>
      </c>
      <c r="BP452" s="129">
        <v>14019566.359912667</v>
      </c>
      <c r="BQ452" s="129">
        <v>13836869.740886545</v>
      </c>
      <c r="BR452" s="129">
        <v>12307151.134017143</v>
      </c>
      <c r="BS452" s="129">
        <v>12144551.854930818</v>
      </c>
      <c r="BT452" s="129">
        <v>12908413.740403915</v>
      </c>
      <c r="BU452" s="129">
        <v>15735699.529548265</v>
      </c>
      <c r="BV452" s="129">
        <v>15335569.452543253</v>
      </c>
      <c r="BW452" s="129">
        <v>15042247.488762252</v>
      </c>
      <c r="BX452" s="129">
        <v>15871571.18795451</v>
      </c>
      <c r="BY452" s="129">
        <v>15001087.63005783</v>
      </c>
      <c r="BZ452" s="129">
        <v>12445121.927408114</v>
      </c>
      <c r="CA452" s="129">
        <v>10376031.680607503</v>
      </c>
      <c r="CB452" s="129">
        <v>14427011.645466261</v>
      </c>
      <c r="CC452" s="129">
        <v>14399229.794221181</v>
      </c>
      <c r="CD452" s="129">
        <v>16699046.190381143</v>
      </c>
      <c r="CE452" s="129">
        <v>16897656.673074983</v>
      </c>
      <c r="CF452" s="129">
        <v>16439358.586280232</v>
      </c>
      <c r="CG452" s="129">
        <v>21893574.871984843</v>
      </c>
      <c r="CH452" s="129">
        <v>22875578.037240446</v>
      </c>
      <c r="CI452" s="129">
        <v>21944684.717020944</v>
      </c>
      <c r="CJ452" s="129">
        <v>21525162.748070974</v>
      </c>
      <c r="CK452" s="129">
        <v>22943713.25</v>
      </c>
      <c r="CL452" s="129">
        <v>20399206.360000003</v>
      </c>
      <c r="CM452" s="129">
        <v>18509372.150000006</v>
      </c>
      <c r="CN452" s="129">
        <v>25283796.259999994</v>
      </c>
      <c r="CO452" s="129">
        <v>22605947.280000024</v>
      </c>
      <c r="CP452" s="129">
        <v>28330419.960000008</v>
      </c>
      <c r="CQ452" s="129">
        <v>30631564.61999999</v>
      </c>
      <c r="CR452" s="129">
        <v>28979015.419999998</v>
      </c>
      <c r="CS452" s="129">
        <v>32756146.390000008</v>
      </c>
      <c r="CT452" s="129">
        <f t="shared" ref="CT452:CV454" si="1586">CS452/CS$422*CT$422</f>
        <v>27596096.42975821</v>
      </c>
      <c r="CU452" s="129">
        <f t="shared" si="1586"/>
        <v>27024916.487436287</v>
      </c>
      <c r="CV452" s="129">
        <f t="shared" si="1586"/>
        <v>26968583.619692679</v>
      </c>
      <c r="CW452" s="129">
        <f t="shared" ref="CW452:DQ454" si="1587">CV452/CV$422*CW$422</f>
        <v>29203349.203657988</v>
      </c>
      <c r="CX452" s="129">
        <f t="shared" si="1587"/>
        <v>26091713.409610964</v>
      </c>
      <c r="CY452" s="129">
        <f t="shared" si="1587"/>
        <v>24228546.856915656</v>
      </c>
      <c r="CZ452" s="129">
        <f t="shared" si="1587"/>
        <v>30231359.584315252</v>
      </c>
      <c r="DA452" s="129">
        <f t="shared" si="1587"/>
        <v>27841038.828351457</v>
      </c>
      <c r="DB452" s="129">
        <f t="shared" si="1587"/>
        <v>33120329.839085057</v>
      </c>
      <c r="DC452" s="129">
        <f t="shared" si="1587"/>
        <v>33933863.07172025</v>
      </c>
      <c r="DD452" s="129">
        <f t="shared" si="1587"/>
        <v>31555019.438882533</v>
      </c>
      <c r="DE452" s="129">
        <f t="shared" si="1587"/>
        <v>36706763.255162254</v>
      </c>
      <c r="DF452" s="129">
        <f t="shared" si="1587"/>
        <v>33746577.927534826</v>
      </c>
      <c r="DG452" s="129">
        <f t="shared" si="1587"/>
        <v>33130857.489238854</v>
      </c>
      <c r="DH452" s="129">
        <f t="shared" si="1587"/>
        <v>32889841.096394431</v>
      </c>
      <c r="DI452" s="129">
        <f t="shared" si="1587"/>
        <v>35597005.02700454</v>
      </c>
      <c r="DJ452" s="129">
        <f t="shared" si="1587"/>
        <v>31734738.055199586</v>
      </c>
      <c r="DK452" s="129">
        <f t="shared" si="1587"/>
        <v>29396587.121258371</v>
      </c>
      <c r="DL452" s="129">
        <f t="shared" si="1587"/>
        <v>36570604.419871427</v>
      </c>
      <c r="DM452" s="129">
        <f t="shared" si="1587"/>
        <v>33499936.613927465</v>
      </c>
      <c r="DN452" s="129">
        <f t="shared" si="1587"/>
        <v>39721766.052299693</v>
      </c>
      <c r="DO452" s="129">
        <f t="shared" si="1587"/>
        <v>40529485.29674989</v>
      </c>
      <c r="DP452" s="129">
        <f t="shared" si="1587"/>
        <v>37500036.668925606</v>
      </c>
      <c r="DQ452" s="129">
        <f t="shared" si="1587"/>
        <v>43151296.46452225</v>
      </c>
      <c r="DR452" s="129">
        <f t="shared" ref="DR452:DR454" si="1588">DQ452/DQ$422*DR$422</f>
        <v>38451543.974076115</v>
      </c>
      <c r="DS452" s="129">
        <f t="shared" ref="DS452:DS454" si="1589">DR452/DR$422*DS$422</f>
        <v>37712242.524093874</v>
      </c>
      <c r="DT452" s="129">
        <f t="shared" ref="DT452:DT454" si="1590">DS452/DS$422*DT$422</f>
        <v>37413949.496446505</v>
      </c>
      <c r="DU452" s="129">
        <f t="shared" ref="DU452:DU454" si="1591">DT452/DT$422*DU$422</f>
        <v>40480095.824283712</v>
      </c>
      <c r="DV452" s="129">
        <f t="shared" ref="DV452:DV454" si="1592">DU452/DU$422*DV$422</f>
        <v>36041066.652494766</v>
      </c>
      <c r="DW452" s="129">
        <f t="shared" ref="DW452:DW454" si="1593">DV452/DV$422*DW$422</f>
        <v>33336514.798741344</v>
      </c>
      <c r="DX452" s="129">
        <f t="shared" ref="DX452:DX454" si="1594">DW452/DW$422*DX$422</f>
        <v>41493965.611596651</v>
      </c>
      <c r="DY452" s="129">
        <f t="shared" ref="DY452:DY454" si="1595">DX452/DX$422*DY$422</f>
        <v>37976712.671399683</v>
      </c>
      <c r="DZ452" s="129">
        <f t="shared" ref="DZ452:DZ454" si="1596">DY452/DY$422*DZ$422</f>
        <v>45043381.134836227</v>
      </c>
      <c r="EA452" s="129">
        <f t="shared" ref="EA452:EA454" si="1597">DZ452/DZ$422*EA$422</f>
        <v>45949441.610059716</v>
      </c>
      <c r="EB452" s="129">
        <f t="shared" ref="EB452:EB454" si="1598">EA452/EA$422*EB$422</f>
        <v>42480989.22637473</v>
      </c>
      <c r="EC452" s="129">
        <f t="shared" ref="EC452:EC454" si="1599">EB452/EB$422*EC$422</f>
        <v>48890953.024736047</v>
      </c>
      <c r="ED452" s="113" t="s">
        <v>1</v>
      </c>
    </row>
    <row r="453" spans="1:134" x14ac:dyDescent="0.2">
      <c r="A453" s="114" t="s">
        <v>191</v>
      </c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29">
        <v>557628.25576271198</v>
      </c>
      <c r="AC453" s="129">
        <v>605957.3389830509</v>
      </c>
      <c r="AD453" s="129">
        <v>628859.04406779667</v>
      </c>
      <c r="AE453" s="129">
        <v>531251.55762711866</v>
      </c>
      <c r="AF453" s="129">
        <v>501295.42372881359</v>
      </c>
      <c r="AG453" s="129">
        <v>482757.40677966102</v>
      </c>
      <c r="AH453" s="129">
        <v>485257.57627118647</v>
      </c>
      <c r="AI453" s="129">
        <v>483219.15254237287</v>
      </c>
      <c r="AJ453" s="129">
        <v>376590</v>
      </c>
      <c r="AK453" s="129">
        <v>577504.37288135593</v>
      </c>
      <c r="AL453" s="129">
        <v>366042.05084745766</v>
      </c>
      <c r="AM453" s="129">
        <v>0</v>
      </c>
      <c r="AN453" s="129">
        <v>658483.16949152539</v>
      </c>
      <c r="AO453" s="129">
        <v>915910.93220338982</v>
      </c>
      <c r="AP453" s="129">
        <v>843833.59322033892</v>
      </c>
      <c r="AQ453" s="129">
        <v>1032146.8474576272</v>
      </c>
      <c r="AR453" s="129">
        <v>972694.37288135593</v>
      </c>
      <c r="AS453" s="129">
        <v>1032131.2881355933</v>
      </c>
      <c r="AT453" s="129">
        <v>1466665.6271186441</v>
      </c>
      <c r="AU453" s="129">
        <v>1426851.4576271186</v>
      </c>
      <c r="AV453" s="129">
        <v>1447871.0338983051</v>
      </c>
      <c r="AW453" s="129">
        <v>1344299.9491525423</v>
      </c>
      <c r="AX453" s="129">
        <v>1612578.5084745763</v>
      </c>
      <c r="AY453" s="129">
        <v>1885403.7457627119</v>
      </c>
      <c r="AZ453" s="129">
        <v>1950893.5423728814</v>
      </c>
      <c r="BA453" s="129">
        <v>2305092.661016949</v>
      </c>
      <c r="BB453" s="129">
        <v>2348095.1186440676</v>
      </c>
      <c r="BC453" s="129">
        <v>2271807.1525423732</v>
      </c>
      <c r="BD453" s="129">
        <v>2167587.3050847459</v>
      </c>
      <c r="BE453" s="129">
        <v>2287807.1694915257</v>
      </c>
      <c r="BF453" s="129">
        <v>2305616.7966101696</v>
      </c>
      <c r="BG453" s="129">
        <v>2449101.9661016949</v>
      </c>
      <c r="BH453" s="129">
        <v>2306565.4576271186</v>
      </c>
      <c r="BI453" s="129">
        <v>2427930.9152542371</v>
      </c>
      <c r="BJ453" s="129">
        <v>2510098.1694915257</v>
      </c>
      <c r="BK453" s="129">
        <v>2633149.0677966098</v>
      </c>
      <c r="BL453" s="129">
        <v>2766704.7966101696</v>
      </c>
      <c r="BM453" s="129">
        <v>2977060.881355932</v>
      </c>
      <c r="BN453" s="129">
        <v>3008913.2542372881</v>
      </c>
      <c r="BO453" s="129">
        <v>2608360.0169491526</v>
      </c>
      <c r="BP453" s="129">
        <v>2671229.440677966</v>
      </c>
      <c r="BQ453" s="129">
        <v>2221117.1694915257</v>
      </c>
      <c r="BR453" s="129">
        <v>2230951.4237288139</v>
      </c>
      <c r="BS453" s="129">
        <v>2194235.6949152541</v>
      </c>
      <c r="BT453" s="129">
        <v>2211927.2542372881</v>
      </c>
      <c r="BU453" s="129">
        <v>2576596.4237288139</v>
      </c>
      <c r="BV453" s="129">
        <v>2739616.4745762711</v>
      </c>
      <c r="BW453" s="129">
        <v>2938392.4576271186</v>
      </c>
      <c r="BX453" s="129">
        <v>3172524.4067796608</v>
      </c>
      <c r="BY453" s="129">
        <v>3382553.410169492</v>
      </c>
      <c r="BZ453" s="129">
        <v>3297736.677966102</v>
      </c>
      <c r="CA453" s="129">
        <v>3175617.8135593222</v>
      </c>
      <c r="CB453" s="129">
        <v>3235067.9511864404</v>
      </c>
      <c r="CC453" s="129">
        <v>2937331.0555932205</v>
      </c>
      <c r="CD453" s="129">
        <v>3417043.8630508478</v>
      </c>
      <c r="CE453" s="129">
        <v>3249178.5477966098</v>
      </c>
      <c r="CF453" s="129">
        <v>2840330.1966101695</v>
      </c>
      <c r="CG453" s="129">
        <v>3768998.4488135595</v>
      </c>
      <c r="CH453" s="129">
        <v>3477886.3220338984</v>
      </c>
      <c r="CI453" s="129">
        <v>3589146.6101694917</v>
      </c>
      <c r="CJ453" s="129">
        <v>3606751.4338983051</v>
      </c>
      <c r="CK453" s="129">
        <v>4075042.5320338984</v>
      </c>
      <c r="CL453" s="129">
        <v>4578882.9055932201</v>
      </c>
      <c r="CM453" s="129">
        <v>3836151.4316949151</v>
      </c>
      <c r="CN453" s="129">
        <v>3915628.5844067796</v>
      </c>
      <c r="CO453" s="129">
        <v>4060098.3188135591</v>
      </c>
      <c r="CP453" s="129">
        <v>4904745.7637288133</v>
      </c>
      <c r="CQ453" s="129">
        <v>4861837.5391525421</v>
      </c>
      <c r="CR453" s="129">
        <v>4752311.9247457627</v>
      </c>
      <c r="CS453" s="129">
        <v>8096491.0159322042</v>
      </c>
      <c r="CT453" s="129">
        <f t="shared" si="1586"/>
        <v>6821057.1584985536</v>
      </c>
      <c r="CU453" s="129">
        <f t="shared" si="1586"/>
        <v>6679875.9213521127</v>
      </c>
      <c r="CV453" s="129">
        <f t="shared" si="1586"/>
        <v>6665951.8610503478</v>
      </c>
      <c r="CW453" s="129">
        <f t="shared" ref="CW453:DI453" si="1600">CV453/CV$422*CW$422</f>
        <v>7218329.398318083</v>
      </c>
      <c r="CX453" s="129">
        <f t="shared" si="1600"/>
        <v>6449211.7203287696</v>
      </c>
      <c r="CY453" s="129">
        <f t="shared" si="1600"/>
        <v>5988684.0662061777</v>
      </c>
      <c r="CZ453" s="129">
        <f t="shared" si="1600"/>
        <v>7472427.5670152875</v>
      </c>
      <c r="DA453" s="129">
        <f t="shared" si="1600"/>
        <v>6881600.7250713464</v>
      </c>
      <c r="DB453" s="129">
        <f t="shared" si="1600"/>
        <v>8186507.9546942217</v>
      </c>
      <c r="DC453" s="129">
        <f t="shared" si="1600"/>
        <v>8387592.796322722</v>
      </c>
      <c r="DD453" s="129">
        <f t="shared" si="1600"/>
        <v>7799602.8089700593</v>
      </c>
      <c r="DE453" s="129">
        <f t="shared" si="1600"/>
        <v>9072983.5976707358</v>
      </c>
      <c r="DF453" s="129">
        <f t="shared" si="1600"/>
        <v>8341300.6449426142</v>
      </c>
      <c r="DG453" s="129">
        <f t="shared" si="1600"/>
        <v>8189110.1235780176</v>
      </c>
      <c r="DH453" s="129">
        <f t="shared" si="1600"/>
        <v>8129536.9663413968</v>
      </c>
      <c r="DI453" s="129">
        <f t="shared" si="1600"/>
        <v>8798679.4283964522</v>
      </c>
      <c r="DJ453" s="129">
        <f t="shared" si="1587"/>
        <v>7844024.7060113735</v>
      </c>
      <c r="DK453" s="129">
        <f t="shared" si="1587"/>
        <v>7266092.9247464119</v>
      </c>
      <c r="DL453" s="129">
        <f t="shared" si="1587"/>
        <v>9039328.5769138224</v>
      </c>
      <c r="DM453" s="129">
        <f t="shared" si="1587"/>
        <v>8280337.149542273</v>
      </c>
      <c r="DN453" s="129">
        <f t="shared" si="1587"/>
        <v>9818216.0425802525</v>
      </c>
      <c r="DO453" s="129">
        <f t="shared" si="1587"/>
        <v>10017863.813359633</v>
      </c>
      <c r="DP453" s="129">
        <f t="shared" si="1587"/>
        <v>9269060.724425599</v>
      </c>
      <c r="DQ453" s="129">
        <f t="shared" si="1587"/>
        <v>10665909.230931101</v>
      </c>
      <c r="DR453" s="129">
        <f t="shared" si="1588"/>
        <v>9504249.2675472908</v>
      </c>
      <c r="DS453" s="129">
        <f t="shared" si="1589"/>
        <v>9321512.6453396715</v>
      </c>
      <c r="DT453" s="129">
        <f t="shared" si="1590"/>
        <v>9247782.1524511836</v>
      </c>
      <c r="DU453" s="129">
        <f t="shared" si="1591"/>
        <v>10005655.984778609</v>
      </c>
      <c r="DV453" s="129">
        <f t="shared" si="1592"/>
        <v>8908440.2323229946</v>
      </c>
      <c r="DW453" s="129">
        <f t="shared" si="1593"/>
        <v>8239943.4096099809</v>
      </c>
      <c r="DX453" s="129">
        <f t="shared" si="1594"/>
        <v>10256258.956403209</v>
      </c>
      <c r="DY453" s="129">
        <f t="shared" si="1595"/>
        <v>9386882.9775560834</v>
      </c>
      <c r="DZ453" s="129">
        <f t="shared" si="1596"/>
        <v>11133584.712417435</v>
      </c>
      <c r="EA453" s="129">
        <f t="shared" si="1597"/>
        <v>11357539.948488116</v>
      </c>
      <c r="EB453" s="129">
        <f t="shared" si="1598"/>
        <v>10500226.233091263</v>
      </c>
      <c r="EC453" s="129">
        <f t="shared" si="1599"/>
        <v>12084607.182180161</v>
      </c>
      <c r="ED453" s="113" t="s">
        <v>1</v>
      </c>
    </row>
    <row r="454" spans="1:134" x14ac:dyDescent="0.2">
      <c r="A454" s="114" t="s">
        <v>140</v>
      </c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29">
        <v>21333.785979661014</v>
      </c>
      <c r="AC454" s="129">
        <v>19508.186440677975</v>
      </c>
      <c r="AD454" s="129">
        <v>32191.033728813556</v>
      </c>
      <c r="AE454" s="129">
        <v>42771.767796610169</v>
      </c>
      <c r="AF454" s="129">
        <v>40124.492542372878</v>
      </c>
      <c r="AG454" s="129">
        <v>43933.881355932208</v>
      </c>
      <c r="AH454" s="129">
        <v>49829.554067796606</v>
      </c>
      <c r="AI454" s="129">
        <v>58034.541355932197</v>
      </c>
      <c r="AJ454" s="129">
        <v>162983.59322033916</v>
      </c>
      <c r="AK454" s="129">
        <v>91062.910677966094</v>
      </c>
      <c r="AL454" s="129">
        <v>42515.867288135589</v>
      </c>
      <c r="AM454" s="129">
        <v>1128</v>
      </c>
      <c r="AN454" s="129">
        <v>52782</v>
      </c>
      <c r="AO454" s="129">
        <v>96667</v>
      </c>
      <c r="AP454" s="129">
        <v>239092</v>
      </c>
      <c r="AQ454" s="129">
        <v>313996</v>
      </c>
      <c r="AR454" s="129">
        <v>305733.22474576271</v>
      </c>
      <c r="AS454" s="129">
        <v>357791.05830508575</v>
      </c>
      <c r="AT454" s="129">
        <v>494966.04406779865</v>
      </c>
      <c r="AU454" s="129">
        <v>478307.40254237305</v>
      </c>
      <c r="AV454" s="129">
        <v>467438.65627118654</v>
      </c>
      <c r="AW454" s="129">
        <v>680770.41864406783</v>
      </c>
      <c r="AX454" s="129">
        <v>506776.72576271225</v>
      </c>
      <c r="AY454" s="129">
        <v>509625.38745762722</v>
      </c>
      <c r="AZ454" s="129">
        <v>634355.1106779658</v>
      </c>
      <c r="BA454" s="129">
        <v>704373.29999999912</v>
      </c>
      <c r="BB454" s="129">
        <v>840334.27118644037</v>
      </c>
      <c r="BC454" s="129">
        <v>923583.69152542367</v>
      </c>
      <c r="BD454" s="129">
        <v>874280.03186440654</v>
      </c>
      <c r="BE454" s="129">
        <v>729356.07203389844</v>
      </c>
      <c r="BF454" s="129">
        <v>773047.69169491518</v>
      </c>
      <c r="BG454" s="129">
        <v>927624.61677966081</v>
      </c>
      <c r="BH454" s="129">
        <v>1041996.0386440681</v>
      </c>
      <c r="BI454" s="129">
        <v>1060185.7876271184</v>
      </c>
      <c r="BJ454" s="129">
        <v>1110590.3883050857</v>
      </c>
      <c r="BK454" s="129">
        <v>1166116.149152542</v>
      </c>
      <c r="BL454" s="129">
        <v>1271108.3201694947</v>
      </c>
      <c r="BM454" s="129">
        <v>1197842.6135593215</v>
      </c>
      <c r="BN454" s="129">
        <v>1743865.3693220434</v>
      </c>
      <c r="BO454" s="129">
        <v>1647608.9049152543</v>
      </c>
      <c r="BP454" s="129">
        <v>2212780.6970389807</v>
      </c>
      <c r="BQ454" s="129">
        <v>1435516.9572112393</v>
      </c>
      <c r="BR454" s="129">
        <v>1220151.7877735614</v>
      </c>
      <c r="BS454" s="129">
        <v>1067220.4438976489</v>
      </c>
      <c r="BT454" s="129">
        <v>1192513.3264304565</v>
      </c>
      <c r="BU454" s="129">
        <v>1324611.3035550413</v>
      </c>
      <c r="BV454" s="129">
        <v>1389924.6284703903</v>
      </c>
      <c r="BW454" s="129">
        <v>1392292.3912185817</v>
      </c>
      <c r="BX454" s="129">
        <v>1589559.2550058251</v>
      </c>
      <c r="BY454" s="129">
        <v>1553179.1110175806</v>
      </c>
      <c r="BZ454" s="129">
        <v>1537486.6057627113</v>
      </c>
      <c r="CA454" s="129">
        <v>1210787.3755857463</v>
      </c>
      <c r="CB454" s="129">
        <v>1919724.892106557</v>
      </c>
      <c r="CC454" s="129">
        <v>1558765.4796610177</v>
      </c>
      <c r="CD454" s="129">
        <v>1856770.8950116916</v>
      </c>
      <c r="CE454" s="129">
        <v>1958170.7806779507</v>
      </c>
      <c r="CF454" s="129">
        <v>1744917.2191525323</v>
      </c>
      <c r="CG454" s="129">
        <v>2066472.376779661</v>
      </c>
      <c r="CH454" s="129">
        <v>1931106.1362711862</v>
      </c>
      <c r="CI454" s="129">
        <v>2018879.7330508465</v>
      </c>
      <c r="CJ454" s="129">
        <v>1585411.2823728651</v>
      </c>
      <c r="CK454" s="129">
        <v>1874000.344576271</v>
      </c>
      <c r="CL454" s="129">
        <v>1696093.9566101695</v>
      </c>
      <c r="CM454" s="129">
        <v>2100680.6033898308</v>
      </c>
      <c r="CN454" s="129">
        <v>2965688.1518644071</v>
      </c>
      <c r="CO454" s="129">
        <v>2665636.6469491525</v>
      </c>
      <c r="CP454" s="129">
        <v>3321545.4106779699</v>
      </c>
      <c r="CQ454" s="129">
        <v>2883431.6984745786</v>
      </c>
      <c r="CR454" s="129">
        <v>2773084.3871186469</v>
      </c>
      <c r="CS454" s="129">
        <v>3241934.679661022</v>
      </c>
      <c r="CT454" s="129">
        <f t="shared" si="1586"/>
        <v>2731235.2611238537</v>
      </c>
      <c r="CU454" s="129">
        <f t="shared" si="1586"/>
        <v>2674704.5556711047</v>
      </c>
      <c r="CV454" s="129">
        <f t="shared" si="1586"/>
        <v>2669129.1905054846</v>
      </c>
      <c r="CW454" s="129">
        <f t="shared" si="1587"/>
        <v>2890307.9568142663</v>
      </c>
      <c r="CX454" s="129">
        <f t="shared" si="1587"/>
        <v>2582343.7698464352</v>
      </c>
      <c r="CY454" s="129">
        <f t="shared" si="1587"/>
        <v>2397942.8275240073</v>
      </c>
      <c r="CZ454" s="129">
        <f t="shared" si="1587"/>
        <v>2992051.9917939655</v>
      </c>
      <c r="DA454" s="129">
        <f t="shared" si="1587"/>
        <v>2755477.6505387831</v>
      </c>
      <c r="DB454" s="129">
        <f t="shared" si="1587"/>
        <v>3277978.5701507726</v>
      </c>
      <c r="DC454" s="129">
        <f t="shared" si="1587"/>
        <v>3358495.4163186704</v>
      </c>
      <c r="DD454" s="129">
        <f t="shared" si="1587"/>
        <v>3123056.9865666963</v>
      </c>
      <c r="DE454" s="129">
        <f t="shared" si="1587"/>
        <v>3632934.3311076039</v>
      </c>
      <c r="DF454" s="129">
        <f t="shared" si="1587"/>
        <v>3339959.4689977914</v>
      </c>
      <c r="DG454" s="129">
        <f t="shared" si="1587"/>
        <v>3279020.510607461</v>
      </c>
      <c r="DH454" s="129">
        <f t="shared" si="1587"/>
        <v>3255166.6850375617</v>
      </c>
      <c r="DI454" s="129">
        <f t="shared" si="1587"/>
        <v>3523099.5647383216</v>
      </c>
      <c r="DJ454" s="129">
        <f t="shared" si="1587"/>
        <v>3140844.0610253946</v>
      </c>
      <c r="DK454" s="129">
        <f t="shared" si="1587"/>
        <v>2909433.0608187295</v>
      </c>
      <c r="DL454" s="129">
        <f t="shared" si="1587"/>
        <v>3619458.4464654983</v>
      </c>
      <c r="DM454" s="129">
        <f t="shared" si="1587"/>
        <v>3315548.9349105172</v>
      </c>
      <c r="DN454" s="129">
        <f t="shared" si="1587"/>
        <v>3931334.5766962869</v>
      </c>
      <c r="DO454" s="129">
        <f t="shared" si="1587"/>
        <v>4011276.0020042439</v>
      </c>
      <c r="DP454" s="129">
        <f t="shared" si="1587"/>
        <v>3711446.0265895128</v>
      </c>
      <c r="DQ454" s="129">
        <f t="shared" si="1587"/>
        <v>4270761.3653655043</v>
      </c>
      <c r="DR454" s="129">
        <f t="shared" si="1588"/>
        <v>3805618.4146900848</v>
      </c>
      <c r="DS454" s="129">
        <f t="shared" si="1589"/>
        <v>3732448.4214654607</v>
      </c>
      <c r="DT454" s="129">
        <f t="shared" si="1590"/>
        <v>3702925.8244078802</v>
      </c>
      <c r="DU454" s="129">
        <f t="shared" si="1591"/>
        <v>4006387.8371483455</v>
      </c>
      <c r="DV454" s="129">
        <f t="shared" si="1592"/>
        <v>3567049.1419090633</v>
      </c>
      <c r="DW454" s="129">
        <f t="shared" si="1593"/>
        <v>3299374.7841494014</v>
      </c>
      <c r="DX454" s="129">
        <f t="shared" si="1594"/>
        <v>4106732.3521903781</v>
      </c>
      <c r="DY454" s="129">
        <f t="shared" si="1595"/>
        <v>3758623.5072669913</v>
      </c>
      <c r="DZ454" s="129">
        <f t="shared" si="1596"/>
        <v>4458024.385762142</v>
      </c>
      <c r="EA454" s="129">
        <f t="shared" si="1597"/>
        <v>4547698.8194248863</v>
      </c>
      <c r="EB454" s="129">
        <f t="shared" si="1598"/>
        <v>4204419.8532869741</v>
      </c>
      <c r="EC454" s="129">
        <f t="shared" si="1599"/>
        <v>4838825.4908079775</v>
      </c>
      <c r="ED454" s="113" t="s">
        <v>1</v>
      </c>
    </row>
    <row r="455" spans="1:134" x14ac:dyDescent="0.2">
      <c r="A455" s="114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15"/>
      <c r="AU455" s="115"/>
      <c r="AV455" s="115"/>
      <c r="AW455" s="115"/>
      <c r="AX455" s="115"/>
      <c r="AY455" s="115"/>
      <c r="AZ455" s="115"/>
      <c r="BA455" s="115"/>
      <c r="BB455" s="115"/>
      <c r="BC455" s="115"/>
      <c r="BD455" s="115"/>
      <c r="BE455" s="115"/>
      <c r="BF455" s="115"/>
      <c r="BG455" s="115"/>
      <c r="BH455" s="115"/>
      <c r="BI455" s="115"/>
      <c r="BJ455" s="115"/>
      <c r="BK455" s="115"/>
      <c r="BL455" s="115"/>
      <c r="BM455" s="115"/>
      <c r="BN455" s="115"/>
      <c r="BO455" s="115"/>
      <c r="BP455" s="115"/>
      <c r="BQ455" s="115"/>
      <c r="BR455" s="115"/>
      <c r="BS455" s="115"/>
      <c r="BT455" s="115"/>
      <c r="BU455" s="115"/>
      <c r="BV455" s="115"/>
      <c r="BW455" s="115"/>
      <c r="BX455" s="115"/>
      <c r="BY455" s="115"/>
      <c r="BZ455" s="115"/>
      <c r="CA455" s="115"/>
      <c r="CB455" s="115"/>
      <c r="CC455" s="115"/>
      <c r="CD455" s="115"/>
      <c r="CE455" s="115"/>
      <c r="CF455" s="115"/>
      <c r="CG455" s="115"/>
      <c r="CH455" s="115"/>
      <c r="CI455" s="115"/>
      <c r="CJ455" s="115"/>
      <c r="CK455" s="115"/>
      <c r="CL455" s="115"/>
      <c r="CM455" s="115"/>
      <c r="CN455" s="115"/>
      <c r="CO455" s="115"/>
      <c r="CP455" s="115"/>
      <c r="CQ455" s="115"/>
      <c r="CR455" s="115"/>
      <c r="CS455" s="115"/>
      <c r="CT455" s="115"/>
      <c r="CU455" s="115"/>
      <c r="CV455" s="115"/>
      <c r="CW455" s="115"/>
      <c r="CX455" s="115"/>
      <c r="CY455" s="115"/>
      <c r="CZ455" s="115"/>
      <c r="DA455" s="115"/>
      <c r="DB455" s="115"/>
      <c r="DC455" s="115"/>
      <c r="DD455" s="115"/>
      <c r="DE455" s="115"/>
      <c r="DF455" s="115"/>
      <c r="DG455" s="115"/>
      <c r="DH455" s="115"/>
      <c r="DI455" s="115"/>
      <c r="DJ455" s="115"/>
      <c r="DK455" s="115"/>
      <c r="DL455" s="115"/>
      <c r="DM455" s="115"/>
      <c r="DN455" s="115"/>
      <c r="DO455" s="115"/>
      <c r="DP455" s="115"/>
      <c r="DQ455" s="115"/>
      <c r="DR455" s="115"/>
      <c r="DS455" s="115"/>
      <c r="DT455" s="115"/>
      <c r="DU455" s="115"/>
      <c r="DV455" s="115"/>
      <c r="DW455" s="115"/>
      <c r="DX455" s="115"/>
      <c r="DY455" s="115"/>
      <c r="DZ455" s="115"/>
      <c r="EA455" s="115"/>
      <c r="EB455" s="115"/>
      <c r="EC455" s="645"/>
      <c r="ED455" s="113" t="s">
        <v>1</v>
      </c>
    </row>
    <row r="456" spans="1:134" x14ac:dyDescent="0.2">
      <c r="A456" s="116" t="s">
        <v>193</v>
      </c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31">
        <f>SUM(AB457:AB459)</f>
        <v>0</v>
      </c>
      <c r="AC456" s="131">
        <f t="shared" ref="AC456" si="1601">SUM(AC457:AC459)</f>
        <v>0</v>
      </c>
      <c r="AD456" s="131">
        <f t="shared" ref="AD456" si="1602">SUM(AD457:AD459)</f>
        <v>0</v>
      </c>
      <c r="AE456" s="131">
        <f t="shared" ref="AE456" si="1603">SUM(AE457:AE459)</f>
        <v>743.5</v>
      </c>
      <c r="AF456" s="131">
        <f t="shared" ref="AF456" si="1604">SUM(AF457:AF459)</f>
        <v>6748.49</v>
      </c>
      <c r="AG456" s="131">
        <f t="shared" ref="AG456" si="1605">SUM(AG457:AG459)</f>
        <v>865.56</v>
      </c>
      <c r="AH456" s="131">
        <f t="shared" ref="AH456" si="1606">SUM(AH457:AH459)</f>
        <v>3471.96</v>
      </c>
      <c r="AI456" s="131">
        <f t="shared" ref="AI456" si="1607">SUM(AI457:AI459)</f>
        <v>4229.46</v>
      </c>
      <c r="AJ456" s="131">
        <f t="shared" ref="AJ456" si="1608">SUM(AJ457:AJ459)</f>
        <v>10413.620000000001</v>
      </c>
      <c r="AK456" s="131">
        <f t="shared" ref="AK456" si="1609">SUM(AK457:AK459)</f>
        <v>143933.81288135584</v>
      </c>
      <c r="AL456" s="131">
        <f t="shared" ref="AL456" si="1610">SUM(AL457:AL459)</f>
        <v>153237.23559322028</v>
      </c>
      <c r="AM456" s="131">
        <f t="shared" ref="AM456" si="1611">SUM(AM457:AM459)</f>
        <v>396.4576271186441</v>
      </c>
      <c r="AN456" s="131">
        <f t="shared" ref="AN456" si="1612">SUM(AN457:AN459)</f>
        <v>60017.449152542373</v>
      </c>
      <c r="AO456" s="131">
        <f t="shared" ref="AO456" si="1613">SUM(AO457:AO459)</f>
        <v>61481.419322033886</v>
      </c>
      <c r="AP456" s="131">
        <f t="shared" ref="AP456" si="1614">SUM(AP457:AP459)</f>
        <v>87295.004999999976</v>
      </c>
      <c r="AQ456" s="131">
        <f t="shared" ref="AQ456" si="1615">SUM(AQ457:AQ459)</f>
        <v>236176.77608332218</v>
      </c>
      <c r="AR456" s="131">
        <f t="shared" ref="AR456" si="1616">SUM(AR457:AR459)</f>
        <v>284911.58809491573</v>
      </c>
      <c r="AS456" s="131">
        <f t="shared" ref="AS456" si="1617">SUM(AS457:AS459)</f>
        <v>308601.51430084737</v>
      </c>
      <c r="AT456" s="131">
        <f t="shared" ref="AT456" si="1618">SUM(AT457:AT459)</f>
        <v>332154.44847457611</v>
      </c>
      <c r="AU456" s="131">
        <f t="shared" ref="AU456" si="1619">SUM(AU457:AU459)</f>
        <v>314161.45052033931</v>
      </c>
      <c r="AV456" s="131">
        <f t="shared" ref="AV456" si="1620">SUM(AV457:AV459)</f>
        <v>266907.89120338985</v>
      </c>
      <c r="AW456" s="131">
        <f t="shared" ref="AW456" si="1621">SUM(AW457:AW459)</f>
        <v>205479.3167694913</v>
      </c>
      <c r="AX456" s="131">
        <f t="shared" ref="AX456" si="1622">SUM(AX457:AX459)</f>
        <v>249796.19135593224</v>
      </c>
      <c r="AY456" s="131">
        <f t="shared" ref="AY456" si="1623">SUM(AY457:AY459)</f>
        <v>167743.75271186445</v>
      </c>
      <c r="AZ456" s="131">
        <f t="shared" ref="AZ456" si="1624">SUM(AZ457:AZ459)</f>
        <v>44494.743050847457</v>
      </c>
      <c r="BA456" s="131">
        <f t="shared" ref="BA456" si="1625">SUM(BA457:BA459)</f>
        <v>181822.2147457627</v>
      </c>
      <c r="BB456" s="131">
        <f t="shared" ref="BB456" si="1626">SUM(BB457:BB459)</f>
        <v>180257.52508474578</v>
      </c>
      <c r="BC456" s="131">
        <f t="shared" ref="BC456" si="1627">SUM(BC457:BC459)</f>
        <v>130298.23372881357</v>
      </c>
      <c r="BD456" s="131">
        <f t="shared" ref="BD456" si="1628">SUM(BD457:BD459)</f>
        <v>90689.491525423728</v>
      </c>
      <c r="BE456" s="131">
        <f t="shared" ref="BE456" si="1629">SUM(BE457:BE459)</f>
        <v>138260.09288135593</v>
      </c>
      <c r="BF456" s="131">
        <f t="shared" ref="BF456" si="1630">SUM(BF457:BF459)</f>
        <v>122958.32338983053</v>
      </c>
      <c r="BG456" s="131">
        <f t="shared" ref="BG456" si="1631">SUM(BG457:BG459)</f>
        <v>74603.806779661012</v>
      </c>
      <c r="BH456" s="131">
        <f t="shared" ref="BH456" si="1632">SUM(BH457:BH459)</f>
        <v>38567.516949152538</v>
      </c>
      <c r="BI456" s="131">
        <f t="shared" ref="BI456" si="1633">SUM(BI457:BI459)</f>
        <v>43489.310338983058</v>
      </c>
      <c r="BJ456" s="131">
        <f t="shared" ref="BJ456" si="1634">SUM(BJ457:BJ459)</f>
        <v>64402.434838983034</v>
      </c>
      <c r="BK456" s="131">
        <f t="shared" ref="BK456" si="1635">SUM(BK457:BK459)</f>
        <v>102160.18983050843</v>
      </c>
      <c r="BL456" s="131">
        <f t="shared" ref="BL456" si="1636">SUM(BL457:BL459)</f>
        <v>40977.326440677971</v>
      </c>
      <c r="BM456" s="131">
        <f t="shared" ref="BM456" si="1637">SUM(BM457:BM459)</f>
        <v>19836.305084745767</v>
      </c>
      <c r="BN456" s="131">
        <f t="shared" ref="BN456" si="1638">SUM(BN457:BN459)</f>
        <v>28487.677423728826</v>
      </c>
      <c r="BO456" s="131">
        <f t="shared" ref="BO456" si="1639">SUM(BO457:BO459)</f>
        <v>19019.337004067791</v>
      </c>
      <c r="BP456" s="131">
        <f t="shared" ref="BP456" si="1640">SUM(BP457:BP459)</f>
        <v>130445.9039444798</v>
      </c>
      <c r="BQ456" s="131">
        <f t="shared" ref="BQ456" si="1641">SUM(BQ457:BQ459)</f>
        <v>97845.514845734637</v>
      </c>
      <c r="BR456" s="131">
        <f t="shared" ref="BR456" si="1642">SUM(BR457:BR459)</f>
        <v>85290.277993031603</v>
      </c>
      <c r="BS456" s="131">
        <f t="shared" ref="BS456" si="1643">SUM(BS457:BS459)</f>
        <v>160632.49551680812</v>
      </c>
      <c r="BT456" s="131">
        <f t="shared" ref="BT456" si="1644">SUM(BT457:BT459)</f>
        <v>163965.90077287055</v>
      </c>
      <c r="BU456" s="131">
        <f t="shared" ref="BU456" si="1645">SUM(BU457:BU459)</f>
        <v>67148.996956238771</v>
      </c>
      <c r="BV456" s="131">
        <f t="shared" ref="BV456" si="1646">SUM(BV457:BV459)</f>
        <v>145731.55667547364</v>
      </c>
      <c r="BW456" s="131">
        <f t="shared" ref="BW456" si="1647">SUM(BW457:BW459)</f>
        <v>174096.79312148038</v>
      </c>
      <c r="BX456" s="131">
        <f t="shared" ref="BX456" si="1648">SUM(BX457:BX459)</f>
        <v>126512.99125571871</v>
      </c>
      <c r="BY456" s="131">
        <f t="shared" ref="BY456" si="1649">SUM(BY457:BY459)</f>
        <v>88933.605684841168</v>
      </c>
      <c r="BZ456" s="131">
        <f t="shared" ref="BZ456" si="1650">SUM(BZ457:BZ459)</f>
        <v>189539.20957004445</v>
      </c>
      <c r="CA456" s="131">
        <f t="shared" ref="CA456" si="1651">SUM(CA457:CA459)</f>
        <v>74312.19</v>
      </c>
      <c r="CB456" s="131">
        <f t="shared" ref="CB456" si="1652">SUM(CB457:CB459)</f>
        <v>198442.80231246431</v>
      </c>
      <c r="CC456" s="131">
        <f t="shared" ref="CC456" si="1653">SUM(CC457:CC459)</f>
        <v>79015.533709106589</v>
      </c>
      <c r="CD456" s="131">
        <f t="shared" ref="CD456" si="1654">SUM(CD457:CD459)</f>
        <v>156352.1976079999</v>
      </c>
      <c r="CE456" s="131">
        <f t="shared" ref="CE456" si="1655">SUM(CE457:CE459)</f>
        <v>207459.37575899999</v>
      </c>
      <c r="CF456" s="131">
        <f t="shared" ref="CF456" si="1656">SUM(CF457:CF459)</f>
        <v>-66496.456949101557</v>
      </c>
      <c r="CG456" s="131">
        <f t="shared" ref="CG456" si="1657">SUM(CG457:CG459)</f>
        <v>225187.05383543344</v>
      </c>
      <c r="CH456" s="131">
        <f t="shared" ref="CH456" si="1658">SUM(CH457:CH459)</f>
        <v>217575.49237100009</v>
      </c>
      <c r="CI456" s="131">
        <f t="shared" ref="CI456" si="1659">SUM(CI457:CI459)</f>
        <v>337603.16322001687</v>
      </c>
      <c r="CJ456" s="131">
        <f t="shared" ref="CJ456" si="1660">SUM(CJ457:CJ459)</f>
        <v>227252.35133949152</v>
      </c>
      <c r="CK456" s="131">
        <f t="shared" ref="CK456" si="1661">SUM(CK457:CK459)</f>
        <v>361585.17644067819</v>
      </c>
      <c r="CL456" s="131">
        <f t="shared" ref="CL456" si="1662">SUM(CL457:CL459)</f>
        <v>277915.91372881358</v>
      </c>
      <c r="CM456" s="131">
        <f t="shared" ref="CM456" si="1663">SUM(CM457:CM459)</f>
        <v>195832.72084745762</v>
      </c>
      <c r="CN456" s="131">
        <f t="shared" ref="CN456" si="1664">SUM(CN457:CN459)</f>
        <v>389762.19288135594</v>
      </c>
      <c r="CO456" s="131">
        <f t="shared" ref="CO456" si="1665">SUM(CO457:CO459)</f>
        <v>340246.72</v>
      </c>
      <c r="CP456" s="131">
        <f t="shared" ref="CP456" si="1666">SUM(CP457:CP459)</f>
        <v>158954.11338983051</v>
      </c>
      <c r="CQ456" s="131">
        <f t="shared" ref="CQ456" si="1667">SUM(CQ457:CQ459)</f>
        <v>218654.88305084745</v>
      </c>
      <c r="CR456" s="131">
        <f t="shared" ref="CR456" si="1668">SUM(CR457:CR459)</f>
        <v>191370.9272881356</v>
      </c>
      <c r="CS456" s="131">
        <f t="shared" ref="CS456:DQ456" si="1669">SUM(CS457:CS459)</f>
        <v>221287.55474576267</v>
      </c>
      <c r="CT456" s="131">
        <f t="shared" si="1669"/>
        <v>141458.16271532021</v>
      </c>
      <c r="CU456" s="131">
        <f t="shared" si="1669"/>
        <v>138184.59227221433</v>
      </c>
      <c r="CV456" s="131">
        <f t="shared" si="1669"/>
        <v>137721.84608157433</v>
      </c>
      <c r="CW456" s="131">
        <f t="shared" si="1669"/>
        <v>150039.44545341574</v>
      </c>
      <c r="CX456" s="131">
        <f t="shared" si="1669"/>
        <v>132599.98096449394</v>
      </c>
      <c r="CY456" s="131">
        <f t="shared" si="1669"/>
        <v>122047.69491061846</v>
      </c>
      <c r="CZ456" s="131">
        <f t="shared" si="1669"/>
        <v>155302.35893094793</v>
      </c>
      <c r="DA456" s="131">
        <f t="shared" si="1669"/>
        <v>141870.86435572273</v>
      </c>
      <c r="DB456" s="131">
        <f t="shared" si="1669"/>
        <v>171105.29710510952</v>
      </c>
      <c r="DC456" s="131">
        <f t="shared" si="1669"/>
        <v>175525.85260047749</v>
      </c>
      <c r="DD456" s="131">
        <f t="shared" si="1669"/>
        <v>162158.13038789065</v>
      </c>
      <c r="DE456" s="131">
        <f t="shared" si="1669"/>
        <v>190584.02754345254</v>
      </c>
      <c r="DF456" s="131">
        <f t="shared" si="1669"/>
        <v>175232.24205405984</v>
      </c>
      <c r="DG456" s="131">
        <f t="shared" si="1669"/>
        <v>171636.72701760949</v>
      </c>
      <c r="DH456" s="131">
        <f t="shared" si="1669"/>
        <v>170187.81137497857</v>
      </c>
      <c r="DI456" s="131">
        <f t="shared" si="1669"/>
        <v>185232.98805223839</v>
      </c>
      <c r="DJ456" s="131">
        <f t="shared" si="1669"/>
        <v>163474.12058496632</v>
      </c>
      <c r="DK456" s="131">
        <f t="shared" si="1669"/>
        <v>150191.92310258315</v>
      </c>
      <c r="DL456" s="131">
        <f t="shared" si="1669"/>
        <v>190277.9191017884</v>
      </c>
      <c r="DM456" s="131">
        <f t="shared" si="1669"/>
        <v>172998.04112979604</v>
      </c>
      <c r="DN456" s="131">
        <f t="shared" si="1669"/>
        <v>207756.86146483128</v>
      </c>
      <c r="DO456" s="131">
        <f t="shared" si="1669"/>
        <v>212225.52869824984</v>
      </c>
      <c r="DP456" s="131">
        <f t="shared" si="1669"/>
        <v>195176.25837391298</v>
      </c>
      <c r="DQ456" s="131">
        <f t="shared" si="1669"/>
        <v>226742.93055980114</v>
      </c>
      <c r="DR456" s="131">
        <f t="shared" ref="DR456:EC456" si="1670">SUM(DR457:DR459)</f>
        <v>200348.86341514176</v>
      </c>
      <c r="DS456" s="131">
        <f t="shared" si="1670"/>
        <v>196061.95355473083</v>
      </c>
      <c r="DT456" s="131">
        <f t="shared" si="1670"/>
        <v>194292.59411336188</v>
      </c>
      <c r="DU456" s="131">
        <f t="shared" si="1670"/>
        <v>211346.15838956664</v>
      </c>
      <c r="DV456" s="131">
        <f t="shared" si="1670"/>
        <v>186360.49746686162</v>
      </c>
      <c r="DW456" s="131">
        <f t="shared" si="1670"/>
        <v>171028.40820906829</v>
      </c>
      <c r="DX456" s="131">
        <f t="shared" si="1670"/>
        <v>216616.38895640441</v>
      </c>
      <c r="DY456" s="131">
        <f t="shared" si="1670"/>
        <v>196838.01509036549</v>
      </c>
      <c r="DZ456" s="131">
        <f t="shared" si="1670"/>
        <v>236323.42991624566</v>
      </c>
      <c r="EA456" s="131">
        <f t="shared" si="1670"/>
        <v>241342.28376013774</v>
      </c>
      <c r="EB456" s="131">
        <f t="shared" si="1670"/>
        <v>221836.93284251448</v>
      </c>
      <c r="EC456" s="131">
        <f t="shared" si="1670"/>
        <v>257648.30260185621</v>
      </c>
      <c r="ED456" s="113" t="s">
        <v>1</v>
      </c>
    </row>
    <row r="457" spans="1:134" x14ac:dyDescent="0.2">
      <c r="A457" s="114" t="s">
        <v>139</v>
      </c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29">
        <v>0</v>
      </c>
      <c r="AC457" s="129">
        <v>0</v>
      </c>
      <c r="AD457" s="129">
        <v>0</v>
      </c>
      <c r="AE457" s="129">
        <v>743.5</v>
      </c>
      <c r="AF457" s="129">
        <v>6748.49</v>
      </c>
      <c r="AG457" s="129">
        <v>865.56</v>
      </c>
      <c r="AH457" s="129">
        <v>3471.96</v>
      </c>
      <c r="AI457" s="129">
        <v>4229.46</v>
      </c>
      <c r="AJ457" s="129">
        <v>10413.620000000001</v>
      </c>
      <c r="AK457" s="129">
        <v>123202.3891525423</v>
      </c>
      <c r="AL457" s="129">
        <v>141578.57457627112</v>
      </c>
      <c r="AM457" s="129">
        <v>396.4576271186441</v>
      </c>
      <c r="AN457" s="129">
        <v>54617.144067796609</v>
      </c>
      <c r="AO457" s="129">
        <v>52778.876949152531</v>
      </c>
      <c r="AP457" s="129">
        <v>68243.24364406777</v>
      </c>
      <c r="AQ457" s="129">
        <v>198222.708286712</v>
      </c>
      <c r="AR457" s="129">
        <v>239527.30334915299</v>
      </c>
      <c r="AS457" s="129">
        <v>277695.178707627</v>
      </c>
      <c r="AT457" s="129">
        <v>262220.18644067785</v>
      </c>
      <c r="AU457" s="129">
        <v>229429.19628305116</v>
      </c>
      <c r="AV457" s="129">
        <v>198033.30747457632</v>
      </c>
      <c r="AW457" s="129">
        <v>162169.94388813537</v>
      </c>
      <c r="AX457" s="129">
        <v>166016.25915254242</v>
      </c>
      <c r="AY457" s="129">
        <v>97891.451694915275</v>
      </c>
      <c r="AZ457" s="129">
        <v>15796.580338983051</v>
      </c>
      <c r="BA457" s="129">
        <v>171866.55508474575</v>
      </c>
      <c r="BB457" s="129">
        <v>100725.60508474577</v>
      </c>
      <c r="BC457" s="129">
        <v>118802.74576271189</v>
      </c>
      <c r="BD457" s="129">
        <v>80743.271186440674</v>
      </c>
      <c r="BE457" s="129">
        <v>123972.51661016949</v>
      </c>
      <c r="BF457" s="129">
        <v>118349.56067796613</v>
      </c>
      <c r="BG457" s="129">
        <v>57898.525423728817</v>
      </c>
      <c r="BH457" s="129">
        <v>38567.516949152538</v>
      </c>
      <c r="BI457" s="129">
        <v>38316.661016949161</v>
      </c>
      <c r="BJ457" s="129">
        <v>53875.525423728803</v>
      </c>
      <c r="BK457" s="129">
        <v>92978.389830508429</v>
      </c>
      <c r="BL457" s="129">
        <v>41013.570508474579</v>
      </c>
      <c r="BM457" s="129">
        <v>19836.305084745767</v>
      </c>
      <c r="BN457" s="129">
        <v>14361.406779661016</v>
      </c>
      <c r="BO457" s="129">
        <v>2140.4745762711864</v>
      </c>
      <c r="BP457" s="129">
        <v>117319.15530041199</v>
      </c>
      <c r="BQ457" s="129">
        <v>97845.514845734637</v>
      </c>
      <c r="BR457" s="129">
        <v>85290.277993031603</v>
      </c>
      <c r="BS457" s="129">
        <v>160632.49551680812</v>
      </c>
      <c r="BT457" s="129">
        <v>163965.90077287055</v>
      </c>
      <c r="BU457" s="129">
        <v>67148.996956238771</v>
      </c>
      <c r="BV457" s="129">
        <v>145731.55667547364</v>
      </c>
      <c r="BW457" s="129">
        <v>174096.79312148038</v>
      </c>
      <c r="BX457" s="129">
        <v>126512.99125571871</v>
      </c>
      <c r="BY457" s="129">
        <v>88933.605684841168</v>
      </c>
      <c r="BZ457" s="129">
        <v>189539.20957004445</v>
      </c>
      <c r="CA457" s="129">
        <v>74312.19</v>
      </c>
      <c r="CB457" s="129">
        <v>198442.80231246431</v>
      </c>
      <c r="CC457" s="129">
        <v>79015.533709106589</v>
      </c>
      <c r="CD457" s="129">
        <v>156352.1976079999</v>
      </c>
      <c r="CE457" s="129">
        <v>207459.37575899999</v>
      </c>
      <c r="CF457" s="129">
        <v>-102269.77898299987</v>
      </c>
      <c r="CG457" s="129">
        <v>225187.05383543344</v>
      </c>
      <c r="CH457" s="129">
        <v>217575.49237100009</v>
      </c>
      <c r="CI457" s="129">
        <v>293927.74355899991</v>
      </c>
      <c r="CJ457" s="129">
        <v>215920.74116999999</v>
      </c>
      <c r="CK457" s="129">
        <v>299972.11000000004</v>
      </c>
      <c r="CL457" s="129">
        <v>223537.09</v>
      </c>
      <c r="CM457" s="129">
        <v>148039.66999999998</v>
      </c>
      <c r="CN457" s="129">
        <v>331728.82</v>
      </c>
      <c r="CO457" s="129">
        <v>340246.72</v>
      </c>
      <c r="CP457" s="129">
        <v>83996.479999999981</v>
      </c>
      <c r="CQ457" s="129">
        <v>189428.1</v>
      </c>
      <c r="CR457" s="129">
        <v>159931.09</v>
      </c>
      <c r="CS457" s="129">
        <v>161597.40999999997</v>
      </c>
      <c r="CT457" s="129">
        <f>CS457/CS$428*CT$428</f>
        <v>141458.16271532021</v>
      </c>
      <c r="CU457" s="129">
        <f t="shared" ref="CU457:DQ457" si="1671">CT457/CT$428*CU$428</f>
        <v>138184.59227221433</v>
      </c>
      <c r="CV457" s="129">
        <f t="shared" si="1671"/>
        <v>137721.84608157433</v>
      </c>
      <c r="CW457" s="129">
        <f t="shared" si="1671"/>
        <v>150039.44545341574</v>
      </c>
      <c r="CX457" s="129">
        <f t="shared" si="1671"/>
        <v>132599.98096449394</v>
      </c>
      <c r="CY457" s="129">
        <f t="shared" si="1671"/>
        <v>122047.69491061846</v>
      </c>
      <c r="CZ457" s="129">
        <f t="shared" si="1671"/>
        <v>155302.35893094793</v>
      </c>
      <c r="DA457" s="129">
        <f t="shared" si="1671"/>
        <v>141870.86435572273</v>
      </c>
      <c r="DB457" s="129">
        <f t="shared" si="1671"/>
        <v>171105.29710510952</v>
      </c>
      <c r="DC457" s="129">
        <f t="shared" si="1671"/>
        <v>175525.85260047749</v>
      </c>
      <c r="DD457" s="129">
        <f t="shared" si="1671"/>
        <v>162158.13038789065</v>
      </c>
      <c r="DE457" s="129">
        <f t="shared" si="1671"/>
        <v>190584.02754345254</v>
      </c>
      <c r="DF457" s="129">
        <f t="shared" si="1671"/>
        <v>175232.24205405984</v>
      </c>
      <c r="DG457" s="129">
        <f t="shared" si="1671"/>
        <v>171636.72701760949</v>
      </c>
      <c r="DH457" s="129">
        <f t="shared" si="1671"/>
        <v>170187.81137497857</v>
      </c>
      <c r="DI457" s="129">
        <f t="shared" si="1671"/>
        <v>185232.98805223839</v>
      </c>
      <c r="DJ457" s="129">
        <f t="shared" si="1671"/>
        <v>163474.12058496632</v>
      </c>
      <c r="DK457" s="129">
        <f t="shared" si="1671"/>
        <v>150191.92310258315</v>
      </c>
      <c r="DL457" s="129">
        <f t="shared" si="1671"/>
        <v>190277.9191017884</v>
      </c>
      <c r="DM457" s="129">
        <f t="shared" si="1671"/>
        <v>172998.04112979604</v>
      </c>
      <c r="DN457" s="129">
        <f t="shared" si="1671"/>
        <v>207756.86146483128</v>
      </c>
      <c r="DO457" s="129">
        <f t="shared" si="1671"/>
        <v>212225.52869824984</v>
      </c>
      <c r="DP457" s="129">
        <f t="shared" si="1671"/>
        <v>195176.25837391298</v>
      </c>
      <c r="DQ457" s="129">
        <f t="shared" si="1671"/>
        <v>226742.93055980114</v>
      </c>
      <c r="DR457" s="129">
        <f t="shared" ref="DR457:DR458" si="1672">DQ457/DQ$428*DR$428</f>
        <v>200348.86341514176</v>
      </c>
      <c r="DS457" s="129">
        <f t="shared" ref="DS457:DS458" si="1673">DR457/DR$428*DS$428</f>
        <v>196061.95355473083</v>
      </c>
      <c r="DT457" s="129">
        <f t="shared" ref="DT457:DT458" si="1674">DS457/DS$428*DT$428</f>
        <v>194292.59411336188</v>
      </c>
      <c r="DU457" s="129">
        <f t="shared" ref="DU457:DU458" si="1675">DT457/DT$428*DU$428</f>
        <v>211346.15838956664</v>
      </c>
      <c r="DV457" s="129">
        <f t="shared" ref="DV457:DV458" si="1676">DU457/DU$428*DV$428</f>
        <v>186360.49746686162</v>
      </c>
      <c r="DW457" s="129">
        <f t="shared" ref="DW457:DW458" si="1677">DV457/DV$428*DW$428</f>
        <v>171028.40820906829</v>
      </c>
      <c r="DX457" s="129">
        <f t="shared" ref="DX457:DX458" si="1678">DW457/DW$428*DX$428</f>
        <v>216616.38895640441</v>
      </c>
      <c r="DY457" s="129">
        <f t="shared" ref="DY457:DY458" si="1679">DX457/DX$428*DY$428</f>
        <v>196838.01509036549</v>
      </c>
      <c r="DZ457" s="129">
        <f t="shared" ref="DZ457:DZ458" si="1680">DY457/DY$428*DZ$428</f>
        <v>236323.42991624566</v>
      </c>
      <c r="EA457" s="129">
        <f t="shared" ref="EA457:EA458" si="1681">DZ457/DZ$428*EA$428</f>
        <v>241342.28376013774</v>
      </c>
      <c r="EB457" s="129">
        <f t="shared" ref="EB457:EB458" si="1682">EA457/EA$428*EB$428</f>
        <v>221836.93284251448</v>
      </c>
      <c r="EC457" s="129">
        <f t="shared" ref="EC457:EC458" si="1683">EB457/EB$428*EC$428</f>
        <v>257648.30260185621</v>
      </c>
      <c r="ED457" s="113" t="s">
        <v>1</v>
      </c>
    </row>
    <row r="458" spans="1:134" x14ac:dyDescent="0.2">
      <c r="A458" s="114" t="s">
        <v>191</v>
      </c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29">
        <v>0</v>
      </c>
      <c r="AC458" s="129">
        <v>0</v>
      </c>
      <c r="AD458" s="129">
        <v>0</v>
      </c>
      <c r="AE458" s="129">
        <v>0</v>
      </c>
      <c r="AF458" s="129">
        <v>0</v>
      </c>
      <c r="AG458" s="129">
        <v>0</v>
      </c>
      <c r="AH458" s="129">
        <v>0</v>
      </c>
      <c r="AI458" s="129">
        <v>0</v>
      </c>
      <c r="AJ458" s="129">
        <v>0</v>
      </c>
      <c r="AK458" s="129">
        <v>6445.3728813559328</v>
      </c>
      <c r="AL458" s="129">
        <v>0</v>
      </c>
      <c r="AM458" s="129">
        <v>0</v>
      </c>
      <c r="AN458" s="129">
        <v>0</v>
      </c>
      <c r="AO458" s="129">
        <v>0</v>
      </c>
      <c r="AP458" s="129">
        <v>0</v>
      </c>
      <c r="AQ458" s="129">
        <v>6893.0847457627124</v>
      </c>
      <c r="AR458" s="129">
        <v>15443.084745762711</v>
      </c>
      <c r="AS458" s="129">
        <v>10131.254237288134</v>
      </c>
      <c r="AT458" s="129">
        <v>28434.804406779662</v>
      </c>
      <c r="AU458" s="129">
        <v>55473.406779661018</v>
      </c>
      <c r="AV458" s="129">
        <v>33290.542372881355</v>
      </c>
      <c r="AW458" s="129">
        <v>23858.389830508473</v>
      </c>
      <c r="AX458" s="129">
        <v>77140.220338983054</v>
      </c>
      <c r="AY458" s="129">
        <v>55525.118644067799</v>
      </c>
      <c r="AZ458" s="129">
        <v>11480.338983050848</v>
      </c>
      <c r="BA458" s="129">
        <v>0</v>
      </c>
      <c r="BB458" s="129">
        <v>71360.237288135599</v>
      </c>
      <c r="BC458" s="129">
        <v>0</v>
      </c>
      <c r="BD458" s="129">
        <v>0</v>
      </c>
      <c r="BE458" s="129">
        <v>0</v>
      </c>
      <c r="BF458" s="129">
        <v>0</v>
      </c>
      <c r="BG458" s="129">
        <v>0</v>
      </c>
      <c r="BH458" s="129">
        <v>0</v>
      </c>
      <c r="BI458" s="129">
        <v>0</v>
      </c>
      <c r="BJ458" s="129">
        <v>0</v>
      </c>
      <c r="BK458" s="129">
        <v>0</v>
      </c>
      <c r="BL458" s="129">
        <v>0</v>
      </c>
      <c r="BM458" s="129">
        <v>0</v>
      </c>
      <c r="BN458" s="129">
        <v>0</v>
      </c>
      <c r="BO458" s="129">
        <v>0</v>
      </c>
      <c r="BP458" s="129">
        <v>0</v>
      </c>
      <c r="BQ458" s="129">
        <v>0</v>
      </c>
      <c r="BR458" s="129">
        <v>0</v>
      </c>
      <c r="BS458" s="129">
        <v>0</v>
      </c>
      <c r="BT458" s="129">
        <v>0</v>
      </c>
      <c r="BU458" s="129">
        <v>0</v>
      </c>
      <c r="BV458" s="129">
        <v>0</v>
      </c>
      <c r="BW458" s="129">
        <v>0</v>
      </c>
      <c r="BX458" s="129">
        <v>0</v>
      </c>
      <c r="BY458" s="129">
        <v>0</v>
      </c>
      <c r="BZ458" s="129">
        <v>0</v>
      </c>
      <c r="CA458" s="129">
        <v>0</v>
      </c>
      <c r="CB458" s="129">
        <v>0</v>
      </c>
      <c r="CC458" s="129">
        <v>0</v>
      </c>
      <c r="CD458" s="129">
        <v>0</v>
      </c>
      <c r="CE458" s="129">
        <v>0</v>
      </c>
      <c r="CF458" s="129">
        <v>0</v>
      </c>
      <c r="CG458" s="129">
        <v>0</v>
      </c>
      <c r="CH458" s="129">
        <v>0</v>
      </c>
      <c r="CI458" s="129">
        <v>0</v>
      </c>
      <c r="CJ458" s="129">
        <v>0</v>
      </c>
      <c r="CK458" s="129">
        <v>0</v>
      </c>
      <c r="CL458" s="129">
        <v>0</v>
      </c>
      <c r="CM458" s="129">
        <v>0</v>
      </c>
      <c r="CN458" s="129">
        <v>0</v>
      </c>
      <c r="CO458" s="129">
        <v>0</v>
      </c>
      <c r="CP458" s="129">
        <v>0</v>
      </c>
      <c r="CQ458" s="129">
        <v>0</v>
      </c>
      <c r="CR458" s="129">
        <v>0</v>
      </c>
      <c r="CS458" s="129">
        <v>0</v>
      </c>
      <c r="CT458" s="803">
        <f>CS458/CS$428*CT$428</f>
        <v>0</v>
      </c>
      <c r="CU458" s="803">
        <f t="shared" ref="CU458:DQ458" si="1684">CT458/CT$428*CU$428</f>
        <v>0</v>
      </c>
      <c r="CV458" s="803">
        <f t="shared" si="1684"/>
        <v>0</v>
      </c>
      <c r="CW458" s="803">
        <f t="shared" si="1684"/>
        <v>0</v>
      </c>
      <c r="CX458" s="803">
        <f t="shared" si="1684"/>
        <v>0</v>
      </c>
      <c r="CY458" s="803">
        <f t="shared" si="1684"/>
        <v>0</v>
      </c>
      <c r="CZ458" s="803">
        <f t="shared" si="1684"/>
        <v>0</v>
      </c>
      <c r="DA458" s="803">
        <f t="shared" si="1684"/>
        <v>0</v>
      </c>
      <c r="DB458" s="803">
        <f t="shared" si="1684"/>
        <v>0</v>
      </c>
      <c r="DC458" s="803">
        <f t="shared" si="1684"/>
        <v>0</v>
      </c>
      <c r="DD458" s="803">
        <f t="shared" si="1684"/>
        <v>0</v>
      </c>
      <c r="DE458" s="803">
        <f t="shared" si="1684"/>
        <v>0</v>
      </c>
      <c r="DF458" s="803">
        <f t="shared" si="1684"/>
        <v>0</v>
      </c>
      <c r="DG458" s="803">
        <f t="shared" si="1684"/>
        <v>0</v>
      </c>
      <c r="DH458" s="803">
        <f t="shared" si="1684"/>
        <v>0</v>
      </c>
      <c r="DI458" s="803">
        <f t="shared" si="1684"/>
        <v>0</v>
      </c>
      <c r="DJ458" s="803">
        <f t="shared" si="1684"/>
        <v>0</v>
      </c>
      <c r="DK458" s="803">
        <f t="shared" si="1684"/>
        <v>0</v>
      </c>
      <c r="DL458" s="803">
        <f t="shared" si="1684"/>
        <v>0</v>
      </c>
      <c r="DM458" s="803">
        <f t="shared" si="1684"/>
        <v>0</v>
      </c>
      <c r="DN458" s="803">
        <f t="shared" si="1684"/>
        <v>0</v>
      </c>
      <c r="DO458" s="803">
        <f t="shared" si="1684"/>
        <v>0</v>
      </c>
      <c r="DP458" s="803">
        <f t="shared" si="1684"/>
        <v>0</v>
      </c>
      <c r="DQ458" s="803">
        <f t="shared" si="1684"/>
        <v>0</v>
      </c>
      <c r="DR458" s="803">
        <f t="shared" si="1672"/>
        <v>0</v>
      </c>
      <c r="DS458" s="803">
        <f t="shared" si="1673"/>
        <v>0</v>
      </c>
      <c r="DT458" s="803">
        <f t="shared" si="1674"/>
        <v>0</v>
      </c>
      <c r="DU458" s="803">
        <f t="shared" si="1675"/>
        <v>0</v>
      </c>
      <c r="DV458" s="803">
        <f t="shared" si="1676"/>
        <v>0</v>
      </c>
      <c r="DW458" s="803">
        <f t="shared" si="1677"/>
        <v>0</v>
      </c>
      <c r="DX458" s="803">
        <f t="shared" si="1678"/>
        <v>0</v>
      </c>
      <c r="DY458" s="803">
        <f t="shared" si="1679"/>
        <v>0</v>
      </c>
      <c r="DZ458" s="803">
        <f t="shared" si="1680"/>
        <v>0</v>
      </c>
      <c r="EA458" s="803">
        <f t="shared" si="1681"/>
        <v>0</v>
      </c>
      <c r="EB458" s="803">
        <f t="shared" si="1682"/>
        <v>0</v>
      </c>
      <c r="EC458" s="803">
        <f t="shared" si="1683"/>
        <v>0</v>
      </c>
      <c r="ED458" s="113" t="s">
        <v>1</v>
      </c>
    </row>
    <row r="459" spans="1:134" x14ac:dyDescent="0.2">
      <c r="A459" s="114" t="s">
        <v>140</v>
      </c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29">
        <v>0</v>
      </c>
      <c r="AC459" s="129">
        <v>0</v>
      </c>
      <c r="AD459" s="129">
        <v>0</v>
      </c>
      <c r="AE459" s="129">
        <v>0</v>
      </c>
      <c r="AF459" s="129">
        <v>0</v>
      </c>
      <c r="AG459" s="129">
        <v>0</v>
      </c>
      <c r="AH459" s="129">
        <v>0</v>
      </c>
      <c r="AI459" s="129">
        <v>0</v>
      </c>
      <c r="AJ459" s="129">
        <v>0</v>
      </c>
      <c r="AK459" s="129">
        <v>14286.050847457627</v>
      </c>
      <c r="AL459" s="129">
        <v>11658.661016949152</v>
      </c>
      <c r="AM459" s="129">
        <v>0</v>
      </c>
      <c r="AN459" s="129">
        <v>5400.3050847457635</v>
      </c>
      <c r="AO459" s="129">
        <v>8702.5423728813566</v>
      </c>
      <c r="AP459" s="129">
        <v>19051.761355932202</v>
      </c>
      <c r="AQ459" s="129">
        <v>31060.983050847455</v>
      </c>
      <c r="AR459" s="129">
        <v>29941.200000000004</v>
      </c>
      <c r="AS459" s="129">
        <v>20775.081355932205</v>
      </c>
      <c r="AT459" s="129">
        <v>41499.457627118645</v>
      </c>
      <c r="AU459" s="129">
        <v>29258.847457627122</v>
      </c>
      <c r="AV459" s="129">
        <v>35584.041355932204</v>
      </c>
      <c r="AW459" s="129">
        <v>19450.983050847459</v>
      </c>
      <c r="AX459" s="129">
        <v>6639.7118644067805</v>
      </c>
      <c r="AY459" s="129">
        <v>14327.182372881356</v>
      </c>
      <c r="AZ459" s="129">
        <v>17217.823728813557</v>
      </c>
      <c r="BA459" s="129">
        <v>9955.6596610169472</v>
      </c>
      <c r="BB459" s="129">
        <v>8171.682711864406</v>
      </c>
      <c r="BC459" s="129">
        <v>11495.487966101695</v>
      </c>
      <c r="BD459" s="129">
        <v>9946.220338983052</v>
      </c>
      <c r="BE459" s="129">
        <v>14287.576271186441</v>
      </c>
      <c r="BF459" s="129">
        <v>4608.7627118644086</v>
      </c>
      <c r="BG459" s="129">
        <v>16705.281355932202</v>
      </c>
      <c r="BH459" s="129">
        <v>0</v>
      </c>
      <c r="BI459" s="129">
        <v>5172.6493220338989</v>
      </c>
      <c r="BJ459" s="129">
        <v>10526.909415254233</v>
      </c>
      <c r="BK459" s="129">
        <v>9181.8000000000029</v>
      </c>
      <c r="BL459" s="129">
        <v>-36.244067796610167</v>
      </c>
      <c r="BM459" s="129">
        <v>0</v>
      </c>
      <c r="BN459" s="129">
        <v>14126.270644067812</v>
      </c>
      <c r="BO459" s="129">
        <v>16878.862427796605</v>
      </c>
      <c r="BP459" s="129">
        <v>13126.748644067799</v>
      </c>
      <c r="BQ459" s="129">
        <v>0</v>
      </c>
      <c r="BR459" s="129">
        <v>0</v>
      </c>
      <c r="BS459" s="129">
        <v>0</v>
      </c>
      <c r="BT459" s="129">
        <v>0</v>
      </c>
      <c r="BU459" s="129">
        <v>0</v>
      </c>
      <c r="BV459" s="129">
        <v>0</v>
      </c>
      <c r="BW459" s="129">
        <v>0</v>
      </c>
      <c r="BX459" s="129">
        <v>0</v>
      </c>
      <c r="BY459" s="129">
        <v>0</v>
      </c>
      <c r="BZ459" s="129">
        <v>0</v>
      </c>
      <c r="CA459" s="129">
        <v>0</v>
      </c>
      <c r="CB459" s="129">
        <v>0</v>
      </c>
      <c r="CC459" s="129">
        <v>0</v>
      </c>
      <c r="CD459" s="129">
        <v>0</v>
      </c>
      <c r="CE459" s="129">
        <v>0</v>
      </c>
      <c r="CF459" s="129">
        <v>35773.322033898308</v>
      </c>
      <c r="CG459" s="129">
        <v>0</v>
      </c>
      <c r="CH459" s="129">
        <v>0</v>
      </c>
      <c r="CI459" s="129">
        <v>43675.419661016953</v>
      </c>
      <c r="CJ459" s="129">
        <v>11331.610169491527</v>
      </c>
      <c r="CK459" s="129">
        <v>61613.066440678129</v>
      </c>
      <c r="CL459" s="129">
        <v>54378.823728813564</v>
      </c>
      <c r="CM459" s="129">
        <v>47793.050847457627</v>
      </c>
      <c r="CN459" s="129">
        <v>58033.372881355928</v>
      </c>
      <c r="CO459" s="129">
        <v>0</v>
      </c>
      <c r="CP459" s="129">
        <v>74957.633389830517</v>
      </c>
      <c r="CQ459" s="129">
        <v>29226.783050847458</v>
      </c>
      <c r="CR459" s="129">
        <v>31439.837288135601</v>
      </c>
      <c r="CS459" s="129">
        <v>59690.1447457627</v>
      </c>
      <c r="CT459" s="803">
        <v>0</v>
      </c>
      <c r="CU459" s="803">
        <v>0</v>
      </c>
      <c r="CV459" s="803">
        <v>0</v>
      </c>
      <c r="CW459" s="803">
        <v>0</v>
      </c>
      <c r="CX459" s="803">
        <v>0</v>
      </c>
      <c r="CY459" s="803">
        <v>0</v>
      </c>
      <c r="CZ459" s="803">
        <v>0</v>
      </c>
      <c r="DA459" s="803">
        <v>0</v>
      </c>
      <c r="DB459" s="803">
        <v>0</v>
      </c>
      <c r="DC459" s="803">
        <v>0</v>
      </c>
      <c r="DD459" s="803">
        <v>0</v>
      </c>
      <c r="DE459" s="803">
        <v>0</v>
      </c>
      <c r="DF459" s="803">
        <v>0</v>
      </c>
      <c r="DG459" s="803">
        <v>0</v>
      </c>
      <c r="DH459" s="803">
        <v>0</v>
      </c>
      <c r="DI459" s="803">
        <v>0</v>
      </c>
      <c r="DJ459" s="803">
        <v>0</v>
      </c>
      <c r="DK459" s="803">
        <v>0</v>
      </c>
      <c r="DL459" s="803">
        <v>0</v>
      </c>
      <c r="DM459" s="803">
        <v>0</v>
      </c>
      <c r="DN459" s="803">
        <v>0</v>
      </c>
      <c r="DO459" s="803">
        <v>0</v>
      </c>
      <c r="DP459" s="803">
        <v>0</v>
      </c>
      <c r="DQ459" s="803">
        <v>0</v>
      </c>
      <c r="DR459" s="803">
        <v>0</v>
      </c>
      <c r="DS459" s="803">
        <v>0</v>
      </c>
      <c r="DT459" s="803">
        <v>0</v>
      </c>
      <c r="DU459" s="803">
        <v>0</v>
      </c>
      <c r="DV459" s="803">
        <v>0</v>
      </c>
      <c r="DW459" s="803">
        <v>0</v>
      </c>
      <c r="DX459" s="803">
        <v>0</v>
      </c>
      <c r="DY459" s="803">
        <v>0</v>
      </c>
      <c r="DZ459" s="803">
        <v>0</v>
      </c>
      <c r="EA459" s="803">
        <v>0</v>
      </c>
      <c r="EB459" s="803">
        <v>0</v>
      </c>
      <c r="EC459" s="803">
        <v>0</v>
      </c>
      <c r="ED459" s="113" t="s">
        <v>1</v>
      </c>
    </row>
    <row r="460" spans="1:134" x14ac:dyDescent="0.2">
      <c r="A460" s="114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15"/>
      <c r="AU460" s="115"/>
      <c r="AV460" s="115"/>
      <c r="AW460" s="115"/>
      <c r="AX460" s="115"/>
      <c r="AY460" s="115"/>
      <c r="AZ460" s="115"/>
      <c r="BA460" s="115"/>
      <c r="BB460" s="115"/>
      <c r="BC460" s="115"/>
      <c r="BD460" s="115"/>
      <c r="BE460" s="115"/>
      <c r="BF460" s="115"/>
      <c r="BG460" s="115"/>
      <c r="BH460" s="115"/>
      <c r="BI460" s="115"/>
      <c r="BJ460" s="115"/>
      <c r="BK460" s="115"/>
      <c r="BL460" s="115"/>
      <c r="BM460" s="115"/>
      <c r="BN460" s="115"/>
      <c r="BO460" s="115"/>
      <c r="BP460" s="115"/>
      <c r="BQ460" s="115"/>
      <c r="BR460" s="115"/>
      <c r="BS460" s="115"/>
      <c r="BT460" s="115"/>
      <c r="BU460" s="115"/>
      <c r="BV460" s="115"/>
      <c r="BW460" s="115"/>
      <c r="BX460" s="115"/>
      <c r="BY460" s="115"/>
      <c r="BZ460" s="115"/>
      <c r="CA460" s="115"/>
      <c r="CB460" s="115"/>
      <c r="CC460" s="115"/>
      <c r="CD460" s="115"/>
      <c r="CE460" s="115"/>
      <c r="CF460" s="115"/>
      <c r="CG460" s="115"/>
      <c r="CH460" s="115"/>
      <c r="CI460" s="115"/>
      <c r="CJ460" s="115"/>
      <c r="CK460" s="115"/>
      <c r="CL460" s="115"/>
      <c r="CM460" s="115"/>
      <c r="CN460" s="115"/>
      <c r="CO460" s="115"/>
      <c r="CP460" s="115"/>
      <c r="CQ460" s="115"/>
      <c r="CR460" s="115"/>
      <c r="CS460" s="115"/>
      <c r="CT460" s="115"/>
      <c r="CU460" s="115"/>
      <c r="CV460" s="115"/>
      <c r="CW460" s="115"/>
      <c r="CX460" s="115"/>
      <c r="CY460" s="115"/>
      <c r="CZ460" s="115"/>
      <c r="DA460" s="115"/>
      <c r="DB460" s="115"/>
      <c r="DC460" s="115"/>
      <c r="DD460" s="115"/>
      <c r="DE460" s="115"/>
      <c r="DF460" s="115"/>
      <c r="DG460" s="115"/>
      <c r="DH460" s="115"/>
      <c r="DI460" s="115"/>
      <c r="DJ460" s="115"/>
      <c r="DK460" s="115"/>
      <c r="DL460" s="115"/>
      <c r="DM460" s="115"/>
      <c r="DN460" s="115"/>
      <c r="DO460" s="115"/>
      <c r="DP460" s="115"/>
      <c r="DQ460" s="115"/>
      <c r="DR460" s="115"/>
      <c r="DS460" s="115"/>
      <c r="DT460" s="115"/>
      <c r="DU460" s="115"/>
      <c r="DV460" s="115"/>
      <c r="DW460" s="115"/>
      <c r="DX460" s="115"/>
      <c r="DY460" s="115"/>
      <c r="DZ460" s="115"/>
      <c r="EA460" s="115"/>
      <c r="EB460" s="115"/>
      <c r="EC460" s="645"/>
      <c r="ED460" s="113" t="s">
        <v>1</v>
      </c>
    </row>
    <row r="461" spans="1:134" x14ac:dyDescent="0.2">
      <c r="A461" s="728" t="s">
        <v>13</v>
      </c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729">
        <f>SUM(AB462:AB465)</f>
        <v>7862171.4849610161</v>
      </c>
      <c r="AC461" s="729">
        <f t="shared" ref="AC461:CN461" si="1685">SUM(AC462:AC465)</f>
        <v>7291416.7323576268</v>
      </c>
      <c r="AD461" s="729">
        <f t="shared" si="1685"/>
        <v>9160052.4951077271</v>
      </c>
      <c r="AE461" s="729">
        <f t="shared" si="1685"/>
        <v>11449884.895369492</v>
      </c>
      <c r="AF461" s="729">
        <f t="shared" si="1685"/>
        <v>11864917.453728812</v>
      </c>
      <c r="AG461" s="729">
        <f t="shared" si="1685"/>
        <v>17060971.755564407</v>
      </c>
      <c r="AH461" s="729">
        <f t="shared" si="1685"/>
        <v>39264769.429661021</v>
      </c>
      <c r="AI461" s="729">
        <f t="shared" si="1685"/>
        <v>40263575.560834743</v>
      </c>
      <c r="AJ461" s="729">
        <f t="shared" si="1685"/>
        <v>39142392.322711855</v>
      </c>
      <c r="AK461" s="729">
        <f t="shared" si="1685"/>
        <v>43520346.236288227</v>
      </c>
      <c r="AL461" s="729">
        <f t="shared" si="1685"/>
        <v>24866016.231860984</v>
      </c>
      <c r="AM461" s="729">
        <f t="shared" si="1685"/>
        <v>628112.17694915284</v>
      </c>
      <c r="AN461" s="729">
        <f t="shared" si="1685"/>
        <v>18364299.585980769</v>
      </c>
      <c r="AO461" s="729">
        <f t="shared" si="1685"/>
        <v>27335239.158454947</v>
      </c>
      <c r="AP461" s="729">
        <f t="shared" si="1685"/>
        <v>34951543.990909465</v>
      </c>
      <c r="AQ461" s="729">
        <f t="shared" si="1685"/>
        <v>46992051.860611774</v>
      </c>
      <c r="AR461" s="729">
        <f t="shared" si="1685"/>
        <v>57247837.403012209</v>
      </c>
      <c r="AS461" s="729">
        <f t="shared" si="1685"/>
        <v>80036711.811065108</v>
      </c>
      <c r="AT461" s="729">
        <f t="shared" si="1685"/>
        <v>96879986.433450788</v>
      </c>
      <c r="AU461" s="729">
        <f t="shared" si="1685"/>
        <v>95172390.164747134</v>
      </c>
      <c r="AV461" s="729">
        <f t="shared" si="1685"/>
        <v>102377800.67927426</v>
      </c>
      <c r="AW461" s="729">
        <f t="shared" si="1685"/>
        <v>114751387.8466906</v>
      </c>
      <c r="AX461" s="729">
        <f t="shared" si="1685"/>
        <v>103226771.82334834</v>
      </c>
      <c r="AY461" s="729">
        <f t="shared" si="1685"/>
        <v>125950980.88732228</v>
      </c>
      <c r="AZ461" s="729">
        <f t="shared" si="1685"/>
        <v>150111704.66086498</v>
      </c>
      <c r="BA461" s="729">
        <f t="shared" si="1685"/>
        <v>154927211.82380763</v>
      </c>
      <c r="BB461" s="729">
        <f t="shared" si="1685"/>
        <v>162334677.849646</v>
      </c>
      <c r="BC461" s="729">
        <f t="shared" si="1685"/>
        <v>156511493.75597769</v>
      </c>
      <c r="BD461" s="729">
        <f t="shared" si="1685"/>
        <v>173702433.39823127</v>
      </c>
      <c r="BE461" s="729">
        <f t="shared" si="1685"/>
        <v>179574681.28936067</v>
      </c>
      <c r="BF461" s="729">
        <f t="shared" si="1685"/>
        <v>217036805.98255402</v>
      </c>
      <c r="BG461" s="729">
        <f t="shared" si="1685"/>
        <v>238563156.40943953</v>
      </c>
      <c r="BH461" s="729">
        <f t="shared" si="1685"/>
        <v>236514319.40370616</v>
      </c>
      <c r="BI461" s="729">
        <f t="shared" si="1685"/>
        <v>298903527.9517296</v>
      </c>
      <c r="BJ461" s="729">
        <f t="shared" si="1685"/>
        <v>319558257.92100018</v>
      </c>
      <c r="BK461" s="729">
        <f t="shared" si="1685"/>
        <v>336980210.66711044</v>
      </c>
      <c r="BL461" s="729">
        <f t="shared" si="1685"/>
        <v>329997523.56056017</v>
      </c>
      <c r="BM461" s="729">
        <f t="shared" si="1685"/>
        <v>290921164.72996676</v>
      </c>
      <c r="BN461" s="729">
        <f t="shared" si="1685"/>
        <v>292069235.94220668</v>
      </c>
      <c r="BO461" s="729">
        <f t="shared" si="1685"/>
        <v>276140951.49092841</v>
      </c>
      <c r="BP461" s="729">
        <f t="shared" si="1685"/>
        <v>391588701.36266869</v>
      </c>
      <c r="BQ461" s="729">
        <f t="shared" si="1685"/>
        <v>340937017.84405154</v>
      </c>
      <c r="BR461" s="729">
        <f t="shared" si="1685"/>
        <v>295121964.87354445</v>
      </c>
      <c r="BS461" s="729">
        <f t="shared" si="1685"/>
        <v>265704583.54988667</v>
      </c>
      <c r="BT461" s="729">
        <f t="shared" si="1685"/>
        <v>243360536.99336153</v>
      </c>
      <c r="BU461" s="729">
        <f t="shared" si="1685"/>
        <v>293054278.07923847</v>
      </c>
      <c r="BV461" s="729">
        <f t="shared" si="1685"/>
        <v>310838217.24076301</v>
      </c>
      <c r="BW461" s="729">
        <f t="shared" si="1685"/>
        <v>311703744.5294854</v>
      </c>
      <c r="BX461" s="729">
        <f t="shared" si="1685"/>
        <v>333807455.86404884</v>
      </c>
      <c r="BY461" s="729">
        <f t="shared" si="1685"/>
        <v>316072436.7030797</v>
      </c>
      <c r="BZ461" s="729">
        <f t="shared" si="1685"/>
        <v>269092017.66929555</v>
      </c>
      <c r="CA461" s="729">
        <f t="shared" si="1685"/>
        <v>231735640.60687006</v>
      </c>
      <c r="CB461" s="729">
        <f t="shared" si="1685"/>
        <v>327741025.24051946</v>
      </c>
      <c r="CC461" s="729">
        <f t="shared" si="1685"/>
        <v>319814318.29682046</v>
      </c>
      <c r="CD461" s="729">
        <f t="shared" si="1685"/>
        <v>380514455.21450275</v>
      </c>
      <c r="CE461" s="729">
        <f t="shared" si="1685"/>
        <v>391377065.93301147</v>
      </c>
      <c r="CF461" s="729">
        <f t="shared" si="1685"/>
        <v>369746692.70490921</v>
      </c>
      <c r="CG461" s="729">
        <f t="shared" si="1685"/>
        <v>460300639.56869185</v>
      </c>
      <c r="CH461" s="729">
        <f t="shared" si="1685"/>
        <v>446390109.09221852</v>
      </c>
      <c r="CI461" s="729">
        <f t="shared" si="1685"/>
        <v>427143556.36654204</v>
      </c>
      <c r="CJ461" s="729">
        <f t="shared" si="1685"/>
        <v>438696551.77529627</v>
      </c>
      <c r="CK461" s="729">
        <f t="shared" si="1685"/>
        <v>482002044.97695023</v>
      </c>
      <c r="CL461" s="729">
        <f t="shared" si="1685"/>
        <v>407095041.58406943</v>
      </c>
      <c r="CM461" s="729">
        <f t="shared" si="1685"/>
        <v>382446772.2740652</v>
      </c>
      <c r="CN461" s="729">
        <f t="shared" si="1685"/>
        <v>557655921.58084357</v>
      </c>
      <c r="CO461" s="729">
        <f t="shared" ref="CO461:DQ461" si="1686">SUM(CO462:CO465)</f>
        <v>498716626.18423724</v>
      </c>
      <c r="CP461" s="729">
        <f t="shared" si="1686"/>
        <v>623373415.48219919</v>
      </c>
      <c r="CQ461" s="729">
        <f t="shared" si="1686"/>
        <v>659550540.51932061</v>
      </c>
      <c r="CR461" s="729">
        <f t="shared" si="1686"/>
        <v>638715068.3508426</v>
      </c>
      <c r="CS461" s="729">
        <f t="shared" si="1686"/>
        <v>766919876.31966007</v>
      </c>
      <c r="CT461" s="729">
        <f t="shared" si="1686"/>
        <v>639433379.12841821</v>
      </c>
      <c r="CU461" s="729">
        <f t="shared" si="1686"/>
        <v>626198481.15873885</v>
      </c>
      <c r="CV461" s="729">
        <f t="shared" si="1686"/>
        <v>624893183.64794874</v>
      </c>
      <c r="CW461" s="729">
        <f t="shared" si="1686"/>
        <v>676675279.44371092</v>
      </c>
      <c r="CX461" s="729">
        <f t="shared" si="1686"/>
        <v>604575089.64082062</v>
      </c>
      <c r="CY461" s="729">
        <f t="shared" si="1686"/>
        <v>561403371.94149065</v>
      </c>
      <c r="CZ461" s="729">
        <f t="shared" si="1686"/>
        <v>700495465.50357389</v>
      </c>
      <c r="DA461" s="729">
        <f t="shared" si="1686"/>
        <v>645108976.98056233</v>
      </c>
      <c r="DB461" s="729">
        <f t="shared" si="1686"/>
        <v>767436237.97518003</v>
      </c>
      <c r="DC461" s="729">
        <f t="shared" si="1686"/>
        <v>786286741.1723001</v>
      </c>
      <c r="DD461" s="729">
        <f t="shared" si="1686"/>
        <v>731166190.82796764</v>
      </c>
      <c r="DE461" s="729">
        <f t="shared" si="1686"/>
        <v>850538036.23489189</v>
      </c>
      <c r="DF461" s="729">
        <f t="shared" si="1686"/>
        <v>781947128.39728832</v>
      </c>
      <c r="DG461" s="729">
        <f t="shared" si="1686"/>
        <v>767680175.77012372</v>
      </c>
      <c r="DH461" s="729">
        <f t="shared" si="1686"/>
        <v>762095547.99879658</v>
      </c>
      <c r="DI461" s="729">
        <f t="shared" si="1686"/>
        <v>824823658.27376699</v>
      </c>
      <c r="DJ461" s="729">
        <f t="shared" si="1686"/>
        <v>735330478.42626619</v>
      </c>
      <c r="DK461" s="729">
        <f t="shared" si="1686"/>
        <v>681152824.84370852</v>
      </c>
      <c r="DL461" s="729">
        <f t="shared" si="1686"/>
        <v>847383078.99774027</v>
      </c>
      <c r="DM461" s="729">
        <f t="shared" si="1686"/>
        <v>776232164.72501481</v>
      </c>
      <c r="DN461" s="729">
        <f t="shared" si="1686"/>
        <v>920399128.05859947</v>
      </c>
      <c r="DO461" s="729">
        <f t="shared" si="1686"/>
        <v>939114914.44456434</v>
      </c>
      <c r="DP461" s="729">
        <f t="shared" si="1686"/>
        <v>868919096.06437004</v>
      </c>
      <c r="DQ461" s="729">
        <f t="shared" si="1686"/>
        <v>999865302.77258468</v>
      </c>
      <c r="DR461" s="729">
        <f t="shared" ref="DR461:EC461" si="1687">SUM(DR462:DR465)</f>
        <v>890966617.63853288</v>
      </c>
      <c r="DS461" s="729">
        <f t="shared" si="1687"/>
        <v>873836150.45235109</v>
      </c>
      <c r="DT461" s="729">
        <f t="shared" si="1687"/>
        <v>866924356.99908137</v>
      </c>
      <c r="DU461" s="729">
        <f t="shared" si="1687"/>
        <v>937970503.40973544</v>
      </c>
      <c r="DV461" s="729">
        <f t="shared" si="1687"/>
        <v>835113078.24485672</v>
      </c>
      <c r="DW461" s="729">
        <f t="shared" si="1687"/>
        <v>772445492.80300045</v>
      </c>
      <c r="DX461" s="729">
        <f t="shared" si="1687"/>
        <v>961463035.61434937</v>
      </c>
      <c r="DY461" s="729">
        <f t="shared" si="1687"/>
        <v>879964228.76229548</v>
      </c>
      <c r="DZ461" s="729">
        <f t="shared" si="1687"/>
        <v>1043707086.6065941</v>
      </c>
      <c r="EA461" s="729">
        <f t="shared" si="1687"/>
        <v>1064701552.7203629</v>
      </c>
      <c r="EB461" s="729">
        <f t="shared" si="1687"/>
        <v>984333511.04131937</v>
      </c>
      <c r="EC461" s="729">
        <f t="shared" si="1687"/>
        <v>1132859764.4594345</v>
      </c>
      <c r="ED461" s="113" t="s">
        <v>1</v>
      </c>
    </row>
    <row r="462" spans="1:134" x14ac:dyDescent="0.2">
      <c r="A462" s="120" t="s">
        <v>139</v>
      </c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30">
        <f t="shared" ref="AB462:BG462" si="1688">AB417-AB445</f>
        <v>4645575.5167033896</v>
      </c>
      <c r="AC462" s="130">
        <f t="shared" si="1688"/>
        <v>3813912.2577813561</v>
      </c>
      <c r="AD462" s="130">
        <f t="shared" si="1688"/>
        <v>5487552.0629043384</v>
      </c>
      <c r="AE462" s="130">
        <f t="shared" si="1688"/>
        <v>8260866.4207932204</v>
      </c>
      <c r="AF462" s="130">
        <f t="shared" si="1688"/>
        <v>8857029.0299999993</v>
      </c>
      <c r="AG462" s="130">
        <f t="shared" si="1688"/>
        <v>14134909.0437</v>
      </c>
      <c r="AH462" s="130">
        <f t="shared" si="1688"/>
        <v>36292063.149999999</v>
      </c>
      <c r="AI462" s="130">
        <f t="shared" si="1688"/>
        <v>37256610.594733052</v>
      </c>
      <c r="AJ462" s="130">
        <f t="shared" si="1688"/>
        <v>35796749.915932193</v>
      </c>
      <c r="AK462" s="130">
        <f t="shared" si="1688"/>
        <v>39690908.973576367</v>
      </c>
      <c r="AL462" s="130">
        <f t="shared" si="1688"/>
        <v>22531479.681013525</v>
      </c>
      <c r="AM462" s="130">
        <f t="shared" si="1688"/>
        <v>621845.61694915278</v>
      </c>
      <c r="AN462" s="130">
        <f t="shared" si="1688"/>
        <v>14382841.150557041</v>
      </c>
      <c r="AO462" s="130">
        <f t="shared" si="1688"/>
        <v>21661483.173031218</v>
      </c>
      <c r="AP462" s="130">
        <f t="shared" si="1688"/>
        <v>28829467.065485734</v>
      </c>
      <c r="AQ462" s="130">
        <f t="shared" si="1688"/>
        <v>39302698.775866009</v>
      </c>
      <c r="AR462" s="130">
        <f t="shared" si="1688"/>
        <v>49893326.945385091</v>
      </c>
      <c r="AS462" s="130">
        <f t="shared" si="1688"/>
        <v>72143219.133099005</v>
      </c>
      <c r="AT462" s="130">
        <f t="shared" si="1688"/>
        <v>85593509.026671112</v>
      </c>
      <c r="AU462" s="130">
        <f t="shared" si="1688"/>
        <v>84117439.529153913</v>
      </c>
      <c r="AV462" s="130">
        <f t="shared" si="1688"/>
        <v>91354554.71317257</v>
      </c>
      <c r="AW462" s="130">
        <f t="shared" si="1688"/>
        <v>103260389.28736855</v>
      </c>
      <c r="AX462" s="130">
        <f t="shared" si="1688"/>
        <v>90987132.00978902</v>
      </c>
      <c r="AY462" s="130">
        <f t="shared" si="1688"/>
        <v>112257195.14155957</v>
      </c>
      <c r="AZ462" s="130">
        <f t="shared" si="1688"/>
        <v>135589777.90662771</v>
      </c>
      <c r="BA462" s="130">
        <f t="shared" si="1688"/>
        <v>138152647.2644856</v>
      </c>
      <c r="BB462" s="130">
        <f t="shared" si="1688"/>
        <v>144179337.2394765</v>
      </c>
      <c r="BC462" s="130">
        <f t="shared" si="1688"/>
        <v>138695458.5780116</v>
      </c>
      <c r="BD462" s="130">
        <f t="shared" si="1688"/>
        <v>156747913.63551939</v>
      </c>
      <c r="BE462" s="130">
        <f t="shared" si="1688"/>
        <v>162733287.85715729</v>
      </c>
      <c r="BF462" s="130">
        <f t="shared" si="1688"/>
        <v>199907510.14357099</v>
      </c>
      <c r="BG462" s="130">
        <f t="shared" si="1688"/>
        <v>219710757.16367683</v>
      </c>
      <c r="BH462" s="130">
        <f t="shared" ref="BH462:CM462" si="1689">BH417-BH445</f>
        <v>217911199.97997734</v>
      </c>
      <c r="BI462" s="130">
        <f t="shared" si="1689"/>
        <v>279496364.88393301</v>
      </c>
      <c r="BJ462" s="130">
        <f t="shared" si="1689"/>
        <v>299384838.65871203</v>
      </c>
      <c r="BK462" s="130">
        <f t="shared" si="1689"/>
        <v>315822171.68405956</v>
      </c>
      <c r="BL462" s="130">
        <f t="shared" si="1689"/>
        <v>307565429.82327205</v>
      </c>
      <c r="BM462" s="130">
        <f t="shared" si="1689"/>
        <v>267727256.42488205</v>
      </c>
      <c r="BN462" s="130">
        <f t="shared" si="1689"/>
        <v>265586430.97441</v>
      </c>
      <c r="BO462" s="130">
        <f t="shared" si="1689"/>
        <v>252402908.24486059</v>
      </c>
      <c r="BP462" s="130">
        <f t="shared" si="1689"/>
        <v>364382385.3273297</v>
      </c>
      <c r="BQ462" s="130">
        <f t="shared" si="1689"/>
        <v>320622383.80681396</v>
      </c>
      <c r="BR462" s="130">
        <f t="shared" si="1689"/>
        <v>275949169.25408685</v>
      </c>
      <c r="BS462" s="130">
        <f t="shared" si="1689"/>
        <v>247585382.7787039</v>
      </c>
      <c r="BT462" s="130">
        <f t="shared" si="1689"/>
        <v>224446978.21187407</v>
      </c>
      <c r="BU462" s="130">
        <f t="shared" si="1689"/>
        <v>271380901.81655037</v>
      </c>
      <c r="BV462" s="130">
        <f t="shared" si="1689"/>
        <v>287896322.22383714</v>
      </c>
      <c r="BW462" s="130">
        <f t="shared" si="1689"/>
        <v>287644384.25812042</v>
      </c>
      <c r="BX462" s="130">
        <f t="shared" si="1689"/>
        <v>307351435.52079612</v>
      </c>
      <c r="BY462" s="130">
        <f t="shared" si="1689"/>
        <v>288651700.4742626</v>
      </c>
      <c r="BZ462" s="130">
        <f t="shared" si="1689"/>
        <v>242229666.09302434</v>
      </c>
      <c r="CA462" s="130">
        <f t="shared" si="1689"/>
        <v>207366722.88939744</v>
      </c>
      <c r="CB462" s="130">
        <f t="shared" si="1689"/>
        <v>299103287.22222507</v>
      </c>
      <c r="CC462" s="130">
        <f t="shared" si="1689"/>
        <v>294836004.2120747</v>
      </c>
      <c r="CD462" s="130">
        <f t="shared" si="1689"/>
        <v>351215484.3363775</v>
      </c>
      <c r="CE462" s="130">
        <f t="shared" si="1689"/>
        <v>362447347.44148612</v>
      </c>
      <c r="CF462" s="130">
        <f t="shared" si="1689"/>
        <v>344074355.27270585</v>
      </c>
      <c r="CG462" s="130">
        <f t="shared" si="1689"/>
        <v>427881357.20428503</v>
      </c>
      <c r="CH462" s="130">
        <f t="shared" si="1689"/>
        <v>416340150.99052358</v>
      </c>
      <c r="CI462" s="130">
        <f t="shared" si="1689"/>
        <v>395745213.23942339</v>
      </c>
      <c r="CJ462" s="130">
        <f t="shared" si="1689"/>
        <v>409788249.96173704</v>
      </c>
      <c r="CK462" s="130">
        <f t="shared" si="1689"/>
        <v>448609511.96000105</v>
      </c>
      <c r="CL462" s="130">
        <f t="shared" si="1689"/>
        <v>371931954.44000167</v>
      </c>
      <c r="CM462" s="130">
        <f t="shared" si="1689"/>
        <v>349198855.12999743</v>
      </c>
      <c r="CN462" s="130">
        <f t="shared" ref="CN462:DQ462" si="1690">CN417-CN445</f>
        <v>516877415.51304692</v>
      </c>
      <c r="CO462" s="130">
        <f t="shared" si="1690"/>
        <v>459278137.01474577</v>
      </c>
      <c r="CP462" s="130">
        <f t="shared" si="1690"/>
        <v>574577080.95677543</v>
      </c>
      <c r="CQ462" s="130">
        <f t="shared" si="1690"/>
        <v>613069434.09559178</v>
      </c>
      <c r="CR462" s="130">
        <f t="shared" si="1690"/>
        <v>593922225.80846965</v>
      </c>
      <c r="CS462" s="130">
        <f t="shared" si="1690"/>
        <v>700838173.25186336</v>
      </c>
      <c r="CT462" s="130">
        <f t="shared" si="1690"/>
        <v>594767571.45455277</v>
      </c>
      <c r="CU462" s="130">
        <f t="shared" si="1690"/>
        <v>580933922.72758758</v>
      </c>
      <c r="CV462" s="130">
        <f t="shared" si="1690"/>
        <v>578953171.70064747</v>
      </c>
      <c r="CW462" s="130">
        <f t="shared" si="1690"/>
        <v>630917099.35286117</v>
      </c>
      <c r="CX462" s="130">
        <f t="shared" si="1690"/>
        <v>557291504.98465395</v>
      </c>
      <c r="CY462" s="130">
        <f t="shared" si="1690"/>
        <v>512721765.43004143</v>
      </c>
      <c r="CZ462" s="130">
        <f t="shared" si="1690"/>
        <v>653043919.35492206</v>
      </c>
      <c r="DA462" s="130">
        <f t="shared" si="1690"/>
        <v>596332688.03015232</v>
      </c>
      <c r="DB462" s="130">
        <f t="shared" si="1690"/>
        <v>719688733.75074553</v>
      </c>
      <c r="DC462" s="130">
        <f t="shared" si="1690"/>
        <v>738325697.88455534</v>
      </c>
      <c r="DD462" s="130">
        <f t="shared" si="1690"/>
        <v>681883597.5455538</v>
      </c>
      <c r="DE462" s="130">
        <f t="shared" si="1690"/>
        <v>801808890.58213377</v>
      </c>
      <c r="DF462" s="130">
        <f t="shared" si="1690"/>
        <v>731963380.79228532</v>
      </c>
      <c r="DG462" s="130">
        <f t="shared" si="1690"/>
        <v>716865179.89212155</v>
      </c>
      <c r="DH462" s="130">
        <f t="shared" si="1690"/>
        <v>710773576.86982775</v>
      </c>
      <c r="DI462" s="130">
        <f t="shared" si="1690"/>
        <v>773815685.61976242</v>
      </c>
      <c r="DJ462" s="130">
        <f t="shared" si="1690"/>
        <v>682587198.34697127</v>
      </c>
      <c r="DK462" s="130">
        <f t="shared" si="1690"/>
        <v>626878724.84990847</v>
      </c>
      <c r="DL462" s="130">
        <f t="shared" si="1690"/>
        <v>794886782.92698121</v>
      </c>
      <c r="DM462" s="130">
        <f t="shared" si="1690"/>
        <v>722440926.17984009</v>
      </c>
      <c r="DN462" s="130">
        <f t="shared" si="1690"/>
        <v>868120539.6366154</v>
      </c>
      <c r="DO462" s="130">
        <f t="shared" si="1690"/>
        <v>886841319.98812509</v>
      </c>
      <c r="DP462" s="130">
        <f t="shared" si="1690"/>
        <v>815362037.35347748</v>
      </c>
      <c r="DQ462" s="130">
        <f t="shared" si="1690"/>
        <v>947662008.82708871</v>
      </c>
      <c r="DR462" s="130">
        <f t="shared" ref="DR462:EC462" si="1691">DR417-DR445</f>
        <v>837014733.34889877</v>
      </c>
      <c r="DS462" s="130">
        <f t="shared" si="1691"/>
        <v>819018604.53894293</v>
      </c>
      <c r="DT462" s="130">
        <f t="shared" si="1691"/>
        <v>811583886.12772655</v>
      </c>
      <c r="DU462" s="130">
        <f t="shared" si="1691"/>
        <v>883043996.10498166</v>
      </c>
      <c r="DV462" s="130">
        <f t="shared" si="1691"/>
        <v>778290653.72831821</v>
      </c>
      <c r="DW462" s="130">
        <f t="shared" si="1691"/>
        <v>713990217.45955634</v>
      </c>
      <c r="DX462" s="130">
        <f t="shared" si="1691"/>
        <v>905059418.90696025</v>
      </c>
      <c r="DY462" s="130">
        <f t="shared" si="1691"/>
        <v>822141309.93440795</v>
      </c>
      <c r="DZ462" s="130">
        <f t="shared" si="1691"/>
        <v>987632078.49186218</v>
      </c>
      <c r="EA462" s="130">
        <f t="shared" si="1691"/>
        <v>1008658923.4519439</v>
      </c>
      <c r="EB462" s="130">
        <f t="shared" si="1691"/>
        <v>926885169.04325044</v>
      </c>
      <c r="EC462" s="130">
        <f t="shared" si="1691"/>
        <v>1076976461.9737895</v>
      </c>
      <c r="ED462" s="113" t="s">
        <v>1</v>
      </c>
    </row>
    <row r="463" spans="1:134" x14ac:dyDescent="0.2">
      <c r="A463" s="120" t="s">
        <v>191</v>
      </c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30">
        <f t="shared" ref="AB463:BG463" si="1692">AB418-AB446</f>
        <v>3097934.7542372877</v>
      </c>
      <c r="AC463" s="130">
        <f t="shared" si="1692"/>
        <v>3366429.661016949</v>
      </c>
      <c r="AD463" s="130">
        <f t="shared" si="1692"/>
        <v>3493661.3559322031</v>
      </c>
      <c r="AE463" s="130">
        <f t="shared" si="1692"/>
        <v>2951397.5423728814</v>
      </c>
      <c r="AF463" s="130">
        <f t="shared" si="1692"/>
        <v>2784974.5762711866</v>
      </c>
      <c r="AG463" s="130">
        <f t="shared" si="1692"/>
        <v>2681985.5932203392</v>
      </c>
      <c r="AH463" s="130">
        <f t="shared" si="1692"/>
        <v>2695875.4237288134</v>
      </c>
      <c r="AI463" s="130">
        <f t="shared" si="1692"/>
        <v>2684550.8474576273</v>
      </c>
      <c r="AJ463" s="130">
        <f t="shared" si="1692"/>
        <v>2440178</v>
      </c>
      <c r="AK463" s="130">
        <f t="shared" si="1692"/>
        <v>3244165.2542372881</v>
      </c>
      <c r="AL463" s="130">
        <f t="shared" si="1692"/>
        <v>2033566.9491525423</v>
      </c>
      <c r="AM463" s="130">
        <f t="shared" si="1692"/>
        <v>0</v>
      </c>
      <c r="AN463" s="130">
        <f t="shared" si="1692"/>
        <v>3658239.8305084747</v>
      </c>
      <c r="AO463" s="130">
        <f t="shared" si="1692"/>
        <v>5088394.0677966103</v>
      </c>
      <c r="AP463" s="130">
        <f t="shared" si="1692"/>
        <v>4687964.4067796608</v>
      </c>
      <c r="AQ463" s="130">
        <f t="shared" si="1692"/>
        <v>5772444.0677966103</v>
      </c>
      <c r="AR463" s="130">
        <f t="shared" si="1692"/>
        <v>5489652.5423728814</v>
      </c>
      <c r="AS463" s="130">
        <f t="shared" si="1692"/>
        <v>5790347.4576271186</v>
      </c>
      <c r="AT463" s="130">
        <f t="shared" si="1692"/>
        <v>8306113.5084745754</v>
      </c>
      <c r="AU463" s="130">
        <f t="shared" si="1692"/>
        <v>8235138.1355932206</v>
      </c>
      <c r="AV463" s="130">
        <f t="shared" si="1692"/>
        <v>8228675.4237288134</v>
      </c>
      <c r="AW463" s="130">
        <f t="shared" si="1692"/>
        <v>7600879.6610169495</v>
      </c>
      <c r="AX463" s="130">
        <f t="shared" si="1692"/>
        <v>9387326.2711864412</v>
      </c>
      <c r="AY463" s="130">
        <f t="shared" si="1692"/>
        <v>10782938.135593221</v>
      </c>
      <c r="AZ463" s="130">
        <f t="shared" si="1692"/>
        <v>10902077.118644068</v>
      </c>
      <c r="BA463" s="130">
        <f t="shared" si="1692"/>
        <v>12806070.338983051</v>
      </c>
      <c r="BB463" s="130">
        <f t="shared" si="1692"/>
        <v>13441418.644067798</v>
      </c>
      <c r="BC463" s="130">
        <f t="shared" si="1692"/>
        <v>12621150.847457627</v>
      </c>
      <c r="BD463" s="130">
        <f t="shared" si="1692"/>
        <v>12042151.694915254</v>
      </c>
      <c r="BE463" s="130">
        <f t="shared" si="1692"/>
        <v>12710039.830508474</v>
      </c>
      <c r="BF463" s="130">
        <f t="shared" si="1692"/>
        <v>12808982.203389831</v>
      </c>
      <c r="BG463" s="130">
        <f t="shared" si="1692"/>
        <v>13606122.033898305</v>
      </c>
      <c r="BH463" s="130">
        <f t="shared" ref="BH463:CM463" si="1693">BH418-BH446</f>
        <v>12814252.542372882</v>
      </c>
      <c r="BI463" s="130">
        <f t="shared" si="1693"/>
        <v>13488505.084745763</v>
      </c>
      <c r="BJ463" s="130">
        <f t="shared" si="1693"/>
        <v>13944989.830508474</v>
      </c>
      <c r="BK463" s="130">
        <f t="shared" si="1693"/>
        <v>14628605.93220339</v>
      </c>
      <c r="BL463" s="130">
        <f t="shared" si="1693"/>
        <v>15370582.203389831</v>
      </c>
      <c r="BM463" s="130">
        <f t="shared" si="1693"/>
        <v>16539227.118644068</v>
      </c>
      <c r="BN463" s="130">
        <f t="shared" si="1693"/>
        <v>16716184.745762711</v>
      </c>
      <c r="BO463" s="130">
        <f t="shared" si="1693"/>
        <v>14490888.983050847</v>
      </c>
      <c r="BP463" s="130">
        <f t="shared" si="1693"/>
        <v>14840163.559322033</v>
      </c>
      <c r="BQ463" s="130">
        <f t="shared" si="1693"/>
        <v>12339539.830508474</v>
      </c>
      <c r="BR463" s="130">
        <f t="shared" si="1693"/>
        <v>12394174.576271186</v>
      </c>
      <c r="BS463" s="130">
        <f t="shared" si="1693"/>
        <v>12190198.305084746</v>
      </c>
      <c r="BT463" s="130">
        <f t="shared" si="1693"/>
        <v>12288484.745762711</v>
      </c>
      <c r="BU463" s="130">
        <f t="shared" si="1693"/>
        <v>14314424.576271186</v>
      </c>
      <c r="BV463" s="130">
        <f t="shared" si="1693"/>
        <v>15220091.525423728</v>
      </c>
      <c r="BW463" s="130">
        <f t="shared" si="1693"/>
        <v>16324402.542372882</v>
      </c>
      <c r="BX463" s="130">
        <f t="shared" si="1693"/>
        <v>17625135.593220338</v>
      </c>
      <c r="BY463" s="130">
        <f t="shared" si="1693"/>
        <v>18791963.389830507</v>
      </c>
      <c r="BZ463" s="130">
        <f t="shared" si="1693"/>
        <v>18320759.322033897</v>
      </c>
      <c r="CA463" s="130">
        <f t="shared" si="1693"/>
        <v>17642321.186440676</v>
      </c>
      <c r="CB463" s="130">
        <f t="shared" si="1693"/>
        <v>17972599.728813559</v>
      </c>
      <c r="CC463" s="130">
        <f t="shared" si="1693"/>
        <v>16318505.864406781</v>
      </c>
      <c r="CD463" s="130">
        <f t="shared" si="1693"/>
        <v>18983577.016949151</v>
      </c>
      <c r="CE463" s="130">
        <f t="shared" si="1693"/>
        <v>18050991.93220339</v>
      </c>
      <c r="CF463" s="130">
        <f t="shared" si="1693"/>
        <v>15779612.203389829</v>
      </c>
      <c r="CG463" s="130">
        <f t="shared" si="1693"/>
        <v>20938880.271186441</v>
      </c>
      <c r="CH463" s="130">
        <f t="shared" si="1693"/>
        <v>19321590.677966103</v>
      </c>
      <c r="CI463" s="130">
        <f t="shared" si="1693"/>
        <v>19939703.389830507</v>
      </c>
      <c r="CJ463" s="130">
        <f t="shared" si="1693"/>
        <v>20037507.966101695</v>
      </c>
      <c r="CK463" s="130">
        <f t="shared" si="1693"/>
        <v>22639125.177966103</v>
      </c>
      <c r="CL463" s="130">
        <f t="shared" si="1693"/>
        <v>25438238.364406779</v>
      </c>
      <c r="CM463" s="130">
        <f t="shared" si="1693"/>
        <v>21311952.398305085</v>
      </c>
      <c r="CN463" s="130">
        <f t="shared" ref="CN463:DQ463" si="1694">CN418-CN446</f>
        <v>21753492.135593221</v>
      </c>
      <c r="CO463" s="130">
        <f t="shared" si="1694"/>
        <v>22556101.771186441</v>
      </c>
      <c r="CP463" s="130">
        <f t="shared" si="1694"/>
        <v>27248587.576271188</v>
      </c>
      <c r="CQ463" s="130">
        <f t="shared" si="1694"/>
        <v>27010208.550847456</v>
      </c>
      <c r="CR463" s="130">
        <f t="shared" si="1694"/>
        <v>26401732.915254235</v>
      </c>
      <c r="CS463" s="130">
        <f t="shared" si="1694"/>
        <v>44980505.644067802</v>
      </c>
      <c r="CT463" s="130">
        <f t="shared" si="1694"/>
        <v>26675381.749929659</v>
      </c>
      <c r="CU463" s="130">
        <f t="shared" si="1694"/>
        <v>27107019.311446972</v>
      </c>
      <c r="CV463" s="130">
        <f t="shared" si="1694"/>
        <v>27547683.745325278</v>
      </c>
      <c r="CW463" s="130">
        <f t="shared" si="1694"/>
        <v>27254408.793947939</v>
      </c>
      <c r="CX463" s="130">
        <f t="shared" si="1694"/>
        <v>28484406.912750494</v>
      </c>
      <c r="CY463" s="130">
        <f t="shared" si="1694"/>
        <v>29533901.535826456</v>
      </c>
      <c r="CZ463" s="130">
        <f t="shared" si="1694"/>
        <v>28267156.323582448</v>
      </c>
      <c r="DA463" s="130">
        <f t="shared" si="1694"/>
        <v>29310803.605582587</v>
      </c>
      <c r="DB463" s="130">
        <f t="shared" si="1694"/>
        <v>28230979.322789475</v>
      </c>
      <c r="DC463" s="130">
        <f t="shared" si="1694"/>
        <v>28304877.969601378</v>
      </c>
      <c r="DD463" s="130">
        <f t="shared" si="1694"/>
        <v>29345560.151214436</v>
      </c>
      <c r="DE463" s="130">
        <f t="shared" si="1694"/>
        <v>28582761.465078115</v>
      </c>
      <c r="DF463" s="130">
        <f t="shared" si="1694"/>
        <v>29631595.5761921</v>
      </c>
      <c r="DG463" s="130">
        <f t="shared" si="1694"/>
        <v>30216777.0884143</v>
      </c>
      <c r="DH463" s="130">
        <f t="shared" si="1694"/>
        <v>30563117.310380396</v>
      </c>
      <c r="DI463" s="130">
        <f t="shared" si="1694"/>
        <v>30147798.837721057</v>
      </c>
      <c r="DJ463" s="130">
        <f t="shared" si="1694"/>
        <v>31571721.581299052</v>
      </c>
      <c r="DK463" s="130">
        <f t="shared" si="1694"/>
        <v>32743927.824457787</v>
      </c>
      <c r="DL463" s="130">
        <f t="shared" si="1694"/>
        <v>31032566.408566535</v>
      </c>
      <c r="DM463" s="130">
        <f t="shared" si="1694"/>
        <v>32109943.529598907</v>
      </c>
      <c r="DN463" s="130">
        <f t="shared" si="1694"/>
        <v>30644578.654997721</v>
      </c>
      <c r="DO463" s="130">
        <f t="shared" si="1694"/>
        <v>30577942.369029455</v>
      </c>
      <c r="DP463" s="130">
        <f t="shared" si="1694"/>
        <v>31644670.567012444</v>
      </c>
      <c r="DQ463" s="130">
        <f t="shared" si="1694"/>
        <v>30326711.645110961</v>
      </c>
      <c r="DR463" s="130">
        <f t="shared" ref="DR463:EC463" si="1695">DR418-DR446</f>
        <v>31824960.754318841</v>
      </c>
      <c r="DS463" s="130">
        <f t="shared" si="1695"/>
        <v>32442069.266152501</v>
      </c>
      <c r="DT463" s="130">
        <f t="shared" si="1695"/>
        <v>32803206.834993713</v>
      </c>
      <c r="DU463" s="130">
        <f t="shared" si="1695"/>
        <v>32295145.709556229</v>
      </c>
      <c r="DV463" s="130">
        <f t="shared" si="1695"/>
        <v>33868074.245233931</v>
      </c>
      <c r="DW463" s="130">
        <f t="shared" si="1695"/>
        <v>35134939.70719061</v>
      </c>
      <c r="DX463" s="130">
        <f t="shared" si="1695"/>
        <v>33169509.474426258</v>
      </c>
      <c r="DY463" s="130">
        <f t="shared" si="1695"/>
        <v>34362261.305644512</v>
      </c>
      <c r="DZ463" s="130">
        <f t="shared" si="1695"/>
        <v>32678633.326890614</v>
      </c>
      <c r="EA463" s="130">
        <f t="shared" si="1695"/>
        <v>32586590.707102548</v>
      </c>
      <c r="EB463" s="130">
        <f t="shared" si="1695"/>
        <v>33766734.975657754</v>
      </c>
      <c r="EC463" s="130">
        <f t="shared" si="1695"/>
        <v>32252765.824749753</v>
      </c>
      <c r="ED463" s="113" t="s">
        <v>1</v>
      </c>
    </row>
    <row r="464" spans="1:134" x14ac:dyDescent="0.2">
      <c r="A464" s="120" t="s">
        <v>140</v>
      </c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30">
        <f t="shared" ref="AB464:BG464" si="1696">AB419-AB447</f>
        <v>118661.21402033899</v>
      </c>
      <c r="AC464" s="130">
        <f t="shared" si="1696"/>
        <v>111074.81355932202</v>
      </c>
      <c r="AD464" s="130">
        <f t="shared" si="1696"/>
        <v>178839.07627118644</v>
      </c>
      <c r="AE464" s="130">
        <f t="shared" si="1696"/>
        <v>237620.93220338985</v>
      </c>
      <c r="AF464" s="130">
        <f t="shared" si="1696"/>
        <v>222913.8474576271</v>
      </c>
      <c r="AG464" s="130">
        <f t="shared" si="1696"/>
        <v>244077.11864406778</v>
      </c>
      <c r="AH464" s="130">
        <f t="shared" si="1696"/>
        <v>276830.85593220335</v>
      </c>
      <c r="AI464" s="130">
        <f t="shared" si="1696"/>
        <v>322414.11864406778</v>
      </c>
      <c r="AJ464" s="130">
        <f t="shared" si="1696"/>
        <v>905464.40677966201</v>
      </c>
      <c r="AK464" s="130">
        <f t="shared" si="1696"/>
        <v>585272.00847457629</v>
      </c>
      <c r="AL464" s="130">
        <f t="shared" si="1696"/>
        <v>300969.60169491521</v>
      </c>
      <c r="AM464" s="130">
        <f t="shared" si="1696"/>
        <v>6266.56</v>
      </c>
      <c r="AN464" s="130">
        <f t="shared" si="1696"/>
        <v>323218.60491525423</v>
      </c>
      <c r="AO464" s="130">
        <f t="shared" si="1696"/>
        <v>585361.91762711853</v>
      </c>
      <c r="AP464" s="130">
        <f t="shared" si="1696"/>
        <v>1434112.5186440677</v>
      </c>
      <c r="AQ464" s="130">
        <f t="shared" si="1696"/>
        <v>1916909.0169491526</v>
      </c>
      <c r="AR464" s="130">
        <f t="shared" si="1696"/>
        <v>1864857.9152542371</v>
      </c>
      <c r="AS464" s="130">
        <f t="shared" si="1696"/>
        <v>2103145.220338989</v>
      </c>
      <c r="AT464" s="130">
        <f t="shared" si="1696"/>
        <v>2980363.8983050962</v>
      </c>
      <c r="AU464" s="130">
        <f t="shared" si="1696"/>
        <v>2819812.5000000014</v>
      </c>
      <c r="AV464" s="130">
        <f t="shared" si="1696"/>
        <v>2794570.5423728824</v>
      </c>
      <c r="AW464" s="130">
        <f t="shared" si="1696"/>
        <v>3890118.8983050846</v>
      </c>
      <c r="AX464" s="130">
        <f t="shared" si="1696"/>
        <v>2852313.5423728838</v>
      </c>
      <c r="AY464" s="130">
        <f t="shared" si="1696"/>
        <v>2910847.6101694922</v>
      </c>
      <c r="AZ464" s="130">
        <f t="shared" si="1696"/>
        <v>3619849.6355932192</v>
      </c>
      <c r="BA464" s="130">
        <f t="shared" si="1696"/>
        <v>3968494.2203389779</v>
      </c>
      <c r="BB464" s="130">
        <f t="shared" si="1696"/>
        <v>4713921.966101693</v>
      </c>
      <c r="BC464" s="130">
        <f t="shared" si="1696"/>
        <v>5194884.3305084733</v>
      </c>
      <c r="BD464" s="130">
        <f t="shared" si="1696"/>
        <v>4912368.0677966084</v>
      </c>
      <c r="BE464" s="130">
        <f t="shared" si="1696"/>
        <v>4131353.6016949159</v>
      </c>
      <c r="BF464" s="130">
        <f t="shared" si="1696"/>
        <v>4320313.6355932206</v>
      </c>
      <c r="BG464" s="130">
        <f t="shared" si="1696"/>
        <v>5246277.2118644062</v>
      </c>
      <c r="BH464" s="130">
        <f t="shared" ref="BH464:CM464" si="1697">BH419-BH447</f>
        <v>5788866.8813559338</v>
      </c>
      <c r="BI464" s="130">
        <f t="shared" si="1697"/>
        <v>5918657.9830508456</v>
      </c>
      <c r="BJ464" s="130">
        <f t="shared" si="1697"/>
        <v>6228429.4317796668</v>
      </c>
      <c r="BK464" s="130">
        <f t="shared" si="1697"/>
        <v>6529433.0508474549</v>
      </c>
      <c r="BL464" s="130">
        <f t="shared" si="1697"/>
        <v>7061511.5338983228</v>
      </c>
      <c r="BM464" s="130">
        <f t="shared" si="1697"/>
        <v>6654681.1864406755</v>
      </c>
      <c r="BN464" s="130">
        <f t="shared" si="1697"/>
        <v>9766620.2220339496</v>
      </c>
      <c r="BO464" s="130">
        <f t="shared" si="1697"/>
        <v>9247154.2630169485</v>
      </c>
      <c r="BP464" s="130">
        <f t="shared" si="1697"/>
        <v>12366152.476016937</v>
      </c>
      <c r="BQ464" s="130">
        <f t="shared" si="1697"/>
        <v>7975094.2067291066</v>
      </c>
      <c r="BR464" s="130">
        <f t="shared" si="1697"/>
        <v>6778621.0431864532</v>
      </c>
      <c r="BS464" s="130">
        <f t="shared" si="1697"/>
        <v>5929002.4660980497</v>
      </c>
      <c r="BT464" s="130">
        <f t="shared" si="1697"/>
        <v>6625074.0357247572</v>
      </c>
      <c r="BU464" s="130">
        <f t="shared" si="1697"/>
        <v>7358951.6864168961</v>
      </c>
      <c r="BV464" s="130">
        <f t="shared" si="1697"/>
        <v>7721803.4915021686</v>
      </c>
      <c r="BW464" s="130">
        <f t="shared" si="1697"/>
        <v>7734957.7289921194</v>
      </c>
      <c r="BX464" s="130">
        <f t="shared" si="1697"/>
        <v>8830884.7500323616</v>
      </c>
      <c r="BY464" s="130">
        <f t="shared" si="1697"/>
        <v>8628772.838986557</v>
      </c>
      <c r="BZ464" s="130">
        <f t="shared" si="1697"/>
        <v>8541592.2542372849</v>
      </c>
      <c r="CA464" s="130">
        <f t="shared" si="1697"/>
        <v>6726596.5310319234</v>
      </c>
      <c r="CB464" s="130">
        <f t="shared" si="1697"/>
        <v>10665138.289480871</v>
      </c>
      <c r="CC464" s="130">
        <f t="shared" si="1697"/>
        <v>8659808.2203389872</v>
      </c>
      <c r="CD464" s="130">
        <f t="shared" si="1697"/>
        <v>10315393.861176064</v>
      </c>
      <c r="CE464" s="130">
        <f t="shared" si="1697"/>
        <v>10878726.559321949</v>
      </c>
      <c r="CF464" s="130">
        <f t="shared" si="1697"/>
        <v>9892725.2288135029</v>
      </c>
      <c r="CG464" s="130">
        <f t="shared" si="1697"/>
        <v>11480402.09322034</v>
      </c>
      <c r="CH464" s="130">
        <f t="shared" si="1697"/>
        <v>10728367.423728812</v>
      </c>
      <c r="CI464" s="130">
        <f t="shared" si="1697"/>
        <v>11458639.73728813</v>
      </c>
      <c r="CJ464" s="130">
        <f t="shared" si="1697"/>
        <v>8870793.8474575356</v>
      </c>
      <c r="CK464" s="130">
        <f t="shared" si="1697"/>
        <v>10753407.838983051</v>
      </c>
      <c r="CL464" s="130">
        <f t="shared" si="1697"/>
        <v>9724848.7796610184</v>
      </c>
      <c r="CM464" s="130">
        <f t="shared" si="1697"/>
        <v>11935964.745762711</v>
      </c>
      <c r="CN464" s="130">
        <f t="shared" ref="CN464:DQ464" si="1698">CN419-CN447</f>
        <v>16798452.915254239</v>
      </c>
      <c r="CO464" s="130">
        <f t="shared" si="1698"/>
        <v>14809092.483050846</v>
      </c>
      <c r="CP464" s="130">
        <f t="shared" si="1698"/>
        <v>18869461.355932225</v>
      </c>
      <c r="CQ464" s="130">
        <f t="shared" si="1698"/>
        <v>16181436.008474588</v>
      </c>
      <c r="CR464" s="130">
        <f t="shared" si="1698"/>
        <v>15580690.135593239</v>
      </c>
      <c r="CS464" s="130">
        <f t="shared" si="1698"/>
        <v>18342360.135593247</v>
      </c>
      <c r="CT464" s="130">
        <f t="shared" si="1698"/>
        <v>15648735.520789972</v>
      </c>
      <c r="CU464" s="130">
        <f t="shared" si="1698"/>
        <v>15864842.495441342</v>
      </c>
      <c r="CV464" s="130">
        <f t="shared" si="1698"/>
        <v>16104676.389660992</v>
      </c>
      <c r="CW464" s="130">
        <f t="shared" si="1698"/>
        <v>16025175.162761047</v>
      </c>
      <c r="CX464" s="130">
        <f t="shared" si="1698"/>
        <v>16586887.224171665</v>
      </c>
      <c r="CY464" s="130">
        <f t="shared" si="1698"/>
        <v>17095038.628714602</v>
      </c>
      <c r="CZ464" s="130">
        <f t="shared" si="1698"/>
        <v>16618571.163875949</v>
      </c>
      <c r="DA464" s="130">
        <f t="shared" si="1698"/>
        <v>17104292.212930087</v>
      </c>
      <c r="DB464" s="130">
        <f t="shared" si="1698"/>
        <v>16704048.23548392</v>
      </c>
      <c r="DC464" s="130">
        <f t="shared" si="1698"/>
        <v>16774274.768951133</v>
      </c>
      <c r="DD464" s="130">
        <f t="shared" si="1698"/>
        <v>17258786.69555635</v>
      </c>
      <c r="DE464" s="130">
        <f t="shared" si="1698"/>
        <v>17027912.691804845</v>
      </c>
      <c r="DF464" s="130">
        <f t="shared" si="1698"/>
        <v>17495702.950693388</v>
      </c>
      <c r="DG464" s="130">
        <f t="shared" si="1698"/>
        <v>17794468.692360535</v>
      </c>
      <c r="DH464" s="130">
        <f t="shared" si="1698"/>
        <v>17975792.720527552</v>
      </c>
      <c r="DI464" s="130">
        <f t="shared" si="1698"/>
        <v>17846524.017973062</v>
      </c>
      <c r="DJ464" s="130">
        <f t="shared" si="1698"/>
        <v>18487315.56628269</v>
      </c>
      <c r="DK464" s="130">
        <f t="shared" si="1698"/>
        <v>19045506.886921525</v>
      </c>
      <c r="DL464" s="130">
        <f t="shared" si="1698"/>
        <v>18367685.855786834</v>
      </c>
      <c r="DM464" s="130">
        <f t="shared" si="1698"/>
        <v>18847115.516229007</v>
      </c>
      <c r="DN464" s="130">
        <f t="shared" si="1698"/>
        <v>18269608.100689426</v>
      </c>
      <c r="DO464" s="130">
        <f t="shared" si="1698"/>
        <v>18262480.745073393</v>
      </c>
      <c r="DP464" s="130">
        <f t="shared" si="1698"/>
        <v>18737567.938065924</v>
      </c>
      <c r="DQ464" s="130">
        <f t="shared" si="1698"/>
        <v>18220170.408616621</v>
      </c>
      <c r="DR464" s="130">
        <f t="shared" ref="DR464:EC464" si="1699">DR419-DR447</f>
        <v>18871225.209051337</v>
      </c>
      <c r="DS464" s="130">
        <f t="shared" si="1699"/>
        <v>19183010.291353654</v>
      </c>
      <c r="DT464" s="130">
        <f t="shared" si="1699"/>
        <v>19370368.450563632</v>
      </c>
      <c r="DU464" s="130">
        <f t="shared" si="1699"/>
        <v>19203280.717012729</v>
      </c>
      <c r="DV464" s="130">
        <f t="shared" si="1699"/>
        <v>19904834.54137611</v>
      </c>
      <c r="DW464" s="130">
        <f t="shared" si="1699"/>
        <v>20501626.439231336</v>
      </c>
      <c r="DX464" s="130">
        <f t="shared" si="1699"/>
        <v>19720200.042359158</v>
      </c>
      <c r="DY464" s="130">
        <f t="shared" si="1699"/>
        <v>20246677.7396001</v>
      </c>
      <c r="DZ464" s="130">
        <f t="shared" si="1699"/>
        <v>19580165.978658956</v>
      </c>
      <c r="EA464" s="130">
        <f t="shared" si="1699"/>
        <v>19562678.30988114</v>
      </c>
      <c r="EB464" s="130">
        <f t="shared" si="1699"/>
        <v>20084014.836486351</v>
      </c>
      <c r="EC464" s="130">
        <f t="shared" si="1699"/>
        <v>19486687.34272879</v>
      </c>
      <c r="ED464" s="113" t="s">
        <v>1</v>
      </c>
    </row>
    <row r="465" spans="1:134" x14ac:dyDescent="0.2">
      <c r="A465" s="120" t="s">
        <v>158</v>
      </c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30">
        <f t="shared" ref="AB465:BG465" si="1700">AB420-AB448</f>
        <v>0</v>
      </c>
      <c r="AC465" s="130">
        <f t="shared" si="1700"/>
        <v>0</v>
      </c>
      <c r="AD465" s="130">
        <f t="shared" si="1700"/>
        <v>0</v>
      </c>
      <c r="AE465" s="130">
        <f t="shared" si="1700"/>
        <v>0</v>
      </c>
      <c r="AF465" s="130">
        <f t="shared" si="1700"/>
        <v>0</v>
      </c>
      <c r="AG465" s="130">
        <f t="shared" si="1700"/>
        <v>0</v>
      </c>
      <c r="AH465" s="130">
        <f t="shared" si="1700"/>
        <v>0</v>
      </c>
      <c r="AI465" s="130">
        <f t="shared" si="1700"/>
        <v>0</v>
      </c>
      <c r="AJ465" s="130">
        <f t="shared" si="1700"/>
        <v>0</v>
      </c>
      <c r="AK465" s="130">
        <f t="shared" si="1700"/>
        <v>0</v>
      </c>
      <c r="AL465" s="130">
        <f t="shared" si="1700"/>
        <v>0</v>
      </c>
      <c r="AM465" s="130">
        <f t="shared" si="1700"/>
        <v>0</v>
      </c>
      <c r="AN465" s="130">
        <f t="shared" si="1700"/>
        <v>0</v>
      </c>
      <c r="AO465" s="130">
        <f t="shared" si="1700"/>
        <v>0</v>
      </c>
      <c r="AP465" s="130">
        <f t="shared" si="1700"/>
        <v>0</v>
      </c>
      <c r="AQ465" s="130">
        <f t="shared" si="1700"/>
        <v>0</v>
      </c>
      <c r="AR465" s="130">
        <f t="shared" si="1700"/>
        <v>0</v>
      </c>
      <c r="AS465" s="130">
        <f t="shared" si="1700"/>
        <v>0</v>
      </c>
      <c r="AT465" s="130">
        <f t="shared" si="1700"/>
        <v>0</v>
      </c>
      <c r="AU465" s="130">
        <f t="shared" si="1700"/>
        <v>0</v>
      </c>
      <c r="AV465" s="130">
        <f t="shared" si="1700"/>
        <v>0</v>
      </c>
      <c r="AW465" s="130">
        <f t="shared" si="1700"/>
        <v>0</v>
      </c>
      <c r="AX465" s="130">
        <f t="shared" si="1700"/>
        <v>0</v>
      </c>
      <c r="AY465" s="130">
        <f t="shared" si="1700"/>
        <v>0</v>
      </c>
      <c r="AZ465" s="130">
        <f t="shared" si="1700"/>
        <v>0</v>
      </c>
      <c r="BA465" s="130">
        <f t="shared" si="1700"/>
        <v>0</v>
      </c>
      <c r="BB465" s="130">
        <f t="shared" si="1700"/>
        <v>0</v>
      </c>
      <c r="BC465" s="130">
        <f t="shared" si="1700"/>
        <v>0</v>
      </c>
      <c r="BD465" s="130">
        <f t="shared" si="1700"/>
        <v>0</v>
      </c>
      <c r="BE465" s="130">
        <f t="shared" si="1700"/>
        <v>0</v>
      </c>
      <c r="BF465" s="130">
        <f t="shared" si="1700"/>
        <v>0</v>
      </c>
      <c r="BG465" s="130">
        <f t="shared" si="1700"/>
        <v>0</v>
      </c>
      <c r="BH465" s="130">
        <f t="shared" ref="BH465:CM465" si="1701">BH420-BH448</f>
        <v>0</v>
      </c>
      <c r="BI465" s="130">
        <f t="shared" si="1701"/>
        <v>0</v>
      </c>
      <c r="BJ465" s="130">
        <f t="shared" si="1701"/>
        <v>0</v>
      </c>
      <c r="BK465" s="130">
        <f t="shared" si="1701"/>
        <v>0</v>
      </c>
      <c r="BL465" s="130">
        <f t="shared" si="1701"/>
        <v>0</v>
      </c>
      <c r="BM465" s="130">
        <f t="shared" si="1701"/>
        <v>0</v>
      </c>
      <c r="BN465" s="130">
        <f t="shared" si="1701"/>
        <v>0</v>
      </c>
      <c r="BO465" s="130">
        <f t="shared" si="1701"/>
        <v>0</v>
      </c>
      <c r="BP465" s="130">
        <f t="shared" si="1701"/>
        <v>0</v>
      </c>
      <c r="BQ465" s="130">
        <f t="shared" si="1701"/>
        <v>0</v>
      </c>
      <c r="BR465" s="130">
        <f t="shared" si="1701"/>
        <v>0</v>
      </c>
      <c r="BS465" s="130">
        <f t="shared" si="1701"/>
        <v>0</v>
      </c>
      <c r="BT465" s="130">
        <f t="shared" si="1701"/>
        <v>0</v>
      </c>
      <c r="BU465" s="130">
        <f t="shared" si="1701"/>
        <v>0</v>
      </c>
      <c r="BV465" s="130">
        <f t="shared" si="1701"/>
        <v>0</v>
      </c>
      <c r="BW465" s="130">
        <f t="shared" si="1701"/>
        <v>0</v>
      </c>
      <c r="BX465" s="130">
        <f t="shared" si="1701"/>
        <v>0</v>
      </c>
      <c r="BY465" s="130">
        <f t="shared" si="1701"/>
        <v>0</v>
      </c>
      <c r="BZ465" s="130">
        <f t="shared" si="1701"/>
        <v>0</v>
      </c>
      <c r="CA465" s="130">
        <f t="shared" si="1701"/>
        <v>0</v>
      </c>
      <c r="CB465" s="130">
        <f t="shared" si="1701"/>
        <v>0</v>
      </c>
      <c r="CC465" s="130">
        <f t="shared" si="1701"/>
        <v>0</v>
      </c>
      <c r="CD465" s="130">
        <f t="shared" si="1701"/>
        <v>0</v>
      </c>
      <c r="CE465" s="130">
        <f t="shared" si="1701"/>
        <v>0</v>
      </c>
      <c r="CF465" s="130">
        <f t="shared" si="1701"/>
        <v>0</v>
      </c>
      <c r="CG465" s="130">
        <f t="shared" si="1701"/>
        <v>0</v>
      </c>
      <c r="CH465" s="130">
        <f t="shared" si="1701"/>
        <v>0</v>
      </c>
      <c r="CI465" s="130">
        <f t="shared" si="1701"/>
        <v>0</v>
      </c>
      <c r="CJ465" s="130">
        <f t="shared" si="1701"/>
        <v>0</v>
      </c>
      <c r="CK465" s="130">
        <f t="shared" si="1701"/>
        <v>0</v>
      </c>
      <c r="CL465" s="130">
        <f t="shared" si="1701"/>
        <v>0</v>
      </c>
      <c r="CM465" s="130">
        <f t="shared" si="1701"/>
        <v>0</v>
      </c>
      <c r="CN465" s="130">
        <f t="shared" ref="CN465:DQ465" si="1702">CN420-CN448</f>
        <v>2226561.0169491526</v>
      </c>
      <c r="CO465" s="130">
        <f t="shared" si="1702"/>
        <v>2073294.9152542374</v>
      </c>
      <c r="CP465" s="130">
        <f t="shared" si="1702"/>
        <v>2678285.5932203392</v>
      </c>
      <c r="CQ465" s="130">
        <f t="shared" si="1702"/>
        <v>3289461.8644067794</v>
      </c>
      <c r="CR465" s="130">
        <f t="shared" si="1702"/>
        <v>2810419.4915254237</v>
      </c>
      <c r="CS465" s="130">
        <f t="shared" si="1702"/>
        <v>2758837.2881355933</v>
      </c>
      <c r="CT465" s="130">
        <f t="shared" si="1702"/>
        <v>2341690.4031457552</v>
      </c>
      <c r="CU465" s="130">
        <f t="shared" si="1702"/>
        <v>2292696.6242629862</v>
      </c>
      <c r="CV465" s="130">
        <f t="shared" si="1702"/>
        <v>2287651.8123149383</v>
      </c>
      <c r="CW465" s="130">
        <f t="shared" si="1702"/>
        <v>2478596.134140701</v>
      </c>
      <c r="CX465" s="130">
        <f t="shared" si="1702"/>
        <v>2212290.5192445414</v>
      </c>
      <c r="CY465" s="130">
        <f t="shared" si="1702"/>
        <v>2052666.3469082438</v>
      </c>
      <c r="CZ465" s="130">
        <f t="shared" si="1702"/>
        <v>2565818.6611935473</v>
      </c>
      <c r="DA465" s="130">
        <f t="shared" si="1702"/>
        <v>2361193.1318973368</v>
      </c>
      <c r="DB465" s="130">
        <f t="shared" si="1702"/>
        <v>2812476.6661611265</v>
      </c>
      <c r="DC465" s="130">
        <f t="shared" si="1702"/>
        <v>2881890.549192206</v>
      </c>
      <c r="DD465" s="130">
        <f t="shared" si="1702"/>
        <v>2678246.4356429055</v>
      </c>
      <c r="DE465" s="130">
        <f t="shared" si="1702"/>
        <v>3118471.4958751253</v>
      </c>
      <c r="DF465" s="130">
        <f t="shared" si="1702"/>
        <v>2856449.0781174451</v>
      </c>
      <c r="DG465" s="130">
        <f t="shared" si="1702"/>
        <v>2803750.0972273108</v>
      </c>
      <c r="DH465" s="130">
        <f t="shared" si="1702"/>
        <v>2783061.0980609669</v>
      </c>
      <c r="DI465" s="130">
        <f t="shared" si="1702"/>
        <v>3013649.7983104</v>
      </c>
      <c r="DJ465" s="130">
        <f t="shared" si="1702"/>
        <v>2684242.9317131578</v>
      </c>
      <c r="DK465" s="130">
        <f t="shared" si="1702"/>
        <v>2484665.2824207833</v>
      </c>
      <c r="DL465" s="130">
        <f t="shared" si="1702"/>
        <v>3096043.8064057324</v>
      </c>
      <c r="DM465" s="130">
        <f t="shared" si="1702"/>
        <v>2834179.4993467205</v>
      </c>
      <c r="DN465" s="130">
        <f t="shared" si="1702"/>
        <v>3364401.6662969724</v>
      </c>
      <c r="DO465" s="130">
        <f t="shared" si="1702"/>
        <v>3433171.342336447</v>
      </c>
      <c r="DP465" s="130">
        <f t="shared" si="1702"/>
        <v>3174820.2058142992</v>
      </c>
      <c r="DQ465" s="130">
        <f t="shared" si="1702"/>
        <v>3656411.8917683498</v>
      </c>
      <c r="DR465" s="130">
        <f t="shared" ref="DR465:EC465" si="1703">DR420-DR448</f>
        <v>3255698.3262638692</v>
      </c>
      <c r="DS465" s="130">
        <f t="shared" si="1703"/>
        <v>3192466.3559019063</v>
      </c>
      <c r="DT465" s="130">
        <f t="shared" si="1703"/>
        <v>3166895.5857973807</v>
      </c>
      <c r="DU465" s="130">
        <f t="shared" si="1703"/>
        <v>3428080.8781848028</v>
      </c>
      <c r="DV465" s="130">
        <f t="shared" si="1703"/>
        <v>3049515.7299285401</v>
      </c>
      <c r="DW465" s="130">
        <f t="shared" si="1703"/>
        <v>2818709.1970221698</v>
      </c>
      <c r="DX465" s="130">
        <f t="shared" si="1703"/>
        <v>3513907.1906037438</v>
      </c>
      <c r="DY465" s="130">
        <f t="shared" si="1703"/>
        <v>3213979.7826429214</v>
      </c>
      <c r="DZ465" s="130">
        <f t="shared" si="1703"/>
        <v>3816208.8091824399</v>
      </c>
      <c r="EA465" s="130">
        <f t="shared" si="1703"/>
        <v>3893360.2514354116</v>
      </c>
      <c r="EB465" s="130">
        <f t="shared" si="1703"/>
        <v>3597592.1859249091</v>
      </c>
      <c r="EC465" s="130">
        <f t="shared" si="1703"/>
        <v>4143849.3181664711</v>
      </c>
      <c r="ED465" s="113" t="s">
        <v>1</v>
      </c>
    </row>
    <row r="466" spans="1:134" x14ac:dyDescent="0.2">
      <c r="A466" s="117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30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115"/>
      <c r="AU466" s="115"/>
      <c r="AV466" s="115"/>
      <c r="AW466" s="115"/>
      <c r="AX466" s="115"/>
      <c r="AY466" s="115"/>
      <c r="AZ466" s="115"/>
      <c r="BA466" s="115"/>
      <c r="BB466" s="115"/>
      <c r="BC466" s="115"/>
      <c r="BD466" s="115"/>
      <c r="BE466" s="115"/>
      <c r="BF466" s="115"/>
      <c r="BG466" s="115"/>
      <c r="BH466" s="115"/>
      <c r="BI466" s="115"/>
      <c r="BJ466" s="115"/>
      <c r="BK466" s="115"/>
      <c r="BL466" s="115"/>
      <c r="BM466" s="115"/>
      <c r="BN466" s="115"/>
      <c r="BO466" s="115"/>
      <c r="BP466" s="115"/>
      <c r="BQ466" s="115"/>
      <c r="BR466" s="115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115"/>
      <c r="CC466" s="115"/>
      <c r="CD466" s="115"/>
      <c r="CE466" s="115"/>
      <c r="CF466" s="115"/>
      <c r="CG466" s="115"/>
      <c r="CH466" s="115"/>
      <c r="CI466" s="115"/>
      <c r="CJ466" s="115"/>
      <c r="CK466" s="115"/>
      <c r="CL466" s="115"/>
      <c r="CM466" s="115"/>
      <c r="CN466" s="115"/>
      <c r="CO466" s="115"/>
      <c r="CP466" s="115"/>
      <c r="CQ466" s="115"/>
      <c r="CR466" s="115"/>
      <c r="CS466" s="115"/>
      <c r="CT466" s="115"/>
      <c r="CU466" s="115"/>
      <c r="CV466" s="115"/>
      <c r="CW466" s="115"/>
      <c r="CX466" s="115"/>
      <c r="CY466" s="115"/>
      <c r="CZ466" s="115"/>
      <c r="DA466" s="115"/>
      <c r="DB466" s="115"/>
      <c r="DC466" s="115"/>
      <c r="DD466" s="115"/>
      <c r="DE466" s="115"/>
      <c r="DF466" s="115"/>
      <c r="DG466" s="115"/>
      <c r="DH466" s="115"/>
      <c r="DI466" s="115"/>
      <c r="DJ466" s="115"/>
      <c r="DK466" s="115"/>
      <c r="DL466" s="115"/>
      <c r="DM466" s="115"/>
      <c r="DN466" s="115"/>
      <c r="DO466" s="115"/>
      <c r="DP466" s="115"/>
      <c r="DQ466" s="115"/>
      <c r="DR466" s="115"/>
      <c r="DS466" s="115"/>
      <c r="DT466" s="115"/>
      <c r="DU466" s="115"/>
      <c r="DV466" s="115"/>
      <c r="DW466" s="115"/>
      <c r="DX466" s="115"/>
      <c r="DY466" s="115"/>
      <c r="DZ466" s="115"/>
      <c r="EA466" s="115"/>
      <c r="EB466" s="115"/>
      <c r="EC466" s="115"/>
      <c r="ED466" s="113" t="s">
        <v>1</v>
      </c>
    </row>
    <row r="467" spans="1:134" x14ac:dyDescent="0.2">
      <c r="A467" s="116" t="s">
        <v>192</v>
      </c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115"/>
      <c r="AU467" s="115"/>
      <c r="AV467" s="115"/>
      <c r="AW467" s="115"/>
      <c r="AX467" s="115"/>
      <c r="AY467" s="115"/>
      <c r="AZ467" s="115"/>
      <c r="BA467" s="115"/>
      <c r="BB467" s="115"/>
      <c r="BC467" s="115"/>
      <c r="BD467" s="115"/>
      <c r="BE467" s="115"/>
      <c r="BF467" s="115"/>
      <c r="BG467" s="115"/>
      <c r="BH467" s="115"/>
      <c r="BI467" s="115"/>
      <c r="BJ467" s="115"/>
      <c r="BK467" s="115"/>
      <c r="BL467" s="115"/>
      <c r="BM467" s="115"/>
      <c r="BN467" s="115"/>
      <c r="BO467" s="115"/>
      <c r="BP467" s="115"/>
      <c r="BQ467" s="115"/>
      <c r="BR467" s="115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115"/>
      <c r="CC467" s="115"/>
      <c r="CD467" s="115"/>
      <c r="CE467" s="115"/>
      <c r="CF467" s="115"/>
      <c r="CG467" s="115"/>
      <c r="CH467" s="115"/>
      <c r="CI467" s="115"/>
      <c r="CJ467" s="115"/>
      <c r="CK467" s="115"/>
      <c r="CL467" s="115"/>
      <c r="CM467" s="115"/>
      <c r="CN467" s="115"/>
      <c r="CO467" s="115"/>
      <c r="CP467" s="115"/>
      <c r="CQ467" s="115"/>
      <c r="CR467" s="115"/>
      <c r="CS467" s="115"/>
      <c r="CT467" s="115"/>
      <c r="CU467" s="115"/>
      <c r="CV467" s="115"/>
      <c r="CW467" s="115"/>
      <c r="CX467" s="115"/>
      <c r="CY467" s="115"/>
      <c r="CZ467" s="115"/>
      <c r="DA467" s="115"/>
      <c r="DB467" s="115"/>
      <c r="DC467" s="115"/>
      <c r="DD467" s="115"/>
      <c r="DE467" s="115"/>
      <c r="DF467" s="115"/>
      <c r="DG467" s="115"/>
      <c r="DH467" s="115"/>
      <c r="DI467" s="115"/>
      <c r="DJ467" s="115"/>
      <c r="DK467" s="115"/>
      <c r="DL467" s="115"/>
      <c r="DM467" s="115"/>
      <c r="DN467" s="115"/>
      <c r="DO467" s="115"/>
      <c r="DP467" s="115"/>
      <c r="DQ467" s="115"/>
      <c r="DR467" s="115"/>
      <c r="DS467" s="115"/>
      <c r="DT467" s="115"/>
      <c r="DU467" s="115"/>
      <c r="DV467" s="115"/>
      <c r="DW467" s="115"/>
      <c r="DX467" s="115"/>
      <c r="DY467" s="115"/>
      <c r="DZ467" s="115"/>
      <c r="EA467" s="115"/>
      <c r="EB467" s="115"/>
      <c r="EC467" s="115"/>
      <c r="ED467" s="113" t="s">
        <v>1</v>
      </c>
    </row>
    <row r="468" spans="1:134" x14ac:dyDescent="0.2">
      <c r="A468" s="114" t="s">
        <v>139</v>
      </c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29">
        <f t="shared" ref="AB468:BG468" si="1704">AB423-AB452</f>
        <v>4645575.5167033896</v>
      </c>
      <c r="AC468" s="129">
        <f t="shared" si="1704"/>
        <v>3813912.2577813561</v>
      </c>
      <c r="AD468" s="129">
        <f t="shared" si="1704"/>
        <v>5453552.0629043384</v>
      </c>
      <c r="AE468" s="129">
        <f t="shared" si="1704"/>
        <v>8117770.9007932208</v>
      </c>
      <c r="AF468" s="129">
        <f t="shared" si="1704"/>
        <v>8408772.4900000002</v>
      </c>
      <c r="AG468" s="129">
        <f t="shared" si="1704"/>
        <v>13027006.413700001</v>
      </c>
      <c r="AH468" s="129">
        <f t="shared" si="1704"/>
        <v>34426243.030000001</v>
      </c>
      <c r="AI468" s="129">
        <f t="shared" si="1704"/>
        <v>35584485.99473305</v>
      </c>
      <c r="AJ468" s="129">
        <f t="shared" si="1704"/>
        <v>33631066.445932187</v>
      </c>
      <c r="AK468" s="129">
        <f t="shared" si="1704"/>
        <v>36196305.362728909</v>
      </c>
      <c r="AL468" s="129">
        <f t="shared" si="1704"/>
        <v>19270442.255589798</v>
      </c>
      <c r="AM468" s="129">
        <f t="shared" si="1704"/>
        <v>602515.07457627147</v>
      </c>
      <c r="AN468" s="129">
        <f t="shared" si="1704"/>
        <v>13279242.294624839</v>
      </c>
      <c r="AO468" s="129">
        <f t="shared" si="1704"/>
        <v>20568314.049980368</v>
      </c>
      <c r="AP468" s="129">
        <f t="shared" si="1704"/>
        <v>26836219.309129801</v>
      </c>
      <c r="AQ468" s="129">
        <f t="shared" si="1704"/>
        <v>35137597.484152719</v>
      </c>
      <c r="AR468" s="129">
        <f t="shared" si="1704"/>
        <v>44499954.248734243</v>
      </c>
      <c r="AS468" s="129">
        <f t="shared" si="1704"/>
        <v>66318586.311806634</v>
      </c>
      <c r="AT468" s="129">
        <f t="shared" si="1704"/>
        <v>78302670.213111788</v>
      </c>
      <c r="AU468" s="129">
        <f t="shared" si="1704"/>
        <v>78448729.725436956</v>
      </c>
      <c r="AV468" s="129">
        <f t="shared" si="1704"/>
        <v>86095840.020647153</v>
      </c>
      <c r="AW468" s="129">
        <f t="shared" si="1704"/>
        <v>99109312.01125668</v>
      </c>
      <c r="AX468" s="129">
        <f t="shared" si="1704"/>
        <v>87470466.538941562</v>
      </c>
      <c r="AY468" s="129">
        <f t="shared" si="1704"/>
        <v>109684639.53325449</v>
      </c>
      <c r="AZ468" s="129">
        <f t="shared" si="1704"/>
        <v>134971190.72696668</v>
      </c>
      <c r="BA468" s="129">
        <f t="shared" si="1704"/>
        <v>133605328.81957035</v>
      </c>
      <c r="BB468" s="129">
        <f t="shared" si="1704"/>
        <v>141229279.94456124</v>
      </c>
      <c r="BC468" s="129">
        <f t="shared" si="1704"/>
        <v>135095977.32377431</v>
      </c>
      <c r="BD468" s="129">
        <f t="shared" si="1704"/>
        <v>154355633.90670583</v>
      </c>
      <c r="BE468" s="129">
        <f t="shared" si="1704"/>
        <v>159409438.15376744</v>
      </c>
      <c r="BF468" s="129">
        <f t="shared" si="1704"/>
        <v>196593718.70424896</v>
      </c>
      <c r="BG468" s="129">
        <f t="shared" si="1704"/>
        <v>217925930.68910053</v>
      </c>
      <c r="BH468" s="129">
        <f t="shared" ref="BH468:CM468" si="1705">BH423-BH452</f>
        <v>216733169.49692649</v>
      </c>
      <c r="BI468" s="129">
        <f t="shared" si="1705"/>
        <v>277529202.54494995</v>
      </c>
      <c r="BJ468" s="129">
        <f t="shared" si="1705"/>
        <v>296389893.18413574</v>
      </c>
      <c r="BK468" s="129">
        <f t="shared" si="1705"/>
        <v>312269020.07389009</v>
      </c>
      <c r="BL468" s="129">
        <f t="shared" si="1705"/>
        <v>305931594.39378053</v>
      </c>
      <c r="BM468" s="129">
        <f t="shared" si="1705"/>
        <v>267082265.72996682</v>
      </c>
      <c r="BN468" s="129">
        <f t="shared" si="1705"/>
        <v>265064369.38118964</v>
      </c>
      <c r="BO468" s="129">
        <f t="shared" si="1705"/>
        <v>252387236.71943685</v>
      </c>
      <c r="BP468" s="129">
        <f t="shared" si="1705"/>
        <v>359530057.48263007</v>
      </c>
      <c r="BQ468" s="129">
        <f t="shared" si="1705"/>
        <v>316785436.32165968</v>
      </c>
      <c r="BR468" s="129">
        <f t="shared" si="1705"/>
        <v>273153349.53207988</v>
      </c>
      <c r="BS468" s="129">
        <f t="shared" si="1705"/>
        <v>243765976.27422071</v>
      </c>
      <c r="BT468" s="129">
        <f t="shared" si="1705"/>
        <v>220592663.11264694</v>
      </c>
      <c r="BU468" s="129">
        <f t="shared" si="1705"/>
        <v>270216474.8135066</v>
      </c>
      <c r="BV468" s="129">
        <f t="shared" si="1705"/>
        <v>284013612.78051263</v>
      </c>
      <c r="BW468" s="129">
        <f t="shared" si="1705"/>
        <v>283064337.05124187</v>
      </c>
      <c r="BX468" s="129">
        <f t="shared" si="1705"/>
        <v>303654786.51205188</v>
      </c>
      <c r="BY468" s="129">
        <f t="shared" si="1705"/>
        <v>285802629.07994747</v>
      </c>
      <c r="BZ468" s="129">
        <f t="shared" si="1705"/>
        <v>237234820.30259436</v>
      </c>
      <c r="CA468" s="129">
        <f t="shared" si="1705"/>
        <v>205495919.07939744</v>
      </c>
      <c r="CB468" s="129">
        <f t="shared" si="1705"/>
        <v>294633036.0245375</v>
      </c>
      <c r="CC468" s="129">
        <f t="shared" si="1705"/>
        <v>292280002.74578381</v>
      </c>
      <c r="CD468" s="129">
        <f t="shared" si="1705"/>
        <v>346593195.5339855</v>
      </c>
      <c r="CE468" s="129">
        <f t="shared" si="1705"/>
        <v>354581316.81724513</v>
      </c>
      <c r="CF468" s="129">
        <f t="shared" si="1705"/>
        <v>344102232.49372286</v>
      </c>
      <c r="CG468" s="129">
        <f t="shared" si="1705"/>
        <v>421557074.25812048</v>
      </c>
      <c r="CH468" s="129">
        <f t="shared" si="1705"/>
        <v>410575552.4828946</v>
      </c>
      <c r="CI468" s="129">
        <f t="shared" si="1705"/>
        <v>388256777.9829824</v>
      </c>
      <c r="CJ468" s="129">
        <f t="shared" si="1705"/>
        <v>403412634.70290709</v>
      </c>
      <c r="CK468" s="129">
        <f t="shared" si="1705"/>
        <v>438402764.07000107</v>
      </c>
      <c r="CL468" s="129">
        <f t="shared" si="1705"/>
        <v>365401015.53000164</v>
      </c>
      <c r="CM468" s="129">
        <f t="shared" si="1705"/>
        <v>345130003.79999745</v>
      </c>
      <c r="CN468" s="129">
        <f t="shared" ref="CN468:DQ468" si="1706">CN423-CN452</f>
        <v>508320880.34999615</v>
      </c>
      <c r="CO468" s="129">
        <f t="shared" si="1706"/>
        <v>452081358.64999998</v>
      </c>
      <c r="CP468" s="129">
        <f t="shared" si="1706"/>
        <v>572715965.02999568</v>
      </c>
      <c r="CQ468" s="129">
        <f t="shared" si="1706"/>
        <v>610272273.05999851</v>
      </c>
      <c r="CR468" s="129">
        <f t="shared" si="1706"/>
        <v>591056517.3899951</v>
      </c>
      <c r="CS468" s="129">
        <f t="shared" si="1706"/>
        <v>694975681.94999897</v>
      </c>
      <c r="CT468" s="130">
        <f t="shared" si="1706"/>
        <v>595720128.76398969</v>
      </c>
      <c r="CU468" s="130">
        <f t="shared" si="1706"/>
        <v>581866764.14603066</v>
      </c>
      <c r="CV468" s="130">
        <f t="shared" si="1706"/>
        <v>579884068.63085234</v>
      </c>
      <c r="CW468" s="130">
        <f t="shared" si="1706"/>
        <v>631925135.53706527</v>
      </c>
      <c r="CX468" s="130">
        <f t="shared" si="1706"/>
        <v>558192134.2597878</v>
      </c>
      <c r="CY468" s="130">
        <f t="shared" si="1706"/>
        <v>513558082.24261433</v>
      </c>
      <c r="CZ468" s="130">
        <f t="shared" si="1706"/>
        <v>654087440.22460556</v>
      </c>
      <c r="DA468" s="130">
        <f t="shared" si="1706"/>
        <v>597293700.21916842</v>
      </c>
      <c r="DB468" s="130">
        <f t="shared" si="1706"/>
        <v>720831975.59871793</v>
      </c>
      <c r="DC468" s="130">
        <f t="shared" si="1706"/>
        <v>739497021.13270652</v>
      </c>
      <c r="DD468" s="130">
        <f t="shared" si="1706"/>
        <v>682972808.27839923</v>
      </c>
      <c r="DE468" s="130">
        <f t="shared" si="1706"/>
        <v>803075928.32181823</v>
      </c>
      <c r="DF468" s="130">
        <f t="shared" si="1706"/>
        <v>733128239.36404657</v>
      </c>
      <c r="DG468" s="130">
        <f t="shared" si="1706"/>
        <v>718008785.13171101</v>
      </c>
      <c r="DH468" s="130">
        <f t="shared" si="1706"/>
        <v>711908862.74702895</v>
      </c>
      <c r="DI468" s="130">
        <f t="shared" si="1706"/>
        <v>775044416.91582966</v>
      </c>
      <c r="DJ468" s="130">
        <f t="shared" si="1706"/>
        <v>683682612.57609928</v>
      </c>
      <c r="DK468" s="130">
        <f t="shared" si="1706"/>
        <v>627893431.18731117</v>
      </c>
      <c r="DL468" s="130">
        <f t="shared" si="1706"/>
        <v>796149120.75941133</v>
      </c>
      <c r="DM468" s="130">
        <f t="shared" si="1706"/>
        <v>723597271.22916591</v>
      </c>
      <c r="DN468" s="130">
        <f t="shared" si="1706"/>
        <v>869491648.72420561</v>
      </c>
      <c r="DO468" s="130">
        <f t="shared" si="1706"/>
        <v>888240309.7896502</v>
      </c>
      <c r="DP468" s="130">
        <f t="shared" si="1706"/>
        <v>816656457.16839802</v>
      </c>
      <c r="DQ468" s="130">
        <f t="shared" si="1706"/>
        <v>949151497.85549474</v>
      </c>
      <c r="DR468" s="130">
        <f t="shared" ref="DR468:EC468" si="1707">DR423-DR452</f>
        <v>838341997.12929857</v>
      </c>
      <c r="DS468" s="130">
        <f t="shared" si="1707"/>
        <v>820320349.23906815</v>
      </c>
      <c r="DT468" s="130">
        <f t="shared" si="1707"/>
        <v>812875334.40043628</v>
      </c>
      <c r="DU468" s="130">
        <f t="shared" si="1707"/>
        <v>884441281.08919215</v>
      </c>
      <c r="DV468" s="130">
        <f t="shared" si="1707"/>
        <v>779534713.067186</v>
      </c>
      <c r="DW468" s="130">
        <f t="shared" si="1707"/>
        <v>715140921.54277766</v>
      </c>
      <c r="DX468" s="130">
        <f t="shared" si="1707"/>
        <v>906491700.47408164</v>
      </c>
      <c r="DY468" s="130">
        <f t="shared" si="1707"/>
        <v>823452183.5695833</v>
      </c>
      <c r="DZ468" s="130">
        <f t="shared" si="1707"/>
        <v>989186878.17343867</v>
      </c>
      <c r="EA468" s="130">
        <f t="shared" si="1707"/>
        <v>1010244998.373142</v>
      </c>
      <c r="EB468" s="130">
        <f t="shared" si="1707"/>
        <v>928351520.52171743</v>
      </c>
      <c r="EC468" s="130">
        <f t="shared" si="1707"/>
        <v>1078664071.4799957</v>
      </c>
      <c r="ED468" s="113" t="s">
        <v>1</v>
      </c>
    </row>
    <row r="469" spans="1:134" x14ac:dyDescent="0.2">
      <c r="A469" s="114" t="s">
        <v>191</v>
      </c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29">
        <f t="shared" ref="AB469:BG469" si="1708">AB424-AB453</f>
        <v>3097934.7542372877</v>
      </c>
      <c r="AC469" s="129">
        <f t="shared" si="1708"/>
        <v>3366429.661016949</v>
      </c>
      <c r="AD469" s="129">
        <f t="shared" si="1708"/>
        <v>3493661.3559322031</v>
      </c>
      <c r="AE469" s="129">
        <f t="shared" si="1708"/>
        <v>2951397.5423728814</v>
      </c>
      <c r="AF469" s="129">
        <f t="shared" si="1708"/>
        <v>2784974.5762711866</v>
      </c>
      <c r="AG469" s="129">
        <f t="shared" si="1708"/>
        <v>2681985.5932203392</v>
      </c>
      <c r="AH469" s="129">
        <f t="shared" si="1708"/>
        <v>2695875.4237288134</v>
      </c>
      <c r="AI469" s="129">
        <f t="shared" si="1708"/>
        <v>2684550.8474576273</v>
      </c>
      <c r="AJ469" s="129">
        <f t="shared" si="1708"/>
        <v>2440178</v>
      </c>
      <c r="AK469" s="129">
        <f t="shared" si="1708"/>
        <v>3208357.6271186443</v>
      </c>
      <c r="AL469" s="129">
        <f t="shared" si="1708"/>
        <v>2033566.9491525423</v>
      </c>
      <c r="AM469" s="129">
        <f t="shared" si="1708"/>
        <v>0</v>
      </c>
      <c r="AN469" s="129">
        <f t="shared" si="1708"/>
        <v>3658239.8305084747</v>
      </c>
      <c r="AO469" s="129">
        <f t="shared" si="1708"/>
        <v>5088394.0677966103</v>
      </c>
      <c r="AP469" s="129">
        <f t="shared" si="1708"/>
        <v>4687964.4067796608</v>
      </c>
      <c r="AQ469" s="129">
        <f t="shared" si="1708"/>
        <v>5734149.1525423732</v>
      </c>
      <c r="AR469" s="129">
        <f t="shared" si="1708"/>
        <v>5403857.6271186443</v>
      </c>
      <c r="AS469" s="129">
        <f t="shared" si="1708"/>
        <v>5734062.7118644062</v>
      </c>
      <c r="AT469" s="129">
        <f t="shared" si="1708"/>
        <v>8148142.3728813557</v>
      </c>
      <c r="AU469" s="129">
        <f t="shared" si="1708"/>
        <v>7926952.5423728814</v>
      </c>
      <c r="AV469" s="129">
        <f t="shared" si="1708"/>
        <v>8043727.9661016949</v>
      </c>
      <c r="AW469" s="129">
        <f t="shared" si="1708"/>
        <v>7468333.0508474577</v>
      </c>
      <c r="AX469" s="129">
        <f t="shared" si="1708"/>
        <v>8958769.4915254228</v>
      </c>
      <c r="AY469" s="129">
        <f t="shared" si="1708"/>
        <v>10474465.254237289</v>
      </c>
      <c r="AZ469" s="129">
        <f t="shared" si="1708"/>
        <v>10838297.457627118</v>
      </c>
      <c r="BA469" s="129">
        <f t="shared" si="1708"/>
        <v>12806070.338983051</v>
      </c>
      <c r="BB469" s="129">
        <f t="shared" si="1708"/>
        <v>13044972.881355932</v>
      </c>
      <c r="BC469" s="129">
        <f t="shared" si="1708"/>
        <v>12621150.847457627</v>
      </c>
      <c r="BD469" s="129">
        <f t="shared" si="1708"/>
        <v>12042151.694915254</v>
      </c>
      <c r="BE469" s="129">
        <f t="shared" si="1708"/>
        <v>12710039.830508474</v>
      </c>
      <c r="BF469" s="129">
        <f t="shared" si="1708"/>
        <v>12808982.203389831</v>
      </c>
      <c r="BG469" s="129">
        <f t="shared" si="1708"/>
        <v>13606122.033898305</v>
      </c>
      <c r="BH469" s="129">
        <f t="shared" ref="BH469:CM469" si="1709">BH424-BH453</f>
        <v>12814252.542372882</v>
      </c>
      <c r="BI469" s="129">
        <f t="shared" si="1709"/>
        <v>13488505.084745763</v>
      </c>
      <c r="BJ469" s="129">
        <f t="shared" si="1709"/>
        <v>13944989.830508474</v>
      </c>
      <c r="BK469" s="129">
        <f t="shared" si="1709"/>
        <v>14628605.93220339</v>
      </c>
      <c r="BL469" s="129">
        <f t="shared" si="1709"/>
        <v>15370582.203389831</v>
      </c>
      <c r="BM469" s="129">
        <f t="shared" si="1709"/>
        <v>16539227.118644068</v>
      </c>
      <c r="BN469" s="129">
        <f t="shared" si="1709"/>
        <v>16716184.745762711</v>
      </c>
      <c r="BO469" s="129">
        <f t="shared" si="1709"/>
        <v>14490888.983050847</v>
      </c>
      <c r="BP469" s="129">
        <f t="shared" si="1709"/>
        <v>14840163.559322033</v>
      </c>
      <c r="BQ469" s="129">
        <f t="shared" si="1709"/>
        <v>12339539.830508474</v>
      </c>
      <c r="BR469" s="129">
        <f t="shared" si="1709"/>
        <v>12394174.576271186</v>
      </c>
      <c r="BS469" s="129">
        <f t="shared" si="1709"/>
        <v>12190198.305084746</v>
      </c>
      <c r="BT469" s="129">
        <f t="shared" si="1709"/>
        <v>12288484.745762711</v>
      </c>
      <c r="BU469" s="129">
        <f t="shared" si="1709"/>
        <v>14314424.576271186</v>
      </c>
      <c r="BV469" s="129">
        <f t="shared" si="1709"/>
        <v>15220091.525423728</v>
      </c>
      <c r="BW469" s="129">
        <f t="shared" si="1709"/>
        <v>16324402.542372882</v>
      </c>
      <c r="BX469" s="129">
        <f t="shared" si="1709"/>
        <v>17625135.593220338</v>
      </c>
      <c r="BY469" s="129">
        <f t="shared" si="1709"/>
        <v>18791963.389830507</v>
      </c>
      <c r="BZ469" s="129">
        <f t="shared" si="1709"/>
        <v>18320759.322033897</v>
      </c>
      <c r="CA469" s="129">
        <f t="shared" si="1709"/>
        <v>17642321.186440676</v>
      </c>
      <c r="CB469" s="129">
        <f t="shared" si="1709"/>
        <v>17972599.728813559</v>
      </c>
      <c r="CC469" s="129">
        <f t="shared" si="1709"/>
        <v>16318505.864406781</v>
      </c>
      <c r="CD469" s="129">
        <f t="shared" si="1709"/>
        <v>18983577.016949151</v>
      </c>
      <c r="CE469" s="129">
        <f t="shared" si="1709"/>
        <v>18050991.93220339</v>
      </c>
      <c r="CF469" s="129">
        <f t="shared" si="1709"/>
        <v>15779612.203389829</v>
      </c>
      <c r="CG469" s="129">
        <f t="shared" si="1709"/>
        <v>20938880.271186441</v>
      </c>
      <c r="CH469" s="129">
        <f t="shared" si="1709"/>
        <v>19321590.677966103</v>
      </c>
      <c r="CI469" s="129">
        <f t="shared" si="1709"/>
        <v>19939703.389830507</v>
      </c>
      <c r="CJ469" s="129">
        <f t="shared" si="1709"/>
        <v>20037507.966101695</v>
      </c>
      <c r="CK469" s="129">
        <f t="shared" si="1709"/>
        <v>22639125.177966103</v>
      </c>
      <c r="CL469" s="129">
        <f t="shared" si="1709"/>
        <v>25438238.364406779</v>
      </c>
      <c r="CM469" s="129">
        <f t="shared" si="1709"/>
        <v>21311952.398305085</v>
      </c>
      <c r="CN469" s="129">
        <f t="shared" ref="CN469:DQ469" si="1710">CN424-CN453</f>
        <v>21753492.135593221</v>
      </c>
      <c r="CO469" s="129">
        <f t="shared" si="1710"/>
        <v>22556101.771186441</v>
      </c>
      <c r="CP469" s="129">
        <f t="shared" si="1710"/>
        <v>27248587.576271188</v>
      </c>
      <c r="CQ469" s="129">
        <f t="shared" si="1710"/>
        <v>27010208.550847456</v>
      </c>
      <c r="CR469" s="129">
        <f t="shared" si="1710"/>
        <v>26401732.915254235</v>
      </c>
      <c r="CS469" s="129">
        <f t="shared" si="1710"/>
        <v>44980505.644067802</v>
      </c>
      <c r="CT469" s="130">
        <f t="shared" si="1710"/>
        <v>26983741.546096377</v>
      </c>
      <c r="CU469" s="130">
        <f t="shared" si="1710"/>
        <v>27408996.721936896</v>
      </c>
      <c r="CV469" s="130">
        <f t="shared" si="1710"/>
        <v>27849031.690279771</v>
      </c>
      <c r="CW469" s="130">
        <f t="shared" si="1710"/>
        <v>27580728.091706112</v>
      </c>
      <c r="CX469" s="130">
        <f t="shared" si="1710"/>
        <v>28775956.677736536</v>
      </c>
      <c r="CY469" s="130">
        <f t="shared" si="1710"/>
        <v>29804632.209247276</v>
      </c>
      <c r="CZ469" s="130">
        <f t="shared" si="1710"/>
        <v>28604962.647132244</v>
      </c>
      <c r="DA469" s="130">
        <f t="shared" si="1710"/>
        <v>29621900.397117294</v>
      </c>
      <c r="DB469" s="130">
        <f t="shared" si="1710"/>
        <v>28601067.106188495</v>
      </c>
      <c r="DC469" s="130">
        <f t="shared" si="1710"/>
        <v>28684056.20325407</v>
      </c>
      <c r="DD469" s="130">
        <f t="shared" si="1710"/>
        <v>29698157.098647844</v>
      </c>
      <c r="DE469" s="130">
        <f t="shared" si="1710"/>
        <v>28992924.18733532</v>
      </c>
      <c r="DF469" s="130">
        <f t="shared" si="1710"/>
        <v>30008681.078757513</v>
      </c>
      <c r="DG469" s="130">
        <f t="shared" si="1710"/>
        <v>30586982.508163221</v>
      </c>
      <c r="DH469" s="130">
        <f t="shared" si="1710"/>
        <v>30930629.604093917</v>
      </c>
      <c r="DI469" s="130">
        <f t="shared" si="1710"/>
        <v>30545561.080732938</v>
      </c>
      <c r="DJ469" s="130">
        <f t="shared" si="1710"/>
        <v>31926326.711159129</v>
      </c>
      <c r="DK469" s="130">
        <f t="shared" si="1710"/>
        <v>33072406.369812246</v>
      </c>
      <c r="DL469" s="130">
        <f t="shared" si="1710"/>
        <v>31441207.686991874</v>
      </c>
      <c r="DM469" s="130">
        <f t="shared" si="1710"/>
        <v>32484273.053057499</v>
      </c>
      <c r="DN469" s="130">
        <f t="shared" si="1710"/>
        <v>31088431.129366554</v>
      </c>
      <c r="DO469" s="130">
        <f t="shared" si="1710"/>
        <v>31030820.327934213</v>
      </c>
      <c r="DP469" s="130">
        <f t="shared" si="1710"/>
        <v>32063697.355562322</v>
      </c>
      <c r="DQ469" s="130">
        <f t="shared" si="1710"/>
        <v>30808885.818403855</v>
      </c>
      <c r="DR469" s="130">
        <f t="shared" ref="DR469:EC469" si="1711">DR424-DR453</f>
        <v>32254619.720481742</v>
      </c>
      <c r="DS469" s="130">
        <f t="shared" si="1711"/>
        <v>32863467.250730474</v>
      </c>
      <c r="DT469" s="130">
        <f t="shared" si="1711"/>
        <v>33221271.682313036</v>
      </c>
      <c r="DU469" s="130">
        <f t="shared" si="1711"/>
        <v>32747471.788679685</v>
      </c>
      <c r="DV469" s="130">
        <f t="shared" si="1711"/>
        <v>34270798.449176416</v>
      </c>
      <c r="DW469" s="130">
        <f t="shared" si="1711"/>
        <v>35507443.149277575</v>
      </c>
      <c r="DX469" s="130">
        <f t="shared" si="1711"/>
        <v>33633164.571831383</v>
      </c>
      <c r="DY469" s="130">
        <f t="shared" si="1711"/>
        <v>34786614.489372581</v>
      </c>
      <c r="DZ469" s="130">
        <f t="shared" si="1711"/>
        <v>33181949.723858271</v>
      </c>
      <c r="EA469" s="130">
        <f t="shared" si="1711"/>
        <v>33100031.457134627</v>
      </c>
      <c r="EB469" s="130">
        <f t="shared" si="1711"/>
        <v>34241419.111225553</v>
      </c>
      <c r="EC469" s="130">
        <f t="shared" si="1711"/>
        <v>32799075.131483696</v>
      </c>
      <c r="ED469" s="113" t="s">
        <v>1</v>
      </c>
    </row>
    <row r="470" spans="1:134" x14ac:dyDescent="0.2">
      <c r="A470" s="114" t="s">
        <v>140</v>
      </c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29">
        <f t="shared" ref="AB470:BG470" si="1712">AB425-AB454</f>
        <v>118661.21402033899</v>
      </c>
      <c r="AC470" s="129">
        <f t="shared" si="1712"/>
        <v>111074.81355932202</v>
      </c>
      <c r="AD470" s="129">
        <f t="shared" si="1712"/>
        <v>178839.07627118644</v>
      </c>
      <c r="AE470" s="129">
        <f t="shared" si="1712"/>
        <v>237620.93220338985</v>
      </c>
      <c r="AF470" s="129">
        <f t="shared" si="1712"/>
        <v>222913.8474576271</v>
      </c>
      <c r="AG470" s="129">
        <f t="shared" si="1712"/>
        <v>244077.11864406778</v>
      </c>
      <c r="AH470" s="129">
        <f t="shared" si="1712"/>
        <v>276830.85593220335</v>
      </c>
      <c r="AI470" s="129">
        <f t="shared" si="1712"/>
        <v>322414.11864406778</v>
      </c>
      <c r="AJ470" s="129">
        <f t="shared" si="1712"/>
        <v>905464.40677966201</v>
      </c>
      <c r="AK470" s="129">
        <f t="shared" si="1712"/>
        <v>505905.05932203389</v>
      </c>
      <c r="AL470" s="129">
        <f t="shared" si="1712"/>
        <v>236199.26271186437</v>
      </c>
      <c r="AM470" s="129">
        <f t="shared" si="1712"/>
        <v>6266.56</v>
      </c>
      <c r="AN470" s="129">
        <f t="shared" si="1712"/>
        <v>293216.90999999997</v>
      </c>
      <c r="AO470" s="129">
        <f t="shared" si="1712"/>
        <v>537014.45999999985</v>
      </c>
      <c r="AP470" s="129">
        <f t="shared" si="1712"/>
        <v>1328269.3999999999</v>
      </c>
      <c r="AQ470" s="129">
        <f t="shared" si="1712"/>
        <v>1744348</v>
      </c>
      <c r="AR470" s="129">
        <f t="shared" si="1712"/>
        <v>1698517.9152542371</v>
      </c>
      <c r="AS470" s="129">
        <f t="shared" si="1712"/>
        <v>1987728.101694921</v>
      </c>
      <c r="AT470" s="129">
        <f t="shared" si="1712"/>
        <v>2749811.3559322148</v>
      </c>
      <c r="AU470" s="129">
        <f t="shared" si="1712"/>
        <v>2657263.3474576282</v>
      </c>
      <c r="AV470" s="129">
        <f t="shared" si="1712"/>
        <v>2596881.4237288143</v>
      </c>
      <c r="AW470" s="129">
        <f t="shared" si="1712"/>
        <v>3782057.881355932</v>
      </c>
      <c r="AX470" s="129">
        <f t="shared" si="1712"/>
        <v>2815426.2542372905</v>
      </c>
      <c r="AY470" s="129">
        <f t="shared" si="1712"/>
        <v>2831252.1525423732</v>
      </c>
      <c r="AZ470" s="129">
        <f t="shared" si="1712"/>
        <v>3524195.0593220321</v>
      </c>
      <c r="BA470" s="129">
        <f t="shared" si="1712"/>
        <v>3913184.9999999953</v>
      </c>
      <c r="BB470" s="129">
        <f t="shared" si="1712"/>
        <v>4668523.7288135579</v>
      </c>
      <c r="BC470" s="129">
        <f t="shared" si="1712"/>
        <v>5131020.5084745754</v>
      </c>
      <c r="BD470" s="129">
        <f t="shared" si="1712"/>
        <v>4857111.2881355919</v>
      </c>
      <c r="BE470" s="129">
        <f t="shared" si="1712"/>
        <v>4051978.1779661025</v>
      </c>
      <c r="BF470" s="129">
        <f t="shared" si="1712"/>
        <v>4294709.3983050846</v>
      </c>
      <c r="BG470" s="129">
        <f t="shared" si="1712"/>
        <v>5153470.0932203382</v>
      </c>
      <c r="BH470" s="129">
        <f t="shared" ref="BH470:CM470" si="1713">BH425-BH454</f>
        <v>5788866.8813559338</v>
      </c>
      <c r="BI470" s="129">
        <f t="shared" si="1713"/>
        <v>5889921.0423728796</v>
      </c>
      <c r="BJ470" s="129">
        <f t="shared" si="1713"/>
        <v>6169946.601694921</v>
      </c>
      <c r="BK470" s="129">
        <f t="shared" si="1713"/>
        <v>6478423.0508474559</v>
      </c>
      <c r="BL470" s="129">
        <f t="shared" si="1713"/>
        <v>7061712.889830526</v>
      </c>
      <c r="BM470" s="129">
        <f t="shared" si="1713"/>
        <v>6654681.1864406755</v>
      </c>
      <c r="BN470" s="129">
        <f t="shared" si="1713"/>
        <v>9688140.9406780191</v>
      </c>
      <c r="BO470" s="129">
        <f t="shared" si="1713"/>
        <v>9153382.8050847463</v>
      </c>
      <c r="BP470" s="129">
        <f t="shared" si="1713"/>
        <v>12293226.094661005</v>
      </c>
      <c r="BQ470" s="129">
        <f t="shared" si="1713"/>
        <v>7975094.2067291066</v>
      </c>
      <c r="BR470" s="129">
        <f t="shared" si="1713"/>
        <v>6778621.0431864532</v>
      </c>
      <c r="BS470" s="129">
        <f t="shared" si="1713"/>
        <v>5929002.4660980497</v>
      </c>
      <c r="BT470" s="129">
        <f t="shared" si="1713"/>
        <v>6625074.0357247572</v>
      </c>
      <c r="BU470" s="129">
        <f t="shared" si="1713"/>
        <v>7358951.6864168961</v>
      </c>
      <c r="BV470" s="129">
        <f t="shared" si="1713"/>
        <v>7721803.4915021686</v>
      </c>
      <c r="BW470" s="129">
        <f t="shared" si="1713"/>
        <v>7734957.7289921194</v>
      </c>
      <c r="BX470" s="129">
        <f t="shared" si="1713"/>
        <v>8830884.7500323616</v>
      </c>
      <c r="BY470" s="129">
        <f t="shared" si="1713"/>
        <v>8628772.838986557</v>
      </c>
      <c r="BZ470" s="129">
        <f t="shared" si="1713"/>
        <v>8541592.2542372849</v>
      </c>
      <c r="CA470" s="129">
        <f t="shared" si="1713"/>
        <v>6726596.5310319234</v>
      </c>
      <c r="CB470" s="129">
        <f t="shared" si="1713"/>
        <v>10665138.289480871</v>
      </c>
      <c r="CC470" s="129">
        <f t="shared" si="1713"/>
        <v>8659808.2203389872</v>
      </c>
      <c r="CD470" s="129">
        <f t="shared" si="1713"/>
        <v>10315393.861176064</v>
      </c>
      <c r="CE470" s="129">
        <f t="shared" si="1713"/>
        <v>10878726.559321949</v>
      </c>
      <c r="CF470" s="129">
        <f t="shared" si="1713"/>
        <v>9693984.5508474</v>
      </c>
      <c r="CG470" s="129">
        <f t="shared" si="1713"/>
        <v>11480402.09322034</v>
      </c>
      <c r="CH470" s="129">
        <f t="shared" si="1713"/>
        <v>10728367.423728812</v>
      </c>
      <c r="CI470" s="129">
        <f t="shared" si="1713"/>
        <v>11215998.516949147</v>
      </c>
      <c r="CJ470" s="129">
        <f t="shared" si="1713"/>
        <v>8807840.4576270264</v>
      </c>
      <c r="CK470" s="129">
        <f t="shared" si="1713"/>
        <v>10411113.025423728</v>
      </c>
      <c r="CL470" s="129">
        <f t="shared" si="1713"/>
        <v>9422744.2033898309</v>
      </c>
      <c r="CM470" s="129">
        <f t="shared" si="1713"/>
        <v>11670447.796610169</v>
      </c>
      <c r="CN470" s="129">
        <f t="shared" ref="CN470:DQ470" si="1714">CN425-CN454</f>
        <v>16476045.288135594</v>
      </c>
      <c r="CO470" s="129">
        <f t="shared" si="1714"/>
        <v>14809092.483050846</v>
      </c>
      <c r="CP470" s="129">
        <f t="shared" si="1714"/>
        <v>18453030.059322055</v>
      </c>
      <c r="CQ470" s="129">
        <f t="shared" si="1714"/>
        <v>16019064.991525434</v>
      </c>
      <c r="CR470" s="129">
        <f t="shared" si="1714"/>
        <v>15406024.372881373</v>
      </c>
      <c r="CS470" s="129">
        <f t="shared" si="1714"/>
        <v>18010748.220339011</v>
      </c>
      <c r="CT470" s="130">
        <f t="shared" si="1714"/>
        <v>15824767.118204009</v>
      </c>
      <c r="CU470" s="130">
        <f t="shared" si="1714"/>
        <v>16037230.616760356</v>
      </c>
      <c r="CV470" s="130">
        <f t="shared" si="1714"/>
        <v>16276705.171581371</v>
      </c>
      <c r="CW470" s="130">
        <f t="shared" si="1714"/>
        <v>16211459.198376186</v>
      </c>
      <c r="CX470" s="130">
        <f t="shared" si="1714"/>
        <v>16753322.574999411</v>
      </c>
      <c r="CY470" s="130">
        <f t="shared" si="1714"/>
        <v>17249589.103529029</v>
      </c>
      <c r="CZ470" s="130">
        <f t="shared" si="1714"/>
        <v>16811412.732362665</v>
      </c>
      <c r="DA470" s="130">
        <f t="shared" si="1714"/>
        <v>17281886.263273239</v>
      </c>
      <c r="DB470" s="130">
        <f t="shared" si="1714"/>
        <v>16915318.136764847</v>
      </c>
      <c r="DC470" s="130">
        <f t="shared" si="1714"/>
        <v>16990734.083700545</v>
      </c>
      <c r="DD470" s="130">
        <f t="shared" si="1714"/>
        <v>17460071.703107912</v>
      </c>
      <c r="DE470" s="130">
        <f t="shared" si="1714"/>
        <v>17262059.944774192</v>
      </c>
      <c r="DF470" s="130">
        <f t="shared" si="1714"/>
        <v>17710967.599987604</v>
      </c>
      <c r="DG470" s="130">
        <f t="shared" si="1714"/>
        <v>18005805.748033326</v>
      </c>
      <c r="DH470" s="130">
        <f t="shared" si="1714"/>
        <v>18185592.366706822</v>
      </c>
      <c r="DI470" s="130">
        <f t="shared" si="1714"/>
        <v>18073592.280109659</v>
      </c>
      <c r="DJ470" s="130">
        <f t="shared" si="1714"/>
        <v>18689746.973477978</v>
      </c>
      <c r="DK470" s="130">
        <f t="shared" si="1714"/>
        <v>19233023.559891835</v>
      </c>
      <c r="DL470" s="130">
        <f t="shared" si="1714"/>
        <v>18600964.570796862</v>
      </c>
      <c r="DM470" s="130">
        <f t="shared" si="1714"/>
        <v>19060806.875455439</v>
      </c>
      <c r="DN470" s="130">
        <f t="shared" si="1714"/>
        <v>18522987.630221467</v>
      </c>
      <c r="DO470" s="130">
        <f t="shared" si="1714"/>
        <v>18521012.601465307</v>
      </c>
      <c r="DP470" s="130">
        <f t="shared" si="1714"/>
        <v>18976775.369983636</v>
      </c>
      <c r="DQ470" s="130">
        <f t="shared" si="1714"/>
        <v>18495426.427759439</v>
      </c>
      <c r="DR470" s="130">
        <f t="shared" ref="DR470:EC470" si="1715">DR425-DR454</f>
        <v>19116502.171538457</v>
      </c>
      <c r="DS470" s="130">
        <f t="shared" si="1715"/>
        <v>19423571.354418475</v>
      </c>
      <c r="DT470" s="130">
        <f t="shared" si="1715"/>
        <v>19609026.74457965</v>
      </c>
      <c r="DU470" s="130">
        <f t="shared" si="1715"/>
        <v>19461497.524942778</v>
      </c>
      <c r="DV470" s="130">
        <f t="shared" si="1715"/>
        <v>20134735.409837458</v>
      </c>
      <c r="DW470" s="130">
        <f t="shared" si="1715"/>
        <v>20714275.353804309</v>
      </c>
      <c r="DX470" s="130">
        <f t="shared" si="1715"/>
        <v>19984884.182315126</v>
      </c>
      <c r="DY470" s="130">
        <f t="shared" si="1715"/>
        <v>20488925.820342112</v>
      </c>
      <c r="DZ470" s="130">
        <f t="shared" si="1715"/>
        <v>19867491.338398762</v>
      </c>
      <c r="EA470" s="130">
        <f t="shared" si="1715"/>
        <v>19855783.301287811</v>
      </c>
      <c r="EB470" s="130">
        <f t="shared" si="1715"/>
        <v>20354995.060529321</v>
      </c>
      <c r="EC470" s="130">
        <f t="shared" si="1715"/>
        <v>19798555.819560114</v>
      </c>
      <c r="ED470" s="113" t="s">
        <v>1</v>
      </c>
    </row>
    <row r="471" spans="1:134" x14ac:dyDescent="0.2">
      <c r="A471" s="114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15"/>
      <c r="AU471" s="115"/>
      <c r="AV471" s="115"/>
      <c r="AW471" s="115"/>
      <c r="AX471" s="115"/>
      <c r="AY471" s="115"/>
      <c r="AZ471" s="115"/>
      <c r="BA471" s="115"/>
      <c r="BB471" s="115"/>
      <c r="BC471" s="115"/>
      <c r="BD471" s="115"/>
      <c r="BE471" s="115"/>
      <c r="BF471" s="115"/>
      <c r="BG471" s="115"/>
      <c r="BH471" s="115"/>
      <c r="BI471" s="115"/>
      <c r="BJ471" s="115"/>
      <c r="BK471" s="115"/>
      <c r="BL471" s="115"/>
      <c r="BM471" s="115"/>
      <c r="BN471" s="115"/>
      <c r="BO471" s="115"/>
      <c r="BP471" s="115"/>
      <c r="BQ471" s="115"/>
      <c r="BR471" s="115"/>
      <c r="BS471" s="115"/>
      <c r="BT471" s="115"/>
      <c r="BU471" s="115"/>
      <c r="BV471" s="115"/>
      <c r="BW471" s="115"/>
      <c r="BX471" s="115"/>
      <c r="BY471" s="115"/>
      <c r="BZ471" s="115"/>
      <c r="CA471" s="115"/>
      <c r="CB471" s="115"/>
      <c r="CC471" s="115"/>
      <c r="CD471" s="115"/>
      <c r="CE471" s="115"/>
      <c r="CF471" s="115"/>
      <c r="CG471" s="115"/>
      <c r="CH471" s="115"/>
      <c r="CI471" s="115"/>
      <c r="CJ471" s="115"/>
      <c r="CK471" s="115"/>
      <c r="CL471" s="115"/>
      <c r="CM471" s="115"/>
      <c r="CN471" s="115"/>
      <c r="CO471" s="115"/>
      <c r="CP471" s="115"/>
      <c r="CQ471" s="115"/>
      <c r="CR471" s="115"/>
      <c r="CS471" s="115"/>
      <c r="CT471" s="115"/>
      <c r="CU471" s="115"/>
      <c r="CV471" s="115"/>
      <c r="CW471" s="115"/>
      <c r="CX471" s="115"/>
      <c r="CY471" s="115"/>
      <c r="CZ471" s="115"/>
      <c r="DA471" s="115"/>
      <c r="DB471" s="115"/>
      <c r="DC471" s="115"/>
      <c r="DD471" s="115"/>
      <c r="DE471" s="115"/>
      <c r="DF471" s="115"/>
      <c r="DG471" s="115"/>
      <c r="DH471" s="115"/>
      <c r="DI471" s="115"/>
      <c r="DJ471" s="115"/>
      <c r="DK471" s="115"/>
      <c r="DL471" s="115"/>
      <c r="DM471" s="115"/>
      <c r="DN471" s="115"/>
      <c r="DO471" s="115"/>
      <c r="DP471" s="115"/>
      <c r="DQ471" s="115"/>
      <c r="DR471" s="115"/>
      <c r="DS471" s="115"/>
      <c r="DT471" s="115"/>
      <c r="DU471" s="115"/>
      <c r="DV471" s="115"/>
      <c r="DW471" s="115"/>
      <c r="DX471" s="115"/>
      <c r="DY471" s="115"/>
      <c r="DZ471" s="115"/>
      <c r="EA471" s="115"/>
      <c r="EB471" s="115"/>
      <c r="EC471" s="645"/>
      <c r="ED471" s="113" t="s">
        <v>1</v>
      </c>
    </row>
    <row r="472" spans="1:134" x14ac:dyDescent="0.2">
      <c r="A472" s="116" t="s">
        <v>193</v>
      </c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15"/>
      <c r="AU472" s="115"/>
      <c r="AV472" s="115"/>
      <c r="AW472" s="115"/>
      <c r="AX472" s="115"/>
      <c r="AY472" s="115"/>
      <c r="AZ472" s="115"/>
      <c r="BA472" s="115"/>
      <c r="BB472" s="115"/>
      <c r="BC472" s="115"/>
      <c r="BD472" s="115"/>
      <c r="BE472" s="115"/>
      <c r="BF472" s="115"/>
      <c r="BG472" s="115"/>
      <c r="BH472" s="115"/>
      <c r="BI472" s="115"/>
      <c r="BJ472" s="115"/>
      <c r="BK472" s="115"/>
      <c r="BL472" s="115"/>
      <c r="BM472" s="115"/>
      <c r="BN472" s="115"/>
      <c r="BO472" s="115"/>
      <c r="BP472" s="115"/>
      <c r="BQ472" s="115"/>
      <c r="BR472" s="115"/>
      <c r="BS472" s="115"/>
      <c r="BT472" s="115"/>
      <c r="BU472" s="115"/>
      <c r="BV472" s="115"/>
      <c r="BW472" s="115"/>
      <c r="BX472" s="115"/>
      <c r="BY472" s="115"/>
      <c r="BZ472" s="115"/>
      <c r="CA472" s="115"/>
      <c r="CB472" s="115"/>
      <c r="CC472" s="115"/>
      <c r="CD472" s="115"/>
      <c r="CE472" s="115"/>
      <c r="CF472" s="115"/>
      <c r="CG472" s="115"/>
      <c r="CH472" s="115"/>
      <c r="CI472" s="115"/>
      <c r="CJ472" s="115"/>
      <c r="CK472" s="115"/>
      <c r="CL472" s="115"/>
      <c r="CM472" s="115"/>
      <c r="CN472" s="115"/>
      <c r="CO472" s="115"/>
      <c r="CP472" s="115"/>
      <c r="CQ472" s="115"/>
      <c r="CR472" s="115"/>
      <c r="CS472" s="115"/>
      <c r="CT472" s="115"/>
      <c r="CU472" s="115"/>
      <c r="CV472" s="115"/>
      <c r="CW472" s="115"/>
      <c r="CX472" s="115"/>
      <c r="CY472" s="115"/>
      <c r="CZ472" s="115"/>
      <c r="DA472" s="115"/>
      <c r="DB472" s="115"/>
      <c r="DC472" s="115"/>
      <c r="DD472" s="115"/>
      <c r="DE472" s="115"/>
      <c r="DF472" s="115"/>
      <c r="DG472" s="115"/>
      <c r="DH472" s="115"/>
      <c r="DI472" s="115"/>
      <c r="DJ472" s="115"/>
      <c r="DK472" s="115"/>
      <c r="DL472" s="115"/>
      <c r="DM472" s="115"/>
      <c r="DN472" s="115"/>
      <c r="DO472" s="115"/>
      <c r="DP472" s="115"/>
      <c r="DQ472" s="115"/>
      <c r="DR472" s="115"/>
      <c r="DS472" s="115"/>
      <c r="DT472" s="115"/>
      <c r="DU472" s="115"/>
      <c r="DV472" s="115"/>
      <c r="DW472" s="115"/>
      <c r="DX472" s="115"/>
      <c r="DY472" s="115"/>
      <c r="DZ472" s="115"/>
      <c r="EA472" s="115"/>
      <c r="EB472" s="115"/>
      <c r="EC472" s="645"/>
      <c r="ED472" s="113" t="s">
        <v>1</v>
      </c>
    </row>
    <row r="473" spans="1:134" x14ac:dyDescent="0.2">
      <c r="A473" s="114" t="s">
        <v>139</v>
      </c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29">
        <f t="shared" ref="AB473:BG473" si="1716">AB429-AB457</f>
        <v>0</v>
      </c>
      <c r="AC473" s="129">
        <f t="shared" si="1716"/>
        <v>0</v>
      </c>
      <c r="AD473" s="129">
        <f t="shared" si="1716"/>
        <v>34000</v>
      </c>
      <c r="AE473" s="129">
        <f t="shared" si="1716"/>
        <v>143095.52000000002</v>
      </c>
      <c r="AF473" s="129">
        <f t="shared" si="1716"/>
        <v>448256.54000000004</v>
      </c>
      <c r="AG473" s="129">
        <f t="shared" si="1716"/>
        <v>1107902.6299999999</v>
      </c>
      <c r="AH473" s="129">
        <f t="shared" si="1716"/>
        <v>1865820.12</v>
      </c>
      <c r="AI473" s="129">
        <f t="shared" si="1716"/>
        <v>1672124.6</v>
      </c>
      <c r="AJ473" s="129">
        <f t="shared" si="1716"/>
        <v>2165683.4699999997</v>
      </c>
      <c r="AK473" s="129">
        <f t="shared" si="1716"/>
        <v>3494603.6108474578</v>
      </c>
      <c r="AL473" s="129">
        <f t="shared" si="1716"/>
        <v>3261037.4254237288</v>
      </c>
      <c r="AM473" s="129">
        <f t="shared" si="1716"/>
        <v>19330.542372881355</v>
      </c>
      <c r="AN473" s="129">
        <f t="shared" si="1716"/>
        <v>1103598.8559322034</v>
      </c>
      <c r="AO473" s="129">
        <f t="shared" si="1716"/>
        <v>1093169.1230508476</v>
      </c>
      <c r="AP473" s="129">
        <f t="shared" si="1716"/>
        <v>1993247.7563559322</v>
      </c>
      <c r="AQ473" s="129">
        <f t="shared" si="1716"/>
        <v>4165101.2917132881</v>
      </c>
      <c r="AR473" s="129">
        <f t="shared" si="1716"/>
        <v>5393372.6966508469</v>
      </c>
      <c r="AS473" s="129">
        <f t="shared" si="1716"/>
        <v>5824632.8212923734</v>
      </c>
      <c r="AT473" s="129">
        <f t="shared" si="1716"/>
        <v>7290838.8135593217</v>
      </c>
      <c r="AU473" s="129">
        <f t="shared" si="1716"/>
        <v>5668709.8037169492</v>
      </c>
      <c r="AV473" s="129">
        <f t="shared" si="1716"/>
        <v>5258714.6925254241</v>
      </c>
      <c r="AW473" s="129">
        <f t="shared" si="1716"/>
        <v>4151077.2761118654</v>
      </c>
      <c r="AX473" s="129">
        <f t="shared" si="1716"/>
        <v>3516665.4708474576</v>
      </c>
      <c r="AY473" s="129">
        <f t="shared" si="1716"/>
        <v>2572555.6083050845</v>
      </c>
      <c r="AZ473" s="129">
        <f t="shared" si="1716"/>
        <v>618587.17966101691</v>
      </c>
      <c r="BA473" s="129">
        <f t="shared" si="1716"/>
        <v>4547318.4449152546</v>
      </c>
      <c r="BB473" s="129">
        <f t="shared" si="1716"/>
        <v>2950057.2949152542</v>
      </c>
      <c r="BC473" s="129">
        <f t="shared" si="1716"/>
        <v>3599481.2542372881</v>
      </c>
      <c r="BD473" s="129">
        <f t="shared" si="1716"/>
        <v>2392279.7288135593</v>
      </c>
      <c r="BE473" s="129">
        <f t="shared" si="1716"/>
        <v>3323849.7033898304</v>
      </c>
      <c r="BF473" s="129">
        <f t="shared" si="1716"/>
        <v>3313791.4393220339</v>
      </c>
      <c r="BG473" s="129">
        <f t="shared" si="1716"/>
        <v>1784826.4745762711</v>
      </c>
      <c r="BH473" s="129">
        <f t="shared" ref="BH473:CM473" si="1717">BH429-BH457</f>
        <v>1178030.4830508474</v>
      </c>
      <c r="BI473" s="129">
        <f t="shared" si="1717"/>
        <v>1967162.3389830508</v>
      </c>
      <c r="BJ473" s="129">
        <f t="shared" si="1717"/>
        <v>2994945.4745762711</v>
      </c>
      <c r="BK473" s="129">
        <f t="shared" si="1717"/>
        <v>3553151.6101694917</v>
      </c>
      <c r="BL473" s="129">
        <f t="shared" si="1717"/>
        <v>1633835.4294915255</v>
      </c>
      <c r="BM473" s="129">
        <f t="shared" si="1717"/>
        <v>644990.69491525425</v>
      </c>
      <c r="BN473" s="129">
        <f t="shared" si="1717"/>
        <v>522061.59322033898</v>
      </c>
      <c r="BO473" s="129">
        <f t="shared" si="1717"/>
        <v>15671.525423728814</v>
      </c>
      <c r="BP473" s="129">
        <f t="shared" si="1717"/>
        <v>4852327.8446995877</v>
      </c>
      <c r="BQ473" s="129">
        <f t="shared" si="1717"/>
        <v>3836947.4851542655</v>
      </c>
      <c r="BR473" s="129">
        <f t="shared" si="1717"/>
        <v>2795819.7220069682</v>
      </c>
      <c r="BS473" s="129">
        <f t="shared" si="1717"/>
        <v>3819406.5044831918</v>
      </c>
      <c r="BT473" s="129">
        <f t="shared" si="1717"/>
        <v>3854315.0992271295</v>
      </c>
      <c r="BU473" s="129">
        <f t="shared" si="1717"/>
        <v>1164427.0030437612</v>
      </c>
      <c r="BV473" s="129">
        <f t="shared" si="1717"/>
        <v>3882709.4433245263</v>
      </c>
      <c r="BW473" s="129">
        <f t="shared" si="1717"/>
        <v>4580047.2068785196</v>
      </c>
      <c r="BX473" s="129">
        <f t="shared" si="1717"/>
        <v>3696649.0087442813</v>
      </c>
      <c r="BY473" s="129">
        <f t="shared" si="1717"/>
        <v>2849071.3943151589</v>
      </c>
      <c r="BZ473" s="129">
        <f t="shared" si="1717"/>
        <v>4994845.7904299553</v>
      </c>
      <c r="CA473" s="129">
        <f t="shared" si="1717"/>
        <v>1870803.81</v>
      </c>
      <c r="CB473" s="129">
        <f t="shared" si="1717"/>
        <v>4470251.1976875355</v>
      </c>
      <c r="CC473" s="129">
        <f t="shared" si="1717"/>
        <v>2556001.4662908935</v>
      </c>
      <c r="CD473" s="129">
        <f t="shared" si="1717"/>
        <v>4622288.8023920003</v>
      </c>
      <c r="CE473" s="129">
        <f t="shared" si="1717"/>
        <v>7866030.624241</v>
      </c>
      <c r="CF473" s="129">
        <f t="shared" si="1717"/>
        <v>-27877.221017000134</v>
      </c>
      <c r="CG473" s="129">
        <f t="shared" si="1717"/>
        <v>6324282.946164567</v>
      </c>
      <c r="CH473" s="129">
        <f t="shared" si="1717"/>
        <v>5764598.5076289997</v>
      </c>
      <c r="CI473" s="129">
        <f t="shared" si="1717"/>
        <v>7488435.2564409999</v>
      </c>
      <c r="CJ473" s="129">
        <f t="shared" si="1717"/>
        <v>6375615.2588299997</v>
      </c>
      <c r="CK473" s="129">
        <f t="shared" si="1717"/>
        <v>10206747.890000001</v>
      </c>
      <c r="CL473" s="129">
        <f t="shared" si="1717"/>
        <v>6530938.9100000001</v>
      </c>
      <c r="CM473" s="129">
        <f t="shared" si="1717"/>
        <v>4068851.33</v>
      </c>
      <c r="CN473" s="129">
        <f t="shared" ref="CN473:DQ473" si="1718">CN429-CN457</f>
        <v>10783096.18</v>
      </c>
      <c r="CO473" s="129">
        <f t="shared" si="1718"/>
        <v>9270073.2799999993</v>
      </c>
      <c r="CP473" s="129">
        <f t="shared" si="1718"/>
        <v>4539401.5199999996</v>
      </c>
      <c r="CQ473" s="129">
        <f t="shared" si="1718"/>
        <v>6086622.9000000004</v>
      </c>
      <c r="CR473" s="129">
        <f t="shared" si="1718"/>
        <v>5676127.9100000001</v>
      </c>
      <c r="CS473" s="129">
        <f t="shared" si="1718"/>
        <v>8621328.5899999999</v>
      </c>
      <c r="CT473" s="130">
        <f t="shared" si="1718"/>
        <v>7889422.0704452032</v>
      </c>
      <c r="CU473" s="130">
        <f t="shared" si="1718"/>
        <v>7706848.096577242</v>
      </c>
      <c r="CV473" s="130">
        <f t="shared" si="1718"/>
        <v>7681039.7590492284</v>
      </c>
      <c r="CW473" s="130">
        <f t="shared" si="1718"/>
        <v>8368018.4280333342</v>
      </c>
      <c r="CX473" s="130">
        <f t="shared" si="1718"/>
        <v>7395382.4670210667</v>
      </c>
      <c r="CY473" s="130">
        <f t="shared" si="1718"/>
        <v>6806859.0697913365</v>
      </c>
      <c r="CZ473" s="130">
        <f t="shared" si="1718"/>
        <v>8661542.2865896355</v>
      </c>
      <c r="DA473" s="130">
        <f t="shared" si="1718"/>
        <v>7912439.3171547707</v>
      </c>
      <c r="DB473" s="130">
        <f t="shared" si="1718"/>
        <v>9542905.7004494481</v>
      </c>
      <c r="DC473" s="130">
        <f t="shared" si="1718"/>
        <v>9789449.4658945706</v>
      </c>
      <c r="DD473" s="130">
        <f t="shared" si="1718"/>
        <v>9043903.216521848</v>
      </c>
      <c r="DE473" s="130">
        <f t="shared" si="1718"/>
        <v>10629275.853112776</v>
      </c>
      <c r="DF473" s="130">
        <f t="shared" si="1718"/>
        <v>9773074.1823438816</v>
      </c>
      <c r="DG473" s="130">
        <f t="shared" si="1718"/>
        <v>9572544.6749709081</v>
      </c>
      <c r="DH473" s="130">
        <f t="shared" si="1718"/>
        <v>9491735.573327262</v>
      </c>
      <c r="DI473" s="130">
        <f t="shared" si="1718"/>
        <v>10330837.019669361</v>
      </c>
      <c r="DJ473" s="130">
        <f t="shared" si="1718"/>
        <v>9117298.7838472389</v>
      </c>
      <c r="DK473" s="130">
        <f t="shared" si="1718"/>
        <v>8376522.4302591505</v>
      </c>
      <c r="DL473" s="130">
        <f t="shared" si="1718"/>
        <v>10612203.53540938</v>
      </c>
      <c r="DM473" s="130">
        <f t="shared" si="1718"/>
        <v>9648468.0532711558</v>
      </c>
      <c r="DN473" s="130">
        <f t="shared" si="1718"/>
        <v>11587041.261278523</v>
      </c>
      <c r="DO473" s="130">
        <f t="shared" si="1718"/>
        <v>11836268.320502793</v>
      </c>
      <c r="DP473" s="130">
        <f t="shared" si="1718"/>
        <v>10885394.316487174</v>
      </c>
      <c r="DQ473" s="130">
        <f t="shared" si="1718"/>
        <v>12645934.644831782</v>
      </c>
      <c r="DR473" s="130">
        <f t="shared" ref="DR473:EC473" si="1719">DR429-DR457</f>
        <v>11173881.481813172</v>
      </c>
      <c r="DS473" s="130">
        <f t="shared" si="1719"/>
        <v>10934791.417178307</v>
      </c>
      <c r="DT473" s="130">
        <f t="shared" si="1719"/>
        <v>10836110.484531252</v>
      </c>
      <c r="DU473" s="130">
        <f t="shared" si="1719"/>
        <v>11787223.971359216</v>
      </c>
      <c r="DV473" s="130">
        <f t="shared" si="1719"/>
        <v>10393720.613585852</v>
      </c>
      <c r="DW473" s="130">
        <f t="shared" si="1719"/>
        <v>9538617.4434711598</v>
      </c>
      <c r="DX473" s="130">
        <f t="shared" si="1719"/>
        <v>12081155.919521309</v>
      </c>
      <c r="DY473" s="130">
        <f t="shared" si="1719"/>
        <v>10978074.016709741</v>
      </c>
      <c r="DZ473" s="130">
        <f t="shared" si="1719"/>
        <v>13180259.434704324</v>
      </c>
      <c r="EA473" s="130">
        <f t="shared" si="1719"/>
        <v>13460171.569319181</v>
      </c>
      <c r="EB473" s="130">
        <f t="shared" si="1719"/>
        <v>12372316.736007329</v>
      </c>
      <c r="EC473" s="130">
        <f t="shared" si="1719"/>
        <v>14369592.860120496</v>
      </c>
      <c r="ED473" s="113" t="s">
        <v>1</v>
      </c>
    </row>
    <row r="474" spans="1:134" x14ac:dyDescent="0.2">
      <c r="A474" s="114" t="s">
        <v>191</v>
      </c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29">
        <f t="shared" ref="AB474:BG474" si="1720">AB430-AB458</f>
        <v>0</v>
      </c>
      <c r="AC474" s="129">
        <f t="shared" si="1720"/>
        <v>0</v>
      </c>
      <c r="AD474" s="129">
        <f t="shared" si="1720"/>
        <v>0</v>
      </c>
      <c r="AE474" s="129">
        <f t="shared" si="1720"/>
        <v>0</v>
      </c>
      <c r="AF474" s="129">
        <f t="shared" si="1720"/>
        <v>0</v>
      </c>
      <c r="AG474" s="129">
        <f t="shared" si="1720"/>
        <v>0</v>
      </c>
      <c r="AH474" s="129">
        <f t="shared" si="1720"/>
        <v>0</v>
      </c>
      <c r="AI474" s="129">
        <f t="shared" si="1720"/>
        <v>0</v>
      </c>
      <c r="AJ474" s="129">
        <f t="shared" si="1720"/>
        <v>0</v>
      </c>
      <c r="AK474" s="129">
        <f t="shared" si="1720"/>
        <v>35807.627118644064</v>
      </c>
      <c r="AL474" s="129">
        <f t="shared" si="1720"/>
        <v>0</v>
      </c>
      <c r="AM474" s="129">
        <f t="shared" si="1720"/>
        <v>0</v>
      </c>
      <c r="AN474" s="129">
        <f t="shared" si="1720"/>
        <v>0</v>
      </c>
      <c r="AO474" s="129">
        <f t="shared" si="1720"/>
        <v>0</v>
      </c>
      <c r="AP474" s="129">
        <f t="shared" si="1720"/>
        <v>0</v>
      </c>
      <c r="AQ474" s="129">
        <f t="shared" si="1720"/>
        <v>38294.91525423729</v>
      </c>
      <c r="AR474" s="129">
        <f t="shared" si="1720"/>
        <v>85794.91525423729</v>
      </c>
      <c r="AS474" s="129">
        <f t="shared" si="1720"/>
        <v>56284.745762711864</v>
      </c>
      <c r="AT474" s="129">
        <f t="shared" si="1720"/>
        <v>157971.13559322033</v>
      </c>
      <c r="AU474" s="129">
        <f t="shared" si="1720"/>
        <v>308185.59322033898</v>
      </c>
      <c r="AV474" s="129">
        <f t="shared" si="1720"/>
        <v>184947.45762711865</v>
      </c>
      <c r="AW474" s="129">
        <f t="shared" si="1720"/>
        <v>132546.61016949153</v>
      </c>
      <c r="AX474" s="129">
        <f t="shared" si="1720"/>
        <v>428556.77966101695</v>
      </c>
      <c r="AY474" s="129">
        <f t="shared" si="1720"/>
        <v>308472.88135593222</v>
      </c>
      <c r="AZ474" s="129">
        <f t="shared" si="1720"/>
        <v>63779.661016949154</v>
      </c>
      <c r="BA474" s="129">
        <f t="shared" si="1720"/>
        <v>0</v>
      </c>
      <c r="BB474" s="129">
        <f t="shared" si="1720"/>
        <v>396445.76271186443</v>
      </c>
      <c r="BC474" s="129">
        <f t="shared" si="1720"/>
        <v>0</v>
      </c>
      <c r="BD474" s="129">
        <f t="shared" si="1720"/>
        <v>0</v>
      </c>
      <c r="BE474" s="129">
        <f t="shared" si="1720"/>
        <v>0</v>
      </c>
      <c r="BF474" s="129">
        <f t="shared" si="1720"/>
        <v>0</v>
      </c>
      <c r="BG474" s="129">
        <f t="shared" si="1720"/>
        <v>0</v>
      </c>
      <c r="BH474" s="129">
        <f t="shared" ref="BH474:CM474" si="1721">BH430-BH458</f>
        <v>0</v>
      </c>
      <c r="BI474" s="129">
        <f t="shared" si="1721"/>
        <v>0</v>
      </c>
      <c r="BJ474" s="129">
        <f t="shared" si="1721"/>
        <v>0</v>
      </c>
      <c r="BK474" s="129">
        <f t="shared" si="1721"/>
        <v>0</v>
      </c>
      <c r="BL474" s="129">
        <f t="shared" si="1721"/>
        <v>0</v>
      </c>
      <c r="BM474" s="129">
        <f t="shared" si="1721"/>
        <v>0</v>
      </c>
      <c r="BN474" s="129">
        <f t="shared" si="1721"/>
        <v>0</v>
      </c>
      <c r="BO474" s="129">
        <f t="shared" si="1721"/>
        <v>0</v>
      </c>
      <c r="BP474" s="129">
        <f t="shared" si="1721"/>
        <v>0</v>
      </c>
      <c r="BQ474" s="129">
        <f t="shared" si="1721"/>
        <v>0</v>
      </c>
      <c r="BR474" s="129">
        <f t="shared" si="1721"/>
        <v>0</v>
      </c>
      <c r="BS474" s="129">
        <f t="shared" si="1721"/>
        <v>0</v>
      </c>
      <c r="BT474" s="129">
        <f t="shared" si="1721"/>
        <v>0</v>
      </c>
      <c r="BU474" s="129">
        <f t="shared" si="1721"/>
        <v>0</v>
      </c>
      <c r="BV474" s="129">
        <f t="shared" si="1721"/>
        <v>0</v>
      </c>
      <c r="BW474" s="129">
        <f t="shared" si="1721"/>
        <v>0</v>
      </c>
      <c r="BX474" s="129">
        <f t="shared" si="1721"/>
        <v>0</v>
      </c>
      <c r="BY474" s="129">
        <f t="shared" si="1721"/>
        <v>0</v>
      </c>
      <c r="BZ474" s="129">
        <f t="shared" si="1721"/>
        <v>0</v>
      </c>
      <c r="CA474" s="129">
        <f t="shared" si="1721"/>
        <v>0</v>
      </c>
      <c r="CB474" s="129">
        <f t="shared" si="1721"/>
        <v>0</v>
      </c>
      <c r="CC474" s="129">
        <f t="shared" si="1721"/>
        <v>0</v>
      </c>
      <c r="CD474" s="129">
        <f t="shared" si="1721"/>
        <v>0</v>
      </c>
      <c r="CE474" s="129">
        <f t="shared" si="1721"/>
        <v>0</v>
      </c>
      <c r="CF474" s="129">
        <f t="shared" si="1721"/>
        <v>0</v>
      </c>
      <c r="CG474" s="129">
        <f t="shared" si="1721"/>
        <v>0</v>
      </c>
      <c r="CH474" s="129">
        <f t="shared" si="1721"/>
        <v>0</v>
      </c>
      <c r="CI474" s="129">
        <f t="shared" si="1721"/>
        <v>0</v>
      </c>
      <c r="CJ474" s="129">
        <f t="shared" si="1721"/>
        <v>0</v>
      </c>
      <c r="CK474" s="129">
        <f t="shared" si="1721"/>
        <v>0</v>
      </c>
      <c r="CL474" s="129">
        <f t="shared" si="1721"/>
        <v>0</v>
      </c>
      <c r="CM474" s="129">
        <f t="shared" si="1721"/>
        <v>0</v>
      </c>
      <c r="CN474" s="129">
        <f t="shared" ref="CN474:DQ474" si="1722">CN430-CN458</f>
        <v>0</v>
      </c>
      <c r="CO474" s="129">
        <f t="shared" si="1722"/>
        <v>0</v>
      </c>
      <c r="CP474" s="129">
        <f t="shared" si="1722"/>
        <v>0</v>
      </c>
      <c r="CQ474" s="129">
        <f t="shared" si="1722"/>
        <v>0</v>
      </c>
      <c r="CR474" s="129">
        <f t="shared" si="1722"/>
        <v>0</v>
      </c>
      <c r="CS474" s="129">
        <f t="shared" si="1722"/>
        <v>0</v>
      </c>
      <c r="CT474" s="130">
        <f t="shared" si="1722"/>
        <v>0</v>
      </c>
      <c r="CU474" s="130">
        <f t="shared" si="1722"/>
        <v>0</v>
      </c>
      <c r="CV474" s="130">
        <f t="shared" si="1722"/>
        <v>0</v>
      </c>
      <c r="CW474" s="130">
        <f t="shared" si="1722"/>
        <v>0</v>
      </c>
      <c r="CX474" s="130">
        <f t="shared" si="1722"/>
        <v>0</v>
      </c>
      <c r="CY474" s="130">
        <f t="shared" si="1722"/>
        <v>0</v>
      </c>
      <c r="CZ474" s="130">
        <f t="shared" si="1722"/>
        <v>0</v>
      </c>
      <c r="DA474" s="130">
        <f t="shared" si="1722"/>
        <v>0</v>
      </c>
      <c r="DB474" s="130">
        <f t="shared" si="1722"/>
        <v>0</v>
      </c>
      <c r="DC474" s="130">
        <f t="shared" si="1722"/>
        <v>0</v>
      </c>
      <c r="DD474" s="130">
        <f t="shared" si="1722"/>
        <v>0</v>
      </c>
      <c r="DE474" s="130">
        <f t="shared" si="1722"/>
        <v>0</v>
      </c>
      <c r="DF474" s="130">
        <f t="shared" si="1722"/>
        <v>0</v>
      </c>
      <c r="DG474" s="130">
        <f t="shared" si="1722"/>
        <v>0</v>
      </c>
      <c r="DH474" s="130">
        <f t="shared" si="1722"/>
        <v>0</v>
      </c>
      <c r="DI474" s="130">
        <f t="shared" si="1722"/>
        <v>0</v>
      </c>
      <c r="DJ474" s="130">
        <f t="shared" si="1722"/>
        <v>0</v>
      </c>
      <c r="DK474" s="130">
        <f t="shared" si="1722"/>
        <v>0</v>
      </c>
      <c r="DL474" s="130">
        <f t="shared" si="1722"/>
        <v>0</v>
      </c>
      <c r="DM474" s="130">
        <f t="shared" si="1722"/>
        <v>0</v>
      </c>
      <c r="DN474" s="130">
        <f t="shared" si="1722"/>
        <v>0</v>
      </c>
      <c r="DO474" s="130">
        <f t="shared" si="1722"/>
        <v>0</v>
      </c>
      <c r="DP474" s="130">
        <f t="shared" si="1722"/>
        <v>0</v>
      </c>
      <c r="DQ474" s="130">
        <f t="shared" si="1722"/>
        <v>0</v>
      </c>
      <c r="DR474" s="130">
        <f t="shared" ref="DR474:EC474" si="1723">DR430-DR458</f>
        <v>0</v>
      </c>
      <c r="DS474" s="130">
        <f t="shared" si="1723"/>
        <v>0</v>
      </c>
      <c r="DT474" s="130">
        <f t="shared" si="1723"/>
        <v>0</v>
      </c>
      <c r="DU474" s="130">
        <f t="shared" si="1723"/>
        <v>0</v>
      </c>
      <c r="DV474" s="130">
        <f t="shared" si="1723"/>
        <v>0</v>
      </c>
      <c r="DW474" s="130">
        <f t="shared" si="1723"/>
        <v>0</v>
      </c>
      <c r="DX474" s="130">
        <f t="shared" si="1723"/>
        <v>0</v>
      </c>
      <c r="DY474" s="130">
        <f t="shared" si="1723"/>
        <v>0</v>
      </c>
      <c r="DZ474" s="130">
        <f t="shared" si="1723"/>
        <v>0</v>
      </c>
      <c r="EA474" s="130">
        <f t="shared" si="1723"/>
        <v>0</v>
      </c>
      <c r="EB474" s="130">
        <f t="shared" si="1723"/>
        <v>0</v>
      </c>
      <c r="EC474" s="130">
        <f t="shared" si="1723"/>
        <v>0</v>
      </c>
      <c r="ED474" s="113" t="s">
        <v>1</v>
      </c>
    </row>
    <row r="475" spans="1:134" x14ac:dyDescent="0.2">
      <c r="A475" s="114" t="s">
        <v>140</v>
      </c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29">
        <f t="shared" ref="AB475:BG475" si="1724">AB431-AB459</f>
        <v>0</v>
      </c>
      <c r="AC475" s="129">
        <f t="shared" si="1724"/>
        <v>0</v>
      </c>
      <c r="AD475" s="129">
        <f t="shared" si="1724"/>
        <v>0</v>
      </c>
      <c r="AE475" s="129">
        <f t="shared" si="1724"/>
        <v>0</v>
      </c>
      <c r="AF475" s="129">
        <f t="shared" si="1724"/>
        <v>0</v>
      </c>
      <c r="AG475" s="129">
        <f t="shared" si="1724"/>
        <v>0</v>
      </c>
      <c r="AH475" s="129">
        <f t="shared" si="1724"/>
        <v>0</v>
      </c>
      <c r="AI475" s="129">
        <f t="shared" si="1724"/>
        <v>0</v>
      </c>
      <c r="AJ475" s="129">
        <f t="shared" si="1724"/>
        <v>0</v>
      </c>
      <c r="AK475" s="129">
        <f t="shared" si="1724"/>
        <v>79366.949152542365</v>
      </c>
      <c r="AL475" s="129">
        <f t="shared" si="1724"/>
        <v>64770.338983050846</v>
      </c>
      <c r="AM475" s="129">
        <f t="shared" si="1724"/>
        <v>0</v>
      </c>
      <c r="AN475" s="129">
        <f t="shared" si="1724"/>
        <v>30001.694915254237</v>
      </c>
      <c r="AO475" s="129">
        <f t="shared" si="1724"/>
        <v>48347.457627118645</v>
      </c>
      <c r="AP475" s="129">
        <f t="shared" si="1724"/>
        <v>105843.1186440678</v>
      </c>
      <c r="AQ475" s="129">
        <f t="shared" si="1724"/>
        <v>172561.01694915254</v>
      </c>
      <c r="AR475" s="129">
        <f t="shared" si="1724"/>
        <v>166340</v>
      </c>
      <c r="AS475" s="129">
        <f t="shared" si="1724"/>
        <v>115417.11864406781</v>
      </c>
      <c r="AT475" s="129">
        <f t="shared" si="1724"/>
        <v>230552.54237288135</v>
      </c>
      <c r="AU475" s="129">
        <f t="shared" si="1724"/>
        <v>162549.15254237287</v>
      </c>
      <c r="AV475" s="129">
        <f t="shared" si="1724"/>
        <v>197689.11864406778</v>
      </c>
      <c r="AW475" s="129">
        <f t="shared" si="1724"/>
        <v>108061.01694915254</v>
      </c>
      <c r="AX475" s="129">
        <f t="shared" si="1724"/>
        <v>36887.288135593219</v>
      </c>
      <c r="AY475" s="129">
        <f t="shared" si="1724"/>
        <v>79595.457627118638</v>
      </c>
      <c r="AZ475" s="129">
        <f t="shared" si="1724"/>
        <v>95654.576271186437</v>
      </c>
      <c r="BA475" s="129">
        <f t="shared" si="1724"/>
        <v>55309.220338983039</v>
      </c>
      <c r="BB475" s="129">
        <f t="shared" si="1724"/>
        <v>45398.237288135591</v>
      </c>
      <c r="BC475" s="129">
        <f t="shared" si="1724"/>
        <v>63863.822033898301</v>
      </c>
      <c r="BD475" s="129">
        <f t="shared" si="1724"/>
        <v>55256.779661016946</v>
      </c>
      <c r="BE475" s="129">
        <f t="shared" si="1724"/>
        <v>79375.423728813563</v>
      </c>
      <c r="BF475" s="129">
        <f t="shared" si="1724"/>
        <v>25604.237288135606</v>
      </c>
      <c r="BG475" s="129">
        <f t="shared" si="1724"/>
        <v>92807.118644067785</v>
      </c>
      <c r="BH475" s="129">
        <f t="shared" ref="BH475:CM475" si="1725">BH431-BH459</f>
        <v>0</v>
      </c>
      <c r="BI475" s="129">
        <f t="shared" si="1725"/>
        <v>28736.940677966104</v>
      </c>
      <c r="BJ475" s="129">
        <f t="shared" si="1725"/>
        <v>58482.830084745736</v>
      </c>
      <c r="BK475" s="129">
        <f t="shared" si="1725"/>
        <v>51010.000000000022</v>
      </c>
      <c r="BL475" s="129">
        <f t="shared" si="1725"/>
        <v>-201.35593220338984</v>
      </c>
      <c r="BM475" s="129">
        <f t="shared" si="1725"/>
        <v>0</v>
      </c>
      <c r="BN475" s="129">
        <f t="shared" si="1725"/>
        <v>78479.281355932282</v>
      </c>
      <c r="BO475" s="129">
        <f t="shared" si="1725"/>
        <v>93771.457932203368</v>
      </c>
      <c r="BP475" s="129">
        <f t="shared" si="1725"/>
        <v>72926.381355932201</v>
      </c>
      <c r="BQ475" s="129">
        <f t="shared" si="1725"/>
        <v>0</v>
      </c>
      <c r="BR475" s="129">
        <f t="shared" si="1725"/>
        <v>0</v>
      </c>
      <c r="BS475" s="129">
        <f t="shared" si="1725"/>
        <v>0</v>
      </c>
      <c r="BT475" s="129">
        <f t="shared" si="1725"/>
        <v>0</v>
      </c>
      <c r="BU475" s="129">
        <f t="shared" si="1725"/>
        <v>0</v>
      </c>
      <c r="BV475" s="129">
        <f t="shared" si="1725"/>
        <v>0</v>
      </c>
      <c r="BW475" s="129">
        <f t="shared" si="1725"/>
        <v>0</v>
      </c>
      <c r="BX475" s="129">
        <f t="shared" si="1725"/>
        <v>0</v>
      </c>
      <c r="BY475" s="129">
        <f t="shared" si="1725"/>
        <v>0</v>
      </c>
      <c r="BZ475" s="129">
        <f t="shared" si="1725"/>
        <v>0</v>
      </c>
      <c r="CA475" s="129">
        <f t="shared" si="1725"/>
        <v>0</v>
      </c>
      <c r="CB475" s="129">
        <f t="shared" si="1725"/>
        <v>0</v>
      </c>
      <c r="CC475" s="129">
        <f t="shared" si="1725"/>
        <v>0</v>
      </c>
      <c r="CD475" s="129">
        <f t="shared" si="1725"/>
        <v>0</v>
      </c>
      <c r="CE475" s="129">
        <f t="shared" si="1725"/>
        <v>0</v>
      </c>
      <c r="CF475" s="129">
        <f t="shared" si="1725"/>
        <v>198740.67796610168</v>
      </c>
      <c r="CG475" s="129">
        <f t="shared" si="1725"/>
        <v>0</v>
      </c>
      <c r="CH475" s="129">
        <f t="shared" si="1725"/>
        <v>0</v>
      </c>
      <c r="CI475" s="129">
        <f t="shared" si="1725"/>
        <v>242641.22033898305</v>
      </c>
      <c r="CJ475" s="129">
        <f t="shared" si="1725"/>
        <v>62953.389830508473</v>
      </c>
      <c r="CK475" s="129">
        <f t="shared" si="1725"/>
        <v>342294.81355932291</v>
      </c>
      <c r="CL475" s="129">
        <f t="shared" si="1725"/>
        <v>302104.57627118647</v>
      </c>
      <c r="CM475" s="129">
        <f t="shared" si="1725"/>
        <v>265516.94915254239</v>
      </c>
      <c r="CN475" s="129">
        <f t="shared" ref="CN475:DQ475" si="1726">CN431-CN459</f>
        <v>322407.62711864407</v>
      </c>
      <c r="CO475" s="129">
        <f t="shared" si="1726"/>
        <v>0</v>
      </c>
      <c r="CP475" s="129">
        <f t="shared" si="1726"/>
        <v>416431.29661016952</v>
      </c>
      <c r="CQ475" s="129">
        <f t="shared" si="1726"/>
        <v>162371.01694915252</v>
      </c>
      <c r="CR475" s="129">
        <f t="shared" si="1726"/>
        <v>174665.76271186443</v>
      </c>
      <c r="CS475" s="129">
        <f t="shared" si="1726"/>
        <v>331611.91525423725</v>
      </c>
      <c r="CT475" s="130"/>
      <c r="CU475" s="130">
        <f t="shared" si="1726"/>
        <v>0</v>
      </c>
      <c r="CV475" s="130">
        <f t="shared" si="1726"/>
        <v>0</v>
      </c>
      <c r="CW475" s="130">
        <f t="shared" si="1726"/>
        <v>0</v>
      </c>
      <c r="CX475" s="130">
        <f t="shared" si="1726"/>
        <v>0</v>
      </c>
      <c r="CY475" s="130">
        <f t="shared" si="1726"/>
        <v>0</v>
      </c>
      <c r="CZ475" s="130">
        <f t="shared" si="1726"/>
        <v>0</v>
      </c>
      <c r="DA475" s="130">
        <f t="shared" si="1726"/>
        <v>0</v>
      </c>
      <c r="DB475" s="130">
        <f t="shared" si="1726"/>
        <v>0</v>
      </c>
      <c r="DC475" s="130">
        <f t="shared" si="1726"/>
        <v>0</v>
      </c>
      <c r="DD475" s="130">
        <f t="shared" si="1726"/>
        <v>0</v>
      </c>
      <c r="DE475" s="130">
        <f t="shared" si="1726"/>
        <v>0</v>
      </c>
      <c r="DF475" s="130">
        <f t="shared" si="1726"/>
        <v>0</v>
      </c>
      <c r="DG475" s="130">
        <f t="shared" si="1726"/>
        <v>0</v>
      </c>
      <c r="DH475" s="130">
        <f t="shared" si="1726"/>
        <v>0</v>
      </c>
      <c r="DI475" s="130">
        <f t="shared" si="1726"/>
        <v>0</v>
      </c>
      <c r="DJ475" s="130">
        <f t="shared" si="1726"/>
        <v>0</v>
      </c>
      <c r="DK475" s="130">
        <f t="shared" si="1726"/>
        <v>0</v>
      </c>
      <c r="DL475" s="130">
        <f t="shared" si="1726"/>
        <v>0</v>
      </c>
      <c r="DM475" s="130">
        <f t="shared" si="1726"/>
        <v>0</v>
      </c>
      <c r="DN475" s="130">
        <f t="shared" si="1726"/>
        <v>0</v>
      </c>
      <c r="DO475" s="130">
        <f t="shared" si="1726"/>
        <v>0</v>
      </c>
      <c r="DP475" s="130">
        <f t="shared" si="1726"/>
        <v>0</v>
      </c>
      <c r="DQ475" s="130">
        <f t="shared" si="1726"/>
        <v>0</v>
      </c>
      <c r="DR475" s="130">
        <f t="shared" ref="DR475:EC475" si="1727">DR431-DR459</f>
        <v>0</v>
      </c>
      <c r="DS475" s="130">
        <f t="shared" si="1727"/>
        <v>0</v>
      </c>
      <c r="DT475" s="130">
        <f t="shared" si="1727"/>
        <v>0</v>
      </c>
      <c r="DU475" s="130">
        <f t="shared" si="1727"/>
        <v>0</v>
      </c>
      <c r="DV475" s="130">
        <f t="shared" si="1727"/>
        <v>0</v>
      </c>
      <c r="DW475" s="130">
        <f t="shared" si="1727"/>
        <v>0</v>
      </c>
      <c r="DX475" s="130">
        <f t="shared" si="1727"/>
        <v>0</v>
      </c>
      <c r="DY475" s="130">
        <f t="shared" si="1727"/>
        <v>0</v>
      </c>
      <c r="DZ475" s="130">
        <f t="shared" si="1727"/>
        <v>0</v>
      </c>
      <c r="EA475" s="130">
        <f t="shared" si="1727"/>
        <v>0</v>
      </c>
      <c r="EB475" s="130">
        <f t="shared" si="1727"/>
        <v>0</v>
      </c>
      <c r="EC475" s="130">
        <f t="shared" si="1727"/>
        <v>0</v>
      </c>
      <c r="ED475" s="113" t="s">
        <v>1</v>
      </c>
    </row>
    <row r="476" spans="1:134" x14ac:dyDescent="0.2">
      <c r="A476" s="117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15"/>
      <c r="AU476" s="115"/>
      <c r="AV476" s="115"/>
      <c r="AW476" s="115"/>
      <c r="AX476" s="115"/>
      <c r="AY476" s="115"/>
      <c r="AZ476" s="115"/>
      <c r="BA476" s="115"/>
      <c r="BB476" s="115"/>
      <c r="BC476" s="115"/>
      <c r="BD476" s="115"/>
      <c r="BE476" s="115"/>
      <c r="BF476" s="115"/>
      <c r="BG476" s="115"/>
      <c r="BH476" s="115"/>
      <c r="BI476" s="115"/>
      <c r="BJ476" s="115"/>
      <c r="BK476" s="115"/>
      <c r="BL476" s="115"/>
      <c r="BM476" s="115"/>
      <c r="BN476" s="115"/>
      <c r="BO476" s="115"/>
      <c r="BP476" s="115"/>
      <c r="BQ476" s="115"/>
      <c r="BR476" s="115"/>
      <c r="BS476" s="115"/>
      <c r="BT476" s="115"/>
      <c r="BU476" s="115"/>
      <c r="BV476" s="115"/>
      <c r="BW476" s="115"/>
      <c r="BX476" s="115"/>
      <c r="BY476" s="115"/>
      <c r="BZ476" s="115"/>
      <c r="CA476" s="115"/>
      <c r="CB476" s="115"/>
      <c r="CC476" s="115"/>
      <c r="CD476" s="115"/>
      <c r="CE476" s="115"/>
      <c r="CF476" s="115"/>
      <c r="CG476" s="115"/>
      <c r="CH476" s="115"/>
      <c r="CI476" s="115"/>
      <c r="CJ476" s="115"/>
      <c r="CK476" s="115"/>
      <c r="CL476" s="115"/>
      <c r="CM476" s="115"/>
      <c r="CN476" s="115"/>
      <c r="CO476" s="115"/>
      <c r="CP476" s="115"/>
      <c r="CQ476" s="115"/>
      <c r="CR476" s="115"/>
      <c r="CS476" s="115"/>
      <c r="CT476" s="115"/>
      <c r="CU476" s="115"/>
      <c r="CV476" s="115"/>
      <c r="CW476" s="115"/>
      <c r="CX476" s="115"/>
      <c r="CY476" s="115"/>
      <c r="CZ476" s="115"/>
      <c r="DA476" s="115"/>
      <c r="DB476" s="115"/>
      <c r="DC476" s="115"/>
      <c r="DD476" s="115"/>
      <c r="DE476" s="115"/>
      <c r="DF476" s="115"/>
      <c r="DG476" s="115"/>
      <c r="DH476" s="115"/>
      <c r="DI476" s="115"/>
      <c r="DJ476" s="115"/>
      <c r="DK476" s="115"/>
      <c r="DL476" s="115"/>
      <c r="DM476" s="115"/>
      <c r="DN476" s="115"/>
      <c r="DO476" s="115"/>
      <c r="DP476" s="115"/>
      <c r="DQ476" s="115"/>
      <c r="DR476" s="115"/>
      <c r="DS476" s="115"/>
      <c r="DT476" s="115"/>
      <c r="DU476" s="115"/>
      <c r="DV476" s="115"/>
      <c r="DW476" s="115"/>
      <c r="DX476" s="115"/>
      <c r="DY476" s="115"/>
      <c r="DZ476" s="115"/>
      <c r="EA476" s="115"/>
      <c r="EB476" s="115"/>
      <c r="EC476" s="645"/>
      <c r="ED476" s="113" t="s">
        <v>1</v>
      </c>
    </row>
    <row r="477" spans="1:134" x14ac:dyDescent="0.2">
      <c r="A477" s="117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15"/>
      <c r="AU477" s="115"/>
      <c r="AV477" s="115"/>
      <c r="AW477" s="115"/>
      <c r="AX477" s="115"/>
      <c r="AY477" s="115"/>
      <c r="AZ477" s="115"/>
      <c r="BA477" s="115"/>
      <c r="BB477" s="115"/>
      <c r="BC477" s="115"/>
      <c r="BD477" s="115"/>
      <c r="BE477" s="115"/>
      <c r="BF477" s="115"/>
      <c r="BG477" s="115"/>
      <c r="BH477" s="115"/>
      <c r="BI477" s="115"/>
      <c r="BJ477" s="115"/>
      <c r="BK477" s="115"/>
      <c r="BL477" s="115"/>
      <c r="BM477" s="115"/>
      <c r="BN477" s="115"/>
      <c r="BO477" s="115"/>
      <c r="BP477" s="115"/>
      <c r="BQ477" s="115"/>
      <c r="BR477" s="115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115"/>
      <c r="CC477" s="115"/>
      <c r="CD477" s="115"/>
      <c r="CE477" s="115"/>
      <c r="CF477" s="115"/>
      <c r="CG477" s="115"/>
      <c r="CH477" s="115"/>
      <c r="CI477" s="115"/>
      <c r="CJ477" s="115"/>
      <c r="CK477" s="115"/>
      <c r="CL477" s="115"/>
      <c r="CM477" s="115"/>
      <c r="CN477" s="115"/>
      <c r="CO477" s="115"/>
      <c r="CP477" s="115"/>
      <c r="CQ477" s="115"/>
      <c r="CR477" s="115"/>
      <c r="CS477" s="115"/>
      <c r="CT477" s="115"/>
      <c r="CU477" s="115"/>
      <c r="CV477" s="115"/>
      <c r="CW477" s="115"/>
      <c r="CX477" s="115"/>
      <c r="CY477" s="115"/>
      <c r="CZ477" s="115"/>
      <c r="DA477" s="115"/>
      <c r="DB477" s="115"/>
      <c r="DC477" s="115"/>
      <c r="DD477" s="115"/>
      <c r="DE477" s="115"/>
      <c r="DF477" s="115"/>
      <c r="DG477" s="115"/>
      <c r="DH477" s="115"/>
      <c r="DI477" s="115"/>
      <c r="DJ477" s="115"/>
      <c r="DK477" s="115"/>
      <c r="DL477" s="115"/>
      <c r="DM477" s="115"/>
      <c r="DN477" s="115"/>
      <c r="DO477" s="115"/>
      <c r="DP477" s="115"/>
      <c r="DQ477" s="115"/>
      <c r="DR477" s="115"/>
      <c r="DS477" s="115"/>
      <c r="DT477" s="115"/>
      <c r="DU477" s="115"/>
      <c r="DV477" s="115"/>
      <c r="DW477" s="115"/>
      <c r="DX477" s="115"/>
      <c r="DY477" s="115"/>
      <c r="DZ477" s="115"/>
      <c r="EA477" s="115"/>
      <c r="EB477" s="115"/>
      <c r="EC477" s="645"/>
      <c r="ED477" s="113" t="s">
        <v>1</v>
      </c>
    </row>
    <row r="478" spans="1:134" x14ac:dyDescent="0.2">
      <c r="A478" s="117" t="s">
        <v>196</v>
      </c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115"/>
      <c r="AU478" s="115"/>
      <c r="AV478" s="115"/>
      <c r="AW478" s="115"/>
      <c r="AX478" s="115"/>
      <c r="AY478" s="115"/>
      <c r="AZ478" s="115"/>
      <c r="BA478" s="115"/>
      <c r="BB478" s="115"/>
      <c r="BC478" s="115"/>
      <c r="BD478" s="115"/>
      <c r="BE478" s="115"/>
      <c r="BF478" s="115"/>
      <c r="BG478" s="115"/>
      <c r="BH478" s="115"/>
      <c r="BI478" s="115"/>
      <c r="BJ478" s="115"/>
      <c r="BK478" s="115"/>
      <c r="BL478" s="115"/>
      <c r="BM478" s="115"/>
      <c r="BN478" s="115"/>
      <c r="BO478" s="115"/>
      <c r="BP478" s="115"/>
      <c r="BQ478" s="115"/>
      <c r="BR478" s="115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115"/>
      <c r="CC478" s="115"/>
      <c r="CD478" s="115"/>
      <c r="CE478" s="115"/>
      <c r="CF478" s="115"/>
      <c r="CG478" s="115"/>
      <c r="CH478" s="115"/>
      <c r="CI478" s="115"/>
      <c r="CJ478" s="115"/>
      <c r="CK478" s="115"/>
      <c r="CL478" s="115"/>
      <c r="CM478" s="115"/>
      <c r="CN478" s="115"/>
      <c r="CO478" s="115"/>
      <c r="CP478" s="115"/>
      <c r="CQ478" s="115"/>
      <c r="CR478" s="115"/>
      <c r="CS478" s="115"/>
      <c r="CT478" s="115"/>
      <c r="CU478" s="115"/>
      <c r="CV478" s="115"/>
      <c r="CW478" s="115"/>
      <c r="CX478" s="115"/>
      <c r="CY478" s="115"/>
      <c r="CZ478" s="115"/>
      <c r="DA478" s="115"/>
      <c r="DB478" s="115"/>
      <c r="DC478" s="115"/>
      <c r="DD478" s="115"/>
      <c r="DE478" s="115"/>
      <c r="DF478" s="115"/>
      <c r="DG478" s="115"/>
      <c r="DH478" s="115"/>
      <c r="DI478" s="115"/>
      <c r="DJ478" s="115"/>
      <c r="DK478" s="115"/>
      <c r="DL478" s="115"/>
      <c r="DM478" s="115"/>
      <c r="DN478" s="115"/>
      <c r="DO478" s="115"/>
      <c r="DP478" s="115"/>
      <c r="DQ478" s="115"/>
      <c r="DR478" s="115"/>
      <c r="DS478" s="115"/>
      <c r="DT478" s="115"/>
      <c r="DU478" s="115"/>
      <c r="DV478" s="115"/>
      <c r="DW478" s="115"/>
      <c r="DX478" s="115"/>
      <c r="DY478" s="115"/>
      <c r="DZ478" s="115"/>
      <c r="EA478" s="115"/>
      <c r="EB478" s="115"/>
      <c r="EC478" s="645"/>
      <c r="ED478" s="113" t="s">
        <v>1</v>
      </c>
    </row>
    <row r="479" spans="1:134" x14ac:dyDescent="0.2">
      <c r="A479" s="117" t="s">
        <v>197</v>
      </c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29">
        <f>AM483+AM484</f>
        <v>41</v>
      </c>
      <c r="AO479" s="129">
        <f t="shared" ref="AO479:CU479" si="1728">AN483+AN484</f>
        <v>47</v>
      </c>
      <c r="AP479" s="129">
        <f t="shared" si="1728"/>
        <v>47</v>
      </c>
      <c r="AQ479" s="129">
        <f t="shared" si="1728"/>
        <v>52</v>
      </c>
      <c r="AR479" s="129">
        <f t="shared" si="1728"/>
        <v>58</v>
      </c>
      <c r="AS479" s="129">
        <f t="shared" si="1728"/>
        <v>66</v>
      </c>
      <c r="AT479" s="129">
        <f t="shared" si="1728"/>
        <v>73</v>
      </c>
      <c r="AU479" s="129">
        <f t="shared" si="1728"/>
        <v>78</v>
      </c>
      <c r="AV479" s="129">
        <f t="shared" si="1728"/>
        <v>84</v>
      </c>
      <c r="AW479" s="129">
        <f t="shared" si="1728"/>
        <v>86</v>
      </c>
      <c r="AX479" s="129">
        <f t="shared" si="1728"/>
        <v>97</v>
      </c>
      <c r="AY479" s="129">
        <f t="shared" si="1728"/>
        <v>102</v>
      </c>
      <c r="AZ479" s="129">
        <f t="shared" si="1728"/>
        <v>127</v>
      </c>
      <c r="BA479" s="129">
        <f t="shared" si="1728"/>
        <v>138</v>
      </c>
      <c r="BB479" s="129">
        <f t="shared" si="1728"/>
        <v>142</v>
      </c>
      <c r="BC479" s="129">
        <f t="shared" si="1728"/>
        <v>150</v>
      </c>
      <c r="BD479" s="129">
        <f t="shared" si="1728"/>
        <v>157</v>
      </c>
      <c r="BE479" s="129">
        <f t="shared" si="1728"/>
        <v>163</v>
      </c>
      <c r="BF479" s="129">
        <f t="shared" si="1728"/>
        <v>185</v>
      </c>
      <c r="BG479" s="129">
        <f t="shared" si="1728"/>
        <v>188</v>
      </c>
      <c r="BH479" s="129">
        <f t="shared" si="1728"/>
        <v>191</v>
      </c>
      <c r="BI479" s="129">
        <f t="shared" si="1728"/>
        <v>191</v>
      </c>
      <c r="BJ479" s="129">
        <f t="shared" si="1728"/>
        <v>195</v>
      </c>
      <c r="BK479" s="129">
        <f t="shared" si="1728"/>
        <v>198</v>
      </c>
      <c r="BL479" s="129">
        <f t="shared" si="1728"/>
        <v>200</v>
      </c>
      <c r="BM479" s="129">
        <f t="shared" si="1728"/>
        <v>200</v>
      </c>
      <c r="BN479" s="129">
        <f t="shared" si="1728"/>
        <v>197</v>
      </c>
      <c r="BO479" s="129">
        <f t="shared" si="1728"/>
        <v>196</v>
      </c>
      <c r="BP479" s="129">
        <f t="shared" si="1728"/>
        <v>194</v>
      </c>
      <c r="BQ479" s="129">
        <f t="shared" si="1728"/>
        <v>194</v>
      </c>
      <c r="BR479" s="129">
        <f t="shared" si="1728"/>
        <v>195</v>
      </c>
      <c r="BS479" s="129">
        <f t="shared" si="1728"/>
        <v>194</v>
      </c>
      <c r="BT479" s="129">
        <f t="shared" si="1728"/>
        <v>189</v>
      </c>
      <c r="BU479" s="129">
        <f t="shared" si="1728"/>
        <v>186</v>
      </c>
      <c r="BV479" s="129">
        <f t="shared" si="1728"/>
        <v>185</v>
      </c>
      <c r="BW479" s="129">
        <f t="shared" si="1728"/>
        <v>185</v>
      </c>
      <c r="BX479" s="129">
        <f t="shared" si="1728"/>
        <v>185</v>
      </c>
      <c r="BY479" s="129">
        <f t="shared" si="1728"/>
        <v>184</v>
      </c>
      <c r="BZ479" s="129">
        <f t="shared" si="1728"/>
        <v>183</v>
      </c>
      <c r="CA479" s="129">
        <f t="shared" si="1728"/>
        <v>181</v>
      </c>
      <c r="CB479" s="129">
        <f t="shared" si="1728"/>
        <v>182</v>
      </c>
      <c r="CC479" s="129">
        <f t="shared" si="1728"/>
        <v>179</v>
      </c>
      <c r="CD479" s="129">
        <f t="shared" si="1728"/>
        <v>179</v>
      </c>
      <c r="CE479" s="129">
        <f t="shared" si="1728"/>
        <v>179</v>
      </c>
      <c r="CF479" s="129">
        <f t="shared" si="1728"/>
        <v>179</v>
      </c>
      <c r="CG479" s="129">
        <f t="shared" si="1728"/>
        <v>181</v>
      </c>
      <c r="CH479" s="129">
        <f t="shared" si="1728"/>
        <v>183</v>
      </c>
      <c r="CI479" s="129">
        <f t="shared" si="1728"/>
        <v>184</v>
      </c>
      <c r="CJ479" s="129">
        <f t="shared" si="1728"/>
        <v>189</v>
      </c>
      <c r="CK479" s="129">
        <f t="shared" si="1728"/>
        <v>193</v>
      </c>
      <c r="CL479" s="129">
        <f t="shared" si="1728"/>
        <v>198</v>
      </c>
      <c r="CM479" s="129">
        <f t="shared" si="1728"/>
        <v>197</v>
      </c>
      <c r="CN479" s="129">
        <f t="shared" si="1728"/>
        <v>201</v>
      </c>
      <c r="CO479" s="129">
        <f t="shared" si="1728"/>
        <v>204</v>
      </c>
      <c r="CP479" s="129">
        <f t="shared" si="1728"/>
        <v>205</v>
      </c>
      <c r="CQ479" s="129">
        <f t="shared" si="1728"/>
        <v>214</v>
      </c>
      <c r="CR479" s="129">
        <f t="shared" si="1728"/>
        <v>225</v>
      </c>
      <c r="CS479" s="129">
        <f t="shared" si="1728"/>
        <v>234</v>
      </c>
      <c r="CT479" s="129">
        <f t="shared" si="1728"/>
        <v>237</v>
      </c>
      <c r="CU479" s="129">
        <f t="shared" si="1728"/>
        <v>238</v>
      </c>
      <c r="CV479" s="129">
        <f t="shared" ref="CV479" si="1729">CU483+CU484</f>
        <v>240</v>
      </c>
      <c r="CW479" s="129">
        <f t="shared" ref="CW479" si="1730">CV483+CV484</f>
        <v>243</v>
      </c>
      <c r="CX479" s="129">
        <f t="shared" ref="CX479" si="1731">CW483+CW484</f>
        <v>245</v>
      </c>
      <c r="CY479" s="129">
        <f t="shared" ref="CY479" si="1732">CX483+CX484</f>
        <v>248</v>
      </c>
      <c r="CZ479" s="129">
        <f t="shared" ref="CZ479" si="1733">CY483+CY484</f>
        <v>252</v>
      </c>
      <c r="DA479" s="129">
        <f t="shared" ref="DA479" si="1734">CZ483+CZ484</f>
        <v>254</v>
      </c>
      <c r="DB479" s="129">
        <f t="shared" ref="DB479" si="1735">DA483+DA484</f>
        <v>257</v>
      </c>
      <c r="DC479" s="129">
        <f t="shared" ref="DC479" si="1736">DB483+DB484</f>
        <v>259</v>
      </c>
      <c r="DD479" s="129">
        <f t="shared" ref="DD479" si="1737">DC483+DC484</f>
        <v>261</v>
      </c>
      <c r="DE479" s="129">
        <f t="shared" ref="DE479" si="1738">DD483+DD484</f>
        <v>264</v>
      </c>
      <c r="DF479" s="129">
        <f t="shared" ref="DF479" si="1739">DE483+DE484</f>
        <v>268</v>
      </c>
      <c r="DG479" s="129">
        <f t="shared" ref="DG479" si="1740">DF483+DF484</f>
        <v>270</v>
      </c>
      <c r="DH479" s="129">
        <f t="shared" ref="DH479" si="1741">DG483+DG484</f>
        <v>273</v>
      </c>
      <c r="DI479" s="129">
        <f t="shared" ref="DI479" si="1742">DH483+DH484</f>
        <v>275</v>
      </c>
      <c r="DJ479" s="129">
        <f t="shared" ref="DJ479" si="1743">DI483+DI484</f>
        <v>277</v>
      </c>
      <c r="DK479" s="129">
        <f t="shared" ref="DK479" si="1744">DJ483+DJ484</f>
        <v>280</v>
      </c>
      <c r="DL479" s="129">
        <f t="shared" ref="DL479" si="1745">DK483+DK484</f>
        <v>284</v>
      </c>
      <c r="DM479" s="129">
        <f t="shared" ref="DM479" si="1746">DL483+DL484</f>
        <v>285</v>
      </c>
      <c r="DN479" s="129">
        <f t="shared" ref="DN479" si="1747">DM483+DM484</f>
        <v>287</v>
      </c>
      <c r="DO479" s="129">
        <f t="shared" ref="DO479" si="1748">DN483+DN484</f>
        <v>288</v>
      </c>
      <c r="DP479" s="129">
        <f t="shared" ref="DP479" si="1749">DO483+DO484</f>
        <v>289</v>
      </c>
      <c r="DQ479" s="129">
        <f t="shared" ref="DQ479" si="1750">DP483+DP484</f>
        <v>291</v>
      </c>
      <c r="DR479" s="129">
        <f t="shared" ref="DR479" si="1751">DQ483+DQ484</f>
        <v>292</v>
      </c>
      <c r="DS479" s="129">
        <f t="shared" ref="DS479" si="1752">DR483+DR484</f>
        <v>294</v>
      </c>
      <c r="DT479" s="129">
        <f t="shared" ref="DT479" si="1753">DS483+DS484</f>
        <v>297</v>
      </c>
      <c r="DU479" s="129">
        <f t="shared" ref="DU479" si="1754">DT483+DT484</f>
        <v>299</v>
      </c>
      <c r="DV479" s="129">
        <f t="shared" ref="DV479" si="1755">DU483+DU484</f>
        <v>301</v>
      </c>
      <c r="DW479" s="129">
        <f t="shared" ref="DW479" si="1756">DV483+DV484</f>
        <v>304</v>
      </c>
      <c r="DX479" s="129">
        <f t="shared" ref="DX479" si="1757">DW483+DW484</f>
        <v>308</v>
      </c>
      <c r="DY479" s="129">
        <f t="shared" ref="DY479" si="1758">DX483+DX484</f>
        <v>309</v>
      </c>
      <c r="DZ479" s="129">
        <f t="shared" ref="DZ479" si="1759">DY483+DY484</f>
        <v>311</v>
      </c>
      <c r="EA479" s="129">
        <f t="shared" ref="EA479" si="1760">DZ483+DZ484</f>
        <v>312</v>
      </c>
      <c r="EB479" s="129">
        <f t="shared" ref="EB479" si="1761">EA483+EA484</f>
        <v>313</v>
      </c>
      <c r="EC479" s="129">
        <f t="shared" ref="EC479" si="1762">EB483+EB484</f>
        <v>315</v>
      </c>
      <c r="ED479" s="113" t="s">
        <v>1</v>
      </c>
    </row>
    <row r="480" spans="1:134" x14ac:dyDescent="0.2">
      <c r="A480" s="738" t="s">
        <v>198</v>
      </c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29">
        <v>0</v>
      </c>
      <c r="AO480" s="129">
        <v>0</v>
      </c>
      <c r="AP480" s="129">
        <v>0</v>
      </c>
      <c r="AQ480" s="129">
        <v>0</v>
      </c>
      <c r="AR480" s="129">
        <v>0</v>
      </c>
      <c r="AS480" s="129">
        <v>0</v>
      </c>
      <c r="AT480" s="129">
        <v>0</v>
      </c>
      <c r="AU480" s="129">
        <v>0</v>
      </c>
      <c r="AV480" s="129">
        <v>0</v>
      </c>
      <c r="AW480" s="129">
        <v>0</v>
      </c>
      <c r="AX480" s="129">
        <v>5</v>
      </c>
      <c r="AY480" s="129">
        <v>28</v>
      </c>
      <c r="AZ480" s="129">
        <v>13</v>
      </c>
      <c r="BA480" s="129">
        <v>4</v>
      </c>
      <c r="BB480" s="129">
        <v>8</v>
      </c>
      <c r="BC480" s="129">
        <v>7</v>
      </c>
      <c r="BD480" s="129">
        <v>6</v>
      </c>
      <c r="BE480" s="129">
        <v>10</v>
      </c>
      <c r="BF480" s="129">
        <v>4</v>
      </c>
      <c r="BG480" s="129">
        <v>6</v>
      </c>
      <c r="BH480" s="129">
        <v>0</v>
      </c>
      <c r="BI480" s="129">
        <v>5</v>
      </c>
      <c r="BJ480" s="129">
        <v>3</v>
      </c>
      <c r="BK480" s="129">
        <v>2</v>
      </c>
      <c r="BL480" s="129">
        <v>1</v>
      </c>
      <c r="BM480" s="129">
        <v>0</v>
      </c>
      <c r="BN480" s="129">
        <v>0</v>
      </c>
      <c r="BO480" s="129">
        <v>0</v>
      </c>
      <c r="BP480" s="129">
        <v>0</v>
      </c>
      <c r="BQ480" s="129">
        <v>1</v>
      </c>
      <c r="BR480" s="129">
        <v>1</v>
      </c>
      <c r="BS480" s="129">
        <v>0</v>
      </c>
      <c r="BT480" s="129">
        <v>0</v>
      </c>
      <c r="BU480" s="129">
        <v>0</v>
      </c>
      <c r="BV480" s="129">
        <v>0</v>
      </c>
      <c r="BW480" s="129">
        <v>0</v>
      </c>
      <c r="BX480" s="129">
        <v>0</v>
      </c>
      <c r="BY480" s="129">
        <v>1</v>
      </c>
      <c r="BZ480" s="129">
        <v>0</v>
      </c>
      <c r="CA480" s="129">
        <v>1</v>
      </c>
      <c r="CB480" s="129">
        <v>0</v>
      </c>
      <c r="CC480" s="129">
        <v>0</v>
      </c>
      <c r="CD480" s="129">
        <v>2</v>
      </c>
      <c r="CE480" s="129">
        <v>1</v>
      </c>
      <c r="CF480" s="129">
        <v>5</v>
      </c>
      <c r="CG480" s="129">
        <v>3</v>
      </c>
      <c r="CH480" s="129">
        <v>1</v>
      </c>
      <c r="CI480" s="129">
        <v>7</v>
      </c>
      <c r="CJ480" s="129">
        <v>7</v>
      </c>
      <c r="CK480" s="129">
        <v>5</v>
      </c>
      <c r="CL480" s="129">
        <v>3</v>
      </c>
      <c r="CM480" s="129">
        <v>5</v>
      </c>
      <c r="CN480" s="129">
        <v>5</v>
      </c>
      <c r="CO480" s="129">
        <v>4</v>
      </c>
      <c r="CP480" s="129">
        <v>10</v>
      </c>
      <c r="CQ480" s="129">
        <v>12</v>
      </c>
      <c r="CR480" s="129">
        <v>9</v>
      </c>
      <c r="CS480" s="129">
        <v>5</v>
      </c>
      <c r="CT480" s="115">
        <v>2</v>
      </c>
      <c r="CU480" s="115">
        <v>2</v>
      </c>
      <c r="CV480" s="115">
        <v>3</v>
      </c>
      <c r="CW480" s="115">
        <v>3</v>
      </c>
      <c r="CX480" s="115">
        <v>3</v>
      </c>
      <c r="CY480" s="115">
        <v>4</v>
      </c>
      <c r="CZ480" s="115">
        <v>3</v>
      </c>
      <c r="DA480" s="115">
        <v>3</v>
      </c>
      <c r="DB480" s="115">
        <v>2</v>
      </c>
      <c r="DC480" s="115">
        <v>3</v>
      </c>
      <c r="DD480" s="115">
        <v>3</v>
      </c>
      <c r="DE480" s="115">
        <v>4</v>
      </c>
      <c r="DF480" s="115">
        <v>3</v>
      </c>
      <c r="DG480" s="115">
        <v>3</v>
      </c>
      <c r="DH480" s="115">
        <v>2</v>
      </c>
      <c r="DI480" s="115">
        <v>3</v>
      </c>
      <c r="DJ480" s="115">
        <v>3</v>
      </c>
      <c r="DK480" s="115">
        <v>4</v>
      </c>
      <c r="DL480" s="115">
        <v>2</v>
      </c>
      <c r="DM480" s="115">
        <v>2</v>
      </c>
      <c r="DN480" s="115">
        <v>1</v>
      </c>
      <c r="DO480" s="115">
        <v>2</v>
      </c>
      <c r="DP480" s="115">
        <v>2</v>
      </c>
      <c r="DQ480" s="115">
        <v>1</v>
      </c>
      <c r="DR480" s="115">
        <v>3</v>
      </c>
      <c r="DS480" s="115">
        <v>3</v>
      </c>
      <c r="DT480" s="115">
        <v>2</v>
      </c>
      <c r="DU480" s="115">
        <v>3</v>
      </c>
      <c r="DV480" s="115">
        <v>3</v>
      </c>
      <c r="DW480" s="115">
        <v>4</v>
      </c>
      <c r="DX480" s="115">
        <v>2</v>
      </c>
      <c r="DY480" s="115">
        <v>2</v>
      </c>
      <c r="DZ480" s="115">
        <v>1</v>
      </c>
      <c r="EA480" s="115">
        <v>2</v>
      </c>
      <c r="EB480" s="115">
        <v>2</v>
      </c>
      <c r="EC480" s="645">
        <v>1</v>
      </c>
      <c r="ED480" s="113" t="s">
        <v>1</v>
      </c>
    </row>
    <row r="481" spans="1:134" x14ac:dyDescent="0.2">
      <c r="A481" s="738" t="s">
        <v>199</v>
      </c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29">
        <v>0</v>
      </c>
      <c r="AO481" s="129">
        <v>0</v>
      </c>
      <c r="AP481" s="129">
        <v>0</v>
      </c>
      <c r="AQ481" s="129">
        <v>0</v>
      </c>
      <c r="AR481" s="129">
        <v>0</v>
      </c>
      <c r="AS481" s="129">
        <v>0</v>
      </c>
      <c r="AT481" s="129">
        <v>0</v>
      </c>
      <c r="AU481" s="129">
        <v>0</v>
      </c>
      <c r="AV481" s="129">
        <v>0</v>
      </c>
      <c r="AW481" s="129">
        <v>0</v>
      </c>
      <c r="AX481" s="115">
        <v>0</v>
      </c>
      <c r="AY481" s="115">
        <v>3</v>
      </c>
      <c r="AZ481" s="115">
        <v>2</v>
      </c>
      <c r="BA481" s="115">
        <v>0</v>
      </c>
      <c r="BB481" s="115">
        <v>0</v>
      </c>
      <c r="BC481" s="115">
        <v>0</v>
      </c>
      <c r="BD481" s="115">
        <v>0</v>
      </c>
      <c r="BE481" s="115">
        <v>0</v>
      </c>
      <c r="BF481" s="115">
        <v>1</v>
      </c>
      <c r="BG481" s="115">
        <v>3</v>
      </c>
      <c r="BH481" s="115">
        <v>0</v>
      </c>
      <c r="BI481" s="115">
        <v>1</v>
      </c>
      <c r="BJ481" s="115">
        <v>0</v>
      </c>
      <c r="BK481" s="115">
        <v>0</v>
      </c>
      <c r="BL481" s="115">
        <v>1</v>
      </c>
      <c r="BM481" s="115">
        <v>3</v>
      </c>
      <c r="BN481" s="115">
        <v>1</v>
      </c>
      <c r="BO481" s="115">
        <v>2</v>
      </c>
      <c r="BP481" s="115">
        <v>0</v>
      </c>
      <c r="BQ481" s="115">
        <v>0</v>
      </c>
      <c r="BR481" s="115">
        <v>2</v>
      </c>
      <c r="BS481" s="115">
        <v>5</v>
      </c>
      <c r="BT481" s="115">
        <v>3</v>
      </c>
      <c r="BU481" s="115">
        <v>1</v>
      </c>
      <c r="BV481" s="115">
        <v>0</v>
      </c>
      <c r="BW481" s="115">
        <v>0</v>
      </c>
      <c r="BX481" s="115">
        <v>1</v>
      </c>
      <c r="BY481" s="115">
        <v>2</v>
      </c>
      <c r="BZ481" s="115">
        <v>2</v>
      </c>
      <c r="CA481" s="115">
        <v>0</v>
      </c>
      <c r="CB481" s="115">
        <v>3</v>
      </c>
      <c r="CC481" s="115">
        <v>0</v>
      </c>
      <c r="CD481" s="115">
        <v>2</v>
      </c>
      <c r="CE481" s="115">
        <v>1</v>
      </c>
      <c r="CF481" s="115">
        <v>3</v>
      </c>
      <c r="CG481" s="115">
        <v>1</v>
      </c>
      <c r="CH481" s="115">
        <v>0</v>
      </c>
      <c r="CI481" s="115">
        <v>2</v>
      </c>
      <c r="CJ481" s="115">
        <v>3</v>
      </c>
      <c r="CK481" s="115">
        <v>0</v>
      </c>
      <c r="CL481" s="115">
        <v>4</v>
      </c>
      <c r="CM481" s="115">
        <v>1</v>
      </c>
      <c r="CN481" s="115">
        <v>2</v>
      </c>
      <c r="CO481" s="115">
        <v>3</v>
      </c>
      <c r="CP481" s="115">
        <v>1</v>
      </c>
      <c r="CQ481" s="115">
        <v>1</v>
      </c>
      <c r="CR481" s="115">
        <v>0</v>
      </c>
      <c r="CS481" s="115">
        <v>2</v>
      </c>
      <c r="CT481" s="115">
        <v>1</v>
      </c>
      <c r="CU481" s="115">
        <v>0</v>
      </c>
      <c r="CV481" s="115">
        <v>0</v>
      </c>
      <c r="CW481" s="115">
        <v>1</v>
      </c>
      <c r="CX481" s="115">
        <v>0</v>
      </c>
      <c r="CY481" s="115">
        <v>0</v>
      </c>
      <c r="CZ481" s="115">
        <v>1</v>
      </c>
      <c r="DA481" s="115">
        <v>0</v>
      </c>
      <c r="DB481" s="115">
        <v>0</v>
      </c>
      <c r="DC481" s="115">
        <v>1</v>
      </c>
      <c r="DD481" s="115">
        <v>0</v>
      </c>
      <c r="DE481" s="115">
        <v>0</v>
      </c>
      <c r="DF481" s="115">
        <v>1</v>
      </c>
      <c r="DG481" s="115">
        <v>0</v>
      </c>
      <c r="DH481" s="115">
        <v>0</v>
      </c>
      <c r="DI481" s="115">
        <v>1</v>
      </c>
      <c r="DJ481" s="115">
        <v>0</v>
      </c>
      <c r="DK481" s="115">
        <v>0</v>
      </c>
      <c r="DL481" s="115">
        <v>1</v>
      </c>
      <c r="DM481" s="115">
        <v>0</v>
      </c>
      <c r="DN481" s="115">
        <v>0</v>
      </c>
      <c r="DO481" s="115">
        <v>1</v>
      </c>
      <c r="DP481" s="115">
        <v>0</v>
      </c>
      <c r="DQ481" s="115">
        <v>0</v>
      </c>
      <c r="DR481" s="115">
        <v>1</v>
      </c>
      <c r="DS481" s="115">
        <v>0</v>
      </c>
      <c r="DT481" s="115">
        <v>0</v>
      </c>
      <c r="DU481" s="115">
        <v>1</v>
      </c>
      <c r="DV481" s="115">
        <v>0</v>
      </c>
      <c r="DW481" s="115">
        <v>0</v>
      </c>
      <c r="DX481" s="115">
        <v>1</v>
      </c>
      <c r="DY481" s="115">
        <v>0</v>
      </c>
      <c r="DZ481" s="115">
        <v>0</v>
      </c>
      <c r="EA481" s="115">
        <v>1</v>
      </c>
      <c r="EB481" s="115">
        <v>0</v>
      </c>
      <c r="EC481" s="645">
        <v>0</v>
      </c>
      <c r="ED481" s="113" t="s">
        <v>1</v>
      </c>
    </row>
    <row r="482" spans="1:134" s="331" customFormat="1" x14ac:dyDescent="0.2">
      <c r="A482" s="735" t="s">
        <v>200</v>
      </c>
      <c r="B482" s="330"/>
      <c r="C482" s="330"/>
      <c r="D482" s="330"/>
      <c r="E482" s="330"/>
      <c r="F482" s="330"/>
      <c r="G482" s="330"/>
      <c r="H482" s="330"/>
      <c r="I482" s="330"/>
      <c r="J482" s="330"/>
      <c r="K482" s="330"/>
      <c r="L482" s="330"/>
      <c r="M482" s="330"/>
      <c r="N482" s="330"/>
      <c r="O482" s="330"/>
      <c r="P482" s="330"/>
      <c r="Q482" s="330"/>
      <c r="R482" s="330"/>
      <c r="S482" s="330"/>
      <c r="T482" s="330"/>
      <c r="U482" s="330"/>
      <c r="V482" s="330"/>
      <c r="W482" s="330"/>
      <c r="X482" s="330"/>
      <c r="Y482" s="330"/>
      <c r="Z482" s="330"/>
      <c r="AA482" s="330"/>
      <c r="AB482" s="330"/>
      <c r="AC482" s="330"/>
      <c r="AD482" s="330"/>
      <c r="AE482" s="330"/>
      <c r="AF482" s="330"/>
      <c r="AG482" s="330"/>
      <c r="AH482" s="330"/>
      <c r="AI482" s="330"/>
      <c r="AJ482" s="330"/>
      <c r="AK482" s="330"/>
      <c r="AL482" s="330"/>
      <c r="AM482" s="330"/>
      <c r="AN482" s="131">
        <f>AN483+AN484</f>
        <v>47</v>
      </c>
      <c r="AO482" s="131">
        <f t="shared" ref="AO482:CT482" si="1763">AO483+AO484</f>
        <v>47</v>
      </c>
      <c r="AP482" s="131">
        <f t="shared" si="1763"/>
        <v>52</v>
      </c>
      <c r="AQ482" s="131">
        <f t="shared" si="1763"/>
        <v>58</v>
      </c>
      <c r="AR482" s="131">
        <f t="shared" si="1763"/>
        <v>66</v>
      </c>
      <c r="AS482" s="131">
        <f t="shared" si="1763"/>
        <v>73</v>
      </c>
      <c r="AT482" s="131">
        <f t="shared" si="1763"/>
        <v>78</v>
      </c>
      <c r="AU482" s="131">
        <f t="shared" si="1763"/>
        <v>84</v>
      </c>
      <c r="AV482" s="131">
        <f t="shared" si="1763"/>
        <v>86</v>
      </c>
      <c r="AW482" s="131">
        <f t="shared" si="1763"/>
        <v>97</v>
      </c>
      <c r="AX482" s="131">
        <f t="shared" si="1763"/>
        <v>102</v>
      </c>
      <c r="AY482" s="131">
        <f t="shared" si="1763"/>
        <v>127</v>
      </c>
      <c r="AZ482" s="131">
        <f t="shared" si="1763"/>
        <v>138</v>
      </c>
      <c r="BA482" s="131">
        <f t="shared" si="1763"/>
        <v>142</v>
      </c>
      <c r="BB482" s="131">
        <f t="shared" si="1763"/>
        <v>150</v>
      </c>
      <c r="BC482" s="131">
        <f t="shared" si="1763"/>
        <v>157</v>
      </c>
      <c r="BD482" s="131">
        <f t="shared" si="1763"/>
        <v>163</v>
      </c>
      <c r="BE482" s="131">
        <f t="shared" si="1763"/>
        <v>185</v>
      </c>
      <c r="BF482" s="131">
        <f t="shared" si="1763"/>
        <v>188</v>
      </c>
      <c r="BG482" s="131">
        <f t="shared" si="1763"/>
        <v>191</v>
      </c>
      <c r="BH482" s="131">
        <f t="shared" si="1763"/>
        <v>191</v>
      </c>
      <c r="BI482" s="131">
        <f t="shared" si="1763"/>
        <v>195</v>
      </c>
      <c r="BJ482" s="131">
        <f t="shared" si="1763"/>
        <v>198</v>
      </c>
      <c r="BK482" s="131">
        <f t="shared" si="1763"/>
        <v>200</v>
      </c>
      <c r="BL482" s="131">
        <f t="shared" si="1763"/>
        <v>200</v>
      </c>
      <c r="BM482" s="131">
        <f t="shared" si="1763"/>
        <v>197</v>
      </c>
      <c r="BN482" s="131">
        <f t="shared" si="1763"/>
        <v>196</v>
      </c>
      <c r="BO482" s="131">
        <f t="shared" si="1763"/>
        <v>194</v>
      </c>
      <c r="BP482" s="131">
        <f t="shared" si="1763"/>
        <v>194</v>
      </c>
      <c r="BQ482" s="131">
        <f t="shared" si="1763"/>
        <v>195</v>
      </c>
      <c r="BR482" s="131">
        <f t="shared" si="1763"/>
        <v>194</v>
      </c>
      <c r="BS482" s="131">
        <f t="shared" si="1763"/>
        <v>189</v>
      </c>
      <c r="BT482" s="131">
        <f t="shared" si="1763"/>
        <v>186</v>
      </c>
      <c r="BU482" s="131">
        <f t="shared" si="1763"/>
        <v>185</v>
      </c>
      <c r="BV482" s="131">
        <f t="shared" si="1763"/>
        <v>185</v>
      </c>
      <c r="BW482" s="131">
        <f t="shared" si="1763"/>
        <v>185</v>
      </c>
      <c r="BX482" s="131">
        <f t="shared" si="1763"/>
        <v>184</v>
      </c>
      <c r="BY482" s="131">
        <f t="shared" si="1763"/>
        <v>183</v>
      </c>
      <c r="BZ482" s="131">
        <f t="shared" si="1763"/>
        <v>181</v>
      </c>
      <c r="CA482" s="131">
        <f t="shared" si="1763"/>
        <v>182</v>
      </c>
      <c r="CB482" s="131">
        <f t="shared" si="1763"/>
        <v>179</v>
      </c>
      <c r="CC482" s="131">
        <f t="shared" si="1763"/>
        <v>179</v>
      </c>
      <c r="CD482" s="131">
        <f t="shared" si="1763"/>
        <v>179</v>
      </c>
      <c r="CE482" s="131">
        <f t="shared" si="1763"/>
        <v>179</v>
      </c>
      <c r="CF482" s="131">
        <f t="shared" si="1763"/>
        <v>181</v>
      </c>
      <c r="CG482" s="131">
        <f t="shared" si="1763"/>
        <v>183</v>
      </c>
      <c r="CH482" s="131">
        <f t="shared" si="1763"/>
        <v>184</v>
      </c>
      <c r="CI482" s="131">
        <f t="shared" si="1763"/>
        <v>189</v>
      </c>
      <c r="CJ482" s="131">
        <f t="shared" si="1763"/>
        <v>193</v>
      </c>
      <c r="CK482" s="131">
        <f t="shared" si="1763"/>
        <v>198</v>
      </c>
      <c r="CL482" s="131">
        <f t="shared" si="1763"/>
        <v>197</v>
      </c>
      <c r="CM482" s="131">
        <f t="shared" si="1763"/>
        <v>201</v>
      </c>
      <c r="CN482" s="131">
        <f t="shared" si="1763"/>
        <v>204</v>
      </c>
      <c r="CO482" s="131">
        <f t="shared" si="1763"/>
        <v>205</v>
      </c>
      <c r="CP482" s="131">
        <f t="shared" si="1763"/>
        <v>214</v>
      </c>
      <c r="CQ482" s="131">
        <f t="shared" si="1763"/>
        <v>225</v>
      </c>
      <c r="CR482" s="131">
        <f t="shared" si="1763"/>
        <v>234</v>
      </c>
      <c r="CS482" s="131">
        <f t="shared" si="1763"/>
        <v>237</v>
      </c>
      <c r="CT482" s="131">
        <f t="shared" si="1763"/>
        <v>238</v>
      </c>
      <c r="CU482" s="131">
        <f t="shared" ref="CU482:EC482" si="1764">CU479+CU480-CU481</f>
        <v>240</v>
      </c>
      <c r="CV482" s="131">
        <f t="shared" si="1764"/>
        <v>243</v>
      </c>
      <c r="CW482" s="131">
        <f t="shared" si="1764"/>
        <v>245</v>
      </c>
      <c r="CX482" s="131">
        <f t="shared" si="1764"/>
        <v>248</v>
      </c>
      <c r="CY482" s="131">
        <f t="shared" si="1764"/>
        <v>252</v>
      </c>
      <c r="CZ482" s="131">
        <f t="shared" si="1764"/>
        <v>254</v>
      </c>
      <c r="DA482" s="131">
        <f t="shared" si="1764"/>
        <v>257</v>
      </c>
      <c r="DB482" s="131">
        <f t="shared" si="1764"/>
        <v>259</v>
      </c>
      <c r="DC482" s="131">
        <f t="shared" si="1764"/>
        <v>261</v>
      </c>
      <c r="DD482" s="131">
        <f t="shared" si="1764"/>
        <v>264</v>
      </c>
      <c r="DE482" s="131">
        <f t="shared" si="1764"/>
        <v>268</v>
      </c>
      <c r="DF482" s="131">
        <f t="shared" si="1764"/>
        <v>270</v>
      </c>
      <c r="DG482" s="131">
        <f t="shared" si="1764"/>
        <v>273</v>
      </c>
      <c r="DH482" s="131">
        <f t="shared" si="1764"/>
        <v>275</v>
      </c>
      <c r="DI482" s="131">
        <f t="shared" si="1764"/>
        <v>277</v>
      </c>
      <c r="DJ482" s="131">
        <f t="shared" si="1764"/>
        <v>280</v>
      </c>
      <c r="DK482" s="131">
        <f t="shared" si="1764"/>
        <v>284</v>
      </c>
      <c r="DL482" s="131">
        <f t="shared" si="1764"/>
        <v>285</v>
      </c>
      <c r="DM482" s="131">
        <f t="shared" si="1764"/>
        <v>287</v>
      </c>
      <c r="DN482" s="131">
        <f t="shared" si="1764"/>
        <v>288</v>
      </c>
      <c r="DO482" s="131">
        <f t="shared" si="1764"/>
        <v>289</v>
      </c>
      <c r="DP482" s="131">
        <f t="shared" si="1764"/>
        <v>291</v>
      </c>
      <c r="DQ482" s="131">
        <f t="shared" si="1764"/>
        <v>292</v>
      </c>
      <c r="DR482" s="131">
        <f t="shared" si="1764"/>
        <v>294</v>
      </c>
      <c r="DS482" s="131">
        <f t="shared" si="1764"/>
        <v>297</v>
      </c>
      <c r="DT482" s="131">
        <f t="shared" si="1764"/>
        <v>299</v>
      </c>
      <c r="DU482" s="131">
        <f t="shared" si="1764"/>
        <v>301</v>
      </c>
      <c r="DV482" s="131">
        <f t="shared" si="1764"/>
        <v>304</v>
      </c>
      <c r="DW482" s="131">
        <f t="shared" si="1764"/>
        <v>308</v>
      </c>
      <c r="DX482" s="131">
        <f t="shared" si="1764"/>
        <v>309</v>
      </c>
      <c r="DY482" s="131">
        <f t="shared" si="1764"/>
        <v>311</v>
      </c>
      <c r="DZ482" s="131">
        <f t="shared" si="1764"/>
        <v>312</v>
      </c>
      <c r="EA482" s="131">
        <f t="shared" si="1764"/>
        <v>313</v>
      </c>
      <c r="EB482" s="131">
        <f t="shared" si="1764"/>
        <v>315</v>
      </c>
      <c r="EC482" s="131">
        <f t="shared" si="1764"/>
        <v>316</v>
      </c>
      <c r="ED482" s="113" t="s">
        <v>1</v>
      </c>
    </row>
    <row r="483" spans="1:134" x14ac:dyDescent="0.2">
      <c r="A483" s="119" t="s">
        <v>192</v>
      </c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>
        <v>30</v>
      </c>
      <c r="AK483" s="115">
        <v>33</v>
      </c>
      <c r="AL483" s="115">
        <v>33</v>
      </c>
      <c r="AM483" s="115">
        <v>33</v>
      </c>
      <c r="AN483" s="129">
        <v>38</v>
      </c>
      <c r="AO483" s="129">
        <v>38</v>
      </c>
      <c r="AP483" s="129">
        <v>43</v>
      </c>
      <c r="AQ483" s="129">
        <v>48</v>
      </c>
      <c r="AR483" s="129">
        <v>56</v>
      </c>
      <c r="AS483" s="129">
        <v>61</v>
      </c>
      <c r="AT483" s="129">
        <v>66</v>
      </c>
      <c r="AU483" s="129">
        <v>70</v>
      </c>
      <c r="AV483" s="129">
        <v>72</v>
      </c>
      <c r="AW483" s="129">
        <v>83</v>
      </c>
      <c r="AX483" s="129">
        <v>90</v>
      </c>
      <c r="AY483" s="129">
        <v>117</v>
      </c>
      <c r="AZ483" s="129">
        <v>130</v>
      </c>
      <c r="BA483" s="129">
        <v>134</v>
      </c>
      <c r="BB483" s="129">
        <v>142</v>
      </c>
      <c r="BC483" s="129">
        <v>149</v>
      </c>
      <c r="BD483" s="129">
        <v>155</v>
      </c>
      <c r="BE483" s="129">
        <v>177</v>
      </c>
      <c r="BF483" s="129">
        <v>181</v>
      </c>
      <c r="BG483" s="129">
        <v>184</v>
      </c>
      <c r="BH483" s="129">
        <v>184</v>
      </c>
      <c r="BI483" s="129">
        <v>188</v>
      </c>
      <c r="BJ483" s="129">
        <v>191</v>
      </c>
      <c r="BK483" s="129">
        <v>193</v>
      </c>
      <c r="BL483" s="129">
        <v>193</v>
      </c>
      <c r="BM483" s="129">
        <v>190</v>
      </c>
      <c r="BN483" s="129">
        <v>190</v>
      </c>
      <c r="BO483" s="129">
        <v>188</v>
      </c>
      <c r="BP483" s="129">
        <v>188</v>
      </c>
      <c r="BQ483" s="129">
        <v>189</v>
      </c>
      <c r="BR483" s="129">
        <v>188</v>
      </c>
      <c r="BS483" s="129">
        <v>183</v>
      </c>
      <c r="BT483" s="129">
        <v>180</v>
      </c>
      <c r="BU483" s="129">
        <v>179</v>
      </c>
      <c r="BV483" s="129">
        <v>179</v>
      </c>
      <c r="BW483" s="129">
        <v>179</v>
      </c>
      <c r="BX483" s="129">
        <v>178</v>
      </c>
      <c r="BY483" s="129">
        <v>180</v>
      </c>
      <c r="BZ483" s="129">
        <v>178</v>
      </c>
      <c r="CA483" s="129">
        <v>179</v>
      </c>
      <c r="CB483" s="129">
        <v>176</v>
      </c>
      <c r="CC483" s="129">
        <v>176</v>
      </c>
      <c r="CD483" s="129">
        <v>176</v>
      </c>
      <c r="CE483" s="129">
        <v>176</v>
      </c>
      <c r="CF483" s="129">
        <v>177</v>
      </c>
      <c r="CG483" s="129">
        <v>179</v>
      </c>
      <c r="CH483" s="129">
        <v>180</v>
      </c>
      <c r="CI483" s="129">
        <v>185</v>
      </c>
      <c r="CJ483" s="129">
        <v>189</v>
      </c>
      <c r="CK483" s="129">
        <v>194</v>
      </c>
      <c r="CL483" s="129">
        <v>193</v>
      </c>
      <c r="CM483" s="129">
        <v>197</v>
      </c>
      <c r="CN483" s="129">
        <v>200</v>
      </c>
      <c r="CO483" s="129">
        <v>201</v>
      </c>
      <c r="CP483" s="129">
        <v>210</v>
      </c>
      <c r="CQ483" s="129">
        <v>221</v>
      </c>
      <c r="CR483" s="129">
        <v>230</v>
      </c>
      <c r="CS483" s="129">
        <v>233</v>
      </c>
      <c r="CT483" s="130">
        <f>CT479+CT480-CT481</f>
        <v>238</v>
      </c>
      <c r="CU483" s="130">
        <f t="shared" ref="CU483:EC483" si="1765">CU479+CU480-CU481</f>
        <v>240</v>
      </c>
      <c r="CV483" s="130">
        <f t="shared" si="1765"/>
        <v>243</v>
      </c>
      <c r="CW483" s="130">
        <f t="shared" si="1765"/>
        <v>245</v>
      </c>
      <c r="CX483" s="130">
        <f t="shared" si="1765"/>
        <v>248</v>
      </c>
      <c r="CY483" s="130">
        <f t="shared" si="1765"/>
        <v>252</v>
      </c>
      <c r="CZ483" s="130">
        <f t="shared" si="1765"/>
        <v>254</v>
      </c>
      <c r="DA483" s="130">
        <f t="shared" si="1765"/>
        <v>257</v>
      </c>
      <c r="DB483" s="130">
        <f t="shared" si="1765"/>
        <v>259</v>
      </c>
      <c r="DC483" s="130">
        <f t="shared" si="1765"/>
        <v>261</v>
      </c>
      <c r="DD483" s="130">
        <f t="shared" si="1765"/>
        <v>264</v>
      </c>
      <c r="DE483" s="130">
        <f t="shared" si="1765"/>
        <v>268</v>
      </c>
      <c r="DF483" s="130">
        <f t="shared" si="1765"/>
        <v>270</v>
      </c>
      <c r="DG483" s="130">
        <f t="shared" si="1765"/>
        <v>273</v>
      </c>
      <c r="DH483" s="130">
        <f t="shared" si="1765"/>
        <v>275</v>
      </c>
      <c r="DI483" s="130">
        <f t="shared" si="1765"/>
        <v>277</v>
      </c>
      <c r="DJ483" s="130">
        <f t="shared" si="1765"/>
        <v>280</v>
      </c>
      <c r="DK483" s="130">
        <f t="shared" si="1765"/>
        <v>284</v>
      </c>
      <c r="DL483" s="130">
        <f t="shared" si="1765"/>
        <v>285</v>
      </c>
      <c r="DM483" s="130">
        <f t="shared" si="1765"/>
        <v>287</v>
      </c>
      <c r="DN483" s="130">
        <f t="shared" si="1765"/>
        <v>288</v>
      </c>
      <c r="DO483" s="130">
        <f t="shared" si="1765"/>
        <v>289</v>
      </c>
      <c r="DP483" s="130">
        <f t="shared" si="1765"/>
        <v>291</v>
      </c>
      <c r="DQ483" s="130">
        <f t="shared" si="1765"/>
        <v>292</v>
      </c>
      <c r="DR483" s="130">
        <f t="shared" si="1765"/>
        <v>294</v>
      </c>
      <c r="DS483" s="130">
        <f t="shared" si="1765"/>
        <v>297</v>
      </c>
      <c r="DT483" s="130">
        <f t="shared" si="1765"/>
        <v>299</v>
      </c>
      <c r="DU483" s="130">
        <f t="shared" si="1765"/>
        <v>301</v>
      </c>
      <c r="DV483" s="130">
        <f t="shared" si="1765"/>
        <v>304</v>
      </c>
      <c r="DW483" s="130">
        <f t="shared" si="1765"/>
        <v>308</v>
      </c>
      <c r="DX483" s="130">
        <f t="shared" si="1765"/>
        <v>309</v>
      </c>
      <c r="DY483" s="130">
        <f t="shared" si="1765"/>
        <v>311</v>
      </c>
      <c r="DZ483" s="130">
        <f t="shared" si="1765"/>
        <v>312</v>
      </c>
      <c r="EA483" s="130">
        <f t="shared" si="1765"/>
        <v>313</v>
      </c>
      <c r="EB483" s="130">
        <f t="shared" si="1765"/>
        <v>315</v>
      </c>
      <c r="EC483" s="130">
        <f t="shared" si="1765"/>
        <v>316</v>
      </c>
      <c r="ED483" s="113" t="s">
        <v>1</v>
      </c>
    </row>
    <row r="484" spans="1:134" x14ac:dyDescent="0.2">
      <c r="A484" s="119" t="s">
        <v>193</v>
      </c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>
        <v>6</v>
      </c>
      <c r="AK484" s="115">
        <v>6</v>
      </c>
      <c r="AL484" s="115">
        <v>8</v>
      </c>
      <c r="AM484" s="115">
        <v>8</v>
      </c>
      <c r="AN484" s="129">
        <v>9</v>
      </c>
      <c r="AO484" s="129">
        <v>9</v>
      </c>
      <c r="AP484" s="129">
        <v>9</v>
      </c>
      <c r="AQ484" s="129">
        <v>10</v>
      </c>
      <c r="AR484" s="129">
        <v>10</v>
      </c>
      <c r="AS484" s="129">
        <v>12</v>
      </c>
      <c r="AT484" s="129">
        <v>12</v>
      </c>
      <c r="AU484" s="129">
        <v>14</v>
      </c>
      <c r="AV484" s="129">
        <v>14</v>
      </c>
      <c r="AW484" s="129">
        <v>14</v>
      </c>
      <c r="AX484" s="129">
        <v>12</v>
      </c>
      <c r="AY484" s="129">
        <v>10</v>
      </c>
      <c r="AZ484" s="129">
        <v>8</v>
      </c>
      <c r="BA484" s="129">
        <v>8</v>
      </c>
      <c r="BB484" s="129">
        <v>8</v>
      </c>
      <c r="BC484" s="129">
        <v>8</v>
      </c>
      <c r="BD484" s="129">
        <v>8</v>
      </c>
      <c r="BE484" s="129">
        <v>8</v>
      </c>
      <c r="BF484" s="129">
        <v>7</v>
      </c>
      <c r="BG484" s="129">
        <v>7</v>
      </c>
      <c r="BH484" s="129">
        <v>7</v>
      </c>
      <c r="BI484" s="129">
        <v>7</v>
      </c>
      <c r="BJ484" s="129">
        <v>7</v>
      </c>
      <c r="BK484" s="129">
        <v>7</v>
      </c>
      <c r="BL484" s="129">
        <v>7</v>
      </c>
      <c r="BM484" s="129">
        <v>7</v>
      </c>
      <c r="BN484" s="129">
        <v>6</v>
      </c>
      <c r="BO484" s="129">
        <v>6</v>
      </c>
      <c r="BP484" s="129">
        <v>6</v>
      </c>
      <c r="BQ484" s="129">
        <v>6</v>
      </c>
      <c r="BR484" s="129">
        <v>6</v>
      </c>
      <c r="BS484" s="129">
        <v>6</v>
      </c>
      <c r="BT484" s="129">
        <v>6</v>
      </c>
      <c r="BU484" s="129">
        <v>6</v>
      </c>
      <c r="BV484" s="129">
        <v>6</v>
      </c>
      <c r="BW484" s="129">
        <v>6</v>
      </c>
      <c r="BX484" s="129">
        <v>6</v>
      </c>
      <c r="BY484" s="129">
        <v>3</v>
      </c>
      <c r="BZ484" s="129">
        <v>3</v>
      </c>
      <c r="CA484" s="129">
        <v>3</v>
      </c>
      <c r="CB484" s="129">
        <v>3</v>
      </c>
      <c r="CC484" s="129">
        <v>3</v>
      </c>
      <c r="CD484" s="129">
        <v>3</v>
      </c>
      <c r="CE484" s="129">
        <v>3</v>
      </c>
      <c r="CF484" s="129">
        <v>4</v>
      </c>
      <c r="CG484" s="129">
        <v>4</v>
      </c>
      <c r="CH484" s="129">
        <v>4</v>
      </c>
      <c r="CI484" s="129">
        <v>4</v>
      </c>
      <c r="CJ484" s="129">
        <v>4</v>
      </c>
      <c r="CK484" s="129">
        <v>4</v>
      </c>
      <c r="CL484" s="129">
        <v>4</v>
      </c>
      <c r="CM484" s="129">
        <v>4</v>
      </c>
      <c r="CN484" s="129">
        <v>4</v>
      </c>
      <c r="CO484" s="129">
        <v>4</v>
      </c>
      <c r="CP484" s="129">
        <v>4</v>
      </c>
      <c r="CQ484" s="129">
        <v>4</v>
      </c>
      <c r="CR484" s="129">
        <v>4</v>
      </c>
      <c r="CS484" s="129">
        <v>4</v>
      </c>
      <c r="CT484" s="115">
        <v>0</v>
      </c>
      <c r="CU484" s="115">
        <v>0</v>
      </c>
      <c r="CV484" s="115">
        <v>0</v>
      </c>
      <c r="CW484" s="115">
        <v>0</v>
      </c>
      <c r="CX484" s="115">
        <v>0</v>
      </c>
      <c r="CY484" s="115">
        <v>0</v>
      </c>
      <c r="CZ484" s="115">
        <v>0</v>
      </c>
      <c r="DA484" s="115">
        <v>0</v>
      </c>
      <c r="DB484" s="115">
        <v>0</v>
      </c>
      <c r="DC484" s="115">
        <v>0</v>
      </c>
      <c r="DD484" s="115">
        <v>0</v>
      </c>
      <c r="DE484" s="115">
        <v>0</v>
      </c>
      <c r="DF484" s="115">
        <v>0</v>
      </c>
      <c r="DG484" s="115">
        <v>0</v>
      </c>
      <c r="DH484" s="115">
        <v>0</v>
      </c>
      <c r="DI484" s="115">
        <v>0</v>
      </c>
      <c r="DJ484" s="115">
        <v>0</v>
      </c>
      <c r="DK484" s="115">
        <v>0</v>
      </c>
      <c r="DL484" s="115">
        <v>0</v>
      </c>
      <c r="DM484" s="115">
        <v>0</v>
      </c>
      <c r="DN484" s="115">
        <v>0</v>
      </c>
      <c r="DO484" s="115">
        <v>0</v>
      </c>
      <c r="DP484" s="115">
        <v>0</v>
      </c>
      <c r="DQ484" s="115">
        <v>0</v>
      </c>
      <c r="DR484" s="115"/>
      <c r="DS484" s="115"/>
      <c r="DT484" s="115"/>
      <c r="DU484" s="115"/>
      <c r="DV484" s="115"/>
      <c r="DW484" s="115"/>
      <c r="DX484" s="115"/>
      <c r="DY484" s="115"/>
      <c r="DZ484" s="115"/>
      <c r="EA484" s="115"/>
      <c r="EB484" s="115"/>
      <c r="EC484" s="645"/>
      <c r="ED484" s="113" t="s">
        <v>1</v>
      </c>
    </row>
    <row r="485" spans="1:134" x14ac:dyDescent="0.2">
      <c r="A485" s="119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129"/>
      <c r="AO485" s="129"/>
      <c r="AP485" s="129"/>
      <c r="AQ485" s="129"/>
      <c r="AR485" s="129"/>
      <c r="AS485" s="129"/>
      <c r="AT485" s="129"/>
      <c r="AU485" s="129"/>
      <c r="AV485" s="129"/>
      <c r="AW485" s="129"/>
      <c r="AX485" s="129"/>
      <c r="AY485" s="129"/>
      <c r="AZ485" s="129"/>
      <c r="BA485" s="129"/>
      <c r="BB485" s="129"/>
      <c r="BC485" s="129"/>
      <c r="BD485" s="129"/>
      <c r="BE485" s="129"/>
      <c r="BF485" s="129"/>
      <c r="BG485" s="129"/>
      <c r="BH485" s="129"/>
      <c r="BI485" s="129"/>
      <c r="BJ485" s="129"/>
      <c r="BK485" s="129"/>
      <c r="BL485" s="129"/>
      <c r="BM485" s="129"/>
      <c r="BN485" s="129"/>
      <c r="BO485" s="129"/>
      <c r="BP485" s="129"/>
      <c r="BQ485" s="129"/>
      <c r="BR485" s="129"/>
      <c r="BS485" s="129"/>
      <c r="BT485" s="129"/>
      <c r="BU485" s="129"/>
      <c r="BV485" s="129"/>
      <c r="BW485" s="129"/>
      <c r="BX485" s="129"/>
      <c r="BY485" s="129"/>
      <c r="BZ485" s="129"/>
      <c r="CA485" s="129"/>
      <c r="CB485" s="129"/>
      <c r="CC485" s="129"/>
      <c r="CD485" s="129"/>
      <c r="CE485" s="129"/>
      <c r="CF485" s="129"/>
      <c r="CG485" s="129"/>
      <c r="CH485" s="129"/>
      <c r="CI485" s="129"/>
      <c r="CJ485" s="129"/>
      <c r="CK485" s="129"/>
      <c r="CL485" s="129"/>
      <c r="CM485" s="129"/>
      <c r="CN485" s="129"/>
      <c r="CO485" s="129"/>
      <c r="CP485" s="129"/>
      <c r="CQ485" s="129"/>
      <c r="CR485" s="129"/>
      <c r="CS485" s="129"/>
      <c r="CT485" s="115"/>
      <c r="CU485" s="115"/>
      <c r="CV485" s="115"/>
      <c r="CW485" s="115"/>
      <c r="CX485" s="115"/>
      <c r="CY485" s="115"/>
      <c r="CZ485" s="115"/>
      <c r="DA485" s="115"/>
      <c r="DB485" s="115"/>
      <c r="DC485" s="115"/>
      <c r="DD485" s="115"/>
      <c r="DE485" s="115"/>
      <c r="DF485" s="115"/>
      <c r="DG485" s="115"/>
      <c r="DH485" s="115"/>
      <c r="DI485" s="115"/>
      <c r="DJ485" s="115"/>
      <c r="DK485" s="115"/>
      <c r="DL485" s="115"/>
      <c r="DM485" s="115"/>
      <c r="DN485" s="115"/>
      <c r="DO485" s="115"/>
      <c r="DP485" s="115"/>
      <c r="DQ485" s="115"/>
      <c r="DR485" s="115"/>
      <c r="DS485" s="115"/>
      <c r="DT485" s="115"/>
      <c r="DU485" s="115"/>
      <c r="DV485" s="115"/>
      <c r="DW485" s="115"/>
      <c r="DX485" s="115"/>
      <c r="DY485" s="115"/>
      <c r="DZ485" s="115"/>
      <c r="EA485" s="115"/>
      <c r="EB485" s="115"/>
      <c r="EC485" s="645"/>
      <c r="ED485" s="113" t="s">
        <v>1</v>
      </c>
    </row>
    <row r="486" spans="1:134" x14ac:dyDescent="0.2">
      <c r="A486" s="119" t="s">
        <v>239</v>
      </c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29">
        <f t="shared" ref="AN486:BS486" si="1766">AN394/AN482</f>
        <v>27.446808510638299</v>
      </c>
      <c r="AO486" s="129">
        <f t="shared" si="1766"/>
        <v>41.680851063829785</v>
      </c>
      <c r="AP486" s="129">
        <f t="shared" si="1766"/>
        <v>48.846153846153847</v>
      </c>
      <c r="AQ486" s="129">
        <f t="shared" si="1766"/>
        <v>63.327586206896555</v>
      </c>
      <c r="AR486" s="129">
        <f t="shared" si="1766"/>
        <v>60.742424242424242</v>
      </c>
      <c r="AS486" s="129">
        <f t="shared" si="1766"/>
        <v>76.424657534246577</v>
      </c>
      <c r="AT486" s="129">
        <f t="shared" si="1766"/>
        <v>88.782051282051285</v>
      </c>
      <c r="AU486" s="129">
        <f t="shared" si="1766"/>
        <v>81.726190476190482</v>
      </c>
      <c r="AV486" s="129">
        <f t="shared" si="1766"/>
        <v>81.139534883720927</v>
      </c>
      <c r="AW486" s="129">
        <f t="shared" si="1766"/>
        <v>78</v>
      </c>
      <c r="AX486" s="129">
        <f t="shared" si="1766"/>
        <v>64.235294117647058</v>
      </c>
      <c r="AY486" s="129">
        <f t="shared" si="1766"/>
        <v>69.047244094488192</v>
      </c>
      <c r="AZ486" s="129">
        <f t="shared" si="1766"/>
        <v>65.905797101449281</v>
      </c>
      <c r="BA486" s="129">
        <f t="shared" si="1766"/>
        <v>68.535211267605632</v>
      </c>
      <c r="BB486" s="129">
        <f t="shared" si="1766"/>
        <v>68.58</v>
      </c>
      <c r="BC486" s="129">
        <f t="shared" si="1766"/>
        <v>66.178343949044589</v>
      </c>
      <c r="BD486" s="129">
        <f t="shared" si="1766"/>
        <v>64.99386503067484</v>
      </c>
      <c r="BE486" s="129">
        <f t="shared" si="1766"/>
        <v>55.064864864864866</v>
      </c>
      <c r="BF486" s="129">
        <f t="shared" si="1766"/>
        <v>61.553191489361701</v>
      </c>
      <c r="BG486" s="129">
        <f t="shared" si="1766"/>
        <v>62.701570680628272</v>
      </c>
      <c r="BH486" s="129">
        <f t="shared" si="1766"/>
        <v>57.712041884816756</v>
      </c>
      <c r="BI486" s="129">
        <f t="shared" si="1766"/>
        <v>66.317948717948724</v>
      </c>
      <c r="BJ486" s="129">
        <f t="shared" si="1766"/>
        <v>66.671717171717177</v>
      </c>
      <c r="BK486" s="129">
        <f t="shared" si="1766"/>
        <v>73.14</v>
      </c>
      <c r="BL486" s="129">
        <f t="shared" si="1766"/>
        <v>73.465000000000003</v>
      </c>
      <c r="BM486" s="129">
        <f t="shared" si="1766"/>
        <v>67.116751269035532</v>
      </c>
      <c r="BN486" s="129">
        <f t="shared" si="1766"/>
        <v>68.260204081632651</v>
      </c>
      <c r="BO486" s="129">
        <f t="shared" si="1766"/>
        <v>65.134020618556704</v>
      </c>
      <c r="BP486" s="129">
        <f t="shared" si="1766"/>
        <v>78.628865979381445</v>
      </c>
      <c r="BQ486" s="129">
        <f t="shared" si="1766"/>
        <v>70.717948717948715</v>
      </c>
      <c r="BR486" s="129">
        <f t="shared" si="1766"/>
        <v>63.170103092783506</v>
      </c>
      <c r="BS486" s="129">
        <f t="shared" si="1766"/>
        <v>58.412698412698411</v>
      </c>
      <c r="BT486" s="129">
        <f t="shared" ref="BT486:CS486" si="1767">BT394/BT482</f>
        <v>52.306451612903224</v>
      </c>
      <c r="BU486" s="129">
        <f t="shared" si="1767"/>
        <v>65.816216216216219</v>
      </c>
      <c r="BV486" s="129">
        <f t="shared" si="1767"/>
        <v>69.98918918918919</v>
      </c>
      <c r="BW486" s="129">
        <f t="shared" si="1767"/>
        <v>67.740540540540536</v>
      </c>
      <c r="BX486" s="129">
        <f t="shared" si="1767"/>
        <v>73.722826086956516</v>
      </c>
      <c r="BY486" s="129">
        <f t="shared" si="1767"/>
        <v>70.546448087431699</v>
      </c>
      <c r="BZ486" s="129">
        <f t="shared" si="1767"/>
        <v>58.613259668508285</v>
      </c>
      <c r="CA486" s="129">
        <f t="shared" si="1767"/>
        <v>51.093406593406591</v>
      </c>
      <c r="CB486" s="129">
        <f t="shared" si="1767"/>
        <v>63.279329608938546</v>
      </c>
      <c r="CC486" s="129">
        <f t="shared" si="1767"/>
        <v>61.972067039106143</v>
      </c>
      <c r="CD486" s="129">
        <f t="shared" si="1767"/>
        <v>73.061452513966486</v>
      </c>
      <c r="CE486" s="129">
        <f t="shared" si="1767"/>
        <v>74.642458100558656</v>
      </c>
      <c r="CF486" s="129">
        <f t="shared" si="1767"/>
        <v>69.784530386740329</v>
      </c>
      <c r="CG486" s="129">
        <f t="shared" si="1767"/>
        <v>84.759562841530055</v>
      </c>
      <c r="CH486" s="129">
        <f t="shared" si="1767"/>
        <v>83.304347826086953</v>
      </c>
      <c r="CI486" s="129">
        <f t="shared" si="1767"/>
        <v>80.698412698412696</v>
      </c>
      <c r="CJ486" s="129">
        <f t="shared" si="1767"/>
        <v>79.435233160621763</v>
      </c>
      <c r="CK486" s="129">
        <f t="shared" si="1767"/>
        <v>85.833333333333329</v>
      </c>
      <c r="CL486" s="129">
        <f t="shared" si="1767"/>
        <v>74.939086294416242</v>
      </c>
      <c r="CM486" s="129">
        <f t="shared" si="1767"/>
        <v>67.880597014925371</v>
      </c>
      <c r="CN486" s="129">
        <f t="shared" si="1767"/>
        <v>85.696078431372555</v>
      </c>
      <c r="CO486" s="129">
        <f t="shared" si="1767"/>
        <v>77.370731707317077</v>
      </c>
      <c r="CP486" s="129">
        <f t="shared" si="1767"/>
        <v>92.59345794392523</v>
      </c>
      <c r="CQ486" s="129">
        <f t="shared" si="1767"/>
        <v>94.257777777777775</v>
      </c>
      <c r="CR486" s="129">
        <f t="shared" si="1767"/>
        <v>86.089743589743591</v>
      </c>
      <c r="CS486" s="129">
        <f t="shared" si="1767"/>
        <v>99.670886075949369</v>
      </c>
      <c r="CT486" s="129">
        <f>CH486*(1+5%)</f>
        <v>87.469565217391306</v>
      </c>
      <c r="CU486" s="129">
        <f t="shared" ref="CU486:EC486" si="1768">CI486*(1+5%)</f>
        <v>84.733333333333334</v>
      </c>
      <c r="CV486" s="129">
        <f t="shared" si="1768"/>
        <v>83.406994818652848</v>
      </c>
      <c r="CW486" s="129">
        <f t="shared" si="1768"/>
        <v>90.125</v>
      </c>
      <c r="CX486" s="129">
        <f t="shared" si="1768"/>
        <v>78.686040609137052</v>
      </c>
      <c r="CY486" s="129">
        <f t="shared" si="1768"/>
        <v>71.27462686567165</v>
      </c>
      <c r="CZ486" s="129">
        <f t="shared" si="1768"/>
        <v>89.980882352941194</v>
      </c>
      <c r="DA486" s="129">
        <f t="shared" si="1768"/>
        <v>81.239268292682937</v>
      </c>
      <c r="DB486" s="129">
        <f t="shared" si="1768"/>
        <v>97.223130841121502</v>
      </c>
      <c r="DC486" s="129">
        <f t="shared" si="1768"/>
        <v>98.970666666666673</v>
      </c>
      <c r="DD486" s="129">
        <f t="shared" si="1768"/>
        <v>90.394230769230774</v>
      </c>
      <c r="DE486" s="129">
        <f t="shared" si="1768"/>
        <v>104.65443037974684</v>
      </c>
      <c r="DF486" s="129">
        <f t="shared" si="1768"/>
        <v>91.843043478260881</v>
      </c>
      <c r="DG486" s="129">
        <f t="shared" si="1768"/>
        <v>88.97</v>
      </c>
      <c r="DH486" s="129">
        <f t="shared" si="1768"/>
        <v>87.577344559585498</v>
      </c>
      <c r="DI486" s="129">
        <f t="shared" si="1768"/>
        <v>94.631250000000009</v>
      </c>
      <c r="DJ486" s="129">
        <f t="shared" si="1768"/>
        <v>82.620342639593915</v>
      </c>
      <c r="DK486" s="129">
        <f t="shared" si="1768"/>
        <v>74.838358208955242</v>
      </c>
      <c r="DL486" s="129">
        <f t="shared" si="1768"/>
        <v>94.479926470588254</v>
      </c>
      <c r="DM486" s="129">
        <f t="shared" si="1768"/>
        <v>85.301231707317086</v>
      </c>
      <c r="DN486" s="129">
        <f t="shared" si="1768"/>
        <v>102.08428738317758</v>
      </c>
      <c r="DO486" s="129">
        <f t="shared" si="1768"/>
        <v>103.91920000000002</v>
      </c>
      <c r="DP486" s="129">
        <f t="shared" si="1768"/>
        <v>94.913942307692309</v>
      </c>
      <c r="DQ486" s="129">
        <f t="shared" si="1768"/>
        <v>109.88715189873419</v>
      </c>
      <c r="DR486" s="129">
        <f t="shared" si="1768"/>
        <v>96.435195652173931</v>
      </c>
      <c r="DS486" s="129">
        <f t="shared" si="1768"/>
        <v>93.418500000000009</v>
      </c>
      <c r="DT486" s="129">
        <f t="shared" si="1768"/>
        <v>91.956211787564783</v>
      </c>
      <c r="DU486" s="129">
        <f t="shared" si="1768"/>
        <v>99.362812500000018</v>
      </c>
      <c r="DV486" s="129">
        <f t="shared" si="1768"/>
        <v>86.751359771573618</v>
      </c>
      <c r="DW486" s="129">
        <f t="shared" si="1768"/>
        <v>78.58027611940301</v>
      </c>
      <c r="DX486" s="129">
        <f t="shared" si="1768"/>
        <v>99.203922794117673</v>
      </c>
      <c r="DY486" s="129">
        <f t="shared" si="1768"/>
        <v>89.566293292682943</v>
      </c>
      <c r="DZ486" s="129">
        <f t="shared" si="1768"/>
        <v>107.18850175233646</v>
      </c>
      <c r="EA486" s="129">
        <f t="shared" si="1768"/>
        <v>109.11516000000002</v>
      </c>
      <c r="EB486" s="129">
        <f t="shared" si="1768"/>
        <v>99.659639423076925</v>
      </c>
      <c r="EC486" s="129">
        <f t="shared" si="1768"/>
        <v>115.3815094936709</v>
      </c>
      <c r="ED486" s="113" t="s">
        <v>1</v>
      </c>
    </row>
    <row r="487" spans="1:134" x14ac:dyDescent="0.2">
      <c r="A487" s="119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29"/>
      <c r="AO487" s="129"/>
      <c r="AP487" s="129"/>
      <c r="AQ487" s="129"/>
      <c r="AR487" s="129"/>
      <c r="AS487" s="129"/>
      <c r="AT487" s="129"/>
      <c r="AU487" s="129"/>
      <c r="AV487" s="129"/>
      <c r="AW487" s="129"/>
      <c r="AX487" s="129"/>
      <c r="AY487" s="129"/>
      <c r="AZ487" s="129"/>
      <c r="BA487" s="129"/>
      <c r="BB487" s="129"/>
      <c r="BC487" s="129"/>
      <c r="BD487" s="129"/>
      <c r="BE487" s="129"/>
      <c r="BF487" s="129"/>
      <c r="BG487" s="129"/>
      <c r="BH487" s="129"/>
      <c r="BI487" s="129"/>
      <c r="BJ487" s="129"/>
      <c r="BK487" s="129"/>
      <c r="BL487" s="129"/>
      <c r="BM487" s="129"/>
      <c r="BN487" s="129"/>
      <c r="BO487" s="129"/>
      <c r="BP487" s="129"/>
      <c r="BQ487" s="129"/>
      <c r="BR487" s="129"/>
      <c r="BS487" s="129"/>
      <c r="BT487" s="129"/>
      <c r="BU487" s="129"/>
      <c r="BV487" s="129"/>
      <c r="BW487" s="129"/>
      <c r="BX487" s="129"/>
      <c r="BY487" s="129"/>
      <c r="BZ487" s="129"/>
      <c r="CA487" s="129"/>
      <c r="CB487" s="129"/>
      <c r="CC487" s="129"/>
      <c r="CD487" s="129"/>
      <c r="CE487" s="129"/>
      <c r="CF487" s="129"/>
      <c r="CG487" s="129"/>
      <c r="CH487" s="129"/>
      <c r="CI487" s="129"/>
      <c r="CJ487" s="129"/>
      <c r="CK487" s="129"/>
      <c r="CL487" s="129"/>
      <c r="CM487" s="129"/>
      <c r="CN487" s="129"/>
      <c r="CO487" s="129"/>
      <c r="CP487" s="129"/>
      <c r="CQ487" s="129"/>
      <c r="CR487" s="129"/>
      <c r="CS487" s="129"/>
      <c r="CT487" s="115"/>
      <c r="CU487" s="115"/>
      <c r="CV487" s="115"/>
      <c r="CW487" s="115"/>
      <c r="CX487" s="115"/>
      <c r="CY487" s="115"/>
      <c r="CZ487" s="115"/>
      <c r="DA487" s="115"/>
      <c r="DB487" s="115"/>
      <c r="DC487" s="115"/>
      <c r="DD487" s="115"/>
      <c r="DE487" s="115"/>
      <c r="DF487" s="115"/>
      <c r="DG487" s="115"/>
      <c r="DH487" s="115"/>
      <c r="DI487" s="115"/>
      <c r="DJ487" s="115"/>
      <c r="DK487" s="115"/>
      <c r="DL487" s="115"/>
      <c r="DM487" s="115"/>
      <c r="DN487" s="115"/>
      <c r="DO487" s="115"/>
      <c r="DP487" s="115"/>
      <c r="DQ487" s="115"/>
      <c r="DR487" s="115"/>
      <c r="DS487" s="115"/>
      <c r="DT487" s="115"/>
      <c r="DU487" s="115"/>
      <c r="DV487" s="115"/>
      <c r="DW487" s="115"/>
      <c r="DX487" s="115"/>
      <c r="DY487" s="115"/>
      <c r="DZ487" s="115"/>
      <c r="EA487" s="115"/>
      <c r="EB487" s="115"/>
      <c r="EC487" s="645"/>
      <c r="ED487" s="113" t="s">
        <v>1</v>
      </c>
    </row>
    <row r="488" spans="1:134" x14ac:dyDescent="0.2">
      <c r="A488" s="728" t="s">
        <v>18</v>
      </c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729">
        <f>AB489+AB493+AB496+AB497+AB498+AB499+AB500+AB501</f>
        <v>5804540.1507027065</v>
      </c>
      <c r="AC488" s="729">
        <f t="shared" ref="AC488:CN488" si="1769">AC489+AC493+AC496+AC497+AC498+AC499+AC500+AC501</f>
        <v>5158352.165744788</v>
      </c>
      <c r="AD488" s="729">
        <f t="shared" si="1769"/>
        <v>6931074.854548553</v>
      </c>
      <c r="AE488" s="729">
        <f t="shared" si="1769"/>
        <v>9055443.7951604314</v>
      </c>
      <c r="AF488" s="729">
        <f t="shared" si="1769"/>
        <v>9739839.6095205974</v>
      </c>
      <c r="AG488" s="729">
        <f t="shared" si="1769"/>
        <v>14316377.029019073</v>
      </c>
      <c r="AH488" s="729">
        <f t="shared" si="1769"/>
        <v>33621392.978916191</v>
      </c>
      <c r="AI488" s="729">
        <f t="shared" si="1769"/>
        <v>33351702.244746905</v>
      </c>
      <c r="AJ488" s="729">
        <f t="shared" si="1769"/>
        <v>32030523.624879539</v>
      </c>
      <c r="AK488" s="729">
        <f t="shared" si="1769"/>
        <v>33879111.585640885</v>
      </c>
      <c r="AL488" s="729">
        <f t="shared" si="1769"/>
        <v>19370416.08806064</v>
      </c>
      <c r="AM488" s="729">
        <f t="shared" si="1769"/>
        <v>504577.97326422721</v>
      </c>
      <c r="AN488" s="729">
        <f t="shared" si="1769"/>
        <v>13585599.06642</v>
      </c>
      <c r="AO488" s="729">
        <f t="shared" si="1769"/>
        <v>20028037.856196847</v>
      </c>
      <c r="AP488" s="729">
        <f t="shared" si="1769"/>
        <v>26183271.138574556</v>
      </c>
      <c r="AQ488" s="729">
        <f t="shared" si="1769"/>
        <v>37245465.87729612</v>
      </c>
      <c r="AR488" s="729">
        <f t="shared" si="1769"/>
        <v>45865825.928433366</v>
      </c>
      <c r="AS488" s="729">
        <f t="shared" si="1769"/>
        <v>61757216.820567317</v>
      </c>
      <c r="AT488" s="729">
        <f t="shared" si="1769"/>
        <v>75855003.837421417</v>
      </c>
      <c r="AU488" s="729">
        <f t="shared" si="1769"/>
        <v>77247545.990484193</v>
      </c>
      <c r="AV488" s="729">
        <f t="shared" si="1769"/>
        <v>81864187.79118979</v>
      </c>
      <c r="AW488" s="729">
        <f t="shared" si="1769"/>
        <v>92409737.194651693</v>
      </c>
      <c r="AX488" s="729">
        <f t="shared" si="1769"/>
        <v>82193295.098882124</v>
      </c>
      <c r="AY488" s="729">
        <f t="shared" si="1769"/>
        <v>102882536.34528242</v>
      </c>
      <c r="AZ488" s="729">
        <f t="shared" si="1769"/>
        <v>123190827.18646382</v>
      </c>
      <c r="BA488" s="729">
        <f t="shared" si="1769"/>
        <v>125314345.19586803</v>
      </c>
      <c r="BB488" s="729">
        <f t="shared" si="1769"/>
        <v>135369132.84690616</v>
      </c>
      <c r="BC488" s="729">
        <f t="shared" si="1769"/>
        <v>134920285.05698666</v>
      </c>
      <c r="BD488" s="729">
        <f t="shared" si="1769"/>
        <v>148046358.79124653</v>
      </c>
      <c r="BE488" s="729">
        <f t="shared" si="1769"/>
        <v>152376156.15576515</v>
      </c>
      <c r="BF488" s="729">
        <f t="shared" si="1769"/>
        <v>182845666.56358379</v>
      </c>
      <c r="BG488" s="729">
        <f t="shared" si="1769"/>
        <v>198792281.18380678</v>
      </c>
      <c r="BH488" s="729">
        <f t="shared" si="1769"/>
        <v>194939845.44047904</v>
      </c>
      <c r="BI488" s="729">
        <f t="shared" si="1769"/>
        <v>249165395.97480801</v>
      </c>
      <c r="BJ488" s="729">
        <f t="shared" si="1769"/>
        <v>273092518.175313</v>
      </c>
      <c r="BK488" s="729">
        <f t="shared" si="1769"/>
        <v>284626348.74032611</v>
      </c>
      <c r="BL488" s="729">
        <f t="shared" si="1769"/>
        <v>274536238.48426723</v>
      </c>
      <c r="BM488" s="729">
        <f t="shared" si="1769"/>
        <v>241686097.55465701</v>
      </c>
      <c r="BN488" s="729">
        <f t="shared" si="1769"/>
        <v>241615525.54571018</v>
      </c>
      <c r="BO488" s="729">
        <f t="shared" si="1769"/>
        <v>232838923.9062891</v>
      </c>
      <c r="BP488" s="729">
        <f t="shared" si="1769"/>
        <v>335282077.62678415</v>
      </c>
      <c r="BQ488" s="729">
        <f t="shared" si="1769"/>
        <v>287622823.76350564</v>
      </c>
      <c r="BR488" s="729">
        <f t="shared" si="1769"/>
        <v>245826953.97463968</v>
      </c>
      <c r="BS488" s="729">
        <f t="shared" si="1769"/>
        <v>218690762.99197665</v>
      </c>
      <c r="BT488" s="729">
        <f t="shared" si="1769"/>
        <v>189845418.77819806</v>
      </c>
      <c r="BU488" s="729">
        <f t="shared" si="1769"/>
        <v>231963494.91623446</v>
      </c>
      <c r="BV488" s="729">
        <f t="shared" si="1769"/>
        <v>252325448.15113145</v>
      </c>
      <c r="BW488" s="729">
        <f t="shared" si="1769"/>
        <v>246534146.4617331</v>
      </c>
      <c r="BX488" s="729">
        <f t="shared" si="1769"/>
        <v>264951485.26799598</v>
      </c>
      <c r="BY488" s="729">
        <f t="shared" si="1769"/>
        <v>250051355.57436565</v>
      </c>
      <c r="BZ488" s="729">
        <f t="shared" si="1769"/>
        <v>210924446.41332749</v>
      </c>
      <c r="CA488" s="729">
        <f t="shared" si="1769"/>
        <v>184888608.55294722</v>
      </c>
      <c r="CB488" s="729">
        <f t="shared" si="1769"/>
        <v>261345290.7657153</v>
      </c>
      <c r="CC488" s="729">
        <f t="shared" si="1769"/>
        <v>253750532.77981362</v>
      </c>
      <c r="CD488" s="729">
        <f t="shared" si="1769"/>
        <v>305040111.87439108</v>
      </c>
      <c r="CE488" s="729">
        <f t="shared" si="1769"/>
        <v>315959944.0201655</v>
      </c>
      <c r="CF488" s="729">
        <f t="shared" si="1769"/>
        <v>298119345.17532617</v>
      </c>
      <c r="CG488" s="729">
        <f t="shared" si="1769"/>
        <v>369932079.68220657</v>
      </c>
      <c r="CH488" s="729">
        <f t="shared" si="1769"/>
        <v>358143407.57613909</v>
      </c>
      <c r="CI488" s="729">
        <f t="shared" si="1769"/>
        <v>344417552.49137747</v>
      </c>
      <c r="CJ488" s="729">
        <f t="shared" si="1769"/>
        <v>347515121.54129481</v>
      </c>
      <c r="CK488" s="729">
        <f t="shared" si="1769"/>
        <v>386749518.97166145</v>
      </c>
      <c r="CL488" s="729">
        <f t="shared" si="1769"/>
        <v>317639672.81357008</v>
      </c>
      <c r="CM488" s="729">
        <f t="shared" si="1769"/>
        <v>301382585.77817637</v>
      </c>
      <c r="CN488" s="729">
        <f t="shared" si="1769"/>
        <v>436753712.08764595</v>
      </c>
      <c r="CO488" s="729">
        <f t="shared" ref="CO488:DQ488" si="1770">CO489+CO493+CO496+CO497+CO498+CO499+CO500+CO501</f>
        <v>391541295.03506422</v>
      </c>
      <c r="CP488" s="729">
        <f t="shared" si="1770"/>
        <v>504016748.924815</v>
      </c>
      <c r="CQ488" s="729">
        <f t="shared" si="1770"/>
        <v>531672975.5949136</v>
      </c>
      <c r="CR488" s="729">
        <f t="shared" si="1770"/>
        <v>519872405.42068732</v>
      </c>
      <c r="CS488" s="729">
        <f t="shared" si="1770"/>
        <v>633234495.10530257</v>
      </c>
      <c r="CT488" s="729">
        <f t="shared" si="1770"/>
        <v>515398347.0888983</v>
      </c>
      <c r="CU488" s="729">
        <f t="shared" si="1770"/>
        <v>504466190.69538665</v>
      </c>
      <c r="CV488" s="729">
        <f t="shared" si="1770"/>
        <v>503280961.05862111</v>
      </c>
      <c r="CW488" s="729">
        <f t="shared" si="1770"/>
        <v>545678249.39519083</v>
      </c>
      <c r="CX488" s="729">
        <f t="shared" si="1770"/>
        <v>486424319.91536379</v>
      </c>
      <c r="CY488" s="729">
        <f t="shared" si="1770"/>
        <v>450860447.03182423</v>
      </c>
      <c r="CZ488" s="729">
        <f t="shared" si="1770"/>
        <v>564872761.38852143</v>
      </c>
      <c r="DA488" s="729">
        <f t="shared" si="1770"/>
        <v>519328054.02154654</v>
      </c>
      <c r="DB488" s="729">
        <f t="shared" si="1770"/>
        <v>619589206.41217113</v>
      </c>
      <c r="DC488" s="729">
        <f t="shared" si="1770"/>
        <v>634974732.96691096</v>
      </c>
      <c r="DD488" s="729">
        <f t="shared" si="1770"/>
        <v>589648158.34616339</v>
      </c>
      <c r="DE488" s="729">
        <f t="shared" si="1770"/>
        <v>687408782.07312334</v>
      </c>
      <c r="DF488" s="729">
        <f t="shared" si="1770"/>
        <v>631739909.91018367</v>
      </c>
      <c r="DG488" s="729">
        <f t="shared" si="1770"/>
        <v>619909316.09552789</v>
      </c>
      <c r="DH488" s="729">
        <f t="shared" si="1770"/>
        <v>615246679.40086043</v>
      </c>
      <c r="DI488" s="729">
        <f t="shared" si="1770"/>
        <v>666679700.11226881</v>
      </c>
      <c r="DJ488" s="729">
        <f t="shared" si="1770"/>
        <v>593076371.21497416</v>
      </c>
      <c r="DK488" s="729">
        <f t="shared" si="1770"/>
        <v>548434340.93623567</v>
      </c>
      <c r="DL488" s="729">
        <f t="shared" si="1770"/>
        <v>684897518.92755127</v>
      </c>
      <c r="DM488" s="729">
        <f t="shared" si="1770"/>
        <v>626394499.74845707</v>
      </c>
      <c r="DN488" s="729">
        <f t="shared" si="1770"/>
        <v>744740195.72235405</v>
      </c>
      <c r="DO488" s="729">
        <f t="shared" si="1770"/>
        <v>760070459.36980295</v>
      </c>
      <c r="DP488" s="729">
        <f t="shared" si="1770"/>
        <v>702351726.30644155</v>
      </c>
      <c r="DQ488" s="729">
        <f t="shared" si="1770"/>
        <v>809841071.68576467</v>
      </c>
      <c r="DR488" s="729">
        <f t="shared" ref="DR488:EC488" si="1771">DR489+DR493+DR496+DR497+DR498+DR499+DR500+DR501</f>
        <v>722691502.38073027</v>
      </c>
      <c r="DS488" s="729">
        <f t="shared" si="1771"/>
        <v>708459214.353122</v>
      </c>
      <c r="DT488" s="729">
        <f t="shared" si="1771"/>
        <v>702686005.6423105</v>
      </c>
      <c r="DU488" s="729">
        <f t="shared" si="1771"/>
        <v>761149525.05814278</v>
      </c>
      <c r="DV488" s="729">
        <f t="shared" si="1771"/>
        <v>676278899.19844258</v>
      </c>
      <c r="DW488" s="729">
        <f t="shared" si="1771"/>
        <v>624485411.88236094</v>
      </c>
      <c r="DX488" s="729">
        <f t="shared" si="1771"/>
        <v>780195404.98428488</v>
      </c>
      <c r="DY488" s="729">
        <f t="shared" si="1771"/>
        <v>712963084.99065697</v>
      </c>
      <c r="DZ488" s="729">
        <f t="shared" si="1771"/>
        <v>847846936.8483547</v>
      </c>
      <c r="EA488" s="729">
        <f t="shared" si="1771"/>
        <v>865107238.80061066</v>
      </c>
      <c r="EB488" s="729">
        <f t="shared" si="1771"/>
        <v>798806660.3989296</v>
      </c>
      <c r="EC488" s="729">
        <f t="shared" si="1771"/>
        <v>921152150.1187669</v>
      </c>
      <c r="ED488" s="113" t="s">
        <v>1</v>
      </c>
    </row>
    <row r="489" spans="1:134" s="331" customFormat="1" x14ac:dyDescent="0.2">
      <c r="A489" s="114" t="s">
        <v>19</v>
      </c>
      <c r="B489" s="330"/>
      <c r="C489" s="330"/>
      <c r="D489" s="330"/>
      <c r="E489" s="330"/>
      <c r="F489" s="330"/>
      <c r="G489" s="330"/>
      <c r="H489" s="330"/>
      <c r="I489" s="330"/>
      <c r="J489" s="330"/>
      <c r="K489" s="330"/>
      <c r="L489" s="330"/>
      <c r="M489" s="330"/>
      <c r="N489" s="330"/>
      <c r="O489" s="330"/>
      <c r="P489" s="330"/>
      <c r="Q489" s="330"/>
      <c r="R489" s="330"/>
      <c r="S489" s="330"/>
      <c r="T489" s="330"/>
      <c r="U489" s="330"/>
      <c r="V489" s="330"/>
      <c r="W489" s="330"/>
      <c r="X489" s="330"/>
      <c r="Y489" s="330"/>
      <c r="Z489" s="330"/>
      <c r="AA489" s="330"/>
      <c r="AB489" s="129">
        <f>SUM(AB490:AB492)</f>
        <v>4581423.4823615896</v>
      </c>
      <c r="AC489" s="129">
        <f t="shared" ref="AC489:CN489" si="1772">SUM(AC490:AC492)</f>
        <v>4179698.8702537958</v>
      </c>
      <c r="AD489" s="129">
        <f t="shared" si="1772"/>
        <v>5574409.064434655</v>
      </c>
      <c r="AE489" s="129">
        <f t="shared" si="1772"/>
        <v>7527605.9021780258</v>
      </c>
      <c r="AF489" s="129">
        <f t="shared" si="1772"/>
        <v>8300368.4140230091</v>
      </c>
      <c r="AG489" s="129">
        <f t="shared" si="1772"/>
        <v>12244836.90593343</v>
      </c>
      <c r="AH489" s="129">
        <f t="shared" si="1772"/>
        <v>30994427.425028682</v>
      </c>
      <c r="AI489" s="129">
        <f t="shared" si="1772"/>
        <v>31096746.37986017</v>
      </c>
      <c r="AJ489" s="129">
        <f t="shared" si="1772"/>
        <v>29781328.775421232</v>
      </c>
      <c r="AK489" s="129">
        <f t="shared" si="1772"/>
        <v>31541922.851203389</v>
      </c>
      <c r="AL489" s="129">
        <f t="shared" si="1772"/>
        <v>17714085.106990628</v>
      </c>
      <c r="AM489" s="129">
        <f t="shared" si="1772"/>
        <v>451354.55</v>
      </c>
      <c r="AN489" s="129">
        <f t="shared" si="1772"/>
        <v>11927072.381323151</v>
      </c>
      <c r="AO489" s="129">
        <f t="shared" si="1772"/>
        <v>17392497.241415035</v>
      </c>
      <c r="AP489" s="129">
        <f t="shared" si="1772"/>
        <v>23397584.719631318</v>
      </c>
      <c r="AQ489" s="129">
        <f t="shared" si="1772"/>
        <v>32969609.370732732</v>
      </c>
      <c r="AR489" s="129">
        <f t="shared" si="1772"/>
        <v>40182971.537842385</v>
      </c>
      <c r="AS489" s="129">
        <f t="shared" si="1772"/>
        <v>55368387.192294076</v>
      </c>
      <c r="AT489" s="129">
        <f t="shared" si="1772"/>
        <v>67763008.494263798</v>
      </c>
      <c r="AU489" s="129">
        <f t="shared" si="1772"/>
        <v>68606288.964532971</v>
      </c>
      <c r="AV489" s="129">
        <f t="shared" si="1772"/>
        <v>72450123.688667595</v>
      </c>
      <c r="AW489" s="129">
        <f t="shared" si="1772"/>
        <v>82258721.956153244</v>
      </c>
      <c r="AX489" s="129">
        <f t="shared" si="1772"/>
        <v>74640395.52208963</v>
      </c>
      <c r="AY489" s="129">
        <f t="shared" si="1772"/>
        <v>92576472.315427542</v>
      </c>
      <c r="AZ489" s="129">
        <f t="shared" si="1772"/>
        <v>109621903.26441725</v>
      </c>
      <c r="BA489" s="129">
        <f t="shared" si="1772"/>
        <v>113656952.11977561</v>
      </c>
      <c r="BB489" s="129">
        <f t="shared" si="1772"/>
        <v>123586337.96370861</v>
      </c>
      <c r="BC489" s="129">
        <f t="shared" si="1772"/>
        <v>121721740.78589328</v>
      </c>
      <c r="BD489" s="129">
        <f t="shared" si="1772"/>
        <v>134713014.48340517</v>
      </c>
      <c r="BE489" s="129">
        <f t="shared" si="1772"/>
        <v>138442634.60987118</v>
      </c>
      <c r="BF489" s="129">
        <f t="shared" si="1772"/>
        <v>166407402.88047829</v>
      </c>
      <c r="BG489" s="129">
        <f t="shared" si="1772"/>
        <v>182958093.96254012</v>
      </c>
      <c r="BH489" s="129">
        <f t="shared" si="1772"/>
        <v>180211513.09159341</v>
      </c>
      <c r="BI489" s="129">
        <f t="shared" si="1772"/>
        <v>230211768.57917359</v>
      </c>
      <c r="BJ489" s="129">
        <f t="shared" si="1772"/>
        <v>247876167.43639615</v>
      </c>
      <c r="BK489" s="129">
        <f t="shared" si="1772"/>
        <v>255315567.18419826</v>
      </c>
      <c r="BL489" s="129">
        <f t="shared" si="1772"/>
        <v>245907963.52862915</v>
      </c>
      <c r="BM489" s="129">
        <f t="shared" si="1772"/>
        <v>214534967.34228292</v>
      </c>
      <c r="BN489" s="129">
        <f t="shared" si="1772"/>
        <v>212600322.55672026</v>
      </c>
      <c r="BO489" s="129">
        <f t="shared" si="1772"/>
        <v>207618396.0862332</v>
      </c>
      <c r="BP489" s="129">
        <f t="shared" si="1772"/>
        <v>302449654.10741007</v>
      </c>
      <c r="BQ489" s="129">
        <f t="shared" si="1772"/>
        <v>256402455.91563061</v>
      </c>
      <c r="BR489" s="129">
        <f t="shared" si="1772"/>
        <v>218211362.12842044</v>
      </c>
      <c r="BS489" s="129">
        <f t="shared" si="1772"/>
        <v>191146337.25621331</v>
      </c>
      <c r="BT489" s="129">
        <f t="shared" si="1772"/>
        <v>163187161.04964858</v>
      </c>
      <c r="BU489" s="129">
        <f t="shared" si="1772"/>
        <v>201428006.9065598</v>
      </c>
      <c r="BV489" s="129">
        <f t="shared" si="1772"/>
        <v>221388296.62932208</v>
      </c>
      <c r="BW489" s="129">
        <f t="shared" si="1772"/>
        <v>217516102.49981633</v>
      </c>
      <c r="BX489" s="129">
        <f t="shared" si="1772"/>
        <v>232047634.82729393</v>
      </c>
      <c r="BY489" s="129">
        <f t="shared" si="1772"/>
        <v>218188849.78757885</v>
      </c>
      <c r="BZ489" s="129">
        <f t="shared" si="1772"/>
        <v>183475632.14191887</v>
      </c>
      <c r="CA489" s="129">
        <f t="shared" si="1772"/>
        <v>159385532.80809826</v>
      </c>
      <c r="CB489" s="129">
        <f t="shared" si="1772"/>
        <v>236059259.91480386</v>
      </c>
      <c r="CC489" s="129">
        <f t="shared" si="1772"/>
        <v>227093177.15813661</v>
      </c>
      <c r="CD489" s="129">
        <f t="shared" si="1772"/>
        <v>273308442.95220208</v>
      </c>
      <c r="CE489" s="129">
        <f t="shared" si="1772"/>
        <v>284177325.64258623</v>
      </c>
      <c r="CF489" s="129">
        <f t="shared" si="1772"/>
        <v>269489440.62377191</v>
      </c>
      <c r="CG489" s="129">
        <f t="shared" si="1772"/>
        <v>336088607.7354793</v>
      </c>
      <c r="CH489" s="129">
        <f t="shared" si="1772"/>
        <v>324391297.96819758</v>
      </c>
      <c r="CI489" s="129">
        <f t="shared" si="1772"/>
        <v>314446685.31638229</v>
      </c>
      <c r="CJ489" s="129">
        <f t="shared" si="1772"/>
        <v>316923535.32446235</v>
      </c>
      <c r="CK489" s="129">
        <f t="shared" si="1772"/>
        <v>351835026.08909029</v>
      </c>
      <c r="CL489" s="129">
        <f t="shared" si="1772"/>
        <v>283380141.66763228</v>
      </c>
      <c r="CM489" s="129">
        <f t="shared" si="1772"/>
        <v>265894140.67207053</v>
      </c>
      <c r="CN489" s="129">
        <f t="shared" si="1772"/>
        <v>398335093.5928576</v>
      </c>
      <c r="CO489" s="129">
        <f t="shared" ref="CO489:DQ489" si="1773">SUM(CO490:CO492)</f>
        <v>357319750.50009412</v>
      </c>
      <c r="CP489" s="129">
        <f t="shared" si="1773"/>
        <v>455028809.40839982</v>
      </c>
      <c r="CQ489" s="129">
        <f t="shared" si="1773"/>
        <v>478904123.64780003</v>
      </c>
      <c r="CR489" s="129">
        <f t="shared" si="1773"/>
        <v>467511856.62919992</v>
      </c>
      <c r="CS489" s="129">
        <f t="shared" si="1773"/>
        <v>567489139.55989969</v>
      </c>
      <c r="CT489" s="129">
        <f t="shared" si="1773"/>
        <v>467222525.78715229</v>
      </c>
      <c r="CU489" s="129">
        <f t="shared" si="1773"/>
        <v>457367967.29231501</v>
      </c>
      <c r="CV489" s="129">
        <f t="shared" si="1773"/>
        <v>456321576.3415786</v>
      </c>
      <c r="CW489" s="129">
        <f t="shared" si="1773"/>
        <v>494616857.58913291</v>
      </c>
      <c r="CX489" s="129">
        <f t="shared" si="1773"/>
        <v>441141670.39564621</v>
      </c>
      <c r="CY489" s="129">
        <f t="shared" si="1773"/>
        <v>409063558.63156217</v>
      </c>
      <c r="CZ489" s="129">
        <f t="shared" si="1773"/>
        <v>512018279.77145213</v>
      </c>
      <c r="DA489" s="129">
        <f t="shared" si="1773"/>
        <v>470920810.94851422</v>
      </c>
      <c r="DB489" s="129">
        <f t="shared" si="1773"/>
        <v>561459947.25924921</v>
      </c>
      <c r="DC489" s="129">
        <f t="shared" si="1773"/>
        <v>575366975.3093884</v>
      </c>
      <c r="DD489" s="129">
        <f t="shared" si="1773"/>
        <v>534466453.1605919</v>
      </c>
      <c r="DE489" s="129">
        <f t="shared" si="1773"/>
        <v>622763739.60329866</v>
      </c>
      <c r="DF489" s="129">
        <f t="shared" si="1773"/>
        <v>571975796.76539326</v>
      </c>
      <c r="DG489" s="129">
        <f t="shared" si="1773"/>
        <v>561329084.23726487</v>
      </c>
      <c r="DH489" s="129">
        <f t="shared" si="1773"/>
        <v>557139599.51124585</v>
      </c>
      <c r="DI489" s="129">
        <f t="shared" si="1773"/>
        <v>603546510.36769724</v>
      </c>
      <c r="DJ489" s="129">
        <f t="shared" si="1773"/>
        <v>537182869.20413053</v>
      </c>
      <c r="DK489" s="129">
        <f t="shared" si="1773"/>
        <v>496949373.30754364</v>
      </c>
      <c r="DL489" s="129">
        <f t="shared" si="1773"/>
        <v>620042596.75415504</v>
      </c>
      <c r="DM489" s="129">
        <f t="shared" si="1773"/>
        <v>567290898.54387987</v>
      </c>
      <c r="DN489" s="129">
        <f t="shared" si="1773"/>
        <v>674042762.79265237</v>
      </c>
      <c r="DO489" s="129">
        <f t="shared" si="1773"/>
        <v>687878173.14630342</v>
      </c>
      <c r="DP489" s="129">
        <f t="shared" si="1773"/>
        <v>635833874.624282</v>
      </c>
      <c r="DQ489" s="129">
        <f t="shared" si="1773"/>
        <v>732793675.91016376</v>
      </c>
      <c r="DR489" s="129">
        <f t="shared" ref="DR489:EC489" si="1774">SUM(DR490:DR492)</f>
        <v>652083778.37311399</v>
      </c>
      <c r="DS489" s="129">
        <f t="shared" si="1774"/>
        <v>639316180.05519319</v>
      </c>
      <c r="DT489" s="129">
        <f t="shared" si="1774"/>
        <v>634143719.06782818</v>
      </c>
      <c r="DU489" s="129">
        <f t="shared" si="1774"/>
        <v>686711452.32470977</v>
      </c>
      <c r="DV489" s="129">
        <f t="shared" si="1774"/>
        <v>610449472.10934043</v>
      </c>
      <c r="DW489" s="129">
        <f t="shared" si="1774"/>
        <v>563927837.82002556</v>
      </c>
      <c r="DX489" s="129">
        <f t="shared" si="1774"/>
        <v>703898655.46255636</v>
      </c>
      <c r="DY489" s="129">
        <f t="shared" si="1774"/>
        <v>643482704.85423267</v>
      </c>
      <c r="DZ489" s="129">
        <f t="shared" si="1774"/>
        <v>764733617.60950077</v>
      </c>
      <c r="EA489" s="129">
        <f t="shared" si="1774"/>
        <v>780256750.98833025</v>
      </c>
      <c r="EB489" s="129">
        <f t="shared" si="1774"/>
        <v>720678310.97672319</v>
      </c>
      <c r="EC489" s="129">
        <f t="shared" si="1774"/>
        <v>830658919.55464482</v>
      </c>
      <c r="ED489" s="113" t="s">
        <v>1</v>
      </c>
    </row>
    <row r="490" spans="1:134" x14ac:dyDescent="0.2">
      <c r="A490" s="739" t="s">
        <v>139</v>
      </c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29">
        <f t="shared" ref="AB490:BG490" si="1775">AB506+AB511</f>
        <v>3016588.4394999999</v>
      </c>
      <c r="AC490" s="129">
        <f t="shared" si="1775"/>
        <v>2579462.8898</v>
      </c>
      <c r="AD490" s="129">
        <f t="shared" si="1775"/>
        <v>3805119.1323728804</v>
      </c>
      <c r="AE490" s="129">
        <f t="shared" si="1775"/>
        <v>5982890.9252000004</v>
      </c>
      <c r="AF490" s="129">
        <f t="shared" si="1775"/>
        <v>6765945.9840595499</v>
      </c>
      <c r="AG490" s="129">
        <f t="shared" si="1775"/>
        <v>10682541</v>
      </c>
      <c r="AH490" s="129">
        <f t="shared" si="1775"/>
        <v>29249134.649999999</v>
      </c>
      <c r="AI490" s="129">
        <f t="shared" si="1775"/>
        <v>29400194.583250001</v>
      </c>
      <c r="AJ490" s="129">
        <f t="shared" si="1775"/>
        <v>27685780.759999998</v>
      </c>
      <c r="AK490" s="129">
        <f t="shared" si="1775"/>
        <v>29727988.919</v>
      </c>
      <c r="AL490" s="129">
        <f t="shared" si="1775"/>
        <v>16527027.859532999</v>
      </c>
      <c r="AM490" s="129">
        <f t="shared" si="1775"/>
        <v>447442.55</v>
      </c>
      <c r="AN490" s="129">
        <f t="shared" si="1775"/>
        <v>10046446.554373998</v>
      </c>
      <c r="AO490" s="129">
        <f t="shared" si="1775"/>
        <v>14574475.682093</v>
      </c>
      <c r="AP490" s="129">
        <f t="shared" si="1775"/>
        <v>20091907.728105888</v>
      </c>
      <c r="AQ490" s="129">
        <f t="shared" si="1775"/>
        <v>28534317.787342899</v>
      </c>
      <c r="AR490" s="129">
        <f t="shared" si="1775"/>
        <v>35942922.525300004</v>
      </c>
      <c r="AS490" s="129">
        <f t="shared" si="1775"/>
        <v>50644317.83365</v>
      </c>
      <c r="AT490" s="129">
        <f t="shared" si="1775"/>
        <v>61119668.795958698</v>
      </c>
      <c r="AU490" s="129">
        <f t="shared" si="1775"/>
        <v>61460549.125549905</v>
      </c>
      <c r="AV490" s="129">
        <f t="shared" si="1775"/>
        <v>65148052.544599786</v>
      </c>
      <c r="AW490" s="129">
        <f t="shared" si="1775"/>
        <v>74266073.820559993</v>
      </c>
      <c r="AX490" s="129">
        <f t="shared" si="1775"/>
        <v>66674042.115309991</v>
      </c>
      <c r="AY490" s="129">
        <f t="shared" si="1775"/>
        <v>83695796.467969909</v>
      </c>
      <c r="AZ490" s="129">
        <f t="shared" si="1775"/>
        <v>100912121.20017992</v>
      </c>
      <c r="BA490" s="129">
        <f t="shared" si="1775"/>
        <v>102950660.83163998</v>
      </c>
      <c r="BB490" s="129">
        <f t="shared" si="1775"/>
        <v>110952768.81320006</v>
      </c>
      <c r="BC490" s="129">
        <f t="shared" si="1775"/>
        <v>109469974.23029999</v>
      </c>
      <c r="BD490" s="129">
        <f t="shared" si="1775"/>
        <v>122993851.47510006</v>
      </c>
      <c r="BE490" s="129">
        <f t="shared" si="1775"/>
        <v>127703306.53359999</v>
      </c>
      <c r="BF490" s="129">
        <f t="shared" si="1775"/>
        <v>155446509.73220801</v>
      </c>
      <c r="BG490" s="129">
        <f t="shared" si="1775"/>
        <v>171320677.74299991</v>
      </c>
      <c r="BH490" s="129">
        <f t="shared" ref="BH490:CM490" si="1776">BH506+BH511</f>
        <v>168757197.94160008</v>
      </c>
      <c r="BI490" s="129">
        <f t="shared" si="1776"/>
        <v>218230864.92480001</v>
      </c>
      <c r="BJ490" s="129">
        <f t="shared" si="1776"/>
        <v>235959267.66250002</v>
      </c>
      <c r="BK490" s="129">
        <f t="shared" si="1776"/>
        <v>242925469.69200006</v>
      </c>
      <c r="BL490" s="129">
        <f t="shared" si="1776"/>
        <v>231862872.70120001</v>
      </c>
      <c r="BM490" s="129">
        <f t="shared" si="1776"/>
        <v>200951008.65840009</v>
      </c>
      <c r="BN490" s="129">
        <f t="shared" si="1776"/>
        <v>196083388.3179999</v>
      </c>
      <c r="BO490" s="129">
        <f t="shared" si="1776"/>
        <v>192724834.43499997</v>
      </c>
      <c r="BP490" s="129">
        <f t="shared" si="1776"/>
        <v>284554121.03000003</v>
      </c>
      <c r="BQ490" s="129">
        <f t="shared" si="1776"/>
        <v>242971643.78999999</v>
      </c>
      <c r="BR490" s="129">
        <f t="shared" si="1776"/>
        <v>206626204.22999999</v>
      </c>
      <c r="BS490" s="129">
        <f t="shared" si="1776"/>
        <v>179492891.28</v>
      </c>
      <c r="BT490" s="129">
        <f t="shared" si="1776"/>
        <v>151877250.40000001</v>
      </c>
      <c r="BU490" s="129">
        <f t="shared" si="1776"/>
        <v>188097782.39439693</v>
      </c>
      <c r="BV490" s="129">
        <f t="shared" si="1776"/>
        <v>206433016.21906242</v>
      </c>
      <c r="BW490" s="129">
        <f t="shared" si="1776"/>
        <v>203161171.43014422</v>
      </c>
      <c r="BX490" s="129">
        <f t="shared" si="1776"/>
        <v>216882120.9505454</v>
      </c>
      <c r="BY490" s="129">
        <f t="shared" si="1776"/>
        <v>201817368.23777595</v>
      </c>
      <c r="BZ490" s="129">
        <f t="shared" si="1776"/>
        <v>168754716.50582135</v>
      </c>
      <c r="CA490" s="129">
        <f t="shared" si="1776"/>
        <v>145549045.6898213</v>
      </c>
      <c r="CB490" s="129">
        <f t="shared" si="1776"/>
        <v>218890767.22632602</v>
      </c>
      <c r="CC490" s="129">
        <f t="shared" si="1776"/>
        <v>211716082.20927611</v>
      </c>
      <c r="CD490" s="129">
        <f t="shared" si="1776"/>
        <v>254472410.89583594</v>
      </c>
      <c r="CE490" s="129">
        <f t="shared" si="1776"/>
        <v>266828331.53479978</v>
      </c>
      <c r="CF490" s="129">
        <f t="shared" si="1776"/>
        <v>253683475.89409417</v>
      </c>
      <c r="CG490" s="129">
        <f t="shared" si="1776"/>
        <v>316189275.70848185</v>
      </c>
      <c r="CH490" s="129">
        <f t="shared" si="1776"/>
        <v>306303823.28256714</v>
      </c>
      <c r="CI490" s="129">
        <f t="shared" si="1776"/>
        <v>295863548.4768573</v>
      </c>
      <c r="CJ490" s="129">
        <f t="shared" si="1776"/>
        <v>300326688.50130987</v>
      </c>
      <c r="CK490" s="129">
        <f t="shared" si="1776"/>
        <v>332068805.05180216</v>
      </c>
      <c r="CL490" s="129">
        <f t="shared" si="1776"/>
        <v>261511405.81186956</v>
      </c>
      <c r="CM490" s="129">
        <f t="shared" si="1776"/>
        <v>244811796.45207053</v>
      </c>
      <c r="CN490" s="129">
        <f t="shared" ref="CN490:DQ490" si="1777">CN506+CN511</f>
        <v>373436062.67553508</v>
      </c>
      <c r="CO490" s="129">
        <f t="shared" si="1777"/>
        <v>333092036.8300941</v>
      </c>
      <c r="CP490" s="129">
        <f t="shared" si="1777"/>
        <v>425038199.77839994</v>
      </c>
      <c r="CQ490" s="129">
        <f t="shared" si="1777"/>
        <v>450801238.2378</v>
      </c>
      <c r="CR490" s="129">
        <f t="shared" si="1777"/>
        <v>440672803.06919992</v>
      </c>
      <c r="CS490" s="129">
        <f t="shared" si="1777"/>
        <v>530422086.01989996</v>
      </c>
      <c r="CT490" s="129">
        <f t="shared" si="1777"/>
        <v>440652090.21070051</v>
      </c>
      <c r="CU490" s="129">
        <f t="shared" si="1777"/>
        <v>430405546.86228836</v>
      </c>
      <c r="CV490" s="129">
        <f t="shared" si="1777"/>
        <v>428939327.32363814</v>
      </c>
      <c r="CW490" s="129">
        <f t="shared" si="1777"/>
        <v>467432071.78706765</v>
      </c>
      <c r="CX490" s="129">
        <f t="shared" si="1777"/>
        <v>412895225.15235138</v>
      </c>
      <c r="CY490" s="129">
        <f t="shared" si="1777"/>
        <v>379881723.02987915</v>
      </c>
      <c r="CZ490" s="129">
        <f t="shared" si="1777"/>
        <v>483825465.20224702</v>
      </c>
      <c r="DA490" s="129">
        <f t="shared" si="1777"/>
        <v>441817864.38317072</v>
      </c>
      <c r="DB490" s="129">
        <f t="shared" si="1777"/>
        <v>533194030.72189021</v>
      </c>
      <c r="DC490" s="129">
        <f t="shared" si="1777"/>
        <v>546999962.14136338</v>
      </c>
      <c r="DD490" s="129">
        <f t="shared" si="1777"/>
        <v>505191719.0083338</v>
      </c>
      <c r="DE490" s="129">
        <f t="shared" si="1777"/>
        <v>594027245.0457716</v>
      </c>
      <c r="DF490" s="129">
        <f t="shared" si="1777"/>
        <v>542345456.35981309</v>
      </c>
      <c r="DG490" s="129">
        <f t="shared" si="1777"/>
        <v>531161404.08026212</v>
      </c>
      <c r="DH490" s="129">
        <f t="shared" si="1777"/>
        <v>526649292.32141662</v>
      </c>
      <c r="DI490" s="129">
        <f t="shared" si="1777"/>
        <v>573352903.63510537</v>
      </c>
      <c r="DJ490" s="129">
        <f t="shared" si="1777"/>
        <v>505769917.11144382</v>
      </c>
      <c r="DK490" s="129">
        <f t="shared" si="1777"/>
        <v>464501250.3639676</v>
      </c>
      <c r="DL490" s="129">
        <f t="shared" si="1777"/>
        <v>588965529.30501127</v>
      </c>
      <c r="DM490" s="129">
        <f t="shared" si="1777"/>
        <v>535296776.07068801</v>
      </c>
      <c r="DN490" s="129">
        <f t="shared" si="1777"/>
        <v>643219668.66058028</v>
      </c>
      <c r="DO490" s="129">
        <f t="shared" si="1777"/>
        <v>657088759.25942445</v>
      </c>
      <c r="DP490" s="129">
        <f t="shared" si="1777"/>
        <v>604136064.67153478</v>
      </c>
      <c r="DQ490" s="129">
        <f t="shared" si="1777"/>
        <v>702147034.10479057</v>
      </c>
      <c r="DR490" s="129">
        <f t="shared" ref="DR490:EC490" si="1778">DR506+DR511</f>
        <v>620177857.92842495</v>
      </c>
      <c r="DS490" s="129">
        <f t="shared" si="1778"/>
        <v>606846959.05974436</v>
      </c>
      <c r="DT490" s="129">
        <f t="shared" si="1778"/>
        <v>601339838.87374902</v>
      </c>
      <c r="DU490" s="129">
        <f t="shared" si="1778"/>
        <v>654279684.4157275</v>
      </c>
      <c r="DV490" s="129">
        <f t="shared" si="1778"/>
        <v>576677197.76919937</v>
      </c>
      <c r="DW490" s="129">
        <f t="shared" si="1778"/>
        <v>529043422.38391918</v>
      </c>
      <c r="DX490" s="129">
        <f t="shared" si="1778"/>
        <v>670591886.48317003</v>
      </c>
      <c r="DY490" s="129">
        <f t="shared" si="1778"/>
        <v>609165066.21941483</v>
      </c>
      <c r="DZ490" s="129">
        <f t="shared" si="1778"/>
        <v>731764483.58098853</v>
      </c>
      <c r="EA490" s="129">
        <f t="shared" si="1778"/>
        <v>747341955.85575235</v>
      </c>
      <c r="EB490" s="129">
        <f t="shared" si="1778"/>
        <v>686762897.77540886</v>
      </c>
      <c r="EC490" s="129">
        <f t="shared" si="1778"/>
        <v>797954056.28681684</v>
      </c>
      <c r="ED490" s="113" t="s">
        <v>1</v>
      </c>
    </row>
    <row r="491" spans="1:134" x14ac:dyDescent="0.2">
      <c r="A491" s="739" t="s">
        <v>191</v>
      </c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29">
        <f t="shared" ref="AB491:BG491" si="1779">AB507+AB512</f>
        <v>1493204.5515423729</v>
      </c>
      <c r="AC491" s="129">
        <f t="shared" si="1779"/>
        <v>1534867.4921223356</v>
      </c>
      <c r="AD491" s="129">
        <f t="shared" si="1779"/>
        <v>1658514.2286719438</v>
      </c>
      <c r="AE491" s="129">
        <f t="shared" si="1779"/>
        <v>1418737.4132492114</v>
      </c>
      <c r="AF491" s="129">
        <f t="shared" si="1779"/>
        <v>1408194.4299634593</v>
      </c>
      <c r="AG491" s="129">
        <f t="shared" si="1779"/>
        <v>1406578.90593343</v>
      </c>
      <c r="AH491" s="129">
        <f t="shared" si="1779"/>
        <v>1582012.0970625801</v>
      </c>
      <c r="AI491" s="129">
        <f t="shared" si="1779"/>
        <v>1485715</v>
      </c>
      <c r="AJ491" s="129">
        <f t="shared" si="1779"/>
        <v>1498234.8352941177</v>
      </c>
      <c r="AK491" s="129">
        <f t="shared" si="1779"/>
        <v>1433161.9322033899</v>
      </c>
      <c r="AL491" s="129">
        <f t="shared" si="1779"/>
        <v>992380.67118644062</v>
      </c>
      <c r="AM491" s="129">
        <f t="shared" si="1779"/>
        <v>0</v>
      </c>
      <c r="AN491" s="129">
        <f t="shared" si="1779"/>
        <v>1663035.8269491526</v>
      </c>
      <c r="AO491" s="129">
        <f t="shared" si="1779"/>
        <v>2442429.1525423727</v>
      </c>
      <c r="AP491" s="129">
        <f t="shared" si="1779"/>
        <v>2250222.9152542371</v>
      </c>
      <c r="AQ491" s="129">
        <f t="shared" si="1779"/>
        <v>3164717.2698305082</v>
      </c>
      <c r="AR491" s="129">
        <f t="shared" si="1779"/>
        <v>2914981.1057627122</v>
      </c>
      <c r="AS491" s="129">
        <f t="shared" si="1779"/>
        <v>3117549.7738983054</v>
      </c>
      <c r="AT491" s="129">
        <f t="shared" si="1779"/>
        <v>4413298.1389830504</v>
      </c>
      <c r="AU491" s="129">
        <f t="shared" si="1779"/>
        <v>5020352.4067796608</v>
      </c>
      <c r="AV491" s="129">
        <f t="shared" si="1779"/>
        <v>5098079.8135593217</v>
      </c>
      <c r="AW491" s="129">
        <f t="shared" si="1779"/>
        <v>4709894.4576271186</v>
      </c>
      <c r="AX491" s="129">
        <f t="shared" si="1779"/>
        <v>5811571.1525423722</v>
      </c>
      <c r="AY491" s="129">
        <f t="shared" si="1779"/>
        <v>6679252.1864406783</v>
      </c>
      <c r="AZ491" s="129">
        <f t="shared" si="1779"/>
        <v>5999331.3983050846</v>
      </c>
      <c r="BA491" s="129">
        <f t="shared" si="1779"/>
        <v>7683642.2033898309</v>
      </c>
      <c r="BB491" s="129">
        <f t="shared" si="1779"/>
        <v>9022049.7776271198</v>
      </c>
      <c r="BC491" s="129">
        <f t="shared" si="1779"/>
        <v>8451217.4199999999</v>
      </c>
      <c r="BD491" s="129">
        <f t="shared" si="1779"/>
        <v>8116440.1100000003</v>
      </c>
      <c r="BE491" s="129">
        <f t="shared" si="1779"/>
        <v>8334999.5</v>
      </c>
      <c r="BF491" s="129">
        <f t="shared" si="1779"/>
        <v>7549331.7457627123</v>
      </c>
      <c r="BG491" s="129">
        <f t="shared" si="1779"/>
        <v>7646263.2949152542</v>
      </c>
      <c r="BH491" s="129">
        <f t="shared" ref="BH491:CM491" si="1780">BH507+BH512</f>
        <v>7389750.5355932219</v>
      </c>
      <c r="BI491" s="129">
        <f t="shared" si="1780"/>
        <v>7769988.792203391</v>
      </c>
      <c r="BJ491" s="129">
        <f t="shared" si="1780"/>
        <v>7596791.181016949</v>
      </c>
      <c r="BK491" s="129">
        <f t="shared" si="1780"/>
        <v>7967068.5741525432</v>
      </c>
      <c r="BL491" s="129">
        <f t="shared" si="1780"/>
        <v>9381201.4791525435</v>
      </c>
      <c r="BM491" s="129">
        <f t="shared" si="1780"/>
        <v>9045001</v>
      </c>
      <c r="BN491" s="129">
        <f t="shared" si="1780"/>
        <v>9356313</v>
      </c>
      <c r="BO491" s="129">
        <f t="shared" si="1780"/>
        <v>8190096</v>
      </c>
      <c r="BP491" s="129">
        <f t="shared" si="1780"/>
        <v>8417901</v>
      </c>
      <c r="BQ491" s="129">
        <f t="shared" si="1780"/>
        <v>6659183</v>
      </c>
      <c r="BR491" s="129">
        <f t="shared" si="1780"/>
        <v>6770948</v>
      </c>
      <c r="BS491" s="129">
        <f t="shared" si="1780"/>
        <v>7543142.6800000099</v>
      </c>
      <c r="BT491" s="129">
        <f t="shared" si="1780"/>
        <v>6915080</v>
      </c>
      <c r="BU491" s="129">
        <f t="shared" si="1780"/>
        <v>7824016.2881355938</v>
      </c>
      <c r="BV491" s="129">
        <f t="shared" si="1780"/>
        <v>9098050</v>
      </c>
      <c r="BW491" s="129">
        <f t="shared" si="1780"/>
        <v>8587754.8474576399</v>
      </c>
      <c r="BX491" s="129">
        <f t="shared" si="1780"/>
        <v>8912585.3599999994</v>
      </c>
      <c r="BY491" s="129">
        <f t="shared" si="1780"/>
        <v>9777810.0338983089</v>
      </c>
      <c r="BZ491" s="129">
        <f t="shared" si="1780"/>
        <v>9622882.1610169467</v>
      </c>
      <c r="CA491" s="129">
        <f t="shared" si="1780"/>
        <v>9414839.762711864</v>
      </c>
      <c r="CB491" s="129">
        <f t="shared" si="1780"/>
        <v>9449536.4830508474</v>
      </c>
      <c r="CC491" s="129">
        <f t="shared" si="1780"/>
        <v>9067613.152542375</v>
      </c>
      <c r="CD491" s="129">
        <f t="shared" si="1780"/>
        <v>11020478.90677966</v>
      </c>
      <c r="CE491" s="129">
        <f t="shared" si="1780"/>
        <v>9950606.8644067775</v>
      </c>
      <c r="CF491" s="129">
        <f t="shared" si="1780"/>
        <v>8471241.5338983033</v>
      </c>
      <c r="CG491" s="129">
        <f t="shared" si="1780"/>
        <v>11503485.101694912</v>
      </c>
      <c r="CH491" s="129">
        <f t="shared" si="1780"/>
        <v>10441750.262711899</v>
      </c>
      <c r="CI491" s="129">
        <f t="shared" si="1780"/>
        <v>10507442.652542373</v>
      </c>
      <c r="CJ491" s="129">
        <f t="shared" si="1780"/>
        <v>10533246.16101695</v>
      </c>
      <c r="CK491" s="129">
        <f t="shared" si="1780"/>
        <v>12272744.23728814</v>
      </c>
      <c r="CL491" s="129">
        <f t="shared" si="1780"/>
        <v>14696501.745762713</v>
      </c>
      <c r="CM491" s="129">
        <f t="shared" si="1780"/>
        <v>12260923.950000001</v>
      </c>
      <c r="CN491" s="129">
        <f t="shared" ref="CN491:DQ491" si="1781">CN507+CN512</f>
        <v>12736403.220000001</v>
      </c>
      <c r="CO491" s="129">
        <f t="shared" si="1781"/>
        <v>13118044.939999999</v>
      </c>
      <c r="CP491" s="129">
        <f t="shared" si="1781"/>
        <v>15285503.109999999</v>
      </c>
      <c r="CQ491" s="129">
        <f t="shared" si="1781"/>
        <v>15699652.48</v>
      </c>
      <c r="CR491" s="129">
        <f t="shared" si="1781"/>
        <v>15065057.01</v>
      </c>
      <c r="CS491" s="129">
        <f t="shared" si="1781"/>
        <v>24705811.659999996</v>
      </c>
      <c r="CT491" s="129">
        <f t="shared" si="1781"/>
        <v>15104913.274207599</v>
      </c>
      <c r="CU491" s="129">
        <f t="shared" si="1781"/>
        <v>15342961.898395086</v>
      </c>
      <c r="CV491" s="129">
        <f t="shared" si="1781"/>
        <v>15589283.929870345</v>
      </c>
      <c r="CW491" s="129">
        <f t="shared" si="1781"/>
        <v>15439093.39455523</v>
      </c>
      <c r="CX491" s="129">
        <f t="shared" si="1781"/>
        <v>16108156.434015563</v>
      </c>
      <c r="CY491" s="129">
        <f t="shared" si="1781"/>
        <v>16683986.685881319</v>
      </c>
      <c r="CZ491" s="129">
        <f t="shared" si="1781"/>
        <v>16012437.684327988</v>
      </c>
      <c r="DA491" s="129">
        <f t="shared" si="1781"/>
        <v>16581697.380673328</v>
      </c>
      <c r="DB491" s="129">
        <f t="shared" si="1781"/>
        <v>16010257.044997044</v>
      </c>
      <c r="DC491" s="129">
        <f t="shared" si="1781"/>
        <v>16056712.541605581</v>
      </c>
      <c r="DD491" s="129">
        <f t="shared" si="1781"/>
        <v>16624384.228278521</v>
      </c>
      <c r="DE491" s="129">
        <f t="shared" si="1781"/>
        <v>16229610.14013752</v>
      </c>
      <c r="DF491" s="129">
        <f t="shared" si="1781"/>
        <v>16798208.817470707</v>
      </c>
      <c r="DG491" s="129">
        <f t="shared" si="1781"/>
        <v>17121929.415023908</v>
      </c>
      <c r="DH491" s="129">
        <f t="shared" si="1781"/>
        <v>17314295.606054131</v>
      </c>
      <c r="DI491" s="129">
        <f t="shared" si="1781"/>
        <v>17098742.598326918</v>
      </c>
      <c r="DJ491" s="129">
        <f t="shared" si="1781"/>
        <v>17871665.251175683</v>
      </c>
      <c r="DK491" s="129">
        <f t="shared" si="1781"/>
        <v>18513215.787068401</v>
      </c>
      <c r="DL491" s="129">
        <f t="shared" si="1781"/>
        <v>17600106.143066205</v>
      </c>
      <c r="DM491" s="129">
        <f t="shared" si="1781"/>
        <v>18183991.512218434</v>
      </c>
      <c r="DN491" s="129">
        <f t="shared" si="1781"/>
        <v>17402629.477385834</v>
      </c>
      <c r="DO491" s="129">
        <f t="shared" si="1781"/>
        <v>17370380.200249579</v>
      </c>
      <c r="DP491" s="129">
        <f t="shared" si="1781"/>
        <v>17948562.358516693</v>
      </c>
      <c r="DQ491" s="129">
        <f t="shared" si="1781"/>
        <v>17246146.075293887</v>
      </c>
      <c r="DR491" s="129">
        <f t="shared" ref="DR491:EC491" si="1782">DR507+DR512</f>
        <v>18055436.557533458</v>
      </c>
      <c r="DS491" s="129">
        <f t="shared" si="1782"/>
        <v>18396256.199832208</v>
      </c>
      <c r="DT491" s="129">
        <f t="shared" si="1782"/>
        <v>18596547.360305604</v>
      </c>
      <c r="DU491" s="129">
        <f t="shared" si="1782"/>
        <v>18331324.455971349</v>
      </c>
      <c r="DV491" s="129">
        <f t="shared" si="1782"/>
        <v>19184049.681484789</v>
      </c>
      <c r="DW491" s="129">
        <f t="shared" si="1782"/>
        <v>19876296.563338678</v>
      </c>
      <c r="DX491" s="129">
        <f t="shared" si="1782"/>
        <v>18827116.066421062</v>
      </c>
      <c r="DY491" s="129">
        <f t="shared" si="1782"/>
        <v>19472792.313387718</v>
      </c>
      <c r="DZ491" s="129">
        <f t="shared" si="1782"/>
        <v>18574535.780806273</v>
      </c>
      <c r="EA491" s="129">
        <f t="shared" si="1782"/>
        <v>18528679.711798191</v>
      </c>
      <c r="EB491" s="129">
        <f t="shared" si="1782"/>
        <v>19167603.765300654</v>
      </c>
      <c r="EC491" s="129">
        <f t="shared" si="1782"/>
        <v>18360210.888061658</v>
      </c>
      <c r="ED491" s="113" t="s">
        <v>1</v>
      </c>
    </row>
    <row r="492" spans="1:134" x14ac:dyDescent="0.2">
      <c r="A492" s="739" t="s">
        <v>140</v>
      </c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29">
        <f t="shared" ref="AB492:BG492" si="1783">AB508+AB513</f>
        <v>71630.49131921705</v>
      </c>
      <c r="AC492" s="129">
        <f t="shared" si="1783"/>
        <v>65368.488331460532</v>
      </c>
      <c r="AD492" s="129">
        <f t="shared" si="1783"/>
        <v>110775.703389831</v>
      </c>
      <c r="AE492" s="129">
        <f t="shared" si="1783"/>
        <v>125977.56372881384</v>
      </c>
      <c r="AF492" s="129">
        <f t="shared" si="1783"/>
        <v>126228</v>
      </c>
      <c r="AG492" s="129">
        <f t="shared" si="1783"/>
        <v>155717</v>
      </c>
      <c r="AH492" s="129">
        <f t="shared" si="1783"/>
        <v>163280.67796610188</v>
      </c>
      <c r="AI492" s="129">
        <f t="shared" si="1783"/>
        <v>210836.79661016999</v>
      </c>
      <c r="AJ492" s="129">
        <f t="shared" si="1783"/>
        <v>597313.18012711953</v>
      </c>
      <c r="AK492" s="129">
        <f t="shared" si="1783"/>
        <v>380772</v>
      </c>
      <c r="AL492" s="129">
        <f t="shared" si="1783"/>
        <v>194676.57627118658</v>
      </c>
      <c r="AM492" s="129">
        <f t="shared" si="1783"/>
        <v>3912</v>
      </c>
      <c r="AN492" s="129">
        <f t="shared" si="1783"/>
        <v>217590</v>
      </c>
      <c r="AO492" s="129">
        <f t="shared" si="1783"/>
        <v>375592.40677966166</v>
      </c>
      <c r="AP492" s="129">
        <f t="shared" si="1783"/>
        <v>1055454.0762711952</v>
      </c>
      <c r="AQ492" s="129">
        <f t="shared" si="1783"/>
        <v>1270574.3135593217</v>
      </c>
      <c r="AR492" s="129">
        <f t="shared" si="1783"/>
        <v>1325067.9067796662</v>
      </c>
      <c r="AS492" s="129">
        <f t="shared" si="1783"/>
        <v>1606519.5847457757</v>
      </c>
      <c r="AT492" s="129">
        <f t="shared" si="1783"/>
        <v>2230041.5593220489</v>
      </c>
      <c r="AU492" s="129">
        <f t="shared" si="1783"/>
        <v>2125387.432203399</v>
      </c>
      <c r="AV492" s="129">
        <f t="shared" si="1783"/>
        <v>2203991.3305084929</v>
      </c>
      <c r="AW492" s="129">
        <f t="shared" si="1783"/>
        <v>3282753.6779661272</v>
      </c>
      <c r="AX492" s="129">
        <f t="shared" si="1783"/>
        <v>2154782.2542372616</v>
      </c>
      <c r="AY492" s="129">
        <f t="shared" si="1783"/>
        <v>2201423.661016956</v>
      </c>
      <c r="AZ492" s="129">
        <f t="shared" si="1783"/>
        <v>2710450.665932232</v>
      </c>
      <c r="BA492" s="129">
        <f t="shared" si="1783"/>
        <v>3022649.0847458108</v>
      </c>
      <c r="BB492" s="129">
        <f t="shared" si="1783"/>
        <v>3611519.3728814237</v>
      </c>
      <c r="BC492" s="129">
        <f t="shared" si="1783"/>
        <v>3800549.135593276</v>
      </c>
      <c r="BD492" s="129">
        <f t="shared" si="1783"/>
        <v>3602722.898305133</v>
      </c>
      <c r="BE492" s="129">
        <f t="shared" si="1783"/>
        <v>2404328.5762712169</v>
      </c>
      <c r="BF492" s="129">
        <f t="shared" si="1783"/>
        <v>3411561.4025075859</v>
      </c>
      <c r="BG492" s="129">
        <f t="shared" si="1783"/>
        <v>3991152.9246249441</v>
      </c>
      <c r="BH492" s="129">
        <f t="shared" ref="BH492:CM492" si="1784">BH508+BH513</f>
        <v>4064564.6144001209</v>
      </c>
      <c r="BI492" s="129">
        <f t="shared" si="1784"/>
        <v>4210914.8621701878</v>
      </c>
      <c r="BJ492" s="129">
        <f t="shared" si="1784"/>
        <v>4320108.5928791743</v>
      </c>
      <c r="BK492" s="129">
        <f t="shared" si="1784"/>
        <v>4423028.9180456558</v>
      </c>
      <c r="BL492" s="129">
        <f t="shared" si="1784"/>
        <v>4663889.3482766226</v>
      </c>
      <c r="BM492" s="129">
        <f t="shared" si="1784"/>
        <v>4538957.6838828316</v>
      </c>
      <c r="BN492" s="129">
        <f t="shared" si="1784"/>
        <v>7160621.2387203481</v>
      </c>
      <c r="BO492" s="129">
        <f t="shared" si="1784"/>
        <v>6703465.6512332354</v>
      </c>
      <c r="BP492" s="129">
        <f t="shared" si="1784"/>
        <v>9477632.0774100609</v>
      </c>
      <c r="BQ492" s="129">
        <f t="shared" si="1784"/>
        <v>6771629.125630605</v>
      </c>
      <c r="BR492" s="129">
        <f t="shared" si="1784"/>
        <v>4814209.8984204624</v>
      </c>
      <c r="BS492" s="129">
        <f t="shared" si="1784"/>
        <v>4110303.2962132972</v>
      </c>
      <c r="BT492" s="129">
        <f t="shared" si="1784"/>
        <v>4394830.6496485798</v>
      </c>
      <c r="BU492" s="129">
        <f t="shared" si="1784"/>
        <v>5506208.2240272742</v>
      </c>
      <c r="BV492" s="129">
        <f t="shared" si="1784"/>
        <v>5857230.4102596575</v>
      </c>
      <c r="BW492" s="129">
        <f t="shared" si="1784"/>
        <v>5767176.2222144613</v>
      </c>
      <c r="BX492" s="129">
        <f t="shared" si="1784"/>
        <v>6252928.5167485429</v>
      </c>
      <c r="BY492" s="129">
        <f t="shared" si="1784"/>
        <v>6593671.5159045653</v>
      </c>
      <c r="BZ492" s="129">
        <f t="shared" si="1784"/>
        <v>5098033.4750805767</v>
      </c>
      <c r="CA492" s="129">
        <f t="shared" si="1784"/>
        <v>4421647.3555650916</v>
      </c>
      <c r="CB492" s="129">
        <f t="shared" si="1784"/>
        <v>7718956.2054269779</v>
      </c>
      <c r="CC492" s="129">
        <f t="shared" si="1784"/>
        <v>6309481.7963181045</v>
      </c>
      <c r="CD492" s="129">
        <f t="shared" si="1784"/>
        <v>7815553.149586509</v>
      </c>
      <c r="CE492" s="129">
        <f t="shared" si="1784"/>
        <v>7398387.2433796432</v>
      </c>
      <c r="CF492" s="129">
        <f t="shared" si="1784"/>
        <v>7334723.1957794409</v>
      </c>
      <c r="CG492" s="129">
        <f t="shared" si="1784"/>
        <v>8395846.9253025576</v>
      </c>
      <c r="CH492" s="129">
        <f t="shared" si="1784"/>
        <v>7645724.4229185609</v>
      </c>
      <c r="CI492" s="129">
        <f t="shared" si="1784"/>
        <v>8075694.1869826149</v>
      </c>
      <c r="CJ492" s="129">
        <f t="shared" si="1784"/>
        <v>6063600.6621355666</v>
      </c>
      <c r="CK492" s="129">
        <f t="shared" si="1784"/>
        <v>7493476.8000000007</v>
      </c>
      <c r="CL492" s="129">
        <f t="shared" si="1784"/>
        <v>7172234.1100000087</v>
      </c>
      <c r="CM492" s="129">
        <f t="shared" si="1784"/>
        <v>8821420.2700000014</v>
      </c>
      <c r="CN492" s="129">
        <f t="shared" ref="CN492:DQ492" si="1785">CN508+CN513</f>
        <v>12162627.697322497</v>
      </c>
      <c r="CO492" s="129">
        <f t="shared" si="1785"/>
        <v>11109668.729999999</v>
      </c>
      <c r="CP492" s="129">
        <f t="shared" si="1785"/>
        <v>14705106.519999884</v>
      </c>
      <c r="CQ492" s="129">
        <f t="shared" si="1785"/>
        <v>12403232.930000007</v>
      </c>
      <c r="CR492" s="129">
        <f t="shared" si="1785"/>
        <v>11773996.550000008</v>
      </c>
      <c r="CS492" s="129">
        <f t="shared" si="1785"/>
        <v>12361241.8799998</v>
      </c>
      <c r="CT492" s="129">
        <f t="shared" si="1785"/>
        <v>11465522.302244177</v>
      </c>
      <c r="CU492" s="129">
        <f t="shared" si="1785"/>
        <v>11619458.531631615</v>
      </c>
      <c r="CV492" s="129">
        <f t="shared" si="1785"/>
        <v>11792965.088070087</v>
      </c>
      <c r="CW492" s="129">
        <f t="shared" si="1785"/>
        <v>11745692.407510059</v>
      </c>
      <c r="CX492" s="129">
        <f t="shared" si="1785"/>
        <v>12138288.809279289</v>
      </c>
      <c r="CY492" s="129">
        <f t="shared" si="1785"/>
        <v>12497848.915801691</v>
      </c>
      <c r="CZ492" s="129">
        <f t="shared" si="1785"/>
        <v>12180376.884877134</v>
      </c>
      <c r="DA492" s="129">
        <f t="shared" si="1785"/>
        <v>12521249.184670128</v>
      </c>
      <c r="DB492" s="129">
        <f t="shared" si="1785"/>
        <v>12255659.492361858</v>
      </c>
      <c r="DC492" s="129">
        <f t="shared" si="1785"/>
        <v>12310300.62641946</v>
      </c>
      <c r="DD492" s="129">
        <f t="shared" si="1785"/>
        <v>12650349.923979554</v>
      </c>
      <c r="DE492" s="129">
        <f t="shared" si="1785"/>
        <v>12506884.417389559</v>
      </c>
      <c r="DF492" s="129">
        <f t="shared" si="1785"/>
        <v>12832131.58810948</v>
      </c>
      <c r="DG492" s="129">
        <f t="shared" si="1785"/>
        <v>13045750.741978852</v>
      </c>
      <c r="DH492" s="129">
        <f t="shared" si="1785"/>
        <v>13176011.583775051</v>
      </c>
      <c r="DI492" s="129">
        <f t="shared" si="1785"/>
        <v>13094864.134264981</v>
      </c>
      <c r="DJ492" s="129">
        <f t="shared" si="1785"/>
        <v>13541286.84151103</v>
      </c>
      <c r="DK492" s="129">
        <f t="shared" si="1785"/>
        <v>13934907.156507621</v>
      </c>
      <c r="DL492" s="129">
        <f t="shared" si="1785"/>
        <v>13476961.306077642</v>
      </c>
      <c r="DM492" s="129">
        <f t="shared" si="1785"/>
        <v>13810130.960973432</v>
      </c>
      <c r="DN492" s="129">
        <f t="shared" si="1785"/>
        <v>13420464.654686198</v>
      </c>
      <c r="DO492" s="129">
        <f t="shared" si="1785"/>
        <v>13419033.686629469</v>
      </c>
      <c r="DP492" s="129">
        <f t="shared" si="1785"/>
        <v>13749247.594230562</v>
      </c>
      <c r="DQ492" s="129">
        <f t="shared" si="1785"/>
        <v>13400495.730079304</v>
      </c>
      <c r="DR492" s="129">
        <f t="shared" ref="DR492:EC492" si="1786">DR508+DR513</f>
        <v>13850483.88715554</v>
      </c>
      <c r="DS492" s="129">
        <f t="shared" si="1786"/>
        <v>14072964.795616601</v>
      </c>
      <c r="DT492" s="129">
        <f t="shared" si="1786"/>
        <v>14207332.833773592</v>
      </c>
      <c r="DU492" s="129">
        <f t="shared" si="1786"/>
        <v>14100443.453010861</v>
      </c>
      <c r="DV492" s="129">
        <f t="shared" si="1786"/>
        <v>14588224.658656288</v>
      </c>
      <c r="DW492" s="129">
        <f t="shared" si="1786"/>
        <v>15008118.872767629</v>
      </c>
      <c r="DX492" s="129">
        <f t="shared" si="1786"/>
        <v>14479652.91296535</v>
      </c>
      <c r="DY492" s="129">
        <f t="shared" si="1786"/>
        <v>14844846.321430117</v>
      </c>
      <c r="DZ492" s="129">
        <f t="shared" si="1786"/>
        <v>14394598.247705942</v>
      </c>
      <c r="EA492" s="129">
        <f t="shared" si="1786"/>
        <v>14386115.420779744</v>
      </c>
      <c r="EB492" s="129">
        <f t="shared" si="1786"/>
        <v>14747809.436013738</v>
      </c>
      <c r="EC492" s="129">
        <f t="shared" si="1786"/>
        <v>14344652.379766306</v>
      </c>
      <c r="ED492" s="113" t="s">
        <v>1</v>
      </c>
    </row>
    <row r="493" spans="1:134" s="331" customFormat="1" x14ac:dyDescent="0.2">
      <c r="A493" s="117" t="s">
        <v>142</v>
      </c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29">
        <v>242879.47799999992</v>
      </c>
      <c r="AC493" s="129">
        <v>165048.18999999997</v>
      </c>
      <c r="AD493" s="129">
        <v>167578.13800000001</v>
      </c>
      <c r="AE493" s="129">
        <v>172644.91</v>
      </c>
      <c r="AF493" s="129">
        <v>294572.14199999999</v>
      </c>
      <c r="AG493" s="129">
        <v>808315.56649999996</v>
      </c>
      <c r="AH493" s="129">
        <v>972338.17999999993</v>
      </c>
      <c r="AI493" s="129">
        <v>872059.652249999</v>
      </c>
      <c r="AJ493" s="129">
        <v>1019590.04</v>
      </c>
      <c r="AK493" s="129">
        <v>884067.36199999996</v>
      </c>
      <c r="AL493" s="129">
        <v>687539.97635660158</v>
      </c>
      <c r="AM493" s="129">
        <v>26248</v>
      </c>
      <c r="AN493" s="129">
        <v>621932.5388199999</v>
      </c>
      <c r="AO493" s="129">
        <f>AO494+AO495</f>
        <v>1032627.9611099999</v>
      </c>
      <c r="AP493" s="129">
        <f t="shared" ref="AP493:DA493" si="1787">AP494+AP495</f>
        <v>1223622</v>
      </c>
      <c r="AQ493" s="129">
        <f t="shared" si="1787"/>
        <v>2084398.1706549004</v>
      </c>
      <c r="AR493" s="129">
        <f t="shared" si="1787"/>
        <v>3499105.7680029003</v>
      </c>
      <c r="AS493" s="129">
        <f t="shared" si="1787"/>
        <v>3370694.3531751139</v>
      </c>
      <c r="AT493" s="129">
        <f t="shared" si="1787"/>
        <v>4292459.4795945743</v>
      </c>
      <c r="AU493" s="129">
        <f t="shared" si="1787"/>
        <v>5151854.6280100141</v>
      </c>
      <c r="AV493" s="129">
        <f t="shared" si="1787"/>
        <v>6049484.7551354878</v>
      </c>
      <c r="AW493" s="129">
        <f t="shared" si="1787"/>
        <v>6163409</v>
      </c>
      <c r="AX493" s="129">
        <f t="shared" si="1787"/>
        <v>3445986</v>
      </c>
      <c r="AY493" s="129">
        <f t="shared" si="1787"/>
        <v>5377379.477969991</v>
      </c>
      <c r="AZ493" s="129">
        <f t="shared" si="1787"/>
        <v>7670715.2058800114</v>
      </c>
      <c r="BA493" s="129">
        <f t="shared" si="1787"/>
        <v>5744093.6860600011</v>
      </c>
      <c r="BB493" s="129">
        <f t="shared" si="1787"/>
        <v>5621813.7255999949</v>
      </c>
      <c r="BC493" s="129">
        <f t="shared" si="1787"/>
        <v>5566681.8153000018</v>
      </c>
      <c r="BD493" s="129">
        <f t="shared" si="1787"/>
        <v>5484609.8373000007</v>
      </c>
      <c r="BE493" s="129">
        <f t="shared" si="1787"/>
        <v>5987554.801599999</v>
      </c>
      <c r="BF493" s="129">
        <f t="shared" si="1787"/>
        <v>7308851.8207560014</v>
      </c>
      <c r="BG493" s="129">
        <f t="shared" si="1787"/>
        <v>6765741.7791999998</v>
      </c>
      <c r="BH493" s="129">
        <f t="shared" si="1787"/>
        <v>5437638.1402999787</v>
      </c>
      <c r="BI493" s="129">
        <f t="shared" si="1787"/>
        <v>9002365.6451000534</v>
      </c>
      <c r="BJ493" s="129">
        <f t="shared" si="1787"/>
        <v>10193434.916525492</v>
      </c>
      <c r="BK493" s="129">
        <f t="shared" si="1787"/>
        <v>11826350.658644153</v>
      </c>
      <c r="BL493" s="129">
        <f t="shared" si="1787"/>
        <v>11428219.726101739</v>
      </c>
      <c r="BM493" s="129">
        <f t="shared" si="1787"/>
        <v>8819950.3784745634</v>
      </c>
      <c r="BN493" s="129">
        <f t="shared" si="1787"/>
        <v>11127735.32364404</v>
      </c>
      <c r="BO493" s="129">
        <f t="shared" si="1787"/>
        <v>10943599.05084742</v>
      </c>
      <c r="BP493" s="129">
        <f t="shared" si="1787"/>
        <v>14690717.122203326</v>
      </c>
      <c r="BQ493" s="129">
        <f t="shared" si="1787"/>
        <v>13457957.721525371</v>
      </c>
      <c r="BR493" s="129">
        <f t="shared" si="1787"/>
        <v>12958226.430170059</v>
      </c>
      <c r="BS493" s="129">
        <f t="shared" si="1787"/>
        <v>12759101.006271316</v>
      </c>
      <c r="BT493" s="129">
        <f t="shared" si="1787"/>
        <v>13756847.74</v>
      </c>
      <c r="BU493" s="129">
        <f t="shared" si="1787"/>
        <v>17034233.296610177</v>
      </c>
      <c r="BV493" s="129">
        <f t="shared" si="1787"/>
        <v>17528072.380000032</v>
      </c>
      <c r="BW493" s="129">
        <f t="shared" si="1787"/>
        <v>16211726.588644078</v>
      </c>
      <c r="BX493" s="129">
        <f t="shared" si="1787"/>
        <v>18368505.433728803</v>
      </c>
      <c r="BY493" s="129">
        <f t="shared" si="1787"/>
        <v>18782024.695932288</v>
      </c>
      <c r="BZ493" s="129">
        <f t="shared" si="1787"/>
        <v>15426205.65206782</v>
      </c>
      <c r="CA493" s="129">
        <f t="shared" si="1787"/>
        <v>14064065.498135602</v>
      </c>
      <c r="CB493" s="129">
        <f t="shared" si="1787"/>
        <v>10964218.175762687</v>
      </c>
      <c r="CC493" s="129">
        <f t="shared" si="1787"/>
        <v>12903312.305423699</v>
      </c>
      <c r="CD493" s="129">
        <f t="shared" si="1787"/>
        <v>16037200.735423816</v>
      </c>
      <c r="CE493" s="129">
        <f t="shared" si="1787"/>
        <v>16980578.136440687</v>
      </c>
      <c r="CF493" s="129">
        <f t="shared" si="1787"/>
        <v>14789569.236960266</v>
      </c>
      <c r="CG493" s="129">
        <f t="shared" si="1787"/>
        <v>18703316.006908122</v>
      </c>
      <c r="CH493" s="129">
        <f t="shared" si="1787"/>
        <v>17420824.23066606</v>
      </c>
      <c r="CI493" s="129">
        <f t="shared" si="1787"/>
        <v>14839976.388945393</v>
      </c>
      <c r="CJ493" s="129">
        <f t="shared" si="1787"/>
        <v>15219324.988418624</v>
      </c>
      <c r="CK493" s="129">
        <f t="shared" si="1787"/>
        <v>18731876.627118628</v>
      </c>
      <c r="CL493" s="129">
        <f t="shared" si="1787"/>
        <v>18207474.728813607</v>
      </c>
      <c r="CM493" s="129">
        <f t="shared" si="1787"/>
        <v>19593820.245762698</v>
      </c>
      <c r="CN493" s="129">
        <f t="shared" si="1787"/>
        <v>20629178.076271165</v>
      </c>
      <c r="CO493" s="129">
        <f t="shared" si="1787"/>
        <v>16615977.10169491</v>
      </c>
      <c r="CP493" s="129">
        <f t="shared" si="1787"/>
        <v>27177616.627118696</v>
      </c>
      <c r="CQ493" s="129">
        <f t="shared" si="1787"/>
        <v>29350165.466101747</v>
      </c>
      <c r="CR493" s="129">
        <f t="shared" si="1787"/>
        <v>28559573.017793998</v>
      </c>
      <c r="CS493" s="129">
        <f t="shared" si="1787"/>
        <v>37140163.843689226</v>
      </c>
      <c r="CT493" s="129">
        <f t="shared" si="1787"/>
        <v>25735981.522933841</v>
      </c>
      <c r="CU493" s="129">
        <f t="shared" si="1787"/>
        <v>25140409.328154642</v>
      </c>
      <c r="CV493" s="129">
        <f t="shared" si="1787"/>
        <v>25056220.284669846</v>
      </c>
      <c r="CW493" s="129">
        <f t="shared" si="1787"/>
        <v>27297204.500466388</v>
      </c>
      <c r="CX493" s="129">
        <f t="shared" si="1787"/>
        <v>24124381.333237853</v>
      </c>
      <c r="CY493" s="129">
        <f t="shared" si="1787"/>
        <v>22204566.783873279</v>
      </c>
      <c r="CZ493" s="129">
        <f t="shared" si="1787"/>
        <v>28254704.876652874</v>
      </c>
      <c r="DA493" s="129">
        <f t="shared" si="1787"/>
        <v>25811065.785220332</v>
      </c>
      <c r="DB493" s="129">
        <f t="shared" ref="DB493:DQ493" si="1788">DB494+DB495</f>
        <v>31129789.050316051</v>
      </c>
      <c r="DC493" s="129">
        <f t="shared" si="1788"/>
        <v>31934036.273425031</v>
      </c>
      <c r="DD493" s="129">
        <f t="shared" si="1788"/>
        <v>29501999.512427371</v>
      </c>
      <c r="DE493" s="129">
        <f t="shared" si="1788"/>
        <v>34673623.050622307</v>
      </c>
      <c r="DF493" s="129">
        <f t="shared" si="1788"/>
        <v>32188900.419492994</v>
      </c>
      <c r="DG493" s="129">
        <f t="shared" si="1788"/>
        <v>31528430.21088044</v>
      </c>
      <c r="DH493" s="129">
        <f t="shared" si="1788"/>
        <v>31262274.845919099</v>
      </c>
      <c r="DI493" s="129">
        <f t="shared" si="1788"/>
        <v>34025965.40983136</v>
      </c>
      <c r="DJ493" s="129">
        <f t="shared" si="1788"/>
        <v>30029018.216010191</v>
      </c>
      <c r="DK493" s="129">
        <f t="shared" si="1788"/>
        <v>27589174.228962563</v>
      </c>
      <c r="DL493" s="129">
        <f t="shared" si="1788"/>
        <v>34952682.897855483</v>
      </c>
      <c r="DM493" s="129">
        <f t="shared" si="1788"/>
        <v>31778493.805816952</v>
      </c>
      <c r="DN493" s="129">
        <f t="shared" si="1788"/>
        <v>38163438.684387475</v>
      </c>
      <c r="DO493" s="129">
        <f t="shared" si="1788"/>
        <v>38984300.661032066</v>
      </c>
      <c r="DP493" s="129">
        <f t="shared" si="1788"/>
        <v>35852472.532474592</v>
      </c>
      <c r="DQ493" s="129">
        <f t="shared" si="1788"/>
        <v>41651042.7936076</v>
      </c>
      <c r="DR493" s="129">
        <f t="shared" ref="DR493:EC493" si="1789">DR494+DR495</f>
        <v>38642774.953601345</v>
      </c>
      <c r="DS493" s="129">
        <f t="shared" si="1789"/>
        <v>37815926.774088725</v>
      </c>
      <c r="DT493" s="129">
        <f t="shared" si="1789"/>
        <v>37474657.262800433</v>
      </c>
      <c r="DU493" s="129">
        <f t="shared" si="1789"/>
        <v>40763905.004209623</v>
      </c>
      <c r="DV493" s="129">
        <f t="shared" si="1789"/>
        <v>35944734.804564208</v>
      </c>
      <c r="DW493" s="129">
        <f t="shared" si="1789"/>
        <v>32987520.749749366</v>
      </c>
      <c r="DX493" s="129">
        <f t="shared" si="1789"/>
        <v>41780413.559718154</v>
      </c>
      <c r="DY493" s="129">
        <f t="shared" si="1789"/>
        <v>37965611.532766551</v>
      </c>
      <c r="DZ493" s="129">
        <f t="shared" si="1789"/>
        <v>45581457.078665301</v>
      </c>
      <c r="EA493" s="129">
        <f t="shared" si="1789"/>
        <v>46549480.736541867</v>
      </c>
      <c r="EB493" s="129">
        <f t="shared" si="1789"/>
        <v>42787338.675676189</v>
      </c>
      <c r="EC493" s="129">
        <f t="shared" si="1789"/>
        <v>49694543.8317293</v>
      </c>
      <c r="ED493" s="113" t="s">
        <v>1</v>
      </c>
    </row>
    <row r="494" spans="1:134" x14ac:dyDescent="0.2">
      <c r="A494" s="739" t="s">
        <v>192</v>
      </c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29">
        <v>0</v>
      </c>
      <c r="AC494" s="129">
        <v>0</v>
      </c>
      <c r="AD494" s="129">
        <v>0</v>
      </c>
      <c r="AE494" s="129">
        <v>0</v>
      </c>
      <c r="AF494" s="129">
        <v>0</v>
      </c>
      <c r="AG494" s="129">
        <v>0</v>
      </c>
      <c r="AH494" s="129">
        <v>0</v>
      </c>
      <c r="AI494" s="129">
        <v>0</v>
      </c>
      <c r="AJ494" s="129">
        <v>0</v>
      </c>
      <c r="AK494" s="129">
        <v>0</v>
      </c>
      <c r="AL494" s="129">
        <v>0</v>
      </c>
      <c r="AM494" s="129">
        <v>25948.319999999992</v>
      </c>
      <c r="AN494" s="129">
        <v>522462.53882000002</v>
      </c>
      <c r="AO494" s="129">
        <v>1003263.9611099999</v>
      </c>
      <c r="AP494" s="129">
        <v>1140509</v>
      </c>
      <c r="AQ494" s="129">
        <v>1687093.7680029003</v>
      </c>
      <c r="AR494" s="129">
        <v>3244601.7680029003</v>
      </c>
      <c r="AS494" s="129">
        <v>3063177.3796811141</v>
      </c>
      <c r="AT494" s="129">
        <v>3931110.7077145749</v>
      </c>
      <c r="AU494" s="129">
        <v>4633404.6280100141</v>
      </c>
      <c r="AV494" s="129">
        <v>5667920.7551354878</v>
      </c>
      <c r="AW494" s="129">
        <v>5820862</v>
      </c>
      <c r="AX494" s="129">
        <v>3219363</v>
      </c>
      <c r="AY494" s="129">
        <v>5251130.4979699906</v>
      </c>
      <c r="AZ494" s="129">
        <v>7653244.5958800111</v>
      </c>
      <c r="BA494" s="129">
        <v>5633137.4968100013</v>
      </c>
      <c r="BB494" s="129">
        <v>5537154.385599995</v>
      </c>
      <c r="BC494" s="129">
        <v>5361094.5253000017</v>
      </c>
      <c r="BD494" s="129">
        <v>5384194.3173000002</v>
      </c>
      <c r="BE494" s="129">
        <v>5821916.3215999985</v>
      </c>
      <c r="BF494" s="129">
        <v>7150709.7197560016</v>
      </c>
      <c r="BG494" s="129">
        <v>6698135.6792000001</v>
      </c>
      <c r="BH494" s="129">
        <v>5411971.1502999784</v>
      </c>
      <c r="BI494" s="129">
        <v>8936043.2751000542</v>
      </c>
      <c r="BJ494" s="129">
        <v>10140763.789406849</v>
      </c>
      <c r="BK494" s="129">
        <v>11653229.201017033</v>
      </c>
      <c r="BL494" s="129">
        <v>11361324.76847462</v>
      </c>
      <c r="BM494" s="129">
        <v>8803522.514067784</v>
      </c>
      <c r="BN494" s="129">
        <v>11106162.137203362</v>
      </c>
      <c r="BO494" s="129">
        <v>10945162.864406742</v>
      </c>
      <c r="BP494" s="129">
        <v>14498257.039660953</v>
      </c>
      <c r="BQ494" s="129">
        <v>13317157.68033893</v>
      </c>
      <c r="BR494" s="129">
        <v>12769896.745424297</v>
      </c>
      <c r="BS494" s="129">
        <v>12420482.063220467</v>
      </c>
      <c r="BT494" s="129">
        <v>13330782.140000001</v>
      </c>
      <c r="BU494" s="129">
        <v>16967732.838983059</v>
      </c>
      <c r="BV494" s="129">
        <v>17288817.667796642</v>
      </c>
      <c r="BW494" s="129">
        <v>15992223.552372891</v>
      </c>
      <c r="BX494" s="129">
        <v>18021071.299830496</v>
      </c>
      <c r="BY494" s="129">
        <v>18679914.759661101</v>
      </c>
      <c r="BZ494" s="129">
        <v>15056487.269355955</v>
      </c>
      <c r="CA494" s="129">
        <v>13949207.598474585</v>
      </c>
      <c r="CB494" s="129">
        <v>10632814.885254212</v>
      </c>
      <c r="CC494" s="129">
        <v>12820144.33559319</v>
      </c>
      <c r="CD494" s="129">
        <v>15726395.264067885</v>
      </c>
      <c r="CE494" s="129">
        <v>16477324.986440688</v>
      </c>
      <c r="CF494" s="129">
        <v>14783435.65746874</v>
      </c>
      <c r="CG494" s="129">
        <v>18426310.73462363</v>
      </c>
      <c r="CH494" s="129">
        <v>17101782.073114194</v>
      </c>
      <c r="CI494" s="129">
        <v>14510739.573691156</v>
      </c>
      <c r="CJ494" s="129">
        <v>14963535.772104302</v>
      </c>
      <c r="CK494" s="129">
        <v>18175573.203389816</v>
      </c>
      <c r="CL494" s="129">
        <v>17849611.016949199</v>
      </c>
      <c r="CM494" s="129">
        <v>19251599.423728801</v>
      </c>
      <c r="CN494" s="129">
        <v>20237330.618644048</v>
      </c>
      <c r="CO494" s="129">
        <v>16299861.813559316</v>
      </c>
      <c r="CP494" s="129">
        <v>26989076.940678019</v>
      </c>
      <c r="CQ494" s="129">
        <v>29120717.262711916</v>
      </c>
      <c r="CR494" s="129">
        <v>28323012.172274273</v>
      </c>
      <c r="CS494" s="129">
        <v>36615808.969718389</v>
      </c>
      <c r="CT494" s="129">
        <f t="shared" ref="CT494:DQ494" si="1790">CT435*CT529</f>
        <v>25386149.477503069</v>
      </c>
      <c r="CU494" s="129">
        <f t="shared" si="1790"/>
        <v>24798672.96148847</v>
      </c>
      <c r="CV494" s="129">
        <f t="shared" si="1790"/>
        <v>24715628.308990233</v>
      </c>
      <c r="CW494" s="129">
        <f t="shared" si="1790"/>
        <v>26926150.578297906</v>
      </c>
      <c r="CX494" s="129">
        <f t="shared" si="1790"/>
        <v>23796455.947565738</v>
      </c>
      <c r="CY494" s="129">
        <f t="shared" si="1790"/>
        <v>21902737.64986553</v>
      </c>
      <c r="CZ494" s="129">
        <f t="shared" si="1790"/>
        <v>27870635.545889869</v>
      </c>
      <c r="DA494" s="129">
        <f t="shared" si="1790"/>
        <v>25460213.111101594</v>
      </c>
      <c r="DB494" s="129">
        <f t="shared" si="1790"/>
        <v>30706638.382151481</v>
      </c>
      <c r="DC494" s="129">
        <f t="shared" si="1790"/>
        <v>31499953.383738562</v>
      </c>
      <c r="DD494" s="129">
        <f t="shared" si="1790"/>
        <v>29100975.567623358</v>
      </c>
      <c r="DE494" s="129">
        <f t="shared" si="1790"/>
        <v>34202300.654641971</v>
      </c>
      <c r="DF494" s="129">
        <f t="shared" si="1790"/>
        <v>31751353.13325936</v>
      </c>
      <c r="DG494" s="129">
        <f t="shared" si="1790"/>
        <v>31099860.769296683</v>
      </c>
      <c r="DH494" s="129">
        <f t="shared" si="1790"/>
        <v>30837323.283670694</v>
      </c>
      <c r="DI494" s="129">
        <f t="shared" si="1790"/>
        <v>33563446.695848346</v>
      </c>
      <c r="DJ494" s="129">
        <f t="shared" si="1790"/>
        <v>29620830.447635263</v>
      </c>
      <c r="DK494" s="129">
        <f t="shared" si="1790"/>
        <v>27214151.529957935</v>
      </c>
      <c r="DL494" s="129">
        <f t="shared" si="1790"/>
        <v>34477567.210483946</v>
      </c>
      <c r="DM494" s="129">
        <f t="shared" si="1790"/>
        <v>31346525.222108912</v>
      </c>
      <c r="DN494" s="129">
        <f t="shared" si="1790"/>
        <v>37644678.838226803</v>
      </c>
      <c r="DO494" s="129">
        <f t="shared" si="1790"/>
        <v>38454382.74716568</v>
      </c>
      <c r="DP494" s="129">
        <f t="shared" si="1790"/>
        <v>35365125.905006379</v>
      </c>
      <c r="DQ494" s="129">
        <f t="shared" si="1790"/>
        <v>41084875.55876451</v>
      </c>
      <c r="DR494" s="129">
        <f t="shared" ref="DR494:EC494" si="1791">DR435*DR529</f>
        <v>38117499.43647787</v>
      </c>
      <c r="DS494" s="129">
        <f t="shared" si="1791"/>
        <v>37301890.695789129</v>
      </c>
      <c r="DT494" s="129">
        <f t="shared" si="1791"/>
        <v>36965260.098741226</v>
      </c>
      <c r="DU494" s="129">
        <f t="shared" si="1791"/>
        <v>40209796.731530748</v>
      </c>
      <c r="DV494" s="129">
        <f t="shared" si="1791"/>
        <v>35456134.045819417</v>
      </c>
      <c r="DW494" s="129">
        <f t="shared" si="1791"/>
        <v>32539117.728971191</v>
      </c>
      <c r="DX494" s="129">
        <f t="shared" si="1791"/>
        <v>41212487.77373191</v>
      </c>
      <c r="DY494" s="129">
        <f t="shared" si="1791"/>
        <v>37449540.772974379</v>
      </c>
      <c r="DZ494" s="129">
        <f t="shared" si="1791"/>
        <v>44961863.287407145</v>
      </c>
      <c r="EA494" s="129">
        <f t="shared" si="1791"/>
        <v>45916728.492556408</v>
      </c>
      <c r="EB494" s="129">
        <f t="shared" si="1791"/>
        <v>42205725.645137124</v>
      </c>
      <c r="EC494" s="129">
        <f t="shared" si="1791"/>
        <v>49019040.396979354</v>
      </c>
      <c r="ED494" s="113" t="s">
        <v>1</v>
      </c>
    </row>
    <row r="495" spans="1:134" x14ac:dyDescent="0.2">
      <c r="A495" s="739" t="s">
        <v>193</v>
      </c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29">
        <v>0</v>
      </c>
      <c r="AC495" s="129">
        <v>0</v>
      </c>
      <c r="AD495" s="129">
        <v>0</v>
      </c>
      <c r="AE495" s="129">
        <v>0</v>
      </c>
      <c r="AF495" s="129">
        <v>0</v>
      </c>
      <c r="AG495" s="129">
        <v>0</v>
      </c>
      <c r="AH495" s="129">
        <v>0</v>
      </c>
      <c r="AI495" s="129">
        <v>0</v>
      </c>
      <c r="AJ495" s="129">
        <v>0</v>
      </c>
      <c r="AK495" s="129">
        <v>0</v>
      </c>
      <c r="AL495" s="129">
        <v>0</v>
      </c>
      <c r="AM495" s="129">
        <v>299.68000000000757</v>
      </c>
      <c r="AN495" s="129">
        <v>99469.999999999884</v>
      </c>
      <c r="AO495" s="129">
        <v>29364</v>
      </c>
      <c r="AP495" s="129">
        <v>83113</v>
      </c>
      <c r="AQ495" s="129">
        <v>397304.40265200002</v>
      </c>
      <c r="AR495" s="129">
        <v>254504</v>
      </c>
      <c r="AS495" s="129">
        <v>307516.97349399998</v>
      </c>
      <c r="AT495" s="129">
        <v>361348.77187999961</v>
      </c>
      <c r="AU495" s="129">
        <v>518450</v>
      </c>
      <c r="AV495" s="129">
        <v>381564</v>
      </c>
      <c r="AW495" s="129">
        <v>342547</v>
      </c>
      <c r="AX495" s="129">
        <v>226623</v>
      </c>
      <c r="AY495" s="129">
        <v>126248.98</v>
      </c>
      <c r="AZ495" s="129">
        <v>17470.609999999986</v>
      </c>
      <c r="BA495" s="129">
        <v>110956.18924999998</v>
      </c>
      <c r="BB495" s="129">
        <v>84659.34</v>
      </c>
      <c r="BC495" s="129">
        <v>205587.29000000007</v>
      </c>
      <c r="BD495" s="129">
        <v>100415.52000000002</v>
      </c>
      <c r="BE495" s="129">
        <v>165638.48000000004</v>
      </c>
      <c r="BF495" s="129">
        <v>158142.101</v>
      </c>
      <c r="BG495" s="129">
        <v>67606.099999999991</v>
      </c>
      <c r="BH495" s="129">
        <v>25666.989999999991</v>
      </c>
      <c r="BI495" s="129">
        <v>66322.369999999981</v>
      </c>
      <c r="BJ495" s="129">
        <v>52671.127118644072</v>
      </c>
      <c r="BK495" s="129">
        <v>173121.45762711862</v>
      </c>
      <c r="BL495" s="129">
        <v>66894.957627118652</v>
      </c>
      <c r="BM495" s="129">
        <v>16427.864406779663</v>
      </c>
      <c r="BN495" s="129">
        <v>21573.186440677968</v>
      </c>
      <c r="BO495" s="129">
        <v>-1563.8135593220341</v>
      </c>
      <c r="BP495" s="129">
        <v>192460.08254237295</v>
      </c>
      <c r="BQ495" s="129">
        <v>140800.04118644071</v>
      </c>
      <c r="BR495" s="129">
        <v>188329.68474576273</v>
      </c>
      <c r="BS495" s="129">
        <v>338618.94305084751</v>
      </c>
      <c r="BT495" s="129">
        <v>426065.6</v>
      </c>
      <c r="BU495" s="129">
        <v>66500.457627118682</v>
      </c>
      <c r="BV495" s="129">
        <v>239254.71220338982</v>
      </c>
      <c r="BW495" s="129">
        <v>219503.03627118649</v>
      </c>
      <c r="BX495" s="129">
        <v>347434.13389830512</v>
      </c>
      <c r="BY495" s="129">
        <v>102109.93627118634</v>
      </c>
      <c r="BZ495" s="129">
        <v>369718.38271186437</v>
      </c>
      <c r="CA495" s="129">
        <v>114857.89966101694</v>
      </c>
      <c r="CB495" s="129">
        <v>331403.29050847463</v>
      </c>
      <c r="CC495" s="129">
        <v>83167.969830508417</v>
      </c>
      <c r="CD495" s="129">
        <v>310805.47135593207</v>
      </c>
      <c r="CE495" s="129">
        <v>503253.15</v>
      </c>
      <c r="CF495" s="129">
        <v>6133.5794915254519</v>
      </c>
      <c r="CG495" s="129">
        <v>277005.27228449151</v>
      </c>
      <c r="CH495" s="129">
        <v>319042.15755186439</v>
      </c>
      <c r="CI495" s="129">
        <v>329236.81525423727</v>
      </c>
      <c r="CJ495" s="129">
        <v>255789.21631432202</v>
      </c>
      <c r="CK495" s="129">
        <v>556303.42372881353</v>
      </c>
      <c r="CL495" s="129">
        <v>357863.71186440683</v>
      </c>
      <c r="CM495" s="129">
        <v>342220.82203389832</v>
      </c>
      <c r="CN495" s="129">
        <v>391847.45762711868</v>
      </c>
      <c r="CO495" s="129">
        <v>316115.28813559323</v>
      </c>
      <c r="CP495" s="129">
        <v>188539.68644067796</v>
      </c>
      <c r="CQ495" s="129">
        <v>229448.20338983051</v>
      </c>
      <c r="CR495" s="129">
        <v>236560.84551972419</v>
      </c>
      <c r="CS495" s="129">
        <v>524354.8739708385</v>
      </c>
      <c r="CT495" s="129">
        <f t="shared" ref="CT495:DQ495" si="1792">CT436*CT531</f>
        <v>349832.04543077137</v>
      </c>
      <c r="CU495" s="129">
        <f t="shared" si="1792"/>
        <v>341736.36666617345</v>
      </c>
      <c r="CV495" s="129">
        <f t="shared" si="1792"/>
        <v>340591.97567961243</v>
      </c>
      <c r="CW495" s="129">
        <f t="shared" si="1792"/>
        <v>371053.92216848332</v>
      </c>
      <c r="CX495" s="129">
        <f t="shared" si="1792"/>
        <v>327925.38567211555</v>
      </c>
      <c r="CY495" s="129">
        <f t="shared" si="1792"/>
        <v>301829.13400774932</v>
      </c>
      <c r="CZ495" s="129">
        <f t="shared" si="1792"/>
        <v>384069.33076300519</v>
      </c>
      <c r="DA495" s="129">
        <f t="shared" si="1792"/>
        <v>350852.67411874031</v>
      </c>
      <c r="DB495" s="129">
        <f t="shared" si="1792"/>
        <v>423150.66816457058</v>
      </c>
      <c r="DC495" s="129">
        <f t="shared" si="1792"/>
        <v>434082.88968647033</v>
      </c>
      <c r="DD495" s="129">
        <f t="shared" si="1792"/>
        <v>401023.94480401184</v>
      </c>
      <c r="DE495" s="129">
        <f t="shared" si="1792"/>
        <v>471322.39598033251</v>
      </c>
      <c r="DF495" s="129">
        <f t="shared" si="1792"/>
        <v>437547.28623363411</v>
      </c>
      <c r="DG495" s="129">
        <f t="shared" si="1792"/>
        <v>428569.44158375653</v>
      </c>
      <c r="DH495" s="129">
        <f t="shared" si="1792"/>
        <v>424951.56224840548</v>
      </c>
      <c r="DI495" s="129">
        <f t="shared" si="1792"/>
        <v>462518.71398301452</v>
      </c>
      <c r="DJ495" s="129">
        <f t="shared" si="1792"/>
        <v>408187.76837492787</v>
      </c>
      <c r="DK495" s="129">
        <f t="shared" si="1792"/>
        <v>375022.69900462864</v>
      </c>
      <c r="DL495" s="129">
        <f t="shared" si="1792"/>
        <v>475115.68737153854</v>
      </c>
      <c r="DM495" s="129">
        <f t="shared" si="1792"/>
        <v>431968.58370804106</v>
      </c>
      <c r="DN495" s="129">
        <f t="shared" si="1792"/>
        <v>518759.84616067359</v>
      </c>
      <c r="DO495" s="129">
        <f t="shared" si="1792"/>
        <v>529917.91386638861</v>
      </c>
      <c r="DP495" s="129">
        <f t="shared" si="1792"/>
        <v>487346.62746821635</v>
      </c>
      <c r="DQ495" s="129">
        <f t="shared" si="1792"/>
        <v>566167.23484309122</v>
      </c>
      <c r="DR495" s="129">
        <f t="shared" ref="DR495:EC495" si="1793">DR436*DR531</f>
        <v>525275.51712347765</v>
      </c>
      <c r="DS495" s="129">
        <f t="shared" si="1793"/>
        <v>514036.07829959411</v>
      </c>
      <c r="DT495" s="129">
        <f t="shared" si="1793"/>
        <v>509397.16405920452</v>
      </c>
      <c r="DU495" s="129">
        <f t="shared" si="1793"/>
        <v>554108.2726788749</v>
      </c>
      <c r="DV495" s="129">
        <f t="shared" si="1793"/>
        <v>488600.75874478859</v>
      </c>
      <c r="DW495" s="129">
        <f t="shared" si="1793"/>
        <v>448403.02077817509</v>
      </c>
      <c r="DX495" s="129">
        <f t="shared" si="1793"/>
        <v>567925.78598624724</v>
      </c>
      <c r="DY495" s="129">
        <f t="shared" si="1793"/>
        <v>516070.75979217363</v>
      </c>
      <c r="DZ495" s="129">
        <f t="shared" si="1793"/>
        <v>619593.79125815467</v>
      </c>
      <c r="EA495" s="129">
        <f t="shared" si="1793"/>
        <v>632752.24398546026</v>
      </c>
      <c r="EB495" s="129">
        <f t="shared" si="1793"/>
        <v>581613.03053906583</v>
      </c>
      <c r="EC495" s="129">
        <f t="shared" si="1793"/>
        <v>675503.43474994728</v>
      </c>
      <c r="ED495" s="113" t="s">
        <v>1</v>
      </c>
    </row>
    <row r="496" spans="1:134" x14ac:dyDescent="0.2">
      <c r="A496" s="114" t="s">
        <v>22</v>
      </c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29">
        <v>0</v>
      </c>
      <c r="AC496" s="129">
        <v>0</v>
      </c>
      <c r="AD496" s="129">
        <v>0</v>
      </c>
      <c r="AE496" s="129">
        <v>0</v>
      </c>
      <c r="AF496" s="129">
        <v>0</v>
      </c>
      <c r="AG496" s="129">
        <v>0</v>
      </c>
      <c r="AH496" s="129">
        <v>0</v>
      </c>
      <c r="AI496" s="129">
        <v>0</v>
      </c>
      <c r="AJ496" s="129">
        <v>0</v>
      </c>
      <c r="AK496" s="129">
        <v>0</v>
      </c>
      <c r="AL496" s="129">
        <v>0</v>
      </c>
      <c r="AM496" s="129">
        <v>0</v>
      </c>
      <c r="AN496" s="129">
        <v>0</v>
      </c>
      <c r="AO496" s="129">
        <v>0</v>
      </c>
      <c r="AP496" s="129">
        <v>0</v>
      </c>
      <c r="AQ496" s="129">
        <v>0</v>
      </c>
      <c r="AR496" s="129">
        <v>0</v>
      </c>
      <c r="AS496" s="129">
        <v>0</v>
      </c>
      <c r="AT496" s="129">
        <v>0</v>
      </c>
      <c r="AU496" s="129">
        <v>0</v>
      </c>
      <c r="AV496" s="129">
        <v>0</v>
      </c>
      <c r="AW496" s="129">
        <v>0</v>
      </c>
      <c r="AX496" s="129">
        <v>0</v>
      </c>
      <c r="AY496" s="129">
        <v>0</v>
      </c>
      <c r="AZ496" s="129">
        <v>0</v>
      </c>
      <c r="BA496" s="129">
        <v>0</v>
      </c>
      <c r="BB496" s="129">
        <v>0</v>
      </c>
      <c r="BC496" s="129">
        <v>1145560.9660158316</v>
      </c>
      <c r="BD496" s="129">
        <v>1021456.3965239698</v>
      </c>
      <c r="BE496" s="129">
        <v>885612.32337997097</v>
      </c>
      <c r="BF496" s="129">
        <v>1406706.5843739272</v>
      </c>
      <c r="BG496" s="129">
        <v>737991.41760402091</v>
      </c>
      <c r="BH496" s="129">
        <v>1875358.5525625155</v>
      </c>
      <c r="BI496" s="129">
        <v>2202317.561701043</v>
      </c>
      <c r="BJ496" s="129">
        <v>3307781.7060213033</v>
      </c>
      <c r="BK496" s="129">
        <v>4753326.9103376027</v>
      </c>
      <c r="BL496" s="129">
        <v>5662159.0100047411</v>
      </c>
      <c r="BM496" s="129">
        <v>4719606.8776168674</v>
      </c>
      <c r="BN496" s="129">
        <v>4628338.1312341839</v>
      </c>
      <c r="BO496" s="129">
        <v>2046539.4181662432</v>
      </c>
      <c r="BP496" s="129">
        <v>4177157.5921919737</v>
      </c>
      <c r="BQ496" s="129">
        <v>3023469.5814251569</v>
      </c>
      <c r="BR496" s="129">
        <v>2229044.0461680302</v>
      </c>
      <c r="BS496" s="129">
        <v>3644717.3724851445</v>
      </c>
      <c r="BT496" s="129">
        <v>1940457.8080902759</v>
      </c>
      <c r="BU496" s="129">
        <v>2243817.5870567067</v>
      </c>
      <c r="BV496" s="129">
        <v>1870326.1282596861</v>
      </c>
      <c r="BW496" s="129">
        <v>1231851.5105066872</v>
      </c>
      <c r="BX496" s="129">
        <v>1895191.101301542</v>
      </c>
      <c r="BY496" s="129">
        <v>703912.26041779399</v>
      </c>
      <c r="BZ496" s="129">
        <v>647072.07447519596</v>
      </c>
      <c r="CA496" s="129">
        <v>585286.77786220424</v>
      </c>
      <c r="CB496" s="129">
        <v>1469057.6457404839</v>
      </c>
      <c r="CC496" s="129">
        <v>840915.47650283319</v>
      </c>
      <c r="CD496" s="129">
        <v>1834992.8051618361</v>
      </c>
      <c r="CE496" s="129">
        <v>1568715.9067643117</v>
      </c>
      <c r="CF496" s="129">
        <v>1413352.3362239616</v>
      </c>
      <c r="CG496" s="129">
        <v>1280914.812751926</v>
      </c>
      <c r="CH496" s="129">
        <v>1483276.1335675498</v>
      </c>
      <c r="CI496" s="129">
        <v>1275675.1163306662</v>
      </c>
      <c r="CJ496" s="129">
        <v>1100287.7783898131</v>
      </c>
      <c r="CK496" s="129">
        <v>1777135.7426796656</v>
      </c>
      <c r="CL496" s="129">
        <v>1454408.0428596938</v>
      </c>
      <c r="CM496" s="129">
        <v>1381878.7094001982</v>
      </c>
      <c r="CN496" s="129">
        <v>890279.15404659603</v>
      </c>
      <c r="CO496" s="129">
        <v>1021633.8650002765</v>
      </c>
      <c r="CP496" s="129">
        <v>1074154.83552083</v>
      </c>
      <c r="CQ496" s="129">
        <v>2049219.745874271</v>
      </c>
      <c r="CR496" s="129">
        <v>2160949.167100565</v>
      </c>
      <c r="CS496" s="129">
        <v>2823024.1995815616</v>
      </c>
      <c r="CT496" s="129">
        <f>CT461*CT534</f>
        <v>1877254.5997204524</v>
      </c>
      <c r="CU496" s="129">
        <f t="shared" ref="CU496:DQ496" si="1794">CU461*CU534</f>
        <v>1838399.4603089364</v>
      </c>
      <c r="CV496" s="129">
        <f t="shared" si="1794"/>
        <v>1834567.3554546756</v>
      </c>
      <c r="CW496" s="129">
        <f t="shared" si="1794"/>
        <v>1986589.7250848936</v>
      </c>
      <c r="CX496" s="129">
        <f t="shared" si="1794"/>
        <v>1774917.3017079919</v>
      </c>
      <c r="CY496" s="129">
        <f t="shared" si="1794"/>
        <v>1648173.3620353902</v>
      </c>
      <c r="CZ496" s="129">
        <f t="shared" si="1794"/>
        <v>2056521.2540082443</v>
      </c>
      <c r="DA496" s="129">
        <f t="shared" si="1794"/>
        <v>1893917.0739075583</v>
      </c>
      <c r="DB496" s="129">
        <f t="shared" si="1794"/>
        <v>2253046.6108834995</v>
      </c>
      <c r="DC496" s="129">
        <f t="shared" si="1794"/>
        <v>2308388.0975635871</v>
      </c>
      <c r="DD496" s="129">
        <f t="shared" si="1794"/>
        <v>2146564.6612987127</v>
      </c>
      <c r="DE496" s="129">
        <f t="shared" si="1794"/>
        <v>2497017.6610665945</v>
      </c>
      <c r="DF496" s="129">
        <f t="shared" si="1794"/>
        <v>2295647.8210800532</v>
      </c>
      <c r="DG496" s="129">
        <f t="shared" si="1794"/>
        <v>2253762.7657833705</v>
      </c>
      <c r="DH496" s="129">
        <f t="shared" si="1794"/>
        <v>2237367.3624252593</v>
      </c>
      <c r="DI496" s="129">
        <f t="shared" si="1794"/>
        <v>2421525.1455331235</v>
      </c>
      <c r="DJ496" s="129">
        <f t="shared" si="1794"/>
        <v>2158790.2164599407</v>
      </c>
      <c r="DK496" s="129">
        <f t="shared" si="1794"/>
        <v>1999734.9454815199</v>
      </c>
      <c r="DL496" s="129">
        <f t="shared" si="1794"/>
        <v>2487755.3075850839</v>
      </c>
      <c r="DM496" s="129">
        <f t="shared" si="1794"/>
        <v>2278869.7763435799</v>
      </c>
      <c r="DN496" s="129">
        <f t="shared" si="1794"/>
        <v>2702116.5192874591</v>
      </c>
      <c r="DO496" s="129">
        <f t="shared" si="1794"/>
        <v>2757062.5030713021</v>
      </c>
      <c r="DP496" s="129">
        <f t="shared" si="1794"/>
        <v>2550980.9514404219</v>
      </c>
      <c r="DQ496" s="129">
        <f t="shared" si="1794"/>
        <v>2935414.0712659871</v>
      </c>
      <c r="DR496" s="129">
        <f t="shared" ref="DR496:EC496" si="1795">DR461*DR534</f>
        <v>2615708.2750967946</v>
      </c>
      <c r="DS496" s="129">
        <f t="shared" si="1795"/>
        <v>2565416.4865066316</v>
      </c>
      <c r="DT496" s="129">
        <f t="shared" si="1795"/>
        <v>2545124.7775092782</v>
      </c>
      <c r="DU496" s="129">
        <f t="shared" si="1795"/>
        <v>2753702.7302642716</v>
      </c>
      <c r="DV496" s="129">
        <f t="shared" si="1795"/>
        <v>2451732.9226052435</v>
      </c>
      <c r="DW496" s="129">
        <f t="shared" si="1795"/>
        <v>2267752.8288784302</v>
      </c>
      <c r="DX496" s="129">
        <f t="shared" si="1795"/>
        <v>2822672.3298812089</v>
      </c>
      <c r="DY496" s="129">
        <f t="shared" si="1795"/>
        <v>2583407.3571278537</v>
      </c>
      <c r="DZ496" s="129">
        <f t="shared" si="1795"/>
        <v>3064125.1974735777</v>
      </c>
      <c r="EA496" s="129">
        <f t="shared" si="1795"/>
        <v>3125760.9508877462</v>
      </c>
      <c r="EB496" s="129">
        <f t="shared" si="1795"/>
        <v>2889815.6892904313</v>
      </c>
      <c r="EC496" s="129">
        <f t="shared" si="1795"/>
        <v>3325860.477550392</v>
      </c>
      <c r="ED496" s="113" t="s">
        <v>1</v>
      </c>
    </row>
    <row r="497" spans="1:134" x14ac:dyDescent="0.2">
      <c r="A497" s="114" t="s">
        <v>36</v>
      </c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29">
        <v>30473.553780964798</v>
      </c>
      <c r="AC497" s="129">
        <v>22661.912731619846</v>
      </c>
      <c r="AD497" s="129">
        <v>38398.33279483037</v>
      </c>
      <c r="AE497" s="129">
        <v>61826.470588235294</v>
      </c>
      <c r="AF497" s="129">
        <v>47991.553170731706</v>
      </c>
      <c r="AG497" s="129">
        <v>68568.506283918876</v>
      </c>
      <c r="AH497" s="129">
        <v>115789.65839768339</v>
      </c>
      <c r="AI497" s="129">
        <v>114596.72157709964</v>
      </c>
      <c r="AJ497" s="129">
        <v>122530.76627491058</v>
      </c>
      <c r="AK497" s="129">
        <v>141619.92589096059</v>
      </c>
      <c r="AL497" s="129">
        <v>90845.479005757617</v>
      </c>
      <c r="AM497" s="129">
        <v>3176.8732394366198</v>
      </c>
      <c r="AN497" s="129">
        <v>130826.85963003265</v>
      </c>
      <c r="AO497" s="129">
        <v>99105.627879503838</v>
      </c>
      <c r="AP497" s="129">
        <v>128993.30872011252</v>
      </c>
      <c r="AQ497" s="129">
        <v>187718.98376109067</v>
      </c>
      <c r="AR497" s="129">
        <v>233139.01111772881</v>
      </c>
      <c r="AS497" s="129">
        <v>313671.99712157127</v>
      </c>
      <c r="AT497" s="129">
        <v>346384.94567205495</v>
      </c>
      <c r="AU497" s="129">
        <v>311839.20583468396</v>
      </c>
      <c r="AV497" s="129">
        <v>316330.01421289943</v>
      </c>
      <c r="AW497" s="129">
        <v>365791.47839593334</v>
      </c>
      <c r="AX497" s="129">
        <v>365791.47839593334</v>
      </c>
      <c r="AY497" s="129">
        <v>484750.00954954111</v>
      </c>
      <c r="AZ497" s="129">
        <v>426816</v>
      </c>
      <c r="BA497" s="129">
        <v>472472</v>
      </c>
      <c r="BB497" s="129">
        <v>504244</v>
      </c>
      <c r="BC497" s="129">
        <v>511940</v>
      </c>
      <c r="BD497" s="129">
        <v>523120</v>
      </c>
      <c r="BE497" s="129">
        <v>506948</v>
      </c>
      <c r="BF497" s="129">
        <v>570960</v>
      </c>
      <c r="BG497" s="129">
        <v>595244</v>
      </c>
      <c r="BH497" s="129">
        <v>544804</v>
      </c>
      <c r="BI497" s="129">
        <v>634972</v>
      </c>
      <c r="BJ497" s="129">
        <v>644020</v>
      </c>
      <c r="BK497" s="129">
        <v>755095</v>
      </c>
      <c r="BL497" s="129">
        <v>752785</v>
      </c>
      <c r="BM497" s="129">
        <v>671770</v>
      </c>
      <c r="BN497" s="129">
        <v>680185</v>
      </c>
      <c r="BO497" s="129">
        <v>640365</v>
      </c>
      <c r="BP497" s="129">
        <v>778140</v>
      </c>
      <c r="BQ497" s="129">
        <v>710875</v>
      </c>
      <c r="BR497" s="129">
        <v>628265</v>
      </c>
      <c r="BS497" s="129">
        <v>565785</v>
      </c>
      <c r="BT497" s="129">
        <v>494450</v>
      </c>
      <c r="BU497" s="129">
        <v>618365</v>
      </c>
      <c r="BV497" s="129">
        <v>661595</v>
      </c>
      <c r="BW497" s="129">
        <v>640475</v>
      </c>
      <c r="BX497" s="129">
        <v>697895</v>
      </c>
      <c r="BY497" s="129">
        <v>650980</v>
      </c>
      <c r="BZ497" s="129">
        <v>536140</v>
      </c>
      <c r="CA497" s="129">
        <v>460570</v>
      </c>
      <c r="CB497" s="129">
        <v>583055</v>
      </c>
      <c r="CC497" s="129">
        <v>562870</v>
      </c>
      <c r="CD497" s="129">
        <v>664785</v>
      </c>
      <c r="CE497" s="129">
        <v>670395</v>
      </c>
      <c r="CF497" s="129">
        <v>630685</v>
      </c>
      <c r="CG497" s="129">
        <v>785620</v>
      </c>
      <c r="CH497" s="129">
        <v>770715</v>
      </c>
      <c r="CI497" s="129">
        <v>761255</v>
      </c>
      <c r="CJ497" s="129">
        <v>774510</v>
      </c>
      <c r="CK497" s="129">
        <v>856185</v>
      </c>
      <c r="CL497" s="129">
        <v>745580</v>
      </c>
      <c r="CM497" s="129">
        <v>682275</v>
      </c>
      <c r="CN497" s="129">
        <v>901175</v>
      </c>
      <c r="CO497" s="129">
        <v>811360</v>
      </c>
      <c r="CP497" s="129">
        <v>1023550</v>
      </c>
      <c r="CQ497" s="129">
        <v>1087845</v>
      </c>
      <c r="CR497" s="129">
        <v>1035430</v>
      </c>
      <c r="CS497" s="129">
        <v>1219680</v>
      </c>
      <c r="CT497" s="129">
        <f t="shared" ref="CT497:DQ497" si="1796">CT434*CT537</f>
        <v>1111609.1341801661</v>
      </c>
      <c r="CU497" s="129">
        <f t="shared" si="1796"/>
        <v>1085884.7027575558</v>
      </c>
      <c r="CV497" s="129">
        <f t="shared" si="1796"/>
        <v>1082248.3421372236</v>
      </c>
      <c r="CW497" s="129">
        <f t="shared" si="1796"/>
        <v>1179042.7279123745</v>
      </c>
      <c r="CX497" s="129">
        <f t="shared" si="1796"/>
        <v>1041999.6075368504</v>
      </c>
      <c r="CY497" s="129">
        <f t="shared" si="1796"/>
        <v>959077.43932251935</v>
      </c>
      <c r="CZ497" s="129">
        <f t="shared" si="1796"/>
        <v>1220399.8513312486</v>
      </c>
      <c r="DA497" s="129">
        <f t="shared" si="1796"/>
        <v>1114852.2337960277</v>
      </c>
      <c r="DB497" s="129">
        <f t="shared" si="1796"/>
        <v>1344582.7905415846</v>
      </c>
      <c r="DC497" s="129">
        <f t="shared" si="1796"/>
        <v>1379320.4809828957</v>
      </c>
      <c r="DD497" s="129">
        <f t="shared" si="1796"/>
        <v>1274274.0005998637</v>
      </c>
      <c r="DE497" s="129">
        <f t="shared" si="1796"/>
        <v>1497650.9080815443</v>
      </c>
      <c r="DF497" s="129">
        <f t="shared" si="1796"/>
        <v>1324122.6451263744</v>
      </c>
      <c r="DG497" s="129">
        <f t="shared" si="1796"/>
        <v>1296953.5418560554</v>
      </c>
      <c r="DH497" s="129">
        <f t="shared" si="1796"/>
        <v>1286004.9744531827</v>
      </c>
      <c r="DI497" s="129">
        <f t="shared" si="1796"/>
        <v>1399692.1527074047</v>
      </c>
      <c r="DJ497" s="129">
        <f t="shared" si="1796"/>
        <v>1235273.7282896535</v>
      </c>
      <c r="DK497" s="129">
        <f t="shared" si="1796"/>
        <v>1134908.3031983147</v>
      </c>
      <c r="DL497" s="129">
        <f t="shared" si="1796"/>
        <v>1437813.6043735284</v>
      </c>
      <c r="DM497" s="129">
        <f t="shared" si="1796"/>
        <v>1307240.158188455</v>
      </c>
      <c r="DN497" s="129">
        <f t="shared" si="1796"/>
        <v>1569891.2581458504</v>
      </c>
      <c r="DO497" s="129">
        <f t="shared" si="1796"/>
        <v>1603658.2373726428</v>
      </c>
      <c r="DP497" s="129">
        <f t="shared" si="1796"/>
        <v>1474827.3518306378</v>
      </c>
      <c r="DQ497" s="129">
        <f t="shared" si="1796"/>
        <v>1713357.3448425427</v>
      </c>
      <c r="DR497" s="129">
        <f t="shared" ref="DR497:EC497" si="1797">DR434*DR537</f>
        <v>1589609.235474213</v>
      </c>
      <c r="DS497" s="129">
        <f t="shared" si="1797"/>
        <v>1555596.0077992729</v>
      </c>
      <c r="DT497" s="129">
        <f t="shared" si="1797"/>
        <v>1541557.5447856565</v>
      </c>
      <c r="DU497" s="129">
        <f t="shared" si="1797"/>
        <v>1676864.0437051775</v>
      </c>
      <c r="DV497" s="129">
        <f t="shared" si="1797"/>
        <v>1478622.6527627155</v>
      </c>
      <c r="DW497" s="129">
        <f t="shared" si="1797"/>
        <v>1356974.6919614503</v>
      </c>
      <c r="DX497" s="129">
        <f t="shared" si="1797"/>
        <v>1718679.1408278628</v>
      </c>
      <c r="DY497" s="129">
        <f t="shared" si="1797"/>
        <v>1561753.4402064879</v>
      </c>
      <c r="DZ497" s="129">
        <f t="shared" si="1797"/>
        <v>1875038.8714479508</v>
      </c>
      <c r="EA497" s="129">
        <f t="shared" si="1797"/>
        <v>1914859.4937652077</v>
      </c>
      <c r="EB497" s="129">
        <f t="shared" si="1797"/>
        <v>1760100.0135700435</v>
      </c>
      <c r="EC497" s="129">
        <f t="shared" si="1797"/>
        <v>2044234.8129099095</v>
      </c>
      <c r="ED497" s="113" t="s">
        <v>1</v>
      </c>
    </row>
    <row r="498" spans="1:134" x14ac:dyDescent="0.2">
      <c r="A498" s="114" t="s">
        <v>201</v>
      </c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29">
        <v>48329.992829204697</v>
      </c>
      <c r="AC498" s="129">
        <v>76632.952181709508</v>
      </c>
      <c r="AD498" s="129">
        <v>179422.47307485191</v>
      </c>
      <c r="AE498" s="129">
        <v>266366.7230110435</v>
      </c>
      <c r="AF498" s="129">
        <v>200528.08000000002</v>
      </c>
      <c r="AG498" s="129">
        <v>262484.48214795772</v>
      </c>
      <c r="AH498" s="129">
        <v>531516.64314671815</v>
      </c>
      <c r="AI498" s="129">
        <v>463795.53263119992</v>
      </c>
      <c r="AJ498" s="129">
        <v>382584.0932038835</v>
      </c>
      <c r="AK498" s="129">
        <v>423617.94477224449</v>
      </c>
      <c r="AL498" s="129">
        <v>245450.91756775731</v>
      </c>
      <c r="AM498" s="129">
        <v>5135.0462776659961</v>
      </c>
      <c r="AN498" s="129">
        <v>154571.01414581068</v>
      </c>
      <c r="AO498" s="129">
        <v>294561.18150029535</v>
      </c>
      <c r="AP498" s="129">
        <v>395182.83735056262</v>
      </c>
      <c r="AQ498" s="129">
        <v>651212.96487179119</v>
      </c>
      <c r="AR498" s="129">
        <v>695837.30163457093</v>
      </c>
      <c r="AS498" s="129">
        <v>969874.61894995905</v>
      </c>
      <c r="AT498" s="129">
        <v>1217907.4706433846</v>
      </c>
      <c r="AU498" s="129">
        <v>1198000</v>
      </c>
      <c r="AV498" s="129">
        <v>1222719.7490917614</v>
      </c>
      <c r="AW498" s="129">
        <v>1341422.617485058</v>
      </c>
      <c r="AX498" s="129">
        <v>1313752.0164068909</v>
      </c>
      <c r="AY498" s="129">
        <v>1758286.2380757062</v>
      </c>
      <c r="AZ498" s="129">
        <v>1823653.0203328256</v>
      </c>
      <c r="BA498" s="129">
        <v>1906664.8235673269</v>
      </c>
      <c r="BB498" s="129">
        <v>2062662.8499355444</v>
      </c>
      <c r="BC498" s="129">
        <v>2157209.0955967591</v>
      </c>
      <c r="BD498" s="129">
        <v>2124219.9117543655</v>
      </c>
      <c r="BE498" s="129">
        <v>1996212.68973397</v>
      </c>
      <c r="BF498" s="129">
        <v>2320320.2585257236</v>
      </c>
      <c r="BG498" s="129">
        <v>2401326.9457400679</v>
      </c>
      <c r="BH498" s="129">
        <v>2210239.3890191023</v>
      </c>
      <c r="BI498" s="129">
        <v>2593016.037267081</v>
      </c>
      <c r="BJ498" s="129">
        <v>5693764.0076669184</v>
      </c>
      <c r="BK498" s="129">
        <v>5850848.7321087439</v>
      </c>
      <c r="BL498" s="129">
        <v>4662639.0367899155</v>
      </c>
      <c r="BM498" s="129">
        <v>3964755.4104787186</v>
      </c>
      <c r="BN498" s="129">
        <v>4158305.9072211357</v>
      </c>
      <c r="BO498" s="129">
        <v>3875987.5283054663</v>
      </c>
      <c r="BP498" s="129">
        <v>4261047.3134916304</v>
      </c>
      <c r="BQ498" s="129">
        <v>4782149.9611072242</v>
      </c>
      <c r="BR498" s="129">
        <v>3765060.2978610448</v>
      </c>
      <c r="BS498" s="129">
        <v>3141924.6180676036</v>
      </c>
      <c r="BT498" s="129">
        <v>3251958.5964618446</v>
      </c>
      <c r="BU498" s="129">
        <v>3282458.0559924697</v>
      </c>
      <c r="BV498" s="129">
        <v>3711565.1972149378</v>
      </c>
      <c r="BW498" s="129">
        <v>3513112.9199183532</v>
      </c>
      <c r="BX498" s="129">
        <v>3728590.1343549374</v>
      </c>
      <c r="BY498" s="129">
        <v>3604764.5714536672</v>
      </c>
      <c r="BZ498" s="129">
        <v>2986745.5531296739</v>
      </c>
      <c r="CA498" s="129">
        <v>2816783.9778142357</v>
      </c>
      <c r="CB498" s="129">
        <v>3940047.1792390901</v>
      </c>
      <c r="CC498" s="129">
        <v>4236091.6100921864</v>
      </c>
      <c r="CD498" s="129">
        <v>3797788.2679079878</v>
      </c>
      <c r="CE498" s="129">
        <v>3635973.468715624</v>
      </c>
      <c r="CF498" s="129">
        <v>3524601.7384014572</v>
      </c>
      <c r="CG498" s="129">
        <v>3893012.4957495434</v>
      </c>
      <c r="CH498" s="129">
        <v>4307446.9468938839</v>
      </c>
      <c r="CI498" s="129">
        <v>3817535.1184280869</v>
      </c>
      <c r="CJ498" s="129">
        <v>3015497.7850636616</v>
      </c>
      <c r="CK498" s="129">
        <v>3107386.3315112768</v>
      </c>
      <c r="CL498" s="129">
        <v>3022218.4105804395</v>
      </c>
      <c r="CM498" s="129">
        <v>3092656.673037882</v>
      </c>
      <c r="CN498" s="129">
        <v>4414982.7026129495</v>
      </c>
      <c r="CO498" s="129">
        <v>4212649.95816842</v>
      </c>
      <c r="CP498" s="129">
        <v>6743376.8678644737</v>
      </c>
      <c r="CQ498" s="129">
        <v>7873894.6989637678</v>
      </c>
      <c r="CR498" s="129">
        <v>8275692.823781549</v>
      </c>
      <c r="CS498" s="129">
        <v>8523041.4400484189</v>
      </c>
      <c r="CT498" s="129">
        <f t="shared" ref="CT498:DQ498" si="1798">CT434*CT540</f>
        <v>6077796.5101157976</v>
      </c>
      <c r="CU498" s="129">
        <f t="shared" si="1798"/>
        <v>5937146.4788074773</v>
      </c>
      <c r="CV498" s="129">
        <f t="shared" si="1798"/>
        <v>5917264.4364526551</v>
      </c>
      <c r="CW498" s="129">
        <f t="shared" si="1798"/>
        <v>6446494.14676526</v>
      </c>
      <c r="CX498" s="129">
        <f t="shared" si="1798"/>
        <v>5697201.816266343</v>
      </c>
      <c r="CY498" s="129">
        <f t="shared" si="1798"/>
        <v>5243819.3735644892</v>
      </c>
      <c r="CZ498" s="129">
        <f t="shared" si="1798"/>
        <v>6672616.9561725836</v>
      </c>
      <c r="DA498" s="129">
        <f t="shared" si="1798"/>
        <v>6095528.3719017105</v>
      </c>
      <c r="DB498" s="129">
        <f t="shared" si="1798"/>
        <v>7351595.3950328864</v>
      </c>
      <c r="DC498" s="129">
        <f t="shared" si="1798"/>
        <v>7541526.0165452715</v>
      </c>
      <c r="DD498" s="129">
        <f t="shared" si="1798"/>
        <v>6967177.4328204617</v>
      </c>
      <c r="DE498" s="129">
        <f t="shared" si="1798"/>
        <v>8188505.4581014924</v>
      </c>
      <c r="DF498" s="129">
        <f t="shared" si="1798"/>
        <v>7601714.6056668917</v>
      </c>
      <c r="DG498" s="129">
        <f t="shared" si="1798"/>
        <v>7445738.291906965</v>
      </c>
      <c r="DH498" s="129">
        <f t="shared" si="1798"/>
        <v>7382883.1741851438</v>
      </c>
      <c r="DI498" s="129">
        <f t="shared" si="1798"/>
        <v>8035554.9539428977</v>
      </c>
      <c r="DJ498" s="129">
        <f t="shared" si="1798"/>
        <v>7091637.9059734708</v>
      </c>
      <c r="DK498" s="129">
        <f t="shared" si="1798"/>
        <v>6515445.5716538802</v>
      </c>
      <c r="DL498" s="129">
        <f t="shared" si="1798"/>
        <v>8254408.0918951901</v>
      </c>
      <c r="DM498" s="129">
        <f t="shared" si="1798"/>
        <v>7504793.1852770811</v>
      </c>
      <c r="DN498" s="129">
        <f t="shared" si="1798"/>
        <v>9012658.5707754549</v>
      </c>
      <c r="DO498" s="129">
        <f t="shared" si="1798"/>
        <v>9206512.9241635874</v>
      </c>
      <c r="DP498" s="129">
        <f t="shared" si="1798"/>
        <v>8466901.961470481</v>
      </c>
      <c r="DQ498" s="129">
        <f t="shared" si="1798"/>
        <v>9836289.410920199</v>
      </c>
      <c r="DR498" s="129">
        <f t="shared" ref="DR498:EC498" si="1799">DR434*DR540</f>
        <v>9125858.3841031063</v>
      </c>
      <c r="DS498" s="129">
        <f t="shared" si="1799"/>
        <v>8930590.3320430275</v>
      </c>
      <c r="DT498" s="129">
        <f t="shared" si="1799"/>
        <v>8849996.2951352634</v>
      </c>
      <c r="DU498" s="129">
        <f t="shared" si="1799"/>
        <v>9626783.3947773874</v>
      </c>
      <c r="DV498" s="129">
        <f t="shared" si="1799"/>
        <v>8488690.573450245</v>
      </c>
      <c r="DW498" s="129">
        <f t="shared" si="1799"/>
        <v>7790316.3829806643</v>
      </c>
      <c r="DX498" s="129">
        <f t="shared" si="1799"/>
        <v>9866841.5462672431</v>
      </c>
      <c r="DY498" s="129">
        <f t="shared" si="1799"/>
        <v>8965939.809703283</v>
      </c>
      <c r="DZ498" s="129">
        <f t="shared" si="1799"/>
        <v>10764494.080469936</v>
      </c>
      <c r="EA498" s="129">
        <f t="shared" si="1799"/>
        <v>10993102.062812045</v>
      </c>
      <c r="EB498" s="129">
        <f t="shared" si="1799"/>
        <v>10104636.477471409</v>
      </c>
      <c r="EC498" s="129">
        <f t="shared" si="1799"/>
        <v>11735838.588597564</v>
      </c>
      <c r="ED498" s="113" t="s">
        <v>1</v>
      </c>
    </row>
    <row r="499" spans="1:134" x14ac:dyDescent="0.2">
      <c r="A499" s="114" t="s">
        <v>26</v>
      </c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29">
        <v>234629.76140808343</v>
      </c>
      <c r="AC499" s="129">
        <v>164475.4196054991</v>
      </c>
      <c r="AD499" s="129">
        <v>242206.84383414109</v>
      </c>
      <c r="AE499" s="129">
        <v>292470.36511156184</v>
      </c>
      <c r="AF499" s="129">
        <v>246204.00195121951</v>
      </c>
      <c r="AG499" s="129">
        <v>262083.35289917164</v>
      </c>
      <c r="AH499" s="129">
        <v>296300.8888030888</v>
      </c>
      <c r="AI499" s="129">
        <v>279462.14472608338</v>
      </c>
      <c r="AJ499" s="129">
        <v>179726.08824228027</v>
      </c>
      <c r="AK499" s="129">
        <v>204464.7026877251</v>
      </c>
      <c r="AL499" s="129">
        <v>162088.66153846151</v>
      </c>
      <c r="AM499" s="129">
        <v>9200.5772934617326</v>
      </c>
      <c r="AN499" s="129">
        <v>81281.287343980686</v>
      </c>
      <c r="AO499" s="129">
        <v>174851.46811719085</v>
      </c>
      <c r="AP499" s="129">
        <v>139746.69569661657</v>
      </c>
      <c r="AQ499" s="129">
        <v>211780.54111224838</v>
      </c>
      <c r="AR499" s="129">
        <v>149088.87498006696</v>
      </c>
      <c r="AS499" s="129">
        <v>298607.28937293735</v>
      </c>
      <c r="AT499" s="129">
        <v>346579.23435208539</v>
      </c>
      <c r="AU499" s="129">
        <v>317942.27253769652</v>
      </c>
      <c r="AV499" s="129">
        <v>213917.54209969507</v>
      </c>
      <c r="AW499" s="129">
        <v>399625.11971401656</v>
      </c>
      <c r="AX499" s="129">
        <v>377633.71872887085</v>
      </c>
      <c r="AY499" s="129">
        <v>407343.76964239101</v>
      </c>
      <c r="AZ499" s="129">
        <v>968320.95344872796</v>
      </c>
      <c r="BA499" s="129">
        <v>774845.44400734326</v>
      </c>
      <c r="BB499" s="129">
        <v>725985.61556664074</v>
      </c>
      <c r="BC499" s="129">
        <v>843093.94764208829</v>
      </c>
      <c r="BD499" s="129">
        <v>1081919.4573148706</v>
      </c>
      <c r="BE499" s="129">
        <v>1226692.2856117487</v>
      </c>
      <c r="BF499" s="129">
        <v>1377854.546033704</v>
      </c>
      <c r="BG499" s="129">
        <v>1549846.5585242372</v>
      </c>
      <c r="BH499" s="129">
        <v>1340848.5306053644</v>
      </c>
      <c r="BI499" s="129">
        <v>1266906.7578780442</v>
      </c>
      <c r="BJ499" s="129">
        <v>1710228.5037031143</v>
      </c>
      <c r="BK499" s="129">
        <v>2138036.6997781433</v>
      </c>
      <c r="BL499" s="129">
        <v>1940284.0086976634</v>
      </c>
      <c r="BM499" s="129">
        <v>3561852.9684139416</v>
      </c>
      <c r="BN499" s="129">
        <v>3029199.0930056307</v>
      </c>
      <c r="BO499" s="129">
        <v>2864729.2469020109</v>
      </c>
      <c r="BP499" s="129">
        <v>2915726.6810436808</v>
      </c>
      <c r="BQ499" s="129">
        <v>3630473.6394760818</v>
      </c>
      <c r="BR499" s="129">
        <v>2799067.6957343519</v>
      </c>
      <c r="BS499" s="129">
        <v>2437169.7436076915</v>
      </c>
      <c r="BT499" s="129">
        <v>2330746.292940055</v>
      </c>
      <c r="BU499" s="129">
        <v>2205992.7852887241</v>
      </c>
      <c r="BV499" s="129">
        <v>1994881.6753093915</v>
      </c>
      <c r="BW499" s="129">
        <v>2276379.6561824409</v>
      </c>
      <c r="BX499" s="129">
        <v>2641757.0462307497</v>
      </c>
      <c r="BY499" s="129">
        <v>2509164.2952237898</v>
      </c>
      <c r="BZ499" s="129">
        <v>2260182.0984067898</v>
      </c>
      <c r="CA499" s="129">
        <v>2137462.2546025021</v>
      </c>
      <c r="CB499" s="129">
        <v>2402970.4339774749</v>
      </c>
      <c r="CC499" s="129">
        <v>2300714.882329647</v>
      </c>
      <c r="CD499" s="129">
        <v>2673811.530157967</v>
      </c>
      <c r="CE499" s="129">
        <v>2457359.9550361764</v>
      </c>
      <c r="CF499" s="129">
        <v>2312315.9039933137</v>
      </c>
      <c r="CG499" s="129">
        <v>2365963.1648922716</v>
      </c>
      <c r="CH499" s="129">
        <v>2712405.9746223367</v>
      </c>
      <c r="CI499" s="129">
        <v>2482998.8624117658</v>
      </c>
      <c r="CJ499" s="129">
        <v>2749577.053829758</v>
      </c>
      <c r="CK499" s="129">
        <v>2752991.2265224713</v>
      </c>
      <c r="CL499" s="129">
        <v>2674149.4771391298</v>
      </c>
      <c r="CM499" s="129">
        <v>2776411.3086972293</v>
      </c>
      <c r="CN499" s="129">
        <v>3027654.7169564497</v>
      </c>
      <c r="CO499" s="129">
        <v>3069205.8760576602</v>
      </c>
      <c r="CP499" s="129">
        <v>3306449.8736430588</v>
      </c>
      <c r="CQ499" s="129">
        <v>3091993.0237708632</v>
      </c>
      <c r="CR499" s="129">
        <v>3134708.1364840087</v>
      </c>
      <c r="CS499" s="129">
        <v>3470850.2859327286</v>
      </c>
      <c r="CT499" s="129">
        <f>CS499/CS$461*CT$461</f>
        <v>2893884.4790844116</v>
      </c>
      <c r="CU499" s="129">
        <f t="shared" ref="CU499:DQ499" si="1800">CT499/CT$461*CU$461</f>
        <v>2833987.2840569546</v>
      </c>
      <c r="CV499" s="129">
        <f t="shared" si="1800"/>
        <v>2828079.8974075248</v>
      </c>
      <c r="CW499" s="129">
        <f t="shared" si="1800"/>
        <v>3062430.1959829195</v>
      </c>
      <c r="CX499" s="129">
        <f t="shared" si="1800"/>
        <v>2736126.2728220345</v>
      </c>
      <c r="CY499" s="129">
        <f t="shared" si="1800"/>
        <v>2540743.9736436643</v>
      </c>
      <c r="CZ499" s="129">
        <f t="shared" si="1800"/>
        <v>3170233.2431455487</v>
      </c>
      <c r="DA499" s="129">
        <f t="shared" si="1800"/>
        <v>2919570.5396967498</v>
      </c>
      <c r="DB499" s="129">
        <f t="shared" si="1800"/>
        <v>3473187.1845515342</v>
      </c>
      <c r="DC499" s="129">
        <f t="shared" si="1800"/>
        <v>3558498.9314913531</v>
      </c>
      <c r="DD499" s="129">
        <f t="shared" si="1800"/>
        <v>3309039.7848051437</v>
      </c>
      <c r="DE499" s="129">
        <f t="shared" si="1800"/>
        <v>3849281.10147464</v>
      </c>
      <c r="DF499" s="129">
        <f t="shared" si="1800"/>
        <v>3538859.1402875208</v>
      </c>
      <c r="DG499" s="129">
        <f t="shared" si="1800"/>
        <v>3474291.1741487174</v>
      </c>
      <c r="DH499" s="129">
        <f t="shared" si="1800"/>
        <v>3449016.8169499487</v>
      </c>
      <c r="DI499" s="129">
        <f t="shared" si="1800"/>
        <v>3732905.5075504687</v>
      </c>
      <c r="DJ499" s="129">
        <f t="shared" si="1800"/>
        <v>3327886.106627733</v>
      </c>
      <c r="DK499" s="129">
        <f t="shared" si="1800"/>
        <v>3082694.2290478037</v>
      </c>
      <c r="DL499" s="129">
        <f t="shared" si="1800"/>
        <v>3835002.7073857784</v>
      </c>
      <c r="DM499" s="129">
        <f t="shared" si="1800"/>
        <v>3512994.9217316075</v>
      </c>
      <c r="DN499" s="129">
        <f t="shared" si="1800"/>
        <v>4165451.5359866554</v>
      </c>
      <c r="DO499" s="129">
        <f t="shared" si="1800"/>
        <v>4250153.5948782759</v>
      </c>
      <c r="DP499" s="129">
        <f t="shared" si="1800"/>
        <v>3932468.2879523826</v>
      </c>
      <c r="DQ499" s="129">
        <f t="shared" si="1800"/>
        <v>4525091.7066803835</v>
      </c>
      <c r="DR499" s="129">
        <f t="shared" ref="DR499:DR501" si="1801">DQ499/DQ$461*DR$461</f>
        <v>4032248.7851368045</v>
      </c>
      <c r="DS499" s="129">
        <f t="shared" ref="DS499:DS501" si="1802">DR499/DR$461*DS$461</f>
        <v>3954721.4074182254</v>
      </c>
      <c r="DT499" s="129">
        <f t="shared" ref="DT499:DT501" si="1803">DS499/DS$461*DT$461</f>
        <v>3923440.69475928</v>
      </c>
      <c r="DU499" s="129">
        <f t="shared" ref="DU499:DU501" si="1804">DT499/DT$461*DU$461</f>
        <v>4244974.3323632367</v>
      </c>
      <c r="DV499" s="129">
        <f t="shared" ref="DV499:DV501" si="1805">DU499/DU$461*DV$461</f>
        <v>3779472.3489526235</v>
      </c>
      <c r="DW499" s="129">
        <f t="shared" ref="DW499:DW501" si="1806">DV499/DV$461*DW$461</f>
        <v>3495857.5756683801</v>
      </c>
      <c r="DX499" s="129">
        <f t="shared" ref="DX499:DX501" si="1807">DW499/DW$461*DX$461</f>
        <v>4351294.5160452165</v>
      </c>
      <c r="DY499" s="129">
        <f t="shared" ref="DY499:DY501" si="1808">DX499/DX$461*DY$461</f>
        <v>3982455.2594294134</v>
      </c>
      <c r="DZ499" s="129">
        <f t="shared" ref="DZ499:DZ501" si="1809">DY499/DY$461*DZ$461</f>
        <v>4723506.525039644</v>
      </c>
      <c r="EA499" s="129">
        <f t="shared" ref="EA499:EA501" si="1810">DZ499/DZ$461*EA$461</f>
        <v>4818521.2077515665</v>
      </c>
      <c r="EB499" s="129">
        <f t="shared" ref="EB499:EB501" si="1811">EA499/EA$461*EB$461</f>
        <v>4454799.456556147</v>
      </c>
      <c r="EC499" s="129">
        <f t="shared" ref="EC499:EC501" si="1812">EB499/EB$461*EC$461</f>
        <v>5126984.9156404166</v>
      </c>
      <c r="ED499" s="113" t="s">
        <v>1</v>
      </c>
    </row>
    <row r="500" spans="1:134" x14ac:dyDescent="0.2">
      <c r="A500" s="730" t="s">
        <v>202</v>
      </c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29">
        <v>202113.66918727109</v>
      </c>
      <c r="AC500" s="129">
        <v>135974.85644835344</v>
      </c>
      <c r="AD500" s="129">
        <v>205010.79902024515</v>
      </c>
      <c r="AE500" s="129">
        <v>291819.79291563312</v>
      </c>
      <c r="AF500" s="129">
        <v>232429.23193495983</v>
      </c>
      <c r="AG500" s="129">
        <v>267790.37627154146</v>
      </c>
      <c r="AH500" s="129">
        <v>306638.86998069502</v>
      </c>
      <c r="AI500" s="129">
        <v>122359.1865837081</v>
      </c>
      <c r="AJ500" s="129">
        <v>178737.16173723279</v>
      </c>
      <c r="AK500" s="129">
        <v>196794.01095097006</v>
      </c>
      <c r="AL500" s="129">
        <v>165370.90422855029</v>
      </c>
      <c r="AM500" s="129">
        <v>9462.9264536629107</v>
      </c>
      <c r="AN500" s="129">
        <v>121179.01058075135</v>
      </c>
      <c r="AO500" s="129">
        <v>271135.26600532787</v>
      </c>
      <c r="AP500" s="129">
        <v>194946.91615899646</v>
      </c>
      <c r="AQ500" s="129">
        <v>274879.23599386308</v>
      </c>
      <c r="AR500" s="129">
        <v>282235.55349977879</v>
      </c>
      <c r="AS500" s="129">
        <v>567429.25100960024</v>
      </c>
      <c r="AT500" s="129">
        <v>642747.18662435492</v>
      </c>
      <c r="AU500" s="129">
        <v>426350.19922983687</v>
      </c>
      <c r="AV500" s="129">
        <v>377310.728423019</v>
      </c>
      <c r="AW500" s="129">
        <v>740635.07375087903</v>
      </c>
      <c r="AX500" s="129">
        <v>641637.42258282623</v>
      </c>
      <c r="AY500" s="129">
        <v>660863.81427825638</v>
      </c>
      <c r="AZ500" s="129">
        <v>1044107.1745883987</v>
      </c>
      <c r="BA500" s="129">
        <v>838406.57161029731</v>
      </c>
      <c r="BB500" s="129">
        <v>851875.89548521326</v>
      </c>
      <c r="BC500" s="129">
        <v>1080885.8194200525</v>
      </c>
      <c r="BD500" s="129">
        <v>1291695.9507108473</v>
      </c>
      <c r="BE500" s="129">
        <v>1423995.4709920136</v>
      </c>
      <c r="BF500" s="129">
        <v>1532223.1429076775</v>
      </c>
      <c r="BG500" s="129">
        <v>1743118.215113577</v>
      </c>
      <c r="BH500" s="129">
        <v>1397305.8550427346</v>
      </c>
      <c r="BI500" s="129">
        <v>1230773.6309763563</v>
      </c>
      <c r="BJ500" s="129">
        <v>1575373.1304237449</v>
      </c>
      <c r="BK500" s="129">
        <v>1792832.6654286357</v>
      </c>
      <c r="BL500" s="129">
        <v>1876600.8435355201</v>
      </c>
      <c r="BM500" s="129">
        <v>2932310.5095933704</v>
      </c>
      <c r="BN500" s="129">
        <v>2884011.8220205451</v>
      </c>
      <c r="BO500" s="129">
        <v>2675674.2283771355</v>
      </c>
      <c r="BP500" s="129">
        <v>3783610.2765450827</v>
      </c>
      <c r="BQ500" s="129">
        <v>3764510.9697649484</v>
      </c>
      <c r="BR500" s="129">
        <v>3376802.1898450786</v>
      </c>
      <c r="BS500" s="129">
        <v>3167198.2495689103</v>
      </c>
      <c r="BT500" s="129">
        <v>3040524.5791929034</v>
      </c>
      <c r="BU500" s="129">
        <v>3003457.5982859205</v>
      </c>
      <c r="BV500" s="129">
        <v>2887697.4122117646</v>
      </c>
      <c r="BW500" s="129">
        <v>2695837.9053092622</v>
      </c>
      <c r="BX500" s="129">
        <v>2928141.3861029176</v>
      </c>
      <c r="BY500" s="129">
        <v>2792865.4552846616</v>
      </c>
      <c r="BZ500" s="129">
        <v>2844354.9950240464</v>
      </c>
      <c r="CA500" s="129">
        <v>2792559.0584683805</v>
      </c>
      <c r="CB500" s="129">
        <v>3230792.4568696725</v>
      </c>
      <c r="CC500" s="129">
        <v>3365675.4676676029</v>
      </c>
      <c r="CD500" s="129">
        <v>3875554.0309949908</v>
      </c>
      <c r="CE500" s="129">
        <v>3761947.1207919768</v>
      </c>
      <c r="CF500" s="129">
        <v>3592438.5054667667</v>
      </c>
      <c r="CG500" s="129">
        <v>3673813.4257474286</v>
      </c>
      <c r="CH500" s="129">
        <v>4159202.7204967909</v>
      </c>
      <c r="CI500" s="129">
        <v>3802471.1804046417</v>
      </c>
      <c r="CJ500" s="129">
        <v>4726762.4162153481</v>
      </c>
      <c r="CK500" s="129">
        <v>4293049.1780442744</v>
      </c>
      <c r="CL500" s="129">
        <v>4339964.73188393</v>
      </c>
      <c r="CM500" s="129">
        <v>4764610.3094621273</v>
      </c>
      <c r="CN500" s="129">
        <v>5292325.0245622471</v>
      </c>
      <c r="CO500" s="129">
        <v>5107302.4683708549</v>
      </c>
      <c r="CP500" s="129">
        <v>5575503.1758274436</v>
      </c>
      <c r="CQ500" s="129">
        <v>5264202.7297758125</v>
      </c>
      <c r="CR500" s="129">
        <v>5233935.7090391088</v>
      </c>
      <c r="CS500" s="129">
        <v>5821519.9295407217</v>
      </c>
      <c r="CT500" s="129">
        <f>CS500/CS$461*CT$461</f>
        <v>4853797.9978733649</v>
      </c>
      <c r="CU500" s="129">
        <f t="shared" ref="CU500:DQ500" si="1813">CT500/CT$461*CU$461</f>
        <v>4753334.8012932148</v>
      </c>
      <c r="CV500" s="129">
        <f t="shared" si="1813"/>
        <v>4743426.5752742076</v>
      </c>
      <c r="CW500" s="129">
        <f t="shared" si="1813"/>
        <v>5136493.0636732755</v>
      </c>
      <c r="CX500" s="129">
        <f t="shared" si="1813"/>
        <v>4589196.3970704582</v>
      </c>
      <c r="CY500" s="129">
        <f t="shared" si="1813"/>
        <v>4261489.3930673432</v>
      </c>
      <c r="CZ500" s="129">
        <f t="shared" si="1813"/>
        <v>5317306.8515989659</v>
      </c>
      <c r="DA500" s="129">
        <f t="shared" si="1813"/>
        <v>4896880.2115811026</v>
      </c>
      <c r="DB500" s="129">
        <f t="shared" si="1813"/>
        <v>5825439.5171812</v>
      </c>
      <c r="DC500" s="129">
        <f t="shared" si="1813"/>
        <v>5968529.5366634512</v>
      </c>
      <c r="DD500" s="129">
        <f t="shared" si="1813"/>
        <v>5550121.5748087298</v>
      </c>
      <c r="DE500" s="129">
        <f t="shared" si="1813"/>
        <v>6456246.9713720754</v>
      </c>
      <c r="DF500" s="129">
        <f t="shared" si="1813"/>
        <v>5935588.4915343896</v>
      </c>
      <c r="DG500" s="129">
        <f t="shared" si="1813"/>
        <v>5827291.1952751987</v>
      </c>
      <c r="DH500" s="129">
        <f t="shared" si="1813"/>
        <v>5784899.5154221961</v>
      </c>
      <c r="DI500" s="129">
        <f t="shared" si="1813"/>
        <v>6261054.7897653021</v>
      </c>
      <c r="DJ500" s="129">
        <f t="shared" si="1813"/>
        <v>5581731.7651224434</v>
      </c>
      <c r="DK500" s="129">
        <f t="shared" si="1813"/>
        <v>5170481.1249901848</v>
      </c>
      <c r="DL500" s="129">
        <f t="shared" si="1813"/>
        <v>6432298.3856070712</v>
      </c>
      <c r="DM500" s="129">
        <f t="shared" si="1813"/>
        <v>5892207.4605531627</v>
      </c>
      <c r="DN500" s="129">
        <f t="shared" si="1813"/>
        <v>6986547.1381937675</v>
      </c>
      <c r="DO500" s="129">
        <f t="shared" si="1813"/>
        <v>7128614.5520229377</v>
      </c>
      <c r="DP500" s="129">
        <f t="shared" si="1813"/>
        <v>6595773.5496071996</v>
      </c>
      <c r="DQ500" s="129">
        <f t="shared" si="1813"/>
        <v>7589757.3744988283</v>
      </c>
      <c r="DR500" s="129">
        <f t="shared" si="1801"/>
        <v>6763131.431706829</v>
      </c>
      <c r="DS500" s="129">
        <f t="shared" si="1802"/>
        <v>6633097.8268858548</v>
      </c>
      <c r="DT500" s="129">
        <f t="shared" si="1803"/>
        <v>6580631.9245413085</v>
      </c>
      <c r="DU500" s="129">
        <f t="shared" si="1804"/>
        <v>7119927.5798208173</v>
      </c>
      <c r="DV500" s="129">
        <f t="shared" si="1805"/>
        <v>6339159.5113596413</v>
      </c>
      <c r="DW500" s="129">
        <f t="shared" si="1806"/>
        <v>5863463.6676990436</v>
      </c>
      <c r="DX500" s="129">
        <f t="shared" si="1807"/>
        <v>7298254.2194703724</v>
      </c>
      <c r="DY500" s="129">
        <f t="shared" si="1808"/>
        <v>6679614.7201268096</v>
      </c>
      <c r="DZ500" s="129">
        <f t="shared" si="1809"/>
        <v>7922550.7030028366</v>
      </c>
      <c r="EA500" s="129">
        <f t="shared" si="1810"/>
        <v>8081915.0729522593</v>
      </c>
      <c r="EB500" s="129">
        <f t="shared" si="1811"/>
        <v>7471858.9630781421</v>
      </c>
      <c r="EC500" s="129">
        <f t="shared" si="1812"/>
        <v>8599289.0519720428</v>
      </c>
      <c r="ED500" s="113" t="s">
        <v>1</v>
      </c>
    </row>
    <row r="501" spans="1:134" x14ac:dyDescent="0.2">
      <c r="A501" s="117" t="s">
        <v>203</v>
      </c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29">
        <v>464690.21313559316</v>
      </c>
      <c r="AC501" s="129">
        <v>413859.96452380955</v>
      </c>
      <c r="AD501" s="129">
        <v>524049.20338983042</v>
      </c>
      <c r="AE501" s="129">
        <v>442709.63135593222</v>
      </c>
      <c r="AF501" s="129">
        <v>417746.18644067796</v>
      </c>
      <c r="AG501" s="129">
        <v>402297.83898305084</v>
      </c>
      <c r="AH501" s="129">
        <v>404381.31355932198</v>
      </c>
      <c r="AI501" s="129">
        <v>402682.62711864407</v>
      </c>
      <c r="AJ501" s="129">
        <v>366026.7</v>
      </c>
      <c r="AK501" s="129">
        <v>486624.78813559317</v>
      </c>
      <c r="AL501" s="129">
        <v>305035.04237288132</v>
      </c>
      <c r="AM501" s="129">
        <v>0</v>
      </c>
      <c r="AN501" s="129">
        <v>548735.97457627114</v>
      </c>
      <c r="AO501" s="129">
        <v>763259.1101694915</v>
      </c>
      <c r="AP501" s="129">
        <v>703194.6610169491</v>
      </c>
      <c r="AQ501" s="129">
        <v>865866.6101694915</v>
      </c>
      <c r="AR501" s="129">
        <v>823447.88135593222</v>
      </c>
      <c r="AS501" s="129">
        <v>868552.11864406778</v>
      </c>
      <c r="AT501" s="129">
        <v>1245917.0262711863</v>
      </c>
      <c r="AU501" s="129">
        <v>1235270.720338983</v>
      </c>
      <c r="AV501" s="129">
        <v>1234301.3135593219</v>
      </c>
      <c r="AW501" s="129">
        <v>1140131.9491525423</v>
      </c>
      <c r="AX501" s="129">
        <v>1408098.9406779662</v>
      </c>
      <c r="AY501" s="129">
        <v>1617440.720338983</v>
      </c>
      <c r="AZ501" s="129">
        <v>1635311.5677966101</v>
      </c>
      <c r="BA501" s="129">
        <v>1920910.5508474577</v>
      </c>
      <c r="BB501" s="129">
        <v>2016212.7966101696</v>
      </c>
      <c r="BC501" s="129">
        <v>1893172.6271186438</v>
      </c>
      <c r="BD501" s="129">
        <v>1806322.7542372879</v>
      </c>
      <c r="BE501" s="129">
        <v>1906505.9745762711</v>
      </c>
      <c r="BF501" s="129">
        <v>1921347.3305084745</v>
      </c>
      <c r="BG501" s="129">
        <v>2040918.3050847456</v>
      </c>
      <c r="BH501" s="129">
        <v>1922137.8813559322</v>
      </c>
      <c r="BI501" s="129">
        <v>2023275.7627118644</v>
      </c>
      <c r="BJ501" s="129">
        <v>2091748.4745762711</v>
      </c>
      <c r="BK501" s="129">
        <v>2194290.8898305083</v>
      </c>
      <c r="BL501" s="129">
        <v>2305587.3305084747</v>
      </c>
      <c r="BM501" s="129">
        <v>2480884.0677966103</v>
      </c>
      <c r="BN501" s="129">
        <v>2507427.7118644067</v>
      </c>
      <c r="BO501" s="129">
        <v>2173633.3474576268</v>
      </c>
      <c r="BP501" s="129">
        <v>2226024.5338983047</v>
      </c>
      <c r="BQ501" s="129">
        <v>1850930.9745762711</v>
      </c>
      <c r="BR501" s="129">
        <v>1859126.1864406778</v>
      </c>
      <c r="BS501" s="129">
        <v>1828529.7457627119</v>
      </c>
      <c r="BT501" s="129">
        <v>1843272.7118644067</v>
      </c>
      <c r="BU501" s="129">
        <v>2147163.6864406778</v>
      </c>
      <c r="BV501" s="129">
        <v>2283013.7288135593</v>
      </c>
      <c r="BW501" s="129">
        <v>2448660.3813559324</v>
      </c>
      <c r="BX501" s="129">
        <v>2643770.3389830505</v>
      </c>
      <c r="BY501" s="129">
        <v>2818794.5084745758</v>
      </c>
      <c r="BZ501" s="129">
        <v>2748113.8983050846</v>
      </c>
      <c r="CA501" s="129">
        <v>2646348.1779661016</v>
      </c>
      <c r="CB501" s="129">
        <v>2695889.9593220339</v>
      </c>
      <c r="CC501" s="129">
        <v>2447775.8796610171</v>
      </c>
      <c r="CD501" s="129">
        <v>2847536.5525423726</v>
      </c>
      <c r="CE501" s="129">
        <v>2707648.7898305082</v>
      </c>
      <c r="CF501" s="129">
        <v>2366941.8305084743</v>
      </c>
      <c r="CG501" s="129">
        <v>3140832.0406779661</v>
      </c>
      <c r="CH501" s="129">
        <v>2898238.6016949154</v>
      </c>
      <c r="CI501" s="129">
        <v>2990955.5084745758</v>
      </c>
      <c r="CJ501" s="129">
        <v>3005626.1949152541</v>
      </c>
      <c r="CK501" s="129">
        <v>3395868.7766949153</v>
      </c>
      <c r="CL501" s="129">
        <v>3815735.7546610166</v>
      </c>
      <c r="CM501" s="129">
        <v>3196792.8597457628</v>
      </c>
      <c r="CN501" s="129">
        <v>3263023.8203389831</v>
      </c>
      <c r="CO501" s="129">
        <v>3383415.2656779662</v>
      </c>
      <c r="CP501" s="129">
        <v>4087288.136440678</v>
      </c>
      <c r="CQ501" s="129">
        <v>4051531.2826271183</v>
      </c>
      <c r="CR501" s="129">
        <v>3960259.9372881353</v>
      </c>
      <c r="CS501" s="129">
        <v>6747075.8466101699</v>
      </c>
      <c r="CT501" s="129">
        <f>CS501/CS$461*CT$461</f>
        <v>5625497.0578379268</v>
      </c>
      <c r="CU501" s="129">
        <f t="shared" ref="CU501:DQ501" si="1814">CT501/CT$461*CU$461</f>
        <v>5509061.3476929544</v>
      </c>
      <c r="CV501" s="129">
        <f t="shared" si="1814"/>
        <v>5497577.8256463548</v>
      </c>
      <c r="CW501" s="129">
        <f t="shared" si="1814"/>
        <v>5953137.4461728893</v>
      </c>
      <c r="CX501" s="129">
        <f t="shared" si="1814"/>
        <v>5318826.7910760771</v>
      </c>
      <c r="CY501" s="129">
        <f t="shared" si="1814"/>
        <v>4939018.0747553483</v>
      </c>
      <c r="CZ501" s="129">
        <f t="shared" si="1814"/>
        <v>6162698.5841597123</v>
      </c>
      <c r="DA501" s="129">
        <f t="shared" si="1814"/>
        <v>5675428.8569289083</v>
      </c>
      <c r="DB501" s="129">
        <f t="shared" si="1814"/>
        <v>6751618.604415318</v>
      </c>
      <c r="DC501" s="129">
        <f t="shared" si="1814"/>
        <v>6917458.3208509954</v>
      </c>
      <c r="DD501" s="129">
        <f t="shared" si="1814"/>
        <v>6432528.2188111143</v>
      </c>
      <c r="DE501" s="129">
        <f t="shared" si="1814"/>
        <v>7482717.3191059129</v>
      </c>
      <c r="DF501" s="129">
        <f t="shared" si="1814"/>
        <v>6879280.0216022758</v>
      </c>
      <c r="DG501" s="129">
        <f t="shared" si="1814"/>
        <v>6753764.6784123024</v>
      </c>
      <c r="DH501" s="129">
        <f t="shared" si="1814"/>
        <v>6704633.2002596557</v>
      </c>
      <c r="DI501" s="129">
        <f t="shared" si="1814"/>
        <v>7256491.7852408923</v>
      </c>
      <c r="DJ501" s="129">
        <f t="shared" si="1814"/>
        <v>6469164.0723603154</v>
      </c>
      <c r="DK501" s="129">
        <f t="shared" si="1814"/>
        <v>5992529.2253576973</v>
      </c>
      <c r="DL501" s="129">
        <f t="shared" si="1814"/>
        <v>7454961.1786939241</v>
      </c>
      <c r="DM501" s="129">
        <f t="shared" si="1814"/>
        <v>6829001.8966663415</v>
      </c>
      <c r="DN501" s="129">
        <f t="shared" si="1814"/>
        <v>8097329.2229250353</v>
      </c>
      <c r="DO501" s="129">
        <f t="shared" si="1814"/>
        <v>8261983.7509587118</v>
      </c>
      <c r="DP501" s="129">
        <f t="shared" si="1814"/>
        <v>7644427.0473838067</v>
      </c>
      <c r="DQ501" s="129">
        <f t="shared" si="1814"/>
        <v>8796443.073785454</v>
      </c>
      <c r="DR501" s="129">
        <f t="shared" si="1801"/>
        <v>7838392.942497272</v>
      </c>
      <c r="DS501" s="129">
        <f t="shared" si="1802"/>
        <v>7687685.4631870603</v>
      </c>
      <c r="DT501" s="129">
        <f t="shared" si="1803"/>
        <v>7626878.074951008</v>
      </c>
      <c r="DU501" s="129">
        <f t="shared" si="1804"/>
        <v>8251915.6482923133</v>
      </c>
      <c r="DV501" s="129">
        <f t="shared" si="1805"/>
        <v>7347014.2754072985</v>
      </c>
      <c r="DW501" s="129">
        <f t="shared" si="1806"/>
        <v>6795688.1653980035</v>
      </c>
      <c r="DX501" s="129">
        <f t="shared" si="1807"/>
        <v>8458594.2095184345</v>
      </c>
      <c r="DY501" s="129">
        <f t="shared" si="1808"/>
        <v>7741598.0170637155</v>
      </c>
      <c r="DZ501" s="129">
        <f t="shared" si="1809"/>
        <v>9182146.7827547267</v>
      </c>
      <c r="EA501" s="129">
        <f t="shared" si="1810"/>
        <v>9366848.2875696104</v>
      </c>
      <c r="EB501" s="129">
        <f t="shared" si="1811"/>
        <v>8659800.1465640441</v>
      </c>
      <c r="EC501" s="129">
        <f t="shared" si="1812"/>
        <v>9966478.8857224137</v>
      </c>
      <c r="ED501" s="113" t="s">
        <v>1</v>
      </c>
    </row>
    <row r="502" spans="1:134" x14ac:dyDescent="0.2">
      <c r="A502" s="117" t="s">
        <v>27</v>
      </c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33">
        <f t="shared" ref="AB502:BG502" si="1815">AB488/AB461</f>
        <v>0.73828714647165794</v>
      </c>
      <c r="AC502" s="133">
        <f t="shared" si="1815"/>
        <v>0.70745540339961777</v>
      </c>
      <c r="AD502" s="133">
        <f t="shared" si="1815"/>
        <v>0.75666322417369947</v>
      </c>
      <c r="AE502" s="133">
        <f t="shared" si="1815"/>
        <v>0.79087640425298866</v>
      </c>
      <c r="AF502" s="133">
        <f t="shared" si="1815"/>
        <v>0.82089400516306488</v>
      </c>
      <c r="AG502" s="133">
        <f t="shared" si="1815"/>
        <v>0.83913022271722659</v>
      </c>
      <c r="AH502" s="133">
        <f t="shared" si="1815"/>
        <v>0.85627379116909408</v>
      </c>
      <c r="AI502" s="133">
        <f t="shared" si="1815"/>
        <v>0.82833433892018349</v>
      </c>
      <c r="AJ502" s="133">
        <f t="shared" si="1815"/>
        <v>0.81830776618868672</v>
      </c>
      <c r="AK502" s="133">
        <f t="shared" si="1815"/>
        <v>0.77846603980810547</v>
      </c>
      <c r="AL502" s="133">
        <f t="shared" si="1815"/>
        <v>0.77899153235656637</v>
      </c>
      <c r="AM502" s="133">
        <f t="shared" si="1815"/>
        <v>0.80332461585930059</v>
      </c>
      <c r="AN502" s="133">
        <f t="shared" si="1815"/>
        <v>0.73978313209348812</v>
      </c>
      <c r="AO502" s="133">
        <f t="shared" si="1815"/>
        <v>0.73268200582039023</v>
      </c>
      <c r="AP502" s="133">
        <f t="shared" si="1815"/>
        <v>0.74913060050750702</v>
      </c>
      <c r="AQ502" s="133">
        <f t="shared" si="1815"/>
        <v>0.7925907552999375</v>
      </c>
      <c r="AR502" s="133">
        <f t="shared" si="1815"/>
        <v>0.80118006214886373</v>
      </c>
      <c r="AS502" s="133">
        <f t="shared" si="1815"/>
        <v>0.77161111973654761</v>
      </c>
      <c r="AT502" s="133">
        <f t="shared" si="1815"/>
        <v>0.78297909227648432</v>
      </c>
      <c r="AU502" s="133">
        <f t="shared" si="1815"/>
        <v>0.81165919923588836</v>
      </c>
      <c r="AV502" s="133">
        <f t="shared" si="1815"/>
        <v>0.79962831051285399</v>
      </c>
      <c r="AW502" s="133">
        <f t="shared" si="1815"/>
        <v>0.80530387412928162</v>
      </c>
      <c r="AX502" s="133">
        <f t="shared" si="1815"/>
        <v>0.79624009980220301</v>
      </c>
      <c r="AY502" s="133">
        <f t="shared" si="1815"/>
        <v>0.816845852413986</v>
      </c>
      <c r="AZ502" s="133">
        <f t="shared" si="1815"/>
        <v>0.82066103682440161</v>
      </c>
      <c r="BA502" s="133">
        <f t="shared" si="1815"/>
        <v>0.80885948775985783</v>
      </c>
      <c r="BB502" s="133">
        <f t="shared" si="1815"/>
        <v>0.83388918892785635</v>
      </c>
      <c r="BC502" s="133">
        <f t="shared" si="1815"/>
        <v>0.86204713672559663</v>
      </c>
      <c r="BD502" s="133">
        <f t="shared" si="1815"/>
        <v>0.85229870356412651</v>
      </c>
      <c r="BE502" s="133">
        <f t="shared" si="1815"/>
        <v>0.84853919863141103</v>
      </c>
      <c r="BF502" s="133">
        <f t="shared" si="1815"/>
        <v>0.84246386568313858</v>
      </c>
      <c r="BG502" s="133">
        <f t="shared" si="1815"/>
        <v>0.83328995212749835</v>
      </c>
      <c r="BH502" s="133">
        <f t="shared" ref="BH502:CM502" si="1816">BH488/BH461</f>
        <v>0.82422005539434728</v>
      </c>
      <c r="BI502" s="133">
        <f t="shared" si="1816"/>
        <v>0.83359804309518259</v>
      </c>
      <c r="BJ502" s="133">
        <f t="shared" si="1816"/>
        <v>0.85459383823160584</v>
      </c>
      <c r="BK502" s="133">
        <f t="shared" si="1816"/>
        <v>0.84463817081976167</v>
      </c>
      <c r="BL502" s="133">
        <f t="shared" si="1816"/>
        <v>0.83193423854250581</v>
      </c>
      <c r="BM502" s="133">
        <f t="shared" si="1816"/>
        <v>0.83076148061963873</v>
      </c>
      <c r="BN502" s="133">
        <f t="shared" si="1816"/>
        <v>0.82725428019238545</v>
      </c>
      <c r="BO502" s="133">
        <f t="shared" si="1816"/>
        <v>0.84318867827881072</v>
      </c>
      <c r="BP502" s="133">
        <f t="shared" si="1816"/>
        <v>0.85620978455214325</v>
      </c>
      <c r="BQ502" s="133">
        <f t="shared" si="1816"/>
        <v>0.84362450748914442</v>
      </c>
      <c r="BR502" s="133">
        <f t="shared" si="1816"/>
        <v>0.83296732616961611</v>
      </c>
      <c r="BS502" s="133">
        <f t="shared" si="1816"/>
        <v>0.82305980600788897</v>
      </c>
      <c r="BT502" s="133">
        <f t="shared" si="1816"/>
        <v>0.78009944062285141</v>
      </c>
      <c r="BU502" s="133">
        <f t="shared" si="1816"/>
        <v>0.7915376511020058</v>
      </c>
      <c r="BV502" s="133">
        <f t="shared" si="1816"/>
        <v>0.81175812418101123</v>
      </c>
      <c r="BW502" s="133">
        <f t="shared" si="1816"/>
        <v>0.79092455829773445</v>
      </c>
      <c r="BX502" s="133">
        <f t="shared" si="1816"/>
        <v>0.79372548639507889</v>
      </c>
      <c r="BY502" s="133">
        <f t="shared" si="1816"/>
        <v>0.79112040955746277</v>
      </c>
      <c r="BZ502" s="133">
        <f t="shared" si="1816"/>
        <v>0.78383761896849014</v>
      </c>
      <c r="CA502" s="133">
        <f t="shared" si="1816"/>
        <v>0.79784278356475646</v>
      </c>
      <c r="CB502" s="133">
        <f t="shared" si="1816"/>
        <v>0.79741402704748876</v>
      </c>
      <c r="CC502" s="133">
        <f t="shared" si="1816"/>
        <v>0.793430807385888</v>
      </c>
      <c r="CD502" s="133">
        <f t="shared" si="1816"/>
        <v>0.80165183659694228</v>
      </c>
      <c r="CE502" s="133">
        <f t="shared" si="1816"/>
        <v>0.80730316495919963</v>
      </c>
      <c r="CF502" s="133">
        <f t="shared" si="1816"/>
        <v>0.80627995072629888</v>
      </c>
      <c r="CG502" s="133">
        <f t="shared" si="1816"/>
        <v>0.80367492000193208</v>
      </c>
      <c r="CH502" s="133">
        <f t="shared" si="1816"/>
        <v>0.80231035652752603</v>
      </c>
      <c r="CI502" s="133">
        <f t="shared" si="1816"/>
        <v>0.80632739826660194</v>
      </c>
      <c r="CJ502" s="133">
        <f t="shared" si="1816"/>
        <v>0.79215375670263921</v>
      </c>
      <c r="CK502" s="133">
        <f t="shared" si="1816"/>
        <v>0.80238148987553815</v>
      </c>
      <c r="CL502" s="133">
        <f t="shared" si="1816"/>
        <v>0.78025925242809457</v>
      </c>
      <c r="CM502" s="133">
        <f t="shared" si="1816"/>
        <v>0.78803799019175036</v>
      </c>
      <c r="CN502" s="133">
        <f t="shared" ref="CN502:CT502" si="1817">CN488/CN461</f>
        <v>0.78319568605949008</v>
      </c>
      <c r="CO502" s="133">
        <f t="shared" si="1817"/>
        <v>0.78509773782921766</v>
      </c>
      <c r="CP502" s="133">
        <f t="shared" si="1817"/>
        <v>0.80853102876538618</v>
      </c>
      <c r="CQ502" s="133">
        <f t="shared" si="1817"/>
        <v>0.80611407759029652</v>
      </c>
      <c r="CR502" s="133">
        <f t="shared" si="1817"/>
        <v>0.81393477495840816</v>
      </c>
      <c r="CS502" s="133">
        <f t="shared" si="1817"/>
        <v>0.82568533514101272</v>
      </c>
      <c r="CT502" s="133">
        <f t="shared" si="1817"/>
        <v>0.80602352631546026</v>
      </c>
      <c r="CU502" s="133">
        <f t="shared" ref="CU502:DQ502" si="1818">CU488/CU461</f>
        <v>0.80560110871221746</v>
      </c>
      <c r="CV502" s="133">
        <f t="shared" si="1818"/>
        <v>0.80538718332725279</v>
      </c>
      <c r="CW502" s="133">
        <f t="shared" si="1818"/>
        <v>0.80641079402780658</v>
      </c>
      <c r="CX502" s="133">
        <f t="shared" si="1818"/>
        <v>0.80457221650390776</v>
      </c>
      <c r="CY502" s="133">
        <f t="shared" si="1818"/>
        <v>0.80309536701324413</v>
      </c>
      <c r="CZ502" s="133">
        <f t="shared" si="1818"/>
        <v>0.80639031829056074</v>
      </c>
      <c r="DA502" s="133">
        <f t="shared" si="1818"/>
        <v>0.80502375963246642</v>
      </c>
      <c r="DB502" s="133">
        <f t="shared" si="1818"/>
        <v>0.80734942624928474</v>
      </c>
      <c r="DC502" s="133">
        <f t="shared" si="1818"/>
        <v>0.80756128740032773</v>
      </c>
      <c r="DD502" s="133">
        <f t="shared" si="1818"/>
        <v>0.80644888363676914</v>
      </c>
      <c r="DE502" s="133">
        <f t="shared" si="1818"/>
        <v>0.80820463375876894</v>
      </c>
      <c r="DF502" s="133">
        <f t="shared" si="1818"/>
        <v>0.80790617033791567</v>
      </c>
      <c r="DG502" s="133">
        <f t="shared" si="1818"/>
        <v>0.80750986629770061</v>
      </c>
      <c r="DH502" s="133">
        <f t="shared" si="1818"/>
        <v>0.80730911106415748</v>
      </c>
      <c r="DI502" s="133">
        <f t="shared" si="1818"/>
        <v>0.80826937179218417</v>
      </c>
      <c r="DJ502" s="133">
        <f t="shared" si="1818"/>
        <v>0.80654398072042344</v>
      </c>
      <c r="DK502" s="133">
        <f t="shared" si="1818"/>
        <v>0.80515608382314896</v>
      </c>
      <c r="DL502" s="133">
        <f t="shared" si="1818"/>
        <v>0.8082501715016871</v>
      </c>
      <c r="DM502" s="133">
        <f t="shared" si="1818"/>
        <v>0.80696797712622659</v>
      </c>
      <c r="DN502" s="133">
        <f t="shared" si="1818"/>
        <v>0.80914917563344146</v>
      </c>
      <c r="DO502" s="133">
        <f t="shared" si="1818"/>
        <v>0.80934766095088961</v>
      </c>
      <c r="DP502" s="133">
        <f t="shared" si="1818"/>
        <v>0.80830508788175015</v>
      </c>
      <c r="DQ502" s="133">
        <f t="shared" si="1818"/>
        <v>0.80995016972797163</v>
      </c>
      <c r="DR502" s="133">
        <f t="shared" ref="DR502:EC502" si="1819">DR488/DR461</f>
        <v>0.81113196395190623</v>
      </c>
      <c r="DS502" s="133">
        <f t="shared" si="1819"/>
        <v>0.81074605804117872</v>
      </c>
      <c r="DT502" s="133">
        <f t="shared" si="1819"/>
        <v>0.81055053992796644</v>
      </c>
      <c r="DU502" s="133">
        <f t="shared" si="1819"/>
        <v>0.81148556622110368</v>
      </c>
      <c r="DV502" s="133">
        <f t="shared" si="1819"/>
        <v>0.80980518305349347</v>
      </c>
      <c r="DW502" s="133">
        <f t="shared" si="1819"/>
        <v>0.80845239916705125</v>
      </c>
      <c r="DX502" s="133">
        <f t="shared" si="1819"/>
        <v>0.81146687504815063</v>
      </c>
      <c r="DY502" s="133">
        <f t="shared" si="1819"/>
        <v>0.81021825852338081</v>
      </c>
      <c r="DZ502" s="133">
        <f t="shared" si="1819"/>
        <v>0.81234184162240419</v>
      </c>
      <c r="EA502" s="133">
        <f t="shared" si="1819"/>
        <v>0.81253496493005073</v>
      </c>
      <c r="EB502" s="133">
        <f t="shared" si="1819"/>
        <v>0.8115203347632427</v>
      </c>
      <c r="EC502" s="133">
        <f t="shared" si="1819"/>
        <v>0.81312107554487301</v>
      </c>
      <c r="ED502" s="113" t="s">
        <v>1</v>
      </c>
    </row>
    <row r="503" spans="1:134" x14ac:dyDescent="0.2">
      <c r="A503" s="117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115"/>
      <c r="AR503" s="115"/>
      <c r="AS503" s="115"/>
      <c r="AT503" s="115"/>
      <c r="AU503" s="115"/>
      <c r="AV503" s="115"/>
      <c r="AW503" s="115"/>
      <c r="AX503" s="115"/>
      <c r="AY503" s="115"/>
      <c r="AZ503" s="115"/>
      <c r="BA503" s="115"/>
      <c r="BB503" s="115"/>
      <c r="BC503" s="115"/>
      <c r="BD503" s="115"/>
      <c r="BE503" s="115"/>
      <c r="BF503" s="115"/>
      <c r="BG503" s="115"/>
      <c r="BH503" s="115"/>
      <c r="BI503" s="115"/>
      <c r="BJ503" s="115"/>
      <c r="BK503" s="115"/>
      <c r="BL503" s="115"/>
      <c r="BM503" s="115"/>
      <c r="BN503" s="115"/>
      <c r="BO503" s="115"/>
      <c r="BP503" s="115"/>
      <c r="BQ503" s="115"/>
      <c r="BR503" s="115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115"/>
      <c r="CC503" s="115"/>
      <c r="CD503" s="115"/>
      <c r="CE503" s="115"/>
      <c r="CF503" s="115"/>
      <c r="CG503" s="115"/>
      <c r="CH503" s="115"/>
      <c r="CI503" s="115"/>
      <c r="CJ503" s="115"/>
      <c r="CK503" s="115"/>
      <c r="CL503" s="115"/>
      <c r="CM503" s="115"/>
      <c r="CN503" s="115"/>
      <c r="CO503" s="115"/>
      <c r="CP503" s="115"/>
      <c r="CQ503" s="115"/>
      <c r="CR503" s="115"/>
      <c r="CS503" s="115"/>
      <c r="CT503" s="115"/>
      <c r="CU503" s="115"/>
      <c r="CV503" s="115"/>
      <c r="CW503" s="115"/>
      <c r="CX503" s="115"/>
      <c r="CY503" s="115"/>
      <c r="CZ503" s="115"/>
      <c r="DA503" s="115"/>
      <c r="DB503" s="115"/>
      <c r="DC503" s="115"/>
      <c r="DD503" s="115"/>
      <c r="DE503" s="115"/>
      <c r="DF503" s="115"/>
      <c r="DG503" s="115"/>
      <c r="DH503" s="115"/>
      <c r="DI503" s="115"/>
      <c r="DJ503" s="115"/>
      <c r="DK503" s="115"/>
      <c r="DL503" s="115"/>
      <c r="DM503" s="115"/>
      <c r="DN503" s="115"/>
      <c r="DO503" s="115"/>
      <c r="DP503" s="115"/>
      <c r="DQ503" s="115"/>
      <c r="DR503" s="115"/>
      <c r="DS503" s="115"/>
      <c r="DT503" s="115"/>
      <c r="DU503" s="115"/>
      <c r="DV503" s="115"/>
      <c r="DW503" s="115"/>
      <c r="DX503" s="115"/>
      <c r="DY503" s="115"/>
      <c r="DZ503" s="115"/>
      <c r="EA503" s="115"/>
      <c r="EB503" s="115"/>
      <c r="EC503" s="645"/>
      <c r="ED503" s="113" t="s">
        <v>1</v>
      </c>
    </row>
    <row r="504" spans="1:134" x14ac:dyDescent="0.2">
      <c r="A504" s="117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15"/>
      <c r="AR504" s="115"/>
      <c r="AS504" s="115"/>
      <c r="AT504" s="115"/>
      <c r="AU504" s="115"/>
      <c r="AV504" s="115"/>
      <c r="AW504" s="115"/>
      <c r="AX504" s="115"/>
      <c r="AY504" s="115"/>
      <c r="AZ504" s="115"/>
      <c r="BA504" s="115"/>
      <c r="BB504" s="115"/>
      <c r="BC504" s="115"/>
      <c r="BD504" s="115"/>
      <c r="BE504" s="115"/>
      <c r="BF504" s="115"/>
      <c r="BG504" s="115"/>
      <c r="BH504" s="115"/>
      <c r="BI504" s="115"/>
      <c r="BJ504" s="115"/>
      <c r="BK504" s="115"/>
      <c r="BL504" s="115"/>
      <c r="BM504" s="115"/>
      <c r="BN504" s="115"/>
      <c r="BO504" s="115"/>
      <c r="BP504" s="115"/>
      <c r="BQ504" s="115"/>
      <c r="BR504" s="115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115"/>
      <c r="CC504" s="115"/>
      <c r="CD504" s="115"/>
      <c r="CE504" s="115"/>
      <c r="CF504" s="115"/>
      <c r="CG504" s="115"/>
      <c r="CH504" s="115"/>
      <c r="CI504" s="115"/>
      <c r="CJ504" s="115"/>
      <c r="CK504" s="115"/>
      <c r="CL504" s="115"/>
      <c r="CM504" s="115"/>
      <c r="CN504" s="115"/>
      <c r="CO504" s="115"/>
      <c r="CP504" s="115"/>
      <c r="CQ504" s="115"/>
      <c r="CR504" s="115"/>
      <c r="CS504" s="115"/>
      <c r="CT504" s="115"/>
      <c r="CU504" s="115"/>
      <c r="CV504" s="115"/>
      <c r="CW504" s="115"/>
      <c r="CX504" s="115"/>
      <c r="CY504" s="115"/>
      <c r="CZ504" s="115"/>
      <c r="DA504" s="115"/>
      <c r="DB504" s="115"/>
      <c r="DC504" s="115"/>
      <c r="DD504" s="115"/>
      <c r="DE504" s="115"/>
      <c r="DF504" s="115"/>
      <c r="DG504" s="115"/>
      <c r="DH504" s="115"/>
      <c r="DI504" s="115"/>
      <c r="DJ504" s="115"/>
      <c r="DK504" s="115"/>
      <c r="DL504" s="115"/>
      <c r="DM504" s="115"/>
      <c r="DN504" s="115"/>
      <c r="DO504" s="115"/>
      <c r="DP504" s="115"/>
      <c r="DQ504" s="115"/>
      <c r="DR504" s="115"/>
      <c r="DS504" s="115"/>
      <c r="DT504" s="115"/>
      <c r="DU504" s="115"/>
      <c r="DV504" s="115"/>
      <c r="DW504" s="115"/>
      <c r="DX504" s="115"/>
      <c r="DY504" s="115"/>
      <c r="DZ504" s="115"/>
      <c r="EA504" s="115"/>
      <c r="EB504" s="115"/>
      <c r="EC504" s="645"/>
      <c r="ED504" s="113" t="s">
        <v>1</v>
      </c>
    </row>
    <row r="505" spans="1:134" s="331" customFormat="1" x14ac:dyDescent="0.2">
      <c r="A505" s="116" t="s">
        <v>192</v>
      </c>
      <c r="B505" s="330"/>
      <c r="C505" s="330"/>
      <c r="D505" s="330"/>
      <c r="E505" s="330"/>
      <c r="F505" s="330"/>
      <c r="G505" s="330"/>
      <c r="H505" s="330"/>
      <c r="I505" s="330"/>
      <c r="J505" s="330"/>
      <c r="K505" s="330"/>
      <c r="L505" s="330"/>
      <c r="M505" s="330"/>
      <c r="N505" s="330"/>
      <c r="O505" s="330"/>
      <c r="P505" s="330"/>
      <c r="Q505" s="330"/>
      <c r="R505" s="330"/>
      <c r="S505" s="330"/>
      <c r="T505" s="330"/>
      <c r="U505" s="330"/>
      <c r="V505" s="330"/>
      <c r="W505" s="330"/>
      <c r="X505" s="330"/>
      <c r="Y505" s="330"/>
      <c r="Z505" s="330"/>
      <c r="AA505" s="330"/>
      <c r="AB505" s="131">
        <f>SUM(AB506:AB508)</f>
        <v>4581423.4823615896</v>
      </c>
      <c r="AC505" s="131">
        <f t="shared" ref="AC505:CN505" si="1820">SUM(AC506:AC508)</f>
        <v>4179698.8702537958</v>
      </c>
      <c r="AD505" s="131">
        <f t="shared" si="1820"/>
        <v>5546777.9026226904</v>
      </c>
      <c r="AE505" s="131">
        <f t="shared" si="1820"/>
        <v>7411314.8590107569</v>
      </c>
      <c r="AF505" s="131">
        <f t="shared" si="1820"/>
        <v>7936078.7378462106</v>
      </c>
      <c r="AG505" s="131">
        <f t="shared" si="1820"/>
        <v>11344465.23412665</v>
      </c>
      <c r="AH505" s="131">
        <f t="shared" si="1820"/>
        <v>29478110.435389321</v>
      </c>
      <c r="AI505" s="131">
        <f t="shared" si="1820"/>
        <v>29737842.103614122</v>
      </c>
      <c r="AJ505" s="131">
        <f t="shared" si="1820"/>
        <v>28021318.469742827</v>
      </c>
      <c r="AK505" s="131">
        <f t="shared" si="1820"/>
        <v>28625152.514932204</v>
      </c>
      <c r="AL505" s="131">
        <f t="shared" si="1820"/>
        <v>15217492.667397406</v>
      </c>
      <c r="AM505" s="131">
        <f t="shared" si="1820"/>
        <v>434114.55</v>
      </c>
      <c r="AN505" s="131">
        <f t="shared" si="1820"/>
        <v>11126718.312823152</v>
      </c>
      <c r="AO505" s="131">
        <f t="shared" si="1820"/>
        <v>16551733.304804865</v>
      </c>
      <c r="AP505" s="131">
        <f t="shared" si="1820"/>
        <v>21807065.768258441</v>
      </c>
      <c r="AQ505" s="131">
        <f t="shared" si="1820"/>
        <v>29705235.116582152</v>
      </c>
      <c r="AR505" s="131">
        <f t="shared" si="1820"/>
        <v>35891098.778818652</v>
      </c>
      <c r="AS505" s="131">
        <f t="shared" si="1820"/>
        <v>50894914.501298316</v>
      </c>
      <c r="AT505" s="131">
        <f t="shared" si="1820"/>
        <v>61604409.016297698</v>
      </c>
      <c r="AU505" s="131">
        <f t="shared" si="1820"/>
        <v>63810883.357680418</v>
      </c>
      <c r="AV505" s="131">
        <f t="shared" si="1820"/>
        <v>67711860.849684551</v>
      </c>
      <c r="AW505" s="131">
        <f t="shared" si="1820"/>
        <v>78815811.529702395</v>
      </c>
      <c r="AX505" s="131">
        <f t="shared" si="1820"/>
        <v>71753033.448699802</v>
      </c>
      <c r="AY505" s="131">
        <f t="shared" si="1820"/>
        <v>90285687.690173313</v>
      </c>
      <c r="AZ505" s="131">
        <f t="shared" si="1820"/>
        <v>108961335.27967146</v>
      </c>
      <c r="BA505" s="131">
        <f t="shared" si="1820"/>
        <v>110039801.11553833</v>
      </c>
      <c r="BB505" s="131">
        <f t="shared" si="1820"/>
        <v>120954408.05014928</v>
      </c>
      <c r="BC505" s="131">
        <f t="shared" si="1820"/>
        <v>118714170.0994526</v>
      </c>
      <c r="BD505" s="131">
        <f t="shared" si="1820"/>
        <v>132713270.09357467</v>
      </c>
      <c r="BE505" s="131">
        <f t="shared" si="1820"/>
        <v>135741367.97427797</v>
      </c>
      <c r="BF505" s="131">
        <f t="shared" si="1820"/>
        <v>163749008.20386815</v>
      </c>
      <c r="BG505" s="131">
        <f t="shared" si="1820"/>
        <v>181461922.96254012</v>
      </c>
      <c r="BH505" s="131">
        <f t="shared" si="1820"/>
        <v>179243337.59159341</v>
      </c>
      <c r="BI505" s="131">
        <f t="shared" si="1820"/>
        <v>228409202.79951257</v>
      </c>
      <c r="BJ505" s="131">
        <f t="shared" si="1820"/>
        <v>245090645.02918527</v>
      </c>
      <c r="BK505" s="131">
        <f t="shared" si="1820"/>
        <v>252163653.15019944</v>
      </c>
      <c r="BL505" s="131">
        <f t="shared" si="1820"/>
        <v>244463679.08218849</v>
      </c>
      <c r="BM505" s="131">
        <f t="shared" si="1820"/>
        <v>213998173.34228292</v>
      </c>
      <c r="BN505" s="131">
        <f t="shared" si="1820"/>
        <v>212097646.88449961</v>
      </c>
      <c r="BO505" s="131">
        <f t="shared" si="1820"/>
        <v>207551204.59682643</v>
      </c>
      <c r="BP505" s="131">
        <f t="shared" si="1820"/>
        <v>298142489.99677616</v>
      </c>
      <c r="BQ505" s="131">
        <f t="shared" si="1820"/>
        <v>253084566.91563061</v>
      </c>
      <c r="BR505" s="131">
        <f t="shared" si="1820"/>
        <v>215854726.12842044</v>
      </c>
      <c r="BS505" s="131">
        <f t="shared" si="1820"/>
        <v>188227453.25621331</v>
      </c>
      <c r="BT505" s="131">
        <f t="shared" si="1820"/>
        <v>160260855.04964858</v>
      </c>
      <c r="BU505" s="131">
        <f t="shared" si="1820"/>
        <v>200550158.4065598</v>
      </c>
      <c r="BV505" s="131">
        <f t="shared" si="1820"/>
        <v>218343369.12932208</v>
      </c>
      <c r="BW505" s="131">
        <f t="shared" si="1820"/>
        <v>213906395.89981633</v>
      </c>
      <c r="BX505" s="131">
        <f t="shared" si="1820"/>
        <v>229080019.82729393</v>
      </c>
      <c r="BY505" s="131">
        <f t="shared" si="1820"/>
        <v>215864928.28757885</v>
      </c>
      <c r="BZ505" s="131">
        <f t="shared" si="1820"/>
        <v>179543392.14191887</v>
      </c>
      <c r="CA505" s="131">
        <f t="shared" si="1820"/>
        <v>157955884.80809826</v>
      </c>
      <c r="CB505" s="131">
        <f t="shared" si="1820"/>
        <v>232660598.91480386</v>
      </c>
      <c r="CC505" s="131">
        <f t="shared" si="1820"/>
        <v>224909361.15813661</v>
      </c>
      <c r="CD505" s="131">
        <f t="shared" si="1820"/>
        <v>269456959.95220208</v>
      </c>
      <c r="CE505" s="131">
        <f t="shared" si="1820"/>
        <v>277442018.3625862</v>
      </c>
      <c r="CF505" s="131">
        <f t="shared" si="1820"/>
        <v>268726427.62377191</v>
      </c>
      <c r="CG505" s="131">
        <f t="shared" si="1820"/>
        <v>330956205.38547927</v>
      </c>
      <c r="CH505" s="131">
        <f t="shared" si="1820"/>
        <v>319827818.77619761</v>
      </c>
      <c r="CI505" s="131">
        <f t="shared" si="1820"/>
        <v>308342980.54388231</v>
      </c>
      <c r="CJ505" s="131">
        <f t="shared" si="1820"/>
        <v>311528052.25446236</v>
      </c>
      <c r="CK505" s="131">
        <f t="shared" si="1820"/>
        <v>342965608.85919029</v>
      </c>
      <c r="CL505" s="131">
        <f t="shared" si="1820"/>
        <v>277741626.5876323</v>
      </c>
      <c r="CM505" s="131">
        <f t="shared" si="1820"/>
        <v>262415380.5721705</v>
      </c>
      <c r="CN505" s="131">
        <f t="shared" si="1820"/>
        <v>389187574.22355765</v>
      </c>
      <c r="CO505" s="131">
        <f t="shared" ref="CO505:DQ505" si="1821">SUM(CO506:CO508)</f>
        <v>349860012.64999413</v>
      </c>
      <c r="CP505" s="131">
        <f t="shared" si="1821"/>
        <v>450603984.33859986</v>
      </c>
      <c r="CQ505" s="131">
        <f t="shared" si="1821"/>
        <v>473707422.79600006</v>
      </c>
      <c r="CR505" s="131">
        <f t="shared" si="1821"/>
        <v>462582237.65919989</v>
      </c>
      <c r="CS505" s="131">
        <f t="shared" si="1821"/>
        <v>559463721.22989976</v>
      </c>
      <c r="CT505" s="131">
        <f t="shared" si="1821"/>
        <v>460669093.35505062</v>
      </c>
      <c r="CU505" s="131">
        <f t="shared" si="1821"/>
        <v>450966191.87525457</v>
      </c>
      <c r="CV505" s="131">
        <f t="shared" si="1821"/>
        <v>449941238.89483643</v>
      </c>
      <c r="CW505" s="131">
        <f t="shared" si="1821"/>
        <v>487665873.9975549</v>
      </c>
      <c r="CX505" s="131">
        <f t="shared" si="1821"/>
        <v>434998617.21958041</v>
      </c>
      <c r="CY505" s="131">
        <f t="shared" si="1821"/>
        <v>403409368.68071336</v>
      </c>
      <c r="CZ505" s="131">
        <f t="shared" si="1821"/>
        <v>504823477.46196514</v>
      </c>
      <c r="DA505" s="131">
        <f t="shared" si="1821"/>
        <v>464348258.99539602</v>
      </c>
      <c r="DB505" s="131">
        <f t="shared" si="1821"/>
        <v>553533031.04721236</v>
      </c>
      <c r="DC505" s="131">
        <f t="shared" si="1821"/>
        <v>567235264.8939265</v>
      </c>
      <c r="DD505" s="131">
        <f t="shared" si="1821"/>
        <v>526954038.674115</v>
      </c>
      <c r="DE505" s="131">
        <f t="shared" si="1821"/>
        <v>613934418.45866203</v>
      </c>
      <c r="DF505" s="131">
        <f t="shared" si="1821"/>
        <v>563857688.65354097</v>
      </c>
      <c r="DG505" s="131">
        <f t="shared" si="1821"/>
        <v>553377548.09551096</v>
      </c>
      <c r="DH505" s="131">
        <f t="shared" si="1821"/>
        <v>549255188.31005049</v>
      </c>
      <c r="DI505" s="131">
        <f t="shared" si="1821"/>
        <v>594965090.61718345</v>
      </c>
      <c r="DJ505" s="131">
        <f t="shared" si="1821"/>
        <v>529609487.90829957</v>
      </c>
      <c r="DK505" s="131">
        <f t="shared" si="1821"/>
        <v>489991325.77598476</v>
      </c>
      <c r="DL505" s="131">
        <f t="shared" si="1821"/>
        <v>611227456.9119674</v>
      </c>
      <c r="DM505" s="131">
        <f t="shared" si="1821"/>
        <v>559276295.83967495</v>
      </c>
      <c r="DN505" s="131">
        <f t="shared" si="1821"/>
        <v>664417863.61553454</v>
      </c>
      <c r="DO505" s="131">
        <f t="shared" si="1821"/>
        <v>678046250.85921717</v>
      </c>
      <c r="DP505" s="131">
        <f t="shared" si="1821"/>
        <v>626791805.951455</v>
      </c>
      <c r="DQ505" s="131">
        <f t="shared" si="1821"/>
        <v>722289195.67121994</v>
      </c>
      <c r="DR505" s="131">
        <f t="shared" ref="DR505:EC505" si="1822">SUM(DR506:DR508)</f>
        <v>642802074.76522946</v>
      </c>
      <c r="DS505" s="131">
        <f t="shared" si="1822"/>
        <v>630233079.15480494</v>
      </c>
      <c r="DT505" s="131">
        <f t="shared" si="1822"/>
        <v>625142588.53468168</v>
      </c>
      <c r="DU505" s="131">
        <f t="shared" si="1822"/>
        <v>676920269.24835646</v>
      </c>
      <c r="DV505" s="131">
        <f t="shared" si="1822"/>
        <v>601815817.43209314</v>
      </c>
      <c r="DW505" s="131">
        <f t="shared" si="1822"/>
        <v>556004483.6942997</v>
      </c>
      <c r="DX505" s="131">
        <f t="shared" si="1822"/>
        <v>693863314.68431854</v>
      </c>
      <c r="DY505" s="131">
        <f t="shared" si="1822"/>
        <v>634363650.80176532</v>
      </c>
      <c r="DZ505" s="131">
        <f t="shared" si="1822"/>
        <v>753785294.79552925</v>
      </c>
      <c r="EA505" s="131">
        <f t="shared" si="1822"/>
        <v>769075916.17984962</v>
      </c>
      <c r="EB505" s="131">
        <f t="shared" si="1822"/>
        <v>710401114.36662865</v>
      </c>
      <c r="EC505" s="131">
        <f t="shared" si="1822"/>
        <v>818722664.26943398</v>
      </c>
      <c r="ED505" s="113" t="s">
        <v>1</v>
      </c>
    </row>
    <row r="506" spans="1:134" x14ac:dyDescent="0.2">
      <c r="A506" s="135" t="s">
        <v>139</v>
      </c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29">
        <v>3016588.4394999999</v>
      </c>
      <c r="AC506" s="129">
        <v>2579462.8898</v>
      </c>
      <c r="AD506" s="129">
        <v>3777487.9705609162</v>
      </c>
      <c r="AE506" s="129">
        <v>5866599.8820327315</v>
      </c>
      <c r="AF506" s="129">
        <v>6401656.3078827513</v>
      </c>
      <c r="AG506" s="129">
        <v>9782169.3281932194</v>
      </c>
      <c r="AH506" s="129">
        <v>27732817.660360638</v>
      </c>
      <c r="AI506" s="129">
        <v>28041290.307003953</v>
      </c>
      <c r="AJ506" s="129">
        <v>25925770.454321593</v>
      </c>
      <c r="AK506" s="129">
        <v>26887990.159000002</v>
      </c>
      <c r="AL506" s="129">
        <v>14077895.555532999</v>
      </c>
      <c r="AM506" s="129">
        <v>430202.55</v>
      </c>
      <c r="AN506" s="129">
        <v>9269876.4858739991</v>
      </c>
      <c r="AO506" s="129">
        <v>13772704.542092999</v>
      </c>
      <c r="AP506" s="129">
        <v>18591060.81910589</v>
      </c>
      <c r="AQ506" s="129">
        <v>25444185.541666899</v>
      </c>
      <c r="AR506" s="129">
        <v>31852340.291700002</v>
      </c>
      <c r="AS506" s="129">
        <v>46312204.227399997</v>
      </c>
      <c r="AT506" s="129">
        <v>55265670.795958698</v>
      </c>
      <c r="AU506" s="129">
        <v>57002047.967849903</v>
      </c>
      <c r="AV506" s="129">
        <v>60715468.544599786</v>
      </c>
      <c r="AW506" s="129">
        <v>71009488.377159998</v>
      </c>
      <c r="AX506" s="129">
        <v>64078632.245309994</v>
      </c>
      <c r="AY506" s="129">
        <v>81661075.257969916</v>
      </c>
      <c r="AZ506" s="129">
        <v>100380370.80017991</v>
      </c>
      <c r="BA506" s="129">
        <v>99386934.581639975</v>
      </c>
      <c r="BB506" s="129">
        <v>108599741.21320006</v>
      </c>
      <c r="BC506" s="129">
        <v>106530545.23029999</v>
      </c>
      <c r="BD506" s="129">
        <v>121052949.47510006</v>
      </c>
      <c r="BE506" s="129">
        <v>125079036.53359999</v>
      </c>
      <c r="BF506" s="129">
        <v>152811687.85220802</v>
      </c>
      <c r="BG506" s="129">
        <v>169896032.74299991</v>
      </c>
      <c r="BH506" s="129">
        <v>167789022.44160008</v>
      </c>
      <c r="BI506" s="129">
        <v>216449327.92480001</v>
      </c>
      <c r="BJ506" s="129">
        <v>233218152.66250002</v>
      </c>
      <c r="BK506" s="129">
        <v>239812193.69200006</v>
      </c>
      <c r="BL506" s="129">
        <v>230418459.44120002</v>
      </c>
      <c r="BM506" s="129">
        <v>200414214.65840009</v>
      </c>
      <c r="BN506" s="129">
        <v>195636881.3179999</v>
      </c>
      <c r="BO506" s="129">
        <v>192721175.43499997</v>
      </c>
      <c r="BP506" s="129">
        <v>280297385.03000003</v>
      </c>
      <c r="BQ506" s="129">
        <v>239653754.78999999</v>
      </c>
      <c r="BR506" s="129">
        <v>204269568.22999999</v>
      </c>
      <c r="BS506" s="129">
        <v>176574007.28</v>
      </c>
      <c r="BT506" s="129">
        <v>148950944.40000001</v>
      </c>
      <c r="BU506" s="129">
        <v>187219933.89439693</v>
      </c>
      <c r="BV506" s="129">
        <v>203388088.71906242</v>
      </c>
      <c r="BW506" s="129">
        <v>199551464.83014423</v>
      </c>
      <c r="BX506" s="129">
        <v>213914505.9505454</v>
      </c>
      <c r="BY506" s="129">
        <v>199493446.73777595</v>
      </c>
      <c r="BZ506" s="129">
        <v>164822476.50582135</v>
      </c>
      <c r="CA506" s="129">
        <v>144119397.6898213</v>
      </c>
      <c r="CB506" s="129">
        <v>215492106.22632602</v>
      </c>
      <c r="CC506" s="129">
        <v>209532266.20927611</v>
      </c>
      <c r="CD506" s="129">
        <v>250620927.89583594</v>
      </c>
      <c r="CE506" s="129">
        <v>260093024.25479978</v>
      </c>
      <c r="CF506" s="129">
        <v>253086784.89409417</v>
      </c>
      <c r="CG506" s="129">
        <v>311056873.35848182</v>
      </c>
      <c r="CH506" s="129">
        <v>301740344.09056717</v>
      </c>
      <c r="CI506" s="129">
        <v>289955541.95435733</v>
      </c>
      <c r="CJ506" s="129">
        <v>294986856.28130984</v>
      </c>
      <c r="CK506" s="129">
        <v>323508511.62190217</v>
      </c>
      <c r="CL506" s="129">
        <v>256149487.61186957</v>
      </c>
      <c r="CM506" s="129">
        <v>241578883.42217052</v>
      </c>
      <c r="CN506" s="129">
        <v>364560758.5262351</v>
      </c>
      <c r="CO506" s="129">
        <v>325632298.97999412</v>
      </c>
      <c r="CP506" s="129">
        <v>420971221.65859997</v>
      </c>
      <c r="CQ506" s="129">
        <v>445734894.90600002</v>
      </c>
      <c r="CR506" s="129">
        <v>435893396.8991999</v>
      </c>
      <c r="CS506" s="129">
        <v>522684905.93989998</v>
      </c>
      <c r="CT506" s="129">
        <f t="shared" ref="CT506:DQ506" si="1823">CT468*CT519</f>
        <v>434098657.77859885</v>
      </c>
      <c r="CU506" s="129">
        <f t="shared" si="1823"/>
        <v>424003771.44522792</v>
      </c>
      <c r="CV506" s="129">
        <f t="shared" si="1823"/>
        <v>422558989.87689596</v>
      </c>
      <c r="CW506" s="129">
        <f t="shared" si="1823"/>
        <v>460481088.19548965</v>
      </c>
      <c r="CX506" s="129">
        <f t="shared" si="1823"/>
        <v>406752171.97628558</v>
      </c>
      <c r="CY506" s="129">
        <f t="shared" si="1823"/>
        <v>374227533.07903033</v>
      </c>
      <c r="CZ506" s="129">
        <f t="shared" si="1823"/>
        <v>476630662.89276004</v>
      </c>
      <c r="DA506" s="129">
        <f t="shared" si="1823"/>
        <v>435245312.43005252</v>
      </c>
      <c r="DB506" s="129">
        <f t="shared" si="1823"/>
        <v>525267114.50985336</v>
      </c>
      <c r="DC506" s="129">
        <f t="shared" si="1823"/>
        <v>538868251.72590148</v>
      </c>
      <c r="DD506" s="129">
        <f t="shared" si="1823"/>
        <v>497679304.5218569</v>
      </c>
      <c r="DE506" s="129">
        <f t="shared" si="1823"/>
        <v>585197923.90113497</v>
      </c>
      <c r="DF506" s="129">
        <f t="shared" si="1823"/>
        <v>534227348.24796075</v>
      </c>
      <c r="DG506" s="129">
        <f t="shared" si="1823"/>
        <v>523209867.93850815</v>
      </c>
      <c r="DH506" s="129">
        <f t="shared" si="1823"/>
        <v>518764881.12022126</v>
      </c>
      <c r="DI506" s="129">
        <f t="shared" si="1823"/>
        <v>564771483.88459158</v>
      </c>
      <c r="DJ506" s="129">
        <f t="shared" si="1823"/>
        <v>498196535.81561285</v>
      </c>
      <c r="DK506" s="129">
        <f t="shared" si="1823"/>
        <v>457543202.83240873</v>
      </c>
      <c r="DL506" s="129">
        <f t="shared" si="1823"/>
        <v>580150389.46282363</v>
      </c>
      <c r="DM506" s="129">
        <f t="shared" si="1823"/>
        <v>527282173.36648309</v>
      </c>
      <c r="DN506" s="129">
        <f t="shared" si="1823"/>
        <v>633594769.48346245</v>
      </c>
      <c r="DO506" s="129">
        <f t="shared" si="1823"/>
        <v>647256836.9723382</v>
      </c>
      <c r="DP506" s="129">
        <f t="shared" si="1823"/>
        <v>595093995.99870777</v>
      </c>
      <c r="DQ506" s="129">
        <f t="shared" si="1823"/>
        <v>691642553.86584675</v>
      </c>
      <c r="DR506" s="129">
        <f t="shared" ref="DR506:EC506" si="1824">DR468*DR519</f>
        <v>610896154.32054043</v>
      </c>
      <c r="DS506" s="129">
        <f t="shared" si="1824"/>
        <v>597763858.15935612</v>
      </c>
      <c r="DT506" s="129">
        <f t="shared" si="1824"/>
        <v>592338708.34060252</v>
      </c>
      <c r="DU506" s="129">
        <f t="shared" si="1824"/>
        <v>644488501.33937418</v>
      </c>
      <c r="DV506" s="129">
        <f t="shared" si="1824"/>
        <v>568043543.09195209</v>
      </c>
      <c r="DW506" s="129">
        <f t="shared" si="1824"/>
        <v>521120068.25819331</v>
      </c>
      <c r="DX506" s="129">
        <f t="shared" si="1824"/>
        <v>660556545.70493221</v>
      </c>
      <c r="DY506" s="129">
        <f t="shared" si="1824"/>
        <v>600046012.16694748</v>
      </c>
      <c r="DZ506" s="129">
        <f t="shared" si="1824"/>
        <v>720816160.76701701</v>
      </c>
      <c r="EA506" s="129">
        <f t="shared" si="1824"/>
        <v>736161121.04727173</v>
      </c>
      <c r="EB506" s="129">
        <f t="shared" si="1824"/>
        <v>676485701.16531432</v>
      </c>
      <c r="EC506" s="129">
        <f t="shared" si="1824"/>
        <v>786017801.00160599</v>
      </c>
      <c r="ED506" s="113" t="s">
        <v>1</v>
      </c>
    </row>
    <row r="507" spans="1:134" x14ac:dyDescent="0.2">
      <c r="A507" s="135" t="s">
        <v>191</v>
      </c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29">
        <v>1493204.5515423729</v>
      </c>
      <c r="AC507" s="129">
        <v>1534867.4921223356</v>
      </c>
      <c r="AD507" s="129">
        <v>1658514.2286719438</v>
      </c>
      <c r="AE507" s="129">
        <v>1418737.4132492114</v>
      </c>
      <c r="AF507" s="129">
        <v>1408194.4299634593</v>
      </c>
      <c r="AG507" s="129">
        <v>1406578.90593343</v>
      </c>
      <c r="AH507" s="129">
        <v>1582012.0970625801</v>
      </c>
      <c r="AI507" s="129">
        <v>1485715</v>
      </c>
      <c r="AJ507" s="129">
        <v>1498234.8352941177</v>
      </c>
      <c r="AK507" s="129">
        <v>1411677.3559322036</v>
      </c>
      <c r="AL507" s="129">
        <v>992380.67118644062</v>
      </c>
      <c r="AM507" s="129">
        <v>0</v>
      </c>
      <c r="AN507" s="129">
        <v>1663035.8269491526</v>
      </c>
      <c r="AO507" s="129">
        <v>2442429.1525423727</v>
      </c>
      <c r="AP507" s="129">
        <v>2250222.9152542371</v>
      </c>
      <c r="AQ507" s="129">
        <v>3141740.3206779659</v>
      </c>
      <c r="AR507" s="129">
        <v>2863504.1566101699</v>
      </c>
      <c r="AS507" s="129">
        <v>3083778.9264406781</v>
      </c>
      <c r="AT507" s="129">
        <v>4318515.4576271186</v>
      </c>
      <c r="AU507" s="129">
        <v>4835441.0508474577</v>
      </c>
      <c r="AV507" s="129">
        <v>4987111.3389830505</v>
      </c>
      <c r="AW507" s="129">
        <v>4630366.4915254237</v>
      </c>
      <c r="AX507" s="129">
        <v>5554437.0847457619</v>
      </c>
      <c r="AY507" s="129">
        <v>6494168.4576271186</v>
      </c>
      <c r="AZ507" s="129">
        <v>5961063.6016949154</v>
      </c>
      <c r="BA507" s="129">
        <v>7683642.2033898309</v>
      </c>
      <c r="BB507" s="129">
        <v>8784182.3200000003</v>
      </c>
      <c r="BC507" s="129">
        <v>8451217.4199999999</v>
      </c>
      <c r="BD507" s="129">
        <v>8116440.1100000003</v>
      </c>
      <c r="BE507" s="129">
        <v>8334999.5</v>
      </c>
      <c r="BF507" s="129">
        <v>7549331.7457627123</v>
      </c>
      <c r="BG507" s="129">
        <v>7646263.2949152542</v>
      </c>
      <c r="BH507" s="129">
        <v>7389750.5355932219</v>
      </c>
      <c r="BI507" s="129">
        <v>7769988.792203391</v>
      </c>
      <c r="BJ507" s="129">
        <v>7596791.181016949</v>
      </c>
      <c r="BK507" s="129">
        <v>7967068.5741525432</v>
      </c>
      <c r="BL507" s="129">
        <v>9381201.4791525435</v>
      </c>
      <c r="BM507" s="129">
        <v>9045001</v>
      </c>
      <c r="BN507" s="129">
        <v>9356313</v>
      </c>
      <c r="BO507" s="129">
        <v>8190096</v>
      </c>
      <c r="BP507" s="129">
        <v>8417901</v>
      </c>
      <c r="BQ507" s="129">
        <v>6659183</v>
      </c>
      <c r="BR507" s="129">
        <v>6770948</v>
      </c>
      <c r="BS507" s="129">
        <v>7543142.6800000099</v>
      </c>
      <c r="BT507" s="129">
        <v>6915080</v>
      </c>
      <c r="BU507" s="129">
        <v>7824016.2881355938</v>
      </c>
      <c r="BV507" s="129">
        <v>9098050</v>
      </c>
      <c r="BW507" s="129">
        <v>8587754.8474576399</v>
      </c>
      <c r="BX507" s="129">
        <v>8912585.3599999994</v>
      </c>
      <c r="BY507" s="129">
        <v>9777810.0338983089</v>
      </c>
      <c r="BZ507" s="129">
        <v>9622882.1610169467</v>
      </c>
      <c r="CA507" s="129">
        <v>9414839.762711864</v>
      </c>
      <c r="CB507" s="129">
        <v>9449536.4830508474</v>
      </c>
      <c r="CC507" s="129">
        <v>9067613.152542375</v>
      </c>
      <c r="CD507" s="129">
        <v>11020478.90677966</v>
      </c>
      <c r="CE507" s="129">
        <v>9950606.8644067775</v>
      </c>
      <c r="CF507" s="129">
        <v>8471241.5338983033</v>
      </c>
      <c r="CG507" s="129">
        <v>11503485.101694912</v>
      </c>
      <c r="CH507" s="129">
        <v>10441750.262711899</v>
      </c>
      <c r="CI507" s="129">
        <v>10507442.652542373</v>
      </c>
      <c r="CJ507" s="129">
        <v>10533246.16101695</v>
      </c>
      <c r="CK507" s="129">
        <v>12272744.23728814</v>
      </c>
      <c r="CL507" s="129">
        <v>14696501.745762713</v>
      </c>
      <c r="CM507" s="129">
        <v>12260923.950000001</v>
      </c>
      <c r="CN507" s="129">
        <v>12736403.220000001</v>
      </c>
      <c r="CO507" s="129">
        <v>13118044.939999999</v>
      </c>
      <c r="CP507" s="129">
        <v>15285503.109999999</v>
      </c>
      <c r="CQ507" s="129">
        <v>15699652.48</v>
      </c>
      <c r="CR507" s="129">
        <v>15065057.01</v>
      </c>
      <c r="CS507" s="129">
        <v>24705811.659999996</v>
      </c>
      <c r="CT507" s="129">
        <f t="shared" ref="CT507:DQ507" si="1825">CT469*CT520</f>
        <v>15104913.274207599</v>
      </c>
      <c r="CU507" s="129">
        <f t="shared" si="1825"/>
        <v>15342961.898395086</v>
      </c>
      <c r="CV507" s="129">
        <f t="shared" si="1825"/>
        <v>15589283.929870345</v>
      </c>
      <c r="CW507" s="129">
        <f t="shared" si="1825"/>
        <v>15439093.39455523</v>
      </c>
      <c r="CX507" s="129">
        <f t="shared" si="1825"/>
        <v>16108156.434015563</v>
      </c>
      <c r="CY507" s="129">
        <f t="shared" si="1825"/>
        <v>16683986.685881319</v>
      </c>
      <c r="CZ507" s="129">
        <f t="shared" si="1825"/>
        <v>16012437.684327988</v>
      </c>
      <c r="DA507" s="129">
        <f t="shared" si="1825"/>
        <v>16581697.380673328</v>
      </c>
      <c r="DB507" s="129">
        <f t="shared" si="1825"/>
        <v>16010257.044997044</v>
      </c>
      <c r="DC507" s="129">
        <f t="shared" si="1825"/>
        <v>16056712.541605581</v>
      </c>
      <c r="DD507" s="129">
        <f t="shared" si="1825"/>
        <v>16624384.228278521</v>
      </c>
      <c r="DE507" s="129">
        <f t="shared" si="1825"/>
        <v>16229610.14013752</v>
      </c>
      <c r="DF507" s="129">
        <f t="shared" si="1825"/>
        <v>16798208.817470707</v>
      </c>
      <c r="DG507" s="129">
        <f t="shared" si="1825"/>
        <v>17121929.415023908</v>
      </c>
      <c r="DH507" s="129">
        <f t="shared" si="1825"/>
        <v>17314295.606054131</v>
      </c>
      <c r="DI507" s="129">
        <f t="shared" si="1825"/>
        <v>17098742.598326918</v>
      </c>
      <c r="DJ507" s="129">
        <f t="shared" si="1825"/>
        <v>17871665.251175683</v>
      </c>
      <c r="DK507" s="129">
        <f t="shared" si="1825"/>
        <v>18513215.787068401</v>
      </c>
      <c r="DL507" s="129">
        <f t="shared" si="1825"/>
        <v>17600106.143066205</v>
      </c>
      <c r="DM507" s="129">
        <f t="shared" si="1825"/>
        <v>18183991.512218434</v>
      </c>
      <c r="DN507" s="129">
        <f t="shared" si="1825"/>
        <v>17402629.477385834</v>
      </c>
      <c r="DO507" s="129">
        <f t="shared" si="1825"/>
        <v>17370380.200249579</v>
      </c>
      <c r="DP507" s="129">
        <f t="shared" si="1825"/>
        <v>17948562.358516693</v>
      </c>
      <c r="DQ507" s="129">
        <f t="shared" si="1825"/>
        <v>17246146.075293887</v>
      </c>
      <c r="DR507" s="129">
        <f t="shared" ref="DR507:EC507" si="1826">DR469*DR520</f>
        <v>18055436.557533458</v>
      </c>
      <c r="DS507" s="129">
        <f t="shared" si="1826"/>
        <v>18396256.199832208</v>
      </c>
      <c r="DT507" s="129">
        <f t="shared" si="1826"/>
        <v>18596547.360305604</v>
      </c>
      <c r="DU507" s="129">
        <f t="shared" si="1826"/>
        <v>18331324.455971349</v>
      </c>
      <c r="DV507" s="129">
        <f t="shared" si="1826"/>
        <v>19184049.681484789</v>
      </c>
      <c r="DW507" s="129">
        <f t="shared" si="1826"/>
        <v>19876296.563338678</v>
      </c>
      <c r="DX507" s="129">
        <f t="shared" si="1826"/>
        <v>18827116.066421062</v>
      </c>
      <c r="DY507" s="129">
        <f t="shared" si="1826"/>
        <v>19472792.313387718</v>
      </c>
      <c r="DZ507" s="129">
        <f t="shared" si="1826"/>
        <v>18574535.780806273</v>
      </c>
      <c r="EA507" s="129">
        <f t="shared" si="1826"/>
        <v>18528679.711798191</v>
      </c>
      <c r="EB507" s="129">
        <f t="shared" si="1826"/>
        <v>19167603.765300654</v>
      </c>
      <c r="EC507" s="129">
        <f t="shared" si="1826"/>
        <v>18360210.888061658</v>
      </c>
      <c r="ED507" s="113" t="s">
        <v>1</v>
      </c>
    </row>
    <row r="508" spans="1:134" x14ac:dyDescent="0.2">
      <c r="A508" s="135" t="s">
        <v>140</v>
      </c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29">
        <v>71630.49131921705</v>
      </c>
      <c r="AC508" s="129">
        <v>65368.488331460532</v>
      </c>
      <c r="AD508" s="129">
        <v>110775.703389831</v>
      </c>
      <c r="AE508" s="129">
        <v>125977.56372881384</v>
      </c>
      <c r="AF508" s="129">
        <v>126228</v>
      </c>
      <c r="AG508" s="129">
        <v>155717</v>
      </c>
      <c r="AH508" s="129">
        <v>163280.67796610188</v>
      </c>
      <c r="AI508" s="129">
        <v>210836.79661016999</v>
      </c>
      <c r="AJ508" s="129">
        <v>597313.18012711953</v>
      </c>
      <c r="AK508" s="129">
        <v>325485</v>
      </c>
      <c r="AL508" s="129">
        <v>147216.44067796625</v>
      </c>
      <c r="AM508" s="129">
        <v>3912</v>
      </c>
      <c r="AN508" s="129">
        <v>193806</v>
      </c>
      <c r="AO508" s="129">
        <v>336599.61016949214</v>
      </c>
      <c r="AP508" s="129">
        <v>965782.033898314</v>
      </c>
      <c r="AQ508" s="129">
        <v>1119309.2542372879</v>
      </c>
      <c r="AR508" s="129">
        <v>1175254.3305084798</v>
      </c>
      <c r="AS508" s="129">
        <v>1498931.3474576401</v>
      </c>
      <c r="AT508" s="129">
        <v>2020222.7627118798</v>
      </c>
      <c r="AU508" s="129">
        <v>1973394.3389830599</v>
      </c>
      <c r="AV508" s="129">
        <v>2009280.9661017135</v>
      </c>
      <c r="AW508" s="129">
        <v>3175956.6610169746</v>
      </c>
      <c r="AX508" s="129">
        <v>2119964.1186440415</v>
      </c>
      <c r="AY508" s="129">
        <v>2130443.9745762781</v>
      </c>
      <c r="AZ508" s="129">
        <v>2619900.8777966388</v>
      </c>
      <c r="BA508" s="129">
        <v>2969224.3305085227</v>
      </c>
      <c r="BB508" s="129">
        <v>3570484.5169492201</v>
      </c>
      <c r="BC508" s="129">
        <v>3732407.4491525982</v>
      </c>
      <c r="BD508" s="129">
        <v>3543880.5084746247</v>
      </c>
      <c r="BE508" s="129">
        <v>2327331.9406779967</v>
      </c>
      <c r="BF508" s="129">
        <v>3387988.6058974164</v>
      </c>
      <c r="BG508" s="129">
        <v>3919626.9246249441</v>
      </c>
      <c r="BH508" s="129">
        <v>4064564.6144001209</v>
      </c>
      <c r="BI508" s="129">
        <v>4189886.0825091708</v>
      </c>
      <c r="BJ508" s="129">
        <v>4275701.1856682841</v>
      </c>
      <c r="BK508" s="129">
        <v>4384390.8840468423</v>
      </c>
      <c r="BL508" s="129">
        <v>4664018.1618359443</v>
      </c>
      <c r="BM508" s="129">
        <v>4538957.6838828316</v>
      </c>
      <c r="BN508" s="129">
        <v>7104452.5664997213</v>
      </c>
      <c r="BO508" s="129">
        <v>6639933.161826456</v>
      </c>
      <c r="BP508" s="129">
        <v>9427203.9667761065</v>
      </c>
      <c r="BQ508" s="129">
        <v>6771629.125630605</v>
      </c>
      <c r="BR508" s="129">
        <v>4814209.8984204624</v>
      </c>
      <c r="BS508" s="129">
        <v>4110303.2962132972</v>
      </c>
      <c r="BT508" s="129">
        <v>4394830.6496485798</v>
      </c>
      <c r="BU508" s="129">
        <v>5506208.2240272742</v>
      </c>
      <c r="BV508" s="129">
        <v>5857230.4102596575</v>
      </c>
      <c r="BW508" s="129">
        <v>5767176.2222144613</v>
      </c>
      <c r="BX508" s="129">
        <v>6252928.5167485429</v>
      </c>
      <c r="BY508" s="129">
        <v>6593671.5159045653</v>
      </c>
      <c r="BZ508" s="129">
        <v>5098033.4750805767</v>
      </c>
      <c r="CA508" s="129">
        <v>4421647.3555650916</v>
      </c>
      <c r="CB508" s="129">
        <v>7718956.2054269779</v>
      </c>
      <c r="CC508" s="129">
        <v>6309481.7963181045</v>
      </c>
      <c r="CD508" s="129">
        <v>7815553.149586509</v>
      </c>
      <c r="CE508" s="129">
        <v>7398387.2433796432</v>
      </c>
      <c r="CF508" s="129">
        <v>7168401.1957794409</v>
      </c>
      <c r="CG508" s="129">
        <v>8395846.9253025576</v>
      </c>
      <c r="CH508" s="129">
        <v>7645724.4229185609</v>
      </c>
      <c r="CI508" s="129">
        <v>7879995.9369826149</v>
      </c>
      <c r="CJ508" s="129">
        <v>6007949.812135567</v>
      </c>
      <c r="CK508" s="129">
        <v>7184353</v>
      </c>
      <c r="CL508" s="129">
        <v>6895637.2300000088</v>
      </c>
      <c r="CM508" s="129">
        <v>8575573.2000000011</v>
      </c>
      <c r="CN508" s="129">
        <v>11890412.477322496</v>
      </c>
      <c r="CO508" s="129">
        <v>11109668.729999999</v>
      </c>
      <c r="CP508" s="129">
        <v>14347259.569999885</v>
      </c>
      <c r="CQ508" s="129">
        <v>12272875.410000008</v>
      </c>
      <c r="CR508" s="129">
        <v>11623783.750000007</v>
      </c>
      <c r="CS508" s="129">
        <v>12073003.6299998</v>
      </c>
      <c r="CT508" s="129">
        <f t="shared" ref="CT508:DQ508" si="1827">CT470*CT521</f>
        <v>11465522.302244177</v>
      </c>
      <c r="CU508" s="129">
        <f t="shared" si="1827"/>
        <v>11619458.531631615</v>
      </c>
      <c r="CV508" s="129">
        <f t="shared" si="1827"/>
        <v>11792965.088070087</v>
      </c>
      <c r="CW508" s="129">
        <f t="shared" si="1827"/>
        <v>11745692.407510059</v>
      </c>
      <c r="CX508" s="129">
        <f t="shared" si="1827"/>
        <v>12138288.809279289</v>
      </c>
      <c r="CY508" s="129">
        <f t="shared" si="1827"/>
        <v>12497848.915801691</v>
      </c>
      <c r="CZ508" s="129">
        <f t="shared" si="1827"/>
        <v>12180376.884877134</v>
      </c>
      <c r="DA508" s="129">
        <f t="shared" si="1827"/>
        <v>12521249.184670128</v>
      </c>
      <c r="DB508" s="129">
        <f t="shared" si="1827"/>
        <v>12255659.492361858</v>
      </c>
      <c r="DC508" s="129">
        <f t="shared" si="1827"/>
        <v>12310300.62641946</v>
      </c>
      <c r="DD508" s="129">
        <f t="shared" si="1827"/>
        <v>12650349.923979554</v>
      </c>
      <c r="DE508" s="129">
        <f t="shared" si="1827"/>
        <v>12506884.417389559</v>
      </c>
      <c r="DF508" s="129">
        <f t="shared" si="1827"/>
        <v>12832131.58810948</v>
      </c>
      <c r="DG508" s="129">
        <f t="shared" si="1827"/>
        <v>13045750.741978852</v>
      </c>
      <c r="DH508" s="129">
        <f t="shared" si="1827"/>
        <v>13176011.583775051</v>
      </c>
      <c r="DI508" s="129">
        <f t="shared" si="1827"/>
        <v>13094864.134264981</v>
      </c>
      <c r="DJ508" s="129">
        <f t="shared" si="1827"/>
        <v>13541286.84151103</v>
      </c>
      <c r="DK508" s="129">
        <f t="shared" si="1827"/>
        <v>13934907.156507621</v>
      </c>
      <c r="DL508" s="129">
        <f t="shared" si="1827"/>
        <v>13476961.306077642</v>
      </c>
      <c r="DM508" s="129">
        <f t="shared" si="1827"/>
        <v>13810130.960973432</v>
      </c>
      <c r="DN508" s="129">
        <f t="shared" si="1827"/>
        <v>13420464.654686198</v>
      </c>
      <c r="DO508" s="129">
        <f t="shared" si="1827"/>
        <v>13419033.686629469</v>
      </c>
      <c r="DP508" s="129">
        <f t="shared" si="1827"/>
        <v>13749247.594230562</v>
      </c>
      <c r="DQ508" s="129">
        <f t="shared" si="1827"/>
        <v>13400495.730079304</v>
      </c>
      <c r="DR508" s="129">
        <f t="shared" ref="DR508:EC508" si="1828">DR470*DR521</f>
        <v>13850483.88715554</v>
      </c>
      <c r="DS508" s="129">
        <f t="shared" si="1828"/>
        <v>14072964.795616601</v>
      </c>
      <c r="DT508" s="129">
        <f t="shared" si="1828"/>
        <v>14207332.833773592</v>
      </c>
      <c r="DU508" s="129">
        <f t="shared" si="1828"/>
        <v>14100443.453010861</v>
      </c>
      <c r="DV508" s="129">
        <f t="shared" si="1828"/>
        <v>14588224.658656288</v>
      </c>
      <c r="DW508" s="129">
        <f t="shared" si="1828"/>
        <v>15008118.872767629</v>
      </c>
      <c r="DX508" s="129">
        <f t="shared" si="1828"/>
        <v>14479652.91296535</v>
      </c>
      <c r="DY508" s="129">
        <f t="shared" si="1828"/>
        <v>14844846.321430117</v>
      </c>
      <c r="DZ508" s="129">
        <f t="shared" si="1828"/>
        <v>14394598.247705942</v>
      </c>
      <c r="EA508" s="129">
        <f t="shared" si="1828"/>
        <v>14386115.420779744</v>
      </c>
      <c r="EB508" s="129">
        <f t="shared" si="1828"/>
        <v>14747809.436013738</v>
      </c>
      <c r="EC508" s="129">
        <f t="shared" si="1828"/>
        <v>14344652.379766306</v>
      </c>
      <c r="ED508" s="113" t="s">
        <v>1</v>
      </c>
    </row>
    <row r="509" spans="1:134" x14ac:dyDescent="0.2">
      <c r="A509" s="114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115"/>
      <c r="AT509" s="115"/>
      <c r="AU509" s="115"/>
      <c r="AV509" s="115"/>
      <c r="AW509" s="115"/>
      <c r="AX509" s="115"/>
      <c r="AY509" s="115"/>
      <c r="AZ509" s="115"/>
      <c r="BA509" s="115"/>
      <c r="BB509" s="115"/>
      <c r="BC509" s="115"/>
      <c r="BD509" s="115"/>
      <c r="BE509" s="115"/>
      <c r="BF509" s="115"/>
      <c r="BG509" s="115"/>
      <c r="BH509" s="115"/>
      <c r="BI509" s="115"/>
      <c r="BJ509" s="115"/>
      <c r="BK509" s="115"/>
      <c r="BL509" s="115"/>
      <c r="BM509" s="115"/>
      <c r="BN509" s="115"/>
      <c r="BO509" s="115"/>
      <c r="BP509" s="115"/>
      <c r="BQ509" s="115"/>
      <c r="BR509" s="115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115"/>
      <c r="CC509" s="115"/>
      <c r="CD509" s="115"/>
      <c r="CE509" s="115"/>
      <c r="CF509" s="115"/>
      <c r="CG509" s="115"/>
      <c r="CH509" s="115"/>
      <c r="CI509" s="115"/>
      <c r="CJ509" s="115"/>
      <c r="CK509" s="115"/>
      <c r="CL509" s="115"/>
      <c r="CM509" s="115"/>
      <c r="CN509" s="115"/>
      <c r="CO509" s="115"/>
      <c r="CP509" s="115"/>
      <c r="CQ509" s="115"/>
      <c r="CR509" s="115"/>
      <c r="CS509" s="115"/>
      <c r="CT509" s="115"/>
      <c r="CU509" s="115"/>
      <c r="CV509" s="115"/>
      <c r="CW509" s="115"/>
      <c r="CX509" s="115"/>
      <c r="CY509" s="115"/>
      <c r="CZ509" s="115"/>
      <c r="DA509" s="115"/>
      <c r="DB509" s="115"/>
      <c r="DC509" s="115"/>
      <c r="DD509" s="115"/>
      <c r="DE509" s="115"/>
      <c r="DF509" s="115"/>
      <c r="DG509" s="115"/>
      <c r="DH509" s="115"/>
      <c r="DI509" s="115"/>
      <c r="DJ509" s="115"/>
      <c r="DK509" s="115"/>
      <c r="DL509" s="115"/>
      <c r="DM509" s="115"/>
      <c r="DN509" s="115"/>
      <c r="DO509" s="115"/>
      <c r="DP509" s="115"/>
      <c r="DQ509" s="115"/>
      <c r="DR509" s="115"/>
      <c r="DS509" s="115"/>
      <c r="DT509" s="115"/>
      <c r="DU509" s="115"/>
      <c r="DV509" s="115"/>
      <c r="DW509" s="115"/>
      <c r="DX509" s="115"/>
      <c r="DY509" s="115"/>
      <c r="DZ509" s="115"/>
      <c r="EA509" s="115"/>
      <c r="EB509" s="115"/>
      <c r="EC509" s="115"/>
      <c r="ED509" s="113" t="s">
        <v>1</v>
      </c>
    </row>
    <row r="510" spans="1:134" x14ac:dyDescent="0.2">
      <c r="A510" s="116" t="s">
        <v>193</v>
      </c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31">
        <f>SUM(AB511:AB513)</f>
        <v>0</v>
      </c>
      <c r="AC510" s="131">
        <f t="shared" ref="AC510" si="1829">SUM(AC511:AC513)</f>
        <v>0</v>
      </c>
      <c r="AD510" s="131">
        <f t="shared" ref="AD510" si="1830">SUM(AD511:AD513)</f>
        <v>27631.161811964059</v>
      </c>
      <c r="AE510" s="131">
        <f t="shared" ref="AE510" si="1831">SUM(AE511:AE513)</f>
        <v>116291.04316726881</v>
      </c>
      <c r="AF510" s="131">
        <f t="shared" ref="AF510" si="1832">SUM(AF511:AF513)</f>
        <v>364289.67617679824</v>
      </c>
      <c r="AG510" s="131">
        <f t="shared" ref="AG510" si="1833">SUM(AG511:AG513)</f>
        <v>900371.67180678062</v>
      </c>
      <c r="AH510" s="131">
        <f t="shared" ref="AH510" si="1834">SUM(AH511:AH513)</f>
        <v>1516316.9896393588</v>
      </c>
      <c r="AI510" s="131">
        <f t="shared" ref="AI510" si="1835">SUM(AI511:AI513)</f>
        <v>1358904.2762460494</v>
      </c>
      <c r="AJ510" s="131">
        <f t="shared" ref="AJ510" si="1836">SUM(AJ511:AJ513)</f>
        <v>1760010.3056784063</v>
      </c>
      <c r="AK510" s="131">
        <f t="shared" ref="AK510" si="1837">SUM(AK511:AK513)</f>
        <v>2916770.3362711864</v>
      </c>
      <c r="AL510" s="131">
        <f t="shared" ref="AL510" si="1838">SUM(AL511:AL513)</f>
        <v>2496592.4395932201</v>
      </c>
      <c r="AM510" s="131">
        <f t="shared" ref="AM510" si="1839">SUM(AM511:AM513)</f>
        <v>17240</v>
      </c>
      <c r="AN510" s="131">
        <f t="shared" ref="AN510" si="1840">SUM(AN511:AN513)</f>
        <v>800354.06850000005</v>
      </c>
      <c r="AO510" s="131">
        <f t="shared" ref="AO510" si="1841">SUM(AO511:AO513)</f>
        <v>840763.93661016948</v>
      </c>
      <c r="AP510" s="131">
        <f t="shared" ref="AP510" si="1842">SUM(AP511:AP513)</f>
        <v>1590518.9513728812</v>
      </c>
      <c r="AQ510" s="131">
        <f t="shared" ref="AQ510" si="1843">SUM(AQ511:AQ513)</f>
        <v>3264374.2541505764</v>
      </c>
      <c r="AR510" s="131">
        <f t="shared" ref="AR510" si="1844">SUM(AR511:AR513)</f>
        <v>4291872.7590237288</v>
      </c>
      <c r="AS510" s="131">
        <f t="shared" ref="AS510" si="1845">SUM(AS511:AS513)</f>
        <v>4473472.6909957631</v>
      </c>
      <c r="AT510" s="131">
        <f t="shared" ref="AT510" si="1846">SUM(AT511:AT513)</f>
        <v>6158599.4779661009</v>
      </c>
      <c r="AU510" s="131">
        <f t="shared" ref="AU510" si="1847">SUM(AU511:AU513)</f>
        <v>4795405.6068525426</v>
      </c>
      <c r="AV510" s="131">
        <f t="shared" ref="AV510" si="1848">SUM(AV511:AV513)</f>
        <v>4738262.8389830505</v>
      </c>
      <c r="AW510" s="131">
        <f t="shared" ref="AW510" si="1849">SUM(AW511:AW513)</f>
        <v>3442910.4264508476</v>
      </c>
      <c r="AX510" s="131">
        <f t="shared" ref="AX510" si="1850">SUM(AX511:AX513)</f>
        <v>2887362.073389831</v>
      </c>
      <c r="AY510" s="131">
        <f t="shared" ref="AY510" si="1851">SUM(AY511:AY513)</f>
        <v>2290784.6252542376</v>
      </c>
      <c r="AZ510" s="131">
        <f t="shared" ref="AZ510" si="1852">SUM(AZ511:AZ513)</f>
        <v>660567.98474576278</v>
      </c>
      <c r="BA510" s="131">
        <f t="shared" ref="BA510" si="1853">SUM(BA511:BA513)</f>
        <v>3617151.0042372881</v>
      </c>
      <c r="BB510" s="131">
        <f t="shared" ref="BB510" si="1854">SUM(BB511:BB513)</f>
        <v>2631929.9135593222</v>
      </c>
      <c r="BC510" s="131">
        <f t="shared" ref="BC510" si="1855">SUM(BC511:BC513)</f>
        <v>3007570.6864406778</v>
      </c>
      <c r="BD510" s="131">
        <f t="shared" ref="BD510" si="1856">SUM(BD511:BD513)</f>
        <v>1999744.3898305085</v>
      </c>
      <c r="BE510" s="131">
        <f t="shared" ref="BE510" si="1857">SUM(BE511:BE513)</f>
        <v>2701266.6355932201</v>
      </c>
      <c r="BF510" s="131">
        <f t="shared" ref="BF510" si="1858">SUM(BF511:BF513)</f>
        <v>2658394.6766101695</v>
      </c>
      <c r="BG510" s="131">
        <f t="shared" ref="BG510" si="1859">SUM(BG511:BG513)</f>
        <v>1496171</v>
      </c>
      <c r="BH510" s="131">
        <f t="shared" ref="BH510" si="1860">SUM(BH511:BH513)</f>
        <v>968175.5</v>
      </c>
      <c r="BI510" s="131">
        <f t="shared" ref="BI510" si="1861">SUM(BI511:BI513)</f>
        <v>1802565.779661017</v>
      </c>
      <c r="BJ510" s="131">
        <f t="shared" ref="BJ510" si="1862">SUM(BJ511:BJ513)</f>
        <v>2785522.4072108897</v>
      </c>
      <c r="BK510" s="131">
        <f t="shared" ref="BK510" si="1863">SUM(BK511:BK513)</f>
        <v>3151914.0339988135</v>
      </c>
      <c r="BL510" s="131">
        <f t="shared" ref="BL510" si="1864">SUM(BL511:BL513)</f>
        <v>1444284.4464406781</v>
      </c>
      <c r="BM510" s="131">
        <f t="shared" ref="BM510" si="1865">SUM(BM511:BM513)</f>
        <v>536794</v>
      </c>
      <c r="BN510" s="131">
        <f t="shared" ref="BN510" si="1866">SUM(BN511:BN513)</f>
        <v>502675.67222062714</v>
      </c>
      <c r="BO510" s="131">
        <f t="shared" ref="BO510" si="1867">SUM(BO511:BO513)</f>
        <v>67191.489406779714</v>
      </c>
      <c r="BP510" s="131">
        <f t="shared" ref="BP510" si="1868">SUM(BP511:BP513)</f>
        <v>4307164.1106339544</v>
      </c>
      <c r="BQ510" s="131">
        <f t="shared" ref="BQ510" si="1869">SUM(BQ511:BQ513)</f>
        <v>3317889</v>
      </c>
      <c r="BR510" s="131">
        <f t="shared" ref="BR510" si="1870">SUM(BR511:BR513)</f>
        <v>2356636</v>
      </c>
      <c r="BS510" s="131">
        <f t="shared" ref="BS510" si="1871">SUM(BS511:BS513)</f>
        <v>2918884</v>
      </c>
      <c r="BT510" s="131">
        <f t="shared" ref="BT510" si="1872">SUM(BT511:BT513)</f>
        <v>2926306</v>
      </c>
      <c r="BU510" s="131">
        <f t="shared" ref="BU510" si="1873">SUM(BU511:BU513)</f>
        <v>877848.5</v>
      </c>
      <c r="BV510" s="131">
        <f t="shared" ref="BV510" si="1874">SUM(BV511:BV513)</f>
        <v>3044927.5</v>
      </c>
      <c r="BW510" s="131">
        <f t="shared" ref="BW510" si="1875">SUM(BW511:BW513)</f>
        <v>3609706.6</v>
      </c>
      <c r="BX510" s="131">
        <f t="shared" ref="BX510" si="1876">SUM(BX511:BX513)</f>
        <v>2967615</v>
      </c>
      <c r="BY510" s="131">
        <f t="shared" ref="BY510" si="1877">SUM(BY511:BY513)</f>
        <v>2323921.5</v>
      </c>
      <c r="BZ510" s="131">
        <f t="shared" ref="BZ510" si="1878">SUM(BZ511:BZ513)</f>
        <v>3932240</v>
      </c>
      <c r="CA510" s="131">
        <f t="shared" ref="CA510" si="1879">SUM(CA511:CA513)</f>
        <v>1429648</v>
      </c>
      <c r="CB510" s="131">
        <f t="shared" ref="CB510" si="1880">SUM(CB511:CB513)</f>
        <v>3398661</v>
      </c>
      <c r="CC510" s="131">
        <f t="shared" ref="CC510" si="1881">SUM(CC511:CC513)</f>
        <v>2183816</v>
      </c>
      <c r="CD510" s="131">
        <f t="shared" ref="CD510" si="1882">SUM(CD511:CD513)</f>
        <v>3851483</v>
      </c>
      <c r="CE510" s="131">
        <f t="shared" ref="CE510" si="1883">SUM(CE511:CE513)</f>
        <v>6735307.2800000003</v>
      </c>
      <c r="CF510" s="131">
        <f t="shared" ref="CF510" si="1884">SUM(CF511:CF513)</f>
        <v>763013</v>
      </c>
      <c r="CG510" s="131">
        <f t="shared" ref="CG510" si="1885">SUM(CG511:CG513)</f>
        <v>5132402.3499999996</v>
      </c>
      <c r="CH510" s="131">
        <f t="shared" ref="CH510" si="1886">SUM(CH511:CH513)</f>
        <v>4563479.1919999998</v>
      </c>
      <c r="CI510" s="131">
        <f t="shared" ref="CI510" si="1887">SUM(CI511:CI513)</f>
        <v>6103704.7725000009</v>
      </c>
      <c r="CJ510" s="131">
        <f t="shared" ref="CJ510" si="1888">SUM(CJ511:CJ513)</f>
        <v>5395483.0699999984</v>
      </c>
      <c r="CK510" s="131">
        <f t="shared" ref="CK510" si="1889">SUM(CK511:CK513)</f>
        <v>8869417.2299000006</v>
      </c>
      <c r="CL510" s="131">
        <f t="shared" ref="CL510" si="1890">SUM(CL511:CL513)</f>
        <v>5638515.0800000001</v>
      </c>
      <c r="CM510" s="131">
        <f t="shared" ref="CM510" si="1891">SUM(CM511:CM513)</f>
        <v>3478760.0999000003</v>
      </c>
      <c r="CN510" s="131">
        <f t="shared" ref="CN510" si="1892">SUM(CN511:CN513)</f>
        <v>9147519.3692999985</v>
      </c>
      <c r="CO510" s="131">
        <f t="shared" ref="CO510" si="1893">SUM(CO511:CO513)</f>
        <v>7459737.8501000004</v>
      </c>
      <c r="CP510" s="131">
        <f t="shared" ref="CP510" si="1894">SUM(CP511:CP513)</f>
        <v>4424825.0697999988</v>
      </c>
      <c r="CQ510" s="131">
        <f t="shared" ref="CQ510" si="1895">SUM(CQ511:CQ513)</f>
        <v>5196700.8517999994</v>
      </c>
      <c r="CR510" s="131">
        <f t="shared" ref="CR510" si="1896">SUM(CR511:CR513)</f>
        <v>4929618.97</v>
      </c>
      <c r="CS510" s="131">
        <f t="shared" ref="CS510:DQ510" si="1897">SUM(CS511:CS513)</f>
        <v>8025418.3300000001</v>
      </c>
      <c r="CT510" s="131">
        <f t="shared" si="1897"/>
        <v>6553432.4321016697</v>
      </c>
      <c r="CU510" s="131">
        <f t="shared" si="1897"/>
        <v>6401775.4170604572</v>
      </c>
      <c r="CV510" s="131">
        <f t="shared" si="1897"/>
        <v>6380337.4467421621</v>
      </c>
      <c r="CW510" s="131">
        <f t="shared" si="1897"/>
        <v>6950983.5915780179</v>
      </c>
      <c r="CX510" s="131">
        <f t="shared" si="1897"/>
        <v>6143053.1760657858</v>
      </c>
      <c r="CY510" s="131">
        <f t="shared" si="1897"/>
        <v>5654189.9508487927</v>
      </c>
      <c r="CZ510" s="131">
        <f t="shared" si="1897"/>
        <v>7194802.3094869638</v>
      </c>
      <c r="DA510" s="131">
        <f t="shared" si="1897"/>
        <v>6572551.9531182013</v>
      </c>
      <c r="DB510" s="131">
        <f t="shared" si="1897"/>
        <v>7926916.2120368369</v>
      </c>
      <c r="DC510" s="131">
        <f t="shared" si="1897"/>
        <v>8131710.4154618494</v>
      </c>
      <c r="DD510" s="131">
        <f t="shared" si="1897"/>
        <v>7512414.4864768703</v>
      </c>
      <c r="DE510" s="131">
        <f t="shared" si="1897"/>
        <v>8829321.1446365882</v>
      </c>
      <c r="DF510" s="131">
        <f t="shared" si="1897"/>
        <v>8118108.1118523162</v>
      </c>
      <c r="DG510" s="131">
        <f t="shared" si="1897"/>
        <v>7951536.1417539716</v>
      </c>
      <c r="DH510" s="131">
        <f t="shared" si="1897"/>
        <v>7884411.2011953555</v>
      </c>
      <c r="DI510" s="131">
        <f t="shared" si="1897"/>
        <v>8581419.7505137753</v>
      </c>
      <c r="DJ510" s="131">
        <f t="shared" si="1897"/>
        <v>7573381.295830952</v>
      </c>
      <c r="DK510" s="131">
        <f t="shared" si="1897"/>
        <v>6958047.5315588824</v>
      </c>
      <c r="DL510" s="131">
        <f t="shared" si="1897"/>
        <v>8815139.842187617</v>
      </c>
      <c r="DM510" s="131">
        <f t="shared" si="1897"/>
        <v>8014602.7042049132</v>
      </c>
      <c r="DN510" s="131">
        <f t="shared" si="1897"/>
        <v>9624899.1771177817</v>
      </c>
      <c r="DO510" s="131">
        <f t="shared" si="1897"/>
        <v>9831922.2870862782</v>
      </c>
      <c r="DP510" s="131">
        <f t="shared" si="1897"/>
        <v>9042068.6728269663</v>
      </c>
      <c r="DQ510" s="131">
        <f t="shared" si="1897"/>
        <v>10504480.238943798</v>
      </c>
      <c r="DR510" s="131">
        <f t="shared" ref="DR510:EC510" si="1898">SUM(DR511:DR513)</f>
        <v>9281703.6078844815</v>
      </c>
      <c r="DS510" s="131">
        <f t="shared" si="1898"/>
        <v>9083100.9003881905</v>
      </c>
      <c r="DT510" s="131">
        <f t="shared" si="1898"/>
        <v>9001130.5331464801</v>
      </c>
      <c r="DU510" s="131">
        <f t="shared" si="1898"/>
        <v>9791183.0763533562</v>
      </c>
      <c r="DV510" s="131">
        <f t="shared" si="1898"/>
        <v>8633654.6772472858</v>
      </c>
      <c r="DW510" s="131">
        <f t="shared" si="1898"/>
        <v>7923354.1257258542</v>
      </c>
      <c r="DX510" s="131">
        <f t="shared" si="1898"/>
        <v>10035340.778237797</v>
      </c>
      <c r="DY510" s="131">
        <f t="shared" si="1898"/>
        <v>9119054.0524672978</v>
      </c>
      <c r="DZ510" s="131">
        <f t="shared" si="1898"/>
        <v>10948322.81397148</v>
      </c>
      <c r="EA510" s="131">
        <f t="shared" si="1898"/>
        <v>11180834.808480643</v>
      </c>
      <c r="EB510" s="131">
        <f t="shared" si="1898"/>
        <v>10277196.610094566</v>
      </c>
      <c r="EC510" s="131">
        <f t="shared" si="1898"/>
        <v>11936255.285210794</v>
      </c>
      <c r="ED510" s="113" t="s">
        <v>1</v>
      </c>
    </row>
    <row r="511" spans="1:134" x14ac:dyDescent="0.2">
      <c r="A511" s="114" t="s">
        <v>139</v>
      </c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29">
        <v>0</v>
      </c>
      <c r="AC511" s="129">
        <v>0</v>
      </c>
      <c r="AD511" s="129">
        <v>27631.161811964059</v>
      </c>
      <c r="AE511" s="129">
        <v>116291.04316726881</v>
      </c>
      <c r="AF511" s="129">
        <v>364289.67617679824</v>
      </c>
      <c r="AG511" s="129">
        <v>900371.67180678062</v>
      </c>
      <c r="AH511" s="129">
        <v>1516316.9896393588</v>
      </c>
      <c r="AI511" s="129">
        <v>1358904.2762460494</v>
      </c>
      <c r="AJ511" s="129">
        <v>1760010.3056784063</v>
      </c>
      <c r="AK511" s="129">
        <v>2839998.76</v>
      </c>
      <c r="AL511" s="129">
        <v>2449132.304</v>
      </c>
      <c r="AM511" s="129">
        <v>17240</v>
      </c>
      <c r="AN511" s="129">
        <v>776570.06850000005</v>
      </c>
      <c r="AO511" s="129">
        <v>801771.14</v>
      </c>
      <c r="AP511" s="129">
        <v>1500846.909</v>
      </c>
      <c r="AQ511" s="129">
        <v>3090132.2456760001</v>
      </c>
      <c r="AR511" s="129">
        <v>4090582.2335999999</v>
      </c>
      <c r="AS511" s="129">
        <v>4332113.6062500002</v>
      </c>
      <c r="AT511" s="129">
        <v>5853998</v>
      </c>
      <c r="AU511" s="129">
        <v>4458501.1577000003</v>
      </c>
      <c r="AV511" s="129">
        <v>4432584</v>
      </c>
      <c r="AW511" s="129">
        <v>3256585.4434000002</v>
      </c>
      <c r="AX511" s="129">
        <v>2595409.8700000006</v>
      </c>
      <c r="AY511" s="129">
        <v>2034721.2100000002</v>
      </c>
      <c r="AZ511" s="129">
        <v>531750.40000000002</v>
      </c>
      <c r="BA511" s="129">
        <v>3563726.25</v>
      </c>
      <c r="BB511" s="129">
        <v>2353027.6</v>
      </c>
      <c r="BC511" s="129">
        <v>2939429</v>
      </c>
      <c r="BD511" s="129">
        <v>1940902</v>
      </c>
      <c r="BE511" s="129">
        <v>2624270</v>
      </c>
      <c r="BF511" s="129">
        <v>2634821.88</v>
      </c>
      <c r="BG511" s="129">
        <v>1424645</v>
      </c>
      <c r="BH511" s="129">
        <v>968175.5</v>
      </c>
      <c r="BI511" s="129">
        <v>1781537</v>
      </c>
      <c r="BJ511" s="129">
        <v>2741115</v>
      </c>
      <c r="BK511" s="129">
        <v>3113276</v>
      </c>
      <c r="BL511" s="129">
        <v>1444413.26</v>
      </c>
      <c r="BM511" s="129">
        <v>536794</v>
      </c>
      <c r="BN511" s="129">
        <v>446507</v>
      </c>
      <c r="BO511" s="129">
        <v>3659</v>
      </c>
      <c r="BP511" s="129">
        <v>4256736</v>
      </c>
      <c r="BQ511" s="129">
        <v>3317889</v>
      </c>
      <c r="BR511" s="129">
        <v>2356636</v>
      </c>
      <c r="BS511" s="129">
        <v>2918884</v>
      </c>
      <c r="BT511" s="129">
        <v>2926306</v>
      </c>
      <c r="BU511" s="129">
        <v>877848.5</v>
      </c>
      <c r="BV511" s="129">
        <v>3044927.5</v>
      </c>
      <c r="BW511" s="129">
        <v>3609706.6</v>
      </c>
      <c r="BX511" s="129">
        <v>2967615</v>
      </c>
      <c r="BY511" s="129">
        <v>2323921.5</v>
      </c>
      <c r="BZ511" s="129">
        <v>3932240</v>
      </c>
      <c r="CA511" s="129">
        <v>1429648</v>
      </c>
      <c r="CB511" s="129">
        <v>3398661</v>
      </c>
      <c r="CC511" s="129">
        <v>2183816</v>
      </c>
      <c r="CD511" s="129">
        <v>3851483</v>
      </c>
      <c r="CE511" s="129">
        <v>6735307.2800000003</v>
      </c>
      <c r="CF511" s="129">
        <v>596691</v>
      </c>
      <c r="CG511" s="129">
        <v>5132402.3499999996</v>
      </c>
      <c r="CH511" s="129">
        <v>4563479.1919999998</v>
      </c>
      <c r="CI511" s="129">
        <v>5908006.5225000009</v>
      </c>
      <c r="CJ511" s="129">
        <v>5339832.2199999988</v>
      </c>
      <c r="CK511" s="129">
        <v>8560293.4298999999</v>
      </c>
      <c r="CL511" s="129">
        <v>5361918.2</v>
      </c>
      <c r="CM511" s="129">
        <v>3232913.0299000004</v>
      </c>
      <c r="CN511" s="129">
        <v>8875304.1492999978</v>
      </c>
      <c r="CO511" s="129">
        <v>7459737.8501000004</v>
      </c>
      <c r="CP511" s="129">
        <v>4066978.1197999991</v>
      </c>
      <c r="CQ511" s="129">
        <v>5066343.3317999998</v>
      </c>
      <c r="CR511" s="129">
        <v>4779406.17</v>
      </c>
      <c r="CS511" s="129">
        <v>7737180.0800000001</v>
      </c>
      <c r="CT511" s="129">
        <f t="shared" ref="CT511:DQ511" si="1899">CT473*CT524</f>
        <v>6553432.4321016697</v>
      </c>
      <c r="CU511" s="129">
        <f t="shared" si="1899"/>
        <v>6401775.4170604572</v>
      </c>
      <c r="CV511" s="129">
        <f t="shared" si="1899"/>
        <v>6380337.4467421621</v>
      </c>
      <c r="CW511" s="129">
        <f t="shared" si="1899"/>
        <v>6950983.5915780179</v>
      </c>
      <c r="CX511" s="129">
        <f t="shared" si="1899"/>
        <v>6143053.1760657858</v>
      </c>
      <c r="CY511" s="129">
        <f t="shared" si="1899"/>
        <v>5654189.9508487927</v>
      </c>
      <c r="CZ511" s="129">
        <f t="shared" si="1899"/>
        <v>7194802.3094869638</v>
      </c>
      <c r="DA511" s="129">
        <f t="shared" si="1899"/>
        <v>6572551.9531182013</v>
      </c>
      <c r="DB511" s="129">
        <f t="shared" si="1899"/>
        <v>7926916.2120368369</v>
      </c>
      <c r="DC511" s="129">
        <f t="shared" si="1899"/>
        <v>8131710.4154618494</v>
      </c>
      <c r="DD511" s="129">
        <f t="shared" si="1899"/>
        <v>7512414.4864768703</v>
      </c>
      <c r="DE511" s="129">
        <f t="shared" si="1899"/>
        <v>8829321.1446365882</v>
      </c>
      <c r="DF511" s="129">
        <f t="shared" si="1899"/>
        <v>8118108.1118523162</v>
      </c>
      <c r="DG511" s="129">
        <f t="shared" si="1899"/>
        <v>7951536.1417539716</v>
      </c>
      <c r="DH511" s="129">
        <f t="shared" si="1899"/>
        <v>7884411.2011953555</v>
      </c>
      <c r="DI511" s="129">
        <f t="shared" si="1899"/>
        <v>8581419.7505137753</v>
      </c>
      <c r="DJ511" s="129">
        <f t="shared" si="1899"/>
        <v>7573381.295830952</v>
      </c>
      <c r="DK511" s="129">
        <f t="shared" si="1899"/>
        <v>6958047.5315588824</v>
      </c>
      <c r="DL511" s="129">
        <f t="shared" si="1899"/>
        <v>8815139.842187617</v>
      </c>
      <c r="DM511" s="129">
        <f t="shared" si="1899"/>
        <v>8014602.7042049132</v>
      </c>
      <c r="DN511" s="129">
        <f t="shared" si="1899"/>
        <v>9624899.1771177817</v>
      </c>
      <c r="DO511" s="129">
        <f t="shared" si="1899"/>
        <v>9831922.2870862782</v>
      </c>
      <c r="DP511" s="129">
        <f t="shared" si="1899"/>
        <v>9042068.6728269663</v>
      </c>
      <c r="DQ511" s="129">
        <f t="shared" si="1899"/>
        <v>10504480.238943798</v>
      </c>
      <c r="DR511" s="129">
        <f t="shared" ref="DR511:EC511" si="1900">DR473*DR524</f>
        <v>9281703.6078844815</v>
      </c>
      <c r="DS511" s="129">
        <f t="shared" si="1900"/>
        <v>9083100.9003881905</v>
      </c>
      <c r="DT511" s="129">
        <f t="shared" si="1900"/>
        <v>9001130.5331464801</v>
      </c>
      <c r="DU511" s="129">
        <f t="shared" si="1900"/>
        <v>9791183.0763533562</v>
      </c>
      <c r="DV511" s="129">
        <f t="shared" si="1900"/>
        <v>8633654.6772472858</v>
      </c>
      <c r="DW511" s="129">
        <f t="shared" si="1900"/>
        <v>7923354.1257258542</v>
      </c>
      <c r="DX511" s="129">
        <f t="shared" si="1900"/>
        <v>10035340.778237797</v>
      </c>
      <c r="DY511" s="129">
        <f t="shared" si="1900"/>
        <v>9119054.0524672978</v>
      </c>
      <c r="DZ511" s="129">
        <f t="shared" si="1900"/>
        <v>10948322.81397148</v>
      </c>
      <c r="EA511" s="129">
        <f t="shared" si="1900"/>
        <v>11180834.808480643</v>
      </c>
      <c r="EB511" s="129">
        <f t="shared" si="1900"/>
        <v>10277196.610094566</v>
      </c>
      <c r="EC511" s="129">
        <f t="shared" si="1900"/>
        <v>11936255.285210794</v>
      </c>
      <c r="ED511" s="113" t="s">
        <v>1</v>
      </c>
    </row>
    <row r="512" spans="1:134" x14ac:dyDescent="0.2">
      <c r="A512" s="114" t="s">
        <v>191</v>
      </c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29">
        <v>0</v>
      </c>
      <c r="AC512" s="129">
        <v>0</v>
      </c>
      <c r="AD512" s="129">
        <v>0</v>
      </c>
      <c r="AE512" s="129">
        <v>0</v>
      </c>
      <c r="AF512" s="129">
        <v>0</v>
      </c>
      <c r="AG512" s="129">
        <v>0</v>
      </c>
      <c r="AH512" s="129">
        <v>0</v>
      </c>
      <c r="AI512" s="129">
        <v>0</v>
      </c>
      <c r="AJ512" s="129">
        <v>0</v>
      </c>
      <c r="AK512" s="129">
        <v>21484.576271186437</v>
      </c>
      <c r="AL512" s="129">
        <v>0</v>
      </c>
      <c r="AM512" s="129">
        <v>0</v>
      </c>
      <c r="AN512" s="129">
        <v>0</v>
      </c>
      <c r="AO512" s="129">
        <v>0</v>
      </c>
      <c r="AP512" s="129">
        <v>0</v>
      </c>
      <c r="AQ512" s="129">
        <v>22976.949152542373</v>
      </c>
      <c r="AR512" s="129">
        <v>51476.949152542373</v>
      </c>
      <c r="AS512" s="129">
        <v>33770.847457627118</v>
      </c>
      <c r="AT512" s="129">
        <v>94782.681355932189</v>
      </c>
      <c r="AU512" s="129">
        <v>184911.35593220338</v>
      </c>
      <c r="AV512" s="129">
        <v>110968.47457627118</v>
      </c>
      <c r="AW512" s="129">
        <v>79527.96610169491</v>
      </c>
      <c r="AX512" s="129">
        <v>257134.06779661015</v>
      </c>
      <c r="AY512" s="129">
        <v>185083.72881355931</v>
      </c>
      <c r="AZ512" s="129">
        <v>38267.796610169491</v>
      </c>
      <c r="BA512" s="129">
        <v>0</v>
      </c>
      <c r="BB512" s="129">
        <v>237867.45762711865</v>
      </c>
      <c r="BC512" s="129">
        <v>0</v>
      </c>
      <c r="BD512" s="129">
        <v>0</v>
      </c>
      <c r="BE512" s="129">
        <v>0</v>
      </c>
      <c r="BF512" s="129">
        <v>0</v>
      </c>
      <c r="BG512" s="129">
        <v>0</v>
      </c>
      <c r="BH512" s="129">
        <v>0</v>
      </c>
      <c r="BI512" s="129">
        <v>0</v>
      </c>
      <c r="BJ512" s="129">
        <v>0</v>
      </c>
      <c r="BK512" s="129">
        <v>0</v>
      </c>
      <c r="BL512" s="129">
        <v>0</v>
      </c>
      <c r="BM512" s="129">
        <v>0</v>
      </c>
      <c r="BN512" s="129">
        <v>0</v>
      </c>
      <c r="BO512" s="129">
        <v>0</v>
      </c>
      <c r="BP512" s="129">
        <v>0</v>
      </c>
      <c r="BQ512" s="129">
        <v>0</v>
      </c>
      <c r="BR512" s="129">
        <v>0</v>
      </c>
      <c r="BS512" s="129">
        <v>0</v>
      </c>
      <c r="BT512" s="129">
        <v>0</v>
      </c>
      <c r="BU512" s="129">
        <v>0</v>
      </c>
      <c r="BV512" s="129">
        <v>0</v>
      </c>
      <c r="BW512" s="129">
        <v>0</v>
      </c>
      <c r="BX512" s="129">
        <v>0</v>
      </c>
      <c r="BY512" s="129">
        <v>0</v>
      </c>
      <c r="BZ512" s="129">
        <v>0</v>
      </c>
      <c r="CA512" s="129">
        <v>0</v>
      </c>
      <c r="CB512" s="129">
        <v>0</v>
      </c>
      <c r="CC512" s="129">
        <v>0</v>
      </c>
      <c r="CD512" s="129">
        <v>0</v>
      </c>
      <c r="CE512" s="129">
        <v>0</v>
      </c>
      <c r="CF512" s="129">
        <v>0</v>
      </c>
      <c r="CG512" s="129">
        <v>0</v>
      </c>
      <c r="CH512" s="129">
        <v>0</v>
      </c>
      <c r="CI512" s="129">
        <v>0</v>
      </c>
      <c r="CJ512" s="129">
        <v>0</v>
      </c>
      <c r="CK512" s="129">
        <v>0</v>
      </c>
      <c r="CL512" s="129">
        <v>0</v>
      </c>
      <c r="CM512" s="129">
        <v>0</v>
      </c>
      <c r="CN512" s="129">
        <v>0</v>
      </c>
      <c r="CO512" s="129">
        <v>0</v>
      </c>
      <c r="CP512" s="129">
        <v>0</v>
      </c>
      <c r="CQ512" s="129">
        <v>0</v>
      </c>
      <c r="CR512" s="129">
        <v>0</v>
      </c>
      <c r="CS512" s="129">
        <v>0</v>
      </c>
      <c r="CT512" s="129">
        <f t="shared" ref="CT512:DQ512" si="1901">CT474*CT525</f>
        <v>0</v>
      </c>
      <c r="CU512" s="129">
        <f t="shared" si="1901"/>
        <v>0</v>
      </c>
      <c r="CV512" s="129">
        <f t="shared" si="1901"/>
        <v>0</v>
      </c>
      <c r="CW512" s="129">
        <f t="shared" si="1901"/>
        <v>0</v>
      </c>
      <c r="CX512" s="129">
        <f t="shared" si="1901"/>
        <v>0</v>
      </c>
      <c r="CY512" s="129">
        <f t="shared" si="1901"/>
        <v>0</v>
      </c>
      <c r="CZ512" s="129">
        <f t="shared" si="1901"/>
        <v>0</v>
      </c>
      <c r="DA512" s="129">
        <f t="shared" si="1901"/>
        <v>0</v>
      </c>
      <c r="DB512" s="129">
        <f t="shared" si="1901"/>
        <v>0</v>
      </c>
      <c r="DC512" s="129">
        <f t="shared" si="1901"/>
        <v>0</v>
      </c>
      <c r="DD512" s="129">
        <f t="shared" si="1901"/>
        <v>0</v>
      </c>
      <c r="DE512" s="129">
        <f t="shared" si="1901"/>
        <v>0</v>
      </c>
      <c r="DF512" s="129">
        <f t="shared" si="1901"/>
        <v>0</v>
      </c>
      <c r="DG512" s="129">
        <f t="shared" si="1901"/>
        <v>0</v>
      </c>
      <c r="DH512" s="129">
        <f t="shared" si="1901"/>
        <v>0</v>
      </c>
      <c r="DI512" s="129">
        <f t="shared" si="1901"/>
        <v>0</v>
      </c>
      <c r="DJ512" s="129">
        <f t="shared" si="1901"/>
        <v>0</v>
      </c>
      <c r="DK512" s="129">
        <f t="shared" si="1901"/>
        <v>0</v>
      </c>
      <c r="DL512" s="129">
        <f t="shared" si="1901"/>
        <v>0</v>
      </c>
      <c r="DM512" s="129">
        <f t="shared" si="1901"/>
        <v>0</v>
      </c>
      <c r="DN512" s="129">
        <f t="shared" si="1901"/>
        <v>0</v>
      </c>
      <c r="DO512" s="129">
        <f t="shared" si="1901"/>
        <v>0</v>
      </c>
      <c r="DP512" s="129">
        <f t="shared" si="1901"/>
        <v>0</v>
      </c>
      <c r="DQ512" s="129">
        <f t="shared" si="1901"/>
        <v>0</v>
      </c>
      <c r="DR512" s="129">
        <f t="shared" ref="DR512:EC512" si="1902">DR474*DR525</f>
        <v>0</v>
      </c>
      <c r="DS512" s="129">
        <f t="shared" si="1902"/>
        <v>0</v>
      </c>
      <c r="DT512" s="129">
        <f t="shared" si="1902"/>
        <v>0</v>
      </c>
      <c r="DU512" s="129">
        <f t="shared" si="1902"/>
        <v>0</v>
      </c>
      <c r="DV512" s="129">
        <f t="shared" si="1902"/>
        <v>0</v>
      </c>
      <c r="DW512" s="129">
        <f t="shared" si="1902"/>
        <v>0</v>
      </c>
      <c r="DX512" s="129">
        <f t="shared" si="1902"/>
        <v>0</v>
      </c>
      <c r="DY512" s="129">
        <f t="shared" si="1902"/>
        <v>0</v>
      </c>
      <c r="DZ512" s="129">
        <f t="shared" si="1902"/>
        <v>0</v>
      </c>
      <c r="EA512" s="129">
        <f t="shared" si="1902"/>
        <v>0</v>
      </c>
      <c r="EB512" s="129">
        <f t="shared" si="1902"/>
        <v>0</v>
      </c>
      <c r="EC512" s="129">
        <f t="shared" si="1902"/>
        <v>0</v>
      </c>
      <c r="ED512" s="113" t="s">
        <v>1</v>
      </c>
    </row>
    <row r="513" spans="1:134" x14ac:dyDescent="0.2">
      <c r="A513" s="114" t="s">
        <v>140</v>
      </c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29">
        <v>0</v>
      </c>
      <c r="AC513" s="129">
        <v>0</v>
      </c>
      <c r="AD513" s="129">
        <v>0</v>
      </c>
      <c r="AE513" s="129">
        <v>0</v>
      </c>
      <c r="AF513" s="129">
        <v>0</v>
      </c>
      <c r="AG513" s="129">
        <v>0</v>
      </c>
      <c r="AH513" s="129">
        <v>0</v>
      </c>
      <c r="AI513" s="129">
        <v>0</v>
      </c>
      <c r="AJ513" s="129">
        <v>0</v>
      </c>
      <c r="AK513" s="129">
        <v>55287</v>
      </c>
      <c r="AL513" s="129">
        <v>47460.135593220337</v>
      </c>
      <c r="AM513" s="129">
        <v>0</v>
      </c>
      <c r="AN513" s="129">
        <v>23784</v>
      </c>
      <c r="AO513" s="129">
        <v>38992.796610169498</v>
      </c>
      <c r="AP513" s="129">
        <v>89672.042372881304</v>
      </c>
      <c r="AQ513" s="129">
        <v>151265.05932203381</v>
      </c>
      <c r="AR513" s="129">
        <v>149813.57627118644</v>
      </c>
      <c r="AS513" s="129">
        <v>107588.23728813561</v>
      </c>
      <c r="AT513" s="129">
        <v>209818.796610169</v>
      </c>
      <c r="AU513" s="129">
        <v>151993.09322033901</v>
      </c>
      <c r="AV513" s="129">
        <v>194710.36440677964</v>
      </c>
      <c r="AW513" s="129">
        <v>106797.01694915254</v>
      </c>
      <c r="AX513" s="129">
        <v>34818.135593220344</v>
      </c>
      <c r="AY513" s="129">
        <v>70979.686440677979</v>
      </c>
      <c r="AZ513" s="129">
        <v>90549.788135593233</v>
      </c>
      <c r="BA513" s="129">
        <v>53424.754237288136</v>
      </c>
      <c r="BB513" s="129">
        <v>41034.855932203398</v>
      </c>
      <c r="BC513" s="129">
        <v>68141.686440677979</v>
      </c>
      <c r="BD513" s="129">
        <v>58842.389830508473</v>
      </c>
      <c r="BE513" s="129">
        <v>76996.635593220344</v>
      </c>
      <c r="BF513" s="129">
        <v>23572.796610169513</v>
      </c>
      <c r="BG513" s="129">
        <v>71526.000000000015</v>
      </c>
      <c r="BH513" s="129">
        <v>0</v>
      </c>
      <c r="BI513" s="129">
        <v>21028.779661016957</v>
      </c>
      <c r="BJ513" s="129">
        <v>44407.40721088984</v>
      </c>
      <c r="BK513" s="129">
        <v>38638.033998813575</v>
      </c>
      <c r="BL513" s="129">
        <v>-128.81355932203391</v>
      </c>
      <c r="BM513" s="129">
        <v>0</v>
      </c>
      <c r="BN513" s="129">
        <v>56168.672220627159</v>
      </c>
      <c r="BO513" s="129">
        <v>63532.489406779714</v>
      </c>
      <c r="BP513" s="129">
        <v>50428.110633954791</v>
      </c>
      <c r="BQ513" s="129">
        <v>0</v>
      </c>
      <c r="BR513" s="129">
        <v>0</v>
      </c>
      <c r="BS513" s="129">
        <v>0</v>
      </c>
      <c r="BT513" s="129">
        <v>0</v>
      </c>
      <c r="BU513" s="129">
        <v>0</v>
      </c>
      <c r="BV513" s="129">
        <v>0</v>
      </c>
      <c r="BW513" s="129">
        <v>0</v>
      </c>
      <c r="BX513" s="129">
        <v>0</v>
      </c>
      <c r="BY513" s="129">
        <v>0</v>
      </c>
      <c r="BZ513" s="129">
        <v>0</v>
      </c>
      <c r="CA513" s="129">
        <v>0</v>
      </c>
      <c r="CB513" s="129">
        <v>0</v>
      </c>
      <c r="CC513" s="129">
        <v>0</v>
      </c>
      <c r="CD513" s="129">
        <v>0</v>
      </c>
      <c r="CE513" s="129">
        <v>0</v>
      </c>
      <c r="CF513" s="129">
        <v>166322</v>
      </c>
      <c r="CG513" s="129">
        <v>0</v>
      </c>
      <c r="CH513" s="129">
        <v>0</v>
      </c>
      <c r="CI513" s="129">
        <v>195698.24999999997</v>
      </c>
      <c r="CJ513" s="129">
        <v>55650.849999999962</v>
      </c>
      <c r="CK513" s="129">
        <v>309123.80000000115</v>
      </c>
      <c r="CL513" s="129">
        <v>276596.88000000006</v>
      </c>
      <c r="CM513" s="129">
        <v>245847.07</v>
      </c>
      <c r="CN513" s="129">
        <v>272215.21999999997</v>
      </c>
      <c r="CO513" s="129">
        <v>0</v>
      </c>
      <c r="CP513" s="129">
        <v>357846.94999999995</v>
      </c>
      <c r="CQ513" s="129">
        <v>130357.51999999999</v>
      </c>
      <c r="CR513" s="129">
        <v>150212.79999999993</v>
      </c>
      <c r="CS513" s="129">
        <v>288238.24999999983</v>
      </c>
      <c r="CT513" s="704">
        <f t="shared" ref="CT513:DQ513" si="1903">CT475*CT526</f>
        <v>0</v>
      </c>
      <c r="CU513" s="704">
        <f t="shared" si="1903"/>
        <v>0</v>
      </c>
      <c r="CV513" s="704">
        <f t="shared" si="1903"/>
        <v>0</v>
      </c>
      <c r="CW513" s="704">
        <f t="shared" si="1903"/>
        <v>0</v>
      </c>
      <c r="CX513" s="704">
        <f t="shared" si="1903"/>
        <v>0</v>
      </c>
      <c r="CY513" s="704">
        <f t="shared" si="1903"/>
        <v>0</v>
      </c>
      <c r="CZ513" s="704">
        <f t="shared" si="1903"/>
        <v>0</v>
      </c>
      <c r="DA513" s="704">
        <f t="shared" si="1903"/>
        <v>0</v>
      </c>
      <c r="DB513" s="704">
        <f t="shared" si="1903"/>
        <v>0</v>
      </c>
      <c r="DC513" s="704">
        <f t="shared" si="1903"/>
        <v>0</v>
      </c>
      <c r="DD513" s="704">
        <f t="shared" si="1903"/>
        <v>0</v>
      </c>
      <c r="DE513" s="704">
        <f t="shared" si="1903"/>
        <v>0</v>
      </c>
      <c r="DF513" s="704">
        <f t="shared" si="1903"/>
        <v>0</v>
      </c>
      <c r="DG513" s="704">
        <f t="shared" si="1903"/>
        <v>0</v>
      </c>
      <c r="DH513" s="704">
        <f t="shared" si="1903"/>
        <v>0</v>
      </c>
      <c r="DI513" s="704">
        <f t="shared" si="1903"/>
        <v>0</v>
      </c>
      <c r="DJ513" s="704">
        <f t="shared" si="1903"/>
        <v>0</v>
      </c>
      <c r="DK513" s="704">
        <f t="shared" si="1903"/>
        <v>0</v>
      </c>
      <c r="DL513" s="704">
        <f t="shared" si="1903"/>
        <v>0</v>
      </c>
      <c r="DM513" s="704">
        <f t="shared" si="1903"/>
        <v>0</v>
      </c>
      <c r="DN513" s="704">
        <f t="shared" si="1903"/>
        <v>0</v>
      </c>
      <c r="DO513" s="704">
        <f t="shared" si="1903"/>
        <v>0</v>
      </c>
      <c r="DP513" s="704">
        <f t="shared" si="1903"/>
        <v>0</v>
      </c>
      <c r="DQ513" s="704">
        <f t="shared" si="1903"/>
        <v>0</v>
      </c>
      <c r="DR513" s="704">
        <f t="shared" ref="DR513:EC513" si="1904">DR475*DR526</f>
        <v>0</v>
      </c>
      <c r="DS513" s="704">
        <f t="shared" si="1904"/>
        <v>0</v>
      </c>
      <c r="DT513" s="704">
        <f t="shared" si="1904"/>
        <v>0</v>
      </c>
      <c r="DU513" s="704">
        <f t="shared" si="1904"/>
        <v>0</v>
      </c>
      <c r="DV513" s="704">
        <f t="shared" si="1904"/>
        <v>0</v>
      </c>
      <c r="DW513" s="704">
        <f t="shared" si="1904"/>
        <v>0</v>
      </c>
      <c r="DX513" s="704">
        <f t="shared" si="1904"/>
        <v>0</v>
      </c>
      <c r="DY513" s="704">
        <f t="shared" si="1904"/>
        <v>0</v>
      </c>
      <c r="DZ513" s="704">
        <f t="shared" si="1904"/>
        <v>0</v>
      </c>
      <c r="EA513" s="704">
        <f t="shared" si="1904"/>
        <v>0</v>
      </c>
      <c r="EB513" s="704">
        <f t="shared" si="1904"/>
        <v>0</v>
      </c>
      <c r="EC513" s="704">
        <f t="shared" si="1904"/>
        <v>0</v>
      </c>
      <c r="ED513" s="113" t="s">
        <v>1</v>
      </c>
    </row>
    <row r="514" spans="1:134" x14ac:dyDescent="0.2">
      <c r="A514" s="117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115"/>
      <c r="AR514" s="115"/>
      <c r="AS514" s="115"/>
      <c r="AT514" s="115"/>
      <c r="AU514" s="115"/>
      <c r="AV514" s="115"/>
      <c r="AW514" s="115"/>
      <c r="AX514" s="115"/>
      <c r="AY514" s="115"/>
      <c r="AZ514" s="115"/>
      <c r="BA514" s="115"/>
      <c r="BB514" s="115"/>
      <c r="BC514" s="115"/>
      <c r="BD514" s="115"/>
      <c r="BE514" s="115"/>
      <c r="BF514" s="115"/>
      <c r="BG514" s="115"/>
      <c r="BH514" s="115"/>
      <c r="BI514" s="115"/>
      <c r="BJ514" s="115"/>
      <c r="BK514" s="115"/>
      <c r="BL514" s="115"/>
      <c r="BM514" s="115"/>
      <c r="BN514" s="115"/>
      <c r="BO514" s="115"/>
      <c r="BP514" s="115"/>
      <c r="BQ514" s="115"/>
      <c r="BR514" s="115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115"/>
      <c r="CC514" s="115"/>
      <c r="CD514" s="115"/>
      <c r="CE514" s="115"/>
      <c r="CF514" s="115"/>
      <c r="CG514" s="115"/>
      <c r="CH514" s="115"/>
      <c r="CI514" s="115"/>
      <c r="CJ514" s="115"/>
      <c r="CK514" s="115"/>
      <c r="CL514" s="115"/>
      <c r="CM514" s="115"/>
      <c r="CN514" s="115"/>
      <c r="CO514" s="115"/>
      <c r="CP514" s="115"/>
      <c r="CQ514" s="115"/>
      <c r="CR514" s="115"/>
      <c r="CS514" s="115"/>
      <c r="CT514" s="115"/>
      <c r="CU514" s="115"/>
      <c r="CV514" s="115"/>
      <c r="CW514" s="115"/>
      <c r="CX514" s="115"/>
      <c r="CY514" s="115"/>
      <c r="CZ514" s="115"/>
      <c r="DA514" s="115"/>
      <c r="DB514" s="115"/>
      <c r="DC514" s="115"/>
      <c r="DD514" s="115"/>
      <c r="DE514" s="115"/>
      <c r="DF514" s="115"/>
      <c r="DG514" s="115"/>
      <c r="DH514" s="115"/>
      <c r="DI514" s="115"/>
      <c r="DJ514" s="115"/>
      <c r="DK514" s="115"/>
      <c r="DL514" s="115"/>
      <c r="DM514" s="115"/>
      <c r="DN514" s="115"/>
      <c r="DO514" s="115"/>
      <c r="DP514" s="115"/>
      <c r="DQ514" s="115"/>
      <c r="DR514" s="115"/>
      <c r="DS514" s="115"/>
      <c r="DT514" s="115"/>
      <c r="DU514" s="115"/>
      <c r="DV514" s="115"/>
      <c r="DW514" s="115"/>
      <c r="DX514" s="115"/>
      <c r="DY514" s="115"/>
      <c r="DZ514" s="115"/>
      <c r="EA514" s="115"/>
      <c r="EB514" s="115"/>
      <c r="EC514" s="645"/>
      <c r="ED514" s="113" t="s">
        <v>1</v>
      </c>
    </row>
    <row r="515" spans="1:134" x14ac:dyDescent="0.2">
      <c r="A515" s="116" t="s">
        <v>100</v>
      </c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15"/>
      <c r="AU515" s="115"/>
      <c r="AV515" s="115"/>
      <c r="AW515" s="115"/>
      <c r="AX515" s="115"/>
      <c r="AY515" s="115"/>
      <c r="AZ515" s="115"/>
      <c r="BA515" s="115"/>
      <c r="BB515" s="115"/>
      <c r="BC515" s="115"/>
      <c r="BD515" s="115"/>
      <c r="BE515" s="115"/>
      <c r="BF515" s="115"/>
      <c r="BG515" s="115"/>
      <c r="BH515" s="115"/>
      <c r="BI515" s="115"/>
      <c r="BJ515" s="115"/>
      <c r="BK515" s="115"/>
      <c r="BL515" s="115"/>
      <c r="BM515" s="115"/>
      <c r="BN515" s="115"/>
      <c r="BO515" s="115"/>
      <c r="BP515" s="115"/>
      <c r="BQ515" s="115"/>
      <c r="BR515" s="115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115"/>
      <c r="CC515" s="115"/>
      <c r="CD515" s="115"/>
      <c r="CE515" s="115"/>
      <c r="CF515" s="115"/>
      <c r="CG515" s="115"/>
      <c r="CH515" s="115"/>
      <c r="CI515" s="115"/>
      <c r="CJ515" s="115"/>
      <c r="CK515" s="115"/>
      <c r="CL515" s="115"/>
      <c r="CM515" s="115"/>
      <c r="CN515" s="115"/>
      <c r="CO515" s="115"/>
      <c r="CP515" s="115"/>
      <c r="CQ515" s="115"/>
      <c r="CR515" s="115"/>
      <c r="CS515" s="115"/>
      <c r="CT515" s="115"/>
      <c r="CU515" s="115"/>
      <c r="CV515" s="115"/>
      <c r="CW515" s="115"/>
      <c r="CX515" s="115"/>
      <c r="CY515" s="115"/>
      <c r="CZ515" s="115"/>
      <c r="DA515" s="115"/>
      <c r="DB515" s="115"/>
      <c r="DC515" s="115"/>
      <c r="DD515" s="115"/>
      <c r="DE515" s="115"/>
      <c r="DF515" s="115"/>
      <c r="DG515" s="115"/>
      <c r="DH515" s="115"/>
      <c r="DI515" s="115"/>
      <c r="DJ515" s="115"/>
      <c r="DK515" s="115"/>
      <c r="DL515" s="115"/>
      <c r="DM515" s="115"/>
      <c r="DN515" s="115"/>
      <c r="DO515" s="115"/>
      <c r="DP515" s="115"/>
      <c r="DQ515" s="115"/>
      <c r="DR515" s="115"/>
      <c r="DS515" s="115"/>
      <c r="DT515" s="115"/>
      <c r="DU515" s="115"/>
      <c r="DV515" s="115"/>
      <c r="DW515" s="115"/>
      <c r="DX515" s="115"/>
      <c r="DY515" s="115"/>
      <c r="DZ515" s="115"/>
      <c r="EA515" s="115"/>
      <c r="EB515" s="115"/>
      <c r="EC515" s="645"/>
      <c r="ED515" s="113" t="s">
        <v>1</v>
      </c>
    </row>
    <row r="516" spans="1:134" x14ac:dyDescent="0.2">
      <c r="A516" s="116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15"/>
      <c r="AU516" s="115"/>
      <c r="AV516" s="115"/>
      <c r="AW516" s="115"/>
      <c r="AX516" s="115"/>
      <c r="AY516" s="115"/>
      <c r="AZ516" s="115"/>
      <c r="BA516" s="115"/>
      <c r="BB516" s="115"/>
      <c r="BC516" s="115"/>
      <c r="BD516" s="115"/>
      <c r="BE516" s="115"/>
      <c r="BF516" s="115"/>
      <c r="BG516" s="115"/>
      <c r="BH516" s="115"/>
      <c r="BI516" s="115"/>
      <c r="BJ516" s="115"/>
      <c r="BK516" s="115"/>
      <c r="BL516" s="115"/>
      <c r="BM516" s="115"/>
      <c r="BN516" s="115"/>
      <c r="BO516" s="115"/>
      <c r="BP516" s="115"/>
      <c r="BQ516" s="115"/>
      <c r="BR516" s="115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115"/>
      <c r="CC516" s="115"/>
      <c r="CD516" s="115"/>
      <c r="CE516" s="115"/>
      <c r="CF516" s="115"/>
      <c r="CG516" s="115"/>
      <c r="CH516" s="115"/>
      <c r="CI516" s="115"/>
      <c r="CJ516" s="115"/>
      <c r="CK516" s="115"/>
      <c r="CL516" s="115"/>
      <c r="CM516" s="115"/>
      <c r="CN516" s="115"/>
      <c r="CO516" s="115"/>
      <c r="CP516" s="115"/>
      <c r="CQ516" s="115"/>
      <c r="CR516" s="115"/>
      <c r="CS516" s="115"/>
      <c r="CT516" s="115"/>
      <c r="CU516" s="115"/>
      <c r="CV516" s="115"/>
      <c r="CW516" s="115"/>
      <c r="CX516" s="115"/>
      <c r="CY516" s="115"/>
      <c r="CZ516" s="115"/>
      <c r="DA516" s="115"/>
      <c r="DB516" s="115"/>
      <c r="DC516" s="115"/>
      <c r="DD516" s="115"/>
      <c r="DE516" s="115"/>
      <c r="DF516" s="115"/>
      <c r="DG516" s="115"/>
      <c r="DH516" s="115"/>
      <c r="DI516" s="115"/>
      <c r="DJ516" s="115"/>
      <c r="DK516" s="115"/>
      <c r="DL516" s="115"/>
      <c r="DM516" s="115"/>
      <c r="DN516" s="115"/>
      <c r="DO516" s="115"/>
      <c r="DP516" s="115"/>
      <c r="DQ516" s="115"/>
      <c r="DR516" s="115"/>
      <c r="DS516" s="115"/>
      <c r="DT516" s="115"/>
      <c r="DU516" s="115"/>
      <c r="DV516" s="115"/>
      <c r="DW516" s="115"/>
      <c r="DX516" s="115"/>
      <c r="DY516" s="115"/>
      <c r="DZ516" s="115"/>
      <c r="EA516" s="115"/>
      <c r="EB516" s="115"/>
      <c r="EC516" s="645"/>
      <c r="ED516" s="113" t="s">
        <v>1</v>
      </c>
    </row>
    <row r="517" spans="1:134" x14ac:dyDescent="0.2">
      <c r="A517" s="116" t="s">
        <v>19</v>
      </c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15"/>
      <c r="AU517" s="115"/>
      <c r="AV517" s="115"/>
      <c r="AW517" s="115"/>
      <c r="AX517" s="115"/>
      <c r="AY517" s="115"/>
      <c r="AZ517" s="115"/>
      <c r="BA517" s="115"/>
      <c r="BB517" s="115"/>
      <c r="BC517" s="115"/>
      <c r="BD517" s="115"/>
      <c r="BE517" s="115"/>
      <c r="BF517" s="115"/>
      <c r="BG517" s="115"/>
      <c r="BH517" s="115"/>
      <c r="BI517" s="115"/>
      <c r="BJ517" s="115"/>
      <c r="BK517" s="115"/>
      <c r="BL517" s="115"/>
      <c r="BM517" s="115"/>
      <c r="BN517" s="115"/>
      <c r="BO517" s="115"/>
      <c r="BP517" s="115"/>
      <c r="BQ517" s="115"/>
      <c r="BR517" s="115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115"/>
      <c r="CD517" s="115"/>
      <c r="CE517" s="115"/>
      <c r="CF517" s="115"/>
      <c r="CG517" s="115"/>
      <c r="CH517" s="115"/>
      <c r="CI517" s="115"/>
      <c r="CJ517" s="115"/>
      <c r="CK517" s="115"/>
      <c r="CL517" s="115"/>
      <c r="CM517" s="115"/>
      <c r="CN517" s="115"/>
      <c r="CO517" s="115"/>
      <c r="CP517" s="115"/>
      <c r="CQ517" s="115"/>
      <c r="CR517" s="115"/>
      <c r="CS517" s="115"/>
      <c r="CT517" s="115"/>
      <c r="CU517" s="115"/>
      <c r="CV517" s="115"/>
      <c r="CW517" s="115"/>
      <c r="CX517" s="115"/>
      <c r="CY517" s="115"/>
      <c r="CZ517" s="115"/>
      <c r="DA517" s="115"/>
      <c r="DB517" s="115"/>
      <c r="DC517" s="115"/>
      <c r="DD517" s="115"/>
      <c r="DE517" s="115"/>
      <c r="DF517" s="115"/>
      <c r="DG517" s="115"/>
      <c r="DH517" s="115"/>
      <c r="DI517" s="115"/>
      <c r="DJ517" s="115"/>
      <c r="DK517" s="115"/>
      <c r="DL517" s="115"/>
      <c r="DM517" s="115"/>
      <c r="DN517" s="115"/>
      <c r="DO517" s="115"/>
      <c r="DP517" s="115"/>
      <c r="DQ517" s="115"/>
      <c r="DR517" s="115"/>
      <c r="DS517" s="115"/>
      <c r="DT517" s="115"/>
      <c r="DU517" s="115"/>
      <c r="DV517" s="115"/>
      <c r="DW517" s="115"/>
      <c r="DX517" s="115"/>
      <c r="DY517" s="115"/>
      <c r="DZ517" s="115"/>
      <c r="EA517" s="115"/>
      <c r="EB517" s="115"/>
      <c r="EC517" s="645"/>
      <c r="ED517" s="113" t="s">
        <v>1</v>
      </c>
    </row>
    <row r="518" spans="1:134" x14ac:dyDescent="0.2">
      <c r="A518" s="740" t="s">
        <v>192</v>
      </c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15"/>
      <c r="AU518" s="115"/>
      <c r="AV518" s="115"/>
      <c r="AW518" s="115"/>
      <c r="AX518" s="115"/>
      <c r="AY518" s="115"/>
      <c r="AZ518" s="115"/>
      <c r="BA518" s="115"/>
      <c r="BB518" s="115"/>
      <c r="BC518" s="115"/>
      <c r="BD518" s="115"/>
      <c r="BE518" s="115"/>
      <c r="BF518" s="115"/>
      <c r="BG518" s="115"/>
      <c r="BH518" s="115"/>
      <c r="BI518" s="115"/>
      <c r="BJ518" s="115"/>
      <c r="BK518" s="115"/>
      <c r="BL518" s="115"/>
      <c r="BM518" s="115"/>
      <c r="BN518" s="115"/>
      <c r="BO518" s="115"/>
      <c r="BP518" s="115"/>
      <c r="BQ518" s="115"/>
      <c r="BR518" s="115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115"/>
      <c r="CC518" s="115"/>
      <c r="CD518" s="115"/>
      <c r="CE518" s="115"/>
      <c r="CF518" s="115"/>
      <c r="CG518" s="115"/>
      <c r="CH518" s="115"/>
      <c r="CI518" s="115"/>
      <c r="CJ518" s="115"/>
      <c r="CK518" s="115"/>
      <c r="CL518" s="115"/>
      <c r="CM518" s="115"/>
      <c r="CN518" s="115"/>
      <c r="CO518" s="115"/>
      <c r="CP518" s="115"/>
      <c r="CQ518" s="115"/>
      <c r="CR518" s="115"/>
      <c r="CS518" s="115"/>
      <c r="CT518" s="115"/>
      <c r="CU518" s="115"/>
      <c r="CV518" s="115"/>
      <c r="CW518" s="115"/>
      <c r="CX518" s="115"/>
      <c r="CY518" s="115"/>
      <c r="CZ518" s="115"/>
      <c r="DA518" s="115"/>
      <c r="DB518" s="115"/>
      <c r="DC518" s="115"/>
      <c r="DD518" s="115"/>
      <c r="DE518" s="115"/>
      <c r="DF518" s="115"/>
      <c r="DG518" s="115"/>
      <c r="DH518" s="115"/>
      <c r="DI518" s="115"/>
      <c r="DJ518" s="115"/>
      <c r="DK518" s="115"/>
      <c r="DL518" s="115"/>
      <c r="DM518" s="115"/>
      <c r="DN518" s="115"/>
      <c r="DO518" s="115"/>
      <c r="DP518" s="115"/>
      <c r="DQ518" s="115"/>
      <c r="DR518" s="115"/>
      <c r="DS518" s="115"/>
      <c r="DT518" s="115"/>
      <c r="DU518" s="115"/>
      <c r="DV518" s="115"/>
      <c r="DW518" s="115"/>
      <c r="DX518" s="115"/>
      <c r="DY518" s="115"/>
      <c r="DZ518" s="115"/>
      <c r="EA518" s="115"/>
      <c r="EB518" s="115"/>
      <c r="EC518" s="645"/>
      <c r="ED518" s="113" t="s">
        <v>1</v>
      </c>
    </row>
    <row r="519" spans="1:134" x14ac:dyDescent="0.2">
      <c r="A519" s="741" t="s">
        <v>139</v>
      </c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33">
        <f t="shared" ref="AB519:AG519" si="1905">AB506/AB468</f>
        <v>0.64934655106858374</v>
      </c>
      <c r="AC519" s="133">
        <f t="shared" si="1905"/>
        <v>0.67632989839691149</v>
      </c>
      <c r="AD519" s="133">
        <f t="shared" si="1905"/>
        <v>0.69266561077793776</v>
      </c>
      <c r="AE519" s="133">
        <f t="shared" si="1905"/>
        <v>0.72268606169453264</v>
      </c>
      <c r="AF519" s="133">
        <f t="shared" si="1905"/>
        <v>0.76130687511117945</v>
      </c>
      <c r="AG519" s="133">
        <f t="shared" si="1905"/>
        <v>0.750914601370403</v>
      </c>
      <c r="AH519" s="133">
        <f t="shared" ref="AH519:BE519" si="1906">AH506/AH468</f>
        <v>0.80557200610573387</v>
      </c>
      <c r="AI519" s="133">
        <f t="shared" si="1906"/>
        <v>0.78802010266930411</v>
      </c>
      <c r="AJ519" s="133">
        <f t="shared" si="1906"/>
        <v>0.77088755112781804</v>
      </c>
      <c r="AK519" s="133">
        <f t="shared" si="1906"/>
        <v>0.74283797447146038</v>
      </c>
      <c r="AL519" s="133">
        <f t="shared" si="1906"/>
        <v>0.73054345970961865</v>
      </c>
      <c r="AM519" s="133">
        <f t="shared" si="1906"/>
        <v>0.71401126403774529</v>
      </c>
      <c r="AN519" s="133">
        <f t="shared" si="1906"/>
        <v>0.69807269723711962</v>
      </c>
      <c r="AO519" s="133">
        <f t="shared" si="1906"/>
        <v>0.66960784965776743</v>
      </c>
      <c r="AP519" s="133">
        <f t="shared" si="1906"/>
        <v>0.69276005703162247</v>
      </c>
      <c r="AQ519" s="133">
        <f t="shared" si="1906"/>
        <v>0.72412991676913563</v>
      </c>
      <c r="AR519" s="133">
        <f t="shared" si="1906"/>
        <v>0.71578366381367708</v>
      </c>
      <c r="AS519" s="133">
        <f t="shared" si="1906"/>
        <v>0.6983291834608224</v>
      </c>
      <c r="AT519" s="133">
        <f t="shared" si="1906"/>
        <v>0.70579548111891155</v>
      </c>
      <c r="AU519" s="133">
        <f t="shared" si="1906"/>
        <v>0.72661530871629931</v>
      </c>
      <c r="AV519" s="133">
        <f t="shared" si="1906"/>
        <v>0.7052079232868772</v>
      </c>
      <c r="AW519" s="133">
        <f t="shared" si="1906"/>
        <v>0.71647645348496469</v>
      </c>
      <c r="AX519" s="133">
        <f t="shared" si="1906"/>
        <v>0.73257448806200665</v>
      </c>
      <c r="AY519" s="133">
        <f t="shared" si="1906"/>
        <v>0.74450785092120109</v>
      </c>
      <c r="AZ519" s="133">
        <f t="shared" si="1906"/>
        <v>0.74371701293826054</v>
      </c>
      <c r="BA519" s="133">
        <f t="shared" si="1906"/>
        <v>0.74388451014449286</v>
      </c>
      <c r="BB519" s="133">
        <f t="shared" si="1906"/>
        <v>0.76896052472851439</v>
      </c>
      <c r="BC519" s="133">
        <f t="shared" si="1906"/>
        <v>0.78855453241946871</v>
      </c>
      <c r="BD519" s="133">
        <f t="shared" si="1906"/>
        <v>0.78424704308665361</v>
      </c>
      <c r="BE519" s="133">
        <f t="shared" si="1906"/>
        <v>0.78464009397579015</v>
      </c>
      <c r="BF519" s="133">
        <f t="shared" ref="BF519:BU519" si="1907">BF506/BF468</f>
        <v>0.77729689869743179</v>
      </c>
      <c r="BG519" s="133">
        <f t="shared" si="1907"/>
        <v>0.77960448399038174</v>
      </c>
      <c r="BH519" s="133">
        <f t="shared" si="1907"/>
        <v>0.77417325105827661</v>
      </c>
      <c r="BI519" s="133">
        <f t="shared" si="1907"/>
        <v>0.7799155041702065</v>
      </c>
      <c r="BJ519" s="133">
        <f t="shared" si="1907"/>
        <v>0.78686270357272436</v>
      </c>
      <c r="BK519" s="133">
        <f t="shared" si="1907"/>
        <v>0.76796665143168841</v>
      </c>
      <c r="BL519" s="133">
        <f t="shared" si="1907"/>
        <v>0.75316987085883125</v>
      </c>
      <c r="BM519" s="133">
        <f t="shared" si="1907"/>
        <v>0.75038383439890621</v>
      </c>
      <c r="BN519" s="133">
        <f t="shared" si="1907"/>
        <v>0.73807310192134534</v>
      </c>
      <c r="BO519" s="133">
        <f t="shared" si="1907"/>
        <v>0.76359319092366018</v>
      </c>
      <c r="BP519" s="133">
        <f t="shared" si="1907"/>
        <v>0.77962156208189071</v>
      </c>
      <c r="BQ519" s="133">
        <f t="shared" si="1907"/>
        <v>0.75651758986375495</v>
      </c>
      <c r="BR519" s="133">
        <f t="shared" si="1907"/>
        <v>0.74782011123026704</v>
      </c>
      <c r="BS519" s="133">
        <f t="shared" si="1907"/>
        <v>0.72435870657095247</v>
      </c>
      <c r="BT519" s="133">
        <f t="shared" si="1907"/>
        <v>0.67523072752395819</v>
      </c>
      <c r="BU519" s="133">
        <f t="shared" si="1907"/>
        <v>0.69285166281444976</v>
      </c>
      <c r="BV519" s="133">
        <f t="shared" ref="BV519:CS519" si="1908">BV506/BV468</f>
        <v>0.71612091662747834</v>
      </c>
      <c r="BW519" s="133">
        <f t="shared" si="1908"/>
        <v>0.70496858385244165</v>
      </c>
      <c r="BX519" s="133">
        <f t="shared" si="1908"/>
        <v>0.70446610905655938</v>
      </c>
      <c r="BY519" s="133">
        <f t="shared" si="1908"/>
        <v>0.69801123726532177</v>
      </c>
      <c r="BZ519" s="133">
        <f t="shared" si="1908"/>
        <v>0.69476511203367763</v>
      </c>
      <c r="CA519" s="133">
        <f t="shared" si="1908"/>
        <v>0.70132486491927803</v>
      </c>
      <c r="CB519" s="133">
        <f t="shared" si="1908"/>
        <v>0.73139152735194124</v>
      </c>
      <c r="CC519" s="133">
        <f t="shared" si="1908"/>
        <v>0.71688881976479535</v>
      </c>
      <c r="CD519" s="133">
        <f t="shared" si="1908"/>
        <v>0.72309823483323721</v>
      </c>
      <c r="CE519" s="133">
        <f t="shared" si="1908"/>
        <v>0.73352151373743812</v>
      </c>
      <c r="CF519" s="133">
        <f t="shared" si="1908"/>
        <v>0.7354988169067197</v>
      </c>
      <c r="CG519" s="133">
        <f t="shared" si="1908"/>
        <v>0.73787606080599399</v>
      </c>
      <c r="CH519" s="133">
        <f t="shared" si="1908"/>
        <v>0.73492038740698828</v>
      </c>
      <c r="CI519" s="133">
        <f t="shared" si="1908"/>
        <v>0.74681385721247162</v>
      </c>
      <c r="CJ519" s="133">
        <f t="shared" si="1908"/>
        <v>0.73122860045906268</v>
      </c>
      <c r="CK519" s="133">
        <f t="shared" si="1908"/>
        <v>0.73792534658893394</v>
      </c>
      <c r="CL519" s="133">
        <f t="shared" si="1908"/>
        <v>0.70100923841257945</v>
      </c>
      <c r="CM519" s="133">
        <f t="shared" si="1908"/>
        <v>0.69996488500653598</v>
      </c>
      <c r="CN519" s="133">
        <f t="shared" si="1908"/>
        <v>0.71718627469173146</v>
      </c>
      <c r="CO519" s="133">
        <f t="shared" si="1908"/>
        <v>0.7202957891305084</v>
      </c>
      <c r="CP519" s="133">
        <f t="shared" si="1908"/>
        <v>0.73504362958792646</v>
      </c>
      <c r="CQ519" s="133">
        <f t="shared" si="1908"/>
        <v>0.7303869347873484</v>
      </c>
      <c r="CR519" s="133">
        <f t="shared" si="1908"/>
        <v>0.73748175356230039</v>
      </c>
      <c r="CS519" s="133">
        <f t="shared" si="1908"/>
        <v>0.75209092852475568</v>
      </c>
      <c r="CT519" s="133">
        <f>AVERAGE(CH519:CS519)</f>
        <v>0.72869563544759541</v>
      </c>
      <c r="CU519" s="133">
        <f t="shared" ref="CU519:DQ521" si="1909">CT519</f>
        <v>0.72869563544759541</v>
      </c>
      <c r="CV519" s="133">
        <f t="shared" si="1909"/>
        <v>0.72869563544759541</v>
      </c>
      <c r="CW519" s="133">
        <f t="shared" si="1909"/>
        <v>0.72869563544759541</v>
      </c>
      <c r="CX519" s="133">
        <f t="shared" si="1909"/>
        <v>0.72869563544759541</v>
      </c>
      <c r="CY519" s="133">
        <f t="shared" si="1909"/>
        <v>0.72869563544759541</v>
      </c>
      <c r="CZ519" s="133">
        <f t="shared" si="1909"/>
        <v>0.72869563544759541</v>
      </c>
      <c r="DA519" s="133">
        <f t="shared" si="1909"/>
        <v>0.72869563544759541</v>
      </c>
      <c r="DB519" s="133">
        <f t="shared" si="1909"/>
        <v>0.72869563544759541</v>
      </c>
      <c r="DC519" s="133">
        <f t="shared" si="1909"/>
        <v>0.72869563544759541</v>
      </c>
      <c r="DD519" s="133">
        <f t="shared" si="1909"/>
        <v>0.72869563544759541</v>
      </c>
      <c r="DE519" s="133">
        <f t="shared" si="1909"/>
        <v>0.72869563544759541</v>
      </c>
      <c r="DF519" s="133">
        <f t="shared" si="1909"/>
        <v>0.72869563544759541</v>
      </c>
      <c r="DG519" s="133">
        <f t="shared" si="1909"/>
        <v>0.72869563544759541</v>
      </c>
      <c r="DH519" s="133">
        <f t="shared" si="1909"/>
        <v>0.72869563544759541</v>
      </c>
      <c r="DI519" s="133">
        <f t="shared" si="1909"/>
        <v>0.72869563544759541</v>
      </c>
      <c r="DJ519" s="133">
        <f t="shared" si="1909"/>
        <v>0.72869563544759541</v>
      </c>
      <c r="DK519" s="133">
        <f t="shared" si="1909"/>
        <v>0.72869563544759541</v>
      </c>
      <c r="DL519" s="133">
        <f t="shared" si="1909"/>
        <v>0.72869563544759541</v>
      </c>
      <c r="DM519" s="133">
        <f t="shared" si="1909"/>
        <v>0.72869563544759541</v>
      </c>
      <c r="DN519" s="133">
        <f t="shared" si="1909"/>
        <v>0.72869563544759541</v>
      </c>
      <c r="DO519" s="133">
        <f t="shared" si="1909"/>
        <v>0.72869563544759541</v>
      </c>
      <c r="DP519" s="133">
        <f t="shared" si="1909"/>
        <v>0.72869563544759541</v>
      </c>
      <c r="DQ519" s="133">
        <f t="shared" si="1909"/>
        <v>0.72869563544759541</v>
      </c>
      <c r="DR519" s="133">
        <f t="shared" ref="DR519:DR521" si="1910">DQ519</f>
        <v>0.72869563544759541</v>
      </c>
      <c r="DS519" s="133">
        <f t="shared" ref="DS519:DS521" si="1911">DR519</f>
        <v>0.72869563544759541</v>
      </c>
      <c r="DT519" s="133">
        <f t="shared" ref="DT519:DT521" si="1912">DS519</f>
        <v>0.72869563544759541</v>
      </c>
      <c r="DU519" s="133">
        <f t="shared" ref="DU519:DU521" si="1913">DT519</f>
        <v>0.72869563544759541</v>
      </c>
      <c r="DV519" s="133">
        <f t="shared" ref="DV519:DV521" si="1914">DU519</f>
        <v>0.72869563544759541</v>
      </c>
      <c r="DW519" s="133">
        <f t="shared" ref="DW519:DW521" si="1915">DV519</f>
        <v>0.72869563544759541</v>
      </c>
      <c r="DX519" s="133">
        <f t="shared" ref="DX519:DX521" si="1916">DW519</f>
        <v>0.72869563544759541</v>
      </c>
      <c r="DY519" s="133">
        <f t="shared" ref="DY519:DY521" si="1917">DX519</f>
        <v>0.72869563544759541</v>
      </c>
      <c r="DZ519" s="133">
        <f t="shared" ref="DZ519:DZ521" si="1918">DY519</f>
        <v>0.72869563544759541</v>
      </c>
      <c r="EA519" s="133">
        <f t="shared" ref="EA519:EA521" si="1919">DZ519</f>
        <v>0.72869563544759541</v>
      </c>
      <c r="EB519" s="133">
        <f t="shared" ref="EB519:EB521" si="1920">EA519</f>
        <v>0.72869563544759541</v>
      </c>
      <c r="EC519" s="133">
        <f t="shared" ref="EC519:EC521" si="1921">EB519</f>
        <v>0.72869563544759541</v>
      </c>
      <c r="ED519" s="113" t="s">
        <v>1</v>
      </c>
    </row>
    <row r="520" spans="1:134" x14ac:dyDescent="0.2">
      <c r="A520" s="741" t="s">
        <v>191</v>
      </c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33">
        <f t="shared" ref="AB520:AG520" si="1922">AB507/AB469</f>
        <v>0.4820000000000001</v>
      </c>
      <c r="AC520" s="133">
        <f t="shared" si="1922"/>
        <v>0.45593333194987196</v>
      </c>
      <c r="AD520" s="133">
        <f t="shared" si="1922"/>
        <v>0.47472094736823955</v>
      </c>
      <c r="AE520" s="133">
        <f t="shared" si="1922"/>
        <v>0.48070020825068749</v>
      </c>
      <c r="AF520" s="133">
        <f t="shared" si="1922"/>
        <v>0.50563995878515211</v>
      </c>
      <c r="AG520" s="133">
        <f t="shared" si="1922"/>
        <v>0.52445431082443261</v>
      </c>
      <c r="AH520" s="133">
        <f t="shared" ref="AH520:BE520" si="1923">AH507/AH469</f>
        <v>0.58682685525372391</v>
      </c>
      <c r="AI520" s="133">
        <f t="shared" si="1923"/>
        <v>0.55343149913030298</v>
      </c>
      <c r="AJ520" s="133">
        <f t="shared" si="1923"/>
        <v>0.6139858794293358</v>
      </c>
      <c r="AK520" s="133">
        <f t="shared" si="1923"/>
        <v>0.44</v>
      </c>
      <c r="AL520" s="133">
        <f t="shared" si="1923"/>
        <v>0.48799999999999999</v>
      </c>
      <c r="AM520" s="133"/>
      <c r="AN520" s="133">
        <f t="shared" si="1923"/>
        <v>0.4546</v>
      </c>
      <c r="AO520" s="133">
        <f t="shared" si="1923"/>
        <v>0.47999999999999993</v>
      </c>
      <c r="AP520" s="133">
        <f t="shared" si="1923"/>
        <v>0.48</v>
      </c>
      <c r="AQ520" s="133">
        <f t="shared" si="1923"/>
        <v>0.54789999999999994</v>
      </c>
      <c r="AR520" s="133">
        <f t="shared" si="1923"/>
        <v>0.52990000000000004</v>
      </c>
      <c r="AS520" s="133">
        <f t="shared" si="1923"/>
        <v>0.53780000000000006</v>
      </c>
      <c r="AT520" s="133">
        <f t="shared" si="1923"/>
        <v>0.53</v>
      </c>
      <c r="AU520" s="133">
        <f t="shared" si="1923"/>
        <v>0.61</v>
      </c>
      <c r="AV520" s="133">
        <f t="shared" si="1923"/>
        <v>0.62</v>
      </c>
      <c r="AW520" s="133">
        <f t="shared" si="1923"/>
        <v>0.62</v>
      </c>
      <c r="AX520" s="133">
        <f t="shared" si="1923"/>
        <v>0.62</v>
      </c>
      <c r="AY520" s="133">
        <f t="shared" si="1923"/>
        <v>0.62</v>
      </c>
      <c r="AZ520" s="133">
        <f t="shared" si="1923"/>
        <v>0.55000000000000004</v>
      </c>
      <c r="BA520" s="133">
        <f t="shared" si="1923"/>
        <v>0.6</v>
      </c>
      <c r="BB520" s="133">
        <f t="shared" si="1923"/>
        <v>0.67337681725306486</v>
      </c>
      <c r="BC520" s="133">
        <f t="shared" si="1923"/>
        <v>0.66960751219468961</v>
      </c>
      <c r="BD520" s="133">
        <f t="shared" si="1923"/>
        <v>0.67400248025667475</v>
      </c>
      <c r="BE520" s="133">
        <f t="shared" si="1923"/>
        <v>0.65578075373085221</v>
      </c>
      <c r="BF520" s="133">
        <f t="shared" ref="BF520:BU520" si="1924">BF507/BF469</f>
        <v>0.58937795571023754</v>
      </c>
      <c r="BG520" s="133">
        <f t="shared" si="1924"/>
        <v>0.56197227070765254</v>
      </c>
      <c r="BH520" s="133">
        <f t="shared" si="1924"/>
        <v>0.57668213664102042</v>
      </c>
      <c r="BI520" s="133">
        <f t="shared" si="1924"/>
        <v>0.57604521356414218</v>
      </c>
      <c r="BJ520" s="133">
        <f t="shared" si="1924"/>
        <v>0.5447684991778835</v>
      </c>
      <c r="BK520" s="133">
        <f t="shared" si="1924"/>
        <v>0.54462254373903474</v>
      </c>
      <c r="BL520" s="133">
        <f t="shared" si="1924"/>
        <v>0.61033481718627491</v>
      </c>
      <c r="BM520" s="133">
        <f t="shared" si="1924"/>
        <v>0.54688172156508452</v>
      </c>
      <c r="BN520" s="133">
        <f t="shared" si="1924"/>
        <v>0.55971581687452199</v>
      </c>
      <c r="BO520" s="133">
        <f t="shared" si="1924"/>
        <v>0.56518934135645371</v>
      </c>
      <c r="BP520" s="133">
        <f t="shared" si="1924"/>
        <v>0.56723775087453066</v>
      </c>
      <c r="BQ520" s="133">
        <f t="shared" si="1924"/>
        <v>0.53966218282595357</v>
      </c>
      <c r="BR520" s="133">
        <f t="shared" si="1924"/>
        <v>0.54630084144232338</v>
      </c>
      <c r="BS520" s="133">
        <f t="shared" si="1924"/>
        <v>0.61878752840744455</v>
      </c>
      <c r="BT520" s="133">
        <f t="shared" si="1924"/>
        <v>0.56272845212949818</v>
      </c>
      <c r="BU520" s="133">
        <f t="shared" si="1924"/>
        <v>0.5465826618769819</v>
      </c>
      <c r="BV520" s="133">
        <f t="shared" ref="BV520:CS520" si="1925">BV507/BV469</f>
        <v>0.59776578772884281</v>
      </c>
      <c r="BW520" s="133">
        <f t="shared" si="1925"/>
        <v>0.52606855443356038</v>
      </c>
      <c r="BX520" s="133">
        <f t="shared" si="1925"/>
        <v>0.50567471171276002</v>
      </c>
      <c r="BY520" s="133">
        <f t="shared" si="1925"/>
        <v>0.52031870385558998</v>
      </c>
      <c r="BZ520" s="133">
        <f t="shared" si="1925"/>
        <v>0.52524472331470229</v>
      </c>
      <c r="CA520" s="133">
        <f t="shared" si="1925"/>
        <v>0.53365085371803622</v>
      </c>
      <c r="CB520" s="133">
        <f t="shared" si="1925"/>
        <v>0.52577460276386223</v>
      </c>
      <c r="CC520" s="133">
        <f t="shared" si="1925"/>
        <v>0.55566442343966427</v>
      </c>
      <c r="CD520" s="133">
        <f t="shared" si="1925"/>
        <v>0.58052699430356147</v>
      </c>
      <c r="CE520" s="133">
        <f t="shared" si="1925"/>
        <v>0.55124986492596362</v>
      </c>
      <c r="CF520" s="133">
        <f t="shared" si="1925"/>
        <v>0.53684725737927086</v>
      </c>
      <c r="CG520" s="133">
        <f t="shared" si="1925"/>
        <v>0.54938396670258527</v>
      </c>
      <c r="CH520" s="133">
        <f t="shared" si="1925"/>
        <v>0.54041876969371005</v>
      </c>
      <c r="CI520" s="133">
        <f t="shared" si="1925"/>
        <v>0.52696083021482143</v>
      </c>
      <c r="CJ520" s="133">
        <f t="shared" si="1925"/>
        <v>0.52567645531752205</v>
      </c>
      <c r="CK520" s="133">
        <f t="shared" si="1925"/>
        <v>0.54210328980524336</v>
      </c>
      <c r="CL520" s="133">
        <f t="shared" si="1925"/>
        <v>0.57773268475721495</v>
      </c>
      <c r="CM520" s="133">
        <f t="shared" si="1925"/>
        <v>0.57530740125785462</v>
      </c>
      <c r="CN520" s="133">
        <f t="shared" si="1925"/>
        <v>0.58548775252321927</v>
      </c>
      <c r="CO520" s="133">
        <f t="shared" si="1925"/>
        <v>0.58157411564604744</v>
      </c>
      <c r="CP520" s="133">
        <f t="shared" si="1925"/>
        <v>0.56096496991686395</v>
      </c>
      <c r="CQ520" s="133">
        <f t="shared" si="1925"/>
        <v>0.58124884339359972</v>
      </c>
      <c r="CR520" s="133">
        <f t="shared" si="1925"/>
        <v>0.57060864369610376</v>
      </c>
      <c r="CS520" s="133">
        <f t="shared" si="1925"/>
        <v>0.54925597892335587</v>
      </c>
      <c r="CT520" s="133">
        <f>AVERAGE(CH520:CS520)</f>
        <v>0.55977831126212974</v>
      </c>
      <c r="CU520" s="133">
        <f t="shared" ref="CU520:DI520" si="1926">CT520</f>
        <v>0.55977831126212974</v>
      </c>
      <c r="CV520" s="133">
        <f t="shared" si="1926"/>
        <v>0.55977831126212974</v>
      </c>
      <c r="CW520" s="133">
        <f t="shared" si="1926"/>
        <v>0.55977831126212974</v>
      </c>
      <c r="CX520" s="133">
        <f t="shared" si="1926"/>
        <v>0.55977831126212974</v>
      </c>
      <c r="CY520" s="133">
        <f t="shared" si="1926"/>
        <v>0.55977831126212974</v>
      </c>
      <c r="CZ520" s="133">
        <f t="shared" si="1926"/>
        <v>0.55977831126212974</v>
      </c>
      <c r="DA520" s="133">
        <f t="shared" si="1926"/>
        <v>0.55977831126212974</v>
      </c>
      <c r="DB520" s="133">
        <f t="shared" si="1926"/>
        <v>0.55977831126212974</v>
      </c>
      <c r="DC520" s="133">
        <f t="shared" si="1926"/>
        <v>0.55977831126212974</v>
      </c>
      <c r="DD520" s="133">
        <f t="shared" si="1926"/>
        <v>0.55977831126212974</v>
      </c>
      <c r="DE520" s="133">
        <f t="shared" si="1926"/>
        <v>0.55977831126212974</v>
      </c>
      <c r="DF520" s="133">
        <f t="shared" si="1926"/>
        <v>0.55977831126212974</v>
      </c>
      <c r="DG520" s="133">
        <f t="shared" si="1926"/>
        <v>0.55977831126212974</v>
      </c>
      <c r="DH520" s="133">
        <f t="shared" si="1926"/>
        <v>0.55977831126212974</v>
      </c>
      <c r="DI520" s="133">
        <f t="shared" si="1926"/>
        <v>0.55977831126212974</v>
      </c>
      <c r="DJ520" s="133">
        <f t="shared" si="1909"/>
        <v>0.55977831126212974</v>
      </c>
      <c r="DK520" s="133">
        <f t="shared" si="1909"/>
        <v>0.55977831126212974</v>
      </c>
      <c r="DL520" s="133">
        <f t="shared" si="1909"/>
        <v>0.55977831126212974</v>
      </c>
      <c r="DM520" s="133">
        <f t="shared" si="1909"/>
        <v>0.55977831126212974</v>
      </c>
      <c r="DN520" s="133">
        <f t="shared" si="1909"/>
        <v>0.55977831126212974</v>
      </c>
      <c r="DO520" s="133">
        <f t="shared" si="1909"/>
        <v>0.55977831126212974</v>
      </c>
      <c r="DP520" s="133">
        <f t="shared" si="1909"/>
        <v>0.55977831126212974</v>
      </c>
      <c r="DQ520" s="133">
        <f t="shared" si="1909"/>
        <v>0.55977831126212974</v>
      </c>
      <c r="DR520" s="133">
        <f t="shared" si="1910"/>
        <v>0.55977831126212974</v>
      </c>
      <c r="DS520" s="133">
        <f t="shared" si="1911"/>
        <v>0.55977831126212974</v>
      </c>
      <c r="DT520" s="133">
        <f t="shared" si="1912"/>
        <v>0.55977831126212974</v>
      </c>
      <c r="DU520" s="133">
        <f t="shared" si="1913"/>
        <v>0.55977831126212974</v>
      </c>
      <c r="DV520" s="133">
        <f t="shared" si="1914"/>
        <v>0.55977831126212974</v>
      </c>
      <c r="DW520" s="133">
        <f t="shared" si="1915"/>
        <v>0.55977831126212974</v>
      </c>
      <c r="DX520" s="133">
        <f t="shared" si="1916"/>
        <v>0.55977831126212974</v>
      </c>
      <c r="DY520" s="133">
        <f t="shared" si="1917"/>
        <v>0.55977831126212974</v>
      </c>
      <c r="DZ520" s="133">
        <f t="shared" si="1918"/>
        <v>0.55977831126212974</v>
      </c>
      <c r="EA520" s="133">
        <f t="shared" si="1919"/>
        <v>0.55977831126212974</v>
      </c>
      <c r="EB520" s="133">
        <f t="shared" si="1920"/>
        <v>0.55977831126212974</v>
      </c>
      <c r="EC520" s="133">
        <f t="shared" si="1921"/>
        <v>0.55977831126212974</v>
      </c>
      <c r="ED520" s="113" t="s">
        <v>1</v>
      </c>
    </row>
    <row r="521" spans="1:134" x14ac:dyDescent="0.2">
      <c r="A521" s="741" t="s">
        <v>140</v>
      </c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33">
        <f t="shared" ref="AB521:AG521" si="1927">AB508/AB470</f>
        <v>0.60365547336250336</v>
      </c>
      <c r="AC521" s="133">
        <f t="shared" si="1927"/>
        <v>0.58850864779123857</v>
      </c>
      <c r="AD521" s="133">
        <f t="shared" si="1927"/>
        <v>0.61941554217073846</v>
      </c>
      <c r="AE521" s="133">
        <f t="shared" si="1927"/>
        <v>0.53016189508500156</v>
      </c>
      <c r="AF521" s="133">
        <f t="shared" si="1927"/>
        <v>0.56626361008817194</v>
      </c>
      <c r="AG521" s="133">
        <f t="shared" si="1927"/>
        <v>0.63798278537972508</v>
      </c>
      <c r="AH521" s="133">
        <f t="shared" ref="AH521:BE521" si="1928">AH508/AH470</f>
        <v>0.58982109279786998</v>
      </c>
      <c r="AI521" s="133">
        <f t="shared" si="1928"/>
        <v>0.65393165006810794</v>
      </c>
      <c r="AJ521" s="133">
        <f t="shared" si="1928"/>
        <v>0.65967604651794032</v>
      </c>
      <c r="AK521" s="133">
        <f t="shared" si="1928"/>
        <v>0.64337170384535036</v>
      </c>
      <c r="AL521" s="133">
        <f t="shared" si="1928"/>
        <v>0.62327222781196057</v>
      </c>
      <c r="AM521" s="133">
        <f t="shared" si="1928"/>
        <v>0.62426594495225451</v>
      </c>
      <c r="AN521" s="133">
        <f t="shared" si="1928"/>
        <v>0.66096460807802671</v>
      </c>
      <c r="AO521" s="133">
        <f t="shared" si="1928"/>
        <v>0.62679803849135129</v>
      </c>
      <c r="AP521" s="133">
        <f t="shared" si="1928"/>
        <v>0.72709800730056273</v>
      </c>
      <c r="AQ521" s="133">
        <f t="shared" si="1928"/>
        <v>0.64167772384712674</v>
      </c>
      <c r="AR521" s="133">
        <f t="shared" si="1928"/>
        <v>0.69192931081481457</v>
      </c>
      <c r="AS521" s="133">
        <f t="shared" si="1928"/>
        <v>0.75409274848985253</v>
      </c>
      <c r="AT521" s="133">
        <f t="shared" si="1928"/>
        <v>0.7346768564154843</v>
      </c>
      <c r="AU521" s="133">
        <f t="shared" si="1928"/>
        <v>0.74264161317361743</v>
      </c>
      <c r="AV521" s="133">
        <f t="shared" si="1928"/>
        <v>0.77372842199957814</v>
      </c>
      <c r="AW521" s="133">
        <f t="shared" si="1928"/>
        <v>0.83974300781413214</v>
      </c>
      <c r="AX521" s="133">
        <f t="shared" si="1928"/>
        <v>0.75298158332275256</v>
      </c>
      <c r="AY521" s="133">
        <f t="shared" si="1928"/>
        <v>0.7524741209161494</v>
      </c>
      <c r="AZ521" s="133">
        <f t="shared" si="1928"/>
        <v>0.74340404934925564</v>
      </c>
      <c r="BA521" s="133">
        <f t="shared" si="1928"/>
        <v>0.75877433101387393</v>
      </c>
      <c r="BB521" s="133">
        <f t="shared" si="1928"/>
        <v>0.76479947931133474</v>
      </c>
      <c r="BC521" s="133">
        <f t="shared" si="1928"/>
        <v>0.7274200995665524</v>
      </c>
      <c r="BD521" s="133">
        <f t="shared" si="1928"/>
        <v>0.7296271998402053</v>
      </c>
      <c r="BE521" s="133">
        <f t="shared" si="1928"/>
        <v>0.57436931751843867</v>
      </c>
      <c r="BF521" s="133">
        <f t="shared" ref="BF521:BU521" si="1929">BF508/BF470</f>
        <v>0.78887493697117028</v>
      </c>
      <c r="BG521" s="133">
        <f t="shared" si="1929"/>
        <v>0.76058012440615885</v>
      </c>
      <c r="BH521" s="133">
        <f t="shared" si="1929"/>
        <v>0.70213475239701362</v>
      </c>
      <c r="BI521" s="133">
        <f t="shared" si="1929"/>
        <v>0.71136540750997679</v>
      </c>
      <c r="BJ521" s="133">
        <f t="shared" si="1929"/>
        <v>0.69298836143796183</v>
      </c>
      <c r="BK521" s="133">
        <f t="shared" si="1929"/>
        <v>0.67676822733478503</v>
      </c>
      <c r="BL521" s="133">
        <f t="shared" si="1929"/>
        <v>0.66046556049489513</v>
      </c>
      <c r="BM521" s="133">
        <f t="shared" si="1929"/>
        <v>0.68206989286447539</v>
      </c>
      <c r="BN521" s="133">
        <f t="shared" si="1929"/>
        <v>0.73331432831142529</v>
      </c>
      <c r="BO521" s="133">
        <f t="shared" si="1929"/>
        <v>0.72540756824219599</v>
      </c>
      <c r="BP521" s="133">
        <f t="shared" si="1929"/>
        <v>0.76686167603070254</v>
      </c>
      <c r="BQ521" s="133">
        <f t="shared" si="1929"/>
        <v>0.84909707021604086</v>
      </c>
      <c r="BR521" s="133">
        <f t="shared" si="1929"/>
        <v>0.71020490270059822</v>
      </c>
      <c r="BS521" s="133">
        <f t="shared" si="1929"/>
        <v>0.69325376734382416</v>
      </c>
      <c r="BT521" s="133">
        <f t="shared" si="1929"/>
        <v>0.66336325087841863</v>
      </c>
      <c r="BU521" s="133">
        <f t="shared" si="1929"/>
        <v>0.74823269110335333</v>
      </c>
      <c r="BV521" s="133">
        <f t="shared" ref="BV521:CS521" si="1930">BV508/BV470</f>
        <v>0.7585313996536599</v>
      </c>
      <c r="BW521" s="133">
        <f t="shared" si="1930"/>
        <v>0.74559893205336703</v>
      </c>
      <c r="BX521" s="133">
        <f t="shared" si="1930"/>
        <v>0.70807497705432387</v>
      </c>
      <c r="BY521" s="133">
        <f t="shared" si="1930"/>
        <v>0.76414939168557217</v>
      </c>
      <c r="BZ521" s="133">
        <f t="shared" si="1930"/>
        <v>0.59684814298546751</v>
      </c>
      <c r="CA521" s="133">
        <f t="shared" si="1930"/>
        <v>0.65733797696452134</v>
      </c>
      <c r="CB521" s="133">
        <f t="shared" si="1930"/>
        <v>0.72375584787684</v>
      </c>
      <c r="CC521" s="133">
        <f t="shared" si="1930"/>
        <v>0.7285937096735291</v>
      </c>
      <c r="CD521" s="133">
        <f t="shared" si="1930"/>
        <v>0.75765920863204472</v>
      </c>
      <c r="CE521" s="133">
        <f t="shared" si="1930"/>
        <v>0.68007842673828278</v>
      </c>
      <c r="CF521" s="133">
        <f t="shared" si="1930"/>
        <v>0.73946901381773034</v>
      </c>
      <c r="CG521" s="133">
        <f t="shared" si="1930"/>
        <v>0.73131993610752166</v>
      </c>
      <c r="CH521" s="133">
        <f t="shared" si="1930"/>
        <v>0.71266429652734331</v>
      </c>
      <c r="CI521" s="133">
        <f t="shared" si="1930"/>
        <v>0.70256749098840332</v>
      </c>
      <c r="CJ521" s="133">
        <f t="shared" si="1930"/>
        <v>0.68211383267428138</v>
      </c>
      <c r="CK521" s="133">
        <f t="shared" si="1930"/>
        <v>0.69006579627518738</v>
      </c>
      <c r="CL521" s="133">
        <f t="shared" si="1930"/>
        <v>0.73180774954278227</v>
      </c>
      <c r="CM521" s="133">
        <f t="shared" si="1930"/>
        <v>0.73481098150243096</v>
      </c>
      <c r="CN521" s="133">
        <f t="shared" si="1930"/>
        <v>0.72167879302230287</v>
      </c>
      <c r="CO521" s="133">
        <f t="shared" si="1930"/>
        <v>0.75019240663903786</v>
      </c>
      <c r="CP521" s="133">
        <f t="shared" si="1930"/>
        <v>0.77750155523926934</v>
      </c>
      <c r="CQ521" s="133">
        <f t="shared" si="1930"/>
        <v>0.76614180768307805</v>
      </c>
      <c r="CR521" s="133">
        <f t="shared" si="1930"/>
        <v>0.75449599901067943</v>
      </c>
      <c r="CS521" s="133">
        <f t="shared" si="1930"/>
        <v>0.67032215887433866</v>
      </c>
      <c r="CT521" s="133">
        <f>AVERAGE(CH521:CS521)</f>
        <v>0.7245302389982613</v>
      </c>
      <c r="CU521" s="133">
        <f t="shared" si="1909"/>
        <v>0.7245302389982613</v>
      </c>
      <c r="CV521" s="133">
        <f t="shared" si="1909"/>
        <v>0.7245302389982613</v>
      </c>
      <c r="CW521" s="133">
        <f t="shared" si="1909"/>
        <v>0.7245302389982613</v>
      </c>
      <c r="CX521" s="133">
        <f t="shared" si="1909"/>
        <v>0.7245302389982613</v>
      </c>
      <c r="CY521" s="133">
        <f t="shared" si="1909"/>
        <v>0.7245302389982613</v>
      </c>
      <c r="CZ521" s="133">
        <f t="shared" si="1909"/>
        <v>0.7245302389982613</v>
      </c>
      <c r="DA521" s="133">
        <f t="shared" si="1909"/>
        <v>0.7245302389982613</v>
      </c>
      <c r="DB521" s="133">
        <f t="shared" si="1909"/>
        <v>0.7245302389982613</v>
      </c>
      <c r="DC521" s="133">
        <f t="shared" si="1909"/>
        <v>0.7245302389982613</v>
      </c>
      <c r="DD521" s="133">
        <f t="shared" si="1909"/>
        <v>0.7245302389982613</v>
      </c>
      <c r="DE521" s="133">
        <f t="shared" si="1909"/>
        <v>0.7245302389982613</v>
      </c>
      <c r="DF521" s="133">
        <f t="shared" si="1909"/>
        <v>0.7245302389982613</v>
      </c>
      <c r="DG521" s="133">
        <f t="shared" si="1909"/>
        <v>0.7245302389982613</v>
      </c>
      <c r="DH521" s="133">
        <f t="shared" si="1909"/>
        <v>0.7245302389982613</v>
      </c>
      <c r="DI521" s="133">
        <f t="shared" si="1909"/>
        <v>0.7245302389982613</v>
      </c>
      <c r="DJ521" s="133">
        <f t="shared" si="1909"/>
        <v>0.7245302389982613</v>
      </c>
      <c r="DK521" s="133">
        <f t="shared" si="1909"/>
        <v>0.7245302389982613</v>
      </c>
      <c r="DL521" s="133">
        <f t="shared" si="1909"/>
        <v>0.7245302389982613</v>
      </c>
      <c r="DM521" s="133">
        <f t="shared" si="1909"/>
        <v>0.7245302389982613</v>
      </c>
      <c r="DN521" s="133">
        <f t="shared" si="1909"/>
        <v>0.7245302389982613</v>
      </c>
      <c r="DO521" s="133">
        <f t="shared" si="1909"/>
        <v>0.7245302389982613</v>
      </c>
      <c r="DP521" s="133">
        <f t="shared" si="1909"/>
        <v>0.7245302389982613</v>
      </c>
      <c r="DQ521" s="133">
        <f t="shared" si="1909"/>
        <v>0.7245302389982613</v>
      </c>
      <c r="DR521" s="133">
        <f t="shared" si="1910"/>
        <v>0.7245302389982613</v>
      </c>
      <c r="DS521" s="133">
        <f t="shared" si="1911"/>
        <v>0.7245302389982613</v>
      </c>
      <c r="DT521" s="133">
        <f t="shared" si="1912"/>
        <v>0.7245302389982613</v>
      </c>
      <c r="DU521" s="133">
        <f t="shared" si="1913"/>
        <v>0.7245302389982613</v>
      </c>
      <c r="DV521" s="133">
        <f t="shared" si="1914"/>
        <v>0.7245302389982613</v>
      </c>
      <c r="DW521" s="133">
        <f t="shared" si="1915"/>
        <v>0.7245302389982613</v>
      </c>
      <c r="DX521" s="133">
        <f t="shared" si="1916"/>
        <v>0.7245302389982613</v>
      </c>
      <c r="DY521" s="133">
        <f t="shared" si="1917"/>
        <v>0.7245302389982613</v>
      </c>
      <c r="DZ521" s="133">
        <f t="shared" si="1918"/>
        <v>0.7245302389982613</v>
      </c>
      <c r="EA521" s="133">
        <f t="shared" si="1919"/>
        <v>0.7245302389982613</v>
      </c>
      <c r="EB521" s="133">
        <f t="shared" si="1920"/>
        <v>0.7245302389982613</v>
      </c>
      <c r="EC521" s="133">
        <f t="shared" si="1921"/>
        <v>0.7245302389982613</v>
      </c>
      <c r="ED521" s="113" t="s">
        <v>1</v>
      </c>
    </row>
    <row r="522" spans="1:134" x14ac:dyDescent="0.2">
      <c r="A522" s="116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15"/>
      <c r="AU522" s="115"/>
      <c r="AV522" s="115"/>
      <c r="AW522" s="115"/>
      <c r="AX522" s="115"/>
      <c r="AY522" s="115"/>
      <c r="AZ522" s="115"/>
      <c r="BA522" s="115"/>
      <c r="BB522" s="115"/>
      <c r="BC522" s="115"/>
      <c r="BD522" s="115"/>
      <c r="BE522" s="115"/>
      <c r="BF522" s="115"/>
      <c r="BG522" s="115"/>
      <c r="BH522" s="115"/>
      <c r="BI522" s="115"/>
      <c r="BJ522" s="115"/>
      <c r="BK522" s="115"/>
      <c r="BL522" s="115"/>
      <c r="BM522" s="115"/>
      <c r="BN522" s="115"/>
      <c r="BO522" s="115"/>
      <c r="BP522" s="115"/>
      <c r="BQ522" s="115"/>
      <c r="BR522" s="115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115"/>
      <c r="CC522" s="115"/>
      <c r="CD522" s="115"/>
      <c r="CE522" s="115"/>
      <c r="CF522" s="115"/>
      <c r="CG522" s="115"/>
      <c r="CH522" s="115"/>
      <c r="CI522" s="115"/>
      <c r="CJ522" s="115"/>
      <c r="CK522" s="115"/>
      <c r="CL522" s="115"/>
      <c r="CM522" s="115"/>
      <c r="CN522" s="115"/>
      <c r="CO522" s="115"/>
      <c r="CP522" s="115"/>
      <c r="CQ522" s="115"/>
      <c r="CR522" s="115"/>
      <c r="CS522" s="115"/>
      <c r="CT522" s="115"/>
      <c r="CU522" s="115"/>
      <c r="CV522" s="115"/>
      <c r="CW522" s="115"/>
      <c r="CX522" s="115"/>
      <c r="CY522" s="115"/>
      <c r="CZ522" s="115"/>
      <c r="DA522" s="115"/>
      <c r="DB522" s="115"/>
      <c r="DC522" s="115"/>
      <c r="DD522" s="115"/>
      <c r="DE522" s="115"/>
      <c r="DF522" s="115"/>
      <c r="DG522" s="115"/>
      <c r="DH522" s="115"/>
      <c r="DI522" s="115"/>
      <c r="DJ522" s="115"/>
      <c r="DK522" s="115"/>
      <c r="DL522" s="115"/>
      <c r="DM522" s="115"/>
      <c r="DN522" s="115"/>
      <c r="DO522" s="115"/>
      <c r="DP522" s="115"/>
      <c r="DQ522" s="115"/>
      <c r="DR522" s="115"/>
      <c r="DS522" s="115"/>
      <c r="DT522" s="115"/>
      <c r="DU522" s="115"/>
      <c r="DV522" s="115"/>
      <c r="DW522" s="115"/>
      <c r="DX522" s="115"/>
      <c r="DY522" s="115"/>
      <c r="DZ522" s="115"/>
      <c r="EA522" s="115"/>
      <c r="EB522" s="115"/>
      <c r="EC522" s="645"/>
      <c r="ED522" s="113" t="s">
        <v>1</v>
      </c>
    </row>
    <row r="523" spans="1:134" x14ac:dyDescent="0.2">
      <c r="A523" s="740" t="s">
        <v>252</v>
      </c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15"/>
      <c r="AU523" s="115"/>
      <c r="AV523" s="115"/>
      <c r="AW523" s="115"/>
      <c r="AX523" s="115"/>
      <c r="AY523" s="115"/>
      <c r="AZ523" s="115"/>
      <c r="BA523" s="115"/>
      <c r="BB523" s="115"/>
      <c r="BC523" s="115"/>
      <c r="BD523" s="115"/>
      <c r="BE523" s="115"/>
      <c r="BF523" s="115"/>
      <c r="BG523" s="115"/>
      <c r="BH523" s="115"/>
      <c r="BI523" s="115"/>
      <c r="BJ523" s="115"/>
      <c r="BK523" s="115"/>
      <c r="BL523" s="115"/>
      <c r="BM523" s="115"/>
      <c r="BN523" s="115"/>
      <c r="BO523" s="115"/>
      <c r="BP523" s="115"/>
      <c r="BQ523" s="115"/>
      <c r="BR523" s="115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115"/>
      <c r="CC523" s="115"/>
      <c r="CD523" s="115"/>
      <c r="CE523" s="115"/>
      <c r="CF523" s="115"/>
      <c r="CG523" s="115"/>
      <c r="CH523" s="115"/>
      <c r="CI523" s="115"/>
      <c r="CJ523" s="115"/>
      <c r="CK523" s="115"/>
      <c r="CL523" s="115"/>
      <c r="CM523" s="115"/>
      <c r="CN523" s="115"/>
      <c r="CO523" s="115"/>
      <c r="CP523" s="115"/>
      <c r="CQ523" s="115"/>
      <c r="CR523" s="115"/>
      <c r="CS523" s="133"/>
      <c r="CT523" s="133"/>
      <c r="CU523" s="115"/>
      <c r="CV523" s="115"/>
      <c r="CW523" s="115"/>
      <c r="CX523" s="115"/>
      <c r="CY523" s="115"/>
      <c r="CZ523" s="115"/>
      <c r="DA523" s="115"/>
      <c r="DB523" s="115"/>
      <c r="DC523" s="115"/>
      <c r="DD523" s="115"/>
      <c r="DE523" s="115"/>
      <c r="DF523" s="115"/>
      <c r="DG523" s="115"/>
      <c r="DH523" s="115"/>
      <c r="DI523" s="115"/>
      <c r="DJ523" s="115"/>
      <c r="DK523" s="115"/>
      <c r="DL523" s="115"/>
      <c r="DM523" s="115"/>
      <c r="DN523" s="115"/>
      <c r="DO523" s="115"/>
      <c r="DP523" s="115"/>
      <c r="DQ523" s="115"/>
      <c r="DR523" s="115"/>
      <c r="DS523" s="115"/>
      <c r="DT523" s="115"/>
      <c r="DU523" s="115"/>
      <c r="DV523" s="115"/>
      <c r="DW523" s="115"/>
      <c r="DX523" s="115"/>
      <c r="DY523" s="115"/>
      <c r="DZ523" s="115"/>
      <c r="EA523" s="115"/>
      <c r="EB523" s="115"/>
      <c r="EC523" s="645"/>
      <c r="ED523" s="113" t="s">
        <v>1</v>
      </c>
    </row>
    <row r="524" spans="1:134" x14ac:dyDescent="0.2">
      <c r="A524" s="741" t="s">
        <v>139</v>
      </c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33">
        <f t="shared" ref="AI524:AV524" si="1931">IFERROR(AI511/AI473,0)</f>
        <v>0.81268122976364876</v>
      </c>
      <c r="AJ524" s="133">
        <f t="shared" si="1931"/>
        <v>0.81268122976364887</v>
      </c>
      <c r="AK524" s="133">
        <f t="shared" si="1931"/>
        <v>0.81268122976364887</v>
      </c>
      <c r="AL524" s="133">
        <f t="shared" si="1931"/>
        <v>0.75102857909757581</v>
      </c>
      <c r="AM524" s="133">
        <f t="shared" si="1931"/>
        <v>0.89185288583448341</v>
      </c>
      <c r="AN524" s="133">
        <f t="shared" si="1931"/>
        <v>0.70367059944442945</v>
      </c>
      <c r="AO524" s="133">
        <f t="shared" si="1931"/>
        <v>0.73343741887110225</v>
      </c>
      <c r="AP524" s="133">
        <f t="shared" si="1931"/>
        <v>0.75296555795143982</v>
      </c>
      <c r="AQ524" s="133">
        <f t="shared" si="1931"/>
        <v>0.74191046729739762</v>
      </c>
      <c r="AR524" s="133">
        <f t="shared" si="1931"/>
        <v>0.75844605290121192</v>
      </c>
      <c r="AS524" s="133">
        <f t="shared" si="1931"/>
        <v>0.74375737306798817</v>
      </c>
      <c r="AT524" s="133">
        <f t="shared" si="1931"/>
        <v>0.802925170847678</v>
      </c>
      <c r="AU524" s="133">
        <f t="shared" si="1931"/>
        <v>0.78651074266962473</v>
      </c>
      <c r="AV524" s="133">
        <f t="shared" si="1931"/>
        <v>0.84290254542623111</v>
      </c>
      <c r="AW524" s="133">
        <f t="shared" ref="AW524:BK524" si="1932">IFERROR(AW511/AW473,0)</f>
        <v>0.78451573574421696</v>
      </c>
      <c r="AX524" s="133">
        <f t="shared" si="1932"/>
        <v>0.73803149361675002</v>
      </c>
      <c r="AY524" s="133">
        <f t="shared" si="1932"/>
        <v>0.79093381050004441</v>
      </c>
      <c r="AZ524" s="133">
        <f t="shared" si="1932"/>
        <v>0.85962078989641677</v>
      </c>
      <c r="BA524" s="133">
        <f t="shared" si="1932"/>
        <v>0.78369841328902468</v>
      </c>
      <c r="BB524" s="133">
        <f t="shared" si="1932"/>
        <v>0.79762098317741148</v>
      </c>
      <c r="BC524" s="133">
        <f t="shared" si="1932"/>
        <v>0.81662572809338052</v>
      </c>
      <c r="BD524" s="133">
        <f t="shared" si="1932"/>
        <v>0.81131900112809208</v>
      </c>
      <c r="BE524" s="133">
        <f t="shared" si="1932"/>
        <v>0.78952727535292477</v>
      </c>
      <c r="BF524" s="133">
        <f t="shared" si="1932"/>
        <v>0.79510793851862205</v>
      </c>
      <c r="BG524" s="133">
        <f t="shared" si="1932"/>
        <v>0.79819804350348378</v>
      </c>
      <c r="BH524" s="133">
        <f t="shared" si="1932"/>
        <v>0.82185946283209255</v>
      </c>
      <c r="BI524" s="133">
        <f t="shared" si="1932"/>
        <v>0.90563801710487601</v>
      </c>
      <c r="BJ524" s="133">
        <f t="shared" si="1932"/>
        <v>0.91524704648848965</v>
      </c>
      <c r="BK524" s="133">
        <f t="shared" si="1932"/>
        <v>0.87620128313395873</v>
      </c>
      <c r="BL524" s="133">
        <f t="shared" ref="BL524:BT524" si="1933">IFERROR(BL511/BL473,0)</f>
        <v>0.88406288291197321</v>
      </c>
      <c r="BM524" s="133">
        <f t="shared" si="1933"/>
        <v>0.8322507661455949</v>
      </c>
      <c r="BN524" s="133">
        <f t="shared" si="1933"/>
        <v>0.8552764765661458</v>
      </c>
      <c r="BO524" s="133">
        <f t="shared" si="1933"/>
        <v>0.23348078129393696</v>
      </c>
      <c r="BP524" s="133">
        <f t="shared" si="1933"/>
        <v>0.8772564707576016</v>
      </c>
      <c r="BQ524" s="133">
        <f t="shared" si="1933"/>
        <v>0.86472098271801168</v>
      </c>
      <c r="BR524" s="133">
        <f t="shared" si="1933"/>
        <v>0.84291414838017453</v>
      </c>
      <c r="BS524" s="133">
        <f t="shared" si="1933"/>
        <v>0.76422449314411411</v>
      </c>
      <c r="BT524" s="133">
        <f t="shared" si="1933"/>
        <v>0.75922853338762708</v>
      </c>
      <c r="BU524" s="133">
        <f t="shared" ref="BU524" si="1934">IFERROR(BU511/BU473,0)</f>
        <v>0.75388882060046913</v>
      </c>
      <c r="BV524" s="133">
        <f t="shared" ref="BV524:CS524" si="1935">IFERROR(BV511/BV473,0)</f>
        <v>0.78422749485802756</v>
      </c>
      <c r="BW524" s="133">
        <f t="shared" si="1935"/>
        <v>0.78813742237826312</v>
      </c>
      <c r="BX524" s="133">
        <f t="shared" si="1935"/>
        <v>0.8027851692114184</v>
      </c>
      <c r="BY524" s="133">
        <f t="shared" si="1935"/>
        <v>0.81567682180130452</v>
      </c>
      <c r="BZ524" s="133">
        <f t="shared" si="1935"/>
        <v>0.78725954013117061</v>
      </c>
      <c r="CA524" s="133">
        <f t="shared" si="1935"/>
        <v>0.76418916422882421</v>
      </c>
      <c r="CB524" s="133">
        <f t="shared" si="1935"/>
        <v>0.76028412044453564</v>
      </c>
      <c r="CC524" s="133">
        <f t="shared" si="1935"/>
        <v>0.85438761628294946</v>
      </c>
      <c r="CD524" s="133">
        <f t="shared" si="1935"/>
        <v>0.83324153133981715</v>
      </c>
      <c r="CE524" s="133">
        <f t="shared" si="1935"/>
        <v>0.85625235925774135</v>
      </c>
      <c r="CF524" s="133">
        <f t="shared" si="1935"/>
        <v>-21.404249714708826</v>
      </c>
      <c r="CG524" s="133">
        <f t="shared" si="1935"/>
        <v>0.81153901457122557</v>
      </c>
      <c r="CH524" s="133">
        <f t="shared" si="1935"/>
        <v>0.79163868671176119</v>
      </c>
      <c r="CI524" s="133">
        <f t="shared" si="1935"/>
        <v>0.78895073806218319</v>
      </c>
      <c r="CJ524" s="133">
        <f t="shared" si="1935"/>
        <v>0.83753990841974379</v>
      </c>
      <c r="CK524" s="133">
        <f t="shared" si="1935"/>
        <v>0.83868961222084215</v>
      </c>
      <c r="CL524" s="133">
        <f t="shared" si="1935"/>
        <v>0.82100265733460975</v>
      </c>
      <c r="CM524" s="133">
        <f t="shared" si="1935"/>
        <v>0.79455177092941376</v>
      </c>
      <c r="CN524" s="133">
        <f t="shared" si="1935"/>
        <v>0.82307567336378873</v>
      </c>
      <c r="CO524" s="133">
        <f t="shared" si="1935"/>
        <v>0.80471185337814299</v>
      </c>
      <c r="CP524" s="133">
        <f t="shared" si="1935"/>
        <v>0.89592826320417662</v>
      </c>
      <c r="CQ524" s="133">
        <f t="shared" si="1935"/>
        <v>0.83237345487593772</v>
      </c>
      <c r="CR524" s="133">
        <f t="shared" si="1935"/>
        <v>0.84201875746665478</v>
      </c>
      <c r="CS524" s="133">
        <f t="shared" si="1935"/>
        <v>0.89744637374968683</v>
      </c>
      <c r="CT524" s="133">
        <f>AVERAGE(CH524:CS524)</f>
        <v>0.83066064580974519</v>
      </c>
      <c r="CU524" s="133">
        <f t="shared" ref="CU524:DQ524" si="1936">CT524</f>
        <v>0.83066064580974519</v>
      </c>
      <c r="CV524" s="133">
        <f t="shared" si="1936"/>
        <v>0.83066064580974519</v>
      </c>
      <c r="CW524" s="133">
        <f t="shared" si="1936"/>
        <v>0.83066064580974519</v>
      </c>
      <c r="CX524" s="133">
        <f t="shared" si="1936"/>
        <v>0.83066064580974519</v>
      </c>
      <c r="CY524" s="133">
        <f t="shared" si="1936"/>
        <v>0.83066064580974519</v>
      </c>
      <c r="CZ524" s="133">
        <f t="shared" si="1936"/>
        <v>0.83066064580974519</v>
      </c>
      <c r="DA524" s="133">
        <f t="shared" si="1936"/>
        <v>0.83066064580974519</v>
      </c>
      <c r="DB524" s="133">
        <f t="shared" si="1936"/>
        <v>0.83066064580974519</v>
      </c>
      <c r="DC524" s="133">
        <f t="shared" si="1936"/>
        <v>0.83066064580974519</v>
      </c>
      <c r="DD524" s="133">
        <f t="shared" si="1936"/>
        <v>0.83066064580974519</v>
      </c>
      <c r="DE524" s="133">
        <f t="shared" si="1936"/>
        <v>0.83066064580974519</v>
      </c>
      <c r="DF524" s="133">
        <f t="shared" si="1936"/>
        <v>0.83066064580974519</v>
      </c>
      <c r="DG524" s="133">
        <f t="shared" si="1936"/>
        <v>0.83066064580974519</v>
      </c>
      <c r="DH524" s="133">
        <f t="shared" si="1936"/>
        <v>0.83066064580974519</v>
      </c>
      <c r="DI524" s="133">
        <f t="shared" si="1936"/>
        <v>0.83066064580974519</v>
      </c>
      <c r="DJ524" s="133">
        <f t="shared" si="1936"/>
        <v>0.83066064580974519</v>
      </c>
      <c r="DK524" s="133">
        <f t="shared" si="1936"/>
        <v>0.83066064580974519</v>
      </c>
      <c r="DL524" s="133">
        <f t="shared" si="1936"/>
        <v>0.83066064580974519</v>
      </c>
      <c r="DM524" s="133">
        <f t="shared" si="1936"/>
        <v>0.83066064580974519</v>
      </c>
      <c r="DN524" s="133">
        <f t="shared" si="1936"/>
        <v>0.83066064580974519</v>
      </c>
      <c r="DO524" s="133">
        <f t="shared" si="1936"/>
        <v>0.83066064580974519</v>
      </c>
      <c r="DP524" s="133">
        <f t="shared" si="1936"/>
        <v>0.83066064580974519</v>
      </c>
      <c r="DQ524" s="133">
        <f t="shared" si="1936"/>
        <v>0.83066064580974519</v>
      </c>
      <c r="DR524" s="133">
        <f t="shared" ref="DR524" si="1937">DQ524</f>
        <v>0.83066064580974519</v>
      </c>
      <c r="DS524" s="133">
        <f t="shared" ref="DS524" si="1938">DR524</f>
        <v>0.83066064580974519</v>
      </c>
      <c r="DT524" s="133">
        <f t="shared" ref="DT524" si="1939">DS524</f>
        <v>0.83066064580974519</v>
      </c>
      <c r="DU524" s="133">
        <f t="shared" ref="DU524" si="1940">DT524</f>
        <v>0.83066064580974519</v>
      </c>
      <c r="DV524" s="133">
        <f t="shared" ref="DV524" si="1941">DU524</f>
        <v>0.83066064580974519</v>
      </c>
      <c r="DW524" s="133">
        <f t="shared" ref="DW524" si="1942">DV524</f>
        <v>0.83066064580974519</v>
      </c>
      <c r="DX524" s="133">
        <f t="shared" ref="DX524" si="1943">DW524</f>
        <v>0.83066064580974519</v>
      </c>
      <c r="DY524" s="133">
        <f t="shared" ref="DY524" si="1944">DX524</f>
        <v>0.83066064580974519</v>
      </c>
      <c r="DZ524" s="133">
        <f t="shared" ref="DZ524" si="1945">DY524</f>
        <v>0.83066064580974519</v>
      </c>
      <c r="EA524" s="133">
        <f t="shared" ref="EA524" si="1946">DZ524</f>
        <v>0.83066064580974519</v>
      </c>
      <c r="EB524" s="133">
        <f t="shared" ref="EB524" si="1947">EA524</f>
        <v>0.83066064580974519</v>
      </c>
      <c r="EC524" s="133">
        <f t="shared" ref="EC524" si="1948">EB524</f>
        <v>0.83066064580974519</v>
      </c>
      <c r="ED524" s="113" t="s">
        <v>1</v>
      </c>
    </row>
    <row r="525" spans="1:134" x14ac:dyDescent="0.2">
      <c r="A525" s="741" t="s">
        <v>191</v>
      </c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33"/>
      <c r="AJ525" s="133"/>
      <c r="AK525" s="133"/>
      <c r="AL525" s="133"/>
      <c r="AM525" s="133"/>
      <c r="AN525" s="133"/>
      <c r="AO525" s="133"/>
      <c r="AP525" s="133"/>
      <c r="AQ525" s="133"/>
      <c r="AR525" s="133"/>
      <c r="AS525" s="133"/>
      <c r="AT525" s="133"/>
      <c r="AU525" s="133"/>
      <c r="AV525" s="133"/>
      <c r="AW525" s="133"/>
      <c r="AX525" s="133"/>
      <c r="AY525" s="133"/>
      <c r="AZ525" s="133"/>
      <c r="BA525" s="133"/>
      <c r="BB525" s="133"/>
      <c r="BC525" s="133"/>
      <c r="BD525" s="133"/>
      <c r="BE525" s="133"/>
      <c r="BF525" s="133"/>
      <c r="BG525" s="133"/>
      <c r="BH525" s="133"/>
      <c r="BI525" s="133"/>
      <c r="BJ525" s="133"/>
      <c r="BK525" s="133"/>
      <c r="BL525" s="133"/>
      <c r="BM525" s="133"/>
      <c r="BN525" s="133"/>
      <c r="BO525" s="133"/>
      <c r="BP525" s="133"/>
      <c r="BQ525" s="133"/>
      <c r="BR525" s="133"/>
      <c r="BS525" s="133"/>
      <c r="BT525" s="133"/>
      <c r="BU525" s="133"/>
      <c r="BV525" s="133"/>
      <c r="BW525" s="133"/>
      <c r="BX525" s="133"/>
      <c r="BY525" s="133"/>
      <c r="BZ525" s="133"/>
      <c r="CA525" s="133"/>
      <c r="CB525" s="133"/>
      <c r="CC525" s="133"/>
      <c r="CD525" s="133"/>
      <c r="CE525" s="133"/>
      <c r="CF525" s="133"/>
      <c r="CG525" s="133"/>
      <c r="CH525" s="133"/>
      <c r="CI525" s="133"/>
      <c r="CJ525" s="133"/>
      <c r="CK525" s="133"/>
      <c r="CL525" s="133"/>
      <c r="CM525" s="133"/>
      <c r="CN525" s="133"/>
      <c r="CO525" s="133"/>
      <c r="CP525" s="133"/>
      <c r="CQ525" s="133"/>
      <c r="CR525" s="133"/>
      <c r="CS525" s="133"/>
      <c r="CT525" s="115"/>
      <c r="CU525" s="115"/>
      <c r="CV525" s="115"/>
      <c r="CW525" s="115"/>
      <c r="CX525" s="115"/>
      <c r="CY525" s="115"/>
      <c r="CZ525" s="115"/>
      <c r="DA525" s="115"/>
      <c r="DB525" s="115"/>
      <c r="DC525" s="115"/>
      <c r="DD525" s="115"/>
      <c r="DE525" s="115"/>
      <c r="DF525" s="115"/>
      <c r="DG525" s="115"/>
      <c r="DH525" s="115"/>
      <c r="DI525" s="115"/>
      <c r="DJ525" s="115"/>
      <c r="DK525" s="115"/>
      <c r="DL525" s="115"/>
      <c r="DM525" s="115"/>
      <c r="DN525" s="115"/>
      <c r="DO525" s="115"/>
      <c r="DP525" s="115"/>
      <c r="DQ525" s="115"/>
      <c r="DR525" s="115"/>
      <c r="DS525" s="115"/>
      <c r="DT525" s="115"/>
      <c r="DU525" s="115"/>
      <c r="DV525" s="115"/>
      <c r="DW525" s="115"/>
      <c r="DX525" s="115"/>
      <c r="DY525" s="115"/>
      <c r="DZ525" s="115"/>
      <c r="EA525" s="115"/>
      <c r="EB525" s="115"/>
      <c r="EC525" s="115"/>
      <c r="ED525" s="113" t="s">
        <v>1</v>
      </c>
    </row>
    <row r="526" spans="1:134" x14ac:dyDescent="0.2">
      <c r="A526" s="741" t="s">
        <v>140</v>
      </c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33">
        <f t="shared" ref="AI526:AV526" si="1949">IFERROR(AI513/AI475,0)</f>
        <v>0</v>
      </c>
      <c r="AJ526" s="133">
        <f t="shared" si="1949"/>
        <v>0</v>
      </c>
      <c r="AK526" s="133">
        <f t="shared" si="1949"/>
        <v>0.69659978858125216</v>
      </c>
      <c r="AL526" s="133">
        <f t="shared" si="1949"/>
        <v>0.73274490049588503</v>
      </c>
      <c r="AM526" s="133">
        <f t="shared" si="1949"/>
        <v>0</v>
      </c>
      <c r="AN526" s="133">
        <f t="shared" si="1949"/>
        <v>0.79275521156996787</v>
      </c>
      <c r="AO526" s="133">
        <f t="shared" si="1949"/>
        <v>0.80651183172655583</v>
      </c>
      <c r="AP526" s="133">
        <f t="shared" si="1949"/>
        <v>0.84721655523428929</v>
      </c>
      <c r="AQ526" s="133">
        <f t="shared" si="1949"/>
        <v>0.87658882635471558</v>
      </c>
      <c r="AR526" s="133">
        <f t="shared" si="1949"/>
        <v>0.90064672520852729</v>
      </c>
      <c r="AS526" s="133">
        <f t="shared" si="1949"/>
        <v>0.9321688026186522</v>
      </c>
      <c r="AT526" s="133">
        <f t="shared" si="1949"/>
        <v>0.91006932498198667</v>
      </c>
      <c r="AU526" s="133">
        <f t="shared" si="1949"/>
        <v>0.93505927802802824</v>
      </c>
      <c r="AV526" s="133">
        <f t="shared" si="1949"/>
        <v>0.98493212849690892</v>
      </c>
      <c r="AW526" s="133">
        <f t="shared" ref="AW526:BK526" si="1950">IFERROR(AW513/AW475,0)</f>
        <v>0.988302904824644</v>
      </c>
      <c r="AX526" s="133">
        <f t="shared" si="1950"/>
        <v>0.94390608128288211</v>
      </c>
      <c r="AY526" s="133">
        <f t="shared" si="1950"/>
        <v>0.891755491540698</v>
      </c>
      <c r="AZ526" s="133">
        <f t="shared" si="1950"/>
        <v>0.94663310074030516</v>
      </c>
      <c r="BA526" s="133">
        <f t="shared" si="1950"/>
        <v>0.96592853614378837</v>
      </c>
      <c r="BB526" s="133">
        <f t="shared" si="1950"/>
        <v>0.90388654677849078</v>
      </c>
      <c r="BC526" s="133">
        <f t="shared" si="1950"/>
        <v>1.0669841589579312</v>
      </c>
      <c r="BD526" s="133">
        <f t="shared" si="1950"/>
        <v>1.064889959050964</v>
      </c>
      <c r="BE526" s="133">
        <f t="shared" si="1950"/>
        <v>0.97003117559762131</v>
      </c>
      <c r="BF526" s="133">
        <f t="shared" si="1950"/>
        <v>0.92065998080296596</v>
      </c>
      <c r="BG526" s="133">
        <f t="shared" si="1950"/>
        <v>0.77069519068160341</v>
      </c>
      <c r="BH526" s="133">
        <f t="shared" si="1950"/>
        <v>0</v>
      </c>
      <c r="BI526" s="133">
        <f t="shared" si="1950"/>
        <v>0.73176821070381581</v>
      </c>
      <c r="BJ526" s="133">
        <f t="shared" si="1950"/>
        <v>0.75932384165643796</v>
      </c>
      <c r="BK526" s="133">
        <f t="shared" si="1950"/>
        <v>0.75745998821434146</v>
      </c>
      <c r="BL526" s="133">
        <f t="shared" ref="BL526:BT526" si="1951">IFERROR(BL513/BL475,0)</f>
        <v>0.63973063973063971</v>
      </c>
      <c r="BM526" s="133">
        <f t="shared" si="1951"/>
        <v>0</v>
      </c>
      <c r="BN526" s="133">
        <f t="shared" si="1951"/>
        <v>0.71571338638897142</v>
      </c>
      <c r="BO526" s="133">
        <f t="shared" si="1951"/>
        <v>0.67752481200317494</v>
      </c>
      <c r="BP526" s="133">
        <f t="shared" si="1951"/>
        <v>0.69149338958462825</v>
      </c>
      <c r="BQ526" s="133">
        <f t="shared" si="1951"/>
        <v>0</v>
      </c>
      <c r="BR526" s="133">
        <f t="shared" si="1951"/>
        <v>0</v>
      </c>
      <c r="BS526" s="133">
        <f t="shared" si="1951"/>
        <v>0</v>
      </c>
      <c r="BT526" s="133">
        <f t="shared" si="1951"/>
        <v>0</v>
      </c>
      <c r="BU526" s="133">
        <f t="shared" ref="BU526" si="1952">IFERROR(BU513/BU475,0)</f>
        <v>0</v>
      </c>
      <c r="BV526" s="133">
        <f t="shared" ref="BV526:CS526" si="1953">IFERROR(BV513/BV475,0)</f>
        <v>0</v>
      </c>
      <c r="BW526" s="133">
        <f t="shared" si="1953"/>
        <v>0</v>
      </c>
      <c r="BX526" s="133">
        <f t="shared" si="1953"/>
        <v>0</v>
      </c>
      <c r="BY526" s="133">
        <f t="shared" si="1953"/>
        <v>0</v>
      </c>
      <c r="BZ526" s="133">
        <f t="shared" si="1953"/>
        <v>0</v>
      </c>
      <c r="CA526" s="133">
        <f t="shared" si="1953"/>
        <v>0</v>
      </c>
      <c r="CB526" s="133">
        <f t="shared" si="1953"/>
        <v>0</v>
      </c>
      <c r="CC526" s="133">
        <f t="shared" si="1953"/>
        <v>0</v>
      </c>
      <c r="CD526" s="133">
        <f t="shared" si="1953"/>
        <v>0</v>
      </c>
      <c r="CE526" s="133">
        <f t="shared" si="1953"/>
        <v>0</v>
      </c>
      <c r="CF526" s="133">
        <f t="shared" si="1953"/>
        <v>0.83687950399549715</v>
      </c>
      <c r="CG526" s="133">
        <f t="shared" si="1953"/>
        <v>0</v>
      </c>
      <c r="CH526" s="133">
        <f t="shared" si="1953"/>
        <v>0</v>
      </c>
      <c r="CI526" s="133">
        <f t="shared" si="1953"/>
        <v>0.80653340651105698</v>
      </c>
      <c r="CJ526" s="133">
        <f t="shared" si="1953"/>
        <v>0.88400084808507717</v>
      </c>
      <c r="CK526" s="133">
        <f t="shared" si="1953"/>
        <v>0.90309226945510557</v>
      </c>
      <c r="CL526" s="133">
        <f t="shared" si="1953"/>
        <v>0.91556666705939194</v>
      </c>
      <c r="CM526" s="133">
        <f t="shared" si="1953"/>
        <v>0.9259185554243401</v>
      </c>
      <c r="CN526" s="133">
        <f t="shared" si="1953"/>
        <v>0.84432003806109213</v>
      </c>
      <c r="CO526" s="133">
        <f t="shared" si="1953"/>
        <v>0</v>
      </c>
      <c r="CP526" s="133">
        <f t="shared" si="1953"/>
        <v>0.85931809859859876</v>
      </c>
      <c r="CQ526" s="133">
        <f t="shared" si="1953"/>
        <v>0.80283736869630029</v>
      </c>
      <c r="CR526" s="133">
        <f t="shared" si="1953"/>
        <v>0.86000139734194458</v>
      </c>
      <c r="CS526" s="133">
        <f t="shared" si="1953"/>
        <v>0.86920353805446315</v>
      </c>
      <c r="CT526" s="133">
        <f>AVERAGE(CH526:CS526)</f>
        <v>0.72256601560728084</v>
      </c>
      <c r="CU526" s="133">
        <f t="shared" ref="CU526:DQ526" si="1954">CT526</f>
        <v>0.72256601560728084</v>
      </c>
      <c r="CV526" s="133">
        <f t="shared" si="1954"/>
        <v>0.72256601560728084</v>
      </c>
      <c r="CW526" s="133">
        <f t="shared" si="1954"/>
        <v>0.72256601560728084</v>
      </c>
      <c r="CX526" s="133">
        <f t="shared" si="1954"/>
        <v>0.72256601560728084</v>
      </c>
      <c r="CY526" s="133">
        <f t="shared" si="1954"/>
        <v>0.72256601560728084</v>
      </c>
      <c r="CZ526" s="133">
        <f t="shared" si="1954"/>
        <v>0.72256601560728084</v>
      </c>
      <c r="DA526" s="133">
        <f t="shared" si="1954"/>
        <v>0.72256601560728084</v>
      </c>
      <c r="DB526" s="133">
        <f t="shared" si="1954"/>
        <v>0.72256601560728084</v>
      </c>
      <c r="DC526" s="133">
        <f t="shared" si="1954"/>
        <v>0.72256601560728084</v>
      </c>
      <c r="DD526" s="133">
        <f t="shared" si="1954"/>
        <v>0.72256601560728084</v>
      </c>
      <c r="DE526" s="133">
        <f t="shared" si="1954"/>
        <v>0.72256601560728084</v>
      </c>
      <c r="DF526" s="133">
        <f t="shared" si="1954"/>
        <v>0.72256601560728084</v>
      </c>
      <c r="DG526" s="133">
        <f t="shared" si="1954"/>
        <v>0.72256601560728084</v>
      </c>
      <c r="DH526" s="133">
        <f t="shared" si="1954"/>
        <v>0.72256601560728084</v>
      </c>
      <c r="DI526" s="133">
        <f t="shared" si="1954"/>
        <v>0.72256601560728084</v>
      </c>
      <c r="DJ526" s="133">
        <f t="shared" si="1954"/>
        <v>0.72256601560728084</v>
      </c>
      <c r="DK526" s="133">
        <f t="shared" si="1954"/>
        <v>0.72256601560728084</v>
      </c>
      <c r="DL526" s="133">
        <f t="shared" si="1954"/>
        <v>0.72256601560728084</v>
      </c>
      <c r="DM526" s="133">
        <f t="shared" si="1954"/>
        <v>0.72256601560728084</v>
      </c>
      <c r="DN526" s="133">
        <f t="shared" si="1954"/>
        <v>0.72256601560728084</v>
      </c>
      <c r="DO526" s="133">
        <f t="shared" si="1954"/>
        <v>0.72256601560728084</v>
      </c>
      <c r="DP526" s="133">
        <f t="shared" si="1954"/>
        <v>0.72256601560728084</v>
      </c>
      <c r="DQ526" s="133">
        <f t="shared" si="1954"/>
        <v>0.72256601560728084</v>
      </c>
      <c r="DR526" s="133">
        <f t="shared" ref="DR526" si="1955">DQ526</f>
        <v>0.72256601560728084</v>
      </c>
      <c r="DS526" s="133">
        <f t="shared" ref="DS526" si="1956">DR526</f>
        <v>0.72256601560728084</v>
      </c>
      <c r="DT526" s="133">
        <f t="shared" ref="DT526" si="1957">DS526</f>
        <v>0.72256601560728084</v>
      </c>
      <c r="DU526" s="133">
        <f t="shared" ref="DU526" si="1958">DT526</f>
        <v>0.72256601560728084</v>
      </c>
      <c r="DV526" s="133">
        <f t="shared" ref="DV526" si="1959">DU526</f>
        <v>0.72256601560728084</v>
      </c>
      <c r="DW526" s="133">
        <f t="shared" ref="DW526" si="1960">DV526</f>
        <v>0.72256601560728084</v>
      </c>
      <c r="DX526" s="133">
        <f t="shared" ref="DX526" si="1961">DW526</f>
        <v>0.72256601560728084</v>
      </c>
      <c r="DY526" s="133">
        <f t="shared" ref="DY526" si="1962">DX526</f>
        <v>0.72256601560728084</v>
      </c>
      <c r="DZ526" s="133">
        <f t="shared" ref="DZ526" si="1963">DY526</f>
        <v>0.72256601560728084</v>
      </c>
      <c r="EA526" s="133">
        <f t="shared" ref="EA526" si="1964">DZ526</f>
        <v>0.72256601560728084</v>
      </c>
      <c r="EB526" s="133">
        <f t="shared" ref="EB526" si="1965">EA526</f>
        <v>0.72256601560728084</v>
      </c>
      <c r="EC526" s="133">
        <f t="shared" ref="EC526" si="1966">EB526</f>
        <v>0.72256601560728084</v>
      </c>
      <c r="ED526" s="113" t="s">
        <v>1</v>
      </c>
    </row>
    <row r="527" spans="1:134" x14ac:dyDescent="0.2">
      <c r="A527" s="116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15"/>
      <c r="AU527" s="115"/>
      <c r="AV527" s="115"/>
      <c r="AW527" s="115"/>
      <c r="AX527" s="115"/>
      <c r="AY527" s="115"/>
      <c r="AZ527" s="115"/>
      <c r="BA527" s="115"/>
      <c r="BB527" s="115"/>
      <c r="BC527" s="115"/>
      <c r="BD527" s="115"/>
      <c r="BE527" s="115"/>
      <c r="BF527" s="115"/>
      <c r="BG527" s="115"/>
      <c r="BH527" s="115"/>
      <c r="BI527" s="115"/>
      <c r="BJ527" s="115"/>
      <c r="BK527" s="115"/>
      <c r="BL527" s="115"/>
      <c r="BM527" s="115"/>
      <c r="BN527" s="115"/>
      <c r="BO527" s="115"/>
      <c r="BP527" s="115"/>
      <c r="BQ527" s="115"/>
      <c r="BR527" s="115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115"/>
      <c r="CC527" s="115"/>
      <c r="CD527" s="115"/>
      <c r="CE527" s="115"/>
      <c r="CF527" s="115"/>
      <c r="CG527" s="115"/>
      <c r="CH527" s="115"/>
      <c r="CI527" s="115"/>
      <c r="CJ527" s="115"/>
      <c r="CK527" s="115"/>
      <c r="CL527" s="115"/>
      <c r="CM527" s="115"/>
      <c r="CN527" s="115"/>
      <c r="CO527" s="115"/>
      <c r="CP527" s="115"/>
      <c r="CQ527" s="115"/>
      <c r="CR527" s="115"/>
      <c r="CS527" s="133"/>
      <c r="CT527" s="115"/>
      <c r="CU527" s="115"/>
      <c r="CV527" s="115"/>
      <c r="CW527" s="115"/>
      <c r="CX527" s="115"/>
      <c r="CY527" s="115"/>
      <c r="CZ527" s="115"/>
      <c r="DA527" s="115"/>
      <c r="DB527" s="115"/>
      <c r="DC527" s="115"/>
      <c r="DD527" s="115"/>
      <c r="DE527" s="115"/>
      <c r="DF527" s="115"/>
      <c r="DG527" s="115"/>
      <c r="DH527" s="115"/>
      <c r="DI527" s="115"/>
      <c r="DJ527" s="115"/>
      <c r="DK527" s="115"/>
      <c r="DL527" s="115"/>
      <c r="DM527" s="115"/>
      <c r="DN527" s="115"/>
      <c r="DO527" s="115"/>
      <c r="DP527" s="115"/>
      <c r="DQ527" s="115"/>
      <c r="DR527" s="115"/>
      <c r="DS527" s="115"/>
      <c r="DT527" s="115"/>
      <c r="DU527" s="115"/>
      <c r="DV527" s="115"/>
      <c r="DW527" s="115"/>
      <c r="DX527" s="115"/>
      <c r="DY527" s="115"/>
      <c r="DZ527" s="115"/>
      <c r="EA527" s="115"/>
      <c r="EB527" s="115"/>
      <c r="EC527" s="115"/>
      <c r="ED527" s="113" t="s">
        <v>1</v>
      </c>
    </row>
    <row r="528" spans="1:134" x14ac:dyDescent="0.2">
      <c r="A528" s="116" t="s">
        <v>256</v>
      </c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15"/>
      <c r="AU528" s="115"/>
      <c r="AV528" s="115"/>
      <c r="AW528" s="115"/>
      <c r="AX528" s="115"/>
      <c r="AY528" s="115"/>
      <c r="AZ528" s="115"/>
      <c r="BA528" s="115"/>
      <c r="BB528" s="115"/>
      <c r="BC528" s="115"/>
      <c r="BD528" s="115"/>
      <c r="BE528" s="115"/>
      <c r="BF528" s="115"/>
      <c r="BG528" s="115"/>
      <c r="BH528" s="115"/>
      <c r="BI528" s="115"/>
      <c r="BJ528" s="115"/>
      <c r="BK528" s="115"/>
      <c r="BL528" s="115"/>
      <c r="BM528" s="115"/>
      <c r="BN528" s="115"/>
      <c r="BO528" s="115"/>
      <c r="BP528" s="115"/>
      <c r="BQ528" s="115"/>
      <c r="BR528" s="115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115"/>
      <c r="CC528" s="115"/>
      <c r="CD528" s="115"/>
      <c r="CE528" s="115"/>
      <c r="CF528" s="115"/>
      <c r="CG528" s="115"/>
      <c r="CH528" s="115"/>
      <c r="CI528" s="115"/>
      <c r="CJ528" s="115"/>
      <c r="CK528" s="115"/>
      <c r="CL528" s="115"/>
      <c r="CM528" s="115"/>
      <c r="CN528" s="115"/>
      <c r="CO528" s="115"/>
      <c r="CP528" s="115"/>
      <c r="CQ528" s="115"/>
      <c r="CR528" s="115"/>
      <c r="CS528" s="115"/>
      <c r="CT528" s="115"/>
      <c r="CU528" s="115"/>
      <c r="CV528" s="115"/>
      <c r="CW528" s="115"/>
      <c r="CX528" s="115"/>
      <c r="CY528" s="115"/>
      <c r="CZ528" s="115"/>
      <c r="DA528" s="115"/>
      <c r="DB528" s="115"/>
      <c r="DC528" s="115"/>
      <c r="DD528" s="115"/>
      <c r="DE528" s="115"/>
      <c r="DF528" s="115"/>
      <c r="DG528" s="115"/>
      <c r="DH528" s="115"/>
      <c r="DI528" s="115"/>
      <c r="DJ528" s="115"/>
      <c r="DK528" s="115"/>
      <c r="DL528" s="115"/>
      <c r="DM528" s="115"/>
      <c r="DN528" s="115"/>
      <c r="DO528" s="115"/>
      <c r="DP528" s="115"/>
      <c r="DQ528" s="115"/>
      <c r="DR528" s="115"/>
      <c r="DS528" s="115"/>
      <c r="DT528" s="115"/>
      <c r="DU528" s="115"/>
      <c r="DV528" s="115"/>
      <c r="DW528" s="115"/>
      <c r="DX528" s="115"/>
      <c r="DY528" s="115"/>
      <c r="DZ528" s="115"/>
      <c r="EA528" s="115"/>
      <c r="EB528" s="115"/>
      <c r="EC528" s="115"/>
      <c r="ED528" s="113" t="s">
        <v>1</v>
      </c>
    </row>
    <row r="529" spans="1:134" x14ac:dyDescent="0.2">
      <c r="A529" s="114" t="s">
        <v>253</v>
      </c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29">
        <f t="shared" ref="AB529:BG529" si="1967">AB494/AB435</f>
        <v>0</v>
      </c>
      <c r="AC529" s="129">
        <f t="shared" si="1967"/>
        <v>0</v>
      </c>
      <c r="AD529" s="129">
        <f t="shared" si="1967"/>
        <v>0</v>
      </c>
      <c r="AE529" s="129">
        <f t="shared" si="1967"/>
        <v>0</v>
      </c>
      <c r="AF529" s="129">
        <f t="shared" si="1967"/>
        <v>0</v>
      </c>
      <c r="AG529" s="129">
        <f t="shared" si="1967"/>
        <v>0</v>
      </c>
      <c r="AH529" s="129">
        <f t="shared" si="1967"/>
        <v>0</v>
      </c>
      <c r="AI529" s="129">
        <f t="shared" si="1967"/>
        <v>0</v>
      </c>
      <c r="AJ529" s="129">
        <f t="shared" si="1967"/>
        <v>0</v>
      </c>
      <c r="AK529" s="129">
        <f t="shared" si="1967"/>
        <v>0</v>
      </c>
      <c r="AL529" s="129">
        <f t="shared" si="1967"/>
        <v>0</v>
      </c>
      <c r="AM529" s="129">
        <f t="shared" si="1967"/>
        <v>564.0939130434781</v>
      </c>
      <c r="AN529" s="129">
        <f t="shared" si="1967"/>
        <v>508.23204165369651</v>
      </c>
      <c r="AO529" s="129">
        <f t="shared" si="1967"/>
        <v>605.4701032649366</v>
      </c>
      <c r="AP529" s="129">
        <f t="shared" si="1967"/>
        <v>543.09952380952382</v>
      </c>
      <c r="AQ529" s="129">
        <f t="shared" si="1967"/>
        <v>594.46573925401697</v>
      </c>
      <c r="AR529" s="129">
        <f t="shared" si="1967"/>
        <v>1009.5213963916926</v>
      </c>
      <c r="AS529" s="129">
        <f t="shared" si="1967"/>
        <v>690.99422054615707</v>
      </c>
      <c r="AT529" s="129">
        <f t="shared" si="1967"/>
        <v>718.79881289350431</v>
      </c>
      <c r="AU529" s="129">
        <f t="shared" si="1967"/>
        <v>850.47808884177937</v>
      </c>
      <c r="AV529" s="129">
        <f t="shared" si="1967"/>
        <v>991.93572893515716</v>
      </c>
      <c r="AW529" s="129">
        <f t="shared" si="1967"/>
        <v>919.42220818196176</v>
      </c>
      <c r="AX529" s="129">
        <f t="shared" si="1967"/>
        <v>575.29717655468187</v>
      </c>
      <c r="AY529" s="129">
        <f t="shared" si="1967"/>
        <v>674.51901065767379</v>
      </c>
      <c r="AZ529" s="129">
        <f t="shared" si="1967"/>
        <v>934.23395945800917</v>
      </c>
      <c r="BA529" s="129">
        <f t="shared" si="1967"/>
        <v>644.08157978618817</v>
      </c>
      <c r="BB529" s="129">
        <f t="shared" si="1967"/>
        <v>585.81828032162457</v>
      </c>
      <c r="BC529" s="129">
        <f t="shared" si="1967"/>
        <v>564.20695909282279</v>
      </c>
      <c r="BD529" s="129">
        <f t="shared" si="1967"/>
        <v>545.62163734292665</v>
      </c>
      <c r="BE529" s="129">
        <f t="shared" si="1967"/>
        <v>611.22481066666649</v>
      </c>
      <c r="BF529" s="129">
        <f t="shared" si="1967"/>
        <v>663.94704918811533</v>
      </c>
      <c r="BG529" s="129">
        <f t="shared" si="1967"/>
        <v>591.60357526938708</v>
      </c>
      <c r="BH529" s="129">
        <f t="shared" ref="BH529:CM529" si="1968">BH494/BH435</f>
        <v>520.38184137499798</v>
      </c>
      <c r="BI529" s="129">
        <f t="shared" si="1968"/>
        <v>739.1879622053151</v>
      </c>
      <c r="BJ529" s="129">
        <f t="shared" si="1968"/>
        <v>828.96785656885879</v>
      </c>
      <c r="BK529" s="129">
        <f t="shared" si="1968"/>
        <v>861.92523676161488</v>
      </c>
      <c r="BL529" s="129">
        <f t="shared" si="1968"/>
        <v>836.06775836887334</v>
      </c>
      <c r="BM529" s="129">
        <f t="shared" si="1968"/>
        <v>723.26014739301547</v>
      </c>
      <c r="BN529" s="129">
        <f t="shared" si="1968"/>
        <v>900.30497221168628</v>
      </c>
      <c r="BO529" s="129">
        <f t="shared" si="1968"/>
        <v>939.98306977041761</v>
      </c>
      <c r="BP529" s="129">
        <f t="shared" si="1968"/>
        <v>1038.929203845285</v>
      </c>
      <c r="BQ529" s="129">
        <f t="shared" si="1968"/>
        <v>1044.7287738557252</v>
      </c>
      <c r="BR529" s="129">
        <f t="shared" si="1968"/>
        <v>1132.3842108206347</v>
      </c>
      <c r="BS529" s="129">
        <f t="shared" si="1968"/>
        <v>1228.8989871594408</v>
      </c>
      <c r="BT529" s="129">
        <f t="shared" si="1968"/>
        <v>1513.1421271282634</v>
      </c>
      <c r="BU529" s="129">
        <f t="shared" si="1968"/>
        <v>1520.8149896014215</v>
      </c>
      <c r="BV529" s="129">
        <f t="shared" si="1968"/>
        <v>1460.8210957158126</v>
      </c>
      <c r="BW529" s="129">
        <f t="shared" si="1968"/>
        <v>1401.9657712258168</v>
      </c>
      <c r="BX529" s="129">
        <f t="shared" si="1968"/>
        <v>1439.9577546808227</v>
      </c>
      <c r="BY529" s="129">
        <f t="shared" si="1968"/>
        <v>1598.3498553658853</v>
      </c>
      <c r="BZ529" s="129">
        <f t="shared" si="1968"/>
        <v>1581.72993690051</v>
      </c>
      <c r="CA529" s="129">
        <f t="shared" si="1968"/>
        <v>1682.0460145272621</v>
      </c>
      <c r="CB529" s="129">
        <f t="shared" si="1968"/>
        <v>1023.961371846515</v>
      </c>
      <c r="CC529" s="129">
        <f t="shared" si="1968"/>
        <v>1265.0625947891444</v>
      </c>
      <c r="CD529" s="129">
        <f t="shared" si="1968"/>
        <v>1325.5559056024852</v>
      </c>
      <c r="CE529" s="129">
        <f t="shared" si="1968"/>
        <v>1392.0186691256813</v>
      </c>
      <c r="CF529" s="129">
        <f t="shared" si="1968"/>
        <v>1287.1950942506521</v>
      </c>
      <c r="CG529" s="129">
        <f t="shared" si="1968"/>
        <v>1312.5087780200606</v>
      </c>
      <c r="CH529" s="129">
        <f t="shared" si="1968"/>
        <v>1243.4042513533659</v>
      </c>
      <c r="CI529" s="129">
        <f t="shared" si="1968"/>
        <v>1074.7103816983524</v>
      </c>
      <c r="CJ529" s="129">
        <f t="shared" si="1968"/>
        <v>1086.2820887190055</v>
      </c>
      <c r="CK529" s="129">
        <f t="shared" si="1968"/>
        <v>1201.4524856815056</v>
      </c>
      <c r="CL529" s="129">
        <f t="shared" si="1968"/>
        <v>1343.4902165399067</v>
      </c>
      <c r="CM529" s="129">
        <f t="shared" si="1968"/>
        <v>1574.772958996221</v>
      </c>
      <c r="CN529" s="129">
        <f t="shared" ref="CN529:CS529" si="1969">CN494/CN435</f>
        <v>1265.7033347078645</v>
      </c>
      <c r="CO529" s="129">
        <f t="shared" si="1969"/>
        <v>1132.1707170632296</v>
      </c>
      <c r="CP529" s="129">
        <f t="shared" si="1969"/>
        <v>1463.774646961602</v>
      </c>
      <c r="CQ529" s="129">
        <f t="shared" si="1969"/>
        <v>1489.931811855304</v>
      </c>
      <c r="CR529" s="129">
        <f t="shared" si="1969"/>
        <v>1522.7425899072189</v>
      </c>
      <c r="CS529" s="129">
        <f t="shared" si="1969"/>
        <v>1679.0851088970692</v>
      </c>
      <c r="CT529" s="129">
        <f>AVERAGE(CH529:CS529)</f>
        <v>1339.7933826983869</v>
      </c>
      <c r="CU529" s="129">
        <f t="shared" ref="CU529:DQ529" si="1970">CT529*(1+CU530)</f>
        <v>1339.7933826983869</v>
      </c>
      <c r="CV529" s="129">
        <f t="shared" si="1970"/>
        <v>1339.7933826983869</v>
      </c>
      <c r="CW529" s="129">
        <f t="shared" si="1970"/>
        <v>1339.7933826983869</v>
      </c>
      <c r="CX529" s="129">
        <f t="shared" si="1970"/>
        <v>1339.7933826983869</v>
      </c>
      <c r="CY529" s="129">
        <f t="shared" si="1970"/>
        <v>1339.7933826983869</v>
      </c>
      <c r="CZ529" s="129">
        <f t="shared" si="1970"/>
        <v>1339.7933826983869</v>
      </c>
      <c r="DA529" s="129">
        <f t="shared" si="1970"/>
        <v>1339.7933826983869</v>
      </c>
      <c r="DB529" s="129">
        <f t="shared" si="1970"/>
        <v>1339.7933826983869</v>
      </c>
      <c r="DC529" s="129">
        <f t="shared" si="1970"/>
        <v>1339.7933826983869</v>
      </c>
      <c r="DD529" s="129">
        <f t="shared" si="1970"/>
        <v>1339.7933826983869</v>
      </c>
      <c r="DE529" s="129">
        <f t="shared" si="1970"/>
        <v>1339.7933826983869</v>
      </c>
      <c r="DF529" s="129">
        <f t="shared" si="1970"/>
        <v>1406.7830518333064</v>
      </c>
      <c r="DG529" s="129">
        <f t="shared" si="1970"/>
        <v>1406.7830518333064</v>
      </c>
      <c r="DH529" s="129">
        <f t="shared" si="1970"/>
        <v>1406.7830518333064</v>
      </c>
      <c r="DI529" s="129">
        <f t="shared" si="1970"/>
        <v>1406.7830518333064</v>
      </c>
      <c r="DJ529" s="129">
        <f t="shared" si="1970"/>
        <v>1406.7830518333064</v>
      </c>
      <c r="DK529" s="129">
        <f t="shared" si="1970"/>
        <v>1406.7830518333064</v>
      </c>
      <c r="DL529" s="129">
        <f t="shared" si="1970"/>
        <v>1406.7830518333064</v>
      </c>
      <c r="DM529" s="129">
        <f t="shared" si="1970"/>
        <v>1406.7830518333064</v>
      </c>
      <c r="DN529" s="129">
        <f t="shared" si="1970"/>
        <v>1406.7830518333064</v>
      </c>
      <c r="DO529" s="129">
        <f t="shared" si="1970"/>
        <v>1406.7830518333064</v>
      </c>
      <c r="DP529" s="129">
        <f t="shared" si="1970"/>
        <v>1406.7830518333064</v>
      </c>
      <c r="DQ529" s="129">
        <f t="shared" si="1970"/>
        <v>1406.7830518333064</v>
      </c>
      <c r="DR529" s="129">
        <f t="shared" ref="DR529" si="1971">DQ529*(1+DR530)</f>
        <v>1477.1222044249719</v>
      </c>
      <c r="DS529" s="129">
        <f t="shared" ref="DS529" si="1972">DR529*(1+DS530)</f>
        <v>1477.1222044249719</v>
      </c>
      <c r="DT529" s="129">
        <f t="shared" ref="DT529" si="1973">DS529*(1+DT530)</f>
        <v>1477.1222044249719</v>
      </c>
      <c r="DU529" s="129">
        <f t="shared" ref="DU529" si="1974">DT529*(1+DU530)</f>
        <v>1477.1222044249719</v>
      </c>
      <c r="DV529" s="129">
        <f t="shared" ref="DV529" si="1975">DU529*(1+DV530)</f>
        <v>1477.1222044249719</v>
      </c>
      <c r="DW529" s="129">
        <f t="shared" ref="DW529" si="1976">DV529*(1+DW530)</f>
        <v>1477.1222044249719</v>
      </c>
      <c r="DX529" s="129">
        <f t="shared" ref="DX529" si="1977">DW529*(1+DX530)</f>
        <v>1477.1222044249719</v>
      </c>
      <c r="DY529" s="129">
        <f t="shared" ref="DY529" si="1978">DX529*(1+DY530)</f>
        <v>1477.1222044249719</v>
      </c>
      <c r="DZ529" s="129">
        <f t="shared" ref="DZ529" si="1979">DY529*(1+DZ530)</f>
        <v>1477.1222044249719</v>
      </c>
      <c r="EA529" s="129">
        <f t="shared" ref="EA529" si="1980">DZ529*(1+EA530)</f>
        <v>1477.1222044249719</v>
      </c>
      <c r="EB529" s="129">
        <f t="shared" ref="EB529" si="1981">EA529*(1+EB530)</f>
        <v>1477.1222044249719</v>
      </c>
      <c r="EC529" s="129">
        <f t="shared" ref="EC529" si="1982">EB529*(1+EC530)</f>
        <v>1477.1222044249719</v>
      </c>
      <c r="ED529" s="113" t="s">
        <v>1</v>
      </c>
    </row>
    <row r="530" spans="1:134" x14ac:dyDescent="0.2">
      <c r="A530" s="117" t="s">
        <v>255</v>
      </c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15"/>
      <c r="AU530" s="115"/>
      <c r="AV530" s="115"/>
      <c r="AW530" s="115"/>
      <c r="AX530" s="115"/>
      <c r="AY530" s="115"/>
      <c r="AZ530" s="115"/>
      <c r="BA530" s="115"/>
      <c r="BB530" s="115"/>
      <c r="BC530" s="115"/>
      <c r="BD530" s="115"/>
      <c r="BE530" s="115"/>
      <c r="BF530" s="115"/>
      <c r="BG530" s="115"/>
      <c r="BH530" s="115"/>
      <c r="BI530" s="115"/>
      <c r="BJ530" s="115"/>
      <c r="BK530" s="115"/>
      <c r="BL530" s="115"/>
      <c r="BM530" s="115"/>
      <c r="BN530" s="115"/>
      <c r="BO530" s="115"/>
      <c r="BP530" s="115"/>
      <c r="BQ530" s="115"/>
      <c r="BR530" s="115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115"/>
      <c r="CC530" s="115"/>
      <c r="CD530" s="115"/>
      <c r="CE530" s="115"/>
      <c r="CF530" s="115"/>
      <c r="CG530" s="115"/>
      <c r="CH530" s="115"/>
      <c r="CI530" s="115"/>
      <c r="CJ530" s="115"/>
      <c r="CK530" s="115"/>
      <c r="CL530" s="115"/>
      <c r="CM530" s="115"/>
      <c r="CN530" s="115"/>
      <c r="CO530" s="115"/>
      <c r="CP530" s="115"/>
      <c r="CQ530" s="115"/>
      <c r="CR530" s="115"/>
      <c r="CS530" s="129"/>
      <c r="CT530" s="742">
        <v>0.05</v>
      </c>
      <c r="CU530" s="115"/>
      <c r="CV530" s="115"/>
      <c r="CW530" s="115"/>
      <c r="CX530" s="115"/>
      <c r="CY530" s="115"/>
      <c r="CZ530" s="115"/>
      <c r="DA530" s="115"/>
      <c r="DB530" s="115"/>
      <c r="DC530" s="115"/>
      <c r="DD530" s="115"/>
      <c r="DE530" s="115"/>
      <c r="DF530" s="742">
        <v>0.05</v>
      </c>
      <c r="DG530" s="115"/>
      <c r="DH530" s="115"/>
      <c r="DI530" s="115"/>
      <c r="DJ530" s="115"/>
      <c r="DK530" s="115"/>
      <c r="DL530" s="115"/>
      <c r="DM530" s="115"/>
      <c r="DN530" s="115"/>
      <c r="DO530" s="115"/>
      <c r="DP530" s="115"/>
      <c r="DQ530" s="115"/>
      <c r="DR530" s="742">
        <v>0.05</v>
      </c>
      <c r="DS530" s="115"/>
      <c r="DT530" s="115"/>
      <c r="DU530" s="115"/>
      <c r="DV530" s="115"/>
      <c r="DW530" s="115"/>
      <c r="DX530" s="115"/>
      <c r="DY530" s="115"/>
      <c r="DZ530" s="115"/>
      <c r="EA530" s="115"/>
      <c r="EB530" s="115"/>
      <c r="EC530" s="115"/>
      <c r="ED530" s="113" t="s">
        <v>1</v>
      </c>
    </row>
    <row r="531" spans="1:134" x14ac:dyDescent="0.2">
      <c r="A531" s="114" t="s">
        <v>254</v>
      </c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129">
        <f t="shared" ref="AM531:BR531" si="1983">AM495/AM436</f>
        <v>149.84000000000378</v>
      </c>
      <c r="AN531" s="129">
        <f t="shared" si="1983"/>
        <v>938.39622641509322</v>
      </c>
      <c r="AO531" s="129">
        <f t="shared" si="1983"/>
        <v>309.09473684210525</v>
      </c>
      <c r="AP531" s="129">
        <f t="shared" si="1983"/>
        <v>488.9</v>
      </c>
      <c r="AQ531" s="129">
        <f t="shared" si="1983"/>
        <v>884.86503931403126</v>
      </c>
      <c r="AR531" s="129">
        <f t="shared" si="1983"/>
        <v>579.73576309794987</v>
      </c>
      <c r="AS531" s="129">
        <f t="shared" si="1983"/>
        <v>610.15272518650784</v>
      </c>
      <c r="AT531" s="129">
        <f t="shared" si="1983"/>
        <v>597.27069732231337</v>
      </c>
      <c r="AU531" s="129">
        <f t="shared" si="1983"/>
        <v>956.549815498155</v>
      </c>
      <c r="AV531" s="129">
        <f t="shared" si="1983"/>
        <v>993.65625</v>
      </c>
      <c r="AW531" s="129">
        <f t="shared" si="1983"/>
        <v>954.16991643454037</v>
      </c>
      <c r="AX531" s="129">
        <f t="shared" si="1983"/>
        <v>895.74308300395262</v>
      </c>
      <c r="AY531" s="129">
        <f t="shared" si="1983"/>
        <v>765.14533333333327</v>
      </c>
      <c r="AZ531" s="129">
        <f t="shared" si="1983"/>
        <v>1091.9131249999991</v>
      </c>
      <c r="BA531" s="129">
        <f t="shared" si="1983"/>
        <v>326.34173308823523</v>
      </c>
      <c r="BB531" s="129">
        <f t="shared" si="1983"/>
        <v>345.54832653061226</v>
      </c>
      <c r="BC531" s="129">
        <f t="shared" si="1983"/>
        <v>599.37985422740542</v>
      </c>
      <c r="BD531" s="129">
        <f t="shared" si="1983"/>
        <v>522.99750000000006</v>
      </c>
      <c r="BE531" s="129">
        <f t="shared" si="1983"/>
        <v>739.45750000000021</v>
      </c>
      <c r="BF531" s="129">
        <f t="shared" si="1983"/>
        <v>753.05762380952376</v>
      </c>
      <c r="BG531" s="129">
        <f t="shared" si="1983"/>
        <v>540.84879999999998</v>
      </c>
      <c r="BH531" s="129">
        <f t="shared" si="1983"/>
        <v>333.33753246753236</v>
      </c>
      <c r="BI531" s="129">
        <f t="shared" si="1983"/>
        <v>543.62598360655727</v>
      </c>
      <c r="BJ531" s="129">
        <f t="shared" si="1983"/>
        <v>346.52057314897417</v>
      </c>
      <c r="BK531" s="129">
        <f t="shared" si="1983"/>
        <v>828.33233314410825</v>
      </c>
      <c r="BL531" s="129">
        <f t="shared" si="1983"/>
        <v>682.60160843998619</v>
      </c>
      <c r="BM531" s="129">
        <f t="shared" si="1983"/>
        <v>391.13962873284913</v>
      </c>
      <c r="BN531" s="129">
        <f t="shared" si="1983"/>
        <v>695.90924002186989</v>
      </c>
      <c r="BO531" s="129">
        <f t="shared" si="1983"/>
        <v>1563.8135593220341</v>
      </c>
      <c r="BP531" s="129">
        <f t="shared" si="1983"/>
        <v>997.20250021954894</v>
      </c>
      <c r="BQ531" s="129">
        <f t="shared" si="1983"/>
        <v>791.01146733955454</v>
      </c>
      <c r="BR531" s="129">
        <f t="shared" si="1983"/>
        <v>1289.9293475737172</v>
      </c>
      <c r="BS531" s="129">
        <f t="shared" ref="BS531:CS531" si="1984">BS495/BS436</f>
        <v>1881.2163502824862</v>
      </c>
      <c r="BT531" s="129">
        <f t="shared" si="1984"/>
        <v>2367.0311111111109</v>
      </c>
      <c r="BU531" s="129">
        <f t="shared" si="1984"/>
        <v>773.26113519905448</v>
      </c>
      <c r="BV531" s="129">
        <f t="shared" si="1984"/>
        <v>1233.2717123886073</v>
      </c>
      <c r="BW531" s="129">
        <f t="shared" si="1984"/>
        <v>922.28166500498526</v>
      </c>
      <c r="BX531" s="129">
        <f t="shared" si="1984"/>
        <v>1996.7478959672708</v>
      </c>
      <c r="BY531" s="129">
        <f t="shared" si="1984"/>
        <v>685.30158571265997</v>
      </c>
      <c r="BZ531" s="129">
        <f t="shared" si="1984"/>
        <v>1614.4907542002811</v>
      </c>
      <c r="CA531" s="129">
        <f t="shared" si="1984"/>
        <v>1417.9987612471227</v>
      </c>
      <c r="CB531" s="129">
        <f t="shared" si="1984"/>
        <v>1527.2041037256895</v>
      </c>
      <c r="CC531" s="129">
        <f t="shared" si="1984"/>
        <v>831.67969830508412</v>
      </c>
      <c r="CD531" s="129">
        <f t="shared" si="1984"/>
        <v>1393.7465083225654</v>
      </c>
      <c r="CE531" s="129">
        <f t="shared" si="1984"/>
        <v>1429.6964488636365</v>
      </c>
      <c r="CF531" s="129">
        <f t="shared" si="1984"/>
        <v>-340.75441619585843</v>
      </c>
      <c r="CG531" s="129">
        <f t="shared" si="1984"/>
        <v>1130.6337644264959</v>
      </c>
      <c r="CH531" s="129">
        <f t="shared" si="1984"/>
        <v>1231.8230021307506</v>
      </c>
      <c r="CI531" s="129">
        <f t="shared" si="1984"/>
        <v>971.20004499775007</v>
      </c>
      <c r="CJ531" s="129">
        <f t="shared" si="1984"/>
        <v>833.18962968834535</v>
      </c>
      <c r="CK531" s="129">
        <f t="shared" si="1984"/>
        <v>1267.2059766032198</v>
      </c>
      <c r="CL531" s="129">
        <f t="shared" si="1984"/>
        <v>1325.4211550533587</v>
      </c>
      <c r="CM531" s="129">
        <f t="shared" si="1984"/>
        <v>1901.226789077213</v>
      </c>
      <c r="CN531" s="129">
        <f t="shared" si="1984"/>
        <v>989.51378188666331</v>
      </c>
      <c r="CO531" s="129">
        <f t="shared" si="1984"/>
        <v>890.46560038195275</v>
      </c>
      <c r="CP531" s="129">
        <f t="shared" si="1984"/>
        <v>1096.1609676783603</v>
      </c>
      <c r="CQ531" s="129">
        <f t="shared" si="1984"/>
        <v>980.54787773431838</v>
      </c>
      <c r="CR531" s="129">
        <f t="shared" si="1984"/>
        <v>1046.7294049545319</v>
      </c>
      <c r="CS531" s="129">
        <f t="shared" si="1984"/>
        <v>1421.0159186201586</v>
      </c>
      <c r="CT531" s="129">
        <f>AVERAGE(CH531:CS531)</f>
        <v>1162.8750124005521</v>
      </c>
      <c r="CU531" s="129">
        <f t="shared" ref="CU531:DQ531" si="1985">CT531*(1+CU532)</f>
        <v>1162.8750124005521</v>
      </c>
      <c r="CV531" s="129">
        <f t="shared" si="1985"/>
        <v>1162.8750124005521</v>
      </c>
      <c r="CW531" s="129">
        <f t="shared" si="1985"/>
        <v>1162.8750124005521</v>
      </c>
      <c r="CX531" s="129">
        <f t="shared" si="1985"/>
        <v>1162.8750124005521</v>
      </c>
      <c r="CY531" s="129">
        <f t="shared" si="1985"/>
        <v>1162.8750124005521</v>
      </c>
      <c r="CZ531" s="129">
        <f t="shared" si="1985"/>
        <v>1162.8750124005521</v>
      </c>
      <c r="DA531" s="129">
        <f t="shared" si="1985"/>
        <v>1162.8750124005521</v>
      </c>
      <c r="DB531" s="129">
        <f t="shared" si="1985"/>
        <v>1162.8750124005521</v>
      </c>
      <c r="DC531" s="129">
        <f t="shared" si="1985"/>
        <v>1162.8750124005521</v>
      </c>
      <c r="DD531" s="129">
        <f t="shared" si="1985"/>
        <v>1162.8750124005521</v>
      </c>
      <c r="DE531" s="129">
        <f t="shared" si="1985"/>
        <v>1162.8750124005521</v>
      </c>
      <c r="DF531" s="129">
        <f t="shared" si="1985"/>
        <v>1221.0187630205799</v>
      </c>
      <c r="DG531" s="129">
        <f t="shared" si="1985"/>
        <v>1221.0187630205799</v>
      </c>
      <c r="DH531" s="129">
        <f t="shared" si="1985"/>
        <v>1221.0187630205799</v>
      </c>
      <c r="DI531" s="129">
        <f t="shared" si="1985"/>
        <v>1221.0187630205799</v>
      </c>
      <c r="DJ531" s="129">
        <f t="shared" si="1985"/>
        <v>1221.0187630205799</v>
      </c>
      <c r="DK531" s="129">
        <f t="shared" si="1985"/>
        <v>1221.0187630205799</v>
      </c>
      <c r="DL531" s="129">
        <f t="shared" si="1985"/>
        <v>1221.0187630205799</v>
      </c>
      <c r="DM531" s="129">
        <f t="shared" si="1985"/>
        <v>1221.0187630205799</v>
      </c>
      <c r="DN531" s="129">
        <f t="shared" si="1985"/>
        <v>1221.0187630205799</v>
      </c>
      <c r="DO531" s="129">
        <f t="shared" si="1985"/>
        <v>1221.0187630205799</v>
      </c>
      <c r="DP531" s="129">
        <f t="shared" si="1985"/>
        <v>1221.0187630205799</v>
      </c>
      <c r="DQ531" s="129">
        <f t="shared" si="1985"/>
        <v>1221.0187630205799</v>
      </c>
      <c r="DR531" s="129">
        <f t="shared" ref="DR531" si="1986">DQ531*(1+DR532)</f>
        <v>1282.0697011716088</v>
      </c>
      <c r="DS531" s="129">
        <f t="shared" ref="DS531" si="1987">DR531*(1+DS532)</f>
        <v>1282.0697011716088</v>
      </c>
      <c r="DT531" s="129">
        <f t="shared" ref="DT531" si="1988">DS531*(1+DT532)</f>
        <v>1282.0697011716088</v>
      </c>
      <c r="DU531" s="129">
        <f t="shared" ref="DU531" si="1989">DT531*(1+DU532)</f>
        <v>1282.0697011716088</v>
      </c>
      <c r="DV531" s="129">
        <f t="shared" ref="DV531" si="1990">DU531*(1+DV532)</f>
        <v>1282.0697011716088</v>
      </c>
      <c r="DW531" s="129">
        <f t="shared" ref="DW531" si="1991">DV531*(1+DW532)</f>
        <v>1282.0697011716088</v>
      </c>
      <c r="DX531" s="129">
        <f t="shared" ref="DX531" si="1992">DW531*(1+DX532)</f>
        <v>1282.0697011716088</v>
      </c>
      <c r="DY531" s="129">
        <f t="shared" ref="DY531" si="1993">DX531*(1+DY532)</f>
        <v>1282.0697011716088</v>
      </c>
      <c r="DZ531" s="129">
        <f t="shared" ref="DZ531" si="1994">DY531*(1+DZ532)</f>
        <v>1282.0697011716088</v>
      </c>
      <c r="EA531" s="129">
        <f t="shared" ref="EA531" si="1995">DZ531*(1+EA532)</f>
        <v>1282.0697011716088</v>
      </c>
      <c r="EB531" s="129">
        <f t="shared" ref="EB531" si="1996">EA531*(1+EB532)</f>
        <v>1282.0697011716088</v>
      </c>
      <c r="EC531" s="129">
        <f t="shared" ref="EC531" si="1997">EB531*(1+EC532)</f>
        <v>1282.0697011716088</v>
      </c>
      <c r="ED531" s="113" t="s">
        <v>1</v>
      </c>
    </row>
    <row r="532" spans="1:134" x14ac:dyDescent="0.2">
      <c r="A532" s="117" t="s">
        <v>255</v>
      </c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15"/>
      <c r="AU532" s="115"/>
      <c r="AV532" s="115"/>
      <c r="AW532" s="115"/>
      <c r="AX532" s="115"/>
      <c r="AY532" s="115"/>
      <c r="AZ532" s="115"/>
      <c r="BA532" s="115"/>
      <c r="BB532" s="115"/>
      <c r="BC532" s="115"/>
      <c r="BD532" s="115"/>
      <c r="BE532" s="115"/>
      <c r="BF532" s="115"/>
      <c r="BG532" s="115"/>
      <c r="BH532" s="115"/>
      <c r="BI532" s="115"/>
      <c r="BJ532" s="115"/>
      <c r="BK532" s="115"/>
      <c r="BL532" s="115"/>
      <c r="BM532" s="115"/>
      <c r="BN532" s="115"/>
      <c r="BO532" s="115"/>
      <c r="BP532" s="115"/>
      <c r="BQ532" s="115"/>
      <c r="BR532" s="115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115"/>
      <c r="CC532" s="115"/>
      <c r="CD532" s="115"/>
      <c r="CE532" s="115"/>
      <c r="CF532" s="115"/>
      <c r="CG532" s="115"/>
      <c r="CH532" s="115"/>
      <c r="CI532" s="115"/>
      <c r="CJ532" s="115"/>
      <c r="CK532" s="115"/>
      <c r="CL532" s="115"/>
      <c r="CM532" s="115"/>
      <c r="CN532" s="115"/>
      <c r="CO532" s="115"/>
      <c r="CP532" s="115"/>
      <c r="CQ532" s="115"/>
      <c r="CR532" s="115"/>
      <c r="CS532" s="115"/>
      <c r="CT532" s="742">
        <v>0.05</v>
      </c>
      <c r="CU532" s="115"/>
      <c r="CV532" s="115"/>
      <c r="CW532" s="115"/>
      <c r="CX532" s="115"/>
      <c r="CY532" s="115"/>
      <c r="CZ532" s="115"/>
      <c r="DA532" s="115"/>
      <c r="DB532" s="115"/>
      <c r="DC532" s="115"/>
      <c r="DD532" s="115"/>
      <c r="DE532" s="115"/>
      <c r="DF532" s="742">
        <v>0.05</v>
      </c>
      <c r="DG532" s="115"/>
      <c r="DH532" s="115"/>
      <c r="DI532" s="115"/>
      <c r="DJ532" s="115"/>
      <c r="DK532" s="115"/>
      <c r="DL532" s="115"/>
      <c r="DM532" s="115"/>
      <c r="DN532" s="115"/>
      <c r="DO532" s="115"/>
      <c r="DP532" s="115"/>
      <c r="DQ532" s="115"/>
      <c r="DR532" s="742">
        <v>0.05</v>
      </c>
      <c r="DS532" s="115"/>
      <c r="DT532" s="115"/>
      <c r="DU532" s="115"/>
      <c r="DV532" s="115"/>
      <c r="DW532" s="115"/>
      <c r="DX532" s="115"/>
      <c r="DY532" s="115"/>
      <c r="DZ532" s="115"/>
      <c r="EA532" s="115"/>
      <c r="EB532" s="115"/>
      <c r="EC532" s="115"/>
      <c r="ED532" s="113" t="s">
        <v>1</v>
      </c>
    </row>
    <row r="533" spans="1:134" x14ac:dyDescent="0.2">
      <c r="A533" s="117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15"/>
      <c r="AU533" s="115"/>
      <c r="AV533" s="115"/>
      <c r="AW533" s="115"/>
      <c r="AX533" s="115"/>
      <c r="AY533" s="115"/>
      <c r="AZ533" s="115"/>
      <c r="BA533" s="115"/>
      <c r="BB533" s="115"/>
      <c r="BC533" s="115"/>
      <c r="BD533" s="115"/>
      <c r="BE533" s="115"/>
      <c r="BF533" s="115"/>
      <c r="BG533" s="115"/>
      <c r="BH533" s="115"/>
      <c r="BI533" s="115"/>
      <c r="BJ533" s="115"/>
      <c r="BK533" s="115"/>
      <c r="BL533" s="115"/>
      <c r="BM533" s="115"/>
      <c r="BN533" s="115"/>
      <c r="BO533" s="115"/>
      <c r="BP533" s="115"/>
      <c r="BQ533" s="115"/>
      <c r="BR533" s="115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115"/>
      <c r="CC533" s="115"/>
      <c r="CD533" s="115"/>
      <c r="CE533" s="115"/>
      <c r="CF533" s="115"/>
      <c r="CG533" s="115"/>
      <c r="CH533" s="115"/>
      <c r="CI533" s="115"/>
      <c r="CJ533" s="115"/>
      <c r="CK533" s="115"/>
      <c r="CL533" s="115"/>
      <c r="CM533" s="115"/>
      <c r="CN533" s="115"/>
      <c r="CO533" s="115"/>
      <c r="CP533" s="115"/>
      <c r="CQ533" s="115"/>
      <c r="CR533" s="115"/>
      <c r="CS533" s="115"/>
      <c r="CT533" s="115"/>
      <c r="CU533" s="115"/>
      <c r="CV533" s="115"/>
      <c r="CW533" s="115"/>
      <c r="CX533" s="115"/>
      <c r="CY533" s="115"/>
      <c r="CZ533" s="115"/>
      <c r="DA533" s="115"/>
      <c r="DB533" s="115"/>
      <c r="DC533" s="115"/>
      <c r="DD533" s="115"/>
      <c r="DE533" s="115"/>
      <c r="DF533" s="115"/>
      <c r="DG533" s="115"/>
      <c r="DH533" s="115"/>
      <c r="DI533" s="115"/>
      <c r="DJ533" s="115"/>
      <c r="DK533" s="115"/>
      <c r="DL533" s="115"/>
      <c r="DM533" s="115"/>
      <c r="DN533" s="115"/>
      <c r="DO533" s="115"/>
      <c r="DP533" s="115"/>
      <c r="DQ533" s="115"/>
      <c r="DR533" s="115"/>
      <c r="DS533" s="115"/>
      <c r="DT533" s="115"/>
      <c r="DU533" s="115"/>
      <c r="DV533" s="115"/>
      <c r="DW533" s="115"/>
      <c r="DX533" s="115"/>
      <c r="DY533" s="115"/>
      <c r="DZ533" s="115"/>
      <c r="EA533" s="115"/>
      <c r="EB533" s="115"/>
      <c r="EC533" s="115"/>
      <c r="ED533" s="113" t="s">
        <v>1</v>
      </c>
    </row>
    <row r="534" spans="1:134" x14ac:dyDescent="0.2">
      <c r="A534" s="116" t="s">
        <v>257</v>
      </c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15"/>
      <c r="AU534" s="115"/>
      <c r="AV534" s="115"/>
      <c r="AW534" s="115"/>
      <c r="AX534" s="115"/>
      <c r="AY534" s="115"/>
      <c r="AZ534" s="115"/>
      <c r="BA534" s="115"/>
      <c r="BB534" s="115"/>
      <c r="BC534" s="115"/>
      <c r="BD534" s="115"/>
      <c r="BE534" s="115"/>
      <c r="BF534" s="115"/>
      <c r="BG534" s="115"/>
      <c r="BH534" s="115"/>
      <c r="BI534" s="115"/>
      <c r="BJ534" s="115"/>
      <c r="BK534" s="115"/>
      <c r="BL534" s="115"/>
      <c r="BM534" s="115"/>
      <c r="BN534" s="115"/>
      <c r="BO534" s="115"/>
      <c r="BP534" s="115"/>
      <c r="BQ534" s="115"/>
      <c r="BR534" s="115"/>
      <c r="BS534" s="115"/>
      <c r="BT534" s="115"/>
      <c r="BU534" s="115"/>
      <c r="BV534" s="295">
        <f>BV496/BV461</f>
        <v>6.0170404555209677E-3</v>
      </c>
      <c r="BW534" s="295">
        <f t="shared" ref="BW534:CS534" si="1998">BW496/BW461</f>
        <v>3.9519945850062157E-3</v>
      </c>
      <c r="BX534" s="295">
        <f t="shared" si="1998"/>
        <v>5.6774978150080759E-3</v>
      </c>
      <c r="BY534" s="295">
        <f t="shared" si="1998"/>
        <v>2.2270599352484928E-3</v>
      </c>
      <c r="BZ534" s="295">
        <f t="shared" si="1998"/>
        <v>2.4046498297486639E-3</v>
      </c>
      <c r="CA534" s="295">
        <f t="shared" si="1998"/>
        <v>2.5256657816184569E-3</v>
      </c>
      <c r="CB534" s="295">
        <f t="shared" si="1998"/>
        <v>4.482373375937254E-3</v>
      </c>
      <c r="CC534" s="295">
        <f t="shared" si="1998"/>
        <v>2.6293865796289252E-3</v>
      </c>
      <c r="CD534" s="295">
        <f t="shared" si="1998"/>
        <v>4.8223997275672961E-3</v>
      </c>
      <c r="CE534" s="295">
        <f t="shared" si="1998"/>
        <v>4.008195786905957E-3</v>
      </c>
      <c r="CF534" s="295">
        <f t="shared" si="1998"/>
        <v>3.8224881090469756E-3</v>
      </c>
      <c r="CG534" s="295">
        <f t="shared" si="1998"/>
        <v>2.7827786942728585E-3</v>
      </c>
      <c r="CH534" s="295">
        <f t="shared" si="1998"/>
        <v>3.3228248192683943E-3</v>
      </c>
      <c r="CI534" s="295">
        <f t="shared" si="1998"/>
        <v>2.9865254838024038E-3</v>
      </c>
      <c r="CJ534" s="295">
        <f t="shared" si="1998"/>
        <v>2.5080839453540745E-3</v>
      </c>
      <c r="CK534" s="295">
        <f t="shared" si="1998"/>
        <v>3.6869879727681443E-3</v>
      </c>
      <c r="CL534" s="295">
        <f t="shared" si="1998"/>
        <v>3.5726498588643288E-3</v>
      </c>
      <c r="CM534" s="295">
        <f t="shared" si="1998"/>
        <v>3.6132576075447436E-3</v>
      </c>
      <c r="CN534" s="295">
        <f t="shared" si="1998"/>
        <v>1.5964667810266083E-3</v>
      </c>
      <c r="CO534" s="295">
        <f t="shared" si="1998"/>
        <v>2.0485257786911275E-3</v>
      </c>
      <c r="CP534" s="295">
        <f t="shared" si="1998"/>
        <v>1.7231322492152429E-3</v>
      </c>
      <c r="CQ534" s="295">
        <f t="shared" si="1998"/>
        <v>3.1069942634885037E-3</v>
      </c>
      <c r="CR534" s="295">
        <f t="shared" si="1998"/>
        <v>3.3832756954992769E-3</v>
      </c>
      <c r="CS534" s="295">
        <f t="shared" si="1998"/>
        <v>3.6809897444943728E-3</v>
      </c>
      <c r="CT534" s="765">
        <f>AVERAGE(CH534:CS534)</f>
        <v>2.9358095166681017E-3</v>
      </c>
      <c r="CU534" s="295">
        <f t="shared" ref="CU534:DQ534" si="1999">CT534</f>
        <v>2.9358095166681017E-3</v>
      </c>
      <c r="CV534" s="295">
        <f t="shared" si="1999"/>
        <v>2.9358095166681017E-3</v>
      </c>
      <c r="CW534" s="295">
        <f t="shared" si="1999"/>
        <v>2.9358095166681017E-3</v>
      </c>
      <c r="CX534" s="295">
        <f t="shared" si="1999"/>
        <v>2.9358095166681017E-3</v>
      </c>
      <c r="CY534" s="295">
        <f t="shared" si="1999"/>
        <v>2.9358095166681017E-3</v>
      </c>
      <c r="CZ534" s="295">
        <f t="shared" si="1999"/>
        <v>2.9358095166681017E-3</v>
      </c>
      <c r="DA534" s="295">
        <f t="shared" si="1999"/>
        <v>2.9358095166681017E-3</v>
      </c>
      <c r="DB534" s="295">
        <f t="shared" si="1999"/>
        <v>2.9358095166681017E-3</v>
      </c>
      <c r="DC534" s="295">
        <f t="shared" si="1999"/>
        <v>2.9358095166681017E-3</v>
      </c>
      <c r="DD534" s="295">
        <f t="shared" si="1999"/>
        <v>2.9358095166681017E-3</v>
      </c>
      <c r="DE534" s="295">
        <f t="shared" si="1999"/>
        <v>2.9358095166681017E-3</v>
      </c>
      <c r="DF534" s="295">
        <f t="shared" si="1999"/>
        <v>2.9358095166681017E-3</v>
      </c>
      <c r="DG534" s="295">
        <f t="shared" si="1999"/>
        <v>2.9358095166681017E-3</v>
      </c>
      <c r="DH534" s="295">
        <f t="shared" si="1999"/>
        <v>2.9358095166681017E-3</v>
      </c>
      <c r="DI534" s="295">
        <f t="shared" si="1999"/>
        <v>2.9358095166681017E-3</v>
      </c>
      <c r="DJ534" s="295">
        <f t="shared" si="1999"/>
        <v>2.9358095166681017E-3</v>
      </c>
      <c r="DK534" s="295">
        <f t="shared" si="1999"/>
        <v>2.9358095166681017E-3</v>
      </c>
      <c r="DL534" s="295">
        <f t="shared" si="1999"/>
        <v>2.9358095166681017E-3</v>
      </c>
      <c r="DM534" s="295">
        <f t="shared" si="1999"/>
        <v>2.9358095166681017E-3</v>
      </c>
      <c r="DN534" s="295">
        <f t="shared" si="1999"/>
        <v>2.9358095166681017E-3</v>
      </c>
      <c r="DO534" s="295">
        <f t="shared" si="1999"/>
        <v>2.9358095166681017E-3</v>
      </c>
      <c r="DP534" s="295">
        <f t="shared" si="1999"/>
        <v>2.9358095166681017E-3</v>
      </c>
      <c r="DQ534" s="295">
        <f t="shared" si="1999"/>
        <v>2.9358095166681017E-3</v>
      </c>
      <c r="DR534" s="295">
        <f t="shared" ref="DR534" si="2000">DQ534</f>
        <v>2.9358095166681017E-3</v>
      </c>
      <c r="DS534" s="295">
        <f t="shared" ref="DS534" si="2001">DR534</f>
        <v>2.9358095166681017E-3</v>
      </c>
      <c r="DT534" s="295">
        <f t="shared" ref="DT534" si="2002">DS534</f>
        <v>2.9358095166681017E-3</v>
      </c>
      <c r="DU534" s="295">
        <f t="shared" ref="DU534" si="2003">DT534</f>
        <v>2.9358095166681017E-3</v>
      </c>
      <c r="DV534" s="295">
        <f t="shared" ref="DV534" si="2004">DU534</f>
        <v>2.9358095166681017E-3</v>
      </c>
      <c r="DW534" s="295">
        <f t="shared" ref="DW534" si="2005">DV534</f>
        <v>2.9358095166681017E-3</v>
      </c>
      <c r="DX534" s="295">
        <f t="shared" ref="DX534" si="2006">DW534</f>
        <v>2.9358095166681017E-3</v>
      </c>
      <c r="DY534" s="295">
        <f t="shared" ref="DY534" si="2007">DX534</f>
        <v>2.9358095166681017E-3</v>
      </c>
      <c r="DZ534" s="295">
        <f t="shared" ref="DZ534" si="2008">DY534</f>
        <v>2.9358095166681017E-3</v>
      </c>
      <c r="EA534" s="295">
        <f t="shared" ref="EA534" si="2009">DZ534</f>
        <v>2.9358095166681017E-3</v>
      </c>
      <c r="EB534" s="295">
        <f t="shared" ref="EB534" si="2010">EA534</f>
        <v>2.9358095166681017E-3</v>
      </c>
      <c r="EC534" s="295">
        <f t="shared" ref="EC534" si="2011">EB534</f>
        <v>2.9358095166681017E-3</v>
      </c>
      <c r="ED534" s="113" t="s">
        <v>1</v>
      </c>
    </row>
    <row r="535" spans="1:134" x14ac:dyDescent="0.2">
      <c r="A535" s="116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15"/>
      <c r="AU535" s="115"/>
      <c r="AV535" s="115"/>
      <c r="AW535" s="115"/>
      <c r="AX535" s="115"/>
      <c r="AY535" s="115"/>
      <c r="AZ535" s="115"/>
      <c r="BA535" s="115"/>
      <c r="BB535" s="115"/>
      <c r="BC535" s="115"/>
      <c r="BD535" s="115"/>
      <c r="BE535" s="115"/>
      <c r="BF535" s="115"/>
      <c r="BG535" s="115"/>
      <c r="BH535" s="115"/>
      <c r="BI535" s="115"/>
      <c r="BJ535" s="115"/>
      <c r="BK535" s="115"/>
      <c r="BL535" s="115"/>
      <c r="BM535" s="115"/>
      <c r="BN535" s="115"/>
      <c r="BO535" s="115"/>
      <c r="BP535" s="115"/>
      <c r="BQ535" s="115"/>
      <c r="BR535" s="115"/>
      <c r="BS535" s="115"/>
      <c r="BT535" s="115"/>
      <c r="BU535" s="115"/>
      <c r="BV535" s="295"/>
      <c r="BW535" s="295"/>
      <c r="BX535" s="295"/>
      <c r="BY535" s="295"/>
      <c r="BZ535" s="295"/>
      <c r="CA535" s="295"/>
      <c r="CB535" s="295"/>
      <c r="CC535" s="295"/>
      <c r="CD535" s="295"/>
      <c r="CE535" s="295"/>
      <c r="CF535" s="295"/>
      <c r="CG535" s="295"/>
      <c r="CH535" s="295"/>
      <c r="CI535" s="295"/>
      <c r="CJ535" s="295"/>
      <c r="CK535" s="295"/>
      <c r="CL535" s="295"/>
      <c r="CM535" s="295"/>
      <c r="CN535" s="295"/>
      <c r="CO535" s="295"/>
      <c r="CP535" s="295"/>
      <c r="CQ535" s="295"/>
      <c r="CR535" s="295"/>
      <c r="CS535" s="295"/>
      <c r="CT535" s="295"/>
      <c r="CU535" s="295"/>
      <c r="CV535" s="295"/>
      <c r="CW535" s="295"/>
      <c r="CX535" s="295"/>
      <c r="CY535" s="295"/>
      <c r="CZ535" s="295"/>
      <c r="DA535" s="295"/>
      <c r="DB535" s="295"/>
      <c r="DC535" s="295"/>
      <c r="DD535" s="295"/>
      <c r="DE535" s="295"/>
      <c r="DF535" s="295"/>
      <c r="DG535" s="295"/>
      <c r="DH535" s="295"/>
      <c r="DI535" s="295"/>
      <c r="DJ535" s="295"/>
      <c r="DK535" s="295"/>
      <c r="DL535" s="295"/>
      <c r="DM535" s="295"/>
      <c r="DN535" s="295"/>
      <c r="DO535" s="295"/>
      <c r="DP535" s="295"/>
      <c r="DQ535" s="295"/>
      <c r="DR535" s="295"/>
      <c r="DS535" s="295"/>
      <c r="DT535" s="295"/>
      <c r="DU535" s="295"/>
      <c r="DV535" s="295"/>
      <c r="DW535" s="295"/>
      <c r="DX535" s="295"/>
      <c r="DY535" s="295"/>
      <c r="DZ535" s="295"/>
      <c r="EA535" s="295"/>
      <c r="EB535" s="295"/>
      <c r="EC535" s="295"/>
      <c r="ED535" s="113" t="s">
        <v>1</v>
      </c>
    </row>
    <row r="536" spans="1:134" x14ac:dyDescent="0.2">
      <c r="A536" s="116" t="s">
        <v>258</v>
      </c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15"/>
      <c r="AU536" s="115"/>
      <c r="AV536" s="115"/>
      <c r="AW536" s="115"/>
      <c r="AX536" s="115"/>
      <c r="AY536" s="115"/>
      <c r="AZ536" s="115"/>
      <c r="BA536" s="115"/>
      <c r="BB536" s="115"/>
      <c r="BC536" s="115"/>
      <c r="BD536" s="115"/>
      <c r="BE536" s="115"/>
      <c r="BF536" s="115"/>
      <c r="BG536" s="115"/>
      <c r="BH536" s="115"/>
      <c r="BI536" s="115"/>
      <c r="BJ536" s="115"/>
      <c r="BK536" s="115"/>
      <c r="BL536" s="115"/>
      <c r="BM536" s="115"/>
      <c r="BN536" s="115"/>
      <c r="BO536" s="115"/>
      <c r="BP536" s="115"/>
      <c r="BQ536" s="115"/>
      <c r="BR536" s="115"/>
      <c r="BS536" s="115"/>
      <c r="BT536" s="115"/>
      <c r="BU536" s="115"/>
      <c r="BV536" s="295"/>
      <c r="BW536" s="295"/>
      <c r="BX536" s="295"/>
      <c r="BY536" s="295"/>
      <c r="BZ536" s="295"/>
      <c r="CA536" s="295"/>
      <c r="CB536" s="295"/>
      <c r="CC536" s="295"/>
      <c r="CD536" s="295"/>
      <c r="CE536" s="295"/>
      <c r="CF536" s="295"/>
      <c r="CG536" s="295"/>
      <c r="CH536" s="295"/>
      <c r="CI536" s="295"/>
      <c r="CJ536" s="295"/>
      <c r="CK536" s="295"/>
      <c r="CL536" s="295"/>
      <c r="CM536" s="295"/>
      <c r="CN536" s="295"/>
      <c r="CO536" s="295"/>
      <c r="CP536" s="295"/>
      <c r="CQ536" s="295"/>
      <c r="CR536" s="295"/>
      <c r="CS536" s="295"/>
      <c r="CT536" s="295"/>
      <c r="CU536" s="295"/>
      <c r="CV536" s="295"/>
      <c r="CW536" s="295"/>
      <c r="CX536" s="295"/>
      <c r="CY536" s="295"/>
      <c r="CZ536" s="295"/>
      <c r="DA536" s="295"/>
      <c r="DB536" s="295"/>
      <c r="DC536" s="295"/>
      <c r="DD536" s="295"/>
      <c r="DE536" s="295"/>
      <c r="DF536" s="295"/>
      <c r="DG536" s="295"/>
      <c r="DH536" s="295"/>
      <c r="DI536" s="295"/>
      <c r="DJ536" s="295"/>
      <c r="DK536" s="295"/>
      <c r="DL536" s="295"/>
      <c r="DM536" s="295"/>
      <c r="DN536" s="295"/>
      <c r="DO536" s="295"/>
      <c r="DP536" s="295"/>
      <c r="DQ536" s="295"/>
      <c r="DR536" s="295"/>
      <c r="DS536" s="295"/>
      <c r="DT536" s="295"/>
      <c r="DU536" s="295"/>
      <c r="DV536" s="295"/>
      <c r="DW536" s="295"/>
      <c r="DX536" s="295"/>
      <c r="DY536" s="295"/>
      <c r="DZ536" s="295"/>
      <c r="EA536" s="295"/>
      <c r="EB536" s="295"/>
      <c r="EC536" s="295"/>
      <c r="ED536" s="113" t="s">
        <v>1</v>
      </c>
    </row>
    <row r="537" spans="1:134" x14ac:dyDescent="0.2">
      <c r="A537" s="135" t="s">
        <v>259</v>
      </c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29">
        <f t="shared" ref="AB537:BG537" si="2012">AB497/AB434</f>
        <v>84.414276401564535</v>
      </c>
      <c r="AC537" s="129">
        <f t="shared" si="2012"/>
        <v>82.707710699342499</v>
      </c>
      <c r="AD537" s="129">
        <f t="shared" si="2012"/>
        <v>82.933764135702745</v>
      </c>
      <c r="AE537" s="129">
        <f t="shared" si="2012"/>
        <v>80.294117647058826</v>
      </c>
      <c r="AF537" s="129">
        <f t="shared" si="2012"/>
        <v>65.741853658536584</v>
      </c>
      <c r="AG537" s="129">
        <f t="shared" si="2012"/>
        <v>59.161782816150883</v>
      </c>
      <c r="AH537" s="129">
        <f t="shared" si="2012"/>
        <v>58.069036307764989</v>
      </c>
      <c r="AI537" s="129">
        <f t="shared" si="2012"/>
        <v>58.348636240885767</v>
      </c>
      <c r="AJ537" s="129">
        <f t="shared" si="2012"/>
        <v>56.41379662749106</v>
      </c>
      <c r="AK537" s="129">
        <f t="shared" si="2012"/>
        <v>47.82841131069253</v>
      </c>
      <c r="AL537" s="129">
        <f t="shared" si="2012"/>
        <v>55.939334363151239</v>
      </c>
      <c r="AM537" s="129">
        <f t="shared" si="2012"/>
        <v>66.184859154929583</v>
      </c>
      <c r="AN537" s="129">
        <f t="shared" si="2012"/>
        <v>115.36760108468488</v>
      </c>
      <c r="AO537" s="129">
        <f t="shared" si="2012"/>
        <v>56.567139200630045</v>
      </c>
      <c r="AP537" s="129">
        <f t="shared" si="2012"/>
        <v>56.825246132208157</v>
      </c>
      <c r="AQ537" s="129">
        <f t="shared" si="2012"/>
        <v>57.109517420471761</v>
      </c>
      <c r="AR537" s="129">
        <f t="shared" si="2012"/>
        <v>63.821245857577004</v>
      </c>
      <c r="AS537" s="129">
        <f t="shared" si="2012"/>
        <v>63.534939664081683</v>
      </c>
      <c r="AT537" s="129">
        <f t="shared" si="2012"/>
        <v>57.027485293390676</v>
      </c>
      <c r="AU537" s="129">
        <f t="shared" si="2012"/>
        <v>52.05996758508914</v>
      </c>
      <c r="AV537" s="129">
        <f t="shared" si="2012"/>
        <v>51.874387375024504</v>
      </c>
      <c r="AW537" s="129">
        <f t="shared" si="2012"/>
        <v>54.677351030782262</v>
      </c>
      <c r="AX537" s="129">
        <f t="shared" si="2012"/>
        <v>62.539148298159233</v>
      </c>
      <c r="AY537" s="129">
        <f t="shared" si="2012"/>
        <v>60.974843968495733</v>
      </c>
      <c r="AZ537" s="129">
        <f t="shared" si="2012"/>
        <v>52</v>
      </c>
      <c r="BA537" s="129">
        <f t="shared" si="2012"/>
        <v>52</v>
      </c>
      <c r="BB537" s="129">
        <f t="shared" si="2012"/>
        <v>52</v>
      </c>
      <c r="BC537" s="129">
        <f t="shared" si="2012"/>
        <v>52</v>
      </c>
      <c r="BD537" s="129">
        <f t="shared" si="2012"/>
        <v>52</v>
      </c>
      <c r="BE537" s="129">
        <f t="shared" si="2012"/>
        <v>52</v>
      </c>
      <c r="BF537" s="129">
        <f t="shared" si="2012"/>
        <v>52</v>
      </c>
      <c r="BG537" s="129">
        <f t="shared" si="2012"/>
        <v>52</v>
      </c>
      <c r="BH537" s="129">
        <f t="shared" ref="BH537:CM537" si="2013">BH497/BH434</f>
        <v>52</v>
      </c>
      <c r="BI537" s="129">
        <f t="shared" si="2013"/>
        <v>52</v>
      </c>
      <c r="BJ537" s="129">
        <f t="shared" si="2013"/>
        <v>52</v>
      </c>
      <c r="BK537" s="129">
        <f t="shared" si="2013"/>
        <v>55</v>
      </c>
      <c r="BL537" s="129">
        <f t="shared" si="2013"/>
        <v>55</v>
      </c>
      <c r="BM537" s="129">
        <f t="shared" si="2013"/>
        <v>55</v>
      </c>
      <c r="BN537" s="129">
        <f t="shared" si="2013"/>
        <v>55</v>
      </c>
      <c r="BO537" s="129">
        <f t="shared" si="2013"/>
        <v>55</v>
      </c>
      <c r="BP537" s="129">
        <f t="shared" si="2013"/>
        <v>55</v>
      </c>
      <c r="BQ537" s="129">
        <f t="shared" si="2013"/>
        <v>55</v>
      </c>
      <c r="BR537" s="129">
        <f t="shared" si="2013"/>
        <v>55</v>
      </c>
      <c r="BS537" s="129">
        <f t="shared" si="2013"/>
        <v>55</v>
      </c>
      <c r="BT537" s="129">
        <f t="shared" si="2013"/>
        <v>55</v>
      </c>
      <c r="BU537" s="129">
        <f t="shared" si="2013"/>
        <v>55</v>
      </c>
      <c r="BV537" s="129">
        <f t="shared" si="2013"/>
        <v>55</v>
      </c>
      <c r="BW537" s="129">
        <f t="shared" si="2013"/>
        <v>55</v>
      </c>
      <c r="BX537" s="129">
        <f t="shared" si="2013"/>
        <v>55</v>
      </c>
      <c r="BY537" s="129">
        <f t="shared" si="2013"/>
        <v>55</v>
      </c>
      <c r="BZ537" s="129">
        <f t="shared" si="2013"/>
        <v>55</v>
      </c>
      <c r="CA537" s="129">
        <f t="shared" si="2013"/>
        <v>55</v>
      </c>
      <c r="CB537" s="129">
        <f t="shared" si="2013"/>
        <v>55</v>
      </c>
      <c r="CC537" s="129">
        <f t="shared" si="2013"/>
        <v>55</v>
      </c>
      <c r="CD537" s="129">
        <f t="shared" si="2013"/>
        <v>55</v>
      </c>
      <c r="CE537" s="129">
        <f t="shared" si="2013"/>
        <v>55</v>
      </c>
      <c r="CF537" s="129">
        <f t="shared" si="2013"/>
        <v>55</v>
      </c>
      <c r="CG537" s="129">
        <f t="shared" si="2013"/>
        <v>55</v>
      </c>
      <c r="CH537" s="129">
        <f t="shared" si="2013"/>
        <v>55</v>
      </c>
      <c r="CI537" s="129">
        <f t="shared" si="2013"/>
        <v>55</v>
      </c>
      <c r="CJ537" s="129">
        <f t="shared" si="2013"/>
        <v>55</v>
      </c>
      <c r="CK537" s="129">
        <f t="shared" si="2013"/>
        <v>55</v>
      </c>
      <c r="CL537" s="129">
        <f t="shared" si="2013"/>
        <v>55</v>
      </c>
      <c r="CM537" s="129">
        <f t="shared" si="2013"/>
        <v>55</v>
      </c>
      <c r="CN537" s="129">
        <f t="shared" ref="CN537:CS537" si="2014">CN497/CN434</f>
        <v>55</v>
      </c>
      <c r="CO537" s="129">
        <f t="shared" si="2014"/>
        <v>55</v>
      </c>
      <c r="CP537" s="129">
        <f t="shared" si="2014"/>
        <v>55</v>
      </c>
      <c r="CQ537" s="129">
        <f t="shared" si="2014"/>
        <v>55</v>
      </c>
      <c r="CR537" s="129">
        <f t="shared" si="2014"/>
        <v>55</v>
      </c>
      <c r="CS537" s="129">
        <f t="shared" si="2014"/>
        <v>55</v>
      </c>
      <c r="CT537" s="129">
        <f>AVERAGE(CH537:CS537)*(1+CT538)</f>
        <v>57.75</v>
      </c>
      <c r="CU537" s="129">
        <f>CT537*(1+CU538)</f>
        <v>57.75</v>
      </c>
      <c r="CV537" s="129">
        <f t="shared" ref="CV537:DQ537" si="2015">CU537*(1+CV538)</f>
        <v>57.75</v>
      </c>
      <c r="CW537" s="129">
        <f t="shared" si="2015"/>
        <v>57.75</v>
      </c>
      <c r="CX537" s="129">
        <f t="shared" si="2015"/>
        <v>57.75</v>
      </c>
      <c r="CY537" s="129">
        <f t="shared" si="2015"/>
        <v>57.75</v>
      </c>
      <c r="CZ537" s="129">
        <f t="shared" si="2015"/>
        <v>57.75</v>
      </c>
      <c r="DA537" s="129">
        <f t="shared" si="2015"/>
        <v>57.75</v>
      </c>
      <c r="DB537" s="129">
        <f t="shared" si="2015"/>
        <v>57.75</v>
      </c>
      <c r="DC537" s="129">
        <f t="shared" si="2015"/>
        <v>57.75</v>
      </c>
      <c r="DD537" s="129">
        <f t="shared" si="2015"/>
        <v>57.75</v>
      </c>
      <c r="DE537" s="129">
        <f t="shared" si="2015"/>
        <v>57.75</v>
      </c>
      <c r="DF537" s="129">
        <f t="shared" si="2015"/>
        <v>57.75</v>
      </c>
      <c r="DG537" s="129">
        <f t="shared" si="2015"/>
        <v>57.75</v>
      </c>
      <c r="DH537" s="129">
        <f t="shared" si="2015"/>
        <v>57.75</v>
      </c>
      <c r="DI537" s="129">
        <f t="shared" si="2015"/>
        <v>57.75</v>
      </c>
      <c r="DJ537" s="129">
        <f t="shared" si="2015"/>
        <v>57.75</v>
      </c>
      <c r="DK537" s="129">
        <f t="shared" si="2015"/>
        <v>57.75</v>
      </c>
      <c r="DL537" s="129">
        <f t="shared" si="2015"/>
        <v>57.75</v>
      </c>
      <c r="DM537" s="129">
        <f t="shared" si="2015"/>
        <v>57.75</v>
      </c>
      <c r="DN537" s="129">
        <f t="shared" si="2015"/>
        <v>57.75</v>
      </c>
      <c r="DO537" s="129">
        <f t="shared" si="2015"/>
        <v>57.75</v>
      </c>
      <c r="DP537" s="129">
        <f t="shared" si="2015"/>
        <v>57.75</v>
      </c>
      <c r="DQ537" s="129">
        <f t="shared" si="2015"/>
        <v>57.75</v>
      </c>
      <c r="DR537" s="129">
        <f t="shared" ref="DR537" si="2016">DQ537*(1+DR538)</f>
        <v>60.637500000000003</v>
      </c>
      <c r="DS537" s="129">
        <f t="shared" ref="DS537" si="2017">DR537*(1+DS538)</f>
        <v>60.637500000000003</v>
      </c>
      <c r="DT537" s="129">
        <f t="shared" ref="DT537" si="2018">DS537*(1+DT538)</f>
        <v>60.637500000000003</v>
      </c>
      <c r="DU537" s="129">
        <f t="shared" ref="DU537" si="2019">DT537*(1+DU538)</f>
        <v>60.637500000000003</v>
      </c>
      <c r="DV537" s="129">
        <f t="shared" ref="DV537" si="2020">DU537*(1+DV538)</f>
        <v>60.637500000000003</v>
      </c>
      <c r="DW537" s="129">
        <f t="shared" ref="DW537" si="2021">DV537*(1+DW538)</f>
        <v>60.637500000000003</v>
      </c>
      <c r="DX537" s="129">
        <f t="shared" ref="DX537" si="2022">DW537*(1+DX538)</f>
        <v>60.637500000000003</v>
      </c>
      <c r="DY537" s="129">
        <f t="shared" ref="DY537" si="2023">DX537*(1+DY538)</f>
        <v>60.637500000000003</v>
      </c>
      <c r="DZ537" s="129">
        <f t="shared" ref="DZ537" si="2024">DY537*(1+DZ538)</f>
        <v>60.637500000000003</v>
      </c>
      <c r="EA537" s="129">
        <f t="shared" ref="EA537" si="2025">DZ537*(1+EA538)</f>
        <v>60.637500000000003</v>
      </c>
      <c r="EB537" s="129">
        <f t="shared" ref="EB537" si="2026">EA537*(1+EB538)</f>
        <v>60.637500000000003</v>
      </c>
      <c r="EC537" s="129">
        <f t="shared" ref="EC537" si="2027">EB537*(1+EC538)</f>
        <v>60.637500000000003</v>
      </c>
      <c r="ED537" s="113" t="s">
        <v>1</v>
      </c>
    </row>
    <row r="538" spans="1:134" x14ac:dyDescent="0.2">
      <c r="A538" s="739" t="s">
        <v>255</v>
      </c>
      <c r="B538" s="708"/>
      <c r="C538" s="708"/>
      <c r="D538" s="708"/>
      <c r="E538" s="708"/>
      <c r="F538" s="708"/>
      <c r="G538" s="708"/>
      <c r="H538" s="708"/>
      <c r="I538" s="708"/>
      <c r="J538" s="708"/>
      <c r="K538" s="708"/>
      <c r="L538" s="708"/>
      <c r="M538" s="708"/>
      <c r="N538" s="708"/>
      <c r="O538" s="708"/>
      <c r="P538" s="708"/>
      <c r="Q538" s="708"/>
      <c r="R538" s="708"/>
      <c r="S538" s="708"/>
      <c r="T538" s="708"/>
      <c r="U538" s="708"/>
      <c r="V538" s="708"/>
      <c r="W538" s="708"/>
      <c r="X538" s="708"/>
      <c r="Y538" s="708"/>
      <c r="Z538" s="708"/>
      <c r="AA538" s="708"/>
      <c r="AB538" s="708"/>
      <c r="AC538" s="708"/>
      <c r="AD538" s="708"/>
      <c r="AE538" s="708"/>
      <c r="AF538" s="708"/>
      <c r="AG538" s="708"/>
      <c r="AH538" s="708"/>
      <c r="AI538" s="708"/>
      <c r="AJ538" s="708"/>
      <c r="AK538" s="708"/>
      <c r="AL538" s="708"/>
      <c r="AM538" s="708"/>
      <c r="AN538" s="708"/>
      <c r="AO538" s="708"/>
      <c r="AP538" s="708"/>
      <c r="AQ538" s="708"/>
      <c r="AR538" s="708"/>
      <c r="AS538" s="708"/>
      <c r="AT538" s="708"/>
      <c r="AU538" s="708"/>
      <c r="AV538" s="708"/>
      <c r="AW538" s="708"/>
      <c r="AX538" s="708"/>
      <c r="AY538" s="708"/>
      <c r="AZ538" s="708"/>
      <c r="BA538" s="708"/>
      <c r="BB538" s="708"/>
      <c r="BC538" s="708"/>
      <c r="BD538" s="708"/>
      <c r="BE538" s="708"/>
      <c r="BF538" s="708"/>
      <c r="BG538" s="708"/>
      <c r="BH538" s="708"/>
      <c r="BI538" s="708"/>
      <c r="BJ538" s="708"/>
      <c r="BK538" s="708"/>
      <c r="BL538" s="708"/>
      <c r="BM538" s="708"/>
      <c r="BN538" s="708"/>
      <c r="BO538" s="708"/>
      <c r="BP538" s="708"/>
      <c r="BQ538" s="708"/>
      <c r="BR538" s="708"/>
      <c r="BS538" s="708"/>
      <c r="BT538" s="708"/>
      <c r="BU538" s="708"/>
      <c r="BV538" s="708"/>
      <c r="BW538" s="708"/>
      <c r="BX538" s="708"/>
      <c r="BY538" s="708"/>
      <c r="BZ538" s="708"/>
      <c r="CA538" s="708"/>
      <c r="CB538" s="708"/>
      <c r="CC538" s="708"/>
      <c r="CD538" s="708"/>
      <c r="CE538" s="708"/>
      <c r="CF538" s="708"/>
      <c r="CG538" s="708"/>
      <c r="CH538" s="708"/>
      <c r="CI538" s="708"/>
      <c r="CJ538" s="708"/>
      <c r="CK538" s="708"/>
      <c r="CL538" s="708"/>
      <c r="CM538" s="708"/>
      <c r="CN538" s="708"/>
      <c r="CO538" s="708"/>
      <c r="CP538" s="708"/>
      <c r="CQ538" s="708"/>
      <c r="CR538" s="708"/>
      <c r="CS538" s="708"/>
      <c r="CT538" s="702">
        <v>0.05</v>
      </c>
      <c r="CU538" s="708"/>
      <c r="CV538" s="708"/>
      <c r="CW538" s="708"/>
      <c r="CX538" s="708"/>
      <c r="CY538" s="708"/>
      <c r="CZ538" s="708"/>
      <c r="DA538" s="708"/>
      <c r="DB538" s="708"/>
      <c r="DC538" s="708"/>
      <c r="DD538" s="708"/>
      <c r="DE538" s="708"/>
      <c r="DF538" s="702"/>
      <c r="DG538" s="702"/>
      <c r="DH538" s="702"/>
      <c r="DI538" s="702"/>
      <c r="DJ538" s="702"/>
      <c r="DK538" s="702"/>
      <c r="DL538" s="702"/>
      <c r="DM538" s="702"/>
      <c r="DN538" s="702"/>
      <c r="DO538" s="702"/>
      <c r="DP538" s="702"/>
      <c r="DQ538" s="702"/>
      <c r="DR538" s="742">
        <v>0.05</v>
      </c>
      <c r="DS538" s="702"/>
      <c r="DT538" s="702"/>
      <c r="DU538" s="702"/>
      <c r="DV538" s="702"/>
      <c r="DW538" s="702"/>
      <c r="DX538" s="702"/>
      <c r="DY538" s="702"/>
      <c r="DZ538" s="702"/>
      <c r="EA538" s="702"/>
      <c r="EB538" s="702"/>
      <c r="EC538" s="702"/>
      <c r="ED538" s="113" t="s">
        <v>1</v>
      </c>
    </row>
    <row r="539" spans="1:134" x14ac:dyDescent="0.2">
      <c r="A539" s="117"/>
      <c r="B539" s="708"/>
      <c r="C539" s="708"/>
      <c r="D539" s="708"/>
      <c r="E539" s="708"/>
      <c r="F539" s="708"/>
      <c r="G539" s="708"/>
      <c r="H539" s="708"/>
      <c r="I539" s="708"/>
      <c r="J539" s="708"/>
      <c r="K539" s="708"/>
      <c r="L539" s="708"/>
      <c r="M539" s="708"/>
      <c r="N539" s="708"/>
      <c r="O539" s="708"/>
      <c r="P539" s="708"/>
      <c r="Q539" s="708"/>
      <c r="R539" s="708"/>
      <c r="S539" s="708"/>
      <c r="T539" s="708"/>
      <c r="U539" s="708"/>
      <c r="V539" s="708"/>
      <c r="W539" s="708"/>
      <c r="X539" s="708"/>
      <c r="Y539" s="708"/>
      <c r="Z539" s="708"/>
      <c r="AA539" s="708"/>
      <c r="AB539" s="708"/>
      <c r="AC539" s="708"/>
      <c r="AD539" s="708"/>
      <c r="AE539" s="708"/>
      <c r="AF539" s="708"/>
      <c r="AG539" s="708"/>
      <c r="AH539" s="708"/>
      <c r="AI539" s="708"/>
      <c r="AJ539" s="708"/>
      <c r="AK539" s="708"/>
      <c r="AL539" s="708"/>
      <c r="AM539" s="708"/>
      <c r="AN539" s="708"/>
      <c r="AO539" s="708"/>
      <c r="AP539" s="708"/>
      <c r="AQ539" s="708"/>
      <c r="AR539" s="708"/>
      <c r="AS539" s="708"/>
      <c r="AT539" s="708"/>
      <c r="AU539" s="708"/>
      <c r="AV539" s="708"/>
      <c r="AW539" s="708"/>
      <c r="AX539" s="708"/>
      <c r="AY539" s="708"/>
      <c r="AZ539" s="708"/>
      <c r="BA539" s="708"/>
      <c r="BB539" s="708"/>
      <c r="BC539" s="708"/>
      <c r="BD539" s="708"/>
      <c r="BE539" s="708"/>
      <c r="BF539" s="708"/>
      <c r="BG539" s="708"/>
      <c r="BH539" s="708"/>
      <c r="BI539" s="708"/>
      <c r="BJ539" s="708"/>
      <c r="BK539" s="708"/>
      <c r="BL539" s="708"/>
      <c r="BM539" s="708"/>
      <c r="BN539" s="708"/>
      <c r="BO539" s="708"/>
      <c r="BP539" s="708"/>
      <c r="BQ539" s="708"/>
      <c r="BR539" s="708"/>
      <c r="BS539" s="708"/>
      <c r="BT539" s="708"/>
      <c r="BU539" s="708"/>
      <c r="BV539" s="708"/>
      <c r="BW539" s="708"/>
      <c r="BX539" s="708"/>
      <c r="BY539" s="708"/>
      <c r="BZ539" s="708"/>
      <c r="CA539" s="708"/>
      <c r="CB539" s="708"/>
      <c r="CC539" s="708"/>
      <c r="CD539" s="708"/>
      <c r="CE539" s="708"/>
      <c r="CF539" s="708"/>
      <c r="CG539" s="708"/>
      <c r="CH539" s="708"/>
      <c r="CI539" s="708"/>
      <c r="CJ539" s="708"/>
      <c r="CK539" s="708"/>
      <c r="CL539" s="708"/>
      <c r="CM539" s="708"/>
      <c r="CN539" s="708"/>
      <c r="CO539" s="708"/>
      <c r="CP539" s="708"/>
      <c r="CQ539" s="708"/>
      <c r="CR539" s="708"/>
      <c r="CS539" s="708"/>
      <c r="CT539" s="708"/>
      <c r="CU539" s="708"/>
      <c r="CV539" s="708"/>
      <c r="CW539" s="708"/>
      <c r="CX539" s="708"/>
      <c r="CY539" s="708"/>
      <c r="CZ539" s="708"/>
      <c r="DA539" s="708"/>
      <c r="DB539" s="708"/>
      <c r="DC539" s="708"/>
      <c r="DD539" s="708"/>
      <c r="DE539" s="708"/>
      <c r="DF539" s="702"/>
      <c r="DG539" s="702"/>
      <c r="DH539" s="702"/>
      <c r="DI539" s="702"/>
      <c r="DJ539" s="702"/>
      <c r="DK539" s="702"/>
      <c r="DL539" s="702"/>
      <c r="DM539" s="702"/>
      <c r="DN539" s="702"/>
      <c r="DO539" s="702"/>
      <c r="DP539" s="702"/>
      <c r="DQ539" s="702"/>
      <c r="DR539" s="702"/>
      <c r="DS539" s="702"/>
      <c r="DT539" s="702"/>
      <c r="DU539" s="702"/>
      <c r="DV539" s="702"/>
      <c r="DW539" s="702"/>
      <c r="DX539" s="702"/>
      <c r="DY539" s="702"/>
      <c r="DZ539" s="702"/>
      <c r="EA539" s="702"/>
      <c r="EB539" s="702"/>
      <c r="EC539" s="702"/>
      <c r="ED539" s="113" t="s">
        <v>1</v>
      </c>
    </row>
    <row r="540" spans="1:134" x14ac:dyDescent="0.2">
      <c r="A540" s="116" t="s">
        <v>260</v>
      </c>
      <c r="B540" s="708"/>
      <c r="C540" s="708"/>
      <c r="D540" s="708"/>
      <c r="E540" s="708"/>
      <c r="F540" s="708"/>
      <c r="G540" s="708"/>
      <c r="H540" s="708"/>
      <c r="I540" s="708"/>
      <c r="J540" s="708"/>
      <c r="K540" s="708"/>
      <c r="L540" s="708"/>
      <c r="M540" s="708"/>
      <c r="N540" s="708"/>
      <c r="O540" s="708"/>
      <c r="P540" s="708"/>
      <c r="Q540" s="708"/>
      <c r="R540" s="708"/>
      <c r="S540" s="708"/>
      <c r="T540" s="708"/>
      <c r="U540" s="708"/>
      <c r="V540" s="708"/>
      <c r="W540" s="708"/>
      <c r="X540" s="708"/>
      <c r="Y540" s="708"/>
      <c r="Z540" s="708"/>
      <c r="AA540" s="708"/>
      <c r="AB540" s="743">
        <f t="shared" ref="AB540:BG540" si="2028">AB498/AB434</f>
        <v>133.8780964797914</v>
      </c>
      <c r="AC540" s="743">
        <f t="shared" si="2028"/>
        <v>279.68230723251645</v>
      </c>
      <c r="AD540" s="743">
        <f t="shared" si="2028"/>
        <v>387.52154011847063</v>
      </c>
      <c r="AE540" s="743">
        <f t="shared" si="2028"/>
        <v>345.93080910525129</v>
      </c>
      <c r="AF540" s="743">
        <f t="shared" si="2028"/>
        <v>274.69600000000003</v>
      </c>
      <c r="AG540" s="743">
        <f t="shared" si="2028"/>
        <v>226.47496302671072</v>
      </c>
      <c r="AH540" s="743">
        <f t="shared" si="2028"/>
        <v>266.55799556003922</v>
      </c>
      <c r="AI540" s="743">
        <f t="shared" si="2028"/>
        <v>236.14843820325862</v>
      </c>
      <c r="AJ540" s="743">
        <f t="shared" si="2028"/>
        <v>176.14368932038835</v>
      </c>
      <c r="AK540" s="743">
        <f t="shared" si="2028"/>
        <v>143.06583747796165</v>
      </c>
      <c r="AL540" s="743">
        <f t="shared" si="2028"/>
        <v>151.13972756635303</v>
      </c>
      <c r="AM540" s="743">
        <f t="shared" si="2028"/>
        <v>106.98013078470825</v>
      </c>
      <c r="AN540" s="743">
        <f t="shared" si="2028"/>
        <v>136.30600894692299</v>
      </c>
      <c r="AO540" s="743">
        <f t="shared" si="2028"/>
        <v>168.12852825359323</v>
      </c>
      <c r="AP540" s="743">
        <f t="shared" si="2028"/>
        <v>174.0893556610408</v>
      </c>
      <c r="AQ540" s="743">
        <f t="shared" si="2028"/>
        <v>198.11772585086436</v>
      </c>
      <c r="AR540" s="743">
        <f t="shared" si="2028"/>
        <v>190.48379458926112</v>
      </c>
      <c r="AS540" s="743">
        <f t="shared" si="2028"/>
        <v>196.4501962629044</v>
      </c>
      <c r="AT540" s="743">
        <f t="shared" si="2028"/>
        <v>200.51160201570374</v>
      </c>
      <c r="AU540" s="743">
        <f t="shared" si="2028"/>
        <v>200</v>
      </c>
      <c r="AV540" s="743">
        <f t="shared" si="2028"/>
        <v>200.51160201570374</v>
      </c>
      <c r="AW540" s="743">
        <f t="shared" si="2028"/>
        <v>200.51160201570374</v>
      </c>
      <c r="AX540" s="743">
        <f t="shared" si="2028"/>
        <v>224.61138936688167</v>
      </c>
      <c r="AY540" s="743">
        <f t="shared" si="2028"/>
        <v>221.16808026109513</v>
      </c>
      <c r="AZ540" s="743">
        <f t="shared" si="2028"/>
        <v>222.1799488709583</v>
      </c>
      <c r="BA540" s="743">
        <f t="shared" si="2028"/>
        <v>209.84644767415</v>
      </c>
      <c r="BB540" s="743">
        <f t="shared" si="2028"/>
        <v>212.71144167634779</v>
      </c>
      <c r="BC540" s="743">
        <f t="shared" si="2028"/>
        <v>219.1172265715347</v>
      </c>
      <c r="BD540" s="743">
        <f t="shared" si="2028"/>
        <v>211.1550608105731</v>
      </c>
      <c r="BE540" s="743">
        <f t="shared" si="2028"/>
        <v>204.7607641536537</v>
      </c>
      <c r="BF540" s="743">
        <f t="shared" si="2028"/>
        <v>211.32242791673258</v>
      </c>
      <c r="BG540" s="743">
        <f t="shared" si="2028"/>
        <v>209.77784098366976</v>
      </c>
      <c r="BH540" s="743">
        <f t="shared" ref="BH540:CM540" si="2029">BH498/BH434</f>
        <v>210.9610946854159</v>
      </c>
      <c r="BI540" s="743">
        <f t="shared" si="2029"/>
        <v>212.35083426968151</v>
      </c>
      <c r="BJ540" s="743">
        <f t="shared" si="2029"/>
        <v>459.73064252457959</v>
      </c>
      <c r="BK540" s="743">
        <f t="shared" si="2029"/>
        <v>426.16714488373105</v>
      </c>
      <c r="BL540" s="743">
        <f t="shared" si="2029"/>
        <v>340.66187161466468</v>
      </c>
      <c r="BM540" s="743">
        <f t="shared" si="2029"/>
        <v>324.60745132460443</v>
      </c>
      <c r="BN540" s="743">
        <f t="shared" si="2029"/>
        <v>336.2420883982482</v>
      </c>
      <c r="BO540" s="743">
        <f t="shared" si="2029"/>
        <v>332.90281957446246</v>
      </c>
      <c r="BP540" s="743">
        <f t="shared" si="2029"/>
        <v>301.17665489762726</v>
      </c>
      <c r="BQ540" s="743">
        <f t="shared" si="2029"/>
        <v>369.99226004698062</v>
      </c>
      <c r="BR540" s="743">
        <f t="shared" si="2029"/>
        <v>329.60345774849378</v>
      </c>
      <c r="BS540" s="743">
        <f t="shared" si="2029"/>
        <v>305.42671508385376</v>
      </c>
      <c r="BT540" s="743">
        <f t="shared" si="2029"/>
        <v>361.73065589119517</v>
      </c>
      <c r="BU540" s="743">
        <f t="shared" si="2029"/>
        <v>291.95571075268788</v>
      </c>
      <c r="BV540" s="743">
        <f t="shared" si="2029"/>
        <v>308.55143380288786</v>
      </c>
      <c r="BW540" s="743">
        <f t="shared" si="2029"/>
        <v>301.68423528710633</v>
      </c>
      <c r="BX540" s="743">
        <f t="shared" si="2029"/>
        <v>293.84428515682379</v>
      </c>
      <c r="BY540" s="743">
        <f t="shared" si="2029"/>
        <v>304.55935885887692</v>
      </c>
      <c r="BZ540" s="743">
        <f t="shared" si="2029"/>
        <v>306.39572764974088</v>
      </c>
      <c r="CA540" s="743">
        <f t="shared" si="2029"/>
        <v>336.3725791514492</v>
      </c>
      <c r="CB540" s="743">
        <f t="shared" si="2029"/>
        <v>371.66750110735688</v>
      </c>
      <c r="CC540" s="743">
        <f t="shared" si="2029"/>
        <v>413.92335451360037</v>
      </c>
      <c r="CD540" s="743">
        <f t="shared" si="2029"/>
        <v>314.20437394787689</v>
      </c>
      <c r="CE540" s="743">
        <f t="shared" si="2029"/>
        <v>298.29957081923243</v>
      </c>
      <c r="CF540" s="743">
        <f t="shared" si="2029"/>
        <v>307.36912343258541</v>
      </c>
      <c r="CG540" s="743">
        <f t="shared" si="2029"/>
        <v>272.54357993205991</v>
      </c>
      <c r="CH540" s="743">
        <f t="shared" si="2029"/>
        <v>307.38934895410574</v>
      </c>
      <c r="CI540" s="743">
        <f t="shared" si="2029"/>
        <v>275.81353359064281</v>
      </c>
      <c r="CJ540" s="743">
        <f t="shared" si="2029"/>
        <v>214.13845938529056</v>
      </c>
      <c r="CK540" s="743">
        <f t="shared" si="2029"/>
        <v>199.61369123859939</v>
      </c>
      <c r="CL540" s="743">
        <f t="shared" si="2029"/>
        <v>222.94322887138091</v>
      </c>
      <c r="CM540" s="743">
        <f t="shared" si="2029"/>
        <v>249.30726908810013</v>
      </c>
      <c r="CN540" s="743">
        <f t="shared" ref="CN540:CS540" si="2030">CN498/CN434</f>
        <v>269.45271300658834</v>
      </c>
      <c r="CO540" s="743">
        <f t="shared" si="2030"/>
        <v>285.56466636174213</v>
      </c>
      <c r="CP540" s="743">
        <f t="shared" si="2030"/>
        <v>362.35233035273905</v>
      </c>
      <c r="CQ540" s="743">
        <f t="shared" si="2030"/>
        <v>398.09367000170727</v>
      </c>
      <c r="CR540" s="743">
        <f t="shared" si="2030"/>
        <v>439.58848527470246</v>
      </c>
      <c r="CS540" s="743">
        <f t="shared" si="2030"/>
        <v>384.33628427346764</v>
      </c>
      <c r="CT540" s="129">
        <f>AVERAGE(CH540:CS540)*(1+CT541)</f>
        <v>315.75194703491837</v>
      </c>
      <c r="CU540" s="743">
        <f t="shared" ref="CU540:DQ540" si="2031">CT540*(1+CU541)</f>
        <v>315.75194703491837</v>
      </c>
      <c r="CV540" s="743">
        <f t="shared" si="2031"/>
        <v>315.75194703491837</v>
      </c>
      <c r="CW540" s="743">
        <f t="shared" si="2031"/>
        <v>315.75194703491837</v>
      </c>
      <c r="CX540" s="743">
        <f t="shared" si="2031"/>
        <v>315.75194703491837</v>
      </c>
      <c r="CY540" s="743">
        <f t="shared" si="2031"/>
        <v>315.75194703491837</v>
      </c>
      <c r="CZ540" s="743">
        <f t="shared" si="2031"/>
        <v>315.75194703491837</v>
      </c>
      <c r="DA540" s="743">
        <f t="shared" si="2031"/>
        <v>315.75194703491837</v>
      </c>
      <c r="DB540" s="743">
        <f t="shared" si="2031"/>
        <v>315.75194703491837</v>
      </c>
      <c r="DC540" s="743">
        <f t="shared" si="2031"/>
        <v>315.75194703491837</v>
      </c>
      <c r="DD540" s="743">
        <f t="shared" si="2031"/>
        <v>315.75194703491837</v>
      </c>
      <c r="DE540" s="743">
        <f t="shared" si="2031"/>
        <v>315.75194703491837</v>
      </c>
      <c r="DF540" s="743">
        <f t="shared" si="2031"/>
        <v>331.53954438666432</v>
      </c>
      <c r="DG540" s="743">
        <f t="shared" si="2031"/>
        <v>331.53954438666432</v>
      </c>
      <c r="DH540" s="743">
        <f t="shared" si="2031"/>
        <v>331.53954438666432</v>
      </c>
      <c r="DI540" s="743">
        <f t="shared" si="2031"/>
        <v>331.53954438666432</v>
      </c>
      <c r="DJ540" s="743">
        <f t="shared" si="2031"/>
        <v>331.53954438666432</v>
      </c>
      <c r="DK540" s="743">
        <f t="shared" si="2031"/>
        <v>331.53954438666432</v>
      </c>
      <c r="DL540" s="743">
        <f t="shared" si="2031"/>
        <v>331.53954438666432</v>
      </c>
      <c r="DM540" s="743">
        <f t="shared" si="2031"/>
        <v>331.53954438666432</v>
      </c>
      <c r="DN540" s="743">
        <f t="shared" si="2031"/>
        <v>331.53954438666432</v>
      </c>
      <c r="DO540" s="743">
        <f t="shared" si="2031"/>
        <v>331.53954438666432</v>
      </c>
      <c r="DP540" s="743">
        <f t="shared" si="2031"/>
        <v>331.53954438666432</v>
      </c>
      <c r="DQ540" s="743">
        <f t="shared" si="2031"/>
        <v>331.53954438666432</v>
      </c>
      <c r="DR540" s="743">
        <f t="shared" ref="DR540" si="2032">DQ540*(1+DR541)</f>
        <v>348.11652160599755</v>
      </c>
      <c r="DS540" s="743">
        <f t="shared" ref="DS540" si="2033">DR540*(1+DS541)</f>
        <v>348.11652160599755</v>
      </c>
      <c r="DT540" s="743">
        <f t="shared" ref="DT540" si="2034">DS540*(1+DT541)</f>
        <v>348.11652160599755</v>
      </c>
      <c r="DU540" s="743">
        <f t="shared" ref="DU540" si="2035">DT540*(1+DU541)</f>
        <v>348.11652160599755</v>
      </c>
      <c r="DV540" s="743">
        <f t="shared" ref="DV540" si="2036">DU540*(1+DV541)</f>
        <v>348.11652160599755</v>
      </c>
      <c r="DW540" s="743">
        <f t="shared" ref="DW540" si="2037">DV540*(1+DW541)</f>
        <v>348.11652160599755</v>
      </c>
      <c r="DX540" s="743">
        <f t="shared" ref="DX540" si="2038">DW540*(1+DX541)</f>
        <v>348.11652160599755</v>
      </c>
      <c r="DY540" s="743">
        <f t="shared" ref="DY540" si="2039">DX540*(1+DY541)</f>
        <v>348.11652160599755</v>
      </c>
      <c r="DZ540" s="743">
        <f t="shared" ref="DZ540" si="2040">DY540*(1+DZ541)</f>
        <v>348.11652160599755</v>
      </c>
      <c r="EA540" s="743">
        <f t="shared" ref="EA540" si="2041">DZ540*(1+EA541)</f>
        <v>348.11652160599755</v>
      </c>
      <c r="EB540" s="743">
        <f t="shared" ref="EB540" si="2042">EA540*(1+EB541)</f>
        <v>348.11652160599755</v>
      </c>
      <c r="EC540" s="743">
        <f t="shared" ref="EC540" si="2043">EB540*(1+EC541)</f>
        <v>348.11652160599755</v>
      </c>
      <c r="ED540" s="113" t="s">
        <v>1</v>
      </c>
    </row>
    <row r="541" spans="1:134" x14ac:dyDescent="0.2">
      <c r="A541" s="739" t="s">
        <v>255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708"/>
      <c r="AB541" s="708"/>
      <c r="AC541" s="708"/>
      <c r="AD541" s="708"/>
      <c r="AE541" s="708"/>
      <c r="AF541" s="708"/>
      <c r="AG541" s="708"/>
      <c r="AH541" s="708"/>
      <c r="AI541" s="708"/>
      <c r="AJ541" s="708"/>
      <c r="AK541" s="708"/>
      <c r="AL541" s="708"/>
      <c r="AM541" s="708"/>
      <c r="AN541" s="708"/>
      <c r="AO541" s="708"/>
      <c r="AP541" s="708"/>
      <c r="AQ541" s="708"/>
      <c r="AR541" s="708"/>
      <c r="AS541" s="708"/>
      <c r="AT541" s="708"/>
      <c r="AU541" s="708"/>
      <c r="AV541" s="708"/>
      <c r="AW541" s="708"/>
      <c r="AX541" s="708"/>
      <c r="AY541" s="708"/>
      <c r="AZ541" s="708"/>
      <c r="BA541" s="708"/>
      <c r="BB541" s="708"/>
      <c r="BC541" s="708"/>
      <c r="BD541" s="708"/>
      <c r="BE541" s="708"/>
      <c r="BF541" s="708"/>
      <c r="BG541" s="708"/>
      <c r="BH541" s="708"/>
      <c r="BI541" s="708"/>
      <c r="BJ541" s="708"/>
      <c r="BK541" s="708"/>
      <c r="BL541" s="708"/>
      <c r="BM541" s="708"/>
      <c r="BN541" s="708"/>
      <c r="BO541" s="708"/>
      <c r="BP541" s="708"/>
      <c r="BQ541" s="708"/>
      <c r="BR541" s="708"/>
      <c r="BS541" s="708"/>
      <c r="BT541" s="708"/>
      <c r="BU541" s="708"/>
      <c r="BV541" s="708"/>
      <c r="BW541" s="708"/>
      <c r="BX541" s="708"/>
      <c r="BY541" s="708"/>
      <c r="BZ541" s="708"/>
      <c r="CA541" s="708"/>
      <c r="CB541" s="708"/>
      <c r="CC541" s="708"/>
      <c r="CD541" s="708"/>
      <c r="CE541" s="708"/>
      <c r="CF541" s="708"/>
      <c r="CG541" s="708"/>
      <c r="CH541" s="708"/>
      <c r="CI541" s="708"/>
      <c r="CJ541" s="708"/>
      <c r="CK541" s="708"/>
      <c r="CL541" s="708"/>
      <c r="CM541" s="708"/>
      <c r="CN541" s="708"/>
      <c r="CO541" s="708"/>
      <c r="CP541" s="708"/>
      <c r="CQ541" s="708"/>
      <c r="CR541" s="708"/>
      <c r="CS541" s="708"/>
      <c r="CT541" s="742">
        <v>0.05</v>
      </c>
      <c r="CU541" s="708"/>
      <c r="CV541" s="708"/>
      <c r="CW541" s="708"/>
      <c r="CX541" s="708"/>
      <c r="CY541" s="708"/>
      <c r="CZ541" s="708"/>
      <c r="DA541" s="708"/>
      <c r="DB541" s="708"/>
      <c r="DC541" s="708"/>
      <c r="DD541" s="708"/>
      <c r="DE541" s="708"/>
      <c r="DF541" s="742">
        <v>0.05</v>
      </c>
      <c r="DG541" s="702"/>
      <c r="DH541" s="702"/>
      <c r="DI541" s="702"/>
      <c r="DJ541" s="702"/>
      <c r="DK541" s="702"/>
      <c r="DL541" s="702"/>
      <c r="DM541" s="702"/>
      <c r="DN541" s="702"/>
      <c r="DO541" s="702"/>
      <c r="DP541" s="702"/>
      <c r="DQ541" s="702"/>
      <c r="DR541" s="742">
        <v>0.05</v>
      </c>
      <c r="DS541" s="115"/>
      <c r="DT541" s="115"/>
      <c r="DU541" s="115"/>
      <c r="DV541" s="115"/>
      <c r="DW541" s="115"/>
      <c r="DX541" s="115"/>
      <c r="DY541" s="115"/>
      <c r="DZ541" s="115"/>
      <c r="EA541" s="115"/>
      <c r="EB541" s="115"/>
      <c r="EC541" s="645"/>
      <c r="ED541" s="113" t="s">
        <v>1</v>
      </c>
    </row>
    <row r="542" spans="1:134" x14ac:dyDescent="0.2">
      <c r="A542" s="119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15"/>
      <c r="AU542" s="115"/>
      <c r="AV542" s="115"/>
      <c r="AW542" s="115"/>
      <c r="AX542" s="115"/>
      <c r="AY542" s="115"/>
      <c r="AZ542" s="115"/>
      <c r="BA542" s="115"/>
      <c r="BB542" s="115"/>
      <c r="BC542" s="115"/>
      <c r="BD542" s="115"/>
      <c r="BE542" s="115"/>
      <c r="BF542" s="115"/>
      <c r="BG542" s="115"/>
      <c r="BH542" s="115"/>
      <c r="BI542" s="115"/>
      <c r="BJ542" s="115"/>
      <c r="BK542" s="115"/>
      <c r="BL542" s="115"/>
      <c r="BM542" s="115"/>
      <c r="BN542" s="115"/>
      <c r="BO542" s="115"/>
      <c r="BP542" s="115"/>
      <c r="BQ542" s="115"/>
      <c r="BR542" s="115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115"/>
      <c r="CC542" s="115"/>
      <c r="CD542" s="115"/>
      <c r="CE542" s="115"/>
      <c r="CF542" s="115"/>
      <c r="CG542" s="115"/>
      <c r="CH542" s="115"/>
      <c r="CI542" s="115"/>
      <c r="CJ542" s="115"/>
      <c r="CK542" s="115"/>
      <c r="CL542" s="115"/>
      <c r="CM542" s="115"/>
      <c r="CN542" s="115"/>
      <c r="CO542" s="115"/>
      <c r="CP542" s="115"/>
      <c r="CQ542" s="115"/>
      <c r="CR542" s="115"/>
      <c r="CS542" s="115"/>
      <c r="CT542" s="115"/>
      <c r="CU542" s="115"/>
      <c r="CV542" s="115"/>
      <c r="CW542" s="115"/>
      <c r="CX542" s="115"/>
      <c r="CY542" s="115"/>
      <c r="CZ542" s="115"/>
      <c r="DA542" s="115"/>
      <c r="DB542" s="115"/>
      <c r="DC542" s="115"/>
      <c r="DD542" s="115"/>
      <c r="DE542" s="115"/>
      <c r="DF542" s="115"/>
      <c r="DG542" s="115"/>
      <c r="DH542" s="115"/>
      <c r="DI542" s="115"/>
      <c r="DJ542" s="115"/>
      <c r="DK542" s="115"/>
      <c r="DL542" s="115"/>
      <c r="DM542" s="115"/>
      <c r="DN542" s="115"/>
      <c r="DO542" s="115"/>
      <c r="DP542" s="115"/>
      <c r="DQ542" s="115"/>
      <c r="DR542" s="115"/>
      <c r="DS542" s="115"/>
      <c r="DT542" s="115"/>
      <c r="DU542" s="115"/>
      <c r="DV542" s="115"/>
      <c r="DW542" s="115"/>
      <c r="DX542" s="115"/>
      <c r="DY542" s="115"/>
      <c r="DZ542" s="115"/>
      <c r="EA542" s="115"/>
      <c r="EB542" s="115"/>
      <c r="EC542" s="645"/>
      <c r="ED542" s="113" t="s">
        <v>1</v>
      </c>
    </row>
    <row r="543" spans="1:134" x14ac:dyDescent="0.2">
      <c r="A543" s="728" t="s">
        <v>32</v>
      </c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729">
        <f>SUM(AB544:AB548)</f>
        <v>130198.43457584418</v>
      </c>
      <c r="AC543" s="729">
        <f t="shared" ref="AC543:CN543" si="2044">SUM(AC544:AC548)</f>
        <v>119517.15188823857</v>
      </c>
      <c r="AD543" s="729">
        <f t="shared" si="2044"/>
        <v>168519.29332913319</v>
      </c>
      <c r="AE543" s="729">
        <f t="shared" si="2044"/>
        <v>248525.96453366976</v>
      </c>
      <c r="AF543" s="729">
        <f t="shared" si="2044"/>
        <v>211234.88328682928</v>
      </c>
      <c r="AG543" s="729">
        <f t="shared" si="2044"/>
        <v>304303.50745044276</v>
      </c>
      <c r="AH543" s="729">
        <f t="shared" si="2044"/>
        <v>658433.14062084944</v>
      </c>
      <c r="AI543" s="729">
        <f t="shared" si="2044"/>
        <v>732107.56636266806</v>
      </c>
      <c r="AJ543" s="729">
        <f t="shared" si="2044"/>
        <v>668657.26273367391</v>
      </c>
      <c r="AK543" s="729">
        <f t="shared" si="2044"/>
        <v>879266.22607154236</v>
      </c>
      <c r="AL543" s="729">
        <f t="shared" si="2044"/>
        <v>549840.53128778003</v>
      </c>
      <c r="AM543" s="729">
        <f t="shared" si="2044"/>
        <v>20346.098100603627</v>
      </c>
      <c r="AN543" s="729">
        <f t="shared" si="2044"/>
        <v>359716.77678032639</v>
      </c>
      <c r="AO543" s="729">
        <f t="shared" si="2044"/>
        <v>573798.3543186069</v>
      </c>
      <c r="AP543" s="729">
        <f t="shared" si="2044"/>
        <v>837764.92443524487</v>
      </c>
      <c r="AQ543" s="729">
        <f t="shared" si="2044"/>
        <v>1172951.4825985655</v>
      </c>
      <c r="AR543" s="729">
        <f t="shared" si="2044"/>
        <v>1516671.4000202734</v>
      </c>
      <c r="AS543" s="729">
        <f t="shared" si="2044"/>
        <v>1786737.4024705118</v>
      </c>
      <c r="AT543" s="729">
        <f t="shared" si="2044"/>
        <v>2140822.8130463362</v>
      </c>
      <c r="AU543" s="729">
        <f t="shared" si="2044"/>
        <v>1802641.5596228095</v>
      </c>
      <c r="AV543" s="729">
        <f t="shared" si="2044"/>
        <v>2198900.1404742305</v>
      </c>
      <c r="AW543" s="729">
        <f t="shared" si="2044"/>
        <v>2897278.0586944404</v>
      </c>
      <c r="AX543" s="729">
        <f t="shared" si="2044"/>
        <v>2487367.86507075</v>
      </c>
      <c r="AY543" s="729">
        <f t="shared" si="2044"/>
        <v>2982824.248759659</v>
      </c>
      <c r="AZ543" s="729">
        <f t="shared" si="2044"/>
        <v>3480574.2121569877</v>
      </c>
      <c r="BA543" s="729">
        <f t="shared" si="2044"/>
        <v>4054442.1777383164</v>
      </c>
      <c r="BB543" s="729">
        <f t="shared" si="2044"/>
        <v>3519070.2049481506</v>
      </c>
      <c r="BC543" s="729">
        <f t="shared" si="2044"/>
        <v>3592075.0021107318</v>
      </c>
      <c r="BD543" s="729">
        <f t="shared" si="2044"/>
        <v>3932358.1898547178</v>
      </c>
      <c r="BE543" s="729">
        <f t="shared" si="2044"/>
        <v>3887231.1579370624</v>
      </c>
      <c r="BF543" s="729">
        <f t="shared" si="2044"/>
        <v>4353527.2192042209</v>
      </c>
      <c r="BG543" s="729">
        <f t="shared" si="2044"/>
        <v>4612904.942500446</v>
      </c>
      <c r="BH543" s="729">
        <f t="shared" si="2044"/>
        <v>5519867.3778399294</v>
      </c>
      <c r="BI543" s="729">
        <f t="shared" si="2044"/>
        <v>7738040.5215995191</v>
      </c>
      <c r="BJ543" s="729">
        <f t="shared" si="2044"/>
        <v>10629899.225881325</v>
      </c>
      <c r="BK543" s="729">
        <f t="shared" si="2044"/>
        <v>11150812.547877267</v>
      </c>
      <c r="BL543" s="729">
        <f t="shared" si="2044"/>
        <v>11891909.199918626</v>
      </c>
      <c r="BM543" s="729">
        <f t="shared" si="2044"/>
        <v>9946606.8633537591</v>
      </c>
      <c r="BN543" s="729">
        <f t="shared" si="2044"/>
        <v>10394775.23642534</v>
      </c>
      <c r="BO543" s="729">
        <f t="shared" si="2044"/>
        <v>10079453.412495932</v>
      </c>
      <c r="BP543" s="729">
        <f t="shared" si="2044"/>
        <v>14955152.836107988</v>
      </c>
      <c r="BQ543" s="729">
        <f t="shared" si="2044"/>
        <v>13759891.745202333</v>
      </c>
      <c r="BR543" s="729">
        <f t="shared" si="2044"/>
        <v>13473619.400649462</v>
      </c>
      <c r="BS543" s="729">
        <f t="shared" si="2044"/>
        <v>12490885.505439561</v>
      </c>
      <c r="BT543" s="729">
        <f t="shared" si="2044"/>
        <v>14413388.284954067</v>
      </c>
      <c r="BU543" s="729">
        <f t="shared" si="2044"/>
        <v>15701410.311212385</v>
      </c>
      <c r="BV543" s="729">
        <f t="shared" si="2044"/>
        <v>13870986.96624638</v>
      </c>
      <c r="BW543" s="729">
        <f t="shared" si="2044"/>
        <v>13875914.078319829</v>
      </c>
      <c r="BX543" s="729">
        <f t="shared" si="2044"/>
        <v>13930896.699784346</v>
      </c>
      <c r="BY543" s="729">
        <f t="shared" si="2044"/>
        <v>14252012.158503862</v>
      </c>
      <c r="BZ543" s="729">
        <f t="shared" si="2044"/>
        <v>11825781.859210091</v>
      </c>
      <c r="CA543" s="729">
        <f t="shared" si="2044"/>
        <v>11363672.105887113</v>
      </c>
      <c r="CB543" s="729">
        <f t="shared" si="2044"/>
        <v>14837038.177492809</v>
      </c>
      <c r="CC543" s="729">
        <f t="shared" si="2044"/>
        <v>13767089.958780337</v>
      </c>
      <c r="CD543" s="729">
        <f t="shared" si="2044"/>
        <v>14848282.128450846</v>
      </c>
      <c r="CE543" s="729">
        <f t="shared" si="2044"/>
        <v>15988502.190642331</v>
      </c>
      <c r="CF543" s="729">
        <f t="shared" si="2044"/>
        <v>15890117.645247098</v>
      </c>
      <c r="CG543" s="729">
        <f t="shared" si="2044"/>
        <v>20152443.042471968</v>
      </c>
      <c r="CH543" s="729">
        <f t="shared" si="2044"/>
        <v>20323055.965860557</v>
      </c>
      <c r="CI543" s="729">
        <f t="shared" si="2044"/>
        <v>19469636.918245416</v>
      </c>
      <c r="CJ543" s="729">
        <f t="shared" si="2044"/>
        <v>21039946.11563769</v>
      </c>
      <c r="CK543" s="729">
        <f t="shared" si="2044"/>
        <v>25358735.072609171</v>
      </c>
      <c r="CL543" s="729">
        <f t="shared" si="2044"/>
        <v>20697051.746065527</v>
      </c>
      <c r="CM543" s="729">
        <f t="shared" si="2044"/>
        <v>21317536.385019571</v>
      </c>
      <c r="CN543" s="729">
        <f t="shared" si="2044"/>
        <v>32631410.232460476</v>
      </c>
      <c r="CO543" s="729">
        <f t="shared" ref="CO543:DQ543" si="2045">SUM(CO544:CO548)</f>
        <v>19831890.581445239</v>
      </c>
      <c r="CP543" s="729">
        <f t="shared" si="2045"/>
        <v>18037492.254060939</v>
      </c>
      <c r="CQ543" s="729">
        <f t="shared" si="2045"/>
        <v>19883810.208931644</v>
      </c>
      <c r="CR543" s="729">
        <f t="shared" si="2045"/>
        <v>18365949.479077406</v>
      </c>
      <c r="CS543" s="729">
        <f t="shared" si="2045"/>
        <v>23397522.881831151</v>
      </c>
      <c r="CT543" s="729">
        <f t="shared" si="2045"/>
        <v>20796156.036749162</v>
      </c>
      <c r="CU543" s="729">
        <f t="shared" si="2045"/>
        <v>20410509.453201562</v>
      </c>
      <c r="CV543" s="729">
        <f t="shared" si="2045"/>
        <v>20364111.005262148</v>
      </c>
      <c r="CW543" s="729">
        <f t="shared" si="2045"/>
        <v>21843649.759243317</v>
      </c>
      <c r="CX543" s="729">
        <f t="shared" si="2045"/>
        <v>19766311.591889493</v>
      </c>
      <c r="CY543" s="729">
        <f t="shared" si="2045"/>
        <v>18515879.390965119</v>
      </c>
      <c r="CZ543" s="729">
        <f t="shared" si="2045"/>
        <v>22500137.576313961</v>
      </c>
      <c r="DA543" s="729">
        <f t="shared" si="2045"/>
        <v>20902276.369638007</v>
      </c>
      <c r="DB543" s="729">
        <f t="shared" si="2045"/>
        <v>24405590.757373396</v>
      </c>
      <c r="DC543" s="729">
        <f t="shared" si="2045"/>
        <v>24940399.217024859</v>
      </c>
      <c r="DD543" s="729">
        <f t="shared" si="2045"/>
        <v>23350167.154097859</v>
      </c>
      <c r="DE543" s="729">
        <f t="shared" si="2045"/>
        <v>26762729.24216219</v>
      </c>
      <c r="DF543" s="729">
        <f t="shared" si="2045"/>
        <v>25120009.657842167</v>
      </c>
      <c r="DG543" s="729">
        <f t="shared" si="2045"/>
        <v>24698225.358938418</v>
      </c>
      <c r="DH543" s="729">
        <f t="shared" si="2045"/>
        <v>24530618.029726364</v>
      </c>
      <c r="DI543" s="729">
        <f t="shared" si="2045"/>
        <v>26339011.597513683</v>
      </c>
      <c r="DJ543" s="729">
        <f t="shared" si="2045"/>
        <v>23741248.166218542</v>
      </c>
      <c r="DK543" s="729">
        <f t="shared" si="2045"/>
        <v>22161980.999640558</v>
      </c>
      <c r="DL543" s="729">
        <f t="shared" si="2045"/>
        <v>26967291.072991014</v>
      </c>
      <c r="DM543" s="729">
        <f t="shared" si="2045"/>
        <v>24903126.166890807</v>
      </c>
      <c r="DN543" s="729">
        <f t="shared" si="2045"/>
        <v>29070237.806115925</v>
      </c>
      <c r="DO543" s="729">
        <f t="shared" si="2045"/>
        <v>29608573.242429651</v>
      </c>
      <c r="DP543" s="729">
        <f t="shared" si="2045"/>
        <v>27572035.253275502</v>
      </c>
      <c r="DQ543" s="729">
        <f t="shared" si="2045"/>
        <v>31356725.872675054</v>
      </c>
      <c r="DR543" s="729">
        <f t="shared" ref="DR543:EC543" si="2046">SUM(DR544:DR548)</f>
        <v>28200676.331074566</v>
      </c>
      <c r="DS543" s="729">
        <f t="shared" si="2046"/>
        <v>27696062.57021375</v>
      </c>
      <c r="DT543" s="729">
        <f t="shared" si="2046"/>
        <v>27490065.906113558</v>
      </c>
      <c r="DU543" s="729">
        <f t="shared" si="2046"/>
        <v>29539065.35993994</v>
      </c>
      <c r="DV543" s="729">
        <f t="shared" si="2046"/>
        <v>26554730.382984288</v>
      </c>
      <c r="DW543" s="729">
        <f t="shared" si="2046"/>
        <v>24729885.108293183</v>
      </c>
      <c r="DX543" s="729">
        <f t="shared" si="2046"/>
        <v>30194335.835565683</v>
      </c>
      <c r="DY543" s="729">
        <f t="shared" si="2046"/>
        <v>27830849.813029654</v>
      </c>
      <c r="DZ543" s="729">
        <f t="shared" si="2046"/>
        <v>32564209.947323438</v>
      </c>
      <c r="EA543" s="729">
        <f t="shared" si="2046"/>
        <v>33168458.027675282</v>
      </c>
      <c r="EB543" s="729">
        <f t="shared" si="2046"/>
        <v>30837680.297327012</v>
      </c>
      <c r="EC543" s="729">
        <f t="shared" si="2046"/>
        <v>35130887.908748046</v>
      </c>
      <c r="ED543" s="113" t="s">
        <v>1</v>
      </c>
    </row>
    <row r="544" spans="1:134" x14ac:dyDescent="0.2">
      <c r="A544" s="114" t="s">
        <v>204</v>
      </c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29">
        <v>13510.436766623206</v>
      </c>
      <c r="AC544" s="129">
        <v>11328.991034070532</v>
      </c>
      <c r="AD544" s="129">
        <v>16270.57296715132</v>
      </c>
      <c r="AE544" s="129">
        <v>25879.948163173314</v>
      </c>
      <c r="AF544" s="129">
        <v>25524.218536585366</v>
      </c>
      <c r="AG544" s="129">
        <v>32038.560411311053</v>
      </c>
      <c r="AH544" s="129">
        <v>87721.792277992266</v>
      </c>
      <c r="AI544" s="129">
        <v>107042.33144297416</v>
      </c>
      <c r="AJ544" s="129">
        <v>91533.20756259581</v>
      </c>
      <c r="AK544" s="129">
        <v>201995.88388010385</v>
      </c>
      <c r="AL544" s="129">
        <v>104496.1100968965</v>
      </c>
      <c r="AM544" s="129">
        <v>4098.0845070422538</v>
      </c>
      <c r="AN544" s="129">
        <v>79376.095756256807</v>
      </c>
      <c r="AO544" s="129">
        <v>100600</v>
      </c>
      <c r="AP544" s="129">
        <v>170000</v>
      </c>
      <c r="AQ544" s="129">
        <v>185000</v>
      </c>
      <c r="AR544" s="129">
        <v>223000</v>
      </c>
      <c r="AS544" s="129">
        <v>46095</v>
      </c>
      <c r="AT544" s="129">
        <v>214807</v>
      </c>
      <c r="AU544" s="129">
        <v>64758</v>
      </c>
      <c r="AV544" s="129">
        <v>328698.74437308684</v>
      </c>
      <c r="AW544" s="129">
        <v>644912.89499129762</v>
      </c>
      <c r="AX544" s="129">
        <v>145700</v>
      </c>
      <c r="AY544" s="129">
        <v>320210</v>
      </c>
      <c r="AZ544" s="129">
        <v>134390</v>
      </c>
      <c r="BA544" s="129">
        <v>255217</v>
      </c>
      <c r="BB544" s="129">
        <v>337808</v>
      </c>
      <c r="BC544" s="129">
        <v>433362</v>
      </c>
      <c r="BD544" s="129">
        <v>525349</v>
      </c>
      <c r="BE544" s="129">
        <v>481819</v>
      </c>
      <c r="BF544" s="129">
        <v>500802</v>
      </c>
      <c r="BG544" s="129">
        <v>412757</v>
      </c>
      <c r="BH544" s="129">
        <v>787035</v>
      </c>
      <c r="BI544" s="129">
        <v>634896.6</v>
      </c>
      <c r="BJ544" s="129">
        <v>579201</v>
      </c>
      <c r="BK544" s="129">
        <v>735915</v>
      </c>
      <c r="BL544" s="129">
        <v>1279556</v>
      </c>
      <c r="BM544" s="129">
        <v>1328067</v>
      </c>
      <c r="BN544" s="129">
        <v>1026904</v>
      </c>
      <c r="BO544" s="129">
        <v>918170</v>
      </c>
      <c r="BP544" s="129">
        <v>1115015</v>
      </c>
      <c r="BQ544" s="129">
        <v>1087756</v>
      </c>
      <c r="BR544" s="129">
        <v>961509</v>
      </c>
      <c r="BS544" s="129">
        <v>1034233</v>
      </c>
      <c r="BT544" s="129">
        <v>1161335</v>
      </c>
      <c r="BU544" s="129">
        <v>1050422</v>
      </c>
      <c r="BV544" s="129">
        <v>1353093</v>
      </c>
      <c r="BW544" s="129">
        <v>1425791</v>
      </c>
      <c r="BX544" s="129">
        <v>1591436</v>
      </c>
      <c r="BY544" s="129">
        <v>1571554</v>
      </c>
      <c r="BZ544" s="129">
        <v>1709875</v>
      </c>
      <c r="CA544" s="129">
        <v>1828395</v>
      </c>
      <c r="CB544" s="129">
        <v>1782340</v>
      </c>
      <c r="CC544" s="129">
        <v>1578114</v>
      </c>
      <c r="CD544" s="129">
        <v>1360319</v>
      </c>
      <c r="CE544" s="129">
        <v>1586553</v>
      </c>
      <c r="CF544" s="129">
        <v>2362312.0310290344</v>
      </c>
      <c r="CG544" s="129">
        <v>3246662.3507916653</v>
      </c>
      <c r="CH544" s="129">
        <v>2900915.5172532042</v>
      </c>
      <c r="CI544" s="129">
        <v>3248053.8272532043</v>
      </c>
      <c r="CJ544" s="129">
        <v>2993456.163881409</v>
      </c>
      <c r="CK544" s="129">
        <v>4025647.8363237176</v>
      </c>
      <c r="CL544" s="129">
        <v>3442296.7470737179</v>
      </c>
      <c r="CM544" s="129">
        <v>3542814.7569679478</v>
      </c>
      <c r="CN544" s="129">
        <v>3749869.8766054595</v>
      </c>
      <c r="CO544" s="129">
        <v>3432070.7456182796</v>
      </c>
      <c r="CP544" s="129">
        <v>3053041.87736311</v>
      </c>
      <c r="CQ544" s="129">
        <v>4048236.7716185898</v>
      </c>
      <c r="CR544" s="129">
        <v>3636708.9938044869</v>
      </c>
      <c r="CS544" s="129">
        <v>3513630.6601987178</v>
      </c>
      <c r="CT544" s="129">
        <f t="shared" ref="CT544:DQ544" si="2047">CT434*CT552</f>
        <v>4436740.5566064017</v>
      </c>
      <c r="CU544" s="129">
        <f t="shared" si="2047"/>
        <v>4334067.211561868</v>
      </c>
      <c r="CV544" s="129">
        <f t="shared" si="2047"/>
        <v>4319553.4871360846</v>
      </c>
      <c r="CW544" s="129">
        <f t="shared" si="2047"/>
        <v>4705886.7438676851</v>
      </c>
      <c r="CX544" s="129">
        <f t="shared" si="2047"/>
        <v>4158909.6172156879</v>
      </c>
      <c r="CY544" s="129">
        <f t="shared" si="2047"/>
        <v>3827944.2306910465</v>
      </c>
      <c r="CZ544" s="129">
        <f t="shared" si="2047"/>
        <v>4870954.501171086</v>
      </c>
      <c r="DA544" s="129">
        <f t="shared" si="2047"/>
        <v>4449684.6672226023</v>
      </c>
      <c r="DB544" s="129">
        <f t="shared" si="2047"/>
        <v>5366603.0757390112</v>
      </c>
      <c r="DC544" s="129">
        <f t="shared" si="2047"/>
        <v>5505250.8389543351</v>
      </c>
      <c r="DD544" s="129">
        <f t="shared" si="2047"/>
        <v>5085981.1824595742</v>
      </c>
      <c r="DE544" s="129">
        <f t="shared" si="2047"/>
        <v>5977540.413451517</v>
      </c>
      <c r="DF544" s="129">
        <f t="shared" si="2047"/>
        <v>5549188.0049908012</v>
      </c>
      <c r="DG544" s="129">
        <f t="shared" si="2047"/>
        <v>5435326.6020996654</v>
      </c>
      <c r="DH544" s="129">
        <f t="shared" si="2047"/>
        <v>5389442.8925147001</v>
      </c>
      <c r="DI544" s="129">
        <f t="shared" si="2047"/>
        <v>5865887.8262310699</v>
      </c>
      <c r="DJ544" s="129">
        <f t="shared" si="2047"/>
        <v>5176836.2856229171</v>
      </c>
      <c r="DK544" s="129">
        <f t="shared" si="2047"/>
        <v>4756220.7066336274</v>
      </c>
      <c r="DL544" s="129">
        <f t="shared" si="2047"/>
        <v>6025648.7842488978</v>
      </c>
      <c r="DM544" s="129">
        <f t="shared" si="2047"/>
        <v>5478436.1797311595</v>
      </c>
      <c r="DN544" s="129">
        <f t="shared" si="2047"/>
        <v>6579165.2842032863</v>
      </c>
      <c r="DO544" s="129">
        <f t="shared" si="2047"/>
        <v>6720677.338830376</v>
      </c>
      <c r="DP544" s="129">
        <f t="shared" si="2047"/>
        <v>6180767.529604353</v>
      </c>
      <c r="DQ544" s="129">
        <f t="shared" si="2047"/>
        <v>7180408.9003822645</v>
      </c>
      <c r="DR544" s="129">
        <f t="shared" ref="DR544:EC544" si="2048">DR434*DR552</f>
        <v>6344571.6190394843</v>
      </c>
      <c r="DS544" s="129">
        <f t="shared" si="2048"/>
        <v>6208815.3877830803</v>
      </c>
      <c r="DT544" s="129">
        <f t="shared" si="2048"/>
        <v>6152783.9858363271</v>
      </c>
      <c r="DU544" s="129">
        <f t="shared" si="2048"/>
        <v>6692829.7742972197</v>
      </c>
      <c r="DV544" s="129">
        <f t="shared" si="2048"/>
        <v>5901593.3656101255</v>
      </c>
      <c r="DW544" s="129">
        <f t="shared" si="2048"/>
        <v>5416062.5933989976</v>
      </c>
      <c r="DX544" s="129">
        <f t="shared" si="2048"/>
        <v>6859725.4317528242</v>
      </c>
      <c r="DY544" s="129">
        <f t="shared" si="2048"/>
        <v>6233391.4093770385</v>
      </c>
      <c r="DZ544" s="129">
        <f t="shared" si="2048"/>
        <v>7483800.5107812406</v>
      </c>
      <c r="EA544" s="129">
        <f t="shared" si="2048"/>
        <v>7642735.6657667924</v>
      </c>
      <c r="EB544" s="129">
        <f t="shared" si="2048"/>
        <v>7025047.6302977316</v>
      </c>
      <c r="EC544" s="129">
        <f t="shared" si="2048"/>
        <v>8159108.4696809445</v>
      </c>
      <c r="ED544" s="113" t="s">
        <v>1</v>
      </c>
    </row>
    <row r="545" spans="1:134" x14ac:dyDescent="0.2">
      <c r="A545" s="114" t="s">
        <v>34</v>
      </c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29">
        <v>47004.365058670141</v>
      </c>
      <c r="AC545" s="129">
        <v>50979.476987447699</v>
      </c>
      <c r="AD545" s="129">
        <v>69935.439418416805</v>
      </c>
      <c r="AE545" s="129">
        <v>98733.020058598166</v>
      </c>
      <c r="AF545" s="129">
        <v>74794.304390243909</v>
      </c>
      <c r="AG545" s="129">
        <v>95104.363039131684</v>
      </c>
      <c r="AH545" s="129">
        <v>119267.20714285715</v>
      </c>
      <c r="AI545" s="129">
        <v>160777.68259969394</v>
      </c>
      <c r="AJ545" s="129">
        <v>129710.46377107818</v>
      </c>
      <c r="AK545" s="129">
        <v>179225.75643143733</v>
      </c>
      <c r="AL545" s="129">
        <v>162015.72251088332</v>
      </c>
      <c r="AM545" s="129">
        <v>8406.2655935613693</v>
      </c>
      <c r="AN545" s="129">
        <v>98414.50054406964</v>
      </c>
      <c r="AO545" s="129">
        <v>124652.95451860601</v>
      </c>
      <c r="AP545" s="129">
        <v>190199.72891524315</v>
      </c>
      <c r="AQ545" s="129">
        <v>325540.53291856381</v>
      </c>
      <c r="AR545" s="129">
        <v>455709.88814026938</v>
      </c>
      <c r="AS545" s="129">
        <v>525660.79755051364</v>
      </c>
      <c r="AT545" s="129">
        <v>486038.53300634277</v>
      </c>
      <c r="AU545" s="129">
        <v>330306.54642278305</v>
      </c>
      <c r="AV545" s="129">
        <v>370479.79994118802</v>
      </c>
      <c r="AW545" s="129">
        <v>501150.14826320251</v>
      </c>
      <c r="AX545" s="129">
        <v>828569.75469079753</v>
      </c>
      <c r="AY545" s="129">
        <v>797607.28907960106</v>
      </c>
      <c r="AZ545" s="129">
        <v>888793.44531710655</v>
      </c>
      <c r="BA545" s="129">
        <v>1088584.2709783379</v>
      </c>
      <c r="BB545" s="129">
        <v>319620.15854808694</v>
      </c>
      <c r="BC545" s="129">
        <v>589407.38191073481</v>
      </c>
      <c r="BD545" s="129">
        <v>620557.54857475276</v>
      </c>
      <c r="BE545" s="129">
        <v>652449.07457707881</v>
      </c>
      <c r="BF545" s="129">
        <v>519490.55056411063</v>
      </c>
      <c r="BG545" s="129">
        <v>352512.84844045265</v>
      </c>
      <c r="BH545" s="129">
        <v>654398.20523990283</v>
      </c>
      <c r="BI545" s="129">
        <v>896576.76921963668</v>
      </c>
      <c r="BJ545" s="129">
        <v>1141488.82368107</v>
      </c>
      <c r="BK545" s="129">
        <v>1165029.5478772665</v>
      </c>
      <c r="BL545" s="129">
        <v>1485434.1999186259</v>
      </c>
      <c r="BM545" s="129">
        <v>1263859.3548791823</v>
      </c>
      <c r="BN545" s="129">
        <v>1491289.2364253395</v>
      </c>
      <c r="BO545" s="129">
        <v>1256220.0724959313</v>
      </c>
      <c r="BP545" s="129">
        <v>1865643.9604939683</v>
      </c>
      <c r="BQ545" s="129">
        <v>1523020.9107346784</v>
      </c>
      <c r="BR545" s="129">
        <v>1599487.1203228172</v>
      </c>
      <c r="BS545" s="129">
        <v>1321970.520725904</v>
      </c>
      <c r="BT545" s="129">
        <v>1342322</v>
      </c>
      <c r="BU545" s="129">
        <v>1870181.3211902163</v>
      </c>
      <c r="BV545" s="129">
        <v>1652364.5263353116</v>
      </c>
      <c r="BW545" s="129">
        <v>1985859.6124212109</v>
      </c>
      <c r="BX545" s="129">
        <v>1959255.1665935058</v>
      </c>
      <c r="BY545" s="129">
        <v>1897481.8248453261</v>
      </c>
      <c r="BZ545" s="129">
        <v>1709924.0962773007</v>
      </c>
      <c r="CA545" s="129">
        <v>1605632.2795286635</v>
      </c>
      <c r="CB545" s="129">
        <v>1924672.6722316141</v>
      </c>
      <c r="CC545" s="129">
        <v>1732549.408549661</v>
      </c>
      <c r="CD545" s="129">
        <v>1677638.9368858053</v>
      </c>
      <c r="CE545" s="129">
        <v>1580006.0444322545</v>
      </c>
      <c r="CF545" s="129">
        <v>1486963.8581756293</v>
      </c>
      <c r="CG545" s="129">
        <v>1768357.5815214207</v>
      </c>
      <c r="CH545" s="129">
        <v>1983409.2775165744</v>
      </c>
      <c r="CI545" s="129">
        <v>1930912.6109394145</v>
      </c>
      <c r="CJ545" s="129">
        <v>2179083.2734942152</v>
      </c>
      <c r="CK545" s="129">
        <v>2346087.6154143666</v>
      </c>
      <c r="CL545" s="129">
        <v>2101921.2875715555</v>
      </c>
      <c r="CM545" s="129">
        <v>2291072.4821865028</v>
      </c>
      <c r="CN545" s="129">
        <v>2790491.636189945</v>
      </c>
      <c r="CO545" s="129">
        <v>2467279.4074160452</v>
      </c>
      <c r="CP545" s="129">
        <v>2591541.0915533206</v>
      </c>
      <c r="CQ545" s="129">
        <v>2663783.6196500105</v>
      </c>
      <c r="CR545" s="129">
        <v>2796921.592690214</v>
      </c>
      <c r="CS545" s="129">
        <v>3011945.2409653887</v>
      </c>
      <c r="CT545" s="129">
        <f>CS545*(1+CT555)</f>
        <v>3162542.5030136583</v>
      </c>
      <c r="CU545" s="129">
        <f t="shared" ref="CU545:DQ545" si="2049">CT545*(1+CU555)</f>
        <v>3162542.5030136583</v>
      </c>
      <c r="CV545" s="129">
        <f t="shared" si="2049"/>
        <v>3162542.5030136583</v>
      </c>
      <c r="CW545" s="129">
        <f t="shared" si="2049"/>
        <v>3162542.5030136583</v>
      </c>
      <c r="CX545" s="129">
        <f t="shared" si="2049"/>
        <v>3162542.5030136583</v>
      </c>
      <c r="CY545" s="129">
        <f t="shared" si="2049"/>
        <v>3162542.5030136583</v>
      </c>
      <c r="CZ545" s="129">
        <f t="shared" si="2049"/>
        <v>3162542.5030136583</v>
      </c>
      <c r="DA545" s="129">
        <f t="shared" si="2049"/>
        <v>3162542.5030136583</v>
      </c>
      <c r="DB545" s="129">
        <f t="shared" si="2049"/>
        <v>3162542.5030136583</v>
      </c>
      <c r="DC545" s="129">
        <f t="shared" si="2049"/>
        <v>3162542.5030136583</v>
      </c>
      <c r="DD545" s="129">
        <f t="shared" si="2049"/>
        <v>3162542.5030136583</v>
      </c>
      <c r="DE545" s="129">
        <f t="shared" si="2049"/>
        <v>3162542.5030136583</v>
      </c>
      <c r="DF545" s="129">
        <f t="shared" si="2049"/>
        <v>3320669.6281643412</v>
      </c>
      <c r="DG545" s="129">
        <f t="shared" si="2049"/>
        <v>3320669.6281643412</v>
      </c>
      <c r="DH545" s="129">
        <f t="shared" si="2049"/>
        <v>3320669.6281643412</v>
      </c>
      <c r="DI545" s="129">
        <f t="shared" si="2049"/>
        <v>3320669.6281643412</v>
      </c>
      <c r="DJ545" s="129">
        <f t="shared" si="2049"/>
        <v>3320669.6281643412</v>
      </c>
      <c r="DK545" s="129">
        <f t="shared" si="2049"/>
        <v>3320669.6281643412</v>
      </c>
      <c r="DL545" s="129">
        <f t="shared" si="2049"/>
        <v>3320669.6281643412</v>
      </c>
      <c r="DM545" s="129">
        <f t="shared" si="2049"/>
        <v>3320669.6281643412</v>
      </c>
      <c r="DN545" s="129">
        <f t="shared" si="2049"/>
        <v>3320669.6281643412</v>
      </c>
      <c r="DO545" s="129">
        <f t="shared" si="2049"/>
        <v>3320669.6281643412</v>
      </c>
      <c r="DP545" s="129">
        <f t="shared" si="2049"/>
        <v>3320669.6281643412</v>
      </c>
      <c r="DQ545" s="129">
        <f t="shared" si="2049"/>
        <v>3320669.6281643412</v>
      </c>
      <c r="DR545" s="129">
        <f t="shared" ref="DR545" si="2050">DQ545*(1+DR555)</f>
        <v>3320669.6281643412</v>
      </c>
      <c r="DS545" s="129">
        <f t="shared" ref="DS545" si="2051">DR545*(1+DS555)</f>
        <v>3320669.6281643412</v>
      </c>
      <c r="DT545" s="129">
        <f t="shared" ref="DT545" si="2052">DS545*(1+DT555)</f>
        <v>3320669.6281643412</v>
      </c>
      <c r="DU545" s="129">
        <f t="shared" ref="DU545" si="2053">DT545*(1+DU555)</f>
        <v>3320669.6281643412</v>
      </c>
      <c r="DV545" s="129">
        <f t="shared" ref="DV545" si="2054">DU545*(1+DV555)</f>
        <v>3320669.6281643412</v>
      </c>
      <c r="DW545" s="129">
        <f t="shared" ref="DW545" si="2055">DV545*(1+DW555)</f>
        <v>3320669.6281643412</v>
      </c>
      <c r="DX545" s="129">
        <f t="shared" ref="DX545" si="2056">DW545*(1+DX555)</f>
        <v>3320669.6281643412</v>
      </c>
      <c r="DY545" s="129">
        <f t="shared" ref="DY545" si="2057">DX545*(1+DY555)</f>
        <v>3320669.6281643412</v>
      </c>
      <c r="DZ545" s="129">
        <f t="shared" ref="DZ545" si="2058">DY545*(1+DZ555)</f>
        <v>3320669.6281643412</v>
      </c>
      <c r="EA545" s="129">
        <f t="shared" ref="EA545" si="2059">DZ545*(1+EA555)</f>
        <v>3320669.6281643412</v>
      </c>
      <c r="EB545" s="129">
        <f t="shared" ref="EB545" si="2060">EA545*(1+EB555)</f>
        <v>3320669.6281643412</v>
      </c>
      <c r="EC545" s="129">
        <f t="shared" ref="EC545" si="2061">EB545*(1+EC555)</f>
        <v>3320669.6281643412</v>
      </c>
      <c r="ED545" s="113" t="s">
        <v>1</v>
      </c>
    </row>
    <row r="546" spans="1:134" x14ac:dyDescent="0.2">
      <c r="A546" s="114" t="s">
        <v>35</v>
      </c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29">
        <v>0</v>
      </c>
      <c r="AC546" s="129">
        <v>0</v>
      </c>
      <c r="AD546" s="129">
        <v>0</v>
      </c>
      <c r="AE546" s="129">
        <v>0</v>
      </c>
      <c r="AF546" s="129">
        <v>0</v>
      </c>
      <c r="AG546" s="129">
        <v>0</v>
      </c>
      <c r="AH546" s="129">
        <v>0</v>
      </c>
      <c r="AI546" s="129">
        <v>0</v>
      </c>
      <c r="AJ546" s="129">
        <v>0</v>
      </c>
      <c r="AK546" s="129">
        <v>0</v>
      </c>
      <c r="AL546" s="129">
        <v>0</v>
      </c>
      <c r="AM546" s="129">
        <v>0</v>
      </c>
      <c r="AN546" s="129">
        <v>0</v>
      </c>
      <c r="AO546" s="129">
        <v>73222</v>
      </c>
      <c r="AP546" s="129">
        <v>115751</v>
      </c>
      <c r="AQ546" s="129">
        <v>167194</v>
      </c>
      <c r="AR546" s="129">
        <v>208428</v>
      </c>
      <c r="AS546" s="129">
        <v>301685</v>
      </c>
      <c r="AT546" s="129">
        <v>359199</v>
      </c>
      <c r="AU546" s="129">
        <v>347848</v>
      </c>
      <c r="AV546" s="129">
        <v>346326</v>
      </c>
      <c r="AW546" s="129">
        <v>447951</v>
      </c>
      <c r="AX546" s="129">
        <v>368534.63890000037</v>
      </c>
      <c r="AY546" s="129">
        <v>455607</v>
      </c>
      <c r="AZ546" s="129">
        <v>754731.76</v>
      </c>
      <c r="BA546" s="129">
        <v>976119</v>
      </c>
      <c r="BB546" s="129">
        <v>1058200</v>
      </c>
      <c r="BC546" s="129">
        <v>840022</v>
      </c>
      <c r="BD546" s="129">
        <v>1482831</v>
      </c>
      <c r="BE546" s="129">
        <v>1399378</v>
      </c>
      <c r="BF546" s="129">
        <v>1669346.82</v>
      </c>
      <c r="BG546" s="129">
        <v>2276702.9</v>
      </c>
      <c r="BH546" s="129">
        <v>2522486</v>
      </c>
      <c r="BI546" s="129">
        <v>1640645</v>
      </c>
      <c r="BJ546" s="129">
        <v>2430023</v>
      </c>
      <c r="BK546" s="129">
        <v>2399321</v>
      </c>
      <c r="BL546" s="129">
        <v>3143209</v>
      </c>
      <c r="BM546" s="129">
        <v>2116100</v>
      </c>
      <c r="BN546" s="129">
        <v>2082088</v>
      </c>
      <c r="BO546" s="129">
        <v>2198534.6765617398</v>
      </c>
      <c r="BP546" s="129">
        <v>2720433.3535000002</v>
      </c>
      <c r="BQ546" s="129">
        <v>2312010</v>
      </c>
      <c r="BR546" s="129">
        <v>2667882.08</v>
      </c>
      <c r="BS546" s="129">
        <v>1216408.1399999997</v>
      </c>
      <c r="BT546" s="129">
        <v>2909246.2259999989</v>
      </c>
      <c r="BU546" s="129">
        <v>2778561.7992893499</v>
      </c>
      <c r="BV546" s="129">
        <v>2137178</v>
      </c>
      <c r="BW546" s="129">
        <v>2009119.9210932199</v>
      </c>
      <c r="BX546" s="129">
        <v>2068588.2542372914</v>
      </c>
      <c r="BY546" s="129">
        <v>2008603</v>
      </c>
      <c r="BZ546" s="129">
        <v>1815868</v>
      </c>
      <c r="CA546" s="129">
        <v>1615945.9499999993</v>
      </c>
      <c r="CB546" s="129">
        <v>1942714.3900000004</v>
      </c>
      <c r="CC546" s="129">
        <v>1917448.4400000004</v>
      </c>
      <c r="CD546" s="129">
        <v>2458041</v>
      </c>
      <c r="CE546" s="129">
        <v>2325582</v>
      </c>
      <c r="CF546" s="129">
        <v>2200382.4357627099</v>
      </c>
      <c r="CG546" s="129">
        <v>3325040.03779661</v>
      </c>
      <c r="CH546" s="129">
        <v>2492928.02661017</v>
      </c>
      <c r="CI546" s="129">
        <v>2561378</v>
      </c>
      <c r="CJ546" s="129">
        <v>2632442.4745762702</v>
      </c>
      <c r="CK546" s="129">
        <v>2773306</v>
      </c>
      <c r="CL546" s="129">
        <v>2838782</v>
      </c>
      <c r="CM546" s="129">
        <v>2503576</v>
      </c>
      <c r="CN546" s="129">
        <v>3408948</v>
      </c>
      <c r="CO546" s="129">
        <v>3286270.24</v>
      </c>
      <c r="CP546" s="129">
        <v>3764523.71</v>
      </c>
      <c r="CQ546" s="129">
        <v>4054392.99</v>
      </c>
      <c r="CR546" s="129">
        <v>3802343</v>
      </c>
      <c r="CS546" s="129">
        <v>4613604</v>
      </c>
      <c r="CT546" s="129">
        <f t="shared" ref="CT546:DQ546" si="2062">CT434*CT557</f>
        <v>4020972.6987557579</v>
      </c>
      <c r="CU546" s="129">
        <f t="shared" si="2062"/>
        <v>3927920.8937095371</v>
      </c>
      <c r="CV546" s="129">
        <f t="shared" si="2062"/>
        <v>3914767.2533447789</v>
      </c>
      <c r="CW546" s="129">
        <f t="shared" si="2062"/>
        <v>4264897.1421943903</v>
      </c>
      <c r="CX546" s="129">
        <f t="shared" si="2062"/>
        <v>3769177.35307203</v>
      </c>
      <c r="CY546" s="129">
        <f t="shared" si="2062"/>
        <v>3469226.8000771888</v>
      </c>
      <c r="CZ546" s="129">
        <f t="shared" si="2062"/>
        <v>4414496.3664657995</v>
      </c>
      <c r="DA546" s="129">
        <f t="shared" si="2062"/>
        <v>4032703.8141395319</v>
      </c>
      <c r="DB546" s="129">
        <f t="shared" si="2062"/>
        <v>4863697.6125353342</v>
      </c>
      <c r="DC546" s="129">
        <f t="shared" si="2062"/>
        <v>4989352.6657257313</v>
      </c>
      <c r="DD546" s="129">
        <f t="shared" si="2062"/>
        <v>4609372.853818127</v>
      </c>
      <c r="DE546" s="129">
        <f t="shared" si="2062"/>
        <v>5417383.8883610955</v>
      </c>
      <c r="DF546" s="129">
        <f t="shared" si="2062"/>
        <v>5029172.4710173123</v>
      </c>
      <c r="DG546" s="129">
        <f t="shared" si="2062"/>
        <v>4925981.0432955446</v>
      </c>
      <c r="DH546" s="129">
        <f t="shared" si="2062"/>
        <v>4884397.1054463806</v>
      </c>
      <c r="DI546" s="129">
        <f t="shared" si="2062"/>
        <v>5316194.2877453081</v>
      </c>
      <c r="DJ546" s="129">
        <f t="shared" si="2062"/>
        <v>4691713.9068279676</v>
      </c>
      <c r="DK546" s="129">
        <f t="shared" si="2062"/>
        <v>4310514.2990959082</v>
      </c>
      <c r="DL546" s="129">
        <f t="shared" si="2062"/>
        <v>5460984.0139690358</v>
      </c>
      <c r="DM546" s="129">
        <f t="shared" si="2062"/>
        <v>4965050.8136595152</v>
      </c>
      <c r="DN546" s="129">
        <f t="shared" si="2062"/>
        <v>5962630.3703946695</v>
      </c>
      <c r="DO546" s="129">
        <f t="shared" si="2062"/>
        <v>6090881.301667423</v>
      </c>
      <c r="DP546" s="129">
        <f t="shared" si="2062"/>
        <v>5601566.5502209673</v>
      </c>
      <c r="DQ546" s="129">
        <f t="shared" si="2062"/>
        <v>6507531.3252988327</v>
      </c>
      <c r="DR546" s="129">
        <f t="shared" ref="DR546:EC546" si="2063">DR434*DR557</f>
        <v>5750020.5251964619</v>
      </c>
      <c r="DS546" s="129">
        <f t="shared" si="2063"/>
        <v>5626986.0379183721</v>
      </c>
      <c r="DT546" s="129">
        <f t="shared" si="2063"/>
        <v>5576205.350017786</v>
      </c>
      <c r="DU546" s="129">
        <f t="shared" si="2063"/>
        <v>6065643.3380574184</v>
      </c>
      <c r="DV546" s="129">
        <f t="shared" si="2063"/>
        <v>5348553.8537838841</v>
      </c>
      <c r="DW546" s="129">
        <f t="shared" si="2063"/>
        <v>4908522.2687592153</v>
      </c>
      <c r="DX546" s="129">
        <f t="shared" si="2063"/>
        <v>6216899.169586855</v>
      </c>
      <c r="DY546" s="129">
        <f t="shared" si="2063"/>
        <v>5649259.0355418622</v>
      </c>
      <c r="DZ546" s="129">
        <f t="shared" si="2063"/>
        <v>6782492.0463239392</v>
      </c>
      <c r="EA546" s="129">
        <f t="shared" si="2063"/>
        <v>6926533.3556851149</v>
      </c>
      <c r="EB546" s="129">
        <f t="shared" si="2063"/>
        <v>6366728.9913593987</v>
      </c>
      <c r="EC546" s="129">
        <f t="shared" si="2063"/>
        <v>7394516.7593635377</v>
      </c>
      <c r="ED546" s="113" t="s">
        <v>1</v>
      </c>
    </row>
    <row r="547" spans="1:134" x14ac:dyDescent="0.2">
      <c r="A547" s="114" t="s">
        <v>148</v>
      </c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29">
        <v>0</v>
      </c>
      <c r="AC547" s="129">
        <v>0</v>
      </c>
      <c r="AD547" s="129">
        <v>0</v>
      </c>
      <c r="AE547" s="129">
        <v>0</v>
      </c>
      <c r="AF547" s="129">
        <v>0</v>
      </c>
      <c r="AG547" s="129">
        <v>0</v>
      </c>
      <c r="AH547" s="129">
        <v>0</v>
      </c>
      <c r="AI547" s="129">
        <v>0</v>
      </c>
      <c r="AJ547" s="129">
        <v>0</v>
      </c>
      <c r="AK547" s="129">
        <v>0</v>
      </c>
      <c r="AL547" s="129">
        <v>0</v>
      </c>
      <c r="AM547" s="129">
        <v>0</v>
      </c>
      <c r="AN547" s="129">
        <v>0</v>
      </c>
      <c r="AO547" s="129">
        <v>0</v>
      </c>
      <c r="AP547" s="129">
        <v>0</v>
      </c>
      <c r="AQ547" s="129">
        <v>0</v>
      </c>
      <c r="AR547" s="129">
        <v>0</v>
      </c>
      <c r="AS547" s="129">
        <v>0</v>
      </c>
      <c r="AT547" s="129">
        <v>0</v>
      </c>
      <c r="AU547" s="129">
        <v>0</v>
      </c>
      <c r="AV547" s="129">
        <v>0</v>
      </c>
      <c r="AW547" s="129">
        <v>0</v>
      </c>
      <c r="AX547" s="129">
        <v>0</v>
      </c>
      <c r="AY547" s="129">
        <v>0</v>
      </c>
      <c r="AZ547" s="129">
        <v>0</v>
      </c>
      <c r="BA547" s="129">
        <v>0</v>
      </c>
      <c r="BB547" s="129">
        <v>0</v>
      </c>
      <c r="BC547" s="129">
        <v>0</v>
      </c>
      <c r="BD547" s="129">
        <v>0</v>
      </c>
      <c r="BE547" s="129">
        <v>0</v>
      </c>
      <c r="BF547" s="129">
        <v>0</v>
      </c>
      <c r="BG547" s="129">
        <v>0</v>
      </c>
      <c r="BH547" s="129">
        <v>195014</v>
      </c>
      <c r="BI547" s="129">
        <v>2822440</v>
      </c>
      <c r="BJ547" s="129">
        <v>3370467</v>
      </c>
      <c r="BK547" s="129">
        <v>3490097</v>
      </c>
      <c r="BL547" s="129">
        <v>3026921</v>
      </c>
      <c r="BM547" s="129">
        <v>2383900</v>
      </c>
      <c r="BN547" s="129">
        <v>3026921</v>
      </c>
      <c r="BO547" s="129">
        <v>2219677.6634382601</v>
      </c>
      <c r="BP547" s="129">
        <v>4352234.6464999998</v>
      </c>
      <c r="BQ547" s="129">
        <v>4643767</v>
      </c>
      <c r="BR547" s="129">
        <v>3085961</v>
      </c>
      <c r="BS547" s="129">
        <v>3544246</v>
      </c>
      <c r="BT547" s="129">
        <v>2939200.7740000011</v>
      </c>
      <c r="BU547" s="129">
        <v>4096742</v>
      </c>
      <c r="BV547" s="129">
        <v>4305000</v>
      </c>
      <c r="BW547" s="129">
        <v>5143849.0789067801</v>
      </c>
      <c r="BX547" s="129">
        <v>5432684.7457627086</v>
      </c>
      <c r="BY547" s="129">
        <v>5350974</v>
      </c>
      <c r="BZ547" s="129">
        <v>4481833</v>
      </c>
      <c r="CA547" s="129">
        <v>3867279.6610169504</v>
      </c>
      <c r="CB547" s="129">
        <v>6149559.3220338989</v>
      </c>
      <c r="CC547" s="129">
        <v>6139005.0847457591</v>
      </c>
      <c r="CD547" s="129">
        <v>6955117</v>
      </c>
      <c r="CE547" s="129">
        <v>7682982</v>
      </c>
      <c r="CF547" s="129">
        <v>7212930</v>
      </c>
      <c r="CG547" s="129">
        <v>7803542.7457627105</v>
      </c>
      <c r="CH547" s="129">
        <v>8775355.4067796599</v>
      </c>
      <c r="CI547" s="129">
        <v>7907621.35749372</v>
      </c>
      <c r="CJ547" s="129">
        <v>9403506.5254237298</v>
      </c>
      <c r="CK547" s="129">
        <v>11161248</v>
      </c>
      <c r="CL547" s="129">
        <v>8389289</v>
      </c>
      <c r="CM547" s="129">
        <v>7987698</v>
      </c>
      <c r="CN547" s="129">
        <v>12776272</v>
      </c>
      <c r="CO547" s="129">
        <v>5426820.3599999994</v>
      </c>
      <c r="CP547" s="129">
        <v>2826787</v>
      </c>
      <c r="CQ547" s="129">
        <v>3619890.91</v>
      </c>
      <c r="CR547" s="129">
        <v>3098780.7899999991</v>
      </c>
      <c r="CS547" s="129">
        <v>3881005.4499999993</v>
      </c>
      <c r="CT547" s="129">
        <f>SUM(CQ547:CS547)/SUM(CQ461:CS461)*CT461</f>
        <v>3281926.6968031176</v>
      </c>
      <c r="CU547" s="129">
        <f t="shared" ref="CU547:DQ547" si="2064">CT547/CT461*CU461</f>
        <v>3213997.8610652001</v>
      </c>
      <c r="CV547" s="129">
        <f t="shared" si="2064"/>
        <v>3207298.3503925293</v>
      </c>
      <c r="CW547" s="129">
        <f t="shared" si="2064"/>
        <v>3473072.7815618445</v>
      </c>
      <c r="CX547" s="129">
        <f t="shared" si="2064"/>
        <v>3103014.6246335753</v>
      </c>
      <c r="CY547" s="129">
        <f t="shared" si="2064"/>
        <v>2881433.4287044471</v>
      </c>
      <c r="CZ547" s="129">
        <f t="shared" si="2064"/>
        <v>3595331.1858059894</v>
      </c>
      <c r="DA547" s="129">
        <f t="shared" si="2064"/>
        <v>3311057.0123594617</v>
      </c>
      <c r="DB547" s="129">
        <f t="shared" si="2064"/>
        <v>3938908.3518567248</v>
      </c>
      <c r="DC547" s="129">
        <f t="shared" si="2064"/>
        <v>4035659.5877323491</v>
      </c>
      <c r="DD547" s="129">
        <f t="shared" si="2064"/>
        <v>3752750.3564937115</v>
      </c>
      <c r="DE547" s="129">
        <f t="shared" si="2064"/>
        <v>4365432.8642815314</v>
      </c>
      <c r="DF547" s="129">
        <f t="shared" si="2064"/>
        <v>4013386.288456806</v>
      </c>
      <c r="DG547" s="129">
        <f t="shared" si="2064"/>
        <v>3940160.3758950639</v>
      </c>
      <c r="DH547" s="129">
        <f t="shared" si="2064"/>
        <v>3911496.9692405518</v>
      </c>
      <c r="DI547" s="129">
        <f t="shared" si="2064"/>
        <v>4233452.4167838842</v>
      </c>
      <c r="DJ547" s="129">
        <f t="shared" si="2064"/>
        <v>3774123.7897365158</v>
      </c>
      <c r="DK547" s="129">
        <f t="shared" si="2064"/>
        <v>3496054.027558777</v>
      </c>
      <c r="DL547" s="129">
        <f t="shared" si="2064"/>
        <v>4349239.8741720794</v>
      </c>
      <c r="DM547" s="129">
        <f t="shared" si="2064"/>
        <v>3984053.9256814062</v>
      </c>
      <c r="DN547" s="129">
        <f t="shared" si="2064"/>
        <v>4723998.7286981801</v>
      </c>
      <c r="DO547" s="129">
        <f t="shared" si="2064"/>
        <v>4820058.5231923098</v>
      </c>
      <c r="DP547" s="129">
        <f t="shared" si="2064"/>
        <v>4459774.6564665539</v>
      </c>
      <c r="DQ547" s="129">
        <f t="shared" si="2064"/>
        <v>5131863.2049664296</v>
      </c>
      <c r="DR547" s="129">
        <f t="shared" ref="DR547" si="2065">DQ547/DQ461*DR461</f>
        <v>4572934.7635463811</v>
      </c>
      <c r="DS547" s="129">
        <f t="shared" ref="DS547" si="2066">DR547/DR461*DS461</f>
        <v>4485011.7063176958</v>
      </c>
      <c r="DT547" s="129">
        <f t="shared" ref="DT547" si="2067">DS547/DS461*DT461</f>
        <v>4449536.5494092554</v>
      </c>
      <c r="DU547" s="129">
        <f t="shared" ref="DU547" si="2068">DT547/DT461*DU461</f>
        <v>4814184.7711331965</v>
      </c>
      <c r="DV547" s="129">
        <f t="shared" ref="DV547" si="2069">DU547/DU461*DV461</f>
        <v>4286263.4260304887</v>
      </c>
      <c r="DW547" s="129">
        <f t="shared" ref="DW547" si="2070">DV547/DV461*DW461</f>
        <v>3964618.6254944922</v>
      </c>
      <c r="DX547" s="129">
        <f t="shared" ref="DX547" si="2071">DW547/DW461*DX461</f>
        <v>4934761.4740931233</v>
      </c>
      <c r="DY547" s="129">
        <f t="shared" ref="DY547" si="2072">DX547/DX461*DY461</f>
        <v>4516464.4025046229</v>
      </c>
      <c r="DZ547" s="129">
        <f t="shared" ref="DZ547" si="2073">DY547/DY461*DZ461</f>
        <v>5356883.5518811159</v>
      </c>
      <c r="EA547" s="129">
        <f t="shared" ref="EA547" si="2074">DZ547/DZ461*EA461</f>
        <v>5464638.7943706829</v>
      </c>
      <c r="EB547" s="129">
        <f t="shared" ref="EB547" si="2075">EA547/EA461*EB461</f>
        <v>5052145.4367111875</v>
      </c>
      <c r="EC547" s="129">
        <f t="shared" ref="EC547" si="2076">EB547/EB461*EC461</f>
        <v>5814464.5338679245</v>
      </c>
      <c r="ED547" s="113" t="s">
        <v>1</v>
      </c>
    </row>
    <row r="548" spans="1:134" x14ac:dyDescent="0.2">
      <c r="A548" s="114" t="s">
        <v>149</v>
      </c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29">
        <v>69683.632750550838</v>
      </c>
      <c r="AC548" s="129">
        <v>57208.683866720341</v>
      </c>
      <c r="AD548" s="129">
        <v>82313.280943565071</v>
      </c>
      <c r="AE548" s="129">
        <v>123912.9963118983</v>
      </c>
      <c r="AF548" s="129">
        <v>110916.36035999999</v>
      </c>
      <c r="AG548" s="129">
        <v>177160.584</v>
      </c>
      <c r="AH548" s="129">
        <v>451444.14120000001</v>
      </c>
      <c r="AI548" s="129">
        <v>464287.55232000002</v>
      </c>
      <c r="AJ548" s="129">
        <v>447413.59139999986</v>
      </c>
      <c r="AK548" s="129">
        <v>498044.58576000121</v>
      </c>
      <c r="AL548" s="129">
        <v>283328.69868000021</v>
      </c>
      <c r="AM548" s="129">
        <v>7841.7480000000032</v>
      </c>
      <c r="AN548" s="129">
        <v>181926.18047999989</v>
      </c>
      <c r="AO548" s="129">
        <v>275323.39980000095</v>
      </c>
      <c r="AP548" s="129">
        <v>361814.1955200017</v>
      </c>
      <c r="AQ548" s="129">
        <v>495216.94968000171</v>
      </c>
      <c r="AR548" s="129">
        <v>629533.5118800042</v>
      </c>
      <c r="AS548" s="129">
        <v>913296.60491999821</v>
      </c>
      <c r="AT548" s="129">
        <v>1080778.2800399933</v>
      </c>
      <c r="AU548" s="129">
        <v>1059729.0132000265</v>
      </c>
      <c r="AV548" s="129">
        <v>1153395.5961599557</v>
      </c>
      <c r="AW548" s="129">
        <v>1303264.0154399402</v>
      </c>
      <c r="AX548" s="129">
        <v>1144563.4714799519</v>
      </c>
      <c r="AY548" s="129">
        <v>1409399.9596800578</v>
      </c>
      <c r="AZ548" s="129">
        <v>1702659.0068398812</v>
      </c>
      <c r="BA548" s="129">
        <v>1734521.906759978</v>
      </c>
      <c r="BB548" s="129">
        <v>1803442.0464000639</v>
      </c>
      <c r="BC548" s="129">
        <v>1729283.6201999972</v>
      </c>
      <c r="BD548" s="129">
        <v>1303620.6412799652</v>
      </c>
      <c r="BE548" s="129">
        <v>1353585.0833599837</v>
      </c>
      <c r="BF548" s="129">
        <v>1663887.8486401108</v>
      </c>
      <c r="BG548" s="129">
        <v>1570932.1940599931</v>
      </c>
      <c r="BH548" s="129">
        <v>1360934.1726000269</v>
      </c>
      <c r="BI548" s="129">
        <v>1743482.1523798828</v>
      </c>
      <c r="BJ548" s="129">
        <v>3108719.4022002551</v>
      </c>
      <c r="BK548" s="129">
        <v>3360450</v>
      </c>
      <c r="BL548" s="129">
        <v>2956789</v>
      </c>
      <c r="BM548" s="129">
        <v>2854680.5084745763</v>
      </c>
      <c r="BN548" s="129">
        <v>2767573</v>
      </c>
      <c r="BO548" s="129">
        <v>3486851</v>
      </c>
      <c r="BP548" s="129">
        <v>4901825.875614021</v>
      </c>
      <c r="BQ548" s="129">
        <v>4193337.8344676523</v>
      </c>
      <c r="BR548" s="129">
        <v>5158780.2003266439</v>
      </c>
      <c r="BS548" s="129">
        <v>5374027.8447136562</v>
      </c>
      <c r="BT548" s="129">
        <v>6061284.2849540683</v>
      </c>
      <c r="BU548" s="129">
        <v>5905503.1907328181</v>
      </c>
      <c r="BV548" s="129">
        <v>4423351.4399110675</v>
      </c>
      <c r="BW548" s="129">
        <v>3311294.4658986172</v>
      </c>
      <c r="BX548" s="129">
        <v>2878932.5331908399</v>
      </c>
      <c r="BY548" s="129">
        <v>3423399.3336585369</v>
      </c>
      <c r="BZ548" s="129">
        <v>2108281.7629327904</v>
      </c>
      <c r="CA548" s="129">
        <v>2446419.2153414991</v>
      </c>
      <c r="CB548" s="129">
        <v>3037751.7932272963</v>
      </c>
      <c r="CC548" s="129">
        <v>2399973.0254849158</v>
      </c>
      <c r="CD548" s="129">
        <v>2397166.1915650405</v>
      </c>
      <c r="CE548" s="129">
        <v>2813379.1462100763</v>
      </c>
      <c r="CF548" s="129">
        <v>2627529.320279724</v>
      </c>
      <c r="CG548" s="129">
        <v>4008840.3265995607</v>
      </c>
      <c r="CH548" s="129">
        <v>4170447.7377009476</v>
      </c>
      <c r="CI548" s="129">
        <v>3821671.122559078</v>
      </c>
      <c r="CJ548" s="129">
        <v>3831457.6782620652</v>
      </c>
      <c r="CK548" s="129">
        <v>5052445.6208710903</v>
      </c>
      <c r="CL548" s="129">
        <v>3924762.7114202529</v>
      </c>
      <c r="CM548" s="129">
        <v>4992375.14586512</v>
      </c>
      <c r="CN548" s="129">
        <v>9905828.719665071</v>
      </c>
      <c r="CO548" s="129">
        <v>5219449.8284109151</v>
      </c>
      <c r="CP548" s="129">
        <v>5801598.5751445089</v>
      </c>
      <c r="CQ548" s="129">
        <v>5497505.9176630434</v>
      </c>
      <c r="CR548" s="129">
        <v>5031195.1025827043</v>
      </c>
      <c r="CS548" s="129">
        <v>8377337.5306670433</v>
      </c>
      <c r="CT548" s="129">
        <f>SUM(CQ548:CS548)/SUM(CQ462:CS462)*CT462</f>
        <v>5893973.5815702258</v>
      </c>
      <c r="CU548" s="129">
        <f t="shared" ref="CU548:DQ548" si="2077">CT548/CT461*CU461</f>
        <v>5771980.9838512978</v>
      </c>
      <c r="CV548" s="129">
        <f t="shared" si="2077"/>
        <v>5759949.4113750961</v>
      </c>
      <c r="CW548" s="129">
        <f t="shared" si="2077"/>
        <v>6237250.5886057373</v>
      </c>
      <c r="CX548" s="129">
        <f t="shared" si="2077"/>
        <v>5572667.493954543</v>
      </c>
      <c r="CY548" s="129">
        <f t="shared" si="2077"/>
        <v>5174732.4284787755</v>
      </c>
      <c r="CZ548" s="129">
        <f t="shared" si="2077"/>
        <v>6456813.019857428</v>
      </c>
      <c r="DA548" s="129">
        <f t="shared" si="2077"/>
        <v>5946288.37290275</v>
      </c>
      <c r="DB548" s="129">
        <f t="shared" si="2077"/>
        <v>7073839.2142286673</v>
      </c>
      <c r="DC548" s="129">
        <f t="shared" si="2077"/>
        <v>7247593.6215987867</v>
      </c>
      <c r="DD548" s="129">
        <f t="shared" si="2077"/>
        <v>6739520.2583127869</v>
      </c>
      <c r="DE548" s="129">
        <f t="shared" si="2077"/>
        <v>7839829.5730543882</v>
      </c>
      <c r="DF548" s="129">
        <f t="shared" si="2077"/>
        <v>7207593.2652129065</v>
      </c>
      <c r="DG548" s="129">
        <f t="shared" si="2077"/>
        <v>7076087.7094838014</v>
      </c>
      <c r="DH548" s="129">
        <f t="shared" si="2077"/>
        <v>7024611.4343603924</v>
      </c>
      <c r="DI548" s="129">
        <f t="shared" si="2077"/>
        <v>7602807.4385890812</v>
      </c>
      <c r="DJ548" s="129">
        <f t="shared" si="2077"/>
        <v>6777904.5558667984</v>
      </c>
      <c r="DK548" s="129">
        <f t="shared" si="2077"/>
        <v>6278522.3381879041</v>
      </c>
      <c r="DL548" s="129">
        <f t="shared" si="2077"/>
        <v>7810748.7724366579</v>
      </c>
      <c r="DM548" s="129">
        <f t="shared" si="2077"/>
        <v>7154915.6196543863</v>
      </c>
      <c r="DN548" s="129">
        <f t="shared" si="2077"/>
        <v>8483773.7946554478</v>
      </c>
      <c r="DO548" s="129">
        <f t="shared" si="2077"/>
        <v>8656286.4505752046</v>
      </c>
      <c r="DP548" s="129">
        <f t="shared" si="2077"/>
        <v>8009256.8888192857</v>
      </c>
      <c r="DQ548" s="129">
        <f t="shared" si="2077"/>
        <v>9216252.8138631843</v>
      </c>
      <c r="DR548" s="129">
        <f t="shared" ref="DR548" si="2078">DQ548/DQ461*DR461</f>
        <v>8212479.7951279003</v>
      </c>
      <c r="DS548" s="129">
        <f t="shared" ref="DS548" si="2079">DR548/DR461*DS461</f>
        <v>8054579.8100302601</v>
      </c>
      <c r="DT548" s="129">
        <f t="shared" ref="DT548" si="2080">DS548/DS461*DT461</f>
        <v>7990870.3926858455</v>
      </c>
      <c r="DU548" s="129">
        <f t="shared" ref="DU548" si="2081">DT548/DT461*DU461</f>
        <v>8645737.8482877649</v>
      </c>
      <c r="DV548" s="129">
        <f t="shared" ref="DV548" si="2082">DU548/DU461*DV461</f>
        <v>7697650.1093954537</v>
      </c>
      <c r="DW548" s="129">
        <f t="shared" ref="DW548" si="2083">DV548/DV461*DW461</f>
        <v>7120011.9924761355</v>
      </c>
      <c r="DX548" s="129">
        <f t="shared" ref="DX548" si="2084">DW548/DW461*DX461</f>
        <v>8862280.1319685392</v>
      </c>
      <c r="DY548" s="129">
        <f t="shared" ref="DY548" si="2085">DX548/DX461*DY461</f>
        <v>8111065.337441789</v>
      </c>
      <c r="DZ548" s="129">
        <f t="shared" ref="DZ548" si="2086">DY548/DY461*DZ461</f>
        <v>9620364.2101728022</v>
      </c>
      <c r="EA548" s="129">
        <f t="shared" ref="EA548" si="2087">DZ548/DZ461*EA461</f>
        <v>9813880.5836883523</v>
      </c>
      <c r="EB548" s="129">
        <f t="shared" ref="EB548" si="2088">EA548/EA461*EB461</f>
        <v>9073088.6107943524</v>
      </c>
      <c r="EC548" s="129">
        <f t="shared" ref="EC548" si="2089">EB548/EB461*EC461</f>
        <v>10442128.517671291</v>
      </c>
      <c r="ED548" s="113" t="s">
        <v>1</v>
      </c>
    </row>
    <row r="549" spans="1:134" x14ac:dyDescent="0.2">
      <c r="A549" s="117" t="s">
        <v>37</v>
      </c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85">
        <f>AB543/AB461</f>
        <v>1.6560111265048267E-2</v>
      </c>
      <c r="AC549" s="185">
        <f t="shared" ref="AC549:CN549" si="2090">AC543/AC461</f>
        <v>1.6391485533647939E-2</v>
      </c>
      <c r="AD549" s="185">
        <f t="shared" si="2090"/>
        <v>1.8397197332563026E-2</v>
      </c>
      <c r="AE549" s="185">
        <f t="shared" si="2090"/>
        <v>2.17055426150334E-2</v>
      </c>
      <c r="AF549" s="185">
        <f t="shared" si="2090"/>
        <v>1.7803316720121306E-2</v>
      </c>
      <c r="AG549" s="185">
        <f t="shared" si="2090"/>
        <v>1.7836235345222624E-2</v>
      </c>
      <c r="AH549" s="185">
        <f t="shared" si="2090"/>
        <v>1.6769056591567862E-2</v>
      </c>
      <c r="AI549" s="185">
        <f t="shared" si="2090"/>
        <v>1.8182875121374096E-2</v>
      </c>
      <c r="AJ549" s="185">
        <f t="shared" si="2090"/>
        <v>1.7082687670719972E-2</v>
      </c>
      <c r="AK549" s="185">
        <f t="shared" si="2090"/>
        <v>2.0203566885651079E-2</v>
      </c>
      <c r="AL549" s="185">
        <f t="shared" si="2090"/>
        <v>2.2112127900216917E-2</v>
      </c>
      <c r="AM549" s="185">
        <f t="shared" si="2090"/>
        <v>3.2392459256924563E-2</v>
      </c>
      <c r="AN549" s="185">
        <f t="shared" si="2090"/>
        <v>1.9587829914021481E-2</v>
      </c>
      <c r="AO549" s="185">
        <f t="shared" si="2090"/>
        <v>2.0991159103911763E-2</v>
      </c>
      <c r="AP549" s="185">
        <f t="shared" si="2090"/>
        <v>2.3969325207868895E-2</v>
      </c>
      <c r="AQ549" s="185">
        <f t="shared" si="2090"/>
        <v>2.4960635600202865E-2</v>
      </c>
      <c r="AR549" s="185">
        <f t="shared" si="2090"/>
        <v>2.6493077622185789E-2</v>
      </c>
      <c r="AS549" s="185">
        <f t="shared" si="2090"/>
        <v>2.2323973112342362E-2</v>
      </c>
      <c r="AT549" s="185">
        <f t="shared" si="2090"/>
        <v>2.2097678703918062E-2</v>
      </c>
      <c r="AU549" s="185">
        <f t="shared" si="2090"/>
        <v>1.8940803698450425E-2</v>
      </c>
      <c r="AV549" s="185">
        <f t="shared" si="2090"/>
        <v>2.1478290468095435E-2</v>
      </c>
      <c r="AW549" s="185">
        <f t="shared" si="2090"/>
        <v>2.5248305167038528E-2</v>
      </c>
      <c r="AX549" s="185">
        <f t="shared" si="2090"/>
        <v>2.4096150844737981E-2</v>
      </c>
      <c r="AY549" s="185">
        <f t="shared" si="2090"/>
        <v>2.3682421746505811E-2</v>
      </c>
      <c r="AZ549" s="185">
        <f t="shared" si="2090"/>
        <v>2.3186561101416859E-2</v>
      </c>
      <c r="BA549" s="185">
        <f t="shared" si="2090"/>
        <v>2.6169980922068535E-2</v>
      </c>
      <c r="BB549" s="185">
        <f t="shared" si="2090"/>
        <v>2.1677870998133283E-2</v>
      </c>
      <c r="BC549" s="185">
        <f t="shared" si="2090"/>
        <v>2.2950870354040937E-2</v>
      </c>
      <c r="BD549" s="185">
        <f t="shared" si="2090"/>
        <v>2.2638474965053421E-2</v>
      </c>
      <c r="BE549" s="185">
        <f t="shared" si="2090"/>
        <v>2.1646877666865003E-2</v>
      </c>
      <c r="BF549" s="185">
        <f t="shared" si="2090"/>
        <v>2.0058935163071692E-2</v>
      </c>
      <c r="BG549" s="185">
        <f t="shared" si="2090"/>
        <v>1.9336200157342994E-2</v>
      </c>
      <c r="BH549" s="185">
        <f t="shared" si="2090"/>
        <v>2.333840670516896E-2</v>
      </c>
      <c r="BI549" s="185">
        <f t="shared" si="2090"/>
        <v>2.5888086951081912E-2</v>
      </c>
      <c r="BJ549" s="185">
        <f t="shared" si="2090"/>
        <v>3.326435465957886E-2</v>
      </c>
      <c r="BK549" s="185">
        <f t="shared" si="2090"/>
        <v>3.309040767053445E-2</v>
      </c>
      <c r="BL549" s="185">
        <f t="shared" si="2090"/>
        <v>3.6036358914482147E-2</v>
      </c>
      <c r="BM549" s="185">
        <f t="shared" si="2090"/>
        <v>3.4190042077503049E-2</v>
      </c>
      <c r="BN549" s="185">
        <f t="shared" si="2090"/>
        <v>3.5590106581722326E-2</v>
      </c>
      <c r="BO549" s="185">
        <f t="shared" si="2090"/>
        <v>3.6501117846068749E-2</v>
      </c>
      <c r="BP549" s="185">
        <f t="shared" si="2090"/>
        <v>3.8190971251382759E-2</v>
      </c>
      <c r="BQ549" s="185">
        <f t="shared" si="2090"/>
        <v>4.0359042946449021E-2</v>
      </c>
      <c r="BR549" s="185">
        <f t="shared" si="2090"/>
        <v>4.5654410732941263E-2</v>
      </c>
      <c r="BS549" s="185">
        <f t="shared" si="2090"/>
        <v>4.7010425407638355E-2</v>
      </c>
      <c r="BT549" s="185">
        <f t="shared" si="2090"/>
        <v>5.9226481265313942E-2</v>
      </c>
      <c r="BU549" s="185">
        <f t="shared" si="2090"/>
        <v>5.3578505709331106E-2</v>
      </c>
      <c r="BV549" s="185">
        <f t="shared" si="2090"/>
        <v>4.462445798774628E-2</v>
      </c>
      <c r="BW549" s="185">
        <f t="shared" si="2090"/>
        <v>4.451635349862551E-2</v>
      </c>
      <c r="BX549" s="185">
        <f t="shared" si="2090"/>
        <v>4.1733329963300883E-2</v>
      </c>
      <c r="BY549" s="185">
        <f t="shared" si="2090"/>
        <v>4.5090968093153549E-2</v>
      </c>
      <c r="BZ549" s="185">
        <f t="shared" si="2090"/>
        <v>4.39469812655073E-2</v>
      </c>
      <c r="CA549" s="185">
        <f t="shared" si="2090"/>
        <v>4.9037222224979686E-2</v>
      </c>
      <c r="CB549" s="185">
        <f t="shared" si="2090"/>
        <v>4.5270616233058843E-2</v>
      </c>
      <c r="CC549" s="185">
        <f t="shared" si="2090"/>
        <v>4.3047134450068823E-2</v>
      </c>
      <c r="CD549" s="185">
        <f t="shared" si="2090"/>
        <v>3.9021598062761127E-2</v>
      </c>
      <c r="CE549" s="185">
        <f t="shared" si="2090"/>
        <v>4.0851913876269234E-2</v>
      </c>
      <c r="CF549" s="185">
        <f t="shared" si="2090"/>
        <v>4.2975685675514151E-2</v>
      </c>
      <c r="CG549" s="185">
        <f t="shared" si="2090"/>
        <v>4.3781045060800022E-2</v>
      </c>
      <c r="CH549" s="185">
        <f t="shared" si="2090"/>
        <v>4.5527567819971727E-2</v>
      </c>
      <c r="CI549" s="185">
        <f t="shared" si="2090"/>
        <v>4.5581015160013456E-2</v>
      </c>
      <c r="CJ549" s="185">
        <f t="shared" si="2090"/>
        <v>4.7960135611949173E-2</v>
      </c>
      <c r="CK549" s="185">
        <f t="shared" si="2090"/>
        <v>5.2611260339822517E-2</v>
      </c>
      <c r="CL549" s="185">
        <f t="shared" si="2090"/>
        <v>5.0840834772956492E-2</v>
      </c>
      <c r="CM549" s="185">
        <f t="shared" si="2090"/>
        <v>5.5739877887486029E-2</v>
      </c>
      <c r="CN549" s="185">
        <f t="shared" si="2090"/>
        <v>5.851531198656857E-2</v>
      </c>
      <c r="CO549" s="185">
        <f t="shared" ref="CO549:DQ549" si="2091">CO543/CO461</f>
        <v>3.9765850064358774E-2</v>
      </c>
      <c r="CP549" s="185">
        <f t="shared" si="2091"/>
        <v>2.8935292725161151E-2</v>
      </c>
      <c r="CQ549" s="185">
        <f t="shared" si="2091"/>
        <v>3.0147515599449615E-2</v>
      </c>
      <c r="CR549" s="185">
        <f t="shared" si="2091"/>
        <v>2.8754526688243236E-2</v>
      </c>
      <c r="CS549" s="185">
        <f t="shared" si="2091"/>
        <v>3.0508431981333631E-2</v>
      </c>
      <c r="CT549" s="185">
        <f t="shared" si="2091"/>
        <v>3.2522787698533083E-2</v>
      </c>
      <c r="CU549" s="185">
        <f t="shared" si="2091"/>
        <v>3.259431325261803E-2</v>
      </c>
      <c r="CV549" s="185">
        <f t="shared" si="2091"/>
        <v>3.2588147123612805E-2</v>
      </c>
      <c r="CW549" s="185">
        <f t="shared" si="2091"/>
        <v>3.2280844923433284E-2</v>
      </c>
      <c r="CX549" s="185">
        <f t="shared" si="2091"/>
        <v>3.2694551810979681E-2</v>
      </c>
      <c r="CY549" s="185">
        <f t="shared" si="2091"/>
        <v>3.2981418203691944E-2</v>
      </c>
      <c r="CZ549" s="185">
        <f t="shared" si="2091"/>
        <v>3.212031866635854E-2</v>
      </c>
      <c r="DA549" s="185">
        <f t="shared" si="2091"/>
        <v>3.2401155642681145E-2</v>
      </c>
      <c r="DB549" s="185">
        <f t="shared" si="2091"/>
        <v>3.1801457306427985E-2</v>
      </c>
      <c r="DC549" s="185">
        <f t="shared" si="2091"/>
        <v>3.1719216299947291E-2</v>
      </c>
      <c r="DD549" s="185">
        <f t="shared" si="2091"/>
        <v>3.1935512674151803E-2</v>
      </c>
      <c r="DE549" s="185">
        <f t="shared" si="2091"/>
        <v>3.146564656959229E-2</v>
      </c>
      <c r="DF549" s="185">
        <f t="shared" si="2091"/>
        <v>3.2124946490089672E-2</v>
      </c>
      <c r="DG549" s="185">
        <f t="shared" si="2091"/>
        <v>3.2172545466817061E-2</v>
      </c>
      <c r="DH549" s="185">
        <f t="shared" si="2091"/>
        <v>3.2188375977450404E-2</v>
      </c>
      <c r="DI549" s="185">
        <f t="shared" si="2091"/>
        <v>3.1932900242746809E-2</v>
      </c>
      <c r="DJ549" s="185">
        <f t="shared" si="2091"/>
        <v>3.2286500917286742E-2</v>
      </c>
      <c r="DK549" s="185">
        <f t="shared" si="2091"/>
        <v>3.2535989268965677E-2</v>
      </c>
      <c r="DL549" s="185">
        <f t="shared" si="2091"/>
        <v>3.1824202938872857E-2</v>
      </c>
      <c r="DM549" s="185">
        <f t="shared" si="2091"/>
        <v>3.2082059077921485E-2</v>
      </c>
      <c r="DN549" s="185">
        <f t="shared" si="2091"/>
        <v>3.1584382166282426E-2</v>
      </c>
      <c r="DO549" s="185">
        <f t="shared" si="2091"/>
        <v>3.1528168477594161E-2</v>
      </c>
      <c r="DP549" s="185">
        <f t="shared" si="2091"/>
        <v>3.1731418239233804E-2</v>
      </c>
      <c r="DQ549" s="185">
        <f t="shared" si="2091"/>
        <v>3.1360950105703403E-2</v>
      </c>
      <c r="DR549" s="185">
        <f t="shared" ref="DR549:EC549" si="2092">DR543/DR461</f>
        <v>3.1651776590484605E-2</v>
      </c>
      <c r="DS549" s="185">
        <f t="shared" si="2092"/>
        <v>3.1694800628100102E-2</v>
      </c>
      <c r="DT549" s="185">
        <f t="shared" si="2092"/>
        <v>3.1709878358098416E-2</v>
      </c>
      <c r="DU549" s="185">
        <f t="shared" si="2092"/>
        <v>3.1492531217728853E-2</v>
      </c>
      <c r="DV549" s="185">
        <f t="shared" si="2092"/>
        <v>3.1797766164546153E-2</v>
      </c>
      <c r="DW549" s="185">
        <f t="shared" si="2092"/>
        <v>3.2015055222284962E-2</v>
      </c>
      <c r="DX549" s="185">
        <f t="shared" si="2092"/>
        <v>3.1404572736665123E-2</v>
      </c>
      <c r="DY549" s="185">
        <f t="shared" si="2092"/>
        <v>3.1627251316993697E-2</v>
      </c>
      <c r="DZ549" s="185">
        <f t="shared" si="2092"/>
        <v>3.1200525861330968E-2</v>
      </c>
      <c r="EA549" s="185">
        <f t="shared" si="2092"/>
        <v>3.1152822068239029E-2</v>
      </c>
      <c r="EB549" s="185">
        <f t="shared" si="2092"/>
        <v>3.132848770403443E-2</v>
      </c>
      <c r="EC549" s="185">
        <f t="shared" si="2092"/>
        <v>3.1010800286928202E-2</v>
      </c>
      <c r="ED549" s="113" t="s">
        <v>1</v>
      </c>
    </row>
    <row r="550" spans="1:134" x14ac:dyDescent="0.2">
      <c r="A550" s="117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15"/>
      <c r="AU550" s="115"/>
      <c r="AV550" s="115"/>
      <c r="AW550" s="115"/>
      <c r="AX550" s="115"/>
      <c r="AY550" s="115"/>
      <c r="AZ550" s="115"/>
      <c r="BA550" s="115"/>
      <c r="BB550" s="115"/>
      <c r="BC550" s="115"/>
      <c r="BD550" s="115"/>
      <c r="BE550" s="115"/>
      <c r="BF550" s="115"/>
      <c r="BG550" s="115"/>
      <c r="BH550" s="115"/>
      <c r="BI550" s="115"/>
      <c r="BJ550" s="115"/>
      <c r="BK550" s="115"/>
      <c r="BL550" s="115"/>
      <c r="BM550" s="115"/>
      <c r="BN550" s="115"/>
      <c r="BO550" s="115"/>
      <c r="BP550" s="115"/>
      <c r="BQ550" s="115"/>
      <c r="BR550" s="115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115"/>
      <c r="CC550" s="115"/>
      <c r="CD550" s="115"/>
      <c r="CE550" s="115"/>
      <c r="CF550" s="115"/>
      <c r="CG550" s="115"/>
      <c r="CH550" s="115"/>
      <c r="CI550" s="115"/>
      <c r="CJ550" s="115"/>
      <c r="CK550" s="115"/>
      <c r="CL550" s="115"/>
      <c r="CM550" s="115"/>
      <c r="CN550" s="115"/>
      <c r="CO550" s="115"/>
      <c r="CP550" s="115"/>
      <c r="CQ550" s="115"/>
      <c r="CR550" s="115"/>
      <c r="CS550" s="115"/>
      <c r="CT550" s="115"/>
      <c r="CU550" s="115"/>
      <c r="CV550" s="115"/>
      <c r="CW550" s="115"/>
      <c r="CX550" s="115"/>
      <c r="CY550" s="115"/>
      <c r="CZ550" s="115"/>
      <c r="DA550" s="115"/>
      <c r="DB550" s="115"/>
      <c r="DC550" s="115"/>
      <c r="DD550" s="115"/>
      <c r="DE550" s="115"/>
      <c r="DF550" s="115"/>
      <c r="DG550" s="115"/>
      <c r="DH550" s="115"/>
      <c r="DI550" s="115"/>
      <c r="DJ550" s="115"/>
      <c r="DK550" s="115"/>
      <c r="DL550" s="115"/>
      <c r="DM550" s="115"/>
      <c r="DN550" s="115"/>
      <c r="DO550" s="115"/>
      <c r="DP550" s="115"/>
      <c r="DQ550" s="115"/>
      <c r="DR550" s="115"/>
      <c r="DS550" s="115"/>
      <c r="DT550" s="115"/>
      <c r="DU550" s="115"/>
      <c r="DV550" s="115"/>
      <c r="DW550" s="115"/>
      <c r="DX550" s="115"/>
      <c r="DY550" s="115"/>
      <c r="DZ550" s="115"/>
      <c r="EA550" s="115"/>
      <c r="EB550" s="115"/>
      <c r="EC550" s="115"/>
      <c r="ED550" s="113" t="s">
        <v>1</v>
      </c>
    </row>
    <row r="551" spans="1:134" x14ac:dyDescent="0.2">
      <c r="A551" s="116" t="s">
        <v>261</v>
      </c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15"/>
      <c r="AU551" s="115"/>
      <c r="AV551" s="115"/>
      <c r="AW551" s="115"/>
      <c r="AX551" s="115"/>
      <c r="AY551" s="115"/>
      <c r="AZ551" s="115"/>
      <c r="BA551" s="115"/>
      <c r="BB551" s="115"/>
      <c r="BC551" s="115"/>
      <c r="BD551" s="115"/>
      <c r="BE551" s="115"/>
      <c r="BF551" s="115"/>
      <c r="BG551" s="115"/>
      <c r="BH551" s="115"/>
      <c r="BI551" s="115"/>
      <c r="BJ551" s="115"/>
      <c r="BK551" s="115"/>
      <c r="BL551" s="115"/>
      <c r="BM551" s="115"/>
      <c r="BN551" s="115"/>
      <c r="BO551" s="115"/>
      <c r="BP551" s="115"/>
      <c r="BQ551" s="115"/>
      <c r="BR551" s="115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115"/>
      <c r="CC551" s="115"/>
      <c r="CD551" s="115"/>
      <c r="CE551" s="115"/>
      <c r="CF551" s="115"/>
      <c r="CG551" s="115"/>
      <c r="CH551" s="115"/>
      <c r="CI551" s="115"/>
      <c r="CJ551" s="115"/>
      <c r="CK551" s="115"/>
      <c r="CL551" s="115"/>
      <c r="CM551" s="115"/>
      <c r="CN551" s="115"/>
      <c r="CO551" s="115"/>
      <c r="CP551" s="115"/>
      <c r="CQ551" s="115"/>
      <c r="CR551" s="115"/>
      <c r="CS551" s="115"/>
      <c r="CT551" s="115"/>
      <c r="CU551" s="115"/>
      <c r="CV551" s="115"/>
      <c r="CW551" s="115"/>
      <c r="CX551" s="115"/>
      <c r="CY551" s="115"/>
      <c r="CZ551" s="115"/>
      <c r="DA551" s="115"/>
      <c r="DB551" s="115"/>
      <c r="DC551" s="115"/>
      <c r="DD551" s="115"/>
      <c r="DE551" s="115"/>
      <c r="DF551" s="115"/>
      <c r="DG551" s="115"/>
      <c r="DH551" s="115"/>
      <c r="DI551" s="115"/>
      <c r="DJ551" s="115"/>
      <c r="DK551" s="115"/>
      <c r="DL551" s="115"/>
      <c r="DM551" s="115"/>
      <c r="DN551" s="115"/>
      <c r="DO551" s="115"/>
      <c r="DP551" s="115"/>
      <c r="DQ551" s="115"/>
      <c r="DR551" s="115"/>
      <c r="DS551" s="115"/>
      <c r="DT551" s="115"/>
      <c r="DU551" s="115"/>
      <c r="DV551" s="115"/>
      <c r="DW551" s="115"/>
      <c r="DX551" s="115"/>
      <c r="DY551" s="115"/>
      <c r="DZ551" s="115"/>
      <c r="EA551" s="115"/>
      <c r="EB551" s="115"/>
      <c r="EC551" s="115"/>
      <c r="ED551" s="113" t="s">
        <v>1</v>
      </c>
    </row>
    <row r="552" spans="1:134" x14ac:dyDescent="0.2">
      <c r="A552" s="114" t="s">
        <v>262</v>
      </c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29">
        <f t="shared" ref="AB552:BG552" si="2093">AB544/AB434</f>
        <v>37.425032594524119</v>
      </c>
      <c r="AC552" s="129">
        <f t="shared" si="2093"/>
        <v>41.346682606096834</v>
      </c>
      <c r="AD552" s="129">
        <f t="shared" si="2093"/>
        <v>35.141626278944535</v>
      </c>
      <c r="AE552" s="129">
        <f t="shared" si="2093"/>
        <v>33.610322289835473</v>
      </c>
      <c r="AF552" s="129">
        <f t="shared" si="2093"/>
        <v>34.964682926829269</v>
      </c>
      <c r="AG552" s="129">
        <f t="shared" si="2093"/>
        <v>27.64327904340902</v>
      </c>
      <c r="AH552" s="129">
        <f t="shared" si="2093"/>
        <v>43.99287476328599</v>
      </c>
      <c r="AI552" s="129">
        <f t="shared" si="2093"/>
        <v>54.502205419029615</v>
      </c>
      <c r="AJ552" s="129">
        <f t="shared" si="2093"/>
        <v>42.142360756259578</v>
      </c>
      <c r="AK552" s="129">
        <f t="shared" si="2093"/>
        <v>68.218805768356589</v>
      </c>
      <c r="AL552" s="129">
        <f t="shared" si="2093"/>
        <v>64.344895379862379</v>
      </c>
      <c r="AM552" s="129">
        <f t="shared" si="2093"/>
        <v>85.376760563380287</v>
      </c>
      <c r="AN552" s="129">
        <f t="shared" si="2093"/>
        <v>69.9965571042829</v>
      </c>
      <c r="AO552" s="129">
        <f t="shared" si="2093"/>
        <v>57.420091324200911</v>
      </c>
      <c r="AP552" s="129">
        <f t="shared" si="2093"/>
        <v>74.889867841409696</v>
      </c>
      <c r="AQ552" s="129">
        <f t="shared" si="2093"/>
        <v>56.282324307879527</v>
      </c>
      <c r="AR552" s="129">
        <f t="shared" si="2093"/>
        <v>61.045715849986316</v>
      </c>
      <c r="AS552" s="129">
        <f t="shared" si="2093"/>
        <v>9.336641685233948</v>
      </c>
      <c r="AT552" s="129">
        <f t="shared" si="2093"/>
        <v>35.364998353638462</v>
      </c>
      <c r="AU552" s="129">
        <f t="shared" si="2093"/>
        <v>10.811018363939899</v>
      </c>
      <c r="AV552" s="129">
        <f t="shared" si="2093"/>
        <v>53.902713081844347</v>
      </c>
      <c r="AW552" s="129">
        <f t="shared" si="2093"/>
        <v>96.39953587313866</v>
      </c>
      <c r="AX552" s="129">
        <f t="shared" si="2093"/>
        <v>24.910241066849036</v>
      </c>
      <c r="AY552" s="129">
        <f t="shared" si="2093"/>
        <v>40.277987421383649</v>
      </c>
      <c r="AZ552" s="129">
        <f t="shared" si="2093"/>
        <v>16.373050682261209</v>
      </c>
      <c r="BA552" s="129">
        <f t="shared" si="2093"/>
        <v>28.089038080563505</v>
      </c>
      <c r="BB552" s="129">
        <f t="shared" si="2093"/>
        <v>34.836341136433951</v>
      </c>
      <c r="BC552" s="129">
        <f t="shared" si="2093"/>
        <v>44.018486541391567</v>
      </c>
      <c r="BD552" s="129">
        <f t="shared" si="2093"/>
        <v>52.221570576540756</v>
      </c>
      <c r="BE552" s="129">
        <f t="shared" si="2093"/>
        <v>49.422402297671553</v>
      </c>
      <c r="BF552" s="129">
        <f t="shared" si="2093"/>
        <v>45.6103825136612</v>
      </c>
      <c r="BG552" s="129">
        <f t="shared" si="2093"/>
        <v>36.058093823709271</v>
      </c>
      <c r="BH552" s="129">
        <f t="shared" ref="BH552:CM552" si="2094">BH544/BH434</f>
        <v>75.12026343418917</v>
      </c>
      <c r="BI552" s="129">
        <f t="shared" si="2094"/>
        <v>51.993825239538118</v>
      </c>
      <c r="BJ552" s="129">
        <f t="shared" si="2094"/>
        <v>46.766330238191358</v>
      </c>
      <c r="BK552" s="129">
        <f t="shared" si="2094"/>
        <v>53.602957243790513</v>
      </c>
      <c r="BL552" s="129">
        <f t="shared" si="2094"/>
        <v>93.486958427705119</v>
      </c>
      <c r="BM552" s="129">
        <f t="shared" si="2094"/>
        <v>108.73317504503029</v>
      </c>
      <c r="BN552" s="129">
        <f t="shared" si="2094"/>
        <v>83.035821136896573</v>
      </c>
      <c r="BO552" s="129">
        <f t="shared" si="2094"/>
        <v>78.860259383320454</v>
      </c>
      <c r="BP552" s="129">
        <f t="shared" si="2094"/>
        <v>78.810785976816504</v>
      </c>
      <c r="BQ552" s="129">
        <f t="shared" si="2094"/>
        <v>84.159071566731143</v>
      </c>
      <c r="BR552" s="129">
        <f t="shared" si="2094"/>
        <v>84.173071872537861</v>
      </c>
      <c r="BS552" s="129">
        <f t="shared" si="2094"/>
        <v>100.53786332264022</v>
      </c>
      <c r="BT552" s="129">
        <f t="shared" si="2094"/>
        <v>129.18075639599556</v>
      </c>
      <c r="BU552" s="129">
        <f t="shared" si="2094"/>
        <v>93.428978030774701</v>
      </c>
      <c r="BV552" s="129">
        <f t="shared" si="2094"/>
        <v>112.48590905312162</v>
      </c>
      <c r="BW552" s="129">
        <f t="shared" si="2094"/>
        <v>122.43804207814513</v>
      </c>
      <c r="BX552" s="129">
        <f t="shared" si="2094"/>
        <v>125.41855150130034</v>
      </c>
      <c r="BY552" s="129">
        <f t="shared" si="2094"/>
        <v>132.77745860087867</v>
      </c>
      <c r="BZ552" s="129">
        <f t="shared" si="2094"/>
        <v>175.40777595404185</v>
      </c>
      <c r="CA552" s="129">
        <f t="shared" si="2094"/>
        <v>218.34189156914258</v>
      </c>
      <c r="CB552" s="129">
        <f t="shared" si="2094"/>
        <v>168.12942175266485</v>
      </c>
      <c r="CC552" s="129">
        <f t="shared" si="2094"/>
        <v>154.203048661325</v>
      </c>
      <c r="CD552" s="129">
        <f t="shared" si="2094"/>
        <v>112.54397286340696</v>
      </c>
      <c r="CE552" s="129">
        <f t="shared" si="2094"/>
        <v>130.16268766920993</v>
      </c>
      <c r="CF552" s="129">
        <f t="shared" si="2094"/>
        <v>206.00959545033874</v>
      </c>
      <c r="CG552" s="129">
        <f t="shared" si="2094"/>
        <v>227.29363979219164</v>
      </c>
      <c r="CH552" s="129">
        <f t="shared" si="2094"/>
        <v>207.01602206902191</v>
      </c>
      <c r="CI552" s="129">
        <f t="shared" si="2094"/>
        <v>234.66901432361854</v>
      </c>
      <c r="CJ552" s="129">
        <f t="shared" si="2094"/>
        <v>212.57322566974926</v>
      </c>
      <c r="CK552" s="129">
        <f t="shared" si="2094"/>
        <v>258.60138988396722</v>
      </c>
      <c r="CL552" s="129">
        <f t="shared" si="2094"/>
        <v>253.93159833827957</v>
      </c>
      <c r="CM552" s="129">
        <f t="shared" si="2094"/>
        <v>285.59570793776282</v>
      </c>
      <c r="CN552" s="129">
        <f t="shared" ref="CN552:CS552" si="2095">CN544/CN434</f>
        <v>228.85992533448029</v>
      </c>
      <c r="CO552" s="129">
        <f t="shared" si="2095"/>
        <v>232.65121648713935</v>
      </c>
      <c r="CP552" s="129">
        <f t="shared" si="2095"/>
        <v>164.05383543058088</v>
      </c>
      <c r="CQ552" s="129">
        <f t="shared" si="2095"/>
        <v>204.6734805409065</v>
      </c>
      <c r="CR552" s="129">
        <f t="shared" si="2095"/>
        <v>193.17481110190624</v>
      </c>
      <c r="CS552" s="129">
        <f t="shared" si="2095"/>
        <v>158.44294102627697</v>
      </c>
      <c r="CT552" s="129">
        <f>AVERAGE(CH552:CS552)*(1+CT553)</f>
        <v>230.49627721257286</v>
      </c>
      <c r="CU552" s="129">
        <f>CT552*(1+CU553)</f>
        <v>230.49627721257286</v>
      </c>
      <c r="CV552" s="129">
        <f t="shared" ref="CV552:DQ552" si="2096">CU552*(1+CV553)</f>
        <v>230.49627721257286</v>
      </c>
      <c r="CW552" s="129">
        <f t="shared" si="2096"/>
        <v>230.49627721257286</v>
      </c>
      <c r="CX552" s="129">
        <f t="shared" si="2096"/>
        <v>230.49627721257286</v>
      </c>
      <c r="CY552" s="129">
        <f t="shared" si="2096"/>
        <v>230.49627721257286</v>
      </c>
      <c r="CZ552" s="129">
        <f t="shared" si="2096"/>
        <v>230.49627721257286</v>
      </c>
      <c r="DA552" s="129">
        <f t="shared" si="2096"/>
        <v>230.49627721257286</v>
      </c>
      <c r="DB552" s="129">
        <f t="shared" si="2096"/>
        <v>230.49627721257286</v>
      </c>
      <c r="DC552" s="129">
        <f t="shared" si="2096"/>
        <v>230.49627721257286</v>
      </c>
      <c r="DD552" s="129">
        <f t="shared" si="2096"/>
        <v>230.49627721257286</v>
      </c>
      <c r="DE552" s="129">
        <f t="shared" si="2096"/>
        <v>230.49627721257286</v>
      </c>
      <c r="DF552" s="129">
        <f t="shared" si="2096"/>
        <v>242.02109107320152</v>
      </c>
      <c r="DG552" s="129">
        <f t="shared" si="2096"/>
        <v>242.02109107320152</v>
      </c>
      <c r="DH552" s="129">
        <f t="shared" si="2096"/>
        <v>242.02109107320152</v>
      </c>
      <c r="DI552" s="129">
        <f t="shared" si="2096"/>
        <v>242.02109107320152</v>
      </c>
      <c r="DJ552" s="129">
        <f t="shared" si="2096"/>
        <v>242.02109107320152</v>
      </c>
      <c r="DK552" s="129">
        <f t="shared" si="2096"/>
        <v>242.02109107320152</v>
      </c>
      <c r="DL552" s="129">
        <f t="shared" si="2096"/>
        <v>242.02109107320152</v>
      </c>
      <c r="DM552" s="129">
        <f t="shared" si="2096"/>
        <v>242.02109107320152</v>
      </c>
      <c r="DN552" s="129">
        <f t="shared" si="2096"/>
        <v>242.02109107320152</v>
      </c>
      <c r="DO552" s="129">
        <f t="shared" si="2096"/>
        <v>242.02109107320152</v>
      </c>
      <c r="DP552" s="129">
        <f t="shared" si="2096"/>
        <v>242.02109107320152</v>
      </c>
      <c r="DQ552" s="129">
        <f t="shared" si="2096"/>
        <v>242.02109107320152</v>
      </c>
      <c r="DR552" s="129">
        <f t="shared" ref="DR552" si="2097">DQ552*(1+DR553)</f>
        <v>242.02109107320152</v>
      </c>
      <c r="DS552" s="129">
        <f t="shared" ref="DS552" si="2098">DR552*(1+DS553)</f>
        <v>242.02109107320152</v>
      </c>
      <c r="DT552" s="129">
        <f t="shared" ref="DT552" si="2099">DS552*(1+DT553)</f>
        <v>242.02109107320152</v>
      </c>
      <c r="DU552" s="129">
        <f t="shared" ref="DU552" si="2100">DT552*(1+DU553)</f>
        <v>242.02109107320152</v>
      </c>
      <c r="DV552" s="129">
        <f t="shared" ref="DV552" si="2101">DU552*(1+DV553)</f>
        <v>242.02109107320152</v>
      </c>
      <c r="DW552" s="129">
        <f t="shared" ref="DW552" si="2102">DV552*(1+DW553)</f>
        <v>242.02109107320152</v>
      </c>
      <c r="DX552" s="129">
        <f t="shared" ref="DX552" si="2103">DW552*(1+DX553)</f>
        <v>242.02109107320152</v>
      </c>
      <c r="DY552" s="129">
        <f t="shared" ref="DY552" si="2104">DX552*(1+DY553)</f>
        <v>242.02109107320152</v>
      </c>
      <c r="DZ552" s="129">
        <f t="shared" ref="DZ552" si="2105">DY552*(1+DZ553)</f>
        <v>242.02109107320152</v>
      </c>
      <c r="EA552" s="129">
        <f t="shared" ref="EA552" si="2106">DZ552*(1+EA553)</f>
        <v>242.02109107320152</v>
      </c>
      <c r="EB552" s="129">
        <f t="shared" ref="EB552" si="2107">EA552*(1+EB553)</f>
        <v>242.02109107320152</v>
      </c>
      <c r="EC552" s="129">
        <f t="shared" ref="EC552" si="2108">EB552*(1+EC553)</f>
        <v>242.02109107320152</v>
      </c>
      <c r="ED552" s="113" t="s">
        <v>1</v>
      </c>
    </row>
    <row r="553" spans="1:134" x14ac:dyDescent="0.2">
      <c r="A553" s="739" t="s">
        <v>255</v>
      </c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15"/>
      <c r="AU553" s="115"/>
      <c r="AV553" s="115"/>
      <c r="AW553" s="115"/>
      <c r="AX553" s="115"/>
      <c r="AY553" s="115"/>
      <c r="AZ553" s="115"/>
      <c r="BA553" s="115"/>
      <c r="BB553" s="115"/>
      <c r="BC553" s="115"/>
      <c r="BD553" s="115"/>
      <c r="BE553" s="115"/>
      <c r="BF553" s="115"/>
      <c r="BG553" s="115"/>
      <c r="BH553" s="115"/>
      <c r="BI553" s="115"/>
      <c r="BJ553" s="115"/>
      <c r="BK553" s="115"/>
      <c r="BL553" s="115"/>
      <c r="BM553" s="115"/>
      <c r="BN553" s="115"/>
      <c r="BO553" s="115"/>
      <c r="BP553" s="115"/>
      <c r="BQ553" s="115"/>
      <c r="BR553" s="115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115"/>
      <c r="CC553" s="115"/>
      <c r="CD553" s="115"/>
      <c r="CE553" s="115"/>
      <c r="CF553" s="115"/>
      <c r="CG553" s="115"/>
      <c r="CH553" s="115"/>
      <c r="CI553" s="115"/>
      <c r="CJ553" s="115"/>
      <c r="CK553" s="115"/>
      <c r="CL553" s="115"/>
      <c r="CM553" s="115"/>
      <c r="CN553" s="115"/>
      <c r="CO553" s="115"/>
      <c r="CP553" s="115"/>
      <c r="CQ553" s="115"/>
      <c r="CR553" s="115"/>
      <c r="CS553" s="115"/>
      <c r="CT553" s="742">
        <v>0.05</v>
      </c>
      <c r="CU553" s="115"/>
      <c r="CV553" s="115"/>
      <c r="CW553" s="115"/>
      <c r="CX553" s="115"/>
      <c r="CY553" s="115"/>
      <c r="CZ553" s="115"/>
      <c r="DA553" s="115"/>
      <c r="DB553" s="115"/>
      <c r="DC553" s="115"/>
      <c r="DD553" s="115"/>
      <c r="DE553" s="115"/>
      <c r="DF553" s="742">
        <v>0.05</v>
      </c>
      <c r="DG553" s="115"/>
      <c r="DH553" s="115"/>
      <c r="DI553" s="115"/>
      <c r="DJ553" s="115"/>
      <c r="DK553" s="115"/>
      <c r="DL553" s="115"/>
      <c r="DM553" s="115"/>
      <c r="DN553" s="115"/>
      <c r="DO553" s="115"/>
      <c r="DP553" s="115"/>
      <c r="DQ553" s="115"/>
      <c r="DR553" s="115"/>
      <c r="DS553" s="115"/>
      <c r="DT553" s="115"/>
      <c r="DU553" s="115"/>
      <c r="DV553" s="115"/>
      <c r="DW553" s="115"/>
      <c r="DX553" s="115"/>
      <c r="DY553" s="115"/>
      <c r="DZ553" s="115"/>
      <c r="EA553" s="115"/>
      <c r="EB553" s="115"/>
      <c r="EC553" s="115"/>
      <c r="ED553" s="113" t="s">
        <v>1</v>
      </c>
    </row>
    <row r="554" spans="1:134" x14ac:dyDescent="0.2">
      <c r="A554" s="117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15"/>
      <c r="AU554" s="115"/>
      <c r="AV554" s="115"/>
      <c r="AW554" s="115"/>
      <c r="AX554" s="115"/>
      <c r="AY554" s="115"/>
      <c r="AZ554" s="115"/>
      <c r="BA554" s="115"/>
      <c r="BB554" s="115"/>
      <c r="BC554" s="115"/>
      <c r="BD554" s="115"/>
      <c r="BE554" s="115"/>
      <c r="BF554" s="115"/>
      <c r="BG554" s="115"/>
      <c r="BH554" s="115"/>
      <c r="BI554" s="115"/>
      <c r="BJ554" s="115"/>
      <c r="BK554" s="115"/>
      <c r="BL554" s="115"/>
      <c r="BM554" s="115"/>
      <c r="BN554" s="115"/>
      <c r="BO554" s="115"/>
      <c r="BP554" s="115"/>
      <c r="BQ554" s="115"/>
      <c r="BR554" s="115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115"/>
      <c r="CC554" s="115"/>
      <c r="CD554" s="115"/>
      <c r="CE554" s="115"/>
      <c r="CF554" s="115"/>
      <c r="CG554" s="115"/>
      <c r="CH554" s="115"/>
      <c r="CI554" s="115"/>
      <c r="CJ554" s="115"/>
      <c r="CK554" s="115"/>
      <c r="CL554" s="115"/>
      <c r="CM554" s="115"/>
      <c r="CN554" s="115"/>
      <c r="CO554" s="115"/>
      <c r="CP554" s="115"/>
      <c r="CQ554" s="115"/>
      <c r="CR554" s="115"/>
      <c r="CS554" s="115"/>
      <c r="CT554" s="714"/>
      <c r="CU554" s="115"/>
      <c r="CV554" s="115"/>
      <c r="CW554" s="115"/>
      <c r="CX554" s="115"/>
      <c r="CY554" s="115"/>
      <c r="CZ554" s="115"/>
      <c r="DA554" s="115"/>
      <c r="DB554" s="115"/>
      <c r="DC554" s="115"/>
      <c r="DD554" s="115"/>
      <c r="DE554" s="115"/>
      <c r="DF554" s="714"/>
      <c r="DG554" s="115"/>
      <c r="DH554" s="115"/>
      <c r="DI554" s="115"/>
      <c r="DJ554" s="115"/>
      <c r="DK554" s="115"/>
      <c r="DL554" s="115"/>
      <c r="DM554" s="115"/>
      <c r="DN554" s="115"/>
      <c r="DO554" s="115"/>
      <c r="DP554" s="115"/>
      <c r="DQ554" s="115"/>
      <c r="DR554" s="115"/>
      <c r="DS554" s="115"/>
      <c r="DT554" s="115"/>
      <c r="DU554" s="115"/>
      <c r="DV554" s="115"/>
      <c r="DW554" s="115"/>
      <c r="DX554" s="115"/>
      <c r="DY554" s="115"/>
      <c r="DZ554" s="115"/>
      <c r="EA554" s="115"/>
      <c r="EB554" s="115"/>
      <c r="EC554" s="115"/>
      <c r="ED554" s="113" t="s">
        <v>1</v>
      </c>
    </row>
    <row r="555" spans="1:134" x14ac:dyDescent="0.2">
      <c r="A555" s="114" t="s">
        <v>263</v>
      </c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15"/>
      <c r="AU555" s="115"/>
      <c r="AV555" s="115"/>
      <c r="AW555" s="115"/>
      <c r="AX555" s="115"/>
      <c r="AY555" s="115"/>
      <c r="AZ555" s="115"/>
      <c r="BA555" s="115"/>
      <c r="BB555" s="115"/>
      <c r="BC555" s="115"/>
      <c r="BD555" s="115"/>
      <c r="BE555" s="115"/>
      <c r="BF555" s="115"/>
      <c r="BG555" s="115"/>
      <c r="BH555" s="115"/>
      <c r="BI555" s="115"/>
      <c r="BJ555" s="115"/>
      <c r="BK555" s="115"/>
      <c r="BL555" s="115"/>
      <c r="BM555" s="115"/>
      <c r="BN555" s="115"/>
      <c r="BO555" s="115"/>
      <c r="BP555" s="115"/>
      <c r="BQ555" s="115"/>
      <c r="BR555" s="115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115"/>
      <c r="CC555" s="115"/>
      <c r="CD555" s="115"/>
      <c r="CE555" s="115"/>
      <c r="CF555" s="115"/>
      <c r="CG555" s="115"/>
      <c r="CH555" s="115"/>
      <c r="CI555" s="115"/>
      <c r="CJ555" s="115"/>
      <c r="CK555" s="115"/>
      <c r="CL555" s="115"/>
      <c r="CM555" s="115"/>
      <c r="CN555" s="115"/>
      <c r="CO555" s="115"/>
      <c r="CP555" s="115"/>
      <c r="CQ555" s="115"/>
      <c r="CR555" s="115"/>
      <c r="CS555" s="115"/>
      <c r="CT555" s="742">
        <v>0.05</v>
      </c>
      <c r="CU555" s="115"/>
      <c r="CV555" s="115"/>
      <c r="CW555" s="115"/>
      <c r="CX555" s="115"/>
      <c r="CY555" s="115"/>
      <c r="CZ555" s="115"/>
      <c r="DA555" s="115"/>
      <c r="DB555" s="115"/>
      <c r="DC555" s="115"/>
      <c r="DD555" s="115"/>
      <c r="DE555" s="115"/>
      <c r="DF555" s="742">
        <v>0.05</v>
      </c>
      <c r="DG555" s="115"/>
      <c r="DH555" s="115"/>
      <c r="DI555" s="115"/>
      <c r="DJ555" s="115"/>
      <c r="DK555" s="115"/>
      <c r="DL555" s="115"/>
      <c r="DM555" s="115"/>
      <c r="DN555" s="115"/>
      <c r="DO555" s="115"/>
      <c r="DP555" s="115"/>
      <c r="DQ555" s="115"/>
      <c r="DR555" s="115"/>
      <c r="DS555" s="115"/>
      <c r="DT555" s="115"/>
      <c r="DU555" s="115"/>
      <c r="DV555" s="115"/>
      <c r="DW555" s="115"/>
      <c r="DX555" s="115"/>
      <c r="DY555" s="115"/>
      <c r="DZ555" s="115"/>
      <c r="EA555" s="115"/>
      <c r="EB555" s="115"/>
      <c r="EC555" s="115"/>
      <c r="ED555" s="113" t="s">
        <v>1</v>
      </c>
    </row>
    <row r="556" spans="1:134" x14ac:dyDescent="0.2">
      <c r="A556" s="739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15"/>
      <c r="AU556" s="115"/>
      <c r="AV556" s="115"/>
      <c r="AW556" s="115"/>
      <c r="AX556" s="115"/>
      <c r="AY556" s="115"/>
      <c r="AZ556" s="115"/>
      <c r="BA556" s="115"/>
      <c r="BB556" s="115"/>
      <c r="BC556" s="115"/>
      <c r="BD556" s="115"/>
      <c r="BE556" s="115"/>
      <c r="BF556" s="115"/>
      <c r="BG556" s="115"/>
      <c r="BH556" s="115"/>
      <c r="BI556" s="115"/>
      <c r="BJ556" s="115"/>
      <c r="BK556" s="115"/>
      <c r="BL556" s="115"/>
      <c r="BM556" s="115"/>
      <c r="BN556" s="115"/>
      <c r="BO556" s="115"/>
      <c r="BP556" s="115"/>
      <c r="BQ556" s="115"/>
      <c r="BR556" s="115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115"/>
      <c r="CC556" s="115"/>
      <c r="CD556" s="115"/>
      <c r="CE556" s="115"/>
      <c r="CF556" s="115"/>
      <c r="CG556" s="115"/>
      <c r="CH556" s="115"/>
      <c r="CI556" s="115"/>
      <c r="CJ556" s="115"/>
      <c r="CK556" s="115"/>
      <c r="CL556" s="115"/>
      <c r="CM556" s="115"/>
      <c r="CN556" s="115"/>
      <c r="CO556" s="115"/>
      <c r="CP556" s="115"/>
      <c r="CQ556" s="115"/>
      <c r="CR556" s="115"/>
      <c r="CS556" s="115"/>
      <c r="CT556" s="714"/>
      <c r="CU556" s="115"/>
      <c r="CV556" s="115"/>
      <c r="CW556" s="115"/>
      <c r="CX556" s="115"/>
      <c r="CY556" s="115"/>
      <c r="CZ556" s="115"/>
      <c r="DA556" s="115"/>
      <c r="DB556" s="115"/>
      <c r="DC556" s="115"/>
      <c r="DD556" s="115"/>
      <c r="DE556" s="115"/>
      <c r="DF556" s="714"/>
      <c r="DG556" s="115"/>
      <c r="DH556" s="115"/>
      <c r="DI556" s="115"/>
      <c r="DJ556" s="115"/>
      <c r="DK556" s="115"/>
      <c r="DL556" s="115"/>
      <c r="DM556" s="115"/>
      <c r="DN556" s="115"/>
      <c r="DO556" s="115"/>
      <c r="DP556" s="115"/>
      <c r="DQ556" s="115"/>
      <c r="DR556" s="115"/>
      <c r="DS556" s="115"/>
      <c r="DT556" s="115"/>
      <c r="DU556" s="115"/>
      <c r="DV556" s="115"/>
      <c r="DW556" s="115"/>
      <c r="DX556" s="115"/>
      <c r="DY556" s="115"/>
      <c r="DZ556" s="115"/>
      <c r="EA556" s="115"/>
      <c r="EB556" s="115"/>
      <c r="EC556" s="115"/>
      <c r="ED556" s="113" t="s">
        <v>1</v>
      </c>
    </row>
    <row r="557" spans="1:134" x14ac:dyDescent="0.2">
      <c r="A557" s="114" t="s">
        <v>264</v>
      </c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704">
        <f t="shared" ref="AO557:BT557" si="2109">AO546/AO434</f>
        <v>41.793378995433791</v>
      </c>
      <c r="AP557" s="704">
        <f t="shared" si="2109"/>
        <v>50.99162995594714</v>
      </c>
      <c r="AQ557" s="704">
        <f t="shared" si="2109"/>
        <v>50.86522665044113</v>
      </c>
      <c r="AR557" s="704">
        <f t="shared" si="2109"/>
        <v>57.056665754174652</v>
      </c>
      <c r="AS557" s="704">
        <f t="shared" si="2109"/>
        <v>61.106947538991292</v>
      </c>
      <c r="AT557" s="704">
        <f t="shared" si="2109"/>
        <v>59.137141916364833</v>
      </c>
      <c r="AU557" s="704">
        <f t="shared" si="2109"/>
        <v>58.071452420701171</v>
      </c>
      <c r="AV557" s="704">
        <f t="shared" si="2109"/>
        <v>56.793374877008858</v>
      </c>
      <c r="AW557" s="704">
        <f t="shared" si="2109"/>
        <v>66.958295964125554</v>
      </c>
      <c r="AX557" s="704">
        <f t="shared" si="2109"/>
        <v>63.008144793981941</v>
      </c>
      <c r="AY557" s="704">
        <f t="shared" si="2109"/>
        <v>57.309056603773584</v>
      </c>
      <c r="AZ557" s="704">
        <f t="shared" si="2109"/>
        <v>91.950750487329429</v>
      </c>
      <c r="BA557" s="704">
        <f t="shared" si="2109"/>
        <v>107.43110279550957</v>
      </c>
      <c r="BB557" s="704">
        <f t="shared" si="2109"/>
        <v>109.12653397958131</v>
      </c>
      <c r="BC557" s="704">
        <f t="shared" si="2109"/>
        <v>85.32473336719147</v>
      </c>
      <c r="BD557" s="704">
        <f t="shared" si="2109"/>
        <v>147.39870775347913</v>
      </c>
      <c r="BE557" s="704">
        <f t="shared" si="2109"/>
        <v>143.54067083803466</v>
      </c>
      <c r="BF557" s="704">
        <f t="shared" si="2109"/>
        <v>152.03522950819672</v>
      </c>
      <c r="BG557" s="704">
        <f t="shared" si="2109"/>
        <v>198.8907923473399</v>
      </c>
      <c r="BH557" s="704">
        <f t="shared" si="2109"/>
        <v>240.76415004295123</v>
      </c>
      <c r="BI557" s="704">
        <f t="shared" si="2109"/>
        <v>134.35795594136434</v>
      </c>
      <c r="BJ557" s="704">
        <f t="shared" si="2109"/>
        <v>196.20694388373033</v>
      </c>
      <c r="BK557" s="704">
        <f t="shared" si="2109"/>
        <v>174.76298346565665</v>
      </c>
      <c r="BL557" s="704">
        <f t="shared" si="2109"/>
        <v>229.64922919558705</v>
      </c>
      <c r="BM557" s="704">
        <f t="shared" si="2109"/>
        <v>173.25200589487474</v>
      </c>
      <c r="BN557" s="704">
        <f t="shared" si="2109"/>
        <v>168.35837308967413</v>
      </c>
      <c r="BO557" s="704">
        <f t="shared" si="2109"/>
        <v>188.82888229509058</v>
      </c>
      <c r="BP557" s="704">
        <f t="shared" si="2109"/>
        <v>192.28395204269157</v>
      </c>
      <c r="BQ557" s="704">
        <f t="shared" si="2109"/>
        <v>178.878916827853</v>
      </c>
      <c r="BR557" s="704">
        <f t="shared" si="2109"/>
        <v>233.55353935043334</v>
      </c>
      <c r="BS557" s="704">
        <f t="shared" si="2109"/>
        <v>118.24712160979874</v>
      </c>
      <c r="BT557" s="704">
        <f t="shared" si="2109"/>
        <v>323.60914638487196</v>
      </c>
      <c r="BU557" s="704">
        <f t="shared" ref="BU557:CS557" si="2110">BU546/BU434</f>
        <v>247.13704520940584</v>
      </c>
      <c r="BV557" s="704">
        <f t="shared" si="2110"/>
        <v>177.66880039903566</v>
      </c>
      <c r="BW557" s="704">
        <f t="shared" si="2110"/>
        <v>172.53069309516701</v>
      </c>
      <c r="BX557" s="704">
        <f t="shared" si="2110"/>
        <v>163.02216520114203</v>
      </c>
      <c r="BY557" s="704">
        <f t="shared" si="2110"/>
        <v>169.70285569449138</v>
      </c>
      <c r="BZ557" s="704">
        <f t="shared" si="2110"/>
        <v>186.28108329913829</v>
      </c>
      <c r="CA557" s="704">
        <f t="shared" si="2110"/>
        <v>192.97181155958913</v>
      </c>
      <c r="CB557" s="704">
        <f t="shared" si="2110"/>
        <v>183.25765399490618</v>
      </c>
      <c r="CC557" s="704">
        <f t="shared" si="2110"/>
        <v>187.36060582372488</v>
      </c>
      <c r="CD557" s="704">
        <f t="shared" si="2110"/>
        <v>203.36237279722016</v>
      </c>
      <c r="CE557" s="704">
        <f t="shared" si="2110"/>
        <v>190.79350233817377</v>
      </c>
      <c r="CF557" s="704">
        <f t="shared" si="2110"/>
        <v>191.88823892584895</v>
      </c>
      <c r="CG557" s="704">
        <f t="shared" si="2110"/>
        <v>232.78073633412279</v>
      </c>
      <c r="CH557" s="704">
        <f t="shared" si="2110"/>
        <v>177.90109374225148</v>
      </c>
      <c r="CI557" s="704">
        <f t="shared" si="2110"/>
        <v>185.05729354815404</v>
      </c>
      <c r="CJ557" s="704">
        <f t="shared" si="2110"/>
        <v>186.93669042581098</v>
      </c>
      <c r="CK557" s="704">
        <f t="shared" si="2110"/>
        <v>178.15288751846856</v>
      </c>
      <c r="CL557" s="704">
        <f t="shared" si="2110"/>
        <v>209.41147831218649</v>
      </c>
      <c r="CM557" s="704">
        <f t="shared" si="2110"/>
        <v>201.8199113260782</v>
      </c>
      <c r="CN557" s="704">
        <f t="shared" si="2110"/>
        <v>208.05297528227038</v>
      </c>
      <c r="CO557" s="704">
        <f t="shared" si="2110"/>
        <v>222.76777657266814</v>
      </c>
      <c r="CP557" s="704">
        <f t="shared" si="2110"/>
        <v>202.2849924771628</v>
      </c>
      <c r="CQ557" s="704">
        <f t="shared" si="2110"/>
        <v>204.98473077506446</v>
      </c>
      <c r="CR557" s="704">
        <f t="shared" si="2110"/>
        <v>201.97296292361628</v>
      </c>
      <c r="CS557" s="704">
        <f t="shared" si="2110"/>
        <v>208.04491341991343</v>
      </c>
      <c r="CT557" s="129">
        <f>AVERAGE(CH557:CS557)*(1+CT558)</f>
        <v>208.89642430331898</v>
      </c>
      <c r="CU557" s="733">
        <f t="shared" ref="CU557:DQ557" si="2111">CT557*(1+CU558)</f>
        <v>208.89642430331898</v>
      </c>
      <c r="CV557" s="733">
        <f t="shared" si="2111"/>
        <v>208.89642430331898</v>
      </c>
      <c r="CW557" s="733">
        <f t="shared" si="2111"/>
        <v>208.89642430331898</v>
      </c>
      <c r="CX557" s="733">
        <f t="shared" si="2111"/>
        <v>208.89642430331898</v>
      </c>
      <c r="CY557" s="733">
        <f t="shared" si="2111"/>
        <v>208.89642430331898</v>
      </c>
      <c r="CZ557" s="733">
        <f t="shared" si="2111"/>
        <v>208.89642430331898</v>
      </c>
      <c r="DA557" s="733">
        <f t="shared" si="2111"/>
        <v>208.89642430331898</v>
      </c>
      <c r="DB557" s="733">
        <f t="shared" si="2111"/>
        <v>208.89642430331898</v>
      </c>
      <c r="DC557" s="733">
        <f t="shared" si="2111"/>
        <v>208.89642430331898</v>
      </c>
      <c r="DD557" s="733">
        <f t="shared" si="2111"/>
        <v>208.89642430331898</v>
      </c>
      <c r="DE557" s="733">
        <f t="shared" si="2111"/>
        <v>208.89642430331898</v>
      </c>
      <c r="DF557" s="733">
        <f t="shared" si="2111"/>
        <v>219.34124551848493</v>
      </c>
      <c r="DG557" s="733">
        <f t="shared" si="2111"/>
        <v>219.34124551848493</v>
      </c>
      <c r="DH557" s="733">
        <f t="shared" si="2111"/>
        <v>219.34124551848493</v>
      </c>
      <c r="DI557" s="733">
        <f t="shared" si="2111"/>
        <v>219.34124551848493</v>
      </c>
      <c r="DJ557" s="733">
        <f t="shared" si="2111"/>
        <v>219.34124551848493</v>
      </c>
      <c r="DK557" s="733">
        <f t="shared" si="2111"/>
        <v>219.34124551848493</v>
      </c>
      <c r="DL557" s="733">
        <f t="shared" si="2111"/>
        <v>219.34124551848493</v>
      </c>
      <c r="DM557" s="733">
        <f t="shared" si="2111"/>
        <v>219.34124551848493</v>
      </c>
      <c r="DN557" s="733">
        <f t="shared" si="2111"/>
        <v>219.34124551848493</v>
      </c>
      <c r="DO557" s="733">
        <f t="shared" si="2111"/>
        <v>219.34124551848493</v>
      </c>
      <c r="DP557" s="733">
        <f t="shared" si="2111"/>
        <v>219.34124551848493</v>
      </c>
      <c r="DQ557" s="733">
        <f t="shared" si="2111"/>
        <v>219.34124551848493</v>
      </c>
      <c r="DR557" s="733">
        <f t="shared" ref="DR557" si="2112">DQ557*(1+DR558)</f>
        <v>219.34124551848493</v>
      </c>
      <c r="DS557" s="733">
        <f t="shared" ref="DS557" si="2113">DR557*(1+DS558)</f>
        <v>219.34124551848493</v>
      </c>
      <c r="DT557" s="733">
        <f t="shared" ref="DT557" si="2114">DS557*(1+DT558)</f>
        <v>219.34124551848493</v>
      </c>
      <c r="DU557" s="733">
        <f t="shared" ref="DU557" si="2115">DT557*(1+DU558)</f>
        <v>219.34124551848493</v>
      </c>
      <c r="DV557" s="733">
        <f t="shared" ref="DV557" si="2116">DU557*(1+DV558)</f>
        <v>219.34124551848493</v>
      </c>
      <c r="DW557" s="733">
        <f t="shared" ref="DW557" si="2117">DV557*(1+DW558)</f>
        <v>219.34124551848493</v>
      </c>
      <c r="DX557" s="733">
        <f t="shared" ref="DX557" si="2118">DW557*(1+DX558)</f>
        <v>219.34124551848493</v>
      </c>
      <c r="DY557" s="733">
        <f t="shared" ref="DY557" si="2119">DX557*(1+DY558)</f>
        <v>219.34124551848493</v>
      </c>
      <c r="DZ557" s="733">
        <f t="shared" ref="DZ557" si="2120">DY557*(1+DZ558)</f>
        <v>219.34124551848493</v>
      </c>
      <c r="EA557" s="733">
        <f t="shared" ref="EA557" si="2121">DZ557*(1+EA558)</f>
        <v>219.34124551848493</v>
      </c>
      <c r="EB557" s="733">
        <f t="shared" ref="EB557" si="2122">EA557*(1+EB558)</f>
        <v>219.34124551848493</v>
      </c>
      <c r="EC557" s="733">
        <f t="shared" ref="EC557" si="2123">EB557*(1+EC558)</f>
        <v>219.34124551848493</v>
      </c>
      <c r="ED557" s="113" t="s">
        <v>1</v>
      </c>
    </row>
    <row r="558" spans="1:134" x14ac:dyDescent="0.2">
      <c r="A558" s="117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15"/>
      <c r="AU558" s="115"/>
      <c r="AV558" s="115"/>
      <c r="AW558" s="115"/>
      <c r="AX558" s="115"/>
      <c r="AY558" s="115"/>
      <c r="AZ558" s="115"/>
      <c r="BA558" s="115"/>
      <c r="BB558" s="115"/>
      <c r="BC558" s="115"/>
      <c r="BD558" s="115"/>
      <c r="BE558" s="115"/>
      <c r="BF558" s="115"/>
      <c r="BG558" s="115"/>
      <c r="BH558" s="115"/>
      <c r="BI558" s="115"/>
      <c r="BJ558" s="115"/>
      <c r="BK558" s="115"/>
      <c r="BL558" s="115"/>
      <c r="BM558" s="115"/>
      <c r="BN558" s="115"/>
      <c r="BO558" s="115"/>
      <c r="BP558" s="115"/>
      <c r="BQ558" s="115"/>
      <c r="BR558" s="115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115"/>
      <c r="CC558" s="115"/>
      <c r="CD558" s="115"/>
      <c r="CE558" s="115"/>
      <c r="CF558" s="115"/>
      <c r="CG558" s="115"/>
      <c r="CH558" s="115"/>
      <c r="CI558" s="115"/>
      <c r="CJ558" s="115"/>
      <c r="CK558" s="115"/>
      <c r="CL558" s="115"/>
      <c r="CM558" s="115"/>
      <c r="CN558" s="115"/>
      <c r="CO558" s="115"/>
      <c r="CP558" s="115"/>
      <c r="CQ558" s="115"/>
      <c r="CR558" s="115"/>
      <c r="CS558" s="115"/>
      <c r="CT558" s="742">
        <v>0.05</v>
      </c>
      <c r="CU558" s="115"/>
      <c r="CV558" s="115"/>
      <c r="CW558" s="115"/>
      <c r="CX558" s="115"/>
      <c r="CY558" s="115"/>
      <c r="CZ558" s="115"/>
      <c r="DA558" s="115"/>
      <c r="DB558" s="115"/>
      <c r="DC558" s="115"/>
      <c r="DD558" s="115"/>
      <c r="DE558" s="115"/>
      <c r="DF558" s="742">
        <v>0.05</v>
      </c>
      <c r="DG558" s="115"/>
      <c r="DH558" s="115"/>
      <c r="DI558" s="115"/>
      <c r="DJ558" s="115"/>
      <c r="DK558" s="115"/>
      <c r="DL558" s="115"/>
      <c r="DM558" s="115"/>
      <c r="DN558" s="115"/>
      <c r="DO558" s="115"/>
      <c r="DP558" s="115"/>
      <c r="DQ558" s="115"/>
      <c r="DR558" s="115"/>
      <c r="DS558" s="115"/>
      <c r="DT558" s="115"/>
      <c r="DU558" s="115"/>
      <c r="DV558" s="115"/>
      <c r="DW558" s="115"/>
      <c r="DX558" s="115"/>
      <c r="DY558" s="115"/>
      <c r="DZ558" s="115"/>
      <c r="EA558" s="115"/>
      <c r="EB558" s="115"/>
      <c r="EC558" s="645"/>
      <c r="ED558" s="113" t="s">
        <v>1</v>
      </c>
    </row>
    <row r="559" spans="1:134" x14ac:dyDescent="0.2">
      <c r="A559" s="117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15"/>
      <c r="AU559" s="115"/>
      <c r="AV559" s="115"/>
      <c r="AW559" s="115"/>
      <c r="AX559" s="115"/>
      <c r="AY559" s="115"/>
      <c r="AZ559" s="115"/>
      <c r="BA559" s="115"/>
      <c r="BB559" s="115"/>
      <c r="BC559" s="115"/>
      <c r="BD559" s="115"/>
      <c r="BE559" s="115"/>
      <c r="BF559" s="115"/>
      <c r="BG559" s="115"/>
      <c r="BH559" s="115"/>
      <c r="BI559" s="115"/>
      <c r="BJ559" s="115"/>
      <c r="BK559" s="115"/>
      <c r="BL559" s="115"/>
      <c r="BM559" s="115"/>
      <c r="BN559" s="115"/>
      <c r="BO559" s="115"/>
      <c r="BP559" s="115"/>
      <c r="BQ559" s="115"/>
      <c r="BR559" s="115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115"/>
      <c r="CC559" s="115"/>
      <c r="CD559" s="115"/>
      <c r="CE559" s="115"/>
      <c r="CF559" s="115"/>
      <c r="CG559" s="115"/>
      <c r="CH559" s="115"/>
      <c r="CI559" s="115"/>
      <c r="CJ559" s="115"/>
      <c r="CK559" s="115"/>
      <c r="CL559" s="115"/>
      <c r="CM559" s="115"/>
      <c r="CN559" s="115"/>
      <c r="CO559" s="115"/>
      <c r="CP559" s="115"/>
      <c r="CQ559" s="115"/>
      <c r="CR559" s="115"/>
      <c r="CS559" s="115"/>
      <c r="CT559" s="115"/>
      <c r="CU559" s="115"/>
      <c r="CV559" s="115"/>
      <c r="CW559" s="115"/>
      <c r="CX559" s="115"/>
      <c r="CY559" s="115"/>
      <c r="CZ559" s="115"/>
      <c r="DA559" s="115"/>
      <c r="DB559" s="115"/>
      <c r="DC559" s="115"/>
      <c r="DD559" s="115"/>
      <c r="DE559" s="115"/>
      <c r="DF559" s="115"/>
      <c r="DG559" s="115"/>
      <c r="DH559" s="115"/>
      <c r="DI559" s="115"/>
      <c r="DJ559" s="115"/>
      <c r="DK559" s="115"/>
      <c r="DL559" s="115"/>
      <c r="DM559" s="115"/>
      <c r="DN559" s="115"/>
      <c r="DO559" s="115"/>
      <c r="DP559" s="115"/>
      <c r="DQ559" s="115"/>
      <c r="DR559" s="115"/>
      <c r="DS559" s="115"/>
      <c r="DT559" s="115"/>
      <c r="DU559" s="115"/>
      <c r="DV559" s="115"/>
      <c r="DW559" s="115"/>
      <c r="DX559" s="115"/>
      <c r="DY559" s="115"/>
      <c r="DZ559" s="115"/>
      <c r="EA559" s="115"/>
      <c r="EB559" s="115"/>
      <c r="EC559" s="645"/>
      <c r="ED559" s="113" t="s">
        <v>1</v>
      </c>
    </row>
    <row r="560" spans="1:134" x14ac:dyDescent="0.2">
      <c r="A560" s="744" t="s">
        <v>40</v>
      </c>
      <c r="B560" s="744"/>
      <c r="C560" s="744"/>
      <c r="D560" s="744"/>
      <c r="E560" s="744"/>
      <c r="F560" s="744"/>
      <c r="G560" s="744"/>
      <c r="H560" s="744"/>
      <c r="I560" s="744"/>
      <c r="J560" s="744"/>
      <c r="K560" s="744"/>
      <c r="L560" s="744"/>
      <c r="M560" s="744"/>
      <c r="N560" s="744"/>
      <c r="O560" s="744"/>
      <c r="P560" s="744"/>
      <c r="Q560" s="744"/>
      <c r="R560" s="744"/>
      <c r="S560" s="744"/>
      <c r="T560" s="744"/>
      <c r="U560" s="744"/>
      <c r="V560" s="744"/>
      <c r="W560" s="744"/>
      <c r="X560" s="744"/>
      <c r="Y560" s="744"/>
      <c r="Z560" s="744"/>
      <c r="AA560" s="744"/>
      <c r="AB560" s="744">
        <f>AB561+AB567+AB568+AB569+AB566</f>
        <v>2240857.6542378473</v>
      </c>
      <c r="AC560" s="744">
        <f t="shared" ref="AC560:CN560" si="2124">AC561+AC567+AC568+AC569+AC566</f>
        <v>2026974.0666548617</v>
      </c>
      <c r="AD560" s="744">
        <f t="shared" si="2124"/>
        <v>2542869.6639973726</v>
      </c>
      <c r="AE560" s="744">
        <f t="shared" si="2124"/>
        <v>2908084.9770540576</v>
      </c>
      <c r="AF560" s="744">
        <f t="shared" si="2124"/>
        <v>3384986.5566213136</v>
      </c>
      <c r="AG560" s="744">
        <f t="shared" si="2124"/>
        <v>3364116.5159450406</v>
      </c>
      <c r="AH560" s="744">
        <f t="shared" si="2124"/>
        <v>3717117.6155816047</v>
      </c>
      <c r="AI560" s="744">
        <f t="shared" si="2124"/>
        <v>4908050.1886630198</v>
      </c>
      <c r="AJ560" s="744">
        <f t="shared" si="2124"/>
        <v>4842073.2599463146</v>
      </c>
      <c r="AK560" s="744">
        <f t="shared" si="2124"/>
        <v>6641417.4618483</v>
      </c>
      <c r="AL560" s="744">
        <f t="shared" si="2124"/>
        <v>6612852.0581770092</v>
      </c>
      <c r="AM560" s="744">
        <f t="shared" si="2124"/>
        <v>5545336.1756640477</v>
      </c>
      <c r="AN560" s="744">
        <f t="shared" si="2124"/>
        <v>5270055.9035946708</v>
      </c>
      <c r="AO560" s="744">
        <f t="shared" si="2124"/>
        <v>7377320.2604247704</v>
      </c>
      <c r="AP560" s="744">
        <f t="shared" si="2124"/>
        <v>8680718.3092520908</v>
      </c>
      <c r="AQ560" s="744">
        <f t="shared" si="2124"/>
        <v>9629785.936139008</v>
      </c>
      <c r="AR560" s="744">
        <f t="shared" si="2124"/>
        <v>11863484.177410636</v>
      </c>
      <c r="AS560" s="744">
        <f t="shared" si="2124"/>
        <v>12348057.61121548</v>
      </c>
      <c r="AT560" s="744">
        <f t="shared" si="2124"/>
        <v>14391969.399825849</v>
      </c>
      <c r="AU560" s="744">
        <f t="shared" si="2124"/>
        <v>14759884.939914452</v>
      </c>
      <c r="AV560" s="744">
        <f t="shared" si="2124"/>
        <v>14935202.552889163</v>
      </c>
      <c r="AW560" s="744">
        <f t="shared" si="2124"/>
        <v>17799684.492935322</v>
      </c>
      <c r="AX560" s="744">
        <f t="shared" si="2124"/>
        <v>19610690.272478756</v>
      </c>
      <c r="AY560" s="744">
        <f t="shared" si="2124"/>
        <v>21244563.026379734</v>
      </c>
      <c r="AZ560" s="744">
        <f t="shared" si="2124"/>
        <v>23229509.807284646</v>
      </c>
      <c r="BA560" s="744">
        <f t="shared" si="2124"/>
        <v>24816362.479508013</v>
      </c>
      <c r="BB560" s="744">
        <f t="shared" si="2124"/>
        <v>26907890.428686909</v>
      </c>
      <c r="BC560" s="744">
        <f t="shared" si="2124"/>
        <v>29746651.765964255</v>
      </c>
      <c r="BD560" s="744">
        <f t="shared" si="2124"/>
        <v>30556467.124027137</v>
      </c>
      <c r="BE560" s="744">
        <f t="shared" si="2124"/>
        <v>32798455.232446641</v>
      </c>
      <c r="BF560" s="744">
        <f t="shared" si="2124"/>
        <v>34694674.393159673</v>
      </c>
      <c r="BG560" s="744">
        <f t="shared" si="2124"/>
        <v>37118709.539926551</v>
      </c>
      <c r="BH560" s="744">
        <f t="shared" si="2124"/>
        <v>36327612.646911405</v>
      </c>
      <c r="BI560" s="744">
        <f t="shared" si="2124"/>
        <v>37820340.524484076</v>
      </c>
      <c r="BJ560" s="744">
        <f t="shared" si="2124"/>
        <v>33560306.691862755</v>
      </c>
      <c r="BK560" s="744">
        <f t="shared" si="2124"/>
        <v>33655615.960677192</v>
      </c>
      <c r="BL560" s="744">
        <f t="shared" si="2124"/>
        <v>35748681.393111899</v>
      </c>
      <c r="BM560" s="744">
        <f t="shared" si="2124"/>
        <v>33786521.461260311</v>
      </c>
      <c r="BN560" s="744">
        <f t="shared" si="2124"/>
        <v>33970855.458380021</v>
      </c>
      <c r="BO560" s="744">
        <f t="shared" si="2124"/>
        <v>33101736.530795939</v>
      </c>
      <c r="BP560" s="744">
        <f t="shared" si="2124"/>
        <v>34341692.610197678</v>
      </c>
      <c r="BQ560" s="744">
        <f t="shared" si="2124"/>
        <v>34232569.838750847</v>
      </c>
      <c r="BR560" s="744">
        <f t="shared" si="2124"/>
        <v>34191824.531565472</v>
      </c>
      <c r="BS560" s="744">
        <f t="shared" si="2124"/>
        <v>32962902.358826149</v>
      </c>
      <c r="BT560" s="744">
        <f t="shared" si="2124"/>
        <v>29788910.115486175</v>
      </c>
      <c r="BU560" s="744">
        <f t="shared" si="2124"/>
        <v>30664863.381744709</v>
      </c>
      <c r="BV560" s="744">
        <f t="shared" si="2124"/>
        <v>32045639.979822859</v>
      </c>
      <c r="BW560" s="744">
        <f t="shared" si="2124"/>
        <v>33515458.603414487</v>
      </c>
      <c r="BX560" s="744">
        <f t="shared" si="2124"/>
        <v>33219453.584623754</v>
      </c>
      <c r="BY560" s="744">
        <f t="shared" si="2124"/>
        <v>33045637.937754035</v>
      </c>
      <c r="BZ560" s="744">
        <f t="shared" si="2124"/>
        <v>33611559.959715486</v>
      </c>
      <c r="CA560" s="744">
        <f t="shared" si="2124"/>
        <v>32433756.637189232</v>
      </c>
      <c r="CB560" s="744">
        <f t="shared" si="2124"/>
        <v>36029268.106399246</v>
      </c>
      <c r="CC560" s="744">
        <f t="shared" si="2124"/>
        <v>35527611.814851917</v>
      </c>
      <c r="CD560" s="744">
        <f t="shared" si="2124"/>
        <v>37900266.066264272</v>
      </c>
      <c r="CE560" s="744">
        <f t="shared" si="2124"/>
        <v>38274074.065776885</v>
      </c>
      <c r="CF560" s="744">
        <f t="shared" si="2124"/>
        <v>39322574.427611202</v>
      </c>
      <c r="CG560" s="744">
        <f t="shared" si="2124"/>
        <v>43267332.325832888</v>
      </c>
      <c r="CH560" s="744">
        <f t="shared" si="2124"/>
        <v>47587011.60201177</v>
      </c>
      <c r="CI560" s="744">
        <f t="shared" si="2124"/>
        <v>46057774.51841072</v>
      </c>
      <c r="CJ560" s="744">
        <f t="shared" si="2124"/>
        <v>48840036.618858472</v>
      </c>
      <c r="CK560" s="744">
        <f t="shared" si="2124"/>
        <v>51448249.383244626</v>
      </c>
      <c r="CL560" s="744">
        <f t="shared" si="2124"/>
        <v>53609488.703580223</v>
      </c>
      <c r="CM560" s="744">
        <f t="shared" si="2124"/>
        <v>54207743.121416062</v>
      </c>
      <c r="CN560" s="744">
        <f t="shared" si="2124"/>
        <v>58463748.088856235</v>
      </c>
      <c r="CO560" s="744">
        <f t="shared" ref="CO560:CS560" si="2125">CO561+CO567+CO568+CO569+CO566</f>
        <v>58341088.465361886</v>
      </c>
      <c r="CP560" s="744">
        <f t="shared" si="2125"/>
        <v>62071689.588443428</v>
      </c>
      <c r="CQ560" s="744">
        <f t="shared" si="2125"/>
        <v>66418239.196294084</v>
      </c>
      <c r="CR560" s="744">
        <f t="shared" si="2125"/>
        <v>64564515.034790546</v>
      </c>
      <c r="CS560" s="744">
        <f t="shared" si="2125"/>
        <v>64976256.997583598</v>
      </c>
      <c r="CT560" s="744">
        <f t="shared" ref="CT560" si="2126">CT561+CT567+CT568+CT569+CT566</f>
        <v>70443308.56169723</v>
      </c>
      <c r="CU560" s="744">
        <f t="shared" ref="CU560" si="2127">CU561+CU567+CU568+CU569+CU566</f>
        <v>70443308.56169723</v>
      </c>
      <c r="CV560" s="744">
        <f t="shared" ref="CV560" si="2128">CV561+CV567+CV568+CV569+CV566</f>
        <v>70443308.56169723</v>
      </c>
      <c r="CW560" s="744">
        <f t="shared" ref="CW560" si="2129">CW561+CW567+CW568+CW569+CW566</f>
        <v>70443308.56169723</v>
      </c>
      <c r="CX560" s="744">
        <f t="shared" ref="CX560" si="2130">CX561+CX567+CX568+CX569+CX566</f>
        <v>70443308.56169723</v>
      </c>
      <c r="CY560" s="744">
        <f t="shared" ref="CY560" si="2131">CY561+CY567+CY568+CY569+CY566</f>
        <v>70443308.56169723</v>
      </c>
      <c r="CZ560" s="744">
        <f t="shared" ref="CZ560" si="2132">CZ561+CZ567+CZ568+CZ569+CZ566</f>
        <v>70443308.56169723</v>
      </c>
      <c r="DA560" s="744">
        <f t="shared" ref="DA560" si="2133">DA561+DA567+DA568+DA569+DA566</f>
        <v>70443308.56169723</v>
      </c>
      <c r="DB560" s="744">
        <f t="shared" ref="DB560" si="2134">DB561+DB567+DB568+DB569+DB566</f>
        <v>70443308.56169723</v>
      </c>
      <c r="DC560" s="744">
        <f t="shared" ref="DC560" si="2135">DC561+DC567+DC568+DC569+DC566</f>
        <v>70443308.56169723</v>
      </c>
      <c r="DD560" s="744">
        <f t="shared" ref="DD560" si="2136">DD561+DD567+DD568+DD569+DD566</f>
        <v>70443308.56169723</v>
      </c>
      <c r="DE560" s="744">
        <f t="shared" ref="DE560" si="2137">DE561+DE567+DE568+DE569+DE566</f>
        <v>70443308.56169723</v>
      </c>
      <c r="DF560" s="744">
        <f t="shared" ref="DF560" si="2138">DF561+DF567+DF568+DF569+DF566</f>
        <v>77967000.357946217</v>
      </c>
      <c r="DG560" s="744">
        <f t="shared" ref="DG560" si="2139">DG561+DG567+DG568+DG569+DG566</f>
        <v>77967000.357946217</v>
      </c>
      <c r="DH560" s="744">
        <f t="shared" ref="DH560" si="2140">DH561+DH567+DH568+DH569+DH566</f>
        <v>77967000.357946217</v>
      </c>
      <c r="DI560" s="744">
        <f t="shared" ref="DI560" si="2141">DI561+DI567+DI568+DI569+DI566</f>
        <v>77967000.357946217</v>
      </c>
      <c r="DJ560" s="744">
        <f t="shared" ref="DJ560" si="2142">DJ561+DJ567+DJ568+DJ569+DJ566</f>
        <v>77967000.357946217</v>
      </c>
      <c r="DK560" s="744">
        <f t="shared" ref="DK560" si="2143">DK561+DK567+DK568+DK569+DK566</f>
        <v>77967000.357946217</v>
      </c>
      <c r="DL560" s="744">
        <f t="shared" ref="DL560" si="2144">DL561+DL567+DL568+DL569+DL566</f>
        <v>77967000.357946217</v>
      </c>
      <c r="DM560" s="744">
        <f t="shared" ref="DM560" si="2145">DM561+DM567+DM568+DM569+DM566</f>
        <v>77967000.357946217</v>
      </c>
      <c r="DN560" s="744">
        <f t="shared" ref="DN560" si="2146">DN561+DN567+DN568+DN569+DN566</f>
        <v>77967000.357946217</v>
      </c>
      <c r="DO560" s="744">
        <f t="shared" ref="DO560" si="2147">DO561+DO567+DO568+DO569+DO566</f>
        <v>77967000.357946217</v>
      </c>
      <c r="DP560" s="744">
        <f t="shared" ref="DP560" si="2148">DP561+DP567+DP568+DP569+DP566</f>
        <v>77967000.357946217</v>
      </c>
      <c r="DQ560" s="744">
        <f t="shared" ref="DQ560:EC560" si="2149">DQ561+DQ567+DQ568+DQ569+DQ566</f>
        <v>77967000.357946217</v>
      </c>
      <c r="DR560" s="744">
        <f t="shared" si="2149"/>
        <v>86403081.277341649</v>
      </c>
      <c r="DS560" s="744">
        <f t="shared" si="2149"/>
        <v>86403081.277341649</v>
      </c>
      <c r="DT560" s="744">
        <f t="shared" si="2149"/>
        <v>86403081.277341649</v>
      </c>
      <c r="DU560" s="744">
        <f t="shared" si="2149"/>
        <v>86403081.277341649</v>
      </c>
      <c r="DV560" s="744">
        <f t="shared" si="2149"/>
        <v>86403081.277341649</v>
      </c>
      <c r="DW560" s="744">
        <f t="shared" si="2149"/>
        <v>86403081.277341649</v>
      </c>
      <c r="DX560" s="744">
        <f t="shared" si="2149"/>
        <v>86403081.277341649</v>
      </c>
      <c r="DY560" s="744">
        <f t="shared" si="2149"/>
        <v>86403081.277341649</v>
      </c>
      <c r="DZ560" s="744">
        <f t="shared" si="2149"/>
        <v>86403081.277341649</v>
      </c>
      <c r="EA560" s="744">
        <f t="shared" si="2149"/>
        <v>86403081.277341649</v>
      </c>
      <c r="EB560" s="744">
        <f t="shared" si="2149"/>
        <v>86403081.277341649</v>
      </c>
      <c r="EC560" s="744">
        <f t="shared" si="2149"/>
        <v>86403081.277341649</v>
      </c>
      <c r="ED560" s="113" t="s">
        <v>1</v>
      </c>
    </row>
    <row r="561" spans="1:134" x14ac:dyDescent="0.2">
      <c r="A561" s="114" t="s">
        <v>205</v>
      </c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745">
        <f>AB562+AB564</f>
        <v>1459440.69172155</v>
      </c>
      <c r="AC561" s="745">
        <f t="shared" ref="AC561:CN561" si="2150">AC562+AC564</f>
        <v>1154468.1180595239</v>
      </c>
      <c r="AD561" s="745">
        <f t="shared" si="2150"/>
        <v>1480572.4041696934</v>
      </c>
      <c r="AE561" s="745">
        <f t="shared" si="2150"/>
        <v>1599600.8019357345</v>
      </c>
      <c r="AF561" s="745">
        <f t="shared" si="2150"/>
        <v>1968448.7982676551</v>
      </c>
      <c r="AG561" s="745">
        <f t="shared" si="2150"/>
        <v>1928938.7359336156</v>
      </c>
      <c r="AH561" s="745">
        <f t="shared" si="2150"/>
        <v>2081674.136440678</v>
      </c>
      <c r="AI561" s="745">
        <f t="shared" si="2150"/>
        <v>3012470.829381356</v>
      </c>
      <c r="AJ561" s="745">
        <f t="shared" si="2150"/>
        <v>3020909.2157051284</v>
      </c>
      <c r="AK561" s="745">
        <f t="shared" si="2150"/>
        <v>3736276.1211945354</v>
      </c>
      <c r="AL561" s="745">
        <f t="shared" si="2150"/>
        <v>4180313.1862489097</v>
      </c>
      <c r="AM561" s="745">
        <f t="shared" si="2150"/>
        <v>3479608.7495833328</v>
      </c>
      <c r="AN561" s="745">
        <f t="shared" si="2150"/>
        <v>2801849.5717121903</v>
      </c>
      <c r="AO561" s="745">
        <f t="shared" si="2150"/>
        <v>4614539.1653273106</v>
      </c>
      <c r="AP561" s="745">
        <f t="shared" si="2150"/>
        <v>5296853.8591817673</v>
      </c>
      <c r="AQ561" s="745">
        <f t="shared" si="2150"/>
        <v>5964889.1656991001</v>
      </c>
      <c r="AR561" s="745">
        <f t="shared" si="2150"/>
        <v>7523289.3854709901</v>
      </c>
      <c r="AS561" s="745">
        <f t="shared" si="2150"/>
        <v>7835700.5988495238</v>
      </c>
      <c r="AT561" s="745">
        <f t="shared" si="2150"/>
        <v>8839654.7849659938</v>
      </c>
      <c r="AU561" s="745">
        <f t="shared" si="2150"/>
        <v>9327022.7896481864</v>
      </c>
      <c r="AV561" s="745">
        <f t="shared" si="2150"/>
        <v>9673779.3780528568</v>
      </c>
      <c r="AW561" s="745">
        <f t="shared" si="2150"/>
        <v>11805409.654940408</v>
      </c>
      <c r="AX561" s="745">
        <f t="shared" si="2150"/>
        <v>13791080.42110729</v>
      </c>
      <c r="AY561" s="745">
        <f t="shared" si="2150"/>
        <v>12510007.830302035</v>
      </c>
      <c r="AZ561" s="745">
        <f t="shared" si="2150"/>
        <v>13791765.745985441</v>
      </c>
      <c r="BA561" s="745">
        <f t="shared" si="2150"/>
        <v>15194193.084295228</v>
      </c>
      <c r="BB561" s="745">
        <f t="shared" si="2150"/>
        <v>16321891.061915472</v>
      </c>
      <c r="BC561" s="745">
        <f t="shared" si="2150"/>
        <v>17354464.555894181</v>
      </c>
      <c r="BD561" s="745">
        <f t="shared" si="2150"/>
        <v>18325302.115055513</v>
      </c>
      <c r="BE561" s="745">
        <f t="shared" si="2150"/>
        <v>18147264.688244235</v>
      </c>
      <c r="BF561" s="745">
        <f t="shared" si="2150"/>
        <v>19057744.868145369</v>
      </c>
      <c r="BG561" s="745">
        <f t="shared" si="2150"/>
        <v>20644418.078184493</v>
      </c>
      <c r="BH561" s="745">
        <f t="shared" si="2150"/>
        <v>21932382.987490226</v>
      </c>
      <c r="BI561" s="745">
        <f t="shared" si="2150"/>
        <v>22488692.214595832</v>
      </c>
      <c r="BJ561" s="745">
        <f t="shared" si="2150"/>
        <v>21541047.936010804</v>
      </c>
      <c r="BK561" s="745">
        <f t="shared" si="2150"/>
        <v>21246819.361235246</v>
      </c>
      <c r="BL561" s="745">
        <f t="shared" si="2150"/>
        <v>21361178.582725372</v>
      </c>
      <c r="BM561" s="745">
        <f t="shared" si="2150"/>
        <v>20924648.241706219</v>
      </c>
      <c r="BN561" s="745">
        <f t="shared" si="2150"/>
        <v>19673523.736174874</v>
      </c>
      <c r="BO561" s="745">
        <f t="shared" si="2150"/>
        <v>19821939.054981522</v>
      </c>
      <c r="BP561" s="745">
        <f t="shared" si="2150"/>
        <v>21344528.708096717</v>
      </c>
      <c r="BQ561" s="745">
        <f t="shared" si="2150"/>
        <v>19711090.034517206</v>
      </c>
      <c r="BR561" s="745">
        <f t="shared" si="2150"/>
        <v>19278073.331518285</v>
      </c>
      <c r="BS561" s="745">
        <f t="shared" si="2150"/>
        <v>16976127.006800406</v>
      </c>
      <c r="BT561" s="745">
        <f t="shared" si="2150"/>
        <v>16752938.704511404</v>
      </c>
      <c r="BU561" s="745">
        <f t="shared" si="2150"/>
        <v>17196874.038323492</v>
      </c>
      <c r="BV561" s="745">
        <f t="shared" si="2150"/>
        <v>19322721.650203995</v>
      </c>
      <c r="BW561" s="745">
        <f t="shared" si="2150"/>
        <v>20196260.339408364</v>
      </c>
      <c r="BX561" s="745">
        <f t="shared" si="2150"/>
        <v>20446467.470890082</v>
      </c>
      <c r="BY561" s="745">
        <f t="shared" si="2150"/>
        <v>20467429.117867108</v>
      </c>
      <c r="BZ561" s="745">
        <f t="shared" si="2150"/>
        <v>20144389.106440678</v>
      </c>
      <c r="CA561" s="745">
        <f t="shared" si="2150"/>
        <v>18661506.053744838</v>
      </c>
      <c r="CB561" s="745">
        <f t="shared" si="2150"/>
        <v>22279103.657154363</v>
      </c>
      <c r="CC561" s="745">
        <f t="shared" si="2150"/>
        <v>23448325.737646632</v>
      </c>
      <c r="CD561" s="745">
        <f t="shared" si="2150"/>
        <v>23337887.378435697</v>
      </c>
      <c r="CE561" s="745">
        <f t="shared" si="2150"/>
        <v>23491831.785250138</v>
      </c>
      <c r="CF561" s="745">
        <f t="shared" si="2150"/>
        <v>24281095.406158134</v>
      </c>
      <c r="CG561" s="745">
        <f t="shared" si="2150"/>
        <v>27489355.314313743</v>
      </c>
      <c r="CH561" s="745">
        <f t="shared" si="2150"/>
        <v>31095875.74977307</v>
      </c>
      <c r="CI561" s="745">
        <f t="shared" si="2150"/>
        <v>30859620.116371527</v>
      </c>
      <c r="CJ561" s="745">
        <f t="shared" si="2150"/>
        <v>30755932.78321293</v>
      </c>
      <c r="CK561" s="745">
        <f t="shared" si="2150"/>
        <v>32050466.840055082</v>
      </c>
      <c r="CL561" s="745">
        <f t="shared" si="2150"/>
        <v>33498093.314590022</v>
      </c>
      <c r="CM561" s="745">
        <f t="shared" si="2150"/>
        <v>32382937.675164543</v>
      </c>
      <c r="CN561" s="745">
        <f t="shared" si="2150"/>
        <v>32855128.479595669</v>
      </c>
      <c r="CO561" s="745">
        <f t="shared" ref="CO561:CS561" si="2151">CO562+CO564</f>
        <v>35838426.923145674</v>
      </c>
      <c r="CP561" s="745">
        <f t="shared" si="2151"/>
        <v>35414957.202505291</v>
      </c>
      <c r="CQ561" s="745">
        <f t="shared" si="2151"/>
        <v>40711997.49362608</v>
      </c>
      <c r="CR561" s="745">
        <f t="shared" si="2151"/>
        <v>41607560.769335561</v>
      </c>
      <c r="CS561" s="745">
        <f t="shared" si="2151"/>
        <v>40098668.912980206</v>
      </c>
      <c r="CT561" s="745">
        <f t="shared" ref="CT561" si="2152">CT562+CT564</f>
        <v>47637218.668620497</v>
      </c>
      <c r="CU561" s="745">
        <f t="shared" ref="CU561" si="2153">CU562+CU564</f>
        <v>47637218.668620497</v>
      </c>
      <c r="CV561" s="745">
        <f t="shared" ref="CV561" si="2154">CV562+CV564</f>
        <v>47637218.668620497</v>
      </c>
      <c r="CW561" s="745">
        <f t="shared" ref="CW561" si="2155">CW562+CW564</f>
        <v>47637218.668620497</v>
      </c>
      <c r="CX561" s="745">
        <f t="shared" ref="CX561" si="2156">CX562+CX564</f>
        <v>47637218.668620497</v>
      </c>
      <c r="CY561" s="745">
        <f t="shared" ref="CY561" si="2157">CY562+CY564</f>
        <v>47637218.668620497</v>
      </c>
      <c r="CZ561" s="745">
        <f t="shared" ref="CZ561" si="2158">CZ562+CZ564</f>
        <v>47637218.668620497</v>
      </c>
      <c r="DA561" s="745">
        <f t="shared" ref="DA561" si="2159">DA562+DA564</f>
        <v>47637218.668620497</v>
      </c>
      <c r="DB561" s="745">
        <f t="shared" ref="DB561" si="2160">DB562+DB564</f>
        <v>47637218.668620497</v>
      </c>
      <c r="DC561" s="745">
        <f t="shared" ref="DC561" si="2161">DC562+DC564</f>
        <v>47637218.668620497</v>
      </c>
      <c r="DD561" s="745">
        <f t="shared" ref="DD561" si="2162">DD562+DD564</f>
        <v>47637218.668620497</v>
      </c>
      <c r="DE561" s="745">
        <f t="shared" ref="DE561" si="2163">DE562+DE564</f>
        <v>47637218.668620497</v>
      </c>
      <c r="DF561" s="745">
        <f t="shared" ref="DF561" si="2164">DF562+DF564</f>
        <v>54020605.970215641</v>
      </c>
      <c r="DG561" s="745">
        <f t="shared" ref="DG561" si="2165">DG562+DG564</f>
        <v>54020605.970215641</v>
      </c>
      <c r="DH561" s="745">
        <f t="shared" ref="DH561" si="2166">DH562+DH564</f>
        <v>54020605.970215641</v>
      </c>
      <c r="DI561" s="745">
        <f t="shared" ref="DI561" si="2167">DI562+DI564</f>
        <v>54020605.970215641</v>
      </c>
      <c r="DJ561" s="745">
        <f t="shared" ref="DJ561" si="2168">DJ562+DJ564</f>
        <v>54020605.970215641</v>
      </c>
      <c r="DK561" s="745">
        <f t="shared" ref="DK561" si="2169">DK562+DK564</f>
        <v>54020605.970215641</v>
      </c>
      <c r="DL561" s="745">
        <f t="shared" ref="DL561" si="2170">DL562+DL564</f>
        <v>54020605.970215641</v>
      </c>
      <c r="DM561" s="745">
        <f t="shared" ref="DM561" si="2171">DM562+DM564</f>
        <v>54020605.970215641</v>
      </c>
      <c r="DN561" s="745">
        <f t="shared" ref="DN561" si="2172">DN562+DN564</f>
        <v>54020605.970215641</v>
      </c>
      <c r="DO561" s="745">
        <f t="shared" ref="DO561" si="2173">DO562+DO564</f>
        <v>54020605.970215641</v>
      </c>
      <c r="DP561" s="745">
        <f t="shared" ref="DP561" si="2174">DP562+DP564</f>
        <v>54020605.970215641</v>
      </c>
      <c r="DQ561" s="745">
        <f t="shared" ref="DQ561:EC561" si="2175">DQ562+DQ564</f>
        <v>54020605.970215641</v>
      </c>
      <c r="DR561" s="745">
        <f t="shared" si="2175"/>
        <v>61259367.170224547</v>
      </c>
      <c r="DS561" s="745">
        <f t="shared" si="2175"/>
        <v>61259367.170224547</v>
      </c>
      <c r="DT561" s="745">
        <f t="shared" si="2175"/>
        <v>61259367.170224547</v>
      </c>
      <c r="DU561" s="745">
        <f t="shared" si="2175"/>
        <v>61259367.170224547</v>
      </c>
      <c r="DV561" s="745">
        <f t="shared" si="2175"/>
        <v>61259367.170224547</v>
      </c>
      <c r="DW561" s="745">
        <f t="shared" si="2175"/>
        <v>61259367.170224547</v>
      </c>
      <c r="DX561" s="745">
        <f t="shared" si="2175"/>
        <v>61259367.170224547</v>
      </c>
      <c r="DY561" s="745">
        <f t="shared" si="2175"/>
        <v>61259367.170224547</v>
      </c>
      <c r="DZ561" s="745">
        <f t="shared" si="2175"/>
        <v>61259367.170224547</v>
      </c>
      <c r="EA561" s="745">
        <f t="shared" si="2175"/>
        <v>61259367.170224547</v>
      </c>
      <c r="EB561" s="745">
        <f t="shared" si="2175"/>
        <v>61259367.170224547</v>
      </c>
      <c r="EC561" s="745">
        <f t="shared" si="2175"/>
        <v>61259367.170224547</v>
      </c>
      <c r="ED561" s="113" t="s">
        <v>1</v>
      </c>
    </row>
    <row r="562" spans="1:134" x14ac:dyDescent="0.2">
      <c r="A562" s="120" t="s">
        <v>188</v>
      </c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29">
        <v>1287299.44172155</v>
      </c>
      <c r="AC562" s="129">
        <v>1017326.8680595239</v>
      </c>
      <c r="AD562" s="129">
        <v>1310940.9041696934</v>
      </c>
      <c r="AE562" s="129">
        <v>1428469.3019357345</v>
      </c>
      <c r="AF562" s="129">
        <v>1831317.2982676551</v>
      </c>
      <c r="AG562" s="129">
        <v>1771807.2359336156</v>
      </c>
      <c r="AH562" s="129">
        <v>1914542.636440678</v>
      </c>
      <c r="AI562" s="129">
        <v>2753835.329381356</v>
      </c>
      <c r="AJ562" s="129">
        <v>2809237.8310897439</v>
      </c>
      <c r="AK562" s="129">
        <v>3534604.7365791509</v>
      </c>
      <c r="AL562" s="129">
        <v>3961565.1883001919</v>
      </c>
      <c r="AM562" s="129">
        <v>3300860.751634615</v>
      </c>
      <c r="AN562" s="129">
        <v>2605226.7739686007</v>
      </c>
      <c r="AO562" s="129">
        <v>3696521.6968016699</v>
      </c>
      <c r="AP562" s="129">
        <v>4259575.3906561267</v>
      </c>
      <c r="AQ562" s="129">
        <v>4912939.1489683297</v>
      </c>
      <c r="AR562" s="129">
        <v>6323019.2484838106</v>
      </c>
      <c r="AS562" s="129">
        <v>6698186.2450033696</v>
      </c>
      <c r="AT562" s="129">
        <v>7406278.0069531733</v>
      </c>
      <c r="AU562" s="129">
        <v>7776530.9413789557</v>
      </c>
      <c r="AV562" s="129">
        <v>8052589.4003605498</v>
      </c>
      <c r="AW562" s="129">
        <v>9591170.4880173281</v>
      </c>
      <c r="AX562" s="129">
        <v>11209056.441363702</v>
      </c>
      <c r="AY562" s="129">
        <v>9672472.9147892147</v>
      </c>
      <c r="AZ562" s="129">
        <v>10772475.409382878</v>
      </c>
      <c r="BA562" s="129">
        <v>11819681.876025997</v>
      </c>
      <c r="BB562" s="129">
        <v>12917130.837107779</v>
      </c>
      <c r="BC562" s="129">
        <v>13055575.692368541</v>
      </c>
      <c r="BD562" s="129">
        <v>14127373.687749889</v>
      </c>
      <c r="BE562" s="129">
        <v>13604803.373821158</v>
      </c>
      <c r="BF562" s="129">
        <v>14580672.490773574</v>
      </c>
      <c r="BG562" s="129">
        <v>15844457.805171674</v>
      </c>
      <c r="BH562" s="129">
        <v>17122526.945310738</v>
      </c>
      <c r="BI562" s="129">
        <v>16463976.234980445</v>
      </c>
      <c r="BJ562" s="129">
        <v>16443898.26985395</v>
      </c>
      <c r="BK562" s="129">
        <v>15593216.541990658</v>
      </c>
      <c r="BL562" s="129">
        <v>15577146.180013314</v>
      </c>
      <c r="BM562" s="129">
        <v>15307494.709433783</v>
      </c>
      <c r="BN562" s="129">
        <v>14458085.219610773</v>
      </c>
      <c r="BO562" s="129">
        <v>14828018.104234731</v>
      </c>
      <c r="BP562" s="129">
        <v>16453575.064215306</v>
      </c>
      <c r="BQ562" s="129">
        <v>15055742.145398621</v>
      </c>
      <c r="BR562" s="129">
        <v>14587915.06539401</v>
      </c>
      <c r="BS562" s="129">
        <v>12694701.707854895</v>
      </c>
      <c r="BT562" s="129">
        <v>12510331.769017816</v>
      </c>
      <c r="BU562" s="129">
        <v>12708764.495390803</v>
      </c>
      <c r="BV562" s="129">
        <v>14210589.110309768</v>
      </c>
      <c r="BW562" s="129">
        <v>14676911.078328231</v>
      </c>
      <c r="BX562" s="129">
        <v>14168556.428069565</v>
      </c>
      <c r="BY562" s="129">
        <v>14084571.353783779</v>
      </c>
      <c r="BZ562" s="129">
        <v>14110927.714488756</v>
      </c>
      <c r="CA562" s="129">
        <v>12988870.345879456</v>
      </c>
      <c r="CB562" s="129">
        <v>15314329.105806144</v>
      </c>
      <c r="CC562" s="129">
        <v>16455233.375787662</v>
      </c>
      <c r="CD562" s="129">
        <v>16268910.181944797</v>
      </c>
      <c r="CE562" s="129">
        <v>15979579.089336159</v>
      </c>
      <c r="CF562" s="129">
        <v>16673475.090581216</v>
      </c>
      <c r="CG562" s="129">
        <v>18652744.719322015</v>
      </c>
      <c r="CH562" s="129">
        <v>19320363.541061539</v>
      </c>
      <c r="CI562" s="129">
        <v>19090199.519858718</v>
      </c>
      <c r="CJ562" s="129">
        <v>18865375.205853976</v>
      </c>
      <c r="CK562" s="129">
        <v>20220791.751189701</v>
      </c>
      <c r="CL562" s="129">
        <v>21051588.260915913</v>
      </c>
      <c r="CM562" s="129">
        <v>19672841.673972197</v>
      </c>
      <c r="CN562" s="129">
        <v>20757605.186007179</v>
      </c>
      <c r="CO562" s="129">
        <v>22353605.914257884</v>
      </c>
      <c r="CP562" s="129">
        <v>22013295.787854195</v>
      </c>
      <c r="CQ562" s="129">
        <v>25850254.117052365</v>
      </c>
      <c r="CR562" s="129">
        <v>26499989.443673387</v>
      </c>
      <c r="CS562" s="129">
        <v>24825117.836274438</v>
      </c>
      <c r="CT562" s="129">
        <f>CT563*CT574</f>
        <v>29492239.989494037</v>
      </c>
      <c r="CU562" s="129">
        <f t="shared" ref="CU562:DQ562" si="2176">CU563*CU574</f>
        <v>29492239.989494037</v>
      </c>
      <c r="CV562" s="129">
        <f t="shared" si="2176"/>
        <v>29492239.989494037</v>
      </c>
      <c r="CW562" s="129">
        <f t="shared" si="2176"/>
        <v>29492239.989494037</v>
      </c>
      <c r="CX562" s="129">
        <f t="shared" si="2176"/>
        <v>29492239.989494037</v>
      </c>
      <c r="CY562" s="129">
        <f t="shared" si="2176"/>
        <v>29492239.989494037</v>
      </c>
      <c r="CZ562" s="129">
        <f t="shared" si="2176"/>
        <v>29492239.989494037</v>
      </c>
      <c r="DA562" s="129">
        <f t="shared" si="2176"/>
        <v>29492239.989494037</v>
      </c>
      <c r="DB562" s="129">
        <f t="shared" si="2176"/>
        <v>29492239.989494037</v>
      </c>
      <c r="DC562" s="129">
        <f t="shared" si="2176"/>
        <v>29492239.989494037</v>
      </c>
      <c r="DD562" s="129">
        <f t="shared" si="2176"/>
        <v>29492239.989494037</v>
      </c>
      <c r="DE562" s="129">
        <f t="shared" si="2176"/>
        <v>29492239.989494037</v>
      </c>
      <c r="DF562" s="129">
        <f t="shared" si="2176"/>
        <v>33444200.148086239</v>
      </c>
      <c r="DG562" s="129">
        <f t="shared" si="2176"/>
        <v>33444200.148086239</v>
      </c>
      <c r="DH562" s="129">
        <f t="shared" si="2176"/>
        <v>33444200.148086239</v>
      </c>
      <c r="DI562" s="129">
        <f t="shared" si="2176"/>
        <v>33444200.148086239</v>
      </c>
      <c r="DJ562" s="129">
        <f t="shared" si="2176"/>
        <v>33444200.148086239</v>
      </c>
      <c r="DK562" s="129">
        <f t="shared" si="2176"/>
        <v>33444200.148086239</v>
      </c>
      <c r="DL562" s="129">
        <f t="shared" si="2176"/>
        <v>33444200.148086239</v>
      </c>
      <c r="DM562" s="129">
        <f t="shared" si="2176"/>
        <v>33444200.148086239</v>
      </c>
      <c r="DN562" s="129">
        <f t="shared" si="2176"/>
        <v>33444200.148086239</v>
      </c>
      <c r="DO562" s="129">
        <f t="shared" si="2176"/>
        <v>33444200.148086239</v>
      </c>
      <c r="DP562" s="129">
        <f t="shared" si="2176"/>
        <v>33444200.148086239</v>
      </c>
      <c r="DQ562" s="129">
        <f t="shared" si="2176"/>
        <v>33444200.148086239</v>
      </c>
      <c r="DR562" s="129">
        <f t="shared" ref="DR562:EC562" si="2177">DR563*DR574</f>
        <v>37925722.967929803</v>
      </c>
      <c r="DS562" s="129">
        <f t="shared" si="2177"/>
        <v>37925722.967929803</v>
      </c>
      <c r="DT562" s="129">
        <f t="shared" si="2177"/>
        <v>37925722.967929803</v>
      </c>
      <c r="DU562" s="129">
        <f t="shared" si="2177"/>
        <v>37925722.967929803</v>
      </c>
      <c r="DV562" s="129">
        <f t="shared" si="2177"/>
        <v>37925722.967929803</v>
      </c>
      <c r="DW562" s="129">
        <f t="shared" si="2177"/>
        <v>37925722.967929803</v>
      </c>
      <c r="DX562" s="129">
        <f t="shared" si="2177"/>
        <v>37925722.967929803</v>
      </c>
      <c r="DY562" s="129">
        <f t="shared" si="2177"/>
        <v>37925722.967929803</v>
      </c>
      <c r="DZ562" s="129">
        <f t="shared" si="2177"/>
        <v>37925722.967929803</v>
      </c>
      <c r="EA562" s="129">
        <f t="shared" si="2177"/>
        <v>37925722.967929803</v>
      </c>
      <c r="EB562" s="129">
        <f t="shared" si="2177"/>
        <v>37925722.967929803</v>
      </c>
      <c r="EC562" s="129">
        <f t="shared" si="2177"/>
        <v>37925722.967929803</v>
      </c>
      <c r="ED562" s="113" t="s">
        <v>1</v>
      </c>
    </row>
    <row r="563" spans="1:134" x14ac:dyDescent="0.2">
      <c r="A563" s="119" t="s">
        <v>45</v>
      </c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29">
        <v>41</v>
      </c>
      <c r="AC563" s="129">
        <v>45</v>
      </c>
      <c r="AD563" s="129">
        <v>52</v>
      </c>
      <c r="AE563" s="129">
        <v>52</v>
      </c>
      <c r="AF563" s="129">
        <v>63</v>
      </c>
      <c r="AG563" s="129">
        <v>62</v>
      </c>
      <c r="AH563" s="129">
        <v>62</v>
      </c>
      <c r="AI563" s="129">
        <v>58</v>
      </c>
      <c r="AJ563" s="129">
        <v>68</v>
      </c>
      <c r="AK563" s="129">
        <v>106</v>
      </c>
      <c r="AL563" s="129">
        <v>103</v>
      </c>
      <c r="AM563" s="129">
        <v>101</v>
      </c>
      <c r="AN563" s="129">
        <v>99</v>
      </c>
      <c r="AO563" s="129">
        <v>119</v>
      </c>
      <c r="AP563" s="129">
        <v>129</v>
      </c>
      <c r="AQ563" s="129">
        <v>168</v>
      </c>
      <c r="AR563" s="129">
        <v>196</v>
      </c>
      <c r="AS563" s="129">
        <v>200</v>
      </c>
      <c r="AT563" s="129">
        <v>217</v>
      </c>
      <c r="AU563" s="129">
        <v>228</v>
      </c>
      <c r="AV563" s="129">
        <v>239</v>
      </c>
      <c r="AW563" s="129">
        <v>263</v>
      </c>
      <c r="AX563" s="129">
        <v>337</v>
      </c>
      <c r="AY563" s="129">
        <v>278</v>
      </c>
      <c r="AZ563" s="129">
        <v>421</v>
      </c>
      <c r="BA563" s="129">
        <v>457</v>
      </c>
      <c r="BB563" s="129">
        <v>479</v>
      </c>
      <c r="BC563" s="129">
        <v>505</v>
      </c>
      <c r="BD563" s="129">
        <v>503</v>
      </c>
      <c r="BE563" s="129">
        <v>540</v>
      </c>
      <c r="BF563" s="129">
        <v>582</v>
      </c>
      <c r="BG563" s="129">
        <v>602</v>
      </c>
      <c r="BH563" s="129">
        <v>596</v>
      </c>
      <c r="BI563" s="129">
        <v>586</v>
      </c>
      <c r="BJ563" s="129">
        <v>600</v>
      </c>
      <c r="BK563" s="129">
        <v>585</v>
      </c>
      <c r="BL563" s="129">
        <v>583</v>
      </c>
      <c r="BM563" s="129">
        <v>582</v>
      </c>
      <c r="BN563" s="129">
        <v>570</v>
      </c>
      <c r="BO563" s="129">
        <v>570</v>
      </c>
      <c r="BP563" s="129">
        <v>566</v>
      </c>
      <c r="BQ563" s="129">
        <v>572</v>
      </c>
      <c r="BR563" s="129">
        <v>571</v>
      </c>
      <c r="BS563" s="129">
        <v>526</v>
      </c>
      <c r="BT563" s="129">
        <v>526</v>
      </c>
      <c r="BU563" s="129">
        <v>523</v>
      </c>
      <c r="BV563" s="129">
        <v>531</v>
      </c>
      <c r="BW563" s="129">
        <v>548</v>
      </c>
      <c r="BX563" s="129">
        <v>545</v>
      </c>
      <c r="BY563" s="129">
        <v>555</v>
      </c>
      <c r="BZ563" s="129">
        <v>533</v>
      </c>
      <c r="CA563" s="129">
        <v>535</v>
      </c>
      <c r="CB563" s="129">
        <v>537</v>
      </c>
      <c r="CC563" s="129">
        <v>546</v>
      </c>
      <c r="CD563" s="129">
        <v>538</v>
      </c>
      <c r="CE563" s="129">
        <v>545</v>
      </c>
      <c r="CF563" s="129">
        <v>549</v>
      </c>
      <c r="CG563" s="129">
        <v>560</v>
      </c>
      <c r="CH563" s="129">
        <v>576</v>
      </c>
      <c r="CI563" s="129">
        <v>580</v>
      </c>
      <c r="CJ563" s="129">
        <v>608</v>
      </c>
      <c r="CK563" s="129">
        <v>619</v>
      </c>
      <c r="CL563" s="129">
        <v>642</v>
      </c>
      <c r="CM563" s="129">
        <v>622</v>
      </c>
      <c r="CN563" s="129">
        <v>647</v>
      </c>
      <c r="CO563" s="129">
        <v>672</v>
      </c>
      <c r="CP563" s="129">
        <v>709</v>
      </c>
      <c r="CQ563" s="129">
        <v>750</v>
      </c>
      <c r="CR563" s="129">
        <v>776</v>
      </c>
      <c r="CS563" s="129">
        <v>801</v>
      </c>
      <c r="CT563" s="129">
        <f>CS563*(1+CT581)</f>
        <v>881.1</v>
      </c>
      <c r="CU563" s="129">
        <f t="shared" ref="CU563:DQ563" si="2178">CT563*(1+CU581)</f>
        <v>881.1</v>
      </c>
      <c r="CV563" s="129">
        <f t="shared" si="2178"/>
        <v>881.1</v>
      </c>
      <c r="CW563" s="129">
        <f t="shared" si="2178"/>
        <v>881.1</v>
      </c>
      <c r="CX563" s="129">
        <f t="shared" si="2178"/>
        <v>881.1</v>
      </c>
      <c r="CY563" s="129">
        <f t="shared" si="2178"/>
        <v>881.1</v>
      </c>
      <c r="CZ563" s="129">
        <f t="shared" si="2178"/>
        <v>881.1</v>
      </c>
      <c r="DA563" s="129">
        <f t="shared" si="2178"/>
        <v>881.1</v>
      </c>
      <c r="DB563" s="129">
        <f t="shared" si="2178"/>
        <v>881.1</v>
      </c>
      <c r="DC563" s="129">
        <f t="shared" si="2178"/>
        <v>881.1</v>
      </c>
      <c r="DD563" s="129">
        <f t="shared" si="2178"/>
        <v>881.1</v>
      </c>
      <c r="DE563" s="129">
        <f t="shared" si="2178"/>
        <v>881.1</v>
      </c>
      <c r="DF563" s="129">
        <f t="shared" si="2178"/>
        <v>925.15500000000009</v>
      </c>
      <c r="DG563" s="129">
        <f t="shared" si="2178"/>
        <v>925.15500000000009</v>
      </c>
      <c r="DH563" s="129">
        <f t="shared" si="2178"/>
        <v>925.15500000000009</v>
      </c>
      <c r="DI563" s="129">
        <f t="shared" si="2178"/>
        <v>925.15500000000009</v>
      </c>
      <c r="DJ563" s="129">
        <f t="shared" si="2178"/>
        <v>925.15500000000009</v>
      </c>
      <c r="DK563" s="129">
        <f t="shared" si="2178"/>
        <v>925.15500000000009</v>
      </c>
      <c r="DL563" s="129">
        <f t="shared" si="2178"/>
        <v>925.15500000000009</v>
      </c>
      <c r="DM563" s="129">
        <f t="shared" si="2178"/>
        <v>925.15500000000009</v>
      </c>
      <c r="DN563" s="129">
        <f t="shared" si="2178"/>
        <v>925.15500000000009</v>
      </c>
      <c r="DO563" s="129">
        <f t="shared" si="2178"/>
        <v>925.15500000000009</v>
      </c>
      <c r="DP563" s="129">
        <f t="shared" si="2178"/>
        <v>925.15500000000009</v>
      </c>
      <c r="DQ563" s="129">
        <f t="shared" si="2178"/>
        <v>925.15500000000009</v>
      </c>
      <c r="DR563" s="129">
        <f t="shared" ref="DR563" si="2179">DQ563*(1+DR581)</f>
        <v>971.41275000000019</v>
      </c>
      <c r="DS563" s="129">
        <f t="shared" ref="DS563" si="2180">DR563*(1+DS581)</f>
        <v>971.41275000000019</v>
      </c>
      <c r="DT563" s="129">
        <f t="shared" ref="DT563" si="2181">DS563*(1+DT581)</f>
        <v>971.41275000000019</v>
      </c>
      <c r="DU563" s="129">
        <f t="shared" ref="DU563" si="2182">DT563*(1+DU581)</f>
        <v>971.41275000000019</v>
      </c>
      <c r="DV563" s="129">
        <f t="shared" ref="DV563" si="2183">DU563*(1+DV581)</f>
        <v>971.41275000000019</v>
      </c>
      <c r="DW563" s="129">
        <f t="shared" ref="DW563" si="2184">DV563*(1+DW581)</f>
        <v>971.41275000000019</v>
      </c>
      <c r="DX563" s="129">
        <f t="shared" ref="DX563" si="2185">DW563*(1+DX581)</f>
        <v>971.41275000000019</v>
      </c>
      <c r="DY563" s="129">
        <f t="shared" ref="DY563" si="2186">DX563*(1+DY581)</f>
        <v>971.41275000000019</v>
      </c>
      <c r="DZ563" s="129">
        <f t="shared" ref="DZ563" si="2187">DY563*(1+DZ581)</f>
        <v>971.41275000000019</v>
      </c>
      <c r="EA563" s="129">
        <f t="shared" ref="EA563" si="2188">DZ563*(1+EA581)</f>
        <v>971.41275000000019</v>
      </c>
      <c r="EB563" s="129">
        <f t="shared" ref="EB563" si="2189">EA563*(1+EB581)</f>
        <v>971.41275000000019</v>
      </c>
      <c r="EC563" s="129">
        <f t="shared" ref="EC563" si="2190">EB563*(1+EC581)</f>
        <v>971.41275000000019</v>
      </c>
      <c r="ED563" s="113" t="s">
        <v>1</v>
      </c>
    </row>
    <row r="564" spans="1:134" x14ac:dyDescent="0.2">
      <c r="A564" s="120" t="s">
        <v>46</v>
      </c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29">
        <v>172141.25</v>
      </c>
      <c r="AC564" s="129">
        <v>137141.25</v>
      </c>
      <c r="AD564" s="129">
        <v>169631.5</v>
      </c>
      <c r="AE564" s="129">
        <v>171131.5</v>
      </c>
      <c r="AF564" s="129">
        <v>137131.5</v>
      </c>
      <c r="AG564" s="129">
        <v>157131.5</v>
      </c>
      <c r="AH564" s="129">
        <v>167131.5</v>
      </c>
      <c r="AI564" s="129">
        <v>258635.5</v>
      </c>
      <c r="AJ564" s="129">
        <v>211671.38461538462</v>
      </c>
      <c r="AK564" s="129">
        <v>201671.38461538462</v>
      </c>
      <c r="AL564" s="129">
        <v>218747.99794871797</v>
      </c>
      <c r="AM564" s="129">
        <v>178747.99794871794</v>
      </c>
      <c r="AN564" s="129">
        <v>196622.79774358982</v>
      </c>
      <c r="AO564" s="129">
        <v>918017.46852564102</v>
      </c>
      <c r="AP564" s="129">
        <v>1037278.468525641</v>
      </c>
      <c r="AQ564" s="129">
        <v>1051950.01673077</v>
      </c>
      <c r="AR564" s="129">
        <v>1200270.1369871795</v>
      </c>
      <c r="AS564" s="129">
        <v>1137514.3538461539</v>
      </c>
      <c r="AT564" s="129">
        <v>1433376.7780128201</v>
      </c>
      <c r="AU564" s="129">
        <v>1550491.84826923</v>
      </c>
      <c r="AV564" s="129">
        <v>1621189.9776923077</v>
      </c>
      <c r="AW564" s="129">
        <v>2214239.1669230801</v>
      </c>
      <c r="AX564" s="129">
        <v>2582023.9797435892</v>
      </c>
      <c r="AY564" s="129">
        <v>2837534.9155128202</v>
      </c>
      <c r="AZ564" s="129">
        <v>3019290.3366025635</v>
      </c>
      <c r="BA564" s="129">
        <v>3374511.2082692306</v>
      </c>
      <c r="BB564" s="129">
        <v>3404760.2248076927</v>
      </c>
      <c r="BC564" s="129">
        <v>4298888.8635256393</v>
      </c>
      <c r="BD564" s="129">
        <v>4197928.4273056248</v>
      </c>
      <c r="BE564" s="129">
        <v>4542461.3144230759</v>
      </c>
      <c r="BF564" s="129">
        <v>4477072.3773717936</v>
      </c>
      <c r="BG564" s="129">
        <v>4799960.2730128206</v>
      </c>
      <c r="BH564" s="129">
        <v>4809856.0421794876</v>
      </c>
      <c r="BI564" s="129">
        <v>6024715.9796153866</v>
      </c>
      <c r="BJ564" s="129">
        <v>5097149.6661568535</v>
      </c>
      <c r="BK564" s="129">
        <v>5653602.8192445878</v>
      </c>
      <c r="BL564" s="129">
        <v>5784032.4027120583</v>
      </c>
      <c r="BM564" s="129">
        <v>5617153.5322724367</v>
      </c>
      <c r="BN564" s="129">
        <v>5215438.5165641028</v>
      </c>
      <c r="BO564" s="129">
        <v>4993920.9507467933</v>
      </c>
      <c r="BP564" s="129">
        <v>4890953.6438814094</v>
      </c>
      <c r="BQ564" s="129">
        <v>4655347.8891185876</v>
      </c>
      <c r="BR564" s="129">
        <v>4690158.2661242764</v>
      </c>
      <c r="BS564" s="129">
        <v>4281425.2989455117</v>
      </c>
      <c r="BT564" s="129">
        <v>4242606.9354935884</v>
      </c>
      <c r="BU564" s="129">
        <v>4488109.5429326911</v>
      </c>
      <c r="BV564" s="129">
        <v>5112132.5398942269</v>
      </c>
      <c r="BW564" s="129">
        <v>5519349.2610801328</v>
      </c>
      <c r="BX564" s="129">
        <v>6277911.0428205151</v>
      </c>
      <c r="BY564" s="129">
        <v>6382857.7640833305</v>
      </c>
      <c r="BZ564" s="129">
        <v>6033461.3919519233</v>
      </c>
      <c r="CA564" s="129">
        <v>5672635.7078653835</v>
      </c>
      <c r="CB564" s="129">
        <v>6964774.5513482196</v>
      </c>
      <c r="CC564" s="129">
        <v>6993092.3618589714</v>
      </c>
      <c r="CD564" s="129">
        <v>7068977.1964908997</v>
      </c>
      <c r="CE564" s="129">
        <v>7512252.6959139798</v>
      </c>
      <c r="CF564" s="129">
        <v>7607620.3155769203</v>
      </c>
      <c r="CG564" s="129">
        <v>8836610.5949917287</v>
      </c>
      <c r="CH564" s="129">
        <v>11775512.208711529</v>
      </c>
      <c r="CI564" s="129">
        <v>11769420.596512808</v>
      </c>
      <c r="CJ564" s="129">
        <v>11890557.577358952</v>
      </c>
      <c r="CK564" s="129">
        <v>11829675.088865381</v>
      </c>
      <c r="CL564" s="129">
        <v>12446505.053674107</v>
      </c>
      <c r="CM564" s="129">
        <v>12710096.001192344</v>
      </c>
      <c r="CN564" s="129">
        <v>12097523.293588487</v>
      </c>
      <c r="CO564" s="129">
        <v>13484821.008887788</v>
      </c>
      <c r="CP564" s="129">
        <v>13401661.414651098</v>
      </c>
      <c r="CQ564" s="129">
        <v>14861743.376573715</v>
      </c>
      <c r="CR564" s="129">
        <v>15107571.325662175</v>
      </c>
      <c r="CS564" s="129">
        <v>15273551.076705769</v>
      </c>
      <c r="CT564" s="129">
        <f>CT565*CT575</f>
        <v>18144978.679126456</v>
      </c>
      <c r="CU564" s="129">
        <f t="shared" ref="CU564:DQ564" si="2191">CU565*CU575</f>
        <v>18144978.679126456</v>
      </c>
      <c r="CV564" s="129">
        <f t="shared" si="2191"/>
        <v>18144978.679126456</v>
      </c>
      <c r="CW564" s="129">
        <f t="shared" si="2191"/>
        <v>18144978.679126456</v>
      </c>
      <c r="CX564" s="129">
        <f t="shared" si="2191"/>
        <v>18144978.679126456</v>
      </c>
      <c r="CY564" s="129">
        <f t="shared" si="2191"/>
        <v>18144978.679126456</v>
      </c>
      <c r="CZ564" s="129">
        <f t="shared" si="2191"/>
        <v>18144978.679126456</v>
      </c>
      <c r="DA564" s="129">
        <f t="shared" si="2191"/>
        <v>18144978.679126456</v>
      </c>
      <c r="DB564" s="129">
        <f t="shared" si="2191"/>
        <v>18144978.679126456</v>
      </c>
      <c r="DC564" s="129">
        <f t="shared" si="2191"/>
        <v>18144978.679126456</v>
      </c>
      <c r="DD564" s="129">
        <f t="shared" si="2191"/>
        <v>18144978.679126456</v>
      </c>
      <c r="DE564" s="129">
        <f t="shared" si="2191"/>
        <v>18144978.679126456</v>
      </c>
      <c r="DF564" s="129">
        <f t="shared" si="2191"/>
        <v>20576405.822129402</v>
      </c>
      <c r="DG564" s="129">
        <f t="shared" si="2191"/>
        <v>20576405.822129402</v>
      </c>
      <c r="DH564" s="129">
        <f t="shared" si="2191"/>
        <v>20576405.822129402</v>
      </c>
      <c r="DI564" s="129">
        <f t="shared" si="2191"/>
        <v>20576405.822129402</v>
      </c>
      <c r="DJ564" s="129">
        <f t="shared" si="2191"/>
        <v>20576405.822129402</v>
      </c>
      <c r="DK564" s="129">
        <f t="shared" si="2191"/>
        <v>20576405.822129402</v>
      </c>
      <c r="DL564" s="129">
        <f t="shared" si="2191"/>
        <v>20576405.822129402</v>
      </c>
      <c r="DM564" s="129">
        <f t="shared" si="2191"/>
        <v>20576405.822129402</v>
      </c>
      <c r="DN564" s="129">
        <f t="shared" si="2191"/>
        <v>20576405.822129402</v>
      </c>
      <c r="DO564" s="129">
        <f t="shared" si="2191"/>
        <v>20576405.822129402</v>
      </c>
      <c r="DP564" s="129">
        <f t="shared" si="2191"/>
        <v>20576405.822129402</v>
      </c>
      <c r="DQ564" s="129">
        <f t="shared" si="2191"/>
        <v>20576405.822129402</v>
      </c>
      <c r="DR564" s="129">
        <f t="shared" ref="DR564:EC564" si="2192">DR565*DR575</f>
        <v>23333644.202294745</v>
      </c>
      <c r="DS564" s="129">
        <f t="shared" si="2192"/>
        <v>23333644.202294745</v>
      </c>
      <c r="DT564" s="129">
        <f t="shared" si="2192"/>
        <v>23333644.202294745</v>
      </c>
      <c r="DU564" s="129">
        <f t="shared" si="2192"/>
        <v>23333644.202294745</v>
      </c>
      <c r="DV564" s="129">
        <f t="shared" si="2192"/>
        <v>23333644.202294745</v>
      </c>
      <c r="DW564" s="129">
        <f t="shared" si="2192"/>
        <v>23333644.202294745</v>
      </c>
      <c r="DX564" s="129">
        <f t="shared" si="2192"/>
        <v>23333644.202294745</v>
      </c>
      <c r="DY564" s="129">
        <f t="shared" si="2192"/>
        <v>23333644.202294745</v>
      </c>
      <c r="DZ564" s="129">
        <f t="shared" si="2192"/>
        <v>23333644.202294745</v>
      </c>
      <c r="EA564" s="129">
        <f t="shared" si="2192"/>
        <v>23333644.202294745</v>
      </c>
      <c r="EB564" s="129">
        <f t="shared" si="2192"/>
        <v>23333644.202294745</v>
      </c>
      <c r="EC564" s="129">
        <f t="shared" si="2192"/>
        <v>23333644.202294745</v>
      </c>
      <c r="ED564" s="113" t="s">
        <v>1</v>
      </c>
    </row>
    <row r="565" spans="1:134" x14ac:dyDescent="0.2">
      <c r="A565" s="119" t="s">
        <v>47</v>
      </c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29">
        <v>0</v>
      </c>
      <c r="AC565" s="129">
        <v>0</v>
      </c>
      <c r="AD565" s="129">
        <v>0</v>
      </c>
      <c r="AE565" s="129">
        <v>0</v>
      </c>
      <c r="AF565" s="129">
        <v>0</v>
      </c>
      <c r="AG565" s="129">
        <v>0</v>
      </c>
      <c r="AH565" s="129">
        <v>0</v>
      </c>
      <c r="AI565" s="129">
        <v>0</v>
      </c>
      <c r="AJ565" s="129">
        <v>0</v>
      </c>
      <c r="AK565" s="129">
        <v>0</v>
      </c>
      <c r="AL565" s="129">
        <v>0</v>
      </c>
      <c r="AM565" s="129">
        <v>0</v>
      </c>
      <c r="AN565" s="129">
        <v>0</v>
      </c>
      <c r="AO565" s="129">
        <v>0</v>
      </c>
      <c r="AP565" s="129">
        <v>0</v>
      </c>
      <c r="AQ565" s="129">
        <v>0</v>
      </c>
      <c r="AR565" s="129">
        <v>0</v>
      </c>
      <c r="AS565" s="129">
        <v>0</v>
      </c>
      <c r="AT565" s="129">
        <v>0</v>
      </c>
      <c r="AU565" s="129">
        <v>0</v>
      </c>
      <c r="AV565" s="129">
        <v>0</v>
      </c>
      <c r="AW565" s="129">
        <v>0</v>
      </c>
      <c r="AX565" s="129">
        <v>0</v>
      </c>
      <c r="AY565" s="129">
        <v>45</v>
      </c>
      <c r="AZ565" s="129">
        <v>50</v>
      </c>
      <c r="BA565" s="129">
        <v>50</v>
      </c>
      <c r="BB565" s="129">
        <v>55</v>
      </c>
      <c r="BC565" s="129">
        <v>67</v>
      </c>
      <c r="BD565" s="129">
        <v>66</v>
      </c>
      <c r="BE565" s="129">
        <v>73</v>
      </c>
      <c r="BF565" s="129">
        <v>73</v>
      </c>
      <c r="BG565" s="129">
        <v>74</v>
      </c>
      <c r="BH565" s="129">
        <v>73</v>
      </c>
      <c r="BI565" s="129">
        <v>73</v>
      </c>
      <c r="BJ565" s="129">
        <v>78</v>
      </c>
      <c r="BK565" s="129">
        <v>100</v>
      </c>
      <c r="BL565" s="129">
        <v>105</v>
      </c>
      <c r="BM565" s="129">
        <v>103</v>
      </c>
      <c r="BN565" s="129">
        <v>105</v>
      </c>
      <c r="BO565" s="129">
        <v>106</v>
      </c>
      <c r="BP565" s="129">
        <v>101</v>
      </c>
      <c r="BQ565" s="129">
        <v>98</v>
      </c>
      <c r="BR565" s="129">
        <v>97</v>
      </c>
      <c r="BS565" s="129">
        <v>90</v>
      </c>
      <c r="BT565" s="129">
        <v>85</v>
      </c>
      <c r="BU565" s="129">
        <v>94</v>
      </c>
      <c r="BV565" s="129">
        <v>76</v>
      </c>
      <c r="BW565" s="129">
        <v>76</v>
      </c>
      <c r="BX565" s="129">
        <v>82</v>
      </c>
      <c r="BY565" s="129">
        <v>79</v>
      </c>
      <c r="BZ565" s="129">
        <v>78</v>
      </c>
      <c r="CA565" s="129">
        <v>77</v>
      </c>
      <c r="CB565" s="129">
        <v>76</v>
      </c>
      <c r="CC565" s="129">
        <v>73</v>
      </c>
      <c r="CD565" s="129">
        <v>79</v>
      </c>
      <c r="CE565" s="129">
        <v>82</v>
      </c>
      <c r="CF565" s="129">
        <v>84</v>
      </c>
      <c r="CG565" s="129">
        <v>85</v>
      </c>
      <c r="CH565" s="129">
        <v>112.5</v>
      </c>
      <c r="CI565" s="129">
        <v>115.5</v>
      </c>
      <c r="CJ565" s="129">
        <v>121.8</v>
      </c>
      <c r="CK565" s="129">
        <v>128.5</v>
      </c>
      <c r="CL565" s="129">
        <v>131</v>
      </c>
      <c r="CM565" s="129">
        <v>150</v>
      </c>
      <c r="CN565" s="129">
        <v>138.30000000000001</v>
      </c>
      <c r="CO565" s="129">
        <v>143.12</v>
      </c>
      <c r="CP565" s="129">
        <v>145.12</v>
      </c>
      <c r="CQ565" s="129">
        <v>149.35</v>
      </c>
      <c r="CR565" s="129">
        <v>153.76</v>
      </c>
      <c r="CS565" s="129">
        <v>159.35</v>
      </c>
      <c r="CT565" s="129">
        <f>CS565*(1+CT582)</f>
        <v>175.285</v>
      </c>
      <c r="CU565" s="129">
        <f t="shared" ref="CU565:DQ565" si="2193">CT565*(1+CU582)</f>
        <v>175.285</v>
      </c>
      <c r="CV565" s="129">
        <f t="shared" si="2193"/>
        <v>175.285</v>
      </c>
      <c r="CW565" s="129">
        <f t="shared" si="2193"/>
        <v>175.285</v>
      </c>
      <c r="CX565" s="129">
        <f t="shared" si="2193"/>
        <v>175.285</v>
      </c>
      <c r="CY565" s="129">
        <f t="shared" si="2193"/>
        <v>175.285</v>
      </c>
      <c r="CZ565" s="129">
        <f t="shared" si="2193"/>
        <v>175.285</v>
      </c>
      <c r="DA565" s="129">
        <f t="shared" si="2193"/>
        <v>175.285</v>
      </c>
      <c r="DB565" s="129">
        <f t="shared" si="2193"/>
        <v>175.285</v>
      </c>
      <c r="DC565" s="129">
        <f t="shared" si="2193"/>
        <v>175.285</v>
      </c>
      <c r="DD565" s="129">
        <f t="shared" si="2193"/>
        <v>175.285</v>
      </c>
      <c r="DE565" s="129">
        <f t="shared" si="2193"/>
        <v>175.285</v>
      </c>
      <c r="DF565" s="129">
        <f t="shared" si="2193"/>
        <v>184.04925</v>
      </c>
      <c r="DG565" s="129">
        <f t="shared" si="2193"/>
        <v>184.04925</v>
      </c>
      <c r="DH565" s="129">
        <f t="shared" si="2193"/>
        <v>184.04925</v>
      </c>
      <c r="DI565" s="129">
        <f t="shared" si="2193"/>
        <v>184.04925</v>
      </c>
      <c r="DJ565" s="129">
        <f t="shared" si="2193"/>
        <v>184.04925</v>
      </c>
      <c r="DK565" s="129">
        <f t="shared" si="2193"/>
        <v>184.04925</v>
      </c>
      <c r="DL565" s="129">
        <f t="shared" si="2193"/>
        <v>184.04925</v>
      </c>
      <c r="DM565" s="129">
        <f t="shared" si="2193"/>
        <v>184.04925</v>
      </c>
      <c r="DN565" s="129">
        <f t="shared" si="2193"/>
        <v>184.04925</v>
      </c>
      <c r="DO565" s="129">
        <f t="shared" si="2193"/>
        <v>184.04925</v>
      </c>
      <c r="DP565" s="129">
        <f t="shared" si="2193"/>
        <v>184.04925</v>
      </c>
      <c r="DQ565" s="129">
        <f t="shared" si="2193"/>
        <v>184.04925</v>
      </c>
      <c r="DR565" s="129">
        <f t="shared" ref="DR565" si="2194">DQ565*(1+DR582)</f>
        <v>193.2517125</v>
      </c>
      <c r="DS565" s="129">
        <f t="shared" ref="DS565" si="2195">DR565*(1+DS582)</f>
        <v>193.2517125</v>
      </c>
      <c r="DT565" s="129">
        <f t="shared" ref="DT565" si="2196">DS565*(1+DT582)</f>
        <v>193.2517125</v>
      </c>
      <c r="DU565" s="129">
        <f t="shared" ref="DU565" si="2197">DT565*(1+DU582)</f>
        <v>193.2517125</v>
      </c>
      <c r="DV565" s="129">
        <f t="shared" ref="DV565" si="2198">DU565*(1+DV582)</f>
        <v>193.2517125</v>
      </c>
      <c r="DW565" s="129">
        <f t="shared" ref="DW565" si="2199">DV565*(1+DW582)</f>
        <v>193.2517125</v>
      </c>
      <c r="DX565" s="129">
        <f t="shared" ref="DX565" si="2200">DW565*(1+DX582)</f>
        <v>193.2517125</v>
      </c>
      <c r="DY565" s="129">
        <f t="shared" ref="DY565" si="2201">DX565*(1+DY582)</f>
        <v>193.2517125</v>
      </c>
      <c r="DZ565" s="129">
        <f t="shared" ref="DZ565" si="2202">DY565*(1+DZ582)</f>
        <v>193.2517125</v>
      </c>
      <c r="EA565" s="129">
        <f t="shared" ref="EA565" si="2203">DZ565*(1+EA582)</f>
        <v>193.2517125</v>
      </c>
      <c r="EB565" s="129">
        <f t="shared" ref="EB565" si="2204">EA565*(1+EB582)</f>
        <v>193.2517125</v>
      </c>
      <c r="EC565" s="129">
        <f t="shared" ref="EC565" si="2205">EB565*(1+EC582)</f>
        <v>193.2517125</v>
      </c>
      <c r="ED565" s="113" t="s">
        <v>1</v>
      </c>
    </row>
    <row r="566" spans="1:134" x14ac:dyDescent="0.2">
      <c r="A566" s="114" t="s">
        <v>189</v>
      </c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29">
        <v>594143</v>
      </c>
      <c r="AC566" s="129">
        <v>751364</v>
      </c>
      <c r="AD566" s="129">
        <v>761465</v>
      </c>
      <c r="AE566" s="129">
        <v>981243</v>
      </c>
      <c r="AF566" s="129">
        <v>1139124</v>
      </c>
      <c r="AG566" s="129">
        <v>1165796</v>
      </c>
      <c r="AH566" s="129">
        <v>1349848.38</v>
      </c>
      <c r="AI566" s="129">
        <v>1534675.82</v>
      </c>
      <c r="AJ566" s="129">
        <v>1449642</v>
      </c>
      <c r="AK566" s="129">
        <v>2104422.0699999998</v>
      </c>
      <c r="AL566" s="129">
        <v>2090055</v>
      </c>
      <c r="AM566" s="129">
        <v>1898300</v>
      </c>
      <c r="AN566" s="129">
        <v>2127842</v>
      </c>
      <c r="AO566" s="129">
        <v>2121334</v>
      </c>
      <c r="AP566" s="129">
        <v>2330597</v>
      </c>
      <c r="AQ566" s="129">
        <v>2685435</v>
      </c>
      <c r="AR566" s="129">
        <v>3237564</v>
      </c>
      <c r="AS566" s="129">
        <v>3472983</v>
      </c>
      <c r="AT566" s="129">
        <v>4120268</v>
      </c>
      <c r="AU566" s="129">
        <v>4086677</v>
      </c>
      <c r="AV566" s="129">
        <v>4095051</v>
      </c>
      <c r="AW566" s="129">
        <v>4370421.5999999996</v>
      </c>
      <c r="AX566" s="129">
        <v>5137842</v>
      </c>
      <c r="AY566" s="129">
        <v>6868017.5999999996</v>
      </c>
      <c r="AZ566" s="129">
        <v>7524546</v>
      </c>
      <c r="BA566" s="129">
        <v>7603693.8399999999</v>
      </c>
      <c r="BB566" s="129">
        <v>8243800.7400000002</v>
      </c>
      <c r="BC566" s="129">
        <v>9358654.5800000001</v>
      </c>
      <c r="BD566" s="129">
        <v>9162073</v>
      </c>
      <c r="BE566" s="129">
        <v>11375135</v>
      </c>
      <c r="BF566" s="129">
        <v>11511652</v>
      </c>
      <c r="BG566" s="129">
        <v>12268574</v>
      </c>
      <c r="BH566" s="129">
        <v>11336802.5</v>
      </c>
      <c r="BI566" s="129">
        <v>12175187</v>
      </c>
      <c r="BJ566" s="129">
        <v>9727985.6500000004</v>
      </c>
      <c r="BK566" s="129">
        <v>9727363.6794999987</v>
      </c>
      <c r="BL566" s="129">
        <v>10040459.25</v>
      </c>
      <c r="BM566" s="129">
        <v>10055240.9285</v>
      </c>
      <c r="BN566" s="129">
        <v>10157488.1</v>
      </c>
      <c r="BO566" s="129">
        <v>10275811.398</v>
      </c>
      <c r="BP566" s="129">
        <v>10306887.67</v>
      </c>
      <c r="BQ566" s="129">
        <v>11189288.718</v>
      </c>
      <c r="BR566" s="129">
        <v>11618352.3895</v>
      </c>
      <c r="BS566" s="129">
        <v>12617270.800000001</v>
      </c>
      <c r="BT566" s="129">
        <v>10273682.114</v>
      </c>
      <c r="BU566" s="129">
        <v>10875911.5</v>
      </c>
      <c r="BV566" s="129">
        <v>10325357.15</v>
      </c>
      <c r="BW566" s="129">
        <v>10753704.517999999</v>
      </c>
      <c r="BX566" s="129">
        <v>9961881.3910000008</v>
      </c>
      <c r="BY566" s="129">
        <v>10079878.85</v>
      </c>
      <c r="BZ566" s="129">
        <v>10389011.1</v>
      </c>
      <c r="CA566" s="129">
        <v>10615291.300000001</v>
      </c>
      <c r="CB566" s="129">
        <v>10810704</v>
      </c>
      <c r="CC566" s="129">
        <v>8840074.2635499313</v>
      </c>
      <c r="CD566" s="129">
        <v>11265319</v>
      </c>
      <c r="CE566" s="129">
        <v>10743701</v>
      </c>
      <c r="CF566" s="129">
        <v>10786985</v>
      </c>
      <c r="CG566" s="129">
        <v>10043565.284698535</v>
      </c>
      <c r="CH566" s="129">
        <v>11071519.567800019</v>
      </c>
      <c r="CI566" s="129">
        <v>10932260.879650019</v>
      </c>
      <c r="CJ566" s="129">
        <v>12794636.603250036</v>
      </c>
      <c r="CK566" s="129">
        <v>14129687.715900028</v>
      </c>
      <c r="CL566" s="129">
        <v>14876627.083740072</v>
      </c>
      <c r="CM566" s="129">
        <v>16106000.562449932</v>
      </c>
      <c r="CN566" s="129">
        <v>18370098.970437493</v>
      </c>
      <c r="CO566" s="129">
        <v>15880469.65130003</v>
      </c>
      <c r="CP566" s="129">
        <v>19203842.922494955</v>
      </c>
      <c r="CQ566" s="129">
        <v>18606359.86595504</v>
      </c>
      <c r="CR566" s="129">
        <v>17427483.266800035</v>
      </c>
      <c r="CS566" s="129">
        <v>18814496.9323075</v>
      </c>
      <c r="CT566" s="129">
        <f>AVERAGE(CH566:CS566)*(1+CT584)</f>
        <v>16468679.851932451</v>
      </c>
      <c r="CU566" s="129">
        <f t="shared" ref="CU566:DQ566" si="2206">CT566*(1+CU584)</f>
        <v>16468679.851932451</v>
      </c>
      <c r="CV566" s="129">
        <f t="shared" si="2206"/>
        <v>16468679.851932451</v>
      </c>
      <c r="CW566" s="129">
        <f t="shared" si="2206"/>
        <v>16468679.851932451</v>
      </c>
      <c r="CX566" s="129">
        <f t="shared" si="2206"/>
        <v>16468679.851932451</v>
      </c>
      <c r="CY566" s="129">
        <f t="shared" si="2206"/>
        <v>16468679.851932451</v>
      </c>
      <c r="CZ566" s="129">
        <f t="shared" si="2206"/>
        <v>16468679.851932451</v>
      </c>
      <c r="DA566" s="129">
        <f t="shared" si="2206"/>
        <v>16468679.851932451</v>
      </c>
      <c r="DB566" s="129">
        <f t="shared" si="2206"/>
        <v>16468679.851932451</v>
      </c>
      <c r="DC566" s="129">
        <f t="shared" si="2206"/>
        <v>16468679.851932451</v>
      </c>
      <c r="DD566" s="129">
        <f t="shared" si="2206"/>
        <v>16468679.851932451</v>
      </c>
      <c r="DE566" s="129">
        <f t="shared" si="2206"/>
        <v>16468679.851932451</v>
      </c>
      <c r="DF566" s="129">
        <f t="shared" si="2206"/>
        <v>17292113.844529074</v>
      </c>
      <c r="DG566" s="129">
        <f t="shared" si="2206"/>
        <v>17292113.844529074</v>
      </c>
      <c r="DH566" s="129">
        <f t="shared" si="2206"/>
        <v>17292113.844529074</v>
      </c>
      <c r="DI566" s="129">
        <f t="shared" si="2206"/>
        <v>17292113.844529074</v>
      </c>
      <c r="DJ566" s="129">
        <f t="shared" si="2206"/>
        <v>17292113.844529074</v>
      </c>
      <c r="DK566" s="129">
        <f t="shared" si="2206"/>
        <v>17292113.844529074</v>
      </c>
      <c r="DL566" s="129">
        <f t="shared" si="2206"/>
        <v>17292113.844529074</v>
      </c>
      <c r="DM566" s="129">
        <f t="shared" si="2206"/>
        <v>17292113.844529074</v>
      </c>
      <c r="DN566" s="129">
        <f t="shared" si="2206"/>
        <v>17292113.844529074</v>
      </c>
      <c r="DO566" s="129">
        <f t="shared" si="2206"/>
        <v>17292113.844529074</v>
      </c>
      <c r="DP566" s="129">
        <f t="shared" si="2206"/>
        <v>17292113.844529074</v>
      </c>
      <c r="DQ566" s="129">
        <f t="shared" si="2206"/>
        <v>17292113.844529074</v>
      </c>
      <c r="DR566" s="129">
        <f t="shared" ref="DR566" si="2207">DQ566*(1+DR584)</f>
        <v>18156719.536755528</v>
      </c>
      <c r="DS566" s="129">
        <f t="shared" ref="DS566" si="2208">DR566*(1+DS584)</f>
        <v>18156719.536755528</v>
      </c>
      <c r="DT566" s="129">
        <f t="shared" ref="DT566" si="2209">DS566*(1+DT584)</f>
        <v>18156719.536755528</v>
      </c>
      <c r="DU566" s="129">
        <f t="shared" ref="DU566" si="2210">DT566*(1+DU584)</f>
        <v>18156719.536755528</v>
      </c>
      <c r="DV566" s="129">
        <f t="shared" ref="DV566" si="2211">DU566*(1+DV584)</f>
        <v>18156719.536755528</v>
      </c>
      <c r="DW566" s="129">
        <f t="shared" ref="DW566" si="2212">DV566*(1+DW584)</f>
        <v>18156719.536755528</v>
      </c>
      <c r="DX566" s="129">
        <f t="shared" ref="DX566" si="2213">DW566*(1+DX584)</f>
        <v>18156719.536755528</v>
      </c>
      <c r="DY566" s="129">
        <f t="shared" ref="DY566" si="2214">DX566*(1+DY584)</f>
        <v>18156719.536755528</v>
      </c>
      <c r="DZ566" s="129">
        <f t="shared" ref="DZ566" si="2215">DY566*(1+DZ584)</f>
        <v>18156719.536755528</v>
      </c>
      <c r="EA566" s="129">
        <f t="shared" ref="EA566" si="2216">DZ566*(1+EA584)</f>
        <v>18156719.536755528</v>
      </c>
      <c r="EB566" s="129">
        <f t="shared" ref="EB566" si="2217">EA566*(1+EB584)</f>
        <v>18156719.536755528</v>
      </c>
      <c r="EC566" s="129">
        <f t="shared" ref="EC566" si="2218">EB566*(1+EC584)</f>
        <v>18156719.536755528</v>
      </c>
      <c r="ED566" s="113" t="s">
        <v>1</v>
      </c>
    </row>
    <row r="567" spans="1:134" x14ac:dyDescent="0.2">
      <c r="A567" s="114" t="s">
        <v>152</v>
      </c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29">
        <v>187273.96251629727</v>
      </c>
      <c r="AC567" s="129">
        <v>89246.948595337715</v>
      </c>
      <c r="AD567" s="129">
        <v>55517.259827679052</v>
      </c>
      <c r="AE567" s="129">
        <v>61237.17511832319</v>
      </c>
      <c r="AF567" s="129">
        <v>73096.758353658544</v>
      </c>
      <c r="AG567" s="129">
        <v>71862.960011425312</v>
      </c>
      <c r="AH567" s="129">
        <v>74181.099140926643</v>
      </c>
      <c r="AI567" s="129">
        <v>80295.219281663522</v>
      </c>
      <c r="AJ567" s="129">
        <v>71880.90424118549</v>
      </c>
      <c r="AK567" s="129">
        <v>75480.790653764459</v>
      </c>
      <c r="AL567" s="129">
        <v>80952.871928099979</v>
      </c>
      <c r="AM567" s="129">
        <v>60703.06608071502</v>
      </c>
      <c r="AN567" s="129">
        <v>66074.331882480954</v>
      </c>
      <c r="AO567" s="129">
        <v>159368.09509746014</v>
      </c>
      <c r="AP567" s="129">
        <v>162371.45007032348</v>
      </c>
      <c r="AQ567" s="129">
        <v>104327.77043990781</v>
      </c>
      <c r="AR567" s="129">
        <v>403337.79193964659</v>
      </c>
      <c r="AS567" s="129">
        <v>324516.06236595556</v>
      </c>
      <c r="AT567" s="129">
        <v>251667.61485985466</v>
      </c>
      <c r="AU567" s="129">
        <v>317553.15026626538</v>
      </c>
      <c r="AV567" s="129">
        <v>342216.83483630663</v>
      </c>
      <c r="AW567" s="129">
        <v>180998.09799491669</v>
      </c>
      <c r="AX567" s="129">
        <v>175448.85137146502</v>
      </c>
      <c r="AY567" s="129">
        <v>512708.59607770067</v>
      </c>
      <c r="AZ567" s="129">
        <v>547738.06129920215</v>
      </c>
      <c r="BA567" s="129">
        <v>690871.55521278409</v>
      </c>
      <c r="BB567" s="129">
        <v>770136.6267714405</v>
      </c>
      <c r="BC567" s="129">
        <v>971338.63007007481</v>
      </c>
      <c r="BD567" s="129">
        <v>897424.00897162419</v>
      </c>
      <c r="BE567" s="129">
        <v>586851.54420240759</v>
      </c>
      <c r="BF567" s="129">
        <v>539325.84501429996</v>
      </c>
      <c r="BG567" s="129">
        <v>566851.86174205563</v>
      </c>
      <c r="BH567" s="129">
        <v>634971.15942117933</v>
      </c>
      <c r="BI567" s="129">
        <v>562842.30988824298</v>
      </c>
      <c r="BJ567" s="129">
        <v>560323.10585195338</v>
      </c>
      <c r="BK567" s="129">
        <v>564104.62994194741</v>
      </c>
      <c r="BL567" s="129">
        <v>489928.56038652291</v>
      </c>
      <c r="BM567" s="129">
        <v>527185.29105409409</v>
      </c>
      <c r="BN567" s="129">
        <v>529232.62220514962</v>
      </c>
      <c r="BO567" s="129">
        <v>421447.08781441633</v>
      </c>
      <c r="BP567" s="129">
        <v>512439.23210096051</v>
      </c>
      <c r="BQ567" s="129">
        <v>493128.08623363811</v>
      </c>
      <c r="BR567" s="129">
        <v>437874.81054718851</v>
      </c>
      <c r="BS567" s="129">
        <v>447600.55202574207</v>
      </c>
      <c r="BT567" s="129">
        <v>424667.2969747723</v>
      </c>
      <c r="BU567" s="129">
        <v>441813.95342121588</v>
      </c>
      <c r="BV567" s="129">
        <v>475758.2896188611</v>
      </c>
      <c r="BW567" s="129">
        <v>458048.24600612384</v>
      </c>
      <c r="BX567" s="129">
        <v>460877.72273367038</v>
      </c>
      <c r="BY567" s="129">
        <v>439680.46988692688</v>
      </c>
      <c r="BZ567" s="129">
        <v>418569.25327480596</v>
      </c>
      <c r="CA567" s="129">
        <v>410932.28344439372</v>
      </c>
      <c r="CB567" s="129">
        <v>453419.9492448814</v>
      </c>
      <c r="CC567" s="129">
        <v>462374.81365535478</v>
      </c>
      <c r="CD567" s="129">
        <v>495430.68782857864</v>
      </c>
      <c r="CE567" s="129">
        <v>508960.78052674478</v>
      </c>
      <c r="CF567" s="129">
        <v>508601.52145307208</v>
      </c>
      <c r="CG567" s="129">
        <v>549420.22682060662</v>
      </c>
      <c r="CH567" s="129">
        <v>547147.61443868652</v>
      </c>
      <c r="CI567" s="129">
        <v>542176.02238917036</v>
      </c>
      <c r="CJ567" s="129">
        <v>897249.45239550702</v>
      </c>
      <c r="CK567" s="129">
        <v>769552.82728952088</v>
      </c>
      <c r="CL567" s="129">
        <v>1040509.1252501275</v>
      </c>
      <c r="CM567" s="129">
        <v>866415.48380158911</v>
      </c>
      <c r="CN567" s="129">
        <v>892740.37882307195</v>
      </c>
      <c r="CO567" s="129">
        <v>869644.46091618203</v>
      </c>
      <c r="CP567" s="129">
        <v>856580.5034431821</v>
      </c>
      <c r="CQ567" s="129">
        <v>775347.97671296517</v>
      </c>
      <c r="CR567" s="129">
        <v>691119.7086549456</v>
      </c>
      <c r="CS567" s="129">
        <v>739423.15229589108</v>
      </c>
      <c r="CT567" s="129">
        <f>AVERAGE(CH567:CS567)*(1+CT586)</f>
        <v>830191.83681094856</v>
      </c>
      <c r="CU567" s="129">
        <f t="shared" ref="CU567:DQ569" si="2219">CT567*(1+CU586)</f>
        <v>830191.83681094856</v>
      </c>
      <c r="CV567" s="129">
        <f t="shared" si="2219"/>
        <v>830191.83681094856</v>
      </c>
      <c r="CW567" s="129">
        <f t="shared" si="2219"/>
        <v>830191.83681094856</v>
      </c>
      <c r="CX567" s="129">
        <f t="shared" si="2219"/>
        <v>830191.83681094856</v>
      </c>
      <c r="CY567" s="129">
        <f t="shared" si="2219"/>
        <v>830191.83681094856</v>
      </c>
      <c r="CZ567" s="129">
        <f t="shared" si="2219"/>
        <v>830191.83681094856</v>
      </c>
      <c r="DA567" s="129">
        <f t="shared" si="2219"/>
        <v>830191.83681094856</v>
      </c>
      <c r="DB567" s="129">
        <f t="shared" si="2219"/>
        <v>830191.83681094856</v>
      </c>
      <c r="DC567" s="129">
        <f t="shared" si="2219"/>
        <v>830191.83681094856</v>
      </c>
      <c r="DD567" s="129">
        <f t="shared" si="2219"/>
        <v>830191.83681094856</v>
      </c>
      <c r="DE567" s="129">
        <f t="shared" si="2219"/>
        <v>830191.83681094856</v>
      </c>
      <c r="DF567" s="129">
        <f t="shared" si="2219"/>
        <v>871701.42865149607</v>
      </c>
      <c r="DG567" s="129">
        <f t="shared" si="2219"/>
        <v>871701.42865149607</v>
      </c>
      <c r="DH567" s="129">
        <f t="shared" si="2219"/>
        <v>871701.42865149607</v>
      </c>
      <c r="DI567" s="129">
        <f t="shared" si="2219"/>
        <v>871701.42865149607</v>
      </c>
      <c r="DJ567" s="129">
        <f t="shared" si="2219"/>
        <v>871701.42865149607</v>
      </c>
      <c r="DK567" s="129">
        <f t="shared" si="2219"/>
        <v>871701.42865149607</v>
      </c>
      <c r="DL567" s="129">
        <f t="shared" si="2219"/>
        <v>871701.42865149607</v>
      </c>
      <c r="DM567" s="129">
        <f t="shared" si="2219"/>
        <v>871701.42865149607</v>
      </c>
      <c r="DN567" s="129">
        <f t="shared" si="2219"/>
        <v>871701.42865149607</v>
      </c>
      <c r="DO567" s="129">
        <f t="shared" si="2219"/>
        <v>871701.42865149607</v>
      </c>
      <c r="DP567" s="129">
        <f t="shared" si="2219"/>
        <v>871701.42865149607</v>
      </c>
      <c r="DQ567" s="129">
        <f t="shared" si="2219"/>
        <v>871701.42865149607</v>
      </c>
      <c r="DR567" s="129">
        <f t="shared" ref="DR567:DR569" si="2220">DQ567*(1+DR586)</f>
        <v>915286.50008407095</v>
      </c>
      <c r="DS567" s="129">
        <f t="shared" ref="DS567:DS569" si="2221">DR567*(1+DS586)</f>
        <v>915286.50008407095</v>
      </c>
      <c r="DT567" s="129">
        <f t="shared" ref="DT567:DT569" si="2222">DS567*(1+DT586)</f>
        <v>915286.50008407095</v>
      </c>
      <c r="DU567" s="129">
        <f t="shared" ref="DU567:DU569" si="2223">DT567*(1+DU586)</f>
        <v>915286.50008407095</v>
      </c>
      <c r="DV567" s="129">
        <f t="shared" ref="DV567:DV569" si="2224">DU567*(1+DV586)</f>
        <v>915286.50008407095</v>
      </c>
      <c r="DW567" s="129">
        <f t="shared" ref="DW567:DW569" si="2225">DV567*(1+DW586)</f>
        <v>915286.50008407095</v>
      </c>
      <c r="DX567" s="129">
        <f t="shared" ref="DX567:DX569" si="2226">DW567*(1+DX586)</f>
        <v>915286.50008407095</v>
      </c>
      <c r="DY567" s="129">
        <f t="shared" ref="DY567:DY569" si="2227">DX567*(1+DY586)</f>
        <v>915286.50008407095</v>
      </c>
      <c r="DZ567" s="129">
        <f t="shared" ref="DZ567:DZ569" si="2228">DY567*(1+DZ586)</f>
        <v>915286.50008407095</v>
      </c>
      <c r="EA567" s="129">
        <f t="shared" ref="EA567:EA569" si="2229">DZ567*(1+EA586)</f>
        <v>915286.50008407095</v>
      </c>
      <c r="EB567" s="129">
        <f t="shared" ref="EB567:EB569" si="2230">EA567*(1+EB586)</f>
        <v>915286.50008407095</v>
      </c>
      <c r="EC567" s="129">
        <f t="shared" ref="EC567:EC569" si="2231">EB567*(1+EC586)</f>
        <v>915286.50008407095</v>
      </c>
      <c r="ED567" s="113" t="s">
        <v>1</v>
      </c>
    </row>
    <row r="568" spans="1:134" x14ac:dyDescent="0.2">
      <c r="A568" s="114" t="s">
        <v>51</v>
      </c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29">
        <v>0</v>
      </c>
      <c r="AC568" s="129">
        <v>22898</v>
      </c>
      <c r="AD568" s="129">
        <v>99844</v>
      </c>
      <c r="AE568" s="129">
        <v>107328</v>
      </c>
      <c r="AF568" s="129">
        <v>119086</v>
      </c>
      <c r="AG568" s="129">
        <v>112192.32000000001</v>
      </c>
      <c r="AH568" s="129">
        <v>117186</v>
      </c>
      <c r="AI568" s="129">
        <v>118347.32</v>
      </c>
      <c r="AJ568" s="129">
        <v>68350.679999999993</v>
      </c>
      <c r="AK568" s="129">
        <v>166981.74</v>
      </c>
      <c r="AL568" s="129">
        <v>12655</v>
      </c>
      <c r="AM568" s="129">
        <v>41434.36</v>
      </c>
      <c r="AN568" s="129">
        <v>38434</v>
      </c>
      <c r="AO568" s="129">
        <v>208975</v>
      </c>
      <c r="AP568" s="129">
        <v>202428</v>
      </c>
      <c r="AQ568" s="129">
        <v>497523</v>
      </c>
      <c r="AR568" s="129">
        <v>439249</v>
      </c>
      <c r="AS568" s="129">
        <v>468433.95</v>
      </c>
      <c r="AT568" s="129">
        <v>612227</v>
      </c>
      <c r="AU568" s="129">
        <v>633415</v>
      </c>
      <c r="AV568" s="129">
        <v>486724</v>
      </c>
      <c r="AW568" s="129">
        <v>1119671</v>
      </c>
      <c r="AX568" s="129">
        <v>318280</v>
      </c>
      <c r="AY568" s="129">
        <v>744885</v>
      </c>
      <c r="AZ568" s="129">
        <v>533204</v>
      </c>
      <c r="BA568" s="129">
        <v>553265</v>
      </c>
      <c r="BB568" s="129">
        <v>234750</v>
      </c>
      <c r="BC568" s="129">
        <v>558463</v>
      </c>
      <c r="BD568" s="129">
        <v>894226</v>
      </c>
      <c r="BE568" s="129">
        <v>871376</v>
      </c>
      <c r="BF568" s="129">
        <v>1270737</v>
      </c>
      <c r="BG568" s="129">
        <v>1722444</v>
      </c>
      <c r="BH568" s="129">
        <v>1206793</v>
      </c>
      <c r="BI568" s="129">
        <v>1070439</v>
      </c>
      <c r="BJ568" s="129">
        <v>552325</v>
      </c>
      <c r="BK568" s="129">
        <v>841489</v>
      </c>
      <c r="BL568" s="129">
        <v>722609</v>
      </c>
      <c r="BM568" s="129">
        <v>766745</v>
      </c>
      <c r="BN568" s="129">
        <v>874603</v>
      </c>
      <c r="BO568" s="129">
        <v>793118.99</v>
      </c>
      <c r="BP568" s="129">
        <v>675291</v>
      </c>
      <c r="BQ568" s="129">
        <v>882538</v>
      </c>
      <c r="BR568" s="129">
        <v>996202</v>
      </c>
      <c r="BS568" s="129">
        <v>1339028</v>
      </c>
      <c r="BT568" s="129">
        <v>985786</v>
      </c>
      <c r="BU568" s="129">
        <v>787319</v>
      </c>
      <c r="BV568" s="129">
        <v>769190</v>
      </c>
      <c r="BW568" s="129">
        <v>1109934</v>
      </c>
      <c r="BX568" s="129">
        <v>726456</v>
      </c>
      <c r="BY568" s="129">
        <v>998890</v>
      </c>
      <c r="BZ568" s="129">
        <v>997179</v>
      </c>
      <c r="CA568" s="129">
        <v>1089605</v>
      </c>
      <c r="CB568" s="129">
        <v>1029330</v>
      </c>
      <c r="CC568" s="129">
        <v>1089190</v>
      </c>
      <c r="CD568" s="129">
        <v>1253021</v>
      </c>
      <c r="CE568" s="129">
        <v>1216745</v>
      </c>
      <c r="CF568" s="129">
        <v>974138</v>
      </c>
      <c r="CG568" s="129">
        <v>1854171</v>
      </c>
      <c r="CH568" s="129">
        <v>1360623.67</v>
      </c>
      <c r="CI568" s="129">
        <v>1673444</v>
      </c>
      <c r="CJ568" s="129">
        <v>1900988</v>
      </c>
      <c r="CK568" s="129">
        <v>2019438</v>
      </c>
      <c r="CL568" s="129">
        <v>2144095</v>
      </c>
      <c r="CM568" s="129">
        <v>1884239</v>
      </c>
      <c r="CN568" s="129">
        <v>2064400.7599999998</v>
      </c>
      <c r="CO568" s="129">
        <v>2353762.9300000002</v>
      </c>
      <c r="CP568" s="129">
        <v>2610351.46</v>
      </c>
      <c r="CQ568" s="129">
        <v>2508414.5</v>
      </c>
      <c r="CR568" s="129">
        <v>2730754.79</v>
      </c>
      <c r="CS568" s="129">
        <v>2471386</v>
      </c>
      <c r="CT568" s="129">
        <f>AVERAGE(CH568:CS568)*(1+CT587)</f>
        <v>2357840.6600833335</v>
      </c>
      <c r="CU568" s="129">
        <f t="shared" ref="CU568:DI568" si="2232">CT568*(1+CU587)</f>
        <v>2357840.6600833335</v>
      </c>
      <c r="CV568" s="129">
        <f t="shared" si="2232"/>
        <v>2357840.6600833335</v>
      </c>
      <c r="CW568" s="129">
        <f t="shared" si="2232"/>
        <v>2357840.6600833335</v>
      </c>
      <c r="CX568" s="129">
        <f t="shared" si="2232"/>
        <v>2357840.6600833335</v>
      </c>
      <c r="CY568" s="129">
        <f t="shared" si="2232"/>
        <v>2357840.6600833335</v>
      </c>
      <c r="CZ568" s="129">
        <f t="shared" si="2232"/>
        <v>2357840.6600833335</v>
      </c>
      <c r="DA568" s="129">
        <f t="shared" si="2232"/>
        <v>2357840.6600833335</v>
      </c>
      <c r="DB568" s="129">
        <f t="shared" si="2232"/>
        <v>2357840.6600833335</v>
      </c>
      <c r="DC568" s="129">
        <f t="shared" si="2232"/>
        <v>2357840.6600833335</v>
      </c>
      <c r="DD568" s="129">
        <f t="shared" si="2232"/>
        <v>2357840.6600833335</v>
      </c>
      <c r="DE568" s="129">
        <f t="shared" si="2232"/>
        <v>2357840.6600833335</v>
      </c>
      <c r="DF568" s="129">
        <f t="shared" si="2232"/>
        <v>2475732.6930875001</v>
      </c>
      <c r="DG568" s="129">
        <f t="shared" si="2232"/>
        <v>2475732.6930875001</v>
      </c>
      <c r="DH568" s="129">
        <f t="shared" si="2232"/>
        <v>2475732.6930875001</v>
      </c>
      <c r="DI568" s="129">
        <f t="shared" si="2232"/>
        <v>2475732.6930875001</v>
      </c>
      <c r="DJ568" s="129">
        <f t="shared" si="2219"/>
        <v>2475732.6930875001</v>
      </c>
      <c r="DK568" s="129">
        <f t="shared" si="2219"/>
        <v>2475732.6930875001</v>
      </c>
      <c r="DL568" s="129">
        <f t="shared" si="2219"/>
        <v>2475732.6930875001</v>
      </c>
      <c r="DM568" s="129">
        <f t="shared" si="2219"/>
        <v>2475732.6930875001</v>
      </c>
      <c r="DN568" s="129">
        <f t="shared" si="2219"/>
        <v>2475732.6930875001</v>
      </c>
      <c r="DO568" s="129">
        <f t="shared" si="2219"/>
        <v>2475732.6930875001</v>
      </c>
      <c r="DP568" s="129">
        <f t="shared" si="2219"/>
        <v>2475732.6930875001</v>
      </c>
      <c r="DQ568" s="129">
        <f t="shared" si="2219"/>
        <v>2475732.6930875001</v>
      </c>
      <c r="DR568" s="129">
        <f t="shared" si="2220"/>
        <v>2599519.3277418753</v>
      </c>
      <c r="DS568" s="129">
        <f t="shared" si="2221"/>
        <v>2599519.3277418753</v>
      </c>
      <c r="DT568" s="129">
        <f t="shared" si="2222"/>
        <v>2599519.3277418753</v>
      </c>
      <c r="DU568" s="129">
        <f t="shared" si="2223"/>
        <v>2599519.3277418753</v>
      </c>
      <c r="DV568" s="129">
        <f t="shared" si="2224"/>
        <v>2599519.3277418753</v>
      </c>
      <c r="DW568" s="129">
        <f t="shared" si="2225"/>
        <v>2599519.3277418753</v>
      </c>
      <c r="DX568" s="129">
        <f t="shared" si="2226"/>
        <v>2599519.3277418753</v>
      </c>
      <c r="DY568" s="129">
        <f t="shared" si="2227"/>
        <v>2599519.3277418753</v>
      </c>
      <c r="DZ568" s="129">
        <f t="shared" si="2228"/>
        <v>2599519.3277418753</v>
      </c>
      <c r="EA568" s="129">
        <f t="shared" si="2229"/>
        <v>2599519.3277418753</v>
      </c>
      <c r="EB568" s="129">
        <f t="shared" si="2230"/>
        <v>2599519.3277418753</v>
      </c>
      <c r="EC568" s="129">
        <f t="shared" si="2231"/>
        <v>2599519.3277418753</v>
      </c>
      <c r="ED568" s="113" t="s">
        <v>1</v>
      </c>
    </row>
    <row r="569" spans="1:134" x14ac:dyDescent="0.2">
      <c r="A569" s="114" t="s">
        <v>52</v>
      </c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29">
        <v>0</v>
      </c>
      <c r="AC569" s="129">
        <v>8997</v>
      </c>
      <c r="AD569" s="129">
        <v>145471</v>
      </c>
      <c r="AE569" s="129">
        <v>158676</v>
      </c>
      <c r="AF569" s="129">
        <v>85231</v>
      </c>
      <c r="AG569" s="129">
        <v>85326.5</v>
      </c>
      <c r="AH569" s="129">
        <v>94228</v>
      </c>
      <c r="AI569" s="129">
        <v>162261</v>
      </c>
      <c r="AJ569" s="129">
        <v>231290.46</v>
      </c>
      <c r="AK569" s="129">
        <v>558256.74</v>
      </c>
      <c r="AL569" s="129">
        <v>248876</v>
      </c>
      <c r="AM569" s="129">
        <v>65290</v>
      </c>
      <c r="AN569" s="129">
        <v>235856</v>
      </c>
      <c r="AO569" s="129">
        <v>273104</v>
      </c>
      <c r="AP569" s="129">
        <v>688468</v>
      </c>
      <c r="AQ569" s="129">
        <v>377611</v>
      </c>
      <c r="AR569" s="129">
        <v>260044</v>
      </c>
      <c r="AS569" s="129">
        <v>246424</v>
      </c>
      <c r="AT569" s="129">
        <v>568152</v>
      </c>
      <c r="AU569" s="129">
        <v>395217</v>
      </c>
      <c r="AV569" s="129">
        <v>337431.33999999997</v>
      </c>
      <c r="AW569" s="129">
        <v>323184.14</v>
      </c>
      <c r="AX569" s="129">
        <v>188039</v>
      </c>
      <c r="AY569" s="129">
        <v>608944</v>
      </c>
      <c r="AZ569" s="129">
        <v>832256</v>
      </c>
      <c r="BA569" s="129">
        <v>774339</v>
      </c>
      <c r="BB569" s="129">
        <v>1337312</v>
      </c>
      <c r="BC569" s="129">
        <v>1503731</v>
      </c>
      <c r="BD569" s="129">
        <v>1277442</v>
      </c>
      <c r="BE569" s="129">
        <v>1817828</v>
      </c>
      <c r="BF569" s="129">
        <v>2315214.6800000002</v>
      </c>
      <c r="BG569" s="129">
        <v>1916421.6</v>
      </c>
      <c r="BH569" s="129">
        <v>1216663</v>
      </c>
      <c r="BI569" s="129">
        <v>1523180</v>
      </c>
      <c r="BJ569" s="129">
        <v>1178625</v>
      </c>
      <c r="BK569" s="129">
        <v>1275839.29</v>
      </c>
      <c r="BL569" s="129">
        <v>3134506</v>
      </c>
      <c r="BM569" s="129">
        <v>1512702</v>
      </c>
      <c r="BN569" s="129">
        <v>2736008</v>
      </c>
      <c r="BO569" s="129">
        <v>1789420</v>
      </c>
      <c r="BP569" s="129">
        <v>1502546</v>
      </c>
      <c r="BQ569" s="129">
        <v>1956525</v>
      </c>
      <c r="BR569" s="129">
        <v>1861322</v>
      </c>
      <c r="BS569" s="129">
        <v>1582876</v>
      </c>
      <c r="BT569" s="129">
        <v>1351836</v>
      </c>
      <c r="BU569" s="129">
        <v>1362944.89</v>
      </c>
      <c r="BV569" s="129">
        <v>1152612.8900000001</v>
      </c>
      <c r="BW569" s="129">
        <v>997511.5</v>
      </c>
      <c r="BX569" s="129">
        <v>1623771</v>
      </c>
      <c r="BY569" s="129">
        <v>1059759.5</v>
      </c>
      <c r="BZ569" s="129">
        <v>1662411.5</v>
      </c>
      <c r="CA569" s="129">
        <v>1656422</v>
      </c>
      <c r="CB569" s="129">
        <v>1456710.5</v>
      </c>
      <c r="CC569" s="129">
        <v>1687647</v>
      </c>
      <c r="CD569" s="129">
        <v>1548608</v>
      </c>
      <c r="CE569" s="129">
        <v>2312835.5</v>
      </c>
      <c r="CF569" s="129">
        <v>2771754.5</v>
      </c>
      <c r="CG569" s="129">
        <v>3330820.5</v>
      </c>
      <c r="CH569" s="129">
        <v>3511845</v>
      </c>
      <c r="CI569" s="129">
        <v>2050273.5</v>
      </c>
      <c r="CJ569" s="129">
        <v>2491229.7799999998</v>
      </c>
      <c r="CK569" s="129">
        <v>2479104</v>
      </c>
      <c r="CL569" s="129">
        <v>2050164.1799999997</v>
      </c>
      <c r="CM569" s="129">
        <v>2968150.4</v>
      </c>
      <c r="CN569" s="129">
        <v>4281379.5</v>
      </c>
      <c r="CO569" s="129">
        <v>3398784.5</v>
      </c>
      <c r="CP569" s="129">
        <v>3985957.5</v>
      </c>
      <c r="CQ569" s="129">
        <v>3816119.36</v>
      </c>
      <c r="CR569" s="129">
        <v>2107596.5</v>
      </c>
      <c r="CS569" s="129">
        <v>2852282</v>
      </c>
      <c r="CT569" s="129">
        <f>AVERAGE(CH569:CS569)*(1+CT588)</f>
        <v>3149377.5442500003</v>
      </c>
      <c r="CU569" s="129">
        <f t="shared" si="2219"/>
        <v>3149377.5442500003</v>
      </c>
      <c r="CV569" s="129">
        <f t="shared" si="2219"/>
        <v>3149377.5442500003</v>
      </c>
      <c r="CW569" s="129">
        <f t="shared" si="2219"/>
        <v>3149377.5442500003</v>
      </c>
      <c r="CX569" s="129">
        <f t="shared" si="2219"/>
        <v>3149377.5442500003</v>
      </c>
      <c r="CY569" s="129">
        <f t="shared" si="2219"/>
        <v>3149377.5442500003</v>
      </c>
      <c r="CZ569" s="129">
        <f t="shared" si="2219"/>
        <v>3149377.5442500003</v>
      </c>
      <c r="DA569" s="129">
        <f t="shared" si="2219"/>
        <v>3149377.5442500003</v>
      </c>
      <c r="DB569" s="129">
        <f t="shared" si="2219"/>
        <v>3149377.5442500003</v>
      </c>
      <c r="DC569" s="129">
        <f t="shared" si="2219"/>
        <v>3149377.5442500003</v>
      </c>
      <c r="DD569" s="129">
        <f t="shared" si="2219"/>
        <v>3149377.5442500003</v>
      </c>
      <c r="DE569" s="129">
        <f t="shared" si="2219"/>
        <v>3149377.5442500003</v>
      </c>
      <c r="DF569" s="129">
        <f t="shared" si="2219"/>
        <v>3306846.4214625005</v>
      </c>
      <c r="DG569" s="129">
        <f t="shared" si="2219"/>
        <v>3306846.4214625005</v>
      </c>
      <c r="DH569" s="129">
        <f t="shared" si="2219"/>
        <v>3306846.4214625005</v>
      </c>
      <c r="DI569" s="129">
        <f t="shared" si="2219"/>
        <v>3306846.4214625005</v>
      </c>
      <c r="DJ569" s="129">
        <f t="shared" si="2219"/>
        <v>3306846.4214625005</v>
      </c>
      <c r="DK569" s="129">
        <f t="shared" si="2219"/>
        <v>3306846.4214625005</v>
      </c>
      <c r="DL569" s="129">
        <f t="shared" si="2219"/>
        <v>3306846.4214625005</v>
      </c>
      <c r="DM569" s="129">
        <f t="shared" si="2219"/>
        <v>3306846.4214625005</v>
      </c>
      <c r="DN569" s="129">
        <f t="shared" si="2219"/>
        <v>3306846.4214625005</v>
      </c>
      <c r="DO569" s="129">
        <f t="shared" si="2219"/>
        <v>3306846.4214625005</v>
      </c>
      <c r="DP569" s="129">
        <f t="shared" si="2219"/>
        <v>3306846.4214625005</v>
      </c>
      <c r="DQ569" s="129">
        <f t="shared" si="2219"/>
        <v>3306846.4214625005</v>
      </c>
      <c r="DR569" s="129">
        <f t="shared" si="2220"/>
        <v>3472188.7425356256</v>
      </c>
      <c r="DS569" s="129">
        <f t="shared" si="2221"/>
        <v>3472188.7425356256</v>
      </c>
      <c r="DT569" s="129">
        <f t="shared" si="2222"/>
        <v>3472188.7425356256</v>
      </c>
      <c r="DU569" s="129">
        <f t="shared" si="2223"/>
        <v>3472188.7425356256</v>
      </c>
      <c r="DV569" s="129">
        <f t="shared" si="2224"/>
        <v>3472188.7425356256</v>
      </c>
      <c r="DW569" s="129">
        <f t="shared" si="2225"/>
        <v>3472188.7425356256</v>
      </c>
      <c r="DX569" s="129">
        <f t="shared" si="2226"/>
        <v>3472188.7425356256</v>
      </c>
      <c r="DY569" s="129">
        <f t="shared" si="2227"/>
        <v>3472188.7425356256</v>
      </c>
      <c r="DZ569" s="129">
        <f t="shared" si="2228"/>
        <v>3472188.7425356256</v>
      </c>
      <c r="EA569" s="129">
        <f t="shared" si="2229"/>
        <v>3472188.7425356256</v>
      </c>
      <c r="EB569" s="129">
        <f t="shared" si="2230"/>
        <v>3472188.7425356256</v>
      </c>
      <c r="EC569" s="129">
        <f t="shared" si="2231"/>
        <v>3472188.7425356256</v>
      </c>
      <c r="ED569" s="113" t="s">
        <v>1</v>
      </c>
    </row>
    <row r="570" spans="1:134" x14ac:dyDescent="0.2">
      <c r="A570" s="117" t="s">
        <v>53</v>
      </c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33">
        <f>AB560/AB461</f>
        <v>0.28501765174217114</v>
      </c>
      <c r="AC570" s="133">
        <f t="shared" ref="AC570:CN570" si="2233">AC560/AC461</f>
        <v>0.27799454359255288</v>
      </c>
      <c r="AD570" s="133">
        <f t="shared" si="2233"/>
        <v>0.27760426759076856</v>
      </c>
      <c r="AE570" s="133">
        <f t="shared" si="2233"/>
        <v>0.25398377395305793</v>
      </c>
      <c r="AF570" s="133">
        <f t="shared" si="2233"/>
        <v>0.28529373000884273</v>
      </c>
      <c r="AG570" s="133">
        <f t="shared" si="2233"/>
        <v>0.19718199901760225</v>
      </c>
      <c r="AH570" s="133">
        <f t="shared" si="2233"/>
        <v>9.4668010778478043E-2</v>
      </c>
      <c r="AI570" s="133">
        <f t="shared" si="2233"/>
        <v>0.12189802123379194</v>
      </c>
      <c r="AJ570" s="133">
        <f t="shared" si="2233"/>
        <v>0.12370407051325695</v>
      </c>
      <c r="AK570" s="133">
        <f t="shared" si="2233"/>
        <v>0.15260488567323344</v>
      </c>
      <c r="AL570" s="133">
        <f t="shared" si="2233"/>
        <v>0.26593934454622931</v>
      </c>
      <c r="AM570" s="133">
        <f t="shared" si="2233"/>
        <v>8.8285761352354033</v>
      </c>
      <c r="AN570" s="133">
        <f t="shared" si="2233"/>
        <v>0.28697287794290888</v>
      </c>
      <c r="AO570" s="133">
        <f t="shared" si="2233"/>
        <v>0.26988314306161548</v>
      </c>
      <c r="AP570" s="133">
        <f t="shared" si="2233"/>
        <v>0.24836437301624947</v>
      </c>
      <c r="AQ570" s="133">
        <f t="shared" si="2233"/>
        <v>0.20492371698735271</v>
      </c>
      <c r="AR570" s="133">
        <f t="shared" si="2233"/>
        <v>0.20723025909073756</v>
      </c>
      <c r="AS570" s="133">
        <f t="shared" si="2233"/>
        <v>0.15427992144860148</v>
      </c>
      <c r="AT570" s="133">
        <f t="shared" si="2233"/>
        <v>0.14855461824111671</v>
      </c>
      <c r="AU570" s="133">
        <f t="shared" si="2233"/>
        <v>0.15508578606005916</v>
      </c>
      <c r="AV570" s="133">
        <f t="shared" si="2233"/>
        <v>0.1458832134876355</v>
      </c>
      <c r="AW570" s="133">
        <f t="shared" si="2233"/>
        <v>0.1551152001465633</v>
      </c>
      <c r="AX570" s="133">
        <f t="shared" si="2233"/>
        <v>0.18997678534439175</v>
      </c>
      <c r="AY570" s="133">
        <f t="shared" si="2233"/>
        <v>0.16867326381035058</v>
      </c>
      <c r="AZ570" s="133">
        <f t="shared" si="2233"/>
        <v>0.15474815811175527</v>
      </c>
      <c r="BA570" s="133">
        <f t="shared" si="2233"/>
        <v>0.16018078546285752</v>
      </c>
      <c r="BB570" s="133">
        <f t="shared" si="2233"/>
        <v>0.16575565236658144</v>
      </c>
      <c r="BC570" s="133">
        <f t="shared" si="2233"/>
        <v>0.19006049365513855</v>
      </c>
      <c r="BD570" s="133">
        <f t="shared" si="2233"/>
        <v>0.17591271766454297</v>
      </c>
      <c r="BE570" s="133">
        <f t="shared" si="2233"/>
        <v>0.18264520920739544</v>
      </c>
      <c r="BF570" s="133">
        <f t="shared" si="2233"/>
        <v>0.1598561784766982</v>
      </c>
      <c r="BG570" s="133">
        <f t="shared" si="2233"/>
        <v>0.15559280024037203</v>
      </c>
      <c r="BH570" s="133">
        <f t="shared" si="2233"/>
        <v>0.15359582767969251</v>
      </c>
      <c r="BI570" s="133">
        <f t="shared" si="2233"/>
        <v>0.12653025805232965</v>
      </c>
      <c r="BJ570" s="133">
        <f t="shared" si="2233"/>
        <v>0.10502093392986073</v>
      </c>
      <c r="BK570" s="133">
        <f t="shared" si="2233"/>
        <v>9.9874161435326111E-2</v>
      </c>
      <c r="BL570" s="133">
        <f t="shared" si="2233"/>
        <v>0.10833015050354282</v>
      </c>
      <c r="BM570" s="133">
        <f t="shared" si="2233"/>
        <v>0.11613634742807724</v>
      </c>
      <c r="BN570" s="133">
        <f t="shared" si="2233"/>
        <v>0.11631096766761843</v>
      </c>
      <c r="BO570" s="133">
        <f t="shared" si="2233"/>
        <v>0.11987260981058571</v>
      </c>
      <c r="BP570" s="133">
        <f t="shared" si="2233"/>
        <v>8.7698374571824597E-2</v>
      </c>
      <c r="BQ570" s="133">
        <f t="shared" si="2233"/>
        <v>0.10040731292607602</v>
      </c>
      <c r="BR570" s="133">
        <f t="shared" si="2233"/>
        <v>0.1158565901599909</v>
      </c>
      <c r="BS570" s="133">
        <f t="shared" si="2233"/>
        <v>0.12405846341991042</v>
      </c>
      <c r="BT570" s="133">
        <f t="shared" si="2233"/>
        <v>0.12240649401714118</v>
      </c>
      <c r="BU570" s="133">
        <f t="shared" si="2233"/>
        <v>0.10463885251131971</v>
      </c>
      <c r="BV570" s="133">
        <f t="shared" si="2233"/>
        <v>0.10309427284805707</v>
      </c>
      <c r="BW570" s="133">
        <f t="shared" si="2233"/>
        <v>0.10752343913611251</v>
      </c>
      <c r="BX570" s="133">
        <f t="shared" si="2233"/>
        <v>9.9516811266651808E-2</v>
      </c>
      <c r="BY570" s="133">
        <f t="shared" si="2233"/>
        <v>0.10455083740439317</v>
      </c>
      <c r="BZ570" s="133">
        <f t="shared" si="2233"/>
        <v>0.12490730959185452</v>
      </c>
      <c r="CA570" s="133">
        <f t="shared" si="2233"/>
        <v>0.13996015697996045</v>
      </c>
      <c r="CB570" s="133">
        <f t="shared" si="2233"/>
        <v>0.10993212729458703</v>
      </c>
      <c r="CC570" s="133">
        <f t="shared" si="2233"/>
        <v>0.1110882464676852</v>
      </c>
      <c r="CD570" s="133">
        <f t="shared" si="2233"/>
        <v>9.9602697208701879E-2</v>
      </c>
      <c r="CE570" s="133">
        <f t="shared" si="2233"/>
        <v>9.7793349169641733E-2</v>
      </c>
      <c r="CF570" s="133">
        <f t="shared" si="2233"/>
        <v>0.10635003694000346</v>
      </c>
      <c r="CG570" s="133">
        <f t="shared" si="2233"/>
        <v>9.399798437467953E-2</v>
      </c>
      <c r="CH570" s="133">
        <f t="shared" si="2233"/>
        <v>0.10660409053145238</v>
      </c>
      <c r="CI570" s="133">
        <f t="shared" si="2233"/>
        <v>0.10782738925104479</v>
      </c>
      <c r="CJ570" s="133">
        <f t="shared" si="2233"/>
        <v>0.11132988490840637</v>
      </c>
      <c r="CK570" s="133">
        <f t="shared" si="2233"/>
        <v>0.10673865374514112</v>
      </c>
      <c r="CL570" s="133">
        <f t="shared" si="2233"/>
        <v>0.13168789404797823</v>
      </c>
      <c r="CM570" s="133">
        <f t="shared" si="2233"/>
        <v>0.14173931394188954</v>
      </c>
      <c r="CN570" s="133">
        <f t="shared" si="2233"/>
        <v>0.10483838837956413</v>
      </c>
      <c r="CO570" s="133">
        <f t="shared" ref="CO570:DQ570" si="2234">CO560/CO461</f>
        <v>0.11698244133495032</v>
      </c>
      <c r="CP570" s="133">
        <f t="shared" si="2234"/>
        <v>9.9573847788213751E-2</v>
      </c>
      <c r="CQ570" s="133">
        <f t="shared" si="2234"/>
        <v>0.10070227392126359</v>
      </c>
      <c r="CR570" s="133">
        <f t="shared" si="2234"/>
        <v>0.10108500368011612</v>
      </c>
      <c r="CS570" s="133">
        <f t="shared" si="2234"/>
        <v>8.4723657586494514E-2</v>
      </c>
      <c r="CT570" s="133">
        <f t="shared" si="2234"/>
        <v>0.1101652038523782</v>
      </c>
      <c r="CU570" s="133">
        <f t="shared" si="2234"/>
        <v>0.11249357940208758</v>
      </c>
      <c r="CV570" s="133">
        <f t="shared" si="2234"/>
        <v>0.11272855970434695</v>
      </c>
      <c r="CW570" s="133">
        <f t="shared" si="2234"/>
        <v>0.10410208663098804</v>
      </c>
      <c r="CX570" s="133">
        <f t="shared" si="2234"/>
        <v>0.1165170543224792</v>
      </c>
      <c r="CY570" s="133">
        <f t="shared" si="2234"/>
        <v>0.12547717395797689</v>
      </c>
      <c r="CZ570" s="133">
        <f t="shared" si="2234"/>
        <v>0.10056211928660633</v>
      </c>
      <c r="DA570" s="133">
        <f t="shared" si="2234"/>
        <v>0.1091959825011391</v>
      </c>
      <c r="DB570" s="133">
        <f t="shared" si="2234"/>
        <v>9.1790438183576448E-2</v>
      </c>
      <c r="DC570" s="133">
        <f t="shared" si="2234"/>
        <v>8.9589846646365989E-2</v>
      </c>
      <c r="DD570" s="133">
        <f t="shared" si="2234"/>
        <v>9.6343771697003255E-2</v>
      </c>
      <c r="DE570" s="133">
        <f t="shared" si="2234"/>
        <v>8.2822055640840261E-2</v>
      </c>
      <c r="DF570" s="133">
        <f t="shared" si="2234"/>
        <v>9.970878787898442E-2</v>
      </c>
      <c r="DG570" s="133">
        <f t="shared" si="2234"/>
        <v>0.10156182589934805</v>
      </c>
      <c r="DH570" s="133">
        <f t="shared" si="2234"/>
        <v>0.10230606983951221</v>
      </c>
      <c r="DI570" s="133">
        <f t="shared" si="2234"/>
        <v>9.452565960719353E-2</v>
      </c>
      <c r="DJ570" s="133">
        <f t="shared" si="2234"/>
        <v>0.10602987723942713</v>
      </c>
      <c r="DK570" s="133">
        <f t="shared" si="2234"/>
        <v>0.11446330032593766</v>
      </c>
      <c r="DL570" s="133">
        <f t="shared" si="2234"/>
        <v>9.2009154171644875E-2</v>
      </c>
      <c r="DM570" s="133">
        <f t="shared" si="2234"/>
        <v>0.10044288796711551</v>
      </c>
      <c r="DN570" s="133">
        <f t="shared" si="2234"/>
        <v>8.4709989374286171E-2</v>
      </c>
      <c r="DO570" s="133">
        <f t="shared" si="2234"/>
        <v>8.302178908963391E-2</v>
      </c>
      <c r="DP570" s="133">
        <f t="shared" si="2234"/>
        <v>8.9728722398995792E-2</v>
      </c>
      <c r="DQ570" s="133">
        <f t="shared" si="2234"/>
        <v>7.7977503711496921E-2</v>
      </c>
      <c r="DR570" s="133">
        <f t="shared" ref="DR570:EC570" si="2235">DR560/DR461</f>
        <v>9.6976788542705611E-2</v>
      </c>
      <c r="DS570" s="133">
        <f t="shared" si="2235"/>
        <v>9.8877897455505959E-2</v>
      </c>
      <c r="DT570" s="133">
        <f t="shared" si="2235"/>
        <v>9.9666228754296274E-2</v>
      </c>
      <c r="DU570" s="133">
        <f t="shared" si="2235"/>
        <v>9.2117055881018498E-2</v>
      </c>
      <c r="DV570" s="133">
        <f t="shared" si="2235"/>
        <v>0.10346273280611719</v>
      </c>
      <c r="DW570" s="133">
        <f t="shared" si="2235"/>
        <v>0.11185654144191808</v>
      </c>
      <c r="DX570" s="133">
        <f t="shared" si="2235"/>
        <v>8.9866253903492371E-2</v>
      </c>
      <c r="DY570" s="133">
        <f t="shared" si="2235"/>
        <v>9.8189310943776656E-2</v>
      </c>
      <c r="DZ570" s="133">
        <f t="shared" si="2235"/>
        <v>8.278479890202152E-2</v>
      </c>
      <c r="EA570" s="133">
        <f t="shared" si="2235"/>
        <v>8.1152395294791943E-2</v>
      </c>
      <c r="EB570" s="133">
        <f t="shared" si="2235"/>
        <v>8.7778258393272066E-2</v>
      </c>
      <c r="EC570" s="133">
        <f t="shared" si="2235"/>
        <v>7.6269882635094308E-2</v>
      </c>
      <c r="ED570" s="113" t="s">
        <v>1</v>
      </c>
    </row>
    <row r="571" spans="1:134" x14ac:dyDescent="0.2">
      <c r="A571" s="117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33"/>
      <c r="AC571" s="133"/>
      <c r="AD571" s="133"/>
      <c r="AE571" s="133"/>
      <c r="AF571" s="133"/>
      <c r="AG571" s="133"/>
      <c r="AH571" s="133"/>
      <c r="AI571" s="133"/>
      <c r="AJ571" s="133"/>
      <c r="AK571" s="133"/>
      <c r="AL571" s="133"/>
      <c r="AM571" s="133"/>
      <c r="AN571" s="133"/>
      <c r="AO571" s="133"/>
      <c r="AP571" s="133"/>
      <c r="AQ571" s="133"/>
      <c r="AR571" s="133"/>
      <c r="AS571" s="133"/>
      <c r="AT571" s="133"/>
      <c r="AU571" s="133"/>
      <c r="AV571" s="133"/>
      <c r="AW571" s="133"/>
      <c r="AX571" s="133"/>
      <c r="AY571" s="133"/>
      <c r="AZ571" s="133"/>
      <c r="BA571" s="133"/>
      <c r="BB571" s="133"/>
      <c r="BC571" s="133"/>
      <c r="BD571" s="133"/>
      <c r="BE571" s="133"/>
      <c r="BF571" s="133"/>
      <c r="BG571" s="133"/>
      <c r="BH571" s="133"/>
      <c r="BI571" s="133"/>
      <c r="BJ571" s="133"/>
      <c r="BK571" s="133"/>
      <c r="BL571" s="133"/>
      <c r="BM571" s="133"/>
      <c r="BN571" s="133"/>
      <c r="BO571" s="133"/>
      <c r="BP571" s="133"/>
      <c r="BQ571" s="133"/>
      <c r="BR571" s="133"/>
      <c r="BS571" s="133"/>
      <c r="BT571" s="133"/>
      <c r="BU571" s="133"/>
      <c r="BV571" s="133"/>
      <c r="BW571" s="133"/>
      <c r="BX571" s="133"/>
      <c r="BY571" s="133"/>
      <c r="BZ571" s="133"/>
      <c r="CA571" s="133"/>
      <c r="CB571" s="133"/>
      <c r="CC571" s="133"/>
      <c r="CD571" s="133"/>
      <c r="CE571" s="133"/>
      <c r="CF571" s="133"/>
      <c r="CG571" s="133"/>
      <c r="CH571" s="133"/>
      <c r="CI571" s="133"/>
      <c r="CJ571" s="133"/>
      <c r="CK571" s="133"/>
      <c r="CL571" s="133"/>
      <c r="CM571" s="133"/>
      <c r="CN571" s="133"/>
      <c r="CO571" s="133"/>
      <c r="CP571" s="133"/>
      <c r="CQ571" s="133"/>
      <c r="CR571" s="133"/>
      <c r="CS571" s="133"/>
      <c r="CT571" s="115"/>
      <c r="CU571" s="115"/>
      <c r="CV571" s="115"/>
      <c r="CW571" s="115"/>
      <c r="CX571" s="115"/>
      <c r="CY571" s="115"/>
      <c r="CZ571" s="115"/>
      <c r="DA571" s="115"/>
      <c r="DB571" s="115"/>
      <c r="DC571" s="115"/>
      <c r="DD571" s="115"/>
      <c r="DE571" s="115"/>
      <c r="DF571" s="115"/>
      <c r="DG571" s="115"/>
      <c r="DH571" s="115"/>
      <c r="DI571" s="115"/>
      <c r="DJ571" s="115"/>
      <c r="DK571" s="115"/>
      <c r="DL571" s="115"/>
      <c r="DM571" s="115"/>
      <c r="DN571" s="115"/>
      <c r="DO571" s="115"/>
      <c r="DP571" s="115"/>
      <c r="DQ571" s="115"/>
      <c r="DR571" s="115"/>
      <c r="DS571" s="115"/>
      <c r="DT571" s="115"/>
      <c r="DU571" s="115"/>
      <c r="DV571" s="115"/>
      <c r="DW571" s="115"/>
      <c r="DX571" s="115"/>
      <c r="DY571" s="115"/>
      <c r="DZ571" s="115"/>
      <c r="EA571" s="115"/>
      <c r="EB571" s="115"/>
      <c r="EC571" s="115"/>
      <c r="ED571" s="113" t="s">
        <v>1</v>
      </c>
    </row>
    <row r="572" spans="1:134" x14ac:dyDescent="0.2">
      <c r="A572" s="117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133"/>
      <c r="AL572" s="133"/>
      <c r="AM572" s="133"/>
      <c r="AN572" s="133"/>
      <c r="AO572" s="133"/>
      <c r="AP572" s="133"/>
      <c r="AQ572" s="133"/>
      <c r="AR572" s="133"/>
      <c r="AS572" s="133"/>
      <c r="AT572" s="133"/>
      <c r="AU572" s="133"/>
      <c r="AV572" s="133"/>
      <c r="AW572" s="133"/>
      <c r="AX572" s="133"/>
      <c r="AY572" s="133"/>
      <c r="AZ572" s="133"/>
      <c r="BA572" s="133"/>
      <c r="BB572" s="133"/>
      <c r="BC572" s="133"/>
      <c r="BD572" s="133"/>
      <c r="BE572" s="133"/>
      <c r="BF572" s="133"/>
      <c r="BG572" s="133"/>
      <c r="BH572" s="133"/>
      <c r="BI572" s="133"/>
      <c r="BJ572" s="133"/>
      <c r="BK572" s="133"/>
      <c r="BL572" s="133"/>
      <c r="BM572" s="133"/>
      <c r="BN572" s="133"/>
      <c r="BO572" s="133"/>
      <c r="BP572" s="133"/>
      <c r="BQ572" s="133"/>
      <c r="BR572" s="133"/>
      <c r="BS572" s="133"/>
      <c r="BT572" s="133"/>
      <c r="BU572" s="133"/>
      <c r="BV572" s="133"/>
      <c r="BW572" s="133"/>
      <c r="BX572" s="133"/>
      <c r="BY572" s="133"/>
      <c r="BZ572" s="133"/>
      <c r="CA572" s="133"/>
      <c r="CB572" s="133"/>
      <c r="CC572" s="133"/>
      <c r="CD572" s="133"/>
      <c r="CE572" s="133"/>
      <c r="CF572" s="133"/>
      <c r="CG572" s="133"/>
      <c r="CH572" s="133"/>
      <c r="CI572" s="133"/>
      <c r="CJ572" s="133"/>
      <c r="CK572" s="133"/>
      <c r="CL572" s="133"/>
      <c r="CM572" s="133"/>
      <c r="CN572" s="133"/>
      <c r="CO572" s="133"/>
      <c r="CP572" s="133"/>
      <c r="CQ572" s="133"/>
      <c r="CR572" s="133"/>
      <c r="CS572" s="133"/>
      <c r="CT572" s="115"/>
      <c r="CU572" s="115"/>
      <c r="CV572" s="115"/>
      <c r="CW572" s="115"/>
      <c r="CX572" s="115"/>
      <c r="CY572" s="115"/>
      <c r="CZ572" s="115"/>
      <c r="DA572" s="115"/>
      <c r="DB572" s="115"/>
      <c r="DC572" s="115"/>
      <c r="DD572" s="115"/>
      <c r="DE572" s="115"/>
      <c r="DF572" s="115"/>
      <c r="DG572" s="115"/>
      <c r="DH572" s="115"/>
      <c r="DI572" s="115"/>
      <c r="DJ572" s="115"/>
      <c r="DK572" s="115"/>
      <c r="DL572" s="115"/>
      <c r="DM572" s="115"/>
      <c r="DN572" s="115"/>
      <c r="DO572" s="115"/>
      <c r="DP572" s="115"/>
      <c r="DQ572" s="115"/>
      <c r="DR572" s="115"/>
      <c r="DS572" s="115"/>
      <c r="DT572" s="115"/>
      <c r="DU572" s="115"/>
      <c r="DV572" s="115"/>
      <c r="DW572" s="115"/>
      <c r="DX572" s="115"/>
      <c r="DY572" s="115"/>
      <c r="DZ572" s="115"/>
      <c r="EA572" s="115"/>
      <c r="EB572" s="115"/>
      <c r="EC572" s="115"/>
      <c r="ED572" s="113" t="s">
        <v>1</v>
      </c>
    </row>
    <row r="573" spans="1:134" x14ac:dyDescent="0.2">
      <c r="A573" s="116" t="s">
        <v>268</v>
      </c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33"/>
      <c r="AC573" s="133"/>
      <c r="AD573" s="133"/>
      <c r="AE573" s="133"/>
      <c r="AF573" s="133"/>
      <c r="AG573" s="133"/>
      <c r="AH573" s="133"/>
      <c r="AI573" s="133"/>
      <c r="AJ573" s="133"/>
      <c r="AK573" s="133"/>
      <c r="AL573" s="133"/>
      <c r="AM573" s="133"/>
      <c r="AN573" s="133"/>
      <c r="AO573" s="133"/>
      <c r="AP573" s="133"/>
      <c r="AQ573" s="133"/>
      <c r="AR573" s="133"/>
      <c r="AS573" s="133"/>
      <c r="AT573" s="133"/>
      <c r="AU573" s="133"/>
      <c r="AV573" s="133"/>
      <c r="AW573" s="133"/>
      <c r="AX573" s="133"/>
      <c r="AY573" s="133"/>
      <c r="AZ573" s="133"/>
      <c r="BA573" s="133"/>
      <c r="BB573" s="133"/>
      <c r="BC573" s="133"/>
      <c r="BD573" s="133"/>
      <c r="BE573" s="133"/>
      <c r="BF573" s="133"/>
      <c r="BG573" s="133"/>
      <c r="BH573" s="133"/>
      <c r="BI573" s="133"/>
      <c r="BJ573" s="133"/>
      <c r="BK573" s="133"/>
      <c r="BL573" s="133"/>
      <c r="BM573" s="133"/>
      <c r="BN573" s="133"/>
      <c r="BO573" s="133"/>
      <c r="BP573" s="133"/>
      <c r="BQ573" s="133"/>
      <c r="BR573" s="133"/>
      <c r="BS573" s="133"/>
      <c r="BT573" s="133"/>
      <c r="BU573" s="133"/>
      <c r="BV573" s="133"/>
      <c r="BW573" s="133"/>
      <c r="BX573" s="133"/>
      <c r="BY573" s="133"/>
      <c r="BZ573" s="133"/>
      <c r="CA573" s="133"/>
      <c r="CB573" s="133"/>
      <c r="CC573" s="133"/>
      <c r="CD573" s="133"/>
      <c r="CE573" s="133"/>
      <c r="CF573" s="133"/>
      <c r="CG573" s="133"/>
      <c r="CH573" s="133"/>
      <c r="CI573" s="133"/>
      <c r="CJ573" s="133"/>
      <c r="CK573" s="133"/>
      <c r="CL573" s="133"/>
      <c r="CM573" s="133"/>
      <c r="CN573" s="133"/>
      <c r="CO573" s="133"/>
      <c r="CP573" s="133"/>
      <c r="CQ573" s="133"/>
      <c r="CR573" s="133"/>
      <c r="CS573" s="133"/>
      <c r="CT573" s="115"/>
      <c r="CU573" s="115"/>
      <c r="CV573" s="115"/>
      <c r="CW573" s="115"/>
      <c r="CX573" s="115"/>
      <c r="CY573" s="115"/>
      <c r="CZ573" s="115"/>
      <c r="DA573" s="115"/>
      <c r="DB573" s="115"/>
      <c r="DC573" s="115"/>
      <c r="DD573" s="115"/>
      <c r="DE573" s="115"/>
      <c r="DF573" s="115"/>
      <c r="DG573" s="115"/>
      <c r="DH573" s="115"/>
      <c r="DI573" s="115"/>
      <c r="DJ573" s="115"/>
      <c r="DK573" s="115"/>
      <c r="DL573" s="115"/>
      <c r="DM573" s="115"/>
      <c r="DN573" s="115"/>
      <c r="DO573" s="115"/>
      <c r="DP573" s="115"/>
      <c r="DQ573" s="115"/>
      <c r="DR573" s="115"/>
      <c r="DS573" s="115"/>
      <c r="DT573" s="115"/>
      <c r="DU573" s="115"/>
      <c r="DV573" s="115"/>
      <c r="DW573" s="115"/>
      <c r="DX573" s="115"/>
      <c r="DY573" s="115"/>
      <c r="DZ573" s="115"/>
      <c r="EA573" s="115"/>
      <c r="EB573" s="115"/>
      <c r="EC573" s="115"/>
      <c r="ED573" s="113" t="s">
        <v>1</v>
      </c>
    </row>
    <row r="574" spans="1:134" x14ac:dyDescent="0.2">
      <c r="A574" s="114" t="s">
        <v>269</v>
      </c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29">
        <f t="shared" ref="AB574" si="2236">AB562/AB563</f>
        <v>31397.547359062195</v>
      </c>
      <c r="AC574" s="129">
        <f t="shared" ref="AC574:CN574" si="2237">AC562/AC563</f>
        <v>22607.263734656088</v>
      </c>
      <c r="AD574" s="129">
        <f t="shared" si="2237"/>
        <v>25210.402003263334</v>
      </c>
      <c r="AE574" s="129">
        <f t="shared" si="2237"/>
        <v>27470.563498764124</v>
      </c>
      <c r="AF574" s="129">
        <f t="shared" si="2237"/>
        <v>29068.528543931032</v>
      </c>
      <c r="AG574" s="129">
        <f t="shared" si="2237"/>
        <v>28577.536063445412</v>
      </c>
      <c r="AH574" s="129">
        <f t="shared" si="2237"/>
        <v>30879.719942591582</v>
      </c>
      <c r="AI574" s="129">
        <f t="shared" si="2237"/>
        <v>47479.919472092348</v>
      </c>
      <c r="AJ574" s="129">
        <f t="shared" si="2237"/>
        <v>41312.321045437413</v>
      </c>
      <c r="AK574" s="129">
        <f t="shared" si="2237"/>
        <v>33345.327703576899</v>
      </c>
      <c r="AL574" s="129">
        <f t="shared" si="2237"/>
        <v>38461.797944662059</v>
      </c>
      <c r="AM574" s="129">
        <f t="shared" si="2237"/>
        <v>32681.789620144704</v>
      </c>
      <c r="AN574" s="129">
        <f t="shared" si="2237"/>
        <v>26315.421959278796</v>
      </c>
      <c r="AO574" s="129">
        <f t="shared" si="2237"/>
        <v>31063.207536148486</v>
      </c>
      <c r="AP574" s="129">
        <f t="shared" si="2237"/>
        <v>33019.964268652147</v>
      </c>
      <c r="AQ574" s="129">
        <f t="shared" si="2237"/>
        <v>29243.685410525773</v>
      </c>
      <c r="AR574" s="129">
        <f t="shared" si="2237"/>
        <v>32260.302288182706</v>
      </c>
      <c r="AS574" s="129">
        <f t="shared" si="2237"/>
        <v>33490.931225016851</v>
      </c>
      <c r="AT574" s="129">
        <f t="shared" si="2237"/>
        <v>34130.313396097576</v>
      </c>
      <c r="AU574" s="129">
        <f t="shared" si="2237"/>
        <v>34107.591848153315</v>
      </c>
      <c r="AV574" s="129">
        <f t="shared" si="2237"/>
        <v>33692.842679332847</v>
      </c>
      <c r="AW574" s="129">
        <f t="shared" si="2237"/>
        <v>36468.328851776911</v>
      </c>
      <c r="AX574" s="129">
        <f t="shared" si="2237"/>
        <v>33261.295078230571</v>
      </c>
      <c r="AY574" s="129">
        <f t="shared" si="2237"/>
        <v>34793.068038810125</v>
      </c>
      <c r="AZ574" s="129">
        <f t="shared" si="2237"/>
        <v>25587.827575731302</v>
      </c>
      <c r="BA574" s="129">
        <f t="shared" si="2237"/>
        <v>25863.636490210058</v>
      </c>
      <c r="BB574" s="129">
        <f t="shared" si="2237"/>
        <v>26966.870223607057</v>
      </c>
      <c r="BC574" s="129">
        <f t="shared" si="2237"/>
        <v>25852.625133403053</v>
      </c>
      <c r="BD574" s="129">
        <f t="shared" si="2237"/>
        <v>28086.229995526617</v>
      </c>
      <c r="BE574" s="129">
        <f t="shared" si="2237"/>
        <v>25194.080321891033</v>
      </c>
      <c r="BF574" s="129">
        <f t="shared" si="2237"/>
        <v>25052.701874181399</v>
      </c>
      <c r="BG574" s="129">
        <f t="shared" si="2237"/>
        <v>26319.69735078351</v>
      </c>
      <c r="BH574" s="129">
        <f t="shared" si="2237"/>
        <v>28729.072055890501</v>
      </c>
      <c r="BI574" s="129">
        <f t="shared" si="2237"/>
        <v>28095.522585290862</v>
      </c>
      <c r="BJ574" s="129">
        <f t="shared" si="2237"/>
        <v>27406.497116423248</v>
      </c>
      <c r="BK574" s="129">
        <f t="shared" si="2237"/>
        <v>26655.071011949844</v>
      </c>
      <c r="BL574" s="129">
        <f t="shared" si="2237"/>
        <v>26718.947135528841</v>
      </c>
      <c r="BM574" s="129">
        <f t="shared" si="2237"/>
        <v>26301.537301432618</v>
      </c>
      <c r="BN574" s="129">
        <f t="shared" si="2237"/>
        <v>25365.06178879083</v>
      </c>
      <c r="BO574" s="129">
        <f t="shared" si="2237"/>
        <v>26014.066849534614</v>
      </c>
      <c r="BP574" s="129">
        <f t="shared" si="2237"/>
        <v>29069.920608154251</v>
      </c>
      <c r="BQ574" s="129">
        <f t="shared" si="2237"/>
        <v>26321.227526920666</v>
      </c>
      <c r="BR574" s="129">
        <f t="shared" si="2237"/>
        <v>25548.012373719808</v>
      </c>
      <c r="BS574" s="129">
        <f t="shared" si="2237"/>
        <v>24134.413893260258</v>
      </c>
      <c r="BT574" s="129">
        <f t="shared" si="2237"/>
        <v>23783.900701554783</v>
      </c>
      <c r="BU574" s="129">
        <f t="shared" si="2237"/>
        <v>24299.74090896903</v>
      </c>
      <c r="BV574" s="129">
        <f t="shared" si="2237"/>
        <v>26761.93806084702</v>
      </c>
      <c r="BW574" s="129">
        <f t="shared" si="2237"/>
        <v>26782.684449504071</v>
      </c>
      <c r="BX574" s="129">
        <f t="shared" si="2237"/>
        <v>25997.35124416434</v>
      </c>
      <c r="BY574" s="129">
        <f t="shared" si="2237"/>
        <v>25377.606042853655</v>
      </c>
      <c r="BZ574" s="129">
        <f t="shared" si="2237"/>
        <v>26474.536049697479</v>
      </c>
      <c r="CA574" s="129">
        <f t="shared" si="2237"/>
        <v>24278.262328746649</v>
      </c>
      <c r="CB574" s="129">
        <f t="shared" si="2237"/>
        <v>28518.303735206973</v>
      </c>
      <c r="CC574" s="129">
        <f t="shared" si="2237"/>
        <v>30137.79006554517</v>
      </c>
      <c r="CD574" s="129">
        <f t="shared" si="2237"/>
        <v>30239.610003614864</v>
      </c>
      <c r="CE574" s="129">
        <f t="shared" si="2237"/>
        <v>29320.328604286529</v>
      </c>
      <c r="CF574" s="129">
        <f t="shared" si="2237"/>
        <v>30370.628580293655</v>
      </c>
      <c r="CG574" s="129">
        <f t="shared" si="2237"/>
        <v>33308.472713075025</v>
      </c>
      <c r="CH574" s="129">
        <f t="shared" si="2237"/>
        <v>33542.29781434295</v>
      </c>
      <c r="CI574" s="129">
        <f t="shared" si="2237"/>
        <v>32914.137103204688</v>
      </c>
      <c r="CJ574" s="129">
        <f t="shared" si="2237"/>
        <v>31028.577641207197</v>
      </c>
      <c r="CK574" s="129">
        <f t="shared" si="2237"/>
        <v>32666.868741825041</v>
      </c>
      <c r="CL574" s="129">
        <f t="shared" si="2237"/>
        <v>32790.63592042977</v>
      </c>
      <c r="CM574" s="129">
        <f t="shared" si="2237"/>
        <v>31628.36281989099</v>
      </c>
      <c r="CN574" s="129">
        <f t="shared" si="2237"/>
        <v>32082.851910366582</v>
      </c>
      <c r="CO574" s="129">
        <f t="shared" ref="CO574:CR574" si="2238">CO562/CO563</f>
        <v>33264.294515264708</v>
      </c>
      <c r="CP574" s="129">
        <f t="shared" si="2238"/>
        <v>31048.37205621184</v>
      </c>
      <c r="CQ574" s="129">
        <f t="shared" si="2238"/>
        <v>34467.005489403156</v>
      </c>
      <c r="CR574" s="129">
        <f t="shared" si="2238"/>
        <v>34149.470932568795</v>
      </c>
      <c r="CS574" s="129">
        <f>CS562/CS563</f>
        <v>30992.656474749609</v>
      </c>
      <c r="CT574" s="129">
        <f>CS574*(1+CT577)</f>
        <v>33472.068992729583</v>
      </c>
      <c r="CU574" s="129">
        <f t="shared" ref="CU574:DQ574" si="2239">CT574*(1+CU577)</f>
        <v>33472.068992729583</v>
      </c>
      <c r="CV574" s="129">
        <f t="shared" si="2239"/>
        <v>33472.068992729583</v>
      </c>
      <c r="CW574" s="129">
        <f t="shared" si="2239"/>
        <v>33472.068992729583</v>
      </c>
      <c r="CX574" s="129">
        <f t="shared" si="2239"/>
        <v>33472.068992729583</v>
      </c>
      <c r="CY574" s="129">
        <f t="shared" si="2239"/>
        <v>33472.068992729583</v>
      </c>
      <c r="CZ574" s="129">
        <f t="shared" si="2239"/>
        <v>33472.068992729583</v>
      </c>
      <c r="DA574" s="129">
        <f t="shared" si="2239"/>
        <v>33472.068992729583</v>
      </c>
      <c r="DB574" s="129">
        <f t="shared" si="2239"/>
        <v>33472.068992729583</v>
      </c>
      <c r="DC574" s="129">
        <f t="shared" si="2239"/>
        <v>33472.068992729583</v>
      </c>
      <c r="DD574" s="129">
        <f t="shared" si="2239"/>
        <v>33472.068992729583</v>
      </c>
      <c r="DE574" s="129">
        <f t="shared" si="2239"/>
        <v>33472.068992729583</v>
      </c>
      <c r="DF574" s="129">
        <f t="shared" si="2239"/>
        <v>36149.834512147951</v>
      </c>
      <c r="DG574" s="129">
        <f t="shared" si="2239"/>
        <v>36149.834512147951</v>
      </c>
      <c r="DH574" s="129">
        <f t="shared" si="2239"/>
        <v>36149.834512147951</v>
      </c>
      <c r="DI574" s="129">
        <f t="shared" si="2239"/>
        <v>36149.834512147951</v>
      </c>
      <c r="DJ574" s="129">
        <f t="shared" si="2239"/>
        <v>36149.834512147951</v>
      </c>
      <c r="DK574" s="129">
        <f t="shared" si="2239"/>
        <v>36149.834512147951</v>
      </c>
      <c r="DL574" s="129">
        <f t="shared" si="2239"/>
        <v>36149.834512147951</v>
      </c>
      <c r="DM574" s="129">
        <f t="shared" si="2239"/>
        <v>36149.834512147951</v>
      </c>
      <c r="DN574" s="129">
        <f t="shared" si="2239"/>
        <v>36149.834512147951</v>
      </c>
      <c r="DO574" s="129">
        <f t="shared" si="2239"/>
        <v>36149.834512147951</v>
      </c>
      <c r="DP574" s="129">
        <f t="shared" si="2239"/>
        <v>36149.834512147951</v>
      </c>
      <c r="DQ574" s="129">
        <f t="shared" si="2239"/>
        <v>36149.834512147951</v>
      </c>
      <c r="DR574" s="129">
        <f t="shared" ref="DR574" si="2240">DQ574*(1+DR577)</f>
        <v>39041.821273119793</v>
      </c>
      <c r="DS574" s="129">
        <f t="shared" ref="DS574" si="2241">DR574*(1+DS577)</f>
        <v>39041.821273119793</v>
      </c>
      <c r="DT574" s="129">
        <f t="shared" ref="DT574" si="2242">DS574*(1+DT577)</f>
        <v>39041.821273119793</v>
      </c>
      <c r="DU574" s="129">
        <f t="shared" ref="DU574" si="2243">DT574*(1+DU577)</f>
        <v>39041.821273119793</v>
      </c>
      <c r="DV574" s="129">
        <f t="shared" ref="DV574" si="2244">DU574*(1+DV577)</f>
        <v>39041.821273119793</v>
      </c>
      <c r="DW574" s="129">
        <f t="shared" ref="DW574" si="2245">DV574*(1+DW577)</f>
        <v>39041.821273119793</v>
      </c>
      <c r="DX574" s="129">
        <f t="shared" ref="DX574" si="2246">DW574*(1+DX577)</f>
        <v>39041.821273119793</v>
      </c>
      <c r="DY574" s="129">
        <f t="shared" ref="DY574" si="2247">DX574*(1+DY577)</f>
        <v>39041.821273119793</v>
      </c>
      <c r="DZ574" s="129">
        <f t="shared" ref="DZ574" si="2248">DY574*(1+DZ577)</f>
        <v>39041.821273119793</v>
      </c>
      <c r="EA574" s="129">
        <f t="shared" ref="EA574" si="2249">DZ574*(1+EA577)</f>
        <v>39041.821273119793</v>
      </c>
      <c r="EB574" s="129">
        <f t="shared" ref="EB574" si="2250">EA574*(1+EB577)</f>
        <v>39041.821273119793</v>
      </c>
      <c r="EC574" s="129">
        <f t="shared" ref="EC574" si="2251">EB574*(1+EC577)</f>
        <v>39041.821273119793</v>
      </c>
      <c r="ED574" s="113" t="s">
        <v>1</v>
      </c>
    </row>
    <row r="575" spans="1:134" x14ac:dyDescent="0.2">
      <c r="A575" s="114" t="s">
        <v>270</v>
      </c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29">
        <v>0</v>
      </c>
      <c r="AC575" s="129">
        <v>0</v>
      </c>
      <c r="AD575" s="129">
        <v>0</v>
      </c>
      <c r="AE575" s="129">
        <v>0</v>
      </c>
      <c r="AF575" s="129">
        <v>0</v>
      </c>
      <c r="AG575" s="129">
        <v>0</v>
      </c>
      <c r="AH575" s="129">
        <v>0</v>
      </c>
      <c r="AI575" s="129">
        <v>0</v>
      </c>
      <c r="AJ575" s="129">
        <v>0</v>
      </c>
      <c r="AK575" s="129">
        <v>0</v>
      </c>
      <c r="AL575" s="129">
        <v>0</v>
      </c>
      <c r="AM575" s="129">
        <v>0</v>
      </c>
      <c r="AN575" s="129">
        <v>0</v>
      </c>
      <c r="AO575" s="129">
        <v>0</v>
      </c>
      <c r="AP575" s="129">
        <v>0</v>
      </c>
      <c r="AQ575" s="129">
        <v>0</v>
      </c>
      <c r="AR575" s="129">
        <v>0</v>
      </c>
      <c r="AS575" s="129">
        <v>0</v>
      </c>
      <c r="AT575" s="129">
        <v>0</v>
      </c>
      <c r="AU575" s="129">
        <v>0</v>
      </c>
      <c r="AV575" s="129">
        <v>0</v>
      </c>
      <c r="AW575" s="129">
        <v>0</v>
      </c>
      <c r="AX575" s="129">
        <v>0</v>
      </c>
      <c r="AY575" s="129">
        <f t="shared" ref="AY575:CN575" si="2252">AY564/AY565</f>
        <v>63056.331455840453</v>
      </c>
      <c r="AZ575" s="129">
        <f t="shared" si="2252"/>
        <v>60385.806732051271</v>
      </c>
      <c r="BA575" s="129">
        <f t="shared" si="2252"/>
        <v>67490.224165384614</v>
      </c>
      <c r="BB575" s="129">
        <f t="shared" si="2252"/>
        <v>61904.731360139864</v>
      </c>
      <c r="BC575" s="129">
        <f t="shared" si="2252"/>
        <v>64162.520351128944</v>
      </c>
      <c r="BD575" s="129">
        <f t="shared" si="2252"/>
        <v>63604.976171297349</v>
      </c>
      <c r="BE575" s="129">
        <f t="shared" si="2252"/>
        <v>62225.497457850353</v>
      </c>
      <c r="BF575" s="129">
        <f t="shared" si="2252"/>
        <v>61329.75859413416</v>
      </c>
      <c r="BG575" s="129">
        <f t="shared" si="2252"/>
        <v>64864.328013686769</v>
      </c>
      <c r="BH575" s="129">
        <f t="shared" si="2252"/>
        <v>65888.43893396559</v>
      </c>
      <c r="BI575" s="129">
        <f t="shared" si="2252"/>
        <v>82530.355885142286</v>
      </c>
      <c r="BJ575" s="129">
        <f t="shared" si="2252"/>
        <v>65348.072643036583</v>
      </c>
      <c r="BK575" s="129">
        <f t="shared" si="2252"/>
        <v>56536.028192445876</v>
      </c>
      <c r="BL575" s="129">
        <f t="shared" si="2252"/>
        <v>55086.022882971985</v>
      </c>
      <c r="BM575" s="129">
        <f t="shared" si="2252"/>
        <v>54535.471187111034</v>
      </c>
      <c r="BN575" s="129">
        <f t="shared" si="2252"/>
        <v>49670.843014896214</v>
      </c>
      <c r="BO575" s="129">
        <f t="shared" si="2252"/>
        <v>47112.461799498051</v>
      </c>
      <c r="BP575" s="129">
        <f t="shared" si="2252"/>
        <v>48425.283602786229</v>
      </c>
      <c r="BQ575" s="129">
        <f t="shared" si="2252"/>
        <v>47503.549888965179</v>
      </c>
      <c r="BR575" s="129">
        <f t="shared" si="2252"/>
        <v>48352.147073446147</v>
      </c>
      <c r="BS575" s="129">
        <f t="shared" si="2252"/>
        <v>47571.392210505684</v>
      </c>
      <c r="BT575" s="129">
        <f t="shared" si="2252"/>
        <v>49913.022770512805</v>
      </c>
      <c r="BU575" s="129">
        <f t="shared" si="2252"/>
        <v>47745.846201411608</v>
      </c>
      <c r="BV575" s="129">
        <f t="shared" si="2252"/>
        <v>67264.901840713515</v>
      </c>
      <c r="BW575" s="129">
        <f t="shared" si="2252"/>
        <v>72623.016593159642</v>
      </c>
      <c r="BX575" s="129">
        <f t="shared" si="2252"/>
        <v>76559.890766103839</v>
      </c>
      <c r="BY575" s="129">
        <f t="shared" si="2252"/>
        <v>80795.667899788998</v>
      </c>
      <c r="BZ575" s="129">
        <f t="shared" si="2252"/>
        <v>77352.069127588766</v>
      </c>
      <c r="CA575" s="129">
        <f t="shared" si="2252"/>
        <v>73670.593608641342</v>
      </c>
      <c r="CB575" s="129">
        <f t="shared" si="2252"/>
        <v>91641.770412476573</v>
      </c>
      <c r="CC575" s="129">
        <f t="shared" si="2252"/>
        <v>95795.785778890015</v>
      </c>
      <c r="CD575" s="129">
        <f t="shared" si="2252"/>
        <v>89480.724006213917</v>
      </c>
      <c r="CE575" s="129">
        <f t="shared" si="2252"/>
        <v>91612.837755048531</v>
      </c>
      <c r="CF575" s="129">
        <f t="shared" si="2252"/>
        <v>90566.908518772863</v>
      </c>
      <c r="CG575" s="129">
        <f t="shared" si="2252"/>
        <v>103960.12464696151</v>
      </c>
      <c r="CH575" s="129">
        <f t="shared" si="2252"/>
        <v>104671.21963299137</v>
      </c>
      <c r="CI575" s="129">
        <f t="shared" si="2252"/>
        <v>101899.74542435331</v>
      </c>
      <c r="CJ575" s="129">
        <f t="shared" si="2252"/>
        <v>97623.625429876454</v>
      </c>
      <c r="CK575" s="129">
        <f t="shared" si="2252"/>
        <v>92059.728318018533</v>
      </c>
      <c r="CL575" s="129">
        <f t="shared" si="2252"/>
        <v>95011.488959344337</v>
      </c>
      <c r="CM575" s="129">
        <f t="shared" si="2252"/>
        <v>84733.973341282297</v>
      </c>
      <c r="CN575" s="129">
        <f t="shared" si="2252"/>
        <v>87473.053460509662</v>
      </c>
      <c r="CO575" s="129">
        <f t="shared" ref="CO575:CR575" si="2253">CO564/CO565</f>
        <v>94220.381560143855</v>
      </c>
      <c r="CP575" s="129">
        <f t="shared" si="2253"/>
        <v>92348.824522127194</v>
      </c>
      <c r="CQ575" s="129">
        <f t="shared" si="2253"/>
        <v>99509.496997480528</v>
      </c>
      <c r="CR575" s="129">
        <f t="shared" si="2253"/>
        <v>98254.235988957967</v>
      </c>
      <c r="CS575" s="129">
        <f>CS564/CS565</f>
        <v>95849.081121467025</v>
      </c>
      <c r="CT575" s="129">
        <f>CS575*(1+CT577)</f>
        <v>103517.0076111844</v>
      </c>
      <c r="CU575" s="129">
        <f t="shared" ref="CU575:DQ575" si="2254">CT575*(1+CU577)</f>
        <v>103517.0076111844</v>
      </c>
      <c r="CV575" s="129">
        <f t="shared" si="2254"/>
        <v>103517.0076111844</v>
      </c>
      <c r="CW575" s="129">
        <f t="shared" si="2254"/>
        <v>103517.0076111844</v>
      </c>
      <c r="CX575" s="129">
        <f t="shared" si="2254"/>
        <v>103517.0076111844</v>
      </c>
      <c r="CY575" s="129">
        <f t="shared" si="2254"/>
        <v>103517.0076111844</v>
      </c>
      <c r="CZ575" s="129">
        <f t="shared" si="2254"/>
        <v>103517.0076111844</v>
      </c>
      <c r="DA575" s="129">
        <f t="shared" si="2254"/>
        <v>103517.0076111844</v>
      </c>
      <c r="DB575" s="129">
        <f t="shared" si="2254"/>
        <v>103517.0076111844</v>
      </c>
      <c r="DC575" s="129">
        <f t="shared" si="2254"/>
        <v>103517.0076111844</v>
      </c>
      <c r="DD575" s="129">
        <f t="shared" si="2254"/>
        <v>103517.0076111844</v>
      </c>
      <c r="DE575" s="129">
        <f t="shared" si="2254"/>
        <v>103517.0076111844</v>
      </c>
      <c r="DF575" s="129">
        <f t="shared" si="2254"/>
        <v>111798.36822007915</v>
      </c>
      <c r="DG575" s="129">
        <f t="shared" si="2254"/>
        <v>111798.36822007915</v>
      </c>
      <c r="DH575" s="129">
        <f t="shared" si="2254"/>
        <v>111798.36822007915</v>
      </c>
      <c r="DI575" s="129">
        <f t="shared" si="2254"/>
        <v>111798.36822007915</v>
      </c>
      <c r="DJ575" s="129">
        <f t="shared" si="2254"/>
        <v>111798.36822007915</v>
      </c>
      <c r="DK575" s="129">
        <f t="shared" si="2254"/>
        <v>111798.36822007915</v>
      </c>
      <c r="DL575" s="129">
        <f t="shared" si="2254"/>
        <v>111798.36822007915</v>
      </c>
      <c r="DM575" s="129">
        <f t="shared" si="2254"/>
        <v>111798.36822007915</v>
      </c>
      <c r="DN575" s="129">
        <f t="shared" si="2254"/>
        <v>111798.36822007915</v>
      </c>
      <c r="DO575" s="129">
        <f t="shared" si="2254"/>
        <v>111798.36822007915</v>
      </c>
      <c r="DP575" s="129">
        <f t="shared" si="2254"/>
        <v>111798.36822007915</v>
      </c>
      <c r="DQ575" s="129">
        <f t="shared" si="2254"/>
        <v>111798.36822007915</v>
      </c>
      <c r="DR575" s="129">
        <f t="shared" ref="DR575" si="2255">DQ575*(1+DR577)</f>
        <v>120742.23767768549</v>
      </c>
      <c r="DS575" s="129">
        <f t="shared" ref="DS575" si="2256">DR575*(1+DS577)</f>
        <v>120742.23767768549</v>
      </c>
      <c r="DT575" s="129">
        <f t="shared" ref="DT575" si="2257">DS575*(1+DT577)</f>
        <v>120742.23767768549</v>
      </c>
      <c r="DU575" s="129">
        <f t="shared" ref="DU575" si="2258">DT575*(1+DU577)</f>
        <v>120742.23767768549</v>
      </c>
      <c r="DV575" s="129">
        <f t="shared" ref="DV575" si="2259">DU575*(1+DV577)</f>
        <v>120742.23767768549</v>
      </c>
      <c r="DW575" s="129">
        <f t="shared" ref="DW575" si="2260">DV575*(1+DW577)</f>
        <v>120742.23767768549</v>
      </c>
      <c r="DX575" s="129">
        <f t="shared" ref="DX575" si="2261">DW575*(1+DX577)</f>
        <v>120742.23767768549</v>
      </c>
      <c r="DY575" s="129">
        <f t="shared" ref="DY575" si="2262">DX575*(1+DY577)</f>
        <v>120742.23767768549</v>
      </c>
      <c r="DZ575" s="129">
        <f t="shared" ref="DZ575" si="2263">DY575*(1+DZ577)</f>
        <v>120742.23767768549</v>
      </c>
      <c r="EA575" s="129">
        <f t="shared" ref="EA575" si="2264">DZ575*(1+EA577)</f>
        <v>120742.23767768549</v>
      </c>
      <c r="EB575" s="129">
        <f t="shared" ref="EB575" si="2265">EA575*(1+EB577)</f>
        <v>120742.23767768549</v>
      </c>
      <c r="EC575" s="129">
        <f t="shared" ref="EC575" si="2266">EB575*(1+EC577)</f>
        <v>120742.23767768549</v>
      </c>
      <c r="ED575" s="113" t="s">
        <v>1</v>
      </c>
    </row>
    <row r="576" spans="1:134" x14ac:dyDescent="0.2">
      <c r="A576" s="114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/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29"/>
      <c r="BJ576" s="129"/>
      <c r="BK576" s="129"/>
      <c r="BL576" s="129"/>
      <c r="BM576" s="129"/>
      <c r="BN576" s="129"/>
      <c r="BO576" s="129"/>
      <c r="BP576" s="129"/>
      <c r="BQ576" s="129"/>
      <c r="BR576" s="129"/>
      <c r="BS576" s="129"/>
      <c r="BT576" s="129"/>
      <c r="BU576" s="129"/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/>
      <c r="CP576" s="129"/>
      <c r="CQ576" s="129"/>
      <c r="CR576" s="129"/>
      <c r="CS576" s="129"/>
      <c r="CT576" s="115"/>
      <c r="CU576" s="115"/>
      <c r="CV576" s="115"/>
      <c r="CW576" s="115"/>
      <c r="CX576" s="115"/>
      <c r="CY576" s="115"/>
      <c r="CZ576" s="115"/>
      <c r="DA576" s="115"/>
      <c r="DB576" s="115"/>
      <c r="DC576" s="115"/>
      <c r="DD576" s="115"/>
      <c r="DE576" s="115"/>
      <c r="DF576" s="115"/>
      <c r="DG576" s="115"/>
      <c r="DH576" s="115"/>
      <c r="DI576" s="115"/>
      <c r="DJ576" s="115"/>
      <c r="DK576" s="115"/>
      <c r="DL576" s="115"/>
      <c r="DM576" s="115"/>
      <c r="DN576" s="115"/>
      <c r="DO576" s="115"/>
      <c r="DP576" s="115"/>
      <c r="DQ576" s="115"/>
      <c r="DR576" s="115"/>
      <c r="DS576" s="115"/>
      <c r="DT576" s="115"/>
      <c r="DU576" s="115"/>
      <c r="DV576" s="115"/>
      <c r="DW576" s="115"/>
      <c r="DX576" s="115"/>
      <c r="DY576" s="115"/>
      <c r="DZ576" s="115"/>
      <c r="EA576" s="115"/>
      <c r="EB576" s="115"/>
      <c r="EC576" s="645"/>
      <c r="ED576" s="113" t="s">
        <v>1</v>
      </c>
    </row>
    <row r="577" spans="1:134" x14ac:dyDescent="0.2">
      <c r="A577" s="114" t="s">
        <v>271</v>
      </c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29"/>
      <c r="BJ577" s="129"/>
      <c r="BK577" s="129"/>
      <c r="BL577" s="129"/>
      <c r="BM577" s="129"/>
      <c r="BN577" s="129"/>
      <c r="BO577" s="129"/>
      <c r="BP577" s="129"/>
      <c r="BQ577" s="129"/>
      <c r="BR577" s="129"/>
      <c r="BS577" s="129"/>
      <c r="BT577" s="129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742">
        <v>0.08</v>
      </c>
      <c r="CU577" s="115"/>
      <c r="CV577" s="115"/>
      <c r="CW577" s="115"/>
      <c r="CX577" s="115"/>
      <c r="CY577" s="115"/>
      <c r="CZ577" s="115"/>
      <c r="DA577" s="115"/>
      <c r="DB577" s="115"/>
      <c r="DC577" s="115"/>
      <c r="DD577" s="115"/>
      <c r="DE577" s="115"/>
      <c r="DF577" s="742">
        <v>0.08</v>
      </c>
      <c r="DG577" s="115"/>
      <c r="DH577" s="115"/>
      <c r="DI577" s="115"/>
      <c r="DJ577" s="115"/>
      <c r="DK577" s="115"/>
      <c r="DL577" s="115"/>
      <c r="DM577" s="115"/>
      <c r="DN577" s="115"/>
      <c r="DO577" s="115"/>
      <c r="DP577" s="115"/>
      <c r="DQ577" s="115"/>
      <c r="DR577" s="742">
        <v>0.08</v>
      </c>
      <c r="DS577" s="115"/>
      <c r="DT577" s="115"/>
      <c r="DU577" s="115"/>
      <c r="DV577" s="115"/>
      <c r="DW577" s="115"/>
      <c r="DX577" s="115"/>
      <c r="DY577" s="115"/>
      <c r="DZ577" s="115"/>
      <c r="EA577" s="115"/>
      <c r="EB577" s="115"/>
      <c r="EC577" s="645"/>
      <c r="ED577" s="113" t="s">
        <v>1</v>
      </c>
    </row>
    <row r="578" spans="1:134" x14ac:dyDescent="0.2">
      <c r="A578" s="117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33"/>
      <c r="AC578" s="133"/>
      <c r="AD578" s="133"/>
      <c r="AE578" s="133"/>
      <c r="AF578" s="133"/>
      <c r="AG578" s="133"/>
      <c r="AH578" s="133"/>
      <c r="AI578" s="133"/>
      <c r="AJ578" s="133"/>
      <c r="AK578" s="133"/>
      <c r="AL578" s="133"/>
      <c r="AM578" s="133"/>
      <c r="AN578" s="133"/>
      <c r="AO578" s="133"/>
      <c r="AP578" s="133"/>
      <c r="AQ578" s="133"/>
      <c r="AR578" s="133"/>
      <c r="AS578" s="133"/>
      <c r="AT578" s="133"/>
      <c r="AU578" s="133"/>
      <c r="AV578" s="133"/>
      <c r="AW578" s="133"/>
      <c r="AX578" s="133"/>
      <c r="AY578" s="133"/>
      <c r="AZ578" s="133"/>
      <c r="BA578" s="133"/>
      <c r="BB578" s="133"/>
      <c r="BC578" s="133"/>
      <c r="BD578" s="133"/>
      <c r="BE578" s="133"/>
      <c r="BF578" s="133"/>
      <c r="BG578" s="133"/>
      <c r="BH578" s="133"/>
      <c r="BI578" s="133"/>
      <c r="BJ578" s="133"/>
      <c r="BK578" s="133"/>
      <c r="BL578" s="133"/>
      <c r="BM578" s="133"/>
      <c r="BN578" s="133"/>
      <c r="BO578" s="133"/>
      <c r="BP578" s="133"/>
      <c r="BQ578" s="133"/>
      <c r="BR578" s="133"/>
      <c r="BS578" s="133"/>
      <c r="BT578" s="133"/>
      <c r="BU578" s="133"/>
      <c r="BV578" s="133"/>
      <c r="BW578" s="133"/>
      <c r="BX578" s="133"/>
      <c r="BY578" s="133"/>
      <c r="BZ578" s="133"/>
      <c r="CA578" s="133"/>
      <c r="CB578" s="133"/>
      <c r="CC578" s="133"/>
      <c r="CD578" s="133"/>
      <c r="CE578" s="133"/>
      <c r="CF578" s="133"/>
      <c r="CG578" s="133"/>
      <c r="CH578" s="133"/>
      <c r="CI578" s="133"/>
      <c r="CJ578" s="133"/>
      <c r="CK578" s="133"/>
      <c r="CL578" s="133"/>
      <c r="CM578" s="133"/>
      <c r="CN578" s="133"/>
      <c r="CO578" s="133"/>
      <c r="CP578" s="133"/>
      <c r="CQ578" s="133"/>
      <c r="CR578" s="133"/>
      <c r="CS578" s="133"/>
      <c r="CT578" s="115"/>
      <c r="CU578" s="115"/>
      <c r="CV578" s="115"/>
      <c r="CW578" s="115"/>
      <c r="CX578" s="115"/>
      <c r="CY578" s="115"/>
      <c r="CZ578" s="115"/>
      <c r="DA578" s="115"/>
      <c r="DB578" s="115"/>
      <c r="DC578" s="115"/>
      <c r="DD578" s="115"/>
      <c r="DE578" s="115"/>
      <c r="DF578" s="115"/>
      <c r="DG578" s="115"/>
      <c r="DH578" s="115"/>
      <c r="DI578" s="115"/>
      <c r="DJ578" s="115"/>
      <c r="DK578" s="115"/>
      <c r="DL578" s="115"/>
      <c r="DM578" s="115"/>
      <c r="DN578" s="115"/>
      <c r="DO578" s="115"/>
      <c r="DP578" s="115"/>
      <c r="DQ578" s="115"/>
      <c r="DR578" s="115"/>
      <c r="DS578" s="115"/>
      <c r="DT578" s="115"/>
      <c r="DU578" s="115"/>
      <c r="DV578" s="115"/>
      <c r="DW578" s="115"/>
      <c r="DX578" s="115"/>
      <c r="DY578" s="115"/>
      <c r="DZ578" s="115"/>
      <c r="EA578" s="115"/>
      <c r="EB578" s="115"/>
      <c r="EC578" s="645"/>
      <c r="ED578" s="113" t="s">
        <v>1</v>
      </c>
    </row>
    <row r="579" spans="1:134" x14ac:dyDescent="0.2">
      <c r="A579" s="117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33"/>
      <c r="AC579" s="133"/>
      <c r="AD579" s="133"/>
      <c r="AE579" s="133"/>
      <c r="AF579" s="133"/>
      <c r="AG579" s="133"/>
      <c r="AH579" s="133"/>
      <c r="AI579" s="133"/>
      <c r="AJ579" s="133"/>
      <c r="AK579" s="133"/>
      <c r="AL579" s="133"/>
      <c r="AM579" s="133"/>
      <c r="AN579" s="133"/>
      <c r="AO579" s="133"/>
      <c r="AP579" s="133"/>
      <c r="AQ579" s="133"/>
      <c r="AR579" s="133"/>
      <c r="AS579" s="133"/>
      <c r="AT579" s="133"/>
      <c r="AU579" s="133"/>
      <c r="AV579" s="133"/>
      <c r="AW579" s="133"/>
      <c r="AX579" s="133"/>
      <c r="AY579" s="133"/>
      <c r="AZ579" s="133"/>
      <c r="BA579" s="133"/>
      <c r="BB579" s="133"/>
      <c r="BC579" s="133"/>
      <c r="BD579" s="133"/>
      <c r="BE579" s="133"/>
      <c r="BF579" s="133"/>
      <c r="BG579" s="133"/>
      <c r="BH579" s="133"/>
      <c r="BI579" s="133"/>
      <c r="BJ579" s="133"/>
      <c r="BK579" s="133"/>
      <c r="BL579" s="133"/>
      <c r="BM579" s="133"/>
      <c r="BN579" s="133"/>
      <c r="BO579" s="133"/>
      <c r="BP579" s="133"/>
      <c r="BQ579" s="133"/>
      <c r="BR579" s="133"/>
      <c r="BS579" s="133"/>
      <c r="BT579" s="133"/>
      <c r="BU579" s="133"/>
      <c r="BV579" s="133"/>
      <c r="BW579" s="133"/>
      <c r="BX579" s="133"/>
      <c r="BY579" s="133"/>
      <c r="BZ579" s="133"/>
      <c r="CA579" s="133"/>
      <c r="CB579" s="133"/>
      <c r="CC579" s="133"/>
      <c r="CD579" s="133"/>
      <c r="CE579" s="133"/>
      <c r="CF579" s="133"/>
      <c r="CG579" s="133"/>
      <c r="CH579" s="133"/>
      <c r="CI579" s="133"/>
      <c r="CJ579" s="133"/>
      <c r="CK579" s="133"/>
      <c r="CL579" s="133"/>
      <c r="CM579" s="133"/>
      <c r="CN579" s="133"/>
      <c r="CO579" s="133"/>
      <c r="CP579" s="133"/>
      <c r="CQ579" s="133"/>
      <c r="CR579" s="133"/>
      <c r="CS579" s="133"/>
      <c r="CT579" s="115"/>
      <c r="CU579" s="115"/>
      <c r="CV579" s="115"/>
      <c r="CW579" s="115"/>
      <c r="CX579" s="115"/>
      <c r="CY579" s="115"/>
      <c r="CZ579" s="115"/>
      <c r="DA579" s="115"/>
      <c r="DB579" s="115"/>
      <c r="DC579" s="115"/>
      <c r="DD579" s="115"/>
      <c r="DE579" s="115"/>
      <c r="DF579" s="115"/>
      <c r="DG579" s="115"/>
      <c r="DH579" s="115"/>
      <c r="DI579" s="115"/>
      <c r="DJ579" s="115"/>
      <c r="DK579" s="115"/>
      <c r="DL579" s="115"/>
      <c r="DM579" s="115"/>
      <c r="DN579" s="115"/>
      <c r="DO579" s="115"/>
      <c r="DP579" s="115"/>
      <c r="DQ579" s="115"/>
      <c r="DR579" s="115"/>
      <c r="DS579" s="115"/>
      <c r="DT579" s="115"/>
      <c r="DU579" s="115"/>
      <c r="DV579" s="115"/>
      <c r="DW579" s="115"/>
      <c r="DX579" s="115"/>
      <c r="DY579" s="115"/>
      <c r="DZ579" s="115"/>
      <c r="EA579" s="115"/>
      <c r="EB579" s="115"/>
      <c r="EC579" s="645"/>
      <c r="ED579" s="113" t="s">
        <v>1</v>
      </c>
    </row>
    <row r="580" spans="1:134" x14ac:dyDescent="0.2">
      <c r="A580" s="114" t="s">
        <v>272</v>
      </c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33"/>
      <c r="AC580" s="133"/>
      <c r="AD580" s="133"/>
      <c r="AE580" s="133"/>
      <c r="AF580" s="133"/>
      <c r="AG580" s="133"/>
      <c r="AH580" s="133"/>
      <c r="AI580" s="133"/>
      <c r="AJ580" s="133"/>
      <c r="AK580" s="133"/>
      <c r="AL580" s="133"/>
      <c r="AM580" s="133"/>
      <c r="AN580" s="133"/>
      <c r="AO580" s="133"/>
      <c r="AP580" s="133"/>
      <c r="AQ580" s="133"/>
      <c r="AR580" s="133"/>
      <c r="AS580" s="133"/>
      <c r="AT580" s="133"/>
      <c r="AU580" s="133"/>
      <c r="AV580" s="133"/>
      <c r="AW580" s="133"/>
      <c r="AX580" s="133"/>
      <c r="AY580" s="133"/>
      <c r="AZ580" s="133"/>
      <c r="BA580" s="133"/>
      <c r="BB580" s="133"/>
      <c r="BC580" s="133"/>
      <c r="BD580" s="133"/>
      <c r="BE580" s="133"/>
      <c r="BF580" s="133"/>
      <c r="BG580" s="133"/>
      <c r="BH580" s="133"/>
      <c r="BI580" s="133"/>
      <c r="BJ580" s="133"/>
      <c r="BK580" s="133"/>
      <c r="BL580" s="133"/>
      <c r="BM580" s="133"/>
      <c r="BN580" s="133"/>
      <c r="BO580" s="133"/>
      <c r="BP580" s="133"/>
      <c r="BQ580" s="133"/>
      <c r="BR580" s="133"/>
      <c r="BS580" s="133"/>
      <c r="BT580" s="133"/>
      <c r="BU580" s="133"/>
      <c r="BV580" s="133"/>
      <c r="BW580" s="133"/>
      <c r="BX580" s="133"/>
      <c r="BY580" s="133"/>
      <c r="BZ580" s="133"/>
      <c r="CA580" s="133"/>
      <c r="CB580" s="133"/>
      <c r="CC580" s="133"/>
      <c r="CD580" s="133"/>
      <c r="CE580" s="133"/>
      <c r="CF580" s="133"/>
      <c r="CG580" s="133"/>
      <c r="CH580" s="133"/>
      <c r="CI580" s="133"/>
      <c r="CJ580" s="133"/>
      <c r="CK580" s="133"/>
      <c r="CL580" s="133"/>
      <c r="CM580" s="133"/>
      <c r="CN580" s="133"/>
      <c r="CO580" s="133"/>
      <c r="CP580" s="133"/>
      <c r="CQ580" s="133"/>
      <c r="CR580" s="133"/>
      <c r="CS580" s="133"/>
      <c r="CT580" s="115"/>
      <c r="CU580" s="115"/>
      <c r="CV580" s="115"/>
      <c r="CW580" s="115"/>
      <c r="CX580" s="115"/>
      <c r="CY580" s="115"/>
      <c r="CZ580" s="115"/>
      <c r="DA580" s="115"/>
      <c r="DB580" s="115"/>
      <c r="DC580" s="115"/>
      <c r="DD580" s="115"/>
      <c r="DE580" s="115"/>
      <c r="DF580" s="115"/>
      <c r="DG580" s="115"/>
      <c r="DH580" s="115"/>
      <c r="DI580" s="115"/>
      <c r="DJ580" s="115"/>
      <c r="DK580" s="115"/>
      <c r="DL580" s="115"/>
      <c r="DM580" s="115"/>
      <c r="DN580" s="115"/>
      <c r="DO580" s="115"/>
      <c r="DP580" s="115"/>
      <c r="DQ580" s="115"/>
      <c r="DR580" s="115"/>
      <c r="DS580" s="115"/>
      <c r="DT580" s="115"/>
      <c r="DU580" s="115"/>
      <c r="DV580" s="115"/>
      <c r="DW580" s="115"/>
      <c r="DX580" s="115"/>
      <c r="DY580" s="115"/>
      <c r="DZ580" s="115"/>
      <c r="EA580" s="115"/>
      <c r="EB580" s="115"/>
      <c r="EC580" s="645"/>
      <c r="ED580" s="113" t="s">
        <v>1</v>
      </c>
    </row>
    <row r="581" spans="1:134" x14ac:dyDescent="0.2">
      <c r="A581" s="135" t="s">
        <v>273</v>
      </c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33"/>
      <c r="AC581" s="133"/>
      <c r="AD581" s="133"/>
      <c r="AE581" s="133"/>
      <c r="AF581" s="133"/>
      <c r="AG581" s="133"/>
      <c r="AH581" s="133"/>
      <c r="AI581" s="133"/>
      <c r="AJ581" s="133"/>
      <c r="AK581" s="133"/>
      <c r="AL581" s="133"/>
      <c r="AM581" s="133"/>
      <c r="AN581" s="133"/>
      <c r="AO581" s="133"/>
      <c r="AP581" s="133"/>
      <c r="AQ581" s="133"/>
      <c r="AR581" s="133"/>
      <c r="AS581" s="133"/>
      <c r="AT581" s="133"/>
      <c r="AU581" s="133"/>
      <c r="AV581" s="133"/>
      <c r="AW581" s="133"/>
      <c r="AX581" s="133"/>
      <c r="AY581" s="133"/>
      <c r="AZ581" s="133"/>
      <c r="BA581" s="133"/>
      <c r="BB581" s="133"/>
      <c r="BC581" s="133"/>
      <c r="BD581" s="133"/>
      <c r="BE581" s="133"/>
      <c r="BF581" s="133"/>
      <c r="BG581" s="133"/>
      <c r="BH581" s="133"/>
      <c r="BI581" s="133"/>
      <c r="BJ581" s="133"/>
      <c r="BK581" s="133"/>
      <c r="BL581" s="133"/>
      <c r="BM581" s="133"/>
      <c r="BN581" s="133"/>
      <c r="BO581" s="133"/>
      <c r="BP581" s="133"/>
      <c r="BQ581" s="133"/>
      <c r="BR581" s="133"/>
      <c r="BS581" s="133"/>
      <c r="BT581" s="133"/>
      <c r="BU581" s="133"/>
      <c r="BV581" s="133"/>
      <c r="BW581" s="133"/>
      <c r="BX581" s="133"/>
      <c r="BY581" s="133"/>
      <c r="BZ581" s="133"/>
      <c r="CA581" s="133"/>
      <c r="CB581" s="133"/>
      <c r="CC581" s="133"/>
      <c r="CD581" s="133"/>
      <c r="CE581" s="133"/>
      <c r="CF581" s="133"/>
      <c r="CG581" s="133"/>
      <c r="CH581" s="133"/>
      <c r="CI581" s="133"/>
      <c r="CJ581" s="133"/>
      <c r="CK581" s="133"/>
      <c r="CL581" s="133"/>
      <c r="CM581" s="133"/>
      <c r="CN581" s="133"/>
      <c r="CO581" s="133"/>
      <c r="CP581" s="133"/>
      <c r="CQ581" s="133"/>
      <c r="CR581" s="133"/>
      <c r="CS581" s="133"/>
      <c r="CT581" s="742">
        <v>0.1</v>
      </c>
      <c r="CU581" s="115"/>
      <c r="CV581" s="115"/>
      <c r="CW581" s="115"/>
      <c r="CX581" s="115"/>
      <c r="CY581" s="115"/>
      <c r="CZ581" s="115"/>
      <c r="DA581" s="115"/>
      <c r="DB581" s="115"/>
      <c r="DC581" s="115"/>
      <c r="DD581" s="115"/>
      <c r="DE581" s="115"/>
      <c r="DF581" s="742">
        <v>0.05</v>
      </c>
      <c r="DG581" s="115"/>
      <c r="DH581" s="115"/>
      <c r="DI581" s="115"/>
      <c r="DJ581" s="115"/>
      <c r="DK581" s="115"/>
      <c r="DL581" s="115"/>
      <c r="DM581" s="115"/>
      <c r="DN581" s="115"/>
      <c r="DO581" s="115"/>
      <c r="DP581" s="115"/>
      <c r="DQ581" s="115"/>
      <c r="DR581" s="742">
        <v>0.05</v>
      </c>
      <c r="DS581" s="115"/>
      <c r="DT581" s="115"/>
      <c r="DU581" s="115"/>
      <c r="DV581" s="115"/>
      <c r="DW581" s="115"/>
      <c r="DX581" s="115"/>
      <c r="DY581" s="115"/>
      <c r="DZ581" s="115"/>
      <c r="EA581" s="115"/>
      <c r="EB581" s="115"/>
      <c r="EC581" s="645"/>
      <c r="ED581" s="113" t="s">
        <v>1</v>
      </c>
    </row>
    <row r="582" spans="1:134" x14ac:dyDescent="0.2">
      <c r="A582" s="135" t="s">
        <v>274</v>
      </c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15"/>
      <c r="AU582" s="115"/>
      <c r="AV582" s="115"/>
      <c r="AW582" s="115"/>
      <c r="AX582" s="115"/>
      <c r="AY582" s="115"/>
      <c r="AZ582" s="115"/>
      <c r="BA582" s="115"/>
      <c r="BB582" s="115"/>
      <c r="BC582" s="115"/>
      <c r="BD582" s="115"/>
      <c r="BE582" s="115"/>
      <c r="BF582" s="115"/>
      <c r="BG582" s="115"/>
      <c r="BH582" s="115"/>
      <c r="BI582" s="115"/>
      <c r="BJ582" s="115"/>
      <c r="BK582" s="115"/>
      <c r="BL582" s="115"/>
      <c r="BM582" s="115"/>
      <c r="BN582" s="115"/>
      <c r="BO582" s="115"/>
      <c r="BP582" s="115"/>
      <c r="BQ582" s="115"/>
      <c r="BR582" s="115"/>
      <c r="BS582" s="115"/>
      <c r="BT582" s="115"/>
      <c r="BU582" s="115"/>
      <c r="BV582" s="115"/>
      <c r="BW582" s="115"/>
      <c r="BX582" s="115"/>
      <c r="BY582" s="115"/>
      <c r="BZ582" s="115"/>
      <c r="CA582" s="115"/>
      <c r="CB582" s="115"/>
      <c r="CC582" s="115"/>
      <c r="CD582" s="115"/>
      <c r="CE582" s="115"/>
      <c r="CF582" s="115"/>
      <c r="CG582" s="115"/>
      <c r="CH582" s="115"/>
      <c r="CI582" s="115"/>
      <c r="CJ582" s="115"/>
      <c r="CK582" s="115"/>
      <c r="CL582" s="115"/>
      <c r="CM582" s="115"/>
      <c r="CN582" s="115"/>
      <c r="CO582" s="115"/>
      <c r="CP582" s="115"/>
      <c r="CQ582" s="115"/>
      <c r="CR582" s="115"/>
      <c r="CS582" s="115"/>
      <c r="CT582" s="742">
        <v>0.1</v>
      </c>
      <c r="CU582" s="115"/>
      <c r="CV582" s="115"/>
      <c r="CW582" s="115"/>
      <c r="CX582" s="115"/>
      <c r="CY582" s="115"/>
      <c r="CZ582" s="115"/>
      <c r="DA582" s="115"/>
      <c r="DB582" s="115"/>
      <c r="DC582" s="115"/>
      <c r="DD582" s="115"/>
      <c r="DE582" s="115"/>
      <c r="DF582" s="742">
        <v>0.05</v>
      </c>
      <c r="DG582" s="115"/>
      <c r="DH582" s="115"/>
      <c r="DI582" s="115"/>
      <c r="DJ582" s="115"/>
      <c r="DK582" s="115"/>
      <c r="DL582" s="115"/>
      <c r="DM582" s="115"/>
      <c r="DN582" s="115"/>
      <c r="DO582" s="115"/>
      <c r="DP582" s="115"/>
      <c r="DQ582" s="115"/>
      <c r="DR582" s="742">
        <v>0.05</v>
      </c>
      <c r="DS582" s="115"/>
      <c r="DT582" s="115"/>
      <c r="DU582" s="115"/>
      <c r="DV582" s="115"/>
      <c r="DW582" s="115"/>
      <c r="DX582" s="115"/>
      <c r="DY582" s="115"/>
      <c r="DZ582" s="115"/>
      <c r="EA582" s="115"/>
      <c r="EB582" s="115"/>
      <c r="EC582" s="645"/>
      <c r="ED582" s="113" t="s">
        <v>1</v>
      </c>
    </row>
    <row r="583" spans="1:134" x14ac:dyDescent="0.2">
      <c r="A583" s="13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15"/>
      <c r="AR583" s="115"/>
      <c r="AS583" s="115"/>
      <c r="AT583" s="115"/>
      <c r="AU583" s="115"/>
      <c r="AV583" s="115"/>
      <c r="AW583" s="115"/>
      <c r="AX583" s="115"/>
      <c r="AY583" s="115"/>
      <c r="AZ583" s="115"/>
      <c r="BA583" s="115"/>
      <c r="BB583" s="115"/>
      <c r="BC583" s="115"/>
      <c r="BD583" s="115"/>
      <c r="BE583" s="115"/>
      <c r="BF583" s="115"/>
      <c r="BG583" s="115"/>
      <c r="BH583" s="115"/>
      <c r="BI583" s="115"/>
      <c r="BJ583" s="115"/>
      <c r="BK583" s="115"/>
      <c r="BL583" s="115"/>
      <c r="BM583" s="115"/>
      <c r="BN583" s="115"/>
      <c r="BO583" s="115"/>
      <c r="BP583" s="115"/>
      <c r="BQ583" s="115"/>
      <c r="BR583" s="115"/>
      <c r="BS583" s="115"/>
      <c r="BT583" s="115"/>
      <c r="BU583" s="115"/>
      <c r="BV583" s="115"/>
      <c r="BW583" s="115"/>
      <c r="BX583" s="115"/>
      <c r="BY583" s="115"/>
      <c r="BZ583" s="115"/>
      <c r="CA583" s="115"/>
      <c r="CB583" s="115"/>
      <c r="CC583" s="115"/>
      <c r="CD583" s="115"/>
      <c r="CE583" s="115"/>
      <c r="CF583" s="115"/>
      <c r="CG583" s="115"/>
      <c r="CH583" s="115"/>
      <c r="CI583" s="115"/>
      <c r="CJ583" s="115"/>
      <c r="CK583" s="115"/>
      <c r="CL583" s="115"/>
      <c r="CM583" s="115"/>
      <c r="CN583" s="115"/>
      <c r="CO583" s="115"/>
      <c r="CP583" s="115"/>
      <c r="CQ583" s="115"/>
      <c r="CR583" s="115"/>
      <c r="CS583" s="115"/>
      <c r="CT583" s="714"/>
      <c r="CU583" s="115"/>
      <c r="CV583" s="115"/>
      <c r="CW583" s="115"/>
      <c r="CX583" s="115"/>
      <c r="CY583" s="115"/>
      <c r="CZ583" s="115"/>
      <c r="DA583" s="115"/>
      <c r="DB583" s="115"/>
      <c r="DC583" s="115"/>
      <c r="DD583" s="115"/>
      <c r="DE583" s="115"/>
      <c r="DF583" s="714"/>
      <c r="DG583" s="115"/>
      <c r="DH583" s="115"/>
      <c r="DI583" s="115"/>
      <c r="DJ583" s="115"/>
      <c r="DK583" s="115"/>
      <c r="DL583" s="115"/>
      <c r="DM583" s="115"/>
      <c r="DN583" s="115"/>
      <c r="DO583" s="115"/>
      <c r="DP583" s="115"/>
      <c r="DQ583" s="115"/>
      <c r="DR583" s="115"/>
      <c r="DS583" s="115"/>
      <c r="DT583" s="115"/>
      <c r="DU583" s="115"/>
      <c r="DV583" s="115"/>
      <c r="DW583" s="115"/>
      <c r="DX583" s="115"/>
      <c r="DY583" s="115"/>
      <c r="DZ583" s="115"/>
      <c r="EA583" s="115"/>
      <c r="EB583" s="115"/>
      <c r="EC583" s="645"/>
      <c r="ED583" s="113" t="s">
        <v>1</v>
      </c>
    </row>
    <row r="584" spans="1:134" x14ac:dyDescent="0.2">
      <c r="A584" s="135" t="s">
        <v>275</v>
      </c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115"/>
      <c r="AR584" s="115"/>
      <c r="AS584" s="115"/>
      <c r="AT584" s="115"/>
      <c r="AU584" s="115"/>
      <c r="AV584" s="115"/>
      <c r="AW584" s="115"/>
      <c r="AX584" s="115"/>
      <c r="AY584" s="115"/>
      <c r="AZ584" s="115"/>
      <c r="BA584" s="115"/>
      <c r="BB584" s="115"/>
      <c r="BC584" s="115"/>
      <c r="BD584" s="115"/>
      <c r="BE584" s="115"/>
      <c r="BF584" s="115"/>
      <c r="BG584" s="115"/>
      <c r="BH584" s="115"/>
      <c r="BI584" s="115"/>
      <c r="BJ584" s="115"/>
      <c r="BK584" s="115"/>
      <c r="BL584" s="115"/>
      <c r="BM584" s="115"/>
      <c r="BN584" s="115"/>
      <c r="BO584" s="115"/>
      <c r="BP584" s="115"/>
      <c r="BQ584" s="115"/>
      <c r="BR584" s="115"/>
      <c r="BS584" s="115"/>
      <c r="BT584" s="115"/>
      <c r="BU584" s="115"/>
      <c r="BV584" s="115"/>
      <c r="BW584" s="115"/>
      <c r="BX584" s="115"/>
      <c r="BY584" s="115"/>
      <c r="BZ584" s="115"/>
      <c r="CA584" s="115"/>
      <c r="CB584" s="115"/>
      <c r="CC584" s="115"/>
      <c r="CD584" s="115"/>
      <c r="CE584" s="115"/>
      <c r="CF584" s="115"/>
      <c r="CG584" s="115"/>
      <c r="CH584" s="115"/>
      <c r="CI584" s="115"/>
      <c r="CJ584" s="115"/>
      <c r="CK584" s="115"/>
      <c r="CL584" s="115"/>
      <c r="CM584" s="115"/>
      <c r="CN584" s="115"/>
      <c r="CO584" s="115"/>
      <c r="CP584" s="115"/>
      <c r="CQ584" s="115"/>
      <c r="CR584" s="115"/>
      <c r="CS584" s="115"/>
      <c r="CT584" s="742">
        <v>0.05</v>
      </c>
      <c r="CU584" s="115"/>
      <c r="CV584" s="115"/>
      <c r="CW584" s="115"/>
      <c r="CX584" s="115"/>
      <c r="CY584" s="115"/>
      <c r="CZ584" s="115"/>
      <c r="DA584" s="115"/>
      <c r="DB584" s="115"/>
      <c r="DC584" s="115"/>
      <c r="DD584" s="115"/>
      <c r="DE584" s="115"/>
      <c r="DF584" s="742">
        <v>0.05</v>
      </c>
      <c r="DG584" s="115"/>
      <c r="DH584" s="115"/>
      <c r="DI584" s="115"/>
      <c r="DJ584" s="115"/>
      <c r="DK584" s="115"/>
      <c r="DL584" s="115"/>
      <c r="DM584" s="115"/>
      <c r="DN584" s="115"/>
      <c r="DO584" s="115"/>
      <c r="DP584" s="115"/>
      <c r="DQ584" s="115"/>
      <c r="DR584" s="742">
        <v>0.05</v>
      </c>
      <c r="DS584" s="115"/>
      <c r="DT584" s="115"/>
      <c r="DU584" s="115"/>
      <c r="DV584" s="115"/>
      <c r="DW584" s="115"/>
      <c r="DX584" s="115"/>
      <c r="DY584" s="115"/>
      <c r="DZ584" s="115"/>
      <c r="EA584" s="115"/>
      <c r="EB584" s="115"/>
      <c r="EC584" s="645"/>
      <c r="ED584" s="113" t="s">
        <v>1</v>
      </c>
    </row>
    <row r="585" spans="1:134" x14ac:dyDescent="0.2">
      <c r="A585" s="13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115"/>
      <c r="AS585" s="115"/>
      <c r="AT585" s="115"/>
      <c r="AU585" s="115"/>
      <c r="AV585" s="115"/>
      <c r="AW585" s="115"/>
      <c r="AX585" s="115"/>
      <c r="AY585" s="115"/>
      <c r="AZ585" s="115"/>
      <c r="BA585" s="115"/>
      <c r="BB585" s="115"/>
      <c r="BC585" s="115"/>
      <c r="BD585" s="115"/>
      <c r="BE585" s="115"/>
      <c r="BF585" s="115"/>
      <c r="BG585" s="115"/>
      <c r="BH585" s="115"/>
      <c r="BI585" s="115"/>
      <c r="BJ585" s="115"/>
      <c r="BK585" s="115"/>
      <c r="BL585" s="115"/>
      <c r="BM585" s="115"/>
      <c r="BN585" s="115"/>
      <c r="BO585" s="115"/>
      <c r="BP585" s="115"/>
      <c r="BQ585" s="115"/>
      <c r="BR585" s="115"/>
      <c r="BS585" s="115"/>
      <c r="BT585" s="115"/>
      <c r="BU585" s="115"/>
      <c r="BV585" s="115"/>
      <c r="BW585" s="115"/>
      <c r="BX585" s="115"/>
      <c r="BY585" s="115"/>
      <c r="BZ585" s="115"/>
      <c r="CA585" s="115"/>
      <c r="CB585" s="115"/>
      <c r="CC585" s="115"/>
      <c r="CD585" s="115"/>
      <c r="CE585" s="115"/>
      <c r="CF585" s="115"/>
      <c r="CG585" s="115"/>
      <c r="CH585" s="115"/>
      <c r="CI585" s="115"/>
      <c r="CJ585" s="115"/>
      <c r="CK585" s="115"/>
      <c r="CL585" s="115"/>
      <c r="CM585" s="115"/>
      <c r="CN585" s="115"/>
      <c r="CO585" s="115"/>
      <c r="CP585" s="115"/>
      <c r="CQ585" s="115"/>
      <c r="CR585" s="115"/>
      <c r="CS585" s="115"/>
      <c r="CT585" s="714"/>
      <c r="CU585" s="115"/>
      <c r="CV585" s="115"/>
      <c r="CW585" s="115"/>
      <c r="CX585" s="115"/>
      <c r="CY585" s="115"/>
      <c r="CZ585" s="115"/>
      <c r="DA585" s="115"/>
      <c r="DB585" s="115"/>
      <c r="DC585" s="115"/>
      <c r="DD585" s="115"/>
      <c r="DE585" s="115"/>
      <c r="DF585" s="714"/>
      <c r="DG585" s="115"/>
      <c r="DH585" s="115"/>
      <c r="DI585" s="115"/>
      <c r="DJ585" s="115"/>
      <c r="DK585" s="115"/>
      <c r="DL585" s="115"/>
      <c r="DM585" s="115"/>
      <c r="DN585" s="115"/>
      <c r="DO585" s="115"/>
      <c r="DP585" s="115"/>
      <c r="DQ585" s="115"/>
      <c r="DR585" s="115"/>
      <c r="DS585" s="115"/>
      <c r="DT585" s="115"/>
      <c r="DU585" s="115"/>
      <c r="DV585" s="115"/>
      <c r="DW585" s="115"/>
      <c r="DX585" s="115"/>
      <c r="DY585" s="115"/>
      <c r="DZ585" s="115"/>
      <c r="EA585" s="115"/>
      <c r="EB585" s="115"/>
      <c r="EC585" s="645"/>
      <c r="ED585" s="113" t="s">
        <v>1</v>
      </c>
    </row>
    <row r="586" spans="1:134" x14ac:dyDescent="0.2">
      <c r="A586" s="135" t="s">
        <v>276</v>
      </c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115"/>
      <c r="AS586" s="115"/>
      <c r="AT586" s="115"/>
      <c r="AU586" s="115"/>
      <c r="AV586" s="115"/>
      <c r="AW586" s="115"/>
      <c r="AX586" s="115"/>
      <c r="AY586" s="115"/>
      <c r="AZ586" s="115"/>
      <c r="BA586" s="115"/>
      <c r="BB586" s="115"/>
      <c r="BC586" s="115"/>
      <c r="BD586" s="115"/>
      <c r="BE586" s="115"/>
      <c r="BF586" s="115"/>
      <c r="BG586" s="115"/>
      <c r="BH586" s="115"/>
      <c r="BI586" s="115"/>
      <c r="BJ586" s="115"/>
      <c r="BK586" s="115"/>
      <c r="BL586" s="115"/>
      <c r="BM586" s="115"/>
      <c r="BN586" s="115"/>
      <c r="BO586" s="115"/>
      <c r="BP586" s="115"/>
      <c r="BQ586" s="115"/>
      <c r="BR586" s="115"/>
      <c r="BS586" s="115"/>
      <c r="BT586" s="115"/>
      <c r="BU586" s="115"/>
      <c r="BV586" s="115"/>
      <c r="BW586" s="115"/>
      <c r="BX586" s="115"/>
      <c r="BY586" s="115"/>
      <c r="BZ586" s="115"/>
      <c r="CA586" s="115"/>
      <c r="CB586" s="115"/>
      <c r="CC586" s="115"/>
      <c r="CD586" s="115"/>
      <c r="CE586" s="115"/>
      <c r="CF586" s="115"/>
      <c r="CG586" s="115"/>
      <c r="CH586" s="115"/>
      <c r="CI586" s="115"/>
      <c r="CJ586" s="115"/>
      <c r="CK586" s="115"/>
      <c r="CL586" s="115"/>
      <c r="CM586" s="115"/>
      <c r="CN586" s="115"/>
      <c r="CO586" s="115"/>
      <c r="CP586" s="115"/>
      <c r="CQ586" s="115"/>
      <c r="CR586" s="115"/>
      <c r="CS586" s="115"/>
      <c r="CT586" s="742">
        <v>0.05</v>
      </c>
      <c r="CU586" s="115"/>
      <c r="CV586" s="115"/>
      <c r="CW586" s="115"/>
      <c r="CX586" s="115"/>
      <c r="CY586" s="115"/>
      <c r="CZ586" s="115"/>
      <c r="DA586" s="115"/>
      <c r="DB586" s="115"/>
      <c r="DC586" s="115"/>
      <c r="DD586" s="115"/>
      <c r="DE586" s="115"/>
      <c r="DF586" s="742">
        <v>0.05</v>
      </c>
      <c r="DG586" s="115"/>
      <c r="DH586" s="115"/>
      <c r="DI586" s="115"/>
      <c r="DJ586" s="115"/>
      <c r="DK586" s="115"/>
      <c r="DL586" s="115"/>
      <c r="DM586" s="115"/>
      <c r="DN586" s="115"/>
      <c r="DO586" s="115"/>
      <c r="DP586" s="115"/>
      <c r="DQ586" s="115"/>
      <c r="DR586" s="742">
        <v>0.05</v>
      </c>
      <c r="DS586" s="115"/>
      <c r="DT586" s="115"/>
      <c r="DU586" s="115"/>
      <c r="DV586" s="115"/>
      <c r="DW586" s="115"/>
      <c r="DX586" s="115"/>
      <c r="DY586" s="115"/>
      <c r="DZ586" s="115"/>
      <c r="EA586" s="115"/>
      <c r="EB586" s="115"/>
      <c r="EC586" s="645"/>
      <c r="ED586" s="113" t="s">
        <v>1</v>
      </c>
    </row>
    <row r="587" spans="1:134" x14ac:dyDescent="0.2">
      <c r="A587" s="135" t="s">
        <v>277</v>
      </c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15"/>
      <c r="AU587" s="115"/>
      <c r="AV587" s="115"/>
      <c r="AW587" s="115"/>
      <c r="AX587" s="115"/>
      <c r="AY587" s="115"/>
      <c r="AZ587" s="115"/>
      <c r="BA587" s="115"/>
      <c r="BB587" s="115"/>
      <c r="BC587" s="115"/>
      <c r="BD587" s="115"/>
      <c r="BE587" s="115"/>
      <c r="BF587" s="115"/>
      <c r="BG587" s="115"/>
      <c r="BH587" s="115"/>
      <c r="BI587" s="115"/>
      <c r="BJ587" s="115"/>
      <c r="BK587" s="115"/>
      <c r="BL587" s="115"/>
      <c r="BM587" s="115"/>
      <c r="BN587" s="115"/>
      <c r="BO587" s="115"/>
      <c r="BP587" s="115"/>
      <c r="BQ587" s="115"/>
      <c r="BR587" s="115"/>
      <c r="BS587" s="115"/>
      <c r="BT587" s="115"/>
      <c r="BU587" s="115"/>
      <c r="BV587" s="115"/>
      <c r="BW587" s="115"/>
      <c r="BX587" s="115"/>
      <c r="BY587" s="115"/>
      <c r="BZ587" s="115"/>
      <c r="CA587" s="115"/>
      <c r="CB587" s="115"/>
      <c r="CC587" s="115"/>
      <c r="CD587" s="115"/>
      <c r="CE587" s="115"/>
      <c r="CF587" s="115"/>
      <c r="CG587" s="115"/>
      <c r="CH587" s="115"/>
      <c r="CI587" s="115"/>
      <c r="CJ587" s="115"/>
      <c r="CK587" s="115"/>
      <c r="CL587" s="115"/>
      <c r="CM587" s="115"/>
      <c r="CN587" s="115"/>
      <c r="CO587" s="115"/>
      <c r="CP587" s="115"/>
      <c r="CQ587" s="115"/>
      <c r="CR587" s="115"/>
      <c r="CS587" s="115"/>
      <c r="CT587" s="742">
        <v>0.1</v>
      </c>
      <c r="CU587" s="115"/>
      <c r="CV587" s="115"/>
      <c r="CW587" s="115"/>
      <c r="CX587" s="115"/>
      <c r="CY587" s="115"/>
      <c r="CZ587" s="115"/>
      <c r="DA587" s="115"/>
      <c r="DB587" s="115"/>
      <c r="DC587" s="115"/>
      <c r="DD587" s="115"/>
      <c r="DE587" s="115"/>
      <c r="DF587" s="742">
        <v>0.05</v>
      </c>
      <c r="DG587" s="115"/>
      <c r="DH587" s="115"/>
      <c r="DI587" s="115"/>
      <c r="DJ587" s="115"/>
      <c r="DK587" s="115"/>
      <c r="DL587" s="115"/>
      <c r="DM587" s="115"/>
      <c r="DN587" s="115"/>
      <c r="DO587" s="115"/>
      <c r="DP587" s="115"/>
      <c r="DQ587" s="115"/>
      <c r="DR587" s="742">
        <v>0.05</v>
      </c>
      <c r="DS587" s="115"/>
      <c r="DT587" s="115"/>
      <c r="DU587" s="115"/>
      <c r="DV587" s="115"/>
      <c r="DW587" s="115"/>
      <c r="DX587" s="115"/>
      <c r="DY587" s="115"/>
      <c r="DZ587" s="115"/>
      <c r="EA587" s="115"/>
      <c r="EB587" s="115"/>
      <c r="EC587" s="645"/>
      <c r="ED587" s="113" t="s">
        <v>1</v>
      </c>
    </row>
    <row r="588" spans="1:134" x14ac:dyDescent="0.2">
      <c r="A588" s="135" t="s">
        <v>278</v>
      </c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15"/>
      <c r="AU588" s="115"/>
      <c r="AV588" s="115"/>
      <c r="AW588" s="115"/>
      <c r="AX588" s="115"/>
      <c r="AY588" s="115"/>
      <c r="AZ588" s="115"/>
      <c r="BA588" s="115"/>
      <c r="BB588" s="115"/>
      <c r="BC588" s="115"/>
      <c r="BD588" s="115"/>
      <c r="BE588" s="115"/>
      <c r="BF588" s="115"/>
      <c r="BG588" s="115"/>
      <c r="BH588" s="115"/>
      <c r="BI588" s="115"/>
      <c r="BJ588" s="115"/>
      <c r="BK588" s="115"/>
      <c r="BL588" s="115"/>
      <c r="BM588" s="115"/>
      <c r="BN588" s="115"/>
      <c r="BO588" s="115"/>
      <c r="BP588" s="115"/>
      <c r="BQ588" s="115"/>
      <c r="BR588" s="115"/>
      <c r="BS588" s="115"/>
      <c r="BT588" s="115"/>
      <c r="BU588" s="115"/>
      <c r="BV588" s="115"/>
      <c r="BW588" s="115"/>
      <c r="BX588" s="115"/>
      <c r="BY588" s="115"/>
      <c r="BZ588" s="115"/>
      <c r="CA588" s="115"/>
      <c r="CB588" s="115"/>
      <c r="CC588" s="115"/>
      <c r="CD588" s="115"/>
      <c r="CE588" s="115"/>
      <c r="CF588" s="115"/>
      <c r="CG588" s="115"/>
      <c r="CH588" s="115"/>
      <c r="CI588" s="115"/>
      <c r="CJ588" s="115"/>
      <c r="CK588" s="115"/>
      <c r="CL588" s="115"/>
      <c r="CM588" s="115"/>
      <c r="CN588" s="115"/>
      <c r="CO588" s="115"/>
      <c r="CP588" s="115"/>
      <c r="CQ588" s="115"/>
      <c r="CR588" s="115"/>
      <c r="CS588" s="115"/>
      <c r="CT588" s="742">
        <v>0.05</v>
      </c>
      <c r="CU588" s="115"/>
      <c r="CV588" s="115"/>
      <c r="CW588" s="115"/>
      <c r="CX588" s="115"/>
      <c r="CY588" s="115"/>
      <c r="CZ588" s="115"/>
      <c r="DA588" s="115"/>
      <c r="DB588" s="115"/>
      <c r="DC588" s="115"/>
      <c r="DD588" s="115"/>
      <c r="DE588" s="115"/>
      <c r="DF588" s="742">
        <v>0.05</v>
      </c>
      <c r="DG588" s="115"/>
      <c r="DH588" s="115"/>
      <c r="DI588" s="115"/>
      <c r="DJ588" s="115"/>
      <c r="DK588" s="115"/>
      <c r="DL588" s="115"/>
      <c r="DM588" s="115"/>
      <c r="DN588" s="115"/>
      <c r="DO588" s="115"/>
      <c r="DP588" s="115"/>
      <c r="DQ588" s="115"/>
      <c r="DR588" s="742">
        <v>0.05</v>
      </c>
      <c r="DS588" s="115"/>
      <c r="DT588" s="115"/>
      <c r="DU588" s="115"/>
      <c r="DV588" s="115"/>
      <c r="DW588" s="115"/>
      <c r="DX588" s="115"/>
      <c r="DY588" s="115"/>
      <c r="DZ588" s="115"/>
      <c r="EA588" s="115"/>
      <c r="EB588" s="115"/>
      <c r="EC588" s="645"/>
      <c r="ED588" s="113" t="s">
        <v>1</v>
      </c>
    </row>
    <row r="589" spans="1:134" x14ac:dyDescent="0.2">
      <c r="A589" s="117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15"/>
      <c r="AU589" s="115"/>
      <c r="AV589" s="115"/>
      <c r="AW589" s="115"/>
      <c r="AX589" s="115"/>
      <c r="AY589" s="115"/>
      <c r="AZ589" s="115"/>
      <c r="BA589" s="115"/>
      <c r="BB589" s="115"/>
      <c r="BC589" s="115"/>
      <c r="BD589" s="115"/>
      <c r="BE589" s="115"/>
      <c r="BF589" s="115"/>
      <c r="BG589" s="115"/>
      <c r="BH589" s="115"/>
      <c r="BI589" s="115"/>
      <c r="BJ589" s="115"/>
      <c r="BK589" s="115"/>
      <c r="BL589" s="115"/>
      <c r="BM589" s="115"/>
      <c r="BN589" s="115"/>
      <c r="BO589" s="115"/>
      <c r="BP589" s="115"/>
      <c r="BQ589" s="115"/>
      <c r="BR589" s="115"/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115"/>
      <c r="CC589" s="115"/>
      <c r="CD589" s="115"/>
      <c r="CE589" s="115"/>
      <c r="CF589" s="115"/>
      <c r="CG589" s="115"/>
      <c r="CH589" s="115"/>
      <c r="CI589" s="115"/>
      <c r="CJ589" s="115"/>
      <c r="CK589" s="115"/>
      <c r="CL589" s="115"/>
      <c r="CM589" s="115"/>
      <c r="CN589" s="115"/>
      <c r="CO589" s="115"/>
      <c r="CP589" s="115"/>
      <c r="CQ589" s="115"/>
      <c r="CR589" s="115"/>
      <c r="CS589" s="115"/>
      <c r="CT589" s="115"/>
      <c r="CU589" s="115"/>
      <c r="CV589" s="115"/>
      <c r="CW589" s="115"/>
      <c r="CX589" s="115"/>
      <c r="CY589" s="115"/>
      <c r="CZ589" s="115"/>
      <c r="DA589" s="115"/>
      <c r="DB589" s="115"/>
      <c r="DC589" s="115"/>
      <c r="DD589" s="115"/>
      <c r="DE589" s="115"/>
      <c r="DF589" s="115"/>
      <c r="DG589" s="115"/>
      <c r="DH589" s="115"/>
      <c r="DI589" s="115"/>
      <c r="DJ589" s="115"/>
      <c r="DK589" s="115"/>
      <c r="DL589" s="115"/>
      <c r="DM589" s="115"/>
      <c r="DN589" s="115"/>
      <c r="DO589" s="115"/>
      <c r="DP589" s="115"/>
      <c r="DQ589" s="115"/>
      <c r="DR589" s="115"/>
      <c r="DS589" s="115"/>
      <c r="DT589" s="115"/>
      <c r="DU589" s="115"/>
      <c r="DV589" s="115"/>
      <c r="DW589" s="115"/>
      <c r="DX589" s="115"/>
      <c r="DY589" s="115"/>
      <c r="DZ589" s="115"/>
      <c r="EA589" s="115"/>
      <c r="EB589" s="115"/>
      <c r="EC589" s="645"/>
      <c r="ED589" s="113" t="s">
        <v>1</v>
      </c>
    </row>
    <row r="590" spans="1:134" x14ac:dyDescent="0.2">
      <c r="A590" s="728" t="s">
        <v>56</v>
      </c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29">
        <v>3197.81518904824</v>
      </c>
      <c r="AC590" s="129">
        <v>3197.81518904824</v>
      </c>
      <c r="AD590" s="129">
        <v>17574.92649434572</v>
      </c>
      <c r="AE590" s="129">
        <v>58403.982420554428</v>
      </c>
      <c r="AF590" s="129">
        <v>32848.860487804879</v>
      </c>
      <c r="AG590" s="129">
        <v>23827.303913167667</v>
      </c>
      <c r="AH590" s="129">
        <v>44753.370173745177</v>
      </c>
      <c r="AI590" s="129">
        <v>47828.500495094064</v>
      </c>
      <c r="AJ590" s="129">
        <v>39522.187020950434</v>
      </c>
      <c r="AK590" s="129">
        <v>77873.859806466833</v>
      </c>
      <c r="AL590" s="129">
        <v>26441.484061227355</v>
      </c>
      <c r="AM590" s="129">
        <v>0</v>
      </c>
      <c r="AN590" s="129">
        <v>10399.867247007616</v>
      </c>
      <c r="AO590" s="129">
        <v>41206.150029533375</v>
      </c>
      <c r="AP590" s="129">
        <v>211935.56399437413</v>
      </c>
      <c r="AQ590" s="129">
        <v>215179.84220590585</v>
      </c>
      <c r="AR590" s="129">
        <v>405525.97379392496</v>
      </c>
      <c r="AS590" s="129">
        <v>448046.5761937013</v>
      </c>
      <c r="AT590" s="129">
        <v>341329.13411439024</v>
      </c>
      <c r="AU590" s="129">
        <v>472256.37091919431</v>
      </c>
      <c r="AV590" s="129">
        <v>584214.93903156242</v>
      </c>
      <c r="AW590" s="129">
        <v>586837.14170048281</v>
      </c>
      <c r="AX590" s="129">
        <v>531288.9130342335</v>
      </c>
      <c r="AY590" s="129">
        <v>750597</v>
      </c>
      <c r="AZ590" s="129">
        <v>1088971.9486847478</v>
      </c>
      <c r="BA590" s="129">
        <v>2723535.6805717899</v>
      </c>
      <c r="BB590" s="129">
        <v>4317268.9406789113</v>
      </c>
      <c r="BC590" s="129">
        <v>3002268.1213020701</v>
      </c>
      <c r="BD590" s="129">
        <v>2904116.0428485167</v>
      </c>
      <c r="BE590" s="129">
        <v>999261.18623588956</v>
      </c>
      <c r="BF590" s="129">
        <v>419917.12626221951</v>
      </c>
      <c r="BG590" s="129">
        <v>1020779.6924305564</v>
      </c>
      <c r="BH590" s="129">
        <v>1274197.6848224055</v>
      </c>
      <c r="BI590" s="129">
        <v>728169.38350239431</v>
      </c>
      <c r="BJ590" s="129">
        <v>0</v>
      </c>
      <c r="BK590" s="129">
        <v>0</v>
      </c>
      <c r="BL590" s="129">
        <v>180000</v>
      </c>
      <c r="BM590" s="129">
        <v>582854</v>
      </c>
      <c r="BN590" s="129">
        <v>247040</v>
      </c>
      <c r="BO590" s="129">
        <v>0</v>
      </c>
      <c r="BP590" s="129">
        <v>0</v>
      </c>
      <c r="BQ590" s="129">
        <v>342323</v>
      </c>
      <c r="BR590" s="129">
        <v>314374</v>
      </c>
      <c r="BS590" s="129">
        <v>198210</v>
      </c>
      <c r="BT590" s="129">
        <v>0</v>
      </c>
      <c r="BU590" s="129">
        <v>165544</v>
      </c>
      <c r="BV590" s="129">
        <v>0</v>
      </c>
      <c r="BW590" s="129">
        <v>0</v>
      </c>
      <c r="BX590" s="129">
        <v>248712</v>
      </c>
      <c r="BY590" s="129">
        <v>233828</v>
      </c>
      <c r="BZ590" s="129">
        <v>176926</v>
      </c>
      <c r="CA590" s="129">
        <v>13000</v>
      </c>
      <c r="CB590" s="129">
        <v>0</v>
      </c>
      <c r="CC590" s="129">
        <v>0</v>
      </c>
      <c r="CD590" s="129">
        <v>0</v>
      </c>
      <c r="CE590" s="129">
        <v>0</v>
      </c>
      <c r="CF590" s="129">
        <v>0</v>
      </c>
      <c r="CG590" s="129">
        <v>0</v>
      </c>
      <c r="CH590" s="129">
        <v>0</v>
      </c>
      <c r="CI590" s="129">
        <v>0</v>
      </c>
      <c r="CJ590" s="129">
        <v>0</v>
      </c>
      <c r="CK590" s="129">
        <v>0</v>
      </c>
      <c r="CL590" s="129">
        <v>0</v>
      </c>
      <c r="CM590" s="129">
        <v>0</v>
      </c>
      <c r="CN590" s="129">
        <v>0</v>
      </c>
      <c r="CO590" s="129">
        <v>505000</v>
      </c>
      <c r="CP590" s="129">
        <v>816500</v>
      </c>
      <c r="CQ590" s="129">
        <v>957536</v>
      </c>
      <c r="CR590" s="129">
        <v>927000</v>
      </c>
      <c r="CS590" s="129">
        <v>1471500</v>
      </c>
      <c r="CT590" s="129">
        <f>CT461*CT591</f>
        <v>1226889.8569989335</v>
      </c>
      <c r="CU590" s="129">
        <f t="shared" ref="CU590:EC590" si="2267">CU461*CU591</f>
        <v>1201495.8713118734</v>
      </c>
      <c r="CV590" s="129">
        <f t="shared" si="2267"/>
        <v>1198991.3785396363</v>
      </c>
      <c r="CW590" s="129">
        <f t="shared" si="2267"/>
        <v>1298346.4172030289</v>
      </c>
      <c r="CX590" s="129">
        <f t="shared" si="2267"/>
        <v>1160006.764560187</v>
      </c>
      <c r="CY590" s="129">
        <f t="shared" si="2267"/>
        <v>1077172.5799783214</v>
      </c>
      <c r="CZ590" s="129">
        <f t="shared" si="2267"/>
        <v>1344050.5446736782</v>
      </c>
      <c r="DA590" s="129">
        <f t="shared" si="2267"/>
        <v>1237779.7067698226</v>
      </c>
      <c r="DB590" s="129">
        <f t="shared" si="2267"/>
        <v>1472490.7504024331</v>
      </c>
      <c r="DC590" s="129">
        <f t="shared" si="2267"/>
        <v>1508659.4771639239</v>
      </c>
      <c r="DD590" s="129">
        <f t="shared" si="2267"/>
        <v>1402898.8986000719</v>
      </c>
      <c r="DE590" s="129">
        <f t="shared" si="2267"/>
        <v>1631939.3445971631</v>
      </c>
      <c r="DF590" s="129">
        <f t="shared" si="2267"/>
        <v>1500333.0008322971</v>
      </c>
      <c r="DG590" s="129">
        <f t="shared" si="2267"/>
        <v>1472958.7972953918</v>
      </c>
      <c r="DH590" s="129">
        <f t="shared" si="2267"/>
        <v>1462243.4931035852</v>
      </c>
      <c r="DI590" s="129">
        <f t="shared" si="2267"/>
        <v>1582600.8043687134</v>
      </c>
      <c r="DJ590" s="129">
        <f t="shared" si="2267"/>
        <v>1410888.9760385423</v>
      </c>
      <c r="DK590" s="129">
        <f t="shared" si="2267"/>
        <v>1306937.5468106153</v>
      </c>
      <c r="DL590" s="129">
        <f t="shared" si="2267"/>
        <v>1625885.8835801564</v>
      </c>
      <c r="DM590" s="129">
        <f t="shared" si="2267"/>
        <v>1489367.6193062547</v>
      </c>
      <c r="DN590" s="129">
        <f t="shared" si="2267"/>
        <v>1765982.8083184469</v>
      </c>
      <c r="DO590" s="129">
        <f t="shared" si="2267"/>
        <v>1801893.0520314004</v>
      </c>
      <c r="DP590" s="129">
        <f t="shared" si="2267"/>
        <v>1667207.3437379277</v>
      </c>
      <c r="DQ590" s="129">
        <f t="shared" si="2267"/>
        <v>1918455.6802601432</v>
      </c>
      <c r="DR590" s="129">
        <f t="shared" si="2267"/>
        <v>1709510.2348196788</v>
      </c>
      <c r="DS590" s="129">
        <f t="shared" si="2267"/>
        <v>1676641.7654491449</v>
      </c>
      <c r="DT590" s="129">
        <f t="shared" si="2267"/>
        <v>1663380.0097162067</v>
      </c>
      <c r="DU590" s="129">
        <f t="shared" si="2267"/>
        <v>1799697.2544132294</v>
      </c>
      <c r="DV590" s="129">
        <f t="shared" si="2267"/>
        <v>1602343.2598128433</v>
      </c>
      <c r="DW590" s="129">
        <f t="shared" si="2267"/>
        <v>1482102.0783999688</v>
      </c>
      <c r="DX590" s="129">
        <f t="shared" si="2267"/>
        <v>1844772.7078034615</v>
      </c>
      <c r="DY590" s="129">
        <f t="shared" si="2267"/>
        <v>1688399.7958660338</v>
      </c>
      <c r="DZ590" s="129">
        <f t="shared" si="2267"/>
        <v>2002575.5301997934</v>
      </c>
      <c r="EA590" s="129">
        <f t="shared" si="2267"/>
        <v>2042857.9088945061</v>
      </c>
      <c r="EB590" s="129">
        <f t="shared" si="2267"/>
        <v>1888654.6120674203</v>
      </c>
      <c r="EC590" s="129">
        <f t="shared" si="2267"/>
        <v>2173634.0325429691</v>
      </c>
      <c r="ED590" s="113" t="s">
        <v>1</v>
      </c>
    </row>
    <row r="591" spans="1:134" x14ac:dyDescent="0.2">
      <c r="A591" s="117" t="s">
        <v>206</v>
      </c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85">
        <f>AB590/AB461</f>
        <v>4.0673434752283273E-4</v>
      </c>
      <c r="AC591" s="185">
        <f t="shared" ref="AC591:CN591" si="2268">AC590/AC461</f>
        <v>4.3857254446273426E-4</v>
      </c>
      <c r="AD591" s="185">
        <f t="shared" si="2268"/>
        <v>1.9186491020365085E-3</v>
      </c>
      <c r="AE591" s="185">
        <f t="shared" si="2268"/>
        <v>5.1008357685913405E-3</v>
      </c>
      <c r="AF591" s="185">
        <f t="shared" si="2268"/>
        <v>2.7685705034114164E-3</v>
      </c>
      <c r="AG591" s="185">
        <f t="shared" si="2268"/>
        <v>1.3965971138423831E-3</v>
      </c>
      <c r="AH591" s="185">
        <f t="shared" si="2268"/>
        <v>1.139784362007179E-3</v>
      </c>
      <c r="AI591" s="185">
        <f t="shared" si="2268"/>
        <v>1.1878850755027799E-3</v>
      </c>
      <c r="AJ591" s="185">
        <f t="shared" si="2268"/>
        <v>1.0097028994831827E-3</v>
      </c>
      <c r="AK591" s="185">
        <f t="shared" si="2268"/>
        <v>1.7893667339791035E-3</v>
      </c>
      <c r="AL591" s="185">
        <f t="shared" si="2268"/>
        <v>1.0633582723776924E-3</v>
      </c>
      <c r="AM591" s="185">
        <f t="shared" si="2268"/>
        <v>0</v>
      </c>
      <c r="AN591" s="185">
        <f t="shared" si="2268"/>
        <v>5.6630895168726346E-4</v>
      </c>
      <c r="AO591" s="185">
        <f t="shared" si="2268"/>
        <v>1.5074369677423537E-3</v>
      </c>
      <c r="AP591" s="185">
        <f t="shared" si="2268"/>
        <v>6.0636967582747238E-3</v>
      </c>
      <c r="AQ591" s="185">
        <f t="shared" si="2268"/>
        <v>4.5790688783748819E-3</v>
      </c>
      <c r="AR591" s="185">
        <f t="shared" si="2268"/>
        <v>7.0836907067617439E-3</v>
      </c>
      <c r="AS591" s="185">
        <f t="shared" si="2268"/>
        <v>5.5980132873444544E-3</v>
      </c>
      <c r="AT591" s="185">
        <f t="shared" si="2268"/>
        <v>3.5232161634215081E-3</v>
      </c>
      <c r="AU591" s="185">
        <f t="shared" si="2268"/>
        <v>4.9621152742061019E-3</v>
      </c>
      <c r="AV591" s="185">
        <f t="shared" si="2268"/>
        <v>5.7064611190639986E-3</v>
      </c>
      <c r="AW591" s="185">
        <f t="shared" si="2268"/>
        <v>5.1139873139007712E-3</v>
      </c>
      <c r="AX591" s="185">
        <f t="shared" si="2268"/>
        <v>5.1468132118228649E-3</v>
      </c>
      <c r="AY591" s="185">
        <f t="shared" si="2268"/>
        <v>5.9594375106256283E-3</v>
      </c>
      <c r="AZ591" s="185">
        <f t="shared" si="2268"/>
        <v>7.2544106480235673E-3</v>
      </c>
      <c r="BA591" s="185">
        <f t="shared" si="2268"/>
        <v>1.7579453270411625E-2</v>
      </c>
      <c r="BB591" s="185">
        <f t="shared" si="2268"/>
        <v>2.6594865606457515E-2</v>
      </c>
      <c r="BC591" s="185">
        <f t="shared" si="2268"/>
        <v>1.9182413056404706E-2</v>
      </c>
      <c r="BD591" s="185">
        <f t="shared" si="2268"/>
        <v>1.6718913984299359E-2</v>
      </c>
      <c r="BE591" s="185">
        <f t="shared" si="2268"/>
        <v>5.5645995251731133E-3</v>
      </c>
      <c r="BF591" s="185">
        <f t="shared" si="2268"/>
        <v>1.934773801895949E-3</v>
      </c>
      <c r="BG591" s="185">
        <f t="shared" si="2268"/>
        <v>4.2788656379052076E-3</v>
      </c>
      <c r="BH591" s="185">
        <f t="shared" si="2268"/>
        <v>5.3874018623264758E-3</v>
      </c>
      <c r="BI591" s="185">
        <f t="shared" si="2268"/>
        <v>2.4361351252434448E-3</v>
      </c>
      <c r="BJ591" s="185">
        <f t="shared" si="2268"/>
        <v>0</v>
      </c>
      <c r="BK591" s="185">
        <f t="shared" si="2268"/>
        <v>0</v>
      </c>
      <c r="BL591" s="185">
        <f t="shared" si="2268"/>
        <v>5.4545863877359356E-4</v>
      </c>
      <c r="BM591" s="185">
        <f t="shared" si="2268"/>
        <v>2.0034774731532701E-3</v>
      </c>
      <c r="BN591" s="185">
        <f t="shared" si="2268"/>
        <v>8.458268437723552E-4</v>
      </c>
      <c r="BO591" s="185">
        <f t="shared" si="2268"/>
        <v>0</v>
      </c>
      <c r="BP591" s="185">
        <f t="shared" si="2268"/>
        <v>0</v>
      </c>
      <c r="BQ591" s="185">
        <f t="shared" si="2268"/>
        <v>1.0040652146390933E-3</v>
      </c>
      <c r="BR591" s="185">
        <f t="shared" si="2268"/>
        <v>1.0652341655921977E-3</v>
      </c>
      <c r="BS591" s="185">
        <f t="shared" si="2268"/>
        <v>7.4597885121837054E-4</v>
      </c>
      <c r="BT591" s="185">
        <f t="shared" si="2268"/>
        <v>0</v>
      </c>
      <c r="BU591" s="185">
        <f t="shared" si="2268"/>
        <v>5.6489194112784393E-4</v>
      </c>
      <c r="BV591" s="185">
        <f t="shared" si="2268"/>
        <v>0</v>
      </c>
      <c r="BW591" s="185">
        <f t="shared" si="2268"/>
        <v>0</v>
      </c>
      <c r="BX591" s="185">
        <f t="shared" si="2268"/>
        <v>7.4507622772001223E-4</v>
      </c>
      <c r="BY591" s="185">
        <f t="shared" si="2268"/>
        <v>7.3979244264079692E-4</v>
      </c>
      <c r="BZ591" s="185">
        <f t="shared" si="2268"/>
        <v>6.5749256158700224E-4</v>
      </c>
      <c r="CA591" s="185">
        <f t="shared" si="2268"/>
        <v>5.6098405778047594E-5</v>
      </c>
      <c r="CB591" s="185">
        <f t="shared" si="2268"/>
        <v>0</v>
      </c>
      <c r="CC591" s="185">
        <f t="shared" si="2268"/>
        <v>0</v>
      </c>
      <c r="CD591" s="185">
        <f t="shared" si="2268"/>
        <v>0</v>
      </c>
      <c r="CE591" s="185">
        <f t="shared" si="2268"/>
        <v>0</v>
      </c>
      <c r="CF591" s="185">
        <f t="shared" si="2268"/>
        <v>0</v>
      </c>
      <c r="CG591" s="185">
        <f t="shared" si="2268"/>
        <v>0</v>
      </c>
      <c r="CH591" s="185">
        <f t="shared" si="2268"/>
        <v>0</v>
      </c>
      <c r="CI591" s="185">
        <f t="shared" si="2268"/>
        <v>0</v>
      </c>
      <c r="CJ591" s="185">
        <f t="shared" si="2268"/>
        <v>0</v>
      </c>
      <c r="CK591" s="185">
        <f t="shared" si="2268"/>
        <v>0</v>
      </c>
      <c r="CL591" s="185">
        <f t="shared" si="2268"/>
        <v>0</v>
      </c>
      <c r="CM591" s="185">
        <f t="shared" si="2268"/>
        <v>0</v>
      </c>
      <c r="CN591" s="185">
        <f t="shared" si="2268"/>
        <v>0</v>
      </c>
      <c r="CO591" s="185">
        <f t="shared" ref="CO591:CS591" si="2269">CO590/CO461</f>
        <v>1.0125990863064621E-3</v>
      </c>
      <c r="CP591" s="185">
        <f t="shared" si="2269"/>
        <v>1.3098088236060102E-3</v>
      </c>
      <c r="CQ591" s="185">
        <f t="shared" si="2269"/>
        <v>1.4518007964121292E-3</v>
      </c>
      <c r="CR591" s="185">
        <f t="shared" si="2269"/>
        <v>1.451351386453911E-3</v>
      </c>
      <c r="CS591" s="185">
        <f t="shared" si="2269"/>
        <v>1.9187141257330821E-3</v>
      </c>
      <c r="CT591" s="711">
        <f>CS591</f>
        <v>1.9187141257330821E-3</v>
      </c>
      <c r="CU591" s="711">
        <f t="shared" ref="CU591:EC591" si="2270">CT591</f>
        <v>1.9187141257330821E-3</v>
      </c>
      <c r="CV591" s="711">
        <f t="shared" si="2270"/>
        <v>1.9187141257330821E-3</v>
      </c>
      <c r="CW591" s="711">
        <f t="shared" si="2270"/>
        <v>1.9187141257330821E-3</v>
      </c>
      <c r="CX591" s="711">
        <f t="shared" si="2270"/>
        <v>1.9187141257330821E-3</v>
      </c>
      <c r="CY591" s="711">
        <f t="shared" si="2270"/>
        <v>1.9187141257330821E-3</v>
      </c>
      <c r="CZ591" s="711">
        <f t="shared" si="2270"/>
        <v>1.9187141257330821E-3</v>
      </c>
      <c r="DA591" s="711">
        <f t="shared" si="2270"/>
        <v>1.9187141257330821E-3</v>
      </c>
      <c r="DB591" s="711">
        <f t="shared" si="2270"/>
        <v>1.9187141257330821E-3</v>
      </c>
      <c r="DC591" s="711">
        <f t="shared" si="2270"/>
        <v>1.9187141257330821E-3</v>
      </c>
      <c r="DD591" s="711">
        <f t="shared" si="2270"/>
        <v>1.9187141257330821E-3</v>
      </c>
      <c r="DE591" s="711">
        <f t="shared" si="2270"/>
        <v>1.9187141257330821E-3</v>
      </c>
      <c r="DF591" s="711">
        <f t="shared" si="2270"/>
        <v>1.9187141257330821E-3</v>
      </c>
      <c r="DG591" s="711">
        <f t="shared" si="2270"/>
        <v>1.9187141257330821E-3</v>
      </c>
      <c r="DH591" s="711">
        <f t="shared" si="2270"/>
        <v>1.9187141257330821E-3</v>
      </c>
      <c r="DI591" s="711">
        <f t="shared" si="2270"/>
        <v>1.9187141257330821E-3</v>
      </c>
      <c r="DJ591" s="711">
        <f t="shared" si="2270"/>
        <v>1.9187141257330821E-3</v>
      </c>
      <c r="DK591" s="711">
        <f t="shared" si="2270"/>
        <v>1.9187141257330821E-3</v>
      </c>
      <c r="DL591" s="711">
        <f t="shared" si="2270"/>
        <v>1.9187141257330821E-3</v>
      </c>
      <c r="DM591" s="711">
        <f t="shared" si="2270"/>
        <v>1.9187141257330821E-3</v>
      </c>
      <c r="DN591" s="711">
        <f t="shared" si="2270"/>
        <v>1.9187141257330821E-3</v>
      </c>
      <c r="DO591" s="711">
        <f t="shared" si="2270"/>
        <v>1.9187141257330821E-3</v>
      </c>
      <c r="DP591" s="711">
        <f t="shared" si="2270"/>
        <v>1.9187141257330821E-3</v>
      </c>
      <c r="DQ591" s="711">
        <f t="shared" si="2270"/>
        <v>1.9187141257330821E-3</v>
      </c>
      <c r="DR591" s="711">
        <f t="shared" si="2270"/>
        <v>1.9187141257330821E-3</v>
      </c>
      <c r="DS591" s="711">
        <f t="shared" si="2270"/>
        <v>1.9187141257330821E-3</v>
      </c>
      <c r="DT591" s="711">
        <f t="shared" si="2270"/>
        <v>1.9187141257330821E-3</v>
      </c>
      <c r="DU591" s="711">
        <f t="shared" si="2270"/>
        <v>1.9187141257330821E-3</v>
      </c>
      <c r="DV591" s="711">
        <f t="shared" si="2270"/>
        <v>1.9187141257330821E-3</v>
      </c>
      <c r="DW591" s="711">
        <f t="shared" si="2270"/>
        <v>1.9187141257330821E-3</v>
      </c>
      <c r="DX591" s="711">
        <f t="shared" si="2270"/>
        <v>1.9187141257330821E-3</v>
      </c>
      <c r="DY591" s="711">
        <f t="shared" si="2270"/>
        <v>1.9187141257330821E-3</v>
      </c>
      <c r="DZ591" s="711">
        <f t="shared" si="2270"/>
        <v>1.9187141257330821E-3</v>
      </c>
      <c r="EA591" s="711">
        <f t="shared" si="2270"/>
        <v>1.9187141257330821E-3</v>
      </c>
      <c r="EB591" s="711">
        <f t="shared" si="2270"/>
        <v>1.9187141257330821E-3</v>
      </c>
      <c r="EC591" s="711">
        <f t="shared" si="2270"/>
        <v>1.9187141257330821E-3</v>
      </c>
      <c r="ED591" s="113" t="s">
        <v>1</v>
      </c>
    </row>
    <row r="592" spans="1:134" x14ac:dyDescent="0.2">
      <c r="A592" s="117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15"/>
      <c r="AU592" s="115"/>
      <c r="AV592" s="115"/>
      <c r="AW592" s="115"/>
      <c r="AX592" s="115"/>
      <c r="AY592" s="115"/>
      <c r="AZ592" s="115"/>
      <c r="BA592" s="115"/>
      <c r="BB592" s="115"/>
      <c r="BC592" s="115"/>
      <c r="BD592" s="115"/>
      <c r="BE592" s="115"/>
      <c r="BF592" s="115"/>
      <c r="BG592" s="115"/>
      <c r="BH592" s="115"/>
      <c r="BI592" s="115"/>
      <c r="BJ592" s="115"/>
      <c r="BK592" s="115"/>
      <c r="BL592" s="115"/>
      <c r="BM592" s="115"/>
      <c r="BN592" s="115"/>
      <c r="BO592" s="115"/>
      <c r="BP592" s="115"/>
      <c r="BQ592" s="115"/>
      <c r="BR592" s="115"/>
      <c r="BS592" s="115"/>
      <c r="BT592" s="115"/>
      <c r="BU592" s="115"/>
      <c r="BV592" s="115"/>
      <c r="BW592" s="115"/>
      <c r="BX592" s="115"/>
      <c r="BY592" s="115"/>
      <c r="BZ592" s="115"/>
      <c r="CA592" s="115"/>
      <c r="CB592" s="115"/>
      <c r="CC592" s="115"/>
      <c r="CD592" s="115"/>
      <c r="CE592" s="115"/>
      <c r="CF592" s="115"/>
      <c r="CG592" s="115"/>
      <c r="CH592" s="115"/>
      <c r="CI592" s="115"/>
      <c r="CJ592" s="115"/>
      <c r="CK592" s="115"/>
      <c r="CL592" s="115"/>
      <c r="CM592" s="115"/>
      <c r="CN592" s="115"/>
      <c r="CO592" s="115"/>
      <c r="CP592" s="115"/>
      <c r="CQ592" s="115"/>
      <c r="CR592" s="115"/>
      <c r="CS592" s="115"/>
      <c r="CT592" s="115"/>
      <c r="CU592" s="115"/>
      <c r="CV592" s="115"/>
      <c r="CW592" s="115"/>
      <c r="CX592" s="115"/>
      <c r="CY592" s="115"/>
      <c r="CZ592" s="115"/>
      <c r="DA592" s="115"/>
      <c r="DB592" s="115"/>
      <c r="DC592" s="115"/>
      <c r="DD592" s="115"/>
      <c r="DE592" s="115"/>
      <c r="DF592" s="115"/>
      <c r="DG592" s="115"/>
      <c r="DH592" s="115"/>
      <c r="DI592" s="115"/>
      <c r="DJ592" s="115"/>
      <c r="DK592" s="115"/>
      <c r="DL592" s="115"/>
      <c r="DM592" s="115"/>
      <c r="DN592" s="115"/>
      <c r="DO592" s="115"/>
      <c r="DP592" s="115"/>
      <c r="DQ592" s="115"/>
      <c r="DR592" s="115"/>
      <c r="DS592" s="115"/>
      <c r="DT592" s="115"/>
      <c r="DU592" s="115"/>
      <c r="DV592" s="115"/>
      <c r="DW592" s="115"/>
      <c r="DX592" s="115"/>
      <c r="DY592" s="115"/>
      <c r="DZ592" s="115"/>
      <c r="EA592" s="115"/>
      <c r="EB592" s="115"/>
      <c r="EC592" s="645"/>
      <c r="ED592" s="113" t="s">
        <v>1</v>
      </c>
    </row>
    <row r="593" spans="1:134" x14ac:dyDescent="0.2">
      <c r="A593" s="728" t="s">
        <v>153</v>
      </c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29">
        <v>0</v>
      </c>
      <c r="AC593" s="129">
        <v>0</v>
      </c>
      <c r="AD593" s="129">
        <v>0</v>
      </c>
      <c r="AE593" s="129">
        <v>0</v>
      </c>
      <c r="AF593" s="129">
        <v>0</v>
      </c>
      <c r="AG593" s="129">
        <v>0</v>
      </c>
      <c r="AH593" s="129">
        <v>0</v>
      </c>
      <c r="AI593" s="129">
        <v>0</v>
      </c>
      <c r="AJ593" s="129">
        <v>0</v>
      </c>
      <c r="AK593" s="129">
        <v>0</v>
      </c>
      <c r="AL593" s="129">
        <v>0</v>
      </c>
      <c r="AM593" s="129">
        <v>0</v>
      </c>
      <c r="AN593" s="129">
        <v>0</v>
      </c>
      <c r="AO593" s="129">
        <v>0</v>
      </c>
      <c r="AP593" s="129">
        <v>0</v>
      </c>
      <c r="AQ593" s="129">
        <v>0</v>
      </c>
      <c r="AR593" s="129">
        <v>0</v>
      </c>
      <c r="AS593" s="129">
        <v>0</v>
      </c>
      <c r="AT593" s="129">
        <v>0</v>
      </c>
      <c r="AU593" s="129">
        <v>0</v>
      </c>
      <c r="AV593" s="129">
        <v>0</v>
      </c>
      <c r="AW593" s="129">
        <v>0</v>
      </c>
      <c r="AX593" s="129">
        <v>0</v>
      </c>
      <c r="AY593" s="129">
        <v>0</v>
      </c>
      <c r="AZ593" s="129">
        <v>0</v>
      </c>
      <c r="BA593" s="129">
        <v>0</v>
      </c>
      <c r="BB593" s="129">
        <v>0</v>
      </c>
      <c r="BC593" s="129">
        <v>0</v>
      </c>
      <c r="BD593" s="129">
        <v>0</v>
      </c>
      <c r="BE593" s="129">
        <v>0</v>
      </c>
      <c r="BF593" s="129">
        <v>0</v>
      </c>
      <c r="BG593" s="129">
        <v>0</v>
      </c>
      <c r="BH593" s="129">
        <v>0</v>
      </c>
      <c r="BI593" s="129">
        <v>0</v>
      </c>
      <c r="BJ593" s="129">
        <v>1892126</v>
      </c>
      <c r="BK593" s="129">
        <v>4243002</v>
      </c>
      <c r="BL593" s="129">
        <v>2888553</v>
      </c>
      <c r="BM593" s="129">
        <v>2104750</v>
      </c>
      <c r="BN593" s="129">
        <v>3000918</v>
      </c>
      <c r="BO593" s="129">
        <v>3320854</v>
      </c>
      <c r="BP593" s="129">
        <v>2475388</v>
      </c>
      <c r="BQ593" s="129">
        <v>6460376</v>
      </c>
      <c r="BR593" s="129">
        <v>3062375</v>
      </c>
      <c r="BS593" s="129">
        <v>1250646</v>
      </c>
      <c r="BT593" s="129">
        <v>5979508</v>
      </c>
      <c r="BU593" s="129">
        <v>2356534</v>
      </c>
      <c r="BV593" s="129">
        <v>1627181</v>
      </c>
      <c r="BW593" s="129">
        <v>2075701</v>
      </c>
      <c r="BX593" s="129">
        <v>1497698</v>
      </c>
      <c r="BY593" s="129">
        <v>1841441</v>
      </c>
      <c r="BZ593" s="129">
        <v>1682855</v>
      </c>
      <c r="CA593" s="129">
        <v>2023170</v>
      </c>
      <c r="CB593" s="129">
        <v>1335647</v>
      </c>
      <c r="CC593" s="129">
        <v>2019684</v>
      </c>
      <c r="CD593" s="129">
        <v>1854515</v>
      </c>
      <c r="CE593" s="129">
        <v>1827988</v>
      </c>
      <c r="CF593" s="129">
        <v>1668344</v>
      </c>
      <c r="CG593" s="129">
        <v>1569374</v>
      </c>
      <c r="CH593" s="129">
        <v>1590841</v>
      </c>
      <c r="CI593" s="129">
        <v>1932340</v>
      </c>
      <c r="CJ593" s="129">
        <v>1603602</v>
      </c>
      <c r="CK593" s="129">
        <v>1937297</v>
      </c>
      <c r="CL593" s="129">
        <v>1460566</v>
      </c>
      <c r="CM593" s="129">
        <v>1995120</v>
      </c>
      <c r="CN593" s="129">
        <v>1893728.25</v>
      </c>
      <c r="CO593" s="129">
        <v>2341462</v>
      </c>
      <c r="CP593" s="129">
        <v>3236282.75</v>
      </c>
      <c r="CQ593" s="129">
        <v>3307202</v>
      </c>
      <c r="CR593" s="129">
        <v>3009367.75</v>
      </c>
      <c r="CS593" s="129">
        <v>3527268.25</v>
      </c>
      <c r="CT593" s="115"/>
      <c r="CU593" s="115"/>
      <c r="CV593" s="115"/>
      <c r="CW593" s="115"/>
      <c r="CX593" s="115"/>
      <c r="CY593" s="115"/>
      <c r="CZ593" s="115"/>
      <c r="DA593" s="115"/>
      <c r="DB593" s="115"/>
      <c r="DC593" s="115"/>
      <c r="DD593" s="115"/>
      <c r="DE593" s="115"/>
      <c r="DF593" s="115"/>
      <c r="DG593" s="115"/>
      <c r="DH593" s="115"/>
      <c r="DI593" s="115"/>
      <c r="DJ593" s="115"/>
      <c r="DK593" s="115"/>
      <c r="DL593" s="115"/>
      <c r="DM593" s="115"/>
      <c r="DN593" s="115"/>
      <c r="DO593" s="115"/>
      <c r="DP593" s="115"/>
      <c r="DQ593" s="115"/>
      <c r="DR593" s="115"/>
      <c r="DS593" s="115"/>
      <c r="DT593" s="115"/>
      <c r="DU593" s="115"/>
      <c r="DV593" s="115"/>
      <c r="DW593" s="115"/>
      <c r="DX593" s="115"/>
      <c r="DY593" s="115"/>
      <c r="DZ593" s="115"/>
      <c r="EA593" s="115"/>
      <c r="EB593" s="115"/>
      <c r="EC593" s="645"/>
      <c r="ED593" s="113" t="s">
        <v>1</v>
      </c>
    </row>
    <row r="594" spans="1:134" x14ac:dyDescent="0.2">
      <c r="A594" s="117" t="s">
        <v>207</v>
      </c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85">
        <f>AB593/AB461</f>
        <v>0</v>
      </c>
      <c r="AC594" s="185">
        <f t="shared" ref="AC594:CN594" si="2271">AC593/AC461</f>
        <v>0</v>
      </c>
      <c r="AD594" s="185">
        <f t="shared" si="2271"/>
        <v>0</v>
      </c>
      <c r="AE594" s="185">
        <f t="shared" si="2271"/>
        <v>0</v>
      </c>
      <c r="AF594" s="185">
        <f t="shared" si="2271"/>
        <v>0</v>
      </c>
      <c r="AG594" s="185">
        <f t="shared" si="2271"/>
        <v>0</v>
      </c>
      <c r="AH594" s="185">
        <f t="shared" si="2271"/>
        <v>0</v>
      </c>
      <c r="AI594" s="185">
        <f t="shared" si="2271"/>
        <v>0</v>
      </c>
      <c r="AJ594" s="185">
        <f t="shared" si="2271"/>
        <v>0</v>
      </c>
      <c r="AK594" s="185">
        <f t="shared" si="2271"/>
        <v>0</v>
      </c>
      <c r="AL594" s="185">
        <f t="shared" si="2271"/>
        <v>0</v>
      </c>
      <c r="AM594" s="185">
        <f t="shared" si="2271"/>
        <v>0</v>
      </c>
      <c r="AN594" s="185">
        <f t="shared" si="2271"/>
        <v>0</v>
      </c>
      <c r="AO594" s="185">
        <f t="shared" si="2271"/>
        <v>0</v>
      </c>
      <c r="AP594" s="185">
        <f t="shared" si="2271"/>
        <v>0</v>
      </c>
      <c r="AQ594" s="185">
        <f t="shared" si="2271"/>
        <v>0</v>
      </c>
      <c r="AR594" s="185">
        <f t="shared" si="2271"/>
        <v>0</v>
      </c>
      <c r="AS594" s="185">
        <f t="shared" si="2271"/>
        <v>0</v>
      </c>
      <c r="AT594" s="185">
        <f t="shared" si="2271"/>
        <v>0</v>
      </c>
      <c r="AU594" s="185">
        <f t="shared" si="2271"/>
        <v>0</v>
      </c>
      <c r="AV594" s="185">
        <f t="shared" si="2271"/>
        <v>0</v>
      </c>
      <c r="AW594" s="185">
        <f t="shared" si="2271"/>
        <v>0</v>
      </c>
      <c r="AX594" s="185">
        <f t="shared" si="2271"/>
        <v>0</v>
      </c>
      <c r="AY594" s="185">
        <f t="shared" si="2271"/>
        <v>0</v>
      </c>
      <c r="AZ594" s="185">
        <f t="shared" si="2271"/>
        <v>0</v>
      </c>
      <c r="BA594" s="185">
        <f t="shared" si="2271"/>
        <v>0</v>
      </c>
      <c r="BB594" s="185">
        <f t="shared" si="2271"/>
        <v>0</v>
      </c>
      <c r="BC594" s="185">
        <f t="shared" si="2271"/>
        <v>0</v>
      </c>
      <c r="BD594" s="185">
        <f t="shared" si="2271"/>
        <v>0</v>
      </c>
      <c r="BE594" s="185">
        <f t="shared" si="2271"/>
        <v>0</v>
      </c>
      <c r="BF594" s="185">
        <f t="shared" si="2271"/>
        <v>0</v>
      </c>
      <c r="BG594" s="185">
        <f t="shared" si="2271"/>
        <v>0</v>
      </c>
      <c r="BH594" s="185">
        <f t="shared" si="2271"/>
        <v>0</v>
      </c>
      <c r="BI594" s="185">
        <f t="shared" si="2271"/>
        <v>0</v>
      </c>
      <c r="BJ594" s="185">
        <f t="shared" si="2271"/>
        <v>5.9210674520192288E-3</v>
      </c>
      <c r="BK594" s="185">
        <f t="shared" si="2271"/>
        <v>1.2591249769831427E-2</v>
      </c>
      <c r="BL594" s="185">
        <f t="shared" si="2271"/>
        <v>8.7532565966965542E-3</v>
      </c>
      <c r="BM594" s="185">
        <f t="shared" si="2271"/>
        <v>7.2347778545216214E-3</v>
      </c>
      <c r="BN594" s="185">
        <f t="shared" si="2271"/>
        <v>1.0274680215186401E-2</v>
      </c>
      <c r="BO594" s="185">
        <f t="shared" si="2271"/>
        <v>1.2025938138005924E-2</v>
      </c>
      <c r="BP594" s="185">
        <f t="shared" si="2271"/>
        <v>6.3213979141533679E-3</v>
      </c>
      <c r="BQ594" s="185">
        <f t="shared" si="2271"/>
        <v>1.8948883992864186E-2</v>
      </c>
      <c r="BR594" s="185">
        <f t="shared" si="2271"/>
        <v>1.0376642081900559E-2</v>
      </c>
      <c r="BS594" s="185">
        <f t="shared" si="2271"/>
        <v>4.7069041237114686E-3</v>
      </c>
      <c r="BT594" s="185">
        <f t="shared" si="2271"/>
        <v>2.4570573659455357E-2</v>
      </c>
      <c r="BU594" s="185">
        <f t="shared" si="2271"/>
        <v>8.0412885129860501E-3</v>
      </c>
      <c r="BV594" s="185">
        <f t="shared" si="2271"/>
        <v>5.2348164084973173E-3</v>
      </c>
      <c r="BW594" s="185">
        <f t="shared" si="2271"/>
        <v>6.6592109861665473E-3</v>
      </c>
      <c r="BX594" s="185">
        <f t="shared" si="2271"/>
        <v>4.4867122459061361E-3</v>
      </c>
      <c r="BY594" s="185">
        <f t="shared" si="2271"/>
        <v>5.8260094401393833E-3</v>
      </c>
      <c r="BZ594" s="185">
        <f t="shared" si="2271"/>
        <v>6.2538272765421399E-3</v>
      </c>
      <c r="CA594" s="185">
        <f t="shared" si="2271"/>
        <v>8.7305085859978888E-3</v>
      </c>
      <c r="CB594" s="185">
        <f t="shared" si="2271"/>
        <v>4.0753122042619114E-3</v>
      </c>
      <c r="CC594" s="185">
        <f t="shared" si="2271"/>
        <v>6.3151769150170643E-3</v>
      </c>
      <c r="CD594" s="185">
        <f t="shared" si="2271"/>
        <v>4.8737044666399779E-3</v>
      </c>
      <c r="CE594" s="185">
        <f t="shared" si="2271"/>
        <v>4.6706569166034898E-3</v>
      </c>
      <c r="CF594" s="185">
        <f t="shared" si="2271"/>
        <v>4.5121269044899534E-3</v>
      </c>
      <c r="CG594" s="185">
        <f t="shared" si="2271"/>
        <v>3.4094543111443977E-3</v>
      </c>
      <c r="CH594" s="185">
        <f t="shared" si="2271"/>
        <v>3.5637908806607373E-3</v>
      </c>
      <c r="CI594" s="185">
        <f t="shared" si="2271"/>
        <v>4.5238655042283095E-3</v>
      </c>
      <c r="CJ594" s="185">
        <f t="shared" si="2271"/>
        <v>3.6553786290560524E-3</v>
      </c>
      <c r="CK594" s="185">
        <f t="shared" si="2271"/>
        <v>4.0192713292173752E-3</v>
      </c>
      <c r="CL594" s="185">
        <f t="shared" si="2271"/>
        <v>3.5877764423676421E-3</v>
      </c>
      <c r="CM594" s="185">
        <f t="shared" si="2271"/>
        <v>5.2167259462978996E-3</v>
      </c>
      <c r="CN594" s="185">
        <f t="shared" si="2271"/>
        <v>3.3958722156695784E-3</v>
      </c>
      <c r="CO594" s="185">
        <f t="shared" ref="CO594:CS594" si="2272">CO593/CO461</f>
        <v>4.6949748154877253E-3</v>
      </c>
      <c r="CP594" s="185">
        <f t="shared" si="2272"/>
        <v>5.1915636272307705E-3</v>
      </c>
      <c r="CQ594" s="185">
        <f t="shared" si="2272"/>
        <v>5.0143268738677051E-3</v>
      </c>
      <c r="CR594" s="185">
        <f t="shared" si="2272"/>
        <v>4.7115966087510107E-3</v>
      </c>
      <c r="CS594" s="185">
        <f t="shared" si="2272"/>
        <v>4.5992656585285823E-3</v>
      </c>
      <c r="CT594" s="115"/>
      <c r="CU594" s="115"/>
      <c r="CV594" s="115"/>
      <c r="CW594" s="115"/>
      <c r="CX594" s="115"/>
      <c r="CY594" s="115"/>
      <c r="CZ594" s="115"/>
      <c r="DA594" s="115"/>
      <c r="DB594" s="115"/>
      <c r="DC594" s="115"/>
      <c r="DD594" s="115"/>
      <c r="DE594" s="115"/>
      <c r="DF594" s="115"/>
      <c r="DG594" s="115"/>
      <c r="DH594" s="115"/>
      <c r="DI594" s="115"/>
      <c r="DJ594" s="115"/>
      <c r="DK594" s="115"/>
      <c r="DL594" s="115"/>
      <c r="DM594" s="115"/>
      <c r="DN594" s="115"/>
      <c r="DO594" s="115"/>
      <c r="DP594" s="115"/>
      <c r="DQ594" s="115"/>
      <c r="DR594" s="115"/>
      <c r="DS594" s="115"/>
      <c r="DT594" s="115"/>
      <c r="DU594" s="115"/>
      <c r="DV594" s="115"/>
      <c r="DW594" s="115"/>
      <c r="DX594" s="115"/>
      <c r="DY594" s="115"/>
      <c r="DZ594" s="115"/>
      <c r="EA594" s="115"/>
      <c r="EB594" s="115"/>
      <c r="EC594" s="645"/>
      <c r="ED594" s="113" t="s">
        <v>1</v>
      </c>
    </row>
    <row r="595" spans="1:134" x14ac:dyDescent="0.2">
      <c r="A595" s="117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115"/>
      <c r="AU595" s="115"/>
      <c r="AV595" s="115"/>
      <c r="AW595" s="115"/>
      <c r="AX595" s="115"/>
      <c r="AY595" s="115"/>
      <c r="AZ595" s="115"/>
      <c r="BA595" s="115"/>
      <c r="BB595" s="115"/>
      <c r="BC595" s="115"/>
      <c r="BD595" s="115"/>
      <c r="BE595" s="115"/>
      <c r="BF595" s="115"/>
      <c r="BG595" s="115"/>
      <c r="BH595" s="115"/>
      <c r="BI595" s="115"/>
      <c r="BJ595" s="115"/>
      <c r="BK595" s="115"/>
      <c r="BL595" s="115"/>
      <c r="BM595" s="115"/>
      <c r="BN595" s="115"/>
      <c r="BO595" s="115"/>
      <c r="BP595" s="115"/>
      <c r="BQ595" s="115"/>
      <c r="BR595" s="115"/>
      <c r="BS595" s="115"/>
      <c r="BT595" s="115"/>
      <c r="BU595" s="115"/>
      <c r="BV595" s="115"/>
      <c r="BW595" s="115"/>
      <c r="BX595" s="115"/>
      <c r="BY595" s="115"/>
      <c r="BZ595" s="115"/>
      <c r="CA595" s="115"/>
      <c r="CB595" s="115"/>
      <c r="CC595" s="115"/>
      <c r="CD595" s="115"/>
      <c r="CE595" s="115"/>
      <c r="CF595" s="115"/>
      <c r="CG595" s="115"/>
      <c r="CH595" s="115"/>
      <c r="CI595" s="115"/>
      <c r="CJ595" s="115"/>
      <c r="CK595" s="115"/>
      <c r="CL595" s="115"/>
      <c r="CM595" s="115"/>
      <c r="CN595" s="115"/>
      <c r="CO595" s="115"/>
      <c r="CP595" s="115"/>
      <c r="CQ595" s="115"/>
      <c r="CR595" s="115"/>
      <c r="CS595" s="115"/>
      <c r="CT595" s="115"/>
      <c r="CU595" s="115"/>
      <c r="CV595" s="115"/>
      <c r="CW595" s="115"/>
      <c r="CX595" s="115"/>
      <c r="CY595" s="115"/>
      <c r="CZ595" s="115"/>
      <c r="DA595" s="115"/>
      <c r="DB595" s="115"/>
      <c r="DC595" s="115"/>
      <c r="DD595" s="115"/>
      <c r="DE595" s="115"/>
      <c r="DF595" s="115"/>
      <c r="DG595" s="115"/>
      <c r="DH595" s="115"/>
      <c r="DI595" s="115"/>
      <c r="DJ595" s="115"/>
      <c r="DK595" s="115"/>
      <c r="DL595" s="115"/>
      <c r="DM595" s="115"/>
      <c r="DN595" s="115"/>
      <c r="DO595" s="115"/>
      <c r="DP595" s="115"/>
      <c r="DQ595" s="115"/>
      <c r="DR595" s="115"/>
      <c r="DS595" s="115"/>
      <c r="DT595" s="115"/>
      <c r="DU595" s="115"/>
      <c r="DV595" s="115"/>
      <c r="DW595" s="115"/>
      <c r="DX595" s="115"/>
      <c r="DY595" s="115"/>
      <c r="DZ595" s="115"/>
      <c r="EA595" s="115"/>
      <c r="EB595" s="115"/>
      <c r="EC595" s="645"/>
      <c r="ED595" s="113" t="s">
        <v>1</v>
      </c>
    </row>
    <row r="596" spans="1:134" s="331" customFormat="1" x14ac:dyDescent="0.2">
      <c r="A596" s="728" t="s">
        <v>60</v>
      </c>
      <c r="B596" s="330"/>
      <c r="C596" s="330"/>
      <c r="D596" s="330"/>
      <c r="E596" s="330"/>
      <c r="F596" s="330"/>
      <c r="G596" s="330"/>
      <c r="H596" s="330"/>
      <c r="I596" s="330"/>
      <c r="J596" s="330"/>
      <c r="K596" s="330"/>
      <c r="L596" s="330"/>
      <c r="M596" s="330"/>
      <c r="N596" s="330"/>
      <c r="O596" s="330"/>
      <c r="P596" s="330"/>
      <c r="Q596" s="330"/>
      <c r="R596" s="330"/>
      <c r="S596" s="330"/>
      <c r="T596" s="330"/>
      <c r="U596" s="330"/>
      <c r="V596" s="330"/>
      <c r="W596" s="330"/>
      <c r="X596" s="330"/>
      <c r="Y596" s="330"/>
      <c r="Z596" s="330"/>
      <c r="AA596" s="330"/>
      <c r="AB596" s="132">
        <f t="shared" ref="AB596:CM596" si="2273">SUM(AB597:AB598)</f>
        <v>0</v>
      </c>
      <c r="AC596" s="132">
        <f t="shared" si="2273"/>
        <v>0</v>
      </c>
      <c r="AD596" s="132">
        <f t="shared" si="2273"/>
        <v>0</v>
      </c>
      <c r="AE596" s="132">
        <f t="shared" si="2273"/>
        <v>0</v>
      </c>
      <c r="AF596" s="132">
        <f t="shared" si="2273"/>
        <v>0</v>
      </c>
      <c r="AG596" s="132">
        <f t="shared" si="2273"/>
        <v>0</v>
      </c>
      <c r="AH596" s="132">
        <f t="shared" si="2273"/>
        <v>0</v>
      </c>
      <c r="AI596" s="132">
        <f t="shared" si="2273"/>
        <v>0</v>
      </c>
      <c r="AJ596" s="132">
        <f t="shared" si="2273"/>
        <v>0</v>
      </c>
      <c r="AK596" s="132">
        <f t="shared" si="2273"/>
        <v>0</v>
      </c>
      <c r="AL596" s="132">
        <f t="shared" si="2273"/>
        <v>0</v>
      </c>
      <c r="AM596" s="132">
        <f t="shared" si="2273"/>
        <v>0</v>
      </c>
      <c r="AN596" s="132">
        <f t="shared" si="2273"/>
        <v>0</v>
      </c>
      <c r="AO596" s="132">
        <f t="shared" si="2273"/>
        <v>0</v>
      </c>
      <c r="AP596" s="132">
        <f t="shared" si="2273"/>
        <v>0</v>
      </c>
      <c r="AQ596" s="132">
        <f t="shared" si="2273"/>
        <v>0</v>
      </c>
      <c r="AR596" s="132">
        <f t="shared" si="2273"/>
        <v>0</v>
      </c>
      <c r="AS596" s="132">
        <f t="shared" si="2273"/>
        <v>0</v>
      </c>
      <c r="AT596" s="132">
        <f t="shared" si="2273"/>
        <v>0</v>
      </c>
      <c r="AU596" s="132">
        <f t="shared" si="2273"/>
        <v>0</v>
      </c>
      <c r="AV596" s="132">
        <f t="shared" si="2273"/>
        <v>0</v>
      </c>
      <c r="AW596" s="132">
        <f t="shared" si="2273"/>
        <v>0</v>
      </c>
      <c r="AX596" s="132">
        <f t="shared" si="2273"/>
        <v>0</v>
      </c>
      <c r="AY596" s="132">
        <f t="shared" si="2273"/>
        <v>0</v>
      </c>
      <c r="AZ596" s="132">
        <f t="shared" si="2273"/>
        <v>0</v>
      </c>
      <c r="BA596" s="132">
        <f t="shared" si="2273"/>
        <v>0</v>
      </c>
      <c r="BB596" s="132">
        <f t="shared" si="2273"/>
        <v>0</v>
      </c>
      <c r="BC596" s="132">
        <f t="shared" si="2273"/>
        <v>0</v>
      </c>
      <c r="BD596" s="132">
        <f t="shared" si="2273"/>
        <v>0</v>
      </c>
      <c r="BE596" s="132">
        <f t="shared" si="2273"/>
        <v>0</v>
      </c>
      <c r="BF596" s="132">
        <f t="shared" si="2273"/>
        <v>0</v>
      </c>
      <c r="BG596" s="132">
        <f t="shared" si="2273"/>
        <v>0</v>
      </c>
      <c r="BH596" s="132">
        <f t="shared" si="2273"/>
        <v>0</v>
      </c>
      <c r="BI596" s="132">
        <f t="shared" si="2273"/>
        <v>0</v>
      </c>
      <c r="BJ596" s="132">
        <f t="shared" si="2273"/>
        <v>19045908.039529681</v>
      </c>
      <c r="BK596" s="132">
        <f t="shared" si="2273"/>
        <v>18594527.312316075</v>
      </c>
      <c r="BL596" s="132">
        <f t="shared" si="2273"/>
        <v>17196719.551983632</v>
      </c>
      <c r="BM596" s="132">
        <f t="shared" si="2273"/>
        <v>16734158.254174411</v>
      </c>
      <c r="BN596" s="132">
        <f t="shared" si="2273"/>
        <v>16371865.15581014</v>
      </c>
      <c r="BO596" s="132">
        <f t="shared" si="2273"/>
        <v>16767992.866612013</v>
      </c>
      <c r="BP596" s="132">
        <f t="shared" si="2273"/>
        <v>17179798.172649235</v>
      </c>
      <c r="BQ596" s="132">
        <f t="shared" si="2273"/>
        <v>17020049.248759616</v>
      </c>
      <c r="BR596" s="132">
        <f t="shared" si="2273"/>
        <v>16045559.859791309</v>
      </c>
      <c r="BS596" s="132">
        <f t="shared" si="2273"/>
        <v>15302112.292327698</v>
      </c>
      <c r="BT596" s="132">
        <f t="shared" si="2273"/>
        <v>14462887.784359023</v>
      </c>
      <c r="BU596" s="132">
        <f t="shared" si="2273"/>
        <v>15665614.603062231</v>
      </c>
      <c r="BV596" s="132">
        <f t="shared" si="2273"/>
        <v>16560201.992054492</v>
      </c>
      <c r="BW596" s="132">
        <f t="shared" si="2273"/>
        <v>16920662.963998392</v>
      </c>
      <c r="BX596" s="132">
        <f t="shared" si="2273"/>
        <v>17104832.965620544</v>
      </c>
      <c r="BY596" s="132">
        <f t="shared" si="2273"/>
        <v>17082454.652065694</v>
      </c>
      <c r="BZ596" s="132">
        <f t="shared" si="2273"/>
        <v>17245895.683288459</v>
      </c>
      <c r="CA596" s="132">
        <f t="shared" si="2273"/>
        <v>17066604.912288457</v>
      </c>
      <c r="CB596" s="132">
        <f t="shared" si="2273"/>
        <v>18847224.900412876</v>
      </c>
      <c r="CC596" s="132">
        <f t="shared" si="2273"/>
        <v>17922777.133214742</v>
      </c>
      <c r="CD596" s="132">
        <f t="shared" si="2273"/>
        <v>18568256.289398052</v>
      </c>
      <c r="CE596" s="132">
        <f t="shared" si="2273"/>
        <v>18667441.154972121</v>
      </c>
      <c r="CF596" s="132">
        <f t="shared" si="2273"/>
        <v>18017947.92284707</v>
      </c>
      <c r="CG596" s="132">
        <f t="shared" si="2273"/>
        <v>19855267.054810427</v>
      </c>
      <c r="CH596" s="132">
        <f t="shared" si="2273"/>
        <v>17123056.394830644</v>
      </c>
      <c r="CI596" s="132">
        <f t="shared" si="2273"/>
        <v>16023017.481309216</v>
      </c>
      <c r="CJ596" s="132">
        <f t="shared" si="2273"/>
        <v>16152730.967196869</v>
      </c>
      <c r="CK596" s="132">
        <f t="shared" si="2273"/>
        <v>15991473.130976655</v>
      </c>
      <c r="CL596" s="132">
        <f t="shared" si="2273"/>
        <v>15924069.848332882</v>
      </c>
      <c r="CM596" s="132">
        <f t="shared" si="2273"/>
        <v>16644830.41279608</v>
      </c>
      <c r="CN596" s="132">
        <f t="shared" ref="CN596:CR596" si="2274">SUM(CN597:CN598)</f>
        <v>18309110.746731848</v>
      </c>
      <c r="CO596" s="132">
        <f t="shared" si="2274"/>
        <v>16644386.159273721</v>
      </c>
      <c r="CP596" s="132">
        <f t="shared" si="2274"/>
        <v>16818797.024457648</v>
      </c>
      <c r="CQ596" s="132">
        <f t="shared" si="2274"/>
        <v>18049005.181532536</v>
      </c>
      <c r="CR596" s="132">
        <f t="shared" si="2274"/>
        <v>17535689.282928742</v>
      </c>
      <c r="CS596" s="132">
        <f>SUM(CS597:CS598)</f>
        <v>18730826.301157393</v>
      </c>
      <c r="CT596" s="132">
        <f>CS596*(1+CT601)</f>
        <v>19667367.616215263</v>
      </c>
      <c r="CU596" s="132">
        <f t="shared" ref="CU596:DQ596" si="2275">CT596*(1+CU601)</f>
        <v>19667367.616215263</v>
      </c>
      <c r="CV596" s="132">
        <f t="shared" si="2275"/>
        <v>19667367.616215263</v>
      </c>
      <c r="CW596" s="132">
        <f t="shared" si="2275"/>
        <v>19667367.616215263</v>
      </c>
      <c r="CX596" s="132">
        <f t="shared" si="2275"/>
        <v>19667367.616215263</v>
      </c>
      <c r="CY596" s="132">
        <f t="shared" si="2275"/>
        <v>19667367.616215263</v>
      </c>
      <c r="CZ596" s="132">
        <f t="shared" si="2275"/>
        <v>19667367.616215263</v>
      </c>
      <c r="DA596" s="132">
        <f t="shared" si="2275"/>
        <v>19667367.616215263</v>
      </c>
      <c r="DB596" s="132">
        <f t="shared" si="2275"/>
        <v>19667367.616215263</v>
      </c>
      <c r="DC596" s="132">
        <f t="shared" si="2275"/>
        <v>19667367.616215263</v>
      </c>
      <c r="DD596" s="132">
        <f t="shared" si="2275"/>
        <v>19667367.616215263</v>
      </c>
      <c r="DE596" s="132">
        <f t="shared" si="2275"/>
        <v>19667367.616215263</v>
      </c>
      <c r="DF596" s="132">
        <f t="shared" si="2275"/>
        <v>20650735.997026026</v>
      </c>
      <c r="DG596" s="132">
        <f t="shared" si="2275"/>
        <v>20650735.997026026</v>
      </c>
      <c r="DH596" s="132">
        <f t="shared" si="2275"/>
        <v>20650735.997026026</v>
      </c>
      <c r="DI596" s="132">
        <f t="shared" si="2275"/>
        <v>20650735.997026026</v>
      </c>
      <c r="DJ596" s="132">
        <f t="shared" si="2275"/>
        <v>20650735.997026026</v>
      </c>
      <c r="DK596" s="132">
        <f t="shared" si="2275"/>
        <v>20650735.997026026</v>
      </c>
      <c r="DL596" s="132">
        <f t="shared" si="2275"/>
        <v>20650735.997026026</v>
      </c>
      <c r="DM596" s="132">
        <f t="shared" si="2275"/>
        <v>20650735.997026026</v>
      </c>
      <c r="DN596" s="132">
        <f t="shared" si="2275"/>
        <v>20650735.997026026</v>
      </c>
      <c r="DO596" s="132">
        <f t="shared" si="2275"/>
        <v>20650735.997026026</v>
      </c>
      <c r="DP596" s="132">
        <f t="shared" si="2275"/>
        <v>20650735.997026026</v>
      </c>
      <c r="DQ596" s="132">
        <f t="shared" si="2275"/>
        <v>20650735.997026026</v>
      </c>
      <c r="DR596" s="132">
        <f t="shared" ref="DR596" si="2276">DQ596*(1+DR601)</f>
        <v>21683272.796877328</v>
      </c>
      <c r="DS596" s="132">
        <f t="shared" ref="DS596" si="2277">DR596*(1+DS601)</f>
        <v>21683272.796877328</v>
      </c>
      <c r="DT596" s="132">
        <f t="shared" ref="DT596" si="2278">DS596*(1+DT601)</f>
        <v>21683272.796877328</v>
      </c>
      <c r="DU596" s="132">
        <f t="shared" ref="DU596" si="2279">DT596*(1+DU601)</f>
        <v>21683272.796877328</v>
      </c>
      <c r="DV596" s="132">
        <f t="shared" ref="DV596" si="2280">DU596*(1+DV601)</f>
        <v>21683272.796877328</v>
      </c>
      <c r="DW596" s="132">
        <f t="shared" ref="DW596" si="2281">DV596*(1+DW601)</f>
        <v>21683272.796877328</v>
      </c>
      <c r="DX596" s="132">
        <f t="shared" ref="DX596" si="2282">DW596*(1+DX601)</f>
        <v>21683272.796877328</v>
      </c>
      <c r="DY596" s="132">
        <f t="shared" ref="DY596" si="2283">DX596*(1+DY601)</f>
        <v>21683272.796877328</v>
      </c>
      <c r="DZ596" s="132">
        <f t="shared" ref="DZ596" si="2284">DY596*(1+DZ601)</f>
        <v>21683272.796877328</v>
      </c>
      <c r="EA596" s="132">
        <f t="shared" ref="EA596" si="2285">DZ596*(1+EA601)</f>
        <v>21683272.796877328</v>
      </c>
      <c r="EB596" s="132">
        <f t="shared" ref="EB596" si="2286">EA596*(1+EB601)</f>
        <v>21683272.796877328</v>
      </c>
      <c r="EC596" s="132">
        <f t="shared" ref="EC596" si="2287">EB596*(1+EC601)</f>
        <v>21683272.796877328</v>
      </c>
      <c r="ED596" s="113" t="s">
        <v>1</v>
      </c>
    </row>
    <row r="597" spans="1:134" x14ac:dyDescent="0.2">
      <c r="A597" s="730" t="s">
        <v>61</v>
      </c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29">
        <v>0</v>
      </c>
      <c r="AC597" s="129">
        <v>0</v>
      </c>
      <c r="AD597" s="129">
        <v>0</v>
      </c>
      <c r="AE597" s="129">
        <v>0</v>
      </c>
      <c r="AF597" s="129">
        <v>0</v>
      </c>
      <c r="AG597" s="129">
        <v>0</v>
      </c>
      <c r="AH597" s="129">
        <v>0</v>
      </c>
      <c r="AI597" s="129">
        <v>0</v>
      </c>
      <c r="AJ597" s="129">
        <v>0</v>
      </c>
      <c r="AK597" s="129">
        <v>0</v>
      </c>
      <c r="AL597" s="129">
        <v>0</v>
      </c>
      <c r="AM597" s="129">
        <v>0</v>
      </c>
      <c r="AN597" s="129">
        <v>0</v>
      </c>
      <c r="AO597" s="129">
        <v>0</v>
      </c>
      <c r="AP597" s="129">
        <v>0</v>
      </c>
      <c r="AQ597" s="129">
        <v>0</v>
      </c>
      <c r="AR597" s="129">
        <v>0</v>
      </c>
      <c r="AS597" s="129">
        <v>0</v>
      </c>
      <c r="AT597" s="129">
        <v>0</v>
      </c>
      <c r="AU597" s="129">
        <v>0</v>
      </c>
      <c r="AV597" s="129">
        <v>0</v>
      </c>
      <c r="AW597" s="129">
        <v>0</v>
      </c>
      <c r="AX597" s="129">
        <v>0</v>
      </c>
      <c r="AY597" s="129">
        <v>0</v>
      </c>
      <c r="AZ597" s="129">
        <v>0</v>
      </c>
      <c r="BA597" s="129">
        <v>0</v>
      </c>
      <c r="BB597" s="129">
        <v>0</v>
      </c>
      <c r="BC597" s="129">
        <v>0</v>
      </c>
      <c r="BD597" s="129">
        <v>0</v>
      </c>
      <c r="BE597" s="129">
        <v>0</v>
      </c>
      <c r="BF597" s="129">
        <v>0</v>
      </c>
      <c r="BG597" s="129">
        <v>0</v>
      </c>
      <c r="BH597" s="129">
        <v>0</v>
      </c>
      <c r="BI597" s="129">
        <v>0</v>
      </c>
      <c r="BJ597" s="129">
        <v>9584489.7293827534</v>
      </c>
      <c r="BK597" s="129">
        <v>9239535.8703687657</v>
      </c>
      <c r="BL597" s="129">
        <v>8860995.2425241265</v>
      </c>
      <c r="BM597" s="129">
        <v>8524143.3855000697</v>
      </c>
      <c r="BN597" s="129">
        <v>8482579.189658694</v>
      </c>
      <c r="BO597" s="129">
        <v>8753643.6441339683</v>
      </c>
      <c r="BP597" s="129">
        <v>8508485.7513870317</v>
      </c>
      <c r="BQ597" s="129">
        <v>8479036.413798077</v>
      </c>
      <c r="BR597" s="129">
        <v>8149860.6222467488</v>
      </c>
      <c r="BS597" s="129">
        <v>7509747.9416001337</v>
      </c>
      <c r="BT597" s="129">
        <v>7164985.4308359241</v>
      </c>
      <c r="BU597" s="129">
        <v>7532717.8436663998</v>
      </c>
      <c r="BV597" s="129">
        <v>7471982.7186663998</v>
      </c>
      <c r="BW597" s="129">
        <v>8141671.491479164</v>
      </c>
      <c r="BX597" s="129">
        <v>8296095.5118144555</v>
      </c>
      <c r="BY597" s="129">
        <v>8207153.3165416569</v>
      </c>
      <c r="BZ597" s="129">
        <v>8191353.2230608957</v>
      </c>
      <c r="CA597" s="129">
        <v>8315518.3767580083</v>
      </c>
      <c r="CB597" s="129">
        <v>8429013.8408843949</v>
      </c>
      <c r="CC597" s="129">
        <v>8459551.5365624987</v>
      </c>
      <c r="CD597" s="129">
        <v>9078027.5997309238</v>
      </c>
      <c r="CE597" s="129">
        <v>8660010.8658722993</v>
      </c>
      <c r="CF597" s="129">
        <v>8389614.7459228486</v>
      </c>
      <c r="CG597" s="129">
        <v>9129283.2745387629</v>
      </c>
      <c r="CH597" s="129">
        <v>8154025.3937666025</v>
      </c>
      <c r="CI597" s="129">
        <v>8558808.8494231049</v>
      </c>
      <c r="CJ597" s="129">
        <v>8477770.2427085955</v>
      </c>
      <c r="CK597" s="129">
        <v>8383372.1953497259</v>
      </c>
      <c r="CL597" s="129">
        <v>8569018.3411221281</v>
      </c>
      <c r="CM597" s="129">
        <v>8511362.8769679498</v>
      </c>
      <c r="CN597" s="129">
        <v>9211035.0709362645</v>
      </c>
      <c r="CO597" s="129">
        <v>8730119.7479787171</v>
      </c>
      <c r="CP597" s="129">
        <v>8551540.3148145955</v>
      </c>
      <c r="CQ597" s="129">
        <v>9359553.62604676</v>
      </c>
      <c r="CR597" s="129">
        <v>9317503.3970018141</v>
      </c>
      <c r="CS597" s="129">
        <v>9450411.6179564297</v>
      </c>
      <c r="CT597" s="129">
        <f>CS597/CS596*CT596</f>
        <v>9922932.1988542508</v>
      </c>
      <c r="CU597" s="129">
        <f t="shared" ref="CU597:DQ597" si="2288">CT597/CT596*CU596</f>
        <v>9922932.1988542508</v>
      </c>
      <c r="CV597" s="129">
        <f t="shared" si="2288"/>
        <v>9922932.1988542508</v>
      </c>
      <c r="CW597" s="129">
        <f t="shared" si="2288"/>
        <v>9922932.1988542508</v>
      </c>
      <c r="CX597" s="129">
        <f t="shared" si="2288"/>
        <v>9922932.1988542508</v>
      </c>
      <c r="CY597" s="129">
        <f t="shared" si="2288"/>
        <v>9922932.1988542508</v>
      </c>
      <c r="CZ597" s="129">
        <f t="shared" si="2288"/>
        <v>9922932.1988542508</v>
      </c>
      <c r="DA597" s="129">
        <f t="shared" si="2288"/>
        <v>9922932.1988542508</v>
      </c>
      <c r="DB597" s="129">
        <f t="shared" si="2288"/>
        <v>9922932.1988542508</v>
      </c>
      <c r="DC597" s="129">
        <f t="shared" si="2288"/>
        <v>9922932.1988542508</v>
      </c>
      <c r="DD597" s="129">
        <f t="shared" si="2288"/>
        <v>9922932.1988542508</v>
      </c>
      <c r="DE597" s="129">
        <f t="shared" si="2288"/>
        <v>9922932.1988542508</v>
      </c>
      <c r="DF597" s="129">
        <f t="shared" si="2288"/>
        <v>10419078.808796965</v>
      </c>
      <c r="DG597" s="129">
        <f t="shared" si="2288"/>
        <v>10419078.808796965</v>
      </c>
      <c r="DH597" s="129">
        <f t="shared" si="2288"/>
        <v>10419078.808796965</v>
      </c>
      <c r="DI597" s="129">
        <f t="shared" si="2288"/>
        <v>10419078.808796965</v>
      </c>
      <c r="DJ597" s="129">
        <f t="shared" si="2288"/>
        <v>10419078.808796965</v>
      </c>
      <c r="DK597" s="129">
        <f t="shared" si="2288"/>
        <v>10419078.808796965</v>
      </c>
      <c r="DL597" s="129">
        <f t="shared" si="2288"/>
        <v>10419078.808796965</v>
      </c>
      <c r="DM597" s="129">
        <f t="shared" si="2288"/>
        <v>10419078.808796965</v>
      </c>
      <c r="DN597" s="129">
        <f t="shared" si="2288"/>
        <v>10419078.808796965</v>
      </c>
      <c r="DO597" s="129">
        <f t="shared" si="2288"/>
        <v>10419078.808796965</v>
      </c>
      <c r="DP597" s="129">
        <f t="shared" si="2288"/>
        <v>10419078.808796965</v>
      </c>
      <c r="DQ597" s="129">
        <f t="shared" si="2288"/>
        <v>10419078.808796965</v>
      </c>
      <c r="DR597" s="129">
        <f t="shared" ref="DR597" si="2289">DQ597/DQ596*DR596</f>
        <v>10940032.749236813</v>
      </c>
      <c r="DS597" s="129">
        <f t="shared" ref="DS597" si="2290">DR597/DR596*DS596</f>
        <v>10940032.749236813</v>
      </c>
      <c r="DT597" s="129">
        <f t="shared" ref="DT597" si="2291">DS597/DS596*DT596</f>
        <v>10940032.749236813</v>
      </c>
      <c r="DU597" s="129">
        <f t="shared" ref="DU597" si="2292">DT597/DT596*DU596</f>
        <v>10940032.749236813</v>
      </c>
      <c r="DV597" s="129">
        <f t="shared" ref="DV597" si="2293">DU597/DU596*DV596</f>
        <v>10940032.749236813</v>
      </c>
      <c r="DW597" s="129">
        <f t="shared" ref="DW597" si="2294">DV597/DV596*DW596</f>
        <v>10940032.749236813</v>
      </c>
      <c r="DX597" s="129">
        <f t="shared" ref="DX597" si="2295">DW597/DW596*DX596</f>
        <v>10940032.749236813</v>
      </c>
      <c r="DY597" s="129">
        <f t="shared" ref="DY597" si="2296">DX597/DX596*DY596</f>
        <v>10940032.749236813</v>
      </c>
      <c r="DZ597" s="129">
        <f t="shared" ref="DZ597" si="2297">DY597/DY596*DZ596</f>
        <v>10940032.749236813</v>
      </c>
      <c r="EA597" s="129">
        <f t="shared" ref="EA597" si="2298">DZ597/DZ596*EA596</f>
        <v>10940032.749236813</v>
      </c>
      <c r="EB597" s="129">
        <f t="shared" ref="EB597" si="2299">EA597/EA596*EB596</f>
        <v>10940032.749236813</v>
      </c>
      <c r="EC597" s="129">
        <f t="shared" ref="EC597" si="2300">EB597/EB596*EC596</f>
        <v>10940032.749236813</v>
      </c>
      <c r="ED597" s="113" t="s">
        <v>1</v>
      </c>
    </row>
    <row r="598" spans="1:134" x14ac:dyDescent="0.2">
      <c r="A598" s="730" t="s">
        <v>52</v>
      </c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29">
        <v>0</v>
      </c>
      <c r="AC598" s="129">
        <v>0</v>
      </c>
      <c r="AD598" s="129">
        <v>0</v>
      </c>
      <c r="AE598" s="129">
        <v>0</v>
      </c>
      <c r="AF598" s="129">
        <v>0</v>
      </c>
      <c r="AG598" s="129">
        <v>0</v>
      </c>
      <c r="AH598" s="129">
        <v>0</v>
      </c>
      <c r="AI598" s="129">
        <v>0</v>
      </c>
      <c r="AJ598" s="129">
        <v>0</v>
      </c>
      <c r="AK598" s="129">
        <v>0</v>
      </c>
      <c r="AL598" s="129">
        <v>0</v>
      </c>
      <c r="AM598" s="129">
        <v>0</v>
      </c>
      <c r="AN598" s="129">
        <v>0</v>
      </c>
      <c r="AO598" s="129">
        <v>0</v>
      </c>
      <c r="AP598" s="129">
        <v>0</v>
      </c>
      <c r="AQ598" s="129">
        <v>0</v>
      </c>
      <c r="AR598" s="129">
        <v>0</v>
      </c>
      <c r="AS598" s="129">
        <v>0</v>
      </c>
      <c r="AT598" s="129">
        <v>0</v>
      </c>
      <c r="AU598" s="129">
        <v>0</v>
      </c>
      <c r="AV598" s="129">
        <v>0</v>
      </c>
      <c r="AW598" s="129">
        <v>0</v>
      </c>
      <c r="AX598" s="129">
        <v>0</v>
      </c>
      <c r="AY598" s="129">
        <v>0</v>
      </c>
      <c r="AZ598" s="129">
        <v>0</v>
      </c>
      <c r="BA598" s="129">
        <v>0</v>
      </c>
      <c r="BB598" s="129">
        <v>0</v>
      </c>
      <c r="BC598" s="129">
        <v>0</v>
      </c>
      <c r="BD598" s="129">
        <v>0</v>
      </c>
      <c r="BE598" s="129">
        <v>0</v>
      </c>
      <c r="BF598" s="129">
        <v>0</v>
      </c>
      <c r="BG598" s="129">
        <v>0</v>
      </c>
      <c r="BH598" s="129">
        <v>0</v>
      </c>
      <c r="BI598" s="129">
        <v>0</v>
      </c>
      <c r="BJ598" s="129">
        <v>9461418.3101469278</v>
      </c>
      <c r="BK598" s="129">
        <v>9354991.4419473093</v>
      </c>
      <c r="BL598" s="129">
        <v>8335724.3094595056</v>
      </c>
      <c r="BM598" s="129">
        <v>8210014.8686743416</v>
      </c>
      <c r="BN598" s="129">
        <v>7889285.9661514461</v>
      </c>
      <c r="BO598" s="129">
        <v>8014349.2224780442</v>
      </c>
      <c r="BP598" s="129">
        <v>8671312.4212622028</v>
      </c>
      <c r="BQ598" s="129">
        <v>8541012.8349615391</v>
      </c>
      <c r="BR598" s="129">
        <v>7895699.2375445599</v>
      </c>
      <c r="BS598" s="129">
        <v>7792364.3507275647</v>
      </c>
      <c r="BT598" s="129">
        <v>7297902.3535230989</v>
      </c>
      <c r="BU598" s="129">
        <v>8132896.7593958313</v>
      </c>
      <c r="BV598" s="129">
        <v>9088219.2733880915</v>
      </c>
      <c r="BW598" s="129">
        <v>8778991.4725192282</v>
      </c>
      <c r="BX598" s="129">
        <v>8808737.4538060892</v>
      </c>
      <c r="BY598" s="129">
        <v>8875301.3355240375</v>
      </c>
      <c r="BZ598" s="129">
        <v>9054542.4602275621</v>
      </c>
      <c r="CA598" s="129">
        <v>8751086.5355304498</v>
      </c>
      <c r="CB598" s="129">
        <v>10418211.059528481</v>
      </c>
      <c r="CC598" s="129">
        <v>9463225.5966522433</v>
      </c>
      <c r="CD598" s="129">
        <v>9490228.6896671299</v>
      </c>
      <c r="CE598" s="129">
        <v>10007430.289099822</v>
      </c>
      <c r="CF598" s="129">
        <v>9628333.1769242231</v>
      </c>
      <c r="CG598" s="129">
        <v>10725983.780271662</v>
      </c>
      <c r="CH598" s="129">
        <v>8969031.0010640416</v>
      </c>
      <c r="CI598" s="129">
        <v>7464208.6318861116</v>
      </c>
      <c r="CJ598" s="129">
        <v>7674960.7244882733</v>
      </c>
      <c r="CK598" s="129">
        <v>7608100.9356269278</v>
      </c>
      <c r="CL598" s="129">
        <v>7355051.5072107529</v>
      </c>
      <c r="CM598" s="129">
        <v>8133467.5358281303</v>
      </c>
      <c r="CN598" s="129">
        <v>9098075.6757955831</v>
      </c>
      <c r="CO598" s="129">
        <v>7914266.4112950042</v>
      </c>
      <c r="CP598" s="129">
        <v>8267256.709643051</v>
      </c>
      <c r="CQ598" s="129">
        <v>8689451.5554857757</v>
      </c>
      <c r="CR598" s="129">
        <v>8218185.8859269284</v>
      </c>
      <c r="CS598" s="129">
        <v>9280414.6832009647</v>
      </c>
      <c r="CT598" s="129">
        <f>CS598/CS596*CT596</f>
        <v>9744435.4173610136</v>
      </c>
      <c r="CU598" s="129">
        <f t="shared" ref="CU598:DQ598" si="2301">CT598/CT596*CU596</f>
        <v>9744435.4173610136</v>
      </c>
      <c r="CV598" s="129">
        <f t="shared" si="2301"/>
        <v>9744435.4173610136</v>
      </c>
      <c r="CW598" s="129">
        <f t="shared" si="2301"/>
        <v>9744435.4173610136</v>
      </c>
      <c r="CX598" s="129">
        <f t="shared" si="2301"/>
        <v>9744435.4173610136</v>
      </c>
      <c r="CY598" s="129">
        <f t="shared" si="2301"/>
        <v>9744435.4173610136</v>
      </c>
      <c r="CZ598" s="129">
        <f t="shared" si="2301"/>
        <v>9744435.4173610136</v>
      </c>
      <c r="DA598" s="129">
        <f t="shared" si="2301"/>
        <v>9744435.4173610136</v>
      </c>
      <c r="DB598" s="129">
        <f t="shared" si="2301"/>
        <v>9744435.4173610136</v>
      </c>
      <c r="DC598" s="129">
        <f t="shared" si="2301"/>
        <v>9744435.4173610136</v>
      </c>
      <c r="DD598" s="129">
        <f t="shared" si="2301"/>
        <v>9744435.4173610136</v>
      </c>
      <c r="DE598" s="129">
        <f t="shared" si="2301"/>
        <v>9744435.4173610136</v>
      </c>
      <c r="DF598" s="129">
        <f t="shared" si="2301"/>
        <v>10231657.188229065</v>
      </c>
      <c r="DG598" s="129">
        <f t="shared" si="2301"/>
        <v>10231657.188229065</v>
      </c>
      <c r="DH598" s="129">
        <f t="shared" si="2301"/>
        <v>10231657.188229065</v>
      </c>
      <c r="DI598" s="129">
        <f t="shared" si="2301"/>
        <v>10231657.188229065</v>
      </c>
      <c r="DJ598" s="129">
        <f t="shared" si="2301"/>
        <v>10231657.188229065</v>
      </c>
      <c r="DK598" s="129">
        <f t="shared" si="2301"/>
        <v>10231657.188229065</v>
      </c>
      <c r="DL598" s="129">
        <f t="shared" si="2301"/>
        <v>10231657.188229065</v>
      </c>
      <c r="DM598" s="129">
        <f t="shared" si="2301"/>
        <v>10231657.188229065</v>
      </c>
      <c r="DN598" s="129">
        <f t="shared" si="2301"/>
        <v>10231657.188229065</v>
      </c>
      <c r="DO598" s="129">
        <f t="shared" si="2301"/>
        <v>10231657.188229065</v>
      </c>
      <c r="DP598" s="129">
        <f t="shared" si="2301"/>
        <v>10231657.188229065</v>
      </c>
      <c r="DQ598" s="129">
        <f t="shared" si="2301"/>
        <v>10231657.188229065</v>
      </c>
      <c r="DR598" s="129">
        <f t="shared" ref="DR598" si="2302">DQ598/DQ596*DR596</f>
        <v>10743240.047640519</v>
      </c>
      <c r="DS598" s="129">
        <f t="shared" ref="DS598" si="2303">DR598/DR596*DS596</f>
        <v>10743240.047640519</v>
      </c>
      <c r="DT598" s="129">
        <f t="shared" ref="DT598" si="2304">DS598/DS596*DT596</f>
        <v>10743240.047640519</v>
      </c>
      <c r="DU598" s="129">
        <f t="shared" ref="DU598" si="2305">DT598/DT596*DU596</f>
        <v>10743240.047640519</v>
      </c>
      <c r="DV598" s="129">
        <f t="shared" ref="DV598" si="2306">DU598/DU596*DV596</f>
        <v>10743240.047640519</v>
      </c>
      <c r="DW598" s="129">
        <f t="shared" ref="DW598" si="2307">DV598/DV596*DW596</f>
        <v>10743240.047640519</v>
      </c>
      <c r="DX598" s="129">
        <f t="shared" ref="DX598" si="2308">DW598/DW596*DX596</f>
        <v>10743240.047640519</v>
      </c>
      <c r="DY598" s="129">
        <f t="shared" ref="DY598" si="2309">DX598/DX596*DY596</f>
        <v>10743240.047640519</v>
      </c>
      <c r="DZ598" s="129">
        <f t="shared" ref="DZ598" si="2310">DY598/DY596*DZ596</f>
        <v>10743240.047640519</v>
      </c>
      <c r="EA598" s="129">
        <f t="shared" ref="EA598" si="2311">DZ598/DZ596*EA596</f>
        <v>10743240.047640519</v>
      </c>
      <c r="EB598" s="129">
        <f t="shared" ref="EB598" si="2312">EA598/EA596*EB596</f>
        <v>10743240.047640519</v>
      </c>
      <c r="EC598" s="129">
        <f t="shared" ref="EC598" si="2313">EB598/EB596*EC596</f>
        <v>10743240.047640519</v>
      </c>
      <c r="ED598" s="113" t="s">
        <v>1</v>
      </c>
    </row>
    <row r="599" spans="1:134" x14ac:dyDescent="0.2">
      <c r="A599" s="738" t="s">
        <v>62</v>
      </c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33">
        <f>AB596/AB461</f>
        <v>0</v>
      </c>
      <c r="AC599" s="133">
        <f t="shared" ref="AC599:CN599" si="2314">AC596/AC461</f>
        <v>0</v>
      </c>
      <c r="AD599" s="133">
        <f t="shared" si="2314"/>
        <v>0</v>
      </c>
      <c r="AE599" s="133">
        <f t="shared" si="2314"/>
        <v>0</v>
      </c>
      <c r="AF599" s="133">
        <f t="shared" si="2314"/>
        <v>0</v>
      </c>
      <c r="AG599" s="133">
        <f t="shared" si="2314"/>
        <v>0</v>
      </c>
      <c r="AH599" s="133">
        <f t="shared" si="2314"/>
        <v>0</v>
      </c>
      <c r="AI599" s="133">
        <f t="shared" si="2314"/>
        <v>0</v>
      </c>
      <c r="AJ599" s="133">
        <f t="shared" si="2314"/>
        <v>0</v>
      </c>
      <c r="AK599" s="133">
        <f t="shared" si="2314"/>
        <v>0</v>
      </c>
      <c r="AL599" s="133">
        <f t="shared" si="2314"/>
        <v>0</v>
      </c>
      <c r="AM599" s="133">
        <f t="shared" si="2314"/>
        <v>0</v>
      </c>
      <c r="AN599" s="133">
        <f t="shared" si="2314"/>
        <v>0</v>
      </c>
      <c r="AO599" s="133">
        <f t="shared" si="2314"/>
        <v>0</v>
      </c>
      <c r="AP599" s="133">
        <f t="shared" si="2314"/>
        <v>0</v>
      </c>
      <c r="AQ599" s="133">
        <f t="shared" si="2314"/>
        <v>0</v>
      </c>
      <c r="AR599" s="133">
        <f t="shared" si="2314"/>
        <v>0</v>
      </c>
      <c r="AS599" s="133">
        <f t="shared" si="2314"/>
        <v>0</v>
      </c>
      <c r="AT599" s="133">
        <f t="shared" si="2314"/>
        <v>0</v>
      </c>
      <c r="AU599" s="133">
        <f t="shared" si="2314"/>
        <v>0</v>
      </c>
      <c r="AV599" s="133">
        <f t="shared" si="2314"/>
        <v>0</v>
      </c>
      <c r="AW599" s="133">
        <f t="shared" si="2314"/>
        <v>0</v>
      </c>
      <c r="AX599" s="133">
        <f t="shared" si="2314"/>
        <v>0</v>
      </c>
      <c r="AY599" s="133">
        <f t="shared" si="2314"/>
        <v>0</v>
      </c>
      <c r="AZ599" s="133">
        <f t="shared" si="2314"/>
        <v>0</v>
      </c>
      <c r="BA599" s="133">
        <f t="shared" si="2314"/>
        <v>0</v>
      </c>
      <c r="BB599" s="133">
        <f t="shared" si="2314"/>
        <v>0</v>
      </c>
      <c r="BC599" s="133">
        <f t="shared" si="2314"/>
        <v>0</v>
      </c>
      <c r="BD599" s="133">
        <f t="shared" si="2314"/>
        <v>0</v>
      </c>
      <c r="BE599" s="133">
        <f t="shared" si="2314"/>
        <v>0</v>
      </c>
      <c r="BF599" s="133">
        <f t="shared" si="2314"/>
        <v>0</v>
      </c>
      <c r="BG599" s="133">
        <f t="shared" si="2314"/>
        <v>0</v>
      </c>
      <c r="BH599" s="133">
        <f t="shared" si="2314"/>
        <v>0</v>
      </c>
      <c r="BI599" s="133">
        <f t="shared" si="2314"/>
        <v>0</v>
      </c>
      <c r="BJ599" s="133">
        <f t="shared" si="2314"/>
        <v>5.960073810465611E-2</v>
      </c>
      <c r="BK599" s="133">
        <f t="shared" si="2314"/>
        <v>5.5179879184908222E-2</v>
      </c>
      <c r="BL599" s="133">
        <f t="shared" si="2314"/>
        <v>5.2111662434423514E-2</v>
      </c>
      <c r="BM599" s="133">
        <f t="shared" si="2314"/>
        <v>5.7521281649298595E-2</v>
      </c>
      <c r="BN599" s="133">
        <f t="shared" si="2314"/>
        <v>5.6054740250184136E-2</v>
      </c>
      <c r="BO599" s="133">
        <f t="shared" si="2314"/>
        <v>6.07225866937844E-2</v>
      </c>
      <c r="BP599" s="133">
        <f t="shared" si="2314"/>
        <v>4.3872047668551642E-2</v>
      </c>
      <c r="BQ599" s="133">
        <f t="shared" si="2314"/>
        <v>4.9921388285694396E-2</v>
      </c>
      <c r="BR599" s="133">
        <f t="shared" si="2314"/>
        <v>5.4369249902041693E-2</v>
      </c>
      <c r="BS599" s="133">
        <f t="shared" si="2314"/>
        <v>5.7590697487740893E-2</v>
      </c>
      <c r="BT599" s="133">
        <f t="shared" si="2314"/>
        <v>5.9429881126345258E-2</v>
      </c>
      <c r="BU599" s="133">
        <f t="shared" si="2314"/>
        <v>5.3456358684606645E-2</v>
      </c>
      <c r="BV599" s="133">
        <f t="shared" si="2314"/>
        <v>5.3275952162689232E-2</v>
      </c>
      <c r="BW599" s="133">
        <f t="shared" si="2314"/>
        <v>5.4284439186125313E-2</v>
      </c>
      <c r="BX599" s="133">
        <f t="shared" si="2314"/>
        <v>5.1241614485048832E-2</v>
      </c>
      <c r="BY599" s="133">
        <f t="shared" si="2314"/>
        <v>5.4046011826437916E-2</v>
      </c>
      <c r="BZ599" s="133">
        <f t="shared" si="2314"/>
        <v>6.4089213171990289E-2</v>
      </c>
      <c r="CA599" s="133">
        <f t="shared" si="2314"/>
        <v>7.3646871355629098E-2</v>
      </c>
      <c r="CB599" s="133">
        <f t="shared" si="2314"/>
        <v>5.7506456161786443E-2</v>
      </c>
      <c r="CC599" s="133">
        <f t="shared" si="2314"/>
        <v>5.6041196743982453E-2</v>
      </c>
      <c r="CD599" s="133">
        <f t="shared" si="2314"/>
        <v>4.8797768481438623E-2</v>
      </c>
      <c r="CE599" s="133">
        <f t="shared" si="2314"/>
        <v>4.7696819205464792E-2</v>
      </c>
      <c r="CF599" s="133">
        <f t="shared" si="2314"/>
        <v>4.8730518158351714E-2</v>
      </c>
      <c r="CG599" s="133">
        <f t="shared" si="2314"/>
        <v>4.3135432254482832E-2</v>
      </c>
      <c r="CH599" s="133">
        <f t="shared" si="2314"/>
        <v>3.835895116415592E-2</v>
      </c>
      <c r="CI599" s="133">
        <f t="shared" si="2314"/>
        <v>3.7512019653550582E-2</v>
      </c>
      <c r="CJ599" s="133">
        <f t="shared" si="2314"/>
        <v>3.6819826601852165E-2</v>
      </c>
      <c r="CK599" s="133">
        <f t="shared" si="2314"/>
        <v>3.3177189386699349E-2</v>
      </c>
      <c r="CL599" s="133">
        <f t="shared" si="2314"/>
        <v>3.9116344395573766E-2</v>
      </c>
      <c r="CM599" s="133">
        <f t="shared" si="2314"/>
        <v>4.3521952908176793E-2</v>
      </c>
      <c r="CN599" s="133">
        <f t="shared" si="2314"/>
        <v>3.2832271725599473E-2</v>
      </c>
      <c r="CO599" s="133">
        <f t="shared" ref="CO599:DQ599" si="2315">CO596/CO461</f>
        <v>3.3374436073292067E-2</v>
      </c>
      <c r="CP599" s="133">
        <f t="shared" si="2315"/>
        <v>2.6980292400579472E-2</v>
      </c>
      <c r="CQ599" s="133">
        <f t="shared" si="2315"/>
        <v>2.736561350904361E-2</v>
      </c>
      <c r="CR599" s="133">
        <f t="shared" si="2315"/>
        <v>2.7454635332474241E-2</v>
      </c>
      <c r="CS599" s="133">
        <f t="shared" si="2315"/>
        <v>2.4423446150651326E-2</v>
      </c>
      <c r="CT599" s="133">
        <f t="shared" si="2315"/>
        <v>3.0757492896324765E-2</v>
      </c>
      <c r="CU599" s="133">
        <f t="shared" si="2315"/>
        <v>3.1407561991881709E-2</v>
      </c>
      <c r="CV599" s="133">
        <f t="shared" si="2315"/>
        <v>3.1473167144187367E-2</v>
      </c>
      <c r="CW599" s="133">
        <f t="shared" si="2315"/>
        <v>2.9064705352297843E-2</v>
      </c>
      <c r="CX599" s="133">
        <f t="shared" si="2315"/>
        <v>3.253089310692521E-2</v>
      </c>
      <c r="CY599" s="133">
        <f t="shared" si="2315"/>
        <v>3.503250710482906E-2</v>
      </c>
      <c r="CZ599" s="133">
        <f t="shared" si="2315"/>
        <v>2.8076366778586836E-2</v>
      </c>
      <c r="DA599" s="133">
        <f t="shared" si="2315"/>
        <v>3.048689185549476E-2</v>
      </c>
      <c r="DB599" s="133">
        <f t="shared" si="2315"/>
        <v>2.5627363737873599E-2</v>
      </c>
      <c r="DC599" s="133">
        <f t="shared" si="2315"/>
        <v>2.5012971205507745E-2</v>
      </c>
      <c r="DD599" s="133">
        <f t="shared" si="2315"/>
        <v>2.689862833228663E-2</v>
      </c>
      <c r="DE599" s="133">
        <f t="shared" si="2315"/>
        <v>2.3123442783673172E-2</v>
      </c>
      <c r="DF599" s="133">
        <f t="shared" si="2315"/>
        <v>2.6409376346649732E-2</v>
      </c>
      <c r="DG599" s="133">
        <f t="shared" si="2315"/>
        <v>2.6900181415144084E-2</v>
      </c>
      <c r="DH599" s="133">
        <f t="shared" si="2315"/>
        <v>2.7097305647898414E-2</v>
      </c>
      <c r="DI599" s="133">
        <f t="shared" si="2315"/>
        <v>2.5036546648340496E-2</v>
      </c>
      <c r="DJ599" s="133">
        <f t="shared" si="2315"/>
        <v>2.808361220280459E-2</v>
      </c>
      <c r="DK599" s="133">
        <f t="shared" si="2315"/>
        <v>3.0317331505986731E-2</v>
      </c>
      <c r="DL599" s="133">
        <f t="shared" si="2315"/>
        <v>2.4370012228059956E-2</v>
      </c>
      <c r="DM599" s="133">
        <f t="shared" si="2315"/>
        <v>2.6603813827196506E-2</v>
      </c>
      <c r="DN599" s="133">
        <f t="shared" si="2315"/>
        <v>2.2436718340427684E-2</v>
      </c>
      <c r="DO599" s="133">
        <f t="shared" si="2315"/>
        <v>2.1989573032433225E-2</v>
      </c>
      <c r="DP599" s="133">
        <f t="shared" si="2315"/>
        <v>2.3766005478024627E-2</v>
      </c>
      <c r="DQ599" s="133">
        <f t="shared" si="2315"/>
        <v>2.0653517968632774E-2</v>
      </c>
      <c r="DR599" s="133">
        <f t="shared" ref="DR599:EC599" si="2316">DR596/DR461</f>
        <v>2.4336795978224045E-2</v>
      </c>
      <c r="DS599" s="133">
        <f t="shared" si="2316"/>
        <v>2.4813888491169354E-2</v>
      </c>
      <c r="DT599" s="133">
        <f t="shared" si="2316"/>
        <v>2.5011724058527408E-2</v>
      </c>
      <c r="DU599" s="133">
        <f t="shared" si="2316"/>
        <v>2.3117222469207416E-2</v>
      </c>
      <c r="DV599" s="133">
        <f t="shared" si="2316"/>
        <v>2.5964475185143433E-2</v>
      </c>
      <c r="DW599" s="133">
        <f t="shared" si="2316"/>
        <v>2.807094222039469E-2</v>
      </c>
      <c r="DX599" s="133">
        <f t="shared" si="2316"/>
        <v>2.2552372783652876E-2</v>
      </c>
      <c r="DY599" s="133">
        <f t="shared" si="2316"/>
        <v>2.4641084362458359E-2</v>
      </c>
      <c r="DZ599" s="133">
        <f t="shared" si="2316"/>
        <v>2.0775247265376127E-2</v>
      </c>
      <c r="EA599" s="133">
        <f t="shared" si="2316"/>
        <v>2.0365587653625131E-2</v>
      </c>
      <c r="EB599" s="133">
        <f t="shared" si="2316"/>
        <v>2.2028380171613533E-2</v>
      </c>
      <c r="EC599" s="133">
        <f t="shared" si="2316"/>
        <v>1.9140297393494165E-2</v>
      </c>
      <c r="ED599" s="113" t="s">
        <v>1</v>
      </c>
    </row>
    <row r="600" spans="1:134" x14ac:dyDescent="0.2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15"/>
      <c r="AU600" s="115"/>
      <c r="AV600" s="115"/>
      <c r="AW600" s="115"/>
      <c r="AX600" s="115"/>
      <c r="AY600" s="115"/>
      <c r="AZ600" s="115"/>
      <c r="BA600" s="115"/>
      <c r="BB600" s="115"/>
      <c r="BC600" s="115"/>
      <c r="BD600" s="115"/>
      <c r="BE600" s="115"/>
      <c r="BF600" s="115"/>
      <c r="BG600" s="115"/>
      <c r="BH600" s="115"/>
      <c r="BI600" s="115"/>
      <c r="BJ600" s="115"/>
      <c r="BK600" s="115"/>
      <c r="BL600" s="115"/>
      <c r="BM600" s="115"/>
      <c r="BN600" s="115"/>
      <c r="BO600" s="115"/>
      <c r="BP600" s="115"/>
      <c r="BQ600" s="115"/>
      <c r="BR600" s="115"/>
      <c r="BS600" s="115"/>
      <c r="BT600" s="115"/>
      <c r="BU600" s="115"/>
      <c r="BV600" s="115"/>
      <c r="BW600" s="115"/>
      <c r="BX600" s="115"/>
      <c r="BY600" s="115"/>
      <c r="BZ600" s="115"/>
      <c r="CA600" s="115"/>
      <c r="CB600" s="115"/>
      <c r="CC600" s="115"/>
      <c r="CD600" s="115"/>
      <c r="CE600" s="115"/>
      <c r="CF600" s="115"/>
      <c r="CG600" s="115"/>
      <c r="CH600" s="115"/>
      <c r="CI600" s="115"/>
      <c r="CJ600" s="115"/>
      <c r="CK600" s="115"/>
      <c r="CL600" s="115"/>
      <c r="CM600" s="115"/>
      <c r="CN600" s="115"/>
      <c r="CO600" s="115"/>
      <c r="CP600" s="115"/>
      <c r="CQ600" s="115"/>
      <c r="CR600" s="115"/>
      <c r="CS600" s="115"/>
      <c r="CT600" s="115"/>
      <c r="CU600" s="115"/>
      <c r="CV600" s="115"/>
      <c r="CW600" s="115"/>
      <c r="CX600" s="115"/>
      <c r="CY600" s="115"/>
      <c r="CZ600" s="115"/>
      <c r="DA600" s="115"/>
      <c r="DB600" s="115"/>
      <c r="DC600" s="115"/>
      <c r="DD600" s="115"/>
      <c r="DE600" s="115"/>
      <c r="DF600" s="115"/>
      <c r="DG600" s="115"/>
      <c r="DH600" s="115"/>
      <c r="DI600" s="115"/>
      <c r="DJ600" s="115"/>
      <c r="DK600" s="115"/>
      <c r="DL600" s="115"/>
      <c r="DM600" s="115"/>
      <c r="DN600" s="115"/>
      <c r="DO600" s="115"/>
      <c r="DP600" s="115"/>
      <c r="DQ600" s="115"/>
      <c r="DR600" s="115"/>
      <c r="DS600" s="115"/>
      <c r="DT600" s="115"/>
      <c r="DU600" s="115"/>
      <c r="DV600" s="115"/>
      <c r="DW600" s="115"/>
      <c r="DX600" s="115"/>
      <c r="DY600" s="115"/>
      <c r="DZ600" s="115"/>
      <c r="EA600" s="115"/>
      <c r="EB600" s="115"/>
      <c r="EC600" s="645"/>
      <c r="ED600" s="113" t="s">
        <v>1</v>
      </c>
    </row>
    <row r="601" spans="1:134" x14ac:dyDescent="0.2">
      <c r="A601" s="725" t="s">
        <v>265</v>
      </c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115"/>
      <c r="AU601" s="115"/>
      <c r="AV601" s="115"/>
      <c r="AW601" s="115"/>
      <c r="AX601" s="115"/>
      <c r="AY601" s="115"/>
      <c r="AZ601" s="115"/>
      <c r="BA601" s="115"/>
      <c r="BB601" s="115"/>
      <c r="BC601" s="115"/>
      <c r="BD601" s="115"/>
      <c r="BE601" s="115"/>
      <c r="BF601" s="115"/>
      <c r="BG601" s="115"/>
      <c r="BH601" s="115"/>
      <c r="BI601" s="115"/>
      <c r="BJ601" s="115"/>
      <c r="BK601" s="115"/>
      <c r="BL601" s="115"/>
      <c r="BM601" s="115"/>
      <c r="BN601" s="115"/>
      <c r="BO601" s="115"/>
      <c r="BP601" s="115"/>
      <c r="BQ601" s="115"/>
      <c r="BR601" s="115"/>
      <c r="BS601" s="115"/>
      <c r="BT601" s="115"/>
      <c r="BU601" s="115"/>
      <c r="BV601" s="115"/>
      <c r="BW601" s="115"/>
      <c r="BX601" s="115"/>
      <c r="BY601" s="115"/>
      <c r="BZ601" s="115"/>
      <c r="CA601" s="115"/>
      <c r="CB601" s="115"/>
      <c r="CC601" s="115"/>
      <c r="CD601" s="115"/>
      <c r="CE601" s="115"/>
      <c r="CF601" s="115"/>
      <c r="CG601" s="115"/>
      <c r="CH601" s="115"/>
      <c r="CI601" s="115"/>
      <c r="CJ601" s="115"/>
      <c r="CK601" s="115"/>
      <c r="CL601" s="115"/>
      <c r="CM601" s="115"/>
      <c r="CN601" s="115"/>
      <c r="CO601" s="115"/>
      <c r="CP601" s="115"/>
      <c r="CQ601" s="115"/>
      <c r="CR601" s="115"/>
      <c r="CS601" s="115"/>
      <c r="CT601" s="742">
        <v>0.05</v>
      </c>
      <c r="CU601" s="115"/>
      <c r="CV601" s="115"/>
      <c r="CW601" s="115"/>
      <c r="CX601" s="115"/>
      <c r="CY601" s="115"/>
      <c r="CZ601" s="115"/>
      <c r="DA601" s="115"/>
      <c r="DB601" s="115"/>
      <c r="DC601" s="115"/>
      <c r="DD601" s="115"/>
      <c r="DE601" s="115"/>
      <c r="DF601" s="742">
        <v>0.05</v>
      </c>
      <c r="DG601" s="115"/>
      <c r="DH601" s="115"/>
      <c r="DI601" s="115"/>
      <c r="DJ601" s="115"/>
      <c r="DK601" s="115"/>
      <c r="DL601" s="115"/>
      <c r="DM601" s="115"/>
      <c r="DN601" s="115"/>
      <c r="DO601" s="115"/>
      <c r="DP601" s="115"/>
      <c r="DQ601" s="115"/>
      <c r="DR601" s="742">
        <v>0.05</v>
      </c>
      <c r="DS601" s="115"/>
      <c r="DT601" s="115"/>
      <c r="DU601" s="115"/>
      <c r="DV601" s="115"/>
      <c r="DW601" s="115"/>
      <c r="DX601" s="115"/>
      <c r="DY601" s="115"/>
      <c r="DZ601" s="115"/>
      <c r="EA601" s="115"/>
      <c r="EB601" s="115"/>
      <c r="EC601" s="645"/>
      <c r="ED601" s="113" t="s">
        <v>1</v>
      </c>
    </row>
    <row r="602" spans="1:134" x14ac:dyDescent="0.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15"/>
      <c r="AU602" s="115"/>
      <c r="AV602" s="115"/>
      <c r="AW602" s="115"/>
      <c r="AX602" s="115"/>
      <c r="AY602" s="115"/>
      <c r="AZ602" s="115"/>
      <c r="BA602" s="115"/>
      <c r="BB602" s="115"/>
      <c r="BC602" s="115"/>
      <c r="BD602" s="115"/>
      <c r="BE602" s="115"/>
      <c r="BF602" s="115"/>
      <c r="BG602" s="115"/>
      <c r="BH602" s="115"/>
      <c r="BI602" s="115"/>
      <c r="BJ602" s="115"/>
      <c r="BK602" s="115"/>
      <c r="BL602" s="115"/>
      <c r="BM602" s="115"/>
      <c r="BN602" s="115"/>
      <c r="BO602" s="115"/>
      <c r="BP602" s="115"/>
      <c r="BQ602" s="115"/>
      <c r="BR602" s="115"/>
      <c r="BS602" s="115"/>
      <c r="BT602" s="115"/>
      <c r="BU602" s="115"/>
      <c r="BV602" s="115"/>
      <c r="BW602" s="115"/>
      <c r="BX602" s="115"/>
      <c r="BY602" s="115"/>
      <c r="BZ602" s="115"/>
      <c r="CA602" s="115"/>
      <c r="CB602" s="115"/>
      <c r="CC602" s="115"/>
      <c r="CD602" s="115"/>
      <c r="CE602" s="115"/>
      <c r="CF602" s="115"/>
      <c r="CG602" s="115"/>
      <c r="CH602" s="115"/>
      <c r="CI602" s="115"/>
      <c r="CJ602" s="115"/>
      <c r="CK602" s="115"/>
      <c r="CL602" s="115"/>
      <c r="CM602" s="115"/>
      <c r="CN602" s="115"/>
      <c r="CO602" s="115"/>
      <c r="CP602" s="115"/>
      <c r="CQ602" s="115"/>
      <c r="CR602" s="115"/>
      <c r="CS602" s="115"/>
      <c r="CT602" s="115"/>
      <c r="CU602" s="115"/>
      <c r="CV602" s="115"/>
      <c r="CW602" s="115"/>
      <c r="CX602" s="115"/>
      <c r="CY602" s="115"/>
      <c r="CZ602" s="115"/>
      <c r="DA602" s="115"/>
      <c r="DB602" s="115"/>
      <c r="DC602" s="115"/>
      <c r="DD602" s="115"/>
      <c r="DE602" s="115"/>
      <c r="DF602" s="115"/>
      <c r="DG602" s="115"/>
      <c r="DH602" s="115"/>
      <c r="DI602" s="115"/>
      <c r="DJ602" s="115"/>
      <c r="DK602" s="115"/>
      <c r="DL602" s="115"/>
      <c r="DM602" s="115"/>
      <c r="DN602" s="115"/>
      <c r="DO602" s="115"/>
      <c r="DP602" s="115"/>
      <c r="DQ602" s="115"/>
      <c r="DR602" s="115"/>
      <c r="DS602" s="115"/>
      <c r="DT602" s="115"/>
      <c r="DU602" s="115"/>
      <c r="DV602" s="115"/>
      <c r="DW602" s="115"/>
      <c r="DX602" s="115"/>
      <c r="DY602" s="115"/>
      <c r="DZ602" s="115"/>
      <c r="EA602" s="115"/>
      <c r="EB602" s="115"/>
      <c r="EC602" s="645"/>
      <c r="ED602" s="113" t="s">
        <v>1</v>
      </c>
    </row>
    <row r="603" spans="1:134" x14ac:dyDescent="0.2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115"/>
      <c r="AU603" s="115"/>
      <c r="AV603" s="115"/>
      <c r="AW603" s="115"/>
      <c r="AX603" s="115"/>
      <c r="AY603" s="115"/>
      <c r="AZ603" s="115"/>
      <c r="BA603" s="115"/>
      <c r="BB603" s="115"/>
      <c r="BC603" s="115"/>
      <c r="BD603" s="115"/>
      <c r="BE603" s="115"/>
      <c r="BF603" s="115"/>
      <c r="BG603" s="115"/>
      <c r="BH603" s="115"/>
      <c r="BI603" s="115"/>
      <c r="BJ603" s="115"/>
      <c r="BK603" s="115"/>
      <c r="BL603" s="115"/>
      <c r="BM603" s="115"/>
      <c r="BN603" s="115"/>
      <c r="BO603" s="115"/>
      <c r="BP603" s="115"/>
      <c r="BQ603" s="115"/>
      <c r="BR603" s="115"/>
      <c r="BS603" s="115"/>
      <c r="BT603" s="115"/>
      <c r="BU603" s="115"/>
      <c r="BV603" s="115"/>
      <c r="BW603" s="115"/>
      <c r="BX603" s="115"/>
      <c r="BY603" s="115"/>
      <c r="BZ603" s="115"/>
      <c r="CA603" s="115"/>
      <c r="CB603" s="115"/>
      <c r="CC603" s="115"/>
      <c r="CD603" s="115"/>
      <c r="CE603" s="115"/>
      <c r="CF603" s="115"/>
      <c r="CG603" s="115"/>
      <c r="CH603" s="115"/>
      <c r="CI603" s="115"/>
      <c r="CJ603" s="115"/>
      <c r="CK603" s="115"/>
      <c r="CL603" s="115"/>
      <c r="CM603" s="115"/>
      <c r="CN603" s="115"/>
      <c r="CO603" s="115"/>
      <c r="CP603" s="115"/>
      <c r="CQ603" s="115"/>
      <c r="CR603" s="115"/>
      <c r="CS603" s="115"/>
      <c r="CT603" s="115"/>
      <c r="CU603" s="115"/>
      <c r="CV603" s="115"/>
      <c r="CW603" s="115"/>
      <c r="CX603" s="115"/>
      <c r="CY603" s="115"/>
      <c r="CZ603" s="115"/>
      <c r="DA603" s="115"/>
      <c r="DB603" s="115"/>
      <c r="DC603" s="115"/>
      <c r="DD603" s="115"/>
      <c r="DE603" s="115"/>
      <c r="DF603" s="115"/>
      <c r="DG603" s="115"/>
      <c r="DH603" s="115"/>
      <c r="DI603" s="115"/>
      <c r="DJ603" s="115"/>
      <c r="DK603" s="115"/>
      <c r="DL603" s="115"/>
      <c r="DM603" s="115"/>
      <c r="DN603" s="115"/>
      <c r="DO603" s="115"/>
      <c r="DP603" s="115"/>
      <c r="DQ603" s="115"/>
      <c r="DR603" s="115"/>
      <c r="DS603" s="115"/>
      <c r="DT603" s="115"/>
      <c r="DU603" s="115"/>
      <c r="DV603" s="115"/>
      <c r="DW603" s="115"/>
      <c r="DX603" s="115"/>
      <c r="DY603" s="115"/>
      <c r="DZ603" s="115"/>
      <c r="EA603" s="115"/>
      <c r="EB603" s="115"/>
      <c r="EC603" s="645"/>
      <c r="ED603" s="113" t="s">
        <v>1</v>
      </c>
    </row>
    <row r="604" spans="1:134" x14ac:dyDescent="0.2">
      <c r="A604" s="680" t="s">
        <v>209</v>
      </c>
      <c r="B604" s="678"/>
      <c r="C604" s="678"/>
      <c r="D604" s="678"/>
      <c r="E604" s="678"/>
      <c r="F604" s="678"/>
      <c r="G604" s="678"/>
      <c r="H604" s="678"/>
      <c r="I604" s="678"/>
      <c r="J604" s="678"/>
      <c r="K604" s="678"/>
      <c r="L604" s="678"/>
      <c r="M604" s="678"/>
      <c r="N604" s="678"/>
      <c r="O604" s="678"/>
      <c r="P604" s="678"/>
      <c r="Q604" s="678"/>
      <c r="R604" s="678"/>
      <c r="S604" s="678"/>
      <c r="T604" s="678"/>
      <c r="U604" s="678"/>
      <c r="V604" s="678"/>
      <c r="W604" s="678"/>
      <c r="X604" s="678"/>
      <c r="Y604" s="678"/>
      <c r="Z604" s="678"/>
      <c r="AA604" s="678"/>
      <c r="AB604" s="678"/>
      <c r="AC604" s="678"/>
      <c r="AD604" s="678"/>
      <c r="AE604" s="678"/>
      <c r="AF604" s="678"/>
      <c r="AG604" s="678"/>
      <c r="AH604" s="678"/>
      <c r="AI604" s="678"/>
      <c r="AJ604" s="678"/>
      <c r="AK604" s="678"/>
      <c r="AL604" s="678"/>
      <c r="AM604" s="678"/>
      <c r="AN604" s="678"/>
      <c r="AO604" s="678"/>
      <c r="AP604" s="678"/>
      <c r="AQ604" s="678"/>
      <c r="AR604" s="678"/>
      <c r="AS604" s="678"/>
      <c r="AT604" s="678"/>
      <c r="AU604" s="678"/>
      <c r="AV604" s="678"/>
      <c r="AW604" s="678"/>
      <c r="AX604" s="678"/>
      <c r="AY604" s="678"/>
      <c r="AZ604" s="678"/>
      <c r="BA604" s="678"/>
      <c r="BB604" s="678"/>
      <c r="BC604" s="678"/>
      <c r="BD604" s="678"/>
      <c r="BE604" s="678"/>
      <c r="BF604" s="678"/>
      <c r="BG604" s="678"/>
      <c r="BH604" s="678"/>
      <c r="BI604" s="678"/>
      <c r="BJ604" s="678"/>
      <c r="BK604" s="678"/>
      <c r="BL604" s="678"/>
      <c r="BM604" s="678"/>
      <c r="BN604" s="678"/>
      <c r="BO604" s="678"/>
      <c r="BP604" s="678"/>
      <c r="BQ604" s="678"/>
      <c r="BR604" s="678"/>
      <c r="BS604" s="678"/>
      <c r="BT604" s="678"/>
      <c r="BU604" s="678"/>
      <c r="BV604" s="678"/>
      <c r="BW604" s="678"/>
      <c r="BX604" s="678"/>
      <c r="BY604" s="678"/>
      <c r="BZ604" s="678"/>
      <c r="CA604" s="678"/>
      <c r="CB604" s="678"/>
      <c r="CC604" s="678"/>
      <c r="CD604" s="678"/>
      <c r="CE604" s="678"/>
      <c r="CF604" s="678"/>
      <c r="CG604" s="678"/>
      <c r="CH604" s="678"/>
      <c r="CI604" s="678"/>
      <c r="CJ604" s="678"/>
      <c r="CK604" s="678"/>
      <c r="CL604" s="678"/>
      <c r="CM604" s="678"/>
      <c r="CN604" s="678"/>
      <c r="CO604" s="678"/>
      <c r="CP604" s="678"/>
      <c r="CQ604" s="678"/>
      <c r="CR604" s="678"/>
      <c r="CS604" s="678"/>
      <c r="CT604" s="678"/>
      <c r="CU604" s="678"/>
      <c r="CV604" s="678"/>
      <c r="CW604" s="678"/>
      <c r="CX604" s="678"/>
      <c r="CY604" s="678"/>
      <c r="CZ604" s="678"/>
      <c r="DA604" s="678"/>
      <c r="DB604" s="678"/>
      <c r="DC604" s="678"/>
      <c r="DD604" s="678"/>
      <c r="DE604" s="678"/>
      <c r="DF604" s="678"/>
      <c r="DG604" s="678"/>
      <c r="DH604" s="678"/>
      <c r="DI604" s="678"/>
      <c r="DJ604" s="678"/>
      <c r="DK604" s="678"/>
      <c r="DL604" s="678"/>
      <c r="DM604" s="678"/>
      <c r="DN604" s="678"/>
      <c r="DO604" s="678"/>
      <c r="DP604" s="678"/>
      <c r="DQ604" s="678"/>
      <c r="DR604" s="681"/>
      <c r="DS604" s="681"/>
      <c r="DT604" s="681"/>
      <c r="DU604" s="681"/>
      <c r="DV604" s="681"/>
      <c r="DW604" s="681"/>
      <c r="DX604" s="681"/>
      <c r="DY604" s="681"/>
      <c r="DZ604" s="681"/>
      <c r="EA604" s="681"/>
      <c r="EB604" s="681"/>
      <c r="EC604" s="718"/>
      <c r="ED604" s="113" t="s">
        <v>1</v>
      </c>
    </row>
    <row r="605" spans="1:134" x14ac:dyDescent="0.2">
      <c r="A605" s="682" t="s">
        <v>599</v>
      </c>
      <c r="B605" s="746"/>
      <c r="C605" s="746"/>
      <c r="D605" s="746"/>
      <c r="E605" s="746"/>
      <c r="F605" s="746"/>
      <c r="G605" s="746"/>
      <c r="H605" s="746"/>
      <c r="I605" s="746"/>
      <c r="J605" s="746"/>
      <c r="K605" s="746"/>
      <c r="L605" s="746"/>
      <c r="M605" s="746"/>
      <c r="N605" s="746"/>
      <c r="O605" s="746"/>
      <c r="P605" s="746"/>
      <c r="Q605" s="746"/>
      <c r="R605" s="746"/>
      <c r="S605" s="746"/>
      <c r="T605" s="746"/>
      <c r="U605" s="746"/>
      <c r="V605" s="746"/>
      <c r="W605" s="746"/>
      <c r="X605" s="746"/>
      <c r="Y605" s="746"/>
      <c r="Z605" s="746"/>
      <c r="AA605" s="746"/>
      <c r="AB605" s="746"/>
      <c r="AC605" s="746"/>
      <c r="AD605" s="746"/>
      <c r="AE605" s="746"/>
      <c r="AF605" s="746"/>
      <c r="AG605" s="746"/>
      <c r="AH605" s="746"/>
      <c r="AI605" s="746"/>
      <c r="AJ605" s="746"/>
      <c r="AK605" s="746"/>
      <c r="AL605" s="746"/>
      <c r="AM605" s="746"/>
      <c r="AN605" s="746"/>
      <c r="AO605" s="746"/>
      <c r="AP605" s="746"/>
      <c r="AQ605" s="746"/>
      <c r="AR605" s="746"/>
      <c r="AS605" s="746"/>
      <c r="AT605" s="746"/>
      <c r="AU605" s="746"/>
      <c r="AV605" s="746"/>
      <c r="AW605" s="746"/>
      <c r="AX605" s="746"/>
      <c r="AY605" s="746"/>
      <c r="AZ605" s="746"/>
      <c r="BA605" s="746"/>
      <c r="BB605" s="746"/>
      <c r="BC605" s="746"/>
      <c r="BD605" s="746"/>
      <c r="BE605" s="746"/>
      <c r="BF605" s="746"/>
      <c r="BG605" s="746"/>
      <c r="BH605" s="746"/>
      <c r="BI605" s="746"/>
      <c r="BJ605" s="746"/>
      <c r="BK605" s="746"/>
      <c r="BL605" s="746"/>
      <c r="BM605" s="746"/>
      <c r="BN605" s="746"/>
      <c r="BO605" s="746"/>
      <c r="BP605" s="746"/>
      <c r="BQ605" s="746"/>
      <c r="BR605" s="746"/>
      <c r="BS605" s="746"/>
      <c r="BT605" s="746"/>
      <c r="BU605" s="746"/>
      <c r="BV605" s="746"/>
      <c r="BW605" s="746"/>
      <c r="BX605" s="746"/>
      <c r="BY605" s="729">
        <f>SUM(BY606:BY607)</f>
        <v>37786901.641506806</v>
      </c>
      <c r="BZ605" s="729">
        <f t="shared" ref="BZ605:DQ605" si="2317">SUM(BZ606:BZ607)</f>
        <v>50300091.482633591</v>
      </c>
      <c r="CA605" s="729">
        <f t="shared" si="2317"/>
        <v>66715716.41191677</v>
      </c>
      <c r="CB605" s="729">
        <f t="shared" si="2317"/>
        <v>51439030.139884964</v>
      </c>
      <c r="CC605" s="729">
        <f t="shared" si="2317"/>
        <v>58215128.779999979</v>
      </c>
      <c r="CD605" s="729">
        <f t="shared" si="2317"/>
        <v>59095491.269973516</v>
      </c>
      <c r="CE605" s="729">
        <f t="shared" si="2317"/>
        <v>74667884.560063988</v>
      </c>
      <c r="CF605" s="729">
        <f t="shared" si="2317"/>
        <v>67591245.458987087</v>
      </c>
      <c r="CG605" s="729">
        <f t="shared" si="2317"/>
        <v>75799119.970091969</v>
      </c>
      <c r="CH605" s="729">
        <f t="shared" si="2317"/>
        <v>75128692.090031326</v>
      </c>
      <c r="CI605" s="729">
        <f t="shared" si="2317"/>
        <v>109530682.61039603</v>
      </c>
      <c r="CJ605" s="729">
        <f t="shared" si="2317"/>
        <v>128439497.11012277</v>
      </c>
      <c r="CK605" s="729">
        <f t="shared" si="2317"/>
        <v>116783223.76999977</v>
      </c>
      <c r="CL605" s="729">
        <f t="shared" si="2317"/>
        <v>121689356.47999993</v>
      </c>
      <c r="CM605" s="729">
        <f t="shared" si="2317"/>
        <v>129330957.89999986</v>
      </c>
      <c r="CN605" s="729">
        <f t="shared" si="2317"/>
        <v>116081452.96999992</v>
      </c>
      <c r="CO605" s="729">
        <f t="shared" si="2317"/>
        <v>139634650.85999981</v>
      </c>
      <c r="CP605" s="729">
        <f t="shared" si="2317"/>
        <v>164545670.86999977</v>
      </c>
      <c r="CQ605" s="729">
        <f t="shared" si="2317"/>
        <v>160681086.00999999</v>
      </c>
      <c r="CR605" s="729">
        <f t="shared" si="2317"/>
        <v>140090295.66999999</v>
      </c>
      <c r="CS605" s="729">
        <f t="shared" si="2317"/>
        <v>136052323.94999999</v>
      </c>
      <c r="CT605" s="729">
        <f t="shared" si="2317"/>
        <v>175882591.0640527</v>
      </c>
      <c r="CU605" s="729">
        <f t="shared" si="2317"/>
        <v>193470850.17045796</v>
      </c>
      <c r="CV605" s="729">
        <f t="shared" si="2317"/>
        <v>203144392.67898089</v>
      </c>
      <c r="CW605" s="729">
        <f t="shared" si="2317"/>
        <v>213301612.31292993</v>
      </c>
      <c r="CX605" s="729">
        <f t="shared" si="2317"/>
        <v>223966692.92857641</v>
      </c>
      <c r="CY605" s="729">
        <f t="shared" si="2317"/>
        <v>235165027.57500523</v>
      </c>
      <c r="CZ605" s="729">
        <f t="shared" si="2317"/>
        <v>246923278.95375553</v>
      </c>
      <c r="DA605" s="729">
        <f t="shared" si="2317"/>
        <v>259269442.9014433</v>
      </c>
      <c r="DB605" s="729">
        <f t="shared" si="2317"/>
        <v>272232915.04651552</v>
      </c>
      <c r="DC605" s="729">
        <f t="shared" si="2317"/>
        <v>285844560.7988413</v>
      </c>
      <c r="DD605" s="729">
        <f t="shared" si="2317"/>
        <v>300136788.83878338</v>
      </c>
      <c r="DE605" s="729">
        <f t="shared" si="2317"/>
        <v>315143628.2807225</v>
      </c>
      <c r="DF605" s="729">
        <f t="shared" si="2317"/>
        <v>347445850.17949665</v>
      </c>
      <c r="DG605" s="729">
        <f t="shared" si="2317"/>
        <v>364818142.6884715</v>
      </c>
      <c r="DH605" s="729">
        <f t="shared" si="2317"/>
        <v>383059049.82289511</v>
      </c>
      <c r="DI605" s="729">
        <f t="shared" si="2317"/>
        <v>402212002.31403989</v>
      </c>
      <c r="DJ605" s="729">
        <f t="shared" si="2317"/>
        <v>422322602.42974186</v>
      </c>
      <c r="DK605" s="729">
        <f t="shared" si="2317"/>
        <v>443438732.551229</v>
      </c>
      <c r="DL605" s="729">
        <f t="shared" si="2317"/>
        <v>465610669.17879045</v>
      </c>
      <c r="DM605" s="729">
        <f t="shared" si="2317"/>
        <v>488891202.63773</v>
      </c>
      <c r="DN605" s="729">
        <f t="shared" si="2317"/>
        <v>513335762.76961654</v>
      </c>
      <c r="DO605" s="729">
        <f t="shared" si="2317"/>
        <v>539002550.90809739</v>
      </c>
      <c r="DP605" s="729">
        <f t="shared" si="2317"/>
        <v>565952678.4535023</v>
      </c>
      <c r="DQ605" s="729">
        <f t="shared" si="2317"/>
        <v>594250312.37617743</v>
      </c>
      <c r="DR605" s="729">
        <f t="shared" ref="DR605:EC605" si="2318">SUM(DR606:DR607)</f>
        <v>609106570.1855818</v>
      </c>
      <c r="DS605" s="729">
        <f t="shared" si="2318"/>
        <v>624334234.44022131</v>
      </c>
      <c r="DT605" s="729">
        <f t="shared" si="2318"/>
        <v>639942590.30122685</v>
      </c>
      <c r="DU605" s="729">
        <f t="shared" si="2318"/>
        <v>655941155.05875742</v>
      </c>
      <c r="DV605" s="729">
        <f t="shared" si="2318"/>
        <v>672339683.93522632</v>
      </c>
      <c r="DW605" s="729">
        <f t="shared" si="2318"/>
        <v>689148176.03360689</v>
      </c>
      <c r="DX605" s="729">
        <f t="shared" si="2318"/>
        <v>706376880.43444705</v>
      </c>
      <c r="DY605" s="729">
        <f t="shared" si="2318"/>
        <v>724036302.44530809</v>
      </c>
      <c r="DZ605" s="729">
        <f t="shared" si="2318"/>
        <v>742137210.00644076</v>
      </c>
      <c r="EA605" s="729">
        <f t="shared" si="2318"/>
        <v>760690640.25660169</v>
      </c>
      <c r="EB605" s="729">
        <f t="shared" si="2318"/>
        <v>779707906.26301646</v>
      </c>
      <c r="EC605" s="729">
        <f t="shared" si="2318"/>
        <v>799200603.9195919</v>
      </c>
      <c r="ED605" s="113" t="s">
        <v>1</v>
      </c>
    </row>
    <row r="606" spans="1:134" x14ac:dyDescent="0.2">
      <c r="A606" s="730" t="s">
        <v>221</v>
      </c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15"/>
      <c r="AU606" s="115"/>
      <c r="AV606" s="115"/>
      <c r="AW606" s="115"/>
      <c r="AX606" s="115"/>
      <c r="AY606" s="115"/>
      <c r="AZ606" s="115"/>
      <c r="BA606" s="115"/>
      <c r="BB606" s="115"/>
      <c r="BC606" s="115"/>
      <c r="BD606" s="115"/>
      <c r="BE606" s="115"/>
      <c r="BF606" s="115"/>
      <c r="BG606" s="115"/>
      <c r="BH606" s="115"/>
      <c r="BI606" s="115"/>
      <c r="BJ606" s="115"/>
      <c r="BK606" s="115"/>
      <c r="BL606" s="115"/>
      <c r="BM606" s="115"/>
      <c r="BN606" s="115"/>
      <c r="BO606" s="115"/>
      <c r="BP606" s="115"/>
      <c r="BQ606" s="115"/>
      <c r="BR606" s="115"/>
      <c r="BS606" s="115"/>
      <c r="BT606" s="115"/>
      <c r="BU606" s="115"/>
      <c r="BV606" s="115"/>
      <c r="BW606" s="115"/>
      <c r="BX606" s="115"/>
      <c r="BY606" s="129">
        <v>13450811.27</v>
      </c>
      <c r="BZ606" s="129">
        <v>25733872.649999999</v>
      </c>
      <c r="CA606" s="129">
        <v>35147906.209999993</v>
      </c>
      <c r="CB606" s="129">
        <v>24717017.870000001</v>
      </c>
      <c r="CC606" s="129">
        <v>27014209.689999998</v>
      </c>
      <c r="CD606" s="129">
        <v>14390702.539999999</v>
      </c>
      <c r="CE606" s="129">
        <v>24940662.390000001</v>
      </c>
      <c r="CF606" s="129">
        <v>25714769.48</v>
      </c>
      <c r="CG606" s="129">
        <v>27276623.340000011</v>
      </c>
      <c r="CH606" s="129">
        <v>25330425.25999999</v>
      </c>
      <c r="CI606" s="129">
        <v>51204765.490000285</v>
      </c>
      <c r="CJ606" s="129">
        <v>56981826.280000433</v>
      </c>
      <c r="CK606" s="129">
        <v>32126441.439999998</v>
      </c>
      <c r="CL606" s="129">
        <v>30598745.450000003</v>
      </c>
      <c r="CM606" s="129">
        <v>42270537.189999998</v>
      </c>
      <c r="CN606" s="129">
        <v>36022999.230000004</v>
      </c>
      <c r="CO606" s="129">
        <v>50033807.56000001</v>
      </c>
      <c r="CP606" s="129">
        <v>50081652.479999982</v>
      </c>
      <c r="CQ606" s="129">
        <v>49050415.229999989</v>
      </c>
      <c r="CR606" s="129">
        <v>53961665.619999997</v>
      </c>
      <c r="CS606" s="129">
        <v>42651707.610000014</v>
      </c>
      <c r="CT606" s="129">
        <f>CT610*CT617</f>
        <v>43079195.026553258</v>
      </c>
      <c r="CU606" s="129">
        <f t="shared" ref="CU606:DQ606" si="2319">CU610*CU617</f>
        <v>47387114.529208586</v>
      </c>
      <c r="CV606" s="129">
        <f t="shared" si="2319"/>
        <v>49756470.255669013</v>
      </c>
      <c r="CW606" s="129">
        <f t="shared" si="2319"/>
        <v>52244293.768452466</v>
      </c>
      <c r="CX606" s="129">
        <f t="shared" si="2319"/>
        <v>54856508.456875086</v>
      </c>
      <c r="CY606" s="129">
        <f t="shared" si="2319"/>
        <v>57599333.87971884</v>
      </c>
      <c r="CZ606" s="129">
        <f t="shared" si="2319"/>
        <v>60479300.573704787</v>
      </c>
      <c r="DA606" s="129">
        <f t="shared" si="2319"/>
        <v>63503265.602390029</v>
      </c>
      <c r="DB606" s="129">
        <f t="shared" si="2319"/>
        <v>66678428.882509537</v>
      </c>
      <c r="DC606" s="129">
        <f t="shared" si="2319"/>
        <v>70012350.326635018</v>
      </c>
      <c r="DD606" s="129">
        <f t="shared" si="2319"/>
        <v>73512967.84296678</v>
      </c>
      <c r="DE606" s="129">
        <f t="shared" si="2319"/>
        <v>77188616.235115111</v>
      </c>
      <c r="DF606" s="129">
        <f t="shared" si="2319"/>
        <v>85100449.399214417</v>
      </c>
      <c r="DG606" s="129">
        <f t="shared" si="2319"/>
        <v>89355471.869175136</v>
      </c>
      <c r="DH606" s="129">
        <f t="shared" si="2319"/>
        <v>93823245.462633908</v>
      </c>
      <c r="DI606" s="129">
        <f t="shared" si="2319"/>
        <v>98514407.735765621</v>
      </c>
      <c r="DJ606" s="129">
        <f t="shared" si="2319"/>
        <v>103440128.1225539</v>
      </c>
      <c r="DK606" s="129">
        <f t="shared" si="2319"/>
        <v>108612134.52868161</v>
      </c>
      <c r="DL606" s="129">
        <f t="shared" si="2319"/>
        <v>114042741.25511569</v>
      </c>
      <c r="DM606" s="129">
        <f t="shared" si="2319"/>
        <v>119744878.31787148</v>
      </c>
      <c r="DN606" s="129">
        <f t="shared" si="2319"/>
        <v>125732122.23376505</v>
      </c>
      <c r="DO606" s="129">
        <f t="shared" si="2319"/>
        <v>132018728.34545331</v>
      </c>
      <c r="DP606" s="129">
        <f t="shared" si="2319"/>
        <v>138619664.76272598</v>
      </c>
      <c r="DQ606" s="129">
        <f t="shared" si="2319"/>
        <v>145550648.0008623</v>
      </c>
      <c r="DR606" s="129">
        <f t="shared" ref="DR606:EC606" si="2320">DR610*DR617</f>
        <v>149189414.20088384</v>
      </c>
      <c r="DS606" s="129">
        <f t="shared" si="2320"/>
        <v>152919149.55590594</v>
      </c>
      <c r="DT606" s="129">
        <f t="shared" si="2320"/>
        <v>156742128.29480356</v>
      </c>
      <c r="DU606" s="129">
        <f t="shared" si="2320"/>
        <v>160660681.50217363</v>
      </c>
      <c r="DV606" s="129">
        <f t="shared" si="2320"/>
        <v>164677198.53972796</v>
      </c>
      <c r="DW606" s="129">
        <f t="shared" si="2320"/>
        <v>168794128.50322112</v>
      </c>
      <c r="DX606" s="129">
        <f t="shared" si="2320"/>
        <v>173013981.71580166</v>
      </c>
      <c r="DY606" s="129">
        <f t="shared" si="2320"/>
        <v>177339331.25869668</v>
      </c>
      <c r="DZ606" s="129">
        <f t="shared" si="2320"/>
        <v>181772814.54016408</v>
      </c>
      <c r="EA606" s="129">
        <f t="shared" si="2320"/>
        <v>186317134.90366817</v>
      </c>
      <c r="EB606" s="129">
        <f t="shared" si="2320"/>
        <v>190975063.27625981</v>
      </c>
      <c r="EC606" s="129">
        <f t="shared" si="2320"/>
        <v>195749439.85816631</v>
      </c>
      <c r="ED606" s="113" t="s">
        <v>1</v>
      </c>
    </row>
    <row r="607" spans="1:134" x14ac:dyDescent="0.2">
      <c r="A607" s="730" t="s">
        <v>222</v>
      </c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15"/>
      <c r="AU607" s="115"/>
      <c r="AV607" s="115"/>
      <c r="AW607" s="115"/>
      <c r="AX607" s="115"/>
      <c r="AY607" s="115"/>
      <c r="AZ607" s="115"/>
      <c r="BA607" s="115"/>
      <c r="BB607" s="115"/>
      <c r="BC607" s="115"/>
      <c r="BD607" s="115"/>
      <c r="BE607" s="115"/>
      <c r="BF607" s="115"/>
      <c r="BG607" s="115"/>
      <c r="BH607" s="115"/>
      <c r="BI607" s="115"/>
      <c r="BJ607" s="115"/>
      <c r="BK607" s="115"/>
      <c r="BL607" s="115"/>
      <c r="BM607" s="115"/>
      <c r="BN607" s="115"/>
      <c r="BO607" s="115"/>
      <c r="BP607" s="115"/>
      <c r="BQ607" s="115"/>
      <c r="BR607" s="115"/>
      <c r="BS607" s="115"/>
      <c r="BT607" s="115"/>
      <c r="BU607" s="115"/>
      <c r="BV607" s="115"/>
      <c r="BW607" s="115"/>
      <c r="BX607" s="115"/>
      <c r="BY607" s="129">
        <v>24336090.371506803</v>
      </c>
      <c r="BZ607" s="129">
        <v>24566218.832633592</v>
      </c>
      <c r="CA607" s="129">
        <v>31567810.201916777</v>
      </c>
      <c r="CB607" s="129">
        <v>26722012.269884966</v>
      </c>
      <c r="CC607" s="129">
        <v>31200919.089999981</v>
      </c>
      <c r="CD607" s="129">
        <v>44704788.729973517</v>
      </c>
      <c r="CE607" s="129">
        <v>49727222.17006398</v>
      </c>
      <c r="CF607" s="129">
        <v>41876475.978987083</v>
      </c>
      <c r="CG607" s="129">
        <v>48522496.630091965</v>
      </c>
      <c r="CH607" s="129">
        <v>49798266.830031328</v>
      </c>
      <c r="CI607" s="129">
        <v>58325917.120395742</v>
      </c>
      <c r="CJ607" s="129">
        <v>71457670.830122337</v>
      </c>
      <c r="CK607" s="129">
        <v>84656782.329999775</v>
      </c>
      <c r="CL607" s="129">
        <v>91090611.029999927</v>
      </c>
      <c r="CM607" s="129">
        <v>87060420.709999859</v>
      </c>
      <c r="CN607" s="129">
        <v>80058453.73999992</v>
      </c>
      <c r="CO607" s="129">
        <v>89600843.299999803</v>
      </c>
      <c r="CP607" s="129">
        <v>114464018.38999979</v>
      </c>
      <c r="CQ607" s="129">
        <v>111630670.78000002</v>
      </c>
      <c r="CR607" s="129">
        <v>86128630.049999982</v>
      </c>
      <c r="CS607" s="129">
        <v>93400616.339999974</v>
      </c>
      <c r="CT607" s="129">
        <f>CT611*CT618</f>
        <v>132803396.03749944</v>
      </c>
      <c r="CU607" s="129">
        <f t="shared" ref="CU607:DQ607" si="2321">CU611*CU618</f>
        <v>146083735.64124939</v>
      </c>
      <c r="CV607" s="129">
        <f t="shared" si="2321"/>
        <v>153387922.42331186</v>
      </c>
      <c r="CW607" s="129">
        <f t="shared" si="2321"/>
        <v>161057318.54447746</v>
      </c>
      <c r="CX607" s="129">
        <f t="shared" si="2321"/>
        <v>169110184.47170132</v>
      </c>
      <c r="CY607" s="129">
        <f t="shared" si="2321"/>
        <v>177565693.69528639</v>
      </c>
      <c r="CZ607" s="129">
        <f t="shared" si="2321"/>
        <v>186443978.38005075</v>
      </c>
      <c r="DA607" s="129">
        <f t="shared" si="2321"/>
        <v>195766177.29905328</v>
      </c>
      <c r="DB607" s="129">
        <f t="shared" si="2321"/>
        <v>205554486.16400596</v>
      </c>
      <c r="DC607" s="129">
        <f t="shared" si="2321"/>
        <v>215832210.47220626</v>
      </c>
      <c r="DD607" s="129">
        <f t="shared" si="2321"/>
        <v>226623820.99581659</v>
      </c>
      <c r="DE607" s="129">
        <f t="shared" si="2321"/>
        <v>237955012.04560742</v>
      </c>
      <c r="DF607" s="129">
        <f t="shared" si="2321"/>
        <v>262345400.78028223</v>
      </c>
      <c r="DG607" s="129">
        <f t="shared" si="2321"/>
        <v>275462670.81929636</v>
      </c>
      <c r="DH607" s="129">
        <f t="shared" si="2321"/>
        <v>289235804.3602612</v>
      </c>
      <c r="DI607" s="129">
        <f t="shared" si="2321"/>
        <v>303697594.57827425</v>
      </c>
      <c r="DJ607" s="129">
        <f t="shared" si="2321"/>
        <v>318882474.30718797</v>
      </c>
      <c r="DK607" s="129">
        <f t="shared" si="2321"/>
        <v>334826598.02254742</v>
      </c>
      <c r="DL607" s="129">
        <f t="shared" si="2321"/>
        <v>351567927.92367476</v>
      </c>
      <c r="DM607" s="129">
        <f t="shared" si="2321"/>
        <v>369146324.31985855</v>
      </c>
      <c r="DN607" s="129">
        <f t="shared" si="2321"/>
        <v>387603640.53585148</v>
      </c>
      <c r="DO607" s="129">
        <f t="shared" si="2321"/>
        <v>406983822.56264412</v>
      </c>
      <c r="DP607" s="129">
        <f t="shared" si="2321"/>
        <v>427333013.69077635</v>
      </c>
      <c r="DQ607" s="129">
        <f t="shared" si="2321"/>
        <v>448699664.37531513</v>
      </c>
      <c r="DR607" s="129">
        <f t="shared" ref="DR607:EC607" si="2322">DR611*DR618</f>
        <v>459917155.984698</v>
      </c>
      <c r="DS607" s="129">
        <f t="shared" si="2322"/>
        <v>471415084.88431543</v>
      </c>
      <c r="DT607" s="129">
        <f t="shared" si="2322"/>
        <v>483200462.00642323</v>
      </c>
      <c r="DU607" s="129">
        <f t="shared" si="2322"/>
        <v>495280473.55658376</v>
      </c>
      <c r="DV607" s="129">
        <f t="shared" si="2322"/>
        <v>507662485.39549834</v>
      </c>
      <c r="DW607" s="129">
        <f t="shared" si="2322"/>
        <v>520354047.53038573</v>
      </c>
      <c r="DX607" s="129">
        <f t="shared" si="2322"/>
        <v>533362898.71864533</v>
      </c>
      <c r="DY607" s="129">
        <f t="shared" si="2322"/>
        <v>546696971.18661141</v>
      </c>
      <c r="DZ607" s="129">
        <f t="shared" si="2322"/>
        <v>560364395.46627665</v>
      </c>
      <c r="EA607" s="129">
        <f t="shared" si="2322"/>
        <v>574373505.35293353</v>
      </c>
      <c r="EB607" s="129">
        <f t="shared" si="2322"/>
        <v>588732842.98675668</v>
      </c>
      <c r="EC607" s="129">
        <f t="shared" si="2322"/>
        <v>603451164.06142557</v>
      </c>
      <c r="ED607" s="113" t="s">
        <v>1</v>
      </c>
    </row>
    <row r="608" spans="1:134" x14ac:dyDescent="0.2">
      <c r="A608" s="730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15"/>
      <c r="AU608" s="115"/>
      <c r="AV608" s="115"/>
      <c r="AW608" s="115"/>
      <c r="AX608" s="115"/>
      <c r="AY608" s="115"/>
      <c r="AZ608" s="115"/>
      <c r="BA608" s="115"/>
      <c r="BB608" s="115"/>
      <c r="BC608" s="115"/>
      <c r="BD608" s="115"/>
      <c r="BE608" s="115"/>
      <c r="BF608" s="115"/>
      <c r="BG608" s="115"/>
      <c r="BH608" s="115"/>
      <c r="BI608" s="115"/>
      <c r="BJ608" s="115"/>
      <c r="BK608" s="115"/>
      <c r="BL608" s="115"/>
      <c r="BM608" s="115"/>
      <c r="BN608" s="115"/>
      <c r="BO608" s="115"/>
      <c r="BP608" s="115"/>
      <c r="BQ608" s="115"/>
      <c r="BR608" s="115"/>
      <c r="BS608" s="115"/>
      <c r="BT608" s="115"/>
      <c r="BU608" s="115"/>
      <c r="BV608" s="115"/>
      <c r="BW608" s="115"/>
      <c r="BX608" s="115"/>
      <c r="BY608" s="115"/>
      <c r="BZ608" s="115"/>
      <c r="CA608" s="115"/>
      <c r="CB608" s="115"/>
      <c r="CC608" s="115"/>
      <c r="CD608" s="115"/>
      <c r="CE608" s="115"/>
      <c r="CF608" s="115"/>
      <c r="CG608" s="115"/>
      <c r="CH608" s="115"/>
      <c r="CI608" s="115"/>
      <c r="CJ608" s="115"/>
      <c r="CK608" s="115"/>
      <c r="CL608" s="115"/>
      <c r="CM608" s="115"/>
      <c r="CN608" s="115"/>
      <c r="CO608" s="115"/>
      <c r="CP608" s="115"/>
      <c r="CQ608" s="115"/>
      <c r="CR608" s="115"/>
      <c r="CS608" s="115"/>
      <c r="CT608" s="115"/>
      <c r="CU608" s="115"/>
      <c r="CV608" s="115"/>
      <c r="CW608" s="115"/>
      <c r="CX608" s="115"/>
      <c r="CY608" s="115"/>
      <c r="CZ608" s="115"/>
      <c r="DA608" s="115"/>
      <c r="DB608" s="115"/>
      <c r="DC608" s="115"/>
      <c r="DD608" s="115"/>
      <c r="DE608" s="115"/>
      <c r="DF608" s="115"/>
      <c r="DG608" s="115"/>
      <c r="DH608" s="115"/>
      <c r="DI608" s="115"/>
      <c r="DJ608" s="115"/>
      <c r="DK608" s="115"/>
      <c r="DL608" s="115"/>
      <c r="DM608" s="115"/>
      <c r="DN608" s="115"/>
      <c r="DO608" s="115"/>
      <c r="DP608" s="115"/>
      <c r="DQ608" s="115"/>
      <c r="DR608" s="115"/>
      <c r="DS608" s="115"/>
      <c r="DT608" s="115"/>
      <c r="DU608" s="115"/>
      <c r="DV608" s="115"/>
      <c r="DW608" s="115"/>
      <c r="DX608" s="115"/>
      <c r="DY608" s="115"/>
      <c r="DZ608" s="115"/>
      <c r="EA608" s="115"/>
      <c r="EB608" s="115"/>
      <c r="EC608" s="115"/>
      <c r="ED608" s="113" t="s">
        <v>1</v>
      </c>
    </row>
    <row r="609" spans="1:134" x14ac:dyDescent="0.2">
      <c r="A609" s="731" t="s">
        <v>5</v>
      </c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115"/>
      <c r="AU609" s="115"/>
      <c r="AV609" s="115"/>
      <c r="AW609" s="115"/>
      <c r="AX609" s="115"/>
      <c r="AY609" s="115"/>
      <c r="AZ609" s="115"/>
      <c r="BA609" s="115"/>
      <c r="BB609" s="115"/>
      <c r="BC609" s="115"/>
      <c r="BD609" s="115"/>
      <c r="BE609" s="115"/>
      <c r="BF609" s="115"/>
      <c r="BG609" s="115"/>
      <c r="BH609" s="115"/>
      <c r="BI609" s="115"/>
      <c r="BJ609" s="115"/>
      <c r="BK609" s="115"/>
      <c r="BL609" s="115"/>
      <c r="BM609" s="115"/>
      <c r="BN609" s="115"/>
      <c r="BO609" s="115"/>
      <c r="BP609" s="115"/>
      <c r="BQ609" s="115"/>
      <c r="BR609" s="115"/>
      <c r="BS609" s="115"/>
      <c r="BT609" s="115"/>
      <c r="BU609" s="115"/>
      <c r="BV609" s="115"/>
      <c r="BW609" s="115"/>
      <c r="BX609" s="115"/>
      <c r="BY609" s="132">
        <f>SUM(BY610:BY611)</f>
        <v>1667</v>
      </c>
      <c r="BZ609" s="132">
        <f t="shared" ref="BZ609:EC609" si="2323">SUM(BZ610:BZ611)</f>
        <v>2516</v>
      </c>
      <c r="CA609" s="132">
        <f t="shared" si="2323"/>
        <v>3173</v>
      </c>
      <c r="CB609" s="132">
        <f t="shared" si="2323"/>
        <v>2505</v>
      </c>
      <c r="CC609" s="132">
        <f t="shared" si="2323"/>
        <v>2810</v>
      </c>
      <c r="CD609" s="132">
        <f t="shared" si="2323"/>
        <v>2580</v>
      </c>
      <c r="CE609" s="132">
        <f t="shared" si="2323"/>
        <v>3229</v>
      </c>
      <c r="CF609" s="132">
        <f t="shared" si="2323"/>
        <v>3348</v>
      </c>
      <c r="CG609" s="132">
        <f t="shared" si="2323"/>
        <v>3725</v>
      </c>
      <c r="CH609" s="132">
        <f t="shared" si="2323"/>
        <v>3442</v>
      </c>
      <c r="CI609" s="132">
        <f t="shared" si="2323"/>
        <v>5844</v>
      </c>
      <c r="CJ609" s="132">
        <f t="shared" si="2323"/>
        <v>7327</v>
      </c>
      <c r="CK609" s="132">
        <f t="shared" si="2323"/>
        <v>5653</v>
      </c>
      <c r="CL609" s="132">
        <f t="shared" si="2323"/>
        <v>5370</v>
      </c>
      <c r="CM609" s="132">
        <f t="shared" si="2323"/>
        <v>6406</v>
      </c>
      <c r="CN609" s="132">
        <f t="shared" si="2323"/>
        <v>5818</v>
      </c>
      <c r="CO609" s="132">
        <f t="shared" si="2323"/>
        <v>10252</v>
      </c>
      <c r="CP609" s="132">
        <f t="shared" si="2323"/>
        <v>8569</v>
      </c>
      <c r="CQ609" s="132">
        <f t="shared" si="2323"/>
        <v>8770</v>
      </c>
      <c r="CR609" s="132">
        <f t="shared" si="2323"/>
        <v>7051</v>
      </c>
      <c r="CS609" s="132">
        <f t="shared" si="2323"/>
        <v>6313</v>
      </c>
      <c r="CT609" s="132">
        <f t="shared" si="2323"/>
        <v>8000</v>
      </c>
      <c r="CU609" s="132">
        <f t="shared" si="2323"/>
        <v>8800</v>
      </c>
      <c r="CV609" s="132">
        <f t="shared" si="2323"/>
        <v>9240</v>
      </c>
      <c r="CW609" s="132">
        <f t="shared" si="2323"/>
        <v>9702</v>
      </c>
      <c r="CX609" s="132">
        <f t="shared" si="2323"/>
        <v>10187.1</v>
      </c>
      <c r="CY609" s="132">
        <f t="shared" si="2323"/>
        <v>10696.455</v>
      </c>
      <c r="CZ609" s="132">
        <f t="shared" si="2323"/>
        <v>11231.277750000001</v>
      </c>
      <c r="DA609" s="132">
        <f t="shared" si="2323"/>
        <v>11792.841637500002</v>
      </c>
      <c r="DB609" s="132">
        <f t="shared" si="2323"/>
        <v>12382.483719375003</v>
      </c>
      <c r="DC609" s="132">
        <f t="shared" si="2323"/>
        <v>13001.607905343753</v>
      </c>
      <c r="DD609" s="132">
        <f t="shared" si="2323"/>
        <v>13651.688300610942</v>
      </c>
      <c r="DE609" s="132">
        <f t="shared" si="2323"/>
        <v>14334.272715641489</v>
      </c>
      <c r="DF609" s="132">
        <f t="shared" si="2323"/>
        <v>15050.986351423564</v>
      </c>
      <c r="DG609" s="132">
        <f t="shared" si="2323"/>
        <v>15803.535668994742</v>
      </c>
      <c r="DH609" s="132">
        <f t="shared" si="2323"/>
        <v>16593.712452444481</v>
      </c>
      <c r="DI609" s="132">
        <f t="shared" si="2323"/>
        <v>17423.398075066707</v>
      </c>
      <c r="DJ609" s="132">
        <f t="shared" si="2323"/>
        <v>18294.567978820043</v>
      </c>
      <c r="DK609" s="132">
        <f t="shared" si="2323"/>
        <v>19209.296377761046</v>
      </c>
      <c r="DL609" s="132">
        <f t="shared" si="2323"/>
        <v>20169.761196649099</v>
      </c>
      <c r="DM609" s="132">
        <f t="shared" si="2323"/>
        <v>21178.249256481555</v>
      </c>
      <c r="DN609" s="132">
        <f t="shared" si="2323"/>
        <v>22237.161719305634</v>
      </c>
      <c r="DO609" s="132">
        <f t="shared" si="2323"/>
        <v>23349.019805270917</v>
      </c>
      <c r="DP609" s="132">
        <f t="shared" si="2323"/>
        <v>24516.470795534464</v>
      </c>
      <c r="DQ609" s="132">
        <f t="shared" si="2323"/>
        <v>25742.294335311188</v>
      </c>
      <c r="DR609" s="132">
        <f t="shared" si="2323"/>
        <v>26385.851693693967</v>
      </c>
      <c r="DS609" s="132">
        <f t="shared" si="2323"/>
        <v>27045.497986036313</v>
      </c>
      <c r="DT609" s="132">
        <f t="shared" si="2323"/>
        <v>27721.635435687218</v>
      </c>
      <c r="DU609" s="132">
        <f t="shared" si="2323"/>
        <v>28414.676321579394</v>
      </c>
      <c r="DV609" s="132">
        <f t="shared" si="2323"/>
        <v>29125.043229618877</v>
      </c>
      <c r="DW609" s="132">
        <f t="shared" si="2323"/>
        <v>29853.169310359346</v>
      </c>
      <c r="DX609" s="132">
        <f t="shared" si="2323"/>
        <v>30599.498543118327</v>
      </c>
      <c r="DY609" s="132">
        <f t="shared" si="2323"/>
        <v>31364.486006696283</v>
      </c>
      <c r="DZ609" s="132">
        <f t="shared" si="2323"/>
        <v>32148.598156863689</v>
      </c>
      <c r="EA609" s="132">
        <f t="shared" si="2323"/>
        <v>32952.313110785275</v>
      </c>
      <c r="EB609" s="132">
        <f t="shared" si="2323"/>
        <v>33776.120938554901</v>
      </c>
      <c r="EC609" s="132">
        <f t="shared" si="2323"/>
        <v>34620.523962018771</v>
      </c>
      <c r="ED609" s="113" t="s">
        <v>1</v>
      </c>
    </row>
    <row r="610" spans="1:134" x14ac:dyDescent="0.2">
      <c r="A610" s="747" t="s">
        <v>221</v>
      </c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115"/>
      <c r="AU610" s="115"/>
      <c r="AV610" s="115"/>
      <c r="AW610" s="115"/>
      <c r="AX610" s="115"/>
      <c r="AY610" s="115"/>
      <c r="AZ610" s="115"/>
      <c r="BA610" s="115"/>
      <c r="BB610" s="115"/>
      <c r="BC610" s="115"/>
      <c r="BD610" s="115"/>
      <c r="BE610" s="115"/>
      <c r="BF610" s="115"/>
      <c r="BG610" s="115"/>
      <c r="BH610" s="115"/>
      <c r="BI610" s="115"/>
      <c r="BJ610" s="115"/>
      <c r="BK610" s="115"/>
      <c r="BL610" s="115"/>
      <c r="BM610" s="115"/>
      <c r="BN610" s="115"/>
      <c r="BO610" s="115"/>
      <c r="BP610" s="115"/>
      <c r="BQ610" s="115"/>
      <c r="BR610" s="115"/>
      <c r="BS610" s="115"/>
      <c r="BT610" s="115"/>
      <c r="BU610" s="115"/>
      <c r="BV610" s="115"/>
      <c r="BW610" s="115"/>
      <c r="BX610" s="115"/>
      <c r="BY610" s="115">
        <v>989</v>
      </c>
      <c r="BZ610" s="115">
        <v>1848</v>
      </c>
      <c r="CA610" s="115">
        <v>2374</v>
      </c>
      <c r="CB610" s="115">
        <v>1834</v>
      </c>
      <c r="CC610" s="115">
        <v>1961</v>
      </c>
      <c r="CD610" s="115">
        <v>1237</v>
      </c>
      <c r="CE610" s="115">
        <v>1942</v>
      </c>
      <c r="CF610" s="115">
        <v>1922</v>
      </c>
      <c r="CG610" s="115">
        <v>2152</v>
      </c>
      <c r="CH610" s="115">
        <v>2032</v>
      </c>
      <c r="CI610" s="115">
        <v>4116</v>
      </c>
      <c r="CJ610" s="115">
        <v>5089</v>
      </c>
      <c r="CK610" s="115">
        <v>3155</v>
      </c>
      <c r="CL610" s="115">
        <v>2792</v>
      </c>
      <c r="CM610" s="115">
        <v>3741</v>
      </c>
      <c r="CN610" s="115">
        <v>3252</v>
      </c>
      <c r="CO610" s="115">
        <v>7287</v>
      </c>
      <c r="CP610" s="115">
        <v>4890</v>
      </c>
      <c r="CQ610" s="115">
        <v>5316</v>
      </c>
      <c r="CR610" s="115">
        <v>4554</v>
      </c>
      <c r="CS610" s="115">
        <v>3731</v>
      </c>
      <c r="CT610" s="129">
        <v>4000</v>
      </c>
      <c r="CU610" s="129">
        <f>CT610*1.1</f>
        <v>4400</v>
      </c>
      <c r="CV610" s="129">
        <f>CU610*1.05</f>
        <v>4620</v>
      </c>
      <c r="CW610" s="129">
        <f t="shared" ref="CW610:DQ611" si="2324">CV610*1.05</f>
        <v>4851</v>
      </c>
      <c r="CX610" s="129">
        <f t="shared" si="2324"/>
        <v>5093.55</v>
      </c>
      <c r="CY610" s="129">
        <f t="shared" si="2324"/>
        <v>5348.2275</v>
      </c>
      <c r="CZ610" s="129">
        <f t="shared" si="2324"/>
        <v>5615.6388750000006</v>
      </c>
      <c r="DA610" s="129">
        <f t="shared" si="2324"/>
        <v>5896.4208187500008</v>
      </c>
      <c r="DB610" s="129">
        <f t="shared" si="2324"/>
        <v>6191.2418596875013</v>
      </c>
      <c r="DC610" s="129">
        <f t="shared" si="2324"/>
        <v>6500.8039526718767</v>
      </c>
      <c r="DD610" s="129">
        <f t="shared" si="2324"/>
        <v>6825.844150305471</v>
      </c>
      <c r="DE610" s="129">
        <f t="shared" si="2324"/>
        <v>7167.1363578207447</v>
      </c>
      <c r="DF610" s="129">
        <f t="shared" si="2324"/>
        <v>7525.493175711782</v>
      </c>
      <c r="DG610" s="129">
        <f t="shared" si="2324"/>
        <v>7901.767834497371</v>
      </c>
      <c r="DH610" s="129">
        <f t="shared" si="2324"/>
        <v>8296.8562262222404</v>
      </c>
      <c r="DI610" s="129">
        <f t="shared" si="2324"/>
        <v>8711.6990375333535</v>
      </c>
      <c r="DJ610" s="129">
        <f t="shared" si="2324"/>
        <v>9147.2839894100216</v>
      </c>
      <c r="DK610" s="129">
        <f t="shared" si="2324"/>
        <v>9604.6481888805229</v>
      </c>
      <c r="DL610" s="129">
        <f t="shared" si="2324"/>
        <v>10084.880598324549</v>
      </c>
      <c r="DM610" s="129">
        <f t="shared" si="2324"/>
        <v>10589.124628240777</v>
      </c>
      <c r="DN610" s="129">
        <f t="shared" si="2324"/>
        <v>11118.580859652817</v>
      </c>
      <c r="DO610" s="129">
        <f t="shared" si="2324"/>
        <v>11674.509902635458</v>
      </c>
      <c r="DP610" s="129">
        <f t="shared" si="2324"/>
        <v>12258.235397767232</v>
      </c>
      <c r="DQ610" s="129">
        <f t="shared" si="2324"/>
        <v>12871.147167655594</v>
      </c>
      <c r="DR610" s="129">
        <f>DQ610*1.025</f>
        <v>13192.925846846983</v>
      </c>
      <c r="DS610" s="129">
        <f t="shared" ref="DS610:EC611" si="2325">DR610*1.025</f>
        <v>13522.748993018156</v>
      </c>
      <c r="DT610" s="129">
        <f t="shared" si="2325"/>
        <v>13860.817717843609</v>
      </c>
      <c r="DU610" s="129">
        <f t="shared" si="2325"/>
        <v>14207.338160789697</v>
      </c>
      <c r="DV610" s="129">
        <f t="shared" si="2325"/>
        <v>14562.521614809439</v>
      </c>
      <c r="DW610" s="129">
        <f t="shared" si="2325"/>
        <v>14926.584655179673</v>
      </c>
      <c r="DX610" s="129">
        <f t="shared" si="2325"/>
        <v>15299.749271559163</v>
      </c>
      <c r="DY610" s="129">
        <f t="shared" si="2325"/>
        <v>15682.243003348141</v>
      </c>
      <c r="DZ610" s="129">
        <f t="shared" si="2325"/>
        <v>16074.299078431844</v>
      </c>
      <c r="EA610" s="129">
        <f t="shared" si="2325"/>
        <v>16476.156555392638</v>
      </c>
      <c r="EB610" s="129">
        <f t="shared" si="2325"/>
        <v>16888.06046927745</v>
      </c>
      <c r="EC610" s="129">
        <f t="shared" si="2325"/>
        <v>17310.261981009386</v>
      </c>
      <c r="ED610" s="113" t="s">
        <v>1</v>
      </c>
    </row>
    <row r="611" spans="1:134" x14ac:dyDescent="0.2">
      <c r="A611" s="747" t="s">
        <v>222</v>
      </c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115"/>
      <c r="AU611" s="115"/>
      <c r="AV611" s="115"/>
      <c r="AW611" s="115"/>
      <c r="AX611" s="115"/>
      <c r="AY611" s="115"/>
      <c r="AZ611" s="115"/>
      <c r="BA611" s="115"/>
      <c r="BB611" s="115"/>
      <c r="BC611" s="115"/>
      <c r="BD611" s="115"/>
      <c r="BE611" s="115"/>
      <c r="BF611" s="115"/>
      <c r="BG611" s="115"/>
      <c r="BH611" s="115"/>
      <c r="BI611" s="115"/>
      <c r="BJ611" s="115"/>
      <c r="BK611" s="115"/>
      <c r="BL611" s="115"/>
      <c r="BM611" s="115"/>
      <c r="BN611" s="115"/>
      <c r="BO611" s="115"/>
      <c r="BP611" s="115"/>
      <c r="BQ611" s="115"/>
      <c r="BR611" s="115"/>
      <c r="BS611" s="115"/>
      <c r="BT611" s="115"/>
      <c r="BU611" s="115"/>
      <c r="BV611" s="115"/>
      <c r="BW611" s="115"/>
      <c r="BX611" s="115"/>
      <c r="BY611" s="115">
        <v>678</v>
      </c>
      <c r="BZ611" s="115">
        <v>668</v>
      </c>
      <c r="CA611" s="115">
        <v>799</v>
      </c>
      <c r="CB611" s="115">
        <v>671</v>
      </c>
      <c r="CC611" s="115">
        <v>849</v>
      </c>
      <c r="CD611" s="115">
        <v>1343</v>
      </c>
      <c r="CE611" s="115">
        <v>1287</v>
      </c>
      <c r="CF611" s="115">
        <v>1426</v>
      </c>
      <c r="CG611" s="115">
        <v>1573</v>
      </c>
      <c r="CH611" s="115">
        <v>1410</v>
      </c>
      <c r="CI611" s="115">
        <v>1728</v>
      </c>
      <c r="CJ611" s="115">
        <v>2238</v>
      </c>
      <c r="CK611" s="115">
        <v>2498</v>
      </c>
      <c r="CL611" s="115">
        <v>2578</v>
      </c>
      <c r="CM611" s="115">
        <v>2665</v>
      </c>
      <c r="CN611" s="115">
        <v>2566</v>
      </c>
      <c r="CO611" s="115">
        <v>2965</v>
      </c>
      <c r="CP611" s="115">
        <v>3679</v>
      </c>
      <c r="CQ611" s="115">
        <v>3454</v>
      </c>
      <c r="CR611" s="115">
        <v>2497</v>
      </c>
      <c r="CS611" s="115">
        <v>2582</v>
      </c>
      <c r="CT611" s="129">
        <v>4000</v>
      </c>
      <c r="CU611" s="129">
        <f>CT611*1.1</f>
        <v>4400</v>
      </c>
      <c r="CV611" s="129">
        <f>CU611*1.05</f>
        <v>4620</v>
      </c>
      <c r="CW611" s="129">
        <f t="shared" si="2324"/>
        <v>4851</v>
      </c>
      <c r="CX611" s="129">
        <f t="shared" si="2324"/>
        <v>5093.55</v>
      </c>
      <c r="CY611" s="129">
        <f t="shared" si="2324"/>
        <v>5348.2275</v>
      </c>
      <c r="CZ611" s="129">
        <f t="shared" si="2324"/>
        <v>5615.6388750000006</v>
      </c>
      <c r="DA611" s="129">
        <f t="shared" si="2324"/>
        <v>5896.4208187500008</v>
      </c>
      <c r="DB611" s="129">
        <f t="shared" si="2324"/>
        <v>6191.2418596875013</v>
      </c>
      <c r="DC611" s="129">
        <f t="shared" si="2324"/>
        <v>6500.8039526718767</v>
      </c>
      <c r="DD611" s="129">
        <f t="shared" si="2324"/>
        <v>6825.844150305471</v>
      </c>
      <c r="DE611" s="129">
        <f t="shared" si="2324"/>
        <v>7167.1363578207447</v>
      </c>
      <c r="DF611" s="129">
        <f t="shared" si="2324"/>
        <v>7525.493175711782</v>
      </c>
      <c r="DG611" s="129">
        <f t="shared" si="2324"/>
        <v>7901.767834497371</v>
      </c>
      <c r="DH611" s="129">
        <f t="shared" si="2324"/>
        <v>8296.8562262222404</v>
      </c>
      <c r="DI611" s="129">
        <f t="shared" si="2324"/>
        <v>8711.6990375333535</v>
      </c>
      <c r="DJ611" s="129">
        <f t="shared" si="2324"/>
        <v>9147.2839894100216</v>
      </c>
      <c r="DK611" s="129">
        <f t="shared" si="2324"/>
        <v>9604.6481888805229</v>
      </c>
      <c r="DL611" s="129">
        <f t="shared" si="2324"/>
        <v>10084.880598324549</v>
      </c>
      <c r="DM611" s="129">
        <f t="shared" si="2324"/>
        <v>10589.124628240777</v>
      </c>
      <c r="DN611" s="129">
        <f t="shared" si="2324"/>
        <v>11118.580859652817</v>
      </c>
      <c r="DO611" s="129">
        <f t="shared" si="2324"/>
        <v>11674.509902635458</v>
      </c>
      <c r="DP611" s="129">
        <f t="shared" si="2324"/>
        <v>12258.235397767232</v>
      </c>
      <c r="DQ611" s="129">
        <f t="shared" si="2324"/>
        <v>12871.147167655594</v>
      </c>
      <c r="DR611" s="129">
        <f>DQ611*1.025</f>
        <v>13192.925846846983</v>
      </c>
      <c r="DS611" s="129">
        <f t="shared" si="2325"/>
        <v>13522.748993018156</v>
      </c>
      <c r="DT611" s="129">
        <f t="shared" si="2325"/>
        <v>13860.817717843609</v>
      </c>
      <c r="DU611" s="129">
        <f t="shared" si="2325"/>
        <v>14207.338160789697</v>
      </c>
      <c r="DV611" s="129">
        <f t="shared" si="2325"/>
        <v>14562.521614809439</v>
      </c>
      <c r="DW611" s="129">
        <f t="shared" si="2325"/>
        <v>14926.584655179673</v>
      </c>
      <c r="DX611" s="129">
        <f t="shared" si="2325"/>
        <v>15299.749271559163</v>
      </c>
      <c r="DY611" s="129">
        <f t="shared" si="2325"/>
        <v>15682.243003348141</v>
      </c>
      <c r="DZ611" s="129">
        <f t="shared" si="2325"/>
        <v>16074.299078431844</v>
      </c>
      <c r="EA611" s="129">
        <f t="shared" si="2325"/>
        <v>16476.156555392638</v>
      </c>
      <c r="EB611" s="129">
        <f t="shared" si="2325"/>
        <v>16888.06046927745</v>
      </c>
      <c r="EC611" s="129">
        <f t="shared" si="2325"/>
        <v>17310.261981009386</v>
      </c>
      <c r="ED611" s="113" t="s">
        <v>1</v>
      </c>
    </row>
    <row r="612" spans="1:134" x14ac:dyDescent="0.2">
      <c r="A612" s="747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15"/>
      <c r="AU612" s="115"/>
      <c r="AV612" s="115"/>
      <c r="AW612" s="115"/>
      <c r="AX612" s="115"/>
      <c r="AY612" s="115"/>
      <c r="AZ612" s="115"/>
      <c r="BA612" s="115"/>
      <c r="BB612" s="115"/>
      <c r="BC612" s="115"/>
      <c r="BD612" s="115"/>
      <c r="BE612" s="115"/>
      <c r="BF612" s="115"/>
      <c r="BG612" s="115"/>
      <c r="BH612" s="115"/>
      <c r="BI612" s="115"/>
      <c r="BJ612" s="115"/>
      <c r="BK612" s="115"/>
      <c r="BL612" s="115"/>
      <c r="BM612" s="115"/>
      <c r="BN612" s="115"/>
      <c r="BO612" s="115"/>
      <c r="BP612" s="115"/>
      <c r="BQ612" s="115"/>
      <c r="BR612" s="115"/>
      <c r="BS612" s="115"/>
      <c r="BT612" s="115"/>
      <c r="BU612" s="115"/>
      <c r="BV612" s="115"/>
      <c r="BW612" s="115"/>
      <c r="BX612" s="115"/>
      <c r="BY612" s="115"/>
      <c r="BZ612" s="115"/>
      <c r="CA612" s="115"/>
      <c r="CB612" s="115"/>
      <c r="CC612" s="115"/>
      <c r="CD612" s="115"/>
      <c r="CE612" s="115"/>
      <c r="CF612" s="115"/>
      <c r="CG612" s="115"/>
      <c r="CH612" s="115"/>
      <c r="CI612" s="115"/>
      <c r="CJ612" s="115"/>
      <c r="CK612" s="115"/>
      <c r="CL612" s="115"/>
      <c r="CM612" s="115"/>
      <c r="CN612" s="115"/>
      <c r="CO612" s="115"/>
      <c r="CP612" s="115"/>
      <c r="CQ612" s="115"/>
      <c r="CR612" s="115"/>
      <c r="CS612" s="115"/>
      <c r="CT612" s="115"/>
      <c r="CU612" s="115"/>
      <c r="CV612" s="115"/>
      <c r="CW612" s="115"/>
      <c r="CX612" s="115"/>
      <c r="CY612" s="115"/>
      <c r="CZ612" s="115"/>
      <c r="DA612" s="115"/>
      <c r="DB612" s="115"/>
      <c r="DC612" s="115"/>
      <c r="DD612" s="115"/>
      <c r="DE612" s="115"/>
      <c r="DF612" s="115"/>
      <c r="DG612" s="115"/>
      <c r="DH612" s="115"/>
      <c r="DI612" s="115"/>
      <c r="DJ612" s="115"/>
      <c r="DK612" s="115"/>
      <c r="DL612" s="115"/>
      <c r="DM612" s="115"/>
      <c r="DN612" s="115"/>
      <c r="DO612" s="115"/>
      <c r="DP612" s="115"/>
      <c r="DQ612" s="115"/>
      <c r="DR612" s="115"/>
      <c r="DS612" s="115"/>
      <c r="DT612" s="115"/>
      <c r="DU612" s="115"/>
      <c r="DV612" s="115"/>
      <c r="DW612" s="115"/>
      <c r="DX612" s="115"/>
      <c r="DY612" s="115"/>
      <c r="DZ612" s="115"/>
      <c r="EA612" s="115"/>
      <c r="EB612" s="115"/>
      <c r="EC612" s="115"/>
      <c r="ED612" s="113" t="s">
        <v>1</v>
      </c>
    </row>
    <row r="613" spans="1:134" x14ac:dyDescent="0.2">
      <c r="A613" s="747" t="s">
        <v>592</v>
      </c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15"/>
      <c r="AU613" s="115"/>
      <c r="AV613" s="115"/>
      <c r="AW613" s="115"/>
      <c r="AX613" s="115"/>
      <c r="AY613" s="115"/>
      <c r="AZ613" s="115"/>
      <c r="BA613" s="115"/>
      <c r="BB613" s="115"/>
      <c r="BC613" s="115"/>
      <c r="BD613" s="115"/>
      <c r="BE613" s="115"/>
      <c r="BF613" s="115"/>
      <c r="BG613" s="115"/>
      <c r="BH613" s="115"/>
      <c r="BI613" s="115"/>
      <c r="BJ613" s="115"/>
      <c r="BK613" s="115"/>
      <c r="BL613" s="115"/>
      <c r="BM613" s="115"/>
      <c r="BN613" s="115"/>
      <c r="BO613" s="115"/>
      <c r="BP613" s="115"/>
      <c r="BQ613" s="115"/>
      <c r="BR613" s="115"/>
      <c r="BS613" s="115"/>
      <c r="BT613" s="115"/>
      <c r="BU613" s="115"/>
      <c r="BV613" s="115"/>
      <c r="BW613" s="115"/>
      <c r="BX613" s="115"/>
      <c r="BY613" s="133"/>
      <c r="BZ613" s="133">
        <f t="shared" ref="BZ613:CL613" si="2326">BZ609/BY609-1</f>
        <v>0.50929814037192567</v>
      </c>
      <c r="CA613" s="133">
        <f t="shared" si="2326"/>
        <v>0.2611287758346581</v>
      </c>
      <c r="CB613" s="133">
        <f t="shared" si="2326"/>
        <v>-0.21052631578947367</v>
      </c>
      <c r="CC613" s="133">
        <f t="shared" si="2326"/>
        <v>0.12175648702594821</v>
      </c>
      <c r="CD613" s="133">
        <f t="shared" si="2326"/>
        <v>-8.185053380782914E-2</v>
      </c>
      <c r="CE613" s="133">
        <f t="shared" si="2326"/>
        <v>0.25155038759689918</v>
      </c>
      <c r="CF613" s="133">
        <f t="shared" si="2326"/>
        <v>3.6853515020130123E-2</v>
      </c>
      <c r="CG613" s="133">
        <f t="shared" si="2326"/>
        <v>0.11260454002389486</v>
      </c>
      <c r="CH613" s="133">
        <f t="shared" si="2326"/>
        <v>-7.597315436241614E-2</v>
      </c>
      <c r="CI613" s="133">
        <f t="shared" si="2326"/>
        <v>0.69785008715862862</v>
      </c>
      <c r="CJ613" s="133">
        <f t="shared" si="2326"/>
        <v>0.2537645448323067</v>
      </c>
      <c r="CK613" s="133">
        <f t="shared" si="2326"/>
        <v>-0.22847004230926704</v>
      </c>
      <c r="CL613" s="133">
        <f t="shared" si="2326"/>
        <v>-5.0061914027949794E-2</v>
      </c>
      <c r="CM613" s="133">
        <f t="shared" ref="CM613:CR613" si="2327">CM609/CL609-1</f>
        <v>0.19292364990689004</v>
      </c>
      <c r="CN613" s="133">
        <f t="shared" si="2327"/>
        <v>-9.1788947861379921E-2</v>
      </c>
      <c r="CO613" s="133">
        <f t="shared" si="2327"/>
        <v>0.762117566173943</v>
      </c>
      <c r="CP613" s="133">
        <f t="shared" si="2327"/>
        <v>-0.16416309012875541</v>
      </c>
      <c r="CQ613" s="133">
        <f t="shared" si="2327"/>
        <v>2.3456646049714092E-2</v>
      </c>
      <c r="CR613" s="133">
        <f t="shared" si="2327"/>
        <v>-0.19600912200684151</v>
      </c>
      <c r="CS613" s="133">
        <f>CS609/CR609-1</f>
        <v>-0.10466600482201105</v>
      </c>
      <c r="CT613" s="133"/>
      <c r="CU613" s="133"/>
      <c r="CV613" s="133"/>
      <c r="CW613" s="133"/>
      <c r="CX613" s="133"/>
      <c r="CY613" s="133"/>
      <c r="CZ613" s="133"/>
      <c r="DA613" s="133"/>
      <c r="DB613" s="133"/>
      <c r="DC613" s="133"/>
      <c r="DD613" s="133"/>
      <c r="DE613" s="133"/>
      <c r="DF613" s="742">
        <v>0.15</v>
      </c>
      <c r="DG613" s="742">
        <v>0.15</v>
      </c>
      <c r="DH613" s="742">
        <v>0.15</v>
      </c>
      <c r="DI613" s="742">
        <v>0.15</v>
      </c>
      <c r="DJ613" s="742">
        <v>0.15</v>
      </c>
      <c r="DK613" s="742">
        <v>0.15</v>
      </c>
      <c r="DL613" s="742">
        <v>0.15</v>
      </c>
      <c r="DM613" s="742">
        <v>0.15</v>
      </c>
      <c r="DN613" s="742">
        <v>0.15</v>
      </c>
      <c r="DO613" s="742">
        <v>0.15</v>
      </c>
      <c r="DP613" s="742">
        <v>0.15</v>
      </c>
      <c r="DQ613" s="742">
        <v>0.15</v>
      </c>
      <c r="DR613" s="742">
        <v>0.05</v>
      </c>
      <c r="DS613" s="742">
        <v>0.05</v>
      </c>
      <c r="DT613" s="742">
        <v>0.05</v>
      </c>
      <c r="DU613" s="742">
        <v>0.05</v>
      </c>
      <c r="DV613" s="742">
        <v>0.05</v>
      </c>
      <c r="DW613" s="742">
        <v>0.05</v>
      </c>
      <c r="DX613" s="742">
        <v>0.05</v>
      </c>
      <c r="DY613" s="742">
        <v>0.05</v>
      </c>
      <c r="DZ613" s="742">
        <v>0.05</v>
      </c>
      <c r="EA613" s="742">
        <v>0.05</v>
      </c>
      <c r="EB613" s="742">
        <v>0.05</v>
      </c>
      <c r="EC613" s="742">
        <v>0.05</v>
      </c>
      <c r="ED613" s="113" t="s">
        <v>1</v>
      </c>
    </row>
    <row r="614" spans="1:134" x14ac:dyDescent="0.2">
      <c r="A614" s="747" t="s">
        <v>593</v>
      </c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115"/>
      <c r="AU614" s="115"/>
      <c r="AV614" s="115"/>
      <c r="AW614" s="115"/>
      <c r="AX614" s="115"/>
      <c r="AY614" s="115"/>
      <c r="AZ614" s="115"/>
      <c r="BA614" s="115"/>
      <c r="BB614" s="115"/>
      <c r="BC614" s="115"/>
      <c r="BD614" s="115"/>
      <c r="BE614" s="115"/>
      <c r="BF614" s="115"/>
      <c r="BG614" s="115"/>
      <c r="BH614" s="115"/>
      <c r="BI614" s="115"/>
      <c r="BJ614" s="115"/>
      <c r="BK614" s="115"/>
      <c r="BL614" s="115"/>
      <c r="BM614" s="115"/>
      <c r="BN614" s="115"/>
      <c r="BO614" s="115"/>
      <c r="BP614" s="115"/>
      <c r="BQ614" s="115"/>
      <c r="BR614" s="115"/>
      <c r="BS614" s="115"/>
      <c r="BT614" s="115"/>
      <c r="BU614" s="115"/>
      <c r="BV614" s="115"/>
      <c r="BW614" s="115"/>
      <c r="BX614" s="115"/>
      <c r="BY614" s="133"/>
      <c r="BZ614" s="133"/>
      <c r="CA614" s="133"/>
      <c r="CB614" s="133"/>
      <c r="CC614" s="133"/>
      <c r="CD614" s="133"/>
      <c r="CE614" s="133"/>
      <c r="CF614" s="133"/>
      <c r="CG614" s="133"/>
      <c r="CH614" s="133"/>
      <c r="CI614" s="133"/>
      <c r="CJ614" s="133"/>
      <c r="CK614" s="133"/>
      <c r="CL614" s="133"/>
      <c r="CM614" s="133"/>
      <c r="CN614" s="133"/>
      <c r="CO614" s="133"/>
      <c r="CP614" s="133"/>
      <c r="CQ614" s="133"/>
      <c r="CR614" s="133"/>
      <c r="CS614" s="133"/>
      <c r="CT614" s="133"/>
      <c r="CU614" s="133"/>
      <c r="CV614" s="133"/>
      <c r="CW614" s="133"/>
      <c r="CX614" s="133"/>
      <c r="CY614" s="133"/>
      <c r="CZ614" s="133"/>
      <c r="DA614" s="133"/>
      <c r="DB614" s="133"/>
      <c r="DC614" s="133"/>
      <c r="DD614" s="133"/>
      <c r="DE614" s="133"/>
      <c r="DF614" s="742">
        <v>0.4</v>
      </c>
      <c r="DG614" s="742">
        <v>0.4</v>
      </c>
      <c r="DH614" s="742">
        <v>0.4</v>
      </c>
      <c r="DI614" s="742">
        <v>0.4</v>
      </c>
      <c r="DJ614" s="742">
        <v>0.4</v>
      </c>
      <c r="DK614" s="742">
        <v>0.4</v>
      </c>
      <c r="DL614" s="742">
        <v>0.4</v>
      </c>
      <c r="DM614" s="742">
        <v>0.4</v>
      </c>
      <c r="DN614" s="742">
        <v>0.4</v>
      </c>
      <c r="DO614" s="742">
        <v>0.4</v>
      </c>
      <c r="DP614" s="742">
        <v>0.4</v>
      </c>
      <c r="DQ614" s="742">
        <v>0.4</v>
      </c>
      <c r="DR614" s="742">
        <v>0.3</v>
      </c>
      <c r="DS614" s="742">
        <v>0.3</v>
      </c>
      <c r="DT614" s="742">
        <v>0.3</v>
      </c>
      <c r="DU614" s="742">
        <v>0.3</v>
      </c>
      <c r="DV614" s="742">
        <v>0.3</v>
      </c>
      <c r="DW614" s="742">
        <v>0.3</v>
      </c>
      <c r="DX614" s="742">
        <v>0.3</v>
      </c>
      <c r="DY614" s="742">
        <v>0.3</v>
      </c>
      <c r="DZ614" s="742">
        <v>0.3</v>
      </c>
      <c r="EA614" s="742">
        <v>0.3</v>
      </c>
      <c r="EB614" s="742">
        <v>0.3</v>
      </c>
      <c r="EC614" s="742">
        <v>0.3</v>
      </c>
    </row>
    <row r="615" spans="1:134" x14ac:dyDescent="0.2">
      <c r="A615" s="747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15"/>
      <c r="AU615" s="115"/>
      <c r="AV615" s="115"/>
      <c r="AW615" s="115"/>
      <c r="AX615" s="115"/>
      <c r="AY615" s="115"/>
      <c r="AZ615" s="115"/>
      <c r="BA615" s="115"/>
      <c r="BB615" s="115"/>
      <c r="BC615" s="115"/>
      <c r="BD615" s="115"/>
      <c r="BE615" s="115"/>
      <c r="BF615" s="115"/>
      <c r="BG615" s="115"/>
      <c r="BH615" s="115"/>
      <c r="BI615" s="115"/>
      <c r="BJ615" s="115"/>
      <c r="BK615" s="115"/>
      <c r="BL615" s="115"/>
      <c r="BM615" s="115"/>
      <c r="BN615" s="115"/>
      <c r="BO615" s="115"/>
      <c r="BP615" s="115"/>
      <c r="BQ615" s="115"/>
      <c r="BR615" s="115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115"/>
      <c r="CC615" s="115"/>
      <c r="CD615" s="115"/>
      <c r="CE615" s="115"/>
      <c r="CF615" s="115"/>
      <c r="CG615" s="115"/>
      <c r="CH615" s="115"/>
      <c r="CI615" s="115"/>
      <c r="CJ615" s="115"/>
      <c r="CK615" s="115"/>
      <c r="CL615" s="115"/>
      <c r="CM615" s="115"/>
      <c r="CN615" s="115"/>
      <c r="CO615" s="115"/>
      <c r="CP615" s="115"/>
      <c r="CQ615" s="115"/>
      <c r="CR615" s="115"/>
      <c r="CS615" s="115"/>
      <c r="CT615" s="115"/>
      <c r="CU615" s="115"/>
      <c r="CV615" s="115"/>
      <c r="CW615" s="115"/>
      <c r="CX615" s="115"/>
      <c r="CY615" s="115"/>
      <c r="CZ615" s="115"/>
      <c r="DA615" s="115"/>
      <c r="DB615" s="115"/>
      <c r="DC615" s="115"/>
      <c r="DD615" s="115"/>
      <c r="DE615" s="115"/>
      <c r="DF615" s="115"/>
      <c r="DG615" s="115"/>
      <c r="DH615" s="115"/>
      <c r="DI615" s="115"/>
      <c r="DJ615" s="115"/>
      <c r="DK615" s="115"/>
      <c r="DL615" s="115"/>
      <c r="DM615" s="115"/>
      <c r="DN615" s="115"/>
      <c r="DO615" s="115"/>
      <c r="DP615" s="115"/>
      <c r="DQ615" s="115"/>
      <c r="DR615" s="115"/>
      <c r="DS615" s="115"/>
      <c r="DT615" s="115"/>
      <c r="DU615" s="115"/>
      <c r="DV615" s="115"/>
      <c r="DW615" s="115"/>
      <c r="DX615" s="115"/>
      <c r="DY615" s="115"/>
      <c r="DZ615" s="115"/>
      <c r="EA615" s="115"/>
      <c r="EB615" s="115"/>
      <c r="EC615" s="115"/>
      <c r="ED615" s="113" t="s">
        <v>1</v>
      </c>
    </row>
    <row r="616" spans="1:134" x14ac:dyDescent="0.2">
      <c r="A616" s="748" t="s">
        <v>14</v>
      </c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15"/>
      <c r="AU616" s="115"/>
      <c r="AV616" s="115"/>
      <c r="AW616" s="115"/>
      <c r="AX616" s="115"/>
      <c r="AY616" s="115"/>
      <c r="AZ616" s="115"/>
      <c r="BA616" s="115"/>
      <c r="BB616" s="115"/>
      <c r="BC616" s="115"/>
      <c r="BD616" s="115"/>
      <c r="BE616" s="115"/>
      <c r="BF616" s="115"/>
      <c r="BG616" s="115"/>
      <c r="BH616" s="115"/>
      <c r="BI616" s="115"/>
      <c r="BJ616" s="115"/>
      <c r="BK616" s="115"/>
      <c r="BL616" s="115"/>
      <c r="BM616" s="115"/>
      <c r="BN616" s="115"/>
      <c r="BO616" s="115"/>
      <c r="BP616" s="115"/>
      <c r="BQ616" s="115"/>
      <c r="BR616" s="115"/>
      <c r="BS616" s="115"/>
      <c r="BT616" s="115"/>
      <c r="BU616" s="115"/>
      <c r="BV616" s="115"/>
      <c r="BW616" s="115"/>
      <c r="BX616" s="115"/>
      <c r="BY616" s="115"/>
      <c r="BZ616" s="115"/>
      <c r="CA616" s="115"/>
      <c r="CB616" s="115"/>
      <c r="CC616" s="115"/>
      <c r="CD616" s="115"/>
      <c r="CE616" s="115"/>
      <c r="CF616" s="115"/>
      <c r="CG616" s="115"/>
      <c r="CH616" s="115"/>
      <c r="CI616" s="115"/>
      <c r="CJ616" s="115"/>
      <c r="CK616" s="115"/>
      <c r="CL616" s="115"/>
      <c r="CM616" s="115"/>
      <c r="CN616" s="115"/>
      <c r="CO616" s="115"/>
      <c r="CP616" s="115"/>
      <c r="CQ616" s="115"/>
      <c r="CR616" s="115"/>
      <c r="CS616" s="115"/>
      <c r="CT616" s="115"/>
      <c r="CU616" s="115"/>
      <c r="CV616" s="115"/>
      <c r="CW616" s="115"/>
      <c r="CX616" s="115"/>
      <c r="CY616" s="115"/>
      <c r="CZ616" s="115"/>
      <c r="DA616" s="115"/>
      <c r="DB616" s="115"/>
      <c r="DC616" s="115"/>
      <c r="DD616" s="115"/>
      <c r="DE616" s="115"/>
      <c r="DF616" s="115"/>
      <c r="DG616" s="115"/>
      <c r="DH616" s="115"/>
      <c r="DI616" s="115"/>
      <c r="DJ616" s="115"/>
      <c r="DK616" s="115"/>
      <c r="DL616" s="115"/>
      <c r="DM616" s="115"/>
      <c r="DN616" s="115"/>
      <c r="DO616" s="115"/>
      <c r="DP616" s="115"/>
      <c r="DQ616" s="115"/>
      <c r="DR616" s="115"/>
      <c r="DS616" s="115"/>
      <c r="DT616" s="115"/>
      <c r="DU616" s="115"/>
      <c r="DV616" s="115"/>
      <c r="DW616" s="115"/>
      <c r="DX616" s="115"/>
      <c r="DY616" s="115"/>
      <c r="DZ616" s="115"/>
      <c r="EA616" s="115"/>
      <c r="EB616" s="115"/>
      <c r="EC616" s="115"/>
      <c r="ED616" s="113" t="s">
        <v>1</v>
      </c>
    </row>
    <row r="617" spans="1:134" x14ac:dyDescent="0.2">
      <c r="A617" s="747" t="s">
        <v>221</v>
      </c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15"/>
      <c r="AU617" s="115"/>
      <c r="AV617" s="115"/>
      <c r="AW617" s="115"/>
      <c r="AX617" s="115"/>
      <c r="AY617" s="115"/>
      <c r="AZ617" s="115"/>
      <c r="BA617" s="115"/>
      <c r="BB617" s="115"/>
      <c r="BC617" s="115"/>
      <c r="BD617" s="115"/>
      <c r="BE617" s="115"/>
      <c r="BF617" s="115"/>
      <c r="BG617" s="115"/>
      <c r="BH617" s="115"/>
      <c r="BI617" s="115"/>
      <c r="BJ617" s="115"/>
      <c r="BK617" s="115"/>
      <c r="BL617" s="115"/>
      <c r="BM617" s="115"/>
      <c r="BN617" s="115"/>
      <c r="BO617" s="115"/>
      <c r="BP617" s="115"/>
      <c r="BQ617" s="115"/>
      <c r="BR617" s="115"/>
      <c r="BS617" s="115"/>
      <c r="BT617" s="115"/>
      <c r="BU617" s="115"/>
      <c r="BV617" s="115"/>
      <c r="BW617" s="115"/>
      <c r="BX617" s="115"/>
      <c r="BY617" s="706">
        <f>BY606/BY610</f>
        <v>13600.415844287158</v>
      </c>
      <c r="BZ617" s="706">
        <f t="shared" ref="BZ617:CK617" si="2328">BZ606/BZ610</f>
        <v>13925.255762987012</v>
      </c>
      <c r="CA617" s="706">
        <f t="shared" si="2328"/>
        <v>14805.352236731253</v>
      </c>
      <c r="CB617" s="706">
        <f t="shared" si="2328"/>
        <v>13477.108980370775</v>
      </c>
      <c r="CC617" s="706">
        <f t="shared" si="2328"/>
        <v>13775.731611422741</v>
      </c>
      <c r="CD617" s="706">
        <f t="shared" si="2328"/>
        <v>11633.550962004851</v>
      </c>
      <c r="CE617" s="706">
        <f t="shared" si="2328"/>
        <v>12842.771570545829</v>
      </c>
      <c r="CF617" s="706">
        <f t="shared" si="2328"/>
        <v>13379.172466181062</v>
      </c>
      <c r="CG617" s="706">
        <f t="shared" si="2328"/>
        <v>12675.010845724912</v>
      </c>
      <c r="CH617" s="706">
        <f t="shared" si="2328"/>
        <v>12465.76046259842</v>
      </c>
      <c r="CI617" s="706">
        <f t="shared" si="2328"/>
        <v>12440.419215257602</v>
      </c>
      <c r="CJ617" s="706">
        <f t="shared" si="2328"/>
        <v>11197.057630182831</v>
      </c>
      <c r="CK617" s="706">
        <f t="shared" si="2328"/>
        <v>10182.707270998415</v>
      </c>
      <c r="CL617" s="706">
        <f t="shared" ref="CL617:CS617" si="2329">CL606/CL610</f>
        <v>10959.436049426935</v>
      </c>
      <c r="CM617" s="706">
        <f t="shared" si="2329"/>
        <v>11299.261478214381</v>
      </c>
      <c r="CN617" s="706">
        <f t="shared" si="2329"/>
        <v>11077.183035055352</v>
      </c>
      <c r="CO617" s="706">
        <f t="shared" si="2329"/>
        <v>6866.1736736654329</v>
      </c>
      <c r="CP617" s="706">
        <f t="shared" si="2329"/>
        <v>10241.646723926377</v>
      </c>
      <c r="CQ617" s="706">
        <f t="shared" si="2329"/>
        <v>9226.9404119638803</v>
      </c>
      <c r="CR617" s="706">
        <f t="shared" si="2329"/>
        <v>11849.289771629336</v>
      </c>
      <c r="CS617" s="706">
        <f t="shared" si="2329"/>
        <v>11431.709356740825</v>
      </c>
      <c r="CT617" s="129">
        <f>AVERAGE(CH617:CS617)*(1+CT621)</f>
        <v>10769.798756638314</v>
      </c>
      <c r="CU617" s="129">
        <f t="shared" ref="CU617:DQ617" si="2330">CT617*(1+CU621)</f>
        <v>10769.798756638314</v>
      </c>
      <c r="CV617" s="129">
        <f t="shared" si="2330"/>
        <v>10769.798756638314</v>
      </c>
      <c r="CW617" s="129">
        <f t="shared" si="2330"/>
        <v>10769.798756638314</v>
      </c>
      <c r="CX617" s="129">
        <f t="shared" si="2330"/>
        <v>10769.798756638314</v>
      </c>
      <c r="CY617" s="129">
        <f t="shared" si="2330"/>
        <v>10769.798756638314</v>
      </c>
      <c r="CZ617" s="129">
        <f t="shared" si="2330"/>
        <v>10769.798756638314</v>
      </c>
      <c r="DA617" s="129">
        <f t="shared" si="2330"/>
        <v>10769.798756638314</v>
      </c>
      <c r="DB617" s="129">
        <f t="shared" si="2330"/>
        <v>10769.798756638314</v>
      </c>
      <c r="DC617" s="129">
        <f t="shared" si="2330"/>
        <v>10769.798756638314</v>
      </c>
      <c r="DD617" s="129">
        <f t="shared" si="2330"/>
        <v>10769.798756638314</v>
      </c>
      <c r="DE617" s="129">
        <f t="shared" si="2330"/>
        <v>10769.798756638314</v>
      </c>
      <c r="DF617" s="129">
        <f t="shared" si="2330"/>
        <v>11308.288694470231</v>
      </c>
      <c r="DG617" s="129">
        <f t="shared" si="2330"/>
        <v>11308.288694470231</v>
      </c>
      <c r="DH617" s="129">
        <f t="shared" si="2330"/>
        <v>11308.288694470231</v>
      </c>
      <c r="DI617" s="129">
        <f t="shared" si="2330"/>
        <v>11308.288694470231</v>
      </c>
      <c r="DJ617" s="129">
        <f t="shared" si="2330"/>
        <v>11308.288694470231</v>
      </c>
      <c r="DK617" s="129">
        <f t="shared" si="2330"/>
        <v>11308.288694470231</v>
      </c>
      <c r="DL617" s="129">
        <f t="shared" si="2330"/>
        <v>11308.288694470231</v>
      </c>
      <c r="DM617" s="129">
        <f t="shared" si="2330"/>
        <v>11308.288694470231</v>
      </c>
      <c r="DN617" s="129">
        <f t="shared" si="2330"/>
        <v>11308.288694470231</v>
      </c>
      <c r="DO617" s="129">
        <f t="shared" si="2330"/>
        <v>11308.288694470231</v>
      </c>
      <c r="DP617" s="129">
        <f t="shared" si="2330"/>
        <v>11308.288694470231</v>
      </c>
      <c r="DQ617" s="129">
        <f t="shared" si="2330"/>
        <v>11308.288694470231</v>
      </c>
      <c r="DR617" s="129">
        <f t="shared" ref="DR617:DR618" si="2331">DQ617*(1+DR621)</f>
        <v>11308.288694470231</v>
      </c>
      <c r="DS617" s="129">
        <f t="shared" ref="DS617:DS618" si="2332">DR617*(1+DS621)</f>
        <v>11308.288694470231</v>
      </c>
      <c r="DT617" s="129">
        <f t="shared" ref="DT617:DT618" si="2333">DS617*(1+DT621)</f>
        <v>11308.288694470231</v>
      </c>
      <c r="DU617" s="129">
        <f t="shared" ref="DU617:DU618" si="2334">DT617*(1+DU621)</f>
        <v>11308.288694470231</v>
      </c>
      <c r="DV617" s="129">
        <f t="shared" ref="DV617:DV618" si="2335">DU617*(1+DV621)</f>
        <v>11308.288694470231</v>
      </c>
      <c r="DW617" s="129">
        <f t="shared" ref="DW617:DW618" si="2336">DV617*(1+DW621)</f>
        <v>11308.288694470231</v>
      </c>
      <c r="DX617" s="129">
        <f t="shared" ref="DX617:DX618" si="2337">DW617*(1+DX621)</f>
        <v>11308.288694470231</v>
      </c>
      <c r="DY617" s="129">
        <f t="shared" ref="DY617:DY618" si="2338">DX617*(1+DY621)</f>
        <v>11308.288694470231</v>
      </c>
      <c r="DZ617" s="129">
        <f t="shared" ref="DZ617:DZ618" si="2339">DY617*(1+DZ621)</f>
        <v>11308.288694470231</v>
      </c>
      <c r="EA617" s="129">
        <f t="shared" ref="EA617:EA618" si="2340">DZ617*(1+EA621)</f>
        <v>11308.288694470231</v>
      </c>
      <c r="EB617" s="129">
        <f t="shared" ref="EB617:EB618" si="2341">EA617*(1+EB621)</f>
        <v>11308.288694470231</v>
      </c>
      <c r="EC617" s="129">
        <f t="shared" ref="EC617:EC618" si="2342">EB617*(1+EC621)</f>
        <v>11308.288694470231</v>
      </c>
      <c r="ED617" s="113" t="s">
        <v>1</v>
      </c>
    </row>
    <row r="618" spans="1:134" x14ac:dyDescent="0.2">
      <c r="A618" s="747" t="s">
        <v>222</v>
      </c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115"/>
      <c r="AU618" s="115"/>
      <c r="AV618" s="115"/>
      <c r="AW618" s="115"/>
      <c r="AX618" s="115"/>
      <c r="AY618" s="115"/>
      <c r="AZ618" s="115"/>
      <c r="BA618" s="115"/>
      <c r="BB618" s="115"/>
      <c r="BC618" s="115"/>
      <c r="BD618" s="115"/>
      <c r="BE618" s="115"/>
      <c r="BF618" s="115"/>
      <c r="BG618" s="115"/>
      <c r="BH618" s="115"/>
      <c r="BI618" s="115"/>
      <c r="BJ618" s="115"/>
      <c r="BK618" s="115"/>
      <c r="BL618" s="115"/>
      <c r="BM618" s="115"/>
      <c r="BN618" s="115"/>
      <c r="BO618" s="115"/>
      <c r="BP618" s="115"/>
      <c r="BQ618" s="115"/>
      <c r="BR618" s="115"/>
      <c r="BS618" s="115"/>
      <c r="BT618" s="115"/>
      <c r="BU618" s="115"/>
      <c r="BV618" s="115"/>
      <c r="BW618" s="115"/>
      <c r="BX618" s="115"/>
      <c r="BY618" s="706">
        <f>BY607/BY611</f>
        <v>35893.938601042479</v>
      </c>
      <c r="BZ618" s="706">
        <f t="shared" ref="BZ618:CK618" si="2343">BZ607/BZ611</f>
        <v>36775.776695559267</v>
      </c>
      <c r="CA618" s="706">
        <f t="shared" si="2343"/>
        <v>39509.149188882075</v>
      </c>
      <c r="CB618" s="706">
        <f t="shared" si="2343"/>
        <v>39824.161356013363</v>
      </c>
      <c r="CC618" s="706">
        <f t="shared" si="2343"/>
        <v>36750.199163722005</v>
      </c>
      <c r="CD618" s="706">
        <f t="shared" si="2343"/>
        <v>33287.258920307904</v>
      </c>
      <c r="CE618" s="706">
        <f t="shared" si="2343"/>
        <v>38638.090264229977</v>
      </c>
      <c r="CF618" s="706">
        <f t="shared" si="2343"/>
        <v>29366.392692136804</v>
      </c>
      <c r="CG618" s="706">
        <f t="shared" si="2343"/>
        <v>30847.105295671943</v>
      </c>
      <c r="CH618" s="706">
        <f t="shared" si="2343"/>
        <v>35317.919737610871</v>
      </c>
      <c r="CI618" s="706">
        <f t="shared" si="2343"/>
        <v>33753.424259488274</v>
      </c>
      <c r="CJ618" s="706">
        <f t="shared" si="2343"/>
        <v>31929.254168955467</v>
      </c>
      <c r="CK618" s="706">
        <f t="shared" si="2343"/>
        <v>33889.82479183338</v>
      </c>
      <c r="CL618" s="706">
        <f t="shared" ref="CL618:CS618" si="2344">CL607/CL611</f>
        <v>35333.828948797491</v>
      </c>
      <c r="CM618" s="706">
        <f t="shared" si="2344"/>
        <v>32668.075313320773</v>
      </c>
      <c r="CN618" s="706">
        <f t="shared" si="2344"/>
        <v>31199.709173811349</v>
      </c>
      <c r="CO618" s="706">
        <f t="shared" si="2344"/>
        <v>30219.50870151764</v>
      </c>
      <c r="CP618" s="706">
        <f t="shared" si="2344"/>
        <v>31112.807390595215</v>
      </c>
      <c r="CQ618" s="706">
        <f t="shared" si="2344"/>
        <v>32319.244580196879</v>
      </c>
      <c r="CR618" s="706">
        <f t="shared" si="2344"/>
        <v>34492.843432118534</v>
      </c>
      <c r="CS618" s="706">
        <f t="shared" si="2344"/>
        <v>36173.747614252505</v>
      </c>
      <c r="CT618" s="129">
        <f>AVERAGE(CH618:CS618)*(1+CT622)</f>
        <v>33200.849009374862</v>
      </c>
      <c r="CU618" s="129">
        <f t="shared" ref="CU618:DQ618" si="2345">CT618*(1+CU622)</f>
        <v>33200.849009374862</v>
      </c>
      <c r="CV618" s="129">
        <f t="shared" si="2345"/>
        <v>33200.849009374862</v>
      </c>
      <c r="CW618" s="129">
        <f t="shared" si="2345"/>
        <v>33200.849009374862</v>
      </c>
      <c r="CX618" s="129">
        <f t="shared" si="2345"/>
        <v>33200.849009374862</v>
      </c>
      <c r="CY618" s="129">
        <f t="shared" si="2345"/>
        <v>33200.849009374862</v>
      </c>
      <c r="CZ618" s="129">
        <f t="shared" si="2345"/>
        <v>33200.849009374862</v>
      </c>
      <c r="DA618" s="129">
        <f t="shared" si="2345"/>
        <v>33200.849009374862</v>
      </c>
      <c r="DB618" s="129">
        <f t="shared" si="2345"/>
        <v>33200.849009374862</v>
      </c>
      <c r="DC618" s="129">
        <f t="shared" si="2345"/>
        <v>33200.849009374862</v>
      </c>
      <c r="DD618" s="129">
        <f t="shared" si="2345"/>
        <v>33200.849009374862</v>
      </c>
      <c r="DE618" s="129">
        <f t="shared" si="2345"/>
        <v>33200.849009374862</v>
      </c>
      <c r="DF618" s="129">
        <f t="shared" si="2345"/>
        <v>34860.891459843609</v>
      </c>
      <c r="DG618" s="129">
        <f t="shared" si="2345"/>
        <v>34860.891459843609</v>
      </c>
      <c r="DH618" s="129">
        <f t="shared" si="2345"/>
        <v>34860.891459843609</v>
      </c>
      <c r="DI618" s="129">
        <f t="shared" si="2345"/>
        <v>34860.891459843609</v>
      </c>
      <c r="DJ618" s="129">
        <f t="shared" si="2345"/>
        <v>34860.891459843609</v>
      </c>
      <c r="DK618" s="129">
        <f t="shared" si="2345"/>
        <v>34860.891459843609</v>
      </c>
      <c r="DL618" s="129">
        <f t="shared" si="2345"/>
        <v>34860.891459843609</v>
      </c>
      <c r="DM618" s="129">
        <f t="shared" si="2345"/>
        <v>34860.891459843609</v>
      </c>
      <c r="DN618" s="129">
        <f t="shared" si="2345"/>
        <v>34860.891459843609</v>
      </c>
      <c r="DO618" s="129">
        <f t="shared" si="2345"/>
        <v>34860.891459843609</v>
      </c>
      <c r="DP618" s="129">
        <f t="shared" si="2345"/>
        <v>34860.891459843609</v>
      </c>
      <c r="DQ618" s="129">
        <f t="shared" si="2345"/>
        <v>34860.891459843609</v>
      </c>
      <c r="DR618" s="129">
        <f t="shared" si="2331"/>
        <v>34860.891459843609</v>
      </c>
      <c r="DS618" s="129">
        <f t="shared" si="2332"/>
        <v>34860.891459843609</v>
      </c>
      <c r="DT618" s="129">
        <f t="shared" si="2333"/>
        <v>34860.891459843609</v>
      </c>
      <c r="DU618" s="129">
        <f t="shared" si="2334"/>
        <v>34860.891459843609</v>
      </c>
      <c r="DV618" s="129">
        <f t="shared" si="2335"/>
        <v>34860.891459843609</v>
      </c>
      <c r="DW618" s="129">
        <f t="shared" si="2336"/>
        <v>34860.891459843609</v>
      </c>
      <c r="DX618" s="129">
        <f t="shared" si="2337"/>
        <v>34860.891459843609</v>
      </c>
      <c r="DY618" s="129">
        <f t="shared" si="2338"/>
        <v>34860.891459843609</v>
      </c>
      <c r="DZ618" s="129">
        <f t="shared" si="2339"/>
        <v>34860.891459843609</v>
      </c>
      <c r="EA618" s="129">
        <f t="shared" si="2340"/>
        <v>34860.891459843609</v>
      </c>
      <c r="EB618" s="129">
        <f t="shared" si="2341"/>
        <v>34860.891459843609</v>
      </c>
      <c r="EC618" s="129">
        <f t="shared" si="2342"/>
        <v>34860.891459843609</v>
      </c>
      <c r="ED618" s="113" t="s">
        <v>1</v>
      </c>
    </row>
    <row r="619" spans="1:134" x14ac:dyDescent="0.2">
      <c r="A619" s="747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115"/>
      <c r="AU619" s="115"/>
      <c r="AV619" s="115"/>
      <c r="AW619" s="115"/>
      <c r="AX619" s="115"/>
      <c r="AY619" s="115"/>
      <c r="AZ619" s="115"/>
      <c r="BA619" s="115"/>
      <c r="BB619" s="115"/>
      <c r="BC619" s="115"/>
      <c r="BD619" s="115"/>
      <c r="BE619" s="115"/>
      <c r="BF619" s="115"/>
      <c r="BG619" s="115"/>
      <c r="BH619" s="115"/>
      <c r="BI619" s="115"/>
      <c r="BJ619" s="115"/>
      <c r="BK619" s="115"/>
      <c r="BL619" s="115"/>
      <c r="BM619" s="115"/>
      <c r="BN619" s="115"/>
      <c r="BO619" s="115"/>
      <c r="BP619" s="115"/>
      <c r="BQ619" s="115"/>
      <c r="BR619" s="115"/>
      <c r="BS619" s="115"/>
      <c r="BT619" s="115"/>
      <c r="BU619" s="115"/>
      <c r="BV619" s="115"/>
      <c r="BW619" s="115"/>
      <c r="BX619" s="115"/>
      <c r="BY619" s="706"/>
      <c r="BZ619" s="706"/>
      <c r="CA619" s="706"/>
      <c r="CB619" s="706"/>
      <c r="CC619" s="706"/>
      <c r="CD619" s="706"/>
      <c r="CE619" s="706"/>
      <c r="CF619" s="706"/>
      <c r="CG619" s="706"/>
      <c r="CH619" s="706"/>
      <c r="CI619" s="706"/>
      <c r="CJ619" s="706"/>
      <c r="CK619" s="706"/>
      <c r="CL619" s="706"/>
      <c r="CM619" s="706"/>
      <c r="CN619" s="706"/>
      <c r="CO619" s="706"/>
      <c r="CP619" s="706"/>
      <c r="CQ619" s="706"/>
      <c r="CR619" s="706"/>
      <c r="CS619" s="706"/>
      <c r="CT619" s="115"/>
      <c r="CU619" s="115"/>
      <c r="CV619" s="115"/>
      <c r="CW619" s="115"/>
      <c r="CX619" s="115"/>
      <c r="CY619" s="115"/>
      <c r="CZ619" s="115"/>
      <c r="DA619" s="115"/>
      <c r="DB619" s="115"/>
      <c r="DC619" s="115"/>
      <c r="DD619" s="115"/>
      <c r="DE619" s="115"/>
      <c r="DF619" s="115"/>
      <c r="DG619" s="115"/>
      <c r="DH619" s="115"/>
      <c r="DI619" s="115"/>
      <c r="DJ619" s="115"/>
      <c r="DK619" s="115"/>
      <c r="DL619" s="115"/>
      <c r="DM619" s="115"/>
      <c r="DN619" s="115"/>
      <c r="DO619" s="115"/>
      <c r="DP619" s="115"/>
      <c r="DQ619" s="115"/>
      <c r="DR619" s="115"/>
      <c r="DS619" s="115"/>
      <c r="DT619" s="115"/>
      <c r="DU619" s="115"/>
      <c r="DV619" s="115"/>
      <c r="DW619" s="115"/>
      <c r="DX619" s="115"/>
      <c r="DY619" s="115"/>
      <c r="DZ619" s="115"/>
      <c r="EA619" s="115"/>
      <c r="EB619" s="115"/>
      <c r="EC619" s="645"/>
      <c r="ED619" s="113" t="s">
        <v>1</v>
      </c>
    </row>
    <row r="620" spans="1:134" x14ac:dyDescent="0.2">
      <c r="A620" s="748" t="s">
        <v>225</v>
      </c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15"/>
      <c r="AU620" s="115"/>
      <c r="AV620" s="115"/>
      <c r="AW620" s="115"/>
      <c r="AX620" s="115"/>
      <c r="AY620" s="115"/>
      <c r="AZ620" s="115"/>
      <c r="BA620" s="115"/>
      <c r="BB620" s="115"/>
      <c r="BC620" s="115"/>
      <c r="BD620" s="115"/>
      <c r="BE620" s="115"/>
      <c r="BF620" s="115"/>
      <c r="BG620" s="115"/>
      <c r="BH620" s="115"/>
      <c r="BI620" s="115"/>
      <c r="BJ620" s="115"/>
      <c r="BK620" s="115"/>
      <c r="BL620" s="115"/>
      <c r="BM620" s="115"/>
      <c r="BN620" s="115"/>
      <c r="BO620" s="115"/>
      <c r="BP620" s="115"/>
      <c r="BQ620" s="115"/>
      <c r="BR620" s="115"/>
      <c r="BS620" s="115"/>
      <c r="BT620" s="115"/>
      <c r="BU620" s="115"/>
      <c r="BV620" s="115"/>
      <c r="BW620" s="115"/>
      <c r="BX620" s="115"/>
      <c r="BY620" s="706"/>
      <c r="BZ620" s="706"/>
      <c r="CA620" s="706"/>
      <c r="CB620" s="706"/>
      <c r="CC620" s="706"/>
      <c r="CD620" s="706"/>
      <c r="CE620" s="706"/>
      <c r="CF620" s="706"/>
      <c r="CG620" s="706"/>
      <c r="CH620" s="706"/>
      <c r="CI620" s="706"/>
      <c r="CJ620" s="706"/>
      <c r="CK620" s="706"/>
      <c r="CL620" s="706"/>
      <c r="CM620" s="706"/>
      <c r="CN620" s="706"/>
      <c r="CO620" s="706"/>
      <c r="CP620" s="706"/>
      <c r="CQ620" s="706"/>
      <c r="CR620" s="706"/>
      <c r="CS620" s="706"/>
      <c r="CT620" s="115"/>
      <c r="CU620" s="115"/>
      <c r="CV620" s="115"/>
      <c r="CW620" s="115"/>
      <c r="CX620" s="115"/>
      <c r="CY620" s="115"/>
      <c r="CZ620" s="115"/>
      <c r="DA620" s="115"/>
      <c r="DB620" s="115"/>
      <c r="DC620" s="115"/>
      <c r="DD620" s="115"/>
      <c r="DE620" s="115"/>
      <c r="DF620" s="115"/>
      <c r="DG620" s="115"/>
      <c r="DH620" s="115"/>
      <c r="DI620" s="115"/>
      <c r="DJ620" s="115"/>
      <c r="DK620" s="115"/>
      <c r="DL620" s="115"/>
      <c r="DM620" s="115"/>
      <c r="DN620" s="115"/>
      <c r="DO620" s="115"/>
      <c r="DP620" s="115"/>
      <c r="DQ620" s="115"/>
      <c r="DR620" s="115"/>
      <c r="DS620" s="115"/>
      <c r="DT620" s="115"/>
      <c r="DU620" s="115"/>
      <c r="DV620" s="115"/>
      <c r="DW620" s="115"/>
      <c r="DX620" s="115"/>
      <c r="DY620" s="115"/>
      <c r="DZ620" s="115"/>
      <c r="EA620" s="115"/>
      <c r="EB620" s="115"/>
      <c r="EC620" s="645"/>
      <c r="ED620" s="113" t="s">
        <v>1</v>
      </c>
    </row>
    <row r="621" spans="1:134" x14ac:dyDescent="0.2">
      <c r="A621" s="747" t="s">
        <v>221</v>
      </c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115"/>
      <c r="AU621" s="115"/>
      <c r="AV621" s="115"/>
      <c r="AW621" s="115"/>
      <c r="AX621" s="115"/>
      <c r="AY621" s="115"/>
      <c r="AZ621" s="115"/>
      <c r="BA621" s="115"/>
      <c r="BB621" s="115"/>
      <c r="BC621" s="115"/>
      <c r="BD621" s="115"/>
      <c r="BE621" s="115"/>
      <c r="BF621" s="115"/>
      <c r="BG621" s="115"/>
      <c r="BH621" s="115"/>
      <c r="BI621" s="115"/>
      <c r="BJ621" s="115"/>
      <c r="BK621" s="115"/>
      <c r="BL621" s="115"/>
      <c r="BM621" s="115"/>
      <c r="BN621" s="115"/>
      <c r="BO621" s="115"/>
      <c r="BP621" s="115"/>
      <c r="BQ621" s="115"/>
      <c r="BR621" s="115"/>
      <c r="BS621" s="115"/>
      <c r="BT621" s="115"/>
      <c r="BU621" s="115"/>
      <c r="BV621" s="115"/>
      <c r="BW621" s="115"/>
      <c r="BX621" s="115"/>
      <c r="BY621" s="706"/>
      <c r="BZ621" s="706"/>
      <c r="CA621" s="706"/>
      <c r="CB621" s="706"/>
      <c r="CC621" s="706"/>
      <c r="CD621" s="706"/>
      <c r="CE621" s="706"/>
      <c r="CF621" s="706"/>
      <c r="CG621" s="706"/>
      <c r="CH621" s="706"/>
      <c r="CI621" s="706"/>
      <c r="CJ621" s="706"/>
      <c r="CK621" s="706"/>
      <c r="CL621" s="706"/>
      <c r="CM621" s="706"/>
      <c r="CN621" s="706"/>
      <c r="CO621" s="706"/>
      <c r="CP621" s="706"/>
      <c r="CQ621" s="706"/>
      <c r="CR621" s="706"/>
      <c r="CS621" s="706"/>
      <c r="CT621" s="742"/>
      <c r="CU621" s="133"/>
      <c r="CV621" s="133"/>
      <c r="CW621" s="133"/>
      <c r="CX621" s="133"/>
      <c r="CY621" s="133"/>
      <c r="CZ621" s="133"/>
      <c r="DA621" s="133"/>
      <c r="DB621" s="133"/>
      <c r="DC621" s="133"/>
      <c r="DD621" s="133"/>
      <c r="DE621" s="133"/>
      <c r="DF621" s="742">
        <v>0.05</v>
      </c>
      <c r="DG621" s="133"/>
      <c r="DH621" s="133"/>
      <c r="DI621" s="133"/>
      <c r="DJ621" s="133"/>
      <c r="DK621" s="133"/>
      <c r="DL621" s="133"/>
      <c r="DM621" s="133"/>
      <c r="DN621" s="133"/>
      <c r="DO621" s="133"/>
      <c r="DP621" s="133"/>
      <c r="DQ621" s="133"/>
      <c r="DR621" s="115"/>
      <c r="DS621" s="115"/>
      <c r="DT621" s="115"/>
      <c r="DU621" s="115"/>
      <c r="DV621" s="115"/>
      <c r="DW621" s="115"/>
      <c r="DX621" s="115"/>
      <c r="DY621" s="115"/>
      <c r="DZ621" s="115"/>
      <c r="EA621" s="115"/>
      <c r="EB621" s="115"/>
      <c r="EC621" s="645"/>
      <c r="ED621" s="113" t="s">
        <v>1</v>
      </c>
    </row>
    <row r="622" spans="1:134" x14ac:dyDescent="0.2">
      <c r="A622" s="747" t="s">
        <v>222</v>
      </c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115"/>
      <c r="AU622" s="115"/>
      <c r="AV622" s="115"/>
      <c r="AW622" s="115"/>
      <c r="AX622" s="115"/>
      <c r="AY622" s="115"/>
      <c r="AZ622" s="115"/>
      <c r="BA622" s="115"/>
      <c r="BB622" s="115"/>
      <c r="BC622" s="115"/>
      <c r="BD622" s="115"/>
      <c r="BE622" s="115"/>
      <c r="BF622" s="115"/>
      <c r="BG622" s="115"/>
      <c r="BH622" s="115"/>
      <c r="BI622" s="115"/>
      <c r="BJ622" s="115"/>
      <c r="BK622" s="115"/>
      <c r="BL622" s="115"/>
      <c r="BM622" s="115"/>
      <c r="BN622" s="115"/>
      <c r="BO622" s="115"/>
      <c r="BP622" s="115"/>
      <c r="BQ622" s="115"/>
      <c r="BR622" s="115"/>
      <c r="BS622" s="115"/>
      <c r="BT622" s="115"/>
      <c r="BU622" s="115"/>
      <c r="BV622" s="115"/>
      <c r="BW622" s="115"/>
      <c r="BX622" s="115"/>
      <c r="BY622" s="706"/>
      <c r="BZ622" s="706"/>
      <c r="CA622" s="706"/>
      <c r="CB622" s="706"/>
      <c r="CC622" s="706"/>
      <c r="CD622" s="706"/>
      <c r="CE622" s="706"/>
      <c r="CF622" s="706"/>
      <c r="CG622" s="706"/>
      <c r="CH622" s="706"/>
      <c r="CI622" s="706"/>
      <c r="CJ622" s="706"/>
      <c r="CK622" s="706"/>
      <c r="CL622" s="706"/>
      <c r="CM622" s="706"/>
      <c r="CN622" s="706"/>
      <c r="CO622" s="706"/>
      <c r="CP622" s="706"/>
      <c r="CQ622" s="706"/>
      <c r="CR622" s="706"/>
      <c r="CS622" s="706"/>
      <c r="CT622" s="742"/>
      <c r="CU622" s="133"/>
      <c r="CV622" s="133"/>
      <c r="CW622" s="133"/>
      <c r="CX622" s="133"/>
      <c r="CY622" s="133"/>
      <c r="CZ622" s="133"/>
      <c r="DA622" s="133"/>
      <c r="DB622" s="133"/>
      <c r="DC622" s="133"/>
      <c r="DD622" s="133"/>
      <c r="DE622" s="133"/>
      <c r="DF622" s="742">
        <v>0.05</v>
      </c>
      <c r="DG622" s="133"/>
      <c r="DH622" s="133"/>
      <c r="DI622" s="133"/>
      <c r="DJ622" s="133"/>
      <c r="DK622" s="133"/>
      <c r="DL622" s="133"/>
      <c r="DM622" s="133"/>
      <c r="DN622" s="133"/>
      <c r="DO622" s="133"/>
      <c r="DP622" s="133"/>
      <c r="DQ622" s="133"/>
      <c r="DR622" s="115"/>
      <c r="DS622" s="115"/>
      <c r="DT622" s="115"/>
      <c r="DU622" s="115"/>
      <c r="DV622" s="115"/>
      <c r="DW622" s="115"/>
      <c r="DX622" s="115"/>
      <c r="DY622" s="115"/>
      <c r="DZ622" s="115"/>
      <c r="EA622" s="115"/>
      <c r="EB622" s="115"/>
      <c r="EC622" s="645"/>
      <c r="ED622" s="113" t="s">
        <v>1</v>
      </c>
    </row>
    <row r="623" spans="1:134" x14ac:dyDescent="0.2">
      <c r="A623" s="749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15"/>
      <c r="AU623" s="115"/>
      <c r="AV623" s="115"/>
      <c r="AW623" s="115"/>
      <c r="AX623" s="115"/>
      <c r="AY623" s="115"/>
      <c r="AZ623" s="115"/>
      <c r="BA623" s="115"/>
      <c r="BB623" s="115"/>
      <c r="BC623" s="115"/>
      <c r="BD623" s="115"/>
      <c r="BE623" s="115"/>
      <c r="BF623" s="115"/>
      <c r="BG623" s="115"/>
      <c r="BH623" s="115"/>
      <c r="BI623" s="115"/>
      <c r="BJ623" s="115"/>
      <c r="BK623" s="115"/>
      <c r="BL623" s="115"/>
      <c r="BM623" s="115"/>
      <c r="BN623" s="115"/>
      <c r="BO623" s="115"/>
      <c r="BP623" s="115"/>
      <c r="BQ623" s="115"/>
      <c r="BR623" s="115"/>
      <c r="BS623" s="115"/>
      <c r="BT623" s="115"/>
      <c r="BU623" s="115"/>
      <c r="BV623" s="115"/>
      <c r="BW623" s="115"/>
      <c r="BX623" s="115"/>
      <c r="BY623" s="706"/>
      <c r="BZ623" s="706"/>
      <c r="CA623" s="706"/>
      <c r="CB623" s="706"/>
      <c r="CC623" s="706"/>
      <c r="CD623" s="706"/>
      <c r="CE623" s="706"/>
      <c r="CF623" s="706"/>
      <c r="CG623" s="706"/>
      <c r="CH623" s="706"/>
      <c r="CI623" s="706"/>
      <c r="CJ623" s="706"/>
      <c r="CK623" s="706"/>
      <c r="CL623" s="706"/>
      <c r="CM623" s="706"/>
      <c r="CN623" s="706"/>
      <c r="CO623" s="706"/>
      <c r="CP623" s="706"/>
      <c r="CQ623" s="706"/>
      <c r="CR623" s="706"/>
      <c r="CS623" s="706"/>
      <c r="CT623" s="115"/>
      <c r="CU623" s="115"/>
      <c r="CV623" s="115"/>
      <c r="CW623" s="115"/>
      <c r="CX623" s="115"/>
      <c r="CY623" s="115"/>
      <c r="CZ623" s="115"/>
      <c r="DA623" s="115"/>
      <c r="DB623" s="115"/>
      <c r="DC623" s="115"/>
      <c r="DD623" s="115"/>
      <c r="DE623" s="115"/>
      <c r="DF623" s="115"/>
      <c r="DG623" s="115"/>
      <c r="DH623" s="115"/>
      <c r="DI623" s="115"/>
      <c r="DJ623" s="115"/>
      <c r="DK623" s="115"/>
      <c r="DL623" s="115"/>
      <c r="DM623" s="115"/>
      <c r="DN623" s="115"/>
      <c r="DO623" s="115"/>
      <c r="DP623" s="115"/>
      <c r="DQ623" s="115"/>
      <c r="DR623" s="115"/>
      <c r="DS623" s="115"/>
      <c r="DT623" s="115"/>
      <c r="DU623" s="115"/>
      <c r="DV623" s="115"/>
      <c r="DW623" s="115"/>
      <c r="DX623" s="115"/>
      <c r="DY623" s="115"/>
      <c r="DZ623" s="115"/>
      <c r="EA623" s="115"/>
      <c r="EB623" s="115"/>
      <c r="EC623" s="645"/>
      <c r="ED623" s="113" t="s">
        <v>1</v>
      </c>
    </row>
    <row r="624" spans="1:134" x14ac:dyDescent="0.2">
      <c r="A624" s="747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15"/>
      <c r="AU624" s="115"/>
      <c r="AV624" s="115"/>
      <c r="AW624" s="115"/>
      <c r="AX624" s="115"/>
      <c r="AY624" s="115"/>
      <c r="AZ624" s="115"/>
      <c r="BA624" s="115"/>
      <c r="BB624" s="115"/>
      <c r="BC624" s="115"/>
      <c r="BD624" s="115"/>
      <c r="BE624" s="115"/>
      <c r="BF624" s="115"/>
      <c r="BG624" s="115"/>
      <c r="BH624" s="115"/>
      <c r="BI624" s="115"/>
      <c r="BJ624" s="115"/>
      <c r="BK624" s="115"/>
      <c r="BL624" s="115"/>
      <c r="BM624" s="115"/>
      <c r="BN624" s="115"/>
      <c r="BO624" s="115"/>
      <c r="BP624" s="115"/>
      <c r="BQ624" s="115"/>
      <c r="BR624" s="115"/>
      <c r="BS624" s="115"/>
      <c r="BT624" s="115"/>
      <c r="BU624" s="115"/>
      <c r="BV624" s="115"/>
      <c r="BW624" s="115"/>
      <c r="BX624" s="115"/>
      <c r="BY624" s="115"/>
      <c r="BZ624" s="115"/>
      <c r="CA624" s="115"/>
      <c r="CB624" s="115"/>
      <c r="CC624" s="115"/>
      <c r="CD624" s="115"/>
      <c r="CE624" s="115"/>
      <c r="CF624" s="115"/>
      <c r="CG624" s="115"/>
      <c r="CH624" s="115"/>
      <c r="CI624" s="115"/>
      <c r="CJ624" s="115"/>
      <c r="CK624" s="115"/>
      <c r="CL624" s="115"/>
      <c r="CM624" s="115"/>
      <c r="CN624" s="115"/>
      <c r="CO624" s="115"/>
      <c r="CP624" s="115"/>
      <c r="CQ624" s="115"/>
      <c r="CR624" s="115"/>
      <c r="CS624" s="115"/>
      <c r="CT624" s="115"/>
      <c r="CU624" s="115"/>
      <c r="CV624" s="115"/>
      <c r="CW624" s="115"/>
      <c r="CX624" s="115"/>
      <c r="CY624" s="115"/>
      <c r="CZ624" s="115"/>
      <c r="DA624" s="115"/>
      <c r="DB624" s="115"/>
      <c r="DC624" s="115"/>
      <c r="DD624" s="115"/>
      <c r="DE624" s="115"/>
      <c r="DF624" s="115"/>
      <c r="DG624" s="115"/>
      <c r="DH624" s="115"/>
      <c r="DI624" s="115"/>
      <c r="DJ624" s="115"/>
      <c r="DK624" s="115"/>
      <c r="DL624" s="115"/>
      <c r="DM624" s="115"/>
      <c r="DN624" s="115"/>
      <c r="DO624" s="115"/>
      <c r="DP624" s="115"/>
      <c r="DQ624" s="115"/>
      <c r="DR624" s="115"/>
      <c r="DS624" s="115"/>
      <c r="DT624" s="115"/>
      <c r="DU624" s="115"/>
      <c r="DV624" s="115"/>
      <c r="DW624" s="115"/>
      <c r="DX624" s="115"/>
      <c r="DY624" s="115"/>
      <c r="DZ624" s="115"/>
      <c r="EA624" s="115"/>
      <c r="EB624" s="115"/>
      <c r="EC624" s="645"/>
      <c r="ED624" s="113" t="s">
        <v>1</v>
      </c>
    </row>
    <row r="625" spans="1:134" s="331" customFormat="1" x14ac:dyDescent="0.2">
      <c r="A625" s="746" t="s">
        <v>6</v>
      </c>
      <c r="B625" s="746"/>
      <c r="C625" s="746"/>
      <c r="D625" s="746"/>
      <c r="E625" s="746"/>
      <c r="F625" s="746"/>
      <c r="G625" s="746"/>
      <c r="H625" s="746"/>
      <c r="I625" s="746"/>
      <c r="J625" s="746"/>
      <c r="K625" s="746"/>
      <c r="L625" s="746"/>
      <c r="M625" s="746"/>
      <c r="N625" s="746"/>
      <c r="O625" s="746"/>
      <c r="P625" s="746"/>
      <c r="Q625" s="746"/>
      <c r="R625" s="746"/>
      <c r="S625" s="746"/>
      <c r="T625" s="746"/>
      <c r="U625" s="746"/>
      <c r="V625" s="746"/>
      <c r="W625" s="746"/>
      <c r="X625" s="746"/>
      <c r="Y625" s="746"/>
      <c r="Z625" s="746"/>
      <c r="AA625" s="746"/>
      <c r="AB625" s="746"/>
      <c r="AC625" s="746"/>
      <c r="AD625" s="746"/>
      <c r="AE625" s="746"/>
      <c r="AF625" s="746"/>
      <c r="AG625" s="746"/>
      <c r="AH625" s="746"/>
      <c r="AI625" s="746"/>
      <c r="AJ625" s="746"/>
      <c r="AK625" s="746"/>
      <c r="AL625" s="746"/>
      <c r="AM625" s="746"/>
      <c r="AN625" s="746"/>
      <c r="AO625" s="746"/>
      <c r="AP625" s="746"/>
      <c r="AQ625" s="746"/>
      <c r="AR625" s="746"/>
      <c r="AS625" s="746"/>
      <c r="AT625" s="746"/>
      <c r="AU625" s="746"/>
      <c r="AV625" s="746"/>
      <c r="AW625" s="746"/>
      <c r="AX625" s="746"/>
      <c r="AY625" s="746"/>
      <c r="AZ625" s="746"/>
      <c r="BA625" s="746"/>
      <c r="BB625" s="746"/>
      <c r="BC625" s="746"/>
      <c r="BD625" s="746"/>
      <c r="BE625" s="746"/>
      <c r="BF625" s="746"/>
      <c r="BG625" s="746"/>
      <c r="BH625" s="746"/>
      <c r="BI625" s="746"/>
      <c r="BJ625" s="746"/>
      <c r="BK625" s="746"/>
      <c r="BL625" s="746"/>
      <c r="BM625" s="746"/>
      <c r="BN625" s="746"/>
      <c r="BO625" s="746"/>
      <c r="BP625" s="746"/>
      <c r="BQ625" s="746"/>
      <c r="BR625" s="746"/>
      <c r="BS625" s="746"/>
      <c r="BT625" s="746"/>
      <c r="BU625" s="746"/>
      <c r="BV625" s="746"/>
      <c r="BW625" s="746"/>
      <c r="BX625" s="746"/>
      <c r="BY625" s="729">
        <f>BY626+BY627</f>
        <v>5835889.0485994704</v>
      </c>
      <c r="BZ625" s="729">
        <f t="shared" ref="BZ625:DQ625" si="2346">BZ626+BZ627</f>
        <v>7351091.3076656507</v>
      </c>
      <c r="CA625" s="729">
        <f t="shared" si="2346"/>
        <v>8007534.3849297045</v>
      </c>
      <c r="CB625" s="729">
        <f t="shared" si="2346"/>
        <v>8325240.3456979403</v>
      </c>
      <c r="CC625" s="729">
        <f t="shared" si="2346"/>
        <v>5890643.803521568</v>
      </c>
      <c r="CD625" s="729">
        <f t="shared" si="2346"/>
        <v>8965457.9202921651</v>
      </c>
      <c r="CE625" s="729">
        <f t="shared" si="2346"/>
        <v>9604720.5683551859</v>
      </c>
      <c r="CF625" s="729">
        <f t="shared" si="2346"/>
        <v>8573534.7523372415</v>
      </c>
      <c r="CG625" s="729">
        <f t="shared" si="2346"/>
        <v>13880344.679999994</v>
      </c>
      <c r="CH625" s="729">
        <f t="shared" si="2346"/>
        <v>12850723.21004807</v>
      </c>
      <c r="CI625" s="729">
        <f t="shared" si="2346"/>
        <v>12198090.165457856</v>
      </c>
      <c r="CJ625" s="729">
        <f t="shared" si="2346"/>
        <v>16305036.703169426</v>
      </c>
      <c r="CK625" s="729">
        <f t="shared" si="2346"/>
        <v>19921815.379999958</v>
      </c>
      <c r="CL625" s="729">
        <f t="shared" si="2346"/>
        <v>22617816.909999952</v>
      </c>
      <c r="CM625" s="729">
        <f t="shared" si="2346"/>
        <v>22619063.719999943</v>
      </c>
      <c r="CN625" s="729">
        <f t="shared" si="2346"/>
        <v>17868119.530000001</v>
      </c>
      <c r="CO625" s="729">
        <f t="shared" si="2346"/>
        <v>18387052.780000001</v>
      </c>
      <c r="CP625" s="729">
        <f t="shared" si="2346"/>
        <v>22413318.419999953</v>
      </c>
      <c r="CQ625" s="729">
        <f t="shared" si="2346"/>
        <v>22402346.019999988</v>
      </c>
      <c r="CR625" s="729">
        <f t="shared" si="2346"/>
        <v>17636289.739999983</v>
      </c>
      <c r="CS625" s="729">
        <f t="shared" si="2346"/>
        <v>17197800.689999986</v>
      </c>
      <c r="CT625" s="729">
        <f t="shared" si="2346"/>
        <v>23636825.42084391</v>
      </c>
      <c r="CU625" s="729">
        <f t="shared" si="2346"/>
        <v>26000507.962928303</v>
      </c>
      <c r="CV625" s="729">
        <f t="shared" si="2346"/>
        <v>27300533.361074716</v>
      </c>
      <c r="CW625" s="729">
        <f t="shared" si="2346"/>
        <v>28665560.029128455</v>
      </c>
      <c r="CX625" s="729">
        <f t="shared" si="2346"/>
        <v>30098838.030584875</v>
      </c>
      <c r="CY625" s="729">
        <f t="shared" si="2346"/>
        <v>31603779.932114117</v>
      </c>
      <c r="CZ625" s="729">
        <f t="shared" si="2346"/>
        <v>33183968.92871983</v>
      </c>
      <c r="DA625" s="729">
        <f t="shared" si="2346"/>
        <v>34843167.375155821</v>
      </c>
      <c r="DB625" s="729">
        <f t="shared" si="2346"/>
        <v>36585325.743913621</v>
      </c>
      <c r="DC625" s="729">
        <f t="shared" si="2346"/>
        <v>38414592.031109296</v>
      </c>
      <c r="DD625" s="729">
        <f t="shared" si="2346"/>
        <v>40335321.63266477</v>
      </c>
      <c r="DE625" s="729">
        <f t="shared" si="2346"/>
        <v>42352087.71429801</v>
      </c>
      <c r="DF625" s="729">
        <f t="shared" si="2346"/>
        <v>46693176.705013566</v>
      </c>
      <c r="DG625" s="729">
        <f t="shared" si="2346"/>
        <v>49027835.540264241</v>
      </c>
      <c r="DH625" s="729">
        <f t="shared" si="2346"/>
        <v>51479227.317277461</v>
      </c>
      <c r="DI625" s="729">
        <f t="shared" si="2346"/>
        <v>54053188.683141336</v>
      </c>
      <c r="DJ625" s="729">
        <f t="shared" si="2346"/>
        <v>56755848.117298402</v>
      </c>
      <c r="DK625" s="729">
        <f t="shared" si="2346"/>
        <v>59593640.523163334</v>
      </c>
      <c r="DL625" s="729">
        <f t="shared" si="2346"/>
        <v>62573322.549321495</v>
      </c>
      <c r="DM625" s="729">
        <f t="shared" si="2346"/>
        <v>65701988.676787578</v>
      </c>
      <c r="DN625" s="729">
        <f t="shared" si="2346"/>
        <v>68987088.110626951</v>
      </c>
      <c r="DO625" s="729">
        <f t="shared" si="2346"/>
        <v>72436442.516158313</v>
      </c>
      <c r="DP625" s="729">
        <f t="shared" si="2346"/>
        <v>76058264.641966239</v>
      </c>
      <c r="DQ625" s="729">
        <f t="shared" si="2346"/>
        <v>79861177.874064565</v>
      </c>
      <c r="DR625" s="729">
        <f t="shared" ref="DR625:EC625" si="2347">DR626+DR627</f>
        <v>81857707.320916161</v>
      </c>
      <c r="DS625" s="729">
        <f t="shared" si="2347"/>
        <v>83904150.003939047</v>
      </c>
      <c r="DT625" s="729">
        <f t="shared" si="2347"/>
        <v>86001753.754037514</v>
      </c>
      <c r="DU625" s="729">
        <f t="shared" si="2347"/>
        <v>88151797.597888425</v>
      </c>
      <c r="DV625" s="729">
        <f t="shared" si="2347"/>
        <v>90355592.537835643</v>
      </c>
      <c r="DW625" s="729">
        <f t="shared" si="2347"/>
        <v>92614482.351281524</v>
      </c>
      <c r="DX625" s="729">
        <f t="shared" si="2347"/>
        <v>94929844.410063535</v>
      </c>
      <c r="DY625" s="729">
        <f t="shared" si="2347"/>
        <v>97303090.520315126</v>
      </c>
      <c r="DZ625" s="729">
        <f t="shared" si="2347"/>
        <v>99735667.783323005</v>
      </c>
      <c r="EA625" s="729">
        <f t="shared" si="2347"/>
        <v>102229059.47790606</v>
      </c>
      <c r="EB625" s="729">
        <f t="shared" si="2347"/>
        <v>104784785.96485369</v>
      </c>
      <c r="EC625" s="729">
        <f t="shared" si="2347"/>
        <v>107404405.61397502</v>
      </c>
      <c r="ED625" s="113" t="s">
        <v>1</v>
      </c>
    </row>
    <row r="626" spans="1:134" x14ac:dyDescent="0.2">
      <c r="A626" s="730" t="s">
        <v>221</v>
      </c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15"/>
      <c r="AU626" s="115"/>
      <c r="AV626" s="115"/>
      <c r="AW626" s="115"/>
      <c r="AX626" s="115"/>
      <c r="AY626" s="115"/>
      <c r="AZ626" s="115"/>
      <c r="BA626" s="115"/>
      <c r="BB626" s="115"/>
      <c r="BC626" s="115"/>
      <c r="BD626" s="115"/>
      <c r="BE626" s="115"/>
      <c r="BF626" s="115"/>
      <c r="BG626" s="115"/>
      <c r="BH626" s="115"/>
      <c r="BI626" s="115"/>
      <c r="BJ626" s="115"/>
      <c r="BK626" s="115"/>
      <c r="BL626" s="115"/>
      <c r="BM626" s="115"/>
      <c r="BN626" s="115"/>
      <c r="BO626" s="115"/>
      <c r="BP626" s="115"/>
      <c r="BQ626" s="115"/>
      <c r="BR626" s="115"/>
      <c r="BS626" s="115"/>
      <c r="BT626" s="115"/>
      <c r="BU626" s="115"/>
      <c r="BV626" s="115"/>
      <c r="BW626" s="115"/>
      <c r="BX626" s="115"/>
      <c r="BY626" s="129">
        <v>944880.6981853008</v>
      </c>
      <c r="BZ626" s="129">
        <v>1112262.1870378221</v>
      </c>
      <c r="CA626" s="129">
        <v>1924367.664611944</v>
      </c>
      <c r="CB626" s="129">
        <v>1925474.1360382792</v>
      </c>
      <c r="CC626" s="129">
        <v>1424127.2533446378</v>
      </c>
      <c r="CD626" s="129">
        <v>1419100.7502921645</v>
      </c>
      <c r="CE626" s="129">
        <v>990990.51835518808</v>
      </c>
      <c r="CF626" s="129">
        <v>979721.71236371691</v>
      </c>
      <c r="CG626" s="129">
        <v>796764.03</v>
      </c>
      <c r="CH626" s="129">
        <v>675149.76004807616</v>
      </c>
      <c r="CI626" s="129">
        <v>2248065.9053640375</v>
      </c>
      <c r="CJ626" s="129">
        <v>1234478.2331694248</v>
      </c>
      <c r="CK626" s="129">
        <v>1798751.7899999996</v>
      </c>
      <c r="CL626" s="129">
        <v>2372177.5100000002</v>
      </c>
      <c r="CM626" s="129">
        <v>2303498.3600000003</v>
      </c>
      <c r="CN626" s="129">
        <v>1670880.9099999997</v>
      </c>
      <c r="CO626" s="129">
        <v>1426458.4000000001</v>
      </c>
      <c r="CP626" s="129">
        <v>1898518.6099999999</v>
      </c>
      <c r="CQ626" s="129">
        <v>1534869.14</v>
      </c>
      <c r="CR626" s="129">
        <v>1993280.2399999998</v>
      </c>
      <c r="CS626" s="129">
        <v>1981775.7999999998</v>
      </c>
      <c r="CT626" s="129">
        <f t="shared" ref="CT626:DQ626" si="2348">CS626/CS606*CT606</f>
        <v>2001638.6440548322</v>
      </c>
      <c r="CU626" s="129">
        <f t="shared" si="2348"/>
        <v>2201802.5084603154</v>
      </c>
      <c r="CV626" s="129">
        <f t="shared" si="2348"/>
        <v>2311892.633883331</v>
      </c>
      <c r="CW626" s="129">
        <f t="shared" si="2348"/>
        <v>2427487.2655774979</v>
      </c>
      <c r="CX626" s="129">
        <f t="shared" si="2348"/>
        <v>2548861.628856373</v>
      </c>
      <c r="CY626" s="129">
        <f t="shared" si="2348"/>
        <v>2676304.710299192</v>
      </c>
      <c r="CZ626" s="129">
        <f t="shared" si="2348"/>
        <v>2810119.9458141518</v>
      </c>
      <c r="DA626" s="129">
        <f t="shared" si="2348"/>
        <v>2950625.9431048594</v>
      </c>
      <c r="DB626" s="129">
        <f t="shared" si="2348"/>
        <v>3098157.2402601028</v>
      </c>
      <c r="DC626" s="129">
        <f t="shared" si="2348"/>
        <v>3253065.102273108</v>
      </c>
      <c r="DD626" s="129">
        <f t="shared" si="2348"/>
        <v>3415718.3573867641</v>
      </c>
      <c r="DE626" s="129">
        <f t="shared" si="2348"/>
        <v>3586504.2752561015</v>
      </c>
      <c r="DF626" s="129">
        <f t="shared" si="2348"/>
        <v>3954120.9634698527</v>
      </c>
      <c r="DG626" s="129">
        <f t="shared" si="2348"/>
        <v>4151827.011643345</v>
      </c>
      <c r="DH626" s="129">
        <f t="shared" si="2348"/>
        <v>4359418.362225513</v>
      </c>
      <c r="DI626" s="129">
        <f t="shared" si="2348"/>
        <v>4577389.2803367898</v>
      </c>
      <c r="DJ626" s="129">
        <f t="shared" si="2348"/>
        <v>4806258.7443536287</v>
      </c>
      <c r="DK626" s="129">
        <f t="shared" si="2348"/>
        <v>5046571.6815713104</v>
      </c>
      <c r="DL626" s="129">
        <f t="shared" si="2348"/>
        <v>5298900.2656498756</v>
      </c>
      <c r="DM626" s="129">
        <f t="shared" si="2348"/>
        <v>5563845.2789323702</v>
      </c>
      <c r="DN626" s="129">
        <f t="shared" si="2348"/>
        <v>5842037.5428789891</v>
      </c>
      <c r="DO626" s="129">
        <f t="shared" si="2348"/>
        <v>6134139.4200229384</v>
      </c>
      <c r="DP626" s="129">
        <f t="shared" si="2348"/>
        <v>6440846.3910240857</v>
      </c>
      <c r="DQ626" s="129">
        <f t="shared" si="2348"/>
        <v>6762888.710575291</v>
      </c>
      <c r="DR626" s="129">
        <f t="shared" ref="DR626:EC626" si="2349">DQ626/DQ606*DR606</f>
        <v>6931960.9283396723</v>
      </c>
      <c r="DS626" s="129">
        <f t="shared" si="2349"/>
        <v>7105259.9515481647</v>
      </c>
      <c r="DT626" s="129">
        <f t="shared" si="2349"/>
        <v>7282891.450336867</v>
      </c>
      <c r="DU626" s="129">
        <f t="shared" si="2349"/>
        <v>7464963.7365952879</v>
      </c>
      <c r="DV626" s="129">
        <f t="shared" si="2349"/>
        <v>7651587.8300101701</v>
      </c>
      <c r="DW626" s="129">
        <f t="shared" si="2349"/>
        <v>7842877.5257604225</v>
      </c>
      <c r="DX626" s="129">
        <f t="shared" si="2349"/>
        <v>8038949.463904433</v>
      </c>
      <c r="DY626" s="129">
        <f t="shared" si="2349"/>
        <v>8239923.2005020427</v>
      </c>
      <c r="DZ626" s="129">
        <f t="shared" si="2349"/>
        <v>8445921.2805145942</v>
      </c>
      <c r="EA626" s="129">
        <f t="shared" si="2349"/>
        <v>8657069.3125274573</v>
      </c>
      <c r="EB626" s="129">
        <f t="shared" si="2349"/>
        <v>8873496.0453406405</v>
      </c>
      <c r="EC626" s="129">
        <f t="shared" si="2349"/>
        <v>9095333.4464741554</v>
      </c>
      <c r="ED626" s="113" t="s">
        <v>1</v>
      </c>
    </row>
    <row r="627" spans="1:134" x14ac:dyDescent="0.2">
      <c r="A627" s="730" t="s">
        <v>222</v>
      </c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15"/>
      <c r="AU627" s="115"/>
      <c r="AV627" s="115"/>
      <c r="AW627" s="115"/>
      <c r="AX627" s="115"/>
      <c r="AY627" s="115"/>
      <c r="AZ627" s="115"/>
      <c r="BA627" s="115"/>
      <c r="BB627" s="115"/>
      <c r="BC627" s="115"/>
      <c r="BD627" s="115"/>
      <c r="BE627" s="115"/>
      <c r="BF627" s="115"/>
      <c r="BG627" s="115"/>
      <c r="BH627" s="115"/>
      <c r="BI627" s="115"/>
      <c r="BJ627" s="115"/>
      <c r="BK627" s="115"/>
      <c r="BL627" s="115"/>
      <c r="BM627" s="115"/>
      <c r="BN627" s="115"/>
      <c r="BO627" s="115"/>
      <c r="BP627" s="115"/>
      <c r="BQ627" s="115"/>
      <c r="BR627" s="115"/>
      <c r="BS627" s="115"/>
      <c r="BT627" s="115"/>
      <c r="BU627" s="115"/>
      <c r="BV627" s="115"/>
      <c r="BW627" s="115"/>
      <c r="BX627" s="115"/>
      <c r="BY627" s="129">
        <v>4891008.35041417</v>
      </c>
      <c r="BZ627" s="129">
        <v>6238829.1206278289</v>
      </c>
      <c r="CA627" s="129">
        <v>6083166.7203177605</v>
      </c>
      <c r="CB627" s="129">
        <v>6399766.2096596612</v>
      </c>
      <c r="CC627" s="129">
        <v>4466516.5501769297</v>
      </c>
      <c r="CD627" s="129">
        <v>7546357.1700000009</v>
      </c>
      <c r="CE627" s="129">
        <v>8613730.049999997</v>
      </c>
      <c r="CF627" s="129">
        <v>7593813.0399735253</v>
      </c>
      <c r="CG627" s="129">
        <v>13083580.649999995</v>
      </c>
      <c r="CH627" s="129">
        <v>12175573.449999994</v>
      </c>
      <c r="CI627" s="129">
        <v>9950024.2600938175</v>
      </c>
      <c r="CJ627" s="129">
        <v>15070558.470000001</v>
      </c>
      <c r="CK627" s="129">
        <v>18123063.589999959</v>
      </c>
      <c r="CL627" s="129">
        <v>20245639.39999995</v>
      </c>
      <c r="CM627" s="129">
        <v>20315565.359999944</v>
      </c>
      <c r="CN627" s="129">
        <v>16197238.620000003</v>
      </c>
      <c r="CO627" s="129">
        <v>16960594.380000003</v>
      </c>
      <c r="CP627" s="129">
        <v>20514799.809999954</v>
      </c>
      <c r="CQ627" s="129">
        <v>20867476.879999988</v>
      </c>
      <c r="CR627" s="129">
        <v>15643009.499999985</v>
      </c>
      <c r="CS627" s="129">
        <v>15216024.889999988</v>
      </c>
      <c r="CT627" s="129">
        <f t="shared" ref="CT627:DQ627" si="2350">CS627/CS607*CT607</f>
        <v>21635186.776789077</v>
      </c>
      <c r="CU627" s="129">
        <f t="shared" si="2350"/>
        <v>23798705.454467986</v>
      </c>
      <c r="CV627" s="129">
        <f t="shared" si="2350"/>
        <v>24988640.727191385</v>
      </c>
      <c r="CW627" s="129">
        <f t="shared" si="2350"/>
        <v>26238072.763550956</v>
      </c>
      <c r="CX627" s="129">
        <f t="shared" si="2350"/>
        <v>27549976.401728503</v>
      </c>
      <c r="CY627" s="129">
        <f t="shared" si="2350"/>
        <v>28927475.221814927</v>
      </c>
      <c r="CZ627" s="129">
        <f t="shared" si="2350"/>
        <v>30373848.982905678</v>
      </c>
      <c r="DA627" s="129">
        <f t="shared" si="2350"/>
        <v>31892541.432050962</v>
      </c>
      <c r="DB627" s="129">
        <f t="shared" si="2350"/>
        <v>33487168.503653515</v>
      </c>
      <c r="DC627" s="129">
        <f t="shared" si="2350"/>
        <v>35161526.928836189</v>
      </c>
      <c r="DD627" s="129">
        <f t="shared" si="2350"/>
        <v>36919603.275278002</v>
      </c>
      <c r="DE627" s="129">
        <f t="shared" si="2350"/>
        <v>38765583.439041905</v>
      </c>
      <c r="DF627" s="129">
        <f t="shared" si="2350"/>
        <v>42739055.74154371</v>
      </c>
      <c r="DG627" s="129">
        <f t="shared" si="2350"/>
        <v>44876008.528620899</v>
      </c>
      <c r="DH627" s="129">
        <f t="shared" si="2350"/>
        <v>47119808.955051951</v>
      </c>
      <c r="DI627" s="129">
        <f t="shared" si="2350"/>
        <v>49475799.402804546</v>
      </c>
      <c r="DJ627" s="129">
        <f t="shared" si="2350"/>
        <v>51949589.372944772</v>
      </c>
      <c r="DK627" s="129">
        <f t="shared" si="2350"/>
        <v>54547068.841592021</v>
      </c>
      <c r="DL627" s="129">
        <f t="shared" si="2350"/>
        <v>57274422.283671618</v>
      </c>
      <c r="DM627" s="129">
        <f t="shared" si="2350"/>
        <v>60138143.397855207</v>
      </c>
      <c r="DN627" s="129">
        <f t="shared" si="2350"/>
        <v>63145050.567747965</v>
      </c>
      <c r="DO627" s="129">
        <f t="shared" si="2350"/>
        <v>66302303.096135378</v>
      </c>
      <c r="DP627" s="129">
        <f t="shared" si="2350"/>
        <v>69617418.250942156</v>
      </c>
      <c r="DQ627" s="129">
        <f t="shared" si="2350"/>
        <v>73098289.163489267</v>
      </c>
      <c r="DR627" s="129">
        <f t="shared" ref="DR627:EC627" si="2351">DQ627/DQ607*DR607</f>
        <v>74925746.392576486</v>
      </c>
      <c r="DS627" s="129">
        <f t="shared" si="2351"/>
        <v>76798890.052390888</v>
      </c>
      <c r="DT627" s="129">
        <f t="shared" si="2351"/>
        <v>78718862.303700641</v>
      </c>
      <c r="DU627" s="129">
        <f t="shared" si="2351"/>
        <v>80686833.861293137</v>
      </c>
      <c r="DV627" s="129">
        <f t="shared" si="2351"/>
        <v>82704004.707825467</v>
      </c>
      <c r="DW627" s="129">
        <f t="shared" si="2351"/>
        <v>84771604.825521097</v>
      </c>
      <c r="DX627" s="129">
        <f t="shared" si="2351"/>
        <v>86890894.946159109</v>
      </c>
      <c r="DY627" s="129">
        <f t="shared" si="2351"/>
        <v>89063167.319813088</v>
      </c>
      <c r="DZ627" s="129">
        <f t="shared" si="2351"/>
        <v>91289746.502808407</v>
      </c>
      <c r="EA627" s="129">
        <f t="shared" si="2351"/>
        <v>93571990.1653786</v>
      </c>
      <c r="EB627" s="129">
        <f t="shared" si="2351"/>
        <v>95911289.919513047</v>
      </c>
      <c r="EC627" s="129">
        <f t="shared" si="2351"/>
        <v>98309072.167500868</v>
      </c>
      <c r="ED627" s="113" t="s">
        <v>1</v>
      </c>
    </row>
    <row r="628" spans="1:134" x14ac:dyDescent="0.2">
      <c r="A628" s="730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15"/>
      <c r="AU628" s="115"/>
      <c r="AV628" s="115"/>
      <c r="AW628" s="115"/>
      <c r="AX628" s="115"/>
      <c r="AY628" s="115"/>
      <c r="AZ628" s="115"/>
      <c r="BA628" s="115"/>
      <c r="BB628" s="115"/>
      <c r="BC628" s="115"/>
      <c r="BD628" s="115"/>
      <c r="BE628" s="115"/>
      <c r="BF628" s="115"/>
      <c r="BG628" s="115"/>
      <c r="BH628" s="115"/>
      <c r="BI628" s="115"/>
      <c r="BJ628" s="115"/>
      <c r="BK628" s="115"/>
      <c r="BL628" s="115"/>
      <c r="BM628" s="115"/>
      <c r="BN628" s="115"/>
      <c r="BO628" s="115"/>
      <c r="BP628" s="115"/>
      <c r="BQ628" s="115"/>
      <c r="BR628" s="115"/>
      <c r="BS628" s="115"/>
      <c r="BT628" s="115"/>
      <c r="BU628" s="115"/>
      <c r="BV628" s="115"/>
      <c r="BW628" s="115"/>
      <c r="BX628" s="115"/>
      <c r="BY628" s="115"/>
      <c r="BZ628" s="115"/>
      <c r="CA628" s="115"/>
      <c r="CB628" s="115"/>
      <c r="CC628" s="115"/>
      <c r="CD628" s="115"/>
      <c r="CE628" s="115"/>
      <c r="CF628" s="115"/>
      <c r="CG628" s="115"/>
      <c r="CH628" s="115"/>
      <c r="CI628" s="115"/>
      <c r="CJ628" s="115"/>
      <c r="CK628" s="115"/>
      <c r="CL628" s="115"/>
      <c r="CM628" s="115"/>
      <c r="CN628" s="115"/>
      <c r="CO628" s="115"/>
      <c r="CP628" s="115"/>
      <c r="CQ628" s="115"/>
      <c r="CR628" s="115"/>
      <c r="CS628" s="115"/>
      <c r="CT628" s="115"/>
      <c r="CU628" s="115"/>
      <c r="CV628" s="115"/>
      <c r="CW628" s="115"/>
      <c r="CX628" s="115"/>
      <c r="CY628" s="115"/>
      <c r="CZ628" s="115"/>
      <c r="DA628" s="115"/>
      <c r="DB628" s="115"/>
      <c r="DC628" s="115"/>
      <c r="DD628" s="115"/>
      <c r="DE628" s="115"/>
      <c r="DF628" s="115"/>
      <c r="DG628" s="115"/>
      <c r="DH628" s="115"/>
      <c r="DI628" s="115"/>
      <c r="DJ628" s="115"/>
      <c r="DK628" s="115"/>
      <c r="DL628" s="115"/>
      <c r="DM628" s="115"/>
      <c r="DN628" s="115"/>
      <c r="DO628" s="115"/>
      <c r="DP628" s="115"/>
      <c r="DQ628" s="115"/>
      <c r="DR628" s="115"/>
      <c r="DS628" s="115"/>
      <c r="DT628" s="115"/>
      <c r="DU628" s="115"/>
      <c r="DV628" s="115"/>
      <c r="DW628" s="115"/>
      <c r="DX628" s="115"/>
      <c r="DY628" s="115"/>
      <c r="DZ628" s="115"/>
      <c r="EA628" s="115"/>
      <c r="EB628" s="115"/>
      <c r="EC628" s="115"/>
      <c r="ED628" s="113" t="s">
        <v>1</v>
      </c>
    </row>
    <row r="629" spans="1:134" x14ac:dyDescent="0.2">
      <c r="A629" s="731" t="s">
        <v>5</v>
      </c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15"/>
      <c r="AU629" s="115"/>
      <c r="AV629" s="115"/>
      <c r="AW629" s="115"/>
      <c r="AX629" s="115"/>
      <c r="AY629" s="115"/>
      <c r="AZ629" s="115"/>
      <c r="BA629" s="115"/>
      <c r="BB629" s="115"/>
      <c r="BC629" s="115"/>
      <c r="BD629" s="115"/>
      <c r="BE629" s="115"/>
      <c r="BF629" s="115"/>
      <c r="BG629" s="115"/>
      <c r="BH629" s="115"/>
      <c r="BI629" s="115"/>
      <c r="BJ629" s="115"/>
      <c r="BK629" s="115"/>
      <c r="BL629" s="115"/>
      <c r="BM629" s="115"/>
      <c r="BN629" s="115"/>
      <c r="BO629" s="115"/>
      <c r="BP629" s="115"/>
      <c r="BQ629" s="115"/>
      <c r="BR629" s="115"/>
      <c r="BS629" s="115"/>
      <c r="BT629" s="115"/>
      <c r="BU629" s="115"/>
      <c r="BV629" s="115"/>
      <c r="BW629" s="115"/>
      <c r="BX629" s="115"/>
      <c r="BY629" s="132">
        <f>SUM(BY630:BY631)</f>
        <v>196</v>
      </c>
      <c r="BZ629" s="132">
        <f t="shared" ref="BZ629:DQ629" si="2352">SUM(BZ630:BZ631)</f>
        <v>250</v>
      </c>
      <c r="CA629" s="132">
        <f t="shared" si="2352"/>
        <v>296</v>
      </c>
      <c r="CB629" s="132">
        <f t="shared" si="2352"/>
        <v>331</v>
      </c>
      <c r="CC629" s="132">
        <f t="shared" si="2352"/>
        <v>235</v>
      </c>
      <c r="CD629" s="132">
        <f t="shared" si="2352"/>
        <v>339</v>
      </c>
      <c r="CE629" s="132">
        <f t="shared" si="2352"/>
        <v>353</v>
      </c>
      <c r="CF629" s="132">
        <f t="shared" si="2352"/>
        <v>337</v>
      </c>
      <c r="CG629" s="132">
        <f t="shared" si="2352"/>
        <v>396</v>
      </c>
      <c r="CH629" s="132">
        <f t="shared" si="2352"/>
        <v>423</v>
      </c>
      <c r="CI629" s="132">
        <f t="shared" si="2352"/>
        <v>410</v>
      </c>
      <c r="CJ629" s="132">
        <f t="shared" si="2352"/>
        <v>600</v>
      </c>
      <c r="CK629" s="132">
        <f t="shared" si="2352"/>
        <v>708</v>
      </c>
      <c r="CL629" s="132">
        <f t="shared" si="2352"/>
        <v>735</v>
      </c>
      <c r="CM629" s="132">
        <f t="shared" si="2352"/>
        <v>817</v>
      </c>
      <c r="CN629" s="132">
        <f t="shared" si="2352"/>
        <v>658</v>
      </c>
      <c r="CO629" s="132">
        <f t="shared" si="2352"/>
        <v>696</v>
      </c>
      <c r="CP629" s="132">
        <f t="shared" si="2352"/>
        <v>828</v>
      </c>
      <c r="CQ629" s="132">
        <f t="shared" si="2352"/>
        <v>776</v>
      </c>
      <c r="CR629" s="132">
        <f t="shared" si="2352"/>
        <v>603</v>
      </c>
      <c r="CS629" s="132">
        <f t="shared" si="2352"/>
        <v>589</v>
      </c>
      <c r="CT629" s="132">
        <f t="shared" si="2352"/>
        <v>961.23768939449781</v>
      </c>
      <c r="CU629" s="132">
        <f t="shared" si="2352"/>
        <v>1057.3614583339477</v>
      </c>
      <c r="CV629" s="132">
        <f t="shared" si="2352"/>
        <v>1110.2295312506449</v>
      </c>
      <c r="CW629" s="132">
        <f t="shared" si="2352"/>
        <v>1165.741007813177</v>
      </c>
      <c r="CX629" s="132">
        <f t="shared" si="2352"/>
        <v>1224.0280582038361</v>
      </c>
      <c r="CY629" s="132">
        <f t="shared" si="2352"/>
        <v>1285.2294611140278</v>
      </c>
      <c r="CZ629" s="132">
        <f t="shared" si="2352"/>
        <v>1349.4909341697294</v>
      </c>
      <c r="DA629" s="132">
        <f t="shared" si="2352"/>
        <v>1416.9654808782157</v>
      </c>
      <c r="DB629" s="132">
        <f t="shared" si="2352"/>
        <v>1487.8137549221267</v>
      </c>
      <c r="DC629" s="132">
        <f t="shared" si="2352"/>
        <v>1562.2044426682332</v>
      </c>
      <c r="DD629" s="132">
        <f t="shared" si="2352"/>
        <v>1640.314664801645</v>
      </c>
      <c r="DE629" s="132">
        <f t="shared" si="2352"/>
        <v>1722.3303980417274</v>
      </c>
      <c r="DF629" s="132">
        <f t="shared" si="2352"/>
        <v>1808.4469179438136</v>
      </c>
      <c r="DG629" s="132">
        <f t="shared" si="2352"/>
        <v>1898.8692638410043</v>
      </c>
      <c r="DH629" s="132">
        <f t="shared" si="2352"/>
        <v>1993.8127270330547</v>
      </c>
      <c r="DI629" s="132">
        <f t="shared" si="2352"/>
        <v>2093.5033633847079</v>
      </c>
      <c r="DJ629" s="132">
        <f t="shared" si="2352"/>
        <v>2198.1785315539432</v>
      </c>
      <c r="DK629" s="132">
        <f t="shared" si="2352"/>
        <v>2308.0874581316402</v>
      </c>
      <c r="DL629" s="132">
        <f t="shared" si="2352"/>
        <v>2423.4918310382227</v>
      </c>
      <c r="DM629" s="132">
        <f t="shared" si="2352"/>
        <v>2544.6664225901341</v>
      </c>
      <c r="DN629" s="132">
        <f t="shared" si="2352"/>
        <v>2671.8997437196404</v>
      </c>
      <c r="DO629" s="132">
        <f t="shared" si="2352"/>
        <v>2805.4947309056229</v>
      </c>
      <c r="DP629" s="132">
        <f t="shared" si="2352"/>
        <v>2945.7694674509039</v>
      </c>
      <c r="DQ629" s="132">
        <f t="shared" si="2352"/>
        <v>3093.0579408234494</v>
      </c>
      <c r="DR629" s="132">
        <f t="shared" ref="DR629:EC629" si="2353">SUM(DR630:DR631)</f>
        <v>3170.3843893440353</v>
      </c>
      <c r="DS629" s="132">
        <f t="shared" si="2353"/>
        <v>3249.6439990776362</v>
      </c>
      <c r="DT629" s="132">
        <f t="shared" si="2353"/>
        <v>3330.8850990545766</v>
      </c>
      <c r="DU629" s="132">
        <f t="shared" si="2353"/>
        <v>3414.1572265309405</v>
      </c>
      <c r="DV629" s="132">
        <f t="shared" si="2353"/>
        <v>3499.5111571942139</v>
      </c>
      <c r="DW629" s="132">
        <f t="shared" si="2353"/>
        <v>3586.9989361240687</v>
      </c>
      <c r="DX629" s="132">
        <f t="shared" si="2353"/>
        <v>3676.6739095271701</v>
      </c>
      <c r="DY629" s="132">
        <f t="shared" si="2353"/>
        <v>3768.5907572653491</v>
      </c>
      <c r="DZ629" s="132">
        <f t="shared" si="2353"/>
        <v>3862.805526196983</v>
      </c>
      <c r="EA629" s="132">
        <f t="shared" si="2353"/>
        <v>3959.3756643519068</v>
      </c>
      <c r="EB629" s="132">
        <f t="shared" si="2353"/>
        <v>4058.3600559607034</v>
      </c>
      <c r="EC629" s="132">
        <f t="shared" si="2353"/>
        <v>4159.8190573597203</v>
      </c>
      <c r="ED629" s="113" t="s">
        <v>1</v>
      </c>
    </row>
    <row r="630" spans="1:134" x14ac:dyDescent="0.2">
      <c r="A630" s="747" t="s">
        <v>221</v>
      </c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115"/>
      <c r="AU630" s="115"/>
      <c r="AV630" s="115"/>
      <c r="AW630" s="115"/>
      <c r="AX630" s="115"/>
      <c r="AY630" s="115"/>
      <c r="AZ630" s="115"/>
      <c r="BA630" s="115"/>
      <c r="BB630" s="115"/>
      <c r="BC630" s="115"/>
      <c r="BD630" s="115"/>
      <c r="BE630" s="115"/>
      <c r="BF630" s="115"/>
      <c r="BG630" s="115"/>
      <c r="BH630" s="115"/>
      <c r="BI630" s="115"/>
      <c r="BJ630" s="115"/>
      <c r="BK630" s="115"/>
      <c r="BL630" s="115"/>
      <c r="BM630" s="115"/>
      <c r="BN630" s="115"/>
      <c r="BO630" s="115"/>
      <c r="BP630" s="115"/>
      <c r="BQ630" s="115"/>
      <c r="BR630" s="115"/>
      <c r="BS630" s="115"/>
      <c r="BT630" s="115"/>
      <c r="BU630" s="115"/>
      <c r="BV630" s="115"/>
      <c r="BW630" s="115"/>
      <c r="BX630" s="115"/>
      <c r="BY630" s="115">
        <v>53</v>
      </c>
      <c r="BZ630" s="115">
        <v>61</v>
      </c>
      <c r="CA630" s="115">
        <v>130</v>
      </c>
      <c r="CB630" s="115">
        <v>153</v>
      </c>
      <c r="CC630" s="115">
        <v>111</v>
      </c>
      <c r="CD630" s="115">
        <v>115</v>
      </c>
      <c r="CE630" s="115">
        <v>87</v>
      </c>
      <c r="CF630" s="115">
        <v>73</v>
      </c>
      <c r="CG630" s="115">
        <v>66</v>
      </c>
      <c r="CH630" s="115">
        <v>60</v>
      </c>
      <c r="CI630" s="115">
        <v>106</v>
      </c>
      <c r="CJ630" s="115">
        <v>114</v>
      </c>
      <c r="CK630" s="115">
        <v>161</v>
      </c>
      <c r="CL630" s="115">
        <v>143</v>
      </c>
      <c r="CM630" s="115">
        <v>185</v>
      </c>
      <c r="CN630" s="115">
        <v>136</v>
      </c>
      <c r="CO630" s="115">
        <v>114</v>
      </c>
      <c r="CP630" s="115">
        <v>121</v>
      </c>
      <c r="CQ630" s="115">
        <v>110</v>
      </c>
      <c r="CR630" s="115">
        <v>119</v>
      </c>
      <c r="CS630" s="115">
        <v>148</v>
      </c>
      <c r="CT630" s="129">
        <f>CT610*CT634</f>
        <v>132.6939116569022</v>
      </c>
      <c r="CU630" s="129">
        <f t="shared" ref="CU630:DQ630" si="2354">CU610*CU634</f>
        <v>145.96330282259242</v>
      </c>
      <c r="CV630" s="129">
        <f t="shared" si="2354"/>
        <v>153.26146796372203</v>
      </c>
      <c r="CW630" s="129">
        <f t="shared" si="2354"/>
        <v>160.92454136190813</v>
      </c>
      <c r="CX630" s="129">
        <f t="shared" si="2354"/>
        <v>168.97076843000355</v>
      </c>
      <c r="CY630" s="129">
        <f t="shared" si="2354"/>
        <v>177.41930685150373</v>
      </c>
      <c r="CZ630" s="129">
        <f t="shared" si="2354"/>
        <v>186.29027219407894</v>
      </c>
      <c r="DA630" s="129">
        <f t="shared" si="2354"/>
        <v>195.60478580378287</v>
      </c>
      <c r="DB630" s="129">
        <f t="shared" si="2354"/>
        <v>205.38502509397205</v>
      </c>
      <c r="DC630" s="129">
        <f t="shared" si="2354"/>
        <v>215.65427634867066</v>
      </c>
      <c r="DD630" s="129">
        <f t="shared" si="2354"/>
        <v>226.43699016610421</v>
      </c>
      <c r="DE630" s="129">
        <f t="shared" si="2354"/>
        <v>237.75883967440942</v>
      </c>
      <c r="DF630" s="129">
        <f t="shared" si="2354"/>
        <v>249.6467816581299</v>
      </c>
      <c r="DG630" s="129">
        <f t="shared" si="2354"/>
        <v>262.12912074103639</v>
      </c>
      <c r="DH630" s="129">
        <f t="shared" si="2354"/>
        <v>275.23557677808822</v>
      </c>
      <c r="DI630" s="129">
        <f t="shared" si="2354"/>
        <v>288.99735561699265</v>
      </c>
      <c r="DJ630" s="129">
        <f t="shared" si="2354"/>
        <v>303.44722339784232</v>
      </c>
      <c r="DK630" s="129">
        <f t="shared" si="2354"/>
        <v>318.61958456773442</v>
      </c>
      <c r="DL630" s="129">
        <f t="shared" si="2354"/>
        <v>334.5505637961212</v>
      </c>
      <c r="DM630" s="129">
        <f t="shared" si="2354"/>
        <v>351.27809198592723</v>
      </c>
      <c r="DN630" s="129">
        <f t="shared" si="2354"/>
        <v>368.84199658522363</v>
      </c>
      <c r="DO630" s="129">
        <f t="shared" si="2354"/>
        <v>387.28409641448485</v>
      </c>
      <c r="DP630" s="129">
        <f t="shared" si="2354"/>
        <v>406.64830123520909</v>
      </c>
      <c r="DQ630" s="129">
        <f t="shared" si="2354"/>
        <v>426.9807162969696</v>
      </c>
      <c r="DR630" s="129">
        <f t="shared" ref="DR630:EC630" si="2355">DR610*DR634</f>
        <v>437.65523420439382</v>
      </c>
      <c r="DS630" s="129">
        <f t="shared" si="2355"/>
        <v>448.59661505950362</v>
      </c>
      <c r="DT630" s="129">
        <f t="shared" si="2355"/>
        <v>459.81153043599113</v>
      </c>
      <c r="DU630" s="129">
        <f t="shared" si="2355"/>
        <v>471.30681869689084</v>
      </c>
      <c r="DV630" s="129">
        <f t="shared" si="2355"/>
        <v>483.08948916431308</v>
      </c>
      <c r="DW630" s="129">
        <f t="shared" si="2355"/>
        <v>495.16672639342084</v>
      </c>
      <c r="DX630" s="129">
        <f t="shared" si="2355"/>
        <v>507.54589455325635</v>
      </c>
      <c r="DY630" s="129">
        <f t="shared" si="2355"/>
        <v>520.23454191708777</v>
      </c>
      <c r="DZ630" s="129">
        <f t="shared" si="2355"/>
        <v>533.24040546501487</v>
      </c>
      <c r="EA630" s="129">
        <f t="shared" si="2355"/>
        <v>546.57141560164018</v>
      </c>
      <c r="EB630" s="129">
        <f t="shared" si="2355"/>
        <v>560.23570099168103</v>
      </c>
      <c r="EC630" s="129">
        <f t="shared" si="2355"/>
        <v>574.24159351647302</v>
      </c>
      <c r="ED630" s="113" t="s">
        <v>1</v>
      </c>
    </row>
    <row r="631" spans="1:134" x14ac:dyDescent="0.2">
      <c r="A631" s="747" t="s">
        <v>222</v>
      </c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115"/>
      <c r="AU631" s="115"/>
      <c r="AV631" s="115"/>
      <c r="AW631" s="115"/>
      <c r="AX631" s="115"/>
      <c r="AY631" s="115"/>
      <c r="AZ631" s="115"/>
      <c r="BA631" s="115"/>
      <c r="BB631" s="115"/>
      <c r="BC631" s="115"/>
      <c r="BD631" s="115"/>
      <c r="BE631" s="115"/>
      <c r="BF631" s="115"/>
      <c r="BG631" s="115"/>
      <c r="BH631" s="115"/>
      <c r="BI631" s="115"/>
      <c r="BJ631" s="115"/>
      <c r="BK631" s="115"/>
      <c r="BL631" s="115"/>
      <c r="BM631" s="115"/>
      <c r="BN631" s="115"/>
      <c r="BO631" s="115"/>
      <c r="BP631" s="115"/>
      <c r="BQ631" s="115"/>
      <c r="BR631" s="115"/>
      <c r="BS631" s="115"/>
      <c r="BT631" s="115"/>
      <c r="BU631" s="115"/>
      <c r="BV631" s="115"/>
      <c r="BW631" s="115"/>
      <c r="BX631" s="115"/>
      <c r="BY631" s="115">
        <v>143</v>
      </c>
      <c r="BZ631" s="115">
        <v>189</v>
      </c>
      <c r="CA631" s="115">
        <v>166</v>
      </c>
      <c r="CB631" s="115">
        <v>178</v>
      </c>
      <c r="CC631" s="115">
        <v>124</v>
      </c>
      <c r="CD631" s="115">
        <v>224</v>
      </c>
      <c r="CE631" s="115">
        <v>266</v>
      </c>
      <c r="CF631" s="115">
        <v>264</v>
      </c>
      <c r="CG631" s="115">
        <v>330</v>
      </c>
      <c r="CH631" s="115">
        <v>363</v>
      </c>
      <c r="CI631" s="115">
        <v>304</v>
      </c>
      <c r="CJ631" s="115">
        <v>486</v>
      </c>
      <c r="CK631" s="115">
        <v>547</v>
      </c>
      <c r="CL631" s="115">
        <v>592</v>
      </c>
      <c r="CM631" s="115">
        <v>632</v>
      </c>
      <c r="CN631" s="115">
        <v>522</v>
      </c>
      <c r="CO631" s="115">
        <v>582</v>
      </c>
      <c r="CP631" s="115">
        <v>707</v>
      </c>
      <c r="CQ631" s="115">
        <v>666</v>
      </c>
      <c r="CR631" s="115">
        <v>484</v>
      </c>
      <c r="CS631" s="115">
        <v>441</v>
      </c>
      <c r="CT631" s="129">
        <f>CT611*CT635</f>
        <v>828.54377773759563</v>
      </c>
      <c r="CU631" s="129">
        <f t="shared" ref="CU631:DQ631" si="2356">CU611*CU635</f>
        <v>911.39815551135518</v>
      </c>
      <c r="CV631" s="129">
        <f t="shared" si="2356"/>
        <v>956.96806328692287</v>
      </c>
      <c r="CW631" s="129">
        <f t="shared" si="2356"/>
        <v>1004.816466451269</v>
      </c>
      <c r="CX631" s="129">
        <f t="shared" si="2356"/>
        <v>1055.0572897738325</v>
      </c>
      <c r="CY631" s="129">
        <f t="shared" si="2356"/>
        <v>1107.8101542625241</v>
      </c>
      <c r="CZ631" s="129">
        <f t="shared" si="2356"/>
        <v>1163.2006619756505</v>
      </c>
      <c r="DA631" s="129">
        <f t="shared" si="2356"/>
        <v>1221.3606950744329</v>
      </c>
      <c r="DB631" s="129">
        <f t="shared" si="2356"/>
        <v>1282.4287298281547</v>
      </c>
      <c r="DC631" s="129">
        <f t="shared" si="2356"/>
        <v>1346.5501663195625</v>
      </c>
      <c r="DD631" s="129">
        <f t="shared" si="2356"/>
        <v>1413.8776746355409</v>
      </c>
      <c r="DE631" s="129">
        <f t="shared" si="2356"/>
        <v>1484.5715583673179</v>
      </c>
      <c r="DF631" s="129">
        <f t="shared" si="2356"/>
        <v>1558.8001362856837</v>
      </c>
      <c r="DG631" s="129">
        <f t="shared" si="2356"/>
        <v>1636.740143099968</v>
      </c>
      <c r="DH631" s="129">
        <f t="shared" si="2356"/>
        <v>1718.5771502549665</v>
      </c>
      <c r="DI631" s="129">
        <f t="shared" si="2356"/>
        <v>1804.5060077677151</v>
      </c>
      <c r="DJ631" s="129">
        <f t="shared" si="2356"/>
        <v>1894.7313081561008</v>
      </c>
      <c r="DK631" s="129">
        <f t="shared" si="2356"/>
        <v>1989.4678735639059</v>
      </c>
      <c r="DL631" s="129">
        <f t="shared" si="2356"/>
        <v>2088.9412672421013</v>
      </c>
      <c r="DM631" s="129">
        <f t="shared" si="2356"/>
        <v>2193.3883306042067</v>
      </c>
      <c r="DN631" s="129">
        <f t="shared" si="2356"/>
        <v>2303.0577471344168</v>
      </c>
      <c r="DO631" s="129">
        <f t="shared" si="2356"/>
        <v>2418.2106344911381</v>
      </c>
      <c r="DP631" s="129">
        <f t="shared" si="2356"/>
        <v>2539.1211662156948</v>
      </c>
      <c r="DQ631" s="129">
        <f t="shared" si="2356"/>
        <v>2666.0772245264798</v>
      </c>
      <c r="DR631" s="129">
        <f t="shared" ref="DR631:EC631" si="2357">DR611*DR635</f>
        <v>2732.7291551396415</v>
      </c>
      <c r="DS631" s="129">
        <f t="shared" si="2357"/>
        <v>2801.0473840181326</v>
      </c>
      <c r="DT631" s="129">
        <f t="shared" si="2357"/>
        <v>2871.0735686185853</v>
      </c>
      <c r="DU631" s="129">
        <f t="shared" si="2357"/>
        <v>2942.8504078340497</v>
      </c>
      <c r="DV631" s="129">
        <f t="shared" si="2357"/>
        <v>3016.421668029901</v>
      </c>
      <c r="DW631" s="129">
        <f t="shared" si="2357"/>
        <v>3091.8322097306477</v>
      </c>
      <c r="DX631" s="129">
        <f t="shared" si="2357"/>
        <v>3169.1280149739137</v>
      </c>
      <c r="DY631" s="129">
        <f t="shared" si="2357"/>
        <v>3248.3562153482612</v>
      </c>
      <c r="DZ631" s="129">
        <f t="shared" si="2357"/>
        <v>3329.5651207319679</v>
      </c>
      <c r="EA631" s="129">
        <f t="shared" si="2357"/>
        <v>3412.8042487502667</v>
      </c>
      <c r="EB631" s="129">
        <f t="shared" si="2357"/>
        <v>3498.1243549690225</v>
      </c>
      <c r="EC631" s="129">
        <f t="shared" si="2357"/>
        <v>3585.5774638432476</v>
      </c>
      <c r="ED631" s="113" t="s">
        <v>1</v>
      </c>
    </row>
    <row r="632" spans="1:134" x14ac:dyDescent="0.2">
      <c r="A632" s="730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115"/>
      <c r="AU632" s="115"/>
      <c r="AV632" s="115"/>
      <c r="AW632" s="115"/>
      <c r="AX632" s="115"/>
      <c r="AY632" s="115"/>
      <c r="AZ632" s="115"/>
      <c r="BA632" s="115"/>
      <c r="BB632" s="115"/>
      <c r="BC632" s="115"/>
      <c r="BD632" s="115"/>
      <c r="BE632" s="115"/>
      <c r="BF632" s="115"/>
      <c r="BG632" s="115"/>
      <c r="BH632" s="115"/>
      <c r="BI632" s="115"/>
      <c r="BJ632" s="115"/>
      <c r="BK632" s="115"/>
      <c r="BL632" s="115"/>
      <c r="BM632" s="115"/>
      <c r="BN632" s="115"/>
      <c r="BO632" s="115"/>
      <c r="BP632" s="115"/>
      <c r="BQ632" s="115"/>
      <c r="BR632" s="115"/>
      <c r="BS632" s="115"/>
      <c r="BT632" s="115"/>
      <c r="BU632" s="115"/>
      <c r="BV632" s="115"/>
      <c r="BW632" s="115"/>
      <c r="BX632" s="115"/>
      <c r="BY632" s="115"/>
      <c r="BZ632" s="115"/>
      <c r="CA632" s="115"/>
      <c r="CB632" s="115"/>
      <c r="CC632" s="115"/>
      <c r="CD632" s="115"/>
      <c r="CE632" s="115"/>
      <c r="CF632" s="115"/>
      <c r="CG632" s="115"/>
      <c r="CH632" s="115"/>
      <c r="CI632" s="115"/>
      <c r="CJ632" s="115"/>
      <c r="CK632" s="115"/>
      <c r="CL632" s="115"/>
      <c r="CM632" s="115"/>
      <c r="CN632" s="115"/>
      <c r="CO632" s="115"/>
      <c r="CP632" s="115"/>
      <c r="CQ632" s="115"/>
      <c r="CR632" s="115"/>
      <c r="CS632" s="115"/>
      <c r="CT632" s="115"/>
      <c r="CU632" s="115"/>
      <c r="CV632" s="115"/>
      <c r="CW632" s="115"/>
      <c r="CX632" s="115"/>
      <c r="CY632" s="115"/>
      <c r="CZ632" s="115"/>
      <c r="DA632" s="115"/>
      <c r="DB632" s="115"/>
      <c r="DC632" s="115"/>
      <c r="DD632" s="115"/>
      <c r="DE632" s="115"/>
      <c r="DF632" s="115"/>
      <c r="DG632" s="115"/>
      <c r="DH632" s="115"/>
      <c r="DI632" s="115"/>
      <c r="DJ632" s="115"/>
      <c r="DK632" s="115"/>
      <c r="DL632" s="115"/>
      <c r="DM632" s="115"/>
      <c r="DN632" s="115"/>
      <c r="DO632" s="115"/>
      <c r="DP632" s="115"/>
      <c r="DQ632" s="115"/>
      <c r="DR632" s="115"/>
      <c r="DS632" s="115"/>
      <c r="DT632" s="115"/>
      <c r="DU632" s="115"/>
      <c r="DV632" s="115"/>
      <c r="DW632" s="115"/>
      <c r="DX632" s="115"/>
      <c r="DY632" s="115"/>
      <c r="DZ632" s="115"/>
      <c r="EA632" s="115"/>
      <c r="EB632" s="115"/>
      <c r="EC632" s="115"/>
      <c r="ED632" s="113" t="s">
        <v>1</v>
      </c>
    </row>
    <row r="633" spans="1:134" x14ac:dyDescent="0.2">
      <c r="A633" s="750" t="s">
        <v>7</v>
      </c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15"/>
      <c r="AU633" s="115"/>
      <c r="AV633" s="115"/>
      <c r="AW633" s="115"/>
      <c r="AX633" s="115"/>
      <c r="AY633" s="115"/>
      <c r="AZ633" s="115"/>
      <c r="BA633" s="115"/>
      <c r="BB633" s="115"/>
      <c r="BC633" s="115"/>
      <c r="BD633" s="115"/>
      <c r="BE633" s="115"/>
      <c r="BF633" s="115"/>
      <c r="BG633" s="115"/>
      <c r="BH633" s="115"/>
      <c r="BI633" s="115"/>
      <c r="BJ633" s="115"/>
      <c r="BK633" s="115"/>
      <c r="BL633" s="115"/>
      <c r="BM633" s="115"/>
      <c r="BN633" s="115"/>
      <c r="BO633" s="115"/>
      <c r="BP633" s="115"/>
      <c r="BQ633" s="115"/>
      <c r="BR633" s="115"/>
      <c r="BS633" s="115"/>
      <c r="BT633" s="115"/>
      <c r="BU633" s="115"/>
      <c r="BV633" s="115"/>
      <c r="BW633" s="115"/>
      <c r="BX633" s="115"/>
      <c r="BY633" s="115"/>
      <c r="BZ633" s="115"/>
      <c r="CA633" s="115"/>
      <c r="CB633" s="115"/>
      <c r="CC633" s="115"/>
      <c r="CD633" s="115"/>
      <c r="CE633" s="115"/>
      <c r="CF633" s="115"/>
      <c r="CG633" s="115"/>
      <c r="CH633" s="115"/>
      <c r="CI633" s="115"/>
      <c r="CJ633" s="115"/>
      <c r="CK633" s="115"/>
      <c r="CL633" s="115"/>
      <c r="CM633" s="115"/>
      <c r="CN633" s="115"/>
      <c r="CO633" s="115"/>
      <c r="CP633" s="115"/>
      <c r="CQ633" s="115"/>
      <c r="CR633" s="115"/>
      <c r="CS633" s="115"/>
      <c r="CT633" s="115"/>
      <c r="CU633" s="115"/>
      <c r="CV633" s="115"/>
      <c r="CW633" s="115"/>
      <c r="CX633" s="115"/>
      <c r="CY633" s="115"/>
      <c r="CZ633" s="115"/>
      <c r="DA633" s="115"/>
      <c r="DB633" s="115"/>
      <c r="DC633" s="115"/>
      <c r="DD633" s="115"/>
      <c r="DE633" s="115"/>
      <c r="DF633" s="115"/>
      <c r="DG633" s="115"/>
      <c r="DH633" s="115"/>
      <c r="DI633" s="115"/>
      <c r="DJ633" s="115"/>
      <c r="DK633" s="115"/>
      <c r="DL633" s="115"/>
      <c r="DM633" s="115"/>
      <c r="DN633" s="115"/>
      <c r="DO633" s="115"/>
      <c r="DP633" s="115"/>
      <c r="DQ633" s="115"/>
      <c r="DR633" s="115"/>
      <c r="DS633" s="115"/>
      <c r="DT633" s="115"/>
      <c r="DU633" s="115"/>
      <c r="DV633" s="115"/>
      <c r="DW633" s="115"/>
      <c r="DX633" s="115"/>
      <c r="DY633" s="115"/>
      <c r="DZ633" s="115"/>
      <c r="EA633" s="115"/>
      <c r="EB633" s="115"/>
      <c r="EC633" s="115"/>
      <c r="ED633" s="113" t="s">
        <v>1</v>
      </c>
    </row>
    <row r="634" spans="1:134" x14ac:dyDescent="0.2">
      <c r="A634" s="751" t="s">
        <v>221</v>
      </c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15"/>
      <c r="AU634" s="115"/>
      <c r="AV634" s="115"/>
      <c r="AW634" s="115"/>
      <c r="AX634" s="115"/>
      <c r="AY634" s="115"/>
      <c r="AZ634" s="115"/>
      <c r="BA634" s="115"/>
      <c r="BB634" s="115"/>
      <c r="BC634" s="115"/>
      <c r="BD634" s="115"/>
      <c r="BE634" s="115"/>
      <c r="BF634" s="115"/>
      <c r="BG634" s="115"/>
      <c r="BH634" s="115"/>
      <c r="BI634" s="115"/>
      <c r="BJ634" s="115"/>
      <c r="BK634" s="115"/>
      <c r="BL634" s="115"/>
      <c r="BM634" s="115"/>
      <c r="BN634" s="115"/>
      <c r="BO634" s="115"/>
      <c r="BP634" s="115"/>
      <c r="BQ634" s="115"/>
      <c r="BR634" s="115"/>
      <c r="BS634" s="115"/>
      <c r="BT634" s="115"/>
      <c r="BU634" s="115"/>
      <c r="BV634" s="115"/>
      <c r="BW634" s="115"/>
      <c r="BX634" s="115"/>
      <c r="BY634" s="133">
        <f>BY630/BY610</f>
        <v>5.3589484327603638E-2</v>
      </c>
      <c r="BZ634" s="133">
        <f t="shared" ref="BZ634:CS634" si="2358">BZ630/BZ610</f>
        <v>3.3008658008658008E-2</v>
      </c>
      <c r="CA634" s="133">
        <f t="shared" si="2358"/>
        <v>5.4759898904802019E-2</v>
      </c>
      <c r="CB634" s="133">
        <f t="shared" si="2358"/>
        <v>8.3424209378407846E-2</v>
      </c>
      <c r="CC634" s="133">
        <f t="shared" si="2358"/>
        <v>5.6603773584905662E-2</v>
      </c>
      <c r="CD634" s="133">
        <f t="shared" si="2358"/>
        <v>9.296685529506872E-2</v>
      </c>
      <c r="CE634" s="133">
        <f t="shared" si="2358"/>
        <v>4.4799176107106077E-2</v>
      </c>
      <c r="CF634" s="133">
        <f t="shared" si="2358"/>
        <v>3.7981269510926119E-2</v>
      </c>
      <c r="CG634" s="133">
        <f t="shared" si="2358"/>
        <v>3.0669144981412641E-2</v>
      </c>
      <c r="CH634" s="133">
        <f t="shared" si="2358"/>
        <v>2.952755905511811E-2</v>
      </c>
      <c r="CI634" s="133">
        <f t="shared" si="2358"/>
        <v>2.5753158406219629E-2</v>
      </c>
      <c r="CJ634" s="133">
        <f t="shared" si="2358"/>
        <v>2.2401257614462565E-2</v>
      </c>
      <c r="CK634" s="133">
        <f t="shared" si="2358"/>
        <v>5.103011093502377E-2</v>
      </c>
      <c r="CL634" s="133">
        <f t="shared" si="2358"/>
        <v>5.1217765042979944E-2</v>
      </c>
      <c r="CM634" s="133">
        <f t="shared" si="2358"/>
        <v>4.9452018176958032E-2</v>
      </c>
      <c r="CN634" s="133">
        <f t="shared" si="2358"/>
        <v>4.1820418204182044E-2</v>
      </c>
      <c r="CO634" s="133">
        <f t="shared" si="2358"/>
        <v>1.5644298065047343E-2</v>
      </c>
      <c r="CP634" s="133">
        <f t="shared" si="2358"/>
        <v>2.474437627811861E-2</v>
      </c>
      <c r="CQ634" s="133">
        <f t="shared" si="2358"/>
        <v>2.0692249811888639E-2</v>
      </c>
      <c r="CR634" s="133">
        <f t="shared" si="2358"/>
        <v>2.6130873956960912E-2</v>
      </c>
      <c r="CS634" s="133">
        <f t="shared" si="2358"/>
        <v>3.9667649423746988E-2</v>
      </c>
      <c r="CT634" s="133">
        <f>AVERAGE(CH634:CS634)</f>
        <v>3.3173477914225549E-2</v>
      </c>
      <c r="CU634" s="133">
        <f t="shared" ref="CU634:DQ634" si="2359">CT634</f>
        <v>3.3173477914225549E-2</v>
      </c>
      <c r="CV634" s="133">
        <f t="shared" si="2359"/>
        <v>3.3173477914225549E-2</v>
      </c>
      <c r="CW634" s="133">
        <f t="shared" si="2359"/>
        <v>3.3173477914225549E-2</v>
      </c>
      <c r="CX634" s="133">
        <f t="shared" si="2359"/>
        <v>3.3173477914225549E-2</v>
      </c>
      <c r="CY634" s="133">
        <f t="shared" si="2359"/>
        <v>3.3173477914225549E-2</v>
      </c>
      <c r="CZ634" s="133">
        <f t="shared" si="2359"/>
        <v>3.3173477914225549E-2</v>
      </c>
      <c r="DA634" s="133">
        <f t="shared" si="2359"/>
        <v>3.3173477914225549E-2</v>
      </c>
      <c r="DB634" s="133">
        <f t="shared" si="2359"/>
        <v>3.3173477914225549E-2</v>
      </c>
      <c r="DC634" s="133">
        <f t="shared" si="2359"/>
        <v>3.3173477914225549E-2</v>
      </c>
      <c r="DD634" s="133">
        <f t="shared" si="2359"/>
        <v>3.3173477914225549E-2</v>
      </c>
      <c r="DE634" s="133">
        <f t="shared" si="2359"/>
        <v>3.3173477914225549E-2</v>
      </c>
      <c r="DF634" s="133">
        <f t="shared" si="2359"/>
        <v>3.3173477914225549E-2</v>
      </c>
      <c r="DG634" s="133">
        <f t="shared" si="2359"/>
        <v>3.3173477914225549E-2</v>
      </c>
      <c r="DH634" s="133">
        <f t="shared" si="2359"/>
        <v>3.3173477914225549E-2</v>
      </c>
      <c r="DI634" s="133">
        <f t="shared" si="2359"/>
        <v>3.3173477914225549E-2</v>
      </c>
      <c r="DJ634" s="133">
        <f t="shared" si="2359"/>
        <v>3.3173477914225549E-2</v>
      </c>
      <c r="DK634" s="133">
        <f t="shared" si="2359"/>
        <v>3.3173477914225549E-2</v>
      </c>
      <c r="DL634" s="133">
        <f t="shared" si="2359"/>
        <v>3.3173477914225549E-2</v>
      </c>
      <c r="DM634" s="133">
        <f t="shared" si="2359"/>
        <v>3.3173477914225549E-2</v>
      </c>
      <c r="DN634" s="133">
        <f t="shared" si="2359"/>
        <v>3.3173477914225549E-2</v>
      </c>
      <c r="DO634" s="133">
        <f t="shared" si="2359"/>
        <v>3.3173477914225549E-2</v>
      </c>
      <c r="DP634" s="133">
        <f t="shared" si="2359"/>
        <v>3.3173477914225549E-2</v>
      </c>
      <c r="DQ634" s="133">
        <f t="shared" si="2359"/>
        <v>3.3173477914225549E-2</v>
      </c>
      <c r="DR634" s="133">
        <f t="shared" ref="DR634:DR635" si="2360">DQ634</f>
        <v>3.3173477914225549E-2</v>
      </c>
      <c r="DS634" s="133">
        <f t="shared" ref="DS634:DS635" si="2361">DR634</f>
        <v>3.3173477914225549E-2</v>
      </c>
      <c r="DT634" s="133">
        <f t="shared" ref="DT634:DT635" si="2362">DS634</f>
        <v>3.3173477914225549E-2</v>
      </c>
      <c r="DU634" s="133">
        <f t="shared" ref="DU634:DU635" si="2363">DT634</f>
        <v>3.3173477914225549E-2</v>
      </c>
      <c r="DV634" s="133">
        <f t="shared" ref="DV634:DV635" si="2364">DU634</f>
        <v>3.3173477914225549E-2</v>
      </c>
      <c r="DW634" s="133">
        <f t="shared" ref="DW634:DW635" si="2365">DV634</f>
        <v>3.3173477914225549E-2</v>
      </c>
      <c r="DX634" s="133">
        <f t="shared" ref="DX634:DX635" si="2366">DW634</f>
        <v>3.3173477914225549E-2</v>
      </c>
      <c r="DY634" s="133">
        <f t="shared" ref="DY634:DY635" si="2367">DX634</f>
        <v>3.3173477914225549E-2</v>
      </c>
      <c r="DZ634" s="133">
        <f t="shared" ref="DZ634:DZ635" si="2368">DY634</f>
        <v>3.3173477914225549E-2</v>
      </c>
      <c r="EA634" s="133">
        <f t="shared" ref="EA634:EA635" si="2369">DZ634</f>
        <v>3.3173477914225549E-2</v>
      </c>
      <c r="EB634" s="133">
        <f t="shared" ref="EB634:EB635" si="2370">EA634</f>
        <v>3.3173477914225549E-2</v>
      </c>
      <c r="EC634" s="133">
        <f t="shared" ref="EC634:EC635" si="2371">EB634</f>
        <v>3.3173477914225549E-2</v>
      </c>
      <c r="ED634" s="113" t="s">
        <v>1</v>
      </c>
    </row>
    <row r="635" spans="1:134" x14ac:dyDescent="0.2">
      <c r="A635" s="751" t="s">
        <v>222</v>
      </c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15"/>
      <c r="AU635" s="115"/>
      <c r="AV635" s="115"/>
      <c r="AW635" s="115"/>
      <c r="AX635" s="115"/>
      <c r="AY635" s="115"/>
      <c r="AZ635" s="115"/>
      <c r="BA635" s="115"/>
      <c r="BB635" s="115"/>
      <c r="BC635" s="115"/>
      <c r="BD635" s="115"/>
      <c r="BE635" s="115"/>
      <c r="BF635" s="115"/>
      <c r="BG635" s="115"/>
      <c r="BH635" s="115"/>
      <c r="BI635" s="115"/>
      <c r="BJ635" s="115"/>
      <c r="BK635" s="115"/>
      <c r="BL635" s="115"/>
      <c r="BM635" s="115"/>
      <c r="BN635" s="115"/>
      <c r="BO635" s="115"/>
      <c r="BP635" s="115"/>
      <c r="BQ635" s="115"/>
      <c r="BR635" s="115"/>
      <c r="BS635" s="115"/>
      <c r="BT635" s="115"/>
      <c r="BU635" s="115"/>
      <c r="BV635" s="115"/>
      <c r="BW635" s="115"/>
      <c r="BX635" s="115"/>
      <c r="BY635" s="133">
        <f>BY631/BY611</f>
        <v>0.21091445427728614</v>
      </c>
      <c r="BZ635" s="133">
        <f t="shared" ref="BZ635:CS635" si="2372">BZ631/BZ611</f>
        <v>0.28293413173652693</v>
      </c>
      <c r="CA635" s="133">
        <f t="shared" si="2372"/>
        <v>0.20775969962453067</v>
      </c>
      <c r="CB635" s="133">
        <f t="shared" si="2372"/>
        <v>0.26527570789865873</v>
      </c>
      <c r="CC635" s="133">
        <f t="shared" si="2372"/>
        <v>0.14605418138987045</v>
      </c>
      <c r="CD635" s="133">
        <f t="shared" si="2372"/>
        <v>0.16679076693968728</v>
      </c>
      <c r="CE635" s="133">
        <f t="shared" si="2372"/>
        <v>0.20668220668220669</v>
      </c>
      <c r="CF635" s="133">
        <f t="shared" si="2372"/>
        <v>0.18513323983169705</v>
      </c>
      <c r="CG635" s="133">
        <f t="shared" si="2372"/>
        <v>0.20979020979020979</v>
      </c>
      <c r="CH635" s="133">
        <f t="shared" si="2372"/>
        <v>0.25744680851063828</v>
      </c>
      <c r="CI635" s="133">
        <f t="shared" si="2372"/>
        <v>0.17592592592592593</v>
      </c>
      <c r="CJ635" s="133">
        <f t="shared" si="2372"/>
        <v>0.21715817694369974</v>
      </c>
      <c r="CK635" s="133">
        <f t="shared" si="2372"/>
        <v>0.21897518014411529</v>
      </c>
      <c r="CL635" s="133">
        <f t="shared" si="2372"/>
        <v>0.22963537626066718</v>
      </c>
      <c r="CM635" s="133">
        <f t="shared" si="2372"/>
        <v>0.23714821763602251</v>
      </c>
      <c r="CN635" s="133">
        <f t="shared" si="2372"/>
        <v>0.2034294621979735</v>
      </c>
      <c r="CO635" s="133">
        <f t="shared" si="2372"/>
        <v>0.19629005059021923</v>
      </c>
      <c r="CP635" s="133">
        <f t="shared" si="2372"/>
        <v>0.19217178581136179</v>
      </c>
      <c r="CQ635" s="133">
        <f t="shared" si="2372"/>
        <v>0.19281991893456862</v>
      </c>
      <c r="CR635" s="133">
        <f t="shared" si="2372"/>
        <v>0.19383259911894274</v>
      </c>
      <c r="CS635" s="133">
        <f t="shared" si="2372"/>
        <v>0.17079783113865221</v>
      </c>
      <c r="CT635" s="133">
        <f>AVERAGE(CH635:CS635)</f>
        <v>0.20713594443439889</v>
      </c>
      <c r="CU635" s="133">
        <f t="shared" ref="CU635:DQ635" si="2373">CT635</f>
        <v>0.20713594443439889</v>
      </c>
      <c r="CV635" s="133">
        <f t="shared" si="2373"/>
        <v>0.20713594443439889</v>
      </c>
      <c r="CW635" s="133">
        <f t="shared" si="2373"/>
        <v>0.20713594443439889</v>
      </c>
      <c r="CX635" s="133">
        <f t="shared" si="2373"/>
        <v>0.20713594443439889</v>
      </c>
      <c r="CY635" s="133">
        <f t="shared" si="2373"/>
        <v>0.20713594443439889</v>
      </c>
      <c r="CZ635" s="133">
        <f t="shared" si="2373"/>
        <v>0.20713594443439889</v>
      </c>
      <c r="DA635" s="133">
        <f t="shared" si="2373"/>
        <v>0.20713594443439889</v>
      </c>
      <c r="DB635" s="133">
        <f t="shared" si="2373"/>
        <v>0.20713594443439889</v>
      </c>
      <c r="DC635" s="133">
        <f t="shared" si="2373"/>
        <v>0.20713594443439889</v>
      </c>
      <c r="DD635" s="133">
        <f t="shared" si="2373"/>
        <v>0.20713594443439889</v>
      </c>
      <c r="DE635" s="133">
        <f t="shared" si="2373"/>
        <v>0.20713594443439889</v>
      </c>
      <c r="DF635" s="133">
        <f t="shared" si="2373"/>
        <v>0.20713594443439889</v>
      </c>
      <c r="DG635" s="133">
        <f t="shared" si="2373"/>
        <v>0.20713594443439889</v>
      </c>
      <c r="DH635" s="133">
        <f t="shared" si="2373"/>
        <v>0.20713594443439889</v>
      </c>
      <c r="DI635" s="133">
        <f t="shared" si="2373"/>
        <v>0.20713594443439889</v>
      </c>
      <c r="DJ635" s="133">
        <f t="shared" si="2373"/>
        <v>0.20713594443439889</v>
      </c>
      <c r="DK635" s="133">
        <f t="shared" si="2373"/>
        <v>0.20713594443439889</v>
      </c>
      <c r="DL635" s="133">
        <f t="shared" si="2373"/>
        <v>0.20713594443439889</v>
      </c>
      <c r="DM635" s="133">
        <f t="shared" si="2373"/>
        <v>0.20713594443439889</v>
      </c>
      <c r="DN635" s="133">
        <f t="shared" si="2373"/>
        <v>0.20713594443439889</v>
      </c>
      <c r="DO635" s="133">
        <f t="shared" si="2373"/>
        <v>0.20713594443439889</v>
      </c>
      <c r="DP635" s="133">
        <f t="shared" si="2373"/>
        <v>0.20713594443439889</v>
      </c>
      <c r="DQ635" s="133">
        <f t="shared" si="2373"/>
        <v>0.20713594443439889</v>
      </c>
      <c r="DR635" s="133">
        <f t="shared" si="2360"/>
        <v>0.20713594443439889</v>
      </c>
      <c r="DS635" s="133">
        <f t="shared" si="2361"/>
        <v>0.20713594443439889</v>
      </c>
      <c r="DT635" s="133">
        <f t="shared" si="2362"/>
        <v>0.20713594443439889</v>
      </c>
      <c r="DU635" s="133">
        <f t="shared" si="2363"/>
        <v>0.20713594443439889</v>
      </c>
      <c r="DV635" s="133">
        <f t="shared" si="2364"/>
        <v>0.20713594443439889</v>
      </c>
      <c r="DW635" s="133">
        <f t="shared" si="2365"/>
        <v>0.20713594443439889</v>
      </c>
      <c r="DX635" s="133">
        <f t="shared" si="2366"/>
        <v>0.20713594443439889</v>
      </c>
      <c r="DY635" s="133">
        <f t="shared" si="2367"/>
        <v>0.20713594443439889</v>
      </c>
      <c r="DZ635" s="133">
        <f t="shared" si="2368"/>
        <v>0.20713594443439889</v>
      </c>
      <c r="EA635" s="133">
        <f t="shared" si="2369"/>
        <v>0.20713594443439889</v>
      </c>
      <c r="EB635" s="133">
        <f t="shared" si="2370"/>
        <v>0.20713594443439889</v>
      </c>
      <c r="EC635" s="133">
        <f t="shared" si="2371"/>
        <v>0.20713594443439889</v>
      </c>
      <c r="ED635" s="113" t="s">
        <v>1</v>
      </c>
    </row>
    <row r="636" spans="1:134" x14ac:dyDescent="0.2">
      <c r="A636" s="730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15"/>
      <c r="AU636" s="115"/>
      <c r="AV636" s="115"/>
      <c r="AW636" s="115"/>
      <c r="AX636" s="115"/>
      <c r="AY636" s="115"/>
      <c r="AZ636" s="115"/>
      <c r="BA636" s="115"/>
      <c r="BB636" s="115"/>
      <c r="BC636" s="115"/>
      <c r="BD636" s="115"/>
      <c r="BE636" s="115"/>
      <c r="BF636" s="115"/>
      <c r="BG636" s="115"/>
      <c r="BH636" s="115"/>
      <c r="BI636" s="115"/>
      <c r="BJ636" s="115"/>
      <c r="BK636" s="115"/>
      <c r="BL636" s="115"/>
      <c r="BM636" s="115"/>
      <c r="BN636" s="115"/>
      <c r="BO636" s="115"/>
      <c r="BP636" s="115"/>
      <c r="BQ636" s="115"/>
      <c r="BR636" s="115"/>
      <c r="BS636" s="115"/>
      <c r="BT636" s="115"/>
      <c r="BU636" s="115"/>
      <c r="BV636" s="115"/>
      <c r="BW636" s="115"/>
      <c r="BX636" s="115"/>
      <c r="BY636" s="115"/>
      <c r="BZ636" s="115"/>
      <c r="CA636" s="115"/>
      <c r="CB636" s="115"/>
      <c r="CC636" s="115"/>
      <c r="CD636" s="115"/>
      <c r="CE636" s="115"/>
      <c r="CF636" s="115"/>
      <c r="CG636" s="115"/>
      <c r="CH636" s="115"/>
      <c r="CI636" s="115"/>
      <c r="CJ636" s="115"/>
      <c r="CK636" s="115"/>
      <c r="CL636" s="115"/>
      <c r="CM636" s="115"/>
      <c r="CN636" s="115"/>
      <c r="CO636" s="115"/>
      <c r="CP636" s="115"/>
      <c r="CQ636" s="115"/>
      <c r="CR636" s="115"/>
      <c r="CS636" s="115"/>
      <c r="CT636" s="115"/>
      <c r="CU636" s="115"/>
      <c r="CV636" s="115"/>
      <c r="CW636" s="115"/>
      <c r="CX636" s="115"/>
      <c r="CY636" s="115"/>
      <c r="CZ636" s="115"/>
      <c r="DA636" s="115"/>
      <c r="DB636" s="115"/>
      <c r="DC636" s="115"/>
      <c r="DD636" s="115"/>
      <c r="DE636" s="115"/>
      <c r="DF636" s="115"/>
      <c r="DG636" s="115"/>
      <c r="DH636" s="115"/>
      <c r="DI636" s="115"/>
      <c r="DJ636" s="115"/>
      <c r="DK636" s="115"/>
      <c r="DL636" s="115"/>
      <c r="DM636" s="115"/>
      <c r="DN636" s="115"/>
      <c r="DO636" s="115"/>
      <c r="DP636" s="115"/>
      <c r="DQ636" s="115"/>
      <c r="DR636" s="115"/>
      <c r="DS636" s="115"/>
      <c r="DT636" s="115"/>
      <c r="DU636" s="115"/>
      <c r="DV636" s="115"/>
      <c r="DW636" s="115"/>
      <c r="DX636" s="115"/>
      <c r="DY636" s="115"/>
      <c r="DZ636" s="115"/>
      <c r="EA636" s="115"/>
      <c r="EB636" s="115"/>
      <c r="EC636" s="645"/>
      <c r="ED636" s="113" t="s">
        <v>1</v>
      </c>
    </row>
    <row r="637" spans="1:134" x14ac:dyDescent="0.2">
      <c r="A637" s="746" t="s">
        <v>10</v>
      </c>
      <c r="B637" s="746"/>
      <c r="C637" s="746"/>
      <c r="D637" s="746"/>
      <c r="E637" s="746"/>
      <c r="F637" s="746"/>
      <c r="G637" s="746"/>
      <c r="H637" s="746"/>
      <c r="I637" s="746"/>
      <c r="J637" s="746"/>
      <c r="K637" s="746"/>
      <c r="L637" s="746"/>
      <c r="M637" s="746"/>
      <c r="N637" s="746"/>
      <c r="O637" s="746"/>
      <c r="P637" s="746"/>
      <c r="Q637" s="746"/>
      <c r="R637" s="746"/>
      <c r="S637" s="746"/>
      <c r="T637" s="746"/>
      <c r="U637" s="746"/>
      <c r="V637" s="746"/>
      <c r="W637" s="746"/>
      <c r="X637" s="746"/>
      <c r="Y637" s="746"/>
      <c r="Z637" s="746"/>
      <c r="AA637" s="746"/>
      <c r="AB637" s="746"/>
      <c r="AC637" s="746"/>
      <c r="AD637" s="746"/>
      <c r="AE637" s="746"/>
      <c r="AF637" s="746"/>
      <c r="AG637" s="746"/>
      <c r="AH637" s="746"/>
      <c r="AI637" s="746"/>
      <c r="AJ637" s="746"/>
      <c r="AK637" s="746"/>
      <c r="AL637" s="746"/>
      <c r="AM637" s="746"/>
      <c r="AN637" s="746"/>
      <c r="AO637" s="746"/>
      <c r="AP637" s="746"/>
      <c r="AQ637" s="746"/>
      <c r="AR637" s="746"/>
      <c r="AS637" s="746"/>
      <c r="AT637" s="746"/>
      <c r="AU637" s="746"/>
      <c r="AV637" s="746"/>
      <c r="AW637" s="746"/>
      <c r="AX637" s="746"/>
      <c r="AY637" s="746"/>
      <c r="AZ637" s="746"/>
      <c r="BA637" s="746"/>
      <c r="BB637" s="746"/>
      <c r="BC637" s="746"/>
      <c r="BD637" s="746"/>
      <c r="BE637" s="746"/>
      <c r="BF637" s="746"/>
      <c r="BG637" s="746"/>
      <c r="BH637" s="746"/>
      <c r="BI637" s="746"/>
      <c r="BJ637" s="746"/>
      <c r="BK637" s="746"/>
      <c r="BL637" s="746"/>
      <c r="BM637" s="746"/>
      <c r="BN637" s="746"/>
      <c r="BO637" s="746"/>
      <c r="BP637" s="746"/>
      <c r="BQ637" s="746"/>
      <c r="BR637" s="746"/>
      <c r="BS637" s="746"/>
      <c r="BT637" s="746"/>
      <c r="BU637" s="746"/>
      <c r="BV637" s="746"/>
      <c r="BW637" s="746"/>
      <c r="BX637" s="746"/>
      <c r="BY637" s="729">
        <f>SUM(BY638:BY639)</f>
        <v>31951012.592907332</v>
      </c>
      <c r="BZ637" s="729">
        <f t="shared" ref="BZ637:DQ637" si="2374">SUM(BZ638:BZ639)</f>
        <v>42949000.174967945</v>
      </c>
      <c r="CA637" s="729">
        <f t="shared" si="2374"/>
        <v>58708182.026987068</v>
      </c>
      <c r="CB637" s="729">
        <f t="shared" si="2374"/>
        <v>43113789.794187024</v>
      </c>
      <c r="CC637" s="729">
        <f t="shared" si="2374"/>
        <v>52324484.976478413</v>
      </c>
      <c r="CD637" s="729">
        <f t="shared" si="2374"/>
        <v>50130033.349681348</v>
      </c>
      <c r="CE637" s="729">
        <f t="shared" si="2374"/>
        <v>65063163.9917088</v>
      </c>
      <c r="CF637" s="729">
        <f t="shared" si="2374"/>
        <v>59017710.70664984</v>
      </c>
      <c r="CG637" s="729">
        <f t="shared" si="2374"/>
        <v>61918775.290091984</v>
      </c>
      <c r="CH637" s="729">
        <f t="shared" si="2374"/>
        <v>62277968.879983246</v>
      </c>
      <c r="CI637" s="729">
        <f t="shared" si="2374"/>
        <v>97332592.444938183</v>
      </c>
      <c r="CJ637" s="729">
        <f t="shared" si="2374"/>
        <v>112134460.40695335</v>
      </c>
      <c r="CK637" s="729">
        <f t="shared" si="2374"/>
        <v>96861408.389999807</v>
      </c>
      <c r="CL637" s="729">
        <f t="shared" si="2374"/>
        <v>99071539.569999978</v>
      </c>
      <c r="CM637" s="729">
        <f t="shared" si="2374"/>
        <v>106711894.17999992</v>
      </c>
      <c r="CN637" s="729">
        <f t="shared" si="2374"/>
        <v>98213333.439999923</v>
      </c>
      <c r="CO637" s="729">
        <f t="shared" si="2374"/>
        <v>121247598.07999982</v>
      </c>
      <c r="CP637" s="729">
        <f t="shared" si="2374"/>
        <v>142132352.44999981</v>
      </c>
      <c r="CQ637" s="729">
        <f t="shared" si="2374"/>
        <v>138278739.99000001</v>
      </c>
      <c r="CR637" s="729">
        <f t="shared" si="2374"/>
        <v>122454005.92999999</v>
      </c>
      <c r="CS637" s="729">
        <f t="shared" si="2374"/>
        <v>118854523.26000001</v>
      </c>
      <c r="CT637" s="729">
        <f t="shared" si="2374"/>
        <v>152245765.6432088</v>
      </c>
      <c r="CU637" s="729">
        <f t="shared" si="2374"/>
        <v>167470342.20752966</v>
      </c>
      <c r="CV637" s="729">
        <f t="shared" si="2374"/>
        <v>175843859.31790614</v>
      </c>
      <c r="CW637" s="729">
        <f t="shared" si="2374"/>
        <v>184636052.28380147</v>
      </c>
      <c r="CX637" s="729">
        <f t="shared" si="2374"/>
        <v>193867854.89799154</v>
      </c>
      <c r="CY637" s="729">
        <f t="shared" si="2374"/>
        <v>203561247.64289111</v>
      </c>
      <c r="CZ637" s="729">
        <f t="shared" si="2374"/>
        <v>213739310.02503568</v>
      </c>
      <c r="DA637" s="729">
        <f t="shared" si="2374"/>
        <v>224426275.5262875</v>
      </c>
      <c r="DB637" s="729">
        <f t="shared" si="2374"/>
        <v>235647589.30260187</v>
      </c>
      <c r="DC637" s="729">
        <f t="shared" si="2374"/>
        <v>247429968.76773196</v>
      </c>
      <c r="DD637" s="729">
        <f t="shared" si="2374"/>
        <v>259801467.20611858</v>
      </c>
      <c r="DE637" s="729">
        <f t="shared" si="2374"/>
        <v>272791540.56642449</v>
      </c>
      <c r="DF637" s="729">
        <f t="shared" si="2374"/>
        <v>300752673.47448307</v>
      </c>
      <c r="DG637" s="729">
        <f t="shared" si="2374"/>
        <v>315790307.14820725</v>
      </c>
      <c r="DH637" s="729">
        <f t="shared" si="2374"/>
        <v>331579822.50561762</v>
      </c>
      <c r="DI637" s="729">
        <f t="shared" si="2374"/>
        <v>348158813.63089854</v>
      </c>
      <c r="DJ637" s="729">
        <f t="shared" si="2374"/>
        <v>365566754.31244349</v>
      </c>
      <c r="DK637" s="729">
        <f t="shared" si="2374"/>
        <v>383845092.02806568</v>
      </c>
      <c r="DL637" s="729">
        <f t="shared" si="2374"/>
        <v>403037346.62946898</v>
      </c>
      <c r="DM637" s="729">
        <f t="shared" si="2374"/>
        <v>423189213.96094245</v>
      </c>
      <c r="DN637" s="729">
        <f t="shared" si="2374"/>
        <v>444348674.65898961</v>
      </c>
      <c r="DO637" s="729">
        <f t="shared" si="2374"/>
        <v>466566108.3919391</v>
      </c>
      <c r="DP637" s="729">
        <f t="shared" si="2374"/>
        <v>489894413.81153607</v>
      </c>
      <c r="DQ637" s="729">
        <f t="shared" si="2374"/>
        <v>514389134.50211287</v>
      </c>
      <c r="DR637" s="729">
        <f t="shared" ref="DR637:EC637" si="2375">SUM(DR638:DR639)</f>
        <v>527248862.86466563</v>
      </c>
      <c r="DS637" s="729">
        <f t="shared" si="2375"/>
        <v>540430084.4362824</v>
      </c>
      <c r="DT637" s="729">
        <f t="shared" si="2375"/>
        <v>553940836.54718924</v>
      </c>
      <c r="DU637" s="729">
        <f t="shared" si="2375"/>
        <v>567789357.46086895</v>
      </c>
      <c r="DV637" s="729">
        <f t="shared" si="2375"/>
        <v>581984091.3973906</v>
      </c>
      <c r="DW637" s="729">
        <f t="shared" si="2375"/>
        <v>596533693.68232536</v>
      </c>
      <c r="DX637" s="729">
        <f t="shared" si="2375"/>
        <v>611447036.02438343</v>
      </c>
      <c r="DY637" s="729">
        <f t="shared" si="2375"/>
        <v>626733211.92499304</v>
      </c>
      <c r="DZ637" s="729">
        <f t="shared" si="2375"/>
        <v>642401542.22311771</v>
      </c>
      <c r="EA637" s="729">
        <f t="shared" si="2375"/>
        <v>658461580.7786957</v>
      </c>
      <c r="EB637" s="729">
        <f t="shared" si="2375"/>
        <v>674923120.29816282</v>
      </c>
      <c r="EC637" s="729">
        <f t="shared" si="2375"/>
        <v>691796198.30561686</v>
      </c>
      <c r="ED637" s="113" t="s">
        <v>1</v>
      </c>
    </row>
    <row r="638" spans="1:134" x14ac:dyDescent="0.2">
      <c r="A638" s="730" t="s">
        <v>221</v>
      </c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15"/>
      <c r="AU638" s="115"/>
      <c r="AV638" s="115"/>
      <c r="AW638" s="115"/>
      <c r="AX638" s="115"/>
      <c r="AY638" s="115"/>
      <c r="AZ638" s="115"/>
      <c r="BA638" s="115"/>
      <c r="BB638" s="115"/>
      <c r="BC638" s="115"/>
      <c r="BD638" s="115"/>
      <c r="BE638" s="115"/>
      <c r="BF638" s="115"/>
      <c r="BG638" s="115"/>
      <c r="BH638" s="115"/>
      <c r="BI638" s="115"/>
      <c r="BJ638" s="115"/>
      <c r="BK638" s="115"/>
      <c r="BL638" s="115"/>
      <c r="BM638" s="115"/>
      <c r="BN638" s="115"/>
      <c r="BO638" s="115"/>
      <c r="BP638" s="115"/>
      <c r="BQ638" s="115"/>
      <c r="BR638" s="115"/>
      <c r="BS638" s="115"/>
      <c r="BT638" s="115"/>
      <c r="BU638" s="115"/>
      <c r="BV638" s="115"/>
      <c r="BW638" s="115"/>
      <c r="BX638" s="115"/>
      <c r="BY638" s="130">
        <f>BY606-BY626</f>
        <v>12505930.571814699</v>
      </c>
      <c r="BZ638" s="130">
        <f t="shared" ref="BZ638:DQ638" si="2376">BZ606-BZ626</f>
        <v>24621610.462962177</v>
      </c>
      <c r="CA638" s="130">
        <f t="shared" si="2376"/>
        <v>33223538.54538805</v>
      </c>
      <c r="CB638" s="130">
        <f t="shared" si="2376"/>
        <v>22791543.733961724</v>
      </c>
      <c r="CC638" s="130">
        <f t="shared" si="2376"/>
        <v>25590082.436655361</v>
      </c>
      <c r="CD638" s="130">
        <f t="shared" si="2376"/>
        <v>12971601.789707834</v>
      </c>
      <c r="CE638" s="130">
        <f t="shared" si="2376"/>
        <v>23949671.871644814</v>
      </c>
      <c r="CF638" s="130">
        <f t="shared" si="2376"/>
        <v>24735047.767636284</v>
      </c>
      <c r="CG638" s="130">
        <f t="shared" si="2376"/>
        <v>26479859.31000001</v>
      </c>
      <c r="CH638" s="130">
        <f t="shared" si="2376"/>
        <v>24655275.499951914</v>
      </c>
      <c r="CI638" s="130">
        <f t="shared" si="2376"/>
        <v>48956699.584636249</v>
      </c>
      <c r="CJ638" s="130">
        <f t="shared" si="2376"/>
        <v>55747348.046831012</v>
      </c>
      <c r="CK638" s="130">
        <f t="shared" si="2376"/>
        <v>30327689.649999999</v>
      </c>
      <c r="CL638" s="130">
        <f t="shared" si="2376"/>
        <v>28226567.940000001</v>
      </c>
      <c r="CM638" s="130">
        <f t="shared" si="2376"/>
        <v>39967038.829999998</v>
      </c>
      <c r="CN638" s="130">
        <f t="shared" si="2376"/>
        <v>34352118.320000008</v>
      </c>
      <c r="CO638" s="130">
        <f t="shared" si="2376"/>
        <v>48607349.160000011</v>
      </c>
      <c r="CP638" s="130">
        <f t="shared" si="2376"/>
        <v>48183133.869999982</v>
      </c>
      <c r="CQ638" s="130">
        <f t="shared" si="2376"/>
        <v>47515546.089999989</v>
      </c>
      <c r="CR638" s="130">
        <f t="shared" si="2376"/>
        <v>51968385.379999995</v>
      </c>
      <c r="CS638" s="130">
        <f t="shared" si="2376"/>
        <v>40669931.810000017</v>
      </c>
      <c r="CT638" s="130">
        <f t="shared" si="2376"/>
        <v>41077556.382498428</v>
      </c>
      <c r="CU638" s="130">
        <f t="shared" si="2376"/>
        <v>45185312.020748273</v>
      </c>
      <c r="CV638" s="130">
        <f t="shared" si="2376"/>
        <v>47444577.621785685</v>
      </c>
      <c r="CW638" s="130">
        <f t="shared" si="2376"/>
        <v>49816806.50287497</v>
      </c>
      <c r="CX638" s="130">
        <f t="shared" si="2376"/>
        <v>52307646.82801871</v>
      </c>
      <c r="CY638" s="130">
        <f t="shared" si="2376"/>
        <v>54923029.169419646</v>
      </c>
      <c r="CZ638" s="130">
        <f t="shared" si="2376"/>
        <v>57669180.627890632</v>
      </c>
      <c r="DA638" s="130">
        <f t="shared" si="2376"/>
        <v>60552639.659285173</v>
      </c>
      <c r="DB638" s="130">
        <f t="shared" si="2376"/>
        <v>63580271.642249435</v>
      </c>
      <c r="DC638" s="130">
        <f t="shared" si="2376"/>
        <v>66759285.224361911</v>
      </c>
      <c r="DD638" s="130">
        <f t="shared" si="2376"/>
        <v>70097249.485580012</v>
      </c>
      <c r="DE638" s="130">
        <f t="shared" si="2376"/>
        <v>73602111.959859014</v>
      </c>
      <c r="DF638" s="130">
        <f t="shared" si="2376"/>
        <v>81146328.435744569</v>
      </c>
      <c r="DG638" s="130">
        <f t="shared" si="2376"/>
        <v>85203644.857531786</v>
      </c>
      <c r="DH638" s="130">
        <f t="shared" si="2376"/>
        <v>89463827.10040839</v>
      </c>
      <c r="DI638" s="130">
        <f t="shared" si="2376"/>
        <v>93937018.455428839</v>
      </c>
      <c r="DJ638" s="130">
        <f t="shared" si="2376"/>
        <v>98633869.378200278</v>
      </c>
      <c r="DK638" s="130">
        <f t="shared" si="2376"/>
        <v>103565562.8471103</v>
      </c>
      <c r="DL638" s="130">
        <f t="shared" si="2376"/>
        <v>108743840.98946582</v>
      </c>
      <c r="DM638" s="130">
        <f t="shared" si="2376"/>
        <v>114181033.03893912</v>
      </c>
      <c r="DN638" s="130">
        <f t="shared" si="2376"/>
        <v>119890084.69088607</v>
      </c>
      <c r="DO638" s="130">
        <f t="shared" si="2376"/>
        <v>125884588.92543037</v>
      </c>
      <c r="DP638" s="130">
        <f t="shared" si="2376"/>
        <v>132178818.3717019</v>
      </c>
      <c r="DQ638" s="130">
        <f t="shared" si="2376"/>
        <v>138787759.29028702</v>
      </c>
      <c r="DR638" s="130">
        <f t="shared" ref="DR638:EC638" si="2377">DR606-DR626</f>
        <v>142257453.27254418</v>
      </c>
      <c r="DS638" s="130">
        <f t="shared" si="2377"/>
        <v>145813889.60435778</v>
      </c>
      <c r="DT638" s="130">
        <f t="shared" si="2377"/>
        <v>149459236.84446669</v>
      </c>
      <c r="DU638" s="130">
        <f t="shared" si="2377"/>
        <v>153195717.76557833</v>
      </c>
      <c r="DV638" s="130">
        <f t="shared" si="2377"/>
        <v>157025610.70971778</v>
      </c>
      <c r="DW638" s="130">
        <f t="shared" si="2377"/>
        <v>160951250.97746071</v>
      </c>
      <c r="DX638" s="130">
        <f t="shared" si="2377"/>
        <v>164975032.25189722</v>
      </c>
      <c r="DY638" s="130">
        <f t="shared" si="2377"/>
        <v>169099408.05819464</v>
      </c>
      <c r="DZ638" s="130">
        <f t="shared" si="2377"/>
        <v>173326893.25964949</v>
      </c>
      <c r="EA638" s="130">
        <f t="shared" si="2377"/>
        <v>177660065.59114072</v>
      </c>
      <c r="EB638" s="130">
        <f t="shared" si="2377"/>
        <v>182101567.23091918</v>
      </c>
      <c r="EC638" s="130">
        <f t="shared" si="2377"/>
        <v>186654106.41169214</v>
      </c>
      <c r="ED638" s="113" t="s">
        <v>1</v>
      </c>
    </row>
    <row r="639" spans="1:134" x14ac:dyDescent="0.2">
      <c r="A639" s="730" t="s">
        <v>222</v>
      </c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15"/>
      <c r="AU639" s="115"/>
      <c r="AV639" s="115"/>
      <c r="AW639" s="115"/>
      <c r="AX639" s="115"/>
      <c r="AY639" s="115"/>
      <c r="AZ639" s="115"/>
      <c r="BA639" s="115"/>
      <c r="BB639" s="115"/>
      <c r="BC639" s="115"/>
      <c r="BD639" s="115"/>
      <c r="BE639" s="115"/>
      <c r="BF639" s="115"/>
      <c r="BG639" s="115"/>
      <c r="BH639" s="115"/>
      <c r="BI639" s="115"/>
      <c r="BJ639" s="115"/>
      <c r="BK639" s="115"/>
      <c r="BL639" s="115"/>
      <c r="BM639" s="115"/>
      <c r="BN639" s="115"/>
      <c r="BO639" s="115"/>
      <c r="BP639" s="115"/>
      <c r="BQ639" s="115"/>
      <c r="BR639" s="115"/>
      <c r="BS639" s="115"/>
      <c r="BT639" s="115"/>
      <c r="BU639" s="115"/>
      <c r="BV639" s="115"/>
      <c r="BW639" s="115"/>
      <c r="BX639" s="115"/>
      <c r="BY639" s="130">
        <f>BY607-BY627</f>
        <v>19445082.021092631</v>
      </c>
      <c r="BZ639" s="130">
        <f t="shared" ref="BZ639:DQ639" si="2378">BZ607-BZ627</f>
        <v>18327389.712005764</v>
      </c>
      <c r="CA639" s="130">
        <f t="shared" si="2378"/>
        <v>25484643.481599018</v>
      </c>
      <c r="CB639" s="130">
        <f t="shared" si="2378"/>
        <v>20322246.060225304</v>
      </c>
      <c r="CC639" s="130">
        <f t="shared" si="2378"/>
        <v>26734402.539823052</v>
      </c>
      <c r="CD639" s="130">
        <f t="shared" si="2378"/>
        <v>37158431.559973516</v>
      </c>
      <c r="CE639" s="130">
        <f t="shared" si="2378"/>
        <v>41113492.120063983</v>
      </c>
      <c r="CF639" s="130">
        <f t="shared" si="2378"/>
        <v>34282662.939013556</v>
      </c>
      <c r="CG639" s="130">
        <f t="shared" si="2378"/>
        <v>35438915.980091974</v>
      </c>
      <c r="CH639" s="130">
        <f t="shared" si="2378"/>
        <v>37622693.380031332</v>
      </c>
      <c r="CI639" s="130">
        <f t="shared" si="2378"/>
        <v>48375892.860301927</v>
      </c>
      <c r="CJ639" s="130">
        <f t="shared" si="2378"/>
        <v>56387112.360122338</v>
      </c>
      <c r="CK639" s="130">
        <f t="shared" si="2378"/>
        <v>66533718.739999816</v>
      </c>
      <c r="CL639" s="130">
        <f t="shared" si="2378"/>
        <v>70844971.62999998</v>
      </c>
      <c r="CM639" s="130">
        <f t="shared" si="2378"/>
        <v>66744855.34999992</v>
      </c>
      <c r="CN639" s="130">
        <f t="shared" si="2378"/>
        <v>63861215.119999915</v>
      </c>
      <c r="CO639" s="130">
        <f t="shared" si="2378"/>
        <v>72640248.919999808</v>
      </c>
      <c r="CP639" s="130">
        <f t="shared" si="2378"/>
        <v>93949218.579999834</v>
      </c>
      <c r="CQ639" s="130">
        <f t="shared" si="2378"/>
        <v>90763193.900000036</v>
      </c>
      <c r="CR639" s="130">
        <f t="shared" si="2378"/>
        <v>70485620.549999997</v>
      </c>
      <c r="CS639" s="130">
        <f t="shared" si="2378"/>
        <v>78184591.449999988</v>
      </c>
      <c r="CT639" s="130">
        <f t="shared" si="2378"/>
        <v>111168209.26071036</v>
      </c>
      <c r="CU639" s="130">
        <f t="shared" si="2378"/>
        <v>122285030.18678141</v>
      </c>
      <c r="CV639" s="130">
        <f t="shared" si="2378"/>
        <v>128399281.69612047</v>
      </c>
      <c r="CW639" s="130">
        <f t="shared" si="2378"/>
        <v>134819245.7809265</v>
      </c>
      <c r="CX639" s="130">
        <f t="shared" si="2378"/>
        <v>141560208.06997281</v>
      </c>
      <c r="CY639" s="130">
        <f t="shared" si="2378"/>
        <v>148638218.47347146</v>
      </c>
      <c r="CZ639" s="130">
        <f t="shared" si="2378"/>
        <v>156070129.39714506</v>
      </c>
      <c r="DA639" s="130">
        <f t="shared" si="2378"/>
        <v>163873635.86700231</v>
      </c>
      <c r="DB639" s="130">
        <f t="shared" si="2378"/>
        <v>172067317.66035244</v>
      </c>
      <c r="DC639" s="130">
        <f t="shared" si="2378"/>
        <v>180670683.54337007</v>
      </c>
      <c r="DD639" s="130">
        <f t="shared" si="2378"/>
        <v>189704217.72053859</v>
      </c>
      <c r="DE639" s="130">
        <f t="shared" si="2378"/>
        <v>199189428.60656551</v>
      </c>
      <c r="DF639" s="130">
        <f t="shared" si="2378"/>
        <v>219606345.03873852</v>
      </c>
      <c r="DG639" s="130">
        <f t="shared" si="2378"/>
        <v>230586662.29067546</v>
      </c>
      <c r="DH639" s="130">
        <f t="shared" si="2378"/>
        <v>242115995.40520924</v>
      </c>
      <c r="DI639" s="130">
        <f t="shared" si="2378"/>
        <v>254221795.1754697</v>
      </c>
      <c r="DJ639" s="130">
        <f t="shared" si="2378"/>
        <v>266932884.9342432</v>
      </c>
      <c r="DK639" s="130">
        <f t="shared" si="2378"/>
        <v>280279529.18095541</v>
      </c>
      <c r="DL639" s="130">
        <f t="shared" si="2378"/>
        <v>294293505.64000314</v>
      </c>
      <c r="DM639" s="130">
        <f t="shared" si="2378"/>
        <v>309008180.92200333</v>
      </c>
      <c r="DN639" s="130">
        <f t="shared" si="2378"/>
        <v>324458589.96810353</v>
      </c>
      <c r="DO639" s="130">
        <f t="shared" si="2378"/>
        <v>340681519.46650875</v>
      </c>
      <c r="DP639" s="130">
        <f t="shared" si="2378"/>
        <v>357715595.43983418</v>
      </c>
      <c r="DQ639" s="130">
        <f t="shared" si="2378"/>
        <v>375601375.21182585</v>
      </c>
      <c r="DR639" s="130">
        <f t="shared" ref="DR639:EC639" si="2379">DR607-DR627</f>
        <v>384991409.59212148</v>
      </c>
      <c r="DS639" s="130">
        <f t="shared" si="2379"/>
        <v>394616194.83192456</v>
      </c>
      <c r="DT639" s="130">
        <f t="shared" si="2379"/>
        <v>404481599.70272261</v>
      </c>
      <c r="DU639" s="130">
        <f t="shared" si="2379"/>
        <v>414593639.69529063</v>
      </c>
      <c r="DV639" s="130">
        <f t="shared" si="2379"/>
        <v>424958480.68767285</v>
      </c>
      <c r="DW639" s="130">
        <f t="shared" si="2379"/>
        <v>435582442.70486462</v>
      </c>
      <c r="DX639" s="130">
        <f t="shared" si="2379"/>
        <v>446472003.77248621</v>
      </c>
      <c r="DY639" s="130">
        <f t="shared" si="2379"/>
        <v>457633803.86679834</v>
      </c>
      <c r="DZ639" s="130">
        <f t="shared" si="2379"/>
        <v>469074648.96346825</v>
      </c>
      <c r="EA639" s="130">
        <f t="shared" si="2379"/>
        <v>480801515.18755496</v>
      </c>
      <c r="EB639" s="130">
        <f t="shared" si="2379"/>
        <v>492821553.06724364</v>
      </c>
      <c r="EC639" s="130">
        <f t="shared" si="2379"/>
        <v>505142091.89392471</v>
      </c>
      <c r="ED639" s="113" t="s">
        <v>1</v>
      </c>
    </row>
    <row r="640" spans="1:134" x14ac:dyDescent="0.2">
      <c r="A640" s="730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115"/>
      <c r="AS640" s="115"/>
      <c r="AT640" s="115"/>
      <c r="AU640" s="115"/>
      <c r="AV640" s="115"/>
      <c r="AW640" s="115"/>
      <c r="AX640" s="115"/>
      <c r="AY640" s="115"/>
      <c r="AZ640" s="115"/>
      <c r="BA640" s="115"/>
      <c r="BB640" s="115"/>
      <c r="BC640" s="115"/>
      <c r="BD640" s="115"/>
      <c r="BE640" s="115"/>
      <c r="BF640" s="115"/>
      <c r="BG640" s="115"/>
      <c r="BH640" s="115"/>
      <c r="BI640" s="115"/>
      <c r="BJ640" s="115"/>
      <c r="BK640" s="115"/>
      <c r="BL640" s="115"/>
      <c r="BM640" s="115"/>
      <c r="BN640" s="115"/>
      <c r="BO640" s="115"/>
      <c r="BP640" s="115"/>
      <c r="BQ640" s="115"/>
      <c r="BR640" s="115"/>
      <c r="BS640" s="115"/>
      <c r="BT640" s="115"/>
      <c r="BU640" s="115"/>
      <c r="BV640" s="115"/>
      <c r="BW640" s="115"/>
      <c r="BX640" s="115"/>
      <c r="BY640" s="115"/>
      <c r="BZ640" s="115"/>
      <c r="CA640" s="115"/>
      <c r="CB640" s="115"/>
      <c r="CC640" s="115"/>
      <c r="CD640" s="115"/>
      <c r="CE640" s="115"/>
      <c r="CF640" s="115"/>
      <c r="CG640" s="115"/>
      <c r="CH640" s="115"/>
      <c r="CI640" s="115"/>
      <c r="CJ640" s="115"/>
      <c r="CK640" s="115"/>
      <c r="CL640" s="115"/>
      <c r="CM640" s="115"/>
      <c r="CN640" s="115"/>
      <c r="CO640" s="115"/>
      <c r="CP640" s="115"/>
      <c r="CQ640" s="115"/>
      <c r="CR640" s="115"/>
      <c r="CS640" s="115"/>
      <c r="CT640" s="115"/>
      <c r="CU640" s="115"/>
      <c r="CV640" s="115"/>
      <c r="CW640" s="115"/>
      <c r="CX640" s="115"/>
      <c r="CY640" s="115"/>
      <c r="CZ640" s="115"/>
      <c r="DA640" s="115"/>
      <c r="DB640" s="115"/>
      <c r="DC640" s="115"/>
      <c r="DD640" s="115"/>
      <c r="DE640" s="115"/>
      <c r="DF640" s="115"/>
      <c r="DG640" s="115"/>
      <c r="DH640" s="115"/>
      <c r="DI640" s="115"/>
      <c r="DJ640" s="115"/>
      <c r="DK640" s="115"/>
      <c r="DL640" s="115"/>
      <c r="DM640" s="115"/>
      <c r="DN640" s="115"/>
      <c r="DO640" s="115"/>
      <c r="DP640" s="115"/>
      <c r="DQ640" s="115"/>
      <c r="DR640" s="115"/>
      <c r="DS640" s="115"/>
      <c r="DT640" s="115"/>
      <c r="DU640" s="115"/>
      <c r="DV640" s="115"/>
      <c r="DW640" s="115"/>
      <c r="DX640" s="115"/>
      <c r="DY640" s="115"/>
      <c r="DZ640" s="115"/>
      <c r="EA640" s="115"/>
      <c r="EB640" s="115"/>
      <c r="EC640" s="115"/>
      <c r="ED640" s="113" t="s">
        <v>1</v>
      </c>
    </row>
    <row r="641" spans="1:134" x14ac:dyDescent="0.2">
      <c r="A641" s="731" t="s">
        <v>224</v>
      </c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15"/>
      <c r="AU641" s="115"/>
      <c r="AV641" s="115"/>
      <c r="AW641" s="115"/>
      <c r="AX641" s="115"/>
      <c r="AY641" s="115"/>
      <c r="AZ641" s="115"/>
      <c r="BA641" s="115"/>
      <c r="BB641" s="115"/>
      <c r="BC641" s="115"/>
      <c r="BD641" s="115"/>
      <c r="BE641" s="115"/>
      <c r="BF641" s="115"/>
      <c r="BG641" s="115"/>
      <c r="BH641" s="115"/>
      <c r="BI641" s="115"/>
      <c r="BJ641" s="115"/>
      <c r="BK641" s="115"/>
      <c r="BL641" s="115"/>
      <c r="BM641" s="115"/>
      <c r="BN641" s="115"/>
      <c r="BO641" s="115"/>
      <c r="BP641" s="115"/>
      <c r="BQ641" s="115"/>
      <c r="BR641" s="115"/>
      <c r="BS641" s="115"/>
      <c r="BT641" s="115"/>
      <c r="BU641" s="115"/>
      <c r="BV641" s="115"/>
      <c r="BW641" s="115"/>
      <c r="BX641" s="115"/>
      <c r="BY641" s="132">
        <f>SUM(BY642:BY643)</f>
        <v>1471</v>
      </c>
      <c r="BZ641" s="132">
        <f t="shared" ref="BZ641:DQ641" si="2380">SUM(BZ642:BZ643)</f>
        <v>2266</v>
      </c>
      <c r="CA641" s="132">
        <f t="shared" si="2380"/>
        <v>2877</v>
      </c>
      <c r="CB641" s="132">
        <f t="shared" si="2380"/>
        <v>2174</v>
      </c>
      <c r="CC641" s="132">
        <f t="shared" si="2380"/>
        <v>2575</v>
      </c>
      <c r="CD641" s="132">
        <f t="shared" si="2380"/>
        <v>2241</v>
      </c>
      <c r="CE641" s="132">
        <f t="shared" si="2380"/>
        <v>2876</v>
      </c>
      <c r="CF641" s="132">
        <f t="shared" si="2380"/>
        <v>3011</v>
      </c>
      <c r="CG641" s="132">
        <f t="shared" si="2380"/>
        <v>3329</v>
      </c>
      <c r="CH641" s="132">
        <f t="shared" si="2380"/>
        <v>3019</v>
      </c>
      <c r="CI641" s="132">
        <f t="shared" si="2380"/>
        <v>5434</v>
      </c>
      <c r="CJ641" s="132">
        <f t="shared" si="2380"/>
        <v>6727</v>
      </c>
      <c r="CK641" s="132">
        <f t="shared" si="2380"/>
        <v>4945</v>
      </c>
      <c r="CL641" s="132">
        <f t="shared" si="2380"/>
        <v>4635</v>
      </c>
      <c r="CM641" s="132">
        <f t="shared" si="2380"/>
        <v>5589</v>
      </c>
      <c r="CN641" s="132">
        <f t="shared" si="2380"/>
        <v>5160</v>
      </c>
      <c r="CO641" s="132">
        <f t="shared" si="2380"/>
        <v>9556</v>
      </c>
      <c r="CP641" s="132">
        <f t="shared" si="2380"/>
        <v>7741</v>
      </c>
      <c r="CQ641" s="132">
        <f t="shared" si="2380"/>
        <v>7994</v>
      </c>
      <c r="CR641" s="132">
        <f t="shared" si="2380"/>
        <v>6448</v>
      </c>
      <c r="CS641" s="132">
        <f t="shared" si="2380"/>
        <v>5724</v>
      </c>
      <c r="CT641" s="132">
        <f t="shared" si="2380"/>
        <v>7038.7623106055016</v>
      </c>
      <c r="CU641" s="132">
        <f t="shared" si="2380"/>
        <v>7742.6385416660523</v>
      </c>
      <c r="CV641" s="132">
        <f t="shared" si="2380"/>
        <v>8129.7704687493551</v>
      </c>
      <c r="CW641" s="132">
        <f t="shared" si="2380"/>
        <v>8536.2589921868239</v>
      </c>
      <c r="CX641" s="132">
        <f t="shared" si="2380"/>
        <v>8963.0719417961645</v>
      </c>
      <c r="CY641" s="132">
        <f t="shared" si="2380"/>
        <v>9411.2255388859721</v>
      </c>
      <c r="CZ641" s="132">
        <f t="shared" si="2380"/>
        <v>9881.7868158302717</v>
      </c>
      <c r="DA641" s="132">
        <f t="shared" si="2380"/>
        <v>10375.876156621787</v>
      </c>
      <c r="DB641" s="132">
        <f t="shared" si="2380"/>
        <v>10894.669964452876</v>
      </c>
      <c r="DC641" s="132">
        <f t="shared" si="2380"/>
        <v>11439.40346267552</v>
      </c>
      <c r="DD641" s="132">
        <f t="shared" si="2380"/>
        <v>12011.373635809297</v>
      </c>
      <c r="DE641" s="132">
        <f t="shared" si="2380"/>
        <v>12611.942317599762</v>
      </c>
      <c r="DF641" s="132">
        <f t="shared" si="2380"/>
        <v>13242.539433479749</v>
      </c>
      <c r="DG641" s="132">
        <f t="shared" si="2380"/>
        <v>13904.666405153737</v>
      </c>
      <c r="DH641" s="132">
        <f t="shared" si="2380"/>
        <v>14599.899725411426</v>
      </c>
      <c r="DI641" s="132">
        <f t="shared" si="2380"/>
        <v>15329.894711681998</v>
      </c>
      <c r="DJ641" s="132">
        <f t="shared" si="2380"/>
        <v>16096.3894472661</v>
      </c>
      <c r="DK641" s="132">
        <f t="shared" si="2380"/>
        <v>16901.208919629404</v>
      </c>
      <c r="DL641" s="132">
        <f t="shared" si="2380"/>
        <v>17746.269365610875</v>
      </c>
      <c r="DM641" s="132">
        <f t="shared" si="2380"/>
        <v>18633.582833891422</v>
      </c>
      <c r="DN641" s="132">
        <f t="shared" si="2380"/>
        <v>19565.261975585992</v>
      </c>
      <c r="DO641" s="132">
        <f t="shared" si="2380"/>
        <v>20543.525074365294</v>
      </c>
      <c r="DP641" s="132">
        <f t="shared" si="2380"/>
        <v>21570.70132808356</v>
      </c>
      <c r="DQ641" s="132">
        <f t="shared" si="2380"/>
        <v>22649.236394487736</v>
      </c>
      <c r="DR641" s="132">
        <f t="shared" ref="DR641:EC641" si="2381">SUM(DR642:DR643)</f>
        <v>23215.467304349932</v>
      </c>
      <c r="DS641" s="132">
        <f t="shared" si="2381"/>
        <v>23795.853986958675</v>
      </c>
      <c r="DT641" s="132">
        <f t="shared" si="2381"/>
        <v>24390.750336632642</v>
      </c>
      <c r="DU641" s="132">
        <f t="shared" si="2381"/>
        <v>25000.519095048454</v>
      </c>
      <c r="DV641" s="132">
        <f t="shared" si="2381"/>
        <v>25625.532072424663</v>
      </c>
      <c r="DW641" s="132">
        <f t="shared" si="2381"/>
        <v>26266.170374235277</v>
      </c>
      <c r="DX641" s="132">
        <f t="shared" si="2381"/>
        <v>26922.824633591157</v>
      </c>
      <c r="DY641" s="132">
        <f t="shared" si="2381"/>
        <v>27595.895249430934</v>
      </c>
      <c r="DZ641" s="132">
        <f t="shared" si="2381"/>
        <v>28285.792630666707</v>
      </c>
      <c r="EA641" s="132">
        <f t="shared" si="2381"/>
        <v>28992.937446433367</v>
      </c>
      <c r="EB641" s="132">
        <f t="shared" si="2381"/>
        <v>29717.760882594197</v>
      </c>
      <c r="EC641" s="132">
        <f t="shared" si="2381"/>
        <v>30460.704904659051</v>
      </c>
      <c r="ED641" s="113" t="s">
        <v>1</v>
      </c>
    </row>
    <row r="642" spans="1:134" x14ac:dyDescent="0.2">
      <c r="A642" s="747" t="s">
        <v>221</v>
      </c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115"/>
      <c r="AU642" s="115"/>
      <c r="AV642" s="115"/>
      <c r="AW642" s="115"/>
      <c r="AX642" s="115"/>
      <c r="AY642" s="115"/>
      <c r="AZ642" s="115"/>
      <c r="BA642" s="115"/>
      <c r="BB642" s="115"/>
      <c r="BC642" s="115"/>
      <c r="BD642" s="115"/>
      <c r="BE642" s="115"/>
      <c r="BF642" s="115"/>
      <c r="BG642" s="115"/>
      <c r="BH642" s="115"/>
      <c r="BI642" s="115"/>
      <c r="BJ642" s="115"/>
      <c r="BK642" s="115"/>
      <c r="BL642" s="115"/>
      <c r="BM642" s="115"/>
      <c r="BN642" s="115"/>
      <c r="BO642" s="115"/>
      <c r="BP642" s="115"/>
      <c r="BQ642" s="115"/>
      <c r="BR642" s="115"/>
      <c r="BS642" s="115"/>
      <c r="BT642" s="115"/>
      <c r="BU642" s="115"/>
      <c r="BV642" s="115"/>
      <c r="BW642" s="115"/>
      <c r="BX642" s="115"/>
      <c r="BY642" s="129">
        <f>BY610-BY630</f>
        <v>936</v>
      </c>
      <c r="BZ642" s="129">
        <f t="shared" ref="BZ642:DQ642" si="2382">BZ610-BZ630</f>
        <v>1787</v>
      </c>
      <c r="CA642" s="129">
        <f t="shared" si="2382"/>
        <v>2244</v>
      </c>
      <c r="CB642" s="129">
        <f t="shared" si="2382"/>
        <v>1681</v>
      </c>
      <c r="CC642" s="129">
        <f t="shared" si="2382"/>
        <v>1850</v>
      </c>
      <c r="CD642" s="129">
        <f t="shared" si="2382"/>
        <v>1122</v>
      </c>
      <c r="CE642" s="129">
        <f t="shared" si="2382"/>
        <v>1855</v>
      </c>
      <c r="CF642" s="129">
        <f t="shared" si="2382"/>
        <v>1849</v>
      </c>
      <c r="CG642" s="129">
        <f t="shared" si="2382"/>
        <v>2086</v>
      </c>
      <c r="CH642" s="129">
        <f t="shared" si="2382"/>
        <v>1972</v>
      </c>
      <c r="CI642" s="129">
        <f t="shared" si="2382"/>
        <v>4010</v>
      </c>
      <c r="CJ642" s="129">
        <f t="shared" si="2382"/>
        <v>4975</v>
      </c>
      <c r="CK642" s="129">
        <f t="shared" si="2382"/>
        <v>2994</v>
      </c>
      <c r="CL642" s="129">
        <f t="shared" si="2382"/>
        <v>2649</v>
      </c>
      <c r="CM642" s="129">
        <f t="shared" si="2382"/>
        <v>3556</v>
      </c>
      <c r="CN642" s="129">
        <f t="shared" si="2382"/>
        <v>3116</v>
      </c>
      <c r="CO642" s="129">
        <f t="shared" si="2382"/>
        <v>7173</v>
      </c>
      <c r="CP642" s="129">
        <f t="shared" si="2382"/>
        <v>4769</v>
      </c>
      <c r="CQ642" s="129">
        <f t="shared" si="2382"/>
        <v>5206</v>
      </c>
      <c r="CR642" s="129">
        <f t="shared" si="2382"/>
        <v>4435</v>
      </c>
      <c r="CS642" s="129">
        <f t="shared" si="2382"/>
        <v>3583</v>
      </c>
      <c r="CT642" s="129">
        <f t="shared" si="2382"/>
        <v>3867.3060883430976</v>
      </c>
      <c r="CU642" s="129">
        <f t="shared" si="2382"/>
        <v>4254.0366971774074</v>
      </c>
      <c r="CV642" s="129">
        <f t="shared" si="2382"/>
        <v>4466.7385320362782</v>
      </c>
      <c r="CW642" s="129">
        <f t="shared" si="2382"/>
        <v>4690.0754586380917</v>
      </c>
      <c r="CX642" s="129">
        <f t="shared" si="2382"/>
        <v>4924.5792315699964</v>
      </c>
      <c r="CY642" s="129">
        <f t="shared" si="2382"/>
        <v>5170.8081931484958</v>
      </c>
      <c r="CZ642" s="129">
        <f t="shared" si="2382"/>
        <v>5429.3486028059215</v>
      </c>
      <c r="DA642" s="129">
        <f t="shared" si="2382"/>
        <v>5700.816032946218</v>
      </c>
      <c r="DB642" s="129">
        <f t="shared" si="2382"/>
        <v>5985.8568345935291</v>
      </c>
      <c r="DC642" s="129">
        <f t="shared" si="2382"/>
        <v>6285.1496763232062</v>
      </c>
      <c r="DD642" s="129">
        <f t="shared" si="2382"/>
        <v>6599.4071601393671</v>
      </c>
      <c r="DE642" s="129">
        <f t="shared" si="2382"/>
        <v>6929.3775181463352</v>
      </c>
      <c r="DF642" s="129">
        <f t="shared" si="2382"/>
        <v>7275.8463940536521</v>
      </c>
      <c r="DG642" s="129">
        <f t="shared" si="2382"/>
        <v>7639.6387137563343</v>
      </c>
      <c r="DH642" s="129">
        <f t="shared" si="2382"/>
        <v>8021.6206494441521</v>
      </c>
      <c r="DI642" s="129">
        <f t="shared" si="2382"/>
        <v>8422.70168191636</v>
      </c>
      <c r="DJ642" s="129">
        <f t="shared" si="2382"/>
        <v>8843.8367660121785</v>
      </c>
      <c r="DK642" s="129">
        <f t="shared" si="2382"/>
        <v>9286.028604312789</v>
      </c>
      <c r="DL642" s="129">
        <f t="shared" si="2382"/>
        <v>9750.3300345284279</v>
      </c>
      <c r="DM642" s="129">
        <f t="shared" si="2382"/>
        <v>10237.84653625485</v>
      </c>
      <c r="DN642" s="129">
        <f t="shared" si="2382"/>
        <v>10749.738863067592</v>
      </c>
      <c r="DO642" s="129">
        <f t="shared" si="2382"/>
        <v>11287.225806220973</v>
      </c>
      <c r="DP642" s="129">
        <f t="shared" si="2382"/>
        <v>11851.587096532023</v>
      </c>
      <c r="DQ642" s="129">
        <f t="shared" si="2382"/>
        <v>12444.166451358624</v>
      </c>
      <c r="DR642" s="129">
        <f t="shared" ref="DR642:EC642" si="2383">DR610-DR630</f>
        <v>12755.270612642589</v>
      </c>
      <c r="DS642" s="129">
        <f t="shared" si="2383"/>
        <v>13074.152377958653</v>
      </c>
      <c r="DT642" s="129">
        <f t="shared" si="2383"/>
        <v>13401.006187407618</v>
      </c>
      <c r="DU642" s="129">
        <f t="shared" si="2383"/>
        <v>13736.031342092807</v>
      </c>
      <c r="DV642" s="129">
        <f t="shared" si="2383"/>
        <v>14079.432125645126</v>
      </c>
      <c r="DW642" s="129">
        <f t="shared" si="2383"/>
        <v>14431.417928786252</v>
      </c>
      <c r="DX642" s="129">
        <f t="shared" si="2383"/>
        <v>14792.203377005908</v>
      </c>
      <c r="DY642" s="129">
        <f t="shared" si="2383"/>
        <v>15162.008461431054</v>
      </c>
      <c r="DZ642" s="129">
        <f t="shared" si="2383"/>
        <v>15541.05867296683</v>
      </c>
      <c r="EA642" s="129">
        <f t="shared" si="2383"/>
        <v>15929.585139790997</v>
      </c>
      <c r="EB642" s="129">
        <f t="shared" si="2383"/>
        <v>16327.824768285769</v>
      </c>
      <c r="EC642" s="129">
        <f t="shared" si="2383"/>
        <v>16736.020387492914</v>
      </c>
      <c r="ED642" s="113" t="s">
        <v>1</v>
      </c>
    </row>
    <row r="643" spans="1:134" x14ac:dyDescent="0.2">
      <c r="A643" s="747" t="s">
        <v>222</v>
      </c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15"/>
      <c r="AU643" s="115"/>
      <c r="AV643" s="115"/>
      <c r="AW643" s="115"/>
      <c r="AX643" s="115"/>
      <c r="AY643" s="115"/>
      <c r="AZ643" s="115"/>
      <c r="BA643" s="115"/>
      <c r="BB643" s="115"/>
      <c r="BC643" s="115"/>
      <c r="BD643" s="115"/>
      <c r="BE643" s="115"/>
      <c r="BF643" s="115"/>
      <c r="BG643" s="115"/>
      <c r="BH643" s="115"/>
      <c r="BI643" s="115"/>
      <c r="BJ643" s="115"/>
      <c r="BK643" s="115"/>
      <c r="BL643" s="115"/>
      <c r="BM643" s="115"/>
      <c r="BN643" s="115"/>
      <c r="BO643" s="115"/>
      <c r="BP643" s="115"/>
      <c r="BQ643" s="115"/>
      <c r="BR643" s="115"/>
      <c r="BS643" s="115"/>
      <c r="BT643" s="115"/>
      <c r="BU643" s="115"/>
      <c r="BV643" s="115"/>
      <c r="BW643" s="115"/>
      <c r="BX643" s="115"/>
      <c r="BY643" s="129">
        <f>BY611-BY631</f>
        <v>535</v>
      </c>
      <c r="BZ643" s="129">
        <f t="shared" ref="BZ643:DQ643" si="2384">BZ611-BZ631</f>
        <v>479</v>
      </c>
      <c r="CA643" s="129">
        <f t="shared" si="2384"/>
        <v>633</v>
      </c>
      <c r="CB643" s="129">
        <f t="shared" si="2384"/>
        <v>493</v>
      </c>
      <c r="CC643" s="129">
        <f t="shared" si="2384"/>
        <v>725</v>
      </c>
      <c r="CD643" s="129">
        <f t="shared" si="2384"/>
        <v>1119</v>
      </c>
      <c r="CE643" s="129">
        <f t="shared" si="2384"/>
        <v>1021</v>
      </c>
      <c r="CF643" s="129">
        <f t="shared" si="2384"/>
        <v>1162</v>
      </c>
      <c r="CG643" s="129">
        <f t="shared" si="2384"/>
        <v>1243</v>
      </c>
      <c r="CH643" s="129">
        <f t="shared" si="2384"/>
        <v>1047</v>
      </c>
      <c r="CI643" s="129">
        <f t="shared" si="2384"/>
        <v>1424</v>
      </c>
      <c r="CJ643" s="129">
        <f t="shared" si="2384"/>
        <v>1752</v>
      </c>
      <c r="CK643" s="129">
        <f t="shared" si="2384"/>
        <v>1951</v>
      </c>
      <c r="CL643" s="129">
        <f t="shared" si="2384"/>
        <v>1986</v>
      </c>
      <c r="CM643" s="129">
        <f t="shared" si="2384"/>
        <v>2033</v>
      </c>
      <c r="CN643" s="129">
        <f t="shared" si="2384"/>
        <v>2044</v>
      </c>
      <c r="CO643" s="129">
        <f t="shared" si="2384"/>
        <v>2383</v>
      </c>
      <c r="CP643" s="129">
        <f t="shared" si="2384"/>
        <v>2972</v>
      </c>
      <c r="CQ643" s="129">
        <f t="shared" si="2384"/>
        <v>2788</v>
      </c>
      <c r="CR643" s="129">
        <f t="shared" si="2384"/>
        <v>2013</v>
      </c>
      <c r="CS643" s="129">
        <f t="shared" si="2384"/>
        <v>2141</v>
      </c>
      <c r="CT643" s="129">
        <f t="shared" si="2384"/>
        <v>3171.4562222624045</v>
      </c>
      <c r="CU643" s="129">
        <f t="shared" si="2384"/>
        <v>3488.6018444886449</v>
      </c>
      <c r="CV643" s="129">
        <f t="shared" si="2384"/>
        <v>3663.0319367130769</v>
      </c>
      <c r="CW643" s="129">
        <f t="shared" si="2384"/>
        <v>3846.1835335487312</v>
      </c>
      <c r="CX643" s="129">
        <f t="shared" si="2384"/>
        <v>4038.4927102261677</v>
      </c>
      <c r="CY643" s="129">
        <f t="shared" si="2384"/>
        <v>4240.4173457374764</v>
      </c>
      <c r="CZ643" s="129">
        <f t="shared" si="2384"/>
        <v>4452.4382130243503</v>
      </c>
      <c r="DA643" s="129">
        <f t="shared" si="2384"/>
        <v>4675.0601236755683</v>
      </c>
      <c r="DB643" s="129">
        <f t="shared" si="2384"/>
        <v>4908.8131298593471</v>
      </c>
      <c r="DC643" s="129">
        <f t="shared" si="2384"/>
        <v>5154.2537863523139</v>
      </c>
      <c r="DD643" s="129">
        <f t="shared" si="2384"/>
        <v>5411.9664756699303</v>
      </c>
      <c r="DE643" s="129">
        <f t="shared" si="2384"/>
        <v>5682.5647994534265</v>
      </c>
      <c r="DF643" s="129">
        <f t="shared" si="2384"/>
        <v>5966.693039426098</v>
      </c>
      <c r="DG643" s="129">
        <f t="shared" si="2384"/>
        <v>6265.027691397403</v>
      </c>
      <c r="DH643" s="129">
        <f t="shared" si="2384"/>
        <v>6578.2790759672735</v>
      </c>
      <c r="DI643" s="129">
        <f t="shared" si="2384"/>
        <v>6907.1930297656381</v>
      </c>
      <c r="DJ643" s="129">
        <f t="shared" si="2384"/>
        <v>7252.552681253921</v>
      </c>
      <c r="DK643" s="129">
        <f t="shared" si="2384"/>
        <v>7615.1803153166165</v>
      </c>
      <c r="DL643" s="129">
        <f t="shared" si="2384"/>
        <v>7995.939331082448</v>
      </c>
      <c r="DM643" s="129">
        <f t="shared" si="2384"/>
        <v>8395.7362976365712</v>
      </c>
      <c r="DN643" s="129">
        <f t="shared" si="2384"/>
        <v>8815.5231125184</v>
      </c>
      <c r="DO643" s="129">
        <f t="shared" si="2384"/>
        <v>9256.2992681443211</v>
      </c>
      <c r="DP643" s="129">
        <f t="shared" si="2384"/>
        <v>9719.1142315515372</v>
      </c>
      <c r="DQ643" s="129">
        <f t="shared" si="2384"/>
        <v>10205.069943129114</v>
      </c>
      <c r="DR643" s="129">
        <f t="shared" ref="DR643:EC643" si="2385">DR611-DR631</f>
        <v>10460.196691707342</v>
      </c>
      <c r="DS643" s="129">
        <f t="shared" si="2385"/>
        <v>10721.701609000023</v>
      </c>
      <c r="DT643" s="129">
        <f t="shared" si="2385"/>
        <v>10989.744149225024</v>
      </c>
      <c r="DU643" s="129">
        <f t="shared" si="2385"/>
        <v>11264.487752955647</v>
      </c>
      <c r="DV643" s="129">
        <f t="shared" si="2385"/>
        <v>11546.099946779537</v>
      </c>
      <c r="DW643" s="129">
        <f t="shared" si="2385"/>
        <v>11834.752445449025</v>
      </c>
      <c r="DX643" s="129">
        <f t="shared" si="2385"/>
        <v>12130.621256585249</v>
      </c>
      <c r="DY643" s="129">
        <f t="shared" si="2385"/>
        <v>12433.88678799988</v>
      </c>
      <c r="DZ643" s="129">
        <f t="shared" si="2385"/>
        <v>12744.733957699877</v>
      </c>
      <c r="EA643" s="129">
        <f t="shared" si="2385"/>
        <v>13063.352306642371</v>
      </c>
      <c r="EB643" s="129">
        <f t="shared" si="2385"/>
        <v>13389.936114308428</v>
      </c>
      <c r="EC643" s="129">
        <f t="shared" si="2385"/>
        <v>13724.684517166137</v>
      </c>
      <c r="ED643" s="113" t="s">
        <v>1</v>
      </c>
    </row>
    <row r="644" spans="1:134" x14ac:dyDescent="0.2">
      <c r="A644" s="730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15"/>
      <c r="AU644" s="115"/>
      <c r="AV644" s="115"/>
      <c r="AW644" s="115"/>
      <c r="AX644" s="115"/>
      <c r="AY644" s="115"/>
      <c r="AZ644" s="115"/>
      <c r="BA644" s="115"/>
      <c r="BB644" s="115"/>
      <c r="BC644" s="115"/>
      <c r="BD644" s="115"/>
      <c r="BE644" s="115"/>
      <c r="BF644" s="115"/>
      <c r="BG644" s="115"/>
      <c r="BH644" s="115"/>
      <c r="BI644" s="115"/>
      <c r="BJ644" s="115"/>
      <c r="BK644" s="115"/>
      <c r="BL644" s="115"/>
      <c r="BM644" s="115"/>
      <c r="BN644" s="115"/>
      <c r="BO644" s="115"/>
      <c r="BP644" s="115"/>
      <c r="BQ644" s="115"/>
      <c r="BR644" s="115"/>
      <c r="BS644" s="115"/>
      <c r="BT644" s="115"/>
      <c r="BU644" s="115"/>
      <c r="BV644" s="115"/>
      <c r="BW644" s="115"/>
      <c r="BX644" s="115"/>
      <c r="BY644" s="115"/>
      <c r="BZ644" s="115"/>
      <c r="CA644" s="115"/>
      <c r="CB644" s="115"/>
      <c r="CC644" s="115"/>
      <c r="CD644" s="115"/>
      <c r="CE644" s="115"/>
      <c r="CF644" s="115"/>
      <c r="CG644" s="115"/>
      <c r="CH644" s="115"/>
      <c r="CI644" s="115"/>
      <c r="CJ644" s="115"/>
      <c r="CK644" s="115"/>
      <c r="CL644" s="115"/>
      <c r="CM644" s="115"/>
      <c r="CN644" s="115"/>
      <c r="CO644" s="115"/>
      <c r="CP644" s="115"/>
      <c r="CQ644" s="115"/>
      <c r="CR644" s="115"/>
      <c r="CS644" s="115"/>
      <c r="CT644" s="115"/>
      <c r="CU644" s="115"/>
      <c r="CV644" s="115"/>
      <c r="CW644" s="115"/>
      <c r="CX644" s="115"/>
      <c r="CY644" s="115"/>
      <c r="CZ644" s="115"/>
      <c r="DA644" s="115"/>
      <c r="DB644" s="115"/>
      <c r="DC644" s="115"/>
      <c r="DD644" s="115"/>
      <c r="DE644" s="115"/>
      <c r="DF644" s="115"/>
      <c r="DG644" s="115"/>
      <c r="DH644" s="115"/>
      <c r="DI644" s="115"/>
      <c r="DJ644" s="115"/>
      <c r="DK644" s="115"/>
      <c r="DL644" s="115"/>
      <c r="DM644" s="115"/>
      <c r="DN644" s="115"/>
      <c r="DO644" s="115"/>
      <c r="DP644" s="115"/>
      <c r="DQ644" s="115"/>
      <c r="DR644" s="115"/>
      <c r="DS644" s="115"/>
      <c r="DT644" s="115"/>
      <c r="DU644" s="115"/>
      <c r="DV644" s="115"/>
      <c r="DW644" s="115"/>
      <c r="DX644" s="115"/>
      <c r="DY644" s="115"/>
      <c r="DZ644" s="115"/>
      <c r="EA644" s="115"/>
      <c r="EB644" s="115"/>
      <c r="EC644" s="645"/>
      <c r="ED644" s="113" t="s">
        <v>1</v>
      </c>
    </row>
    <row r="645" spans="1:134" x14ac:dyDescent="0.2">
      <c r="A645" s="746" t="s">
        <v>11</v>
      </c>
      <c r="B645" s="746"/>
      <c r="C645" s="746"/>
      <c r="D645" s="746"/>
      <c r="E645" s="746"/>
      <c r="F645" s="746"/>
      <c r="G645" s="746"/>
      <c r="H645" s="746"/>
      <c r="I645" s="746"/>
      <c r="J645" s="746"/>
      <c r="K645" s="746"/>
      <c r="L645" s="746"/>
      <c r="M645" s="746"/>
      <c r="N645" s="746"/>
      <c r="O645" s="746"/>
      <c r="P645" s="746"/>
      <c r="Q645" s="746"/>
      <c r="R645" s="746"/>
      <c r="S645" s="746"/>
      <c r="T645" s="746"/>
      <c r="U645" s="746"/>
      <c r="V645" s="746"/>
      <c r="W645" s="746"/>
      <c r="X645" s="746"/>
      <c r="Y645" s="746"/>
      <c r="Z645" s="746"/>
      <c r="AA645" s="746"/>
      <c r="AB645" s="746"/>
      <c r="AC645" s="746"/>
      <c r="AD645" s="746"/>
      <c r="AE645" s="746"/>
      <c r="AF645" s="746"/>
      <c r="AG645" s="746"/>
      <c r="AH645" s="746"/>
      <c r="AI645" s="746"/>
      <c r="AJ645" s="746"/>
      <c r="AK645" s="746"/>
      <c r="AL645" s="746"/>
      <c r="AM645" s="746"/>
      <c r="AN645" s="746"/>
      <c r="AO645" s="746"/>
      <c r="AP645" s="746"/>
      <c r="AQ645" s="746"/>
      <c r="AR645" s="746"/>
      <c r="AS645" s="746"/>
      <c r="AT645" s="746"/>
      <c r="AU645" s="746"/>
      <c r="AV645" s="746"/>
      <c r="AW645" s="746"/>
      <c r="AX645" s="746"/>
      <c r="AY645" s="746"/>
      <c r="AZ645" s="746"/>
      <c r="BA645" s="746"/>
      <c r="BB645" s="746"/>
      <c r="BC645" s="746"/>
      <c r="BD645" s="746"/>
      <c r="BE645" s="746"/>
      <c r="BF645" s="746"/>
      <c r="BG645" s="746"/>
      <c r="BH645" s="746"/>
      <c r="BI645" s="746"/>
      <c r="BJ645" s="746"/>
      <c r="BK645" s="746"/>
      <c r="BL645" s="746"/>
      <c r="BM645" s="746"/>
      <c r="BN645" s="746"/>
      <c r="BO645" s="746"/>
      <c r="BP645" s="746"/>
      <c r="BQ645" s="746"/>
      <c r="BR645" s="746"/>
      <c r="BS645" s="746"/>
      <c r="BT645" s="746"/>
      <c r="BU645" s="746"/>
      <c r="BV645" s="746"/>
      <c r="BW645" s="746"/>
      <c r="BX645" s="746"/>
      <c r="BY645" s="729">
        <f>SUM(BY646:BY647)</f>
        <v>1010108.5618146998</v>
      </c>
      <c r="BZ645" s="729">
        <f t="shared" ref="BZ645" si="2386">SUM(BZ646:BZ647)</f>
        <v>1028268.8321289414</v>
      </c>
      <c r="CA645" s="729">
        <f t="shared" ref="CA645" si="2387">SUM(CA646:CA647)</f>
        <v>1551133.8084666131</v>
      </c>
      <c r="CB645" s="729">
        <f t="shared" ref="CB645" si="2388">SUM(CB646:CB647)</f>
        <v>1214887.6808935583</v>
      </c>
      <c r="CC645" s="729">
        <f t="shared" ref="CC645" si="2389">SUM(CC646:CC647)</f>
        <v>3078562.7577933213</v>
      </c>
      <c r="CD645" s="729">
        <f t="shared" ref="CD645" si="2390">SUM(CD646:CD647)</f>
        <v>2015748.3613780031</v>
      </c>
      <c r="CE645" s="729">
        <f t="shared" ref="CE645" si="2391">SUM(CE646:CE647)</f>
        <v>3157125.292563003</v>
      </c>
      <c r="CF645" s="729">
        <f t="shared" ref="CF645" si="2392">SUM(CF646:CF647)</f>
        <v>3590241.6049287524</v>
      </c>
      <c r="CG645" s="729">
        <f t="shared" ref="CG645" si="2393">SUM(CG646:CG647)</f>
        <v>2545376.3187090019</v>
      </c>
      <c r="CH645" s="729">
        <f t="shared" ref="CH645" si="2394">SUM(CH646:CH647)</f>
        <v>2970753.9414439993</v>
      </c>
      <c r="CI645" s="729">
        <f t="shared" ref="CI645" si="2395">SUM(CI646:CI647)</f>
        <v>6904229.3068523416</v>
      </c>
      <c r="CJ645" s="729">
        <f t="shared" ref="CJ645" si="2396">SUM(CJ646:CJ647)</f>
        <v>9034349.3831409905</v>
      </c>
      <c r="CK645" s="729">
        <f t="shared" ref="CK645" si="2397">SUM(CK646:CK647)</f>
        <v>5662017.2699999986</v>
      </c>
      <c r="CL645" s="729">
        <f t="shared" ref="CL645" si="2398">SUM(CL646:CL647)</f>
        <v>5944289.9000000004</v>
      </c>
      <c r="CM645" s="729">
        <f t="shared" ref="CM645" si="2399">SUM(CM646:CM647)</f>
        <v>7569568.0199999996</v>
      </c>
      <c r="CN645" s="729">
        <f t="shared" ref="CN645" si="2400">SUM(CN646:CN647)</f>
        <v>6221501.7199999969</v>
      </c>
      <c r="CO645" s="729">
        <f t="shared" ref="CO645" si="2401">SUM(CO646:CO647)</f>
        <v>7635388.709999999</v>
      </c>
      <c r="CP645" s="729">
        <f t="shared" ref="CP645" si="2402">SUM(CP646:CP647)</f>
        <v>9322183.7899999935</v>
      </c>
      <c r="CQ645" s="729">
        <f t="shared" ref="CQ645" si="2403">SUM(CQ646:CQ647)</f>
        <v>8961683.5299999975</v>
      </c>
      <c r="CR645" s="729">
        <f t="shared" ref="CR645" si="2404">SUM(CR646:CR647)</f>
        <v>7515438.4299999997</v>
      </c>
      <c r="CS645" s="729">
        <f t="shared" ref="CS645" si="2405">SUM(CS646:CS647)</f>
        <v>7168194.6500000004</v>
      </c>
      <c r="CT645" s="729">
        <f t="shared" ref="CT645" si="2406">SUM(CT646:CT647)</f>
        <v>9182042.4905619454</v>
      </c>
      <c r="CU645" s="729">
        <f t="shared" ref="CU645" si="2407">SUM(CU646:CU647)</f>
        <v>10100246.739618139</v>
      </c>
      <c r="CV645" s="729">
        <f t="shared" ref="CV645" si="2408">SUM(CV646:CV647)</f>
        <v>10605259.076599047</v>
      </c>
      <c r="CW645" s="729">
        <f t="shared" ref="CW645" si="2409">SUM(CW646:CW647)</f>
        <v>11135522.030429</v>
      </c>
      <c r="CX645" s="729">
        <f t="shared" ref="CX645" si="2410">SUM(CX646:CX647)</f>
        <v>11692298.131950449</v>
      </c>
      <c r="CY645" s="729">
        <f t="shared" ref="CY645" si="2411">SUM(CY646:CY647)</f>
        <v>12276913.038547972</v>
      </c>
      <c r="CZ645" s="729">
        <f t="shared" ref="CZ645" si="2412">SUM(CZ646:CZ647)</f>
        <v>12890758.690475371</v>
      </c>
      <c r="DA645" s="729">
        <f t="shared" ref="DA645" si="2413">SUM(DA646:DA647)</f>
        <v>13535296.624999143</v>
      </c>
      <c r="DB645" s="729">
        <f t="shared" ref="DB645" si="2414">SUM(DB646:DB647)</f>
        <v>14212061.456249099</v>
      </c>
      <c r="DC645" s="729">
        <f t="shared" ref="DC645" si="2415">SUM(DC646:DC647)</f>
        <v>14922664.529061554</v>
      </c>
      <c r="DD645" s="729">
        <f t="shared" ref="DD645" si="2416">SUM(DD646:DD647)</f>
        <v>15668797.755514633</v>
      </c>
      <c r="DE645" s="729">
        <f t="shared" ref="DE645" si="2417">SUM(DE646:DE647)</f>
        <v>16452237.643290363</v>
      </c>
      <c r="DF645" s="729">
        <f t="shared" ref="DF645" si="2418">SUM(DF646:DF647)</f>
        <v>18138592.001727629</v>
      </c>
      <c r="DG645" s="729">
        <f t="shared" ref="DG645" si="2419">SUM(DG646:DG647)</f>
        <v>19045521.601814013</v>
      </c>
      <c r="DH645" s="729">
        <f t="shared" ref="DH645" si="2420">SUM(DH646:DH647)</f>
        <v>19997797.681904715</v>
      </c>
      <c r="DI645" s="729">
        <f t="shared" ref="DI645" si="2421">SUM(DI646:DI647)</f>
        <v>20997687.565999955</v>
      </c>
      <c r="DJ645" s="729">
        <f t="shared" ref="DJ645" si="2422">SUM(DJ646:DJ647)</f>
        <v>22047571.944299951</v>
      </c>
      <c r="DK645" s="729">
        <f t="shared" ref="DK645" si="2423">SUM(DK646:DK647)</f>
        <v>23149950.541514952</v>
      </c>
      <c r="DL645" s="729">
        <f t="shared" ref="DL645" si="2424">SUM(DL646:DL647)</f>
        <v>24307448.068590701</v>
      </c>
      <c r="DM645" s="729">
        <f t="shared" ref="DM645" si="2425">SUM(DM646:DM647)</f>
        <v>25522820.472020235</v>
      </c>
      <c r="DN645" s="729">
        <f t="shared" ref="DN645" si="2426">SUM(DN646:DN647)</f>
        <v>26798961.495621249</v>
      </c>
      <c r="DO645" s="729">
        <f t="shared" ref="DO645" si="2427">SUM(DO646:DO647)</f>
        <v>28138909.570402317</v>
      </c>
      <c r="DP645" s="729">
        <f t="shared" ref="DP645" si="2428">SUM(DP646:DP647)</f>
        <v>29545855.048922431</v>
      </c>
      <c r="DQ645" s="729">
        <f t="shared" ref="DQ645:EC645" si="2429">SUM(DQ646:DQ647)</f>
        <v>31023147.801368553</v>
      </c>
      <c r="DR645" s="729">
        <f t="shared" si="2429"/>
        <v>31798726.496402763</v>
      </c>
      <c r="DS645" s="729">
        <f t="shared" si="2429"/>
        <v>32593694.658812836</v>
      </c>
      <c r="DT645" s="729">
        <f t="shared" si="2429"/>
        <v>33408537.025283143</v>
      </c>
      <c r="DU645" s="729">
        <f t="shared" si="2429"/>
        <v>34243750.450915225</v>
      </c>
      <c r="DV645" s="729">
        <f t="shared" si="2429"/>
        <v>35099844.212188102</v>
      </c>
      <c r="DW645" s="729">
        <f t="shared" si="2429"/>
        <v>35977340.317492798</v>
      </c>
      <c r="DX645" s="729">
        <f t="shared" si="2429"/>
        <v>36876773.825430118</v>
      </c>
      <c r="DY645" s="729">
        <f t="shared" si="2429"/>
        <v>37798693.171065874</v>
      </c>
      <c r="DZ645" s="729">
        <f t="shared" si="2429"/>
        <v>38743660.500342511</v>
      </c>
      <c r="EA645" s="729">
        <f t="shared" si="2429"/>
        <v>39712252.012851074</v>
      </c>
      <c r="EB645" s="729">
        <f t="shared" si="2429"/>
        <v>40705058.31317234</v>
      </c>
      <c r="EC645" s="729">
        <f t="shared" si="2429"/>
        <v>41722684.771001644</v>
      </c>
      <c r="ED645" s="113" t="s">
        <v>1</v>
      </c>
    </row>
    <row r="646" spans="1:134" x14ac:dyDescent="0.2">
      <c r="A646" s="730" t="s">
        <v>221</v>
      </c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15"/>
      <c r="AU646" s="115"/>
      <c r="AV646" s="115"/>
      <c r="AW646" s="115"/>
      <c r="AX646" s="115"/>
      <c r="AY646" s="115"/>
      <c r="AZ646" s="115"/>
      <c r="BA646" s="115"/>
      <c r="BB646" s="115"/>
      <c r="BC646" s="115"/>
      <c r="BD646" s="115"/>
      <c r="BE646" s="115"/>
      <c r="BF646" s="115"/>
      <c r="BG646" s="115"/>
      <c r="BH646" s="115"/>
      <c r="BI646" s="115"/>
      <c r="BJ646" s="115"/>
      <c r="BK646" s="115"/>
      <c r="BL646" s="115"/>
      <c r="BM646" s="115"/>
      <c r="BN646" s="115"/>
      <c r="BO646" s="115"/>
      <c r="BP646" s="115"/>
      <c r="BQ646" s="115"/>
      <c r="BR646" s="115"/>
      <c r="BS646" s="115"/>
      <c r="BT646" s="115"/>
      <c r="BU646" s="115"/>
      <c r="BV646" s="115"/>
      <c r="BW646" s="115"/>
      <c r="BX646" s="115"/>
      <c r="BY646" s="129">
        <v>160694.90181469917</v>
      </c>
      <c r="BZ646" s="129">
        <v>177917.22212894124</v>
      </c>
      <c r="CA646" s="129">
        <v>325570.89846661314</v>
      </c>
      <c r="CB646" s="129">
        <v>213983.1502325582</v>
      </c>
      <c r="CC646" s="129">
        <v>1685211.1597233212</v>
      </c>
      <c r="CD646" s="129">
        <v>158112.87000000014</v>
      </c>
      <c r="CE646" s="129">
        <v>1046298.0299999998</v>
      </c>
      <c r="CF646" s="129">
        <v>1908864.6835547546</v>
      </c>
      <c r="CG646" s="129">
        <v>751612.3</v>
      </c>
      <c r="CH646" s="129">
        <v>1104251.2899999998</v>
      </c>
      <c r="CI646" s="129">
        <v>3905742.9960773368</v>
      </c>
      <c r="CJ646" s="129">
        <v>5695242.9371109894</v>
      </c>
      <c r="CK646" s="129">
        <v>1306842.5</v>
      </c>
      <c r="CL646" s="129">
        <v>1403654.84</v>
      </c>
      <c r="CM646" s="129">
        <v>3489925.57</v>
      </c>
      <c r="CN646" s="129">
        <v>2561008.84</v>
      </c>
      <c r="CO646" s="129">
        <v>3622852.99</v>
      </c>
      <c r="CP646" s="129">
        <v>4284204.92</v>
      </c>
      <c r="CQ646" s="129">
        <v>4198259.1500000004</v>
      </c>
      <c r="CR646" s="129">
        <v>4127549.22</v>
      </c>
      <c r="CS646" s="129">
        <v>3174777.5799999996</v>
      </c>
      <c r="CT646" s="129">
        <f>CS646/CS637*CT637</f>
        <v>4066706.3411347824</v>
      </c>
      <c r="CU646" s="129">
        <f t="shared" ref="CU646:DQ646" si="2430">CT646/CT637*CU637</f>
        <v>4473376.9752482604</v>
      </c>
      <c r="CV646" s="129">
        <f t="shared" si="2430"/>
        <v>4697045.8240106739</v>
      </c>
      <c r="CW646" s="129">
        <f t="shared" si="2430"/>
        <v>4931898.1152112084</v>
      </c>
      <c r="CX646" s="129">
        <f t="shared" si="2430"/>
        <v>5178493.0209717685</v>
      </c>
      <c r="CY646" s="129">
        <f t="shared" si="2430"/>
        <v>5437417.6720203571</v>
      </c>
      <c r="CZ646" s="129">
        <f t="shared" si="2430"/>
        <v>5709288.5556213753</v>
      </c>
      <c r="DA646" s="129">
        <f t="shared" si="2430"/>
        <v>5994752.983402445</v>
      </c>
      <c r="DB646" s="129">
        <f t="shared" si="2430"/>
        <v>6294490.6325725671</v>
      </c>
      <c r="DC646" s="129">
        <f t="shared" si="2430"/>
        <v>6609215.1642011954</v>
      </c>
      <c r="DD646" s="129">
        <f t="shared" si="2430"/>
        <v>6939675.9224112555</v>
      </c>
      <c r="DE646" s="129">
        <f t="shared" si="2430"/>
        <v>7286659.7185318181</v>
      </c>
      <c r="DF646" s="129">
        <f t="shared" si="2430"/>
        <v>8033542.3396813311</v>
      </c>
      <c r="DG646" s="129">
        <f t="shared" si="2430"/>
        <v>8435219.4566653986</v>
      </c>
      <c r="DH646" s="129">
        <f t="shared" si="2430"/>
        <v>8856980.4294986688</v>
      </c>
      <c r="DI646" s="129">
        <f t="shared" si="2430"/>
        <v>9299829.4509736039</v>
      </c>
      <c r="DJ646" s="129">
        <f t="shared" si="2430"/>
        <v>9764820.9235222861</v>
      </c>
      <c r="DK646" s="129">
        <f t="shared" si="2430"/>
        <v>10253061.969698401</v>
      </c>
      <c r="DL646" s="129">
        <f t="shared" si="2430"/>
        <v>10765715.068183322</v>
      </c>
      <c r="DM646" s="129">
        <f t="shared" si="2430"/>
        <v>11304000.821592487</v>
      </c>
      <c r="DN646" s="129">
        <f t="shared" si="2430"/>
        <v>11869200.862672113</v>
      </c>
      <c r="DO646" s="129">
        <f t="shared" si="2430"/>
        <v>12462660.90580572</v>
      </c>
      <c r="DP646" s="129">
        <f t="shared" si="2430"/>
        <v>13085793.951096006</v>
      </c>
      <c r="DQ646" s="129">
        <f t="shared" si="2430"/>
        <v>13740083.648650806</v>
      </c>
      <c r="DR646" s="129">
        <f t="shared" ref="DR646" si="2431">DQ646/DQ637*DR637</f>
        <v>14083585.739867074</v>
      </c>
      <c r="DS646" s="129">
        <f t="shared" ref="DS646" si="2432">DR646/DR637*DS637</f>
        <v>14435675.383363755</v>
      </c>
      <c r="DT646" s="129">
        <f t="shared" ref="DT646" si="2433">DS646/DS637*DT637</f>
        <v>14796567.267947843</v>
      </c>
      <c r="DU646" s="129">
        <f t="shared" ref="DU646" si="2434">DT646/DT637*DU637</f>
        <v>15166481.449646538</v>
      </c>
      <c r="DV646" s="129">
        <f t="shared" ref="DV646" si="2435">DU646/DU637*DV637</f>
        <v>15545643.485887701</v>
      </c>
      <c r="DW646" s="129">
        <f t="shared" ref="DW646" si="2436">DV646/DV637*DW637</f>
        <v>15934284.573034892</v>
      </c>
      <c r="DX646" s="129">
        <f t="shared" ref="DX646" si="2437">DW646/DW637*DX637</f>
        <v>16332641.687360764</v>
      </c>
      <c r="DY646" s="129">
        <f t="shared" ref="DY646" si="2438">DX646/DX637*DY637</f>
        <v>16740957.729544783</v>
      </c>
      <c r="DZ646" s="129">
        <f t="shared" ref="DZ646" si="2439">DY646/DY637*DZ637</f>
        <v>17159481.672783397</v>
      </c>
      <c r="EA646" s="129">
        <f t="shared" ref="EA646" si="2440">DZ646/DZ637*EA637</f>
        <v>17588468.714602984</v>
      </c>
      <c r="EB646" s="129">
        <f t="shared" ref="EB646" si="2441">EA646/EA637*EB637</f>
        <v>18028180.432468053</v>
      </c>
      <c r="EC646" s="129">
        <f t="shared" ref="EC646" si="2442">EB646/EB637*EC637</f>
        <v>18478884.943279754</v>
      </c>
      <c r="ED646" s="113" t="s">
        <v>1</v>
      </c>
    </row>
    <row r="647" spans="1:134" x14ac:dyDescent="0.2">
      <c r="A647" s="730" t="s">
        <v>222</v>
      </c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15"/>
      <c r="AU647" s="115"/>
      <c r="AV647" s="115"/>
      <c r="AW647" s="115"/>
      <c r="AX647" s="115"/>
      <c r="AY647" s="115"/>
      <c r="AZ647" s="115"/>
      <c r="BA647" s="115"/>
      <c r="BB647" s="115"/>
      <c r="BC647" s="115"/>
      <c r="BD647" s="115"/>
      <c r="BE647" s="115"/>
      <c r="BF647" s="115"/>
      <c r="BG647" s="115"/>
      <c r="BH647" s="115"/>
      <c r="BI647" s="115"/>
      <c r="BJ647" s="115"/>
      <c r="BK647" s="115"/>
      <c r="BL647" s="115"/>
      <c r="BM647" s="115"/>
      <c r="BN647" s="115"/>
      <c r="BO647" s="115"/>
      <c r="BP647" s="115"/>
      <c r="BQ647" s="115"/>
      <c r="BR647" s="115"/>
      <c r="BS647" s="115"/>
      <c r="BT647" s="115"/>
      <c r="BU647" s="115"/>
      <c r="BV647" s="115"/>
      <c r="BW647" s="115"/>
      <c r="BX647" s="115"/>
      <c r="BY647" s="129">
        <v>849413.66000000061</v>
      </c>
      <c r="BZ647" s="129">
        <v>850351.61000000022</v>
      </c>
      <c r="CA647" s="129">
        <v>1225562.9099999999</v>
      </c>
      <c r="CB647" s="129">
        <v>1000904.5306610001</v>
      </c>
      <c r="CC647" s="129">
        <v>1393351.5980700003</v>
      </c>
      <c r="CD647" s="129">
        <v>1857635.491378003</v>
      </c>
      <c r="CE647" s="129">
        <v>2110827.2625630032</v>
      </c>
      <c r="CF647" s="129">
        <v>1681376.921373998</v>
      </c>
      <c r="CG647" s="129">
        <v>1793764.0187090018</v>
      </c>
      <c r="CH647" s="129">
        <v>1866502.6514439993</v>
      </c>
      <c r="CI647" s="129">
        <v>2998486.3107750048</v>
      </c>
      <c r="CJ647" s="129">
        <v>3339106.4460300016</v>
      </c>
      <c r="CK647" s="129">
        <v>4355174.7699999986</v>
      </c>
      <c r="CL647" s="129">
        <v>4540635.0600000005</v>
      </c>
      <c r="CM647" s="129">
        <v>4079642.4499999997</v>
      </c>
      <c r="CN647" s="129">
        <v>3660492.8799999971</v>
      </c>
      <c r="CO647" s="129">
        <v>4012535.7199999983</v>
      </c>
      <c r="CP647" s="129">
        <v>5037978.8699999936</v>
      </c>
      <c r="CQ647" s="129">
        <v>4763424.3799999971</v>
      </c>
      <c r="CR647" s="129">
        <v>3387889.2099999995</v>
      </c>
      <c r="CS647" s="129">
        <v>3993417.0700000003</v>
      </c>
      <c r="CT647" s="129">
        <f>CS647/CS637*CT637</f>
        <v>5115336.1494271625</v>
      </c>
      <c r="CU647" s="129">
        <f t="shared" ref="CU647:DQ647" si="2443">CT647/CT637*CU637</f>
        <v>5626869.7643698789</v>
      </c>
      <c r="CV647" s="129">
        <f t="shared" si="2443"/>
        <v>5908213.2525883717</v>
      </c>
      <c r="CW647" s="129">
        <f t="shared" si="2443"/>
        <v>6203623.9152177917</v>
      </c>
      <c r="CX647" s="129">
        <f t="shared" si="2443"/>
        <v>6513805.1109786807</v>
      </c>
      <c r="CY647" s="129">
        <f t="shared" si="2443"/>
        <v>6839495.3665276151</v>
      </c>
      <c r="CZ647" s="129">
        <f t="shared" si="2443"/>
        <v>7181470.1348539963</v>
      </c>
      <c r="DA647" s="129">
        <f t="shared" si="2443"/>
        <v>7540543.6415966973</v>
      </c>
      <c r="DB647" s="129">
        <f t="shared" si="2443"/>
        <v>7917570.8236765321</v>
      </c>
      <c r="DC647" s="129">
        <f t="shared" si="2443"/>
        <v>8313449.3648603586</v>
      </c>
      <c r="DD647" s="129">
        <f t="shared" si="2443"/>
        <v>8729121.8331033774</v>
      </c>
      <c r="DE647" s="129">
        <f t="shared" si="2443"/>
        <v>9165577.9247585442</v>
      </c>
      <c r="DF647" s="129">
        <f t="shared" si="2443"/>
        <v>10105049.662046298</v>
      </c>
      <c r="DG647" s="129">
        <f t="shared" si="2443"/>
        <v>10610302.145148614</v>
      </c>
      <c r="DH647" s="129">
        <f t="shared" si="2443"/>
        <v>11140817.252406046</v>
      </c>
      <c r="DI647" s="129">
        <f t="shared" si="2443"/>
        <v>11697858.115026349</v>
      </c>
      <c r="DJ647" s="129">
        <f t="shared" si="2443"/>
        <v>12282751.020777667</v>
      </c>
      <c r="DK647" s="129">
        <f t="shared" si="2443"/>
        <v>12896888.571816551</v>
      </c>
      <c r="DL647" s="129">
        <f t="shared" si="2443"/>
        <v>13541733.000407379</v>
      </c>
      <c r="DM647" s="129">
        <f t="shared" si="2443"/>
        <v>14218819.650427748</v>
      </c>
      <c r="DN647" s="129">
        <f t="shared" si="2443"/>
        <v>14929760.632949136</v>
      </c>
      <c r="DO647" s="129">
        <f t="shared" si="2443"/>
        <v>15676248.664596595</v>
      </c>
      <c r="DP647" s="129">
        <f t="shared" si="2443"/>
        <v>16460061.097826425</v>
      </c>
      <c r="DQ647" s="129">
        <f t="shared" si="2443"/>
        <v>17283064.152717747</v>
      </c>
      <c r="DR647" s="129">
        <f t="shared" ref="DR647" si="2444">DQ647/DQ637*DR637</f>
        <v>17715140.756535687</v>
      </c>
      <c r="DS647" s="129">
        <f t="shared" ref="DS647" si="2445">DR647/DR637*DS637</f>
        <v>18158019.275449082</v>
      </c>
      <c r="DT647" s="129">
        <f t="shared" ref="DT647" si="2446">DS647/DS637*DT637</f>
        <v>18611969.757335301</v>
      </c>
      <c r="DU647" s="129">
        <f t="shared" ref="DU647" si="2447">DT647/DT637*DU637</f>
        <v>19077269.001268685</v>
      </c>
      <c r="DV647" s="129">
        <f t="shared" ref="DV647" si="2448">DU647/DU637*DV637</f>
        <v>19554200.7263004</v>
      </c>
      <c r="DW647" s="129">
        <f t="shared" ref="DW647" si="2449">DV647/DV637*DW637</f>
        <v>20043055.744457908</v>
      </c>
      <c r="DX647" s="129">
        <f t="shared" ref="DX647" si="2450">DW647/DW637*DX637</f>
        <v>20544132.138069354</v>
      </c>
      <c r="DY647" s="129">
        <f t="shared" ref="DY647" si="2451">DX647/DX637*DY637</f>
        <v>21057735.44152109</v>
      </c>
      <c r="DZ647" s="129">
        <f t="shared" ref="DZ647" si="2452">DY647/DY637*DZ637</f>
        <v>21584178.827559114</v>
      </c>
      <c r="EA647" s="129">
        <f t="shared" ref="EA647" si="2453">DZ647/DZ637*EA637</f>
        <v>22123783.29824809</v>
      </c>
      <c r="EB647" s="129">
        <f t="shared" ref="EB647" si="2454">EA647/EA637*EB637</f>
        <v>22676877.880704284</v>
      </c>
      <c r="EC647" s="129">
        <f t="shared" ref="EC647" si="2455">EB647/EB637*EC637</f>
        <v>23243799.82772189</v>
      </c>
      <c r="ED647" s="113" t="s">
        <v>1</v>
      </c>
    </row>
    <row r="648" spans="1:134" x14ac:dyDescent="0.2">
      <c r="A648" s="730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15"/>
      <c r="AU648" s="115"/>
      <c r="AV648" s="115"/>
      <c r="AW648" s="115"/>
      <c r="AX648" s="115"/>
      <c r="AY648" s="115"/>
      <c r="AZ648" s="115"/>
      <c r="BA648" s="115"/>
      <c r="BB648" s="115"/>
      <c r="BC648" s="115"/>
      <c r="BD648" s="115"/>
      <c r="BE648" s="115"/>
      <c r="BF648" s="115"/>
      <c r="BG648" s="115"/>
      <c r="BH648" s="115"/>
      <c r="BI648" s="115"/>
      <c r="BJ648" s="115"/>
      <c r="BK648" s="115"/>
      <c r="BL648" s="115"/>
      <c r="BM648" s="115"/>
      <c r="BN648" s="115"/>
      <c r="BO648" s="115"/>
      <c r="BP648" s="115"/>
      <c r="BQ648" s="115"/>
      <c r="BR648" s="115"/>
      <c r="BS648" s="115"/>
      <c r="BT648" s="115"/>
      <c r="BU648" s="115"/>
      <c r="BV648" s="115"/>
      <c r="BW648" s="115"/>
      <c r="BX648" s="115"/>
      <c r="BY648" s="115"/>
      <c r="BZ648" s="115"/>
      <c r="CA648" s="115"/>
      <c r="CB648" s="115"/>
      <c r="CC648" s="115"/>
      <c r="CD648" s="115"/>
      <c r="CE648" s="115"/>
      <c r="CF648" s="115"/>
      <c r="CG648" s="115"/>
      <c r="CH648" s="115"/>
      <c r="CI648" s="115"/>
      <c r="CJ648" s="115"/>
      <c r="CK648" s="115"/>
      <c r="CL648" s="115"/>
      <c r="CM648" s="115"/>
      <c r="CN648" s="115"/>
      <c r="CO648" s="115"/>
      <c r="CP648" s="115"/>
      <c r="CQ648" s="115"/>
      <c r="CR648" s="115"/>
      <c r="CS648" s="115"/>
      <c r="CT648" s="115"/>
      <c r="CU648" s="115"/>
      <c r="CV648" s="115"/>
      <c r="CW648" s="115"/>
      <c r="CX648" s="115"/>
      <c r="CY648" s="115"/>
      <c r="CZ648" s="115"/>
      <c r="DA648" s="115"/>
      <c r="DB648" s="115"/>
      <c r="DC648" s="115"/>
      <c r="DD648" s="115"/>
      <c r="DE648" s="115"/>
      <c r="DF648" s="115"/>
      <c r="DG648" s="115"/>
      <c r="DH648" s="115"/>
      <c r="DI648" s="115"/>
      <c r="DJ648" s="115"/>
      <c r="DK648" s="115"/>
      <c r="DL648" s="115"/>
      <c r="DM648" s="115"/>
      <c r="DN648" s="115"/>
      <c r="DO648" s="115"/>
      <c r="DP648" s="115"/>
      <c r="DQ648" s="115"/>
      <c r="DR648" s="115"/>
      <c r="DS648" s="115"/>
      <c r="DT648" s="115"/>
      <c r="DU648" s="115"/>
      <c r="DV648" s="115"/>
      <c r="DW648" s="115"/>
      <c r="DX648" s="115"/>
      <c r="DY648" s="115"/>
      <c r="DZ648" s="115"/>
      <c r="EA648" s="115"/>
      <c r="EB648" s="115"/>
      <c r="EC648" s="115"/>
      <c r="ED648" s="113" t="s">
        <v>1</v>
      </c>
    </row>
    <row r="649" spans="1:134" x14ac:dyDescent="0.2">
      <c r="A649" s="746" t="s">
        <v>13</v>
      </c>
      <c r="B649" s="746"/>
      <c r="C649" s="746"/>
      <c r="D649" s="746"/>
      <c r="E649" s="746"/>
      <c r="F649" s="746"/>
      <c r="G649" s="746"/>
      <c r="H649" s="746"/>
      <c r="I649" s="746"/>
      <c r="J649" s="746"/>
      <c r="K649" s="746"/>
      <c r="L649" s="746"/>
      <c r="M649" s="746"/>
      <c r="N649" s="746"/>
      <c r="O649" s="746"/>
      <c r="P649" s="746"/>
      <c r="Q649" s="746"/>
      <c r="R649" s="746"/>
      <c r="S649" s="746"/>
      <c r="T649" s="746"/>
      <c r="U649" s="746"/>
      <c r="V649" s="746"/>
      <c r="W649" s="746"/>
      <c r="X649" s="746"/>
      <c r="Y649" s="746"/>
      <c r="Z649" s="746"/>
      <c r="AA649" s="746"/>
      <c r="AB649" s="746"/>
      <c r="AC649" s="746"/>
      <c r="AD649" s="746"/>
      <c r="AE649" s="746"/>
      <c r="AF649" s="746"/>
      <c r="AG649" s="746"/>
      <c r="AH649" s="746"/>
      <c r="AI649" s="746"/>
      <c r="AJ649" s="746"/>
      <c r="AK649" s="746"/>
      <c r="AL649" s="746"/>
      <c r="AM649" s="746"/>
      <c r="AN649" s="746"/>
      <c r="AO649" s="746"/>
      <c r="AP649" s="746"/>
      <c r="AQ649" s="746"/>
      <c r="AR649" s="746"/>
      <c r="AS649" s="746"/>
      <c r="AT649" s="746"/>
      <c r="AU649" s="746"/>
      <c r="AV649" s="746"/>
      <c r="AW649" s="746"/>
      <c r="AX649" s="746"/>
      <c r="AY649" s="746"/>
      <c r="AZ649" s="746"/>
      <c r="BA649" s="746"/>
      <c r="BB649" s="746"/>
      <c r="BC649" s="746"/>
      <c r="BD649" s="746"/>
      <c r="BE649" s="746"/>
      <c r="BF649" s="746"/>
      <c r="BG649" s="746"/>
      <c r="BH649" s="746"/>
      <c r="BI649" s="746"/>
      <c r="BJ649" s="746"/>
      <c r="BK649" s="746"/>
      <c r="BL649" s="746"/>
      <c r="BM649" s="746"/>
      <c r="BN649" s="746"/>
      <c r="BO649" s="746"/>
      <c r="BP649" s="746"/>
      <c r="BQ649" s="746"/>
      <c r="BR649" s="746"/>
      <c r="BS649" s="746"/>
      <c r="BT649" s="746"/>
      <c r="BU649" s="746"/>
      <c r="BV649" s="746"/>
      <c r="BW649" s="746"/>
      <c r="BX649" s="746"/>
      <c r="BY649" s="729">
        <f>SUM(BY650:BY651)</f>
        <v>30940904.031092629</v>
      </c>
      <c r="BZ649" s="729">
        <f t="shared" ref="BZ649:DQ649" si="2456">SUM(BZ650:BZ651)</f>
        <v>41920731.342839003</v>
      </c>
      <c r="CA649" s="729">
        <f t="shared" si="2456"/>
        <v>57157048.218520455</v>
      </c>
      <c r="CB649" s="729">
        <f t="shared" si="2456"/>
        <v>41898902.113293469</v>
      </c>
      <c r="CC649" s="729">
        <f t="shared" si="2456"/>
        <v>49245922.218685091</v>
      </c>
      <c r="CD649" s="729">
        <f t="shared" si="2456"/>
        <v>48114284.988303348</v>
      </c>
      <c r="CE649" s="729">
        <f t="shared" si="2456"/>
        <v>61906038.699145794</v>
      </c>
      <c r="CF649" s="729">
        <f t="shared" si="2456"/>
        <v>55427469.101721093</v>
      </c>
      <c r="CG649" s="729">
        <f t="shared" si="2456"/>
        <v>59373398.971382976</v>
      </c>
      <c r="CH649" s="729">
        <f t="shared" si="2456"/>
        <v>59307214.938539244</v>
      </c>
      <c r="CI649" s="729">
        <f t="shared" si="2456"/>
        <v>90428363.138085842</v>
      </c>
      <c r="CJ649" s="729">
        <f t="shared" si="2456"/>
        <v>103100111.02381235</v>
      </c>
      <c r="CK649" s="729">
        <f t="shared" si="2456"/>
        <v>91199391.119999826</v>
      </c>
      <c r="CL649" s="729">
        <f t="shared" si="2456"/>
        <v>93127249.669999987</v>
      </c>
      <c r="CM649" s="729">
        <f t="shared" si="2456"/>
        <v>99142326.159999907</v>
      </c>
      <c r="CN649" s="729">
        <f t="shared" si="2456"/>
        <v>91991831.719999924</v>
      </c>
      <c r="CO649" s="729">
        <f t="shared" si="2456"/>
        <v>113612209.36999983</v>
      </c>
      <c r="CP649" s="729">
        <f t="shared" si="2456"/>
        <v>132810168.65999982</v>
      </c>
      <c r="CQ649" s="729">
        <f t="shared" si="2456"/>
        <v>129317056.46000004</v>
      </c>
      <c r="CR649" s="729">
        <f t="shared" si="2456"/>
        <v>114938567.5</v>
      </c>
      <c r="CS649" s="729">
        <f t="shared" si="2456"/>
        <v>111686328.61000001</v>
      </c>
      <c r="CT649" s="729">
        <f t="shared" si="2456"/>
        <v>143063723.15264684</v>
      </c>
      <c r="CU649" s="729">
        <f t="shared" si="2456"/>
        <v>157370095.46791154</v>
      </c>
      <c r="CV649" s="729">
        <f t="shared" si="2456"/>
        <v>165238600.24130711</v>
      </c>
      <c r="CW649" s="729">
        <f t="shared" si="2456"/>
        <v>173500530.25337246</v>
      </c>
      <c r="CX649" s="729">
        <f t="shared" si="2456"/>
        <v>182175556.76604107</v>
      </c>
      <c r="CY649" s="729">
        <f t="shared" si="2456"/>
        <v>191284334.60434312</v>
      </c>
      <c r="CZ649" s="729">
        <f t="shared" si="2456"/>
        <v>200848551.33456033</v>
      </c>
      <c r="DA649" s="729">
        <f t="shared" si="2456"/>
        <v>210890978.90128833</v>
      </c>
      <c r="DB649" s="729">
        <f t="shared" si="2456"/>
        <v>221435527.84635279</v>
      </c>
      <c r="DC649" s="729">
        <f t="shared" si="2456"/>
        <v>232507304.23867044</v>
      </c>
      <c r="DD649" s="729">
        <f t="shared" si="2456"/>
        <v>244132669.45060396</v>
      </c>
      <c r="DE649" s="729">
        <f t="shared" si="2456"/>
        <v>256339302.92313415</v>
      </c>
      <c r="DF649" s="729">
        <f t="shared" si="2456"/>
        <v>282614081.47275549</v>
      </c>
      <c r="DG649" s="729">
        <f t="shared" si="2456"/>
        <v>296744785.54639328</v>
      </c>
      <c r="DH649" s="729">
        <f t="shared" si="2456"/>
        <v>311582024.82371289</v>
      </c>
      <c r="DI649" s="729">
        <f t="shared" si="2456"/>
        <v>327161126.06489861</v>
      </c>
      <c r="DJ649" s="729">
        <f t="shared" si="2456"/>
        <v>343519182.36814356</v>
      </c>
      <c r="DK649" s="729">
        <f t="shared" si="2456"/>
        <v>360695141.48655075</v>
      </c>
      <c r="DL649" s="729">
        <f t="shared" si="2456"/>
        <v>378729898.56087828</v>
      </c>
      <c r="DM649" s="729">
        <f t="shared" si="2456"/>
        <v>397666393.48892224</v>
      </c>
      <c r="DN649" s="729">
        <f t="shared" si="2456"/>
        <v>417549713.16336834</v>
      </c>
      <c r="DO649" s="729">
        <f t="shared" si="2456"/>
        <v>438427198.82153678</v>
      </c>
      <c r="DP649" s="729">
        <f t="shared" si="2456"/>
        <v>460348558.76261365</v>
      </c>
      <c r="DQ649" s="729">
        <f t="shared" si="2456"/>
        <v>483365986.70074427</v>
      </c>
      <c r="DR649" s="729">
        <f t="shared" ref="DR649:EC649" si="2457">SUM(DR650:DR651)</f>
        <v>495450136.36826289</v>
      </c>
      <c r="DS649" s="729">
        <f t="shared" si="2457"/>
        <v>507836389.77746952</v>
      </c>
      <c r="DT649" s="729">
        <f t="shared" si="2457"/>
        <v>520532299.52190614</v>
      </c>
      <c r="DU649" s="729">
        <f t="shared" si="2457"/>
        <v>533545607.00995374</v>
      </c>
      <c r="DV649" s="729">
        <f t="shared" si="2457"/>
        <v>546884247.18520248</v>
      </c>
      <c r="DW649" s="729">
        <f t="shared" si="2457"/>
        <v>560556353.36483252</v>
      </c>
      <c r="DX649" s="729">
        <f t="shared" si="2457"/>
        <v>574570262.19895339</v>
      </c>
      <c r="DY649" s="729">
        <f t="shared" si="2457"/>
        <v>588934518.75392711</v>
      </c>
      <c r="DZ649" s="729">
        <f t="shared" si="2457"/>
        <v>603657881.72277522</v>
      </c>
      <c r="EA649" s="729">
        <f t="shared" si="2457"/>
        <v>618749328.76584458</v>
      </c>
      <c r="EB649" s="729">
        <f t="shared" si="2457"/>
        <v>634218061.98499048</v>
      </c>
      <c r="EC649" s="729">
        <f t="shared" si="2457"/>
        <v>650073513.53461528</v>
      </c>
      <c r="ED649" s="113" t="s">
        <v>1</v>
      </c>
    </row>
    <row r="650" spans="1:134" x14ac:dyDescent="0.2">
      <c r="A650" s="730" t="s">
        <v>221</v>
      </c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15"/>
      <c r="AU650" s="115"/>
      <c r="AV650" s="115"/>
      <c r="AW650" s="115"/>
      <c r="AX650" s="115"/>
      <c r="AY650" s="115"/>
      <c r="AZ650" s="115"/>
      <c r="BA650" s="115"/>
      <c r="BB650" s="115"/>
      <c r="BC650" s="115"/>
      <c r="BD650" s="115"/>
      <c r="BE650" s="115"/>
      <c r="BF650" s="115"/>
      <c r="BG650" s="115"/>
      <c r="BH650" s="115"/>
      <c r="BI650" s="115"/>
      <c r="BJ650" s="115"/>
      <c r="BK650" s="115"/>
      <c r="BL650" s="115"/>
      <c r="BM650" s="115"/>
      <c r="BN650" s="115"/>
      <c r="BO650" s="115"/>
      <c r="BP650" s="115"/>
      <c r="BQ650" s="115"/>
      <c r="BR650" s="115"/>
      <c r="BS650" s="115"/>
      <c r="BT650" s="115"/>
      <c r="BU650" s="115"/>
      <c r="BV650" s="115"/>
      <c r="BW650" s="115"/>
      <c r="BX650" s="115"/>
      <c r="BY650" s="130">
        <f>BY638-BY646</f>
        <v>12345235.67</v>
      </c>
      <c r="BZ650" s="130">
        <f t="shared" ref="BZ650:DQ650" si="2458">BZ638-BZ646</f>
        <v>24443693.240833234</v>
      </c>
      <c r="CA650" s="130">
        <f t="shared" si="2458"/>
        <v>32897967.646921437</v>
      </c>
      <c r="CB650" s="130">
        <f t="shared" si="2458"/>
        <v>22577560.583729167</v>
      </c>
      <c r="CC650" s="130">
        <f t="shared" si="2458"/>
        <v>23904871.276932038</v>
      </c>
      <c r="CD650" s="130">
        <f t="shared" si="2458"/>
        <v>12813488.919707833</v>
      </c>
      <c r="CE650" s="130">
        <f t="shared" si="2458"/>
        <v>22903373.841644812</v>
      </c>
      <c r="CF650" s="130">
        <f t="shared" si="2458"/>
        <v>22826183.084081531</v>
      </c>
      <c r="CG650" s="130">
        <f t="shared" si="2458"/>
        <v>25728247.010000009</v>
      </c>
      <c r="CH650" s="130">
        <f t="shared" si="2458"/>
        <v>23551024.209951915</v>
      </c>
      <c r="CI650" s="130">
        <f t="shared" si="2458"/>
        <v>45050956.588558912</v>
      </c>
      <c r="CJ650" s="130">
        <f t="shared" si="2458"/>
        <v>50052105.109720021</v>
      </c>
      <c r="CK650" s="130">
        <f t="shared" si="2458"/>
        <v>29020847.149999999</v>
      </c>
      <c r="CL650" s="130">
        <f t="shared" si="2458"/>
        <v>26822913.100000001</v>
      </c>
      <c r="CM650" s="130">
        <f t="shared" si="2458"/>
        <v>36477113.259999998</v>
      </c>
      <c r="CN650" s="130">
        <f t="shared" si="2458"/>
        <v>31791109.480000008</v>
      </c>
      <c r="CO650" s="130">
        <f t="shared" si="2458"/>
        <v>44984496.170000009</v>
      </c>
      <c r="CP650" s="130">
        <f t="shared" si="2458"/>
        <v>43898928.949999981</v>
      </c>
      <c r="CQ650" s="130">
        <f t="shared" si="2458"/>
        <v>43317286.93999999</v>
      </c>
      <c r="CR650" s="130">
        <f t="shared" si="2458"/>
        <v>47840836.159999996</v>
      </c>
      <c r="CS650" s="130">
        <f t="shared" si="2458"/>
        <v>37495154.230000019</v>
      </c>
      <c r="CT650" s="130">
        <f t="shared" si="2458"/>
        <v>37010850.041363649</v>
      </c>
      <c r="CU650" s="130">
        <f t="shared" si="2458"/>
        <v>40711935.04550001</v>
      </c>
      <c r="CV650" s="130">
        <f t="shared" si="2458"/>
        <v>42747531.797775015</v>
      </c>
      <c r="CW650" s="130">
        <f t="shared" si="2458"/>
        <v>44884908.387663759</v>
      </c>
      <c r="CX650" s="130">
        <f t="shared" si="2458"/>
        <v>47129153.807046942</v>
      </c>
      <c r="CY650" s="130">
        <f t="shared" si="2458"/>
        <v>49485611.497399285</v>
      </c>
      <c r="CZ650" s="130">
        <f t="shared" si="2458"/>
        <v>51959892.072269253</v>
      </c>
      <c r="DA650" s="130">
        <f t="shared" si="2458"/>
        <v>54557886.675882727</v>
      </c>
      <c r="DB650" s="130">
        <f t="shared" si="2458"/>
        <v>57285781.009676866</v>
      </c>
      <c r="DC650" s="130">
        <f t="shared" si="2458"/>
        <v>60150070.060160719</v>
      </c>
      <c r="DD650" s="130">
        <f t="shared" si="2458"/>
        <v>63157573.563168757</v>
      </c>
      <c r="DE650" s="130">
        <f t="shared" si="2458"/>
        <v>66315452.241327196</v>
      </c>
      <c r="DF650" s="130">
        <f t="shared" si="2458"/>
        <v>73112786.096063241</v>
      </c>
      <c r="DG650" s="130">
        <f t="shared" si="2458"/>
        <v>76768425.400866389</v>
      </c>
      <c r="DH650" s="130">
        <f t="shared" si="2458"/>
        <v>80606846.670909718</v>
      </c>
      <c r="DI650" s="130">
        <f t="shared" si="2458"/>
        <v>84637189.004455239</v>
      </c>
      <c r="DJ650" s="130">
        <f t="shared" si="2458"/>
        <v>88869048.454677999</v>
      </c>
      <c r="DK650" s="130">
        <f t="shared" si="2458"/>
        <v>93312500.877411902</v>
      </c>
      <c r="DL650" s="130">
        <f t="shared" si="2458"/>
        <v>97978125.9212825</v>
      </c>
      <c r="DM650" s="130">
        <f t="shared" si="2458"/>
        <v>102877032.21734664</v>
      </c>
      <c r="DN650" s="130">
        <f t="shared" si="2458"/>
        <v>108020883.82821396</v>
      </c>
      <c r="DO650" s="130">
        <f t="shared" si="2458"/>
        <v>113421928.01962465</v>
      </c>
      <c r="DP650" s="130">
        <f t="shared" si="2458"/>
        <v>119093024.4206059</v>
      </c>
      <c r="DQ650" s="130">
        <f t="shared" si="2458"/>
        <v>125047675.64163621</v>
      </c>
      <c r="DR650" s="130">
        <f t="shared" ref="DR650:EC650" si="2459">DR638-DR646</f>
        <v>128173867.5326771</v>
      </c>
      <c r="DS650" s="130">
        <f t="shared" si="2459"/>
        <v>131378214.22099403</v>
      </c>
      <c r="DT650" s="130">
        <f t="shared" si="2459"/>
        <v>134662669.57651883</v>
      </c>
      <c r="DU650" s="130">
        <f t="shared" si="2459"/>
        <v>138029236.3159318</v>
      </c>
      <c r="DV650" s="130">
        <f t="shared" si="2459"/>
        <v>141479967.22383007</v>
      </c>
      <c r="DW650" s="130">
        <f t="shared" si="2459"/>
        <v>145016966.40442583</v>
      </c>
      <c r="DX650" s="130">
        <f t="shared" si="2459"/>
        <v>148642390.56453645</v>
      </c>
      <c r="DY650" s="130">
        <f t="shared" si="2459"/>
        <v>152358450.32864985</v>
      </c>
      <c r="DZ650" s="130">
        <f t="shared" si="2459"/>
        <v>156167411.58686608</v>
      </c>
      <c r="EA650" s="130">
        <f t="shared" si="2459"/>
        <v>160071596.87653774</v>
      </c>
      <c r="EB650" s="130">
        <f t="shared" si="2459"/>
        <v>164073386.79845113</v>
      </c>
      <c r="EC650" s="130">
        <f t="shared" si="2459"/>
        <v>168175221.4684124</v>
      </c>
      <c r="ED650" s="113" t="s">
        <v>1</v>
      </c>
    </row>
    <row r="651" spans="1:134" x14ac:dyDescent="0.2">
      <c r="A651" s="730" t="s">
        <v>222</v>
      </c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15"/>
      <c r="AU651" s="115"/>
      <c r="AV651" s="115"/>
      <c r="AW651" s="115"/>
      <c r="AX651" s="115"/>
      <c r="AY651" s="115"/>
      <c r="AZ651" s="115"/>
      <c r="BA651" s="115"/>
      <c r="BB651" s="115"/>
      <c r="BC651" s="115"/>
      <c r="BD651" s="115"/>
      <c r="BE651" s="115"/>
      <c r="BF651" s="115"/>
      <c r="BG651" s="115"/>
      <c r="BH651" s="115"/>
      <c r="BI651" s="115"/>
      <c r="BJ651" s="115"/>
      <c r="BK651" s="115"/>
      <c r="BL651" s="115"/>
      <c r="BM651" s="115"/>
      <c r="BN651" s="115"/>
      <c r="BO651" s="115"/>
      <c r="BP651" s="115"/>
      <c r="BQ651" s="115"/>
      <c r="BR651" s="115"/>
      <c r="BS651" s="115"/>
      <c r="BT651" s="115"/>
      <c r="BU651" s="115"/>
      <c r="BV651" s="115"/>
      <c r="BW651" s="115"/>
      <c r="BX651" s="115"/>
      <c r="BY651" s="130">
        <f>BY639-BY647</f>
        <v>18595668.361092631</v>
      </c>
      <c r="BZ651" s="130">
        <f t="shared" ref="BZ651:DQ651" si="2460">BZ639-BZ647</f>
        <v>17477038.102005765</v>
      </c>
      <c r="CA651" s="130">
        <f t="shared" si="2460"/>
        <v>24259080.571599018</v>
      </c>
      <c r="CB651" s="130">
        <f t="shared" si="2460"/>
        <v>19321341.529564302</v>
      </c>
      <c r="CC651" s="130">
        <f t="shared" si="2460"/>
        <v>25341050.941753052</v>
      </c>
      <c r="CD651" s="130">
        <f t="shared" si="2460"/>
        <v>35300796.068595514</v>
      </c>
      <c r="CE651" s="130">
        <f t="shared" si="2460"/>
        <v>39002664.857500978</v>
      </c>
      <c r="CF651" s="130">
        <f t="shared" si="2460"/>
        <v>32601286.017639559</v>
      </c>
      <c r="CG651" s="130">
        <f t="shared" si="2460"/>
        <v>33645151.96138297</v>
      </c>
      <c r="CH651" s="130">
        <f t="shared" si="2460"/>
        <v>35756190.728587329</v>
      </c>
      <c r="CI651" s="130">
        <f t="shared" si="2460"/>
        <v>45377406.549526922</v>
      </c>
      <c r="CJ651" s="130">
        <f t="shared" si="2460"/>
        <v>53048005.91409234</v>
      </c>
      <c r="CK651" s="130">
        <f t="shared" si="2460"/>
        <v>62178543.96999982</v>
      </c>
      <c r="CL651" s="130">
        <f t="shared" si="2460"/>
        <v>66304336.569999978</v>
      </c>
      <c r="CM651" s="130">
        <f t="shared" si="2460"/>
        <v>62665212.899999917</v>
      </c>
      <c r="CN651" s="130">
        <f t="shared" si="2460"/>
        <v>60200722.23999992</v>
      </c>
      <c r="CO651" s="130">
        <f t="shared" si="2460"/>
        <v>68627713.199999809</v>
      </c>
      <c r="CP651" s="130">
        <f t="shared" si="2460"/>
        <v>88911239.709999844</v>
      </c>
      <c r="CQ651" s="130">
        <f t="shared" si="2460"/>
        <v>85999769.520000041</v>
      </c>
      <c r="CR651" s="130">
        <f t="shared" si="2460"/>
        <v>67097731.339999996</v>
      </c>
      <c r="CS651" s="130">
        <f t="shared" si="2460"/>
        <v>74191174.379999995</v>
      </c>
      <c r="CT651" s="130">
        <f t="shared" si="2460"/>
        <v>106052873.1112832</v>
      </c>
      <c r="CU651" s="130">
        <f t="shared" si="2460"/>
        <v>116658160.42241153</v>
      </c>
      <c r="CV651" s="130">
        <f t="shared" si="2460"/>
        <v>122491068.44353209</v>
      </c>
      <c r="CW651" s="130">
        <f t="shared" si="2460"/>
        <v>128615621.86570871</v>
      </c>
      <c r="CX651" s="130">
        <f t="shared" si="2460"/>
        <v>135046402.95899412</v>
      </c>
      <c r="CY651" s="130">
        <f t="shared" si="2460"/>
        <v>141798723.10694385</v>
      </c>
      <c r="CZ651" s="130">
        <f t="shared" si="2460"/>
        <v>148888659.26229107</v>
      </c>
      <c r="DA651" s="130">
        <f t="shared" si="2460"/>
        <v>156333092.2254056</v>
      </c>
      <c r="DB651" s="130">
        <f t="shared" si="2460"/>
        <v>164149746.83667591</v>
      </c>
      <c r="DC651" s="130">
        <f t="shared" si="2460"/>
        <v>172357234.17850971</v>
      </c>
      <c r="DD651" s="130">
        <f t="shared" si="2460"/>
        <v>180975095.8874352</v>
      </c>
      <c r="DE651" s="130">
        <f t="shared" si="2460"/>
        <v>190023850.68180695</v>
      </c>
      <c r="DF651" s="130">
        <f t="shared" si="2460"/>
        <v>209501295.37669224</v>
      </c>
      <c r="DG651" s="130">
        <f t="shared" si="2460"/>
        <v>219976360.14552686</v>
      </c>
      <c r="DH651" s="130">
        <f t="shared" si="2460"/>
        <v>230975178.15280318</v>
      </c>
      <c r="DI651" s="130">
        <f t="shared" si="2460"/>
        <v>242523937.06044334</v>
      </c>
      <c r="DJ651" s="130">
        <f t="shared" si="2460"/>
        <v>254650133.91346553</v>
      </c>
      <c r="DK651" s="130">
        <f t="shared" si="2460"/>
        <v>267382640.60913885</v>
      </c>
      <c r="DL651" s="130">
        <f t="shared" si="2460"/>
        <v>280751772.63959575</v>
      </c>
      <c r="DM651" s="130">
        <f t="shared" si="2460"/>
        <v>294789361.27157557</v>
      </c>
      <c r="DN651" s="130">
        <f t="shared" si="2460"/>
        <v>309528829.33515441</v>
      </c>
      <c r="DO651" s="130">
        <f t="shared" si="2460"/>
        <v>325005270.80191213</v>
      </c>
      <c r="DP651" s="130">
        <f t="shared" si="2460"/>
        <v>341255534.34200776</v>
      </c>
      <c r="DQ651" s="130">
        <f t="shared" si="2460"/>
        <v>358318311.05910808</v>
      </c>
      <c r="DR651" s="130">
        <f t="shared" ref="DR651:EC651" si="2461">DR639-DR647</f>
        <v>367276268.83558577</v>
      </c>
      <c r="DS651" s="130">
        <f t="shared" si="2461"/>
        <v>376458175.55647546</v>
      </c>
      <c r="DT651" s="130">
        <f t="shared" si="2461"/>
        <v>385869629.9453873</v>
      </c>
      <c r="DU651" s="130">
        <f t="shared" si="2461"/>
        <v>395516370.69402194</v>
      </c>
      <c r="DV651" s="130">
        <f t="shared" si="2461"/>
        <v>405404279.96137244</v>
      </c>
      <c r="DW651" s="130">
        <f t="shared" si="2461"/>
        <v>415539386.96040672</v>
      </c>
      <c r="DX651" s="130">
        <f t="shared" si="2461"/>
        <v>425927871.63441688</v>
      </c>
      <c r="DY651" s="130">
        <f t="shared" si="2461"/>
        <v>436576068.42527723</v>
      </c>
      <c r="DZ651" s="130">
        <f t="shared" si="2461"/>
        <v>447490470.13590914</v>
      </c>
      <c r="EA651" s="130">
        <f t="shared" si="2461"/>
        <v>458677731.88930684</v>
      </c>
      <c r="EB651" s="130">
        <f t="shared" si="2461"/>
        <v>470144675.18653935</v>
      </c>
      <c r="EC651" s="130">
        <f t="shared" si="2461"/>
        <v>481898292.06620282</v>
      </c>
      <c r="ED651" s="113" t="s">
        <v>1</v>
      </c>
    </row>
    <row r="652" spans="1:134" x14ac:dyDescent="0.2">
      <c r="A652" s="730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15"/>
      <c r="AU652" s="115"/>
      <c r="AV652" s="115"/>
      <c r="AW652" s="115"/>
      <c r="AX652" s="115"/>
      <c r="AY652" s="115"/>
      <c r="AZ652" s="115"/>
      <c r="BA652" s="115"/>
      <c r="BB652" s="115"/>
      <c r="BC652" s="115"/>
      <c r="BD652" s="115"/>
      <c r="BE652" s="115"/>
      <c r="BF652" s="115"/>
      <c r="BG652" s="115"/>
      <c r="BH652" s="115"/>
      <c r="BI652" s="115"/>
      <c r="BJ652" s="115"/>
      <c r="BK652" s="115"/>
      <c r="BL652" s="115"/>
      <c r="BM652" s="115"/>
      <c r="BN652" s="115"/>
      <c r="BO652" s="115"/>
      <c r="BP652" s="115"/>
      <c r="BQ652" s="115"/>
      <c r="BR652" s="115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115"/>
      <c r="CC652" s="115"/>
      <c r="CD652" s="115"/>
      <c r="CE652" s="115"/>
      <c r="CF652" s="115"/>
      <c r="CG652" s="115"/>
      <c r="CH652" s="115"/>
      <c r="CI652" s="115"/>
      <c r="CJ652" s="115"/>
      <c r="CK652" s="115"/>
      <c r="CL652" s="115"/>
      <c r="CM652" s="115"/>
      <c r="CN652" s="115"/>
      <c r="CO652" s="115"/>
      <c r="CP652" s="115"/>
      <c r="CQ652" s="115"/>
      <c r="CR652" s="115"/>
      <c r="CS652" s="115"/>
      <c r="CT652" s="115"/>
      <c r="CU652" s="115"/>
      <c r="CV652" s="115"/>
      <c r="CW652" s="115"/>
      <c r="CX652" s="115"/>
      <c r="CY652" s="115"/>
      <c r="CZ652" s="115"/>
      <c r="DA652" s="115"/>
      <c r="DB652" s="115"/>
      <c r="DC652" s="115"/>
      <c r="DD652" s="115"/>
      <c r="DE652" s="115"/>
      <c r="DF652" s="115"/>
      <c r="DG652" s="115"/>
      <c r="DH652" s="115"/>
      <c r="DI652" s="115"/>
      <c r="DJ652" s="115"/>
      <c r="DK652" s="115"/>
      <c r="DL652" s="115"/>
      <c r="DM652" s="115"/>
      <c r="DN652" s="115"/>
      <c r="DO652" s="115"/>
      <c r="DP652" s="115"/>
      <c r="DQ652" s="115"/>
      <c r="DR652" s="115"/>
      <c r="DS652" s="115"/>
      <c r="DT652" s="115"/>
      <c r="DU652" s="115"/>
      <c r="DV652" s="115"/>
      <c r="DW652" s="115"/>
      <c r="DX652" s="115"/>
      <c r="DY652" s="115"/>
      <c r="DZ652" s="115"/>
      <c r="EA652" s="115"/>
      <c r="EB652" s="115"/>
      <c r="EC652" s="115"/>
      <c r="ED652" s="113" t="s">
        <v>1</v>
      </c>
    </row>
    <row r="653" spans="1:134" x14ac:dyDescent="0.2">
      <c r="A653" s="730" t="s">
        <v>221</v>
      </c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15"/>
      <c r="AU653" s="115"/>
      <c r="AV653" s="115"/>
      <c r="AW653" s="115"/>
      <c r="AX653" s="115"/>
      <c r="AY653" s="115"/>
      <c r="AZ653" s="115"/>
      <c r="BA653" s="115"/>
      <c r="BB653" s="115"/>
      <c r="BC653" s="115"/>
      <c r="BD653" s="115"/>
      <c r="BE653" s="115"/>
      <c r="BF653" s="115"/>
      <c r="BG653" s="115"/>
      <c r="BH653" s="115"/>
      <c r="BI653" s="115"/>
      <c r="BJ653" s="115"/>
      <c r="BK653" s="115"/>
      <c r="BL653" s="115"/>
      <c r="BM653" s="115"/>
      <c r="BN653" s="115"/>
      <c r="BO653" s="115"/>
      <c r="BP653" s="115"/>
      <c r="BQ653" s="115"/>
      <c r="BR653" s="115"/>
      <c r="BS653" s="115"/>
      <c r="BT653" s="115"/>
      <c r="BU653" s="115"/>
      <c r="BV653" s="115"/>
      <c r="BW653" s="115"/>
      <c r="BX653" s="115"/>
      <c r="BY653" s="130">
        <f>BY642</f>
        <v>936</v>
      </c>
      <c r="BZ653" s="130">
        <f t="shared" ref="BZ653:DQ653" si="2462">BZ642</f>
        <v>1787</v>
      </c>
      <c r="CA653" s="130">
        <f t="shared" si="2462"/>
        <v>2244</v>
      </c>
      <c r="CB653" s="130">
        <f t="shared" si="2462"/>
        <v>1681</v>
      </c>
      <c r="CC653" s="130">
        <f t="shared" si="2462"/>
        <v>1850</v>
      </c>
      <c r="CD653" s="130">
        <f t="shared" si="2462"/>
        <v>1122</v>
      </c>
      <c r="CE653" s="130">
        <f t="shared" si="2462"/>
        <v>1855</v>
      </c>
      <c r="CF653" s="130">
        <f t="shared" si="2462"/>
        <v>1849</v>
      </c>
      <c r="CG653" s="130">
        <f t="shared" si="2462"/>
        <v>2086</v>
      </c>
      <c r="CH653" s="130">
        <f t="shared" si="2462"/>
        <v>1972</v>
      </c>
      <c r="CI653" s="130">
        <f t="shared" si="2462"/>
        <v>4010</v>
      </c>
      <c r="CJ653" s="130">
        <f t="shared" si="2462"/>
        <v>4975</v>
      </c>
      <c r="CK653" s="130">
        <f t="shared" si="2462"/>
        <v>2994</v>
      </c>
      <c r="CL653" s="130">
        <f t="shared" si="2462"/>
        <v>2649</v>
      </c>
      <c r="CM653" s="130">
        <f t="shared" si="2462"/>
        <v>3556</v>
      </c>
      <c r="CN653" s="130">
        <f t="shared" si="2462"/>
        <v>3116</v>
      </c>
      <c r="CO653" s="130">
        <f t="shared" si="2462"/>
        <v>7173</v>
      </c>
      <c r="CP653" s="130">
        <f t="shared" si="2462"/>
        <v>4769</v>
      </c>
      <c r="CQ653" s="130">
        <f t="shared" si="2462"/>
        <v>5206</v>
      </c>
      <c r="CR653" s="130">
        <f t="shared" si="2462"/>
        <v>4435</v>
      </c>
      <c r="CS653" s="130">
        <f t="shared" si="2462"/>
        <v>3583</v>
      </c>
      <c r="CT653" s="130">
        <f t="shared" si="2462"/>
        <v>3867.3060883430976</v>
      </c>
      <c r="CU653" s="130">
        <f t="shared" si="2462"/>
        <v>4254.0366971774074</v>
      </c>
      <c r="CV653" s="130">
        <f t="shared" si="2462"/>
        <v>4466.7385320362782</v>
      </c>
      <c r="CW653" s="130">
        <f t="shared" si="2462"/>
        <v>4690.0754586380917</v>
      </c>
      <c r="CX653" s="130">
        <f t="shared" si="2462"/>
        <v>4924.5792315699964</v>
      </c>
      <c r="CY653" s="130">
        <f t="shared" si="2462"/>
        <v>5170.8081931484958</v>
      </c>
      <c r="CZ653" s="130">
        <f t="shared" si="2462"/>
        <v>5429.3486028059215</v>
      </c>
      <c r="DA653" s="130">
        <f t="shared" si="2462"/>
        <v>5700.816032946218</v>
      </c>
      <c r="DB653" s="130">
        <f t="shared" si="2462"/>
        <v>5985.8568345935291</v>
      </c>
      <c r="DC653" s="130">
        <f t="shared" si="2462"/>
        <v>6285.1496763232062</v>
      </c>
      <c r="DD653" s="130">
        <f t="shared" si="2462"/>
        <v>6599.4071601393671</v>
      </c>
      <c r="DE653" s="130">
        <f t="shared" si="2462"/>
        <v>6929.3775181463352</v>
      </c>
      <c r="DF653" s="130">
        <f t="shared" si="2462"/>
        <v>7275.8463940536521</v>
      </c>
      <c r="DG653" s="130">
        <f t="shared" si="2462"/>
        <v>7639.6387137563343</v>
      </c>
      <c r="DH653" s="130">
        <f t="shared" si="2462"/>
        <v>8021.6206494441521</v>
      </c>
      <c r="DI653" s="130">
        <f t="shared" si="2462"/>
        <v>8422.70168191636</v>
      </c>
      <c r="DJ653" s="130">
        <f t="shared" si="2462"/>
        <v>8843.8367660121785</v>
      </c>
      <c r="DK653" s="130">
        <f t="shared" si="2462"/>
        <v>9286.028604312789</v>
      </c>
      <c r="DL653" s="130">
        <f t="shared" si="2462"/>
        <v>9750.3300345284279</v>
      </c>
      <c r="DM653" s="130">
        <f t="shared" si="2462"/>
        <v>10237.84653625485</v>
      </c>
      <c r="DN653" s="130">
        <f t="shared" si="2462"/>
        <v>10749.738863067592</v>
      </c>
      <c r="DO653" s="130">
        <f t="shared" si="2462"/>
        <v>11287.225806220973</v>
      </c>
      <c r="DP653" s="130">
        <f t="shared" si="2462"/>
        <v>11851.587096532023</v>
      </c>
      <c r="DQ653" s="130">
        <f t="shared" si="2462"/>
        <v>12444.166451358624</v>
      </c>
      <c r="DR653" s="130">
        <f t="shared" ref="DR653:EC653" si="2463">DR642</f>
        <v>12755.270612642589</v>
      </c>
      <c r="DS653" s="130">
        <f t="shared" si="2463"/>
        <v>13074.152377958653</v>
      </c>
      <c r="DT653" s="130">
        <f t="shared" si="2463"/>
        <v>13401.006187407618</v>
      </c>
      <c r="DU653" s="130">
        <f t="shared" si="2463"/>
        <v>13736.031342092807</v>
      </c>
      <c r="DV653" s="130">
        <f t="shared" si="2463"/>
        <v>14079.432125645126</v>
      </c>
      <c r="DW653" s="130">
        <f t="shared" si="2463"/>
        <v>14431.417928786252</v>
      </c>
      <c r="DX653" s="130">
        <f t="shared" si="2463"/>
        <v>14792.203377005908</v>
      </c>
      <c r="DY653" s="130">
        <f t="shared" si="2463"/>
        <v>15162.008461431054</v>
      </c>
      <c r="DZ653" s="130">
        <f t="shared" si="2463"/>
        <v>15541.05867296683</v>
      </c>
      <c r="EA653" s="130">
        <f t="shared" si="2463"/>
        <v>15929.585139790997</v>
      </c>
      <c r="EB653" s="130">
        <f t="shared" si="2463"/>
        <v>16327.824768285769</v>
      </c>
      <c r="EC653" s="130">
        <f t="shared" si="2463"/>
        <v>16736.020387492914</v>
      </c>
      <c r="ED653" s="113" t="s">
        <v>1</v>
      </c>
    </row>
    <row r="654" spans="1:134" x14ac:dyDescent="0.2">
      <c r="A654" s="730" t="s">
        <v>222</v>
      </c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15"/>
      <c r="AU654" s="115"/>
      <c r="AV654" s="115"/>
      <c r="AW654" s="115"/>
      <c r="AX654" s="115"/>
      <c r="AY654" s="115"/>
      <c r="AZ654" s="115"/>
      <c r="BA654" s="115"/>
      <c r="BB654" s="115"/>
      <c r="BC654" s="115"/>
      <c r="BD654" s="115"/>
      <c r="BE654" s="115"/>
      <c r="BF654" s="115"/>
      <c r="BG654" s="115"/>
      <c r="BH654" s="115"/>
      <c r="BI654" s="115"/>
      <c r="BJ654" s="115"/>
      <c r="BK654" s="115"/>
      <c r="BL654" s="115"/>
      <c r="BM654" s="115"/>
      <c r="BN654" s="115"/>
      <c r="BO654" s="115"/>
      <c r="BP654" s="115"/>
      <c r="BQ654" s="115"/>
      <c r="BR654" s="115"/>
      <c r="BS654" s="115"/>
      <c r="BT654" s="115"/>
      <c r="BU654" s="115"/>
      <c r="BV654" s="115"/>
      <c r="BW654" s="115"/>
      <c r="BX654" s="115"/>
      <c r="BY654" s="130">
        <f>BY643</f>
        <v>535</v>
      </c>
      <c r="BZ654" s="130">
        <f t="shared" ref="BZ654:DQ654" si="2464">BZ643</f>
        <v>479</v>
      </c>
      <c r="CA654" s="130">
        <f t="shared" si="2464"/>
        <v>633</v>
      </c>
      <c r="CB654" s="130">
        <f t="shared" si="2464"/>
        <v>493</v>
      </c>
      <c r="CC654" s="130">
        <f t="shared" si="2464"/>
        <v>725</v>
      </c>
      <c r="CD654" s="130">
        <f t="shared" si="2464"/>
        <v>1119</v>
      </c>
      <c r="CE654" s="130">
        <f t="shared" si="2464"/>
        <v>1021</v>
      </c>
      <c r="CF654" s="130">
        <f t="shared" si="2464"/>
        <v>1162</v>
      </c>
      <c r="CG654" s="130">
        <f t="shared" si="2464"/>
        <v>1243</v>
      </c>
      <c r="CH654" s="130">
        <f t="shared" si="2464"/>
        <v>1047</v>
      </c>
      <c r="CI654" s="130">
        <f t="shared" si="2464"/>
        <v>1424</v>
      </c>
      <c r="CJ654" s="130">
        <f t="shared" si="2464"/>
        <v>1752</v>
      </c>
      <c r="CK654" s="130">
        <f t="shared" si="2464"/>
        <v>1951</v>
      </c>
      <c r="CL654" s="130">
        <f t="shared" si="2464"/>
        <v>1986</v>
      </c>
      <c r="CM654" s="130">
        <f t="shared" si="2464"/>
        <v>2033</v>
      </c>
      <c r="CN654" s="130">
        <f t="shared" si="2464"/>
        <v>2044</v>
      </c>
      <c r="CO654" s="130">
        <f t="shared" si="2464"/>
        <v>2383</v>
      </c>
      <c r="CP654" s="130">
        <f t="shared" si="2464"/>
        <v>2972</v>
      </c>
      <c r="CQ654" s="130">
        <f t="shared" si="2464"/>
        <v>2788</v>
      </c>
      <c r="CR654" s="130">
        <f t="shared" si="2464"/>
        <v>2013</v>
      </c>
      <c r="CS654" s="130">
        <f t="shared" si="2464"/>
        <v>2141</v>
      </c>
      <c r="CT654" s="130">
        <f t="shared" si="2464"/>
        <v>3171.4562222624045</v>
      </c>
      <c r="CU654" s="130">
        <f t="shared" si="2464"/>
        <v>3488.6018444886449</v>
      </c>
      <c r="CV654" s="130">
        <f t="shared" si="2464"/>
        <v>3663.0319367130769</v>
      </c>
      <c r="CW654" s="130">
        <f t="shared" si="2464"/>
        <v>3846.1835335487312</v>
      </c>
      <c r="CX654" s="130">
        <f t="shared" si="2464"/>
        <v>4038.4927102261677</v>
      </c>
      <c r="CY654" s="130">
        <f t="shared" si="2464"/>
        <v>4240.4173457374764</v>
      </c>
      <c r="CZ654" s="130">
        <f t="shared" si="2464"/>
        <v>4452.4382130243503</v>
      </c>
      <c r="DA654" s="130">
        <f t="shared" si="2464"/>
        <v>4675.0601236755683</v>
      </c>
      <c r="DB654" s="130">
        <f t="shared" si="2464"/>
        <v>4908.8131298593471</v>
      </c>
      <c r="DC654" s="130">
        <f t="shared" si="2464"/>
        <v>5154.2537863523139</v>
      </c>
      <c r="DD654" s="130">
        <f t="shared" si="2464"/>
        <v>5411.9664756699303</v>
      </c>
      <c r="DE654" s="130">
        <f t="shared" si="2464"/>
        <v>5682.5647994534265</v>
      </c>
      <c r="DF654" s="130">
        <f t="shared" si="2464"/>
        <v>5966.693039426098</v>
      </c>
      <c r="DG654" s="130">
        <f t="shared" si="2464"/>
        <v>6265.027691397403</v>
      </c>
      <c r="DH654" s="130">
        <f t="shared" si="2464"/>
        <v>6578.2790759672735</v>
      </c>
      <c r="DI654" s="130">
        <f t="shared" si="2464"/>
        <v>6907.1930297656381</v>
      </c>
      <c r="DJ654" s="130">
        <f t="shared" si="2464"/>
        <v>7252.552681253921</v>
      </c>
      <c r="DK654" s="130">
        <f t="shared" si="2464"/>
        <v>7615.1803153166165</v>
      </c>
      <c r="DL654" s="130">
        <f t="shared" si="2464"/>
        <v>7995.939331082448</v>
      </c>
      <c r="DM654" s="130">
        <f t="shared" si="2464"/>
        <v>8395.7362976365712</v>
      </c>
      <c r="DN654" s="130">
        <f t="shared" si="2464"/>
        <v>8815.5231125184</v>
      </c>
      <c r="DO654" s="130">
        <f t="shared" si="2464"/>
        <v>9256.2992681443211</v>
      </c>
      <c r="DP654" s="130">
        <f t="shared" si="2464"/>
        <v>9719.1142315515372</v>
      </c>
      <c r="DQ654" s="130">
        <f t="shared" si="2464"/>
        <v>10205.069943129114</v>
      </c>
      <c r="DR654" s="130">
        <f t="shared" ref="DR654:EC654" si="2465">DR643</f>
        <v>10460.196691707342</v>
      </c>
      <c r="DS654" s="130">
        <f t="shared" si="2465"/>
        <v>10721.701609000023</v>
      </c>
      <c r="DT654" s="130">
        <f t="shared" si="2465"/>
        <v>10989.744149225024</v>
      </c>
      <c r="DU654" s="130">
        <f t="shared" si="2465"/>
        <v>11264.487752955647</v>
      </c>
      <c r="DV654" s="130">
        <f t="shared" si="2465"/>
        <v>11546.099946779537</v>
      </c>
      <c r="DW654" s="130">
        <f t="shared" si="2465"/>
        <v>11834.752445449025</v>
      </c>
      <c r="DX654" s="130">
        <f t="shared" si="2465"/>
        <v>12130.621256585249</v>
      </c>
      <c r="DY654" s="130">
        <f t="shared" si="2465"/>
        <v>12433.88678799988</v>
      </c>
      <c r="DZ654" s="130">
        <f t="shared" si="2465"/>
        <v>12744.733957699877</v>
      </c>
      <c r="EA654" s="130">
        <f t="shared" si="2465"/>
        <v>13063.352306642371</v>
      </c>
      <c r="EB654" s="130">
        <f t="shared" si="2465"/>
        <v>13389.936114308428</v>
      </c>
      <c r="EC654" s="130">
        <f t="shared" si="2465"/>
        <v>13724.684517166137</v>
      </c>
      <c r="ED654" s="113" t="s">
        <v>1</v>
      </c>
    </row>
    <row r="655" spans="1:134" x14ac:dyDescent="0.2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15"/>
      <c r="AU655" s="115"/>
      <c r="AV655" s="115"/>
      <c r="AW655" s="115"/>
      <c r="AX655" s="115"/>
      <c r="AY655" s="115"/>
      <c r="AZ655" s="115"/>
      <c r="BA655" s="115"/>
      <c r="BB655" s="115"/>
      <c r="BC655" s="115"/>
      <c r="BD655" s="115"/>
      <c r="BE655" s="115"/>
      <c r="BF655" s="115"/>
      <c r="BG655" s="115"/>
      <c r="BH655" s="115"/>
      <c r="BI655" s="115"/>
      <c r="BJ655" s="115"/>
      <c r="BK655" s="115"/>
      <c r="BL655" s="115"/>
      <c r="BM655" s="115"/>
      <c r="BN655" s="115"/>
      <c r="BO655" s="115"/>
      <c r="BP655" s="115"/>
      <c r="BQ655" s="115"/>
      <c r="BR655" s="115"/>
      <c r="BS655" s="115"/>
      <c r="BT655" s="115"/>
      <c r="BU655" s="115"/>
      <c r="BV655" s="115"/>
      <c r="BW655" s="115"/>
      <c r="BX655" s="115"/>
      <c r="BY655" s="115"/>
      <c r="BZ655" s="115"/>
      <c r="CA655" s="115"/>
      <c r="CB655" s="115"/>
      <c r="CC655" s="115"/>
      <c r="CD655" s="115"/>
      <c r="CE655" s="115"/>
      <c r="CF655" s="115"/>
      <c r="CG655" s="115"/>
      <c r="CH655" s="115"/>
      <c r="CI655" s="115"/>
      <c r="CJ655" s="115"/>
      <c r="CK655" s="115"/>
      <c r="CL655" s="115"/>
      <c r="CM655" s="115"/>
      <c r="CN655" s="115"/>
      <c r="CO655" s="115"/>
      <c r="CP655" s="115"/>
      <c r="CQ655" s="115"/>
      <c r="CR655" s="115"/>
      <c r="CS655" s="115"/>
      <c r="CT655" s="115"/>
      <c r="CU655" s="115"/>
      <c r="CV655" s="115"/>
      <c r="CW655" s="115"/>
      <c r="CX655" s="115"/>
      <c r="CY655" s="115"/>
      <c r="CZ655" s="115"/>
      <c r="DA655" s="115"/>
      <c r="DB655" s="115"/>
      <c r="DC655" s="115"/>
      <c r="DD655" s="115"/>
      <c r="DE655" s="115"/>
      <c r="DF655" s="115"/>
      <c r="DG655" s="115"/>
      <c r="DH655" s="115"/>
      <c r="DI655" s="115"/>
      <c r="DJ655" s="115"/>
      <c r="DK655" s="115"/>
      <c r="DL655" s="115"/>
      <c r="DM655" s="115"/>
      <c r="DN655" s="115"/>
      <c r="DO655" s="115"/>
      <c r="DP655" s="115"/>
      <c r="DQ655" s="115"/>
      <c r="DR655" s="115"/>
      <c r="DS655" s="115"/>
      <c r="DT655" s="115"/>
      <c r="DU655" s="115"/>
      <c r="DV655" s="115"/>
      <c r="DW655" s="115"/>
      <c r="DX655" s="115"/>
      <c r="DY655" s="115"/>
      <c r="DZ655" s="115"/>
      <c r="EA655" s="115"/>
      <c r="EB655" s="115"/>
      <c r="EC655" s="645"/>
      <c r="ED655" s="113" t="s">
        <v>1</v>
      </c>
    </row>
    <row r="656" spans="1:134" x14ac:dyDescent="0.2">
      <c r="A656" s="746" t="s">
        <v>18</v>
      </c>
      <c r="B656" s="746"/>
      <c r="C656" s="746"/>
      <c r="D656" s="746"/>
      <c r="E656" s="746"/>
      <c r="F656" s="746"/>
      <c r="G656" s="746"/>
      <c r="H656" s="746"/>
      <c r="I656" s="746"/>
      <c r="J656" s="746"/>
      <c r="K656" s="746"/>
      <c r="L656" s="746"/>
      <c r="M656" s="746"/>
      <c r="N656" s="746"/>
      <c r="O656" s="746"/>
      <c r="P656" s="746"/>
      <c r="Q656" s="746"/>
      <c r="R656" s="746"/>
      <c r="S656" s="746"/>
      <c r="T656" s="746"/>
      <c r="U656" s="746"/>
      <c r="V656" s="746"/>
      <c r="W656" s="746"/>
      <c r="X656" s="746"/>
      <c r="Y656" s="746"/>
      <c r="Z656" s="746"/>
      <c r="AA656" s="746"/>
      <c r="AB656" s="746"/>
      <c r="AC656" s="746"/>
      <c r="AD656" s="746"/>
      <c r="AE656" s="746"/>
      <c r="AF656" s="746"/>
      <c r="AG656" s="746"/>
      <c r="AH656" s="746"/>
      <c r="AI656" s="746"/>
      <c r="AJ656" s="746"/>
      <c r="AK656" s="746"/>
      <c r="AL656" s="746"/>
      <c r="AM656" s="746"/>
      <c r="AN656" s="746"/>
      <c r="AO656" s="746"/>
      <c r="AP656" s="746"/>
      <c r="AQ656" s="746"/>
      <c r="AR656" s="746"/>
      <c r="AS656" s="746"/>
      <c r="AT656" s="746"/>
      <c r="AU656" s="746"/>
      <c r="AV656" s="746"/>
      <c r="AW656" s="746"/>
      <c r="AX656" s="746"/>
      <c r="AY656" s="746"/>
      <c r="AZ656" s="746"/>
      <c r="BA656" s="746"/>
      <c r="BB656" s="746"/>
      <c r="BC656" s="746"/>
      <c r="BD656" s="746"/>
      <c r="BE656" s="746"/>
      <c r="BF656" s="746"/>
      <c r="BG656" s="746"/>
      <c r="BH656" s="746"/>
      <c r="BI656" s="746"/>
      <c r="BJ656" s="746"/>
      <c r="BK656" s="746"/>
      <c r="BL656" s="746"/>
      <c r="BM656" s="746"/>
      <c r="BN656" s="746"/>
      <c r="BO656" s="746"/>
      <c r="BP656" s="746"/>
      <c r="BQ656" s="746"/>
      <c r="BR656" s="746"/>
      <c r="BS656" s="746"/>
      <c r="BT656" s="746"/>
      <c r="BU656" s="746"/>
      <c r="BV656" s="746"/>
      <c r="BW656" s="746"/>
      <c r="BX656" s="746"/>
      <c r="BY656" s="729">
        <f>SUM(BY657:BY658)</f>
        <v>26507878.76101695</v>
      </c>
      <c r="BZ656" s="729">
        <f t="shared" ref="BZ656:DQ656" si="2466">SUM(BZ657:BZ658)</f>
        <v>36119079.76983051</v>
      </c>
      <c r="CA656" s="729">
        <f t="shared" si="2466"/>
        <v>49394539.750508472</v>
      </c>
      <c r="CB656" s="729">
        <f t="shared" si="2466"/>
        <v>35189843.499152541</v>
      </c>
      <c r="CC656" s="729">
        <f t="shared" si="2466"/>
        <v>39813984.301525414</v>
      </c>
      <c r="CD656" s="729">
        <f t="shared" si="2466"/>
        <v>37624707.582711861</v>
      </c>
      <c r="CE656" s="729">
        <f t="shared" si="2466"/>
        <v>50581393.4779661</v>
      </c>
      <c r="CF656" s="729">
        <f t="shared" si="2466"/>
        <v>46130299.426610172</v>
      </c>
      <c r="CG656" s="729">
        <f t="shared" si="2466"/>
        <v>60559789.062203385</v>
      </c>
      <c r="CH656" s="729">
        <f t="shared" si="2466"/>
        <v>47654074.742372878</v>
      </c>
      <c r="CI656" s="729">
        <f t="shared" si="2466"/>
        <v>75410187.490879148</v>
      </c>
      <c r="CJ656" s="729">
        <f t="shared" si="2466"/>
        <v>84704690.954694092</v>
      </c>
      <c r="CK656" s="729">
        <f t="shared" si="2466"/>
        <v>68165540.44271186</v>
      </c>
      <c r="CL656" s="729">
        <f t="shared" si="2466"/>
        <v>67482719.231694937</v>
      </c>
      <c r="CM656" s="729">
        <f t="shared" si="2466"/>
        <v>77733819.352203369</v>
      </c>
      <c r="CN656" s="729">
        <f t="shared" si="2466"/>
        <v>73910782.119661018</v>
      </c>
      <c r="CO656" s="729">
        <f t="shared" si="2466"/>
        <v>95371459.579491526</v>
      </c>
      <c r="CP656" s="729">
        <f t="shared" si="2466"/>
        <v>111351019.45305084</v>
      </c>
      <c r="CQ656" s="729">
        <f t="shared" si="2466"/>
        <v>107813415.15118645</v>
      </c>
      <c r="CR656" s="729">
        <f t="shared" si="2466"/>
        <v>96904377.734067783</v>
      </c>
      <c r="CS656" s="729">
        <f t="shared" si="2466"/>
        <v>94085469.181271195</v>
      </c>
      <c r="CT656" s="729">
        <f t="shared" si="2466"/>
        <v>115488235.0792608</v>
      </c>
      <c r="CU656" s="729">
        <f t="shared" si="2466"/>
        <v>127037058.58718689</v>
      </c>
      <c r="CV656" s="729">
        <f t="shared" si="2466"/>
        <v>133388911.51654622</v>
      </c>
      <c r="CW656" s="729">
        <f t="shared" si="2466"/>
        <v>140058357.09237355</v>
      </c>
      <c r="CX656" s="729">
        <f t="shared" si="2466"/>
        <v>147061274.94699219</v>
      </c>
      <c r="CY656" s="729">
        <f t="shared" si="2466"/>
        <v>154414338.69434181</v>
      </c>
      <c r="CZ656" s="729">
        <f t="shared" si="2466"/>
        <v>162135055.62905893</v>
      </c>
      <c r="DA656" s="729">
        <f t="shared" si="2466"/>
        <v>170241808.41051188</v>
      </c>
      <c r="DB656" s="729">
        <f t="shared" si="2466"/>
        <v>178753898.83103749</v>
      </c>
      <c r="DC656" s="729">
        <f t="shared" si="2466"/>
        <v>187691593.77258939</v>
      </c>
      <c r="DD656" s="729">
        <f t="shared" si="2466"/>
        <v>197076173.46121883</v>
      </c>
      <c r="DE656" s="729">
        <f t="shared" si="2466"/>
        <v>206929982.13427979</v>
      </c>
      <c r="DF656" s="729">
        <f t="shared" si="2466"/>
        <v>219566951.60151786</v>
      </c>
      <c r="DG656" s="729">
        <f t="shared" si="2466"/>
        <v>230545299.18159372</v>
      </c>
      <c r="DH656" s="729">
        <f t="shared" si="2466"/>
        <v>242072564.1406734</v>
      </c>
      <c r="DI656" s="729">
        <f t="shared" si="2466"/>
        <v>254176192.34770715</v>
      </c>
      <c r="DJ656" s="729">
        <f t="shared" si="2466"/>
        <v>266885001.96509248</v>
      </c>
      <c r="DK656" s="729">
        <f t="shared" si="2466"/>
        <v>280229252.06334716</v>
      </c>
      <c r="DL656" s="729">
        <f t="shared" si="2466"/>
        <v>294240714.66651446</v>
      </c>
      <c r="DM656" s="729">
        <f t="shared" si="2466"/>
        <v>308952750.39984024</v>
      </c>
      <c r="DN656" s="729">
        <f t="shared" si="2466"/>
        <v>324400387.91983229</v>
      </c>
      <c r="DO656" s="729">
        <f t="shared" si="2466"/>
        <v>340620407.31582391</v>
      </c>
      <c r="DP656" s="729">
        <f t="shared" si="2466"/>
        <v>357651427.68161511</v>
      </c>
      <c r="DQ656" s="729">
        <f t="shared" si="2466"/>
        <v>375533999.06569582</v>
      </c>
      <c r="DR656" s="729">
        <f t="shared" ref="DR656:EC656" si="2467">SUM(DR657:DR658)</f>
        <v>375013346.314973</v>
      </c>
      <c r="DS656" s="729">
        <f t="shared" si="2467"/>
        <v>384388679.97284734</v>
      </c>
      <c r="DT656" s="729">
        <f t="shared" si="2467"/>
        <v>393998396.97216839</v>
      </c>
      <c r="DU656" s="729">
        <f t="shared" si="2467"/>
        <v>403848356.89647257</v>
      </c>
      <c r="DV656" s="729">
        <f t="shared" si="2467"/>
        <v>413944565.81888437</v>
      </c>
      <c r="DW656" s="729">
        <f t="shared" si="2467"/>
        <v>424293179.96435648</v>
      </c>
      <c r="DX656" s="729">
        <f t="shared" si="2467"/>
        <v>434900509.46346533</v>
      </c>
      <c r="DY656" s="729">
        <f t="shared" si="2467"/>
        <v>445773022.2000519</v>
      </c>
      <c r="DZ656" s="729">
        <f t="shared" si="2467"/>
        <v>456917347.75505316</v>
      </c>
      <c r="EA656" s="729">
        <f t="shared" si="2467"/>
        <v>468340281.44892949</v>
      </c>
      <c r="EB656" s="729">
        <f t="shared" si="2467"/>
        <v>480048788.48515254</v>
      </c>
      <c r="EC656" s="729">
        <f t="shared" si="2467"/>
        <v>492050008.19728136</v>
      </c>
      <c r="ED656" s="113" t="s">
        <v>1</v>
      </c>
    </row>
    <row r="657" spans="1:134" x14ac:dyDescent="0.2">
      <c r="A657" s="730" t="s">
        <v>221</v>
      </c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15"/>
      <c r="AU657" s="115"/>
      <c r="AV657" s="115"/>
      <c r="AW657" s="115"/>
      <c r="AX657" s="115"/>
      <c r="AY657" s="115"/>
      <c r="AZ657" s="115"/>
      <c r="BA657" s="115"/>
      <c r="BB657" s="115"/>
      <c r="BC657" s="115"/>
      <c r="BD657" s="115"/>
      <c r="BE657" s="115"/>
      <c r="BF657" s="115"/>
      <c r="BG657" s="115"/>
      <c r="BH657" s="115"/>
      <c r="BI657" s="115"/>
      <c r="BJ657" s="115"/>
      <c r="BK657" s="115"/>
      <c r="BL657" s="115"/>
      <c r="BM657" s="115"/>
      <c r="BN657" s="115"/>
      <c r="BO657" s="115"/>
      <c r="BP657" s="115"/>
      <c r="BQ657" s="115"/>
      <c r="BR657" s="115"/>
      <c r="BS657" s="115"/>
      <c r="BT657" s="115"/>
      <c r="BU657" s="115"/>
      <c r="BV657" s="115"/>
      <c r="BW657" s="115"/>
      <c r="BX657" s="115"/>
      <c r="BY657" s="129">
        <v>13177726.161016949</v>
      </c>
      <c r="BZ657" s="129">
        <v>23667836.189830508</v>
      </c>
      <c r="CA657" s="129">
        <v>31562198.477966104</v>
      </c>
      <c r="CB657" s="129">
        <v>20800702.276271187</v>
      </c>
      <c r="CC657" s="129">
        <v>21236601.4559322</v>
      </c>
      <c r="CD657" s="129">
        <v>11287399.701864406</v>
      </c>
      <c r="CE657" s="129">
        <v>22423740.611864407</v>
      </c>
      <c r="CF657" s="129">
        <v>21492846.663898304</v>
      </c>
      <c r="CG657" s="129">
        <v>35162616.765084743</v>
      </c>
      <c r="CH657" s="129">
        <v>21108499.962711863</v>
      </c>
      <c r="CI657" s="129">
        <v>41271592.903591022</v>
      </c>
      <c r="CJ657" s="129">
        <v>44934271.128592387</v>
      </c>
      <c r="CK657" s="129">
        <v>26025208.737627119</v>
      </c>
      <c r="CL657" s="129">
        <v>23105247.364576273</v>
      </c>
      <c r="CM657" s="129">
        <v>34241425.894576266</v>
      </c>
      <c r="CN657" s="129">
        <v>28671962.227627117</v>
      </c>
      <c r="CO657" s="129">
        <v>41692651.39254237</v>
      </c>
      <c r="CP657" s="129">
        <v>41307371.181525424</v>
      </c>
      <c r="CQ657" s="129">
        <v>42402435.531355932</v>
      </c>
      <c r="CR657" s="129">
        <v>44984691.67949152</v>
      </c>
      <c r="CS657" s="129">
        <v>37890638.198728815</v>
      </c>
      <c r="CT657" s="129">
        <f>CT664*CT650</f>
        <v>35160307.539295465</v>
      </c>
      <c r="CU657" s="129">
        <f t="shared" ref="CU657:DQ657" si="2468">CU664*CU650</f>
        <v>38676338.293225005</v>
      </c>
      <c r="CV657" s="129">
        <f t="shared" si="2468"/>
        <v>40610155.207886264</v>
      </c>
      <c r="CW657" s="129">
        <f t="shared" si="2468"/>
        <v>42640662.968280569</v>
      </c>
      <c r="CX657" s="129">
        <f t="shared" si="2468"/>
        <v>44772696.116694592</v>
      </c>
      <c r="CY657" s="129">
        <f t="shared" si="2468"/>
        <v>47011330.922529317</v>
      </c>
      <c r="CZ657" s="129">
        <f t="shared" si="2468"/>
        <v>49361897.468655787</v>
      </c>
      <c r="DA657" s="129">
        <f t="shared" si="2468"/>
        <v>51829992.342088588</v>
      </c>
      <c r="DB657" s="129">
        <f t="shared" si="2468"/>
        <v>54421491.959193021</v>
      </c>
      <c r="DC657" s="129">
        <f t="shared" si="2468"/>
        <v>57142566.557152681</v>
      </c>
      <c r="DD657" s="129">
        <f t="shared" si="2468"/>
        <v>59999694.885010317</v>
      </c>
      <c r="DE657" s="129">
        <f t="shared" si="2468"/>
        <v>62999679.629260831</v>
      </c>
      <c r="DF657" s="129">
        <f t="shared" si="2468"/>
        <v>68726018.930299446</v>
      </c>
      <c r="DG657" s="129">
        <f t="shared" si="2468"/>
        <v>72162319.876814395</v>
      </c>
      <c r="DH657" s="129">
        <f t="shared" si="2468"/>
        <v>75770435.870655134</v>
      </c>
      <c r="DI657" s="129">
        <f t="shared" si="2468"/>
        <v>79558957.664187923</v>
      </c>
      <c r="DJ657" s="129">
        <f t="shared" si="2468"/>
        <v>83536905.547397316</v>
      </c>
      <c r="DK657" s="129">
        <f t="shared" si="2468"/>
        <v>87713750.824767187</v>
      </c>
      <c r="DL657" s="129">
        <f t="shared" si="2468"/>
        <v>92099438.36600554</v>
      </c>
      <c r="DM657" s="129">
        <f t="shared" si="2468"/>
        <v>96704410.284305841</v>
      </c>
      <c r="DN657" s="129">
        <f t="shared" si="2468"/>
        <v>101539630.79852112</v>
      </c>
      <c r="DO657" s="129">
        <f t="shared" si="2468"/>
        <v>106616612.33844717</v>
      </c>
      <c r="DP657" s="129">
        <f t="shared" si="2468"/>
        <v>111947442.95536953</v>
      </c>
      <c r="DQ657" s="129">
        <f t="shared" si="2468"/>
        <v>117544815.10313803</v>
      </c>
      <c r="DR657" s="129">
        <f t="shared" ref="DR657:EC657" si="2469">DR664*DR650</f>
        <v>117919958.13006294</v>
      </c>
      <c r="DS657" s="129">
        <f t="shared" si="2469"/>
        <v>120867957.08331451</v>
      </c>
      <c r="DT657" s="129">
        <f t="shared" si="2469"/>
        <v>123889656.01039733</v>
      </c>
      <c r="DU657" s="129">
        <f t="shared" si="2469"/>
        <v>126986897.41065726</v>
      </c>
      <c r="DV657" s="129">
        <f t="shared" si="2469"/>
        <v>130161569.84592368</v>
      </c>
      <c r="DW657" s="129">
        <f t="shared" si="2469"/>
        <v>133415609.09207177</v>
      </c>
      <c r="DX657" s="129">
        <f t="shared" si="2469"/>
        <v>136750999.31937355</v>
      </c>
      <c r="DY657" s="129">
        <f t="shared" si="2469"/>
        <v>140169774.30235785</v>
      </c>
      <c r="DZ657" s="129">
        <f t="shared" si="2469"/>
        <v>143674018.65991679</v>
      </c>
      <c r="EA657" s="129">
        <f t="shared" si="2469"/>
        <v>147265869.12641472</v>
      </c>
      <c r="EB657" s="129">
        <f t="shared" si="2469"/>
        <v>150947515.85457504</v>
      </c>
      <c r="EC657" s="129">
        <f t="shared" si="2469"/>
        <v>154721203.75093943</v>
      </c>
      <c r="ED657" s="113" t="s">
        <v>1</v>
      </c>
    </row>
    <row r="658" spans="1:134" x14ac:dyDescent="0.2">
      <c r="A658" s="730" t="s">
        <v>222</v>
      </c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15"/>
      <c r="AU658" s="115"/>
      <c r="AV658" s="115"/>
      <c r="AW658" s="115"/>
      <c r="AX658" s="115"/>
      <c r="AY658" s="115"/>
      <c r="AZ658" s="115"/>
      <c r="BA658" s="115"/>
      <c r="BB658" s="115"/>
      <c r="BC658" s="115"/>
      <c r="BD658" s="115"/>
      <c r="BE658" s="115"/>
      <c r="BF658" s="115"/>
      <c r="BG658" s="115"/>
      <c r="BH658" s="115"/>
      <c r="BI658" s="115"/>
      <c r="BJ658" s="115"/>
      <c r="BK658" s="115"/>
      <c r="BL658" s="115"/>
      <c r="BM658" s="115"/>
      <c r="BN658" s="115"/>
      <c r="BO658" s="115"/>
      <c r="BP658" s="115"/>
      <c r="BQ658" s="115"/>
      <c r="BR658" s="115"/>
      <c r="BS658" s="115"/>
      <c r="BT658" s="115"/>
      <c r="BU658" s="115"/>
      <c r="BV658" s="115"/>
      <c r="BW658" s="115"/>
      <c r="BX658" s="115"/>
      <c r="BY658" s="129">
        <v>13330152.6</v>
      </c>
      <c r="BZ658" s="129">
        <v>12451243.58</v>
      </c>
      <c r="CA658" s="129">
        <v>17832341.272542369</v>
      </c>
      <c r="CB658" s="129">
        <v>14389141.222881356</v>
      </c>
      <c r="CC658" s="129">
        <v>18577382.845593218</v>
      </c>
      <c r="CD658" s="129">
        <v>26337307.880847454</v>
      </c>
      <c r="CE658" s="129">
        <v>28157652.86610169</v>
      </c>
      <c r="CF658" s="129">
        <v>24637452.762711864</v>
      </c>
      <c r="CG658" s="129">
        <v>25397172.297118641</v>
      </c>
      <c r="CH658" s="129">
        <v>26545574.779661015</v>
      </c>
      <c r="CI658" s="129">
        <v>34138594.587288134</v>
      </c>
      <c r="CJ658" s="129">
        <v>39770419.826101713</v>
      </c>
      <c r="CK658" s="129">
        <v>42140331.705084741</v>
      </c>
      <c r="CL658" s="129">
        <v>44377471.867118657</v>
      </c>
      <c r="CM658" s="129">
        <v>43492393.45762711</v>
      </c>
      <c r="CN658" s="129">
        <v>45238819.892033905</v>
      </c>
      <c r="CO658" s="129">
        <v>53678808.186949149</v>
      </c>
      <c r="CP658" s="129">
        <v>70043648.271525413</v>
      </c>
      <c r="CQ658" s="129">
        <v>65410979.619830519</v>
      </c>
      <c r="CR658" s="129">
        <v>51919686.054576263</v>
      </c>
      <c r="CS658" s="129">
        <v>56194830.982542373</v>
      </c>
      <c r="CT658" s="129">
        <f>CT665*CT651</f>
        <v>80327927.539965332</v>
      </c>
      <c r="CU658" s="129">
        <f t="shared" ref="CU658:DQ658" si="2470">CU665*CU651</f>
        <v>88360720.293961883</v>
      </c>
      <c r="CV658" s="129">
        <f t="shared" si="2470"/>
        <v>92778756.308659956</v>
      </c>
      <c r="CW658" s="129">
        <f t="shared" si="2470"/>
        <v>97417694.124092966</v>
      </c>
      <c r="CX658" s="129">
        <f t="shared" si="2470"/>
        <v>102288578.83029759</v>
      </c>
      <c r="CY658" s="129">
        <f t="shared" si="2470"/>
        <v>107403007.77181248</v>
      </c>
      <c r="CZ658" s="129">
        <f t="shared" si="2470"/>
        <v>112773158.16040315</v>
      </c>
      <c r="DA658" s="129">
        <f t="shared" si="2470"/>
        <v>118411816.06842329</v>
      </c>
      <c r="DB658" s="129">
        <f t="shared" si="2470"/>
        <v>124332406.87184447</v>
      </c>
      <c r="DC658" s="129">
        <f t="shared" si="2470"/>
        <v>130549027.2154367</v>
      </c>
      <c r="DD658" s="129">
        <f t="shared" si="2470"/>
        <v>137076478.57620853</v>
      </c>
      <c r="DE658" s="129">
        <f t="shared" si="2470"/>
        <v>143930302.50501895</v>
      </c>
      <c r="DF658" s="129">
        <f t="shared" si="2470"/>
        <v>150840932.6712184</v>
      </c>
      <c r="DG658" s="129">
        <f t="shared" si="2470"/>
        <v>158382979.30477932</v>
      </c>
      <c r="DH658" s="129">
        <f t="shared" si="2470"/>
        <v>166302128.27001828</v>
      </c>
      <c r="DI658" s="129">
        <f t="shared" si="2470"/>
        <v>174617234.68351921</v>
      </c>
      <c r="DJ658" s="129">
        <f t="shared" si="2470"/>
        <v>183348096.41769516</v>
      </c>
      <c r="DK658" s="129">
        <f t="shared" si="2470"/>
        <v>192515501.23857996</v>
      </c>
      <c r="DL658" s="129">
        <f t="shared" si="2470"/>
        <v>202141276.30050892</v>
      </c>
      <c r="DM658" s="129">
        <f t="shared" si="2470"/>
        <v>212248340.11553439</v>
      </c>
      <c r="DN658" s="129">
        <f t="shared" si="2470"/>
        <v>222860757.12131116</v>
      </c>
      <c r="DO658" s="129">
        <f t="shared" si="2470"/>
        <v>234003794.97737673</v>
      </c>
      <c r="DP658" s="129">
        <f t="shared" si="2470"/>
        <v>245703984.72624558</v>
      </c>
      <c r="DQ658" s="129">
        <f t="shared" si="2470"/>
        <v>257989183.96255779</v>
      </c>
      <c r="DR658" s="129">
        <f t="shared" ref="DR658:EC658" si="2471">DR665*DR651</f>
        <v>257093388.18491003</v>
      </c>
      <c r="DS658" s="129">
        <f t="shared" si="2471"/>
        <v>263520722.8895328</v>
      </c>
      <c r="DT658" s="129">
        <f t="shared" si="2471"/>
        <v>270108740.96177107</v>
      </c>
      <c r="DU658" s="129">
        <f t="shared" si="2471"/>
        <v>276861459.48581535</v>
      </c>
      <c r="DV658" s="129">
        <f t="shared" si="2471"/>
        <v>283782995.97296071</v>
      </c>
      <c r="DW658" s="129">
        <f t="shared" si="2471"/>
        <v>290877570.87228471</v>
      </c>
      <c r="DX658" s="129">
        <f t="shared" si="2471"/>
        <v>298149510.14409178</v>
      </c>
      <c r="DY658" s="129">
        <f t="shared" si="2471"/>
        <v>305603247.89769405</v>
      </c>
      <c r="DZ658" s="129">
        <f t="shared" si="2471"/>
        <v>313243329.0951364</v>
      </c>
      <c r="EA658" s="129">
        <f t="shared" si="2471"/>
        <v>321074412.32251477</v>
      </c>
      <c r="EB658" s="129">
        <f t="shared" si="2471"/>
        <v>329101272.6305775</v>
      </c>
      <c r="EC658" s="129">
        <f t="shared" si="2471"/>
        <v>337328804.44634193</v>
      </c>
      <c r="ED658" s="113" t="s">
        <v>1</v>
      </c>
    </row>
    <row r="659" spans="1:134" x14ac:dyDescent="0.2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15"/>
      <c r="AU659" s="115"/>
      <c r="AV659" s="115"/>
      <c r="AW659" s="115"/>
      <c r="AX659" s="115"/>
      <c r="AY659" s="115"/>
      <c r="AZ659" s="115"/>
      <c r="BA659" s="115"/>
      <c r="BB659" s="115"/>
      <c r="BC659" s="115"/>
      <c r="BD659" s="115"/>
      <c r="BE659" s="115"/>
      <c r="BF659" s="115"/>
      <c r="BG659" s="115"/>
      <c r="BH659" s="115"/>
      <c r="BI659" s="115"/>
      <c r="BJ659" s="115"/>
      <c r="BK659" s="115"/>
      <c r="BL659" s="115"/>
      <c r="BM659" s="115"/>
      <c r="BN659" s="115"/>
      <c r="BO659" s="115"/>
      <c r="BP659" s="115"/>
      <c r="BQ659" s="115"/>
      <c r="BR659" s="115"/>
      <c r="BS659" s="115"/>
      <c r="BT659" s="115"/>
      <c r="BU659" s="115"/>
      <c r="BV659" s="115"/>
      <c r="BW659" s="115"/>
      <c r="BX659" s="115"/>
      <c r="BY659" s="115"/>
      <c r="BZ659" s="115"/>
      <c r="CA659" s="115"/>
      <c r="CB659" s="115"/>
      <c r="CC659" s="115"/>
      <c r="CD659" s="115"/>
      <c r="CE659" s="115"/>
      <c r="CF659" s="115"/>
      <c r="CG659" s="115"/>
      <c r="CH659" s="115"/>
      <c r="CI659" s="115"/>
      <c r="CJ659" s="115"/>
      <c r="CK659" s="115"/>
      <c r="CL659" s="115"/>
      <c r="CM659" s="115"/>
      <c r="CN659" s="115"/>
      <c r="CO659" s="115"/>
      <c r="CP659" s="115"/>
      <c r="CQ659" s="115"/>
      <c r="CR659" s="115"/>
      <c r="CS659" s="115"/>
      <c r="CT659" s="115"/>
      <c r="CU659" s="115"/>
      <c r="CV659" s="115"/>
      <c r="CW659" s="115"/>
      <c r="CX659" s="115"/>
      <c r="CY659" s="115"/>
      <c r="CZ659" s="115"/>
      <c r="DA659" s="115"/>
      <c r="DB659" s="115"/>
      <c r="DC659" s="115"/>
      <c r="DD659" s="115"/>
      <c r="DE659" s="115"/>
      <c r="DF659" s="115"/>
      <c r="DG659" s="115"/>
      <c r="DH659" s="115"/>
      <c r="DI659" s="115"/>
      <c r="DJ659" s="115"/>
      <c r="DK659" s="115"/>
      <c r="DL659" s="115"/>
      <c r="DM659" s="115"/>
      <c r="DN659" s="115"/>
      <c r="DO659" s="115"/>
      <c r="DP659" s="115"/>
      <c r="DQ659" s="115"/>
      <c r="DR659" s="115"/>
      <c r="DS659" s="115"/>
      <c r="DT659" s="115"/>
      <c r="DU659" s="115"/>
      <c r="DV659" s="115"/>
      <c r="DW659" s="115"/>
      <c r="DX659" s="115"/>
      <c r="DY659" s="115"/>
      <c r="DZ659" s="115"/>
      <c r="EA659" s="115"/>
      <c r="EB659" s="115"/>
      <c r="EC659" s="115"/>
      <c r="ED659" s="113" t="s">
        <v>1</v>
      </c>
    </row>
    <row r="660" spans="1:134" x14ac:dyDescent="0.2">
      <c r="A660" s="730" t="s">
        <v>19</v>
      </c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15"/>
      <c r="AU660" s="115"/>
      <c r="AV660" s="115"/>
      <c r="AW660" s="115"/>
      <c r="AX660" s="115"/>
      <c r="AY660" s="115"/>
      <c r="AZ660" s="115"/>
      <c r="BA660" s="115"/>
      <c r="BB660" s="115"/>
      <c r="BC660" s="115"/>
      <c r="BD660" s="115"/>
      <c r="BE660" s="115"/>
      <c r="BF660" s="115"/>
      <c r="BG660" s="115"/>
      <c r="BH660" s="115"/>
      <c r="BI660" s="115"/>
      <c r="BJ660" s="115"/>
      <c r="BK660" s="115"/>
      <c r="BL660" s="115"/>
      <c r="BM660" s="115"/>
      <c r="BN660" s="115"/>
      <c r="BO660" s="115"/>
      <c r="BP660" s="115"/>
      <c r="BQ660" s="115"/>
      <c r="BR660" s="115"/>
      <c r="BS660" s="115"/>
      <c r="BT660" s="115"/>
      <c r="BU660" s="115"/>
      <c r="BV660" s="115"/>
      <c r="BW660" s="115"/>
      <c r="BX660" s="115"/>
      <c r="BY660" s="129">
        <v>26408659</v>
      </c>
      <c r="BZ660" s="129">
        <v>35966863</v>
      </c>
      <c r="CA660" s="129">
        <v>48807617.519999996</v>
      </c>
      <c r="CB660" s="129">
        <v>34593796.369999997</v>
      </c>
      <c r="CC660" s="129">
        <v>39042321.009999998</v>
      </c>
      <c r="CD660" s="129">
        <v>36685797.619999997</v>
      </c>
      <c r="CE660" s="129">
        <v>49487117.899999999</v>
      </c>
      <c r="CF660" s="129">
        <v>44944221.629999995</v>
      </c>
      <c r="CG660" s="129">
        <v>58444624.43</v>
      </c>
      <c r="CH660" s="129">
        <v>46376517.200000003</v>
      </c>
      <c r="CI660" s="129">
        <v>74086761.473930001</v>
      </c>
      <c r="CJ660" s="129">
        <v>83155595.762321219</v>
      </c>
      <c r="CK660" s="129">
        <v>65879903.679999992</v>
      </c>
      <c r="CL660" s="129">
        <v>64272085.63000001</v>
      </c>
      <c r="CM660" s="129">
        <v>74995369.419999987</v>
      </c>
      <c r="CN660" s="129">
        <v>69758811.840000004</v>
      </c>
      <c r="CO660" s="129">
        <v>90548626.409999982</v>
      </c>
      <c r="CP660" s="129">
        <v>103968557.97</v>
      </c>
      <c r="CQ660" s="129">
        <v>100907952.88</v>
      </c>
      <c r="CR660" s="129">
        <v>92142639.090000004</v>
      </c>
      <c r="CS660" s="129">
        <v>88497125.605000019</v>
      </c>
      <c r="CT660" s="129">
        <f>CS660/CS656*CT656</f>
        <v>108628643.02688301</v>
      </c>
      <c r="CU660" s="129">
        <f t="shared" ref="CU660:DQ660" si="2472">CT660/CT656*CU656</f>
        <v>119491507.32957131</v>
      </c>
      <c r="CV660" s="129">
        <f t="shared" si="2472"/>
        <v>125466082.69604987</v>
      </c>
      <c r="CW660" s="129">
        <f t="shared" si="2472"/>
        <v>131739386.83085237</v>
      </c>
      <c r="CX660" s="129">
        <f t="shared" si="2472"/>
        <v>138326356.17239496</v>
      </c>
      <c r="CY660" s="129">
        <f t="shared" si="2472"/>
        <v>145242673.98101473</v>
      </c>
      <c r="CZ660" s="129">
        <f t="shared" si="2472"/>
        <v>152504807.68006548</v>
      </c>
      <c r="DA660" s="129">
        <f t="shared" si="2472"/>
        <v>160130048.06406876</v>
      </c>
      <c r="DB660" s="129">
        <f t="shared" si="2472"/>
        <v>168136550.46727222</v>
      </c>
      <c r="DC660" s="129">
        <f t="shared" si="2472"/>
        <v>176543377.99063584</v>
      </c>
      <c r="DD660" s="129">
        <f t="shared" si="2472"/>
        <v>185370546.89016762</v>
      </c>
      <c r="DE660" s="129">
        <f t="shared" si="2472"/>
        <v>194639074.234676</v>
      </c>
      <c r="DF660" s="129">
        <f t="shared" si="2472"/>
        <v>206525452.48139611</v>
      </c>
      <c r="DG660" s="129">
        <f t="shared" si="2472"/>
        <v>216851725.10546589</v>
      </c>
      <c r="DH660" s="129">
        <f t="shared" si="2472"/>
        <v>227694311.36073917</v>
      </c>
      <c r="DI660" s="129">
        <f t="shared" si="2472"/>
        <v>239079026.9287762</v>
      </c>
      <c r="DJ660" s="129">
        <f t="shared" si="2472"/>
        <v>251032978.27521497</v>
      </c>
      <c r="DK660" s="129">
        <f t="shared" si="2472"/>
        <v>263584627.18897578</v>
      </c>
      <c r="DL660" s="129">
        <f t="shared" si="2472"/>
        <v>276763858.54842448</v>
      </c>
      <c r="DM660" s="129">
        <f t="shared" si="2472"/>
        <v>290602051.47584575</v>
      </c>
      <c r="DN660" s="129">
        <f t="shared" si="2472"/>
        <v>305132154.04963809</v>
      </c>
      <c r="DO660" s="129">
        <f t="shared" si="2472"/>
        <v>320388761.75212002</v>
      </c>
      <c r="DP660" s="129">
        <f t="shared" si="2472"/>
        <v>336408199.83972603</v>
      </c>
      <c r="DQ660" s="129">
        <f t="shared" si="2472"/>
        <v>353228609.83171231</v>
      </c>
      <c r="DR660" s="129">
        <f t="shared" ref="DR660" si="2473">DQ660/DQ656*DR656</f>
        <v>352738882.00999594</v>
      </c>
      <c r="DS660" s="129">
        <f t="shared" ref="DS660" si="2474">DR660/DR656*DS656</f>
        <v>361557354.06024581</v>
      </c>
      <c r="DT660" s="129">
        <f t="shared" ref="DT660" si="2475">DS660/DS656*DT656</f>
        <v>370596287.91175181</v>
      </c>
      <c r="DU660" s="129">
        <f t="shared" ref="DU660" si="2476">DT660/DT656*DU656</f>
        <v>379861195.10954559</v>
      </c>
      <c r="DV660" s="129">
        <f t="shared" ref="DV660" si="2477">DU660/DU656*DV656</f>
        <v>389357724.98728418</v>
      </c>
      <c r="DW660" s="129">
        <f t="shared" ref="DW660" si="2478">DV660/DV656*DW656</f>
        <v>399091668.11196625</v>
      </c>
      <c r="DX660" s="129">
        <f t="shared" ref="DX660" si="2479">DW660/DW656*DX656</f>
        <v>409068959.81476539</v>
      </c>
      <c r="DY660" s="129">
        <f t="shared" ref="DY660" si="2480">DX660/DX656*DY656</f>
        <v>419295683.81013447</v>
      </c>
      <c r="DZ660" s="129">
        <f t="shared" ref="DZ660" si="2481">DY660/DY656*DZ656</f>
        <v>429778075.90538782</v>
      </c>
      <c r="EA660" s="129">
        <f t="shared" ref="EA660" si="2482">DZ660/DZ656*EA656</f>
        <v>440522527.8030225</v>
      </c>
      <c r="EB660" s="129">
        <f t="shared" ref="EB660" si="2483">EA660/EA656*EB656</f>
        <v>451535590.9980979</v>
      </c>
      <c r="EC660" s="129">
        <f t="shared" ref="EC660" si="2484">EB660/EB656*EC656</f>
        <v>462823980.77305037</v>
      </c>
      <c r="ED660" s="113" t="s">
        <v>1</v>
      </c>
    </row>
    <row r="661" spans="1:134" x14ac:dyDescent="0.2">
      <c r="A661" s="730" t="s">
        <v>142</v>
      </c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15"/>
      <c r="AU661" s="115"/>
      <c r="AV661" s="115"/>
      <c r="AW661" s="115"/>
      <c r="AX661" s="115"/>
      <c r="AY661" s="115"/>
      <c r="AZ661" s="115"/>
      <c r="BA661" s="115"/>
      <c r="BB661" s="115"/>
      <c r="BC661" s="115"/>
      <c r="BD661" s="115"/>
      <c r="BE661" s="115"/>
      <c r="BF661" s="115"/>
      <c r="BG661" s="115"/>
      <c r="BH661" s="115"/>
      <c r="BI661" s="115"/>
      <c r="BJ661" s="115"/>
      <c r="BK661" s="115"/>
      <c r="BL661" s="115"/>
      <c r="BM661" s="115"/>
      <c r="BN661" s="115"/>
      <c r="BO661" s="115"/>
      <c r="BP661" s="115"/>
      <c r="BQ661" s="115"/>
      <c r="BR661" s="115"/>
      <c r="BS661" s="115"/>
      <c r="BT661" s="115"/>
      <c r="BU661" s="115"/>
      <c r="BV661" s="115"/>
      <c r="BW661" s="115"/>
      <c r="BX661" s="115"/>
      <c r="BY661" s="129">
        <v>99219.761016949138</v>
      </c>
      <c r="BZ661" s="129">
        <v>152216.76983050851</v>
      </c>
      <c r="CA661" s="129">
        <v>586922.23050847475</v>
      </c>
      <c r="CB661" s="129">
        <v>596047.12915254245</v>
      </c>
      <c r="CC661" s="129">
        <v>771663.29152542388</v>
      </c>
      <c r="CD661" s="129">
        <v>938909.96271186438</v>
      </c>
      <c r="CE661" s="129">
        <v>1094275.5779661015</v>
      </c>
      <c r="CF661" s="129">
        <v>1186077.7966101693</v>
      </c>
      <c r="CG661" s="129">
        <v>2115164.6322033899</v>
      </c>
      <c r="CH661" s="129">
        <v>1277557.5423728814</v>
      </c>
      <c r="CI661" s="129">
        <v>1323426.0169491526</v>
      </c>
      <c r="CJ661" s="129">
        <v>1549095.3559322024</v>
      </c>
      <c r="CK661" s="129">
        <v>2285636.7627118644</v>
      </c>
      <c r="CL661" s="129">
        <v>3210633.6016949164</v>
      </c>
      <c r="CM661" s="129">
        <v>2738449.9322033897</v>
      </c>
      <c r="CN661" s="129">
        <v>4151970.2796610165</v>
      </c>
      <c r="CO661" s="129">
        <v>4822833.1694915276</v>
      </c>
      <c r="CP661" s="129">
        <v>7382461.4830508484</v>
      </c>
      <c r="CQ661" s="129">
        <v>6905462.2711864421</v>
      </c>
      <c r="CR661" s="129">
        <v>4761738.6440677959</v>
      </c>
      <c r="CS661" s="129">
        <v>5588343.5762711866</v>
      </c>
      <c r="CT661" s="129">
        <f>CS661/CS656*CT656</f>
        <v>6859592.0523777949</v>
      </c>
      <c r="CU661" s="129">
        <f t="shared" ref="CU661:DQ661" si="2485">CT661/CT656*CU656</f>
        <v>7545551.2576155746</v>
      </c>
      <c r="CV661" s="129">
        <f t="shared" si="2485"/>
        <v>7922828.8204963524</v>
      </c>
      <c r="CW661" s="129">
        <f t="shared" si="2485"/>
        <v>8318970.2615211718</v>
      </c>
      <c r="CX661" s="129">
        <f t="shared" si="2485"/>
        <v>8734918.7745972276</v>
      </c>
      <c r="CY661" s="129">
        <f t="shared" si="2485"/>
        <v>9171664.7133270893</v>
      </c>
      <c r="CZ661" s="129">
        <f t="shared" si="2485"/>
        <v>9630247.9489934463</v>
      </c>
      <c r="DA661" s="129">
        <f t="shared" si="2485"/>
        <v>10111760.346443119</v>
      </c>
      <c r="DB661" s="129">
        <f t="shared" si="2485"/>
        <v>10617348.363765275</v>
      </c>
      <c r="DC661" s="129">
        <f t="shared" si="2485"/>
        <v>11148215.78195354</v>
      </c>
      <c r="DD661" s="129">
        <f t="shared" si="2485"/>
        <v>11705626.571051216</v>
      </c>
      <c r="DE661" s="129">
        <f t="shared" si="2485"/>
        <v>12290907.899603778</v>
      </c>
      <c r="DF661" s="129">
        <f t="shared" si="2485"/>
        <v>13041499.120121734</v>
      </c>
      <c r="DG661" s="129">
        <f t="shared" si="2485"/>
        <v>13693574.07612782</v>
      </c>
      <c r="DH661" s="129">
        <f t="shared" si="2485"/>
        <v>14378252.779934211</v>
      </c>
      <c r="DI661" s="129">
        <f t="shared" si="2485"/>
        <v>15097165.418930925</v>
      </c>
      <c r="DJ661" s="129">
        <f t="shared" si="2485"/>
        <v>15852023.689877471</v>
      </c>
      <c r="DK661" s="129">
        <f t="shared" si="2485"/>
        <v>16644624.874371348</v>
      </c>
      <c r="DL661" s="129">
        <f t="shared" si="2485"/>
        <v>17476856.118089911</v>
      </c>
      <c r="DM661" s="129">
        <f t="shared" si="2485"/>
        <v>18350698.923994411</v>
      </c>
      <c r="DN661" s="129">
        <f t="shared" si="2485"/>
        <v>19268233.870194133</v>
      </c>
      <c r="DO661" s="129">
        <f t="shared" si="2485"/>
        <v>20231645.563703839</v>
      </c>
      <c r="DP661" s="129">
        <f t="shared" si="2485"/>
        <v>21243227.841889031</v>
      </c>
      <c r="DQ661" s="129">
        <f t="shared" si="2485"/>
        <v>22305389.233983479</v>
      </c>
      <c r="DR661" s="129">
        <f t="shared" ref="DR661" si="2486">DQ661/DQ656*DR656</f>
        <v>22274464.304977022</v>
      </c>
      <c r="DS661" s="129">
        <f t="shared" ref="DS661" si="2487">DR661/DR656*DS656</f>
        <v>22831325.912601449</v>
      </c>
      <c r="DT661" s="129">
        <f t="shared" ref="DT661" si="2488">DS661/DS656*DT656</f>
        <v>23402109.060416475</v>
      </c>
      <c r="DU661" s="129">
        <f t="shared" ref="DU661" si="2489">DT661/DT656*DU656</f>
        <v>23987161.786926888</v>
      </c>
      <c r="DV661" s="129">
        <f t="shared" ref="DV661" si="2490">DU661/DU656*DV656</f>
        <v>24586840.831600059</v>
      </c>
      <c r="DW661" s="129">
        <f t="shared" ref="DW661" si="2491">DV661/DV656*DW656</f>
        <v>25201511.852390058</v>
      </c>
      <c r="DX661" s="129">
        <f t="shared" ref="DX661" si="2492">DW661/DW656*DX656</f>
        <v>25831549.648699805</v>
      </c>
      <c r="DY661" s="129">
        <f t="shared" ref="DY661" si="2493">DX661/DX656*DY656</f>
        <v>26477338.389917295</v>
      </c>
      <c r="DZ661" s="129">
        <f t="shared" ref="DZ661" si="2494">DY661/DY656*DZ656</f>
        <v>27139271.849665225</v>
      </c>
      <c r="EA661" s="129">
        <f t="shared" ref="EA661" si="2495">DZ661/DZ656*EA656</f>
        <v>27817753.645906854</v>
      </c>
      <c r="EB661" s="129">
        <f t="shared" ref="EB661" si="2496">EA661/EA656*EB656</f>
        <v>28513197.487054516</v>
      </c>
      <c r="EC661" s="129">
        <f t="shared" ref="EC661" si="2497">EB661/EB656*EC656</f>
        <v>29226027.424230881</v>
      </c>
      <c r="ED661" s="113" t="s">
        <v>1</v>
      </c>
    </row>
    <row r="662" spans="1:134" x14ac:dyDescent="0.2">
      <c r="A662" s="730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15"/>
      <c r="AU662" s="115"/>
      <c r="AV662" s="115"/>
      <c r="AW662" s="115"/>
      <c r="AX662" s="115"/>
      <c r="AY662" s="115"/>
      <c r="AZ662" s="115"/>
      <c r="BA662" s="115"/>
      <c r="BB662" s="115"/>
      <c r="BC662" s="115"/>
      <c r="BD662" s="115"/>
      <c r="BE662" s="115"/>
      <c r="BF662" s="115"/>
      <c r="BG662" s="115"/>
      <c r="BH662" s="115"/>
      <c r="BI662" s="115"/>
      <c r="BJ662" s="115"/>
      <c r="BK662" s="115"/>
      <c r="BL662" s="115"/>
      <c r="BM662" s="115"/>
      <c r="BN662" s="115"/>
      <c r="BO662" s="115"/>
      <c r="BP662" s="115"/>
      <c r="BQ662" s="115"/>
      <c r="BR662" s="115"/>
      <c r="BS662" s="115"/>
      <c r="BT662" s="115"/>
      <c r="BU662" s="115"/>
      <c r="BV662" s="115"/>
      <c r="BW662" s="115"/>
      <c r="BX662" s="115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15"/>
      <c r="CU662" s="115"/>
      <c r="CV662" s="115"/>
      <c r="CW662" s="115"/>
      <c r="CX662" s="115"/>
      <c r="CY662" s="115"/>
      <c r="CZ662" s="115"/>
      <c r="DA662" s="115"/>
      <c r="DB662" s="115"/>
      <c r="DC662" s="115"/>
      <c r="DD662" s="115"/>
      <c r="DE662" s="115"/>
      <c r="DF662" s="115"/>
      <c r="DG662" s="115"/>
      <c r="DH662" s="115"/>
      <c r="DI662" s="115"/>
      <c r="DJ662" s="115"/>
      <c r="DK662" s="115"/>
      <c r="DL662" s="115"/>
      <c r="DM662" s="115"/>
      <c r="DN662" s="115"/>
      <c r="DO662" s="115"/>
      <c r="DP662" s="115"/>
      <c r="DQ662" s="115"/>
      <c r="DR662" s="115"/>
      <c r="DS662" s="115"/>
      <c r="DT662" s="115"/>
      <c r="DU662" s="115"/>
      <c r="DV662" s="115"/>
      <c r="DW662" s="115"/>
      <c r="DX662" s="115"/>
      <c r="DY662" s="115"/>
      <c r="DZ662" s="115"/>
      <c r="EA662" s="115"/>
      <c r="EB662" s="115"/>
      <c r="EC662" s="115"/>
      <c r="ED662" s="113" t="s">
        <v>1</v>
      </c>
    </row>
    <row r="663" spans="1:134" x14ac:dyDescent="0.2">
      <c r="A663" s="731" t="s">
        <v>100</v>
      </c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15"/>
      <c r="AU663" s="115"/>
      <c r="AV663" s="115"/>
      <c r="AW663" s="115"/>
      <c r="AX663" s="115"/>
      <c r="AY663" s="115"/>
      <c r="AZ663" s="115"/>
      <c r="BA663" s="115"/>
      <c r="BB663" s="115"/>
      <c r="BC663" s="115"/>
      <c r="BD663" s="115"/>
      <c r="BE663" s="115"/>
      <c r="BF663" s="115"/>
      <c r="BG663" s="115"/>
      <c r="BH663" s="115"/>
      <c r="BI663" s="115"/>
      <c r="BJ663" s="115"/>
      <c r="BK663" s="115"/>
      <c r="BL663" s="115"/>
      <c r="BM663" s="115"/>
      <c r="BN663" s="115"/>
      <c r="BO663" s="115"/>
      <c r="BP663" s="115"/>
      <c r="BQ663" s="115"/>
      <c r="BR663" s="115"/>
      <c r="BS663" s="115"/>
      <c r="BT663" s="115"/>
      <c r="BU663" s="115"/>
      <c r="BV663" s="115"/>
      <c r="BW663" s="115"/>
      <c r="BX663" s="115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15"/>
      <c r="CU663" s="115"/>
      <c r="CV663" s="115"/>
      <c r="CW663" s="115"/>
      <c r="CX663" s="115"/>
      <c r="CY663" s="115"/>
      <c r="CZ663" s="115"/>
      <c r="DA663" s="115"/>
      <c r="DB663" s="115"/>
      <c r="DC663" s="115"/>
      <c r="DD663" s="115"/>
      <c r="DE663" s="115"/>
      <c r="DF663" s="115"/>
      <c r="DG663" s="115"/>
      <c r="DH663" s="115"/>
      <c r="DI663" s="115"/>
      <c r="DJ663" s="115"/>
      <c r="DK663" s="115"/>
      <c r="DL663" s="115"/>
      <c r="DM663" s="115"/>
      <c r="DN663" s="115"/>
      <c r="DO663" s="115"/>
      <c r="DP663" s="115"/>
      <c r="DQ663" s="115"/>
      <c r="DR663" s="115"/>
      <c r="DS663" s="115"/>
      <c r="DT663" s="115"/>
      <c r="DU663" s="115"/>
      <c r="DV663" s="115"/>
      <c r="DW663" s="115"/>
      <c r="DX663" s="115"/>
      <c r="DY663" s="115"/>
      <c r="DZ663" s="115"/>
      <c r="EA663" s="115"/>
      <c r="EB663" s="115"/>
      <c r="EC663" s="115"/>
      <c r="ED663" s="113" t="s">
        <v>1</v>
      </c>
    </row>
    <row r="664" spans="1:134" x14ac:dyDescent="0.2">
      <c r="A664" s="747" t="s">
        <v>221</v>
      </c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15"/>
      <c r="AU664" s="115"/>
      <c r="AV664" s="115"/>
      <c r="AW664" s="115"/>
      <c r="AX664" s="115"/>
      <c r="AY664" s="115"/>
      <c r="AZ664" s="115"/>
      <c r="BA664" s="115"/>
      <c r="BB664" s="115"/>
      <c r="BC664" s="115"/>
      <c r="BD664" s="115"/>
      <c r="BE664" s="115"/>
      <c r="BF664" s="115"/>
      <c r="BG664" s="115"/>
      <c r="BH664" s="115"/>
      <c r="BI664" s="115"/>
      <c r="BJ664" s="115"/>
      <c r="BK664" s="115"/>
      <c r="BL664" s="115"/>
      <c r="BM664" s="115"/>
      <c r="BN664" s="115"/>
      <c r="BO664" s="115"/>
      <c r="BP664" s="115"/>
      <c r="BQ664" s="115"/>
      <c r="BR664" s="115"/>
      <c r="BS664" s="115"/>
      <c r="BT664" s="115"/>
      <c r="BU664" s="115"/>
      <c r="BV664" s="115"/>
      <c r="BW664" s="115"/>
      <c r="BX664" s="115"/>
      <c r="BY664" s="134">
        <f>BY657/BY650</f>
        <v>1.0674341513819758</v>
      </c>
      <c r="BZ664" s="134">
        <f t="shared" ref="BZ664:CS664" si="2498">BZ657/BZ650</f>
        <v>0.96825941794643966</v>
      </c>
      <c r="CA664" s="134">
        <f t="shared" si="2498"/>
        <v>0.95939660518572079</v>
      </c>
      <c r="CB664" s="134">
        <f t="shared" si="2498"/>
        <v>0.92129981000965633</v>
      </c>
      <c r="CC664" s="134">
        <f t="shared" si="2498"/>
        <v>0.88837966161421278</v>
      </c>
      <c r="CD664" s="134">
        <f t="shared" si="2498"/>
        <v>0.8808997902596053</v>
      </c>
      <c r="CE664" s="134">
        <f t="shared" si="2498"/>
        <v>0.97905840278831335</v>
      </c>
      <c r="CF664" s="134">
        <f t="shared" si="2498"/>
        <v>0.94158741234696108</v>
      </c>
      <c r="CG664" s="134">
        <f t="shared" si="2498"/>
        <v>1.3666930650742664</v>
      </c>
      <c r="CH664" s="134">
        <f t="shared" si="2498"/>
        <v>0.89628798198050685</v>
      </c>
      <c r="CI664" s="134">
        <f t="shared" si="2498"/>
        <v>0.91610913571749342</v>
      </c>
      <c r="CJ664" s="134">
        <f t="shared" si="2498"/>
        <v>0.89774987545661167</v>
      </c>
      <c r="CK664" s="134">
        <f t="shared" si="2498"/>
        <v>0.89677632782773953</v>
      </c>
      <c r="CL664" s="134">
        <f t="shared" si="2498"/>
        <v>0.86139962793885616</v>
      </c>
      <c r="CM664" s="134">
        <f t="shared" si="2498"/>
        <v>0.93870986035851312</v>
      </c>
      <c r="CN664" s="134">
        <f t="shared" si="2498"/>
        <v>0.90188617813621241</v>
      </c>
      <c r="CO664" s="134">
        <f t="shared" si="2498"/>
        <v>0.92682268208545682</v>
      </c>
      <c r="CP664" s="134">
        <f t="shared" si="2498"/>
        <v>0.94096535313136476</v>
      </c>
      <c r="CQ664" s="134">
        <f t="shared" si="2498"/>
        <v>0.97888022373351213</v>
      </c>
      <c r="CR664" s="134">
        <f t="shared" si="2498"/>
        <v>0.94029902673614818</v>
      </c>
      <c r="CS664" s="134">
        <f t="shared" si="2498"/>
        <v>1.0105476021328743</v>
      </c>
      <c r="CT664" s="133">
        <v>0.95</v>
      </c>
      <c r="CU664" s="133">
        <f>CT664</f>
        <v>0.95</v>
      </c>
      <c r="CV664" s="133">
        <f t="shared" ref="CV664:DE664" si="2499">CU664</f>
        <v>0.95</v>
      </c>
      <c r="CW664" s="133">
        <f t="shared" si="2499"/>
        <v>0.95</v>
      </c>
      <c r="CX664" s="133">
        <f t="shared" si="2499"/>
        <v>0.95</v>
      </c>
      <c r="CY664" s="133">
        <f t="shared" si="2499"/>
        <v>0.95</v>
      </c>
      <c r="CZ664" s="133">
        <f t="shared" si="2499"/>
        <v>0.95</v>
      </c>
      <c r="DA664" s="133">
        <f t="shared" si="2499"/>
        <v>0.95</v>
      </c>
      <c r="DB664" s="133">
        <f t="shared" si="2499"/>
        <v>0.95</v>
      </c>
      <c r="DC664" s="133">
        <f t="shared" si="2499"/>
        <v>0.95</v>
      </c>
      <c r="DD664" s="133">
        <f t="shared" si="2499"/>
        <v>0.95</v>
      </c>
      <c r="DE664" s="133">
        <f t="shared" si="2499"/>
        <v>0.95</v>
      </c>
      <c r="DF664" s="133">
        <v>0.94</v>
      </c>
      <c r="DG664" s="133">
        <f t="shared" ref="DG664:DQ664" si="2500">DF664</f>
        <v>0.94</v>
      </c>
      <c r="DH664" s="133">
        <f t="shared" si="2500"/>
        <v>0.94</v>
      </c>
      <c r="DI664" s="133">
        <f t="shared" si="2500"/>
        <v>0.94</v>
      </c>
      <c r="DJ664" s="133">
        <f t="shared" si="2500"/>
        <v>0.94</v>
      </c>
      <c r="DK664" s="133">
        <f t="shared" si="2500"/>
        <v>0.94</v>
      </c>
      <c r="DL664" s="133">
        <f t="shared" si="2500"/>
        <v>0.94</v>
      </c>
      <c r="DM664" s="133">
        <f t="shared" si="2500"/>
        <v>0.94</v>
      </c>
      <c r="DN664" s="133">
        <f t="shared" si="2500"/>
        <v>0.94</v>
      </c>
      <c r="DO664" s="133">
        <f t="shared" si="2500"/>
        <v>0.94</v>
      </c>
      <c r="DP664" s="133">
        <f t="shared" si="2500"/>
        <v>0.94</v>
      </c>
      <c r="DQ664" s="133">
        <f t="shared" si="2500"/>
        <v>0.94</v>
      </c>
      <c r="DR664" s="133">
        <v>0.92</v>
      </c>
      <c r="DS664" s="133">
        <f t="shared" ref="DS664:DS665" si="2501">DR664</f>
        <v>0.92</v>
      </c>
      <c r="DT664" s="133">
        <f t="shared" ref="DT664:DT665" si="2502">DS664</f>
        <v>0.92</v>
      </c>
      <c r="DU664" s="133">
        <f t="shared" ref="DU664:DU665" si="2503">DT664</f>
        <v>0.92</v>
      </c>
      <c r="DV664" s="133">
        <f t="shared" ref="DV664:DV665" si="2504">DU664</f>
        <v>0.92</v>
      </c>
      <c r="DW664" s="133">
        <f t="shared" ref="DW664:DW665" si="2505">DV664</f>
        <v>0.92</v>
      </c>
      <c r="DX664" s="133">
        <f t="shared" ref="DX664:DX665" si="2506">DW664</f>
        <v>0.92</v>
      </c>
      <c r="DY664" s="133">
        <f t="shared" ref="DY664:DY665" si="2507">DX664</f>
        <v>0.92</v>
      </c>
      <c r="DZ664" s="133">
        <f t="shared" ref="DZ664:DZ665" si="2508">DY664</f>
        <v>0.92</v>
      </c>
      <c r="EA664" s="133">
        <f t="shared" ref="EA664:EA665" si="2509">DZ664</f>
        <v>0.92</v>
      </c>
      <c r="EB664" s="133">
        <f t="shared" ref="EB664:EB665" si="2510">EA664</f>
        <v>0.92</v>
      </c>
      <c r="EC664" s="133">
        <f t="shared" ref="EC664:EC665" si="2511">EB664</f>
        <v>0.92</v>
      </c>
      <c r="ED664" s="113" t="s">
        <v>1</v>
      </c>
    </row>
    <row r="665" spans="1:134" x14ac:dyDescent="0.2">
      <c r="A665" s="747" t="s">
        <v>222</v>
      </c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115"/>
      <c r="AU665" s="115"/>
      <c r="AV665" s="115"/>
      <c r="AW665" s="115"/>
      <c r="AX665" s="115"/>
      <c r="AY665" s="115"/>
      <c r="AZ665" s="115"/>
      <c r="BA665" s="115"/>
      <c r="BB665" s="115"/>
      <c r="BC665" s="115"/>
      <c r="BD665" s="115"/>
      <c r="BE665" s="115"/>
      <c r="BF665" s="115"/>
      <c r="BG665" s="115"/>
      <c r="BH665" s="115"/>
      <c r="BI665" s="115"/>
      <c r="BJ665" s="115"/>
      <c r="BK665" s="115"/>
      <c r="BL665" s="115"/>
      <c r="BM665" s="115"/>
      <c r="BN665" s="115"/>
      <c r="BO665" s="115"/>
      <c r="BP665" s="115"/>
      <c r="BQ665" s="115"/>
      <c r="BR665" s="115"/>
      <c r="BS665" s="115"/>
      <c r="BT665" s="115"/>
      <c r="BU665" s="115"/>
      <c r="BV665" s="115"/>
      <c r="BW665" s="115"/>
      <c r="BX665" s="115"/>
      <c r="BY665" s="134">
        <f>BY658/BY651</f>
        <v>0.71684181182164064</v>
      </c>
      <c r="BZ665" s="134">
        <f t="shared" ref="BZ665:CS665" si="2512">BZ658/BZ651</f>
        <v>0.7124344243760059</v>
      </c>
      <c r="CA665" s="134">
        <f t="shared" si="2512"/>
        <v>0.73507902411682224</v>
      </c>
      <c r="CB665" s="134">
        <f t="shared" si="2512"/>
        <v>0.74472785447449374</v>
      </c>
      <c r="CC665" s="134">
        <f t="shared" si="2512"/>
        <v>0.73309441223624583</v>
      </c>
      <c r="CD665" s="134">
        <f t="shared" si="2512"/>
        <v>0.74608254810088526</v>
      </c>
      <c r="CE665" s="134">
        <f t="shared" si="2512"/>
        <v>0.72194176908110474</v>
      </c>
      <c r="CF665" s="134">
        <f t="shared" si="2512"/>
        <v>0.75572027279479992</v>
      </c>
      <c r="CG665" s="134">
        <f t="shared" si="2512"/>
        <v>0.75485384421116164</v>
      </c>
      <c r="CH665" s="134">
        <f t="shared" si="2512"/>
        <v>0.74240500005045662</v>
      </c>
      <c r="CI665" s="134">
        <f t="shared" si="2512"/>
        <v>0.75232581989955183</v>
      </c>
      <c r="CJ665" s="134">
        <f t="shared" si="2512"/>
        <v>0.74970621686529026</v>
      </c>
      <c r="CK665" s="134">
        <f t="shared" si="2512"/>
        <v>0.67773107915516317</v>
      </c>
      <c r="CL665" s="134">
        <f t="shared" si="2512"/>
        <v>0.66929968932375472</v>
      </c>
      <c r="CM665" s="134">
        <f t="shared" si="2512"/>
        <v>0.69404365588020156</v>
      </c>
      <c r="CN665" s="134">
        <f t="shared" si="2512"/>
        <v>0.75146639788941449</v>
      </c>
      <c r="CO665" s="134">
        <f t="shared" si="2512"/>
        <v>0.78217393067600127</v>
      </c>
      <c r="CP665" s="134">
        <f t="shared" si="2512"/>
        <v>0.78779295508628033</v>
      </c>
      <c r="CQ665" s="134">
        <f t="shared" si="2512"/>
        <v>0.76059482467122885</v>
      </c>
      <c r="CR665" s="134">
        <f t="shared" si="2512"/>
        <v>0.77379197504438701</v>
      </c>
      <c r="CS665" s="134">
        <f t="shared" si="2512"/>
        <v>0.75743282745084883</v>
      </c>
      <c r="CT665" s="133">
        <f>CS665</f>
        <v>0.75743282745084883</v>
      </c>
      <c r="CU665" s="133">
        <f t="shared" ref="CU665:DQ665" si="2513">CT665</f>
        <v>0.75743282745084883</v>
      </c>
      <c r="CV665" s="133">
        <f t="shared" si="2513"/>
        <v>0.75743282745084883</v>
      </c>
      <c r="CW665" s="133">
        <f t="shared" si="2513"/>
        <v>0.75743282745084883</v>
      </c>
      <c r="CX665" s="133">
        <f t="shared" si="2513"/>
        <v>0.75743282745084883</v>
      </c>
      <c r="CY665" s="133">
        <f t="shared" si="2513"/>
        <v>0.75743282745084883</v>
      </c>
      <c r="CZ665" s="133">
        <f t="shared" si="2513"/>
        <v>0.75743282745084883</v>
      </c>
      <c r="DA665" s="133">
        <f t="shared" si="2513"/>
        <v>0.75743282745084883</v>
      </c>
      <c r="DB665" s="133">
        <f t="shared" si="2513"/>
        <v>0.75743282745084883</v>
      </c>
      <c r="DC665" s="133">
        <f t="shared" si="2513"/>
        <v>0.75743282745084883</v>
      </c>
      <c r="DD665" s="133">
        <f t="shared" si="2513"/>
        <v>0.75743282745084883</v>
      </c>
      <c r="DE665" s="133">
        <f t="shared" si="2513"/>
        <v>0.75743282745084883</v>
      </c>
      <c r="DF665" s="133">
        <v>0.72</v>
      </c>
      <c r="DG665" s="133">
        <f t="shared" si="2513"/>
        <v>0.72</v>
      </c>
      <c r="DH665" s="133">
        <f t="shared" si="2513"/>
        <v>0.72</v>
      </c>
      <c r="DI665" s="133">
        <f t="shared" si="2513"/>
        <v>0.72</v>
      </c>
      <c r="DJ665" s="133">
        <f t="shared" si="2513"/>
        <v>0.72</v>
      </c>
      <c r="DK665" s="133">
        <f t="shared" si="2513"/>
        <v>0.72</v>
      </c>
      <c r="DL665" s="133">
        <f t="shared" si="2513"/>
        <v>0.72</v>
      </c>
      <c r="DM665" s="133">
        <f t="shared" si="2513"/>
        <v>0.72</v>
      </c>
      <c r="DN665" s="133">
        <f t="shared" si="2513"/>
        <v>0.72</v>
      </c>
      <c r="DO665" s="133">
        <f t="shared" si="2513"/>
        <v>0.72</v>
      </c>
      <c r="DP665" s="133">
        <f t="shared" si="2513"/>
        <v>0.72</v>
      </c>
      <c r="DQ665" s="133">
        <f t="shared" si="2513"/>
        <v>0.72</v>
      </c>
      <c r="DR665" s="133">
        <v>0.7</v>
      </c>
      <c r="DS665" s="133">
        <f t="shared" si="2501"/>
        <v>0.7</v>
      </c>
      <c r="DT665" s="133">
        <f t="shared" si="2502"/>
        <v>0.7</v>
      </c>
      <c r="DU665" s="133">
        <f t="shared" si="2503"/>
        <v>0.7</v>
      </c>
      <c r="DV665" s="133">
        <f t="shared" si="2504"/>
        <v>0.7</v>
      </c>
      <c r="DW665" s="133">
        <f t="shared" si="2505"/>
        <v>0.7</v>
      </c>
      <c r="DX665" s="133">
        <f t="shared" si="2506"/>
        <v>0.7</v>
      </c>
      <c r="DY665" s="133">
        <f t="shared" si="2507"/>
        <v>0.7</v>
      </c>
      <c r="DZ665" s="133">
        <f t="shared" si="2508"/>
        <v>0.7</v>
      </c>
      <c r="EA665" s="133">
        <f t="shared" si="2509"/>
        <v>0.7</v>
      </c>
      <c r="EB665" s="133">
        <f t="shared" si="2510"/>
        <v>0.7</v>
      </c>
      <c r="EC665" s="133">
        <f t="shared" si="2511"/>
        <v>0.7</v>
      </c>
      <c r="ED665" s="113" t="s">
        <v>1</v>
      </c>
    </row>
    <row r="666" spans="1:134" x14ac:dyDescent="0.2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15"/>
      <c r="AU666" s="115"/>
      <c r="AV666" s="115"/>
      <c r="AW666" s="115"/>
      <c r="AX666" s="115"/>
      <c r="AY666" s="115"/>
      <c r="AZ666" s="115"/>
      <c r="BA666" s="115"/>
      <c r="BB666" s="115"/>
      <c r="BC666" s="115"/>
      <c r="BD666" s="115"/>
      <c r="BE666" s="115"/>
      <c r="BF666" s="115"/>
      <c r="BG666" s="115"/>
      <c r="BH666" s="115"/>
      <c r="BI666" s="115"/>
      <c r="BJ666" s="115"/>
      <c r="BK666" s="115"/>
      <c r="BL666" s="115"/>
      <c r="BM666" s="115"/>
      <c r="BN666" s="115"/>
      <c r="BO666" s="115"/>
      <c r="BP666" s="115"/>
      <c r="BQ666" s="115"/>
      <c r="BR666" s="115"/>
      <c r="BS666" s="115"/>
      <c r="BT666" s="115"/>
      <c r="BU666" s="115"/>
      <c r="BV666" s="115"/>
      <c r="BW666" s="115"/>
      <c r="BX666" s="115"/>
      <c r="BY666" s="115"/>
      <c r="BZ666" s="115"/>
      <c r="CA666" s="115"/>
      <c r="CB666" s="115"/>
      <c r="CC666" s="115"/>
      <c r="CD666" s="115"/>
      <c r="CE666" s="115"/>
      <c r="CF666" s="115"/>
      <c r="CG666" s="115"/>
      <c r="CH666" s="115"/>
      <c r="CI666" s="115"/>
      <c r="CJ666" s="115"/>
      <c r="CK666" s="115"/>
      <c r="CL666" s="115"/>
      <c r="CM666" s="115"/>
      <c r="CN666" s="115"/>
      <c r="CO666" s="115"/>
      <c r="CP666" s="115"/>
      <c r="CQ666" s="115"/>
      <c r="CR666" s="115"/>
      <c r="CS666" s="115"/>
      <c r="CT666" s="115"/>
      <c r="CU666" s="115"/>
      <c r="CV666" s="115"/>
      <c r="CW666" s="115"/>
      <c r="CX666" s="115"/>
      <c r="CY666" s="115"/>
      <c r="CZ666" s="115"/>
      <c r="DA666" s="115"/>
      <c r="DB666" s="115"/>
      <c r="DC666" s="115"/>
      <c r="DD666" s="115"/>
      <c r="DE666" s="115"/>
      <c r="DF666" s="115"/>
      <c r="DG666" s="115"/>
      <c r="DH666" s="115"/>
      <c r="DI666" s="115"/>
      <c r="DJ666" s="115"/>
      <c r="DK666" s="115"/>
      <c r="DL666" s="115"/>
      <c r="DM666" s="115"/>
      <c r="DN666" s="115"/>
      <c r="DO666" s="115"/>
      <c r="DP666" s="115"/>
      <c r="DQ666" s="115"/>
      <c r="DR666" s="115"/>
      <c r="DS666" s="115"/>
      <c r="DT666" s="115"/>
      <c r="DU666" s="115"/>
      <c r="DV666" s="115"/>
      <c r="DW666" s="115"/>
      <c r="DX666" s="115"/>
      <c r="DY666" s="115"/>
      <c r="DZ666" s="115"/>
      <c r="EA666" s="115"/>
      <c r="EB666" s="115"/>
      <c r="EC666" s="645"/>
      <c r="ED666" s="113" t="s">
        <v>1</v>
      </c>
    </row>
    <row r="667" spans="1:134" x14ac:dyDescent="0.2">
      <c r="A667" s="746" t="s">
        <v>223</v>
      </c>
      <c r="B667" s="746"/>
      <c r="C667" s="746"/>
      <c r="D667" s="746"/>
      <c r="E667" s="746"/>
      <c r="F667" s="746"/>
      <c r="G667" s="746"/>
      <c r="H667" s="746"/>
      <c r="I667" s="746"/>
      <c r="J667" s="746"/>
      <c r="K667" s="746"/>
      <c r="L667" s="746"/>
      <c r="M667" s="746"/>
      <c r="N667" s="746"/>
      <c r="O667" s="746"/>
      <c r="P667" s="746"/>
      <c r="Q667" s="746"/>
      <c r="R667" s="746"/>
      <c r="S667" s="746"/>
      <c r="T667" s="746"/>
      <c r="U667" s="746"/>
      <c r="V667" s="746"/>
      <c r="W667" s="746"/>
      <c r="X667" s="746"/>
      <c r="Y667" s="746"/>
      <c r="Z667" s="746"/>
      <c r="AA667" s="746"/>
      <c r="AB667" s="746"/>
      <c r="AC667" s="746"/>
      <c r="AD667" s="746"/>
      <c r="AE667" s="746"/>
      <c r="AF667" s="746"/>
      <c r="AG667" s="746"/>
      <c r="AH667" s="746"/>
      <c r="AI667" s="746"/>
      <c r="AJ667" s="746"/>
      <c r="AK667" s="746"/>
      <c r="AL667" s="746"/>
      <c r="AM667" s="746"/>
      <c r="AN667" s="746"/>
      <c r="AO667" s="746"/>
      <c r="AP667" s="746"/>
      <c r="AQ667" s="746"/>
      <c r="AR667" s="746"/>
      <c r="AS667" s="746"/>
      <c r="AT667" s="746"/>
      <c r="AU667" s="746"/>
      <c r="AV667" s="746"/>
      <c r="AW667" s="746"/>
      <c r="AX667" s="746"/>
      <c r="AY667" s="746"/>
      <c r="AZ667" s="746"/>
      <c r="BA667" s="746"/>
      <c r="BB667" s="746"/>
      <c r="BC667" s="746"/>
      <c r="BD667" s="746"/>
      <c r="BE667" s="746"/>
      <c r="BF667" s="746"/>
      <c r="BG667" s="746"/>
      <c r="BH667" s="746"/>
      <c r="BI667" s="746"/>
      <c r="BJ667" s="746"/>
      <c r="BK667" s="746"/>
      <c r="BL667" s="746"/>
      <c r="BM667" s="746"/>
      <c r="BN667" s="746"/>
      <c r="BO667" s="746"/>
      <c r="BP667" s="746"/>
      <c r="BQ667" s="746"/>
      <c r="BR667" s="746"/>
      <c r="BS667" s="746"/>
      <c r="BT667" s="746"/>
      <c r="BU667" s="746"/>
      <c r="BV667" s="746"/>
      <c r="BW667" s="746"/>
      <c r="BX667" s="746"/>
      <c r="BY667" s="729">
        <f>SUM(BY668:BY669)</f>
        <v>4433025.2700756826</v>
      </c>
      <c r="BZ667" s="729">
        <f t="shared" ref="BZ667" si="2514">SUM(BZ668:BZ669)</f>
        <v>5801651.5730084907</v>
      </c>
      <c r="CA667" s="729">
        <f t="shared" ref="CA667" si="2515">SUM(CA668:CA669)</f>
        <v>7762508.4680119827</v>
      </c>
      <c r="CB667" s="729">
        <f t="shared" ref="CB667" si="2516">SUM(CB668:CB669)</f>
        <v>6709058.6141409259</v>
      </c>
      <c r="CC667" s="729">
        <f t="shared" ref="CC667" si="2517">SUM(CC668:CC669)</f>
        <v>9431937.9171596728</v>
      </c>
      <c r="CD667" s="729">
        <f t="shared" ref="CD667" si="2518">SUM(CD668:CD669)</f>
        <v>10489577.405591486</v>
      </c>
      <c r="CE667" s="729">
        <f t="shared" ref="CE667" si="2519">SUM(CE668:CE669)</f>
        <v>11324645.221179694</v>
      </c>
      <c r="CF667" s="729">
        <f t="shared" ref="CF667" si="2520">SUM(CF668:CF669)</f>
        <v>9297169.6751109213</v>
      </c>
      <c r="CG667" s="729">
        <f t="shared" ref="CG667" si="2521">SUM(CG668:CG669)</f>
        <v>-1186390.0908204056</v>
      </c>
      <c r="CH667" s="729">
        <f t="shared" ref="CH667" si="2522">SUM(CH668:CH669)</f>
        <v>11653140.196166366</v>
      </c>
      <c r="CI667" s="729">
        <f t="shared" ref="CI667" si="2523">SUM(CI668:CI669)</f>
        <v>15018175.647206679</v>
      </c>
      <c r="CJ667" s="729">
        <f t="shared" ref="CJ667" si="2524">SUM(CJ668:CJ669)</f>
        <v>18395420.069118261</v>
      </c>
      <c r="CK667" s="729">
        <f t="shared" ref="CK667" si="2525">SUM(CK668:CK669)</f>
        <v>23033850.677287959</v>
      </c>
      <c r="CL667" s="729">
        <f t="shared" ref="CL667" si="2526">SUM(CL668:CL669)</f>
        <v>25644530.43830505</v>
      </c>
      <c r="CM667" s="729">
        <f t="shared" ref="CM667" si="2527">SUM(CM668:CM669)</f>
        <v>21408506.807796538</v>
      </c>
      <c r="CN667" s="729">
        <f t="shared" ref="CN667" si="2528">SUM(CN668:CN669)</f>
        <v>18081049.600338906</v>
      </c>
      <c r="CO667" s="729">
        <f t="shared" ref="CO667" si="2529">SUM(CO668:CO669)</f>
        <v>18240749.7905083</v>
      </c>
      <c r="CP667" s="729">
        <f t="shared" ref="CP667" si="2530">SUM(CP668:CP669)</f>
        <v>21459149.206948988</v>
      </c>
      <c r="CQ667" s="729">
        <f t="shared" ref="CQ667" si="2531">SUM(CQ668:CQ669)</f>
        <v>21503641.308813579</v>
      </c>
      <c r="CR667" s="729">
        <f t="shared" ref="CR667" si="2532">SUM(CR668:CR669)</f>
        <v>18034189.76593221</v>
      </c>
      <c r="CS667" s="729">
        <f t="shared" ref="CS667" si="2533">SUM(CS668:CS669)</f>
        <v>17600859.428728826</v>
      </c>
      <c r="CT667" s="729">
        <f t="shared" ref="CT667" si="2534">SUM(CT668:CT669)</f>
        <v>27575488.073386051</v>
      </c>
      <c r="CU667" s="729">
        <f t="shared" ref="CU667" si="2535">SUM(CU668:CU669)</f>
        <v>30333036.880724654</v>
      </c>
      <c r="CV667" s="729">
        <f t="shared" ref="CV667" si="2536">SUM(CV668:CV669)</f>
        <v>31849688.72476089</v>
      </c>
      <c r="CW667" s="729">
        <f t="shared" ref="CW667" si="2537">SUM(CW668:CW669)</f>
        <v>33442173.160998933</v>
      </c>
      <c r="CX667" s="729">
        <f t="shared" ref="CX667" si="2538">SUM(CX668:CX669)</f>
        <v>35114281.819048882</v>
      </c>
      <c r="CY667" s="729">
        <f t="shared" ref="CY667" si="2539">SUM(CY668:CY669)</f>
        <v>36869995.91000133</v>
      </c>
      <c r="CZ667" s="729">
        <f t="shared" ref="CZ667" si="2540">SUM(CZ668:CZ669)</f>
        <v>38713495.705501392</v>
      </c>
      <c r="DA667" s="729">
        <f t="shared" ref="DA667" si="2541">SUM(DA668:DA669)</f>
        <v>40649170.490776457</v>
      </c>
      <c r="DB667" s="729">
        <f t="shared" ref="DB667" si="2542">SUM(DB668:DB669)</f>
        <v>42681629.015315287</v>
      </c>
      <c r="DC667" s="729">
        <f t="shared" ref="DC667" si="2543">SUM(DC668:DC669)</f>
        <v>44815710.466081053</v>
      </c>
      <c r="DD667" s="729">
        <f t="shared" ref="DD667" si="2544">SUM(DD668:DD669)</f>
        <v>47056495.989385106</v>
      </c>
      <c r="DE667" s="729">
        <f t="shared" ref="DE667" si="2545">SUM(DE668:DE669)</f>
        <v>49409320.788854368</v>
      </c>
      <c r="DF667" s="729">
        <f t="shared" ref="DF667" si="2546">SUM(DF668:DF669)</f>
        <v>63047129.871237636</v>
      </c>
      <c r="DG667" s="729">
        <f t="shared" ref="DG667" si="2547">SUM(DG668:DG669)</f>
        <v>66199486.364799529</v>
      </c>
      <c r="DH667" s="729">
        <f t="shared" ref="DH667" si="2548">SUM(DH668:DH669)</f>
        <v>69509460.683039486</v>
      </c>
      <c r="DI667" s="729">
        <f t="shared" ref="DI667" si="2549">SUM(DI668:DI669)</f>
        <v>72984933.717191443</v>
      </c>
      <c r="DJ667" s="729">
        <f t="shared" ref="DJ667" si="2550">SUM(DJ668:DJ669)</f>
        <v>76634180.403051049</v>
      </c>
      <c r="DK667" s="729">
        <f t="shared" ref="DK667" si="2551">SUM(DK668:DK669)</f>
        <v>80465889.423203602</v>
      </c>
      <c r="DL667" s="729">
        <f t="shared" ref="DL667" si="2552">SUM(DL668:DL669)</f>
        <v>84489183.894363791</v>
      </c>
      <c r="DM667" s="729">
        <f t="shared" ref="DM667" si="2553">SUM(DM668:DM669)</f>
        <v>88713643.089081973</v>
      </c>
      <c r="DN667" s="729">
        <f t="shared" ref="DN667" si="2554">SUM(DN668:DN669)</f>
        <v>93149325.2435361</v>
      </c>
      <c r="DO667" s="729">
        <f t="shared" ref="DO667" si="2555">SUM(DO668:DO669)</f>
        <v>97806791.505712882</v>
      </c>
      <c r="DP667" s="729">
        <f t="shared" ref="DP667" si="2556">SUM(DP668:DP669)</f>
        <v>102697131.08099854</v>
      </c>
      <c r="DQ667" s="729">
        <f t="shared" ref="DQ667:EC667" si="2557">SUM(DQ668:DQ669)</f>
        <v>107831987.63504846</v>
      </c>
      <c r="DR667" s="729">
        <f t="shared" si="2557"/>
        <v>120436790.05328991</v>
      </c>
      <c r="DS667" s="729">
        <f t="shared" si="2557"/>
        <v>123447709.80462217</v>
      </c>
      <c r="DT667" s="729">
        <f t="shared" si="2557"/>
        <v>126533902.54973774</v>
      </c>
      <c r="DU667" s="729">
        <f t="shared" si="2557"/>
        <v>129697250.11348113</v>
      </c>
      <c r="DV667" s="729">
        <f t="shared" si="2557"/>
        <v>132939681.36631812</v>
      </c>
      <c r="DW667" s="729">
        <f t="shared" si="2557"/>
        <v>136263173.40047607</v>
      </c>
      <c r="DX667" s="729">
        <f t="shared" si="2557"/>
        <v>139669752.735488</v>
      </c>
      <c r="DY667" s="729">
        <f t="shared" si="2557"/>
        <v>143161496.55387518</v>
      </c>
      <c r="DZ667" s="729">
        <f t="shared" si="2557"/>
        <v>146740533.96772203</v>
      </c>
      <c r="EA667" s="729">
        <f t="shared" si="2557"/>
        <v>150409047.31691509</v>
      </c>
      <c r="EB667" s="729">
        <f t="shared" si="2557"/>
        <v>154169273.49983793</v>
      </c>
      <c r="EC667" s="729">
        <f t="shared" si="2557"/>
        <v>158023505.33733386</v>
      </c>
      <c r="ED667" s="113" t="s">
        <v>1</v>
      </c>
    </row>
    <row r="668" spans="1:134" x14ac:dyDescent="0.2">
      <c r="A668" s="730" t="s">
        <v>221</v>
      </c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15"/>
      <c r="AU668" s="115"/>
      <c r="AV668" s="115"/>
      <c r="AW668" s="115"/>
      <c r="AX668" s="115"/>
      <c r="AY668" s="115"/>
      <c r="AZ668" s="115"/>
      <c r="BA668" s="115"/>
      <c r="BB668" s="115"/>
      <c r="BC668" s="115"/>
      <c r="BD668" s="115"/>
      <c r="BE668" s="115"/>
      <c r="BF668" s="115"/>
      <c r="BG668" s="115"/>
      <c r="BH668" s="115"/>
      <c r="BI668" s="115"/>
      <c r="BJ668" s="115"/>
      <c r="BK668" s="115"/>
      <c r="BL668" s="115"/>
      <c r="BM668" s="115"/>
      <c r="BN668" s="115"/>
      <c r="BO668" s="115"/>
      <c r="BP668" s="115"/>
      <c r="BQ668" s="115"/>
      <c r="BR668" s="115"/>
      <c r="BS668" s="115"/>
      <c r="BT668" s="115"/>
      <c r="BU668" s="115"/>
      <c r="BV668" s="115"/>
      <c r="BW668" s="115"/>
      <c r="BX668" s="115"/>
      <c r="BY668" s="129">
        <f t="shared" ref="BY668:CS668" si="2558">BY650-BY657</f>
        <v>-832490.4910169486</v>
      </c>
      <c r="BZ668" s="129">
        <f t="shared" si="2558"/>
        <v>775857.05100272596</v>
      </c>
      <c r="CA668" s="129">
        <f t="shared" si="2558"/>
        <v>1335769.1689553335</v>
      </c>
      <c r="CB668" s="129">
        <f t="shared" si="2558"/>
        <v>1776858.3074579798</v>
      </c>
      <c r="CC668" s="129">
        <f t="shared" si="2558"/>
        <v>2668269.8209998384</v>
      </c>
      <c r="CD668" s="129">
        <f t="shared" si="2558"/>
        <v>1526089.2178434264</v>
      </c>
      <c r="CE668" s="129">
        <f t="shared" si="2558"/>
        <v>479633.22978040576</v>
      </c>
      <c r="CF668" s="129">
        <f t="shared" si="2558"/>
        <v>1333336.4201832265</v>
      </c>
      <c r="CG668" s="129">
        <f t="shared" si="2558"/>
        <v>-9434369.7550847344</v>
      </c>
      <c r="CH668" s="129">
        <f t="shared" si="2558"/>
        <v>2442524.2472400516</v>
      </c>
      <c r="CI668" s="129">
        <f t="shared" si="2558"/>
        <v>3779363.6849678904</v>
      </c>
      <c r="CJ668" s="129">
        <f t="shared" si="2558"/>
        <v>5117833.9811276346</v>
      </c>
      <c r="CK668" s="129">
        <f t="shared" si="2558"/>
        <v>2995638.4123728797</v>
      </c>
      <c r="CL668" s="129">
        <f t="shared" si="2558"/>
        <v>3717665.7354237288</v>
      </c>
      <c r="CM668" s="129">
        <f t="shared" si="2558"/>
        <v>2235687.3654237315</v>
      </c>
      <c r="CN668" s="129">
        <f t="shared" si="2558"/>
        <v>3119147.2523728907</v>
      </c>
      <c r="CO668" s="129">
        <f t="shared" si="2558"/>
        <v>3291844.7774576396</v>
      </c>
      <c r="CP668" s="129">
        <f t="shared" si="2558"/>
        <v>2591557.7684745565</v>
      </c>
      <c r="CQ668" s="129">
        <f t="shared" si="2558"/>
        <v>914851.40864405781</v>
      </c>
      <c r="CR668" s="129">
        <f t="shared" si="2558"/>
        <v>2856144.4805084765</v>
      </c>
      <c r="CS668" s="129">
        <f t="shared" si="2558"/>
        <v>-395483.96872879565</v>
      </c>
      <c r="CT668" s="129">
        <f t="shared" ref="CT668:DQ668" si="2559">CT650-CT657</f>
        <v>1850542.5020681843</v>
      </c>
      <c r="CU668" s="129">
        <f t="shared" si="2559"/>
        <v>2035596.752275005</v>
      </c>
      <c r="CV668" s="129">
        <f t="shared" si="2559"/>
        <v>2137376.5898887515</v>
      </c>
      <c r="CW668" s="129">
        <f t="shared" si="2559"/>
        <v>2244245.4193831906</v>
      </c>
      <c r="CX668" s="129">
        <f t="shared" si="2559"/>
        <v>2356457.6903523505</v>
      </c>
      <c r="CY668" s="129">
        <f t="shared" si="2559"/>
        <v>2474280.574869968</v>
      </c>
      <c r="CZ668" s="129">
        <f t="shared" si="2559"/>
        <v>2597994.603613466</v>
      </c>
      <c r="DA668" s="129">
        <f t="shared" si="2559"/>
        <v>2727894.3337941393</v>
      </c>
      <c r="DB668" s="129">
        <f t="shared" si="2559"/>
        <v>2864289.0504838452</v>
      </c>
      <c r="DC668" s="129">
        <f t="shared" si="2559"/>
        <v>3007503.5030080378</v>
      </c>
      <c r="DD668" s="129">
        <f t="shared" si="2559"/>
        <v>3157878.6781584397</v>
      </c>
      <c r="DE668" s="129">
        <f t="shared" si="2559"/>
        <v>3315772.6120663658</v>
      </c>
      <c r="DF668" s="129">
        <f t="shared" si="2559"/>
        <v>4386767.1657637954</v>
      </c>
      <c r="DG668" s="129">
        <f t="shared" si="2559"/>
        <v>4606105.5240519941</v>
      </c>
      <c r="DH668" s="129">
        <f t="shared" si="2559"/>
        <v>4836410.8002545834</v>
      </c>
      <c r="DI668" s="129">
        <f t="shared" si="2559"/>
        <v>5078231.3402673155</v>
      </c>
      <c r="DJ668" s="129">
        <f t="shared" si="2559"/>
        <v>5332142.9072806835</v>
      </c>
      <c r="DK668" s="129">
        <f t="shared" si="2559"/>
        <v>5598750.0526447147</v>
      </c>
      <c r="DL668" s="129">
        <f t="shared" si="2559"/>
        <v>5878687.5552769601</v>
      </c>
      <c r="DM668" s="129">
        <f t="shared" si="2559"/>
        <v>6172621.9330407977</v>
      </c>
      <c r="DN668" s="129">
        <f t="shared" si="2559"/>
        <v>6481253.0296928436</v>
      </c>
      <c r="DO668" s="129">
        <f t="shared" si="2559"/>
        <v>6805315.681177482</v>
      </c>
      <c r="DP668" s="129">
        <f t="shared" si="2559"/>
        <v>7145581.4652363658</v>
      </c>
      <c r="DQ668" s="129">
        <f t="shared" si="2559"/>
        <v>7502860.5384981781</v>
      </c>
      <c r="DR668" s="129">
        <f t="shared" ref="DR668:EC668" si="2560">DR650-DR657</f>
        <v>10253909.402614161</v>
      </c>
      <c r="DS668" s="129">
        <f t="shared" si="2560"/>
        <v>10510257.137679517</v>
      </c>
      <c r="DT668" s="129">
        <f t="shared" si="2560"/>
        <v>10773013.566121504</v>
      </c>
      <c r="DU668" s="129">
        <f t="shared" si="2560"/>
        <v>11042338.90527454</v>
      </c>
      <c r="DV668" s="129">
        <f t="shared" si="2560"/>
        <v>11318397.377906397</v>
      </c>
      <c r="DW668" s="129">
        <f t="shared" si="2560"/>
        <v>11601357.312354058</v>
      </c>
      <c r="DX668" s="129">
        <f t="shared" si="2560"/>
        <v>11891391.245162904</v>
      </c>
      <c r="DY668" s="129">
        <f t="shared" si="2560"/>
        <v>12188676.026291996</v>
      </c>
      <c r="DZ668" s="129">
        <f t="shared" si="2560"/>
        <v>12493392.926949292</v>
      </c>
      <c r="EA668" s="129">
        <f t="shared" si="2560"/>
        <v>12805727.750123024</v>
      </c>
      <c r="EB668" s="129">
        <f t="shared" si="2560"/>
        <v>13125870.943876088</v>
      </c>
      <c r="EC668" s="129">
        <f t="shared" si="2560"/>
        <v>13454017.71747297</v>
      </c>
      <c r="ED668" s="113" t="s">
        <v>1</v>
      </c>
    </row>
    <row r="669" spans="1:134" x14ac:dyDescent="0.2">
      <c r="A669" s="730" t="s">
        <v>222</v>
      </c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15"/>
      <c r="AU669" s="115"/>
      <c r="AV669" s="115"/>
      <c r="AW669" s="115"/>
      <c r="AX669" s="115"/>
      <c r="AY669" s="115"/>
      <c r="AZ669" s="115"/>
      <c r="BA669" s="115"/>
      <c r="BB669" s="115"/>
      <c r="BC669" s="115"/>
      <c r="BD669" s="115"/>
      <c r="BE669" s="115"/>
      <c r="BF669" s="115"/>
      <c r="BG669" s="115"/>
      <c r="BH669" s="115"/>
      <c r="BI669" s="115"/>
      <c r="BJ669" s="115"/>
      <c r="BK669" s="115"/>
      <c r="BL669" s="115"/>
      <c r="BM669" s="115"/>
      <c r="BN669" s="115"/>
      <c r="BO669" s="115"/>
      <c r="BP669" s="115"/>
      <c r="BQ669" s="115"/>
      <c r="BR669" s="115"/>
      <c r="BS669" s="115"/>
      <c r="BT669" s="115"/>
      <c r="BU669" s="115"/>
      <c r="BV669" s="115"/>
      <c r="BW669" s="115"/>
      <c r="BX669" s="115"/>
      <c r="BY669" s="129">
        <f t="shared" ref="BY669:CS669" si="2561">BY651-BY658</f>
        <v>5265515.7610926311</v>
      </c>
      <c r="BZ669" s="129">
        <f t="shared" si="2561"/>
        <v>5025794.5220057648</v>
      </c>
      <c r="CA669" s="129">
        <f t="shared" si="2561"/>
        <v>6426739.2990566492</v>
      </c>
      <c r="CB669" s="129">
        <f t="shared" si="2561"/>
        <v>4932200.3066829462</v>
      </c>
      <c r="CC669" s="129">
        <f t="shared" si="2561"/>
        <v>6763668.0961598344</v>
      </c>
      <c r="CD669" s="129">
        <f t="shared" si="2561"/>
        <v>8963488.1877480596</v>
      </c>
      <c r="CE669" s="129">
        <f t="shared" si="2561"/>
        <v>10845011.991399288</v>
      </c>
      <c r="CF669" s="129">
        <f t="shared" si="2561"/>
        <v>7963833.2549276948</v>
      </c>
      <c r="CG669" s="129">
        <f t="shared" si="2561"/>
        <v>8247979.6642643288</v>
      </c>
      <c r="CH669" s="129">
        <f t="shared" si="2561"/>
        <v>9210615.9489263147</v>
      </c>
      <c r="CI669" s="129">
        <f t="shared" si="2561"/>
        <v>11238811.962238789</v>
      </c>
      <c r="CJ669" s="129">
        <f t="shared" si="2561"/>
        <v>13277586.087990627</v>
      </c>
      <c r="CK669" s="129">
        <f t="shared" si="2561"/>
        <v>20038212.264915079</v>
      </c>
      <c r="CL669" s="129">
        <f t="shared" si="2561"/>
        <v>21926864.702881321</v>
      </c>
      <c r="CM669" s="129">
        <f t="shared" si="2561"/>
        <v>19172819.442372806</v>
      </c>
      <c r="CN669" s="129">
        <f t="shared" si="2561"/>
        <v>14961902.347966015</v>
      </c>
      <c r="CO669" s="129">
        <f t="shared" si="2561"/>
        <v>14948905.01305066</v>
      </c>
      <c r="CP669" s="129">
        <f t="shared" si="2561"/>
        <v>18867591.438474432</v>
      </c>
      <c r="CQ669" s="129">
        <f t="shared" si="2561"/>
        <v>20588789.900169522</v>
      </c>
      <c r="CR669" s="129">
        <f t="shared" si="2561"/>
        <v>15178045.285423733</v>
      </c>
      <c r="CS669" s="129">
        <f t="shared" si="2561"/>
        <v>17996343.397457622</v>
      </c>
      <c r="CT669" s="129">
        <f t="shared" ref="CT669:DQ669" si="2562">CT651-CT658</f>
        <v>25724945.571317866</v>
      </c>
      <c r="CU669" s="129">
        <f t="shared" si="2562"/>
        <v>28297440.128449649</v>
      </c>
      <c r="CV669" s="129">
        <f t="shared" si="2562"/>
        <v>29712312.134872139</v>
      </c>
      <c r="CW669" s="129">
        <f t="shared" si="2562"/>
        <v>31197927.741615742</v>
      </c>
      <c r="CX669" s="129">
        <f t="shared" si="2562"/>
        <v>32757824.128696531</v>
      </c>
      <c r="CY669" s="129">
        <f t="shared" si="2562"/>
        <v>34395715.335131362</v>
      </c>
      <c r="CZ669" s="129">
        <f t="shared" si="2562"/>
        <v>36115501.101887926</v>
      </c>
      <c r="DA669" s="129">
        <f t="shared" si="2562"/>
        <v>37921276.156982318</v>
      </c>
      <c r="DB669" s="129">
        <f t="shared" si="2562"/>
        <v>39817339.964831442</v>
      </c>
      <c r="DC669" s="129">
        <f t="shared" si="2562"/>
        <v>41808206.963073015</v>
      </c>
      <c r="DD669" s="129">
        <f t="shared" si="2562"/>
        <v>43898617.311226666</v>
      </c>
      <c r="DE669" s="129">
        <f t="shared" si="2562"/>
        <v>46093548.176788002</v>
      </c>
      <c r="DF669" s="129">
        <f t="shared" si="2562"/>
        <v>58660362.70547384</v>
      </c>
      <c r="DG669" s="129">
        <f t="shared" si="2562"/>
        <v>61593380.840747535</v>
      </c>
      <c r="DH669" s="129">
        <f t="shared" si="2562"/>
        <v>64673049.882784903</v>
      </c>
      <c r="DI669" s="129">
        <f t="shared" si="2562"/>
        <v>67906702.376924127</v>
      </c>
      <c r="DJ669" s="129">
        <f t="shared" si="2562"/>
        <v>71302037.495770365</v>
      </c>
      <c r="DK669" s="129">
        <f t="shared" si="2562"/>
        <v>74867139.370558888</v>
      </c>
      <c r="DL669" s="129">
        <f t="shared" si="2562"/>
        <v>78610496.339086831</v>
      </c>
      <c r="DM669" s="129">
        <f t="shared" si="2562"/>
        <v>82541021.156041175</v>
      </c>
      <c r="DN669" s="129">
        <f t="shared" si="2562"/>
        <v>86668072.213843256</v>
      </c>
      <c r="DO669" s="129">
        <f t="shared" si="2562"/>
        <v>91001475.8245354</v>
      </c>
      <c r="DP669" s="129">
        <f t="shared" si="2562"/>
        <v>95551549.615762174</v>
      </c>
      <c r="DQ669" s="129">
        <f t="shared" si="2562"/>
        <v>100329127.09655029</v>
      </c>
      <c r="DR669" s="129">
        <f t="shared" ref="DR669:EC669" si="2563">DR651-DR658</f>
        <v>110182880.65067574</v>
      </c>
      <c r="DS669" s="129">
        <f t="shared" si="2563"/>
        <v>112937452.66694266</v>
      </c>
      <c r="DT669" s="129">
        <f t="shared" si="2563"/>
        <v>115760888.98361623</v>
      </c>
      <c r="DU669" s="129">
        <f t="shared" si="2563"/>
        <v>118654911.20820659</v>
      </c>
      <c r="DV669" s="129">
        <f t="shared" si="2563"/>
        <v>121621283.98841172</v>
      </c>
      <c r="DW669" s="129">
        <f t="shared" si="2563"/>
        <v>124661816.08812201</v>
      </c>
      <c r="DX669" s="129">
        <f t="shared" si="2563"/>
        <v>127778361.49032509</v>
      </c>
      <c r="DY669" s="129">
        <f t="shared" si="2563"/>
        <v>130972820.52758318</v>
      </c>
      <c r="DZ669" s="129">
        <f t="shared" si="2563"/>
        <v>134247141.04077274</v>
      </c>
      <c r="EA669" s="129">
        <f t="shared" si="2563"/>
        <v>137603319.56679207</v>
      </c>
      <c r="EB669" s="129">
        <f t="shared" si="2563"/>
        <v>141043402.55596185</v>
      </c>
      <c r="EC669" s="129">
        <f t="shared" si="2563"/>
        <v>144569487.61986089</v>
      </c>
      <c r="ED669" s="113" t="s">
        <v>1</v>
      </c>
    </row>
    <row r="670" spans="1:134" x14ac:dyDescent="0.2">
      <c r="A670" s="730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115"/>
      <c r="AU670" s="115"/>
      <c r="AV670" s="115"/>
      <c r="AW670" s="115"/>
      <c r="AX670" s="115"/>
      <c r="AY670" s="115"/>
      <c r="AZ670" s="115"/>
      <c r="BA670" s="115"/>
      <c r="BB670" s="115"/>
      <c r="BC670" s="115"/>
      <c r="BD670" s="115"/>
      <c r="BE670" s="115"/>
      <c r="BF670" s="115"/>
      <c r="BG670" s="115"/>
      <c r="BH670" s="115"/>
      <c r="BI670" s="115"/>
      <c r="BJ670" s="115"/>
      <c r="BK670" s="115"/>
      <c r="BL670" s="115"/>
      <c r="BM670" s="115"/>
      <c r="BN670" s="115"/>
      <c r="BO670" s="115"/>
      <c r="BP670" s="115"/>
      <c r="BQ670" s="115"/>
      <c r="BR670" s="115"/>
      <c r="BS670" s="115"/>
      <c r="BT670" s="115"/>
      <c r="BU670" s="115"/>
      <c r="BV670" s="115"/>
      <c r="BW670" s="115"/>
      <c r="BX670" s="115"/>
      <c r="BY670" s="115"/>
      <c r="BZ670" s="115"/>
      <c r="CA670" s="115"/>
      <c r="CB670" s="115"/>
      <c r="CC670" s="115"/>
      <c r="CD670" s="115"/>
      <c r="CE670" s="115"/>
      <c r="CF670" s="115"/>
      <c r="CG670" s="115"/>
      <c r="CH670" s="115"/>
      <c r="CI670" s="115"/>
      <c r="CJ670" s="115"/>
      <c r="CK670" s="115"/>
      <c r="CL670" s="115"/>
      <c r="CM670" s="115"/>
      <c r="CN670" s="115"/>
      <c r="CO670" s="115"/>
      <c r="CP670" s="115"/>
      <c r="CQ670" s="115"/>
      <c r="CR670" s="115"/>
      <c r="CS670" s="115"/>
      <c r="CT670" s="115"/>
      <c r="CU670" s="115"/>
      <c r="CV670" s="115"/>
      <c r="CW670" s="115"/>
      <c r="CX670" s="115"/>
      <c r="CY670" s="115"/>
      <c r="CZ670" s="115"/>
      <c r="DA670" s="115"/>
      <c r="DB670" s="115"/>
      <c r="DC670" s="115"/>
      <c r="DD670" s="115"/>
      <c r="DE670" s="115"/>
      <c r="DF670" s="115"/>
      <c r="DG670" s="115"/>
      <c r="DH670" s="115"/>
      <c r="DI670" s="115"/>
      <c r="DJ670" s="115"/>
      <c r="DK670" s="115"/>
      <c r="DL670" s="115"/>
      <c r="DM670" s="115"/>
      <c r="DN670" s="115"/>
      <c r="DO670" s="115"/>
      <c r="DP670" s="115"/>
      <c r="DQ670" s="115"/>
      <c r="DR670" s="115"/>
      <c r="DS670" s="115"/>
      <c r="DT670" s="115"/>
      <c r="DU670" s="115"/>
      <c r="DV670" s="115"/>
      <c r="DW670" s="115"/>
      <c r="DX670" s="115"/>
      <c r="DY670" s="115"/>
      <c r="DZ670" s="115"/>
      <c r="EA670" s="115"/>
      <c r="EB670" s="115"/>
      <c r="EC670" s="115"/>
      <c r="ED670" s="113" t="s">
        <v>1</v>
      </c>
    </row>
    <row r="671" spans="1:134" s="331" customFormat="1" x14ac:dyDescent="0.2">
      <c r="A671" s="752" t="s">
        <v>29</v>
      </c>
      <c r="B671" s="330"/>
      <c r="C671" s="330"/>
      <c r="D671" s="330"/>
      <c r="E671" s="330"/>
      <c r="F671" s="330"/>
      <c r="G671" s="330"/>
      <c r="H671" s="330"/>
      <c r="I671" s="330"/>
      <c r="J671" s="330"/>
      <c r="K671" s="330"/>
      <c r="L671" s="330"/>
      <c r="M671" s="330"/>
      <c r="N671" s="330"/>
      <c r="O671" s="330"/>
      <c r="P671" s="330"/>
      <c r="Q671" s="330"/>
      <c r="R671" s="330"/>
      <c r="S671" s="330"/>
      <c r="T671" s="330"/>
      <c r="U671" s="330"/>
      <c r="V671" s="330"/>
      <c r="W671" s="330"/>
      <c r="X671" s="330"/>
      <c r="Y671" s="330"/>
      <c r="Z671" s="330"/>
      <c r="AA671" s="330"/>
      <c r="AB671" s="330"/>
      <c r="AC671" s="330"/>
      <c r="AD671" s="330"/>
      <c r="AE671" s="330"/>
      <c r="AF671" s="330"/>
      <c r="AG671" s="330"/>
      <c r="AH671" s="330"/>
      <c r="AI671" s="330"/>
      <c r="AJ671" s="330"/>
      <c r="AK671" s="330"/>
      <c r="AL671" s="330"/>
      <c r="AM671" s="330"/>
      <c r="AN671" s="330"/>
      <c r="AO671" s="330"/>
      <c r="AP671" s="330"/>
      <c r="AQ671" s="330"/>
      <c r="AR671" s="330"/>
      <c r="AS671" s="330"/>
      <c r="AT671" s="330"/>
      <c r="AU671" s="330"/>
      <c r="AV671" s="330"/>
      <c r="AW671" s="330"/>
      <c r="AX671" s="330"/>
      <c r="AY671" s="330"/>
      <c r="AZ671" s="330"/>
      <c r="BA671" s="330"/>
      <c r="BB671" s="330"/>
      <c r="BC671" s="330"/>
      <c r="BD671" s="330"/>
      <c r="BE671" s="330"/>
      <c r="BF671" s="330"/>
      <c r="BG671" s="330"/>
      <c r="BH671" s="330"/>
      <c r="BI671" s="330"/>
      <c r="BJ671" s="330"/>
      <c r="BK671" s="330"/>
      <c r="BL671" s="330"/>
      <c r="BM671" s="330"/>
      <c r="BN671" s="330"/>
      <c r="BO671" s="330"/>
      <c r="BP671" s="330"/>
      <c r="BQ671" s="330"/>
      <c r="BR671" s="330"/>
      <c r="BS671" s="330"/>
      <c r="BT671" s="330"/>
      <c r="BU671" s="330"/>
      <c r="BV671" s="330"/>
      <c r="BW671" s="330"/>
      <c r="BX671" s="330"/>
      <c r="BY671" s="753">
        <f t="shared" ref="BY671:DQ671" si="2564">BY667/BY649</f>
        <v>0.14327394136968069</v>
      </c>
      <c r="BZ671" s="753">
        <f t="shared" si="2564"/>
        <v>0.13839576236304241</v>
      </c>
      <c r="CA671" s="753">
        <f t="shared" si="2564"/>
        <v>0.13581017057309683</v>
      </c>
      <c r="CB671" s="753">
        <f t="shared" si="2564"/>
        <v>0.160124926328614</v>
      </c>
      <c r="CC671" s="753">
        <f t="shared" si="2564"/>
        <v>0.191527287787921</v>
      </c>
      <c r="CD671" s="753">
        <f t="shared" si="2564"/>
        <v>0.21801378547226707</v>
      </c>
      <c r="CE671" s="753">
        <f t="shared" si="2564"/>
        <v>0.18293280363513159</v>
      </c>
      <c r="CF671" s="753">
        <f t="shared" si="2564"/>
        <v>0.16773577841067674</v>
      </c>
      <c r="CG671" s="753">
        <f t="shared" si="2564"/>
        <v>-1.9981845597086781E-2</v>
      </c>
      <c r="CH671" s="753">
        <f t="shared" si="2564"/>
        <v>0.19648773270238118</v>
      </c>
      <c r="CI671" s="753">
        <f t="shared" si="2564"/>
        <v>0.16607815430954598</v>
      </c>
      <c r="CJ671" s="753">
        <f t="shared" si="2564"/>
        <v>0.17842289291880192</v>
      </c>
      <c r="CK671" s="753">
        <f t="shared" si="2564"/>
        <v>0.25256583837254026</v>
      </c>
      <c r="CL671" s="753">
        <f t="shared" si="2564"/>
        <v>0.27537085578257103</v>
      </c>
      <c r="CM671" s="753">
        <f t="shared" si="2564"/>
        <v>0.2159371041309503</v>
      </c>
      <c r="CN671" s="753">
        <f t="shared" si="2564"/>
        <v>0.19655059870286187</v>
      </c>
      <c r="CO671" s="753">
        <f t="shared" si="2564"/>
        <v>0.16055272484934976</v>
      </c>
      <c r="CP671" s="753">
        <f t="shared" si="2564"/>
        <v>0.16157760677110053</v>
      </c>
      <c r="CQ671" s="753">
        <f t="shared" si="2564"/>
        <v>0.16628619532076205</v>
      </c>
      <c r="CR671" s="753">
        <f t="shared" si="2564"/>
        <v>0.15690285826758898</v>
      </c>
      <c r="CS671" s="753">
        <f t="shared" si="2564"/>
        <v>0.15759188835179336</v>
      </c>
      <c r="CT671" s="753">
        <f t="shared" si="2564"/>
        <v>0.1927496885004413</v>
      </c>
      <c r="CU671" s="753">
        <f t="shared" si="2564"/>
        <v>0.19274968850044127</v>
      </c>
      <c r="CV671" s="753">
        <f t="shared" si="2564"/>
        <v>0.1927496885004413</v>
      </c>
      <c r="CW671" s="753">
        <f t="shared" si="2564"/>
        <v>0.1927496885004413</v>
      </c>
      <c r="CX671" s="753">
        <f t="shared" si="2564"/>
        <v>0.19274968850044133</v>
      </c>
      <c r="CY671" s="753">
        <f t="shared" si="2564"/>
        <v>0.19274968850044136</v>
      </c>
      <c r="CZ671" s="753">
        <f t="shared" si="2564"/>
        <v>0.19274968850044127</v>
      </c>
      <c r="DA671" s="753">
        <f t="shared" si="2564"/>
        <v>0.19274968850044127</v>
      </c>
      <c r="DB671" s="753">
        <f t="shared" si="2564"/>
        <v>0.19274968850044127</v>
      </c>
      <c r="DC671" s="753">
        <f t="shared" si="2564"/>
        <v>0.19274968850044127</v>
      </c>
      <c r="DD671" s="753">
        <f t="shared" si="2564"/>
        <v>0.19274968850044125</v>
      </c>
      <c r="DE671" s="753">
        <f t="shared" si="2564"/>
        <v>0.1927496885004413</v>
      </c>
      <c r="DF671" s="753">
        <f t="shared" si="2564"/>
        <v>0.22308559270184664</v>
      </c>
      <c r="DG671" s="753">
        <f t="shared" si="2564"/>
        <v>0.22308559270184669</v>
      </c>
      <c r="DH671" s="753">
        <f t="shared" si="2564"/>
        <v>0.22308559270184666</v>
      </c>
      <c r="DI671" s="753">
        <f t="shared" si="2564"/>
        <v>0.22308559270184655</v>
      </c>
      <c r="DJ671" s="753">
        <f t="shared" si="2564"/>
        <v>0.22308559270184664</v>
      </c>
      <c r="DK671" s="753">
        <f t="shared" si="2564"/>
        <v>0.22308559270184664</v>
      </c>
      <c r="DL671" s="753">
        <f t="shared" si="2564"/>
        <v>0.22308559270184666</v>
      </c>
      <c r="DM671" s="753">
        <f t="shared" si="2564"/>
        <v>0.22308559270184661</v>
      </c>
      <c r="DN671" s="753">
        <f t="shared" si="2564"/>
        <v>0.22308559270184669</v>
      </c>
      <c r="DO671" s="753">
        <f t="shared" si="2564"/>
        <v>0.22308559270184661</v>
      </c>
      <c r="DP671" s="753">
        <f t="shared" si="2564"/>
        <v>0.22308559270184664</v>
      </c>
      <c r="DQ671" s="753">
        <f t="shared" si="2564"/>
        <v>0.22308559270184666</v>
      </c>
      <c r="DR671" s="753">
        <f t="shared" ref="DR671:EC671" si="2565">DR667/DR649</f>
        <v>0.2430855927018466</v>
      </c>
      <c r="DS671" s="753">
        <f t="shared" si="2565"/>
        <v>0.2430855927018466</v>
      </c>
      <c r="DT671" s="753">
        <f t="shared" si="2565"/>
        <v>0.24308559270184668</v>
      </c>
      <c r="DU671" s="753">
        <f t="shared" si="2565"/>
        <v>0.24308559270184663</v>
      </c>
      <c r="DV671" s="753">
        <f t="shared" si="2565"/>
        <v>0.2430855927018466</v>
      </c>
      <c r="DW671" s="753">
        <f t="shared" si="2565"/>
        <v>0.2430855927018466</v>
      </c>
      <c r="DX671" s="753">
        <f t="shared" si="2565"/>
        <v>0.2430855927018466</v>
      </c>
      <c r="DY671" s="753">
        <f t="shared" si="2565"/>
        <v>0.24308559270184663</v>
      </c>
      <c r="DZ671" s="753">
        <f t="shared" si="2565"/>
        <v>0.2430855927018466</v>
      </c>
      <c r="EA671" s="753">
        <f t="shared" si="2565"/>
        <v>0.24308559270184663</v>
      </c>
      <c r="EB671" s="753">
        <f t="shared" si="2565"/>
        <v>0.24308559270184665</v>
      </c>
      <c r="EC671" s="753">
        <f t="shared" si="2565"/>
        <v>0.2430855927018466</v>
      </c>
      <c r="ED671" s="113" t="s">
        <v>1</v>
      </c>
    </row>
    <row r="672" spans="1:134" x14ac:dyDescent="0.2">
      <c r="A672" s="737" t="s">
        <v>221</v>
      </c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15"/>
      <c r="AU672" s="115"/>
      <c r="AV672" s="115"/>
      <c r="AW672" s="115"/>
      <c r="AX672" s="115"/>
      <c r="AY672" s="115"/>
      <c r="AZ672" s="115"/>
      <c r="BA672" s="115"/>
      <c r="BB672" s="115"/>
      <c r="BC672" s="115"/>
      <c r="BD672" s="115"/>
      <c r="BE672" s="115"/>
      <c r="BF672" s="115"/>
      <c r="BG672" s="115"/>
      <c r="BH672" s="115"/>
      <c r="BI672" s="115"/>
      <c r="BJ672" s="115"/>
      <c r="BK672" s="115"/>
      <c r="BL672" s="115"/>
      <c r="BM672" s="115"/>
      <c r="BN672" s="115"/>
      <c r="BO672" s="115"/>
      <c r="BP672" s="115"/>
      <c r="BQ672" s="115"/>
      <c r="BR672" s="115"/>
      <c r="BS672" s="115"/>
      <c r="BT672" s="115"/>
      <c r="BU672" s="115"/>
      <c r="BV672" s="115"/>
      <c r="BW672" s="115"/>
      <c r="BX672" s="115"/>
      <c r="BY672" s="133">
        <f t="shared" ref="BY672:DQ672" si="2566">BY668/BY650</f>
        <v>-6.7434151381975893E-2</v>
      </c>
      <c r="BZ672" s="133">
        <f t="shared" si="2566"/>
        <v>3.1740582053560361E-2</v>
      </c>
      <c r="CA672" s="133">
        <f t="shared" si="2566"/>
        <v>4.0603394814279159E-2</v>
      </c>
      <c r="CB672" s="133">
        <f t="shared" si="2566"/>
        <v>7.8700189990343658E-2</v>
      </c>
      <c r="CC672" s="133">
        <f t="shared" si="2566"/>
        <v>0.11162033838578717</v>
      </c>
      <c r="CD672" s="133">
        <f t="shared" si="2566"/>
        <v>0.1191002097403947</v>
      </c>
      <c r="CE672" s="133">
        <f t="shared" si="2566"/>
        <v>2.094159721168664E-2</v>
      </c>
      <c r="CF672" s="133">
        <f t="shared" si="2566"/>
        <v>5.841258765303891E-2</v>
      </c>
      <c r="CG672" s="133">
        <f t="shared" si="2566"/>
        <v>-0.36669306507426647</v>
      </c>
      <c r="CH672" s="133">
        <f t="shared" si="2566"/>
        <v>0.10371201801949312</v>
      </c>
      <c r="CI672" s="133">
        <f t="shared" si="2566"/>
        <v>8.3890864282506555E-2</v>
      </c>
      <c r="CJ672" s="133">
        <f t="shared" si="2566"/>
        <v>0.1022501245433883</v>
      </c>
      <c r="CK672" s="133">
        <f t="shared" si="2566"/>
        <v>0.10322367217226049</v>
      </c>
      <c r="CL672" s="133">
        <f t="shared" si="2566"/>
        <v>0.13860037206114381</v>
      </c>
      <c r="CM672" s="133">
        <f t="shared" si="2566"/>
        <v>6.129013964148685E-2</v>
      </c>
      <c r="CN672" s="133">
        <f t="shared" si="2566"/>
        <v>9.8113821863787629E-2</v>
      </c>
      <c r="CO672" s="133">
        <f t="shared" si="2566"/>
        <v>7.3177317914543155E-2</v>
      </c>
      <c r="CP672" s="133">
        <f t="shared" si="2566"/>
        <v>5.9034646868635222E-2</v>
      </c>
      <c r="CQ672" s="133">
        <f t="shared" si="2566"/>
        <v>2.1119776266487894E-2</v>
      </c>
      <c r="CR672" s="133">
        <f t="shared" si="2566"/>
        <v>5.9700973263851848E-2</v>
      </c>
      <c r="CS672" s="133">
        <f t="shared" si="2566"/>
        <v>-1.054760213287421E-2</v>
      </c>
      <c r="CT672" s="133">
        <f t="shared" si="2566"/>
        <v>5.0000000000000051E-2</v>
      </c>
      <c r="CU672" s="133">
        <f t="shared" si="2566"/>
        <v>5.0000000000000107E-2</v>
      </c>
      <c r="CV672" s="133">
        <f t="shared" si="2566"/>
        <v>5.0000000000000017E-2</v>
      </c>
      <c r="CW672" s="133">
        <f t="shared" si="2566"/>
        <v>5.0000000000000058E-2</v>
      </c>
      <c r="CX672" s="133">
        <f t="shared" si="2566"/>
        <v>5.0000000000000072E-2</v>
      </c>
      <c r="CY672" s="133">
        <f t="shared" si="2566"/>
        <v>5.0000000000000072E-2</v>
      </c>
      <c r="CZ672" s="133">
        <f t="shared" si="2566"/>
        <v>5.0000000000000065E-2</v>
      </c>
      <c r="DA672" s="133">
        <f t="shared" si="2566"/>
        <v>5.0000000000000051E-2</v>
      </c>
      <c r="DB672" s="133">
        <f t="shared" si="2566"/>
        <v>5.0000000000000031E-2</v>
      </c>
      <c r="DC672" s="133">
        <f t="shared" si="2566"/>
        <v>5.0000000000000031E-2</v>
      </c>
      <c r="DD672" s="133">
        <f t="shared" si="2566"/>
        <v>5.0000000000000031E-2</v>
      </c>
      <c r="DE672" s="133">
        <f t="shared" si="2566"/>
        <v>5.0000000000000093E-2</v>
      </c>
      <c r="DF672" s="133">
        <f t="shared" si="2566"/>
        <v>6.0000000000000012E-2</v>
      </c>
      <c r="DG672" s="133">
        <f t="shared" si="2566"/>
        <v>6.0000000000000137E-2</v>
      </c>
      <c r="DH672" s="133">
        <f t="shared" si="2566"/>
        <v>6.0000000000000005E-2</v>
      </c>
      <c r="DI672" s="133">
        <f t="shared" si="2566"/>
        <v>6.0000000000000012E-2</v>
      </c>
      <c r="DJ672" s="133">
        <f t="shared" si="2566"/>
        <v>6.0000000000000039E-2</v>
      </c>
      <c r="DK672" s="133">
        <f t="shared" si="2566"/>
        <v>6.0000000000000005E-2</v>
      </c>
      <c r="DL672" s="133">
        <f t="shared" si="2566"/>
        <v>6.0000000000000102E-2</v>
      </c>
      <c r="DM672" s="133">
        <f t="shared" si="2566"/>
        <v>5.9999999999999991E-2</v>
      </c>
      <c r="DN672" s="133">
        <f t="shared" si="2566"/>
        <v>6.0000000000000053E-2</v>
      </c>
      <c r="DO672" s="133">
        <f t="shared" si="2566"/>
        <v>6.0000000000000026E-2</v>
      </c>
      <c r="DP672" s="133">
        <f t="shared" si="2566"/>
        <v>6.0000000000000102E-2</v>
      </c>
      <c r="DQ672" s="133">
        <f t="shared" si="2566"/>
        <v>6.0000000000000046E-2</v>
      </c>
      <c r="DR672" s="133">
        <f t="shared" ref="DR672:EC672" si="2567">DR668/DR650</f>
        <v>7.9999999999999946E-2</v>
      </c>
      <c r="DS672" s="133">
        <f t="shared" si="2567"/>
        <v>7.999999999999996E-2</v>
      </c>
      <c r="DT672" s="133">
        <f t="shared" si="2567"/>
        <v>7.9999999999999974E-2</v>
      </c>
      <c r="DU672" s="133">
        <f t="shared" si="2567"/>
        <v>7.9999999999999974E-2</v>
      </c>
      <c r="DV672" s="133">
        <f t="shared" si="2567"/>
        <v>7.9999999999999932E-2</v>
      </c>
      <c r="DW672" s="133">
        <f t="shared" si="2567"/>
        <v>7.9999999999999946E-2</v>
      </c>
      <c r="DX672" s="133">
        <f t="shared" si="2567"/>
        <v>7.9999999999999918E-2</v>
      </c>
      <c r="DY672" s="133">
        <f t="shared" si="2567"/>
        <v>8.0000000000000057E-2</v>
      </c>
      <c r="DZ672" s="133">
        <f t="shared" si="2567"/>
        <v>8.0000000000000043E-2</v>
      </c>
      <c r="EA672" s="133">
        <f t="shared" si="2567"/>
        <v>8.0000000000000029E-2</v>
      </c>
      <c r="EB672" s="133">
        <f t="shared" si="2567"/>
        <v>7.9999999999999988E-2</v>
      </c>
      <c r="EC672" s="133">
        <f t="shared" si="2567"/>
        <v>7.9999999999999877E-2</v>
      </c>
      <c r="ED672" s="113" t="s">
        <v>1</v>
      </c>
    </row>
    <row r="673" spans="1:134" x14ac:dyDescent="0.2">
      <c r="A673" s="737" t="s">
        <v>222</v>
      </c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15"/>
      <c r="AU673" s="115"/>
      <c r="AV673" s="115"/>
      <c r="AW673" s="115"/>
      <c r="AX673" s="115"/>
      <c r="AY673" s="115"/>
      <c r="AZ673" s="115"/>
      <c r="BA673" s="115"/>
      <c r="BB673" s="115"/>
      <c r="BC673" s="115"/>
      <c r="BD673" s="115"/>
      <c r="BE673" s="115"/>
      <c r="BF673" s="115"/>
      <c r="BG673" s="115"/>
      <c r="BH673" s="115"/>
      <c r="BI673" s="115"/>
      <c r="BJ673" s="115"/>
      <c r="BK673" s="115"/>
      <c r="BL673" s="115"/>
      <c r="BM673" s="115"/>
      <c r="BN673" s="115"/>
      <c r="BO673" s="115"/>
      <c r="BP673" s="115"/>
      <c r="BQ673" s="115"/>
      <c r="BR673" s="115"/>
      <c r="BS673" s="115"/>
      <c r="BT673" s="115"/>
      <c r="BU673" s="115"/>
      <c r="BV673" s="115"/>
      <c r="BW673" s="115"/>
      <c r="BX673" s="115"/>
      <c r="BY673" s="133">
        <f t="shared" ref="BY673:DQ673" si="2568">BY669/BY651</f>
        <v>0.28315818817835942</v>
      </c>
      <c r="BZ673" s="133">
        <f t="shared" si="2568"/>
        <v>0.2875655756239941</v>
      </c>
      <c r="CA673" s="133">
        <f t="shared" si="2568"/>
        <v>0.26492097588317776</v>
      </c>
      <c r="CB673" s="133">
        <f t="shared" si="2568"/>
        <v>0.25527214552550626</v>
      </c>
      <c r="CC673" s="133">
        <f t="shared" si="2568"/>
        <v>0.26690558776375417</v>
      </c>
      <c r="CD673" s="133">
        <f t="shared" si="2568"/>
        <v>0.25391745189911474</v>
      </c>
      <c r="CE673" s="133">
        <f t="shared" si="2568"/>
        <v>0.27805823091889526</v>
      </c>
      <c r="CF673" s="133">
        <f t="shared" si="2568"/>
        <v>0.24427972720520008</v>
      </c>
      <c r="CG673" s="133">
        <f t="shared" si="2568"/>
        <v>0.24514615578883833</v>
      </c>
      <c r="CH673" s="133">
        <f t="shared" si="2568"/>
        <v>0.25759499994954332</v>
      </c>
      <c r="CI673" s="133">
        <f t="shared" si="2568"/>
        <v>0.2476741801004482</v>
      </c>
      <c r="CJ673" s="133">
        <f t="shared" si="2568"/>
        <v>0.25029378313470974</v>
      </c>
      <c r="CK673" s="133">
        <f t="shared" si="2568"/>
        <v>0.32226892084483683</v>
      </c>
      <c r="CL673" s="133">
        <f t="shared" si="2568"/>
        <v>0.33070031067624522</v>
      </c>
      <c r="CM673" s="133">
        <f t="shared" si="2568"/>
        <v>0.30595634411979844</v>
      </c>
      <c r="CN673" s="133">
        <f t="shared" si="2568"/>
        <v>0.24853360211058551</v>
      </c>
      <c r="CO673" s="133">
        <f t="shared" si="2568"/>
        <v>0.21782606932399873</v>
      </c>
      <c r="CP673" s="133">
        <f t="shared" si="2568"/>
        <v>0.21220704491371967</v>
      </c>
      <c r="CQ673" s="133">
        <f t="shared" si="2568"/>
        <v>0.23940517532877117</v>
      </c>
      <c r="CR673" s="133">
        <f t="shared" si="2568"/>
        <v>0.22620802495561296</v>
      </c>
      <c r="CS673" s="133">
        <f t="shared" si="2568"/>
        <v>0.24256717254915117</v>
      </c>
      <c r="CT673" s="133">
        <f t="shared" si="2568"/>
        <v>0.24256717254915117</v>
      </c>
      <c r="CU673" s="133">
        <f t="shared" si="2568"/>
        <v>0.24256717254915111</v>
      </c>
      <c r="CV673" s="133">
        <f t="shared" si="2568"/>
        <v>0.24256717254915119</v>
      </c>
      <c r="CW673" s="133">
        <f t="shared" si="2568"/>
        <v>0.24256717254915117</v>
      </c>
      <c r="CX673" s="133">
        <f t="shared" si="2568"/>
        <v>0.24256717254915119</v>
      </c>
      <c r="CY673" s="133">
        <f t="shared" si="2568"/>
        <v>0.24256717254915119</v>
      </c>
      <c r="CZ673" s="133">
        <f t="shared" si="2568"/>
        <v>0.24256717254915111</v>
      </c>
      <c r="DA673" s="133">
        <f t="shared" si="2568"/>
        <v>0.24256717254915114</v>
      </c>
      <c r="DB673" s="133">
        <f t="shared" si="2568"/>
        <v>0.24256717254915114</v>
      </c>
      <c r="DC673" s="133">
        <f t="shared" si="2568"/>
        <v>0.24256717254915114</v>
      </c>
      <c r="DD673" s="133">
        <f t="shared" si="2568"/>
        <v>0.24256717254915114</v>
      </c>
      <c r="DE673" s="133">
        <f t="shared" si="2568"/>
        <v>0.24256717254915117</v>
      </c>
      <c r="DF673" s="133">
        <f t="shared" si="2568"/>
        <v>0.28000000000000008</v>
      </c>
      <c r="DG673" s="133">
        <f t="shared" si="2568"/>
        <v>0.28000000000000008</v>
      </c>
      <c r="DH673" s="133">
        <f t="shared" si="2568"/>
        <v>0.28000000000000003</v>
      </c>
      <c r="DI673" s="133">
        <f t="shared" si="2568"/>
        <v>0.27999999999999997</v>
      </c>
      <c r="DJ673" s="133">
        <f t="shared" si="2568"/>
        <v>0.28000000000000008</v>
      </c>
      <c r="DK673" s="133">
        <f t="shared" si="2568"/>
        <v>0.28000000000000003</v>
      </c>
      <c r="DL673" s="133">
        <f t="shared" si="2568"/>
        <v>0.28000000000000008</v>
      </c>
      <c r="DM673" s="133">
        <f t="shared" si="2568"/>
        <v>0.28000000000000003</v>
      </c>
      <c r="DN673" s="133">
        <f t="shared" si="2568"/>
        <v>0.28000000000000008</v>
      </c>
      <c r="DO673" s="133">
        <f t="shared" si="2568"/>
        <v>0.28000000000000003</v>
      </c>
      <c r="DP673" s="133">
        <f t="shared" si="2568"/>
        <v>0.28000000000000003</v>
      </c>
      <c r="DQ673" s="133">
        <f t="shared" si="2568"/>
        <v>0.28000000000000008</v>
      </c>
      <c r="DR673" s="133">
        <f t="shared" ref="DR673:EC673" si="2569">DR669/DR651</f>
        <v>0.30000000000000004</v>
      </c>
      <c r="DS673" s="133">
        <f t="shared" si="2569"/>
        <v>0.30000000000000004</v>
      </c>
      <c r="DT673" s="133">
        <f t="shared" si="2569"/>
        <v>0.3000000000000001</v>
      </c>
      <c r="DU673" s="133">
        <f t="shared" si="2569"/>
        <v>0.30000000000000004</v>
      </c>
      <c r="DV673" s="133">
        <f t="shared" si="2569"/>
        <v>0.3</v>
      </c>
      <c r="DW673" s="133">
        <f t="shared" si="2569"/>
        <v>0.3</v>
      </c>
      <c r="DX673" s="133">
        <f t="shared" si="2569"/>
        <v>0.30000000000000004</v>
      </c>
      <c r="DY673" s="133">
        <f t="shared" si="2569"/>
        <v>0.30000000000000004</v>
      </c>
      <c r="DZ673" s="133">
        <f t="shared" si="2569"/>
        <v>0.3</v>
      </c>
      <c r="EA673" s="133">
        <f t="shared" si="2569"/>
        <v>0.30000000000000004</v>
      </c>
      <c r="EB673" s="133">
        <f t="shared" si="2569"/>
        <v>0.3000000000000001</v>
      </c>
      <c r="EC673" s="133">
        <f t="shared" si="2569"/>
        <v>0.3000000000000001</v>
      </c>
      <c r="ED673" s="113" t="s">
        <v>1</v>
      </c>
    </row>
    <row r="674" spans="1:134" x14ac:dyDescent="0.2">
      <c r="A674" s="730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15"/>
      <c r="AU674" s="115"/>
      <c r="AV674" s="115"/>
      <c r="AW674" s="115"/>
      <c r="AX674" s="115"/>
      <c r="AY674" s="115"/>
      <c r="AZ674" s="115"/>
      <c r="BA674" s="115"/>
      <c r="BB674" s="115"/>
      <c r="BC674" s="115"/>
      <c r="BD674" s="115"/>
      <c r="BE674" s="115"/>
      <c r="BF674" s="115"/>
      <c r="BG674" s="115"/>
      <c r="BH674" s="115"/>
      <c r="BI674" s="115"/>
      <c r="BJ674" s="115"/>
      <c r="BK674" s="115"/>
      <c r="BL674" s="115"/>
      <c r="BM674" s="115"/>
      <c r="BN674" s="115"/>
      <c r="BO674" s="115"/>
      <c r="BP674" s="115"/>
      <c r="BQ674" s="115"/>
      <c r="BR674" s="115"/>
      <c r="BS674" s="115"/>
      <c r="BT674" s="115"/>
      <c r="BU674" s="115"/>
      <c r="BV674" s="115"/>
      <c r="BW674" s="115"/>
      <c r="BX674" s="115"/>
      <c r="BY674" s="115"/>
      <c r="BZ674" s="115"/>
      <c r="CA674" s="115"/>
      <c r="CB674" s="115"/>
      <c r="CC674" s="115"/>
      <c r="CD674" s="115"/>
      <c r="CE674" s="115"/>
      <c r="CF674" s="115"/>
      <c r="CG674" s="115"/>
      <c r="CH674" s="115"/>
      <c r="CI674" s="115"/>
      <c r="CJ674" s="115"/>
      <c r="CK674" s="115"/>
      <c r="CL674" s="115"/>
      <c r="CM674" s="115"/>
      <c r="CN674" s="115"/>
      <c r="CO674" s="115"/>
      <c r="CP674" s="115"/>
      <c r="CQ674" s="115"/>
      <c r="CR674" s="115"/>
      <c r="CS674" s="115"/>
      <c r="CT674" s="115"/>
      <c r="CU674" s="115"/>
      <c r="CV674" s="115"/>
      <c r="CW674" s="115"/>
      <c r="CX674" s="115"/>
      <c r="CY674" s="115"/>
      <c r="CZ674" s="115"/>
      <c r="DA674" s="115"/>
      <c r="DB674" s="115"/>
      <c r="DC674" s="115"/>
      <c r="DD674" s="115"/>
      <c r="DE674" s="115"/>
      <c r="DF674" s="115"/>
      <c r="DG674" s="115"/>
      <c r="DH674" s="115"/>
      <c r="DI674" s="115"/>
      <c r="DJ674" s="115"/>
      <c r="DK674" s="115"/>
      <c r="DL674" s="115"/>
      <c r="DM674" s="115"/>
      <c r="DN674" s="115"/>
      <c r="DO674" s="115"/>
      <c r="DP674" s="115"/>
      <c r="DQ674" s="115"/>
      <c r="DR674" s="115"/>
      <c r="DS674" s="115"/>
      <c r="DT674" s="115"/>
      <c r="DU674" s="115"/>
      <c r="DV674" s="115"/>
      <c r="DW674" s="115"/>
      <c r="DX674" s="115"/>
      <c r="DY674" s="115"/>
      <c r="DZ674" s="115"/>
      <c r="EA674" s="115"/>
      <c r="EB674" s="115"/>
      <c r="EC674" s="645"/>
      <c r="ED674" s="113" t="s">
        <v>1</v>
      </c>
    </row>
    <row r="675" spans="1:134" x14ac:dyDescent="0.2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15"/>
      <c r="AU675" s="115"/>
      <c r="AV675" s="115"/>
      <c r="AW675" s="115"/>
      <c r="AX675" s="115"/>
      <c r="AY675" s="115"/>
      <c r="AZ675" s="115"/>
      <c r="BA675" s="115"/>
      <c r="BB675" s="115"/>
      <c r="BC675" s="115"/>
      <c r="BD675" s="115"/>
      <c r="BE675" s="115"/>
      <c r="BF675" s="115"/>
      <c r="BG675" s="115"/>
      <c r="BH675" s="115"/>
      <c r="BI675" s="115"/>
      <c r="BJ675" s="115"/>
      <c r="BK675" s="115"/>
      <c r="BL675" s="115"/>
      <c r="BM675" s="115"/>
      <c r="BN675" s="115"/>
      <c r="BO675" s="115"/>
      <c r="BP675" s="115"/>
      <c r="BQ675" s="115"/>
      <c r="BR675" s="115"/>
      <c r="BS675" s="115"/>
      <c r="BT675" s="115"/>
      <c r="BU675" s="115"/>
      <c r="BV675" s="115"/>
      <c r="BW675" s="115"/>
      <c r="BX675" s="115"/>
      <c r="BY675" s="115"/>
      <c r="BZ675" s="115"/>
      <c r="CA675" s="115"/>
      <c r="CB675" s="115"/>
      <c r="CC675" s="115"/>
      <c r="CD675" s="115"/>
      <c r="CE675" s="115"/>
      <c r="CF675" s="115"/>
      <c r="CG675" s="115"/>
      <c r="CH675" s="115"/>
      <c r="CI675" s="115"/>
      <c r="CJ675" s="115"/>
      <c r="CK675" s="115"/>
      <c r="CL675" s="115"/>
      <c r="CM675" s="115"/>
      <c r="CN675" s="115"/>
      <c r="CO675" s="115"/>
      <c r="CP675" s="115"/>
      <c r="CQ675" s="115"/>
      <c r="CR675" s="115"/>
      <c r="CS675" s="115"/>
      <c r="CT675" s="115"/>
      <c r="CU675" s="115"/>
      <c r="CV675" s="115"/>
      <c r="CW675" s="115"/>
      <c r="CX675" s="115"/>
      <c r="CY675" s="115"/>
      <c r="CZ675" s="115"/>
      <c r="DA675" s="115"/>
      <c r="DB675" s="115"/>
      <c r="DC675" s="115"/>
      <c r="DD675" s="115"/>
      <c r="DE675" s="115"/>
      <c r="DF675" s="115"/>
      <c r="DG675" s="115"/>
      <c r="DH675" s="115"/>
      <c r="DI675" s="115"/>
      <c r="DJ675" s="115"/>
      <c r="DK675" s="115"/>
      <c r="DL675" s="115"/>
      <c r="DM675" s="115"/>
      <c r="DN675" s="115"/>
      <c r="DO675" s="115"/>
      <c r="DP675" s="115"/>
      <c r="DQ675" s="115"/>
      <c r="DR675" s="115"/>
      <c r="DS675" s="115"/>
      <c r="DT675" s="115"/>
      <c r="DU675" s="115"/>
      <c r="DV675" s="115"/>
      <c r="DW675" s="115"/>
      <c r="DX675" s="115"/>
      <c r="DY675" s="115"/>
      <c r="DZ675" s="115"/>
      <c r="EA675" s="115"/>
      <c r="EB675" s="115"/>
      <c r="EC675" s="645"/>
      <c r="ED675" s="113" t="s">
        <v>1</v>
      </c>
    </row>
    <row r="676" spans="1:134" x14ac:dyDescent="0.2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15"/>
      <c r="AU676" s="115"/>
      <c r="AV676" s="115"/>
      <c r="AW676" s="115"/>
      <c r="AX676" s="115"/>
      <c r="AY676" s="115"/>
      <c r="AZ676" s="115"/>
      <c r="BA676" s="115"/>
      <c r="BB676" s="115"/>
      <c r="BC676" s="115"/>
      <c r="BD676" s="115"/>
      <c r="BE676" s="115"/>
      <c r="BF676" s="115"/>
      <c r="BG676" s="115"/>
      <c r="BH676" s="115"/>
      <c r="BI676" s="115"/>
      <c r="BJ676" s="115"/>
      <c r="BK676" s="115"/>
      <c r="BL676" s="115"/>
      <c r="BM676" s="115"/>
      <c r="BN676" s="115"/>
      <c r="BO676" s="115"/>
      <c r="BP676" s="115"/>
      <c r="BQ676" s="115"/>
      <c r="BR676" s="115"/>
      <c r="BS676" s="115"/>
      <c r="BT676" s="115"/>
      <c r="BU676" s="115"/>
      <c r="BV676" s="115"/>
      <c r="BW676" s="115"/>
      <c r="BX676" s="115"/>
      <c r="BY676" s="115"/>
      <c r="BZ676" s="115"/>
      <c r="CA676" s="115"/>
      <c r="CB676" s="115"/>
      <c r="CC676" s="115"/>
      <c r="CD676" s="115"/>
      <c r="CE676" s="115"/>
      <c r="CF676" s="115"/>
      <c r="CG676" s="115"/>
      <c r="CH676" s="115"/>
      <c r="CI676" s="115"/>
      <c r="CJ676" s="115"/>
      <c r="CK676" s="115"/>
      <c r="CL676" s="115"/>
      <c r="CM676" s="115"/>
      <c r="CN676" s="115"/>
      <c r="CO676" s="115"/>
      <c r="CP676" s="115"/>
      <c r="CQ676" s="115"/>
      <c r="CR676" s="115"/>
      <c r="CS676" s="115"/>
      <c r="CT676" s="115"/>
      <c r="CU676" s="115"/>
      <c r="CV676" s="115"/>
      <c r="CW676" s="115"/>
      <c r="CX676" s="115"/>
      <c r="CY676" s="115"/>
      <c r="CZ676" s="115"/>
      <c r="DA676" s="115"/>
      <c r="DB676" s="115"/>
      <c r="DC676" s="115"/>
      <c r="DD676" s="115"/>
      <c r="DE676" s="115"/>
      <c r="DF676" s="115"/>
      <c r="DG676" s="115"/>
      <c r="DH676" s="115"/>
      <c r="DI676" s="115"/>
      <c r="DJ676" s="115"/>
      <c r="DK676" s="115"/>
      <c r="DL676" s="115"/>
      <c r="DM676" s="115"/>
      <c r="DN676" s="115"/>
      <c r="DO676" s="115"/>
      <c r="DP676" s="115"/>
      <c r="DQ676" s="115"/>
      <c r="DR676" s="115"/>
      <c r="DS676" s="115"/>
      <c r="DT676" s="115"/>
      <c r="DU676" s="115"/>
      <c r="DV676" s="115"/>
      <c r="DW676" s="115"/>
      <c r="DX676" s="115"/>
      <c r="DY676" s="115"/>
      <c r="DZ676" s="115"/>
      <c r="EA676" s="115"/>
      <c r="EB676" s="115"/>
      <c r="EC676" s="645"/>
      <c r="ED676" s="113" t="s">
        <v>1</v>
      </c>
    </row>
    <row r="677" spans="1:134" x14ac:dyDescent="0.2">
      <c r="A677" s="680" t="s">
        <v>139</v>
      </c>
      <c r="B677" s="680"/>
      <c r="C677" s="680"/>
      <c r="D677" s="680"/>
      <c r="E677" s="680"/>
      <c r="F677" s="680"/>
      <c r="G677" s="680"/>
      <c r="H677" s="680"/>
      <c r="I677" s="680"/>
      <c r="J677" s="680"/>
      <c r="K677" s="680"/>
      <c r="L677" s="680"/>
      <c r="M677" s="680"/>
      <c r="N677" s="680"/>
      <c r="O677" s="680"/>
      <c r="P677" s="680"/>
      <c r="Q677" s="680"/>
      <c r="R677" s="680"/>
      <c r="S677" s="680"/>
      <c r="T677" s="680"/>
      <c r="U677" s="680"/>
      <c r="V677" s="680"/>
      <c r="W677" s="680"/>
      <c r="X677" s="680"/>
      <c r="Y677" s="680"/>
      <c r="Z677" s="680"/>
      <c r="AA677" s="680"/>
      <c r="AB677" s="680"/>
      <c r="AC677" s="680"/>
      <c r="AD677" s="680"/>
      <c r="AE677" s="680"/>
      <c r="AF677" s="680"/>
      <c r="AG677" s="680"/>
      <c r="AH677" s="680"/>
      <c r="AI677" s="680"/>
      <c r="AJ677" s="680"/>
      <c r="AK677" s="680"/>
      <c r="AL677" s="680"/>
      <c r="AM677" s="680"/>
      <c r="AN677" s="680"/>
      <c r="AO677" s="680"/>
      <c r="AP677" s="680"/>
      <c r="AQ677" s="680"/>
      <c r="AR677" s="680"/>
      <c r="AS677" s="680"/>
      <c r="AT677" s="680"/>
      <c r="AU677" s="680"/>
      <c r="AV677" s="680"/>
      <c r="AW677" s="680"/>
      <c r="AX677" s="680"/>
      <c r="AY677" s="680"/>
      <c r="AZ677" s="680"/>
      <c r="BA677" s="680"/>
      <c r="BB677" s="680"/>
      <c r="BC677" s="680"/>
      <c r="BD677" s="680"/>
      <c r="BE677" s="680"/>
      <c r="BF677" s="680"/>
      <c r="BG677" s="680"/>
      <c r="BH677" s="680"/>
      <c r="BI677" s="680"/>
      <c r="BJ677" s="680"/>
      <c r="BK677" s="680"/>
      <c r="BL677" s="680"/>
      <c r="BM677" s="680"/>
      <c r="BN677" s="680"/>
      <c r="BO677" s="680"/>
      <c r="BP677" s="680"/>
      <c r="BQ677" s="680"/>
      <c r="BR677" s="680"/>
      <c r="BS677" s="680"/>
      <c r="BT677" s="680"/>
      <c r="BU677" s="680"/>
      <c r="BV677" s="680"/>
      <c r="BW677" s="680"/>
      <c r="BX677" s="680"/>
      <c r="BY677" s="680"/>
      <c r="BZ677" s="680"/>
      <c r="CA677" s="680"/>
      <c r="CB677" s="680"/>
      <c r="CC677" s="680"/>
      <c r="CD677" s="680"/>
      <c r="CE677" s="680"/>
      <c r="CF677" s="680"/>
      <c r="CG677" s="680"/>
      <c r="CH677" s="680"/>
      <c r="CI677" s="680"/>
      <c r="CJ677" s="680"/>
      <c r="CK677" s="680"/>
      <c r="CL677" s="680"/>
      <c r="CM677" s="680"/>
      <c r="CN677" s="680"/>
      <c r="CO677" s="680"/>
      <c r="CP677" s="680"/>
      <c r="CQ677" s="680"/>
      <c r="CR677" s="680"/>
      <c r="CS677" s="680"/>
      <c r="CT677" s="680"/>
      <c r="CU677" s="680"/>
      <c r="CV677" s="680"/>
      <c r="CW677" s="680"/>
      <c r="CX677" s="680"/>
      <c r="CY677" s="680"/>
      <c r="CZ677" s="680"/>
      <c r="DA677" s="680"/>
      <c r="DB677" s="680"/>
      <c r="DC677" s="680"/>
      <c r="DD677" s="680"/>
      <c r="DE677" s="680"/>
      <c r="DF677" s="680"/>
      <c r="DG677" s="680"/>
      <c r="DH677" s="680"/>
      <c r="DI677" s="680"/>
      <c r="DJ677" s="680"/>
      <c r="DK677" s="680"/>
      <c r="DL677" s="680"/>
      <c r="DM677" s="680"/>
      <c r="DN677" s="680"/>
      <c r="DO677" s="680"/>
      <c r="DP677" s="680"/>
      <c r="DQ677" s="680"/>
      <c r="DR677" s="680"/>
      <c r="DS677" s="680"/>
      <c r="DT677" s="680"/>
      <c r="DU677" s="680"/>
      <c r="DV677" s="680"/>
      <c r="DW677" s="680"/>
      <c r="DX677" s="680"/>
      <c r="DY677" s="680"/>
      <c r="DZ677" s="680"/>
      <c r="EA677" s="680"/>
      <c r="EB677" s="680"/>
      <c r="EC677" s="680"/>
      <c r="ED677" s="113" t="s">
        <v>1</v>
      </c>
    </row>
    <row r="678" spans="1:134" x14ac:dyDescent="0.2">
      <c r="A678" s="746" t="s">
        <v>2</v>
      </c>
      <c r="B678" s="746">
        <f>SUM(B679)</f>
        <v>6493223.7199999997</v>
      </c>
      <c r="C678" s="746">
        <f t="shared" ref="C678:BN678" si="2570">SUM(C679)</f>
        <v>6995016</v>
      </c>
      <c r="D678" s="746">
        <f t="shared" si="2570"/>
        <v>6266782.9689844027</v>
      </c>
      <c r="E678" s="746">
        <f t="shared" si="2570"/>
        <v>9975111.8193185106</v>
      </c>
      <c r="F678" s="746">
        <f t="shared" si="2570"/>
        <v>8792729.1163709052</v>
      </c>
      <c r="G678" s="746">
        <f t="shared" si="2570"/>
        <v>7349297.6943097655</v>
      </c>
      <c r="H678" s="746">
        <f t="shared" si="2570"/>
        <v>8404052.8000000007</v>
      </c>
      <c r="I678" s="746">
        <f t="shared" si="2570"/>
        <v>10228739.060000001</v>
      </c>
      <c r="J678" s="746">
        <f t="shared" si="2570"/>
        <v>12234584.41</v>
      </c>
      <c r="K678" s="746">
        <f t="shared" si="2570"/>
        <v>13610742.350000001</v>
      </c>
      <c r="L678" s="746">
        <f t="shared" si="2570"/>
        <v>17897923.789999999</v>
      </c>
      <c r="M678" s="746">
        <f t="shared" si="2570"/>
        <v>14418973.220000003</v>
      </c>
      <c r="N678" s="746">
        <f t="shared" si="2570"/>
        <v>18714235.899999999</v>
      </c>
      <c r="O678" s="746">
        <f t="shared" si="2570"/>
        <v>19781350.84</v>
      </c>
      <c r="P678" s="746">
        <f t="shared" si="2570"/>
        <v>23902174</v>
      </c>
      <c r="Q678" s="746">
        <f t="shared" si="2570"/>
        <v>20183750</v>
      </c>
      <c r="R678" s="746">
        <f t="shared" si="2570"/>
        <v>11938886.534285715</v>
      </c>
      <c r="S678" s="746">
        <f t="shared" si="2570"/>
        <v>9402642.0871428568</v>
      </c>
      <c r="T678" s="746">
        <f t="shared" si="2570"/>
        <v>6961926.599642857</v>
      </c>
      <c r="U678" s="746">
        <f t="shared" si="2570"/>
        <v>8697026.6571428571</v>
      </c>
      <c r="V678" s="746">
        <f t="shared" si="2570"/>
        <v>12812303.094642857</v>
      </c>
      <c r="W678" s="746">
        <f t="shared" si="2570"/>
        <v>13166349.6644</v>
      </c>
      <c r="X678" s="746">
        <f t="shared" si="2570"/>
        <v>22810554.246812254</v>
      </c>
      <c r="Y678" s="746">
        <f t="shared" si="2570"/>
        <v>9938850.0580000002</v>
      </c>
      <c r="Z678" s="746">
        <f t="shared" si="2570"/>
        <v>2797892</v>
      </c>
      <c r="AA678" s="746">
        <f t="shared" si="2570"/>
        <v>11360423.3652</v>
      </c>
      <c r="AB678" s="746">
        <f t="shared" si="2570"/>
        <v>12728670.46976429</v>
      </c>
      <c r="AC678" s="746">
        <f t="shared" si="2570"/>
        <v>17725715.018400002</v>
      </c>
      <c r="AD678" s="746">
        <f t="shared" si="2570"/>
        <v>18950307.23</v>
      </c>
      <c r="AE678" s="746">
        <f t="shared" si="2570"/>
        <v>17728045</v>
      </c>
      <c r="AF678" s="746">
        <f t="shared" si="2570"/>
        <v>16018491</v>
      </c>
      <c r="AG678" s="746">
        <f t="shared" si="2570"/>
        <v>23641091</v>
      </c>
      <c r="AH678" s="746">
        <f t="shared" si="2570"/>
        <v>31077302</v>
      </c>
      <c r="AI678" s="746">
        <f t="shared" si="2570"/>
        <v>39517512</v>
      </c>
      <c r="AJ678" s="746">
        <f t="shared" si="2570"/>
        <v>31816231</v>
      </c>
      <c r="AK678" s="746">
        <f t="shared" si="2570"/>
        <v>24484407</v>
      </c>
      <c r="AL678" s="746">
        <f t="shared" si="2570"/>
        <v>18383577</v>
      </c>
      <c r="AM678" s="746">
        <f t="shared" si="2570"/>
        <v>14623536</v>
      </c>
      <c r="AN678" s="746">
        <f t="shared" si="2570"/>
        <v>28521965</v>
      </c>
      <c r="AO678" s="746">
        <f t="shared" si="2570"/>
        <v>39561819</v>
      </c>
      <c r="AP678" s="746">
        <f t="shared" si="2570"/>
        <v>51609864</v>
      </c>
      <c r="AQ678" s="746">
        <f t="shared" si="2570"/>
        <v>60595201</v>
      </c>
      <c r="AR678" s="746">
        <f t="shared" si="2570"/>
        <v>60517807</v>
      </c>
      <c r="AS678" s="746">
        <f t="shared" si="2570"/>
        <v>54147450</v>
      </c>
      <c r="AT678" s="746">
        <f t="shared" si="2570"/>
        <v>64450744.490000002</v>
      </c>
      <c r="AU678" s="746">
        <f t="shared" si="2570"/>
        <v>75792539.609999999</v>
      </c>
      <c r="AV678" s="746">
        <f t="shared" si="2570"/>
        <v>77594057</v>
      </c>
      <c r="AW678" s="746">
        <f t="shared" si="2570"/>
        <v>87830548</v>
      </c>
      <c r="AX678" s="746">
        <f t="shared" si="2570"/>
        <v>52056539</v>
      </c>
      <c r="AY678" s="746">
        <f t="shared" si="2570"/>
        <v>54622563</v>
      </c>
      <c r="AZ678" s="746">
        <f t="shared" si="2570"/>
        <v>51017601</v>
      </c>
      <c r="BA678" s="746">
        <f t="shared" si="2570"/>
        <v>40157370</v>
      </c>
      <c r="BB678" s="746">
        <f t="shared" si="2570"/>
        <v>37071431.389999993</v>
      </c>
      <c r="BC678" s="746">
        <f t="shared" si="2570"/>
        <v>24729092.040000007</v>
      </c>
      <c r="BD678" s="746">
        <f t="shared" si="2570"/>
        <v>14859194.84</v>
      </c>
      <c r="BE678" s="746">
        <f t="shared" si="2570"/>
        <v>29701075.367189877</v>
      </c>
      <c r="BF678" s="746">
        <f t="shared" si="2570"/>
        <v>39769727.153314941</v>
      </c>
      <c r="BG678" s="746">
        <f t="shared" si="2570"/>
        <v>47138126.25651826</v>
      </c>
      <c r="BH678" s="746">
        <f t="shared" si="2570"/>
        <v>40772023.234515883</v>
      </c>
      <c r="BI678" s="746">
        <f t="shared" si="2570"/>
        <v>48257190.86445643</v>
      </c>
      <c r="BJ678" s="746">
        <f t="shared" si="2570"/>
        <v>0</v>
      </c>
      <c r="BK678" s="746">
        <f t="shared" si="2570"/>
        <v>0</v>
      </c>
      <c r="BL678" s="746">
        <f t="shared" si="2570"/>
        <v>0</v>
      </c>
      <c r="BM678" s="746">
        <f t="shared" si="2570"/>
        <v>0</v>
      </c>
      <c r="BN678" s="746">
        <f t="shared" si="2570"/>
        <v>0</v>
      </c>
      <c r="BO678" s="746">
        <f t="shared" ref="BO678:DQ678" si="2571">SUM(BO679)</f>
        <v>0</v>
      </c>
      <c r="BP678" s="746">
        <f t="shared" si="2571"/>
        <v>0</v>
      </c>
      <c r="BQ678" s="746">
        <f t="shared" si="2571"/>
        <v>0</v>
      </c>
      <c r="BR678" s="746">
        <f t="shared" si="2571"/>
        <v>0</v>
      </c>
      <c r="BS678" s="746">
        <f t="shared" si="2571"/>
        <v>0</v>
      </c>
      <c r="BT678" s="746">
        <f t="shared" si="2571"/>
        <v>0</v>
      </c>
      <c r="BU678" s="746">
        <f t="shared" si="2571"/>
        <v>0</v>
      </c>
      <c r="BV678" s="746">
        <f t="shared" si="2571"/>
        <v>0</v>
      </c>
      <c r="BW678" s="746">
        <f t="shared" si="2571"/>
        <v>0</v>
      </c>
      <c r="BX678" s="746">
        <f t="shared" si="2571"/>
        <v>0</v>
      </c>
      <c r="BY678" s="729">
        <f t="shared" si="2571"/>
        <v>0</v>
      </c>
      <c r="BZ678" s="729">
        <f t="shared" si="2571"/>
        <v>0</v>
      </c>
      <c r="CA678" s="729">
        <f t="shared" si="2571"/>
        <v>0</v>
      </c>
      <c r="CB678" s="729">
        <f t="shared" si="2571"/>
        <v>0</v>
      </c>
      <c r="CC678" s="729">
        <f t="shared" si="2571"/>
        <v>0</v>
      </c>
      <c r="CD678" s="729">
        <f t="shared" si="2571"/>
        <v>0</v>
      </c>
      <c r="CE678" s="729">
        <f t="shared" si="2571"/>
        <v>0</v>
      </c>
      <c r="CF678" s="729">
        <f t="shared" si="2571"/>
        <v>0</v>
      </c>
      <c r="CG678" s="729">
        <f t="shared" si="2571"/>
        <v>0</v>
      </c>
      <c r="CH678" s="729">
        <f t="shared" si="2571"/>
        <v>0</v>
      </c>
      <c r="CI678" s="729">
        <f t="shared" si="2571"/>
        <v>0</v>
      </c>
      <c r="CJ678" s="729">
        <f t="shared" si="2571"/>
        <v>0</v>
      </c>
      <c r="CK678" s="729">
        <f t="shared" si="2571"/>
        <v>0</v>
      </c>
      <c r="CL678" s="729">
        <f t="shared" si="2571"/>
        <v>0</v>
      </c>
      <c r="CM678" s="729">
        <f t="shared" si="2571"/>
        <v>0</v>
      </c>
      <c r="CN678" s="729">
        <f t="shared" si="2571"/>
        <v>0</v>
      </c>
      <c r="CO678" s="729">
        <f t="shared" si="2571"/>
        <v>0</v>
      </c>
      <c r="CP678" s="729">
        <f t="shared" si="2571"/>
        <v>0</v>
      </c>
      <c r="CQ678" s="729">
        <f t="shared" si="2571"/>
        <v>0</v>
      </c>
      <c r="CR678" s="729">
        <f t="shared" si="2571"/>
        <v>0</v>
      </c>
      <c r="CS678" s="729">
        <f t="shared" si="2571"/>
        <v>0</v>
      </c>
      <c r="CT678" s="729">
        <f t="shared" si="2571"/>
        <v>0</v>
      </c>
      <c r="CU678" s="729">
        <f t="shared" si="2571"/>
        <v>0</v>
      </c>
      <c r="CV678" s="729">
        <f t="shared" si="2571"/>
        <v>0</v>
      </c>
      <c r="CW678" s="729">
        <f t="shared" si="2571"/>
        <v>0</v>
      </c>
      <c r="CX678" s="729">
        <f t="shared" si="2571"/>
        <v>0</v>
      </c>
      <c r="CY678" s="729">
        <f t="shared" si="2571"/>
        <v>0</v>
      </c>
      <c r="CZ678" s="729">
        <f t="shared" si="2571"/>
        <v>0</v>
      </c>
      <c r="DA678" s="729">
        <f t="shared" si="2571"/>
        <v>0</v>
      </c>
      <c r="DB678" s="729">
        <f t="shared" si="2571"/>
        <v>0</v>
      </c>
      <c r="DC678" s="729">
        <f t="shared" si="2571"/>
        <v>0</v>
      </c>
      <c r="DD678" s="729">
        <f t="shared" si="2571"/>
        <v>0</v>
      </c>
      <c r="DE678" s="729">
        <f t="shared" si="2571"/>
        <v>0</v>
      </c>
      <c r="DF678" s="729">
        <f t="shared" si="2571"/>
        <v>0</v>
      </c>
      <c r="DG678" s="729">
        <f t="shared" si="2571"/>
        <v>0</v>
      </c>
      <c r="DH678" s="729">
        <f t="shared" si="2571"/>
        <v>0</v>
      </c>
      <c r="DI678" s="729">
        <f t="shared" si="2571"/>
        <v>0</v>
      </c>
      <c r="DJ678" s="729">
        <f t="shared" si="2571"/>
        <v>0</v>
      </c>
      <c r="DK678" s="729">
        <f t="shared" si="2571"/>
        <v>0</v>
      </c>
      <c r="DL678" s="729">
        <f t="shared" si="2571"/>
        <v>0</v>
      </c>
      <c r="DM678" s="729">
        <f t="shared" si="2571"/>
        <v>0</v>
      </c>
      <c r="DN678" s="729">
        <f t="shared" si="2571"/>
        <v>0</v>
      </c>
      <c r="DO678" s="729">
        <f t="shared" si="2571"/>
        <v>0</v>
      </c>
      <c r="DP678" s="729">
        <f t="shared" si="2571"/>
        <v>0</v>
      </c>
      <c r="DQ678" s="729">
        <f t="shared" si="2571"/>
        <v>0</v>
      </c>
      <c r="DR678" s="729"/>
      <c r="DS678" s="729"/>
      <c r="DT678" s="729"/>
      <c r="DU678" s="729"/>
      <c r="DV678" s="729"/>
      <c r="DW678" s="729"/>
      <c r="DX678" s="729"/>
      <c r="DY678" s="729"/>
      <c r="DZ678" s="729"/>
      <c r="EA678" s="729"/>
      <c r="EB678" s="729"/>
      <c r="EC678" s="729"/>
      <c r="ED678" s="113" t="s">
        <v>1</v>
      </c>
    </row>
    <row r="679" spans="1:134" x14ac:dyDescent="0.2">
      <c r="A679" s="730" t="s">
        <v>227</v>
      </c>
      <c r="B679" s="129">
        <v>6493223.7199999997</v>
      </c>
      <c r="C679" s="129">
        <v>6995016</v>
      </c>
      <c r="D679" s="129">
        <v>6266782.9689844027</v>
      </c>
      <c r="E679" s="129">
        <v>9975111.8193185106</v>
      </c>
      <c r="F679" s="129">
        <v>8792729.1163709052</v>
      </c>
      <c r="G679" s="129">
        <v>7349297.6943097655</v>
      </c>
      <c r="H679" s="129">
        <v>8404052.8000000007</v>
      </c>
      <c r="I679" s="129">
        <v>10228739.060000001</v>
      </c>
      <c r="J679" s="129">
        <v>12234584.41</v>
      </c>
      <c r="K679" s="129">
        <v>13610742.350000001</v>
      </c>
      <c r="L679" s="129">
        <v>17897923.789999999</v>
      </c>
      <c r="M679" s="129">
        <v>14418973.220000003</v>
      </c>
      <c r="N679" s="129">
        <v>18714235.899999999</v>
      </c>
      <c r="O679" s="129">
        <v>19781350.84</v>
      </c>
      <c r="P679" s="129">
        <v>23902174</v>
      </c>
      <c r="Q679" s="129">
        <v>20183750</v>
      </c>
      <c r="R679" s="129">
        <v>11938886.534285715</v>
      </c>
      <c r="S679" s="129">
        <v>9402642.0871428568</v>
      </c>
      <c r="T679" s="129">
        <v>6961926.599642857</v>
      </c>
      <c r="U679" s="129">
        <v>8697026.6571428571</v>
      </c>
      <c r="V679" s="129">
        <v>12812303.094642857</v>
      </c>
      <c r="W679" s="129">
        <v>13166349.6644</v>
      </c>
      <c r="X679" s="129">
        <v>22810554.246812254</v>
      </c>
      <c r="Y679" s="129">
        <v>9938850.0580000002</v>
      </c>
      <c r="Z679" s="129">
        <v>2797892</v>
      </c>
      <c r="AA679" s="129">
        <v>11360423.3652</v>
      </c>
      <c r="AB679" s="129">
        <v>12728670.46976429</v>
      </c>
      <c r="AC679" s="129">
        <v>17725715.018400002</v>
      </c>
      <c r="AD679" s="129">
        <v>18950307.23</v>
      </c>
      <c r="AE679" s="129">
        <v>17728045</v>
      </c>
      <c r="AF679" s="129">
        <v>16018491</v>
      </c>
      <c r="AG679" s="129">
        <v>23641091</v>
      </c>
      <c r="AH679" s="129">
        <v>31077302</v>
      </c>
      <c r="AI679" s="129">
        <v>39517512</v>
      </c>
      <c r="AJ679" s="129">
        <v>31816231</v>
      </c>
      <c r="AK679" s="129">
        <v>24484407</v>
      </c>
      <c r="AL679" s="129">
        <v>18383577</v>
      </c>
      <c r="AM679" s="129">
        <v>14623536</v>
      </c>
      <c r="AN679" s="129">
        <v>28521965</v>
      </c>
      <c r="AO679" s="129">
        <v>39561819</v>
      </c>
      <c r="AP679" s="129">
        <v>51609864</v>
      </c>
      <c r="AQ679" s="129">
        <v>60595201</v>
      </c>
      <c r="AR679" s="129">
        <v>60517807</v>
      </c>
      <c r="AS679" s="129">
        <v>54147450</v>
      </c>
      <c r="AT679" s="129">
        <v>64450744.490000002</v>
      </c>
      <c r="AU679" s="129">
        <v>75792539.609999999</v>
      </c>
      <c r="AV679" s="129">
        <v>77594057</v>
      </c>
      <c r="AW679" s="129">
        <v>87830548</v>
      </c>
      <c r="AX679" s="129">
        <v>52056539</v>
      </c>
      <c r="AY679" s="129">
        <v>54622563</v>
      </c>
      <c r="AZ679" s="129">
        <v>51017601</v>
      </c>
      <c r="BA679" s="129">
        <v>40157370</v>
      </c>
      <c r="BB679" s="129">
        <v>37071431.389999993</v>
      </c>
      <c r="BC679" s="129">
        <v>24729092.040000007</v>
      </c>
      <c r="BD679" s="129">
        <v>14859194.84</v>
      </c>
      <c r="BE679" s="129">
        <v>29701075.367189877</v>
      </c>
      <c r="BF679" s="129">
        <v>39769727.153314941</v>
      </c>
      <c r="BG679" s="129">
        <v>47138126.25651826</v>
      </c>
      <c r="BH679" s="129">
        <v>40772023.234515883</v>
      </c>
      <c r="BI679" s="129">
        <v>48257190.86445643</v>
      </c>
      <c r="BJ679" s="129">
        <v>0</v>
      </c>
      <c r="BK679" s="129">
        <v>0</v>
      </c>
      <c r="BL679" s="129">
        <v>0</v>
      </c>
      <c r="BM679" s="129">
        <v>0</v>
      </c>
      <c r="BN679" s="129">
        <v>0</v>
      </c>
      <c r="BO679" s="129">
        <v>0</v>
      </c>
      <c r="BP679" s="129">
        <v>0</v>
      </c>
      <c r="BQ679" s="129">
        <v>0</v>
      </c>
      <c r="BR679" s="129">
        <v>0</v>
      </c>
      <c r="BS679" s="129">
        <v>0</v>
      </c>
      <c r="BT679" s="129">
        <v>0</v>
      </c>
      <c r="BU679" s="129">
        <v>0</v>
      </c>
      <c r="BV679" s="129">
        <v>0</v>
      </c>
      <c r="BW679" s="129">
        <v>0</v>
      </c>
      <c r="BX679" s="129">
        <v>0</v>
      </c>
      <c r="BY679" s="129">
        <v>0</v>
      </c>
      <c r="BZ679" s="129">
        <v>0</v>
      </c>
      <c r="CA679" s="129">
        <v>0</v>
      </c>
      <c r="CB679" s="129">
        <v>0</v>
      </c>
      <c r="CC679" s="129">
        <v>0</v>
      </c>
      <c r="CD679" s="129">
        <v>0</v>
      </c>
      <c r="CE679" s="129">
        <v>0</v>
      </c>
      <c r="CF679" s="129">
        <v>0</v>
      </c>
      <c r="CG679" s="129">
        <v>0</v>
      </c>
      <c r="CH679" s="129">
        <v>0</v>
      </c>
      <c r="CI679" s="129">
        <v>0</v>
      </c>
      <c r="CJ679" s="129">
        <v>0</v>
      </c>
      <c r="CK679" s="129">
        <v>0</v>
      </c>
      <c r="CL679" s="129">
        <v>0</v>
      </c>
      <c r="CM679" s="129">
        <v>0</v>
      </c>
      <c r="CN679" s="129">
        <v>0</v>
      </c>
      <c r="CO679" s="129">
        <v>0</v>
      </c>
      <c r="CP679" s="129">
        <v>0</v>
      </c>
      <c r="CQ679" s="129">
        <v>0</v>
      </c>
      <c r="CR679" s="129">
        <v>0</v>
      </c>
      <c r="CS679" s="129">
        <v>0</v>
      </c>
      <c r="CT679" s="129">
        <v>0</v>
      </c>
      <c r="CU679" s="129">
        <v>0</v>
      </c>
      <c r="CV679" s="129">
        <v>0</v>
      </c>
      <c r="CW679" s="129">
        <v>0</v>
      </c>
      <c r="CX679" s="129">
        <v>0</v>
      </c>
      <c r="CY679" s="129">
        <v>0</v>
      </c>
      <c r="CZ679" s="129">
        <v>0</v>
      </c>
      <c r="DA679" s="129">
        <v>0</v>
      </c>
      <c r="DB679" s="129">
        <v>0</v>
      </c>
      <c r="DC679" s="129">
        <v>0</v>
      </c>
      <c r="DD679" s="129">
        <v>0</v>
      </c>
      <c r="DE679" s="129">
        <v>0</v>
      </c>
      <c r="DF679" s="129">
        <v>0</v>
      </c>
      <c r="DG679" s="129">
        <v>0</v>
      </c>
      <c r="DH679" s="129">
        <v>0</v>
      </c>
      <c r="DI679" s="129">
        <v>0</v>
      </c>
      <c r="DJ679" s="129">
        <v>0</v>
      </c>
      <c r="DK679" s="129">
        <v>0</v>
      </c>
      <c r="DL679" s="129">
        <v>0</v>
      </c>
      <c r="DM679" s="129">
        <v>0</v>
      </c>
      <c r="DN679" s="129">
        <v>0</v>
      </c>
      <c r="DO679" s="129">
        <v>0</v>
      </c>
      <c r="DP679" s="129">
        <v>0</v>
      </c>
      <c r="DQ679" s="129">
        <v>0</v>
      </c>
      <c r="DR679" s="129">
        <v>0</v>
      </c>
      <c r="DS679" s="129">
        <v>0</v>
      </c>
      <c r="DT679" s="129">
        <v>0</v>
      </c>
      <c r="DU679" s="129">
        <v>0</v>
      </c>
      <c r="DV679" s="129">
        <v>0</v>
      </c>
      <c r="DW679" s="129">
        <v>0</v>
      </c>
      <c r="DX679" s="129">
        <v>0</v>
      </c>
      <c r="DY679" s="129">
        <v>0</v>
      </c>
      <c r="DZ679" s="129">
        <v>0</v>
      </c>
      <c r="EA679" s="129">
        <v>0</v>
      </c>
      <c r="EB679" s="129">
        <v>0</v>
      </c>
      <c r="EC679" s="129">
        <v>0</v>
      </c>
      <c r="ED679" s="113" t="s">
        <v>1</v>
      </c>
    </row>
    <row r="680" spans="1:134" x14ac:dyDescent="0.2">
      <c r="A680" s="730" t="s">
        <v>5</v>
      </c>
      <c r="B680" s="129">
        <v>957</v>
      </c>
      <c r="C680" s="129">
        <v>1008</v>
      </c>
      <c r="D680" s="129">
        <v>894</v>
      </c>
      <c r="E680" s="129">
        <v>1508</v>
      </c>
      <c r="F680" s="129">
        <v>1514</v>
      </c>
      <c r="G680" s="129">
        <v>1391</v>
      </c>
      <c r="H680" s="129">
        <v>1527</v>
      </c>
      <c r="I680" s="129">
        <v>1783</v>
      </c>
      <c r="J680" s="129">
        <v>2276</v>
      </c>
      <c r="K680" s="129">
        <v>2302</v>
      </c>
      <c r="L680" s="129">
        <v>3169</v>
      </c>
      <c r="M680" s="129">
        <v>2503</v>
      </c>
      <c r="N680" s="129">
        <v>3435</v>
      </c>
      <c r="O680" s="129">
        <v>3539</v>
      </c>
      <c r="P680" s="129">
        <v>4220</v>
      </c>
      <c r="Q680" s="129">
        <v>3491</v>
      </c>
      <c r="R680" s="129">
        <v>2247</v>
      </c>
      <c r="S680" s="129">
        <v>1749</v>
      </c>
      <c r="T680" s="129">
        <v>1375</v>
      </c>
      <c r="U680" s="129">
        <v>1548</v>
      </c>
      <c r="V680" s="129">
        <v>3943</v>
      </c>
      <c r="W680" s="129">
        <v>2697</v>
      </c>
      <c r="X680" s="129">
        <v>2654</v>
      </c>
      <c r="Y680" s="129">
        <v>1322</v>
      </c>
      <c r="Z680" s="129">
        <v>219</v>
      </c>
      <c r="AA680" s="129">
        <v>1725</v>
      </c>
      <c r="AB680" s="129">
        <v>1807</v>
      </c>
      <c r="AC680" s="129">
        <v>2282</v>
      </c>
      <c r="AD680" s="129">
        <v>2417</v>
      </c>
      <c r="AE680" s="129">
        <v>2598</v>
      </c>
      <c r="AF680" s="129">
        <v>2701</v>
      </c>
      <c r="AG680" s="129">
        <v>4317</v>
      </c>
      <c r="AH680" s="129">
        <v>5996</v>
      </c>
      <c r="AI680" s="129">
        <v>7633</v>
      </c>
      <c r="AJ680" s="129">
        <v>6140</v>
      </c>
      <c r="AK680" s="129">
        <v>4565</v>
      </c>
      <c r="AL680" s="129">
        <v>3496</v>
      </c>
      <c r="AM680" s="129">
        <v>2680</v>
      </c>
      <c r="AN680" s="129">
        <v>5319</v>
      </c>
      <c r="AO680" s="129">
        <v>6983</v>
      </c>
      <c r="AP680" s="129">
        <v>8332</v>
      </c>
      <c r="AQ680" s="129">
        <v>9742</v>
      </c>
      <c r="AR680" s="129">
        <v>10550</v>
      </c>
      <c r="AS680" s="129">
        <v>10220</v>
      </c>
      <c r="AT680" s="129">
        <v>11472</v>
      </c>
      <c r="AU680" s="129">
        <v>12940</v>
      </c>
      <c r="AV680" s="129">
        <v>12717</v>
      </c>
      <c r="AW680" s="129">
        <v>15011</v>
      </c>
      <c r="AX680" s="129">
        <v>10170</v>
      </c>
      <c r="AY680" s="129">
        <v>8989</v>
      </c>
      <c r="AZ680" s="129">
        <v>7521</v>
      </c>
      <c r="BA680" s="129">
        <v>7152</v>
      </c>
      <c r="BB680" s="129">
        <v>6225</v>
      </c>
      <c r="BC680" s="129">
        <v>4170</v>
      </c>
      <c r="BD680" s="129">
        <v>2423</v>
      </c>
      <c r="BE680" s="129">
        <v>3369</v>
      </c>
      <c r="BF680" s="129">
        <v>4732</v>
      </c>
      <c r="BG680" s="129">
        <v>5172</v>
      </c>
      <c r="BH680" s="129">
        <v>4577</v>
      </c>
      <c r="BI680" s="129">
        <v>4934</v>
      </c>
      <c r="BJ680" s="129">
        <v>0</v>
      </c>
      <c r="BK680" s="129">
        <v>0</v>
      </c>
      <c r="BL680" s="129">
        <v>0</v>
      </c>
      <c r="BM680" s="129">
        <v>0</v>
      </c>
      <c r="BN680" s="129">
        <v>0</v>
      </c>
      <c r="BO680" s="129">
        <v>0</v>
      </c>
      <c r="BP680" s="129">
        <v>0</v>
      </c>
      <c r="BQ680" s="129">
        <v>0</v>
      </c>
      <c r="BR680" s="129">
        <v>0</v>
      </c>
      <c r="BS680" s="129">
        <v>0</v>
      </c>
      <c r="BT680" s="129">
        <v>0</v>
      </c>
      <c r="BU680" s="129">
        <v>0</v>
      </c>
      <c r="BV680" s="129">
        <v>0</v>
      </c>
      <c r="BW680" s="129">
        <v>0</v>
      </c>
      <c r="BX680" s="129">
        <v>0</v>
      </c>
      <c r="BY680" s="129">
        <v>0</v>
      </c>
      <c r="BZ680" s="129">
        <v>0</v>
      </c>
      <c r="CA680" s="129">
        <v>0</v>
      </c>
      <c r="CB680" s="129">
        <v>0</v>
      </c>
      <c r="CC680" s="129">
        <v>0</v>
      </c>
      <c r="CD680" s="129">
        <v>0</v>
      </c>
      <c r="CE680" s="129">
        <v>0</v>
      </c>
      <c r="CF680" s="129">
        <v>0</v>
      </c>
      <c r="CG680" s="129">
        <v>0</v>
      </c>
      <c r="CH680" s="129">
        <v>0</v>
      </c>
      <c r="CI680" s="129">
        <v>0</v>
      </c>
      <c r="CJ680" s="129">
        <v>0</v>
      </c>
      <c r="CK680" s="129">
        <v>0</v>
      </c>
      <c r="CL680" s="129">
        <v>0</v>
      </c>
      <c r="CM680" s="129">
        <v>0</v>
      </c>
      <c r="CN680" s="129">
        <v>0</v>
      </c>
      <c r="CO680" s="129">
        <v>0</v>
      </c>
      <c r="CP680" s="129">
        <v>0</v>
      </c>
      <c r="CQ680" s="129">
        <v>0</v>
      </c>
      <c r="CR680" s="129">
        <v>0</v>
      </c>
      <c r="CS680" s="129">
        <v>0</v>
      </c>
      <c r="CT680" s="129">
        <v>0</v>
      </c>
      <c r="CU680" s="129">
        <v>0</v>
      </c>
      <c r="CV680" s="129">
        <v>0</v>
      </c>
      <c r="CW680" s="129">
        <v>0</v>
      </c>
      <c r="CX680" s="129">
        <v>0</v>
      </c>
      <c r="CY680" s="129">
        <v>0</v>
      </c>
      <c r="CZ680" s="129">
        <v>0</v>
      </c>
      <c r="DA680" s="129">
        <v>0</v>
      </c>
      <c r="DB680" s="129">
        <v>0</v>
      </c>
      <c r="DC680" s="129">
        <v>0</v>
      </c>
      <c r="DD680" s="129">
        <v>0</v>
      </c>
      <c r="DE680" s="129">
        <v>0</v>
      </c>
      <c r="DF680" s="129">
        <v>0</v>
      </c>
      <c r="DG680" s="129">
        <v>0</v>
      </c>
      <c r="DH680" s="129">
        <v>0</v>
      </c>
      <c r="DI680" s="129">
        <v>0</v>
      </c>
      <c r="DJ680" s="129">
        <v>0</v>
      </c>
      <c r="DK680" s="129">
        <v>0</v>
      </c>
      <c r="DL680" s="129">
        <v>0</v>
      </c>
      <c r="DM680" s="129">
        <v>0</v>
      </c>
      <c r="DN680" s="129">
        <v>0</v>
      </c>
      <c r="DO680" s="129">
        <v>0</v>
      </c>
      <c r="DP680" s="129">
        <v>0</v>
      </c>
      <c r="DQ680" s="129">
        <v>0</v>
      </c>
      <c r="DR680" s="129">
        <v>0</v>
      </c>
      <c r="DS680" s="129">
        <v>0</v>
      </c>
      <c r="DT680" s="129">
        <v>0</v>
      </c>
      <c r="DU680" s="129">
        <v>0</v>
      </c>
      <c r="DV680" s="129">
        <v>0</v>
      </c>
      <c r="DW680" s="129">
        <v>0</v>
      </c>
      <c r="DX680" s="129">
        <v>0</v>
      </c>
      <c r="DY680" s="129">
        <v>0</v>
      </c>
      <c r="DZ680" s="129">
        <v>0</v>
      </c>
      <c r="EA680" s="129">
        <v>0</v>
      </c>
      <c r="EB680" s="129">
        <v>0</v>
      </c>
      <c r="EC680" s="129">
        <v>0</v>
      </c>
      <c r="ED680" s="113" t="s">
        <v>1</v>
      </c>
    </row>
    <row r="681" spans="1:134" x14ac:dyDescent="0.2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15"/>
      <c r="AU681" s="115"/>
      <c r="AV681" s="115"/>
      <c r="AW681" s="115"/>
      <c r="AX681" s="115"/>
      <c r="AY681" s="115"/>
      <c r="AZ681" s="115"/>
      <c r="BA681" s="115"/>
      <c r="BB681" s="115"/>
      <c r="BC681" s="115"/>
      <c r="BD681" s="115"/>
      <c r="BE681" s="115"/>
      <c r="BF681" s="115"/>
      <c r="BG681" s="115"/>
      <c r="BH681" s="115"/>
      <c r="BI681" s="115"/>
      <c r="BJ681" s="115"/>
      <c r="BK681" s="115"/>
      <c r="BL681" s="115"/>
      <c r="BM681" s="115"/>
      <c r="BN681" s="115"/>
      <c r="BO681" s="115"/>
      <c r="BP681" s="115"/>
      <c r="BQ681" s="115"/>
      <c r="BR681" s="115"/>
      <c r="BS681" s="115"/>
      <c r="BT681" s="115"/>
      <c r="BU681" s="115"/>
      <c r="BV681" s="115"/>
      <c r="BW681" s="115"/>
      <c r="BX681" s="115"/>
      <c r="BY681" s="115"/>
      <c r="BZ681" s="115"/>
      <c r="CA681" s="115"/>
      <c r="CB681" s="115"/>
      <c r="CC681" s="115"/>
      <c r="CD681" s="115"/>
      <c r="CE681" s="115"/>
      <c r="CF681" s="115"/>
      <c r="CG681" s="115"/>
      <c r="CH681" s="115"/>
      <c r="CI681" s="115"/>
      <c r="CJ681" s="115"/>
      <c r="CK681" s="115"/>
      <c r="CL681" s="115"/>
      <c r="CM681" s="115"/>
      <c r="CN681" s="115"/>
      <c r="CO681" s="115"/>
      <c r="CP681" s="115"/>
      <c r="CQ681" s="115"/>
      <c r="CR681" s="115"/>
      <c r="CS681" s="115"/>
      <c r="CT681" s="115"/>
      <c r="CU681" s="115"/>
      <c r="CV681" s="115"/>
      <c r="CW681" s="115"/>
      <c r="CX681" s="115"/>
      <c r="CY681" s="115"/>
      <c r="CZ681" s="115"/>
      <c r="DA681" s="115"/>
      <c r="DB681" s="115"/>
      <c r="DC681" s="115"/>
      <c r="DD681" s="115"/>
      <c r="DE681" s="115"/>
      <c r="DF681" s="115"/>
      <c r="DG681" s="115"/>
      <c r="DH681" s="115"/>
      <c r="DI681" s="115"/>
      <c r="DJ681" s="115"/>
      <c r="DK681" s="115"/>
      <c r="DL681" s="115"/>
      <c r="DM681" s="115"/>
      <c r="DN681" s="115"/>
      <c r="DO681" s="115"/>
      <c r="DP681" s="115"/>
      <c r="DQ681" s="115"/>
      <c r="DR681" s="115"/>
      <c r="DS681" s="115"/>
      <c r="DT681" s="115"/>
      <c r="DU681" s="115"/>
      <c r="DV681" s="115"/>
      <c r="DW681" s="115"/>
      <c r="DX681" s="115"/>
      <c r="DY681" s="115"/>
      <c r="DZ681" s="115"/>
      <c r="EA681" s="115"/>
      <c r="EB681" s="115"/>
      <c r="EC681" s="645"/>
      <c r="ED681" s="113" t="s">
        <v>1</v>
      </c>
    </row>
    <row r="682" spans="1:134" x14ac:dyDescent="0.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15"/>
      <c r="AU682" s="115"/>
      <c r="AV682" s="115"/>
      <c r="AW682" s="115"/>
      <c r="AX682" s="115"/>
      <c r="AY682" s="115"/>
      <c r="AZ682" s="115"/>
      <c r="BA682" s="115"/>
      <c r="BB682" s="115"/>
      <c r="BC682" s="115"/>
      <c r="BD682" s="115"/>
      <c r="BE682" s="115"/>
      <c r="BF682" s="115"/>
      <c r="BG682" s="115"/>
      <c r="BH682" s="115"/>
      <c r="BI682" s="115"/>
      <c r="BJ682" s="115"/>
      <c r="BK682" s="115"/>
      <c r="BL682" s="115"/>
      <c r="BM682" s="115"/>
      <c r="BN682" s="115"/>
      <c r="BO682" s="115"/>
      <c r="BP682" s="115"/>
      <c r="BQ682" s="115"/>
      <c r="BR682" s="115"/>
      <c r="BS682" s="115"/>
      <c r="BT682" s="115"/>
      <c r="BU682" s="115"/>
      <c r="BV682" s="115"/>
      <c r="BW682" s="115"/>
      <c r="BX682" s="115"/>
      <c r="BY682" s="115"/>
      <c r="BZ682" s="115"/>
      <c r="CA682" s="115"/>
      <c r="CB682" s="115"/>
      <c r="CC682" s="115"/>
      <c r="CD682" s="115"/>
      <c r="CE682" s="115"/>
      <c r="CF682" s="115"/>
      <c r="CG682" s="115"/>
      <c r="CH682" s="115"/>
      <c r="CI682" s="115"/>
      <c r="CJ682" s="115"/>
      <c r="CK682" s="115"/>
      <c r="CL682" s="115"/>
      <c r="CM682" s="115"/>
      <c r="CN682" s="115"/>
      <c r="CO682" s="115"/>
      <c r="CP682" s="115"/>
      <c r="CQ682" s="115"/>
      <c r="CR682" s="115"/>
      <c r="CS682" s="115"/>
      <c r="CT682" s="115"/>
      <c r="CU682" s="115"/>
      <c r="CV682" s="115"/>
      <c r="CW682" s="115"/>
      <c r="CX682" s="115"/>
      <c r="CY682" s="115"/>
      <c r="CZ682" s="115"/>
      <c r="DA682" s="115"/>
      <c r="DB682" s="115"/>
      <c r="DC682" s="115"/>
      <c r="DD682" s="115"/>
      <c r="DE682" s="115"/>
      <c r="DF682" s="115"/>
      <c r="DG682" s="115"/>
      <c r="DH682" s="115"/>
      <c r="DI682" s="115"/>
      <c r="DJ682" s="115"/>
      <c r="DK682" s="115"/>
      <c r="DL682" s="115"/>
      <c r="DM682" s="115"/>
      <c r="DN682" s="115"/>
      <c r="DO682" s="115"/>
      <c r="DP682" s="115"/>
      <c r="DQ682" s="115"/>
      <c r="DR682" s="115"/>
      <c r="DS682" s="115"/>
      <c r="DT682" s="115"/>
      <c r="DU682" s="115"/>
      <c r="DV682" s="115"/>
      <c r="DW682" s="115"/>
      <c r="DX682" s="115"/>
      <c r="DY682" s="115"/>
      <c r="DZ682" s="115"/>
      <c r="EA682" s="115"/>
      <c r="EB682" s="115"/>
      <c r="EC682" s="645"/>
      <c r="ED682" s="113" t="s">
        <v>1</v>
      </c>
    </row>
    <row r="683" spans="1:134" x14ac:dyDescent="0.2">
      <c r="A683" s="746" t="s">
        <v>6</v>
      </c>
      <c r="B683" s="746">
        <f>SUM(B684)</f>
        <v>300576.72000000003</v>
      </c>
      <c r="C683" s="746">
        <f t="shared" ref="C683" si="2572">SUM(C684)</f>
        <v>227209</v>
      </c>
      <c r="D683" s="746">
        <f t="shared" ref="D683" si="2573">SUM(D684)</f>
        <v>519222.19999999995</v>
      </c>
      <c r="E683" s="746">
        <f t="shared" ref="E683" si="2574">SUM(E684)</f>
        <v>643912.92000000016</v>
      </c>
      <c r="F683" s="746">
        <f t="shared" ref="F683" si="2575">SUM(F684)</f>
        <v>1657311.1800000002</v>
      </c>
      <c r="G683" s="746">
        <f t="shared" ref="G683" si="2576">SUM(G684)</f>
        <v>1519172.1300000004</v>
      </c>
      <c r="H683" s="746">
        <f t="shared" ref="H683" si="2577">SUM(H684)</f>
        <v>1077853.7999999998</v>
      </c>
      <c r="I683" s="746">
        <f t="shared" ref="I683" si="2578">SUM(I684)</f>
        <v>692513.06000000041</v>
      </c>
      <c r="J683" s="746">
        <f t="shared" ref="J683" si="2579">SUM(J684)</f>
        <v>829728.4099999998</v>
      </c>
      <c r="K683" s="746">
        <f t="shared" ref="K683" si="2580">SUM(K684)</f>
        <v>904574.21000000008</v>
      </c>
      <c r="L683" s="746">
        <f t="shared" ref="L683" si="2581">SUM(L684)</f>
        <v>1234937.1299999999</v>
      </c>
      <c r="M683" s="746">
        <f t="shared" ref="M683" si="2582">SUM(M684)</f>
        <v>981776.48</v>
      </c>
      <c r="N683" s="746">
        <f t="shared" ref="N683" si="2583">SUM(N684)</f>
        <v>1443258</v>
      </c>
      <c r="O683" s="746">
        <f t="shared" ref="O683" si="2584">SUM(O684)</f>
        <v>1177639</v>
      </c>
      <c r="P683" s="746">
        <f t="shared" ref="P683" si="2585">SUM(P684)</f>
        <v>859873.5</v>
      </c>
      <c r="Q683" s="746">
        <f t="shared" ref="Q683" si="2586">SUM(Q684)</f>
        <v>1018009.5</v>
      </c>
      <c r="R683" s="746">
        <f t="shared" ref="R683" si="2587">SUM(R684)</f>
        <v>659257</v>
      </c>
      <c r="S683" s="746">
        <f t="shared" ref="S683" si="2588">SUM(S684)</f>
        <v>1799517</v>
      </c>
      <c r="T683" s="746">
        <f t="shared" ref="T683" si="2589">SUM(T684)</f>
        <v>1168836</v>
      </c>
      <c r="U683" s="746">
        <f t="shared" ref="U683" si="2590">SUM(U684)</f>
        <v>566718</v>
      </c>
      <c r="V683" s="746">
        <f t="shared" ref="V683" si="2591">SUM(V684)</f>
        <v>396475</v>
      </c>
      <c r="W683" s="746">
        <f t="shared" ref="W683" si="2592">SUM(W684)</f>
        <v>297452</v>
      </c>
      <c r="X683" s="746">
        <f t="shared" ref="X683" si="2593">SUM(X684)</f>
        <v>438871</v>
      </c>
      <c r="Y683" s="746">
        <f t="shared" ref="Y683" si="2594">SUM(Y684)</f>
        <v>221743</v>
      </c>
      <c r="Z683" s="746">
        <f t="shared" ref="Z683" si="2595">SUM(Z684)</f>
        <v>2557192</v>
      </c>
      <c r="AA683" s="746">
        <f t="shared" ref="AA683" si="2596">SUM(AA684)</f>
        <v>2282396</v>
      </c>
      <c r="AB683" s="746">
        <f t="shared" ref="AB683" si="2597">SUM(AB684)</f>
        <v>2783482</v>
      </c>
      <c r="AC683" s="746">
        <f t="shared" ref="AC683" si="2598">SUM(AC684)</f>
        <v>3829671</v>
      </c>
      <c r="AD683" s="746">
        <f t="shared" ref="AD683" si="2599">SUM(AD684)</f>
        <v>2691068</v>
      </c>
      <c r="AE683" s="746">
        <f t="shared" ref="AE683" si="2600">SUM(AE684)</f>
        <v>914089</v>
      </c>
      <c r="AF683" s="746">
        <f t="shared" ref="AF683" si="2601">SUM(AF684)</f>
        <v>476148</v>
      </c>
      <c r="AG683" s="746">
        <f t="shared" ref="AG683" si="2602">SUM(AG684)</f>
        <v>562400</v>
      </c>
      <c r="AH683" s="746">
        <f t="shared" ref="AH683" si="2603">SUM(AH684)</f>
        <v>814317</v>
      </c>
      <c r="AI683" s="746">
        <f t="shared" ref="AI683" si="2604">SUM(AI684)</f>
        <v>532766</v>
      </c>
      <c r="AJ683" s="746">
        <f t="shared" ref="AJ683" si="2605">SUM(AJ684)</f>
        <v>776426</v>
      </c>
      <c r="AK683" s="746">
        <f t="shared" ref="AK683" si="2606">SUM(AK684)</f>
        <v>974211</v>
      </c>
      <c r="AL683" s="746">
        <f t="shared" ref="AL683" si="2607">SUM(AL684)</f>
        <v>477322</v>
      </c>
      <c r="AM683" s="746">
        <f t="shared" ref="AM683" si="2608">SUM(AM684)</f>
        <v>124788</v>
      </c>
      <c r="AN683" s="746">
        <f t="shared" ref="AN683" si="2609">SUM(AN684)</f>
        <v>177041</v>
      </c>
      <c r="AO683" s="746">
        <f t="shared" ref="AO683" si="2610">SUM(AO684)</f>
        <v>902531</v>
      </c>
      <c r="AP683" s="746">
        <f t="shared" ref="AP683" si="2611">SUM(AP684)</f>
        <v>1486257</v>
      </c>
      <c r="AQ683" s="746">
        <f t="shared" ref="AQ683" si="2612">SUM(AQ684)</f>
        <v>1868859</v>
      </c>
      <c r="AR683" s="746">
        <f t="shared" ref="AR683" si="2613">SUM(AR684)</f>
        <v>1902443</v>
      </c>
      <c r="AS683" s="746">
        <f t="shared" ref="AS683" si="2614">SUM(AS684)</f>
        <v>2175314</v>
      </c>
      <c r="AT683" s="746">
        <f t="shared" ref="AT683" si="2615">SUM(AT684)</f>
        <v>6050090.0200000005</v>
      </c>
      <c r="AU683" s="746">
        <f t="shared" ref="AU683" si="2616">SUM(AU684)</f>
        <v>7076750.6100000003</v>
      </c>
      <c r="AV683" s="746">
        <f t="shared" ref="AV683" si="2617">SUM(AV684)</f>
        <v>8509365</v>
      </c>
      <c r="AW683" s="746">
        <f t="shared" ref="AW683" si="2618">SUM(AW684)</f>
        <v>12171890.260000002</v>
      </c>
      <c r="AX683" s="746">
        <f t="shared" ref="AX683" si="2619">SUM(AX684)</f>
        <v>10791843.950000001</v>
      </c>
      <c r="AY683" s="746">
        <f t="shared" ref="AY683" si="2620">SUM(AY684)</f>
        <v>10900312</v>
      </c>
      <c r="AZ683" s="746">
        <f t="shared" ref="AZ683" si="2621">SUM(AZ684)</f>
        <v>11807616.829999994</v>
      </c>
      <c r="BA683" s="746">
        <f t="shared" ref="BA683" si="2622">SUM(BA684)</f>
        <v>6774514</v>
      </c>
      <c r="BB683" s="746">
        <f t="shared" ref="BB683" si="2623">SUM(BB684)</f>
        <v>9698430.7100000028</v>
      </c>
      <c r="BC683" s="746">
        <f t="shared" ref="BC683" si="2624">SUM(BC684)</f>
        <v>11263196.090516085</v>
      </c>
      <c r="BD683" s="746">
        <f t="shared" ref="BD683" si="2625">SUM(BD684)</f>
        <v>7405202.6222883072</v>
      </c>
      <c r="BE683" s="746">
        <f t="shared" ref="BE683" si="2626">SUM(BE684)</f>
        <v>9109551.3051559236</v>
      </c>
      <c r="BF683" s="746">
        <f t="shared" ref="BF683" si="2627">SUM(BF684)</f>
        <v>6339990.7191799264</v>
      </c>
      <c r="BG683" s="746">
        <f t="shared" ref="BG683" si="2628">SUM(BG684)</f>
        <v>6956895.7676462643</v>
      </c>
      <c r="BH683" s="746">
        <f t="shared" ref="BH683" si="2629">SUM(BH684)</f>
        <v>5969801.7500725407</v>
      </c>
      <c r="BI683" s="746">
        <f t="shared" ref="BI683" si="2630">SUM(BI684)</f>
        <v>6976898.0358145181</v>
      </c>
      <c r="BJ683" s="746">
        <f t="shared" ref="BJ683" si="2631">SUM(BJ684)</f>
        <v>0</v>
      </c>
      <c r="BK683" s="746">
        <f t="shared" ref="BK683" si="2632">SUM(BK684)</f>
        <v>0</v>
      </c>
      <c r="BL683" s="746">
        <f t="shared" ref="BL683" si="2633">SUM(BL684)</f>
        <v>0</v>
      </c>
      <c r="BM683" s="746">
        <f t="shared" ref="BM683" si="2634">SUM(BM684)</f>
        <v>0</v>
      </c>
      <c r="BN683" s="746">
        <f t="shared" ref="BN683" si="2635">SUM(BN684)</f>
        <v>0</v>
      </c>
      <c r="BO683" s="746">
        <f t="shared" ref="BO683" si="2636">SUM(BO684)</f>
        <v>0</v>
      </c>
      <c r="BP683" s="746">
        <f t="shared" ref="BP683" si="2637">SUM(BP684)</f>
        <v>0</v>
      </c>
      <c r="BQ683" s="746">
        <f t="shared" ref="BQ683" si="2638">SUM(BQ684)</f>
        <v>0</v>
      </c>
      <c r="BR683" s="746">
        <f t="shared" ref="BR683" si="2639">SUM(BR684)</f>
        <v>0</v>
      </c>
      <c r="BS683" s="746">
        <f t="shared" ref="BS683" si="2640">SUM(BS684)</f>
        <v>0</v>
      </c>
      <c r="BT683" s="746">
        <f t="shared" ref="BT683" si="2641">SUM(BT684)</f>
        <v>0</v>
      </c>
      <c r="BU683" s="746">
        <f t="shared" ref="BU683" si="2642">SUM(BU684)</f>
        <v>0</v>
      </c>
      <c r="BV683" s="746">
        <f t="shared" ref="BV683" si="2643">SUM(BV684)</f>
        <v>0</v>
      </c>
      <c r="BW683" s="746">
        <f t="shared" ref="BW683" si="2644">SUM(BW684)</f>
        <v>0</v>
      </c>
      <c r="BX683" s="746">
        <f t="shared" ref="BX683" si="2645">SUM(BX684)</f>
        <v>0</v>
      </c>
      <c r="BY683" s="729">
        <f t="shared" ref="BY683" si="2646">SUM(BY684)</f>
        <v>0</v>
      </c>
      <c r="BZ683" s="729">
        <f t="shared" ref="BZ683" si="2647">SUM(BZ684)</f>
        <v>0</v>
      </c>
      <c r="CA683" s="729">
        <f t="shared" ref="CA683" si="2648">SUM(CA684)</f>
        <v>0</v>
      </c>
      <c r="CB683" s="729">
        <f t="shared" ref="CB683" si="2649">SUM(CB684)</f>
        <v>0</v>
      </c>
      <c r="CC683" s="729">
        <f t="shared" ref="CC683" si="2650">SUM(CC684)</f>
        <v>0</v>
      </c>
      <c r="CD683" s="729">
        <f t="shared" ref="CD683" si="2651">SUM(CD684)</f>
        <v>0</v>
      </c>
      <c r="CE683" s="729">
        <f t="shared" ref="CE683" si="2652">SUM(CE684)</f>
        <v>0</v>
      </c>
      <c r="CF683" s="729">
        <f t="shared" ref="CF683" si="2653">SUM(CF684)</f>
        <v>0</v>
      </c>
      <c r="CG683" s="729">
        <f t="shared" ref="CG683" si="2654">SUM(CG684)</f>
        <v>0</v>
      </c>
      <c r="CH683" s="729">
        <f t="shared" ref="CH683" si="2655">SUM(CH684)</f>
        <v>0</v>
      </c>
      <c r="CI683" s="729">
        <f t="shared" ref="CI683" si="2656">SUM(CI684)</f>
        <v>0</v>
      </c>
      <c r="CJ683" s="729">
        <f t="shared" ref="CJ683" si="2657">SUM(CJ684)</f>
        <v>0</v>
      </c>
      <c r="CK683" s="729">
        <f t="shared" ref="CK683" si="2658">SUM(CK684)</f>
        <v>0</v>
      </c>
      <c r="CL683" s="729">
        <f t="shared" ref="CL683" si="2659">SUM(CL684)</f>
        <v>0</v>
      </c>
      <c r="CM683" s="729">
        <f t="shared" ref="CM683" si="2660">SUM(CM684)</f>
        <v>0</v>
      </c>
      <c r="CN683" s="729">
        <f t="shared" ref="CN683" si="2661">SUM(CN684)</f>
        <v>0</v>
      </c>
      <c r="CO683" s="729">
        <f t="shared" ref="CO683" si="2662">SUM(CO684)</f>
        <v>0</v>
      </c>
      <c r="CP683" s="729">
        <f t="shared" ref="CP683" si="2663">SUM(CP684)</f>
        <v>0</v>
      </c>
      <c r="CQ683" s="729">
        <f t="shared" ref="CQ683" si="2664">SUM(CQ684)</f>
        <v>0</v>
      </c>
      <c r="CR683" s="729">
        <f t="shared" ref="CR683" si="2665">SUM(CR684)</f>
        <v>0</v>
      </c>
      <c r="CS683" s="729">
        <f t="shared" ref="CS683" si="2666">SUM(CS684)</f>
        <v>0</v>
      </c>
      <c r="CT683" s="729">
        <f t="shared" ref="CT683" si="2667">SUM(CT684)</f>
        <v>0</v>
      </c>
      <c r="CU683" s="729">
        <f t="shared" ref="CU683" si="2668">SUM(CU684)</f>
        <v>0</v>
      </c>
      <c r="CV683" s="729">
        <f t="shared" ref="CV683" si="2669">SUM(CV684)</f>
        <v>0</v>
      </c>
      <c r="CW683" s="729">
        <f t="shared" ref="CW683" si="2670">SUM(CW684)</f>
        <v>0</v>
      </c>
      <c r="CX683" s="729">
        <f t="shared" ref="CX683" si="2671">SUM(CX684)</f>
        <v>0</v>
      </c>
      <c r="CY683" s="729">
        <f t="shared" ref="CY683" si="2672">SUM(CY684)</f>
        <v>0</v>
      </c>
      <c r="CZ683" s="729">
        <f t="shared" ref="CZ683" si="2673">SUM(CZ684)</f>
        <v>0</v>
      </c>
      <c r="DA683" s="729">
        <f t="shared" ref="DA683" si="2674">SUM(DA684)</f>
        <v>0</v>
      </c>
      <c r="DB683" s="729">
        <f t="shared" ref="DB683" si="2675">SUM(DB684)</f>
        <v>0</v>
      </c>
      <c r="DC683" s="729">
        <f t="shared" ref="DC683" si="2676">SUM(DC684)</f>
        <v>0</v>
      </c>
      <c r="DD683" s="729">
        <f t="shared" ref="DD683" si="2677">SUM(DD684)</f>
        <v>0</v>
      </c>
      <c r="DE683" s="729">
        <f t="shared" ref="DE683" si="2678">SUM(DE684)</f>
        <v>0</v>
      </c>
      <c r="DF683" s="729">
        <f t="shared" ref="DF683" si="2679">SUM(DF684)</f>
        <v>0</v>
      </c>
      <c r="DG683" s="729">
        <f t="shared" ref="DG683" si="2680">SUM(DG684)</f>
        <v>0</v>
      </c>
      <c r="DH683" s="729">
        <f t="shared" ref="DH683" si="2681">SUM(DH684)</f>
        <v>0</v>
      </c>
      <c r="DI683" s="729">
        <f t="shared" ref="DI683" si="2682">SUM(DI684)</f>
        <v>0</v>
      </c>
      <c r="DJ683" s="729">
        <f t="shared" ref="DJ683" si="2683">SUM(DJ684)</f>
        <v>0</v>
      </c>
      <c r="DK683" s="729">
        <f t="shared" ref="DK683" si="2684">SUM(DK684)</f>
        <v>0</v>
      </c>
      <c r="DL683" s="729">
        <f t="shared" ref="DL683" si="2685">SUM(DL684)</f>
        <v>0</v>
      </c>
      <c r="DM683" s="729">
        <f t="shared" ref="DM683" si="2686">SUM(DM684)</f>
        <v>0</v>
      </c>
      <c r="DN683" s="729">
        <f t="shared" ref="DN683" si="2687">SUM(DN684)</f>
        <v>0</v>
      </c>
      <c r="DO683" s="729">
        <f t="shared" ref="DO683" si="2688">SUM(DO684)</f>
        <v>0</v>
      </c>
      <c r="DP683" s="729">
        <f t="shared" ref="DP683" si="2689">SUM(DP684)</f>
        <v>0</v>
      </c>
      <c r="DQ683" s="729">
        <f t="shared" ref="DQ683" si="2690">SUM(DQ684)</f>
        <v>0</v>
      </c>
      <c r="DR683" s="729"/>
      <c r="DS683" s="729"/>
      <c r="DT683" s="729"/>
      <c r="DU683" s="729"/>
      <c r="DV683" s="729"/>
      <c r="DW683" s="729"/>
      <c r="DX683" s="729"/>
      <c r="DY683" s="729"/>
      <c r="DZ683" s="729"/>
      <c r="EA683" s="729"/>
      <c r="EB683" s="729"/>
      <c r="EC683" s="729"/>
      <c r="ED683" s="113" t="s">
        <v>1</v>
      </c>
    </row>
    <row r="684" spans="1:134" x14ac:dyDescent="0.2">
      <c r="A684" s="730" t="s">
        <v>227</v>
      </c>
      <c r="B684" s="129">
        <v>300576.72000000003</v>
      </c>
      <c r="C684" s="129">
        <v>227209</v>
      </c>
      <c r="D684" s="129">
        <v>519222.19999999995</v>
      </c>
      <c r="E684" s="129">
        <v>643912.92000000016</v>
      </c>
      <c r="F684" s="129">
        <v>1657311.1800000002</v>
      </c>
      <c r="G684" s="129">
        <v>1519172.1300000004</v>
      </c>
      <c r="H684" s="129">
        <v>1077853.7999999998</v>
      </c>
      <c r="I684" s="129">
        <v>692513.06000000041</v>
      </c>
      <c r="J684" s="129">
        <v>829728.4099999998</v>
      </c>
      <c r="K684" s="129">
        <v>904574.21000000008</v>
      </c>
      <c r="L684" s="129">
        <v>1234937.1299999999</v>
      </c>
      <c r="M684" s="129">
        <v>981776.48</v>
      </c>
      <c r="N684" s="129">
        <v>1443258</v>
      </c>
      <c r="O684" s="129">
        <v>1177639</v>
      </c>
      <c r="P684" s="129">
        <v>859873.5</v>
      </c>
      <c r="Q684" s="129">
        <v>1018009.5</v>
      </c>
      <c r="R684" s="129">
        <v>659257</v>
      </c>
      <c r="S684" s="129">
        <v>1799517</v>
      </c>
      <c r="T684" s="129">
        <v>1168836</v>
      </c>
      <c r="U684" s="129">
        <v>566718</v>
      </c>
      <c r="V684" s="129">
        <v>396475</v>
      </c>
      <c r="W684" s="129">
        <v>297452</v>
      </c>
      <c r="X684" s="129">
        <v>438871</v>
      </c>
      <c r="Y684" s="129">
        <v>221743</v>
      </c>
      <c r="Z684" s="129">
        <v>2557192</v>
      </c>
      <c r="AA684" s="129">
        <v>2282396</v>
      </c>
      <c r="AB684" s="129">
        <v>2783482</v>
      </c>
      <c r="AC684" s="129">
        <v>3829671</v>
      </c>
      <c r="AD684" s="129">
        <v>2691068</v>
      </c>
      <c r="AE684" s="129">
        <v>914089</v>
      </c>
      <c r="AF684" s="129">
        <v>476148</v>
      </c>
      <c r="AG684" s="129">
        <v>562400</v>
      </c>
      <c r="AH684" s="129">
        <v>814317</v>
      </c>
      <c r="AI684" s="129">
        <v>532766</v>
      </c>
      <c r="AJ684" s="129">
        <v>776426</v>
      </c>
      <c r="AK684" s="129">
        <v>974211</v>
      </c>
      <c r="AL684" s="129">
        <v>477322</v>
      </c>
      <c r="AM684" s="129">
        <v>124788</v>
      </c>
      <c r="AN684" s="129">
        <v>177041</v>
      </c>
      <c r="AO684" s="129">
        <v>902531</v>
      </c>
      <c r="AP684" s="129">
        <v>1486257</v>
      </c>
      <c r="AQ684" s="129">
        <v>1868859</v>
      </c>
      <c r="AR684" s="129">
        <v>1902443</v>
      </c>
      <c r="AS684" s="129">
        <v>2175314</v>
      </c>
      <c r="AT684" s="129">
        <v>6050090.0200000005</v>
      </c>
      <c r="AU684" s="129">
        <v>7076750.6100000003</v>
      </c>
      <c r="AV684" s="129">
        <v>8509365</v>
      </c>
      <c r="AW684" s="129">
        <v>12171890.260000002</v>
      </c>
      <c r="AX684" s="129">
        <v>10791843.950000001</v>
      </c>
      <c r="AY684" s="129">
        <v>10900312</v>
      </c>
      <c r="AZ684" s="129">
        <v>11807616.829999994</v>
      </c>
      <c r="BA684" s="129">
        <v>6774514</v>
      </c>
      <c r="BB684" s="129">
        <v>9698430.7100000028</v>
      </c>
      <c r="BC684" s="129">
        <v>11263196.090516085</v>
      </c>
      <c r="BD684" s="129">
        <v>7405202.6222883072</v>
      </c>
      <c r="BE684" s="129">
        <v>9109551.3051559236</v>
      </c>
      <c r="BF684" s="129">
        <v>6339990.7191799264</v>
      </c>
      <c r="BG684" s="129">
        <v>6956895.7676462643</v>
      </c>
      <c r="BH684" s="129">
        <v>5969801.7500725407</v>
      </c>
      <c r="BI684" s="129">
        <v>6976898.0358145181</v>
      </c>
      <c r="BJ684" s="129">
        <v>0</v>
      </c>
      <c r="BK684" s="129">
        <v>0</v>
      </c>
      <c r="BL684" s="129">
        <v>0</v>
      </c>
      <c r="BM684" s="129">
        <v>0</v>
      </c>
      <c r="BN684" s="129">
        <v>0</v>
      </c>
      <c r="BO684" s="129">
        <v>0</v>
      </c>
      <c r="BP684" s="129">
        <v>0</v>
      </c>
      <c r="BQ684" s="129">
        <v>0</v>
      </c>
      <c r="BR684" s="129">
        <v>0</v>
      </c>
      <c r="BS684" s="129">
        <v>0</v>
      </c>
      <c r="BT684" s="129">
        <v>0</v>
      </c>
      <c r="BU684" s="129">
        <v>0</v>
      </c>
      <c r="BV684" s="129">
        <v>0</v>
      </c>
      <c r="BW684" s="129">
        <v>0</v>
      </c>
      <c r="BX684" s="129">
        <v>0</v>
      </c>
      <c r="BY684" s="129">
        <v>0</v>
      </c>
      <c r="BZ684" s="129">
        <v>0</v>
      </c>
      <c r="CA684" s="129">
        <v>0</v>
      </c>
      <c r="CB684" s="129">
        <v>0</v>
      </c>
      <c r="CC684" s="129">
        <v>0</v>
      </c>
      <c r="CD684" s="129">
        <v>0</v>
      </c>
      <c r="CE684" s="129">
        <v>0</v>
      </c>
      <c r="CF684" s="129">
        <v>0</v>
      </c>
      <c r="CG684" s="129">
        <v>0</v>
      </c>
      <c r="CH684" s="129">
        <v>0</v>
      </c>
      <c r="CI684" s="129">
        <v>0</v>
      </c>
      <c r="CJ684" s="129">
        <v>0</v>
      </c>
      <c r="CK684" s="129">
        <v>0</v>
      </c>
      <c r="CL684" s="129">
        <v>0</v>
      </c>
      <c r="CM684" s="129">
        <v>0</v>
      </c>
      <c r="CN684" s="129">
        <v>0</v>
      </c>
      <c r="CO684" s="129">
        <v>0</v>
      </c>
      <c r="CP684" s="129">
        <v>0</v>
      </c>
      <c r="CQ684" s="129">
        <v>0</v>
      </c>
      <c r="CR684" s="129">
        <v>0</v>
      </c>
      <c r="CS684" s="129">
        <v>0</v>
      </c>
      <c r="CT684" s="115"/>
      <c r="CU684" s="115"/>
      <c r="CV684" s="115"/>
      <c r="CW684" s="115"/>
      <c r="CX684" s="115"/>
      <c r="CY684" s="115"/>
      <c r="CZ684" s="115"/>
      <c r="DA684" s="115"/>
      <c r="DB684" s="115"/>
      <c r="DC684" s="115"/>
      <c r="DD684" s="115"/>
      <c r="DE684" s="115"/>
      <c r="DF684" s="115"/>
      <c r="DG684" s="115"/>
      <c r="DH684" s="115"/>
      <c r="DI684" s="115"/>
      <c r="DJ684" s="115"/>
      <c r="DK684" s="115"/>
      <c r="DL684" s="115"/>
      <c r="DM684" s="115"/>
      <c r="DN684" s="115"/>
      <c r="DO684" s="115"/>
      <c r="DP684" s="115"/>
      <c r="DQ684" s="115"/>
      <c r="DR684" s="115"/>
      <c r="DS684" s="115"/>
      <c r="DT684" s="115"/>
      <c r="DU684" s="115"/>
      <c r="DV684" s="115"/>
      <c r="DW684" s="115"/>
      <c r="DX684" s="115"/>
      <c r="DY684" s="115"/>
      <c r="DZ684" s="115"/>
      <c r="EA684" s="115"/>
      <c r="EB684" s="115"/>
      <c r="EC684" s="645"/>
      <c r="ED684" s="113" t="s">
        <v>1</v>
      </c>
    </row>
    <row r="685" spans="1:134" x14ac:dyDescent="0.2">
      <c r="A685" s="730" t="s">
        <v>5</v>
      </c>
      <c r="B685" s="115">
        <v>41</v>
      </c>
      <c r="C685" s="115">
        <v>39</v>
      </c>
      <c r="D685" s="115">
        <v>77</v>
      </c>
      <c r="E685" s="115">
        <v>89</v>
      </c>
      <c r="F685" s="115">
        <v>176</v>
      </c>
      <c r="G685" s="115">
        <v>214</v>
      </c>
      <c r="H685" s="115">
        <v>161</v>
      </c>
      <c r="I685" s="115">
        <v>94</v>
      </c>
      <c r="J685" s="115">
        <v>118</v>
      </c>
      <c r="K685" s="115">
        <v>139</v>
      </c>
      <c r="L685" s="115">
        <v>194</v>
      </c>
      <c r="M685" s="115">
        <v>168</v>
      </c>
      <c r="N685" s="115">
        <v>202</v>
      </c>
      <c r="O685" s="115">
        <v>165</v>
      </c>
      <c r="P685" s="115">
        <v>122</v>
      </c>
      <c r="Q685" s="115">
        <v>179</v>
      </c>
      <c r="R685" s="115">
        <v>111</v>
      </c>
      <c r="S685" s="115">
        <v>243</v>
      </c>
      <c r="T685" s="115">
        <v>191</v>
      </c>
      <c r="U685" s="115">
        <v>83</v>
      </c>
      <c r="V685" s="115">
        <v>52</v>
      </c>
      <c r="W685" s="115">
        <v>55</v>
      </c>
      <c r="X685" s="115">
        <v>54</v>
      </c>
      <c r="Y685" s="115">
        <v>37</v>
      </c>
      <c r="Z685" s="115">
        <v>266</v>
      </c>
      <c r="AA685" s="115">
        <v>198</v>
      </c>
      <c r="AB685" s="115">
        <v>250</v>
      </c>
      <c r="AC685" s="115">
        <v>347</v>
      </c>
      <c r="AD685" s="115">
        <v>216</v>
      </c>
      <c r="AE685" s="115">
        <v>109</v>
      </c>
      <c r="AF685" s="115">
        <v>59</v>
      </c>
      <c r="AG685" s="115">
        <v>84</v>
      </c>
      <c r="AH685" s="115">
        <v>111</v>
      </c>
      <c r="AI685" s="115">
        <v>84</v>
      </c>
      <c r="AJ685" s="115">
        <v>111</v>
      </c>
      <c r="AK685" s="115">
        <v>151</v>
      </c>
      <c r="AL685" s="115">
        <v>73</v>
      </c>
      <c r="AM685" s="115">
        <v>17</v>
      </c>
      <c r="AN685" s="115">
        <v>30</v>
      </c>
      <c r="AO685" s="115">
        <v>129</v>
      </c>
      <c r="AP685" s="115">
        <v>210</v>
      </c>
      <c r="AQ685" s="115">
        <v>261</v>
      </c>
      <c r="AR685" s="115">
        <v>248</v>
      </c>
      <c r="AS685" s="115">
        <v>338</v>
      </c>
      <c r="AT685" s="115">
        <v>990</v>
      </c>
      <c r="AU685" s="115">
        <v>1194</v>
      </c>
      <c r="AV685" s="115">
        <v>1395</v>
      </c>
      <c r="AW685" s="115">
        <v>1972</v>
      </c>
      <c r="AX685" s="115">
        <v>1764</v>
      </c>
      <c r="AY685" s="115">
        <v>1725</v>
      </c>
      <c r="AZ685" s="115">
        <v>1873</v>
      </c>
      <c r="BA685" s="115">
        <v>1137</v>
      </c>
      <c r="BB685" s="115">
        <v>1527</v>
      </c>
      <c r="BC685" s="115">
        <v>1761</v>
      </c>
      <c r="BD685" s="115">
        <v>1332</v>
      </c>
      <c r="BE685" s="115">
        <v>1366</v>
      </c>
      <c r="BF685" s="115">
        <v>891</v>
      </c>
      <c r="BG685" s="115">
        <v>876</v>
      </c>
      <c r="BH685" s="115">
        <v>723</v>
      </c>
      <c r="BI685" s="115">
        <v>750</v>
      </c>
      <c r="BJ685" s="115">
        <v>0</v>
      </c>
      <c r="BK685" s="115">
        <v>0</v>
      </c>
      <c r="BL685" s="115">
        <v>0</v>
      </c>
      <c r="BM685" s="115">
        <v>0</v>
      </c>
      <c r="BN685" s="115">
        <v>0</v>
      </c>
      <c r="BO685" s="115">
        <v>0</v>
      </c>
      <c r="BP685" s="115">
        <v>0</v>
      </c>
      <c r="BQ685" s="115">
        <v>0</v>
      </c>
      <c r="BR685" s="115">
        <v>0</v>
      </c>
      <c r="BS685" s="115">
        <v>0</v>
      </c>
      <c r="BT685" s="115">
        <v>0</v>
      </c>
      <c r="BU685" s="115">
        <v>0</v>
      </c>
      <c r="BV685" s="115">
        <v>0</v>
      </c>
      <c r="BW685" s="115">
        <v>0</v>
      </c>
      <c r="BX685" s="115">
        <v>0</v>
      </c>
      <c r="BY685" s="115">
        <v>0</v>
      </c>
      <c r="BZ685" s="115">
        <v>0</v>
      </c>
      <c r="CA685" s="115">
        <v>0</v>
      </c>
      <c r="CB685" s="115">
        <v>0</v>
      </c>
      <c r="CC685" s="115">
        <v>0</v>
      </c>
      <c r="CD685" s="115">
        <v>0</v>
      </c>
      <c r="CE685" s="115">
        <v>0</v>
      </c>
      <c r="CF685" s="115">
        <v>0</v>
      </c>
      <c r="CG685" s="115">
        <v>0</v>
      </c>
      <c r="CH685" s="115">
        <v>0</v>
      </c>
      <c r="CI685" s="115">
        <v>0</v>
      </c>
      <c r="CJ685" s="115">
        <v>0</v>
      </c>
      <c r="CK685" s="115">
        <v>0</v>
      </c>
      <c r="CL685" s="115">
        <v>0</v>
      </c>
      <c r="CM685" s="115">
        <v>0</v>
      </c>
      <c r="CN685" s="115">
        <v>0</v>
      </c>
      <c r="CO685" s="115">
        <v>0</v>
      </c>
      <c r="CP685" s="115">
        <v>0</v>
      </c>
      <c r="CQ685" s="115">
        <v>0</v>
      </c>
      <c r="CR685" s="115">
        <v>0</v>
      </c>
      <c r="CS685" s="115">
        <v>0</v>
      </c>
      <c r="CT685" s="115"/>
      <c r="CU685" s="115"/>
      <c r="CV685" s="115"/>
      <c r="CW685" s="115"/>
      <c r="CX685" s="115"/>
      <c r="CY685" s="115"/>
      <c r="CZ685" s="115"/>
      <c r="DA685" s="115"/>
      <c r="DB685" s="115"/>
      <c r="DC685" s="115"/>
      <c r="DD685" s="115"/>
      <c r="DE685" s="115"/>
      <c r="DF685" s="115"/>
      <c r="DG685" s="115"/>
      <c r="DH685" s="115"/>
      <c r="DI685" s="115"/>
      <c r="DJ685" s="115"/>
      <c r="DK685" s="115"/>
      <c r="DL685" s="115"/>
      <c r="DM685" s="115"/>
      <c r="DN685" s="115"/>
      <c r="DO685" s="115"/>
      <c r="DP685" s="115"/>
      <c r="DQ685" s="115"/>
      <c r="DR685" s="115"/>
      <c r="DS685" s="115"/>
      <c r="DT685" s="115"/>
      <c r="DU685" s="115"/>
      <c r="DV685" s="115"/>
      <c r="DW685" s="115"/>
      <c r="DX685" s="115"/>
      <c r="DY685" s="115"/>
      <c r="DZ685" s="115"/>
      <c r="EA685" s="115"/>
      <c r="EB685" s="115"/>
      <c r="EC685" s="645"/>
      <c r="ED685" s="113" t="s">
        <v>1</v>
      </c>
    </row>
    <row r="686" spans="1:134" x14ac:dyDescent="0.2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15"/>
      <c r="AU686" s="115"/>
      <c r="AV686" s="115"/>
      <c r="AW686" s="115"/>
      <c r="AX686" s="115"/>
      <c r="AY686" s="115"/>
      <c r="AZ686" s="115"/>
      <c r="BA686" s="115"/>
      <c r="BB686" s="115"/>
      <c r="BC686" s="115"/>
      <c r="BD686" s="115"/>
      <c r="BE686" s="115"/>
      <c r="BF686" s="115"/>
      <c r="BG686" s="115"/>
      <c r="BH686" s="115"/>
      <c r="BI686" s="115"/>
      <c r="BJ686" s="115"/>
      <c r="BK686" s="115"/>
      <c r="BL686" s="115"/>
      <c r="BM686" s="115"/>
      <c r="BN686" s="115"/>
      <c r="BO686" s="115"/>
      <c r="BP686" s="115"/>
      <c r="BQ686" s="115"/>
      <c r="BR686" s="115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115"/>
      <c r="CC686" s="115"/>
      <c r="CD686" s="115"/>
      <c r="CE686" s="115"/>
      <c r="CF686" s="115"/>
      <c r="CG686" s="115"/>
      <c r="CH686" s="115"/>
      <c r="CI686" s="115"/>
      <c r="CJ686" s="115"/>
      <c r="CK686" s="115"/>
      <c r="CL686" s="115"/>
      <c r="CM686" s="115"/>
      <c r="CN686" s="115"/>
      <c r="CO686" s="115"/>
      <c r="CP686" s="115"/>
      <c r="CQ686" s="115"/>
      <c r="CR686" s="115"/>
      <c r="CS686" s="115"/>
      <c r="CT686" s="115"/>
      <c r="CU686" s="115"/>
      <c r="CV686" s="115"/>
      <c r="CW686" s="115"/>
      <c r="CX686" s="115"/>
      <c r="CY686" s="115"/>
      <c r="CZ686" s="115"/>
      <c r="DA686" s="115"/>
      <c r="DB686" s="115"/>
      <c r="DC686" s="115"/>
      <c r="DD686" s="115"/>
      <c r="DE686" s="115"/>
      <c r="DF686" s="115"/>
      <c r="DG686" s="115"/>
      <c r="DH686" s="115"/>
      <c r="DI686" s="115"/>
      <c r="DJ686" s="115"/>
      <c r="DK686" s="115"/>
      <c r="DL686" s="115"/>
      <c r="DM686" s="115"/>
      <c r="DN686" s="115"/>
      <c r="DO686" s="115"/>
      <c r="DP686" s="115"/>
      <c r="DQ686" s="115"/>
      <c r="DR686" s="115"/>
      <c r="DS686" s="115"/>
      <c r="DT686" s="115"/>
      <c r="DU686" s="115"/>
      <c r="DV686" s="115"/>
      <c r="DW686" s="115"/>
      <c r="DX686" s="115"/>
      <c r="DY686" s="115"/>
      <c r="DZ686" s="115"/>
      <c r="EA686" s="115"/>
      <c r="EB686" s="115"/>
      <c r="EC686" s="645"/>
      <c r="ED686" s="113" t="s">
        <v>1</v>
      </c>
    </row>
    <row r="687" spans="1:134" x14ac:dyDescent="0.2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15"/>
      <c r="AU687" s="115"/>
      <c r="AV687" s="115"/>
      <c r="AW687" s="115"/>
      <c r="AX687" s="115"/>
      <c r="AY687" s="115"/>
      <c r="AZ687" s="115"/>
      <c r="BA687" s="115"/>
      <c r="BB687" s="115"/>
      <c r="BC687" s="115"/>
      <c r="BD687" s="115"/>
      <c r="BE687" s="115"/>
      <c r="BF687" s="115"/>
      <c r="BG687" s="115"/>
      <c r="BH687" s="115"/>
      <c r="BI687" s="115"/>
      <c r="BJ687" s="115"/>
      <c r="BK687" s="115"/>
      <c r="BL687" s="115"/>
      <c r="BM687" s="115"/>
      <c r="BN687" s="115"/>
      <c r="BO687" s="115"/>
      <c r="BP687" s="115"/>
      <c r="BQ687" s="115"/>
      <c r="BR687" s="115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115"/>
      <c r="CC687" s="115"/>
      <c r="CD687" s="115"/>
      <c r="CE687" s="115"/>
      <c r="CF687" s="115"/>
      <c r="CG687" s="115"/>
      <c r="CH687" s="115"/>
      <c r="CI687" s="115"/>
      <c r="CJ687" s="115"/>
      <c r="CK687" s="115"/>
      <c r="CL687" s="115"/>
      <c r="CM687" s="115"/>
      <c r="CN687" s="115"/>
      <c r="CO687" s="115"/>
      <c r="CP687" s="115"/>
      <c r="CQ687" s="115"/>
      <c r="CR687" s="115"/>
      <c r="CS687" s="115"/>
      <c r="CT687" s="115"/>
      <c r="CU687" s="115"/>
      <c r="CV687" s="115"/>
      <c r="CW687" s="115"/>
      <c r="CX687" s="115"/>
      <c r="CY687" s="115"/>
      <c r="CZ687" s="115"/>
      <c r="DA687" s="115"/>
      <c r="DB687" s="115"/>
      <c r="DC687" s="115"/>
      <c r="DD687" s="115"/>
      <c r="DE687" s="115"/>
      <c r="DF687" s="115"/>
      <c r="DG687" s="115"/>
      <c r="DH687" s="115"/>
      <c r="DI687" s="115"/>
      <c r="DJ687" s="115"/>
      <c r="DK687" s="115"/>
      <c r="DL687" s="115"/>
      <c r="DM687" s="115"/>
      <c r="DN687" s="115"/>
      <c r="DO687" s="115"/>
      <c r="DP687" s="115"/>
      <c r="DQ687" s="115"/>
      <c r="DR687" s="115"/>
      <c r="DS687" s="115"/>
      <c r="DT687" s="115"/>
      <c r="DU687" s="115"/>
      <c r="DV687" s="115"/>
      <c r="DW687" s="115"/>
      <c r="DX687" s="115"/>
      <c r="DY687" s="115"/>
      <c r="DZ687" s="115"/>
      <c r="EA687" s="115"/>
      <c r="EB687" s="115"/>
      <c r="EC687" s="645"/>
      <c r="ED687" s="113" t="s">
        <v>1</v>
      </c>
    </row>
    <row r="688" spans="1:134" x14ac:dyDescent="0.2">
      <c r="A688" s="746" t="s">
        <v>10</v>
      </c>
      <c r="B688" s="746"/>
      <c r="C688" s="746"/>
      <c r="D688" s="746"/>
      <c r="E688" s="746"/>
      <c r="F688" s="746"/>
      <c r="G688" s="746"/>
      <c r="H688" s="746"/>
      <c r="I688" s="746"/>
      <c r="J688" s="746"/>
      <c r="K688" s="746"/>
      <c r="L688" s="746"/>
      <c r="M688" s="746"/>
      <c r="N688" s="746"/>
      <c r="O688" s="746"/>
      <c r="P688" s="746"/>
      <c r="Q688" s="746"/>
      <c r="R688" s="746"/>
      <c r="S688" s="746"/>
      <c r="T688" s="746"/>
      <c r="U688" s="746"/>
      <c r="V688" s="746"/>
      <c r="W688" s="746"/>
      <c r="X688" s="746"/>
      <c r="Y688" s="746"/>
      <c r="Z688" s="746"/>
      <c r="AA688" s="746"/>
      <c r="AB688" s="746"/>
      <c r="AC688" s="746"/>
      <c r="AD688" s="746"/>
      <c r="AE688" s="746"/>
      <c r="AF688" s="746"/>
      <c r="AG688" s="746"/>
      <c r="AH688" s="746"/>
      <c r="AI688" s="746"/>
      <c r="AJ688" s="746"/>
      <c r="AK688" s="746"/>
      <c r="AL688" s="746"/>
      <c r="AM688" s="746"/>
      <c r="AN688" s="746"/>
      <c r="AO688" s="746"/>
      <c r="AP688" s="746"/>
      <c r="AQ688" s="746"/>
      <c r="AR688" s="746"/>
      <c r="AS688" s="746"/>
      <c r="AT688" s="746"/>
      <c r="AU688" s="746"/>
      <c r="AV688" s="746"/>
      <c r="AW688" s="746"/>
      <c r="AX688" s="746"/>
      <c r="AY688" s="746"/>
      <c r="AZ688" s="746"/>
      <c r="BA688" s="746"/>
      <c r="BB688" s="746"/>
      <c r="BC688" s="746"/>
      <c r="BD688" s="746"/>
      <c r="BE688" s="746"/>
      <c r="BF688" s="746"/>
      <c r="BG688" s="746"/>
      <c r="BH688" s="746"/>
      <c r="BI688" s="746"/>
      <c r="BJ688" s="746"/>
      <c r="BK688" s="746"/>
      <c r="BL688" s="746"/>
      <c r="BM688" s="746"/>
      <c r="BN688" s="746"/>
      <c r="BO688" s="746"/>
      <c r="BP688" s="746"/>
      <c r="BQ688" s="746"/>
      <c r="BR688" s="746"/>
      <c r="BS688" s="746"/>
      <c r="BT688" s="746"/>
      <c r="BU688" s="746"/>
      <c r="BV688" s="746"/>
      <c r="BW688" s="746"/>
      <c r="BX688" s="746"/>
      <c r="BY688" s="729"/>
      <c r="BZ688" s="729"/>
      <c r="CA688" s="729"/>
      <c r="CB688" s="729"/>
      <c r="CC688" s="729"/>
      <c r="CD688" s="729"/>
      <c r="CE688" s="729"/>
      <c r="CF688" s="729"/>
      <c r="CG688" s="729"/>
      <c r="CH688" s="729"/>
      <c r="CI688" s="729"/>
      <c r="CJ688" s="729"/>
      <c r="CK688" s="729"/>
      <c r="CL688" s="729"/>
      <c r="CM688" s="729"/>
      <c r="CN688" s="729"/>
      <c r="CO688" s="729"/>
      <c r="CP688" s="729"/>
      <c r="CQ688" s="729"/>
      <c r="CR688" s="729"/>
      <c r="CS688" s="729"/>
      <c r="CT688" s="729"/>
      <c r="CU688" s="729"/>
      <c r="CV688" s="729"/>
      <c r="CW688" s="729"/>
      <c r="CX688" s="729"/>
      <c r="CY688" s="729"/>
      <c r="CZ688" s="729"/>
      <c r="DA688" s="729"/>
      <c r="DB688" s="729"/>
      <c r="DC688" s="729"/>
      <c r="DD688" s="729"/>
      <c r="DE688" s="729"/>
      <c r="DF688" s="729"/>
      <c r="DG688" s="729"/>
      <c r="DH688" s="729"/>
      <c r="DI688" s="729"/>
      <c r="DJ688" s="729"/>
      <c r="DK688" s="729"/>
      <c r="DL688" s="729"/>
      <c r="DM688" s="729"/>
      <c r="DN688" s="729"/>
      <c r="DO688" s="729"/>
      <c r="DP688" s="729"/>
      <c r="DQ688" s="729"/>
      <c r="DR688" s="729"/>
      <c r="DS688" s="729"/>
      <c r="DT688" s="729"/>
      <c r="DU688" s="729"/>
      <c r="DV688" s="729"/>
      <c r="DW688" s="729"/>
      <c r="DX688" s="729"/>
      <c r="DY688" s="729"/>
      <c r="DZ688" s="729"/>
      <c r="EA688" s="729"/>
      <c r="EB688" s="729"/>
      <c r="EC688" s="729"/>
      <c r="ED688" s="113" t="s">
        <v>1</v>
      </c>
    </row>
    <row r="689" spans="1:134" x14ac:dyDescent="0.2">
      <c r="A689" s="730" t="s">
        <v>227</v>
      </c>
      <c r="B689" s="130">
        <f>B679-B684</f>
        <v>6192647</v>
      </c>
      <c r="C689" s="130">
        <f t="shared" ref="C689:BN689" si="2691">C679-C684</f>
        <v>6767807</v>
      </c>
      <c r="D689" s="130">
        <f t="shared" si="2691"/>
        <v>5747560.7689844025</v>
      </c>
      <c r="E689" s="130">
        <f t="shared" si="2691"/>
        <v>9331198.8993185107</v>
      </c>
      <c r="F689" s="130">
        <f t="shared" si="2691"/>
        <v>7135417.9363709055</v>
      </c>
      <c r="G689" s="130">
        <f t="shared" si="2691"/>
        <v>5830125.5643097647</v>
      </c>
      <c r="H689" s="130">
        <f t="shared" si="2691"/>
        <v>7326199.0000000009</v>
      </c>
      <c r="I689" s="130">
        <f t="shared" si="2691"/>
        <v>9536226</v>
      </c>
      <c r="J689" s="130">
        <f t="shared" si="2691"/>
        <v>11404856</v>
      </c>
      <c r="K689" s="130">
        <f t="shared" si="2691"/>
        <v>12706168.140000001</v>
      </c>
      <c r="L689" s="130">
        <f t="shared" si="2691"/>
        <v>16662986.66</v>
      </c>
      <c r="M689" s="130">
        <f t="shared" si="2691"/>
        <v>13437196.740000002</v>
      </c>
      <c r="N689" s="130">
        <f t="shared" si="2691"/>
        <v>17270977.899999999</v>
      </c>
      <c r="O689" s="130">
        <f t="shared" si="2691"/>
        <v>18603711.84</v>
      </c>
      <c r="P689" s="130">
        <f t="shared" si="2691"/>
        <v>23042300.5</v>
      </c>
      <c r="Q689" s="130">
        <f t="shared" si="2691"/>
        <v>19165740.5</v>
      </c>
      <c r="R689" s="130">
        <f t="shared" si="2691"/>
        <v>11279629.534285715</v>
      </c>
      <c r="S689" s="130">
        <f t="shared" si="2691"/>
        <v>7603125.0871428568</v>
      </c>
      <c r="T689" s="130">
        <f t="shared" si="2691"/>
        <v>5793090.599642857</v>
      </c>
      <c r="U689" s="130">
        <f t="shared" si="2691"/>
        <v>8130308.6571428571</v>
      </c>
      <c r="V689" s="130">
        <f t="shared" si="2691"/>
        <v>12415828.094642857</v>
      </c>
      <c r="W689" s="130">
        <f t="shared" si="2691"/>
        <v>12868897.6644</v>
      </c>
      <c r="X689" s="130">
        <f t="shared" si="2691"/>
        <v>22371683.246812254</v>
      </c>
      <c r="Y689" s="130">
        <f t="shared" si="2691"/>
        <v>9717107.0580000002</v>
      </c>
      <c r="Z689" s="130">
        <f t="shared" si="2691"/>
        <v>240700</v>
      </c>
      <c r="AA689" s="130">
        <f t="shared" si="2691"/>
        <v>9078027.3651999999</v>
      </c>
      <c r="AB689" s="130">
        <f t="shared" si="2691"/>
        <v>9945188.4697642904</v>
      </c>
      <c r="AC689" s="130">
        <f t="shared" si="2691"/>
        <v>13896044.018400002</v>
      </c>
      <c r="AD689" s="130">
        <f t="shared" si="2691"/>
        <v>16259239.23</v>
      </c>
      <c r="AE689" s="130">
        <f t="shared" si="2691"/>
        <v>16813956</v>
      </c>
      <c r="AF689" s="130">
        <f t="shared" si="2691"/>
        <v>15542343</v>
      </c>
      <c r="AG689" s="130">
        <f t="shared" si="2691"/>
        <v>23078691</v>
      </c>
      <c r="AH689" s="130">
        <f t="shared" si="2691"/>
        <v>30262985</v>
      </c>
      <c r="AI689" s="130">
        <f t="shared" si="2691"/>
        <v>38984746</v>
      </c>
      <c r="AJ689" s="130">
        <f t="shared" si="2691"/>
        <v>31039805</v>
      </c>
      <c r="AK689" s="130">
        <f t="shared" si="2691"/>
        <v>23510196</v>
      </c>
      <c r="AL689" s="130">
        <f t="shared" si="2691"/>
        <v>17906255</v>
      </c>
      <c r="AM689" s="130">
        <f t="shared" si="2691"/>
        <v>14498748</v>
      </c>
      <c r="AN689" s="130">
        <f t="shared" si="2691"/>
        <v>28344924</v>
      </c>
      <c r="AO689" s="130">
        <f t="shared" si="2691"/>
        <v>38659288</v>
      </c>
      <c r="AP689" s="130">
        <f t="shared" si="2691"/>
        <v>50123607</v>
      </c>
      <c r="AQ689" s="130">
        <f t="shared" si="2691"/>
        <v>58726342</v>
      </c>
      <c r="AR689" s="130">
        <f t="shared" si="2691"/>
        <v>58615364</v>
      </c>
      <c r="AS689" s="130">
        <f t="shared" si="2691"/>
        <v>51972136</v>
      </c>
      <c r="AT689" s="130">
        <f t="shared" si="2691"/>
        <v>58400654.469999999</v>
      </c>
      <c r="AU689" s="130">
        <f t="shared" si="2691"/>
        <v>68715789</v>
      </c>
      <c r="AV689" s="130">
        <f t="shared" si="2691"/>
        <v>69084692</v>
      </c>
      <c r="AW689" s="130">
        <f t="shared" si="2691"/>
        <v>75658657.739999995</v>
      </c>
      <c r="AX689" s="130">
        <f t="shared" si="2691"/>
        <v>41264695.049999997</v>
      </c>
      <c r="AY689" s="130">
        <f t="shared" si="2691"/>
        <v>43722251</v>
      </c>
      <c r="AZ689" s="130">
        <f t="shared" si="2691"/>
        <v>39209984.170000002</v>
      </c>
      <c r="BA689" s="130">
        <f t="shared" si="2691"/>
        <v>33382856</v>
      </c>
      <c r="BB689" s="130">
        <f t="shared" si="2691"/>
        <v>27373000.679999992</v>
      </c>
      <c r="BC689" s="130">
        <f t="shared" si="2691"/>
        <v>13465895.949483922</v>
      </c>
      <c r="BD689" s="130">
        <f t="shared" si="2691"/>
        <v>7453992.2177116927</v>
      </c>
      <c r="BE689" s="130">
        <f t="shared" si="2691"/>
        <v>20591524.062033951</v>
      </c>
      <c r="BF689" s="130">
        <f t="shared" si="2691"/>
        <v>33429736.434135012</v>
      </c>
      <c r="BG689" s="130">
        <f t="shared" si="2691"/>
        <v>40181230.488871992</v>
      </c>
      <c r="BH689" s="130">
        <f t="shared" si="2691"/>
        <v>34802221.484443344</v>
      </c>
      <c r="BI689" s="130">
        <f t="shared" si="2691"/>
        <v>41280292.828641914</v>
      </c>
      <c r="BJ689" s="130">
        <f t="shared" si="2691"/>
        <v>0</v>
      </c>
      <c r="BK689" s="130">
        <f t="shared" si="2691"/>
        <v>0</v>
      </c>
      <c r="BL689" s="130">
        <f t="shared" si="2691"/>
        <v>0</v>
      </c>
      <c r="BM689" s="130">
        <f t="shared" si="2691"/>
        <v>0</v>
      </c>
      <c r="BN689" s="130">
        <f t="shared" si="2691"/>
        <v>0</v>
      </c>
      <c r="BO689" s="130">
        <f t="shared" ref="BO689:DQ689" si="2692">BO679-BO684</f>
        <v>0</v>
      </c>
      <c r="BP689" s="130">
        <f t="shared" si="2692"/>
        <v>0</v>
      </c>
      <c r="BQ689" s="130">
        <f t="shared" si="2692"/>
        <v>0</v>
      </c>
      <c r="BR689" s="130">
        <f t="shared" si="2692"/>
        <v>0</v>
      </c>
      <c r="BS689" s="130">
        <f t="shared" si="2692"/>
        <v>0</v>
      </c>
      <c r="BT689" s="130">
        <f t="shared" si="2692"/>
        <v>0</v>
      </c>
      <c r="BU689" s="130">
        <f t="shared" si="2692"/>
        <v>0</v>
      </c>
      <c r="BV689" s="130">
        <f t="shared" si="2692"/>
        <v>0</v>
      </c>
      <c r="BW689" s="130">
        <f t="shared" si="2692"/>
        <v>0</v>
      </c>
      <c r="BX689" s="130">
        <f t="shared" si="2692"/>
        <v>0</v>
      </c>
      <c r="BY689" s="130">
        <f t="shared" si="2692"/>
        <v>0</v>
      </c>
      <c r="BZ689" s="130">
        <f t="shared" si="2692"/>
        <v>0</v>
      </c>
      <c r="CA689" s="130">
        <f t="shared" si="2692"/>
        <v>0</v>
      </c>
      <c r="CB689" s="130">
        <f t="shared" si="2692"/>
        <v>0</v>
      </c>
      <c r="CC689" s="130">
        <f t="shared" si="2692"/>
        <v>0</v>
      </c>
      <c r="CD689" s="130">
        <f t="shared" si="2692"/>
        <v>0</v>
      </c>
      <c r="CE689" s="130">
        <f t="shared" si="2692"/>
        <v>0</v>
      </c>
      <c r="CF689" s="130">
        <f t="shared" si="2692"/>
        <v>0</v>
      </c>
      <c r="CG689" s="130">
        <f t="shared" si="2692"/>
        <v>0</v>
      </c>
      <c r="CH689" s="130">
        <f t="shared" si="2692"/>
        <v>0</v>
      </c>
      <c r="CI689" s="130">
        <f t="shared" si="2692"/>
        <v>0</v>
      </c>
      <c r="CJ689" s="130">
        <f t="shared" si="2692"/>
        <v>0</v>
      </c>
      <c r="CK689" s="130">
        <f t="shared" si="2692"/>
        <v>0</v>
      </c>
      <c r="CL689" s="130">
        <f t="shared" si="2692"/>
        <v>0</v>
      </c>
      <c r="CM689" s="130">
        <f t="shared" si="2692"/>
        <v>0</v>
      </c>
      <c r="CN689" s="130">
        <f t="shared" si="2692"/>
        <v>0</v>
      </c>
      <c r="CO689" s="130">
        <f t="shared" si="2692"/>
        <v>0</v>
      </c>
      <c r="CP689" s="130">
        <f t="shared" si="2692"/>
        <v>0</v>
      </c>
      <c r="CQ689" s="130">
        <f t="shared" si="2692"/>
        <v>0</v>
      </c>
      <c r="CR689" s="130">
        <f t="shared" si="2692"/>
        <v>0</v>
      </c>
      <c r="CS689" s="130">
        <f t="shared" si="2692"/>
        <v>0</v>
      </c>
      <c r="CT689" s="130">
        <f t="shared" si="2692"/>
        <v>0</v>
      </c>
      <c r="CU689" s="130">
        <f t="shared" si="2692"/>
        <v>0</v>
      </c>
      <c r="CV689" s="130">
        <f t="shared" si="2692"/>
        <v>0</v>
      </c>
      <c r="CW689" s="130">
        <f t="shared" si="2692"/>
        <v>0</v>
      </c>
      <c r="CX689" s="130">
        <f t="shared" si="2692"/>
        <v>0</v>
      </c>
      <c r="CY689" s="130">
        <f t="shared" si="2692"/>
        <v>0</v>
      </c>
      <c r="CZ689" s="130">
        <f t="shared" si="2692"/>
        <v>0</v>
      </c>
      <c r="DA689" s="130">
        <f t="shared" si="2692"/>
        <v>0</v>
      </c>
      <c r="DB689" s="130">
        <f t="shared" si="2692"/>
        <v>0</v>
      </c>
      <c r="DC689" s="130">
        <f t="shared" si="2692"/>
        <v>0</v>
      </c>
      <c r="DD689" s="130">
        <f t="shared" si="2692"/>
        <v>0</v>
      </c>
      <c r="DE689" s="130">
        <f t="shared" si="2692"/>
        <v>0</v>
      </c>
      <c r="DF689" s="130">
        <f t="shared" si="2692"/>
        <v>0</v>
      </c>
      <c r="DG689" s="130">
        <f t="shared" si="2692"/>
        <v>0</v>
      </c>
      <c r="DH689" s="130">
        <f t="shared" si="2692"/>
        <v>0</v>
      </c>
      <c r="DI689" s="130">
        <f t="shared" si="2692"/>
        <v>0</v>
      </c>
      <c r="DJ689" s="130">
        <f t="shared" si="2692"/>
        <v>0</v>
      </c>
      <c r="DK689" s="130">
        <f t="shared" si="2692"/>
        <v>0</v>
      </c>
      <c r="DL689" s="130">
        <f t="shared" si="2692"/>
        <v>0</v>
      </c>
      <c r="DM689" s="130">
        <f t="shared" si="2692"/>
        <v>0</v>
      </c>
      <c r="DN689" s="130">
        <f t="shared" si="2692"/>
        <v>0</v>
      </c>
      <c r="DO689" s="130">
        <f t="shared" si="2692"/>
        <v>0</v>
      </c>
      <c r="DP689" s="130">
        <f t="shared" si="2692"/>
        <v>0</v>
      </c>
      <c r="DQ689" s="130">
        <f t="shared" si="2692"/>
        <v>0</v>
      </c>
      <c r="DR689" s="115"/>
      <c r="DS689" s="115"/>
      <c r="DT689" s="115"/>
      <c r="DU689" s="115"/>
      <c r="DV689" s="115"/>
      <c r="DW689" s="115"/>
      <c r="DX689" s="115"/>
      <c r="DY689" s="115"/>
      <c r="DZ689" s="115"/>
      <c r="EA689" s="115"/>
      <c r="EB689" s="115"/>
      <c r="EC689" s="645"/>
      <c r="ED689" s="113" t="s">
        <v>1</v>
      </c>
    </row>
    <row r="690" spans="1:134" x14ac:dyDescent="0.2">
      <c r="A690" s="730" t="s">
        <v>5</v>
      </c>
      <c r="B690" s="130">
        <f>B680-B685</f>
        <v>916</v>
      </c>
      <c r="C690" s="130">
        <f t="shared" ref="C690:BN690" si="2693">C680-C685</f>
        <v>969</v>
      </c>
      <c r="D690" s="130">
        <f t="shared" si="2693"/>
        <v>817</v>
      </c>
      <c r="E690" s="130">
        <f t="shared" si="2693"/>
        <v>1419</v>
      </c>
      <c r="F690" s="130">
        <f t="shared" si="2693"/>
        <v>1338</v>
      </c>
      <c r="G690" s="130">
        <f t="shared" si="2693"/>
        <v>1177</v>
      </c>
      <c r="H690" s="130">
        <f t="shared" si="2693"/>
        <v>1366</v>
      </c>
      <c r="I690" s="130">
        <f t="shared" si="2693"/>
        <v>1689</v>
      </c>
      <c r="J690" s="130">
        <f t="shared" si="2693"/>
        <v>2158</v>
      </c>
      <c r="K690" s="130">
        <f t="shared" si="2693"/>
        <v>2163</v>
      </c>
      <c r="L690" s="130">
        <f t="shared" si="2693"/>
        <v>2975</v>
      </c>
      <c r="M690" s="130">
        <f t="shared" si="2693"/>
        <v>2335</v>
      </c>
      <c r="N690" s="130">
        <f t="shared" si="2693"/>
        <v>3233</v>
      </c>
      <c r="O690" s="130">
        <f t="shared" si="2693"/>
        <v>3374</v>
      </c>
      <c r="P690" s="130">
        <f t="shared" si="2693"/>
        <v>4098</v>
      </c>
      <c r="Q690" s="130">
        <f t="shared" si="2693"/>
        <v>3312</v>
      </c>
      <c r="R690" s="130">
        <f t="shared" si="2693"/>
        <v>2136</v>
      </c>
      <c r="S690" s="130">
        <f t="shared" si="2693"/>
        <v>1506</v>
      </c>
      <c r="T690" s="130">
        <f t="shared" si="2693"/>
        <v>1184</v>
      </c>
      <c r="U690" s="130">
        <f t="shared" si="2693"/>
        <v>1465</v>
      </c>
      <c r="V690" s="130">
        <f t="shared" si="2693"/>
        <v>3891</v>
      </c>
      <c r="W690" s="130">
        <f t="shared" si="2693"/>
        <v>2642</v>
      </c>
      <c r="X690" s="130">
        <f t="shared" si="2693"/>
        <v>2600</v>
      </c>
      <c r="Y690" s="130">
        <f t="shared" si="2693"/>
        <v>1285</v>
      </c>
      <c r="Z690" s="130">
        <f t="shared" si="2693"/>
        <v>-47</v>
      </c>
      <c r="AA690" s="130">
        <f t="shared" si="2693"/>
        <v>1527</v>
      </c>
      <c r="AB690" s="130">
        <f t="shared" si="2693"/>
        <v>1557</v>
      </c>
      <c r="AC690" s="130">
        <f t="shared" si="2693"/>
        <v>1935</v>
      </c>
      <c r="AD690" s="130">
        <f t="shared" si="2693"/>
        <v>2201</v>
      </c>
      <c r="AE690" s="130">
        <f t="shared" si="2693"/>
        <v>2489</v>
      </c>
      <c r="AF690" s="130">
        <f t="shared" si="2693"/>
        <v>2642</v>
      </c>
      <c r="AG690" s="130">
        <f t="shared" si="2693"/>
        <v>4233</v>
      </c>
      <c r="AH690" s="130">
        <f t="shared" si="2693"/>
        <v>5885</v>
      </c>
      <c r="AI690" s="130">
        <f t="shared" si="2693"/>
        <v>7549</v>
      </c>
      <c r="AJ690" s="130">
        <f t="shared" si="2693"/>
        <v>6029</v>
      </c>
      <c r="AK690" s="130">
        <f t="shared" si="2693"/>
        <v>4414</v>
      </c>
      <c r="AL690" s="130">
        <f t="shared" si="2693"/>
        <v>3423</v>
      </c>
      <c r="AM690" s="130">
        <f t="shared" si="2693"/>
        <v>2663</v>
      </c>
      <c r="AN690" s="130">
        <f t="shared" si="2693"/>
        <v>5289</v>
      </c>
      <c r="AO690" s="130">
        <f t="shared" si="2693"/>
        <v>6854</v>
      </c>
      <c r="AP690" s="130">
        <f t="shared" si="2693"/>
        <v>8122</v>
      </c>
      <c r="AQ690" s="130">
        <f t="shared" si="2693"/>
        <v>9481</v>
      </c>
      <c r="AR690" s="130">
        <f t="shared" si="2693"/>
        <v>10302</v>
      </c>
      <c r="AS690" s="130">
        <f t="shared" si="2693"/>
        <v>9882</v>
      </c>
      <c r="AT690" s="130">
        <f t="shared" si="2693"/>
        <v>10482</v>
      </c>
      <c r="AU690" s="130">
        <f t="shared" si="2693"/>
        <v>11746</v>
      </c>
      <c r="AV690" s="130">
        <f t="shared" si="2693"/>
        <v>11322</v>
      </c>
      <c r="AW690" s="130">
        <f t="shared" si="2693"/>
        <v>13039</v>
      </c>
      <c r="AX690" s="130">
        <f t="shared" si="2693"/>
        <v>8406</v>
      </c>
      <c r="AY690" s="130">
        <f t="shared" si="2693"/>
        <v>7264</v>
      </c>
      <c r="AZ690" s="130">
        <f t="shared" si="2693"/>
        <v>5648</v>
      </c>
      <c r="BA690" s="130">
        <f t="shared" si="2693"/>
        <v>6015</v>
      </c>
      <c r="BB690" s="130">
        <f t="shared" si="2693"/>
        <v>4698</v>
      </c>
      <c r="BC690" s="130">
        <f t="shared" si="2693"/>
        <v>2409</v>
      </c>
      <c r="BD690" s="130">
        <f t="shared" si="2693"/>
        <v>1091</v>
      </c>
      <c r="BE690" s="130">
        <f t="shared" si="2693"/>
        <v>2003</v>
      </c>
      <c r="BF690" s="130">
        <f t="shared" si="2693"/>
        <v>3841</v>
      </c>
      <c r="BG690" s="130">
        <f t="shared" si="2693"/>
        <v>4296</v>
      </c>
      <c r="BH690" s="130">
        <f t="shared" si="2693"/>
        <v>3854</v>
      </c>
      <c r="BI690" s="130">
        <f t="shared" si="2693"/>
        <v>4184</v>
      </c>
      <c r="BJ690" s="130">
        <f t="shared" si="2693"/>
        <v>0</v>
      </c>
      <c r="BK690" s="130">
        <f t="shared" si="2693"/>
        <v>0</v>
      </c>
      <c r="BL690" s="130">
        <f t="shared" si="2693"/>
        <v>0</v>
      </c>
      <c r="BM690" s="130">
        <f t="shared" si="2693"/>
        <v>0</v>
      </c>
      <c r="BN690" s="130">
        <f t="shared" si="2693"/>
        <v>0</v>
      </c>
      <c r="BO690" s="130">
        <f t="shared" ref="BO690:DQ690" si="2694">BO680-BO685</f>
        <v>0</v>
      </c>
      <c r="BP690" s="130">
        <f t="shared" si="2694"/>
        <v>0</v>
      </c>
      <c r="BQ690" s="130">
        <f t="shared" si="2694"/>
        <v>0</v>
      </c>
      <c r="BR690" s="130">
        <f t="shared" si="2694"/>
        <v>0</v>
      </c>
      <c r="BS690" s="130">
        <f t="shared" si="2694"/>
        <v>0</v>
      </c>
      <c r="BT690" s="130">
        <f t="shared" si="2694"/>
        <v>0</v>
      </c>
      <c r="BU690" s="130">
        <f t="shared" si="2694"/>
        <v>0</v>
      </c>
      <c r="BV690" s="130">
        <f t="shared" si="2694"/>
        <v>0</v>
      </c>
      <c r="BW690" s="130">
        <f t="shared" si="2694"/>
        <v>0</v>
      </c>
      <c r="BX690" s="130">
        <f t="shared" si="2694"/>
        <v>0</v>
      </c>
      <c r="BY690" s="130">
        <f t="shared" si="2694"/>
        <v>0</v>
      </c>
      <c r="BZ690" s="130">
        <f t="shared" si="2694"/>
        <v>0</v>
      </c>
      <c r="CA690" s="130">
        <f t="shared" si="2694"/>
        <v>0</v>
      </c>
      <c r="CB690" s="130">
        <f t="shared" si="2694"/>
        <v>0</v>
      </c>
      <c r="CC690" s="130">
        <f t="shared" si="2694"/>
        <v>0</v>
      </c>
      <c r="CD690" s="130">
        <f t="shared" si="2694"/>
        <v>0</v>
      </c>
      <c r="CE690" s="130">
        <f t="shared" si="2694"/>
        <v>0</v>
      </c>
      <c r="CF690" s="130">
        <f t="shared" si="2694"/>
        <v>0</v>
      </c>
      <c r="CG690" s="130">
        <f t="shared" si="2694"/>
        <v>0</v>
      </c>
      <c r="CH690" s="130">
        <f t="shared" si="2694"/>
        <v>0</v>
      </c>
      <c r="CI690" s="130">
        <f t="shared" si="2694"/>
        <v>0</v>
      </c>
      <c r="CJ690" s="130">
        <f t="shared" si="2694"/>
        <v>0</v>
      </c>
      <c r="CK690" s="130">
        <f t="shared" si="2694"/>
        <v>0</v>
      </c>
      <c r="CL690" s="130">
        <f t="shared" si="2694"/>
        <v>0</v>
      </c>
      <c r="CM690" s="130">
        <f t="shared" si="2694"/>
        <v>0</v>
      </c>
      <c r="CN690" s="130">
        <f t="shared" si="2694"/>
        <v>0</v>
      </c>
      <c r="CO690" s="130">
        <f t="shared" si="2694"/>
        <v>0</v>
      </c>
      <c r="CP690" s="130">
        <f t="shared" si="2694"/>
        <v>0</v>
      </c>
      <c r="CQ690" s="130">
        <f t="shared" si="2694"/>
        <v>0</v>
      </c>
      <c r="CR690" s="130">
        <f t="shared" si="2694"/>
        <v>0</v>
      </c>
      <c r="CS690" s="130">
        <f t="shared" si="2694"/>
        <v>0</v>
      </c>
      <c r="CT690" s="130">
        <f t="shared" si="2694"/>
        <v>0</v>
      </c>
      <c r="CU690" s="130">
        <f t="shared" si="2694"/>
        <v>0</v>
      </c>
      <c r="CV690" s="130">
        <f t="shared" si="2694"/>
        <v>0</v>
      </c>
      <c r="CW690" s="130">
        <f t="shared" si="2694"/>
        <v>0</v>
      </c>
      <c r="CX690" s="130">
        <f t="shared" si="2694"/>
        <v>0</v>
      </c>
      <c r="CY690" s="130">
        <f t="shared" si="2694"/>
        <v>0</v>
      </c>
      <c r="CZ690" s="130">
        <f t="shared" si="2694"/>
        <v>0</v>
      </c>
      <c r="DA690" s="130">
        <f t="shared" si="2694"/>
        <v>0</v>
      </c>
      <c r="DB690" s="130">
        <f t="shared" si="2694"/>
        <v>0</v>
      </c>
      <c r="DC690" s="130">
        <f t="shared" si="2694"/>
        <v>0</v>
      </c>
      <c r="DD690" s="130">
        <f t="shared" si="2694"/>
        <v>0</v>
      </c>
      <c r="DE690" s="130">
        <f t="shared" si="2694"/>
        <v>0</v>
      </c>
      <c r="DF690" s="130">
        <f t="shared" si="2694"/>
        <v>0</v>
      </c>
      <c r="DG690" s="130">
        <f t="shared" si="2694"/>
        <v>0</v>
      </c>
      <c r="DH690" s="130">
        <f t="shared" si="2694"/>
        <v>0</v>
      </c>
      <c r="DI690" s="130">
        <f t="shared" si="2694"/>
        <v>0</v>
      </c>
      <c r="DJ690" s="130">
        <f t="shared" si="2694"/>
        <v>0</v>
      </c>
      <c r="DK690" s="130">
        <f t="shared" si="2694"/>
        <v>0</v>
      </c>
      <c r="DL690" s="130">
        <f t="shared" si="2694"/>
        <v>0</v>
      </c>
      <c r="DM690" s="130">
        <f t="shared" si="2694"/>
        <v>0</v>
      </c>
      <c r="DN690" s="130">
        <f t="shared" si="2694"/>
        <v>0</v>
      </c>
      <c r="DO690" s="130">
        <f t="shared" si="2694"/>
        <v>0</v>
      </c>
      <c r="DP690" s="130">
        <f t="shared" si="2694"/>
        <v>0</v>
      </c>
      <c r="DQ690" s="130">
        <f t="shared" si="2694"/>
        <v>0</v>
      </c>
      <c r="DR690" s="115"/>
      <c r="DS690" s="115"/>
      <c r="DT690" s="115"/>
      <c r="DU690" s="115"/>
      <c r="DV690" s="115"/>
      <c r="DW690" s="115"/>
      <c r="DX690" s="115"/>
      <c r="DY690" s="115"/>
      <c r="DZ690" s="115"/>
      <c r="EA690" s="115"/>
      <c r="EB690" s="115"/>
      <c r="EC690" s="645"/>
      <c r="ED690" s="113" t="s">
        <v>1</v>
      </c>
    </row>
    <row r="691" spans="1:134" x14ac:dyDescent="0.2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115"/>
      <c r="AU691" s="115"/>
      <c r="AV691" s="115"/>
      <c r="AW691" s="115"/>
      <c r="AX691" s="115"/>
      <c r="AY691" s="115"/>
      <c r="AZ691" s="115"/>
      <c r="BA691" s="115"/>
      <c r="BB691" s="115"/>
      <c r="BC691" s="115"/>
      <c r="BD691" s="115"/>
      <c r="BE691" s="115"/>
      <c r="BF691" s="115"/>
      <c r="BG691" s="115"/>
      <c r="BH691" s="115"/>
      <c r="BI691" s="115"/>
      <c r="BJ691" s="115"/>
      <c r="BK691" s="115"/>
      <c r="BL691" s="115"/>
      <c r="BM691" s="115"/>
      <c r="BN691" s="115"/>
      <c r="BO691" s="115"/>
      <c r="BP691" s="115"/>
      <c r="BQ691" s="115"/>
      <c r="BR691" s="115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115"/>
      <c r="CC691" s="115"/>
      <c r="CD691" s="115"/>
      <c r="CE691" s="115"/>
      <c r="CF691" s="115"/>
      <c r="CG691" s="115"/>
      <c r="CH691" s="115"/>
      <c r="CI691" s="115"/>
      <c r="CJ691" s="115"/>
      <c r="CK691" s="115"/>
      <c r="CL691" s="115"/>
      <c r="CM691" s="115"/>
      <c r="CN691" s="115"/>
      <c r="CO691" s="115"/>
      <c r="CP691" s="115"/>
      <c r="CQ691" s="115"/>
      <c r="CR691" s="115"/>
      <c r="CS691" s="115"/>
      <c r="CT691" s="115"/>
      <c r="CU691" s="115"/>
      <c r="CV691" s="115"/>
      <c r="CW691" s="115"/>
      <c r="CX691" s="115"/>
      <c r="CY691" s="115"/>
      <c r="CZ691" s="115"/>
      <c r="DA691" s="115"/>
      <c r="DB691" s="115"/>
      <c r="DC691" s="115"/>
      <c r="DD691" s="115"/>
      <c r="DE691" s="115"/>
      <c r="DF691" s="115"/>
      <c r="DG691" s="115"/>
      <c r="DH691" s="115"/>
      <c r="DI691" s="115"/>
      <c r="DJ691" s="115"/>
      <c r="DK691" s="115"/>
      <c r="DL691" s="115"/>
      <c r="DM691" s="115"/>
      <c r="DN691" s="115"/>
      <c r="DO691" s="115"/>
      <c r="DP691" s="115"/>
      <c r="DQ691" s="115"/>
      <c r="DR691" s="115"/>
      <c r="DS691" s="115"/>
      <c r="DT691" s="115"/>
      <c r="DU691" s="115"/>
      <c r="DV691" s="115"/>
      <c r="DW691" s="115"/>
      <c r="DX691" s="115"/>
      <c r="DY691" s="115"/>
      <c r="DZ691" s="115"/>
      <c r="EA691" s="115"/>
      <c r="EB691" s="115"/>
      <c r="EC691" s="645"/>
      <c r="ED691" s="113" t="s">
        <v>1</v>
      </c>
    </row>
    <row r="692" spans="1:134" x14ac:dyDescent="0.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15"/>
      <c r="AU692" s="115"/>
      <c r="AV692" s="115"/>
      <c r="AW692" s="115"/>
      <c r="AX692" s="115"/>
      <c r="AY692" s="115"/>
      <c r="AZ692" s="115"/>
      <c r="BA692" s="115"/>
      <c r="BB692" s="115"/>
      <c r="BC692" s="115"/>
      <c r="BD692" s="115"/>
      <c r="BE692" s="115"/>
      <c r="BF692" s="115"/>
      <c r="BG692" s="115"/>
      <c r="BH692" s="115"/>
      <c r="BI692" s="115"/>
      <c r="BJ692" s="115"/>
      <c r="BK692" s="115"/>
      <c r="BL692" s="115"/>
      <c r="BM692" s="115"/>
      <c r="BN692" s="115"/>
      <c r="BO692" s="115"/>
      <c r="BP692" s="115"/>
      <c r="BQ692" s="115"/>
      <c r="BR692" s="115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115"/>
      <c r="CC692" s="115"/>
      <c r="CD692" s="115"/>
      <c r="CE692" s="115"/>
      <c r="CF692" s="115"/>
      <c r="CG692" s="115"/>
      <c r="CH692" s="115"/>
      <c r="CI692" s="115"/>
      <c r="CJ692" s="115"/>
      <c r="CK692" s="115"/>
      <c r="CL692" s="115"/>
      <c r="CM692" s="115"/>
      <c r="CN692" s="115"/>
      <c r="CO692" s="115"/>
      <c r="CP692" s="115"/>
      <c r="CQ692" s="115"/>
      <c r="CR692" s="115"/>
      <c r="CS692" s="115"/>
      <c r="CT692" s="115"/>
      <c r="CU692" s="115"/>
      <c r="CV692" s="115"/>
      <c r="CW692" s="115"/>
      <c r="CX692" s="115"/>
      <c r="CY692" s="115"/>
      <c r="CZ692" s="115"/>
      <c r="DA692" s="115"/>
      <c r="DB692" s="115"/>
      <c r="DC692" s="115"/>
      <c r="DD692" s="115"/>
      <c r="DE692" s="115"/>
      <c r="DF692" s="115"/>
      <c r="DG692" s="115"/>
      <c r="DH692" s="115"/>
      <c r="DI692" s="115"/>
      <c r="DJ692" s="115"/>
      <c r="DK692" s="115"/>
      <c r="DL692" s="115"/>
      <c r="DM692" s="115"/>
      <c r="DN692" s="115"/>
      <c r="DO692" s="115"/>
      <c r="DP692" s="115"/>
      <c r="DQ692" s="115"/>
      <c r="DR692" s="115"/>
      <c r="DS692" s="115"/>
      <c r="DT692" s="115"/>
      <c r="DU692" s="115"/>
      <c r="DV692" s="115"/>
      <c r="DW692" s="115"/>
      <c r="DX692" s="115"/>
      <c r="DY692" s="115"/>
      <c r="DZ692" s="115"/>
      <c r="EA692" s="115"/>
      <c r="EB692" s="115"/>
      <c r="EC692" s="645"/>
      <c r="ED692" s="113" t="s">
        <v>1</v>
      </c>
    </row>
    <row r="693" spans="1:134" x14ac:dyDescent="0.2">
      <c r="A693" s="746" t="s">
        <v>11</v>
      </c>
      <c r="B693" s="746"/>
      <c r="C693" s="746"/>
      <c r="D693" s="746"/>
      <c r="E693" s="746"/>
      <c r="F693" s="746"/>
      <c r="G693" s="746"/>
      <c r="H693" s="746"/>
      <c r="I693" s="746"/>
      <c r="J693" s="746"/>
      <c r="K693" s="746"/>
      <c r="L693" s="746"/>
      <c r="M693" s="746"/>
      <c r="N693" s="746"/>
      <c r="O693" s="746"/>
      <c r="P693" s="746"/>
      <c r="Q693" s="746"/>
      <c r="R693" s="746"/>
      <c r="S693" s="746"/>
      <c r="T693" s="746"/>
      <c r="U693" s="746"/>
      <c r="V693" s="746"/>
      <c r="W693" s="746"/>
      <c r="X693" s="746"/>
      <c r="Y693" s="746"/>
      <c r="Z693" s="746"/>
      <c r="AA693" s="746"/>
      <c r="AB693" s="746"/>
      <c r="AC693" s="746"/>
      <c r="AD693" s="746"/>
      <c r="AE693" s="746"/>
      <c r="AF693" s="746"/>
      <c r="AG693" s="746"/>
      <c r="AH693" s="746"/>
      <c r="AI693" s="746"/>
      <c r="AJ693" s="746"/>
      <c r="AK693" s="746"/>
      <c r="AL693" s="746"/>
      <c r="AM693" s="746"/>
      <c r="AN693" s="746"/>
      <c r="AO693" s="746"/>
      <c r="AP693" s="746"/>
      <c r="AQ693" s="746"/>
      <c r="AR693" s="746"/>
      <c r="AS693" s="746"/>
      <c r="AT693" s="746"/>
      <c r="AU693" s="746"/>
      <c r="AV693" s="746"/>
      <c r="AW693" s="746"/>
      <c r="AX693" s="746"/>
      <c r="AY693" s="746"/>
      <c r="AZ693" s="746"/>
      <c r="BA693" s="746"/>
      <c r="BB693" s="746"/>
      <c r="BC693" s="746"/>
      <c r="BD693" s="746"/>
      <c r="BE693" s="746"/>
      <c r="BF693" s="746"/>
      <c r="BG693" s="746"/>
      <c r="BH693" s="746"/>
      <c r="BI693" s="746"/>
      <c r="BJ693" s="746"/>
      <c r="BK693" s="746"/>
      <c r="BL693" s="746"/>
      <c r="BM693" s="746"/>
      <c r="BN693" s="746"/>
      <c r="BO693" s="746"/>
      <c r="BP693" s="746"/>
      <c r="BQ693" s="746"/>
      <c r="BR693" s="746"/>
      <c r="BS693" s="746"/>
      <c r="BT693" s="746"/>
      <c r="BU693" s="746"/>
      <c r="BV693" s="746"/>
      <c r="BW693" s="746"/>
      <c r="BX693" s="746"/>
      <c r="BY693" s="729"/>
      <c r="BZ693" s="729"/>
      <c r="CA693" s="729"/>
      <c r="CB693" s="729"/>
      <c r="CC693" s="729"/>
      <c r="CD693" s="729"/>
      <c r="CE693" s="729"/>
      <c r="CF693" s="729"/>
      <c r="CG693" s="729"/>
      <c r="CH693" s="729"/>
      <c r="CI693" s="729"/>
      <c r="CJ693" s="729"/>
      <c r="CK693" s="729"/>
      <c r="CL693" s="729"/>
      <c r="CM693" s="729"/>
      <c r="CN693" s="729"/>
      <c r="CO693" s="729"/>
      <c r="CP693" s="729"/>
      <c r="CQ693" s="729"/>
      <c r="CR693" s="729"/>
      <c r="CS693" s="729"/>
      <c r="CT693" s="729"/>
      <c r="CU693" s="729"/>
      <c r="CV693" s="729"/>
      <c r="CW693" s="729"/>
      <c r="CX693" s="729"/>
      <c r="CY693" s="729"/>
      <c r="CZ693" s="729"/>
      <c r="DA693" s="729"/>
      <c r="DB693" s="729"/>
      <c r="DC693" s="729"/>
      <c r="DD693" s="729"/>
      <c r="DE693" s="729"/>
      <c r="DF693" s="729"/>
      <c r="DG693" s="729"/>
      <c r="DH693" s="729"/>
      <c r="DI693" s="729"/>
      <c r="DJ693" s="729"/>
      <c r="DK693" s="729"/>
      <c r="DL693" s="729"/>
      <c r="DM693" s="729"/>
      <c r="DN693" s="729"/>
      <c r="DO693" s="729"/>
      <c r="DP693" s="729"/>
      <c r="DQ693" s="729"/>
      <c r="DR693" s="729"/>
      <c r="DS693" s="729"/>
      <c r="DT693" s="729"/>
      <c r="DU693" s="729"/>
      <c r="DV693" s="729"/>
      <c r="DW693" s="729"/>
      <c r="DX693" s="729"/>
      <c r="DY693" s="729"/>
      <c r="DZ693" s="729"/>
      <c r="EA693" s="729"/>
      <c r="EB693" s="729"/>
      <c r="EC693" s="729"/>
      <c r="ED693" s="113" t="s">
        <v>1</v>
      </c>
    </row>
    <row r="694" spans="1:134" x14ac:dyDescent="0.2">
      <c r="A694" s="730" t="s">
        <v>227</v>
      </c>
      <c r="B694" s="129">
        <v>148437.03571428571</v>
      </c>
      <c r="C694" s="129">
        <v>181862.96612203572</v>
      </c>
      <c r="D694" s="129">
        <v>152245.41916668598</v>
      </c>
      <c r="E694" s="129">
        <v>198155.38593951135</v>
      </c>
      <c r="F694" s="129">
        <v>189099.35581218151</v>
      </c>
      <c r="G694" s="129">
        <v>181161.42060316404</v>
      </c>
      <c r="H694" s="129">
        <v>246219.82886114286</v>
      </c>
      <c r="I694" s="129">
        <v>370723.31821428571</v>
      </c>
      <c r="J694" s="129">
        <v>429065.23714285716</v>
      </c>
      <c r="K694" s="129">
        <v>472258.76891835715</v>
      </c>
      <c r="L694" s="129">
        <v>786612.24964285712</v>
      </c>
      <c r="M694" s="129">
        <v>1233450.0264285714</v>
      </c>
      <c r="N694" s="129">
        <v>1359110.9350000001</v>
      </c>
      <c r="O694" s="129">
        <v>1435127.3253087166</v>
      </c>
      <c r="P694" s="129">
        <v>1153023.1719673122</v>
      </c>
      <c r="Q694" s="129">
        <v>1896283.2040980631</v>
      </c>
      <c r="R694" s="129">
        <v>558558.91319007275</v>
      </c>
      <c r="S694" s="129">
        <v>484183.61308716761</v>
      </c>
      <c r="T694" s="129">
        <v>378576.1668946732</v>
      </c>
      <c r="U694" s="129">
        <v>389874.98198547238</v>
      </c>
      <c r="V694" s="129">
        <v>446928.57799636811</v>
      </c>
      <c r="W694" s="129">
        <v>523465.50588305091</v>
      </c>
      <c r="X694" s="129">
        <v>946281.27076166193</v>
      </c>
      <c r="Y694" s="129">
        <v>445470.97858565359</v>
      </c>
      <c r="Z694" s="129">
        <v>38629.57808716681</v>
      </c>
      <c r="AA694" s="129">
        <v>331601.55007590813</v>
      </c>
      <c r="AB694" s="129">
        <v>441971.45697256655</v>
      </c>
      <c r="AC694" s="129">
        <v>591664.04053202202</v>
      </c>
      <c r="AD694" s="129">
        <v>804343.58940072625</v>
      </c>
      <c r="AE694" s="129">
        <v>754215.76783898321</v>
      </c>
      <c r="AF694" s="129">
        <v>749983.98368038738</v>
      </c>
      <c r="AG694" s="129">
        <v>1291997.321398305</v>
      </c>
      <c r="AH694" s="129">
        <v>1777932.8</v>
      </c>
      <c r="AI694" s="129">
        <v>2108088.46</v>
      </c>
      <c r="AJ694" s="129">
        <v>1600378.96</v>
      </c>
      <c r="AK694" s="129">
        <v>1231275.3399999999</v>
      </c>
      <c r="AL694" s="129">
        <v>874019</v>
      </c>
      <c r="AM694" s="129">
        <v>660392.52</v>
      </c>
      <c r="AN694" s="129">
        <v>1465915.9</v>
      </c>
      <c r="AO694" s="129">
        <v>1965952.4569491525</v>
      </c>
      <c r="AP694" s="129">
        <v>2535409.5932203392</v>
      </c>
      <c r="AQ694" s="129">
        <v>3011972.92</v>
      </c>
      <c r="AR694" s="129">
        <v>3398986</v>
      </c>
      <c r="AS694" s="129">
        <v>2926853.209999999</v>
      </c>
      <c r="AT694" s="129">
        <v>3286097.91</v>
      </c>
      <c r="AU694" s="129">
        <v>3772057.83</v>
      </c>
      <c r="AV694" s="129">
        <v>3633313</v>
      </c>
      <c r="AW694" s="129">
        <v>2960412</v>
      </c>
      <c r="AX694" s="129">
        <v>2338736</v>
      </c>
      <c r="AY694" s="129">
        <v>2579729</v>
      </c>
      <c r="AZ694" s="129">
        <v>2171552.0000000009</v>
      </c>
      <c r="BA694" s="129">
        <v>2263770.3724613413</v>
      </c>
      <c r="BB694" s="129">
        <v>1658399.683170995</v>
      </c>
      <c r="BC694" s="129">
        <v>895798.49784005084</v>
      </c>
      <c r="BD694" s="129">
        <v>691348.32833217899</v>
      </c>
      <c r="BE694" s="129">
        <v>1178567.3106673989</v>
      </c>
      <c r="BF694" s="129">
        <v>1310184.3838772709</v>
      </c>
      <c r="BG694" s="129">
        <v>1500357.6083393174</v>
      </c>
      <c r="BH694" s="129">
        <v>1337231.7751945276</v>
      </c>
      <c r="BI694" s="129">
        <v>1484451.5827785125</v>
      </c>
      <c r="BJ694" s="129">
        <v>0</v>
      </c>
      <c r="BK694" s="129">
        <v>0</v>
      </c>
      <c r="BL694" s="129">
        <v>0</v>
      </c>
      <c r="BM694" s="129">
        <v>0</v>
      </c>
      <c r="BN694" s="129">
        <v>0</v>
      </c>
      <c r="BO694" s="129">
        <v>0</v>
      </c>
      <c r="BP694" s="129">
        <v>0</v>
      </c>
      <c r="BQ694" s="129">
        <v>0</v>
      </c>
      <c r="BR694" s="129">
        <v>0</v>
      </c>
      <c r="BS694" s="129">
        <v>0</v>
      </c>
      <c r="BT694" s="129">
        <v>0</v>
      </c>
      <c r="BU694" s="129">
        <v>0</v>
      </c>
      <c r="BV694" s="129">
        <v>0</v>
      </c>
      <c r="BW694" s="129">
        <v>0</v>
      </c>
      <c r="BX694" s="129">
        <v>0</v>
      </c>
      <c r="BY694" s="129">
        <v>0</v>
      </c>
      <c r="BZ694" s="129">
        <v>0</v>
      </c>
      <c r="CA694" s="129">
        <v>0</v>
      </c>
      <c r="CB694" s="129">
        <v>0</v>
      </c>
      <c r="CC694" s="129">
        <v>0</v>
      </c>
      <c r="CD694" s="129">
        <v>0</v>
      </c>
      <c r="CE694" s="129">
        <v>0</v>
      </c>
      <c r="CF694" s="129">
        <v>0</v>
      </c>
      <c r="CG694" s="129">
        <v>0</v>
      </c>
      <c r="CH694" s="129">
        <v>0</v>
      </c>
      <c r="CI694" s="129">
        <v>0</v>
      </c>
      <c r="CJ694" s="129">
        <v>0</v>
      </c>
      <c r="CK694" s="129">
        <v>0</v>
      </c>
      <c r="CL694" s="129">
        <v>0</v>
      </c>
      <c r="CM694" s="129">
        <v>0</v>
      </c>
      <c r="CN694" s="129">
        <v>0</v>
      </c>
      <c r="CO694" s="129">
        <v>0</v>
      </c>
      <c r="CP694" s="129">
        <v>0</v>
      </c>
      <c r="CQ694" s="129">
        <v>0</v>
      </c>
      <c r="CR694" s="129">
        <v>0</v>
      </c>
      <c r="CS694" s="129">
        <v>0</v>
      </c>
      <c r="CT694" s="129">
        <v>0</v>
      </c>
      <c r="CU694" s="129">
        <v>0</v>
      </c>
      <c r="CV694" s="129">
        <v>0</v>
      </c>
      <c r="CW694" s="129">
        <v>0</v>
      </c>
      <c r="CX694" s="129">
        <v>0</v>
      </c>
      <c r="CY694" s="129">
        <v>0</v>
      </c>
      <c r="CZ694" s="129">
        <v>0</v>
      </c>
      <c r="DA694" s="129">
        <v>0</v>
      </c>
      <c r="DB694" s="129">
        <v>0</v>
      </c>
      <c r="DC694" s="129">
        <v>0</v>
      </c>
      <c r="DD694" s="129">
        <v>0</v>
      </c>
      <c r="DE694" s="129">
        <v>0</v>
      </c>
      <c r="DF694" s="129">
        <v>0</v>
      </c>
      <c r="DG694" s="129">
        <v>0</v>
      </c>
      <c r="DH694" s="129">
        <v>0</v>
      </c>
      <c r="DI694" s="129">
        <v>0</v>
      </c>
      <c r="DJ694" s="129">
        <v>0</v>
      </c>
      <c r="DK694" s="129">
        <v>0</v>
      </c>
      <c r="DL694" s="129">
        <v>0</v>
      </c>
      <c r="DM694" s="129">
        <v>0</v>
      </c>
      <c r="DN694" s="129">
        <v>0</v>
      </c>
      <c r="DO694" s="129">
        <v>0</v>
      </c>
      <c r="DP694" s="129">
        <v>0</v>
      </c>
      <c r="DQ694" s="129">
        <v>0</v>
      </c>
      <c r="DR694" s="115"/>
      <c r="DS694" s="115"/>
      <c r="DT694" s="115"/>
      <c r="DU694" s="115"/>
      <c r="DV694" s="115"/>
      <c r="DW694" s="115"/>
      <c r="DX694" s="115"/>
      <c r="DY694" s="115"/>
      <c r="DZ694" s="115"/>
      <c r="EA694" s="115"/>
      <c r="EB694" s="115"/>
      <c r="EC694" s="645"/>
      <c r="ED694" s="113" t="s">
        <v>1</v>
      </c>
    </row>
    <row r="695" spans="1:134" x14ac:dyDescent="0.2">
      <c r="A695" s="730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15"/>
      <c r="AU695" s="115"/>
      <c r="AV695" s="115"/>
      <c r="AW695" s="115"/>
      <c r="AX695" s="115"/>
      <c r="AY695" s="115"/>
      <c r="AZ695" s="115"/>
      <c r="BA695" s="115"/>
      <c r="BB695" s="115"/>
      <c r="BC695" s="115"/>
      <c r="BD695" s="115"/>
      <c r="BE695" s="115"/>
      <c r="BF695" s="115"/>
      <c r="BG695" s="115"/>
      <c r="BH695" s="115"/>
      <c r="BI695" s="115"/>
      <c r="BJ695" s="115"/>
      <c r="BK695" s="115"/>
      <c r="BL695" s="115"/>
      <c r="BM695" s="115"/>
      <c r="BN695" s="115"/>
      <c r="BO695" s="115"/>
      <c r="BP695" s="115"/>
      <c r="BQ695" s="115"/>
      <c r="BR695" s="115"/>
      <c r="BS695" s="115"/>
      <c r="BT695" s="115"/>
      <c r="BU695" s="115"/>
      <c r="BV695" s="115"/>
      <c r="BW695" s="115"/>
      <c r="BX695" s="115"/>
      <c r="BY695" s="115"/>
      <c r="BZ695" s="115"/>
      <c r="CA695" s="115"/>
      <c r="CB695" s="115"/>
      <c r="CC695" s="115"/>
      <c r="CD695" s="115"/>
      <c r="CE695" s="115"/>
      <c r="CF695" s="115"/>
      <c r="CG695" s="115"/>
      <c r="CH695" s="115"/>
      <c r="CI695" s="115"/>
      <c r="CJ695" s="115"/>
      <c r="CK695" s="115"/>
      <c r="CL695" s="115"/>
      <c r="CM695" s="115"/>
      <c r="CN695" s="115"/>
      <c r="CO695" s="115"/>
      <c r="CP695" s="115"/>
      <c r="CQ695" s="115"/>
      <c r="CR695" s="115"/>
      <c r="CS695" s="115"/>
      <c r="CT695" s="115"/>
      <c r="CU695" s="115"/>
      <c r="CV695" s="115"/>
      <c r="CW695" s="115"/>
      <c r="CX695" s="115"/>
      <c r="CY695" s="115"/>
      <c r="CZ695" s="115"/>
      <c r="DA695" s="115"/>
      <c r="DB695" s="115"/>
      <c r="DC695" s="115"/>
      <c r="DD695" s="115"/>
      <c r="DE695" s="115"/>
      <c r="DF695" s="115"/>
      <c r="DG695" s="115"/>
      <c r="DH695" s="115"/>
      <c r="DI695" s="115"/>
      <c r="DJ695" s="115"/>
      <c r="DK695" s="115"/>
      <c r="DL695" s="115"/>
      <c r="DM695" s="115"/>
      <c r="DN695" s="115"/>
      <c r="DO695" s="115"/>
      <c r="DP695" s="115"/>
      <c r="DQ695" s="115"/>
      <c r="DR695" s="115"/>
      <c r="DS695" s="115"/>
      <c r="DT695" s="115"/>
      <c r="DU695" s="115"/>
      <c r="DV695" s="115"/>
      <c r="DW695" s="115"/>
      <c r="DX695" s="115"/>
      <c r="DY695" s="115"/>
      <c r="DZ695" s="115"/>
      <c r="EA695" s="115"/>
      <c r="EB695" s="115"/>
      <c r="EC695" s="645"/>
      <c r="ED695" s="113" t="s">
        <v>1</v>
      </c>
    </row>
    <row r="696" spans="1:134" x14ac:dyDescent="0.2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15"/>
      <c r="AU696" s="115"/>
      <c r="AV696" s="115"/>
      <c r="AW696" s="115"/>
      <c r="AX696" s="115"/>
      <c r="AY696" s="115"/>
      <c r="AZ696" s="115"/>
      <c r="BA696" s="115"/>
      <c r="BB696" s="115"/>
      <c r="BC696" s="115"/>
      <c r="BD696" s="115"/>
      <c r="BE696" s="115"/>
      <c r="BF696" s="115"/>
      <c r="BG696" s="115"/>
      <c r="BH696" s="115"/>
      <c r="BI696" s="115"/>
      <c r="BJ696" s="115"/>
      <c r="BK696" s="115"/>
      <c r="BL696" s="115"/>
      <c r="BM696" s="115"/>
      <c r="BN696" s="115"/>
      <c r="BO696" s="115"/>
      <c r="BP696" s="115"/>
      <c r="BQ696" s="115"/>
      <c r="BR696" s="115"/>
      <c r="BS696" s="115"/>
      <c r="BT696" s="115"/>
      <c r="BU696" s="115"/>
      <c r="BV696" s="115"/>
      <c r="BW696" s="115"/>
      <c r="BX696" s="115"/>
      <c r="BY696" s="115"/>
      <c r="BZ696" s="115"/>
      <c r="CA696" s="115"/>
      <c r="CB696" s="115"/>
      <c r="CC696" s="115"/>
      <c r="CD696" s="115"/>
      <c r="CE696" s="115"/>
      <c r="CF696" s="115"/>
      <c r="CG696" s="115"/>
      <c r="CH696" s="115"/>
      <c r="CI696" s="115"/>
      <c r="CJ696" s="115"/>
      <c r="CK696" s="115"/>
      <c r="CL696" s="115"/>
      <c r="CM696" s="115"/>
      <c r="CN696" s="115"/>
      <c r="CO696" s="115"/>
      <c r="CP696" s="115"/>
      <c r="CQ696" s="115"/>
      <c r="CR696" s="115"/>
      <c r="CS696" s="115"/>
      <c r="CT696" s="115"/>
      <c r="CU696" s="115"/>
      <c r="CV696" s="115"/>
      <c r="CW696" s="115"/>
      <c r="CX696" s="115"/>
      <c r="CY696" s="115"/>
      <c r="CZ696" s="115"/>
      <c r="DA696" s="115"/>
      <c r="DB696" s="115"/>
      <c r="DC696" s="115"/>
      <c r="DD696" s="115"/>
      <c r="DE696" s="115"/>
      <c r="DF696" s="115"/>
      <c r="DG696" s="115"/>
      <c r="DH696" s="115"/>
      <c r="DI696" s="115"/>
      <c r="DJ696" s="115"/>
      <c r="DK696" s="115"/>
      <c r="DL696" s="115"/>
      <c r="DM696" s="115"/>
      <c r="DN696" s="115"/>
      <c r="DO696" s="115"/>
      <c r="DP696" s="115"/>
      <c r="DQ696" s="115"/>
      <c r="DR696" s="115"/>
      <c r="DS696" s="115"/>
      <c r="DT696" s="115"/>
      <c r="DU696" s="115"/>
      <c r="DV696" s="115"/>
      <c r="DW696" s="115"/>
      <c r="DX696" s="115"/>
      <c r="DY696" s="115"/>
      <c r="DZ696" s="115"/>
      <c r="EA696" s="115"/>
      <c r="EB696" s="115"/>
      <c r="EC696" s="645"/>
      <c r="ED696" s="113" t="s">
        <v>1</v>
      </c>
    </row>
    <row r="697" spans="1:134" x14ac:dyDescent="0.2">
      <c r="A697" s="746" t="s">
        <v>18</v>
      </c>
      <c r="B697" s="746"/>
      <c r="C697" s="746"/>
      <c r="D697" s="746"/>
      <c r="E697" s="746"/>
      <c r="F697" s="746"/>
      <c r="G697" s="746"/>
      <c r="H697" s="746"/>
      <c r="I697" s="746"/>
      <c r="J697" s="746"/>
      <c r="K697" s="746"/>
      <c r="L697" s="746"/>
      <c r="M697" s="746"/>
      <c r="N697" s="746"/>
      <c r="O697" s="746"/>
      <c r="P697" s="746"/>
      <c r="Q697" s="746"/>
      <c r="R697" s="746"/>
      <c r="S697" s="746"/>
      <c r="T697" s="746"/>
      <c r="U697" s="746"/>
      <c r="V697" s="746"/>
      <c r="W697" s="746"/>
      <c r="X697" s="746"/>
      <c r="Y697" s="746"/>
      <c r="Z697" s="746"/>
      <c r="AA697" s="746"/>
      <c r="AB697" s="746"/>
      <c r="AC697" s="746"/>
      <c r="AD697" s="746"/>
      <c r="AE697" s="746"/>
      <c r="AF697" s="746"/>
      <c r="AG697" s="746"/>
      <c r="AH697" s="746"/>
      <c r="AI697" s="746"/>
      <c r="AJ697" s="746"/>
      <c r="AK697" s="746"/>
      <c r="AL697" s="746"/>
      <c r="AM697" s="746"/>
      <c r="AN697" s="746"/>
      <c r="AO697" s="746"/>
      <c r="AP697" s="746"/>
      <c r="AQ697" s="746"/>
      <c r="AR697" s="746"/>
      <c r="AS697" s="746"/>
      <c r="AT697" s="746"/>
      <c r="AU697" s="746"/>
      <c r="AV697" s="746"/>
      <c r="AW697" s="746"/>
      <c r="AX697" s="746"/>
      <c r="AY697" s="746"/>
      <c r="AZ697" s="746"/>
      <c r="BA697" s="746"/>
      <c r="BB697" s="746"/>
      <c r="BC697" s="746"/>
      <c r="BD697" s="746"/>
      <c r="BE697" s="746"/>
      <c r="BF697" s="746"/>
      <c r="BG697" s="746"/>
      <c r="BH697" s="746"/>
      <c r="BI697" s="746"/>
      <c r="BJ697" s="746"/>
      <c r="BK697" s="746"/>
      <c r="BL697" s="746"/>
      <c r="BM697" s="746"/>
      <c r="BN697" s="746"/>
      <c r="BO697" s="746"/>
      <c r="BP697" s="746"/>
      <c r="BQ697" s="746"/>
      <c r="BR697" s="746"/>
      <c r="BS697" s="746"/>
      <c r="BT697" s="746"/>
      <c r="BU697" s="746"/>
      <c r="BV697" s="746"/>
      <c r="BW697" s="746"/>
      <c r="BX697" s="746"/>
      <c r="BY697" s="729"/>
      <c r="BZ697" s="729"/>
      <c r="CA697" s="729"/>
      <c r="CB697" s="729"/>
      <c r="CC697" s="729"/>
      <c r="CD697" s="729"/>
      <c r="CE697" s="729"/>
      <c r="CF697" s="729"/>
      <c r="CG697" s="729"/>
      <c r="CH697" s="729"/>
      <c r="CI697" s="729"/>
      <c r="CJ697" s="729"/>
      <c r="CK697" s="729"/>
      <c r="CL697" s="729"/>
      <c r="CM697" s="729"/>
      <c r="CN697" s="729"/>
      <c r="CO697" s="729"/>
      <c r="CP697" s="729"/>
      <c r="CQ697" s="729"/>
      <c r="CR697" s="729"/>
      <c r="CS697" s="729"/>
      <c r="CT697" s="729"/>
      <c r="CU697" s="729"/>
      <c r="CV697" s="729"/>
      <c r="CW697" s="729"/>
      <c r="CX697" s="729"/>
      <c r="CY697" s="729"/>
      <c r="CZ697" s="729"/>
      <c r="DA697" s="729"/>
      <c r="DB697" s="729"/>
      <c r="DC697" s="729"/>
      <c r="DD697" s="729"/>
      <c r="DE697" s="729"/>
      <c r="DF697" s="729"/>
      <c r="DG697" s="729"/>
      <c r="DH697" s="729"/>
      <c r="DI697" s="729"/>
      <c r="DJ697" s="729"/>
      <c r="DK697" s="729"/>
      <c r="DL697" s="729"/>
      <c r="DM697" s="729"/>
      <c r="DN697" s="729"/>
      <c r="DO697" s="729"/>
      <c r="DP697" s="729"/>
      <c r="DQ697" s="729"/>
      <c r="DR697" s="729"/>
      <c r="DS697" s="729"/>
      <c r="DT697" s="729"/>
      <c r="DU697" s="729"/>
      <c r="DV697" s="729"/>
      <c r="DW697" s="729"/>
      <c r="DX697" s="729"/>
      <c r="DY697" s="729"/>
      <c r="DZ697" s="729"/>
      <c r="EA697" s="729"/>
      <c r="EB697" s="729"/>
      <c r="EC697" s="729"/>
      <c r="ED697" s="113" t="s">
        <v>1</v>
      </c>
    </row>
    <row r="698" spans="1:134" x14ac:dyDescent="0.2">
      <c r="A698" s="730" t="s">
        <v>227</v>
      </c>
      <c r="B698" s="129">
        <v>5337303</v>
      </c>
      <c r="C698" s="129">
        <v>5928574.727146714</v>
      </c>
      <c r="D698" s="129">
        <v>5220342.011460687</v>
      </c>
      <c r="E698" s="129">
        <v>8931326.3157385718</v>
      </c>
      <c r="F698" s="129">
        <v>6794675.8106614156</v>
      </c>
      <c r="G698" s="129">
        <v>5307917.5767754726</v>
      </c>
      <c r="H698" s="129">
        <v>5965095.5015817136</v>
      </c>
      <c r="I698" s="129">
        <v>6879744.2414285708</v>
      </c>
      <c r="J698" s="129">
        <v>8919662.0542857144</v>
      </c>
      <c r="K698" s="129">
        <v>10306459.287137477</v>
      </c>
      <c r="L698" s="129">
        <v>14068185.789090911</v>
      </c>
      <c r="M698" s="129">
        <v>11240365.022662601</v>
      </c>
      <c r="N698" s="129">
        <v>15132435.035363087</v>
      </c>
      <c r="O698" s="129">
        <v>16866183.354075696</v>
      </c>
      <c r="P698" s="129">
        <v>22455851.905629691</v>
      </c>
      <c r="Q698" s="129">
        <v>16856095.559604689</v>
      </c>
      <c r="R698" s="129">
        <v>11080417.401609642</v>
      </c>
      <c r="S698" s="129">
        <v>7662319.3236500174</v>
      </c>
      <c r="T698" s="129">
        <v>6399778.4638679251</v>
      </c>
      <c r="U698" s="129">
        <v>9965065.9585753586</v>
      </c>
      <c r="V698" s="129">
        <v>13759703.734462716</v>
      </c>
      <c r="W698" s="129">
        <v>12695137.866419384</v>
      </c>
      <c r="X698" s="129">
        <v>22773300.773799684</v>
      </c>
      <c r="Y698" s="129">
        <v>10260136.529428639</v>
      </c>
      <c r="Z698" s="129">
        <v>4670376.633987546</v>
      </c>
      <c r="AA698" s="129">
        <v>9538891.3959602639</v>
      </c>
      <c r="AB698" s="129">
        <v>9607592.5629407912</v>
      </c>
      <c r="AC698" s="129">
        <v>13158335.633498894</v>
      </c>
      <c r="AD698" s="129">
        <v>15181147.295739416</v>
      </c>
      <c r="AE698" s="129">
        <v>16967895.909264099</v>
      </c>
      <c r="AF698" s="129">
        <v>15324532.598110583</v>
      </c>
      <c r="AG698" s="129">
        <v>20445361.097537849</v>
      </c>
      <c r="AH698" s="129">
        <v>23184790.000057917</v>
      </c>
      <c r="AI698" s="129">
        <v>33802620.784833528</v>
      </c>
      <c r="AJ698" s="129">
        <v>27440277.834669031</v>
      </c>
      <c r="AK698" s="129">
        <v>20901426.622294001</v>
      </c>
      <c r="AL698" s="129">
        <v>17423884.703904081</v>
      </c>
      <c r="AM698" s="129">
        <v>14706730.264181044</v>
      </c>
      <c r="AN698" s="129">
        <v>27063634.189431388</v>
      </c>
      <c r="AO698" s="129">
        <v>36675106.605863512</v>
      </c>
      <c r="AP698" s="129">
        <v>46994134.556269594</v>
      </c>
      <c r="AQ698" s="129">
        <v>54991095.433349028</v>
      </c>
      <c r="AR698" s="129">
        <v>52098426.261857599</v>
      </c>
      <c r="AS698" s="129">
        <v>44383264.739341162</v>
      </c>
      <c r="AT698" s="129">
        <v>51736960.289862394</v>
      </c>
      <c r="AU698" s="129">
        <v>59141151.778395787</v>
      </c>
      <c r="AV698" s="129">
        <v>63316519.591568999</v>
      </c>
      <c r="AW698" s="129">
        <v>71132821.557473883</v>
      </c>
      <c r="AX698" s="129">
        <v>40558021.809097186</v>
      </c>
      <c r="AY698" s="129">
        <v>40382868.374712646</v>
      </c>
      <c r="AZ698" s="129">
        <v>34994119.303183272</v>
      </c>
      <c r="BA698" s="129">
        <v>32395390.870149881</v>
      </c>
      <c r="BB698" s="129">
        <v>27668216.830732856</v>
      </c>
      <c r="BC698" s="129">
        <v>15128262.127808513</v>
      </c>
      <c r="BD698" s="129">
        <v>7716858.0434657698</v>
      </c>
      <c r="BE698" s="129">
        <v>21455546.95643191</v>
      </c>
      <c r="BF698" s="129">
        <v>32043913.678336289</v>
      </c>
      <c r="BG698" s="129">
        <v>36803690.364186428</v>
      </c>
      <c r="BH698" s="129">
        <v>32717935.642737795</v>
      </c>
      <c r="BI698" s="129">
        <v>38659573.562137306</v>
      </c>
      <c r="BJ698" s="129">
        <v>0</v>
      </c>
      <c r="BK698" s="129">
        <v>0</v>
      </c>
      <c r="BL698" s="129">
        <v>0</v>
      </c>
      <c r="BM698" s="129">
        <v>0</v>
      </c>
      <c r="BN698" s="129">
        <v>0</v>
      </c>
      <c r="BO698" s="129">
        <v>0</v>
      </c>
      <c r="BP698" s="129">
        <v>0</v>
      </c>
      <c r="BQ698" s="129">
        <v>0</v>
      </c>
      <c r="BR698" s="129">
        <v>0</v>
      </c>
      <c r="BS698" s="129">
        <v>0</v>
      </c>
      <c r="BT698" s="129">
        <v>0</v>
      </c>
      <c r="BU698" s="129">
        <v>0</v>
      </c>
      <c r="BV698" s="129">
        <v>0</v>
      </c>
      <c r="BW698" s="129">
        <v>0</v>
      </c>
      <c r="BX698" s="129">
        <v>0</v>
      </c>
      <c r="BY698" s="129">
        <v>0</v>
      </c>
      <c r="BZ698" s="129">
        <v>0</v>
      </c>
      <c r="CA698" s="129">
        <v>0</v>
      </c>
      <c r="CB698" s="129">
        <v>0</v>
      </c>
      <c r="CC698" s="129">
        <v>0</v>
      </c>
      <c r="CD698" s="129">
        <v>0</v>
      </c>
      <c r="CE698" s="129">
        <v>0</v>
      </c>
      <c r="CF698" s="129">
        <v>0</v>
      </c>
      <c r="CG698" s="129">
        <v>0</v>
      </c>
      <c r="CH698" s="129">
        <v>0</v>
      </c>
      <c r="CI698" s="129">
        <v>0</v>
      </c>
      <c r="CJ698" s="129">
        <v>0</v>
      </c>
      <c r="CK698" s="129">
        <v>0</v>
      </c>
      <c r="CL698" s="129">
        <v>0</v>
      </c>
      <c r="CM698" s="129">
        <v>0</v>
      </c>
      <c r="CN698" s="129">
        <v>0</v>
      </c>
      <c r="CO698" s="129">
        <v>0</v>
      </c>
      <c r="CP698" s="129">
        <v>0</v>
      </c>
      <c r="CQ698" s="129">
        <v>0</v>
      </c>
      <c r="CR698" s="129">
        <v>0</v>
      </c>
      <c r="CS698" s="129">
        <v>0</v>
      </c>
      <c r="CT698" s="129">
        <v>0</v>
      </c>
      <c r="CU698" s="129">
        <v>0</v>
      </c>
      <c r="CV698" s="129">
        <v>0</v>
      </c>
      <c r="CW698" s="129">
        <v>0</v>
      </c>
      <c r="CX698" s="129">
        <v>0</v>
      </c>
      <c r="CY698" s="129">
        <v>0</v>
      </c>
      <c r="CZ698" s="129">
        <v>0</v>
      </c>
      <c r="DA698" s="129">
        <v>0</v>
      </c>
      <c r="DB698" s="129">
        <v>0</v>
      </c>
      <c r="DC698" s="129">
        <v>0</v>
      </c>
      <c r="DD698" s="129">
        <v>0</v>
      </c>
      <c r="DE698" s="129">
        <v>0</v>
      </c>
      <c r="DF698" s="129">
        <v>0</v>
      </c>
      <c r="DG698" s="129">
        <v>0</v>
      </c>
      <c r="DH698" s="129">
        <v>0</v>
      </c>
      <c r="DI698" s="129">
        <v>0</v>
      </c>
      <c r="DJ698" s="129">
        <v>0</v>
      </c>
      <c r="DK698" s="129">
        <v>0</v>
      </c>
      <c r="DL698" s="129">
        <v>0</v>
      </c>
      <c r="DM698" s="129">
        <v>0</v>
      </c>
      <c r="DN698" s="129">
        <v>0</v>
      </c>
      <c r="DO698" s="129">
        <v>0</v>
      </c>
      <c r="DP698" s="129">
        <v>0</v>
      </c>
      <c r="DQ698" s="129">
        <v>0</v>
      </c>
      <c r="DR698" s="115"/>
      <c r="DS698" s="115"/>
      <c r="DT698" s="115"/>
      <c r="DU698" s="115"/>
      <c r="DV698" s="115"/>
      <c r="DW698" s="115"/>
      <c r="DX698" s="115"/>
      <c r="DY698" s="115"/>
      <c r="DZ698" s="115"/>
      <c r="EA698" s="115"/>
      <c r="EB698" s="115"/>
      <c r="EC698" s="645"/>
      <c r="ED698" s="113" t="s">
        <v>1</v>
      </c>
    </row>
    <row r="699" spans="1:134" x14ac:dyDescent="0.2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115"/>
      <c r="AM699" s="115"/>
      <c r="AN699" s="115"/>
      <c r="AO699" s="115"/>
      <c r="AP699" s="115"/>
      <c r="AQ699" s="115"/>
      <c r="AR699" s="115"/>
      <c r="AS699" s="115"/>
      <c r="AT699" s="115"/>
      <c r="AU699" s="115"/>
      <c r="AV699" s="115"/>
      <c r="AW699" s="115"/>
      <c r="AX699" s="115"/>
      <c r="AY699" s="115"/>
      <c r="AZ699" s="115"/>
      <c r="BA699" s="115"/>
      <c r="BB699" s="115"/>
      <c r="BC699" s="115"/>
      <c r="BD699" s="115"/>
      <c r="BE699" s="115"/>
      <c r="BF699" s="115"/>
      <c r="BG699" s="115"/>
      <c r="BH699" s="115"/>
      <c r="BI699" s="115"/>
      <c r="BJ699" s="115"/>
      <c r="BK699" s="115"/>
      <c r="BL699" s="115"/>
      <c r="BM699" s="115"/>
      <c r="BN699" s="115"/>
      <c r="BO699" s="115"/>
      <c r="BP699" s="115"/>
      <c r="BQ699" s="115"/>
      <c r="BR699" s="115"/>
      <c r="BS699" s="115"/>
      <c r="BT699" s="115"/>
      <c r="BU699" s="115"/>
      <c r="BV699" s="115"/>
      <c r="BW699" s="115"/>
      <c r="BX699" s="115"/>
      <c r="BY699" s="115"/>
      <c r="BZ699" s="115"/>
      <c r="CA699" s="115"/>
      <c r="CB699" s="115"/>
      <c r="CC699" s="115"/>
      <c r="CD699" s="115"/>
      <c r="CE699" s="115"/>
      <c r="CF699" s="115"/>
      <c r="CG699" s="115"/>
      <c r="CH699" s="115"/>
      <c r="CI699" s="115"/>
      <c r="CJ699" s="115"/>
      <c r="CK699" s="115"/>
      <c r="CL699" s="115"/>
      <c r="CM699" s="115"/>
      <c r="CN699" s="115"/>
      <c r="CO699" s="115"/>
      <c r="CP699" s="115"/>
      <c r="CQ699" s="115"/>
      <c r="CR699" s="115"/>
      <c r="CS699" s="115"/>
      <c r="CT699" s="115"/>
      <c r="CU699" s="115"/>
      <c r="CV699" s="115"/>
      <c r="CW699" s="115"/>
      <c r="CX699" s="115"/>
      <c r="CY699" s="115"/>
      <c r="CZ699" s="115"/>
      <c r="DA699" s="115"/>
      <c r="DB699" s="115"/>
      <c r="DC699" s="115"/>
      <c r="DD699" s="115"/>
      <c r="DE699" s="115"/>
      <c r="DF699" s="115"/>
      <c r="DG699" s="115"/>
      <c r="DH699" s="115"/>
      <c r="DI699" s="115"/>
      <c r="DJ699" s="115"/>
      <c r="DK699" s="115"/>
      <c r="DL699" s="115"/>
      <c r="DM699" s="115"/>
      <c r="DN699" s="115"/>
      <c r="DO699" s="115"/>
      <c r="DP699" s="115"/>
      <c r="DQ699" s="115"/>
      <c r="DR699" s="115"/>
      <c r="DS699" s="115"/>
      <c r="DT699" s="115"/>
      <c r="DU699" s="115"/>
      <c r="DV699" s="115"/>
      <c r="DW699" s="115"/>
      <c r="DX699" s="115"/>
      <c r="DY699" s="115"/>
      <c r="DZ699" s="115"/>
      <c r="EA699" s="115"/>
      <c r="EB699" s="115"/>
      <c r="EC699" s="645"/>
      <c r="ED699" s="113" t="s">
        <v>1</v>
      </c>
    </row>
    <row r="700" spans="1:134" x14ac:dyDescent="0.2">
      <c r="A700" s="115" t="s">
        <v>19</v>
      </c>
      <c r="B700" s="129">
        <v>4433468</v>
      </c>
      <c r="C700" s="129">
        <v>4778197.0128610004</v>
      </c>
      <c r="D700" s="129">
        <v>4094665.7257464025</v>
      </c>
      <c r="E700" s="129">
        <v>7338617.74431</v>
      </c>
      <c r="F700" s="129">
        <v>5203386.5249471301</v>
      </c>
      <c r="G700" s="129">
        <v>3970987.0053468994</v>
      </c>
      <c r="H700" s="129">
        <v>4667509.7872959999</v>
      </c>
      <c r="I700" s="129">
        <v>5575253.6699999999</v>
      </c>
      <c r="J700" s="129">
        <v>6924003.3399999999</v>
      </c>
      <c r="K700" s="129">
        <v>8221755.2067620009</v>
      </c>
      <c r="L700" s="129">
        <v>12808208.76</v>
      </c>
      <c r="M700" s="129">
        <v>21405014.850000001</v>
      </c>
      <c r="N700" s="129">
        <v>29616526.640000001</v>
      </c>
      <c r="O700" s="129">
        <v>33177658.939999998</v>
      </c>
      <c r="P700" s="129">
        <v>30848217.359999999</v>
      </c>
      <c r="Q700" s="129">
        <v>39528959.659999996</v>
      </c>
      <c r="R700" s="129">
        <v>23959877.34</v>
      </c>
      <c r="S700" s="129">
        <v>33367554.650000002</v>
      </c>
      <c r="T700" s="129">
        <v>25337149.84</v>
      </c>
      <c r="U700" s="129">
        <v>12111449.299999999</v>
      </c>
      <c r="V700" s="129">
        <v>20612095.087116737</v>
      </c>
      <c r="W700" s="129">
        <v>26886974.789999995</v>
      </c>
      <c r="X700" s="129">
        <v>15360738.810199983</v>
      </c>
      <c r="Y700" s="129">
        <v>16947057.980688505</v>
      </c>
      <c r="Z700" s="129">
        <v>-1975529.5399999996</v>
      </c>
      <c r="AA700" s="129">
        <v>20768164.170199998</v>
      </c>
      <c r="AB700" s="129">
        <v>17514016.959171943</v>
      </c>
      <c r="AC700" s="129">
        <v>15160189.0601</v>
      </c>
      <c r="AD700" s="129">
        <v>18086610.080772884</v>
      </c>
      <c r="AE700" s="129">
        <v>24038704.756500103</v>
      </c>
      <c r="AF700" s="129">
        <v>30165686.034059554</v>
      </c>
      <c r="AG700" s="129">
        <v>36774244.077100001</v>
      </c>
      <c r="AH700" s="129">
        <v>62793486.4586</v>
      </c>
      <c r="AI700" s="129">
        <v>73999058.826678008</v>
      </c>
      <c r="AJ700" s="129">
        <v>58638559.067065999</v>
      </c>
      <c r="AK700" s="129">
        <v>58697569.640785202</v>
      </c>
      <c r="AL700" s="129">
        <v>39635468.322201103</v>
      </c>
      <c r="AM700" s="129">
        <v>17475628.143549629</v>
      </c>
      <c r="AN700" s="129">
        <v>39361623.50632377</v>
      </c>
      <c r="AO700" s="129">
        <v>48438354.567945883</v>
      </c>
      <c r="AP700" s="129">
        <v>57713364.591474384</v>
      </c>
      <c r="AQ700" s="129">
        <v>75223113.217205897</v>
      </c>
      <c r="AR700" s="129">
        <v>80426413.441136509</v>
      </c>
      <c r="AS700" s="129">
        <v>103565743.34786069</v>
      </c>
      <c r="AT700" s="129">
        <v>121849466.1349557</v>
      </c>
      <c r="AU700" s="129">
        <v>131797711.2717509</v>
      </c>
      <c r="AV700" s="129">
        <v>132354354.68684545</v>
      </c>
      <c r="AW700" s="129">
        <v>139665625.82201678</v>
      </c>
      <c r="AX700" s="129">
        <v>105425265.69421454</v>
      </c>
      <c r="AY700" s="129">
        <v>128581227.43097231</v>
      </c>
      <c r="AZ700" s="129">
        <v>150161413.79118687</v>
      </c>
      <c r="BA700" s="129">
        <v>148987092.92343998</v>
      </c>
      <c r="BB700" s="129">
        <v>145848250.23640007</v>
      </c>
      <c r="BC700" s="129">
        <v>143019722.90529999</v>
      </c>
      <c r="BD700" s="129">
        <v>172837550.93060002</v>
      </c>
      <c r="BE700" s="129">
        <v>183096704.13874027</v>
      </c>
      <c r="BF700" s="129">
        <v>214056563.23130798</v>
      </c>
      <c r="BG700" s="129">
        <v>243410287.26579988</v>
      </c>
      <c r="BH700" s="129">
        <v>256721886.17340007</v>
      </c>
      <c r="BI700" s="129">
        <v>360985968.8348</v>
      </c>
      <c r="BJ700" s="129">
        <v>367971727.6573</v>
      </c>
      <c r="BK700" s="129">
        <v>358241321.53200006</v>
      </c>
      <c r="BL700" s="129">
        <v>371795256.33626997</v>
      </c>
      <c r="BM700" s="129">
        <v>299732064.90023077</v>
      </c>
      <c r="BN700" s="129">
        <v>307809481.16316479</v>
      </c>
      <c r="BO700" s="129">
        <v>326029121.71422672</v>
      </c>
      <c r="BP700" s="129">
        <v>491090009.86796999</v>
      </c>
      <c r="BQ700" s="129">
        <v>396374322.61050999</v>
      </c>
      <c r="BR700" s="129">
        <v>350218275.90948999</v>
      </c>
      <c r="BS700" s="129">
        <v>321197281.53999996</v>
      </c>
      <c r="BT700" s="129">
        <v>249670018.48000002</v>
      </c>
      <c r="BU700" s="129">
        <v>329431947.07583773</v>
      </c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29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  <c r="DK700" s="129"/>
      <c r="DL700" s="129"/>
      <c r="DM700" s="129"/>
      <c r="DN700" s="129"/>
      <c r="DO700" s="129"/>
      <c r="DP700" s="129"/>
      <c r="DQ700" s="129"/>
      <c r="DR700" s="115"/>
      <c r="DS700" s="115"/>
      <c r="DT700" s="115"/>
      <c r="DU700" s="115"/>
      <c r="DV700" s="115"/>
      <c r="DW700" s="115"/>
      <c r="DX700" s="115"/>
      <c r="DY700" s="115"/>
      <c r="DZ700" s="115"/>
      <c r="EA700" s="115"/>
      <c r="EB700" s="115"/>
      <c r="EC700" s="645"/>
      <c r="ED700" s="113" t="s">
        <v>1</v>
      </c>
    </row>
    <row r="701" spans="1:134" x14ac:dyDescent="0.2">
      <c r="A701" s="115" t="s">
        <v>142</v>
      </c>
      <c r="B701" s="129">
        <v>377851</v>
      </c>
      <c r="C701" s="129">
        <v>538764</v>
      </c>
      <c r="D701" s="129">
        <v>465203</v>
      </c>
      <c r="E701" s="129">
        <v>725484</v>
      </c>
      <c r="F701" s="129">
        <v>677591</v>
      </c>
      <c r="G701" s="129">
        <v>569051</v>
      </c>
      <c r="H701" s="129">
        <v>470156</v>
      </c>
      <c r="I701" s="129">
        <v>387114</v>
      </c>
      <c r="J701" s="129">
        <v>765273</v>
      </c>
      <c r="K701" s="129">
        <v>1177636</v>
      </c>
      <c r="L701" s="129">
        <v>2105218</v>
      </c>
      <c r="M701" s="129">
        <v>2208084</v>
      </c>
      <c r="N701" s="129">
        <v>3780550</v>
      </c>
      <c r="O701" s="129">
        <v>4234273</v>
      </c>
      <c r="P701" s="129">
        <v>3421876.9999999995</v>
      </c>
      <c r="Q701" s="129">
        <v>6015878</v>
      </c>
      <c r="R701" s="129">
        <v>4773111</v>
      </c>
      <c r="S701" s="129">
        <v>5047044</v>
      </c>
      <c r="T701" s="129">
        <v>4720310</v>
      </c>
      <c r="U701" s="129">
        <v>3129408.5</v>
      </c>
      <c r="V701" s="129">
        <v>3747918</v>
      </c>
      <c r="W701" s="129">
        <v>4635342</v>
      </c>
      <c r="X701" s="129">
        <v>5529029</v>
      </c>
      <c r="Y701" s="129">
        <v>3743657</v>
      </c>
      <c r="Z701" s="129">
        <v>12250</v>
      </c>
      <c r="AA701" s="129">
        <v>3319131</v>
      </c>
      <c r="AB701" s="129">
        <v>2419845.5180000011</v>
      </c>
      <c r="AC701" s="129">
        <v>2006835.45</v>
      </c>
      <c r="AD701" s="129">
        <v>2835144.6879999996</v>
      </c>
      <c r="AE701" s="129">
        <v>3490111.16599999</v>
      </c>
      <c r="AF701" s="129">
        <v>4637374.2320000101</v>
      </c>
      <c r="AG701" s="129">
        <v>5064458.4591399999</v>
      </c>
      <c r="AH701" s="129">
        <v>6446932.0291259987</v>
      </c>
      <c r="AI701" s="129">
        <v>8378565.6785779893</v>
      </c>
      <c r="AJ701" s="129">
        <v>6517863.7772064349</v>
      </c>
      <c r="AK701" s="129">
        <v>6945722.9657719787</v>
      </c>
      <c r="AL701" s="129">
        <v>4999094.0483905207</v>
      </c>
      <c r="AM701" s="129">
        <v>2972348.7499999986</v>
      </c>
      <c r="AN701" s="129">
        <v>7389283.3088199869</v>
      </c>
      <c r="AO701" s="129">
        <v>9570299.3824964296</v>
      </c>
      <c r="AP701" s="129">
        <v>11712436</v>
      </c>
      <c r="AQ701" s="129">
        <v>12437316.583389269</v>
      </c>
      <c r="AR701" s="129">
        <v>13505652.776477478</v>
      </c>
      <c r="AS701" s="129">
        <v>14022094.919115119</v>
      </c>
      <c r="AT701" s="129">
        <v>18500809.964234572</v>
      </c>
      <c r="AU701" s="129">
        <v>22862051.64481011</v>
      </c>
      <c r="AV701" s="129">
        <v>25270854.475474488</v>
      </c>
      <c r="AW701" s="129">
        <v>22253159</v>
      </c>
      <c r="AX701" s="129">
        <v>14391748.21804028</v>
      </c>
      <c r="AY701" s="129">
        <v>17744161.64410999</v>
      </c>
      <c r="AZ701" s="129">
        <v>21571435.088930853</v>
      </c>
      <c r="BA701" s="129">
        <v>18152163.436742038</v>
      </c>
      <c r="BB701" s="129">
        <v>14627472.312272875</v>
      </c>
      <c r="BC701" s="129">
        <v>11470159.570298307</v>
      </c>
      <c r="BD701" s="129">
        <v>10772853.030825397</v>
      </c>
      <c r="BE701" s="129">
        <v>10341103.521090515</v>
      </c>
      <c r="BF701" s="129">
        <v>13243167.486074643</v>
      </c>
      <c r="BG701" s="129">
        <v>11601829.809111852</v>
      </c>
      <c r="BH701" s="129">
        <v>12065815.858716924</v>
      </c>
      <c r="BI701" s="129">
        <v>19320037.15510004</v>
      </c>
      <c r="BJ701" s="129">
        <v>17292959.059576381</v>
      </c>
      <c r="BK701" s="129">
        <v>17471180.760339089</v>
      </c>
      <c r="BL701" s="129">
        <v>18559100.170794554</v>
      </c>
      <c r="BM701" s="129">
        <v>12771418.813390527</v>
      </c>
      <c r="BN701" s="129">
        <v>17515529.09314356</v>
      </c>
      <c r="BO701" s="129">
        <v>18896997.472311616</v>
      </c>
      <c r="BP701" s="129">
        <v>26290364.851186283</v>
      </c>
      <c r="BQ701" s="129">
        <v>23533322.439152658</v>
      </c>
      <c r="BR701" s="129">
        <v>22946479.806102492</v>
      </c>
      <c r="BS701" s="129">
        <v>25679931.70915268</v>
      </c>
      <c r="BT701" s="129">
        <v>21456790.949999988</v>
      </c>
      <c r="BU701" s="129">
        <v>30067777.906779662</v>
      </c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29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  <c r="DK701" s="129"/>
      <c r="DL701" s="129"/>
      <c r="DM701" s="129"/>
      <c r="DN701" s="129"/>
      <c r="DO701" s="129"/>
      <c r="DP701" s="129"/>
      <c r="DQ701" s="129"/>
      <c r="DR701" s="115"/>
      <c r="DS701" s="115"/>
      <c r="DT701" s="115"/>
      <c r="DU701" s="115"/>
      <c r="DV701" s="115"/>
      <c r="DW701" s="115"/>
      <c r="DX701" s="115"/>
      <c r="DY701" s="115"/>
      <c r="DZ701" s="115"/>
      <c r="EA701" s="115"/>
      <c r="EB701" s="115"/>
      <c r="EC701" s="645"/>
      <c r="ED701" s="113" t="s">
        <v>1</v>
      </c>
    </row>
    <row r="702" spans="1:134" x14ac:dyDescent="0.2">
      <c r="A702" s="115" t="s">
        <v>22</v>
      </c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>
        <v>0</v>
      </c>
      <c r="AM702" s="129">
        <v>0</v>
      </c>
      <c r="AN702" s="129">
        <v>0</v>
      </c>
      <c r="AO702" s="129">
        <v>0</v>
      </c>
      <c r="AP702" s="129">
        <v>0</v>
      </c>
      <c r="AQ702" s="129">
        <v>0</v>
      </c>
      <c r="AR702" s="129">
        <v>0</v>
      </c>
      <c r="AS702" s="129">
        <v>0</v>
      </c>
      <c r="AT702" s="129">
        <v>0</v>
      </c>
      <c r="AU702" s="129">
        <v>0</v>
      </c>
      <c r="AV702" s="129">
        <v>0</v>
      </c>
      <c r="AW702" s="129">
        <v>0</v>
      </c>
      <c r="AX702" s="129">
        <v>0</v>
      </c>
      <c r="AY702" s="129">
        <v>0</v>
      </c>
      <c r="AZ702" s="129">
        <v>0</v>
      </c>
      <c r="BA702" s="129">
        <v>0</v>
      </c>
      <c r="BB702" s="129">
        <v>0</v>
      </c>
      <c r="BC702" s="129">
        <v>1496646.1176471498</v>
      </c>
      <c r="BD702" s="129">
        <v>1435405.2648992809</v>
      </c>
      <c r="BE702" s="129">
        <v>1269761.151508328</v>
      </c>
      <c r="BF702" s="129">
        <v>1748574.1599772102</v>
      </c>
      <c r="BG702" s="129">
        <v>1348529.0236136098</v>
      </c>
      <c r="BH702" s="129">
        <v>2852889.1848030975</v>
      </c>
      <c r="BI702" s="129">
        <v>3119639.6339222793</v>
      </c>
      <c r="BJ702" s="129">
        <v>4263510.2962688562</v>
      </c>
      <c r="BK702" s="129">
        <v>6046784.4317372302</v>
      </c>
      <c r="BL702" s="129">
        <v>6866565.8903574022</v>
      </c>
      <c r="BM702" s="129">
        <v>5924113.720032189</v>
      </c>
      <c r="BN702" s="129">
        <v>6253429.6199570037</v>
      </c>
      <c r="BO702" s="129">
        <v>3018612.2131831255</v>
      </c>
      <c r="BP702" s="129">
        <v>7044450.8657132518</v>
      </c>
      <c r="BQ702" s="129">
        <v>4932368.603089652</v>
      </c>
      <c r="BR702" s="129">
        <v>3778087.903634531</v>
      </c>
      <c r="BS702" s="129">
        <v>4527050.7201855257</v>
      </c>
      <c r="BT702" s="129">
        <v>3189905.8978852797</v>
      </c>
      <c r="BU702" s="129">
        <v>3929792.1920057572</v>
      </c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29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  <c r="DK702" s="129"/>
      <c r="DL702" s="129"/>
      <c r="DM702" s="129"/>
      <c r="DN702" s="129"/>
      <c r="DO702" s="129"/>
      <c r="DP702" s="129"/>
      <c r="DQ702" s="129"/>
      <c r="DR702" s="115"/>
      <c r="DS702" s="115"/>
      <c r="DT702" s="115"/>
      <c r="DU702" s="115"/>
      <c r="DV702" s="115"/>
      <c r="DW702" s="115"/>
      <c r="DX702" s="115"/>
      <c r="DY702" s="115"/>
      <c r="DZ702" s="115"/>
      <c r="EA702" s="115"/>
      <c r="EB702" s="115"/>
      <c r="EC702" s="645"/>
      <c r="ED702" s="113" t="s">
        <v>1</v>
      </c>
    </row>
    <row r="703" spans="1:134" x14ac:dyDescent="0.2">
      <c r="A703" s="115" t="s">
        <v>36</v>
      </c>
      <c r="B703" s="129">
        <v>58190</v>
      </c>
      <c r="C703" s="129">
        <v>60575</v>
      </c>
      <c r="D703" s="129">
        <v>53735</v>
      </c>
      <c r="E703" s="129">
        <v>81575</v>
      </c>
      <c r="F703" s="129">
        <v>108086</v>
      </c>
      <c r="G703" s="129">
        <v>106167</v>
      </c>
      <c r="H703" s="129">
        <v>112852</v>
      </c>
      <c r="I703" s="129">
        <v>127342</v>
      </c>
      <c r="J703" s="129">
        <v>153802</v>
      </c>
      <c r="K703" s="129">
        <v>160957</v>
      </c>
      <c r="L703" s="129">
        <v>227457.99999999997</v>
      </c>
      <c r="M703" s="129">
        <v>259544</v>
      </c>
      <c r="N703" s="129">
        <v>333898</v>
      </c>
      <c r="O703" s="129">
        <v>389283</v>
      </c>
      <c r="P703" s="129">
        <v>420658</v>
      </c>
      <c r="Q703" s="129">
        <v>463514.00000000006</v>
      </c>
      <c r="R703" s="129">
        <v>361563</v>
      </c>
      <c r="S703" s="129">
        <v>443576</v>
      </c>
      <c r="T703" s="129">
        <v>455756</v>
      </c>
      <c r="U703" s="129">
        <v>370240</v>
      </c>
      <c r="V703" s="129">
        <v>379569</v>
      </c>
      <c r="W703" s="129">
        <v>411644</v>
      </c>
      <c r="X703" s="129">
        <v>399976</v>
      </c>
      <c r="Y703" s="129">
        <v>358662</v>
      </c>
      <c r="Z703" s="129">
        <v>144106</v>
      </c>
      <c r="AA703" s="129">
        <v>313337</v>
      </c>
      <c r="AB703" s="129">
        <v>258983</v>
      </c>
      <c r="AC703" s="129">
        <v>276740</v>
      </c>
      <c r="AD703" s="129">
        <v>308016</v>
      </c>
      <c r="AE703" s="129">
        <v>356265</v>
      </c>
      <c r="AF703" s="129">
        <v>336926.99999999994</v>
      </c>
      <c r="AG703" s="129">
        <v>423757</v>
      </c>
      <c r="AH703" s="129">
        <v>623807</v>
      </c>
      <c r="AI703" s="129">
        <v>648195</v>
      </c>
      <c r="AJ703" s="129">
        <v>552009</v>
      </c>
      <c r="AK703" s="129">
        <v>591759</v>
      </c>
      <c r="AL703" s="129">
        <v>398344</v>
      </c>
      <c r="AM703" s="129">
        <v>263151</v>
      </c>
      <c r="AN703" s="129">
        <v>529384</v>
      </c>
      <c r="AO703" s="129">
        <v>574609</v>
      </c>
      <c r="AP703" s="129">
        <v>646444</v>
      </c>
      <c r="AQ703" s="129">
        <v>791709.24</v>
      </c>
      <c r="AR703" s="129">
        <v>1005699</v>
      </c>
      <c r="AS703" s="129">
        <v>1148985</v>
      </c>
      <c r="AT703" s="129">
        <v>1153609</v>
      </c>
      <c r="AU703" s="129">
        <v>1124235</v>
      </c>
      <c r="AV703" s="129">
        <v>1058445</v>
      </c>
      <c r="AW703" s="129">
        <v>1161675</v>
      </c>
      <c r="AX703" s="129">
        <v>877263.47839593329</v>
      </c>
      <c r="AY703" s="129">
        <v>1186695</v>
      </c>
      <c r="AZ703" s="129">
        <v>859556</v>
      </c>
      <c r="BA703" s="129">
        <v>939567</v>
      </c>
      <c r="BB703" s="129">
        <v>899484</v>
      </c>
      <c r="BC703" s="129">
        <v>868275</v>
      </c>
      <c r="BD703" s="129">
        <v>854905</v>
      </c>
      <c r="BE703" s="129">
        <v>819263</v>
      </c>
      <c r="BF703" s="129">
        <v>928550</v>
      </c>
      <c r="BG703" s="129">
        <v>967849</v>
      </c>
      <c r="BH703" s="129">
        <v>989744</v>
      </c>
      <c r="BI703" s="129">
        <v>1243377</v>
      </c>
      <c r="BJ703" s="129">
        <v>1103600</v>
      </c>
      <c r="BK703" s="129">
        <v>1185895</v>
      </c>
      <c r="BL703" s="129">
        <v>1325725</v>
      </c>
      <c r="BM703" s="129">
        <v>1046830</v>
      </c>
      <c r="BN703" s="129">
        <v>1137325</v>
      </c>
      <c r="BO703" s="129">
        <v>1112565</v>
      </c>
      <c r="BP703" s="129">
        <v>1393620</v>
      </c>
      <c r="BQ703" s="129">
        <v>1260595</v>
      </c>
      <c r="BR703" s="129">
        <v>1126985</v>
      </c>
      <c r="BS703" s="129">
        <v>1089585</v>
      </c>
      <c r="BT703" s="129">
        <v>849290</v>
      </c>
      <c r="BU703" s="129">
        <v>1166165</v>
      </c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29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  <c r="DK703" s="129"/>
      <c r="DL703" s="129"/>
      <c r="DM703" s="129"/>
      <c r="DN703" s="129"/>
      <c r="DO703" s="129"/>
      <c r="DP703" s="129"/>
      <c r="DQ703" s="129"/>
      <c r="DR703" s="115"/>
      <c r="DS703" s="115"/>
      <c r="DT703" s="115"/>
      <c r="DU703" s="115"/>
      <c r="DV703" s="115"/>
      <c r="DW703" s="115"/>
      <c r="DX703" s="115"/>
      <c r="DY703" s="115"/>
      <c r="DZ703" s="115"/>
      <c r="EA703" s="115"/>
      <c r="EB703" s="115"/>
      <c r="EC703" s="645"/>
      <c r="ED703" s="113" t="s">
        <v>1</v>
      </c>
    </row>
    <row r="704" spans="1:134" x14ac:dyDescent="0.2">
      <c r="A704" s="115" t="s">
        <v>24</v>
      </c>
      <c r="B704" s="129">
        <v>67915</v>
      </c>
      <c r="C704" s="129">
        <v>122434</v>
      </c>
      <c r="D704" s="129">
        <v>165989</v>
      </c>
      <c r="E704" s="129">
        <v>263384</v>
      </c>
      <c r="F704" s="129">
        <v>274412</v>
      </c>
      <c r="G704" s="129">
        <v>147481</v>
      </c>
      <c r="H704" s="129">
        <v>236750</v>
      </c>
      <c r="I704" s="129">
        <v>280324</v>
      </c>
      <c r="J704" s="129">
        <v>213596</v>
      </c>
      <c r="K704" s="129">
        <v>241100</v>
      </c>
      <c r="L704" s="129">
        <v>328789</v>
      </c>
      <c r="M704" s="129">
        <v>419146</v>
      </c>
      <c r="N704" s="129">
        <v>562291</v>
      </c>
      <c r="O704" s="129">
        <v>643403</v>
      </c>
      <c r="P704" s="129">
        <v>903742</v>
      </c>
      <c r="Q704" s="129">
        <v>1024730</v>
      </c>
      <c r="R704" s="129">
        <v>598109</v>
      </c>
      <c r="S704" s="129">
        <v>673985</v>
      </c>
      <c r="T704" s="129">
        <v>1159677</v>
      </c>
      <c r="U704" s="129">
        <v>574055</v>
      </c>
      <c r="V704" s="129">
        <v>554242.71619945392</v>
      </c>
      <c r="W704" s="129">
        <v>636335</v>
      </c>
      <c r="X704" s="129">
        <v>613319</v>
      </c>
      <c r="Y704" s="129">
        <v>664582.96834049909</v>
      </c>
      <c r="Z704" s="129">
        <v>373926.10982087604</v>
      </c>
      <c r="AA704" s="129">
        <v>519653</v>
      </c>
      <c r="AB704" s="129">
        <v>348842.99999999988</v>
      </c>
      <c r="AC704" s="129">
        <v>935817</v>
      </c>
      <c r="AD704" s="129">
        <v>1439255</v>
      </c>
      <c r="AE704" s="129">
        <v>1534895</v>
      </c>
      <c r="AF704" s="129">
        <v>1407817.0000000002</v>
      </c>
      <c r="AG704" s="129">
        <v>1622168</v>
      </c>
      <c r="AH704" s="129">
        <v>2863501</v>
      </c>
      <c r="AI704" s="129">
        <v>2623373</v>
      </c>
      <c r="AJ704" s="129">
        <v>1723566</v>
      </c>
      <c r="AK704" s="129">
        <v>1770088</v>
      </c>
      <c r="AL704" s="129">
        <v>1076266</v>
      </c>
      <c r="AM704" s="129">
        <v>425353</v>
      </c>
      <c r="AN704" s="129">
        <v>1127387</v>
      </c>
      <c r="AO704" s="129">
        <v>1707849.59</v>
      </c>
      <c r="AP704" s="129">
        <v>1980440.5100000002</v>
      </c>
      <c r="AQ704" s="129">
        <v>2746506.0334705329</v>
      </c>
      <c r="AR704" s="129">
        <v>3001655.0000000005</v>
      </c>
      <c r="AS704" s="129">
        <v>2893783.4402906364</v>
      </c>
      <c r="AT704" s="129">
        <v>3544029.6339350073</v>
      </c>
      <c r="AU704" s="129">
        <v>3721044.5640194491</v>
      </c>
      <c r="AV704" s="129">
        <v>3798842.2913846849</v>
      </c>
      <c r="AW704" s="129">
        <v>3682291.6224308219</v>
      </c>
      <c r="AX704" s="129">
        <v>3488841.0844155867</v>
      </c>
      <c r="AY704" s="129">
        <v>3971164.5720668253</v>
      </c>
      <c r="AZ704" s="129">
        <v>3715498.535967797</v>
      </c>
      <c r="BA704" s="129">
        <v>3892262.9031666359</v>
      </c>
      <c r="BB704" s="129">
        <v>3875840.031627466</v>
      </c>
      <c r="BC704" s="129">
        <v>4446721.1192941526</v>
      </c>
      <c r="BD704" s="129">
        <v>4425700.1161447242</v>
      </c>
      <c r="BE704" s="129">
        <v>4165948.5409571859</v>
      </c>
      <c r="BF704" s="129">
        <v>3861197.8204323938</v>
      </c>
      <c r="BG704" s="129">
        <v>3798023.0618872792</v>
      </c>
      <c r="BH704" s="129">
        <v>4104681.800424967</v>
      </c>
      <c r="BI704" s="129">
        <v>5425350.5088297017</v>
      </c>
      <c r="BJ704" s="129">
        <v>10779807.881495288</v>
      </c>
      <c r="BK704" s="129">
        <v>9996999.8092921749</v>
      </c>
      <c r="BL704" s="129">
        <v>8656648.0830730349</v>
      </c>
      <c r="BM704" s="129">
        <v>7121986.5190046923</v>
      </c>
      <c r="BN704" s="129">
        <v>7540523.1792429909</v>
      </c>
      <c r="BO704" s="129">
        <v>7522225.5584548078</v>
      </c>
      <c r="BP704" s="129">
        <v>8453527.0511910655</v>
      </c>
      <c r="BQ704" s="129">
        <v>9167762.9297452588</v>
      </c>
      <c r="BR704" s="129">
        <v>7043824.4586025495</v>
      </c>
      <c r="BS704" s="129">
        <v>6264547.3782219719</v>
      </c>
      <c r="BT704" s="129">
        <v>6075968</v>
      </c>
      <c r="BU704" s="129">
        <v>6210361.3433977067</v>
      </c>
      <c r="BV704" s="129"/>
      <c r="BW704" s="129"/>
      <c r="BX704" s="129"/>
      <c r="BY704" s="129"/>
      <c r="BZ704" s="129"/>
      <c r="CA704" s="129"/>
      <c r="CB704" s="129"/>
      <c r="CC704" s="129"/>
      <c r="CD704" s="129"/>
      <c r="CE704" s="129"/>
      <c r="CF704" s="129"/>
      <c r="CG704" s="129"/>
      <c r="CH704" s="129"/>
      <c r="CI704" s="129"/>
      <c r="CJ704" s="129"/>
      <c r="CK704" s="129"/>
      <c r="CL704" s="129"/>
      <c r="CM704" s="129"/>
      <c r="CN704" s="129"/>
      <c r="CO704" s="129"/>
      <c r="CP704" s="129"/>
      <c r="CQ704" s="129"/>
      <c r="CR704" s="129"/>
      <c r="CS704" s="129"/>
      <c r="CT704" s="129"/>
      <c r="CU704" s="129"/>
      <c r="CV704" s="129"/>
      <c r="CW704" s="129"/>
      <c r="CX704" s="129"/>
      <c r="CY704" s="129"/>
      <c r="CZ704" s="129"/>
      <c r="DA704" s="129"/>
      <c r="DB704" s="129"/>
      <c r="DC704" s="129"/>
      <c r="DD704" s="129"/>
      <c r="DE704" s="129"/>
      <c r="DF704" s="129"/>
      <c r="DG704" s="129"/>
      <c r="DH704" s="129"/>
      <c r="DI704" s="129"/>
      <c r="DJ704" s="129"/>
      <c r="DK704" s="129"/>
      <c r="DL704" s="129"/>
      <c r="DM704" s="129"/>
      <c r="DN704" s="129"/>
      <c r="DO704" s="129"/>
      <c r="DP704" s="129"/>
      <c r="DQ704" s="129"/>
      <c r="DR704" s="115"/>
      <c r="DS704" s="115"/>
      <c r="DT704" s="115"/>
      <c r="DU704" s="115"/>
      <c r="DV704" s="115"/>
      <c r="DW704" s="115"/>
      <c r="DX704" s="115"/>
      <c r="DY704" s="115"/>
      <c r="DZ704" s="115"/>
      <c r="EA704" s="115"/>
      <c r="EB704" s="115"/>
      <c r="EC704" s="645"/>
      <c r="ED704" s="113" t="s">
        <v>1</v>
      </c>
    </row>
    <row r="705" spans="1:134" x14ac:dyDescent="0.2">
      <c r="A705" s="115" t="s">
        <v>25</v>
      </c>
      <c r="B705" s="129">
        <v>244948.285714286</v>
      </c>
      <c r="C705" s="129">
        <v>272924</v>
      </c>
      <c r="D705" s="129">
        <v>284318.57142857101</v>
      </c>
      <c r="E705" s="129">
        <v>364083.85714285698</v>
      </c>
      <c r="F705" s="129">
        <v>375896.14285714302</v>
      </c>
      <c r="G705" s="129">
        <v>363984.28571428597</v>
      </c>
      <c r="H705" s="129">
        <v>317753.71428571403</v>
      </c>
      <c r="I705" s="129">
        <v>333520.57142857101</v>
      </c>
      <c r="J705" s="129">
        <v>368816.28571428597</v>
      </c>
      <c r="K705" s="129">
        <v>473870.14285714302</v>
      </c>
      <c r="L705" s="129">
        <v>708903</v>
      </c>
      <c r="M705" s="129">
        <v>943631.00000000012</v>
      </c>
      <c r="N705" s="129">
        <v>1384453.8571428601</v>
      </c>
      <c r="O705" s="129">
        <v>1430399.42857143</v>
      </c>
      <c r="P705" s="129">
        <v>1560151.1428571427</v>
      </c>
      <c r="Q705" s="129">
        <v>1577662</v>
      </c>
      <c r="R705" s="129">
        <v>1756505</v>
      </c>
      <c r="S705" s="129">
        <v>1848126</v>
      </c>
      <c r="T705" s="129">
        <v>1943839</v>
      </c>
      <c r="U705" s="129">
        <v>2151267</v>
      </c>
      <c r="V705" s="129">
        <v>2051888</v>
      </c>
      <c r="W705" s="129">
        <v>2301126</v>
      </c>
      <c r="X705" s="129">
        <v>2341940.5499999998</v>
      </c>
      <c r="Y705" s="129">
        <v>2383112.5</v>
      </c>
      <c r="Z705" s="129">
        <v>2570486.5241666702</v>
      </c>
      <c r="AA705" s="129">
        <v>2430116.7450000001</v>
      </c>
      <c r="AB705" s="129">
        <v>1717686.252261905</v>
      </c>
      <c r="AC705" s="129">
        <v>1660481.276190477</v>
      </c>
      <c r="AD705" s="129">
        <v>1644514.2711904761</v>
      </c>
      <c r="AE705" s="129">
        <v>1681564.1833333301</v>
      </c>
      <c r="AF705" s="129">
        <v>1631780.5666666699</v>
      </c>
      <c r="AG705" s="129">
        <v>1654958.7066666665</v>
      </c>
      <c r="AH705" s="129">
        <v>1651991</v>
      </c>
      <c r="AI705" s="129">
        <v>1873493.3983333332</v>
      </c>
      <c r="AJ705" s="129">
        <v>1864890.8325</v>
      </c>
      <c r="AK705" s="129">
        <v>1839973.0194871784</v>
      </c>
      <c r="AL705" s="129">
        <v>2047449.2904487182</v>
      </c>
      <c r="AM705" s="129">
        <v>2074483.7658974354</v>
      </c>
      <c r="AN705" s="129">
        <v>2875493.0185897397</v>
      </c>
      <c r="AO705" s="129">
        <v>2866992.9494230798</v>
      </c>
      <c r="AP705" s="129">
        <v>2817083.72346154</v>
      </c>
      <c r="AQ705" s="129">
        <v>2807216.1696794867</v>
      </c>
      <c r="AR705" s="129">
        <v>3789933.9528846098</v>
      </c>
      <c r="AS705" s="129">
        <v>3788696.8500641002</v>
      </c>
      <c r="AT705" s="129">
        <v>3788696.8500641007</v>
      </c>
      <c r="AU705" s="129">
        <v>2574621.0610256405</v>
      </c>
      <c r="AV705" s="129">
        <v>3439027.8474359</v>
      </c>
      <c r="AW705" s="129">
        <v>3832313.9190384601</v>
      </c>
      <c r="AX705" s="129">
        <v>3750916</v>
      </c>
      <c r="AY705" s="129">
        <v>3856465</v>
      </c>
      <c r="AZ705" s="129">
        <v>3675218.6999359</v>
      </c>
      <c r="BA705" s="129">
        <v>3610831.5469670594</v>
      </c>
      <c r="BB705" s="129">
        <v>3878382.0477564102</v>
      </c>
      <c r="BC705" s="129">
        <v>4159916.71833333</v>
      </c>
      <c r="BD705" s="129">
        <v>4263393.5333333351</v>
      </c>
      <c r="BE705" s="129">
        <v>4350714.31544872</v>
      </c>
      <c r="BF705" s="129">
        <v>4226782.75980769</v>
      </c>
      <c r="BG705" s="129">
        <v>4255866.9654487204</v>
      </c>
      <c r="BH705" s="129">
        <v>4154109.6678205193</v>
      </c>
      <c r="BI705" s="129">
        <v>4008410.4289743612</v>
      </c>
      <c r="BJ705" s="129">
        <v>3841665.6708600996</v>
      </c>
      <c r="BK705" s="129">
        <v>3795257.3405534327</v>
      </c>
      <c r="BL705" s="129">
        <v>4345647.280576922</v>
      </c>
      <c r="BM705" s="129">
        <v>4322220.0951282047</v>
      </c>
      <c r="BN705" s="129">
        <v>5385776.3660256397</v>
      </c>
      <c r="BO705" s="129">
        <v>5317021.6030128207</v>
      </c>
      <c r="BP705" s="129">
        <v>7765348.2626923099</v>
      </c>
      <c r="BQ705" s="129">
        <v>7325918.51955128</v>
      </c>
      <c r="BR705" s="129">
        <v>6528208.6888461523</v>
      </c>
      <c r="BS705" s="129">
        <v>6557592.1728846151</v>
      </c>
      <c r="BT705" s="129">
        <v>5971041.4852564102</v>
      </c>
      <c r="BU705" s="129">
        <v>5912933.8114743587</v>
      </c>
      <c r="BV705" s="129"/>
      <c r="BW705" s="129"/>
      <c r="BX705" s="129"/>
      <c r="BY705" s="129"/>
      <c r="BZ705" s="129"/>
      <c r="CA705" s="129"/>
      <c r="CB705" s="129"/>
      <c r="CC705" s="129"/>
      <c r="CD705" s="129"/>
      <c r="CE705" s="129"/>
      <c r="CF705" s="129"/>
      <c r="CG705" s="129"/>
      <c r="CH705" s="129"/>
      <c r="CI705" s="129"/>
      <c r="CJ705" s="129"/>
      <c r="CK705" s="129"/>
      <c r="CL705" s="129"/>
      <c r="CM705" s="129"/>
      <c r="CN705" s="129"/>
      <c r="CO705" s="129"/>
      <c r="CP705" s="129"/>
      <c r="CQ705" s="129"/>
      <c r="CR705" s="129"/>
      <c r="CS705" s="129"/>
      <c r="CT705" s="129"/>
      <c r="CU705" s="129"/>
      <c r="CV705" s="129"/>
      <c r="CW705" s="129"/>
      <c r="CX705" s="129"/>
      <c r="CY705" s="129"/>
      <c r="CZ705" s="129"/>
      <c r="DA705" s="129"/>
      <c r="DB705" s="129"/>
      <c r="DC705" s="129"/>
      <c r="DD705" s="129"/>
      <c r="DE705" s="129"/>
      <c r="DF705" s="129"/>
      <c r="DG705" s="129"/>
      <c r="DH705" s="129"/>
      <c r="DI705" s="129"/>
      <c r="DJ705" s="129"/>
      <c r="DK705" s="129"/>
      <c r="DL705" s="129"/>
      <c r="DM705" s="129"/>
      <c r="DN705" s="129"/>
      <c r="DO705" s="129"/>
      <c r="DP705" s="129"/>
      <c r="DQ705" s="129"/>
      <c r="DR705" s="115"/>
      <c r="DS705" s="115"/>
      <c r="DT705" s="115"/>
      <c r="DU705" s="115"/>
      <c r="DV705" s="115"/>
      <c r="DW705" s="115"/>
      <c r="DX705" s="115"/>
      <c r="DY705" s="115"/>
      <c r="DZ705" s="115"/>
      <c r="EA705" s="115"/>
      <c r="EB705" s="115"/>
      <c r="EC705" s="645"/>
      <c r="ED705" s="113" t="s">
        <v>1</v>
      </c>
    </row>
    <row r="706" spans="1:134" x14ac:dyDescent="0.2">
      <c r="A706" s="115" t="s">
        <v>26</v>
      </c>
      <c r="B706" s="129">
        <v>154930.714285714</v>
      </c>
      <c r="C706" s="129">
        <v>155680.714285714</v>
      </c>
      <c r="D706" s="129">
        <v>156430.714285714</v>
      </c>
      <c r="E706" s="129">
        <v>158181.714285714</v>
      </c>
      <c r="F706" s="129">
        <v>155304.14285714299</v>
      </c>
      <c r="G706" s="129">
        <v>150247.285714286</v>
      </c>
      <c r="H706" s="129">
        <v>160074</v>
      </c>
      <c r="I706" s="129">
        <v>176190</v>
      </c>
      <c r="J706" s="129">
        <v>494171.42857142899</v>
      </c>
      <c r="K706" s="129">
        <v>464424.42857142899</v>
      </c>
      <c r="L706" s="129">
        <v>510542.42857142905</v>
      </c>
      <c r="M706" s="129">
        <v>618184.28571428603</v>
      </c>
      <c r="N706" s="129">
        <v>518022.14285714302</v>
      </c>
      <c r="O706" s="129">
        <v>1250045</v>
      </c>
      <c r="P706" s="129">
        <v>1635603.2857142901</v>
      </c>
      <c r="Q706" s="129">
        <v>1298866</v>
      </c>
      <c r="R706" s="129">
        <v>1883897</v>
      </c>
      <c r="S706" s="129">
        <v>1688224.0000000002</v>
      </c>
      <c r="T706" s="129">
        <v>1834785</v>
      </c>
      <c r="U706" s="129">
        <v>1826041</v>
      </c>
      <c r="V706" s="129">
        <v>1841092</v>
      </c>
      <c r="W706" s="129">
        <v>1854732</v>
      </c>
      <c r="X706" s="129">
        <v>1810261</v>
      </c>
      <c r="Y706" s="129">
        <v>1675850</v>
      </c>
      <c r="Z706" s="129">
        <v>1328178</v>
      </c>
      <c r="AA706" s="129">
        <v>1825024</v>
      </c>
      <c r="AB706" s="129">
        <v>1994027.9999999998</v>
      </c>
      <c r="AC706" s="129">
        <v>2008521</v>
      </c>
      <c r="AD706" s="129">
        <v>1942886</v>
      </c>
      <c r="AE706" s="129">
        <v>1685313</v>
      </c>
      <c r="AF706" s="129">
        <v>1728487</v>
      </c>
      <c r="AG706" s="129">
        <v>1619689</v>
      </c>
      <c r="AH706" s="129">
        <v>1596295.9999999998</v>
      </c>
      <c r="AI706" s="129">
        <v>1880766.2258789861</v>
      </c>
      <c r="AJ706" s="129">
        <v>1875209</v>
      </c>
      <c r="AK706" s="129">
        <v>1911691.9999999998</v>
      </c>
      <c r="AL706" s="129">
        <v>2006811.9999999998</v>
      </c>
      <c r="AM706" s="129">
        <v>2016971</v>
      </c>
      <c r="AN706" s="129">
        <v>1928748.0000000002</v>
      </c>
      <c r="AO706" s="129">
        <v>1848884.9999999998</v>
      </c>
      <c r="AP706" s="129">
        <v>2019412</v>
      </c>
      <c r="AQ706" s="129">
        <v>2162818</v>
      </c>
      <c r="AR706" s="129">
        <v>2002004.9999999998</v>
      </c>
      <c r="AS706" s="129">
        <v>1993786</v>
      </c>
      <c r="AT706" s="129">
        <v>2042924</v>
      </c>
      <c r="AU706" s="129">
        <v>1919973</v>
      </c>
      <c r="AV706" s="129">
        <v>1949768</v>
      </c>
      <c r="AW706" s="129">
        <v>2067805.0000000002</v>
      </c>
      <c r="AX706" s="129">
        <v>2207590</v>
      </c>
      <c r="AY706" s="129">
        <v>2377051</v>
      </c>
      <c r="AZ706" s="129">
        <v>3408454</v>
      </c>
      <c r="BA706" s="129">
        <v>3337087.8377917651</v>
      </c>
      <c r="BB706" s="129">
        <v>3305234.4751923075</v>
      </c>
      <c r="BC706" s="129">
        <v>3244746.6188461529</v>
      </c>
      <c r="BD706" s="129">
        <v>3571001.6860897439</v>
      </c>
      <c r="BE706" s="129">
        <v>3747896.5322435899</v>
      </c>
      <c r="BF706" s="129">
        <v>3800942.3546794867</v>
      </c>
      <c r="BG706" s="129">
        <v>3783989.3546794895</v>
      </c>
      <c r="BH706" s="129">
        <v>3986265.3004487203</v>
      </c>
      <c r="BI706" s="129">
        <v>4126089.5854487182</v>
      </c>
      <c r="BJ706" s="129">
        <v>4170520.6246823901</v>
      </c>
      <c r="BK706" s="129">
        <v>4526021.6615172056</v>
      </c>
      <c r="BL706" s="129">
        <v>4493118.4780128207</v>
      </c>
      <c r="BM706" s="129">
        <v>5250164.4780128207</v>
      </c>
      <c r="BN706" s="129">
        <v>5656907.7694230769</v>
      </c>
      <c r="BO706" s="129">
        <v>5692706.2087820508</v>
      </c>
      <c r="BP706" s="129">
        <v>5984134.5863461532</v>
      </c>
      <c r="BQ706" s="129">
        <v>7065075.4596794881</v>
      </c>
      <c r="BR706" s="129">
        <v>5411302.4763229918</v>
      </c>
      <c r="BS706" s="129">
        <v>5046089.3115384616</v>
      </c>
      <c r="BT706" s="129">
        <v>4577165.0398717951</v>
      </c>
      <c r="BU706" s="129">
        <v>4342957.7082913928</v>
      </c>
      <c r="BV706" s="129"/>
      <c r="BW706" s="129"/>
      <c r="BX706" s="129"/>
      <c r="BY706" s="129"/>
      <c r="BZ706" s="129"/>
      <c r="CA706" s="129"/>
      <c r="CB706" s="129"/>
      <c r="CC706" s="129"/>
      <c r="CD706" s="129"/>
      <c r="CE706" s="129"/>
      <c r="CF706" s="129"/>
      <c r="CG706" s="129"/>
      <c r="CH706" s="129"/>
      <c r="CI706" s="129"/>
      <c r="CJ706" s="129"/>
      <c r="CK706" s="129"/>
      <c r="CL706" s="129"/>
      <c r="CM706" s="129"/>
      <c r="CN706" s="129"/>
      <c r="CO706" s="129"/>
      <c r="CP706" s="129"/>
      <c r="CQ706" s="129"/>
      <c r="CR706" s="129"/>
      <c r="CS706" s="129"/>
      <c r="CT706" s="129"/>
      <c r="CU706" s="129"/>
      <c r="CV706" s="129"/>
      <c r="CW706" s="129"/>
      <c r="CX706" s="129"/>
      <c r="CY706" s="129"/>
      <c r="CZ706" s="129"/>
      <c r="DA706" s="129"/>
      <c r="DB706" s="129"/>
      <c r="DC706" s="129"/>
      <c r="DD706" s="129"/>
      <c r="DE706" s="129"/>
      <c r="DF706" s="129"/>
      <c r="DG706" s="129"/>
      <c r="DH706" s="129"/>
      <c r="DI706" s="129"/>
      <c r="DJ706" s="129"/>
      <c r="DK706" s="129"/>
      <c r="DL706" s="129"/>
      <c r="DM706" s="129"/>
      <c r="DN706" s="129"/>
      <c r="DO706" s="129"/>
      <c r="DP706" s="129"/>
      <c r="DQ706" s="129"/>
      <c r="DR706" s="115"/>
      <c r="DS706" s="115"/>
      <c r="DT706" s="115"/>
      <c r="DU706" s="115"/>
      <c r="DV706" s="115"/>
      <c r="DW706" s="115"/>
      <c r="DX706" s="115"/>
      <c r="DY706" s="115"/>
      <c r="DZ706" s="115"/>
      <c r="EA706" s="115"/>
      <c r="EB706" s="115"/>
      <c r="EC706" s="645"/>
      <c r="ED706" s="113" t="s">
        <v>1</v>
      </c>
    </row>
    <row r="707" spans="1:134" x14ac:dyDescent="0.2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15"/>
      <c r="AU707" s="115"/>
      <c r="AV707" s="115"/>
      <c r="AW707" s="115"/>
      <c r="AX707" s="115"/>
      <c r="AY707" s="115"/>
      <c r="AZ707" s="115"/>
      <c r="BA707" s="115"/>
      <c r="BB707" s="115"/>
      <c r="BC707" s="115"/>
      <c r="BD707" s="115"/>
      <c r="BE707" s="115"/>
      <c r="BF707" s="115"/>
      <c r="BG707" s="115"/>
      <c r="BH707" s="115"/>
      <c r="BI707" s="115"/>
      <c r="BJ707" s="115"/>
      <c r="BK707" s="115"/>
      <c r="BL707" s="115"/>
      <c r="BM707" s="115"/>
      <c r="BN707" s="115"/>
      <c r="BO707" s="115"/>
      <c r="BP707" s="115"/>
      <c r="BQ707" s="115"/>
      <c r="BR707" s="115"/>
      <c r="BS707" s="115"/>
      <c r="BT707" s="115"/>
      <c r="BU707" s="115"/>
      <c r="BV707" s="115"/>
      <c r="BW707" s="115"/>
      <c r="BX707" s="115"/>
      <c r="BY707" s="115"/>
      <c r="BZ707" s="115"/>
      <c r="CA707" s="115"/>
      <c r="CB707" s="115"/>
      <c r="CC707" s="115"/>
      <c r="CD707" s="115"/>
      <c r="CE707" s="115"/>
      <c r="CF707" s="115"/>
      <c r="CG707" s="115"/>
      <c r="CH707" s="115"/>
      <c r="CI707" s="115"/>
      <c r="CJ707" s="115"/>
      <c r="CK707" s="115"/>
      <c r="CL707" s="115"/>
      <c r="CM707" s="115"/>
      <c r="CN707" s="115"/>
      <c r="CO707" s="115"/>
      <c r="CP707" s="115"/>
      <c r="CQ707" s="115"/>
      <c r="CR707" s="115"/>
      <c r="CS707" s="115"/>
      <c r="CT707" s="115"/>
      <c r="CU707" s="115"/>
      <c r="CV707" s="115"/>
      <c r="CW707" s="115"/>
      <c r="CX707" s="115"/>
      <c r="CY707" s="115"/>
      <c r="CZ707" s="115"/>
      <c r="DA707" s="115"/>
      <c r="DB707" s="115"/>
      <c r="DC707" s="115"/>
      <c r="DD707" s="115"/>
      <c r="DE707" s="115"/>
      <c r="DF707" s="115"/>
      <c r="DG707" s="115"/>
      <c r="DH707" s="115"/>
      <c r="DI707" s="115"/>
      <c r="DJ707" s="115"/>
      <c r="DK707" s="115"/>
      <c r="DL707" s="115"/>
      <c r="DM707" s="115"/>
      <c r="DN707" s="115"/>
      <c r="DO707" s="115"/>
      <c r="DP707" s="115"/>
      <c r="DQ707" s="115"/>
      <c r="DR707" s="115"/>
      <c r="DS707" s="115"/>
      <c r="DT707" s="115"/>
      <c r="DU707" s="115"/>
      <c r="DV707" s="115"/>
      <c r="DW707" s="115"/>
      <c r="DX707" s="115"/>
      <c r="DY707" s="115"/>
      <c r="DZ707" s="115"/>
      <c r="EA707" s="115"/>
      <c r="EB707" s="115"/>
      <c r="EC707" s="645"/>
      <c r="ED707" s="113" t="s">
        <v>1</v>
      </c>
    </row>
    <row r="708" spans="1:134" x14ac:dyDescent="0.2">
      <c r="A708" s="746" t="s">
        <v>32</v>
      </c>
      <c r="B708" s="746"/>
      <c r="C708" s="746"/>
      <c r="D708" s="746"/>
      <c r="E708" s="746"/>
      <c r="F708" s="746"/>
      <c r="G708" s="746"/>
      <c r="H708" s="746"/>
      <c r="I708" s="746"/>
      <c r="J708" s="746"/>
      <c r="K708" s="746"/>
      <c r="L708" s="746"/>
      <c r="M708" s="746"/>
      <c r="N708" s="746"/>
      <c r="O708" s="746"/>
      <c r="P708" s="746"/>
      <c r="Q708" s="746"/>
      <c r="R708" s="746"/>
      <c r="S708" s="746"/>
      <c r="T708" s="746"/>
      <c r="U708" s="746"/>
      <c r="V708" s="746"/>
      <c r="W708" s="746"/>
      <c r="X708" s="746"/>
      <c r="Y708" s="746"/>
      <c r="Z708" s="746"/>
      <c r="AA708" s="746"/>
      <c r="AB708" s="746"/>
      <c r="AC708" s="746"/>
      <c r="AD708" s="746"/>
      <c r="AE708" s="746"/>
      <c r="AF708" s="746"/>
      <c r="AG708" s="746"/>
      <c r="AH708" s="746"/>
      <c r="AI708" s="746"/>
      <c r="AJ708" s="746"/>
      <c r="AK708" s="746"/>
      <c r="AL708" s="746"/>
      <c r="AM708" s="746"/>
      <c r="AN708" s="746"/>
      <c r="AO708" s="746"/>
      <c r="AP708" s="746"/>
      <c r="AQ708" s="746"/>
      <c r="AR708" s="746"/>
      <c r="AS708" s="746"/>
      <c r="AT708" s="746"/>
      <c r="AU708" s="746"/>
      <c r="AV708" s="746"/>
      <c r="AW708" s="746"/>
      <c r="AX708" s="746"/>
      <c r="AY708" s="746"/>
      <c r="AZ708" s="746"/>
      <c r="BA708" s="746"/>
      <c r="BB708" s="746"/>
      <c r="BC708" s="746"/>
      <c r="BD708" s="746"/>
      <c r="BE708" s="746"/>
      <c r="BF708" s="746"/>
      <c r="BG708" s="746"/>
      <c r="BH708" s="746"/>
      <c r="BI708" s="746"/>
      <c r="BJ708" s="746"/>
      <c r="BK708" s="746"/>
      <c r="BL708" s="746"/>
      <c r="BM708" s="746"/>
      <c r="BN708" s="746"/>
      <c r="BO708" s="746"/>
      <c r="BP708" s="746"/>
      <c r="BQ708" s="746"/>
      <c r="BR708" s="746"/>
      <c r="BS708" s="746"/>
      <c r="BT708" s="746"/>
      <c r="BU708" s="746"/>
      <c r="BV708" s="746"/>
      <c r="BW708" s="746"/>
      <c r="BX708" s="746"/>
      <c r="BY708" s="729"/>
      <c r="BZ708" s="729"/>
      <c r="CA708" s="729"/>
      <c r="CB708" s="729"/>
      <c r="CC708" s="729"/>
      <c r="CD708" s="729"/>
      <c r="CE708" s="729"/>
      <c r="CF708" s="729"/>
      <c r="CG708" s="729"/>
      <c r="CH708" s="729"/>
      <c r="CI708" s="729"/>
      <c r="CJ708" s="729"/>
      <c r="CK708" s="729"/>
      <c r="CL708" s="729"/>
      <c r="CM708" s="729"/>
      <c r="CN708" s="729"/>
      <c r="CO708" s="729"/>
      <c r="CP708" s="729"/>
      <c r="CQ708" s="729"/>
      <c r="CR708" s="729"/>
      <c r="CS708" s="729"/>
      <c r="CT708" s="729"/>
      <c r="CU708" s="729"/>
      <c r="CV708" s="729"/>
      <c r="CW708" s="729"/>
      <c r="CX708" s="729"/>
      <c r="CY708" s="729"/>
      <c r="CZ708" s="729"/>
      <c r="DA708" s="729"/>
      <c r="DB708" s="729"/>
      <c r="DC708" s="729"/>
      <c r="DD708" s="729"/>
      <c r="DE708" s="729"/>
      <c r="DF708" s="729"/>
      <c r="DG708" s="729"/>
      <c r="DH708" s="729"/>
      <c r="DI708" s="729"/>
      <c r="DJ708" s="729"/>
      <c r="DK708" s="729"/>
      <c r="DL708" s="729"/>
      <c r="DM708" s="729"/>
      <c r="DN708" s="729"/>
      <c r="DO708" s="729"/>
      <c r="DP708" s="729"/>
      <c r="DQ708" s="729"/>
      <c r="DR708" s="729"/>
      <c r="DS708" s="729"/>
      <c r="DT708" s="729"/>
      <c r="DU708" s="729"/>
      <c r="DV708" s="729"/>
      <c r="DW708" s="729"/>
      <c r="DX708" s="729"/>
      <c r="DY708" s="729"/>
      <c r="DZ708" s="729"/>
      <c r="EA708" s="729"/>
      <c r="EB708" s="729"/>
      <c r="EC708" s="729"/>
      <c r="ED708" s="113" t="s">
        <v>1</v>
      </c>
    </row>
    <row r="709" spans="1:134" x14ac:dyDescent="0.2">
      <c r="A709" s="115" t="s">
        <v>266</v>
      </c>
      <c r="B709" s="129">
        <v>259742</v>
      </c>
      <c r="C709" s="129">
        <v>300887</v>
      </c>
      <c r="D709" s="129">
        <v>343726</v>
      </c>
      <c r="E709" s="129">
        <v>481425</v>
      </c>
      <c r="F709" s="129">
        <v>484377</v>
      </c>
      <c r="G709" s="129">
        <v>515353</v>
      </c>
      <c r="H709" s="129">
        <v>500586</v>
      </c>
      <c r="I709" s="129">
        <v>637103</v>
      </c>
      <c r="J709" s="129">
        <v>634462</v>
      </c>
      <c r="K709" s="129">
        <v>568554.06160164275</v>
      </c>
      <c r="L709" s="129">
        <v>868398.15216783225</v>
      </c>
      <c r="M709" s="129">
        <v>627273.92728136876</v>
      </c>
      <c r="N709" s="129">
        <v>728158.0497352496</v>
      </c>
      <c r="O709" s="129">
        <v>1061621.8670203662</v>
      </c>
      <c r="P709" s="129">
        <v>829210.72081218264</v>
      </c>
      <c r="Q709" s="129">
        <v>882742.8759957914</v>
      </c>
      <c r="R709" s="129">
        <v>577060.52682737168</v>
      </c>
      <c r="S709" s="129">
        <v>343050.80265455809</v>
      </c>
      <c r="T709" s="129">
        <v>272456.66273584904</v>
      </c>
      <c r="U709" s="129">
        <v>415921.50106389477</v>
      </c>
      <c r="V709" s="129">
        <v>567889.73549832287</v>
      </c>
      <c r="W709" s="129">
        <v>584306.8231315529</v>
      </c>
      <c r="X709" s="129">
        <v>821934.24896661367</v>
      </c>
      <c r="Y709" s="129">
        <v>472306.72438751318</v>
      </c>
      <c r="Z709" s="129">
        <v>405825.14028042229</v>
      </c>
      <c r="AA709" s="129">
        <v>422190.64569536422</v>
      </c>
      <c r="AB709" s="129">
        <v>416457.35819057201</v>
      </c>
      <c r="AC709" s="129">
        <v>713042.05292564072</v>
      </c>
      <c r="AD709" s="129">
        <v>681658.69578292558</v>
      </c>
      <c r="AE709" s="129">
        <v>661343.49496314547</v>
      </c>
      <c r="AF709" s="129">
        <v>557686.65082926827</v>
      </c>
      <c r="AG709" s="129">
        <v>761389.12918937451</v>
      </c>
      <c r="AH709" s="129">
        <v>1387447.3040154441</v>
      </c>
      <c r="AI709" s="129">
        <v>2043019.5294053471</v>
      </c>
      <c r="AJ709" s="129">
        <v>1407204.2262698007</v>
      </c>
      <c r="AK709" s="129">
        <v>1378971.7917753127</v>
      </c>
      <c r="AL709" s="129">
        <v>1027305.2426948464</v>
      </c>
      <c r="AM709" s="129">
        <v>1041700.8752897384</v>
      </c>
      <c r="AN709" s="129">
        <v>1369576.6449880304</v>
      </c>
      <c r="AO709" s="129">
        <v>2226093.7136863586</v>
      </c>
      <c r="AP709" s="129">
        <v>2896220.3629931957</v>
      </c>
      <c r="AQ709" s="129">
        <v>2921907.1771656135</v>
      </c>
      <c r="AR709" s="129">
        <v>3525722.6241154536</v>
      </c>
      <c r="AS709" s="129">
        <v>3026600.5693522794</v>
      </c>
      <c r="AT709" s="129">
        <v>3171355.8177957311</v>
      </c>
      <c r="AU709" s="129">
        <v>3340400.3942431519</v>
      </c>
      <c r="AV709" s="129">
        <v>3443466.0821036976</v>
      </c>
      <c r="AW709" s="129">
        <v>4200834.5214186888</v>
      </c>
      <c r="AX709" s="129">
        <v>3266059.9147547539</v>
      </c>
      <c r="AY709" s="129">
        <v>2674960.803370506</v>
      </c>
      <c r="AZ709" s="129">
        <v>2451095.0905472441</v>
      </c>
      <c r="BA709" s="129">
        <v>2303363.4558377634</v>
      </c>
      <c r="BB709" s="129">
        <v>2190684.1393192234</v>
      </c>
      <c r="BC709" s="129">
        <v>1572610.1663397253</v>
      </c>
      <c r="BD709" s="129">
        <v>1234780.3916312032</v>
      </c>
      <c r="BE709" s="129">
        <v>1804722.0365653406</v>
      </c>
      <c r="BF709" s="129">
        <v>1766341.7789845909</v>
      </c>
      <c r="BG709" s="129">
        <v>1484794.6551199965</v>
      </c>
      <c r="BH709" s="129">
        <v>1487987.3014713726</v>
      </c>
      <c r="BI709" s="129">
        <v>1703905.1722025285</v>
      </c>
      <c r="BJ709" s="129">
        <v>0</v>
      </c>
      <c r="BK709" s="129">
        <v>0</v>
      </c>
      <c r="BL709" s="129">
        <v>0</v>
      </c>
      <c r="BM709" s="129">
        <v>0</v>
      </c>
      <c r="BN709" s="129">
        <v>0</v>
      </c>
      <c r="BO709" s="129">
        <v>0</v>
      </c>
      <c r="BP709" s="129">
        <v>0</v>
      </c>
      <c r="BQ709" s="129">
        <v>0</v>
      </c>
      <c r="BR709" s="129">
        <v>0</v>
      </c>
      <c r="BS709" s="129">
        <v>0</v>
      </c>
      <c r="BT709" s="129">
        <v>0</v>
      </c>
      <c r="BU709" s="129">
        <v>0</v>
      </c>
      <c r="BV709" s="129">
        <v>0</v>
      </c>
      <c r="BW709" s="129">
        <v>0</v>
      </c>
      <c r="BX709" s="129">
        <v>0</v>
      </c>
      <c r="BY709" s="129">
        <v>0</v>
      </c>
      <c r="BZ709" s="129">
        <v>0</v>
      </c>
      <c r="CA709" s="129">
        <v>0</v>
      </c>
      <c r="CB709" s="129">
        <v>0</v>
      </c>
      <c r="CC709" s="129">
        <v>0</v>
      </c>
      <c r="CD709" s="129">
        <v>0</v>
      </c>
      <c r="CE709" s="129">
        <v>0</v>
      </c>
      <c r="CF709" s="129">
        <v>0</v>
      </c>
      <c r="CG709" s="129">
        <v>0</v>
      </c>
      <c r="CH709" s="129">
        <v>0</v>
      </c>
      <c r="CI709" s="129">
        <v>0</v>
      </c>
      <c r="CJ709" s="129">
        <v>0</v>
      </c>
      <c r="CK709" s="129">
        <v>0</v>
      </c>
      <c r="CL709" s="129">
        <v>0</v>
      </c>
      <c r="CM709" s="129">
        <v>0</v>
      </c>
      <c r="CN709" s="129">
        <v>0</v>
      </c>
      <c r="CO709" s="129">
        <v>0</v>
      </c>
      <c r="CP709" s="129">
        <v>0</v>
      </c>
      <c r="CQ709" s="115">
        <v>0</v>
      </c>
      <c r="CR709" s="115">
        <v>0</v>
      </c>
      <c r="CS709" s="115">
        <v>0</v>
      </c>
      <c r="CT709" s="115"/>
      <c r="CU709" s="115"/>
      <c r="CV709" s="115"/>
      <c r="CW709" s="115"/>
      <c r="CX709" s="115"/>
      <c r="CY709" s="115"/>
      <c r="CZ709" s="115"/>
      <c r="DA709" s="115"/>
      <c r="DB709" s="115"/>
      <c r="DC709" s="115"/>
      <c r="DD709" s="115"/>
      <c r="DE709" s="115"/>
      <c r="DF709" s="115"/>
      <c r="DG709" s="115"/>
      <c r="DH709" s="115"/>
      <c r="DI709" s="115"/>
      <c r="DJ709" s="115"/>
      <c r="DK709" s="115"/>
      <c r="DL709" s="115"/>
      <c r="DM709" s="115"/>
      <c r="DN709" s="115"/>
      <c r="DO709" s="115"/>
      <c r="DP709" s="115"/>
      <c r="DQ709" s="115"/>
      <c r="DR709" s="115"/>
      <c r="DS709" s="115"/>
      <c r="DT709" s="115"/>
      <c r="DU709" s="115"/>
      <c r="DV709" s="115"/>
      <c r="DW709" s="115"/>
      <c r="DX709" s="115"/>
      <c r="DY709" s="115"/>
      <c r="DZ709" s="115"/>
      <c r="EA709" s="115"/>
      <c r="EB709" s="115"/>
      <c r="EC709" s="645"/>
      <c r="ED709" s="113" t="s">
        <v>1</v>
      </c>
    </row>
    <row r="710" spans="1:134" x14ac:dyDescent="0.2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15"/>
      <c r="AU710" s="115"/>
      <c r="AV710" s="115"/>
      <c r="AW710" s="115"/>
      <c r="AX710" s="115"/>
      <c r="AY710" s="115"/>
      <c r="AZ710" s="115"/>
      <c r="BA710" s="115"/>
      <c r="BB710" s="115"/>
      <c r="BC710" s="115"/>
      <c r="BD710" s="115"/>
      <c r="BE710" s="115"/>
      <c r="BF710" s="115"/>
      <c r="BG710" s="115"/>
      <c r="BH710" s="115"/>
      <c r="BI710" s="115"/>
      <c r="BJ710" s="115"/>
      <c r="BK710" s="115"/>
      <c r="BL710" s="115"/>
      <c r="BM710" s="115"/>
      <c r="BN710" s="115"/>
      <c r="BO710" s="115"/>
      <c r="BP710" s="115"/>
      <c r="BQ710" s="115"/>
      <c r="BR710" s="115"/>
      <c r="BS710" s="115"/>
      <c r="BT710" s="115"/>
      <c r="BU710" s="115"/>
      <c r="BV710" s="115"/>
      <c r="BW710" s="115"/>
      <c r="BX710" s="115"/>
      <c r="BY710" s="115"/>
      <c r="BZ710" s="115"/>
      <c r="CA710" s="115"/>
      <c r="CB710" s="115"/>
      <c r="CC710" s="115"/>
      <c r="CD710" s="115"/>
      <c r="CE710" s="115"/>
      <c r="CF710" s="115"/>
      <c r="CG710" s="115"/>
      <c r="CH710" s="115"/>
      <c r="CI710" s="115"/>
      <c r="CJ710" s="115"/>
      <c r="CK710" s="115"/>
      <c r="CL710" s="115"/>
      <c r="CM710" s="115"/>
      <c r="CN710" s="115"/>
      <c r="CO710" s="115"/>
      <c r="CP710" s="115"/>
      <c r="CQ710" s="115"/>
      <c r="CR710" s="115"/>
      <c r="CS710" s="115"/>
      <c r="CT710" s="115"/>
      <c r="CU710" s="115"/>
      <c r="CV710" s="115"/>
      <c r="CW710" s="115"/>
      <c r="CX710" s="115"/>
      <c r="CY710" s="115"/>
      <c r="CZ710" s="115"/>
      <c r="DA710" s="115"/>
      <c r="DB710" s="115"/>
      <c r="DC710" s="115"/>
      <c r="DD710" s="115"/>
      <c r="DE710" s="115"/>
      <c r="DF710" s="115"/>
      <c r="DG710" s="115"/>
      <c r="DH710" s="115"/>
      <c r="DI710" s="115"/>
      <c r="DJ710" s="115"/>
      <c r="DK710" s="115"/>
      <c r="DL710" s="115"/>
      <c r="DM710" s="115"/>
      <c r="DN710" s="115"/>
      <c r="DO710" s="115"/>
      <c r="DP710" s="115"/>
      <c r="DQ710" s="115"/>
      <c r="DR710" s="115"/>
      <c r="DS710" s="115"/>
      <c r="DT710" s="115"/>
      <c r="DU710" s="115"/>
      <c r="DV710" s="115"/>
      <c r="DW710" s="115"/>
      <c r="DX710" s="115"/>
      <c r="DY710" s="115"/>
      <c r="DZ710" s="115"/>
      <c r="EA710" s="115"/>
      <c r="EB710" s="115"/>
      <c r="EC710" s="645"/>
      <c r="ED710" s="113" t="s">
        <v>1</v>
      </c>
    </row>
    <row r="711" spans="1:134" x14ac:dyDescent="0.2">
      <c r="A711" s="115" t="s">
        <v>33</v>
      </c>
      <c r="B711" s="129">
        <v>0</v>
      </c>
      <c r="C711" s="129">
        <v>0</v>
      </c>
      <c r="D711" s="129">
        <v>0</v>
      </c>
      <c r="E711" s="129">
        <v>0</v>
      </c>
      <c r="F711" s="129">
        <v>0</v>
      </c>
      <c r="G711" s="129">
        <v>0</v>
      </c>
      <c r="H711" s="129">
        <v>0</v>
      </c>
      <c r="I711" s="129">
        <v>0</v>
      </c>
      <c r="J711" s="129">
        <v>0</v>
      </c>
      <c r="K711" s="129">
        <v>1326.9999999999998</v>
      </c>
      <c r="L711" s="129">
        <v>167093</v>
      </c>
      <c r="M711" s="129">
        <v>313709</v>
      </c>
      <c r="N711" s="129">
        <v>298983</v>
      </c>
      <c r="O711" s="129">
        <v>281800</v>
      </c>
      <c r="P711" s="129">
        <v>280967</v>
      </c>
      <c r="Q711" s="129">
        <v>614541</v>
      </c>
      <c r="R711" s="129">
        <v>490272</v>
      </c>
      <c r="S711" s="129">
        <v>217826</v>
      </c>
      <c r="T711" s="129">
        <v>77461</v>
      </c>
      <c r="U711" s="129">
        <v>264620.74</v>
      </c>
      <c r="V711" s="129">
        <v>160376</v>
      </c>
      <c r="W711" s="129">
        <v>223868.47999999998</v>
      </c>
      <c r="X711" s="129">
        <v>196032</v>
      </c>
      <c r="Y711" s="129">
        <v>166127</v>
      </c>
      <c r="Z711" s="129">
        <v>0</v>
      </c>
      <c r="AA711" s="129">
        <v>112156</v>
      </c>
      <c r="AB711" s="129">
        <v>157960</v>
      </c>
      <c r="AC711" s="129">
        <v>186367</v>
      </c>
      <c r="AD711" s="129">
        <v>130516.00000000001</v>
      </c>
      <c r="AE711" s="129">
        <v>149129</v>
      </c>
      <c r="AF711" s="129">
        <v>179194</v>
      </c>
      <c r="AG711" s="129">
        <v>198000</v>
      </c>
      <c r="AH711" s="129">
        <v>426508</v>
      </c>
      <c r="AI711" s="129">
        <v>605465</v>
      </c>
      <c r="AJ711" s="129">
        <v>412363</v>
      </c>
      <c r="AK711" s="129">
        <v>844039.99999999988</v>
      </c>
      <c r="AL711" s="129">
        <v>458200</v>
      </c>
      <c r="AM711" s="129">
        <v>339458</v>
      </c>
      <c r="AN711" s="129">
        <v>390132</v>
      </c>
      <c r="AO711" s="129">
        <v>955212.00000000012</v>
      </c>
      <c r="AP711" s="129">
        <v>1233722</v>
      </c>
      <c r="AQ711" s="129">
        <v>661526</v>
      </c>
      <c r="AR711" s="129">
        <v>897365</v>
      </c>
      <c r="AS711" s="129">
        <v>693381</v>
      </c>
      <c r="AT711" s="129">
        <v>1097567</v>
      </c>
      <c r="AU711" s="129">
        <v>1077445</v>
      </c>
      <c r="AV711" s="129">
        <v>1411820</v>
      </c>
      <c r="AW711" s="129">
        <v>1993928</v>
      </c>
      <c r="AX711" s="129">
        <v>1156568.0000000002</v>
      </c>
      <c r="AY711" s="129">
        <v>1155484</v>
      </c>
      <c r="AZ711" s="129">
        <v>1074883.3408511509</v>
      </c>
      <c r="BA711" s="129">
        <v>1096178.4759239603</v>
      </c>
      <c r="BB711" s="129">
        <v>1394119.7144046738</v>
      </c>
      <c r="BC711" s="129">
        <v>1701188.1457012191</v>
      </c>
      <c r="BD711" s="129">
        <v>2028556.6141071166</v>
      </c>
      <c r="BE711" s="129">
        <v>2040403.1086166196</v>
      </c>
      <c r="BF711" s="129">
        <v>1653261.9692944949</v>
      </c>
      <c r="BG711" s="129">
        <v>1505168.2849862748</v>
      </c>
      <c r="BH711" s="129">
        <v>2135066.2905347836</v>
      </c>
      <c r="BI711" s="129">
        <v>2660588.05561799</v>
      </c>
      <c r="BJ711" s="129">
        <v>2404542.2224048995</v>
      </c>
      <c r="BK711" s="129">
        <v>2391833.4403285664</v>
      </c>
      <c r="BL711" s="129">
        <v>3014718.6781084267</v>
      </c>
      <c r="BM711" s="129">
        <v>3074649.0993620083</v>
      </c>
      <c r="BN711" s="129">
        <v>2937129.2424238836</v>
      </c>
      <c r="BO711" s="129">
        <v>2698734.13636983</v>
      </c>
      <c r="BP711" s="129">
        <v>4483462.4083562708</v>
      </c>
      <c r="BQ711" s="129">
        <v>3224590.5699640652</v>
      </c>
      <c r="BR711" s="129">
        <v>2868569.0555026499</v>
      </c>
      <c r="BS711" s="129">
        <v>2952268.4809334851</v>
      </c>
      <c r="BT711" s="129">
        <v>3182193.7483175714</v>
      </c>
      <c r="BU711" s="129">
        <v>2838746.5411494258</v>
      </c>
      <c r="BV711" s="129">
        <v>3465440.2070577294</v>
      </c>
      <c r="BW711" s="129">
        <v>3619924.7060836935</v>
      </c>
      <c r="BX711" s="129">
        <v>0</v>
      </c>
      <c r="BY711" s="129">
        <v>0</v>
      </c>
      <c r="BZ711" s="129">
        <v>0</v>
      </c>
      <c r="CA711" s="129">
        <v>0</v>
      </c>
      <c r="CB711" s="129">
        <v>0</v>
      </c>
      <c r="CC711" s="129">
        <v>0</v>
      </c>
      <c r="CD711" s="129">
        <v>0</v>
      </c>
      <c r="CE711" s="129">
        <v>0</v>
      </c>
      <c r="CF711" s="129">
        <v>0</v>
      </c>
      <c r="CG711" s="129">
        <v>0</v>
      </c>
      <c r="CH711" s="129">
        <v>0</v>
      </c>
      <c r="CI711" s="129">
        <v>0</v>
      </c>
      <c r="CJ711" s="129">
        <v>0</v>
      </c>
      <c r="CK711" s="129">
        <v>0</v>
      </c>
      <c r="CL711" s="129">
        <v>0</v>
      </c>
      <c r="CM711" s="129">
        <v>0</v>
      </c>
      <c r="CN711" s="129">
        <v>0</v>
      </c>
      <c r="CO711" s="129">
        <v>0</v>
      </c>
      <c r="CP711" s="129">
        <v>0</v>
      </c>
      <c r="CQ711" s="129">
        <v>0</v>
      </c>
      <c r="CR711" s="129">
        <v>0</v>
      </c>
      <c r="CS711" s="129">
        <v>0</v>
      </c>
      <c r="CT711" s="129">
        <v>0</v>
      </c>
      <c r="CU711" s="129">
        <v>0</v>
      </c>
      <c r="CV711" s="129">
        <v>0</v>
      </c>
      <c r="CW711" s="129">
        <v>0</v>
      </c>
      <c r="CX711" s="129">
        <v>0</v>
      </c>
      <c r="CY711" s="129">
        <v>0</v>
      </c>
      <c r="CZ711" s="129">
        <v>0</v>
      </c>
      <c r="DA711" s="129">
        <v>0</v>
      </c>
      <c r="DB711" s="129">
        <v>0</v>
      </c>
      <c r="DC711" s="129">
        <v>0</v>
      </c>
      <c r="DD711" s="129">
        <v>0</v>
      </c>
      <c r="DE711" s="129">
        <v>0</v>
      </c>
      <c r="DF711" s="129">
        <v>0</v>
      </c>
      <c r="DG711" s="129">
        <v>0</v>
      </c>
      <c r="DH711" s="129">
        <v>0</v>
      </c>
      <c r="DI711" s="129">
        <v>0</v>
      </c>
      <c r="DJ711" s="129">
        <v>0</v>
      </c>
      <c r="DK711" s="129">
        <v>0</v>
      </c>
      <c r="DL711" s="129">
        <v>0</v>
      </c>
      <c r="DM711" s="129">
        <v>0</v>
      </c>
      <c r="DN711" s="129">
        <v>0</v>
      </c>
      <c r="DO711" s="129">
        <v>0</v>
      </c>
      <c r="DP711" s="129">
        <v>0</v>
      </c>
      <c r="DQ711" s="129">
        <v>0</v>
      </c>
      <c r="DR711" s="115"/>
      <c r="DS711" s="115"/>
      <c r="DT711" s="115"/>
      <c r="DU711" s="115"/>
      <c r="DV711" s="115"/>
      <c r="DW711" s="115"/>
      <c r="DX711" s="115"/>
      <c r="DY711" s="115"/>
      <c r="DZ711" s="115"/>
      <c r="EA711" s="115"/>
      <c r="EB711" s="115"/>
      <c r="EC711" s="645"/>
      <c r="ED711" s="113" t="s">
        <v>1</v>
      </c>
    </row>
    <row r="712" spans="1:134" x14ac:dyDescent="0.2">
      <c r="A712" s="115" t="s">
        <v>34</v>
      </c>
      <c r="B712" s="129">
        <v>199231</v>
      </c>
      <c r="C712" s="129">
        <v>232753</v>
      </c>
      <c r="D712" s="129">
        <v>282710</v>
      </c>
      <c r="E712" s="129">
        <v>384727</v>
      </c>
      <c r="F712" s="129">
        <v>403857</v>
      </c>
      <c r="G712" s="129">
        <v>444318</v>
      </c>
      <c r="H712" s="129">
        <v>419269</v>
      </c>
      <c r="I712" s="129">
        <v>539374</v>
      </c>
      <c r="J712" s="129">
        <v>516297</v>
      </c>
      <c r="K712" s="129">
        <v>448153</v>
      </c>
      <c r="L712" s="129">
        <v>613296</v>
      </c>
      <c r="M712" s="129">
        <v>412634</v>
      </c>
      <c r="N712" s="129">
        <v>464477</v>
      </c>
      <c r="O712" s="129">
        <v>1005837</v>
      </c>
      <c r="P712" s="129">
        <v>457562</v>
      </c>
      <c r="Q712" s="129">
        <v>497734</v>
      </c>
      <c r="R712" s="129">
        <v>461026</v>
      </c>
      <c r="S712" s="129">
        <v>407822</v>
      </c>
      <c r="T712" s="129">
        <v>447520</v>
      </c>
      <c r="U712" s="129">
        <v>323773</v>
      </c>
      <c r="V712" s="129">
        <v>380921</v>
      </c>
      <c r="W712" s="129">
        <v>434150</v>
      </c>
      <c r="X712" s="129">
        <v>404310</v>
      </c>
      <c r="Y712" s="129">
        <v>426396</v>
      </c>
      <c r="Z712" s="129">
        <v>402214.64028042229</v>
      </c>
      <c r="AA712" s="129">
        <v>449983</v>
      </c>
      <c r="AB712" s="129">
        <v>399472</v>
      </c>
      <c r="AC712" s="129">
        <v>622645</v>
      </c>
      <c r="AD712" s="129">
        <v>560994</v>
      </c>
      <c r="AE712" s="129">
        <v>568933</v>
      </c>
      <c r="AF712" s="129">
        <v>526097</v>
      </c>
      <c r="AG712" s="129">
        <v>587750</v>
      </c>
      <c r="AH712" s="129">
        <v>642642</v>
      </c>
      <c r="AI712" s="129">
        <v>909409</v>
      </c>
      <c r="AJ712" s="129">
        <v>584354</v>
      </c>
      <c r="AK712" s="129">
        <v>748895</v>
      </c>
      <c r="AL712" s="129">
        <v>710415.00000000012</v>
      </c>
      <c r="AM712" s="129">
        <v>696319</v>
      </c>
      <c r="AN712" s="129">
        <v>717801.00000000012</v>
      </c>
      <c r="AO712" s="129">
        <v>722731</v>
      </c>
      <c r="AP712" s="129">
        <v>953177.14367392345</v>
      </c>
      <c r="AQ712" s="129">
        <v>1372974.8730909796</v>
      </c>
      <c r="AR712" s="129">
        <v>1965809.9114152601</v>
      </c>
      <c r="AS712" s="129">
        <v>1926503</v>
      </c>
      <c r="AT712" s="129">
        <v>1618714.76526935</v>
      </c>
      <c r="AU712" s="129">
        <v>1190813</v>
      </c>
      <c r="AV712" s="129">
        <v>1239631</v>
      </c>
      <c r="AW712" s="129">
        <v>1591545</v>
      </c>
      <c r="AX712" s="129">
        <v>2378976.530104286</v>
      </c>
      <c r="AY712" s="129">
        <v>1952687.03098093</v>
      </c>
      <c r="AZ712" s="129">
        <v>1955834.196215126</v>
      </c>
      <c r="BA712" s="129">
        <v>2395366.2094805702</v>
      </c>
      <c r="BB712" s="129">
        <v>1423533.9688001834</v>
      </c>
      <c r="BC712" s="129">
        <v>1531594.339959135</v>
      </c>
      <c r="BD712" s="129">
        <v>1556970.4130308321</v>
      </c>
      <c r="BE712" s="129">
        <v>1498694.9039790325</v>
      </c>
      <c r="BF712" s="129">
        <v>1294528.2210568618</v>
      </c>
      <c r="BG712" s="129">
        <v>1181553.7815996772</v>
      </c>
      <c r="BH712" s="129">
        <v>1820793.0917418632</v>
      </c>
      <c r="BI712" s="129">
        <v>2213179.1536433836</v>
      </c>
      <c r="BJ712" s="129">
        <v>2282977.64736214</v>
      </c>
      <c r="BK712" s="129">
        <v>2119633.6339807957</v>
      </c>
      <c r="BL712" s="129">
        <v>2948205.0973582598</v>
      </c>
      <c r="BM712" s="129">
        <v>2412039.0452602236</v>
      </c>
      <c r="BN712" s="129">
        <v>2786041.3227213966</v>
      </c>
      <c r="BO712" s="129">
        <v>2496323.8023376241</v>
      </c>
      <c r="BP712" s="129">
        <v>3711318.5560288145</v>
      </c>
      <c r="BQ712" s="129">
        <v>2963871.5852411771</v>
      </c>
      <c r="BR712" s="129">
        <v>3092211.2488526599</v>
      </c>
      <c r="BS712" s="129">
        <v>2695593.4132696446</v>
      </c>
      <c r="BT712" s="129">
        <v>2675975</v>
      </c>
      <c r="BU712" s="129">
        <v>3603417.4463669057</v>
      </c>
      <c r="BV712" s="129">
        <v>3077232.3182492582</v>
      </c>
      <c r="BW712" s="129">
        <v>3810239.5585626098</v>
      </c>
      <c r="BX712" s="115"/>
      <c r="BY712" s="115"/>
      <c r="BZ712" s="115"/>
      <c r="CA712" s="115"/>
      <c r="CB712" s="115"/>
      <c r="CC712" s="115"/>
      <c r="CD712" s="115"/>
      <c r="CE712" s="115"/>
      <c r="CF712" s="115"/>
      <c r="CG712" s="115"/>
      <c r="CH712" s="115"/>
      <c r="CI712" s="115"/>
      <c r="CJ712" s="115"/>
      <c r="CK712" s="115"/>
      <c r="CL712" s="115"/>
      <c r="CM712" s="115"/>
      <c r="CN712" s="115"/>
      <c r="CO712" s="115"/>
      <c r="CP712" s="115"/>
      <c r="CQ712" s="115"/>
      <c r="CR712" s="115"/>
      <c r="CS712" s="115"/>
      <c r="CT712" s="115"/>
      <c r="CU712" s="115"/>
      <c r="CV712" s="115"/>
      <c r="CW712" s="115"/>
      <c r="CX712" s="115"/>
      <c r="CY712" s="115"/>
      <c r="CZ712" s="115"/>
      <c r="DA712" s="115"/>
      <c r="DB712" s="115"/>
      <c r="DC712" s="115"/>
      <c r="DD712" s="115"/>
      <c r="DE712" s="115"/>
      <c r="DF712" s="115"/>
      <c r="DG712" s="115"/>
      <c r="DH712" s="115"/>
      <c r="DI712" s="115"/>
      <c r="DJ712" s="115"/>
      <c r="DK712" s="115"/>
      <c r="DL712" s="115"/>
      <c r="DM712" s="115"/>
      <c r="DN712" s="115"/>
      <c r="DO712" s="115"/>
      <c r="DP712" s="115"/>
      <c r="DQ712" s="115"/>
      <c r="DR712" s="115"/>
      <c r="DS712" s="115"/>
      <c r="DT712" s="115"/>
      <c r="DU712" s="115"/>
      <c r="DV712" s="115"/>
      <c r="DW712" s="115"/>
      <c r="DX712" s="115"/>
      <c r="DY712" s="115"/>
      <c r="DZ712" s="115"/>
      <c r="EA712" s="115"/>
      <c r="EB712" s="115"/>
      <c r="EC712" s="645"/>
      <c r="ED712" s="113" t="s">
        <v>1</v>
      </c>
    </row>
    <row r="713" spans="1:134" x14ac:dyDescent="0.2">
      <c r="A713" s="115" t="s">
        <v>149</v>
      </c>
      <c r="B713" s="129">
        <v>60511</v>
      </c>
      <c r="C713" s="129">
        <v>68134</v>
      </c>
      <c r="D713" s="129">
        <v>61016</v>
      </c>
      <c r="E713" s="129">
        <v>96698</v>
      </c>
      <c r="F713" s="129">
        <v>80520</v>
      </c>
      <c r="G713" s="129">
        <v>71035</v>
      </c>
      <c r="H713" s="129">
        <v>81327</v>
      </c>
      <c r="I713" s="129">
        <v>97729</v>
      </c>
      <c r="J713" s="129">
        <v>118165</v>
      </c>
      <c r="K713" s="129">
        <v>138388</v>
      </c>
      <c r="L713" s="129">
        <v>207369</v>
      </c>
      <c r="M713" s="129">
        <v>328219</v>
      </c>
      <c r="N713" s="129">
        <v>427539</v>
      </c>
      <c r="O713" s="129">
        <v>465134</v>
      </c>
      <c r="P713" s="129">
        <v>422759</v>
      </c>
      <c r="Q713" s="129">
        <v>570019</v>
      </c>
      <c r="R713" s="129">
        <v>369752</v>
      </c>
      <c r="S713" s="129">
        <v>497457</v>
      </c>
      <c r="T713" s="129">
        <v>399192</v>
      </c>
      <c r="U713" s="129">
        <v>222864</v>
      </c>
      <c r="V713" s="129">
        <v>464376.20999999996</v>
      </c>
      <c r="W713" s="129">
        <v>595130.01</v>
      </c>
      <c r="X713" s="129">
        <v>685719.29999999993</v>
      </c>
      <c r="Y713" s="129">
        <v>465221.14499999996</v>
      </c>
      <c r="Z713" s="129">
        <v>3610.5</v>
      </c>
      <c r="AA713" s="129">
        <v>500374.12599999999</v>
      </c>
      <c r="AB713" s="129">
        <v>409206.10814721836</v>
      </c>
      <c r="AC713" s="129">
        <v>388937.57778920612</v>
      </c>
      <c r="AD713" s="129">
        <v>441922.03706499486</v>
      </c>
      <c r="AE713" s="129">
        <v>528374.72799305082</v>
      </c>
      <c r="AF713" s="129">
        <v>595885.56480915262</v>
      </c>
      <c r="AG713" s="129">
        <v>705215.53143900004</v>
      </c>
      <c r="AH713" s="129">
        <v>1626886.26285866</v>
      </c>
      <c r="AI713" s="129">
        <v>1936780.5967244541</v>
      </c>
      <c r="AJ713" s="129">
        <v>1530624.6838739198</v>
      </c>
      <c r="AK713" s="129">
        <v>1460532.229231671</v>
      </c>
      <c r="AL713" s="129">
        <v>1014663.4167422906</v>
      </c>
      <c r="AM713" s="129">
        <v>522979.71748919412</v>
      </c>
      <c r="AN713" s="129">
        <v>1116679.7635876276</v>
      </c>
      <c r="AO713" s="129">
        <v>1555514.459800001</v>
      </c>
      <c r="AP713" s="129">
        <v>1792663.1535199999</v>
      </c>
      <c r="AQ713" s="129">
        <v>2322033.9276800016</v>
      </c>
      <c r="AR713" s="129">
        <v>2607389.5365800001</v>
      </c>
      <c r="AS713" s="129">
        <v>3130380.635619998</v>
      </c>
      <c r="AT713" s="129">
        <v>3592750.7942699902</v>
      </c>
      <c r="AU713" s="129">
        <v>4016958.5267800265</v>
      </c>
      <c r="AV713" s="129">
        <v>3998482.1021599555</v>
      </c>
      <c r="AW713" s="129">
        <v>3869605.6858799402</v>
      </c>
      <c r="AX713" s="129">
        <v>2765483.6404999518</v>
      </c>
      <c r="AY713" s="129">
        <v>3314277.4528000578</v>
      </c>
      <c r="AZ713" s="129">
        <v>3834142.4394598813</v>
      </c>
      <c r="BA713" s="129">
        <v>3617152.698839989</v>
      </c>
      <c r="BB713" s="129">
        <v>3228930.1880400665</v>
      </c>
      <c r="BC713" s="129">
        <v>3040914.3545465819</v>
      </c>
      <c r="BD713" s="129">
        <v>3114311.353294204</v>
      </c>
      <c r="BE713" s="129">
        <v>3146177.1469606627</v>
      </c>
      <c r="BF713" s="129">
        <v>3526462.8330028201</v>
      </c>
      <c r="BG713" s="129">
        <v>3094210.1826487202</v>
      </c>
      <c r="BH713" s="129">
        <v>3370499.551644465</v>
      </c>
      <c r="BI713" s="129">
        <v>5075081.1506663188</v>
      </c>
      <c r="BJ713" s="129">
        <v>4880459.5555942804</v>
      </c>
      <c r="BK713" s="129">
        <v>5407216</v>
      </c>
      <c r="BL713" s="129">
        <v>5003555</v>
      </c>
      <c r="BM713" s="129">
        <v>4401446.5084745763</v>
      </c>
      <c r="BN713" s="129">
        <v>4414339</v>
      </c>
      <c r="BO713" s="129">
        <v>4833617</v>
      </c>
      <c r="BP713" s="129">
        <v>7807166.1181329805</v>
      </c>
      <c r="BQ713" s="129">
        <v>6365052.3824443594</v>
      </c>
      <c r="BR713" s="129">
        <v>7558640.6416100953</v>
      </c>
      <c r="BS713" s="129">
        <v>9317167</v>
      </c>
      <c r="BT713" s="129">
        <v>10282926.323791699</v>
      </c>
      <c r="BU713" s="129">
        <v>10723923.915980741</v>
      </c>
      <c r="BV713" s="129">
        <v>7872013.342686587</v>
      </c>
      <c r="BW713" s="129">
        <v>6773800</v>
      </c>
      <c r="BX713" s="115"/>
      <c r="BY713" s="115"/>
      <c r="BZ713" s="115"/>
      <c r="CA713" s="115"/>
      <c r="CB713" s="115"/>
      <c r="CC713" s="115"/>
      <c r="CD713" s="115"/>
      <c r="CE713" s="115"/>
      <c r="CF713" s="115"/>
      <c r="CG713" s="115"/>
      <c r="CH713" s="115"/>
      <c r="CI713" s="115"/>
      <c r="CJ713" s="115"/>
      <c r="CK713" s="115"/>
      <c r="CL713" s="115"/>
      <c r="CM713" s="115"/>
      <c r="CN713" s="115"/>
      <c r="CO713" s="115"/>
      <c r="CP713" s="115"/>
      <c r="CQ713" s="115"/>
      <c r="CR713" s="115"/>
      <c r="CS713" s="115"/>
      <c r="CT713" s="115"/>
      <c r="CU713" s="115"/>
      <c r="CV713" s="115"/>
      <c r="CW713" s="115"/>
      <c r="CX713" s="115"/>
      <c r="CY713" s="115"/>
      <c r="CZ713" s="115"/>
      <c r="DA713" s="115"/>
      <c r="DB713" s="115"/>
      <c r="DC713" s="115"/>
      <c r="DD713" s="115"/>
      <c r="DE713" s="115"/>
      <c r="DF713" s="115"/>
      <c r="DG713" s="115"/>
      <c r="DH713" s="115"/>
      <c r="DI713" s="115"/>
      <c r="DJ713" s="115"/>
      <c r="DK713" s="115"/>
      <c r="DL713" s="115"/>
      <c r="DM713" s="115"/>
      <c r="DN713" s="115"/>
      <c r="DO713" s="115"/>
      <c r="DP713" s="115"/>
      <c r="DQ713" s="115"/>
      <c r="DR713" s="115"/>
      <c r="DS713" s="115"/>
      <c r="DT713" s="115"/>
      <c r="DU713" s="115"/>
      <c r="DV713" s="115"/>
      <c r="DW713" s="115"/>
      <c r="DX713" s="115"/>
      <c r="DY713" s="115"/>
      <c r="DZ713" s="115"/>
      <c r="EA713" s="115"/>
      <c r="EB713" s="115"/>
      <c r="EC713" s="645"/>
      <c r="ED713" s="113" t="s">
        <v>1</v>
      </c>
    </row>
    <row r="714" spans="1:134" x14ac:dyDescent="0.2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15"/>
      <c r="AU714" s="115"/>
      <c r="AV714" s="115"/>
      <c r="AW714" s="115"/>
      <c r="AX714" s="115"/>
      <c r="AY714" s="115"/>
      <c r="AZ714" s="115"/>
      <c r="BA714" s="115"/>
      <c r="BB714" s="115"/>
      <c r="BC714" s="115"/>
      <c r="BD714" s="115"/>
      <c r="BE714" s="115"/>
      <c r="BF714" s="115"/>
      <c r="BG714" s="115"/>
      <c r="BH714" s="115"/>
      <c r="BI714" s="115"/>
      <c r="BJ714" s="115"/>
      <c r="BK714" s="115"/>
      <c r="BL714" s="115"/>
      <c r="BM714" s="115"/>
      <c r="BN714" s="115"/>
      <c r="BO714" s="115"/>
      <c r="BP714" s="115"/>
      <c r="BQ714" s="115"/>
      <c r="BR714" s="115"/>
      <c r="BS714" s="115"/>
      <c r="BT714" s="115"/>
      <c r="BU714" s="115"/>
      <c r="BV714" s="115"/>
      <c r="BW714" s="115"/>
      <c r="BX714" s="115"/>
      <c r="BY714" s="115"/>
      <c r="BZ714" s="115"/>
      <c r="CA714" s="115"/>
      <c r="CB714" s="115"/>
      <c r="CC714" s="115"/>
      <c r="CD714" s="115"/>
      <c r="CE714" s="115"/>
      <c r="CF714" s="115"/>
      <c r="CG714" s="115"/>
      <c r="CH714" s="115"/>
      <c r="CI714" s="115"/>
      <c r="CJ714" s="115"/>
      <c r="CK714" s="115"/>
      <c r="CL714" s="115"/>
      <c r="CM714" s="115"/>
      <c r="CN714" s="115"/>
      <c r="CO714" s="115"/>
      <c r="CP714" s="115"/>
      <c r="CQ714" s="115"/>
      <c r="CR714" s="115"/>
      <c r="CS714" s="115"/>
      <c r="CT714" s="115"/>
      <c r="CU714" s="115"/>
      <c r="CV714" s="115"/>
      <c r="CW714" s="115"/>
      <c r="CX714" s="115"/>
      <c r="CY714" s="115"/>
      <c r="CZ714" s="115"/>
      <c r="DA714" s="115"/>
      <c r="DB714" s="115"/>
      <c r="DC714" s="115"/>
      <c r="DD714" s="115"/>
      <c r="DE714" s="115"/>
      <c r="DF714" s="115"/>
      <c r="DG714" s="115"/>
      <c r="DH714" s="115"/>
      <c r="DI714" s="115"/>
      <c r="DJ714" s="115"/>
      <c r="DK714" s="115"/>
      <c r="DL714" s="115"/>
      <c r="DM714" s="115"/>
      <c r="DN714" s="115"/>
      <c r="DO714" s="115"/>
      <c r="DP714" s="115"/>
      <c r="DQ714" s="115"/>
      <c r="DR714" s="115"/>
      <c r="DS714" s="115"/>
      <c r="DT714" s="115"/>
      <c r="DU714" s="115"/>
      <c r="DV714" s="115"/>
      <c r="DW714" s="115"/>
      <c r="DX714" s="115"/>
      <c r="DY714" s="115"/>
      <c r="DZ714" s="115"/>
      <c r="EA714" s="115"/>
      <c r="EB714" s="115"/>
      <c r="EC714" s="645"/>
      <c r="ED714" s="113" t="s">
        <v>1</v>
      </c>
    </row>
    <row r="715" spans="1:134" x14ac:dyDescent="0.2">
      <c r="A715" s="746" t="s">
        <v>267</v>
      </c>
      <c r="B715" s="746"/>
      <c r="C715" s="746"/>
      <c r="D715" s="746"/>
      <c r="E715" s="746"/>
      <c r="F715" s="746"/>
      <c r="G715" s="746"/>
      <c r="H715" s="746"/>
      <c r="I715" s="746"/>
      <c r="J715" s="746"/>
      <c r="K715" s="746"/>
      <c r="L715" s="746"/>
      <c r="M715" s="746"/>
      <c r="N715" s="746"/>
      <c r="O715" s="746"/>
      <c r="P715" s="746"/>
      <c r="Q715" s="746"/>
      <c r="R715" s="746"/>
      <c r="S715" s="746"/>
      <c r="T715" s="746"/>
      <c r="U715" s="746"/>
      <c r="V715" s="746"/>
      <c r="W715" s="746"/>
      <c r="X715" s="746"/>
      <c r="Y715" s="746"/>
      <c r="Z715" s="746"/>
      <c r="AA715" s="746"/>
      <c r="AB715" s="746"/>
      <c r="AC715" s="746"/>
      <c r="AD715" s="746"/>
      <c r="AE715" s="746"/>
      <c r="AF715" s="746"/>
      <c r="AG715" s="746"/>
      <c r="AH715" s="746"/>
      <c r="AI715" s="746"/>
      <c r="AJ715" s="746"/>
      <c r="AK715" s="746"/>
      <c r="AL715" s="746"/>
      <c r="AM715" s="746"/>
      <c r="AN715" s="746"/>
      <c r="AO715" s="746"/>
      <c r="AP715" s="746"/>
      <c r="AQ715" s="746"/>
      <c r="AR715" s="746"/>
      <c r="AS715" s="746"/>
      <c r="AT715" s="746"/>
      <c r="AU715" s="746"/>
      <c r="AV715" s="746"/>
      <c r="AW715" s="746"/>
      <c r="AX715" s="746"/>
      <c r="AY715" s="746"/>
      <c r="AZ715" s="746"/>
      <c r="BA715" s="746"/>
      <c r="BB715" s="746"/>
      <c r="BC715" s="746"/>
      <c r="BD715" s="746"/>
      <c r="BE715" s="746"/>
      <c r="BF715" s="746"/>
      <c r="BG715" s="746"/>
      <c r="BH715" s="746"/>
      <c r="BI715" s="746"/>
      <c r="BJ715" s="746"/>
      <c r="BK715" s="746"/>
      <c r="BL715" s="746"/>
      <c r="BM715" s="746"/>
      <c r="BN715" s="746"/>
      <c r="BO715" s="746"/>
      <c r="BP715" s="746"/>
      <c r="BQ715" s="746"/>
      <c r="BR715" s="746"/>
      <c r="BS715" s="746"/>
      <c r="BT715" s="746"/>
      <c r="BU715" s="746"/>
      <c r="BV715" s="746"/>
      <c r="BW715" s="746"/>
      <c r="BX715" s="746"/>
      <c r="BY715" s="729"/>
      <c r="BZ715" s="729"/>
      <c r="CA715" s="729"/>
      <c r="CB715" s="729"/>
      <c r="CC715" s="729"/>
      <c r="CD715" s="729"/>
      <c r="CE715" s="729"/>
      <c r="CF715" s="729"/>
      <c r="CG715" s="729"/>
      <c r="CH715" s="729"/>
      <c r="CI715" s="729"/>
      <c r="CJ715" s="729"/>
      <c r="CK715" s="729"/>
      <c r="CL715" s="729"/>
      <c r="CM715" s="729"/>
      <c r="CN715" s="729"/>
      <c r="CO715" s="729"/>
      <c r="CP715" s="729"/>
      <c r="CQ715" s="729"/>
      <c r="CR715" s="729"/>
      <c r="CS715" s="729"/>
      <c r="CT715" s="729"/>
      <c r="CU715" s="729"/>
      <c r="CV715" s="729"/>
      <c r="CW715" s="729"/>
      <c r="CX715" s="729"/>
      <c r="CY715" s="729"/>
      <c r="CZ715" s="729"/>
      <c r="DA715" s="729"/>
      <c r="DB715" s="729"/>
      <c r="DC715" s="729"/>
      <c r="DD715" s="729"/>
      <c r="DE715" s="729"/>
      <c r="DF715" s="729"/>
      <c r="DG715" s="729"/>
      <c r="DH715" s="729"/>
      <c r="DI715" s="729"/>
      <c r="DJ715" s="729"/>
      <c r="DK715" s="729"/>
      <c r="DL715" s="729"/>
      <c r="DM715" s="729"/>
      <c r="DN715" s="729"/>
      <c r="DO715" s="729"/>
      <c r="DP715" s="729"/>
      <c r="DQ715" s="729"/>
      <c r="DR715" s="729"/>
      <c r="DS715" s="729"/>
      <c r="DT715" s="729"/>
      <c r="DU715" s="729"/>
      <c r="DV715" s="729"/>
      <c r="DW715" s="729"/>
      <c r="DX715" s="729"/>
      <c r="DY715" s="729"/>
      <c r="DZ715" s="729"/>
      <c r="EA715" s="729"/>
      <c r="EB715" s="729"/>
      <c r="EC715" s="729"/>
      <c r="ED715" s="113" t="s">
        <v>1</v>
      </c>
    </row>
    <row r="716" spans="1:134" x14ac:dyDescent="0.2">
      <c r="A716" s="115" t="s">
        <v>97</v>
      </c>
      <c r="B716" s="129">
        <v>490698.28571428498</v>
      </c>
      <c r="C716" s="129">
        <v>527346.71428571397</v>
      </c>
      <c r="D716" s="129">
        <v>492922.71428571397</v>
      </c>
      <c r="E716" s="129">
        <v>514260.71428571397</v>
      </c>
      <c r="F716" s="129">
        <v>544897.14285714296</v>
      </c>
      <c r="G716" s="129">
        <v>651666.28571428603</v>
      </c>
      <c r="H716" s="129">
        <v>569034</v>
      </c>
      <c r="I716" s="129">
        <v>597510</v>
      </c>
      <c r="J716" s="129">
        <v>1086277.768571429</v>
      </c>
      <c r="K716" s="129">
        <v>850515.39026107406</v>
      </c>
      <c r="L716" s="129">
        <v>977189.39804195845</v>
      </c>
      <c r="M716" s="129">
        <v>956411.93178299849</v>
      </c>
      <c r="N716" s="129">
        <v>801318.02043440682</v>
      </c>
      <c r="O716" s="129">
        <v>1320464.8938045523</v>
      </c>
      <c r="P716" s="129">
        <v>1939177.3404338923</v>
      </c>
      <c r="Q716" s="129">
        <v>1573304.1128313041</v>
      </c>
      <c r="R716" s="129">
        <v>1699705.291718507</v>
      </c>
      <c r="S716" s="129">
        <v>1330533.0466932335</v>
      </c>
      <c r="T716" s="129">
        <v>1287703.1268782162</v>
      </c>
      <c r="U716" s="129">
        <v>1955594.6484347295</v>
      </c>
      <c r="V716" s="129">
        <v>2135933.8086260813</v>
      </c>
      <c r="W716" s="129">
        <v>2431175.1526706233</v>
      </c>
      <c r="X716" s="129">
        <v>2462765.1070482247</v>
      </c>
      <c r="Y716" s="129">
        <v>1942249.8419178082</v>
      </c>
      <c r="Z716" s="129">
        <v>2680204.3767246502</v>
      </c>
      <c r="AA716" s="129">
        <v>1828703.772851279</v>
      </c>
      <c r="AB716" s="129">
        <v>1954209.0007295688</v>
      </c>
      <c r="AC716" s="129">
        <v>2612445.6349083534</v>
      </c>
      <c r="AD716" s="129">
        <v>2613736.5537111498</v>
      </c>
      <c r="AE716" s="129">
        <v>1909840.5612438212</v>
      </c>
      <c r="AF716" s="129">
        <v>1854879.108632315</v>
      </c>
      <c r="AG716" s="129">
        <v>1914885.9991386868</v>
      </c>
      <c r="AH716" s="129">
        <v>1916921.9579367037</v>
      </c>
      <c r="AI716" s="129">
        <v>2669519.82306909</v>
      </c>
      <c r="AJ716" s="129">
        <v>2731221.7017118135</v>
      </c>
      <c r="AK716" s="129">
        <v>2097367.8272438515</v>
      </c>
      <c r="AL716" s="129">
        <v>928909.97184044181</v>
      </c>
      <c r="AM716" s="129">
        <v>1331265.6090894281</v>
      </c>
      <c r="AN716" s="129">
        <v>1343530.5114143116</v>
      </c>
      <c r="AO716" s="129">
        <v>1777810.3496144032</v>
      </c>
      <c r="AP716" s="129">
        <v>2105753.6585737341</v>
      </c>
      <c r="AQ716" s="129">
        <v>2940147.1518503325</v>
      </c>
      <c r="AR716" s="129">
        <v>3443267.6197614768</v>
      </c>
      <c r="AS716" s="129">
        <v>2897664.2038411782</v>
      </c>
      <c r="AT716" s="129">
        <v>2794549.6836031419</v>
      </c>
      <c r="AU716" s="129">
        <v>2721820.4337430727</v>
      </c>
      <c r="AV716" s="129">
        <v>2974043.4642445259</v>
      </c>
      <c r="AW716" s="129">
        <v>4329145.4762027049</v>
      </c>
      <c r="AX716" s="129">
        <v>3462649.90296369</v>
      </c>
      <c r="AY716" s="129">
        <v>3506119.6110700136</v>
      </c>
      <c r="AZ716" s="129">
        <v>2881340.097530758</v>
      </c>
      <c r="BA716" s="129">
        <v>3001305.9495205162</v>
      </c>
      <c r="BB716" s="129">
        <v>3042160.1227695374</v>
      </c>
      <c r="BC716" s="129">
        <v>2622600.33759367</v>
      </c>
      <c r="BD716" s="129">
        <v>2088747.9422027697</v>
      </c>
      <c r="BE716" s="129">
        <v>2100556.2866362217</v>
      </c>
      <c r="BF716" s="129">
        <v>2229844.3032932845</v>
      </c>
      <c r="BG716" s="129">
        <v>2398655.8778699739</v>
      </c>
      <c r="BH716" s="129">
        <v>2671883.7266247575</v>
      </c>
      <c r="BI716" s="129">
        <v>2128807.0226115403</v>
      </c>
      <c r="BJ716" s="129">
        <v>0</v>
      </c>
      <c r="BK716" s="129">
        <v>0</v>
      </c>
      <c r="BL716" s="129">
        <v>0</v>
      </c>
      <c r="BM716" s="129">
        <v>0</v>
      </c>
      <c r="BN716" s="129">
        <v>0</v>
      </c>
      <c r="BO716" s="129">
        <v>0</v>
      </c>
      <c r="BP716" s="129">
        <v>0</v>
      </c>
      <c r="BQ716" s="129">
        <v>0</v>
      </c>
      <c r="BR716" s="129">
        <v>0</v>
      </c>
      <c r="BS716" s="129">
        <v>0</v>
      </c>
      <c r="BT716" s="129">
        <v>0</v>
      </c>
      <c r="BU716" s="129">
        <v>0</v>
      </c>
      <c r="BV716" s="129">
        <v>0</v>
      </c>
      <c r="BW716" s="129">
        <v>0</v>
      </c>
      <c r="BX716" s="129">
        <v>0</v>
      </c>
      <c r="BY716" s="129">
        <v>0</v>
      </c>
      <c r="BZ716" s="129">
        <v>0</v>
      </c>
      <c r="CA716" s="129">
        <v>0</v>
      </c>
      <c r="CB716" s="129">
        <v>0</v>
      </c>
      <c r="CC716" s="129">
        <v>0</v>
      </c>
      <c r="CD716" s="129">
        <v>0</v>
      </c>
      <c r="CE716" s="129">
        <v>0</v>
      </c>
      <c r="CF716" s="129">
        <v>0</v>
      </c>
      <c r="CG716" s="129">
        <v>0</v>
      </c>
      <c r="CH716" s="129">
        <v>0</v>
      </c>
      <c r="CI716" s="129">
        <v>0</v>
      </c>
      <c r="CJ716" s="129">
        <v>0</v>
      </c>
      <c r="CK716" s="129">
        <v>0</v>
      </c>
      <c r="CL716" s="129">
        <v>0</v>
      </c>
      <c r="CM716" s="129">
        <v>0</v>
      </c>
      <c r="CN716" s="129">
        <v>0</v>
      </c>
      <c r="CO716" s="129">
        <v>0</v>
      </c>
      <c r="CP716" s="129">
        <v>0</v>
      </c>
      <c r="CQ716" s="129"/>
      <c r="CR716" s="129"/>
      <c r="CS716" s="129"/>
      <c r="CT716" s="129"/>
      <c r="CU716" s="129"/>
      <c r="CV716" s="129"/>
      <c r="CW716" s="129"/>
      <c r="CX716" s="129"/>
      <c r="CY716" s="129"/>
      <c r="CZ716" s="129"/>
      <c r="DA716" s="129"/>
      <c r="DB716" s="129"/>
      <c r="DC716" s="129"/>
      <c r="DD716" s="129"/>
      <c r="DE716" s="129"/>
      <c r="DF716" s="129"/>
      <c r="DG716" s="129"/>
      <c r="DH716" s="129"/>
      <c r="DI716" s="129"/>
      <c r="DJ716" s="129"/>
      <c r="DK716" s="129"/>
      <c r="DL716" s="129"/>
      <c r="DM716" s="129"/>
      <c r="DN716" s="129"/>
      <c r="DO716" s="129"/>
      <c r="DP716" s="129"/>
      <c r="DQ716" s="129"/>
      <c r="DR716" s="115"/>
      <c r="DS716" s="115"/>
      <c r="DT716" s="115"/>
      <c r="DU716" s="115"/>
      <c r="DV716" s="115"/>
      <c r="DW716" s="115"/>
      <c r="DX716" s="115"/>
      <c r="DY716" s="115"/>
      <c r="DZ716" s="115"/>
      <c r="EA716" s="115"/>
      <c r="EB716" s="115"/>
      <c r="EC716" s="645"/>
      <c r="ED716" s="113" t="s">
        <v>1</v>
      </c>
    </row>
    <row r="717" spans="1:134" x14ac:dyDescent="0.2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15"/>
      <c r="AU717" s="115"/>
      <c r="AV717" s="115"/>
      <c r="AW717" s="115"/>
      <c r="AX717" s="115"/>
      <c r="AY717" s="115"/>
      <c r="AZ717" s="115"/>
      <c r="BA717" s="115"/>
      <c r="BB717" s="115"/>
      <c r="BC717" s="115"/>
      <c r="BD717" s="115"/>
      <c r="BE717" s="115"/>
      <c r="BF717" s="115"/>
      <c r="BG717" s="115"/>
      <c r="BH717" s="115"/>
      <c r="BI717" s="115"/>
      <c r="BJ717" s="115"/>
      <c r="BK717" s="115"/>
      <c r="BL717" s="115"/>
      <c r="BM717" s="115"/>
      <c r="BN717" s="115"/>
      <c r="BO717" s="115"/>
      <c r="BP717" s="115"/>
      <c r="BQ717" s="115"/>
      <c r="BR717" s="115"/>
      <c r="BS717" s="115"/>
      <c r="BT717" s="115"/>
      <c r="BU717" s="115"/>
      <c r="BV717" s="115"/>
      <c r="BW717" s="115"/>
      <c r="BX717" s="115"/>
      <c r="BY717" s="115"/>
      <c r="BZ717" s="115"/>
      <c r="CA717" s="115"/>
      <c r="CB717" s="115"/>
      <c r="CC717" s="115"/>
      <c r="CD717" s="115"/>
      <c r="CE717" s="115"/>
      <c r="CF717" s="115"/>
      <c r="CG717" s="115"/>
      <c r="CH717" s="115"/>
      <c r="CI717" s="115"/>
      <c r="CJ717" s="115"/>
      <c r="CK717" s="115"/>
      <c r="CL717" s="115"/>
      <c r="CM717" s="115"/>
      <c r="CN717" s="115"/>
      <c r="CO717" s="115"/>
      <c r="CP717" s="115"/>
      <c r="CQ717" s="115"/>
      <c r="CR717" s="115"/>
      <c r="CS717" s="115"/>
      <c r="CT717" s="115"/>
      <c r="CU717" s="115"/>
      <c r="CV717" s="115"/>
      <c r="CW717" s="115"/>
      <c r="CX717" s="115"/>
      <c r="CY717" s="115"/>
      <c r="CZ717" s="115"/>
      <c r="DA717" s="115"/>
      <c r="DB717" s="115"/>
      <c r="DC717" s="115"/>
      <c r="DD717" s="115"/>
      <c r="DE717" s="115"/>
      <c r="DF717" s="115"/>
      <c r="DG717" s="115"/>
      <c r="DH717" s="115"/>
      <c r="DI717" s="115"/>
      <c r="DJ717" s="115"/>
      <c r="DK717" s="115"/>
      <c r="DL717" s="115"/>
      <c r="DM717" s="115"/>
      <c r="DN717" s="115"/>
      <c r="DO717" s="115"/>
      <c r="DP717" s="115"/>
      <c r="DQ717" s="115"/>
      <c r="DR717" s="115"/>
      <c r="DS717" s="115"/>
      <c r="DT717" s="115"/>
      <c r="DU717" s="115"/>
      <c r="DV717" s="115"/>
      <c r="DW717" s="115"/>
      <c r="DX717" s="115"/>
      <c r="DY717" s="115"/>
      <c r="DZ717" s="115"/>
      <c r="EA717" s="115"/>
      <c r="EB717" s="115"/>
      <c r="EC717" s="645"/>
      <c r="ED717" s="113" t="s">
        <v>1</v>
      </c>
    </row>
    <row r="718" spans="1:134" x14ac:dyDescent="0.2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15"/>
      <c r="AU718" s="115"/>
      <c r="AV718" s="115"/>
      <c r="AW718" s="115"/>
      <c r="AX718" s="115"/>
      <c r="AY718" s="115"/>
      <c r="AZ718" s="115"/>
      <c r="BA718" s="115"/>
      <c r="BB718" s="115"/>
      <c r="BC718" s="115"/>
      <c r="BD718" s="115"/>
      <c r="BE718" s="115"/>
      <c r="BF718" s="115"/>
      <c r="BG718" s="115"/>
      <c r="BH718" s="115"/>
      <c r="BI718" s="115"/>
      <c r="BJ718" s="115"/>
      <c r="BK718" s="115"/>
      <c r="BL718" s="115"/>
      <c r="BM718" s="115"/>
      <c r="BN718" s="115"/>
      <c r="BO718" s="115"/>
      <c r="BP718" s="115"/>
      <c r="BQ718" s="115"/>
      <c r="BR718" s="115"/>
      <c r="BS718" s="115"/>
      <c r="BT718" s="115"/>
      <c r="BU718" s="115"/>
      <c r="BV718" s="115"/>
      <c r="BW718" s="115"/>
      <c r="BX718" s="115"/>
      <c r="BY718" s="115"/>
      <c r="BZ718" s="115"/>
      <c r="CA718" s="115"/>
      <c r="CB718" s="115"/>
      <c r="CC718" s="115"/>
      <c r="CD718" s="115"/>
      <c r="CE718" s="115"/>
      <c r="CF718" s="115"/>
      <c r="CG718" s="115"/>
      <c r="CH718" s="115"/>
      <c r="CI718" s="115"/>
      <c r="CJ718" s="115"/>
      <c r="CK718" s="115"/>
      <c r="CL718" s="115"/>
      <c r="CM718" s="115"/>
      <c r="CN718" s="115"/>
      <c r="CO718" s="115"/>
      <c r="CP718" s="115"/>
      <c r="CQ718" s="115"/>
      <c r="CR718" s="115"/>
      <c r="CS718" s="115"/>
      <c r="CT718" s="115"/>
      <c r="CU718" s="115"/>
      <c r="CV718" s="115"/>
      <c r="CW718" s="115"/>
      <c r="CX718" s="115"/>
      <c r="CY718" s="115"/>
      <c r="CZ718" s="115"/>
      <c r="DA718" s="115"/>
      <c r="DB718" s="115"/>
      <c r="DC718" s="115"/>
      <c r="DD718" s="115"/>
      <c r="DE718" s="115"/>
      <c r="DF718" s="115"/>
      <c r="DG718" s="115"/>
      <c r="DH718" s="115"/>
      <c r="DI718" s="115"/>
      <c r="DJ718" s="115"/>
      <c r="DK718" s="115"/>
      <c r="DL718" s="115"/>
      <c r="DM718" s="115"/>
      <c r="DN718" s="115"/>
      <c r="DO718" s="115"/>
      <c r="DP718" s="115"/>
      <c r="DQ718" s="115"/>
      <c r="DR718" s="115"/>
      <c r="DS718" s="115"/>
      <c r="DT718" s="115"/>
      <c r="DU718" s="115"/>
      <c r="DV718" s="115"/>
      <c r="DW718" s="115"/>
      <c r="DX718" s="115"/>
      <c r="DY718" s="115"/>
      <c r="DZ718" s="115"/>
      <c r="EA718" s="115"/>
      <c r="EB718" s="115"/>
      <c r="EC718" s="645"/>
      <c r="ED718" s="113" t="s">
        <v>1</v>
      </c>
    </row>
    <row r="719" spans="1:134" x14ac:dyDescent="0.2">
      <c r="A719" s="120" t="s">
        <v>235</v>
      </c>
      <c r="B719" s="129">
        <f>B720+B721</f>
        <v>332255.57142857101</v>
      </c>
      <c r="C719" s="129">
        <f t="shared" ref="C719:BN719" si="2695">C720+C721</f>
        <v>364777</v>
      </c>
      <c r="D719" s="129">
        <f t="shared" si="2695"/>
        <v>326310</v>
      </c>
      <c r="E719" s="129">
        <f t="shared" si="2695"/>
        <v>339634</v>
      </c>
      <c r="F719" s="129">
        <f t="shared" si="2695"/>
        <v>371073</v>
      </c>
      <c r="G719" s="129">
        <f t="shared" si="2695"/>
        <v>490675</v>
      </c>
      <c r="H719" s="129">
        <f t="shared" si="2695"/>
        <v>398017</v>
      </c>
      <c r="I719" s="129">
        <f t="shared" si="2695"/>
        <v>413772</v>
      </c>
      <c r="J719" s="129">
        <f t="shared" si="2695"/>
        <v>475206</v>
      </c>
      <c r="K719" s="129">
        <f t="shared" si="2695"/>
        <v>564463</v>
      </c>
      <c r="L719" s="129">
        <f t="shared" si="2695"/>
        <v>699573</v>
      </c>
      <c r="M719" s="129">
        <f t="shared" si="2695"/>
        <v>818274</v>
      </c>
      <c r="N719" s="129">
        <f t="shared" si="2695"/>
        <v>810109</v>
      </c>
      <c r="O719" s="129">
        <f t="shared" si="2695"/>
        <v>855460</v>
      </c>
      <c r="P719" s="129">
        <f t="shared" si="2695"/>
        <v>891417</v>
      </c>
      <c r="Q719" s="129">
        <f t="shared" si="2695"/>
        <v>938553</v>
      </c>
      <c r="R719" s="129">
        <f t="shared" si="2695"/>
        <v>935096</v>
      </c>
      <c r="S719" s="129">
        <f t="shared" si="2695"/>
        <v>977597</v>
      </c>
      <c r="T719" s="129">
        <f t="shared" si="2695"/>
        <v>896595</v>
      </c>
      <c r="U719" s="129">
        <f t="shared" si="2695"/>
        <v>1247085</v>
      </c>
      <c r="V719" s="129">
        <f t="shared" si="2695"/>
        <v>1335209</v>
      </c>
      <c r="W719" s="129">
        <f t="shared" si="2695"/>
        <v>1707537</v>
      </c>
      <c r="X719" s="129">
        <f t="shared" si="2695"/>
        <v>1381816.1666666665</v>
      </c>
      <c r="Y719" s="129">
        <f t="shared" si="2695"/>
        <v>1332413.5</v>
      </c>
      <c r="Z719" s="129">
        <f t="shared" si="2695"/>
        <v>1340077.9433333334</v>
      </c>
      <c r="AA719" s="129">
        <f t="shared" si="2695"/>
        <v>1509036.1586904759</v>
      </c>
      <c r="AB719" s="129">
        <f t="shared" si="2695"/>
        <v>2665877.6126356004</v>
      </c>
      <c r="AC719" s="129">
        <f t="shared" si="2695"/>
        <v>2371099.1311917026</v>
      </c>
      <c r="AD719" s="129">
        <f t="shared" si="2695"/>
        <v>2720018.9956861883</v>
      </c>
      <c r="AE719" s="129">
        <f t="shared" si="2695"/>
        <v>2577497.6428061649</v>
      </c>
      <c r="AF719" s="129">
        <f t="shared" si="2695"/>
        <v>3032693.3473946261</v>
      </c>
      <c r="AG719" s="129">
        <f t="shared" si="2695"/>
        <v>2942402.0395399434</v>
      </c>
      <c r="AH719" s="129">
        <f t="shared" si="2695"/>
        <v>3248637.9214127199</v>
      </c>
      <c r="AI719" s="129">
        <f t="shared" si="2695"/>
        <v>4330843.0214770669</v>
      </c>
      <c r="AJ719" s="129">
        <f t="shared" si="2695"/>
        <v>4133592.1368244877</v>
      </c>
      <c r="AK719" s="129">
        <f t="shared" si="2695"/>
        <v>4748522.6444712412</v>
      </c>
      <c r="AL719" s="129">
        <f t="shared" si="2695"/>
        <v>5238323.7513232781</v>
      </c>
      <c r="AM719" s="129">
        <f t="shared" si="2695"/>
        <v>4919399.2748063225</v>
      </c>
      <c r="AN719" s="129">
        <f t="shared" si="2695"/>
        <v>4277659.062901021</v>
      </c>
      <c r="AO719" s="129">
        <f t="shared" si="2695"/>
        <v>6041852.6344546042</v>
      </c>
      <c r="AP719" s="129">
        <f t="shared" si="2695"/>
        <v>6877309.2834510822</v>
      </c>
      <c r="AQ719" s="129">
        <f t="shared" si="2695"/>
        <v>7926400.6623841505</v>
      </c>
      <c r="AR719" s="129">
        <f t="shared" si="2695"/>
        <v>9530499.2892743796</v>
      </c>
      <c r="AS719" s="129">
        <f t="shared" si="2695"/>
        <v>9854827.1479927879</v>
      </c>
      <c r="AT719" s="129">
        <f t="shared" si="2695"/>
        <v>10634996.60321622</v>
      </c>
      <c r="AU719" s="129">
        <f t="shared" si="2695"/>
        <v>11285770.89894532</v>
      </c>
      <c r="AV719" s="129">
        <f t="shared" si="2695"/>
        <v>11703593.703126127</v>
      </c>
      <c r="AW719" s="129">
        <f t="shared" si="2695"/>
        <v>14572623.621790767</v>
      </c>
      <c r="AX719" s="129">
        <f t="shared" si="2695"/>
        <v>16553356.074682107</v>
      </c>
      <c r="AY719" s="129">
        <f t="shared" si="2695"/>
        <v>15230186.552016957</v>
      </c>
      <c r="AZ719" s="129">
        <f t="shared" si="2695"/>
        <v>15668035.688666061</v>
      </c>
      <c r="BA719" s="129">
        <f t="shared" si="2695"/>
        <v>16941601.295672234</v>
      </c>
      <c r="BB719" s="129">
        <f t="shared" si="2695"/>
        <v>18426500.129586093</v>
      </c>
      <c r="BC719" s="129">
        <f t="shared" si="2695"/>
        <v>18834706.724077258</v>
      </c>
      <c r="BD719" s="129">
        <f t="shared" si="2695"/>
        <v>19765288.429201704</v>
      </c>
      <c r="BE719" s="129">
        <f t="shared" si="2695"/>
        <v>19710935.741547223</v>
      </c>
      <c r="BF719" s="129">
        <f t="shared" si="2695"/>
        <v>21337736.753426392</v>
      </c>
      <c r="BG719" s="129">
        <f t="shared" si="2695"/>
        <v>23115078.312533449</v>
      </c>
      <c r="BH719" s="129">
        <f t="shared" si="2695"/>
        <v>24040866.189576276</v>
      </c>
      <c r="BI719" s="129">
        <f t="shared" si="2695"/>
        <v>24054571.356704507</v>
      </c>
      <c r="BJ719" s="129">
        <f t="shared" si="2695"/>
        <v>28408020.196151759</v>
      </c>
      <c r="BK719" s="129">
        <f t="shared" si="2695"/>
        <v>27810308.753370479</v>
      </c>
      <c r="BL719" s="129">
        <f t="shared" si="2695"/>
        <v>27892724.889318805</v>
      </c>
      <c r="BM719" s="129">
        <f t="shared" si="2695"/>
        <v>27467205.2353114</v>
      </c>
      <c r="BN719" s="129">
        <f t="shared" si="2695"/>
        <v>25827129.94403648</v>
      </c>
      <c r="BO719" s="129">
        <f t="shared" ref="BO719:DQ719" si="2696">BO720+BO721</f>
        <v>25922664.065267149</v>
      </c>
      <c r="BP719" s="129">
        <f t="shared" si="2696"/>
        <v>27351114.544207819</v>
      </c>
      <c r="BQ719" s="129">
        <f t="shared" si="2696"/>
        <v>26591032.699061442</v>
      </c>
      <c r="BR719" s="129">
        <f t="shared" si="2696"/>
        <v>26011751.12176165</v>
      </c>
      <c r="BS719" s="129">
        <f t="shared" si="2696"/>
        <v>23383547.990403362</v>
      </c>
      <c r="BT719" s="129">
        <f t="shared" si="2696"/>
        <v>22621774.116312202</v>
      </c>
      <c r="BU719" s="129">
        <f t="shared" si="2696"/>
        <v>23278145.533664696</v>
      </c>
      <c r="BV719" s="129">
        <f t="shared" si="2696"/>
        <v>26220981.470957831</v>
      </c>
      <c r="BW719" s="129">
        <f t="shared" si="2696"/>
        <v>26970235.797902741</v>
      </c>
      <c r="BX719" s="129">
        <f t="shared" si="2696"/>
        <v>27011208.327050809</v>
      </c>
      <c r="BY719" s="129">
        <f t="shared" si="2696"/>
        <v>27158642.142319184</v>
      </c>
      <c r="BZ719" s="129">
        <f t="shared" si="2696"/>
        <v>26376385.998150468</v>
      </c>
      <c r="CA719" s="129">
        <f t="shared" si="2696"/>
        <v>24747473.595810436</v>
      </c>
      <c r="CB719" s="129">
        <f t="shared" si="2696"/>
        <v>23413826.454161432</v>
      </c>
      <c r="CC719" s="129">
        <f t="shared" si="2696"/>
        <v>24430482.886025671</v>
      </c>
      <c r="CD719" s="129">
        <f t="shared" si="2696"/>
        <v>24675127.570577443</v>
      </c>
      <c r="CE719" s="129">
        <f t="shared" si="2696"/>
        <v>24875576.034483522</v>
      </c>
      <c r="CF719" s="129">
        <f t="shared" si="2696"/>
        <v>25654556.682382114</v>
      </c>
      <c r="CG719" s="129">
        <f t="shared" si="2696"/>
        <v>29660829.79627879</v>
      </c>
      <c r="CH719" s="129">
        <f t="shared" si="2696"/>
        <v>31640404.09050785</v>
      </c>
      <c r="CI719" s="129">
        <f t="shared" si="2696"/>
        <v>31384313.015069883</v>
      </c>
      <c r="CJ719" s="129">
        <f t="shared" si="2696"/>
        <v>31387932.673712611</v>
      </c>
      <c r="CK719" s="129">
        <f t="shared" si="2696"/>
        <v>32742789.199820682</v>
      </c>
      <c r="CL719" s="129">
        <f t="shared" si="2696"/>
        <v>34032284.414593011</v>
      </c>
      <c r="CM719" s="129">
        <f t="shared" si="2696"/>
        <v>33155042.306263126</v>
      </c>
      <c r="CN719" s="129">
        <f t="shared" si="2696"/>
        <v>34521328.082347736</v>
      </c>
      <c r="CO719" s="129">
        <f t="shared" si="2696"/>
        <v>37074892.485485964</v>
      </c>
      <c r="CP719" s="129">
        <f t="shared" si="2696"/>
        <v>36586833.946860552</v>
      </c>
      <c r="CQ719" s="129">
        <f t="shared" si="2696"/>
        <v>41986565.564034581</v>
      </c>
      <c r="CR719" s="129">
        <f t="shared" si="2696"/>
        <v>42910612.053976715</v>
      </c>
      <c r="CS719" s="129">
        <f t="shared" si="2696"/>
        <v>40885367.514064789</v>
      </c>
      <c r="CT719" s="129">
        <f t="shared" si="2696"/>
        <v>44156196.915189974</v>
      </c>
      <c r="CU719" s="129">
        <f t="shared" si="2696"/>
        <v>44156196.915189974</v>
      </c>
      <c r="CV719" s="129">
        <f t="shared" si="2696"/>
        <v>44156196.915189974</v>
      </c>
      <c r="CW719" s="129">
        <f t="shared" si="2696"/>
        <v>44156196.915189974</v>
      </c>
      <c r="CX719" s="129">
        <f t="shared" si="2696"/>
        <v>44156196.915189974</v>
      </c>
      <c r="CY719" s="129">
        <f t="shared" si="2696"/>
        <v>44156196.915189974</v>
      </c>
      <c r="CZ719" s="129">
        <f t="shared" si="2696"/>
        <v>44156196.915189974</v>
      </c>
      <c r="DA719" s="129">
        <f t="shared" si="2696"/>
        <v>44156196.915189974</v>
      </c>
      <c r="DB719" s="129">
        <f t="shared" si="2696"/>
        <v>44156196.915189974</v>
      </c>
      <c r="DC719" s="129">
        <f t="shared" si="2696"/>
        <v>44156196.915189974</v>
      </c>
      <c r="DD719" s="129">
        <f t="shared" si="2696"/>
        <v>44156196.915189974</v>
      </c>
      <c r="DE719" s="129">
        <f t="shared" si="2696"/>
        <v>44156196.915189974</v>
      </c>
      <c r="DF719" s="129">
        <f t="shared" si="2696"/>
        <v>47688692.668405175</v>
      </c>
      <c r="DG719" s="129">
        <f t="shared" si="2696"/>
        <v>47688692.668405175</v>
      </c>
      <c r="DH719" s="129">
        <f t="shared" si="2696"/>
        <v>47688692.668405175</v>
      </c>
      <c r="DI719" s="129">
        <f t="shared" si="2696"/>
        <v>47688692.668405175</v>
      </c>
      <c r="DJ719" s="129">
        <f t="shared" si="2696"/>
        <v>47688692.668405175</v>
      </c>
      <c r="DK719" s="129">
        <f t="shared" si="2696"/>
        <v>47688692.668405175</v>
      </c>
      <c r="DL719" s="129">
        <f t="shared" si="2696"/>
        <v>47688692.668405175</v>
      </c>
      <c r="DM719" s="129">
        <f t="shared" si="2696"/>
        <v>47688692.668405175</v>
      </c>
      <c r="DN719" s="129">
        <f t="shared" si="2696"/>
        <v>47688692.668405175</v>
      </c>
      <c r="DO719" s="129">
        <f t="shared" si="2696"/>
        <v>47688692.668405175</v>
      </c>
      <c r="DP719" s="129">
        <f t="shared" si="2696"/>
        <v>47688692.668405175</v>
      </c>
      <c r="DQ719" s="129">
        <f t="shared" si="2696"/>
        <v>47688692.668405175</v>
      </c>
      <c r="DR719" s="129">
        <f t="shared" ref="DR719:EC719" si="2697">DR720+DR721</f>
        <v>51503788.081877589</v>
      </c>
      <c r="DS719" s="129">
        <f t="shared" si="2697"/>
        <v>51503788.081877589</v>
      </c>
      <c r="DT719" s="129">
        <f t="shared" si="2697"/>
        <v>51503788.081877589</v>
      </c>
      <c r="DU719" s="129">
        <f t="shared" si="2697"/>
        <v>51503788.081877589</v>
      </c>
      <c r="DV719" s="129">
        <f t="shared" si="2697"/>
        <v>51503788.081877589</v>
      </c>
      <c r="DW719" s="129">
        <f t="shared" si="2697"/>
        <v>51503788.081877589</v>
      </c>
      <c r="DX719" s="129">
        <f t="shared" si="2697"/>
        <v>51503788.081877589</v>
      </c>
      <c r="DY719" s="129">
        <f t="shared" si="2697"/>
        <v>51503788.081877589</v>
      </c>
      <c r="DZ719" s="129">
        <f t="shared" si="2697"/>
        <v>51503788.081877589</v>
      </c>
      <c r="EA719" s="129">
        <f t="shared" si="2697"/>
        <v>51503788.081877589</v>
      </c>
      <c r="EB719" s="129">
        <f t="shared" si="2697"/>
        <v>51503788.081877589</v>
      </c>
      <c r="EC719" s="644">
        <f t="shared" si="2697"/>
        <v>51503788.081877589</v>
      </c>
      <c r="ED719" s="113" t="s">
        <v>1</v>
      </c>
    </row>
    <row r="720" spans="1:134" x14ac:dyDescent="0.2">
      <c r="A720" s="698" t="s">
        <v>188</v>
      </c>
      <c r="B720" s="129">
        <v>110960</v>
      </c>
      <c r="C720" s="129">
        <v>126320</v>
      </c>
      <c r="D720" s="129">
        <v>110960</v>
      </c>
      <c r="E720" s="129">
        <v>126360</v>
      </c>
      <c r="F720" s="129">
        <v>158799</v>
      </c>
      <c r="G720" s="129">
        <v>177626</v>
      </c>
      <c r="H720" s="129">
        <v>213143</v>
      </c>
      <c r="I720" s="129">
        <v>215126</v>
      </c>
      <c r="J720" s="129">
        <v>255932</v>
      </c>
      <c r="K720" s="129">
        <v>345189</v>
      </c>
      <c r="L720" s="129">
        <v>348356</v>
      </c>
      <c r="M720" s="129">
        <v>434984</v>
      </c>
      <c r="N720" s="129">
        <v>366821</v>
      </c>
      <c r="O720" s="129">
        <v>416535</v>
      </c>
      <c r="P720" s="129">
        <v>448679</v>
      </c>
      <c r="Q720" s="129">
        <v>498695</v>
      </c>
      <c r="R720" s="129">
        <v>495661.99999999994</v>
      </c>
      <c r="S720" s="129">
        <v>496613</v>
      </c>
      <c r="T720" s="129">
        <v>478752</v>
      </c>
      <c r="U720" s="129">
        <v>525180</v>
      </c>
      <c r="V720" s="129">
        <v>741207</v>
      </c>
      <c r="W720" s="129">
        <v>1067173</v>
      </c>
      <c r="X720" s="129">
        <v>775750.66666666651</v>
      </c>
      <c r="Y720" s="129">
        <v>758614</v>
      </c>
      <c r="Z720" s="129">
        <v>742120.05833333335</v>
      </c>
      <c r="AA720" s="129">
        <v>721128.01083333301</v>
      </c>
      <c r="AB720" s="129">
        <v>1797584.1150161389</v>
      </c>
      <c r="AC720" s="129">
        <v>1593326.1191648855</v>
      </c>
      <c r="AD720" s="129">
        <v>1873651.8111714476</v>
      </c>
      <c r="AE720" s="129">
        <v>1911845.6363756643</v>
      </c>
      <c r="AF720" s="129">
        <v>2361496.2065220415</v>
      </c>
      <c r="AG720" s="129">
        <v>2254639.5685634143</v>
      </c>
      <c r="AH720" s="129">
        <v>2476979.8220768748</v>
      </c>
      <c r="AI720" s="129">
        <v>3405091.9418454128</v>
      </c>
      <c r="AJ720" s="129">
        <v>3271467.9586946587</v>
      </c>
      <c r="AK720" s="129">
        <v>4008180.366370704</v>
      </c>
      <c r="AL720" s="129">
        <v>4534823.9221463464</v>
      </c>
      <c r="AM720" s="129">
        <v>4063044.3455448714</v>
      </c>
      <c r="AN720" s="129">
        <v>3450339.6585839852</v>
      </c>
      <c r="AO720" s="129">
        <v>4618862.6583401319</v>
      </c>
      <c r="AP720" s="129">
        <v>5274364.6332843322</v>
      </c>
      <c r="AQ720" s="129">
        <v>6132122.9181990996</v>
      </c>
      <c r="AR720" s="129">
        <v>7590569.8025222719</v>
      </c>
      <c r="AS720" s="129">
        <v>7808303.3883367032</v>
      </c>
      <c r="AT720" s="129">
        <v>8454758.8146454804</v>
      </c>
      <c r="AU720" s="129">
        <v>9009073.0222763903</v>
      </c>
      <c r="AV720" s="129">
        <v>9369089.4003605489</v>
      </c>
      <c r="AW720" s="129">
        <v>11188702.284748098</v>
      </c>
      <c r="AX720" s="129">
        <v>13341080.438094471</v>
      </c>
      <c r="AY720" s="129">
        <v>11742265.383763574</v>
      </c>
      <c r="AZ720" s="129">
        <v>12940833.921818776</v>
      </c>
      <c r="BA720" s="129">
        <v>13932461.383077281</v>
      </c>
      <c r="BB720" s="129">
        <v>15402524.727812907</v>
      </c>
      <c r="BC720" s="129">
        <v>15025169.494612131</v>
      </c>
      <c r="BD720" s="129">
        <v>15977105.905225076</v>
      </c>
      <c r="BE720" s="129">
        <v>15594488.704846799</v>
      </c>
      <c r="BF720" s="129">
        <v>17214010.422119729</v>
      </c>
      <c r="BG720" s="129">
        <v>18694433.809787061</v>
      </c>
      <c r="BH720" s="129">
        <v>19609331.115823559</v>
      </c>
      <c r="BI720" s="129">
        <v>18421027.225259602</v>
      </c>
      <c r="BJ720" s="129">
        <v>18114584.155481126</v>
      </c>
      <c r="BK720" s="129">
        <v>17325053.958066553</v>
      </c>
      <c r="BL720" s="129">
        <v>17345638.365077417</v>
      </c>
      <c r="BM720" s="129">
        <v>17109518.710709631</v>
      </c>
      <c r="BN720" s="129">
        <v>16029638.969796877</v>
      </c>
      <c r="BO720" s="129">
        <v>16474438.169228528</v>
      </c>
      <c r="BP720" s="129">
        <v>18163281.938638382</v>
      </c>
      <c r="BQ720" s="129">
        <v>16760064.358283237</v>
      </c>
      <c r="BR720" s="129">
        <v>16173981.699542066</v>
      </c>
      <c r="BS720" s="129">
        <v>14171721.738624126</v>
      </c>
      <c r="BT720" s="129">
        <v>13939491.558407735</v>
      </c>
      <c r="BU720" s="129">
        <v>14167941.533852343</v>
      </c>
      <c r="BV720" s="129">
        <v>16254143.867937969</v>
      </c>
      <c r="BW720" s="129">
        <v>16415147.978328232</v>
      </c>
      <c r="BX720" s="129">
        <v>15864676.058838796</v>
      </c>
      <c r="BY720" s="129">
        <v>15938825.212245319</v>
      </c>
      <c r="BZ720" s="129">
        <v>15556973.196027217</v>
      </c>
      <c r="CA720" s="129">
        <v>14504868.76171279</v>
      </c>
      <c r="CB720" s="129">
        <v>17057628.106575374</v>
      </c>
      <c r="CC720" s="129">
        <v>17983568.876556892</v>
      </c>
      <c r="CD720" s="129">
        <v>18150449.68829095</v>
      </c>
      <c r="CE720" s="129">
        <v>17918612.277669493</v>
      </c>
      <c r="CF720" s="129">
        <v>18575150.410773523</v>
      </c>
      <c r="CG720" s="129">
        <v>21446587.604450215</v>
      </c>
      <c r="CH720" s="129">
        <v>20657592.35004231</v>
      </c>
      <c r="CI720" s="129">
        <v>20480035.53212795</v>
      </c>
      <c r="CJ720" s="129">
        <v>20280914.027277052</v>
      </c>
      <c r="CK720" s="129">
        <v>21732660.04463201</v>
      </c>
      <c r="CL720" s="129">
        <v>22660853.967915911</v>
      </c>
      <c r="CM720" s="129">
        <v>21549895.410087578</v>
      </c>
      <c r="CN720" s="129">
        <v>23263485.018828973</v>
      </c>
      <c r="CO720" s="129">
        <v>24604608.31774186</v>
      </c>
      <c r="CP720" s="129">
        <v>24180924.628740732</v>
      </c>
      <c r="CQ720" s="129">
        <v>28102943.7892607</v>
      </c>
      <c r="CR720" s="129">
        <v>28800442.542883001</v>
      </c>
      <c r="CS720" s="129">
        <v>26877472.464568667</v>
      </c>
      <c r="CT720" s="129">
        <f t="shared" ref="CT720:DQ721" si="2698">CS720*(1+CT729)</f>
        <v>29027670.261734162</v>
      </c>
      <c r="CU720" s="129">
        <f t="shared" si="2698"/>
        <v>29027670.261734162</v>
      </c>
      <c r="CV720" s="129">
        <f t="shared" si="2698"/>
        <v>29027670.261734162</v>
      </c>
      <c r="CW720" s="129">
        <f t="shared" si="2698"/>
        <v>29027670.261734162</v>
      </c>
      <c r="CX720" s="129">
        <f t="shared" si="2698"/>
        <v>29027670.261734162</v>
      </c>
      <c r="CY720" s="129">
        <f t="shared" si="2698"/>
        <v>29027670.261734162</v>
      </c>
      <c r="CZ720" s="129">
        <f t="shared" si="2698"/>
        <v>29027670.261734162</v>
      </c>
      <c r="DA720" s="129">
        <f t="shared" si="2698"/>
        <v>29027670.261734162</v>
      </c>
      <c r="DB720" s="129">
        <f t="shared" si="2698"/>
        <v>29027670.261734162</v>
      </c>
      <c r="DC720" s="129">
        <f t="shared" si="2698"/>
        <v>29027670.261734162</v>
      </c>
      <c r="DD720" s="129">
        <f t="shared" si="2698"/>
        <v>29027670.261734162</v>
      </c>
      <c r="DE720" s="129">
        <f t="shared" si="2698"/>
        <v>29027670.261734162</v>
      </c>
      <c r="DF720" s="129">
        <f t="shared" si="2698"/>
        <v>31349883.882672895</v>
      </c>
      <c r="DG720" s="129">
        <f t="shared" si="2698"/>
        <v>31349883.882672895</v>
      </c>
      <c r="DH720" s="129">
        <f t="shared" si="2698"/>
        <v>31349883.882672895</v>
      </c>
      <c r="DI720" s="129">
        <f t="shared" si="2698"/>
        <v>31349883.882672895</v>
      </c>
      <c r="DJ720" s="129">
        <f t="shared" si="2698"/>
        <v>31349883.882672895</v>
      </c>
      <c r="DK720" s="129">
        <f t="shared" si="2698"/>
        <v>31349883.882672895</v>
      </c>
      <c r="DL720" s="129">
        <f t="shared" si="2698"/>
        <v>31349883.882672895</v>
      </c>
      <c r="DM720" s="129">
        <f t="shared" si="2698"/>
        <v>31349883.882672895</v>
      </c>
      <c r="DN720" s="129">
        <f t="shared" si="2698"/>
        <v>31349883.882672895</v>
      </c>
      <c r="DO720" s="129">
        <f t="shared" si="2698"/>
        <v>31349883.882672895</v>
      </c>
      <c r="DP720" s="129">
        <f t="shared" si="2698"/>
        <v>31349883.882672895</v>
      </c>
      <c r="DQ720" s="129">
        <f t="shared" si="2698"/>
        <v>31349883.882672895</v>
      </c>
      <c r="DR720" s="129">
        <f t="shared" ref="DR720:DR725" si="2699">DQ720*(1+DR729)</f>
        <v>33857874.59328673</v>
      </c>
      <c r="DS720" s="129">
        <f t="shared" ref="DS720:DS725" si="2700">DR720*(1+DS729)</f>
        <v>33857874.59328673</v>
      </c>
      <c r="DT720" s="129">
        <f t="shared" ref="DT720:DT725" si="2701">DS720*(1+DT729)</f>
        <v>33857874.59328673</v>
      </c>
      <c r="DU720" s="129">
        <f t="shared" ref="DU720:DU725" si="2702">DT720*(1+DU729)</f>
        <v>33857874.59328673</v>
      </c>
      <c r="DV720" s="129">
        <f t="shared" ref="DV720:DV725" si="2703">DU720*(1+DV729)</f>
        <v>33857874.59328673</v>
      </c>
      <c r="DW720" s="129">
        <f t="shared" ref="DW720:DW725" si="2704">DV720*(1+DW729)</f>
        <v>33857874.59328673</v>
      </c>
      <c r="DX720" s="129">
        <f t="shared" ref="DX720:DX725" si="2705">DW720*(1+DX729)</f>
        <v>33857874.59328673</v>
      </c>
      <c r="DY720" s="129">
        <f t="shared" ref="DY720:DY725" si="2706">DX720*(1+DY729)</f>
        <v>33857874.59328673</v>
      </c>
      <c r="DZ720" s="129">
        <f t="shared" ref="DZ720:DZ725" si="2707">DY720*(1+DZ729)</f>
        <v>33857874.59328673</v>
      </c>
      <c r="EA720" s="129">
        <f t="shared" ref="EA720:EA725" si="2708">DZ720*(1+EA729)</f>
        <v>33857874.59328673</v>
      </c>
      <c r="EB720" s="129">
        <f t="shared" ref="EB720:EB725" si="2709">EA720*(1+EB729)</f>
        <v>33857874.59328673</v>
      </c>
      <c r="EC720" s="644">
        <f t="shared" ref="EC720:EC725" si="2710">EB720*(1+EC729)</f>
        <v>33857874.59328673</v>
      </c>
      <c r="ED720" s="113" t="s">
        <v>1</v>
      </c>
    </row>
    <row r="721" spans="1:134" x14ac:dyDescent="0.2">
      <c r="A721" s="698" t="s">
        <v>46</v>
      </c>
      <c r="B721" s="129">
        <v>221295.57142857101</v>
      </c>
      <c r="C721" s="129">
        <v>238457</v>
      </c>
      <c r="D721" s="129">
        <v>215350</v>
      </c>
      <c r="E721" s="129">
        <v>213274</v>
      </c>
      <c r="F721" s="129">
        <v>212274</v>
      </c>
      <c r="G721" s="129">
        <v>313049</v>
      </c>
      <c r="H721" s="129">
        <v>184874</v>
      </c>
      <c r="I721" s="129">
        <v>198646</v>
      </c>
      <c r="J721" s="129">
        <v>219274</v>
      </c>
      <c r="K721" s="129">
        <v>219274</v>
      </c>
      <c r="L721" s="129">
        <v>351217</v>
      </c>
      <c r="M721" s="129">
        <v>383290</v>
      </c>
      <c r="N721" s="129">
        <v>443288</v>
      </c>
      <c r="O721" s="129">
        <v>438925</v>
      </c>
      <c r="P721" s="129">
        <v>442738</v>
      </c>
      <c r="Q721" s="129">
        <v>439858</v>
      </c>
      <c r="R721" s="129">
        <v>439434</v>
      </c>
      <c r="S721" s="129">
        <v>480984</v>
      </c>
      <c r="T721" s="129">
        <v>417843</v>
      </c>
      <c r="U721" s="129">
        <v>721905</v>
      </c>
      <c r="V721" s="129">
        <v>594002</v>
      </c>
      <c r="W721" s="129">
        <v>640364</v>
      </c>
      <c r="X721" s="129">
        <v>606065.5</v>
      </c>
      <c r="Y721" s="129">
        <v>573799.5</v>
      </c>
      <c r="Z721" s="129">
        <v>597957.88500000001</v>
      </c>
      <c r="AA721" s="129">
        <v>787908.14785714285</v>
      </c>
      <c r="AB721" s="129">
        <v>868293.4976194615</v>
      </c>
      <c r="AC721" s="129">
        <v>777773.01202681684</v>
      </c>
      <c r="AD721" s="129">
        <v>846367.18451474095</v>
      </c>
      <c r="AE721" s="129">
        <v>665652.00643050089</v>
      </c>
      <c r="AF721" s="129">
        <v>671197.14087258454</v>
      </c>
      <c r="AG721" s="129">
        <v>687762.47097652918</v>
      </c>
      <c r="AH721" s="129">
        <v>771658.09933584498</v>
      </c>
      <c r="AI721" s="129">
        <v>925751.07963165385</v>
      </c>
      <c r="AJ721" s="129">
        <v>862124.17812982923</v>
      </c>
      <c r="AK721" s="129">
        <v>740342.27810053702</v>
      </c>
      <c r="AL721" s="129">
        <v>703499.82917693129</v>
      </c>
      <c r="AM721" s="129">
        <v>856354.92926145112</v>
      </c>
      <c r="AN721" s="129">
        <v>827319.40431703604</v>
      </c>
      <c r="AO721" s="129">
        <v>1422989.9761144728</v>
      </c>
      <c r="AP721" s="129">
        <v>1602944.65016675</v>
      </c>
      <c r="AQ721" s="129">
        <v>1794277.7441850509</v>
      </c>
      <c r="AR721" s="129">
        <v>1939929.4867521068</v>
      </c>
      <c r="AS721" s="129">
        <v>2046523.7596560842</v>
      </c>
      <c r="AT721" s="129">
        <v>2180237.7885707393</v>
      </c>
      <c r="AU721" s="129">
        <v>2276697.8766689301</v>
      </c>
      <c r="AV721" s="129">
        <v>2334504.3027655776</v>
      </c>
      <c r="AW721" s="129">
        <v>3383921.3370426698</v>
      </c>
      <c r="AX721" s="129">
        <v>3212275.6365876365</v>
      </c>
      <c r="AY721" s="129">
        <v>3487921.1682533827</v>
      </c>
      <c r="AZ721" s="129">
        <v>2727201.766847285</v>
      </c>
      <c r="BA721" s="129">
        <v>3009139.9125949522</v>
      </c>
      <c r="BB721" s="129">
        <v>3023975.4017731869</v>
      </c>
      <c r="BC721" s="129">
        <v>3809537.2294651261</v>
      </c>
      <c r="BD721" s="129">
        <v>3788182.5239766273</v>
      </c>
      <c r="BE721" s="129">
        <v>4116447.0367004224</v>
      </c>
      <c r="BF721" s="129">
        <v>4123726.3313066624</v>
      </c>
      <c r="BG721" s="129">
        <v>4420644.5027463883</v>
      </c>
      <c r="BH721" s="129">
        <v>4431535.0737527171</v>
      </c>
      <c r="BI721" s="129">
        <v>5633544.131444904</v>
      </c>
      <c r="BJ721" s="129">
        <v>10293436.040670633</v>
      </c>
      <c r="BK721" s="129">
        <v>10485254.795303926</v>
      </c>
      <c r="BL721" s="129">
        <v>10547086.524241388</v>
      </c>
      <c r="BM721" s="129">
        <v>10357686.524601769</v>
      </c>
      <c r="BN721" s="129">
        <v>9797490.9742396027</v>
      </c>
      <c r="BO721" s="129">
        <v>9448225.8960386217</v>
      </c>
      <c r="BP721" s="129">
        <v>9187832.6055694371</v>
      </c>
      <c r="BQ721" s="129">
        <v>9830968.3407782055</v>
      </c>
      <c r="BR721" s="129">
        <v>9837769.4222195838</v>
      </c>
      <c r="BS721" s="129">
        <v>9211826.2517792359</v>
      </c>
      <c r="BT721" s="129">
        <v>8682282.557904467</v>
      </c>
      <c r="BU721" s="129">
        <v>9110203.9998123534</v>
      </c>
      <c r="BV721" s="129">
        <v>9966837.6030198596</v>
      </c>
      <c r="BW721" s="129">
        <v>10555087.819574511</v>
      </c>
      <c r="BX721" s="129">
        <v>11146532.268212013</v>
      </c>
      <c r="BY721" s="129">
        <v>11219816.930073865</v>
      </c>
      <c r="BZ721" s="129">
        <v>10819412.802123249</v>
      </c>
      <c r="CA721" s="129">
        <v>10242604.834097644</v>
      </c>
      <c r="CB721" s="129">
        <v>6356198.3475860581</v>
      </c>
      <c r="CC721" s="129">
        <v>6446914.009468779</v>
      </c>
      <c r="CD721" s="129">
        <v>6524677.8822864909</v>
      </c>
      <c r="CE721" s="129">
        <v>6956963.7568140281</v>
      </c>
      <c r="CF721" s="129">
        <v>7079406.2716085892</v>
      </c>
      <c r="CG721" s="129">
        <v>8214242.1918285731</v>
      </c>
      <c r="CH721" s="129">
        <v>10982811.740465542</v>
      </c>
      <c r="CI721" s="129">
        <v>10904277.482941933</v>
      </c>
      <c r="CJ721" s="129">
        <v>11107018.646435557</v>
      </c>
      <c r="CK721" s="129">
        <v>11010129.155188672</v>
      </c>
      <c r="CL721" s="129">
        <v>11371430.446677104</v>
      </c>
      <c r="CM721" s="129">
        <v>11605146.89617555</v>
      </c>
      <c r="CN721" s="129">
        <v>11257843.063518764</v>
      </c>
      <c r="CO721" s="129">
        <v>12470284.167744102</v>
      </c>
      <c r="CP721" s="129">
        <v>12405909.318119824</v>
      </c>
      <c r="CQ721" s="129">
        <v>13883621.774773885</v>
      </c>
      <c r="CR721" s="129">
        <v>14110169.511093715</v>
      </c>
      <c r="CS721" s="129">
        <v>14007895.04949612</v>
      </c>
      <c r="CT721" s="129">
        <f t="shared" si="2698"/>
        <v>15128526.653455811</v>
      </c>
      <c r="CU721" s="129">
        <f t="shared" si="2698"/>
        <v>15128526.653455811</v>
      </c>
      <c r="CV721" s="129">
        <f t="shared" si="2698"/>
        <v>15128526.653455811</v>
      </c>
      <c r="CW721" s="129">
        <f t="shared" si="2698"/>
        <v>15128526.653455811</v>
      </c>
      <c r="CX721" s="129">
        <f t="shared" si="2698"/>
        <v>15128526.653455811</v>
      </c>
      <c r="CY721" s="129">
        <f t="shared" si="2698"/>
        <v>15128526.653455811</v>
      </c>
      <c r="CZ721" s="129">
        <f t="shared" si="2698"/>
        <v>15128526.653455811</v>
      </c>
      <c r="DA721" s="129">
        <f t="shared" si="2698"/>
        <v>15128526.653455811</v>
      </c>
      <c r="DB721" s="129">
        <f t="shared" si="2698"/>
        <v>15128526.653455811</v>
      </c>
      <c r="DC721" s="129">
        <f t="shared" si="2698"/>
        <v>15128526.653455811</v>
      </c>
      <c r="DD721" s="129">
        <f t="shared" si="2698"/>
        <v>15128526.653455811</v>
      </c>
      <c r="DE721" s="129">
        <f t="shared" si="2698"/>
        <v>15128526.653455811</v>
      </c>
      <c r="DF721" s="129">
        <f t="shared" si="2698"/>
        <v>16338808.785732277</v>
      </c>
      <c r="DG721" s="129">
        <f t="shared" si="2698"/>
        <v>16338808.785732277</v>
      </c>
      <c r="DH721" s="129">
        <f t="shared" si="2698"/>
        <v>16338808.785732277</v>
      </c>
      <c r="DI721" s="129">
        <f t="shared" si="2698"/>
        <v>16338808.785732277</v>
      </c>
      <c r="DJ721" s="129">
        <f t="shared" si="2698"/>
        <v>16338808.785732277</v>
      </c>
      <c r="DK721" s="129">
        <f t="shared" si="2698"/>
        <v>16338808.785732277</v>
      </c>
      <c r="DL721" s="129">
        <f t="shared" si="2698"/>
        <v>16338808.785732277</v>
      </c>
      <c r="DM721" s="129">
        <f t="shared" si="2698"/>
        <v>16338808.785732277</v>
      </c>
      <c r="DN721" s="129">
        <f t="shared" si="2698"/>
        <v>16338808.785732277</v>
      </c>
      <c r="DO721" s="129">
        <f t="shared" si="2698"/>
        <v>16338808.785732277</v>
      </c>
      <c r="DP721" s="129">
        <f t="shared" si="2698"/>
        <v>16338808.785732277</v>
      </c>
      <c r="DQ721" s="129">
        <f t="shared" si="2698"/>
        <v>16338808.785732277</v>
      </c>
      <c r="DR721" s="129">
        <f t="shared" si="2699"/>
        <v>17645913.488590859</v>
      </c>
      <c r="DS721" s="129">
        <f t="shared" si="2700"/>
        <v>17645913.488590859</v>
      </c>
      <c r="DT721" s="129">
        <f t="shared" si="2701"/>
        <v>17645913.488590859</v>
      </c>
      <c r="DU721" s="129">
        <f t="shared" si="2702"/>
        <v>17645913.488590859</v>
      </c>
      <c r="DV721" s="129">
        <f t="shared" si="2703"/>
        <v>17645913.488590859</v>
      </c>
      <c r="DW721" s="129">
        <f t="shared" si="2704"/>
        <v>17645913.488590859</v>
      </c>
      <c r="DX721" s="129">
        <f t="shared" si="2705"/>
        <v>17645913.488590859</v>
      </c>
      <c r="DY721" s="129">
        <f t="shared" si="2706"/>
        <v>17645913.488590859</v>
      </c>
      <c r="DZ721" s="129">
        <f t="shared" si="2707"/>
        <v>17645913.488590859</v>
      </c>
      <c r="EA721" s="129">
        <f t="shared" si="2708"/>
        <v>17645913.488590859</v>
      </c>
      <c r="EB721" s="129">
        <f t="shared" si="2709"/>
        <v>17645913.488590859</v>
      </c>
      <c r="EC721" s="644">
        <f t="shared" si="2710"/>
        <v>17645913.488590859</v>
      </c>
      <c r="ED721" s="113" t="s">
        <v>1</v>
      </c>
    </row>
    <row r="722" spans="1:134" x14ac:dyDescent="0.2">
      <c r="A722" s="115" t="s">
        <v>189</v>
      </c>
      <c r="B722" s="129">
        <v>0</v>
      </c>
      <c r="C722" s="129">
        <v>0</v>
      </c>
      <c r="D722" s="129">
        <v>0</v>
      </c>
      <c r="E722" s="129">
        <v>0</v>
      </c>
      <c r="F722" s="129">
        <v>0</v>
      </c>
      <c r="G722" s="129">
        <v>0</v>
      </c>
      <c r="H722" s="129">
        <v>0</v>
      </c>
      <c r="I722" s="129">
        <v>0</v>
      </c>
      <c r="J722" s="129">
        <v>0</v>
      </c>
      <c r="K722" s="129">
        <v>0</v>
      </c>
      <c r="L722" s="129">
        <v>0</v>
      </c>
      <c r="M722" s="129">
        <v>0</v>
      </c>
      <c r="N722" s="129">
        <v>0</v>
      </c>
      <c r="O722" s="129">
        <v>0</v>
      </c>
      <c r="P722" s="129">
        <v>0</v>
      </c>
      <c r="Q722" s="129">
        <v>0</v>
      </c>
      <c r="R722" s="129">
        <v>0</v>
      </c>
      <c r="S722" s="129">
        <v>0</v>
      </c>
      <c r="T722" s="129">
        <v>0</v>
      </c>
      <c r="U722" s="129">
        <v>0</v>
      </c>
      <c r="V722" s="129">
        <v>0</v>
      </c>
      <c r="W722" s="129">
        <v>0</v>
      </c>
      <c r="X722" s="129">
        <v>0</v>
      </c>
      <c r="Y722" s="129">
        <v>0</v>
      </c>
      <c r="Z722" s="129">
        <v>0</v>
      </c>
      <c r="AA722" s="129">
        <v>0</v>
      </c>
      <c r="AB722" s="129">
        <v>351065.37417816039</v>
      </c>
      <c r="AC722" s="129">
        <v>393015.03052741411</v>
      </c>
      <c r="AD722" s="129">
        <v>456174.11404696427</v>
      </c>
      <c r="AE722" s="129">
        <v>707947.49671383668</v>
      </c>
      <c r="AF722" s="129">
        <v>850343.40745446552</v>
      </c>
      <c r="AG722" s="129">
        <v>965854.73908512143</v>
      </c>
      <c r="AH722" s="129">
        <v>1247652.3703429301</v>
      </c>
      <c r="AI722" s="129">
        <v>1420063.1369288964</v>
      </c>
      <c r="AJ722" s="129">
        <v>1325735.8342791391</v>
      </c>
      <c r="AK722" s="129">
        <v>1919250.0070853976</v>
      </c>
      <c r="AL722" s="129">
        <v>1893830.9749979733</v>
      </c>
      <c r="AM722" s="129">
        <v>1879361.0090290238</v>
      </c>
      <c r="AN722" s="129">
        <v>1666516.783621134</v>
      </c>
      <c r="AO722" s="129">
        <v>1681025.7440592402</v>
      </c>
      <c r="AP722" s="129">
        <v>1922371.9979837013</v>
      </c>
      <c r="AQ722" s="129">
        <v>2246014.777142223</v>
      </c>
      <c r="AR722" s="129">
        <v>2821640.8948595389</v>
      </c>
      <c r="AS722" s="129">
        <v>3130465.6069077621</v>
      </c>
      <c r="AT722" s="129">
        <v>3640258.5222548568</v>
      </c>
      <c r="AU722" s="129">
        <v>3611980.3740099487</v>
      </c>
      <c r="AV722" s="129">
        <v>3654127.7322874409</v>
      </c>
      <c r="AW722" s="129">
        <v>3932775.4045890542</v>
      </c>
      <c r="AX722" s="129">
        <v>4528646.0095781283</v>
      </c>
      <c r="AY722" s="129">
        <v>6121305.1818040255</v>
      </c>
      <c r="AZ722" s="129">
        <v>6796615.3824791629</v>
      </c>
      <c r="BA722" s="129">
        <v>6780412.6894074557</v>
      </c>
      <c r="BB722" s="129">
        <v>7321822.6861445541</v>
      </c>
      <c r="BC722" s="129">
        <v>8293339.0864575626</v>
      </c>
      <c r="BD722" s="129">
        <v>8267793.3707113368</v>
      </c>
      <c r="BE722" s="129">
        <v>10308319.107559506</v>
      </c>
      <c r="BF722" s="129">
        <v>10603112.585172495</v>
      </c>
      <c r="BG722" s="129">
        <v>11299052.726450017</v>
      </c>
      <c r="BH722" s="129">
        <v>10445102.194824217</v>
      </c>
      <c r="BI722" s="129">
        <v>11384678.299386485</v>
      </c>
      <c r="BJ722" s="129">
        <v>9113866.8524707928</v>
      </c>
      <c r="BK722" s="129">
        <v>9116609.8921314944</v>
      </c>
      <c r="BL722" s="129">
        <v>9357943.4522107225</v>
      </c>
      <c r="BM722" s="129">
        <v>9253579.2951924372</v>
      </c>
      <c r="BN722" s="129">
        <v>9236477.794182498</v>
      </c>
      <c r="BO722" s="129">
        <v>9392466.6639532857</v>
      </c>
      <c r="BP722" s="129">
        <v>9590798.4613099471</v>
      </c>
      <c r="BQ722" s="129">
        <v>10522578.171634121</v>
      </c>
      <c r="BR722" s="129">
        <v>10863558.364276672</v>
      </c>
      <c r="BS722" s="129">
        <v>11756860.867453018</v>
      </c>
      <c r="BT722" s="129">
        <v>9475229.3616921939</v>
      </c>
      <c r="BU722" s="129">
        <v>10071563.159876259</v>
      </c>
      <c r="BV722" s="129">
        <v>9563278.2079370804</v>
      </c>
      <c r="BW722" s="129">
        <v>9923662.3520295061</v>
      </c>
      <c r="BX722" s="129">
        <v>9172349.1858095191</v>
      </c>
      <c r="BY722" s="129">
        <v>9205403.0429750048</v>
      </c>
      <c r="BZ722" s="129">
        <v>9351918.765878981</v>
      </c>
      <c r="CA722" s="129">
        <v>9499005.6930072121</v>
      </c>
      <c r="CB722" s="129">
        <v>11929213.745495206</v>
      </c>
      <c r="CC722" s="129">
        <v>11289048.649555659</v>
      </c>
      <c r="CD722" s="129">
        <v>12209250.448861465</v>
      </c>
      <c r="CE722" s="129">
        <v>11967007.620375257</v>
      </c>
      <c r="CF722" s="129">
        <v>12055477.575814795</v>
      </c>
      <c r="CG722" s="129">
        <v>12251483.969595758</v>
      </c>
      <c r="CH722" s="129">
        <v>12932798.701344021</v>
      </c>
      <c r="CI722" s="129">
        <v>13262419.857096529</v>
      </c>
      <c r="CJ722" s="129">
        <v>14678517.032718986</v>
      </c>
      <c r="CK722" s="129">
        <v>16678802.725044021</v>
      </c>
      <c r="CL722" s="129">
        <v>16578157.092826637</v>
      </c>
      <c r="CM722" s="129">
        <v>17804444.347767875</v>
      </c>
      <c r="CN722" s="129">
        <v>19240146.887018684</v>
      </c>
      <c r="CO722" s="129">
        <v>16555675.408235732</v>
      </c>
      <c r="CP722" s="129">
        <v>19915430.070980348</v>
      </c>
      <c r="CQ722" s="129">
        <v>19572919.841513425</v>
      </c>
      <c r="CR722" s="129">
        <v>18550237.605888255</v>
      </c>
      <c r="CS722" s="129">
        <v>19492917.430245589</v>
      </c>
      <c r="CT722" s="129">
        <f t="shared" ref="CT722:DQ722" si="2711">CS722*(1+CT731)</f>
        <v>20467563.301757868</v>
      </c>
      <c r="CU722" s="129">
        <f t="shared" si="2711"/>
        <v>20467563.301757868</v>
      </c>
      <c r="CV722" s="129">
        <f t="shared" si="2711"/>
        <v>20467563.301757868</v>
      </c>
      <c r="CW722" s="129">
        <f t="shared" si="2711"/>
        <v>20467563.301757868</v>
      </c>
      <c r="CX722" s="129">
        <f t="shared" si="2711"/>
        <v>20467563.301757868</v>
      </c>
      <c r="CY722" s="129">
        <f t="shared" si="2711"/>
        <v>20467563.301757868</v>
      </c>
      <c r="CZ722" s="129">
        <f t="shared" si="2711"/>
        <v>20467563.301757868</v>
      </c>
      <c r="DA722" s="129">
        <f t="shared" si="2711"/>
        <v>20467563.301757868</v>
      </c>
      <c r="DB722" s="129">
        <f t="shared" si="2711"/>
        <v>20467563.301757868</v>
      </c>
      <c r="DC722" s="129">
        <f t="shared" si="2711"/>
        <v>20467563.301757868</v>
      </c>
      <c r="DD722" s="129">
        <f t="shared" si="2711"/>
        <v>20467563.301757868</v>
      </c>
      <c r="DE722" s="129">
        <f t="shared" si="2711"/>
        <v>20467563.301757868</v>
      </c>
      <c r="DF722" s="129">
        <f t="shared" si="2711"/>
        <v>21490941.466845762</v>
      </c>
      <c r="DG722" s="129">
        <f t="shared" si="2711"/>
        <v>21490941.466845762</v>
      </c>
      <c r="DH722" s="129">
        <f t="shared" si="2711"/>
        <v>21490941.466845762</v>
      </c>
      <c r="DI722" s="129">
        <f t="shared" si="2711"/>
        <v>21490941.466845762</v>
      </c>
      <c r="DJ722" s="129">
        <f t="shared" si="2711"/>
        <v>21490941.466845762</v>
      </c>
      <c r="DK722" s="129">
        <f t="shared" si="2711"/>
        <v>21490941.466845762</v>
      </c>
      <c r="DL722" s="129">
        <f t="shared" si="2711"/>
        <v>21490941.466845762</v>
      </c>
      <c r="DM722" s="129">
        <f t="shared" si="2711"/>
        <v>21490941.466845762</v>
      </c>
      <c r="DN722" s="129">
        <f t="shared" si="2711"/>
        <v>21490941.466845762</v>
      </c>
      <c r="DO722" s="129">
        <f t="shared" si="2711"/>
        <v>21490941.466845762</v>
      </c>
      <c r="DP722" s="129">
        <f t="shared" si="2711"/>
        <v>21490941.466845762</v>
      </c>
      <c r="DQ722" s="129">
        <f t="shared" si="2711"/>
        <v>21490941.466845762</v>
      </c>
      <c r="DR722" s="129">
        <f t="shared" si="2699"/>
        <v>22565488.540188052</v>
      </c>
      <c r="DS722" s="129">
        <f t="shared" si="2700"/>
        <v>22565488.540188052</v>
      </c>
      <c r="DT722" s="129">
        <f t="shared" si="2701"/>
        <v>22565488.540188052</v>
      </c>
      <c r="DU722" s="129">
        <f t="shared" si="2702"/>
        <v>22565488.540188052</v>
      </c>
      <c r="DV722" s="129">
        <f t="shared" si="2703"/>
        <v>22565488.540188052</v>
      </c>
      <c r="DW722" s="129">
        <f t="shared" si="2704"/>
        <v>22565488.540188052</v>
      </c>
      <c r="DX722" s="129">
        <f t="shared" si="2705"/>
        <v>22565488.540188052</v>
      </c>
      <c r="DY722" s="129">
        <f t="shared" si="2706"/>
        <v>22565488.540188052</v>
      </c>
      <c r="DZ722" s="129">
        <f t="shared" si="2707"/>
        <v>22565488.540188052</v>
      </c>
      <c r="EA722" s="129">
        <f t="shared" si="2708"/>
        <v>22565488.540188052</v>
      </c>
      <c r="EB722" s="129">
        <f t="shared" si="2709"/>
        <v>22565488.540188052</v>
      </c>
      <c r="EC722" s="644">
        <f t="shared" si="2710"/>
        <v>22565488.540188052</v>
      </c>
      <c r="ED722" s="113" t="s">
        <v>1</v>
      </c>
    </row>
    <row r="723" spans="1:134" x14ac:dyDescent="0.2">
      <c r="A723" s="115" t="s">
        <v>152</v>
      </c>
      <c r="B723" s="129">
        <v>3512</v>
      </c>
      <c r="C723" s="129">
        <v>6889</v>
      </c>
      <c r="D723" s="129">
        <v>10182</v>
      </c>
      <c r="E723" s="129">
        <v>16445</v>
      </c>
      <c r="F723" s="129">
        <v>18520</v>
      </c>
      <c r="G723" s="129">
        <v>10744</v>
      </c>
      <c r="H723" s="129">
        <v>10943</v>
      </c>
      <c r="I723" s="129">
        <v>7548</v>
      </c>
      <c r="J723" s="129">
        <v>4338</v>
      </c>
      <c r="K723" s="129">
        <v>6887</v>
      </c>
      <c r="L723" s="129">
        <v>12613</v>
      </c>
      <c r="M723" s="129">
        <v>17101.000000000004</v>
      </c>
      <c r="N723" s="129">
        <v>29701</v>
      </c>
      <c r="O723" s="129">
        <v>43760</v>
      </c>
      <c r="P723" s="129">
        <v>57929.000000000007</v>
      </c>
      <c r="Q723" s="129">
        <v>62490.999999999993</v>
      </c>
      <c r="R723" s="129">
        <v>36730</v>
      </c>
      <c r="S723" s="129">
        <v>42879</v>
      </c>
      <c r="T723" s="129">
        <v>70446</v>
      </c>
      <c r="U723" s="129">
        <v>30368</v>
      </c>
      <c r="V723" s="129">
        <v>31954</v>
      </c>
      <c r="W723" s="129">
        <v>33661</v>
      </c>
      <c r="X723" s="129">
        <v>36485</v>
      </c>
      <c r="Y723" s="129">
        <v>34314</v>
      </c>
      <c r="Z723" s="129">
        <v>51095.944328812853</v>
      </c>
      <c r="AA723" s="129">
        <v>19751</v>
      </c>
      <c r="AB723" s="129">
        <v>196377</v>
      </c>
      <c r="AC723" s="129">
        <v>108665</v>
      </c>
      <c r="AD723" s="129">
        <v>82475</v>
      </c>
      <c r="AE723" s="129">
        <v>108809</v>
      </c>
      <c r="AF723" s="129">
        <v>165735.27250000002</v>
      </c>
      <c r="AG723" s="129">
        <v>170377</v>
      </c>
      <c r="AH723" s="129">
        <v>166522.27250000002</v>
      </c>
      <c r="AI723" s="129">
        <v>196499.85921325051</v>
      </c>
      <c r="AJ723" s="129">
        <v>139658</v>
      </c>
      <c r="AK723" s="129">
        <v>143980</v>
      </c>
      <c r="AL723" s="129">
        <v>139551</v>
      </c>
      <c r="AM723" s="129">
        <v>76456.559038461506</v>
      </c>
      <c r="AN723" s="129">
        <v>101088</v>
      </c>
      <c r="AO723" s="129">
        <v>455516</v>
      </c>
      <c r="AP723" s="129">
        <v>487248</v>
      </c>
      <c r="AQ723" s="129">
        <v>682813.83164236136</v>
      </c>
      <c r="AR723" s="129">
        <v>1654401</v>
      </c>
      <c r="AS723" s="129">
        <v>1159995</v>
      </c>
      <c r="AT723" s="129">
        <v>844257</v>
      </c>
      <c r="AU723" s="129">
        <v>1111225</v>
      </c>
      <c r="AV723" s="129">
        <v>1139464</v>
      </c>
      <c r="AW723" s="129">
        <v>999487.00000000012</v>
      </c>
      <c r="AX723" s="129">
        <v>909290</v>
      </c>
      <c r="AY723" s="129">
        <v>1595459</v>
      </c>
      <c r="AZ723" s="129">
        <v>1578623.0785208857</v>
      </c>
      <c r="BA723" s="129">
        <v>1893687.992835029</v>
      </c>
      <c r="BB723" s="129">
        <v>2020803.9166310302</v>
      </c>
      <c r="BC723" s="129">
        <v>2599249.2917501116</v>
      </c>
      <c r="BD723" s="129">
        <v>2380512.7032533898</v>
      </c>
      <c r="BE723" s="129">
        <v>1509780.4148064132</v>
      </c>
      <c r="BF723" s="129">
        <v>1448896.268070743</v>
      </c>
      <c r="BG723" s="129">
        <v>1487402.8259842859</v>
      </c>
      <c r="BH723" s="129">
        <v>1695033.7675347757</v>
      </c>
      <c r="BI723" s="129">
        <v>1556005.5861401833</v>
      </c>
      <c r="BJ723" s="129">
        <v>1886246.3043461964</v>
      </c>
      <c r="BK723" s="129">
        <v>1833575.7601034092</v>
      </c>
      <c r="BL723" s="129">
        <v>1700599.8491029188</v>
      </c>
      <c r="BM723" s="129">
        <v>1882660.3177757431</v>
      </c>
      <c r="BN723" s="129">
        <v>2009765.7327930171</v>
      </c>
      <c r="BO723" s="129">
        <v>1790757.2994911559</v>
      </c>
      <c r="BP723" s="129">
        <v>2080699.4544735481</v>
      </c>
      <c r="BQ723" s="129">
        <v>2014429.9448120869</v>
      </c>
      <c r="BR723" s="129">
        <v>2194873.3922429858</v>
      </c>
      <c r="BS723" s="129">
        <v>2146146.845110937</v>
      </c>
      <c r="BT723" s="129">
        <v>2039102.2561614646</v>
      </c>
      <c r="BU723" s="129">
        <v>2063355.7610430326</v>
      </c>
      <c r="BV723" s="129">
        <v>2126612.0716057294</v>
      </c>
      <c r="BW723" s="129">
        <v>2124414.2187563516</v>
      </c>
      <c r="BX723" s="129">
        <v>2195350.2846812569</v>
      </c>
      <c r="BY723" s="129">
        <v>2169027.6017505592</v>
      </c>
      <c r="BZ723" s="129">
        <v>2117919.9417659962</v>
      </c>
      <c r="CA723" s="129">
        <v>2176877.0851302263</v>
      </c>
      <c r="CB723" s="129">
        <v>2250785.269250928</v>
      </c>
      <c r="CC723" s="129">
        <v>2356757.5473573375</v>
      </c>
      <c r="CD723" s="129">
        <v>2363654.5791914919</v>
      </c>
      <c r="CE723" s="129">
        <v>2322176.562730697</v>
      </c>
      <c r="CF723" s="129">
        <v>2437629.791662287</v>
      </c>
      <c r="CG723" s="129">
        <v>2554271.2354343939</v>
      </c>
      <c r="CH723" s="129">
        <v>2501061.8356437813</v>
      </c>
      <c r="CI723" s="129">
        <v>3276365.3163396167</v>
      </c>
      <c r="CJ723" s="129">
        <v>4140714.3787278607</v>
      </c>
      <c r="CK723" s="129">
        <v>4968390.2292234506</v>
      </c>
      <c r="CL723" s="129">
        <v>4601026.8987068702</v>
      </c>
      <c r="CM723" s="129">
        <v>4416278.081313665</v>
      </c>
      <c r="CN723" s="129">
        <v>4400317.556584971</v>
      </c>
      <c r="CO723" s="129">
        <v>4294684.6914952854</v>
      </c>
      <c r="CP723" s="129">
        <v>4331752.1233869921</v>
      </c>
      <c r="CQ723" s="129">
        <v>3888917.2178691411</v>
      </c>
      <c r="CR723" s="129">
        <v>3405826.8575907671</v>
      </c>
      <c r="CS723" s="129">
        <v>3220193.9435393885</v>
      </c>
      <c r="CT723" s="129">
        <f t="shared" ref="CT723:DQ723" si="2712">CS723*(1+CT732)</f>
        <v>3381203.6407163581</v>
      </c>
      <c r="CU723" s="129">
        <f t="shared" si="2712"/>
        <v>3381203.6407163581</v>
      </c>
      <c r="CV723" s="129">
        <f t="shared" si="2712"/>
        <v>3381203.6407163581</v>
      </c>
      <c r="CW723" s="129">
        <f t="shared" si="2712"/>
        <v>3381203.6407163581</v>
      </c>
      <c r="CX723" s="129">
        <f t="shared" si="2712"/>
        <v>3381203.6407163581</v>
      </c>
      <c r="CY723" s="129">
        <f t="shared" si="2712"/>
        <v>3381203.6407163581</v>
      </c>
      <c r="CZ723" s="129">
        <f t="shared" si="2712"/>
        <v>3381203.6407163581</v>
      </c>
      <c r="DA723" s="129">
        <f t="shared" si="2712"/>
        <v>3381203.6407163581</v>
      </c>
      <c r="DB723" s="129">
        <f t="shared" si="2712"/>
        <v>3381203.6407163581</v>
      </c>
      <c r="DC723" s="129">
        <f t="shared" si="2712"/>
        <v>3381203.6407163581</v>
      </c>
      <c r="DD723" s="129">
        <f t="shared" si="2712"/>
        <v>3381203.6407163581</v>
      </c>
      <c r="DE723" s="129">
        <f t="shared" si="2712"/>
        <v>3381203.6407163581</v>
      </c>
      <c r="DF723" s="129">
        <f t="shared" si="2712"/>
        <v>3550263.8227521763</v>
      </c>
      <c r="DG723" s="129">
        <f t="shared" si="2712"/>
        <v>3550263.8227521763</v>
      </c>
      <c r="DH723" s="129">
        <f t="shared" si="2712"/>
        <v>3550263.8227521763</v>
      </c>
      <c r="DI723" s="129">
        <f t="shared" si="2712"/>
        <v>3550263.8227521763</v>
      </c>
      <c r="DJ723" s="129">
        <f t="shared" si="2712"/>
        <v>3550263.8227521763</v>
      </c>
      <c r="DK723" s="129">
        <f t="shared" si="2712"/>
        <v>3550263.8227521763</v>
      </c>
      <c r="DL723" s="129">
        <f t="shared" si="2712"/>
        <v>3550263.8227521763</v>
      </c>
      <c r="DM723" s="129">
        <f t="shared" si="2712"/>
        <v>3550263.8227521763</v>
      </c>
      <c r="DN723" s="129">
        <f t="shared" si="2712"/>
        <v>3550263.8227521763</v>
      </c>
      <c r="DO723" s="129">
        <f t="shared" si="2712"/>
        <v>3550263.8227521763</v>
      </c>
      <c r="DP723" s="129">
        <f t="shared" si="2712"/>
        <v>3550263.8227521763</v>
      </c>
      <c r="DQ723" s="129">
        <f t="shared" si="2712"/>
        <v>3550263.8227521763</v>
      </c>
      <c r="DR723" s="129">
        <f t="shared" si="2699"/>
        <v>3727777.0138897854</v>
      </c>
      <c r="DS723" s="129">
        <f t="shared" si="2700"/>
        <v>3727777.0138897854</v>
      </c>
      <c r="DT723" s="129">
        <f t="shared" si="2701"/>
        <v>3727777.0138897854</v>
      </c>
      <c r="DU723" s="129">
        <f t="shared" si="2702"/>
        <v>3727777.0138897854</v>
      </c>
      <c r="DV723" s="129">
        <f t="shared" si="2703"/>
        <v>3727777.0138897854</v>
      </c>
      <c r="DW723" s="129">
        <f t="shared" si="2704"/>
        <v>3727777.0138897854</v>
      </c>
      <c r="DX723" s="129">
        <f t="shared" si="2705"/>
        <v>3727777.0138897854</v>
      </c>
      <c r="DY723" s="129">
        <f t="shared" si="2706"/>
        <v>3727777.0138897854</v>
      </c>
      <c r="DZ723" s="129">
        <f t="shared" si="2707"/>
        <v>3727777.0138897854</v>
      </c>
      <c r="EA723" s="129">
        <f t="shared" si="2708"/>
        <v>3727777.0138897854</v>
      </c>
      <c r="EB723" s="129">
        <f t="shared" si="2709"/>
        <v>3727777.0138897854</v>
      </c>
      <c r="EC723" s="644">
        <f>EB723*(1+EC732)</f>
        <v>3727777.0138897854</v>
      </c>
      <c r="ED723" s="113" t="s">
        <v>1</v>
      </c>
    </row>
    <row r="724" spans="1:134" x14ac:dyDescent="0.2">
      <c r="A724" s="115" t="s">
        <v>51</v>
      </c>
      <c r="B724" s="129">
        <v>0</v>
      </c>
      <c r="C724" s="129">
        <v>0</v>
      </c>
      <c r="D724" s="129">
        <v>0</v>
      </c>
      <c r="E724" s="129">
        <v>0</v>
      </c>
      <c r="F724" s="129">
        <v>0</v>
      </c>
      <c r="G724" s="129">
        <v>0</v>
      </c>
      <c r="H724" s="129">
        <v>0</v>
      </c>
      <c r="I724" s="129">
        <v>0</v>
      </c>
      <c r="J724" s="129">
        <v>35198</v>
      </c>
      <c r="K724" s="129">
        <v>19159</v>
      </c>
      <c r="L724" s="129">
        <v>43462</v>
      </c>
      <c r="M724" s="129">
        <v>140008</v>
      </c>
      <c r="N724" s="129">
        <v>37213</v>
      </c>
      <c r="O724" s="129">
        <v>38956</v>
      </c>
      <c r="P724" s="129">
        <v>94635</v>
      </c>
      <c r="Q724" s="129">
        <v>107993</v>
      </c>
      <c r="R724" s="129">
        <v>26852</v>
      </c>
      <c r="S724" s="129">
        <v>122827.57</v>
      </c>
      <c r="T724" s="129">
        <v>107450.34</v>
      </c>
      <c r="U724" s="129">
        <v>82270</v>
      </c>
      <c r="V724" s="129">
        <v>41701.65</v>
      </c>
      <c r="W724" s="129">
        <v>131127</v>
      </c>
      <c r="X724" s="129">
        <v>88176</v>
      </c>
      <c r="Y724" s="129">
        <v>139591.51999999999</v>
      </c>
      <c r="Z724" s="129">
        <v>0</v>
      </c>
      <c r="AA724" s="129">
        <v>24355</v>
      </c>
      <c r="AB724" s="129">
        <v>12920</v>
      </c>
      <c r="AC724" s="129">
        <v>125008</v>
      </c>
      <c r="AD724" s="129">
        <v>100142</v>
      </c>
      <c r="AE724" s="129">
        <v>80884</v>
      </c>
      <c r="AF724" s="129">
        <v>54017</v>
      </c>
      <c r="AG724" s="129">
        <v>48896.62</v>
      </c>
      <c r="AH724" s="129">
        <v>52826</v>
      </c>
      <c r="AI724" s="129">
        <v>69246</v>
      </c>
      <c r="AJ724" s="129">
        <v>64135.42</v>
      </c>
      <c r="AK724" s="129">
        <v>51493.57</v>
      </c>
      <c r="AL724" s="129">
        <v>24564.890100308054</v>
      </c>
      <c r="AM724" s="129">
        <v>73883.546988922637</v>
      </c>
      <c r="AN724" s="129">
        <v>38316.344959679649</v>
      </c>
      <c r="AO724" s="129">
        <v>302826.73811987159</v>
      </c>
      <c r="AP724" s="129">
        <v>355828.41724045156</v>
      </c>
      <c r="AQ724" s="129">
        <v>776403.84948923741</v>
      </c>
      <c r="AR724" s="129">
        <v>693195.59566703788</v>
      </c>
      <c r="AS724" s="129">
        <v>663395.40097459452</v>
      </c>
      <c r="AT724" s="129">
        <v>1104824.8136772958</v>
      </c>
      <c r="AU724" s="129">
        <v>772110.33856370626</v>
      </c>
      <c r="AV724" s="129">
        <v>995252.34216982208</v>
      </c>
      <c r="AW724" s="129">
        <v>1918527.1504141456</v>
      </c>
      <c r="AX724" s="129">
        <v>611641.4125090898</v>
      </c>
      <c r="AY724" s="129">
        <v>1100498.7661225693</v>
      </c>
      <c r="AZ724" s="129">
        <v>844582.41721233679</v>
      </c>
      <c r="BA724" s="129">
        <v>931948.87243157811</v>
      </c>
      <c r="BB724" s="129">
        <v>650793.80548843229</v>
      </c>
      <c r="BC724" s="129">
        <v>892947.97262800881</v>
      </c>
      <c r="BD724" s="129">
        <v>1007052.5590305508</v>
      </c>
      <c r="BE724" s="129">
        <v>971347.08943883039</v>
      </c>
      <c r="BF724" s="129">
        <v>1543611.0382527495</v>
      </c>
      <c r="BG724" s="129">
        <v>1822885.2541522325</v>
      </c>
      <c r="BH724" s="129">
        <v>1447307.2596603849</v>
      </c>
      <c r="BI724" s="129">
        <v>1415641.6984613845</v>
      </c>
      <c r="BJ724" s="129">
        <v>517457.23014002707</v>
      </c>
      <c r="BK724" s="129">
        <v>788654.27409558592</v>
      </c>
      <c r="BL724" s="129">
        <v>673488.53191735607</v>
      </c>
      <c r="BM724" s="129">
        <v>705615.67914124043</v>
      </c>
      <c r="BN724" s="129">
        <v>795300.08883056394</v>
      </c>
      <c r="BO724" s="129">
        <v>724939.70408732677</v>
      </c>
      <c r="BP724" s="129">
        <v>628373.9661379715</v>
      </c>
      <c r="BQ724" s="129">
        <v>829952.22739212133</v>
      </c>
      <c r="BR724" s="129">
        <v>931483.0715058808</v>
      </c>
      <c r="BS724" s="129">
        <v>1247715.6227497216</v>
      </c>
      <c r="BT724" s="129">
        <v>909172.42210722936</v>
      </c>
      <c r="BU724" s="129">
        <v>729091.35344385775</v>
      </c>
      <c r="BV724" s="129">
        <v>712418.74328416062</v>
      </c>
      <c r="BW724" s="129">
        <v>1024261.939743723</v>
      </c>
      <c r="BX724" s="129">
        <v>668880.48939694907</v>
      </c>
      <c r="BY724" s="129">
        <v>912231.7026258012</v>
      </c>
      <c r="BZ724" s="129">
        <v>897634.71357157722</v>
      </c>
      <c r="CA724" s="129">
        <v>975024.02954586106</v>
      </c>
      <c r="CB724" s="129">
        <v>939388.00127482309</v>
      </c>
      <c r="CC724" s="129">
        <v>1004121.4825463375</v>
      </c>
      <c r="CD724" s="129">
        <v>1156540.4976548683</v>
      </c>
      <c r="CE724" s="129">
        <v>1126805.9274535368</v>
      </c>
      <c r="CF724" s="129">
        <v>906501.426272779</v>
      </c>
      <c r="CG724" s="129">
        <v>1723580.4945051146</v>
      </c>
      <c r="CH724" s="129">
        <v>1269029.6058778763</v>
      </c>
      <c r="CI724" s="129">
        <v>1550432.9697904533</v>
      </c>
      <c r="CJ724" s="129">
        <v>1775720.6947851134</v>
      </c>
      <c r="CK724" s="129">
        <v>1879533.7178637974</v>
      </c>
      <c r="CL724" s="129">
        <v>1958897.4622535459</v>
      </c>
      <c r="CM724" s="129">
        <v>1720433.1407450875</v>
      </c>
      <c r="CN724" s="129">
        <v>1921112.2154735669</v>
      </c>
      <c r="CO724" s="129">
        <v>2176676.4706224971</v>
      </c>
      <c r="CP724" s="129">
        <v>2416400.6610239209</v>
      </c>
      <c r="CQ724" s="129">
        <v>2343323.8813189249</v>
      </c>
      <c r="CR724" s="129">
        <v>2550470.36678096</v>
      </c>
      <c r="CS724" s="129">
        <v>2266592.4604522744</v>
      </c>
      <c r="CT724" s="129">
        <f t="shared" ref="CT724:DQ724" si="2713">CS724*(1+CT733)</f>
        <v>2493251.706497502</v>
      </c>
      <c r="CU724" s="129">
        <f t="shared" si="2713"/>
        <v>2493251.706497502</v>
      </c>
      <c r="CV724" s="129">
        <f t="shared" si="2713"/>
        <v>2493251.706497502</v>
      </c>
      <c r="CW724" s="129">
        <f t="shared" si="2713"/>
        <v>2493251.706497502</v>
      </c>
      <c r="CX724" s="129">
        <f t="shared" si="2713"/>
        <v>2493251.706497502</v>
      </c>
      <c r="CY724" s="129">
        <f t="shared" si="2713"/>
        <v>2493251.706497502</v>
      </c>
      <c r="CZ724" s="129">
        <f t="shared" si="2713"/>
        <v>2493251.706497502</v>
      </c>
      <c r="DA724" s="129">
        <f t="shared" si="2713"/>
        <v>2493251.706497502</v>
      </c>
      <c r="DB724" s="129">
        <f t="shared" si="2713"/>
        <v>2493251.706497502</v>
      </c>
      <c r="DC724" s="129">
        <f t="shared" si="2713"/>
        <v>2493251.706497502</v>
      </c>
      <c r="DD724" s="129">
        <f t="shared" si="2713"/>
        <v>2493251.706497502</v>
      </c>
      <c r="DE724" s="129">
        <f t="shared" si="2713"/>
        <v>2493251.706497502</v>
      </c>
      <c r="DF724" s="129">
        <f t="shared" si="2713"/>
        <v>2617914.2918223771</v>
      </c>
      <c r="DG724" s="129">
        <f t="shared" si="2713"/>
        <v>2617914.2918223771</v>
      </c>
      <c r="DH724" s="129">
        <f t="shared" si="2713"/>
        <v>2617914.2918223771</v>
      </c>
      <c r="DI724" s="129">
        <f t="shared" si="2713"/>
        <v>2617914.2918223771</v>
      </c>
      <c r="DJ724" s="129">
        <f t="shared" si="2713"/>
        <v>2617914.2918223771</v>
      </c>
      <c r="DK724" s="129">
        <f t="shared" si="2713"/>
        <v>2617914.2918223771</v>
      </c>
      <c r="DL724" s="129">
        <f t="shared" si="2713"/>
        <v>2617914.2918223771</v>
      </c>
      <c r="DM724" s="129">
        <f t="shared" si="2713"/>
        <v>2617914.2918223771</v>
      </c>
      <c r="DN724" s="129">
        <f t="shared" si="2713"/>
        <v>2617914.2918223771</v>
      </c>
      <c r="DO724" s="129">
        <f t="shared" si="2713"/>
        <v>2617914.2918223771</v>
      </c>
      <c r="DP724" s="129">
        <f t="shared" si="2713"/>
        <v>2617914.2918223771</v>
      </c>
      <c r="DQ724" s="129">
        <f t="shared" si="2713"/>
        <v>2617914.2918223771</v>
      </c>
      <c r="DR724" s="129">
        <f t="shared" si="2699"/>
        <v>2748810.0064134961</v>
      </c>
      <c r="DS724" s="129">
        <f t="shared" si="2700"/>
        <v>2748810.0064134961</v>
      </c>
      <c r="DT724" s="129">
        <f t="shared" si="2701"/>
        <v>2748810.0064134961</v>
      </c>
      <c r="DU724" s="129">
        <f t="shared" si="2702"/>
        <v>2748810.0064134961</v>
      </c>
      <c r="DV724" s="129">
        <f t="shared" si="2703"/>
        <v>2748810.0064134961</v>
      </c>
      <c r="DW724" s="129">
        <f t="shared" si="2704"/>
        <v>2748810.0064134961</v>
      </c>
      <c r="DX724" s="129">
        <f t="shared" si="2705"/>
        <v>2748810.0064134961</v>
      </c>
      <c r="DY724" s="129">
        <f t="shared" si="2706"/>
        <v>2748810.0064134961</v>
      </c>
      <c r="DZ724" s="129">
        <f t="shared" si="2707"/>
        <v>2748810.0064134961</v>
      </c>
      <c r="EA724" s="129">
        <f t="shared" si="2708"/>
        <v>2748810.0064134961</v>
      </c>
      <c r="EB724" s="129">
        <f t="shared" si="2709"/>
        <v>2748810.0064134961</v>
      </c>
      <c r="EC724" s="644">
        <f t="shared" si="2710"/>
        <v>2748810.0064134961</v>
      </c>
      <c r="ED724" s="113" t="s">
        <v>1</v>
      </c>
    </row>
    <row r="725" spans="1:134" x14ac:dyDescent="0.2">
      <c r="A725" s="115" t="s">
        <v>52</v>
      </c>
      <c r="B725" s="129">
        <v>0</v>
      </c>
      <c r="C725" s="129">
        <v>0</v>
      </c>
      <c r="D725" s="129">
        <v>0</v>
      </c>
      <c r="E725" s="129">
        <v>0</v>
      </c>
      <c r="F725" s="129">
        <v>0</v>
      </c>
      <c r="G725" s="129">
        <v>0</v>
      </c>
      <c r="H725" s="129">
        <v>0</v>
      </c>
      <c r="I725" s="129">
        <v>0</v>
      </c>
      <c r="J725" s="129">
        <v>77364.34</v>
      </c>
      <c r="K725" s="129">
        <v>25384</v>
      </c>
      <c r="L725" s="129">
        <v>25671</v>
      </c>
      <c r="M725" s="129">
        <v>36542</v>
      </c>
      <c r="N725" s="129">
        <v>11488</v>
      </c>
      <c r="O725" s="129">
        <v>23758</v>
      </c>
      <c r="P725" s="129">
        <v>38727</v>
      </c>
      <c r="Q725" s="129">
        <v>187704</v>
      </c>
      <c r="R725" s="129">
        <v>294969</v>
      </c>
      <c r="S725" s="129">
        <v>170853</v>
      </c>
      <c r="T725" s="129">
        <v>147201</v>
      </c>
      <c r="U725" s="129">
        <v>157570.93</v>
      </c>
      <c r="V725" s="129">
        <v>76950</v>
      </c>
      <c r="W725" s="129">
        <v>213865</v>
      </c>
      <c r="X725" s="129">
        <v>168120</v>
      </c>
      <c r="Y725" s="129">
        <v>166443</v>
      </c>
      <c r="Z725" s="129">
        <v>0</v>
      </c>
      <c r="AA725" s="129">
        <v>172333</v>
      </c>
      <c r="AB725" s="129">
        <v>43934.6</v>
      </c>
      <c r="AC725" s="129">
        <v>173922.0495707209</v>
      </c>
      <c r="AD725" s="129">
        <v>234514.93791510566</v>
      </c>
      <c r="AE725" s="129">
        <v>190711.85851956625</v>
      </c>
      <c r="AF725" s="129">
        <v>152346.99436826154</v>
      </c>
      <c r="AG725" s="129">
        <v>123977.47483654653</v>
      </c>
      <c r="AH725" s="129">
        <v>150888.06870768228</v>
      </c>
      <c r="AI725" s="129">
        <v>197818.02151526677</v>
      </c>
      <c r="AJ725" s="129">
        <v>544217.22451536718</v>
      </c>
      <c r="AK725" s="129">
        <v>631706.67762694159</v>
      </c>
      <c r="AL725" s="129">
        <v>366248.37065225351</v>
      </c>
      <c r="AM725" s="129">
        <v>216901.61364352578</v>
      </c>
      <c r="AN725" s="129">
        <v>237315.41376932414</v>
      </c>
      <c r="AO725" s="129">
        <v>259408.99679143156</v>
      </c>
      <c r="AP725" s="129">
        <v>668880.64478579641</v>
      </c>
      <c r="AQ725" s="129">
        <v>491879.16140455898</v>
      </c>
      <c r="AR725" s="129">
        <v>336271.68883853848</v>
      </c>
      <c r="AS725" s="129">
        <v>447266.22717267502</v>
      </c>
      <c r="AT725" s="129">
        <v>651714.25251879275</v>
      </c>
      <c r="AU725" s="129">
        <v>556973.86195950885</v>
      </c>
      <c r="AV725" s="129">
        <v>353142.35559701506</v>
      </c>
      <c r="AW725" s="129">
        <v>480091.89876130247</v>
      </c>
      <c r="AX725" s="129">
        <v>204243.14021238132</v>
      </c>
      <c r="AY725" s="129">
        <v>659056.69808459294</v>
      </c>
      <c r="AZ725" s="129">
        <v>967700.88678155176</v>
      </c>
      <c r="BA725" s="129">
        <v>887019.34093571024</v>
      </c>
      <c r="BB725" s="129">
        <v>1413323.4244061613</v>
      </c>
      <c r="BC725" s="129">
        <v>1559875.1119821519</v>
      </c>
      <c r="BD725" s="129">
        <v>1353364.7632880332</v>
      </c>
      <c r="BE725" s="129">
        <v>1907859.1837649995</v>
      </c>
      <c r="BF725" s="129">
        <v>2584453.3850675845</v>
      </c>
      <c r="BG725" s="129">
        <v>2143237.8183741402</v>
      </c>
      <c r="BH725" s="129">
        <v>1655798.9312369088</v>
      </c>
      <c r="BI725" s="129">
        <v>1790663.1992690959</v>
      </c>
      <c r="BJ725" s="129">
        <v>1304219.4864867413</v>
      </c>
      <c r="BK725" s="129">
        <v>1395732.9318833374</v>
      </c>
      <c r="BL725" s="129">
        <v>3521433.0906840963</v>
      </c>
      <c r="BM725" s="129">
        <v>1592100.6971917818</v>
      </c>
      <c r="BN725" s="129">
        <v>2687925.8422863097</v>
      </c>
      <c r="BO725" s="129">
        <v>1835595.1901844442</v>
      </c>
      <c r="BP725" s="129">
        <v>1598153.9652160986</v>
      </c>
      <c r="BQ725" s="129">
        <v>2039946.0212459634</v>
      </c>
      <c r="BR725" s="129">
        <v>1940399.9727178514</v>
      </c>
      <c r="BS725" s="129">
        <v>1641921.8886472788</v>
      </c>
      <c r="BT725" s="129">
        <v>1622206.6510883179</v>
      </c>
      <c r="BU725" s="129">
        <v>1478720.7560651903</v>
      </c>
      <c r="BV725" s="129">
        <v>1390201.5143162606</v>
      </c>
      <c r="BW725" s="129">
        <v>1128092.4531761985</v>
      </c>
      <c r="BX725" s="129">
        <v>1704667.4922260582</v>
      </c>
      <c r="BY725" s="129">
        <v>1184395.9938069936</v>
      </c>
      <c r="BZ725" s="129">
        <v>1713035.2836903867</v>
      </c>
      <c r="CA725" s="129">
        <v>1691824.5377117526</v>
      </c>
      <c r="CB725" s="129">
        <v>1545999.8488784435</v>
      </c>
      <c r="CC725" s="129">
        <v>1772104.4642210074</v>
      </c>
      <c r="CD725" s="129">
        <v>1680356.7975008481</v>
      </c>
      <c r="CE725" s="129">
        <v>2393112.3660401027</v>
      </c>
      <c r="CF725" s="129">
        <v>2831228.4038832211</v>
      </c>
      <c r="CG725" s="129">
        <v>3347465.0811275081</v>
      </c>
      <c r="CH725" s="129">
        <v>3544732.6509571751</v>
      </c>
      <c r="CI725" s="129">
        <v>2150799.0975459395</v>
      </c>
      <c r="CJ725" s="129">
        <v>2570199.9645589371</v>
      </c>
      <c r="CK725" s="129">
        <v>2603054.5996911083</v>
      </c>
      <c r="CL725" s="129">
        <v>2124316.4751900551</v>
      </c>
      <c r="CM725" s="129">
        <v>2961708.4667721493</v>
      </c>
      <c r="CN725" s="129">
        <v>4343004.5851225182</v>
      </c>
      <c r="CO725" s="129">
        <v>3308046.8320561429</v>
      </c>
      <c r="CP725" s="129">
        <v>4009480.7840261878</v>
      </c>
      <c r="CQ725" s="129">
        <v>3889980.6813136754</v>
      </c>
      <c r="CR725" s="129">
        <v>2277367.1652573352</v>
      </c>
      <c r="CS725" s="129">
        <v>3089019.8637971627</v>
      </c>
      <c r="CT725" s="129">
        <f t="shared" ref="CT725:DQ725" si="2714">CS725*(1+CT734)</f>
        <v>3243470.8569870209</v>
      </c>
      <c r="CU725" s="129">
        <f t="shared" si="2714"/>
        <v>3243470.8569870209</v>
      </c>
      <c r="CV725" s="129">
        <f t="shared" si="2714"/>
        <v>3243470.8569870209</v>
      </c>
      <c r="CW725" s="129">
        <f t="shared" si="2714"/>
        <v>3243470.8569870209</v>
      </c>
      <c r="CX725" s="129">
        <f t="shared" si="2714"/>
        <v>3243470.8569870209</v>
      </c>
      <c r="CY725" s="129">
        <f t="shared" si="2714"/>
        <v>3243470.8569870209</v>
      </c>
      <c r="CZ725" s="129">
        <f t="shared" si="2714"/>
        <v>3243470.8569870209</v>
      </c>
      <c r="DA725" s="129">
        <f t="shared" si="2714"/>
        <v>3243470.8569870209</v>
      </c>
      <c r="DB725" s="129">
        <f t="shared" si="2714"/>
        <v>3243470.8569870209</v>
      </c>
      <c r="DC725" s="129">
        <f t="shared" si="2714"/>
        <v>3243470.8569870209</v>
      </c>
      <c r="DD725" s="129">
        <f t="shared" si="2714"/>
        <v>3243470.8569870209</v>
      </c>
      <c r="DE725" s="129">
        <f t="shared" si="2714"/>
        <v>3243470.8569870209</v>
      </c>
      <c r="DF725" s="129">
        <f t="shared" si="2714"/>
        <v>3405644.3998363721</v>
      </c>
      <c r="DG725" s="129">
        <f t="shared" si="2714"/>
        <v>3405644.3998363721</v>
      </c>
      <c r="DH725" s="129">
        <f t="shared" si="2714"/>
        <v>3405644.3998363721</v>
      </c>
      <c r="DI725" s="129">
        <f t="shared" si="2714"/>
        <v>3405644.3998363721</v>
      </c>
      <c r="DJ725" s="129">
        <f t="shared" si="2714"/>
        <v>3405644.3998363721</v>
      </c>
      <c r="DK725" s="129">
        <f t="shared" si="2714"/>
        <v>3405644.3998363721</v>
      </c>
      <c r="DL725" s="129">
        <f t="shared" si="2714"/>
        <v>3405644.3998363721</v>
      </c>
      <c r="DM725" s="129">
        <f t="shared" si="2714"/>
        <v>3405644.3998363721</v>
      </c>
      <c r="DN725" s="129">
        <f t="shared" si="2714"/>
        <v>3405644.3998363721</v>
      </c>
      <c r="DO725" s="129">
        <f t="shared" si="2714"/>
        <v>3405644.3998363721</v>
      </c>
      <c r="DP725" s="129">
        <f t="shared" si="2714"/>
        <v>3405644.3998363721</v>
      </c>
      <c r="DQ725" s="129">
        <f t="shared" si="2714"/>
        <v>3405644.3998363721</v>
      </c>
      <c r="DR725" s="129">
        <f t="shared" si="2699"/>
        <v>3575926.6198281907</v>
      </c>
      <c r="DS725" s="129">
        <f t="shared" si="2700"/>
        <v>3575926.6198281907</v>
      </c>
      <c r="DT725" s="129">
        <f t="shared" si="2701"/>
        <v>3575926.6198281907</v>
      </c>
      <c r="DU725" s="129">
        <f t="shared" si="2702"/>
        <v>3575926.6198281907</v>
      </c>
      <c r="DV725" s="129">
        <f t="shared" si="2703"/>
        <v>3575926.6198281907</v>
      </c>
      <c r="DW725" s="129">
        <f t="shared" si="2704"/>
        <v>3575926.6198281907</v>
      </c>
      <c r="DX725" s="129">
        <f t="shared" si="2705"/>
        <v>3575926.6198281907</v>
      </c>
      <c r="DY725" s="129">
        <f t="shared" si="2706"/>
        <v>3575926.6198281907</v>
      </c>
      <c r="DZ725" s="129">
        <f t="shared" si="2707"/>
        <v>3575926.6198281907</v>
      </c>
      <c r="EA725" s="129">
        <f t="shared" si="2708"/>
        <v>3575926.6198281907</v>
      </c>
      <c r="EB725" s="129">
        <f t="shared" si="2709"/>
        <v>3575926.6198281907</v>
      </c>
      <c r="EC725" s="644">
        <f t="shared" si="2710"/>
        <v>3575926.6198281907</v>
      </c>
      <c r="ED725" s="113" t="s">
        <v>1</v>
      </c>
    </row>
    <row r="726" spans="1:134" x14ac:dyDescent="0.2">
      <c r="A726" s="115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29"/>
      <c r="AM726" s="129"/>
      <c r="AN726" s="129"/>
      <c r="AO726" s="129"/>
      <c r="AP726" s="129"/>
      <c r="AQ726" s="129"/>
      <c r="AR726" s="129"/>
      <c r="AS726" s="129"/>
      <c r="AT726" s="129"/>
      <c r="AU726" s="129"/>
      <c r="AV726" s="129"/>
      <c r="AW726" s="129"/>
      <c r="AX726" s="129"/>
      <c r="AY726" s="129"/>
      <c r="AZ726" s="129"/>
      <c r="BA726" s="129"/>
      <c r="BB726" s="129"/>
      <c r="BC726" s="129"/>
      <c r="BD726" s="129"/>
      <c r="BE726" s="129"/>
      <c r="BF726" s="129"/>
      <c r="BG726" s="129"/>
      <c r="BH726" s="129"/>
      <c r="BI726" s="129"/>
      <c r="BJ726" s="129"/>
      <c r="BK726" s="129"/>
      <c r="BL726" s="129"/>
      <c r="BM726" s="129"/>
      <c r="BN726" s="129"/>
      <c r="BO726" s="129"/>
      <c r="BP726" s="129"/>
      <c r="BQ726" s="129"/>
      <c r="BR726" s="129"/>
      <c r="BS726" s="129"/>
      <c r="BT726" s="129"/>
      <c r="BU726" s="129"/>
      <c r="BV726" s="129"/>
      <c r="BW726" s="129"/>
      <c r="BX726" s="129"/>
      <c r="BY726" s="129"/>
      <c r="BZ726" s="129"/>
      <c r="CA726" s="129"/>
      <c r="CB726" s="129"/>
      <c r="CC726" s="129"/>
      <c r="CD726" s="129"/>
      <c r="CE726" s="129"/>
      <c r="CF726" s="129"/>
      <c r="CG726" s="129"/>
      <c r="CH726" s="129"/>
      <c r="CI726" s="129"/>
      <c r="CJ726" s="129"/>
      <c r="CK726" s="129"/>
      <c r="CL726" s="129"/>
      <c r="CM726" s="129"/>
      <c r="CN726" s="129"/>
      <c r="CO726" s="129"/>
      <c r="CP726" s="129"/>
      <c r="CQ726" s="115"/>
      <c r="CR726" s="115"/>
      <c r="CS726" s="115"/>
      <c r="CT726" s="115"/>
      <c r="CU726" s="115"/>
      <c r="CV726" s="115"/>
      <c r="CW726" s="115"/>
      <c r="CX726" s="115"/>
      <c r="CY726" s="115"/>
      <c r="CZ726" s="115"/>
      <c r="DA726" s="115"/>
      <c r="DB726" s="115"/>
      <c r="DC726" s="115"/>
      <c r="DD726" s="115"/>
      <c r="DE726" s="115"/>
      <c r="DF726" s="115"/>
      <c r="DG726" s="115"/>
      <c r="DH726" s="115"/>
      <c r="DI726" s="115"/>
      <c r="DJ726" s="115"/>
      <c r="DK726" s="115"/>
      <c r="DL726" s="115"/>
      <c r="DM726" s="115"/>
      <c r="DN726" s="115"/>
      <c r="DO726" s="115"/>
      <c r="DP726" s="115"/>
      <c r="DQ726" s="115"/>
      <c r="DR726" s="115"/>
      <c r="DS726" s="115"/>
      <c r="DT726" s="115"/>
      <c r="DU726" s="115"/>
      <c r="DV726" s="115"/>
      <c r="DW726" s="115"/>
      <c r="DX726" s="115"/>
      <c r="DY726" s="115"/>
      <c r="DZ726" s="115"/>
      <c r="EA726" s="115"/>
      <c r="EB726" s="115"/>
      <c r="EC726" s="645"/>
      <c r="ED726" s="113" t="s">
        <v>1</v>
      </c>
    </row>
    <row r="727" spans="1:134" x14ac:dyDescent="0.2">
      <c r="A727" s="115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29"/>
      <c r="AM727" s="129"/>
      <c r="AN727" s="129"/>
      <c r="AO727" s="129"/>
      <c r="AP727" s="129"/>
      <c r="AQ727" s="129"/>
      <c r="AR727" s="129"/>
      <c r="AS727" s="129"/>
      <c r="AT727" s="129"/>
      <c r="AU727" s="129"/>
      <c r="AV727" s="129"/>
      <c r="AW727" s="129"/>
      <c r="AX727" s="129"/>
      <c r="AY727" s="129"/>
      <c r="AZ727" s="129"/>
      <c r="BA727" s="129"/>
      <c r="BB727" s="129"/>
      <c r="BC727" s="129"/>
      <c r="BD727" s="129"/>
      <c r="BE727" s="129"/>
      <c r="BF727" s="129"/>
      <c r="BG727" s="129"/>
      <c r="BH727" s="129"/>
      <c r="BI727" s="129"/>
      <c r="BJ727" s="129"/>
      <c r="BK727" s="129"/>
      <c r="BL727" s="129"/>
      <c r="BM727" s="129"/>
      <c r="BN727" s="129"/>
      <c r="BO727" s="129"/>
      <c r="BP727" s="129"/>
      <c r="BQ727" s="129"/>
      <c r="BR727" s="129"/>
      <c r="BS727" s="129"/>
      <c r="BT727" s="129"/>
      <c r="BU727" s="129"/>
      <c r="BV727" s="129"/>
      <c r="BW727" s="129"/>
      <c r="BX727" s="129"/>
      <c r="BY727" s="129"/>
      <c r="BZ727" s="129"/>
      <c r="CA727" s="129"/>
      <c r="CB727" s="129"/>
      <c r="CC727" s="129"/>
      <c r="CD727" s="129"/>
      <c r="CE727" s="129"/>
      <c r="CF727" s="129"/>
      <c r="CG727" s="129"/>
      <c r="CH727" s="129"/>
      <c r="CI727" s="129"/>
      <c r="CJ727" s="129"/>
      <c r="CK727" s="129"/>
      <c r="CL727" s="129"/>
      <c r="CM727" s="129"/>
      <c r="CN727" s="129"/>
      <c r="CO727" s="129"/>
      <c r="CP727" s="129"/>
      <c r="CQ727" s="115"/>
      <c r="CR727" s="115"/>
      <c r="CS727" s="115"/>
      <c r="CT727" s="115"/>
      <c r="CU727" s="115"/>
      <c r="CV727" s="115"/>
      <c r="CW727" s="115"/>
      <c r="CX727" s="115"/>
      <c r="CY727" s="115"/>
      <c r="CZ727" s="115"/>
      <c r="DA727" s="115"/>
      <c r="DB727" s="115"/>
      <c r="DC727" s="115"/>
      <c r="DD727" s="115"/>
      <c r="DE727" s="115"/>
      <c r="DF727" s="115"/>
      <c r="DG727" s="115"/>
      <c r="DH727" s="115"/>
      <c r="DI727" s="115"/>
      <c r="DJ727" s="115"/>
      <c r="DK727" s="115"/>
      <c r="DL727" s="115"/>
      <c r="DM727" s="115"/>
      <c r="DN727" s="115"/>
      <c r="DO727" s="115"/>
      <c r="DP727" s="115"/>
      <c r="DQ727" s="115"/>
      <c r="DR727" s="115"/>
      <c r="DS727" s="115"/>
      <c r="DT727" s="115"/>
      <c r="DU727" s="115"/>
      <c r="DV727" s="115"/>
      <c r="DW727" s="115"/>
      <c r="DX727" s="115"/>
      <c r="DY727" s="115"/>
      <c r="DZ727" s="115"/>
      <c r="EA727" s="115"/>
      <c r="EB727" s="115"/>
      <c r="EC727" s="645"/>
      <c r="ED727" s="113" t="s">
        <v>1</v>
      </c>
    </row>
    <row r="728" spans="1:134" x14ac:dyDescent="0.2">
      <c r="A728" s="330" t="s">
        <v>485</v>
      </c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/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29"/>
      <c r="BJ728" s="129"/>
      <c r="BK728" s="129"/>
      <c r="BL728" s="129"/>
      <c r="BM728" s="129"/>
      <c r="BN728" s="129"/>
      <c r="BO728" s="129"/>
      <c r="BP728" s="129"/>
      <c r="BQ728" s="129"/>
      <c r="BR728" s="129"/>
      <c r="BS728" s="129"/>
      <c r="BT728" s="129"/>
      <c r="BU728" s="129"/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/>
      <c r="CP728" s="129"/>
      <c r="CQ728" s="115"/>
      <c r="CR728" s="115"/>
      <c r="CS728" s="115"/>
      <c r="CT728" s="115"/>
      <c r="CU728" s="115"/>
      <c r="CV728" s="115"/>
      <c r="CW728" s="115"/>
      <c r="CX728" s="115"/>
      <c r="CY728" s="115"/>
      <c r="CZ728" s="115"/>
      <c r="DA728" s="115"/>
      <c r="DB728" s="115"/>
      <c r="DC728" s="115"/>
      <c r="DD728" s="115"/>
      <c r="DE728" s="115"/>
      <c r="DF728" s="115"/>
      <c r="DG728" s="115"/>
      <c r="DH728" s="115"/>
      <c r="DI728" s="115"/>
      <c r="DJ728" s="115"/>
      <c r="DK728" s="115"/>
      <c r="DL728" s="115"/>
      <c r="DM728" s="115"/>
      <c r="DN728" s="115"/>
      <c r="DO728" s="115"/>
      <c r="DP728" s="115"/>
      <c r="DQ728" s="115"/>
      <c r="DR728" s="115"/>
      <c r="DS728" s="115"/>
      <c r="DT728" s="115"/>
      <c r="DU728" s="115"/>
      <c r="DV728" s="115"/>
      <c r="DW728" s="115"/>
      <c r="DX728" s="115"/>
      <c r="DY728" s="115"/>
      <c r="DZ728" s="115"/>
      <c r="EA728" s="115"/>
      <c r="EB728" s="115"/>
      <c r="EC728" s="645"/>
      <c r="ED728" s="113" t="s">
        <v>1</v>
      </c>
    </row>
    <row r="729" spans="1:134" x14ac:dyDescent="0.2">
      <c r="A729" s="115" t="s">
        <v>479</v>
      </c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29"/>
      <c r="BJ729" s="129"/>
      <c r="BK729" s="129"/>
      <c r="BL729" s="129"/>
      <c r="BM729" s="129"/>
      <c r="BN729" s="129"/>
      <c r="BO729" s="129"/>
      <c r="BP729" s="129"/>
      <c r="BQ729" s="129"/>
      <c r="BR729" s="129"/>
      <c r="BS729" s="129"/>
      <c r="BT729" s="129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33"/>
      <c r="CR729" s="115"/>
      <c r="CS729" s="115"/>
      <c r="CT729" s="742">
        <v>0.08</v>
      </c>
      <c r="CU729" s="115"/>
      <c r="CV729" s="115"/>
      <c r="CW729" s="115"/>
      <c r="CX729" s="115"/>
      <c r="CY729" s="115"/>
      <c r="CZ729" s="115"/>
      <c r="DA729" s="115"/>
      <c r="DB729" s="115"/>
      <c r="DC729" s="115"/>
      <c r="DD729" s="115"/>
      <c r="DE729" s="115"/>
      <c r="DF729" s="742">
        <v>0.08</v>
      </c>
      <c r="DG729" s="115"/>
      <c r="DH729" s="115"/>
      <c r="DI729" s="115"/>
      <c r="DJ729" s="115"/>
      <c r="DK729" s="115"/>
      <c r="DL729" s="115"/>
      <c r="DM729" s="115"/>
      <c r="DN729" s="115"/>
      <c r="DO729" s="115"/>
      <c r="DP729" s="115"/>
      <c r="DQ729" s="115"/>
      <c r="DR729" s="742">
        <v>0.08</v>
      </c>
      <c r="DS729" s="115"/>
      <c r="DT729" s="115"/>
      <c r="DU729" s="115"/>
      <c r="DV729" s="115"/>
      <c r="DW729" s="115"/>
      <c r="DX729" s="115"/>
      <c r="DY729" s="115"/>
      <c r="DZ729" s="115"/>
      <c r="EA729" s="115"/>
      <c r="EB729" s="115"/>
      <c r="EC729" s="645"/>
      <c r="ED729" s="113" t="s">
        <v>1</v>
      </c>
    </row>
    <row r="730" spans="1:134" x14ac:dyDescent="0.2">
      <c r="A730" s="115" t="s">
        <v>480</v>
      </c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29"/>
      <c r="AM730" s="129"/>
      <c r="AN730" s="129"/>
      <c r="AO730" s="129"/>
      <c r="AP730" s="129"/>
      <c r="AQ730" s="129"/>
      <c r="AR730" s="129"/>
      <c r="AS730" s="129"/>
      <c r="AT730" s="129"/>
      <c r="AU730" s="129"/>
      <c r="AV730" s="129"/>
      <c r="AW730" s="129"/>
      <c r="AX730" s="129"/>
      <c r="AY730" s="129"/>
      <c r="AZ730" s="129"/>
      <c r="BA730" s="129"/>
      <c r="BB730" s="129"/>
      <c r="BC730" s="129"/>
      <c r="BD730" s="129"/>
      <c r="BE730" s="129"/>
      <c r="BF730" s="129"/>
      <c r="BG730" s="129"/>
      <c r="BH730" s="129"/>
      <c r="BI730" s="129"/>
      <c r="BJ730" s="129"/>
      <c r="BK730" s="129"/>
      <c r="BL730" s="129"/>
      <c r="BM730" s="129"/>
      <c r="BN730" s="129"/>
      <c r="BO730" s="129"/>
      <c r="BP730" s="129"/>
      <c r="BQ730" s="129"/>
      <c r="BR730" s="129"/>
      <c r="BS730" s="129"/>
      <c r="BT730" s="129"/>
      <c r="BU730" s="129"/>
      <c r="BV730" s="129"/>
      <c r="BW730" s="129"/>
      <c r="BX730" s="129"/>
      <c r="BY730" s="129"/>
      <c r="BZ730" s="129"/>
      <c r="CA730" s="129"/>
      <c r="CB730" s="129"/>
      <c r="CC730" s="129"/>
      <c r="CD730" s="129"/>
      <c r="CE730" s="129"/>
      <c r="CF730" s="129"/>
      <c r="CG730" s="129"/>
      <c r="CH730" s="129"/>
      <c r="CI730" s="129"/>
      <c r="CJ730" s="129"/>
      <c r="CK730" s="129"/>
      <c r="CL730" s="129"/>
      <c r="CM730" s="129"/>
      <c r="CN730" s="129"/>
      <c r="CO730" s="129"/>
      <c r="CP730" s="129"/>
      <c r="CQ730" s="133"/>
      <c r="CR730" s="115"/>
      <c r="CS730" s="115"/>
      <c r="CT730" s="742">
        <v>0.08</v>
      </c>
      <c r="CU730" s="115"/>
      <c r="CV730" s="115"/>
      <c r="CW730" s="115"/>
      <c r="CX730" s="115"/>
      <c r="CY730" s="115"/>
      <c r="CZ730" s="115"/>
      <c r="DA730" s="115"/>
      <c r="DB730" s="115"/>
      <c r="DC730" s="115"/>
      <c r="DD730" s="115"/>
      <c r="DE730" s="115"/>
      <c r="DF730" s="742">
        <v>0.08</v>
      </c>
      <c r="DG730" s="115"/>
      <c r="DH730" s="115"/>
      <c r="DI730" s="115"/>
      <c r="DJ730" s="115"/>
      <c r="DK730" s="115"/>
      <c r="DL730" s="115"/>
      <c r="DM730" s="115"/>
      <c r="DN730" s="115"/>
      <c r="DO730" s="115"/>
      <c r="DP730" s="115"/>
      <c r="DQ730" s="115"/>
      <c r="DR730" s="742">
        <v>0.08</v>
      </c>
      <c r="DS730" s="115"/>
      <c r="DT730" s="115"/>
      <c r="DU730" s="115"/>
      <c r="DV730" s="115"/>
      <c r="DW730" s="115"/>
      <c r="DX730" s="115"/>
      <c r="DY730" s="115"/>
      <c r="DZ730" s="115"/>
      <c r="EA730" s="115"/>
      <c r="EB730" s="115"/>
      <c r="EC730" s="645"/>
      <c r="ED730" s="113" t="s">
        <v>1</v>
      </c>
    </row>
    <row r="731" spans="1:134" x14ac:dyDescent="0.2">
      <c r="A731" s="115" t="s">
        <v>481</v>
      </c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29"/>
      <c r="AM731" s="129"/>
      <c r="AN731" s="129"/>
      <c r="AO731" s="129"/>
      <c r="AP731" s="129"/>
      <c r="AQ731" s="129"/>
      <c r="AR731" s="129"/>
      <c r="AS731" s="129"/>
      <c r="AT731" s="129"/>
      <c r="AU731" s="129"/>
      <c r="AV731" s="129"/>
      <c r="AW731" s="129"/>
      <c r="AX731" s="129"/>
      <c r="AY731" s="129"/>
      <c r="AZ731" s="129"/>
      <c r="BA731" s="129"/>
      <c r="BB731" s="129"/>
      <c r="BC731" s="129"/>
      <c r="BD731" s="129"/>
      <c r="BE731" s="129"/>
      <c r="BF731" s="129"/>
      <c r="BG731" s="129"/>
      <c r="BH731" s="129"/>
      <c r="BI731" s="129"/>
      <c r="BJ731" s="129"/>
      <c r="BK731" s="129"/>
      <c r="BL731" s="129"/>
      <c r="BM731" s="129"/>
      <c r="BN731" s="129"/>
      <c r="BO731" s="129"/>
      <c r="BP731" s="129"/>
      <c r="BQ731" s="129"/>
      <c r="BR731" s="129"/>
      <c r="BS731" s="129"/>
      <c r="BT731" s="129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33"/>
      <c r="CR731" s="115"/>
      <c r="CS731" s="115"/>
      <c r="CT731" s="742">
        <v>0.05</v>
      </c>
      <c r="CU731" s="115"/>
      <c r="CV731" s="115"/>
      <c r="CW731" s="115"/>
      <c r="CX731" s="115"/>
      <c r="CY731" s="115"/>
      <c r="CZ731" s="115"/>
      <c r="DA731" s="115"/>
      <c r="DB731" s="115"/>
      <c r="DC731" s="115"/>
      <c r="DD731" s="115"/>
      <c r="DE731" s="115"/>
      <c r="DF731" s="742">
        <v>0.05</v>
      </c>
      <c r="DG731" s="115"/>
      <c r="DH731" s="115"/>
      <c r="DI731" s="115"/>
      <c r="DJ731" s="115"/>
      <c r="DK731" s="115"/>
      <c r="DL731" s="115"/>
      <c r="DM731" s="115"/>
      <c r="DN731" s="115"/>
      <c r="DO731" s="115"/>
      <c r="DP731" s="115"/>
      <c r="DQ731" s="115"/>
      <c r="DR731" s="742">
        <v>0.05</v>
      </c>
      <c r="DS731" s="115"/>
      <c r="DT731" s="115"/>
      <c r="DU731" s="115"/>
      <c r="DV731" s="115"/>
      <c r="DW731" s="115"/>
      <c r="DX731" s="115"/>
      <c r="DY731" s="115"/>
      <c r="DZ731" s="115"/>
      <c r="EA731" s="115"/>
      <c r="EB731" s="115"/>
      <c r="EC731" s="645"/>
      <c r="ED731" s="113" t="s">
        <v>1</v>
      </c>
    </row>
    <row r="732" spans="1:134" x14ac:dyDescent="0.2">
      <c r="A732" s="115" t="s">
        <v>482</v>
      </c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33"/>
      <c r="CR732" s="115"/>
      <c r="CS732" s="115"/>
      <c r="CT732" s="742">
        <v>0.05</v>
      </c>
      <c r="CU732" s="115"/>
      <c r="CV732" s="115"/>
      <c r="CW732" s="115"/>
      <c r="CX732" s="115"/>
      <c r="CY732" s="115"/>
      <c r="CZ732" s="115"/>
      <c r="DA732" s="115"/>
      <c r="DB732" s="115"/>
      <c r="DC732" s="115"/>
      <c r="DD732" s="115"/>
      <c r="DE732" s="115"/>
      <c r="DF732" s="742">
        <v>0.05</v>
      </c>
      <c r="DG732" s="115"/>
      <c r="DH732" s="115"/>
      <c r="DI732" s="115"/>
      <c r="DJ732" s="115"/>
      <c r="DK732" s="115"/>
      <c r="DL732" s="115"/>
      <c r="DM732" s="115"/>
      <c r="DN732" s="115"/>
      <c r="DO732" s="115"/>
      <c r="DP732" s="115"/>
      <c r="DQ732" s="115"/>
      <c r="DR732" s="742">
        <v>0.05</v>
      </c>
      <c r="DS732" s="115"/>
      <c r="DT732" s="115"/>
      <c r="DU732" s="115"/>
      <c r="DV732" s="115"/>
      <c r="DW732" s="115"/>
      <c r="DX732" s="115"/>
      <c r="DY732" s="115"/>
      <c r="DZ732" s="115"/>
      <c r="EA732" s="115"/>
      <c r="EB732" s="115"/>
      <c r="EC732" s="645"/>
      <c r="ED732" s="113" t="s">
        <v>1</v>
      </c>
    </row>
    <row r="733" spans="1:134" x14ac:dyDescent="0.2">
      <c r="A733" s="115" t="s">
        <v>483</v>
      </c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33"/>
      <c r="CR733" s="115"/>
      <c r="CS733" s="115"/>
      <c r="CT733" s="742">
        <v>0.1</v>
      </c>
      <c r="CU733" s="115"/>
      <c r="CV733" s="115"/>
      <c r="CW733" s="115"/>
      <c r="CX733" s="115"/>
      <c r="CY733" s="115"/>
      <c r="CZ733" s="115"/>
      <c r="DA733" s="115"/>
      <c r="DB733" s="115"/>
      <c r="DC733" s="115"/>
      <c r="DD733" s="115"/>
      <c r="DE733" s="115"/>
      <c r="DF733" s="742">
        <v>0.05</v>
      </c>
      <c r="DG733" s="115"/>
      <c r="DH733" s="115"/>
      <c r="DI733" s="115"/>
      <c r="DJ733" s="115"/>
      <c r="DK733" s="115"/>
      <c r="DL733" s="115"/>
      <c r="DM733" s="115"/>
      <c r="DN733" s="115"/>
      <c r="DO733" s="115"/>
      <c r="DP733" s="115"/>
      <c r="DQ733" s="115"/>
      <c r="DR733" s="742">
        <v>0.05</v>
      </c>
      <c r="DS733" s="115"/>
      <c r="DT733" s="115"/>
      <c r="DU733" s="115"/>
      <c r="DV733" s="115"/>
      <c r="DW733" s="115"/>
      <c r="DX733" s="115"/>
      <c r="DY733" s="115"/>
      <c r="DZ733" s="115"/>
      <c r="EA733" s="115"/>
      <c r="EB733" s="115"/>
      <c r="EC733" s="645"/>
      <c r="ED733" s="113" t="s">
        <v>1</v>
      </c>
    </row>
    <row r="734" spans="1:134" x14ac:dyDescent="0.2">
      <c r="A734" s="115" t="s">
        <v>484</v>
      </c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33"/>
      <c r="CR734" s="115"/>
      <c r="CS734" s="115"/>
      <c r="CT734" s="742">
        <v>0.05</v>
      </c>
      <c r="CU734" s="115"/>
      <c r="CV734" s="115"/>
      <c r="CW734" s="115"/>
      <c r="CX734" s="115"/>
      <c r="CY734" s="115"/>
      <c r="CZ734" s="115"/>
      <c r="DA734" s="115"/>
      <c r="DB734" s="115"/>
      <c r="DC734" s="115"/>
      <c r="DD734" s="115"/>
      <c r="DE734" s="115"/>
      <c r="DF734" s="742">
        <v>0.05</v>
      </c>
      <c r="DG734" s="115"/>
      <c r="DH734" s="115"/>
      <c r="DI734" s="115"/>
      <c r="DJ734" s="115"/>
      <c r="DK734" s="115"/>
      <c r="DL734" s="115"/>
      <c r="DM734" s="115"/>
      <c r="DN734" s="115"/>
      <c r="DO734" s="115"/>
      <c r="DP734" s="115"/>
      <c r="DQ734" s="115"/>
      <c r="DR734" s="742">
        <v>0.05</v>
      </c>
      <c r="DS734" s="115"/>
      <c r="DT734" s="115"/>
      <c r="DU734" s="115"/>
      <c r="DV734" s="115"/>
      <c r="DW734" s="115"/>
      <c r="DX734" s="115"/>
      <c r="DY734" s="115"/>
      <c r="DZ734" s="115"/>
      <c r="EA734" s="115"/>
      <c r="EB734" s="115"/>
      <c r="EC734" s="645"/>
      <c r="ED734" s="113" t="s">
        <v>1</v>
      </c>
    </row>
    <row r="735" spans="1:134" x14ac:dyDescent="0.2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115"/>
      <c r="AR735" s="115"/>
      <c r="AS735" s="115"/>
      <c r="AT735" s="115"/>
      <c r="AU735" s="115"/>
      <c r="AV735" s="115"/>
      <c r="AW735" s="115"/>
      <c r="AX735" s="115"/>
      <c r="AY735" s="115"/>
      <c r="AZ735" s="115"/>
      <c r="BA735" s="115"/>
      <c r="BB735" s="115"/>
      <c r="BC735" s="115"/>
      <c r="BD735" s="115"/>
      <c r="BE735" s="115"/>
      <c r="BF735" s="115"/>
      <c r="BG735" s="115"/>
      <c r="BH735" s="115"/>
      <c r="BI735" s="115"/>
      <c r="BJ735" s="115"/>
      <c r="BK735" s="115"/>
      <c r="BL735" s="115"/>
      <c r="BM735" s="115"/>
      <c r="BN735" s="115"/>
      <c r="BO735" s="115"/>
      <c r="BP735" s="115"/>
      <c r="BQ735" s="115"/>
      <c r="BR735" s="115"/>
      <c r="BS735" s="115"/>
      <c r="BT735" s="115"/>
      <c r="BU735" s="115"/>
      <c r="BV735" s="115"/>
      <c r="BW735" s="115"/>
      <c r="BX735" s="115"/>
      <c r="BY735" s="115"/>
      <c r="BZ735" s="115"/>
      <c r="CA735" s="115"/>
      <c r="CB735" s="115"/>
      <c r="CC735" s="115"/>
      <c r="CD735" s="115"/>
      <c r="CE735" s="115"/>
      <c r="CF735" s="115"/>
      <c r="CG735" s="115"/>
      <c r="CH735" s="115"/>
      <c r="CI735" s="115"/>
      <c r="CJ735" s="115"/>
      <c r="CK735" s="115"/>
      <c r="CL735" s="115"/>
      <c r="CM735" s="115"/>
      <c r="CN735" s="115"/>
      <c r="CO735" s="115"/>
      <c r="CP735" s="115"/>
      <c r="CQ735" s="115"/>
      <c r="CR735" s="115"/>
      <c r="CS735" s="115"/>
      <c r="CT735" s="115"/>
      <c r="CU735" s="115"/>
      <c r="CV735" s="115"/>
      <c r="CW735" s="115"/>
      <c r="CX735" s="115"/>
      <c r="CY735" s="115"/>
      <c r="CZ735" s="115"/>
      <c r="DA735" s="115"/>
      <c r="DB735" s="115"/>
      <c r="DC735" s="115"/>
      <c r="DD735" s="115"/>
      <c r="DE735" s="115"/>
      <c r="DF735" s="115"/>
      <c r="DG735" s="115"/>
      <c r="DH735" s="115"/>
      <c r="DI735" s="115"/>
      <c r="DJ735" s="115"/>
      <c r="DK735" s="115"/>
      <c r="DL735" s="115"/>
      <c r="DM735" s="115"/>
      <c r="DN735" s="115"/>
      <c r="DO735" s="115"/>
      <c r="DP735" s="115"/>
      <c r="DQ735" s="115"/>
      <c r="DR735" s="115"/>
      <c r="DS735" s="115"/>
      <c r="DT735" s="115"/>
      <c r="DU735" s="115"/>
      <c r="DV735" s="115"/>
      <c r="DW735" s="115"/>
      <c r="DX735" s="115"/>
      <c r="DY735" s="115"/>
      <c r="DZ735" s="115"/>
      <c r="EA735" s="115"/>
      <c r="EB735" s="115"/>
      <c r="EC735" s="645"/>
      <c r="ED735" s="113" t="s">
        <v>1</v>
      </c>
    </row>
    <row r="736" spans="1:134" x14ac:dyDescent="0.2">
      <c r="A736" s="746" t="s">
        <v>56</v>
      </c>
      <c r="B736" s="746"/>
      <c r="C736" s="746"/>
      <c r="D736" s="746"/>
      <c r="E736" s="746"/>
      <c r="F736" s="746"/>
      <c r="G736" s="746"/>
      <c r="H736" s="746"/>
      <c r="I736" s="746"/>
      <c r="J736" s="746"/>
      <c r="K736" s="746"/>
      <c r="L736" s="746"/>
      <c r="M736" s="746"/>
      <c r="N736" s="746"/>
      <c r="O736" s="746"/>
      <c r="P736" s="746"/>
      <c r="Q736" s="746"/>
      <c r="R736" s="746"/>
      <c r="S736" s="746"/>
      <c r="T736" s="746"/>
      <c r="U736" s="746"/>
      <c r="V736" s="746"/>
      <c r="W736" s="746"/>
      <c r="X736" s="746"/>
      <c r="Y736" s="746"/>
      <c r="Z736" s="746"/>
      <c r="AA736" s="746"/>
      <c r="AB736" s="746"/>
      <c r="AC736" s="746"/>
      <c r="AD736" s="746"/>
      <c r="AE736" s="746"/>
      <c r="AF736" s="746"/>
      <c r="AG736" s="746"/>
      <c r="AH736" s="746"/>
      <c r="AI736" s="746"/>
      <c r="AJ736" s="746"/>
      <c r="AK736" s="746"/>
      <c r="AL736" s="746"/>
      <c r="AM736" s="746"/>
      <c r="AN736" s="746"/>
      <c r="AO736" s="746"/>
      <c r="AP736" s="746"/>
      <c r="AQ736" s="746"/>
      <c r="AR736" s="746"/>
      <c r="AS736" s="746"/>
      <c r="AT736" s="746"/>
      <c r="AU736" s="746"/>
      <c r="AV736" s="746"/>
      <c r="AW736" s="746"/>
      <c r="AX736" s="746"/>
      <c r="AY736" s="746"/>
      <c r="AZ736" s="746"/>
      <c r="BA736" s="746"/>
      <c r="BB736" s="746"/>
      <c r="BC736" s="746"/>
      <c r="BD736" s="746"/>
      <c r="BE736" s="746"/>
      <c r="BF736" s="746"/>
      <c r="BG736" s="746"/>
      <c r="BH736" s="746"/>
      <c r="BI736" s="746"/>
      <c r="BJ736" s="746"/>
      <c r="BK736" s="746"/>
      <c r="BL736" s="746"/>
      <c r="BM736" s="746"/>
      <c r="BN736" s="746"/>
      <c r="BO736" s="746"/>
      <c r="BP736" s="746"/>
      <c r="BQ736" s="746"/>
      <c r="BR736" s="746"/>
      <c r="BS736" s="746"/>
      <c r="BT736" s="746"/>
      <c r="BU736" s="746"/>
      <c r="BV736" s="746"/>
      <c r="BW736" s="746"/>
      <c r="BX736" s="746"/>
      <c r="BY736" s="729"/>
      <c r="BZ736" s="729"/>
      <c r="CA736" s="729"/>
      <c r="CB736" s="729"/>
      <c r="CC736" s="729"/>
      <c r="CD736" s="729"/>
      <c r="CE736" s="729"/>
      <c r="CF736" s="729"/>
      <c r="CG736" s="729"/>
      <c r="CH736" s="729"/>
      <c r="CI736" s="729"/>
      <c r="CJ736" s="729"/>
      <c r="CK736" s="729"/>
      <c r="CL736" s="729"/>
      <c r="CM736" s="729"/>
      <c r="CN736" s="729"/>
      <c r="CO736" s="729"/>
      <c r="CP736" s="729"/>
      <c r="CQ736" s="729"/>
      <c r="CR736" s="729"/>
      <c r="CS736" s="729"/>
      <c r="CT736" s="729"/>
      <c r="CU736" s="729"/>
      <c r="CV736" s="729"/>
      <c r="CW736" s="729"/>
      <c r="CX736" s="729"/>
      <c r="CY736" s="729"/>
      <c r="CZ736" s="729"/>
      <c r="DA736" s="729"/>
      <c r="DB736" s="729"/>
      <c r="DC736" s="729"/>
      <c r="DD736" s="729"/>
      <c r="DE736" s="729"/>
      <c r="DF736" s="729"/>
      <c r="DG736" s="729"/>
      <c r="DH736" s="729"/>
      <c r="DI736" s="729"/>
      <c r="DJ736" s="729"/>
      <c r="DK736" s="729"/>
      <c r="DL736" s="729"/>
      <c r="DM736" s="729"/>
      <c r="DN736" s="729"/>
      <c r="DO736" s="729"/>
      <c r="DP736" s="729"/>
      <c r="DQ736" s="729"/>
      <c r="DR736" s="729"/>
      <c r="DS736" s="729"/>
      <c r="DT736" s="729"/>
      <c r="DU736" s="729"/>
      <c r="DV736" s="729"/>
      <c r="DW736" s="729"/>
      <c r="DX736" s="729"/>
      <c r="DY736" s="729"/>
      <c r="DZ736" s="729"/>
      <c r="EA736" s="729"/>
      <c r="EB736" s="729"/>
      <c r="EC736" s="729"/>
      <c r="ED736" s="113" t="s">
        <v>1</v>
      </c>
    </row>
    <row r="737" spans="1:134" x14ac:dyDescent="0.2">
      <c r="A737" s="115" t="s">
        <v>3</v>
      </c>
      <c r="B737" s="129">
        <v>16000</v>
      </c>
      <c r="C737" s="129">
        <v>27850</v>
      </c>
      <c r="D737" s="129">
        <v>32350</v>
      </c>
      <c r="E737" s="129">
        <v>81736</v>
      </c>
      <c r="F737" s="129">
        <v>79559</v>
      </c>
      <c r="G737" s="129">
        <v>43179</v>
      </c>
      <c r="H737" s="129">
        <v>53950</v>
      </c>
      <c r="I737" s="129">
        <v>34759</v>
      </c>
      <c r="J737" s="129">
        <v>147846</v>
      </c>
      <c r="K737" s="129">
        <v>152293.54620123203</v>
      </c>
      <c r="L737" s="129">
        <v>125526.58461538462</v>
      </c>
      <c r="M737" s="129">
        <v>78075.993346007599</v>
      </c>
      <c r="N737" s="129">
        <v>199937.32829046898</v>
      </c>
      <c r="O737" s="129">
        <v>259055.64795481774</v>
      </c>
      <c r="P737" s="129">
        <v>516996.41285956005</v>
      </c>
      <c r="Q737" s="129">
        <v>334090.22170449421</v>
      </c>
      <c r="R737" s="129">
        <v>73310.995917573877</v>
      </c>
      <c r="S737" s="129">
        <v>40558.106531610196</v>
      </c>
      <c r="T737" s="129">
        <v>41885.023584905663</v>
      </c>
      <c r="U737" s="129">
        <v>22976.079180678691</v>
      </c>
      <c r="V737" s="129">
        <v>38124.220891231431</v>
      </c>
      <c r="W737" s="129">
        <v>33104.77606330366</v>
      </c>
      <c r="X737" s="129">
        <v>59646.190779014309</v>
      </c>
      <c r="Y737" s="129">
        <v>34261.683350895677</v>
      </c>
      <c r="Z737" s="129">
        <v>12330.382593950897</v>
      </c>
      <c r="AA737" s="129">
        <v>5876.8211920529802</v>
      </c>
      <c r="AB737" s="129">
        <v>14474.321382007822</v>
      </c>
      <c r="AC737" s="129">
        <v>53822.864913329344</v>
      </c>
      <c r="AD737" s="129">
        <v>91708.471728594508</v>
      </c>
      <c r="AE737" s="129">
        <v>92461.748478701818</v>
      </c>
      <c r="AF737" s="129">
        <v>121540.78380487805</v>
      </c>
      <c r="AG737" s="129">
        <v>90787.706083976009</v>
      </c>
      <c r="AH737" s="129">
        <v>136959.7417953668</v>
      </c>
      <c r="AI737" s="129">
        <v>183837.75470339364</v>
      </c>
      <c r="AJ737" s="129">
        <v>107212.12059274399</v>
      </c>
      <c r="AK737" s="129">
        <v>156822.90110927541</v>
      </c>
      <c r="AL737" s="129">
        <v>55732.265973880072</v>
      </c>
      <c r="AM737" s="129">
        <v>4223.5608651911471</v>
      </c>
      <c r="AN737" s="129">
        <v>48505.200943054042</v>
      </c>
      <c r="AO737" s="129">
        <v>113682.74620988383</v>
      </c>
      <c r="AP737" s="129">
        <v>269956.54571026721</v>
      </c>
      <c r="AQ737" s="129">
        <v>620663.24428177474</v>
      </c>
      <c r="AR737" s="129">
        <v>1192614.4967242407</v>
      </c>
      <c r="AS737" s="129">
        <v>915359.98882492376</v>
      </c>
      <c r="AT737" s="129">
        <v>589037.20510158688</v>
      </c>
      <c r="AU737" s="129">
        <v>926063.99546191248</v>
      </c>
      <c r="AV737" s="129">
        <v>1084696.8743383652</v>
      </c>
      <c r="AW737" s="129">
        <v>4143762.2556999396</v>
      </c>
      <c r="AX737" s="129">
        <v>1692934.4391877525</v>
      </c>
      <c r="AY737" s="129">
        <v>1156942.4747286532</v>
      </c>
      <c r="AZ737" s="129">
        <v>1347390.1459978016</v>
      </c>
      <c r="BA737" s="129">
        <v>1134143.5239475174</v>
      </c>
      <c r="BB737" s="129">
        <v>1045196.6468091985</v>
      </c>
      <c r="BC737" s="129">
        <v>1067259.4375196951</v>
      </c>
      <c r="BD737" s="129">
        <v>216282.11939040554</v>
      </c>
      <c r="BE737" s="129">
        <v>121202.70554910296</v>
      </c>
      <c r="BF737" s="129">
        <v>171711.7042406518</v>
      </c>
      <c r="BG737" s="129">
        <v>440837.72288333648</v>
      </c>
      <c r="BH737" s="129">
        <v>529075.82358996186</v>
      </c>
      <c r="BI737" s="129">
        <v>277821.50774828438</v>
      </c>
      <c r="BJ737" s="129">
        <v>0</v>
      </c>
      <c r="BK737" s="129">
        <v>0</v>
      </c>
      <c r="BL737" s="129">
        <v>0</v>
      </c>
      <c r="BM737" s="129">
        <v>0</v>
      </c>
      <c r="BN737" s="129">
        <v>0</v>
      </c>
      <c r="BO737" s="129">
        <v>0</v>
      </c>
      <c r="BP737" s="129">
        <v>0</v>
      </c>
      <c r="BQ737" s="129">
        <v>0</v>
      </c>
      <c r="BR737" s="129">
        <v>0</v>
      </c>
      <c r="BS737" s="129">
        <v>0</v>
      </c>
      <c r="BT737" s="129">
        <v>0</v>
      </c>
      <c r="BU737" s="129">
        <v>0</v>
      </c>
      <c r="BV737" s="129">
        <v>0</v>
      </c>
      <c r="BW737" s="129">
        <v>0</v>
      </c>
      <c r="BX737" s="129">
        <v>0</v>
      </c>
      <c r="BY737" s="129">
        <v>0</v>
      </c>
      <c r="BZ737" s="129">
        <v>0</v>
      </c>
      <c r="CA737" s="129">
        <v>0</v>
      </c>
      <c r="CB737" s="129">
        <v>0</v>
      </c>
      <c r="CC737" s="129">
        <v>0</v>
      </c>
      <c r="CD737" s="129">
        <v>0</v>
      </c>
      <c r="CE737" s="129">
        <v>0</v>
      </c>
      <c r="CF737" s="129">
        <v>0</v>
      </c>
      <c r="CG737" s="129">
        <v>0</v>
      </c>
      <c r="CH737" s="129">
        <v>0</v>
      </c>
      <c r="CI737" s="129">
        <v>0</v>
      </c>
      <c r="CJ737" s="129">
        <v>0</v>
      </c>
      <c r="CK737" s="129">
        <v>0</v>
      </c>
      <c r="CL737" s="129">
        <v>0</v>
      </c>
      <c r="CM737" s="129">
        <v>0</v>
      </c>
      <c r="CN737" s="129">
        <v>0</v>
      </c>
      <c r="CO737" s="129">
        <v>0</v>
      </c>
      <c r="CP737" s="129">
        <v>0</v>
      </c>
      <c r="CQ737" s="129">
        <v>0</v>
      </c>
      <c r="CR737" s="129">
        <v>0</v>
      </c>
      <c r="CS737" s="129">
        <v>0</v>
      </c>
      <c r="CT737" s="128">
        <v>0</v>
      </c>
      <c r="CU737" s="128">
        <v>0</v>
      </c>
      <c r="CV737" s="128">
        <v>0</v>
      </c>
      <c r="CW737" s="128">
        <v>0</v>
      </c>
      <c r="CX737" s="128">
        <v>0</v>
      </c>
      <c r="CY737" s="128">
        <v>0</v>
      </c>
      <c r="CZ737" s="128">
        <v>0</v>
      </c>
      <c r="DA737" s="128">
        <v>0</v>
      </c>
      <c r="DB737" s="128">
        <v>0</v>
      </c>
      <c r="DC737" s="128">
        <v>0</v>
      </c>
      <c r="DD737" s="128">
        <v>0</v>
      </c>
      <c r="DE737" s="128">
        <v>0</v>
      </c>
      <c r="DF737" s="128">
        <v>0</v>
      </c>
      <c r="DG737" s="128">
        <v>0</v>
      </c>
      <c r="DH737" s="128">
        <v>0</v>
      </c>
      <c r="DI737" s="128">
        <v>0</v>
      </c>
      <c r="DJ737" s="128">
        <v>0</v>
      </c>
      <c r="DK737" s="128">
        <v>0</v>
      </c>
      <c r="DL737" s="128">
        <v>0</v>
      </c>
      <c r="DM737" s="128">
        <v>0</v>
      </c>
      <c r="DN737" s="128">
        <v>0</v>
      </c>
      <c r="DO737" s="128">
        <v>0</v>
      </c>
      <c r="DP737" s="128">
        <v>0</v>
      </c>
      <c r="DQ737" s="128">
        <v>0</v>
      </c>
      <c r="DR737" s="115"/>
      <c r="DS737" s="115"/>
      <c r="DT737" s="115"/>
      <c r="DU737" s="115"/>
      <c r="DV737" s="115"/>
      <c r="DW737" s="115"/>
      <c r="DX737" s="115"/>
      <c r="DY737" s="115"/>
      <c r="DZ737" s="115"/>
      <c r="EA737" s="115"/>
      <c r="EB737" s="115"/>
      <c r="EC737" s="645"/>
      <c r="ED737" s="113" t="s">
        <v>1</v>
      </c>
    </row>
    <row r="738" spans="1:134" x14ac:dyDescent="0.2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115"/>
      <c r="AR738" s="115"/>
      <c r="AS738" s="115"/>
      <c r="AT738" s="115"/>
      <c r="AU738" s="115"/>
      <c r="AV738" s="115"/>
      <c r="AW738" s="115"/>
      <c r="AX738" s="115"/>
      <c r="AY738" s="115"/>
      <c r="AZ738" s="115"/>
      <c r="BA738" s="115"/>
      <c r="BB738" s="115"/>
      <c r="BC738" s="115"/>
      <c r="BD738" s="115"/>
      <c r="BE738" s="115"/>
      <c r="BF738" s="115"/>
      <c r="BG738" s="115"/>
      <c r="BH738" s="115"/>
      <c r="BI738" s="115"/>
      <c r="BJ738" s="115"/>
      <c r="BK738" s="115"/>
      <c r="BL738" s="115"/>
      <c r="BM738" s="115"/>
      <c r="BN738" s="115"/>
      <c r="BO738" s="115"/>
      <c r="BP738" s="115"/>
      <c r="BQ738" s="115"/>
      <c r="BR738" s="115"/>
      <c r="BS738" s="115"/>
      <c r="BT738" s="115"/>
      <c r="BU738" s="115"/>
      <c r="BV738" s="115"/>
      <c r="BW738" s="115"/>
      <c r="BX738" s="115"/>
      <c r="BY738" s="115"/>
      <c r="BZ738" s="115"/>
      <c r="CA738" s="115"/>
      <c r="CB738" s="115"/>
      <c r="CC738" s="115"/>
      <c r="CD738" s="115"/>
      <c r="CE738" s="115"/>
      <c r="CF738" s="115"/>
      <c r="CG738" s="115"/>
      <c r="CH738" s="115"/>
      <c r="CI738" s="115"/>
      <c r="CJ738" s="115"/>
      <c r="CK738" s="115"/>
      <c r="CL738" s="115"/>
      <c r="CM738" s="115"/>
      <c r="CN738" s="115"/>
      <c r="CO738" s="115"/>
      <c r="CP738" s="115"/>
      <c r="CQ738" s="115"/>
      <c r="CR738" s="115"/>
      <c r="CS738" s="115"/>
      <c r="CT738" s="115"/>
      <c r="CU738" s="115"/>
      <c r="CV738" s="115"/>
      <c r="CW738" s="115"/>
      <c r="CX738" s="115"/>
      <c r="CY738" s="115"/>
      <c r="CZ738" s="115"/>
      <c r="DA738" s="115"/>
      <c r="DB738" s="115"/>
      <c r="DC738" s="115"/>
      <c r="DD738" s="115"/>
      <c r="DE738" s="115"/>
      <c r="DF738" s="115"/>
      <c r="DG738" s="115"/>
      <c r="DH738" s="115"/>
      <c r="DI738" s="115"/>
      <c r="DJ738" s="115"/>
      <c r="DK738" s="115"/>
      <c r="DL738" s="115"/>
      <c r="DM738" s="115"/>
      <c r="DN738" s="115"/>
      <c r="DO738" s="115"/>
      <c r="DP738" s="115"/>
      <c r="DQ738" s="115"/>
      <c r="DR738" s="115"/>
      <c r="DS738" s="115"/>
      <c r="DT738" s="115"/>
      <c r="DU738" s="115"/>
      <c r="DV738" s="115"/>
      <c r="DW738" s="115"/>
      <c r="DX738" s="115"/>
      <c r="DY738" s="115"/>
      <c r="DZ738" s="115"/>
      <c r="EA738" s="115"/>
      <c r="EB738" s="115"/>
      <c r="EC738" s="645"/>
      <c r="ED738" s="113" t="s">
        <v>1</v>
      </c>
    </row>
    <row r="739" spans="1:134" x14ac:dyDescent="0.2">
      <c r="A739" s="746" t="s">
        <v>153</v>
      </c>
      <c r="B739" s="746"/>
      <c r="C739" s="746"/>
      <c r="D739" s="746"/>
      <c r="E739" s="746"/>
      <c r="F739" s="746"/>
      <c r="G739" s="746"/>
      <c r="H739" s="746"/>
      <c r="I739" s="746"/>
      <c r="J739" s="746"/>
      <c r="K739" s="746"/>
      <c r="L739" s="746"/>
      <c r="M739" s="746"/>
      <c r="N739" s="746"/>
      <c r="O739" s="746"/>
      <c r="P739" s="746"/>
      <c r="Q739" s="746"/>
      <c r="R739" s="746"/>
      <c r="S739" s="746"/>
      <c r="T739" s="746"/>
      <c r="U739" s="746"/>
      <c r="V739" s="746"/>
      <c r="W739" s="746"/>
      <c r="X739" s="746"/>
      <c r="Y739" s="746"/>
      <c r="Z739" s="746"/>
      <c r="AA739" s="746"/>
      <c r="AB739" s="746"/>
      <c r="AC739" s="746"/>
      <c r="AD739" s="746"/>
      <c r="AE739" s="746"/>
      <c r="AF739" s="746"/>
      <c r="AG739" s="746"/>
      <c r="AH739" s="746"/>
      <c r="AI739" s="746"/>
      <c r="AJ739" s="746"/>
      <c r="AK739" s="746"/>
      <c r="AL739" s="746"/>
      <c r="AM739" s="746"/>
      <c r="AN739" s="746"/>
      <c r="AO739" s="746"/>
      <c r="AP739" s="746"/>
      <c r="AQ739" s="746"/>
      <c r="AR739" s="746"/>
      <c r="AS739" s="746"/>
      <c r="AT739" s="746"/>
      <c r="AU739" s="746"/>
      <c r="AV739" s="746"/>
      <c r="AW739" s="746"/>
      <c r="AX739" s="746"/>
      <c r="AY739" s="746"/>
      <c r="AZ739" s="746"/>
      <c r="BA739" s="746"/>
      <c r="BB739" s="746"/>
      <c r="BC739" s="746"/>
      <c r="BD739" s="746"/>
      <c r="BE739" s="746"/>
      <c r="BF739" s="746"/>
      <c r="BG739" s="746"/>
      <c r="BH739" s="746"/>
      <c r="BI739" s="746"/>
      <c r="BJ739" s="746"/>
      <c r="BK739" s="746"/>
      <c r="BL739" s="746"/>
      <c r="BM739" s="746"/>
      <c r="BN739" s="746"/>
      <c r="BO739" s="746"/>
      <c r="BP739" s="746"/>
      <c r="BQ739" s="746"/>
      <c r="BR739" s="746"/>
      <c r="BS739" s="746"/>
      <c r="BT739" s="746"/>
      <c r="BU739" s="746"/>
      <c r="BV739" s="746"/>
      <c r="BW739" s="746"/>
      <c r="BX739" s="746"/>
      <c r="BY739" s="729"/>
      <c r="BZ739" s="729"/>
      <c r="CA739" s="729"/>
      <c r="CB739" s="729"/>
      <c r="CC739" s="729"/>
      <c r="CD739" s="729"/>
      <c r="CE739" s="729"/>
      <c r="CF739" s="729"/>
      <c r="CG739" s="729"/>
      <c r="CH739" s="729"/>
      <c r="CI739" s="729"/>
      <c r="CJ739" s="729"/>
      <c r="CK739" s="729"/>
      <c r="CL739" s="729"/>
      <c r="CM739" s="729"/>
      <c r="CN739" s="729"/>
      <c r="CO739" s="729"/>
      <c r="CP739" s="729"/>
      <c r="CQ739" s="729"/>
      <c r="CR739" s="729"/>
      <c r="CS739" s="729"/>
      <c r="CT739" s="729"/>
      <c r="CU739" s="729"/>
      <c r="CV739" s="729"/>
      <c r="CW739" s="729"/>
      <c r="CX739" s="729"/>
      <c r="CY739" s="729"/>
      <c r="CZ739" s="729"/>
      <c r="DA739" s="729"/>
      <c r="DB739" s="729"/>
      <c r="DC739" s="729"/>
      <c r="DD739" s="729"/>
      <c r="DE739" s="729"/>
      <c r="DF739" s="729"/>
      <c r="DG739" s="729"/>
      <c r="DH739" s="729"/>
      <c r="DI739" s="729"/>
      <c r="DJ739" s="729"/>
      <c r="DK739" s="729"/>
      <c r="DL739" s="729"/>
      <c r="DM739" s="729"/>
      <c r="DN739" s="729"/>
      <c r="DO739" s="729"/>
      <c r="DP739" s="729"/>
      <c r="DQ739" s="729"/>
      <c r="DR739" s="729"/>
      <c r="DS739" s="729"/>
      <c r="DT739" s="729"/>
      <c r="DU739" s="729"/>
      <c r="DV739" s="729"/>
      <c r="DW739" s="729"/>
      <c r="DX739" s="729"/>
      <c r="DY739" s="729"/>
      <c r="DZ739" s="729"/>
      <c r="EA739" s="729"/>
      <c r="EB739" s="729"/>
      <c r="EC739" s="729"/>
      <c r="ED739" s="113" t="s">
        <v>1</v>
      </c>
    </row>
    <row r="740" spans="1:134" x14ac:dyDescent="0.2">
      <c r="A740" s="115" t="s">
        <v>3</v>
      </c>
      <c r="B740" s="129">
        <v>0</v>
      </c>
      <c r="C740" s="129">
        <v>0</v>
      </c>
      <c r="D740" s="129">
        <v>0</v>
      </c>
      <c r="E740" s="129">
        <v>0</v>
      </c>
      <c r="F740" s="129">
        <v>0</v>
      </c>
      <c r="G740" s="129">
        <v>0</v>
      </c>
      <c r="H740" s="129">
        <v>0</v>
      </c>
      <c r="I740" s="129">
        <v>0</v>
      </c>
      <c r="J740" s="129">
        <v>0</v>
      </c>
      <c r="K740" s="129">
        <v>0</v>
      </c>
      <c r="L740" s="129">
        <v>0</v>
      </c>
      <c r="M740" s="129">
        <v>0</v>
      </c>
      <c r="N740" s="129">
        <v>0</v>
      </c>
      <c r="O740" s="129">
        <v>0</v>
      </c>
      <c r="P740" s="129">
        <v>0</v>
      </c>
      <c r="Q740" s="129">
        <v>0</v>
      </c>
      <c r="R740" s="129">
        <v>0</v>
      </c>
      <c r="S740" s="129">
        <v>0</v>
      </c>
      <c r="T740" s="129">
        <v>0</v>
      </c>
      <c r="U740" s="129">
        <v>0</v>
      </c>
      <c r="V740" s="129">
        <v>0</v>
      </c>
      <c r="W740" s="129">
        <v>0</v>
      </c>
      <c r="X740" s="129">
        <v>0</v>
      </c>
      <c r="Y740" s="129">
        <v>0</v>
      </c>
      <c r="Z740" s="129">
        <v>0</v>
      </c>
      <c r="AA740" s="129">
        <v>0</v>
      </c>
      <c r="AB740" s="129">
        <v>0</v>
      </c>
      <c r="AC740" s="129">
        <v>0</v>
      </c>
      <c r="AD740" s="129">
        <v>0</v>
      </c>
      <c r="AE740" s="129">
        <v>0</v>
      </c>
      <c r="AF740" s="129">
        <v>0</v>
      </c>
      <c r="AG740" s="129">
        <v>0</v>
      </c>
      <c r="AH740" s="129">
        <v>0</v>
      </c>
      <c r="AI740" s="129">
        <v>0</v>
      </c>
      <c r="AJ740" s="129">
        <v>0</v>
      </c>
      <c r="AK740" s="129">
        <v>0</v>
      </c>
      <c r="AL740" s="129">
        <v>0</v>
      </c>
      <c r="AM740" s="129">
        <v>0</v>
      </c>
      <c r="AN740" s="129">
        <v>0</v>
      </c>
      <c r="AO740" s="129">
        <v>0</v>
      </c>
      <c r="AP740" s="129">
        <v>0</v>
      </c>
      <c r="AQ740" s="129">
        <v>0</v>
      </c>
      <c r="AR740" s="129">
        <v>0</v>
      </c>
      <c r="AS740" s="129">
        <v>0</v>
      </c>
      <c r="AT740" s="129">
        <v>0</v>
      </c>
      <c r="AU740" s="129">
        <v>0</v>
      </c>
      <c r="AV740" s="129">
        <v>0</v>
      </c>
      <c r="AW740" s="129">
        <v>0</v>
      </c>
      <c r="AX740" s="129">
        <v>0</v>
      </c>
      <c r="AY740" s="129">
        <v>0</v>
      </c>
      <c r="AZ740" s="129">
        <v>0</v>
      </c>
      <c r="BA740" s="129">
        <v>0</v>
      </c>
      <c r="BB740" s="129">
        <v>0</v>
      </c>
      <c r="BC740" s="129">
        <v>0</v>
      </c>
      <c r="BD740" s="129">
        <v>0</v>
      </c>
      <c r="BE740" s="129">
        <v>0</v>
      </c>
      <c r="BF740" s="129">
        <v>0</v>
      </c>
      <c r="BG740" s="129">
        <v>0</v>
      </c>
      <c r="BH740" s="129">
        <v>0</v>
      </c>
      <c r="BI740" s="129">
        <v>0</v>
      </c>
      <c r="BJ740" s="129">
        <v>0</v>
      </c>
      <c r="BK740" s="129">
        <v>0</v>
      </c>
      <c r="BL740" s="129">
        <v>0</v>
      </c>
      <c r="BM740" s="129">
        <v>0</v>
      </c>
      <c r="BN740" s="129">
        <v>0</v>
      </c>
      <c r="BO740" s="129">
        <v>0</v>
      </c>
      <c r="BP740" s="129">
        <v>0</v>
      </c>
      <c r="BQ740" s="129">
        <v>0</v>
      </c>
      <c r="BR740" s="129">
        <v>0</v>
      </c>
      <c r="BS740" s="129">
        <v>0</v>
      </c>
      <c r="BT740" s="129">
        <v>0</v>
      </c>
      <c r="BU740" s="129">
        <v>0</v>
      </c>
      <c r="BV740" s="129">
        <v>0</v>
      </c>
      <c r="BW740" s="129">
        <v>0</v>
      </c>
      <c r="BX740" s="129">
        <v>0</v>
      </c>
      <c r="BY740" s="129">
        <v>0</v>
      </c>
      <c r="BZ740" s="129">
        <v>0</v>
      </c>
      <c r="CA740" s="129">
        <v>0</v>
      </c>
      <c r="CB740" s="129">
        <v>0</v>
      </c>
      <c r="CC740" s="129">
        <v>0</v>
      </c>
      <c r="CD740" s="129">
        <v>0</v>
      </c>
      <c r="CE740" s="129">
        <v>0</v>
      </c>
      <c r="CF740" s="129">
        <v>0</v>
      </c>
      <c r="CG740" s="129">
        <v>0</v>
      </c>
      <c r="CH740" s="129">
        <v>0</v>
      </c>
      <c r="CI740" s="129">
        <v>0</v>
      </c>
      <c r="CJ740" s="129">
        <v>0</v>
      </c>
      <c r="CK740" s="129">
        <v>0</v>
      </c>
      <c r="CL740" s="129">
        <v>0</v>
      </c>
      <c r="CM740" s="129">
        <v>0</v>
      </c>
      <c r="CN740" s="129">
        <v>0</v>
      </c>
      <c r="CO740" s="129">
        <v>0</v>
      </c>
      <c r="CP740" s="129">
        <v>0</v>
      </c>
      <c r="CQ740" s="129">
        <v>0</v>
      </c>
      <c r="CR740" s="129">
        <v>0</v>
      </c>
      <c r="CS740" s="129">
        <v>0</v>
      </c>
      <c r="CT740" s="129">
        <v>0</v>
      </c>
      <c r="CU740" s="129">
        <v>0</v>
      </c>
      <c r="CV740" s="129">
        <v>0</v>
      </c>
      <c r="CW740" s="129">
        <v>0</v>
      </c>
      <c r="CX740" s="129">
        <v>0</v>
      </c>
      <c r="CY740" s="129">
        <v>0</v>
      </c>
      <c r="CZ740" s="129">
        <v>0</v>
      </c>
      <c r="DA740" s="129">
        <v>0</v>
      </c>
      <c r="DB740" s="129">
        <v>0</v>
      </c>
      <c r="DC740" s="129">
        <v>0</v>
      </c>
      <c r="DD740" s="129">
        <v>0</v>
      </c>
      <c r="DE740" s="129">
        <v>0</v>
      </c>
      <c r="DF740" s="129">
        <v>0</v>
      </c>
      <c r="DG740" s="129">
        <v>0</v>
      </c>
      <c r="DH740" s="129">
        <v>0</v>
      </c>
      <c r="DI740" s="129">
        <v>0</v>
      </c>
      <c r="DJ740" s="129">
        <v>0</v>
      </c>
      <c r="DK740" s="129">
        <v>0</v>
      </c>
      <c r="DL740" s="129">
        <v>0</v>
      </c>
      <c r="DM740" s="129">
        <v>0</v>
      </c>
      <c r="DN740" s="129">
        <v>0</v>
      </c>
      <c r="DO740" s="129">
        <v>0</v>
      </c>
      <c r="DP740" s="129">
        <v>0</v>
      </c>
      <c r="DQ740" s="129">
        <v>0</v>
      </c>
      <c r="DR740" s="115"/>
      <c r="DS740" s="115"/>
      <c r="DT740" s="115"/>
      <c r="DU740" s="115"/>
      <c r="DV740" s="115"/>
      <c r="DW740" s="115"/>
      <c r="DX740" s="115"/>
      <c r="DY740" s="115"/>
      <c r="DZ740" s="115"/>
      <c r="EA740" s="115"/>
      <c r="EB740" s="115"/>
      <c r="EC740" s="645"/>
      <c r="ED740" s="113" t="s">
        <v>1</v>
      </c>
    </row>
    <row r="741" spans="1:134" x14ac:dyDescent="0.2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15"/>
      <c r="AU741" s="115"/>
      <c r="AV741" s="115"/>
      <c r="AW741" s="115"/>
      <c r="AX741" s="115"/>
      <c r="AY741" s="115"/>
      <c r="AZ741" s="115"/>
      <c r="BA741" s="115"/>
      <c r="BB741" s="115"/>
      <c r="BC741" s="115"/>
      <c r="BD741" s="115"/>
      <c r="BE741" s="115"/>
      <c r="BF741" s="115"/>
      <c r="BG741" s="115"/>
      <c r="BH741" s="115"/>
      <c r="BI741" s="115"/>
      <c r="BJ741" s="115"/>
      <c r="BK741" s="115"/>
      <c r="BL741" s="115"/>
      <c r="BM741" s="115"/>
      <c r="BN741" s="115"/>
      <c r="BO741" s="115"/>
      <c r="BP741" s="115"/>
      <c r="BQ741" s="115"/>
      <c r="BR741" s="115"/>
      <c r="BS741" s="115"/>
      <c r="BT741" s="115"/>
      <c r="BU741" s="115"/>
      <c r="BV741" s="115"/>
      <c r="BW741" s="115"/>
      <c r="BX741" s="115"/>
      <c r="BY741" s="115"/>
      <c r="BZ741" s="115"/>
      <c r="CA741" s="115"/>
      <c r="CB741" s="115"/>
      <c r="CC741" s="115"/>
      <c r="CD741" s="115"/>
      <c r="CE741" s="115"/>
      <c r="CF741" s="115"/>
      <c r="CG741" s="115"/>
      <c r="CH741" s="115"/>
      <c r="CI741" s="115"/>
      <c r="CJ741" s="115"/>
      <c r="CK741" s="115"/>
      <c r="CL741" s="115"/>
      <c r="CM741" s="115"/>
      <c r="CN741" s="115"/>
      <c r="CO741" s="115"/>
      <c r="CP741" s="115"/>
      <c r="CQ741" s="115"/>
      <c r="CR741" s="115"/>
      <c r="CS741" s="115"/>
      <c r="CT741" s="115"/>
      <c r="CU741" s="115"/>
      <c r="CV741" s="115"/>
      <c r="CW741" s="115"/>
      <c r="CX741" s="115"/>
      <c r="CY741" s="115"/>
      <c r="CZ741" s="115"/>
      <c r="DA741" s="115"/>
      <c r="DB741" s="115"/>
      <c r="DC741" s="115"/>
      <c r="DD741" s="115"/>
      <c r="DE741" s="115"/>
      <c r="DF741" s="115"/>
      <c r="DG741" s="115"/>
      <c r="DH741" s="115"/>
      <c r="DI741" s="115"/>
      <c r="DJ741" s="115"/>
      <c r="DK741" s="115"/>
      <c r="DL741" s="115"/>
      <c r="DM741" s="115"/>
      <c r="DN741" s="115"/>
      <c r="DO741" s="115"/>
      <c r="DP741" s="115"/>
      <c r="DQ741" s="115"/>
      <c r="DR741" s="115"/>
      <c r="DS741" s="115"/>
      <c r="DT741" s="115"/>
      <c r="DU741" s="115"/>
      <c r="DV741" s="115"/>
      <c r="DW741" s="115"/>
      <c r="DX741" s="115"/>
      <c r="DY741" s="115"/>
      <c r="DZ741" s="115"/>
      <c r="EA741" s="115"/>
      <c r="EB741" s="115"/>
      <c r="EC741" s="645"/>
      <c r="ED741" s="113" t="s">
        <v>1</v>
      </c>
    </row>
    <row r="742" spans="1:134" x14ac:dyDescent="0.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15"/>
      <c r="AU742" s="115"/>
      <c r="AV742" s="115"/>
      <c r="AW742" s="115"/>
      <c r="AX742" s="115"/>
      <c r="AY742" s="115"/>
      <c r="AZ742" s="115"/>
      <c r="BA742" s="115"/>
      <c r="BB742" s="115"/>
      <c r="BC742" s="115"/>
      <c r="BD742" s="115"/>
      <c r="BE742" s="115"/>
      <c r="BF742" s="115"/>
      <c r="BG742" s="115"/>
      <c r="BH742" s="115"/>
      <c r="BI742" s="115"/>
      <c r="BJ742" s="115"/>
      <c r="BK742" s="115"/>
      <c r="BL742" s="115"/>
      <c r="BM742" s="115"/>
      <c r="BN742" s="115"/>
      <c r="BO742" s="115"/>
      <c r="BP742" s="115"/>
      <c r="BQ742" s="115"/>
      <c r="BR742" s="115"/>
      <c r="BS742" s="115"/>
      <c r="BT742" s="115"/>
      <c r="BU742" s="115"/>
      <c r="BV742" s="115"/>
      <c r="BW742" s="115"/>
      <c r="BX742" s="115"/>
      <c r="BY742" s="115"/>
      <c r="BZ742" s="115"/>
      <c r="CA742" s="115"/>
      <c r="CB742" s="115"/>
      <c r="CC742" s="115"/>
      <c r="CD742" s="115"/>
      <c r="CE742" s="115"/>
      <c r="CF742" s="115"/>
      <c r="CG742" s="115"/>
      <c r="CH742" s="115"/>
      <c r="CI742" s="115"/>
      <c r="CJ742" s="115"/>
      <c r="CK742" s="115"/>
      <c r="CL742" s="115"/>
      <c r="CM742" s="115"/>
      <c r="CN742" s="115"/>
      <c r="CO742" s="115"/>
      <c r="CP742" s="115"/>
      <c r="CQ742" s="115"/>
      <c r="CR742" s="115"/>
      <c r="CS742" s="115"/>
      <c r="CT742" s="115"/>
      <c r="CU742" s="115"/>
      <c r="CV742" s="115"/>
      <c r="CW742" s="115"/>
      <c r="CX742" s="115"/>
      <c r="CY742" s="115"/>
      <c r="CZ742" s="115"/>
      <c r="DA742" s="115"/>
      <c r="DB742" s="115"/>
      <c r="DC742" s="115"/>
      <c r="DD742" s="115"/>
      <c r="DE742" s="115"/>
      <c r="DF742" s="115"/>
      <c r="DG742" s="115"/>
      <c r="DH742" s="115"/>
      <c r="DI742" s="115"/>
      <c r="DJ742" s="115"/>
      <c r="DK742" s="115"/>
      <c r="DL742" s="115"/>
      <c r="DM742" s="115"/>
      <c r="DN742" s="115"/>
      <c r="DO742" s="115"/>
      <c r="DP742" s="115"/>
      <c r="DQ742" s="115"/>
      <c r="DR742" s="115"/>
      <c r="DS742" s="115"/>
      <c r="DT742" s="115"/>
      <c r="DU742" s="115"/>
      <c r="DV742" s="115"/>
      <c r="DW742" s="115"/>
      <c r="DX742" s="115"/>
      <c r="DY742" s="115"/>
      <c r="DZ742" s="115"/>
      <c r="EA742" s="115"/>
      <c r="EB742" s="115"/>
      <c r="EC742" s="645"/>
      <c r="ED742" s="113" t="s">
        <v>1</v>
      </c>
    </row>
    <row r="743" spans="1:134" x14ac:dyDescent="0.2">
      <c r="A743" s="680" t="s">
        <v>311</v>
      </c>
      <c r="B743" s="680"/>
      <c r="C743" s="680"/>
      <c r="D743" s="680"/>
      <c r="E743" s="680"/>
      <c r="F743" s="680"/>
      <c r="G743" s="680"/>
      <c r="H743" s="680"/>
      <c r="I743" s="680"/>
      <c r="J743" s="680"/>
      <c r="K743" s="680"/>
      <c r="L743" s="680"/>
      <c r="M743" s="680"/>
      <c r="N743" s="680"/>
      <c r="O743" s="680"/>
      <c r="P743" s="680"/>
      <c r="Q743" s="680"/>
      <c r="R743" s="680"/>
      <c r="S743" s="680"/>
      <c r="T743" s="680"/>
      <c r="U743" s="680"/>
      <c r="V743" s="680"/>
      <c r="W743" s="680"/>
      <c r="X743" s="680"/>
      <c r="Y743" s="680"/>
      <c r="Z743" s="680"/>
      <c r="AA743" s="680"/>
      <c r="AB743" s="680"/>
      <c r="AC743" s="680"/>
      <c r="AD743" s="680"/>
      <c r="AE743" s="680"/>
      <c r="AF743" s="680"/>
      <c r="AG743" s="680"/>
      <c r="AH743" s="680"/>
      <c r="AI743" s="680"/>
      <c r="AJ743" s="680"/>
      <c r="AK743" s="680"/>
      <c r="AL743" s="680"/>
      <c r="AM743" s="680"/>
      <c r="AN743" s="680"/>
      <c r="AO743" s="680"/>
      <c r="AP743" s="680"/>
      <c r="AQ743" s="680"/>
      <c r="AR743" s="680"/>
      <c r="AS743" s="680"/>
      <c r="AT743" s="680"/>
      <c r="AU743" s="680"/>
      <c r="AV743" s="680"/>
      <c r="AW743" s="680"/>
      <c r="AX743" s="680"/>
      <c r="AY743" s="680"/>
      <c r="AZ743" s="680"/>
      <c r="BA743" s="680"/>
      <c r="BB743" s="680"/>
      <c r="BC743" s="680"/>
      <c r="BD743" s="680"/>
      <c r="BE743" s="680"/>
      <c r="BF743" s="680"/>
      <c r="BG743" s="680"/>
      <c r="BH743" s="680"/>
      <c r="BI743" s="680"/>
      <c r="BJ743" s="680"/>
      <c r="BK743" s="680"/>
      <c r="BL743" s="680"/>
      <c r="BM743" s="680"/>
      <c r="BN743" s="680"/>
      <c r="BO743" s="680"/>
      <c r="BP743" s="680"/>
      <c r="BQ743" s="680"/>
      <c r="BR743" s="680"/>
      <c r="BS743" s="680"/>
      <c r="BT743" s="680"/>
      <c r="BU743" s="680"/>
      <c r="BV743" s="680"/>
      <c r="BW743" s="680"/>
      <c r="BX743" s="680"/>
      <c r="BY743" s="680"/>
      <c r="BZ743" s="680"/>
      <c r="CA743" s="680"/>
      <c r="CB743" s="680"/>
      <c r="CC743" s="680"/>
      <c r="CD743" s="680"/>
      <c r="CE743" s="680"/>
      <c r="CF743" s="680"/>
      <c r="CG743" s="680"/>
      <c r="CH743" s="680"/>
      <c r="CI743" s="680"/>
      <c r="CJ743" s="680"/>
      <c r="CK743" s="680"/>
      <c r="CL743" s="680"/>
      <c r="CM743" s="680"/>
      <c r="CN743" s="680"/>
      <c r="CO743" s="680"/>
      <c r="CP743" s="680"/>
      <c r="CQ743" s="680"/>
      <c r="CR743" s="680"/>
      <c r="CS743" s="680"/>
      <c r="CT743" s="680"/>
      <c r="CU743" s="680"/>
      <c r="CV743" s="680"/>
      <c r="CW743" s="680"/>
      <c r="CX743" s="680"/>
      <c r="CY743" s="680"/>
      <c r="CZ743" s="680"/>
      <c r="DA743" s="680"/>
      <c r="DB743" s="680"/>
      <c r="DC743" s="680"/>
      <c r="DD743" s="680"/>
      <c r="DE743" s="680"/>
      <c r="DF743" s="680"/>
      <c r="DG743" s="680"/>
      <c r="DH743" s="680"/>
      <c r="DI743" s="680"/>
      <c r="DJ743" s="680"/>
      <c r="DK743" s="680"/>
      <c r="DL743" s="680"/>
      <c r="DM743" s="680"/>
      <c r="DN743" s="680"/>
      <c r="DO743" s="680"/>
      <c r="DP743" s="680"/>
      <c r="DQ743" s="680"/>
      <c r="DR743" s="680"/>
      <c r="DS743" s="680"/>
      <c r="DT743" s="680"/>
      <c r="DU743" s="680"/>
      <c r="DV743" s="680"/>
      <c r="DW743" s="680"/>
      <c r="DX743" s="680"/>
      <c r="DY743" s="680"/>
      <c r="DZ743" s="680"/>
      <c r="EA743" s="680"/>
      <c r="EB743" s="680"/>
      <c r="EC743" s="680"/>
      <c r="ED743" s="113" t="s">
        <v>1</v>
      </c>
    </row>
    <row r="744" spans="1:134" x14ac:dyDescent="0.2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115"/>
      <c r="AU744" s="115"/>
      <c r="AV744" s="115"/>
      <c r="AW744" s="115"/>
      <c r="AX744" s="115"/>
      <c r="AY744" s="115"/>
      <c r="AZ744" s="115"/>
      <c r="BA744" s="115"/>
      <c r="BB744" s="115"/>
      <c r="BC744" s="115"/>
      <c r="BD744" s="115"/>
      <c r="BE744" s="115"/>
      <c r="BF744" s="115"/>
      <c r="BG744" s="115"/>
      <c r="BH744" s="115"/>
      <c r="BI744" s="115"/>
      <c r="BJ744" s="115"/>
      <c r="BK744" s="115"/>
      <c r="BL744" s="115"/>
      <c r="BM744" s="115"/>
      <c r="BN744" s="115"/>
      <c r="BO744" s="115"/>
      <c r="BP744" s="115"/>
      <c r="BQ744" s="115"/>
      <c r="BR744" s="115"/>
      <c r="BS744" s="115"/>
      <c r="BT744" s="115"/>
      <c r="BU744" s="115"/>
      <c r="BV744" s="115"/>
      <c r="BW744" s="115"/>
      <c r="BX744" s="115"/>
      <c r="BY744" s="115"/>
      <c r="BZ744" s="115"/>
      <c r="CA744" s="115"/>
      <c r="CB744" s="115"/>
      <c r="CC744" s="115"/>
      <c r="CD744" s="115"/>
      <c r="CE744" s="115"/>
      <c r="CF744" s="115"/>
      <c r="CG744" s="115"/>
      <c r="CH744" s="115"/>
      <c r="CI744" s="115"/>
      <c r="CJ744" s="115"/>
      <c r="CK744" s="115"/>
      <c r="CL744" s="115"/>
      <c r="CM744" s="115"/>
      <c r="CN744" s="115"/>
      <c r="CO744" s="115"/>
      <c r="CP744" s="115"/>
      <c r="CQ744" s="115"/>
      <c r="CR744" s="115"/>
      <c r="CS744" s="115"/>
      <c r="CT744" s="115"/>
      <c r="CU744" s="115"/>
      <c r="CV744" s="115"/>
      <c r="CW744" s="115"/>
      <c r="CX744" s="115"/>
      <c r="CY744" s="115"/>
      <c r="CZ744" s="115"/>
      <c r="DA744" s="115"/>
      <c r="DB744" s="115"/>
      <c r="DC744" s="115"/>
      <c r="DD744" s="115"/>
      <c r="DE744" s="115"/>
      <c r="DF744" s="115"/>
      <c r="DG744" s="115"/>
      <c r="DH744" s="115"/>
      <c r="DI744" s="115"/>
      <c r="DJ744" s="115"/>
      <c r="DK744" s="115"/>
      <c r="DL744" s="115"/>
      <c r="DM744" s="115"/>
      <c r="DN744" s="115"/>
      <c r="DO744" s="115"/>
      <c r="DP744" s="115"/>
      <c r="DQ744" s="115"/>
      <c r="DR744" s="115"/>
      <c r="DS744" s="115"/>
      <c r="DT744" s="115"/>
      <c r="DU744" s="115"/>
      <c r="DV744" s="115"/>
      <c r="DW744" s="115"/>
      <c r="DX744" s="115"/>
      <c r="DY744" s="115"/>
      <c r="DZ744" s="115"/>
      <c r="EA744" s="115"/>
      <c r="EB744" s="115"/>
      <c r="EC744" s="645"/>
      <c r="ED744" s="113" t="s">
        <v>1</v>
      </c>
    </row>
    <row r="745" spans="1:134" x14ac:dyDescent="0.2">
      <c r="A745" s="115" t="s">
        <v>509</v>
      </c>
      <c r="B745" s="129">
        <v>0</v>
      </c>
      <c r="C745" s="129">
        <v>0</v>
      </c>
      <c r="D745" s="129">
        <v>0</v>
      </c>
      <c r="E745" s="129">
        <v>0</v>
      </c>
      <c r="F745" s="129">
        <v>0</v>
      </c>
      <c r="G745" s="129">
        <v>0</v>
      </c>
      <c r="H745" s="129">
        <v>0</v>
      </c>
      <c r="I745" s="129">
        <v>0</v>
      </c>
      <c r="J745" s="129">
        <v>0</v>
      </c>
      <c r="K745" s="129">
        <v>0</v>
      </c>
      <c r="L745" s="129">
        <v>0</v>
      </c>
      <c r="M745" s="129">
        <v>0</v>
      </c>
      <c r="N745" s="129">
        <v>0</v>
      </c>
      <c r="O745" s="129">
        <v>0</v>
      </c>
      <c r="P745" s="129">
        <v>0</v>
      </c>
      <c r="Q745" s="129">
        <v>0</v>
      </c>
      <c r="R745" s="129">
        <v>0</v>
      </c>
      <c r="S745" s="129">
        <v>0</v>
      </c>
      <c r="T745" s="129">
        <v>0</v>
      </c>
      <c r="U745" s="129">
        <v>0</v>
      </c>
      <c r="V745" s="129">
        <v>0</v>
      </c>
      <c r="W745" s="129">
        <v>0</v>
      </c>
      <c r="X745" s="129">
        <v>0</v>
      </c>
      <c r="Y745" s="129">
        <v>0</v>
      </c>
      <c r="Z745" s="129">
        <v>0</v>
      </c>
      <c r="AA745" s="129">
        <v>0</v>
      </c>
      <c r="AB745" s="129">
        <v>0</v>
      </c>
      <c r="AC745" s="129">
        <v>1016444.9199999999</v>
      </c>
      <c r="AD745" s="129">
        <v>1285256</v>
      </c>
      <c r="AE745" s="129">
        <v>1791138.52</v>
      </c>
      <c r="AF745" s="129">
        <v>2109889.56</v>
      </c>
      <c r="AG745" s="129">
        <v>1307895.48</v>
      </c>
      <c r="AH745" s="129">
        <v>3331132.92</v>
      </c>
      <c r="AI745" s="129">
        <v>1285239.48</v>
      </c>
      <c r="AJ745" s="129">
        <v>874972.36</v>
      </c>
      <c r="AK745" s="129">
        <v>939999.8</v>
      </c>
      <c r="AL745" s="129">
        <v>859040</v>
      </c>
      <c r="AM745" s="129">
        <v>1118369.78</v>
      </c>
      <c r="AN745" s="129">
        <v>1321600</v>
      </c>
      <c r="AO745" s="129">
        <v>2256571.8199999998</v>
      </c>
      <c r="AP745" s="129">
        <v>2048480</v>
      </c>
      <c r="AQ745" s="129">
        <v>5765480</v>
      </c>
      <c r="AR745" s="129">
        <v>4057961</v>
      </c>
      <c r="AS745" s="129">
        <v>2852192.0183999999</v>
      </c>
      <c r="AT745" s="129">
        <v>1320307.7112</v>
      </c>
      <c r="AU745" s="129">
        <v>3300129.8832</v>
      </c>
      <c r="AV745" s="129">
        <v>1611452.4624000001</v>
      </c>
      <c r="AW745" s="129">
        <v>2020024.064</v>
      </c>
      <c r="AX745" s="129">
        <v>1729831.7144000004</v>
      </c>
      <c r="AY745" s="129">
        <v>1823880.9240000001</v>
      </c>
      <c r="AZ745" s="129">
        <v>2497155.0816000002</v>
      </c>
      <c r="BA745" s="129">
        <v>2001015.7272000001</v>
      </c>
      <c r="BB745" s="129">
        <v>2001015.7272000001</v>
      </c>
      <c r="BC745" s="129">
        <v>3124726.6119999997</v>
      </c>
      <c r="BD745" s="129">
        <v>2548494.6632000003</v>
      </c>
      <c r="BE745" s="129">
        <v>731466.51840000018</v>
      </c>
      <c r="BF745" s="129">
        <v>1180734.8047999998</v>
      </c>
      <c r="BG745" s="129">
        <v>1521225.5984</v>
      </c>
      <c r="BH745" s="129">
        <v>1247324.260338983</v>
      </c>
      <c r="BI745" s="129">
        <v>1497573.7616000001</v>
      </c>
      <c r="BJ745" s="129">
        <v>1383701.9047999999</v>
      </c>
      <c r="BK745" s="129">
        <v>1486206.9047999999</v>
      </c>
      <c r="BL745" s="129">
        <v>989612.38080000004</v>
      </c>
      <c r="BM745" s="129">
        <v>1334373.6888000001</v>
      </c>
      <c r="BN745" s="129">
        <v>1705493.1816000002</v>
      </c>
      <c r="BO745" s="129">
        <v>1267346.8152000001</v>
      </c>
      <c r="BP745" s="129">
        <v>2895478.4304000004</v>
      </c>
      <c r="BQ745" s="129">
        <v>1123084.9656</v>
      </c>
      <c r="BR745" s="129">
        <v>1316880</v>
      </c>
      <c r="BS745" s="129">
        <v>1476936.1440000001</v>
      </c>
      <c r="BT745" s="129">
        <v>1077727.3703999999</v>
      </c>
      <c r="BU745" s="129">
        <v>1219241.4192000001</v>
      </c>
      <c r="BV745" s="129">
        <v>1197662.8536</v>
      </c>
      <c r="BW745" s="129">
        <v>1189440</v>
      </c>
      <c r="BX745" s="129">
        <v>1523074.0968000004</v>
      </c>
      <c r="BY745" s="129">
        <v>1693584.9935999999</v>
      </c>
      <c r="BZ745" s="129">
        <v>2813167.6720000003</v>
      </c>
      <c r="CA745" s="129">
        <v>5081382.5120000001</v>
      </c>
      <c r="CB745" s="129">
        <v>3633293.3959999997</v>
      </c>
      <c r="CC745" s="129">
        <v>4427961.9179999996</v>
      </c>
      <c r="CD745" s="129">
        <v>3285398.0079999999</v>
      </c>
      <c r="CE745" s="129">
        <v>2490653.2579999999</v>
      </c>
      <c r="CF745" s="129">
        <v>1951079.142</v>
      </c>
      <c r="CG745" s="129">
        <v>3003397.36</v>
      </c>
      <c r="CH745" s="129">
        <v>2053277.7619999999</v>
      </c>
      <c r="CI745" s="129">
        <v>1506710.4939999999</v>
      </c>
      <c r="CJ745" s="129">
        <v>2962532.7327999999</v>
      </c>
      <c r="CK745" s="129">
        <v>4308387.9160000002</v>
      </c>
      <c r="CL745" s="129">
        <v>4130412.8819999998</v>
      </c>
      <c r="CM745" s="129">
        <v>5168630.1118000001</v>
      </c>
      <c r="CN745" s="129">
        <v>4180598.4354000003</v>
      </c>
      <c r="CO745" s="129">
        <v>3680104.5623999997</v>
      </c>
      <c r="CP745" s="129">
        <v>3750100.3569999998</v>
      </c>
      <c r="CQ745" s="129">
        <v>2337991.3480000002</v>
      </c>
      <c r="CR745" s="129">
        <v>4638085.9221999999</v>
      </c>
      <c r="CS745" s="129">
        <v>7301025.8117999993</v>
      </c>
      <c r="CT745" s="129">
        <f>CH745*(1+CT746)</f>
        <v>2053277.7619999999</v>
      </c>
      <c r="CU745" s="129">
        <f t="shared" ref="CU745:EC745" si="2715">CI745*(1+CU746)</f>
        <v>1506710.4939999999</v>
      </c>
      <c r="CV745" s="129">
        <f t="shared" si="2715"/>
        <v>2962532.7327999999</v>
      </c>
      <c r="CW745" s="129">
        <f t="shared" si="2715"/>
        <v>4308387.9160000002</v>
      </c>
      <c r="CX745" s="129">
        <f t="shared" si="2715"/>
        <v>4130412.8819999998</v>
      </c>
      <c r="CY745" s="129">
        <f t="shared" si="2715"/>
        <v>5168630.1118000001</v>
      </c>
      <c r="CZ745" s="129">
        <f t="shared" si="2715"/>
        <v>4180598.4354000003</v>
      </c>
      <c r="DA745" s="129">
        <f t="shared" si="2715"/>
        <v>3680104.5623999997</v>
      </c>
      <c r="DB745" s="129">
        <f t="shared" si="2715"/>
        <v>3750100.3569999998</v>
      </c>
      <c r="DC745" s="129">
        <f t="shared" si="2715"/>
        <v>2337991.3480000002</v>
      </c>
      <c r="DD745" s="129">
        <f t="shared" si="2715"/>
        <v>4638085.9221999999</v>
      </c>
      <c r="DE745" s="129">
        <f t="shared" si="2715"/>
        <v>7301025.8117999993</v>
      </c>
      <c r="DF745" s="129">
        <f t="shared" si="2715"/>
        <v>2053277.7619999999</v>
      </c>
      <c r="DG745" s="129">
        <f t="shared" si="2715"/>
        <v>1506710.4939999999</v>
      </c>
      <c r="DH745" s="129">
        <f t="shared" si="2715"/>
        <v>2962532.7327999999</v>
      </c>
      <c r="DI745" s="129">
        <f t="shared" si="2715"/>
        <v>4308387.9160000002</v>
      </c>
      <c r="DJ745" s="129">
        <f t="shared" si="2715"/>
        <v>4130412.8819999998</v>
      </c>
      <c r="DK745" s="129">
        <f t="shared" si="2715"/>
        <v>5168630.1118000001</v>
      </c>
      <c r="DL745" s="129">
        <f t="shared" si="2715"/>
        <v>4180598.4354000003</v>
      </c>
      <c r="DM745" s="129">
        <f t="shared" si="2715"/>
        <v>3680104.5623999997</v>
      </c>
      <c r="DN745" s="129">
        <f t="shared" si="2715"/>
        <v>3750100.3569999998</v>
      </c>
      <c r="DO745" s="129">
        <f t="shared" si="2715"/>
        <v>2337991.3480000002</v>
      </c>
      <c r="DP745" s="129">
        <f t="shared" si="2715"/>
        <v>4638085.9221999999</v>
      </c>
      <c r="DQ745" s="129">
        <f t="shared" si="2715"/>
        <v>7301025.8117999993</v>
      </c>
      <c r="DR745" s="129">
        <f t="shared" si="2715"/>
        <v>2053277.7619999999</v>
      </c>
      <c r="DS745" s="129">
        <f t="shared" si="2715"/>
        <v>1506710.4939999999</v>
      </c>
      <c r="DT745" s="129">
        <f t="shared" si="2715"/>
        <v>2962532.7327999999</v>
      </c>
      <c r="DU745" s="129">
        <f t="shared" si="2715"/>
        <v>4308387.9160000002</v>
      </c>
      <c r="DV745" s="129">
        <f t="shared" si="2715"/>
        <v>4130412.8819999998</v>
      </c>
      <c r="DW745" s="129">
        <f t="shared" si="2715"/>
        <v>5168630.1118000001</v>
      </c>
      <c r="DX745" s="129">
        <f t="shared" si="2715"/>
        <v>4180598.4354000003</v>
      </c>
      <c r="DY745" s="129">
        <f t="shared" si="2715"/>
        <v>3680104.5623999997</v>
      </c>
      <c r="DZ745" s="129">
        <f t="shared" si="2715"/>
        <v>3750100.3569999998</v>
      </c>
      <c r="EA745" s="129">
        <f t="shared" si="2715"/>
        <v>2337991.3480000002</v>
      </c>
      <c r="EB745" s="129">
        <f t="shared" si="2715"/>
        <v>4638085.9221999999</v>
      </c>
      <c r="EC745" s="129">
        <f t="shared" si="2715"/>
        <v>7301025.8117999993</v>
      </c>
      <c r="ED745" s="113" t="s">
        <v>1</v>
      </c>
    </row>
    <row r="746" spans="1:134" x14ac:dyDescent="0.2">
      <c r="A746" s="115" t="s">
        <v>510</v>
      </c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33"/>
      <c r="AD746" s="133">
        <f t="shared" ref="AD746:CO746" si="2716">AD745/AC745-1</f>
        <v>0.26446202318567358</v>
      </c>
      <c r="AE746" s="133">
        <f t="shared" si="2716"/>
        <v>0.39360448035255224</v>
      </c>
      <c r="AF746" s="133">
        <f t="shared" si="2716"/>
        <v>0.17796001618009982</v>
      </c>
      <c r="AG746" s="133">
        <f t="shared" si="2716"/>
        <v>-0.3801118765666579</v>
      </c>
      <c r="AH746" s="133">
        <f t="shared" si="2716"/>
        <v>1.54694122805593</v>
      </c>
      <c r="AI746" s="133">
        <f t="shared" si="2716"/>
        <v>-0.61417346264285366</v>
      </c>
      <c r="AJ746" s="133">
        <f t="shared" si="2716"/>
        <v>-0.3192145326877136</v>
      </c>
      <c r="AK746" s="133">
        <f t="shared" si="2716"/>
        <v>7.4319421930082452E-2</v>
      </c>
      <c r="AL746" s="133">
        <f t="shared" si="2716"/>
        <v>-8.6127465133503223E-2</v>
      </c>
      <c r="AM746" s="133">
        <f t="shared" si="2716"/>
        <v>0.30188324175824177</v>
      </c>
      <c r="AN746" s="133">
        <f t="shared" si="2716"/>
        <v>0.18172005684917547</v>
      </c>
      <c r="AO746" s="133">
        <f t="shared" si="2716"/>
        <v>0.70745446428571412</v>
      </c>
      <c r="AP746" s="133">
        <f t="shared" si="2716"/>
        <v>-9.2215908288706627E-2</v>
      </c>
      <c r="AQ746" s="133">
        <f t="shared" si="2716"/>
        <v>1.814516129032258</v>
      </c>
      <c r="AR746" s="133">
        <f t="shared" si="2716"/>
        <v>-0.29616250511665987</v>
      </c>
      <c r="AS746" s="133">
        <f t="shared" si="2716"/>
        <v>-0.29713666089940249</v>
      </c>
      <c r="AT746" s="133">
        <f t="shared" si="2716"/>
        <v>-0.53709017391449831</v>
      </c>
      <c r="AU746" s="133">
        <f t="shared" si="2716"/>
        <v>1.4995157228920379</v>
      </c>
      <c r="AV746" s="133">
        <f t="shared" si="2716"/>
        <v>-0.5117002907663013</v>
      </c>
      <c r="AW746" s="133">
        <f t="shared" si="2716"/>
        <v>0.25354244765712664</v>
      </c>
      <c r="AX746" s="133">
        <f t="shared" si="2716"/>
        <v>-0.14365786763221433</v>
      </c>
      <c r="AY746" s="133">
        <f t="shared" si="2716"/>
        <v>5.4368993710247171E-2</v>
      </c>
      <c r="AZ746" s="133">
        <f t="shared" si="2716"/>
        <v>0.36914370271685559</v>
      </c>
      <c r="BA746" s="133">
        <f t="shared" si="2716"/>
        <v>-0.19868183520348648</v>
      </c>
      <c r="BB746" s="133">
        <f t="shared" si="2716"/>
        <v>0</v>
      </c>
      <c r="BC746" s="133">
        <f t="shared" si="2716"/>
        <v>0.5615702413155923</v>
      </c>
      <c r="BD746" s="133">
        <f t="shared" si="2716"/>
        <v>-0.18441035660114236</v>
      </c>
      <c r="BE746" s="133">
        <f t="shared" si="2716"/>
        <v>-0.71298094951411861</v>
      </c>
      <c r="BF746" s="133">
        <f t="shared" si="2716"/>
        <v>0.61420212012263109</v>
      </c>
      <c r="BG746" s="133">
        <f t="shared" si="2716"/>
        <v>0.2883719461947043</v>
      </c>
      <c r="BH746" s="133">
        <f t="shared" si="2716"/>
        <v>-0.18005306928117826</v>
      </c>
      <c r="BI746" s="133">
        <f t="shared" si="2716"/>
        <v>0.20062906592789842</v>
      </c>
      <c r="BJ746" s="133">
        <f t="shared" si="2716"/>
        <v>-7.6037561367488182E-2</v>
      </c>
      <c r="BK746" s="133">
        <f t="shared" si="2716"/>
        <v>7.4080262261990715E-2</v>
      </c>
      <c r="BL746" s="133">
        <f t="shared" si="2716"/>
        <v>-0.3341355247349137</v>
      </c>
      <c r="BM746" s="133">
        <f t="shared" si="2716"/>
        <v>0.34838014831756237</v>
      </c>
      <c r="BN746" s="133">
        <f t="shared" si="2716"/>
        <v>0.27812260981685522</v>
      </c>
      <c r="BO746" s="133">
        <f t="shared" si="2716"/>
        <v>-0.25690303023607242</v>
      </c>
      <c r="BP746" s="133">
        <f t="shared" si="2716"/>
        <v>1.2846772451493988</v>
      </c>
      <c r="BQ746" s="133">
        <f t="shared" si="2716"/>
        <v>-0.61212456158934336</v>
      </c>
      <c r="BR746" s="133">
        <f t="shared" si="2716"/>
        <v>0.17255598671153649</v>
      </c>
      <c r="BS746" s="133">
        <f t="shared" si="2716"/>
        <v>0.12154193548387093</v>
      </c>
      <c r="BT746" s="133">
        <f t="shared" si="2716"/>
        <v>-0.27029521568807935</v>
      </c>
      <c r="BU746" s="133">
        <f t="shared" si="2716"/>
        <v>0.13130783599518048</v>
      </c>
      <c r="BV746" s="133">
        <f t="shared" si="2716"/>
        <v>-1.7698353468141526E-2</v>
      </c>
      <c r="BW746" s="133">
        <f t="shared" si="2716"/>
        <v>-6.8657498855235755E-3</v>
      </c>
      <c r="BX746" s="133">
        <f t="shared" si="2716"/>
        <v>0.28049678571428616</v>
      </c>
      <c r="BY746" s="133">
        <f t="shared" si="2716"/>
        <v>0.11195180665093396</v>
      </c>
      <c r="BZ746" s="133">
        <f t="shared" si="2716"/>
        <v>0.66107262560241442</v>
      </c>
      <c r="CA746" s="133">
        <f t="shared" si="2716"/>
        <v>0.80628497994484261</v>
      </c>
      <c r="CB746" s="133">
        <f t="shared" si="2716"/>
        <v>-0.28497935602766533</v>
      </c>
      <c r="CC746" s="133">
        <f t="shared" si="2716"/>
        <v>0.2187185111102985</v>
      </c>
      <c r="CD746" s="133">
        <f t="shared" si="2716"/>
        <v>-0.25803381581837714</v>
      </c>
      <c r="CE746" s="133">
        <f t="shared" si="2716"/>
        <v>-0.24190212207616335</v>
      </c>
      <c r="CF746" s="133">
        <f t="shared" si="2716"/>
        <v>-0.21663959616493511</v>
      </c>
      <c r="CG746" s="133">
        <f t="shared" si="2716"/>
        <v>0.53935188755146868</v>
      </c>
      <c r="CH746" s="133">
        <f t="shared" si="2716"/>
        <v>-0.31634828299909012</v>
      </c>
      <c r="CI746" s="133">
        <f t="shared" si="2716"/>
        <v>-0.2661925620173351</v>
      </c>
      <c r="CJ746" s="133">
        <f t="shared" si="2716"/>
        <v>0.96622559184219758</v>
      </c>
      <c r="CK746" s="133">
        <f t="shared" si="2716"/>
        <v>0.45429208875879068</v>
      </c>
      <c r="CL746" s="133">
        <f t="shared" si="2716"/>
        <v>-4.1308962300970364E-2</v>
      </c>
      <c r="CM746" s="133">
        <f t="shared" si="2716"/>
        <v>0.25135918840570781</v>
      </c>
      <c r="CN746" s="133">
        <f t="shared" si="2716"/>
        <v>-0.19115929270007537</v>
      </c>
      <c r="CO746" s="133">
        <f t="shared" si="2716"/>
        <v>-0.11971823669118153</v>
      </c>
      <c r="CP746" s="133">
        <f t="shared" ref="CP746:CR746" si="2717">CP745/CO745-1</f>
        <v>1.9020055928615331E-2</v>
      </c>
      <c r="CQ746" s="133">
        <f t="shared" si="2717"/>
        <v>-0.37655232515688108</v>
      </c>
      <c r="CR746" s="133">
        <f t="shared" si="2717"/>
        <v>0.9837908836435949</v>
      </c>
      <c r="CS746" s="133">
        <f>CS745/CR745-1</f>
        <v>0.57414630394274324</v>
      </c>
      <c r="CT746" s="701">
        <v>0</v>
      </c>
      <c r="CU746" s="701">
        <v>0</v>
      </c>
      <c r="CV746" s="701">
        <v>0</v>
      </c>
      <c r="CW746" s="701">
        <v>0</v>
      </c>
      <c r="CX746" s="701">
        <v>0</v>
      </c>
      <c r="CY746" s="701">
        <v>0</v>
      </c>
      <c r="CZ746" s="701">
        <v>0</v>
      </c>
      <c r="DA746" s="701">
        <v>0</v>
      </c>
      <c r="DB746" s="701">
        <v>0</v>
      </c>
      <c r="DC746" s="701">
        <v>0</v>
      </c>
      <c r="DD746" s="701">
        <v>0</v>
      </c>
      <c r="DE746" s="701">
        <v>0</v>
      </c>
      <c r="DF746" s="701">
        <v>0</v>
      </c>
      <c r="DG746" s="701">
        <v>0</v>
      </c>
      <c r="DH746" s="701">
        <v>0</v>
      </c>
      <c r="DI746" s="701">
        <v>0</v>
      </c>
      <c r="DJ746" s="701">
        <v>0</v>
      </c>
      <c r="DK746" s="701">
        <v>0</v>
      </c>
      <c r="DL746" s="701">
        <v>0</v>
      </c>
      <c r="DM746" s="701">
        <v>0</v>
      </c>
      <c r="DN746" s="701">
        <v>0</v>
      </c>
      <c r="DO746" s="701">
        <v>0</v>
      </c>
      <c r="DP746" s="701">
        <v>0</v>
      </c>
      <c r="DQ746" s="701">
        <v>0</v>
      </c>
      <c r="DR746" s="701">
        <v>0</v>
      </c>
      <c r="DS746" s="701">
        <v>0</v>
      </c>
      <c r="DT746" s="701">
        <v>0</v>
      </c>
      <c r="DU746" s="701">
        <v>0</v>
      </c>
      <c r="DV746" s="701">
        <v>0</v>
      </c>
      <c r="DW746" s="701">
        <v>0</v>
      </c>
      <c r="DX746" s="701">
        <v>0</v>
      </c>
      <c r="DY746" s="701">
        <v>0</v>
      </c>
      <c r="DZ746" s="701">
        <v>0</v>
      </c>
      <c r="EA746" s="701">
        <v>0</v>
      </c>
      <c r="EB746" s="701">
        <v>0</v>
      </c>
      <c r="EC746" s="701">
        <v>0</v>
      </c>
      <c r="ED746" s="113" t="s">
        <v>1</v>
      </c>
    </row>
    <row r="747" spans="1:134" x14ac:dyDescent="0.2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33"/>
      <c r="AD747" s="133"/>
      <c r="AE747" s="133"/>
      <c r="AF747" s="133"/>
      <c r="AG747" s="133"/>
      <c r="AH747" s="133"/>
      <c r="AI747" s="133"/>
      <c r="AJ747" s="133"/>
      <c r="AK747" s="133"/>
      <c r="AL747" s="133"/>
      <c r="AM747" s="133"/>
      <c r="AN747" s="133"/>
      <c r="AO747" s="133"/>
      <c r="AP747" s="133"/>
      <c r="AQ747" s="133"/>
      <c r="AR747" s="133"/>
      <c r="AS747" s="133"/>
      <c r="AT747" s="133"/>
      <c r="AU747" s="133"/>
      <c r="AV747" s="133"/>
      <c r="AW747" s="133"/>
      <c r="AX747" s="133"/>
      <c r="AY747" s="133"/>
      <c r="AZ747" s="133"/>
      <c r="BA747" s="133"/>
      <c r="BB747" s="133"/>
      <c r="BC747" s="133"/>
      <c r="BD747" s="133"/>
      <c r="BE747" s="133"/>
      <c r="BF747" s="133"/>
      <c r="BG747" s="133"/>
      <c r="BH747" s="133"/>
      <c r="BI747" s="133"/>
      <c r="BJ747" s="133"/>
      <c r="BK747" s="133"/>
      <c r="BL747" s="133"/>
      <c r="BM747" s="133"/>
      <c r="BN747" s="133"/>
      <c r="BO747" s="133"/>
      <c r="BP747" s="133"/>
      <c r="BQ747" s="133"/>
      <c r="BR747" s="133"/>
      <c r="BS747" s="133"/>
      <c r="BT747" s="133"/>
      <c r="BU747" s="133"/>
      <c r="BV747" s="133"/>
      <c r="BW747" s="133"/>
      <c r="BX747" s="133"/>
      <c r="BY747" s="133"/>
      <c r="BZ747" s="133"/>
      <c r="CA747" s="133"/>
      <c r="CB747" s="133"/>
      <c r="CC747" s="133"/>
      <c r="CD747" s="133"/>
      <c r="CE747" s="133"/>
      <c r="CF747" s="133"/>
      <c r="CG747" s="133"/>
      <c r="CH747" s="133"/>
      <c r="CI747" s="133"/>
      <c r="CJ747" s="133"/>
      <c r="CK747" s="133"/>
      <c r="CL747" s="133"/>
      <c r="CM747" s="133"/>
      <c r="CN747" s="133"/>
      <c r="CO747" s="133"/>
      <c r="CP747" s="133"/>
      <c r="CQ747" s="133"/>
      <c r="CR747" s="133"/>
      <c r="CS747" s="133"/>
      <c r="CT747" s="702"/>
      <c r="CU747" s="702"/>
      <c r="CV747" s="702"/>
      <c r="CW747" s="702"/>
      <c r="CX747" s="702"/>
      <c r="CY747" s="702"/>
      <c r="CZ747" s="702"/>
      <c r="DA747" s="702"/>
      <c r="DB747" s="702"/>
      <c r="DC747" s="702"/>
      <c r="DD747" s="702"/>
      <c r="DE747" s="702"/>
      <c r="DF747" s="702"/>
      <c r="DG747" s="702"/>
      <c r="DH747" s="702"/>
      <c r="DI747" s="702"/>
      <c r="DJ747" s="702"/>
      <c r="DK747" s="702"/>
      <c r="DL747" s="702"/>
      <c r="DM747" s="702"/>
      <c r="DN747" s="702"/>
      <c r="DO747" s="702"/>
      <c r="DP747" s="702"/>
      <c r="DQ747" s="702"/>
      <c r="DR747" s="115"/>
      <c r="DS747" s="115"/>
      <c r="DT747" s="115"/>
      <c r="DU747" s="115"/>
      <c r="DV747" s="115"/>
      <c r="DW747" s="115"/>
      <c r="DX747" s="115"/>
      <c r="DY747" s="115"/>
      <c r="DZ747" s="115"/>
      <c r="EA747" s="115"/>
      <c r="EB747" s="115"/>
      <c r="EC747" s="645"/>
      <c r="ED747" s="113" t="s">
        <v>1</v>
      </c>
    </row>
    <row r="748" spans="1:134" x14ac:dyDescent="0.2">
      <c r="A748" s="115" t="s">
        <v>511</v>
      </c>
      <c r="B748" s="704">
        <v>0</v>
      </c>
      <c r="C748" s="704">
        <v>0</v>
      </c>
      <c r="D748" s="704">
        <v>0</v>
      </c>
      <c r="E748" s="704">
        <v>0</v>
      </c>
      <c r="F748" s="704">
        <v>0</v>
      </c>
      <c r="G748" s="704">
        <v>0</v>
      </c>
      <c r="H748" s="704">
        <v>0</v>
      </c>
      <c r="I748" s="704">
        <v>0</v>
      </c>
      <c r="J748" s="704">
        <v>0</v>
      </c>
      <c r="K748" s="704">
        <v>0</v>
      </c>
      <c r="L748" s="704">
        <v>0</v>
      </c>
      <c r="M748" s="704">
        <v>0</v>
      </c>
      <c r="N748" s="704">
        <v>0</v>
      </c>
      <c r="O748" s="704">
        <v>0</v>
      </c>
      <c r="P748" s="704">
        <v>0</v>
      </c>
      <c r="Q748" s="704">
        <v>0</v>
      </c>
      <c r="R748" s="704">
        <v>0</v>
      </c>
      <c r="S748" s="704">
        <v>0</v>
      </c>
      <c r="T748" s="704">
        <v>0</v>
      </c>
      <c r="U748" s="704">
        <v>0</v>
      </c>
      <c r="V748" s="704">
        <v>0</v>
      </c>
      <c r="W748" s="704">
        <v>0</v>
      </c>
      <c r="X748" s="704">
        <v>0</v>
      </c>
      <c r="Y748" s="704">
        <v>0</v>
      </c>
      <c r="Z748" s="704">
        <v>0</v>
      </c>
      <c r="AA748" s="704">
        <v>0</v>
      </c>
      <c r="AB748" s="704">
        <v>0</v>
      </c>
      <c r="AC748" s="704">
        <v>861394</v>
      </c>
      <c r="AD748" s="704">
        <v>1089200</v>
      </c>
      <c r="AE748" s="704">
        <v>1517914</v>
      </c>
      <c r="AF748" s="704">
        <v>1788042</v>
      </c>
      <c r="AG748" s="704">
        <v>1108386</v>
      </c>
      <c r="AH748" s="704">
        <v>2822994</v>
      </c>
      <c r="AI748" s="704">
        <v>1089186</v>
      </c>
      <c r="AJ748" s="704">
        <v>741502</v>
      </c>
      <c r="AK748" s="704">
        <v>796610</v>
      </c>
      <c r="AL748" s="704">
        <v>728000</v>
      </c>
      <c r="AM748" s="704">
        <v>947771</v>
      </c>
      <c r="AN748" s="704">
        <v>1120000</v>
      </c>
      <c r="AO748" s="704">
        <v>1912349</v>
      </c>
      <c r="AP748" s="704">
        <v>1736000</v>
      </c>
      <c r="AQ748" s="704">
        <v>4886000</v>
      </c>
      <c r="AR748" s="704">
        <v>3438950</v>
      </c>
      <c r="AS748" s="704">
        <v>2417111.88</v>
      </c>
      <c r="AT748" s="704">
        <v>1118904.8400000001</v>
      </c>
      <c r="AU748" s="704">
        <v>2796720.24</v>
      </c>
      <c r="AV748" s="704">
        <v>1365637.6800000002</v>
      </c>
      <c r="AW748" s="704">
        <v>1711884.8</v>
      </c>
      <c r="AX748" s="704">
        <v>1465959.0800000003</v>
      </c>
      <c r="AY748" s="704">
        <v>1545661.8</v>
      </c>
      <c r="AZ748" s="704">
        <v>2116233.12</v>
      </c>
      <c r="BA748" s="704">
        <v>1695776.04</v>
      </c>
      <c r="BB748" s="704">
        <v>1695776.04</v>
      </c>
      <c r="BC748" s="704">
        <v>2648073.4</v>
      </c>
      <c r="BD748" s="704">
        <v>2159741.2400000002</v>
      </c>
      <c r="BE748" s="704">
        <v>619886.88000000012</v>
      </c>
      <c r="BF748" s="704">
        <v>1067741.3599999999</v>
      </c>
      <c r="BG748" s="704">
        <v>1356292.8800000001</v>
      </c>
      <c r="BH748" s="704">
        <v>1140472.52</v>
      </c>
      <c r="BI748" s="704">
        <v>1354904.12</v>
      </c>
      <c r="BJ748" s="704">
        <v>1265273.3599999999</v>
      </c>
      <c r="BK748" s="704">
        <v>1367778.3599999999</v>
      </c>
      <c r="BL748" s="704">
        <v>838654.56</v>
      </c>
      <c r="BM748" s="704">
        <v>1130825.1600000001</v>
      </c>
      <c r="BN748" s="704">
        <v>1495770.12</v>
      </c>
      <c r="BO748" s="704">
        <v>1124459.6400000001</v>
      </c>
      <c r="BP748" s="704">
        <v>2453795.2800000003</v>
      </c>
      <c r="BQ748" s="704">
        <v>951766.92</v>
      </c>
      <c r="BR748" s="704">
        <v>1116000</v>
      </c>
      <c r="BS748" s="704">
        <v>1251640.8</v>
      </c>
      <c r="BT748" s="704">
        <v>913328.28</v>
      </c>
      <c r="BU748" s="704">
        <v>1033255.4400000001</v>
      </c>
      <c r="BV748" s="704">
        <v>1014968.52</v>
      </c>
      <c r="BW748" s="704">
        <v>1008000</v>
      </c>
      <c r="BX748" s="704">
        <v>1290740.7600000002</v>
      </c>
      <c r="BY748" s="704">
        <v>1435241.52</v>
      </c>
      <c r="BZ748" s="704">
        <v>2384040.4000000004</v>
      </c>
      <c r="CA748" s="704">
        <v>4306256.3661016952</v>
      </c>
      <c r="CB748" s="704">
        <v>3079062.1999999997</v>
      </c>
      <c r="CC748" s="704">
        <v>3752510.1</v>
      </c>
      <c r="CD748" s="704">
        <v>2784235.6</v>
      </c>
      <c r="CE748" s="704">
        <v>2110723.1</v>
      </c>
      <c r="CF748" s="704">
        <v>1653456.9</v>
      </c>
      <c r="CG748" s="704">
        <v>2545252</v>
      </c>
      <c r="CH748" s="704">
        <v>1740065.9</v>
      </c>
      <c r="CI748" s="704">
        <v>1276873.3</v>
      </c>
      <c r="CJ748" s="704">
        <v>2510620.96</v>
      </c>
      <c r="CK748" s="704">
        <v>3651176.2</v>
      </c>
      <c r="CL748" s="704">
        <v>3500349.9</v>
      </c>
      <c r="CM748" s="704">
        <v>4380195.01</v>
      </c>
      <c r="CN748" s="704">
        <v>3542880.0300000003</v>
      </c>
      <c r="CO748" s="704">
        <v>3118732.6799999997</v>
      </c>
      <c r="CP748" s="704">
        <v>3178051.15</v>
      </c>
      <c r="CQ748" s="704">
        <v>1981348.6</v>
      </c>
      <c r="CR748" s="704">
        <v>3930581.29</v>
      </c>
      <c r="CS748" s="704">
        <v>6187310.0099999998</v>
      </c>
      <c r="CT748" s="733">
        <f>CT745/1.18</f>
        <v>1740065.9</v>
      </c>
      <c r="CU748" s="733">
        <f t="shared" ref="CU748:EC748" si="2718">CU745/1.18</f>
        <v>1276873.3</v>
      </c>
      <c r="CV748" s="733">
        <f t="shared" si="2718"/>
        <v>2510620.96</v>
      </c>
      <c r="CW748" s="733">
        <f t="shared" si="2718"/>
        <v>3651176.2</v>
      </c>
      <c r="CX748" s="733">
        <f t="shared" si="2718"/>
        <v>3500349.9</v>
      </c>
      <c r="CY748" s="733">
        <f t="shared" si="2718"/>
        <v>4380195.0100000007</v>
      </c>
      <c r="CZ748" s="733">
        <f t="shared" si="2718"/>
        <v>3542880.0300000003</v>
      </c>
      <c r="DA748" s="733">
        <f t="shared" si="2718"/>
        <v>3118732.6799999997</v>
      </c>
      <c r="DB748" s="733">
        <f t="shared" si="2718"/>
        <v>3178051.15</v>
      </c>
      <c r="DC748" s="733">
        <f t="shared" si="2718"/>
        <v>1981348.6000000003</v>
      </c>
      <c r="DD748" s="733">
        <f t="shared" si="2718"/>
        <v>3930581.29</v>
      </c>
      <c r="DE748" s="733">
        <f t="shared" si="2718"/>
        <v>6187310.0099999998</v>
      </c>
      <c r="DF748" s="733">
        <f t="shared" si="2718"/>
        <v>1740065.9</v>
      </c>
      <c r="DG748" s="733">
        <f t="shared" si="2718"/>
        <v>1276873.3</v>
      </c>
      <c r="DH748" s="733">
        <f t="shared" si="2718"/>
        <v>2510620.96</v>
      </c>
      <c r="DI748" s="733">
        <f t="shared" si="2718"/>
        <v>3651176.2</v>
      </c>
      <c r="DJ748" s="733">
        <f t="shared" si="2718"/>
        <v>3500349.9</v>
      </c>
      <c r="DK748" s="733">
        <f t="shared" si="2718"/>
        <v>4380195.0100000007</v>
      </c>
      <c r="DL748" s="733">
        <f t="shared" si="2718"/>
        <v>3542880.0300000003</v>
      </c>
      <c r="DM748" s="733">
        <f t="shared" si="2718"/>
        <v>3118732.6799999997</v>
      </c>
      <c r="DN748" s="733">
        <f t="shared" si="2718"/>
        <v>3178051.15</v>
      </c>
      <c r="DO748" s="733">
        <f t="shared" si="2718"/>
        <v>1981348.6000000003</v>
      </c>
      <c r="DP748" s="733">
        <f t="shared" si="2718"/>
        <v>3930581.29</v>
      </c>
      <c r="DQ748" s="733">
        <f t="shared" si="2718"/>
        <v>6187310.0099999998</v>
      </c>
      <c r="DR748" s="733">
        <f t="shared" si="2718"/>
        <v>1740065.9</v>
      </c>
      <c r="DS748" s="733">
        <f t="shared" si="2718"/>
        <v>1276873.3</v>
      </c>
      <c r="DT748" s="733">
        <f t="shared" si="2718"/>
        <v>2510620.96</v>
      </c>
      <c r="DU748" s="733">
        <f t="shared" si="2718"/>
        <v>3651176.2</v>
      </c>
      <c r="DV748" s="733">
        <f t="shared" si="2718"/>
        <v>3500349.9</v>
      </c>
      <c r="DW748" s="733">
        <f t="shared" si="2718"/>
        <v>4380195.0100000007</v>
      </c>
      <c r="DX748" s="733">
        <f t="shared" si="2718"/>
        <v>3542880.0300000003</v>
      </c>
      <c r="DY748" s="733">
        <f t="shared" si="2718"/>
        <v>3118732.6799999997</v>
      </c>
      <c r="DZ748" s="733">
        <f t="shared" si="2718"/>
        <v>3178051.15</v>
      </c>
      <c r="EA748" s="733">
        <f t="shared" si="2718"/>
        <v>1981348.6000000003</v>
      </c>
      <c r="EB748" s="733">
        <f t="shared" si="2718"/>
        <v>3930581.29</v>
      </c>
      <c r="EC748" s="733">
        <f t="shared" si="2718"/>
        <v>6187310.0099999998</v>
      </c>
      <c r="ED748" s="113" t="s">
        <v>1</v>
      </c>
    </row>
    <row r="749" spans="1:134" x14ac:dyDescent="0.2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33"/>
      <c r="AD749" s="133"/>
      <c r="AE749" s="133"/>
      <c r="AF749" s="133"/>
      <c r="AG749" s="133"/>
      <c r="AH749" s="133"/>
      <c r="AI749" s="133"/>
      <c r="AJ749" s="133"/>
      <c r="AK749" s="133"/>
      <c r="AL749" s="133"/>
      <c r="AM749" s="133"/>
      <c r="AN749" s="133"/>
      <c r="AO749" s="133"/>
      <c r="AP749" s="133"/>
      <c r="AQ749" s="133"/>
      <c r="AR749" s="133"/>
      <c r="AS749" s="133"/>
      <c r="AT749" s="133"/>
      <c r="AU749" s="133"/>
      <c r="AV749" s="133"/>
      <c r="AW749" s="133"/>
      <c r="AX749" s="133"/>
      <c r="AY749" s="133"/>
      <c r="AZ749" s="133"/>
      <c r="BA749" s="133"/>
      <c r="BB749" s="133"/>
      <c r="BC749" s="133"/>
      <c r="BD749" s="133"/>
      <c r="BE749" s="133"/>
      <c r="BF749" s="133"/>
      <c r="BG749" s="133"/>
      <c r="BH749" s="133"/>
      <c r="BI749" s="133"/>
      <c r="BJ749" s="133"/>
      <c r="BK749" s="133"/>
      <c r="BL749" s="133"/>
      <c r="BM749" s="133"/>
      <c r="BN749" s="133"/>
      <c r="BO749" s="133"/>
      <c r="BP749" s="133"/>
      <c r="BQ749" s="133"/>
      <c r="BR749" s="133"/>
      <c r="BS749" s="133"/>
      <c r="BT749" s="133"/>
      <c r="BU749" s="133"/>
      <c r="BV749" s="133"/>
      <c r="BW749" s="133"/>
      <c r="BX749" s="133"/>
      <c r="BY749" s="133"/>
      <c r="BZ749" s="133"/>
      <c r="CA749" s="133"/>
      <c r="CB749" s="133"/>
      <c r="CC749" s="133"/>
      <c r="CD749" s="133"/>
      <c r="CE749" s="133"/>
      <c r="CF749" s="133"/>
      <c r="CG749" s="133"/>
      <c r="CH749" s="133"/>
      <c r="CI749" s="133"/>
      <c r="CJ749" s="133"/>
      <c r="CK749" s="133"/>
      <c r="CL749" s="133"/>
      <c r="CM749" s="133"/>
      <c r="CN749" s="133"/>
      <c r="CO749" s="133"/>
      <c r="CP749" s="133"/>
      <c r="CQ749" s="133"/>
      <c r="CR749" s="133"/>
      <c r="CS749" s="133"/>
      <c r="CT749" s="733"/>
      <c r="CU749" s="702"/>
      <c r="CV749" s="702"/>
      <c r="CW749" s="702"/>
      <c r="CX749" s="702"/>
      <c r="CY749" s="702"/>
      <c r="CZ749" s="702"/>
      <c r="DA749" s="702"/>
      <c r="DB749" s="702"/>
      <c r="DC749" s="702"/>
      <c r="DD749" s="702"/>
      <c r="DE749" s="702"/>
      <c r="DF749" s="702"/>
      <c r="DG749" s="702"/>
      <c r="DH749" s="702"/>
      <c r="DI749" s="702"/>
      <c r="DJ749" s="702"/>
      <c r="DK749" s="702"/>
      <c r="DL749" s="702"/>
      <c r="DM749" s="702"/>
      <c r="DN749" s="702"/>
      <c r="DO749" s="702"/>
      <c r="DP749" s="702"/>
      <c r="DQ749" s="702"/>
      <c r="DR749" s="115"/>
      <c r="DS749" s="115"/>
      <c r="DT749" s="115"/>
      <c r="DU749" s="115"/>
      <c r="DV749" s="115"/>
      <c r="DW749" s="115"/>
      <c r="DX749" s="115"/>
      <c r="DY749" s="115"/>
      <c r="DZ749" s="115"/>
      <c r="EA749" s="115"/>
      <c r="EB749" s="115"/>
      <c r="EC749" s="645"/>
      <c r="ED749" s="113" t="s">
        <v>1</v>
      </c>
    </row>
    <row r="750" spans="1:134" x14ac:dyDescent="0.2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15"/>
      <c r="AU750" s="115"/>
      <c r="AV750" s="115"/>
      <c r="AW750" s="115"/>
      <c r="AX750" s="115"/>
      <c r="AY750" s="115"/>
      <c r="AZ750" s="115"/>
      <c r="BA750" s="115"/>
      <c r="BB750" s="115"/>
      <c r="BC750" s="115"/>
      <c r="BD750" s="115"/>
      <c r="BE750" s="115"/>
      <c r="BF750" s="115"/>
      <c r="BG750" s="115"/>
      <c r="BH750" s="115"/>
      <c r="BI750" s="115"/>
      <c r="BJ750" s="115"/>
      <c r="BK750" s="115"/>
      <c r="BL750" s="115"/>
      <c r="BM750" s="115"/>
      <c r="BN750" s="115"/>
      <c r="BO750" s="115"/>
      <c r="BP750" s="115"/>
      <c r="BQ750" s="115"/>
      <c r="BR750" s="115"/>
      <c r="BS750" s="115"/>
      <c r="BT750" s="115"/>
      <c r="BU750" s="115"/>
      <c r="BV750" s="115"/>
      <c r="BW750" s="115"/>
      <c r="BX750" s="115"/>
      <c r="BY750" s="115"/>
      <c r="BZ750" s="115"/>
      <c r="CA750" s="115"/>
      <c r="CB750" s="115"/>
      <c r="CC750" s="115"/>
      <c r="CD750" s="115"/>
      <c r="CE750" s="115"/>
      <c r="CF750" s="115"/>
      <c r="CG750" s="115"/>
      <c r="CH750" s="115"/>
      <c r="CI750" s="115"/>
      <c r="CJ750" s="115"/>
      <c r="CK750" s="115"/>
      <c r="CL750" s="115"/>
      <c r="CM750" s="115"/>
      <c r="CN750" s="115"/>
      <c r="CO750" s="115"/>
      <c r="CP750" s="115"/>
      <c r="CQ750" s="115"/>
      <c r="CR750" s="115"/>
      <c r="CS750" s="115"/>
      <c r="CT750" s="115"/>
      <c r="CU750" s="115"/>
      <c r="CV750" s="115"/>
      <c r="CW750" s="115"/>
      <c r="CX750" s="115"/>
      <c r="CY750" s="115"/>
      <c r="CZ750" s="115"/>
      <c r="DA750" s="115"/>
      <c r="DB750" s="115"/>
      <c r="DC750" s="115"/>
      <c r="DD750" s="115"/>
      <c r="DE750" s="115"/>
      <c r="DF750" s="115"/>
      <c r="DG750" s="115"/>
      <c r="DH750" s="115"/>
      <c r="DI750" s="115"/>
      <c r="DJ750" s="115"/>
      <c r="DK750" s="115"/>
      <c r="DL750" s="115"/>
      <c r="DM750" s="115"/>
      <c r="DN750" s="115"/>
      <c r="DO750" s="115"/>
      <c r="DP750" s="115"/>
      <c r="DQ750" s="115"/>
      <c r="DR750" s="115"/>
      <c r="DS750" s="115"/>
      <c r="DT750" s="115"/>
      <c r="DU750" s="115"/>
      <c r="DV750" s="115"/>
      <c r="DW750" s="115"/>
      <c r="DX750" s="115"/>
      <c r="DY750" s="115"/>
      <c r="DZ750" s="115"/>
      <c r="EA750" s="115"/>
      <c r="EB750" s="115"/>
      <c r="EC750" s="645"/>
      <c r="ED750" s="113" t="s">
        <v>1</v>
      </c>
    </row>
    <row r="751" spans="1:134" x14ac:dyDescent="0.2">
      <c r="A751" s="680" t="s">
        <v>307</v>
      </c>
      <c r="B751" s="680"/>
      <c r="C751" s="680"/>
      <c r="D751" s="680"/>
      <c r="E751" s="680"/>
      <c r="F751" s="680"/>
      <c r="G751" s="680"/>
      <c r="H751" s="680"/>
      <c r="I751" s="680"/>
      <c r="J751" s="680"/>
      <c r="K751" s="680"/>
      <c r="L751" s="680"/>
      <c r="M751" s="680"/>
      <c r="N751" s="680"/>
      <c r="O751" s="680"/>
      <c r="P751" s="680"/>
      <c r="Q751" s="680"/>
      <c r="R751" s="680"/>
      <c r="S751" s="680"/>
      <c r="T751" s="680"/>
      <c r="U751" s="680"/>
      <c r="V751" s="680"/>
      <c r="W751" s="680"/>
      <c r="X751" s="680"/>
      <c r="Y751" s="680"/>
      <c r="Z751" s="680"/>
      <c r="AA751" s="680"/>
      <c r="AB751" s="680"/>
      <c r="AC751" s="680"/>
      <c r="AD751" s="680"/>
      <c r="AE751" s="680"/>
      <c r="AF751" s="680"/>
      <c r="AG751" s="680"/>
      <c r="AH751" s="680"/>
      <c r="AI751" s="680"/>
      <c r="AJ751" s="680"/>
      <c r="AK751" s="680"/>
      <c r="AL751" s="680"/>
      <c r="AM751" s="680"/>
      <c r="AN751" s="680"/>
      <c r="AO751" s="680"/>
      <c r="AP751" s="680"/>
      <c r="AQ751" s="680"/>
      <c r="AR751" s="680"/>
      <c r="AS751" s="680"/>
      <c r="AT751" s="680"/>
      <c r="AU751" s="680"/>
      <c r="AV751" s="680"/>
      <c r="AW751" s="680"/>
      <c r="AX751" s="680"/>
      <c r="AY751" s="680"/>
      <c r="AZ751" s="680"/>
      <c r="BA751" s="680"/>
      <c r="BB751" s="680"/>
      <c r="BC751" s="680"/>
      <c r="BD751" s="680"/>
      <c r="BE751" s="680"/>
      <c r="BF751" s="680"/>
      <c r="BG751" s="680"/>
      <c r="BH751" s="680"/>
      <c r="BI751" s="680"/>
      <c r="BJ751" s="680"/>
      <c r="BK751" s="680"/>
      <c r="BL751" s="680"/>
      <c r="BM751" s="680"/>
      <c r="BN751" s="680"/>
      <c r="BO751" s="680"/>
      <c r="BP751" s="680"/>
      <c r="BQ751" s="680"/>
      <c r="BR751" s="680"/>
      <c r="BS751" s="680"/>
      <c r="BT751" s="680"/>
      <c r="BU751" s="680"/>
      <c r="BV751" s="680"/>
      <c r="BW751" s="680"/>
      <c r="BX751" s="680"/>
      <c r="BY751" s="680"/>
      <c r="BZ751" s="680"/>
      <c r="CA751" s="680"/>
      <c r="CB751" s="680"/>
      <c r="CC751" s="680"/>
      <c r="CD751" s="680"/>
      <c r="CE751" s="680"/>
      <c r="CF751" s="680"/>
      <c r="CG751" s="680"/>
      <c r="CH751" s="680"/>
      <c r="CI751" s="680"/>
      <c r="CJ751" s="680"/>
      <c r="CK751" s="680"/>
      <c r="CL751" s="680"/>
      <c r="CM751" s="680"/>
      <c r="CN751" s="680"/>
      <c r="CO751" s="680"/>
      <c r="CP751" s="680"/>
      <c r="CQ751" s="680"/>
      <c r="CR751" s="680"/>
      <c r="CS751" s="680"/>
      <c r="CT751" s="680"/>
      <c r="CU751" s="680"/>
      <c r="CV751" s="680"/>
      <c r="CW751" s="680"/>
      <c r="CX751" s="680"/>
      <c r="CY751" s="680"/>
      <c r="CZ751" s="680"/>
      <c r="DA751" s="680"/>
      <c r="DB751" s="680"/>
      <c r="DC751" s="680"/>
      <c r="DD751" s="680"/>
      <c r="DE751" s="680"/>
      <c r="DF751" s="680"/>
      <c r="DG751" s="680"/>
      <c r="DH751" s="680"/>
      <c r="DI751" s="680"/>
      <c r="DJ751" s="680"/>
      <c r="DK751" s="680"/>
      <c r="DL751" s="680"/>
      <c r="DM751" s="680"/>
      <c r="DN751" s="680"/>
      <c r="DO751" s="680"/>
      <c r="DP751" s="680"/>
      <c r="DQ751" s="680"/>
      <c r="DR751" s="680"/>
      <c r="DS751" s="680"/>
      <c r="DT751" s="680"/>
      <c r="DU751" s="680"/>
      <c r="DV751" s="680"/>
      <c r="DW751" s="680"/>
      <c r="DX751" s="680"/>
      <c r="DY751" s="680"/>
      <c r="DZ751" s="680"/>
      <c r="EA751" s="680"/>
      <c r="EB751" s="680"/>
      <c r="EC751" s="680"/>
      <c r="ED751" s="113" t="s">
        <v>1</v>
      </c>
    </row>
    <row r="752" spans="1:134" x14ac:dyDescent="0.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15"/>
      <c r="AU752" s="115"/>
      <c r="AV752" s="115"/>
      <c r="AW752" s="115"/>
      <c r="AX752" s="115"/>
      <c r="AY752" s="115"/>
      <c r="AZ752" s="115"/>
      <c r="BA752" s="115"/>
      <c r="BB752" s="115"/>
      <c r="BC752" s="115"/>
      <c r="BD752" s="115"/>
      <c r="BE752" s="115"/>
      <c r="BF752" s="115"/>
      <c r="BG752" s="115"/>
      <c r="BH752" s="115"/>
      <c r="BI752" s="115"/>
      <c r="BJ752" s="115"/>
      <c r="BK752" s="115"/>
      <c r="BL752" s="115"/>
      <c r="BM752" s="115"/>
      <c r="BN752" s="115"/>
      <c r="BO752" s="115"/>
      <c r="BP752" s="115"/>
      <c r="BQ752" s="115"/>
      <c r="BR752" s="115"/>
      <c r="BS752" s="115"/>
      <c r="BT752" s="115"/>
      <c r="BU752" s="115"/>
      <c r="BV752" s="115"/>
      <c r="BW752" s="115"/>
      <c r="BX752" s="115"/>
      <c r="BY752" s="115"/>
      <c r="BZ752" s="115"/>
      <c r="CA752" s="115"/>
      <c r="CB752" s="115"/>
      <c r="CC752" s="115"/>
      <c r="CD752" s="115"/>
      <c r="CE752" s="115"/>
      <c r="CF752" s="115"/>
      <c r="CG752" s="115"/>
      <c r="CH752" s="115"/>
      <c r="CI752" s="115"/>
      <c r="CJ752" s="115"/>
      <c r="CK752" s="115"/>
      <c r="CL752" s="115"/>
      <c r="CM752" s="115"/>
      <c r="CN752" s="115"/>
      <c r="CO752" s="115"/>
      <c r="CP752" s="115"/>
      <c r="CQ752" s="115"/>
      <c r="CR752" s="115"/>
      <c r="CS752" s="115"/>
      <c r="CT752" s="115"/>
      <c r="CU752" s="115"/>
      <c r="CV752" s="115"/>
      <c r="CW752" s="115"/>
      <c r="CX752" s="115"/>
      <c r="CY752" s="115"/>
      <c r="CZ752" s="115"/>
      <c r="DA752" s="115"/>
      <c r="DB752" s="115"/>
      <c r="DC752" s="115"/>
      <c r="DD752" s="115"/>
      <c r="DE752" s="115"/>
      <c r="DF752" s="115"/>
      <c r="DG752" s="115"/>
      <c r="DH752" s="115"/>
      <c r="DI752" s="115"/>
      <c r="DJ752" s="115"/>
      <c r="DK752" s="115"/>
      <c r="DL752" s="115"/>
      <c r="DM752" s="115"/>
      <c r="DN752" s="115"/>
      <c r="DO752" s="115"/>
      <c r="DP752" s="115"/>
      <c r="DQ752" s="115"/>
      <c r="DR752" s="115"/>
      <c r="DS752" s="115"/>
      <c r="DT752" s="115"/>
      <c r="DU752" s="115"/>
      <c r="DV752" s="115"/>
      <c r="DW752" s="115"/>
      <c r="DX752" s="115"/>
      <c r="DY752" s="115"/>
      <c r="DZ752" s="115"/>
      <c r="EA752" s="115"/>
      <c r="EB752" s="115"/>
      <c r="EC752" s="645"/>
      <c r="ED752" s="113" t="s">
        <v>1</v>
      </c>
    </row>
    <row r="753" spans="1:134" x14ac:dyDescent="0.2">
      <c r="A753" s="115" t="s">
        <v>490</v>
      </c>
      <c r="B753" s="704">
        <f>'Consolidated - P&amp;L'!C200</f>
        <v>14014771.285714285</v>
      </c>
      <c r="C753" s="704">
        <f>'Consolidated - P&amp;L'!D200</f>
        <v>12812156.571428571</v>
      </c>
      <c r="D753" s="704">
        <f>'Consolidated - P&amp;L'!E200</f>
        <v>16538795.571428571</v>
      </c>
      <c r="E753" s="704">
        <f>'Consolidated - P&amp;L'!F200</f>
        <v>14636637.571428571</v>
      </c>
      <c r="F753" s="704">
        <f>'Consolidated - P&amp;L'!G200</f>
        <v>17506273.481428571</v>
      </c>
      <c r="G753" s="704">
        <f>'Consolidated - P&amp;L'!H200</f>
        <v>15818538.061428573</v>
      </c>
      <c r="H753" s="704">
        <f>'Consolidated - P&amp;L'!I200</f>
        <v>17821788.581428573</v>
      </c>
      <c r="I753" s="704">
        <f>'Consolidated - P&amp;L'!J200</f>
        <v>17837627.231428571</v>
      </c>
      <c r="J753" s="704">
        <f>'Consolidated - P&amp;L'!K200</f>
        <v>93293776.638428584</v>
      </c>
      <c r="K753" s="704">
        <f>'Consolidated - P&amp;L'!L200</f>
        <v>14533507.666428572</v>
      </c>
      <c r="L753" s="704">
        <f>'Consolidated - P&amp;L'!M200</f>
        <v>15245910.999428572</v>
      </c>
      <c r="M753" s="704">
        <f>'Consolidated - P&amp;L'!N200</f>
        <v>17447115.589428574</v>
      </c>
      <c r="N753" s="704">
        <f>'Consolidated - P&amp;L'!O200</f>
        <v>18719541.921999998</v>
      </c>
      <c r="O753" s="704">
        <f>'Consolidated - P&amp;L'!P200</f>
        <v>19143387.112714283</v>
      </c>
      <c r="P753" s="704">
        <f>'Consolidated - P&amp;L'!Q200</f>
        <v>19741458.497714289</v>
      </c>
      <c r="Q753" s="704">
        <f>'Consolidated - P&amp;L'!R200</f>
        <v>19295501.059999999</v>
      </c>
      <c r="R753" s="704">
        <f>'Consolidated - P&amp;L'!S200</f>
        <v>19232723.729999997</v>
      </c>
      <c r="S753" s="704">
        <f>'Consolidated - P&amp;L'!T200</f>
        <v>20147396.910000004</v>
      </c>
      <c r="T753" s="704">
        <f>'Consolidated - P&amp;L'!U200</f>
        <v>20642773.549999997</v>
      </c>
      <c r="U753" s="704">
        <f>'Consolidated - P&amp;L'!V200</f>
        <v>20372964.699999999</v>
      </c>
      <c r="V753" s="704">
        <f>'Consolidated - P&amp;L'!W200</f>
        <v>20489024.390000001</v>
      </c>
      <c r="W753" s="704">
        <f>'Consolidated - P&amp;L'!X200</f>
        <v>21374714.539999999</v>
      </c>
      <c r="X753" s="704">
        <f>'Consolidated - P&amp;L'!Y200</f>
        <v>21647724.68</v>
      </c>
      <c r="Y753" s="704">
        <f>'Consolidated - P&amp;L'!Z200</f>
        <v>21870521.378809504</v>
      </c>
      <c r="Z753" s="704">
        <f>'Consolidated - P&amp;L'!AA200</f>
        <v>19230422.023214284</v>
      </c>
      <c r="AA753" s="704">
        <f>'Consolidated - P&amp;L'!AB200</f>
        <v>18353194.545357145</v>
      </c>
      <c r="AB753" s="704">
        <f>'Consolidated - P&amp;L'!AC200</f>
        <v>17956547.020833328</v>
      </c>
      <c r="AC753" s="704">
        <f>'Consolidated - P&amp;L'!AD200</f>
        <v>17828153.0741667</v>
      </c>
      <c r="AD753" s="704">
        <f>'Consolidated - P&amp;L'!AE200</f>
        <v>18194194.591666698</v>
      </c>
      <c r="AE753" s="704">
        <f>'Consolidated - P&amp;L'!AF200</f>
        <v>20286451.701666698</v>
      </c>
      <c r="AF753" s="704">
        <f>'Consolidated - P&amp;L'!AG200</f>
        <v>20188408.530000001</v>
      </c>
      <c r="AG753" s="704">
        <f>'Consolidated - P&amp;L'!AH200</f>
        <v>22125377.276666697</v>
      </c>
      <c r="AH753" s="704">
        <f>'Consolidated - P&amp;L'!AI200</f>
        <v>22420642.085000001</v>
      </c>
      <c r="AI753" s="704">
        <f>'Consolidated - P&amp;L'!AJ200</f>
        <v>25200868.701666702</v>
      </c>
      <c r="AJ753" s="704">
        <f>'Consolidated - P&amp;L'!AK200</f>
        <v>24802483.394551285</v>
      </c>
      <c r="AK753" s="704">
        <f>'Consolidated - P&amp;L'!AL200</f>
        <v>24621053.789487198</v>
      </c>
      <c r="AL753" s="704">
        <f>'Consolidated - P&amp;L'!AM200</f>
        <v>27602234.147564102</v>
      </c>
      <c r="AM753" s="704">
        <f>'Consolidated - P&amp;L'!AN200</f>
        <v>27569626.149871796</v>
      </c>
      <c r="AN753" s="704">
        <f>'Consolidated - P&amp;L'!AO200</f>
        <v>28916978.659423102</v>
      </c>
      <c r="AO753" s="704">
        <f>'Consolidated - P&amp;L'!AP200</f>
        <v>31425219.097435899</v>
      </c>
      <c r="AP753" s="704">
        <f>'Consolidated - P&amp;L'!AQ200</f>
        <v>31742342.271346159</v>
      </c>
      <c r="AQ753" s="704">
        <f>'Consolidated - P&amp;L'!AR200</f>
        <v>33994598.457564108</v>
      </c>
      <c r="AR753" s="704">
        <f>'Consolidated - P&amp;L'!AS200</f>
        <v>34310693.301025599</v>
      </c>
      <c r="AS753" s="704">
        <f>'Consolidated - P&amp;L'!AT200</f>
        <v>36124178.079359002</v>
      </c>
      <c r="AT753" s="704">
        <f>'Consolidated - P&amp;L'!AU200</f>
        <v>37522349.064743601</v>
      </c>
      <c r="AU753" s="704">
        <f>'Consolidated - P&amp;L'!AV200</f>
        <v>39643464.232115395</v>
      </c>
      <c r="AV753" s="704">
        <f>'Consolidated - P&amp;L'!AW200</f>
        <v>41033845.031089798</v>
      </c>
      <c r="AW753" s="704">
        <f>'Consolidated - P&amp;L'!AX200</f>
        <v>55644746.924166702</v>
      </c>
      <c r="AX753" s="704">
        <f>'Consolidated - P&amp;L'!AY200</f>
        <v>51778247.000150554</v>
      </c>
      <c r="AY753" s="704">
        <f>'Consolidated - P&amp;L'!AZ200</f>
        <v>54330377.1096154</v>
      </c>
      <c r="AZ753" s="704">
        <f>'Consolidated - P&amp;L'!BA200</f>
        <v>54510513.956025705</v>
      </c>
      <c r="BA753" s="704">
        <f>'Consolidated - P&amp;L'!BB200</f>
        <v>58172677.614935905</v>
      </c>
      <c r="BB753" s="704">
        <f>'Consolidated - P&amp;L'!BC200</f>
        <v>57137108.087179497</v>
      </c>
      <c r="BC753" s="704">
        <f>'Consolidated - P&amp;L'!BD200</f>
        <v>59736032.384743601</v>
      </c>
      <c r="BD753" s="704">
        <f>'Consolidated - P&amp;L'!BE200</f>
        <v>59284781.566176593</v>
      </c>
      <c r="BE753" s="704">
        <f>'Consolidated - P&amp;L'!BF200</f>
        <v>57056485.274679489</v>
      </c>
      <c r="BF753" s="704">
        <f>'Consolidated - P&amp;L'!BG200</f>
        <v>56572778.017628163</v>
      </c>
      <c r="BG753" s="704">
        <f>'Consolidated - P&amp;L'!BH200</f>
        <v>56584859.540626511</v>
      </c>
      <c r="BH753" s="704">
        <f>'Consolidated - P&amp;L'!BI200</f>
        <v>60046187.113516487</v>
      </c>
      <c r="BI753" s="704">
        <f>'Consolidated - P&amp;L'!BJ200</f>
        <v>68009839.410314307</v>
      </c>
      <c r="BJ753" s="704">
        <f>'Consolidated - P&amp;L'!BK200</f>
        <v>58225707.813913547</v>
      </c>
      <c r="BK753" s="704">
        <f>'Consolidated - P&amp;L'!BL200</f>
        <v>60696838.111258417</v>
      </c>
      <c r="BL753" s="704">
        <f>'Consolidated - P&amp;L'!BM200</f>
        <v>60223055.679727048</v>
      </c>
      <c r="BM753" s="704">
        <f>'Consolidated - P&amp;L'!BN200</f>
        <v>59231112.026718065</v>
      </c>
      <c r="BN753" s="704">
        <f>'Consolidated - P&amp;L'!BO200</f>
        <v>59145786.231709786</v>
      </c>
      <c r="BO753" s="704">
        <f>'Consolidated - P&amp;L'!BP200</f>
        <v>60583013.094127372</v>
      </c>
      <c r="BP753" s="704">
        <f>'Consolidated - P&amp;L'!BQ200</f>
        <v>63060945.810206793</v>
      </c>
      <c r="BQ753" s="704">
        <f>'Consolidated - P&amp;L'!BR200</f>
        <v>61891088.177307703</v>
      </c>
      <c r="BR753" s="704">
        <f>'Consolidated - P&amp;L'!BS200</f>
        <v>58347490.399241127</v>
      </c>
      <c r="BS753" s="704">
        <f>'Consolidated - P&amp;L'!BT200</f>
        <v>55644044.699373454</v>
      </c>
      <c r="BT753" s="704">
        <f>'Consolidated - P&amp;L'!BU200</f>
        <v>52592319.215851001</v>
      </c>
      <c r="BU753" s="704">
        <f>'Consolidated - P&amp;L'!BV200</f>
        <v>56965871.283862665</v>
      </c>
      <c r="BV753" s="704">
        <f>'Consolidated - P&amp;L'!BW200</f>
        <v>60218916.334743612</v>
      </c>
      <c r="BW753" s="704">
        <f>'Consolidated - P&amp;L'!BX200</f>
        <v>61529683.505448706</v>
      </c>
      <c r="BX753" s="704">
        <f>'Consolidated - P&amp;L'!BY200</f>
        <v>62199392.602256536</v>
      </c>
      <c r="BY753" s="704">
        <f>'Consolidated - P&amp;L'!BZ200</f>
        <v>62118016.91660253</v>
      </c>
      <c r="BZ753" s="704">
        <f>'Consolidated - P&amp;L'!CA200</f>
        <v>62712347.939230762</v>
      </c>
      <c r="CA753" s="704">
        <f>'Consolidated - P&amp;L'!CB200</f>
        <v>62060381.499230765</v>
      </c>
      <c r="CB753" s="704">
        <f>'Consolidated - P&amp;L'!CC200</f>
        <v>68535363.274228647</v>
      </c>
      <c r="CC753" s="704">
        <f>'Consolidated - P&amp;L'!CD200</f>
        <v>65173735.029871799</v>
      </c>
      <c r="CD753" s="704">
        <f>'Consolidated - P&amp;L'!CE200</f>
        <v>67520931.961447477</v>
      </c>
      <c r="CE753" s="704">
        <f>'Consolidated - P&amp;L'!CF200</f>
        <v>67881604.19989863</v>
      </c>
      <c r="CF753" s="704">
        <f>'Consolidated - P&amp;L'!CG200</f>
        <v>65519810.628534816</v>
      </c>
      <c r="CG753" s="704">
        <f>'Consolidated - P&amp;L'!CH200</f>
        <v>72200971.108401552</v>
      </c>
      <c r="CH753" s="704">
        <f>'Consolidated - P&amp;L'!CI200</f>
        <v>75431966.497051284</v>
      </c>
      <c r="CI753" s="704">
        <f>'Consolidated - P&amp;L'!CJ200</f>
        <v>74991266.437485531</v>
      </c>
      <c r="CJ753" s="704">
        <f>'Consolidated - P&amp;L'!CK200</f>
        <v>75562691.485448748</v>
      </c>
      <c r="CK753" s="704">
        <f>'Consolidated - P&amp;L'!CL200</f>
        <v>74852304.541747361</v>
      </c>
      <c r="CL753" s="704">
        <f>'Consolidated - P&amp;L'!CM200</f>
        <v>74555373.781202108</v>
      </c>
      <c r="CM753" s="704">
        <f>'Consolidated - P&amp;L'!CN200</f>
        <v>77730530.452846155</v>
      </c>
      <c r="CN753" s="704">
        <f>'Consolidated - P&amp;L'!CO200</f>
        <v>85062161.879875973</v>
      </c>
      <c r="CO753" s="704">
        <f>'Consolidated - P&amp;L'!CP200</f>
        <v>77728573.388871014</v>
      </c>
      <c r="CP753" s="704">
        <f>'Consolidated - P&amp;L'!CQ200</f>
        <v>78496903.191443369</v>
      </c>
      <c r="CQ753" s="704">
        <f>'Consolidated - P&amp;L'!CR200</f>
        <v>83916322.385605872</v>
      </c>
      <c r="CR753" s="704">
        <f>'Consolidated - P&amp;L'!CS200</f>
        <v>81655018.867527485</v>
      </c>
      <c r="CS753" s="704">
        <f>'Consolidated - P&amp;L'!CT200</f>
        <v>86919939.652675733</v>
      </c>
      <c r="CT753" s="754">
        <f>CS753*(1+CT754)</f>
        <v>91265936.635309517</v>
      </c>
      <c r="CU753" s="754">
        <f t="shared" ref="CU753:DQ753" si="2719">CT753*(1+CU754)</f>
        <v>91265936.635309517</v>
      </c>
      <c r="CV753" s="754">
        <f t="shared" si="2719"/>
        <v>91265936.635309517</v>
      </c>
      <c r="CW753" s="754">
        <f t="shared" si="2719"/>
        <v>91265936.635309517</v>
      </c>
      <c r="CX753" s="754">
        <f t="shared" si="2719"/>
        <v>91265936.635309517</v>
      </c>
      <c r="CY753" s="754">
        <f t="shared" si="2719"/>
        <v>91265936.635309517</v>
      </c>
      <c r="CZ753" s="754">
        <f t="shared" si="2719"/>
        <v>91265936.635309517</v>
      </c>
      <c r="DA753" s="754">
        <f t="shared" si="2719"/>
        <v>91265936.635309517</v>
      </c>
      <c r="DB753" s="754">
        <f t="shared" si="2719"/>
        <v>91265936.635309517</v>
      </c>
      <c r="DC753" s="754">
        <f t="shared" si="2719"/>
        <v>91265936.635309517</v>
      </c>
      <c r="DD753" s="754">
        <f t="shared" si="2719"/>
        <v>91265936.635309517</v>
      </c>
      <c r="DE753" s="754">
        <f t="shared" si="2719"/>
        <v>91265936.635309517</v>
      </c>
      <c r="DF753" s="754">
        <f t="shared" si="2719"/>
        <v>95829233.46707499</v>
      </c>
      <c r="DG753" s="754">
        <f t="shared" si="2719"/>
        <v>95829233.46707499</v>
      </c>
      <c r="DH753" s="754">
        <f t="shared" si="2719"/>
        <v>95829233.46707499</v>
      </c>
      <c r="DI753" s="754">
        <f t="shared" si="2719"/>
        <v>95829233.46707499</v>
      </c>
      <c r="DJ753" s="754">
        <f t="shared" si="2719"/>
        <v>95829233.46707499</v>
      </c>
      <c r="DK753" s="754">
        <f t="shared" si="2719"/>
        <v>95829233.46707499</v>
      </c>
      <c r="DL753" s="754">
        <f t="shared" si="2719"/>
        <v>95829233.46707499</v>
      </c>
      <c r="DM753" s="754">
        <f t="shared" si="2719"/>
        <v>95829233.46707499</v>
      </c>
      <c r="DN753" s="754">
        <f t="shared" si="2719"/>
        <v>95829233.46707499</v>
      </c>
      <c r="DO753" s="754">
        <f t="shared" si="2719"/>
        <v>95829233.46707499</v>
      </c>
      <c r="DP753" s="754">
        <f t="shared" si="2719"/>
        <v>95829233.46707499</v>
      </c>
      <c r="DQ753" s="754">
        <f t="shared" si="2719"/>
        <v>95829233.46707499</v>
      </c>
      <c r="DR753" s="754">
        <f t="shared" ref="DR753" si="2720">DQ753*(1+DR754)</f>
        <v>100620695.14042874</v>
      </c>
      <c r="DS753" s="754">
        <f t="shared" ref="DS753" si="2721">DR753*(1+DS754)</f>
        <v>100620695.14042874</v>
      </c>
      <c r="DT753" s="754">
        <f t="shared" ref="DT753" si="2722">DS753*(1+DT754)</f>
        <v>100620695.14042874</v>
      </c>
      <c r="DU753" s="754">
        <f t="shared" ref="DU753" si="2723">DT753*(1+DU754)</f>
        <v>100620695.14042874</v>
      </c>
      <c r="DV753" s="754">
        <f t="shared" ref="DV753" si="2724">DU753*(1+DV754)</f>
        <v>100620695.14042874</v>
      </c>
      <c r="DW753" s="754">
        <f t="shared" ref="DW753" si="2725">DV753*(1+DW754)</f>
        <v>100620695.14042874</v>
      </c>
      <c r="DX753" s="754">
        <f t="shared" ref="DX753" si="2726">DW753*(1+DX754)</f>
        <v>100620695.14042874</v>
      </c>
      <c r="DY753" s="754">
        <f t="shared" ref="DY753" si="2727">DX753*(1+DY754)</f>
        <v>100620695.14042874</v>
      </c>
      <c r="DZ753" s="754">
        <f t="shared" ref="DZ753" si="2728">DY753*(1+DZ754)</f>
        <v>100620695.14042874</v>
      </c>
      <c r="EA753" s="754">
        <f t="shared" ref="EA753" si="2729">DZ753*(1+EA754)</f>
        <v>100620695.14042874</v>
      </c>
      <c r="EB753" s="754">
        <f t="shared" ref="EB753" si="2730">EA753*(1+EB754)</f>
        <v>100620695.14042874</v>
      </c>
      <c r="EC753" s="754">
        <f t="shared" ref="EC753" si="2731">EB753*(1+EC754)</f>
        <v>100620695.14042874</v>
      </c>
      <c r="ED753" s="113" t="s">
        <v>1</v>
      </c>
    </row>
    <row r="754" spans="1:134" x14ac:dyDescent="0.2">
      <c r="A754" s="115" t="s">
        <v>491</v>
      </c>
      <c r="B754" s="704"/>
      <c r="C754" s="704"/>
      <c r="D754" s="704"/>
      <c r="E754" s="704"/>
      <c r="F754" s="704"/>
      <c r="G754" s="704"/>
      <c r="H754" s="704"/>
      <c r="I754" s="704"/>
      <c r="J754" s="704"/>
      <c r="K754" s="704"/>
      <c r="L754" s="704"/>
      <c r="M754" s="704"/>
      <c r="N754" s="704"/>
      <c r="O754" s="704"/>
      <c r="P754" s="704"/>
      <c r="Q754" s="704"/>
      <c r="R754" s="704"/>
      <c r="S754" s="704"/>
      <c r="T754" s="704"/>
      <c r="U754" s="704"/>
      <c r="V754" s="704"/>
      <c r="W754" s="704"/>
      <c r="X754" s="704"/>
      <c r="Y754" s="704"/>
      <c r="Z754" s="704"/>
      <c r="AA754" s="704"/>
      <c r="AB754" s="704"/>
      <c r="AC754" s="704"/>
      <c r="AD754" s="704"/>
      <c r="AE754" s="704"/>
      <c r="AF754" s="704"/>
      <c r="AG754" s="704"/>
      <c r="AH754" s="704"/>
      <c r="AI754" s="704"/>
      <c r="AJ754" s="704"/>
      <c r="AK754" s="704"/>
      <c r="AL754" s="704"/>
      <c r="AM754" s="704"/>
      <c r="AN754" s="704"/>
      <c r="AO754" s="704"/>
      <c r="AP754" s="704"/>
      <c r="AQ754" s="704"/>
      <c r="AR754" s="704"/>
      <c r="AS754" s="704"/>
      <c r="AT754" s="704"/>
      <c r="AU754" s="704"/>
      <c r="AV754" s="704"/>
      <c r="AW754" s="704"/>
      <c r="AX754" s="704"/>
      <c r="AY754" s="704"/>
      <c r="AZ754" s="704"/>
      <c r="BA754" s="704"/>
      <c r="BB754" s="704"/>
      <c r="BC754" s="704"/>
      <c r="BD754" s="704"/>
      <c r="BE754" s="704"/>
      <c r="BF754" s="704"/>
      <c r="BG754" s="704"/>
      <c r="BH754" s="704"/>
      <c r="BI754" s="704"/>
      <c r="BJ754" s="704"/>
      <c r="BK754" s="704"/>
      <c r="BL754" s="704"/>
      <c r="BM754" s="704"/>
      <c r="BN754" s="704"/>
      <c r="BO754" s="704"/>
      <c r="BP754" s="704"/>
      <c r="BQ754" s="704"/>
      <c r="BR754" s="704"/>
      <c r="BS754" s="704"/>
      <c r="BT754" s="704"/>
      <c r="BU754" s="704"/>
      <c r="BV754" s="704"/>
      <c r="BW754" s="704"/>
      <c r="BX754" s="704"/>
      <c r="BY754" s="704"/>
      <c r="BZ754" s="704"/>
      <c r="CA754" s="704"/>
      <c r="CB754" s="704"/>
      <c r="CC754" s="704"/>
      <c r="CD754" s="704"/>
      <c r="CE754" s="704"/>
      <c r="CF754" s="704"/>
      <c r="CG754" s="704"/>
      <c r="CH754" s="704"/>
      <c r="CI754" s="704"/>
      <c r="CJ754" s="704"/>
      <c r="CK754" s="704"/>
      <c r="CL754" s="704"/>
      <c r="CM754" s="704"/>
      <c r="CN754" s="704"/>
      <c r="CO754" s="704"/>
      <c r="CP754" s="704"/>
      <c r="CQ754" s="704"/>
      <c r="CR754" s="704"/>
      <c r="CS754" s="704"/>
      <c r="CT754" s="701">
        <v>0.05</v>
      </c>
      <c r="CU754" s="115"/>
      <c r="CV754" s="115"/>
      <c r="CW754" s="115"/>
      <c r="CX754" s="115"/>
      <c r="CY754" s="115"/>
      <c r="CZ754" s="115"/>
      <c r="DA754" s="115"/>
      <c r="DB754" s="115"/>
      <c r="DC754" s="115"/>
      <c r="DD754" s="115"/>
      <c r="DE754" s="115"/>
      <c r="DF754" s="701">
        <v>0.05</v>
      </c>
      <c r="DG754" s="115"/>
      <c r="DH754" s="115"/>
      <c r="DI754" s="115"/>
      <c r="DJ754" s="115"/>
      <c r="DK754" s="115"/>
      <c r="DL754" s="115"/>
      <c r="DM754" s="115"/>
      <c r="DN754" s="115"/>
      <c r="DO754" s="115"/>
      <c r="DP754" s="115"/>
      <c r="DQ754" s="115"/>
      <c r="DR754" s="701">
        <v>0.05</v>
      </c>
      <c r="DS754" s="115"/>
      <c r="DT754" s="115"/>
      <c r="DU754" s="115"/>
      <c r="DV754" s="115"/>
      <c r="DW754" s="115"/>
      <c r="DX754" s="115"/>
      <c r="DY754" s="115"/>
      <c r="DZ754" s="115"/>
      <c r="EA754" s="115"/>
      <c r="EB754" s="115"/>
      <c r="EC754" s="645"/>
      <c r="ED754" s="113" t="s">
        <v>1</v>
      </c>
    </row>
    <row r="755" spans="1:134" x14ac:dyDescent="0.2">
      <c r="A755" s="115"/>
      <c r="B755" s="704"/>
      <c r="C755" s="704"/>
      <c r="D755" s="704"/>
      <c r="E755" s="704"/>
      <c r="F755" s="704"/>
      <c r="G755" s="704"/>
      <c r="H755" s="704"/>
      <c r="I755" s="704"/>
      <c r="J755" s="704"/>
      <c r="K755" s="704"/>
      <c r="L755" s="704"/>
      <c r="M755" s="704"/>
      <c r="N755" s="704"/>
      <c r="O755" s="704"/>
      <c r="P755" s="704"/>
      <c r="Q755" s="704"/>
      <c r="R755" s="704"/>
      <c r="S755" s="704"/>
      <c r="T755" s="704"/>
      <c r="U755" s="704"/>
      <c r="V755" s="704"/>
      <c r="W755" s="704"/>
      <c r="X755" s="704"/>
      <c r="Y755" s="704"/>
      <c r="Z755" s="704"/>
      <c r="AA755" s="704"/>
      <c r="AB755" s="704"/>
      <c r="AC755" s="704"/>
      <c r="AD755" s="704"/>
      <c r="AE755" s="704"/>
      <c r="AF755" s="704"/>
      <c r="AG755" s="704"/>
      <c r="AH755" s="704"/>
      <c r="AI755" s="704"/>
      <c r="AJ755" s="704"/>
      <c r="AK755" s="704"/>
      <c r="AL755" s="704"/>
      <c r="AM755" s="704"/>
      <c r="AN755" s="704"/>
      <c r="AO755" s="704"/>
      <c r="AP755" s="704"/>
      <c r="AQ755" s="704"/>
      <c r="AR755" s="704"/>
      <c r="AS755" s="704"/>
      <c r="AT755" s="704"/>
      <c r="AU755" s="704"/>
      <c r="AV755" s="704"/>
      <c r="AW755" s="704"/>
      <c r="AX755" s="704"/>
      <c r="AY755" s="704"/>
      <c r="AZ755" s="704"/>
      <c r="BA755" s="704"/>
      <c r="BB755" s="704"/>
      <c r="BC755" s="704"/>
      <c r="BD755" s="704"/>
      <c r="BE755" s="704"/>
      <c r="BF755" s="704"/>
      <c r="BG755" s="704"/>
      <c r="BH755" s="704"/>
      <c r="BI755" s="704"/>
      <c r="BJ755" s="704"/>
      <c r="BK755" s="704"/>
      <c r="BL755" s="704"/>
      <c r="BM755" s="704"/>
      <c r="BN755" s="704"/>
      <c r="BO755" s="704"/>
      <c r="BP755" s="704"/>
      <c r="BQ755" s="704"/>
      <c r="BR755" s="704"/>
      <c r="BS755" s="704"/>
      <c r="BT755" s="704"/>
      <c r="BU755" s="704"/>
      <c r="BV755" s="704"/>
      <c r="BW755" s="704"/>
      <c r="BX755" s="704"/>
      <c r="BY755" s="704"/>
      <c r="BZ755" s="704"/>
      <c r="CA755" s="704"/>
      <c r="CB755" s="704"/>
      <c r="CC755" s="704"/>
      <c r="CD755" s="704"/>
      <c r="CE755" s="704"/>
      <c r="CF755" s="704"/>
      <c r="CG755" s="704"/>
      <c r="CH755" s="704"/>
      <c r="CI755" s="704"/>
      <c r="CJ755" s="704"/>
      <c r="CK755" s="704"/>
      <c r="CL755" s="704"/>
      <c r="CM755" s="704"/>
      <c r="CN755" s="704"/>
      <c r="CO755" s="704"/>
      <c r="CP755" s="704"/>
      <c r="CQ755" s="704"/>
      <c r="CR755" s="704"/>
      <c r="CS755" s="704"/>
      <c r="CT755" s="115"/>
      <c r="CU755" s="115"/>
      <c r="CV755" s="115"/>
      <c r="CW755" s="115"/>
      <c r="CX755" s="115"/>
      <c r="CY755" s="115"/>
      <c r="CZ755" s="115"/>
      <c r="DA755" s="115"/>
      <c r="DB755" s="115"/>
      <c r="DC755" s="115"/>
      <c r="DD755" s="115"/>
      <c r="DE755" s="115"/>
      <c r="DF755" s="115"/>
      <c r="DG755" s="115"/>
      <c r="DH755" s="115"/>
      <c r="DI755" s="115"/>
      <c r="DJ755" s="115"/>
      <c r="DK755" s="115"/>
      <c r="DL755" s="115"/>
      <c r="DM755" s="115"/>
      <c r="DN755" s="115"/>
      <c r="DO755" s="115"/>
      <c r="DP755" s="115"/>
      <c r="DQ755" s="115"/>
      <c r="DR755" s="115"/>
      <c r="DS755" s="115"/>
      <c r="DT755" s="115"/>
      <c r="DU755" s="115"/>
      <c r="DV755" s="115"/>
      <c r="DW755" s="115"/>
      <c r="DX755" s="115"/>
      <c r="DY755" s="115"/>
      <c r="DZ755" s="115"/>
      <c r="EA755" s="115"/>
      <c r="EB755" s="115"/>
      <c r="EC755" s="645"/>
      <c r="ED755" s="113" t="s">
        <v>1</v>
      </c>
    </row>
    <row r="756" spans="1:134" hidden="1" x14ac:dyDescent="0.2">
      <c r="A756" s="330" t="s">
        <v>492</v>
      </c>
      <c r="B756" s="132">
        <f>'Consolidated - P&amp;L'!C214</f>
        <v>828996</v>
      </c>
      <c r="C756" s="132">
        <f>'Consolidated - P&amp;L'!D214</f>
        <v>1803817</v>
      </c>
      <c r="D756" s="132">
        <f>'Consolidated - P&amp;L'!E214</f>
        <v>1246366</v>
      </c>
      <c r="E756" s="132">
        <f>'Consolidated - P&amp;L'!F214</f>
        <v>1104226</v>
      </c>
      <c r="F756" s="132">
        <f>'Consolidated - P&amp;L'!G214</f>
        <v>2261841.4500000002</v>
      </c>
      <c r="G756" s="132">
        <f>'Consolidated - P&amp;L'!H214</f>
        <v>6472615.96</v>
      </c>
      <c r="H756" s="132">
        <f>'Consolidated - P&amp;L'!I214</f>
        <v>7118242</v>
      </c>
      <c r="I756" s="132">
        <f>'Consolidated - P&amp;L'!J214</f>
        <v>926161.49</v>
      </c>
      <c r="J756" s="132">
        <f>'Consolidated - P&amp;L'!K214</f>
        <v>1238653.1099999999</v>
      </c>
      <c r="K756" s="132">
        <f>'Consolidated - P&amp;L'!L214</f>
        <v>4224940.75</v>
      </c>
      <c r="L756" s="132">
        <f>'Consolidated - P&amp;L'!M214</f>
        <v>1685241.1804109588</v>
      </c>
      <c r="M756" s="132">
        <f>'Consolidated - P&amp;L'!N214</f>
        <v>4041780.3754739729</v>
      </c>
      <c r="N756" s="132">
        <f>'Consolidated - P&amp;L'!O214</f>
        <v>3872674.2916164384</v>
      </c>
      <c r="O756" s="132">
        <f>'Consolidated - P&amp;L'!P214</f>
        <v>3221677.3016273975</v>
      </c>
      <c r="P756" s="132">
        <f>'Consolidated - P&amp;L'!Q214</f>
        <v>2058300.2732876712</v>
      </c>
      <c r="Q756" s="132">
        <f>'Consolidated - P&amp;L'!R214</f>
        <v>3659239.5233333334</v>
      </c>
      <c r="R756" s="132">
        <f>'Consolidated - P&amp;L'!S214</f>
        <v>4430131.4000000004</v>
      </c>
      <c r="S756" s="132">
        <f>'Consolidated - P&amp;L'!T214</f>
        <v>5684308.71</v>
      </c>
      <c r="T756" s="132">
        <f>'Consolidated - P&amp;L'!U214</f>
        <v>3581748.0566666666</v>
      </c>
      <c r="U756" s="132">
        <f>'Consolidated - P&amp;L'!V214</f>
        <v>6437399.333333334</v>
      </c>
      <c r="V756" s="132">
        <f>'Consolidated - P&amp;L'!W214</f>
        <v>4095179.2199999997</v>
      </c>
      <c r="W756" s="132">
        <f>'Consolidated - P&amp;L'!X214</f>
        <v>3401551.9699999997</v>
      </c>
      <c r="X756" s="132">
        <f>'Consolidated - P&amp;L'!Y214</f>
        <v>4361460.01</v>
      </c>
      <c r="Y756" s="132">
        <f>'Consolidated - P&amp;L'!Z214</f>
        <v>4637121.46</v>
      </c>
      <c r="Z756" s="132">
        <f>'Consolidated - P&amp;L'!AA214</f>
        <v>3366810.96</v>
      </c>
      <c r="AA756" s="132">
        <f>'Consolidated - P&amp;L'!AB214</f>
        <v>7810353.5199999996</v>
      </c>
      <c r="AB756" s="132">
        <f>'Consolidated - P&amp;L'!AC214</f>
        <v>5760411.1699999999</v>
      </c>
      <c r="AC756" s="132">
        <f>'Consolidated - P&amp;L'!AD214</f>
        <v>7653305.6699999999</v>
      </c>
      <c r="AD756" s="132">
        <f>'Consolidated - P&amp;L'!AE214</f>
        <v>9380165.3000000007</v>
      </c>
      <c r="AE756" s="132">
        <f>'Consolidated - P&amp;L'!AF214</f>
        <v>5644638.8100000005</v>
      </c>
      <c r="AF756" s="132">
        <f>'Consolidated - P&amp;L'!AG214</f>
        <v>4928902.13</v>
      </c>
      <c r="AG756" s="132">
        <f>'Consolidated - P&amp;L'!AH214</f>
        <v>5283646.38</v>
      </c>
      <c r="AH756" s="132">
        <f>'Consolidated - P&amp;L'!AI214</f>
        <v>4651854.67</v>
      </c>
      <c r="AI756" s="132">
        <f>'Consolidated - P&amp;L'!AJ214</f>
        <v>5980802.8799999999</v>
      </c>
      <c r="AJ756" s="132">
        <f>'Consolidated - P&amp;L'!AK214</f>
        <v>5241993.46</v>
      </c>
      <c r="AK756" s="132">
        <f>'Consolidated - P&amp;L'!AL214</f>
        <v>20489051</v>
      </c>
      <c r="AL756" s="132">
        <f>'Consolidated - P&amp;L'!AM214</f>
        <v>10589183</v>
      </c>
      <c r="AM756" s="132">
        <f>'Consolidated - P&amp;L'!AN214</f>
        <v>17979971</v>
      </c>
      <c r="AN756" s="132">
        <f>'Consolidated - P&amp;L'!AO214</f>
        <v>5881515</v>
      </c>
      <c r="AO756" s="132">
        <f>'Consolidated - P&amp;L'!AP214</f>
        <v>7526307</v>
      </c>
      <c r="AP756" s="132">
        <f>'Consolidated - P&amp;L'!AQ214</f>
        <v>7064632</v>
      </c>
      <c r="AQ756" s="132">
        <f>'Consolidated - P&amp;L'!AR214</f>
        <v>19547147</v>
      </c>
      <c r="AR756" s="132">
        <f>'Consolidated - P&amp;L'!AS214</f>
        <v>2759790</v>
      </c>
      <c r="AS756" s="132">
        <f>'Consolidated - P&amp;L'!AT214</f>
        <v>4027151</v>
      </c>
      <c r="AT756" s="132">
        <f>'Consolidated - P&amp;L'!AU214</f>
        <v>7251249</v>
      </c>
      <c r="AU756" s="132">
        <f>'Consolidated - P&amp;L'!AV214</f>
        <v>3651520</v>
      </c>
      <c r="AV756" s="132">
        <f>'Consolidated - P&amp;L'!AW214</f>
        <v>3149012</v>
      </c>
      <c r="AW756" s="132">
        <f>'Consolidated - P&amp;L'!AX214</f>
        <v>16476158</v>
      </c>
      <c r="AX756" s="132">
        <f>'Consolidated - P&amp;L'!AY214</f>
        <v>3564724</v>
      </c>
      <c r="AY756" s="132">
        <f>'Consolidated - P&amp;L'!AZ214</f>
        <v>4518355</v>
      </c>
      <c r="AZ756" s="132">
        <f>'Consolidated - P&amp;L'!BA214</f>
        <v>124939655</v>
      </c>
      <c r="BA756" s="132">
        <f>'Consolidated - P&amp;L'!BB214</f>
        <v>8474558.1235869788</v>
      </c>
      <c r="BB756" s="132">
        <f>'Consolidated - P&amp;L'!BC214</f>
        <v>24270213</v>
      </c>
      <c r="BC756" s="132">
        <f>'Consolidated - P&amp;L'!BD214</f>
        <v>11246080</v>
      </c>
      <c r="BD756" s="132">
        <f>'Consolidated - P&amp;L'!BE214</f>
        <v>13815047.099999979</v>
      </c>
      <c r="BE756" s="132">
        <f>'Consolidated - P&amp;L'!BF214</f>
        <v>8914654</v>
      </c>
      <c r="BF756" s="132">
        <f>'Consolidated - P&amp;L'!BG214</f>
        <v>17502220.259999998</v>
      </c>
      <c r="BG756" s="132">
        <f>'Consolidated - P&amp;L'!BH214</f>
        <v>13591310.81000003</v>
      </c>
      <c r="BH756" s="132">
        <f>'Consolidated - P&amp;L'!BI214</f>
        <v>7319357</v>
      </c>
      <c r="BI756" s="132">
        <f>'Consolidated - P&amp;L'!BJ214</f>
        <v>16216330</v>
      </c>
      <c r="BJ756" s="132">
        <f>'Consolidated - P&amp;L'!BK214</f>
        <v>26654254.329999998</v>
      </c>
      <c r="BK756" s="132">
        <f>'Consolidated - P&amp;L'!BL214</f>
        <v>25384029</v>
      </c>
      <c r="BL756" s="132">
        <f>'Consolidated - P&amp;L'!BM214</f>
        <v>19940231.240000002</v>
      </c>
      <c r="BM756" s="132">
        <f>'Consolidated - P&amp;L'!BN214</f>
        <v>18592786</v>
      </c>
      <c r="BN756" s="132">
        <f>'Consolidated - P&amp;L'!BO214</f>
        <v>10888073.1</v>
      </c>
      <c r="BO756" s="132">
        <f>'Consolidated - P&amp;L'!BP214</f>
        <v>11421970.189999999</v>
      </c>
      <c r="BP756" s="132">
        <f>'Consolidated - P&amp;L'!BQ214</f>
        <v>13317117.68</v>
      </c>
      <c r="BQ756" s="132">
        <f>'Consolidated - P&amp;L'!BR214</f>
        <v>12973360.370000001</v>
      </c>
      <c r="BR756" s="132">
        <f>'Consolidated - P&amp;L'!BS214</f>
        <v>15598870</v>
      </c>
      <c r="BS756" s="132">
        <f>'Consolidated - P&amp;L'!BT214</f>
        <v>28492780</v>
      </c>
      <c r="BT756" s="132">
        <f>'Consolidated - P&amp;L'!BU214</f>
        <v>19161729</v>
      </c>
      <c r="BU756" s="132">
        <f>'Consolidated - P&amp;L'!BV214</f>
        <v>15875883</v>
      </c>
      <c r="BV756" s="132">
        <f>'Consolidated - P&amp;L'!BW214</f>
        <v>17426957</v>
      </c>
      <c r="BW756" s="132">
        <f>'Consolidated - P&amp;L'!BX214</f>
        <v>15963406</v>
      </c>
      <c r="BX756" s="132">
        <f>'Consolidated - P&amp;L'!BY214</f>
        <v>13213294</v>
      </c>
      <c r="BY756" s="132">
        <f>'Consolidated - P&amp;L'!BZ214</f>
        <v>14416762</v>
      </c>
      <c r="BZ756" s="132">
        <f>'Consolidated - P&amp;L'!CA214</f>
        <v>15136866</v>
      </c>
      <c r="CA756" s="132">
        <f>'Consolidated - P&amp;L'!CB214</f>
        <v>14739709</v>
      </c>
      <c r="CB756" s="132">
        <f>'Consolidated - P&amp;L'!CC214</f>
        <v>15976190</v>
      </c>
      <c r="CC756" s="132">
        <f>'Consolidated - P&amp;L'!CD214</f>
        <v>12614458</v>
      </c>
      <c r="CD756" s="132">
        <f>'Consolidated - P&amp;L'!CE214</f>
        <v>15245274</v>
      </c>
      <c r="CE756" s="132">
        <f>'Consolidated - P&amp;L'!CF214</f>
        <v>16021853</v>
      </c>
      <c r="CF756" s="132">
        <f>'Consolidated - P&amp;L'!CG214</f>
        <v>13709363</v>
      </c>
      <c r="CG756" s="132">
        <f>'Consolidated - P&amp;L'!CH214</f>
        <v>11926962</v>
      </c>
      <c r="CH756" s="132">
        <f>'Consolidated - P&amp;L'!CI214</f>
        <v>12069526</v>
      </c>
      <c r="CI756" s="132">
        <f>'Consolidated - P&amp;L'!CJ214</f>
        <v>15237446</v>
      </c>
      <c r="CJ756" s="132">
        <f>'Consolidated - P&amp;L'!CK214</f>
        <v>11112694</v>
      </c>
      <c r="CK756" s="132">
        <f>'Consolidated - P&amp;L'!CL214</f>
        <v>8929782</v>
      </c>
      <c r="CL756" s="132">
        <f>'Consolidated - P&amp;L'!CM214</f>
        <v>7847411.6500000004</v>
      </c>
      <c r="CM756" s="132">
        <f>'Consolidated - P&amp;L'!CN214</f>
        <v>9671193</v>
      </c>
      <c r="CN756" s="132">
        <f>'Consolidated - P&amp;L'!CO214</f>
        <v>9927469</v>
      </c>
      <c r="CO756" s="132">
        <f>'Consolidated - P&amp;L'!CP214</f>
        <v>9647675</v>
      </c>
      <c r="CP756" s="132">
        <f>'Consolidated - P&amp;L'!CQ214</f>
        <v>6370717</v>
      </c>
      <c r="CQ756" s="132">
        <f>'Consolidated - P&amp;L'!CR214</f>
        <v>3781784</v>
      </c>
      <c r="CR756" s="132">
        <f>'Consolidated - P&amp;L'!CS214</f>
        <v>6697820</v>
      </c>
      <c r="CS756" s="132">
        <f>'Consolidated - P&amp;L'!CT214</f>
        <v>3757262</v>
      </c>
      <c r="CT756" s="131">
        <f>SUM(CT757:CT771)</f>
        <v>1286507.8625142977</v>
      </c>
      <c r="CU756" s="131">
        <f t="shared" ref="CU756:DQ756" si="2732">SUM(CU757:CU771)</f>
        <v>1300749.8138878308</v>
      </c>
      <c r="CV756" s="131">
        <f t="shared" si="2732"/>
        <v>1271037.6677896723</v>
      </c>
      <c r="CW756" s="131">
        <f t="shared" si="2732"/>
        <v>1321504.2615708318</v>
      </c>
      <c r="CX756" s="131">
        <f t="shared" si="2732"/>
        <v>1214079.8778086335</v>
      </c>
      <c r="CY756" s="131">
        <f t="shared" si="2732"/>
        <v>1164900.2790858762</v>
      </c>
      <c r="CZ756" s="131">
        <f t="shared" si="2732"/>
        <v>1339537.0949100025</v>
      </c>
      <c r="DA756" s="131">
        <f t="shared" si="2732"/>
        <v>1375937.0011146208</v>
      </c>
      <c r="DB756" s="131">
        <f t="shared" si="2732"/>
        <v>1597987.4880656681</v>
      </c>
      <c r="DC756" s="131">
        <f t="shared" si="2732"/>
        <v>1605318.3198139945</v>
      </c>
      <c r="DD756" s="131">
        <f t="shared" si="2732"/>
        <v>1485626.59200384</v>
      </c>
      <c r="DE756" s="131">
        <f t="shared" si="2732"/>
        <v>1597321.9178237366</v>
      </c>
      <c r="DF756" s="131">
        <f t="shared" si="2732"/>
        <v>1573064.8474036807</v>
      </c>
      <c r="DG756" s="131">
        <f t="shared" si="2732"/>
        <v>1592239.3912218448</v>
      </c>
      <c r="DH756" s="131">
        <f t="shared" si="2732"/>
        <v>1551919.0185649039</v>
      </c>
      <c r="DI756" s="131">
        <f t="shared" si="2732"/>
        <v>1612704.2871092863</v>
      </c>
      <c r="DJ756" s="131">
        <f t="shared" si="2732"/>
        <v>1480262.2116821364</v>
      </c>
      <c r="DK756" s="131">
        <f t="shared" si="2732"/>
        <v>1416258.8679427074</v>
      </c>
      <c r="DL756" s="131">
        <f t="shared" si="2732"/>
        <v>1628636.4120642613</v>
      </c>
      <c r="DM756" s="131">
        <f t="shared" si="2732"/>
        <v>1673859.7383805241</v>
      </c>
      <c r="DN756" s="131">
        <f t="shared" si="2732"/>
        <v>1940272.6407433441</v>
      </c>
      <c r="DO756" s="131">
        <f t="shared" si="2732"/>
        <v>1943981.6979067309</v>
      </c>
      <c r="DP756" s="131">
        <f t="shared" si="2732"/>
        <v>1797173.4471787247</v>
      </c>
      <c r="DQ756" s="131">
        <f t="shared" si="2732"/>
        <v>1920100.2512455517</v>
      </c>
      <c r="DR756" s="330"/>
      <c r="DS756" s="330"/>
      <c r="DT756" s="330"/>
      <c r="DU756" s="330"/>
      <c r="DV756" s="330"/>
      <c r="DW756" s="330"/>
      <c r="DX756" s="330"/>
      <c r="DY756" s="330"/>
      <c r="DZ756" s="330"/>
      <c r="EA756" s="330"/>
      <c r="EB756" s="330"/>
      <c r="EC756" s="726"/>
      <c r="ED756" s="113" t="s">
        <v>1</v>
      </c>
    </row>
    <row r="757" spans="1:134" hidden="1" x14ac:dyDescent="0.2">
      <c r="A757" s="755" t="s">
        <v>333</v>
      </c>
      <c r="B757" s="129">
        <f>'Consolidated - P&amp;L'!C215</f>
        <v>745797</v>
      </c>
      <c r="C757" s="129">
        <f>'Consolidated - P&amp;L'!D215</f>
        <v>751643</v>
      </c>
      <c r="D757" s="129">
        <f>'Consolidated - P&amp;L'!E215</f>
        <v>703150</v>
      </c>
      <c r="E757" s="129">
        <f>'Consolidated - P&amp;L'!F215</f>
        <v>701534</v>
      </c>
      <c r="F757" s="129">
        <f>'Consolidated - P&amp;L'!G215</f>
        <v>676479.45</v>
      </c>
      <c r="G757" s="129">
        <f>'Consolidated - P&amp;L'!H215</f>
        <v>630410.96</v>
      </c>
      <c r="H757" s="129">
        <f>'Consolidated - P&amp;L'!I215</f>
        <v>626370</v>
      </c>
      <c r="I757" s="129">
        <f>'Consolidated - P&amp;L'!J215</f>
        <v>581917</v>
      </c>
      <c r="J757" s="129">
        <f>'Consolidated - P&amp;L'!K215</f>
        <v>904268.11</v>
      </c>
      <c r="K757" s="129">
        <f>'Consolidated - P&amp;L'!L215</f>
        <v>795940.75</v>
      </c>
      <c r="L757" s="129">
        <f>'Consolidated - P&amp;L'!M215</f>
        <v>551443.74041095888</v>
      </c>
      <c r="M757" s="129">
        <f>'Consolidated - P&amp;L'!N215</f>
        <v>703470.44</v>
      </c>
      <c r="N757" s="129">
        <f>'Consolidated - P&amp;L'!O215</f>
        <v>965071.48</v>
      </c>
      <c r="O757" s="129">
        <f>'Consolidated - P&amp;L'!P215</f>
        <v>1404956</v>
      </c>
      <c r="P757" s="129">
        <f>'Consolidated - P&amp;L'!Q215</f>
        <v>415414</v>
      </c>
      <c r="Q757" s="129">
        <f>'Consolidated - P&amp;L'!R215</f>
        <v>1386082.19</v>
      </c>
      <c r="R757" s="129">
        <f>'Consolidated - P&amp;L'!S215</f>
        <v>1361027.4</v>
      </c>
      <c r="S757" s="129">
        <f>'Consolidated - P&amp;L'!T215</f>
        <v>2292081.71</v>
      </c>
      <c r="T757" s="129">
        <f>'Consolidated - P&amp;L'!U215</f>
        <v>1443581.39</v>
      </c>
      <c r="U757" s="129">
        <f>'Consolidated - P&amp;L'!V215</f>
        <v>1865281</v>
      </c>
      <c r="V757" s="129">
        <f>'Consolidated - P&amp;L'!W215</f>
        <v>1656145.22</v>
      </c>
      <c r="W757" s="129">
        <f>'Consolidated - P&amp;L'!X215</f>
        <v>1445646.05</v>
      </c>
      <c r="X757" s="129">
        <f>'Consolidated - P&amp;L'!Y215</f>
        <v>1743077.01</v>
      </c>
      <c r="Y757" s="129">
        <f>'Consolidated - P&amp;L'!Z215</f>
        <v>1701713.46</v>
      </c>
      <c r="Z757" s="129">
        <f>'Consolidated - P&amp;L'!AA215</f>
        <v>1183422</v>
      </c>
      <c r="AA757" s="129">
        <f>'Consolidated - P&amp;L'!AB215</f>
        <v>1101398.52</v>
      </c>
      <c r="AB757" s="129">
        <f>'Consolidated - P&amp;L'!AC215</f>
        <v>969108.85</v>
      </c>
      <c r="AC757" s="129">
        <f>'Consolidated - P&amp;L'!AD215</f>
        <v>1171926.23</v>
      </c>
      <c r="AD757" s="129">
        <f>'Consolidated - P&amp;L'!AE215</f>
        <v>1496972.0899999999</v>
      </c>
      <c r="AE757" s="129">
        <f>'Consolidated - P&amp;L'!AF215</f>
        <v>2055502.81</v>
      </c>
      <c r="AF757" s="129">
        <f>'Consolidated - P&amp;L'!AG215</f>
        <v>3023198.13</v>
      </c>
      <c r="AG757" s="129">
        <f>'Consolidated - P&amp;L'!AH215</f>
        <v>3838729.38</v>
      </c>
      <c r="AH757" s="129">
        <f>'Consolidated - P&amp;L'!AI215</f>
        <v>3928847.67</v>
      </c>
      <c r="AI757" s="129">
        <f>'Consolidated - P&amp;L'!AJ215</f>
        <v>3413376.88</v>
      </c>
      <c r="AJ757" s="129">
        <f>'Consolidated - P&amp;L'!AK215</f>
        <v>2470778.46</v>
      </c>
      <c r="AK757" s="129">
        <f>'Consolidated - P&amp;L'!AL215</f>
        <v>1536131</v>
      </c>
      <c r="AL757" s="129">
        <f>'Consolidated - P&amp;L'!AM215</f>
        <v>1372534</v>
      </c>
      <c r="AM757" s="129">
        <f>'Consolidated - P&amp;L'!AN215</f>
        <v>1505986</v>
      </c>
      <c r="AN757" s="129">
        <f>'Consolidated - P&amp;L'!AO215</f>
        <v>2203678</v>
      </c>
      <c r="AO757" s="129">
        <f>'Consolidated - P&amp;L'!AP215</f>
        <v>2223016</v>
      </c>
      <c r="AP757" s="129">
        <f>'Consolidated - P&amp;L'!AQ215</f>
        <v>2192772</v>
      </c>
      <c r="AQ757" s="129">
        <f>'Consolidated - P&amp;L'!AR215</f>
        <v>2073972</v>
      </c>
      <c r="AR757" s="129">
        <f>'Consolidated - P&amp;L'!AS215</f>
        <v>2313700</v>
      </c>
      <c r="AS757" s="129">
        <f>'Consolidated - P&amp;L'!AT215</f>
        <v>3126847</v>
      </c>
      <c r="AT757" s="129">
        <f>'Consolidated - P&amp;L'!AU215</f>
        <v>3306678</v>
      </c>
      <c r="AU757" s="129">
        <f>'Consolidated - P&amp;L'!AV215</f>
        <v>3098433</v>
      </c>
      <c r="AV757" s="129">
        <f>'Consolidated - P&amp;L'!AW215</f>
        <v>2654643</v>
      </c>
      <c r="AW757" s="129">
        <f>'Consolidated - P&amp;L'!AX215</f>
        <v>3560570</v>
      </c>
      <c r="AX757" s="129">
        <f>'Consolidated - P&amp;L'!AY215</f>
        <v>2992741</v>
      </c>
      <c r="AY757" s="129">
        <f>'Consolidated - P&amp;L'!AZ215</f>
        <v>4116149</v>
      </c>
      <c r="AZ757" s="129">
        <f>'Consolidated - P&amp;L'!BA215</f>
        <v>2174836</v>
      </c>
      <c r="BA757" s="129">
        <f>'Consolidated - P&amp;L'!BB215</f>
        <v>880349</v>
      </c>
      <c r="BB757" s="129">
        <f>'Consolidated - P&amp;L'!BC215</f>
        <v>595206</v>
      </c>
      <c r="BC757" s="129">
        <f>'Consolidated - P&amp;L'!BD215</f>
        <v>1401668</v>
      </c>
      <c r="BD757" s="129">
        <f>'Consolidated - P&amp;L'!BE215</f>
        <v>1796852</v>
      </c>
      <c r="BE757" s="129">
        <f>'Consolidated - P&amp;L'!BF215</f>
        <v>1247416</v>
      </c>
      <c r="BF757" s="129">
        <f>'Consolidated - P&amp;L'!BG215</f>
        <v>1801462</v>
      </c>
      <c r="BG757" s="129">
        <f>'Consolidated - P&amp;L'!BH215</f>
        <v>924563</v>
      </c>
      <c r="BH757" s="129">
        <f>'Consolidated - P&amp;L'!BI215</f>
        <v>1701286</v>
      </c>
      <c r="BI757" s="129">
        <f>'Consolidated - P&amp;L'!BJ215</f>
        <v>1916013</v>
      </c>
      <c r="BJ757" s="129">
        <f>'Consolidated - P&amp;L'!BK215</f>
        <v>897020</v>
      </c>
      <c r="BK757" s="129">
        <f>'Consolidated - P&amp;L'!BL215</f>
        <v>824678</v>
      </c>
      <c r="BL757" s="129">
        <f>'Consolidated - P&amp;L'!BM215</f>
        <v>131843.24</v>
      </c>
      <c r="BM757" s="129">
        <f>'Consolidated - P&amp;L'!BN215</f>
        <v>605028</v>
      </c>
      <c r="BN757" s="129">
        <f>'Consolidated - P&amp;L'!BO215</f>
        <v>1258625</v>
      </c>
      <c r="BO757" s="129">
        <f>'Consolidated - P&amp;L'!BP215</f>
        <v>1038473.19</v>
      </c>
      <c r="BP757" s="129">
        <f>'Consolidated - P&amp;L'!BQ215</f>
        <v>1623205.68</v>
      </c>
      <c r="BQ757" s="129">
        <f>'Consolidated - P&amp;L'!BR215</f>
        <v>2365526</v>
      </c>
      <c r="BR757" s="129">
        <f>'Consolidated - P&amp;L'!BS215</f>
        <v>2508582</v>
      </c>
      <c r="BS757" s="129">
        <f>'Consolidated - P&amp;L'!BT215</f>
        <v>2289600</v>
      </c>
      <c r="BT757" s="129">
        <f>'Consolidated - P&amp;L'!BU215</f>
        <v>1905797</v>
      </c>
      <c r="BU757" s="129">
        <f>'Consolidated - P&amp;L'!BV215</f>
        <v>1408938</v>
      </c>
      <c r="BV757" s="129">
        <f>'Consolidated - P&amp;L'!BW215</f>
        <v>1055045</v>
      </c>
      <c r="BW757" s="129">
        <f>'Consolidated - P&amp;L'!BX215</f>
        <v>111943</v>
      </c>
      <c r="BX757" s="129">
        <f>'Consolidated - P&amp;L'!BY215</f>
        <v>116070</v>
      </c>
      <c r="BY757" s="129">
        <f>'Consolidated - P&amp;L'!BZ215</f>
        <v>33664</v>
      </c>
      <c r="BZ757" s="129">
        <f>'Consolidated - P&amp;L'!CA215</f>
        <v>612442</v>
      </c>
      <c r="CA757" s="129">
        <f>'Consolidated - P&amp;L'!CB215</f>
        <v>463444</v>
      </c>
      <c r="CB757" s="129">
        <f>'Consolidated - P&amp;L'!CC215</f>
        <v>493182</v>
      </c>
      <c r="CC757" s="129">
        <f>'Consolidated - P&amp;L'!CD215</f>
        <v>1519163</v>
      </c>
      <c r="CD757" s="129">
        <f>'Consolidated - P&amp;L'!CE215</f>
        <v>4227958</v>
      </c>
      <c r="CE757" s="129">
        <f>'Consolidated - P&amp;L'!CF215</f>
        <v>5003758</v>
      </c>
      <c r="CF757" s="129">
        <f>'Consolidated - P&amp;L'!CG215</f>
        <v>4659235</v>
      </c>
      <c r="CG757" s="129">
        <f>'Consolidated - P&amp;L'!CH215</f>
        <v>2112075</v>
      </c>
      <c r="CH757" s="129">
        <f>'Consolidated - P&amp;L'!CI215</f>
        <v>1594273</v>
      </c>
      <c r="CI757" s="129">
        <f>'Consolidated - P&amp;L'!CJ215</f>
        <v>422073</v>
      </c>
      <c r="CJ757" s="129">
        <f>'Consolidated - P&amp;L'!CK215</f>
        <v>270328</v>
      </c>
      <c r="CK757" s="129">
        <f>'Consolidated - P&amp;L'!CL215</f>
        <v>124370</v>
      </c>
      <c r="CL757" s="129">
        <f>'Consolidated - P&amp;L'!CM215</f>
        <v>0</v>
      </c>
      <c r="CM757" s="129">
        <f>'Consolidated - P&amp;L'!CN215</f>
        <v>570988</v>
      </c>
      <c r="CN757" s="129">
        <f>'Consolidated - P&amp;L'!CO215</f>
        <v>2777253</v>
      </c>
      <c r="CO757" s="129">
        <f>'Consolidated - P&amp;L'!CP215</f>
        <v>3750596</v>
      </c>
      <c r="CP757" s="129">
        <f>'Consolidated - P&amp;L'!CQ215</f>
        <v>2599081</v>
      </c>
      <c r="CQ757" s="129">
        <f>'Consolidated - P&amp;L'!CR215</f>
        <v>616500</v>
      </c>
      <c r="CR757" s="129">
        <f>'Consolidated - P&amp;L'!CS215</f>
        <v>1224088</v>
      </c>
      <c r="CS757" s="129">
        <f>'Consolidated - P&amp;L'!CT215</f>
        <v>938661</v>
      </c>
      <c r="CT757" s="129"/>
      <c r="CU757" s="129"/>
      <c r="CV757" s="129"/>
      <c r="CW757" s="129"/>
      <c r="CX757" s="129"/>
      <c r="CY757" s="129"/>
      <c r="CZ757" s="129"/>
      <c r="DA757" s="129"/>
      <c r="DB757" s="129"/>
      <c r="DC757" s="129"/>
      <c r="DD757" s="129"/>
      <c r="DE757" s="129"/>
      <c r="DF757" s="129"/>
      <c r="DG757" s="129"/>
      <c r="DH757" s="129"/>
      <c r="DI757" s="129"/>
      <c r="DJ757" s="129"/>
      <c r="DK757" s="129"/>
      <c r="DL757" s="129"/>
      <c r="DM757" s="129"/>
      <c r="DN757" s="129"/>
      <c r="DO757" s="129"/>
      <c r="DP757" s="129"/>
      <c r="DQ757" s="129"/>
      <c r="DR757" s="115"/>
      <c r="DS757" s="115"/>
      <c r="DT757" s="115"/>
      <c r="DU757" s="115"/>
      <c r="DV757" s="115"/>
      <c r="DW757" s="115"/>
      <c r="DX757" s="115"/>
      <c r="DY757" s="115"/>
      <c r="DZ757" s="115"/>
      <c r="EA757" s="115"/>
      <c r="EB757" s="115"/>
      <c r="EC757" s="645"/>
      <c r="ED757" s="113" t="s">
        <v>1</v>
      </c>
    </row>
    <row r="758" spans="1:134" hidden="1" x14ac:dyDescent="0.2">
      <c r="A758" s="755" t="s">
        <v>158</v>
      </c>
      <c r="B758" s="129">
        <f>'Consolidated - P&amp;L'!C216</f>
        <v>83199</v>
      </c>
      <c r="C758" s="129">
        <f>'Consolidated - P&amp;L'!D216</f>
        <v>1052174</v>
      </c>
      <c r="D758" s="129">
        <f>'Consolidated - P&amp;L'!E216</f>
        <v>543216</v>
      </c>
      <c r="E758" s="129">
        <f>'Consolidated - P&amp;L'!F216</f>
        <v>402692</v>
      </c>
      <c r="F758" s="129">
        <f>'Consolidated - P&amp;L'!G216</f>
        <v>1585362</v>
      </c>
      <c r="G758" s="129">
        <f>'Consolidated - P&amp;L'!H216</f>
        <v>5842205</v>
      </c>
      <c r="H758" s="129">
        <f>'Consolidated - P&amp;L'!I216</f>
        <v>6491872</v>
      </c>
      <c r="I758" s="129">
        <f>'Consolidated - P&amp;L'!J216</f>
        <v>344244.49</v>
      </c>
      <c r="J758" s="129">
        <f>'Consolidated - P&amp;L'!K216</f>
        <v>334385</v>
      </c>
      <c r="K758" s="129">
        <f>'Consolidated - P&amp;L'!L216</f>
        <v>3429000</v>
      </c>
      <c r="L758" s="129">
        <f>'Consolidated - P&amp;L'!M216</f>
        <v>1133797.44</v>
      </c>
      <c r="M758" s="129">
        <f>'Consolidated - P&amp;L'!N216</f>
        <v>3338309.9354739729</v>
      </c>
      <c r="N758" s="129">
        <f>'Consolidated - P&amp;L'!O216</f>
        <v>2907602.8116164384</v>
      </c>
      <c r="O758" s="129">
        <f>'Consolidated - P&amp;L'!P216</f>
        <v>1816721.3016273973</v>
      </c>
      <c r="P758" s="129">
        <f>'Consolidated - P&amp;L'!Q216</f>
        <v>1642886.2732876712</v>
      </c>
      <c r="Q758" s="129">
        <f>'Consolidated - P&amp;L'!R216</f>
        <v>2273157.3333333335</v>
      </c>
      <c r="R758" s="129">
        <f>'Consolidated - P&amp;L'!S216</f>
        <v>3069104</v>
      </c>
      <c r="S758" s="129">
        <f>'Consolidated - P&amp;L'!T216</f>
        <v>3392227</v>
      </c>
      <c r="T758" s="129">
        <f>'Consolidated - P&amp;L'!U216</f>
        <v>2138166.666666667</v>
      </c>
      <c r="U758" s="129">
        <f>'Consolidated - P&amp;L'!V216</f>
        <v>4572118.333333334</v>
      </c>
      <c r="V758" s="129">
        <f>'Consolidated - P&amp;L'!W216</f>
        <v>2439034</v>
      </c>
      <c r="W758" s="129">
        <f>'Consolidated - P&amp;L'!X216</f>
        <v>1955905.92</v>
      </c>
      <c r="X758" s="129">
        <f>'Consolidated - P&amp;L'!Y216</f>
        <v>2618383</v>
      </c>
      <c r="Y758" s="129">
        <f>'Consolidated - P&amp;L'!Z216</f>
        <v>2935408</v>
      </c>
      <c r="Z758" s="129">
        <f>'Consolidated - P&amp;L'!AA216</f>
        <v>2183388.96</v>
      </c>
      <c r="AA758" s="129">
        <f>'Consolidated - P&amp;L'!AB216</f>
        <v>958721</v>
      </c>
      <c r="AB758" s="129">
        <f>'Consolidated - P&amp;L'!AC216</f>
        <v>1775192.32</v>
      </c>
      <c r="AC758" s="129">
        <f>'Consolidated - P&amp;L'!AD216</f>
        <v>2944616.44</v>
      </c>
      <c r="AD758" s="129">
        <f>'Consolidated - P&amp;L'!AE216</f>
        <v>6019690.21</v>
      </c>
      <c r="AE758" s="129">
        <f>'Consolidated - P&amp;L'!AF216</f>
        <v>1697355</v>
      </c>
      <c r="AF758" s="129">
        <f>'Consolidated - P&amp;L'!AG216</f>
        <v>1462088</v>
      </c>
      <c r="AG758" s="129">
        <f>'Consolidated - P&amp;L'!AH216</f>
        <v>845042</v>
      </c>
      <c r="AH758" s="129">
        <f>'Consolidated - P&amp;L'!AI216</f>
        <v>723007</v>
      </c>
      <c r="AI758" s="129">
        <f>'Consolidated - P&amp;L'!AJ216</f>
        <v>697426</v>
      </c>
      <c r="AJ758" s="129">
        <f>'Consolidated - P&amp;L'!AK216</f>
        <v>2771215</v>
      </c>
      <c r="AK758" s="129">
        <f>'Consolidated - P&amp;L'!AL216</f>
        <v>3952920</v>
      </c>
      <c r="AL758" s="129">
        <f>'Consolidated - P&amp;L'!AM216</f>
        <v>5977330</v>
      </c>
      <c r="AM758" s="129">
        <f>'Consolidated - P&amp;L'!AN216</f>
        <v>4473985</v>
      </c>
      <c r="AN758" s="129">
        <f>'Consolidated - P&amp;L'!AO216</f>
        <v>3677837</v>
      </c>
      <c r="AO758" s="129">
        <f>'Consolidated - P&amp;L'!AP216</f>
        <v>5303291</v>
      </c>
      <c r="AP758" s="129">
        <f>'Consolidated - P&amp;L'!AQ216</f>
        <v>4871860</v>
      </c>
      <c r="AQ758" s="129">
        <f>'Consolidated - P&amp;L'!AR216</f>
        <v>17473175</v>
      </c>
      <c r="AR758" s="129">
        <f>'Consolidated - P&amp;L'!AS216</f>
        <v>446090</v>
      </c>
      <c r="AS758" s="129">
        <f>'Consolidated - P&amp;L'!AT216</f>
        <v>900304</v>
      </c>
      <c r="AT758" s="129">
        <f>'Consolidated - P&amp;L'!AU216</f>
        <v>744571</v>
      </c>
      <c r="AU758" s="129">
        <f>'Consolidated - P&amp;L'!AV216</f>
        <v>553087</v>
      </c>
      <c r="AV758" s="129">
        <f>'Consolidated - P&amp;L'!AW216</f>
        <v>494369</v>
      </c>
      <c r="AW758" s="129">
        <f>'Consolidated - P&amp;L'!AX216</f>
        <v>3012240</v>
      </c>
      <c r="AX758" s="129">
        <f>'Consolidated - P&amp;L'!AY216</f>
        <v>571983</v>
      </c>
      <c r="AY758" s="129">
        <f>'Consolidated - P&amp;L'!AZ216</f>
        <v>402206</v>
      </c>
      <c r="AZ758" s="129">
        <f>'Consolidated - P&amp;L'!BA216</f>
        <v>3963430</v>
      </c>
      <c r="BA758" s="129">
        <f>'Consolidated - P&amp;L'!BB216</f>
        <v>7594209.1235869797</v>
      </c>
      <c r="BB758" s="129">
        <f>'Consolidated - P&amp;L'!BC216</f>
        <v>18430705</v>
      </c>
      <c r="BC758" s="129">
        <f>'Consolidated - P&amp;L'!BD216</f>
        <v>9844412</v>
      </c>
      <c r="BD758" s="129">
        <f>'Consolidated - P&amp;L'!BE216</f>
        <v>12018195.099999979</v>
      </c>
      <c r="BE758" s="129">
        <f>'Consolidated - P&amp;L'!BF216</f>
        <v>7667238</v>
      </c>
      <c r="BF758" s="129">
        <f>'Consolidated - P&amp;L'!BG216</f>
        <v>14660758.26</v>
      </c>
      <c r="BG758" s="129">
        <f>'Consolidated - P&amp;L'!BH216</f>
        <v>11046747.81000003</v>
      </c>
      <c r="BH758" s="129">
        <f>'Consolidated - P&amp;L'!BI216</f>
        <v>3998071</v>
      </c>
      <c r="BI758" s="129">
        <f>'Consolidated - P&amp;L'!BJ216</f>
        <v>8481738</v>
      </c>
      <c r="BJ758" s="129">
        <f>'Consolidated - P&amp;L'!BK216</f>
        <v>12103082.33</v>
      </c>
      <c r="BK758" s="129">
        <f>'Consolidated - P&amp;L'!BL216</f>
        <v>12754165</v>
      </c>
      <c r="BL758" s="129">
        <f>'Consolidated - P&amp;L'!BM216</f>
        <v>12637539</v>
      </c>
      <c r="BM758" s="129">
        <f>'Consolidated - P&amp;L'!BN216</f>
        <v>12679941</v>
      </c>
      <c r="BN758" s="129">
        <f>'Consolidated - P&amp;L'!BO216</f>
        <v>9629448.0999999996</v>
      </c>
      <c r="BO758" s="129">
        <f>'Consolidated - P&amp;L'!BP216</f>
        <v>10383497</v>
      </c>
      <c r="BP758" s="129">
        <f>'Consolidated - P&amp;L'!BQ216</f>
        <v>11693912</v>
      </c>
      <c r="BQ758" s="129">
        <f>'Consolidated - P&amp;L'!BR216</f>
        <v>10607834.370000001</v>
      </c>
      <c r="BR758" s="129">
        <f>'Consolidated - P&amp;L'!BS216</f>
        <v>12347529</v>
      </c>
      <c r="BS758" s="129">
        <f>'Consolidated - P&amp;L'!BT216</f>
        <v>13037988</v>
      </c>
      <c r="BT758" s="129">
        <f>'Consolidated - P&amp;L'!BU216</f>
        <v>12804403</v>
      </c>
      <c r="BU758" s="129">
        <f>'Consolidated - P&amp;L'!BV216</f>
        <v>14466945</v>
      </c>
      <c r="BV758" s="129">
        <f>'Consolidated - P&amp;L'!BW216</f>
        <v>13371912</v>
      </c>
      <c r="BW758" s="129">
        <f>'Consolidated - P&amp;L'!BX216</f>
        <v>12851463</v>
      </c>
      <c r="BX758" s="129">
        <f>'Consolidated - P&amp;L'!BY216</f>
        <v>11597224</v>
      </c>
      <c r="BY758" s="129">
        <f>'Consolidated - P&amp;L'!BZ216</f>
        <v>13883098</v>
      </c>
      <c r="BZ758" s="129">
        <f>'Consolidated - P&amp;L'!CA216</f>
        <v>14024424</v>
      </c>
      <c r="CA758" s="129">
        <f>'Consolidated - P&amp;L'!CB216</f>
        <v>13629672</v>
      </c>
      <c r="CB758" s="129">
        <f>'Consolidated - P&amp;L'!CC216</f>
        <v>13313882</v>
      </c>
      <c r="CC758" s="129">
        <f>'Consolidated - P&amp;L'!CD216</f>
        <v>10105485</v>
      </c>
      <c r="CD758" s="129">
        <f>'Consolidated - P&amp;L'!CE216</f>
        <v>10328891</v>
      </c>
      <c r="CE758" s="129">
        <f>'Consolidated - P&amp;L'!CF216</f>
        <v>9664717</v>
      </c>
      <c r="CF758" s="129">
        <f>'Consolidated - P&amp;L'!CG216</f>
        <v>7950128</v>
      </c>
      <c r="CG758" s="129">
        <f>'Consolidated - P&amp;L'!CH216</f>
        <v>7714887</v>
      </c>
      <c r="CH758" s="129">
        <f>'Consolidated - P&amp;L'!CI216</f>
        <v>10475253</v>
      </c>
      <c r="CI758" s="129">
        <f>'Consolidated - P&amp;L'!CJ216</f>
        <v>9115373</v>
      </c>
      <c r="CJ758" s="129">
        <f>'Consolidated - P&amp;L'!CK216</f>
        <v>8542366</v>
      </c>
      <c r="CK758" s="129">
        <f>'Consolidated - P&amp;L'!CL216</f>
        <v>7805412</v>
      </c>
      <c r="CL758" s="129">
        <f>'Consolidated - P&amp;L'!CM216</f>
        <v>6847411.6500000004</v>
      </c>
      <c r="CM758" s="129">
        <f>'Consolidated - P&amp;L'!CN216</f>
        <v>8100205</v>
      </c>
      <c r="CN758" s="129">
        <f>'Consolidated - P&amp;L'!CO216</f>
        <v>6150216</v>
      </c>
      <c r="CO758" s="129">
        <f>'Consolidated - P&amp;L'!CP216</f>
        <v>4897079</v>
      </c>
      <c r="CP758" s="129">
        <f>'Consolidated - P&amp;L'!CQ216</f>
        <v>2771636</v>
      </c>
      <c r="CQ758" s="129">
        <f>'Consolidated - P&amp;L'!CR216</f>
        <v>2165284</v>
      </c>
      <c r="CR758" s="129">
        <f>'Consolidated - P&amp;L'!CS216</f>
        <v>2723732</v>
      </c>
      <c r="CS758" s="129">
        <f>'Consolidated - P&amp;L'!CT216</f>
        <v>1395601</v>
      </c>
      <c r="CT758" s="129">
        <f>'Consolidated - P&amp;L'!CU$63*'P&amp;L - Inputs'!CT775</f>
        <v>1286507.8625142977</v>
      </c>
      <c r="CU758" s="129">
        <f>'Consolidated - P&amp;L'!CV$63*'P&amp;L - Inputs'!CU775</f>
        <v>1300749.8138878308</v>
      </c>
      <c r="CV758" s="129">
        <f>'Consolidated - P&amp;L'!CW$63*'P&amp;L - Inputs'!CV775</f>
        <v>1271037.6677896723</v>
      </c>
      <c r="CW758" s="129">
        <f>'Consolidated - P&amp;L'!CX$63*'P&amp;L - Inputs'!CW775</f>
        <v>1321504.2615708318</v>
      </c>
      <c r="CX758" s="129">
        <f>'Consolidated - P&amp;L'!CY$63*'P&amp;L - Inputs'!CX775</f>
        <v>1214079.8778086335</v>
      </c>
      <c r="CY758" s="129">
        <f>'Consolidated - P&amp;L'!CZ$63*'P&amp;L - Inputs'!CY775</f>
        <v>1164900.2790858762</v>
      </c>
      <c r="CZ758" s="129">
        <f>'Consolidated - P&amp;L'!DA$63*'P&amp;L - Inputs'!CZ775</f>
        <v>1339537.0949100025</v>
      </c>
      <c r="DA758" s="129">
        <f>'Consolidated - P&amp;L'!DB$63*'P&amp;L - Inputs'!DA775</f>
        <v>1375937.0011146208</v>
      </c>
      <c r="DB758" s="129">
        <f>'Consolidated - P&amp;L'!DC$63*'P&amp;L - Inputs'!DB775</f>
        <v>1597987.4880656681</v>
      </c>
      <c r="DC758" s="129">
        <f>'Consolidated - P&amp;L'!DD$63*'P&amp;L - Inputs'!DC775</f>
        <v>1605318.3198139945</v>
      </c>
      <c r="DD758" s="129">
        <f>'Consolidated - P&amp;L'!DE$63*'P&amp;L - Inputs'!DD775</f>
        <v>1485626.59200384</v>
      </c>
      <c r="DE758" s="129">
        <f>'Consolidated - P&amp;L'!DF$63*'P&amp;L - Inputs'!DE775</f>
        <v>1597321.9178237366</v>
      </c>
      <c r="DF758" s="129">
        <f>'Consolidated - P&amp;L'!DG$63*'P&amp;L - Inputs'!DF775</f>
        <v>1573064.8474036807</v>
      </c>
      <c r="DG758" s="129">
        <f>'Consolidated - P&amp;L'!DH$63*'P&amp;L - Inputs'!DG775</f>
        <v>1592239.3912218448</v>
      </c>
      <c r="DH758" s="129">
        <f>'Consolidated - P&amp;L'!DI$63*'P&amp;L - Inputs'!DH775</f>
        <v>1551919.0185649039</v>
      </c>
      <c r="DI758" s="129">
        <f>'Consolidated - P&amp;L'!DJ$63*'P&amp;L - Inputs'!DI775</f>
        <v>1612704.2871092863</v>
      </c>
      <c r="DJ758" s="129">
        <f>'Consolidated - P&amp;L'!DK$63*'P&amp;L - Inputs'!DJ775</f>
        <v>1480262.2116821364</v>
      </c>
      <c r="DK758" s="129">
        <f>'Consolidated - P&amp;L'!DL$63*'P&amp;L - Inputs'!DK775</f>
        <v>1416258.8679427074</v>
      </c>
      <c r="DL758" s="129">
        <f>'Consolidated - P&amp;L'!DM$63*'P&amp;L - Inputs'!DL775</f>
        <v>1628636.4120642613</v>
      </c>
      <c r="DM758" s="129">
        <f>'Consolidated - P&amp;L'!DN$63*'P&amp;L - Inputs'!DM775</f>
        <v>1673859.7383805241</v>
      </c>
      <c r="DN758" s="129">
        <f>'Consolidated - P&amp;L'!DO$63*'P&amp;L - Inputs'!DN775</f>
        <v>1940272.6407433441</v>
      </c>
      <c r="DO758" s="129">
        <f>'Consolidated - P&amp;L'!DP$63*'P&amp;L - Inputs'!DO775</f>
        <v>1943981.6979067309</v>
      </c>
      <c r="DP758" s="129">
        <f>'Consolidated - P&amp;L'!DQ$63*'P&amp;L - Inputs'!DP775</f>
        <v>1797173.4471787247</v>
      </c>
      <c r="DQ758" s="129">
        <f>'Consolidated - P&amp;L'!DR$63*'P&amp;L - Inputs'!DQ775</f>
        <v>1920100.2512455517</v>
      </c>
      <c r="DR758" s="115"/>
      <c r="DS758" s="115"/>
      <c r="DT758" s="115"/>
      <c r="DU758" s="115"/>
      <c r="DV758" s="115"/>
      <c r="DW758" s="115"/>
      <c r="DX758" s="115"/>
      <c r="DY758" s="115"/>
      <c r="DZ758" s="115"/>
      <c r="EA758" s="115"/>
      <c r="EB758" s="115"/>
      <c r="EC758" s="645"/>
      <c r="ED758" s="113" t="s">
        <v>1</v>
      </c>
    </row>
    <row r="759" spans="1:134" hidden="1" x14ac:dyDescent="0.2">
      <c r="A759" s="755" t="s">
        <v>334</v>
      </c>
      <c r="B759" s="129">
        <f>'Consolidated - P&amp;L'!C217</f>
        <v>0</v>
      </c>
      <c r="C759" s="129">
        <f>'Consolidated - P&amp;L'!D217</f>
        <v>0</v>
      </c>
      <c r="D759" s="129">
        <f>'Consolidated - P&amp;L'!E217</f>
        <v>0</v>
      </c>
      <c r="E759" s="129">
        <f>'Consolidated - P&amp;L'!F217</f>
        <v>0</v>
      </c>
      <c r="F759" s="129">
        <f>'Consolidated - P&amp;L'!G217</f>
        <v>0</v>
      </c>
      <c r="G759" s="129">
        <f>'Consolidated - P&amp;L'!H217</f>
        <v>0</v>
      </c>
      <c r="H759" s="129">
        <f>'Consolidated - P&amp;L'!I217</f>
        <v>0</v>
      </c>
      <c r="I759" s="129">
        <f>'Consolidated - P&amp;L'!J217</f>
        <v>0</v>
      </c>
      <c r="J759" s="129">
        <f>'Consolidated - P&amp;L'!K217</f>
        <v>0</v>
      </c>
      <c r="K759" s="129">
        <f>'Consolidated - P&amp;L'!L217</f>
        <v>0</v>
      </c>
      <c r="L759" s="129">
        <f>'Consolidated - P&amp;L'!M217</f>
        <v>0</v>
      </c>
      <c r="M759" s="129">
        <f>'Consolidated - P&amp;L'!N217</f>
        <v>0</v>
      </c>
      <c r="N759" s="129">
        <f>'Consolidated - P&amp;L'!O217</f>
        <v>0</v>
      </c>
      <c r="O759" s="129">
        <f>'Consolidated - P&amp;L'!P217</f>
        <v>0</v>
      </c>
      <c r="P759" s="129">
        <f>'Consolidated - P&amp;L'!Q217</f>
        <v>0</v>
      </c>
      <c r="Q759" s="129">
        <f>'Consolidated - P&amp;L'!R217</f>
        <v>0</v>
      </c>
      <c r="R759" s="129">
        <f>'Consolidated - P&amp;L'!S217</f>
        <v>0</v>
      </c>
      <c r="S759" s="129">
        <f>'Consolidated - P&amp;L'!T217</f>
        <v>0</v>
      </c>
      <c r="T759" s="129">
        <f>'Consolidated - P&amp;L'!U217</f>
        <v>0</v>
      </c>
      <c r="U759" s="129">
        <f>'Consolidated - P&amp;L'!V217</f>
        <v>0</v>
      </c>
      <c r="V759" s="129">
        <f>'Consolidated - P&amp;L'!W217</f>
        <v>0</v>
      </c>
      <c r="W759" s="129">
        <f>'Consolidated - P&amp;L'!X217</f>
        <v>0</v>
      </c>
      <c r="X759" s="129">
        <f>'Consolidated - P&amp;L'!Y217</f>
        <v>0</v>
      </c>
      <c r="Y759" s="129">
        <f>'Consolidated - P&amp;L'!Z217</f>
        <v>0</v>
      </c>
      <c r="Z759" s="129">
        <f>'Consolidated - P&amp;L'!AA217</f>
        <v>0</v>
      </c>
      <c r="AA759" s="129">
        <f>'Consolidated - P&amp;L'!AB217</f>
        <v>0</v>
      </c>
      <c r="AB759" s="129">
        <f>'Consolidated - P&amp;L'!AC217</f>
        <v>0</v>
      </c>
      <c r="AC759" s="129">
        <f>'Consolidated - P&amp;L'!AD217</f>
        <v>0</v>
      </c>
      <c r="AD759" s="129">
        <f>'Consolidated - P&amp;L'!AE217</f>
        <v>0</v>
      </c>
      <c r="AE759" s="129">
        <f>'Consolidated - P&amp;L'!AF217</f>
        <v>0</v>
      </c>
      <c r="AF759" s="129">
        <f>'Consolidated - P&amp;L'!AG217</f>
        <v>0</v>
      </c>
      <c r="AG759" s="129">
        <f>'Consolidated - P&amp;L'!AH217</f>
        <v>0</v>
      </c>
      <c r="AH759" s="129">
        <f>'Consolidated - P&amp;L'!AI217</f>
        <v>0</v>
      </c>
      <c r="AI759" s="129">
        <f>'Consolidated - P&amp;L'!AJ217</f>
        <v>0</v>
      </c>
      <c r="AJ759" s="129">
        <f>'Consolidated - P&amp;L'!AK217</f>
        <v>0</v>
      </c>
      <c r="AK759" s="129">
        <f>'Consolidated - P&amp;L'!AL217</f>
        <v>0</v>
      </c>
      <c r="AL759" s="129">
        <f>'Consolidated - P&amp;L'!AM217</f>
        <v>0</v>
      </c>
      <c r="AM759" s="129">
        <f>'Consolidated - P&amp;L'!AN217</f>
        <v>0</v>
      </c>
      <c r="AN759" s="129">
        <f>'Consolidated - P&amp;L'!AO217</f>
        <v>0</v>
      </c>
      <c r="AO759" s="129">
        <f>'Consolidated - P&amp;L'!AP217</f>
        <v>0</v>
      </c>
      <c r="AP759" s="129">
        <f>'Consolidated - P&amp;L'!AQ217</f>
        <v>0</v>
      </c>
      <c r="AQ759" s="129">
        <f>'Consolidated - P&amp;L'!AR217</f>
        <v>0</v>
      </c>
      <c r="AR759" s="129">
        <f>'Consolidated - P&amp;L'!AS217</f>
        <v>0</v>
      </c>
      <c r="AS759" s="129">
        <f>'Consolidated - P&amp;L'!AT217</f>
        <v>0</v>
      </c>
      <c r="AT759" s="129">
        <f>'Consolidated - P&amp;L'!AU217</f>
        <v>0</v>
      </c>
      <c r="AU759" s="129">
        <f>'Consolidated - P&amp;L'!AV217</f>
        <v>0</v>
      </c>
      <c r="AV759" s="129">
        <f>'Consolidated - P&amp;L'!AW217</f>
        <v>0</v>
      </c>
      <c r="AW759" s="129">
        <f>'Consolidated - P&amp;L'!AX217</f>
        <v>0</v>
      </c>
      <c r="AX759" s="129">
        <f>'Consolidated - P&amp;L'!AY217</f>
        <v>0</v>
      </c>
      <c r="AY759" s="129">
        <f>'Consolidated - P&amp;L'!AZ217</f>
        <v>0</v>
      </c>
      <c r="AZ759" s="129">
        <f>'Consolidated - P&amp;L'!BA217</f>
        <v>0</v>
      </c>
      <c r="BA759" s="129">
        <f>'Consolidated - P&amp;L'!BB217</f>
        <v>0</v>
      </c>
      <c r="BB759" s="129">
        <f>'Consolidated - P&amp;L'!BC217</f>
        <v>0</v>
      </c>
      <c r="BC759" s="129">
        <f>'Consolidated - P&amp;L'!BD217</f>
        <v>0</v>
      </c>
      <c r="BD759" s="129">
        <f>'Consolidated - P&amp;L'!BE217</f>
        <v>0</v>
      </c>
      <c r="BE759" s="129">
        <f>'Consolidated - P&amp;L'!BF217</f>
        <v>0</v>
      </c>
      <c r="BF759" s="129">
        <f>'Consolidated - P&amp;L'!BG217</f>
        <v>1040000</v>
      </c>
      <c r="BG759" s="129">
        <f>'Consolidated - P&amp;L'!BH217</f>
        <v>1620000</v>
      </c>
      <c r="BH759" s="129">
        <f>'Consolidated - P&amp;L'!BI217</f>
        <v>1620000</v>
      </c>
      <c r="BI759" s="129">
        <f>'Consolidated - P&amp;L'!BJ217</f>
        <v>3490117</v>
      </c>
      <c r="BJ759" s="129">
        <f>'Consolidated - P&amp;L'!BK217</f>
        <v>1620000</v>
      </c>
      <c r="BK759" s="129">
        <f>'Consolidated - P&amp;L'!BL217</f>
        <v>1620000</v>
      </c>
      <c r="BL759" s="129">
        <f>'Consolidated - P&amp;L'!BM217</f>
        <v>2512947</v>
      </c>
      <c r="BM759" s="129">
        <f>'Consolidated - P&amp;L'!BN217</f>
        <v>0</v>
      </c>
      <c r="BN759" s="129">
        <f>'Consolidated - P&amp;L'!BO217</f>
        <v>0</v>
      </c>
      <c r="BO759" s="129">
        <f>'Consolidated - P&amp;L'!BP217</f>
        <v>0</v>
      </c>
      <c r="BP759" s="129">
        <f>'Consolidated - P&amp;L'!BQ217</f>
        <v>0</v>
      </c>
      <c r="BQ759" s="129">
        <f>'Consolidated - P&amp;L'!BR217</f>
        <v>0</v>
      </c>
      <c r="BR759" s="129">
        <f>'Consolidated - P&amp;L'!BS217</f>
        <v>0</v>
      </c>
      <c r="BS759" s="129">
        <f>'Consolidated - P&amp;L'!BT217</f>
        <v>0</v>
      </c>
      <c r="BT759" s="129">
        <f>'Consolidated - P&amp;L'!BU217</f>
        <v>0</v>
      </c>
      <c r="BU759" s="129">
        <f>'Consolidated - P&amp;L'!BV217</f>
        <v>0</v>
      </c>
      <c r="BV759" s="129">
        <f>'Consolidated - P&amp;L'!BW217</f>
        <v>0</v>
      </c>
      <c r="BW759" s="129">
        <f>'Consolidated - P&amp;L'!BX217</f>
        <v>0</v>
      </c>
      <c r="BX759" s="129">
        <f>'Consolidated - P&amp;L'!BY217</f>
        <v>0</v>
      </c>
      <c r="BY759" s="129">
        <f>'Consolidated - P&amp;L'!BZ217</f>
        <v>0</v>
      </c>
      <c r="BZ759" s="129">
        <f>'Consolidated - P&amp;L'!CA217</f>
        <v>0</v>
      </c>
      <c r="CA759" s="129">
        <f>'Consolidated - P&amp;L'!CB217</f>
        <v>646593</v>
      </c>
      <c r="CB759" s="129">
        <f>'Consolidated - P&amp;L'!CC217</f>
        <v>169126</v>
      </c>
      <c r="CC759" s="129">
        <f>'Consolidated - P&amp;L'!CD217</f>
        <v>489810</v>
      </c>
      <c r="CD759" s="129">
        <f>'Consolidated - P&amp;L'!CE217</f>
        <v>188425</v>
      </c>
      <c r="CE759" s="129">
        <f>'Consolidated - P&amp;L'!CF217</f>
        <v>353378</v>
      </c>
      <c r="CF759" s="129">
        <f>'Consolidated - P&amp;L'!CG217</f>
        <v>100000</v>
      </c>
      <c r="CG759" s="129">
        <f>'Consolidated - P&amp;L'!CH217</f>
        <v>100000</v>
      </c>
      <c r="CH759" s="129">
        <f>'Consolidated - P&amp;L'!CI217</f>
        <v>0</v>
      </c>
      <c r="CI759" s="129">
        <f>'Consolidated - P&amp;L'!CJ217</f>
        <v>0</v>
      </c>
      <c r="CJ759" s="129">
        <f>'Consolidated - P&amp;L'!CK217</f>
        <v>0</v>
      </c>
      <c r="CK759" s="129">
        <f>'Consolidated - P&amp;L'!CL217</f>
        <v>0</v>
      </c>
      <c r="CL759" s="129">
        <f>'Consolidated - P&amp;L'!CM217</f>
        <v>0</v>
      </c>
      <c r="CM759" s="129">
        <f>'Consolidated - P&amp;L'!CN217</f>
        <v>0</v>
      </c>
      <c r="CN759" s="129">
        <f>'Consolidated - P&amp;L'!CO217</f>
        <v>0</v>
      </c>
      <c r="CO759" s="129">
        <f>'Consolidated - P&amp;L'!CP217</f>
        <v>0</v>
      </c>
      <c r="CP759" s="129">
        <f>'Consolidated - P&amp;L'!CQ217</f>
        <v>0</v>
      </c>
      <c r="CQ759" s="129">
        <f>'Consolidated - P&amp;L'!CR217</f>
        <v>0</v>
      </c>
      <c r="CR759" s="129">
        <f>'Consolidated - P&amp;L'!CS217</f>
        <v>0</v>
      </c>
      <c r="CS759" s="129">
        <f>'Consolidated - P&amp;L'!CT217</f>
        <v>0</v>
      </c>
      <c r="CT759" s="129">
        <f>'Consolidated - P&amp;L'!CU217</f>
        <v>0</v>
      </c>
      <c r="CU759" s="129">
        <f>'Consolidated - P&amp;L'!CV217</f>
        <v>0</v>
      </c>
      <c r="CV759" s="129">
        <f>'Consolidated - P&amp;L'!CW217</f>
        <v>0</v>
      </c>
      <c r="CW759" s="129">
        <f>'Consolidated - P&amp;L'!CX217</f>
        <v>0</v>
      </c>
      <c r="CX759" s="129">
        <f>'Consolidated - P&amp;L'!CY217</f>
        <v>0</v>
      </c>
      <c r="CY759" s="129">
        <f>'Consolidated - P&amp;L'!CZ217</f>
        <v>0</v>
      </c>
      <c r="CZ759" s="129">
        <f>'Consolidated - P&amp;L'!DA217</f>
        <v>0</v>
      </c>
      <c r="DA759" s="129">
        <f>'Consolidated - P&amp;L'!DB217</f>
        <v>0</v>
      </c>
      <c r="DB759" s="129">
        <f>'Consolidated - P&amp;L'!DC217</f>
        <v>0</v>
      </c>
      <c r="DC759" s="129">
        <f>'Consolidated - P&amp;L'!DD217</f>
        <v>0</v>
      </c>
      <c r="DD759" s="129">
        <f>'Consolidated - P&amp;L'!DE217</f>
        <v>0</v>
      </c>
      <c r="DE759" s="129">
        <f>'Consolidated - P&amp;L'!DF217</f>
        <v>0</v>
      </c>
      <c r="DF759" s="129">
        <f>'Consolidated - P&amp;L'!DG217</f>
        <v>0</v>
      </c>
      <c r="DG759" s="129">
        <f>'Consolidated - P&amp;L'!DH217</f>
        <v>0</v>
      </c>
      <c r="DH759" s="129">
        <f>'Consolidated - P&amp;L'!DI217</f>
        <v>0</v>
      </c>
      <c r="DI759" s="129">
        <f>'Consolidated - P&amp;L'!DJ217</f>
        <v>0</v>
      </c>
      <c r="DJ759" s="129">
        <f>'Consolidated - P&amp;L'!DK217</f>
        <v>0</v>
      </c>
      <c r="DK759" s="129">
        <f>'Consolidated - P&amp;L'!DL217</f>
        <v>0</v>
      </c>
      <c r="DL759" s="129">
        <f>'Consolidated - P&amp;L'!DM217</f>
        <v>0</v>
      </c>
      <c r="DM759" s="129">
        <f>'Consolidated - P&amp;L'!DN217</f>
        <v>0</v>
      </c>
      <c r="DN759" s="129">
        <f>'Consolidated - P&amp;L'!DO217</f>
        <v>0</v>
      </c>
      <c r="DO759" s="129">
        <f>'Consolidated - P&amp;L'!DP217</f>
        <v>0</v>
      </c>
      <c r="DP759" s="129">
        <f>'Consolidated - P&amp;L'!DQ217</f>
        <v>0</v>
      </c>
      <c r="DQ759" s="129">
        <f>'Consolidated - P&amp;L'!DR217</f>
        <v>0</v>
      </c>
      <c r="DR759" s="115"/>
      <c r="DS759" s="115"/>
      <c r="DT759" s="115"/>
      <c r="DU759" s="115"/>
      <c r="DV759" s="115"/>
      <c r="DW759" s="115"/>
      <c r="DX759" s="115"/>
      <c r="DY759" s="115"/>
      <c r="DZ759" s="115"/>
      <c r="EA759" s="115"/>
      <c r="EB759" s="115"/>
      <c r="EC759" s="645"/>
      <c r="ED759" s="113" t="s">
        <v>1</v>
      </c>
    </row>
    <row r="760" spans="1:134" hidden="1" x14ac:dyDescent="0.2">
      <c r="A760" s="756" t="s">
        <v>335</v>
      </c>
      <c r="B760" s="129">
        <f>'Consolidated - P&amp;L'!C218</f>
        <v>0</v>
      </c>
      <c r="C760" s="129">
        <f>'Consolidated - P&amp;L'!D218</f>
        <v>0</v>
      </c>
      <c r="D760" s="129">
        <f>'Consolidated - P&amp;L'!E218</f>
        <v>0</v>
      </c>
      <c r="E760" s="129">
        <f>'Consolidated - P&amp;L'!F218</f>
        <v>0</v>
      </c>
      <c r="F760" s="129">
        <f>'Consolidated - P&amp;L'!G218</f>
        <v>0</v>
      </c>
      <c r="G760" s="129">
        <f>'Consolidated - P&amp;L'!H218</f>
        <v>0</v>
      </c>
      <c r="H760" s="129">
        <f>'Consolidated - P&amp;L'!I218</f>
        <v>0</v>
      </c>
      <c r="I760" s="129">
        <f>'Consolidated - P&amp;L'!J218</f>
        <v>0</v>
      </c>
      <c r="J760" s="129">
        <f>'Consolidated - P&amp;L'!K218</f>
        <v>0</v>
      </c>
      <c r="K760" s="129">
        <f>'Consolidated - P&amp;L'!L218</f>
        <v>0</v>
      </c>
      <c r="L760" s="129">
        <f>'Consolidated - P&amp;L'!M218</f>
        <v>0</v>
      </c>
      <c r="M760" s="129">
        <f>'Consolidated - P&amp;L'!N218</f>
        <v>0</v>
      </c>
      <c r="N760" s="129">
        <f>'Consolidated - P&amp;L'!O218</f>
        <v>0</v>
      </c>
      <c r="O760" s="129">
        <f>'Consolidated - P&amp;L'!P218</f>
        <v>0</v>
      </c>
      <c r="P760" s="129">
        <f>'Consolidated - P&amp;L'!Q218</f>
        <v>0</v>
      </c>
      <c r="Q760" s="129">
        <f>'Consolidated - P&amp;L'!R218</f>
        <v>0</v>
      </c>
      <c r="R760" s="129">
        <f>'Consolidated - P&amp;L'!S218</f>
        <v>0</v>
      </c>
      <c r="S760" s="129">
        <f>'Consolidated - P&amp;L'!T218</f>
        <v>0</v>
      </c>
      <c r="T760" s="129">
        <f>'Consolidated - P&amp;L'!U218</f>
        <v>0</v>
      </c>
      <c r="U760" s="129">
        <f>'Consolidated - P&amp;L'!V218</f>
        <v>0</v>
      </c>
      <c r="V760" s="129">
        <f>'Consolidated - P&amp;L'!W218</f>
        <v>0</v>
      </c>
      <c r="W760" s="129">
        <f>'Consolidated - P&amp;L'!X218</f>
        <v>0</v>
      </c>
      <c r="X760" s="129">
        <f>'Consolidated - P&amp;L'!Y218</f>
        <v>0</v>
      </c>
      <c r="Y760" s="129">
        <f>'Consolidated - P&amp;L'!Z218</f>
        <v>0</v>
      </c>
      <c r="Z760" s="129">
        <f>'Consolidated - P&amp;L'!AA218</f>
        <v>0</v>
      </c>
      <c r="AA760" s="129">
        <f>'Consolidated - P&amp;L'!AB218</f>
        <v>0</v>
      </c>
      <c r="AB760" s="129">
        <f>'Consolidated - P&amp;L'!AC218</f>
        <v>0</v>
      </c>
      <c r="AC760" s="129">
        <f>'Consolidated - P&amp;L'!AD218</f>
        <v>0</v>
      </c>
      <c r="AD760" s="129">
        <f>'Consolidated - P&amp;L'!AE218</f>
        <v>0</v>
      </c>
      <c r="AE760" s="129">
        <f>'Consolidated - P&amp;L'!AF218</f>
        <v>0</v>
      </c>
      <c r="AF760" s="129">
        <f>'Consolidated - P&amp;L'!AG218</f>
        <v>0</v>
      </c>
      <c r="AG760" s="129">
        <f>'Consolidated - P&amp;L'!AH218</f>
        <v>0</v>
      </c>
      <c r="AH760" s="129">
        <f>'Consolidated - P&amp;L'!AI218</f>
        <v>0</v>
      </c>
      <c r="AI760" s="129">
        <f>'Consolidated - P&amp;L'!AJ218</f>
        <v>0</v>
      </c>
      <c r="AJ760" s="129">
        <f>'Consolidated - P&amp;L'!AK218</f>
        <v>0</v>
      </c>
      <c r="AK760" s="129">
        <f>'Consolidated - P&amp;L'!AL218</f>
        <v>0</v>
      </c>
      <c r="AL760" s="129">
        <f>'Consolidated - P&amp;L'!AM218</f>
        <v>0</v>
      </c>
      <c r="AM760" s="129">
        <f>'Consolidated - P&amp;L'!AN218</f>
        <v>0</v>
      </c>
      <c r="AN760" s="129">
        <f>'Consolidated - P&amp;L'!AO218</f>
        <v>0</v>
      </c>
      <c r="AO760" s="129">
        <f>'Consolidated - P&amp;L'!AP218</f>
        <v>0</v>
      </c>
      <c r="AP760" s="129">
        <f>'Consolidated - P&amp;L'!AQ218</f>
        <v>0</v>
      </c>
      <c r="AQ760" s="129">
        <f>'Consolidated - P&amp;L'!AR218</f>
        <v>0</v>
      </c>
      <c r="AR760" s="129">
        <f>'Consolidated - P&amp;L'!AS218</f>
        <v>0</v>
      </c>
      <c r="AS760" s="129">
        <f>'Consolidated - P&amp;L'!AT218</f>
        <v>0</v>
      </c>
      <c r="AT760" s="129">
        <f>'Consolidated - P&amp;L'!AU218</f>
        <v>0</v>
      </c>
      <c r="AU760" s="129">
        <f>'Consolidated - P&amp;L'!AV218</f>
        <v>0</v>
      </c>
      <c r="AV760" s="129">
        <f>'Consolidated - P&amp;L'!AW218</f>
        <v>0</v>
      </c>
      <c r="AW760" s="129">
        <f>'Consolidated - P&amp;L'!AX218</f>
        <v>0</v>
      </c>
      <c r="AX760" s="129">
        <f>'Consolidated - P&amp;L'!AY218</f>
        <v>0</v>
      </c>
      <c r="AY760" s="129">
        <f>'Consolidated - P&amp;L'!AZ218</f>
        <v>0</v>
      </c>
      <c r="AZ760" s="129">
        <f>'Consolidated - P&amp;L'!BA218</f>
        <v>0</v>
      </c>
      <c r="BA760" s="129">
        <f>'Consolidated - P&amp;L'!BB218</f>
        <v>0</v>
      </c>
      <c r="BB760" s="129">
        <f>'Consolidated - P&amp;L'!BC218</f>
        <v>0</v>
      </c>
      <c r="BC760" s="129">
        <f>'Consolidated - P&amp;L'!BD218</f>
        <v>0</v>
      </c>
      <c r="BD760" s="129">
        <f>'Consolidated - P&amp;L'!BE218</f>
        <v>0</v>
      </c>
      <c r="BE760" s="129">
        <f>'Consolidated - P&amp;L'!BF218</f>
        <v>0</v>
      </c>
      <c r="BF760" s="129">
        <f>'Consolidated - P&amp;L'!BG218</f>
        <v>0</v>
      </c>
      <c r="BG760" s="129">
        <f>'Consolidated - P&amp;L'!BH218</f>
        <v>0</v>
      </c>
      <c r="BH760" s="129">
        <f>'Consolidated - P&amp;L'!BI218</f>
        <v>0</v>
      </c>
      <c r="BI760" s="129">
        <f>'Consolidated - P&amp;L'!BJ218</f>
        <v>0</v>
      </c>
      <c r="BJ760" s="129">
        <f>'Consolidated - P&amp;L'!BK218</f>
        <v>2000000</v>
      </c>
      <c r="BK760" s="129">
        <f>'Consolidated - P&amp;L'!BL218</f>
        <v>1500000</v>
      </c>
      <c r="BL760" s="129">
        <f>'Consolidated - P&amp;L'!BM218</f>
        <v>500000</v>
      </c>
      <c r="BM760" s="129">
        <f>'Consolidated - P&amp;L'!BN218</f>
        <v>500000</v>
      </c>
      <c r="BN760" s="129">
        <f>'Consolidated - P&amp;L'!BO218</f>
        <v>0</v>
      </c>
      <c r="BO760" s="129">
        <f>'Consolidated - P&amp;L'!BP218</f>
        <v>0</v>
      </c>
      <c r="BP760" s="129">
        <f>'Consolidated - P&amp;L'!BQ218</f>
        <v>0</v>
      </c>
      <c r="BQ760" s="129">
        <f>'Consolidated - P&amp;L'!BR218</f>
        <v>0</v>
      </c>
      <c r="BR760" s="129">
        <f>'Consolidated - P&amp;L'!BS218</f>
        <v>0</v>
      </c>
      <c r="BS760" s="129">
        <f>'Consolidated - P&amp;L'!BT218</f>
        <v>0</v>
      </c>
      <c r="BT760" s="129">
        <f>'Consolidated - P&amp;L'!BU218</f>
        <v>0</v>
      </c>
      <c r="BU760" s="129">
        <f>'Consolidated - P&amp;L'!BV218</f>
        <v>0</v>
      </c>
      <c r="BV760" s="129">
        <f>'Consolidated - P&amp;L'!BW218</f>
        <v>1500000</v>
      </c>
      <c r="BW760" s="129">
        <f>'Consolidated - P&amp;L'!BX218</f>
        <v>1500000</v>
      </c>
      <c r="BX760" s="129">
        <f>'Consolidated - P&amp;L'!BY218</f>
        <v>1500000</v>
      </c>
      <c r="BY760" s="129">
        <f>'Consolidated - P&amp;L'!BZ218</f>
        <v>500000</v>
      </c>
      <c r="BZ760" s="129">
        <f>'Consolidated - P&amp;L'!CA218</f>
        <v>500000</v>
      </c>
      <c r="CA760" s="129">
        <f>'Consolidated - P&amp;L'!CB218</f>
        <v>0</v>
      </c>
      <c r="CB760" s="129">
        <f>'Consolidated - P&amp;L'!CC218</f>
        <v>2000000</v>
      </c>
      <c r="CC760" s="129">
        <f>'Consolidated - P&amp;L'!CD218</f>
        <v>500000</v>
      </c>
      <c r="CD760" s="129">
        <f>'Consolidated - P&amp;L'!CE218</f>
        <v>500000</v>
      </c>
      <c r="CE760" s="129">
        <f>'Consolidated - P&amp;L'!CF218</f>
        <v>1000000</v>
      </c>
      <c r="CF760" s="129">
        <f>'Consolidated - P&amp;L'!CG218</f>
        <v>1000000</v>
      </c>
      <c r="CG760" s="129">
        <f>'Consolidated - P&amp;L'!CH218</f>
        <v>2000000</v>
      </c>
      <c r="CH760" s="129">
        <f>'Consolidated - P&amp;L'!CI218</f>
        <v>0</v>
      </c>
      <c r="CI760" s="129">
        <f>'Consolidated - P&amp;L'!CJ218</f>
        <v>1000000</v>
      </c>
      <c r="CJ760" s="129">
        <f>'Consolidated - P&amp;L'!CK218</f>
        <v>1000000</v>
      </c>
      <c r="CK760" s="129">
        <f>'Consolidated - P&amp;L'!CL218</f>
        <v>1000000</v>
      </c>
      <c r="CL760" s="129">
        <f>'Consolidated - P&amp;L'!CM218</f>
        <v>1000000</v>
      </c>
      <c r="CM760" s="129">
        <f>'Consolidated - P&amp;L'!CN218</f>
        <v>1000000</v>
      </c>
      <c r="CN760" s="129">
        <f>'Consolidated - P&amp;L'!CO218</f>
        <v>1000000</v>
      </c>
      <c r="CO760" s="129">
        <f>'Consolidated - P&amp;L'!CP218</f>
        <v>1000000</v>
      </c>
      <c r="CP760" s="129">
        <f>'Consolidated - P&amp;L'!CQ218</f>
        <v>1000000</v>
      </c>
      <c r="CQ760" s="129">
        <f>'Consolidated - P&amp;L'!CR218</f>
        <v>1000000</v>
      </c>
      <c r="CR760" s="129">
        <f>'Consolidated - P&amp;L'!CS218</f>
        <v>1000000</v>
      </c>
      <c r="CS760" s="129">
        <f>'Consolidated - P&amp;L'!CT218</f>
        <v>1000000</v>
      </c>
      <c r="CT760" s="129">
        <f>'Consolidated - P&amp;L'!CU218</f>
        <v>0</v>
      </c>
      <c r="CU760" s="129">
        <f>'Consolidated - P&amp;L'!CV218</f>
        <v>0</v>
      </c>
      <c r="CV760" s="129">
        <f>'Consolidated - P&amp;L'!CW218</f>
        <v>0</v>
      </c>
      <c r="CW760" s="129">
        <f>'Consolidated - P&amp;L'!CX218</f>
        <v>0</v>
      </c>
      <c r="CX760" s="129">
        <f>'Consolidated - P&amp;L'!CY218</f>
        <v>0</v>
      </c>
      <c r="CY760" s="129">
        <f>'Consolidated - P&amp;L'!CZ218</f>
        <v>0</v>
      </c>
      <c r="CZ760" s="129">
        <f>'Consolidated - P&amp;L'!DA218</f>
        <v>0</v>
      </c>
      <c r="DA760" s="129">
        <f>'Consolidated - P&amp;L'!DB218</f>
        <v>0</v>
      </c>
      <c r="DB760" s="129">
        <f>'Consolidated - P&amp;L'!DC218</f>
        <v>0</v>
      </c>
      <c r="DC760" s="129">
        <f>'Consolidated - P&amp;L'!DD218</f>
        <v>0</v>
      </c>
      <c r="DD760" s="129">
        <f>'Consolidated - P&amp;L'!DE218</f>
        <v>0</v>
      </c>
      <c r="DE760" s="129">
        <f>'Consolidated - P&amp;L'!DF218</f>
        <v>0</v>
      </c>
      <c r="DF760" s="129">
        <f>'Consolidated - P&amp;L'!DG218</f>
        <v>0</v>
      </c>
      <c r="DG760" s="129">
        <f>'Consolidated - P&amp;L'!DH218</f>
        <v>0</v>
      </c>
      <c r="DH760" s="129">
        <f>'Consolidated - P&amp;L'!DI218</f>
        <v>0</v>
      </c>
      <c r="DI760" s="129">
        <f>'Consolidated - P&amp;L'!DJ218</f>
        <v>0</v>
      </c>
      <c r="DJ760" s="129">
        <f>'Consolidated - P&amp;L'!DK218</f>
        <v>0</v>
      </c>
      <c r="DK760" s="129">
        <f>'Consolidated - P&amp;L'!DL218</f>
        <v>0</v>
      </c>
      <c r="DL760" s="129">
        <f>'Consolidated - P&amp;L'!DM218</f>
        <v>0</v>
      </c>
      <c r="DM760" s="129">
        <f>'Consolidated - P&amp;L'!DN218</f>
        <v>0</v>
      </c>
      <c r="DN760" s="129">
        <f>'Consolidated - P&amp;L'!DO218</f>
        <v>0</v>
      </c>
      <c r="DO760" s="129">
        <f>'Consolidated - P&amp;L'!DP218</f>
        <v>0</v>
      </c>
      <c r="DP760" s="129">
        <f>'Consolidated - P&amp;L'!DQ218</f>
        <v>0</v>
      </c>
      <c r="DQ760" s="129">
        <f>'Consolidated - P&amp;L'!DR218</f>
        <v>0</v>
      </c>
      <c r="DR760" s="115"/>
      <c r="DS760" s="115"/>
      <c r="DT760" s="115"/>
      <c r="DU760" s="115"/>
      <c r="DV760" s="115"/>
      <c r="DW760" s="115"/>
      <c r="DX760" s="115"/>
      <c r="DY760" s="115"/>
      <c r="DZ760" s="115"/>
      <c r="EA760" s="115"/>
      <c r="EB760" s="115"/>
      <c r="EC760" s="645"/>
      <c r="ED760" s="113" t="s">
        <v>1</v>
      </c>
    </row>
    <row r="761" spans="1:134" hidden="1" x14ac:dyDescent="0.2">
      <c r="A761" s="756" t="s">
        <v>336</v>
      </c>
      <c r="B761" s="129">
        <f>'Consolidated - P&amp;L'!C219</f>
        <v>0</v>
      </c>
      <c r="C761" s="129">
        <f>'Consolidated - P&amp;L'!D219</f>
        <v>0</v>
      </c>
      <c r="D761" s="129">
        <f>'Consolidated - P&amp;L'!E219</f>
        <v>0</v>
      </c>
      <c r="E761" s="129">
        <f>'Consolidated - P&amp;L'!F219</f>
        <v>0</v>
      </c>
      <c r="F761" s="129">
        <f>'Consolidated - P&amp;L'!G219</f>
        <v>0</v>
      </c>
      <c r="G761" s="129">
        <f>'Consolidated - P&amp;L'!H219</f>
        <v>0</v>
      </c>
      <c r="H761" s="129">
        <f>'Consolidated - P&amp;L'!I219</f>
        <v>0</v>
      </c>
      <c r="I761" s="129">
        <f>'Consolidated - P&amp;L'!J219</f>
        <v>0</v>
      </c>
      <c r="J761" s="129">
        <f>'Consolidated - P&amp;L'!K219</f>
        <v>0</v>
      </c>
      <c r="K761" s="129">
        <f>'Consolidated - P&amp;L'!L219</f>
        <v>0</v>
      </c>
      <c r="L761" s="129">
        <f>'Consolidated - P&amp;L'!M219</f>
        <v>0</v>
      </c>
      <c r="M761" s="129">
        <f>'Consolidated - P&amp;L'!N219</f>
        <v>0</v>
      </c>
      <c r="N761" s="129">
        <f>'Consolidated - P&amp;L'!O219</f>
        <v>0</v>
      </c>
      <c r="O761" s="129">
        <f>'Consolidated - P&amp;L'!P219</f>
        <v>0</v>
      </c>
      <c r="P761" s="129">
        <f>'Consolidated - P&amp;L'!Q219</f>
        <v>0</v>
      </c>
      <c r="Q761" s="129">
        <f>'Consolidated - P&amp;L'!R219</f>
        <v>0</v>
      </c>
      <c r="R761" s="129">
        <f>'Consolidated - P&amp;L'!S219</f>
        <v>0</v>
      </c>
      <c r="S761" s="129">
        <f>'Consolidated - P&amp;L'!T219</f>
        <v>0</v>
      </c>
      <c r="T761" s="129">
        <f>'Consolidated - P&amp;L'!U219</f>
        <v>0</v>
      </c>
      <c r="U761" s="129">
        <f>'Consolidated - P&amp;L'!V219</f>
        <v>0</v>
      </c>
      <c r="V761" s="129">
        <f>'Consolidated - P&amp;L'!W219</f>
        <v>0</v>
      </c>
      <c r="W761" s="129">
        <f>'Consolidated - P&amp;L'!X219</f>
        <v>0</v>
      </c>
      <c r="X761" s="129">
        <f>'Consolidated - P&amp;L'!Y219</f>
        <v>0</v>
      </c>
      <c r="Y761" s="129">
        <f>'Consolidated - P&amp;L'!Z219</f>
        <v>0</v>
      </c>
      <c r="Z761" s="129">
        <f>'Consolidated - P&amp;L'!AA219</f>
        <v>0</v>
      </c>
      <c r="AA761" s="129">
        <f>'Consolidated - P&amp;L'!AB219</f>
        <v>0</v>
      </c>
      <c r="AB761" s="129">
        <f>'Consolidated - P&amp;L'!AC219</f>
        <v>0</v>
      </c>
      <c r="AC761" s="129">
        <f>'Consolidated - P&amp;L'!AD219</f>
        <v>0</v>
      </c>
      <c r="AD761" s="129">
        <f>'Consolidated - P&amp;L'!AE219</f>
        <v>0</v>
      </c>
      <c r="AE761" s="129">
        <f>'Consolidated - P&amp;L'!AF219</f>
        <v>0</v>
      </c>
      <c r="AF761" s="129">
        <f>'Consolidated - P&amp;L'!AG219</f>
        <v>0</v>
      </c>
      <c r="AG761" s="129">
        <f>'Consolidated - P&amp;L'!AH219</f>
        <v>0</v>
      </c>
      <c r="AH761" s="129">
        <f>'Consolidated - P&amp;L'!AI219</f>
        <v>0</v>
      </c>
      <c r="AI761" s="129">
        <f>'Consolidated - P&amp;L'!AJ219</f>
        <v>0</v>
      </c>
      <c r="AJ761" s="129">
        <f>'Consolidated - P&amp;L'!AK219</f>
        <v>0</v>
      </c>
      <c r="AK761" s="129">
        <f>'Consolidated - P&amp;L'!AL219</f>
        <v>0</v>
      </c>
      <c r="AL761" s="129">
        <f>'Consolidated - P&amp;L'!AM219</f>
        <v>0</v>
      </c>
      <c r="AM761" s="129">
        <f>'Consolidated - P&amp;L'!AN219</f>
        <v>0</v>
      </c>
      <c r="AN761" s="129">
        <f>'Consolidated - P&amp;L'!AO219</f>
        <v>0</v>
      </c>
      <c r="AO761" s="129">
        <f>'Consolidated - P&amp;L'!AP219</f>
        <v>0</v>
      </c>
      <c r="AP761" s="129">
        <f>'Consolidated - P&amp;L'!AQ219</f>
        <v>0</v>
      </c>
      <c r="AQ761" s="129">
        <f>'Consolidated - P&amp;L'!AR219</f>
        <v>0</v>
      </c>
      <c r="AR761" s="129">
        <f>'Consolidated - P&amp;L'!AS219</f>
        <v>0</v>
      </c>
      <c r="AS761" s="129">
        <f>'Consolidated - P&amp;L'!AT219</f>
        <v>0</v>
      </c>
      <c r="AT761" s="129">
        <f>'Consolidated - P&amp;L'!AU219</f>
        <v>0</v>
      </c>
      <c r="AU761" s="129">
        <f>'Consolidated - P&amp;L'!AV219</f>
        <v>0</v>
      </c>
      <c r="AV761" s="129">
        <f>'Consolidated - P&amp;L'!AW219</f>
        <v>0</v>
      </c>
      <c r="AW761" s="129">
        <f>'Consolidated - P&amp;L'!AX219</f>
        <v>0</v>
      </c>
      <c r="AX761" s="129">
        <f>'Consolidated - P&amp;L'!AY219</f>
        <v>0</v>
      </c>
      <c r="AY761" s="129">
        <f>'Consolidated - P&amp;L'!AZ219</f>
        <v>0</v>
      </c>
      <c r="AZ761" s="129">
        <f>'Consolidated - P&amp;L'!BA219</f>
        <v>0</v>
      </c>
      <c r="BA761" s="129">
        <f>'Consolidated - P&amp;L'!BB219</f>
        <v>0</v>
      </c>
      <c r="BB761" s="129">
        <f>'Consolidated - P&amp;L'!BC219</f>
        <v>0</v>
      </c>
      <c r="BC761" s="129">
        <f>'Consolidated - P&amp;L'!BD219</f>
        <v>0</v>
      </c>
      <c r="BD761" s="129">
        <f>'Consolidated - P&amp;L'!BE219</f>
        <v>0</v>
      </c>
      <c r="BE761" s="129">
        <f>'Consolidated - P&amp;L'!BF219</f>
        <v>0</v>
      </c>
      <c r="BF761" s="129">
        <f>'Consolidated - P&amp;L'!BG219</f>
        <v>0</v>
      </c>
      <c r="BG761" s="129">
        <f>'Consolidated - P&amp;L'!BH219</f>
        <v>0</v>
      </c>
      <c r="BH761" s="129">
        <f>'Consolidated - P&amp;L'!BI219</f>
        <v>0</v>
      </c>
      <c r="BI761" s="129">
        <f>'Consolidated - P&amp;L'!BJ219</f>
        <v>0</v>
      </c>
      <c r="BJ761" s="129">
        <f>'Consolidated - P&amp;L'!BK219</f>
        <v>0</v>
      </c>
      <c r="BK761" s="129">
        <f>'Consolidated - P&amp;L'!BL219</f>
        <v>0</v>
      </c>
      <c r="BL761" s="129">
        <f>'Consolidated - P&amp;L'!BM219</f>
        <v>0</v>
      </c>
      <c r="BM761" s="129">
        <f>'Consolidated - P&amp;L'!BN219</f>
        <v>0</v>
      </c>
      <c r="BN761" s="129">
        <f>'Consolidated - P&amp;L'!BO219</f>
        <v>0</v>
      </c>
      <c r="BO761" s="129">
        <f>'Consolidated - P&amp;L'!BP219</f>
        <v>0</v>
      </c>
      <c r="BP761" s="129">
        <f>'Consolidated - P&amp;L'!BQ219</f>
        <v>0</v>
      </c>
      <c r="BQ761" s="129">
        <f>'Consolidated - P&amp;L'!BR219</f>
        <v>0</v>
      </c>
      <c r="BR761" s="129">
        <f>'Consolidated - P&amp;L'!BS219</f>
        <v>0</v>
      </c>
      <c r="BS761" s="129">
        <f>'Consolidated - P&amp;L'!BT219</f>
        <v>0</v>
      </c>
      <c r="BT761" s="129">
        <f>'Consolidated - P&amp;L'!BU219</f>
        <v>0</v>
      </c>
      <c r="BU761" s="129">
        <f>'Consolidated - P&amp;L'!BV219</f>
        <v>0</v>
      </c>
      <c r="BV761" s="129">
        <f>'Consolidated - P&amp;L'!BW219</f>
        <v>0</v>
      </c>
      <c r="BW761" s="129">
        <f>'Consolidated - P&amp;L'!BX219</f>
        <v>0</v>
      </c>
      <c r="BX761" s="129">
        <f>'Consolidated - P&amp;L'!BY219</f>
        <v>0</v>
      </c>
      <c r="BY761" s="129">
        <f>'Consolidated - P&amp;L'!BZ219</f>
        <v>0</v>
      </c>
      <c r="BZ761" s="129">
        <f>'Consolidated - P&amp;L'!CA219</f>
        <v>0</v>
      </c>
      <c r="CA761" s="129">
        <f>'Consolidated - P&amp;L'!CB219</f>
        <v>0</v>
      </c>
      <c r="CB761" s="129">
        <f>'Consolidated - P&amp;L'!CC219</f>
        <v>0</v>
      </c>
      <c r="CC761" s="129">
        <f>'Consolidated - P&amp;L'!CD219</f>
        <v>0</v>
      </c>
      <c r="CD761" s="129">
        <f>'Consolidated - P&amp;L'!CE219</f>
        <v>0</v>
      </c>
      <c r="CE761" s="129">
        <f>'Consolidated - P&amp;L'!CF219</f>
        <v>0</v>
      </c>
      <c r="CF761" s="129">
        <f>'Consolidated - P&amp;L'!CG219</f>
        <v>0</v>
      </c>
      <c r="CG761" s="129">
        <f>'Consolidated - P&amp;L'!CH219</f>
        <v>0</v>
      </c>
      <c r="CH761" s="129">
        <f>'Consolidated - P&amp;L'!CI219</f>
        <v>0</v>
      </c>
      <c r="CI761" s="129">
        <f>'Consolidated - P&amp;L'!CJ219</f>
        <v>0</v>
      </c>
      <c r="CJ761" s="129">
        <f>'Consolidated - P&amp;L'!CK219</f>
        <v>0</v>
      </c>
      <c r="CK761" s="129">
        <f>'Consolidated - P&amp;L'!CL219</f>
        <v>0</v>
      </c>
      <c r="CL761" s="129">
        <f>'Consolidated - P&amp;L'!CM219</f>
        <v>0</v>
      </c>
      <c r="CM761" s="129">
        <f>'Consolidated - P&amp;L'!CN219</f>
        <v>0</v>
      </c>
      <c r="CN761" s="129">
        <f>'Consolidated - P&amp;L'!CO219</f>
        <v>0</v>
      </c>
      <c r="CO761" s="129">
        <f>'Consolidated - P&amp;L'!CP219</f>
        <v>0</v>
      </c>
      <c r="CP761" s="129">
        <f>'Consolidated - P&amp;L'!CQ219</f>
        <v>0</v>
      </c>
      <c r="CQ761" s="129">
        <f>'Consolidated - P&amp;L'!CR219</f>
        <v>0</v>
      </c>
      <c r="CR761" s="129">
        <f>'Consolidated - P&amp;L'!CS219</f>
        <v>1750000</v>
      </c>
      <c r="CS761" s="129">
        <f>'Consolidated - P&amp;L'!CT219</f>
        <v>423000</v>
      </c>
      <c r="CT761" s="129">
        <f>'Consolidated - P&amp;L'!CU219</f>
        <v>0</v>
      </c>
      <c r="CU761" s="129">
        <f>'Consolidated - P&amp;L'!CV219</f>
        <v>0</v>
      </c>
      <c r="CV761" s="129">
        <f>'Consolidated - P&amp;L'!CW219</f>
        <v>0</v>
      </c>
      <c r="CW761" s="129">
        <f>'Consolidated - P&amp;L'!CX219</f>
        <v>0</v>
      </c>
      <c r="CX761" s="129">
        <f>'Consolidated - P&amp;L'!CY219</f>
        <v>0</v>
      </c>
      <c r="CY761" s="129">
        <f>'Consolidated - P&amp;L'!CZ219</f>
        <v>0</v>
      </c>
      <c r="CZ761" s="129">
        <f>'Consolidated - P&amp;L'!DA219</f>
        <v>0</v>
      </c>
      <c r="DA761" s="129">
        <f>'Consolidated - P&amp;L'!DB219</f>
        <v>0</v>
      </c>
      <c r="DB761" s="129">
        <f>'Consolidated - P&amp;L'!DC219</f>
        <v>0</v>
      </c>
      <c r="DC761" s="129">
        <f>'Consolidated - P&amp;L'!DD219</f>
        <v>0</v>
      </c>
      <c r="DD761" s="129">
        <f>'Consolidated - P&amp;L'!DE219</f>
        <v>0</v>
      </c>
      <c r="DE761" s="129">
        <f>'Consolidated - P&amp;L'!DF219</f>
        <v>0</v>
      </c>
      <c r="DF761" s="129">
        <f>'Consolidated - P&amp;L'!DG219</f>
        <v>0</v>
      </c>
      <c r="DG761" s="129">
        <f>'Consolidated - P&amp;L'!DH219</f>
        <v>0</v>
      </c>
      <c r="DH761" s="129">
        <f>'Consolidated - P&amp;L'!DI219</f>
        <v>0</v>
      </c>
      <c r="DI761" s="129">
        <f>'Consolidated - P&amp;L'!DJ219</f>
        <v>0</v>
      </c>
      <c r="DJ761" s="129">
        <f>'Consolidated - P&amp;L'!DK219</f>
        <v>0</v>
      </c>
      <c r="DK761" s="129">
        <f>'Consolidated - P&amp;L'!DL219</f>
        <v>0</v>
      </c>
      <c r="DL761" s="129">
        <f>'Consolidated - P&amp;L'!DM219</f>
        <v>0</v>
      </c>
      <c r="DM761" s="129">
        <f>'Consolidated - P&amp;L'!DN219</f>
        <v>0</v>
      </c>
      <c r="DN761" s="129">
        <f>'Consolidated - P&amp;L'!DO219</f>
        <v>0</v>
      </c>
      <c r="DO761" s="129">
        <f>'Consolidated - P&amp;L'!DP219</f>
        <v>0</v>
      </c>
      <c r="DP761" s="129">
        <f>'Consolidated - P&amp;L'!DQ219</f>
        <v>0</v>
      </c>
      <c r="DQ761" s="129">
        <f>'Consolidated - P&amp;L'!DR219</f>
        <v>0</v>
      </c>
      <c r="DR761" s="115"/>
      <c r="DS761" s="115"/>
      <c r="DT761" s="115"/>
      <c r="DU761" s="115"/>
      <c r="DV761" s="115"/>
      <c r="DW761" s="115"/>
      <c r="DX761" s="115"/>
      <c r="DY761" s="115"/>
      <c r="DZ761" s="115"/>
      <c r="EA761" s="115"/>
      <c r="EB761" s="115"/>
      <c r="EC761" s="645"/>
      <c r="ED761" s="113" t="s">
        <v>1</v>
      </c>
    </row>
    <row r="762" spans="1:134" hidden="1" x14ac:dyDescent="0.2">
      <c r="A762" s="755" t="s">
        <v>337</v>
      </c>
      <c r="B762" s="129">
        <f>'Consolidated - P&amp;L'!C220</f>
        <v>0</v>
      </c>
      <c r="C762" s="129">
        <f>'Consolidated - P&amp;L'!D220</f>
        <v>0</v>
      </c>
      <c r="D762" s="129">
        <f>'Consolidated - P&amp;L'!E220</f>
        <v>0</v>
      </c>
      <c r="E762" s="129">
        <f>'Consolidated - P&amp;L'!F220</f>
        <v>0</v>
      </c>
      <c r="F762" s="129">
        <f>'Consolidated - P&amp;L'!G220</f>
        <v>0</v>
      </c>
      <c r="G762" s="129">
        <f>'Consolidated - P&amp;L'!H220</f>
        <v>0</v>
      </c>
      <c r="H762" s="129">
        <f>'Consolidated - P&amp;L'!I220</f>
        <v>0</v>
      </c>
      <c r="I762" s="129">
        <f>'Consolidated - P&amp;L'!J220</f>
        <v>0</v>
      </c>
      <c r="J762" s="129">
        <f>'Consolidated - P&amp;L'!K220</f>
        <v>0</v>
      </c>
      <c r="K762" s="129">
        <f>'Consolidated - P&amp;L'!L220</f>
        <v>0</v>
      </c>
      <c r="L762" s="129">
        <f>'Consolidated - P&amp;L'!M220</f>
        <v>0</v>
      </c>
      <c r="M762" s="129">
        <f>'Consolidated - P&amp;L'!N220</f>
        <v>0</v>
      </c>
      <c r="N762" s="129">
        <f>'Consolidated - P&amp;L'!O220</f>
        <v>0</v>
      </c>
      <c r="O762" s="129">
        <f>'Consolidated - P&amp;L'!P220</f>
        <v>0</v>
      </c>
      <c r="P762" s="129">
        <f>'Consolidated - P&amp;L'!Q220</f>
        <v>0</v>
      </c>
      <c r="Q762" s="129">
        <f>'Consolidated - P&amp;L'!R220</f>
        <v>0</v>
      </c>
      <c r="R762" s="129">
        <f>'Consolidated - P&amp;L'!S220</f>
        <v>0</v>
      </c>
      <c r="S762" s="129">
        <f>'Consolidated - P&amp;L'!T220</f>
        <v>0</v>
      </c>
      <c r="T762" s="129">
        <f>'Consolidated - P&amp;L'!U220</f>
        <v>0</v>
      </c>
      <c r="U762" s="129">
        <f>'Consolidated - P&amp;L'!V220</f>
        <v>0</v>
      </c>
      <c r="V762" s="129">
        <f>'Consolidated - P&amp;L'!W220</f>
        <v>0</v>
      </c>
      <c r="W762" s="129">
        <f>'Consolidated - P&amp;L'!X220</f>
        <v>0</v>
      </c>
      <c r="X762" s="129">
        <f>'Consolidated - P&amp;L'!Y220</f>
        <v>0</v>
      </c>
      <c r="Y762" s="129">
        <f>'Consolidated - P&amp;L'!Z220</f>
        <v>0</v>
      </c>
      <c r="Z762" s="129">
        <f>'Consolidated - P&amp;L'!AA220</f>
        <v>0</v>
      </c>
      <c r="AA762" s="129">
        <f>'Consolidated - P&amp;L'!AB220</f>
        <v>0</v>
      </c>
      <c r="AB762" s="129">
        <f>'Consolidated - P&amp;L'!AC220</f>
        <v>0</v>
      </c>
      <c r="AC762" s="129">
        <f>'Consolidated - P&amp;L'!AD220</f>
        <v>0</v>
      </c>
      <c r="AD762" s="129">
        <f>'Consolidated - P&amp;L'!AE220</f>
        <v>0</v>
      </c>
      <c r="AE762" s="129">
        <f>'Consolidated - P&amp;L'!AF220</f>
        <v>0</v>
      </c>
      <c r="AF762" s="129">
        <f>'Consolidated - P&amp;L'!AG220</f>
        <v>0</v>
      </c>
      <c r="AG762" s="129">
        <f>'Consolidated - P&amp;L'!AH220</f>
        <v>0</v>
      </c>
      <c r="AH762" s="129">
        <f>'Consolidated - P&amp;L'!AI220</f>
        <v>0</v>
      </c>
      <c r="AI762" s="129">
        <f>'Consolidated - P&amp;L'!AJ220</f>
        <v>0</v>
      </c>
      <c r="AJ762" s="129">
        <f>'Consolidated - P&amp;L'!AK220</f>
        <v>0</v>
      </c>
      <c r="AK762" s="129">
        <f>'Consolidated - P&amp;L'!AL220</f>
        <v>0</v>
      </c>
      <c r="AL762" s="129">
        <f>'Consolidated - P&amp;L'!AM220</f>
        <v>0</v>
      </c>
      <c r="AM762" s="129">
        <f>'Consolidated - P&amp;L'!AN220</f>
        <v>0</v>
      </c>
      <c r="AN762" s="129">
        <f>'Consolidated - P&amp;L'!AO220</f>
        <v>0</v>
      </c>
      <c r="AO762" s="129">
        <f>'Consolidated - P&amp;L'!AP220</f>
        <v>0</v>
      </c>
      <c r="AP762" s="129">
        <f>'Consolidated - P&amp;L'!AQ220</f>
        <v>0</v>
      </c>
      <c r="AQ762" s="129">
        <f>'Consolidated - P&amp;L'!AR220</f>
        <v>0</v>
      </c>
      <c r="AR762" s="129">
        <f>'Consolidated - P&amp;L'!AS220</f>
        <v>0</v>
      </c>
      <c r="AS762" s="129">
        <f>'Consolidated - P&amp;L'!AT220</f>
        <v>0</v>
      </c>
      <c r="AT762" s="129">
        <f>'Consolidated - P&amp;L'!AU220</f>
        <v>0</v>
      </c>
      <c r="AU762" s="129">
        <f>'Consolidated - P&amp;L'!AV220</f>
        <v>0</v>
      </c>
      <c r="AV762" s="129">
        <f>'Consolidated - P&amp;L'!AW220</f>
        <v>0</v>
      </c>
      <c r="AW762" s="129">
        <f>'Consolidated - P&amp;L'!AX220</f>
        <v>2403348</v>
      </c>
      <c r="AX762" s="129">
        <f>'Consolidated - P&amp;L'!AY220</f>
        <v>0</v>
      </c>
      <c r="AY762" s="129">
        <f>'Consolidated - P&amp;L'!AZ220</f>
        <v>0</v>
      </c>
      <c r="AZ762" s="129">
        <f>'Consolidated - P&amp;L'!BA220</f>
        <v>0</v>
      </c>
      <c r="BA762" s="129">
        <f>'Consolidated - P&amp;L'!BB220</f>
        <v>0</v>
      </c>
      <c r="BB762" s="129">
        <f>'Consolidated - P&amp;L'!BC220</f>
        <v>0</v>
      </c>
      <c r="BC762" s="129">
        <f>'Consolidated - P&amp;L'!BD220</f>
        <v>0</v>
      </c>
      <c r="BD762" s="129">
        <f>'Consolidated - P&amp;L'!BE220</f>
        <v>0</v>
      </c>
      <c r="BE762" s="129">
        <f>'Consolidated - P&amp;L'!BF220</f>
        <v>0</v>
      </c>
      <c r="BF762" s="129">
        <f>'Consolidated - P&amp;L'!BG220</f>
        <v>0</v>
      </c>
      <c r="BG762" s="129">
        <f>'Consolidated - P&amp;L'!BH220</f>
        <v>0</v>
      </c>
      <c r="BH762" s="129">
        <f>'Consolidated - P&amp;L'!BI220</f>
        <v>0</v>
      </c>
      <c r="BI762" s="129">
        <f>'Consolidated - P&amp;L'!BJ220</f>
        <v>2328462</v>
      </c>
      <c r="BJ762" s="129">
        <f>'Consolidated - P&amp;L'!BK220</f>
        <v>10034152</v>
      </c>
      <c r="BK762" s="129">
        <f>'Consolidated - P&amp;L'!BL220</f>
        <v>8685186</v>
      </c>
      <c r="BL762" s="129">
        <f>'Consolidated - P&amp;L'!BM220</f>
        <v>4157902</v>
      </c>
      <c r="BM762" s="129">
        <f>'Consolidated - P&amp;L'!BN220</f>
        <v>4807817</v>
      </c>
      <c r="BN762" s="129">
        <f>'Consolidated - P&amp;L'!BO220</f>
        <v>0</v>
      </c>
      <c r="BO762" s="129">
        <f>'Consolidated - P&amp;L'!BP220</f>
        <v>0</v>
      </c>
      <c r="BP762" s="129">
        <f>'Consolidated - P&amp;L'!BQ220</f>
        <v>0</v>
      </c>
      <c r="BQ762" s="129">
        <f>'Consolidated - P&amp;L'!BR220</f>
        <v>0</v>
      </c>
      <c r="BR762" s="129">
        <f>'Consolidated - P&amp;L'!BS220</f>
        <v>742759</v>
      </c>
      <c r="BS762" s="129">
        <f>'Consolidated - P&amp;L'!BT220</f>
        <v>13165192</v>
      </c>
      <c r="BT762" s="129">
        <f>'Consolidated - P&amp;L'!BU220</f>
        <v>4451529</v>
      </c>
      <c r="BU762" s="129">
        <f>'Consolidated - P&amp;L'!BV220</f>
        <v>0</v>
      </c>
      <c r="BV762" s="129">
        <f>'Consolidated - P&amp;L'!BW220</f>
        <v>1500000</v>
      </c>
      <c r="BW762" s="129">
        <f>'Consolidated - P&amp;L'!BX220</f>
        <v>1500000</v>
      </c>
      <c r="BX762" s="129">
        <f>'Consolidated - P&amp;L'!BY220</f>
        <v>0</v>
      </c>
      <c r="BY762" s="129">
        <f>'Consolidated - P&amp;L'!BZ220</f>
        <v>0</v>
      </c>
      <c r="BZ762" s="129">
        <f>'Consolidated - P&amp;L'!CA220</f>
        <v>0</v>
      </c>
      <c r="CA762" s="129">
        <f>'Consolidated - P&amp;L'!CB220</f>
        <v>0</v>
      </c>
      <c r="CB762" s="129">
        <f>'Consolidated - P&amp;L'!CC220</f>
        <v>0</v>
      </c>
      <c r="CC762" s="129">
        <f>'Consolidated - P&amp;L'!CD220</f>
        <v>0</v>
      </c>
      <c r="CD762" s="129">
        <f>'Consolidated - P&amp;L'!CE220</f>
        <v>0</v>
      </c>
      <c r="CE762" s="129">
        <f>'Consolidated - P&amp;L'!CF220</f>
        <v>0</v>
      </c>
      <c r="CF762" s="129">
        <f>'Consolidated - P&amp;L'!CG220</f>
        <v>0</v>
      </c>
      <c r="CG762" s="129">
        <f>'Consolidated - P&amp;L'!CH220</f>
        <v>0</v>
      </c>
      <c r="CH762" s="129">
        <f>'Consolidated - P&amp;L'!CI220</f>
        <v>0</v>
      </c>
      <c r="CI762" s="129">
        <f>'Consolidated - P&amp;L'!CJ220</f>
        <v>4700000</v>
      </c>
      <c r="CJ762" s="129">
        <f>'Consolidated - P&amp;L'!CK220</f>
        <v>1300000</v>
      </c>
      <c r="CK762" s="129">
        <f>'Consolidated - P&amp;L'!CL220</f>
        <v>0</v>
      </c>
      <c r="CL762" s="129">
        <f>'Consolidated - P&amp;L'!CM220</f>
        <v>0</v>
      </c>
      <c r="CM762" s="129">
        <f>'Consolidated - P&amp;L'!CN220</f>
        <v>0</v>
      </c>
      <c r="CN762" s="129">
        <f>'Consolidated - P&amp;L'!CO220</f>
        <v>0</v>
      </c>
      <c r="CO762" s="129">
        <f>'Consolidated - P&amp;L'!CP220</f>
        <v>0</v>
      </c>
      <c r="CP762" s="129">
        <f>'Consolidated - P&amp;L'!CQ220</f>
        <v>0</v>
      </c>
      <c r="CQ762" s="129">
        <f>'Consolidated - P&amp;L'!CR220</f>
        <v>0</v>
      </c>
      <c r="CR762" s="129">
        <f>'Consolidated - P&amp;L'!CS220</f>
        <v>0</v>
      </c>
      <c r="CS762" s="129">
        <f>'Consolidated - P&amp;L'!CT220</f>
        <v>0</v>
      </c>
      <c r="CT762" s="129">
        <f>'Consolidated - P&amp;L'!CU220</f>
        <v>0</v>
      </c>
      <c r="CU762" s="129">
        <f>'Consolidated - P&amp;L'!CV220</f>
        <v>0</v>
      </c>
      <c r="CV762" s="129">
        <f>'Consolidated - P&amp;L'!CW220</f>
        <v>0</v>
      </c>
      <c r="CW762" s="129">
        <f>'Consolidated - P&amp;L'!CX220</f>
        <v>0</v>
      </c>
      <c r="CX762" s="129">
        <f>'Consolidated - P&amp;L'!CY220</f>
        <v>0</v>
      </c>
      <c r="CY762" s="129">
        <f>'Consolidated - P&amp;L'!CZ220</f>
        <v>0</v>
      </c>
      <c r="CZ762" s="129">
        <f>'Consolidated - P&amp;L'!DA220</f>
        <v>0</v>
      </c>
      <c r="DA762" s="129">
        <f>'Consolidated - P&amp;L'!DB220</f>
        <v>0</v>
      </c>
      <c r="DB762" s="129">
        <f>'Consolidated - P&amp;L'!DC220</f>
        <v>0</v>
      </c>
      <c r="DC762" s="129">
        <f>'Consolidated - P&amp;L'!DD220</f>
        <v>0</v>
      </c>
      <c r="DD762" s="129">
        <f>'Consolidated - P&amp;L'!DE220</f>
        <v>0</v>
      </c>
      <c r="DE762" s="129">
        <f>'Consolidated - P&amp;L'!DF220</f>
        <v>0</v>
      </c>
      <c r="DF762" s="129">
        <f>'Consolidated - P&amp;L'!DG220</f>
        <v>0</v>
      </c>
      <c r="DG762" s="129">
        <f>'Consolidated - P&amp;L'!DH220</f>
        <v>0</v>
      </c>
      <c r="DH762" s="129">
        <f>'Consolidated - P&amp;L'!DI220</f>
        <v>0</v>
      </c>
      <c r="DI762" s="129">
        <f>'Consolidated - P&amp;L'!DJ220</f>
        <v>0</v>
      </c>
      <c r="DJ762" s="129">
        <f>'Consolidated - P&amp;L'!DK220</f>
        <v>0</v>
      </c>
      <c r="DK762" s="129">
        <f>'Consolidated - P&amp;L'!DL220</f>
        <v>0</v>
      </c>
      <c r="DL762" s="129">
        <f>'Consolidated - P&amp;L'!DM220</f>
        <v>0</v>
      </c>
      <c r="DM762" s="129">
        <f>'Consolidated - P&amp;L'!DN220</f>
        <v>0</v>
      </c>
      <c r="DN762" s="129">
        <f>'Consolidated - P&amp;L'!DO220</f>
        <v>0</v>
      </c>
      <c r="DO762" s="129">
        <f>'Consolidated - P&amp;L'!DP220</f>
        <v>0</v>
      </c>
      <c r="DP762" s="129">
        <f>'Consolidated - P&amp;L'!DQ220</f>
        <v>0</v>
      </c>
      <c r="DQ762" s="129">
        <f>'Consolidated - P&amp;L'!DR220</f>
        <v>0</v>
      </c>
      <c r="DR762" s="115"/>
      <c r="DS762" s="115"/>
      <c r="DT762" s="115"/>
      <c r="DU762" s="115"/>
      <c r="DV762" s="115"/>
      <c r="DW762" s="115"/>
      <c r="DX762" s="115"/>
      <c r="DY762" s="115"/>
      <c r="DZ762" s="115"/>
      <c r="EA762" s="115"/>
      <c r="EB762" s="115"/>
      <c r="EC762" s="645"/>
      <c r="ED762" s="113" t="s">
        <v>1</v>
      </c>
    </row>
    <row r="763" spans="1:134" hidden="1" x14ac:dyDescent="0.2">
      <c r="A763" s="755" t="s">
        <v>338</v>
      </c>
      <c r="B763" s="129">
        <f>'Consolidated - P&amp;L'!C221</f>
        <v>0</v>
      </c>
      <c r="C763" s="129">
        <f>'Consolidated - P&amp;L'!D221</f>
        <v>0</v>
      </c>
      <c r="D763" s="129">
        <f>'Consolidated - P&amp;L'!E221</f>
        <v>0</v>
      </c>
      <c r="E763" s="129">
        <f>'Consolidated - P&amp;L'!F221</f>
        <v>0</v>
      </c>
      <c r="F763" s="129">
        <f>'Consolidated - P&amp;L'!G221</f>
        <v>0</v>
      </c>
      <c r="G763" s="129">
        <f>'Consolidated - P&amp;L'!H221</f>
        <v>0</v>
      </c>
      <c r="H763" s="129">
        <f>'Consolidated - P&amp;L'!I221</f>
        <v>0</v>
      </c>
      <c r="I763" s="129">
        <f>'Consolidated - P&amp;L'!J221</f>
        <v>0</v>
      </c>
      <c r="J763" s="129">
        <f>'Consolidated - P&amp;L'!K221</f>
        <v>0</v>
      </c>
      <c r="K763" s="129">
        <f>'Consolidated - P&amp;L'!L221</f>
        <v>0</v>
      </c>
      <c r="L763" s="129">
        <f>'Consolidated - P&amp;L'!M221</f>
        <v>0</v>
      </c>
      <c r="M763" s="129">
        <f>'Consolidated - P&amp;L'!N221</f>
        <v>0</v>
      </c>
      <c r="N763" s="129">
        <f>'Consolidated - P&amp;L'!O221</f>
        <v>0</v>
      </c>
      <c r="O763" s="129">
        <f>'Consolidated - P&amp;L'!P221</f>
        <v>0</v>
      </c>
      <c r="P763" s="129">
        <f>'Consolidated - P&amp;L'!Q221</f>
        <v>0</v>
      </c>
      <c r="Q763" s="129">
        <f>'Consolidated - P&amp;L'!R221</f>
        <v>0</v>
      </c>
      <c r="R763" s="129">
        <f>'Consolidated - P&amp;L'!S221</f>
        <v>0</v>
      </c>
      <c r="S763" s="129">
        <f>'Consolidated - P&amp;L'!T221</f>
        <v>0</v>
      </c>
      <c r="T763" s="129">
        <f>'Consolidated - P&amp;L'!U221</f>
        <v>0</v>
      </c>
      <c r="U763" s="129">
        <f>'Consolidated - P&amp;L'!V221</f>
        <v>0</v>
      </c>
      <c r="V763" s="129">
        <f>'Consolidated - P&amp;L'!W221</f>
        <v>0</v>
      </c>
      <c r="W763" s="129">
        <f>'Consolidated - P&amp;L'!X221</f>
        <v>0</v>
      </c>
      <c r="X763" s="129">
        <f>'Consolidated - P&amp;L'!Y221</f>
        <v>0</v>
      </c>
      <c r="Y763" s="129">
        <f>'Consolidated - P&amp;L'!Z221</f>
        <v>0</v>
      </c>
      <c r="Z763" s="129">
        <f>'Consolidated - P&amp;L'!AA221</f>
        <v>0</v>
      </c>
      <c r="AA763" s="129">
        <f>'Consolidated - P&amp;L'!AB221</f>
        <v>0</v>
      </c>
      <c r="AB763" s="129">
        <f>'Consolidated - P&amp;L'!AC221</f>
        <v>0</v>
      </c>
      <c r="AC763" s="129">
        <f>'Consolidated - P&amp;L'!AD221</f>
        <v>0</v>
      </c>
      <c r="AD763" s="129">
        <f>'Consolidated - P&amp;L'!AE221</f>
        <v>0</v>
      </c>
      <c r="AE763" s="129">
        <f>'Consolidated - P&amp;L'!AF221</f>
        <v>1425093</v>
      </c>
      <c r="AF763" s="129">
        <f>'Consolidated - P&amp;L'!AG221</f>
        <v>0</v>
      </c>
      <c r="AG763" s="129">
        <f>'Consolidated - P&amp;L'!AH221</f>
        <v>0</v>
      </c>
      <c r="AH763" s="129">
        <f>'Consolidated - P&amp;L'!AI221</f>
        <v>0</v>
      </c>
      <c r="AI763" s="129">
        <f>'Consolidated - P&amp;L'!AJ221</f>
        <v>1870000</v>
      </c>
      <c r="AJ763" s="129">
        <f>'Consolidated - P&amp;L'!AK221</f>
        <v>0</v>
      </c>
      <c r="AK763" s="129">
        <f>'Consolidated - P&amp;L'!AL221</f>
        <v>15000000</v>
      </c>
      <c r="AL763" s="129">
        <f>'Consolidated - P&amp;L'!AM221</f>
        <v>0</v>
      </c>
      <c r="AM763" s="129">
        <f>'Consolidated - P&amp;L'!AN221</f>
        <v>0</v>
      </c>
      <c r="AN763" s="129">
        <f>'Consolidated - P&amp;L'!AO221</f>
        <v>0</v>
      </c>
      <c r="AO763" s="129">
        <f>'Consolidated - P&amp;L'!AP221</f>
        <v>0</v>
      </c>
      <c r="AP763" s="129">
        <f>'Consolidated - P&amp;L'!AQ221</f>
        <v>0</v>
      </c>
      <c r="AQ763" s="129">
        <f>'Consolidated - P&amp;L'!AR221</f>
        <v>0</v>
      </c>
      <c r="AR763" s="129">
        <f>'Consolidated - P&amp;L'!AS221</f>
        <v>0</v>
      </c>
      <c r="AS763" s="129">
        <f>'Consolidated - P&amp;L'!AT221</f>
        <v>0</v>
      </c>
      <c r="AT763" s="129">
        <f>'Consolidated - P&amp;L'!AU221</f>
        <v>0</v>
      </c>
      <c r="AU763" s="129">
        <f>'Consolidated - P&amp;L'!AV221</f>
        <v>0</v>
      </c>
      <c r="AV763" s="129">
        <f>'Consolidated - P&amp;L'!AW221</f>
        <v>0</v>
      </c>
      <c r="AW763" s="129">
        <f>'Consolidated - P&amp;L'!AX221</f>
        <v>0</v>
      </c>
      <c r="AX763" s="129">
        <f>'Consolidated - P&amp;L'!AY221</f>
        <v>0</v>
      </c>
      <c r="AY763" s="129">
        <f>'Consolidated - P&amp;L'!AZ221</f>
        <v>0</v>
      </c>
      <c r="AZ763" s="129">
        <f>'Consolidated - P&amp;L'!BA221</f>
        <v>87611809</v>
      </c>
      <c r="BA763" s="129">
        <f>'Consolidated - P&amp;L'!BB221</f>
        <v>0</v>
      </c>
      <c r="BB763" s="129">
        <f>'Consolidated - P&amp;L'!BC221</f>
        <v>0</v>
      </c>
      <c r="BC763" s="129">
        <f>'Consolidated - P&amp;L'!BD221</f>
        <v>0</v>
      </c>
      <c r="BD763" s="129">
        <f>'Consolidated - P&amp;L'!BE221</f>
        <v>0</v>
      </c>
      <c r="BE763" s="129">
        <f>'Consolidated - P&amp;L'!BF221</f>
        <v>0</v>
      </c>
      <c r="BF763" s="129">
        <f>'Consolidated - P&amp;L'!BG221</f>
        <v>0</v>
      </c>
      <c r="BG763" s="129">
        <f>'Consolidated - P&amp;L'!BH221</f>
        <v>0</v>
      </c>
      <c r="BH763" s="129">
        <f>'Consolidated - P&amp;L'!BI221</f>
        <v>0</v>
      </c>
      <c r="BI763" s="129">
        <f>'Consolidated - P&amp;L'!BJ221</f>
        <v>0</v>
      </c>
      <c r="BJ763" s="129">
        <f>'Consolidated - P&amp;L'!BK221</f>
        <v>0</v>
      </c>
      <c r="BK763" s="129">
        <f>'Consolidated - P&amp;L'!BL221</f>
        <v>0</v>
      </c>
      <c r="BL763" s="129">
        <f>'Consolidated - P&amp;L'!BM221</f>
        <v>0</v>
      </c>
      <c r="BM763" s="129">
        <f>'Consolidated - P&amp;L'!BN221</f>
        <v>0</v>
      </c>
      <c r="BN763" s="129">
        <f>'Consolidated - P&amp;L'!BO221</f>
        <v>0</v>
      </c>
      <c r="BO763" s="129">
        <f>'Consolidated - P&amp;L'!BP221</f>
        <v>0</v>
      </c>
      <c r="BP763" s="129">
        <f>'Consolidated - P&amp;L'!BQ221</f>
        <v>0</v>
      </c>
      <c r="BQ763" s="129">
        <f>'Consolidated - P&amp;L'!BR221</f>
        <v>0</v>
      </c>
      <c r="BR763" s="129">
        <f>'Consolidated - P&amp;L'!BS221</f>
        <v>0</v>
      </c>
      <c r="BS763" s="129">
        <f>'Consolidated - P&amp;L'!BT221</f>
        <v>0</v>
      </c>
      <c r="BT763" s="129">
        <f>'Consolidated - P&amp;L'!BU221</f>
        <v>0</v>
      </c>
      <c r="BU763" s="129">
        <f>'Consolidated - P&amp;L'!BV221</f>
        <v>0</v>
      </c>
      <c r="BV763" s="129">
        <f>'Consolidated - P&amp;L'!BW221</f>
        <v>0</v>
      </c>
      <c r="BW763" s="129">
        <f>'Consolidated - P&amp;L'!BX221</f>
        <v>0</v>
      </c>
      <c r="BX763" s="129">
        <f>'Consolidated - P&amp;L'!BY221</f>
        <v>0</v>
      </c>
      <c r="BY763" s="129">
        <f>'Consolidated - P&amp;L'!BZ221</f>
        <v>0</v>
      </c>
      <c r="BZ763" s="129">
        <f>'Consolidated - P&amp;L'!CA221</f>
        <v>0</v>
      </c>
      <c r="CA763" s="129">
        <f>'Consolidated - P&amp;L'!CB221</f>
        <v>0</v>
      </c>
      <c r="CB763" s="129">
        <f>'Consolidated - P&amp;L'!CC221</f>
        <v>0</v>
      </c>
      <c r="CC763" s="129">
        <f>'Consolidated - P&amp;L'!CD221</f>
        <v>0</v>
      </c>
      <c r="CD763" s="129">
        <f>'Consolidated - P&amp;L'!CE221</f>
        <v>0</v>
      </c>
      <c r="CE763" s="129">
        <f>'Consolidated - P&amp;L'!CF221</f>
        <v>0</v>
      </c>
      <c r="CF763" s="129">
        <f>'Consolidated - P&amp;L'!CG221</f>
        <v>0</v>
      </c>
      <c r="CG763" s="129">
        <f>'Consolidated - P&amp;L'!CH221</f>
        <v>0</v>
      </c>
      <c r="CH763" s="129">
        <f>'Consolidated - P&amp;L'!CI221</f>
        <v>0</v>
      </c>
      <c r="CI763" s="129">
        <f>'Consolidated - P&amp;L'!CJ221</f>
        <v>0</v>
      </c>
      <c r="CJ763" s="129">
        <f>'Consolidated - P&amp;L'!CK221</f>
        <v>0</v>
      </c>
      <c r="CK763" s="129">
        <f>'Consolidated - P&amp;L'!CL221</f>
        <v>0</v>
      </c>
      <c r="CL763" s="129">
        <f>'Consolidated - P&amp;L'!CM221</f>
        <v>0</v>
      </c>
      <c r="CM763" s="129">
        <f>'Consolidated - P&amp;L'!CN221</f>
        <v>0</v>
      </c>
      <c r="CN763" s="129">
        <f>'Consolidated - P&amp;L'!CO221</f>
        <v>0</v>
      </c>
      <c r="CO763" s="129">
        <f>'Consolidated - P&amp;L'!CP221</f>
        <v>0</v>
      </c>
      <c r="CP763" s="129">
        <f>'Consolidated - P&amp;L'!CQ221</f>
        <v>0</v>
      </c>
      <c r="CQ763" s="129">
        <f>'Consolidated - P&amp;L'!CR221</f>
        <v>0</v>
      </c>
      <c r="CR763" s="129">
        <f>'Consolidated - P&amp;L'!CS221</f>
        <v>0</v>
      </c>
      <c r="CS763" s="129">
        <f>'Consolidated - P&amp;L'!CT221</f>
        <v>0</v>
      </c>
      <c r="CT763" s="129">
        <f>'Consolidated - P&amp;L'!CU221</f>
        <v>0</v>
      </c>
      <c r="CU763" s="129">
        <f>'Consolidated - P&amp;L'!CV221</f>
        <v>0</v>
      </c>
      <c r="CV763" s="129">
        <f>'Consolidated - P&amp;L'!CW221</f>
        <v>0</v>
      </c>
      <c r="CW763" s="129">
        <f>'Consolidated - P&amp;L'!CX221</f>
        <v>0</v>
      </c>
      <c r="CX763" s="129">
        <f>'Consolidated - P&amp;L'!CY221</f>
        <v>0</v>
      </c>
      <c r="CY763" s="129">
        <f>'Consolidated - P&amp;L'!CZ221</f>
        <v>0</v>
      </c>
      <c r="CZ763" s="129">
        <f>'Consolidated - P&amp;L'!DA221</f>
        <v>0</v>
      </c>
      <c r="DA763" s="129">
        <f>'Consolidated - P&amp;L'!DB221</f>
        <v>0</v>
      </c>
      <c r="DB763" s="129">
        <f>'Consolidated - P&amp;L'!DC221</f>
        <v>0</v>
      </c>
      <c r="DC763" s="129">
        <f>'Consolidated - P&amp;L'!DD221</f>
        <v>0</v>
      </c>
      <c r="DD763" s="129">
        <f>'Consolidated - P&amp;L'!DE221</f>
        <v>0</v>
      </c>
      <c r="DE763" s="129">
        <f>'Consolidated - P&amp;L'!DF221</f>
        <v>0</v>
      </c>
      <c r="DF763" s="129">
        <f>'Consolidated - P&amp;L'!DG221</f>
        <v>0</v>
      </c>
      <c r="DG763" s="129">
        <f>'Consolidated - P&amp;L'!DH221</f>
        <v>0</v>
      </c>
      <c r="DH763" s="129">
        <f>'Consolidated - P&amp;L'!DI221</f>
        <v>0</v>
      </c>
      <c r="DI763" s="129">
        <f>'Consolidated - P&amp;L'!DJ221</f>
        <v>0</v>
      </c>
      <c r="DJ763" s="129">
        <f>'Consolidated - P&amp;L'!DK221</f>
        <v>0</v>
      </c>
      <c r="DK763" s="129">
        <f>'Consolidated - P&amp;L'!DL221</f>
        <v>0</v>
      </c>
      <c r="DL763" s="129">
        <f>'Consolidated - P&amp;L'!DM221</f>
        <v>0</v>
      </c>
      <c r="DM763" s="129">
        <f>'Consolidated - P&amp;L'!DN221</f>
        <v>0</v>
      </c>
      <c r="DN763" s="129">
        <f>'Consolidated - P&amp;L'!DO221</f>
        <v>0</v>
      </c>
      <c r="DO763" s="129">
        <f>'Consolidated - P&amp;L'!DP221</f>
        <v>0</v>
      </c>
      <c r="DP763" s="129">
        <f>'Consolidated - P&amp;L'!DQ221</f>
        <v>0</v>
      </c>
      <c r="DQ763" s="129">
        <f>'Consolidated - P&amp;L'!DR221</f>
        <v>0</v>
      </c>
      <c r="DR763" s="115"/>
      <c r="DS763" s="115"/>
      <c r="DT763" s="115"/>
      <c r="DU763" s="115"/>
      <c r="DV763" s="115"/>
      <c r="DW763" s="115"/>
      <c r="DX763" s="115"/>
      <c r="DY763" s="115"/>
      <c r="DZ763" s="115"/>
      <c r="EA763" s="115"/>
      <c r="EB763" s="115"/>
      <c r="EC763" s="645"/>
      <c r="ED763" s="113" t="s">
        <v>1</v>
      </c>
    </row>
    <row r="764" spans="1:134" hidden="1" x14ac:dyDescent="0.2">
      <c r="A764" s="755" t="s">
        <v>339</v>
      </c>
      <c r="B764" s="129">
        <f>'Consolidated - P&amp;L'!C222</f>
        <v>0</v>
      </c>
      <c r="C764" s="129">
        <f>'Consolidated - P&amp;L'!D222</f>
        <v>0</v>
      </c>
      <c r="D764" s="129">
        <f>'Consolidated - P&amp;L'!E222</f>
        <v>0</v>
      </c>
      <c r="E764" s="129">
        <f>'Consolidated - P&amp;L'!F222</f>
        <v>0</v>
      </c>
      <c r="F764" s="129">
        <f>'Consolidated - P&amp;L'!G222</f>
        <v>0</v>
      </c>
      <c r="G764" s="129">
        <f>'Consolidated - P&amp;L'!H222</f>
        <v>0</v>
      </c>
      <c r="H764" s="129">
        <f>'Consolidated - P&amp;L'!I222</f>
        <v>0</v>
      </c>
      <c r="I764" s="129">
        <f>'Consolidated - P&amp;L'!J222</f>
        <v>0</v>
      </c>
      <c r="J764" s="129">
        <f>'Consolidated - P&amp;L'!K222</f>
        <v>0</v>
      </c>
      <c r="K764" s="129">
        <f>'Consolidated - P&amp;L'!L222</f>
        <v>0</v>
      </c>
      <c r="L764" s="129">
        <f>'Consolidated - P&amp;L'!M222</f>
        <v>0</v>
      </c>
      <c r="M764" s="129">
        <f>'Consolidated - P&amp;L'!N222</f>
        <v>0</v>
      </c>
      <c r="N764" s="129">
        <f>'Consolidated - P&amp;L'!O222</f>
        <v>0</v>
      </c>
      <c r="O764" s="129">
        <f>'Consolidated - P&amp;L'!P222</f>
        <v>0</v>
      </c>
      <c r="P764" s="129">
        <f>'Consolidated - P&amp;L'!Q222</f>
        <v>0</v>
      </c>
      <c r="Q764" s="129">
        <f>'Consolidated - P&amp;L'!R222</f>
        <v>0</v>
      </c>
      <c r="R764" s="129">
        <f>'Consolidated - P&amp;L'!S222</f>
        <v>0</v>
      </c>
      <c r="S764" s="129">
        <f>'Consolidated - P&amp;L'!T222</f>
        <v>0</v>
      </c>
      <c r="T764" s="129">
        <f>'Consolidated - P&amp;L'!U222</f>
        <v>0</v>
      </c>
      <c r="U764" s="129">
        <f>'Consolidated - P&amp;L'!V222</f>
        <v>0</v>
      </c>
      <c r="V764" s="129">
        <f>'Consolidated - P&amp;L'!W222</f>
        <v>0</v>
      </c>
      <c r="W764" s="129">
        <f>'Consolidated - P&amp;L'!X222</f>
        <v>0</v>
      </c>
      <c r="X764" s="129">
        <f>'Consolidated - P&amp;L'!Y222</f>
        <v>0</v>
      </c>
      <c r="Y764" s="129">
        <f>'Consolidated - P&amp;L'!Z222</f>
        <v>0</v>
      </c>
      <c r="Z764" s="129">
        <f>'Consolidated - P&amp;L'!AA222</f>
        <v>0</v>
      </c>
      <c r="AA764" s="129">
        <f>'Consolidated - P&amp;L'!AB222</f>
        <v>0</v>
      </c>
      <c r="AB764" s="129">
        <f>'Consolidated - P&amp;L'!AC222</f>
        <v>0</v>
      </c>
      <c r="AC764" s="129">
        <f>'Consolidated - P&amp;L'!AD222</f>
        <v>0</v>
      </c>
      <c r="AD764" s="129">
        <f>'Consolidated - P&amp;L'!AE222</f>
        <v>0</v>
      </c>
      <c r="AE764" s="129">
        <f>'Consolidated - P&amp;L'!AF222</f>
        <v>0</v>
      </c>
      <c r="AF764" s="129">
        <f>'Consolidated - P&amp;L'!AG222</f>
        <v>0</v>
      </c>
      <c r="AG764" s="129">
        <f>'Consolidated - P&amp;L'!AH222</f>
        <v>0</v>
      </c>
      <c r="AH764" s="129">
        <f>'Consolidated - P&amp;L'!AI222</f>
        <v>0</v>
      </c>
      <c r="AI764" s="129">
        <f>'Consolidated - P&amp;L'!AJ222</f>
        <v>0</v>
      </c>
      <c r="AJ764" s="129">
        <f>'Consolidated - P&amp;L'!AK222</f>
        <v>0</v>
      </c>
      <c r="AK764" s="129">
        <f>'Consolidated - P&amp;L'!AL222</f>
        <v>0</v>
      </c>
      <c r="AL764" s="129">
        <f>'Consolidated - P&amp;L'!AM222</f>
        <v>0</v>
      </c>
      <c r="AM764" s="129">
        <f>'Consolidated - P&amp;L'!AN222</f>
        <v>0</v>
      </c>
      <c r="AN764" s="129">
        <f>'Consolidated - P&amp;L'!AO222</f>
        <v>0</v>
      </c>
      <c r="AO764" s="129">
        <f>'Consolidated - P&amp;L'!AP222</f>
        <v>0</v>
      </c>
      <c r="AP764" s="129">
        <f>'Consolidated - P&amp;L'!AQ222</f>
        <v>0</v>
      </c>
      <c r="AQ764" s="129">
        <f>'Consolidated - P&amp;L'!AR222</f>
        <v>0</v>
      </c>
      <c r="AR764" s="129">
        <f>'Consolidated - P&amp;L'!AS222</f>
        <v>0</v>
      </c>
      <c r="AS764" s="129">
        <f>'Consolidated - P&amp;L'!AT222</f>
        <v>0</v>
      </c>
      <c r="AT764" s="129">
        <f>'Consolidated - P&amp;L'!AU222</f>
        <v>3200000</v>
      </c>
      <c r="AU764" s="129">
        <f>'Consolidated - P&amp;L'!AV222</f>
        <v>0</v>
      </c>
      <c r="AV764" s="129">
        <f>'Consolidated - P&amp;L'!AW222</f>
        <v>0</v>
      </c>
      <c r="AW764" s="129">
        <f>'Consolidated - P&amp;L'!AX222</f>
        <v>0</v>
      </c>
      <c r="AX764" s="129">
        <f>'Consolidated - P&amp;L'!AY222</f>
        <v>0</v>
      </c>
      <c r="AY764" s="129">
        <f>'Consolidated - P&amp;L'!AZ222</f>
        <v>0</v>
      </c>
      <c r="AZ764" s="129">
        <f>'Consolidated - P&amp;L'!BA222</f>
        <v>0</v>
      </c>
      <c r="BA764" s="129">
        <f>'Consolidated - P&amp;L'!BB222</f>
        <v>0</v>
      </c>
      <c r="BB764" s="129">
        <f>'Consolidated - P&amp;L'!BC222</f>
        <v>0</v>
      </c>
      <c r="BC764" s="129">
        <f>'Consolidated - P&amp;L'!BD222</f>
        <v>0</v>
      </c>
      <c r="BD764" s="129">
        <f>'Consolidated - P&amp;L'!BE222</f>
        <v>0</v>
      </c>
      <c r="BE764" s="129">
        <f>'Consolidated - P&amp;L'!BF222</f>
        <v>0</v>
      </c>
      <c r="BF764" s="129">
        <f>'Consolidated - P&amp;L'!BG222</f>
        <v>0</v>
      </c>
      <c r="BG764" s="129">
        <f>'Consolidated - P&amp;L'!BH222</f>
        <v>0</v>
      </c>
      <c r="BH764" s="129">
        <f>'Consolidated - P&amp;L'!BI222</f>
        <v>0</v>
      </c>
      <c r="BI764" s="129">
        <f>'Consolidated - P&amp;L'!BJ222</f>
        <v>0</v>
      </c>
      <c r="BJ764" s="129">
        <f>'Consolidated - P&amp;L'!BK222</f>
        <v>0</v>
      </c>
      <c r="BK764" s="129">
        <f>'Consolidated - P&amp;L'!BL222</f>
        <v>0</v>
      </c>
      <c r="BL764" s="129">
        <f>'Consolidated - P&amp;L'!BM222</f>
        <v>0</v>
      </c>
      <c r="BM764" s="129">
        <f>'Consolidated - P&amp;L'!BN222</f>
        <v>0</v>
      </c>
      <c r="BN764" s="129">
        <f>'Consolidated - P&amp;L'!BO222</f>
        <v>0</v>
      </c>
      <c r="BO764" s="129">
        <f>'Consolidated - P&amp;L'!BP222</f>
        <v>0</v>
      </c>
      <c r="BP764" s="129">
        <f>'Consolidated - P&amp;L'!BQ222</f>
        <v>0</v>
      </c>
      <c r="BQ764" s="129">
        <f>'Consolidated - P&amp;L'!BR222</f>
        <v>0</v>
      </c>
      <c r="BR764" s="129">
        <f>'Consolidated - P&amp;L'!BS222</f>
        <v>0</v>
      </c>
      <c r="BS764" s="129">
        <f>'Consolidated - P&amp;L'!BT222</f>
        <v>0</v>
      </c>
      <c r="BT764" s="129">
        <f>'Consolidated - P&amp;L'!BU222</f>
        <v>0</v>
      </c>
      <c r="BU764" s="129">
        <f>'Consolidated - P&amp;L'!BV222</f>
        <v>0</v>
      </c>
      <c r="BV764" s="129">
        <f>'Consolidated - P&amp;L'!BW222</f>
        <v>0</v>
      </c>
      <c r="BW764" s="129">
        <f>'Consolidated - P&amp;L'!BX222</f>
        <v>0</v>
      </c>
      <c r="BX764" s="129">
        <f>'Consolidated - P&amp;L'!BY222</f>
        <v>0</v>
      </c>
      <c r="BY764" s="129">
        <f>'Consolidated - P&amp;L'!BZ222</f>
        <v>0</v>
      </c>
      <c r="BZ764" s="129">
        <f>'Consolidated - P&amp;L'!CA222</f>
        <v>0</v>
      </c>
      <c r="CA764" s="129">
        <f>'Consolidated - P&amp;L'!CB222</f>
        <v>0</v>
      </c>
      <c r="CB764" s="129">
        <f>'Consolidated - P&amp;L'!CC222</f>
        <v>0</v>
      </c>
      <c r="CC764" s="129">
        <f>'Consolidated - P&amp;L'!CD222</f>
        <v>0</v>
      </c>
      <c r="CD764" s="129">
        <f>'Consolidated - P&amp;L'!CE222</f>
        <v>0</v>
      </c>
      <c r="CE764" s="129">
        <f>'Consolidated - P&amp;L'!CF222</f>
        <v>0</v>
      </c>
      <c r="CF764" s="129">
        <f>'Consolidated - P&amp;L'!CG222</f>
        <v>0</v>
      </c>
      <c r="CG764" s="129">
        <f>'Consolidated - P&amp;L'!CH222</f>
        <v>0</v>
      </c>
      <c r="CH764" s="129">
        <f>'Consolidated - P&amp;L'!CI222</f>
        <v>0</v>
      </c>
      <c r="CI764" s="129">
        <f>'Consolidated - P&amp;L'!CJ222</f>
        <v>0</v>
      </c>
      <c r="CJ764" s="129">
        <f>'Consolidated - P&amp;L'!CK222</f>
        <v>0</v>
      </c>
      <c r="CK764" s="129">
        <f>'Consolidated - P&amp;L'!CL222</f>
        <v>0</v>
      </c>
      <c r="CL764" s="129">
        <f>'Consolidated - P&amp;L'!CM222</f>
        <v>0</v>
      </c>
      <c r="CM764" s="129">
        <f>'Consolidated - P&amp;L'!CN222</f>
        <v>0</v>
      </c>
      <c r="CN764" s="129">
        <f>'Consolidated - P&amp;L'!CO222</f>
        <v>0</v>
      </c>
      <c r="CO764" s="129">
        <f>'Consolidated - P&amp;L'!CP222</f>
        <v>0</v>
      </c>
      <c r="CP764" s="129">
        <f>'Consolidated - P&amp;L'!CQ222</f>
        <v>0</v>
      </c>
      <c r="CQ764" s="129">
        <f>'Consolidated - P&amp;L'!CR222</f>
        <v>0</v>
      </c>
      <c r="CR764" s="129">
        <f>'Consolidated - P&amp;L'!CS222</f>
        <v>0</v>
      </c>
      <c r="CS764" s="129">
        <f>'Consolidated - P&amp;L'!CT222</f>
        <v>0</v>
      </c>
      <c r="CT764" s="129">
        <f>'Consolidated - P&amp;L'!CU222</f>
        <v>0</v>
      </c>
      <c r="CU764" s="129">
        <f>'Consolidated - P&amp;L'!CV222</f>
        <v>0</v>
      </c>
      <c r="CV764" s="129">
        <f>'Consolidated - P&amp;L'!CW222</f>
        <v>0</v>
      </c>
      <c r="CW764" s="129">
        <f>'Consolidated - P&amp;L'!CX222</f>
        <v>0</v>
      </c>
      <c r="CX764" s="129">
        <f>'Consolidated - P&amp;L'!CY222</f>
        <v>0</v>
      </c>
      <c r="CY764" s="129">
        <f>'Consolidated - P&amp;L'!CZ222</f>
        <v>0</v>
      </c>
      <c r="CZ764" s="129">
        <f>'Consolidated - P&amp;L'!DA222</f>
        <v>0</v>
      </c>
      <c r="DA764" s="129">
        <f>'Consolidated - P&amp;L'!DB222</f>
        <v>0</v>
      </c>
      <c r="DB764" s="129">
        <f>'Consolidated - P&amp;L'!DC222</f>
        <v>0</v>
      </c>
      <c r="DC764" s="129">
        <f>'Consolidated - P&amp;L'!DD222</f>
        <v>0</v>
      </c>
      <c r="DD764" s="129">
        <f>'Consolidated - P&amp;L'!DE222</f>
        <v>0</v>
      </c>
      <c r="DE764" s="129">
        <f>'Consolidated - P&amp;L'!DF222</f>
        <v>0</v>
      </c>
      <c r="DF764" s="129">
        <f>'Consolidated - P&amp;L'!DG222</f>
        <v>0</v>
      </c>
      <c r="DG764" s="129">
        <f>'Consolidated - P&amp;L'!DH222</f>
        <v>0</v>
      </c>
      <c r="DH764" s="129">
        <f>'Consolidated - P&amp;L'!DI222</f>
        <v>0</v>
      </c>
      <c r="DI764" s="129">
        <f>'Consolidated - P&amp;L'!DJ222</f>
        <v>0</v>
      </c>
      <c r="DJ764" s="129">
        <f>'Consolidated - P&amp;L'!DK222</f>
        <v>0</v>
      </c>
      <c r="DK764" s="129">
        <f>'Consolidated - P&amp;L'!DL222</f>
        <v>0</v>
      </c>
      <c r="DL764" s="129">
        <f>'Consolidated - P&amp;L'!DM222</f>
        <v>0</v>
      </c>
      <c r="DM764" s="129">
        <f>'Consolidated - P&amp;L'!DN222</f>
        <v>0</v>
      </c>
      <c r="DN764" s="129">
        <f>'Consolidated - P&amp;L'!DO222</f>
        <v>0</v>
      </c>
      <c r="DO764" s="129">
        <f>'Consolidated - P&amp;L'!DP222</f>
        <v>0</v>
      </c>
      <c r="DP764" s="129">
        <f>'Consolidated - P&amp;L'!DQ222</f>
        <v>0</v>
      </c>
      <c r="DQ764" s="129">
        <f>'Consolidated - P&amp;L'!DR222</f>
        <v>0</v>
      </c>
      <c r="DR764" s="115"/>
      <c r="DS764" s="115"/>
      <c r="DT764" s="115"/>
      <c r="DU764" s="115"/>
      <c r="DV764" s="115"/>
      <c r="DW764" s="115"/>
      <c r="DX764" s="115"/>
      <c r="DY764" s="115"/>
      <c r="DZ764" s="115"/>
      <c r="EA764" s="115"/>
      <c r="EB764" s="115"/>
      <c r="EC764" s="645"/>
      <c r="ED764" s="113" t="s">
        <v>1</v>
      </c>
    </row>
    <row r="765" spans="1:134" hidden="1" x14ac:dyDescent="0.2">
      <c r="A765" s="755" t="s">
        <v>340</v>
      </c>
      <c r="B765" s="129">
        <f>'Consolidated - P&amp;L'!C223</f>
        <v>0</v>
      </c>
      <c r="C765" s="129">
        <f>'Consolidated - P&amp;L'!D223</f>
        <v>0</v>
      </c>
      <c r="D765" s="129">
        <f>'Consolidated - P&amp;L'!E223</f>
        <v>0</v>
      </c>
      <c r="E765" s="129">
        <f>'Consolidated - P&amp;L'!F223</f>
        <v>0</v>
      </c>
      <c r="F765" s="129">
        <f>'Consolidated - P&amp;L'!G223</f>
        <v>0</v>
      </c>
      <c r="G765" s="129">
        <f>'Consolidated - P&amp;L'!H223</f>
        <v>0</v>
      </c>
      <c r="H765" s="129">
        <f>'Consolidated - P&amp;L'!I223</f>
        <v>0</v>
      </c>
      <c r="I765" s="129">
        <f>'Consolidated - P&amp;L'!J223</f>
        <v>0</v>
      </c>
      <c r="J765" s="129">
        <f>'Consolidated - P&amp;L'!K223</f>
        <v>0</v>
      </c>
      <c r="K765" s="129">
        <f>'Consolidated - P&amp;L'!L223</f>
        <v>0</v>
      </c>
      <c r="L765" s="129">
        <f>'Consolidated - P&amp;L'!M223</f>
        <v>0</v>
      </c>
      <c r="M765" s="129">
        <f>'Consolidated - P&amp;L'!N223</f>
        <v>0</v>
      </c>
      <c r="N765" s="129">
        <f>'Consolidated - P&amp;L'!O223</f>
        <v>0</v>
      </c>
      <c r="O765" s="129">
        <f>'Consolidated - P&amp;L'!P223</f>
        <v>0</v>
      </c>
      <c r="P765" s="129">
        <f>'Consolidated - P&amp;L'!Q223</f>
        <v>0</v>
      </c>
      <c r="Q765" s="129">
        <f>'Consolidated - P&amp;L'!R223</f>
        <v>0</v>
      </c>
      <c r="R765" s="129">
        <f>'Consolidated - P&amp;L'!S223</f>
        <v>0</v>
      </c>
      <c r="S765" s="129">
        <f>'Consolidated - P&amp;L'!T223</f>
        <v>0</v>
      </c>
      <c r="T765" s="129">
        <f>'Consolidated - P&amp;L'!U223</f>
        <v>0</v>
      </c>
      <c r="U765" s="129">
        <f>'Consolidated - P&amp;L'!V223</f>
        <v>0</v>
      </c>
      <c r="V765" s="129">
        <f>'Consolidated - P&amp;L'!W223</f>
        <v>0</v>
      </c>
      <c r="W765" s="129">
        <f>'Consolidated - P&amp;L'!X223</f>
        <v>0</v>
      </c>
      <c r="X765" s="129">
        <f>'Consolidated - P&amp;L'!Y223</f>
        <v>0</v>
      </c>
      <c r="Y765" s="129">
        <f>'Consolidated - P&amp;L'!Z223</f>
        <v>0</v>
      </c>
      <c r="Z765" s="129">
        <f>'Consolidated - P&amp;L'!AA223</f>
        <v>0</v>
      </c>
      <c r="AA765" s="129">
        <f>'Consolidated - P&amp;L'!AB223</f>
        <v>0</v>
      </c>
      <c r="AB765" s="129">
        <f>'Consolidated - P&amp;L'!AC223</f>
        <v>0</v>
      </c>
      <c r="AC765" s="129">
        <f>'Consolidated - P&amp;L'!AD223</f>
        <v>0</v>
      </c>
      <c r="AD765" s="129">
        <f>'Consolidated - P&amp;L'!AE223</f>
        <v>0</v>
      </c>
      <c r="AE765" s="129">
        <f>'Consolidated - P&amp;L'!AF223</f>
        <v>0</v>
      </c>
      <c r="AF765" s="129">
        <f>'Consolidated - P&amp;L'!AG223</f>
        <v>0</v>
      </c>
      <c r="AG765" s="129">
        <f>'Consolidated - P&amp;L'!AH223</f>
        <v>0</v>
      </c>
      <c r="AH765" s="129">
        <f>'Consolidated - P&amp;L'!AI223</f>
        <v>0</v>
      </c>
      <c r="AI765" s="129">
        <f>'Consolidated - P&amp;L'!AJ223</f>
        <v>0</v>
      </c>
      <c r="AJ765" s="129">
        <f>'Consolidated - P&amp;L'!AK223</f>
        <v>0</v>
      </c>
      <c r="AK765" s="129">
        <f>'Consolidated - P&amp;L'!AL223</f>
        <v>0</v>
      </c>
      <c r="AL765" s="129">
        <f>'Consolidated - P&amp;L'!AM223</f>
        <v>0</v>
      </c>
      <c r="AM765" s="129">
        <f>'Consolidated - P&amp;L'!AN223</f>
        <v>2000000</v>
      </c>
      <c r="AN765" s="129">
        <f>'Consolidated - P&amp;L'!AO223</f>
        <v>0</v>
      </c>
      <c r="AO765" s="129">
        <f>'Consolidated - P&amp;L'!AP223</f>
        <v>0</v>
      </c>
      <c r="AP765" s="129">
        <f>'Consolidated - P&amp;L'!AQ223</f>
        <v>0</v>
      </c>
      <c r="AQ765" s="129">
        <f>'Consolidated - P&amp;L'!AR223</f>
        <v>0</v>
      </c>
      <c r="AR765" s="129">
        <f>'Consolidated - P&amp;L'!AS223</f>
        <v>0</v>
      </c>
      <c r="AS765" s="129">
        <f>'Consolidated - P&amp;L'!AT223</f>
        <v>0</v>
      </c>
      <c r="AT765" s="129">
        <f>'Consolidated - P&amp;L'!AU223</f>
        <v>0</v>
      </c>
      <c r="AU765" s="129">
        <f>'Consolidated - P&amp;L'!AV223</f>
        <v>0</v>
      </c>
      <c r="AV765" s="129">
        <f>'Consolidated - P&amp;L'!AW223</f>
        <v>0</v>
      </c>
      <c r="AW765" s="129">
        <f>'Consolidated - P&amp;L'!AX223</f>
        <v>0</v>
      </c>
      <c r="AX765" s="129">
        <f>'Consolidated - P&amp;L'!AY223</f>
        <v>0</v>
      </c>
      <c r="AY765" s="129">
        <f>'Consolidated - P&amp;L'!AZ223</f>
        <v>0</v>
      </c>
      <c r="AZ765" s="129">
        <f>'Consolidated - P&amp;L'!BA223</f>
        <v>0</v>
      </c>
      <c r="BA765" s="129">
        <f>'Consolidated - P&amp;L'!BB223</f>
        <v>0</v>
      </c>
      <c r="BB765" s="129">
        <f>'Consolidated - P&amp;L'!BC223</f>
        <v>0</v>
      </c>
      <c r="BC765" s="129">
        <f>'Consolidated - P&amp;L'!BD223</f>
        <v>0</v>
      </c>
      <c r="BD765" s="129">
        <f>'Consolidated - P&amp;L'!BE223</f>
        <v>0</v>
      </c>
      <c r="BE765" s="129">
        <f>'Consolidated - P&amp;L'!BF223</f>
        <v>0</v>
      </c>
      <c r="BF765" s="129">
        <f>'Consolidated - P&amp;L'!BG223</f>
        <v>0</v>
      </c>
      <c r="BG765" s="129">
        <f>'Consolidated - P&amp;L'!BH223</f>
        <v>0</v>
      </c>
      <c r="BH765" s="129">
        <f>'Consolidated - P&amp;L'!BI223</f>
        <v>0</v>
      </c>
      <c r="BI765" s="129">
        <f>'Consolidated - P&amp;L'!BJ223</f>
        <v>0</v>
      </c>
      <c r="BJ765" s="129">
        <f>'Consolidated - P&amp;L'!BK223</f>
        <v>0</v>
      </c>
      <c r="BK765" s="129">
        <f>'Consolidated - P&amp;L'!BL223</f>
        <v>0</v>
      </c>
      <c r="BL765" s="129">
        <f>'Consolidated - P&amp;L'!BM223</f>
        <v>0</v>
      </c>
      <c r="BM765" s="129">
        <f>'Consolidated - P&amp;L'!BN223</f>
        <v>0</v>
      </c>
      <c r="BN765" s="129">
        <f>'Consolidated - P&amp;L'!BO223</f>
        <v>0</v>
      </c>
      <c r="BO765" s="129">
        <f>'Consolidated - P&amp;L'!BP223</f>
        <v>0</v>
      </c>
      <c r="BP765" s="129">
        <f>'Consolidated - P&amp;L'!BQ223</f>
        <v>0</v>
      </c>
      <c r="BQ765" s="129">
        <f>'Consolidated - P&amp;L'!BR223</f>
        <v>0</v>
      </c>
      <c r="BR765" s="129">
        <f>'Consolidated - P&amp;L'!BS223</f>
        <v>0</v>
      </c>
      <c r="BS765" s="129">
        <f>'Consolidated - P&amp;L'!BT223</f>
        <v>0</v>
      </c>
      <c r="BT765" s="129">
        <f>'Consolidated - P&amp;L'!BU223</f>
        <v>0</v>
      </c>
      <c r="BU765" s="129">
        <f>'Consolidated - P&amp;L'!BV223</f>
        <v>0</v>
      </c>
      <c r="BV765" s="129">
        <f>'Consolidated - P&amp;L'!BW223</f>
        <v>0</v>
      </c>
      <c r="BW765" s="129">
        <f>'Consolidated - P&amp;L'!BX223</f>
        <v>0</v>
      </c>
      <c r="BX765" s="129">
        <f>'Consolidated - P&amp;L'!BY223</f>
        <v>0</v>
      </c>
      <c r="BY765" s="129">
        <f>'Consolidated - P&amp;L'!BZ223</f>
        <v>0</v>
      </c>
      <c r="BZ765" s="129">
        <f>'Consolidated - P&amp;L'!CA223</f>
        <v>0</v>
      </c>
      <c r="CA765" s="129">
        <f>'Consolidated - P&amp;L'!CB223</f>
        <v>0</v>
      </c>
      <c r="CB765" s="129">
        <f>'Consolidated - P&amp;L'!CC223</f>
        <v>0</v>
      </c>
      <c r="CC765" s="129">
        <f>'Consolidated - P&amp;L'!CD223</f>
        <v>0</v>
      </c>
      <c r="CD765" s="129">
        <f>'Consolidated - P&amp;L'!CE223</f>
        <v>0</v>
      </c>
      <c r="CE765" s="129">
        <f>'Consolidated - P&amp;L'!CF223</f>
        <v>0</v>
      </c>
      <c r="CF765" s="129">
        <f>'Consolidated - P&amp;L'!CG223</f>
        <v>0</v>
      </c>
      <c r="CG765" s="129">
        <f>'Consolidated - P&amp;L'!CH223</f>
        <v>0</v>
      </c>
      <c r="CH765" s="129">
        <f>'Consolidated - P&amp;L'!CI223</f>
        <v>0</v>
      </c>
      <c r="CI765" s="129">
        <f>'Consolidated - P&amp;L'!CJ223</f>
        <v>0</v>
      </c>
      <c r="CJ765" s="129">
        <f>'Consolidated - P&amp;L'!CK223</f>
        <v>0</v>
      </c>
      <c r="CK765" s="129">
        <f>'Consolidated - P&amp;L'!CL223</f>
        <v>0</v>
      </c>
      <c r="CL765" s="129">
        <f>'Consolidated - P&amp;L'!CM223</f>
        <v>0</v>
      </c>
      <c r="CM765" s="129">
        <f>'Consolidated - P&amp;L'!CN223</f>
        <v>0</v>
      </c>
      <c r="CN765" s="129">
        <f>'Consolidated - P&amp;L'!CO223</f>
        <v>0</v>
      </c>
      <c r="CO765" s="129">
        <f>'Consolidated - P&amp;L'!CP223</f>
        <v>0</v>
      </c>
      <c r="CP765" s="129">
        <f>'Consolidated - P&amp;L'!CQ223</f>
        <v>0</v>
      </c>
      <c r="CQ765" s="129">
        <f>'Consolidated - P&amp;L'!CR223</f>
        <v>0</v>
      </c>
      <c r="CR765" s="129">
        <f>'Consolidated - P&amp;L'!CS223</f>
        <v>0</v>
      </c>
      <c r="CS765" s="129">
        <f>'Consolidated - P&amp;L'!CT223</f>
        <v>0</v>
      </c>
      <c r="CT765" s="129">
        <f>'Consolidated - P&amp;L'!CU223</f>
        <v>0</v>
      </c>
      <c r="CU765" s="129">
        <f>'Consolidated - P&amp;L'!CV223</f>
        <v>0</v>
      </c>
      <c r="CV765" s="129">
        <f>'Consolidated - P&amp;L'!CW223</f>
        <v>0</v>
      </c>
      <c r="CW765" s="129">
        <f>'Consolidated - P&amp;L'!CX223</f>
        <v>0</v>
      </c>
      <c r="CX765" s="129">
        <f>'Consolidated - P&amp;L'!CY223</f>
        <v>0</v>
      </c>
      <c r="CY765" s="129">
        <f>'Consolidated - P&amp;L'!CZ223</f>
        <v>0</v>
      </c>
      <c r="CZ765" s="129">
        <f>'Consolidated - P&amp;L'!DA223</f>
        <v>0</v>
      </c>
      <c r="DA765" s="129">
        <f>'Consolidated - P&amp;L'!DB223</f>
        <v>0</v>
      </c>
      <c r="DB765" s="129">
        <f>'Consolidated - P&amp;L'!DC223</f>
        <v>0</v>
      </c>
      <c r="DC765" s="129">
        <f>'Consolidated - P&amp;L'!DD223</f>
        <v>0</v>
      </c>
      <c r="DD765" s="129">
        <f>'Consolidated - P&amp;L'!DE223</f>
        <v>0</v>
      </c>
      <c r="DE765" s="129">
        <f>'Consolidated - P&amp;L'!DF223</f>
        <v>0</v>
      </c>
      <c r="DF765" s="129">
        <f>'Consolidated - P&amp;L'!DG223</f>
        <v>0</v>
      </c>
      <c r="DG765" s="129">
        <f>'Consolidated - P&amp;L'!DH223</f>
        <v>0</v>
      </c>
      <c r="DH765" s="129">
        <f>'Consolidated - P&amp;L'!DI223</f>
        <v>0</v>
      </c>
      <c r="DI765" s="129">
        <f>'Consolidated - P&amp;L'!DJ223</f>
        <v>0</v>
      </c>
      <c r="DJ765" s="129">
        <f>'Consolidated - P&amp;L'!DK223</f>
        <v>0</v>
      </c>
      <c r="DK765" s="129">
        <f>'Consolidated - P&amp;L'!DL223</f>
        <v>0</v>
      </c>
      <c r="DL765" s="129">
        <f>'Consolidated - P&amp;L'!DM223</f>
        <v>0</v>
      </c>
      <c r="DM765" s="129">
        <f>'Consolidated - P&amp;L'!DN223</f>
        <v>0</v>
      </c>
      <c r="DN765" s="129">
        <f>'Consolidated - P&amp;L'!DO223</f>
        <v>0</v>
      </c>
      <c r="DO765" s="129">
        <f>'Consolidated - P&amp;L'!DP223</f>
        <v>0</v>
      </c>
      <c r="DP765" s="129">
        <f>'Consolidated - P&amp;L'!DQ223</f>
        <v>0</v>
      </c>
      <c r="DQ765" s="129">
        <f>'Consolidated - P&amp;L'!DR223</f>
        <v>0</v>
      </c>
      <c r="DR765" s="115"/>
      <c r="DS765" s="115"/>
      <c r="DT765" s="115"/>
      <c r="DU765" s="115"/>
      <c r="DV765" s="115"/>
      <c r="DW765" s="115"/>
      <c r="DX765" s="115"/>
      <c r="DY765" s="115"/>
      <c r="DZ765" s="115"/>
      <c r="EA765" s="115"/>
      <c r="EB765" s="115"/>
      <c r="EC765" s="645"/>
      <c r="ED765" s="113" t="s">
        <v>1</v>
      </c>
    </row>
    <row r="766" spans="1:134" hidden="1" x14ac:dyDescent="0.2">
      <c r="A766" s="755" t="s">
        <v>341</v>
      </c>
      <c r="B766" s="129">
        <f>'Consolidated - P&amp;L'!C224</f>
        <v>0</v>
      </c>
      <c r="C766" s="129">
        <f>'Consolidated - P&amp;L'!D224</f>
        <v>0</v>
      </c>
      <c r="D766" s="129">
        <f>'Consolidated - P&amp;L'!E224</f>
        <v>0</v>
      </c>
      <c r="E766" s="129">
        <f>'Consolidated - P&amp;L'!F224</f>
        <v>0</v>
      </c>
      <c r="F766" s="129">
        <f>'Consolidated - P&amp;L'!G224</f>
        <v>0</v>
      </c>
      <c r="G766" s="129">
        <f>'Consolidated - P&amp;L'!H224</f>
        <v>0</v>
      </c>
      <c r="H766" s="129">
        <f>'Consolidated - P&amp;L'!I224</f>
        <v>0</v>
      </c>
      <c r="I766" s="129">
        <f>'Consolidated - P&amp;L'!J224</f>
        <v>0</v>
      </c>
      <c r="J766" s="129">
        <f>'Consolidated - P&amp;L'!K224</f>
        <v>0</v>
      </c>
      <c r="K766" s="129">
        <f>'Consolidated - P&amp;L'!L224</f>
        <v>0</v>
      </c>
      <c r="L766" s="129">
        <f>'Consolidated - P&amp;L'!M224</f>
        <v>0</v>
      </c>
      <c r="M766" s="129">
        <f>'Consolidated - P&amp;L'!N224</f>
        <v>0</v>
      </c>
      <c r="N766" s="129">
        <f>'Consolidated - P&amp;L'!O224</f>
        <v>0</v>
      </c>
      <c r="O766" s="129">
        <f>'Consolidated - P&amp;L'!P224</f>
        <v>0</v>
      </c>
      <c r="P766" s="129">
        <f>'Consolidated - P&amp;L'!Q224</f>
        <v>0</v>
      </c>
      <c r="Q766" s="129">
        <f>'Consolidated - P&amp;L'!R224</f>
        <v>0</v>
      </c>
      <c r="R766" s="129">
        <f>'Consolidated - P&amp;L'!S224</f>
        <v>0</v>
      </c>
      <c r="S766" s="129">
        <f>'Consolidated - P&amp;L'!T224</f>
        <v>0</v>
      </c>
      <c r="T766" s="129">
        <f>'Consolidated - P&amp;L'!U224</f>
        <v>0</v>
      </c>
      <c r="U766" s="129">
        <f>'Consolidated - P&amp;L'!V224</f>
        <v>0</v>
      </c>
      <c r="V766" s="129">
        <f>'Consolidated - P&amp;L'!W224</f>
        <v>0</v>
      </c>
      <c r="W766" s="129">
        <f>'Consolidated - P&amp;L'!X224</f>
        <v>0</v>
      </c>
      <c r="X766" s="129">
        <f>'Consolidated - P&amp;L'!Y224</f>
        <v>0</v>
      </c>
      <c r="Y766" s="129">
        <f>'Consolidated - P&amp;L'!Z224</f>
        <v>0</v>
      </c>
      <c r="Z766" s="129">
        <f>'Consolidated - P&amp;L'!AA224</f>
        <v>0</v>
      </c>
      <c r="AA766" s="129">
        <f>'Consolidated - P&amp;L'!AB224</f>
        <v>5750234</v>
      </c>
      <c r="AB766" s="129">
        <f>'Consolidated - P&amp;L'!AC224</f>
        <v>3016110</v>
      </c>
      <c r="AC766" s="129">
        <f>'Consolidated - P&amp;L'!AD224</f>
        <v>3536763</v>
      </c>
      <c r="AD766" s="129">
        <f>'Consolidated - P&amp;L'!AE224</f>
        <v>1863503</v>
      </c>
      <c r="AE766" s="129">
        <f>'Consolidated - P&amp;L'!AF224</f>
        <v>466688</v>
      </c>
      <c r="AF766" s="129">
        <f>'Consolidated - P&amp;L'!AG224</f>
        <v>443616</v>
      </c>
      <c r="AG766" s="129">
        <f>'Consolidated - P&amp;L'!AH224</f>
        <v>599875</v>
      </c>
      <c r="AH766" s="129">
        <f>'Consolidated - P&amp;L'!AI224</f>
        <v>0</v>
      </c>
      <c r="AI766" s="129">
        <f>'Consolidated - P&amp;L'!AJ224</f>
        <v>0</v>
      </c>
      <c r="AJ766" s="129">
        <f>'Consolidated - P&amp;L'!AK224</f>
        <v>0</v>
      </c>
      <c r="AK766" s="129">
        <f>'Consolidated - P&amp;L'!AL224</f>
        <v>0</v>
      </c>
      <c r="AL766" s="129">
        <f>'Consolidated - P&amp;L'!AM224</f>
        <v>3239319</v>
      </c>
      <c r="AM766" s="129">
        <f>'Consolidated - P&amp;L'!AN224</f>
        <v>10000000</v>
      </c>
      <c r="AN766" s="129">
        <f>'Consolidated - P&amp;L'!AO224</f>
        <v>0</v>
      </c>
      <c r="AO766" s="129">
        <f>'Consolidated - P&amp;L'!AP224</f>
        <v>0</v>
      </c>
      <c r="AP766" s="129">
        <f>'Consolidated - P&amp;L'!AQ224</f>
        <v>0</v>
      </c>
      <c r="AQ766" s="129">
        <f>'Consolidated - P&amp;L'!AR224</f>
        <v>0</v>
      </c>
      <c r="AR766" s="129">
        <f>'Consolidated - P&amp;L'!AS224</f>
        <v>0</v>
      </c>
      <c r="AS766" s="129">
        <f>'Consolidated - P&amp;L'!AT224</f>
        <v>0</v>
      </c>
      <c r="AT766" s="129">
        <f>'Consolidated - P&amp;L'!AU224</f>
        <v>0</v>
      </c>
      <c r="AU766" s="129">
        <f>'Consolidated - P&amp;L'!AV224</f>
        <v>0</v>
      </c>
      <c r="AV766" s="129">
        <f>'Consolidated - P&amp;L'!AW224</f>
        <v>0</v>
      </c>
      <c r="AW766" s="129">
        <f>'Consolidated - P&amp;L'!AX224</f>
        <v>7500000</v>
      </c>
      <c r="AX766" s="129">
        <f>'Consolidated - P&amp;L'!AY224</f>
        <v>0</v>
      </c>
      <c r="AY766" s="129">
        <f>'Consolidated - P&amp;L'!AZ224</f>
        <v>0</v>
      </c>
      <c r="AZ766" s="129">
        <f>'Consolidated - P&amp;L'!BA224</f>
        <v>31189580</v>
      </c>
      <c r="BA766" s="129">
        <f>'Consolidated - P&amp;L'!BB224</f>
        <v>0</v>
      </c>
      <c r="BB766" s="129">
        <f>'Consolidated - P&amp;L'!BC224</f>
        <v>5244302</v>
      </c>
      <c r="BC766" s="129">
        <f>'Consolidated - P&amp;L'!BD224</f>
        <v>0</v>
      </c>
      <c r="BD766" s="129">
        <f>'Consolidated - P&amp;L'!BE224</f>
        <v>0</v>
      </c>
      <c r="BE766" s="129">
        <f>'Consolidated - P&amp;L'!BF224</f>
        <v>0</v>
      </c>
      <c r="BF766" s="129">
        <f>'Consolidated - P&amp;L'!BG224</f>
        <v>0</v>
      </c>
      <c r="BG766" s="129">
        <f>'Consolidated - P&amp;L'!BH224</f>
        <v>0</v>
      </c>
      <c r="BH766" s="129">
        <f>'Consolidated - P&amp;L'!BI224</f>
        <v>0</v>
      </c>
      <c r="BI766" s="129">
        <f>'Consolidated - P&amp;L'!BJ224</f>
        <v>0</v>
      </c>
      <c r="BJ766" s="129">
        <f>'Consolidated - P&amp;L'!BK224</f>
        <v>0</v>
      </c>
      <c r="BK766" s="129">
        <f>'Consolidated - P&amp;L'!BL224</f>
        <v>0</v>
      </c>
      <c r="BL766" s="129">
        <f>'Consolidated - P&amp;L'!BM224</f>
        <v>0</v>
      </c>
      <c r="BM766" s="129">
        <f>'Consolidated - P&amp;L'!BN224</f>
        <v>0</v>
      </c>
      <c r="BN766" s="129">
        <f>'Consolidated - P&amp;L'!BO224</f>
        <v>0</v>
      </c>
      <c r="BO766" s="129">
        <f>'Consolidated - P&amp;L'!BP224</f>
        <v>0</v>
      </c>
      <c r="BP766" s="129">
        <f>'Consolidated - P&amp;L'!BQ224</f>
        <v>0</v>
      </c>
      <c r="BQ766" s="129">
        <f>'Consolidated - P&amp;L'!BR224</f>
        <v>0</v>
      </c>
      <c r="BR766" s="129">
        <f>'Consolidated - P&amp;L'!BS224</f>
        <v>0</v>
      </c>
      <c r="BS766" s="129">
        <f>'Consolidated - P&amp;L'!BT224</f>
        <v>0</v>
      </c>
      <c r="BT766" s="129">
        <f>'Consolidated - P&amp;L'!BU224</f>
        <v>0</v>
      </c>
      <c r="BU766" s="129">
        <f>'Consolidated - P&amp;L'!BV224</f>
        <v>0</v>
      </c>
      <c r="BV766" s="129">
        <f>'Consolidated - P&amp;L'!BW224</f>
        <v>0</v>
      </c>
      <c r="BW766" s="129">
        <f>'Consolidated - P&amp;L'!BX224</f>
        <v>0</v>
      </c>
      <c r="BX766" s="129">
        <f>'Consolidated - P&amp;L'!BY224</f>
        <v>0</v>
      </c>
      <c r="BY766" s="129">
        <f>'Consolidated - P&amp;L'!BZ224</f>
        <v>0</v>
      </c>
      <c r="BZ766" s="129">
        <f>'Consolidated - P&amp;L'!CA224</f>
        <v>0</v>
      </c>
      <c r="CA766" s="129">
        <f>'Consolidated - P&amp;L'!CB224</f>
        <v>0</v>
      </c>
      <c r="CB766" s="129">
        <f>'Consolidated - P&amp;L'!CC224</f>
        <v>0</v>
      </c>
      <c r="CC766" s="129">
        <f>'Consolidated - P&amp;L'!CD224</f>
        <v>0</v>
      </c>
      <c r="CD766" s="129">
        <f>'Consolidated - P&amp;L'!CE224</f>
        <v>0</v>
      </c>
      <c r="CE766" s="129">
        <f>'Consolidated - P&amp;L'!CF224</f>
        <v>0</v>
      </c>
      <c r="CF766" s="129">
        <f>'Consolidated - P&amp;L'!CG224</f>
        <v>0</v>
      </c>
      <c r="CG766" s="129">
        <f>'Consolidated - P&amp;L'!CH224</f>
        <v>0</v>
      </c>
      <c r="CH766" s="129">
        <f>'Consolidated - P&amp;L'!CI224</f>
        <v>0</v>
      </c>
      <c r="CI766" s="129">
        <f>'Consolidated - P&amp;L'!CJ224</f>
        <v>0</v>
      </c>
      <c r="CJ766" s="129">
        <f>'Consolidated - P&amp;L'!CK224</f>
        <v>0</v>
      </c>
      <c r="CK766" s="129">
        <f>'Consolidated - P&amp;L'!CL224</f>
        <v>0</v>
      </c>
      <c r="CL766" s="129">
        <f>'Consolidated - P&amp;L'!CM224</f>
        <v>0</v>
      </c>
      <c r="CM766" s="129">
        <f>'Consolidated - P&amp;L'!CN224</f>
        <v>0</v>
      </c>
      <c r="CN766" s="129">
        <f>'Consolidated - P&amp;L'!CO224</f>
        <v>0</v>
      </c>
      <c r="CO766" s="129">
        <f>'Consolidated - P&amp;L'!CP224</f>
        <v>0</v>
      </c>
      <c r="CP766" s="129">
        <f>'Consolidated - P&amp;L'!CQ224</f>
        <v>0</v>
      </c>
      <c r="CQ766" s="129">
        <f>'Consolidated - P&amp;L'!CR224</f>
        <v>0</v>
      </c>
      <c r="CR766" s="129">
        <f>'Consolidated - P&amp;L'!CS224</f>
        <v>0</v>
      </c>
      <c r="CS766" s="129">
        <f>'Consolidated - P&amp;L'!CT224</f>
        <v>0</v>
      </c>
      <c r="CT766" s="129">
        <f>'Consolidated - P&amp;L'!CU224</f>
        <v>0</v>
      </c>
      <c r="CU766" s="129">
        <f>'Consolidated - P&amp;L'!CV224</f>
        <v>0</v>
      </c>
      <c r="CV766" s="129">
        <f>'Consolidated - P&amp;L'!CW224</f>
        <v>0</v>
      </c>
      <c r="CW766" s="129">
        <f>'Consolidated - P&amp;L'!CX224</f>
        <v>0</v>
      </c>
      <c r="CX766" s="129">
        <f>'Consolidated - P&amp;L'!CY224</f>
        <v>0</v>
      </c>
      <c r="CY766" s="129">
        <f>'Consolidated - P&amp;L'!CZ224</f>
        <v>0</v>
      </c>
      <c r="CZ766" s="129">
        <f>'Consolidated - P&amp;L'!DA224</f>
        <v>0</v>
      </c>
      <c r="DA766" s="129">
        <f>'Consolidated - P&amp;L'!DB224</f>
        <v>0</v>
      </c>
      <c r="DB766" s="129">
        <f>'Consolidated - P&amp;L'!DC224</f>
        <v>0</v>
      </c>
      <c r="DC766" s="129">
        <f>'Consolidated - P&amp;L'!DD224</f>
        <v>0</v>
      </c>
      <c r="DD766" s="129">
        <f>'Consolidated - P&amp;L'!DE224</f>
        <v>0</v>
      </c>
      <c r="DE766" s="129">
        <f>'Consolidated - P&amp;L'!DF224</f>
        <v>0</v>
      </c>
      <c r="DF766" s="129">
        <f>'Consolidated - P&amp;L'!DG224</f>
        <v>0</v>
      </c>
      <c r="DG766" s="129">
        <f>'Consolidated - P&amp;L'!DH224</f>
        <v>0</v>
      </c>
      <c r="DH766" s="129">
        <f>'Consolidated - P&amp;L'!DI224</f>
        <v>0</v>
      </c>
      <c r="DI766" s="129">
        <f>'Consolidated - P&amp;L'!DJ224</f>
        <v>0</v>
      </c>
      <c r="DJ766" s="129">
        <f>'Consolidated - P&amp;L'!DK224</f>
        <v>0</v>
      </c>
      <c r="DK766" s="129">
        <f>'Consolidated - P&amp;L'!DL224</f>
        <v>0</v>
      </c>
      <c r="DL766" s="129">
        <f>'Consolidated - P&amp;L'!DM224</f>
        <v>0</v>
      </c>
      <c r="DM766" s="129">
        <f>'Consolidated - P&amp;L'!DN224</f>
        <v>0</v>
      </c>
      <c r="DN766" s="129">
        <f>'Consolidated - P&amp;L'!DO224</f>
        <v>0</v>
      </c>
      <c r="DO766" s="129">
        <f>'Consolidated - P&amp;L'!DP224</f>
        <v>0</v>
      </c>
      <c r="DP766" s="129">
        <f>'Consolidated - P&amp;L'!DQ224</f>
        <v>0</v>
      </c>
      <c r="DQ766" s="129">
        <f>'Consolidated - P&amp;L'!DR224</f>
        <v>0</v>
      </c>
      <c r="DR766" s="115"/>
      <c r="DS766" s="115"/>
      <c r="DT766" s="115"/>
      <c r="DU766" s="115"/>
      <c r="DV766" s="115"/>
      <c r="DW766" s="115"/>
      <c r="DX766" s="115"/>
      <c r="DY766" s="115"/>
      <c r="DZ766" s="115"/>
      <c r="EA766" s="115"/>
      <c r="EB766" s="115"/>
      <c r="EC766" s="645"/>
      <c r="ED766" s="113" t="s">
        <v>1</v>
      </c>
    </row>
    <row r="767" spans="1:134" hidden="1" x14ac:dyDescent="0.2">
      <c r="A767" s="757" t="s">
        <v>342</v>
      </c>
      <c r="B767" s="129">
        <f>'Consolidated - P&amp;L'!C225</f>
        <v>0</v>
      </c>
      <c r="C767" s="129">
        <f>'Consolidated - P&amp;L'!D225</f>
        <v>0</v>
      </c>
      <c r="D767" s="129">
        <f>'Consolidated - P&amp;L'!E225</f>
        <v>0</v>
      </c>
      <c r="E767" s="129">
        <f>'Consolidated - P&amp;L'!F225</f>
        <v>0</v>
      </c>
      <c r="F767" s="129">
        <f>'Consolidated - P&amp;L'!G225</f>
        <v>0</v>
      </c>
      <c r="G767" s="129">
        <f>'Consolidated - P&amp;L'!H225</f>
        <v>0</v>
      </c>
      <c r="H767" s="129">
        <f>'Consolidated - P&amp;L'!I225</f>
        <v>0</v>
      </c>
      <c r="I767" s="129">
        <f>'Consolidated - P&amp;L'!J225</f>
        <v>0</v>
      </c>
      <c r="J767" s="129">
        <f>'Consolidated - P&amp;L'!K225</f>
        <v>0</v>
      </c>
      <c r="K767" s="129">
        <f>'Consolidated - P&amp;L'!L225</f>
        <v>0</v>
      </c>
      <c r="L767" s="129">
        <f>'Consolidated - P&amp;L'!M225</f>
        <v>0</v>
      </c>
      <c r="M767" s="129">
        <f>'Consolidated - P&amp;L'!N225</f>
        <v>0</v>
      </c>
      <c r="N767" s="129">
        <f>'Consolidated - P&amp;L'!O225</f>
        <v>0</v>
      </c>
      <c r="O767" s="129">
        <f>'Consolidated - P&amp;L'!P225</f>
        <v>0</v>
      </c>
      <c r="P767" s="129">
        <f>'Consolidated - P&amp;L'!Q225</f>
        <v>0</v>
      </c>
      <c r="Q767" s="129">
        <f>'Consolidated - P&amp;L'!R225</f>
        <v>0</v>
      </c>
      <c r="R767" s="129">
        <f>'Consolidated - P&amp;L'!S225</f>
        <v>0</v>
      </c>
      <c r="S767" s="129">
        <f>'Consolidated - P&amp;L'!T225</f>
        <v>0</v>
      </c>
      <c r="T767" s="129">
        <f>'Consolidated - P&amp;L'!U225</f>
        <v>0</v>
      </c>
      <c r="U767" s="129">
        <f>'Consolidated - P&amp;L'!V225</f>
        <v>0</v>
      </c>
      <c r="V767" s="129">
        <f>'Consolidated - P&amp;L'!W225</f>
        <v>0</v>
      </c>
      <c r="W767" s="129">
        <f>'Consolidated - P&amp;L'!X225</f>
        <v>0</v>
      </c>
      <c r="X767" s="129">
        <f>'Consolidated - P&amp;L'!Y225</f>
        <v>0</v>
      </c>
      <c r="Y767" s="129">
        <f>'Consolidated - P&amp;L'!Z225</f>
        <v>0</v>
      </c>
      <c r="Z767" s="129">
        <f>'Consolidated - P&amp;L'!AA225</f>
        <v>0</v>
      </c>
      <c r="AA767" s="129">
        <f>'Consolidated - P&amp;L'!AB225</f>
        <v>2250234</v>
      </c>
      <c r="AB767" s="129">
        <f>'Consolidated - P&amp;L'!AC225</f>
        <v>3016110</v>
      </c>
      <c r="AC767" s="129">
        <f>'Consolidated - P&amp;L'!AD225</f>
        <v>3536763</v>
      </c>
      <c r="AD767" s="129">
        <f>'Consolidated - P&amp;L'!AE225</f>
        <v>1863503</v>
      </c>
      <c r="AE767" s="129">
        <f>'Consolidated - P&amp;L'!AF225</f>
        <v>466688</v>
      </c>
      <c r="AF767" s="129">
        <f>'Consolidated - P&amp;L'!AG225</f>
        <v>443616</v>
      </c>
      <c r="AG767" s="129">
        <f>'Consolidated - P&amp;L'!AH225</f>
        <v>599875</v>
      </c>
      <c r="AH767" s="129">
        <f>'Consolidated - P&amp;L'!AI225</f>
        <v>0</v>
      </c>
      <c r="AI767" s="129">
        <f>'Consolidated - P&amp;L'!AJ225</f>
        <v>0</v>
      </c>
      <c r="AJ767" s="129">
        <f>'Consolidated - P&amp;L'!AK225</f>
        <v>0</v>
      </c>
      <c r="AK767" s="129">
        <f>'Consolidated - P&amp;L'!AL225</f>
        <v>0</v>
      </c>
      <c r="AL767" s="129">
        <f>'Consolidated - P&amp;L'!AM225</f>
        <v>3239319</v>
      </c>
      <c r="AM767" s="129">
        <f>'Consolidated - P&amp;L'!AN225</f>
        <v>0</v>
      </c>
      <c r="AN767" s="129">
        <f>'Consolidated - P&amp;L'!AO225</f>
        <v>0</v>
      </c>
      <c r="AO767" s="129">
        <f>'Consolidated - P&amp;L'!AP225</f>
        <v>0</v>
      </c>
      <c r="AP767" s="129">
        <f>'Consolidated - P&amp;L'!AQ225</f>
        <v>0</v>
      </c>
      <c r="AQ767" s="129">
        <f>'Consolidated - P&amp;L'!AR225</f>
        <v>0</v>
      </c>
      <c r="AR767" s="129">
        <f>'Consolidated - P&amp;L'!AS225</f>
        <v>0</v>
      </c>
      <c r="AS767" s="129">
        <f>'Consolidated - P&amp;L'!AT225</f>
        <v>0</v>
      </c>
      <c r="AT767" s="129">
        <f>'Consolidated - P&amp;L'!AU225</f>
        <v>0</v>
      </c>
      <c r="AU767" s="129">
        <f>'Consolidated - P&amp;L'!AV225</f>
        <v>0</v>
      </c>
      <c r="AV767" s="129">
        <f>'Consolidated - P&amp;L'!AW225</f>
        <v>0</v>
      </c>
      <c r="AW767" s="129">
        <f>'Consolidated - P&amp;L'!AX225</f>
        <v>7500000</v>
      </c>
      <c r="AX767" s="129">
        <f>'Consolidated - P&amp;L'!AY225</f>
        <v>0</v>
      </c>
      <c r="AY767" s="129">
        <f>'Consolidated - P&amp;L'!AZ225</f>
        <v>0</v>
      </c>
      <c r="AZ767" s="129">
        <f>'Consolidated - P&amp;L'!BA225</f>
        <v>31189580</v>
      </c>
      <c r="BA767" s="129">
        <f>'Consolidated - P&amp;L'!BB225</f>
        <v>0</v>
      </c>
      <c r="BB767" s="129">
        <f>'Consolidated - P&amp;L'!BC225</f>
        <v>5244302</v>
      </c>
      <c r="BC767" s="129">
        <f>'Consolidated - P&amp;L'!BD225</f>
        <v>0</v>
      </c>
      <c r="BD767" s="129">
        <f>'Consolidated - P&amp;L'!BE225</f>
        <v>0</v>
      </c>
      <c r="BE767" s="129">
        <f>'Consolidated - P&amp;L'!BF225</f>
        <v>0</v>
      </c>
      <c r="BF767" s="129">
        <f>'Consolidated - P&amp;L'!BG225</f>
        <v>0</v>
      </c>
      <c r="BG767" s="129">
        <f>'Consolidated - P&amp;L'!BH225</f>
        <v>0</v>
      </c>
      <c r="BH767" s="129">
        <f>'Consolidated - P&amp;L'!BI225</f>
        <v>0</v>
      </c>
      <c r="BI767" s="129">
        <f>'Consolidated - P&amp;L'!BJ225</f>
        <v>0</v>
      </c>
      <c r="BJ767" s="129">
        <f>'Consolidated - P&amp;L'!BK225</f>
        <v>0</v>
      </c>
      <c r="BK767" s="129">
        <f>'Consolidated - P&amp;L'!BL225</f>
        <v>0</v>
      </c>
      <c r="BL767" s="129">
        <f>'Consolidated - P&amp;L'!BM225</f>
        <v>0</v>
      </c>
      <c r="BM767" s="129">
        <f>'Consolidated - P&amp;L'!BN225</f>
        <v>0</v>
      </c>
      <c r="BN767" s="129">
        <f>'Consolidated - P&amp;L'!BO225</f>
        <v>0</v>
      </c>
      <c r="BO767" s="129">
        <f>'Consolidated - P&amp;L'!BP225</f>
        <v>0</v>
      </c>
      <c r="BP767" s="129">
        <f>'Consolidated - P&amp;L'!BQ225</f>
        <v>0</v>
      </c>
      <c r="BQ767" s="129">
        <f>'Consolidated - P&amp;L'!BR225</f>
        <v>0</v>
      </c>
      <c r="BR767" s="129">
        <f>'Consolidated - P&amp;L'!BS225</f>
        <v>0</v>
      </c>
      <c r="BS767" s="129">
        <f>'Consolidated - P&amp;L'!BT225</f>
        <v>0</v>
      </c>
      <c r="BT767" s="129">
        <f>'Consolidated - P&amp;L'!BU225</f>
        <v>0</v>
      </c>
      <c r="BU767" s="129">
        <f>'Consolidated - P&amp;L'!BV225</f>
        <v>0</v>
      </c>
      <c r="BV767" s="129">
        <f>'Consolidated - P&amp;L'!BW225</f>
        <v>0</v>
      </c>
      <c r="BW767" s="129">
        <f>'Consolidated - P&amp;L'!BX225</f>
        <v>0</v>
      </c>
      <c r="BX767" s="129">
        <f>'Consolidated - P&amp;L'!BY225</f>
        <v>0</v>
      </c>
      <c r="BY767" s="129">
        <f>'Consolidated - P&amp;L'!BZ225</f>
        <v>0</v>
      </c>
      <c r="BZ767" s="129">
        <f>'Consolidated - P&amp;L'!CA225</f>
        <v>0</v>
      </c>
      <c r="CA767" s="129">
        <f>'Consolidated - P&amp;L'!CB225</f>
        <v>0</v>
      </c>
      <c r="CB767" s="129">
        <f>'Consolidated - P&amp;L'!CC225</f>
        <v>0</v>
      </c>
      <c r="CC767" s="129">
        <f>'Consolidated - P&amp;L'!CD225</f>
        <v>0</v>
      </c>
      <c r="CD767" s="129">
        <f>'Consolidated - P&amp;L'!CE225</f>
        <v>0</v>
      </c>
      <c r="CE767" s="129">
        <f>'Consolidated - P&amp;L'!CF225</f>
        <v>0</v>
      </c>
      <c r="CF767" s="129">
        <f>'Consolidated - P&amp;L'!CG225</f>
        <v>0</v>
      </c>
      <c r="CG767" s="129">
        <f>'Consolidated - P&amp;L'!CH225</f>
        <v>0</v>
      </c>
      <c r="CH767" s="129">
        <f>'Consolidated - P&amp;L'!CI225</f>
        <v>0</v>
      </c>
      <c r="CI767" s="129">
        <f>'Consolidated - P&amp;L'!CJ225</f>
        <v>0</v>
      </c>
      <c r="CJ767" s="129">
        <f>'Consolidated - P&amp;L'!CK225</f>
        <v>0</v>
      </c>
      <c r="CK767" s="129">
        <f>'Consolidated - P&amp;L'!CL225</f>
        <v>0</v>
      </c>
      <c r="CL767" s="129">
        <f>'Consolidated - P&amp;L'!CM225</f>
        <v>0</v>
      </c>
      <c r="CM767" s="129">
        <f>'Consolidated - P&amp;L'!CN225</f>
        <v>0</v>
      </c>
      <c r="CN767" s="129">
        <f>'Consolidated - P&amp;L'!CO225</f>
        <v>0</v>
      </c>
      <c r="CO767" s="129">
        <f>'Consolidated - P&amp;L'!CP225</f>
        <v>0</v>
      </c>
      <c r="CP767" s="129">
        <f>'Consolidated - P&amp;L'!CQ225</f>
        <v>0</v>
      </c>
      <c r="CQ767" s="129">
        <f>'Consolidated - P&amp;L'!CR225</f>
        <v>0</v>
      </c>
      <c r="CR767" s="129">
        <f>'Consolidated - P&amp;L'!CS225</f>
        <v>0</v>
      </c>
      <c r="CS767" s="129">
        <f>'Consolidated - P&amp;L'!CT225</f>
        <v>0</v>
      </c>
      <c r="CT767" s="129">
        <f>'Consolidated - P&amp;L'!CU225</f>
        <v>0</v>
      </c>
      <c r="CU767" s="129">
        <f>'Consolidated - P&amp;L'!CV225</f>
        <v>0</v>
      </c>
      <c r="CV767" s="129">
        <f>'Consolidated - P&amp;L'!CW225</f>
        <v>0</v>
      </c>
      <c r="CW767" s="129">
        <f>'Consolidated - P&amp;L'!CX225</f>
        <v>0</v>
      </c>
      <c r="CX767" s="129">
        <f>'Consolidated - P&amp;L'!CY225</f>
        <v>0</v>
      </c>
      <c r="CY767" s="129">
        <f>'Consolidated - P&amp;L'!CZ225</f>
        <v>0</v>
      </c>
      <c r="CZ767" s="129">
        <f>'Consolidated - P&amp;L'!DA225</f>
        <v>0</v>
      </c>
      <c r="DA767" s="129">
        <f>'Consolidated - P&amp;L'!DB225</f>
        <v>0</v>
      </c>
      <c r="DB767" s="129">
        <f>'Consolidated - P&amp;L'!DC225</f>
        <v>0</v>
      </c>
      <c r="DC767" s="129">
        <f>'Consolidated - P&amp;L'!DD225</f>
        <v>0</v>
      </c>
      <c r="DD767" s="129">
        <f>'Consolidated - P&amp;L'!DE225</f>
        <v>0</v>
      </c>
      <c r="DE767" s="129">
        <f>'Consolidated - P&amp;L'!DF225</f>
        <v>0</v>
      </c>
      <c r="DF767" s="129">
        <f>'Consolidated - P&amp;L'!DG225</f>
        <v>0</v>
      </c>
      <c r="DG767" s="129">
        <f>'Consolidated - P&amp;L'!DH225</f>
        <v>0</v>
      </c>
      <c r="DH767" s="129">
        <f>'Consolidated - P&amp;L'!DI225</f>
        <v>0</v>
      </c>
      <c r="DI767" s="129">
        <f>'Consolidated - P&amp;L'!DJ225</f>
        <v>0</v>
      </c>
      <c r="DJ767" s="129">
        <f>'Consolidated - P&amp;L'!DK225</f>
        <v>0</v>
      </c>
      <c r="DK767" s="129">
        <f>'Consolidated - P&amp;L'!DL225</f>
        <v>0</v>
      </c>
      <c r="DL767" s="129">
        <f>'Consolidated - P&amp;L'!DM225</f>
        <v>0</v>
      </c>
      <c r="DM767" s="129">
        <f>'Consolidated - P&amp;L'!DN225</f>
        <v>0</v>
      </c>
      <c r="DN767" s="129">
        <f>'Consolidated - P&amp;L'!DO225</f>
        <v>0</v>
      </c>
      <c r="DO767" s="129">
        <f>'Consolidated - P&amp;L'!DP225</f>
        <v>0</v>
      </c>
      <c r="DP767" s="129">
        <f>'Consolidated - P&amp;L'!DQ225</f>
        <v>0</v>
      </c>
      <c r="DQ767" s="129">
        <f>'Consolidated - P&amp;L'!DR225</f>
        <v>0</v>
      </c>
      <c r="DR767" s="115"/>
      <c r="DS767" s="115"/>
      <c r="DT767" s="115"/>
      <c r="DU767" s="115"/>
      <c r="DV767" s="115"/>
      <c r="DW767" s="115"/>
      <c r="DX767" s="115"/>
      <c r="DY767" s="115"/>
      <c r="DZ767" s="115"/>
      <c r="EA767" s="115"/>
      <c r="EB767" s="115"/>
      <c r="EC767" s="645"/>
      <c r="ED767" s="113" t="s">
        <v>1</v>
      </c>
    </row>
    <row r="768" spans="1:134" hidden="1" x14ac:dyDescent="0.2">
      <c r="A768" s="757" t="s">
        <v>343</v>
      </c>
      <c r="B768" s="129">
        <f>'Consolidated - P&amp;L'!C226</f>
        <v>0</v>
      </c>
      <c r="C768" s="129">
        <f>'Consolidated - P&amp;L'!D226</f>
        <v>0</v>
      </c>
      <c r="D768" s="129">
        <f>'Consolidated - P&amp;L'!E226</f>
        <v>0</v>
      </c>
      <c r="E768" s="129">
        <f>'Consolidated - P&amp;L'!F226</f>
        <v>0</v>
      </c>
      <c r="F768" s="129">
        <f>'Consolidated - P&amp;L'!G226</f>
        <v>0</v>
      </c>
      <c r="G768" s="129">
        <f>'Consolidated - P&amp;L'!H226</f>
        <v>0</v>
      </c>
      <c r="H768" s="129">
        <f>'Consolidated - P&amp;L'!I226</f>
        <v>0</v>
      </c>
      <c r="I768" s="129">
        <f>'Consolidated - P&amp;L'!J226</f>
        <v>0</v>
      </c>
      <c r="J768" s="129">
        <f>'Consolidated - P&amp;L'!K226</f>
        <v>0</v>
      </c>
      <c r="K768" s="129">
        <f>'Consolidated - P&amp;L'!L226</f>
        <v>0</v>
      </c>
      <c r="L768" s="129">
        <f>'Consolidated - P&amp;L'!M226</f>
        <v>0</v>
      </c>
      <c r="M768" s="129">
        <f>'Consolidated - P&amp;L'!N226</f>
        <v>0</v>
      </c>
      <c r="N768" s="129">
        <f>'Consolidated - P&amp;L'!O226</f>
        <v>0</v>
      </c>
      <c r="O768" s="129">
        <f>'Consolidated - P&amp;L'!P226</f>
        <v>0</v>
      </c>
      <c r="P768" s="129">
        <f>'Consolidated - P&amp;L'!Q226</f>
        <v>0</v>
      </c>
      <c r="Q768" s="129">
        <f>'Consolidated - P&amp;L'!R226</f>
        <v>0</v>
      </c>
      <c r="R768" s="129">
        <f>'Consolidated - P&amp;L'!S226</f>
        <v>0</v>
      </c>
      <c r="S768" s="129">
        <f>'Consolidated - P&amp;L'!T226</f>
        <v>0</v>
      </c>
      <c r="T768" s="129">
        <f>'Consolidated - P&amp;L'!U226</f>
        <v>0</v>
      </c>
      <c r="U768" s="129">
        <f>'Consolidated - P&amp;L'!V226</f>
        <v>0</v>
      </c>
      <c r="V768" s="129">
        <f>'Consolidated - P&amp;L'!W226</f>
        <v>0</v>
      </c>
      <c r="W768" s="129">
        <f>'Consolidated - P&amp;L'!X226</f>
        <v>0</v>
      </c>
      <c r="X768" s="129">
        <f>'Consolidated - P&amp;L'!Y226</f>
        <v>0</v>
      </c>
      <c r="Y768" s="129">
        <f>'Consolidated - P&amp;L'!Z226</f>
        <v>0</v>
      </c>
      <c r="Z768" s="129">
        <f>'Consolidated - P&amp;L'!AA226</f>
        <v>0</v>
      </c>
      <c r="AA768" s="129">
        <f>'Consolidated - P&amp;L'!AB226</f>
        <v>3500000</v>
      </c>
      <c r="AB768" s="129">
        <f>'Consolidated - P&amp;L'!AC226</f>
        <v>0</v>
      </c>
      <c r="AC768" s="129">
        <f>'Consolidated - P&amp;L'!AD226</f>
        <v>0</v>
      </c>
      <c r="AD768" s="129">
        <f>'Consolidated - P&amp;L'!AE226</f>
        <v>0</v>
      </c>
      <c r="AE768" s="129">
        <f>'Consolidated - P&amp;L'!AF226</f>
        <v>0</v>
      </c>
      <c r="AF768" s="129">
        <f>'Consolidated - P&amp;L'!AG226</f>
        <v>0</v>
      </c>
      <c r="AG768" s="129">
        <f>'Consolidated - P&amp;L'!AH226</f>
        <v>0</v>
      </c>
      <c r="AH768" s="129">
        <f>'Consolidated - P&amp;L'!AI226</f>
        <v>0</v>
      </c>
      <c r="AI768" s="129">
        <f>'Consolidated - P&amp;L'!AJ226</f>
        <v>0</v>
      </c>
      <c r="AJ768" s="129">
        <f>'Consolidated - P&amp;L'!AK226</f>
        <v>0</v>
      </c>
      <c r="AK768" s="129">
        <f>'Consolidated - P&amp;L'!AL226</f>
        <v>0</v>
      </c>
      <c r="AL768" s="129">
        <f>'Consolidated - P&amp;L'!AM226</f>
        <v>0</v>
      </c>
      <c r="AM768" s="129">
        <f>'Consolidated - P&amp;L'!AN226</f>
        <v>10000000</v>
      </c>
      <c r="AN768" s="129">
        <f>'Consolidated - P&amp;L'!AO226</f>
        <v>0</v>
      </c>
      <c r="AO768" s="129">
        <f>'Consolidated - P&amp;L'!AP226</f>
        <v>0</v>
      </c>
      <c r="AP768" s="129">
        <f>'Consolidated - P&amp;L'!AQ226</f>
        <v>0</v>
      </c>
      <c r="AQ768" s="129">
        <f>'Consolidated - P&amp;L'!AR226</f>
        <v>0</v>
      </c>
      <c r="AR768" s="129">
        <f>'Consolidated - P&amp;L'!AS226</f>
        <v>0</v>
      </c>
      <c r="AS768" s="129">
        <f>'Consolidated - P&amp;L'!AT226</f>
        <v>0</v>
      </c>
      <c r="AT768" s="129">
        <f>'Consolidated - P&amp;L'!AU226</f>
        <v>0</v>
      </c>
      <c r="AU768" s="129">
        <f>'Consolidated - P&amp;L'!AV226</f>
        <v>0</v>
      </c>
      <c r="AV768" s="129">
        <f>'Consolidated - P&amp;L'!AW226</f>
        <v>0</v>
      </c>
      <c r="AW768" s="129">
        <f>'Consolidated - P&amp;L'!AX226</f>
        <v>0</v>
      </c>
      <c r="AX768" s="129">
        <f>'Consolidated - P&amp;L'!AY226</f>
        <v>0</v>
      </c>
      <c r="AY768" s="129">
        <f>'Consolidated - P&amp;L'!AZ226</f>
        <v>0</v>
      </c>
      <c r="AZ768" s="129">
        <f>'Consolidated - P&amp;L'!BA226</f>
        <v>0</v>
      </c>
      <c r="BA768" s="129">
        <f>'Consolidated - P&amp;L'!BB226</f>
        <v>0</v>
      </c>
      <c r="BB768" s="129">
        <f>'Consolidated - P&amp;L'!BC226</f>
        <v>0</v>
      </c>
      <c r="BC768" s="129">
        <f>'Consolidated - P&amp;L'!BD226</f>
        <v>0</v>
      </c>
      <c r="BD768" s="129">
        <f>'Consolidated - P&amp;L'!BE226</f>
        <v>0</v>
      </c>
      <c r="BE768" s="129">
        <f>'Consolidated - P&amp;L'!BF226</f>
        <v>0</v>
      </c>
      <c r="BF768" s="129">
        <f>'Consolidated - P&amp;L'!BG226</f>
        <v>0</v>
      </c>
      <c r="BG768" s="129">
        <f>'Consolidated - P&amp;L'!BH226</f>
        <v>0</v>
      </c>
      <c r="BH768" s="129">
        <f>'Consolidated - P&amp;L'!BI226</f>
        <v>0</v>
      </c>
      <c r="BI768" s="129">
        <f>'Consolidated - P&amp;L'!BJ226</f>
        <v>0</v>
      </c>
      <c r="BJ768" s="129">
        <f>'Consolidated - P&amp;L'!BK226</f>
        <v>0</v>
      </c>
      <c r="BK768" s="129">
        <f>'Consolidated - P&amp;L'!BL226</f>
        <v>0</v>
      </c>
      <c r="BL768" s="129">
        <f>'Consolidated - P&amp;L'!BM226</f>
        <v>0</v>
      </c>
      <c r="BM768" s="129">
        <f>'Consolidated - P&amp;L'!BN226</f>
        <v>0</v>
      </c>
      <c r="BN768" s="129">
        <f>'Consolidated - P&amp;L'!BO226</f>
        <v>0</v>
      </c>
      <c r="BO768" s="129">
        <f>'Consolidated - P&amp;L'!BP226</f>
        <v>0</v>
      </c>
      <c r="BP768" s="129">
        <f>'Consolidated - P&amp;L'!BQ226</f>
        <v>0</v>
      </c>
      <c r="BQ768" s="129">
        <f>'Consolidated - P&amp;L'!BR226</f>
        <v>0</v>
      </c>
      <c r="BR768" s="129">
        <f>'Consolidated - P&amp;L'!BS226</f>
        <v>0</v>
      </c>
      <c r="BS768" s="129">
        <f>'Consolidated - P&amp;L'!BT226</f>
        <v>0</v>
      </c>
      <c r="BT768" s="129">
        <f>'Consolidated - P&amp;L'!BU226</f>
        <v>0</v>
      </c>
      <c r="BU768" s="129">
        <f>'Consolidated - P&amp;L'!BV226</f>
        <v>0</v>
      </c>
      <c r="BV768" s="129">
        <f>'Consolidated - P&amp;L'!BW226</f>
        <v>0</v>
      </c>
      <c r="BW768" s="129">
        <f>'Consolidated - P&amp;L'!BX226</f>
        <v>0</v>
      </c>
      <c r="BX768" s="129">
        <f>'Consolidated - P&amp;L'!BY226</f>
        <v>0</v>
      </c>
      <c r="BY768" s="129">
        <f>'Consolidated - P&amp;L'!BZ226</f>
        <v>0</v>
      </c>
      <c r="BZ768" s="129">
        <f>'Consolidated - P&amp;L'!CA226</f>
        <v>0</v>
      </c>
      <c r="CA768" s="129">
        <f>'Consolidated - P&amp;L'!CB226</f>
        <v>0</v>
      </c>
      <c r="CB768" s="129">
        <f>'Consolidated - P&amp;L'!CC226</f>
        <v>0</v>
      </c>
      <c r="CC768" s="129">
        <f>'Consolidated - P&amp;L'!CD226</f>
        <v>0</v>
      </c>
      <c r="CD768" s="129">
        <f>'Consolidated - P&amp;L'!CE226</f>
        <v>0</v>
      </c>
      <c r="CE768" s="129">
        <f>'Consolidated - P&amp;L'!CF226</f>
        <v>0</v>
      </c>
      <c r="CF768" s="129">
        <f>'Consolidated - P&amp;L'!CG226</f>
        <v>0</v>
      </c>
      <c r="CG768" s="129">
        <f>'Consolidated - P&amp;L'!CH226</f>
        <v>0</v>
      </c>
      <c r="CH768" s="129">
        <f>'Consolidated - P&amp;L'!CI226</f>
        <v>0</v>
      </c>
      <c r="CI768" s="129">
        <f>'Consolidated - P&amp;L'!CJ226</f>
        <v>0</v>
      </c>
      <c r="CJ768" s="129">
        <f>'Consolidated - P&amp;L'!CK226</f>
        <v>0</v>
      </c>
      <c r="CK768" s="129">
        <f>'Consolidated - P&amp;L'!CL226</f>
        <v>0</v>
      </c>
      <c r="CL768" s="129">
        <f>'Consolidated - P&amp;L'!CM226</f>
        <v>0</v>
      </c>
      <c r="CM768" s="129">
        <f>'Consolidated - P&amp;L'!CN226</f>
        <v>0</v>
      </c>
      <c r="CN768" s="129">
        <f>'Consolidated - P&amp;L'!CO226</f>
        <v>0</v>
      </c>
      <c r="CO768" s="129">
        <f>'Consolidated - P&amp;L'!CP226</f>
        <v>0</v>
      </c>
      <c r="CP768" s="129">
        <f>'Consolidated - P&amp;L'!CQ226</f>
        <v>0</v>
      </c>
      <c r="CQ768" s="129">
        <f>'Consolidated - P&amp;L'!CR226</f>
        <v>0</v>
      </c>
      <c r="CR768" s="129">
        <f>'Consolidated - P&amp;L'!CS226</f>
        <v>0</v>
      </c>
      <c r="CS768" s="129">
        <f>'Consolidated - P&amp;L'!CT226</f>
        <v>0</v>
      </c>
      <c r="CT768" s="129">
        <f>'Consolidated - P&amp;L'!CU226</f>
        <v>0</v>
      </c>
      <c r="CU768" s="129">
        <f>'Consolidated - P&amp;L'!CV226</f>
        <v>0</v>
      </c>
      <c r="CV768" s="129">
        <f>'Consolidated - P&amp;L'!CW226</f>
        <v>0</v>
      </c>
      <c r="CW768" s="129">
        <f>'Consolidated - P&amp;L'!CX226</f>
        <v>0</v>
      </c>
      <c r="CX768" s="129">
        <f>'Consolidated - P&amp;L'!CY226</f>
        <v>0</v>
      </c>
      <c r="CY768" s="129">
        <f>'Consolidated - P&amp;L'!CZ226</f>
        <v>0</v>
      </c>
      <c r="CZ768" s="129">
        <f>'Consolidated - P&amp;L'!DA226</f>
        <v>0</v>
      </c>
      <c r="DA768" s="129">
        <f>'Consolidated - P&amp;L'!DB226</f>
        <v>0</v>
      </c>
      <c r="DB768" s="129">
        <f>'Consolidated - P&amp;L'!DC226</f>
        <v>0</v>
      </c>
      <c r="DC768" s="129">
        <f>'Consolidated - P&amp;L'!DD226</f>
        <v>0</v>
      </c>
      <c r="DD768" s="129">
        <f>'Consolidated - P&amp;L'!DE226</f>
        <v>0</v>
      </c>
      <c r="DE768" s="129">
        <f>'Consolidated - P&amp;L'!DF226</f>
        <v>0</v>
      </c>
      <c r="DF768" s="129">
        <f>'Consolidated - P&amp;L'!DG226</f>
        <v>0</v>
      </c>
      <c r="DG768" s="129">
        <f>'Consolidated - P&amp;L'!DH226</f>
        <v>0</v>
      </c>
      <c r="DH768" s="129">
        <f>'Consolidated - P&amp;L'!DI226</f>
        <v>0</v>
      </c>
      <c r="DI768" s="129">
        <f>'Consolidated - P&amp;L'!DJ226</f>
        <v>0</v>
      </c>
      <c r="DJ768" s="129">
        <f>'Consolidated - P&amp;L'!DK226</f>
        <v>0</v>
      </c>
      <c r="DK768" s="129">
        <f>'Consolidated - P&amp;L'!DL226</f>
        <v>0</v>
      </c>
      <c r="DL768" s="129">
        <f>'Consolidated - P&amp;L'!DM226</f>
        <v>0</v>
      </c>
      <c r="DM768" s="129">
        <f>'Consolidated - P&amp;L'!DN226</f>
        <v>0</v>
      </c>
      <c r="DN768" s="129">
        <f>'Consolidated - P&amp;L'!DO226</f>
        <v>0</v>
      </c>
      <c r="DO768" s="129">
        <f>'Consolidated - P&amp;L'!DP226</f>
        <v>0</v>
      </c>
      <c r="DP768" s="129">
        <f>'Consolidated - P&amp;L'!DQ226</f>
        <v>0</v>
      </c>
      <c r="DQ768" s="129">
        <f>'Consolidated - P&amp;L'!DR226</f>
        <v>0</v>
      </c>
      <c r="DR768" s="115"/>
      <c r="DS768" s="115"/>
      <c r="DT768" s="115"/>
      <c r="DU768" s="115"/>
      <c r="DV768" s="115"/>
      <c r="DW768" s="115"/>
      <c r="DX768" s="115"/>
      <c r="DY768" s="115"/>
      <c r="DZ768" s="115"/>
      <c r="EA768" s="115"/>
      <c r="EB768" s="115"/>
      <c r="EC768" s="645"/>
      <c r="ED768" s="113" t="s">
        <v>1</v>
      </c>
    </row>
    <row r="769" spans="1:134" hidden="1" x14ac:dyDescent="0.2">
      <c r="A769" s="755"/>
      <c r="B769" s="129">
        <f>'Consolidated - P&amp;L'!C227</f>
        <v>0</v>
      </c>
      <c r="C769" s="129">
        <f>'Consolidated - P&amp;L'!D227</f>
        <v>0</v>
      </c>
      <c r="D769" s="129">
        <f>'Consolidated - P&amp;L'!E227</f>
        <v>0</v>
      </c>
      <c r="E769" s="129">
        <f>'Consolidated - P&amp;L'!F227</f>
        <v>0</v>
      </c>
      <c r="F769" s="129">
        <f>'Consolidated - P&amp;L'!G227</f>
        <v>0</v>
      </c>
      <c r="G769" s="129">
        <f>'Consolidated - P&amp;L'!H227</f>
        <v>0</v>
      </c>
      <c r="H769" s="129">
        <f>'Consolidated - P&amp;L'!I227</f>
        <v>0</v>
      </c>
      <c r="I769" s="129">
        <f>'Consolidated - P&amp;L'!J227</f>
        <v>0</v>
      </c>
      <c r="J769" s="129">
        <f>'Consolidated - P&amp;L'!K227</f>
        <v>0</v>
      </c>
      <c r="K769" s="129">
        <f>'Consolidated - P&amp;L'!L227</f>
        <v>0</v>
      </c>
      <c r="L769" s="129">
        <f>'Consolidated - P&amp;L'!M227</f>
        <v>0</v>
      </c>
      <c r="M769" s="129">
        <f>'Consolidated - P&amp;L'!N227</f>
        <v>0</v>
      </c>
      <c r="N769" s="129">
        <f>'Consolidated - P&amp;L'!O227</f>
        <v>0</v>
      </c>
      <c r="O769" s="129">
        <f>'Consolidated - P&amp;L'!P227</f>
        <v>0</v>
      </c>
      <c r="P769" s="129">
        <f>'Consolidated - P&amp;L'!Q227</f>
        <v>0</v>
      </c>
      <c r="Q769" s="129">
        <f>'Consolidated - P&amp;L'!R227</f>
        <v>0</v>
      </c>
      <c r="R769" s="129">
        <f>'Consolidated - P&amp;L'!S227</f>
        <v>0</v>
      </c>
      <c r="S769" s="129">
        <f>'Consolidated - P&amp;L'!T227</f>
        <v>0</v>
      </c>
      <c r="T769" s="129">
        <f>'Consolidated - P&amp;L'!U227</f>
        <v>0</v>
      </c>
      <c r="U769" s="129">
        <f>'Consolidated - P&amp;L'!V227</f>
        <v>0</v>
      </c>
      <c r="V769" s="129">
        <f>'Consolidated - P&amp;L'!W227</f>
        <v>0</v>
      </c>
      <c r="W769" s="129">
        <f>'Consolidated - P&amp;L'!X227</f>
        <v>0</v>
      </c>
      <c r="X769" s="129">
        <f>'Consolidated - P&amp;L'!Y227</f>
        <v>0</v>
      </c>
      <c r="Y769" s="129">
        <f>'Consolidated - P&amp;L'!Z227</f>
        <v>0</v>
      </c>
      <c r="Z769" s="129">
        <f>'Consolidated - P&amp;L'!AA227</f>
        <v>0</v>
      </c>
      <c r="AA769" s="129">
        <f>'Consolidated - P&amp;L'!AB227</f>
        <v>0</v>
      </c>
      <c r="AB769" s="129">
        <f>'Consolidated - P&amp;L'!AC227</f>
        <v>0</v>
      </c>
      <c r="AC769" s="129">
        <f>'Consolidated - P&amp;L'!AD227</f>
        <v>0</v>
      </c>
      <c r="AD769" s="129">
        <f>'Consolidated - P&amp;L'!AE227</f>
        <v>0</v>
      </c>
      <c r="AE769" s="129">
        <f>'Consolidated - P&amp;L'!AF227</f>
        <v>0</v>
      </c>
      <c r="AF769" s="129">
        <f>'Consolidated - P&amp;L'!AG227</f>
        <v>0</v>
      </c>
      <c r="AG769" s="129">
        <f>'Consolidated - P&amp;L'!AH227</f>
        <v>0</v>
      </c>
      <c r="AH769" s="129">
        <f>'Consolidated - P&amp;L'!AI227</f>
        <v>0</v>
      </c>
      <c r="AI769" s="129">
        <f>'Consolidated - P&amp;L'!AJ227</f>
        <v>0</v>
      </c>
      <c r="AJ769" s="129">
        <f>'Consolidated - P&amp;L'!AK227</f>
        <v>0</v>
      </c>
      <c r="AK769" s="129">
        <f>'Consolidated - P&amp;L'!AL227</f>
        <v>0</v>
      </c>
      <c r="AL769" s="129">
        <f>'Consolidated - P&amp;L'!AM227</f>
        <v>0</v>
      </c>
      <c r="AM769" s="129">
        <f>'Consolidated - P&amp;L'!AN227</f>
        <v>0</v>
      </c>
      <c r="AN769" s="129">
        <f>'Consolidated - P&amp;L'!AO227</f>
        <v>0</v>
      </c>
      <c r="AO769" s="129">
        <f>'Consolidated - P&amp;L'!AP227</f>
        <v>0</v>
      </c>
      <c r="AP769" s="129">
        <f>'Consolidated - P&amp;L'!AQ227</f>
        <v>0</v>
      </c>
      <c r="AQ769" s="129">
        <f>'Consolidated - P&amp;L'!AR227</f>
        <v>0</v>
      </c>
      <c r="AR769" s="129">
        <f>'Consolidated - P&amp;L'!AS227</f>
        <v>0</v>
      </c>
      <c r="AS769" s="129">
        <f>'Consolidated - P&amp;L'!AT227</f>
        <v>0</v>
      </c>
      <c r="AT769" s="129">
        <f>'Consolidated - P&amp;L'!AU227</f>
        <v>0</v>
      </c>
      <c r="AU769" s="129">
        <f>'Consolidated - P&amp;L'!AV227</f>
        <v>0</v>
      </c>
      <c r="AV769" s="129">
        <f>'Consolidated - P&amp;L'!AW227</f>
        <v>0</v>
      </c>
      <c r="AW769" s="129">
        <f>'Consolidated - P&amp;L'!AX227</f>
        <v>0</v>
      </c>
      <c r="AX769" s="129">
        <f>'Consolidated - P&amp;L'!AY227</f>
        <v>0</v>
      </c>
      <c r="AY769" s="129">
        <f>'Consolidated - P&amp;L'!AZ227</f>
        <v>0</v>
      </c>
      <c r="AZ769" s="129">
        <f>'Consolidated - P&amp;L'!BA227</f>
        <v>0</v>
      </c>
      <c r="BA769" s="129">
        <f>'Consolidated - P&amp;L'!BB227</f>
        <v>0</v>
      </c>
      <c r="BB769" s="129">
        <f>'Consolidated - P&amp;L'!BC227</f>
        <v>0</v>
      </c>
      <c r="BC769" s="129">
        <f>'Consolidated - P&amp;L'!BD227</f>
        <v>0</v>
      </c>
      <c r="BD769" s="129">
        <f>'Consolidated - P&amp;L'!BE227</f>
        <v>0</v>
      </c>
      <c r="BE769" s="129">
        <f>'Consolidated - P&amp;L'!BF227</f>
        <v>0</v>
      </c>
      <c r="BF769" s="129">
        <f>'Consolidated - P&amp;L'!BG227</f>
        <v>0</v>
      </c>
      <c r="BG769" s="129">
        <f>'Consolidated - P&amp;L'!BH227</f>
        <v>0</v>
      </c>
      <c r="BH769" s="129">
        <f>'Consolidated - P&amp;L'!BI227</f>
        <v>0</v>
      </c>
      <c r="BI769" s="129">
        <f>'Consolidated - P&amp;L'!BJ227</f>
        <v>0</v>
      </c>
      <c r="BJ769" s="129">
        <f>'Consolidated - P&amp;L'!BK227</f>
        <v>0</v>
      </c>
      <c r="BK769" s="129">
        <f>'Consolidated - P&amp;L'!BL227</f>
        <v>0</v>
      </c>
      <c r="BL769" s="129">
        <f>'Consolidated - P&amp;L'!BM227</f>
        <v>0</v>
      </c>
      <c r="BM769" s="129">
        <f>'Consolidated - P&amp;L'!BN227</f>
        <v>0</v>
      </c>
      <c r="BN769" s="129">
        <f>'Consolidated - P&amp;L'!BO227</f>
        <v>0</v>
      </c>
      <c r="BO769" s="129">
        <f>'Consolidated - P&amp;L'!BP227</f>
        <v>0</v>
      </c>
      <c r="BP769" s="129">
        <f>'Consolidated - P&amp;L'!BQ227</f>
        <v>0</v>
      </c>
      <c r="BQ769" s="129">
        <f>'Consolidated - P&amp;L'!BR227</f>
        <v>0</v>
      </c>
      <c r="BR769" s="129">
        <f>'Consolidated - P&amp;L'!BS227</f>
        <v>0</v>
      </c>
      <c r="BS769" s="129">
        <f>'Consolidated - P&amp;L'!BT227</f>
        <v>0</v>
      </c>
      <c r="BT769" s="129">
        <f>'Consolidated - P&amp;L'!BU227</f>
        <v>0</v>
      </c>
      <c r="BU769" s="129">
        <f>'Consolidated - P&amp;L'!BV227</f>
        <v>0</v>
      </c>
      <c r="BV769" s="129">
        <f>'Consolidated - P&amp;L'!BW227</f>
        <v>0</v>
      </c>
      <c r="BW769" s="129">
        <f>'Consolidated - P&amp;L'!BX227</f>
        <v>0</v>
      </c>
      <c r="BX769" s="129">
        <f>'Consolidated - P&amp;L'!BY227</f>
        <v>0</v>
      </c>
      <c r="BY769" s="129">
        <f>'Consolidated - P&amp;L'!BZ227</f>
        <v>0</v>
      </c>
      <c r="BZ769" s="129">
        <f>'Consolidated - P&amp;L'!CA227</f>
        <v>0</v>
      </c>
      <c r="CA769" s="129">
        <f>'Consolidated - P&amp;L'!CB227</f>
        <v>0</v>
      </c>
      <c r="CB769" s="129">
        <f>'Consolidated - P&amp;L'!CC227</f>
        <v>0</v>
      </c>
      <c r="CC769" s="129">
        <f>'Consolidated - P&amp;L'!CD227</f>
        <v>0</v>
      </c>
      <c r="CD769" s="129">
        <f>'Consolidated - P&amp;L'!CE227</f>
        <v>0</v>
      </c>
      <c r="CE769" s="129">
        <f>'Consolidated - P&amp;L'!CF227</f>
        <v>0</v>
      </c>
      <c r="CF769" s="129">
        <f>'Consolidated - P&amp;L'!CG227</f>
        <v>0</v>
      </c>
      <c r="CG769" s="129">
        <f>'Consolidated - P&amp;L'!CH227</f>
        <v>0</v>
      </c>
      <c r="CH769" s="129">
        <f>'Consolidated - P&amp;L'!CI227</f>
        <v>0</v>
      </c>
      <c r="CI769" s="129">
        <f>'Consolidated - P&amp;L'!CJ227</f>
        <v>0</v>
      </c>
      <c r="CJ769" s="129">
        <f>'Consolidated - P&amp;L'!CK227</f>
        <v>0</v>
      </c>
      <c r="CK769" s="129">
        <f>'Consolidated - P&amp;L'!CL227</f>
        <v>0</v>
      </c>
      <c r="CL769" s="129">
        <f>'Consolidated - P&amp;L'!CM227</f>
        <v>0</v>
      </c>
      <c r="CM769" s="129">
        <f>'Consolidated - P&amp;L'!CN227</f>
        <v>0</v>
      </c>
      <c r="CN769" s="129">
        <f>'Consolidated - P&amp;L'!CO227</f>
        <v>0</v>
      </c>
      <c r="CO769" s="129">
        <f>'Consolidated - P&amp;L'!CP227</f>
        <v>0</v>
      </c>
      <c r="CP769" s="129">
        <f>'Consolidated - P&amp;L'!CQ227</f>
        <v>0</v>
      </c>
      <c r="CQ769" s="129">
        <f>'Consolidated - P&amp;L'!CR227</f>
        <v>0</v>
      </c>
      <c r="CR769" s="129">
        <f>'Consolidated - P&amp;L'!CS227</f>
        <v>0</v>
      </c>
      <c r="CS769" s="129">
        <f>'Consolidated - P&amp;L'!CT227</f>
        <v>0</v>
      </c>
      <c r="CT769" s="129">
        <f>'Consolidated - P&amp;L'!CU227</f>
        <v>0</v>
      </c>
      <c r="CU769" s="129">
        <f>'Consolidated - P&amp;L'!CV227</f>
        <v>0</v>
      </c>
      <c r="CV769" s="129">
        <f>'Consolidated - P&amp;L'!CW227</f>
        <v>0</v>
      </c>
      <c r="CW769" s="129">
        <f>'Consolidated - P&amp;L'!CX227</f>
        <v>0</v>
      </c>
      <c r="CX769" s="129">
        <f>'Consolidated - P&amp;L'!CY227</f>
        <v>0</v>
      </c>
      <c r="CY769" s="129">
        <f>'Consolidated - P&amp;L'!CZ227</f>
        <v>0</v>
      </c>
      <c r="CZ769" s="129">
        <f>'Consolidated - P&amp;L'!DA227</f>
        <v>0</v>
      </c>
      <c r="DA769" s="129">
        <f>'Consolidated - P&amp;L'!DB227</f>
        <v>0</v>
      </c>
      <c r="DB769" s="129">
        <f>'Consolidated - P&amp;L'!DC227</f>
        <v>0</v>
      </c>
      <c r="DC769" s="129">
        <f>'Consolidated - P&amp;L'!DD227</f>
        <v>0</v>
      </c>
      <c r="DD769" s="129">
        <f>'Consolidated - P&amp;L'!DE227</f>
        <v>0</v>
      </c>
      <c r="DE769" s="129">
        <f>'Consolidated - P&amp;L'!DF227</f>
        <v>0</v>
      </c>
      <c r="DF769" s="129">
        <f>'Consolidated - P&amp;L'!DG227</f>
        <v>0</v>
      </c>
      <c r="DG769" s="129">
        <f>'Consolidated - P&amp;L'!DH227</f>
        <v>0</v>
      </c>
      <c r="DH769" s="129">
        <f>'Consolidated - P&amp;L'!DI227</f>
        <v>0</v>
      </c>
      <c r="DI769" s="129">
        <f>'Consolidated - P&amp;L'!DJ227</f>
        <v>0</v>
      </c>
      <c r="DJ769" s="129">
        <f>'Consolidated - P&amp;L'!DK227</f>
        <v>0</v>
      </c>
      <c r="DK769" s="129">
        <f>'Consolidated - P&amp;L'!DL227</f>
        <v>0</v>
      </c>
      <c r="DL769" s="129">
        <f>'Consolidated - P&amp;L'!DM227</f>
        <v>0</v>
      </c>
      <c r="DM769" s="129">
        <f>'Consolidated - P&amp;L'!DN227</f>
        <v>0</v>
      </c>
      <c r="DN769" s="129">
        <f>'Consolidated - P&amp;L'!DO227</f>
        <v>0</v>
      </c>
      <c r="DO769" s="129">
        <f>'Consolidated - P&amp;L'!DP227</f>
        <v>0</v>
      </c>
      <c r="DP769" s="129">
        <f>'Consolidated - P&amp;L'!DQ227</f>
        <v>0</v>
      </c>
      <c r="DQ769" s="129">
        <f>'Consolidated - P&amp;L'!DR227</f>
        <v>0</v>
      </c>
      <c r="DR769" s="115"/>
      <c r="DS769" s="115"/>
      <c r="DT769" s="115"/>
      <c r="DU769" s="115"/>
      <c r="DV769" s="115"/>
      <c r="DW769" s="115"/>
      <c r="DX769" s="115"/>
      <c r="DY769" s="115"/>
      <c r="DZ769" s="115"/>
      <c r="EA769" s="115"/>
      <c r="EB769" s="115"/>
      <c r="EC769" s="645"/>
      <c r="ED769" s="113" t="s">
        <v>1</v>
      </c>
    </row>
    <row r="770" spans="1:134" hidden="1" x14ac:dyDescent="0.2">
      <c r="A770" s="757" t="s">
        <v>344</v>
      </c>
      <c r="B770" s="129">
        <f>'Consolidated - P&amp;L'!C228</f>
        <v>0</v>
      </c>
      <c r="C770" s="129">
        <f>'Consolidated - P&amp;L'!D228</f>
        <v>0</v>
      </c>
      <c r="D770" s="129">
        <f>'Consolidated - P&amp;L'!E228</f>
        <v>0</v>
      </c>
      <c r="E770" s="129">
        <f>'Consolidated - P&amp;L'!F228</f>
        <v>0</v>
      </c>
      <c r="F770" s="129">
        <f>'Consolidated - P&amp;L'!G228</f>
        <v>0</v>
      </c>
      <c r="G770" s="129">
        <f>'Consolidated - P&amp;L'!H228</f>
        <v>0</v>
      </c>
      <c r="H770" s="129">
        <f>'Consolidated - P&amp;L'!I228</f>
        <v>0</v>
      </c>
      <c r="I770" s="129">
        <f>'Consolidated - P&amp;L'!J228</f>
        <v>0</v>
      </c>
      <c r="J770" s="129">
        <f>'Consolidated - P&amp;L'!K228</f>
        <v>0</v>
      </c>
      <c r="K770" s="129">
        <f>'Consolidated - P&amp;L'!L228</f>
        <v>0</v>
      </c>
      <c r="L770" s="129">
        <f>'Consolidated - P&amp;L'!M228</f>
        <v>0</v>
      </c>
      <c r="M770" s="129">
        <f>'Consolidated - P&amp;L'!N228</f>
        <v>0</v>
      </c>
      <c r="N770" s="129">
        <f>'Consolidated - P&amp;L'!O228</f>
        <v>0</v>
      </c>
      <c r="O770" s="129">
        <f>'Consolidated - P&amp;L'!P228</f>
        <v>0</v>
      </c>
      <c r="P770" s="129">
        <f>'Consolidated - P&amp;L'!Q228</f>
        <v>0</v>
      </c>
      <c r="Q770" s="129">
        <f>'Consolidated - P&amp;L'!R228</f>
        <v>0</v>
      </c>
      <c r="R770" s="129">
        <f>'Consolidated - P&amp;L'!S228</f>
        <v>0</v>
      </c>
      <c r="S770" s="129">
        <f>'Consolidated - P&amp;L'!T228</f>
        <v>0</v>
      </c>
      <c r="T770" s="129">
        <f>'Consolidated - P&amp;L'!U228</f>
        <v>0</v>
      </c>
      <c r="U770" s="129">
        <f>'Consolidated - P&amp;L'!V228</f>
        <v>0</v>
      </c>
      <c r="V770" s="129">
        <f>'Consolidated - P&amp;L'!W228</f>
        <v>0</v>
      </c>
      <c r="W770" s="129">
        <f>'Consolidated - P&amp;L'!X228</f>
        <v>0</v>
      </c>
      <c r="X770" s="129">
        <f>'Consolidated - P&amp;L'!Y228</f>
        <v>0</v>
      </c>
      <c r="Y770" s="129">
        <f>'Consolidated - P&amp;L'!Z228</f>
        <v>0</v>
      </c>
      <c r="Z770" s="129">
        <f>'Consolidated - P&amp;L'!AA228</f>
        <v>0</v>
      </c>
      <c r="AA770" s="129">
        <f>'Consolidated - P&amp;L'!AB228</f>
        <v>0</v>
      </c>
      <c r="AB770" s="129">
        <f>'Consolidated - P&amp;L'!AC228</f>
        <v>0</v>
      </c>
      <c r="AC770" s="129">
        <f>'Consolidated - P&amp;L'!AD228</f>
        <v>0</v>
      </c>
      <c r="AD770" s="129">
        <f>'Consolidated - P&amp;L'!AE228</f>
        <v>0</v>
      </c>
      <c r="AE770" s="129">
        <f>'Consolidated - P&amp;L'!AF228</f>
        <v>0</v>
      </c>
      <c r="AF770" s="129">
        <f>'Consolidated - P&amp;L'!AG228</f>
        <v>0</v>
      </c>
      <c r="AG770" s="129">
        <f>'Consolidated - P&amp;L'!AH228</f>
        <v>0</v>
      </c>
      <c r="AH770" s="129">
        <f>'Consolidated - P&amp;L'!AI228</f>
        <v>0</v>
      </c>
      <c r="AI770" s="129">
        <f>'Consolidated - P&amp;L'!AJ228</f>
        <v>0</v>
      </c>
      <c r="AJ770" s="129">
        <f>'Consolidated - P&amp;L'!AK228</f>
        <v>0</v>
      </c>
      <c r="AK770" s="129">
        <f>'Consolidated - P&amp;L'!AL228</f>
        <v>0</v>
      </c>
      <c r="AL770" s="129">
        <f>'Consolidated - P&amp;L'!AM228</f>
        <v>0</v>
      </c>
      <c r="AM770" s="129">
        <f>'Consolidated - P&amp;L'!AN228</f>
        <v>0</v>
      </c>
      <c r="AN770" s="129">
        <f>'Consolidated - P&amp;L'!AO228</f>
        <v>0</v>
      </c>
      <c r="AO770" s="129">
        <f>'Consolidated - P&amp;L'!AP228</f>
        <v>0</v>
      </c>
      <c r="AP770" s="129">
        <f>'Consolidated - P&amp;L'!AQ228</f>
        <v>0</v>
      </c>
      <c r="AQ770" s="129">
        <f>'Consolidated - P&amp;L'!AR228</f>
        <v>0</v>
      </c>
      <c r="AR770" s="129">
        <f>'Consolidated - P&amp;L'!AS228</f>
        <v>0</v>
      </c>
      <c r="AS770" s="129">
        <f>'Consolidated - P&amp;L'!AT228</f>
        <v>0</v>
      </c>
      <c r="AT770" s="129">
        <f>'Consolidated - P&amp;L'!AU228</f>
        <v>0</v>
      </c>
      <c r="AU770" s="129">
        <f>'Consolidated - P&amp;L'!AV228</f>
        <v>0</v>
      </c>
      <c r="AV770" s="129">
        <f>'Consolidated - P&amp;L'!AW228</f>
        <v>0</v>
      </c>
      <c r="AW770" s="129">
        <f>'Consolidated - P&amp;L'!AX228</f>
        <v>0</v>
      </c>
      <c r="AX770" s="129">
        <f>'Consolidated - P&amp;L'!AY228</f>
        <v>0</v>
      </c>
      <c r="AY770" s="129">
        <f>'Consolidated - P&amp;L'!AZ228</f>
        <v>0</v>
      </c>
      <c r="AZ770" s="129">
        <f>'Consolidated - P&amp;L'!BA228</f>
        <v>0</v>
      </c>
      <c r="BA770" s="129">
        <f>'Consolidated - P&amp;L'!BB228</f>
        <v>0</v>
      </c>
      <c r="BB770" s="129">
        <f>'Consolidated - P&amp;L'!BC228</f>
        <v>0</v>
      </c>
      <c r="BC770" s="129">
        <f>'Consolidated - P&amp;L'!BD228</f>
        <v>0</v>
      </c>
      <c r="BD770" s="129">
        <f>'Consolidated - P&amp;L'!BE228</f>
        <v>0</v>
      </c>
      <c r="BE770" s="129">
        <f>'Consolidated - P&amp;L'!BF228</f>
        <v>0</v>
      </c>
      <c r="BF770" s="129">
        <f>'Consolidated - P&amp;L'!BG228</f>
        <v>0</v>
      </c>
      <c r="BG770" s="129">
        <f>'Consolidated - P&amp;L'!BH228</f>
        <v>0</v>
      </c>
      <c r="BH770" s="129">
        <f>'Consolidated - P&amp;L'!BI228</f>
        <v>0</v>
      </c>
      <c r="BI770" s="129">
        <f>'Consolidated - P&amp;L'!BJ228</f>
        <v>0</v>
      </c>
      <c r="BJ770" s="129">
        <f>'Consolidated - P&amp;L'!BK228</f>
        <v>0</v>
      </c>
      <c r="BK770" s="129">
        <f>'Consolidated - P&amp;L'!BL228</f>
        <v>0</v>
      </c>
      <c r="BL770" s="129">
        <f>'Consolidated - P&amp;L'!BM228</f>
        <v>0</v>
      </c>
      <c r="BM770" s="129">
        <f>'Consolidated - P&amp;L'!BN228</f>
        <v>0</v>
      </c>
      <c r="BN770" s="129">
        <f>'Consolidated - P&amp;L'!BO228</f>
        <v>0</v>
      </c>
      <c r="BO770" s="129">
        <f>'Consolidated - P&amp;L'!BP228</f>
        <v>0</v>
      </c>
      <c r="BP770" s="129">
        <f>'Consolidated - P&amp;L'!BQ228</f>
        <v>0</v>
      </c>
      <c r="BQ770" s="129">
        <f>'Consolidated - P&amp;L'!BR228</f>
        <v>0</v>
      </c>
      <c r="BR770" s="129">
        <f>'Consolidated - P&amp;L'!BS228</f>
        <v>0</v>
      </c>
      <c r="BS770" s="129">
        <f>'Consolidated - P&amp;L'!BT228</f>
        <v>0</v>
      </c>
      <c r="BT770" s="129">
        <f>'Consolidated - P&amp;L'!BU228</f>
        <v>0</v>
      </c>
      <c r="BU770" s="129">
        <f>'Consolidated - P&amp;L'!BV228</f>
        <v>0</v>
      </c>
      <c r="BV770" s="129">
        <f>'Consolidated - P&amp;L'!BW228</f>
        <v>0</v>
      </c>
      <c r="BW770" s="129">
        <f>'Consolidated - P&amp;L'!BX228</f>
        <v>0</v>
      </c>
      <c r="BX770" s="129">
        <f>'Consolidated - P&amp;L'!BY228</f>
        <v>0</v>
      </c>
      <c r="BY770" s="129">
        <f>'Consolidated - P&amp;L'!BZ228</f>
        <v>0</v>
      </c>
      <c r="BZ770" s="129">
        <f>'Consolidated - P&amp;L'!CA228</f>
        <v>0</v>
      </c>
      <c r="CA770" s="129">
        <f>'Consolidated - P&amp;L'!CB228</f>
        <v>0</v>
      </c>
      <c r="CB770" s="129">
        <f>'Consolidated - P&amp;L'!CC228</f>
        <v>0</v>
      </c>
      <c r="CC770" s="129">
        <f>'Consolidated - P&amp;L'!CD228</f>
        <v>0</v>
      </c>
      <c r="CD770" s="129">
        <f>'Consolidated - P&amp;L'!CE228</f>
        <v>0</v>
      </c>
      <c r="CE770" s="129">
        <f>'Consolidated - P&amp;L'!CF228</f>
        <v>0</v>
      </c>
      <c r="CF770" s="129">
        <f>'Consolidated - P&amp;L'!CG228</f>
        <v>0</v>
      </c>
      <c r="CG770" s="129">
        <f>'Consolidated - P&amp;L'!CH228</f>
        <v>0</v>
      </c>
      <c r="CH770" s="129">
        <f>'Consolidated - P&amp;L'!CI228</f>
        <v>0</v>
      </c>
      <c r="CI770" s="129">
        <f>'Consolidated - P&amp;L'!CJ228</f>
        <v>0</v>
      </c>
      <c r="CJ770" s="129">
        <f>'Consolidated - P&amp;L'!CK228</f>
        <v>0</v>
      </c>
      <c r="CK770" s="129">
        <f>'Consolidated - P&amp;L'!CL228</f>
        <v>0</v>
      </c>
      <c r="CL770" s="129">
        <f>'Consolidated - P&amp;L'!CM228</f>
        <v>0</v>
      </c>
      <c r="CM770" s="129">
        <f>'Consolidated - P&amp;L'!CN228</f>
        <v>0</v>
      </c>
      <c r="CN770" s="129">
        <f>'Consolidated - P&amp;L'!CO228</f>
        <v>0</v>
      </c>
      <c r="CO770" s="129">
        <f>'Consolidated - P&amp;L'!CP228</f>
        <v>0</v>
      </c>
      <c r="CP770" s="129">
        <f>'Consolidated - P&amp;L'!CQ228</f>
        <v>0</v>
      </c>
      <c r="CQ770" s="129">
        <f>'Consolidated - P&amp;L'!CR228</f>
        <v>0</v>
      </c>
      <c r="CR770" s="129">
        <f>'Consolidated - P&amp;L'!CS228</f>
        <v>0</v>
      </c>
      <c r="CS770" s="129">
        <f>'Consolidated - P&amp;L'!CT228</f>
        <v>0</v>
      </c>
      <c r="CT770" s="129">
        <f>'Consolidated - P&amp;L'!CU228</f>
        <v>0</v>
      </c>
      <c r="CU770" s="129">
        <f>'Consolidated - P&amp;L'!CV228</f>
        <v>0</v>
      </c>
      <c r="CV770" s="129">
        <f>'Consolidated - P&amp;L'!CW228</f>
        <v>0</v>
      </c>
      <c r="CW770" s="129">
        <f>'Consolidated - P&amp;L'!CX228</f>
        <v>0</v>
      </c>
      <c r="CX770" s="129">
        <f>'Consolidated - P&amp;L'!CY228</f>
        <v>0</v>
      </c>
      <c r="CY770" s="129">
        <f>'Consolidated - P&amp;L'!CZ228</f>
        <v>0</v>
      </c>
      <c r="CZ770" s="129">
        <f>'Consolidated - P&amp;L'!DA228</f>
        <v>0</v>
      </c>
      <c r="DA770" s="129">
        <f>'Consolidated - P&amp;L'!DB228</f>
        <v>0</v>
      </c>
      <c r="DB770" s="129">
        <f>'Consolidated - P&amp;L'!DC228</f>
        <v>0</v>
      </c>
      <c r="DC770" s="129">
        <f>'Consolidated - P&amp;L'!DD228</f>
        <v>0</v>
      </c>
      <c r="DD770" s="129">
        <f>'Consolidated - P&amp;L'!DE228</f>
        <v>0</v>
      </c>
      <c r="DE770" s="129">
        <f>'Consolidated - P&amp;L'!DF228</f>
        <v>0</v>
      </c>
      <c r="DF770" s="129">
        <f>'Consolidated - P&amp;L'!DG228</f>
        <v>0</v>
      </c>
      <c r="DG770" s="129">
        <f>'Consolidated - P&amp;L'!DH228</f>
        <v>0</v>
      </c>
      <c r="DH770" s="129">
        <f>'Consolidated - P&amp;L'!DI228</f>
        <v>0</v>
      </c>
      <c r="DI770" s="129">
        <f>'Consolidated - P&amp;L'!DJ228</f>
        <v>0</v>
      </c>
      <c r="DJ770" s="129">
        <f>'Consolidated - P&amp;L'!DK228</f>
        <v>0</v>
      </c>
      <c r="DK770" s="129">
        <f>'Consolidated - P&amp;L'!DL228</f>
        <v>0</v>
      </c>
      <c r="DL770" s="129">
        <f>'Consolidated - P&amp;L'!DM228</f>
        <v>0</v>
      </c>
      <c r="DM770" s="129">
        <f>'Consolidated - P&amp;L'!DN228</f>
        <v>0</v>
      </c>
      <c r="DN770" s="129">
        <f>'Consolidated - P&amp;L'!DO228</f>
        <v>0</v>
      </c>
      <c r="DO770" s="129">
        <f>'Consolidated - P&amp;L'!DP228</f>
        <v>0</v>
      </c>
      <c r="DP770" s="129">
        <f>'Consolidated - P&amp;L'!DQ228</f>
        <v>0</v>
      </c>
      <c r="DQ770" s="129">
        <f>'Consolidated - P&amp;L'!DR228</f>
        <v>0</v>
      </c>
      <c r="DR770" s="115"/>
      <c r="DS770" s="115"/>
      <c r="DT770" s="115"/>
      <c r="DU770" s="115"/>
      <c r="DV770" s="115"/>
      <c r="DW770" s="115"/>
      <c r="DX770" s="115"/>
      <c r="DY770" s="115"/>
      <c r="DZ770" s="115"/>
      <c r="EA770" s="115"/>
      <c r="EB770" s="115"/>
      <c r="EC770" s="645"/>
      <c r="ED770" s="113" t="s">
        <v>1</v>
      </c>
    </row>
    <row r="771" spans="1:134" hidden="1" x14ac:dyDescent="0.2">
      <c r="A771" s="757" t="s">
        <v>345</v>
      </c>
      <c r="B771" s="129">
        <f>'Consolidated - P&amp;L'!C229</f>
        <v>0</v>
      </c>
      <c r="C771" s="129">
        <f>'Consolidated - P&amp;L'!D229</f>
        <v>0</v>
      </c>
      <c r="D771" s="129">
        <f>'Consolidated - P&amp;L'!E229</f>
        <v>0</v>
      </c>
      <c r="E771" s="129">
        <f>'Consolidated - P&amp;L'!F229</f>
        <v>0</v>
      </c>
      <c r="F771" s="129">
        <f>'Consolidated - P&amp;L'!G229</f>
        <v>0</v>
      </c>
      <c r="G771" s="129">
        <f>'Consolidated - P&amp;L'!H229</f>
        <v>0</v>
      </c>
      <c r="H771" s="129">
        <f>'Consolidated - P&amp;L'!I229</f>
        <v>0</v>
      </c>
      <c r="I771" s="129">
        <f>'Consolidated - P&amp;L'!J229</f>
        <v>0</v>
      </c>
      <c r="J771" s="129">
        <f>'Consolidated - P&amp;L'!K229</f>
        <v>0</v>
      </c>
      <c r="K771" s="129">
        <f>'Consolidated - P&amp;L'!L229</f>
        <v>0</v>
      </c>
      <c r="L771" s="129">
        <f>'Consolidated - P&amp;L'!M229</f>
        <v>0</v>
      </c>
      <c r="M771" s="129">
        <f>'Consolidated - P&amp;L'!N229</f>
        <v>0</v>
      </c>
      <c r="N771" s="129">
        <f>'Consolidated - P&amp;L'!O229</f>
        <v>0</v>
      </c>
      <c r="O771" s="129">
        <f>'Consolidated - P&amp;L'!P229</f>
        <v>0</v>
      </c>
      <c r="P771" s="129">
        <f>'Consolidated - P&amp;L'!Q229</f>
        <v>0</v>
      </c>
      <c r="Q771" s="129">
        <f>'Consolidated - P&amp;L'!R229</f>
        <v>0</v>
      </c>
      <c r="R771" s="129">
        <f>'Consolidated - P&amp;L'!S229</f>
        <v>0</v>
      </c>
      <c r="S771" s="129">
        <f>'Consolidated - P&amp;L'!T229</f>
        <v>0</v>
      </c>
      <c r="T771" s="129">
        <f>'Consolidated - P&amp;L'!U229</f>
        <v>0</v>
      </c>
      <c r="U771" s="129">
        <f>'Consolidated - P&amp;L'!V229</f>
        <v>0</v>
      </c>
      <c r="V771" s="129">
        <f>'Consolidated - P&amp;L'!W229</f>
        <v>0</v>
      </c>
      <c r="W771" s="129">
        <f>'Consolidated - P&amp;L'!X229</f>
        <v>0</v>
      </c>
      <c r="X771" s="129">
        <f>'Consolidated - P&amp;L'!Y229</f>
        <v>0</v>
      </c>
      <c r="Y771" s="129">
        <f>'Consolidated - P&amp;L'!Z229</f>
        <v>0</v>
      </c>
      <c r="Z771" s="129">
        <f>'Consolidated - P&amp;L'!AA229</f>
        <v>0</v>
      </c>
      <c r="AA771" s="129">
        <f>'Consolidated - P&amp;L'!AB229</f>
        <v>0</v>
      </c>
      <c r="AB771" s="129">
        <f>'Consolidated - P&amp;L'!AC229</f>
        <v>0</v>
      </c>
      <c r="AC771" s="129">
        <f>'Consolidated - P&amp;L'!AD229</f>
        <v>0</v>
      </c>
      <c r="AD771" s="129">
        <f>'Consolidated - P&amp;L'!AE229</f>
        <v>0</v>
      </c>
      <c r="AE771" s="129">
        <f>'Consolidated - P&amp;L'!AF229</f>
        <v>0</v>
      </c>
      <c r="AF771" s="129">
        <f>'Consolidated - P&amp;L'!AG229</f>
        <v>0</v>
      </c>
      <c r="AG771" s="129">
        <f>'Consolidated - P&amp;L'!AH229</f>
        <v>0</v>
      </c>
      <c r="AH771" s="129">
        <f>'Consolidated - P&amp;L'!AI229</f>
        <v>0</v>
      </c>
      <c r="AI771" s="129">
        <f>'Consolidated - P&amp;L'!AJ229</f>
        <v>0</v>
      </c>
      <c r="AJ771" s="129">
        <f>'Consolidated - P&amp;L'!AK229</f>
        <v>0</v>
      </c>
      <c r="AK771" s="129">
        <f>'Consolidated - P&amp;L'!AL229</f>
        <v>0</v>
      </c>
      <c r="AL771" s="129">
        <f>'Consolidated - P&amp;L'!AM229</f>
        <v>0</v>
      </c>
      <c r="AM771" s="129">
        <f>'Consolidated - P&amp;L'!AN229</f>
        <v>0</v>
      </c>
      <c r="AN771" s="129">
        <f>'Consolidated - P&amp;L'!AO229</f>
        <v>0</v>
      </c>
      <c r="AO771" s="129">
        <f>'Consolidated - P&amp;L'!AP229</f>
        <v>0</v>
      </c>
      <c r="AP771" s="129">
        <f>'Consolidated - P&amp;L'!AQ229</f>
        <v>0</v>
      </c>
      <c r="AQ771" s="129">
        <f>'Consolidated - P&amp;L'!AR229</f>
        <v>0</v>
      </c>
      <c r="AR771" s="129">
        <f>'Consolidated - P&amp;L'!AS229</f>
        <v>0</v>
      </c>
      <c r="AS771" s="129">
        <f>'Consolidated - P&amp;L'!AT229</f>
        <v>0</v>
      </c>
      <c r="AT771" s="129">
        <f>'Consolidated - P&amp;L'!AU229</f>
        <v>0</v>
      </c>
      <c r="AU771" s="129">
        <f>'Consolidated - P&amp;L'!AV229</f>
        <v>0</v>
      </c>
      <c r="AV771" s="129">
        <f>'Consolidated - P&amp;L'!AW229</f>
        <v>0</v>
      </c>
      <c r="AW771" s="129">
        <f>'Consolidated - P&amp;L'!AX229</f>
        <v>0</v>
      </c>
      <c r="AX771" s="129">
        <f>'Consolidated - P&amp;L'!AY229</f>
        <v>0</v>
      </c>
      <c r="AY771" s="129">
        <f>'Consolidated - P&amp;L'!AZ229</f>
        <v>0</v>
      </c>
      <c r="AZ771" s="129">
        <f>'Consolidated - P&amp;L'!BA229</f>
        <v>0</v>
      </c>
      <c r="BA771" s="129">
        <f>'Consolidated - P&amp;L'!BB229</f>
        <v>0</v>
      </c>
      <c r="BB771" s="129">
        <f>'Consolidated - P&amp;L'!BC229</f>
        <v>0</v>
      </c>
      <c r="BC771" s="129">
        <f>'Consolidated - P&amp;L'!BD229</f>
        <v>0</v>
      </c>
      <c r="BD771" s="129">
        <f>'Consolidated - P&amp;L'!BE229</f>
        <v>0</v>
      </c>
      <c r="BE771" s="129">
        <f>'Consolidated - P&amp;L'!BF229</f>
        <v>0</v>
      </c>
      <c r="BF771" s="129">
        <f>'Consolidated - P&amp;L'!BG229</f>
        <v>0</v>
      </c>
      <c r="BG771" s="129">
        <f>'Consolidated - P&amp;L'!BH229</f>
        <v>0</v>
      </c>
      <c r="BH771" s="129">
        <f>'Consolidated - P&amp;L'!BI229</f>
        <v>0</v>
      </c>
      <c r="BI771" s="129">
        <f>'Consolidated - P&amp;L'!BJ229</f>
        <v>0</v>
      </c>
      <c r="BJ771" s="129">
        <f>'Consolidated - P&amp;L'!BK229</f>
        <v>0</v>
      </c>
      <c r="BK771" s="129">
        <f>'Consolidated - P&amp;L'!BL229</f>
        <v>0</v>
      </c>
      <c r="BL771" s="129">
        <f>'Consolidated - P&amp;L'!BM229</f>
        <v>0</v>
      </c>
      <c r="BM771" s="129">
        <f>'Consolidated - P&amp;L'!BN229</f>
        <v>0</v>
      </c>
      <c r="BN771" s="129">
        <f>'Consolidated - P&amp;L'!BO229</f>
        <v>0</v>
      </c>
      <c r="BO771" s="129">
        <f>'Consolidated - P&amp;L'!BP229</f>
        <v>0</v>
      </c>
      <c r="BP771" s="129">
        <f>'Consolidated - P&amp;L'!BQ229</f>
        <v>0</v>
      </c>
      <c r="BQ771" s="129">
        <f>'Consolidated - P&amp;L'!BR229</f>
        <v>0</v>
      </c>
      <c r="BR771" s="129">
        <f>'Consolidated - P&amp;L'!BS229</f>
        <v>0</v>
      </c>
      <c r="BS771" s="129">
        <f>'Consolidated - P&amp;L'!BT229</f>
        <v>0</v>
      </c>
      <c r="BT771" s="129">
        <f>'Consolidated - P&amp;L'!BU229</f>
        <v>0</v>
      </c>
      <c r="BU771" s="129">
        <f>'Consolidated - P&amp;L'!BV229</f>
        <v>0</v>
      </c>
      <c r="BV771" s="129">
        <f>'Consolidated - P&amp;L'!BW229</f>
        <v>0</v>
      </c>
      <c r="BW771" s="129">
        <f>'Consolidated - P&amp;L'!BX229</f>
        <v>0</v>
      </c>
      <c r="BX771" s="129">
        <f>'Consolidated - P&amp;L'!BY229</f>
        <v>0</v>
      </c>
      <c r="BY771" s="129">
        <f>'Consolidated - P&amp;L'!BZ229</f>
        <v>0</v>
      </c>
      <c r="BZ771" s="129">
        <f>'Consolidated - P&amp;L'!CA229</f>
        <v>0</v>
      </c>
      <c r="CA771" s="129">
        <f>'Consolidated - P&amp;L'!CB229</f>
        <v>0</v>
      </c>
      <c r="CB771" s="129">
        <f>'Consolidated - P&amp;L'!CC229</f>
        <v>0</v>
      </c>
      <c r="CC771" s="129">
        <f>'Consolidated - P&amp;L'!CD229</f>
        <v>0</v>
      </c>
      <c r="CD771" s="129">
        <f>'Consolidated - P&amp;L'!CE229</f>
        <v>0</v>
      </c>
      <c r="CE771" s="129">
        <f>'Consolidated - P&amp;L'!CF229</f>
        <v>0</v>
      </c>
      <c r="CF771" s="129">
        <f>'Consolidated - P&amp;L'!CG229</f>
        <v>0</v>
      </c>
      <c r="CG771" s="129">
        <f>'Consolidated - P&amp;L'!CH229</f>
        <v>0</v>
      </c>
      <c r="CH771" s="129">
        <f>'Consolidated - P&amp;L'!CI229</f>
        <v>0</v>
      </c>
      <c r="CI771" s="129">
        <f>'Consolidated - P&amp;L'!CJ229</f>
        <v>0</v>
      </c>
      <c r="CJ771" s="129">
        <f>'Consolidated - P&amp;L'!CK229</f>
        <v>0</v>
      </c>
      <c r="CK771" s="129">
        <f>'Consolidated - P&amp;L'!CL229</f>
        <v>0</v>
      </c>
      <c r="CL771" s="129">
        <f>'Consolidated - P&amp;L'!CM229</f>
        <v>0</v>
      </c>
      <c r="CM771" s="129">
        <f>'Consolidated - P&amp;L'!CN229</f>
        <v>0</v>
      </c>
      <c r="CN771" s="129">
        <f>'Consolidated - P&amp;L'!CO229</f>
        <v>0</v>
      </c>
      <c r="CO771" s="129">
        <f>'Consolidated - P&amp;L'!CP229</f>
        <v>0</v>
      </c>
      <c r="CP771" s="129">
        <f>'Consolidated - P&amp;L'!CQ229</f>
        <v>0</v>
      </c>
      <c r="CQ771" s="129">
        <f>'Consolidated - P&amp;L'!CR229</f>
        <v>0</v>
      </c>
      <c r="CR771" s="129">
        <f>'Consolidated - P&amp;L'!CS229</f>
        <v>0</v>
      </c>
      <c r="CS771" s="129">
        <f>'Consolidated - P&amp;L'!CT229</f>
        <v>0</v>
      </c>
      <c r="CT771" s="129">
        <f>'Consolidated - P&amp;L'!CU229</f>
        <v>0</v>
      </c>
      <c r="CU771" s="129">
        <f>'Consolidated - P&amp;L'!CV229</f>
        <v>0</v>
      </c>
      <c r="CV771" s="129">
        <f>'Consolidated - P&amp;L'!CW229</f>
        <v>0</v>
      </c>
      <c r="CW771" s="129">
        <f>'Consolidated - P&amp;L'!CX229</f>
        <v>0</v>
      </c>
      <c r="CX771" s="129">
        <f>'Consolidated - P&amp;L'!CY229</f>
        <v>0</v>
      </c>
      <c r="CY771" s="129">
        <f>'Consolidated - P&amp;L'!CZ229</f>
        <v>0</v>
      </c>
      <c r="CZ771" s="129">
        <f>'Consolidated - P&amp;L'!DA229</f>
        <v>0</v>
      </c>
      <c r="DA771" s="129">
        <f>'Consolidated - P&amp;L'!DB229</f>
        <v>0</v>
      </c>
      <c r="DB771" s="129">
        <f>'Consolidated - P&amp;L'!DC229</f>
        <v>0</v>
      </c>
      <c r="DC771" s="129">
        <f>'Consolidated - P&amp;L'!DD229</f>
        <v>0</v>
      </c>
      <c r="DD771" s="129">
        <f>'Consolidated - P&amp;L'!DE229</f>
        <v>0</v>
      </c>
      <c r="DE771" s="129">
        <f>'Consolidated - P&amp;L'!DF229</f>
        <v>0</v>
      </c>
      <c r="DF771" s="129">
        <f>'Consolidated - P&amp;L'!DG229</f>
        <v>0</v>
      </c>
      <c r="DG771" s="129">
        <f>'Consolidated - P&amp;L'!DH229</f>
        <v>0</v>
      </c>
      <c r="DH771" s="129">
        <f>'Consolidated - P&amp;L'!DI229</f>
        <v>0</v>
      </c>
      <c r="DI771" s="129">
        <f>'Consolidated - P&amp;L'!DJ229</f>
        <v>0</v>
      </c>
      <c r="DJ771" s="129">
        <f>'Consolidated - P&amp;L'!DK229</f>
        <v>0</v>
      </c>
      <c r="DK771" s="129">
        <f>'Consolidated - P&amp;L'!DL229</f>
        <v>0</v>
      </c>
      <c r="DL771" s="129">
        <f>'Consolidated - P&amp;L'!DM229</f>
        <v>0</v>
      </c>
      <c r="DM771" s="129">
        <f>'Consolidated - P&amp;L'!DN229</f>
        <v>0</v>
      </c>
      <c r="DN771" s="129">
        <f>'Consolidated - P&amp;L'!DO229</f>
        <v>0</v>
      </c>
      <c r="DO771" s="129">
        <f>'Consolidated - P&amp;L'!DP229</f>
        <v>0</v>
      </c>
      <c r="DP771" s="129">
        <f>'Consolidated - P&amp;L'!DQ229</f>
        <v>0</v>
      </c>
      <c r="DQ771" s="129">
        <f>'Consolidated - P&amp;L'!DR229</f>
        <v>0</v>
      </c>
      <c r="DR771" s="115"/>
      <c r="DS771" s="115"/>
      <c r="DT771" s="115"/>
      <c r="DU771" s="115"/>
      <c r="DV771" s="115"/>
      <c r="DW771" s="115"/>
      <c r="DX771" s="115"/>
      <c r="DY771" s="115"/>
      <c r="DZ771" s="115"/>
      <c r="EA771" s="115"/>
      <c r="EB771" s="115"/>
      <c r="EC771" s="645"/>
      <c r="ED771" s="113" t="s">
        <v>1</v>
      </c>
    </row>
    <row r="772" spans="1:134" hidden="1" x14ac:dyDescent="0.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115"/>
      <c r="AQ772" s="115"/>
      <c r="AR772" s="115"/>
      <c r="AS772" s="115"/>
      <c r="AT772" s="115"/>
      <c r="AU772" s="115"/>
      <c r="AV772" s="115"/>
      <c r="AW772" s="115"/>
      <c r="AX772" s="115"/>
      <c r="AY772" s="115"/>
      <c r="AZ772" s="115"/>
      <c r="BA772" s="115"/>
      <c r="BB772" s="115"/>
      <c r="BC772" s="115"/>
      <c r="BD772" s="115"/>
      <c r="BE772" s="115"/>
      <c r="BF772" s="115"/>
      <c r="BG772" s="115"/>
      <c r="BH772" s="115"/>
      <c r="BI772" s="115"/>
      <c r="BJ772" s="115"/>
      <c r="BK772" s="115"/>
      <c r="BL772" s="115"/>
      <c r="BM772" s="115"/>
      <c r="BN772" s="115"/>
      <c r="BO772" s="115"/>
      <c r="BP772" s="115"/>
      <c r="BQ772" s="115"/>
      <c r="BR772" s="115"/>
      <c r="BS772" s="115"/>
      <c r="BT772" s="115"/>
      <c r="BU772" s="115"/>
      <c r="BV772" s="115"/>
      <c r="BW772" s="115"/>
      <c r="BX772" s="115"/>
      <c r="BY772" s="115"/>
      <c r="BZ772" s="115"/>
      <c r="CA772" s="115"/>
      <c r="CB772" s="115"/>
      <c r="CC772" s="115"/>
      <c r="CD772" s="115"/>
      <c r="CE772" s="115"/>
      <c r="CF772" s="115"/>
      <c r="CG772" s="115"/>
      <c r="CH772" s="115"/>
      <c r="CI772" s="115"/>
      <c r="CJ772" s="115"/>
      <c r="CK772" s="115"/>
      <c r="CL772" s="115"/>
      <c r="CM772" s="115"/>
      <c r="CN772" s="115"/>
      <c r="CO772" s="115"/>
      <c r="CP772" s="115"/>
      <c r="CQ772" s="115"/>
      <c r="CR772" s="115"/>
      <c r="CS772" s="115"/>
      <c r="CT772" s="115"/>
      <c r="CU772" s="115"/>
      <c r="CV772" s="115"/>
      <c r="CW772" s="115"/>
      <c r="CX772" s="115"/>
      <c r="CY772" s="115"/>
      <c r="CZ772" s="115"/>
      <c r="DA772" s="115"/>
      <c r="DB772" s="115"/>
      <c r="DC772" s="115"/>
      <c r="DD772" s="115"/>
      <c r="DE772" s="115"/>
      <c r="DF772" s="115"/>
      <c r="DG772" s="115"/>
      <c r="DH772" s="115"/>
      <c r="DI772" s="115"/>
      <c r="DJ772" s="115"/>
      <c r="DK772" s="115"/>
      <c r="DL772" s="115"/>
      <c r="DM772" s="115"/>
      <c r="DN772" s="115"/>
      <c r="DO772" s="115"/>
      <c r="DP772" s="115"/>
      <c r="DQ772" s="115"/>
      <c r="DR772" s="115"/>
      <c r="DS772" s="115"/>
      <c r="DT772" s="115"/>
      <c r="DU772" s="115"/>
      <c r="DV772" s="115"/>
      <c r="DW772" s="115"/>
      <c r="DX772" s="115"/>
      <c r="DY772" s="115"/>
      <c r="DZ772" s="115"/>
      <c r="EA772" s="115"/>
      <c r="EB772" s="115"/>
      <c r="EC772" s="645"/>
      <c r="ED772" s="113" t="s">
        <v>1</v>
      </c>
    </row>
    <row r="773" spans="1:134" hidden="1" x14ac:dyDescent="0.2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  <c r="AK773" s="115"/>
      <c r="AL773" s="115"/>
      <c r="AM773" s="115"/>
      <c r="AN773" s="115"/>
      <c r="AO773" s="115"/>
      <c r="AP773" s="115"/>
      <c r="AQ773" s="115"/>
      <c r="AR773" s="115"/>
      <c r="AS773" s="115"/>
      <c r="AT773" s="115"/>
      <c r="AU773" s="115"/>
      <c r="AV773" s="115"/>
      <c r="AW773" s="115"/>
      <c r="AX773" s="115"/>
      <c r="AY773" s="115"/>
      <c r="AZ773" s="115"/>
      <c r="BA773" s="115"/>
      <c r="BB773" s="115"/>
      <c r="BC773" s="115"/>
      <c r="BD773" s="115"/>
      <c r="BE773" s="115"/>
      <c r="BF773" s="115"/>
      <c r="BG773" s="115"/>
      <c r="BH773" s="115"/>
      <c r="BI773" s="115"/>
      <c r="BJ773" s="115"/>
      <c r="BK773" s="115"/>
      <c r="BL773" s="115"/>
      <c r="BM773" s="115"/>
      <c r="BN773" s="115"/>
      <c r="BO773" s="115"/>
      <c r="BP773" s="115"/>
      <c r="BQ773" s="115"/>
      <c r="BR773" s="115"/>
      <c r="BS773" s="115"/>
      <c r="BT773" s="115"/>
      <c r="BU773" s="115"/>
      <c r="BV773" s="115"/>
      <c r="BW773" s="115"/>
      <c r="BX773" s="115"/>
      <c r="BY773" s="115"/>
      <c r="BZ773" s="115"/>
      <c r="CA773" s="115"/>
      <c r="CB773" s="115"/>
      <c r="CC773" s="115"/>
      <c r="CD773" s="115"/>
      <c r="CE773" s="115"/>
      <c r="CF773" s="115"/>
      <c r="CG773" s="115"/>
      <c r="CH773" s="115"/>
      <c r="CI773" s="115"/>
      <c r="CJ773" s="115"/>
      <c r="CK773" s="115"/>
      <c r="CL773" s="115"/>
      <c r="CM773" s="115"/>
      <c r="CN773" s="115"/>
      <c r="CO773" s="115"/>
      <c r="CP773" s="115"/>
      <c r="CQ773" s="115"/>
      <c r="CR773" s="115"/>
      <c r="CS773" s="115"/>
      <c r="CT773" s="115"/>
      <c r="CU773" s="115"/>
      <c r="CV773" s="115"/>
      <c r="CW773" s="115"/>
      <c r="CX773" s="115"/>
      <c r="CY773" s="115"/>
      <c r="CZ773" s="115"/>
      <c r="DA773" s="115"/>
      <c r="DB773" s="115"/>
      <c r="DC773" s="115"/>
      <c r="DD773" s="115"/>
      <c r="DE773" s="115"/>
      <c r="DF773" s="115"/>
      <c r="DG773" s="115"/>
      <c r="DH773" s="115"/>
      <c r="DI773" s="115"/>
      <c r="DJ773" s="115"/>
      <c r="DK773" s="115"/>
      <c r="DL773" s="115"/>
      <c r="DM773" s="115"/>
      <c r="DN773" s="115"/>
      <c r="DO773" s="115"/>
      <c r="DP773" s="115"/>
      <c r="DQ773" s="115"/>
      <c r="DR773" s="115"/>
      <c r="DS773" s="115"/>
      <c r="DT773" s="115"/>
      <c r="DU773" s="115"/>
      <c r="DV773" s="115"/>
      <c r="DW773" s="115"/>
      <c r="DX773" s="115"/>
      <c r="DY773" s="115"/>
      <c r="DZ773" s="115"/>
      <c r="EA773" s="115"/>
      <c r="EB773" s="115"/>
      <c r="EC773" s="645"/>
      <c r="ED773" s="113" t="s">
        <v>1</v>
      </c>
    </row>
    <row r="774" spans="1:134" hidden="1" x14ac:dyDescent="0.2">
      <c r="A774" s="330"/>
      <c r="B774" s="758"/>
      <c r="C774" s="758"/>
      <c r="D774" s="758"/>
      <c r="E774" s="758"/>
      <c r="F774" s="758"/>
      <c r="G774" s="758"/>
      <c r="H774" s="758"/>
      <c r="I774" s="758"/>
      <c r="J774" s="758"/>
      <c r="K774" s="758"/>
      <c r="L774" s="758"/>
      <c r="M774" s="758"/>
      <c r="N774" s="758"/>
      <c r="O774" s="758"/>
      <c r="P774" s="758"/>
      <c r="Q774" s="758"/>
      <c r="R774" s="758"/>
      <c r="S774" s="758"/>
      <c r="T774" s="758"/>
      <c r="U774" s="758"/>
      <c r="V774" s="758"/>
      <c r="W774" s="758"/>
      <c r="X774" s="758"/>
      <c r="Y774" s="758"/>
      <c r="Z774" s="758"/>
      <c r="AA774" s="758"/>
      <c r="AB774" s="758"/>
      <c r="AC774" s="758"/>
      <c r="AD774" s="758"/>
      <c r="AE774" s="758"/>
      <c r="AF774" s="758"/>
      <c r="AG774" s="758"/>
      <c r="AH774" s="758"/>
      <c r="AI774" s="758"/>
      <c r="AJ774" s="758"/>
      <c r="AK774" s="758"/>
      <c r="AL774" s="758"/>
      <c r="AM774" s="758"/>
      <c r="AN774" s="758"/>
      <c r="AO774" s="758"/>
      <c r="AP774" s="758"/>
      <c r="AQ774" s="758"/>
      <c r="AR774" s="758"/>
      <c r="AS774" s="758"/>
      <c r="AT774" s="758"/>
      <c r="AU774" s="758"/>
      <c r="AV774" s="758"/>
      <c r="AW774" s="758"/>
      <c r="AX774" s="758"/>
      <c r="AY774" s="758"/>
      <c r="AZ774" s="758"/>
      <c r="BA774" s="758"/>
      <c r="BB774" s="758"/>
      <c r="BC774" s="758"/>
      <c r="BD774" s="758"/>
      <c r="BE774" s="758"/>
      <c r="BF774" s="758"/>
      <c r="BG774" s="758"/>
      <c r="BH774" s="758"/>
      <c r="BI774" s="758"/>
      <c r="BJ774" s="758"/>
      <c r="BK774" s="758"/>
      <c r="BL774" s="758"/>
      <c r="BM774" s="758"/>
      <c r="BN774" s="758"/>
      <c r="BO774" s="758"/>
      <c r="BP774" s="758"/>
      <c r="BQ774" s="758"/>
      <c r="BR774" s="758"/>
      <c r="BS774" s="758"/>
      <c r="BT774" s="758"/>
      <c r="BU774" s="758"/>
      <c r="BV774" s="758"/>
      <c r="BW774" s="758"/>
      <c r="BX774" s="758"/>
      <c r="BY774" s="758"/>
      <c r="BZ774" s="758"/>
      <c r="CA774" s="758"/>
      <c r="CB774" s="758"/>
      <c r="CC774" s="758"/>
      <c r="CD774" s="758"/>
      <c r="CE774" s="758"/>
      <c r="CF774" s="758"/>
      <c r="CG774" s="758"/>
      <c r="CH774" s="758"/>
      <c r="CI774" s="758"/>
      <c r="CJ774" s="758"/>
      <c r="CK774" s="758"/>
      <c r="CL774" s="758"/>
      <c r="CM774" s="758"/>
      <c r="CN774" s="758"/>
      <c r="CO774" s="758"/>
      <c r="CP774" s="758"/>
      <c r="CQ774" s="758"/>
      <c r="CR774" s="758"/>
      <c r="CS774" s="758"/>
      <c r="CT774" s="133"/>
      <c r="CU774" s="133"/>
      <c r="CV774" s="133"/>
      <c r="CW774" s="133"/>
      <c r="CX774" s="133"/>
      <c r="CY774" s="133"/>
      <c r="CZ774" s="133"/>
      <c r="DA774" s="133"/>
      <c r="DB774" s="133"/>
      <c r="DC774" s="133"/>
      <c r="DD774" s="133"/>
      <c r="DE774" s="133"/>
      <c r="DF774" s="133"/>
      <c r="DG774" s="133"/>
      <c r="DH774" s="133"/>
      <c r="DI774" s="133"/>
      <c r="DJ774" s="133"/>
      <c r="DK774" s="133"/>
      <c r="DL774" s="133"/>
      <c r="DM774" s="133"/>
      <c r="DN774" s="133"/>
      <c r="DO774" s="133"/>
      <c r="DP774" s="133"/>
      <c r="DQ774" s="133"/>
      <c r="DR774" s="115"/>
      <c r="DS774" s="115"/>
      <c r="DT774" s="115"/>
      <c r="DU774" s="115"/>
      <c r="DV774" s="115"/>
      <c r="DW774" s="115"/>
      <c r="DX774" s="115"/>
      <c r="DY774" s="115"/>
      <c r="DZ774" s="115"/>
      <c r="EA774" s="115"/>
      <c r="EB774" s="115"/>
      <c r="EC774" s="645"/>
    </row>
    <row r="775" spans="1:134" hidden="1" x14ac:dyDescent="0.2">
      <c r="A775" s="115" t="s">
        <v>493</v>
      </c>
      <c r="B775" s="185">
        <f>B758/'Consolidated - P&amp;L'!C63</f>
        <v>6.1124385882144053E-4</v>
      </c>
      <c r="C775" s="185">
        <f>C758/'Consolidated - P&amp;L'!D63</f>
        <v>8.0614148699319245E-3</v>
      </c>
      <c r="D775" s="185">
        <f>D758/'Consolidated - P&amp;L'!E63</f>
        <v>3.8000084670803897E-3</v>
      </c>
      <c r="E775" s="185">
        <f>E758/'Consolidated - P&amp;L'!F63</f>
        <v>2.4075514403036295E-3</v>
      </c>
      <c r="F775" s="185">
        <f>F758/'Consolidated - P&amp;L'!G63</f>
        <v>8.3708337652008552E-3</v>
      </c>
      <c r="G775" s="185">
        <f>G758/'Consolidated - P&amp;L'!H63</f>
        <v>2.9959790549820717E-2</v>
      </c>
      <c r="H775" s="185">
        <f>H758/'Consolidated - P&amp;L'!I63</f>
        <v>3.0806888925990809E-2</v>
      </c>
      <c r="I775" s="185">
        <f>I758/'Consolidated - P&amp;L'!J63</f>
        <v>1.7234822136814739E-3</v>
      </c>
      <c r="J775" s="185">
        <f>J758/'Consolidated - P&amp;L'!K63</f>
        <v>1.3257802403724374E-3</v>
      </c>
      <c r="K775" s="185">
        <f>K758/'Consolidated - P&amp;L'!L63</f>
        <v>1.3851237094619738E-2</v>
      </c>
      <c r="L775" s="185">
        <f>L758/'Consolidated - P&amp;L'!M63</f>
        <v>4.3779255141996086E-3</v>
      </c>
      <c r="M775" s="185">
        <f>M758/'Consolidated - P&amp;L'!N63</f>
        <v>1.3824007642133339E-2</v>
      </c>
      <c r="N775" s="185">
        <f>N758/'Consolidated - P&amp;L'!O63</f>
        <v>9.3337178867472295E-3</v>
      </c>
      <c r="O775" s="185">
        <f>O758/'Consolidated - P&amp;L'!P63</f>
        <v>5.8029823278399929E-3</v>
      </c>
      <c r="P775" s="185">
        <f>P758/'Consolidated - P&amp;L'!Q63</f>
        <v>5.0268900690421461E-3</v>
      </c>
      <c r="Q775" s="185">
        <f>Q758/'Consolidated - P&amp;L'!R63</f>
        <v>6.5286007564847193E-3</v>
      </c>
      <c r="R775" s="185">
        <f>R758/'Consolidated - P&amp;L'!S63</f>
        <v>1.107226059548581E-2</v>
      </c>
      <c r="S775" s="185">
        <f>S758/'Consolidated - P&amp;L'!T63</f>
        <v>1.3149544961489179E-2</v>
      </c>
      <c r="T775" s="185">
        <f>T758/'Consolidated - P&amp;L'!U63</f>
        <v>9.6807459647761437E-3</v>
      </c>
      <c r="U775" s="185">
        <f>U758/'Consolidated - P&amp;L'!V63</f>
        <v>1.9263351451669089E-2</v>
      </c>
      <c r="V775" s="185">
        <f>V758/'Consolidated - P&amp;L'!W63</f>
        <v>8.6644935435358558E-3</v>
      </c>
      <c r="W775" s="185">
        <f>W758/'Consolidated - P&amp;L'!X63</f>
        <v>6.7099181892261456E-3</v>
      </c>
      <c r="X775" s="185">
        <f>X758/'Consolidated - P&amp;L'!Y63</f>
        <v>8.3252925905441793E-3</v>
      </c>
      <c r="Y775" s="185">
        <f>Y758/'Consolidated - P&amp;L'!Z63</f>
        <v>1.420793360741252E-2</v>
      </c>
      <c r="Z775" s="185">
        <f>Z758/'Consolidated - P&amp;L'!AA63</f>
        <v>-0.73323945922900502</v>
      </c>
      <c r="AA775" s="185">
        <f>AA758/'Consolidated - P&amp;L'!AB63</f>
        <v>5.7224259393899553E-3</v>
      </c>
      <c r="AB775" s="185">
        <f>AB758/'Consolidated - P&amp;L'!AC63</f>
        <v>9.9002319244286714E-3</v>
      </c>
      <c r="AC775" s="185">
        <f>AC758/'Consolidated - P&amp;L'!AD63</f>
        <v>1.8823509298474209E-2</v>
      </c>
      <c r="AD775" s="185">
        <f>AD758/'Consolidated - P&amp;L'!AE63</f>
        <v>2.4925725010110745E-2</v>
      </c>
      <c r="AE775" s="185">
        <f>AE758/'Consolidated - P&amp;L'!AF63</f>
        <v>6.6960532395233998E-3</v>
      </c>
      <c r="AF775" s="185">
        <f>AF758/'Consolidated - P&amp;L'!AG63</f>
        <v>5.9752357190208296E-3</v>
      </c>
      <c r="AG775" s="185">
        <f>AG758/'Consolidated - P&amp;L'!AH63</f>
        <v>2.9944336759738554E-3</v>
      </c>
      <c r="AH775" s="185">
        <f>AH758/'Consolidated - P&amp;L'!AI63</f>
        <v>1.595703795270559E-3</v>
      </c>
      <c r="AI775" s="185">
        <f>AI758/'Consolidated - P&amp;L'!AJ63</f>
        <v>1.658425757387832E-3</v>
      </c>
      <c r="AJ775" s="185">
        <f>AJ758/'Consolidated - P&amp;L'!AK63</f>
        <v>5.8608545278467346E-3</v>
      </c>
      <c r="AK775" s="185">
        <f>AK758/'Consolidated - P&amp;L'!AL63</f>
        <v>9.4923333634736907E-3</v>
      </c>
      <c r="AL775" s="185">
        <f>AL758/'Consolidated - P&amp;L'!AM63</f>
        <v>2.0948183338601354E-2</v>
      </c>
      <c r="AM775" s="185">
        <f>AM758/'Consolidated - P&amp;L'!AN63</f>
        <v>3.485100079654567E-2</v>
      </c>
      <c r="AN775" s="185">
        <f>AN758/'Consolidated - P&amp;L'!AO63</f>
        <v>1.2579162819730158E-2</v>
      </c>
      <c r="AO775" s="185">
        <f>AO758/'Consolidated - P&amp;L'!AP63</f>
        <v>1.3251678498797151E-2</v>
      </c>
      <c r="AP775" s="185">
        <f>AP758/'Consolidated - P&amp;L'!AQ63</f>
        <v>1.1915109584265445E-2</v>
      </c>
      <c r="AQ775" s="185">
        <f>AQ758/'Consolidated - P&amp;L'!AR63</f>
        <v>4.1913991590881494E-2</v>
      </c>
      <c r="AR775" s="185">
        <f>AR758/'Consolidated - P&amp;L'!AS63</f>
        <v>1.1295836479896029E-3</v>
      </c>
      <c r="AS775" s="185">
        <f>AS758/'Consolidated - P&amp;L'!AT63</f>
        <v>1.9155357556196182E-3</v>
      </c>
      <c r="AT775" s="185">
        <f>AT758/'Consolidated - P&amp;L'!AU63</f>
        <v>1.2488864381693884E-3</v>
      </c>
      <c r="AU775" s="185">
        <f>AU758/'Consolidated - P&amp;L'!AV63</f>
        <v>9.5489846390209862E-4</v>
      </c>
      <c r="AV775" s="185">
        <f>AV758/'Consolidated - P&amp;L'!AW63</f>
        <v>8.4258131521663178E-4</v>
      </c>
      <c r="AW775" s="185">
        <f>AW758/'Consolidated - P&amp;L'!AX63</f>
        <v>5.497569917328581E-3</v>
      </c>
      <c r="AX775" s="185">
        <f>AX758/'Consolidated - P&amp;L'!AY63</f>
        <v>1.1522529664020407E-3</v>
      </c>
      <c r="AY775" s="185">
        <f>AY758/'Consolidated - P&amp;L'!AZ63</f>
        <v>7.1000563772925817E-4</v>
      </c>
      <c r="AZ775" s="185">
        <f>AZ758/'Consolidated - P&amp;L'!BA63</f>
        <v>7.865711603736468E-3</v>
      </c>
      <c r="BA775" s="185">
        <f>BA758/'Consolidated - P&amp;L'!BB63</f>
        <v>1.4090001874852588E-2</v>
      </c>
      <c r="BB775" s="185">
        <f>BB758/'Consolidated - P&amp;L'!BC63</f>
        <v>3.3510780925235004E-2</v>
      </c>
      <c r="BC775" s="185">
        <f>BC758/'Consolidated - P&amp;L'!BD63</f>
        <v>1.7662923331516384E-2</v>
      </c>
      <c r="BD775" s="185">
        <f>BD758/'Consolidated - P&amp;L'!BE63</f>
        <v>1.8441810120348467E-2</v>
      </c>
      <c r="BE775" s="185">
        <f>BE758/'Consolidated - P&amp;L'!BF63</f>
        <v>1.1221930563041861E-2</v>
      </c>
      <c r="BF775" s="185">
        <f>BF758/'Consolidated - P&amp;L'!BG63</f>
        <v>1.7493514888822448E-2</v>
      </c>
      <c r="BG775" s="185">
        <f>BG758/'Consolidated - P&amp;L'!BH63</f>
        <v>1.3312864879730452E-2</v>
      </c>
      <c r="BH775" s="185">
        <f>BH758/'Consolidated - P&amp;L'!BI63</f>
        <v>5.2790928906432527E-3</v>
      </c>
      <c r="BI775" s="185">
        <f>BI758/'Consolidated - P&amp;L'!BJ63</f>
        <v>9.0997087832678427E-3</v>
      </c>
      <c r="BJ775" s="185">
        <f>BJ758/'Consolidated - P&amp;L'!BK63</f>
        <v>1.3338211985988E-2</v>
      </c>
      <c r="BK775" s="185">
        <f>BK758/'Consolidated - P&amp;L'!BL63</f>
        <v>1.3930639179519946E-2</v>
      </c>
      <c r="BL775" s="185">
        <f>BL758/'Consolidated - P&amp;L'!BM63</f>
        <v>1.4928534068637547E-2</v>
      </c>
      <c r="BM775" s="185">
        <f>BM758/'Consolidated - P&amp;L'!BN63</f>
        <v>1.7167241935066208E-2</v>
      </c>
      <c r="BN775" s="185">
        <f>BN758/'Consolidated - P&amp;L'!BO63</f>
        <v>1.2348292324056345E-2</v>
      </c>
      <c r="BO775" s="185">
        <f>BO758/'Consolidated - P&amp;L'!BP63</f>
        <v>1.3522160349525683E-2</v>
      </c>
      <c r="BP775" s="185">
        <f>BP758/'Consolidated - P&amp;L'!BQ63</f>
        <v>1.1904851821919107E-2</v>
      </c>
      <c r="BQ775" s="185">
        <f>BQ758/'Consolidated - P&amp;L'!BR63</f>
        <v>1.1497981548632236E-2</v>
      </c>
      <c r="BR775" s="185">
        <f>BR758/'Consolidated - P&amp;L'!BS63</f>
        <v>1.4870810583167872E-2</v>
      </c>
      <c r="BS775" s="185">
        <f>BS758/'Consolidated - P&amp;L'!BT63</f>
        <v>1.670053850885761E-2</v>
      </c>
      <c r="BT775" s="185">
        <f>BT758/'Consolidated - P&amp;L'!BU63</f>
        <v>1.8019014610394346E-2</v>
      </c>
      <c r="BU775" s="185">
        <f>BU758/'Consolidated - P&amp;L'!BV63</f>
        <v>1.7398714758275587E-2</v>
      </c>
      <c r="BV775" s="185">
        <f>BV758/'Consolidated - P&amp;L'!BW63</f>
        <v>1.5719952517060851E-2</v>
      </c>
      <c r="BW775" s="185">
        <f>BW758/'Consolidated - P&amp;L'!BX63</f>
        <v>1.4507504089230443E-2</v>
      </c>
      <c r="BX775" s="185">
        <f>BX758/'Consolidated - P&amp;L'!BY63</f>
        <v>1.2910096899199412E-2</v>
      </c>
      <c r="BY775" s="185">
        <f>BY758/'Consolidated - P&amp;L'!BZ63</f>
        <v>1.5714986017969352E-2</v>
      </c>
      <c r="BZ775" s="185">
        <f>BZ758/'Consolidated - P&amp;L'!CA63</f>
        <v>1.7282773453041772E-2</v>
      </c>
      <c r="CA775" s="185">
        <f>CA758/'Consolidated - P&amp;L'!CB63</f>
        <v>1.8184313744325765E-2</v>
      </c>
      <c r="CB775" s="185">
        <f>CB758/'Consolidated - P&amp;L'!CC63</f>
        <v>1.438609301222022E-2</v>
      </c>
      <c r="CC775" s="185">
        <f>CC758/'Consolidated - P&amp;L'!CD63</f>
        <v>1.151111237426003E-2</v>
      </c>
      <c r="CD775" s="185">
        <f>CD758/'Consolidated - P&amp;L'!CE63</f>
        <v>1.012800977799371E-2</v>
      </c>
      <c r="CE775" s="185">
        <f>CE758/'Consolidated - P&amp;L'!CF63</f>
        <v>8.6795157909596039E-3</v>
      </c>
      <c r="CF775" s="185">
        <f>CF758/'Consolidated - P&amp;L'!CG63</f>
        <v>6.9851542199150371E-3</v>
      </c>
      <c r="CG775" s="185">
        <f>CG758/'Consolidated - P&amp;L'!CH63</f>
        <v>5.3973388934359327E-3</v>
      </c>
      <c r="CH775" s="185">
        <f>CH758/'Consolidated - P&amp;L'!CI63</f>
        <v>8.1913021028285887E-3</v>
      </c>
      <c r="CI775" s="185">
        <f>CI758/'Consolidated - P&amp;L'!CJ63</f>
        <v>7.243686432092891E-3</v>
      </c>
      <c r="CJ775" s="185">
        <f>CJ758/'Consolidated - P&amp;L'!CK63</f>
        <v>6.7921047981104685E-3</v>
      </c>
      <c r="CK775" s="185">
        <f>CK758/'Consolidated - P&amp;L'!CL63</f>
        <v>5.8922414711255911E-3</v>
      </c>
      <c r="CL775" s="185">
        <f>CL758/'Consolidated - P&amp;L'!CM63</f>
        <v>6.0285792364729784E-3</v>
      </c>
      <c r="CM775" s="185">
        <f>CM758/'Consolidated - P&amp;L'!CN63</f>
        <v>7.0264957296092409E-3</v>
      </c>
      <c r="CN775" s="185">
        <f>CN758/'Consolidated - P&amp;L'!CO63</f>
        <v>4.4288901545385768E-3</v>
      </c>
      <c r="CO775" s="185">
        <f>CO758/'Consolidated - P&amp;L'!CP63</f>
        <v>3.5177840295141025E-3</v>
      </c>
      <c r="CP775" s="185">
        <f>CP758/'Consolidated - P&amp;L'!CQ63</f>
        <v>1.6380083313225727E-3</v>
      </c>
      <c r="CQ775" s="185">
        <f>CQ758/'Consolidated - P&amp;L'!CR63</f>
        <v>1.1907550294122343E-3</v>
      </c>
      <c r="CR775" s="185">
        <f>CR758/'Consolidated - P&amp;L'!CS63</f>
        <v>1.6514099429623319E-3</v>
      </c>
      <c r="CS775" s="185">
        <f>CS758/'Consolidated - P&amp;L'!CT63</f>
        <v>7.5735080299083144E-4</v>
      </c>
      <c r="CT775" s="185">
        <f>CS775</f>
        <v>7.5735080299083144E-4</v>
      </c>
      <c r="CU775" s="185">
        <f t="shared" ref="CU775:DQ775" si="2733">CT775</f>
        <v>7.5735080299083144E-4</v>
      </c>
      <c r="CV775" s="185">
        <f t="shared" si="2733"/>
        <v>7.5735080299083144E-4</v>
      </c>
      <c r="CW775" s="185">
        <f t="shared" si="2733"/>
        <v>7.5735080299083144E-4</v>
      </c>
      <c r="CX775" s="185">
        <f t="shared" si="2733"/>
        <v>7.5735080299083144E-4</v>
      </c>
      <c r="CY775" s="185">
        <f t="shared" si="2733"/>
        <v>7.5735080299083144E-4</v>
      </c>
      <c r="CZ775" s="185">
        <f t="shared" si="2733"/>
        <v>7.5735080299083144E-4</v>
      </c>
      <c r="DA775" s="185">
        <f t="shared" si="2733"/>
        <v>7.5735080299083144E-4</v>
      </c>
      <c r="DB775" s="185">
        <f t="shared" si="2733"/>
        <v>7.5735080299083144E-4</v>
      </c>
      <c r="DC775" s="185">
        <f t="shared" si="2733"/>
        <v>7.5735080299083144E-4</v>
      </c>
      <c r="DD775" s="185">
        <f t="shared" si="2733"/>
        <v>7.5735080299083144E-4</v>
      </c>
      <c r="DE775" s="185">
        <f t="shared" si="2733"/>
        <v>7.5735080299083144E-4</v>
      </c>
      <c r="DF775" s="185">
        <f t="shared" si="2733"/>
        <v>7.5735080299083144E-4</v>
      </c>
      <c r="DG775" s="185">
        <f t="shared" si="2733"/>
        <v>7.5735080299083144E-4</v>
      </c>
      <c r="DH775" s="185">
        <f t="shared" si="2733"/>
        <v>7.5735080299083144E-4</v>
      </c>
      <c r="DI775" s="185">
        <f t="shared" si="2733"/>
        <v>7.5735080299083144E-4</v>
      </c>
      <c r="DJ775" s="185">
        <f t="shared" si="2733"/>
        <v>7.5735080299083144E-4</v>
      </c>
      <c r="DK775" s="185">
        <f t="shared" si="2733"/>
        <v>7.5735080299083144E-4</v>
      </c>
      <c r="DL775" s="185">
        <f t="shared" si="2733"/>
        <v>7.5735080299083144E-4</v>
      </c>
      <c r="DM775" s="185">
        <f t="shared" si="2733"/>
        <v>7.5735080299083144E-4</v>
      </c>
      <c r="DN775" s="185">
        <f t="shared" si="2733"/>
        <v>7.5735080299083144E-4</v>
      </c>
      <c r="DO775" s="185">
        <f t="shared" si="2733"/>
        <v>7.5735080299083144E-4</v>
      </c>
      <c r="DP775" s="185">
        <f t="shared" si="2733"/>
        <v>7.5735080299083144E-4</v>
      </c>
      <c r="DQ775" s="185">
        <f t="shared" si="2733"/>
        <v>7.5735080299083144E-4</v>
      </c>
      <c r="DR775" s="115"/>
      <c r="DS775" s="115"/>
      <c r="DT775" s="115"/>
      <c r="DU775" s="115"/>
      <c r="DV775" s="115"/>
      <c r="DW775" s="115"/>
      <c r="DX775" s="115"/>
      <c r="DY775" s="115"/>
      <c r="DZ775" s="115"/>
      <c r="EA775" s="115"/>
      <c r="EB775" s="115"/>
      <c r="EC775" s="645"/>
      <c r="ED775" s="113" t="s">
        <v>1</v>
      </c>
    </row>
    <row r="776" spans="1:134" hidden="1" x14ac:dyDescent="0.2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15"/>
      <c r="AU776" s="115"/>
      <c r="AV776" s="115"/>
      <c r="AW776" s="115"/>
      <c r="AX776" s="115"/>
      <c r="AY776" s="115"/>
      <c r="AZ776" s="115"/>
      <c r="BA776" s="115"/>
      <c r="BB776" s="115"/>
      <c r="BC776" s="115"/>
      <c r="BD776" s="115"/>
      <c r="BE776" s="115"/>
      <c r="BF776" s="115"/>
      <c r="BG776" s="115"/>
      <c r="BH776" s="115"/>
      <c r="BI776" s="115"/>
      <c r="BJ776" s="115"/>
      <c r="BK776" s="115"/>
      <c r="BL776" s="115"/>
      <c r="BM776" s="115"/>
      <c r="BN776" s="115"/>
      <c r="BO776" s="115"/>
      <c r="BP776" s="115"/>
      <c r="BQ776" s="115"/>
      <c r="BR776" s="115"/>
      <c r="BS776" s="115"/>
      <c r="BT776" s="115"/>
      <c r="BU776" s="115"/>
      <c r="BV776" s="115"/>
      <c r="BW776" s="115"/>
      <c r="BX776" s="115"/>
      <c r="BY776" s="115"/>
      <c r="BZ776" s="115"/>
      <c r="CA776" s="115"/>
      <c r="CB776" s="115"/>
      <c r="CC776" s="115"/>
      <c r="CD776" s="115"/>
      <c r="CE776" s="115"/>
      <c r="CF776" s="115"/>
      <c r="CG776" s="115"/>
      <c r="CH776" s="115"/>
      <c r="CI776" s="115"/>
      <c r="CJ776" s="115"/>
      <c r="CK776" s="115"/>
      <c r="CL776" s="115"/>
      <c r="CM776" s="115"/>
      <c r="CN776" s="115"/>
      <c r="CO776" s="115"/>
      <c r="CP776" s="115"/>
      <c r="CQ776" s="115"/>
      <c r="CR776" s="115"/>
      <c r="CS776" s="115"/>
      <c r="CT776" s="115"/>
      <c r="CU776" s="115"/>
      <c r="CV776" s="115"/>
      <c r="CW776" s="115"/>
      <c r="CX776" s="115"/>
      <c r="CY776" s="115"/>
      <c r="CZ776" s="115"/>
      <c r="DA776" s="115"/>
      <c r="DB776" s="115"/>
      <c r="DC776" s="115"/>
      <c r="DD776" s="115"/>
      <c r="DE776" s="115"/>
      <c r="DF776" s="115"/>
      <c r="DG776" s="115"/>
      <c r="DH776" s="115"/>
      <c r="DI776" s="115"/>
      <c r="DJ776" s="115"/>
      <c r="DK776" s="115"/>
      <c r="DL776" s="115"/>
      <c r="DM776" s="115"/>
      <c r="DN776" s="115"/>
      <c r="DO776" s="115"/>
      <c r="DP776" s="115"/>
      <c r="DQ776" s="115"/>
      <c r="DR776" s="115"/>
      <c r="DS776" s="115"/>
      <c r="DT776" s="115"/>
      <c r="DU776" s="115"/>
      <c r="DV776" s="115"/>
      <c r="DW776" s="115"/>
      <c r="DX776" s="115"/>
      <c r="DY776" s="115"/>
      <c r="DZ776" s="115"/>
      <c r="EA776" s="115"/>
      <c r="EB776" s="115"/>
      <c r="EC776" s="645"/>
      <c r="ED776" s="113" t="s">
        <v>1</v>
      </c>
    </row>
    <row r="777" spans="1:134" hidden="1" x14ac:dyDescent="0.2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115"/>
      <c r="AQ777" s="115"/>
      <c r="AR777" s="115"/>
      <c r="AS777" s="115"/>
      <c r="AT777" s="115"/>
      <c r="AU777" s="115"/>
      <c r="AV777" s="115"/>
      <c r="AW777" s="115"/>
      <c r="AX777" s="115"/>
      <c r="AY777" s="115"/>
      <c r="AZ777" s="115"/>
      <c r="BA777" s="115"/>
      <c r="BB777" s="115"/>
      <c r="BC777" s="115"/>
      <c r="BD777" s="115"/>
      <c r="BE777" s="115"/>
      <c r="BF777" s="115"/>
      <c r="BG777" s="115"/>
      <c r="BH777" s="115"/>
      <c r="BI777" s="115"/>
      <c r="BJ777" s="115"/>
      <c r="BK777" s="115"/>
      <c r="BL777" s="115"/>
      <c r="BM777" s="115"/>
      <c r="BN777" s="115"/>
      <c r="BO777" s="115"/>
      <c r="BP777" s="115"/>
      <c r="BQ777" s="115"/>
      <c r="BR777" s="115"/>
      <c r="BS777" s="115"/>
      <c r="BT777" s="115"/>
      <c r="BU777" s="115"/>
      <c r="BV777" s="115"/>
      <c r="BW777" s="115"/>
      <c r="BX777" s="115"/>
      <c r="BY777" s="115"/>
      <c r="BZ777" s="115"/>
      <c r="CA777" s="115"/>
      <c r="CB777" s="115"/>
      <c r="CC777" s="115"/>
      <c r="CD777" s="115"/>
      <c r="CE777" s="115"/>
      <c r="CF777" s="115"/>
      <c r="CG777" s="115"/>
      <c r="CH777" s="115"/>
      <c r="CI777" s="115"/>
      <c r="CJ777" s="115"/>
      <c r="CK777" s="115"/>
      <c r="CL777" s="115"/>
      <c r="CM777" s="115"/>
      <c r="CN777" s="115"/>
      <c r="CO777" s="115"/>
      <c r="CP777" s="115"/>
      <c r="CQ777" s="115"/>
      <c r="CR777" s="115"/>
      <c r="CS777" s="115"/>
      <c r="CT777" s="115"/>
      <c r="CU777" s="115"/>
      <c r="CV777" s="115"/>
      <c r="CW777" s="115"/>
      <c r="CX777" s="115"/>
      <c r="CY777" s="115"/>
      <c r="CZ777" s="115"/>
      <c r="DA777" s="115"/>
      <c r="DB777" s="115"/>
      <c r="DC777" s="115"/>
      <c r="DD777" s="115"/>
      <c r="DE777" s="115"/>
      <c r="DF777" s="115"/>
      <c r="DG777" s="115"/>
      <c r="DH777" s="115"/>
      <c r="DI777" s="115"/>
      <c r="DJ777" s="115"/>
      <c r="DK777" s="115"/>
      <c r="DL777" s="115"/>
      <c r="DM777" s="115"/>
      <c r="DN777" s="115"/>
      <c r="DO777" s="115"/>
      <c r="DP777" s="115"/>
      <c r="DQ777" s="115"/>
      <c r="DR777" s="115"/>
      <c r="DS777" s="115"/>
      <c r="DT777" s="115"/>
      <c r="DU777" s="115"/>
      <c r="DV777" s="115"/>
      <c r="DW777" s="115"/>
      <c r="DX777" s="115"/>
      <c r="DY777" s="115"/>
      <c r="DZ777" s="115"/>
      <c r="EA777" s="115"/>
      <c r="EB777" s="115"/>
      <c r="EC777" s="645"/>
      <c r="ED777" s="113" t="s">
        <v>1</v>
      </c>
    </row>
    <row r="778" spans="1:134" x14ac:dyDescent="0.2">
      <c r="A778" s="115" t="s">
        <v>573</v>
      </c>
      <c r="B778" s="129">
        <f>'Consolidated - P&amp;L'!C244</f>
        <v>0</v>
      </c>
      <c r="C778" s="129">
        <f>'Consolidated - P&amp;L'!D244</f>
        <v>0</v>
      </c>
      <c r="D778" s="129">
        <f>'Consolidated - P&amp;L'!E244</f>
        <v>0</v>
      </c>
      <c r="E778" s="129">
        <f>'Consolidated - P&amp;L'!F244</f>
        <v>0</v>
      </c>
      <c r="F778" s="129">
        <f>'Consolidated - P&amp;L'!G244</f>
        <v>0</v>
      </c>
      <c r="G778" s="129">
        <f>'Consolidated - P&amp;L'!H244</f>
        <v>0</v>
      </c>
      <c r="H778" s="129">
        <f>'Consolidated - P&amp;L'!I244</f>
        <v>0</v>
      </c>
      <c r="I778" s="129">
        <f>'Consolidated - P&amp;L'!J244</f>
        <v>0</v>
      </c>
      <c r="J778" s="129">
        <f>'Consolidated - P&amp;L'!K244</f>
        <v>0</v>
      </c>
      <c r="K778" s="129">
        <f>'Consolidated - P&amp;L'!L244</f>
        <v>0</v>
      </c>
      <c r="L778" s="129">
        <f>'Consolidated - P&amp;L'!M244</f>
        <v>0</v>
      </c>
      <c r="M778" s="129">
        <f>'Consolidated - P&amp;L'!N244</f>
        <v>0</v>
      </c>
      <c r="N778" s="129">
        <f>'Consolidated - P&amp;L'!O244</f>
        <v>0</v>
      </c>
      <c r="O778" s="129">
        <f>'Consolidated - P&amp;L'!P244</f>
        <v>0</v>
      </c>
      <c r="P778" s="129">
        <f>'Consolidated - P&amp;L'!Q244</f>
        <v>0</v>
      </c>
      <c r="Q778" s="129">
        <f>'Consolidated - P&amp;L'!R244</f>
        <v>0</v>
      </c>
      <c r="R778" s="129">
        <f>'Consolidated - P&amp;L'!S244</f>
        <v>0</v>
      </c>
      <c r="S778" s="129">
        <f>'Consolidated - P&amp;L'!T244</f>
        <v>0</v>
      </c>
      <c r="T778" s="129">
        <f>'Consolidated - P&amp;L'!U244</f>
        <v>0</v>
      </c>
      <c r="U778" s="129">
        <f>'Consolidated - P&amp;L'!V244</f>
        <v>0</v>
      </c>
      <c r="V778" s="129">
        <f>'Consolidated - P&amp;L'!W244</f>
        <v>0</v>
      </c>
      <c r="W778" s="129">
        <f>'Consolidated - P&amp;L'!X244</f>
        <v>0</v>
      </c>
      <c r="X778" s="129">
        <f>'Consolidated - P&amp;L'!Y244</f>
        <v>0</v>
      </c>
      <c r="Y778" s="129">
        <f>'Consolidated - P&amp;L'!Z244</f>
        <v>0</v>
      </c>
      <c r="Z778" s="129">
        <f>'Consolidated - P&amp;L'!AA244</f>
        <v>0</v>
      </c>
      <c r="AA778" s="129">
        <f>'Consolidated - P&amp;L'!AB244</f>
        <v>0</v>
      </c>
      <c r="AB778" s="129">
        <f>'Consolidated - P&amp;L'!AC244</f>
        <v>11.368196194790416</v>
      </c>
      <c r="AC778" s="129">
        <f>'Consolidated - P&amp;L'!AD244</f>
        <v>7.7096347270362608</v>
      </c>
      <c r="AD778" s="129">
        <f>'Consolidated - P&amp;L'!AE244</f>
        <v>21.353985798611763</v>
      </c>
      <c r="AE778" s="129">
        <f>'Consolidated - P&amp;L'!AF244</f>
        <v>20.441411520930501</v>
      </c>
      <c r="AF778" s="129">
        <f>'Consolidated - P&amp;L'!AG244</f>
        <v>66.951292454645795</v>
      </c>
      <c r="AG778" s="129">
        <f>'Consolidated - P&amp;L'!AH244</f>
        <v>80.411116669551475</v>
      </c>
      <c r="AH778" s="129">
        <f>'Consolidated - P&amp;L'!AI244</f>
        <v>40.604727295795378</v>
      </c>
      <c r="AI778" s="129">
        <f>'Consolidated - P&amp;L'!AJ244</f>
        <v>35.98858989924144</v>
      </c>
      <c r="AJ778" s="129">
        <f>'Consolidated - P&amp;L'!AK244</f>
        <v>24.459348189281222</v>
      </c>
      <c r="AK778" s="129">
        <f>'Consolidated - P&amp;L'!AL244</f>
        <v>17.751440649716567</v>
      </c>
      <c r="AL778" s="129">
        <f>'Consolidated - P&amp;L'!AM244</f>
        <v>17.011819480161297</v>
      </c>
      <c r="AM778" s="129">
        <f>'Consolidated - P&amp;L'!AN244</f>
        <v>32.011416257078444</v>
      </c>
      <c r="AN778" s="129">
        <f>'Consolidated - P&amp;L'!AO244</f>
        <v>51.046285137451953</v>
      </c>
      <c r="AO778" s="129">
        <f>'Consolidated - P&amp;L'!AP244</f>
        <v>22.284534852784997</v>
      </c>
      <c r="AP778" s="129">
        <f>'Consolidated - P&amp;L'!AQ244</f>
        <v>30.139420102063987</v>
      </c>
      <c r="AQ778" s="129">
        <f>'Consolidated - P&amp;L'!AR244</f>
        <v>28.620258024252269</v>
      </c>
      <c r="AR778" s="129">
        <f>'Consolidated - P&amp;L'!AS244</f>
        <v>66.494215043841706</v>
      </c>
      <c r="AS778" s="129">
        <f>'Consolidated - P&amp;L'!AT244</f>
        <v>88.947770057380396</v>
      </c>
      <c r="AT778" s="129">
        <f>'Consolidated - P&amp;L'!AU244</f>
        <v>75.431795219084918</v>
      </c>
      <c r="AU778" s="129">
        <f>'Consolidated - P&amp;L'!AV244</f>
        <v>55.447317925172314</v>
      </c>
      <c r="AV778" s="129">
        <f>'Consolidated - P&amp;L'!AW244</f>
        <v>57.652919425139885</v>
      </c>
      <c r="AW778" s="129">
        <f>'Consolidated - P&amp;L'!AX244</f>
        <v>68.721601559636625</v>
      </c>
      <c r="AX778" s="129">
        <f>'Consolidated - P&amp;L'!AY244</f>
        <v>85.106132950617379</v>
      </c>
      <c r="AY778" s="129">
        <f>'Consolidated - P&amp;L'!AZ244</f>
        <v>68.191744769341909</v>
      </c>
      <c r="AZ778" s="129">
        <f>'Consolidated - P&amp;L'!BA244</f>
        <v>44.126435297900315</v>
      </c>
      <c r="BA778" s="129">
        <f>'Consolidated - P&amp;L'!BB244</f>
        <v>56.074567166099257</v>
      </c>
      <c r="BB778" s="129">
        <f>'Consolidated - P&amp;L'!BC244</f>
        <v>55.047844350507496</v>
      </c>
      <c r="BC778" s="129">
        <f>'Consolidated - P&amp;L'!BD244</f>
        <v>50.915025274884634</v>
      </c>
      <c r="BD778" s="129">
        <f>'Consolidated - P&amp;L'!BE244</f>
        <v>71.304881470061474</v>
      </c>
      <c r="BE778" s="129">
        <f>'Consolidated - P&amp;L'!BF244</f>
        <v>67.025535925262332</v>
      </c>
      <c r="BF778" s="129">
        <f>'Consolidated - P&amp;L'!BG244</f>
        <v>57.031914246852608</v>
      </c>
      <c r="BG778" s="129">
        <f>'Consolidated - P&amp;L'!BH244</f>
        <v>43.473247977705718</v>
      </c>
      <c r="BH778" s="129">
        <f>'Consolidated - P&amp;L'!BI244</f>
        <v>59.679170011238263</v>
      </c>
      <c r="BI778" s="129">
        <f>'Consolidated - P&amp;L'!BJ244</f>
        <v>57.526833252385444</v>
      </c>
      <c r="BJ778" s="129">
        <f>'Consolidated - P&amp;L'!BK244</f>
        <v>48.516103571742526</v>
      </c>
      <c r="BK778" s="129">
        <f>'Consolidated - P&amp;L'!BL244</f>
        <v>45.669019982726773</v>
      </c>
      <c r="BL778" s="129">
        <f>'Consolidated - P&amp;L'!BM244</f>
        <v>39.004128661228279</v>
      </c>
      <c r="BM778" s="129">
        <f>'Consolidated - P&amp;L'!BN244</f>
        <v>49.407552273314373</v>
      </c>
      <c r="BN778" s="129">
        <f>'Consolidated - P&amp;L'!BO244</f>
        <v>64.025291519457454</v>
      </c>
      <c r="BO778" s="129">
        <f>'Consolidated - P&amp;L'!BP244</f>
        <v>56.332259121920067</v>
      </c>
      <c r="BP778" s="129">
        <f>'Consolidated - P&amp;L'!BQ244</f>
        <v>50.86826568238881</v>
      </c>
      <c r="BQ778" s="129">
        <f>'Consolidated - P&amp;L'!BR244</f>
        <v>61.122121255975216</v>
      </c>
      <c r="BR778" s="129">
        <f>'Consolidated - P&amp;L'!BS244</f>
        <v>47.871404218353142</v>
      </c>
      <c r="BS778" s="129">
        <f>'Consolidated - P&amp;L'!BT244</f>
        <v>44.072870186804586</v>
      </c>
      <c r="BT778" s="129">
        <f>'Consolidated - P&amp;L'!BU244</f>
        <v>47.042803028849903</v>
      </c>
      <c r="BU778" s="129">
        <f>'Consolidated - P&amp;L'!BV244</f>
        <v>38.809934020391928</v>
      </c>
      <c r="BV778" s="129">
        <f>'Consolidated - P&amp;L'!BW244</f>
        <v>37.687022128692931</v>
      </c>
      <c r="BW778" s="129">
        <f>'Consolidated - P&amp;L'!BX244</f>
        <v>35.313710312528436</v>
      </c>
      <c r="BX778" s="129">
        <f>'Consolidated - P&amp;L'!BY244</f>
        <v>30.205216892284923</v>
      </c>
      <c r="BY778" s="129">
        <f>'Consolidated - P&amp;L'!BZ244</f>
        <v>30.149893012192258</v>
      </c>
      <c r="BZ778" s="129">
        <f>'Consolidated - P&amp;L'!CA244</f>
        <v>29.825329343246246</v>
      </c>
      <c r="CA778" s="129">
        <f>'Consolidated - P&amp;L'!CB244</f>
        <v>33.720120867601679</v>
      </c>
      <c r="CB778" s="129">
        <f>'Consolidated - P&amp;L'!CC244</f>
        <v>57.477287083436629</v>
      </c>
      <c r="CC778" s="129">
        <f>'Consolidated - P&amp;L'!CD244</f>
        <v>69.814331086756951</v>
      </c>
      <c r="CD778" s="129">
        <f>'Consolidated - P&amp;L'!CE244</f>
        <v>61.814409422992789</v>
      </c>
      <c r="CE778" s="129">
        <f>'Consolidated - P&amp;L'!CF244</f>
        <v>61.815910066252179</v>
      </c>
      <c r="CF778" s="129">
        <f>'Consolidated - P&amp;L'!CG244</f>
        <v>60.85695268894159</v>
      </c>
      <c r="CG778" s="129">
        <f>'Consolidated - P&amp;L'!CH244</f>
        <v>39.630902499868313</v>
      </c>
      <c r="CH778" s="129">
        <f>'Consolidated - P&amp;L'!CI244</f>
        <v>36.586849413362778</v>
      </c>
      <c r="CI778" s="129">
        <f>'Consolidated - P&amp;L'!CJ244</f>
        <v>41.981302083714475</v>
      </c>
      <c r="CJ778" s="129">
        <f>'Consolidated - P&amp;L'!CK244</f>
        <v>39.858812643241222</v>
      </c>
      <c r="CK778" s="129">
        <f>'Consolidated - P&amp;L'!CL244</f>
        <v>33.107987945740561</v>
      </c>
      <c r="CL778" s="129">
        <f>'Consolidated - P&amp;L'!CM244</f>
        <v>32.349647020315018</v>
      </c>
      <c r="CM778" s="129">
        <f>'Consolidated - P&amp;L'!CN244</f>
        <v>41.173397163913116</v>
      </c>
      <c r="CN778" s="129">
        <f>'Consolidated - P&amp;L'!CO244</f>
        <v>65.185293333960615</v>
      </c>
      <c r="CO778" s="129">
        <f>'Consolidated - P&amp;L'!CP244</f>
        <v>72.671219223263563</v>
      </c>
      <c r="CP778" s="129">
        <f>'Consolidated - P&amp;L'!CQ244</f>
        <v>54.150361655669393</v>
      </c>
      <c r="CQ778" s="129">
        <f>'Consolidated - P&amp;L'!CR244</f>
        <v>47.513909602074712</v>
      </c>
      <c r="CR778" s="129">
        <f>'Consolidated - P&amp;L'!CS244</f>
        <v>48.322651467709328</v>
      </c>
      <c r="CS778" s="129">
        <f>'Consolidated - P&amp;L'!CT244</f>
        <v>44.434805222722922</v>
      </c>
      <c r="CT778" s="129">
        <f>CH778</f>
        <v>36.586849413362778</v>
      </c>
      <c r="CU778" s="129">
        <f t="shared" ref="CU778:DE778" si="2734">CI778</f>
        <v>41.981302083714475</v>
      </c>
      <c r="CV778" s="129">
        <f t="shared" si="2734"/>
        <v>39.858812643241222</v>
      </c>
      <c r="CW778" s="129">
        <f t="shared" si="2734"/>
        <v>33.107987945740561</v>
      </c>
      <c r="CX778" s="129">
        <f t="shared" si="2734"/>
        <v>32.349647020315018</v>
      </c>
      <c r="CY778" s="129">
        <f t="shared" si="2734"/>
        <v>41.173397163913116</v>
      </c>
      <c r="CZ778" s="129">
        <f t="shared" si="2734"/>
        <v>65.185293333960615</v>
      </c>
      <c r="DA778" s="129">
        <f t="shared" si="2734"/>
        <v>72.671219223263563</v>
      </c>
      <c r="DB778" s="129">
        <f t="shared" si="2734"/>
        <v>54.150361655669393</v>
      </c>
      <c r="DC778" s="129">
        <f t="shared" si="2734"/>
        <v>47.513909602074712</v>
      </c>
      <c r="DD778" s="129">
        <f t="shared" si="2734"/>
        <v>48.322651467709328</v>
      </c>
      <c r="DE778" s="129">
        <f t="shared" si="2734"/>
        <v>44.434805222722922</v>
      </c>
      <c r="DF778" s="129">
        <f>CH778</f>
        <v>36.586849413362778</v>
      </c>
      <c r="DG778" s="129">
        <f t="shared" ref="DG778:DQ778" si="2735">CI778</f>
        <v>41.981302083714475</v>
      </c>
      <c r="DH778" s="129">
        <f t="shared" si="2735"/>
        <v>39.858812643241222</v>
      </c>
      <c r="DI778" s="129">
        <f t="shared" si="2735"/>
        <v>33.107987945740561</v>
      </c>
      <c r="DJ778" s="129">
        <f t="shared" si="2735"/>
        <v>32.349647020315018</v>
      </c>
      <c r="DK778" s="129">
        <f t="shared" si="2735"/>
        <v>41.173397163913116</v>
      </c>
      <c r="DL778" s="129">
        <f t="shared" si="2735"/>
        <v>65.185293333960615</v>
      </c>
      <c r="DM778" s="129">
        <f t="shared" si="2735"/>
        <v>72.671219223263563</v>
      </c>
      <c r="DN778" s="129">
        <f t="shared" si="2735"/>
        <v>54.150361655669393</v>
      </c>
      <c r="DO778" s="129">
        <f t="shared" si="2735"/>
        <v>47.513909602074712</v>
      </c>
      <c r="DP778" s="129">
        <f t="shared" si="2735"/>
        <v>48.322651467709328</v>
      </c>
      <c r="DQ778" s="129">
        <f t="shared" si="2735"/>
        <v>44.434805222722922</v>
      </c>
      <c r="DR778" s="115"/>
      <c r="DS778" s="115"/>
      <c r="DT778" s="115"/>
      <c r="DU778" s="115"/>
      <c r="DV778" s="115"/>
      <c r="DW778" s="115"/>
      <c r="DX778" s="115"/>
      <c r="DY778" s="115"/>
      <c r="DZ778" s="115"/>
      <c r="EA778" s="115"/>
      <c r="EB778" s="115"/>
      <c r="EC778" s="645"/>
      <c r="ED778" s="113" t="s">
        <v>1</v>
      </c>
    </row>
    <row r="779" spans="1:134" x14ac:dyDescent="0.2">
      <c r="A779" s="115" t="s">
        <v>572</v>
      </c>
      <c r="B779" s="754"/>
      <c r="C779" s="754"/>
      <c r="D779" s="754"/>
      <c r="E779" s="754"/>
      <c r="F779" s="754"/>
      <c r="G779" s="754"/>
      <c r="H779" s="754"/>
      <c r="I779" s="754"/>
      <c r="J779" s="754"/>
      <c r="K779" s="754"/>
      <c r="L779" s="754"/>
      <c r="M779" s="754"/>
      <c r="N779" s="754"/>
      <c r="O779" s="754"/>
      <c r="P779" s="754"/>
      <c r="Q779" s="754"/>
      <c r="R779" s="754"/>
      <c r="S779" s="754"/>
      <c r="T779" s="754"/>
      <c r="U779" s="754"/>
      <c r="V779" s="754"/>
      <c r="W779" s="754"/>
      <c r="X779" s="754"/>
      <c r="Y779" s="754"/>
      <c r="Z779" s="754"/>
      <c r="AA779" s="754"/>
      <c r="AB779" s="754"/>
      <c r="AC779" s="754"/>
      <c r="AD779" s="754"/>
      <c r="AE779" s="754"/>
      <c r="AF779" s="754"/>
      <c r="AG779" s="754"/>
      <c r="AH779" s="754"/>
      <c r="AI779" s="754"/>
      <c r="AJ779" s="754"/>
      <c r="AK779" s="754"/>
      <c r="AL779" s="754"/>
      <c r="AM779" s="754"/>
      <c r="AN779" s="754"/>
      <c r="AO779" s="754"/>
      <c r="AP779" s="754"/>
      <c r="AQ779" s="754"/>
      <c r="AR779" s="754"/>
      <c r="AS779" s="754"/>
      <c r="AT779" s="754"/>
      <c r="AU779" s="754"/>
      <c r="AV779" s="754"/>
      <c r="AW779" s="754"/>
      <c r="AX779" s="129">
        <f>'Consolidated - P&amp;L'!AY236/'Consolidated - P&amp;L'!AY237</f>
        <v>7919.4756079051695</v>
      </c>
      <c r="AY779" s="129">
        <f>'Consolidated - P&amp;L'!AZ236/'Consolidated - P&amp;L'!AZ237</f>
        <v>9930.4556627274851</v>
      </c>
      <c r="AZ779" s="129">
        <f>'Consolidated - P&amp;L'!BA236/'Consolidated - P&amp;L'!BA237</f>
        <v>9928.6272946012614</v>
      </c>
      <c r="BA779" s="129">
        <f>'Consolidated - P&amp;L'!BB236/'Consolidated - P&amp;L'!BB237</f>
        <v>9127.2923876369114</v>
      </c>
      <c r="BB779" s="129">
        <f>'Consolidated - P&amp;L'!BC236/'Consolidated - P&amp;L'!BC237</f>
        <v>7716.7192732385984</v>
      </c>
      <c r="BC779" s="129">
        <f>'Consolidated - P&amp;L'!BD236/'Consolidated - P&amp;L'!BD237</f>
        <v>7731.2625056838169</v>
      </c>
      <c r="BD779" s="129">
        <f>'Consolidated - P&amp;L'!BE236/'Consolidated - P&amp;L'!BE237</f>
        <v>7340.5266198382269</v>
      </c>
      <c r="BE779" s="129">
        <f>'Consolidated - P&amp;L'!BF236/'Consolidated - P&amp;L'!BF237</f>
        <v>8178.5150856615401</v>
      </c>
      <c r="BF779" s="129">
        <f>'Consolidated - P&amp;L'!BG236/'Consolidated - P&amp;L'!BG237</f>
        <v>10622.720990289657</v>
      </c>
      <c r="BG779" s="129">
        <f>'Consolidated - P&amp;L'!BH236/'Consolidated - P&amp;L'!BH237</f>
        <v>10786.555440087728</v>
      </c>
      <c r="BH779" s="129">
        <f>'Consolidated - P&amp;L'!BI236/'Consolidated - P&amp;L'!BI237</f>
        <v>11484.874122845251</v>
      </c>
      <c r="BI779" s="129">
        <f>'Consolidated - P&amp;L'!BJ236/'Consolidated - P&amp;L'!BJ237</f>
        <v>11995.92269162599</v>
      </c>
      <c r="BJ779" s="129">
        <f>'Consolidated - P&amp;L'!BK236/'Consolidated - P&amp;L'!BK237</f>
        <v>12350.883546059204</v>
      </c>
      <c r="BK779" s="129">
        <f>'Consolidated - P&amp;L'!BL236/'Consolidated - P&amp;L'!BL237</f>
        <v>12776.926885501054</v>
      </c>
      <c r="BL779" s="129">
        <f>'Consolidated - P&amp;L'!BM236/'Consolidated - P&amp;L'!BM237</f>
        <v>11468.783244336182</v>
      </c>
      <c r="BM779" s="129">
        <f>'Consolidated - P&amp;L'!BN236/'Consolidated - P&amp;L'!BN237</f>
        <v>10270.662287550871</v>
      </c>
      <c r="BN779" s="129">
        <f>'Consolidated - P&amp;L'!BO236/'Consolidated - P&amp;L'!BO237</f>
        <v>9811.7423731066738</v>
      </c>
      <c r="BO779" s="129">
        <f>'Consolidated - P&amp;L'!BP236/'Consolidated - P&amp;L'!BP237</f>
        <v>11335.118993639146</v>
      </c>
      <c r="BP779" s="129">
        <f>'Consolidated - P&amp;L'!BQ236/'Consolidated - P&amp;L'!BQ237</f>
        <v>11357.707348714745</v>
      </c>
      <c r="BQ779" s="129">
        <f>'Consolidated - P&amp;L'!BR236/'Consolidated - P&amp;L'!BR237</f>
        <v>12106.832019240572</v>
      </c>
      <c r="BR779" s="129">
        <f>'Consolidated - P&amp;L'!BS236/'Consolidated - P&amp;L'!BS237</f>
        <v>12363.73551048779</v>
      </c>
      <c r="BS779" s="129">
        <f>'Consolidated - P&amp;L'!BT236/'Consolidated - P&amp;L'!BT237</f>
        <v>12693.327815206518</v>
      </c>
      <c r="BT779" s="129">
        <f>'Consolidated - P&amp;L'!BU236/'Consolidated - P&amp;L'!BU237</f>
        <v>12883.723926140499</v>
      </c>
      <c r="BU779" s="129">
        <f>'Consolidated - P&amp;L'!BV236/'Consolidated - P&amp;L'!BV237</f>
        <v>12312.043729017176</v>
      </c>
      <c r="BV779" s="129">
        <f>'Consolidated - P&amp;L'!BW236/'Consolidated - P&amp;L'!BW237</f>
        <v>12869.88887467341</v>
      </c>
      <c r="BW779" s="129">
        <f>'Consolidated - P&amp;L'!BX236/'Consolidated - P&amp;L'!BX237</f>
        <v>12340.520698595365</v>
      </c>
      <c r="BX779" s="129">
        <f>'Consolidated - P&amp;L'!BY236/'Consolidated - P&amp;L'!BY237</f>
        <v>11455.889367704585</v>
      </c>
      <c r="BY779" s="129">
        <f>'Consolidated - P&amp;L'!BZ236/'Consolidated - P&amp;L'!BZ237</f>
        <v>12207.962524493205</v>
      </c>
      <c r="BZ779" s="129">
        <f>'Consolidated - P&amp;L'!CA236/'Consolidated - P&amp;L'!CA237</f>
        <v>11586.448815566835</v>
      </c>
      <c r="CA779" s="129">
        <f>'Consolidated - P&amp;L'!CB236/'Consolidated - P&amp;L'!CB237</f>
        <v>12899.402276121016</v>
      </c>
      <c r="CB779" s="129">
        <f>'Consolidated - P&amp;L'!CC236/'Consolidated - P&amp;L'!CC237</f>
        <v>12272.012353198841</v>
      </c>
      <c r="CC779" s="129">
        <f>'Consolidated - P&amp;L'!CD236/'Consolidated - P&amp;L'!CD237</f>
        <v>13175.031911208562</v>
      </c>
      <c r="CD779" s="129">
        <f>'Consolidated - P&amp;L'!CE236/'Consolidated - P&amp;L'!CE237</f>
        <v>12887.451865676698</v>
      </c>
      <c r="CE779" s="129">
        <f>'Consolidated - P&amp;L'!CF236/'Consolidated - P&amp;L'!CF237</f>
        <v>13522.951239903141</v>
      </c>
      <c r="CF779" s="129">
        <f>'Consolidated - P&amp;L'!CG236/'Consolidated - P&amp;L'!CG237</f>
        <v>14064.38705503567</v>
      </c>
      <c r="CG779" s="129">
        <f>'Consolidated - P&amp;L'!CH236/'Consolidated - P&amp;L'!CH237</f>
        <v>14674.342817767054</v>
      </c>
      <c r="CH779" s="129">
        <f>'Consolidated - P&amp;L'!CI236/'Consolidated - P&amp;L'!CI237</f>
        <v>14175.501846080046</v>
      </c>
      <c r="CI779" s="129">
        <f>'Consolidated - P&amp;L'!CJ236/'Consolidated - P&amp;L'!CJ237</f>
        <v>14430.376240750114</v>
      </c>
      <c r="CJ779" s="129">
        <f>'Consolidated - P&amp;L'!CK236/'Consolidated - P&amp;L'!CK237</f>
        <v>13796.631295418751</v>
      </c>
      <c r="CK779" s="129">
        <f>'Consolidated - P&amp;L'!CL236/'Consolidated - P&amp;L'!CL237</f>
        <v>12574.630863869595</v>
      </c>
      <c r="CL779" s="129">
        <f>'Consolidated - P&amp;L'!CM236/'Consolidated - P&amp;L'!CM237</f>
        <v>11854.54742934673</v>
      </c>
      <c r="CM779" s="129">
        <f>'Consolidated - P&amp;L'!CN236/'Consolidated - P&amp;L'!CN237</f>
        <v>12905.024201425926</v>
      </c>
      <c r="CN779" s="129">
        <f>'Consolidated - P&amp;L'!CO236/'Consolidated - P&amp;L'!CO237</f>
        <v>13977.344621502903</v>
      </c>
      <c r="CO779" s="129">
        <f>'Consolidated - P&amp;L'!CP236/'Consolidated - P&amp;L'!CP237</f>
        <v>14918.223477393181</v>
      </c>
      <c r="CP779" s="129">
        <f>'Consolidated - P&amp;L'!CQ236/'Consolidated - P&amp;L'!CQ237</f>
        <v>15851.790445326726</v>
      </c>
      <c r="CQ779" s="129">
        <f>'Consolidated - P&amp;L'!CR236/'Consolidated - P&amp;L'!CR237</f>
        <v>15457.185532993388</v>
      </c>
      <c r="CR779" s="129">
        <f>'Consolidated - P&amp;L'!CS236/'Consolidated - P&amp;L'!CS237</f>
        <v>16690.575979542326</v>
      </c>
      <c r="CS779" s="129">
        <f>'Consolidated - P&amp;L'!CT236/'Consolidated - P&amp;L'!CT237</f>
        <v>16874.701523953408</v>
      </c>
      <c r="CT779" s="129">
        <f>CS779*(1+CT780)</f>
        <v>17718.436600151079</v>
      </c>
      <c r="CU779" s="129">
        <f t="shared" ref="CU779:DQ779" si="2736">CT779*(1+CU780)</f>
        <v>17718.436600151079</v>
      </c>
      <c r="CV779" s="129">
        <f t="shared" si="2736"/>
        <v>17718.436600151079</v>
      </c>
      <c r="CW779" s="129">
        <f t="shared" si="2736"/>
        <v>17718.436600151079</v>
      </c>
      <c r="CX779" s="129">
        <f t="shared" si="2736"/>
        <v>17718.436600151079</v>
      </c>
      <c r="CY779" s="129">
        <f t="shared" si="2736"/>
        <v>17718.436600151079</v>
      </c>
      <c r="CZ779" s="129">
        <f t="shared" si="2736"/>
        <v>17718.436600151079</v>
      </c>
      <c r="DA779" s="129">
        <f t="shared" si="2736"/>
        <v>17718.436600151079</v>
      </c>
      <c r="DB779" s="129">
        <f t="shared" si="2736"/>
        <v>17718.436600151079</v>
      </c>
      <c r="DC779" s="129">
        <f t="shared" si="2736"/>
        <v>17718.436600151079</v>
      </c>
      <c r="DD779" s="129">
        <f t="shared" si="2736"/>
        <v>17718.436600151079</v>
      </c>
      <c r="DE779" s="129">
        <f t="shared" si="2736"/>
        <v>17718.436600151079</v>
      </c>
      <c r="DF779" s="129">
        <f t="shared" si="2736"/>
        <v>18604.358430158634</v>
      </c>
      <c r="DG779" s="129">
        <f t="shared" si="2736"/>
        <v>18604.358430158634</v>
      </c>
      <c r="DH779" s="129">
        <f t="shared" si="2736"/>
        <v>18604.358430158634</v>
      </c>
      <c r="DI779" s="129">
        <f t="shared" si="2736"/>
        <v>18604.358430158634</v>
      </c>
      <c r="DJ779" s="129">
        <f t="shared" si="2736"/>
        <v>18604.358430158634</v>
      </c>
      <c r="DK779" s="129">
        <f t="shared" si="2736"/>
        <v>18604.358430158634</v>
      </c>
      <c r="DL779" s="129">
        <f t="shared" si="2736"/>
        <v>18604.358430158634</v>
      </c>
      <c r="DM779" s="129">
        <f t="shared" si="2736"/>
        <v>18604.358430158634</v>
      </c>
      <c r="DN779" s="129">
        <f t="shared" si="2736"/>
        <v>18604.358430158634</v>
      </c>
      <c r="DO779" s="129">
        <f t="shared" si="2736"/>
        <v>18604.358430158634</v>
      </c>
      <c r="DP779" s="129">
        <f t="shared" si="2736"/>
        <v>18604.358430158634</v>
      </c>
      <c r="DQ779" s="129">
        <f t="shared" si="2736"/>
        <v>18604.358430158634</v>
      </c>
      <c r="DR779" s="115"/>
      <c r="DS779" s="115"/>
      <c r="DT779" s="115"/>
      <c r="DU779" s="115"/>
      <c r="DV779" s="115"/>
      <c r="DW779" s="115"/>
      <c r="DX779" s="115"/>
      <c r="DY779" s="115"/>
      <c r="DZ779" s="115"/>
      <c r="EA779" s="115"/>
      <c r="EB779" s="115"/>
      <c r="EC779" s="645"/>
      <c r="ED779" s="113" t="s">
        <v>1</v>
      </c>
    </row>
    <row r="780" spans="1:134" x14ac:dyDescent="0.2">
      <c r="A780" s="115" t="s">
        <v>91</v>
      </c>
      <c r="B780" s="754"/>
      <c r="C780" s="754"/>
      <c r="D780" s="754"/>
      <c r="E780" s="754"/>
      <c r="F780" s="754"/>
      <c r="G780" s="754"/>
      <c r="H780" s="754"/>
      <c r="I780" s="754"/>
      <c r="J780" s="754"/>
      <c r="K780" s="754"/>
      <c r="L780" s="754"/>
      <c r="M780" s="754"/>
      <c r="N780" s="754"/>
      <c r="O780" s="754"/>
      <c r="P780" s="754"/>
      <c r="Q780" s="754"/>
      <c r="R780" s="754"/>
      <c r="S780" s="754"/>
      <c r="T780" s="754"/>
      <c r="U780" s="754"/>
      <c r="V780" s="754"/>
      <c r="W780" s="754"/>
      <c r="X780" s="754"/>
      <c r="Y780" s="754"/>
      <c r="Z780" s="754"/>
      <c r="AA780" s="754"/>
      <c r="AB780" s="754"/>
      <c r="AC780" s="754"/>
      <c r="AD780" s="754"/>
      <c r="AE780" s="754"/>
      <c r="AF780" s="754"/>
      <c r="AG780" s="754"/>
      <c r="AH780" s="754"/>
      <c r="AI780" s="754"/>
      <c r="AJ780" s="754"/>
      <c r="AK780" s="754"/>
      <c r="AL780" s="754"/>
      <c r="AM780" s="754"/>
      <c r="AN780" s="754"/>
      <c r="AO780" s="754"/>
      <c r="AP780" s="754"/>
      <c r="AQ780" s="754"/>
      <c r="AR780" s="754"/>
      <c r="AS780" s="754"/>
      <c r="AT780" s="754"/>
      <c r="AU780" s="754"/>
      <c r="AV780" s="754"/>
      <c r="AW780" s="754"/>
      <c r="AX780" s="754"/>
      <c r="AY780" s="754"/>
      <c r="AZ780" s="754"/>
      <c r="BA780" s="754"/>
      <c r="BB780" s="754"/>
      <c r="BC780" s="754"/>
      <c r="BD780" s="754"/>
      <c r="BE780" s="754"/>
      <c r="BF780" s="754"/>
      <c r="BG780" s="754"/>
      <c r="BH780" s="754"/>
      <c r="BI780" s="754"/>
      <c r="BJ780" s="754"/>
      <c r="BK780" s="754"/>
      <c r="BL780" s="754"/>
      <c r="BM780" s="754"/>
      <c r="BN780" s="754"/>
      <c r="BO780" s="754"/>
      <c r="BP780" s="754"/>
      <c r="BQ780" s="754"/>
      <c r="BR780" s="754"/>
      <c r="BS780" s="754"/>
      <c r="BT780" s="754"/>
      <c r="BU780" s="754"/>
      <c r="BV780" s="754"/>
      <c r="BW780" s="754"/>
      <c r="BX780" s="754"/>
      <c r="BY780" s="754"/>
      <c r="BZ780" s="754"/>
      <c r="CA780" s="754"/>
      <c r="CB780" s="754"/>
      <c r="CC780" s="754"/>
      <c r="CD780" s="754"/>
      <c r="CE780" s="754"/>
      <c r="CF780" s="754"/>
      <c r="CG780" s="754"/>
      <c r="CH780" s="754"/>
      <c r="CI780" s="754"/>
      <c r="CJ780" s="754"/>
      <c r="CK780" s="754"/>
      <c r="CL780" s="754"/>
      <c r="CM780" s="754"/>
      <c r="CN780" s="754"/>
      <c r="CO780" s="754"/>
      <c r="CP780" s="754"/>
      <c r="CQ780" s="754"/>
      <c r="CR780" s="754"/>
      <c r="CS780" s="754"/>
      <c r="CT780" s="702">
        <v>0.05</v>
      </c>
      <c r="CU780" s="754"/>
      <c r="CV780" s="754"/>
      <c r="CW780" s="754"/>
      <c r="CX780" s="754"/>
      <c r="CY780" s="754"/>
      <c r="CZ780" s="754"/>
      <c r="DA780" s="754"/>
      <c r="DB780" s="754"/>
      <c r="DC780" s="754"/>
      <c r="DD780" s="754"/>
      <c r="DE780" s="754"/>
      <c r="DF780" s="702">
        <v>0.05</v>
      </c>
      <c r="DG780" s="754"/>
      <c r="DH780" s="754"/>
      <c r="DI780" s="754"/>
      <c r="DJ780" s="754"/>
      <c r="DK780" s="754"/>
      <c r="DL780" s="754"/>
      <c r="DM780" s="754"/>
      <c r="DN780" s="754"/>
      <c r="DO780" s="754"/>
      <c r="DP780" s="754"/>
      <c r="DQ780" s="754"/>
      <c r="DR780" s="115"/>
      <c r="DS780" s="115"/>
      <c r="DT780" s="115"/>
      <c r="DU780" s="115"/>
      <c r="DV780" s="115"/>
      <c r="DW780" s="115"/>
      <c r="DX780" s="115"/>
      <c r="DY780" s="115"/>
      <c r="DZ780" s="115"/>
      <c r="EA780" s="115"/>
      <c r="EB780" s="115"/>
      <c r="EC780" s="645"/>
      <c r="ED780" s="113" t="s">
        <v>1</v>
      </c>
    </row>
    <row r="781" spans="1:134" hidden="1" x14ac:dyDescent="0.2">
      <c r="A781" s="115"/>
      <c r="B781" s="754"/>
      <c r="C781" s="754"/>
      <c r="D781" s="754"/>
      <c r="E781" s="754"/>
      <c r="F781" s="754"/>
      <c r="G781" s="754"/>
      <c r="H781" s="754"/>
      <c r="I781" s="754"/>
      <c r="J781" s="754"/>
      <c r="K781" s="754"/>
      <c r="L781" s="754"/>
      <c r="M781" s="754"/>
      <c r="N781" s="754"/>
      <c r="O781" s="754"/>
      <c r="P781" s="754"/>
      <c r="Q781" s="754"/>
      <c r="R781" s="754"/>
      <c r="S781" s="754"/>
      <c r="T781" s="754"/>
      <c r="U781" s="754"/>
      <c r="V781" s="754"/>
      <c r="W781" s="754"/>
      <c r="X781" s="754"/>
      <c r="Y781" s="754"/>
      <c r="Z781" s="754"/>
      <c r="AA781" s="754"/>
      <c r="AB781" s="754"/>
      <c r="AC781" s="754"/>
      <c r="AD781" s="754"/>
      <c r="AE781" s="754"/>
      <c r="AF781" s="754"/>
      <c r="AG781" s="754"/>
      <c r="AH781" s="754"/>
      <c r="AI781" s="754"/>
      <c r="AJ781" s="754"/>
      <c r="AK781" s="754"/>
      <c r="AL781" s="754"/>
      <c r="AM781" s="754"/>
      <c r="AN781" s="754"/>
      <c r="AO781" s="754"/>
      <c r="AP781" s="754"/>
      <c r="AQ781" s="754"/>
      <c r="AR781" s="754"/>
      <c r="AS781" s="754"/>
      <c r="AT781" s="754"/>
      <c r="AU781" s="754"/>
      <c r="AV781" s="754"/>
      <c r="AW781" s="754"/>
      <c r="AX781" s="754"/>
      <c r="AY781" s="754"/>
      <c r="AZ781" s="754"/>
      <c r="BA781" s="754"/>
      <c r="BB781" s="754"/>
      <c r="BC781" s="754"/>
      <c r="BD781" s="754"/>
      <c r="BE781" s="754"/>
      <c r="BF781" s="754"/>
      <c r="BG781" s="754"/>
      <c r="BH781" s="754"/>
      <c r="BI781" s="754"/>
      <c r="BJ781" s="754"/>
      <c r="BK781" s="754"/>
      <c r="BL781" s="754"/>
      <c r="BM781" s="754"/>
      <c r="BN781" s="754"/>
      <c r="BO781" s="754"/>
      <c r="BP781" s="754"/>
      <c r="BQ781" s="754"/>
      <c r="BR781" s="754"/>
      <c r="BS781" s="754"/>
      <c r="BT781" s="754"/>
      <c r="BU781" s="754"/>
      <c r="BV781" s="754"/>
      <c r="BW781" s="754"/>
      <c r="BX781" s="754"/>
      <c r="BY781" s="754"/>
      <c r="BZ781" s="754"/>
      <c r="CA781" s="754"/>
      <c r="CB781" s="754"/>
      <c r="CC781" s="754"/>
      <c r="CD781" s="754"/>
      <c r="CE781" s="754"/>
      <c r="CF781" s="754"/>
      <c r="CG781" s="754"/>
      <c r="CH781" s="754"/>
      <c r="CI781" s="754"/>
      <c r="CJ781" s="754"/>
      <c r="CK781" s="754"/>
      <c r="CL781" s="754"/>
      <c r="CM781" s="754"/>
      <c r="CN781" s="754"/>
      <c r="CO781" s="754"/>
      <c r="CP781" s="754"/>
      <c r="CQ781" s="754"/>
      <c r="CR781" s="754"/>
      <c r="CS781" s="754"/>
      <c r="CT781" s="754"/>
      <c r="CU781" s="754"/>
      <c r="CV781" s="754"/>
      <c r="CW781" s="754"/>
      <c r="CX781" s="754"/>
      <c r="CY781" s="754"/>
      <c r="CZ781" s="754"/>
      <c r="DA781" s="754"/>
      <c r="DB781" s="754"/>
      <c r="DC781" s="754"/>
      <c r="DD781" s="754"/>
      <c r="DE781" s="754"/>
      <c r="DF781" s="754"/>
      <c r="DG781" s="754"/>
      <c r="DH781" s="754"/>
      <c r="DI781" s="754"/>
      <c r="DJ781" s="754"/>
      <c r="DK781" s="754"/>
      <c r="DL781" s="754"/>
      <c r="DM781" s="754"/>
      <c r="DN781" s="754"/>
      <c r="DO781" s="754"/>
      <c r="DP781" s="754"/>
      <c r="DQ781" s="754"/>
      <c r="DR781" s="115"/>
      <c r="DS781" s="115"/>
      <c r="DT781" s="115"/>
      <c r="DU781" s="115"/>
      <c r="DV781" s="115"/>
      <c r="DW781" s="115"/>
      <c r="DX781" s="115"/>
      <c r="DY781" s="115"/>
      <c r="DZ781" s="115"/>
      <c r="EA781" s="115"/>
      <c r="EB781" s="115"/>
      <c r="EC781" s="645"/>
      <c r="ED781" s="113" t="s">
        <v>1</v>
      </c>
    </row>
    <row r="782" spans="1:134" hidden="1" x14ac:dyDescent="0.2">
      <c r="A782" s="115"/>
      <c r="B782" s="754"/>
      <c r="C782" s="754"/>
      <c r="D782" s="754"/>
      <c r="E782" s="754"/>
      <c r="F782" s="754"/>
      <c r="G782" s="754"/>
      <c r="H782" s="754"/>
      <c r="I782" s="754"/>
      <c r="J782" s="754"/>
      <c r="K782" s="754"/>
      <c r="L782" s="754"/>
      <c r="M782" s="754"/>
      <c r="N782" s="754"/>
      <c r="O782" s="754"/>
      <c r="P782" s="754"/>
      <c r="Q782" s="754"/>
      <c r="R782" s="754"/>
      <c r="S782" s="754"/>
      <c r="T782" s="754"/>
      <c r="U782" s="754"/>
      <c r="V782" s="754"/>
      <c r="W782" s="754"/>
      <c r="X782" s="754"/>
      <c r="Y782" s="754"/>
      <c r="Z782" s="754"/>
      <c r="AA782" s="754"/>
      <c r="AB782" s="754"/>
      <c r="AC782" s="754"/>
      <c r="AD782" s="754"/>
      <c r="AE782" s="754"/>
      <c r="AF782" s="754"/>
      <c r="AG782" s="754"/>
      <c r="AH782" s="754"/>
      <c r="AI782" s="754"/>
      <c r="AJ782" s="754"/>
      <c r="AK782" s="754"/>
      <c r="AL782" s="754"/>
      <c r="AM782" s="754"/>
      <c r="AN782" s="754"/>
      <c r="AO782" s="754"/>
      <c r="AP782" s="754"/>
      <c r="AQ782" s="754"/>
      <c r="AR782" s="754"/>
      <c r="AS782" s="754"/>
      <c r="AT782" s="754"/>
      <c r="AU782" s="754"/>
      <c r="AV782" s="754"/>
      <c r="AW782" s="754"/>
      <c r="AX782" s="754"/>
      <c r="AY782" s="754"/>
      <c r="AZ782" s="754"/>
      <c r="BA782" s="754"/>
      <c r="BB782" s="754"/>
      <c r="BC782" s="754"/>
      <c r="BD782" s="754"/>
      <c r="BE782" s="754"/>
      <c r="BF782" s="754"/>
      <c r="BG782" s="754"/>
      <c r="BH782" s="754"/>
      <c r="BI782" s="754"/>
      <c r="BJ782" s="754"/>
      <c r="BK782" s="754"/>
      <c r="BL782" s="754"/>
      <c r="BM782" s="754"/>
      <c r="BN782" s="754"/>
      <c r="BO782" s="754"/>
      <c r="BP782" s="754"/>
      <c r="BQ782" s="754"/>
      <c r="BR782" s="754"/>
      <c r="BS782" s="754"/>
      <c r="BT782" s="754"/>
      <c r="BU782" s="754"/>
      <c r="BV782" s="754"/>
      <c r="BW782" s="754"/>
      <c r="BX782" s="754"/>
      <c r="BY782" s="754"/>
      <c r="BZ782" s="754"/>
      <c r="CA782" s="754"/>
      <c r="CB782" s="754"/>
      <c r="CC782" s="754"/>
      <c r="CD782" s="754"/>
      <c r="CE782" s="754"/>
      <c r="CF782" s="754"/>
      <c r="CG782" s="754"/>
      <c r="CH782" s="754"/>
      <c r="CI782" s="754"/>
      <c r="CJ782" s="754"/>
      <c r="CK782" s="754"/>
      <c r="CL782" s="754"/>
      <c r="CM782" s="754"/>
      <c r="CN782" s="754"/>
      <c r="CO782" s="754"/>
      <c r="CP782" s="754"/>
      <c r="CQ782" s="754"/>
      <c r="CR782" s="754"/>
      <c r="CS782" s="754"/>
      <c r="CT782" s="754"/>
      <c r="CU782" s="754"/>
      <c r="CV782" s="754"/>
      <c r="CW782" s="754"/>
      <c r="CX782" s="754"/>
      <c r="CY782" s="754"/>
      <c r="CZ782" s="754"/>
      <c r="DA782" s="754"/>
      <c r="DB782" s="754"/>
      <c r="DC782" s="754"/>
      <c r="DD782" s="754"/>
      <c r="DE782" s="754"/>
      <c r="DF782" s="754"/>
      <c r="DG782" s="754"/>
      <c r="DH782" s="754"/>
      <c r="DI782" s="754"/>
      <c r="DJ782" s="754"/>
      <c r="DK782" s="754"/>
      <c r="DL782" s="754"/>
      <c r="DM782" s="754"/>
      <c r="DN782" s="754"/>
      <c r="DO782" s="754"/>
      <c r="DP782" s="754"/>
      <c r="DQ782" s="754"/>
      <c r="DR782" s="115"/>
      <c r="DS782" s="115"/>
      <c r="DT782" s="115"/>
      <c r="DU782" s="115"/>
      <c r="DV782" s="115"/>
      <c r="DW782" s="115"/>
      <c r="DX782" s="115"/>
      <c r="DY782" s="115"/>
      <c r="DZ782" s="115"/>
      <c r="EA782" s="115"/>
      <c r="EB782" s="115"/>
      <c r="EC782" s="645"/>
      <c r="ED782" s="113" t="s">
        <v>1</v>
      </c>
    </row>
    <row r="783" spans="1:134" hidden="1" x14ac:dyDescent="0.2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15"/>
      <c r="AL783" s="115"/>
      <c r="AM783" s="115"/>
      <c r="AN783" s="115"/>
      <c r="AO783" s="115"/>
      <c r="AP783" s="115"/>
      <c r="AQ783" s="115"/>
      <c r="AR783" s="115"/>
      <c r="AS783" s="115"/>
      <c r="AT783" s="115"/>
      <c r="AU783" s="115"/>
      <c r="AV783" s="115"/>
      <c r="AW783" s="115"/>
      <c r="AX783" s="115"/>
      <c r="AY783" s="115"/>
      <c r="AZ783" s="115"/>
      <c r="BA783" s="115"/>
      <c r="BB783" s="115"/>
      <c r="BC783" s="115"/>
      <c r="BD783" s="115"/>
      <c r="BE783" s="115"/>
      <c r="BF783" s="115"/>
      <c r="BG783" s="115"/>
      <c r="BH783" s="115"/>
      <c r="BI783" s="115"/>
      <c r="BJ783" s="115"/>
      <c r="BK783" s="115"/>
      <c r="BL783" s="115"/>
      <c r="BM783" s="115"/>
      <c r="BN783" s="115"/>
      <c r="BO783" s="115"/>
      <c r="BP783" s="115"/>
      <c r="BQ783" s="115"/>
      <c r="BR783" s="115"/>
      <c r="BS783" s="115"/>
      <c r="BT783" s="115"/>
      <c r="BU783" s="115"/>
      <c r="BV783" s="115"/>
      <c r="BW783" s="115"/>
      <c r="BX783" s="115"/>
      <c r="BY783" s="115"/>
      <c r="BZ783" s="115"/>
      <c r="CA783" s="115"/>
      <c r="CB783" s="115"/>
      <c r="CC783" s="115"/>
      <c r="CD783" s="115"/>
      <c r="CE783" s="115"/>
      <c r="CF783" s="115"/>
      <c r="CG783" s="115"/>
      <c r="CH783" s="115"/>
      <c r="CI783" s="115"/>
      <c r="CJ783" s="115"/>
      <c r="CK783" s="115"/>
      <c r="CL783" s="115"/>
      <c r="CM783" s="115"/>
      <c r="CN783" s="115"/>
      <c r="CO783" s="115"/>
      <c r="CP783" s="115"/>
      <c r="CQ783" s="115"/>
      <c r="CR783" s="115"/>
      <c r="CS783" s="115"/>
      <c r="CT783" s="115"/>
      <c r="CU783" s="115"/>
      <c r="CV783" s="115"/>
      <c r="CW783" s="115"/>
      <c r="CX783" s="115"/>
      <c r="CY783" s="115"/>
      <c r="CZ783" s="115"/>
      <c r="DA783" s="115"/>
      <c r="DB783" s="115"/>
      <c r="DC783" s="115"/>
      <c r="DD783" s="115"/>
      <c r="DE783" s="115"/>
      <c r="DF783" s="115"/>
      <c r="DG783" s="115"/>
      <c r="DH783" s="115"/>
      <c r="DI783" s="115"/>
      <c r="DJ783" s="115"/>
      <c r="DK783" s="115"/>
      <c r="DL783" s="115"/>
      <c r="DM783" s="115"/>
      <c r="DN783" s="115"/>
      <c r="DO783" s="115"/>
      <c r="DP783" s="115"/>
      <c r="DQ783" s="115"/>
      <c r="DR783" s="115"/>
      <c r="DS783" s="115"/>
      <c r="DT783" s="115"/>
      <c r="DU783" s="115"/>
      <c r="DV783" s="115"/>
      <c r="DW783" s="115"/>
      <c r="DX783" s="115"/>
      <c r="DY783" s="115"/>
      <c r="DZ783" s="115"/>
      <c r="EA783" s="115"/>
      <c r="EB783" s="115"/>
      <c r="EC783" s="645"/>
      <c r="ED783" s="113" t="s">
        <v>1</v>
      </c>
    </row>
    <row r="784" spans="1:134" hidden="1" x14ac:dyDescent="0.2">
      <c r="A784" s="115" t="s">
        <v>488</v>
      </c>
      <c r="B784" s="129">
        <f>'Consolidated - P&amp;L'!C238</f>
        <v>0</v>
      </c>
      <c r="C784" s="129">
        <f>'Consolidated - P&amp;L'!D238</f>
        <v>0</v>
      </c>
      <c r="D784" s="129">
        <f>'Consolidated - P&amp;L'!E238</f>
        <v>0</v>
      </c>
      <c r="E784" s="129">
        <f>'Consolidated - P&amp;L'!F238</f>
        <v>0</v>
      </c>
      <c r="F784" s="129">
        <f>'Consolidated - P&amp;L'!G238</f>
        <v>0</v>
      </c>
      <c r="G784" s="129">
        <f>'Consolidated - P&amp;L'!H238</f>
        <v>0</v>
      </c>
      <c r="H784" s="129">
        <f>'Consolidated - P&amp;L'!I238</f>
        <v>0</v>
      </c>
      <c r="I784" s="129">
        <f>'Consolidated - P&amp;L'!J238</f>
        <v>0</v>
      </c>
      <c r="J784" s="129">
        <f>'Consolidated - P&amp;L'!K238</f>
        <v>0</v>
      </c>
      <c r="K784" s="129">
        <f>'Consolidated - P&amp;L'!L238</f>
        <v>0</v>
      </c>
      <c r="L784" s="129">
        <f>'Consolidated - P&amp;L'!M238</f>
        <v>0</v>
      </c>
      <c r="M784" s="129">
        <f>'Consolidated - P&amp;L'!N238</f>
        <v>0</v>
      </c>
      <c r="N784" s="129">
        <f>'Consolidated - P&amp;L'!O238</f>
        <v>41644693</v>
      </c>
      <c r="O784" s="129">
        <f>'Consolidated - P&amp;L'!P238</f>
        <v>39390561.200000003</v>
      </c>
      <c r="P784" s="129">
        <f>'Consolidated - P&amp;L'!Q238</f>
        <v>42918281.649999999</v>
      </c>
      <c r="Q784" s="129">
        <f>'Consolidated - P&amp;L'!R238</f>
        <v>52164477</v>
      </c>
      <c r="R784" s="129">
        <f>'Consolidated - P&amp;L'!S238</f>
        <v>49806500</v>
      </c>
      <c r="S784" s="129">
        <f>'Consolidated - P&amp;L'!T238</f>
        <v>44285012.489999995</v>
      </c>
      <c r="T784" s="129">
        <f>'Consolidated - P&amp;L'!U238</f>
        <v>40351387</v>
      </c>
      <c r="U784" s="129">
        <f>'Consolidated - P&amp;L'!V238</f>
        <v>38616915</v>
      </c>
      <c r="V784" s="129">
        <f>'Consolidated - P&amp;L'!W238</f>
        <v>39594589</v>
      </c>
      <c r="W784" s="129">
        <f>'Consolidated - P&amp;L'!X238</f>
        <v>53497238</v>
      </c>
      <c r="X784" s="129">
        <f>'Consolidated - P&amp;L'!Y238</f>
        <v>48138308</v>
      </c>
      <c r="Y784" s="129">
        <f>'Consolidated - P&amp;L'!Z238</f>
        <v>45256162</v>
      </c>
      <c r="Z784" s="129">
        <f>'Consolidated - P&amp;L'!AA238</f>
        <v>45679724</v>
      </c>
      <c r="AA784" s="129">
        <f>'Consolidated - P&amp;L'!AB238</f>
        <v>39868306.163330801</v>
      </c>
      <c r="AB784" s="129">
        <f>'Consolidated - P&amp;L'!AC238</f>
        <v>31199949.909369402</v>
      </c>
      <c r="AC784" s="129">
        <f>'Consolidated - P&amp;L'!AD238</f>
        <v>34445566</v>
      </c>
      <c r="AD784" s="129">
        <f>'Consolidated - P&amp;L'!AE238</f>
        <v>20419043</v>
      </c>
      <c r="AE784" s="129">
        <f>'Consolidated - P&amp;L'!AF238</f>
        <v>21772339</v>
      </c>
      <c r="AF784" s="129">
        <f>'Consolidated - P&amp;L'!AG238</f>
        <v>21459154</v>
      </c>
      <c r="AG784" s="129">
        <f>'Consolidated - P&amp;L'!AH238</f>
        <v>33348874</v>
      </c>
      <c r="AH784" s="129">
        <f>'Consolidated - P&amp;L'!AI238</f>
        <v>28031893</v>
      </c>
      <c r="AI784" s="129">
        <f>'Consolidated - P&amp;L'!AJ238</f>
        <v>31607533</v>
      </c>
      <c r="AJ784" s="129">
        <f>'Consolidated - P&amp;L'!AK238</f>
        <v>32504850.02</v>
      </c>
      <c r="AK784" s="129">
        <f>'Consolidated - P&amp;L'!AL238</f>
        <v>40199916</v>
      </c>
      <c r="AL784" s="129">
        <f>'Consolidated - P&amp;L'!AM238</f>
        <v>30436386</v>
      </c>
      <c r="AM784" s="129">
        <f>'Consolidated - P&amp;L'!AN238</f>
        <v>37338020</v>
      </c>
      <c r="AN784" s="129">
        <f>'Consolidated - P&amp;L'!AO238</f>
        <v>44425223</v>
      </c>
      <c r="AO784" s="129">
        <f>'Consolidated - P&amp;L'!AP238</f>
        <v>44622389</v>
      </c>
      <c r="AP784" s="129">
        <f>'Consolidated - P&amp;L'!AQ238</f>
        <v>49450766</v>
      </c>
      <c r="AQ784" s="129">
        <f>'Consolidated - P&amp;L'!AR238</f>
        <v>45238305</v>
      </c>
      <c r="AR784" s="129">
        <f>'Consolidated - P&amp;L'!AS238</f>
        <v>69618590</v>
      </c>
      <c r="AS784" s="129">
        <f>'Consolidated - P&amp;L'!AT238</f>
        <v>86618958.980000004</v>
      </c>
      <c r="AT784" s="129">
        <f>'Consolidated - P&amp;L'!AU238</f>
        <v>97176467</v>
      </c>
      <c r="AU784" s="129">
        <f>'Consolidated - P&amp;L'!AV238</f>
        <v>72321705.859999999</v>
      </c>
      <c r="AV784" s="129">
        <f>'Consolidated - P&amp;L'!AW238</f>
        <v>91880504.708756372</v>
      </c>
      <c r="AW784" s="129">
        <f>'Consolidated - P&amp;L'!AX238</f>
        <v>90240368.154734582</v>
      </c>
      <c r="AX784" s="129">
        <f>'Consolidated - P&amp;L'!AY238</f>
        <v>96589254.199996993</v>
      </c>
      <c r="AY784" s="129">
        <f>'Consolidated - P&amp;L'!AZ238</f>
        <v>125203171.84274754</v>
      </c>
      <c r="AZ784" s="129">
        <f>'Consolidated - P&amp;L'!BA238</f>
        <v>115982190.26865099</v>
      </c>
      <c r="BA784" s="129">
        <f>'Consolidated - P&amp;L'!BB238</f>
        <v>105950520.40169284</v>
      </c>
      <c r="BB784" s="129">
        <f>'Consolidated - P&amp;L'!BC238</f>
        <v>97491152.24999927</v>
      </c>
      <c r="BC784" s="129">
        <f>'Consolidated - P&amp;L'!BD238</f>
        <v>131115983.77000871</v>
      </c>
      <c r="BD784" s="129">
        <f>'Consolidated - P&amp;L'!BE238</f>
        <v>120017137.29499801</v>
      </c>
      <c r="BE784" s="129">
        <f>'Consolidated - P&amp;L'!BF238</f>
        <v>132312050.39749849</v>
      </c>
      <c r="BF784" s="129">
        <f>'Consolidated - P&amp;L'!BG238</f>
        <v>116245602</v>
      </c>
      <c r="BG784" s="129">
        <f>'Consolidated - P&amp;L'!BH238</f>
        <v>91286169</v>
      </c>
      <c r="BH784" s="129">
        <f>'Consolidated - P&amp;L'!BI238</f>
        <v>108908260.75999999</v>
      </c>
      <c r="BI784" s="129">
        <f>'Consolidated - P&amp;L'!BJ238</f>
        <v>98999422</v>
      </c>
      <c r="BJ784" s="129">
        <f>'Consolidated - P&amp;L'!BK238</f>
        <v>100197876</v>
      </c>
      <c r="BK784" s="129">
        <f>'Consolidated - P&amp;L'!BL238</f>
        <v>107614443</v>
      </c>
      <c r="BL784" s="129">
        <f>'Consolidated - P&amp;L'!BM238</f>
        <v>111716181</v>
      </c>
      <c r="BM784" s="129">
        <f>'Consolidated - P&amp;L'!BN238</f>
        <v>104069600</v>
      </c>
      <c r="BN784" s="129">
        <f>'Consolidated - P&amp;L'!BO238</f>
        <v>103972290</v>
      </c>
      <c r="BO784" s="129">
        <f>'Consolidated - P&amp;L'!BP238</f>
        <v>105086324</v>
      </c>
      <c r="BP784" s="129">
        <f>'Consolidated - P&amp;L'!BQ238</f>
        <v>108374128</v>
      </c>
      <c r="BQ784" s="129">
        <f>'Consolidated - P&amp;L'!BR238</f>
        <v>116449797</v>
      </c>
      <c r="BR784" s="129">
        <f>'Consolidated - P&amp;L'!BS238</f>
        <v>103598503</v>
      </c>
      <c r="BS784" s="129">
        <f>'Consolidated - P&amp;L'!BT238</f>
        <v>108394359.380018</v>
      </c>
      <c r="BT784" s="129">
        <f>'Consolidated - P&amp;L'!BU238</f>
        <v>110743516</v>
      </c>
      <c r="BU784" s="129">
        <f>'Consolidated - P&amp;L'!BV238</f>
        <v>104368972.98001161</v>
      </c>
      <c r="BV784" s="129">
        <f>'Consolidated - P&amp;L'!BW238</f>
        <v>102077913.81033941</v>
      </c>
      <c r="BW784" s="129">
        <f>'Consolidated - P&amp;L'!BX238</f>
        <v>103243470.3434464</v>
      </c>
      <c r="BX784" s="129">
        <f>'Consolidated - P&amp;L'!BY238</f>
        <v>87324666.157109514</v>
      </c>
      <c r="BY784" s="129">
        <f>'Consolidated - P&amp;L'!BZ238</f>
        <v>83515396.570302308</v>
      </c>
      <c r="BZ784" s="129">
        <f>'Consolidated - P&amp;L'!CA238</f>
        <v>82101274.828918293</v>
      </c>
      <c r="CA784" s="129">
        <f>'Consolidated - P&amp;L'!CB238</f>
        <v>91026831.928649858</v>
      </c>
      <c r="CB784" s="129">
        <f>'Consolidated - P&amp;L'!CC238</f>
        <v>90681281.175803304</v>
      </c>
      <c r="CC784" s="129">
        <f>'Consolidated - P&amp;L'!CD238</f>
        <v>86883386.682678148</v>
      </c>
      <c r="CD784" s="129">
        <f>'Consolidated - P&amp;L'!CE238</f>
        <v>74432146.4958186</v>
      </c>
      <c r="CE784" s="129">
        <f>'Consolidated - P&amp;L'!CF238</f>
        <v>91328036.058496699</v>
      </c>
      <c r="CF784" s="129">
        <f>'Consolidated - P&amp;L'!CG238</f>
        <v>97551897.48014386</v>
      </c>
      <c r="CG784" s="129">
        <f>'Consolidated - P&amp;L'!CH238</f>
        <v>80501674.92440246</v>
      </c>
      <c r="CH784" s="129">
        <f>'Consolidated - P&amp;L'!CI238</f>
        <v>78420244.945939377</v>
      </c>
      <c r="CI784" s="129">
        <f>'Consolidated - P&amp;L'!CJ238</f>
        <v>87167301.982945055</v>
      </c>
      <c r="CJ784" s="129">
        <f>'Consolidated - P&amp;L'!CK238</f>
        <v>94930142.433918402</v>
      </c>
      <c r="CK784" s="129">
        <f>'Consolidated - P&amp;L'!CL238</f>
        <v>101853955.70680299</v>
      </c>
      <c r="CL784" s="129">
        <f>'Consolidated - P&amp;L'!CM238</f>
        <v>129106073.14977495</v>
      </c>
      <c r="CM784" s="129">
        <f>'Consolidated - P&amp;L'!CN238</f>
        <v>169435137.69507298</v>
      </c>
      <c r="CN784" s="129">
        <f>'Consolidated - P&amp;L'!CO238</f>
        <v>201174376.37246293</v>
      </c>
      <c r="CO784" s="129">
        <f>'Consolidated - P&amp;L'!CP238</f>
        <v>248758751.60310784</v>
      </c>
      <c r="CP784" s="129">
        <f>'Consolidated - P&amp;L'!CQ238</f>
        <v>232898196.86927107</v>
      </c>
      <c r="CQ784" s="129">
        <f>'Consolidated - P&amp;L'!CR238</f>
        <v>195331559.22042766</v>
      </c>
      <c r="CR784" s="129">
        <f>'Consolidated - P&amp;L'!CS238</f>
        <v>197855372.69210497</v>
      </c>
      <c r="CS784" s="129">
        <f>'Consolidated - P&amp;L'!CT238</f>
        <v>184261059.95817649</v>
      </c>
      <c r="CT784" s="129">
        <f>CT785*SUM('Consolidated - P&amp;L'!CU11:CU12)</f>
        <v>203583231.20651069</v>
      </c>
      <c r="CU784" s="129">
        <f>CU785*SUM('Consolidated - P&amp;L'!CV11:CV12)</f>
        <v>207821475.38523307</v>
      </c>
      <c r="CV784" s="129">
        <f>CV785*SUM('Consolidated - P&amp;L'!CW11:CW12)</f>
        <v>201205448.67583007</v>
      </c>
      <c r="CW784" s="129">
        <f>CW785*SUM('Consolidated - P&amp;L'!CX11:CX12)</f>
        <v>204956627.999428</v>
      </c>
      <c r="CX784" s="129">
        <f>CX785*SUM('Consolidated - P&amp;L'!CY11:CY12)</f>
        <v>189462993.04561037</v>
      </c>
      <c r="CY784" s="129">
        <f>CY785*SUM('Consolidated - P&amp;L'!CZ11:CZ12)</f>
        <v>174269088.45473111</v>
      </c>
      <c r="CZ784" s="129">
        <f>CZ785*SUM('Consolidated - P&amp;L'!DA11:DA12)</f>
        <v>200266308.71350428</v>
      </c>
      <c r="DA784" s="129">
        <f>DA785*SUM('Consolidated - P&amp;L'!DB11:DB12)</f>
        <v>224685436.45761183</v>
      </c>
      <c r="DB784" s="129">
        <f>DB785*SUM('Consolidated - P&amp;L'!DC11:DC12)</f>
        <v>257984372.08657372</v>
      </c>
      <c r="DC784" s="129">
        <f>DC785*SUM('Consolidated - P&amp;L'!DD11:DD12)</f>
        <v>252698814.52792767</v>
      </c>
      <c r="DD784" s="129">
        <f>DD785*SUM('Consolidated - P&amp;L'!DE11:DE12)</f>
        <v>238503904.50228924</v>
      </c>
      <c r="DE784" s="129">
        <f>DE785*SUM('Consolidated - P&amp;L'!DF11:DF12)</f>
        <v>244060748.82026955</v>
      </c>
      <c r="DF784" s="129">
        <f>DF785*SUM('Consolidated - P&amp;L'!DG11:DG12)</f>
        <v>261091459.48701516</v>
      </c>
      <c r="DG784" s="129">
        <f>DG785*SUM('Consolidated - P&amp;L'!DH11:DH12)</f>
        <v>266798353.96209246</v>
      </c>
      <c r="DH784" s="129">
        <f>DH785*SUM('Consolidated - P&amp;L'!DI11:DI12)</f>
        <v>257883678.03551668</v>
      </c>
      <c r="DI784" s="129">
        <f>DI785*SUM('Consolidated - P&amp;L'!DJ11:DJ12)</f>
        <v>262483569.61469483</v>
      </c>
      <c r="DJ784" s="129">
        <f>DJ785*SUM('Consolidated - P&amp;L'!DK11:DK12)</f>
        <v>242619831.97450176</v>
      </c>
      <c r="DK784" s="129">
        <f>DK785*SUM('Consolidated - P&amp;L'!DL11:DL12)</f>
        <v>222460161.48798111</v>
      </c>
      <c r="DL784" s="129">
        <f>DL785*SUM('Consolidated - P&amp;L'!DM11:DM12)</f>
        <v>255823043.76387247</v>
      </c>
      <c r="DM784" s="129">
        <f>DM785*SUM('Consolidated - P&amp;L'!DN11:DN12)</f>
        <v>287913883.38001293</v>
      </c>
      <c r="DN784" s="129">
        <f>DN785*SUM('Consolidated - P&amp;L'!DO11:DO12)</f>
        <v>329851492.98879659</v>
      </c>
      <c r="DO784" s="129">
        <f>DO785*SUM('Consolidated - P&amp;L'!DP11:DP12)</f>
        <v>322196981.26105827</v>
      </c>
      <c r="DP784" s="129">
        <f>DP785*SUM('Consolidated - P&amp;L'!DQ11:DQ12)</f>
        <v>304380049.4098652</v>
      </c>
      <c r="DQ784" s="129">
        <f>DQ785*SUM('Consolidated - P&amp;L'!DR11:DR12)</f>
        <v>309837155.35987484</v>
      </c>
      <c r="DR784" s="129">
        <f t="shared" ref="DR784:EC784" si="2737">DQ784</f>
        <v>309837155.35987484</v>
      </c>
      <c r="DS784" s="129">
        <f t="shared" si="2737"/>
        <v>309837155.35987484</v>
      </c>
      <c r="DT784" s="129">
        <f t="shared" si="2737"/>
        <v>309837155.35987484</v>
      </c>
      <c r="DU784" s="129">
        <f t="shared" si="2737"/>
        <v>309837155.35987484</v>
      </c>
      <c r="DV784" s="129">
        <f t="shared" si="2737"/>
        <v>309837155.35987484</v>
      </c>
      <c r="DW784" s="129">
        <f t="shared" si="2737"/>
        <v>309837155.35987484</v>
      </c>
      <c r="DX784" s="129">
        <f t="shared" si="2737"/>
        <v>309837155.35987484</v>
      </c>
      <c r="DY784" s="129">
        <f t="shared" si="2737"/>
        <v>309837155.35987484</v>
      </c>
      <c r="DZ784" s="129">
        <f t="shared" si="2737"/>
        <v>309837155.35987484</v>
      </c>
      <c r="EA784" s="129">
        <f t="shared" si="2737"/>
        <v>309837155.35987484</v>
      </c>
      <c r="EB784" s="129">
        <f t="shared" si="2737"/>
        <v>309837155.35987484</v>
      </c>
      <c r="EC784" s="129">
        <f t="shared" si="2737"/>
        <v>309837155.35987484</v>
      </c>
      <c r="ED784" s="113" t="s">
        <v>1</v>
      </c>
    </row>
    <row r="785" spans="1:134" hidden="1" x14ac:dyDescent="0.2">
      <c r="A785" s="115" t="s">
        <v>571</v>
      </c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  <c r="AK785" s="115"/>
      <c r="AL785" s="129">
        <f>AL784/('Consolidated - P&amp;L'!AM11+'Consolidated - P&amp;L'!AM12)</f>
        <v>632.1685290574502</v>
      </c>
      <c r="AM785" s="129">
        <f>AM784/('Consolidated - P&amp;L'!AN11+'Consolidated - P&amp;L'!AN12)</f>
        <v>1477.3877260317336</v>
      </c>
      <c r="AN785" s="129">
        <f>AN784/('Consolidated - P&amp;L'!AO11+'Consolidated - P&amp;L'!AO12)</f>
        <v>806.57279543927814</v>
      </c>
      <c r="AO785" s="129">
        <f>AO784/('Consolidated - P&amp;L'!AP11+'Consolidated - P&amp;L'!AP12)</f>
        <v>568.59742857870992</v>
      </c>
      <c r="AP785" s="129">
        <f>AP784/('Consolidated - P&amp;L'!AQ11+'Consolidated - P&amp;L'!AQ12)</f>
        <v>596.75579851808948</v>
      </c>
      <c r="AQ785" s="129">
        <f>AQ784/('Consolidated - P&amp;L'!AR11+'Consolidated - P&amp;L'!AR12)</f>
        <v>552.54916210670319</v>
      </c>
      <c r="AR785" s="129">
        <f>AR784/('Consolidated - P&amp;L'!AS11+'Consolidated - P&amp;L'!AS12)</f>
        <v>908.65721706670843</v>
      </c>
      <c r="AS785" s="129">
        <f>AS784/('Consolidated - P&amp;L'!AT11+'Consolidated - P&amp;L'!AT12)</f>
        <v>911.9129027435622</v>
      </c>
      <c r="AT785" s="129">
        <f>AT784/('Consolidated - P&amp;L'!AU11+'Consolidated - P&amp;L'!AU12)</f>
        <v>834.20436947377459</v>
      </c>
      <c r="AU785" s="129">
        <f>AU784/('Consolidated - P&amp;L'!AV11+'Consolidated - P&amp;L'!AV12)</f>
        <v>657.88272516396648</v>
      </c>
      <c r="AV785" s="129">
        <f>AV784/('Consolidated - P&amp;L'!AW11+'Consolidated - P&amp;L'!AW12)</f>
        <v>894.44919549425515</v>
      </c>
      <c r="AW785" s="129">
        <f>AW784/('Consolidated - P&amp;L'!AX11+'Consolidated - P&amp;L'!AX12)</f>
        <v>918.43963762019439</v>
      </c>
      <c r="AX785" s="129">
        <f>AX784/('Consolidated - P&amp;L'!AY11+'Consolidated - P&amp;L'!AY12)</f>
        <v>1122.9611128549986</v>
      </c>
      <c r="AY785" s="129">
        <f>AY784/('Consolidated - P&amp;L'!AZ11+'Consolidated - P&amp;L'!AZ12)</f>
        <v>1285.2291883628889</v>
      </c>
      <c r="AZ785" s="129">
        <f>AZ784/('Consolidated - P&amp;L'!BA11+'Consolidated - P&amp;L'!BA12)</f>
        <v>1534.0139176088323</v>
      </c>
      <c r="BA785" s="129">
        <f>BA784/('Consolidated - P&amp;L'!BB11+'Consolidated - P&amp;L'!BB12)</f>
        <v>1268.9444925048547</v>
      </c>
      <c r="BB785" s="129">
        <f>BB784/('Consolidated - P&amp;L'!BC11+'Consolidated - P&amp;L'!BC12)</f>
        <v>1139.0217806570622</v>
      </c>
      <c r="BC785" s="129">
        <f>BC784/('Consolidated - P&amp;L'!BD11+'Consolidated - P&amp;L'!BD12)</f>
        <v>1474.8870490107731</v>
      </c>
      <c r="BD785" s="129">
        <f>BD784/('Consolidated - P&amp;L'!BE11+'Consolidated - P&amp;L'!BE12)</f>
        <v>1442.080351997573</v>
      </c>
      <c r="BE785" s="129">
        <f>BE784/('Consolidated - P&amp;L'!BF11+'Consolidated - P&amp;L'!BF12)</f>
        <v>1506.7993440097766</v>
      </c>
      <c r="BF785" s="129">
        <f>BF784/('Consolidated - P&amp;L'!BG11+'Consolidated - P&amp;L'!BG12)</f>
        <v>1082.562879493388</v>
      </c>
      <c r="BG785" s="129">
        <f>BG784/('Consolidated - P&amp;L'!BH11+'Consolidated - P&amp;L'!BH12)</f>
        <v>936.88337985960015</v>
      </c>
      <c r="BH785" s="129">
        <f>BH784/('Consolidated - P&amp;L'!BI11+'Consolidated - P&amp;L'!BI12)</f>
        <v>1313.0494527567123</v>
      </c>
      <c r="BI785" s="129">
        <f>BI784/('Consolidated - P&amp;L'!BJ11+'Consolidated - P&amp;L'!BJ12)</f>
        <v>993.92020480899555</v>
      </c>
      <c r="BJ785" s="129">
        <f>BJ784/('Consolidated - P&amp;L'!BK11+'Consolidated - P&amp;L'!BK12)</f>
        <v>1161.4721101683126</v>
      </c>
      <c r="BK785" s="129">
        <f>BK784/('Consolidated - P&amp;L'!BL11+'Consolidated - P&amp;L'!BL12)</f>
        <v>1280.4993158101404</v>
      </c>
      <c r="BL785" s="129">
        <f>BL784/('Consolidated - P&amp;L'!BM11+'Consolidated - P&amp;L'!BM12)</f>
        <v>1579.47378764315</v>
      </c>
      <c r="BM785" s="129">
        <f>BM784/('Consolidated - P&amp;L'!BN11+'Consolidated - P&amp;L'!BN12)</f>
        <v>1533.2085979050341</v>
      </c>
      <c r="BN785" s="129">
        <f>BN784/('Consolidated - P&amp;L'!BO11+'Consolidated - P&amp;L'!BO12)</f>
        <v>1442.6169663669664</v>
      </c>
      <c r="BO785" s="129">
        <f>BO784/('Consolidated - P&amp;L'!BP11+'Consolidated - P&amp;L'!BP12)</f>
        <v>1466.3139799349769</v>
      </c>
      <c r="BP785" s="129">
        <f>BP784/('Consolidated - P&amp;L'!BQ11+'Consolidated - P&amp;L'!BQ12)</f>
        <v>1548.9763167297936</v>
      </c>
      <c r="BQ785" s="129">
        <f>BQ784/('Consolidated - P&amp;L'!BR11+'Consolidated - P&amp;L'!BR12)</f>
        <v>1583.1447740497035</v>
      </c>
      <c r="BR785" s="129">
        <f>BR784/('Consolidated - P&amp;L'!BS11+'Consolidated - P&amp;L'!BS12)</f>
        <v>1767.5607479824607</v>
      </c>
      <c r="BS785" s="129">
        <f>BS784/('Consolidated - P&amp;L'!BT11+'Consolidated - P&amp;L'!BT12)</f>
        <v>1961.143445568526</v>
      </c>
      <c r="BT785" s="129">
        <f>BT784/('Consolidated - P&amp;L'!BU11+'Consolidated - P&amp;L'!BU12)</f>
        <v>2107.4333669527487</v>
      </c>
      <c r="BU785" s="129">
        <f>BU784/('Consolidated - P&amp;L'!BV11+'Consolidated - P&amp;L'!BV12)</f>
        <v>1831.4844519708631</v>
      </c>
      <c r="BV785" s="129">
        <f>BV784/('Consolidated - P&amp;L'!BW11+'Consolidated - P&amp;L'!BW12)</f>
        <v>1721.7587972125323</v>
      </c>
      <c r="BW785" s="129">
        <f>BW784/('Consolidated - P&amp;L'!BX11+'Consolidated - P&amp;L'!BX12)</f>
        <v>1618.7944172511902</v>
      </c>
      <c r="BX785" s="129">
        <f>BX784/('Consolidated - P&amp;L'!BY11+'Consolidated - P&amp;L'!BY12)</f>
        <v>1369.0685149427679</v>
      </c>
      <c r="BY785" s="129">
        <f>BY784/('Consolidated - P&amp;L'!BZ11+'Consolidated - P&amp;L'!BZ12)</f>
        <v>1270.698627142327</v>
      </c>
      <c r="BZ785" s="129">
        <f>BZ784/('Consolidated - P&amp;L'!CA11+'Consolidated - P&amp;L'!CA12)</f>
        <v>1411.8635075737011</v>
      </c>
      <c r="CA785" s="129">
        <f>CA784/('Consolidated - P&amp;L'!CB11+'Consolidated - P&amp;L'!CB12)</f>
        <v>1701.0227781781971</v>
      </c>
      <c r="CB785" s="129">
        <f>CB784/('Consolidated - P&amp;L'!CC11+'Consolidated - P&amp;L'!CC12)</f>
        <v>1596.3047014593853</v>
      </c>
      <c r="CC785" s="129">
        <f>CC784/('Consolidated - P&amp;L'!CD11+'Consolidated - P&amp;L'!CD12)</f>
        <v>1499.7995284425713</v>
      </c>
      <c r="CD785" s="129">
        <f>CD784/('Consolidated - P&amp;L'!CE11+'Consolidated - P&amp;L'!CE12)</f>
        <v>1040.0199320341299</v>
      </c>
      <c r="CE785" s="129">
        <f>CE784/('Consolidated - P&amp;L'!CF11+'Consolidated - P&amp;L'!CF12)</f>
        <v>1159.4855147969517</v>
      </c>
      <c r="CF785" s="129">
        <f>CF784/('Consolidated - P&amp;L'!CG11+'Consolidated - P&amp;L'!CG12)</f>
        <v>1318.2510706631513</v>
      </c>
      <c r="CG785" s="129">
        <f>CG784/('Consolidated - P&amp;L'!CH11+'Consolidated - P&amp;L'!CH12)</f>
        <v>859.65651749607514</v>
      </c>
      <c r="CH785" s="129">
        <f>CH784/('Consolidated - P&amp;L'!CI11+'Consolidated - P&amp;L'!CI12)</f>
        <v>929.74468197590136</v>
      </c>
      <c r="CI785" s="129">
        <f>CI784/('Consolidated - P&amp;L'!CJ11+'Consolidated - P&amp;L'!CJ12)</f>
        <v>1009.2195526617157</v>
      </c>
      <c r="CJ785" s="129">
        <f>CJ784/('Consolidated - P&amp;L'!CK11+'Consolidated - P&amp;L'!CK12)</f>
        <v>1132.5341195394758</v>
      </c>
      <c r="CK785" s="129">
        <f>CK784/('Consolidated - P&amp;L'!CL11+'Consolidated - P&amp;L'!CL12)</f>
        <v>1188.8410353872541</v>
      </c>
      <c r="CL785" s="129">
        <f>CL784/('Consolidated - P&amp;L'!CM11+'Consolidated - P&amp;L'!CM12)</f>
        <v>1634.9370388868128</v>
      </c>
      <c r="CM785" s="129">
        <f>CM784/('Consolidated - P&amp;L'!CN11+'Consolidated - P&amp;L'!CN12)</f>
        <v>2318.8692409135733</v>
      </c>
      <c r="CN785" s="129">
        <f>CN784/('Consolidated - P&amp;L'!CO11+'Consolidated - P&amp;L'!CO12)</f>
        <v>2403.919130708397</v>
      </c>
      <c r="CO785" s="129">
        <f>CO784/('Consolidated - P&amp;L'!CP11+'Consolidated - P&amp;L'!CP12)</f>
        <v>2662.1443190298669</v>
      </c>
      <c r="CP785" s="129">
        <f>CP784/('Consolidated - P&amp;L'!CQ11+'Consolidated - P&amp;L'!CQ12)</f>
        <v>2153.0756852109739</v>
      </c>
      <c r="CQ785" s="129">
        <f>CQ784/('Consolidated - P&amp;L'!CR11+'Consolidated - P&amp;L'!CR12)</f>
        <v>1822.9049706070484</v>
      </c>
      <c r="CR785" s="129">
        <f>CR784/('Consolidated - P&amp;L'!CS11+'Consolidated - P&amp;L'!CS12)</f>
        <v>1951.4949970204107</v>
      </c>
      <c r="CS785" s="129">
        <f>CS784/('Consolidated - P&amp;L'!CT11+'Consolidated - P&amp;L'!CT12)</f>
        <v>1768.6904346286994</v>
      </c>
      <c r="CT785" s="743">
        <f>CS785*(1+CT786)</f>
        <v>1857.1249563601345</v>
      </c>
      <c r="CU785" s="743">
        <f t="shared" ref="CU785:DQ785" si="2738">CT785*(1+CU786)</f>
        <v>1857.1249563601345</v>
      </c>
      <c r="CV785" s="743">
        <f t="shared" si="2738"/>
        <v>1857.1249563601345</v>
      </c>
      <c r="CW785" s="743">
        <f t="shared" si="2738"/>
        <v>1857.1249563601345</v>
      </c>
      <c r="CX785" s="743">
        <f t="shared" si="2738"/>
        <v>1857.1249563601345</v>
      </c>
      <c r="CY785" s="743">
        <f t="shared" si="2738"/>
        <v>1857.1249563601345</v>
      </c>
      <c r="CZ785" s="743">
        <f t="shared" si="2738"/>
        <v>1857.1249563601345</v>
      </c>
      <c r="DA785" s="743">
        <f t="shared" si="2738"/>
        <v>1857.1249563601345</v>
      </c>
      <c r="DB785" s="743">
        <f t="shared" si="2738"/>
        <v>1857.1249563601345</v>
      </c>
      <c r="DC785" s="743">
        <f t="shared" si="2738"/>
        <v>1857.1249563601345</v>
      </c>
      <c r="DD785" s="743">
        <f t="shared" si="2738"/>
        <v>1857.1249563601345</v>
      </c>
      <c r="DE785" s="743">
        <f t="shared" si="2738"/>
        <v>1857.1249563601345</v>
      </c>
      <c r="DF785" s="743">
        <f t="shared" si="2738"/>
        <v>1949.9812041781413</v>
      </c>
      <c r="DG785" s="743">
        <f t="shared" si="2738"/>
        <v>1949.9812041781413</v>
      </c>
      <c r="DH785" s="743">
        <f t="shared" si="2738"/>
        <v>1949.9812041781413</v>
      </c>
      <c r="DI785" s="743">
        <f t="shared" si="2738"/>
        <v>1949.9812041781413</v>
      </c>
      <c r="DJ785" s="743">
        <f t="shared" si="2738"/>
        <v>1949.9812041781413</v>
      </c>
      <c r="DK785" s="743">
        <f t="shared" si="2738"/>
        <v>1949.9812041781413</v>
      </c>
      <c r="DL785" s="743">
        <f t="shared" si="2738"/>
        <v>1949.9812041781413</v>
      </c>
      <c r="DM785" s="743">
        <f t="shared" si="2738"/>
        <v>1949.9812041781413</v>
      </c>
      <c r="DN785" s="743">
        <f t="shared" si="2738"/>
        <v>1949.9812041781413</v>
      </c>
      <c r="DO785" s="743">
        <f t="shared" si="2738"/>
        <v>1949.9812041781413</v>
      </c>
      <c r="DP785" s="743">
        <f t="shared" si="2738"/>
        <v>1949.9812041781413</v>
      </c>
      <c r="DQ785" s="743">
        <f t="shared" si="2738"/>
        <v>1949.9812041781413</v>
      </c>
      <c r="DR785" s="115"/>
      <c r="DS785" s="115"/>
      <c r="DT785" s="115"/>
      <c r="DU785" s="115"/>
      <c r="DV785" s="115"/>
      <c r="DW785" s="115"/>
      <c r="DX785" s="115"/>
      <c r="DY785" s="115"/>
      <c r="DZ785" s="115"/>
      <c r="EA785" s="115"/>
      <c r="EB785" s="115"/>
      <c r="EC785" s="645"/>
      <c r="ED785" s="113" t="s">
        <v>1</v>
      </c>
    </row>
    <row r="786" spans="1:134" hidden="1" x14ac:dyDescent="0.2">
      <c r="A786" s="115" t="s">
        <v>255</v>
      </c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115"/>
      <c r="AL786" s="129"/>
      <c r="AM786" s="129"/>
      <c r="AN786" s="129"/>
      <c r="AO786" s="129"/>
      <c r="AP786" s="129"/>
      <c r="AQ786" s="129"/>
      <c r="AR786" s="129"/>
      <c r="AS786" s="129"/>
      <c r="AT786" s="129"/>
      <c r="AU786" s="129"/>
      <c r="AV786" s="129"/>
      <c r="AW786" s="129"/>
      <c r="AX786" s="129"/>
      <c r="AY786" s="129"/>
      <c r="AZ786" s="129"/>
      <c r="BA786" s="129"/>
      <c r="BB786" s="129"/>
      <c r="BC786" s="129"/>
      <c r="BD786" s="129"/>
      <c r="BE786" s="129"/>
      <c r="BF786" s="129"/>
      <c r="BG786" s="129"/>
      <c r="BH786" s="129"/>
      <c r="BI786" s="129"/>
      <c r="BJ786" s="129"/>
      <c r="BK786" s="129"/>
      <c r="BL786" s="129"/>
      <c r="BM786" s="129"/>
      <c r="BN786" s="129"/>
      <c r="BO786" s="129"/>
      <c r="BP786" s="129"/>
      <c r="BQ786" s="129"/>
      <c r="BR786" s="129"/>
      <c r="BS786" s="129"/>
      <c r="BT786" s="129"/>
      <c r="BU786" s="129"/>
      <c r="BV786" s="129"/>
      <c r="BW786" s="129"/>
      <c r="BX786" s="129"/>
      <c r="BY786" s="129"/>
      <c r="BZ786" s="129"/>
      <c r="CA786" s="129"/>
      <c r="CB786" s="129"/>
      <c r="CC786" s="129"/>
      <c r="CD786" s="129"/>
      <c r="CE786" s="129"/>
      <c r="CF786" s="129"/>
      <c r="CG786" s="129"/>
      <c r="CH786" s="129"/>
      <c r="CI786" s="129"/>
      <c r="CJ786" s="129"/>
      <c r="CK786" s="129"/>
      <c r="CL786" s="129"/>
      <c r="CM786" s="129"/>
      <c r="CN786" s="129"/>
      <c r="CO786" s="129"/>
      <c r="CP786" s="129"/>
      <c r="CQ786" s="129"/>
      <c r="CR786" s="129"/>
      <c r="CS786" s="129"/>
      <c r="CT786" s="759">
        <v>0.05</v>
      </c>
      <c r="CU786" s="708"/>
      <c r="CV786" s="708"/>
      <c r="CW786" s="708"/>
      <c r="CX786" s="708"/>
      <c r="CY786" s="708"/>
      <c r="CZ786" s="708"/>
      <c r="DA786" s="708"/>
      <c r="DB786" s="708"/>
      <c r="DC786" s="708"/>
      <c r="DD786" s="708"/>
      <c r="DE786" s="708"/>
      <c r="DF786" s="759">
        <v>0.05</v>
      </c>
      <c r="DG786" s="115"/>
      <c r="DH786" s="115"/>
      <c r="DI786" s="115"/>
      <c r="DJ786" s="115"/>
      <c r="DK786" s="115"/>
      <c r="DL786" s="115"/>
      <c r="DM786" s="115"/>
      <c r="DN786" s="115"/>
      <c r="DO786" s="115"/>
      <c r="DP786" s="115"/>
      <c r="DQ786" s="115"/>
      <c r="DR786" s="115"/>
      <c r="DS786" s="115"/>
      <c r="DT786" s="115"/>
      <c r="DU786" s="115"/>
      <c r="DV786" s="115"/>
      <c r="DW786" s="115"/>
      <c r="DX786" s="115"/>
      <c r="DY786" s="115"/>
      <c r="DZ786" s="115"/>
      <c r="EA786" s="115"/>
      <c r="EB786" s="115"/>
      <c r="EC786" s="645"/>
      <c r="ED786" s="113" t="s">
        <v>1</v>
      </c>
    </row>
    <row r="787" spans="1:134" hidden="1" x14ac:dyDescent="0.2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  <c r="AK787" s="115"/>
      <c r="AL787" s="129"/>
      <c r="AM787" s="129"/>
      <c r="AN787" s="129"/>
      <c r="AO787" s="129"/>
      <c r="AP787" s="129"/>
      <c r="AQ787" s="129"/>
      <c r="AR787" s="129"/>
      <c r="AS787" s="129"/>
      <c r="AT787" s="129"/>
      <c r="AU787" s="129"/>
      <c r="AV787" s="129"/>
      <c r="AW787" s="129"/>
      <c r="AX787" s="129"/>
      <c r="AY787" s="129"/>
      <c r="AZ787" s="129"/>
      <c r="BA787" s="129"/>
      <c r="BB787" s="129"/>
      <c r="BC787" s="129"/>
      <c r="BD787" s="129"/>
      <c r="BE787" s="129"/>
      <c r="BF787" s="129"/>
      <c r="BG787" s="129"/>
      <c r="BH787" s="129"/>
      <c r="BI787" s="129"/>
      <c r="BJ787" s="129"/>
      <c r="BK787" s="129"/>
      <c r="BL787" s="129"/>
      <c r="BM787" s="129"/>
      <c r="BN787" s="129"/>
      <c r="BO787" s="129"/>
      <c r="BP787" s="129"/>
      <c r="BQ787" s="129"/>
      <c r="BR787" s="129"/>
      <c r="BS787" s="129"/>
      <c r="BT787" s="129"/>
      <c r="BU787" s="129"/>
      <c r="BV787" s="129"/>
      <c r="BW787" s="129"/>
      <c r="BX787" s="129"/>
      <c r="BY787" s="129"/>
      <c r="BZ787" s="129"/>
      <c r="CA787" s="129"/>
      <c r="CB787" s="129"/>
      <c r="CC787" s="129"/>
      <c r="CD787" s="129"/>
      <c r="CE787" s="129"/>
      <c r="CF787" s="129"/>
      <c r="CG787" s="129"/>
      <c r="CH787" s="129"/>
      <c r="CI787" s="129"/>
      <c r="CJ787" s="129"/>
      <c r="CK787" s="129"/>
      <c r="CL787" s="129"/>
      <c r="CM787" s="129"/>
      <c r="CN787" s="129"/>
      <c r="CO787" s="129"/>
      <c r="CP787" s="129"/>
      <c r="CQ787" s="129"/>
      <c r="CR787" s="129"/>
      <c r="CS787" s="129"/>
      <c r="CT787" s="759"/>
      <c r="CU787" s="708"/>
      <c r="CV787" s="708"/>
      <c r="CW787" s="708"/>
      <c r="CX787" s="708"/>
      <c r="CY787" s="708"/>
      <c r="CZ787" s="708"/>
      <c r="DA787" s="708"/>
      <c r="DB787" s="708"/>
      <c r="DC787" s="708"/>
      <c r="DD787" s="708"/>
      <c r="DE787" s="708"/>
      <c r="DF787" s="759"/>
      <c r="DG787" s="115"/>
      <c r="DH787" s="115"/>
      <c r="DI787" s="115"/>
      <c r="DJ787" s="115"/>
      <c r="DK787" s="115"/>
      <c r="DL787" s="115"/>
      <c r="DM787" s="115"/>
      <c r="DN787" s="115"/>
      <c r="DO787" s="115"/>
      <c r="DP787" s="115"/>
      <c r="DQ787" s="115"/>
      <c r="DR787" s="115"/>
      <c r="DS787" s="115"/>
      <c r="DT787" s="115"/>
      <c r="DU787" s="115"/>
      <c r="DV787" s="115"/>
      <c r="DW787" s="115"/>
      <c r="DX787" s="115"/>
      <c r="DY787" s="115"/>
      <c r="DZ787" s="115"/>
      <c r="EA787" s="115"/>
      <c r="EB787" s="115"/>
      <c r="EC787" s="645"/>
      <c r="ED787" s="113" t="s">
        <v>1</v>
      </c>
    </row>
    <row r="788" spans="1:134" hidden="1" x14ac:dyDescent="0.2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29"/>
      <c r="AM788" s="129"/>
      <c r="AN788" s="129"/>
      <c r="AO788" s="129"/>
      <c r="AP788" s="129"/>
      <c r="AQ788" s="129"/>
      <c r="AR788" s="129"/>
      <c r="AS788" s="129"/>
      <c r="AT788" s="129"/>
      <c r="AU788" s="129"/>
      <c r="AV788" s="129"/>
      <c r="AW788" s="129"/>
      <c r="AX788" s="129"/>
      <c r="AY788" s="129"/>
      <c r="AZ788" s="129"/>
      <c r="BA788" s="129"/>
      <c r="BB788" s="129"/>
      <c r="BC788" s="129"/>
      <c r="BD788" s="129"/>
      <c r="BE788" s="129"/>
      <c r="BF788" s="129"/>
      <c r="BG788" s="129"/>
      <c r="BH788" s="129"/>
      <c r="BI788" s="129"/>
      <c r="BJ788" s="129"/>
      <c r="BK788" s="129"/>
      <c r="BL788" s="129"/>
      <c r="BM788" s="129"/>
      <c r="BN788" s="129"/>
      <c r="BO788" s="129"/>
      <c r="BP788" s="129"/>
      <c r="BQ788" s="129"/>
      <c r="BR788" s="129"/>
      <c r="BS788" s="129"/>
      <c r="BT788" s="129"/>
      <c r="BU788" s="129"/>
      <c r="BV788" s="129"/>
      <c r="BW788" s="129"/>
      <c r="BX788" s="129"/>
      <c r="BY788" s="129"/>
      <c r="BZ788" s="129"/>
      <c r="CA788" s="129"/>
      <c r="CB788" s="129"/>
      <c r="CC788" s="129"/>
      <c r="CD788" s="129"/>
      <c r="CE788" s="129"/>
      <c r="CF788" s="129"/>
      <c r="CG788" s="129"/>
      <c r="CH788" s="129"/>
      <c r="CI788" s="129"/>
      <c r="CJ788" s="129"/>
      <c r="CK788" s="129"/>
      <c r="CL788" s="129"/>
      <c r="CM788" s="129"/>
      <c r="CN788" s="129"/>
      <c r="CO788" s="129"/>
      <c r="CP788" s="129"/>
      <c r="CQ788" s="129"/>
      <c r="CR788" s="129"/>
      <c r="CS788" s="129"/>
      <c r="CT788" s="759"/>
      <c r="CU788" s="708"/>
      <c r="CV788" s="708"/>
      <c r="CW788" s="708"/>
      <c r="CX788" s="708"/>
      <c r="CY788" s="708"/>
      <c r="CZ788" s="708"/>
      <c r="DA788" s="708"/>
      <c r="DB788" s="708"/>
      <c r="DC788" s="708"/>
      <c r="DD788" s="708"/>
      <c r="DE788" s="708"/>
      <c r="DF788" s="759"/>
      <c r="DG788" s="115"/>
      <c r="DH788" s="115"/>
      <c r="DI788" s="115"/>
      <c r="DJ788" s="115"/>
      <c r="DK788" s="115"/>
      <c r="DL788" s="115"/>
      <c r="DM788" s="115"/>
      <c r="DN788" s="115"/>
      <c r="DO788" s="115"/>
      <c r="DP788" s="115"/>
      <c r="DQ788" s="115"/>
      <c r="DR788" s="115"/>
      <c r="DS788" s="115"/>
      <c r="DT788" s="115"/>
      <c r="DU788" s="115"/>
      <c r="DV788" s="115"/>
      <c r="DW788" s="115"/>
      <c r="DX788" s="115"/>
      <c r="DY788" s="115"/>
      <c r="DZ788" s="115"/>
      <c r="EA788" s="115"/>
      <c r="EB788" s="115"/>
      <c r="EC788" s="645"/>
      <c r="ED788" s="113" t="s">
        <v>1</v>
      </c>
    </row>
    <row r="789" spans="1:134" hidden="1" x14ac:dyDescent="0.2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29"/>
      <c r="AM789" s="129"/>
      <c r="AN789" s="129"/>
      <c r="AO789" s="129"/>
      <c r="AP789" s="129"/>
      <c r="AQ789" s="129"/>
      <c r="AR789" s="129"/>
      <c r="AS789" s="129"/>
      <c r="AT789" s="129"/>
      <c r="AU789" s="129"/>
      <c r="AV789" s="129"/>
      <c r="AW789" s="129"/>
      <c r="AX789" s="129"/>
      <c r="AY789" s="129"/>
      <c r="AZ789" s="129"/>
      <c r="BA789" s="129"/>
      <c r="BB789" s="129"/>
      <c r="BC789" s="129"/>
      <c r="BD789" s="129"/>
      <c r="BE789" s="129"/>
      <c r="BF789" s="129"/>
      <c r="BG789" s="129"/>
      <c r="BH789" s="129"/>
      <c r="BI789" s="129"/>
      <c r="BJ789" s="129"/>
      <c r="BK789" s="129"/>
      <c r="BL789" s="129"/>
      <c r="BM789" s="129"/>
      <c r="BN789" s="129"/>
      <c r="BO789" s="129"/>
      <c r="BP789" s="129"/>
      <c r="BQ789" s="129"/>
      <c r="BR789" s="129"/>
      <c r="BS789" s="129"/>
      <c r="BT789" s="129"/>
      <c r="BU789" s="129"/>
      <c r="BV789" s="129"/>
      <c r="BW789" s="129"/>
      <c r="BX789" s="129"/>
      <c r="BY789" s="129"/>
      <c r="BZ789" s="129"/>
      <c r="CA789" s="129"/>
      <c r="CB789" s="129"/>
      <c r="CC789" s="129"/>
      <c r="CD789" s="129"/>
      <c r="CE789" s="129"/>
      <c r="CF789" s="129"/>
      <c r="CG789" s="129"/>
      <c r="CH789" s="129"/>
      <c r="CI789" s="129"/>
      <c r="CJ789" s="129"/>
      <c r="CK789" s="129"/>
      <c r="CL789" s="129"/>
      <c r="CM789" s="129"/>
      <c r="CN789" s="129"/>
      <c r="CO789" s="129"/>
      <c r="CP789" s="129"/>
      <c r="CQ789" s="129"/>
      <c r="CR789" s="129"/>
      <c r="CS789" s="129"/>
      <c r="CT789" s="743"/>
      <c r="CU789" s="708"/>
      <c r="CV789" s="708"/>
      <c r="CW789" s="708"/>
      <c r="CX789" s="708"/>
      <c r="CY789" s="708"/>
      <c r="CZ789" s="708"/>
      <c r="DA789" s="708"/>
      <c r="DB789" s="708"/>
      <c r="DC789" s="708"/>
      <c r="DD789" s="708"/>
      <c r="DE789" s="708"/>
      <c r="DF789" s="702"/>
      <c r="DG789" s="115"/>
      <c r="DH789" s="115"/>
      <c r="DI789" s="115"/>
      <c r="DJ789" s="115"/>
      <c r="DK789" s="115"/>
      <c r="DL789" s="115"/>
      <c r="DM789" s="115"/>
      <c r="DN789" s="115"/>
      <c r="DO789" s="115"/>
      <c r="DP789" s="115"/>
      <c r="DQ789" s="115"/>
      <c r="DR789" s="115"/>
      <c r="DS789" s="115"/>
      <c r="DT789" s="115"/>
      <c r="DU789" s="115"/>
      <c r="DV789" s="115"/>
      <c r="DW789" s="115"/>
      <c r="DX789" s="115"/>
      <c r="DY789" s="115"/>
      <c r="DZ789" s="115"/>
      <c r="EA789" s="115"/>
      <c r="EB789" s="115"/>
      <c r="EC789" s="645"/>
      <c r="ED789" s="113" t="s">
        <v>1</v>
      </c>
    </row>
    <row r="790" spans="1:134" hidden="1" x14ac:dyDescent="0.2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115"/>
      <c r="AU790" s="115"/>
      <c r="AV790" s="115"/>
      <c r="AW790" s="115"/>
      <c r="AX790" s="115"/>
      <c r="AY790" s="115"/>
      <c r="AZ790" s="115"/>
      <c r="BA790" s="115"/>
      <c r="BB790" s="115"/>
      <c r="BC790" s="115"/>
      <c r="BD790" s="115"/>
      <c r="BE790" s="115"/>
      <c r="BF790" s="115"/>
      <c r="BG790" s="115"/>
      <c r="BH790" s="115"/>
      <c r="BI790" s="115"/>
      <c r="BJ790" s="115"/>
      <c r="BK790" s="115"/>
      <c r="BL790" s="115"/>
      <c r="BM790" s="115"/>
      <c r="BN790" s="115"/>
      <c r="BO790" s="115"/>
      <c r="BP790" s="115"/>
      <c r="BQ790" s="115"/>
      <c r="BR790" s="115"/>
      <c r="BS790" s="115"/>
      <c r="BT790" s="115"/>
      <c r="BU790" s="115"/>
      <c r="BV790" s="115"/>
      <c r="BW790" s="115"/>
      <c r="BX790" s="115"/>
      <c r="BY790" s="115"/>
      <c r="BZ790" s="115"/>
      <c r="CA790" s="115"/>
      <c r="CB790" s="115"/>
      <c r="CC790" s="115"/>
      <c r="CD790" s="115"/>
      <c r="CE790" s="115"/>
      <c r="CF790" s="115"/>
      <c r="CG790" s="115"/>
      <c r="CH790" s="115"/>
      <c r="CI790" s="115"/>
      <c r="CJ790" s="115"/>
      <c r="CK790" s="115"/>
      <c r="CL790" s="115"/>
      <c r="CM790" s="115"/>
      <c r="CN790" s="115"/>
      <c r="CO790" s="115"/>
      <c r="CP790" s="115"/>
      <c r="CQ790" s="115"/>
      <c r="CR790" s="115"/>
      <c r="CS790" s="115"/>
      <c r="CT790" s="115"/>
      <c r="CU790" s="115"/>
      <c r="CV790" s="115"/>
      <c r="CW790" s="115"/>
      <c r="CX790" s="115"/>
      <c r="CY790" s="115"/>
      <c r="CZ790" s="115"/>
      <c r="DA790" s="115"/>
      <c r="DB790" s="115"/>
      <c r="DC790" s="115"/>
      <c r="DD790" s="115"/>
      <c r="DE790" s="115"/>
      <c r="DF790" s="115"/>
      <c r="DG790" s="115"/>
      <c r="DH790" s="115"/>
      <c r="DI790" s="115"/>
      <c r="DJ790" s="115"/>
      <c r="DK790" s="115"/>
      <c r="DL790" s="115"/>
      <c r="DM790" s="115"/>
      <c r="DN790" s="115"/>
      <c r="DO790" s="115"/>
      <c r="DP790" s="115"/>
      <c r="DQ790" s="115"/>
      <c r="DR790" s="115"/>
      <c r="DS790" s="115"/>
      <c r="DT790" s="115"/>
      <c r="DU790" s="115"/>
      <c r="DV790" s="115"/>
      <c r="DW790" s="115"/>
      <c r="DX790" s="115"/>
      <c r="DY790" s="115"/>
      <c r="DZ790" s="115"/>
      <c r="EA790" s="115"/>
      <c r="EB790" s="115"/>
      <c r="EC790" s="645"/>
      <c r="ED790" s="113" t="s">
        <v>1</v>
      </c>
    </row>
    <row r="791" spans="1:134" hidden="1" x14ac:dyDescent="0.2">
      <c r="A791" s="115" t="s">
        <v>140</v>
      </c>
      <c r="B791" s="129">
        <f>'Consolidated - P&amp;L'!C239</f>
        <v>0</v>
      </c>
      <c r="C791" s="129">
        <f>'Consolidated - P&amp;L'!D239</f>
        <v>0</v>
      </c>
      <c r="D791" s="129">
        <f>'Consolidated - P&amp;L'!E239</f>
        <v>0</v>
      </c>
      <c r="E791" s="129">
        <f>'Consolidated - P&amp;L'!F239</f>
        <v>0</v>
      </c>
      <c r="F791" s="129">
        <f>'Consolidated - P&amp;L'!G239</f>
        <v>0</v>
      </c>
      <c r="G791" s="129">
        <f>'Consolidated - P&amp;L'!H239</f>
        <v>0</v>
      </c>
      <c r="H791" s="129">
        <f>'Consolidated - P&amp;L'!I239</f>
        <v>0</v>
      </c>
      <c r="I791" s="129">
        <f>'Consolidated - P&amp;L'!J239</f>
        <v>0</v>
      </c>
      <c r="J791" s="129">
        <f>'Consolidated - P&amp;L'!K239</f>
        <v>0</v>
      </c>
      <c r="K791" s="129">
        <f>'Consolidated - P&amp;L'!L239</f>
        <v>0</v>
      </c>
      <c r="L791" s="129">
        <f>'Consolidated - P&amp;L'!M239</f>
        <v>0</v>
      </c>
      <c r="M791" s="129">
        <f>'Consolidated - P&amp;L'!N239</f>
        <v>0</v>
      </c>
      <c r="N791" s="129">
        <f>'Consolidated - P&amp;L'!O239</f>
        <v>0</v>
      </c>
      <c r="O791" s="129">
        <f>'Consolidated - P&amp;L'!P239</f>
        <v>0</v>
      </c>
      <c r="P791" s="129">
        <f>'Consolidated - P&amp;L'!Q239</f>
        <v>0</v>
      </c>
      <c r="Q791" s="129">
        <f>'Consolidated - P&amp;L'!R239</f>
        <v>0</v>
      </c>
      <c r="R791" s="129">
        <f>'Consolidated - P&amp;L'!S239</f>
        <v>0</v>
      </c>
      <c r="S791" s="129">
        <f>'Consolidated - P&amp;L'!T239</f>
        <v>0</v>
      </c>
      <c r="T791" s="129">
        <f>'Consolidated - P&amp;L'!U239</f>
        <v>0</v>
      </c>
      <c r="U791" s="129">
        <f>'Consolidated - P&amp;L'!V239</f>
        <v>0</v>
      </c>
      <c r="V791" s="129">
        <f>'Consolidated - P&amp;L'!W239</f>
        <v>0</v>
      </c>
      <c r="W791" s="129">
        <f>'Consolidated - P&amp;L'!X239</f>
        <v>0</v>
      </c>
      <c r="X791" s="129">
        <f>'Consolidated - P&amp;L'!Y239</f>
        <v>0</v>
      </c>
      <c r="Y791" s="129">
        <f>'Consolidated - P&amp;L'!Z239</f>
        <v>0</v>
      </c>
      <c r="Z791" s="129">
        <f>'Consolidated - P&amp;L'!AA239</f>
        <v>0</v>
      </c>
      <c r="AA791" s="129">
        <f>'Consolidated - P&amp;L'!AB239</f>
        <v>0</v>
      </c>
      <c r="AB791" s="129">
        <f>'Consolidated - P&amp;L'!AC239</f>
        <v>0</v>
      </c>
      <c r="AC791" s="129">
        <f>'Consolidated - P&amp;L'!AD239</f>
        <v>0</v>
      </c>
      <c r="AD791" s="129">
        <f>'Consolidated - P&amp;L'!AE239</f>
        <v>0</v>
      </c>
      <c r="AE791" s="129">
        <f>'Consolidated - P&amp;L'!AF239</f>
        <v>0</v>
      </c>
      <c r="AF791" s="129">
        <f>'Consolidated - P&amp;L'!AG239</f>
        <v>0</v>
      </c>
      <c r="AG791" s="129">
        <f>'Consolidated - P&amp;L'!AH239</f>
        <v>0</v>
      </c>
      <c r="AH791" s="129">
        <f>'Consolidated - P&amp;L'!AI239</f>
        <v>0</v>
      </c>
      <c r="AI791" s="129">
        <f>'Consolidated - P&amp;L'!AJ239</f>
        <v>0</v>
      </c>
      <c r="AJ791" s="129">
        <f>'Consolidated - P&amp;L'!AK239</f>
        <v>0</v>
      </c>
      <c r="AK791" s="129">
        <f>'Consolidated - P&amp;L'!AL239</f>
        <v>0</v>
      </c>
      <c r="AL791" s="129">
        <f>'Consolidated - P&amp;L'!AM239</f>
        <v>0</v>
      </c>
      <c r="AM791" s="129">
        <f>'Consolidated - P&amp;L'!AN239</f>
        <v>0</v>
      </c>
      <c r="AN791" s="129">
        <f>'Consolidated - P&amp;L'!AO239</f>
        <v>0</v>
      </c>
      <c r="AO791" s="129">
        <f>'Consolidated - P&amp;L'!AP239</f>
        <v>0</v>
      </c>
      <c r="AP791" s="129">
        <f>'Consolidated - P&amp;L'!AQ239</f>
        <v>0</v>
      </c>
      <c r="AQ791" s="129">
        <f>'Consolidated - P&amp;L'!AR239</f>
        <v>0</v>
      </c>
      <c r="AR791" s="129">
        <f>'Consolidated - P&amp;L'!AS239</f>
        <v>0</v>
      </c>
      <c r="AS791" s="129">
        <f>'Consolidated - P&amp;L'!AT239</f>
        <v>0</v>
      </c>
      <c r="AT791" s="129">
        <f>'Consolidated - P&amp;L'!AU239</f>
        <v>0</v>
      </c>
      <c r="AU791" s="129">
        <f>'Consolidated - P&amp;L'!AV239</f>
        <v>0</v>
      </c>
      <c r="AV791" s="129">
        <f>'Consolidated - P&amp;L'!AW239</f>
        <v>0</v>
      </c>
      <c r="AW791" s="129">
        <f>'Consolidated - P&amp;L'!AX239</f>
        <v>0</v>
      </c>
      <c r="AX791" s="129">
        <f>'Consolidated - P&amp;L'!AY239</f>
        <v>0</v>
      </c>
      <c r="AY791" s="129">
        <f>'Consolidated - P&amp;L'!AZ239</f>
        <v>0</v>
      </c>
      <c r="AZ791" s="129">
        <f>'Consolidated - P&amp;L'!BA239</f>
        <v>8375543.6949157119</v>
      </c>
      <c r="BA791" s="129">
        <f>'Consolidated - P&amp;L'!BB239</f>
        <v>11695679</v>
      </c>
      <c r="BB791" s="129">
        <f>'Consolidated - P&amp;L'!BC239</f>
        <v>3979803.7797467117</v>
      </c>
      <c r="BC791" s="129">
        <f>'Consolidated - P&amp;L'!BD239</f>
        <v>11193974.432202134</v>
      </c>
      <c r="BD791" s="129">
        <f>'Consolidated - P&amp;L'!BE239</f>
        <v>15718273</v>
      </c>
      <c r="BE791" s="129">
        <f>'Consolidated - P&amp;L'!BF239</f>
        <v>13858718</v>
      </c>
      <c r="BF791" s="129">
        <f>'Consolidated - P&amp;L'!BG239</f>
        <v>15876015.627118038</v>
      </c>
      <c r="BG791" s="129">
        <f>'Consolidated - P&amp;L'!BH239</f>
        <v>30520870</v>
      </c>
      <c r="BH791" s="129">
        <f>'Consolidated - P&amp;L'!BI239</f>
        <v>22974919.864406779</v>
      </c>
      <c r="BI791" s="129">
        <f>'Consolidated - P&amp;L'!BJ239</f>
        <v>22243996</v>
      </c>
      <c r="BJ791" s="129">
        <f>'Consolidated - P&amp;L'!BK239</f>
        <v>24092898</v>
      </c>
      <c r="BK791" s="129">
        <f>'Consolidated - P&amp;L'!BL239</f>
        <v>22551886.677057981</v>
      </c>
      <c r="BL791" s="129">
        <f>'Consolidated - P&amp;L'!BM239</f>
        <v>22705593.692699671</v>
      </c>
      <c r="BM791" s="129">
        <f>'Consolidated - P&amp;L'!BN239</f>
        <v>20664912</v>
      </c>
      <c r="BN791" s="129">
        <f>'Consolidated - P&amp;L'!BO239</f>
        <v>19254819.343327794</v>
      </c>
      <c r="BO791" s="129">
        <f>'Consolidated - P&amp;L'!BP239</f>
        <v>22713607.962370448</v>
      </c>
      <c r="BP791" s="129">
        <f>'Consolidated - P&amp;L'!BQ239</f>
        <v>26941027.488772959</v>
      </c>
      <c r="BQ791" s="129">
        <f>'Consolidated - P&amp;L'!BR239</f>
        <v>26159904.302002896</v>
      </c>
      <c r="BR791" s="129">
        <f>'Consolidated - P&amp;L'!BS239</f>
        <v>26246750.033587098</v>
      </c>
      <c r="BS791" s="129">
        <f>'Consolidated - P&amp;L'!BT239</f>
        <v>24034235.657712467</v>
      </c>
      <c r="BT791" s="129">
        <f>'Consolidated - P&amp;L'!BU239</f>
        <v>22096545</v>
      </c>
      <c r="BU791" s="129">
        <f>'Consolidated - P&amp;L'!BV239</f>
        <v>20215638</v>
      </c>
      <c r="BV791" s="129">
        <f>'Consolidated - P&amp;L'!BW239</f>
        <v>30326833.333333332</v>
      </c>
      <c r="BW791" s="129">
        <f>'Consolidated - P&amp;L'!BX239</f>
        <v>28625849.491525467</v>
      </c>
      <c r="BX791" s="129">
        <f>'Consolidated - P&amp;L'!BY239</f>
        <v>15342298</v>
      </c>
      <c r="BY791" s="129">
        <f>'Consolidated - P&amp;L'!BZ239</f>
        <v>19151672.531049494</v>
      </c>
      <c r="BZ791" s="129">
        <f>'Consolidated - P&amp;L'!CA239</f>
        <v>20998368</v>
      </c>
      <c r="CA791" s="129">
        <f>'Consolidated - P&amp;L'!CB239</f>
        <v>22181320.148741871</v>
      </c>
      <c r="CB791" s="129">
        <f>'Consolidated - P&amp;L'!CC239</f>
        <v>23949460</v>
      </c>
      <c r="CC791" s="129">
        <f>'Consolidated - P&amp;L'!CD239</f>
        <v>25001852</v>
      </c>
      <c r="CD791" s="129">
        <f>'Consolidated - P&amp;L'!CE239</f>
        <v>18674177</v>
      </c>
      <c r="CE791" s="129">
        <f>'Consolidated - P&amp;L'!CF239</f>
        <v>21225605</v>
      </c>
      <c r="CF791" s="129">
        <f>'Consolidated - P&amp;L'!CG239</f>
        <v>17297794.489736855</v>
      </c>
      <c r="CG791" s="129">
        <f>'Consolidated - P&amp;L'!CH239</f>
        <v>19586248.323433194</v>
      </c>
      <c r="CH791" s="129">
        <f>'Consolidated - P&amp;L'!CI239</f>
        <v>23625578.669519249</v>
      </c>
      <c r="CI791" s="129">
        <f>'Consolidated - P&amp;L'!CJ239</f>
        <v>25182013</v>
      </c>
      <c r="CJ791" s="129">
        <f>'Consolidated - P&amp;L'!CK239</f>
        <v>27363207.990401026</v>
      </c>
      <c r="CK791" s="129">
        <f>'Consolidated - P&amp;L'!CL239</f>
        <v>29834549.43809605</v>
      </c>
      <c r="CL791" s="129">
        <f>'Consolidated - P&amp;L'!CM239</f>
        <v>35028408.078627154</v>
      </c>
      <c r="CM791" s="129">
        <f>'Consolidated - P&amp;L'!CN239</f>
        <v>45134215.132626988</v>
      </c>
      <c r="CN791" s="129">
        <f>'Consolidated - P&amp;L'!CO239</f>
        <v>45279849.129816204</v>
      </c>
      <c r="CO791" s="129">
        <f>'Consolidated - P&amp;L'!CP239</f>
        <v>42749598.631848745</v>
      </c>
      <c r="CP791" s="129">
        <f>'Consolidated - P&amp;L'!CQ239</f>
        <v>42853984.015983179</v>
      </c>
      <c r="CQ791" s="129">
        <f>'Consolidated - P&amp;L'!CR239</f>
        <v>44481920.672152378</v>
      </c>
      <c r="CR791" s="129">
        <f>'Consolidated - P&amp;L'!CS239</f>
        <v>40701033.282152951</v>
      </c>
      <c r="CS791" s="129">
        <f>'Consolidated - P&amp;L'!CT239</f>
        <v>41831323.508203171</v>
      </c>
      <c r="CT791" s="129">
        <f>'Consolidated - P&amp;L'!CU239</f>
        <v>28834430.665185105</v>
      </c>
      <c r="CU791" s="129">
        <f>'Consolidated - P&amp;L'!CV239</f>
        <v>33391129.222274348</v>
      </c>
      <c r="CV791" s="129">
        <f>'Consolidated - P&amp;L'!CW239</f>
        <v>30873573.39145641</v>
      </c>
      <c r="CW791" s="129">
        <f>'Consolidated - P&amp;L'!CX239</f>
        <v>26536316.492695469</v>
      </c>
      <c r="CX791" s="129">
        <f>'Consolidated - P&amp;L'!CY239</f>
        <v>23799185.8822308</v>
      </c>
      <c r="CY791" s="129">
        <f>'Consolidated - P&amp;L'!CZ239</f>
        <v>28607104.946401782</v>
      </c>
      <c r="CZ791" s="129">
        <f>'Consolidated - P&amp;L'!DA239</f>
        <v>51939462.77743873</v>
      </c>
      <c r="DA791" s="129">
        <f>'Consolidated - P&amp;L'!DB239</f>
        <v>61169243.000821389</v>
      </c>
      <c r="DB791" s="129">
        <f>'Consolidated - P&amp;L'!DC239</f>
        <v>53165011.331117719</v>
      </c>
      <c r="DC791" s="129">
        <f>'Consolidated - P&amp;L'!DD239</f>
        <v>46651308.102548815</v>
      </c>
      <c r="DD791" s="129">
        <f>'Consolidated - P&amp;L'!DE239</f>
        <v>44079306.156862527</v>
      </c>
      <c r="DE791" s="129">
        <f>'Consolidated - P&amp;L'!DF239</f>
        <v>43097848.707787693</v>
      </c>
      <c r="DF791" s="129">
        <f>'Consolidated - P&amp;L'!DG239</f>
        <v>35236147.461076021</v>
      </c>
      <c r="DG791" s="129">
        <f>'Consolidated - P&amp;L'!DH239</f>
        <v>40846015.246149816</v>
      </c>
      <c r="DH791" s="129">
        <f>'Consolidated - P&amp;L'!DI239</f>
        <v>37682288.154192455</v>
      </c>
      <c r="DI791" s="129">
        <f>'Consolidated - P&amp;L'!DJ239</f>
        <v>32379768.774271023</v>
      </c>
      <c r="DJ791" s="129">
        <f>'Consolidated - P&amp;L'!DK239</f>
        <v>29014745.472808883</v>
      </c>
      <c r="DK791" s="129">
        <f>'Consolidated - P&amp;L'!DL239</f>
        <v>34795979.507546119</v>
      </c>
      <c r="DL791" s="129">
        <f>'Consolidated - P&amp;L'!DM239</f>
        <v>63165525.066402845</v>
      </c>
      <c r="DM791" s="129">
        <f>'Consolidated - P&amp;L'!DN239</f>
        <v>74374162.834498867</v>
      </c>
      <c r="DN791" s="129">
        <f>'Consolidated - P&amp;L'!DO239</f>
        <v>64518221.47083351</v>
      </c>
      <c r="DO791" s="129">
        <f>'Consolidated - P&amp;L'!DP239</f>
        <v>56471199.055903219</v>
      </c>
      <c r="DP791" s="129">
        <f>'Consolidated - P&amp;L'!DQ239</f>
        <v>53306711.281735741</v>
      </c>
      <c r="DQ791" s="129">
        <f>'Consolidated - P&amp;L'!DR239</f>
        <v>51815268.700907007</v>
      </c>
      <c r="DR791" s="129">
        <f>'Consolidated - P&amp;L'!DS239</f>
        <v>0</v>
      </c>
      <c r="DS791" s="129">
        <f>'Consolidated - P&amp;L'!DT239</f>
        <v>0</v>
      </c>
      <c r="DT791" s="129">
        <f>'Consolidated - P&amp;L'!DU239</f>
        <v>0</v>
      </c>
      <c r="DU791" s="129">
        <f>'Consolidated - P&amp;L'!DV239</f>
        <v>0</v>
      </c>
      <c r="DV791" s="129">
        <f>'Consolidated - P&amp;L'!DW239</f>
        <v>0</v>
      </c>
      <c r="DW791" s="129">
        <f>'Consolidated - P&amp;L'!DX239</f>
        <v>0</v>
      </c>
      <c r="DX791" s="129">
        <f>'Consolidated - P&amp;L'!DY239</f>
        <v>0</v>
      </c>
      <c r="DY791" s="129">
        <f>'Consolidated - P&amp;L'!DZ239</f>
        <v>0</v>
      </c>
      <c r="DZ791" s="129">
        <f>'Consolidated - P&amp;L'!EA239</f>
        <v>0</v>
      </c>
      <c r="EA791" s="129">
        <f>'Consolidated - P&amp;L'!EB239</f>
        <v>0</v>
      </c>
      <c r="EB791" s="129">
        <f>'Consolidated - P&amp;L'!EC239</f>
        <v>0</v>
      </c>
      <c r="EC791" s="129">
        <f>'Consolidated - P&amp;L'!ED239</f>
        <v>0</v>
      </c>
      <c r="ED791" s="113" t="s">
        <v>1</v>
      </c>
    </row>
    <row r="792" spans="1:134" hidden="1" x14ac:dyDescent="0.2">
      <c r="A792" s="115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29"/>
      <c r="AM792" s="129"/>
      <c r="AN792" s="129"/>
      <c r="AO792" s="129"/>
      <c r="AP792" s="129"/>
      <c r="AQ792" s="129"/>
      <c r="AR792" s="129"/>
      <c r="AS792" s="129"/>
      <c r="AT792" s="129"/>
      <c r="AU792" s="129"/>
      <c r="AV792" s="129"/>
      <c r="AW792" s="129"/>
      <c r="AX792" s="129"/>
      <c r="AY792" s="129"/>
      <c r="AZ792" s="129"/>
      <c r="BA792" s="129"/>
      <c r="BB792" s="129"/>
      <c r="BC792" s="129"/>
      <c r="BD792" s="129"/>
      <c r="BE792" s="129"/>
      <c r="BF792" s="129"/>
      <c r="BG792" s="129"/>
      <c r="BH792" s="129"/>
      <c r="BI792" s="129"/>
      <c r="BJ792" s="129"/>
      <c r="BK792" s="129"/>
      <c r="BL792" s="129"/>
      <c r="BM792" s="129"/>
      <c r="BN792" s="129"/>
      <c r="BO792" s="129"/>
      <c r="BP792" s="129"/>
      <c r="BQ792" s="129"/>
      <c r="BR792" s="129"/>
      <c r="BS792" s="129"/>
      <c r="BT792" s="129"/>
      <c r="BU792" s="129"/>
      <c r="BV792" s="129"/>
      <c r="BW792" s="129"/>
      <c r="BX792" s="129"/>
      <c r="BY792" s="129"/>
      <c r="BZ792" s="129"/>
      <c r="CA792" s="129"/>
      <c r="CB792" s="129"/>
      <c r="CC792" s="129"/>
      <c r="CD792" s="129"/>
      <c r="CE792" s="129"/>
      <c r="CF792" s="129"/>
      <c r="CG792" s="129"/>
      <c r="CH792" s="129"/>
      <c r="CI792" s="129"/>
      <c r="CJ792" s="129"/>
      <c r="CK792" s="129"/>
      <c r="CL792" s="129"/>
      <c r="CM792" s="129"/>
      <c r="CN792" s="129"/>
      <c r="CO792" s="129"/>
      <c r="CP792" s="129"/>
      <c r="CQ792" s="129"/>
      <c r="CR792" s="129"/>
      <c r="CS792" s="129"/>
      <c r="CT792" s="129"/>
      <c r="CU792" s="129"/>
      <c r="CV792" s="129"/>
      <c r="CW792" s="129"/>
      <c r="CX792" s="129"/>
      <c r="CY792" s="129"/>
      <c r="CZ792" s="129"/>
      <c r="DA792" s="129"/>
      <c r="DB792" s="129"/>
      <c r="DC792" s="129"/>
      <c r="DD792" s="129"/>
      <c r="DE792" s="129"/>
      <c r="DF792" s="129"/>
      <c r="DG792" s="129"/>
      <c r="DH792" s="129"/>
      <c r="DI792" s="129"/>
      <c r="DJ792" s="129"/>
      <c r="DK792" s="129"/>
      <c r="DL792" s="129"/>
      <c r="DM792" s="129"/>
      <c r="DN792" s="129"/>
      <c r="DO792" s="129"/>
      <c r="DP792" s="129"/>
      <c r="DQ792" s="129"/>
      <c r="DR792" s="129"/>
      <c r="DS792" s="129"/>
      <c r="DT792" s="129"/>
      <c r="DU792" s="129"/>
      <c r="DV792" s="129"/>
      <c r="DW792" s="129"/>
      <c r="DX792" s="129"/>
      <c r="DY792" s="129"/>
      <c r="DZ792" s="129"/>
      <c r="EA792" s="129"/>
      <c r="EB792" s="129"/>
      <c r="EC792" s="644"/>
      <c r="ED792" s="113" t="s">
        <v>1</v>
      </c>
    </row>
    <row r="793" spans="1:134" hidden="1" x14ac:dyDescent="0.2">
      <c r="A793" s="115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29"/>
      <c r="AM793" s="129"/>
      <c r="AN793" s="129"/>
      <c r="AO793" s="129"/>
      <c r="AP793" s="129"/>
      <c r="AQ793" s="129"/>
      <c r="AR793" s="129"/>
      <c r="AS793" s="129"/>
      <c r="AT793" s="129"/>
      <c r="AU793" s="129"/>
      <c r="AV793" s="129"/>
      <c r="AW793" s="129"/>
      <c r="AX793" s="129"/>
      <c r="AY793" s="129"/>
      <c r="AZ793" s="129"/>
      <c r="BA793" s="129"/>
      <c r="BB793" s="129"/>
      <c r="BC793" s="129"/>
      <c r="BD793" s="129"/>
      <c r="BE793" s="129"/>
      <c r="BF793" s="129"/>
      <c r="BG793" s="129"/>
      <c r="BH793" s="129"/>
      <c r="BI793" s="129"/>
      <c r="BJ793" s="129"/>
      <c r="BK793" s="129"/>
      <c r="BL793" s="129"/>
      <c r="BM793" s="129"/>
      <c r="BN793" s="129"/>
      <c r="BO793" s="129"/>
      <c r="BP793" s="129"/>
      <c r="BQ793" s="129"/>
      <c r="BR793" s="129"/>
      <c r="BS793" s="129"/>
      <c r="BT793" s="129"/>
      <c r="BU793" s="129"/>
      <c r="BV793" s="129"/>
      <c r="BW793" s="129"/>
      <c r="BX793" s="129"/>
      <c r="BY793" s="129"/>
      <c r="BZ793" s="129"/>
      <c r="CA793" s="129"/>
      <c r="CB793" s="129"/>
      <c r="CC793" s="129"/>
      <c r="CD793" s="129"/>
      <c r="CE793" s="129"/>
      <c r="CF793" s="129"/>
      <c r="CG793" s="129"/>
      <c r="CH793" s="129"/>
      <c r="CI793" s="129"/>
      <c r="CJ793" s="129"/>
      <c r="CK793" s="129"/>
      <c r="CL793" s="129"/>
      <c r="CM793" s="129"/>
      <c r="CN793" s="129"/>
      <c r="CO793" s="129"/>
      <c r="CP793" s="129"/>
      <c r="CQ793" s="129"/>
      <c r="CR793" s="129"/>
      <c r="CS793" s="129"/>
      <c r="CT793" s="129"/>
      <c r="CU793" s="129"/>
      <c r="CV793" s="129"/>
      <c r="CW793" s="129"/>
      <c r="CX793" s="129"/>
      <c r="CY793" s="129"/>
      <c r="CZ793" s="129"/>
      <c r="DA793" s="129"/>
      <c r="DB793" s="129"/>
      <c r="DC793" s="129"/>
      <c r="DD793" s="129"/>
      <c r="DE793" s="129"/>
      <c r="DF793" s="129"/>
      <c r="DG793" s="129"/>
      <c r="DH793" s="129"/>
      <c r="DI793" s="129"/>
      <c r="DJ793" s="129"/>
      <c r="DK793" s="129"/>
      <c r="DL793" s="129"/>
      <c r="DM793" s="129"/>
      <c r="DN793" s="129"/>
      <c r="DO793" s="129"/>
      <c r="DP793" s="129"/>
      <c r="DQ793" s="129"/>
      <c r="DR793" s="129"/>
      <c r="DS793" s="129"/>
      <c r="DT793" s="129"/>
      <c r="DU793" s="129"/>
      <c r="DV793" s="129"/>
      <c r="DW793" s="129"/>
      <c r="DX793" s="129"/>
      <c r="DY793" s="129"/>
      <c r="DZ793" s="129"/>
      <c r="EA793" s="129"/>
      <c r="EB793" s="129"/>
      <c r="EC793" s="644"/>
      <c r="ED793" s="113" t="s">
        <v>1</v>
      </c>
    </row>
    <row r="794" spans="1:134" hidden="1" x14ac:dyDescent="0.2">
      <c r="A794" s="115" t="s">
        <v>489</v>
      </c>
      <c r="B794" s="129">
        <f>'Consolidated - P&amp;L'!C240</f>
        <v>0</v>
      </c>
      <c r="C794" s="129">
        <f>'Consolidated - P&amp;L'!D240</f>
        <v>0</v>
      </c>
      <c r="D794" s="129">
        <f>'Consolidated - P&amp;L'!E240</f>
        <v>0</v>
      </c>
      <c r="E794" s="129">
        <f>'Consolidated - P&amp;L'!F240</f>
        <v>0</v>
      </c>
      <c r="F794" s="129">
        <f>'Consolidated - P&amp;L'!G240</f>
        <v>0</v>
      </c>
      <c r="G794" s="129">
        <f>'Consolidated - P&amp;L'!H240</f>
        <v>0</v>
      </c>
      <c r="H794" s="129">
        <f>'Consolidated - P&amp;L'!I240</f>
        <v>0</v>
      </c>
      <c r="I794" s="129">
        <f>'Consolidated - P&amp;L'!J240</f>
        <v>0</v>
      </c>
      <c r="J794" s="129">
        <f>'Consolidated - P&amp;L'!K240</f>
        <v>0</v>
      </c>
      <c r="K794" s="129">
        <f>'Consolidated - P&amp;L'!L240</f>
        <v>0</v>
      </c>
      <c r="L794" s="129">
        <f>'Consolidated - P&amp;L'!M240</f>
        <v>0</v>
      </c>
      <c r="M794" s="129">
        <f>'Consolidated - P&amp;L'!N240</f>
        <v>0</v>
      </c>
      <c r="N794" s="129">
        <f>'Consolidated - P&amp;L'!O240</f>
        <v>0</v>
      </c>
      <c r="O794" s="129">
        <f>'Consolidated - P&amp;L'!P240</f>
        <v>0</v>
      </c>
      <c r="P794" s="129">
        <f>'Consolidated - P&amp;L'!Q240</f>
        <v>0</v>
      </c>
      <c r="Q794" s="129">
        <f>'Consolidated - P&amp;L'!R240</f>
        <v>0</v>
      </c>
      <c r="R794" s="129">
        <f>'Consolidated - P&amp;L'!S240</f>
        <v>0</v>
      </c>
      <c r="S794" s="129">
        <f>'Consolidated - P&amp;L'!T240</f>
        <v>0</v>
      </c>
      <c r="T794" s="129">
        <f>'Consolidated - P&amp;L'!U240</f>
        <v>0</v>
      </c>
      <c r="U794" s="129">
        <f>'Consolidated - P&amp;L'!V240</f>
        <v>0</v>
      </c>
      <c r="V794" s="129">
        <f>'Consolidated - P&amp;L'!W240</f>
        <v>0</v>
      </c>
      <c r="W794" s="129">
        <f>'Consolidated - P&amp;L'!X240</f>
        <v>0</v>
      </c>
      <c r="X794" s="129">
        <f>'Consolidated - P&amp;L'!Y240</f>
        <v>0</v>
      </c>
      <c r="Y794" s="129">
        <f>'Consolidated - P&amp;L'!Z240</f>
        <v>0</v>
      </c>
      <c r="Z794" s="129">
        <f>'Consolidated - P&amp;L'!AA240</f>
        <v>0</v>
      </c>
      <c r="AA794" s="129">
        <f>'Consolidated - P&amp;L'!AB240</f>
        <v>0</v>
      </c>
      <c r="AB794" s="129">
        <f>'Consolidated - P&amp;L'!AC240</f>
        <v>0</v>
      </c>
      <c r="AC794" s="129">
        <f>'Consolidated - P&amp;L'!AD240</f>
        <v>0</v>
      </c>
      <c r="AD794" s="129">
        <f>'Consolidated - P&amp;L'!AE240</f>
        <v>0</v>
      </c>
      <c r="AE794" s="129">
        <f>'Consolidated - P&amp;L'!AF240</f>
        <v>0</v>
      </c>
      <c r="AF794" s="129">
        <f>'Consolidated - P&amp;L'!AG240</f>
        <v>0</v>
      </c>
      <c r="AG794" s="129">
        <f>'Consolidated - P&amp;L'!AH240</f>
        <v>0</v>
      </c>
      <c r="AH794" s="129">
        <f>'Consolidated - P&amp;L'!AI240</f>
        <v>0</v>
      </c>
      <c r="AI794" s="129">
        <f>'Consolidated - P&amp;L'!AJ240</f>
        <v>0</v>
      </c>
      <c r="AJ794" s="129">
        <f>'Consolidated - P&amp;L'!AK240</f>
        <v>0</v>
      </c>
      <c r="AK794" s="129">
        <f>'Consolidated - P&amp;L'!AL240</f>
        <v>0</v>
      </c>
      <c r="AL794" s="129">
        <f>'Consolidated - P&amp;L'!AM240</f>
        <v>0</v>
      </c>
      <c r="AM794" s="129">
        <f>'Consolidated - P&amp;L'!AN240</f>
        <v>0</v>
      </c>
      <c r="AN794" s="129">
        <f>'Consolidated - P&amp;L'!AO240</f>
        <v>0</v>
      </c>
      <c r="AO794" s="129">
        <f>'Consolidated - P&amp;L'!AP240</f>
        <v>0</v>
      </c>
      <c r="AP794" s="129">
        <f>'Consolidated - P&amp;L'!AQ240</f>
        <v>0</v>
      </c>
      <c r="AQ794" s="129">
        <f>'Consolidated - P&amp;L'!AR240</f>
        <v>0</v>
      </c>
      <c r="AR794" s="129">
        <f>'Consolidated - P&amp;L'!AS240</f>
        <v>0</v>
      </c>
      <c r="AS794" s="129">
        <f>'Consolidated - P&amp;L'!AT240</f>
        <v>0</v>
      </c>
      <c r="AT794" s="129">
        <f>'Consolidated - P&amp;L'!AU240</f>
        <v>0</v>
      </c>
      <c r="AU794" s="129">
        <f>'Consolidated - P&amp;L'!AV240</f>
        <v>0</v>
      </c>
      <c r="AV794" s="129">
        <f>'Consolidated - P&amp;L'!AW240</f>
        <v>0</v>
      </c>
      <c r="AW794" s="129">
        <f>'Consolidated - P&amp;L'!AX240</f>
        <v>0</v>
      </c>
      <c r="AX794" s="129">
        <f>'Consolidated - P&amp;L'!AY240</f>
        <v>0</v>
      </c>
      <c r="AY794" s="129">
        <f>'Consolidated - P&amp;L'!AZ240</f>
        <v>0</v>
      </c>
      <c r="AZ794" s="129">
        <f>'Consolidated - P&amp;L'!BA240</f>
        <v>0</v>
      </c>
      <c r="BA794" s="129">
        <f>'Consolidated - P&amp;L'!BB240</f>
        <v>0</v>
      </c>
      <c r="BB794" s="129">
        <f>'Consolidated - P&amp;L'!BC240</f>
        <v>0</v>
      </c>
      <c r="BC794" s="129">
        <f>'Consolidated - P&amp;L'!BD240</f>
        <v>0</v>
      </c>
      <c r="BD794" s="129">
        <f>'Consolidated - P&amp;L'!BE240</f>
        <v>0</v>
      </c>
      <c r="BE794" s="129">
        <f>'Consolidated - P&amp;L'!BF240</f>
        <v>0</v>
      </c>
      <c r="BF794" s="129">
        <f>'Consolidated - P&amp;L'!BG240</f>
        <v>0</v>
      </c>
      <c r="BG794" s="129">
        <f>'Consolidated - P&amp;L'!BH240</f>
        <v>0</v>
      </c>
      <c r="BH794" s="129">
        <f>'Consolidated - P&amp;L'!BI240</f>
        <v>0</v>
      </c>
      <c r="BI794" s="129">
        <f>'Consolidated - P&amp;L'!BJ240</f>
        <v>0</v>
      </c>
      <c r="BJ794" s="129">
        <f>'Consolidated - P&amp;L'!BK240</f>
        <v>0</v>
      </c>
      <c r="BK794" s="129">
        <f>'Consolidated - P&amp;L'!BL240</f>
        <v>0</v>
      </c>
      <c r="BL794" s="129">
        <f>'Consolidated - P&amp;L'!BM240</f>
        <v>0</v>
      </c>
      <c r="BM794" s="129">
        <f>'Consolidated - P&amp;L'!BN240</f>
        <v>0</v>
      </c>
      <c r="BN794" s="129">
        <f>'Consolidated - P&amp;L'!BO240</f>
        <v>0</v>
      </c>
      <c r="BO794" s="129">
        <f>'Consolidated - P&amp;L'!BP240</f>
        <v>0</v>
      </c>
      <c r="BP794" s="129">
        <f>'Consolidated - P&amp;L'!BQ240</f>
        <v>0</v>
      </c>
      <c r="BQ794" s="129">
        <f>'Consolidated - P&amp;L'!BR240</f>
        <v>0</v>
      </c>
      <c r="BR794" s="129">
        <f>'Consolidated - P&amp;L'!BS240</f>
        <v>0</v>
      </c>
      <c r="BS794" s="129">
        <f>'Consolidated - P&amp;L'!BT240</f>
        <v>0</v>
      </c>
      <c r="BT794" s="129">
        <f>'Consolidated - P&amp;L'!BU240</f>
        <v>0</v>
      </c>
      <c r="BU794" s="129">
        <f>'Consolidated - P&amp;L'!BV240</f>
        <v>0</v>
      </c>
      <c r="BV794" s="129">
        <f>'Consolidated - P&amp;L'!BW240</f>
        <v>0</v>
      </c>
      <c r="BW794" s="129">
        <f>'Consolidated - P&amp;L'!BX240</f>
        <v>0</v>
      </c>
      <c r="BX794" s="129">
        <f>'Consolidated - P&amp;L'!BY240</f>
        <v>54488886</v>
      </c>
      <c r="BY794" s="129">
        <f>'Consolidated - P&amp;L'!BZ240</f>
        <v>85369700</v>
      </c>
      <c r="BZ794" s="129">
        <f>'Consolidated - P&amp;L'!CA240</f>
        <v>108390214</v>
      </c>
      <c r="CA794" s="129">
        <f>'Consolidated - P&amp;L'!CB240</f>
        <v>140385949.29000002</v>
      </c>
      <c r="CB794" s="129">
        <f>'Consolidated - P&amp;L'!CC240</f>
        <v>154130109.29000002</v>
      </c>
      <c r="CC794" s="129">
        <f>'Consolidated - P&amp;L'!CD240</f>
        <v>128492736.48999999</v>
      </c>
      <c r="CD794" s="129">
        <f>'Consolidated - P&amp;L'!CE240</f>
        <v>100047109.39</v>
      </c>
      <c r="CE794" s="129">
        <f>'Consolidated - P&amp;L'!CF240</f>
        <v>91728834</v>
      </c>
      <c r="CF794" s="129">
        <f>'Consolidated - P&amp;L'!CG240</f>
        <v>99399822.079999998</v>
      </c>
      <c r="CG794" s="129">
        <f>'Consolidated - P&amp;L'!CH240</f>
        <v>116002173</v>
      </c>
      <c r="CH794" s="129">
        <f>'Consolidated - P&amp;L'!CI240</f>
        <v>111639639.43000001</v>
      </c>
      <c r="CI794" s="129">
        <f>'Consolidated - P&amp;L'!CJ240</f>
        <v>115427019</v>
      </c>
      <c r="CJ794" s="129">
        <f>'Consolidated - P&amp;L'!CK240</f>
        <v>94339470.42847459</v>
      </c>
      <c r="CK794" s="129">
        <f>'Consolidated - P&amp;L'!CL240</f>
        <v>88372618.430000126</v>
      </c>
      <c r="CL794" s="129">
        <f>'Consolidated - P&amp;L'!CM240</f>
        <v>116700972.85801491</v>
      </c>
      <c r="CM794" s="129">
        <f>'Consolidated - P&amp;L'!CN240</f>
        <v>167113040.43000066</v>
      </c>
      <c r="CN794" s="129">
        <f>'Consolidated - P&amp;L'!CO240</f>
        <v>127513197.42999999</v>
      </c>
      <c r="CO794" s="129">
        <f>'Consolidated - P&amp;L'!CP240</f>
        <v>210281552.44</v>
      </c>
      <c r="CP794" s="129">
        <f>'Consolidated - P&amp;L'!CQ240</f>
        <v>194892160.27000001</v>
      </c>
      <c r="CQ794" s="129">
        <f>'Consolidated - P&amp;L'!CR240</f>
        <v>189463361.84</v>
      </c>
      <c r="CR794" s="129">
        <f>'Consolidated - P&amp;L'!CS240</f>
        <v>205322655.96000001</v>
      </c>
      <c r="CS794" s="129">
        <f>'Consolidated - P&amp;L'!CT240</f>
        <v>281380362.77599794</v>
      </c>
      <c r="CT794" s="129">
        <f>'Consolidated - P&amp;L'!CU240</f>
        <v>193956152.48506516</v>
      </c>
      <c r="CU794" s="129">
        <f>'Consolidated - P&amp;L'!CV240</f>
        <v>224606999.3989383</v>
      </c>
      <c r="CV794" s="129">
        <f>'Consolidated - P&amp;L'!CW240</f>
        <v>207672541.83042595</v>
      </c>
      <c r="CW794" s="129">
        <f>'Consolidated - P&amp;L'!CX240</f>
        <v>178497779.54047048</v>
      </c>
      <c r="CX794" s="129">
        <f>'Consolidated - P&amp;L'!CY240</f>
        <v>160086341.90123811</v>
      </c>
      <c r="CY794" s="129">
        <f>'Consolidated - P&amp;L'!CZ240</f>
        <v>192427035.3581107</v>
      </c>
      <c r="CZ794" s="129">
        <f>'Consolidated - P&amp;L'!DA240</f>
        <v>349373236.4418301</v>
      </c>
      <c r="DA794" s="129">
        <f>'Consolidated - P&amp;L'!DB240</f>
        <v>411457786.72121233</v>
      </c>
      <c r="DB794" s="129">
        <f>'Consolidated - P&amp;L'!DC240</f>
        <v>357616946.36332393</v>
      </c>
      <c r="DC794" s="129">
        <f>'Consolidated - P&amp;L'!DD240</f>
        <v>313802215.58841819</v>
      </c>
      <c r="DD794" s="129">
        <f>'Consolidated - P&amp;L'!DE240</f>
        <v>296501523.67041427</v>
      </c>
      <c r="DE794" s="129">
        <f>'Consolidated - P&amp;L'!DF240</f>
        <v>289899704.03122145</v>
      </c>
      <c r="DF794" s="129">
        <f>'Consolidated - P&amp;L'!DG240</f>
        <v>237017601.2595402</v>
      </c>
      <c r="DG794" s="129">
        <f>'Consolidated - P&amp;L'!DH240</f>
        <v>274752640.4623974</v>
      </c>
      <c r="DH794" s="129">
        <f>'Consolidated - P&amp;L'!DI240</f>
        <v>253471681.54928425</v>
      </c>
      <c r="DI794" s="129">
        <f>'Consolidated - P&amp;L'!DJ240</f>
        <v>217804035.83263695</v>
      </c>
      <c r="DJ794" s="129">
        <f>'Consolidated - P&amp;L'!DK240</f>
        <v>195169048.50957447</v>
      </c>
      <c r="DK794" s="129">
        <f>'Consolidated - P&amp;L'!DL240</f>
        <v>234056790.8414256</v>
      </c>
      <c r="DL794" s="129">
        <f>'Consolidated - P&amp;L'!DM240</f>
        <v>424885871.81888741</v>
      </c>
      <c r="DM794" s="129">
        <f>'Consolidated - P&amp;L'!DN240</f>
        <v>500281300.33773714</v>
      </c>
      <c r="DN794" s="129">
        <f>'Consolidated - P&amp;L'!DO240</f>
        <v>433984847.73175448</v>
      </c>
      <c r="DO794" s="129">
        <f>'Consolidated - P&amp;L'!DP240</f>
        <v>379856173.41582835</v>
      </c>
      <c r="DP794" s="129">
        <f>'Consolidated - P&amp;L'!DQ240</f>
        <v>358570097.73809272</v>
      </c>
      <c r="DQ794" s="129">
        <f>'Consolidated - P&amp;L'!DR240</f>
        <v>348537839.1515131</v>
      </c>
      <c r="DR794" s="129">
        <f>'Consolidated - P&amp;L'!DS240</f>
        <v>0</v>
      </c>
      <c r="DS794" s="129">
        <f>'Consolidated - P&amp;L'!DT240</f>
        <v>0</v>
      </c>
      <c r="DT794" s="129">
        <f>'Consolidated - P&amp;L'!DU240</f>
        <v>0</v>
      </c>
      <c r="DU794" s="129">
        <f>'Consolidated - P&amp;L'!DV240</f>
        <v>0</v>
      </c>
      <c r="DV794" s="129">
        <f>'Consolidated - P&amp;L'!DW240</f>
        <v>0</v>
      </c>
      <c r="DW794" s="129">
        <f>'Consolidated - P&amp;L'!DX240</f>
        <v>0</v>
      </c>
      <c r="DX794" s="129">
        <f>'Consolidated - P&amp;L'!DY240</f>
        <v>0</v>
      </c>
      <c r="DY794" s="129">
        <f>'Consolidated - P&amp;L'!DZ240</f>
        <v>0</v>
      </c>
      <c r="DZ794" s="129">
        <f>'Consolidated - P&amp;L'!EA240</f>
        <v>0</v>
      </c>
      <c r="EA794" s="129">
        <f>'Consolidated - P&amp;L'!EB240</f>
        <v>0</v>
      </c>
      <c r="EB794" s="129">
        <f>'Consolidated - P&amp;L'!EC240</f>
        <v>0</v>
      </c>
      <c r="EC794" s="129">
        <f>'Consolidated - P&amp;L'!ED240</f>
        <v>0</v>
      </c>
      <c r="ED794" s="113" t="s">
        <v>1</v>
      </c>
    </row>
    <row r="795" spans="1:134" hidden="1" x14ac:dyDescent="0.2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  <c r="AF795" s="122"/>
      <c r="AG795" s="122"/>
      <c r="AH795" s="122"/>
      <c r="AI795" s="122"/>
      <c r="AJ795" s="122"/>
      <c r="AK795" s="122"/>
      <c r="AL795" s="122"/>
      <c r="AM795" s="122"/>
      <c r="AN795" s="122"/>
      <c r="AO795" s="122"/>
      <c r="AP795" s="122"/>
      <c r="AQ795" s="122"/>
      <c r="AR795" s="122"/>
      <c r="AS795" s="122"/>
      <c r="AT795" s="122"/>
      <c r="AU795" s="122"/>
      <c r="AV795" s="122"/>
      <c r="AW795" s="122"/>
      <c r="AX795" s="122"/>
      <c r="AY795" s="122"/>
      <c r="AZ795" s="122"/>
      <c r="BA795" s="122"/>
      <c r="BB795" s="122"/>
      <c r="BC795" s="122"/>
      <c r="BD795" s="122"/>
      <c r="BE795" s="122"/>
      <c r="BF795" s="122"/>
      <c r="BG795" s="122"/>
      <c r="BH795" s="122"/>
      <c r="BI795" s="122"/>
      <c r="BJ795" s="122"/>
      <c r="BK795" s="122"/>
      <c r="BL795" s="122"/>
      <c r="BM795" s="122"/>
      <c r="BN795" s="122"/>
      <c r="BO795" s="122"/>
      <c r="BP795" s="122"/>
      <c r="BQ795" s="122"/>
      <c r="BR795" s="122"/>
      <c r="BS795" s="122"/>
      <c r="BT795" s="122"/>
      <c r="BU795" s="122"/>
      <c r="BV795" s="122"/>
      <c r="BW795" s="122"/>
      <c r="BX795" s="122"/>
      <c r="BY795" s="122"/>
      <c r="BZ795" s="122"/>
      <c r="CA795" s="122"/>
      <c r="CB795" s="122"/>
      <c r="CC795" s="122"/>
      <c r="CD795" s="122"/>
      <c r="CE795" s="122"/>
      <c r="CF795" s="122"/>
      <c r="CG795" s="122"/>
      <c r="CH795" s="122"/>
      <c r="CI795" s="122"/>
      <c r="CJ795" s="122"/>
      <c r="CK795" s="122"/>
      <c r="CL795" s="122"/>
      <c r="CM795" s="122"/>
      <c r="CN795" s="122"/>
      <c r="CO795" s="122"/>
      <c r="CP795" s="122"/>
      <c r="CQ795" s="122"/>
      <c r="CR795" s="122"/>
      <c r="CS795" s="122"/>
      <c r="CT795" s="122"/>
      <c r="CU795" s="122"/>
      <c r="CV795" s="122"/>
      <c r="CW795" s="122"/>
      <c r="CX795" s="122"/>
      <c r="CY795" s="122"/>
      <c r="CZ795" s="122"/>
      <c r="DA795" s="122"/>
      <c r="DB795" s="122"/>
      <c r="DC795" s="122"/>
      <c r="DD795" s="122"/>
      <c r="DE795" s="122"/>
      <c r="DF795" s="122"/>
      <c r="DG795" s="122"/>
      <c r="DH795" s="122"/>
      <c r="DI795" s="122"/>
      <c r="DJ795" s="122"/>
      <c r="DK795" s="122"/>
      <c r="DL795" s="122"/>
      <c r="DM795" s="122"/>
      <c r="DN795" s="122"/>
      <c r="DO795" s="122"/>
      <c r="DP795" s="122"/>
      <c r="DQ795" s="122"/>
      <c r="DR795" s="122"/>
      <c r="DS795" s="122"/>
      <c r="DT795" s="122"/>
      <c r="DU795" s="122"/>
      <c r="DV795" s="122"/>
      <c r="DW795" s="122"/>
      <c r="DX795" s="122"/>
      <c r="DY795" s="122"/>
      <c r="DZ795" s="122"/>
      <c r="EA795" s="122"/>
      <c r="EB795" s="122"/>
      <c r="EC795" s="760"/>
      <c r="ED795" s="113" t="s">
        <v>1</v>
      </c>
    </row>
  </sheetData>
  <conditionalFormatting sqref="A3 DL9">
    <cfRule type="expression" dxfId="5" priority="8">
      <formula>_xlfn.ISFORMULA($A$1:$ED$795)</formula>
    </cfRule>
  </conditionalFormatting>
  <conditionalFormatting sqref="A7">
    <cfRule type="expression" dxfId="4" priority="5">
      <formula>_xlfn.ISFORMULA($A$7:$ED$9)</formula>
    </cfRule>
  </conditionalFormatting>
  <conditionalFormatting sqref="A150">
    <cfRule type="expression" dxfId="3" priority="4">
      <formula>_xlfn.ISFORMULA($A$7:$ED$9)</formula>
    </cfRule>
  </conditionalFormatting>
  <conditionalFormatting sqref="A154">
    <cfRule type="expression" dxfId="2" priority="3">
      <formula>_xlfn.ISFORMULA($A$7:$ED$9)</formula>
    </cfRule>
  </conditionalFormatting>
  <conditionalFormatting sqref="A376">
    <cfRule type="expression" dxfId="1" priority="2">
      <formula>_xlfn.ISFORMULA($A$7:$ED$9)</formula>
    </cfRule>
  </conditionalFormatting>
  <conditionalFormatting sqref="A605">
    <cfRule type="expression" dxfId="0" priority="1">
      <formula>_xlfn.ISFORMULA($A$7:$ED$9)</formula>
    </cfRule>
  </conditionalFormatting>
  <pageMargins left="0.7" right="0.7" top="0.75" bottom="0.75" header="0.3" footer="0.3"/>
  <ignoredErrors>
    <ignoredError sqref="CT112:DE112" formulaRange="1"/>
    <ignoredError sqref="CT263:ED268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A423-DC4B-41F5-8409-E6103769B5A4}">
  <sheetPr>
    <tabColor rgb="FF0B3D91"/>
  </sheetPr>
  <dimension ref="B1:P63"/>
  <sheetViews>
    <sheetView showGridLines="0" tabSelected="1" zoomScale="82" zoomScaleNormal="100" workbookViewId="0">
      <selection activeCell="U67" sqref="U67"/>
    </sheetView>
  </sheetViews>
  <sheetFormatPr baseColWidth="10" defaultColWidth="8.83203125" defaultRowHeight="15" x14ac:dyDescent="0.2"/>
  <cols>
    <col min="2" max="2" width="35.83203125" style="778" customWidth="1"/>
    <col min="3" max="7" width="16.83203125" style="764" customWidth="1"/>
    <col min="8" max="8" width="16.83203125" customWidth="1"/>
    <col min="10" max="10" width="26.33203125" hidden="1" customWidth="1"/>
    <col min="11" max="16" width="0" hidden="1" customWidth="1"/>
  </cols>
  <sheetData>
    <row r="1" spans="2:16" x14ac:dyDescent="0.2">
      <c r="C1"/>
      <c r="E1"/>
      <c r="F1"/>
      <c r="G1"/>
    </row>
    <row r="2" spans="2:16" ht="16" x14ac:dyDescent="0.2">
      <c r="B2" s="791" t="s">
        <v>600</v>
      </c>
      <c r="C2"/>
      <c r="D2"/>
      <c r="E2"/>
      <c r="F2"/>
      <c r="G2"/>
      <c r="J2" s="784" t="s">
        <v>602</v>
      </c>
    </row>
    <row r="3" spans="2:16" x14ac:dyDescent="0.2">
      <c r="B3" s="784" t="s">
        <v>574</v>
      </c>
      <c r="C3"/>
      <c r="D3"/>
      <c r="E3"/>
      <c r="F3"/>
      <c r="G3" s="784"/>
      <c r="J3" s="776" t="s">
        <v>513</v>
      </c>
      <c r="K3" s="766" t="s">
        <v>594</v>
      </c>
      <c r="L3" s="766" t="s">
        <v>595</v>
      </c>
      <c r="M3" s="766" t="s">
        <v>577</v>
      </c>
      <c r="N3" s="766" t="s">
        <v>575</v>
      </c>
      <c r="O3" s="766" t="s">
        <v>576</v>
      </c>
      <c r="P3" s="766" t="s">
        <v>586</v>
      </c>
    </row>
    <row r="4" spans="2:16" x14ac:dyDescent="0.2">
      <c r="B4" s="776" t="s">
        <v>513</v>
      </c>
      <c r="C4" s="766" t="s">
        <v>594</v>
      </c>
      <c r="D4" s="766" t="s">
        <v>595</v>
      </c>
      <c r="E4" s="766" t="s">
        <v>577</v>
      </c>
      <c r="F4" s="766" t="s">
        <v>575</v>
      </c>
      <c r="G4" s="766" t="s">
        <v>576</v>
      </c>
      <c r="H4" s="766" t="s">
        <v>586</v>
      </c>
      <c r="J4" s="821" t="s">
        <v>601</v>
      </c>
      <c r="K4" s="767">
        <v>1001.3779065494263</v>
      </c>
      <c r="L4" s="767">
        <v>1158.3451915259025</v>
      </c>
      <c r="M4" s="767">
        <v>1719.1550300027066</v>
      </c>
      <c r="N4" s="767">
        <v>2186.6363792037187</v>
      </c>
      <c r="O4" s="767">
        <v>2658.0116812376837</v>
      </c>
      <c r="P4" s="767">
        <v>3109.117333377902</v>
      </c>
    </row>
    <row r="5" spans="2:16" hidden="1" x14ac:dyDescent="0.2">
      <c r="B5" s="779" t="s">
        <v>314</v>
      </c>
      <c r="C5" s="767">
        <f>('Consolidated - P&amp;L'!FE34)/10000000</f>
        <v>1482.0927631654215</v>
      </c>
      <c r="D5" s="767">
        <f>('Consolidated - P&amp;L'!FF34)/10000000</f>
        <v>1744.9847496504985</v>
      </c>
      <c r="E5" s="767">
        <f>('Consolidated - P&amp;L'!FG34)/10000000</f>
        <v>2441.5956246296396</v>
      </c>
      <c r="F5" s="767">
        <f>('Consolidated - P&amp;L'!FH34)/10000000</f>
        <v>3117.7264865723641</v>
      </c>
      <c r="G5" s="767">
        <f>('Consolidated - P&amp;L'!FI34)/10000000</f>
        <v>3776.2948714304598</v>
      </c>
      <c r="H5" s="767">
        <f>('Consolidated - P&amp;L'!FJ34)/10000000</f>
        <v>4397.3352106596203</v>
      </c>
      <c r="J5" s="779" t="s">
        <v>314</v>
      </c>
      <c r="K5" s="767">
        <f>('Consolidated - P&amp;L'!FM34)/10000000</f>
        <v>0</v>
      </c>
      <c r="L5" s="767">
        <f>('Consolidated - P&amp;L'!FN34)/10000000</f>
        <v>0</v>
      </c>
      <c r="M5" s="767">
        <f>('Consolidated - P&amp;L'!FO34)/10000000</f>
        <v>0</v>
      </c>
      <c r="N5" s="767">
        <f>('Consolidated - P&amp;L'!FP34)/10000000</f>
        <v>0</v>
      </c>
      <c r="O5" s="767">
        <f>('Consolidated - P&amp;L'!FQ34)/10000000</f>
        <v>0</v>
      </c>
      <c r="P5" s="767">
        <f>('Consolidated - P&amp;L'!FR34)/10000000</f>
        <v>0</v>
      </c>
    </row>
    <row r="6" spans="2:16" hidden="1" x14ac:dyDescent="0.2">
      <c r="B6" s="782" t="s">
        <v>304</v>
      </c>
      <c r="C6" s="783">
        <f>('Consolidated - P&amp;L'!FE35)/10000000</f>
        <v>371.80840647004874</v>
      </c>
      <c r="D6" s="783">
        <f>('Consolidated - P&amp;L'!FF35)/10000000</f>
        <v>403.94291079252139</v>
      </c>
      <c r="E6" s="783">
        <f>('Consolidated - P&amp;L'!FG35)/10000000</f>
        <v>608.30256748363706</v>
      </c>
      <c r="F6" s="783">
        <f>('Consolidated - P&amp;L'!FH35)/10000000</f>
        <v>783.16182732033963</v>
      </c>
      <c r="G6" s="783">
        <f>('Consolidated - P&amp;L'!FI35)/10000000</f>
        <v>978.95228415042425</v>
      </c>
      <c r="H6" s="783">
        <f>('Consolidated - P&amp;L'!FJ35)/10000000</f>
        <v>1174.7427409805091</v>
      </c>
      <c r="J6" s="782" t="s">
        <v>304</v>
      </c>
      <c r="K6" s="783">
        <f>('Consolidated - P&amp;L'!FM35)/10000000</f>
        <v>0</v>
      </c>
      <c r="L6" s="783">
        <f>('Consolidated - P&amp;L'!FN35)/10000000</f>
        <v>0</v>
      </c>
      <c r="M6" s="783">
        <f>('Consolidated - P&amp;L'!FO35)/10000000</f>
        <v>0</v>
      </c>
      <c r="N6" s="783">
        <f>('Consolidated - P&amp;L'!FP35)/10000000</f>
        <v>0</v>
      </c>
      <c r="O6" s="783">
        <f>('Consolidated - P&amp;L'!FQ35)/10000000</f>
        <v>0</v>
      </c>
      <c r="P6" s="783">
        <f>('Consolidated - P&amp;L'!FR35)/10000000</f>
        <v>0</v>
      </c>
    </row>
    <row r="7" spans="2:16" hidden="1" x14ac:dyDescent="0.2">
      <c r="B7" s="777" t="s">
        <v>139</v>
      </c>
      <c r="C7" s="781">
        <f>('Consolidated - P&amp;L'!FE36)/10000000</f>
        <v>584.0571143537544</v>
      </c>
      <c r="D7" s="781">
        <f>('Consolidated - P&amp;L'!FF36)/10000000</f>
        <v>700.40679693101572</v>
      </c>
      <c r="E7" s="781">
        <f>('Consolidated - P&amp;L'!FG36)/10000000</f>
        <v>1051.84804114232</v>
      </c>
      <c r="F7" s="781">
        <f>('Consolidated - P&amp;L'!FH36)/10000000</f>
        <v>1333.9690678443408</v>
      </c>
      <c r="G7" s="781">
        <f>('Consolidated - P&amp;L'!FI36)/10000000</f>
        <v>1603.0075213773518</v>
      </c>
      <c r="H7" s="781">
        <f>('Consolidated - P&amp;L'!FJ36)/10000000</f>
        <v>1854.3997276982614</v>
      </c>
      <c r="J7" s="777" t="s">
        <v>139</v>
      </c>
      <c r="K7" s="781">
        <f>('Consolidated - P&amp;L'!FM36)/10000000</f>
        <v>0</v>
      </c>
      <c r="L7" s="781">
        <f>('Consolidated - P&amp;L'!FN36)/10000000</f>
        <v>0</v>
      </c>
      <c r="M7" s="781">
        <f>('Consolidated - P&amp;L'!FO36)/10000000</f>
        <v>0</v>
      </c>
      <c r="N7" s="781">
        <f>('Consolidated - P&amp;L'!FP36)/10000000</f>
        <v>0</v>
      </c>
      <c r="O7" s="781">
        <f>('Consolidated - P&amp;L'!FQ36)/10000000</f>
        <v>0</v>
      </c>
      <c r="P7" s="781">
        <f>('Consolidated - P&amp;L'!FR36)/10000000</f>
        <v>0</v>
      </c>
    </row>
    <row r="8" spans="2:16" hidden="1" x14ac:dyDescent="0.2">
      <c r="B8" s="777" t="s">
        <v>309</v>
      </c>
      <c r="C8" s="781">
        <f>('Consolidated - P&amp;L'!FE37)/10000000</f>
        <v>493.5154076</v>
      </c>
      <c r="D8" s="781">
        <f>('Consolidated - P&amp;L'!FF37)/10000000</f>
        <v>599.40464659999998</v>
      </c>
      <c r="E8" s="781">
        <f>('Consolidated - P&amp;L'!FG37)/10000000</f>
        <v>717.03825240000003</v>
      </c>
      <c r="F8" s="781">
        <f>('Consolidated - P&amp;L'!FH37)/10000000</f>
        <v>923.18674996500033</v>
      </c>
      <c r="G8" s="781">
        <f>('Consolidated - P&amp;L'!FI37)/10000000</f>
        <v>1107.8240999580003</v>
      </c>
      <c r="H8" s="781">
        <f>('Consolidated - P&amp;L'!FJ37)/10000000</f>
        <v>1273.9977149517006</v>
      </c>
      <c r="J8" s="777" t="s">
        <v>309</v>
      </c>
      <c r="K8" s="781">
        <f>('Consolidated - P&amp;L'!FM37)/10000000</f>
        <v>0</v>
      </c>
      <c r="L8" s="781">
        <f>('Consolidated - P&amp;L'!FN37)/10000000</f>
        <v>0</v>
      </c>
      <c r="M8" s="781">
        <f>('Consolidated - P&amp;L'!FO37)/10000000</f>
        <v>0</v>
      </c>
      <c r="N8" s="781">
        <f>('Consolidated - P&amp;L'!FP37)/10000000</f>
        <v>0</v>
      </c>
      <c r="O8" s="781">
        <f>('Consolidated - P&amp;L'!FQ37)/10000000</f>
        <v>0</v>
      </c>
      <c r="P8" s="781">
        <f>('Consolidated - P&amp;L'!FR37)/10000000</f>
        <v>0</v>
      </c>
    </row>
    <row r="9" spans="2:16" hidden="1" x14ac:dyDescent="0.2">
      <c r="B9" s="777" t="s">
        <v>310</v>
      </c>
      <c r="C9" s="781">
        <f>('Consolidated - P&amp;L'!FE38)/10000000</f>
        <v>30.984226421058327</v>
      </c>
      <c r="D9" s="781">
        <f>('Consolidated - P&amp;L'!FF38)/10000000</f>
        <v>38.001385805961824</v>
      </c>
      <c r="E9" s="781">
        <f>('Consolidated - P&amp;L'!FG38)/10000000</f>
        <v>59.804977770142855</v>
      </c>
      <c r="F9" s="781">
        <f>('Consolidated - P&amp;L'!FH38)/10000000</f>
        <v>72.807055609143347</v>
      </c>
      <c r="G9" s="781">
        <f>('Consolidated - P&amp;L'!FI38)/10000000</f>
        <v>81.909180111143201</v>
      </c>
      <c r="H9" s="781">
        <f>('Consolidated - P&amp;L'!FJ38)/10000000</f>
        <v>89.593241195609181</v>
      </c>
      <c r="J9" s="777" t="s">
        <v>310</v>
      </c>
      <c r="K9" s="781">
        <f>('Consolidated - P&amp;L'!FM38)/10000000</f>
        <v>0</v>
      </c>
      <c r="L9" s="781">
        <f>('Consolidated - P&amp;L'!FN38)/10000000</f>
        <v>0</v>
      </c>
      <c r="M9" s="781">
        <f>('Consolidated - P&amp;L'!FO38)/10000000</f>
        <v>0</v>
      </c>
      <c r="N9" s="781">
        <f>('Consolidated - P&amp;L'!FP38)/10000000</f>
        <v>0</v>
      </c>
      <c r="O9" s="781">
        <f>('Consolidated - P&amp;L'!FQ38)/10000000</f>
        <v>0</v>
      </c>
      <c r="P9" s="781">
        <f>('Consolidated - P&amp;L'!FR38)/10000000</f>
        <v>0</v>
      </c>
    </row>
    <row r="10" spans="2:16" hidden="1" x14ac:dyDescent="0.2">
      <c r="B10" s="777" t="s">
        <v>311</v>
      </c>
      <c r="C10" s="781">
        <f>('Consolidated - P&amp;L'!FE39)/10000000</f>
        <v>1.7276083205600001</v>
      </c>
      <c r="D10" s="781">
        <f>('Consolidated - P&amp;L'!FF39)/10000000</f>
        <v>3.229009521</v>
      </c>
      <c r="E10" s="781">
        <f>('Consolidated - P&amp;L'!FG39)/10000000</f>
        <v>4.6017858335400001</v>
      </c>
      <c r="F10" s="781">
        <f>('Consolidated - P&amp;L'!FH39)/10000000</f>
        <v>4.6017858335400001</v>
      </c>
      <c r="G10" s="781">
        <f>('Consolidated - P&amp;L'!FI39)/10000000</f>
        <v>4.6017858335400001</v>
      </c>
      <c r="H10" s="781">
        <f>('Consolidated - P&amp;L'!FJ39)/10000000</f>
        <v>4.6017858335400001</v>
      </c>
      <c r="J10" s="777" t="s">
        <v>311</v>
      </c>
      <c r="K10" s="781">
        <f>('Consolidated - P&amp;L'!FM39)/10000000</f>
        <v>0</v>
      </c>
      <c r="L10" s="781">
        <f>('Consolidated - P&amp;L'!FN39)/10000000</f>
        <v>0</v>
      </c>
      <c r="M10" s="781">
        <f>('Consolidated - P&amp;L'!FO39)/10000000</f>
        <v>0</v>
      </c>
      <c r="N10" s="781">
        <f>('Consolidated - P&amp;L'!FP39)/10000000</f>
        <v>0</v>
      </c>
      <c r="O10" s="781">
        <f>('Consolidated - P&amp;L'!FQ39)/10000000</f>
        <v>0</v>
      </c>
      <c r="P10" s="781">
        <f>('Consolidated - P&amp;L'!FR39)/10000000</f>
        <v>0</v>
      </c>
    </row>
    <row r="11" spans="2:16" hidden="1" x14ac:dyDescent="0.2">
      <c r="H11" s="764"/>
      <c r="J11" s="778"/>
      <c r="K11" s="764"/>
      <c r="L11" s="764"/>
      <c r="M11" s="764"/>
      <c r="N11" s="764"/>
      <c r="O11" s="764"/>
      <c r="P11" s="764"/>
    </row>
    <row r="12" spans="2:16" x14ac:dyDescent="0.2">
      <c r="B12" s="821" t="s">
        <v>13</v>
      </c>
      <c r="C12" s="767">
        <f>('Consolidated - P&amp;L'!FE63)/10000000</f>
        <v>1001.3779065494263</v>
      </c>
      <c r="D12" s="767">
        <f>('Consolidated - P&amp;L'!FF63)/10000000</f>
        <v>1158.3451915259025</v>
      </c>
      <c r="E12" s="767">
        <f>('Consolidated - P&amp;L'!FG63)/10000000</f>
        <v>1719.1550300027066</v>
      </c>
      <c r="F12" s="767">
        <f>('Consolidated - P&amp;L'!FH63)/10000000</f>
        <v>2186.6363792037187</v>
      </c>
      <c r="G12" s="767">
        <f>('Consolidated - P&amp;L'!FI63)/10000000</f>
        <v>2658.0116812376837</v>
      </c>
      <c r="H12" s="767">
        <f>('Consolidated - P&amp;L'!FJ63)/10000000</f>
        <v>3109.117333377902</v>
      </c>
      <c r="J12" s="821" t="s">
        <v>170</v>
      </c>
      <c r="K12" s="824">
        <f>C12/C$12</f>
        <v>1</v>
      </c>
      <c r="L12" s="824">
        <f t="shared" ref="L12:P12" si="0">D12/D$12</f>
        <v>1</v>
      </c>
      <c r="M12" s="824">
        <f t="shared" si="0"/>
        <v>1</v>
      </c>
      <c r="N12" s="824">
        <f t="shared" si="0"/>
        <v>1</v>
      </c>
      <c r="O12" s="824">
        <f t="shared" si="0"/>
        <v>1</v>
      </c>
      <c r="P12" s="824">
        <f t="shared" si="0"/>
        <v>1</v>
      </c>
    </row>
    <row r="13" spans="2:16" x14ac:dyDescent="0.2">
      <c r="B13" s="782" t="s">
        <v>304</v>
      </c>
      <c r="C13" s="783">
        <f>('Consolidated - P&amp;L'!FE64)/10000000</f>
        <v>363.11377514613736</v>
      </c>
      <c r="D13" s="783">
        <f>('Consolidated - P&amp;L'!FF64)/10000000</f>
        <v>393.89293688322118</v>
      </c>
      <c r="E13" s="783">
        <f>('Consolidated - P&amp;L'!FG64)/10000000</f>
        <v>589.27141912724767</v>
      </c>
      <c r="F13" s="783">
        <f>('Consolidated - P&amp;L'!FH64)/10000000</f>
        <v>755.58034845226825</v>
      </c>
      <c r="G13" s="783">
        <f>('Consolidated - P&amp;L'!FI64)/10000000</f>
        <v>944.47543556533503</v>
      </c>
      <c r="H13" s="783">
        <f>('Consolidated - P&amp;L'!FJ64)/10000000</f>
        <v>1133.370522678402</v>
      </c>
      <c r="J13" s="782" t="s">
        <v>304</v>
      </c>
      <c r="K13" s="783">
        <f>('Consolidated - P&amp;L'!FM64)/10000000</f>
        <v>0</v>
      </c>
      <c r="L13" s="783">
        <f>('Consolidated - P&amp;L'!FN64)/10000000</f>
        <v>0</v>
      </c>
      <c r="M13" s="783">
        <f>('Consolidated - P&amp;L'!FO64)/10000000</f>
        <v>0</v>
      </c>
      <c r="N13" s="783">
        <f>('Consolidated - P&amp;L'!FP64)/10000000</f>
        <v>0</v>
      </c>
      <c r="O13" s="783">
        <f>('Consolidated - P&amp;L'!FQ64)/10000000</f>
        <v>0</v>
      </c>
      <c r="P13" s="783">
        <f>('Consolidated - P&amp;L'!FR64)/10000000</f>
        <v>0</v>
      </c>
    </row>
    <row r="14" spans="2:16" x14ac:dyDescent="0.2">
      <c r="B14" s="777" t="s">
        <v>139</v>
      </c>
      <c r="C14" s="781">
        <f>('Consolidated - P&amp;L'!FE65)/10000000</f>
        <v>558.41441881378194</v>
      </c>
      <c r="D14" s="781">
        <f>('Consolidated - P&amp;L'!FF65)/10000000</f>
        <v>665.6980251876289</v>
      </c>
      <c r="E14" s="781">
        <f>('Consolidated - P&amp;L'!FG65)/10000000</f>
        <v>997.76044482754367</v>
      </c>
      <c r="F14" s="781">
        <f>('Consolidated - P&amp;L'!FH65)/10000000</f>
        <v>1267.2722098911875</v>
      </c>
      <c r="G14" s="781">
        <f>('Consolidated - P&amp;L'!FI65)/10000000</f>
        <v>1523.210849214734</v>
      </c>
      <c r="H14" s="781">
        <f>('Consolidated - P&amp;L'!FJ65)/10000000</f>
        <v>1762.0932500316933</v>
      </c>
      <c r="J14" s="777" t="s">
        <v>139</v>
      </c>
      <c r="K14" s="781">
        <f>('Consolidated - P&amp;L'!FM65)/10000000</f>
        <v>0</v>
      </c>
      <c r="L14" s="781">
        <f>('Consolidated - P&amp;L'!FN65)/10000000</f>
        <v>0</v>
      </c>
      <c r="M14" s="781">
        <f>('Consolidated - P&amp;L'!FO65)/10000000</f>
        <v>0</v>
      </c>
      <c r="N14" s="781">
        <f>('Consolidated - P&amp;L'!FP65)/10000000</f>
        <v>0</v>
      </c>
      <c r="O14" s="781">
        <f>('Consolidated - P&amp;L'!FQ65)/10000000</f>
        <v>0</v>
      </c>
      <c r="P14" s="781">
        <f>('Consolidated - P&amp;L'!FR65)/10000000</f>
        <v>0</v>
      </c>
    </row>
    <row r="15" spans="2:16" x14ac:dyDescent="0.2">
      <c r="B15" s="777" t="s">
        <v>309</v>
      </c>
      <c r="C15" s="781">
        <f>('Consolidated - P&amp;L'!FE66)/10000000</f>
        <v>52.097638796610163</v>
      </c>
      <c r="D15" s="781">
        <f>('Consolidated - P&amp;L'!FF66)/10000000</f>
        <v>63.813216466101693</v>
      </c>
      <c r="E15" s="781">
        <f>('Consolidated - P&amp;L'!FG66)/10000000</f>
        <v>81.95412134745763</v>
      </c>
      <c r="F15" s="781">
        <f>('Consolidated - P&amp;L'!FH66)/10000000</f>
        <v>105.51593123485172</v>
      </c>
      <c r="G15" s="781">
        <f>('Consolidated - P&amp;L'!FI66)/10000000</f>
        <v>126.61911748182206</v>
      </c>
      <c r="H15" s="781">
        <f>('Consolidated - P&amp;L'!FJ66)/10000000</f>
        <v>145.61198510409537</v>
      </c>
      <c r="J15" s="777" t="s">
        <v>309</v>
      </c>
      <c r="K15" s="781">
        <f>('Consolidated - P&amp;L'!FM66)/10000000</f>
        <v>0</v>
      </c>
      <c r="L15" s="781">
        <f>('Consolidated - P&amp;L'!FN66)/10000000</f>
        <v>0</v>
      </c>
      <c r="M15" s="781">
        <f>('Consolidated - P&amp;L'!FO66)/10000000</f>
        <v>0</v>
      </c>
      <c r="N15" s="781">
        <f>('Consolidated - P&amp;L'!FP66)/10000000</f>
        <v>0</v>
      </c>
      <c r="O15" s="781">
        <f>('Consolidated - P&amp;L'!FQ66)/10000000</f>
        <v>0</v>
      </c>
      <c r="P15" s="781">
        <f>('Consolidated - P&amp;L'!FR66)/10000000</f>
        <v>0</v>
      </c>
    </row>
    <row r="16" spans="2:16" x14ac:dyDescent="0.2">
      <c r="B16" s="777" t="s">
        <v>310</v>
      </c>
      <c r="C16" s="781">
        <f>('Consolidated - P&amp;L'!FE67)/10000000</f>
        <v>26.257819000896887</v>
      </c>
      <c r="D16" s="781">
        <f>('Consolidated - P&amp;L'!FF67)/10000000</f>
        <v>32.204564242340531</v>
      </c>
      <c r="E16" s="781">
        <f>('Consolidated - P&amp;L'!FG67)/10000000</f>
        <v>46.269226197457627</v>
      </c>
      <c r="F16" s="781">
        <f>('Consolidated - P&amp;L'!FH67)/10000000</f>
        <v>54.368071122411202</v>
      </c>
      <c r="G16" s="781">
        <f>('Consolidated - P&amp;L'!FI67)/10000000</f>
        <v>59.806460472792473</v>
      </c>
      <c r="H16" s="781">
        <f>('Consolidated - P&amp;L'!FJ67)/10000000</f>
        <v>64.141757060711939</v>
      </c>
      <c r="J16" s="777" t="s">
        <v>310</v>
      </c>
      <c r="K16" s="781">
        <f>('Consolidated - P&amp;L'!FM67)/10000000</f>
        <v>0</v>
      </c>
      <c r="L16" s="781">
        <f>('Consolidated - P&amp;L'!FN67)/10000000</f>
        <v>0</v>
      </c>
      <c r="M16" s="781">
        <f>('Consolidated - P&amp;L'!FO67)/10000000</f>
        <v>0</v>
      </c>
      <c r="N16" s="781">
        <f>('Consolidated - P&amp;L'!FP67)/10000000</f>
        <v>0</v>
      </c>
      <c r="O16" s="781">
        <f>('Consolidated - P&amp;L'!FQ67)/10000000</f>
        <v>0</v>
      </c>
      <c r="P16" s="781">
        <f>('Consolidated - P&amp;L'!FR67)/10000000</f>
        <v>0</v>
      </c>
    </row>
    <row r="17" spans="2:16" x14ac:dyDescent="0.2">
      <c r="B17" s="777" t="s">
        <v>311</v>
      </c>
      <c r="C17" s="781">
        <f>('Consolidated - P&amp;L'!FE68)/10000000</f>
        <v>1.494254792</v>
      </c>
      <c r="D17" s="781">
        <f>('Consolidated - P&amp;L'!FF68)/10000000</f>
        <v>2.7364487466101699</v>
      </c>
      <c r="E17" s="781">
        <f>('Consolidated - P&amp;L'!FG68)/10000000</f>
        <v>3.8998185030000001</v>
      </c>
      <c r="F17" s="781">
        <f>('Consolidated - P&amp;L'!FH68)/10000000</f>
        <v>3.8998185030000001</v>
      </c>
      <c r="G17" s="781">
        <f>('Consolidated - P&amp;L'!FI68)/10000000</f>
        <v>3.8998185030000001</v>
      </c>
      <c r="H17" s="781">
        <f>('Consolidated - P&amp;L'!FJ68)/10000000</f>
        <v>3.8998185030000001</v>
      </c>
      <c r="J17" s="777" t="s">
        <v>311</v>
      </c>
      <c r="K17" s="781">
        <f>('Consolidated - P&amp;L'!FM68)/10000000</f>
        <v>0</v>
      </c>
      <c r="L17" s="781">
        <f>('Consolidated - P&amp;L'!FN68)/10000000</f>
        <v>0</v>
      </c>
      <c r="M17" s="781">
        <f>('Consolidated - P&amp;L'!FO68)/10000000</f>
        <v>0</v>
      </c>
      <c r="N17" s="781">
        <f>('Consolidated - P&amp;L'!FP68)/10000000</f>
        <v>0</v>
      </c>
      <c r="O17" s="781">
        <f>('Consolidated - P&amp;L'!FQ68)/10000000</f>
        <v>0</v>
      </c>
      <c r="P17" s="781">
        <f>('Consolidated - P&amp;L'!FR68)/10000000</f>
        <v>0</v>
      </c>
    </row>
    <row r="18" spans="2:16" x14ac:dyDescent="0.2">
      <c r="B18" s="799" t="s">
        <v>596</v>
      </c>
      <c r="C18" s="800"/>
      <c r="D18" s="800">
        <f>D12/C12-1</f>
        <v>0.15675129633862017</v>
      </c>
      <c r="E18" s="800">
        <f t="shared" ref="E18:H18" si="1">E12/D12-1</f>
        <v>0.48414742218426476</v>
      </c>
      <c r="F18" s="800">
        <f t="shared" si="1"/>
        <v>0.27192506844497677</v>
      </c>
      <c r="G18" s="800">
        <f t="shared" si="1"/>
        <v>0.21557095935887616</v>
      </c>
      <c r="H18" s="800">
        <f t="shared" si="1"/>
        <v>0.16971545133697985</v>
      </c>
      <c r="J18" s="799" t="s">
        <v>596</v>
      </c>
      <c r="K18" s="800"/>
      <c r="L18" s="800">
        <f>L12/K12-1</f>
        <v>0</v>
      </c>
      <c r="M18" s="800">
        <f t="shared" ref="M18" si="2">M12/L12-1</f>
        <v>0</v>
      </c>
      <c r="N18" s="800">
        <f t="shared" ref="N18" si="3">N12/M12-1</f>
        <v>0</v>
      </c>
      <c r="O18" s="800">
        <f t="shared" ref="O18" si="4">O12/N12-1</f>
        <v>0</v>
      </c>
      <c r="P18" s="800">
        <f t="shared" ref="P18" si="5">P12/O12-1</f>
        <v>0</v>
      </c>
    </row>
    <row r="19" spans="2:16" x14ac:dyDescent="0.2">
      <c r="B19" s="799"/>
      <c r="C19" s="800"/>
      <c r="D19" s="800"/>
      <c r="E19" s="800"/>
      <c r="F19" s="800"/>
      <c r="G19" s="800"/>
      <c r="H19" s="800"/>
      <c r="J19" s="799"/>
      <c r="K19" s="800"/>
      <c r="L19" s="800"/>
      <c r="M19" s="800"/>
      <c r="N19" s="800"/>
      <c r="O19" s="800"/>
      <c r="P19" s="800"/>
    </row>
    <row r="20" spans="2:16" hidden="1" x14ac:dyDescent="0.2">
      <c r="B20" s="821" t="s">
        <v>171</v>
      </c>
      <c r="C20" s="767">
        <f>'Consolidated - P&amp;L'!FE78</f>
        <v>1400717</v>
      </c>
      <c r="D20" s="767">
        <f>'Consolidated - P&amp;L'!FF78</f>
        <v>1422394</v>
      </c>
      <c r="E20" s="767">
        <f>'Consolidated - P&amp;L'!FG78</f>
        <v>1830710.5909669385</v>
      </c>
      <c r="F20" s="767">
        <f>'Consolidated - P&amp;L'!FH78</f>
        <v>2330266.4644262907</v>
      </c>
      <c r="G20" s="767">
        <f>'Consolidated - P&amp;L'!FI78</f>
        <v>2821043.8576503415</v>
      </c>
      <c r="H20" s="767">
        <f>'Consolidated - P&amp;L'!FJ78</f>
        <v>3291993.6567289555</v>
      </c>
      <c r="J20" s="821" t="s">
        <v>171</v>
      </c>
      <c r="K20" s="767">
        <f>'Consolidated - P&amp;L'!FM78</f>
        <v>0</v>
      </c>
      <c r="L20" s="767">
        <f>'Consolidated - P&amp;L'!FN78</f>
        <v>0</v>
      </c>
      <c r="M20" s="767">
        <f>'Consolidated - P&amp;L'!FO78</f>
        <v>0</v>
      </c>
      <c r="N20" s="767">
        <f>'Consolidated - P&amp;L'!FP78</f>
        <v>0</v>
      </c>
      <c r="O20" s="767">
        <f>'Consolidated - P&amp;L'!FQ78</f>
        <v>0</v>
      </c>
      <c r="P20" s="767">
        <f>'Consolidated - P&amp;L'!FR78</f>
        <v>0</v>
      </c>
    </row>
    <row r="21" spans="2:16" hidden="1" x14ac:dyDescent="0.2">
      <c r="B21" s="782" t="s">
        <v>304</v>
      </c>
      <c r="C21" s="783">
        <f>'Consolidated - P&amp;L'!FE79</f>
        <v>459194</v>
      </c>
      <c r="D21" s="783">
        <f>'Consolidated - P&amp;L'!FF79</f>
        <v>447334</v>
      </c>
      <c r="E21" s="783">
        <f>'Consolidated - P&amp;L'!FG79</f>
        <v>613323.30525265262</v>
      </c>
      <c r="F21" s="783">
        <f>'Consolidated - P&amp;L'!FH79</f>
        <v>815479.92312006839</v>
      </c>
      <c r="G21" s="783">
        <f>'Consolidated - P&amp;L'!FI79</f>
        <v>1019349.9039000855</v>
      </c>
      <c r="H21" s="783">
        <f>'Consolidated - P&amp;L'!FJ79</f>
        <v>1223219.8846801026</v>
      </c>
      <c r="J21" s="782" t="s">
        <v>304</v>
      </c>
      <c r="K21" s="783">
        <f>'Consolidated - P&amp;L'!FM79</f>
        <v>0</v>
      </c>
      <c r="L21" s="783">
        <f>'Consolidated - P&amp;L'!FN79</f>
        <v>0</v>
      </c>
      <c r="M21" s="783">
        <f>'Consolidated - P&amp;L'!FO79</f>
        <v>0</v>
      </c>
      <c r="N21" s="783">
        <f>'Consolidated - P&amp;L'!FP79</f>
        <v>0</v>
      </c>
      <c r="O21" s="783">
        <f>'Consolidated - P&amp;L'!FQ79</f>
        <v>0</v>
      </c>
      <c r="P21" s="783">
        <f>'Consolidated - P&amp;L'!FR79</f>
        <v>0</v>
      </c>
    </row>
    <row r="22" spans="2:16" hidden="1" x14ac:dyDescent="0.2">
      <c r="B22" s="777" t="s">
        <v>139</v>
      </c>
      <c r="C22" s="781">
        <f>'Consolidated - P&amp;L'!FE80</f>
        <v>243372</v>
      </c>
      <c r="D22" s="781">
        <f>'Consolidated - P&amp;L'!FF80</f>
        <v>253977</v>
      </c>
      <c r="E22" s="781">
        <f>'Consolidated - P&amp;L'!FG80</f>
        <v>359093.28571428568</v>
      </c>
      <c r="F22" s="781">
        <f>'Consolidated - P&amp;L'!FH80</f>
        <v>441919.04130622215</v>
      </c>
      <c r="G22" s="781">
        <f>'Consolidated - P&amp;L'!FI80</f>
        <v>514252.95375025604</v>
      </c>
      <c r="H22" s="781">
        <f>'Consolidated - P&amp;L'!FJ80</f>
        <v>588216.62204885285</v>
      </c>
      <c r="J22" s="777" t="s">
        <v>139</v>
      </c>
      <c r="K22" s="781">
        <f>'Consolidated - P&amp;L'!FM80</f>
        <v>0</v>
      </c>
      <c r="L22" s="781">
        <f>'Consolidated - P&amp;L'!FN80</f>
        <v>0</v>
      </c>
      <c r="M22" s="781">
        <f>'Consolidated - P&amp;L'!FO80</f>
        <v>0</v>
      </c>
      <c r="N22" s="781">
        <f>'Consolidated - P&amp;L'!FP80</f>
        <v>0</v>
      </c>
      <c r="O22" s="781">
        <f>'Consolidated - P&amp;L'!FQ80</f>
        <v>0</v>
      </c>
      <c r="P22" s="781">
        <f>'Consolidated - P&amp;L'!FR80</f>
        <v>0</v>
      </c>
    </row>
    <row r="23" spans="2:16" hidden="1" x14ac:dyDescent="0.2">
      <c r="B23" s="777" t="s">
        <v>309</v>
      </c>
      <c r="C23" s="781">
        <f>'Consolidated - P&amp;L'!FE81</f>
        <v>698151</v>
      </c>
      <c r="D23" s="781">
        <f>'Consolidated - P&amp;L'!FF81</f>
        <v>721083</v>
      </c>
      <c r="E23" s="781">
        <f>'Consolidated - P&amp;L'!FG81</f>
        <v>858294</v>
      </c>
      <c r="F23" s="781">
        <f>'Consolidated - P&amp;L'!FH81</f>
        <v>1072867.5</v>
      </c>
      <c r="G23" s="781">
        <f>'Consolidated - P&amp;L'!FI81</f>
        <v>1287441</v>
      </c>
      <c r="H23" s="781">
        <f>'Consolidated - P&amp;L'!FJ81</f>
        <v>1480557.15</v>
      </c>
      <c r="J23" s="777" t="s">
        <v>309</v>
      </c>
      <c r="K23" s="781">
        <f>'Consolidated - P&amp;L'!FM81</f>
        <v>0</v>
      </c>
      <c r="L23" s="781">
        <f>'Consolidated - P&amp;L'!FN81</f>
        <v>0</v>
      </c>
      <c r="M23" s="781">
        <f>'Consolidated - P&amp;L'!FO81</f>
        <v>0</v>
      </c>
      <c r="N23" s="781">
        <f>'Consolidated - P&amp;L'!FP81</f>
        <v>0</v>
      </c>
      <c r="O23" s="781">
        <f>'Consolidated - P&amp;L'!FQ81</f>
        <v>0</v>
      </c>
      <c r="P23" s="781">
        <f>'Consolidated - P&amp;L'!FR81</f>
        <v>0</v>
      </c>
    </row>
    <row r="24" spans="2:16" hidden="1" x14ac:dyDescent="0.2">
      <c r="H24" s="764"/>
      <c r="J24" s="778"/>
      <c r="K24" s="764"/>
      <c r="L24" s="764"/>
      <c r="M24" s="764"/>
      <c r="N24" s="764"/>
      <c r="O24" s="764"/>
      <c r="P24" s="764"/>
    </row>
    <row r="25" spans="2:16" hidden="1" x14ac:dyDescent="0.2">
      <c r="B25" s="779" t="s">
        <v>28</v>
      </c>
      <c r="C25" s="767">
        <f>('Consolidated - P&amp;L'!FE101)/10000000</f>
        <v>174.53873340908183</v>
      </c>
      <c r="D25" s="767">
        <f>('Consolidated - P&amp;L'!FF101)/10000000</f>
        <v>242.71886261674632</v>
      </c>
      <c r="E25" s="767">
        <f>('Consolidated - P&amp;L'!FG101)/10000000</f>
        <v>345.3287786354046</v>
      </c>
      <c r="F25" s="767">
        <f>('Consolidated - P&amp;L'!FH101)/10000000</f>
        <v>431.70877868569124</v>
      </c>
      <c r="G25" s="767">
        <f>('Consolidated - P&amp;L'!FI101)/10000000</f>
        <v>524.96995576130246</v>
      </c>
      <c r="H25" s="767">
        <f>('Consolidated - P&amp;L'!FJ101)/10000000</f>
        <v>612.95692441015831</v>
      </c>
      <c r="J25" s="779" t="s">
        <v>28</v>
      </c>
      <c r="K25" s="824">
        <f>C25/C$12</f>
        <v>0.17429856627305856</v>
      </c>
      <c r="L25" s="824">
        <f t="shared" ref="L25" si="6">D25/D$12</f>
        <v>0.20953931901509407</v>
      </c>
      <c r="M25" s="824">
        <f t="shared" ref="M25" si="7">E25/E$12</f>
        <v>0.20087122604344818</v>
      </c>
      <c r="N25" s="824">
        <f t="shared" ref="N25" si="8">F25/F$12</f>
        <v>0.19743052973576772</v>
      </c>
      <c r="O25" s="824">
        <f t="shared" ref="O25" si="9">G25/G$12</f>
        <v>0.19750475871379694</v>
      </c>
      <c r="P25" s="824">
        <f t="shared" ref="P25" si="10">H25/H$12</f>
        <v>0.19714821239770033</v>
      </c>
    </row>
    <row r="26" spans="2:16" hidden="1" x14ac:dyDescent="0.2">
      <c r="B26" s="782" t="s">
        <v>304</v>
      </c>
      <c r="C26" s="783">
        <f>('Consolidated - P&amp;L'!FE102)/10000000</f>
        <v>14.125598299049161</v>
      </c>
      <c r="D26" s="783">
        <f>('Consolidated - P&amp;L'!FF102)/10000000</f>
        <v>27.054408476710986</v>
      </c>
      <c r="E26" s="783">
        <f>('Consolidated - P&amp;L'!FG102)/10000000</f>
        <v>44.508853343282041</v>
      </c>
      <c r="F26" s="783">
        <f>('Consolidated - P&amp;L'!FH102)/10000000</f>
        <v>55.450023984325398</v>
      </c>
      <c r="G26" s="783">
        <f>('Consolidated - P&amp;L'!FI102)/10000000</f>
        <v>77.616632468329286</v>
      </c>
      <c r="H26" s="783">
        <f>('Consolidated - P&amp;L'!FJ102)/10000000</f>
        <v>103.005232717647</v>
      </c>
      <c r="J26" s="782" t="s">
        <v>304</v>
      </c>
      <c r="K26" s="783">
        <f>('Consolidated - P&amp;L'!FM102)/10000000</f>
        <v>0</v>
      </c>
      <c r="L26" s="783">
        <f>('Consolidated - P&amp;L'!FN102)/10000000</f>
        <v>0</v>
      </c>
      <c r="M26" s="783">
        <f>('Consolidated - P&amp;L'!FO102)/10000000</f>
        <v>0</v>
      </c>
      <c r="N26" s="783">
        <f>('Consolidated - P&amp;L'!FP102)/10000000</f>
        <v>0</v>
      </c>
      <c r="O26" s="783">
        <f>('Consolidated - P&amp;L'!FQ102)/10000000</f>
        <v>0</v>
      </c>
      <c r="P26" s="783">
        <f>('Consolidated - P&amp;L'!FR102)/10000000</f>
        <v>0</v>
      </c>
    </row>
    <row r="27" spans="2:16" hidden="1" x14ac:dyDescent="0.2">
      <c r="B27" s="777" t="s">
        <v>139</v>
      </c>
      <c r="C27" s="781">
        <f>('Consolidated - P&amp;L'!FE103)/10000000</f>
        <v>99.369447177311869</v>
      </c>
      <c r="D27" s="781">
        <f>('Consolidated - P&amp;L'!FF103)/10000000</f>
        <v>139.47380931552939</v>
      </c>
      <c r="E27" s="781">
        <f>('Consolidated - P&amp;L'!FG103)/10000000</f>
        <v>201.88745106159232</v>
      </c>
      <c r="F27" s="781">
        <f>('Consolidated - P&amp;L'!FH103)/10000000</f>
        <v>253.44829980796632</v>
      </c>
      <c r="G27" s="781">
        <f>('Consolidated - P&amp;L'!FI103)/10000000</f>
        <v>302.87904367279066</v>
      </c>
      <c r="H27" s="781">
        <f>('Consolidated - P&amp;L'!FJ103)/10000000</f>
        <v>346.03004437098491</v>
      </c>
      <c r="J27" s="777" t="s">
        <v>139</v>
      </c>
      <c r="K27" s="781">
        <f>('Consolidated - P&amp;L'!FM103)/10000000</f>
        <v>0</v>
      </c>
      <c r="L27" s="781">
        <f>('Consolidated - P&amp;L'!FN103)/10000000</f>
        <v>0</v>
      </c>
      <c r="M27" s="781">
        <f>('Consolidated - P&amp;L'!FO103)/10000000</f>
        <v>0</v>
      </c>
      <c r="N27" s="781">
        <f>('Consolidated - P&amp;L'!FP103)/10000000</f>
        <v>0</v>
      </c>
      <c r="O27" s="781">
        <f>('Consolidated - P&amp;L'!FQ103)/10000000</f>
        <v>0</v>
      </c>
      <c r="P27" s="781">
        <f>('Consolidated - P&amp;L'!FR103)/10000000</f>
        <v>0</v>
      </c>
    </row>
    <row r="28" spans="2:16" hidden="1" x14ac:dyDescent="0.2">
      <c r="B28" s="777" t="s">
        <v>309</v>
      </c>
      <c r="C28" s="781">
        <f>('Consolidated - P&amp;L'!FE104)/10000000</f>
        <v>52.097638796610163</v>
      </c>
      <c r="D28" s="781">
        <f>('Consolidated - P&amp;L'!FF104)/10000000</f>
        <v>63.813216466101693</v>
      </c>
      <c r="E28" s="781">
        <f>('Consolidated - P&amp;L'!FG104)/10000000</f>
        <v>81.95412134745763</v>
      </c>
      <c r="F28" s="781">
        <f>('Consolidated - P&amp;L'!FH104)/10000000</f>
        <v>105.51593123485172</v>
      </c>
      <c r="G28" s="781">
        <f>('Consolidated - P&amp;L'!FI104)/10000000</f>
        <v>126.61911748182206</v>
      </c>
      <c r="H28" s="781">
        <f>('Consolidated - P&amp;L'!FJ104)/10000000</f>
        <v>145.61198510409537</v>
      </c>
      <c r="J28" s="777" t="s">
        <v>309</v>
      </c>
      <c r="K28" s="781">
        <f>('Consolidated - P&amp;L'!FM104)/10000000</f>
        <v>0</v>
      </c>
      <c r="L28" s="781">
        <f>('Consolidated - P&amp;L'!FN104)/10000000</f>
        <v>0</v>
      </c>
      <c r="M28" s="781">
        <f>('Consolidated - P&amp;L'!FO104)/10000000</f>
        <v>0</v>
      </c>
      <c r="N28" s="781">
        <f>('Consolidated - P&amp;L'!FP104)/10000000</f>
        <v>0</v>
      </c>
      <c r="O28" s="781">
        <f>('Consolidated - P&amp;L'!FQ104)/10000000</f>
        <v>0</v>
      </c>
      <c r="P28" s="781">
        <f>('Consolidated - P&amp;L'!FR104)/10000000</f>
        <v>0</v>
      </c>
    </row>
    <row r="29" spans="2:16" hidden="1" x14ac:dyDescent="0.2">
      <c r="B29" s="777" t="s">
        <v>310</v>
      </c>
      <c r="C29" s="781">
        <f>('Consolidated - P&amp;L'!FE105)/10000000</f>
        <v>7.4517943441106143</v>
      </c>
      <c r="D29" s="781">
        <f>('Consolidated - P&amp;L'!FF105)/10000000</f>
        <v>9.6409796117940871</v>
      </c>
      <c r="E29" s="781">
        <f>('Consolidated - P&amp;L'!FG105)/10000000</f>
        <v>13.078534380072572</v>
      </c>
      <c r="F29" s="781">
        <f>('Consolidated - P&amp;L'!FH105)/10000000</f>
        <v>13.394705155547873</v>
      </c>
      <c r="G29" s="781">
        <f>('Consolidated - P&amp;L'!FI105)/10000000</f>
        <v>13.955343635360427</v>
      </c>
      <c r="H29" s="781">
        <f>('Consolidated - P&amp;L'!FJ105)/10000000</f>
        <v>14.409843714431014</v>
      </c>
      <c r="J29" s="777" t="s">
        <v>310</v>
      </c>
      <c r="K29" s="781">
        <f>('Consolidated - P&amp;L'!FM105)/10000000</f>
        <v>0</v>
      </c>
      <c r="L29" s="781">
        <f>('Consolidated - P&amp;L'!FN105)/10000000</f>
        <v>0</v>
      </c>
      <c r="M29" s="781">
        <f>('Consolidated - P&amp;L'!FO105)/10000000</f>
        <v>0</v>
      </c>
      <c r="N29" s="781">
        <f>('Consolidated - P&amp;L'!FP105)/10000000</f>
        <v>0</v>
      </c>
      <c r="O29" s="781">
        <f>('Consolidated - P&amp;L'!FQ105)/10000000</f>
        <v>0</v>
      </c>
      <c r="P29" s="781">
        <f>('Consolidated - P&amp;L'!FR105)/10000000</f>
        <v>0</v>
      </c>
    </row>
    <row r="30" spans="2:16" hidden="1" x14ac:dyDescent="0.2">
      <c r="B30" s="777" t="s">
        <v>311</v>
      </c>
      <c r="C30" s="781">
        <f>('Consolidated - P&amp;L'!FE106)/10000000</f>
        <v>1.494254792</v>
      </c>
      <c r="D30" s="781">
        <f>('Consolidated - P&amp;L'!FF106)/10000000</f>
        <v>2.7364487466101699</v>
      </c>
      <c r="E30" s="781">
        <f>('Consolidated - P&amp;L'!FG106)/10000000</f>
        <v>3.8998185030000001</v>
      </c>
      <c r="F30" s="781">
        <f>('Consolidated - P&amp;L'!FH106)/10000000</f>
        <v>3.8998185030000001</v>
      </c>
      <c r="G30" s="781">
        <f>('Consolidated - P&amp;L'!FI106)/10000000</f>
        <v>3.8998185030000001</v>
      </c>
      <c r="H30" s="781">
        <f>('Consolidated - P&amp;L'!FJ106)/10000000</f>
        <v>3.8998185030000001</v>
      </c>
      <c r="J30" s="777" t="s">
        <v>311</v>
      </c>
      <c r="K30" s="781">
        <f>('Consolidated - P&amp;L'!FM106)/10000000</f>
        <v>0</v>
      </c>
      <c r="L30" s="781">
        <f>('Consolidated - P&amp;L'!FN106)/10000000</f>
        <v>0</v>
      </c>
      <c r="M30" s="781">
        <f>('Consolidated - P&amp;L'!FO106)/10000000</f>
        <v>0</v>
      </c>
      <c r="N30" s="781">
        <f>('Consolidated - P&amp;L'!FP106)/10000000</f>
        <v>0</v>
      </c>
      <c r="O30" s="781">
        <f>('Consolidated - P&amp;L'!FQ106)/10000000</f>
        <v>0</v>
      </c>
      <c r="P30" s="781">
        <f>('Consolidated - P&amp;L'!FR106)/10000000</f>
        <v>0</v>
      </c>
    </row>
    <row r="31" spans="2:16" hidden="1" x14ac:dyDescent="0.2">
      <c r="B31" s="792" t="s">
        <v>29</v>
      </c>
      <c r="C31" s="793">
        <f>'Consolidated - P&amp;L'!FE107</f>
        <v>0.17429856627305859</v>
      </c>
      <c r="D31" s="793">
        <f>'Consolidated - P&amp;L'!FF107</f>
        <v>0.20953931901509407</v>
      </c>
      <c r="E31" s="793">
        <f>'Consolidated - P&amp;L'!FG107</f>
        <v>0.20087122604344818</v>
      </c>
      <c r="F31" s="793">
        <f>'Consolidated - P&amp;L'!FH107</f>
        <v>0.19743052973576775</v>
      </c>
      <c r="G31" s="793">
        <f>'Consolidated - P&amp;L'!FI107</f>
        <v>0.19750475871379694</v>
      </c>
      <c r="H31" s="793">
        <f>'Consolidated - P&amp;L'!FJ107</f>
        <v>0.19714821239770033</v>
      </c>
      <c r="J31" s="792" t="s">
        <v>29</v>
      </c>
      <c r="K31" s="793">
        <f>'Consolidated - P&amp;L'!FM107</f>
        <v>0</v>
      </c>
      <c r="L31" s="793">
        <f>'Consolidated - P&amp;L'!FN107</f>
        <v>0</v>
      </c>
      <c r="M31" s="793">
        <f>'Consolidated - P&amp;L'!FO107</f>
        <v>0</v>
      </c>
      <c r="N31" s="793">
        <f>'Consolidated - P&amp;L'!FP107</f>
        <v>0</v>
      </c>
      <c r="O31" s="793">
        <f>'Consolidated - P&amp;L'!FQ107</f>
        <v>0</v>
      </c>
      <c r="P31" s="793">
        <f>'Consolidated - P&amp;L'!FR107</f>
        <v>0</v>
      </c>
    </row>
    <row r="32" spans="2:16" hidden="1" x14ac:dyDescent="0.2">
      <c r="B32" s="792" t="s">
        <v>319</v>
      </c>
      <c r="C32" s="793">
        <f>'Consolidated - P&amp;L'!FE108</f>
        <v>0.12898308199571071</v>
      </c>
      <c r="D32" s="793">
        <f>'Consolidated - P&amp;L'!FF108</f>
        <v>0.1634540152569503</v>
      </c>
      <c r="E32" s="793">
        <f>'Consolidated - P&amp;L'!FG108</f>
        <v>0.16086886825898208</v>
      </c>
      <c r="F32" s="793">
        <f>'Consolidated - P&amp;L'!FH108</f>
        <v>0.15673905264310742</v>
      </c>
      <c r="G32" s="793">
        <f>'Consolidated - P&amp;L'!FI108</f>
        <v>0.1573643076870076</v>
      </c>
      <c r="H32" s="793">
        <f>'Consolidated - P&amp;L'!FJ108</f>
        <v>0.15770004922659706</v>
      </c>
      <c r="J32" s="792" t="s">
        <v>319</v>
      </c>
      <c r="K32" s="793">
        <f>'Consolidated - P&amp;L'!FM108</f>
        <v>0</v>
      </c>
      <c r="L32" s="793">
        <f>'Consolidated - P&amp;L'!FN108</f>
        <v>0</v>
      </c>
      <c r="M32" s="793">
        <f>'Consolidated - P&amp;L'!FO108</f>
        <v>0</v>
      </c>
      <c r="N32" s="793">
        <f>'Consolidated - P&amp;L'!FP108</f>
        <v>0</v>
      </c>
      <c r="O32" s="793">
        <f>'Consolidated - P&amp;L'!FQ108</f>
        <v>0</v>
      </c>
      <c r="P32" s="793">
        <f>'Consolidated - P&amp;L'!FR108</f>
        <v>0</v>
      </c>
    </row>
    <row r="33" spans="2:16" hidden="1" x14ac:dyDescent="0.2">
      <c r="H33" s="764"/>
      <c r="J33" s="778"/>
      <c r="K33" s="764"/>
      <c r="L33" s="764"/>
      <c r="M33" s="764"/>
      <c r="N33" s="764"/>
      <c r="O33" s="764"/>
      <c r="P33" s="764"/>
    </row>
    <row r="34" spans="2:16" x14ac:dyDescent="0.2">
      <c r="B34" s="779" t="s">
        <v>30</v>
      </c>
      <c r="C34" s="767">
        <f>('Consolidated - P&amp;L'!FE110)/10000000</f>
        <v>161.61025389914752</v>
      </c>
      <c r="D34" s="767">
        <f>('Consolidated - P&amp;L'!FF110)/10000000</f>
        <v>226.9398105251357</v>
      </c>
      <c r="E34" s="767">
        <f>('Consolidated - P&amp;L'!FG110)/10000000</f>
        <v>319.86177523421173</v>
      </c>
      <c r="F34" s="767">
        <f>('Consolidated - P&amp;L'!FH110)/10000000</f>
        <v>403.55686635414173</v>
      </c>
      <c r="G34" s="767">
        <f>('Consolidated - P&amp;L'!FI110)/10000000</f>
        <v>491.07038677094977</v>
      </c>
      <c r="H34" s="767">
        <f>('Consolidated - P&amp;L'!FJ110)/10000000</f>
        <v>573.2933475994231</v>
      </c>
      <c r="J34" s="779" t="s">
        <v>30</v>
      </c>
      <c r="K34" s="824">
        <f>C34/C$12</f>
        <v>0.1613878764871379</v>
      </c>
      <c r="L34" s="824">
        <f t="shared" ref="L34" si="11">D34/D$12</f>
        <v>0.19591725522353581</v>
      </c>
      <c r="M34" s="824">
        <f t="shared" ref="M34" si="12">E34/E$12</f>
        <v>0.18605755132724019</v>
      </c>
      <c r="N34" s="824">
        <f t="shared" ref="N34" si="13">F34/F$12</f>
        <v>0.18455600125938645</v>
      </c>
      <c r="O34" s="824">
        <f t="shared" ref="O34" si="14">G34/G$12</f>
        <v>0.18475102658024681</v>
      </c>
      <c r="P34" s="824">
        <f t="shared" ref="P34" si="15">H34/H$12</f>
        <v>0.18439103003442081</v>
      </c>
    </row>
    <row r="35" spans="2:16" x14ac:dyDescent="0.2">
      <c r="B35" s="782" t="s">
        <v>304</v>
      </c>
      <c r="C35" s="783">
        <f>('Consolidated - P&amp;L'!FE111)/10000000</f>
        <v>14.125598299049161</v>
      </c>
      <c r="D35" s="783">
        <f>('Consolidated - P&amp;L'!FF111)/10000000</f>
        <v>25.048841480624141</v>
      </c>
      <c r="E35" s="783">
        <f>('Consolidated - P&amp;L'!FG111)/10000000</f>
        <v>40.444667438975429</v>
      </c>
      <c r="F35" s="783">
        <f>('Consolidated - P&amp;L'!FH111)/10000000</f>
        <v>50.238810777516754</v>
      </c>
      <c r="G35" s="783">
        <f>('Consolidated - P&amp;L'!FI111)/10000000</f>
        <v>71.102615959818465</v>
      </c>
      <c r="H35" s="783">
        <f>('Consolidated - P&amp;L'!FJ111)/10000000</f>
        <v>95.188412907434028</v>
      </c>
      <c r="J35" s="782" t="s">
        <v>304</v>
      </c>
      <c r="K35" s="783">
        <f>('Consolidated - P&amp;L'!FM111)/10000000</f>
        <v>0</v>
      </c>
      <c r="L35" s="783">
        <f>('Consolidated - P&amp;L'!FN111)/10000000</f>
        <v>0</v>
      </c>
      <c r="M35" s="783">
        <f>('Consolidated - P&amp;L'!FO111)/10000000</f>
        <v>0</v>
      </c>
      <c r="N35" s="783">
        <f>('Consolidated - P&amp;L'!FP111)/10000000</f>
        <v>0</v>
      </c>
      <c r="O35" s="783">
        <f>('Consolidated - P&amp;L'!FQ111)/10000000</f>
        <v>0</v>
      </c>
      <c r="P35" s="783">
        <f>('Consolidated - P&amp;L'!FR111)/10000000</f>
        <v>0</v>
      </c>
    </row>
    <row r="36" spans="2:16" x14ac:dyDescent="0.2">
      <c r="B36" s="777" t="s">
        <v>139</v>
      </c>
      <c r="C36" s="781">
        <f>('Consolidated - P&amp;L'!FE112)/10000000</f>
        <v>86.440967667377592</v>
      </c>
      <c r="D36" s="781">
        <f>('Consolidated - P&amp;L'!FF112)/10000000</f>
        <v>125.70032422000563</v>
      </c>
      <c r="E36" s="781">
        <f>('Consolidated - P&amp;L'!FG112)/10000000</f>
        <v>180.48463356470614</v>
      </c>
      <c r="F36" s="781">
        <f>('Consolidated - P&amp;L'!FH112)/10000000</f>
        <v>230.50760068322535</v>
      </c>
      <c r="G36" s="781">
        <f>('Consolidated - P&amp;L'!FI112)/10000000</f>
        <v>275.49349119094887</v>
      </c>
      <c r="H36" s="781">
        <f>('Consolidated - P&amp;L'!FJ112)/10000000</f>
        <v>314.18328737046272</v>
      </c>
      <c r="J36" s="777" t="s">
        <v>139</v>
      </c>
      <c r="K36" s="781">
        <f>('Consolidated - P&amp;L'!FM112)/10000000</f>
        <v>0</v>
      </c>
      <c r="L36" s="781">
        <f>('Consolidated - P&amp;L'!FN112)/10000000</f>
        <v>0</v>
      </c>
      <c r="M36" s="781">
        <f>('Consolidated - P&amp;L'!FO112)/10000000</f>
        <v>0</v>
      </c>
      <c r="N36" s="781">
        <f>('Consolidated - P&amp;L'!FP112)/10000000</f>
        <v>0</v>
      </c>
      <c r="O36" s="781">
        <f>('Consolidated - P&amp;L'!FQ112)/10000000</f>
        <v>0</v>
      </c>
      <c r="P36" s="781">
        <f>('Consolidated - P&amp;L'!FR112)/10000000</f>
        <v>0</v>
      </c>
    </row>
    <row r="37" spans="2:16" x14ac:dyDescent="0.2">
      <c r="B37" s="777" t="s">
        <v>309</v>
      </c>
      <c r="C37" s="781">
        <f>('Consolidated - P&amp;L'!FE113)/10000000</f>
        <v>52.097638796610163</v>
      </c>
      <c r="D37" s="781">
        <f>('Consolidated - P&amp;L'!FF113)/10000000</f>
        <v>63.813216466101693</v>
      </c>
      <c r="E37" s="781">
        <f>('Consolidated - P&amp;L'!FG113)/10000000</f>
        <v>81.95412134745763</v>
      </c>
      <c r="F37" s="781">
        <f>('Consolidated - P&amp;L'!FH113)/10000000</f>
        <v>105.51593123485172</v>
      </c>
      <c r="G37" s="781">
        <f>('Consolidated - P&amp;L'!FI113)/10000000</f>
        <v>126.61911748182206</v>
      </c>
      <c r="H37" s="781">
        <f>('Consolidated - P&amp;L'!FJ113)/10000000</f>
        <v>145.61198510409537</v>
      </c>
      <c r="J37" s="777" t="s">
        <v>309</v>
      </c>
      <c r="K37" s="781">
        <f>('Consolidated - P&amp;L'!FM113)/10000000</f>
        <v>0</v>
      </c>
      <c r="L37" s="781">
        <f>('Consolidated - P&amp;L'!FN113)/10000000</f>
        <v>0</v>
      </c>
      <c r="M37" s="781">
        <f>('Consolidated - P&amp;L'!FO113)/10000000</f>
        <v>0</v>
      </c>
      <c r="N37" s="781">
        <f>('Consolidated - P&amp;L'!FP113)/10000000</f>
        <v>0</v>
      </c>
      <c r="O37" s="781">
        <f>('Consolidated - P&amp;L'!FQ113)/10000000</f>
        <v>0</v>
      </c>
      <c r="P37" s="781">
        <f>('Consolidated - P&amp;L'!FR113)/10000000</f>
        <v>0</v>
      </c>
    </row>
    <row r="38" spans="2:16" x14ac:dyDescent="0.2">
      <c r="B38" s="777" t="s">
        <v>310</v>
      </c>
      <c r="C38" s="781">
        <f>('Consolidated - P&amp;L'!FE114)/10000000</f>
        <v>7.4517943441106143</v>
      </c>
      <c r="D38" s="781">
        <f>('Consolidated - P&amp;L'!FF114)/10000000</f>
        <v>9.6409796117940871</v>
      </c>
      <c r="E38" s="781">
        <f>('Consolidated - P&amp;L'!FG114)/10000000</f>
        <v>13.078534380072572</v>
      </c>
      <c r="F38" s="781">
        <f>('Consolidated - P&amp;L'!FH114)/10000000</f>
        <v>13.394705155547873</v>
      </c>
      <c r="G38" s="781">
        <f>('Consolidated - P&amp;L'!FI114)/10000000</f>
        <v>13.955343635360427</v>
      </c>
      <c r="H38" s="781">
        <f>('Consolidated - P&amp;L'!FJ114)/10000000</f>
        <v>14.409843714431014</v>
      </c>
      <c r="J38" s="777" t="s">
        <v>310</v>
      </c>
      <c r="K38" s="781">
        <f>('Consolidated - P&amp;L'!FM114)/10000000</f>
        <v>0</v>
      </c>
      <c r="L38" s="781">
        <f>('Consolidated - P&amp;L'!FN114)/10000000</f>
        <v>0</v>
      </c>
      <c r="M38" s="781">
        <f>('Consolidated - P&amp;L'!FO114)/10000000</f>
        <v>0</v>
      </c>
      <c r="N38" s="781">
        <f>('Consolidated - P&amp;L'!FP114)/10000000</f>
        <v>0</v>
      </c>
      <c r="O38" s="781">
        <f>('Consolidated - P&amp;L'!FQ114)/10000000</f>
        <v>0</v>
      </c>
      <c r="P38" s="781">
        <f>('Consolidated - P&amp;L'!FR114)/10000000</f>
        <v>0</v>
      </c>
    </row>
    <row r="39" spans="2:16" x14ac:dyDescent="0.2">
      <c r="B39" s="777" t="s">
        <v>311</v>
      </c>
      <c r="C39" s="781">
        <f>('Consolidated - P&amp;L'!FE115)/10000000</f>
        <v>1.494254792</v>
      </c>
      <c r="D39" s="781">
        <f>('Consolidated - P&amp;L'!FF115)/10000000</f>
        <v>2.7364487466101699</v>
      </c>
      <c r="E39" s="781">
        <f>('Consolidated - P&amp;L'!FG115)/10000000</f>
        <v>3.8998185030000001</v>
      </c>
      <c r="F39" s="781">
        <f>('Consolidated - P&amp;L'!FH115)/10000000</f>
        <v>3.8998185030000001</v>
      </c>
      <c r="G39" s="781">
        <f>('Consolidated - P&amp;L'!FI115)/10000000</f>
        <v>3.8998185030000001</v>
      </c>
      <c r="H39" s="781">
        <f>('Consolidated - P&amp;L'!FJ115)/10000000</f>
        <v>3.8998185030000001</v>
      </c>
      <c r="J39" s="777" t="s">
        <v>311</v>
      </c>
      <c r="K39" s="781">
        <f>('Consolidated - P&amp;L'!FM115)/10000000</f>
        <v>0</v>
      </c>
      <c r="L39" s="781">
        <f>('Consolidated - P&amp;L'!FN115)/10000000</f>
        <v>0</v>
      </c>
      <c r="M39" s="781">
        <f>('Consolidated - P&amp;L'!FO115)/10000000</f>
        <v>0</v>
      </c>
      <c r="N39" s="781">
        <f>('Consolidated - P&amp;L'!FP115)/10000000</f>
        <v>0</v>
      </c>
      <c r="O39" s="781">
        <f>('Consolidated - P&amp;L'!FQ115)/10000000</f>
        <v>0</v>
      </c>
      <c r="P39" s="781">
        <f>('Consolidated - P&amp;L'!FR115)/10000000</f>
        <v>0</v>
      </c>
    </row>
    <row r="40" spans="2:16" x14ac:dyDescent="0.2">
      <c r="B40" s="792" t="s">
        <v>31</v>
      </c>
      <c r="C40" s="793">
        <f>'Consolidated - P&amp;L'!FE116</f>
        <v>0.1613878764871379</v>
      </c>
      <c r="D40" s="793">
        <f>'Consolidated - P&amp;L'!FF116</f>
        <v>0.19591725522353579</v>
      </c>
      <c r="E40" s="793">
        <f>'Consolidated - P&amp;L'!FG116</f>
        <v>0.18605755132724019</v>
      </c>
      <c r="F40" s="793">
        <f>'Consolidated - P&amp;L'!FH116</f>
        <v>0.18455600125938645</v>
      </c>
      <c r="G40" s="793">
        <f>'Consolidated - P&amp;L'!FI116</f>
        <v>0.18475102658024678</v>
      </c>
      <c r="H40" s="793">
        <f>'Consolidated - P&amp;L'!FJ116</f>
        <v>0.18439103003442081</v>
      </c>
      <c r="J40" s="792" t="s">
        <v>31</v>
      </c>
      <c r="K40" s="793">
        <f>'Consolidated - P&amp;L'!FM116</f>
        <v>0</v>
      </c>
      <c r="L40" s="793">
        <f>'Consolidated - P&amp;L'!FN116</f>
        <v>0</v>
      </c>
      <c r="M40" s="793">
        <f>'Consolidated - P&amp;L'!FO116</f>
        <v>0</v>
      </c>
      <c r="N40" s="793">
        <f>'Consolidated - P&amp;L'!FP116</f>
        <v>0</v>
      </c>
      <c r="O40" s="793">
        <f>'Consolidated - P&amp;L'!FQ116</f>
        <v>0</v>
      </c>
      <c r="P40" s="793">
        <f>'Consolidated - P&amp;L'!FR116</f>
        <v>0</v>
      </c>
    </row>
    <row r="41" spans="2:16" x14ac:dyDescent="0.2">
      <c r="B41" s="794" t="s">
        <v>320</v>
      </c>
      <c r="C41" s="793">
        <f>'Consolidated - P&amp;L'!FE117</f>
        <v>0.11536383808101389</v>
      </c>
      <c r="D41" s="793">
        <f>'Consolidated - P&amp;L'!FF117</f>
        <v>0.14903776022634826</v>
      </c>
      <c r="E41" s="793">
        <f>'Consolidated - P&amp;L'!FG117</f>
        <v>0.14531365859194695</v>
      </c>
      <c r="F41" s="793">
        <f>'Consolidated - P&amp;L'!FH117</f>
        <v>0.14321176624359833</v>
      </c>
      <c r="G41" s="793">
        <f>'Consolidated - P&amp;L'!FI117</f>
        <v>0.14397263960844792</v>
      </c>
      <c r="H41" s="793">
        <f>'Consolidated - P&amp;L'!FJ117</f>
        <v>0.14431604206297288</v>
      </c>
      <c r="J41" s="794" t="s">
        <v>320</v>
      </c>
      <c r="K41" s="793">
        <f>'Consolidated - P&amp;L'!FM117</f>
        <v>0</v>
      </c>
      <c r="L41" s="793">
        <f>'Consolidated - P&amp;L'!FN117</f>
        <v>0</v>
      </c>
      <c r="M41" s="793">
        <f>'Consolidated - P&amp;L'!FO117</f>
        <v>0</v>
      </c>
      <c r="N41" s="793">
        <f>'Consolidated - P&amp;L'!FP117</f>
        <v>0</v>
      </c>
      <c r="O41" s="793">
        <f>'Consolidated - P&amp;L'!FQ117</f>
        <v>0</v>
      </c>
      <c r="P41" s="793">
        <f>'Consolidated - P&amp;L'!FR117</f>
        <v>0</v>
      </c>
    </row>
    <row r="42" spans="2:16" x14ac:dyDescent="0.2">
      <c r="H42" s="764"/>
      <c r="J42" s="778"/>
      <c r="K42" s="764"/>
      <c r="L42" s="764"/>
      <c r="M42" s="764"/>
      <c r="N42" s="764"/>
      <c r="O42" s="764"/>
      <c r="P42" s="764"/>
    </row>
    <row r="43" spans="2:16" hidden="1" x14ac:dyDescent="0.2">
      <c r="B43" s="779" t="s">
        <v>38</v>
      </c>
      <c r="C43" s="767">
        <f>('Consolidated - P&amp;L'!FE136)/10000000</f>
        <v>120.45746813393946</v>
      </c>
      <c r="D43" s="767">
        <f>('Consolidated - P&amp;L'!FF136)/10000000</f>
        <v>182.61407180020362</v>
      </c>
      <c r="E43" s="767">
        <f>('Consolidated - P&amp;L'!FG136)/10000000</f>
        <v>257.09540612451889</v>
      </c>
      <c r="F43" s="767">
        <f>('Consolidated - P&amp;L'!FH136)/10000000</f>
        <v>333.52046307712033</v>
      </c>
      <c r="G43" s="767">
        <f>('Consolidated - P&amp;L'!FI136)/10000000</f>
        <v>408.46840211830147</v>
      </c>
      <c r="H43" s="767">
        <f>('Consolidated - P&amp;L'!FJ136)/10000000</f>
        <v>478.93205419080908</v>
      </c>
      <c r="J43" s="779" t="s">
        <v>38</v>
      </c>
      <c r="K43" s="824">
        <f>C43/C$12</f>
        <v>0.12029171738870782</v>
      </c>
      <c r="L43" s="824">
        <f t="shared" ref="L43" si="16">D43/D$12</f>
        <v>0.1576508221695502</v>
      </c>
      <c r="M43" s="824">
        <f t="shared" ref="M43" si="17">E43/E$12</f>
        <v>0.14954754029606865</v>
      </c>
      <c r="N43" s="824">
        <f t="shared" ref="N43" si="18">F43/F$12</f>
        <v>0.15252671466052098</v>
      </c>
      <c r="O43" s="824">
        <f t="shared" ref="O43" si="19">G43/G$12</f>
        <v>0.15367441949243096</v>
      </c>
      <c r="P43" s="824">
        <f t="shared" ref="P43" si="20">H43/H$12</f>
        <v>0.15404116436817555</v>
      </c>
    </row>
    <row r="44" spans="2:16" hidden="1" x14ac:dyDescent="0.2">
      <c r="B44" s="782" t="s">
        <v>304</v>
      </c>
      <c r="C44" s="783">
        <f>('Consolidated - P&amp;L'!FE137)/10000000</f>
        <v>2.6324314565729492</v>
      </c>
      <c r="D44" s="783">
        <f>('Consolidated - P&amp;L'!FF137)/10000000</f>
        <v>15.636156831919351</v>
      </c>
      <c r="E44" s="783">
        <f>('Consolidated - P&amp;L'!FG137)/10000000</f>
        <v>28.487261806738786</v>
      </c>
      <c r="F44" s="783">
        <f>('Consolidated - P&amp;L'!FH137)/10000000</f>
        <v>36.972971389150501</v>
      </c>
      <c r="G44" s="783">
        <f>('Consolidated - P&amp;L'!FI137)/10000000</f>
        <v>56.243803921792363</v>
      </c>
      <c r="H44" s="783">
        <f>('Consolidated - P&amp;L'!FJ137)/10000000</f>
        <v>78.610495553252989</v>
      </c>
      <c r="J44" s="782" t="s">
        <v>304</v>
      </c>
      <c r="K44" s="783">
        <f>('Consolidated - P&amp;L'!FM137)/10000000</f>
        <v>0</v>
      </c>
      <c r="L44" s="783">
        <f>('Consolidated - P&amp;L'!FN137)/10000000</f>
        <v>0</v>
      </c>
      <c r="M44" s="783">
        <f>('Consolidated - P&amp;L'!FO137)/10000000</f>
        <v>0</v>
      </c>
      <c r="N44" s="783">
        <f>('Consolidated - P&amp;L'!FP137)/10000000</f>
        <v>0</v>
      </c>
      <c r="O44" s="783">
        <f>('Consolidated - P&amp;L'!FQ137)/10000000</f>
        <v>0</v>
      </c>
      <c r="P44" s="783">
        <f>('Consolidated - P&amp;L'!FR137)/10000000</f>
        <v>0</v>
      </c>
    </row>
    <row r="45" spans="2:16" hidden="1" x14ac:dyDescent="0.2">
      <c r="B45" s="777" t="s">
        <v>139</v>
      </c>
      <c r="C45" s="781">
        <f>('Consolidated - P&amp;L'!FE138)/10000000</f>
        <v>56.781348744645726</v>
      </c>
      <c r="D45" s="781">
        <f>('Consolidated - P&amp;L'!FF138)/10000000</f>
        <v>90.787270143778315</v>
      </c>
      <c r="E45" s="781">
        <f>('Consolidated - P&amp;L'!FG138)/10000000</f>
        <v>129.67567008724993</v>
      </c>
      <c r="F45" s="781">
        <f>('Consolidated - P&amp;L'!FH138)/10000000</f>
        <v>173.73703679457026</v>
      </c>
      <c r="G45" s="781">
        <f>('Consolidated - P&amp;L'!FI138)/10000000</f>
        <v>207.75031857632663</v>
      </c>
      <c r="H45" s="781">
        <f>('Consolidated - P&amp;L'!FJ138)/10000000</f>
        <v>236.39991131602963</v>
      </c>
      <c r="J45" s="777" t="s">
        <v>139</v>
      </c>
      <c r="K45" s="781">
        <f>('Consolidated - P&amp;L'!FM138)/10000000</f>
        <v>0</v>
      </c>
      <c r="L45" s="781">
        <f>('Consolidated - P&amp;L'!FN138)/10000000</f>
        <v>0</v>
      </c>
      <c r="M45" s="781">
        <f>('Consolidated - P&amp;L'!FO138)/10000000</f>
        <v>0</v>
      </c>
      <c r="N45" s="781">
        <f>('Consolidated - P&amp;L'!FP138)/10000000</f>
        <v>0</v>
      </c>
      <c r="O45" s="781">
        <f>('Consolidated - P&amp;L'!FQ138)/10000000</f>
        <v>0</v>
      </c>
      <c r="P45" s="781">
        <f>('Consolidated - P&amp;L'!FR138)/10000000</f>
        <v>0</v>
      </c>
    </row>
    <row r="46" spans="2:16" hidden="1" x14ac:dyDescent="0.2">
      <c r="B46" s="777" t="s">
        <v>309</v>
      </c>
      <c r="C46" s="781">
        <f>('Consolidated - P&amp;L'!FE139)/10000000</f>
        <v>52.097638796610163</v>
      </c>
      <c r="D46" s="781">
        <f>('Consolidated - P&amp;L'!FF139)/10000000</f>
        <v>63.813216466101693</v>
      </c>
      <c r="E46" s="781">
        <f>('Consolidated - P&amp;L'!FG139)/10000000</f>
        <v>81.95412134745763</v>
      </c>
      <c r="F46" s="781">
        <f>('Consolidated - P&amp;L'!FH139)/10000000</f>
        <v>105.51593123485172</v>
      </c>
      <c r="G46" s="781">
        <f>('Consolidated - P&amp;L'!FI139)/10000000</f>
        <v>126.61911748182206</v>
      </c>
      <c r="H46" s="781">
        <f>('Consolidated - P&amp;L'!FJ139)/10000000</f>
        <v>145.61198510409537</v>
      </c>
      <c r="J46" s="777" t="s">
        <v>309</v>
      </c>
      <c r="K46" s="781">
        <f>('Consolidated - P&amp;L'!FM139)/10000000</f>
        <v>0</v>
      </c>
      <c r="L46" s="781">
        <f>('Consolidated - P&amp;L'!FN139)/10000000</f>
        <v>0</v>
      </c>
      <c r="M46" s="781">
        <f>('Consolidated - P&amp;L'!FO139)/10000000</f>
        <v>0</v>
      </c>
      <c r="N46" s="781">
        <f>('Consolidated - P&amp;L'!FP139)/10000000</f>
        <v>0</v>
      </c>
      <c r="O46" s="781">
        <f>('Consolidated - P&amp;L'!FQ139)/10000000</f>
        <v>0</v>
      </c>
      <c r="P46" s="781">
        <f>('Consolidated - P&amp;L'!FR139)/10000000</f>
        <v>0</v>
      </c>
    </row>
    <row r="47" spans="2:16" hidden="1" x14ac:dyDescent="0.2">
      <c r="B47" s="777" t="s">
        <v>310</v>
      </c>
      <c r="C47" s="781">
        <f>('Consolidated - P&amp;L'!FE140)/10000000</f>
        <v>7.4517943441106143</v>
      </c>
      <c r="D47" s="781">
        <f>('Consolidated - P&amp;L'!FF140)/10000000</f>
        <v>9.6409796117940871</v>
      </c>
      <c r="E47" s="781">
        <f>('Consolidated - P&amp;L'!FG140)/10000000</f>
        <v>13.078534380072572</v>
      </c>
      <c r="F47" s="781">
        <f>('Consolidated - P&amp;L'!FH140)/10000000</f>
        <v>13.394705155547873</v>
      </c>
      <c r="G47" s="781">
        <f>('Consolidated - P&amp;L'!FI140)/10000000</f>
        <v>13.955343635360427</v>
      </c>
      <c r="H47" s="781">
        <f>('Consolidated - P&amp;L'!FJ140)/10000000</f>
        <v>14.409843714431014</v>
      </c>
      <c r="J47" s="777" t="s">
        <v>310</v>
      </c>
      <c r="K47" s="781">
        <f>('Consolidated - P&amp;L'!FM140)/10000000</f>
        <v>0</v>
      </c>
      <c r="L47" s="781">
        <f>('Consolidated - P&amp;L'!FN140)/10000000</f>
        <v>0</v>
      </c>
      <c r="M47" s="781">
        <f>('Consolidated - P&amp;L'!FO140)/10000000</f>
        <v>0</v>
      </c>
      <c r="N47" s="781">
        <f>('Consolidated - P&amp;L'!FP140)/10000000</f>
        <v>0</v>
      </c>
      <c r="O47" s="781">
        <f>('Consolidated - P&amp;L'!FQ140)/10000000</f>
        <v>0</v>
      </c>
      <c r="P47" s="781">
        <f>('Consolidated - P&amp;L'!FR140)/10000000</f>
        <v>0</v>
      </c>
    </row>
    <row r="48" spans="2:16" hidden="1" x14ac:dyDescent="0.2">
      <c r="B48" s="777" t="s">
        <v>311</v>
      </c>
      <c r="C48" s="781">
        <f>('Consolidated - P&amp;L'!FE141)/10000000</f>
        <v>1.494254792</v>
      </c>
      <c r="D48" s="781">
        <f>('Consolidated - P&amp;L'!FF141)/10000000</f>
        <v>2.7364487466101699</v>
      </c>
      <c r="E48" s="781">
        <f>('Consolidated - P&amp;L'!FG141)/10000000</f>
        <v>3.8998185030000001</v>
      </c>
      <c r="F48" s="781">
        <f>('Consolidated - P&amp;L'!FH141)/10000000</f>
        <v>3.8998185030000001</v>
      </c>
      <c r="G48" s="781">
        <f>('Consolidated - P&amp;L'!FI141)/10000000</f>
        <v>3.8998185030000001</v>
      </c>
      <c r="H48" s="781">
        <f>('Consolidated - P&amp;L'!FJ141)/10000000</f>
        <v>3.8998185030000001</v>
      </c>
      <c r="J48" s="777" t="s">
        <v>311</v>
      </c>
      <c r="K48" s="781">
        <f>('Consolidated - P&amp;L'!FM141)/10000000</f>
        <v>0</v>
      </c>
      <c r="L48" s="781">
        <f>('Consolidated - P&amp;L'!FN141)/10000000</f>
        <v>0</v>
      </c>
      <c r="M48" s="781">
        <f>('Consolidated - P&amp;L'!FO141)/10000000</f>
        <v>0</v>
      </c>
      <c r="N48" s="781">
        <f>('Consolidated - P&amp;L'!FP141)/10000000</f>
        <v>0</v>
      </c>
      <c r="O48" s="781">
        <f>('Consolidated - P&amp;L'!FQ141)/10000000</f>
        <v>0</v>
      </c>
      <c r="P48" s="781">
        <f>('Consolidated - P&amp;L'!FR141)/10000000</f>
        <v>0</v>
      </c>
    </row>
    <row r="49" spans="2:16" hidden="1" x14ac:dyDescent="0.2">
      <c r="B49" s="792" t="s">
        <v>39</v>
      </c>
      <c r="C49" s="793">
        <f>'Consolidated - P&amp;L'!FE143</f>
        <v>0.12029171738870782</v>
      </c>
      <c r="D49" s="793">
        <f>'Consolidated - P&amp;L'!FF143</f>
        <v>0.15765082216955018</v>
      </c>
      <c r="E49" s="793">
        <f>'Consolidated - P&amp;L'!FG143</f>
        <v>0.14954754029606865</v>
      </c>
      <c r="F49" s="793">
        <f>'Consolidated - P&amp;L'!FH143</f>
        <v>0.15252671466052098</v>
      </c>
      <c r="G49" s="793">
        <f>'Consolidated - P&amp;L'!FI143</f>
        <v>0.15367441949243096</v>
      </c>
      <c r="H49" s="793">
        <f>'Consolidated - P&amp;L'!FJ143</f>
        <v>0.15404116436817553</v>
      </c>
      <c r="J49" s="792" t="s">
        <v>39</v>
      </c>
      <c r="K49" s="793">
        <f>'Consolidated - P&amp;L'!FM143</f>
        <v>0</v>
      </c>
      <c r="L49" s="793">
        <f>'Consolidated - P&amp;L'!FN143</f>
        <v>0</v>
      </c>
      <c r="M49" s="793">
        <f>'Consolidated - P&amp;L'!FO143</f>
        <v>0</v>
      </c>
      <c r="N49" s="793">
        <f>'Consolidated - P&amp;L'!FP143</f>
        <v>0</v>
      </c>
      <c r="O49" s="793">
        <f>'Consolidated - P&amp;L'!FQ143</f>
        <v>0</v>
      </c>
      <c r="P49" s="793">
        <f>'Consolidated - P&amp;L'!FR143</f>
        <v>0</v>
      </c>
    </row>
    <row r="50" spans="2:16" hidden="1" x14ac:dyDescent="0.2">
      <c r="H50" s="764"/>
      <c r="J50" s="778"/>
      <c r="K50" s="764"/>
      <c r="L50" s="764"/>
      <c r="M50" s="764"/>
      <c r="N50" s="764"/>
      <c r="O50" s="764"/>
      <c r="P50" s="764"/>
    </row>
    <row r="51" spans="2:16" x14ac:dyDescent="0.2">
      <c r="B51" s="779" t="s">
        <v>54</v>
      </c>
      <c r="C51" s="767">
        <f>('Consolidated - P&amp;L'!FE166)/10000000</f>
        <v>54.043867579650424</v>
      </c>
      <c r="D51" s="767">
        <f>('Consolidated - P&amp;L'!FF166)/10000000</f>
        <v>114.27210548893289</v>
      </c>
      <c r="E51" s="767">
        <f>('Consolidated - P&amp;L'!FG166)/10000000</f>
        <v>156.44506169396652</v>
      </c>
      <c r="F51" s="767">
        <f>('Consolidated - P&amp;L'!FH166)/10000000</f>
        <v>205.70870309352745</v>
      </c>
      <c r="G51" s="767">
        <f>('Consolidated - P&amp;L'!FI166)/10000000</f>
        <v>266.78987531251306</v>
      </c>
      <c r="H51" s="767">
        <f>('Consolidated - P&amp;L'!FJ166)/10000000</f>
        <v>322.26070045653455</v>
      </c>
      <c r="J51" s="779" t="s">
        <v>54</v>
      </c>
      <c r="K51" s="824">
        <f>C51/C$12</f>
        <v>5.3969502648481806E-2</v>
      </c>
      <c r="L51" s="824">
        <f t="shared" ref="L51" si="21">D51/D$12</f>
        <v>9.8651167480050428E-2</v>
      </c>
      <c r="M51" s="824">
        <f t="shared" ref="M51" si="22">E51/E$12</f>
        <v>9.100113658377873E-2</v>
      </c>
      <c r="N51" s="824">
        <f t="shared" ref="N51" si="23">F51/F$12</f>
        <v>9.4075405060459999E-2</v>
      </c>
      <c r="O51" s="824">
        <f t="shared" ref="O51" si="24">G51/G$12</f>
        <v>0.10037197247691715</v>
      </c>
      <c r="P51" s="824">
        <f t="shared" ref="P51" si="25">H51/H$12</f>
        <v>0.10365022155867443</v>
      </c>
    </row>
    <row r="52" spans="2:16" x14ac:dyDescent="0.2">
      <c r="B52" s="782" t="s">
        <v>304</v>
      </c>
      <c r="C52" s="783">
        <f>('Consolidated - P&amp;L'!FE167)/10000000</f>
        <v>-5.0254699209647038</v>
      </c>
      <c r="D52" s="783">
        <f>('Consolidated - P&amp;L'!FF167)/10000000</f>
        <v>9.0064733667386339</v>
      </c>
      <c r="E52" s="783">
        <f>('Consolidated - P&amp;L'!FG167)/10000000</f>
        <v>19.22222660904605</v>
      </c>
      <c r="F52" s="783">
        <f>('Consolidated - P&amp;L'!FH167)/10000000</f>
        <v>25.641458810428365</v>
      </c>
      <c r="G52" s="783">
        <f>('Consolidated - P&amp;L'!FI167)/10000000</f>
        <v>43.542986898418128</v>
      </c>
      <c r="H52" s="783">
        <f>('Consolidated - P&amp;L'!FJ167)/10000000</f>
        <v>64.364343201688101</v>
      </c>
      <c r="J52" s="782" t="s">
        <v>304</v>
      </c>
      <c r="K52" s="783">
        <f>('Consolidated - P&amp;L'!FM167)/10000000</f>
        <v>0</v>
      </c>
      <c r="L52" s="783">
        <f>('Consolidated - P&amp;L'!FN167)/10000000</f>
        <v>0</v>
      </c>
      <c r="M52" s="783">
        <f>('Consolidated - P&amp;L'!FO167)/10000000</f>
        <v>0</v>
      </c>
      <c r="N52" s="783">
        <f>('Consolidated - P&amp;L'!FP167)/10000000</f>
        <v>0</v>
      </c>
      <c r="O52" s="783">
        <f>('Consolidated - P&amp;L'!FQ167)/10000000</f>
        <v>0</v>
      </c>
      <c r="P52" s="783">
        <f>('Consolidated - P&amp;L'!FR167)/10000000</f>
        <v>0</v>
      </c>
    </row>
    <row r="53" spans="2:16" x14ac:dyDescent="0.2">
      <c r="B53" s="777" t="s">
        <v>139</v>
      </c>
      <c r="C53" s="781">
        <f>('Consolidated - P&amp;L'!FE168)/10000000</f>
        <v>8.1714722438503777</v>
      </c>
      <c r="D53" s="781">
        <f>('Consolidated - P&amp;L'!FF168)/10000000</f>
        <v>40.663492555057559</v>
      </c>
      <c r="E53" s="781">
        <f>('Consolidated - P&amp;L'!FG168)/10000000</f>
        <v>53.692823310189176</v>
      </c>
      <c r="F53" s="781">
        <f>('Consolidated - P&amp;L'!FH168)/10000000</f>
        <v>74.89967535515197</v>
      </c>
      <c r="G53" s="781">
        <f>('Consolidated - P&amp;L'!FI168)/10000000</f>
        <v>97.526097799074307</v>
      </c>
      <c r="H53" s="781">
        <f>('Consolidated - P&amp;L'!FJ168)/10000000</f>
        <v>114.05010126311801</v>
      </c>
      <c r="J53" s="777" t="s">
        <v>139</v>
      </c>
      <c r="K53" s="781">
        <f>('Consolidated - P&amp;L'!FM168)/10000000</f>
        <v>0</v>
      </c>
      <c r="L53" s="781">
        <f>('Consolidated - P&amp;L'!FN168)/10000000</f>
        <v>0</v>
      </c>
      <c r="M53" s="781">
        <f>('Consolidated - P&amp;L'!FO168)/10000000</f>
        <v>0</v>
      </c>
      <c r="N53" s="781">
        <f>('Consolidated - P&amp;L'!FP168)/10000000</f>
        <v>0</v>
      </c>
      <c r="O53" s="781">
        <f>('Consolidated - P&amp;L'!FQ168)/10000000</f>
        <v>0</v>
      </c>
      <c r="P53" s="781">
        <f>('Consolidated - P&amp;L'!FR168)/10000000</f>
        <v>0</v>
      </c>
    </row>
    <row r="54" spans="2:16" x14ac:dyDescent="0.2">
      <c r="B54" s="777" t="s">
        <v>309</v>
      </c>
      <c r="C54" s="781">
        <f>('Consolidated - P&amp;L'!FE169)/10000000</f>
        <v>43.520943910931386</v>
      </c>
      <c r="D54" s="781">
        <f>('Consolidated - P&amp;L'!FF169)/10000000</f>
        <v>54.162758731946518</v>
      </c>
      <c r="E54" s="781">
        <f>('Consolidated - P&amp;L'!FG169)/10000000</f>
        <v>69.546277633238418</v>
      </c>
      <c r="F54" s="781">
        <f>('Consolidated - P&amp;L'!FH169)/10000000</f>
        <v>91.11058354785736</v>
      </c>
      <c r="G54" s="781">
        <f>('Consolidated - P&amp;L'!FI169)/10000000</f>
        <v>111.07681864986816</v>
      </c>
      <c r="H54" s="781">
        <f>('Consolidated - P&amp;L'!FJ169)/10000000</f>
        <v>128.84255286908515</v>
      </c>
      <c r="J54" s="777" t="s">
        <v>309</v>
      </c>
      <c r="K54" s="781">
        <f>('Consolidated - P&amp;L'!FM169)/10000000</f>
        <v>0</v>
      </c>
      <c r="L54" s="781">
        <f>('Consolidated - P&amp;L'!FN169)/10000000</f>
        <v>0</v>
      </c>
      <c r="M54" s="781">
        <f>('Consolidated - P&amp;L'!FO169)/10000000</f>
        <v>0</v>
      </c>
      <c r="N54" s="781">
        <f>('Consolidated - P&amp;L'!FP169)/10000000</f>
        <v>0</v>
      </c>
      <c r="O54" s="781">
        <f>('Consolidated - P&amp;L'!FQ169)/10000000</f>
        <v>0</v>
      </c>
      <c r="P54" s="781">
        <f>('Consolidated - P&amp;L'!FR169)/10000000</f>
        <v>0</v>
      </c>
    </row>
    <row r="55" spans="2:16" x14ac:dyDescent="0.2">
      <c r="B55" s="777" t="s">
        <v>310</v>
      </c>
      <c r="C55" s="781">
        <f>('Consolidated - P&amp;L'!FE170)/10000000</f>
        <v>5.8826665538333858</v>
      </c>
      <c r="D55" s="781">
        <f>('Consolidated - P&amp;L'!FF170)/10000000</f>
        <v>7.7029320885800079</v>
      </c>
      <c r="E55" s="781">
        <f>('Consolidated - P&amp;L'!FG170)/10000000</f>
        <v>10.083915638492885</v>
      </c>
      <c r="F55" s="781">
        <f>('Consolidated - P&amp;L'!FH170)/10000000</f>
        <v>10.157166877089759</v>
      </c>
      <c r="G55" s="781">
        <f>('Consolidated - P&amp;L'!FI170)/10000000</f>
        <v>10.744153462152489</v>
      </c>
      <c r="H55" s="781">
        <f>('Consolidated - P&amp;L'!FJ170)/10000000</f>
        <v>11.103884619643303</v>
      </c>
      <c r="J55" s="777" t="s">
        <v>310</v>
      </c>
      <c r="K55" s="781">
        <f>('Consolidated - P&amp;L'!FM170)/10000000</f>
        <v>0</v>
      </c>
      <c r="L55" s="781">
        <f>('Consolidated - P&amp;L'!FN170)/10000000</f>
        <v>0</v>
      </c>
      <c r="M55" s="781">
        <f>('Consolidated - P&amp;L'!FO170)/10000000</f>
        <v>0</v>
      </c>
      <c r="N55" s="781">
        <f>('Consolidated - P&amp;L'!FP170)/10000000</f>
        <v>0</v>
      </c>
      <c r="O55" s="781">
        <f>('Consolidated - P&amp;L'!FQ170)/10000000</f>
        <v>0</v>
      </c>
      <c r="P55" s="781">
        <f>('Consolidated - P&amp;L'!FR170)/10000000</f>
        <v>0</v>
      </c>
    </row>
    <row r="56" spans="2:16" x14ac:dyDescent="0.2">
      <c r="B56" s="777" t="s">
        <v>311</v>
      </c>
      <c r="C56" s="781">
        <f>('Consolidated - P&amp;L'!FE171)/10000000</f>
        <v>1.494254792</v>
      </c>
      <c r="D56" s="781">
        <f>('Consolidated - P&amp;L'!FF171)/10000000</f>
        <v>2.7364487466101699</v>
      </c>
      <c r="E56" s="781">
        <f>('Consolidated - P&amp;L'!FG171)/10000000</f>
        <v>3.8998185030000001</v>
      </c>
      <c r="F56" s="781">
        <f>('Consolidated - P&amp;L'!FH171)/10000000</f>
        <v>3.8998185030000001</v>
      </c>
      <c r="G56" s="781">
        <f>('Consolidated - P&amp;L'!FI171)/10000000</f>
        <v>3.8998185030000001</v>
      </c>
      <c r="H56" s="781">
        <f>('Consolidated - P&amp;L'!FJ171)/10000000</f>
        <v>3.8998185030000001</v>
      </c>
      <c r="J56" s="777" t="s">
        <v>311</v>
      </c>
      <c r="K56" s="781">
        <f>('Consolidated - P&amp;L'!FM171)/10000000</f>
        <v>0</v>
      </c>
      <c r="L56" s="781">
        <f>('Consolidated - P&amp;L'!FN171)/10000000</f>
        <v>0</v>
      </c>
      <c r="M56" s="781">
        <f>('Consolidated - P&amp;L'!FO171)/10000000</f>
        <v>0</v>
      </c>
      <c r="N56" s="781">
        <f>('Consolidated - P&amp;L'!FP171)/10000000</f>
        <v>0</v>
      </c>
      <c r="O56" s="781">
        <f>('Consolidated - P&amp;L'!FQ171)/10000000</f>
        <v>0</v>
      </c>
      <c r="P56" s="781">
        <f>('Consolidated - P&amp;L'!FR171)/10000000</f>
        <v>0</v>
      </c>
    </row>
    <row r="57" spans="2:16" x14ac:dyDescent="0.2">
      <c r="B57" s="792" t="s">
        <v>55</v>
      </c>
      <c r="C57" s="793">
        <f>'Consolidated - P&amp;L'!FE173</f>
        <v>5.3969502648481806E-2</v>
      </c>
      <c r="D57" s="793">
        <f>'Consolidated - P&amp;L'!FF173</f>
        <v>9.8651167480050428E-2</v>
      </c>
      <c r="E57" s="793">
        <f>'Consolidated - P&amp;L'!FG173</f>
        <v>9.1001136583778744E-2</v>
      </c>
      <c r="F57" s="793">
        <f>'Consolidated - P&amp;L'!FH173</f>
        <v>9.4075405060460013E-2</v>
      </c>
      <c r="G57" s="793">
        <f>'Consolidated - P&amp;L'!FI173</f>
        <v>0.10037197247691715</v>
      </c>
      <c r="H57" s="793">
        <f>'Consolidated - P&amp;L'!FJ173</f>
        <v>0.10365022155867443</v>
      </c>
      <c r="J57" s="792" t="s">
        <v>55</v>
      </c>
      <c r="K57" s="793">
        <f>'Consolidated - P&amp;L'!FM173</f>
        <v>0</v>
      </c>
      <c r="L57" s="793">
        <f>'Consolidated - P&amp;L'!FN173</f>
        <v>0</v>
      </c>
      <c r="M57" s="793">
        <f>'Consolidated - P&amp;L'!FO173</f>
        <v>0</v>
      </c>
      <c r="N57" s="793">
        <f>'Consolidated - P&amp;L'!FP173</f>
        <v>0</v>
      </c>
      <c r="O57" s="793">
        <f>'Consolidated - P&amp;L'!FQ173</f>
        <v>0</v>
      </c>
      <c r="P57" s="793">
        <f>'Consolidated - P&amp;L'!FR173</f>
        <v>0</v>
      </c>
    </row>
    <row r="58" spans="2:16" x14ac:dyDescent="0.2">
      <c r="H58" s="764"/>
      <c r="J58" s="778"/>
      <c r="K58" s="764"/>
      <c r="L58" s="764"/>
      <c r="M58" s="764"/>
      <c r="N58" s="764"/>
      <c r="O58" s="764"/>
      <c r="P58" s="764"/>
    </row>
    <row r="59" spans="2:16" x14ac:dyDescent="0.2">
      <c r="B59" s="779" t="s">
        <v>58</v>
      </c>
      <c r="C59" s="767">
        <f>('Consolidated - P&amp;L'!FE197)/10000000</f>
        <v>20.61703261377054</v>
      </c>
      <c r="D59" s="767">
        <f>('Consolidated - P&amp;L'!FF197)/10000000</f>
        <v>80.939666598715633</v>
      </c>
      <c r="E59" s="767">
        <f>('Consolidated - P&amp;L'!FG197)/10000000</f>
        <v>120.79894186014552</v>
      </c>
      <c r="F59" s="767">
        <f>('Consolidated - P&amp;L'!FH197)/10000000</f>
        <v>157.74758609609756</v>
      </c>
      <c r="G59" s="767">
        <f>('Consolidated - P&amp;L'!FI197)/10000000</f>
        <v>226.47241358171721</v>
      </c>
      <c r="H59" s="767">
        <f>('Consolidated - P&amp;L'!FJ197)/10000000</f>
        <v>277.10790991228066</v>
      </c>
      <c r="J59" s="779" t="s">
        <v>58</v>
      </c>
      <c r="K59" s="824">
        <f>C59/C$12</f>
        <v>2.0588663359683301E-2</v>
      </c>
      <c r="L59" s="824">
        <f t="shared" ref="L59" si="26">D59/D$12</f>
        <v>6.9875255831202451E-2</v>
      </c>
      <c r="M59" s="824">
        <f t="shared" ref="M59" si="27">E59/E$12</f>
        <v>7.0266462158421708E-2</v>
      </c>
      <c r="N59" s="824">
        <f t="shared" ref="N59" si="28">F59/F$12</f>
        <v>7.2141663605515716E-2</v>
      </c>
      <c r="O59" s="824">
        <f t="shared" ref="O59" si="29">G59/G$12</f>
        <v>8.5203693866485186E-2</v>
      </c>
      <c r="P59" s="824">
        <f t="shared" ref="P59" si="30">H59/H$12</f>
        <v>8.9127517619676522E-2</v>
      </c>
    </row>
    <row r="60" spans="2:16" hidden="1" x14ac:dyDescent="0.2">
      <c r="B60" s="795" t="s">
        <v>59</v>
      </c>
      <c r="C60" s="797">
        <f>'Consolidated - P&amp;L'!FE198</f>
        <v>2.0588663359683297E-2</v>
      </c>
      <c r="D60" s="797">
        <f>'Consolidated - P&amp;L'!FF198</f>
        <v>6.9875255831202451E-2</v>
      </c>
      <c r="E60" s="797">
        <f>'Consolidated - P&amp;L'!FG198</f>
        <v>7.0266462158421708E-2</v>
      </c>
      <c r="F60" s="797">
        <f>'Consolidated - P&amp;L'!FH198</f>
        <v>7.2141663605515716E-2</v>
      </c>
      <c r="G60" s="797">
        <f>'Consolidated - P&amp;L'!FI198</f>
        <v>8.5203693866485186E-2</v>
      </c>
      <c r="H60" s="797">
        <f>'Consolidated - P&amp;L'!FJ198</f>
        <v>8.9127517619676522E-2</v>
      </c>
      <c r="J60" s="795" t="s">
        <v>59</v>
      </c>
      <c r="K60" s="797">
        <f>'Consolidated - P&amp;L'!FM198</f>
        <v>0</v>
      </c>
      <c r="L60" s="797">
        <f>'Consolidated - P&amp;L'!FN198</f>
        <v>0</v>
      </c>
      <c r="M60" s="797">
        <f>'Consolidated - P&amp;L'!FO198</f>
        <v>0</v>
      </c>
      <c r="N60" s="797">
        <f>'Consolidated - P&amp;L'!FP198</f>
        <v>0</v>
      </c>
      <c r="O60" s="797">
        <f>'Consolidated - P&amp;L'!FQ198</f>
        <v>0</v>
      </c>
      <c r="P60" s="797">
        <f>'Consolidated - P&amp;L'!FR198</f>
        <v>0</v>
      </c>
    </row>
    <row r="61" spans="2:16" hidden="1" x14ac:dyDescent="0.2">
      <c r="H61" s="764"/>
      <c r="J61" s="778"/>
      <c r="K61" s="764"/>
      <c r="L61" s="764"/>
      <c r="M61" s="764"/>
      <c r="N61" s="764"/>
      <c r="O61" s="764"/>
      <c r="P61" s="764"/>
    </row>
    <row r="62" spans="2:16" x14ac:dyDescent="0.2">
      <c r="B62" s="779" t="s">
        <v>512</v>
      </c>
      <c r="C62" s="767">
        <f>('Consolidated - P&amp;L'!FE211)/10000000</f>
        <v>-50.04369464055916</v>
      </c>
      <c r="D62" s="767">
        <f>('Consolidated - P&amp;L'!FF211)/10000000</f>
        <v>3.1725510987260468</v>
      </c>
      <c r="E62" s="767">
        <f>('Consolidated - P&amp;L'!FG211)/10000000</f>
        <v>26.108636603967462</v>
      </c>
      <c r="F62" s="767">
        <f>('Consolidated - P&amp;L'!FH211)/10000000</f>
        <v>48.228462133726133</v>
      </c>
      <c r="G62" s="767">
        <f>('Consolidated - P&amp;L'!FI211)/10000000</f>
        <v>111.47733342122724</v>
      </c>
      <c r="H62" s="767">
        <f>('Consolidated - P&amp;L'!FJ211)/10000000</f>
        <v>156.36307574376616</v>
      </c>
      <c r="J62" s="779" t="s">
        <v>512</v>
      </c>
      <c r="K62" s="824">
        <f>C62/C$12</f>
        <v>-4.9974833989498542E-2</v>
      </c>
      <c r="L62" s="824">
        <f t="shared" ref="L62" si="31">D62/D$12</f>
        <v>2.7388649963201437E-3</v>
      </c>
      <c r="M62" s="824">
        <f t="shared" ref="M62" si="32">E62/E$12</f>
        <v>1.5186900627528838E-2</v>
      </c>
      <c r="N62" s="824">
        <f t="shared" ref="N62" si="33">F62/F$12</f>
        <v>2.2056004643665958E-2</v>
      </c>
      <c r="O62" s="824">
        <f t="shared" ref="O62" si="34">G62/G$12</f>
        <v>4.1940121711323192E-2</v>
      </c>
      <c r="P62" s="824">
        <f t="shared" ref="P62" si="35">H62/H$12</f>
        <v>5.0291789912568344E-2</v>
      </c>
    </row>
    <row r="63" spans="2:16" x14ac:dyDescent="0.2">
      <c r="B63" s="796" t="s">
        <v>213</v>
      </c>
      <c r="C63" s="798">
        <f>'Consolidated - P&amp;L'!FE212</f>
        <v>-4.9974833989498542E-2</v>
      </c>
      <c r="D63" s="798">
        <f>'Consolidated - P&amp;L'!FF212</f>
        <v>2.7388649963201433E-3</v>
      </c>
      <c r="E63" s="798">
        <f>'Consolidated - P&amp;L'!FG212</f>
        <v>1.5186900627528838E-2</v>
      </c>
      <c r="F63" s="798">
        <f>'Consolidated - P&amp;L'!FH212</f>
        <v>2.2056004643665958E-2</v>
      </c>
      <c r="G63" s="798">
        <f>'Consolidated - P&amp;L'!FI212</f>
        <v>4.1940121711323192E-2</v>
      </c>
      <c r="H63" s="798">
        <f>'Consolidated - P&amp;L'!FJ212</f>
        <v>5.0291789912568344E-2</v>
      </c>
      <c r="J63" s="796" t="s">
        <v>213</v>
      </c>
      <c r="K63" s="798">
        <f>'Consolidated - P&amp;L'!FM212</f>
        <v>0</v>
      </c>
      <c r="L63" s="798">
        <f>'Consolidated - P&amp;L'!FN212</f>
        <v>0</v>
      </c>
      <c r="M63" s="798">
        <f>'Consolidated - P&amp;L'!FO212</f>
        <v>0</v>
      </c>
      <c r="N63" s="798">
        <f>'Consolidated - P&amp;L'!FP212</f>
        <v>0</v>
      </c>
      <c r="O63" s="798">
        <f>'Consolidated - P&amp;L'!FQ212</f>
        <v>0</v>
      </c>
      <c r="P63" s="798">
        <f>'Consolidated - P&amp;L'!FR212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F344-13E8-4322-8A7E-F881650B126C}">
  <sheetPr>
    <tabColor theme="7" tint="-0.249977111117893"/>
  </sheetPr>
  <dimension ref="B1:FK262"/>
  <sheetViews>
    <sheetView showGridLines="0" zoomScale="116" zoomScaleNormal="100" workbookViewId="0">
      <pane xSplit="2" ySplit="2" topLeftCell="ED3" activePane="bottomRight" state="frozen"/>
      <selection pane="topRight" activeCell="C1" sqref="C1"/>
      <selection pane="bottomLeft" activeCell="A3" sqref="A3"/>
      <selection pane="bottomRight" activeCell="EF4" sqref="EF4"/>
    </sheetView>
  </sheetViews>
  <sheetFormatPr baseColWidth="10" defaultColWidth="8.6640625" defaultRowHeight="15" x14ac:dyDescent="0.2"/>
  <cols>
    <col min="1" max="1" width="2.83203125" customWidth="1"/>
    <col min="2" max="2" width="60" bestFit="1" customWidth="1"/>
    <col min="3" max="3" width="18.33203125" style="152" bestFit="1" customWidth="1"/>
    <col min="4" max="4" width="17.83203125" style="152" bestFit="1" customWidth="1"/>
    <col min="5" max="6" width="18.33203125" style="152" bestFit="1" customWidth="1"/>
    <col min="7" max="7" width="17.83203125" style="152" bestFit="1" customWidth="1"/>
    <col min="8" max="10" width="18.33203125" style="152" bestFit="1" customWidth="1"/>
    <col min="11" max="11" width="19.1640625" style="152" bestFit="1" customWidth="1"/>
    <col min="12" max="16" width="18.33203125" style="152" bestFit="1" customWidth="1"/>
    <col min="17" max="17" width="18.1640625" style="152" bestFit="1" customWidth="1"/>
    <col min="18" max="27" width="18.33203125" style="152" bestFit="1" customWidth="1"/>
    <col min="28" max="28" width="17.83203125" style="152" bestFit="1" customWidth="1"/>
    <col min="29" max="29" width="18.1640625" style="152" bestFit="1" customWidth="1"/>
    <col min="30" max="32" width="18.33203125" style="152" bestFit="1" customWidth="1"/>
    <col min="33" max="33" width="17.83203125" style="152" bestFit="1" customWidth="1"/>
    <col min="34" max="36" width="18.33203125" style="152" bestFit="1" customWidth="1"/>
    <col min="37" max="37" width="19.33203125" style="152" bestFit="1" customWidth="1"/>
    <col min="38" max="38" width="20.1640625" style="152" bestFit="1" customWidth="1"/>
    <col min="39" max="39" width="19.6640625" style="152" bestFit="1" customWidth="1"/>
    <col min="40" max="40" width="20.1640625" style="152" bestFit="1" customWidth="1"/>
    <col min="41" max="41" width="18.83203125" style="152" bestFit="1" customWidth="1"/>
    <col min="42" max="42" width="19.33203125" style="152" bestFit="1" customWidth="1"/>
    <col min="43" max="45" width="18.33203125" style="152" bestFit="1" customWidth="1"/>
    <col min="46" max="46" width="19.6640625" style="152" bestFit="1" customWidth="1"/>
    <col min="47" max="47" width="20.1640625" style="152" bestFit="1" customWidth="1"/>
    <col min="48" max="48" width="18.33203125" style="152" bestFit="1" customWidth="1"/>
    <col min="49" max="49" width="19.1640625" style="152" bestFit="1" customWidth="1"/>
    <col min="50" max="50" width="19.33203125" style="152" bestFit="1" customWidth="1"/>
    <col min="51" max="52" width="19.6640625" style="152" bestFit="1" customWidth="1"/>
    <col min="53" max="53" width="20.1640625" style="152" bestFit="1" customWidth="1"/>
    <col min="54" max="54" width="20.5" style="152" bestFit="1" customWidth="1"/>
    <col min="55" max="55" width="20.1640625" style="152" bestFit="1" customWidth="1"/>
    <col min="56" max="57" width="20.5" style="152" bestFit="1" customWidth="1"/>
    <col min="58" max="58" width="20.1640625" style="152" bestFit="1" customWidth="1"/>
    <col min="59" max="61" width="20.5" style="152" bestFit="1" customWidth="1"/>
    <col min="62" max="64" width="20.1640625" style="152" bestFit="1" customWidth="1"/>
    <col min="65" max="69" width="20.5" style="152" bestFit="1" customWidth="1"/>
    <col min="70" max="77" width="20.1640625" style="152" bestFit="1" customWidth="1"/>
    <col min="78" max="78" width="20.5" style="152" bestFit="1" customWidth="1"/>
    <col min="79" max="86" width="20.1640625" style="152" bestFit="1" customWidth="1"/>
    <col min="87" max="87" width="20.5" style="152" bestFit="1" customWidth="1"/>
    <col min="88" max="93" width="20.1640625" style="152" bestFit="1" customWidth="1"/>
    <col min="94" max="95" width="20.5" style="152" bestFit="1" customWidth="1"/>
    <col min="96" max="96" width="20.1640625" style="152" bestFit="1" customWidth="1"/>
    <col min="97" max="97" width="20.5" style="152" bestFit="1" customWidth="1"/>
    <col min="98" max="98" width="20.1640625" style="152" bestFit="1" customWidth="1"/>
    <col min="99" max="99" width="20.5" style="152" bestFit="1" customWidth="1"/>
    <col min="100" max="100" width="20.1640625" style="152" bestFit="1" customWidth="1"/>
    <col min="101" max="108" width="20.5" style="152" bestFit="1" customWidth="1"/>
    <col min="109" max="109" width="20.1640625" style="152" bestFit="1" customWidth="1"/>
    <col min="110" max="111" width="20.5" style="152" bestFit="1" customWidth="1"/>
    <col min="112" max="112" width="20.1640625" style="152" bestFit="1" customWidth="1"/>
    <col min="113" max="117" width="20.5" style="152" bestFit="1" customWidth="1"/>
    <col min="118" max="119" width="20.1640625" style="152" bestFit="1" customWidth="1"/>
    <col min="120" max="122" width="20.5" style="152" bestFit="1" customWidth="1"/>
    <col min="123" max="134" width="20.5" style="152" customWidth="1"/>
    <col min="136" max="142" width="20.5" bestFit="1" customWidth="1"/>
    <col min="143" max="143" width="20.1640625" bestFit="1" customWidth="1"/>
    <col min="144" max="152" width="20.5" bestFit="1" customWidth="1"/>
    <col min="153" max="153" width="20.6640625" bestFit="1" customWidth="1"/>
    <col min="154" max="154" width="20.5" bestFit="1" customWidth="1"/>
    <col min="155" max="155" width="21.83203125" bestFit="1" customWidth="1"/>
    <col min="156" max="159" width="21.83203125" customWidth="1"/>
    <col min="161" max="162" width="21.83203125" bestFit="1" customWidth="1"/>
    <col min="163" max="165" width="22.1640625" bestFit="1" customWidth="1"/>
    <col min="166" max="166" width="22.1640625" customWidth="1"/>
    <col min="167" max="167" width="2.83203125" bestFit="1" customWidth="1"/>
  </cols>
  <sheetData>
    <row r="1" spans="2:167" x14ac:dyDescent="0.2"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</row>
    <row r="2" spans="2:167" ht="16" thickBot="1" x14ac:dyDescent="0.25">
      <c r="B2" s="153" t="s">
        <v>589</v>
      </c>
      <c r="C2" s="825">
        <v>43208</v>
      </c>
      <c r="D2" s="825">
        <v>43238</v>
      </c>
      <c r="E2" s="825">
        <v>43269</v>
      </c>
      <c r="F2" s="825">
        <v>43282</v>
      </c>
      <c r="G2" s="825">
        <v>43313</v>
      </c>
      <c r="H2" s="825">
        <v>43344</v>
      </c>
      <c r="I2" s="825">
        <v>43374</v>
      </c>
      <c r="J2" s="825">
        <v>43405</v>
      </c>
      <c r="K2" s="825">
        <v>43435</v>
      </c>
      <c r="L2" s="825">
        <v>43466</v>
      </c>
      <c r="M2" s="825">
        <v>43497</v>
      </c>
      <c r="N2" s="825">
        <v>43525</v>
      </c>
      <c r="O2" s="825">
        <v>43556</v>
      </c>
      <c r="P2" s="825">
        <v>43586</v>
      </c>
      <c r="Q2" s="825">
        <v>43617</v>
      </c>
      <c r="R2" s="825">
        <v>43647</v>
      </c>
      <c r="S2" s="825">
        <v>43678</v>
      </c>
      <c r="T2" s="825">
        <v>43709</v>
      </c>
      <c r="U2" s="825">
        <v>43740</v>
      </c>
      <c r="V2" s="825">
        <v>43771</v>
      </c>
      <c r="W2" s="825">
        <v>43802</v>
      </c>
      <c r="X2" s="825">
        <v>43833</v>
      </c>
      <c r="Y2" s="825">
        <v>43864</v>
      </c>
      <c r="Z2" s="825">
        <v>43895</v>
      </c>
      <c r="AA2" s="825">
        <v>43926</v>
      </c>
      <c r="AB2" s="825">
        <v>43957</v>
      </c>
      <c r="AC2" s="825">
        <v>43988</v>
      </c>
      <c r="AD2" s="825">
        <v>44019</v>
      </c>
      <c r="AE2" s="825">
        <v>44050</v>
      </c>
      <c r="AF2" s="825">
        <v>44081</v>
      </c>
      <c r="AG2" s="825">
        <v>44112</v>
      </c>
      <c r="AH2" s="825">
        <v>44143</v>
      </c>
      <c r="AI2" s="825">
        <v>44174</v>
      </c>
      <c r="AJ2" s="825">
        <v>44205</v>
      </c>
      <c r="AK2" s="825">
        <v>44236</v>
      </c>
      <c r="AL2" s="825">
        <v>44267</v>
      </c>
      <c r="AM2" s="825">
        <v>44298</v>
      </c>
      <c r="AN2" s="825">
        <v>44329</v>
      </c>
      <c r="AO2" s="825">
        <v>44360</v>
      </c>
      <c r="AP2" s="825">
        <v>44391</v>
      </c>
      <c r="AQ2" s="825">
        <v>44422</v>
      </c>
      <c r="AR2" s="825">
        <v>44453</v>
      </c>
      <c r="AS2" s="825">
        <v>44484</v>
      </c>
      <c r="AT2" s="825">
        <v>44515</v>
      </c>
      <c r="AU2" s="825">
        <v>44546</v>
      </c>
      <c r="AV2" s="825">
        <v>44577</v>
      </c>
      <c r="AW2" s="825">
        <v>44608</v>
      </c>
      <c r="AX2" s="825">
        <v>44639</v>
      </c>
      <c r="AY2" s="825">
        <v>44670</v>
      </c>
      <c r="AZ2" s="825">
        <v>44701</v>
      </c>
      <c r="BA2" s="825">
        <v>44732</v>
      </c>
      <c r="BB2" s="825">
        <v>44763</v>
      </c>
      <c r="BC2" s="825">
        <v>44794</v>
      </c>
      <c r="BD2" s="825">
        <v>44825</v>
      </c>
      <c r="BE2" s="825">
        <v>44856</v>
      </c>
      <c r="BF2" s="825">
        <v>44887</v>
      </c>
      <c r="BG2" s="825">
        <v>44918</v>
      </c>
      <c r="BH2" s="825">
        <v>44949</v>
      </c>
      <c r="BI2" s="825">
        <v>44980</v>
      </c>
      <c r="BJ2" s="825">
        <v>45011</v>
      </c>
      <c r="BK2" s="825">
        <v>45042</v>
      </c>
      <c r="BL2" s="825">
        <v>45073</v>
      </c>
      <c r="BM2" s="825">
        <v>45104</v>
      </c>
      <c r="BN2" s="825">
        <v>45135</v>
      </c>
      <c r="BO2" s="825">
        <v>45166</v>
      </c>
      <c r="BP2" s="825">
        <v>45197</v>
      </c>
      <c r="BQ2" s="825">
        <v>45228</v>
      </c>
      <c r="BR2" s="825">
        <v>45259</v>
      </c>
      <c r="BS2" s="825">
        <v>45290</v>
      </c>
      <c r="BT2" s="825">
        <v>45321</v>
      </c>
      <c r="BU2" s="825">
        <v>45351</v>
      </c>
      <c r="BV2" s="825">
        <v>45381</v>
      </c>
      <c r="BW2" s="825">
        <v>45411</v>
      </c>
      <c r="BX2" s="825">
        <v>45441</v>
      </c>
      <c r="BY2" s="825">
        <v>45471</v>
      </c>
      <c r="BZ2" s="825">
        <v>45501</v>
      </c>
      <c r="CA2" s="825">
        <v>45531</v>
      </c>
      <c r="CB2" s="825">
        <v>45561</v>
      </c>
      <c r="CC2" s="825">
        <v>45591</v>
      </c>
      <c r="CD2" s="825">
        <v>45621</v>
      </c>
      <c r="CE2" s="825">
        <v>45651</v>
      </c>
      <c r="CF2" s="825">
        <v>45681</v>
      </c>
      <c r="CG2" s="825">
        <v>45711</v>
      </c>
      <c r="CH2" s="825">
        <v>45741</v>
      </c>
      <c r="CI2" s="825">
        <v>45771</v>
      </c>
      <c r="CJ2" s="825">
        <v>45801</v>
      </c>
      <c r="CK2" s="825">
        <v>45831</v>
      </c>
      <c r="CL2" s="825">
        <v>45861</v>
      </c>
      <c r="CM2" s="825">
        <v>45891</v>
      </c>
      <c r="CN2" s="825">
        <v>45921</v>
      </c>
      <c r="CO2" s="825">
        <v>45951</v>
      </c>
      <c r="CP2" s="825">
        <v>45981</v>
      </c>
      <c r="CQ2" s="825">
        <v>46011</v>
      </c>
      <c r="CR2" s="825">
        <v>46041</v>
      </c>
      <c r="CS2" s="825">
        <v>46071</v>
      </c>
      <c r="CT2" s="825">
        <v>46101</v>
      </c>
      <c r="CU2" s="235">
        <v>46131</v>
      </c>
      <c r="CV2" s="235">
        <v>46161</v>
      </c>
      <c r="CW2" s="235">
        <v>46191</v>
      </c>
      <c r="CX2" s="235">
        <v>46221</v>
      </c>
      <c r="CY2" s="235">
        <v>46251</v>
      </c>
      <c r="CZ2" s="235">
        <v>46281</v>
      </c>
      <c r="DA2" s="235">
        <v>46311</v>
      </c>
      <c r="DB2" s="235">
        <v>46341</v>
      </c>
      <c r="DC2" s="235">
        <v>46371</v>
      </c>
      <c r="DD2" s="235">
        <v>46401</v>
      </c>
      <c r="DE2" s="235">
        <v>46431</v>
      </c>
      <c r="DF2" s="235">
        <v>46461</v>
      </c>
      <c r="DG2" s="235">
        <v>46491</v>
      </c>
      <c r="DH2" s="235">
        <v>46521</v>
      </c>
      <c r="DI2" s="235">
        <v>46551</v>
      </c>
      <c r="DJ2" s="235">
        <v>46581</v>
      </c>
      <c r="DK2" s="235">
        <v>46611</v>
      </c>
      <c r="DL2" s="235">
        <v>46641</v>
      </c>
      <c r="DM2" s="235">
        <v>46671</v>
      </c>
      <c r="DN2" s="235">
        <v>46701</v>
      </c>
      <c r="DO2" s="235">
        <v>46731</v>
      </c>
      <c r="DP2" s="235">
        <v>46761</v>
      </c>
      <c r="DQ2" s="768">
        <v>46791</v>
      </c>
      <c r="DR2" s="768">
        <v>46820</v>
      </c>
      <c r="DS2" s="768">
        <v>46850</v>
      </c>
      <c r="DT2" s="768">
        <v>46880</v>
      </c>
      <c r="DU2" s="768">
        <v>46910</v>
      </c>
      <c r="DV2" s="768">
        <v>46940</v>
      </c>
      <c r="DW2" s="768">
        <v>46970</v>
      </c>
      <c r="DX2" s="768">
        <v>47000</v>
      </c>
      <c r="DY2" s="768">
        <v>47030</v>
      </c>
      <c r="DZ2" s="768">
        <v>47060</v>
      </c>
      <c r="EA2" s="768">
        <v>47090</v>
      </c>
      <c r="EB2" s="768">
        <v>47120</v>
      </c>
      <c r="EC2" s="768">
        <v>47150</v>
      </c>
      <c r="ED2" s="768">
        <v>47180</v>
      </c>
      <c r="EE2" s="222"/>
      <c r="EF2" s="825" t="s">
        <v>77</v>
      </c>
      <c r="EG2" s="825" t="s">
        <v>78</v>
      </c>
      <c r="EH2" s="825" t="s">
        <v>79</v>
      </c>
      <c r="EI2" s="825" t="s">
        <v>80</v>
      </c>
      <c r="EJ2" s="825" t="s">
        <v>81</v>
      </c>
      <c r="EK2" s="825" t="s">
        <v>82</v>
      </c>
      <c r="EL2" s="825" t="s">
        <v>83</v>
      </c>
      <c r="EM2" s="825" t="s">
        <v>84</v>
      </c>
      <c r="EN2" s="825" t="s">
        <v>85</v>
      </c>
      <c r="EO2" s="825" t="s">
        <v>86</v>
      </c>
      <c r="EP2" s="825" t="s">
        <v>87</v>
      </c>
      <c r="EQ2" s="825" t="s">
        <v>88</v>
      </c>
      <c r="ER2" s="234" t="s">
        <v>117</v>
      </c>
      <c r="ES2" s="234" t="s">
        <v>118</v>
      </c>
      <c r="ET2" s="234" t="s">
        <v>119</v>
      </c>
      <c r="EU2" s="234" t="s">
        <v>120</v>
      </c>
      <c r="EV2" s="234" t="s">
        <v>121</v>
      </c>
      <c r="EW2" s="234" t="s">
        <v>122</v>
      </c>
      <c r="EX2" s="234" t="s">
        <v>123</v>
      </c>
      <c r="EY2" s="234" t="s">
        <v>124</v>
      </c>
      <c r="EZ2" s="234" t="s">
        <v>583</v>
      </c>
      <c r="FA2" s="234" t="s">
        <v>584</v>
      </c>
      <c r="FB2" s="234" t="s">
        <v>585</v>
      </c>
      <c r="FC2" s="234" t="s">
        <v>581</v>
      </c>
      <c r="FD2" s="60"/>
      <c r="FE2" s="825" t="s">
        <v>486</v>
      </c>
      <c r="FF2" s="825" t="s">
        <v>128</v>
      </c>
      <c r="FG2" s="825" t="s">
        <v>125</v>
      </c>
      <c r="FH2" s="234" t="s">
        <v>126</v>
      </c>
      <c r="FI2" s="234" t="s">
        <v>127</v>
      </c>
      <c r="FJ2" s="234" t="s">
        <v>582</v>
      </c>
      <c r="FK2" s="545" t="s">
        <v>1</v>
      </c>
    </row>
    <row r="3" spans="2:167" x14ac:dyDescent="0.2">
      <c r="B3" s="296" t="s">
        <v>308</v>
      </c>
      <c r="C3" s="297">
        <f>SUM(C4:C9)</f>
        <v>206258738.66414136</v>
      </c>
      <c r="D3" s="297">
        <f t="shared" ref="D3:BO3" si="0">SUM(D4:D9)</f>
        <v>220217776.22</v>
      </c>
      <c r="E3" s="297">
        <f t="shared" si="0"/>
        <v>222370276.85471714</v>
      </c>
      <c r="F3" s="297">
        <f t="shared" si="0"/>
        <v>234228398.53374621</v>
      </c>
      <c r="G3" s="297">
        <f t="shared" si="0"/>
        <v>234271914.99635258</v>
      </c>
      <c r="H3" s="297">
        <f t="shared" si="0"/>
        <v>228785633.55430979</v>
      </c>
      <c r="I3" s="297">
        <f t="shared" si="0"/>
        <v>248717615.66000003</v>
      </c>
      <c r="J3" s="297">
        <f t="shared" si="0"/>
        <v>238640675.08000001</v>
      </c>
      <c r="K3" s="297">
        <f t="shared" si="0"/>
        <v>295059373.63</v>
      </c>
      <c r="L3" s="297">
        <f t="shared" si="0"/>
        <v>293382017.42071432</v>
      </c>
      <c r="M3" s="297">
        <f t="shared" si="0"/>
        <v>301934035.42512029</v>
      </c>
      <c r="N3" s="297">
        <f t="shared" si="0"/>
        <v>289098040.13928574</v>
      </c>
      <c r="O3" s="297">
        <f t="shared" si="0"/>
        <v>358803976.90678507</v>
      </c>
      <c r="P3" s="297">
        <f t="shared" si="0"/>
        <v>366035473.26928651</v>
      </c>
      <c r="Q3" s="297">
        <f t="shared" si="0"/>
        <v>378328015.10890734</v>
      </c>
      <c r="R3" s="297">
        <f t="shared" si="0"/>
        <v>402032176.57964283</v>
      </c>
      <c r="S3" s="297">
        <f t="shared" si="0"/>
        <v>330856698.98609269</v>
      </c>
      <c r="T3" s="297">
        <f t="shared" si="0"/>
        <v>319416558.31999999</v>
      </c>
      <c r="U3" s="297">
        <f t="shared" si="0"/>
        <v>289761638.81999999</v>
      </c>
      <c r="V3" s="297">
        <f t="shared" si="0"/>
        <v>296629345.86000001</v>
      </c>
      <c r="W3" s="297">
        <f t="shared" si="0"/>
        <v>339687702.0857293</v>
      </c>
      <c r="X3" s="297">
        <f t="shared" si="0"/>
        <v>360244531.76547146</v>
      </c>
      <c r="Y3" s="297">
        <f t="shared" si="0"/>
        <v>397182181.46116912</v>
      </c>
      <c r="Z3" s="297">
        <f t="shared" si="0"/>
        <v>261540504.44335714</v>
      </c>
      <c r="AA3" s="297">
        <f t="shared" si="0"/>
        <v>4096955</v>
      </c>
      <c r="AB3" s="297">
        <f t="shared" si="0"/>
        <v>204192772.37795255</v>
      </c>
      <c r="AC3" s="297">
        <f t="shared" si="0"/>
        <v>267218868.94576427</v>
      </c>
      <c r="AD3" s="297">
        <f t="shared" si="0"/>
        <v>278203434.93840003</v>
      </c>
      <c r="AE3" s="297">
        <f t="shared" si="0"/>
        <v>390654079.90999997</v>
      </c>
      <c r="AF3" s="297">
        <f t="shared" si="0"/>
        <v>404021530.74599999</v>
      </c>
      <c r="AG3" s="297">
        <f t="shared" si="0"/>
        <v>424197658.95599997</v>
      </c>
      <c r="AH3" s="297">
        <f t="shared" si="0"/>
        <v>427650701.80500007</v>
      </c>
      <c r="AI3" s="297">
        <f t="shared" si="0"/>
        <v>595540167.51367629</v>
      </c>
      <c r="AJ3" s="297">
        <f t="shared" si="0"/>
        <v>590139937.3589834</v>
      </c>
      <c r="AK3" s="297">
        <f t="shared" si="0"/>
        <v>623678030.24356782</v>
      </c>
      <c r="AL3" s="297">
        <f t="shared" si="0"/>
        <v>583283856.74072349</v>
      </c>
      <c r="AM3" s="297">
        <f t="shared" si="0"/>
        <v>405633342.33997905</v>
      </c>
      <c r="AN3" s="297">
        <f t="shared" si="0"/>
        <v>183788582.77617463</v>
      </c>
      <c r="AO3" s="297">
        <f t="shared" si="0"/>
        <v>442794731.21999997</v>
      </c>
      <c r="AP3" s="297">
        <f t="shared" si="0"/>
        <v>600330156.46000004</v>
      </c>
      <c r="AQ3" s="297">
        <f t="shared" si="0"/>
        <v>637662311.84997904</v>
      </c>
      <c r="AR3" s="297">
        <f t="shared" si="0"/>
        <v>677394221.09931278</v>
      </c>
      <c r="AS3" s="297">
        <f t="shared" si="0"/>
        <v>749630758.80000031</v>
      </c>
      <c r="AT3" s="297">
        <f t="shared" si="0"/>
        <v>728537788.41840017</v>
      </c>
      <c r="AU3" s="297">
        <f t="shared" si="0"/>
        <v>899389056.68561113</v>
      </c>
      <c r="AV3" s="297">
        <f t="shared" si="0"/>
        <v>909195499.36320305</v>
      </c>
      <c r="AW3" s="297">
        <f t="shared" si="0"/>
        <v>892027461.9223963</v>
      </c>
      <c r="AX3" s="297">
        <f t="shared" si="0"/>
        <v>936009178.93399501</v>
      </c>
      <c r="AY3" s="297">
        <f t="shared" si="0"/>
        <v>830736642.51439595</v>
      </c>
      <c r="AZ3" s="297">
        <f t="shared" si="0"/>
        <v>910595361.67400479</v>
      </c>
      <c r="BA3" s="297">
        <f t="shared" si="0"/>
        <v>885279628.76837981</v>
      </c>
      <c r="BB3" s="297">
        <f t="shared" si="0"/>
        <v>898032098.66207123</v>
      </c>
      <c r="BC3" s="297">
        <f t="shared" si="0"/>
        <v>908102835.50067425</v>
      </c>
      <c r="BD3" s="297">
        <f t="shared" si="0"/>
        <v>979014564.30946136</v>
      </c>
      <c r="BE3" s="297">
        <f t="shared" si="0"/>
        <v>1084245610.2281296</v>
      </c>
      <c r="BF3" s="297">
        <f t="shared" si="0"/>
        <v>1050494350.070722</v>
      </c>
      <c r="BG3" s="297">
        <f t="shared" si="0"/>
        <v>1248714935.3519168</v>
      </c>
      <c r="BH3" s="297">
        <f t="shared" si="0"/>
        <v>1259904438.6066329</v>
      </c>
      <c r="BI3" s="297">
        <f t="shared" si="0"/>
        <v>1163362464.4736416</v>
      </c>
      <c r="BJ3" s="297">
        <f t="shared" si="0"/>
        <v>1438358243.7881856</v>
      </c>
      <c r="BK3" s="297">
        <f t="shared" si="0"/>
        <v>1432090411.9657743</v>
      </c>
      <c r="BL3" s="297">
        <f t="shared" si="0"/>
        <v>1426528395.8813617</v>
      </c>
      <c r="BM3" s="297">
        <f t="shared" si="0"/>
        <v>1343822199.0338309</v>
      </c>
      <c r="BN3" s="297">
        <f t="shared" si="0"/>
        <v>1287911787.4493618</v>
      </c>
      <c r="BO3" s="297">
        <f t="shared" si="0"/>
        <v>1319255929.9270406</v>
      </c>
      <c r="BP3" s="297">
        <f t="shared" ref="BP3:DR3" si="1">SUM(BP4:BP9)</f>
        <v>1266271002.8620374</v>
      </c>
      <c r="BQ3" s="297">
        <f t="shared" si="1"/>
        <v>1680738162.8832119</v>
      </c>
      <c r="BR3" s="297">
        <f t="shared" si="1"/>
        <v>1471645440.8441393</v>
      </c>
      <c r="BS3" s="297">
        <f t="shared" si="1"/>
        <v>1363339529.6562545</v>
      </c>
      <c r="BT3" s="297">
        <f t="shared" si="1"/>
        <v>1384321390.1268032</v>
      </c>
      <c r="BU3" s="297">
        <f t="shared" si="1"/>
        <v>1263074231.3885305</v>
      </c>
      <c r="BV3" s="297">
        <f t="shared" si="1"/>
        <v>1371881693.7765422</v>
      </c>
      <c r="BW3" s="297">
        <f t="shared" si="1"/>
        <v>1377995659.7343311</v>
      </c>
      <c r="BX3" s="297">
        <f t="shared" si="1"/>
        <v>1477851337.1224504</v>
      </c>
      <c r="BY3" s="297">
        <f t="shared" si="1"/>
        <v>1448325581.7461402</v>
      </c>
      <c r="BZ3" s="297">
        <f t="shared" si="1"/>
        <v>1528183375.8089626</v>
      </c>
      <c r="CA3" s="297">
        <f t="shared" si="1"/>
        <v>1401697427.4362409</v>
      </c>
      <c r="CB3" s="297">
        <f t="shared" si="1"/>
        <v>1319725413.967783</v>
      </c>
      <c r="CC3" s="297">
        <f t="shared" si="1"/>
        <v>1638993872.8477111</v>
      </c>
      <c r="CD3" s="297">
        <f t="shared" si="1"/>
        <v>1496556573.8814795</v>
      </c>
      <c r="CE3" s="297">
        <f t="shared" si="1"/>
        <v>1661138484.4151609</v>
      </c>
      <c r="CF3" s="297">
        <f t="shared" si="1"/>
        <v>1811888750.1767406</v>
      </c>
      <c r="CG3" s="297">
        <f t="shared" si="1"/>
        <v>1879580208.0641394</v>
      </c>
      <c r="CH3" s="297">
        <f t="shared" si="1"/>
        <v>2159994058.0343013</v>
      </c>
      <c r="CI3" s="297">
        <f t="shared" si="1"/>
        <v>2020826645.7989893</v>
      </c>
      <c r="CJ3" s="297">
        <f t="shared" si="1"/>
        <v>2010752749.0550096</v>
      </c>
      <c r="CK3" s="297">
        <f t="shared" si="1"/>
        <v>2014088639.3054435</v>
      </c>
      <c r="CL3" s="297">
        <f t="shared" si="1"/>
        <v>2090881903.4891725</v>
      </c>
      <c r="CM3" s="297">
        <f t="shared" si="1"/>
        <v>1834056285.6120009</v>
      </c>
      <c r="CN3" s="297">
        <f t="shared" si="1"/>
        <v>1868823680.3385015</v>
      </c>
      <c r="CO3" s="297">
        <f t="shared" si="1"/>
        <v>2312314658.4128881</v>
      </c>
      <c r="CP3" s="297">
        <f t="shared" si="1"/>
        <v>2176107825.3429995</v>
      </c>
      <c r="CQ3" s="297">
        <f t="shared" si="1"/>
        <v>2562750720.8119955</v>
      </c>
      <c r="CR3" s="297">
        <f t="shared" si="1"/>
        <v>2731901839.3486385</v>
      </c>
      <c r="CS3" s="297">
        <f t="shared" si="1"/>
        <v>2483770459.8899546</v>
      </c>
      <c r="CT3" s="297">
        <f t="shared" si="1"/>
        <v>2861553427.1232481</v>
      </c>
      <c r="CU3" s="297">
        <f t="shared" si="1"/>
        <v>2597957166.2417006</v>
      </c>
      <c r="CV3" s="297">
        <f t="shared" si="1"/>
        <v>2670490702.2811837</v>
      </c>
      <c r="CW3" s="297">
        <f t="shared" si="1"/>
        <v>2627189730.413878</v>
      </c>
      <c r="CX3" s="297">
        <f t="shared" si="1"/>
        <v>2760475164.2960858</v>
      </c>
      <c r="CY3" s="297">
        <f t="shared" si="1"/>
        <v>2548983940.3655128</v>
      </c>
      <c r="CZ3" s="297">
        <f t="shared" si="1"/>
        <v>2578724618.1541805</v>
      </c>
      <c r="DA3" s="297">
        <f t="shared" si="1"/>
        <v>3013794888.086503</v>
      </c>
      <c r="DB3" s="297">
        <f t="shared" si="1"/>
        <v>2835794074.1125698</v>
      </c>
      <c r="DC3" s="297">
        <f t="shared" si="1"/>
        <v>3216207497.8524103</v>
      </c>
      <c r="DD3" s="297">
        <f t="shared" si="1"/>
        <v>3272896375.7793698</v>
      </c>
      <c r="DE3" s="297">
        <f t="shared" si="1"/>
        <v>2973733344.3304276</v>
      </c>
      <c r="DF3" s="297">
        <f t="shared" si="1"/>
        <v>3284667681.0889597</v>
      </c>
      <c r="DG3" s="297">
        <f t="shared" si="1"/>
        <v>3158577429.4812484</v>
      </c>
      <c r="DH3" s="297">
        <f t="shared" si="1"/>
        <v>3248829185.9735432</v>
      </c>
      <c r="DI3" s="297">
        <f t="shared" si="1"/>
        <v>3190242331.4394941</v>
      </c>
      <c r="DJ3" s="297">
        <f t="shared" si="1"/>
        <v>3350244474.5900245</v>
      </c>
      <c r="DK3" s="297">
        <f t="shared" si="1"/>
        <v>3091514174.1038799</v>
      </c>
      <c r="DL3" s="297">
        <f t="shared" si="1"/>
        <v>3119553292.1807981</v>
      </c>
      <c r="DM3" s="297">
        <f t="shared" si="1"/>
        <v>3645569737.3521895</v>
      </c>
      <c r="DN3" s="297">
        <f t="shared" si="1"/>
        <v>3434341952.5606637</v>
      </c>
      <c r="DO3" s="297">
        <f t="shared" si="1"/>
        <v>3889981397.8569317</v>
      </c>
      <c r="DP3" s="297">
        <f t="shared" si="1"/>
        <v>3950270148.2367849</v>
      </c>
      <c r="DQ3" s="297">
        <f t="shared" si="1"/>
        <v>3586969096.3931403</v>
      </c>
      <c r="DR3" s="297">
        <f t="shared" si="1"/>
        <v>3942687031.0666685</v>
      </c>
      <c r="DS3" s="297">
        <f t="shared" ref="DS3:ED3" si="2">SUM(DS4:DS9)</f>
        <v>3687385882.3372421</v>
      </c>
      <c r="DT3" s="297">
        <f t="shared" si="2"/>
        <v>3792238222.3220515</v>
      </c>
      <c r="DU3" s="297">
        <f t="shared" si="2"/>
        <v>3721911911.6076379</v>
      </c>
      <c r="DV3" s="297">
        <f t="shared" si="2"/>
        <v>3904728433.3588629</v>
      </c>
      <c r="DW3" s="297">
        <f t="shared" si="2"/>
        <v>3603149515.0281649</v>
      </c>
      <c r="DX3" s="297">
        <f t="shared" si="2"/>
        <v>3631589357.7942748</v>
      </c>
      <c r="DY3" s="297">
        <f t="shared" si="2"/>
        <v>4239534513.0696163</v>
      </c>
      <c r="DZ3" s="297">
        <f t="shared" si="2"/>
        <v>4006475038.3309445</v>
      </c>
      <c r="EA3" s="297">
        <f t="shared" si="2"/>
        <v>4538760763.7651558</v>
      </c>
      <c r="EB3" s="297">
        <f t="shared" si="2"/>
        <v>4606464086.3245392</v>
      </c>
      <c r="EC3" s="297">
        <f t="shared" si="2"/>
        <v>4183369621.1900625</v>
      </c>
      <c r="ED3" s="297">
        <f t="shared" si="2"/>
        <v>4589820868.9329729</v>
      </c>
      <c r="EE3" s="222"/>
      <c r="EF3" s="297">
        <f t="shared" ref="EF3:EF9" si="3">SUM(BK3:BM3)</f>
        <v>4202441006.8809671</v>
      </c>
      <c r="EG3" s="297">
        <f t="shared" ref="EG3:EG9" si="4">SUM(BN3:BP3)</f>
        <v>3873438720.2384396</v>
      </c>
      <c r="EH3" s="297">
        <f t="shared" ref="EH3:EH9" si="5">SUM(BQ3:BS3)</f>
        <v>4515723133.383606</v>
      </c>
      <c r="EI3" s="297">
        <f t="shared" ref="EI3:EI9" si="6">SUM(BT3:BV3)</f>
        <v>4019277315.2918758</v>
      </c>
      <c r="EJ3" s="297">
        <f t="shared" ref="EJ3:EJ9" si="7">SUM(BW3:BY3)</f>
        <v>4304172578.6029215</v>
      </c>
      <c r="EK3" s="297">
        <f t="shared" ref="EK3:EK9" si="8">SUM(BZ3:CB3)</f>
        <v>4249606217.2129865</v>
      </c>
      <c r="EL3" s="297">
        <f t="shared" ref="EL3:EL9" si="9">SUM(CC3:CE3)</f>
        <v>4796688931.144352</v>
      </c>
      <c r="EM3" s="297">
        <f t="shared" ref="EM3:EM9" si="10">SUM(CF3:CH3)</f>
        <v>5851463016.2751808</v>
      </c>
      <c r="EN3" s="297">
        <f t="shared" ref="EN3:EN9" si="11">SUM(CI3:CK3)</f>
        <v>6045668034.1594429</v>
      </c>
      <c r="EO3" s="297">
        <f t="shared" ref="EO3:EO9" si="12">SUM(CL3:CN3)</f>
        <v>5793761869.4396744</v>
      </c>
      <c r="EP3" s="297">
        <f t="shared" ref="EP3:EP9" si="13">SUM(CO3:CQ3)</f>
        <v>7051173204.5678835</v>
      </c>
      <c r="EQ3" s="297">
        <f t="shared" ref="EQ3:EQ9" si="14">SUM(CR3:CT3)</f>
        <v>8077225726.3618412</v>
      </c>
      <c r="ER3" s="297">
        <f t="shared" ref="ER3:ER9" si="15">SUM(CU3:CW3)</f>
        <v>7895637598.9367619</v>
      </c>
      <c r="ES3" s="297">
        <f t="shared" ref="ES3:ES9" si="16">SUM(CX3:CZ3)</f>
        <v>7888183722.8157787</v>
      </c>
      <c r="ET3" s="297">
        <f t="shared" ref="ET3:ET9" si="17">SUM(DA3:DC3)</f>
        <v>9065796460.0514832</v>
      </c>
      <c r="EU3" s="297">
        <f t="shared" ref="EU3:EU9" si="18">SUM(DD3:DF3)</f>
        <v>9531297401.1987572</v>
      </c>
      <c r="EV3" s="297">
        <f t="shared" ref="EV3:EV9" si="19">SUM(DG3:DI3)</f>
        <v>9597648946.8942871</v>
      </c>
      <c r="EW3" s="297">
        <f t="shared" ref="EW3:EW9" si="20">SUM(DJ3:DL3)</f>
        <v>9561311940.8747025</v>
      </c>
      <c r="EX3" s="297">
        <f t="shared" ref="EX3:EX9" si="21">SUM(DM3:DO3)</f>
        <v>10969893087.769785</v>
      </c>
      <c r="EY3" s="297">
        <f t="shared" ref="EY3:EY9" si="22">SUM(DP3:DR3)</f>
        <v>11479926275.696594</v>
      </c>
      <c r="EZ3" s="297">
        <f>SUM(DS3:DU3)</f>
        <v>11201536016.266932</v>
      </c>
      <c r="FA3" s="297">
        <f>SUM(DV3:DX3)</f>
        <v>11139467306.181303</v>
      </c>
      <c r="FB3" s="297">
        <f>SUM(DY3:EA3)</f>
        <v>12784770315.165716</v>
      </c>
      <c r="FC3" s="297">
        <f>SUM(EB3:ED3)</f>
        <v>13379654576.447575</v>
      </c>
      <c r="FE3" s="297">
        <f>SUM(EF3:EI3)</f>
        <v>16610880175.794889</v>
      </c>
      <c r="FF3" s="297">
        <f>SUM(EJ3:EM3)</f>
        <v>19201930743.235443</v>
      </c>
      <c r="FG3" s="297">
        <f>SUM(EN3:EQ3)</f>
        <v>26967828834.528839</v>
      </c>
      <c r="FH3" s="297">
        <f>SUM(ER3:EU3)</f>
        <v>34380915183.002777</v>
      </c>
      <c r="FI3" s="297">
        <f>SUM(EV3:EY3)</f>
        <v>41608780251.235367</v>
      </c>
      <c r="FJ3" s="774">
        <f>SUM(EZ3:FC3)</f>
        <v>48505428214.061523</v>
      </c>
      <c r="FK3" s="545" t="s">
        <v>1</v>
      </c>
    </row>
    <row r="4" spans="2:167" x14ac:dyDescent="0.2">
      <c r="B4" s="225" t="s">
        <v>304</v>
      </c>
      <c r="C4" s="19">
        <f>'B2B- Non Repair'!C3</f>
        <v>127373162</v>
      </c>
      <c r="D4" s="19">
        <f>'B2B- Non Repair'!D3</f>
        <v>119525214</v>
      </c>
      <c r="E4" s="19">
        <f>'B2B- Non Repair'!E3</f>
        <v>133618915.88573273</v>
      </c>
      <c r="F4" s="19">
        <f>'B2B- Non Repair'!F3</f>
        <v>155721260.4144277</v>
      </c>
      <c r="G4" s="19">
        <f>'B2B- Non Repair'!G3</f>
        <v>182921172.49998167</v>
      </c>
      <c r="H4" s="19">
        <f>'B2B- Non Repair'!H3</f>
        <v>190468885</v>
      </c>
      <c r="I4" s="19">
        <f>'B2B- Non Repair'!I3</f>
        <v>203496304</v>
      </c>
      <c r="J4" s="19">
        <f>'B2B- Non Repair'!J3</f>
        <v>191306750</v>
      </c>
      <c r="K4" s="19">
        <f>'B2B- Non Repair'!K3</f>
        <v>241759536</v>
      </c>
      <c r="L4" s="19">
        <f>'B2B- Non Repair'!L3</f>
        <v>234336044</v>
      </c>
      <c r="M4" s="19">
        <f>'B2B- Non Repair'!M3</f>
        <v>238581665.40440598</v>
      </c>
      <c r="N4" s="19">
        <f>'B2B- Non Repair'!N3</f>
        <v>208964937</v>
      </c>
      <c r="O4" s="19">
        <f>'B2B- Non Repair'!O3</f>
        <v>269521577.81535649</v>
      </c>
      <c r="P4" s="19">
        <f>'B2B- Non Repair'!P3</f>
        <v>266887280.18464351</v>
      </c>
      <c r="Q4" s="19">
        <f>'B2B- Non Repair'!Q3</f>
        <v>286264611.91390729</v>
      </c>
      <c r="R4" s="19">
        <f>'B2B- Non Repair'!R3</f>
        <v>292672912</v>
      </c>
      <c r="S4" s="19">
        <f>'B2B- Non Repair'!S3</f>
        <v>241502333.08609271</v>
      </c>
      <c r="T4" s="19">
        <f>'B2B- Non Repair'!T3</f>
        <v>214319223</v>
      </c>
      <c r="U4" s="19">
        <f>'B2B- Non Repair'!U3</f>
        <v>181364156</v>
      </c>
      <c r="V4" s="19">
        <f>'B2B- Non Repair'!V3</f>
        <v>220788768</v>
      </c>
      <c r="W4" s="19">
        <f>'B2B- Non Repair'!W3</f>
        <v>254495973.5</v>
      </c>
      <c r="X4" s="19">
        <f>'B2B- Non Repair'!X3</f>
        <v>257334479</v>
      </c>
      <c r="Y4" s="19">
        <f>'B2B- Non Repair'!Y3</f>
        <v>293793284.5179283</v>
      </c>
      <c r="Z4" s="19">
        <f>'B2B- Non Repair'!Z3</f>
        <v>182610351</v>
      </c>
      <c r="AA4" s="19">
        <f>'B2B- Non Repair'!AA3</f>
        <v>0</v>
      </c>
      <c r="AB4" s="19">
        <f>'B2B- Non Repair'!AB3</f>
        <v>140900548</v>
      </c>
      <c r="AC4" s="19">
        <f>'B2B- Non Repair'!AC3</f>
        <v>146263086</v>
      </c>
      <c r="AD4" s="19">
        <f>'B2B- Non Repair'!AD3</f>
        <v>119828870</v>
      </c>
      <c r="AE4" s="19">
        <f>'B2B- Non Repair'!AE3</f>
        <v>200258733</v>
      </c>
      <c r="AF4" s="19">
        <f>'B2B- Non Repair'!AF3</f>
        <v>206503898</v>
      </c>
      <c r="AG4" s="19">
        <f>'B2B- Non Repair'!AG3</f>
        <v>186804306</v>
      </c>
      <c r="AH4" s="19">
        <f>'B2B- Non Repair'!AH3</f>
        <v>220638888.32500002</v>
      </c>
      <c r="AI4" s="19">
        <f>'B2B- Non Repair'!AI3</f>
        <v>354432755.13367635</v>
      </c>
      <c r="AJ4" s="19">
        <f>'B2B- Non Repair'!AJ3</f>
        <v>305908596.7889834</v>
      </c>
      <c r="AK4" s="19">
        <f>'B2B- Non Repair'!AK3</f>
        <v>382602163.1035679</v>
      </c>
      <c r="AL4" s="19">
        <f>'B2B- Non Repair'!AL3</f>
        <v>321577169.91072345</v>
      </c>
      <c r="AM4" s="19">
        <f>'B2B- Non Repair'!AM3</f>
        <v>221847142.8799791</v>
      </c>
      <c r="AN4" s="19">
        <f>'B2B- Non Repair'!AN3</f>
        <v>103928152.47617462</v>
      </c>
      <c r="AO4" s="19">
        <f>'B2B- Non Repair'!AO3</f>
        <v>229507545.94999999</v>
      </c>
      <c r="AP4" s="19">
        <f>'B2B- Non Repair'!AP3</f>
        <v>322690111</v>
      </c>
      <c r="AQ4" s="19">
        <f>'B2B- Non Repair'!AQ3</f>
        <v>318471079.77997899</v>
      </c>
      <c r="AR4" s="19">
        <f>'B2B- Non Repair'!AR3</f>
        <v>309777508.02931261</v>
      </c>
      <c r="AS4" s="19">
        <f>'B2B- Non Repair'!AS3</f>
        <v>276140051.35999995</v>
      </c>
      <c r="AT4" s="19">
        <f>'B2B- Non Repair'!AT3</f>
        <v>314124397.13</v>
      </c>
      <c r="AU4" s="19">
        <f>'B2B- Non Repair'!AU3</f>
        <v>420504821.24440998</v>
      </c>
      <c r="AV4" s="19">
        <f>'B2B- Non Repair'!AV3</f>
        <v>387766797.39000005</v>
      </c>
      <c r="AW4" s="19">
        <f>'B2B- Non Repair'!AW3</f>
        <v>406585986</v>
      </c>
      <c r="AX4" s="19">
        <f>'B2B- Non Repair'!AX3</f>
        <v>367317139</v>
      </c>
      <c r="AY4" s="19">
        <f>'B2B- Non Repair'!AY3</f>
        <v>364497378</v>
      </c>
      <c r="AZ4" s="19">
        <f>'B2B- Non Repair'!AZ3</f>
        <v>418830243</v>
      </c>
      <c r="BA4" s="19">
        <f>'B2B- Non Repair'!BA3</f>
        <v>322870975.1767897</v>
      </c>
      <c r="BB4" s="19">
        <f>'B2B- Non Repair'!BB3</f>
        <v>359628843.35487264</v>
      </c>
      <c r="BC4" s="19">
        <f>'B2B- Non Repair'!BC3</f>
        <v>376695151.4534688</v>
      </c>
      <c r="BD4" s="19">
        <f>'B2B- Non Repair'!BD3</f>
        <v>376498617.62746155</v>
      </c>
      <c r="BE4" s="19">
        <f>'B2B- Non Repair'!BE3</f>
        <v>426381068.204934</v>
      </c>
      <c r="BF4" s="19">
        <f>'B2B- Non Repair'!BF3</f>
        <v>464667093.57513422</v>
      </c>
      <c r="BG4" s="19">
        <f>'B2B- Non Repair'!BG3</f>
        <v>586468513.06378782</v>
      </c>
      <c r="BH4" s="19">
        <f>'B2B- Non Repair'!BH3</f>
        <v>529432974.80171537</v>
      </c>
      <c r="BI4" s="19">
        <f>'B2B- Non Repair'!BI3</f>
        <v>438052413.00878203</v>
      </c>
      <c r="BJ4" s="19">
        <f>'B2B- Non Repair'!BJ3</f>
        <v>483097865.52214754</v>
      </c>
      <c r="BK4" s="19">
        <f>'B2B- Non Repair'!BK3</f>
        <v>465156106.77914608</v>
      </c>
      <c r="BL4" s="19">
        <f>'B2B- Non Repair'!BL3</f>
        <v>467761798.58857548</v>
      </c>
      <c r="BM4" s="19">
        <f>'B2B- Non Repair'!BM3</f>
        <v>356157796.08981013</v>
      </c>
      <c r="BN4" s="19">
        <f>'B2B- Non Repair'!BN3</f>
        <v>343848864.02146912</v>
      </c>
      <c r="BO4" s="19">
        <f>'B2B- Non Repair'!BO3</f>
        <v>357246301.53921914</v>
      </c>
      <c r="BP4" s="19">
        <f>'B2B- Non Repair'!BP3</f>
        <v>340491295.51765794</v>
      </c>
      <c r="BQ4" s="19">
        <f>'B2B- Non Repair'!BQ3</f>
        <v>317041613.21641493</v>
      </c>
      <c r="BR4" s="19">
        <f>'B2B- Non Repair'!BR3</f>
        <v>367727559.82077271</v>
      </c>
      <c r="BS4" s="19">
        <f>'B2B- Non Repair'!BS3</f>
        <v>340522215.06612939</v>
      </c>
      <c r="BT4" s="19">
        <f>'B2B- Non Repair'!BT3</f>
        <v>309883181.41198385</v>
      </c>
      <c r="BU4" s="19">
        <f>'B2B- Non Repair'!BU3</f>
        <v>326926750.67292452</v>
      </c>
      <c r="BV4" s="19">
        <f>'B2B- Non Repair'!BV3</f>
        <v>331126951.70715314</v>
      </c>
      <c r="BW4" s="19">
        <f>'B2B- Non Repair'!BW3</f>
        <v>345838800.88999087</v>
      </c>
      <c r="BX4" s="19">
        <f>'B2B- Non Repair'!BX3</f>
        <v>358814442.13857877</v>
      </c>
      <c r="BY4" s="19">
        <f>'B2B- Non Repair'!BY3</f>
        <v>340489885.997253</v>
      </c>
      <c r="BZ4" s="19">
        <f>'B2B- Non Repair'!BZ3</f>
        <v>324536838.66845638</v>
      </c>
      <c r="CA4" s="19">
        <f>'B2B- Non Repair'!CA3</f>
        <v>314658451.51999211</v>
      </c>
      <c r="CB4" s="19">
        <f>'B2B- Non Repair'!CB3</f>
        <v>283536612.59798515</v>
      </c>
      <c r="CC4" s="19">
        <f>'B2B- Non Repair'!CC3</f>
        <v>328752031.30583686</v>
      </c>
      <c r="CD4" s="19">
        <f>'B2B- Non Repair'!CD3</f>
        <v>332303203.63122046</v>
      </c>
      <c r="CE4" s="19">
        <f>'B2B- Non Repair'!CE3</f>
        <v>374321188.22292244</v>
      </c>
      <c r="CF4" s="19">
        <f>'B2B- Non Repair'!CF3</f>
        <v>419344448.09682226</v>
      </c>
      <c r="CG4" s="19">
        <f>'B2B- Non Repair'!CG3</f>
        <v>477025765.6203171</v>
      </c>
      <c r="CH4" s="19">
        <f>'B2B- Non Repair'!CH3</f>
        <v>592641444.29802144</v>
      </c>
      <c r="CI4" s="19">
        <f>'B2B- Non Repair'!CI3</f>
        <v>512359832.06920522</v>
      </c>
      <c r="CJ4" s="19">
        <f>'B2B- Non Repair'!CJ3</f>
        <v>508880293.69166654</v>
      </c>
      <c r="CK4" s="19">
        <f>'B2B- Non Repair'!CK3</f>
        <v>519512444.67211092</v>
      </c>
      <c r="CL4" s="19">
        <f>'B2B- Non Repair'!CL3</f>
        <v>508328020.85000002</v>
      </c>
      <c r="CM4" s="19">
        <f>'B2B- Non Repair'!CM3</f>
        <v>438932744.76999933</v>
      </c>
      <c r="CN4" s="19">
        <f>'B2B- Non Repair'!CN3</f>
        <v>376466762.65999961</v>
      </c>
      <c r="CO4" s="19">
        <f>'B2B- Non Repair'!CO3</f>
        <v>479196803.51000047</v>
      </c>
      <c r="CP4" s="19">
        <f>'B2B- Non Repair'!CP3</f>
        <v>566540141.60000002</v>
      </c>
      <c r="CQ4" s="19">
        <f>'B2B- Non Repair'!CQ3</f>
        <v>691432764.24999988</v>
      </c>
      <c r="CR4" s="19">
        <f>'B2B- Non Repair'!CR3</f>
        <v>739728865.04000056</v>
      </c>
      <c r="CS4" s="19">
        <f>'B2B- Non Repair'!CS3</f>
        <v>684737705.31000066</v>
      </c>
      <c r="CT4" s="19">
        <f>'B2B- Non Repair'!CT3</f>
        <v>671109110.16999948</v>
      </c>
      <c r="CU4" s="19">
        <f>'B2B- Non Repair'!CU3</f>
        <v>691094295.16928589</v>
      </c>
      <c r="CV4" s="19">
        <f>'B2B- Non Repair'!CV3</f>
        <v>716568780.09224498</v>
      </c>
      <c r="CW4" s="19">
        <f>'B2B- Non Repair'!CW3</f>
        <v>682062192.59566939</v>
      </c>
      <c r="CX4" s="19">
        <f>'B2B- Non Repair'!CX3</f>
        <v>681231502.86992085</v>
      </c>
      <c r="CY4" s="19">
        <f>'B2B- Non Repair'!CY3</f>
        <v>635161186.96887553</v>
      </c>
      <c r="CZ4" s="19">
        <f>'B2B- Non Repair'!CZ3</f>
        <v>552276812.11084163</v>
      </c>
      <c r="DA4" s="19">
        <f>'B2B- Non Repair'!DA3</f>
        <v>648069841.59598577</v>
      </c>
      <c r="DB4" s="19">
        <f>'B2B- Non Repair'!DB3</f>
        <v>797567621.12834144</v>
      </c>
      <c r="DC4" s="19">
        <f>'B2B- Non Repair'!DC3</f>
        <v>888336955.60538661</v>
      </c>
      <c r="DD4" s="19">
        <f>'B2B- Non Repair'!DD3</f>
        <v>835133256.50386453</v>
      </c>
      <c r="DE4" s="19">
        <f>'B2B- Non Repair'!DE3</f>
        <v>815639264.82517195</v>
      </c>
      <c r="DF4" s="19">
        <f>'B2B- Non Repair'!DF3</f>
        <v>786021992.36650622</v>
      </c>
      <c r="DG4" s="19">
        <f>'B2B- Non Repair'!DG3</f>
        <v>863867868.9616071</v>
      </c>
      <c r="DH4" s="19">
        <f>'B2B- Non Repair'!DH3</f>
        <v>895710975.11530626</v>
      </c>
      <c r="DI4" s="19">
        <f>'B2B- Non Repair'!DI3</f>
        <v>852577740.74458647</v>
      </c>
      <c r="DJ4" s="19">
        <f>'B2B- Non Repair'!DJ3</f>
        <v>851539378.58740079</v>
      </c>
      <c r="DK4" s="19">
        <f>'B2B- Non Repair'!DK3</f>
        <v>793951483.71109426</v>
      </c>
      <c r="DL4" s="19">
        <f>'B2B- Non Repair'!DL3</f>
        <v>690346015.13855171</v>
      </c>
      <c r="DM4" s="19">
        <f>'B2B- Non Repair'!DM3</f>
        <v>810087301.99498188</v>
      </c>
      <c r="DN4" s="19">
        <f>'B2B- Non Repair'!DN3</f>
        <v>996959526.41042662</v>
      </c>
      <c r="DO4" s="19">
        <f>'B2B- Non Repair'!DO3</f>
        <v>1110421194.5067329</v>
      </c>
      <c r="DP4" s="19">
        <f>'B2B- Non Repair'!DP3</f>
        <v>1043916570.6298305</v>
      </c>
      <c r="DQ4" s="19">
        <f>'B2B- Non Repair'!DQ3</f>
        <v>1019549081.0314648</v>
      </c>
      <c r="DR4" s="19">
        <f>'B2B- Non Repair'!DR3</f>
        <v>982527490.45813274</v>
      </c>
      <c r="DS4" s="19">
        <f>'B2B- Non Repair'!DS3</f>
        <v>1036641442.7539287</v>
      </c>
      <c r="DT4" s="19">
        <f>'B2B- Non Repair'!DT3</f>
        <v>1074853170.1383672</v>
      </c>
      <c r="DU4" s="19">
        <f>'B2B- Non Repair'!DU3</f>
        <v>1023093288.8935038</v>
      </c>
      <c r="DV4" s="19">
        <f>'B2B- Non Repair'!DV3</f>
        <v>1021847254.3048809</v>
      </c>
      <c r="DW4" s="19">
        <f>'B2B- Non Repair'!DW3</f>
        <v>952741780.45331299</v>
      </c>
      <c r="DX4" s="19">
        <f>'B2B- Non Repair'!DX3</f>
        <v>828415218.16626203</v>
      </c>
      <c r="DY4" s="19">
        <f>'B2B- Non Repair'!DY3</f>
        <v>972104762.39397836</v>
      </c>
      <c r="DZ4" s="19">
        <f>'B2B- Non Repair'!DZ3</f>
        <v>1196351431.692512</v>
      </c>
      <c r="EA4" s="19">
        <f>'B2B- Non Repair'!EA3</f>
        <v>1332505433.4080799</v>
      </c>
      <c r="EB4" s="19">
        <f>'B2B- Non Repair'!EB3</f>
        <v>1252699884.7557969</v>
      </c>
      <c r="EC4" s="19">
        <f>'B2B- Non Repair'!EC3</f>
        <v>1223458897.2377577</v>
      </c>
      <c r="ED4" s="19">
        <f>'B2B- Non Repair'!ED3</f>
        <v>1179032988.5497591</v>
      </c>
      <c r="EE4" s="222"/>
      <c r="EF4" s="19">
        <f t="shared" si="3"/>
        <v>1289075701.4575317</v>
      </c>
      <c r="EG4" s="19">
        <f t="shared" si="4"/>
        <v>1041586461.0783463</v>
      </c>
      <c r="EH4" s="19">
        <f t="shared" si="5"/>
        <v>1025291388.103317</v>
      </c>
      <c r="EI4" s="19">
        <f t="shared" si="6"/>
        <v>967936883.79206157</v>
      </c>
      <c r="EJ4" s="19">
        <f t="shared" si="7"/>
        <v>1045143129.0258226</v>
      </c>
      <c r="EK4" s="19">
        <f t="shared" si="8"/>
        <v>922731902.78643358</v>
      </c>
      <c r="EL4" s="19">
        <f t="shared" si="9"/>
        <v>1035376423.1599797</v>
      </c>
      <c r="EM4" s="19">
        <f t="shared" si="10"/>
        <v>1489011658.0151608</v>
      </c>
      <c r="EN4" s="19">
        <f t="shared" si="11"/>
        <v>1540752570.4329827</v>
      </c>
      <c r="EO4" s="19">
        <f t="shared" si="12"/>
        <v>1323727528.279999</v>
      </c>
      <c r="EP4" s="19">
        <f t="shared" si="13"/>
        <v>1737169709.3600004</v>
      </c>
      <c r="EQ4" s="19">
        <f t="shared" si="14"/>
        <v>2095575680.5200009</v>
      </c>
      <c r="ER4" s="19">
        <f t="shared" si="15"/>
        <v>2089725267.8572001</v>
      </c>
      <c r="ES4" s="19">
        <f t="shared" si="16"/>
        <v>1868669501.9496379</v>
      </c>
      <c r="ET4" s="19">
        <f t="shared" si="17"/>
        <v>2333974418.3297138</v>
      </c>
      <c r="EU4" s="19">
        <f t="shared" si="18"/>
        <v>2436794513.6955428</v>
      </c>
      <c r="EV4" s="19">
        <f t="shared" si="19"/>
        <v>2612156584.8214998</v>
      </c>
      <c r="EW4" s="19">
        <f t="shared" si="20"/>
        <v>2335836877.437047</v>
      </c>
      <c r="EX4" s="19">
        <f t="shared" si="21"/>
        <v>2917468022.9121413</v>
      </c>
      <c r="EY4" s="19">
        <f t="shared" si="22"/>
        <v>3045993142.1194282</v>
      </c>
      <c r="EZ4" s="19">
        <f t="shared" ref="EZ4:EZ58" si="23">SUM(DS4:DU4)</f>
        <v>3134587901.7857995</v>
      </c>
      <c r="FA4" s="19">
        <f t="shared" ref="FA4:FA58" si="24">SUM(DV4:DX4)</f>
        <v>2803004252.9244561</v>
      </c>
      <c r="FB4" s="19">
        <f t="shared" ref="FB4:FB58" si="25">SUM(DY4:EA4)</f>
        <v>3500961627.4945707</v>
      </c>
      <c r="FC4" s="19">
        <f t="shared" ref="FC4:FC58" si="26">SUM(EB4:ED4)</f>
        <v>3655191770.543314</v>
      </c>
      <c r="FE4" s="19">
        <f t="shared" ref="FE4:FE31" si="27">SUM(EF4:EI4)</f>
        <v>4323890434.4312572</v>
      </c>
      <c r="FF4" s="19">
        <f t="shared" ref="FF4:FF31" si="28">SUM(EJ4:EM4)</f>
        <v>4492263112.9873972</v>
      </c>
      <c r="FG4" s="19">
        <f t="shared" ref="FG4:FG31" si="29">SUM(EN4:EQ4)</f>
        <v>6697225488.5929832</v>
      </c>
      <c r="FH4" s="19">
        <f t="shared" ref="FH4:FH31" si="30">SUM(ER4:EU4)</f>
        <v>8729163701.8320942</v>
      </c>
      <c r="FI4" s="19">
        <f t="shared" ref="FI4:FI31" si="31">SUM(EV4:EY4)</f>
        <v>10911454627.290117</v>
      </c>
      <c r="FJ4" s="770">
        <f t="shared" ref="FJ4:FJ67" si="32">SUM(EZ4:FC4)</f>
        <v>13093745552.74814</v>
      </c>
      <c r="FK4" s="545" t="s">
        <v>1</v>
      </c>
    </row>
    <row r="5" spans="2:167" x14ac:dyDescent="0.2">
      <c r="B5" s="225" t="s">
        <v>139</v>
      </c>
      <c r="C5" s="19">
        <f>Refurbished!C3</f>
        <v>6493223.7199999997</v>
      </c>
      <c r="D5" s="19">
        <f>Refurbished!D3</f>
        <v>6995016</v>
      </c>
      <c r="E5" s="19">
        <f>Refurbished!E3</f>
        <v>6266782.9689844027</v>
      </c>
      <c r="F5" s="19">
        <f>Refurbished!F3</f>
        <v>9975111.8193185106</v>
      </c>
      <c r="G5" s="19">
        <f>Refurbished!G3</f>
        <v>8792729.1163709052</v>
      </c>
      <c r="H5" s="19">
        <f>Refurbished!H3</f>
        <v>7349297.6943097655</v>
      </c>
      <c r="I5" s="19">
        <f>Refurbished!I3</f>
        <v>8404052.8000000007</v>
      </c>
      <c r="J5" s="19">
        <f>Refurbished!J3</f>
        <v>10228739.060000001</v>
      </c>
      <c r="K5" s="19">
        <f>Refurbished!K3</f>
        <v>12234584.41</v>
      </c>
      <c r="L5" s="19">
        <f>Refurbished!L3</f>
        <v>14201546.980714288</v>
      </c>
      <c r="M5" s="19">
        <f>Refurbished!M3</f>
        <v>21663404.160714284</v>
      </c>
      <c r="N5" s="19">
        <f>Refurbished!N3</f>
        <v>34791790.419285715</v>
      </c>
      <c r="O5" s="19">
        <f>Refurbished!O3</f>
        <v>45045998.531428576</v>
      </c>
      <c r="P5" s="19">
        <f>Refurbished!P3</f>
        <v>48761101.704642862</v>
      </c>
      <c r="Q5" s="19">
        <f>Refurbished!Q3</f>
        <v>43939602.975000001</v>
      </c>
      <c r="R5" s="19">
        <f>Refurbished!R3</f>
        <v>60027306.579642855</v>
      </c>
      <c r="S5" s="19">
        <f>Refurbished!S3</f>
        <v>38468123</v>
      </c>
      <c r="T5" s="19">
        <f>Refurbished!T3</f>
        <v>51134201</v>
      </c>
      <c r="U5" s="19">
        <f>Refurbished!U3</f>
        <v>41541394</v>
      </c>
      <c r="V5" s="19">
        <f>Refurbished!V3</f>
        <v>23007666</v>
      </c>
      <c r="W5" s="19">
        <f>Refurbished!W3</f>
        <v>32006778</v>
      </c>
      <c r="X5" s="19">
        <f>Refurbished!X3</f>
        <v>40725896.785471424</v>
      </c>
      <c r="Y5" s="19">
        <f>Refurbished!Y3</f>
        <v>46884419.623240829</v>
      </c>
      <c r="Z5" s="19">
        <f>Refurbished!Z3</f>
        <v>31837763.863357142</v>
      </c>
      <c r="AA5" s="19">
        <f>Refurbished!AA3</f>
        <v>2797892</v>
      </c>
      <c r="AB5" s="19">
        <f>Refurbished!AB3</f>
        <v>37808589.104352541</v>
      </c>
      <c r="AC5" s="19">
        <f>Refurbished!AC3</f>
        <v>39145018.93576429</v>
      </c>
      <c r="AD5" s="19">
        <f>Refurbished!AD3</f>
        <v>36295307.018399999</v>
      </c>
      <c r="AE5" s="19">
        <f>Refurbished!AE3</f>
        <v>39746074.399999999</v>
      </c>
      <c r="AF5" s="19">
        <f>Refurbished!AF3</f>
        <v>44830032.425999992</v>
      </c>
      <c r="AG5" s="19">
        <f>Refurbished!AG3</f>
        <v>56552071.056000002</v>
      </c>
      <c r="AH5" s="19">
        <f>Refurbished!AH3</f>
        <v>63320564</v>
      </c>
      <c r="AI5" s="19">
        <f>Refurbished!AI3</f>
        <v>108550376.05000001</v>
      </c>
      <c r="AJ5" s="19">
        <f>Refurbished!AJ3</f>
        <v>131304554.43000001</v>
      </c>
      <c r="AK5" s="19">
        <f>Refurbished!AK3</f>
        <v>108410208.77999999</v>
      </c>
      <c r="AL5" s="19">
        <f>Refurbished!AL3</f>
        <v>108683003.06000009</v>
      </c>
      <c r="AM5" s="19">
        <f>Refurbished!AM3</f>
        <v>72449138.329999968</v>
      </c>
      <c r="AN5" s="19">
        <f>Refurbished!AN3</f>
        <v>30767809.959999997</v>
      </c>
      <c r="AO5" s="19">
        <f>Refurbished!AO3</f>
        <v>68607548.359999985</v>
      </c>
      <c r="AP5" s="19">
        <f>Refurbished!AP3</f>
        <v>86665480.179999948</v>
      </c>
      <c r="AQ5" s="19">
        <f>Refurbished!AQ3</f>
        <v>98333154.790000051</v>
      </c>
      <c r="AR5" s="19">
        <f>Refurbished!AR3</f>
        <v>122696462.07000017</v>
      </c>
      <c r="AS5" s="19">
        <f>Refurbished!AS3</f>
        <v>141176640.10000035</v>
      </c>
      <c r="AT5" s="19">
        <f>Refurbished!AT3</f>
        <v>186419952.91000026</v>
      </c>
      <c r="AU5" s="19">
        <f>Refurbished!AU3</f>
        <v>229473469.39000115</v>
      </c>
      <c r="AV5" s="19">
        <f>Refurbished!AV3</f>
        <v>245304164.34000292</v>
      </c>
      <c r="AW5" s="19">
        <f>Refurbished!AW3</f>
        <v>245158391.2199963</v>
      </c>
      <c r="AX5" s="19">
        <f>Refurbished!AX3</f>
        <v>250380243.56999502</v>
      </c>
      <c r="AY5" s="19">
        <f>Refurbished!AY3</f>
        <v>187381291.81999594</v>
      </c>
      <c r="AZ5" s="19">
        <f>Refurbished!AZ3</f>
        <v>226632342.57000482</v>
      </c>
      <c r="BA5" s="19">
        <f>Refurbished!BA3</f>
        <v>269175211.93999016</v>
      </c>
      <c r="BB5" s="19">
        <f>Refurbished!BB3</f>
        <v>258983602.39999861</v>
      </c>
      <c r="BC5" s="19">
        <f>Refurbished!BC3</f>
        <v>247407699.40000543</v>
      </c>
      <c r="BD5" s="19">
        <f>Refurbished!BD3</f>
        <v>244314832.55999985</v>
      </c>
      <c r="BE5" s="19">
        <f>Refurbished!BE3</f>
        <v>284660267.03999579</v>
      </c>
      <c r="BF5" s="19">
        <f>Refurbished!BF3</f>
        <v>299284058.72718781</v>
      </c>
      <c r="BG5" s="19">
        <f>Refurbished!BG3</f>
        <v>349982741.39332902</v>
      </c>
      <c r="BH5" s="19">
        <f>Refurbished!BH3</f>
        <v>376022494.09651744</v>
      </c>
      <c r="BI5" s="19">
        <f>Refurbished!BI3</f>
        <v>401089329.28452063</v>
      </c>
      <c r="BJ5" s="19">
        <f>Refurbished!BJ3</f>
        <v>584164775.08443785</v>
      </c>
      <c r="BK5" s="19">
        <f>Refurbished!BK3</f>
        <v>583422305.55232835</v>
      </c>
      <c r="BL5" s="19">
        <f>Refurbished!BL3</f>
        <v>576823505.3879863</v>
      </c>
      <c r="BM5" s="19">
        <f>Refurbished!BM3</f>
        <v>601904853.95322061</v>
      </c>
      <c r="BN5" s="19">
        <f>Refurbished!BN3</f>
        <v>524306731.93909264</v>
      </c>
      <c r="BO5" s="19">
        <f>Refurbished!BO3</f>
        <v>525501354.34422129</v>
      </c>
      <c r="BP5" s="19">
        <f>Refurbished!BP3</f>
        <v>542445355.49881947</v>
      </c>
      <c r="BQ5" s="19">
        <f>Refurbished!BQ3</f>
        <v>793601432.31469703</v>
      </c>
      <c r="BR5" s="19">
        <f>Refurbished!BR3</f>
        <v>659791779.89382625</v>
      </c>
      <c r="BS5" s="19">
        <f>Refurbished!BS3</f>
        <v>581704416.75916505</v>
      </c>
      <c r="BT5" s="19">
        <f>Refurbished!BT3</f>
        <v>556591042.66082335</v>
      </c>
      <c r="BU5" s="19">
        <f>Refurbished!BU3</f>
        <v>488566128.98305082</v>
      </c>
      <c r="BV5" s="19">
        <f>Refurbished!BV3</f>
        <v>590058410.66021729</v>
      </c>
      <c r="BW5" s="19">
        <f>Refurbished!BW3</f>
        <v>603345232.87076771</v>
      </c>
      <c r="BX5" s="19">
        <f>Refurbished!BX3</f>
        <v>624023257.86366093</v>
      </c>
      <c r="BY5" s="19">
        <f>Refurbished!BY3</f>
        <v>650978990.64704883</v>
      </c>
      <c r="BZ5" s="19">
        <f>Refurbished!BZ3</f>
        <v>652854059.39690232</v>
      </c>
      <c r="CA5" s="19">
        <f>Refurbished!CA3</f>
        <v>590986769.38424909</v>
      </c>
      <c r="CB5" s="19">
        <f>Refurbished!CB3</f>
        <v>566321721.95117998</v>
      </c>
      <c r="CC5" s="19">
        <f>Refurbished!CC3</f>
        <v>659925165.28428674</v>
      </c>
      <c r="CD5" s="19">
        <f>Refurbished!CD3</f>
        <v>636483199.71225905</v>
      </c>
      <c r="CE5" s="19">
        <f>Refurbished!CE3</f>
        <v>738638897.54805088</v>
      </c>
      <c r="CF5" s="19">
        <f>Refurbished!CF3</f>
        <v>805734218.00191855</v>
      </c>
      <c r="CG5" s="19">
        <f>Refurbished!CG3</f>
        <v>773151446.13182259</v>
      </c>
      <c r="CH5" s="19">
        <f>Refurbished!CH3</f>
        <v>1000874252.1862799</v>
      </c>
      <c r="CI5" s="19">
        <f>Refurbished!CI3</f>
        <v>945775314.40778399</v>
      </c>
      <c r="CJ5" s="19">
        <f>Refurbished!CJ3</f>
        <v>927142659.97934294</v>
      </c>
      <c r="CK5" s="19">
        <f>Refurbished!CK3</f>
        <v>929708983.47481823</v>
      </c>
      <c r="CL5" s="19">
        <f>Refurbished!CL3</f>
        <v>983854039.47745824</v>
      </c>
      <c r="CM5" s="19">
        <f>Refurbished!CM3</f>
        <v>854180854.13000178</v>
      </c>
      <c r="CN5" s="19">
        <f>Refurbished!CN3</f>
        <v>859635281.33670187</v>
      </c>
      <c r="CO5" s="19">
        <f>Refurbished!CO3</f>
        <v>1047081431.3074878</v>
      </c>
      <c r="CP5" s="19">
        <f>Refurbished!CP3</f>
        <v>971320272.9605999</v>
      </c>
      <c r="CQ5" s="19">
        <f>Refurbished!CQ3</f>
        <v>1173599657.4649954</v>
      </c>
      <c r="CR5" s="19">
        <f>Refurbished!CR3</f>
        <v>1274812397.3806381</v>
      </c>
      <c r="CS5" s="19">
        <f>Refurbished!CS3</f>
        <v>1150481581.4577537</v>
      </c>
      <c r="CT5" s="19">
        <f>Refurbished!CT3</f>
        <v>1338560712.5214486</v>
      </c>
      <c r="CU5" s="19">
        <f>Refurbished!CU3</f>
        <v>1204070897.7334597</v>
      </c>
      <c r="CV5" s="19">
        <f>Refurbished!CV3</f>
        <v>1193493325.219964</v>
      </c>
      <c r="CW5" s="19">
        <f>Refurbished!CW3</f>
        <v>1190879418.8241432</v>
      </c>
      <c r="CX5" s="19">
        <f>Refurbished!CX3</f>
        <v>1258451372.7264748</v>
      </c>
      <c r="CY5" s="19">
        <f>Refurbished!CY3</f>
        <v>1143303484.3245347</v>
      </c>
      <c r="CZ5" s="19">
        <f>Refurbished!CZ3</f>
        <v>1139227251.7070184</v>
      </c>
      <c r="DA5" s="19">
        <f>Refurbished!DA3</f>
        <v>1285171311.6480923</v>
      </c>
      <c r="DB5" s="19">
        <f>Refurbished!DB3</f>
        <v>1221358997.4525406</v>
      </c>
      <c r="DC5" s="19">
        <f>Refurbished!DC3</f>
        <v>1484442668.9466646</v>
      </c>
      <c r="DD5" s="19">
        <f>Refurbished!DD3</f>
        <v>1556643416.8440394</v>
      </c>
      <c r="DE5" s="19">
        <f>Refurbished!DE3</f>
        <v>1391132252.3442254</v>
      </c>
      <c r="DF5" s="19">
        <f>Refurbished!DF3</f>
        <v>1577621169.3226919</v>
      </c>
      <c r="DG5" s="19">
        <f>Refurbished!DG3</f>
        <v>1455274457.3707795</v>
      </c>
      <c r="DH5" s="19">
        <f>Refurbished!DH3</f>
        <v>1444278582.3384347</v>
      </c>
      <c r="DI5" s="19">
        <f>Refurbished!DI3</f>
        <v>1436884653.1432908</v>
      </c>
      <c r="DJ5" s="19">
        <f>Refurbished!DJ3</f>
        <v>1518430432.6898024</v>
      </c>
      <c r="DK5" s="19">
        <f>Refurbished!DK3</f>
        <v>1377707766.722887</v>
      </c>
      <c r="DL5" s="19">
        <f>Refurbished!DL3</f>
        <v>1369701037.7743316</v>
      </c>
      <c r="DM5" s="19">
        <f>Refurbished!DM3</f>
        <v>1544084658.6149368</v>
      </c>
      <c r="DN5" s="19">
        <f>Refurbished!DN3</f>
        <v>1462660265.9747</v>
      </c>
      <c r="DO5" s="19">
        <f>Refurbished!DO3</f>
        <v>1773304539.001683</v>
      </c>
      <c r="DP5" s="19">
        <f>Refurbished!DP3</f>
        <v>1854900406.1409693</v>
      </c>
      <c r="DQ5" s="19">
        <f>Refurbished!DQ3</f>
        <v>1653754222.2706499</v>
      </c>
      <c r="DR5" s="19">
        <f>Refurbished!DR3</f>
        <v>1862993942.8759494</v>
      </c>
      <c r="DS5" s="19">
        <f>Refurbished!DS3</f>
        <v>1689140824.5077848</v>
      </c>
      <c r="DT5" s="19">
        <f>Refurbished!DT3</f>
        <v>1675981302.4347477</v>
      </c>
      <c r="DU5" s="19">
        <f>Refurbished!DU3</f>
        <v>1666968030.1671319</v>
      </c>
      <c r="DV5" s="19">
        <f>Refurbished!DV3</f>
        <v>1759876616.5470459</v>
      </c>
      <c r="DW5" s="19">
        <f>Refurbished!DW3</f>
        <v>1596969490.7966971</v>
      </c>
      <c r="DX5" s="19">
        <f>Refurbished!DX3</f>
        <v>1589407268.0282893</v>
      </c>
      <c r="DY5" s="19">
        <f>Refurbished!DY3</f>
        <v>1786877994.0522974</v>
      </c>
      <c r="DZ5" s="19">
        <f>Refurbished!DZ3</f>
        <v>1693739275.1858854</v>
      </c>
      <c r="EA5" s="19">
        <f>Refurbished!EA3</f>
        <v>2053606166.7497425</v>
      </c>
      <c r="EB5" s="19">
        <f>Refurbished!EB3</f>
        <v>2148940357.0126853</v>
      </c>
      <c r="EC5" s="19">
        <f>Refurbished!EC3</f>
        <v>1913990544.0313387</v>
      </c>
      <c r="ED5" s="19">
        <f>Refurbished!ED3</f>
        <v>2154257371.991241</v>
      </c>
      <c r="EE5" s="222"/>
      <c r="EF5" s="19">
        <f t="shared" si="3"/>
        <v>1762150664.8935354</v>
      </c>
      <c r="EG5" s="19">
        <f t="shared" si="4"/>
        <v>1592253441.7821336</v>
      </c>
      <c r="EH5" s="19">
        <f t="shared" si="5"/>
        <v>2035097628.9676883</v>
      </c>
      <c r="EI5" s="19">
        <f t="shared" si="6"/>
        <v>1635215582.3040915</v>
      </c>
      <c r="EJ5" s="19">
        <f t="shared" si="7"/>
        <v>1878347481.3814774</v>
      </c>
      <c r="EK5" s="19">
        <f t="shared" si="8"/>
        <v>1810162550.7323313</v>
      </c>
      <c r="EL5" s="19">
        <f t="shared" si="9"/>
        <v>2035047262.5445967</v>
      </c>
      <c r="EM5" s="19">
        <f t="shared" si="10"/>
        <v>2579759916.3200212</v>
      </c>
      <c r="EN5" s="19">
        <f t="shared" si="11"/>
        <v>2802626957.8619452</v>
      </c>
      <c r="EO5" s="19">
        <f t="shared" si="12"/>
        <v>2697670174.9441619</v>
      </c>
      <c r="EP5" s="19">
        <f t="shared" si="13"/>
        <v>3192001361.7330832</v>
      </c>
      <c r="EQ5" s="19">
        <f t="shared" si="14"/>
        <v>3763854691.3598404</v>
      </c>
      <c r="ER5" s="19">
        <f t="shared" si="15"/>
        <v>3588443641.7775669</v>
      </c>
      <c r="ES5" s="19">
        <f t="shared" si="16"/>
        <v>3540982108.7580276</v>
      </c>
      <c r="ET5" s="19">
        <f t="shared" si="17"/>
        <v>3990972978.0472975</v>
      </c>
      <c r="EU5" s="19">
        <f t="shared" si="18"/>
        <v>4525396838.5109568</v>
      </c>
      <c r="EV5" s="19">
        <f t="shared" si="19"/>
        <v>4336437692.8525047</v>
      </c>
      <c r="EW5" s="19">
        <f t="shared" si="20"/>
        <v>4265839237.1870208</v>
      </c>
      <c r="EX5" s="19">
        <f t="shared" si="21"/>
        <v>4780049463.59132</v>
      </c>
      <c r="EY5" s="19">
        <f t="shared" si="22"/>
        <v>5371648571.287569</v>
      </c>
      <c r="EZ5" s="19">
        <f t="shared" si="23"/>
        <v>5032090157.1096649</v>
      </c>
      <c r="FA5" s="19">
        <f t="shared" si="24"/>
        <v>4946253375.3720322</v>
      </c>
      <c r="FB5" s="19">
        <f t="shared" si="25"/>
        <v>5534223435.9879255</v>
      </c>
      <c r="FC5" s="19">
        <f t="shared" si="26"/>
        <v>6217188273.035265</v>
      </c>
      <c r="FE5" s="19">
        <f t="shared" si="27"/>
        <v>7024717317.9474487</v>
      </c>
      <c r="FF5" s="19">
        <f t="shared" si="28"/>
        <v>8303317210.978426</v>
      </c>
      <c r="FG5" s="19">
        <f t="shared" si="29"/>
        <v>12456153185.899031</v>
      </c>
      <c r="FH5" s="19">
        <f t="shared" si="30"/>
        <v>15645795567.093849</v>
      </c>
      <c r="FI5" s="19">
        <f t="shared" si="31"/>
        <v>18753974964.918415</v>
      </c>
      <c r="FJ5" s="770">
        <f t="shared" si="32"/>
        <v>21729755241.50489</v>
      </c>
      <c r="FK5" s="545" t="s">
        <v>1</v>
      </c>
    </row>
    <row r="6" spans="2:167" x14ac:dyDescent="0.2">
      <c r="B6" s="225" t="s">
        <v>309</v>
      </c>
      <c r="C6" s="19">
        <f>Marketplace!C3</f>
        <v>71270131.644141346</v>
      </c>
      <c r="D6" s="19">
        <f>Marketplace!D3</f>
        <v>92247410</v>
      </c>
      <c r="E6" s="19">
        <f>Marketplace!E3</f>
        <v>80512562</v>
      </c>
      <c r="F6" s="19">
        <f>Marketplace!F3</f>
        <v>66231280</v>
      </c>
      <c r="G6" s="19">
        <f>Marketplace!G3</f>
        <v>40103506</v>
      </c>
      <c r="H6" s="19">
        <f>Marketplace!H3</f>
        <v>27837941</v>
      </c>
      <c r="I6" s="19">
        <f>Marketplace!I3</f>
        <v>33141999</v>
      </c>
      <c r="J6" s="19">
        <f>Marketplace!J3</f>
        <v>31956623</v>
      </c>
      <c r="K6" s="19">
        <f>Marketplace!K3</f>
        <v>33593105</v>
      </c>
      <c r="L6" s="19">
        <f>Marketplace!L3</f>
        <v>34836719</v>
      </c>
      <c r="M6" s="19">
        <f>Marketplace!M3</f>
        <v>32068866</v>
      </c>
      <c r="N6" s="19">
        <f>Marketplace!N3</f>
        <v>34657352</v>
      </c>
      <c r="O6" s="19">
        <f>Marketplace!O3</f>
        <v>33048358</v>
      </c>
      <c r="P6" s="19">
        <f>Marketplace!P3</f>
        <v>39205134</v>
      </c>
      <c r="Q6" s="19">
        <f>Marketplace!Q3</f>
        <v>38218846</v>
      </c>
      <c r="R6" s="19">
        <f>Marketplace!R3</f>
        <v>41865167</v>
      </c>
      <c r="S6" s="19">
        <f>Marketplace!S3</f>
        <v>43946303</v>
      </c>
      <c r="T6" s="19">
        <f>Marketplace!T3</f>
        <v>47552402</v>
      </c>
      <c r="U6" s="19">
        <f>Marketplace!U3</f>
        <v>60751537</v>
      </c>
      <c r="V6" s="19">
        <f>Marketplace!V3</f>
        <v>47363757</v>
      </c>
      <c r="W6" s="19">
        <f>Marketplace!W3</f>
        <v>47939667.745729305</v>
      </c>
      <c r="X6" s="19">
        <f>Marketplace!X3</f>
        <v>57555452</v>
      </c>
      <c r="Y6" s="19">
        <f>Marketplace!Y3</f>
        <v>52021865</v>
      </c>
      <c r="Z6" s="19">
        <f>Marketplace!Z3</f>
        <v>43950013</v>
      </c>
      <c r="AA6" s="19">
        <f>Marketplace!AA3</f>
        <v>1299063</v>
      </c>
      <c r="AB6" s="19">
        <f>Marketplace!AB3</f>
        <v>24854297</v>
      </c>
      <c r="AC6" s="19">
        <f>Marketplace!AC3</f>
        <v>77955180</v>
      </c>
      <c r="AD6" s="19">
        <f>Marketplace!AD3</f>
        <v>116955847</v>
      </c>
      <c r="AE6" s="19">
        <f>Marketplace!AE3</f>
        <v>145030466</v>
      </c>
      <c r="AF6" s="19">
        <f>Marketplace!AF3</f>
        <v>147111137</v>
      </c>
      <c r="AG6" s="19">
        <f>Marketplace!AG3</f>
        <v>175182084</v>
      </c>
      <c r="AH6" s="19">
        <f>Marketplace!AH3</f>
        <v>138930600</v>
      </c>
      <c r="AI6" s="19">
        <f>Marketplace!AI3</f>
        <v>125718110</v>
      </c>
      <c r="AJ6" s="19">
        <f>Marketplace!AJ3</f>
        <v>148093328</v>
      </c>
      <c r="AK6" s="19">
        <f>Marketplace!AK3</f>
        <v>127905470</v>
      </c>
      <c r="AL6" s="19">
        <f>Marketplace!AL3</f>
        <v>147564948</v>
      </c>
      <c r="AM6" s="19">
        <f>Marketplace!AM3</f>
        <v>107723268</v>
      </c>
      <c r="AN6" s="19">
        <f>Marketplace!AN3</f>
        <v>47966856</v>
      </c>
      <c r="AO6" s="19">
        <f>Marketplace!AO3</f>
        <v>138659913</v>
      </c>
      <c r="AP6" s="19">
        <f>Marketplace!AP3</f>
        <v>182022957</v>
      </c>
      <c r="AQ6" s="19">
        <f>Marketplace!AQ3</f>
        <v>211585543</v>
      </c>
      <c r="AR6" s="19">
        <f>Marketplace!AR3</f>
        <v>230081321</v>
      </c>
      <c r="AS6" s="19">
        <f>Marketplace!AS3</f>
        <v>319577784</v>
      </c>
      <c r="AT6" s="19">
        <f>Marketplace!AT3</f>
        <v>215826925</v>
      </c>
      <c r="AU6" s="19">
        <f>Marketplace!AU3</f>
        <v>234772415</v>
      </c>
      <c r="AV6" s="19">
        <f>Marketplace!AV3</f>
        <v>259779566</v>
      </c>
      <c r="AW6" s="19">
        <f>Marketplace!AW3</f>
        <v>225664202</v>
      </c>
      <c r="AX6" s="19">
        <f>Marketplace!AX3</f>
        <v>302732394</v>
      </c>
      <c r="AY6" s="19">
        <f>Marketplace!AY3</f>
        <v>262685366</v>
      </c>
      <c r="AZ6" s="19">
        <f>Marketplace!AZ3</f>
        <v>247150228</v>
      </c>
      <c r="BA6" s="19">
        <f>Marketplace!BA3</f>
        <v>273600413</v>
      </c>
      <c r="BB6" s="19">
        <f>Marketplace!BB3</f>
        <v>257624651</v>
      </c>
      <c r="BC6" s="19">
        <f>Marketplace!BC3</f>
        <v>260575667</v>
      </c>
      <c r="BD6" s="19">
        <f>Marketplace!BD3</f>
        <v>334053466</v>
      </c>
      <c r="BE6" s="19">
        <f>Marketplace!BE3</f>
        <v>350649447</v>
      </c>
      <c r="BF6" s="19">
        <f>Marketplace!BF3</f>
        <v>265938887</v>
      </c>
      <c r="BG6" s="19">
        <f>Marketplace!BG3</f>
        <v>290870377</v>
      </c>
      <c r="BH6" s="19">
        <f>Marketplace!BH3</f>
        <v>330681913</v>
      </c>
      <c r="BI6" s="19">
        <f>Marketplace!BI3</f>
        <v>301021717</v>
      </c>
      <c r="BJ6" s="19">
        <f>Marketplace!BJ3</f>
        <v>346697577</v>
      </c>
      <c r="BK6" s="19">
        <f>Marketplace!BK3</f>
        <v>358323663</v>
      </c>
      <c r="BL6" s="19">
        <f>Marketplace!BL3</f>
        <v>355490399</v>
      </c>
      <c r="BM6" s="19">
        <f>Marketplace!BM3</f>
        <v>358300066</v>
      </c>
      <c r="BN6" s="19">
        <f>Marketplace!BN3</f>
        <v>391053006</v>
      </c>
      <c r="BO6" s="19">
        <f>Marketplace!BO3</f>
        <v>403553071</v>
      </c>
      <c r="BP6" s="19">
        <f>Marketplace!BP3</f>
        <v>354056114</v>
      </c>
      <c r="BQ6" s="19">
        <f>Marketplace!BQ3</f>
        <v>535096186</v>
      </c>
      <c r="BR6" s="19">
        <f>Marketplace!BR3</f>
        <v>419031748</v>
      </c>
      <c r="BS6" s="19">
        <f>Marketplace!BS3</f>
        <v>417172119</v>
      </c>
      <c r="BT6" s="19">
        <f>Marketplace!BT3</f>
        <v>494989573</v>
      </c>
      <c r="BU6" s="19">
        <f>Marketplace!BU3</f>
        <v>424185625</v>
      </c>
      <c r="BV6" s="19">
        <f>Marketplace!BV3</f>
        <v>423902506</v>
      </c>
      <c r="BW6" s="19">
        <f>Marketplace!BW3</f>
        <v>400542527</v>
      </c>
      <c r="BX6" s="19">
        <f>Marketplace!BX3</f>
        <v>465434152</v>
      </c>
      <c r="BY6" s="19">
        <f>Marketplace!BY3</f>
        <v>424115527</v>
      </c>
      <c r="BZ6" s="19">
        <f>Marketplace!BZ3</f>
        <v>516742424</v>
      </c>
      <c r="CA6" s="19">
        <f>Marketplace!CA3</f>
        <v>461541464</v>
      </c>
      <c r="CB6" s="19">
        <f>Marketplace!CB3</f>
        <v>436030374</v>
      </c>
      <c r="CC6" s="19">
        <f>Marketplace!CC3</f>
        <v>612890852</v>
      </c>
      <c r="CD6" s="19">
        <f>Marketplace!CD3</f>
        <v>493867798</v>
      </c>
      <c r="CE6" s="19">
        <f>Marketplace!CE3</f>
        <v>510320215</v>
      </c>
      <c r="CF6" s="19">
        <f>Marketplace!CF3</f>
        <v>550182363</v>
      </c>
      <c r="CG6" s="19">
        <f>Marketplace!CG3</f>
        <v>597158559</v>
      </c>
      <c r="CH6" s="19">
        <f>Marketplace!CH3</f>
        <v>525220211</v>
      </c>
      <c r="CI6" s="19">
        <f>Marketplace!CI3</f>
        <v>522396489</v>
      </c>
      <c r="CJ6" s="19">
        <f>Marketplace!CJ3</f>
        <v>533212781</v>
      </c>
      <c r="CK6" s="19">
        <f>Marketplace!CK3</f>
        <v>524900246</v>
      </c>
      <c r="CL6" s="19">
        <f>Marketplace!CL3</f>
        <v>551603570</v>
      </c>
      <c r="CM6" s="19">
        <f>Marketplace!CM3</f>
        <v>491825213</v>
      </c>
      <c r="CN6" s="19">
        <f>Marketplace!CN3</f>
        <v>584148781</v>
      </c>
      <c r="CO6" s="19">
        <f>Marketplace!CO3</f>
        <v>732417296</v>
      </c>
      <c r="CP6" s="19">
        <f>Marketplace!CP3</f>
        <v>587050377</v>
      </c>
      <c r="CQ6" s="19">
        <f>Marketplace!CQ3</f>
        <v>634712901</v>
      </c>
      <c r="CR6" s="19">
        <f>Marketplace!CR3</f>
        <v>656848445</v>
      </c>
      <c r="CS6" s="19">
        <f>Marketplace!CS3</f>
        <v>588289828</v>
      </c>
      <c r="CT6" s="19">
        <f>Marketplace!CT3</f>
        <v>762976597</v>
      </c>
      <c r="CU6" s="19">
        <f>Marketplace!CU3</f>
        <v>643696810.78576148</v>
      </c>
      <c r="CV6" s="19">
        <f>Marketplace!CV3</f>
        <v>701392352.48606777</v>
      </c>
      <c r="CW6" s="19">
        <f>Marketplace!CW3</f>
        <v>693099425.07165027</v>
      </c>
      <c r="CX6" s="19">
        <f>Marketplace!CX3</f>
        <v>757786410.11744475</v>
      </c>
      <c r="CY6" s="19">
        <f>Marketplace!CY3</f>
        <v>707308189.16301954</v>
      </c>
      <c r="CZ6" s="19">
        <f>Marketplace!CZ3</f>
        <v>821666690.16183674</v>
      </c>
      <c r="DA6" s="19">
        <f>Marketplace!DA3</f>
        <v>1015684621.0324786</v>
      </c>
      <c r="DB6" s="19">
        <f>Marketplace!DB3</f>
        <v>751827549.17375171</v>
      </c>
      <c r="DC6" s="19">
        <f>Marketplace!DC3</f>
        <v>776781623.88380206</v>
      </c>
      <c r="DD6" s="19">
        <f>Marketplace!DD3</f>
        <v>814987172.75022411</v>
      </c>
      <c r="DE6" s="19">
        <f>Marketplace!DE3</f>
        <v>698778628.2815237</v>
      </c>
      <c r="DF6" s="19">
        <f>Marketplace!DF3</f>
        <v>848858026.74244344</v>
      </c>
      <c r="DG6" s="19">
        <f>Marketplace!DG3</f>
        <v>772436172.94291401</v>
      </c>
      <c r="DH6" s="19">
        <f>Marketplace!DH3</f>
        <v>841670822.98328137</v>
      </c>
      <c r="DI6" s="19">
        <f>Marketplace!DI3</f>
        <v>831719310.0859803</v>
      </c>
      <c r="DJ6" s="19">
        <f>Marketplace!DJ3</f>
        <v>909343692.14093351</v>
      </c>
      <c r="DK6" s="19">
        <f>Marketplace!DK3</f>
        <v>848769826.99562323</v>
      </c>
      <c r="DL6" s="19">
        <f>Marketplace!DL3</f>
        <v>986000028.19420397</v>
      </c>
      <c r="DM6" s="19">
        <f>Marketplace!DM3</f>
        <v>1218821545.2389746</v>
      </c>
      <c r="DN6" s="19">
        <f>Marketplace!DN3</f>
        <v>902193059.00850189</v>
      </c>
      <c r="DO6" s="19">
        <f>Marketplace!DO3</f>
        <v>932137948.66056252</v>
      </c>
      <c r="DP6" s="19">
        <f>Marketplace!DP3</f>
        <v>977984607.30026889</v>
      </c>
      <c r="DQ6" s="19">
        <f>Marketplace!DQ3</f>
        <v>838534353.93782854</v>
      </c>
      <c r="DR6" s="19">
        <f>Marketplace!DR3</f>
        <v>1018629632.090932</v>
      </c>
      <c r="DS6" s="19">
        <f>Marketplace!DS3</f>
        <v>888301598.8843509</v>
      </c>
      <c r="DT6" s="19">
        <f>Marketplace!DT3</f>
        <v>967921446.43077362</v>
      </c>
      <c r="DU6" s="19">
        <f>Marketplace!DU3</f>
        <v>956477206.59887731</v>
      </c>
      <c r="DV6" s="19">
        <f>Marketplace!DV3</f>
        <v>1045745245.9620737</v>
      </c>
      <c r="DW6" s="19">
        <f>Marketplace!DW3</f>
        <v>976085301.04496682</v>
      </c>
      <c r="DX6" s="19">
        <f>Marketplace!DX3</f>
        <v>1133900032.4233346</v>
      </c>
      <c r="DY6" s="19">
        <f>Marketplace!DY3</f>
        <v>1401644777.0248208</v>
      </c>
      <c r="DZ6" s="19">
        <f>Marketplace!DZ3</f>
        <v>1037522017.8597772</v>
      </c>
      <c r="EA6" s="19">
        <f>Marketplace!EA3</f>
        <v>1071958640.9596469</v>
      </c>
      <c r="EB6" s="19">
        <f>Marketplace!EB3</f>
        <v>1124682298.3953092</v>
      </c>
      <c r="EC6" s="19">
        <f>Marketplace!EC3</f>
        <v>964314507.02850282</v>
      </c>
      <c r="ED6" s="19">
        <f>Marketplace!ED3</f>
        <v>1171424076.904572</v>
      </c>
      <c r="EE6" s="222"/>
      <c r="EF6" s="19">
        <f t="shared" si="3"/>
        <v>1072114128</v>
      </c>
      <c r="EG6" s="19">
        <f t="shared" si="4"/>
        <v>1148662191</v>
      </c>
      <c r="EH6" s="19">
        <f t="shared" si="5"/>
        <v>1371300053</v>
      </c>
      <c r="EI6" s="19">
        <f t="shared" si="6"/>
        <v>1343077704</v>
      </c>
      <c r="EJ6" s="19">
        <f t="shared" si="7"/>
        <v>1290092206</v>
      </c>
      <c r="EK6" s="19">
        <f t="shared" si="8"/>
        <v>1414314262</v>
      </c>
      <c r="EL6" s="19">
        <f t="shared" si="9"/>
        <v>1617078865</v>
      </c>
      <c r="EM6" s="19">
        <f t="shared" si="10"/>
        <v>1672561133</v>
      </c>
      <c r="EN6" s="19">
        <f t="shared" si="11"/>
        <v>1580509516</v>
      </c>
      <c r="EO6" s="19">
        <f t="shared" si="12"/>
        <v>1627577564</v>
      </c>
      <c r="EP6" s="19">
        <f t="shared" si="13"/>
        <v>1954180574</v>
      </c>
      <c r="EQ6" s="19">
        <f t="shared" si="14"/>
        <v>2008114870</v>
      </c>
      <c r="ER6" s="19">
        <f t="shared" si="15"/>
        <v>2038188588.3434794</v>
      </c>
      <c r="ES6" s="19">
        <f t="shared" si="16"/>
        <v>2286761289.4423008</v>
      </c>
      <c r="ET6" s="19">
        <f t="shared" si="17"/>
        <v>2544293794.0900321</v>
      </c>
      <c r="EU6" s="19">
        <f t="shared" si="18"/>
        <v>2362623827.7741914</v>
      </c>
      <c r="EV6" s="19">
        <f t="shared" si="19"/>
        <v>2445826306.0121756</v>
      </c>
      <c r="EW6" s="19">
        <f t="shared" si="20"/>
        <v>2744113547.3307605</v>
      </c>
      <c r="EX6" s="19">
        <f t="shared" si="21"/>
        <v>3053152552.9080391</v>
      </c>
      <c r="EY6" s="19">
        <f t="shared" si="22"/>
        <v>2835148593.3290296</v>
      </c>
      <c r="EZ6" s="19">
        <f t="shared" si="23"/>
        <v>2812700251.9140019</v>
      </c>
      <c r="FA6" s="19">
        <f t="shared" si="24"/>
        <v>3155730579.4303751</v>
      </c>
      <c r="FB6" s="19">
        <f t="shared" si="25"/>
        <v>3511125435.844245</v>
      </c>
      <c r="FC6" s="19">
        <f t="shared" si="26"/>
        <v>3260420882.3283839</v>
      </c>
      <c r="FE6" s="19">
        <f t="shared" si="27"/>
        <v>4935154076</v>
      </c>
      <c r="FF6" s="19">
        <f t="shared" si="28"/>
        <v>5994046466</v>
      </c>
      <c r="FG6" s="19">
        <f t="shared" si="29"/>
        <v>7170382524</v>
      </c>
      <c r="FH6" s="19">
        <f t="shared" si="30"/>
        <v>9231867499.6500034</v>
      </c>
      <c r="FI6" s="19">
        <f t="shared" si="31"/>
        <v>11078240999.580004</v>
      </c>
      <c r="FJ6" s="770">
        <f t="shared" si="32"/>
        <v>12739977149.517006</v>
      </c>
      <c r="FK6" s="545" t="s">
        <v>1</v>
      </c>
    </row>
    <row r="7" spans="2:167" x14ac:dyDescent="0.2">
      <c r="B7" s="225" t="s">
        <v>310</v>
      </c>
      <c r="C7" s="19">
        <f t="shared" ref="C7:AH7" si="33">C38</f>
        <v>0</v>
      </c>
      <c r="D7" s="19">
        <f t="shared" si="33"/>
        <v>0</v>
      </c>
      <c r="E7" s="19">
        <f t="shared" si="33"/>
        <v>0</v>
      </c>
      <c r="F7" s="19">
        <f t="shared" si="33"/>
        <v>0</v>
      </c>
      <c r="G7" s="19">
        <f t="shared" si="33"/>
        <v>0</v>
      </c>
      <c r="H7" s="19">
        <f t="shared" si="33"/>
        <v>0</v>
      </c>
      <c r="I7" s="19">
        <f t="shared" si="33"/>
        <v>0</v>
      </c>
      <c r="J7" s="19">
        <f t="shared" si="33"/>
        <v>0</v>
      </c>
      <c r="K7" s="19">
        <f t="shared" si="33"/>
        <v>0</v>
      </c>
      <c r="L7" s="19">
        <f t="shared" si="33"/>
        <v>0</v>
      </c>
      <c r="M7" s="19">
        <f t="shared" si="33"/>
        <v>0</v>
      </c>
      <c r="N7" s="19">
        <f t="shared" si="33"/>
        <v>0</v>
      </c>
      <c r="O7" s="19">
        <f t="shared" si="33"/>
        <v>0</v>
      </c>
      <c r="P7" s="19">
        <f t="shared" si="33"/>
        <v>0</v>
      </c>
      <c r="Q7" s="19">
        <f t="shared" si="33"/>
        <v>0</v>
      </c>
      <c r="R7" s="19">
        <f t="shared" si="33"/>
        <v>0</v>
      </c>
      <c r="S7" s="19">
        <f t="shared" si="33"/>
        <v>0</v>
      </c>
      <c r="T7" s="19">
        <f t="shared" si="33"/>
        <v>0</v>
      </c>
      <c r="U7" s="19">
        <f t="shared" si="33"/>
        <v>0</v>
      </c>
      <c r="V7" s="19">
        <f t="shared" si="33"/>
        <v>0</v>
      </c>
      <c r="W7" s="19">
        <f t="shared" si="33"/>
        <v>0</v>
      </c>
      <c r="X7" s="19">
        <f t="shared" si="33"/>
        <v>0</v>
      </c>
      <c r="Y7" s="19">
        <f t="shared" si="33"/>
        <v>0</v>
      </c>
      <c r="Z7" s="19">
        <f t="shared" si="33"/>
        <v>0</v>
      </c>
      <c r="AA7" s="19">
        <f t="shared" si="33"/>
        <v>0</v>
      </c>
      <c r="AB7" s="19">
        <f t="shared" si="33"/>
        <v>0</v>
      </c>
      <c r="AC7" s="19">
        <f t="shared" si="33"/>
        <v>3855584.01</v>
      </c>
      <c r="AD7" s="19">
        <f t="shared" si="33"/>
        <v>4106966</v>
      </c>
      <c r="AE7" s="19">
        <f t="shared" si="33"/>
        <v>4333550.51</v>
      </c>
      <c r="AF7" s="19">
        <f t="shared" si="33"/>
        <v>3785324.8000000003</v>
      </c>
      <c r="AG7" s="19">
        <f t="shared" si="33"/>
        <v>3549308.34</v>
      </c>
      <c r="AH7" s="19">
        <f t="shared" si="33"/>
        <v>3452754</v>
      </c>
      <c r="AI7" s="19">
        <f t="shared" ref="AI7:BN7" si="34">AI38</f>
        <v>3507793.41</v>
      </c>
      <c r="AJ7" s="19">
        <f t="shared" si="34"/>
        <v>3548218.66</v>
      </c>
      <c r="AK7" s="19">
        <f t="shared" si="34"/>
        <v>3885216.0000000009</v>
      </c>
      <c r="AL7" s="19">
        <f t="shared" si="34"/>
        <v>4518735.97</v>
      </c>
      <c r="AM7" s="19">
        <f t="shared" si="34"/>
        <v>2754753.13</v>
      </c>
      <c r="AN7" s="19">
        <f t="shared" si="34"/>
        <v>7394.56</v>
      </c>
      <c r="AO7" s="19">
        <f t="shared" si="34"/>
        <v>4698123.91</v>
      </c>
      <c r="AP7" s="19">
        <f t="shared" si="34"/>
        <v>6695036.46</v>
      </c>
      <c r="AQ7" s="19">
        <f t="shared" si="34"/>
        <v>7224054.2799999993</v>
      </c>
      <c r="AR7" s="19">
        <f t="shared" si="34"/>
        <v>9073450</v>
      </c>
      <c r="AS7" s="19">
        <f t="shared" si="34"/>
        <v>8678322.3399999999</v>
      </c>
      <c r="AT7" s="19">
        <f t="shared" si="34"/>
        <v>9314321.3600000069</v>
      </c>
      <c r="AU7" s="19">
        <f t="shared" si="34"/>
        <v>13318043.340000013</v>
      </c>
      <c r="AV7" s="19">
        <f t="shared" si="34"/>
        <v>13044841.750000002</v>
      </c>
      <c r="AW7" s="19">
        <f t="shared" si="34"/>
        <v>13007430.240000002</v>
      </c>
      <c r="AX7" s="19">
        <f t="shared" si="34"/>
        <v>13559378.300000001</v>
      </c>
      <c r="AY7" s="19">
        <f t="shared" si="34"/>
        <v>14442774.980000002</v>
      </c>
      <c r="AZ7" s="19">
        <f t="shared" si="34"/>
        <v>16158667.18</v>
      </c>
      <c r="BA7" s="19">
        <f t="shared" si="34"/>
        <v>17135873.57</v>
      </c>
      <c r="BB7" s="19">
        <f t="shared" si="34"/>
        <v>19793986.179999992</v>
      </c>
      <c r="BC7" s="19">
        <f t="shared" si="34"/>
        <v>21423301.919999998</v>
      </c>
      <c r="BD7" s="19">
        <f t="shared" si="34"/>
        <v>21022921.509999998</v>
      </c>
      <c r="BE7" s="19">
        <f t="shared" si="34"/>
        <v>20006333.32</v>
      </c>
      <c r="BF7" s="19">
        <f t="shared" si="34"/>
        <v>19872844.25</v>
      </c>
      <c r="BG7" s="19">
        <f t="shared" si="34"/>
        <v>20212569.09</v>
      </c>
      <c r="BH7" s="19">
        <f t="shared" si="34"/>
        <v>22245831.109999999</v>
      </c>
      <c r="BI7" s="19">
        <f t="shared" si="34"/>
        <v>21951680.920000002</v>
      </c>
      <c r="BJ7" s="19">
        <f t="shared" si="34"/>
        <v>22900452.419999998</v>
      </c>
      <c r="BK7" s="19">
        <f t="shared" si="34"/>
        <v>23804634.729500007</v>
      </c>
      <c r="BL7" s="19">
        <f t="shared" si="34"/>
        <v>24966485.999999996</v>
      </c>
      <c r="BM7" s="19">
        <f t="shared" si="34"/>
        <v>26469870.610000022</v>
      </c>
      <c r="BN7" s="19">
        <f t="shared" si="34"/>
        <v>27368811.799999997</v>
      </c>
      <c r="BO7" s="19">
        <f t="shared" ref="BO7:CT7" si="35">BO38</f>
        <v>31249709.862000063</v>
      </c>
      <c r="BP7" s="19">
        <f t="shared" si="35"/>
        <v>28010891.030359998</v>
      </c>
      <c r="BQ7" s="19">
        <f t="shared" si="35"/>
        <v>32103452.921699986</v>
      </c>
      <c r="BR7" s="19">
        <f t="shared" si="35"/>
        <v>23971268.163940348</v>
      </c>
      <c r="BS7" s="19">
        <f t="shared" si="35"/>
        <v>22623898.830960013</v>
      </c>
      <c r="BT7" s="19">
        <f t="shared" si="35"/>
        <v>21380656.909995697</v>
      </c>
      <c r="BU7" s="19">
        <f t="shared" si="35"/>
        <v>22317999.362155214</v>
      </c>
      <c r="BV7" s="19">
        <f t="shared" si="35"/>
        <v>25574583.989971936</v>
      </c>
      <c r="BW7" s="19">
        <f t="shared" si="35"/>
        <v>27071436.119972557</v>
      </c>
      <c r="BX7" s="19">
        <f t="shared" si="35"/>
        <v>28390045.1202107</v>
      </c>
      <c r="BY7" s="19">
        <f t="shared" si="35"/>
        <v>31218104.005038187</v>
      </c>
      <c r="BZ7" s="19">
        <f t="shared" si="35"/>
        <v>32356468.750004139</v>
      </c>
      <c r="CA7" s="19">
        <f t="shared" si="35"/>
        <v>31697574.859999996</v>
      </c>
      <c r="CB7" s="19">
        <f t="shared" si="35"/>
        <v>28755322.906617671</v>
      </c>
      <c r="CC7" s="19">
        <f t="shared" si="35"/>
        <v>33792530.861587428</v>
      </c>
      <c r="CD7" s="19">
        <f t="shared" si="35"/>
        <v>29474410.620000005</v>
      </c>
      <c r="CE7" s="19">
        <f t="shared" si="35"/>
        <v>34572785.636187755</v>
      </c>
      <c r="CF7" s="19">
        <f t="shared" si="35"/>
        <v>34137067.819999903</v>
      </c>
      <c r="CG7" s="19">
        <f t="shared" si="35"/>
        <v>30293358.169999931</v>
      </c>
      <c r="CH7" s="19">
        <f t="shared" si="35"/>
        <v>38254753.189999998</v>
      </c>
      <c r="CI7" s="19">
        <f t="shared" si="35"/>
        <v>38241732.560000002</v>
      </c>
      <c r="CJ7" s="19">
        <f t="shared" si="35"/>
        <v>40010303.889999993</v>
      </c>
      <c r="CK7" s="19">
        <f t="shared" si="35"/>
        <v>37004432.425714172</v>
      </c>
      <c r="CL7" s="19">
        <f t="shared" si="35"/>
        <v>42787885.245714284</v>
      </c>
      <c r="CM7" s="19">
        <f t="shared" si="35"/>
        <v>44987060.829999998</v>
      </c>
      <c r="CN7" s="19">
        <f t="shared" si="35"/>
        <v>43404225.229999997</v>
      </c>
      <c r="CO7" s="19">
        <f t="shared" si="35"/>
        <v>49438529.159999996</v>
      </c>
      <c r="CP7" s="19">
        <f t="shared" si="35"/>
        <v>47516929.219999999</v>
      </c>
      <c r="CQ7" s="19">
        <f t="shared" si="35"/>
        <v>59255297.740000024</v>
      </c>
      <c r="CR7" s="19">
        <f t="shared" si="35"/>
        <v>58174140.580000013</v>
      </c>
      <c r="CS7" s="19">
        <f t="shared" si="35"/>
        <v>55623259.200000025</v>
      </c>
      <c r="CT7" s="19">
        <f t="shared" si="35"/>
        <v>81605981.620000035</v>
      </c>
      <c r="CU7" s="19">
        <f t="shared" ref="CU7:DR7" si="36">CU38</f>
        <v>57041884.791193597</v>
      </c>
      <c r="CV7" s="19">
        <f t="shared" si="36"/>
        <v>57529533.98890689</v>
      </c>
      <c r="CW7" s="19">
        <f t="shared" si="36"/>
        <v>58186161.189615302</v>
      </c>
      <c r="CX7" s="19">
        <f t="shared" si="36"/>
        <v>58697490.666245252</v>
      </c>
      <c r="CY7" s="19">
        <f t="shared" si="36"/>
        <v>59080667.027082972</v>
      </c>
      <c r="CZ7" s="19">
        <f t="shared" si="36"/>
        <v>60385234.062683702</v>
      </c>
      <c r="DA7" s="19">
        <f t="shared" si="36"/>
        <v>60688515.374546021</v>
      </c>
      <c r="DB7" s="19">
        <f t="shared" si="36"/>
        <v>61359801.79553616</v>
      </c>
      <c r="DC7" s="19">
        <f t="shared" si="36"/>
        <v>62896149.059557587</v>
      </c>
      <c r="DD7" s="19">
        <f t="shared" si="36"/>
        <v>63794538.333241589</v>
      </c>
      <c r="DE7" s="19">
        <f t="shared" si="36"/>
        <v>63545112.957306355</v>
      </c>
      <c r="DF7" s="19">
        <f t="shared" si="36"/>
        <v>64865466.845518149</v>
      </c>
      <c r="DG7" s="19">
        <f t="shared" si="36"/>
        <v>64945652.443947688</v>
      </c>
      <c r="DH7" s="19">
        <f t="shared" si="36"/>
        <v>65662095.042521216</v>
      </c>
      <c r="DI7" s="19">
        <f t="shared" si="36"/>
        <v>66098094.73283644</v>
      </c>
      <c r="DJ7" s="19">
        <f t="shared" si="36"/>
        <v>66622583.255887911</v>
      </c>
      <c r="DK7" s="19">
        <f t="shared" si="36"/>
        <v>66954683.792275205</v>
      </c>
      <c r="DL7" s="19">
        <f t="shared" si="36"/>
        <v>68337580.961910933</v>
      </c>
      <c r="DM7" s="19">
        <f t="shared" si="36"/>
        <v>68395633.067896321</v>
      </c>
      <c r="DN7" s="19">
        <f t="shared" si="36"/>
        <v>68848996.604635283</v>
      </c>
      <c r="DO7" s="19">
        <f t="shared" si="36"/>
        <v>70367615.330953151</v>
      </c>
      <c r="DP7" s="19">
        <f t="shared" si="36"/>
        <v>71130572.817716271</v>
      </c>
      <c r="DQ7" s="19">
        <f t="shared" si="36"/>
        <v>70493353.230997205</v>
      </c>
      <c r="DR7" s="19">
        <f t="shared" si="36"/>
        <v>71234939.829854354</v>
      </c>
      <c r="DS7" s="19">
        <f t="shared" ref="DS7:ED7" si="37">DS38</f>
        <v>71248738.429177612</v>
      </c>
      <c r="DT7" s="19">
        <f t="shared" si="37"/>
        <v>71975592.824162886</v>
      </c>
      <c r="DU7" s="19">
        <f t="shared" si="37"/>
        <v>72410853.215324655</v>
      </c>
      <c r="DV7" s="19">
        <f t="shared" si="37"/>
        <v>72950928.628862381</v>
      </c>
      <c r="DW7" s="19">
        <f t="shared" si="37"/>
        <v>73222529.851188138</v>
      </c>
      <c r="DX7" s="19">
        <f t="shared" si="37"/>
        <v>74698209.064588338</v>
      </c>
      <c r="DY7" s="19">
        <f t="shared" si="37"/>
        <v>74726381.163119808</v>
      </c>
      <c r="DZ7" s="19">
        <f t="shared" si="37"/>
        <v>75182209.030370459</v>
      </c>
      <c r="EA7" s="19">
        <f t="shared" si="37"/>
        <v>76940422.290685743</v>
      </c>
      <c r="EB7" s="19">
        <f t="shared" si="37"/>
        <v>77803554.812748402</v>
      </c>
      <c r="EC7" s="19">
        <f t="shared" si="37"/>
        <v>76967586.970262825</v>
      </c>
      <c r="ED7" s="19">
        <f t="shared" si="37"/>
        <v>77805405.675600693</v>
      </c>
      <c r="EE7" s="222"/>
      <c r="EF7" s="19">
        <f t="shared" si="3"/>
        <v>75240991.339500025</v>
      </c>
      <c r="EG7" s="19">
        <f t="shared" si="4"/>
        <v>86629412.692360058</v>
      </c>
      <c r="EH7" s="19">
        <f t="shared" si="5"/>
        <v>78698619.916600347</v>
      </c>
      <c r="EI7" s="19">
        <f t="shared" si="6"/>
        <v>69273240.26212284</v>
      </c>
      <c r="EJ7" s="19">
        <f t="shared" si="7"/>
        <v>86679585.245221436</v>
      </c>
      <c r="EK7" s="19">
        <f t="shared" si="8"/>
        <v>92809366.516621798</v>
      </c>
      <c r="EL7" s="19">
        <f t="shared" si="9"/>
        <v>97839727.117775187</v>
      </c>
      <c r="EM7" s="19">
        <f t="shared" si="10"/>
        <v>102685179.17999983</v>
      </c>
      <c r="EN7" s="19">
        <f t="shared" si="11"/>
        <v>115256468.87571415</v>
      </c>
      <c r="EO7" s="19">
        <f t="shared" si="12"/>
        <v>131179171.30571428</v>
      </c>
      <c r="EP7" s="19">
        <f t="shared" si="13"/>
        <v>156210756.12</v>
      </c>
      <c r="EQ7" s="19">
        <f t="shared" si="14"/>
        <v>195403381.40000007</v>
      </c>
      <c r="ER7" s="19">
        <f t="shared" si="15"/>
        <v>172757579.9697158</v>
      </c>
      <c r="ES7" s="19">
        <f t="shared" si="16"/>
        <v>178163391.75601193</v>
      </c>
      <c r="ET7" s="19">
        <f t="shared" si="17"/>
        <v>184944466.22963977</v>
      </c>
      <c r="EU7" s="19">
        <f t="shared" si="18"/>
        <v>192205118.13606608</v>
      </c>
      <c r="EV7" s="19">
        <f t="shared" si="19"/>
        <v>196705842.21930534</v>
      </c>
      <c r="EW7" s="19">
        <f t="shared" si="20"/>
        <v>201914848.01007405</v>
      </c>
      <c r="EX7" s="19">
        <f t="shared" si="21"/>
        <v>207612245.00348476</v>
      </c>
      <c r="EY7" s="19">
        <f t="shared" si="22"/>
        <v>212858865.87856781</v>
      </c>
      <c r="EZ7" s="19">
        <f t="shared" si="23"/>
        <v>215635184.46866512</v>
      </c>
      <c r="FA7" s="19">
        <f t="shared" si="24"/>
        <v>220871667.54463884</v>
      </c>
      <c r="FB7" s="19">
        <f t="shared" si="25"/>
        <v>226849012.48417601</v>
      </c>
      <c r="FC7" s="19">
        <f t="shared" si="26"/>
        <v>232576547.45861191</v>
      </c>
      <c r="FE7" s="19">
        <f t="shared" si="27"/>
        <v>309842264.21058327</v>
      </c>
      <c r="FF7" s="19">
        <f t="shared" si="28"/>
        <v>380013858.05961823</v>
      </c>
      <c r="FG7" s="19">
        <f t="shared" si="29"/>
        <v>598049777.70142853</v>
      </c>
      <c r="FH7" s="19">
        <f t="shared" si="30"/>
        <v>728070556.09143353</v>
      </c>
      <c r="FI7" s="19">
        <f t="shared" si="31"/>
        <v>819091801.11143196</v>
      </c>
      <c r="FJ7" s="770">
        <f t="shared" si="32"/>
        <v>895932411.95609188</v>
      </c>
      <c r="FK7" s="545" t="s">
        <v>1</v>
      </c>
    </row>
    <row r="8" spans="2:167" x14ac:dyDescent="0.2">
      <c r="B8" s="225" t="s">
        <v>311</v>
      </c>
      <c r="C8" s="19">
        <f t="shared" ref="C8:AH8" si="38">C39</f>
        <v>0</v>
      </c>
      <c r="D8" s="19">
        <f t="shared" si="38"/>
        <v>0</v>
      </c>
      <c r="E8" s="19">
        <f t="shared" si="38"/>
        <v>0</v>
      </c>
      <c r="F8" s="19">
        <f t="shared" si="38"/>
        <v>0</v>
      </c>
      <c r="G8" s="19">
        <f t="shared" si="38"/>
        <v>0</v>
      </c>
      <c r="H8" s="19">
        <f t="shared" si="38"/>
        <v>0</v>
      </c>
      <c r="I8" s="19">
        <f t="shared" si="38"/>
        <v>0</v>
      </c>
      <c r="J8" s="19">
        <f t="shared" si="38"/>
        <v>0</v>
      </c>
      <c r="K8" s="19">
        <f t="shared" si="38"/>
        <v>0</v>
      </c>
      <c r="L8" s="19">
        <f t="shared" si="38"/>
        <v>0</v>
      </c>
      <c r="M8" s="19">
        <f t="shared" si="38"/>
        <v>0</v>
      </c>
      <c r="N8" s="19">
        <f t="shared" si="38"/>
        <v>0</v>
      </c>
      <c r="O8" s="19">
        <f t="shared" si="38"/>
        <v>0</v>
      </c>
      <c r="P8" s="19">
        <f t="shared" si="38"/>
        <v>0</v>
      </c>
      <c r="Q8" s="19">
        <f t="shared" si="38"/>
        <v>0</v>
      </c>
      <c r="R8" s="19">
        <f t="shared" si="38"/>
        <v>0</v>
      </c>
      <c r="S8" s="19">
        <f t="shared" si="38"/>
        <v>0</v>
      </c>
      <c r="T8" s="19">
        <f t="shared" si="38"/>
        <v>0</v>
      </c>
      <c r="U8" s="19">
        <f t="shared" si="38"/>
        <v>0</v>
      </c>
      <c r="V8" s="19">
        <f t="shared" si="38"/>
        <v>0</v>
      </c>
      <c r="W8" s="19">
        <f t="shared" si="38"/>
        <v>0</v>
      </c>
      <c r="X8" s="19">
        <f t="shared" si="38"/>
        <v>0</v>
      </c>
      <c r="Y8" s="19">
        <f t="shared" si="38"/>
        <v>0</v>
      </c>
      <c r="Z8" s="19">
        <f t="shared" si="38"/>
        <v>0</v>
      </c>
      <c r="AA8" s="19">
        <f t="shared" si="38"/>
        <v>0</v>
      </c>
      <c r="AB8" s="19">
        <f t="shared" si="38"/>
        <v>0</v>
      </c>
      <c r="AC8" s="19">
        <f t="shared" si="38"/>
        <v>0</v>
      </c>
      <c r="AD8" s="19">
        <f t="shared" si="38"/>
        <v>1016444.9199999999</v>
      </c>
      <c r="AE8" s="19">
        <f t="shared" si="38"/>
        <v>1285256</v>
      </c>
      <c r="AF8" s="19">
        <f t="shared" si="38"/>
        <v>1791138.52</v>
      </c>
      <c r="AG8" s="19">
        <f t="shared" si="38"/>
        <v>2109889.56</v>
      </c>
      <c r="AH8" s="19">
        <f t="shared" si="38"/>
        <v>1307895.48</v>
      </c>
      <c r="AI8" s="19">
        <f t="shared" ref="AI8:BN8" si="39">AI39</f>
        <v>3331132.92</v>
      </c>
      <c r="AJ8" s="19">
        <f t="shared" si="39"/>
        <v>1285239.48</v>
      </c>
      <c r="AK8" s="19">
        <f t="shared" si="39"/>
        <v>874972.36</v>
      </c>
      <c r="AL8" s="19">
        <f t="shared" si="39"/>
        <v>939999.8</v>
      </c>
      <c r="AM8" s="19">
        <f t="shared" si="39"/>
        <v>859040</v>
      </c>
      <c r="AN8" s="19">
        <f t="shared" si="39"/>
        <v>1118369.78</v>
      </c>
      <c r="AO8" s="19">
        <f t="shared" si="39"/>
        <v>1321600</v>
      </c>
      <c r="AP8" s="19">
        <f t="shared" si="39"/>
        <v>2256571.8199999998</v>
      </c>
      <c r="AQ8" s="19">
        <f t="shared" si="39"/>
        <v>2048480</v>
      </c>
      <c r="AR8" s="19">
        <f t="shared" si="39"/>
        <v>5765480</v>
      </c>
      <c r="AS8" s="19">
        <f t="shared" si="39"/>
        <v>4057961</v>
      </c>
      <c r="AT8" s="19">
        <f t="shared" si="39"/>
        <v>2852192.0183999999</v>
      </c>
      <c r="AU8" s="19">
        <f t="shared" si="39"/>
        <v>1320307.7112</v>
      </c>
      <c r="AV8" s="19">
        <f t="shared" si="39"/>
        <v>3300129.8832</v>
      </c>
      <c r="AW8" s="19">
        <f t="shared" si="39"/>
        <v>1611452.4624000001</v>
      </c>
      <c r="AX8" s="19">
        <f t="shared" si="39"/>
        <v>2020024.064</v>
      </c>
      <c r="AY8" s="19">
        <f t="shared" si="39"/>
        <v>1729831.7144000004</v>
      </c>
      <c r="AZ8" s="19">
        <f t="shared" si="39"/>
        <v>1823880.9240000001</v>
      </c>
      <c r="BA8" s="19">
        <f t="shared" si="39"/>
        <v>2497155.0816000002</v>
      </c>
      <c r="BB8" s="19">
        <f t="shared" si="39"/>
        <v>2001015.7272000001</v>
      </c>
      <c r="BC8" s="19">
        <f t="shared" si="39"/>
        <v>2001015.7272000001</v>
      </c>
      <c r="BD8" s="19">
        <f t="shared" si="39"/>
        <v>3124726.6119999997</v>
      </c>
      <c r="BE8" s="19">
        <f t="shared" si="39"/>
        <v>2548494.6632000003</v>
      </c>
      <c r="BF8" s="19">
        <f t="shared" si="39"/>
        <v>731466.51840000018</v>
      </c>
      <c r="BG8" s="19">
        <f t="shared" si="39"/>
        <v>1180734.8047999998</v>
      </c>
      <c r="BH8" s="19">
        <f t="shared" si="39"/>
        <v>1521225.5984</v>
      </c>
      <c r="BI8" s="19">
        <f t="shared" si="39"/>
        <v>1247324.260338983</v>
      </c>
      <c r="BJ8" s="19">
        <f t="shared" si="39"/>
        <v>1497573.7616000001</v>
      </c>
      <c r="BK8" s="19">
        <f t="shared" si="39"/>
        <v>1383701.9047999999</v>
      </c>
      <c r="BL8" s="19">
        <f t="shared" si="39"/>
        <v>1486206.9047999999</v>
      </c>
      <c r="BM8" s="19">
        <f t="shared" si="39"/>
        <v>989612.38080000004</v>
      </c>
      <c r="BN8" s="19">
        <f t="shared" si="39"/>
        <v>1334373.6888000001</v>
      </c>
      <c r="BO8" s="19">
        <f t="shared" ref="BO8:CT8" si="40">BO39</f>
        <v>1705493.1816000002</v>
      </c>
      <c r="BP8" s="19">
        <f t="shared" si="40"/>
        <v>1267346.8152000001</v>
      </c>
      <c r="BQ8" s="19">
        <f t="shared" si="40"/>
        <v>2895478.4304000004</v>
      </c>
      <c r="BR8" s="19">
        <f t="shared" si="40"/>
        <v>1123084.9656</v>
      </c>
      <c r="BS8" s="19">
        <f t="shared" si="40"/>
        <v>1316880</v>
      </c>
      <c r="BT8" s="19">
        <f t="shared" si="40"/>
        <v>1476936.1440000001</v>
      </c>
      <c r="BU8" s="19">
        <f t="shared" si="40"/>
        <v>1077727.3703999999</v>
      </c>
      <c r="BV8" s="19">
        <f t="shared" si="40"/>
        <v>1219241.4192000001</v>
      </c>
      <c r="BW8" s="19">
        <f t="shared" si="40"/>
        <v>1197662.8536</v>
      </c>
      <c r="BX8" s="19">
        <f t="shared" si="40"/>
        <v>1189440</v>
      </c>
      <c r="BY8" s="19">
        <f t="shared" si="40"/>
        <v>1523074.0968000004</v>
      </c>
      <c r="BZ8" s="19">
        <f t="shared" si="40"/>
        <v>1693584.9935999999</v>
      </c>
      <c r="CA8" s="19">
        <f t="shared" si="40"/>
        <v>2813167.6720000003</v>
      </c>
      <c r="CB8" s="19">
        <f t="shared" si="40"/>
        <v>5081382.5120000001</v>
      </c>
      <c r="CC8" s="19">
        <f t="shared" si="40"/>
        <v>3633293.3959999997</v>
      </c>
      <c r="CD8" s="19">
        <f t="shared" si="40"/>
        <v>4427961.9179999996</v>
      </c>
      <c r="CE8" s="19">
        <f t="shared" si="40"/>
        <v>3285398.0079999999</v>
      </c>
      <c r="CF8" s="19">
        <f t="shared" si="40"/>
        <v>2490653.2579999999</v>
      </c>
      <c r="CG8" s="19">
        <f t="shared" si="40"/>
        <v>1951079.142</v>
      </c>
      <c r="CH8" s="19">
        <f t="shared" si="40"/>
        <v>3003397.36</v>
      </c>
      <c r="CI8" s="19">
        <f t="shared" si="40"/>
        <v>2053277.7619999999</v>
      </c>
      <c r="CJ8" s="19">
        <f t="shared" si="40"/>
        <v>1506710.4939999999</v>
      </c>
      <c r="CK8" s="19">
        <f t="shared" si="40"/>
        <v>2962532.7327999999</v>
      </c>
      <c r="CL8" s="19">
        <f t="shared" si="40"/>
        <v>4308387.9160000002</v>
      </c>
      <c r="CM8" s="19">
        <f t="shared" si="40"/>
        <v>4130412.8819999998</v>
      </c>
      <c r="CN8" s="19">
        <f t="shared" si="40"/>
        <v>5168630.1118000001</v>
      </c>
      <c r="CO8" s="19">
        <f t="shared" si="40"/>
        <v>4180598.4354000003</v>
      </c>
      <c r="CP8" s="19">
        <f t="shared" si="40"/>
        <v>3680104.5623999997</v>
      </c>
      <c r="CQ8" s="19">
        <f t="shared" si="40"/>
        <v>3750100.3569999998</v>
      </c>
      <c r="CR8" s="19">
        <f t="shared" si="40"/>
        <v>2337991.3480000002</v>
      </c>
      <c r="CS8" s="19">
        <f t="shared" si="40"/>
        <v>4638085.9221999999</v>
      </c>
      <c r="CT8" s="19">
        <f t="shared" si="40"/>
        <v>7301025.8117999993</v>
      </c>
      <c r="CU8" s="19">
        <f t="shared" ref="CU8:DR8" si="41">CU39</f>
        <v>2053277.7619999999</v>
      </c>
      <c r="CV8" s="19">
        <f t="shared" si="41"/>
        <v>1506710.4939999999</v>
      </c>
      <c r="CW8" s="19">
        <f t="shared" si="41"/>
        <v>2962532.7327999999</v>
      </c>
      <c r="CX8" s="19">
        <f t="shared" si="41"/>
        <v>4308387.9160000002</v>
      </c>
      <c r="CY8" s="19">
        <f t="shared" si="41"/>
        <v>4130412.8819999998</v>
      </c>
      <c r="CZ8" s="19">
        <f t="shared" si="41"/>
        <v>5168630.1118000001</v>
      </c>
      <c r="DA8" s="19">
        <f t="shared" si="41"/>
        <v>4180598.4354000003</v>
      </c>
      <c r="DB8" s="19">
        <f t="shared" si="41"/>
        <v>3680104.5623999997</v>
      </c>
      <c r="DC8" s="19">
        <f t="shared" si="41"/>
        <v>3750100.3569999998</v>
      </c>
      <c r="DD8" s="19">
        <f t="shared" si="41"/>
        <v>2337991.3480000002</v>
      </c>
      <c r="DE8" s="19">
        <f t="shared" si="41"/>
        <v>4638085.9221999999</v>
      </c>
      <c r="DF8" s="19">
        <f t="shared" si="41"/>
        <v>7301025.8117999993</v>
      </c>
      <c r="DG8" s="19">
        <f t="shared" si="41"/>
        <v>2053277.7619999999</v>
      </c>
      <c r="DH8" s="19">
        <f t="shared" si="41"/>
        <v>1506710.4939999999</v>
      </c>
      <c r="DI8" s="19">
        <f t="shared" si="41"/>
        <v>2962532.7327999999</v>
      </c>
      <c r="DJ8" s="19">
        <f t="shared" si="41"/>
        <v>4308387.9160000002</v>
      </c>
      <c r="DK8" s="19">
        <f t="shared" si="41"/>
        <v>4130412.8819999998</v>
      </c>
      <c r="DL8" s="19">
        <f t="shared" si="41"/>
        <v>5168630.1118000001</v>
      </c>
      <c r="DM8" s="19">
        <f t="shared" si="41"/>
        <v>4180598.4354000003</v>
      </c>
      <c r="DN8" s="19">
        <f t="shared" si="41"/>
        <v>3680104.5623999997</v>
      </c>
      <c r="DO8" s="19">
        <f t="shared" si="41"/>
        <v>3750100.3569999998</v>
      </c>
      <c r="DP8" s="19">
        <f t="shared" si="41"/>
        <v>2337991.3480000002</v>
      </c>
      <c r="DQ8" s="19">
        <f t="shared" si="41"/>
        <v>4638085.9221999999</v>
      </c>
      <c r="DR8" s="19">
        <f t="shared" si="41"/>
        <v>7301025.8117999993</v>
      </c>
      <c r="DS8" s="19">
        <f t="shared" ref="DS8:ED8" si="42">DS39</f>
        <v>2053277.7619999999</v>
      </c>
      <c r="DT8" s="19">
        <f t="shared" si="42"/>
        <v>1506710.4939999999</v>
      </c>
      <c r="DU8" s="19">
        <f t="shared" si="42"/>
        <v>2962532.7327999999</v>
      </c>
      <c r="DV8" s="19">
        <f t="shared" si="42"/>
        <v>4308387.9160000002</v>
      </c>
      <c r="DW8" s="19">
        <f t="shared" si="42"/>
        <v>4130412.8819999998</v>
      </c>
      <c r="DX8" s="19">
        <f t="shared" si="42"/>
        <v>5168630.1118000001</v>
      </c>
      <c r="DY8" s="19">
        <f t="shared" si="42"/>
        <v>4180598.4354000003</v>
      </c>
      <c r="DZ8" s="19">
        <f t="shared" si="42"/>
        <v>3680104.5623999997</v>
      </c>
      <c r="EA8" s="19">
        <f t="shared" si="42"/>
        <v>3750100.3569999998</v>
      </c>
      <c r="EB8" s="19">
        <f t="shared" si="42"/>
        <v>2337991.3480000002</v>
      </c>
      <c r="EC8" s="19">
        <f t="shared" si="42"/>
        <v>4638085.9221999999</v>
      </c>
      <c r="ED8" s="19">
        <f t="shared" si="42"/>
        <v>7301025.8117999993</v>
      </c>
      <c r="EE8" s="222"/>
      <c r="EF8" s="19">
        <f t="shared" si="3"/>
        <v>3859521.1903999997</v>
      </c>
      <c r="EG8" s="19">
        <f t="shared" si="4"/>
        <v>4307213.6856000004</v>
      </c>
      <c r="EH8" s="19">
        <f t="shared" si="5"/>
        <v>5335443.3960000006</v>
      </c>
      <c r="EI8" s="19">
        <f t="shared" si="6"/>
        <v>3773904.9336000001</v>
      </c>
      <c r="EJ8" s="19">
        <f t="shared" si="7"/>
        <v>3910176.9504000004</v>
      </c>
      <c r="EK8" s="19">
        <f t="shared" si="8"/>
        <v>9588135.1776000001</v>
      </c>
      <c r="EL8" s="19">
        <f t="shared" si="9"/>
        <v>11346653.321999999</v>
      </c>
      <c r="EM8" s="19">
        <f t="shared" si="10"/>
        <v>7445129.7599999998</v>
      </c>
      <c r="EN8" s="19">
        <f t="shared" si="11"/>
        <v>6522520.9888000004</v>
      </c>
      <c r="EO8" s="19">
        <f t="shared" si="12"/>
        <v>13607430.9098</v>
      </c>
      <c r="EP8" s="19">
        <f t="shared" si="13"/>
        <v>11610803.354800001</v>
      </c>
      <c r="EQ8" s="19">
        <f t="shared" si="14"/>
        <v>14277103.081999999</v>
      </c>
      <c r="ER8" s="19">
        <f t="shared" si="15"/>
        <v>6522520.9888000004</v>
      </c>
      <c r="ES8" s="19">
        <f t="shared" si="16"/>
        <v>13607430.9098</v>
      </c>
      <c r="ET8" s="19">
        <f t="shared" si="17"/>
        <v>11610803.354800001</v>
      </c>
      <c r="EU8" s="19">
        <f t="shared" si="18"/>
        <v>14277103.081999999</v>
      </c>
      <c r="EV8" s="19">
        <f t="shared" si="19"/>
        <v>6522520.9888000004</v>
      </c>
      <c r="EW8" s="19">
        <f t="shared" si="20"/>
        <v>13607430.9098</v>
      </c>
      <c r="EX8" s="19">
        <f t="shared" si="21"/>
        <v>11610803.354800001</v>
      </c>
      <c r="EY8" s="19">
        <f t="shared" si="22"/>
        <v>14277103.081999999</v>
      </c>
      <c r="EZ8" s="19">
        <f t="shared" si="23"/>
        <v>6522520.9888000004</v>
      </c>
      <c r="FA8" s="19">
        <f t="shared" si="24"/>
        <v>13607430.9098</v>
      </c>
      <c r="FB8" s="19">
        <f t="shared" si="25"/>
        <v>11610803.354800001</v>
      </c>
      <c r="FC8" s="19">
        <f t="shared" si="26"/>
        <v>14277103.081999999</v>
      </c>
      <c r="FE8" s="19">
        <f t="shared" si="27"/>
        <v>17276083.205600001</v>
      </c>
      <c r="FF8" s="19">
        <f t="shared" si="28"/>
        <v>32290095.210000001</v>
      </c>
      <c r="FG8" s="19">
        <f t="shared" si="29"/>
        <v>46017858.3354</v>
      </c>
      <c r="FH8" s="19">
        <f t="shared" si="30"/>
        <v>46017858.3354</v>
      </c>
      <c r="FI8" s="19">
        <f t="shared" si="31"/>
        <v>46017858.3354</v>
      </c>
      <c r="FJ8" s="770">
        <f t="shared" si="32"/>
        <v>46017858.3354</v>
      </c>
      <c r="FK8" s="545" t="s">
        <v>1</v>
      </c>
    </row>
    <row r="9" spans="2:167" x14ac:dyDescent="0.2">
      <c r="B9" s="225" t="s">
        <v>191</v>
      </c>
      <c r="C9" s="19">
        <f t="shared" ref="C9:AH9" si="43">C40</f>
        <v>1122221.3</v>
      </c>
      <c r="D9" s="19">
        <f t="shared" si="43"/>
        <v>1450136.22</v>
      </c>
      <c r="E9" s="19">
        <f t="shared" si="43"/>
        <v>1972016</v>
      </c>
      <c r="F9" s="19">
        <f t="shared" si="43"/>
        <v>2300746.2999999998</v>
      </c>
      <c r="G9" s="19">
        <f t="shared" si="43"/>
        <v>2454507.38</v>
      </c>
      <c r="H9" s="19">
        <f t="shared" si="43"/>
        <v>3129509.86</v>
      </c>
      <c r="I9" s="19">
        <f t="shared" si="43"/>
        <v>3675259.86</v>
      </c>
      <c r="J9" s="19">
        <f t="shared" si="43"/>
        <v>5148563.0199999996</v>
      </c>
      <c r="K9" s="19">
        <f t="shared" si="43"/>
        <v>7472148.2199999997</v>
      </c>
      <c r="L9" s="19">
        <f t="shared" si="43"/>
        <v>10007707.439999999</v>
      </c>
      <c r="M9" s="19">
        <f t="shared" si="43"/>
        <v>9620099.8599999994</v>
      </c>
      <c r="N9" s="19">
        <f t="shared" si="43"/>
        <v>10683960.720000001</v>
      </c>
      <c r="O9" s="19">
        <f t="shared" si="43"/>
        <v>11188042.560000001</v>
      </c>
      <c r="P9" s="19">
        <f t="shared" si="43"/>
        <v>11181957.380000141</v>
      </c>
      <c r="Q9" s="19">
        <f t="shared" si="43"/>
        <v>9904954.2200000007</v>
      </c>
      <c r="R9" s="19">
        <f t="shared" si="43"/>
        <v>7466791.0000000056</v>
      </c>
      <c r="S9" s="19">
        <f t="shared" si="43"/>
        <v>6939939.9000000004</v>
      </c>
      <c r="T9" s="19">
        <f t="shared" si="43"/>
        <v>6410732.3200000003</v>
      </c>
      <c r="U9" s="19">
        <f t="shared" si="43"/>
        <v>6104551.8200000003</v>
      </c>
      <c r="V9" s="19">
        <f t="shared" si="43"/>
        <v>5469154.8600000003</v>
      </c>
      <c r="W9" s="19">
        <f t="shared" si="43"/>
        <v>5245282.839999998</v>
      </c>
      <c r="X9" s="19">
        <f t="shared" si="43"/>
        <v>4628703.9799999958</v>
      </c>
      <c r="Y9" s="19">
        <f t="shared" si="43"/>
        <v>4482612.32</v>
      </c>
      <c r="Z9" s="19">
        <f t="shared" si="43"/>
        <v>3142376.58</v>
      </c>
      <c r="AA9" s="19">
        <f t="shared" si="43"/>
        <v>0</v>
      </c>
      <c r="AB9" s="19">
        <f t="shared" si="43"/>
        <v>629338.27360000042</v>
      </c>
      <c r="AC9" s="19">
        <f t="shared" si="43"/>
        <v>0</v>
      </c>
      <c r="AD9" s="19">
        <f t="shared" si="43"/>
        <v>0</v>
      </c>
      <c r="AE9" s="19">
        <f t="shared" si="43"/>
        <v>0</v>
      </c>
      <c r="AF9" s="19">
        <f t="shared" si="43"/>
        <v>0</v>
      </c>
      <c r="AG9" s="19">
        <f t="shared" si="43"/>
        <v>0</v>
      </c>
      <c r="AH9" s="19">
        <f t="shared" si="43"/>
        <v>0</v>
      </c>
      <c r="AI9" s="19">
        <f t="shared" ref="AI9:BN9" si="44">AI40</f>
        <v>0</v>
      </c>
      <c r="AJ9" s="19">
        <f t="shared" si="44"/>
        <v>0</v>
      </c>
      <c r="AK9" s="19">
        <f t="shared" si="44"/>
        <v>0</v>
      </c>
      <c r="AL9" s="19">
        <f t="shared" si="44"/>
        <v>0</v>
      </c>
      <c r="AM9" s="19">
        <f t="shared" si="44"/>
        <v>0</v>
      </c>
      <c r="AN9" s="19">
        <f t="shared" si="44"/>
        <v>0</v>
      </c>
      <c r="AO9" s="19">
        <f t="shared" si="44"/>
        <v>0</v>
      </c>
      <c r="AP9" s="19">
        <f t="shared" si="44"/>
        <v>0</v>
      </c>
      <c r="AQ9" s="19">
        <f t="shared" si="44"/>
        <v>0</v>
      </c>
      <c r="AR9" s="19">
        <f t="shared" si="44"/>
        <v>0</v>
      </c>
      <c r="AS9" s="19">
        <f t="shared" si="44"/>
        <v>0</v>
      </c>
      <c r="AT9" s="19">
        <f t="shared" si="44"/>
        <v>0</v>
      </c>
      <c r="AU9" s="19">
        <f t="shared" si="44"/>
        <v>0</v>
      </c>
      <c r="AV9" s="19">
        <f t="shared" si="44"/>
        <v>0</v>
      </c>
      <c r="AW9" s="19">
        <f t="shared" si="44"/>
        <v>0</v>
      </c>
      <c r="AX9" s="19">
        <f t="shared" si="44"/>
        <v>0</v>
      </c>
      <c r="AY9" s="19">
        <f t="shared" si="44"/>
        <v>0</v>
      </c>
      <c r="AZ9" s="19">
        <f t="shared" si="44"/>
        <v>0</v>
      </c>
      <c r="BA9" s="19">
        <f t="shared" si="44"/>
        <v>0</v>
      </c>
      <c r="BB9" s="19">
        <f t="shared" si="44"/>
        <v>0</v>
      </c>
      <c r="BC9" s="19">
        <f t="shared" si="44"/>
        <v>0</v>
      </c>
      <c r="BD9" s="19">
        <f t="shared" si="44"/>
        <v>0</v>
      </c>
      <c r="BE9" s="19">
        <f t="shared" si="44"/>
        <v>0</v>
      </c>
      <c r="BF9" s="19">
        <f t="shared" si="44"/>
        <v>0</v>
      </c>
      <c r="BG9" s="19">
        <f t="shared" si="44"/>
        <v>0</v>
      </c>
      <c r="BH9" s="19">
        <f t="shared" si="44"/>
        <v>0</v>
      </c>
      <c r="BI9" s="19">
        <f t="shared" si="44"/>
        <v>0</v>
      </c>
      <c r="BJ9" s="19">
        <f t="shared" si="44"/>
        <v>0</v>
      </c>
      <c r="BK9" s="19">
        <f t="shared" si="44"/>
        <v>0</v>
      </c>
      <c r="BL9" s="19">
        <f t="shared" si="44"/>
        <v>0</v>
      </c>
      <c r="BM9" s="19">
        <f t="shared" si="44"/>
        <v>0</v>
      </c>
      <c r="BN9" s="19">
        <f t="shared" si="44"/>
        <v>0</v>
      </c>
      <c r="BO9" s="19">
        <f t="shared" ref="BO9:CT9" si="45">BO40</f>
        <v>0</v>
      </c>
      <c r="BP9" s="19">
        <f t="shared" si="45"/>
        <v>0</v>
      </c>
      <c r="BQ9" s="19">
        <f t="shared" si="45"/>
        <v>0</v>
      </c>
      <c r="BR9" s="19">
        <f t="shared" si="45"/>
        <v>0</v>
      </c>
      <c r="BS9" s="19">
        <f t="shared" si="45"/>
        <v>0</v>
      </c>
      <c r="BT9" s="19">
        <f t="shared" si="45"/>
        <v>0</v>
      </c>
      <c r="BU9" s="19">
        <f t="shared" si="45"/>
        <v>0</v>
      </c>
      <c r="BV9" s="19">
        <f t="shared" si="45"/>
        <v>0</v>
      </c>
      <c r="BW9" s="19">
        <f t="shared" si="45"/>
        <v>0</v>
      </c>
      <c r="BX9" s="19">
        <f t="shared" si="45"/>
        <v>0</v>
      </c>
      <c r="BY9" s="19">
        <f t="shared" si="45"/>
        <v>0</v>
      </c>
      <c r="BZ9" s="19">
        <f t="shared" si="45"/>
        <v>0</v>
      </c>
      <c r="CA9" s="19">
        <f t="shared" si="45"/>
        <v>0</v>
      </c>
      <c r="CB9" s="19">
        <f t="shared" si="45"/>
        <v>0</v>
      </c>
      <c r="CC9" s="19">
        <f t="shared" si="45"/>
        <v>0</v>
      </c>
      <c r="CD9" s="19">
        <f t="shared" si="45"/>
        <v>0</v>
      </c>
      <c r="CE9" s="19">
        <f t="shared" si="45"/>
        <v>0</v>
      </c>
      <c r="CF9" s="19">
        <f t="shared" si="45"/>
        <v>0</v>
      </c>
      <c r="CG9" s="19">
        <f t="shared" si="45"/>
        <v>0</v>
      </c>
      <c r="CH9" s="19">
        <f t="shared" si="45"/>
        <v>0</v>
      </c>
      <c r="CI9" s="19">
        <f t="shared" si="45"/>
        <v>0</v>
      </c>
      <c r="CJ9" s="19">
        <f t="shared" si="45"/>
        <v>0</v>
      </c>
      <c r="CK9" s="19">
        <f t="shared" si="45"/>
        <v>0</v>
      </c>
      <c r="CL9" s="19">
        <f t="shared" si="45"/>
        <v>0</v>
      </c>
      <c r="CM9" s="19">
        <f t="shared" si="45"/>
        <v>0</v>
      </c>
      <c r="CN9" s="19">
        <f t="shared" si="45"/>
        <v>0</v>
      </c>
      <c r="CO9" s="19">
        <f t="shared" si="45"/>
        <v>0</v>
      </c>
      <c r="CP9" s="19">
        <f t="shared" si="45"/>
        <v>0</v>
      </c>
      <c r="CQ9" s="19">
        <f t="shared" si="45"/>
        <v>0</v>
      </c>
      <c r="CR9" s="19">
        <f t="shared" si="45"/>
        <v>0</v>
      </c>
      <c r="CS9" s="19">
        <f t="shared" si="45"/>
        <v>0</v>
      </c>
      <c r="CT9" s="19">
        <f t="shared" si="45"/>
        <v>0</v>
      </c>
      <c r="CU9" s="19">
        <f t="shared" ref="CU9:DR9" si="46">CU40</f>
        <v>0</v>
      </c>
      <c r="CV9" s="19">
        <f t="shared" si="46"/>
        <v>0</v>
      </c>
      <c r="CW9" s="19">
        <f t="shared" si="46"/>
        <v>0</v>
      </c>
      <c r="CX9" s="19">
        <f t="shared" si="46"/>
        <v>0</v>
      </c>
      <c r="CY9" s="19">
        <f t="shared" si="46"/>
        <v>0</v>
      </c>
      <c r="CZ9" s="19">
        <f t="shared" si="46"/>
        <v>0</v>
      </c>
      <c r="DA9" s="19">
        <f t="shared" si="46"/>
        <v>0</v>
      </c>
      <c r="DB9" s="19">
        <f t="shared" si="46"/>
        <v>0</v>
      </c>
      <c r="DC9" s="19">
        <f t="shared" si="46"/>
        <v>0</v>
      </c>
      <c r="DD9" s="19">
        <f t="shared" si="46"/>
        <v>0</v>
      </c>
      <c r="DE9" s="19">
        <f t="shared" si="46"/>
        <v>0</v>
      </c>
      <c r="DF9" s="19">
        <f t="shared" si="46"/>
        <v>0</v>
      </c>
      <c r="DG9" s="19">
        <f t="shared" si="46"/>
        <v>0</v>
      </c>
      <c r="DH9" s="19">
        <f t="shared" si="46"/>
        <v>0</v>
      </c>
      <c r="DI9" s="19">
        <f t="shared" si="46"/>
        <v>0</v>
      </c>
      <c r="DJ9" s="19">
        <f t="shared" si="46"/>
        <v>0</v>
      </c>
      <c r="DK9" s="19">
        <f t="shared" si="46"/>
        <v>0</v>
      </c>
      <c r="DL9" s="19">
        <f t="shared" si="46"/>
        <v>0</v>
      </c>
      <c r="DM9" s="19">
        <f t="shared" si="46"/>
        <v>0</v>
      </c>
      <c r="DN9" s="19">
        <f t="shared" si="46"/>
        <v>0</v>
      </c>
      <c r="DO9" s="19">
        <f t="shared" si="46"/>
        <v>0</v>
      </c>
      <c r="DP9" s="19">
        <f t="shared" si="46"/>
        <v>0</v>
      </c>
      <c r="DQ9" s="19">
        <f t="shared" si="46"/>
        <v>0</v>
      </c>
      <c r="DR9" s="19">
        <f t="shared" si="46"/>
        <v>0</v>
      </c>
      <c r="DS9" s="19">
        <f t="shared" ref="DS9:ED9" si="47">DS40</f>
        <v>0</v>
      </c>
      <c r="DT9" s="19">
        <f t="shared" si="47"/>
        <v>0</v>
      </c>
      <c r="DU9" s="19">
        <f t="shared" si="47"/>
        <v>0</v>
      </c>
      <c r="DV9" s="19">
        <f t="shared" si="47"/>
        <v>0</v>
      </c>
      <c r="DW9" s="19">
        <f t="shared" si="47"/>
        <v>0</v>
      </c>
      <c r="DX9" s="19">
        <f t="shared" si="47"/>
        <v>0</v>
      </c>
      <c r="DY9" s="19">
        <f t="shared" si="47"/>
        <v>0</v>
      </c>
      <c r="DZ9" s="19">
        <f t="shared" si="47"/>
        <v>0</v>
      </c>
      <c r="EA9" s="19">
        <f t="shared" si="47"/>
        <v>0</v>
      </c>
      <c r="EB9" s="19">
        <f t="shared" si="47"/>
        <v>0</v>
      </c>
      <c r="EC9" s="19">
        <f t="shared" si="47"/>
        <v>0</v>
      </c>
      <c r="ED9" s="19">
        <f t="shared" si="47"/>
        <v>0</v>
      </c>
      <c r="EE9" s="222"/>
      <c r="EF9" s="19">
        <f t="shared" si="3"/>
        <v>0</v>
      </c>
      <c r="EG9" s="19">
        <f t="shared" si="4"/>
        <v>0</v>
      </c>
      <c r="EH9" s="19">
        <f t="shared" si="5"/>
        <v>0</v>
      </c>
      <c r="EI9" s="19">
        <f t="shared" si="6"/>
        <v>0</v>
      </c>
      <c r="EJ9" s="19">
        <f t="shared" si="7"/>
        <v>0</v>
      </c>
      <c r="EK9" s="19">
        <f t="shared" si="8"/>
        <v>0</v>
      </c>
      <c r="EL9" s="19">
        <f t="shared" si="9"/>
        <v>0</v>
      </c>
      <c r="EM9" s="19">
        <f t="shared" si="10"/>
        <v>0</v>
      </c>
      <c r="EN9" s="19">
        <f t="shared" si="11"/>
        <v>0</v>
      </c>
      <c r="EO9" s="19">
        <f t="shared" si="12"/>
        <v>0</v>
      </c>
      <c r="EP9" s="19">
        <f t="shared" si="13"/>
        <v>0</v>
      </c>
      <c r="EQ9" s="19">
        <f t="shared" si="14"/>
        <v>0</v>
      </c>
      <c r="ER9" s="19">
        <f t="shared" si="15"/>
        <v>0</v>
      </c>
      <c r="ES9" s="19">
        <f t="shared" si="16"/>
        <v>0</v>
      </c>
      <c r="ET9" s="19">
        <f t="shared" si="17"/>
        <v>0</v>
      </c>
      <c r="EU9" s="19">
        <f t="shared" si="18"/>
        <v>0</v>
      </c>
      <c r="EV9" s="19">
        <f t="shared" si="19"/>
        <v>0</v>
      </c>
      <c r="EW9" s="19">
        <f t="shared" si="20"/>
        <v>0</v>
      </c>
      <c r="EX9" s="19">
        <f t="shared" si="21"/>
        <v>0</v>
      </c>
      <c r="EY9" s="19">
        <f t="shared" si="22"/>
        <v>0</v>
      </c>
      <c r="EZ9" s="19">
        <f t="shared" si="23"/>
        <v>0</v>
      </c>
      <c r="FA9" s="19">
        <f t="shared" si="24"/>
        <v>0</v>
      </c>
      <c r="FB9" s="19">
        <f t="shared" si="25"/>
        <v>0</v>
      </c>
      <c r="FC9" s="19">
        <f t="shared" si="26"/>
        <v>0</v>
      </c>
      <c r="FE9" s="19">
        <f t="shared" si="27"/>
        <v>0</v>
      </c>
      <c r="FF9" s="19">
        <f t="shared" si="28"/>
        <v>0</v>
      </c>
      <c r="FG9" s="19">
        <f t="shared" si="29"/>
        <v>0</v>
      </c>
      <c r="FH9" s="19">
        <f t="shared" si="30"/>
        <v>0</v>
      </c>
      <c r="FI9" s="19">
        <f t="shared" si="31"/>
        <v>0</v>
      </c>
      <c r="FJ9" s="770">
        <f t="shared" si="32"/>
        <v>0</v>
      </c>
      <c r="FK9" s="545" t="s">
        <v>1</v>
      </c>
    </row>
    <row r="10" spans="2:167" x14ac:dyDescent="0.2">
      <c r="B10" s="225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222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E10" s="19"/>
      <c r="FF10" s="19"/>
      <c r="FG10" s="19"/>
      <c r="FH10" s="19"/>
      <c r="FI10" s="19"/>
      <c r="FJ10" s="770"/>
      <c r="FK10" s="545"/>
    </row>
    <row r="11" spans="2:167" x14ac:dyDescent="0.2">
      <c r="B11" s="225" t="s">
        <v>304</v>
      </c>
      <c r="C11" s="19">
        <f>'B2B- Non Repair'!C7</f>
        <v>32077</v>
      </c>
      <c r="D11" s="19">
        <f>'B2B- Non Repair'!D7</f>
        <v>28685</v>
      </c>
      <c r="E11" s="19">
        <f>'B2B- Non Repair'!E7</f>
        <v>34758</v>
      </c>
      <c r="F11" s="19">
        <f>'B2B- Non Repair'!F7</f>
        <v>39298</v>
      </c>
      <c r="G11" s="19">
        <f>'B2B- Non Repair'!G7</f>
        <v>47222</v>
      </c>
      <c r="H11" s="19">
        <f>'B2B- Non Repair'!H7</f>
        <v>49152</v>
      </c>
      <c r="I11" s="19">
        <f>'B2B- Non Repair'!I7</f>
        <v>52716</v>
      </c>
      <c r="J11" s="19">
        <f>'B2B- Non Repair'!J7</f>
        <v>52798</v>
      </c>
      <c r="K11" s="19">
        <f>'B2B- Non Repair'!K7</f>
        <v>67323</v>
      </c>
      <c r="L11" s="19">
        <f>'B2B- Non Repair'!L7</f>
        <v>62990</v>
      </c>
      <c r="M11" s="19">
        <f>'B2B- Non Repair'!M7</f>
        <v>67278</v>
      </c>
      <c r="N11" s="19">
        <f>'B2B- Non Repair'!N7</f>
        <v>53088</v>
      </c>
      <c r="O11" s="19">
        <f>'B2B- Non Repair'!O7</f>
        <v>72396</v>
      </c>
      <c r="P11" s="19">
        <f>'B2B- Non Repair'!P7</f>
        <v>75630</v>
      </c>
      <c r="Q11" s="19">
        <f>'B2B- Non Repair'!Q7</f>
        <v>76377</v>
      </c>
      <c r="R11" s="19">
        <f>'B2B- Non Repair'!R7</f>
        <v>71644</v>
      </c>
      <c r="S11" s="19">
        <f>'B2B- Non Repair'!S7</f>
        <v>63244</v>
      </c>
      <c r="T11" s="19">
        <f>'B2B- Non Repair'!T7</f>
        <v>56263</v>
      </c>
      <c r="U11" s="19">
        <f>'B2B- Non Repair'!U7</f>
        <v>46046</v>
      </c>
      <c r="V11" s="19">
        <f>'B2B- Non Repair'!V7</f>
        <v>53509</v>
      </c>
      <c r="W11" s="19">
        <f>'B2B- Non Repair'!W7</f>
        <v>66574</v>
      </c>
      <c r="X11" s="19">
        <f>'B2B- Non Repair'!X7</f>
        <v>66672</v>
      </c>
      <c r="Y11" s="19">
        <f>'B2B- Non Repair'!Y7</f>
        <v>82936</v>
      </c>
      <c r="Z11" s="19">
        <f>'B2B- Non Repair'!Z7</f>
        <v>53988</v>
      </c>
      <c r="AA11" s="19">
        <f>'B2B- Non Repair'!AA7</f>
        <v>0</v>
      </c>
      <c r="AB11" s="19">
        <f>'B2B- Non Repair'!AB7</f>
        <v>39616</v>
      </c>
      <c r="AC11" s="19">
        <f>'B2B- Non Repair'!AC7</f>
        <v>42186</v>
      </c>
      <c r="AD11" s="19">
        <f>'B2B- Non Repair'!AD7</f>
        <v>23110</v>
      </c>
      <c r="AE11" s="19">
        <f>'B2B- Non Repair'!AE7</f>
        <v>42469</v>
      </c>
      <c r="AF11" s="19">
        <f>'B2B- Non Repair'!AF7</f>
        <v>37673</v>
      </c>
      <c r="AG11" s="19">
        <f>'B2B- Non Repair'!AG7</f>
        <v>38371</v>
      </c>
      <c r="AH11" s="19">
        <f>'B2B- Non Repair'!AH7</f>
        <v>52592</v>
      </c>
      <c r="AI11" s="19">
        <f>'B2B- Non Repair'!AI7</f>
        <v>66087</v>
      </c>
      <c r="AJ11" s="19">
        <f>'B2B- Non Repair'!AJ7</f>
        <v>50483</v>
      </c>
      <c r="AK11" s="19">
        <f>'B2B- Non Repair'!AK7</f>
        <v>69399</v>
      </c>
      <c r="AL11" s="19">
        <f>'B2B- Non Repair'!AL7</f>
        <v>58903</v>
      </c>
      <c r="AM11" s="19">
        <f>'B2B- Non Repair'!AM7</f>
        <v>39902</v>
      </c>
      <c r="AN11" s="19">
        <f>'B2B- Non Repair'!AN7</f>
        <v>20877</v>
      </c>
      <c r="AO11" s="19">
        <f>'B2B- Non Repair'!AO7</f>
        <v>46075</v>
      </c>
      <c r="AP11" s="19">
        <f>'B2B- Non Repair'!AP7</f>
        <v>67308</v>
      </c>
      <c r="AQ11" s="19">
        <f>'B2B- Non Repair'!AQ7</f>
        <v>70639</v>
      </c>
      <c r="AR11" s="19">
        <f>'B2B- Non Repair'!AR7</f>
        <v>66964</v>
      </c>
      <c r="AS11" s="19">
        <f>'B2B- Non Repair'!AS7</f>
        <v>60018</v>
      </c>
      <c r="AT11" s="19">
        <f>'B2B- Non Repair'!AT7</f>
        <v>75086</v>
      </c>
      <c r="AU11" s="19">
        <f>'B2B- Non Repair'!AU7</f>
        <v>92309</v>
      </c>
      <c r="AV11" s="19">
        <f>'B2B- Non Repair'!AV7</f>
        <v>84249</v>
      </c>
      <c r="AW11" s="19">
        <f>'B2B- Non Repair'!AW7</f>
        <v>78598</v>
      </c>
      <c r="AX11" s="19">
        <f>'B2B- Non Repair'!AX7</f>
        <v>72738</v>
      </c>
      <c r="AY11" s="19">
        <f>'B2B- Non Repair'!AY7</f>
        <v>67201</v>
      </c>
      <c r="AZ11" s="19">
        <f>'B2B- Non Repair'!AZ7</f>
        <v>75950</v>
      </c>
      <c r="BA11" s="19">
        <f>'B2B- Non Repair'!BA7</f>
        <v>55593</v>
      </c>
      <c r="BB11" s="19">
        <f>'B2B- Non Repair'!BB7</f>
        <v>62571</v>
      </c>
      <c r="BC11" s="19">
        <f>'B2B- Non Repair'!BC7</f>
        <v>65439</v>
      </c>
      <c r="BD11" s="19">
        <f>'B2B- Non Repair'!BD7</f>
        <v>69439</v>
      </c>
      <c r="BE11" s="19">
        <f>'B2B- Non Repair'!BE7</f>
        <v>64427</v>
      </c>
      <c r="BF11" s="19">
        <f>'B2B- Non Repair'!BF7</f>
        <v>69556</v>
      </c>
      <c r="BG11" s="19">
        <f>'B2B- Non Repair'!BG7</f>
        <v>86447</v>
      </c>
      <c r="BH11" s="19">
        <f>'B2B- Non Repair'!BH7</f>
        <v>76462</v>
      </c>
      <c r="BI11" s="19">
        <f>'B2B- Non Repair'!BI7</f>
        <v>61493</v>
      </c>
      <c r="BJ11" s="19">
        <f>'B2B- Non Repair'!BJ7</f>
        <v>71207</v>
      </c>
      <c r="BK11" s="19">
        <f>'B2B- Non Repair'!BK7</f>
        <v>61275</v>
      </c>
      <c r="BL11" s="19">
        <f>'B2B- Non Repair'!BL7</f>
        <v>59047</v>
      </c>
      <c r="BM11" s="19">
        <f>'B2B- Non Repair'!BM7</f>
        <v>43451</v>
      </c>
      <c r="BN11" s="19">
        <f>'B2B- Non Repair'!BN7</f>
        <v>44126</v>
      </c>
      <c r="BO11" s="19">
        <f>'B2B- Non Repair'!BO7</f>
        <v>47811</v>
      </c>
      <c r="BP11" s="19">
        <f>'B2B- Non Repair'!BP7</f>
        <v>47144</v>
      </c>
      <c r="BQ11" s="19">
        <f>'B2B- Non Repair'!BQ7</f>
        <v>39632</v>
      </c>
      <c r="BR11" s="19">
        <f>'B2B- Non Repair'!BR7</f>
        <v>46720</v>
      </c>
      <c r="BS11" s="19">
        <f>'B2B- Non Repair'!BS7</f>
        <v>34919</v>
      </c>
      <c r="BT11" s="19">
        <f>'B2B- Non Repair'!BT7</f>
        <v>32413</v>
      </c>
      <c r="BU11" s="19">
        <f>'B2B- Non Repair'!BU7</f>
        <v>33443</v>
      </c>
      <c r="BV11" s="19">
        <f>'B2B- Non Repair'!BV7</f>
        <v>33015</v>
      </c>
      <c r="BW11" s="19">
        <f>'B2B- Non Repair'!BW7</f>
        <v>34802</v>
      </c>
      <c r="BX11" s="19">
        <f>'B2B- Non Repair'!BX7</f>
        <v>39144</v>
      </c>
      <c r="BY11" s="19">
        <f>'B2B- Non Repair'!BY7</f>
        <v>37862</v>
      </c>
      <c r="BZ11" s="19">
        <f>'B2B- Non Repair'!BZ7</f>
        <v>39777</v>
      </c>
      <c r="CA11" s="19">
        <f>'B2B- Non Repair'!CA7</f>
        <v>35273</v>
      </c>
      <c r="CB11" s="19">
        <f>'B2B- Non Repair'!CB7</f>
        <v>31845</v>
      </c>
      <c r="CC11" s="19">
        <f>'B2B- Non Repair'!CC7</f>
        <v>33500</v>
      </c>
      <c r="CD11" s="19">
        <f>'B2B- Non Repair'!CD7</f>
        <v>35897</v>
      </c>
      <c r="CE11" s="19">
        <f>'B2B- Non Repair'!CE7</f>
        <v>45824</v>
      </c>
      <c r="CF11" s="19">
        <f>'B2B- Non Repair'!CF7</f>
        <v>50862</v>
      </c>
      <c r="CG11" s="19">
        <f>'B2B- Non Repair'!CG7</f>
        <v>46925</v>
      </c>
      <c r="CH11" s="19">
        <f>'B2B- Non Repair'!CH7</f>
        <v>59210</v>
      </c>
      <c r="CI11" s="19">
        <f>'B2B- Non Repair'!CI7</f>
        <v>52413</v>
      </c>
      <c r="CJ11" s="19">
        <f>'B2B- Non Repair'!CJ7</f>
        <v>54345</v>
      </c>
      <c r="CK11" s="19">
        <f>'B2B- Non Repair'!CK7</f>
        <v>51728</v>
      </c>
      <c r="CL11" s="19">
        <f>'B2B- Non Repair'!CL7</f>
        <v>51665</v>
      </c>
      <c r="CM11" s="19">
        <f>'B2B- Non Repair'!CM7</f>
        <v>48171</v>
      </c>
      <c r="CN11" s="19">
        <f>'B2B- Non Repair'!CN7</f>
        <v>41885</v>
      </c>
      <c r="CO11" s="19">
        <f>'B2B- Non Repair'!CO7</f>
        <v>49150</v>
      </c>
      <c r="CP11" s="19">
        <f>'B2B- Non Repair'!CP7</f>
        <v>60488</v>
      </c>
      <c r="CQ11" s="19">
        <f>'B2B- Non Repair'!CQ7</f>
        <v>67372</v>
      </c>
      <c r="CR11" s="19">
        <f>'B2B- Non Repair'!CR7</f>
        <v>63337</v>
      </c>
      <c r="CS11" s="19">
        <f>'B2B- Non Repair'!CS7</f>
        <v>61858.564144000004</v>
      </c>
      <c r="CT11" s="19">
        <f>'B2B- Non Repair'!CT7</f>
        <v>59612.372687599993</v>
      </c>
      <c r="CU11" s="19">
        <f>'B2B- Non Repair'!CU7</f>
        <v>69709.290000000008</v>
      </c>
      <c r="CV11" s="19">
        <f>'B2B- Non Repair'!CV7</f>
        <v>72278.850000000006</v>
      </c>
      <c r="CW11" s="19">
        <f>'B2B- Non Repair'!CW7</f>
        <v>68798.240000000005</v>
      </c>
      <c r="CX11" s="19">
        <f>'B2B- Non Repair'!CX7</f>
        <v>68714.450000000012</v>
      </c>
      <c r="CY11" s="19">
        <f>'B2B- Non Repair'!CY7</f>
        <v>64067.43</v>
      </c>
      <c r="CZ11" s="19">
        <f>'B2B- Non Repair'!CZ7</f>
        <v>55707.05</v>
      </c>
      <c r="DA11" s="19">
        <f>'B2B- Non Repair'!DA7</f>
        <v>65369.5</v>
      </c>
      <c r="DB11" s="19">
        <f>'B2B- Non Repair'!DB7</f>
        <v>80449.039999999994</v>
      </c>
      <c r="DC11" s="19">
        <f>'B2B- Non Repair'!DC7</f>
        <v>89604.760000000009</v>
      </c>
      <c r="DD11" s="19">
        <f>'B2B- Non Repair'!DD7</f>
        <v>84238.209999999992</v>
      </c>
      <c r="DE11" s="19">
        <f>'B2B- Non Repair'!DE7</f>
        <v>82271.890311520008</v>
      </c>
      <c r="DF11" s="19">
        <f>'B2B- Non Repair'!DF7</f>
        <v>79284.45567450799</v>
      </c>
      <c r="DG11" s="19">
        <f>'B2B- Non Repair'!DG7</f>
        <v>87136.612500000003</v>
      </c>
      <c r="DH11" s="19">
        <f>'B2B- Non Repair'!DH7</f>
        <v>90348.562500000015</v>
      </c>
      <c r="DI11" s="19">
        <f>'B2B- Non Repair'!DI7</f>
        <v>85997.8</v>
      </c>
      <c r="DJ11" s="19">
        <f>'B2B- Non Repair'!DJ7</f>
        <v>85893.0625</v>
      </c>
      <c r="DK11" s="19">
        <f>'B2B- Non Repair'!DK7</f>
        <v>80084.287500000006</v>
      </c>
      <c r="DL11" s="19">
        <f>'B2B- Non Repair'!DL7</f>
        <v>69633.8125</v>
      </c>
      <c r="DM11" s="19">
        <f>'B2B- Non Repair'!DM7</f>
        <v>81711.875</v>
      </c>
      <c r="DN11" s="19">
        <f>'B2B- Non Repair'!DN7</f>
        <v>100561.3</v>
      </c>
      <c r="DO11" s="19">
        <f>'B2B- Non Repair'!DO7</f>
        <v>112005.95000000001</v>
      </c>
      <c r="DP11" s="19">
        <f>'B2B- Non Repair'!DP7</f>
        <v>105297.7625</v>
      </c>
      <c r="DQ11" s="19">
        <f>'B2B- Non Repair'!DQ7</f>
        <v>102839.86288940001</v>
      </c>
      <c r="DR11" s="19">
        <f>'B2B- Non Repair'!DR7</f>
        <v>99105.569593134976</v>
      </c>
      <c r="DS11" s="19">
        <f>'B2B- Non Repair'!DS7</f>
        <v>104563.93500000001</v>
      </c>
      <c r="DT11" s="19">
        <f>'B2B- Non Repair'!DT7</f>
        <v>108418.27500000001</v>
      </c>
      <c r="DU11" s="19">
        <f>'B2B- Non Repair'!DU7</f>
        <v>103197.36</v>
      </c>
      <c r="DV11" s="19">
        <f>'B2B- Non Repair'!DV7</f>
        <v>103071.675</v>
      </c>
      <c r="DW11" s="19">
        <f>'B2B- Non Repair'!DW7</f>
        <v>96101.145000000004</v>
      </c>
      <c r="DX11" s="19">
        <f>'B2B- Non Repair'!DX7</f>
        <v>83560.574999999997</v>
      </c>
      <c r="DY11" s="19">
        <f>'B2B- Non Repair'!DY7</f>
        <v>98054.25</v>
      </c>
      <c r="DZ11" s="19">
        <f>'B2B- Non Repair'!DZ7</f>
        <v>120673.56000000001</v>
      </c>
      <c r="EA11" s="19">
        <f>'B2B- Non Repair'!EA7</f>
        <v>134407.14000000001</v>
      </c>
      <c r="EB11" s="19">
        <f>'B2B- Non Repair'!EB7</f>
        <v>126357.315</v>
      </c>
      <c r="EC11" s="19">
        <f>'B2B- Non Repair'!EC7</f>
        <v>123407.83546728002</v>
      </c>
      <c r="ED11" s="19">
        <f>'B2B- Non Repair'!ED7</f>
        <v>118926.68351176198</v>
      </c>
      <c r="EE11" s="222"/>
      <c r="EF11" s="19">
        <f>SUM(BK11:BM11)</f>
        <v>163773</v>
      </c>
      <c r="EG11" s="19">
        <f>SUM(BN11:BP11)</f>
        <v>139081</v>
      </c>
      <c r="EH11" s="19">
        <f>SUM(BQ11:BS11)</f>
        <v>121271</v>
      </c>
      <c r="EI11" s="19">
        <f>SUM(BT11:BV11)</f>
        <v>98871</v>
      </c>
      <c r="EJ11" s="19">
        <f>SUM(BW11:BY11)</f>
        <v>111808</v>
      </c>
      <c r="EK11" s="19">
        <f>SUM(BZ11:CB11)</f>
        <v>106895</v>
      </c>
      <c r="EL11" s="19">
        <f>SUM(CC11:CE11)</f>
        <v>115221</v>
      </c>
      <c r="EM11" s="19">
        <f>SUM(CF11:CH11)</f>
        <v>156997</v>
      </c>
      <c r="EN11" s="19">
        <f>SUM(CI11:CK11)</f>
        <v>158486</v>
      </c>
      <c r="EO11" s="19">
        <f>SUM(CL11:CN11)</f>
        <v>141721</v>
      </c>
      <c r="EP11" s="19">
        <f>SUM(CO11:CQ11)</f>
        <v>177010</v>
      </c>
      <c r="EQ11" s="19">
        <f>SUM(CR11:CT11)</f>
        <v>184807.9368316</v>
      </c>
      <c r="ER11" s="19">
        <f>SUM(CU11:CW11)</f>
        <v>210786.38</v>
      </c>
      <c r="ES11" s="19">
        <f>SUM(CX11:CZ11)</f>
        <v>188488.93</v>
      </c>
      <c r="ET11" s="19">
        <f>SUM(DA11:DC11)</f>
        <v>235423.3</v>
      </c>
      <c r="EU11" s="19">
        <f>SUM(DD11:DF11)</f>
        <v>245794.55598602799</v>
      </c>
      <c r="EV11" s="19">
        <f>SUM(DG11:DI11)</f>
        <v>263482.97500000003</v>
      </c>
      <c r="EW11" s="19">
        <f>SUM(DJ11:DL11)</f>
        <v>235611.16250000001</v>
      </c>
      <c r="EX11" s="19">
        <f>SUM(DM11:DO11)</f>
        <v>294279.125</v>
      </c>
      <c r="EY11" s="19">
        <f>SUM(DP11:DR11)</f>
        <v>307243.19498253497</v>
      </c>
      <c r="EZ11" s="19">
        <f t="shared" si="23"/>
        <v>316179.57</v>
      </c>
      <c r="FA11" s="19">
        <f t="shared" si="24"/>
        <v>282733.39500000002</v>
      </c>
      <c r="FB11" s="19">
        <f t="shared" si="25"/>
        <v>353134.95</v>
      </c>
      <c r="FC11" s="19">
        <f t="shared" si="26"/>
        <v>368691.83397904201</v>
      </c>
      <c r="FE11" s="19">
        <f t="shared" si="27"/>
        <v>522996</v>
      </c>
      <c r="FF11" s="19">
        <f t="shared" si="28"/>
        <v>490921</v>
      </c>
      <c r="FG11" s="19">
        <f t="shared" si="29"/>
        <v>662024.93683160003</v>
      </c>
      <c r="FH11" s="19">
        <f t="shared" si="30"/>
        <v>880493.16598602803</v>
      </c>
      <c r="FI11" s="19">
        <f t="shared" si="31"/>
        <v>1100616.4574825349</v>
      </c>
      <c r="FJ11" s="770">
        <f t="shared" si="32"/>
        <v>1320739.7489790421</v>
      </c>
      <c r="FK11" s="545" t="s">
        <v>1</v>
      </c>
    </row>
    <row r="12" spans="2:167" x14ac:dyDescent="0.2">
      <c r="B12" s="225" t="s">
        <v>139</v>
      </c>
      <c r="C12" s="19">
        <f>SUM(Refurbished!C8:C10)</f>
        <v>957</v>
      </c>
      <c r="D12" s="19">
        <f>SUM(Refurbished!D8:D10)</f>
        <v>1008</v>
      </c>
      <c r="E12" s="19">
        <f>SUM(Refurbished!E8:E10)</f>
        <v>894</v>
      </c>
      <c r="F12" s="19">
        <f>SUM(Refurbished!F8:F10)</f>
        <v>1508</v>
      </c>
      <c r="G12" s="19">
        <f>SUM(Refurbished!G8:G10)</f>
        <v>1514</v>
      </c>
      <c r="H12" s="19">
        <f>SUM(Refurbished!H8:H10)</f>
        <v>1391</v>
      </c>
      <c r="I12" s="19">
        <f>SUM(Refurbished!I8:I10)</f>
        <v>1527</v>
      </c>
      <c r="J12" s="19">
        <f>SUM(Refurbished!J8:J10)</f>
        <v>1783</v>
      </c>
      <c r="K12" s="19">
        <f>SUM(Refurbished!K8:K10)</f>
        <v>2276</v>
      </c>
      <c r="L12" s="19">
        <f>SUM(Refurbished!L8:L10)</f>
        <v>2382</v>
      </c>
      <c r="M12" s="19">
        <f>SUM(Refurbished!M8:M10)</f>
        <v>3611</v>
      </c>
      <c r="N12" s="19">
        <f>SUM(Refurbished!N8:N10)</f>
        <v>4212</v>
      </c>
      <c r="O12" s="19">
        <f>SUM(Refurbished!O8:O10)</f>
        <v>5490</v>
      </c>
      <c r="P12" s="19">
        <f>SUM(Refurbished!P8:P10)</f>
        <v>5843</v>
      </c>
      <c r="Q12" s="19">
        <f>SUM(Refurbished!Q8:Q10)</f>
        <v>5910</v>
      </c>
      <c r="R12" s="19">
        <f>SUM(Refurbished!R8:R10)</f>
        <v>6653</v>
      </c>
      <c r="S12" s="19">
        <f>SUM(Refurbished!S8:S10)</f>
        <v>5144</v>
      </c>
      <c r="T12" s="19">
        <f>SUM(Refurbished!T8:T10)</f>
        <v>5726</v>
      </c>
      <c r="U12" s="19">
        <f>SUM(Refurbished!U8:U10)</f>
        <v>4664</v>
      </c>
      <c r="V12" s="19">
        <f>SUM(Refurbished!V8:V10)</f>
        <v>3142</v>
      </c>
      <c r="W12" s="19">
        <f>SUM(Refurbished!W8:W10)</f>
        <v>5760</v>
      </c>
      <c r="X12" s="19">
        <f>SUM(Refurbished!X8:X10)</f>
        <v>5395</v>
      </c>
      <c r="Y12" s="19">
        <f>SUM(Refurbished!Y8:Y10)</f>
        <v>4924</v>
      </c>
      <c r="Z12" s="19">
        <f>SUM(Refurbished!Z8:Z10)</f>
        <v>3423</v>
      </c>
      <c r="AA12" s="19">
        <f>SUM(Refurbished!AA8:AA10)</f>
        <v>219</v>
      </c>
      <c r="AB12" s="19">
        <f>SUM(Refurbished!AB8:AB10)</f>
        <v>3980</v>
      </c>
      <c r="AC12" s="19">
        <f>SUM(Refurbished!AC8:AC10)</f>
        <v>3527</v>
      </c>
      <c r="AD12" s="19">
        <f>SUM(Refurbished!AD8:AD10)</f>
        <v>3360</v>
      </c>
      <c r="AE12" s="19">
        <f>SUM(Refurbished!AE8:AE10)</f>
        <v>3978</v>
      </c>
      <c r="AF12" s="19">
        <f>SUM(Refurbished!AF8:AF10)</f>
        <v>5026</v>
      </c>
      <c r="AG12" s="19">
        <f>SUM(Refurbished!AG8:AG10)</f>
        <v>5953</v>
      </c>
      <c r="AH12" s="19">
        <f>SUM(Refurbished!AH8:AH10)</f>
        <v>7628</v>
      </c>
      <c r="AI12" s="19">
        <f>SUM(Refurbished!AI8:AI10)</f>
        <v>11598</v>
      </c>
      <c r="AJ12" s="19">
        <f>SUM(Refurbished!AJ8:AJ10)</f>
        <v>14398</v>
      </c>
      <c r="AK12" s="19">
        <f>SUM(Refurbished!AK8:AK10)</f>
        <v>11395</v>
      </c>
      <c r="AL12" s="19">
        <f>SUM(Refurbished!AL8:AL10)</f>
        <v>11845</v>
      </c>
      <c r="AM12" s="19">
        <f>SUM(Refurbished!AM8:AM10)</f>
        <v>8244</v>
      </c>
      <c r="AN12" s="19">
        <f>SUM(Refurbished!AN8:AN10)</f>
        <v>4396</v>
      </c>
      <c r="AO12" s="19">
        <f>SUM(Refurbished!AO8:AO10)</f>
        <v>9004</v>
      </c>
      <c r="AP12" s="19">
        <f>SUM(Refurbished!AP8:AP10)</f>
        <v>11170</v>
      </c>
      <c r="AQ12" s="19">
        <f>SUM(Refurbished!AQ8:AQ10)</f>
        <v>12227</v>
      </c>
      <c r="AR12" s="19">
        <f>SUM(Refurbished!AR8:AR10)</f>
        <v>14908</v>
      </c>
      <c r="AS12" s="19">
        <f>SUM(Refurbished!AS8:AS10)</f>
        <v>16599</v>
      </c>
      <c r="AT12" s="19">
        <f>SUM(Refurbished!AT8:AT10)</f>
        <v>19900</v>
      </c>
      <c r="AU12" s="19">
        <f>SUM(Refurbished!AU8:AU10)</f>
        <v>24181</v>
      </c>
      <c r="AV12" s="19">
        <f>SUM(Refurbished!AV8:AV10)</f>
        <v>25682</v>
      </c>
      <c r="AW12" s="19">
        <f>SUM(Refurbished!AW8:AW10)</f>
        <v>24125</v>
      </c>
      <c r="AX12" s="19">
        <f>SUM(Refurbished!AX8:AX10)</f>
        <v>25516</v>
      </c>
      <c r="AY12" s="19">
        <f>SUM(Refurbished!AY8:AY10)</f>
        <v>18812</v>
      </c>
      <c r="AZ12" s="19">
        <f>SUM(Refurbished!AZ8:AZ10)</f>
        <v>21467</v>
      </c>
      <c r="BA12" s="19">
        <f>SUM(Refurbished!BA8:BA10)</f>
        <v>20014</v>
      </c>
      <c r="BB12" s="19">
        <f>SUM(Refurbished!BB8:BB10)</f>
        <v>20924</v>
      </c>
      <c r="BC12" s="19">
        <f>SUM(Refurbished!BC8:BC10)</f>
        <v>20153</v>
      </c>
      <c r="BD12" s="19">
        <f>SUM(Refurbished!BD8:BD10)</f>
        <v>19460</v>
      </c>
      <c r="BE12" s="19">
        <f>SUM(Refurbished!BE8:BE10)</f>
        <v>18798</v>
      </c>
      <c r="BF12" s="19">
        <f>SUM(Refurbished!BF8:BF10)</f>
        <v>18254</v>
      </c>
      <c r="BG12" s="19">
        <f>SUM(Refurbished!BG8:BG10)</f>
        <v>20933</v>
      </c>
      <c r="BH12" s="19">
        <f>SUM(Refurbished!BH8:BH10)</f>
        <v>20974</v>
      </c>
      <c r="BI12" s="19">
        <f>SUM(Refurbished!BI8:BI10)</f>
        <v>21450</v>
      </c>
      <c r="BJ12" s="19">
        <f>SUM(Refurbished!BJ8:BJ10)</f>
        <v>28398</v>
      </c>
      <c r="BK12" s="19">
        <f>SUM(Refurbished!BK8:BK10)</f>
        <v>24993</v>
      </c>
      <c r="BL12" s="19">
        <f>SUM(Refurbished!BL8:BL10)</f>
        <v>24994</v>
      </c>
      <c r="BM12" s="19">
        <f>SUM(Refurbished!BM8:BM10)</f>
        <v>27279</v>
      </c>
      <c r="BN12" s="19">
        <f>SUM(Refurbished!BN8:BN10)</f>
        <v>23751</v>
      </c>
      <c r="BO12" s="19">
        <f>SUM(Refurbished!BO8:BO10)</f>
        <v>24261</v>
      </c>
      <c r="BP12" s="19">
        <f>SUM(Refurbished!BP8:BP10)</f>
        <v>24523</v>
      </c>
      <c r="BQ12" s="19">
        <f>SUM(Refurbished!BQ8:BQ10)</f>
        <v>30333</v>
      </c>
      <c r="BR12" s="19">
        <f>SUM(Refurbished!BR8:BR10)</f>
        <v>26836</v>
      </c>
      <c r="BS12" s="19">
        <f>SUM(Refurbished!BS8:BS10)</f>
        <v>23692</v>
      </c>
      <c r="BT12" s="19">
        <f>SUM(Refurbished!BT8:BT10)</f>
        <v>22858</v>
      </c>
      <c r="BU12" s="19">
        <f>SUM(Refurbished!BU8:BU10)</f>
        <v>19106</v>
      </c>
      <c r="BV12" s="19">
        <f>SUM(Refurbished!BV8:BV10)</f>
        <v>23971</v>
      </c>
      <c r="BW12" s="19">
        <f>SUM(Refurbished!BW8:BW10)</f>
        <v>24485</v>
      </c>
      <c r="BX12" s="19">
        <f>SUM(Refurbished!BX8:BX10)</f>
        <v>24634</v>
      </c>
      <c r="BY12" s="19">
        <f>SUM(Refurbished!BY8:BY10)</f>
        <v>25922</v>
      </c>
      <c r="BZ12" s="19">
        <f>SUM(Refurbished!BZ8:BZ10)</f>
        <v>25947</v>
      </c>
      <c r="CA12" s="19">
        <f>SUM(Refurbished!CA8:CA10)</f>
        <v>22878</v>
      </c>
      <c r="CB12" s="19">
        <f>SUM(Refurbished!CB8:CB10)</f>
        <v>21668</v>
      </c>
      <c r="CC12" s="19">
        <f>SUM(Refurbished!CC8:CC10)</f>
        <v>23307</v>
      </c>
      <c r="CD12" s="19">
        <f>SUM(Refurbished!CD8:CD10)</f>
        <v>22033</v>
      </c>
      <c r="CE12" s="19">
        <f>SUM(Refurbished!CE8:CE10)</f>
        <v>25744</v>
      </c>
      <c r="CF12" s="19">
        <f>SUM(Refurbished!CF8:CF10)</f>
        <v>27904</v>
      </c>
      <c r="CG12" s="19">
        <f>SUM(Refurbished!CG8:CG10)</f>
        <v>27076</v>
      </c>
      <c r="CH12" s="19">
        <f>SUM(Refurbished!CH8:CH10)</f>
        <v>34434</v>
      </c>
      <c r="CI12" s="19">
        <f>SUM(Refurbished!CI8:CI10)</f>
        <v>31933</v>
      </c>
      <c r="CJ12" s="19">
        <f>SUM(Refurbished!CJ8:CJ10)</f>
        <v>32026</v>
      </c>
      <c r="CK12" s="19">
        <f>SUM(Refurbished!CK8:CK10)</f>
        <v>32093</v>
      </c>
      <c r="CL12" s="19">
        <f>SUM(Refurbished!CL8:CL10)</f>
        <v>34010</v>
      </c>
      <c r="CM12" s="19">
        <f>SUM(Refurbished!CM8:CM10)</f>
        <v>30796</v>
      </c>
      <c r="CN12" s="19">
        <f>SUM(Refurbished!CN8:CN10)</f>
        <v>31183</v>
      </c>
      <c r="CO12" s="19">
        <f>SUM(Refurbished!CO8:CO10)</f>
        <v>34536</v>
      </c>
      <c r="CP12" s="19">
        <f>SUM(Refurbished!CP8:CP10)</f>
        <v>32955</v>
      </c>
      <c r="CQ12" s="19">
        <f>SUM(Refurbished!CQ8:CQ10)</f>
        <v>40798</v>
      </c>
      <c r="CR12" s="19">
        <f>SUM(Refurbished!CR8:CR10)</f>
        <v>43817</v>
      </c>
      <c r="CS12" s="19">
        <f>SUM(Refurbished!CS8:CS10)</f>
        <v>39528</v>
      </c>
      <c r="CT12" s="19">
        <f>SUM(Refurbished!CT8:CT10)</f>
        <v>44567</v>
      </c>
      <c r="CU12" s="19">
        <f>SUM(Refurbished!CU8:CU10)</f>
        <v>39913.506521739131</v>
      </c>
      <c r="CV12" s="19">
        <f>SUM(Refurbished!CV8:CV10)</f>
        <v>39626.1</v>
      </c>
      <c r="CW12" s="19">
        <f>SUM(Refurbished!CW8:CW10)</f>
        <v>39544.199740932643</v>
      </c>
      <c r="CX12" s="19">
        <f>SUM(Refurbished!CX8:CX10)</f>
        <v>41647.875</v>
      </c>
      <c r="CY12" s="19">
        <f>SUM(Refurbished!CY8:CY10)</f>
        <v>37952.088071065984</v>
      </c>
      <c r="CZ12" s="19">
        <f>SUM(Refurbished!CZ8:CZ10)</f>
        <v>38131.055970149246</v>
      </c>
      <c r="DA12" s="19">
        <f>SUM(Refurbished!DA8:DA10)</f>
        <v>42467.24411764706</v>
      </c>
      <c r="DB12" s="19">
        <f>SUM(Refurbished!DB8:DB10)</f>
        <v>40536.591951219511</v>
      </c>
      <c r="DC12" s="19">
        <f>SUM(Refurbished!DC8:DC10)</f>
        <v>49311.240887850465</v>
      </c>
      <c r="DD12" s="19">
        <f>SUM(Refurbished!DD8:DD10)</f>
        <v>51831.693999999996</v>
      </c>
      <c r="DE12" s="19">
        <f>SUM(Refurbished!DE8:DE10)</f>
        <v>46154.526923076919</v>
      </c>
      <c r="DF12" s="19">
        <f>SUM(Refurbished!DF8:DF10)</f>
        <v>52134.137341772148</v>
      </c>
      <c r="DG12" s="19">
        <f>SUM(Refurbished!DG8:DG10)</f>
        <v>46757.734239130434</v>
      </c>
      <c r="DH12" s="19">
        <f>SUM(Refurbished!DH8:DH10)</f>
        <v>46472.424999999996</v>
      </c>
      <c r="DI12" s="19">
        <f>SUM(Refurbished!DI8:DI10)</f>
        <v>46251.514753886004</v>
      </c>
      <c r="DJ12" s="19">
        <f>SUM(Refurbished!DJ8:DJ10)</f>
        <v>48715.193749999999</v>
      </c>
      <c r="DK12" s="19">
        <f>SUM(Refurbished!DK8:DK10)</f>
        <v>44337.338439086292</v>
      </c>
      <c r="DL12" s="19">
        <f>SUM(Refurbished!DL8:DL10)</f>
        <v>44449.42123134328</v>
      </c>
      <c r="DM12" s="19">
        <f>SUM(Refurbished!DM8:DM10)</f>
        <v>49480.694044117641</v>
      </c>
      <c r="DN12" s="19">
        <f>SUM(Refurbished!DN8:DN10)</f>
        <v>47088.268499999998</v>
      </c>
      <c r="DO12" s="19">
        <f>SUM(Refurbished!DO8:DO10)</f>
        <v>57150.292266355144</v>
      </c>
      <c r="DP12" s="19">
        <f>SUM(Refurbished!DP8:DP10)</f>
        <v>59933.051300000006</v>
      </c>
      <c r="DQ12" s="19">
        <f>SUM(Refurbished!DQ8:DQ10)</f>
        <v>53253.974711538453</v>
      </c>
      <c r="DR12" s="19">
        <f>SUM(Refurbished!DR8:DR10)</f>
        <v>59786.810854430376</v>
      </c>
      <c r="DS12" s="19">
        <f>SUM(Refurbished!DS8:DS10)</f>
        <v>53606.076896739134</v>
      </c>
      <c r="DT12" s="19">
        <f>SUM(Refurbished!DT8:DT10)</f>
        <v>53256.45175</v>
      </c>
      <c r="DU12" s="19">
        <f>SUM(Refurbished!DU8:DU10)</f>
        <v>52987.814074481867</v>
      </c>
      <c r="DV12" s="19">
        <f>SUM(Refurbished!DV8:DV10)</f>
        <v>55785.894687500004</v>
      </c>
      <c r="DW12" s="19">
        <f>SUM(Refurbished!DW8:DW10)</f>
        <v>50756.602245558373</v>
      </c>
      <c r="DX12" s="19">
        <f>SUM(Refurbished!DX8:DX10)</f>
        <v>50877.351669776122</v>
      </c>
      <c r="DY12" s="19">
        <f>SUM(Refurbished!DY8:DY10)</f>
        <v>56591.014393382357</v>
      </c>
      <c r="DZ12" s="19">
        <f>SUM(Refurbished!DZ8:DZ10)</f>
        <v>53852.954464024384</v>
      </c>
      <c r="EA12" s="19">
        <f>SUM(Refurbished!EA8:EA10)</f>
        <v>65355.332671728975</v>
      </c>
      <c r="EB12" s="19">
        <f>SUM(Refurbished!EB8:EB10)</f>
        <v>68538.507954999994</v>
      </c>
      <c r="EC12" s="19">
        <f>SUM(Refurbished!EC8:EC10)</f>
        <v>60871.906543269215</v>
      </c>
      <c r="ED12" s="19">
        <f>SUM(Refurbished!ED8:ED10)</f>
        <v>68315.283874999994</v>
      </c>
      <c r="EE12" s="222"/>
      <c r="EF12" s="19">
        <f>SUM(BK12:BM12)</f>
        <v>77266</v>
      </c>
      <c r="EG12" s="19">
        <f>SUM(BN12:BP12)</f>
        <v>72535</v>
      </c>
      <c r="EH12" s="19">
        <f>SUM(BQ12:BS12)</f>
        <v>80861</v>
      </c>
      <c r="EI12" s="19">
        <f>SUM(BT12:BV12)</f>
        <v>65935</v>
      </c>
      <c r="EJ12" s="19">
        <f>SUM(BW12:BY12)</f>
        <v>75041</v>
      </c>
      <c r="EK12" s="19">
        <f>SUM(BZ12:CB12)</f>
        <v>70493</v>
      </c>
      <c r="EL12" s="19">
        <f>SUM(CC12:CE12)</f>
        <v>71084</v>
      </c>
      <c r="EM12" s="19">
        <f>SUM(CF12:CH12)</f>
        <v>89414</v>
      </c>
      <c r="EN12" s="19">
        <f>SUM(CI12:CK12)</f>
        <v>96052</v>
      </c>
      <c r="EO12" s="19">
        <f>SUM(CL12:CN12)</f>
        <v>95989</v>
      </c>
      <c r="EP12" s="19">
        <f>SUM(CO12:CQ12)</f>
        <v>108289</v>
      </c>
      <c r="EQ12" s="19">
        <f>SUM(CR12:CT12)</f>
        <v>127912</v>
      </c>
      <c r="ER12" s="19">
        <f>SUM(CU12:CW12)</f>
        <v>119083.80626267177</v>
      </c>
      <c r="ES12" s="19">
        <f>SUM(CX12:CZ12)</f>
        <v>117731.01904121523</v>
      </c>
      <c r="ET12" s="19">
        <f>SUM(DA12:DC12)</f>
        <v>132315.07695671704</v>
      </c>
      <c r="EU12" s="19">
        <f>SUM(DD12:DF12)</f>
        <v>150120.35826484906</v>
      </c>
      <c r="EV12" s="19">
        <f>SUM(DG12:DI12)</f>
        <v>139481.67399301642</v>
      </c>
      <c r="EW12" s="19">
        <f>SUM(DJ12:DL12)</f>
        <v>137501.95342042955</v>
      </c>
      <c r="EX12" s="19">
        <f>SUM(DM12:DO12)</f>
        <v>153719.25481047278</v>
      </c>
      <c r="EY12" s="19">
        <f>SUM(DP12:DR12)</f>
        <v>172973.83686596883</v>
      </c>
      <c r="EZ12" s="19">
        <f t="shared" si="23"/>
        <v>159850.34272122101</v>
      </c>
      <c r="FA12" s="19">
        <f t="shared" si="24"/>
        <v>157419.84860283451</v>
      </c>
      <c r="FB12" s="19">
        <f t="shared" si="25"/>
        <v>175799.30152913573</v>
      </c>
      <c r="FC12" s="19">
        <f t="shared" si="26"/>
        <v>197725.6983732692</v>
      </c>
      <c r="FE12" s="19">
        <f t="shared" si="27"/>
        <v>296597</v>
      </c>
      <c r="FF12" s="19">
        <f t="shared" si="28"/>
        <v>306032</v>
      </c>
      <c r="FG12" s="19">
        <f t="shared" si="29"/>
        <v>428242</v>
      </c>
      <c r="FH12" s="19">
        <f t="shared" si="30"/>
        <v>519250.26052545314</v>
      </c>
      <c r="FI12" s="19">
        <f t="shared" si="31"/>
        <v>603676.71908988757</v>
      </c>
      <c r="FJ12" s="770">
        <f t="shared" si="32"/>
        <v>690795.19122646051</v>
      </c>
      <c r="FK12" s="545" t="s">
        <v>1</v>
      </c>
    </row>
    <row r="13" spans="2:167" x14ac:dyDescent="0.2">
      <c r="B13" s="225" t="s">
        <v>309</v>
      </c>
      <c r="C13" s="19">
        <f>Marketplace!C10</f>
        <v>12462</v>
      </c>
      <c r="D13" s="19">
        <f>Marketplace!D10</f>
        <v>16130</v>
      </c>
      <c r="E13" s="19">
        <f>Marketplace!E10</f>
        <v>15564</v>
      </c>
      <c r="F13" s="19">
        <f>Marketplace!F10</f>
        <v>13358</v>
      </c>
      <c r="G13" s="19">
        <f>Marketplace!G10</f>
        <v>7745</v>
      </c>
      <c r="H13" s="19">
        <f>Marketplace!H10</f>
        <v>5065</v>
      </c>
      <c r="I13" s="19">
        <f>Marketplace!I10</f>
        <v>6044</v>
      </c>
      <c r="J13" s="19">
        <f>Marketplace!J10</f>
        <v>5387</v>
      </c>
      <c r="K13" s="19">
        <f>Marketplace!K10</f>
        <v>5895</v>
      </c>
      <c r="L13" s="19">
        <f>Marketplace!L10</f>
        <v>6032</v>
      </c>
      <c r="M13" s="19">
        <f>Marketplace!M10</f>
        <v>5518</v>
      </c>
      <c r="N13" s="19">
        <f>Marketplace!N10</f>
        <v>5797</v>
      </c>
      <c r="O13" s="19">
        <f>Marketplace!O10</f>
        <v>5657</v>
      </c>
      <c r="P13" s="19">
        <f>Marketplace!P10</f>
        <v>6260</v>
      </c>
      <c r="Q13" s="19">
        <f>Marketplace!Q10</f>
        <v>6234</v>
      </c>
      <c r="R13" s="19">
        <f>Marketplace!R10</f>
        <v>7265</v>
      </c>
      <c r="S13" s="19">
        <f>Marketplace!S10</f>
        <v>8260</v>
      </c>
      <c r="T13" s="19">
        <f>Marketplace!T10</f>
        <v>8246</v>
      </c>
      <c r="U13" s="19">
        <f>Marketplace!U10</f>
        <v>11201</v>
      </c>
      <c r="V13" s="19">
        <f>Marketplace!V10</f>
        <v>8107</v>
      </c>
      <c r="W13" s="19">
        <f>Marketplace!W10</f>
        <v>8643</v>
      </c>
      <c r="X13" s="19">
        <f>Marketplace!X10</f>
        <v>10206</v>
      </c>
      <c r="Y13" s="19">
        <f>Marketplace!Y10</f>
        <v>9270</v>
      </c>
      <c r="Z13" s="19">
        <f>Marketplace!Z10</f>
        <v>7374</v>
      </c>
      <c r="AA13" s="19">
        <f>Marketplace!AA10</f>
        <v>95</v>
      </c>
      <c r="AB13" s="19">
        <f>Marketplace!AB10</f>
        <v>3900</v>
      </c>
      <c r="AC13" s="19">
        <f>Marketplace!AC10</f>
        <v>12423</v>
      </c>
      <c r="AD13" s="19">
        <f>Marketplace!AD10</f>
        <v>16894</v>
      </c>
      <c r="AE13" s="19">
        <f>Marketplace!AE10</f>
        <v>22072</v>
      </c>
      <c r="AF13" s="19">
        <f>Marketplace!AF10</f>
        <v>23273</v>
      </c>
      <c r="AG13" s="19">
        <f>Marketplace!AG10</f>
        <v>27669</v>
      </c>
      <c r="AH13" s="19">
        <f>Marketplace!AH10</f>
        <v>23476</v>
      </c>
      <c r="AI13" s="19">
        <f>Marketplace!AI10</f>
        <v>20166</v>
      </c>
      <c r="AJ13" s="19">
        <f>Marketplace!AJ10</f>
        <v>24581</v>
      </c>
      <c r="AK13" s="19">
        <f>Marketplace!AK10</f>
        <v>21836</v>
      </c>
      <c r="AL13" s="19">
        <f>Marketplace!AL10</f>
        <v>24239</v>
      </c>
      <c r="AM13" s="19">
        <f>Marketplace!AM10</f>
        <v>18016</v>
      </c>
      <c r="AN13" s="19">
        <f>Marketplace!AN10</f>
        <v>8266</v>
      </c>
      <c r="AO13" s="19">
        <f>Marketplace!AO10</f>
        <v>26810</v>
      </c>
      <c r="AP13" s="19">
        <f>Marketplace!AP10</f>
        <v>33947</v>
      </c>
      <c r="AQ13" s="19">
        <f>Marketplace!AQ10</f>
        <v>39124</v>
      </c>
      <c r="AR13" s="19">
        <f>Marketplace!AR10</f>
        <v>39601</v>
      </c>
      <c r="AS13" s="19">
        <f>Marketplace!AS10</f>
        <v>52331</v>
      </c>
      <c r="AT13" s="19">
        <f>Marketplace!AT10</f>
        <v>34852</v>
      </c>
      <c r="AU13" s="19">
        <f>Marketplace!AU10</f>
        <v>38477</v>
      </c>
      <c r="AV13" s="19">
        <f>Marketplace!AV10</f>
        <v>40669</v>
      </c>
      <c r="AW13" s="19">
        <f>Marketplace!AW10</f>
        <v>37435</v>
      </c>
      <c r="AX13" s="19">
        <f>Marketplace!AX10</f>
        <v>47022</v>
      </c>
      <c r="AY13" s="19">
        <f>Marketplace!AY10</f>
        <v>42384</v>
      </c>
      <c r="AZ13" s="19">
        <f>Marketplace!AZ10</f>
        <v>41540</v>
      </c>
      <c r="BA13" s="19">
        <f>Marketplace!BA10</f>
        <v>47337</v>
      </c>
      <c r="BB13" s="19">
        <f>Marketplace!BB10</f>
        <v>45196</v>
      </c>
      <c r="BC13" s="19">
        <f>Marketplace!BC10</f>
        <v>43482</v>
      </c>
      <c r="BD13" s="19">
        <f>Marketplace!BD10</f>
        <v>51187</v>
      </c>
      <c r="BE13" s="19">
        <f>Marketplace!BE10</f>
        <v>51956</v>
      </c>
      <c r="BF13" s="19">
        <f>Marketplace!BF10</f>
        <v>39058</v>
      </c>
      <c r="BG13" s="19">
        <f>Marketplace!BG10</f>
        <v>41562</v>
      </c>
      <c r="BH13" s="19">
        <f>Marketplace!BH10</f>
        <v>47563</v>
      </c>
      <c r="BI13" s="19">
        <f>Marketplace!BI10</f>
        <v>44375</v>
      </c>
      <c r="BJ13" s="19">
        <f>Marketplace!BJ10</f>
        <v>50068</v>
      </c>
      <c r="BK13" s="19">
        <f>Marketplace!BK10</f>
        <v>54192</v>
      </c>
      <c r="BL13" s="19">
        <f>Marketplace!BL10</f>
        <v>58147</v>
      </c>
      <c r="BM13" s="19">
        <f>Marketplace!BM10</f>
        <v>55196</v>
      </c>
      <c r="BN13" s="19">
        <f>Marketplace!BN10</f>
        <v>57834</v>
      </c>
      <c r="BO13" s="19">
        <f>Marketplace!BO10</f>
        <v>58192</v>
      </c>
      <c r="BP13" s="19">
        <f>Marketplace!BP10</f>
        <v>52716</v>
      </c>
      <c r="BQ13" s="19">
        <f>Marketplace!BQ10</f>
        <v>76285</v>
      </c>
      <c r="BR13" s="19">
        <f>Marketplace!BR10</f>
        <v>61963</v>
      </c>
      <c r="BS13" s="19">
        <f>Marketplace!BS10</f>
        <v>55860</v>
      </c>
      <c r="BT13" s="19">
        <f>Marketplace!BT10</f>
        <v>59120</v>
      </c>
      <c r="BU13" s="19">
        <f>Marketplace!BU10</f>
        <v>53513</v>
      </c>
      <c r="BV13" s="19">
        <f>Marketplace!BV10</f>
        <v>55133</v>
      </c>
      <c r="BW13" s="19">
        <f>Marketplace!BW10</f>
        <v>52304</v>
      </c>
      <c r="BX13" s="19">
        <f>Marketplace!BX10</f>
        <v>59813</v>
      </c>
      <c r="BY13" s="19">
        <f>Marketplace!BY10</f>
        <v>54260</v>
      </c>
      <c r="BZ13" s="19">
        <f>Marketplace!BZ10</f>
        <v>61976</v>
      </c>
      <c r="CA13" s="19">
        <f>Marketplace!CA10</f>
        <v>60546</v>
      </c>
      <c r="CB13" s="19">
        <f>Marketplace!CB10</f>
        <v>56776</v>
      </c>
      <c r="CC13" s="19">
        <f>Marketplace!CC10</f>
        <v>78506</v>
      </c>
      <c r="CD13" s="19">
        <f>Marketplace!CD10</f>
        <v>57876</v>
      </c>
      <c r="CE13" s="19">
        <f>Marketplace!CE10</f>
        <v>58235</v>
      </c>
      <c r="CF13" s="19">
        <f>Marketplace!CF10</f>
        <v>62843</v>
      </c>
      <c r="CG13" s="19">
        <f>Marketplace!CG10</f>
        <v>58630</v>
      </c>
      <c r="CH13" s="19">
        <f>Marketplace!CH10</f>
        <v>59318</v>
      </c>
      <c r="CI13" s="19">
        <f>Marketplace!CI10</f>
        <v>59845</v>
      </c>
      <c r="CJ13" s="19">
        <f>Marketplace!CJ10</f>
        <v>65209</v>
      </c>
      <c r="CK13" s="19">
        <f>Marketplace!CK10</f>
        <v>64438</v>
      </c>
      <c r="CL13" s="19">
        <f>Marketplace!CL10</f>
        <v>70452</v>
      </c>
      <c r="CM13" s="19">
        <f>Marketplace!CM10</f>
        <v>65759</v>
      </c>
      <c r="CN13" s="19">
        <f>Marketplace!CN10</f>
        <v>76391</v>
      </c>
      <c r="CO13" s="19">
        <f>Marketplace!CO10</f>
        <v>94429</v>
      </c>
      <c r="CP13" s="19">
        <f>Marketplace!CP10</f>
        <v>69898</v>
      </c>
      <c r="CQ13" s="19">
        <f>Marketplace!CQ10</f>
        <v>72218</v>
      </c>
      <c r="CR13" s="19">
        <f>Marketplace!CR10</f>
        <v>75770</v>
      </c>
      <c r="CS13" s="19">
        <f>Marketplace!CS10</f>
        <v>64966</v>
      </c>
      <c r="CT13" s="19">
        <f>Marketplace!CT10</f>
        <v>78919</v>
      </c>
      <c r="CU13" s="19">
        <f>Marketplace!CU10</f>
        <v>74806.25</v>
      </c>
      <c r="CV13" s="19">
        <f>Marketplace!CV10</f>
        <v>81511.25</v>
      </c>
      <c r="CW13" s="19">
        <f>Marketplace!CW10</f>
        <v>80547.5</v>
      </c>
      <c r="CX13" s="19">
        <f>Marketplace!CX10</f>
        <v>88065</v>
      </c>
      <c r="CY13" s="19">
        <f>Marketplace!CY10</f>
        <v>82198.75</v>
      </c>
      <c r="CZ13" s="19">
        <f>Marketplace!CZ10</f>
        <v>95488.75</v>
      </c>
      <c r="DA13" s="19">
        <f>Marketplace!DA10</f>
        <v>118036.25</v>
      </c>
      <c r="DB13" s="19">
        <f>Marketplace!DB10</f>
        <v>87372.5</v>
      </c>
      <c r="DC13" s="19">
        <f>Marketplace!DC10</f>
        <v>90272.5</v>
      </c>
      <c r="DD13" s="19">
        <f>Marketplace!DD10</f>
        <v>94712.5</v>
      </c>
      <c r="DE13" s="19">
        <f>Marketplace!DE10</f>
        <v>81207.5</v>
      </c>
      <c r="DF13" s="19">
        <f>Marketplace!DF10</f>
        <v>98648.75</v>
      </c>
      <c r="DG13" s="19">
        <f>Marketplace!DG10</f>
        <v>89767.5</v>
      </c>
      <c r="DH13" s="19">
        <f>Marketplace!DH10</f>
        <v>97813.5</v>
      </c>
      <c r="DI13" s="19">
        <f>Marketplace!DI10</f>
        <v>96657</v>
      </c>
      <c r="DJ13" s="19">
        <f>Marketplace!DJ10</f>
        <v>105678</v>
      </c>
      <c r="DK13" s="19">
        <f>Marketplace!DK10</f>
        <v>98638.5</v>
      </c>
      <c r="DL13" s="19">
        <f>Marketplace!DL10</f>
        <v>114586.5</v>
      </c>
      <c r="DM13" s="19">
        <f>Marketplace!DM10</f>
        <v>141643.5</v>
      </c>
      <c r="DN13" s="19">
        <f>Marketplace!DN10</f>
        <v>104847</v>
      </c>
      <c r="DO13" s="19">
        <f>Marketplace!DO10</f>
        <v>108327</v>
      </c>
      <c r="DP13" s="19">
        <f>Marketplace!DP10</f>
        <v>113655</v>
      </c>
      <c r="DQ13" s="19">
        <f>Marketplace!DQ10</f>
        <v>97449</v>
      </c>
      <c r="DR13" s="19">
        <f>Marketplace!DR10</f>
        <v>118378.5</v>
      </c>
      <c r="DS13" s="19">
        <f>Marketplace!DS10</f>
        <v>103232.62499999999</v>
      </c>
      <c r="DT13" s="19">
        <f>Marketplace!DT10</f>
        <v>112485.52499999999</v>
      </c>
      <c r="DU13" s="19">
        <f>Marketplace!DU10</f>
        <v>111155.54999999999</v>
      </c>
      <c r="DV13" s="19">
        <f>Marketplace!DV10</f>
        <v>121529.7</v>
      </c>
      <c r="DW13" s="19">
        <f>Marketplace!DW10</f>
        <v>113434.27499999999</v>
      </c>
      <c r="DX13" s="19">
        <f>Marketplace!DX10</f>
        <v>131774.47499999998</v>
      </c>
      <c r="DY13" s="19">
        <f>Marketplace!DY10</f>
        <v>162890.02499999999</v>
      </c>
      <c r="DZ13" s="19">
        <f>Marketplace!DZ10</f>
        <v>120574.04999999999</v>
      </c>
      <c r="EA13" s="19">
        <f>Marketplace!EA10</f>
        <v>124576.04999999999</v>
      </c>
      <c r="EB13" s="19">
        <f>Marketplace!EB10</f>
        <v>130703.24999999999</v>
      </c>
      <c r="EC13" s="19">
        <f>Marketplace!EC10</f>
        <v>112066.34999999999</v>
      </c>
      <c r="ED13" s="19">
        <f>Marketplace!ED10</f>
        <v>136135.27499999999</v>
      </c>
      <c r="EE13" s="222"/>
      <c r="EF13" s="19">
        <f>SUM(BK13:BM13)</f>
        <v>167535</v>
      </c>
      <c r="EG13" s="19">
        <f>SUM(BN13:BP13)</f>
        <v>168742</v>
      </c>
      <c r="EH13" s="19">
        <f>SUM(BQ13:BS13)</f>
        <v>194108</v>
      </c>
      <c r="EI13" s="19">
        <f>SUM(BT13:BV13)</f>
        <v>167766</v>
      </c>
      <c r="EJ13" s="19">
        <f>SUM(BW13:BY13)</f>
        <v>166377</v>
      </c>
      <c r="EK13" s="19">
        <f>SUM(BZ13:CB13)</f>
        <v>179298</v>
      </c>
      <c r="EL13" s="19">
        <f>SUM(CC13:CE13)</f>
        <v>194617</v>
      </c>
      <c r="EM13" s="19">
        <f>SUM(CF13:CH13)</f>
        <v>180791</v>
      </c>
      <c r="EN13" s="19">
        <f>SUM(CI13:CK13)</f>
        <v>189492</v>
      </c>
      <c r="EO13" s="19">
        <f>SUM(CL13:CN13)</f>
        <v>212602</v>
      </c>
      <c r="EP13" s="19">
        <f>SUM(CO13:CQ13)</f>
        <v>236545</v>
      </c>
      <c r="EQ13" s="19">
        <f>SUM(CR13:CT13)</f>
        <v>219655</v>
      </c>
      <c r="ER13" s="19">
        <f>SUM(CU13:CW13)</f>
        <v>236865</v>
      </c>
      <c r="ES13" s="19">
        <f>SUM(CX13:CZ13)</f>
        <v>265752.5</v>
      </c>
      <c r="ET13" s="19">
        <f>SUM(DA13:DC13)</f>
        <v>295681.25</v>
      </c>
      <c r="EU13" s="19">
        <f>SUM(DD13:DF13)</f>
        <v>274568.75</v>
      </c>
      <c r="EV13" s="19">
        <f>SUM(DG13:DI13)</f>
        <v>284238</v>
      </c>
      <c r="EW13" s="19">
        <f>SUM(DJ13:DL13)</f>
        <v>318903</v>
      </c>
      <c r="EX13" s="19">
        <f>SUM(DM13:DO13)</f>
        <v>354817.5</v>
      </c>
      <c r="EY13" s="19">
        <f>SUM(DP13:DR13)</f>
        <v>329482.5</v>
      </c>
      <c r="EZ13" s="19">
        <f t="shared" si="23"/>
        <v>326873.69999999995</v>
      </c>
      <c r="FA13" s="19">
        <f t="shared" si="24"/>
        <v>366738.44999999995</v>
      </c>
      <c r="FB13" s="19">
        <f t="shared" si="25"/>
        <v>408040.12499999994</v>
      </c>
      <c r="FC13" s="19">
        <f t="shared" si="26"/>
        <v>378904.875</v>
      </c>
      <c r="FE13" s="19">
        <f t="shared" si="27"/>
        <v>698151</v>
      </c>
      <c r="FF13" s="19">
        <f t="shared" si="28"/>
        <v>721083</v>
      </c>
      <c r="FG13" s="19">
        <f t="shared" si="29"/>
        <v>858294</v>
      </c>
      <c r="FH13" s="19">
        <f t="shared" si="30"/>
        <v>1072867.5</v>
      </c>
      <c r="FI13" s="19">
        <f t="shared" si="31"/>
        <v>1287441</v>
      </c>
      <c r="FJ13" s="770">
        <f t="shared" si="32"/>
        <v>1480557.15</v>
      </c>
      <c r="FK13" s="545" t="s">
        <v>1</v>
      </c>
    </row>
    <row r="14" spans="2:167" x14ac:dyDescent="0.2">
      <c r="B14" s="225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222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E14" s="19"/>
      <c r="FF14" s="19"/>
      <c r="FG14" s="19"/>
      <c r="FH14" s="19"/>
      <c r="FI14" s="19"/>
      <c r="FJ14" s="770"/>
      <c r="FK14" s="545"/>
    </row>
    <row r="15" spans="2:167" x14ac:dyDescent="0.2">
      <c r="B15" s="298" t="s">
        <v>312</v>
      </c>
      <c r="C15" s="297">
        <f>SUM(C16:C21)</f>
        <v>300576.72000000003</v>
      </c>
      <c r="D15" s="297">
        <f t="shared" ref="D15:BO15" si="48">SUM(D16:D21)</f>
        <v>227209</v>
      </c>
      <c r="E15" s="297">
        <f t="shared" si="48"/>
        <v>519222.19999999995</v>
      </c>
      <c r="F15" s="297">
        <f t="shared" si="48"/>
        <v>643912.92000000016</v>
      </c>
      <c r="G15" s="297">
        <f t="shared" si="48"/>
        <v>1657311.1800000002</v>
      </c>
      <c r="H15" s="297">
        <f t="shared" si="48"/>
        <v>1519172.1300000004</v>
      </c>
      <c r="I15" s="297">
        <f t="shared" si="48"/>
        <v>1077853.7999999998</v>
      </c>
      <c r="J15" s="297">
        <f t="shared" si="48"/>
        <v>692513.06000000041</v>
      </c>
      <c r="K15" s="297">
        <f t="shared" si="48"/>
        <v>829728.4099999998</v>
      </c>
      <c r="L15" s="297">
        <f t="shared" si="48"/>
        <v>904574.21000000008</v>
      </c>
      <c r="M15" s="297">
        <f t="shared" si="48"/>
        <v>1280125.8499999999</v>
      </c>
      <c r="N15" s="297">
        <f t="shared" si="48"/>
        <v>996177.82</v>
      </c>
      <c r="O15" s="297">
        <f t="shared" si="48"/>
        <v>1516923.5551102464</v>
      </c>
      <c r="P15" s="297">
        <f t="shared" si="48"/>
        <v>1225808.0603902137</v>
      </c>
      <c r="Q15" s="297">
        <f t="shared" si="48"/>
        <v>2061996.9139072848</v>
      </c>
      <c r="R15" s="297">
        <f t="shared" si="48"/>
        <v>1744767.7890060632</v>
      </c>
      <c r="S15" s="297">
        <f t="shared" si="48"/>
        <v>1975151.2106975713</v>
      </c>
      <c r="T15" s="297">
        <f t="shared" si="48"/>
        <v>7704200.6744481474</v>
      </c>
      <c r="U15" s="297">
        <f t="shared" si="48"/>
        <v>2987579.1401869161</v>
      </c>
      <c r="V15" s="297">
        <f t="shared" si="48"/>
        <v>6705676.4994020648</v>
      </c>
      <c r="W15" s="297">
        <f t="shared" si="48"/>
        <v>4922238.3339074664</v>
      </c>
      <c r="X15" s="297">
        <f t="shared" si="48"/>
        <v>7039057.9042770294</v>
      </c>
      <c r="Y15" s="297">
        <f t="shared" si="48"/>
        <v>25818675.715695966</v>
      </c>
      <c r="Z15" s="297">
        <f t="shared" si="48"/>
        <v>8274483.7999999998</v>
      </c>
      <c r="AA15" s="297">
        <f t="shared" si="48"/>
        <v>5956069</v>
      </c>
      <c r="AB15" s="297">
        <f t="shared" si="48"/>
        <v>8142237.0603562724</v>
      </c>
      <c r="AC15" s="297">
        <f t="shared" si="48"/>
        <v>10603461.510533622</v>
      </c>
      <c r="AD15" s="297">
        <f t="shared" si="48"/>
        <v>8585553.9295757283</v>
      </c>
      <c r="AE15" s="297">
        <f t="shared" si="48"/>
        <v>8705590.5676071867</v>
      </c>
      <c r="AF15" s="297">
        <f t="shared" si="48"/>
        <v>8955521.797482973</v>
      </c>
      <c r="AG15" s="297">
        <f t="shared" si="48"/>
        <v>12778394.345903484</v>
      </c>
      <c r="AH15" s="297">
        <f t="shared" si="48"/>
        <v>10226073.367142187</v>
      </c>
      <c r="AI15" s="297">
        <f t="shared" si="48"/>
        <v>16014725.955754066</v>
      </c>
      <c r="AJ15" s="297">
        <f t="shared" si="48"/>
        <v>24193456.652880024</v>
      </c>
      <c r="AK15" s="297">
        <f t="shared" si="48"/>
        <v>24098228.611981932</v>
      </c>
      <c r="AL15" s="297">
        <f t="shared" si="48"/>
        <v>22930170.882298864</v>
      </c>
      <c r="AM15" s="297">
        <f t="shared" si="48"/>
        <v>15554904.713415081</v>
      </c>
      <c r="AN15" s="297">
        <f t="shared" si="48"/>
        <v>8174276.6361746155</v>
      </c>
      <c r="AO15" s="297">
        <f t="shared" si="48"/>
        <v>16002394.055017466</v>
      </c>
      <c r="AP15" s="297">
        <f t="shared" si="48"/>
        <v>23211157.959999878</v>
      </c>
      <c r="AQ15" s="297">
        <f t="shared" si="48"/>
        <v>24241145.713829115</v>
      </c>
      <c r="AR15" s="297">
        <f t="shared" si="48"/>
        <v>35579904.959312618</v>
      </c>
      <c r="AS15" s="297">
        <f t="shared" si="48"/>
        <v>47737957.519999973</v>
      </c>
      <c r="AT15" s="297">
        <f t="shared" si="48"/>
        <v>44833637.680000447</v>
      </c>
      <c r="AU15" s="297">
        <f t="shared" si="48"/>
        <v>69231195.090001673</v>
      </c>
      <c r="AV15" s="297">
        <f t="shared" si="48"/>
        <v>71822618.800000712</v>
      </c>
      <c r="AW15" s="297">
        <f t="shared" si="48"/>
        <v>80100511.539999992</v>
      </c>
      <c r="AX15" s="297">
        <f t="shared" si="48"/>
        <v>92796459.135428905</v>
      </c>
      <c r="AY15" s="297">
        <f t="shared" si="48"/>
        <v>78852112.809999824</v>
      </c>
      <c r="AZ15" s="297">
        <f t="shared" si="48"/>
        <v>99749940.810000002</v>
      </c>
      <c r="BA15" s="297">
        <f t="shared" si="48"/>
        <v>113820850.3200002</v>
      </c>
      <c r="BB15" s="297">
        <f t="shared" si="48"/>
        <v>105145812.38850152</v>
      </c>
      <c r="BC15" s="297">
        <f t="shared" si="48"/>
        <v>103308403.44411725</v>
      </c>
      <c r="BD15" s="297">
        <f t="shared" si="48"/>
        <v>100964815.28412673</v>
      </c>
      <c r="BE15" s="297">
        <f t="shared" si="48"/>
        <v>92217310.180740893</v>
      </c>
      <c r="BF15" s="297">
        <f t="shared" si="48"/>
        <v>105334185.83324881</v>
      </c>
      <c r="BG15" s="297">
        <f t="shared" si="48"/>
        <v>122520584.1857128</v>
      </c>
      <c r="BH15" s="297">
        <f t="shared" si="48"/>
        <v>105700849.35969836</v>
      </c>
      <c r="BI15" s="297">
        <f t="shared" si="48"/>
        <v>109369738.64938998</v>
      </c>
      <c r="BJ15" s="297">
        <f t="shared" si="48"/>
        <v>161954841.82468319</v>
      </c>
      <c r="BK15" s="297">
        <f t="shared" si="48"/>
        <v>171912880.06630999</v>
      </c>
      <c r="BL15" s="297">
        <f t="shared" si="48"/>
        <v>162778227.69090647</v>
      </c>
      <c r="BM15" s="297">
        <f t="shared" si="48"/>
        <v>143306854.88303065</v>
      </c>
      <c r="BN15" s="297">
        <f t="shared" si="48"/>
        <v>169729702.42116517</v>
      </c>
      <c r="BO15" s="297">
        <f t="shared" si="48"/>
        <v>145699742.58460882</v>
      </c>
      <c r="BP15" s="297">
        <f t="shared" ref="BP15:DR15" si="49">SUM(BP16:BP21)</f>
        <v>155226208.9896546</v>
      </c>
      <c r="BQ15" s="297">
        <f t="shared" si="49"/>
        <v>183272258.37010866</v>
      </c>
      <c r="BR15" s="297">
        <f t="shared" si="49"/>
        <v>142601214.2369667</v>
      </c>
      <c r="BS15" s="297">
        <f t="shared" si="49"/>
        <v>128647748.00204252</v>
      </c>
      <c r="BT15" s="297">
        <f t="shared" si="49"/>
        <v>126690382.84225854</v>
      </c>
      <c r="BU15" s="297">
        <f t="shared" si="49"/>
        <v>139018623.05362189</v>
      </c>
      <c r="BV15" s="297">
        <f t="shared" si="49"/>
        <v>121068701</v>
      </c>
      <c r="BW15" s="297">
        <f t="shared" si="49"/>
        <v>130968513.25172493</v>
      </c>
      <c r="BX15" s="297">
        <f t="shared" si="49"/>
        <v>136820697.34855288</v>
      </c>
      <c r="BY15" s="297">
        <f t="shared" si="49"/>
        <v>130884292.41397883</v>
      </c>
      <c r="BZ15" s="297">
        <f t="shared" si="49"/>
        <v>142102707.39724606</v>
      </c>
      <c r="CA15" s="297">
        <f t="shared" si="49"/>
        <v>143045494.99406457</v>
      </c>
      <c r="CB15" s="297">
        <f t="shared" si="49"/>
        <v>149489813.23045859</v>
      </c>
      <c r="CC15" s="297">
        <f t="shared" si="49"/>
        <v>126594589.55816774</v>
      </c>
      <c r="CD15" s="297">
        <f t="shared" si="49"/>
        <v>137334574.15552181</v>
      </c>
      <c r="CE15" s="297">
        <f t="shared" si="49"/>
        <v>140799044.43575376</v>
      </c>
      <c r="CF15" s="297">
        <f t="shared" si="49"/>
        <v>158820597.22102404</v>
      </c>
      <c r="CG15" s="297">
        <f t="shared" si="49"/>
        <v>154427915.52719355</v>
      </c>
      <c r="CH15" s="297">
        <f t="shared" si="49"/>
        <v>200795007.19676614</v>
      </c>
      <c r="CI15" s="297">
        <f t="shared" si="49"/>
        <v>215061523.01339179</v>
      </c>
      <c r="CJ15" s="297">
        <f t="shared" si="49"/>
        <v>214039454.95985216</v>
      </c>
      <c r="CK15" s="297">
        <f t="shared" si="49"/>
        <v>225049677.17919999</v>
      </c>
      <c r="CL15" s="297">
        <f t="shared" si="49"/>
        <v>210635957.33000064</v>
      </c>
      <c r="CM15" s="297">
        <f t="shared" si="49"/>
        <v>202979328.87000102</v>
      </c>
      <c r="CN15" s="297">
        <f t="shared" si="49"/>
        <v>141752724.29000056</v>
      </c>
      <c r="CO15" s="297">
        <f t="shared" si="49"/>
        <v>208816556.64999992</v>
      </c>
      <c r="CP15" s="297">
        <f t="shared" si="49"/>
        <v>197166885.58999991</v>
      </c>
      <c r="CQ15" s="297">
        <f t="shared" si="49"/>
        <v>225426658.8700003</v>
      </c>
      <c r="CR15" s="297">
        <f t="shared" si="49"/>
        <v>240064459.95999968</v>
      </c>
      <c r="CS15" s="297">
        <f t="shared" si="49"/>
        <v>227627908.63999924</v>
      </c>
      <c r="CT15" s="297">
        <f t="shared" si="49"/>
        <v>243251452.87999985</v>
      </c>
      <c r="CU15" s="297">
        <f t="shared" si="49"/>
        <v>241176594.11048618</v>
      </c>
      <c r="CV15" s="297">
        <f t="shared" si="49"/>
        <v>243604508.55667812</v>
      </c>
      <c r="CW15" s="297">
        <f t="shared" si="49"/>
        <v>248153901.7238515</v>
      </c>
      <c r="CX15" s="297">
        <f t="shared" si="49"/>
        <v>253751628.75637591</v>
      </c>
      <c r="CY15" s="297">
        <f t="shared" si="49"/>
        <v>236294714.78491291</v>
      </c>
      <c r="CZ15" s="297">
        <f t="shared" si="49"/>
        <v>232230243.48794171</v>
      </c>
      <c r="DA15" s="297">
        <f t="shared" si="49"/>
        <v>254467695.99736744</v>
      </c>
      <c r="DB15" s="297">
        <f t="shared" si="49"/>
        <v>260586824.34926486</v>
      </c>
      <c r="DC15" s="297">
        <f t="shared" si="49"/>
        <v>309101591.70882851</v>
      </c>
      <c r="DD15" s="297">
        <f t="shared" si="49"/>
        <v>320515221.32199281</v>
      </c>
      <c r="DE15" s="297">
        <f t="shared" si="49"/>
        <v>291197533.11654824</v>
      </c>
      <c r="DF15" s="297">
        <f t="shared" si="49"/>
        <v>312569859.36489224</v>
      </c>
      <c r="DG15" s="297">
        <f t="shared" si="49"/>
        <v>290308875.52955961</v>
      </c>
      <c r="DH15" s="297">
        <f t="shared" si="49"/>
        <v>293531918.37478733</v>
      </c>
      <c r="DI15" s="297">
        <f t="shared" si="49"/>
        <v>298882347.35351688</v>
      </c>
      <c r="DJ15" s="297">
        <f t="shared" si="49"/>
        <v>305372581.0066511</v>
      </c>
      <c r="DK15" s="297">
        <f t="shared" si="49"/>
        <v>284372690.76442826</v>
      </c>
      <c r="DL15" s="297">
        <f t="shared" si="49"/>
        <v>278771896.54271388</v>
      </c>
      <c r="DM15" s="297">
        <f t="shared" si="49"/>
        <v>305524895.53592217</v>
      </c>
      <c r="DN15" s="297">
        <f t="shared" si="49"/>
        <v>313227994.09419942</v>
      </c>
      <c r="DO15" s="297">
        <f t="shared" si="49"/>
        <v>370766219.22680497</v>
      </c>
      <c r="DP15" s="297">
        <f t="shared" si="49"/>
        <v>383766633.29327738</v>
      </c>
      <c r="DQ15" s="297">
        <f t="shared" si="49"/>
        <v>348742058.17635703</v>
      </c>
      <c r="DR15" s="297">
        <f t="shared" si="49"/>
        <v>372563427.03255361</v>
      </c>
      <c r="DS15" s="297">
        <f t="shared" ref="DS15:ED15" si="50">SUM(DS16:DS21)</f>
        <v>342214536.73032653</v>
      </c>
      <c r="DT15" s="297">
        <f t="shared" si="50"/>
        <v>346071482.96860361</v>
      </c>
      <c r="DU15" s="297">
        <f t="shared" si="50"/>
        <v>352481182.22518802</v>
      </c>
      <c r="DV15" s="297">
        <f t="shared" si="50"/>
        <v>359833012.95157921</v>
      </c>
      <c r="DW15" s="297">
        <f t="shared" si="50"/>
        <v>335214150.01889914</v>
      </c>
      <c r="DX15" s="297">
        <f t="shared" si="50"/>
        <v>328542886.68473876</v>
      </c>
      <c r="DY15" s="297">
        <f t="shared" si="50"/>
        <v>359694579.25663757</v>
      </c>
      <c r="DZ15" s="297">
        <f t="shared" si="50"/>
        <v>369319392.07863593</v>
      </c>
      <c r="EA15" s="297">
        <f t="shared" si="50"/>
        <v>436963988.76568139</v>
      </c>
      <c r="EB15" s="297">
        <f t="shared" si="50"/>
        <v>452215342.15686572</v>
      </c>
      <c r="EC15" s="297">
        <f t="shared" si="50"/>
        <v>410988358.3938157</v>
      </c>
      <c r="ED15" s="297">
        <f t="shared" si="50"/>
        <v>438537195.23435283</v>
      </c>
      <c r="EE15" s="222"/>
      <c r="EF15" s="297">
        <f t="shared" ref="EF15:EF21" si="51">SUM(BK15:BM15)</f>
        <v>477997962.64024711</v>
      </c>
      <c r="EG15" s="297">
        <f t="shared" ref="EG15:EG21" si="52">SUM(BN15:BP15)</f>
        <v>470655653.99542862</v>
      </c>
      <c r="EH15" s="297">
        <f t="shared" ref="EH15:EH21" si="53">SUM(BQ15:BS15)</f>
        <v>454521220.60911787</v>
      </c>
      <c r="EI15" s="297">
        <f t="shared" ref="EI15:EI21" si="54">SUM(BT15:BV15)</f>
        <v>386777706.89588046</v>
      </c>
      <c r="EJ15" s="297">
        <f t="shared" ref="EJ15:EJ21" si="55">SUM(BW15:BY15)</f>
        <v>398673503.01425666</v>
      </c>
      <c r="EK15" s="297">
        <f t="shared" ref="EK15:EK21" si="56">SUM(BZ15:CB15)</f>
        <v>434638015.62176919</v>
      </c>
      <c r="EL15" s="297">
        <f t="shared" ref="EL15:EL21" si="57">SUM(CC15:CE15)</f>
        <v>404728208.14944333</v>
      </c>
      <c r="EM15" s="297">
        <f t="shared" ref="EM15:EM21" si="58">SUM(CF15:CH15)</f>
        <v>514043519.94498372</v>
      </c>
      <c r="EN15" s="297">
        <f t="shared" ref="EN15:EN21" si="59">SUM(CI15:CK15)</f>
        <v>654150655.15244389</v>
      </c>
      <c r="EO15" s="297">
        <f t="shared" ref="EO15:EO21" si="60">SUM(CL15:CN15)</f>
        <v>555368010.49000216</v>
      </c>
      <c r="EP15" s="297">
        <f t="shared" ref="EP15:EP21" si="61">SUM(CO15:CQ15)</f>
        <v>631410101.11000013</v>
      </c>
      <c r="EQ15" s="297">
        <f t="shared" ref="EQ15:EQ21" si="62">SUM(CR15:CT15)</f>
        <v>710943821.47999883</v>
      </c>
      <c r="ER15" s="297">
        <f t="shared" ref="ER15:ER21" si="63">SUM(CU15:CW15)</f>
        <v>732935004.39101577</v>
      </c>
      <c r="ES15" s="297">
        <f t="shared" ref="ES15:ES21" si="64">SUM(CX15:CZ15)</f>
        <v>722276587.02923059</v>
      </c>
      <c r="ET15" s="297">
        <f t="shared" ref="ET15:ET21" si="65">SUM(DA15:DC15)</f>
        <v>824156112.05546081</v>
      </c>
      <c r="EU15" s="297">
        <f t="shared" ref="EU15:EU21" si="66">SUM(DD15:DF15)</f>
        <v>924282613.8034333</v>
      </c>
      <c r="EV15" s="297">
        <f t="shared" ref="EV15:EV21" si="67">SUM(DG15:DI15)</f>
        <v>882723141.25786376</v>
      </c>
      <c r="EW15" s="297">
        <f t="shared" ref="EW15:EW21" si="68">SUM(DJ15:DL15)</f>
        <v>868517168.31379318</v>
      </c>
      <c r="EX15" s="297">
        <f t="shared" ref="EX15:EX21" si="69">SUM(DM15:DO15)</f>
        <v>989519108.85692656</v>
      </c>
      <c r="EY15" s="297">
        <f t="shared" ref="EY15:EY21" si="70">SUM(DP15:DR15)</f>
        <v>1105072118.502188</v>
      </c>
      <c r="EZ15" s="297">
        <f t="shared" si="23"/>
        <v>1040767201.9241182</v>
      </c>
      <c r="FA15" s="297">
        <f t="shared" si="24"/>
        <v>1023590049.6552171</v>
      </c>
      <c r="FB15" s="297">
        <f t="shared" si="25"/>
        <v>1165977960.100955</v>
      </c>
      <c r="FC15" s="297">
        <f t="shared" si="26"/>
        <v>1301740895.7850342</v>
      </c>
      <c r="FE15" s="297">
        <f t="shared" si="27"/>
        <v>1789952544.1406739</v>
      </c>
      <c r="FF15" s="297">
        <f t="shared" si="28"/>
        <v>1752083246.730453</v>
      </c>
      <c r="FG15" s="297">
        <f t="shared" si="29"/>
        <v>2551872588.2324448</v>
      </c>
      <c r="FH15" s="297">
        <f t="shared" si="30"/>
        <v>3203650317.2791405</v>
      </c>
      <c r="FI15" s="297">
        <f t="shared" si="31"/>
        <v>3845831536.9307718</v>
      </c>
      <c r="FJ15" s="774">
        <f t="shared" si="32"/>
        <v>4532076107.4653244</v>
      </c>
      <c r="FK15" s="545" t="s">
        <v>1</v>
      </c>
    </row>
    <row r="16" spans="2:167" x14ac:dyDescent="0.2">
      <c r="B16" s="225" t="s">
        <v>304</v>
      </c>
      <c r="C16" s="19">
        <f>'B2B- Non Repair'!C11</f>
        <v>0</v>
      </c>
      <c r="D16" s="19">
        <f>'B2B- Non Repair'!D11</f>
        <v>0</v>
      </c>
      <c r="E16" s="19">
        <f>'B2B- Non Repair'!E11</f>
        <v>0</v>
      </c>
      <c r="F16" s="19">
        <f>'B2B- Non Repair'!F11</f>
        <v>0</v>
      </c>
      <c r="G16" s="19">
        <f>'B2B- Non Repair'!G11</f>
        <v>0</v>
      </c>
      <c r="H16" s="19">
        <f>'B2B- Non Repair'!H11</f>
        <v>0</v>
      </c>
      <c r="I16" s="19">
        <f>'B2B- Non Repair'!I11</f>
        <v>0</v>
      </c>
      <c r="J16" s="19">
        <f>'B2B- Non Repair'!J11</f>
        <v>0</v>
      </c>
      <c r="K16" s="19">
        <f>'B2B- Non Repair'!K11</f>
        <v>0</v>
      </c>
      <c r="L16" s="19">
        <f>'B2B- Non Repair'!L11</f>
        <v>0</v>
      </c>
      <c r="M16" s="19">
        <f>'B2B- Non Repair'!M11</f>
        <v>0</v>
      </c>
      <c r="N16" s="19">
        <f>'B2B- Non Repair'!N11</f>
        <v>0</v>
      </c>
      <c r="O16" s="19">
        <f>'B2B- Non Repair'!O11</f>
        <v>73665.555110246292</v>
      </c>
      <c r="P16" s="19">
        <f>'B2B- Non Repair'!P11</f>
        <v>18545.060390213701</v>
      </c>
      <c r="Q16" s="19">
        <f>'B2B- Non Repair'!Q11</f>
        <v>35350.413907284805</v>
      </c>
      <c r="R16" s="19">
        <f>'B2B- Non Repair'!R11</f>
        <v>313486.28900606331</v>
      </c>
      <c r="S16" s="19">
        <f>'B2B- Non Repair'!S11</f>
        <v>1159355.2106975713</v>
      </c>
      <c r="T16" s="19">
        <f>'B2B- Non Repair'!T11</f>
        <v>1898625.8744481485</v>
      </c>
      <c r="U16" s="19">
        <f>'B2B- Non Repair'!U11</f>
        <v>1537513.1401869159</v>
      </c>
      <c r="V16" s="19">
        <f>'B2B- Non Repair'!V11</f>
        <v>1643258.4994020648</v>
      </c>
      <c r="W16" s="19">
        <f>'B2B- Non Repair'!W11</f>
        <v>3134468.3339074668</v>
      </c>
      <c r="X16" s="19">
        <f>'B2B- Non Repair'!X11</f>
        <v>3493815.9042770294</v>
      </c>
      <c r="Y16" s="19">
        <f>'B2B- Non Repair'!Y11</f>
        <v>2214325.7156959665</v>
      </c>
      <c r="Z16" s="19">
        <f>'B2B- Non Repair'!Z11</f>
        <v>681691.8</v>
      </c>
      <c r="AA16" s="19">
        <f>'B2B- Non Repair'!AA11</f>
        <v>58689</v>
      </c>
      <c r="AB16" s="19">
        <f>'B2B- Non Repair'!AB11</f>
        <v>78042.060356272195</v>
      </c>
      <c r="AC16" s="19">
        <f>'B2B- Non Repair'!AC11</f>
        <v>302378.04553362168</v>
      </c>
      <c r="AD16" s="19">
        <f>'B2B- Non Repair'!AD11</f>
        <v>90474.929575727394</v>
      </c>
      <c r="AE16" s="19">
        <f>'B2B- Non Repair'!AE11</f>
        <v>203264.42760718707</v>
      </c>
      <c r="AF16" s="19">
        <f>'B2B- Non Repair'!AF11</f>
        <v>1361023.772482974</v>
      </c>
      <c r="AG16" s="19">
        <f>'B2B- Non Repair'!AG11</f>
        <v>2293737.3209034842</v>
      </c>
      <c r="AH16" s="19">
        <f>'B2B- Non Repair'!AH11</f>
        <v>2573237.3671421879</v>
      </c>
      <c r="AI16" s="19">
        <f>'B2B- Non Repair'!AI11</f>
        <v>2807816.9557540626</v>
      </c>
      <c r="AJ16" s="19">
        <f>'B2B- Non Repair'!AJ11</f>
        <v>3084430.9328800202</v>
      </c>
      <c r="AK16" s="19">
        <f>'B2B- Non Repair'!AK11</f>
        <v>3797965.7819819348</v>
      </c>
      <c r="AL16" s="19">
        <f>'B2B- Non Repair'!AL11</f>
        <v>4332916.3022988625</v>
      </c>
      <c r="AM16" s="19">
        <f>'B2B- Non Repair'!AM11</f>
        <v>3505842.2734151226</v>
      </c>
      <c r="AN16" s="19">
        <f>'B2B- Non Repair'!AN11</f>
        <v>4420191.4761746181</v>
      </c>
      <c r="AO16" s="19">
        <f>'B2B- Non Repair'!AO11</f>
        <v>8957793.5850175116</v>
      </c>
      <c r="AP16" s="19">
        <f>'B2B- Non Repair'!AP11</f>
        <v>13662088.430000007</v>
      </c>
      <c r="AQ16" s="19">
        <f>'B2B- Non Repair'!AQ11</f>
        <v>16041870.883829201</v>
      </c>
      <c r="AR16" s="19">
        <f>'B2B- Non Repair'!AR11</f>
        <v>25276687.029312592</v>
      </c>
      <c r="AS16" s="19">
        <f>'B2B- Non Repair'!AS11</f>
        <v>33122634.359999973</v>
      </c>
      <c r="AT16" s="19">
        <f>'B2B- Non Repair'!AT11</f>
        <v>23397431.130000014</v>
      </c>
      <c r="AU16" s="19">
        <f>'B2B- Non Repair'!AU11</f>
        <v>30706133.839999981</v>
      </c>
      <c r="AV16" s="19">
        <f>'B2B- Non Repair'!AV11</f>
        <v>32573536.390000001</v>
      </c>
      <c r="AW16" s="19">
        <f>'B2B- Non Repair'!AW11</f>
        <v>43288241</v>
      </c>
      <c r="AX16" s="19">
        <f>'B2B- Non Repair'!AX11</f>
        <v>50451902.1254289</v>
      </c>
      <c r="AY16" s="19">
        <f>'B2B- Non Repair'!AY11</f>
        <v>49613455.54999987</v>
      </c>
      <c r="AZ16" s="19">
        <f>'B2B- Non Repair'!AZ11</f>
        <v>64881764</v>
      </c>
      <c r="BA16" s="19">
        <f>'B2B- Non Repair'!BA11</f>
        <v>69152022.820000127</v>
      </c>
      <c r="BB16" s="19">
        <f>'B2B- Non Repair'!BB11</f>
        <v>64276477.298501514</v>
      </c>
      <c r="BC16" s="19">
        <f>'B2B- Non Repair'!BC11</f>
        <v>61835594.384117238</v>
      </c>
      <c r="BD16" s="19">
        <f>'B2B- Non Repair'!BD11</f>
        <v>53480847.653610654</v>
      </c>
      <c r="BE16" s="19">
        <f>'B2B- Non Repair'!BE11</f>
        <v>46389583.428452604</v>
      </c>
      <c r="BF16" s="19">
        <f>'B2B- Non Repair'!BF11</f>
        <v>53529111.448092893</v>
      </c>
      <c r="BG16" s="19">
        <f>'B2B- Non Repair'!BG11</f>
        <v>62969263.536532894</v>
      </c>
      <c r="BH16" s="19">
        <f>'B2B- Non Repair'!BH11</f>
        <v>57422683.442052104</v>
      </c>
      <c r="BI16" s="19">
        <f>'B2B- Non Repair'!BI11</f>
        <v>58090116.159317449</v>
      </c>
      <c r="BJ16" s="19">
        <f>'B2B- Non Repair'!BJ11</f>
        <v>62624254.548868529</v>
      </c>
      <c r="BK16" s="19">
        <f>'B2B- Non Repair'!BK11</f>
        <v>76536530.073409602</v>
      </c>
      <c r="BL16" s="19">
        <f>'B2B- Non Repair'!BL11</f>
        <v>72695280.012605667</v>
      </c>
      <c r="BM16" s="19">
        <f>'B2B- Non Repair'!BM11</f>
        <v>55695124.606233619</v>
      </c>
      <c r="BN16" s="19">
        <f>'B2B- Non Repair'!BN11</f>
        <v>60161071.245214261</v>
      </c>
      <c r="BO16" s="19">
        <f>'B2B- Non Repair'!BO11</f>
        <v>56566397.315295048</v>
      </c>
      <c r="BP16" s="19">
        <f>'B2B- Non Repair'!BP11</f>
        <v>50908459.997822702</v>
      </c>
      <c r="BQ16" s="19">
        <f>'B2B- Non Repair'!BQ11</f>
        <v>44811294.506559856</v>
      </c>
      <c r="BR16" s="19">
        <f>'B2B- Non Repair'!BR11</f>
        <v>33288316.730209462</v>
      </c>
      <c r="BS16" s="19">
        <f>'B2B- Non Repair'!BS11</f>
        <v>39380551.573994622</v>
      </c>
      <c r="BT16" s="19">
        <f>'B2B- Non Repair'!BT11</f>
        <v>38596506.723087728</v>
      </c>
      <c r="BU16" s="19">
        <f>'B2B- Non Repair'!BU11</f>
        <v>41539489.946336597</v>
      </c>
      <c r="BV16" s="19">
        <f>'B2B- Non Repair'!BV11</f>
        <v>35627347</v>
      </c>
      <c r="BW16" s="19">
        <f>'B2B- Non Repair'!BW11</f>
        <v>39027835.500370227</v>
      </c>
      <c r="BX16" s="19">
        <f>'B2B- Non Repair'!BX11</f>
        <v>41180205.942910641</v>
      </c>
      <c r="BY16" s="19">
        <f>'B2B- Non Repair'!BY11</f>
        <v>37820419.208812833</v>
      </c>
      <c r="BZ16" s="19">
        <f>'B2B- Non Repair'!BZ11</f>
        <v>38421604.25911478</v>
      </c>
      <c r="CA16" s="19">
        <f>'B2B- Non Repair'!CA11</f>
        <v>38540693.438424483</v>
      </c>
      <c r="CB16" s="19">
        <f>'B2B- Non Repair'!CB11</f>
        <v>41279369.345931023</v>
      </c>
      <c r="CC16" s="19">
        <f>'B2B- Non Repair'!CC11</f>
        <v>38500713.43899703</v>
      </c>
      <c r="CD16" s="19">
        <f>'B2B- Non Repair'!CD11</f>
        <v>35403929.256332912</v>
      </c>
      <c r="CE16" s="19">
        <f>'B2B- Non Repair'!CE11</f>
        <v>38563230.632933594</v>
      </c>
      <c r="CF16" s="19">
        <f>'B2B- Non Repair'!CF11</f>
        <v>34164575.13988106</v>
      </c>
      <c r="CG16" s="19">
        <f>'B2B- Non Repair'!CG11</f>
        <v>31083240.318292845</v>
      </c>
      <c r="CH16" s="19">
        <f>'B2B- Non Repair'!CH11</f>
        <v>38848188.580181628</v>
      </c>
      <c r="CI16" s="19">
        <f>'B2B- Non Repair'!CI11</f>
        <v>42290720.498826109</v>
      </c>
      <c r="CJ16" s="19">
        <f>'B2B- Non Repair'!CJ11</f>
        <v>42471519.808827765</v>
      </c>
      <c r="CK16" s="19">
        <f>'B2B- Non Repair'!CK11</f>
        <v>59153816.8189587</v>
      </c>
      <c r="CL16" s="19">
        <f>'B2B- Non Repair'!CL11</f>
        <v>47173607.499999985</v>
      </c>
      <c r="CM16" s="19">
        <f>'B2B- Non Repair'!CM11</f>
        <v>50244942.010000147</v>
      </c>
      <c r="CN16" s="19">
        <f>'B2B- Non Repair'!CN11</f>
        <v>40413838.730000041</v>
      </c>
      <c r="CO16" s="19">
        <f>'B2B- Non Repair'!CO11</f>
        <v>43646244.990000002</v>
      </c>
      <c r="CP16" s="19">
        <f>'B2B- Non Repair'!CP11</f>
        <v>43697575.960000008</v>
      </c>
      <c r="CQ16" s="19">
        <f>'B2B- Non Repair'!CQ11</f>
        <v>58062499.87000002</v>
      </c>
      <c r="CR16" s="19">
        <f>'B2B- Non Repair'!CR11</f>
        <v>58286668.16999989</v>
      </c>
      <c r="CS16" s="19">
        <f>'B2B- Non Repair'!CS11</f>
        <v>62612125.560000099</v>
      </c>
      <c r="CT16" s="19">
        <f>'B2B- Non Repair'!CT11</f>
        <v>66146253.839999892</v>
      </c>
      <c r="CU16" s="19">
        <f>'B2B- Non Repair'!CU11</f>
        <v>64717047.948710889</v>
      </c>
      <c r="CV16" s="19">
        <f>'B2B- Non Repair'!CV11</f>
        <v>67326439.780532792</v>
      </c>
      <c r="CW16" s="19">
        <f>'B2B- Non Repair'!CW11</f>
        <v>72154608.275245413</v>
      </c>
      <c r="CX16" s="19">
        <f>'B2B- Non Repair'!CX11</f>
        <v>70800219.985941783</v>
      </c>
      <c r="CY16" s="19">
        <f>'B2B- Non Repair'!CY11</f>
        <v>67585756.720467865</v>
      </c>
      <c r="CZ16" s="19">
        <f>'B2B- Non Repair'!CZ11</f>
        <v>57326890.781868108</v>
      </c>
      <c r="DA16" s="19">
        <f>'B2B- Non Repair'!DA11</f>
        <v>69033212.371463642</v>
      </c>
      <c r="DB16" s="19">
        <f>'B2B- Non Repair'!DB11</f>
        <v>80505310.100025788</v>
      </c>
      <c r="DC16" s="19">
        <f>'B2B- Non Repair'!DC11</f>
        <v>89326629.616936371</v>
      </c>
      <c r="DD16" s="19">
        <f>'B2B- Non Repair'!DD11</f>
        <v>87417785.788540617</v>
      </c>
      <c r="DE16" s="19">
        <f>'B2B- Non Repair'!DE11</f>
        <v>86460776.89276886</v>
      </c>
      <c r="DF16" s="19">
        <f>'B2B- Non Repair'!DF11</f>
        <v>84890750.366197318</v>
      </c>
      <c r="DG16" s="19">
        <f>'B2B- Non Repair'!DG11</f>
        <v>80896309.935888618</v>
      </c>
      <c r="DH16" s="19">
        <f>'B2B- Non Repair'!DH11</f>
        <v>84158049.725666016</v>
      </c>
      <c r="DI16" s="19">
        <f>'B2B- Non Repair'!DI11</f>
        <v>90193260.34405677</v>
      </c>
      <c r="DJ16" s="19">
        <f>'B2B- Non Repair'!DJ11</f>
        <v>88500274.98242721</v>
      </c>
      <c r="DK16" s="19">
        <f>'B2B- Non Repair'!DK11</f>
        <v>84482195.900584817</v>
      </c>
      <c r="DL16" s="19">
        <f>'B2B- Non Repair'!DL11</f>
        <v>71658613.47733514</v>
      </c>
      <c r="DM16" s="19">
        <f>'B2B- Non Repair'!DM11</f>
        <v>86291515.464329571</v>
      </c>
      <c r="DN16" s="19">
        <f>'B2B- Non Repair'!DN11</f>
        <v>100631637.62503223</v>
      </c>
      <c r="DO16" s="19">
        <f>'B2B- Non Repair'!DO11</f>
        <v>111658287.02117044</v>
      </c>
      <c r="DP16" s="19">
        <f>'B2B- Non Repair'!DP11</f>
        <v>109272232.23567575</v>
      </c>
      <c r="DQ16" s="19">
        <f>'B2B- Non Repair'!DQ11</f>
        <v>108075971.11596105</v>
      </c>
      <c r="DR16" s="19">
        <f>'B2B- Non Repair'!DR11</f>
        <v>106113437.9577466</v>
      </c>
      <c r="DS16" s="19">
        <f>'B2B- Non Repair'!DS11</f>
        <v>97075571.923066333</v>
      </c>
      <c r="DT16" s="19">
        <f>'B2B- Non Repair'!DT11</f>
        <v>100989659.67079923</v>
      </c>
      <c r="DU16" s="19">
        <f>'B2B- Non Repair'!DU11</f>
        <v>108231912.41286811</v>
      </c>
      <c r="DV16" s="19">
        <f>'B2B- Non Repair'!DV11</f>
        <v>106200329.97891265</v>
      </c>
      <c r="DW16" s="19">
        <f>'B2B- Non Repair'!DW11</f>
        <v>101378635.08070178</v>
      </c>
      <c r="DX16" s="19">
        <f>'B2B- Non Repair'!DX11</f>
        <v>85990336.172802135</v>
      </c>
      <c r="DY16" s="19">
        <f>'B2B- Non Repair'!DY11</f>
        <v>103549818.55719545</v>
      </c>
      <c r="DZ16" s="19">
        <f>'B2B- Non Repair'!DZ11</f>
        <v>120757965.15003867</v>
      </c>
      <c r="EA16" s="19">
        <f>'B2B- Non Repair'!EA11</f>
        <v>133989944.42540452</v>
      </c>
      <c r="EB16" s="19">
        <f>'B2B- Non Repair'!EB11</f>
        <v>131126678.68281089</v>
      </c>
      <c r="EC16" s="19">
        <f>'B2B- Non Repair'!EC11</f>
        <v>129691165.33915325</v>
      </c>
      <c r="ED16" s="19">
        <f>'B2B- Non Repair'!ED11</f>
        <v>127336125.5492959</v>
      </c>
      <c r="EE16" s="222"/>
      <c r="EF16" s="19">
        <f t="shared" si="51"/>
        <v>204926934.69224891</v>
      </c>
      <c r="EG16" s="19">
        <f t="shared" si="52"/>
        <v>167635928.55833203</v>
      </c>
      <c r="EH16" s="19">
        <f t="shared" si="53"/>
        <v>117480162.81076394</v>
      </c>
      <c r="EI16" s="19">
        <f t="shared" si="54"/>
        <v>115763343.66942433</v>
      </c>
      <c r="EJ16" s="19">
        <f t="shared" si="55"/>
        <v>118028460.65209371</v>
      </c>
      <c r="EK16" s="19">
        <f t="shared" si="56"/>
        <v>118241667.04347029</v>
      </c>
      <c r="EL16" s="19">
        <f t="shared" si="57"/>
        <v>112467873.32826352</v>
      </c>
      <c r="EM16" s="19">
        <f t="shared" si="58"/>
        <v>104096004.03835553</v>
      </c>
      <c r="EN16" s="19">
        <f t="shared" si="59"/>
        <v>143916057.12661257</v>
      </c>
      <c r="EO16" s="19">
        <f t="shared" si="60"/>
        <v>137832388.24000019</v>
      </c>
      <c r="EP16" s="19">
        <f t="shared" si="61"/>
        <v>145406320.82000005</v>
      </c>
      <c r="EQ16" s="19">
        <f t="shared" si="62"/>
        <v>187045047.56999987</v>
      </c>
      <c r="ER16" s="19">
        <f t="shared" si="63"/>
        <v>204198096.00448909</v>
      </c>
      <c r="ES16" s="19">
        <f t="shared" si="64"/>
        <v>195712867.48827773</v>
      </c>
      <c r="ET16" s="19">
        <f t="shared" si="65"/>
        <v>238865152.08842582</v>
      </c>
      <c r="EU16" s="19">
        <f t="shared" si="66"/>
        <v>258769313.04750678</v>
      </c>
      <c r="EV16" s="19">
        <f t="shared" si="67"/>
        <v>255247620.00561142</v>
      </c>
      <c r="EW16" s="19">
        <f t="shared" si="68"/>
        <v>244641084.36034715</v>
      </c>
      <c r="EX16" s="19">
        <f t="shared" si="69"/>
        <v>298581440.11053222</v>
      </c>
      <c r="EY16" s="19">
        <f t="shared" si="70"/>
        <v>323461641.30938339</v>
      </c>
      <c r="EZ16" s="19">
        <f t="shared" si="23"/>
        <v>306297144.00673366</v>
      </c>
      <c r="FA16" s="19">
        <f t="shared" si="24"/>
        <v>293569301.23241657</v>
      </c>
      <c r="FB16" s="19">
        <f t="shared" si="25"/>
        <v>358297728.13263869</v>
      </c>
      <c r="FC16" s="19">
        <f t="shared" si="26"/>
        <v>388153969.57126004</v>
      </c>
      <c r="FE16" s="19">
        <f t="shared" si="27"/>
        <v>605806369.73076916</v>
      </c>
      <c r="FF16" s="19">
        <f t="shared" si="28"/>
        <v>452834005.06218308</v>
      </c>
      <c r="FG16" s="19">
        <f t="shared" si="29"/>
        <v>614199813.75661278</v>
      </c>
      <c r="FH16" s="19">
        <f t="shared" si="30"/>
        <v>897545428.62869954</v>
      </c>
      <c r="FI16" s="19">
        <f t="shared" si="31"/>
        <v>1121931785.7858741</v>
      </c>
      <c r="FJ16" s="770">
        <f t="shared" si="32"/>
        <v>1346318142.943049</v>
      </c>
      <c r="FK16" s="545" t="s">
        <v>1</v>
      </c>
    </row>
    <row r="17" spans="2:167" x14ac:dyDescent="0.2">
      <c r="B17" s="225" t="s">
        <v>139</v>
      </c>
      <c r="C17" s="19">
        <f>Refurbished!C12</f>
        <v>300576.72000000003</v>
      </c>
      <c r="D17" s="19">
        <f>Refurbished!D12</f>
        <v>227209</v>
      </c>
      <c r="E17" s="19">
        <f>Refurbished!E12</f>
        <v>519222.19999999995</v>
      </c>
      <c r="F17" s="19">
        <f>Refurbished!F12</f>
        <v>643912.92000000016</v>
      </c>
      <c r="G17" s="19">
        <f>Refurbished!G12</f>
        <v>1657311.1800000002</v>
      </c>
      <c r="H17" s="19">
        <f>Refurbished!H12</f>
        <v>1519172.1300000004</v>
      </c>
      <c r="I17" s="19">
        <f>Refurbished!I12</f>
        <v>1077853.7999999998</v>
      </c>
      <c r="J17" s="19">
        <f>Refurbished!J12</f>
        <v>692513.06000000041</v>
      </c>
      <c r="K17" s="19">
        <f>Refurbished!K12</f>
        <v>829728.4099999998</v>
      </c>
      <c r="L17" s="19">
        <f>Refurbished!L12</f>
        <v>904574.21000000008</v>
      </c>
      <c r="M17" s="19">
        <f>Refurbished!M12</f>
        <v>1280125.8499999999</v>
      </c>
      <c r="N17" s="19">
        <f>Refurbished!N12</f>
        <v>996177.82</v>
      </c>
      <c r="O17" s="19">
        <f>Refurbished!O12</f>
        <v>1443258</v>
      </c>
      <c r="P17" s="19">
        <f>Refurbished!P12</f>
        <v>1207263</v>
      </c>
      <c r="Q17" s="19">
        <f>Refurbished!Q12</f>
        <v>2026646.5</v>
      </c>
      <c r="R17" s="19">
        <f>Refurbished!R12</f>
        <v>1431281.5</v>
      </c>
      <c r="S17" s="19">
        <f>Refurbished!S12</f>
        <v>815796</v>
      </c>
      <c r="T17" s="19">
        <f>Refurbished!T12</f>
        <v>5805574.7999999989</v>
      </c>
      <c r="U17" s="19">
        <f>Refurbished!U12</f>
        <v>1450066</v>
      </c>
      <c r="V17" s="19">
        <f>Refurbished!V12</f>
        <v>5062418</v>
      </c>
      <c r="W17" s="19">
        <f>Refurbished!W12</f>
        <v>1787770</v>
      </c>
      <c r="X17" s="19">
        <f>Refurbished!X12</f>
        <v>3545242</v>
      </c>
      <c r="Y17" s="19">
        <f>Refurbished!Y12</f>
        <v>23604350</v>
      </c>
      <c r="Z17" s="19">
        <f>Refurbished!Z12</f>
        <v>7592792</v>
      </c>
      <c r="AA17" s="19">
        <f>Refurbished!AA12</f>
        <v>5897380</v>
      </c>
      <c r="AB17" s="19">
        <f>Refurbished!AB12</f>
        <v>8064195</v>
      </c>
      <c r="AC17" s="19">
        <f>Refurbished!AC12</f>
        <v>10301083.465</v>
      </c>
      <c r="AD17" s="19">
        <f>Refurbished!AD12</f>
        <v>8495079</v>
      </c>
      <c r="AE17" s="19">
        <f>Refurbished!AE12</f>
        <v>8502326.1400000006</v>
      </c>
      <c r="AF17" s="19">
        <f>Refurbished!AF12</f>
        <v>7594498.0249999985</v>
      </c>
      <c r="AG17" s="19">
        <f>Refurbished!AG12</f>
        <v>10484657.025</v>
      </c>
      <c r="AH17" s="19">
        <f>Refurbished!AH12</f>
        <v>7652836</v>
      </c>
      <c r="AI17" s="19">
        <f>Refurbished!AI12</f>
        <v>13206909.000000004</v>
      </c>
      <c r="AJ17" s="19">
        <f>Refurbished!AJ12</f>
        <v>21109025.720000003</v>
      </c>
      <c r="AK17" s="19">
        <f>Refurbished!AK12</f>
        <v>20300262.829999998</v>
      </c>
      <c r="AL17" s="19">
        <f>Refurbished!AL12</f>
        <v>18597254.580000002</v>
      </c>
      <c r="AM17" s="19">
        <f>Refurbished!AM12</f>
        <v>12049062.439999959</v>
      </c>
      <c r="AN17" s="19">
        <f>Refurbished!AN12</f>
        <v>3754085.1599999974</v>
      </c>
      <c r="AO17" s="19">
        <f>Refurbished!AO12</f>
        <v>7044600.4699999541</v>
      </c>
      <c r="AP17" s="19">
        <f>Refurbished!AP12</f>
        <v>9549069.5299998708</v>
      </c>
      <c r="AQ17" s="19">
        <f>Refurbished!AQ12</f>
        <v>8199274.8299999163</v>
      </c>
      <c r="AR17" s="19">
        <f>Refurbished!AR12</f>
        <v>10303217.93000003</v>
      </c>
      <c r="AS17" s="19">
        <f>Refurbished!AS12</f>
        <v>14615323.16</v>
      </c>
      <c r="AT17" s="19">
        <f>Refurbished!AT12</f>
        <v>21436206.550000433</v>
      </c>
      <c r="AU17" s="19">
        <f>Refurbished!AU12</f>
        <v>38525061.250001684</v>
      </c>
      <c r="AV17" s="19">
        <f>Refurbished!AV12</f>
        <v>39249082.410000712</v>
      </c>
      <c r="AW17" s="19">
        <f>Refurbished!AW12</f>
        <v>36812270.539999999</v>
      </c>
      <c r="AX17" s="19">
        <f>Refurbished!AX12</f>
        <v>42344557.010000005</v>
      </c>
      <c r="AY17" s="19">
        <f>Refurbished!AY12</f>
        <v>29238657.259999957</v>
      </c>
      <c r="AZ17" s="19">
        <f>Refurbished!AZ12</f>
        <v>34868176.810000002</v>
      </c>
      <c r="BA17" s="19">
        <f>Refurbished!BA12</f>
        <v>44668827.500000075</v>
      </c>
      <c r="BB17" s="19">
        <f>Refurbished!BB12</f>
        <v>40869335.090000011</v>
      </c>
      <c r="BC17" s="19">
        <f>Refurbished!BC12</f>
        <v>41472809.060000017</v>
      </c>
      <c r="BD17" s="19">
        <f>Refurbished!BD12</f>
        <v>47483967.630516075</v>
      </c>
      <c r="BE17" s="19">
        <f>Refurbished!BE12</f>
        <v>45827726.752288297</v>
      </c>
      <c r="BF17" s="19">
        <f>Refurbished!BF12</f>
        <v>51805074.385155916</v>
      </c>
      <c r="BG17" s="19">
        <f>Refurbished!BG12</f>
        <v>59551320.649179906</v>
      </c>
      <c r="BH17" s="19">
        <f>Refurbished!BH12</f>
        <v>48278165.917646259</v>
      </c>
      <c r="BI17" s="19">
        <f>Refurbished!BI12</f>
        <v>51279622.490072533</v>
      </c>
      <c r="BJ17" s="19">
        <f>Refurbished!BJ12</f>
        <v>99330587.275814652</v>
      </c>
      <c r="BK17" s="19">
        <f>Refurbished!BK12</f>
        <v>95376349.992900372</v>
      </c>
      <c r="BL17" s="19">
        <f>Refurbished!BL12</f>
        <v>90082947.678300813</v>
      </c>
      <c r="BM17" s="19">
        <f>Refurbished!BM12</f>
        <v>87611730.276797026</v>
      </c>
      <c r="BN17" s="19">
        <f>Refurbished!BN12</f>
        <v>109568631.17595091</v>
      </c>
      <c r="BO17" s="19">
        <f>Refurbished!BO12</f>
        <v>89133345.269313782</v>
      </c>
      <c r="BP17" s="19">
        <f>Refurbished!BP12</f>
        <v>104317748.9918319</v>
      </c>
      <c r="BQ17" s="19">
        <f>Refurbished!BQ12</f>
        <v>138460963.86354882</v>
      </c>
      <c r="BR17" s="19">
        <f>Refurbished!BR12</f>
        <v>109312897.50675723</v>
      </c>
      <c r="BS17" s="19">
        <f>Refurbished!BS12</f>
        <v>89267196.428047895</v>
      </c>
      <c r="BT17" s="19">
        <f>Refurbished!BT12</f>
        <v>88093876.119170815</v>
      </c>
      <c r="BU17" s="19">
        <f>Refurbished!BU12</f>
        <v>97479133.107285291</v>
      </c>
      <c r="BV17" s="19">
        <f>Refurbished!BV12</f>
        <v>85441354</v>
      </c>
      <c r="BW17" s="19">
        <f>Refurbished!BW12</f>
        <v>91940677.751354694</v>
      </c>
      <c r="BX17" s="19">
        <f>Refurbished!BX12</f>
        <v>95640491.405642226</v>
      </c>
      <c r="BY17" s="19">
        <f>Refurbished!BY12</f>
        <v>93063873.205165997</v>
      </c>
      <c r="BZ17" s="19">
        <f>Refurbished!BZ12</f>
        <v>103681103.13813129</v>
      </c>
      <c r="CA17" s="19">
        <f>Refurbished!CA12</f>
        <v>104504801.55564009</v>
      </c>
      <c r="CB17" s="19">
        <f>Refurbished!CB12</f>
        <v>108210443.88452756</v>
      </c>
      <c r="CC17" s="19">
        <f>Refurbished!CC12</f>
        <v>88093876.11917071</v>
      </c>
      <c r="CD17" s="19">
        <f>Refurbished!CD12</f>
        <v>101930644.89918889</v>
      </c>
      <c r="CE17" s="19">
        <f>Refurbished!CE12</f>
        <v>102235813.80282018</v>
      </c>
      <c r="CF17" s="19">
        <f>Refurbished!CF12</f>
        <v>124656022.08114298</v>
      </c>
      <c r="CG17" s="19">
        <f>Refurbished!CG12</f>
        <v>123344675.2089007</v>
      </c>
      <c r="CH17" s="19">
        <f>Refurbished!CH12</f>
        <v>161946818.61658451</v>
      </c>
      <c r="CI17" s="19">
        <f>Refurbished!CI12</f>
        <v>172770802.51456568</v>
      </c>
      <c r="CJ17" s="19">
        <f>Refurbished!CJ12</f>
        <v>171567935.1510244</v>
      </c>
      <c r="CK17" s="19">
        <f>Refurbished!CK12</f>
        <v>165895860.36024129</v>
      </c>
      <c r="CL17" s="19">
        <f>Refurbished!CL12</f>
        <v>163462349.83000067</v>
      </c>
      <c r="CM17" s="19">
        <f>Refurbished!CM12</f>
        <v>152734386.86000088</v>
      </c>
      <c r="CN17" s="19">
        <f>Refurbished!CN12</f>
        <v>101338885.56000051</v>
      </c>
      <c r="CO17" s="19">
        <f>Refurbished!CO12</f>
        <v>165170311.65999991</v>
      </c>
      <c r="CP17" s="19">
        <f>Refurbished!CP12</f>
        <v>153469309.62999991</v>
      </c>
      <c r="CQ17" s="19">
        <f>Refurbished!CQ12</f>
        <v>167364159.0000003</v>
      </c>
      <c r="CR17" s="19">
        <f>Refurbished!CR12</f>
        <v>181777791.78999978</v>
      </c>
      <c r="CS17" s="19">
        <f>Refurbished!CS12</f>
        <v>165015783.07999915</v>
      </c>
      <c r="CT17" s="19">
        <f>Refurbished!CT12</f>
        <v>177105199.03999996</v>
      </c>
      <c r="CU17" s="19">
        <f>Refurbished!CU12</f>
        <v>176459546.16177529</v>
      </c>
      <c r="CV17" s="19">
        <f>Refurbished!CV12</f>
        <v>176278068.77614531</v>
      </c>
      <c r="CW17" s="19">
        <f>Refurbished!CW12</f>
        <v>175999293.44860607</v>
      </c>
      <c r="CX17" s="19">
        <f>Refurbished!CX12</f>
        <v>182951408.77043414</v>
      </c>
      <c r="CY17" s="19">
        <f>Refurbished!CY12</f>
        <v>168708958.06444505</v>
      </c>
      <c r="CZ17" s="19">
        <f>Refurbished!CZ12</f>
        <v>174903352.70607361</v>
      </c>
      <c r="DA17" s="19">
        <f>Refurbished!DA12</f>
        <v>185434483.62590382</v>
      </c>
      <c r="DB17" s="19">
        <f>Refurbished!DB12</f>
        <v>180081514.24923909</v>
      </c>
      <c r="DC17" s="19">
        <f>Refurbished!DC12</f>
        <v>219774962.09189212</v>
      </c>
      <c r="DD17" s="19">
        <f>Refurbished!DD12</f>
        <v>233097435.53345221</v>
      </c>
      <c r="DE17" s="19">
        <f>Refurbished!DE12</f>
        <v>204736756.22377938</v>
      </c>
      <c r="DF17" s="19">
        <f>Refurbished!DF12</f>
        <v>227679108.99869496</v>
      </c>
      <c r="DG17" s="19">
        <f>Refurbished!DG12</f>
        <v>209412565.59367102</v>
      </c>
      <c r="DH17" s="19">
        <f>Refurbished!DH12</f>
        <v>209373868.64912128</v>
      </c>
      <c r="DI17" s="19">
        <f>Refurbished!DI12</f>
        <v>208689087.00946009</v>
      </c>
      <c r="DJ17" s="19">
        <f>Refurbished!DJ12</f>
        <v>216872306.02422389</v>
      </c>
      <c r="DK17" s="19">
        <f>Refurbished!DK12</f>
        <v>199890494.86384347</v>
      </c>
      <c r="DL17" s="19">
        <f>Refurbished!DL12</f>
        <v>207113283.06537876</v>
      </c>
      <c r="DM17" s="19">
        <f>Refurbished!DM12</f>
        <v>219233380.07159263</v>
      </c>
      <c r="DN17" s="19">
        <f>Refurbished!DN12</f>
        <v>212596356.46916717</v>
      </c>
      <c r="DO17" s="19">
        <f>Refurbished!DO12</f>
        <v>259107932.20563453</v>
      </c>
      <c r="DP17" s="19">
        <f>Refurbished!DP12</f>
        <v>274494401.05760163</v>
      </c>
      <c r="DQ17" s="19">
        <f>Refurbished!DQ12</f>
        <v>240666087.06039596</v>
      </c>
      <c r="DR17" s="19">
        <f>Refurbished!DR12</f>
        <v>266449989.07480702</v>
      </c>
      <c r="DS17" s="19">
        <f>Refurbished!DS12</f>
        <v>245138964.80726022</v>
      </c>
      <c r="DT17" s="19">
        <f>Refurbished!DT12</f>
        <v>245081823.29780442</v>
      </c>
      <c r="DU17" s="19">
        <f>Refurbished!DU12</f>
        <v>244249269.81231987</v>
      </c>
      <c r="DV17" s="19">
        <f>Refurbished!DV12</f>
        <v>253632682.97266656</v>
      </c>
      <c r="DW17" s="19">
        <f>Refurbished!DW12</f>
        <v>233835514.93819737</v>
      </c>
      <c r="DX17" s="19">
        <f>Refurbished!DX12</f>
        <v>242552550.51193663</v>
      </c>
      <c r="DY17" s="19">
        <f>Refurbished!DY12</f>
        <v>256144760.69944212</v>
      </c>
      <c r="DZ17" s="19">
        <f>Refurbished!DZ12</f>
        <v>248561426.92859727</v>
      </c>
      <c r="EA17" s="19">
        <f>Refurbished!EA12</f>
        <v>302974044.34027684</v>
      </c>
      <c r="EB17" s="19">
        <f>Refurbished!EB12</f>
        <v>321088663.47405481</v>
      </c>
      <c r="EC17" s="19">
        <f>Refurbished!EC12</f>
        <v>281297193.05466247</v>
      </c>
      <c r="ED17" s="19">
        <f>Refurbished!ED12</f>
        <v>311201069.68505692</v>
      </c>
      <c r="EE17" s="222"/>
      <c r="EF17" s="19">
        <f t="shared" si="51"/>
        <v>273071027.94799817</v>
      </c>
      <c r="EG17" s="19">
        <f t="shared" si="52"/>
        <v>303019725.4370966</v>
      </c>
      <c r="EH17" s="19">
        <f t="shared" si="53"/>
        <v>337041057.79835391</v>
      </c>
      <c r="EI17" s="19">
        <f t="shared" si="54"/>
        <v>271014363.22645611</v>
      </c>
      <c r="EJ17" s="19">
        <f t="shared" si="55"/>
        <v>280645042.36216289</v>
      </c>
      <c r="EK17" s="19">
        <f t="shared" si="56"/>
        <v>316396348.57829893</v>
      </c>
      <c r="EL17" s="19">
        <f t="shared" si="57"/>
        <v>292260334.82117975</v>
      </c>
      <c r="EM17" s="19">
        <f t="shared" si="58"/>
        <v>409947515.90662819</v>
      </c>
      <c r="EN17" s="19">
        <f t="shared" si="59"/>
        <v>510234598.02583134</v>
      </c>
      <c r="EO17" s="19">
        <f t="shared" si="60"/>
        <v>417535622.25000203</v>
      </c>
      <c r="EP17" s="19">
        <f t="shared" si="61"/>
        <v>486003780.29000014</v>
      </c>
      <c r="EQ17" s="19">
        <f t="shared" si="62"/>
        <v>523898773.90999889</v>
      </c>
      <c r="ER17" s="19">
        <f t="shared" si="63"/>
        <v>528736908.38652664</v>
      </c>
      <c r="ES17" s="19">
        <f t="shared" si="64"/>
        <v>526563719.5409528</v>
      </c>
      <c r="ET17" s="19">
        <f t="shared" si="65"/>
        <v>585290959.96703506</v>
      </c>
      <c r="EU17" s="19">
        <f t="shared" si="66"/>
        <v>665513300.75592661</v>
      </c>
      <c r="EV17" s="19">
        <f t="shared" si="67"/>
        <v>627475521.25225234</v>
      </c>
      <c r="EW17" s="19">
        <f t="shared" si="68"/>
        <v>623876083.95344615</v>
      </c>
      <c r="EX17" s="19">
        <f t="shared" si="69"/>
        <v>690937668.7463944</v>
      </c>
      <c r="EY17" s="19">
        <f t="shared" si="70"/>
        <v>781610477.19280457</v>
      </c>
      <c r="EZ17" s="19">
        <f t="shared" si="23"/>
        <v>734470057.91738451</v>
      </c>
      <c r="FA17" s="19">
        <f t="shared" si="24"/>
        <v>730020748.42280054</v>
      </c>
      <c r="FB17" s="19">
        <f t="shared" si="25"/>
        <v>807680231.9683162</v>
      </c>
      <c r="FC17" s="19">
        <f t="shared" si="26"/>
        <v>913586926.2137742</v>
      </c>
      <c r="FE17" s="19">
        <f t="shared" si="27"/>
        <v>1184146174.4099047</v>
      </c>
      <c r="FF17" s="19">
        <f t="shared" si="28"/>
        <v>1299249241.6682699</v>
      </c>
      <c r="FG17" s="19">
        <f t="shared" si="29"/>
        <v>1937672774.4758325</v>
      </c>
      <c r="FH17" s="19">
        <f t="shared" si="30"/>
        <v>2306104888.6504412</v>
      </c>
      <c r="FI17" s="19">
        <f t="shared" si="31"/>
        <v>2723899751.1448975</v>
      </c>
      <c r="FJ17" s="770">
        <f t="shared" si="32"/>
        <v>3185757964.5222754</v>
      </c>
      <c r="FK17" s="545" t="s">
        <v>1</v>
      </c>
    </row>
    <row r="18" spans="2:167" x14ac:dyDescent="0.2">
      <c r="B18" s="225" t="s">
        <v>309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222"/>
      <c r="EF18" s="19">
        <f t="shared" si="51"/>
        <v>0</v>
      </c>
      <c r="EG18" s="19">
        <f t="shared" si="52"/>
        <v>0</v>
      </c>
      <c r="EH18" s="19">
        <f t="shared" si="53"/>
        <v>0</v>
      </c>
      <c r="EI18" s="19">
        <f t="shared" si="54"/>
        <v>0</v>
      </c>
      <c r="EJ18" s="19">
        <f t="shared" si="55"/>
        <v>0</v>
      </c>
      <c r="EK18" s="19">
        <f t="shared" si="56"/>
        <v>0</v>
      </c>
      <c r="EL18" s="19">
        <f t="shared" si="57"/>
        <v>0</v>
      </c>
      <c r="EM18" s="19">
        <f t="shared" si="58"/>
        <v>0</v>
      </c>
      <c r="EN18" s="19">
        <f t="shared" si="59"/>
        <v>0</v>
      </c>
      <c r="EO18" s="19">
        <f t="shared" si="60"/>
        <v>0</v>
      </c>
      <c r="EP18" s="19">
        <f t="shared" si="61"/>
        <v>0</v>
      </c>
      <c r="EQ18" s="19">
        <f t="shared" si="62"/>
        <v>0</v>
      </c>
      <c r="ER18" s="19">
        <f t="shared" si="63"/>
        <v>0</v>
      </c>
      <c r="ES18" s="19">
        <f t="shared" si="64"/>
        <v>0</v>
      </c>
      <c r="ET18" s="19">
        <f t="shared" si="65"/>
        <v>0</v>
      </c>
      <c r="EU18" s="19">
        <f t="shared" si="66"/>
        <v>0</v>
      </c>
      <c r="EV18" s="19">
        <f t="shared" si="67"/>
        <v>0</v>
      </c>
      <c r="EW18" s="19">
        <f t="shared" si="68"/>
        <v>0</v>
      </c>
      <c r="EX18" s="19">
        <f t="shared" si="69"/>
        <v>0</v>
      </c>
      <c r="EY18" s="19">
        <f t="shared" si="70"/>
        <v>0</v>
      </c>
      <c r="EZ18" s="19">
        <f t="shared" si="23"/>
        <v>0</v>
      </c>
      <c r="FA18" s="19">
        <f t="shared" si="24"/>
        <v>0</v>
      </c>
      <c r="FB18" s="19">
        <f t="shared" si="25"/>
        <v>0</v>
      </c>
      <c r="FC18" s="19">
        <f t="shared" si="26"/>
        <v>0</v>
      </c>
      <c r="FE18" s="19">
        <f t="shared" si="27"/>
        <v>0</v>
      </c>
      <c r="FF18" s="19">
        <f t="shared" si="28"/>
        <v>0</v>
      </c>
      <c r="FG18" s="19">
        <f t="shared" si="29"/>
        <v>0</v>
      </c>
      <c r="FH18" s="19">
        <f t="shared" si="30"/>
        <v>0</v>
      </c>
      <c r="FI18" s="19">
        <f t="shared" si="31"/>
        <v>0</v>
      </c>
      <c r="FJ18" s="770">
        <f t="shared" si="32"/>
        <v>0</v>
      </c>
      <c r="FK18" s="545" t="s">
        <v>1</v>
      </c>
    </row>
    <row r="19" spans="2:167" x14ac:dyDescent="0.2">
      <c r="B19" s="225" t="s">
        <v>310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222"/>
      <c r="EF19" s="19">
        <f t="shared" si="51"/>
        <v>0</v>
      </c>
      <c r="EG19" s="19">
        <f t="shared" si="52"/>
        <v>0</v>
      </c>
      <c r="EH19" s="19">
        <f t="shared" si="53"/>
        <v>0</v>
      </c>
      <c r="EI19" s="19">
        <f t="shared" si="54"/>
        <v>0</v>
      </c>
      <c r="EJ19" s="19">
        <f t="shared" si="55"/>
        <v>0</v>
      </c>
      <c r="EK19" s="19">
        <f t="shared" si="56"/>
        <v>0</v>
      </c>
      <c r="EL19" s="19">
        <f t="shared" si="57"/>
        <v>0</v>
      </c>
      <c r="EM19" s="19">
        <f t="shared" si="58"/>
        <v>0</v>
      </c>
      <c r="EN19" s="19">
        <f t="shared" si="59"/>
        <v>0</v>
      </c>
      <c r="EO19" s="19">
        <f t="shared" si="60"/>
        <v>0</v>
      </c>
      <c r="EP19" s="19">
        <f t="shared" si="61"/>
        <v>0</v>
      </c>
      <c r="EQ19" s="19">
        <f t="shared" si="62"/>
        <v>0</v>
      </c>
      <c r="ER19" s="19">
        <f t="shared" si="63"/>
        <v>0</v>
      </c>
      <c r="ES19" s="19">
        <f t="shared" si="64"/>
        <v>0</v>
      </c>
      <c r="ET19" s="19">
        <f t="shared" si="65"/>
        <v>0</v>
      </c>
      <c r="EU19" s="19">
        <f t="shared" si="66"/>
        <v>0</v>
      </c>
      <c r="EV19" s="19">
        <f t="shared" si="67"/>
        <v>0</v>
      </c>
      <c r="EW19" s="19">
        <f t="shared" si="68"/>
        <v>0</v>
      </c>
      <c r="EX19" s="19">
        <f t="shared" si="69"/>
        <v>0</v>
      </c>
      <c r="EY19" s="19">
        <f t="shared" si="70"/>
        <v>0</v>
      </c>
      <c r="EZ19" s="19">
        <f t="shared" si="23"/>
        <v>0</v>
      </c>
      <c r="FA19" s="19">
        <f t="shared" si="24"/>
        <v>0</v>
      </c>
      <c r="FB19" s="19">
        <f t="shared" si="25"/>
        <v>0</v>
      </c>
      <c r="FC19" s="19">
        <f t="shared" si="26"/>
        <v>0</v>
      </c>
      <c r="FE19" s="19">
        <f t="shared" si="27"/>
        <v>0</v>
      </c>
      <c r="FF19" s="19">
        <f t="shared" si="28"/>
        <v>0</v>
      </c>
      <c r="FG19" s="19">
        <f t="shared" si="29"/>
        <v>0</v>
      </c>
      <c r="FH19" s="19">
        <f t="shared" si="30"/>
        <v>0</v>
      </c>
      <c r="FI19" s="19">
        <f t="shared" si="31"/>
        <v>0</v>
      </c>
      <c r="FJ19" s="770">
        <f t="shared" si="32"/>
        <v>0</v>
      </c>
      <c r="FK19" s="545" t="s">
        <v>1</v>
      </c>
    </row>
    <row r="20" spans="2:167" x14ac:dyDescent="0.2">
      <c r="B20" s="225" t="s">
        <v>311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222"/>
      <c r="EF20" s="19">
        <f t="shared" si="51"/>
        <v>0</v>
      </c>
      <c r="EG20" s="19">
        <f t="shared" si="52"/>
        <v>0</v>
      </c>
      <c r="EH20" s="19">
        <f t="shared" si="53"/>
        <v>0</v>
      </c>
      <c r="EI20" s="19">
        <f t="shared" si="54"/>
        <v>0</v>
      </c>
      <c r="EJ20" s="19">
        <f t="shared" si="55"/>
        <v>0</v>
      </c>
      <c r="EK20" s="19">
        <f t="shared" si="56"/>
        <v>0</v>
      </c>
      <c r="EL20" s="19">
        <f t="shared" si="57"/>
        <v>0</v>
      </c>
      <c r="EM20" s="19">
        <f t="shared" si="58"/>
        <v>0</v>
      </c>
      <c r="EN20" s="19">
        <f t="shared" si="59"/>
        <v>0</v>
      </c>
      <c r="EO20" s="19">
        <f t="shared" si="60"/>
        <v>0</v>
      </c>
      <c r="EP20" s="19">
        <f t="shared" si="61"/>
        <v>0</v>
      </c>
      <c r="EQ20" s="19">
        <f t="shared" si="62"/>
        <v>0</v>
      </c>
      <c r="ER20" s="19">
        <f t="shared" si="63"/>
        <v>0</v>
      </c>
      <c r="ES20" s="19">
        <f t="shared" si="64"/>
        <v>0</v>
      </c>
      <c r="ET20" s="19">
        <f t="shared" si="65"/>
        <v>0</v>
      </c>
      <c r="EU20" s="19">
        <f t="shared" si="66"/>
        <v>0</v>
      </c>
      <c r="EV20" s="19">
        <f t="shared" si="67"/>
        <v>0</v>
      </c>
      <c r="EW20" s="19">
        <f t="shared" si="68"/>
        <v>0</v>
      </c>
      <c r="EX20" s="19">
        <f t="shared" si="69"/>
        <v>0</v>
      </c>
      <c r="EY20" s="19">
        <f t="shared" si="70"/>
        <v>0</v>
      </c>
      <c r="EZ20" s="19">
        <f t="shared" si="23"/>
        <v>0</v>
      </c>
      <c r="FA20" s="19">
        <f t="shared" si="24"/>
        <v>0</v>
      </c>
      <c r="FB20" s="19">
        <f t="shared" si="25"/>
        <v>0</v>
      </c>
      <c r="FC20" s="19">
        <f t="shared" si="26"/>
        <v>0</v>
      </c>
      <c r="FE20" s="19">
        <f t="shared" si="27"/>
        <v>0</v>
      </c>
      <c r="FF20" s="19">
        <f t="shared" si="28"/>
        <v>0</v>
      </c>
      <c r="FG20" s="19">
        <f t="shared" si="29"/>
        <v>0</v>
      </c>
      <c r="FH20" s="19">
        <f t="shared" si="30"/>
        <v>0</v>
      </c>
      <c r="FI20" s="19">
        <f t="shared" si="31"/>
        <v>0</v>
      </c>
      <c r="FJ20" s="770">
        <f t="shared" si="32"/>
        <v>0</v>
      </c>
      <c r="FK20" s="545" t="s">
        <v>1</v>
      </c>
    </row>
    <row r="21" spans="2:167" x14ac:dyDescent="0.2">
      <c r="B21" s="225" t="s">
        <v>191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222"/>
      <c r="EF21" s="19">
        <f t="shared" si="51"/>
        <v>0</v>
      </c>
      <c r="EG21" s="19">
        <f t="shared" si="52"/>
        <v>0</v>
      </c>
      <c r="EH21" s="19">
        <f t="shared" si="53"/>
        <v>0</v>
      </c>
      <c r="EI21" s="19">
        <f t="shared" si="54"/>
        <v>0</v>
      </c>
      <c r="EJ21" s="19">
        <f t="shared" si="55"/>
        <v>0</v>
      </c>
      <c r="EK21" s="19">
        <f t="shared" si="56"/>
        <v>0</v>
      </c>
      <c r="EL21" s="19">
        <f t="shared" si="57"/>
        <v>0</v>
      </c>
      <c r="EM21" s="19">
        <f t="shared" si="58"/>
        <v>0</v>
      </c>
      <c r="EN21" s="19">
        <f t="shared" si="59"/>
        <v>0</v>
      </c>
      <c r="EO21" s="19">
        <f t="shared" si="60"/>
        <v>0</v>
      </c>
      <c r="EP21" s="19">
        <f t="shared" si="61"/>
        <v>0</v>
      </c>
      <c r="EQ21" s="19">
        <f t="shared" si="62"/>
        <v>0</v>
      </c>
      <c r="ER21" s="19">
        <f t="shared" si="63"/>
        <v>0</v>
      </c>
      <c r="ES21" s="19">
        <f t="shared" si="64"/>
        <v>0</v>
      </c>
      <c r="ET21" s="19">
        <f t="shared" si="65"/>
        <v>0</v>
      </c>
      <c r="EU21" s="19">
        <f t="shared" si="66"/>
        <v>0</v>
      </c>
      <c r="EV21" s="19">
        <f t="shared" si="67"/>
        <v>0</v>
      </c>
      <c r="EW21" s="19">
        <f t="shared" si="68"/>
        <v>0</v>
      </c>
      <c r="EX21" s="19">
        <f t="shared" si="69"/>
        <v>0</v>
      </c>
      <c r="EY21" s="19">
        <f t="shared" si="70"/>
        <v>0</v>
      </c>
      <c r="EZ21" s="19">
        <f t="shared" si="23"/>
        <v>0</v>
      </c>
      <c r="FA21" s="19">
        <f t="shared" si="24"/>
        <v>0</v>
      </c>
      <c r="FB21" s="19">
        <f t="shared" si="25"/>
        <v>0</v>
      </c>
      <c r="FC21" s="19">
        <f t="shared" si="26"/>
        <v>0</v>
      </c>
      <c r="FE21" s="19">
        <f t="shared" si="27"/>
        <v>0</v>
      </c>
      <c r="FF21" s="19">
        <f t="shared" si="28"/>
        <v>0</v>
      </c>
      <c r="FG21" s="19">
        <f t="shared" si="29"/>
        <v>0</v>
      </c>
      <c r="FH21" s="19">
        <f t="shared" si="30"/>
        <v>0</v>
      </c>
      <c r="FI21" s="19">
        <f t="shared" si="31"/>
        <v>0</v>
      </c>
      <c r="FJ21" s="770">
        <f t="shared" si="32"/>
        <v>0</v>
      </c>
      <c r="FK21" s="545" t="s">
        <v>1</v>
      </c>
    </row>
    <row r="22" spans="2:167" x14ac:dyDescent="0.2">
      <c r="B22" s="225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222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E22" s="19"/>
      <c r="FF22" s="19"/>
      <c r="FG22" s="19"/>
      <c r="FH22" s="19"/>
      <c r="FI22" s="19"/>
      <c r="FJ22" s="770"/>
      <c r="FK22" s="545"/>
    </row>
    <row r="23" spans="2:167" x14ac:dyDescent="0.2">
      <c r="B23" s="225" t="s">
        <v>304</v>
      </c>
      <c r="C23" s="19">
        <f>'B2B- Non Repair'!C15</f>
        <v>0</v>
      </c>
      <c r="D23" s="19">
        <f>'B2B- Non Repair'!D15</f>
        <v>0</v>
      </c>
      <c r="E23" s="19">
        <f>'B2B- Non Repair'!E15</f>
        <v>0</v>
      </c>
      <c r="F23" s="19">
        <f>'B2B- Non Repair'!F15</f>
        <v>0</v>
      </c>
      <c r="G23" s="19">
        <f>'B2B- Non Repair'!G15</f>
        <v>0</v>
      </c>
      <c r="H23" s="19">
        <f>'B2B- Non Repair'!H15</f>
        <v>0</v>
      </c>
      <c r="I23" s="19">
        <f>'B2B- Non Repair'!I15</f>
        <v>0</v>
      </c>
      <c r="J23" s="19">
        <f>'B2B- Non Repair'!J15</f>
        <v>0</v>
      </c>
      <c r="K23" s="19">
        <f>'B2B- Non Repair'!K15</f>
        <v>0</v>
      </c>
      <c r="L23" s="19">
        <f>'B2B- Non Repair'!L15</f>
        <v>0</v>
      </c>
      <c r="M23" s="19">
        <f>'B2B- Non Repair'!M15</f>
        <v>0</v>
      </c>
      <c r="N23" s="19">
        <f>'B2B- Non Repair'!N15</f>
        <v>0</v>
      </c>
      <c r="O23" s="19">
        <f>'B2B- Non Repair'!O15</f>
        <v>9</v>
      </c>
      <c r="P23" s="19">
        <f>'B2B- Non Repair'!P15</f>
        <v>1</v>
      </c>
      <c r="Q23" s="19">
        <f>'B2B- Non Repair'!Q15</f>
        <v>4</v>
      </c>
      <c r="R23" s="19">
        <f>'B2B- Non Repair'!R15</f>
        <v>31</v>
      </c>
      <c r="S23" s="19">
        <f>'B2B- Non Repair'!S15</f>
        <v>137</v>
      </c>
      <c r="T23" s="19">
        <f>'B2B- Non Repair'!T15</f>
        <v>193</v>
      </c>
      <c r="U23" s="19">
        <f>'B2B- Non Repair'!U15</f>
        <v>159</v>
      </c>
      <c r="V23" s="19">
        <f>'B2B- Non Repair'!V15</f>
        <v>148</v>
      </c>
      <c r="W23" s="19">
        <f>'B2B- Non Repair'!W15</f>
        <v>325</v>
      </c>
      <c r="X23" s="19">
        <f>'B2B- Non Repair'!X15</f>
        <v>451</v>
      </c>
      <c r="Y23" s="19">
        <f>'B2B- Non Repair'!Y15</f>
        <v>337</v>
      </c>
      <c r="Z23" s="19">
        <f>'B2B- Non Repair'!Z15</f>
        <v>109</v>
      </c>
      <c r="AA23" s="19">
        <f>'B2B- Non Repair'!AA15</f>
        <v>9</v>
      </c>
      <c r="AB23" s="19">
        <f>'B2B- Non Repair'!AB15</f>
        <v>1</v>
      </c>
      <c r="AC23" s="19">
        <f>'B2B- Non Repair'!AC15</f>
        <v>42</v>
      </c>
      <c r="AD23" s="19">
        <f>'B2B- Non Repair'!AD15</f>
        <v>9</v>
      </c>
      <c r="AE23" s="19">
        <f>'B2B- Non Repair'!AE15</f>
        <v>41</v>
      </c>
      <c r="AF23" s="19">
        <f>'B2B- Non Repair'!AF15</f>
        <v>163</v>
      </c>
      <c r="AG23" s="19">
        <f>'B2B- Non Repair'!AG15</f>
        <v>338</v>
      </c>
      <c r="AH23" s="19">
        <f>'B2B- Non Repair'!AH15</f>
        <v>440</v>
      </c>
      <c r="AI23" s="19">
        <f>'B2B- Non Repair'!AI15</f>
        <v>464</v>
      </c>
      <c r="AJ23" s="19">
        <f>'B2B- Non Repair'!AJ15</f>
        <v>386</v>
      </c>
      <c r="AK23" s="19">
        <f>'B2B- Non Repair'!AK15</f>
        <v>487</v>
      </c>
      <c r="AL23" s="19">
        <f>'B2B- Non Repair'!AL15</f>
        <v>544</v>
      </c>
      <c r="AM23" s="19">
        <f>'B2B- Non Repair'!AM15</f>
        <v>529</v>
      </c>
      <c r="AN23" s="19">
        <f>'B2B- Non Repair'!AN15</f>
        <v>751</v>
      </c>
      <c r="AO23" s="19">
        <f>'B2B- Non Repair'!AO15</f>
        <v>1454</v>
      </c>
      <c r="AP23" s="19">
        <f>'B2B- Non Repair'!AP15</f>
        <v>2406</v>
      </c>
      <c r="AQ23" s="19">
        <f>'B2B- Non Repair'!AQ15</f>
        <v>3125</v>
      </c>
      <c r="AR23" s="19">
        <f>'B2B- Non Repair'!AR15</f>
        <v>4565</v>
      </c>
      <c r="AS23" s="19">
        <f>'B2B- Non Repair'!AS15</f>
        <v>5997</v>
      </c>
      <c r="AT23" s="19">
        <f>'B2B- Non Repair'!AT15</f>
        <v>4301</v>
      </c>
      <c r="AU23" s="19">
        <f>'B2B- Non Repair'!AU15</f>
        <v>5405</v>
      </c>
      <c r="AV23" s="19">
        <f>'B2B- Non Repair'!AV15</f>
        <v>5899</v>
      </c>
      <c r="AW23" s="19">
        <f>'B2B- Non Repair'!AW15</f>
        <v>7326</v>
      </c>
      <c r="AX23" s="19">
        <f>'B2B- Non Repair'!AX15</f>
        <v>8324</v>
      </c>
      <c r="AY23" s="19">
        <f>'B2B- Non Repair'!AY15</f>
        <v>8454</v>
      </c>
      <c r="AZ23" s="19">
        <f>'B2B- Non Repair'!AZ15</f>
        <v>11659</v>
      </c>
      <c r="BA23" s="19">
        <f>'B2B- Non Repair'!BA15</f>
        <v>12670</v>
      </c>
      <c r="BB23" s="19">
        <f>'B2B- Non Repair'!BB15</f>
        <v>9847</v>
      </c>
      <c r="BC23" s="19">
        <f>'B2B- Non Repair'!BC15</f>
        <v>9688</v>
      </c>
      <c r="BD23" s="19">
        <f>'B2B- Non Repair'!BD15</f>
        <v>8687</v>
      </c>
      <c r="BE23" s="19">
        <f>'B2B- Non Repair'!BE15</f>
        <v>8023</v>
      </c>
      <c r="BF23" s="19">
        <f>'B2B- Non Repair'!BF15</f>
        <v>8041</v>
      </c>
      <c r="BG23" s="19">
        <f>'B2B- Non Repair'!BG15</f>
        <v>8690</v>
      </c>
      <c r="BH23" s="19">
        <f>'B2B- Non Repair'!BH15</f>
        <v>7618</v>
      </c>
      <c r="BI23" s="19">
        <f>'B2B- Non Repair'!BI15</f>
        <v>7141</v>
      </c>
      <c r="BJ23" s="19">
        <f>'B2B- Non Repair'!BJ15</f>
        <v>7744</v>
      </c>
      <c r="BK23" s="19">
        <f>'B2B- Non Repair'!BK15</f>
        <v>9180</v>
      </c>
      <c r="BL23" s="19">
        <f>'B2B- Non Repair'!BL15</f>
        <v>8178</v>
      </c>
      <c r="BM23" s="19">
        <f>'B2B- Non Repair'!BM15</f>
        <v>6173</v>
      </c>
      <c r="BN23" s="19">
        <f>'B2B- Non Repair'!BN15</f>
        <v>6268</v>
      </c>
      <c r="BO23" s="19">
        <f>'B2B- Non Repair'!BO15</f>
        <v>6527</v>
      </c>
      <c r="BP23" s="19">
        <f>'B2B- Non Repair'!BP15</f>
        <v>5670</v>
      </c>
      <c r="BQ23" s="19">
        <f>'B2B- Non Repair'!BQ15</f>
        <v>4802</v>
      </c>
      <c r="BR23" s="19">
        <f>'B2B- Non Repair'!BR15</f>
        <v>3435</v>
      </c>
      <c r="BS23" s="19">
        <f>'B2B- Non Repair'!BS15</f>
        <v>3697</v>
      </c>
      <c r="BT23" s="19">
        <f>'B2B- Non Repair'!BT15</f>
        <v>3372</v>
      </c>
      <c r="BU23" s="19">
        <f>'B2B- Non Repair'!BU15</f>
        <v>3426</v>
      </c>
      <c r="BV23" s="19">
        <f>'B2B- Non Repair'!BV15</f>
        <v>3074</v>
      </c>
      <c r="BW23" s="19">
        <f>'B2B- Non Repair'!BW15</f>
        <v>3350</v>
      </c>
      <c r="BX23" s="19">
        <f>'B2B- Non Repair'!BX15</f>
        <v>3878</v>
      </c>
      <c r="BY23" s="19">
        <f>'B2B- Non Repair'!BY15</f>
        <v>4021</v>
      </c>
      <c r="BZ23" s="19">
        <f>'B2B- Non Repair'!BZ15</f>
        <v>4027</v>
      </c>
      <c r="CA23" s="19">
        <f>'B2B- Non Repair'!CA15</f>
        <v>3980</v>
      </c>
      <c r="CB23" s="19">
        <f>'B2B- Non Repair'!CB15</f>
        <v>4197</v>
      </c>
      <c r="CC23" s="19">
        <f>'B2B- Non Repair'!CC15</f>
        <v>3886</v>
      </c>
      <c r="CD23" s="19">
        <f>'B2B- Non Repair'!CD15</f>
        <v>3583</v>
      </c>
      <c r="CE23" s="19">
        <f>'B2B- Non Repair'!CE15</f>
        <v>3952</v>
      </c>
      <c r="CF23" s="19">
        <f>'B2B- Non Repair'!CF15</f>
        <v>3085</v>
      </c>
      <c r="CG23" s="19">
        <f>'B2B- Non Repair'!CG15</f>
        <v>2582</v>
      </c>
      <c r="CH23" s="19">
        <f>'B2B- Non Repair'!CH15</f>
        <v>3046</v>
      </c>
      <c r="CI23" s="19">
        <f>'B2B- Non Repair'!CI15</f>
        <v>3421</v>
      </c>
      <c r="CJ23" s="19">
        <f>'B2B- Non Repair'!CJ15</f>
        <v>3222</v>
      </c>
      <c r="CK23" s="19">
        <f>'B2B- Non Repair'!CK15</f>
        <v>4805.6315789473683</v>
      </c>
      <c r="CL23" s="19">
        <f>'B2B- Non Repair'!CL15</f>
        <v>3820</v>
      </c>
      <c r="CM23" s="19">
        <f>'B2B- Non Repair'!CM15</f>
        <v>3997</v>
      </c>
      <c r="CN23" s="19">
        <f>'B2B- Non Repair'!CN15</f>
        <v>3313</v>
      </c>
      <c r="CO23" s="19">
        <f>'B2B- Non Repair'!CO15</f>
        <v>3863</v>
      </c>
      <c r="CP23" s="19">
        <f>'B2B- Non Repair'!CP15</f>
        <v>3942</v>
      </c>
      <c r="CQ23" s="19">
        <f>'B2B- Non Repair'!CQ15</f>
        <v>4834</v>
      </c>
      <c r="CR23" s="19">
        <f>'B2B- Non Repair'!CR15</f>
        <v>4251</v>
      </c>
      <c r="CS23" s="19">
        <f>'B2B- Non Repair'!CS15</f>
        <v>4442</v>
      </c>
      <c r="CT23" s="19">
        <f>'B2B- Non Repair'!CT15</f>
        <v>4791</v>
      </c>
      <c r="CU23" s="19">
        <f>'B2B- Non Repair'!CU15</f>
        <v>4690.1084661186733</v>
      </c>
      <c r="CV23" s="19">
        <f>'B2B- Non Repair'!CV15</f>
        <v>4879.1221247476606</v>
      </c>
      <c r="CW23" s="19">
        <f>'B2B- Non Repair'!CW15</f>
        <v>5225.7281890621425</v>
      </c>
      <c r="CX23" s="19">
        <f>'B2B- Non Repair'!CX15</f>
        <v>5128.0964181075333</v>
      </c>
      <c r="CY23" s="19">
        <f>'B2B- Non Repair'!CY15</f>
        <v>4894.6913201270909</v>
      </c>
      <c r="CZ23" s="19">
        <f>'B2B- Non Repair'!CZ15</f>
        <v>4152.2424409039559</v>
      </c>
      <c r="DA23" s="19">
        <f>'B2B- Non Repair'!DA15</f>
        <v>4999.4922691551265</v>
      </c>
      <c r="DB23" s="19">
        <f>'B2B- Non Repair'!DB15</f>
        <v>5831.9202103284051</v>
      </c>
      <c r="DC23" s="19">
        <f>'B2B- Non Repair'!DC15</f>
        <v>6471.0785630945711</v>
      </c>
      <c r="DD23" s="19">
        <f>'B2B- Non Repair'!DD15</f>
        <v>6331.485849908775</v>
      </c>
      <c r="DE23" s="19">
        <f>'B2B- Non Repair'!DE15</f>
        <v>6261.7752833944105</v>
      </c>
      <c r="DF23" s="19">
        <f>'B2B- Non Repair'!DF15</f>
        <v>6147.5017310112044</v>
      </c>
      <c r="DG23" s="19">
        <f>'B2B- Non Repair'!DG15</f>
        <v>5862.6355826483414</v>
      </c>
      <c r="DH23" s="19">
        <f>'B2B- Non Repair'!DH15</f>
        <v>6098.9026559345757</v>
      </c>
      <c r="DI23" s="19">
        <f>'B2B- Non Repair'!DI15</f>
        <v>6532.160236327677</v>
      </c>
      <c r="DJ23" s="19">
        <f>'B2B- Non Repair'!DJ15</f>
        <v>6410.1205226344164</v>
      </c>
      <c r="DK23" s="19">
        <f>'B2B- Non Repair'!DK15</f>
        <v>6118.3641501588636</v>
      </c>
      <c r="DL23" s="19">
        <f>'B2B- Non Repair'!DL15</f>
        <v>5190.3030511299448</v>
      </c>
      <c r="DM23" s="19">
        <f>'B2B- Non Repair'!DM15</f>
        <v>6249.3653364439078</v>
      </c>
      <c r="DN23" s="19">
        <f>'B2B- Non Repair'!DN15</f>
        <v>7289.9002629105062</v>
      </c>
      <c r="DO23" s="19">
        <f>'B2B- Non Repair'!DO15</f>
        <v>8088.8482038682141</v>
      </c>
      <c r="DP23" s="19">
        <f>'B2B- Non Repair'!DP15</f>
        <v>7914.3573123859687</v>
      </c>
      <c r="DQ23" s="19">
        <f>'B2B- Non Repair'!DQ15</f>
        <v>7827.219104243014</v>
      </c>
      <c r="DR23" s="19">
        <f>'B2B- Non Repair'!DR15</f>
        <v>7684.3771637640039</v>
      </c>
      <c r="DS23" s="19">
        <f>'B2B- Non Repair'!DS15</f>
        <v>7035.1626991780095</v>
      </c>
      <c r="DT23" s="19">
        <f>'B2B- Non Repair'!DT15</f>
        <v>7318.6831871214908</v>
      </c>
      <c r="DU23" s="19">
        <f>'B2B- Non Repair'!DU15</f>
        <v>7838.5922835932115</v>
      </c>
      <c r="DV23" s="19">
        <f>'B2B- Non Repair'!DV15</f>
        <v>7692.1446271612995</v>
      </c>
      <c r="DW23" s="19">
        <f>'B2B- Non Repair'!DW15</f>
        <v>7342.0369801906354</v>
      </c>
      <c r="DX23" s="19">
        <f>'B2B- Non Repair'!DX15</f>
        <v>6228.3636613559329</v>
      </c>
      <c r="DY23" s="19">
        <f>'B2B- Non Repair'!DY15</f>
        <v>7499.2384037326901</v>
      </c>
      <c r="DZ23" s="19">
        <f>'B2B- Non Repair'!DZ15</f>
        <v>8747.8803154926081</v>
      </c>
      <c r="EA23" s="19">
        <f>'B2B- Non Repair'!EA15</f>
        <v>9706.617844641858</v>
      </c>
      <c r="EB23" s="19">
        <f>'B2B- Non Repair'!EB15</f>
        <v>9497.2287748631625</v>
      </c>
      <c r="EC23" s="19">
        <f>'B2B- Non Repair'!EC15</f>
        <v>9392.6629250916176</v>
      </c>
      <c r="ED23" s="19">
        <f>'B2B- Non Repair'!ED15</f>
        <v>9221.2525965168043</v>
      </c>
      <c r="EE23" s="222"/>
      <c r="EF23" s="19">
        <f t="shared" ref="EF23:EF31" si="71">SUM(BK23:BM23)</f>
        <v>23531</v>
      </c>
      <c r="EG23" s="19">
        <f t="shared" ref="EG23:EG31" si="72">SUM(BN23:BP23)</f>
        <v>18465</v>
      </c>
      <c r="EH23" s="19">
        <f t="shared" ref="EH23:EH31" si="73">SUM(BQ23:BS23)</f>
        <v>11934</v>
      </c>
      <c r="EI23" s="19">
        <f t="shared" ref="EI23:EI31" si="74">SUM(BT23:BV23)</f>
        <v>9872</v>
      </c>
      <c r="EJ23" s="19">
        <f t="shared" ref="EJ23:EJ31" si="75">SUM(BW23:BY23)</f>
        <v>11249</v>
      </c>
      <c r="EK23" s="19">
        <f t="shared" ref="EK23:EK31" si="76">SUM(BZ23:CB23)</f>
        <v>12204</v>
      </c>
      <c r="EL23" s="19">
        <f t="shared" ref="EL23:EL31" si="77">SUM(CC23:CE23)</f>
        <v>11421</v>
      </c>
      <c r="EM23" s="19">
        <f t="shared" ref="EM23:EM31" si="78">SUM(CF23:CH23)</f>
        <v>8713</v>
      </c>
      <c r="EN23" s="19">
        <f t="shared" ref="EN23:EN31" si="79">SUM(CI23:CK23)</f>
        <v>11448.631578947368</v>
      </c>
      <c r="EO23" s="19">
        <f t="shared" ref="EO23:EO31" si="80">SUM(CL23:CN23)</f>
        <v>11130</v>
      </c>
      <c r="EP23" s="19">
        <f t="shared" ref="EP23:EP31" si="81">SUM(CO23:CQ23)</f>
        <v>12639</v>
      </c>
      <c r="EQ23" s="19">
        <f t="shared" ref="EQ23:EQ31" si="82">SUM(CR23:CT23)</f>
        <v>13484</v>
      </c>
      <c r="ER23" s="19">
        <f t="shared" ref="ER23:ER31" si="83">SUM(CU23:CW23)</f>
        <v>14794.958779928475</v>
      </c>
      <c r="ES23" s="19">
        <f t="shared" ref="ES23:ES31" si="84">SUM(CX23:CZ23)</f>
        <v>14175.030179138579</v>
      </c>
      <c r="ET23" s="19">
        <f t="shared" ref="ET23:ET31" si="85">SUM(DA23:DC23)</f>
        <v>17302.491042578102</v>
      </c>
      <c r="EU23" s="19">
        <f t="shared" ref="EU23:EU31" si="86">SUM(DD23:DF23)</f>
        <v>18740.762864314391</v>
      </c>
      <c r="EV23" s="19">
        <f t="shared" ref="EV23:EV31" si="87">SUM(DG23:DI23)</f>
        <v>18493.698474910594</v>
      </c>
      <c r="EW23" s="19">
        <f t="shared" ref="EW23:EW31" si="88">SUM(DJ23:DL23)</f>
        <v>17718.787723923226</v>
      </c>
      <c r="EX23" s="19">
        <f t="shared" ref="EX23:EX31" si="89">SUM(DM23:DO23)</f>
        <v>21628.11380322263</v>
      </c>
      <c r="EY23" s="19">
        <f t="shared" ref="EY23:EY31" si="90">SUM(DP23:DR23)</f>
        <v>23425.953580392987</v>
      </c>
      <c r="EZ23" s="19">
        <f t="shared" si="23"/>
        <v>22192.43816989271</v>
      </c>
      <c r="FA23" s="19">
        <f t="shared" si="24"/>
        <v>21262.545268707869</v>
      </c>
      <c r="FB23" s="19">
        <f t="shared" si="25"/>
        <v>25953.736563867154</v>
      </c>
      <c r="FC23" s="19">
        <f t="shared" si="26"/>
        <v>28111.144296471582</v>
      </c>
      <c r="FE23" s="19">
        <f t="shared" si="27"/>
        <v>63802</v>
      </c>
      <c r="FF23" s="19">
        <f t="shared" si="28"/>
        <v>43587</v>
      </c>
      <c r="FG23" s="19">
        <f t="shared" si="29"/>
        <v>48701.631578947367</v>
      </c>
      <c r="FH23" s="19">
        <f t="shared" si="30"/>
        <v>65013.242865959546</v>
      </c>
      <c r="FI23" s="19">
        <f t="shared" si="31"/>
        <v>81266.553582449444</v>
      </c>
      <c r="FJ23" s="770">
        <f t="shared" si="32"/>
        <v>97519.864298939327</v>
      </c>
      <c r="FK23" s="545" t="s">
        <v>1</v>
      </c>
    </row>
    <row r="24" spans="2:167" x14ac:dyDescent="0.2">
      <c r="B24" s="299" t="s">
        <v>8</v>
      </c>
      <c r="C24" s="19">
        <f>'B2B- Non Repair'!C20</f>
        <v>0</v>
      </c>
      <c r="D24" s="19">
        <f>'B2B- Non Repair'!D20</f>
        <v>0</v>
      </c>
      <c r="E24" s="19">
        <f>'B2B- Non Repair'!E20</f>
        <v>0</v>
      </c>
      <c r="F24" s="19">
        <f>'B2B- Non Repair'!F20</f>
        <v>0</v>
      </c>
      <c r="G24" s="19">
        <f>'B2B- Non Repair'!G20</f>
        <v>0</v>
      </c>
      <c r="H24" s="19">
        <f>'B2B- Non Repair'!H20</f>
        <v>0</v>
      </c>
      <c r="I24" s="19">
        <f>'B2B- Non Repair'!I20</f>
        <v>0</v>
      </c>
      <c r="J24" s="19">
        <f>'B2B- Non Repair'!J20</f>
        <v>0</v>
      </c>
      <c r="K24" s="19">
        <f>'B2B- Non Repair'!K20</f>
        <v>0</v>
      </c>
      <c r="L24" s="19">
        <f>'B2B- Non Repair'!L20</f>
        <v>0</v>
      </c>
      <c r="M24" s="19">
        <f>'B2B- Non Repair'!M20</f>
        <v>0</v>
      </c>
      <c r="N24" s="19">
        <f>'B2B- Non Repair'!N20</f>
        <v>0</v>
      </c>
      <c r="O24" s="19">
        <f>'B2B- Non Repair'!O20</f>
        <v>0</v>
      </c>
      <c r="P24" s="19">
        <f>'B2B- Non Repair'!P20</f>
        <v>0</v>
      </c>
      <c r="Q24" s="19">
        <f>'B2B- Non Repair'!Q20</f>
        <v>0</v>
      </c>
      <c r="R24" s="19">
        <f>'B2B- Non Repair'!R20</f>
        <v>0</v>
      </c>
      <c r="S24" s="19">
        <f>'B2B- Non Repair'!S20</f>
        <v>0</v>
      </c>
      <c r="T24" s="19">
        <f>'B2B- Non Repair'!T20</f>
        <v>0</v>
      </c>
      <c r="U24" s="19">
        <f>'B2B- Non Repair'!U20</f>
        <v>0</v>
      </c>
      <c r="V24" s="19">
        <f>'B2B- Non Repair'!V20</f>
        <v>0</v>
      </c>
      <c r="W24" s="19">
        <f>'B2B- Non Repair'!W20</f>
        <v>0</v>
      </c>
      <c r="X24" s="19">
        <f>'B2B- Non Repair'!X20</f>
        <v>0</v>
      </c>
      <c r="Y24" s="19">
        <f>'B2B- Non Repair'!Y20</f>
        <v>0</v>
      </c>
      <c r="Z24" s="19">
        <f>'B2B- Non Repair'!Z20</f>
        <v>0</v>
      </c>
      <c r="AA24" s="19">
        <f>'B2B- Non Repair'!AA20</f>
        <v>0</v>
      </c>
      <c r="AB24" s="19">
        <f>'B2B- Non Repair'!AB20</f>
        <v>0</v>
      </c>
      <c r="AC24" s="19">
        <f>'B2B- Non Repair'!AC20</f>
        <v>0</v>
      </c>
      <c r="AD24" s="19">
        <f>'B2B- Non Repair'!AD20</f>
        <v>0</v>
      </c>
      <c r="AE24" s="19">
        <f>'B2B- Non Repair'!AE20</f>
        <v>0</v>
      </c>
      <c r="AF24" s="19">
        <f>'B2B- Non Repair'!AF20</f>
        <v>0</v>
      </c>
      <c r="AG24" s="19">
        <f>'B2B- Non Repair'!AG20</f>
        <v>0</v>
      </c>
      <c r="AH24" s="19">
        <f>'B2B- Non Repair'!AH20</f>
        <v>0</v>
      </c>
      <c r="AI24" s="19">
        <f>'B2B- Non Repair'!AI20</f>
        <v>0</v>
      </c>
      <c r="AJ24" s="19">
        <f>'B2B- Non Repair'!AJ20</f>
        <v>0</v>
      </c>
      <c r="AK24" s="19">
        <f>'B2B- Non Repair'!AK20</f>
        <v>0</v>
      </c>
      <c r="AL24" s="19">
        <f>'B2B- Non Repair'!AL20</f>
        <v>0</v>
      </c>
      <c r="AM24" s="19">
        <f>'B2B- Non Repair'!AM20</f>
        <v>0</v>
      </c>
      <c r="AN24" s="19">
        <f>'B2B- Non Repair'!AN20</f>
        <v>0</v>
      </c>
      <c r="AO24" s="19">
        <f>'B2B- Non Repair'!AO20</f>
        <v>0</v>
      </c>
      <c r="AP24" s="19">
        <f>'B2B- Non Repair'!AP20</f>
        <v>0</v>
      </c>
      <c r="AQ24" s="19">
        <f>'B2B- Non Repair'!AQ20</f>
        <v>0</v>
      </c>
      <c r="AR24" s="19">
        <f>'B2B- Non Repair'!AR20</f>
        <v>0</v>
      </c>
      <c r="AS24" s="19">
        <f>'B2B- Non Repair'!AS20</f>
        <v>0</v>
      </c>
      <c r="AT24" s="19">
        <f>'B2B- Non Repair'!AT20</f>
        <v>0</v>
      </c>
      <c r="AU24" s="19">
        <f>'B2B- Non Repair'!AU20</f>
        <v>0</v>
      </c>
      <c r="AV24" s="19">
        <f>'B2B- Non Repair'!AV20</f>
        <v>0</v>
      </c>
      <c r="AW24" s="19">
        <f>'B2B- Non Repair'!AW20</f>
        <v>0</v>
      </c>
      <c r="AX24" s="19">
        <f>'B2B- Non Repair'!AX20</f>
        <v>0</v>
      </c>
      <c r="AY24" s="19">
        <f>'B2B- Non Repair'!AY20</f>
        <v>0</v>
      </c>
      <c r="AZ24" s="19">
        <f>'B2B- Non Repair'!AZ20</f>
        <v>0</v>
      </c>
      <c r="BA24" s="19">
        <f>'B2B- Non Repair'!BA20</f>
        <v>0</v>
      </c>
      <c r="BB24" s="19">
        <f>'B2B- Non Repair'!BB20</f>
        <v>0</v>
      </c>
      <c r="BC24" s="19">
        <f>'B2B- Non Repair'!BC20</f>
        <v>0</v>
      </c>
      <c r="BD24" s="19">
        <f>'B2B- Non Repair'!BD20</f>
        <v>0</v>
      </c>
      <c r="BE24" s="19">
        <f>'B2B- Non Repair'!BE20</f>
        <v>0</v>
      </c>
      <c r="BF24" s="19">
        <f>'B2B- Non Repair'!BF20</f>
        <v>0</v>
      </c>
      <c r="BG24" s="19">
        <f>'B2B- Non Repair'!BG20</f>
        <v>0</v>
      </c>
      <c r="BH24" s="19">
        <f>'B2B- Non Repair'!BH20</f>
        <v>0</v>
      </c>
      <c r="BI24" s="19">
        <f>'B2B- Non Repair'!BI20</f>
        <v>0</v>
      </c>
      <c r="BJ24" s="19">
        <f>'B2B- Non Repair'!BJ20</f>
        <v>0</v>
      </c>
      <c r="BK24" s="19">
        <f>'B2B- Non Repair'!BK20</f>
        <v>2808</v>
      </c>
      <c r="BL24" s="19">
        <f>'B2B- Non Repair'!BL20</f>
        <v>2199</v>
      </c>
      <c r="BM24" s="19">
        <f>'B2B- Non Repair'!BM20</f>
        <v>1827</v>
      </c>
      <c r="BN24" s="19">
        <f>'B2B- Non Repair'!BN20</f>
        <v>1972</v>
      </c>
      <c r="BO24" s="19">
        <f>'B2B- Non Repair'!BO20</f>
        <v>2125</v>
      </c>
      <c r="BP24" s="19">
        <f>'B2B- Non Repair'!BP20</f>
        <v>1865</v>
      </c>
      <c r="BQ24" s="19">
        <f>'B2B- Non Repair'!BQ20</f>
        <v>2217</v>
      </c>
      <c r="BR24" s="19">
        <f>'B2B- Non Repair'!BR20</f>
        <v>1759</v>
      </c>
      <c r="BS24" s="19">
        <f>'B2B- Non Repair'!BS20</f>
        <v>1747</v>
      </c>
      <c r="BT24" s="19">
        <f>'B2B- Non Repair'!BT20</f>
        <v>1552</v>
      </c>
      <c r="BU24" s="19">
        <f>'B2B- Non Repair'!BU20</f>
        <v>1601</v>
      </c>
      <c r="BV24" s="19">
        <f>'B2B- Non Repair'!BV20</f>
        <v>1548</v>
      </c>
      <c r="BW24" s="19">
        <f>'B2B- Non Repair'!BW20</f>
        <v>1590</v>
      </c>
      <c r="BX24" s="19">
        <f>'B2B- Non Repair'!BX20</f>
        <v>1999</v>
      </c>
      <c r="BY24" s="19">
        <f>'B2B- Non Repair'!BY20</f>
        <v>2365</v>
      </c>
      <c r="BZ24" s="19">
        <f>'B2B- Non Repair'!BZ20</f>
        <v>2005</v>
      </c>
      <c r="CA24" s="19">
        <f>'B2B- Non Repair'!CA20</f>
        <v>2244</v>
      </c>
      <c r="CB24" s="19">
        <f>'B2B- Non Repair'!CB20</f>
        <v>2492</v>
      </c>
      <c r="CC24" s="19">
        <f>'B2B- Non Repair'!CC20</f>
        <v>1813</v>
      </c>
      <c r="CD24" s="19">
        <f>'B2B- Non Repair'!CD20</f>
        <v>2113</v>
      </c>
      <c r="CE24" s="19">
        <f>'B2B- Non Repair'!CE20</f>
        <v>2171</v>
      </c>
      <c r="CF24" s="19">
        <f>'B2B- Non Repair'!CF20</f>
        <v>1344</v>
      </c>
      <c r="CG24" s="19">
        <f>'B2B- Non Repair'!CG20</f>
        <v>912</v>
      </c>
      <c r="CH24" s="19">
        <f>'B2B- Non Repair'!CH20</f>
        <v>1088</v>
      </c>
      <c r="CI24" s="19">
        <f>'B2B- Non Repair'!CI20</f>
        <v>1054</v>
      </c>
      <c r="CJ24" s="19">
        <f>'B2B- Non Repair'!CJ20</f>
        <v>1054</v>
      </c>
      <c r="CK24" s="19">
        <f>'B2B- Non Repair'!CK20</f>
        <v>1012</v>
      </c>
      <c r="CL24" s="19">
        <f>'B2B- Non Repair'!CL20</f>
        <v>1342</v>
      </c>
      <c r="CM24" s="19">
        <f>'B2B- Non Repair'!CM20</f>
        <v>1336</v>
      </c>
      <c r="CN24" s="19">
        <f>'B2B- Non Repair'!CN20</f>
        <v>1834</v>
      </c>
      <c r="CO24" s="19">
        <f>'B2B- Non Repair'!CO20</f>
        <v>1779</v>
      </c>
      <c r="CP24" s="19">
        <f>'B2B- Non Repair'!CP20</f>
        <v>1744</v>
      </c>
      <c r="CQ24" s="19">
        <f>'B2B- Non Repair'!CQ20</f>
        <v>2046</v>
      </c>
      <c r="CR24" s="19">
        <f>'B2B- Non Repair'!CR20</f>
        <v>1301</v>
      </c>
      <c r="CS24" s="19">
        <f>'B2B- Non Repair'!CS20</f>
        <v>1320</v>
      </c>
      <c r="CT24" s="19">
        <f>'B2B- Non Repair'!CT20</f>
        <v>1363</v>
      </c>
      <c r="CU24" s="19">
        <f>'B2B- Non Repair'!CU20</f>
        <v>1334.2971904236592</v>
      </c>
      <c r="CV24" s="19">
        <f>'B2B- Non Repair'!CV20</f>
        <v>1388.0700179568069</v>
      </c>
      <c r="CW24" s="19">
        <f>'B2B- Non Repair'!CW20</f>
        <v>1486.6765856171364</v>
      </c>
      <c r="CX24" s="19">
        <f>'B2B- Non Repair'!CX20</f>
        <v>1458.9011517179226</v>
      </c>
      <c r="CY24" s="19">
        <f>'B2B- Non Repair'!CY20</f>
        <v>1392.4993256800719</v>
      </c>
      <c r="CZ24" s="19">
        <f>'B2B- Non Repair'!CZ20</f>
        <v>1181.2787407539327</v>
      </c>
      <c r="DA24" s="19">
        <f>'B2B- Non Repair'!DA20</f>
        <v>1422.3143316339881</v>
      </c>
      <c r="DB24" s="19">
        <f>'B2B- Non Repair'!DB20</f>
        <v>1659.133217841289</v>
      </c>
      <c r="DC24" s="19">
        <f>'B2B- Non Repair'!DC20</f>
        <v>1840.9684995821124</v>
      </c>
      <c r="DD24" s="19">
        <f>'B2B- Non Repair'!DD20</f>
        <v>1801.2555235703737</v>
      </c>
      <c r="DE24" s="19">
        <f>'B2B- Non Repair'!DE20</f>
        <v>1781.42344213454</v>
      </c>
      <c r="DF24" s="19">
        <f>'B2B- Non Repair'!DF20</f>
        <v>1748.9135586241434</v>
      </c>
      <c r="DG24" s="19">
        <f>'B2B- Non Repair'!DG20</f>
        <v>1667.871488029574</v>
      </c>
      <c r="DH24" s="19">
        <f>'B2B- Non Repair'!DH20</f>
        <v>1735.0875224460085</v>
      </c>
      <c r="DI24" s="19">
        <f>'B2B- Non Repair'!DI20</f>
        <v>1858.34573202142</v>
      </c>
      <c r="DJ24" s="19">
        <f>'B2B- Non Repair'!DJ20</f>
        <v>1823.6264396474032</v>
      </c>
      <c r="DK24" s="19">
        <f>'B2B- Non Repair'!DK20</f>
        <v>1740.6241571000899</v>
      </c>
      <c r="DL24" s="19">
        <f>'B2B- Non Repair'!DL20</f>
        <v>1476.5984259424158</v>
      </c>
      <c r="DM24" s="19">
        <f>'B2B- Non Repair'!DM20</f>
        <v>1777.8929145424852</v>
      </c>
      <c r="DN24" s="19">
        <f>'B2B- Non Repair'!DN20</f>
        <v>2073.9165223016112</v>
      </c>
      <c r="DO24" s="19">
        <f>'B2B- Non Repair'!DO20</f>
        <v>2301.2106244776405</v>
      </c>
      <c r="DP24" s="19">
        <f>'B2B- Non Repair'!DP20</f>
        <v>2251.5694044629672</v>
      </c>
      <c r="DQ24" s="19">
        <f>'B2B- Non Repair'!DQ20</f>
        <v>2226.7793026681752</v>
      </c>
      <c r="DR24" s="19">
        <f>'B2B- Non Repair'!DR20</f>
        <v>2186.1419482801789</v>
      </c>
      <c r="DS24" s="19">
        <f>'B2B- Non Repair'!DS20</f>
        <v>2001.4457856354888</v>
      </c>
      <c r="DT24" s="19">
        <f>'B2B- Non Repair'!DT20</f>
        <v>2082.1050269352099</v>
      </c>
      <c r="DU24" s="19">
        <f>'B2B- Non Repair'!DU20</f>
        <v>2230.0148784257035</v>
      </c>
      <c r="DV24" s="19">
        <f>'B2B- Non Repair'!DV20</f>
        <v>2188.3517275768836</v>
      </c>
      <c r="DW24" s="19">
        <f>'B2B- Non Repair'!DW20</f>
        <v>2088.7489885201071</v>
      </c>
      <c r="DX24" s="19">
        <f>'B2B- Non Repair'!DX20</f>
        <v>1771.9181111308985</v>
      </c>
      <c r="DY24" s="19">
        <f>'B2B- Non Repair'!DY20</f>
        <v>2133.471497450982</v>
      </c>
      <c r="DZ24" s="19">
        <f>'B2B- Non Repair'!DZ20</f>
        <v>2488.6998267619333</v>
      </c>
      <c r="EA24" s="19">
        <f>'B2B- Non Repair'!EA20</f>
        <v>2761.4527493731684</v>
      </c>
      <c r="EB24" s="19">
        <f>'B2B- Non Repair'!EB20</f>
        <v>2701.88328535556</v>
      </c>
      <c r="EC24" s="19">
        <f>'B2B- Non Repair'!EC20</f>
        <v>2672.13516320181</v>
      </c>
      <c r="ED24" s="19">
        <f>'B2B- Non Repair'!ED20</f>
        <v>2623.3703379362141</v>
      </c>
      <c r="EE24" s="222"/>
      <c r="EF24" s="19">
        <f t="shared" si="71"/>
        <v>6834</v>
      </c>
      <c r="EG24" s="19">
        <f t="shared" si="72"/>
        <v>5962</v>
      </c>
      <c r="EH24" s="19">
        <f t="shared" si="73"/>
        <v>5723</v>
      </c>
      <c r="EI24" s="19">
        <f t="shared" si="74"/>
        <v>4701</v>
      </c>
      <c r="EJ24" s="19">
        <f t="shared" si="75"/>
        <v>5954</v>
      </c>
      <c r="EK24" s="19">
        <f t="shared" si="76"/>
        <v>6741</v>
      </c>
      <c r="EL24" s="19">
        <f t="shared" si="77"/>
        <v>6097</v>
      </c>
      <c r="EM24" s="19">
        <f t="shared" si="78"/>
        <v>3344</v>
      </c>
      <c r="EN24" s="19">
        <f t="shared" si="79"/>
        <v>3120</v>
      </c>
      <c r="EO24" s="19">
        <f t="shared" si="80"/>
        <v>4512</v>
      </c>
      <c r="EP24" s="19">
        <f t="shared" si="81"/>
        <v>5569</v>
      </c>
      <c r="EQ24" s="19">
        <f t="shared" si="82"/>
        <v>3984</v>
      </c>
      <c r="ER24" s="19">
        <f t="shared" si="83"/>
        <v>4209.0437939976018</v>
      </c>
      <c r="ES24" s="19">
        <f t="shared" si="84"/>
        <v>4032.6792181519272</v>
      </c>
      <c r="ET24" s="19">
        <f t="shared" si="85"/>
        <v>4922.4160490573895</v>
      </c>
      <c r="EU24" s="19">
        <f t="shared" si="86"/>
        <v>5331.5925243290576</v>
      </c>
      <c r="EV24" s="19">
        <f t="shared" si="87"/>
        <v>5261.3047424970027</v>
      </c>
      <c r="EW24" s="19">
        <f t="shared" si="88"/>
        <v>5040.8490226899085</v>
      </c>
      <c r="EX24" s="19">
        <f t="shared" si="89"/>
        <v>6153.0200613217366</v>
      </c>
      <c r="EY24" s="19">
        <f t="shared" si="90"/>
        <v>6664.4906554113222</v>
      </c>
      <c r="EZ24" s="19">
        <f t="shared" si="23"/>
        <v>6313.5656909964018</v>
      </c>
      <c r="FA24" s="19">
        <f t="shared" si="24"/>
        <v>6049.0188272278901</v>
      </c>
      <c r="FB24" s="19">
        <f t="shared" si="25"/>
        <v>7383.6240735860838</v>
      </c>
      <c r="FC24" s="19">
        <f t="shared" si="26"/>
        <v>7997.3887864935841</v>
      </c>
      <c r="FE24" s="19">
        <f t="shared" si="27"/>
        <v>23220</v>
      </c>
      <c r="FF24" s="19">
        <f t="shared" si="28"/>
        <v>22136</v>
      </c>
      <c r="FG24" s="19">
        <f t="shared" si="29"/>
        <v>17185</v>
      </c>
      <c r="FH24" s="19">
        <f t="shared" si="30"/>
        <v>18495.731585535978</v>
      </c>
      <c r="FI24" s="19">
        <f t="shared" si="31"/>
        <v>23119.664481919968</v>
      </c>
      <c r="FJ24" s="770">
        <f t="shared" si="32"/>
        <v>27743.597378303959</v>
      </c>
      <c r="FK24" s="545" t="s">
        <v>1</v>
      </c>
    </row>
    <row r="25" spans="2:167" x14ac:dyDescent="0.2">
      <c r="B25" s="299" t="s">
        <v>9</v>
      </c>
      <c r="C25" s="19">
        <f t="shared" ref="C25:BI25" si="91">C23-C24</f>
        <v>0</v>
      </c>
      <c r="D25" s="19">
        <f t="shared" si="91"/>
        <v>0</v>
      </c>
      <c r="E25" s="19">
        <f t="shared" si="91"/>
        <v>0</v>
      </c>
      <c r="F25" s="19">
        <f t="shared" si="91"/>
        <v>0</v>
      </c>
      <c r="G25" s="19">
        <f t="shared" si="91"/>
        <v>0</v>
      </c>
      <c r="H25" s="19">
        <f t="shared" si="91"/>
        <v>0</v>
      </c>
      <c r="I25" s="19">
        <f t="shared" si="91"/>
        <v>0</v>
      </c>
      <c r="J25" s="19">
        <f t="shared" si="91"/>
        <v>0</v>
      </c>
      <c r="K25" s="19">
        <f t="shared" si="91"/>
        <v>0</v>
      </c>
      <c r="L25" s="19">
        <f t="shared" si="91"/>
        <v>0</v>
      </c>
      <c r="M25" s="19">
        <f t="shared" si="91"/>
        <v>0</v>
      </c>
      <c r="N25" s="19">
        <f t="shared" si="91"/>
        <v>0</v>
      </c>
      <c r="O25" s="19">
        <f t="shared" si="91"/>
        <v>9</v>
      </c>
      <c r="P25" s="19">
        <f t="shared" si="91"/>
        <v>1</v>
      </c>
      <c r="Q25" s="19">
        <f t="shared" si="91"/>
        <v>4</v>
      </c>
      <c r="R25" s="19">
        <f t="shared" si="91"/>
        <v>31</v>
      </c>
      <c r="S25" s="19">
        <f t="shared" si="91"/>
        <v>137</v>
      </c>
      <c r="T25" s="19">
        <f t="shared" si="91"/>
        <v>193</v>
      </c>
      <c r="U25" s="19">
        <f t="shared" si="91"/>
        <v>159</v>
      </c>
      <c r="V25" s="19">
        <f t="shared" si="91"/>
        <v>148</v>
      </c>
      <c r="W25" s="19">
        <f t="shared" si="91"/>
        <v>325</v>
      </c>
      <c r="X25" s="19">
        <f t="shared" si="91"/>
        <v>451</v>
      </c>
      <c r="Y25" s="19">
        <f t="shared" si="91"/>
        <v>337</v>
      </c>
      <c r="Z25" s="19">
        <f t="shared" si="91"/>
        <v>109</v>
      </c>
      <c r="AA25" s="19">
        <f t="shared" si="91"/>
        <v>9</v>
      </c>
      <c r="AB25" s="19">
        <f t="shared" si="91"/>
        <v>1</v>
      </c>
      <c r="AC25" s="19">
        <f t="shared" si="91"/>
        <v>42</v>
      </c>
      <c r="AD25" s="19">
        <f t="shared" si="91"/>
        <v>9</v>
      </c>
      <c r="AE25" s="19">
        <f t="shared" si="91"/>
        <v>41</v>
      </c>
      <c r="AF25" s="19">
        <f t="shared" si="91"/>
        <v>163</v>
      </c>
      <c r="AG25" s="19">
        <f t="shared" si="91"/>
        <v>338</v>
      </c>
      <c r="AH25" s="19">
        <f t="shared" si="91"/>
        <v>440</v>
      </c>
      <c r="AI25" s="19">
        <f t="shared" si="91"/>
        <v>464</v>
      </c>
      <c r="AJ25" s="19">
        <f t="shared" si="91"/>
        <v>386</v>
      </c>
      <c r="AK25" s="19">
        <f t="shared" si="91"/>
        <v>487</v>
      </c>
      <c r="AL25" s="19">
        <f t="shared" si="91"/>
        <v>544</v>
      </c>
      <c r="AM25" s="19">
        <f t="shared" si="91"/>
        <v>529</v>
      </c>
      <c r="AN25" s="19">
        <f t="shared" si="91"/>
        <v>751</v>
      </c>
      <c r="AO25" s="19">
        <f t="shared" si="91"/>
        <v>1454</v>
      </c>
      <c r="AP25" s="19">
        <f t="shared" si="91"/>
        <v>2406</v>
      </c>
      <c r="AQ25" s="19">
        <f t="shared" si="91"/>
        <v>3125</v>
      </c>
      <c r="AR25" s="19">
        <f t="shared" si="91"/>
        <v>4565</v>
      </c>
      <c r="AS25" s="19">
        <f t="shared" si="91"/>
        <v>5997</v>
      </c>
      <c r="AT25" s="19">
        <f t="shared" si="91"/>
        <v>4301</v>
      </c>
      <c r="AU25" s="19">
        <f t="shared" si="91"/>
        <v>5405</v>
      </c>
      <c r="AV25" s="19">
        <f t="shared" si="91"/>
        <v>5899</v>
      </c>
      <c r="AW25" s="19">
        <f t="shared" si="91"/>
        <v>7326</v>
      </c>
      <c r="AX25" s="19">
        <f t="shared" si="91"/>
        <v>8324</v>
      </c>
      <c r="AY25" s="19">
        <f t="shared" si="91"/>
        <v>8454</v>
      </c>
      <c r="AZ25" s="19">
        <f t="shared" si="91"/>
        <v>11659</v>
      </c>
      <c r="BA25" s="19">
        <f t="shared" si="91"/>
        <v>12670</v>
      </c>
      <c r="BB25" s="19">
        <f t="shared" si="91"/>
        <v>9847</v>
      </c>
      <c r="BC25" s="19">
        <f t="shared" si="91"/>
        <v>9688</v>
      </c>
      <c r="BD25" s="19">
        <f t="shared" si="91"/>
        <v>8687</v>
      </c>
      <c r="BE25" s="19">
        <f t="shared" si="91"/>
        <v>8023</v>
      </c>
      <c r="BF25" s="19">
        <f t="shared" si="91"/>
        <v>8041</v>
      </c>
      <c r="BG25" s="19">
        <f t="shared" si="91"/>
        <v>8690</v>
      </c>
      <c r="BH25" s="19">
        <f t="shared" si="91"/>
        <v>7618</v>
      </c>
      <c r="BI25" s="19">
        <f t="shared" si="91"/>
        <v>7141</v>
      </c>
      <c r="BJ25" s="19">
        <f>BJ23-BJ24</f>
        <v>7744</v>
      </c>
      <c r="BK25" s="19">
        <f t="shared" ref="BK25:DR25" si="92">BK23-BK24</f>
        <v>6372</v>
      </c>
      <c r="BL25" s="19">
        <f t="shared" si="92"/>
        <v>5979</v>
      </c>
      <c r="BM25" s="19">
        <f t="shared" si="92"/>
        <v>4346</v>
      </c>
      <c r="BN25" s="19">
        <f t="shared" si="92"/>
        <v>4296</v>
      </c>
      <c r="BO25" s="19">
        <f t="shared" si="92"/>
        <v>4402</v>
      </c>
      <c r="BP25" s="19">
        <f t="shared" si="92"/>
        <v>3805</v>
      </c>
      <c r="BQ25" s="19">
        <f t="shared" si="92"/>
        <v>2585</v>
      </c>
      <c r="BR25" s="19">
        <f t="shared" si="92"/>
        <v>1676</v>
      </c>
      <c r="BS25" s="19">
        <f t="shared" si="92"/>
        <v>1950</v>
      </c>
      <c r="BT25" s="19">
        <f t="shared" si="92"/>
        <v>1820</v>
      </c>
      <c r="BU25" s="19">
        <f t="shared" si="92"/>
        <v>1825</v>
      </c>
      <c r="BV25" s="19">
        <f t="shared" si="92"/>
        <v>1526</v>
      </c>
      <c r="BW25" s="19">
        <f t="shared" si="92"/>
        <v>1760</v>
      </c>
      <c r="BX25" s="19">
        <f t="shared" si="92"/>
        <v>1879</v>
      </c>
      <c r="BY25" s="19">
        <f t="shared" si="92"/>
        <v>1656</v>
      </c>
      <c r="BZ25" s="19">
        <f t="shared" si="92"/>
        <v>2022</v>
      </c>
      <c r="CA25" s="19">
        <f t="shared" si="92"/>
        <v>1736</v>
      </c>
      <c r="CB25" s="19">
        <f t="shared" si="92"/>
        <v>1705</v>
      </c>
      <c r="CC25" s="19">
        <f t="shared" si="92"/>
        <v>2073</v>
      </c>
      <c r="CD25" s="19">
        <f t="shared" si="92"/>
        <v>1470</v>
      </c>
      <c r="CE25" s="19">
        <f t="shared" si="92"/>
        <v>1781</v>
      </c>
      <c r="CF25" s="19">
        <f t="shared" si="92"/>
        <v>1741</v>
      </c>
      <c r="CG25" s="19">
        <f t="shared" si="92"/>
        <v>1670</v>
      </c>
      <c r="CH25" s="19">
        <f t="shared" si="92"/>
        <v>1958</v>
      </c>
      <c r="CI25" s="19">
        <f t="shared" si="92"/>
        <v>2367</v>
      </c>
      <c r="CJ25" s="19">
        <f t="shared" si="92"/>
        <v>2168</v>
      </c>
      <c r="CK25" s="19">
        <f t="shared" si="92"/>
        <v>3793.6315789473683</v>
      </c>
      <c r="CL25" s="19">
        <f t="shared" si="92"/>
        <v>2478</v>
      </c>
      <c r="CM25" s="19">
        <f t="shared" si="92"/>
        <v>2661</v>
      </c>
      <c r="CN25" s="19">
        <f t="shared" si="92"/>
        <v>1479</v>
      </c>
      <c r="CO25" s="19">
        <f t="shared" si="92"/>
        <v>2084</v>
      </c>
      <c r="CP25" s="19">
        <f t="shared" si="92"/>
        <v>2198</v>
      </c>
      <c r="CQ25" s="19">
        <f t="shared" si="92"/>
        <v>2788</v>
      </c>
      <c r="CR25" s="19">
        <f t="shared" si="92"/>
        <v>2950</v>
      </c>
      <c r="CS25" s="19">
        <f t="shared" si="92"/>
        <v>3122</v>
      </c>
      <c r="CT25" s="19">
        <f t="shared" si="92"/>
        <v>3428</v>
      </c>
      <c r="CU25" s="19">
        <f t="shared" si="92"/>
        <v>3355.811275695014</v>
      </c>
      <c r="CV25" s="19">
        <f t="shared" si="92"/>
        <v>3491.0521067908539</v>
      </c>
      <c r="CW25" s="19">
        <f t="shared" si="92"/>
        <v>3739.0516034450061</v>
      </c>
      <c r="CX25" s="19">
        <f t="shared" si="92"/>
        <v>3669.1952663896109</v>
      </c>
      <c r="CY25" s="19">
        <f t="shared" si="92"/>
        <v>3502.1919944470192</v>
      </c>
      <c r="CZ25" s="19">
        <f t="shared" si="92"/>
        <v>2970.9637001500232</v>
      </c>
      <c r="DA25" s="19">
        <f t="shared" si="92"/>
        <v>3577.1779375211381</v>
      </c>
      <c r="DB25" s="19">
        <f t="shared" si="92"/>
        <v>4172.7869924871156</v>
      </c>
      <c r="DC25" s="19">
        <f t="shared" si="92"/>
        <v>4630.1100635124585</v>
      </c>
      <c r="DD25" s="19">
        <f t="shared" si="92"/>
        <v>4530.230326338401</v>
      </c>
      <c r="DE25" s="19">
        <f t="shared" si="92"/>
        <v>4480.3518412598705</v>
      </c>
      <c r="DF25" s="19">
        <f t="shared" si="92"/>
        <v>4398.5881723870607</v>
      </c>
      <c r="DG25" s="19">
        <f t="shared" si="92"/>
        <v>4194.7640946187676</v>
      </c>
      <c r="DH25" s="19">
        <f t="shared" si="92"/>
        <v>4363.815133488567</v>
      </c>
      <c r="DI25" s="19">
        <f t="shared" si="92"/>
        <v>4673.8145043062568</v>
      </c>
      <c r="DJ25" s="19">
        <f t="shared" si="92"/>
        <v>4586.4940829870129</v>
      </c>
      <c r="DK25" s="19">
        <f t="shared" si="92"/>
        <v>4377.7399930587735</v>
      </c>
      <c r="DL25" s="19">
        <f t="shared" si="92"/>
        <v>3713.704625187529</v>
      </c>
      <c r="DM25" s="19">
        <f t="shared" si="92"/>
        <v>4471.4724219014224</v>
      </c>
      <c r="DN25" s="19">
        <f t="shared" si="92"/>
        <v>5215.9837406088955</v>
      </c>
      <c r="DO25" s="19">
        <f t="shared" si="92"/>
        <v>5787.6375793905736</v>
      </c>
      <c r="DP25" s="19">
        <f t="shared" si="92"/>
        <v>5662.7879079230015</v>
      </c>
      <c r="DQ25" s="19">
        <f t="shared" si="92"/>
        <v>5600.4398015748393</v>
      </c>
      <c r="DR25" s="19">
        <f t="shared" si="92"/>
        <v>5498.2352154838245</v>
      </c>
      <c r="DS25" s="19">
        <f t="shared" ref="DS25:ED25" si="93">DS23-DS24</f>
        <v>5033.7169135425211</v>
      </c>
      <c r="DT25" s="19">
        <f t="shared" si="93"/>
        <v>5236.5781601862809</v>
      </c>
      <c r="DU25" s="19">
        <f t="shared" si="93"/>
        <v>5608.577405167508</v>
      </c>
      <c r="DV25" s="19">
        <f t="shared" si="93"/>
        <v>5503.7928995844159</v>
      </c>
      <c r="DW25" s="19">
        <f t="shared" si="93"/>
        <v>5253.2879916705278</v>
      </c>
      <c r="DX25" s="19">
        <f t="shared" si="93"/>
        <v>4456.4455502250348</v>
      </c>
      <c r="DY25" s="19">
        <f t="shared" si="93"/>
        <v>5365.7669062817076</v>
      </c>
      <c r="DZ25" s="19">
        <f t="shared" si="93"/>
        <v>6259.1804887306753</v>
      </c>
      <c r="EA25" s="19">
        <f t="shared" si="93"/>
        <v>6945.1650952686896</v>
      </c>
      <c r="EB25" s="19">
        <f t="shared" si="93"/>
        <v>6795.3454895076029</v>
      </c>
      <c r="EC25" s="19">
        <f t="shared" si="93"/>
        <v>6720.5277618898072</v>
      </c>
      <c r="ED25" s="19">
        <f t="shared" si="93"/>
        <v>6597.8822585805901</v>
      </c>
      <c r="EE25" s="222"/>
      <c r="EF25" s="19">
        <f t="shared" si="71"/>
        <v>16697</v>
      </c>
      <c r="EG25" s="19">
        <f t="shared" si="72"/>
        <v>12503</v>
      </c>
      <c r="EH25" s="19">
        <f t="shared" si="73"/>
        <v>6211</v>
      </c>
      <c r="EI25" s="19">
        <f t="shared" si="74"/>
        <v>5171</v>
      </c>
      <c r="EJ25" s="19">
        <f t="shared" si="75"/>
        <v>5295</v>
      </c>
      <c r="EK25" s="19">
        <f t="shared" si="76"/>
        <v>5463</v>
      </c>
      <c r="EL25" s="19">
        <f t="shared" si="77"/>
        <v>5324</v>
      </c>
      <c r="EM25" s="19">
        <f t="shared" si="78"/>
        <v>5369</v>
      </c>
      <c r="EN25" s="19">
        <f t="shared" si="79"/>
        <v>8328.6315789473683</v>
      </c>
      <c r="EO25" s="19">
        <f t="shared" si="80"/>
        <v>6618</v>
      </c>
      <c r="EP25" s="19">
        <f t="shared" si="81"/>
        <v>7070</v>
      </c>
      <c r="EQ25" s="19">
        <f t="shared" si="82"/>
        <v>9500</v>
      </c>
      <c r="ER25" s="19">
        <f t="shared" si="83"/>
        <v>10585.914985930875</v>
      </c>
      <c r="ES25" s="19">
        <f t="shared" si="84"/>
        <v>10142.350960986652</v>
      </c>
      <c r="ET25" s="19">
        <f t="shared" si="85"/>
        <v>12380.074993520713</v>
      </c>
      <c r="EU25" s="19">
        <f t="shared" si="86"/>
        <v>13409.170339985332</v>
      </c>
      <c r="EV25" s="19">
        <f t="shared" si="87"/>
        <v>13232.393732413591</v>
      </c>
      <c r="EW25" s="19">
        <f t="shared" si="88"/>
        <v>12677.938701233315</v>
      </c>
      <c r="EX25" s="19">
        <f t="shared" si="89"/>
        <v>15475.093741900891</v>
      </c>
      <c r="EY25" s="19">
        <f t="shared" si="90"/>
        <v>16761.462924981664</v>
      </c>
      <c r="EZ25" s="19">
        <f t="shared" si="23"/>
        <v>15878.872478896308</v>
      </c>
      <c r="FA25" s="19">
        <f t="shared" si="24"/>
        <v>15213.526441479979</v>
      </c>
      <c r="FB25" s="19">
        <f t="shared" si="25"/>
        <v>18570.112490281073</v>
      </c>
      <c r="FC25" s="19">
        <f t="shared" si="26"/>
        <v>20113.755509978</v>
      </c>
      <c r="FE25" s="19">
        <f t="shared" si="27"/>
        <v>40582</v>
      </c>
      <c r="FF25" s="19">
        <f t="shared" si="28"/>
        <v>21451</v>
      </c>
      <c r="FG25" s="19">
        <f t="shared" si="29"/>
        <v>31516.631578947367</v>
      </c>
      <c r="FH25" s="19">
        <f t="shared" si="30"/>
        <v>46517.511280423569</v>
      </c>
      <c r="FI25" s="19">
        <f t="shared" si="31"/>
        <v>58146.889100529464</v>
      </c>
      <c r="FJ25" s="770">
        <f t="shared" si="32"/>
        <v>69776.26692063536</v>
      </c>
      <c r="FK25" s="545" t="s">
        <v>1</v>
      </c>
    </row>
    <row r="26" spans="2:167" x14ac:dyDescent="0.2">
      <c r="B26" s="300" t="s">
        <v>313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222"/>
      <c r="EF26" s="19">
        <f t="shared" si="71"/>
        <v>0</v>
      </c>
      <c r="EG26" s="19">
        <f t="shared" si="72"/>
        <v>0</v>
      </c>
      <c r="EH26" s="19">
        <f t="shared" si="73"/>
        <v>0</v>
      </c>
      <c r="EI26" s="19">
        <f t="shared" si="74"/>
        <v>0</v>
      </c>
      <c r="EJ26" s="19">
        <f t="shared" si="75"/>
        <v>0</v>
      </c>
      <c r="EK26" s="19">
        <f t="shared" si="76"/>
        <v>0</v>
      </c>
      <c r="EL26" s="19">
        <f t="shared" si="77"/>
        <v>0</v>
      </c>
      <c r="EM26" s="19">
        <f t="shared" si="78"/>
        <v>0</v>
      </c>
      <c r="EN26" s="19">
        <f t="shared" si="79"/>
        <v>0</v>
      </c>
      <c r="EO26" s="19">
        <f t="shared" si="80"/>
        <v>0</v>
      </c>
      <c r="EP26" s="19">
        <f t="shared" si="81"/>
        <v>0</v>
      </c>
      <c r="EQ26" s="19">
        <f t="shared" si="82"/>
        <v>0</v>
      </c>
      <c r="ER26" s="19">
        <f t="shared" si="83"/>
        <v>0</v>
      </c>
      <c r="ES26" s="19">
        <f t="shared" si="84"/>
        <v>0</v>
      </c>
      <c r="ET26" s="19">
        <f t="shared" si="85"/>
        <v>0</v>
      </c>
      <c r="EU26" s="19">
        <f t="shared" si="86"/>
        <v>0</v>
      </c>
      <c r="EV26" s="19">
        <f t="shared" si="87"/>
        <v>0</v>
      </c>
      <c r="EW26" s="19">
        <f t="shared" si="88"/>
        <v>0</v>
      </c>
      <c r="EX26" s="19">
        <f t="shared" si="89"/>
        <v>0</v>
      </c>
      <c r="EY26" s="19">
        <f t="shared" si="90"/>
        <v>0</v>
      </c>
      <c r="EZ26" s="19">
        <f t="shared" si="23"/>
        <v>0</v>
      </c>
      <c r="FA26" s="19">
        <f t="shared" si="24"/>
        <v>0</v>
      </c>
      <c r="FB26" s="19">
        <f t="shared" si="25"/>
        <v>0</v>
      </c>
      <c r="FC26" s="19">
        <f t="shared" si="26"/>
        <v>0</v>
      </c>
      <c r="FE26" s="19">
        <f t="shared" si="27"/>
        <v>0</v>
      </c>
      <c r="FF26" s="19">
        <f t="shared" si="28"/>
        <v>0</v>
      </c>
      <c r="FG26" s="19">
        <f t="shared" si="29"/>
        <v>0</v>
      </c>
      <c r="FH26" s="19">
        <f t="shared" si="30"/>
        <v>0</v>
      </c>
      <c r="FI26" s="19">
        <f t="shared" si="31"/>
        <v>0</v>
      </c>
      <c r="FJ26" s="770">
        <f t="shared" si="32"/>
        <v>0</v>
      </c>
      <c r="FK26" s="545" t="s">
        <v>1</v>
      </c>
    </row>
    <row r="27" spans="2:167" x14ac:dyDescent="0.2">
      <c r="B27" s="225" t="s">
        <v>139</v>
      </c>
      <c r="C27" s="19">
        <f>SUM(Refurbished!C17:C19)</f>
        <v>41</v>
      </c>
      <c r="D27" s="19">
        <f>SUM(Refurbished!D17:D19)</f>
        <v>39</v>
      </c>
      <c r="E27" s="19">
        <f>SUM(Refurbished!E17:E19)</f>
        <v>77</v>
      </c>
      <c r="F27" s="19">
        <f>SUM(Refurbished!F17:F19)</f>
        <v>89</v>
      </c>
      <c r="G27" s="19">
        <f>SUM(Refurbished!G17:G19)</f>
        <v>176</v>
      </c>
      <c r="H27" s="19">
        <f>SUM(Refurbished!H17:H19)</f>
        <v>214</v>
      </c>
      <c r="I27" s="19">
        <f>SUM(Refurbished!I17:I19)</f>
        <v>161</v>
      </c>
      <c r="J27" s="19">
        <f>SUM(Refurbished!J17:J19)</f>
        <v>94</v>
      </c>
      <c r="K27" s="19">
        <f>SUM(Refurbished!K17:K19)</f>
        <v>118</v>
      </c>
      <c r="L27" s="19">
        <f>SUM(Refurbished!L17:L19)</f>
        <v>139</v>
      </c>
      <c r="M27" s="19">
        <f>SUM(Refurbished!M17:M19)</f>
        <v>204</v>
      </c>
      <c r="N27" s="19">
        <f>SUM(Refurbished!N17:N19)</f>
        <v>172</v>
      </c>
      <c r="O27" s="19">
        <f>SUM(Refurbished!O17:O19)</f>
        <v>202</v>
      </c>
      <c r="P27" s="19">
        <f>SUM(Refurbished!P17:P19)</f>
        <v>168</v>
      </c>
      <c r="Q27" s="19">
        <f>SUM(Refurbished!Q17:Q19)</f>
        <v>191</v>
      </c>
      <c r="R27" s="19">
        <f>SUM(Refurbished!R17:R19)</f>
        <v>210</v>
      </c>
      <c r="S27" s="19">
        <f>SUM(Refurbished!S17:S19)</f>
        <v>125</v>
      </c>
      <c r="T27" s="19">
        <f>SUM(Refurbished!T17:T19)</f>
        <v>564</v>
      </c>
      <c r="U27" s="19">
        <f>SUM(Refurbished!U17:U19)</f>
        <v>219</v>
      </c>
      <c r="V27" s="19">
        <f>SUM(Refurbished!V17:V19)</f>
        <v>437</v>
      </c>
      <c r="W27" s="19">
        <f>SUM(Refurbished!W17:W19)</f>
        <v>181</v>
      </c>
      <c r="X27" s="19">
        <f>SUM(Refurbished!X17:X19)</f>
        <v>283</v>
      </c>
      <c r="Y27" s="19">
        <f>SUM(Refurbished!Y17:Y19)</f>
        <v>2079</v>
      </c>
      <c r="Z27" s="19">
        <f>SUM(Refurbished!Z17:Z19)</f>
        <v>739</v>
      </c>
      <c r="AA27" s="19">
        <f>SUM(Refurbished!AA17:AA19)</f>
        <v>499</v>
      </c>
      <c r="AB27" s="19">
        <f>SUM(Refurbished!AB17:AB19)</f>
        <v>696</v>
      </c>
      <c r="AC27" s="19">
        <f>SUM(Refurbished!AC17:AC19)</f>
        <v>740</v>
      </c>
      <c r="AD27" s="19">
        <f>SUM(Refurbished!AD17:AD19)</f>
        <v>622</v>
      </c>
      <c r="AE27" s="19">
        <f>SUM(Refurbished!AE17:AE19)</f>
        <v>652</v>
      </c>
      <c r="AF27" s="19">
        <f>SUM(Refurbished!AF17:AF19)</f>
        <v>722</v>
      </c>
      <c r="AG27" s="19">
        <f>SUM(Refurbished!AG17:AG19)</f>
        <v>888</v>
      </c>
      <c r="AH27" s="19">
        <f>SUM(Refurbished!AH17:AH19)</f>
        <v>682</v>
      </c>
      <c r="AI27" s="19">
        <f>SUM(Refurbished!AI17:AI19)</f>
        <v>1167</v>
      </c>
      <c r="AJ27" s="19">
        <f>SUM(Refurbished!AJ17:AJ19)</f>
        <v>1761</v>
      </c>
      <c r="AK27" s="19">
        <f>SUM(Refurbished!AK17:AK19)</f>
        <v>1473</v>
      </c>
      <c r="AL27" s="19">
        <f>SUM(Refurbished!AL17:AL19)</f>
        <v>2108</v>
      </c>
      <c r="AM27" s="19">
        <f>SUM(Refurbished!AM17:AM19)</f>
        <v>1123</v>
      </c>
      <c r="AN27" s="19">
        <f>SUM(Refurbished!AN17:AN19)</f>
        <v>420</v>
      </c>
      <c r="AO27" s="19">
        <f>SUM(Refurbished!AO17:AO19)</f>
        <v>733</v>
      </c>
      <c r="AP27" s="19">
        <f>SUM(Refurbished!AP17:AP19)</f>
        <v>1012</v>
      </c>
      <c r="AQ27" s="19">
        <f>SUM(Refurbished!AQ17:AQ19)</f>
        <v>851</v>
      </c>
      <c r="AR27" s="19">
        <f>SUM(Refurbished!AR17:AR19)</f>
        <v>1045</v>
      </c>
      <c r="AS27" s="19">
        <f>SUM(Refurbished!AS17:AS19)</f>
        <v>1338</v>
      </c>
      <c r="AT27" s="19">
        <f>SUM(Refurbished!AT17:AT19)</f>
        <v>2082</v>
      </c>
      <c r="AU27" s="19">
        <f>SUM(Refurbished!AU17:AU19)</f>
        <v>3952</v>
      </c>
      <c r="AV27" s="19">
        <f>SUM(Refurbished!AV17:AV19)</f>
        <v>4087</v>
      </c>
      <c r="AW27" s="19">
        <f>SUM(Refurbished!AW17:AW19)</f>
        <v>3723</v>
      </c>
      <c r="AX27" s="19">
        <f>SUM(Refurbished!AX17:AX19)</f>
        <v>4270</v>
      </c>
      <c r="AY27" s="19">
        <f>SUM(Refurbished!AY17:AY19)</f>
        <v>3127</v>
      </c>
      <c r="AZ27" s="19">
        <f>SUM(Refurbished!AZ17:AZ19)</f>
        <v>4030</v>
      </c>
      <c r="BA27" s="19">
        <f>SUM(Refurbished!BA17:BA19)</f>
        <v>3938</v>
      </c>
      <c r="BB27" s="19">
        <f>SUM(Refurbished!BB17:BB19)</f>
        <v>3182</v>
      </c>
      <c r="BC27" s="19">
        <f>SUM(Refurbished!BC17:BC19)</f>
        <v>3665</v>
      </c>
      <c r="BD27" s="19">
        <f>SUM(Refurbished!BD17:BD19)</f>
        <v>4139</v>
      </c>
      <c r="BE27" s="19">
        <f>SUM(Refurbished!BE17:BE19)</f>
        <v>3597</v>
      </c>
      <c r="BF27" s="19">
        <f>SUM(Refurbished!BF17:BF19)</f>
        <v>3580</v>
      </c>
      <c r="BG27" s="19">
        <f>SUM(Refurbished!BG17:BG19)</f>
        <v>3482</v>
      </c>
      <c r="BH27" s="19">
        <f>SUM(Refurbished!BH17:BH19)</f>
        <v>2688</v>
      </c>
      <c r="BI27" s="19">
        <f>SUM(Refurbished!BI17:BI19)</f>
        <v>2774</v>
      </c>
      <c r="BJ27" s="19">
        <f>SUM(Refurbished!BJ17:BJ19)</f>
        <v>4978</v>
      </c>
      <c r="BK27" s="19">
        <f>SUM(Refurbished!BK17:BK19)</f>
        <v>4252</v>
      </c>
      <c r="BL27" s="19">
        <f>SUM(Refurbished!BL17:BL19)</f>
        <v>4085</v>
      </c>
      <c r="BM27" s="19">
        <f>SUM(Refurbished!BM17:BM19)</f>
        <v>4043</v>
      </c>
      <c r="BN27" s="19">
        <f>SUM(Refurbished!BN17:BN19)</f>
        <v>5286</v>
      </c>
      <c r="BO27" s="19">
        <f>SUM(Refurbished!BO17:BO19)</f>
        <v>4275</v>
      </c>
      <c r="BP27" s="19">
        <f>SUM(Refurbished!BP17:BP19)</f>
        <v>5010</v>
      </c>
      <c r="BQ27" s="19">
        <f>SUM(Refurbished!BQ17:BQ19)</f>
        <v>5927</v>
      </c>
      <c r="BR27" s="19">
        <f>SUM(Refurbished!BR17:BR19)</f>
        <v>4749</v>
      </c>
      <c r="BS27" s="19">
        <f>SUM(Refurbished!BS17:BS19)</f>
        <v>3957</v>
      </c>
      <c r="BT27" s="19">
        <f>SUM(Refurbished!BT17:BT19)</f>
        <v>3841</v>
      </c>
      <c r="BU27" s="19">
        <f>SUM(Refurbished!BU17:BU19)</f>
        <v>4202</v>
      </c>
      <c r="BV27" s="19">
        <f>SUM(Refurbished!BV17:BV19)</f>
        <v>3598</v>
      </c>
      <c r="BW27" s="19">
        <f>SUM(Refurbished!BW17:BW19)</f>
        <v>4044</v>
      </c>
      <c r="BX27" s="19">
        <f>SUM(Refurbished!BX17:BX19)</f>
        <v>4139</v>
      </c>
      <c r="BY27" s="19">
        <f>SUM(Refurbished!BY17:BY19)</f>
        <v>3980</v>
      </c>
      <c r="BZ27" s="19">
        <f>SUM(Refurbished!BZ17:BZ19)</f>
        <v>4479</v>
      </c>
      <c r="CA27" s="19">
        <f>SUM(Refurbished!CA17:CA19)</f>
        <v>4336</v>
      </c>
      <c r="CB27" s="19">
        <f>SUM(Refurbished!CB17:CB19)</f>
        <v>4427</v>
      </c>
      <c r="CC27" s="19">
        <f>SUM(Refurbished!CC17:CC19)</f>
        <v>3841</v>
      </c>
      <c r="CD27" s="19">
        <f>SUM(Refurbished!CD17:CD19)</f>
        <v>3861</v>
      </c>
      <c r="CE27" s="19">
        <f>SUM(Refurbished!CE17:CE19)</f>
        <v>3793</v>
      </c>
      <c r="CF27" s="19">
        <f>SUM(Refurbished!CF17:CF19)</f>
        <v>4659</v>
      </c>
      <c r="CG27" s="19">
        <f>SUM(Refurbished!CG17:CG19)</f>
        <v>4680</v>
      </c>
      <c r="CH27" s="19">
        <f>SUM(Refurbished!CH17:CH19)</f>
        <v>5816</v>
      </c>
      <c r="CI27" s="19">
        <f>SUM(Refurbished!CI17:CI19)</f>
        <v>6307</v>
      </c>
      <c r="CJ27" s="19">
        <f>SUM(Refurbished!CJ17:CJ19)</f>
        <v>6144</v>
      </c>
      <c r="CK27" s="19">
        <f>SUM(Refurbished!CK17:CK19)</f>
        <v>5818.7142857142853</v>
      </c>
      <c r="CL27" s="19">
        <f>SUM(Refurbished!CL17:CL19)</f>
        <v>5690</v>
      </c>
      <c r="CM27" s="19">
        <f>SUM(Refurbished!CM17:CM19)</f>
        <v>5478</v>
      </c>
      <c r="CN27" s="19">
        <f>SUM(Refurbished!CN17:CN19)</f>
        <v>3681</v>
      </c>
      <c r="CO27" s="19">
        <f>SUM(Refurbished!CO17:CO19)</f>
        <v>5785</v>
      </c>
      <c r="CP27" s="19">
        <f>SUM(Refurbished!CP17:CP19)</f>
        <v>5478</v>
      </c>
      <c r="CQ27" s="19">
        <f>SUM(Refurbished!CQ17:CQ19)</f>
        <v>6206</v>
      </c>
      <c r="CR27" s="19">
        <f>SUM(Refurbished!CR17:CR19)</f>
        <v>6462</v>
      </c>
      <c r="CS27" s="19">
        <f>SUM(Refurbished!CS17:CS19)</f>
        <v>5895</v>
      </c>
      <c r="CT27" s="19">
        <f>SUM(Refurbished!CT17:CT19)</f>
        <v>6204</v>
      </c>
      <c r="CU27" s="19">
        <f>SUM(Refurbished!CU17:CU19)</f>
        <v>5907.0260623284648</v>
      </c>
      <c r="CV27" s="19">
        <f>SUM(Refurbished!CV17:CV19)</f>
        <v>5914.8640280867512</v>
      </c>
      <c r="CW27" s="19">
        <f>SUM(Refurbished!CW17:CW19)</f>
        <v>5906.5961563317442</v>
      </c>
      <c r="CX27" s="19">
        <f>SUM(Refurbished!CX17:CX19)</f>
        <v>6109.322215858323</v>
      </c>
      <c r="CY27" s="19">
        <f>SUM(Refurbished!CY17:CY19)</f>
        <v>5659.3373302394502</v>
      </c>
      <c r="CZ27" s="19">
        <f>SUM(Refurbished!CZ17:CZ19)</f>
        <v>5935.7163976571501</v>
      </c>
      <c r="DA27" s="19">
        <f>SUM(Refurbished!DA17:DA19)</f>
        <v>6177.8890807524476</v>
      </c>
      <c r="DB27" s="19">
        <f>SUM(Refurbished!DB17:DB19)</f>
        <v>6039.3509410844963</v>
      </c>
      <c r="DC27" s="19">
        <f>SUM(Refurbished!DC17:DC19)</f>
        <v>7379.5991751760675</v>
      </c>
      <c r="DD27" s="19">
        <f>SUM(Refurbished!DD17:DD19)</f>
        <v>7853.4122673447964</v>
      </c>
      <c r="DE27" s="19">
        <f>SUM(Refurbished!DE17:DE19)</f>
        <v>6862.3672802881765</v>
      </c>
      <c r="DF27" s="19">
        <f>SUM(Refurbished!DF17:DF19)</f>
        <v>7585.738284083076</v>
      </c>
      <c r="DG27" s="19">
        <f>SUM(Refurbished!DG17:DG19)</f>
        <v>6857.6905277920077</v>
      </c>
      <c r="DH27" s="19">
        <f>SUM(Refurbished!DH17:DH19)</f>
        <v>6870.1117070206901</v>
      </c>
      <c r="DI27" s="19">
        <f>SUM(Refurbished!DI17:DI19)</f>
        <v>6851.0519130603425</v>
      </c>
      <c r="DJ27" s="19">
        <f>SUM(Refurbished!DJ17:DJ19)</f>
        <v>7087.5374316453162</v>
      </c>
      <c r="DK27" s="19">
        <f>SUM(Refurbished!DK17:DK19)</f>
        <v>6560.4295525509206</v>
      </c>
      <c r="DL27" s="19">
        <f>SUM(Refurbished!DL17:DL19)</f>
        <v>6871.2006714203544</v>
      </c>
      <c r="DM27" s="19">
        <f>SUM(Refurbished!DM17:DM19)</f>
        <v>7153.0651829859489</v>
      </c>
      <c r="DN27" s="19">
        <f>SUM(Refurbished!DN17:DN19)</f>
        <v>6980.7687959547202</v>
      </c>
      <c r="DO27" s="19">
        <f>SUM(Refurbished!DO17:DO19)</f>
        <v>8519.8818028743372</v>
      </c>
      <c r="DP27" s="19">
        <f>SUM(Refurbished!DP17:DP19)</f>
        <v>9056.0414331207594</v>
      </c>
      <c r="DQ27" s="19">
        <f>SUM(Refurbished!DQ17:DQ19)</f>
        <v>7905.0084185947035</v>
      </c>
      <c r="DR27" s="19">
        <f>SUM(Refurbished!DR17:DR19)</f>
        <v>8710.9779026114593</v>
      </c>
      <c r="DS27" s="19">
        <f>SUM(Refurbished!DS17:DS19)</f>
        <v>7873.8834997101985</v>
      </c>
      <c r="DT27" s="19">
        <f>SUM(Refurbished!DT17:DT19)</f>
        <v>7886.5458476034055</v>
      </c>
      <c r="DU27" s="19">
        <f>SUM(Refurbished!DU17:DU19)</f>
        <v>7863.5273134744057</v>
      </c>
      <c r="DV27" s="19">
        <f>SUM(Refurbished!DV17:DV19)</f>
        <v>8132.8362531012745</v>
      </c>
      <c r="DW27" s="19">
        <f>SUM(Refurbished!DW17:DW19)</f>
        <v>7527.0572387335451</v>
      </c>
      <c r="DX27" s="19">
        <f>SUM(Refurbished!DX17:DX19)</f>
        <v>7883.8300464875547</v>
      </c>
      <c r="DY27" s="19">
        <f>SUM(Refurbished!DY17:DY19)</f>
        <v>8202.5246325292264</v>
      </c>
      <c r="DZ27" s="19">
        <f>SUM(Refurbished!DZ17:DZ19)</f>
        <v>8005.3809411453003</v>
      </c>
      <c r="EA27" s="19">
        <f>SUM(Refurbished!EA17:EA19)</f>
        <v>9770.1639413550201</v>
      </c>
      <c r="EB27" s="19">
        <f>SUM(Refurbished!EB17:EB19)</f>
        <v>10385.466341954196</v>
      </c>
      <c r="EC27" s="19">
        <f>SUM(Refurbished!EC17:EC19)</f>
        <v>9062.8589842309775</v>
      </c>
      <c r="ED27" s="19">
        <f>SUM(Refurbished!ED17:ED19)</f>
        <v>9984.4941372824724</v>
      </c>
      <c r="EE27" s="222"/>
      <c r="EF27" s="19">
        <f t="shared" si="71"/>
        <v>12380</v>
      </c>
      <c r="EG27" s="19">
        <f t="shared" si="72"/>
        <v>14571</v>
      </c>
      <c r="EH27" s="19">
        <f t="shared" si="73"/>
        <v>14633</v>
      </c>
      <c r="EI27" s="19">
        <f t="shared" si="74"/>
        <v>11641</v>
      </c>
      <c r="EJ27" s="19">
        <f t="shared" si="75"/>
        <v>12163</v>
      </c>
      <c r="EK27" s="19">
        <f t="shared" si="76"/>
        <v>13242</v>
      </c>
      <c r="EL27" s="19">
        <f t="shared" si="77"/>
        <v>11495</v>
      </c>
      <c r="EM27" s="19">
        <f t="shared" si="78"/>
        <v>15155</v>
      </c>
      <c r="EN27" s="19">
        <f t="shared" si="79"/>
        <v>18269.714285714286</v>
      </c>
      <c r="EO27" s="19">
        <f t="shared" si="80"/>
        <v>14849</v>
      </c>
      <c r="EP27" s="19">
        <f t="shared" si="81"/>
        <v>17469</v>
      </c>
      <c r="EQ27" s="19">
        <f t="shared" si="82"/>
        <v>18561</v>
      </c>
      <c r="ER27" s="19">
        <f t="shared" si="83"/>
        <v>17728.486246746961</v>
      </c>
      <c r="ES27" s="19">
        <f t="shared" si="84"/>
        <v>17704.375943754923</v>
      </c>
      <c r="ET27" s="19">
        <f t="shared" si="85"/>
        <v>19596.839197013011</v>
      </c>
      <c r="EU27" s="19">
        <f t="shared" si="86"/>
        <v>22301.51783171605</v>
      </c>
      <c r="EV27" s="19">
        <f t="shared" si="87"/>
        <v>20578.85414787304</v>
      </c>
      <c r="EW27" s="19">
        <f t="shared" si="88"/>
        <v>20519.167655616591</v>
      </c>
      <c r="EX27" s="19">
        <f t="shared" si="89"/>
        <v>22653.715781815008</v>
      </c>
      <c r="EY27" s="19">
        <f t="shared" si="90"/>
        <v>25672.027754326922</v>
      </c>
      <c r="EZ27" s="19">
        <f t="shared" si="23"/>
        <v>23623.956660788012</v>
      </c>
      <c r="FA27" s="19">
        <f t="shared" si="24"/>
        <v>23543.723538322374</v>
      </c>
      <c r="FB27" s="19">
        <f t="shared" si="25"/>
        <v>25978.069515029547</v>
      </c>
      <c r="FC27" s="19">
        <f t="shared" si="26"/>
        <v>29432.819463467644</v>
      </c>
      <c r="FE27" s="19">
        <f t="shared" si="27"/>
        <v>53225</v>
      </c>
      <c r="FF27" s="19">
        <f t="shared" si="28"/>
        <v>52055</v>
      </c>
      <c r="FG27" s="19">
        <f t="shared" si="29"/>
        <v>69148.71428571429</v>
      </c>
      <c r="FH27" s="19">
        <f t="shared" si="30"/>
        <v>77331.219219230945</v>
      </c>
      <c r="FI27" s="19">
        <f t="shared" si="31"/>
        <v>89423.765339631558</v>
      </c>
      <c r="FJ27" s="770">
        <f t="shared" si="32"/>
        <v>102578.56917760758</v>
      </c>
      <c r="FK27" s="545" t="s">
        <v>1</v>
      </c>
    </row>
    <row r="28" spans="2:167" x14ac:dyDescent="0.2">
      <c r="B28" s="299" t="s">
        <v>8</v>
      </c>
      <c r="C28" s="19"/>
      <c r="D28" s="19"/>
      <c r="E28" s="19"/>
      <c r="F28" s="19"/>
      <c r="G28" s="19"/>
      <c r="H28" s="19"/>
      <c r="I28" s="19"/>
      <c r="J28" s="19"/>
      <c r="K28" s="19"/>
      <c r="L28" s="19">
        <f>'D2C Online'!C24+'D2C Online'!C29</f>
        <v>0</v>
      </c>
      <c r="M28" s="19">
        <f>'D2C Online'!D24+'D2C Online'!D29</f>
        <v>0</v>
      </c>
      <c r="N28" s="19">
        <f>'D2C Online'!E24+'D2C Online'!E29</f>
        <v>0</v>
      </c>
      <c r="O28" s="19">
        <f>'D2C Online'!F24+'D2C Online'!F29</f>
        <v>0</v>
      </c>
      <c r="P28" s="19">
        <f>'D2C Online'!G24+'D2C Online'!G29</f>
        <v>0</v>
      </c>
      <c r="Q28" s="19">
        <f>'D2C Online'!H24+'D2C Online'!H29</f>
        <v>0</v>
      </c>
      <c r="R28" s="19">
        <f>'D2C Online'!I24+'D2C Online'!I29</f>
        <v>0</v>
      </c>
      <c r="S28" s="19">
        <f>'D2C Online'!J24+'D2C Online'!J29</f>
        <v>0</v>
      </c>
      <c r="T28" s="19">
        <f>'D2C Online'!K24+'D2C Online'!K29</f>
        <v>0</v>
      </c>
      <c r="U28" s="19">
        <f>'D2C Online'!L24+'D2C Online'!L29</f>
        <v>0</v>
      </c>
      <c r="V28" s="19">
        <f>'D2C Online'!M24+'D2C Online'!M29</f>
        <v>0</v>
      </c>
      <c r="W28" s="19">
        <f>'D2C Online'!N24+'D2C Online'!N29</f>
        <v>0</v>
      </c>
      <c r="X28" s="19">
        <f>'D2C Online'!O24+'D2C Online'!O29</f>
        <v>0</v>
      </c>
      <c r="Y28" s="19">
        <f>'D2C Online'!P24+'D2C Online'!P29</f>
        <v>0</v>
      </c>
      <c r="Z28" s="19">
        <f>'D2C Online'!Q24+'D2C Online'!Q29</f>
        <v>0</v>
      </c>
      <c r="AA28" s="19">
        <f>'D2C Online'!R24+'D2C Online'!R29</f>
        <v>0</v>
      </c>
      <c r="AB28" s="19">
        <f>'D2C Online'!S24+'D2C Online'!S29</f>
        <v>0</v>
      </c>
      <c r="AC28" s="19">
        <f>'D2C Online'!T24+'D2C Online'!T29</f>
        <v>0</v>
      </c>
      <c r="AD28" s="19">
        <f>'D2C Online'!U24+'D2C Online'!U29</f>
        <v>0</v>
      </c>
      <c r="AE28" s="19">
        <f>'D2C Online'!V24+'D2C Online'!V29</f>
        <v>0</v>
      </c>
      <c r="AF28" s="19">
        <f>'D2C Online'!W24+'D2C Online'!W29</f>
        <v>0</v>
      </c>
      <c r="AG28" s="19">
        <f>'D2C Online'!X24+'D2C Online'!X29</f>
        <v>0</v>
      </c>
      <c r="AH28" s="19">
        <f>'D2C Online'!Y24+'D2C Online'!Y29</f>
        <v>0</v>
      </c>
      <c r="AI28" s="19">
        <f>'D2C Online'!Z24+'D2C Online'!Z29</f>
        <v>0</v>
      </c>
      <c r="AJ28" s="19">
        <f>'D2C Online'!AA24+'D2C Online'!AA29</f>
        <v>0</v>
      </c>
      <c r="AK28" s="19">
        <f>'D2C Online'!AB24+'D2C Online'!AB29</f>
        <v>0</v>
      </c>
      <c r="AL28" s="19">
        <f>'D2C Online'!AC24+'D2C Online'!AC29</f>
        <v>0</v>
      </c>
      <c r="AM28" s="19">
        <f>'D2C Online'!AD24+'D2C Online'!AD29</f>
        <v>0</v>
      </c>
      <c r="AN28" s="19">
        <f>'D2C Online'!AE24+'D2C Online'!AE29</f>
        <v>0</v>
      </c>
      <c r="AO28" s="19">
        <f>'D2C Online'!AF24+'D2C Online'!AF29</f>
        <v>0</v>
      </c>
      <c r="AP28" s="19">
        <f>'D2C Online'!AG24+'D2C Online'!AG29</f>
        <v>0</v>
      </c>
      <c r="AQ28" s="19">
        <f>'D2C Online'!AH24+'D2C Online'!AH29</f>
        <v>0</v>
      </c>
      <c r="AR28" s="19">
        <f>'D2C Online'!AI24+'D2C Online'!AI29</f>
        <v>0</v>
      </c>
      <c r="AS28" s="19">
        <f>'D2C Online'!AJ24+'D2C Online'!AJ29</f>
        <v>0</v>
      </c>
      <c r="AT28" s="19">
        <f>'D2C Online'!AK24+'D2C Online'!AK29</f>
        <v>0</v>
      </c>
      <c r="AU28" s="19">
        <f>'D2C Online'!AL24+'D2C Online'!AL29</f>
        <v>0</v>
      </c>
      <c r="AV28" s="19">
        <f>'D2C Online'!AM24+'D2C Online'!AM29</f>
        <v>0</v>
      </c>
      <c r="AW28" s="19">
        <f>'D2C Online'!AN24+'D2C Online'!AN29</f>
        <v>0</v>
      </c>
      <c r="AX28" s="19">
        <f>'D2C Online'!AO24+'D2C Online'!AO29</f>
        <v>0</v>
      </c>
      <c r="AY28" s="19">
        <f>'D2C Online'!AP24+'D2C Online'!AP29</f>
        <v>0</v>
      </c>
      <c r="AZ28" s="19">
        <f>'D2C Online'!AQ24+'D2C Online'!AQ29</f>
        <v>0</v>
      </c>
      <c r="BA28" s="19">
        <f>'D2C Online'!AR24+'D2C Online'!AR29</f>
        <v>0</v>
      </c>
      <c r="BB28" s="19">
        <f>'D2C Online'!AS24+'D2C Online'!AS29</f>
        <v>0</v>
      </c>
      <c r="BC28" s="19">
        <f>'D2C Online'!AT24+'D2C Online'!AT29</f>
        <v>0</v>
      </c>
      <c r="BD28" s="19">
        <f>'D2C Online'!AU24+'D2C Online'!AU29</f>
        <v>0</v>
      </c>
      <c r="BE28" s="19">
        <f>'D2C Online'!AV24+'D2C Online'!AV29</f>
        <v>0</v>
      </c>
      <c r="BF28" s="19">
        <f>'D2C Online'!AW24+'D2C Online'!AW29</f>
        <v>0</v>
      </c>
      <c r="BG28" s="19">
        <f>'D2C Online'!AX24+'D2C Online'!AX29</f>
        <v>0</v>
      </c>
      <c r="BH28" s="19">
        <f>'D2C Online'!AY24+'D2C Online'!AY29</f>
        <v>0</v>
      </c>
      <c r="BI28" s="19">
        <f>'D2C Online'!AZ24+'D2C Online'!AZ29</f>
        <v>0</v>
      </c>
      <c r="BJ28" s="19">
        <f>'D2C Online'!BA24+'D2C Online'!BA29</f>
        <v>2444</v>
      </c>
      <c r="BK28" s="19">
        <f>'D2C Online'!BB24+'D2C Online'!BB29</f>
        <v>2391</v>
      </c>
      <c r="BL28" s="19">
        <f>'D2C Online'!BC24+'D2C Online'!BC29</f>
        <v>1981</v>
      </c>
      <c r="BM28" s="19">
        <f>'D2C Online'!BD24+'D2C Online'!BD29</f>
        <v>1465</v>
      </c>
      <c r="BN28" s="19">
        <f>'D2C Online'!BE24+'D2C Online'!BE29</f>
        <v>2833</v>
      </c>
      <c r="BO28" s="19">
        <f>'D2C Online'!BF24+'D2C Online'!BF29</f>
        <v>1662</v>
      </c>
      <c r="BP28" s="19">
        <f>'D2C Online'!BG24+'D2C Online'!BG29</f>
        <v>2303</v>
      </c>
      <c r="BQ28" s="19">
        <f>'D2C Online'!BH24+'D2C Online'!BH29</f>
        <v>2663</v>
      </c>
      <c r="BR28" s="19">
        <f>'D2C Online'!BI24+'D2C Online'!BI29</f>
        <v>2086</v>
      </c>
      <c r="BS28" s="19">
        <f>'D2C Online'!BJ24+'D2C Online'!BJ29</f>
        <v>1811</v>
      </c>
      <c r="BT28" s="19">
        <f>'D2C Online'!BK24+'D2C Online'!BK29</f>
        <v>1669</v>
      </c>
      <c r="BU28" s="19">
        <f>'D2C Online'!BL24+'D2C Online'!BL29</f>
        <v>2290</v>
      </c>
      <c r="BV28" s="19">
        <f>'D2C Online'!BM24+'D2C Online'!BM29</f>
        <v>1306</v>
      </c>
      <c r="BW28" s="19">
        <f>'D2C Online'!BN24+'D2C Online'!BN29</f>
        <v>1575</v>
      </c>
      <c r="BX28" s="19">
        <f>'D2C Online'!BO24+'D2C Online'!BO29</f>
        <v>1557</v>
      </c>
      <c r="BY28" s="19">
        <f>'D2C Online'!BP24+'D2C Online'!BP29</f>
        <v>1527</v>
      </c>
      <c r="BZ28" s="19">
        <f>'D2C Online'!BQ24+'D2C Online'!BQ29</f>
        <v>1525</v>
      </c>
      <c r="CA28" s="19">
        <f>'D2C Online'!BR24+'D2C Online'!BR29</f>
        <v>1475</v>
      </c>
      <c r="CB28" s="19">
        <f>'D2C Online'!BS24+'D2C Online'!BS29</f>
        <v>1575</v>
      </c>
      <c r="CC28" s="19">
        <f>'D2C Online'!BT24+'D2C Online'!BT29</f>
        <v>1513</v>
      </c>
      <c r="CD28" s="19">
        <f>'D2C Online'!BU24+'D2C Online'!BU29</f>
        <v>1507</v>
      </c>
      <c r="CE28" s="19">
        <f>'D2C Online'!BV24+'D2C Online'!BV29</f>
        <v>1229</v>
      </c>
      <c r="CF28" s="19">
        <f>'D2C Online'!BW24+'D2C Online'!BW29</f>
        <v>1646</v>
      </c>
      <c r="CG28" s="19">
        <f>'D2C Online'!BX24+'D2C Online'!BX29</f>
        <v>1700</v>
      </c>
      <c r="CH28" s="19">
        <f>'D2C Online'!BY24+'D2C Online'!BY29</f>
        <v>2385</v>
      </c>
      <c r="CI28" s="19">
        <f>'D2C Online'!BZ24+'D2C Online'!BZ29</f>
        <v>2738</v>
      </c>
      <c r="CJ28" s="19">
        <f>'D2C Online'!CA24+'D2C Online'!CA29</f>
        <v>2682</v>
      </c>
      <c r="CK28" s="19">
        <f>'D2C Online'!CB24+'D2C Online'!CB29</f>
        <v>2066.7142857142858</v>
      </c>
      <c r="CL28" s="19">
        <f>'D2C Online'!CC24+'D2C Online'!CC29</f>
        <v>1687</v>
      </c>
      <c r="CM28" s="19">
        <f>'D2C Online'!CD24+'D2C Online'!CD29</f>
        <v>1859</v>
      </c>
      <c r="CN28" s="19">
        <f>'D2C Online'!CE24+'D2C Online'!CE29</f>
        <v>-226</v>
      </c>
      <c r="CO28" s="19">
        <f>'D2C Online'!CF24+'D2C Online'!CF29</f>
        <v>2043</v>
      </c>
      <c r="CP28" s="19">
        <f>'D2C Online'!CG24+'D2C Online'!CG29</f>
        <v>1839</v>
      </c>
      <c r="CQ28" s="19">
        <f>'D2C Online'!CH24+'D2C Online'!CH29</f>
        <v>2186</v>
      </c>
      <c r="CR28" s="19">
        <f>'D2C Online'!CI24+'D2C Online'!CI29</f>
        <v>2202</v>
      </c>
      <c r="CS28" s="19">
        <f>'D2C Online'!CJ24+'D2C Online'!CJ29</f>
        <v>1936</v>
      </c>
      <c r="CT28" s="19">
        <f>'D2C Online'!CK24+'D2C Online'!CK29</f>
        <v>2095</v>
      </c>
      <c r="CU28" s="19">
        <f>'D2C Online'!CL24+'D2C Online'!CL29</f>
        <v>1910.0308546192412</v>
      </c>
      <c r="CV28" s="19">
        <f>'D2C Online'!CM24+'D2C Online'!CM29</f>
        <v>1929.4704941513487</v>
      </c>
      <c r="CW28" s="19">
        <f>'D2C Online'!CN24+'D2C Online'!CN29</f>
        <v>1928.0901647171165</v>
      </c>
      <c r="CX28" s="19">
        <f>'D2C Online'!CO24+'D2C Online'!CO29</f>
        <v>1957.1921102888518</v>
      </c>
      <c r="CY28" s="19">
        <f>'D2C Online'!CP24+'D2C Online'!CP29</f>
        <v>1844.2351515874909</v>
      </c>
      <c r="CZ28" s="19">
        <f>'D2C Online'!CQ24+'D2C Online'!CQ29</f>
        <v>2017.4664955836715</v>
      </c>
      <c r="DA28" s="19">
        <f>'D2C Online'!CR24+'D2C Online'!CR29</f>
        <v>1961.6781809501074</v>
      </c>
      <c r="DB28" s="19">
        <f>'D2C Online'!CS24+'D2C Online'!CS29</f>
        <v>1966.2792790642159</v>
      </c>
      <c r="DC28" s="19">
        <f>'D2C Online'!CT24+'D2C Online'!CT29</f>
        <v>2413.6210432084026</v>
      </c>
      <c r="DD28" s="19">
        <f>'D2C Online'!CU24+'D2C Online'!CU29</f>
        <v>2600.6556815469085</v>
      </c>
      <c r="DE28" s="19">
        <f>'D2C Online'!CV24+'D2C Online'!CV29</f>
        <v>2229.5771186440675</v>
      </c>
      <c r="DF28" s="19">
        <f>'D2C Online'!CW24+'D2C Online'!CW29</f>
        <v>2409.2499999999995</v>
      </c>
      <c r="DG28" s="19">
        <f>'D2C Online'!CX24+'D2C Online'!CX29</f>
        <v>2196.5354828121281</v>
      </c>
      <c r="DH28" s="19">
        <f>'D2C Online'!CY24+'D2C Online'!CY29</f>
        <v>2218.891068274052</v>
      </c>
      <c r="DI28" s="19">
        <f>'D2C Online'!CZ24+'D2C Online'!CZ29</f>
        <v>2217.3036894246848</v>
      </c>
      <c r="DJ28" s="19">
        <f>'D2C Online'!DA24+'D2C Online'!DA29</f>
        <v>2250.7709268321805</v>
      </c>
      <c r="DK28" s="19">
        <f>'D2C Online'!DB24+'D2C Online'!DB29</f>
        <v>2120.8704243256157</v>
      </c>
      <c r="DL28" s="19">
        <f>'D2C Online'!DC24+'D2C Online'!DC29</f>
        <v>2320.0864699212229</v>
      </c>
      <c r="DM28" s="19">
        <f>'D2C Online'!DD24+'D2C Online'!DD29</f>
        <v>2255.9299080926244</v>
      </c>
      <c r="DN28" s="19">
        <f>'D2C Online'!DE24+'D2C Online'!DE29</f>
        <v>2261.2211709238491</v>
      </c>
      <c r="DO28" s="19">
        <f>'D2C Online'!DF24+'D2C Online'!DF29</f>
        <v>2775.6641996896647</v>
      </c>
      <c r="DP28" s="19">
        <f>'D2C Online'!DG24+'D2C Online'!DG29</f>
        <v>2990.754033778946</v>
      </c>
      <c r="DQ28" s="19">
        <f>'D2C Online'!DH24+'D2C Online'!DH29</f>
        <v>2564.0136864406791</v>
      </c>
      <c r="DR28" s="19">
        <f>'D2C Online'!DI24+'D2C Online'!DI29</f>
        <v>2770.6375000000007</v>
      </c>
      <c r="DS28" s="19">
        <f>'D2C Online'!DJ24+'D2C Online'!DJ29</f>
        <v>2526.015805233947</v>
      </c>
      <c r="DT28" s="19">
        <f>'D2C Online'!DK24+'D2C Online'!DK29</f>
        <v>2551.7247285151598</v>
      </c>
      <c r="DU28" s="19">
        <f>'D2C Online'!DL24+'D2C Online'!DL29</f>
        <v>2549.8992428383876</v>
      </c>
      <c r="DV28" s="19">
        <f>'D2C Online'!DM24+'D2C Online'!DM29</f>
        <v>2588.3865658570076</v>
      </c>
      <c r="DW28" s="19">
        <f>'D2C Online'!DN24+'D2C Online'!DN29</f>
        <v>2439.0009879744575</v>
      </c>
      <c r="DX28" s="19">
        <f>'D2C Online'!DO24+'D2C Online'!DO29</f>
        <v>2668.0994404094063</v>
      </c>
      <c r="DY28" s="19">
        <f>'D2C Online'!DP24+'D2C Online'!DP29</f>
        <v>2594.319394306518</v>
      </c>
      <c r="DZ28" s="19">
        <f>'D2C Online'!DQ24+'D2C Online'!DQ29</f>
        <v>2600.4043465624263</v>
      </c>
      <c r="EA28" s="19">
        <f>'D2C Online'!DR24+'D2C Online'!DR29</f>
        <v>3192.0138296431137</v>
      </c>
      <c r="EB28" s="19">
        <f>'D2C Online'!DS24+'D2C Online'!DS29</f>
        <v>3439.3671388457874</v>
      </c>
      <c r="EC28" s="19">
        <f>'D2C Online'!DT24+'D2C Online'!DT29</f>
        <v>2948.6157394067804</v>
      </c>
      <c r="ED28" s="19">
        <f>'D2C Online'!DU24+'D2C Online'!DU29</f>
        <v>3186.2331250000007</v>
      </c>
      <c r="EE28" s="222"/>
      <c r="EF28" s="19">
        <f t="shared" si="71"/>
        <v>5837</v>
      </c>
      <c r="EG28" s="19">
        <f t="shared" si="72"/>
        <v>6798</v>
      </c>
      <c r="EH28" s="19">
        <f t="shared" si="73"/>
        <v>6560</v>
      </c>
      <c r="EI28" s="19">
        <f t="shared" si="74"/>
        <v>5265</v>
      </c>
      <c r="EJ28" s="19">
        <f t="shared" si="75"/>
        <v>4659</v>
      </c>
      <c r="EK28" s="19">
        <f t="shared" si="76"/>
        <v>4575</v>
      </c>
      <c r="EL28" s="19">
        <f t="shared" si="77"/>
        <v>4249</v>
      </c>
      <c r="EM28" s="19">
        <f t="shared" si="78"/>
        <v>5731</v>
      </c>
      <c r="EN28" s="19">
        <f t="shared" si="79"/>
        <v>7486.7142857142862</v>
      </c>
      <c r="EO28" s="19">
        <f t="shared" si="80"/>
        <v>3320</v>
      </c>
      <c r="EP28" s="19">
        <f t="shared" si="81"/>
        <v>6068</v>
      </c>
      <c r="EQ28" s="19">
        <f t="shared" si="82"/>
        <v>6233</v>
      </c>
      <c r="ER28" s="19">
        <f t="shared" si="83"/>
        <v>5767.5915134877068</v>
      </c>
      <c r="ES28" s="19">
        <f t="shared" si="84"/>
        <v>5818.8937574600141</v>
      </c>
      <c r="ET28" s="19">
        <f t="shared" si="85"/>
        <v>6341.5785032227259</v>
      </c>
      <c r="EU28" s="19">
        <f t="shared" si="86"/>
        <v>7239.4828001909755</v>
      </c>
      <c r="EV28" s="19">
        <f t="shared" si="87"/>
        <v>6632.7302405108658</v>
      </c>
      <c r="EW28" s="19">
        <f t="shared" si="88"/>
        <v>6691.7278210790191</v>
      </c>
      <c r="EX28" s="19">
        <f t="shared" si="89"/>
        <v>7292.815278706139</v>
      </c>
      <c r="EY28" s="19">
        <f t="shared" si="90"/>
        <v>8325.4052202196253</v>
      </c>
      <c r="EZ28" s="19">
        <f t="shared" si="23"/>
        <v>7627.6397765874954</v>
      </c>
      <c r="FA28" s="19">
        <f t="shared" si="24"/>
        <v>7695.4869942408714</v>
      </c>
      <c r="FB28" s="19">
        <f t="shared" si="25"/>
        <v>8386.7375705120576</v>
      </c>
      <c r="FC28" s="19">
        <f t="shared" si="26"/>
        <v>9574.216003252568</v>
      </c>
      <c r="FE28" s="19">
        <f t="shared" si="27"/>
        <v>24460</v>
      </c>
      <c r="FF28" s="19">
        <f t="shared" si="28"/>
        <v>19214</v>
      </c>
      <c r="FG28" s="19">
        <f t="shared" si="29"/>
        <v>23107.714285714286</v>
      </c>
      <c r="FH28" s="19">
        <f t="shared" si="30"/>
        <v>25167.546574361419</v>
      </c>
      <c r="FI28" s="19">
        <f t="shared" si="31"/>
        <v>28942.678560515647</v>
      </c>
      <c r="FJ28" s="770">
        <f t="shared" si="32"/>
        <v>33284.080344592992</v>
      </c>
      <c r="FK28" s="545" t="s">
        <v>1</v>
      </c>
    </row>
    <row r="29" spans="2:167" x14ac:dyDescent="0.2">
      <c r="B29" s="299" t="s">
        <v>134</v>
      </c>
      <c r="C29" s="19"/>
      <c r="D29" s="19"/>
      <c r="E29" s="19"/>
      <c r="F29" s="19"/>
      <c r="G29" s="19"/>
      <c r="H29" s="19"/>
      <c r="I29" s="19"/>
      <c r="J29" s="19"/>
      <c r="K29" s="19"/>
      <c r="L29" s="19">
        <f>'D2C Online'!C25</f>
        <v>0</v>
      </c>
      <c r="M29" s="19">
        <f>'D2C Online'!D25</f>
        <v>0</v>
      </c>
      <c r="N29" s="19">
        <f>'D2C Online'!E25</f>
        <v>0</v>
      </c>
      <c r="O29" s="19">
        <f>'D2C Online'!F25</f>
        <v>0</v>
      </c>
      <c r="P29" s="19">
        <f>'D2C Online'!G25</f>
        <v>0</v>
      </c>
      <c r="Q29" s="19">
        <f>'D2C Online'!H25</f>
        <v>0</v>
      </c>
      <c r="R29" s="19">
        <f>'D2C Online'!I25</f>
        <v>0</v>
      </c>
      <c r="S29" s="19">
        <f>'D2C Online'!J25</f>
        <v>0</v>
      </c>
      <c r="T29" s="19">
        <f>'D2C Online'!K25</f>
        <v>0</v>
      </c>
      <c r="U29" s="19">
        <f>'D2C Online'!L25</f>
        <v>0</v>
      </c>
      <c r="V29" s="19">
        <f>'D2C Online'!M25</f>
        <v>0</v>
      </c>
      <c r="W29" s="19">
        <f>'D2C Online'!N25</f>
        <v>0</v>
      </c>
      <c r="X29" s="19">
        <f>'D2C Online'!O25</f>
        <v>0</v>
      </c>
      <c r="Y29" s="19">
        <f>'D2C Online'!P25</f>
        <v>0</v>
      </c>
      <c r="Z29" s="19">
        <f>'D2C Online'!Q25</f>
        <v>0</v>
      </c>
      <c r="AA29" s="19">
        <f>'D2C Online'!R25</f>
        <v>0</v>
      </c>
      <c r="AB29" s="19">
        <f>'D2C Online'!S25</f>
        <v>0</v>
      </c>
      <c r="AC29" s="19">
        <f>'D2C Online'!T25</f>
        <v>0</v>
      </c>
      <c r="AD29" s="19">
        <f>'D2C Online'!U25</f>
        <v>0</v>
      </c>
      <c r="AE29" s="19">
        <f>'D2C Online'!V25</f>
        <v>0</v>
      </c>
      <c r="AF29" s="19">
        <f>'D2C Online'!W25</f>
        <v>0</v>
      </c>
      <c r="AG29" s="19">
        <f>'D2C Online'!X25</f>
        <v>0</v>
      </c>
      <c r="AH29" s="19">
        <f>'D2C Online'!Y25</f>
        <v>0</v>
      </c>
      <c r="AI29" s="19">
        <f>'D2C Online'!Z25</f>
        <v>0</v>
      </c>
      <c r="AJ29" s="19">
        <f>'D2C Online'!AA25</f>
        <v>0</v>
      </c>
      <c r="AK29" s="19">
        <f>'D2C Online'!AB25</f>
        <v>0</v>
      </c>
      <c r="AL29" s="19">
        <f>'D2C Online'!AC25</f>
        <v>0</v>
      </c>
      <c r="AM29" s="19">
        <f>'D2C Online'!AD25</f>
        <v>0</v>
      </c>
      <c r="AN29" s="19">
        <f>'D2C Online'!AE25</f>
        <v>0</v>
      </c>
      <c r="AO29" s="19">
        <f>'D2C Online'!AF25</f>
        <v>0</v>
      </c>
      <c r="AP29" s="19">
        <f>'D2C Online'!AG25</f>
        <v>0</v>
      </c>
      <c r="AQ29" s="19">
        <f>'D2C Online'!AH25</f>
        <v>0</v>
      </c>
      <c r="AR29" s="19">
        <f>'D2C Online'!AI25</f>
        <v>0</v>
      </c>
      <c r="AS29" s="19">
        <f>'D2C Online'!AJ25</f>
        <v>0</v>
      </c>
      <c r="AT29" s="19">
        <f>'D2C Online'!AK25</f>
        <v>0</v>
      </c>
      <c r="AU29" s="19">
        <f>'D2C Online'!AL25</f>
        <v>0</v>
      </c>
      <c r="AV29" s="19">
        <f>'D2C Online'!AM25</f>
        <v>0</v>
      </c>
      <c r="AW29" s="19">
        <f>'D2C Online'!AN25</f>
        <v>0</v>
      </c>
      <c r="AX29" s="19">
        <f>'D2C Online'!AO25</f>
        <v>0</v>
      </c>
      <c r="AY29" s="19">
        <f>'D2C Online'!AP25</f>
        <v>0</v>
      </c>
      <c r="AZ29" s="19">
        <f>'D2C Online'!AQ25</f>
        <v>0</v>
      </c>
      <c r="BA29" s="19">
        <f>'D2C Online'!AR25</f>
        <v>0</v>
      </c>
      <c r="BB29" s="19">
        <f>'D2C Online'!AS25</f>
        <v>0</v>
      </c>
      <c r="BC29" s="19">
        <f>'D2C Online'!AT25</f>
        <v>0</v>
      </c>
      <c r="BD29" s="19">
        <f>'D2C Online'!AU25</f>
        <v>0</v>
      </c>
      <c r="BE29" s="19">
        <f>'D2C Online'!AV25</f>
        <v>0</v>
      </c>
      <c r="BF29" s="19">
        <f>'D2C Online'!AW25</f>
        <v>0</v>
      </c>
      <c r="BG29" s="19">
        <f>'D2C Online'!AX25</f>
        <v>0</v>
      </c>
      <c r="BH29" s="19">
        <f>'D2C Online'!AY25</f>
        <v>0</v>
      </c>
      <c r="BI29" s="19">
        <f>'D2C Online'!AZ25</f>
        <v>0</v>
      </c>
      <c r="BJ29" s="19">
        <f>'D2C Online'!BA25</f>
        <v>0</v>
      </c>
      <c r="BK29" s="19">
        <f>'D2C Online'!BB25</f>
        <v>0</v>
      </c>
      <c r="BL29" s="19">
        <f>'D2C Online'!BC25</f>
        <v>0</v>
      </c>
      <c r="BM29" s="19">
        <f>'D2C Online'!BD25</f>
        <v>44</v>
      </c>
      <c r="BN29" s="19">
        <f>'D2C Online'!BE25</f>
        <v>399</v>
      </c>
      <c r="BO29" s="19">
        <f>'D2C Online'!BF25</f>
        <v>433</v>
      </c>
      <c r="BP29" s="19">
        <f>'D2C Online'!BG25</f>
        <v>459</v>
      </c>
      <c r="BQ29" s="19">
        <f>'D2C Online'!BH25</f>
        <v>648</v>
      </c>
      <c r="BR29" s="19">
        <f>'D2C Online'!BI25</f>
        <v>414</v>
      </c>
      <c r="BS29" s="19">
        <f>'D2C Online'!BJ25</f>
        <v>270</v>
      </c>
      <c r="BT29" s="19">
        <f>'D2C Online'!BK25</f>
        <v>356</v>
      </c>
      <c r="BU29" s="19">
        <f>'D2C Online'!BL25</f>
        <v>216</v>
      </c>
      <c r="BV29" s="19">
        <f>'D2C Online'!BM25</f>
        <v>286</v>
      </c>
      <c r="BW29" s="19">
        <f>'D2C Online'!BN25</f>
        <v>321</v>
      </c>
      <c r="BX29" s="19">
        <f>'D2C Online'!BO25</f>
        <v>412</v>
      </c>
      <c r="BY29" s="19">
        <f>'D2C Online'!BP25</f>
        <v>403</v>
      </c>
      <c r="BZ29" s="19">
        <f>'D2C Online'!BQ25</f>
        <v>448</v>
      </c>
      <c r="CA29" s="19">
        <f>'D2C Online'!BR25</f>
        <v>406</v>
      </c>
      <c r="CB29" s="19">
        <f>'D2C Online'!BS25</f>
        <v>463</v>
      </c>
      <c r="CC29" s="19">
        <f>'D2C Online'!BT25</f>
        <v>379</v>
      </c>
      <c r="CD29" s="19">
        <f>'D2C Online'!BU25</f>
        <v>386</v>
      </c>
      <c r="CE29" s="19">
        <f>'D2C Online'!BV25</f>
        <v>460</v>
      </c>
      <c r="CF29" s="19">
        <f>'D2C Online'!BW25</f>
        <v>415</v>
      </c>
      <c r="CG29" s="19">
        <f>'D2C Online'!BX25</f>
        <v>558</v>
      </c>
      <c r="CH29" s="19">
        <f>'D2C Online'!BY25</f>
        <v>548</v>
      </c>
      <c r="CI29" s="19">
        <f>'D2C Online'!BZ25</f>
        <v>528</v>
      </c>
      <c r="CJ29" s="19">
        <f>'D2C Online'!CA25</f>
        <v>408</v>
      </c>
      <c r="CK29" s="19">
        <f>'D2C Online'!CB25</f>
        <v>545</v>
      </c>
      <c r="CL29" s="19">
        <f>'D2C Online'!CC25</f>
        <v>582</v>
      </c>
      <c r="CM29" s="19">
        <f>'D2C Online'!CD25</f>
        <v>528</v>
      </c>
      <c r="CN29" s="19">
        <f>'D2C Online'!CE25</f>
        <v>630</v>
      </c>
      <c r="CO29" s="19">
        <f>'D2C Online'!CF25</f>
        <v>607</v>
      </c>
      <c r="CP29" s="19">
        <f>'D2C Online'!CG25</f>
        <v>524</v>
      </c>
      <c r="CQ29" s="19">
        <f>'D2C Online'!CH25</f>
        <v>560</v>
      </c>
      <c r="CR29" s="19">
        <f>'D2C Online'!CI25</f>
        <v>580</v>
      </c>
      <c r="CS29" s="19">
        <f>'D2C Online'!CJ25</f>
        <v>513</v>
      </c>
      <c r="CT29" s="19">
        <f>'D2C Online'!CK25</f>
        <v>571</v>
      </c>
      <c r="CU29" s="19">
        <f>'D2C Online'!CL25</f>
        <v>520.58597517307237</v>
      </c>
      <c r="CV29" s="19">
        <f>'D2C Online'!CM25</f>
        <v>525.88432084029591</v>
      </c>
      <c r="CW29" s="19">
        <f>'D2C Online'!CN25</f>
        <v>525.50810694676534</v>
      </c>
      <c r="CX29" s="19">
        <f>'D2C Online'!CO25</f>
        <v>533.43994986870371</v>
      </c>
      <c r="CY29" s="19">
        <f>'D2C Online'!CP25</f>
        <v>502.65311291477667</v>
      </c>
      <c r="CZ29" s="19">
        <f>'D2C Online'!CQ25</f>
        <v>549.86795655287654</v>
      </c>
      <c r="DA29" s="19">
        <f>'D2C Online'!CR25</f>
        <v>534.66264502267836</v>
      </c>
      <c r="DB29" s="19">
        <f>'D2C Online'!CS25</f>
        <v>535.91669133444736</v>
      </c>
      <c r="DC29" s="19">
        <f>'D2C Online'!CT25</f>
        <v>657.84134399618029</v>
      </c>
      <c r="DD29" s="19">
        <f>'D2C Online'!CU25</f>
        <v>708.81832656958693</v>
      </c>
      <c r="DE29" s="19">
        <f>'D2C Online'!CV25</f>
        <v>607.6794915254236</v>
      </c>
      <c r="DF29" s="19">
        <f>'D2C Online'!CW25</f>
        <v>656.64999999999986</v>
      </c>
      <c r="DG29" s="19">
        <f>'D2C Online'!CX25</f>
        <v>598.6738714490333</v>
      </c>
      <c r="DH29" s="19">
        <f>'D2C Online'!CY25</f>
        <v>604.76696896634053</v>
      </c>
      <c r="DI29" s="19">
        <f>'D2C Online'!CZ25</f>
        <v>604.33432298878029</v>
      </c>
      <c r="DJ29" s="19">
        <f>'D2C Online'!DA25</f>
        <v>613.45594234900943</v>
      </c>
      <c r="DK29" s="19">
        <f>'D2C Online'!DB25</f>
        <v>578.05107985199334</v>
      </c>
      <c r="DL29" s="19">
        <f>'D2C Online'!DC25</f>
        <v>632.34815003580809</v>
      </c>
      <c r="DM29" s="19">
        <f>'D2C Online'!DD25</f>
        <v>614.86204177608033</v>
      </c>
      <c r="DN29" s="19">
        <f>'D2C Online'!DE25</f>
        <v>616.30419503461451</v>
      </c>
      <c r="DO29" s="19">
        <f>'D2C Online'!DF25</f>
        <v>756.51754559560766</v>
      </c>
      <c r="DP29" s="19">
        <f>'D2C Online'!DG25</f>
        <v>815.14107555502517</v>
      </c>
      <c r="DQ29" s="19">
        <f>'D2C Online'!DH25</f>
        <v>698.83141525423741</v>
      </c>
      <c r="DR29" s="19">
        <f>'D2C Online'!DI25</f>
        <v>755.14750000000004</v>
      </c>
      <c r="DS29" s="19">
        <f>'D2C Online'!DJ25</f>
        <v>688.47495216638822</v>
      </c>
      <c r="DT29" s="19">
        <f>'D2C Online'!DK25</f>
        <v>695.48201431129155</v>
      </c>
      <c r="DU29" s="19">
        <f>'D2C Online'!DL25</f>
        <v>694.98447143709734</v>
      </c>
      <c r="DV29" s="19">
        <f>'D2C Online'!DM25</f>
        <v>705.47433370136082</v>
      </c>
      <c r="DW29" s="19">
        <f>'D2C Online'!DN25</f>
        <v>664.75874182979237</v>
      </c>
      <c r="DX29" s="19">
        <f>'D2C Online'!DO25</f>
        <v>727.20037254117926</v>
      </c>
      <c r="DY29" s="19">
        <f>'D2C Online'!DP25</f>
        <v>707.09134804249231</v>
      </c>
      <c r="DZ29" s="19">
        <f>'D2C Online'!DQ25</f>
        <v>708.74982428980672</v>
      </c>
      <c r="EA29" s="19">
        <f>'D2C Online'!DR25</f>
        <v>869.99517743494869</v>
      </c>
      <c r="EB29" s="19">
        <f>'D2C Online'!DS25</f>
        <v>937.41223688827881</v>
      </c>
      <c r="EC29" s="19">
        <f>'D2C Online'!DT25</f>
        <v>803.65612754237293</v>
      </c>
      <c r="ED29" s="19">
        <f>'D2C Online'!DU25</f>
        <v>868.419625</v>
      </c>
      <c r="EE29" s="222"/>
      <c r="EF29" s="19">
        <f t="shared" si="71"/>
        <v>44</v>
      </c>
      <c r="EG29" s="19">
        <f t="shared" si="72"/>
        <v>1291</v>
      </c>
      <c r="EH29" s="19">
        <f t="shared" si="73"/>
        <v>1332</v>
      </c>
      <c r="EI29" s="19">
        <f t="shared" si="74"/>
        <v>858</v>
      </c>
      <c r="EJ29" s="19">
        <f t="shared" si="75"/>
        <v>1136</v>
      </c>
      <c r="EK29" s="19">
        <f t="shared" si="76"/>
        <v>1317</v>
      </c>
      <c r="EL29" s="19">
        <f t="shared" si="77"/>
        <v>1225</v>
      </c>
      <c r="EM29" s="19">
        <f t="shared" si="78"/>
        <v>1521</v>
      </c>
      <c r="EN29" s="19">
        <f t="shared" si="79"/>
        <v>1481</v>
      </c>
      <c r="EO29" s="19">
        <f t="shared" si="80"/>
        <v>1740</v>
      </c>
      <c r="EP29" s="19">
        <f t="shared" si="81"/>
        <v>1691</v>
      </c>
      <c r="EQ29" s="19">
        <f t="shared" si="82"/>
        <v>1664</v>
      </c>
      <c r="ER29" s="19">
        <f t="shared" si="83"/>
        <v>1571.9784029601335</v>
      </c>
      <c r="ES29" s="19">
        <f t="shared" si="84"/>
        <v>1585.9610193363569</v>
      </c>
      <c r="ET29" s="19">
        <f t="shared" si="85"/>
        <v>1728.4206803533059</v>
      </c>
      <c r="EU29" s="19">
        <f t="shared" si="86"/>
        <v>1973.1478180950105</v>
      </c>
      <c r="EV29" s="19">
        <f t="shared" si="87"/>
        <v>1807.775163404154</v>
      </c>
      <c r="EW29" s="19">
        <f t="shared" si="88"/>
        <v>1823.8551722368106</v>
      </c>
      <c r="EX29" s="19">
        <f t="shared" si="89"/>
        <v>1987.6837824063027</v>
      </c>
      <c r="EY29" s="19">
        <f t="shared" si="90"/>
        <v>2269.1199908092626</v>
      </c>
      <c r="EZ29" s="19">
        <f t="shared" si="23"/>
        <v>2078.941437914777</v>
      </c>
      <c r="FA29" s="19">
        <f t="shared" si="24"/>
        <v>2097.4334480723323</v>
      </c>
      <c r="FB29" s="19">
        <f t="shared" si="25"/>
        <v>2285.8363497672476</v>
      </c>
      <c r="FC29" s="19">
        <f t="shared" si="26"/>
        <v>2609.4879894306519</v>
      </c>
      <c r="FE29" s="19">
        <f t="shared" si="27"/>
        <v>3525</v>
      </c>
      <c r="FF29" s="19">
        <f t="shared" si="28"/>
        <v>5199</v>
      </c>
      <c r="FG29" s="19">
        <f t="shared" si="29"/>
        <v>6576</v>
      </c>
      <c r="FH29" s="19">
        <f t="shared" si="30"/>
        <v>6859.5079207448071</v>
      </c>
      <c r="FI29" s="19">
        <f t="shared" si="31"/>
        <v>7888.4341088565288</v>
      </c>
      <c r="FJ29" s="770">
        <f t="shared" si="32"/>
        <v>9071.6992251850097</v>
      </c>
      <c r="FK29" s="545" t="s">
        <v>1</v>
      </c>
    </row>
    <row r="30" spans="2:167" x14ac:dyDescent="0.2">
      <c r="B30" s="299" t="s">
        <v>135</v>
      </c>
      <c r="C30" s="19"/>
      <c r="D30" s="19"/>
      <c r="E30" s="19"/>
      <c r="F30" s="19"/>
      <c r="G30" s="19"/>
      <c r="H30" s="19"/>
      <c r="I30" s="19"/>
      <c r="J30" s="19"/>
      <c r="K30" s="19"/>
      <c r="L30" s="19">
        <f>'D2C Online'!C26</f>
        <v>0</v>
      </c>
      <c r="M30" s="19">
        <f>'D2C Online'!D26</f>
        <v>0</v>
      </c>
      <c r="N30" s="19">
        <f>'D2C Online'!E26</f>
        <v>0</v>
      </c>
      <c r="O30" s="19">
        <f>'D2C Online'!F26</f>
        <v>0</v>
      </c>
      <c r="P30" s="19">
        <f>'D2C Online'!G26</f>
        <v>0</v>
      </c>
      <c r="Q30" s="19">
        <f>'D2C Online'!H26</f>
        <v>0</v>
      </c>
      <c r="R30" s="19">
        <f>'D2C Online'!I26</f>
        <v>0</v>
      </c>
      <c r="S30" s="19">
        <f>'D2C Online'!J26</f>
        <v>0</v>
      </c>
      <c r="T30" s="19">
        <f>'D2C Online'!K26</f>
        <v>0</v>
      </c>
      <c r="U30" s="19">
        <f>'D2C Online'!L26</f>
        <v>0</v>
      </c>
      <c r="V30" s="19">
        <f>'D2C Online'!M26</f>
        <v>0</v>
      </c>
      <c r="W30" s="19">
        <f>'D2C Online'!N26</f>
        <v>0</v>
      </c>
      <c r="X30" s="19">
        <f>'D2C Online'!O26</f>
        <v>0</v>
      </c>
      <c r="Y30" s="19">
        <f>'D2C Online'!P26</f>
        <v>0</v>
      </c>
      <c r="Z30" s="19">
        <f>'D2C Online'!Q26</f>
        <v>0</v>
      </c>
      <c r="AA30" s="19">
        <f>'D2C Online'!R26</f>
        <v>0</v>
      </c>
      <c r="AB30" s="19">
        <f>'D2C Online'!S26</f>
        <v>0</v>
      </c>
      <c r="AC30" s="19">
        <f>'D2C Online'!T26</f>
        <v>0</v>
      </c>
      <c r="AD30" s="19">
        <f>'D2C Online'!U26</f>
        <v>0</v>
      </c>
      <c r="AE30" s="19">
        <f>'D2C Online'!V26</f>
        <v>0</v>
      </c>
      <c r="AF30" s="19">
        <f>'D2C Online'!W26</f>
        <v>0</v>
      </c>
      <c r="AG30" s="19">
        <f>'D2C Online'!X26</f>
        <v>0</v>
      </c>
      <c r="AH30" s="19">
        <f>'D2C Online'!Y26</f>
        <v>0</v>
      </c>
      <c r="AI30" s="19">
        <f>'D2C Online'!Z26</f>
        <v>0</v>
      </c>
      <c r="AJ30" s="19">
        <f>'D2C Online'!AA26</f>
        <v>0</v>
      </c>
      <c r="AK30" s="19">
        <f>'D2C Online'!AB26</f>
        <v>0</v>
      </c>
      <c r="AL30" s="19">
        <f>'D2C Online'!AC26</f>
        <v>0</v>
      </c>
      <c r="AM30" s="19">
        <f>'D2C Online'!AD26</f>
        <v>0</v>
      </c>
      <c r="AN30" s="19">
        <f>'D2C Online'!AE26</f>
        <v>0</v>
      </c>
      <c r="AO30" s="19">
        <f>'D2C Online'!AF26</f>
        <v>0</v>
      </c>
      <c r="AP30" s="19">
        <f>'D2C Online'!AG26</f>
        <v>0</v>
      </c>
      <c r="AQ30" s="19">
        <f>'D2C Online'!AH26</f>
        <v>0</v>
      </c>
      <c r="AR30" s="19">
        <f>'D2C Online'!AI26</f>
        <v>0</v>
      </c>
      <c r="AS30" s="19">
        <f>'D2C Online'!AJ26</f>
        <v>0</v>
      </c>
      <c r="AT30" s="19">
        <f>'D2C Online'!AK26</f>
        <v>0</v>
      </c>
      <c r="AU30" s="19">
        <f>'D2C Online'!AL26</f>
        <v>0</v>
      </c>
      <c r="AV30" s="19">
        <f>'D2C Online'!AM26</f>
        <v>0</v>
      </c>
      <c r="AW30" s="19">
        <f>'D2C Online'!AN26</f>
        <v>0</v>
      </c>
      <c r="AX30" s="19">
        <f>'D2C Online'!AO26</f>
        <v>0</v>
      </c>
      <c r="AY30" s="19">
        <f>'D2C Online'!AP26</f>
        <v>0</v>
      </c>
      <c r="AZ30" s="19">
        <f>'D2C Online'!AQ26</f>
        <v>0</v>
      </c>
      <c r="BA30" s="19">
        <f>'D2C Online'!AR26</f>
        <v>0</v>
      </c>
      <c r="BB30" s="19">
        <f>'D2C Online'!AS26</f>
        <v>0</v>
      </c>
      <c r="BC30" s="19">
        <f>'D2C Online'!AT26</f>
        <v>0</v>
      </c>
      <c r="BD30" s="19">
        <f>'D2C Online'!AU26</f>
        <v>0</v>
      </c>
      <c r="BE30" s="19">
        <f>'D2C Online'!AV26</f>
        <v>0</v>
      </c>
      <c r="BF30" s="19">
        <f>'D2C Online'!AW26</f>
        <v>0</v>
      </c>
      <c r="BG30" s="19">
        <f>'D2C Online'!AX26</f>
        <v>0</v>
      </c>
      <c r="BH30" s="19">
        <f>'D2C Online'!AY26</f>
        <v>0</v>
      </c>
      <c r="BI30" s="19">
        <f>'D2C Online'!AZ26</f>
        <v>0</v>
      </c>
      <c r="BJ30" s="19">
        <f>'D2C Online'!BA26</f>
        <v>307</v>
      </c>
      <c r="BK30" s="19">
        <f>'D2C Online'!BB26</f>
        <v>431</v>
      </c>
      <c r="BL30" s="19">
        <f>'D2C Online'!BC26</f>
        <v>388</v>
      </c>
      <c r="BM30" s="19">
        <f>'D2C Online'!BD26</f>
        <v>767</v>
      </c>
      <c r="BN30" s="19">
        <f>'D2C Online'!BE26</f>
        <v>230</v>
      </c>
      <c r="BO30" s="19">
        <f>'D2C Online'!BF26</f>
        <v>200</v>
      </c>
      <c r="BP30" s="19">
        <f>'D2C Online'!BG26</f>
        <v>189</v>
      </c>
      <c r="BQ30" s="19">
        <f>'D2C Online'!BH26</f>
        <v>232</v>
      </c>
      <c r="BR30" s="19">
        <f>'D2C Online'!BI26</f>
        <v>204</v>
      </c>
      <c r="BS30" s="19">
        <f>'D2C Online'!BJ26</f>
        <v>149</v>
      </c>
      <c r="BT30" s="19">
        <f>'D2C Online'!BK26</f>
        <v>166</v>
      </c>
      <c r="BU30" s="19">
        <f>'D2C Online'!BL26</f>
        <v>151</v>
      </c>
      <c r="BV30" s="19">
        <f>'D2C Online'!BM26</f>
        <v>159</v>
      </c>
      <c r="BW30" s="19">
        <f>'D2C Online'!BN26</f>
        <v>143</v>
      </c>
      <c r="BX30" s="19">
        <f>'D2C Online'!BO26</f>
        <v>125</v>
      </c>
      <c r="BY30" s="19">
        <f>'D2C Online'!BP26</f>
        <v>116</v>
      </c>
      <c r="BZ30" s="19">
        <f>'D2C Online'!BQ26</f>
        <v>179</v>
      </c>
      <c r="CA30" s="19">
        <f>'D2C Online'!BR26</f>
        <v>169</v>
      </c>
      <c r="CB30" s="19">
        <f>'D2C Online'!BS26</f>
        <v>220</v>
      </c>
      <c r="CC30" s="19">
        <f>'D2C Online'!BT26</f>
        <v>242</v>
      </c>
      <c r="CD30" s="19">
        <f>'D2C Online'!BU26</f>
        <v>208</v>
      </c>
      <c r="CE30" s="19">
        <f>'D2C Online'!BV26</f>
        <v>263</v>
      </c>
      <c r="CF30" s="19">
        <f>'D2C Online'!BW26</f>
        <v>386</v>
      </c>
      <c r="CG30" s="19">
        <f>'D2C Online'!BX26</f>
        <v>369</v>
      </c>
      <c r="CH30" s="19">
        <f>'D2C Online'!BY26</f>
        <v>525</v>
      </c>
      <c r="CI30" s="19">
        <f>'D2C Online'!BZ26</f>
        <v>583</v>
      </c>
      <c r="CJ30" s="19">
        <f>'D2C Online'!CA26</f>
        <v>553</v>
      </c>
      <c r="CK30" s="19">
        <f>'D2C Online'!CB26</f>
        <v>686</v>
      </c>
      <c r="CL30" s="19">
        <f>'D2C Online'!CC26</f>
        <v>684</v>
      </c>
      <c r="CM30" s="19">
        <f>'D2C Online'!CD26</f>
        <v>482</v>
      </c>
      <c r="CN30" s="19">
        <f>'D2C Online'!CE26</f>
        <v>605</v>
      </c>
      <c r="CO30" s="19">
        <f>'D2C Online'!CF26</f>
        <v>561</v>
      </c>
      <c r="CP30" s="19">
        <f>'D2C Online'!CG26</f>
        <v>647</v>
      </c>
      <c r="CQ30" s="19">
        <f>'D2C Online'!CH26</f>
        <v>745</v>
      </c>
      <c r="CR30" s="19">
        <f>'D2C Online'!CI26</f>
        <v>718</v>
      </c>
      <c r="CS30" s="19">
        <f>'D2C Online'!CJ26</f>
        <v>661</v>
      </c>
      <c r="CT30" s="19">
        <f>'D2C Online'!CK26</f>
        <v>418</v>
      </c>
      <c r="CU30" s="19">
        <f>'D2C Online'!CL26</f>
        <v>381.09446168536647</v>
      </c>
      <c r="CV30" s="19">
        <f>'D2C Online'!CM26</f>
        <v>384.9731105275722</v>
      </c>
      <c r="CW30" s="19">
        <f>'D2C Online'!CN26</f>
        <v>384.69770350919077</v>
      </c>
      <c r="CX30" s="19">
        <f>'D2C Online'!CO26</f>
        <v>390.50420148006685</v>
      </c>
      <c r="CY30" s="19">
        <f>'D2C Online'!CP26</f>
        <v>367.96672714251605</v>
      </c>
      <c r="CZ30" s="19">
        <f>'D2C Online'!CQ26</f>
        <v>402.53030794939127</v>
      </c>
      <c r="DA30" s="19">
        <f>'D2C Online'!CR26</f>
        <v>391.39927428980661</v>
      </c>
      <c r="DB30" s="19">
        <f>'D2C Online'!CS26</f>
        <v>392.31729768441159</v>
      </c>
      <c r="DC30" s="19">
        <f>'D2C Online'!CT26</f>
        <v>481.57212222487459</v>
      </c>
      <c r="DD30" s="19">
        <f>'D2C Online'!CU26</f>
        <v>518.88977321556456</v>
      </c>
      <c r="DE30" s="19">
        <f>'D2C Online'!CV26</f>
        <v>444.85118644067791</v>
      </c>
      <c r="DF30" s="19">
        <f>'D2C Online'!CW26</f>
        <v>480.69999999999993</v>
      </c>
      <c r="DG30" s="19">
        <f>'D2C Online'!CX26</f>
        <v>438.25863093817128</v>
      </c>
      <c r="DH30" s="19">
        <f>'D2C Online'!CY26</f>
        <v>442.71907710670791</v>
      </c>
      <c r="DI30" s="19">
        <f>'D2C Online'!CZ26</f>
        <v>442.40235903556925</v>
      </c>
      <c r="DJ30" s="19">
        <f>'D2C Online'!DA26</f>
        <v>449.07983170207677</v>
      </c>
      <c r="DK30" s="19">
        <f>'D2C Online'!DB26</f>
        <v>423.16173621389339</v>
      </c>
      <c r="DL30" s="19">
        <f>'D2C Online'!DC26</f>
        <v>462.90985414179977</v>
      </c>
      <c r="DM30" s="19">
        <f>'D2C Online'!DD26</f>
        <v>450.1091654332775</v>
      </c>
      <c r="DN30" s="19">
        <f>'D2C Online'!DE26</f>
        <v>451.16489233707313</v>
      </c>
      <c r="DO30" s="19">
        <f>'D2C Online'!DF26</f>
        <v>553.80794055860576</v>
      </c>
      <c r="DP30" s="19">
        <f>'D2C Online'!DG26</f>
        <v>596.72323919789915</v>
      </c>
      <c r="DQ30" s="19">
        <f>'D2C Online'!DH26</f>
        <v>511.57886440677953</v>
      </c>
      <c r="DR30" s="19">
        <f>'D2C Online'!DI26</f>
        <v>552.80499999999972</v>
      </c>
      <c r="DS30" s="19">
        <f>'D2C Online'!DJ26</f>
        <v>503.99742557889698</v>
      </c>
      <c r="DT30" s="19">
        <f>'D2C Online'!DK26</f>
        <v>509.12693867271412</v>
      </c>
      <c r="DU30" s="19">
        <f>'D2C Online'!DL26</f>
        <v>508.76271289090465</v>
      </c>
      <c r="DV30" s="19">
        <f>'D2C Online'!DM26</f>
        <v>516.44180645738822</v>
      </c>
      <c r="DW30" s="19">
        <f>'D2C Online'!DN26</f>
        <v>486.6359966459774</v>
      </c>
      <c r="DX30" s="19">
        <f>'D2C Online'!DO26</f>
        <v>532.34633226306971</v>
      </c>
      <c r="DY30" s="19">
        <f>'D2C Online'!DP26</f>
        <v>517.62554024826909</v>
      </c>
      <c r="DZ30" s="19">
        <f>'D2C Online'!DQ26</f>
        <v>518.83962618763405</v>
      </c>
      <c r="EA30" s="19">
        <f>'D2C Online'!DR26</f>
        <v>636.87913164239649</v>
      </c>
      <c r="EB30" s="19">
        <f>'D2C Online'!DS26</f>
        <v>686.23172507758386</v>
      </c>
      <c r="EC30" s="19">
        <f>'D2C Online'!DT26</f>
        <v>588.31569406779636</v>
      </c>
      <c r="ED30" s="19">
        <f>'D2C Online'!DU26</f>
        <v>635.72574999999972</v>
      </c>
      <c r="EE30" s="222"/>
      <c r="EF30" s="19">
        <f t="shared" si="71"/>
        <v>1586</v>
      </c>
      <c r="EG30" s="19">
        <f t="shared" si="72"/>
        <v>619</v>
      </c>
      <c r="EH30" s="19">
        <f t="shared" si="73"/>
        <v>585</v>
      </c>
      <c r="EI30" s="19">
        <f t="shared" si="74"/>
        <v>476</v>
      </c>
      <c r="EJ30" s="19">
        <f t="shared" si="75"/>
        <v>384</v>
      </c>
      <c r="EK30" s="19">
        <f t="shared" si="76"/>
        <v>568</v>
      </c>
      <c r="EL30" s="19">
        <f t="shared" si="77"/>
        <v>713</v>
      </c>
      <c r="EM30" s="19">
        <f t="shared" si="78"/>
        <v>1280</v>
      </c>
      <c r="EN30" s="19">
        <f t="shared" si="79"/>
        <v>1822</v>
      </c>
      <c r="EO30" s="19">
        <f t="shared" si="80"/>
        <v>1771</v>
      </c>
      <c r="EP30" s="19">
        <f t="shared" si="81"/>
        <v>1953</v>
      </c>
      <c r="EQ30" s="19">
        <f t="shared" si="82"/>
        <v>1797</v>
      </c>
      <c r="ER30" s="19">
        <f t="shared" si="83"/>
        <v>1150.7652757221294</v>
      </c>
      <c r="ES30" s="19">
        <f t="shared" si="84"/>
        <v>1161.0012365719742</v>
      </c>
      <c r="ET30" s="19">
        <f t="shared" si="85"/>
        <v>1265.2886941990928</v>
      </c>
      <c r="EU30" s="19">
        <f t="shared" si="86"/>
        <v>1444.4409596562423</v>
      </c>
      <c r="EV30" s="19">
        <f t="shared" si="87"/>
        <v>1323.3800670804485</v>
      </c>
      <c r="EW30" s="19">
        <f t="shared" si="88"/>
        <v>1335.1514220577699</v>
      </c>
      <c r="EX30" s="19">
        <f t="shared" si="89"/>
        <v>1455.0819983289564</v>
      </c>
      <c r="EY30" s="19">
        <f t="shared" si="90"/>
        <v>1661.1071036046783</v>
      </c>
      <c r="EZ30" s="19">
        <f t="shared" si="23"/>
        <v>1521.8870771425156</v>
      </c>
      <c r="FA30" s="19">
        <f t="shared" si="24"/>
        <v>1535.4241353664352</v>
      </c>
      <c r="FB30" s="19">
        <f t="shared" si="25"/>
        <v>1673.3442980782995</v>
      </c>
      <c r="FC30" s="19">
        <f t="shared" si="26"/>
        <v>1910.2731691453801</v>
      </c>
      <c r="FE30" s="19">
        <f t="shared" si="27"/>
        <v>3266</v>
      </c>
      <c r="FF30" s="19">
        <f t="shared" si="28"/>
        <v>2945</v>
      </c>
      <c r="FG30" s="19">
        <f t="shared" si="29"/>
        <v>7343</v>
      </c>
      <c r="FH30" s="19">
        <f t="shared" si="30"/>
        <v>5021.4961661494381</v>
      </c>
      <c r="FI30" s="19">
        <f t="shared" si="31"/>
        <v>5774.7205910718531</v>
      </c>
      <c r="FJ30" s="770">
        <f t="shared" si="32"/>
        <v>6640.9286797326304</v>
      </c>
      <c r="FK30" s="545" t="s">
        <v>1</v>
      </c>
    </row>
    <row r="31" spans="2:167" x14ac:dyDescent="0.2">
      <c r="B31" s="299" t="s">
        <v>136</v>
      </c>
      <c r="C31" s="19"/>
      <c r="D31" s="19"/>
      <c r="E31" s="19"/>
      <c r="F31" s="19"/>
      <c r="G31" s="19"/>
      <c r="H31" s="19"/>
      <c r="I31" s="19"/>
      <c r="J31" s="19"/>
      <c r="K31" s="19"/>
      <c r="L31" s="19">
        <f>'D2C Online'!C27+'D2C Online'!C30</f>
        <v>0</v>
      </c>
      <c r="M31" s="19">
        <f>'D2C Online'!D27+'D2C Online'!D30</f>
        <v>0</v>
      </c>
      <c r="N31" s="19">
        <f>'D2C Online'!E27+'D2C Online'!E30</f>
        <v>0</v>
      </c>
      <c r="O31" s="19">
        <f>'D2C Online'!F27+'D2C Online'!F30</f>
        <v>0</v>
      </c>
      <c r="P31" s="19">
        <f>'D2C Online'!G27+'D2C Online'!G30</f>
        <v>0</v>
      </c>
      <c r="Q31" s="19">
        <f>'D2C Online'!H27+'D2C Online'!H30</f>
        <v>0</v>
      </c>
      <c r="R31" s="19">
        <f>'D2C Online'!I27+'D2C Online'!I30</f>
        <v>0</v>
      </c>
      <c r="S31" s="19">
        <f>'D2C Online'!J27+'D2C Online'!J30</f>
        <v>0</v>
      </c>
      <c r="T31" s="19">
        <f>'D2C Online'!K27+'D2C Online'!K30</f>
        <v>0</v>
      </c>
      <c r="U31" s="19">
        <f>'D2C Online'!L27+'D2C Online'!L30</f>
        <v>0</v>
      </c>
      <c r="V31" s="19">
        <f>'D2C Online'!M27+'D2C Online'!M30</f>
        <v>0</v>
      </c>
      <c r="W31" s="19">
        <f>'D2C Online'!N27+'D2C Online'!N30</f>
        <v>0</v>
      </c>
      <c r="X31" s="19">
        <f>'D2C Online'!O27+'D2C Online'!O30</f>
        <v>0</v>
      </c>
      <c r="Y31" s="19">
        <f>'D2C Online'!P27+'D2C Online'!P30</f>
        <v>0</v>
      </c>
      <c r="Z31" s="19">
        <f>'D2C Online'!Q27+'D2C Online'!Q30</f>
        <v>0</v>
      </c>
      <c r="AA31" s="19">
        <f>'D2C Online'!R27+'D2C Online'!R30</f>
        <v>0</v>
      </c>
      <c r="AB31" s="19">
        <f>'D2C Online'!S27+'D2C Online'!S30</f>
        <v>0</v>
      </c>
      <c r="AC31" s="19">
        <f>'D2C Online'!T27+'D2C Online'!T30+'D2C - Retail'!C25</f>
        <v>4</v>
      </c>
      <c r="AD31" s="19">
        <f>'D2C Online'!U27+'D2C Online'!U30+'D2C - Retail'!D25</f>
        <v>4</v>
      </c>
      <c r="AE31" s="19">
        <f>'D2C Online'!V27+'D2C Online'!V30+'D2C - Retail'!E25</f>
        <v>73</v>
      </c>
      <c r="AF31" s="19">
        <f>'D2C Online'!W27+'D2C Online'!W30+'D2C - Retail'!F25</f>
        <v>156</v>
      </c>
      <c r="AG31" s="19">
        <f>'D2C Online'!X27+'D2C Online'!X30+'D2C - Retail'!G25</f>
        <v>97</v>
      </c>
      <c r="AH31" s="19">
        <f>'D2C Online'!Y27+'D2C Online'!Y30+'D2C - Retail'!H25</f>
        <v>99</v>
      </c>
      <c r="AI31" s="19">
        <f>'D2C Online'!Z27+'D2C Online'!Z30+'D2C - Retail'!I25</f>
        <v>116</v>
      </c>
      <c r="AJ31" s="19">
        <f>'D2C Online'!AA27+'D2C Online'!AA30+'D2C - Retail'!J25</f>
        <v>131</v>
      </c>
      <c r="AK31" s="19">
        <f>'D2C Online'!AB27+'D2C Online'!AB30+'D2C - Retail'!K25</f>
        <v>255</v>
      </c>
      <c r="AL31" s="19">
        <f>'D2C Online'!AC27+'D2C Online'!AC30+'D2C - Retail'!L25</f>
        <v>175</v>
      </c>
      <c r="AM31" s="19">
        <f>'D2C Online'!AD27+'D2C Online'!AD30+'D2C - Retail'!M25</f>
        <v>184</v>
      </c>
      <c r="AN31" s="19">
        <f>'D2C Online'!AE27+'D2C Online'!AE30+'D2C - Retail'!N25</f>
        <v>4</v>
      </c>
      <c r="AO31" s="19">
        <f>'D2C Online'!AF27+'D2C Online'!AF30+'D2C - Retail'!O25</f>
        <v>156</v>
      </c>
      <c r="AP31" s="19">
        <f>'D2C Online'!AG27+'D2C Online'!AG30+'D2C - Retail'!P25</f>
        <v>207</v>
      </c>
      <c r="AQ31" s="19">
        <f>'D2C Online'!AH27+'D2C Online'!AH30+'D2C - Retail'!Q25</f>
        <v>270</v>
      </c>
      <c r="AR31" s="19">
        <f>'D2C Online'!AI27+'D2C Online'!AI30+'D2C - Retail'!R25</f>
        <v>386</v>
      </c>
      <c r="AS31" s="19">
        <f>'D2C Online'!AJ27+'D2C Online'!AJ30+'D2C - Retail'!S25</f>
        <v>356</v>
      </c>
      <c r="AT31" s="19">
        <f>'D2C Online'!AK27+'D2C Online'!AK30+'D2C - Retail'!T25</f>
        <v>642</v>
      </c>
      <c r="AU31" s="19">
        <f>'D2C Online'!AL27+'D2C Online'!AL30+'D2C - Retail'!U25</f>
        <v>851</v>
      </c>
      <c r="AV31" s="19">
        <f>'D2C Online'!AM27+'D2C Online'!AM30+'D2C - Retail'!V25</f>
        <v>875</v>
      </c>
      <c r="AW31" s="19">
        <f>'D2C Online'!AN27+'D2C Online'!AN30+'D2C - Retail'!W25</f>
        <v>880</v>
      </c>
      <c r="AX31" s="19">
        <f>'D2C Online'!AO27+'D2C Online'!AO30+'D2C - Retail'!X25</f>
        <v>876</v>
      </c>
      <c r="AY31" s="19">
        <f>'D2C Online'!AP27+'D2C Online'!AP30+'D2C - Retail'!Y25</f>
        <v>703</v>
      </c>
      <c r="AZ31" s="19">
        <f>'D2C Online'!AQ27+'D2C Online'!AQ30+'D2C - Retail'!Z25</f>
        <v>819</v>
      </c>
      <c r="BA31" s="19">
        <f>'D2C Online'!AR27+'D2C Online'!AR30+'D2C - Retail'!AA25</f>
        <v>887</v>
      </c>
      <c r="BB31" s="19">
        <f>'D2C Online'!AS27+'D2C Online'!AS30+'D2C - Retail'!AB25</f>
        <v>646</v>
      </c>
      <c r="BC31" s="19">
        <f>'D2C Online'!AT27+'D2C Online'!AT30+'D2C - Retail'!AC25</f>
        <v>590</v>
      </c>
      <c r="BD31" s="19">
        <f>'D2C Online'!AU27+'D2C Online'!AU30+'D2C - Retail'!AD25</f>
        <v>545</v>
      </c>
      <c r="BE31" s="19">
        <f>'D2C Online'!AV27+'D2C Online'!AV30+'D2C - Retail'!AE25</f>
        <v>534</v>
      </c>
      <c r="BF31" s="19">
        <f>'D2C Online'!AW27+'D2C Online'!AW30+'D2C - Retail'!AF25</f>
        <v>438</v>
      </c>
      <c r="BG31" s="19">
        <f>'D2C Online'!AX27+'D2C Online'!AX30+'D2C - Retail'!AG25</f>
        <v>592</v>
      </c>
      <c r="BH31" s="19">
        <f>'D2C Online'!AY27+'D2C Online'!AY30+'D2C - Retail'!AH25</f>
        <v>529</v>
      </c>
      <c r="BI31" s="19">
        <f>'D2C Online'!AZ27+'D2C Online'!AZ30+'D2C - Retail'!AI25</f>
        <v>546</v>
      </c>
      <c r="BJ31" s="19">
        <f>'D2C Online'!BA27+'D2C Online'!BA30+'D2C - Retail'!AJ25</f>
        <v>1477</v>
      </c>
      <c r="BK31" s="19">
        <f>'D2C Online'!BB27+'D2C Online'!BB30+'D2C - Retail'!AK25</f>
        <v>1430</v>
      </c>
      <c r="BL31" s="19">
        <f>'D2C Online'!BC27+'D2C Online'!BC30+'D2C - Retail'!AL25</f>
        <v>1716</v>
      </c>
      <c r="BM31" s="19">
        <f>'D2C Online'!BD27+'D2C Online'!BD30+'D2C - Retail'!AM25</f>
        <v>1767</v>
      </c>
      <c r="BN31" s="19">
        <f>'D2C Online'!BE27+'D2C Online'!BE30+'D2C - Retail'!AN25</f>
        <v>1824</v>
      </c>
      <c r="BO31" s="19">
        <f>'D2C Online'!BF27+'D2C Online'!BF30+'D2C - Retail'!AO25</f>
        <v>1980</v>
      </c>
      <c r="BP31" s="19">
        <f>'D2C Online'!BG27+'D2C Online'!BG30+'D2C - Retail'!AP25</f>
        <v>2059</v>
      </c>
      <c r="BQ31" s="19">
        <f>'D2C Online'!BH27+'D2C Online'!BH30+'D2C - Retail'!AQ25</f>
        <v>2384</v>
      </c>
      <c r="BR31" s="19">
        <f>'D2C Online'!BI27+'D2C Online'!BI30+'D2C - Retail'!AR25</f>
        <v>2045</v>
      </c>
      <c r="BS31" s="19">
        <f>'D2C Online'!BJ27+'D2C Online'!BJ30+'D2C - Retail'!AS25</f>
        <v>1727</v>
      </c>
      <c r="BT31" s="19">
        <f>'D2C Online'!BK27+'D2C Online'!BK30+'D2C - Retail'!AT25</f>
        <v>1650</v>
      </c>
      <c r="BU31" s="19">
        <f>'D2C Online'!BL27+'D2C Online'!BL30+'D2C - Retail'!AU25</f>
        <v>1545</v>
      </c>
      <c r="BV31" s="19">
        <f>'D2C Online'!BM27+'D2C Online'!BM30+'D2C - Retail'!AV25</f>
        <v>1847</v>
      </c>
      <c r="BW31" s="19">
        <f>'D2C Online'!BN27+'D2C Online'!BN30+'D2C - Retail'!AW25</f>
        <v>2005</v>
      </c>
      <c r="BX31" s="19">
        <f>'D2C Online'!BO27+'D2C Online'!BO30+'D2C - Retail'!AX25</f>
        <v>2045</v>
      </c>
      <c r="BY31" s="19">
        <f>'D2C Online'!BP27+'D2C Online'!BP30+'D2C - Retail'!AY25</f>
        <v>1934</v>
      </c>
      <c r="BZ31" s="19">
        <f>'D2C Online'!BQ27+'D2C Online'!BQ30+'D2C - Retail'!AZ25</f>
        <v>2327</v>
      </c>
      <c r="CA31" s="19">
        <f>'D2C Online'!BR27+'D2C Online'!BR30+'D2C - Retail'!BA25</f>
        <v>2286</v>
      </c>
      <c r="CB31" s="19">
        <f>'D2C Online'!BS27+'D2C Online'!BS30+'D2C - Retail'!BB25</f>
        <v>2169</v>
      </c>
      <c r="CC31" s="19">
        <f>'D2C Online'!BT27+'D2C Online'!BT30+'D2C - Retail'!BC25</f>
        <v>1707</v>
      </c>
      <c r="CD31" s="19">
        <f>'D2C Online'!BU27+'D2C Online'!BU30+'D2C - Retail'!BD25</f>
        <v>1760</v>
      </c>
      <c r="CE31" s="19">
        <f>'D2C Online'!BV27+'D2C Online'!BV30+'D2C - Retail'!BE25</f>
        <v>1841</v>
      </c>
      <c r="CF31" s="19">
        <f>'D2C Online'!BW27+'D2C Online'!BW30+'D2C - Retail'!BF25</f>
        <v>2212</v>
      </c>
      <c r="CG31" s="19">
        <f>'D2C Online'!BX27+'D2C Online'!BX30+'D2C - Retail'!BG25</f>
        <v>2053</v>
      </c>
      <c r="CH31" s="19">
        <f>'D2C Online'!BY27+'D2C Online'!BY30+'D2C - Retail'!BH25</f>
        <v>2358</v>
      </c>
      <c r="CI31" s="19">
        <f>'D2C Online'!BZ27+'D2C Online'!BZ30+'D2C - Retail'!BI25</f>
        <v>2458</v>
      </c>
      <c r="CJ31" s="19">
        <f>'D2C Online'!CA27+'D2C Online'!CA30+'D2C - Retail'!BJ25</f>
        <v>2501</v>
      </c>
      <c r="CK31" s="19">
        <f>'D2C Online'!CB27+'D2C Online'!CB30+'D2C - Retail'!BK25</f>
        <v>2520.9999999999995</v>
      </c>
      <c r="CL31" s="19">
        <f>'D2C Online'!CC27+'D2C Online'!CC30+'D2C - Retail'!BL25</f>
        <v>2737</v>
      </c>
      <c r="CM31" s="19">
        <f>'D2C Online'!CD27+'D2C Online'!CD30+'D2C - Retail'!BM25</f>
        <v>2609</v>
      </c>
      <c r="CN31" s="19">
        <f>'D2C Online'!CE27+'D2C Online'!CE30+'D2C - Retail'!BN25</f>
        <v>2672</v>
      </c>
      <c r="CO31" s="19">
        <f>'D2C Online'!CF27+'D2C Online'!CF30+'D2C - Retail'!BO25</f>
        <v>2574</v>
      </c>
      <c r="CP31" s="19">
        <f>'D2C Online'!CG27+'D2C Online'!CG30+'D2C - Retail'!BP25</f>
        <v>2468</v>
      </c>
      <c r="CQ31" s="19">
        <f>'D2C Online'!CH27+'D2C Online'!CH30+'D2C - Retail'!BQ25</f>
        <v>2715</v>
      </c>
      <c r="CR31" s="19">
        <f>'D2C Online'!CI27+'D2C Online'!CI30+'D2C - Retail'!BR25</f>
        <v>2962</v>
      </c>
      <c r="CS31" s="19">
        <f>'D2C Online'!CJ27+'D2C Online'!CJ30+'D2C - Retail'!BS25</f>
        <v>2785</v>
      </c>
      <c r="CT31" s="19">
        <f>'D2C Online'!CK27+'D2C Online'!CK30+'D2C - Retail'!BT25</f>
        <v>3120</v>
      </c>
      <c r="CU31" s="19">
        <f>'D2C Online'!CL27+'D2C Online'!CL30+'D2C - Retail'!BU25</f>
        <v>3095.314770850785</v>
      </c>
      <c r="CV31" s="19">
        <f>'D2C Online'!CM27+'D2C Online'!CM30+'D2C - Retail'!BV25</f>
        <v>3074.5361025675343</v>
      </c>
      <c r="CW31" s="19">
        <f>'D2C Online'!CN27+'D2C Online'!CN30+'D2C - Retail'!BW25</f>
        <v>3068.3001811586719</v>
      </c>
      <c r="CX31" s="19">
        <f>'D2C Online'!CO27+'D2C Online'!CO30+'D2C - Retail'!BX25</f>
        <v>3228.1859542207012</v>
      </c>
      <c r="CY31" s="19">
        <f>'D2C Online'!CP27+'D2C Online'!CP30+'D2C - Retail'!BY25</f>
        <v>2944.4823385946665</v>
      </c>
      <c r="CZ31" s="19">
        <f>'D2C Online'!CQ27+'D2C Online'!CQ30+'D2C - Retail'!BZ25</f>
        <v>2965.8516375712106</v>
      </c>
      <c r="DA31" s="19">
        <f>'D2C Online'!CR27+'D2C Online'!CR30+'D2C - Retail'!CA25</f>
        <v>3290.1489804898551</v>
      </c>
      <c r="DB31" s="19">
        <f>'D2C Online'!CS27+'D2C Online'!CS30+'D2C - Retail'!CB25</f>
        <v>3144.837673001422</v>
      </c>
      <c r="DC31" s="19">
        <f>'D2C Online'!CT27+'D2C Online'!CT30+'D2C - Retail'!CC25</f>
        <v>3826.5646657466095</v>
      </c>
      <c r="DD31" s="19">
        <f>'D2C Online'!CU27+'D2C Online'!CU30+'D2C - Retail'!CD25</f>
        <v>4025.0484860127362</v>
      </c>
      <c r="DE31" s="19">
        <f>'D2C Online'!CV27+'D2C Online'!CV30+'D2C - Retail'!CE25</f>
        <v>3580.2594836780072</v>
      </c>
      <c r="DF31" s="19">
        <f>'D2C Online'!CW27+'D2C Online'!CW30+'D2C - Retail'!CF25</f>
        <v>4039.1382840830761</v>
      </c>
      <c r="DG31" s="19">
        <f>'D2C Online'!CX27+'D2C Online'!CX30+'D2C - Retail'!CG25</f>
        <v>3624.2225425926763</v>
      </c>
      <c r="DH31" s="19">
        <f>'D2C Online'!CY27+'D2C Online'!CY30+'D2C - Retail'!CH25</f>
        <v>3603.7345926735907</v>
      </c>
      <c r="DI31" s="19">
        <f>'D2C Online'!CZ27+'D2C Online'!CZ30+'D2C - Retail'!CI25</f>
        <v>3587.0115416113085</v>
      </c>
      <c r="DJ31" s="19">
        <f>'D2C Online'!DA27+'D2C Online'!DA30+'D2C - Retail'!CJ25</f>
        <v>3774.2307307620504</v>
      </c>
      <c r="DK31" s="19">
        <f>'D2C Online'!DB27+'D2C Online'!DB30+'D2C - Retail'!CK25</f>
        <v>3438.3463121594191</v>
      </c>
      <c r="DL31" s="19">
        <f>'D2C Online'!DC27+'D2C Online'!DC30+'D2C - Retail'!CL25</f>
        <v>3455.8561973215246</v>
      </c>
      <c r="DM31" s="19">
        <f>'D2C Online'!DD27+'D2C Online'!DD30+'D2C - Retail'!CM25</f>
        <v>3832.164067683967</v>
      </c>
      <c r="DN31" s="19">
        <f>'D2C Online'!DE27+'D2C Online'!DE30+'D2C - Retail'!CN25</f>
        <v>3652.0785376591848</v>
      </c>
      <c r="DO31" s="19">
        <f>'D2C Online'!DF27+'D2C Online'!DF30+'D2C - Retail'!CO25</f>
        <v>4433.8921170304611</v>
      </c>
      <c r="DP31" s="19">
        <f>'D2C Online'!DG27+'D2C Online'!DG30+'D2C - Retail'!CP25</f>
        <v>4653.4230845888906</v>
      </c>
      <c r="DQ31" s="19">
        <f>'D2C Online'!DH27+'D2C Online'!DH30+'D2C - Retail'!CQ25</f>
        <v>4130.584452493008</v>
      </c>
      <c r="DR31" s="19">
        <f>'D2C Online'!DI27+'D2C Online'!DI30+'D2C - Retail'!CR25</f>
        <v>4632.3879026114591</v>
      </c>
      <c r="DS31" s="19">
        <f>'D2C Online'!DJ27+'D2C Online'!DJ30+'D2C - Retail'!CS25</f>
        <v>4155.3953167309674</v>
      </c>
      <c r="DT31" s="19">
        <f>'D2C Online'!DK27+'D2C Online'!DK30+'D2C - Retail'!CT25</f>
        <v>4130.2121661042402</v>
      </c>
      <c r="DU31" s="19">
        <f>'D2C Online'!DL27+'D2C Online'!DL30+'D2C - Retail'!CU25</f>
        <v>4109.8808863080176</v>
      </c>
      <c r="DV31" s="19">
        <f>'D2C Online'!DM27+'D2C Online'!DM30+'D2C - Retail'!CV25</f>
        <v>4322.5335470855189</v>
      </c>
      <c r="DW31" s="19">
        <f>'D2C Online'!DN27+'D2C Online'!DN30+'D2C - Retail'!CW25</f>
        <v>3936.6615122833186</v>
      </c>
      <c r="DX31" s="19">
        <f>'D2C Online'!DO27+'D2C Online'!DO30+'D2C - Retail'!CX25</f>
        <v>3956.1839012739006</v>
      </c>
      <c r="DY31" s="19">
        <f>'D2C Online'!DP27+'D2C Online'!DP30+'D2C - Retail'!CY25</f>
        <v>4383.4883499319476</v>
      </c>
      <c r="DZ31" s="19">
        <f>'D2C Online'!DQ27+'D2C Online'!DQ30+'D2C - Retail'!CZ25</f>
        <v>4177.3871441054343</v>
      </c>
      <c r="EA31" s="19">
        <f>'D2C Online'!DR27+'D2C Online'!DR30+'D2C - Retail'!DA25</f>
        <v>5071.2758026345618</v>
      </c>
      <c r="EB31" s="19">
        <f>'D2C Online'!DS27+'D2C Online'!DS30+'D2C - Retail'!DB25</f>
        <v>5322.4552411425466</v>
      </c>
      <c r="EC31" s="19">
        <f>'D2C Online'!DT27+'D2C Online'!DT30+'D2C - Retail'!DC25</f>
        <v>4722.2714232140297</v>
      </c>
      <c r="ED31" s="19">
        <f>'D2C Online'!DU27+'D2C Online'!DU30+'D2C - Retail'!DD25</f>
        <v>5294.1156372824735</v>
      </c>
      <c r="EE31" s="222"/>
      <c r="EF31" s="19">
        <f t="shared" si="71"/>
        <v>4913</v>
      </c>
      <c r="EG31" s="19">
        <f t="shared" si="72"/>
        <v>5863</v>
      </c>
      <c r="EH31" s="19">
        <f t="shared" si="73"/>
        <v>6156</v>
      </c>
      <c r="EI31" s="19">
        <f t="shared" si="74"/>
        <v>5042</v>
      </c>
      <c r="EJ31" s="19">
        <f t="shared" si="75"/>
        <v>5984</v>
      </c>
      <c r="EK31" s="19">
        <f t="shared" si="76"/>
        <v>6782</v>
      </c>
      <c r="EL31" s="19">
        <f t="shared" si="77"/>
        <v>5308</v>
      </c>
      <c r="EM31" s="19">
        <f t="shared" si="78"/>
        <v>6623</v>
      </c>
      <c r="EN31" s="19">
        <f t="shared" si="79"/>
        <v>7480</v>
      </c>
      <c r="EO31" s="19">
        <f t="shared" si="80"/>
        <v>8018</v>
      </c>
      <c r="EP31" s="19">
        <f t="shared" si="81"/>
        <v>7757</v>
      </c>
      <c r="EQ31" s="19">
        <f t="shared" si="82"/>
        <v>8867</v>
      </c>
      <c r="ER31" s="19">
        <f t="shared" si="83"/>
        <v>9238.1510545769925</v>
      </c>
      <c r="ES31" s="19">
        <f t="shared" si="84"/>
        <v>9138.5199303865775</v>
      </c>
      <c r="ET31" s="19">
        <f t="shared" si="85"/>
        <v>10261.551319237886</v>
      </c>
      <c r="EU31" s="19">
        <f t="shared" si="86"/>
        <v>11644.44625377382</v>
      </c>
      <c r="EV31" s="19">
        <f t="shared" si="87"/>
        <v>10814.968676877575</v>
      </c>
      <c r="EW31" s="19">
        <f t="shared" si="88"/>
        <v>10668.433240242994</v>
      </c>
      <c r="EX31" s="19">
        <f t="shared" si="89"/>
        <v>11918.134722373612</v>
      </c>
      <c r="EY31" s="19">
        <f t="shared" si="90"/>
        <v>13416.395439693359</v>
      </c>
      <c r="EZ31" s="19">
        <f t="shared" si="23"/>
        <v>12395.488369143224</v>
      </c>
      <c r="FA31" s="19">
        <f t="shared" si="24"/>
        <v>12215.378960642738</v>
      </c>
      <c r="FB31" s="19">
        <f t="shared" si="25"/>
        <v>13632.151296671944</v>
      </c>
      <c r="FC31" s="19">
        <f t="shared" si="26"/>
        <v>15338.84230163905</v>
      </c>
      <c r="FE31" s="19">
        <f t="shared" si="27"/>
        <v>21974</v>
      </c>
      <c r="FF31" s="19">
        <f t="shared" si="28"/>
        <v>24697</v>
      </c>
      <c r="FG31" s="19">
        <f t="shared" si="29"/>
        <v>32122</v>
      </c>
      <c r="FH31" s="19">
        <f t="shared" si="30"/>
        <v>40282.668557975274</v>
      </c>
      <c r="FI31" s="19">
        <f t="shared" si="31"/>
        <v>46817.932079187536</v>
      </c>
      <c r="FJ31" s="770">
        <f t="shared" si="32"/>
        <v>53581.860928096961</v>
      </c>
      <c r="FK31" s="545" t="s">
        <v>1</v>
      </c>
    </row>
    <row r="32" spans="2:167" x14ac:dyDescent="0.2">
      <c r="B32" s="300" t="s">
        <v>144</v>
      </c>
      <c r="C32" s="19"/>
      <c r="D32" s="19"/>
      <c r="E32" s="19"/>
      <c r="F32" s="19"/>
      <c r="G32" s="19"/>
      <c r="H32" s="19"/>
      <c r="I32" s="19"/>
      <c r="J32" s="19"/>
      <c r="K32" s="19"/>
      <c r="L32" s="20">
        <f>L27/L12</f>
        <v>5.8354324097397145E-2</v>
      </c>
      <c r="M32" s="20">
        <f t="shared" ref="M32:BX32" si="94">M27/M12</f>
        <v>5.6494045970645251E-2</v>
      </c>
      <c r="N32" s="20">
        <f t="shared" si="94"/>
        <v>4.0835707502374169E-2</v>
      </c>
      <c r="O32" s="20">
        <f t="shared" si="94"/>
        <v>3.6794171220400726E-2</v>
      </c>
      <c r="P32" s="20">
        <f t="shared" si="94"/>
        <v>2.8752353243196988E-2</v>
      </c>
      <c r="Q32" s="20">
        <f t="shared" si="94"/>
        <v>3.2318104906937394E-2</v>
      </c>
      <c r="R32" s="20">
        <f t="shared" si="94"/>
        <v>3.15647076506839E-2</v>
      </c>
      <c r="S32" s="20">
        <f t="shared" si="94"/>
        <v>2.4300155520995334E-2</v>
      </c>
      <c r="T32" s="20">
        <f t="shared" si="94"/>
        <v>9.8498078938176734E-2</v>
      </c>
      <c r="U32" s="20">
        <f t="shared" si="94"/>
        <v>4.6955403087478559E-2</v>
      </c>
      <c r="V32" s="20">
        <f t="shared" si="94"/>
        <v>0.13908338637810311</v>
      </c>
      <c r="W32" s="20">
        <f t="shared" si="94"/>
        <v>3.142361111111111E-2</v>
      </c>
      <c r="X32" s="20">
        <f t="shared" si="94"/>
        <v>5.2455977757182574E-2</v>
      </c>
      <c r="Y32" s="20">
        <f t="shared" si="94"/>
        <v>0.42221770917952883</v>
      </c>
      <c r="Z32" s="20">
        <f t="shared" si="94"/>
        <v>0.2158924919661116</v>
      </c>
      <c r="AA32" s="20">
        <f t="shared" si="94"/>
        <v>2.2785388127853881</v>
      </c>
      <c r="AB32" s="20">
        <f t="shared" si="94"/>
        <v>0.1748743718592965</v>
      </c>
      <c r="AC32" s="20">
        <f t="shared" si="94"/>
        <v>0.20981003685851998</v>
      </c>
      <c r="AD32" s="20">
        <f t="shared" si="94"/>
        <v>0.18511904761904763</v>
      </c>
      <c r="AE32" s="20">
        <f t="shared" si="94"/>
        <v>0.16390145801910508</v>
      </c>
      <c r="AF32" s="20">
        <f t="shared" si="94"/>
        <v>0.14365300437723835</v>
      </c>
      <c r="AG32" s="20">
        <f t="shared" si="94"/>
        <v>0.14916848647740635</v>
      </c>
      <c r="AH32" s="20">
        <f t="shared" si="94"/>
        <v>8.9407446250655484E-2</v>
      </c>
      <c r="AI32" s="20">
        <f t="shared" si="94"/>
        <v>0.10062079668908433</v>
      </c>
      <c r="AJ32" s="20">
        <f t="shared" si="94"/>
        <v>0.12230865397971941</v>
      </c>
      <c r="AK32" s="20">
        <f t="shared" si="94"/>
        <v>0.12926722246599387</v>
      </c>
      <c r="AL32" s="20">
        <f t="shared" si="94"/>
        <v>0.17796538623891939</v>
      </c>
      <c r="AM32" s="20">
        <f t="shared" si="94"/>
        <v>0.13622028141678796</v>
      </c>
      <c r="AN32" s="20">
        <f t="shared" si="94"/>
        <v>9.5541401273885357E-2</v>
      </c>
      <c r="AO32" s="20">
        <f t="shared" si="94"/>
        <v>8.1408262994224795E-2</v>
      </c>
      <c r="AP32" s="20">
        <f t="shared" si="94"/>
        <v>9.0599820948970455E-2</v>
      </c>
      <c r="AQ32" s="20">
        <f t="shared" si="94"/>
        <v>6.9600065428968683E-2</v>
      </c>
      <c r="AR32" s="20">
        <f t="shared" si="94"/>
        <v>7.0096592433592703E-2</v>
      </c>
      <c r="AS32" s="20">
        <f t="shared" si="94"/>
        <v>8.0607265497921562E-2</v>
      </c>
      <c r="AT32" s="20">
        <f t="shared" si="94"/>
        <v>0.10462311557788945</v>
      </c>
      <c r="AU32" s="20">
        <f t="shared" si="94"/>
        <v>0.16343410115379844</v>
      </c>
      <c r="AV32" s="20">
        <f t="shared" si="94"/>
        <v>0.1591386963632116</v>
      </c>
      <c r="AW32" s="20">
        <f t="shared" si="94"/>
        <v>0.15432124352331605</v>
      </c>
      <c r="AX32" s="20">
        <f t="shared" si="94"/>
        <v>0.16734597899357265</v>
      </c>
      <c r="AY32" s="20">
        <f t="shared" si="94"/>
        <v>0.16622368700829257</v>
      </c>
      <c r="AZ32" s="20">
        <f t="shared" si="94"/>
        <v>0.18773000419248148</v>
      </c>
      <c r="BA32" s="20">
        <f t="shared" si="94"/>
        <v>0.19676226641351055</v>
      </c>
      <c r="BB32" s="20">
        <f t="shared" si="94"/>
        <v>0.15207417319824126</v>
      </c>
      <c r="BC32" s="20">
        <f t="shared" si="94"/>
        <v>0.1818587803304719</v>
      </c>
      <c r="BD32" s="20">
        <f t="shared" si="94"/>
        <v>0.21269270298047277</v>
      </c>
      <c r="BE32" s="20">
        <f t="shared" si="94"/>
        <v>0.19135014363230129</v>
      </c>
      <c r="BF32" s="20">
        <f t="shared" si="94"/>
        <v>0.19612139804974252</v>
      </c>
      <c r="BG32" s="20">
        <f t="shared" si="94"/>
        <v>0.16634022834758516</v>
      </c>
      <c r="BH32" s="20">
        <f t="shared" si="94"/>
        <v>0.12815867264231906</v>
      </c>
      <c r="BI32" s="20">
        <f t="shared" si="94"/>
        <v>0.12932400932400934</v>
      </c>
      <c r="BJ32" s="20">
        <f t="shared" si="94"/>
        <v>0.17529403479118247</v>
      </c>
      <c r="BK32" s="20">
        <f t="shared" si="94"/>
        <v>0.17012763573800666</v>
      </c>
      <c r="BL32" s="20">
        <f t="shared" si="94"/>
        <v>0.16343922541409939</v>
      </c>
      <c r="BM32" s="20">
        <f t="shared" si="94"/>
        <v>0.14820924520693574</v>
      </c>
      <c r="BN32" s="20">
        <f t="shared" si="94"/>
        <v>0.22255905014525704</v>
      </c>
      <c r="BO32" s="20">
        <f t="shared" si="94"/>
        <v>0.17620873006059107</v>
      </c>
      <c r="BP32" s="20">
        <f t="shared" si="94"/>
        <v>0.2042980059535946</v>
      </c>
      <c r="BQ32" s="20">
        <f t="shared" si="94"/>
        <v>0.19539775162364423</v>
      </c>
      <c r="BR32" s="20">
        <f t="shared" si="94"/>
        <v>0.17696377999701893</v>
      </c>
      <c r="BS32" s="20">
        <f t="shared" si="94"/>
        <v>0.16701840283640046</v>
      </c>
      <c r="BT32" s="20">
        <f t="shared" si="94"/>
        <v>0.16803744859567765</v>
      </c>
      <c r="BU32" s="20">
        <f t="shared" si="94"/>
        <v>0.2199309117554695</v>
      </c>
      <c r="BV32" s="20">
        <f t="shared" si="94"/>
        <v>0.15009803512577699</v>
      </c>
      <c r="BW32" s="20">
        <f t="shared" si="94"/>
        <v>0.16516234429242393</v>
      </c>
      <c r="BX32" s="20">
        <f t="shared" si="94"/>
        <v>0.16801981001867339</v>
      </c>
      <c r="BY32" s="20">
        <f t="shared" ref="BY32:DR32" si="95">BY27/BY12</f>
        <v>0.15353753568397499</v>
      </c>
      <c r="BZ32" s="20">
        <f t="shared" si="95"/>
        <v>0.17262111226731414</v>
      </c>
      <c r="CA32" s="20">
        <f t="shared" si="95"/>
        <v>0.1895270565608882</v>
      </c>
      <c r="CB32" s="20">
        <f t="shared" si="95"/>
        <v>0.20431050396898653</v>
      </c>
      <c r="CC32" s="20">
        <f t="shared" si="95"/>
        <v>0.16480027459561505</v>
      </c>
      <c r="CD32" s="20">
        <f t="shared" si="95"/>
        <v>0.17523714428357465</v>
      </c>
      <c r="CE32" s="20">
        <f t="shared" si="95"/>
        <v>0.1473353014294593</v>
      </c>
      <c r="CF32" s="20">
        <f t="shared" si="95"/>
        <v>0.16696530963302753</v>
      </c>
      <c r="CG32" s="20">
        <f t="shared" si="95"/>
        <v>0.17284680159550894</v>
      </c>
      <c r="CH32" s="20">
        <f t="shared" si="95"/>
        <v>0.1689028285996399</v>
      </c>
      <c r="CI32" s="20">
        <f t="shared" si="95"/>
        <v>0.19750728086932015</v>
      </c>
      <c r="CJ32" s="20">
        <f t="shared" si="95"/>
        <v>0.19184412664709924</v>
      </c>
      <c r="CK32" s="20">
        <f t="shared" si="95"/>
        <v>0.18130789535768813</v>
      </c>
      <c r="CL32" s="20">
        <f t="shared" si="95"/>
        <v>0.16730373419582475</v>
      </c>
      <c r="CM32" s="20">
        <f t="shared" si="95"/>
        <v>0.17788024418755682</v>
      </c>
      <c r="CN32" s="20">
        <f t="shared" si="95"/>
        <v>0.11804508867010871</v>
      </c>
      <c r="CO32" s="20">
        <f t="shared" si="95"/>
        <v>0.16750637016446607</v>
      </c>
      <c r="CP32" s="20">
        <f t="shared" si="95"/>
        <v>0.16622667273554848</v>
      </c>
      <c r="CQ32" s="20">
        <f t="shared" si="95"/>
        <v>0.15211529976959656</v>
      </c>
      <c r="CR32" s="20">
        <f t="shared" si="95"/>
        <v>0.14747700664125796</v>
      </c>
      <c r="CS32" s="20">
        <f t="shared" si="95"/>
        <v>0.14913479052823314</v>
      </c>
      <c r="CT32" s="20">
        <f t="shared" si="95"/>
        <v>0.1392061390715103</v>
      </c>
      <c r="CU32" s="20">
        <f t="shared" si="95"/>
        <v>0.1479956680606643</v>
      </c>
      <c r="CV32" s="20">
        <f t="shared" si="95"/>
        <v>0.14926687279562589</v>
      </c>
      <c r="CW32" s="20">
        <f t="shared" si="95"/>
        <v>0.149366941170332</v>
      </c>
      <c r="CX32" s="20">
        <f t="shared" si="95"/>
        <v>0.14668989032113458</v>
      </c>
      <c r="CY32" s="20">
        <f t="shared" si="95"/>
        <v>0.14911794364626887</v>
      </c>
      <c r="CZ32" s="20">
        <f t="shared" si="95"/>
        <v>0.15566619509052945</v>
      </c>
      <c r="DA32" s="20">
        <f t="shared" si="95"/>
        <v>0.14547421687260501</v>
      </c>
      <c r="DB32" s="20">
        <f t="shared" si="95"/>
        <v>0.14898516748403678</v>
      </c>
      <c r="DC32" s="20">
        <f t="shared" si="95"/>
        <v>0.14965348756807068</v>
      </c>
      <c r="DD32" s="20">
        <f t="shared" si="95"/>
        <v>0.15151756890957099</v>
      </c>
      <c r="DE32" s="20">
        <f t="shared" si="95"/>
        <v>0.14868243134038156</v>
      </c>
      <c r="DF32" s="20">
        <f t="shared" si="95"/>
        <v>0.14550424483585059</v>
      </c>
      <c r="DG32" s="20">
        <f t="shared" si="95"/>
        <v>0.14666430355072615</v>
      </c>
      <c r="DH32" s="20">
        <f t="shared" si="95"/>
        <v>0.14783200375320829</v>
      </c>
      <c r="DI32" s="20">
        <f t="shared" si="95"/>
        <v>0.14812600083513425</v>
      </c>
      <c r="DJ32" s="20">
        <f t="shared" si="95"/>
        <v>0.1454892588135363</v>
      </c>
      <c r="DK32" s="20">
        <f t="shared" si="95"/>
        <v>0.14796624658839397</v>
      </c>
      <c r="DL32" s="20">
        <f t="shared" si="95"/>
        <v>0.15458470506642194</v>
      </c>
      <c r="DM32" s="20">
        <f t="shared" si="95"/>
        <v>0.1445627495970081</v>
      </c>
      <c r="DN32" s="20">
        <f t="shared" si="95"/>
        <v>0.14824857694554475</v>
      </c>
      <c r="DO32" s="20">
        <f t="shared" si="95"/>
        <v>0.14907853424732287</v>
      </c>
      <c r="DP32" s="20">
        <f t="shared" si="95"/>
        <v>0.15110262595825416</v>
      </c>
      <c r="DQ32" s="20">
        <f t="shared" si="95"/>
        <v>0.1484397824089915</v>
      </c>
      <c r="DR32" s="20">
        <f t="shared" si="95"/>
        <v>0.14570066170314805</v>
      </c>
      <c r="DS32" s="20">
        <f t="shared" ref="DS32:ED32" si="96">DS27/DS12</f>
        <v>0.14688415857921452</v>
      </c>
      <c r="DT32" s="20">
        <f t="shared" si="96"/>
        <v>0.14808620530381852</v>
      </c>
      <c r="DU32" s="20">
        <f t="shared" si="96"/>
        <v>0.14840256105717262</v>
      </c>
      <c r="DV32" s="20">
        <f t="shared" si="96"/>
        <v>0.14578660607057731</v>
      </c>
      <c r="DW32" s="20">
        <f t="shared" si="96"/>
        <v>0.14829710630191417</v>
      </c>
      <c r="DX32" s="20">
        <f t="shared" si="96"/>
        <v>0.15495755552801255</v>
      </c>
      <c r="DY32" s="20">
        <f t="shared" si="96"/>
        <v>0.14494394066716737</v>
      </c>
      <c r="DZ32" s="20">
        <f t="shared" si="96"/>
        <v>0.14865258593181119</v>
      </c>
      <c r="EA32" s="20">
        <f t="shared" si="96"/>
        <v>0.14949298767139993</v>
      </c>
      <c r="EB32" s="20">
        <f t="shared" si="96"/>
        <v>0.15152746465932601</v>
      </c>
      <c r="EC32" s="20">
        <f t="shared" si="96"/>
        <v>0.14888409939630984</v>
      </c>
      <c r="ED32" s="20">
        <f t="shared" si="96"/>
        <v>0.14615315301260576</v>
      </c>
      <c r="EE32" s="222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>
        <f t="shared" si="23"/>
        <v>0.44337292494020564</v>
      </c>
      <c r="FA32" s="20">
        <f t="shared" si="24"/>
        <v>0.44904126790050403</v>
      </c>
      <c r="FB32" s="20">
        <f t="shared" si="25"/>
        <v>0.44308951427037846</v>
      </c>
      <c r="FC32" s="20">
        <f t="shared" si="26"/>
        <v>0.44656471706824163</v>
      </c>
      <c r="FE32" s="20"/>
      <c r="FF32" s="20"/>
      <c r="FG32" s="20"/>
      <c r="FH32" s="20"/>
      <c r="FI32" s="20"/>
      <c r="FJ32" s="771">
        <f t="shared" si="32"/>
        <v>1.7820684241793296</v>
      </c>
      <c r="FK32" s="545" t="s">
        <v>1</v>
      </c>
    </row>
    <row r="33" spans="2:167" x14ac:dyDescent="0.2">
      <c r="B33" s="225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222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E33" s="19"/>
      <c r="FF33" s="19"/>
      <c r="FG33" s="19"/>
      <c r="FH33" s="19"/>
      <c r="FI33" s="19"/>
      <c r="FJ33" s="770"/>
      <c r="FK33" s="545"/>
    </row>
    <row r="34" spans="2:167" x14ac:dyDescent="0.2">
      <c r="B34" s="223" t="s">
        <v>314</v>
      </c>
      <c r="C34" s="297">
        <f>SUM(C35:C40)</f>
        <v>205958161.94414136</v>
      </c>
      <c r="D34" s="297">
        <f t="shared" ref="D34:BO34" si="97">SUM(D35:D40)</f>
        <v>219990567.22</v>
      </c>
      <c r="E34" s="297">
        <f t="shared" si="97"/>
        <v>221851054.65471712</v>
      </c>
      <c r="F34" s="297">
        <f t="shared" si="97"/>
        <v>233584485.61374623</v>
      </c>
      <c r="G34" s="297">
        <f t="shared" si="97"/>
        <v>232614603.81635258</v>
      </c>
      <c r="H34" s="297">
        <f t="shared" si="97"/>
        <v>227266461.42430979</v>
      </c>
      <c r="I34" s="297">
        <f t="shared" si="97"/>
        <v>247639761.86000001</v>
      </c>
      <c r="J34" s="297">
        <f t="shared" si="97"/>
        <v>237948162.02000001</v>
      </c>
      <c r="K34" s="297">
        <f t="shared" si="97"/>
        <v>294229645.22000003</v>
      </c>
      <c r="L34" s="297">
        <f t="shared" si="97"/>
        <v>292477443.21071428</v>
      </c>
      <c r="M34" s="297">
        <f t="shared" si="97"/>
        <v>300653909.57512027</v>
      </c>
      <c r="N34" s="297">
        <f t="shared" si="97"/>
        <v>288101862.31928575</v>
      </c>
      <c r="O34" s="297">
        <f t="shared" si="97"/>
        <v>357287053.3516748</v>
      </c>
      <c r="P34" s="297">
        <f t="shared" si="97"/>
        <v>364809665.20889628</v>
      </c>
      <c r="Q34" s="297">
        <f t="shared" si="97"/>
        <v>376266018.19500005</v>
      </c>
      <c r="R34" s="297">
        <f t="shared" si="97"/>
        <v>400287408.79063678</v>
      </c>
      <c r="S34" s="297">
        <f t="shared" si="97"/>
        <v>328881547.77539515</v>
      </c>
      <c r="T34" s="297">
        <f t="shared" si="97"/>
        <v>311712357.64555186</v>
      </c>
      <c r="U34" s="297">
        <f t="shared" si="97"/>
        <v>286774059.67981309</v>
      </c>
      <c r="V34" s="297">
        <f t="shared" si="97"/>
        <v>289923669.36059797</v>
      </c>
      <c r="W34" s="297">
        <f t="shared" si="97"/>
        <v>334765463.75182182</v>
      </c>
      <c r="X34" s="297">
        <f t="shared" si="97"/>
        <v>353205473.86119443</v>
      </c>
      <c r="Y34" s="297">
        <f t="shared" si="97"/>
        <v>371363505.74547315</v>
      </c>
      <c r="Z34" s="297">
        <f t="shared" si="97"/>
        <v>253266020.64335713</v>
      </c>
      <c r="AA34" s="297">
        <f t="shared" si="97"/>
        <v>-1859114</v>
      </c>
      <c r="AB34" s="297">
        <f t="shared" si="97"/>
        <v>196050535.31759629</v>
      </c>
      <c r="AC34" s="297">
        <f t="shared" si="97"/>
        <v>256615407.43523064</v>
      </c>
      <c r="AD34" s="297">
        <f t="shared" si="97"/>
        <v>269617881.00882429</v>
      </c>
      <c r="AE34" s="297">
        <f t="shared" si="97"/>
        <v>381948489.3423928</v>
      </c>
      <c r="AF34" s="297">
        <f t="shared" si="97"/>
        <v>395066008.94851702</v>
      </c>
      <c r="AG34" s="297">
        <f t="shared" si="97"/>
        <v>411419264.61009651</v>
      </c>
      <c r="AH34" s="297">
        <f t="shared" si="97"/>
        <v>417424628.43785787</v>
      </c>
      <c r="AI34" s="297">
        <f t="shared" si="97"/>
        <v>579525441.55792224</v>
      </c>
      <c r="AJ34" s="297">
        <f t="shared" si="97"/>
        <v>565946480.70610332</v>
      </c>
      <c r="AK34" s="297">
        <f t="shared" si="97"/>
        <v>599579801.63158596</v>
      </c>
      <c r="AL34" s="297">
        <f t="shared" si="97"/>
        <v>560353685.85842466</v>
      </c>
      <c r="AM34" s="297">
        <f t="shared" si="97"/>
        <v>390078437.62656403</v>
      </c>
      <c r="AN34" s="297">
        <f t="shared" si="97"/>
        <v>175614306.14000002</v>
      </c>
      <c r="AO34" s="297">
        <f t="shared" si="97"/>
        <v>426792337.16498256</v>
      </c>
      <c r="AP34" s="297">
        <f t="shared" si="97"/>
        <v>577118998.50000012</v>
      </c>
      <c r="AQ34" s="297">
        <f t="shared" si="97"/>
        <v>613421166.13614988</v>
      </c>
      <c r="AR34" s="297">
        <f t="shared" si="97"/>
        <v>641814316.1400001</v>
      </c>
      <c r="AS34" s="297">
        <f t="shared" si="97"/>
        <v>701892801.28000033</v>
      </c>
      <c r="AT34" s="297">
        <f t="shared" si="97"/>
        <v>683704150.73839986</v>
      </c>
      <c r="AU34" s="297">
        <f t="shared" si="97"/>
        <v>830157861.59560955</v>
      </c>
      <c r="AV34" s="297">
        <f t="shared" si="97"/>
        <v>837372880.56320226</v>
      </c>
      <c r="AW34" s="297">
        <f t="shared" si="97"/>
        <v>811926950.38239622</v>
      </c>
      <c r="AX34" s="297">
        <f t="shared" si="97"/>
        <v>843212719.79856598</v>
      </c>
      <c r="AY34" s="297">
        <f t="shared" si="97"/>
        <v>751884529.70439613</v>
      </c>
      <c r="AZ34" s="297">
        <f t="shared" si="97"/>
        <v>810845420.86400473</v>
      </c>
      <c r="BA34" s="297">
        <f t="shared" si="97"/>
        <v>771458778.44837964</v>
      </c>
      <c r="BB34" s="297">
        <f t="shared" si="97"/>
        <v>792886286.2735697</v>
      </c>
      <c r="BC34" s="297">
        <f t="shared" si="97"/>
        <v>804794432.05655694</v>
      </c>
      <c r="BD34" s="297">
        <f t="shared" si="97"/>
        <v>878049749.0253346</v>
      </c>
      <c r="BE34" s="297">
        <f t="shared" si="97"/>
        <v>992028300.04738903</v>
      </c>
      <c r="BF34" s="297">
        <f t="shared" si="97"/>
        <v>945160164.23747325</v>
      </c>
      <c r="BG34" s="297">
        <f t="shared" si="97"/>
        <v>1126194351.166204</v>
      </c>
      <c r="BH34" s="297">
        <f t="shared" si="97"/>
        <v>1154203589.2469344</v>
      </c>
      <c r="BI34" s="297">
        <f t="shared" si="97"/>
        <v>1053992725.8242517</v>
      </c>
      <c r="BJ34" s="297">
        <f t="shared" si="97"/>
        <v>1276403401.9635024</v>
      </c>
      <c r="BK34" s="297">
        <f t="shared" si="97"/>
        <v>1260177531.8994644</v>
      </c>
      <c r="BL34" s="297">
        <f t="shared" si="97"/>
        <v>1263750168.1904552</v>
      </c>
      <c r="BM34" s="297">
        <f t="shared" si="97"/>
        <v>1200515344.1508002</v>
      </c>
      <c r="BN34" s="297">
        <f t="shared" si="97"/>
        <v>1118182085.0281966</v>
      </c>
      <c r="BO34" s="297">
        <f t="shared" si="97"/>
        <v>1173556187.3424318</v>
      </c>
      <c r="BP34" s="297">
        <f t="shared" ref="BP34:DR34" si="98">SUM(BP35:BP40)</f>
        <v>1111044793.8723829</v>
      </c>
      <c r="BQ34" s="297">
        <f t="shared" si="98"/>
        <v>1497465904.513103</v>
      </c>
      <c r="BR34" s="297">
        <f t="shared" si="98"/>
        <v>1329044226.6071727</v>
      </c>
      <c r="BS34" s="297">
        <f t="shared" si="98"/>
        <v>1234691781.654212</v>
      </c>
      <c r="BT34" s="297">
        <f t="shared" si="98"/>
        <v>1257631007.2845445</v>
      </c>
      <c r="BU34" s="297">
        <f t="shared" si="98"/>
        <v>1124055608.3349087</v>
      </c>
      <c r="BV34" s="297">
        <f t="shared" si="98"/>
        <v>1250812992.7765422</v>
      </c>
      <c r="BW34" s="297">
        <f t="shared" si="98"/>
        <v>1247027146.4826062</v>
      </c>
      <c r="BX34" s="297">
        <f t="shared" si="98"/>
        <v>1341030639.7738974</v>
      </c>
      <c r="BY34" s="297">
        <f t="shared" si="98"/>
        <v>1317441289.3321614</v>
      </c>
      <c r="BZ34" s="297">
        <f t="shared" si="98"/>
        <v>1386080668.4117167</v>
      </c>
      <c r="CA34" s="297">
        <f t="shared" si="98"/>
        <v>1258651932.4421766</v>
      </c>
      <c r="CB34" s="297">
        <f t="shared" si="98"/>
        <v>1170235600.7373242</v>
      </c>
      <c r="CC34" s="297">
        <f t="shared" si="98"/>
        <v>1512399283.2895432</v>
      </c>
      <c r="CD34" s="297">
        <f t="shared" si="98"/>
        <v>1359221999.7259576</v>
      </c>
      <c r="CE34" s="297">
        <f t="shared" si="98"/>
        <v>1520339439.9794071</v>
      </c>
      <c r="CF34" s="297">
        <f t="shared" si="98"/>
        <v>1653068152.9557164</v>
      </c>
      <c r="CG34" s="297">
        <f t="shared" si="98"/>
        <v>1725152292.5369458</v>
      </c>
      <c r="CH34" s="297">
        <f t="shared" si="98"/>
        <v>1959199050.8375351</v>
      </c>
      <c r="CI34" s="297">
        <f t="shared" si="98"/>
        <v>1805765122.7855973</v>
      </c>
      <c r="CJ34" s="297">
        <f t="shared" si="98"/>
        <v>1796713294.0951574</v>
      </c>
      <c r="CK34" s="297">
        <f t="shared" si="98"/>
        <v>1789038962.1262434</v>
      </c>
      <c r="CL34" s="297">
        <f t="shared" si="98"/>
        <v>1880245946.1591716</v>
      </c>
      <c r="CM34" s="297">
        <f t="shared" si="98"/>
        <v>1631076956.7420001</v>
      </c>
      <c r="CN34" s="297">
        <f t="shared" si="98"/>
        <v>1727070956.0485008</v>
      </c>
      <c r="CO34" s="297">
        <f t="shared" si="98"/>
        <v>2103498101.7628887</v>
      </c>
      <c r="CP34" s="297">
        <f t="shared" si="98"/>
        <v>1978940939.7530003</v>
      </c>
      <c r="CQ34" s="297">
        <f t="shared" si="98"/>
        <v>2337324061.9419951</v>
      </c>
      <c r="CR34" s="297">
        <f t="shared" si="98"/>
        <v>2491837379.388639</v>
      </c>
      <c r="CS34" s="297">
        <f t="shared" si="98"/>
        <v>2256142551.2499552</v>
      </c>
      <c r="CT34" s="297">
        <f t="shared" si="98"/>
        <v>2618301974.243248</v>
      </c>
      <c r="CU34" s="297">
        <f t="shared" si="98"/>
        <v>2356780572.1312146</v>
      </c>
      <c r="CV34" s="297">
        <f t="shared" si="98"/>
        <v>2426886193.7245054</v>
      </c>
      <c r="CW34" s="297">
        <f t="shared" si="98"/>
        <v>2379035828.6900268</v>
      </c>
      <c r="CX34" s="297">
        <f t="shared" si="98"/>
        <v>2506723535.5397096</v>
      </c>
      <c r="CY34" s="297">
        <f t="shared" si="98"/>
        <v>2312689225.5805998</v>
      </c>
      <c r="CZ34" s="297">
        <f t="shared" si="98"/>
        <v>2346494374.6662388</v>
      </c>
      <c r="DA34" s="297">
        <f t="shared" si="98"/>
        <v>2759327192.0891352</v>
      </c>
      <c r="DB34" s="297">
        <f t="shared" si="98"/>
        <v>2575207249.7633052</v>
      </c>
      <c r="DC34" s="297">
        <f t="shared" si="98"/>
        <v>2907105906.1435823</v>
      </c>
      <c r="DD34" s="297">
        <f t="shared" si="98"/>
        <v>2952381154.457377</v>
      </c>
      <c r="DE34" s="297">
        <f t="shared" si="98"/>
        <v>2682535811.2138791</v>
      </c>
      <c r="DF34" s="297">
        <f t="shared" si="98"/>
        <v>2972097821.7240672</v>
      </c>
      <c r="DG34" s="297">
        <f t="shared" si="98"/>
        <v>2868268553.9516888</v>
      </c>
      <c r="DH34" s="297">
        <f t="shared" si="98"/>
        <v>2955297267.5987558</v>
      </c>
      <c r="DI34" s="297">
        <f t="shared" si="98"/>
        <v>2891359984.0859771</v>
      </c>
      <c r="DJ34" s="297">
        <f t="shared" si="98"/>
        <v>3044871893.5833735</v>
      </c>
      <c r="DK34" s="297">
        <f t="shared" si="98"/>
        <v>2807141483.3394518</v>
      </c>
      <c r="DL34" s="297">
        <f t="shared" si="98"/>
        <v>2840781395.6380844</v>
      </c>
      <c r="DM34" s="297">
        <f t="shared" si="98"/>
        <v>3340044841.8162675</v>
      </c>
      <c r="DN34" s="297">
        <f t="shared" si="98"/>
        <v>3121113958.4664645</v>
      </c>
      <c r="DO34" s="297">
        <f t="shared" si="98"/>
        <v>3519215178.6301265</v>
      </c>
      <c r="DP34" s="297">
        <f t="shared" si="98"/>
        <v>3566503514.9435072</v>
      </c>
      <c r="DQ34" s="297">
        <f t="shared" si="98"/>
        <v>3238227038.2167835</v>
      </c>
      <c r="DR34" s="297">
        <f t="shared" si="98"/>
        <v>3570123604.0341148</v>
      </c>
      <c r="DS34" s="297">
        <f t="shared" ref="DS34:ED34" si="99">SUM(DS35:DS40)</f>
        <v>3345171345.6069155</v>
      </c>
      <c r="DT34" s="297">
        <f t="shared" si="99"/>
        <v>3446166739.3534479</v>
      </c>
      <c r="DU34" s="297">
        <f t="shared" si="99"/>
        <v>3369430729.3824501</v>
      </c>
      <c r="DV34" s="297">
        <f t="shared" si="99"/>
        <v>3544895420.4072838</v>
      </c>
      <c r="DW34" s="297">
        <f t="shared" si="99"/>
        <v>3267935365.0092659</v>
      </c>
      <c r="DX34" s="297">
        <f t="shared" si="99"/>
        <v>3303046471.1095362</v>
      </c>
      <c r="DY34" s="297">
        <f t="shared" si="99"/>
        <v>3879839933.8129787</v>
      </c>
      <c r="DZ34" s="297">
        <f t="shared" si="99"/>
        <v>3637155646.2523093</v>
      </c>
      <c r="EA34" s="297">
        <f t="shared" si="99"/>
        <v>4101796774.999474</v>
      </c>
      <c r="EB34" s="297">
        <f t="shared" si="99"/>
        <v>4154248744.1676741</v>
      </c>
      <c r="EC34" s="297">
        <f t="shared" si="99"/>
        <v>3772381262.796247</v>
      </c>
      <c r="ED34" s="297">
        <f t="shared" si="99"/>
        <v>4151283673.6986198</v>
      </c>
      <c r="EE34" s="222"/>
      <c r="EF34" s="297">
        <f t="shared" ref="EF34:EF40" si="100">SUM(BK34:BM34)</f>
        <v>3724443044.2407198</v>
      </c>
      <c r="EG34" s="297">
        <f t="shared" ref="EG34:EG40" si="101">SUM(BN34:BP34)</f>
        <v>3402783066.2430115</v>
      </c>
      <c r="EH34" s="297">
        <f t="shared" ref="EH34:EH40" si="102">SUM(BQ34:BS34)</f>
        <v>4061201912.7744875</v>
      </c>
      <c r="EI34" s="297">
        <f t="shared" ref="EI34:EI40" si="103">SUM(BT34:BV34)</f>
        <v>3632499608.3959956</v>
      </c>
      <c r="EJ34" s="297">
        <f t="shared" ref="EJ34:EJ40" si="104">SUM(BW34:BY34)</f>
        <v>3905499075.588665</v>
      </c>
      <c r="EK34" s="297">
        <f t="shared" ref="EK34:EK40" si="105">SUM(BZ34:CB34)</f>
        <v>3814968201.5912175</v>
      </c>
      <c r="EL34" s="297">
        <f t="shared" ref="EL34:EL40" si="106">SUM(CC34:CE34)</f>
        <v>4391960722.9949083</v>
      </c>
      <c r="EM34" s="297">
        <f t="shared" ref="EM34:EM40" si="107">SUM(CF34:CH34)</f>
        <v>5337419496.3301973</v>
      </c>
      <c r="EN34" s="297">
        <f t="shared" ref="EN34:EN40" si="108">SUM(CI34:CK34)</f>
        <v>5391517379.0069981</v>
      </c>
      <c r="EO34" s="297">
        <f t="shared" ref="EO34:EO40" si="109">SUM(CL34:CN34)</f>
        <v>5238393858.9496727</v>
      </c>
      <c r="EP34" s="297">
        <f t="shared" ref="EP34:EP40" si="110">SUM(CO34:CQ34)</f>
        <v>6419763103.4578838</v>
      </c>
      <c r="EQ34" s="297">
        <f t="shared" ref="EQ34:EQ40" si="111">SUM(CR34:CT34)</f>
        <v>7366281904.8818417</v>
      </c>
      <c r="ER34" s="297">
        <f t="shared" ref="ER34:ER40" si="112">SUM(CU34:CW34)</f>
        <v>7162702594.5457478</v>
      </c>
      <c r="ES34" s="297">
        <f t="shared" ref="ES34:ES40" si="113">SUM(CX34:CZ34)</f>
        <v>7165907135.7865486</v>
      </c>
      <c r="ET34" s="297">
        <f t="shared" ref="ET34:ET40" si="114">SUM(DA34:DC34)</f>
        <v>8241640347.9960222</v>
      </c>
      <c r="EU34" s="297">
        <f t="shared" ref="EU34:EU40" si="115">SUM(DD34:DF34)</f>
        <v>8607014787.3953228</v>
      </c>
      <c r="EV34" s="297">
        <f t="shared" ref="EV34:EV40" si="116">SUM(DG34:DI34)</f>
        <v>8714925805.6364212</v>
      </c>
      <c r="EW34" s="297">
        <f t="shared" ref="EW34:EW40" si="117">SUM(DJ34:DL34)</f>
        <v>8692794772.5609093</v>
      </c>
      <c r="EX34" s="297">
        <f t="shared" ref="EX34:EX40" si="118">SUM(DM34:DO34)</f>
        <v>9980373978.912859</v>
      </c>
      <c r="EY34" s="297">
        <f t="shared" ref="EY34:EY40" si="119">SUM(DP34:DR34)</f>
        <v>10374854157.194405</v>
      </c>
      <c r="EZ34" s="297">
        <f t="shared" si="23"/>
        <v>10160768814.342813</v>
      </c>
      <c r="FA34" s="297">
        <f t="shared" si="24"/>
        <v>10115877256.526085</v>
      </c>
      <c r="FB34" s="297">
        <f t="shared" si="25"/>
        <v>11618792355.064762</v>
      </c>
      <c r="FC34" s="297">
        <f t="shared" si="26"/>
        <v>12077913680.66254</v>
      </c>
      <c r="FE34" s="297">
        <f t="shared" ref="FE34:FE58" si="120">SUM(EF34:EI34)</f>
        <v>14820927631.654215</v>
      </c>
      <c r="FF34" s="297">
        <f t="shared" ref="FF34:FF58" si="121">SUM(EJ34:EM34)</f>
        <v>17449847496.504986</v>
      </c>
      <c r="FG34" s="297">
        <f t="shared" ref="FG34:FG58" si="122">SUM(EN34:EQ34)</f>
        <v>24415956246.296394</v>
      </c>
      <c r="FH34" s="297">
        <f t="shared" ref="FH34:FH58" si="123">SUM(ER34:EU34)</f>
        <v>31177264865.72364</v>
      </c>
      <c r="FI34" s="297">
        <f t="shared" ref="FI34:FI58" si="124">SUM(EV34:EY34)</f>
        <v>37762948714.304596</v>
      </c>
      <c r="FJ34" s="774">
        <f t="shared" si="32"/>
        <v>43973352106.596199</v>
      </c>
      <c r="FK34" s="545" t="s">
        <v>1</v>
      </c>
    </row>
    <row r="35" spans="2:167" x14ac:dyDescent="0.2">
      <c r="B35" s="225" t="s">
        <v>304</v>
      </c>
      <c r="C35" s="19">
        <f>'B2B- Non Repair'!C23</f>
        <v>127373162</v>
      </c>
      <c r="D35" s="19">
        <f>'B2B- Non Repair'!D23</f>
        <v>119525214</v>
      </c>
      <c r="E35" s="19">
        <f>'B2B- Non Repair'!E23</f>
        <v>133618915.88573273</v>
      </c>
      <c r="F35" s="19">
        <f>'B2B- Non Repair'!F23</f>
        <v>155721260.4144277</v>
      </c>
      <c r="G35" s="19">
        <f>'B2B- Non Repair'!G23</f>
        <v>182921172.49998167</v>
      </c>
      <c r="H35" s="19">
        <f>'B2B- Non Repair'!H23</f>
        <v>190468885</v>
      </c>
      <c r="I35" s="19">
        <f>'B2B- Non Repair'!I23</f>
        <v>203496304</v>
      </c>
      <c r="J35" s="19">
        <f>'B2B- Non Repair'!J23</f>
        <v>191306750</v>
      </c>
      <c r="K35" s="19">
        <f>'B2B- Non Repair'!K23</f>
        <v>241759536</v>
      </c>
      <c r="L35" s="19">
        <f>'B2B- Non Repair'!L23</f>
        <v>234336044</v>
      </c>
      <c r="M35" s="19">
        <f>'B2B- Non Repair'!M23</f>
        <v>238581665.40440598</v>
      </c>
      <c r="N35" s="19">
        <f>'B2B- Non Repair'!N23</f>
        <v>208964937</v>
      </c>
      <c r="O35" s="19">
        <f>'B2B- Non Repair'!O23</f>
        <v>269447912.26024622</v>
      </c>
      <c r="P35" s="19">
        <f>'B2B- Non Repair'!P23</f>
        <v>266868735.1242533</v>
      </c>
      <c r="Q35" s="19">
        <f>'B2B- Non Repair'!Q23</f>
        <v>286229261.5</v>
      </c>
      <c r="R35" s="19">
        <f>'B2B- Non Repair'!R23</f>
        <v>292359425.71099395</v>
      </c>
      <c r="S35" s="19">
        <f>'B2B- Non Repair'!S23</f>
        <v>240342977.87539515</v>
      </c>
      <c r="T35" s="19">
        <f>'B2B- Non Repair'!T23</f>
        <v>212420597.12555185</v>
      </c>
      <c r="U35" s="19">
        <f>'B2B- Non Repair'!U23</f>
        <v>179826642.85981309</v>
      </c>
      <c r="V35" s="19">
        <f>'B2B- Non Repair'!V23</f>
        <v>219145509.50059792</v>
      </c>
      <c r="W35" s="19">
        <f>'B2B- Non Repair'!W23</f>
        <v>251361505.16609254</v>
      </c>
      <c r="X35" s="19">
        <f>'B2B- Non Repair'!X23</f>
        <v>253840663.09572297</v>
      </c>
      <c r="Y35" s="19">
        <f>'B2B- Non Repair'!Y23</f>
        <v>291578958.80223233</v>
      </c>
      <c r="Z35" s="19">
        <f>'B2B- Non Repair'!Z23</f>
        <v>181928659.19999999</v>
      </c>
      <c r="AA35" s="19">
        <f>'B2B- Non Repair'!AA23</f>
        <v>-58689</v>
      </c>
      <c r="AB35" s="19">
        <f>'B2B- Non Repair'!AB23</f>
        <v>140822505.93964374</v>
      </c>
      <c r="AC35" s="19">
        <f>'B2B- Non Repair'!AC23</f>
        <v>145960707.95446637</v>
      </c>
      <c r="AD35" s="19">
        <f>'B2B- Non Repair'!AD23</f>
        <v>119738395.07042427</v>
      </c>
      <c r="AE35" s="19">
        <f>'B2B- Non Repair'!AE23</f>
        <v>200055468.57239282</v>
      </c>
      <c r="AF35" s="19">
        <f>'B2B- Non Repair'!AF23</f>
        <v>205142874.22751704</v>
      </c>
      <c r="AG35" s="19">
        <f>'B2B- Non Repair'!AG23</f>
        <v>184510568.67909652</v>
      </c>
      <c r="AH35" s="19">
        <f>'B2B- Non Repair'!AH23</f>
        <v>218065650.95785782</v>
      </c>
      <c r="AI35" s="19">
        <f>'B2B- Non Repair'!AI23</f>
        <v>351624938.17792231</v>
      </c>
      <c r="AJ35" s="19">
        <f>'B2B- Non Repair'!AJ23</f>
        <v>302824165.85610336</v>
      </c>
      <c r="AK35" s="19">
        <f>'B2B- Non Repair'!AK23</f>
        <v>378804197.32158595</v>
      </c>
      <c r="AL35" s="19">
        <f>'B2B- Non Repair'!AL23</f>
        <v>317244253.6084246</v>
      </c>
      <c r="AM35" s="19">
        <f>'B2B- Non Repair'!AM23</f>
        <v>218341300.60656399</v>
      </c>
      <c r="AN35" s="19">
        <f>'B2B- Non Repair'!AN23</f>
        <v>99507961</v>
      </c>
      <c r="AO35" s="19">
        <f>'B2B- Non Repair'!AO23</f>
        <v>220549752.36498249</v>
      </c>
      <c r="AP35" s="19">
        <f>'B2B- Non Repair'!AP23</f>
        <v>309028022.56999999</v>
      </c>
      <c r="AQ35" s="19">
        <f>'B2B- Non Repair'!AQ23</f>
        <v>302429208.89614981</v>
      </c>
      <c r="AR35" s="19">
        <f>'B2B- Non Repair'!AR23</f>
        <v>284500821</v>
      </c>
      <c r="AS35" s="19">
        <f>'B2B- Non Repair'!AS23</f>
        <v>243017416.99999997</v>
      </c>
      <c r="AT35" s="19">
        <f>'B2B- Non Repair'!AT23</f>
        <v>290726966</v>
      </c>
      <c r="AU35" s="19">
        <f>'B2B- Non Repair'!AU23</f>
        <v>389798687.40441</v>
      </c>
      <c r="AV35" s="19">
        <f>'B2B- Non Repair'!AV23</f>
        <v>355193261.00000006</v>
      </c>
      <c r="AW35" s="19">
        <f>'B2B- Non Repair'!AW23</f>
        <v>363297745</v>
      </c>
      <c r="AX35" s="19">
        <f>'B2B- Non Repair'!AX23</f>
        <v>316865236.87457108</v>
      </c>
      <c r="AY35" s="19">
        <f>'B2B- Non Repair'!AY23</f>
        <v>314883922.45000011</v>
      </c>
      <c r="AZ35" s="19">
        <f>'B2B- Non Repair'!AZ23</f>
        <v>353948479</v>
      </c>
      <c r="BA35" s="19">
        <f>'B2B- Non Repair'!BA23</f>
        <v>253718952.35678959</v>
      </c>
      <c r="BB35" s="19">
        <f>'B2B- Non Repair'!BB23</f>
        <v>295352366.05637115</v>
      </c>
      <c r="BC35" s="19">
        <f>'B2B- Non Repair'!BC23</f>
        <v>314859557.06935155</v>
      </c>
      <c r="BD35" s="19">
        <f>'B2B- Non Repair'!BD23</f>
        <v>323017769.97385091</v>
      </c>
      <c r="BE35" s="19">
        <f>'B2B- Non Repair'!BE23</f>
        <v>379991484.77648139</v>
      </c>
      <c r="BF35" s="19">
        <f>'B2B- Non Repair'!BF23</f>
        <v>411137982.12704134</v>
      </c>
      <c r="BG35" s="19">
        <f>'B2B- Non Repair'!BG23</f>
        <v>523499249.52725494</v>
      </c>
      <c r="BH35" s="19">
        <f>'B2B- Non Repair'!BH23</f>
        <v>472010291.35966325</v>
      </c>
      <c r="BI35" s="19">
        <f>'B2B- Non Repair'!BI23</f>
        <v>379962296.8494646</v>
      </c>
      <c r="BJ35" s="19">
        <f>'B2B- Non Repair'!BJ23</f>
        <v>420473610.973279</v>
      </c>
      <c r="BK35" s="19">
        <f>'B2B- Non Repair'!BK23</f>
        <v>388619576.70573646</v>
      </c>
      <c r="BL35" s="19">
        <f>'B2B- Non Repair'!BL23</f>
        <v>395066518.57596982</v>
      </c>
      <c r="BM35" s="19">
        <f>'B2B- Non Repair'!BM23</f>
        <v>300462671.48357654</v>
      </c>
      <c r="BN35" s="19">
        <f>'B2B- Non Repair'!BN23</f>
        <v>283687792.77625483</v>
      </c>
      <c r="BO35" s="19">
        <f>'B2B- Non Repair'!BO23</f>
        <v>300679904.2239241</v>
      </c>
      <c r="BP35" s="19">
        <f>'B2B- Non Repair'!BP23</f>
        <v>289582835.51983523</v>
      </c>
      <c r="BQ35" s="19">
        <f>'B2B- Non Repair'!BQ23</f>
        <v>272230318.70985508</v>
      </c>
      <c r="BR35" s="19">
        <f>'B2B- Non Repair'!BR23</f>
        <v>334439243.09056324</v>
      </c>
      <c r="BS35" s="19">
        <f>'B2B- Non Repair'!BS23</f>
        <v>301141663.49213475</v>
      </c>
      <c r="BT35" s="19">
        <f>'B2B- Non Repair'!BT23</f>
        <v>271286674.68889612</v>
      </c>
      <c r="BU35" s="19">
        <f>'B2B- Non Repair'!BU23</f>
        <v>285387260.72658789</v>
      </c>
      <c r="BV35" s="19">
        <f>'B2B- Non Repair'!BV23</f>
        <v>295499604.70715314</v>
      </c>
      <c r="BW35" s="19">
        <f>'B2B- Non Repair'!BW23</f>
        <v>306810965.38962066</v>
      </c>
      <c r="BX35" s="19">
        <f>'B2B- Non Repair'!BX23</f>
        <v>317634236.1956681</v>
      </c>
      <c r="BY35" s="19">
        <f>'B2B- Non Repair'!BY23</f>
        <v>302669466.78844017</v>
      </c>
      <c r="BZ35" s="19">
        <f>'B2B- Non Repair'!BZ23</f>
        <v>286115234.40934157</v>
      </c>
      <c r="CA35" s="19">
        <f>'B2B- Non Repair'!CA23</f>
        <v>276117758.08156765</v>
      </c>
      <c r="CB35" s="19">
        <f>'B2B- Non Repair'!CB23</f>
        <v>242257243.25205413</v>
      </c>
      <c r="CC35" s="19">
        <f>'B2B- Non Repair'!CC23</f>
        <v>290251317.86683983</v>
      </c>
      <c r="CD35" s="19">
        <f>'B2B- Non Repair'!CD23</f>
        <v>296899274.37488753</v>
      </c>
      <c r="CE35" s="19">
        <f>'B2B- Non Repair'!CE23</f>
        <v>335757957.58998883</v>
      </c>
      <c r="CF35" s="19">
        <f>'B2B- Non Repair'!CF23</f>
        <v>385179872.95694119</v>
      </c>
      <c r="CG35" s="19">
        <f>'B2B- Non Repair'!CG23</f>
        <v>445942525.30202425</v>
      </c>
      <c r="CH35" s="19">
        <f>'B2B- Non Repair'!CH23</f>
        <v>553793255.71783984</v>
      </c>
      <c r="CI35" s="19">
        <f>'B2B- Non Repair'!CI23</f>
        <v>470069111.57037914</v>
      </c>
      <c r="CJ35" s="19">
        <f>'B2B- Non Repair'!CJ23</f>
        <v>466408773.88283879</v>
      </c>
      <c r="CK35" s="19">
        <f>'B2B- Non Repair'!CK23</f>
        <v>460358627.85315222</v>
      </c>
      <c r="CL35" s="19">
        <f>'B2B- Non Repair'!CL23</f>
        <v>461154413.35000002</v>
      </c>
      <c r="CM35" s="19">
        <f>'B2B- Non Repair'!CM23</f>
        <v>388687802.75999916</v>
      </c>
      <c r="CN35" s="19">
        <f>'B2B- Non Repair'!CN23</f>
        <v>336052923.92999959</v>
      </c>
      <c r="CO35" s="19">
        <f>'B2B- Non Repair'!CO23</f>
        <v>435550558.52000046</v>
      </c>
      <c r="CP35" s="19">
        <f>'B2B- Non Repair'!CP23</f>
        <v>522842565.63999999</v>
      </c>
      <c r="CQ35" s="19">
        <f>'B2B- Non Repair'!CQ23</f>
        <v>633370264.37999988</v>
      </c>
      <c r="CR35" s="19">
        <f>'B2B- Non Repair'!CR23</f>
        <v>681442196.87000072</v>
      </c>
      <c r="CS35" s="19">
        <f>'B2B- Non Repair'!CS23</f>
        <v>622125579.7500006</v>
      </c>
      <c r="CT35" s="19">
        <f>'B2B- Non Repair'!CT23</f>
        <v>604962856.32999957</v>
      </c>
      <c r="CU35" s="19">
        <f>'B2B- Non Repair'!CU23</f>
        <v>626377247.22057498</v>
      </c>
      <c r="CV35" s="19">
        <f>'B2B- Non Repair'!CV23</f>
        <v>649242340.31171215</v>
      </c>
      <c r="CW35" s="19">
        <f>'B2B- Non Repair'!CW23</f>
        <v>609907584.32042396</v>
      </c>
      <c r="CX35" s="19">
        <f>'B2B- Non Repair'!CX23</f>
        <v>610431282.88397908</v>
      </c>
      <c r="CY35" s="19">
        <f>'B2B- Non Repair'!CY23</f>
        <v>567575430.2484076</v>
      </c>
      <c r="CZ35" s="19">
        <f>'B2B- Non Repair'!CZ23</f>
        <v>494949921.32897353</v>
      </c>
      <c r="DA35" s="19">
        <f>'B2B- Non Repair'!DA23</f>
        <v>579036629.22452211</v>
      </c>
      <c r="DB35" s="19">
        <f>'B2B- Non Repair'!DB23</f>
        <v>717062311.02831566</v>
      </c>
      <c r="DC35" s="19">
        <f>'B2B- Non Repair'!DC23</f>
        <v>799010325.98845029</v>
      </c>
      <c r="DD35" s="19">
        <f>'B2B- Non Repair'!DD23</f>
        <v>747715470.71532393</v>
      </c>
      <c r="DE35" s="19">
        <f>'B2B- Non Repair'!DE23</f>
        <v>729178487.93240309</v>
      </c>
      <c r="DF35" s="19">
        <f>'B2B- Non Repair'!DF23</f>
        <v>701131242.00030887</v>
      </c>
      <c r="DG35" s="19">
        <f>'B2B- Non Repair'!DG23</f>
        <v>782971559.02571845</v>
      </c>
      <c r="DH35" s="19">
        <f>'B2B- Non Repair'!DH23</f>
        <v>811552925.38964021</v>
      </c>
      <c r="DI35" s="19">
        <f>'B2B- Non Repair'!DI23</f>
        <v>762384480.40052974</v>
      </c>
      <c r="DJ35" s="19">
        <f>'B2B- Non Repair'!DJ23</f>
        <v>763039103.60497355</v>
      </c>
      <c r="DK35" s="19">
        <f>'B2B- Non Repair'!DK23</f>
        <v>709469287.81050944</v>
      </c>
      <c r="DL35" s="19">
        <f>'B2B- Non Repair'!DL23</f>
        <v>618687401.66121662</v>
      </c>
      <c r="DM35" s="19">
        <f>'B2B- Non Repair'!DM23</f>
        <v>723795786.53065228</v>
      </c>
      <c r="DN35" s="19">
        <f>'B2B- Non Repair'!DN23</f>
        <v>896327888.78539443</v>
      </c>
      <c r="DO35" s="19">
        <f>'B2B- Non Repair'!DO23</f>
        <v>998762907.48556256</v>
      </c>
      <c r="DP35" s="19">
        <f>'B2B- Non Repair'!DP23</f>
        <v>934644338.39415479</v>
      </c>
      <c r="DQ35" s="19">
        <f>'B2B- Non Repair'!DQ23</f>
        <v>911473109.91550374</v>
      </c>
      <c r="DR35" s="19">
        <f>'B2B- Non Repair'!DR23</f>
        <v>876414052.50038612</v>
      </c>
      <c r="DS35" s="19">
        <f>'B2B- Non Repair'!DS23</f>
        <v>939565870.83086228</v>
      </c>
      <c r="DT35" s="19">
        <f>'B2B- Non Repair'!DT23</f>
        <v>973863510.46756792</v>
      </c>
      <c r="DU35" s="19">
        <f>'B2B- Non Repair'!DU23</f>
        <v>914861376.48063564</v>
      </c>
      <c r="DV35" s="19">
        <f>'B2B- Non Repair'!DV23</f>
        <v>915646924.32596827</v>
      </c>
      <c r="DW35" s="19">
        <f>'B2B- Non Repair'!DW23</f>
        <v>851363145.37261117</v>
      </c>
      <c r="DX35" s="19">
        <f>'B2B- Non Repair'!DX23</f>
        <v>742424881.99345994</v>
      </c>
      <c r="DY35" s="19">
        <f>'B2B- Non Repair'!DY23</f>
        <v>868554943.83678293</v>
      </c>
      <c r="DZ35" s="19">
        <f>'B2B- Non Repair'!DZ23</f>
        <v>1075593466.5424733</v>
      </c>
      <c r="EA35" s="19">
        <f>'B2B- Non Repair'!EA23</f>
        <v>1198515488.9826753</v>
      </c>
      <c r="EB35" s="19">
        <f>'B2B- Non Repair'!EB23</f>
        <v>1121573206.0729861</v>
      </c>
      <c r="EC35" s="19">
        <f>'B2B- Non Repair'!EC23</f>
        <v>1093767731.8986044</v>
      </c>
      <c r="ED35" s="19">
        <f>'B2B- Non Repair'!ED23</f>
        <v>1051696863.0004632</v>
      </c>
      <c r="EE35" s="222"/>
      <c r="EF35" s="19">
        <f t="shared" si="100"/>
        <v>1084148766.7652829</v>
      </c>
      <c r="EG35" s="19">
        <f t="shared" si="101"/>
        <v>873950532.52001417</v>
      </c>
      <c r="EH35" s="19">
        <f t="shared" si="102"/>
        <v>907811225.29255319</v>
      </c>
      <c r="EI35" s="19">
        <f t="shared" si="103"/>
        <v>852173540.12263703</v>
      </c>
      <c r="EJ35" s="19">
        <f t="shared" si="104"/>
        <v>927114668.37372899</v>
      </c>
      <c r="EK35" s="19">
        <f t="shared" si="105"/>
        <v>804490235.74296331</v>
      </c>
      <c r="EL35" s="19">
        <f t="shared" si="106"/>
        <v>922908549.83171618</v>
      </c>
      <c r="EM35" s="19">
        <f t="shared" si="107"/>
        <v>1384915653.9768052</v>
      </c>
      <c r="EN35" s="19">
        <f t="shared" si="108"/>
        <v>1396836513.3063703</v>
      </c>
      <c r="EO35" s="19">
        <f t="shared" si="109"/>
        <v>1185895140.0399988</v>
      </c>
      <c r="EP35" s="19">
        <f t="shared" si="110"/>
        <v>1591763388.5400004</v>
      </c>
      <c r="EQ35" s="19">
        <f t="shared" si="111"/>
        <v>1908530632.9500008</v>
      </c>
      <c r="ER35" s="19">
        <f t="shared" si="112"/>
        <v>1885527171.8527112</v>
      </c>
      <c r="ES35" s="19">
        <f t="shared" si="113"/>
        <v>1672956634.4613602</v>
      </c>
      <c r="ET35" s="19">
        <f t="shared" si="114"/>
        <v>2095109266.2412879</v>
      </c>
      <c r="EU35" s="19">
        <f t="shared" si="115"/>
        <v>2178025200.648036</v>
      </c>
      <c r="EV35" s="19">
        <f t="shared" si="116"/>
        <v>2356908964.8158884</v>
      </c>
      <c r="EW35" s="19">
        <f t="shared" si="117"/>
        <v>2091195793.0766997</v>
      </c>
      <c r="EX35" s="19">
        <f t="shared" si="118"/>
        <v>2618886582.801609</v>
      </c>
      <c r="EY35" s="19">
        <f t="shared" si="119"/>
        <v>2722531500.8100448</v>
      </c>
      <c r="EZ35" s="19">
        <f t="shared" si="23"/>
        <v>2828290757.7790661</v>
      </c>
      <c r="FA35" s="19">
        <f t="shared" si="24"/>
        <v>2509434951.6920395</v>
      </c>
      <c r="FB35" s="19">
        <f t="shared" si="25"/>
        <v>3142663899.3619318</v>
      </c>
      <c r="FC35" s="19">
        <f t="shared" si="26"/>
        <v>3267037800.9720535</v>
      </c>
      <c r="FE35" s="19">
        <f t="shared" si="120"/>
        <v>3718084064.7004871</v>
      </c>
      <c r="FF35" s="19">
        <f t="shared" si="121"/>
        <v>4039429107.9252138</v>
      </c>
      <c r="FG35" s="19">
        <f t="shared" si="122"/>
        <v>6083025674.8363705</v>
      </c>
      <c r="FH35" s="19">
        <f t="shared" si="123"/>
        <v>7831618273.2033958</v>
      </c>
      <c r="FI35" s="19">
        <f t="shared" si="124"/>
        <v>9789522841.5042419</v>
      </c>
      <c r="FJ35" s="770">
        <f t="shared" si="32"/>
        <v>11747427409.805092</v>
      </c>
      <c r="FK35" s="545" t="s">
        <v>1</v>
      </c>
    </row>
    <row r="36" spans="2:167" x14ac:dyDescent="0.2">
      <c r="B36" s="225" t="s">
        <v>139</v>
      </c>
      <c r="C36" s="19">
        <f>Refurbished!C21</f>
        <v>6192647</v>
      </c>
      <c r="D36" s="19">
        <f>Refurbished!D21</f>
        <v>6767807</v>
      </c>
      <c r="E36" s="19">
        <f>Refurbished!E21</f>
        <v>5747560.7689844025</v>
      </c>
      <c r="F36" s="19">
        <f>Refurbished!F21</f>
        <v>9331198.8993185107</v>
      </c>
      <c r="G36" s="19">
        <f>Refurbished!G21</f>
        <v>7135417.9363709055</v>
      </c>
      <c r="H36" s="19">
        <f>Refurbished!H21</f>
        <v>5830125.5643097647</v>
      </c>
      <c r="I36" s="19">
        <f>Refurbished!I21</f>
        <v>7326199.0000000009</v>
      </c>
      <c r="J36" s="19">
        <f>Refurbished!J21</f>
        <v>9536226</v>
      </c>
      <c r="K36" s="19">
        <f>Refurbished!K21</f>
        <v>11404856</v>
      </c>
      <c r="L36" s="19">
        <f>Refurbished!L21</f>
        <v>13296972.770714287</v>
      </c>
      <c r="M36" s="19">
        <f>Refurbished!M21</f>
        <v>20383278.310714286</v>
      </c>
      <c r="N36" s="19">
        <f>Refurbished!N21</f>
        <v>33795612.599285722</v>
      </c>
      <c r="O36" s="19">
        <f>Refurbished!O21</f>
        <v>43602740.531428576</v>
      </c>
      <c r="P36" s="19">
        <f>Refurbished!P21</f>
        <v>47553838.704642862</v>
      </c>
      <c r="Q36" s="19">
        <f>Refurbished!Q21</f>
        <v>41912956.475000001</v>
      </c>
      <c r="R36" s="19">
        <f>Refurbished!R21</f>
        <v>58596025.079642855</v>
      </c>
      <c r="S36" s="19">
        <f>Refurbished!S21</f>
        <v>37652327</v>
      </c>
      <c r="T36" s="19">
        <f>Refurbished!T21</f>
        <v>45328626.200000003</v>
      </c>
      <c r="U36" s="19">
        <f>Refurbished!U21</f>
        <v>40091328</v>
      </c>
      <c r="V36" s="19">
        <f>Refurbished!V21</f>
        <v>17945248</v>
      </c>
      <c r="W36" s="19">
        <f>Refurbished!W21</f>
        <v>30219008</v>
      </c>
      <c r="X36" s="19">
        <f>Refurbished!X21</f>
        <v>37180654.785471424</v>
      </c>
      <c r="Y36" s="19">
        <f>Refurbished!Y21</f>
        <v>23280069.623240825</v>
      </c>
      <c r="Z36" s="19">
        <f>Refurbished!Z21</f>
        <v>24244971.863357142</v>
      </c>
      <c r="AA36" s="19">
        <f>Refurbished!AA21</f>
        <v>-3099488</v>
      </c>
      <c r="AB36" s="19">
        <f>Refurbished!AB21</f>
        <v>29744394.104352541</v>
      </c>
      <c r="AC36" s="19">
        <f>Refurbished!AC21</f>
        <v>28843935.470764291</v>
      </c>
      <c r="AD36" s="19">
        <f>Refurbished!AD21</f>
        <v>27800228.018400002</v>
      </c>
      <c r="AE36" s="19">
        <f>Refurbished!AE21</f>
        <v>31243748.260000002</v>
      </c>
      <c r="AF36" s="19">
        <f>Refurbished!AF21</f>
        <v>37235534.401000001</v>
      </c>
      <c r="AG36" s="19">
        <f>Refurbished!AG21</f>
        <v>46067414.031000003</v>
      </c>
      <c r="AH36" s="19">
        <f>Refurbished!AH21</f>
        <v>55667728</v>
      </c>
      <c r="AI36" s="19">
        <f>Refurbished!AI21</f>
        <v>95343467.050000012</v>
      </c>
      <c r="AJ36" s="19">
        <f>Refurbished!AJ21</f>
        <v>110195528.70999999</v>
      </c>
      <c r="AK36" s="19">
        <f>Refurbished!AK21</f>
        <v>88109945.949999988</v>
      </c>
      <c r="AL36" s="19">
        <f>Refurbished!AL21</f>
        <v>90085748.480000108</v>
      </c>
      <c r="AM36" s="19">
        <f>Refurbished!AM21</f>
        <v>60400075.890000015</v>
      </c>
      <c r="AN36" s="19">
        <f>Refurbished!AN21</f>
        <v>27013724.799999997</v>
      </c>
      <c r="AO36" s="19">
        <f>Refurbished!AO21</f>
        <v>61562947.890000038</v>
      </c>
      <c r="AP36" s="19">
        <f>Refurbished!AP21</f>
        <v>77116410.65000008</v>
      </c>
      <c r="AQ36" s="19">
        <f>Refurbished!AQ21</f>
        <v>90133879.960000128</v>
      </c>
      <c r="AR36" s="19">
        <f>Refurbished!AR21</f>
        <v>112393244.14000013</v>
      </c>
      <c r="AS36" s="19">
        <f>Refurbished!AS21</f>
        <v>126561316.94000036</v>
      </c>
      <c r="AT36" s="19">
        <f>Refurbished!AT21</f>
        <v>164983746.35999984</v>
      </c>
      <c r="AU36" s="19">
        <f>Refurbished!AU21</f>
        <v>190948408.13999945</v>
      </c>
      <c r="AV36" s="19">
        <f>Refurbished!AV21</f>
        <v>206055081.93000221</v>
      </c>
      <c r="AW36" s="19">
        <f>Refurbished!AW21</f>
        <v>208346120.67999631</v>
      </c>
      <c r="AX36" s="19">
        <f>Refurbished!AX21</f>
        <v>208035686.559995</v>
      </c>
      <c r="AY36" s="19">
        <f>Refurbished!AY21</f>
        <v>158142634.55999595</v>
      </c>
      <c r="AZ36" s="19">
        <f>Refurbished!AZ21</f>
        <v>191764165.76000482</v>
      </c>
      <c r="BA36" s="19">
        <f>Refurbished!BA21</f>
        <v>224506384.4399901</v>
      </c>
      <c r="BB36" s="19">
        <f>Refurbished!BB21</f>
        <v>218114267.30999857</v>
      </c>
      <c r="BC36" s="19">
        <f>Refurbished!BC21</f>
        <v>205934890.3400054</v>
      </c>
      <c r="BD36" s="19">
        <f>Refurbished!BD21</f>
        <v>196830864.92948377</v>
      </c>
      <c r="BE36" s="19">
        <f>Refurbished!BE21</f>
        <v>238832540.28770751</v>
      </c>
      <c r="BF36" s="19">
        <f>Refurbished!BF21</f>
        <v>247478984.3420319</v>
      </c>
      <c r="BG36" s="19">
        <f>Refurbished!BG21</f>
        <v>290431420.74414909</v>
      </c>
      <c r="BH36" s="19">
        <f>Refurbished!BH21</f>
        <v>327744328.17887121</v>
      </c>
      <c r="BI36" s="19">
        <f>Refurbished!BI21</f>
        <v>349809706.79444808</v>
      </c>
      <c r="BJ36" s="19">
        <f>Refurbished!BJ21</f>
        <v>484834187.80862319</v>
      </c>
      <c r="BK36" s="19">
        <f>Refurbished!BK21</f>
        <v>488045955.55942798</v>
      </c>
      <c r="BL36" s="19">
        <f>Refurbished!BL21</f>
        <v>486740557.7096855</v>
      </c>
      <c r="BM36" s="19">
        <f>Refurbished!BM21</f>
        <v>514293123.67642361</v>
      </c>
      <c r="BN36" s="19">
        <f>Refurbished!BN21</f>
        <v>414738100.76314175</v>
      </c>
      <c r="BO36" s="19">
        <f>Refurbished!BO21</f>
        <v>436368009.07490754</v>
      </c>
      <c r="BP36" s="19">
        <f>Refurbished!BP21</f>
        <v>438127606.50698757</v>
      </c>
      <c r="BQ36" s="19">
        <f>Refurbished!BQ21</f>
        <v>655140468.45114815</v>
      </c>
      <c r="BR36" s="19">
        <f>Refurbished!BR21</f>
        <v>550478882.38706899</v>
      </c>
      <c r="BS36" s="19">
        <f>Refurbished!BS21</f>
        <v>492437220.33111715</v>
      </c>
      <c r="BT36" s="19">
        <f>Refurbished!BT21</f>
        <v>468497166.54165256</v>
      </c>
      <c r="BU36" s="19">
        <f>Refurbished!BU21</f>
        <v>391086995.87576556</v>
      </c>
      <c r="BV36" s="19">
        <f>Refurbished!BV21</f>
        <v>504617056.66021729</v>
      </c>
      <c r="BW36" s="19">
        <f>Refurbished!BW21</f>
        <v>511404555.11941302</v>
      </c>
      <c r="BX36" s="19">
        <f>Refurbished!BX21</f>
        <v>528382766.45801866</v>
      </c>
      <c r="BY36" s="19">
        <f>Refurbished!BY21</f>
        <v>557915117.44188285</v>
      </c>
      <c r="BZ36" s="19">
        <f>Refurbished!BZ21</f>
        <v>549172956.25877106</v>
      </c>
      <c r="CA36" s="19">
        <f>Refurbished!CA21</f>
        <v>486481967.82860899</v>
      </c>
      <c r="CB36" s="19">
        <f>Refurbished!CB21</f>
        <v>458111278.06665248</v>
      </c>
      <c r="CC36" s="19">
        <f>Refurbished!CC21</f>
        <v>571831289.16511595</v>
      </c>
      <c r="CD36" s="19">
        <f>Refurbished!CD21</f>
        <v>534552554.81307018</v>
      </c>
      <c r="CE36" s="19">
        <f>Refurbished!CE21</f>
        <v>636403083.74523067</v>
      </c>
      <c r="CF36" s="19">
        <f>Refurbished!CF21</f>
        <v>681078195.92077541</v>
      </c>
      <c r="CG36" s="19">
        <f>Refurbished!CG21</f>
        <v>649806770.9229219</v>
      </c>
      <c r="CH36" s="19">
        <f>Refurbished!CH21</f>
        <v>838927433.56969547</v>
      </c>
      <c r="CI36" s="19">
        <f>Refurbished!CI21</f>
        <v>773004511.89321828</v>
      </c>
      <c r="CJ36" s="19">
        <f>Refurbished!CJ21</f>
        <v>755574724.8283186</v>
      </c>
      <c r="CK36" s="19">
        <f>Refurbished!CK21</f>
        <v>763813123.11457694</v>
      </c>
      <c r="CL36" s="19">
        <f>Refurbished!CL21</f>
        <v>820391689.6474576</v>
      </c>
      <c r="CM36" s="19">
        <f>Refurbished!CM21</f>
        <v>701446467.27000093</v>
      </c>
      <c r="CN36" s="19">
        <f>Refurbished!CN21</f>
        <v>758296395.77670133</v>
      </c>
      <c r="CO36" s="19">
        <f>Refurbished!CO21</f>
        <v>881911119.647488</v>
      </c>
      <c r="CP36" s="19">
        <f>Refurbished!CP21</f>
        <v>817850963.33060002</v>
      </c>
      <c r="CQ36" s="19">
        <f>Refurbished!CQ21</f>
        <v>1006235498.4649951</v>
      </c>
      <c r="CR36" s="19">
        <f>Refurbished!CR21</f>
        <v>1093034605.5906382</v>
      </c>
      <c r="CS36" s="19">
        <f>Refurbished!CS21</f>
        <v>985465798.37775457</v>
      </c>
      <c r="CT36" s="19">
        <f>Refurbished!CT21</f>
        <v>1161455513.4814487</v>
      </c>
      <c r="CU36" s="19">
        <f>Refurbished!CU21</f>
        <v>1027611351.5716845</v>
      </c>
      <c r="CV36" s="19">
        <f>Refurbished!CV21</f>
        <v>1017215256.4438188</v>
      </c>
      <c r="CW36" s="19">
        <f>Refurbished!CW21</f>
        <v>1014880125.3755372</v>
      </c>
      <c r="CX36" s="19">
        <f>Refurbished!CX21</f>
        <v>1075499963.9560406</v>
      </c>
      <c r="CY36" s="19">
        <f>Refurbished!CY21</f>
        <v>974594526.26008964</v>
      </c>
      <c r="CZ36" s="19">
        <f>Refurbished!CZ21</f>
        <v>964323899.00094485</v>
      </c>
      <c r="DA36" s="19">
        <f>Refurbished!DA21</f>
        <v>1099736828.0221882</v>
      </c>
      <c r="DB36" s="19">
        <f>Refurbished!DB21</f>
        <v>1041277483.2033017</v>
      </c>
      <c r="DC36" s="19">
        <f>Refurbished!DC21</f>
        <v>1264667706.8547726</v>
      </c>
      <c r="DD36" s="19">
        <f>Refurbished!DD21</f>
        <v>1323545981.3105874</v>
      </c>
      <c r="DE36" s="19">
        <f>Refurbished!DE21</f>
        <v>1186395496.120446</v>
      </c>
      <c r="DF36" s="19">
        <f>Refurbished!DF21</f>
        <v>1349942060.3239968</v>
      </c>
      <c r="DG36" s="19">
        <f>Refurbished!DG21</f>
        <v>1245861891.7771087</v>
      </c>
      <c r="DH36" s="19">
        <f>Refurbished!DH21</f>
        <v>1234904713.6893134</v>
      </c>
      <c r="DI36" s="19">
        <f>Refurbished!DI21</f>
        <v>1228195566.1338305</v>
      </c>
      <c r="DJ36" s="19">
        <f>Refurbished!DJ21</f>
        <v>1301558126.6655786</v>
      </c>
      <c r="DK36" s="19">
        <f>Refurbished!DK21</f>
        <v>1177817271.8590436</v>
      </c>
      <c r="DL36" s="19">
        <f>Refurbished!DL21</f>
        <v>1162587754.7089529</v>
      </c>
      <c r="DM36" s="19">
        <f>Refurbished!DM21</f>
        <v>1324851278.5433443</v>
      </c>
      <c r="DN36" s="19">
        <f>Refurbished!DN21</f>
        <v>1250063909.505533</v>
      </c>
      <c r="DO36" s="19">
        <f>Refurbished!DO21</f>
        <v>1514196606.7960484</v>
      </c>
      <c r="DP36" s="19">
        <f>Refurbished!DP21</f>
        <v>1580406005.0833676</v>
      </c>
      <c r="DQ36" s="19">
        <f>Refurbished!DQ21</f>
        <v>1413088135.210254</v>
      </c>
      <c r="DR36" s="19">
        <f>Refurbished!DR21</f>
        <v>1596543953.8011425</v>
      </c>
      <c r="DS36" s="19">
        <f>Refurbished!DS21</f>
        <v>1444001859.7005246</v>
      </c>
      <c r="DT36" s="19">
        <f>Refurbished!DT21</f>
        <v>1430899479.1369433</v>
      </c>
      <c r="DU36" s="19">
        <f>Refurbished!DU21</f>
        <v>1422718760.3548121</v>
      </c>
      <c r="DV36" s="19">
        <f>Refurbished!DV21</f>
        <v>1506243933.5743794</v>
      </c>
      <c r="DW36" s="19">
        <f>Refurbished!DW21</f>
        <v>1363133975.8585</v>
      </c>
      <c r="DX36" s="19">
        <f>Refurbished!DX21</f>
        <v>1346854717.5163527</v>
      </c>
      <c r="DY36" s="19">
        <f>Refurbished!DY21</f>
        <v>1530733233.3528552</v>
      </c>
      <c r="DZ36" s="19">
        <f>Refurbished!DZ21</f>
        <v>1445177848.2572882</v>
      </c>
      <c r="EA36" s="19">
        <f>Refurbished!EA21</f>
        <v>1750632122.4094658</v>
      </c>
      <c r="EB36" s="19">
        <f>Refurbished!EB21</f>
        <v>1827851693.5386305</v>
      </c>
      <c r="EC36" s="19">
        <f>Refurbished!EC21</f>
        <v>1632693350.9766765</v>
      </c>
      <c r="ED36" s="19">
        <f>Refurbished!ED21</f>
        <v>1843056302.3061841</v>
      </c>
      <c r="EE36" s="222"/>
      <c r="EF36" s="19">
        <f t="shared" si="100"/>
        <v>1489079636.9455371</v>
      </c>
      <c r="EG36" s="19">
        <f t="shared" si="101"/>
        <v>1289233716.345037</v>
      </c>
      <c r="EH36" s="19">
        <f t="shared" si="102"/>
        <v>1698056571.1693344</v>
      </c>
      <c r="EI36" s="19">
        <f t="shared" si="103"/>
        <v>1364201219.0776353</v>
      </c>
      <c r="EJ36" s="19">
        <f t="shared" si="104"/>
        <v>1597702439.0193145</v>
      </c>
      <c r="EK36" s="19">
        <f t="shared" si="105"/>
        <v>1493766202.1540325</v>
      </c>
      <c r="EL36" s="19">
        <f t="shared" si="106"/>
        <v>1742786927.7234168</v>
      </c>
      <c r="EM36" s="19">
        <f t="shared" si="107"/>
        <v>2169812400.413393</v>
      </c>
      <c r="EN36" s="19">
        <f t="shared" si="108"/>
        <v>2292392359.8361139</v>
      </c>
      <c r="EO36" s="19">
        <f t="shared" si="109"/>
        <v>2280134552.69416</v>
      </c>
      <c r="EP36" s="19">
        <f t="shared" si="110"/>
        <v>2705997581.4430828</v>
      </c>
      <c r="EQ36" s="19">
        <f t="shared" si="111"/>
        <v>3239955917.4498415</v>
      </c>
      <c r="ER36" s="19">
        <f t="shared" si="112"/>
        <v>3059706733.3910408</v>
      </c>
      <c r="ES36" s="19">
        <f t="shared" si="113"/>
        <v>3014418389.2170753</v>
      </c>
      <c r="ET36" s="19">
        <f t="shared" si="114"/>
        <v>3405682018.0802622</v>
      </c>
      <c r="EU36" s="19">
        <f t="shared" si="115"/>
        <v>3859883537.7550297</v>
      </c>
      <c r="EV36" s="19">
        <f t="shared" si="116"/>
        <v>3708962171.6002526</v>
      </c>
      <c r="EW36" s="19">
        <f t="shared" si="117"/>
        <v>3641963153.2335749</v>
      </c>
      <c r="EX36" s="19">
        <f t="shared" si="118"/>
        <v>4089111794.8449259</v>
      </c>
      <c r="EY36" s="19">
        <f t="shared" si="119"/>
        <v>4590038094.0947638</v>
      </c>
      <c r="EZ36" s="19">
        <f t="shared" si="23"/>
        <v>4297620099.1922798</v>
      </c>
      <c r="FA36" s="19">
        <f t="shared" si="24"/>
        <v>4216232626.9492321</v>
      </c>
      <c r="FB36" s="19">
        <f t="shared" si="25"/>
        <v>4726543204.0196095</v>
      </c>
      <c r="FC36" s="19">
        <f t="shared" si="26"/>
        <v>5303601346.8214912</v>
      </c>
      <c r="FE36" s="19">
        <f t="shared" si="120"/>
        <v>5840571143.5375443</v>
      </c>
      <c r="FF36" s="19">
        <f t="shared" si="121"/>
        <v>7004067969.3101568</v>
      </c>
      <c r="FG36" s="19">
        <f t="shared" si="122"/>
        <v>10518480411.423199</v>
      </c>
      <c r="FH36" s="19">
        <f t="shared" si="123"/>
        <v>13339690678.443407</v>
      </c>
      <c r="FI36" s="19">
        <f t="shared" si="124"/>
        <v>16030075213.773518</v>
      </c>
      <c r="FJ36" s="770">
        <f t="shared" si="32"/>
        <v>18543997276.982613</v>
      </c>
      <c r="FK36" s="545" t="s">
        <v>1</v>
      </c>
    </row>
    <row r="37" spans="2:167" x14ac:dyDescent="0.2">
      <c r="B37" s="225" t="s">
        <v>309</v>
      </c>
      <c r="C37" s="19">
        <f>Marketplace!C3</f>
        <v>71270131.644141346</v>
      </c>
      <c r="D37" s="19">
        <f>Marketplace!D3</f>
        <v>92247410</v>
      </c>
      <c r="E37" s="19">
        <f>Marketplace!E3</f>
        <v>80512562</v>
      </c>
      <c r="F37" s="19">
        <f>Marketplace!F3</f>
        <v>66231280</v>
      </c>
      <c r="G37" s="19">
        <f>Marketplace!G3</f>
        <v>40103506</v>
      </c>
      <c r="H37" s="19">
        <f>Marketplace!H3</f>
        <v>27837941</v>
      </c>
      <c r="I37" s="19">
        <f>Marketplace!I3</f>
        <v>33141999</v>
      </c>
      <c r="J37" s="19">
        <f>Marketplace!J3</f>
        <v>31956623</v>
      </c>
      <c r="K37" s="19">
        <f>Marketplace!K3</f>
        <v>33593105</v>
      </c>
      <c r="L37" s="19">
        <f>Marketplace!L3</f>
        <v>34836719</v>
      </c>
      <c r="M37" s="19">
        <f>Marketplace!M3</f>
        <v>32068866</v>
      </c>
      <c r="N37" s="19">
        <f>Marketplace!N3</f>
        <v>34657352</v>
      </c>
      <c r="O37" s="19">
        <f>Marketplace!O3</f>
        <v>33048358</v>
      </c>
      <c r="P37" s="19">
        <f>Marketplace!P3</f>
        <v>39205134</v>
      </c>
      <c r="Q37" s="19">
        <f>Marketplace!Q3</f>
        <v>38218846</v>
      </c>
      <c r="R37" s="19">
        <f>Marketplace!R3</f>
        <v>41865167</v>
      </c>
      <c r="S37" s="19">
        <f>Marketplace!S3</f>
        <v>43946303</v>
      </c>
      <c r="T37" s="19">
        <f>Marketplace!T3</f>
        <v>47552402</v>
      </c>
      <c r="U37" s="19">
        <f>Marketplace!U3</f>
        <v>60751537</v>
      </c>
      <c r="V37" s="19">
        <f>Marketplace!V3</f>
        <v>47363757</v>
      </c>
      <c r="W37" s="19">
        <f>Marketplace!W3</f>
        <v>47939667.745729305</v>
      </c>
      <c r="X37" s="19">
        <f>Marketplace!X3</f>
        <v>57555452</v>
      </c>
      <c r="Y37" s="19">
        <f>Marketplace!Y3</f>
        <v>52021865</v>
      </c>
      <c r="Z37" s="19">
        <f>Marketplace!Z3</f>
        <v>43950013</v>
      </c>
      <c r="AA37" s="19">
        <f>Marketplace!AA3</f>
        <v>1299063</v>
      </c>
      <c r="AB37" s="19">
        <f>Marketplace!AB3</f>
        <v>24854297</v>
      </c>
      <c r="AC37" s="19">
        <f>Marketplace!AC3</f>
        <v>77955180</v>
      </c>
      <c r="AD37" s="19">
        <f>Marketplace!AD3</f>
        <v>116955847</v>
      </c>
      <c r="AE37" s="19">
        <f>Marketplace!AE3</f>
        <v>145030466</v>
      </c>
      <c r="AF37" s="19">
        <f>Marketplace!AF3</f>
        <v>147111137</v>
      </c>
      <c r="AG37" s="19">
        <f>Marketplace!AG3</f>
        <v>175182084</v>
      </c>
      <c r="AH37" s="19">
        <f>Marketplace!AH3</f>
        <v>138930600</v>
      </c>
      <c r="AI37" s="19">
        <f>Marketplace!AI3</f>
        <v>125718110</v>
      </c>
      <c r="AJ37" s="19">
        <f>Marketplace!AJ3</f>
        <v>148093328</v>
      </c>
      <c r="AK37" s="19">
        <f>Marketplace!AK3</f>
        <v>127905470</v>
      </c>
      <c r="AL37" s="19">
        <f>Marketplace!AL3</f>
        <v>147564948</v>
      </c>
      <c r="AM37" s="19">
        <f>Marketplace!AM3</f>
        <v>107723268</v>
      </c>
      <c r="AN37" s="19">
        <f>Marketplace!AN3</f>
        <v>47966856</v>
      </c>
      <c r="AO37" s="19">
        <f>Marketplace!AO3</f>
        <v>138659913</v>
      </c>
      <c r="AP37" s="19">
        <f>Marketplace!AP3</f>
        <v>182022957</v>
      </c>
      <c r="AQ37" s="19">
        <f>Marketplace!AQ3</f>
        <v>211585543</v>
      </c>
      <c r="AR37" s="19">
        <f>Marketplace!AR3</f>
        <v>230081321</v>
      </c>
      <c r="AS37" s="19">
        <f>Marketplace!AS3</f>
        <v>319577784</v>
      </c>
      <c r="AT37" s="19">
        <f>Marketplace!AT3</f>
        <v>215826925</v>
      </c>
      <c r="AU37" s="19">
        <f>Marketplace!AU3</f>
        <v>234772415</v>
      </c>
      <c r="AV37" s="19">
        <f>Marketplace!AV3</f>
        <v>259779566</v>
      </c>
      <c r="AW37" s="19">
        <f>Marketplace!AW3</f>
        <v>225664202</v>
      </c>
      <c r="AX37" s="19">
        <f>Marketplace!AX3</f>
        <v>302732394</v>
      </c>
      <c r="AY37" s="19">
        <f>Marketplace!AY3</f>
        <v>262685366</v>
      </c>
      <c r="AZ37" s="19">
        <f>Marketplace!AZ3</f>
        <v>247150228</v>
      </c>
      <c r="BA37" s="19">
        <f>Marketplace!BA3</f>
        <v>273600413</v>
      </c>
      <c r="BB37" s="19">
        <f>Marketplace!BB3</f>
        <v>257624651</v>
      </c>
      <c r="BC37" s="19">
        <f>Marketplace!BC3</f>
        <v>260575667</v>
      </c>
      <c r="BD37" s="19">
        <f>Marketplace!BD3</f>
        <v>334053466</v>
      </c>
      <c r="BE37" s="19">
        <f>Marketplace!BE3</f>
        <v>350649447</v>
      </c>
      <c r="BF37" s="19">
        <f>Marketplace!BF3</f>
        <v>265938887</v>
      </c>
      <c r="BG37" s="19">
        <f>Marketplace!BG3</f>
        <v>290870377</v>
      </c>
      <c r="BH37" s="19">
        <f>Marketplace!BH3</f>
        <v>330681913</v>
      </c>
      <c r="BI37" s="19">
        <f>Marketplace!BI3</f>
        <v>301021717</v>
      </c>
      <c r="BJ37" s="19">
        <f>Marketplace!BJ3</f>
        <v>346697577</v>
      </c>
      <c r="BK37" s="19">
        <f>Marketplace!BK3</f>
        <v>358323663</v>
      </c>
      <c r="BL37" s="19">
        <f>Marketplace!BL3</f>
        <v>355490399</v>
      </c>
      <c r="BM37" s="19">
        <f>Marketplace!BM3</f>
        <v>358300066</v>
      </c>
      <c r="BN37" s="19">
        <f>Marketplace!BN3</f>
        <v>391053006</v>
      </c>
      <c r="BO37" s="19">
        <f>Marketplace!BO3</f>
        <v>403553071</v>
      </c>
      <c r="BP37" s="19">
        <f>Marketplace!BP3</f>
        <v>354056114</v>
      </c>
      <c r="BQ37" s="19">
        <f>Marketplace!BQ3</f>
        <v>535096186</v>
      </c>
      <c r="BR37" s="19">
        <f>Marketplace!BR3</f>
        <v>419031748</v>
      </c>
      <c r="BS37" s="19">
        <f>Marketplace!BS3</f>
        <v>417172119</v>
      </c>
      <c r="BT37" s="19">
        <f>Marketplace!BT3</f>
        <v>494989573</v>
      </c>
      <c r="BU37" s="19">
        <f>Marketplace!BU3</f>
        <v>424185625</v>
      </c>
      <c r="BV37" s="19">
        <f>Marketplace!BV3</f>
        <v>423902506</v>
      </c>
      <c r="BW37" s="19">
        <f>Marketplace!BW3</f>
        <v>400542527</v>
      </c>
      <c r="BX37" s="19">
        <f>Marketplace!BX3</f>
        <v>465434152</v>
      </c>
      <c r="BY37" s="19">
        <f>Marketplace!BY3</f>
        <v>424115527</v>
      </c>
      <c r="BZ37" s="19">
        <f>Marketplace!BZ3</f>
        <v>516742424</v>
      </c>
      <c r="CA37" s="19">
        <f>Marketplace!CA3</f>
        <v>461541464</v>
      </c>
      <c r="CB37" s="19">
        <f>Marketplace!CB3</f>
        <v>436030374</v>
      </c>
      <c r="CC37" s="19">
        <f>Marketplace!CC3</f>
        <v>612890852</v>
      </c>
      <c r="CD37" s="19">
        <f>Marketplace!CD3</f>
        <v>493867798</v>
      </c>
      <c r="CE37" s="19">
        <f>Marketplace!CE3</f>
        <v>510320215</v>
      </c>
      <c r="CF37" s="19">
        <f>Marketplace!CF3</f>
        <v>550182363</v>
      </c>
      <c r="CG37" s="19">
        <f>Marketplace!CG3</f>
        <v>597158559</v>
      </c>
      <c r="CH37" s="19">
        <f>Marketplace!CH3</f>
        <v>525220211</v>
      </c>
      <c r="CI37" s="19">
        <f>Marketplace!CI3</f>
        <v>522396489</v>
      </c>
      <c r="CJ37" s="19">
        <f>Marketplace!CJ3</f>
        <v>533212781</v>
      </c>
      <c r="CK37" s="19">
        <f>Marketplace!CK3</f>
        <v>524900246</v>
      </c>
      <c r="CL37" s="19">
        <f>Marketplace!CL3</f>
        <v>551603570</v>
      </c>
      <c r="CM37" s="19">
        <f>Marketplace!CM3</f>
        <v>491825213</v>
      </c>
      <c r="CN37" s="19">
        <f>Marketplace!CN3</f>
        <v>584148781</v>
      </c>
      <c r="CO37" s="19">
        <f>Marketplace!CO3</f>
        <v>732417296</v>
      </c>
      <c r="CP37" s="19">
        <f>Marketplace!CP3</f>
        <v>587050377</v>
      </c>
      <c r="CQ37" s="19">
        <f>Marketplace!CQ3</f>
        <v>634712901</v>
      </c>
      <c r="CR37" s="19">
        <f>Marketplace!CR3</f>
        <v>656848445</v>
      </c>
      <c r="CS37" s="19">
        <f>Marketplace!CS3</f>
        <v>588289828</v>
      </c>
      <c r="CT37" s="19">
        <f>Marketplace!CT3</f>
        <v>762976597</v>
      </c>
      <c r="CU37" s="19">
        <f>Marketplace!CU3</f>
        <v>643696810.78576148</v>
      </c>
      <c r="CV37" s="19">
        <f>Marketplace!CV3</f>
        <v>701392352.48606777</v>
      </c>
      <c r="CW37" s="19">
        <f>Marketplace!CW3</f>
        <v>693099425.07165027</v>
      </c>
      <c r="CX37" s="19">
        <f>Marketplace!CX3</f>
        <v>757786410.11744475</v>
      </c>
      <c r="CY37" s="19">
        <f>Marketplace!CY3</f>
        <v>707308189.16301954</v>
      </c>
      <c r="CZ37" s="19">
        <f>Marketplace!CZ3</f>
        <v>821666690.16183674</v>
      </c>
      <c r="DA37" s="19">
        <f>Marketplace!DA3</f>
        <v>1015684621.0324786</v>
      </c>
      <c r="DB37" s="19">
        <f>Marketplace!DB3</f>
        <v>751827549.17375171</v>
      </c>
      <c r="DC37" s="19">
        <f>Marketplace!DC3</f>
        <v>776781623.88380206</v>
      </c>
      <c r="DD37" s="19">
        <f>Marketplace!DD3</f>
        <v>814987172.75022411</v>
      </c>
      <c r="DE37" s="19">
        <f>Marketplace!DE3</f>
        <v>698778628.2815237</v>
      </c>
      <c r="DF37" s="19">
        <f>Marketplace!DF3</f>
        <v>848858026.74244344</v>
      </c>
      <c r="DG37" s="19">
        <f>Marketplace!DG3</f>
        <v>772436172.94291401</v>
      </c>
      <c r="DH37" s="19">
        <f>Marketplace!DH3</f>
        <v>841670822.98328137</v>
      </c>
      <c r="DI37" s="19">
        <f>Marketplace!DI3</f>
        <v>831719310.0859803</v>
      </c>
      <c r="DJ37" s="19">
        <f>Marketplace!DJ3</f>
        <v>909343692.14093351</v>
      </c>
      <c r="DK37" s="19">
        <f>Marketplace!DK3</f>
        <v>848769826.99562323</v>
      </c>
      <c r="DL37" s="19">
        <f>Marketplace!DL3</f>
        <v>986000028.19420397</v>
      </c>
      <c r="DM37" s="19">
        <f>Marketplace!DM3</f>
        <v>1218821545.2389746</v>
      </c>
      <c r="DN37" s="19">
        <f>Marketplace!DN3</f>
        <v>902193059.00850189</v>
      </c>
      <c r="DO37" s="19">
        <f>Marketplace!DO3</f>
        <v>932137948.66056252</v>
      </c>
      <c r="DP37" s="19">
        <f>Marketplace!DP3</f>
        <v>977984607.30026889</v>
      </c>
      <c r="DQ37" s="19">
        <f>Marketplace!DQ3</f>
        <v>838534353.93782854</v>
      </c>
      <c r="DR37" s="19">
        <f>Marketplace!DR3</f>
        <v>1018629632.090932</v>
      </c>
      <c r="DS37" s="19">
        <f>Marketplace!DS3</f>
        <v>888301598.8843509</v>
      </c>
      <c r="DT37" s="19">
        <f>Marketplace!DT3</f>
        <v>967921446.43077362</v>
      </c>
      <c r="DU37" s="19">
        <f>Marketplace!DU3</f>
        <v>956477206.59887731</v>
      </c>
      <c r="DV37" s="19">
        <f>Marketplace!DV3</f>
        <v>1045745245.9620737</v>
      </c>
      <c r="DW37" s="19">
        <f>Marketplace!DW3</f>
        <v>976085301.04496682</v>
      </c>
      <c r="DX37" s="19">
        <f>Marketplace!DX3</f>
        <v>1133900032.4233346</v>
      </c>
      <c r="DY37" s="19">
        <f>Marketplace!DY3</f>
        <v>1401644777.0248208</v>
      </c>
      <c r="DZ37" s="19">
        <f>Marketplace!DZ3</f>
        <v>1037522017.8597772</v>
      </c>
      <c r="EA37" s="19">
        <f>Marketplace!EA3</f>
        <v>1071958640.9596469</v>
      </c>
      <c r="EB37" s="19">
        <f>Marketplace!EB3</f>
        <v>1124682298.3953092</v>
      </c>
      <c r="EC37" s="19">
        <f>Marketplace!EC3</f>
        <v>964314507.02850282</v>
      </c>
      <c r="ED37" s="19">
        <f>Marketplace!ED3</f>
        <v>1171424076.904572</v>
      </c>
      <c r="EE37" s="222"/>
      <c r="EF37" s="19">
        <f t="shared" si="100"/>
        <v>1072114128</v>
      </c>
      <c r="EG37" s="19">
        <f t="shared" si="101"/>
        <v>1148662191</v>
      </c>
      <c r="EH37" s="19">
        <f t="shared" si="102"/>
        <v>1371300053</v>
      </c>
      <c r="EI37" s="19">
        <f t="shared" si="103"/>
        <v>1343077704</v>
      </c>
      <c r="EJ37" s="19">
        <f t="shared" si="104"/>
        <v>1290092206</v>
      </c>
      <c r="EK37" s="19">
        <f t="shared" si="105"/>
        <v>1414314262</v>
      </c>
      <c r="EL37" s="19">
        <f t="shared" si="106"/>
        <v>1617078865</v>
      </c>
      <c r="EM37" s="19">
        <f t="shared" si="107"/>
        <v>1672561133</v>
      </c>
      <c r="EN37" s="19">
        <f t="shared" si="108"/>
        <v>1580509516</v>
      </c>
      <c r="EO37" s="19">
        <f t="shared" si="109"/>
        <v>1627577564</v>
      </c>
      <c r="EP37" s="19">
        <f t="shared" si="110"/>
        <v>1954180574</v>
      </c>
      <c r="EQ37" s="19">
        <f t="shared" si="111"/>
        <v>2008114870</v>
      </c>
      <c r="ER37" s="19">
        <f t="shared" si="112"/>
        <v>2038188588.3434794</v>
      </c>
      <c r="ES37" s="19">
        <f t="shared" si="113"/>
        <v>2286761289.4423008</v>
      </c>
      <c r="ET37" s="19">
        <f t="shared" si="114"/>
        <v>2544293794.0900321</v>
      </c>
      <c r="EU37" s="19">
        <f t="shared" si="115"/>
        <v>2362623827.7741914</v>
      </c>
      <c r="EV37" s="19">
        <f t="shared" si="116"/>
        <v>2445826306.0121756</v>
      </c>
      <c r="EW37" s="19">
        <f t="shared" si="117"/>
        <v>2744113547.3307605</v>
      </c>
      <c r="EX37" s="19">
        <f t="shared" si="118"/>
        <v>3053152552.9080391</v>
      </c>
      <c r="EY37" s="19">
        <f t="shared" si="119"/>
        <v>2835148593.3290296</v>
      </c>
      <c r="EZ37" s="19">
        <f t="shared" si="23"/>
        <v>2812700251.9140019</v>
      </c>
      <c r="FA37" s="19">
        <f t="shared" si="24"/>
        <v>3155730579.4303751</v>
      </c>
      <c r="FB37" s="19">
        <f t="shared" si="25"/>
        <v>3511125435.844245</v>
      </c>
      <c r="FC37" s="19">
        <f t="shared" si="26"/>
        <v>3260420882.3283839</v>
      </c>
      <c r="FE37" s="19">
        <f t="shared" si="120"/>
        <v>4935154076</v>
      </c>
      <c r="FF37" s="19">
        <f t="shared" si="121"/>
        <v>5994046466</v>
      </c>
      <c r="FG37" s="19">
        <f t="shared" si="122"/>
        <v>7170382524</v>
      </c>
      <c r="FH37" s="19">
        <f t="shared" si="123"/>
        <v>9231867499.6500034</v>
      </c>
      <c r="FI37" s="19">
        <f t="shared" si="124"/>
        <v>11078240999.580004</v>
      </c>
      <c r="FJ37" s="770">
        <f t="shared" si="32"/>
        <v>12739977149.517006</v>
      </c>
      <c r="FK37" s="545" t="s">
        <v>1</v>
      </c>
    </row>
    <row r="38" spans="2:167" x14ac:dyDescent="0.2">
      <c r="B38" s="225" t="s">
        <v>310</v>
      </c>
      <c r="C38" s="19"/>
      <c r="D38" s="19"/>
      <c r="E38" s="19"/>
      <c r="F38" s="19"/>
      <c r="G38" s="19"/>
      <c r="H38" s="19"/>
      <c r="I38" s="19"/>
      <c r="J38" s="19"/>
      <c r="K38" s="19"/>
      <c r="L38" s="19">
        <f>'D2C Online'!C40</f>
        <v>0</v>
      </c>
      <c r="M38" s="19">
        <f>'D2C Online'!D40</f>
        <v>0</v>
      </c>
      <c r="N38" s="19">
        <f>'D2C Online'!E40</f>
        <v>0</v>
      </c>
      <c r="O38" s="19">
        <f>'D2C Online'!F40</f>
        <v>0</v>
      </c>
      <c r="P38" s="19">
        <f>'D2C Online'!G40</f>
        <v>0</v>
      </c>
      <c r="Q38" s="19">
        <f>'D2C Online'!H40</f>
        <v>0</v>
      </c>
      <c r="R38" s="19">
        <f>'D2C Online'!I40</f>
        <v>0</v>
      </c>
      <c r="S38" s="19">
        <f>'D2C Online'!J40</f>
        <v>0</v>
      </c>
      <c r="T38" s="19">
        <f>'D2C Online'!K40</f>
        <v>0</v>
      </c>
      <c r="U38" s="19">
        <f>'D2C Online'!L40</f>
        <v>0</v>
      </c>
      <c r="V38" s="19">
        <f>'D2C Online'!M40</f>
        <v>0</v>
      </c>
      <c r="W38" s="19">
        <f>'D2C Online'!N40</f>
        <v>0</v>
      </c>
      <c r="X38" s="19">
        <f>'D2C Online'!O40</f>
        <v>0</v>
      </c>
      <c r="Y38" s="19">
        <f>'D2C Online'!P40</f>
        <v>0</v>
      </c>
      <c r="Z38" s="19">
        <f>'D2C Online'!Q40</f>
        <v>0</v>
      </c>
      <c r="AA38" s="19">
        <f>'D2C Online'!R40</f>
        <v>0</v>
      </c>
      <c r="AB38" s="19">
        <f>'D2C Online'!S40</f>
        <v>0</v>
      </c>
      <c r="AC38" s="19">
        <f>'D2C Online'!T40+'D2C - Retail'!C34+'D2C - Retail'!C35</f>
        <v>3855584.01</v>
      </c>
      <c r="AD38" s="19">
        <f>'D2C Online'!U40+'D2C - Retail'!D34+'D2C - Retail'!D35</f>
        <v>4106966</v>
      </c>
      <c r="AE38" s="19">
        <f>'D2C Online'!V40+'D2C - Retail'!E34+'D2C - Retail'!E35</f>
        <v>4333550.51</v>
      </c>
      <c r="AF38" s="19">
        <f>'D2C Online'!W40+'D2C - Retail'!F34+'D2C - Retail'!F35</f>
        <v>3785324.8000000003</v>
      </c>
      <c r="AG38" s="19">
        <f>'D2C Online'!X40+'D2C - Retail'!G34+'D2C - Retail'!G35</f>
        <v>3549308.34</v>
      </c>
      <c r="AH38" s="19">
        <f>'D2C Online'!Y40+'D2C - Retail'!H34+'D2C - Retail'!H35</f>
        <v>3452754</v>
      </c>
      <c r="AI38" s="19">
        <f>'D2C Online'!Z40+'D2C - Retail'!I34+'D2C - Retail'!I35</f>
        <v>3507793.41</v>
      </c>
      <c r="AJ38" s="19">
        <f>'D2C Online'!AA40+'D2C - Retail'!J34+'D2C - Retail'!J35</f>
        <v>3548218.66</v>
      </c>
      <c r="AK38" s="19">
        <f>'D2C Online'!AB40+'D2C - Retail'!K34+'D2C - Retail'!K35</f>
        <v>3885216.0000000009</v>
      </c>
      <c r="AL38" s="19">
        <f>'D2C Online'!AC40+'D2C - Retail'!L34+'D2C - Retail'!L35</f>
        <v>4518735.97</v>
      </c>
      <c r="AM38" s="19">
        <f>'D2C Online'!AD40+'D2C - Retail'!M34+'D2C - Retail'!M35</f>
        <v>2754753.13</v>
      </c>
      <c r="AN38" s="19">
        <f>'D2C Online'!AE40+'D2C - Retail'!N34+'D2C - Retail'!N35</f>
        <v>7394.56</v>
      </c>
      <c r="AO38" s="19">
        <f>'D2C Online'!AF40+'D2C - Retail'!O34+'D2C - Retail'!O35</f>
        <v>4698123.91</v>
      </c>
      <c r="AP38" s="19">
        <f>'D2C Online'!AG40+'D2C - Retail'!P34+'D2C - Retail'!P35</f>
        <v>6695036.46</v>
      </c>
      <c r="AQ38" s="19">
        <f>'D2C Online'!AH40+'D2C - Retail'!Q34+'D2C - Retail'!Q35</f>
        <v>7224054.2799999993</v>
      </c>
      <c r="AR38" s="19">
        <f>'D2C Online'!AI40+'D2C - Retail'!R34+'D2C - Retail'!R35</f>
        <v>9073450</v>
      </c>
      <c r="AS38" s="19">
        <f>'D2C Online'!AJ40+'D2C - Retail'!S34+'D2C - Retail'!S35</f>
        <v>8678322.3399999999</v>
      </c>
      <c r="AT38" s="19">
        <f>'D2C Online'!AK40+'D2C - Retail'!T34+'D2C - Retail'!T35</f>
        <v>9314321.3600000069</v>
      </c>
      <c r="AU38" s="19">
        <f>'D2C Online'!AL40+'D2C - Retail'!U34+'D2C - Retail'!U35</f>
        <v>13318043.340000013</v>
      </c>
      <c r="AV38" s="19">
        <f>'D2C Online'!AM40+'D2C - Retail'!V34+'D2C - Retail'!V35</f>
        <v>13044841.750000002</v>
      </c>
      <c r="AW38" s="19">
        <f>'D2C Online'!AN40+'D2C - Retail'!W34+'D2C - Retail'!W35</f>
        <v>13007430.240000002</v>
      </c>
      <c r="AX38" s="19">
        <f>'D2C Online'!AO40+'D2C - Retail'!X34+'D2C - Retail'!X35</f>
        <v>13559378.300000001</v>
      </c>
      <c r="AY38" s="19">
        <f>'D2C Online'!AP40+'D2C - Retail'!Y34+'D2C - Retail'!Y35</f>
        <v>14442774.980000002</v>
      </c>
      <c r="AZ38" s="19">
        <f>'D2C Online'!AQ40+'D2C - Retail'!Z34+'D2C - Retail'!Z35</f>
        <v>16158667.18</v>
      </c>
      <c r="BA38" s="19">
        <f>'D2C Online'!AR40+'D2C - Retail'!AA34+'D2C - Retail'!AA35</f>
        <v>17135873.57</v>
      </c>
      <c r="BB38" s="19">
        <f>'D2C Online'!AS40+'D2C - Retail'!AB34+'D2C - Retail'!AB35</f>
        <v>19793986.179999992</v>
      </c>
      <c r="BC38" s="19">
        <f>'D2C Online'!AT40+'D2C - Retail'!AC34+'D2C - Retail'!AC35</f>
        <v>21423301.919999998</v>
      </c>
      <c r="BD38" s="19">
        <f>'D2C Online'!AU40+'D2C - Retail'!AD34+'D2C - Retail'!AD35</f>
        <v>21022921.509999998</v>
      </c>
      <c r="BE38" s="19">
        <f>'D2C Online'!AV40+'D2C - Retail'!AE34+'D2C - Retail'!AE35</f>
        <v>20006333.32</v>
      </c>
      <c r="BF38" s="19">
        <f>'D2C Online'!AW40+'D2C - Retail'!AF34+'D2C - Retail'!AF35</f>
        <v>19872844.25</v>
      </c>
      <c r="BG38" s="19">
        <f>'D2C Online'!AX40+'D2C - Retail'!AG34+'D2C - Retail'!AG35</f>
        <v>20212569.09</v>
      </c>
      <c r="BH38" s="19">
        <f>'D2C Online'!AY40+'D2C - Retail'!AH34+'D2C - Retail'!AH35</f>
        <v>22245831.109999999</v>
      </c>
      <c r="BI38" s="19">
        <f>'D2C Online'!AZ40+'D2C - Retail'!AI34+'D2C - Retail'!AI35</f>
        <v>21951680.920000002</v>
      </c>
      <c r="BJ38" s="19">
        <f>'D2C Online'!BA40+'D2C - Retail'!AJ34+'D2C - Retail'!AJ35</f>
        <v>22900452.419999998</v>
      </c>
      <c r="BK38" s="19">
        <f>'D2C Online'!BB40+'D2C - Retail'!AK34+'D2C - Retail'!AK35</f>
        <v>23804634.729500007</v>
      </c>
      <c r="BL38" s="19">
        <f>'D2C Online'!BC40+'D2C - Retail'!AL34+'D2C - Retail'!AL35</f>
        <v>24966485.999999996</v>
      </c>
      <c r="BM38" s="19">
        <f>'D2C Online'!BD40+'D2C - Retail'!AM34+'D2C - Retail'!AM35</f>
        <v>26469870.610000022</v>
      </c>
      <c r="BN38" s="19">
        <f>'D2C Online'!BE40+'D2C - Retail'!AN34+'D2C - Retail'!AN35</f>
        <v>27368811.799999997</v>
      </c>
      <c r="BO38" s="19">
        <f>'D2C Online'!BF40+'D2C - Retail'!AO34+'D2C - Retail'!AO35</f>
        <v>31249709.862000063</v>
      </c>
      <c r="BP38" s="19">
        <f>'D2C Online'!BG40+'D2C - Retail'!AP34+'D2C - Retail'!AP35</f>
        <v>28010891.030359998</v>
      </c>
      <c r="BQ38" s="19">
        <f>'D2C Online'!BH40+'D2C - Retail'!AQ34+'D2C - Retail'!AQ35</f>
        <v>32103452.921699986</v>
      </c>
      <c r="BR38" s="19">
        <f>'D2C Online'!BI40+'D2C - Retail'!AR34+'D2C - Retail'!AR35</f>
        <v>23971268.163940348</v>
      </c>
      <c r="BS38" s="19">
        <f>'D2C Online'!BJ40+'D2C - Retail'!AS34+'D2C - Retail'!AS35</f>
        <v>22623898.830960013</v>
      </c>
      <c r="BT38" s="19">
        <f>'D2C Online'!BK40+'D2C - Retail'!AT34+'D2C - Retail'!AT35</f>
        <v>21380656.909995697</v>
      </c>
      <c r="BU38" s="19">
        <f>'D2C Online'!BL40+'D2C - Retail'!AU34+'D2C - Retail'!AU35</f>
        <v>22317999.362155214</v>
      </c>
      <c r="BV38" s="19">
        <f>'D2C Online'!BM40+'D2C - Retail'!AV34+'D2C - Retail'!AV35</f>
        <v>25574583.989971936</v>
      </c>
      <c r="BW38" s="19">
        <f>'D2C Online'!BN40+'D2C - Retail'!AW34+'D2C - Retail'!AW35</f>
        <v>27071436.119972557</v>
      </c>
      <c r="BX38" s="19">
        <f>'D2C Online'!BO40+'D2C - Retail'!AX34+'D2C - Retail'!AX35</f>
        <v>28390045.1202107</v>
      </c>
      <c r="BY38" s="19">
        <f>'D2C Online'!BP40+'D2C - Retail'!AY34+'D2C - Retail'!AY35</f>
        <v>31218104.005038187</v>
      </c>
      <c r="BZ38" s="19">
        <f>'D2C Online'!BQ40+'D2C - Retail'!AZ34+'D2C - Retail'!AZ35</f>
        <v>32356468.750004139</v>
      </c>
      <c r="CA38" s="19">
        <f>'D2C Online'!BR40+'D2C - Retail'!BA34+'D2C - Retail'!BA35</f>
        <v>31697574.859999996</v>
      </c>
      <c r="CB38" s="19">
        <f>'D2C Online'!BS40+'D2C - Retail'!BB34+'D2C - Retail'!BB35</f>
        <v>28755322.906617671</v>
      </c>
      <c r="CC38" s="19">
        <f>'D2C Online'!BT40+'D2C - Retail'!BC34+'D2C - Retail'!BC35</f>
        <v>33792530.861587428</v>
      </c>
      <c r="CD38" s="19">
        <f>'D2C Online'!BU40+'D2C - Retail'!BD34+'D2C - Retail'!BD35</f>
        <v>29474410.620000005</v>
      </c>
      <c r="CE38" s="19">
        <f>'D2C Online'!BV40+'D2C - Retail'!BE34+'D2C - Retail'!BE35</f>
        <v>34572785.636187755</v>
      </c>
      <c r="CF38" s="19">
        <f>'D2C Online'!BW40+'D2C - Retail'!BF34+'D2C - Retail'!BF35</f>
        <v>34137067.819999903</v>
      </c>
      <c r="CG38" s="19">
        <f>'D2C Online'!BX40+'D2C - Retail'!BG34+'D2C - Retail'!BG35</f>
        <v>30293358.169999931</v>
      </c>
      <c r="CH38" s="19">
        <f>'D2C Online'!BY40+'D2C - Retail'!BH34+'D2C - Retail'!BH35</f>
        <v>38254753.189999998</v>
      </c>
      <c r="CI38" s="19">
        <f>'D2C Online'!BZ40+'D2C - Retail'!BI34+'D2C - Retail'!BI35</f>
        <v>38241732.560000002</v>
      </c>
      <c r="CJ38" s="19">
        <f>'D2C Online'!CA40+'D2C - Retail'!BJ34+'D2C - Retail'!BJ35</f>
        <v>40010303.889999993</v>
      </c>
      <c r="CK38" s="19">
        <f>'D2C Online'!CB40+'D2C - Retail'!BK34+'D2C - Retail'!BK35</f>
        <v>37004432.425714172</v>
      </c>
      <c r="CL38" s="19">
        <f>'D2C Online'!CC40+'D2C - Retail'!BL34+'D2C - Retail'!BL35</f>
        <v>42787885.245714284</v>
      </c>
      <c r="CM38" s="19">
        <f>'D2C Online'!CD40+'D2C - Retail'!BM34+'D2C - Retail'!BM35</f>
        <v>44987060.829999998</v>
      </c>
      <c r="CN38" s="19">
        <f>'D2C Online'!CE40+'D2C - Retail'!BN34+'D2C - Retail'!BN35</f>
        <v>43404225.229999997</v>
      </c>
      <c r="CO38" s="19">
        <f>'D2C Online'!CF40+'D2C - Retail'!BO34+'D2C - Retail'!BO35</f>
        <v>49438529.159999996</v>
      </c>
      <c r="CP38" s="19">
        <f>'D2C Online'!CG40+'D2C - Retail'!BP34+'D2C - Retail'!BP35</f>
        <v>47516929.219999999</v>
      </c>
      <c r="CQ38" s="19">
        <f>'D2C Online'!CH40+'D2C - Retail'!BQ34+'D2C - Retail'!BQ35</f>
        <v>59255297.740000024</v>
      </c>
      <c r="CR38" s="19">
        <f>'D2C Online'!CI40+'D2C - Retail'!BR34+'D2C - Retail'!BR35</f>
        <v>58174140.580000013</v>
      </c>
      <c r="CS38" s="19">
        <f>'D2C Online'!CJ40+'D2C - Retail'!BS34+'D2C - Retail'!BS35</f>
        <v>55623259.200000025</v>
      </c>
      <c r="CT38" s="19">
        <f>'D2C Online'!CK40+'D2C - Retail'!BT34+'D2C - Retail'!BT35</f>
        <v>81605981.620000035</v>
      </c>
      <c r="CU38" s="19">
        <f>'D2C Online'!CL40+'D2C - Retail'!BU34+'D2C - Retail'!BU35</f>
        <v>57041884.791193597</v>
      </c>
      <c r="CV38" s="19">
        <f>'D2C Online'!CM40+'D2C - Retail'!BV34+'D2C - Retail'!BV35</f>
        <v>57529533.98890689</v>
      </c>
      <c r="CW38" s="19">
        <f>'D2C Online'!CN40+'D2C - Retail'!BW34+'D2C - Retail'!BW35</f>
        <v>58186161.189615302</v>
      </c>
      <c r="CX38" s="19">
        <f>'D2C Online'!CO40+'D2C - Retail'!BX34+'D2C - Retail'!BX35</f>
        <v>58697490.666245252</v>
      </c>
      <c r="CY38" s="19">
        <f>'D2C Online'!CP40+'D2C - Retail'!BY34+'D2C - Retail'!BY35</f>
        <v>59080667.027082972</v>
      </c>
      <c r="CZ38" s="19">
        <f>'D2C Online'!CQ40+'D2C - Retail'!BZ34+'D2C - Retail'!BZ35</f>
        <v>60385234.062683702</v>
      </c>
      <c r="DA38" s="19">
        <f>'D2C Online'!CR40+'D2C - Retail'!CA34+'D2C - Retail'!CA35</f>
        <v>60688515.374546021</v>
      </c>
      <c r="DB38" s="19">
        <f>'D2C Online'!CS40+'D2C - Retail'!CB34+'D2C - Retail'!CB35</f>
        <v>61359801.79553616</v>
      </c>
      <c r="DC38" s="19">
        <f>'D2C Online'!CT40+'D2C - Retail'!CC34+'D2C - Retail'!CC35</f>
        <v>62896149.059557587</v>
      </c>
      <c r="DD38" s="19">
        <f>'D2C Online'!CU40+'D2C - Retail'!CD34+'D2C - Retail'!CD35</f>
        <v>63794538.333241589</v>
      </c>
      <c r="DE38" s="19">
        <f>'D2C Online'!CV40+'D2C - Retail'!CE34+'D2C - Retail'!CE35</f>
        <v>63545112.957306355</v>
      </c>
      <c r="DF38" s="19">
        <f>'D2C Online'!CW40+'D2C - Retail'!CF34+'D2C - Retail'!CF35</f>
        <v>64865466.845518149</v>
      </c>
      <c r="DG38" s="19">
        <f>'D2C Online'!CX40+'D2C - Retail'!CG34+'D2C - Retail'!CG35</f>
        <v>64945652.443947688</v>
      </c>
      <c r="DH38" s="19">
        <f>'D2C Online'!CY40+'D2C - Retail'!CH34+'D2C - Retail'!CH35</f>
        <v>65662095.042521216</v>
      </c>
      <c r="DI38" s="19">
        <f>'D2C Online'!CZ40+'D2C - Retail'!CI34+'D2C - Retail'!CI35</f>
        <v>66098094.73283644</v>
      </c>
      <c r="DJ38" s="19">
        <f>'D2C Online'!DA40+'D2C - Retail'!CJ34+'D2C - Retail'!CJ35</f>
        <v>66622583.255887911</v>
      </c>
      <c r="DK38" s="19">
        <f>'D2C Online'!DB40+'D2C - Retail'!CK34+'D2C - Retail'!CK35</f>
        <v>66954683.792275205</v>
      </c>
      <c r="DL38" s="19">
        <f>'D2C Online'!DC40+'D2C - Retail'!CL34+'D2C - Retail'!CL35</f>
        <v>68337580.961910933</v>
      </c>
      <c r="DM38" s="19">
        <f>'D2C Online'!DD40+'D2C - Retail'!CM34+'D2C - Retail'!CM35</f>
        <v>68395633.067896321</v>
      </c>
      <c r="DN38" s="19">
        <f>'D2C Online'!DE40+'D2C - Retail'!CN34+'D2C - Retail'!CN35</f>
        <v>68848996.604635283</v>
      </c>
      <c r="DO38" s="19">
        <f>'D2C Online'!DF40+'D2C - Retail'!CO34+'D2C - Retail'!CO35</f>
        <v>70367615.330953151</v>
      </c>
      <c r="DP38" s="19">
        <f>'D2C Online'!DG40+'D2C - Retail'!CP34+'D2C - Retail'!CP35</f>
        <v>71130572.817716271</v>
      </c>
      <c r="DQ38" s="19">
        <f>'D2C Online'!DH40+'D2C - Retail'!CQ34+'D2C - Retail'!CQ35</f>
        <v>70493353.230997205</v>
      </c>
      <c r="DR38" s="19">
        <f>'D2C Online'!DI40+'D2C - Retail'!CR34+'D2C - Retail'!CR35</f>
        <v>71234939.829854354</v>
      </c>
      <c r="DS38" s="19">
        <f>'D2C Online'!DJ40+'D2C - Retail'!CS34+'D2C - Retail'!CS35</f>
        <v>71248738.429177612</v>
      </c>
      <c r="DT38" s="19">
        <f>'D2C Online'!DK40+'D2C - Retail'!CT34+'D2C - Retail'!CT35</f>
        <v>71975592.824162886</v>
      </c>
      <c r="DU38" s="19">
        <f>'D2C Online'!DL40+'D2C - Retail'!CU34+'D2C - Retail'!CU35</f>
        <v>72410853.215324655</v>
      </c>
      <c r="DV38" s="19">
        <f>'D2C Online'!DM40+'D2C - Retail'!CV34+'D2C - Retail'!CV35</f>
        <v>72950928.628862381</v>
      </c>
      <c r="DW38" s="19">
        <f>'D2C Online'!DN40+'D2C - Retail'!CW34+'D2C - Retail'!CW35</f>
        <v>73222529.851188138</v>
      </c>
      <c r="DX38" s="19">
        <f>'D2C Online'!DO40+'D2C - Retail'!CX34+'D2C - Retail'!CX35</f>
        <v>74698209.064588338</v>
      </c>
      <c r="DY38" s="19">
        <f>'D2C Online'!DP40+'D2C - Retail'!CY34+'D2C - Retail'!CY35</f>
        <v>74726381.163119808</v>
      </c>
      <c r="DZ38" s="19">
        <f>'D2C Online'!DQ40+'D2C - Retail'!CZ34+'D2C - Retail'!CZ35</f>
        <v>75182209.030370459</v>
      </c>
      <c r="EA38" s="19">
        <f>'D2C Online'!DR40+'D2C - Retail'!DA34+'D2C - Retail'!DA35</f>
        <v>76940422.290685743</v>
      </c>
      <c r="EB38" s="19">
        <f>'D2C Online'!DS40+'D2C - Retail'!DB34+'D2C - Retail'!DB35</f>
        <v>77803554.812748402</v>
      </c>
      <c r="EC38" s="19">
        <f>'D2C Online'!DT40+'D2C - Retail'!DC34+'D2C - Retail'!DC35</f>
        <v>76967586.970262825</v>
      </c>
      <c r="ED38" s="19">
        <f>'D2C Online'!DU40+'D2C - Retail'!DD34+'D2C - Retail'!DD35</f>
        <v>77805405.675600693</v>
      </c>
      <c r="EE38" s="222"/>
      <c r="EF38" s="19">
        <f t="shared" si="100"/>
        <v>75240991.339500025</v>
      </c>
      <c r="EG38" s="19">
        <f t="shared" si="101"/>
        <v>86629412.692360058</v>
      </c>
      <c r="EH38" s="19">
        <f t="shared" si="102"/>
        <v>78698619.916600347</v>
      </c>
      <c r="EI38" s="19">
        <f t="shared" si="103"/>
        <v>69273240.26212284</v>
      </c>
      <c r="EJ38" s="19">
        <f t="shared" si="104"/>
        <v>86679585.245221436</v>
      </c>
      <c r="EK38" s="19">
        <f t="shared" si="105"/>
        <v>92809366.516621798</v>
      </c>
      <c r="EL38" s="19">
        <f t="shared" si="106"/>
        <v>97839727.117775187</v>
      </c>
      <c r="EM38" s="19">
        <f t="shared" si="107"/>
        <v>102685179.17999983</v>
      </c>
      <c r="EN38" s="19">
        <f t="shared" si="108"/>
        <v>115256468.87571415</v>
      </c>
      <c r="EO38" s="19">
        <f t="shared" si="109"/>
        <v>131179171.30571428</v>
      </c>
      <c r="EP38" s="19">
        <f t="shared" si="110"/>
        <v>156210756.12</v>
      </c>
      <c r="EQ38" s="19">
        <f t="shared" si="111"/>
        <v>195403381.40000007</v>
      </c>
      <c r="ER38" s="19">
        <f t="shared" si="112"/>
        <v>172757579.9697158</v>
      </c>
      <c r="ES38" s="19">
        <f t="shared" si="113"/>
        <v>178163391.75601193</v>
      </c>
      <c r="ET38" s="19">
        <f t="shared" si="114"/>
        <v>184944466.22963977</v>
      </c>
      <c r="EU38" s="19">
        <f t="shared" si="115"/>
        <v>192205118.13606608</v>
      </c>
      <c r="EV38" s="19">
        <f t="shared" si="116"/>
        <v>196705842.21930534</v>
      </c>
      <c r="EW38" s="19">
        <f t="shared" si="117"/>
        <v>201914848.01007405</v>
      </c>
      <c r="EX38" s="19">
        <f t="shared" si="118"/>
        <v>207612245.00348476</v>
      </c>
      <c r="EY38" s="19">
        <f t="shared" si="119"/>
        <v>212858865.87856781</v>
      </c>
      <c r="EZ38" s="19">
        <f t="shared" si="23"/>
        <v>215635184.46866512</v>
      </c>
      <c r="FA38" s="19">
        <f t="shared" si="24"/>
        <v>220871667.54463884</v>
      </c>
      <c r="FB38" s="19">
        <f t="shared" si="25"/>
        <v>226849012.48417601</v>
      </c>
      <c r="FC38" s="19">
        <f t="shared" si="26"/>
        <v>232576547.45861191</v>
      </c>
      <c r="FE38" s="19">
        <f t="shared" si="120"/>
        <v>309842264.21058327</v>
      </c>
      <c r="FF38" s="19">
        <f t="shared" si="121"/>
        <v>380013858.05961823</v>
      </c>
      <c r="FG38" s="19">
        <f t="shared" si="122"/>
        <v>598049777.70142853</v>
      </c>
      <c r="FH38" s="19">
        <f t="shared" si="123"/>
        <v>728070556.09143353</v>
      </c>
      <c r="FI38" s="19">
        <f t="shared" si="124"/>
        <v>819091801.11143196</v>
      </c>
      <c r="FJ38" s="770">
        <f t="shared" si="32"/>
        <v>895932411.95609188</v>
      </c>
      <c r="FK38" s="545" t="s">
        <v>1</v>
      </c>
    </row>
    <row r="39" spans="2:167" x14ac:dyDescent="0.2">
      <c r="B39" s="225" t="s">
        <v>311</v>
      </c>
      <c r="C39" s="19">
        <f>C51</f>
        <v>0</v>
      </c>
      <c r="D39" s="19">
        <f t="shared" ref="D39:BO39" si="125">D51</f>
        <v>0</v>
      </c>
      <c r="E39" s="19">
        <f t="shared" si="125"/>
        <v>0</v>
      </c>
      <c r="F39" s="19">
        <f t="shared" si="125"/>
        <v>0</v>
      </c>
      <c r="G39" s="19">
        <f t="shared" si="125"/>
        <v>0</v>
      </c>
      <c r="H39" s="19">
        <f t="shared" si="125"/>
        <v>0</v>
      </c>
      <c r="I39" s="19">
        <f t="shared" si="125"/>
        <v>0</v>
      </c>
      <c r="J39" s="19">
        <f t="shared" si="125"/>
        <v>0</v>
      </c>
      <c r="K39" s="19">
        <f t="shared" si="125"/>
        <v>0</v>
      </c>
      <c r="L39" s="19">
        <f t="shared" si="125"/>
        <v>0</v>
      </c>
      <c r="M39" s="19">
        <f t="shared" si="125"/>
        <v>0</v>
      </c>
      <c r="N39" s="19">
        <f t="shared" si="125"/>
        <v>0</v>
      </c>
      <c r="O39" s="19">
        <f t="shared" si="125"/>
        <v>0</v>
      </c>
      <c r="P39" s="19">
        <f t="shared" si="125"/>
        <v>0</v>
      </c>
      <c r="Q39" s="19">
        <f t="shared" si="125"/>
        <v>0</v>
      </c>
      <c r="R39" s="19">
        <f t="shared" si="125"/>
        <v>0</v>
      </c>
      <c r="S39" s="19">
        <f t="shared" si="125"/>
        <v>0</v>
      </c>
      <c r="T39" s="19">
        <f t="shared" si="125"/>
        <v>0</v>
      </c>
      <c r="U39" s="19">
        <f t="shared" si="125"/>
        <v>0</v>
      </c>
      <c r="V39" s="19">
        <f t="shared" si="125"/>
        <v>0</v>
      </c>
      <c r="W39" s="19">
        <f t="shared" si="125"/>
        <v>0</v>
      </c>
      <c r="X39" s="19">
        <f t="shared" si="125"/>
        <v>0</v>
      </c>
      <c r="Y39" s="19">
        <f t="shared" si="125"/>
        <v>0</v>
      </c>
      <c r="Z39" s="19">
        <f t="shared" si="125"/>
        <v>0</v>
      </c>
      <c r="AA39" s="19">
        <f t="shared" si="125"/>
        <v>0</v>
      </c>
      <c r="AB39" s="19">
        <f t="shared" si="125"/>
        <v>0</v>
      </c>
      <c r="AC39" s="19">
        <f t="shared" si="125"/>
        <v>0</v>
      </c>
      <c r="AD39" s="19">
        <f t="shared" si="125"/>
        <v>1016444.9199999999</v>
      </c>
      <c r="AE39" s="19">
        <f t="shared" si="125"/>
        <v>1285256</v>
      </c>
      <c r="AF39" s="19">
        <f t="shared" si="125"/>
        <v>1791138.52</v>
      </c>
      <c r="AG39" s="19">
        <f t="shared" si="125"/>
        <v>2109889.56</v>
      </c>
      <c r="AH39" s="19">
        <f t="shared" si="125"/>
        <v>1307895.48</v>
      </c>
      <c r="AI39" s="19">
        <f t="shared" si="125"/>
        <v>3331132.92</v>
      </c>
      <c r="AJ39" s="19">
        <f t="shared" si="125"/>
        <v>1285239.48</v>
      </c>
      <c r="AK39" s="19">
        <f t="shared" si="125"/>
        <v>874972.36</v>
      </c>
      <c r="AL39" s="19">
        <f t="shared" si="125"/>
        <v>939999.8</v>
      </c>
      <c r="AM39" s="19">
        <f t="shared" si="125"/>
        <v>859040</v>
      </c>
      <c r="AN39" s="19">
        <f t="shared" si="125"/>
        <v>1118369.78</v>
      </c>
      <c r="AO39" s="19">
        <f t="shared" si="125"/>
        <v>1321600</v>
      </c>
      <c r="AP39" s="19">
        <f t="shared" si="125"/>
        <v>2256571.8199999998</v>
      </c>
      <c r="AQ39" s="19">
        <f t="shared" si="125"/>
        <v>2048480</v>
      </c>
      <c r="AR39" s="19">
        <f t="shared" si="125"/>
        <v>5765480</v>
      </c>
      <c r="AS39" s="19">
        <f t="shared" si="125"/>
        <v>4057961</v>
      </c>
      <c r="AT39" s="19">
        <f t="shared" si="125"/>
        <v>2852192.0183999999</v>
      </c>
      <c r="AU39" s="19">
        <f t="shared" si="125"/>
        <v>1320307.7112</v>
      </c>
      <c r="AV39" s="19">
        <f t="shared" si="125"/>
        <v>3300129.8832</v>
      </c>
      <c r="AW39" s="19">
        <f t="shared" si="125"/>
        <v>1611452.4624000001</v>
      </c>
      <c r="AX39" s="19">
        <f t="shared" si="125"/>
        <v>2020024.064</v>
      </c>
      <c r="AY39" s="19">
        <f t="shared" si="125"/>
        <v>1729831.7144000004</v>
      </c>
      <c r="AZ39" s="19">
        <f t="shared" si="125"/>
        <v>1823880.9240000001</v>
      </c>
      <c r="BA39" s="19">
        <f t="shared" si="125"/>
        <v>2497155.0816000002</v>
      </c>
      <c r="BB39" s="19">
        <f t="shared" si="125"/>
        <v>2001015.7272000001</v>
      </c>
      <c r="BC39" s="19">
        <f t="shared" si="125"/>
        <v>2001015.7272000001</v>
      </c>
      <c r="BD39" s="19">
        <f t="shared" si="125"/>
        <v>3124726.6119999997</v>
      </c>
      <c r="BE39" s="19">
        <f t="shared" si="125"/>
        <v>2548494.6632000003</v>
      </c>
      <c r="BF39" s="19">
        <f t="shared" si="125"/>
        <v>731466.51840000018</v>
      </c>
      <c r="BG39" s="19">
        <f t="shared" si="125"/>
        <v>1180734.8047999998</v>
      </c>
      <c r="BH39" s="19">
        <f t="shared" si="125"/>
        <v>1521225.5984</v>
      </c>
      <c r="BI39" s="19">
        <f t="shared" si="125"/>
        <v>1247324.260338983</v>
      </c>
      <c r="BJ39" s="19">
        <f t="shared" si="125"/>
        <v>1497573.7616000001</v>
      </c>
      <c r="BK39" s="19">
        <f t="shared" si="125"/>
        <v>1383701.9047999999</v>
      </c>
      <c r="BL39" s="19">
        <f t="shared" si="125"/>
        <v>1486206.9047999999</v>
      </c>
      <c r="BM39" s="19">
        <f t="shared" si="125"/>
        <v>989612.38080000004</v>
      </c>
      <c r="BN39" s="19">
        <f t="shared" si="125"/>
        <v>1334373.6888000001</v>
      </c>
      <c r="BO39" s="19">
        <f t="shared" si="125"/>
        <v>1705493.1816000002</v>
      </c>
      <c r="BP39" s="19">
        <f t="shared" ref="BP39:DR39" si="126">BP51</f>
        <v>1267346.8152000001</v>
      </c>
      <c r="BQ39" s="19">
        <f t="shared" si="126"/>
        <v>2895478.4304000004</v>
      </c>
      <c r="BR39" s="19">
        <f t="shared" si="126"/>
        <v>1123084.9656</v>
      </c>
      <c r="BS39" s="19">
        <f t="shared" si="126"/>
        <v>1316880</v>
      </c>
      <c r="BT39" s="19">
        <f t="shared" si="126"/>
        <v>1476936.1440000001</v>
      </c>
      <c r="BU39" s="19">
        <f t="shared" si="126"/>
        <v>1077727.3703999999</v>
      </c>
      <c r="BV39" s="19">
        <f t="shared" si="126"/>
        <v>1219241.4192000001</v>
      </c>
      <c r="BW39" s="19">
        <f t="shared" si="126"/>
        <v>1197662.8536</v>
      </c>
      <c r="BX39" s="19">
        <f t="shared" si="126"/>
        <v>1189440</v>
      </c>
      <c r="BY39" s="19">
        <f t="shared" si="126"/>
        <v>1523074.0968000004</v>
      </c>
      <c r="BZ39" s="19">
        <f t="shared" si="126"/>
        <v>1693584.9935999999</v>
      </c>
      <c r="CA39" s="19">
        <f t="shared" si="126"/>
        <v>2813167.6720000003</v>
      </c>
      <c r="CB39" s="19">
        <f t="shared" si="126"/>
        <v>5081382.5120000001</v>
      </c>
      <c r="CC39" s="19">
        <f t="shared" si="126"/>
        <v>3633293.3959999997</v>
      </c>
      <c r="CD39" s="19">
        <f t="shared" si="126"/>
        <v>4427961.9179999996</v>
      </c>
      <c r="CE39" s="19">
        <f t="shared" si="126"/>
        <v>3285398.0079999999</v>
      </c>
      <c r="CF39" s="19">
        <f t="shared" si="126"/>
        <v>2490653.2579999999</v>
      </c>
      <c r="CG39" s="19">
        <f t="shared" si="126"/>
        <v>1951079.142</v>
      </c>
      <c r="CH39" s="19">
        <f t="shared" si="126"/>
        <v>3003397.36</v>
      </c>
      <c r="CI39" s="19">
        <f t="shared" si="126"/>
        <v>2053277.7619999999</v>
      </c>
      <c r="CJ39" s="19">
        <f t="shared" si="126"/>
        <v>1506710.4939999999</v>
      </c>
      <c r="CK39" s="19">
        <f t="shared" si="126"/>
        <v>2962532.7327999999</v>
      </c>
      <c r="CL39" s="19">
        <f t="shared" si="126"/>
        <v>4308387.9160000002</v>
      </c>
      <c r="CM39" s="19">
        <f t="shared" si="126"/>
        <v>4130412.8819999998</v>
      </c>
      <c r="CN39" s="19">
        <f t="shared" si="126"/>
        <v>5168630.1118000001</v>
      </c>
      <c r="CO39" s="19">
        <f t="shared" si="126"/>
        <v>4180598.4354000003</v>
      </c>
      <c r="CP39" s="19">
        <f t="shared" si="126"/>
        <v>3680104.5623999997</v>
      </c>
      <c r="CQ39" s="19">
        <f t="shared" si="126"/>
        <v>3750100.3569999998</v>
      </c>
      <c r="CR39" s="19">
        <f t="shared" si="126"/>
        <v>2337991.3480000002</v>
      </c>
      <c r="CS39" s="19">
        <f t="shared" si="126"/>
        <v>4638085.9221999999</v>
      </c>
      <c r="CT39" s="19">
        <f t="shared" si="126"/>
        <v>7301025.8117999993</v>
      </c>
      <c r="CU39" s="19">
        <f t="shared" si="126"/>
        <v>2053277.7619999999</v>
      </c>
      <c r="CV39" s="19">
        <f t="shared" si="126"/>
        <v>1506710.4939999999</v>
      </c>
      <c r="CW39" s="19">
        <f t="shared" si="126"/>
        <v>2962532.7327999999</v>
      </c>
      <c r="CX39" s="19">
        <f t="shared" si="126"/>
        <v>4308387.9160000002</v>
      </c>
      <c r="CY39" s="19">
        <f t="shared" si="126"/>
        <v>4130412.8819999998</v>
      </c>
      <c r="CZ39" s="19">
        <f t="shared" si="126"/>
        <v>5168630.1118000001</v>
      </c>
      <c r="DA39" s="19">
        <f t="shared" si="126"/>
        <v>4180598.4354000003</v>
      </c>
      <c r="DB39" s="19">
        <f t="shared" si="126"/>
        <v>3680104.5623999997</v>
      </c>
      <c r="DC39" s="19">
        <f t="shared" si="126"/>
        <v>3750100.3569999998</v>
      </c>
      <c r="DD39" s="19">
        <f t="shared" si="126"/>
        <v>2337991.3480000002</v>
      </c>
      <c r="DE39" s="19">
        <f t="shared" si="126"/>
        <v>4638085.9221999999</v>
      </c>
      <c r="DF39" s="19">
        <f t="shared" si="126"/>
        <v>7301025.8117999993</v>
      </c>
      <c r="DG39" s="19">
        <f t="shared" si="126"/>
        <v>2053277.7619999999</v>
      </c>
      <c r="DH39" s="19">
        <f t="shared" si="126"/>
        <v>1506710.4939999999</v>
      </c>
      <c r="DI39" s="19">
        <f t="shared" si="126"/>
        <v>2962532.7327999999</v>
      </c>
      <c r="DJ39" s="19">
        <f t="shared" si="126"/>
        <v>4308387.9160000002</v>
      </c>
      <c r="DK39" s="19">
        <f t="shared" si="126"/>
        <v>4130412.8819999998</v>
      </c>
      <c r="DL39" s="19">
        <f t="shared" si="126"/>
        <v>5168630.1118000001</v>
      </c>
      <c r="DM39" s="19">
        <f t="shared" si="126"/>
        <v>4180598.4354000003</v>
      </c>
      <c r="DN39" s="19">
        <f t="shared" si="126"/>
        <v>3680104.5623999997</v>
      </c>
      <c r="DO39" s="19">
        <f t="shared" si="126"/>
        <v>3750100.3569999998</v>
      </c>
      <c r="DP39" s="19">
        <f t="shared" si="126"/>
        <v>2337991.3480000002</v>
      </c>
      <c r="DQ39" s="19">
        <f t="shared" si="126"/>
        <v>4638085.9221999999</v>
      </c>
      <c r="DR39" s="19">
        <f t="shared" si="126"/>
        <v>7301025.8117999993</v>
      </c>
      <c r="DS39" s="19">
        <f t="shared" ref="DS39:ED39" si="127">DS51</f>
        <v>2053277.7619999999</v>
      </c>
      <c r="DT39" s="19">
        <f t="shared" si="127"/>
        <v>1506710.4939999999</v>
      </c>
      <c r="DU39" s="19">
        <f t="shared" si="127"/>
        <v>2962532.7327999999</v>
      </c>
      <c r="DV39" s="19">
        <f t="shared" si="127"/>
        <v>4308387.9160000002</v>
      </c>
      <c r="DW39" s="19">
        <f t="shared" si="127"/>
        <v>4130412.8819999998</v>
      </c>
      <c r="DX39" s="19">
        <f t="shared" si="127"/>
        <v>5168630.1118000001</v>
      </c>
      <c r="DY39" s="19">
        <f t="shared" si="127"/>
        <v>4180598.4354000003</v>
      </c>
      <c r="DZ39" s="19">
        <f t="shared" si="127"/>
        <v>3680104.5623999997</v>
      </c>
      <c r="EA39" s="19">
        <f t="shared" si="127"/>
        <v>3750100.3569999998</v>
      </c>
      <c r="EB39" s="19">
        <f t="shared" si="127"/>
        <v>2337991.3480000002</v>
      </c>
      <c r="EC39" s="19">
        <f t="shared" si="127"/>
        <v>4638085.9221999999</v>
      </c>
      <c r="ED39" s="19">
        <f t="shared" si="127"/>
        <v>7301025.8117999993</v>
      </c>
      <c r="EE39" s="222"/>
      <c r="EF39" s="19">
        <f t="shared" si="100"/>
        <v>3859521.1903999997</v>
      </c>
      <c r="EG39" s="19">
        <f t="shared" si="101"/>
        <v>4307213.6856000004</v>
      </c>
      <c r="EH39" s="19">
        <f t="shared" si="102"/>
        <v>5335443.3960000006</v>
      </c>
      <c r="EI39" s="19">
        <f t="shared" si="103"/>
        <v>3773904.9336000001</v>
      </c>
      <c r="EJ39" s="19">
        <f t="shared" si="104"/>
        <v>3910176.9504000004</v>
      </c>
      <c r="EK39" s="19">
        <f t="shared" si="105"/>
        <v>9588135.1776000001</v>
      </c>
      <c r="EL39" s="19">
        <f t="shared" si="106"/>
        <v>11346653.321999999</v>
      </c>
      <c r="EM39" s="19">
        <f t="shared" si="107"/>
        <v>7445129.7599999998</v>
      </c>
      <c r="EN39" s="19">
        <f t="shared" si="108"/>
        <v>6522520.9888000004</v>
      </c>
      <c r="EO39" s="19">
        <f t="shared" si="109"/>
        <v>13607430.9098</v>
      </c>
      <c r="EP39" s="19">
        <f t="shared" si="110"/>
        <v>11610803.354800001</v>
      </c>
      <c r="EQ39" s="19">
        <f t="shared" si="111"/>
        <v>14277103.081999999</v>
      </c>
      <c r="ER39" s="19">
        <f t="shared" si="112"/>
        <v>6522520.9888000004</v>
      </c>
      <c r="ES39" s="19">
        <f t="shared" si="113"/>
        <v>13607430.9098</v>
      </c>
      <c r="ET39" s="19">
        <f t="shared" si="114"/>
        <v>11610803.354800001</v>
      </c>
      <c r="EU39" s="19">
        <f t="shared" si="115"/>
        <v>14277103.081999999</v>
      </c>
      <c r="EV39" s="19">
        <f t="shared" si="116"/>
        <v>6522520.9888000004</v>
      </c>
      <c r="EW39" s="19">
        <f t="shared" si="117"/>
        <v>13607430.9098</v>
      </c>
      <c r="EX39" s="19">
        <f t="shared" si="118"/>
        <v>11610803.354800001</v>
      </c>
      <c r="EY39" s="19">
        <f t="shared" si="119"/>
        <v>14277103.081999999</v>
      </c>
      <c r="EZ39" s="19">
        <f t="shared" si="23"/>
        <v>6522520.9888000004</v>
      </c>
      <c r="FA39" s="19">
        <f t="shared" si="24"/>
        <v>13607430.9098</v>
      </c>
      <c r="FB39" s="19">
        <f t="shared" si="25"/>
        <v>11610803.354800001</v>
      </c>
      <c r="FC39" s="19">
        <f t="shared" si="26"/>
        <v>14277103.081999999</v>
      </c>
      <c r="FE39" s="19">
        <f t="shared" si="120"/>
        <v>17276083.205600001</v>
      </c>
      <c r="FF39" s="19">
        <f t="shared" si="121"/>
        <v>32290095.210000001</v>
      </c>
      <c r="FG39" s="19">
        <f t="shared" si="122"/>
        <v>46017858.3354</v>
      </c>
      <c r="FH39" s="19">
        <f t="shared" si="123"/>
        <v>46017858.3354</v>
      </c>
      <c r="FI39" s="19">
        <f t="shared" si="124"/>
        <v>46017858.3354</v>
      </c>
      <c r="FJ39" s="770">
        <f t="shared" si="32"/>
        <v>46017858.3354</v>
      </c>
      <c r="FK39" s="545" t="s">
        <v>1</v>
      </c>
    </row>
    <row r="40" spans="2:167" x14ac:dyDescent="0.2">
      <c r="B40" s="225" t="s">
        <v>191</v>
      </c>
      <c r="C40" s="19">
        <f>'Screen Pro'!B2</f>
        <v>1122221.3</v>
      </c>
      <c r="D40" s="19">
        <f>'Screen Pro'!C2</f>
        <v>1450136.22</v>
      </c>
      <c r="E40" s="19">
        <f>'Screen Pro'!D2</f>
        <v>1972016</v>
      </c>
      <c r="F40" s="19">
        <f>'Screen Pro'!E2</f>
        <v>2300746.2999999998</v>
      </c>
      <c r="G40" s="19">
        <f>'Screen Pro'!F2</f>
        <v>2454507.38</v>
      </c>
      <c r="H40" s="19">
        <f>'Screen Pro'!G2</f>
        <v>3129509.86</v>
      </c>
      <c r="I40" s="19">
        <f>'Screen Pro'!H2</f>
        <v>3675259.86</v>
      </c>
      <c r="J40" s="19">
        <f>'Screen Pro'!I2</f>
        <v>5148563.0199999996</v>
      </c>
      <c r="K40" s="19">
        <f>'Screen Pro'!J2</f>
        <v>7472148.2199999997</v>
      </c>
      <c r="L40" s="19">
        <f>'Screen Pro'!K2</f>
        <v>10007707.439999999</v>
      </c>
      <c r="M40" s="19">
        <f>'Screen Pro'!L2</f>
        <v>9620099.8599999994</v>
      </c>
      <c r="N40" s="19">
        <f>'Screen Pro'!M2</f>
        <v>10683960.720000001</v>
      </c>
      <c r="O40" s="19">
        <f>'Screen Pro'!N2</f>
        <v>11188042.560000001</v>
      </c>
      <c r="P40" s="19">
        <f>'Screen Pro'!O2</f>
        <v>11181957.380000141</v>
      </c>
      <c r="Q40" s="19">
        <f>'Screen Pro'!P2</f>
        <v>9904954.2200000007</v>
      </c>
      <c r="R40" s="19">
        <f>'Screen Pro'!Q2</f>
        <v>7466791.0000000056</v>
      </c>
      <c r="S40" s="19">
        <f>'Screen Pro'!R2</f>
        <v>6939939.9000000004</v>
      </c>
      <c r="T40" s="19">
        <f>'Screen Pro'!S2</f>
        <v>6410732.3200000003</v>
      </c>
      <c r="U40" s="19">
        <f>'Screen Pro'!T2</f>
        <v>6104551.8200000003</v>
      </c>
      <c r="V40" s="19">
        <f>'Screen Pro'!U2</f>
        <v>5469154.8600000003</v>
      </c>
      <c r="W40" s="19">
        <f>'Screen Pro'!V2</f>
        <v>5245282.839999998</v>
      </c>
      <c r="X40" s="19">
        <f>'Screen Pro'!W2</f>
        <v>4628703.9799999958</v>
      </c>
      <c r="Y40" s="19">
        <f>'Screen Pro'!X2</f>
        <v>4482612.32</v>
      </c>
      <c r="Z40" s="19">
        <f>'Screen Pro'!Y2</f>
        <v>3142376.58</v>
      </c>
      <c r="AA40" s="19">
        <f>'Screen Pro'!Z2</f>
        <v>0</v>
      </c>
      <c r="AB40" s="19">
        <f>'Screen Pro'!AA2</f>
        <v>629338.27360000042</v>
      </c>
      <c r="AC40" s="19">
        <f>'Screen Pro'!AB2</f>
        <v>0</v>
      </c>
      <c r="AD40" s="19">
        <f>'Screen Pro'!AC2</f>
        <v>0</v>
      </c>
      <c r="AE40" s="19">
        <f>'Screen Pro'!AD2</f>
        <v>0</v>
      </c>
      <c r="AF40" s="19">
        <f>'Screen Pro'!AE2</f>
        <v>0</v>
      </c>
      <c r="AG40" s="19">
        <f>'Screen Pro'!AF2</f>
        <v>0</v>
      </c>
      <c r="AH40" s="19">
        <f>'Screen Pro'!AG2</f>
        <v>0</v>
      </c>
      <c r="AI40" s="19">
        <f>'Screen Pro'!AH2</f>
        <v>0</v>
      </c>
      <c r="AJ40" s="19">
        <f>'Screen Pro'!AI2</f>
        <v>0</v>
      </c>
      <c r="AK40" s="19">
        <f>'Screen Pro'!AJ2</f>
        <v>0</v>
      </c>
      <c r="AL40" s="19">
        <f>'Screen Pro'!AK2</f>
        <v>0</v>
      </c>
      <c r="AM40" s="19">
        <f>'Screen Pro'!AL2</f>
        <v>0</v>
      </c>
      <c r="AN40" s="19">
        <f>'Screen Pro'!AM2</f>
        <v>0</v>
      </c>
      <c r="AO40" s="19">
        <f>'Screen Pro'!AN2</f>
        <v>0</v>
      </c>
      <c r="AP40" s="19">
        <f>'Screen Pro'!AO2</f>
        <v>0</v>
      </c>
      <c r="AQ40" s="19">
        <f>'Screen Pro'!AP2</f>
        <v>0</v>
      </c>
      <c r="AR40" s="19">
        <f>'Screen Pro'!AQ2</f>
        <v>0</v>
      </c>
      <c r="AS40" s="19">
        <f>'Screen Pro'!AR2</f>
        <v>0</v>
      </c>
      <c r="AT40" s="19">
        <f>'Screen Pro'!AS2</f>
        <v>0</v>
      </c>
      <c r="AU40" s="19">
        <f>'Screen Pro'!AT2</f>
        <v>0</v>
      </c>
      <c r="AV40" s="19">
        <f>'Screen Pro'!AU2</f>
        <v>0</v>
      </c>
      <c r="AW40" s="19">
        <f>'Screen Pro'!AV2</f>
        <v>0</v>
      </c>
      <c r="AX40" s="19">
        <f>'Screen Pro'!AW2</f>
        <v>0</v>
      </c>
      <c r="AY40" s="19">
        <f>'Screen Pro'!AX2</f>
        <v>0</v>
      </c>
      <c r="AZ40" s="19">
        <f>'Screen Pro'!AY2</f>
        <v>0</v>
      </c>
      <c r="BA40" s="19">
        <f>'Screen Pro'!AZ2</f>
        <v>0</v>
      </c>
      <c r="BB40" s="19">
        <f>'Screen Pro'!BA2</f>
        <v>0</v>
      </c>
      <c r="BC40" s="19">
        <f>'Screen Pro'!BB2</f>
        <v>0</v>
      </c>
      <c r="BD40" s="19">
        <f>'Screen Pro'!BC2</f>
        <v>0</v>
      </c>
      <c r="BE40" s="19">
        <f>'Screen Pro'!BD2</f>
        <v>0</v>
      </c>
      <c r="BF40" s="19">
        <f>'Screen Pro'!BE2</f>
        <v>0</v>
      </c>
      <c r="BG40" s="19">
        <f>'Screen Pro'!BF2</f>
        <v>0</v>
      </c>
      <c r="BH40" s="19">
        <f>'Screen Pro'!BG2</f>
        <v>0</v>
      </c>
      <c r="BI40" s="19">
        <f>'Screen Pro'!BH2</f>
        <v>0</v>
      </c>
      <c r="BJ40" s="19">
        <f>'Screen Pro'!BI2</f>
        <v>0</v>
      </c>
      <c r="BK40" s="19">
        <f>'Screen Pro'!BJ2</f>
        <v>0</v>
      </c>
      <c r="BL40" s="19">
        <f>'Screen Pro'!BK2</f>
        <v>0</v>
      </c>
      <c r="BM40" s="19">
        <f>'Screen Pro'!BL2</f>
        <v>0</v>
      </c>
      <c r="BN40" s="19">
        <f>'Screen Pro'!BM2</f>
        <v>0</v>
      </c>
      <c r="BO40" s="19">
        <f>'Screen Pro'!BN2</f>
        <v>0</v>
      </c>
      <c r="BP40" s="19">
        <f>'Screen Pro'!BO2</f>
        <v>0</v>
      </c>
      <c r="BQ40" s="19">
        <f>'Screen Pro'!BP2</f>
        <v>0</v>
      </c>
      <c r="BR40" s="19">
        <f>'Screen Pro'!BQ2</f>
        <v>0</v>
      </c>
      <c r="BS40" s="19">
        <f>'Screen Pro'!BR2</f>
        <v>0</v>
      </c>
      <c r="BT40" s="19">
        <f>'Screen Pro'!BS2</f>
        <v>0</v>
      </c>
      <c r="BU40" s="19">
        <f>'Screen Pro'!BT2</f>
        <v>0</v>
      </c>
      <c r="BV40" s="19">
        <f>'Screen Pro'!BU2</f>
        <v>0</v>
      </c>
      <c r="BW40" s="19">
        <f>'Screen Pro'!BV2</f>
        <v>0</v>
      </c>
      <c r="BX40" s="19">
        <f>'Screen Pro'!BW2</f>
        <v>0</v>
      </c>
      <c r="BY40" s="19">
        <f>'Screen Pro'!BX2</f>
        <v>0</v>
      </c>
      <c r="BZ40" s="19">
        <f>'Screen Pro'!BY2</f>
        <v>0</v>
      </c>
      <c r="CA40" s="19">
        <f>'Screen Pro'!BZ2</f>
        <v>0</v>
      </c>
      <c r="CB40" s="19">
        <f>'Screen Pro'!CA2</f>
        <v>0</v>
      </c>
      <c r="CC40" s="19">
        <f>'Screen Pro'!CB2</f>
        <v>0</v>
      </c>
      <c r="CD40" s="19">
        <f>'Screen Pro'!CC2</f>
        <v>0</v>
      </c>
      <c r="CE40" s="19">
        <f>'Screen Pro'!CD2</f>
        <v>0</v>
      </c>
      <c r="CF40" s="19">
        <f>'Screen Pro'!CE2</f>
        <v>0</v>
      </c>
      <c r="CG40" s="19">
        <f>'Screen Pro'!CF2</f>
        <v>0</v>
      </c>
      <c r="CH40" s="19">
        <f>'Screen Pro'!CG2</f>
        <v>0</v>
      </c>
      <c r="CI40" s="19">
        <f>'Screen Pro'!CH2</f>
        <v>0</v>
      </c>
      <c r="CJ40" s="19">
        <f>'Screen Pro'!CI2</f>
        <v>0</v>
      </c>
      <c r="CK40" s="19">
        <f>'Screen Pro'!CJ2</f>
        <v>0</v>
      </c>
      <c r="CL40" s="19">
        <f>'Screen Pro'!CK2</f>
        <v>0</v>
      </c>
      <c r="CM40" s="19">
        <f>'Screen Pro'!CL2</f>
        <v>0</v>
      </c>
      <c r="CN40" s="19">
        <f>'Screen Pro'!CM2</f>
        <v>0</v>
      </c>
      <c r="CO40" s="19">
        <f>'Screen Pro'!CN2</f>
        <v>0</v>
      </c>
      <c r="CP40" s="19">
        <f>'Screen Pro'!CO2</f>
        <v>0</v>
      </c>
      <c r="CQ40" s="19">
        <f>'Screen Pro'!CP2</f>
        <v>0</v>
      </c>
      <c r="CR40" s="19">
        <f>'Screen Pro'!CQ2</f>
        <v>0</v>
      </c>
      <c r="CS40" s="19">
        <f>'Screen Pro'!CR2</f>
        <v>0</v>
      </c>
      <c r="CT40" s="19">
        <f>'Screen Pro'!CS2</f>
        <v>0</v>
      </c>
      <c r="CU40" s="19">
        <f>'Screen Pro'!CT2</f>
        <v>0</v>
      </c>
      <c r="CV40" s="19">
        <f>'Screen Pro'!CU2</f>
        <v>0</v>
      </c>
      <c r="CW40" s="19">
        <f>'Screen Pro'!CV2</f>
        <v>0</v>
      </c>
      <c r="CX40" s="19">
        <f>'Screen Pro'!CW2</f>
        <v>0</v>
      </c>
      <c r="CY40" s="19">
        <f>'Screen Pro'!CX2</f>
        <v>0</v>
      </c>
      <c r="CZ40" s="19">
        <f>'Screen Pro'!CY2</f>
        <v>0</v>
      </c>
      <c r="DA40" s="19">
        <f>'Screen Pro'!CZ2</f>
        <v>0</v>
      </c>
      <c r="DB40" s="19">
        <f>'Screen Pro'!DA2</f>
        <v>0</v>
      </c>
      <c r="DC40" s="19">
        <f>'Screen Pro'!DB2</f>
        <v>0</v>
      </c>
      <c r="DD40" s="19">
        <f>'Screen Pro'!DC2</f>
        <v>0</v>
      </c>
      <c r="DE40" s="19">
        <f>'Screen Pro'!DD2</f>
        <v>0</v>
      </c>
      <c r="DF40" s="19">
        <f>'Screen Pro'!DE2</f>
        <v>0</v>
      </c>
      <c r="DG40" s="19">
        <f>'Screen Pro'!DF2</f>
        <v>0</v>
      </c>
      <c r="DH40" s="19">
        <f>'Screen Pro'!DG2</f>
        <v>0</v>
      </c>
      <c r="DI40" s="19">
        <f>'Screen Pro'!DH2</f>
        <v>0</v>
      </c>
      <c r="DJ40" s="19">
        <f>'Screen Pro'!DI2</f>
        <v>0</v>
      </c>
      <c r="DK40" s="19">
        <f>'Screen Pro'!DJ2</f>
        <v>0</v>
      </c>
      <c r="DL40" s="19">
        <f>'Screen Pro'!DK2</f>
        <v>0</v>
      </c>
      <c r="DM40" s="19">
        <f>'Screen Pro'!DL2</f>
        <v>0</v>
      </c>
      <c r="DN40" s="19">
        <f>'Screen Pro'!DM2</f>
        <v>0</v>
      </c>
      <c r="DO40" s="19">
        <f>'Screen Pro'!DN2</f>
        <v>0</v>
      </c>
      <c r="DP40" s="19">
        <f>'Screen Pro'!DO2</f>
        <v>0</v>
      </c>
      <c r="DQ40" s="19">
        <f>'Screen Pro'!DP2</f>
        <v>0</v>
      </c>
      <c r="DR40" s="19">
        <f>'Screen Pro'!DQ2</f>
        <v>0</v>
      </c>
      <c r="DS40" s="19">
        <f>'Screen Pro'!DR2</f>
        <v>0</v>
      </c>
      <c r="DT40" s="19">
        <f>'Screen Pro'!DS2</f>
        <v>0</v>
      </c>
      <c r="DU40" s="19">
        <f>'Screen Pro'!DT2</f>
        <v>0</v>
      </c>
      <c r="DV40" s="19">
        <f>'Screen Pro'!DU2</f>
        <v>0</v>
      </c>
      <c r="DW40" s="19">
        <f>'Screen Pro'!DV2</f>
        <v>0</v>
      </c>
      <c r="DX40" s="19">
        <f>'Screen Pro'!DW2</f>
        <v>0</v>
      </c>
      <c r="DY40" s="19">
        <f>'Screen Pro'!DX2</f>
        <v>0</v>
      </c>
      <c r="DZ40" s="19">
        <f>'Screen Pro'!DY2</f>
        <v>0</v>
      </c>
      <c r="EA40" s="19">
        <f>'Screen Pro'!DZ2</f>
        <v>0</v>
      </c>
      <c r="EB40" s="19">
        <f>'Screen Pro'!EA2</f>
        <v>0</v>
      </c>
      <c r="EC40" s="19">
        <f>'Screen Pro'!EB2</f>
        <v>0</v>
      </c>
      <c r="ED40" s="19">
        <f>'Screen Pro'!EC2</f>
        <v>0</v>
      </c>
      <c r="EE40" s="222"/>
      <c r="EF40" s="19">
        <f t="shared" si="100"/>
        <v>0</v>
      </c>
      <c r="EG40" s="19">
        <f t="shared" si="101"/>
        <v>0</v>
      </c>
      <c r="EH40" s="19">
        <f t="shared" si="102"/>
        <v>0</v>
      </c>
      <c r="EI40" s="19">
        <f t="shared" si="103"/>
        <v>0</v>
      </c>
      <c r="EJ40" s="19">
        <f t="shared" si="104"/>
        <v>0</v>
      </c>
      <c r="EK40" s="19">
        <f t="shared" si="105"/>
        <v>0</v>
      </c>
      <c r="EL40" s="19">
        <f t="shared" si="106"/>
        <v>0</v>
      </c>
      <c r="EM40" s="19">
        <f t="shared" si="107"/>
        <v>0</v>
      </c>
      <c r="EN40" s="19">
        <f t="shared" si="108"/>
        <v>0</v>
      </c>
      <c r="EO40" s="19">
        <f t="shared" si="109"/>
        <v>0</v>
      </c>
      <c r="EP40" s="19">
        <f t="shared" si="110"/>
        <v>0</v>
      </c>
      <c r="EQ40" s="19">
        <f t="shared" si="111"/>
        <v>0</v>
      </c>
      <c r="ER40" s="19">
        <f t="shared" si="112"/>
        <v>0</v>
      </c>
      <c r="ES40" s="19">
        <f t="shared" si="113"/>
        <v>0</v>
      </c>
      <c r="ET40" s="19">
        <f t="shared" si="114"/>
        <v>0</v>
      </c>
      <c r="EU40" s="19">
        <f t="shared" si="115"/>
        <v>0</v>
      </c>
      <c r="EV40" s="19">
        <f t="shared" si="116"/>
        <v>0</v>
      </c>
      <c r="EW40" s="19">
        <f t="shared" si="117"/>
        <v>0</v>
      </c>
      <c r="EX40" s="19">
        <f t="shared" si="118"/>
        <v>0</v>
      </c>
      <c r="EY40" s="19">
        <f t="shared" si="119"/>
        <v>0</v>
      </c>
      <c r="EZ40" s="19">
        <f t="shared" si="23"/>
        <v>0</v>
      </c>
      <c r="FA40" s="19">
        <f t="shared" si="24"/>
        <v>0</v>
      </c>
      <c r="FB40" s="19">
        <f t="shared" si="25"/>
        <v>0</v>
      </c>
      <c r="FC40" s="19">
        <f t="shared" si="26"/>
        <v>0</v>
      </c>
      <c r="FE40" s="19">
        <f t="shared" si="120"/>
        <v>0</v>
      </c>
      <c r="FF40" s="19">
        <f t="shared" si="121"/>
        <v>0</v>
      </c>
      <c r="FG40" s="19">
        <f t="shared" si="122"/>
        <v>0</v>
      </c>
      <c r="FH40" s="19">
        <f t="shared" si="123"/>
        <v>0</v>
      </c>
      <c r="FI40" s="19">
        <f t="shared" si="124"/>
        <v>0</v>
      </c>
      <c r="FJ40" s="770">
        <f t="shared" si="32"/>
        <v>0</v>
      </c>
      <c r="FK40" s="545" t="s">
        <v>1</v>
      </c>
    </row>
    <row r="41" spans="2:167" x14ac:dyDescent="0.2">
      <c r="B41" s="225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222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E41" s="19"/>
      <c r="FF41" s="19"/>
      <c r="FG41" s="19"/>
      <c r="FH41" s="19"/>
      <c r="FI41" s="19"/>
      <c r="FJ41" s="770"/>
      <c r="FK41" s="545"/>
    </row>
    <row r="42" spans="2:167" x14ac:dyDescent="0.2">
      <c r="B42" s="225" t="s">
        <v>304</v>
      </c>
      <c r="C42" s="19">
        <f>C11-C23</f>
        <v>32077</v>
      </c>
      <c r="D42" s="19">
        <f t="shared" ref="D42:BO42" si="128">D11-D23</f>
        <v>28685</v>
      </c>
      <c r="E42" s="19">
        <f t="shared" si="128"/>
        <v>34758</v>
      </c>
      <c r="F42" s="19">
        <f t="shared" si="128"/>
        <v>39298</v>
      </c>
      <c r="G42" s="19">
        <f t="shared" si="128"/>
        <v>47222</v>
      </c>
      <c r="H42" s="19">
        <f t="shared" si="128"/>
        <v>49152</v>
      </c>
      <c r="I42" s="19">
        <f t="shared" si="128"/>
        <v>52716</v>
      </c>
      <c r="J42" s="19">
        <f t="shared" si="128"/>
        <v>52798</v>
      </c>
      <c r="K42" s="19">
        <f t="shared" si="128"/>
        <v>67323</v>
      </c>
      <c r="L42" s="19">
        <f t="shared" si="128"/>
        <v>62990</v>
      </c>
      <c r="M42" s="19">
        <f t="shared" si="128"/>
        <v>67278</v>
      </c>
      <c r="N42" s="19">
        <f t="shared" si="128"/>
        <v>53088</v>
      </c>
      <c r="O42" s="19">
        <f t="shared" si="128"/>
        <v>72387</v>
      </c>
      <c r="P42" s="19">
        <f t="shared" si="128"/>
        <v>75629</v>
      </c>
      <c r="Q42" s="19">
        <f t="shared" si="128"/>
        <v>76373</v>
      </c>
      <c r="R42" s="19">
        <f t="shared" si="128"/>
        <v>71613</v>
      </c>
      <c r="S42" s="19">
        <f t="shared" si="128"/>
        <v>63107</v>
      </c>
      <c r="T42" s="19">
        <f t="shared" si="128"/>
        <v>56070</v>
      </c>
      <c r="U42" s="19">
        <f t="shared" si="128"/>
        <v>45887</v>
      </c>
      <c r="V42" s="19">
        <f t="shared" si="128"/>
        <v>53361</v>
      </c>
      <c r="W42" s="19">
        <f t="shared" si="128"/>
        <v>66249</v>
      </c>
      <c r="X42" s="19">
        <f t="shared" si="128"/>
        <v>66221</v>
      </c>
      <c r="Y42" s="19">
        <f t="shared" si="128"/>
        <v>82599</v>
      </c>
      <c r="Z42" s="19">
        <f t="shared" si="128"/>
        <v>53879</v>
      </c>
      <c r="AA42" s="19">
        <f t="shared" si="128"/>
        <v>-9</v>
      </c>
      <c r="AB42" s="19">
        <f t="shared" si="128"/>
        <v>39615</v>
      </c>
      <c r="AC42" s="19">
        <f t="shared" si="128"/>
        <v>42144</v>
      </c>
      <c r="AD42" s="19">
        <f t="shared" si="128"/>
        <v>23101</v>
      </c>
      <c r="AE42" s="19">
        <f t="shared" si="128"/>
        <v>42428</v>
      </c>
      <c r="AF42" s="19">
        <f t="shared" si="128"/>
        <v>37510</v>
      </c>
      <c r="AG42" s="19">
        <f t="shared" si="128"/>
        <v>38033</v>
      </c>
      <c r="AH42" s="19">
        <f t="shared" si="128"/>
        <v>52152</v>
      </c>
      <c r="AI42" s="19">
        <f t="shared" si="128"/>
        <v>65623</v>
      </c>
      <c r="AJ42" s="19">
        <f t="shared" si="128"/>
        <v>50097</v>
      </c>
      <c r="AK42" s="19">
        <f t="shared" si="128"/>
        <v>68912</v>
      </c>
      <c r="AL42" s="19">
        <f t="shared" si="128"/>
        <v>58359</v>
      </c>
      <c r="AM42" s="19">
        <f t="shared" si="128"/>
        <v>39373</v>
      </c>
      <c r="AN42" s="19">
        <f t="shared" si="128"/>
        <v>20126</v>
      </c>
      <c r="AO42" s="19">
        <f t="shared" si="128"/>
        <v>44621</v>
      </c>
      <c r="AP42" s="19">
        <f t="shared" si="128"/>
        <v>64902</v>
      </c>
      <c r="AQ42" s="19">
        <f t="shared" si="128"/>
        <v>67514</v>
      </c>
      <c r="AR42" s="19">
        <f t="shared" si="128"/>
        <v>62399</v>
      </c>
      <c r="AS42" s="19">
        <f t="shared" si="128"/>
        <v>54021</v>
      </c>
      <c r="AT42" s="19">
        <f t="shared" si="128"/>
        <v>70785</v>
      </c>
      <c r="AU42" s="19">
        <f t="shared" si="128"/>
        <v>86904</v>
      </c>
      <c r="AV42" s="19">
        <f t="shared" si="128"/>
        <v>78350</v>
      </c>
      <c r="AW42" s="19">
        <f t="shared" si="128"/>
        <v>71272</v>
      </c>
      <c r="AX42" s="19">
        <f t="shared" si="128"/>
        <v>64414</v>
      </c>
      <c r="AY42" s="19">
        <f t="shared" si="128"/>
        <v>58747</v>
      </c>
      <c r="AZ42" s="19">
        <f t="shared" si="128"/>
        <v>64291</v>
      </c>
      <c r="BA42" s="19">
        <f t="shared" si="128"/>
        <v>42923</v>
      </c>
      <c r="BB42" s="19">
        <f t="shared" si="128"/>
        <v>52724</v>
      </c>
      <c r="BC42" s="19">
        <f t="shared" si="128"/>
        <v>55751</v>
      </c>
      <c r="BD42" s="19">
        <f t="shared" si="128"/>
        <v>60752</v>
      </c>
      <c r="BE42" s="19">
        <f t="shared" si="128"/>
        <v>56404</v>
      </c>
      <c r="BF42" s="19">
        <f t="shared" si="128"/>
        <v>61515</v>
      </c>
      <c r="BG42" s="19">
        <f t="shared" si="128"/>
        <v>77757</v>
      </c>
      <c r="BH42" s="19">
        <f t="shared" si="128"/>
        <v>68844</v>
      </c>
      <c r="BI42" s="19">
        <f t="shared" si="128"/>
        <v>54352</v>
      </c>
      <c r="BJ42" s="19">
        <f t="shared" si="128"/>
        <v>63463</v>
      </c>
      <c r="BK42" s="19">
        <f t="shared" si="128"/>
        <v>52095</v>
      </c>
      <c r="BL42" s="19">
        <f t="shared" si="128"/>
        <v>50869</v>
      </c>
      <c r="BM42" s="19">
        <f t="shared" si="128"/>
        <v>37278</v>
      </c>
      <c r="BN42" s="19">
        <f t="shared" si="128"/>
        <v>37858</v>
      </c>
      <c r="BO42" s="19">
        <f t="shared" si="128"/>
        <v>41284</v>
      </c>
      <c r="BP42" s="19">
        <f t="shared" ref="BP42:DR42" si="129">BP11-BP23</f>
        <v>41474</v>
      </c>
      <c r="BQ42" s="19">
        <f t="shared" si="129"/>
        <v>34830</v>
      </c>
      <c r="BR42" s="19">
        <f t="shared" si="129"/>
        <v>43285</v>
      </c>
      <c r="BS42" s="19">
        <f t="shared" si="129"/>
        <v>31222</v>
      </c>
      <c r="BT42" s="19">
        <f t="shared" si="129"/>
        <v>29041</v>
      </c>
      <c r="BU42" s="19">
        <f t="shared" si="129"/>
        <v>30017</v>
      </c>
      <c r="BV42" s="19">
        <f t="shared" si="129"/>
        <v>29941</v>
      </c>
      <c r="BW42" s="19">
        <f t="shared" si="129"/>
        <v>31452</v>
      </c>
      <c r="BX42" s="19">
        <f t="shared" si="129"/>
        <v>35266</v>
      </c>
      <c r="BY42" s="19">
        <f t="shared" si="129"/>
        <v>33841</v>
      </c>
      <c r="BZ42" s="19">
        <f t="shared" si="129"/>
        <v>35750</v>
      </c>
      <c r="CA42" s="19">
        <f t="shared" si="129"/>
        <v>31293</v>
      </c>
      <c r="CB42" s="19">
        <f t="shared" si="129"/>
        <v>27648</v>
      </c>
      <c r="CC42" s="19">
        <f t="shared" si="129"/>
        <v>29614</v>
      </c>
      <c r="CD42" s="19">
        <f t="shared" si="129"/>
        <v>32314</v>
      </c>
      <c r="CE42" s="19">
        <f t="shared" si="129"/>
        <v>41872</v>
      </c>
      <c r="CF42" s="19">
        <f t="shared" si="129"/>
        <v>47777</v>
      </c>
      <c r="CG42" s="19">
        <f t="shared" si="129"/>
        <v>44343</v>
      </c>
      <c r="CH42" s="19">
        <f t="shared" si="129"/>
        <v>56164</v>
      </c>
      <c r="CI42" s="19">
        <f t="shared" si="129"/>
        <v>48992</v>
      </c>
      <c r="CJ42" s="19">
        <f t="shared" si="129"/>
        <v>51123</v>
      </c>
      <c r="CK42" s="19">
        <f t="shared" si="129"/>
        <v>46922.368421052633</v>
      </c>
      <c r="CL42" s="19">
        <f t="shared" si="129"/>
        <v>47845</v>
      </c>
      <c r="CM42" s="19">
        <f t="shared" si="129"/>
        <v>44174</v>
      </c>
      <c r="CN42" s="19">
        <f t="shared" si="129"/>
        <v>38572</v>
      </c>
      <c r="CO42" s="19">
        <f t="shared" si="129"/>
        <v>45287</v>
      </c>
      <c r="CP42" s="19">
        <f t="shared" si="129"/>
        <v>56546</v>
      </c>
      <c r="CQ42" s="19">
        <f t="shared" si="129"/>
        <v>62538</v>
      </c>
      <c r="CR42" s="19">
        <f t="shared" si="129"/>
        <v>59086</v>
      </c>
      <c r="CS42" s="19">
        <f t="shared" si="129"/>
        <v>57416.564144000004</v>
      </c>
      <c r="CT42" s="19">
        <f t="shared" si="129"/>
        <v>54821.372687599993</v>
      </c>
      <c r="CU42" s="19">
        <f t="shared" si="129"/>
        <v>65019.181533881332</v>
      </c>
      <c r="CV42" s="19">
        <f t="shared" si="129"/>
        <v>67399.727875252342</v>
      </c>
      <c r="CW42" s="19">
        <f t="shared" si="129"/>
        <v>63572.51181093786</v>
      </c>
      <c r="CX42" s="19">
        <f t="shared" si="129"/>
        <v>63586.353581892479</v>
      </c>
      <c r="CY42" s="19">
        <f t="shared" si="129"/>
        <v>59172.738679872913</v>
      </c>
      <c r="CZ42" s="19">
        <f t="shared" si="129"/>
        <v>51554.807559096051</v>
      </c>
      <c r="DA42" s="19">
        <f t="shared" si="129"/>
        <v>60370.007730844874</v>
      </c>
      <c r="DB42" s="19">
        <f t="shared" si="129"/>
        <v>74617.119789671589</v>
      </c>
      <c r="DC42" s="19">
        <f t="shared" si="129"/>
        <v>83133.681436905434</v>
      </c>
      <c r="DD42" s="19">
        <f t="shared" si="129"/>
        <v>77906.724150091221</v>
      </c>
      <c r="DE42" s="19">
        <f t="shared" si="129"/>
        <v>76010.115028125598</v>
      </c>
      <c r="DF42" s="19">
        <f t="shared" si="129"/>
        <v>73136.953943496788</v>
      </c>
      <c r="DG42" s="19">
        <f t="shared" si="129"/>
        <v>81273.976917351654</v>
      </c>
      <c r="DH42" s="19">
        <f t="shared" si="129"/>
        <v>84249.659844065434</v>
      </c>
      <c r="DI42" s="19">
        <f t="shared" si="129"/>
        <v>79465.639763672327</v>
      </c>
      <c r="DJ42" s="19">
        <f t="shared" si="129"/>
        <v>79482.941977365583</v>
      </c>
      <c r="DK42" s="19">
        <f t="shared" si="129"/>
        <v>73965.923349841149</v>
      </c>
      <c r="DL42" s="19">
        <f t="shared" si="129"/>
        <v>64443.509448870056</v>
      </c>
      <c r="DM42" s="19">
        <f t="shared" si="129"/>
        <v>75462.509663556091</v>
      </c>
      <c r="DN42" s="19">
        <f t="shared" si="129"/>
        <v>93271.399737089494</v>
      </c>
      <c r="DO42" s="19">
        <f t="shared" si="129"/>
        <v>103917.1017961318</v>
      </c>
      <c r="DP42" s="19">
        <f t="shared" si="129"/>
        <v>97383.405187614029</v>
      </c>
      <c r="DQ42" s="19">
        <f t="shared" si="129"/>
        <v>95012.643785156994</v>
      </c>
      <c r="DR42" s="19">
        <f t="shared" si="129"/>
        <v>91421.192429370974</v>
      </c>
      <c r="DS42" s="19">
        <f t="shared" ref="DS42:ED42" si="130">DS11-DS23</f>
        <v>97528.772300822005</v>
      </c>
      <c r="DT42" s="19">
        <f t="shared" si="130"/>
        <v>101099.59181287851</v>
      </c>
      <c r="DU42" s="19">
        <f t="shared" si="130"/>
        <v>95358.767716406786</v>
      </c>
      <c r="DV42" s="19">
        <f t="shared" si="130"/>
        <v>95379.530372838708</v>
      </c>
      <c r="DW42" s="19">
        <f t="shared" si="130"/>
        <v>88759.10801980937</v>
      </c>
      <c r="DX42" s="19">
        <f t="shared" si="130"/>
        <v>77332.211338644061</v>
      </c>
      <c r="DY42" s="19">
        <f t="shared" si="130"/>
        <v>90555.011596267315</v>
      </c>
      <c r="DZ42" s="19">
        <f t="shared" si="130"/>
        <v>111925.6796845074</v>
      </c>
      <c r="EA42" s="19">
        <f t="shared" si="130"/>
        <v>124700.52215535815</v>
      </c>
      <c r="EB42" s="19">
        <f t="shared" si="130"/>
        <v>116860.08622513684</v>
      </c>
      <c r="EC42" s="19">
        <f t="shared" si="130"/>
        <v>114015.1725421884</v>
      </c>
      <c r="ED42" s="19">
        <f t="shared" si="130"/>
        <v>109705.43091524518</v>
      </c>
      <c r="EE42" s="222"/>
      <c r="EF42" s="19">
        <f>SUM(BK42:BM42)</f>
        <v>140242</v>
      </c>
      <c r="EG42" s="19">
        <f>SUM(BN42:BP42)</f>
        <v>120616</v>
      </c>
      <c r="EH42" s="19">
        <f>SUM(BQ42:BS42)</f>
        <v>109337</v>
      </c>
      <c r="EI42" s="19">
        <f>SUM(BT42:BV42)</f>
        <v>88999</v>
      </c>
      <c r="EJ42" s="19">
        <f>SUM(BW42:BY42)</f>
        <v>100559</v>
      </c>
      <c r="EK42" s="19">
        <f>SUM(BZ42:CB42)</f>
        <v>94691</v>
      </c>
      <c r="EL42" s="19">
        <f>SUM(CC42:CE42)</f>
        <v>103800</v>
      </c>
      <c r="EM42" s="19">
        <f>SUM(CF42:CH42)</f>
        <v>148284</v>
      </c>
      <c r="EN42" s="19">
        <f>SUM(CI42:CK42)</f>
        <v>147037.36842105264</v>
      </c>
      <c r="EO42" s="19">
        <f>SUM(CL42:CN42)</f>
        <v>130591</v>
      </c>
      <c r="EP42" s="19">
        <f>SUM(CO42:CQ42)</f>
        <v>164371</v>
      </c>
      <c r="EQ42" s="19">
        <f>SUM(CR42:CT42)</f>
        <v>171323.9368316</v>
      </c>
      <c r="ER42" s="19">
        <f>SUM(CU42:CW42)</f>
        <v>195991.42122007153</v>
      </c>
      <c r="ES42" s="19">
        <f>SUM(CX42:CZ42)</f>
        <v>174313.89982086144</v>
      </c>
      <c r="ET42" s="19">
        <f>SUM(DA42:DC42)</f>
        <v>218120.80895742189</v>
      </c>
      <c r="EU42" s="19">
        <f>SUM(DD42:DF42)</f>
        <v>227053.79312171362</v>
      </c>
      <c r="EV42" s="19">
        <f>SUM(DG42:DI42)</f>
        <v>244989.2765250894</v>
      </c>
      <c r="EW42" s="19">
        <f>SUM(DJ42:DL42)</f>
        <v>217892.37477607679</v>
      </c>
      <c r="EX42" s="19">
        <f>SUM(DM42:DO42)</f>
        <v>272651.0111967774</v>
      </c>
      <c r="EY42" s="19">
        <f>SUM(DP42:DR42)</f>
        <v>283817.24140214198</v>
      </c>
      <c r="EZ42" s="19">
        <f t="shared" si="23"/>
        <v>293987.1318301073</v>
      </c>
      <c r="FA42" s="19">
        <f t="shared" si="24"/>
        <v>261470.84973129214</v>
      </c>
      <c r="FB42" s="19">
        <f t="shared" si="25"/>
        <v>327181.21343613288</v>
      </c>
      <c r="FC42" s="19">
        <f t="shared" si="26"/>
        <v>340580.6896825704</v>
      </c>
      <c r="FE42" s="19">
        <f t="shared" si="120"/>
        <v>459194</v>
      </c>
      <c r="FF42" s="19">
        <f t="shared" si="121"/>
        <v>447334</v>
      </c>
      <c r="FG42" s="19">
        <f t="shared" si="122"/>
        <v>613323.30525265262</v>
      </c>
      <c r="FH42" s="19">
        <f t="shared" si="123"/>
        <v>815479.92312006839</v>
      </c>
      <c r="FI42" s="19">
        <f t="shared" si="124"/>
        <v>1019349.9039000855</v>
      </c>
      <c r="FJ42" s="770">
        <f t="shared" si="32"/>
        <v>1223219.8846801026</v>
      </c>
      <c r="FK42" s="545" t="s">
        <v>1</v>
      </c>
    </row>
    <row r="43" spans="2:167" x14ac:dyDescent="0.2">
      <c r="B43" s="225" t="s">
        <v>139</v>
      </c>
      <c r="C43" s="19">
        <f>C12-C27</f>
        <v>916</v>
      </c>
      <c r="D43" s="19">
        <f t="shared" ref="D43:BO43" si="131">D12-D27</f>
        <v>969</v>
      </c>
      <c r="E43" s="19">
        <f t="shared" si="131"/>
        <v>817</v>
      </c>
      <c r="F43" s="19">
        <f t="shared" si="131"/>
        <v>1419</v>
      </c>
      <c r="G43" s="19">
        <f t="shared" si="131"/>
        <v>1338</v>
      </c>
      <c r="H43" s="19">
        <f t="shared" si="131"/>
        <v>1177</v>
      </c>
      <c r="I43" s="19">
        <f t="shared" si="131"/>
        <v>1366</v>
      </c>
      <c r="J43" s="19">
        <f t="shared" si="131"/>
        <v>1689</v>
      </c>
      <c r="K43" s="19">
        <f t="shared" si="131"/>
        <v>2158</v>
      </c>
      <c r="L43" s="19">
        <f t="shared" si="131"/>
        <v>2243</v>
      </c>
      <c r="M43" s="19">
        <f t="shared" si="131"/>
        <v>3407</v>
      </c>
      <c r="N43" s="19">
        <f t="shared" si="131"/>
        <v>4040</v>
      </c>
      <c r="O43" s="19">
        <f t="shared" si="131"/>
        <v>5288</v>
      </c>
      <c r="P43" s="19">
        <f t="shared" si="131"/>
        <v>5675</v>
      </c>
      <c r="Q43" s="19">
        <f t="shared" si="131"/>
        <v>5719</v>
      </c>
      <c r="R43" s="19">
        <f t="shared" si="131"/>
        <v>6443</v>
      </c>
      <c r="S43" s="19">
        <f t="shared" si="131"/>
        <v>5019</v>
      </c>
      <c r="T43" s="19">
        <f t="shared" si="131"/>
        <v>5162</v>
      </c>
      <c r="U43" s="19">
        <f t="shared" si="131"/>
        <v>4445</v>
      </c>
      <c r="V43" s="19">
        <f t="shared" si="131"/>
        <v>2705</v>
      </c>
      <c r="W43" s="19">
        <f t="shared" si="131"/>
        <v>5579</v>
      </c>
      <c r="X43" s="19">
        <f t="shared" si="131"/>
        <v>5112</v>
      </c>
      <c r="Y43" s="19">
        <f t="shared" si="131"/>
        <v>2845</v>
      </c>
      <c r="Z43" s="19">
        <f t="shared" si="131"/>
        <v>2684</v>
      </c>
      <c r="AA43" s="19">
        <f t="shared" si="131"/>
        <v>-280</v>
      </c>
      <c r="AB43" s="19">
        <f t="shared" si="131"/>
        <v>3284</v>
      </c>
      <c r="AC43" s="19">
        <f t="shared" si="131"/>
        <v>2787</v>
      </c>
      <c r="AD43" s="19">
        <f t="shared" si="131"/>
        <v>2738</v>
      </c>
      <c r="AE43" s="19">
        <f t="shared" si="131"/>
        <v>3326</v>
      </c>
      <c r="AF43" s="19">
        <f t="shared" si="131"/>
        <v>4304</v>
      </c>
      <c r="AG43" s="19">
        <f t="shared" si="131"/>
        <v>5065</v>
      </c>
      <c r="AH43" s="19">
        <f t="shared" si="131"/>
        <v>6946</v>
      </c>
      <c r="AI43" s="19">
        <f t="shared" si="131"/>
        <v>10431</v>
      </c>
      <c r="AJ43" s="19">
        <f t="shared" si="131"/>
        <v>12637</v>
      </c>
      <c r="AK43" s="19">
        <f t="shared" si="131"/>
        <v>9922</v>
      </c>
      <c r="AL43" s="19">
        <f t="shared" si="131"/>
        <v>9737</v>
      </c>
      <c r="AM43" s="19">
        <f t="shared" si="131"/>
        <v>7121</v>
      </c>
      <c r="AN43" s="19">
        <f t="shared" si="131"/>
        <v>3976</v>
      </c>
      <c r="AO43" s="19">
        <f t="shared" si="131"/>
        <v>8271</v>
      </c>
      <c r="AP43" s="19">
        <f t="shared" si="131"/>
        <v>10158</v>
      </c>
      <c r="AQ43" s="19">
        <f t="shared" si="131"/>
        <v>11376</v>
      </c>
      <c r="AR43" s="19">
        <f t="shared" si="131"/>
        <v>13863</v>
      </c>
      <c r="AS43" s="19">
        <f t="shared" si="131"/>
        <v>15261</v>
      </c>
      <c r="AT43" s="19">
        <f t="shared" si="131"/>
        <v>17818</v>
      </c>
      <c r="AU43" s="19">
        <f t="shared" si="131"/>
        <v>20229</v>
      </c>
      <c r="AV43" s="19">
        <f t="shared" si="131"/>
        <v>21595</v>
      </c>
      <c r="AW43" s="19">
        <f t="shared" si="131"/>
        <v>20402</v>
      </c>
      <c r="AX43" s="19">
        <f t="shared" si="131"/>
        <v>21246</v>
      </c>
      <c r="AY43" s="19">
        <f t="shared" si="131"/>
        <v>15685</v>
      </c>
      <c r="AZ43" s="19">
        <f t="shared" si="131"/>
        <v>17437</v>
      </c>
      <c r="BA43" s="19">
        <f t="shared" si="131"/>
        <v>16076</v>
      </c>
      <c r="BB43" s="19">
        <f t="shared" si="131"/>
        <v>17742</v>
      </c>
      <c r="BC43" s="19">
        <f t="shared" si="131"/>
        <v>16488</v>
      </c>
      <c r="BD43" s="19">
        <f t="shared" si="131"/>
        <v>15321</v>
      </c>
      <c r="BE43" s="19">
        <f t="shared" si="131"/>
        <v>15201</v>
      </c>
      <c r="BF43" s="19">
        <f t="shared" si="131"/>
        <v>14674</v>
      </c>
      <c r="BG43" s="19">
        <f t="shared" si="131"/>
        <v>17451</v>
      </c>
      <c r="BH43" s="19">
        <f t="shared" si="131"/>
        <v>18286</v>
      </c>
      <c r="BI43" s="19">
        <f t="shared" si="131"/>
        <v>18676</v>
      </c>
      <c r="BJ43" s="19">
        <f t="shared" si="131"/>
        <v>23420</v>
      </c>
      <c r="BK43" s="19">
        <f t="shared" si="131"/>
        <v>20741</v>
      </c>
      <c r="BL43" s="19">
        <f t="shared" si="131"/>
        <v>20909</v>
      </c>
      <c r="BM43" s="19">
        <f t="shared" si="131"/>
        <v>23236</v>
      </c>
      <c r="BN43" s="19">
        <f t="shared" si="131"/>
        <v>18465</v>
      </c>
      <c r="BO43" s="19">
        <f t="shared" si="131"/>
        <v>19986</v>
      </c>
      <c r="BP43" s="19">
        <f t="shared" ref="BP43:DR43" si="132">BP12-BP27</f>
        <v>19513</v>
      </c>
      <c r="BQ43" s="19">
        <f t="shared" si="132"/>
        <v>24406</v>
      </c>
      <c r="BR43" s="19">
        <f t="shared" si="132"/>
        <v>22087</v>
      </c>
      <c r="BS43" s="19">
        <f t="shared" si="132"/>
        <v>19735</v>
      </c>
      <c r="BT43" s="19">
        <f t="shared" si="132"/>
        <v>19017</v>
      </c>
      <c r="BU43" s="19">
        <f t="shared" si="132"/>
        <v>14904</v>
      </c>
      <c r="BV43" s="19">
        <f t="shared" si="132"/>
        <v>20373</v>
      </c>
      <c r="BW43" s="19">
        <f t="shared" si="132"/>
        <v>20441</v>
      </c>
      <c r="BX43" s="19">
        <f t="shared" si="132"/>
        <v>20495</v>
      </c>
      <c r="BY43" s="19">
        <f t="shared" si="132"/>
        <v>21942</v>
      </c>
      <c r="BZ43" s="19">
        <f t="shared" si="132"/>
        <v>21468</v>
      </c>
      <c r="CA43" s="19">
        <f t="shared" si="132"/>
        <v>18542</v>
      </c>
      <c r="CB43" s="19">
        <f t="shared" si="132"/>
        <v>17241</v>
      </c>
      <c r="CC43" s="19">
        <f t="shared" si="132"/>
        <v>19466</v>
      </c>
      <c r="CD43" s="19">
        <f t="shared" si="132"/>
        <v>18172</v>
      </c>
      <c r="CE43" s="19">
        <f t="shared" si="132"/>
        <v>21951</v>
      </c>
      <c r="CF43" s="19">
        <f t="shared" si="132"/>
        <v>23245</v>
      </c>
      <c r="CG43" s="19">
        <f t="shared" si="132"/>
        <v>22396</v>
      </c>
      <c r="CH43" s="19">
        <f t="shared" si="132"/>
        <v>28618</v>
      </c>
      <c r="CI43" s="19">
        <f t="shared" si="132"/>
        <v>25626</v>
      </c>
      <c r="CJ43" s="19">
        <f t="shared" si="132"/>
        <v>25882</v>
      </c>
      <c r="CK43" s="19">
        <f t="shared" si="132"/>
        <v>26274.285714285714</v>
      </c>
      <c r="CL43" s="19">
        <f t="shared" si="132"/>
        <v>28320</v>
      </c>
      <c r="CM43" s="19">
        <f t="shared" si="132"/>
        <v>25318</v>
      </c>
      <c r="CN43" s="19">
        <f t="shared" si="132"/>
        <v>27502</v>
      </c>
      <c r="CO43" s="19">
        <f t="shared" si="132"/>
        <v>28751</v>
      </c>
      <c r="CP43" s="19">
        <f t="shared" si="132"/>
        <v>27477</v>
      </c>
      <c r="CQ43" s="19">
        <f t="shared" si="132"/>
        <v>34592</v>
      </c>
      <c r="CR43" s="19">
        <f t="shared" si="132"/>
        <v>37355</v>
      </c>
      <c r="CS43" s="19">
        <f t="shared" si="132"/>
        <v>33633</v>
      </c>
      <c r="CT43" s="19">
        <f t="shared" si="132"/>
        <v>38363</v>
      </c>
      <c r="CU43" s="19">
        <f t="shared" si="132"/>
        <v>34006.480459410668</v>
      </c>
      <c r="CV43" s="19">
        <f t="shared" si="132"/>
        <v>33711.235971913251</v>
      </c>
      <c r="CW43" s="19">
        <f t="shared" si="132"/>
        <v>33637.603584600896</v>
      </c>
      <c r="CX43" s="19">
        <f t="shared" si="132"/>
        <v>35538.552784141677</v>
      </c>
      <c r="CY43" s="19">
        <f t="shared" si="132"/>
        <v>32292.750740826534</v>
      </c>
      <c r="CZ43" s="19">
        <f t="shared" si="132"/>
        <v>32195.339572492096</v>
      </c>
      <c r="DA43" s="19">
        <f t="shared" si="132"/>
        <v>36289.355036894616</v>
      </c>
      <c r="DB43" s="19">
        <f t="shared" si="132"/>
        <v>34497.241010135011</v>
      </c>
      <c r="DC43" s="19">
        <f t="shared" si="132"/>
        <v>41931.641712674398</v>
      </c>
      <c r="DD43" s="19">
        <f t="shared" si="132"/>
        <v>43978.281732655203</v>
      </c>
      <c r="DE43" s="19">
        <f t="shared" si="132"/>
        <v>39292.159642788742</v>
      </c>
      <c r="DF43" s="19">
        <f t="shared" si="132"/>
        <v>44548.399057689072</v>
      </c>
      <c r="DG43" s="19">
        <f t="shared" si="132"/>
        <v>39900.043711338425</v>
      </c>
      <c r="DH43" s="19">
        <f t="shared" si="132"/>
        <v>39602.313292979306</v>
      </c>
      <c r="DI43" s="19">
        <f t="shared" si="132"/>
        <v>39400.462840825661</v>
      </c>
      <c r="DJ43" s="19">
        <f t="shared" si="132"/>
        <v>41627.656318354682</v>
      </c>
      <c r="DK43" s="19">
        <f t="shared" si="132"/>
        <v>37776.90888653537</v>
      </c>
      <c r="DL43" s="19">
        <f t="shared" si="132"/>
        <v>37578.220559922927</v>
      </c>
      <c r="DM43" s="19">
        <f t="shared" si="132"/>
        <v>42327.628861131692</v>
      </c>
      <c r="DN43" s="19">
        <f t="shared" si="132"/>
        <v>40107.49970404528</v>
      </c>
      <c r="DO43" s="19">
        <f t="shared" si="132"/>
        <v>48630.410463480803</v>
      </c>
      <c r="DP43" s="19">
        <f t="shared" si="132"/>
        <v>50877.009866879249</v>
      </c>
      <c r="DQ43" s="19">
        <f t="shared" si="132"/>
        <v>45348.966292943747</v>
      </c>
      <c r="DR43" s="19">
        <f t="shared" si="132"/>
        <v>51075.832951818913</v>
      </c>
      <c r="DS43" s="19">
        <f t="shared" ref="DS43:ED43" si="133">DS12-DS27</f>
        <v>45732.193397028939</v>
      </c>
      <c r="DT43" s="19">
        <f t="shared" si="133"/>
        <v>45369.905902396597</v>
      </c>
      <c r="DU43" s="19">
        <f t="shared" si="133"/>
        <v>45124.286761007461</v>
      </c>
      <c r="DV43" s="19">
        <f t="shared" si="133"/>
        <v>47653.058434398728</v>
      </c>
      <c r="DW43" s="19">
        <f t="shared" si="133"/>
        <v>43229.545006824832</v>
      </c>
      <c r="DX43" s="19">
        <f t="shared" si="133"/>
        <v>42993.521623288565</v>
      </c>
      <c r="DY43" s="19">
        <f t="shared" si="133"/>
        <v>48388.489760853132</v>
      </c>
      <c r="DZ43" s="19">
        <f t="shared" si="133"/>
        <v>45847.573522879087</v>
      </c>
      <c r="EA43" s="19">
        <f t="shared" si="133"/>
        <v>55585.168730373953</v>
      </c>
      <c r="EB43" s="19">
        <f t="shared" si="133"/>
        <v>58153.041613045796</v>
      </c>
      <c r="EC43" s="19">
        <f t="shared" si="133"/>
        <v>51809.047559038241</v>
      </c>
      <c r="ED43" s="19">
        <f t="shared" si="133"/>
        <v>58330.789737717525</v>
      </c>
      <c r="EE43" s="222"/>
      <c r="EF43" s="19">
        <f>SUM(BK43:BM43)</f>
        <v>64886</v>
      </c>
      <c r="EG43" s="19">
        <f>SUM(BN43:BP43)</f>
        <v>57964</v>
      </c>
      <c r="EH43" s="19">
        <f>SUM(BQ43:BS43)</f>
        <v>66228</v>
      </c>
      <c r="EI43" s="19">
        <f>SUM(BT43:BV43)</f>
        <v>54294</v>
      </c>
      <c r="EJ43" s="19">
        <f>SUM(BW43:BY43)</f>
        <v>62878</v>
      </c>
      <c r="EK43" s="19">
        <f>SUM(BZ43:CB43)</f>
        <v>57251</v>
      </c>
      <c r="EL43" s="19">
        <f>SUM(CC43:CE43)</f>
        <v>59589</v>
      </c>
      <c r="EM43" s="19">
        <f>SUM(CF43:CH43)</f>
        <v>74259</v>
      </c>
      <c r="EN43" s="19">
        <f>SUM(CI43:CK43)</f>
        <v>77782.28571428571</v>
      </c>
      <c r="EO43" s="19">
        <f>SUM(CL43:CN43)</f>
        <v>81140</v>
      </c>
      <c r="EP43" s="19">
        <f>SUM(CO43:CQ43)</f>
        <v>90820</v>
      </c>
      <c r="EQ43" s="19">
        <f>SUM(CR43:CT43)</f>
        <v>109351</v>
      </c>
      <c r="ER43" s="19">
        <f>SUM(CU43:CW43)</f>
        <v>101355.32001592481</v>
      </c>
      <c r="ES43" s="19">
        <f>SUM(CX43:CZ43)</f>
        <v>100026.64309746031</v>
      </c>
      <c r="ET43" s="19">
        <f>SUM(DA43:DC43)</f>
        <v>112718.23775970403</v>
      </c>
      <c r="EU43" s="19">
        <f>SUM(DD43:DF43)</f>
        <v>127818.84043313301</v>
      </c>
      <c r="EV43" s="19">
        <f>SUM(DG43:DI43)</f>
        <v>118902.81984514339</v>
      </c>
      <c r="EW43" s="19">
        <f>SUM(DJ43:DL43)</f>
        <v>116982.78576481299</v>
      </c>
      <c r="EX43" s="19">
        <f>SUM(DM43:DO43)</f>
        <v>131065.53902865777</v>
      </c>
      <c r="EY43" s="19">
        <f>SUM(DP43:DR43)</f>
        <v>147301.80911164189</v>
      </c>
      <c r="EZ43" s="19">
        <f t="shared" si="23"/>
        <v>136226.386060433</v>
      </c>
      <c r="FA43" s="19">
        <f t="shared" si="24"/>
        <v>133876.12506451213</v>
      </c>
      <c r="FB43" s="19">
        <f t="shared" si="25"/>
        <v>149821.23201410618</v>
      </c>
      <c r="FC43" s="19">
        <f t="shared" si="26"/>
        <v>168292.87890980154</v>
      </c>
      <c r="FE43" s="19">
        <f t="shared" si="120"/>
        <v>243372</v>
      </c>
      <c r="FF43" s="19">
        <f t="shared" si="121"/>
        <v>253977</v>
      </c>
      <c r="FG43" s="19">
        <f t="shared" si="122"/>
        <v>359093.28571428568</v>
      </c>
      <c r="FH43" s="19">
        <f t="shared" si="123"/>
        <v>441919.04130622215</v>
      </c>
      <c r="FI43" s="19">
        <f t="shared" si="124"/>
        <v>514252.95375025604</v>
      </c>
      <c r="FJ43" s="770">
        <f t="shared" si="32"/>
        <v>588216.62204885285</v>
      </c>
      <c r="FK43" s="545" t="s">
        <v>1</v>
      </c>
    </row>
    <row r="44" spans="2:167" x14ac:dyDescent="0.2">
      <c r="B44" s="225" t="s">
        <v>309</v>
      </c>
      <c r="C44" s="19">
        <f>C13</f>
        <v>12462</v>
      </c>
      <c r="D44" s="19">
        <f t="shared" ref="D44:BO44" si="134">D13</f>
        <v>16130</v>
      </c>
      <c r="E44" s="19">
        <f t="shared" si="134"/>
        <v>15564</v>
      </c>
      <c r="F44" s="19">
        <f t="shared" si="134"/>
        <v>13358</v>
      </c>
      <c r="G44" s="19">
        <f t="shared" si="134"/>
        <v>7745</v>
      </c>
      <c r="H44" s="19">
        <f t="shared" si="134"/>
        <v>5065</v>
      </c>
      <c r="I44" s="19">
        <f t="shared" si="134"/>
        <v>6044</v>
      </c>
      <c r="J44" s="19">
        <f t="shared" si="134"/>
        <v>5387</v>
      </c>
      <c r="K44" s="19">
        <f t="shared" si="134"/>
        <v>5895</v>
      </c>
      <c r="L44" s="19">
        <f t="shared" si="134"/>
        <v>6032</v>
      </c>
      <c r="M44" s="19">
        <f t="shared" si="134"/>
        <v>5518</v>
      </c>
      <c r="N44" s="19">
        <f t="shared" si="134"/>
        <v>5797</v>
      </c>
      <c r="O44" s="19">
        <f t="shared" si="134"/>
        <v>5657</v>
      </c>
      <c r="P44" s="19">
        <f t="shared" si="134"/>
        <v>6260</v>
      </c>
      <c r="Q44" s="19">
        <f t="shared" si="134"/>
        <v>6234</v>
      </c>
      <c r="R44" s="19">
        <f t="shared" si="134"/>
        <v>7265</v>
      </c>
      <c r="S44" s="19">
        <f t="shared" si="134"/>
        <v>8260</v>
      </c>
      <c r="T44" s="19">
        <f t="shared" si="134"/>
        <v>8246</v>
      </c>
      <c r="U44" s="19">
        <f t="shared" si="134"/>
        <v>11201</v>
      </c>
      <c r="V44" s="19">
        <f t="shared" si="134"/>
        <v>8107</v>
      </c>
      <c r="W44" s="19">
        <f t="shared" si="134"/>
        <v>8643</v>
      </c>
      <c r="X44" s="19">
        <f t="shared" si="134"/>
        <v>10206</v>
      </c>
      <c r="Y44" s="19">
        <f t="shared" si="134"/>
        <v>9270</v>
      </c>
      <c r="Z44" s="19">
        <f t="shared" si="134"/>
        <v>7374</v>
      </c>
      <c r="AA44" s="19">
        <f t="shared" si="134"/>
        <v>95</v>
      </c>
      <c r="AB44" s="19">
        <f t="shared" si="134"/>
        <v>3900</v>
      </c>
      <c r="AC44" s="19">
        <f t="shared" si="134"/>
        <v>12423</v>
      </c>
      <c r="AD44" s="19">
        <f t="shared" si="134"/>
        <v>16894</v>
      </c>
      <c r="AE44" s="19">
        <f t="shared" si="134"/>
        <v>22072</v>
      </c>
      <c r="AF44" s="19">
        <f t="shared" si="134"/>
        <v>23273</v>
      </c>
      <c r="AG44" s="19">
        <f t="shared" si="134"/>
        <v>27669</v>
      </c>
      <c r="AH44" s="19">
        <f t="shared" si="134"/>
        <v>23476</v>
      </c>
      <c r="AI44" s="19">
        <f t="shared" si="134"/>
        <v>20166</v>
      </c>
      <c r="AJ44" s="19">
        <f t="shared" si="134"/>
        <v>24581</v>
      </c>
      <c r="AK44" s="19">
        <f t="shared" si="134"/>
        <v>21836</v>
      </c>
      <c r="AL44" s="19">
        <f t="shared" si="134"/>
        <v>24239</v>
      </c>
      <c r="AM44" s="19">
        <f t="shared" si="134"/>
        <v>18016</v>
      </c>
      <c r="AN44" s="19">
        <f t="shared" si="134"/>
        <v>8266</v>
      </c>
      <c r="AO44" s="19">
        <f t="shared" si="134"/>
        <v>26810</v>
      </c>
      <c r="AP44" s="19">
        <f t="shared" si="134"/>
        <v>33947</v>
      </c>
      <c r="AQ44" s="19">
        <f t="shared" si="134"/>
        <v>39124</v>
      </c>
      <c r="AR44" s="19">
        <f t="shared" si="134"/>
        <v>39601</v>
      </c>
      <c r="AS44" s="19">
        <f t="shared" si="134"/>
        <v>52331</v>
      </c>
      <c r="AT44" s="19">
        <f t="shared" si="134"/>
        <v>34852</v>
      </c>
      <c r="AU44" s="19">
        <f t="shared" si="134"/>
        <v>38477</v>
      </c>
      <c r="AV44" s="19">
        <f t="shared" si="134"/>
        <v>40669</v>
      </c>
      <c r="AW44" s="19">
        <f t="shared" si="134"/>
        <v>37435</v>
      </c>
      <c r="AX44" s="19">
        <f t="shared" si="134"/>
        <v>47022</v>
      </c>
      <c r="AY44" s="19">
        <f t="shared" si="134"/>
        <v>42384</v>
      </c>
      <c r="AZ44" s="19">
        <f t="shared" si="134"/>
        <v>41540</v>
      </c>
      <c r="BA44" s="19">
        <f t="shared" si="134"/>
        <v>47337</v>
      </c>
      <c r="BB44" s="19">
        <f t="shared" si="134"/>
        <v>45196</v>
      </c>
      <c r="BC44" s="19">
        <f t="shared" si="134"/>
        <v>43482</v>
      </c>
      <c r="BD44" s="19">
        <f t="shared" si="134"/>
        <v>51187</v>
      </c>
      <c r="BE44" s="19">
        <f t="shared" si="134"/>
        <v>51956</v>
      </c>
      <c r="BF44" s="19">
        <f t="shared" si="134"/>
        <v>39058</v>
      </c>
      <c r="BG44" s="19">
        <f t="shared" si="134"/>
        <v>41562</v>
      </c>
      <c r="BH44" s="19">
        <f t="shared" si="134"/>
        <v>47563</v>
      </c>
      <c r="BI44" s="19">
        <f t="shared" si="134"/>
        <v>44375</v>
      </c>
      <c r="BJ44" s="19">
        <f t="shared" si="134"/>
        <v>50068</v>
      </c>
      <c r="BK44" s="19">
        <f t="shared" si="134"/>
        <v>54192</v>
      </c>
      <c r="BL44" s="19">
        <f t="shared" si="134"/>
        <v>58147</v>
      </c>
      <c r="BM44" s="19">
        <f t="shared" si="134"/>
        <v>55196</v>
      </c>
      <c r="BN44" s="19">
        <f t="shared" si="134"/>
        <v>57834</v>
      </c>
      <c r="BO44" s="19">
        <f t="shared" si="134"/>
        <v>58192</v>
      </c>
      <c r="BP44" s="19">
        <f t="shared" ref="BP44:DR44" si="135">BP13</f>
        <v>52716</v>
      </c>
      <c r="BQ44" s="19">
        <f t="shared" si="135"/>
        <v>76285</v>
      </c>
      <c r="BR44" s="19">
        <f t="shared" si="135"/>
        <v>61963</v>
      </c>
      <c r="BS44" s="19">
        <f t="shared" si="135"/>
        <v>55860</v>
      </c>
      <c r="BT44" s="19">
        <f t="shared" si="135"/>
        <v>59120</v>
      </c>
      <c r="BU44" s="19">
        <f t="shared" si="135"/>
        <v>53513</v>
      </c>
      <c r="BV44" s="19">
        <f t="shared" si="135"/>
        <v>55133</v>
      </c>
      <c r="BW44" s="19">
        <f t="shared" si="135"/>
        <v>52304</v>
      </c>
      <c r="BX44" s="19">
        <f t="shared" si="135"/>
        <v>59813</v>
      </c>
      <c r="BY44" s="19">
        <f t="shared" si="135"/>
        <v>54260</v>
      </c>
      <c r="BZ44" s="19">
        <f t="shared" si="135"/>
        <v>61976</v>
      </c>
      <c r="CA44" s="19">
        <f t="shared" si="135"/>
        <v>60546</v>
      </c>
      <c r="CB44" s="19">
        <f t="shared" si="135"/>
        <v>56776</v>
      </c>
      <c r="CC44" s="19">
        <f t="shared" si="135"/>
        <v>78506</v>
      </c>
      <c r="CD44" s="19">
        <f t="shared" si="135"/>
        <v>57876</v>
      </c>
      <c r="CE44" s="19">
        <f t="shared" si="135"/>
        <v>58235</v>
      </c>
      <c r="CF44" s="19">
        <f t="shared" si="135"/>
        <v>62843</v>
      </c>
      <c r="CG44" s="19">
        <f t="shared" si="135"/>
        <v>58630</v>
      </c>
      <c r="CH44" s="19">
        <f t="shared" si="135"/>
        <v>59318</v>
      </c>
      <c r="CI44" s="19">
        <f t="shared" si="135"/>
        <v>59845</v>
      </c>
      <c r="CJ44" s="19">
        <f t="shared" si="135"/>
        <v>65209</v>
      </c>
      <c r="CK44" s="19">
        <f t="shared" si="135"/>
        <v>64438</v>
      </c>
      <c r="CL44" s="19">
        <f t="shared" si="135"/>
        <v>70452</v>
      </c>
      <c r="CM44" s="19">
        <f t="shared" si="135"/>
        <v>65759</v>
      </c>
      <c r="CN44" s="19">
        <f t="shared" si="135"/>
        <v>76391</v>
      </c>
      <c r="CO44" s="19">
        <f t="shared" si="135"/>
        <v>94429</v>
      </c>
      <c r="CP44" s="19">
        <f t="shared" si="135"/>
        <v>69898</v>
      </c>
      <c r="CQ44" s="19">
        <f t="shared" si="135"/>
        <v>72218</v>
      </c>
      <c r="CR44" s="19">
        <f t="shared" si="135"/>
        <v>75770</v>
      </c>
      <c r="CS44" s="19">
        <f t="shared" si="135"/>
        <v>64966</v>
      </c>
      <c r="CT44" s="19">
        <f t="shared" si="135"/>
        <v>78919</v>
      </c>
      <c r="CU44" s="19">
        <f t="shared" si="135"/>
        <v>74806.25</v>
      </c>
      <c r="CV44" s="19">
        <f t="shared" si="135"/>
        <v>81511.25</v>
      </c>
      <c r="CW44" s="19">
        <f t="shared" si="135"/>
        <v>80547.5</v>
      </c>
      <c r="CX44" s="19">
        <f t="shared" si="135"/>
        <v>88065</v>
      </c>
      <c r="CY44" s="19">
        <f t="shared" si="135"/>
        <v>82198.75</v>
      </c>
      <c r="CZ44" s="19">
        <f t="shared" si="135"/>
        <v>95488.75</v>
      </c>
      <c r="DA44" s="19">
        <f t="shared" si="135"/>
        <v>118036.25</v>
      </c>
      <c r="DB44" s="19">
        <f t="shared" si="135"/>
        <v>87372.5</v>
      </c>
      <c r="DC44" s="19">
        <f t="shared" si="135"/>
        <v>90272.5</v>
      </c>
      <c r="DD44" s="19">
        <f t="shared" si="135"/>
        <v>94712.5</v>
      </c>
      <c r="DE44" s="19">
        <f t="shared" si="135"/>
        <v>81207.5</v>
      </c>
      <c r="DF44" s="19">
        <f t="shared" si="135"/>
        <v>98648.75</v>
      </c>
      <c r="DG44" s="19">
        <f t="shared" si="135"/>
        <v>89767.5</v>
      </c>
      <c r="DH44" s="19">
        <f t="shared" si="135"/>
        <v>97813.5</v>
      </c>
      <c r="DI44" s="19">
        <f t="shared" si="135"/>
        <v>96657</v>
      </c>
      <c r="DJ44" s="19">
        <f t="shared" si="135"/>
        <v>105678</v>
      </c>
      <c r="DK44" s="19">
        <f t="shared" si="135"/>
        <v>98638.5</v>
      </c>
      <c r="DL44" s="19">
        <f t="shared" si="135"/>
        <v>114586.5</v>
      </c>
      <c r="DM44" s="19">
        <f t="shared" si="135"/>
        <v>141643.5</v>
      </c>
      <c r="DN44" s="19">
        <f t="shared" si="135"/>
        <v>104847</v>
      </c>
      <c r="DO44" s="19">
        <f t="shared" si="135"/>
        <v>108327</v>
      </c>
      <c r="DP44" s="19">
        <f t="shared" si="135"/>
        <v>113655</v>
      </c>
      <c r="DQ44" s="19">
        <f t="shared" si="135"/>
        <v>97449</v>
      </c>
      <c r="DR44" s="19">
        <f t="shared" si="135"/>
        <v>118378.5</v>
      </c>
      <c r="DS44" s="19">
        <f t="shared" ref="DS44:ED44" si="136">DS13</f>
        <v>103232.62499999999</v>
      </c>
      <c r="DT44" s="19">
        <f t="shared" si="136"/>
        <v>112485.52499999999</v>
      </c>
      <c r="DU44" s="19">
        <f t="shared" si="136"/>
        <v>111155.54999999999</v>
      </c>
      <c r="DV44" s="19">
        <f t="shared" si="136"/>
        <v>121529.7</v>
      </c>
      <c r="DW44" s="19">
        <f t="shared" si="136"/>
        <v>113434.27499999999</v>
      </c>
      <c r="DX44" s="19">
        <f t="shared" si="136"/>
        <v>131774.47499999998</v>
      </c>
      <c r="DY44" s="19">
        <f t="shared" si="136"/>
        <v>162890.02499999999</v>
      </c>
      <c r="DZ44" s="19">
        <f t="shared" si="136"/>
        <v>120574.04999999999</v>
      </c>
      <c r="EA44" s="19">
        <f t="shared" si="136"/>
        <v>124576.04999999999</v>
      </c>
      <c r="EB44" s="19">
        <f t="shared" si="136"/>
        <v>130703.24999999999</v>
      </c>
      <c r="EC44" s="19">
        <f t="shared" si="136"/>
        <v>112066.34999999999</v>
      </c>
      <c r="ED44" s="19">
        <f t="shared" si="136"/>
        <v>136135.27499999999</v>
      </c>
      <c r="EE44" s="222"/>
      <c r="EF44" s="19">
        <f>SUM(BK44:BM44)</f>
        <v>167535</v>
      </c>
      <c r="EG44" s="19">
        <f>SUM(BN44:BP44)</f>
        <v>168742</v>
      </c>
      <c r="EH44" s="19">
        <f>SUM(BQ44:BS44)</f>
        <v>194108</v>
      </c>
      <c r="EI44" s="19">
        <f>SUM(BT44:BV44)</f>
        <v>167766</v>
      </c>
      <c r="EJ44" s="19">
        <f>SUM(BW44:BY44)</f>
        <v>166377</v>
      </c>
      <c r="EK44" s="19">
        <f>SUM(BZ44:CB44)</f>
        <v>179298</v>
      </c>
      <c r="EL44" s="19">
        <f>SUM(CC44:CE44)</f>
        <v>194617</v>
      </c>
      <c r="EM44" s="19">
        <f>SUM(CF44:CH44)</f>
        <v>180791</v>
      </c>
      <c r="EN44" s="19">
        <f>SUM(CI44:CK44)</f>
        <v>189492</v>
      </c>
      <c r="EO44" s="19">
        <f>SUM(CL44:CN44)</f>
        <v>212602</v>
      </c>
      <c r="EP44" s="19">
        <f>SUM(CO44:CQ44)</f>
        <v>236545</v>
      </c>
      <c r="EQ44" s="19">
        <f>SUM(CR44:CT44)</f>
        <v>219655</v>
      </c>
      <c r="ER44" s="19">
        <f>SUM(CU44:CW44)</f>
        <v>236865</v>
      </c>
      <c r="ES44" s="19">
        <f>SUM(CX44:CZ44)</f>
        <v>265752.5</v>
      </c>
      <c r="ET44" s="19">
        <f>SUM(DA44:DC44)</f>
        <v>295681.25</v>
      </c>
      <c r="EU44" s="19">
        <f>SUM(DD44:DF44)</f>
        <v>274568.75</v>
      </c>
      <c r="EV44" s="19">
        <f>SUM(DG44:DI44)</f>
        <v>284238</v>
      </c>
      <c r="EW44" s="19">
        <f>SUM(DJ44:DL44)</f>
        <v>318903</v>
      </c>
      <c r="EX44" s="19">
        <f>SUM(DM44:DO44)</f>
        <v>354817.5</v>
      </c>
      <c r="EY44" s="19">
        <f>SUM(DP44:DR44)</f>
        <v>329482.5</v>
      </c>
      <c r="EZ44" s="19">
        <f t="shared" si="23"/>
        <v>326873.69999999995</v>
      </c>
      <c r="FA44" s="19">
        <f t="shared" si="24"/>
        <v>366738.44999999995</v>
      </c>
      <c r="FB44" s="19">
        <f t="shared" si="25"/>
        <v>408040.12499999994</v>
      </c>
      <c r="FC44" s="19">
        <f t="shared" si="26"/>
        <v>378904.875</v>
      </c>
      <c r="FE44" s="19">
        <f t="shared" si="120"/>
        <v>698151</v>
      </c>
      <c r="FF44" s="19">
        <f t="shared" si="121"/>
        <v>721083</v>
      </c>
      <c r="FG44" s="19">
        <f t="shared" si="122"/>
        <v>858294</v>
      </c>
      <c r="FH44" s="19">
        <f t="shared" si="123"/>
        <v>1072867.5</v>
      </c>
      <c r="FI44" s="19">
        <f t="shared" si="124"/>
        <v>1287441</v>
      </c>
      <c r="FJ44" s="770">
        <f t="shared" si="32"/>
        <v>1480557.15</v>
      </c>
      <c r="FK44" s="545" t="s">
        <v>1</v>
      </c>
    </row>
    <row r="45" spans="2:167" x14ac:dyDescent="0.2">
      <c r="B45" s="225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222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E45" s="19"/>
      <c r="FF45" s="19"/>
      <c r="FG45" s="19"/>
      <c r="FH45" s="19"/>
      <c r="FI45" s="19"/>
      <c r="FJ45" s="770"/>
      <c r="FK45" s="545"/>
    </row>
    <row r="46" spans="2:167" x14ac:dyDescent="0.2">
      <c r="B46" s="223" t="s">
        <v>10</v>
      </c>
      <c r="C46" s="297">
        <f>SUM(C47:C52)</f>
        <v>139725171.82000002</v>
      </c>
      <c r="D46" s="297">
        <f t="shared" ref="D46:BO46" si="137">SUM(D47:D52)</f>
        <v>135226523.70000002</v>
      </c>
      <c r="E46" s="297">
        <f t="shared" si="137"/>
        <v>148279063.85471711</v>
      </c>
      <c r="F46" s="297">
        <f t="shared" si="137"/>
        <v>173345829.71374622</v>
      </c>
      <c r="G46" s="297">
        <f t="shared" si="137"/>
        <v>196103511.05635259</v>
      </c>
      <c r="H46" s="297">
        <f t="shared" si="137"/>
        <v>202094711.54430979</v>
      </c>
      <c r="I46" s="297">
        <f t="shared" si="137"/>
        <v>217792493.96000001</v>
      </c>
      <c r="J46" s="297">
        <f t="shared" si="137"/>
        <v>208939857.52000001</v>
      </c>
      <c r="K46" s="297">
        <f t="shared" si="137"/>
        <v>264393069.03999999</v>
      </c>
      <c r="L46" s="297">
        <f t="shared" si="137"/>
        <v>261582931.93071428</v>
      </c>
      <c r="M46" s="297">
        <f t="shared" si="137"/>
        <v>272079791.75512028</v>
      </c>
      <c r="N46" s="297">
        <f t="shared" si="137"/>
        <v>256628097.21928573</v>
      </c>
      <c r="O46" s="297">
        <f t="shared" si="137"/>
        <v>327373266.35203481</v>
      </c>
      <c r="P46" s="297">
        <f t="shared" si="137"/>
        <v>329127292.21129626</v>
      </c>
      <c r="Q46" s="297">
        <f t="shared" si="137"/>
        <v>341672244.19500005</v>
      </c>
      <c r="R46" s="297">
        <f t="shared" si="137"/>
        <v>362548660.49063677</v>
      </c>
      <c r="S46" s="297">
        <f t="shared" si="137"/>
        <v>289378089.91539514</v>
      </c>
      <c r="T46" s="297">
        <f t="shared" si="137"/>
        <v>268624965.90555185</v>
      </c>
      <c r="U46" s="297">
        <f t="shared" si="137"/>
        <v>231777458.1998131</v>
      </c>
      <c r="V46" s="297">
        <f t="shared" si="137"/>
        <v>246826801.80059794</v>
      </c>
      <c r="W46" s="297">
        <f t="shared" si="137"/>
        <v>291257519.64609247</v>
      </c>
      <c r="X46" s="297">
        <f t="shared" si="137"/>
        <v>300765934.28119445</v>
      </c>
      <c r="Y46" s="297">
        <f t="shared" si="137"/>
        <v>324109118.04547316</v>
      </c>
      <c r="Z46" s="297">
        <f t="shared" si="137"/>
        <v>213218543.76335713</v>
      </c>
      <c r="AA46" s="297">
        <f t="shared" si="137"/>
        <v>-3088128.66</v>
      </c>
      <c r="AB46" s="297">
        <f t="shared" si="137"/>
        <v>173497955.75759628</v>
      </c>
      <c r="AC46" s="297">
        <f t="shared" si="137"/>
        <v>185822371.95523065</v>
      </c>
      <c r="AD46" s="297">
        <f t="shared" si="137"/>
        <v>163385312.32882425</v>
      </c>
      <c r="AE46" s="297">
        <f t="shared" si="137"/>
        <v>250979509.86239281</v>
      </c>
      <c r="AF46" s="297">
        <f t="shared" si="137"/>
        <v>262747362.56851706</v>
      </c>
      <c r="AG46" s="297">
        <f t="shared" si="137"/>
        <v>254311464.81009653</v>
      </c>
      <c r="AH46" s="297">
        <f t="shared" si="137"/>
        <v>293039895.51785785</v>
      </c>
      <c r="AI46" s="297">
        <f t="shared" si="137"/>
        <v>466396850.67792237</v>
      </c>
      <c r="AJ46" s="297">
        <f t="shared" si="137"/>
        <v>433428926.14610338</v>
      </c>
      <c r="AK46" s="297">
        <f t="shared" si="137"/>
        <v>485293086.87158597</v>
      </c>
      <c r="AL46" s="297">
        <f t="shared" si="137"/>
        <v>428196623.2584247</v>
      </c>
      <c r="AM46" s="297">
        <f t="shared" si="137"/>
        <v>293703057.34656405</v>
      </c>
      <c r="AN46" s="297">
        <f t="shared" si="137"/>
        <v>132760630.86</v>
      </c>
      <c r="AO46" s="297">
        <f t="shared" si="137"/>
        <v>303862628.92498255</v>
      </c>
      <c r="AP46" s="297">
        <f t="shared" si="137"/>
        <v>415446595.26000005</v>
      </c>
      <c r="AQ46" s="297">
        <f t="shared" si="137"/>
        <v>425349455.9961499</v>
      </c>
      <c r="AR46" s="297">
        <f t="shared" si="137"/>
        <v>434488327.74000013</v>
      </c>
      <c r="AS46" s="297">
        <f t="shared" si="137"/>
        <v>414520013.88000029</v>
      </c>
      <c r="AT46" s="297">
        <f t="shared" si="137"/>
        <v>488740251.13839984</v>
      </c>
      <c r="AU46" s="297">
        <f t="shared" si="137"/>
        <v>618287914.59560955</v>
      </c>
      <c r="AV46" s="297">
        <f t="shared" si="137"/>
        <v>602283472.9032023</v>
      </c>
      <c r="AW46" s="297">
        <f t="shared" si="137"/>
        <v>608978646.36239624</v>
      </c>
      <c r="AX46" s="297">
        <f t="shared" si="137"/>
        <v>570018058.658566</v>
      </c>
      <c r="AY46" s="297">
        <f t="shared" si="137"/>
        <v>515543900.34439605</v>
      </c>
      <c r="AZ46" s="297">
        <f t="shared" si="137"/>
        <v>588752901.1440047</v>
      </c>
      <c r="BA46" s="297">
        <f t="shared" si="137"/>
        <v>525839917.84837967</v>
      </c>
      <c r="BB46" s="297">
        <f t="shared" si="137"/>
        <v>562776018.87356973</v>
      </c>
      <c r="BC46" s="297">
        <f t="shared" si="137"/>
        <v>572863300.75655699</v>
      </c>
      <c r="BD46" s="297">
        <f t="shared" si="137"/>
        <v>579778233.62533462</v>
      </c>
      <c r="BE46" s="297">
        <f t="shared" si="137"/>
        <v>678031156.64738905</v>
      </c>
      <c r="BF46" s="297">
        <f t="shared" si="137"/>
        <v>708513949.4374733</v>
      </c>
      <c r="BG46" s="297">
        <f t="shared" si="137"/>
        <v>868442726.86620414</v>
      </c>
      <c r="BH46" s="297">
        <f t="shared" si="137"/>
        <v>861060643.64693439</v>
      </c>
      <c r="BI46" s="297">
        <f t="shared" si="137"/>
        <v>787782200.6242516</v>
      </c>
      <c r="BJ46" s="297">
        <f t="shared" si="137"/>
        <v>969040807.46350217</v>
      </c>
      <c r="BK46" s="297">
        <f t="shared" si="137"/>
        <v>945032380.09946454</v>
      </c>
      <c r="BL46" s="297">
        <f t="shared" si="137"/>
        <v>953447049.79045534</v>
      </c>
      <c r="BM46" s="297">
        <f t="shared" si="137"/>
        <v>887071692.75080013</v>
      </c>
      <c r="BN46" s="297">
        <f t="shared" si="137"/>
        <v>776111118.82819641</v>
      </c>
      <c r="BO46" s="297">
        <f t="shared" si="137"/>
        <v>820521206.04243183</v>
      </c>
      <c r="BP46" s="297">
        <f t="shared" ref="BP46:DR46" si="138">SUM(BP47:BP52)</f>
        <v>801948977.17238271</v>
      </c>
      <c r="BQ46" s="297">
        <f t="shared" si="138"/>
        <v>1029154100.5131032</v>
      </c>
      <c r="BR46" s="297">
        <f t="shared" si="138"/>
        <v>965634350.10717261</v>
      </c>
      <c r="BS46" s="297">
        <f t="shared" si="138"/>
        <v>868967784.85421205</v>
      </c>
      <c r="BT46" s="297">
        <f t="shared" si="138"/>
        <v>821113898.18454432</v>
      </c>
      <c r="BU46" s="297">
        <f t="shared" si="138"/>
        <v>751634871.53490865</v>
      </c>
      <c r="BV46" s="297">
        <f t="shared" si="138"/>
        <v>879888263.57654214</v>
      </c>
      <c r="BW46" s="297">
        <f t="shared" si="138"/>
        <v>897149448.68260634</v>
      </c>
      <c r="BX46" s="297">
        <f t="shared" si="138"/>
        <v>934231753.57389736</v>
      </c>
      <c r="BY46" s="297">
        <f t="shared" si="138"/>
        <v>947469876.63216114</v>
      </c>
      <c r="BZ46" s="297">
        <f t="shared" si="138"/>
        <v>933019706.41171682</v>
      </c>
      <c r="CA46" s="297">
        <f t="shared" si="138"/>
        <v>857200084.34217668</v>
      </c>
      <c r="CB46" s="297">
        <f t="shared" si="138"/>
        <v>791370703.43732429</v>
      </c>
      <c r="CC46" s="297">
        <f t="shared" si="138"/>
        <v>979897600.28954315</v>
      </c>
      <c r="CD46" s="297">
        <f t="shared" si="138"/>
        <v>927141365.82595778</v>
      </c>
      <c r="CE46" s="297">
        <f t="shared" si="138"/>
        <v>1073307326.0794073</v>
      </c>
      <c r="CF46" s="297">
        <f t="shared" si="138"/>
        <v>1171130080.1557164</v>
      </c>
      <c r="CG46" s="297">
        <f t="shared" si="138"/>
        <v>1196155428.6369457</v>
      </c>
      <c r="CH46" s="297">
        <f t="shared" si="138"/>
        <v>1500723610.7375352</v>
      </c>
      <c r="CI46" s="297">
        <f t="shared" si="138"/>
        <v>1350665915.3855972</v>
      </c>
      <c r="CJ46" s="297">
        <f t="shared" si="138"/>
        <v>1334663148.3951573</v>
      </c>
      <c r="CK46" s="297">
        <f t="shared" si="138"/>
        <v>1334289727.4262433</v>
      </c>
      <c r="CL46" s="297">
        <f t="shared" si="138"/>
        <v>1402784218.5591717</v>
      </c>
      <c r="CM46" s="297">
        <f t="shared" si="138"/>
        <v>1207772301.6420002</v>
      </c>
      <c r="CN46" s="297">
        <f t="shared" si="138"/>
        <v>1225649194.4485009</v>
      </c>
      <c r="CO46" s="297">
        <f t="shared" si="138"/>
        <v>1475522206.7628887</v>
      </c>
      <c r="CP46" s="297">
        <f t="shared" si="138"/>
        <v>1472701201.7530003</v>
      </c>
      <c r="CQ46" s="297">
        <f t="shared" si="138"/>
        <v>1787042473.4419951</v>
      </c>
      <c r="CR46" s="297">
        <f t="shared" si="138"/>
        <v>1923172626.388639</v>
      </c>
      <c r="CS46" s="297">
        <f t="shared" si="138"/>
        <v>1745181665.7499552</v>
      </c>
      <c r="CT46" s="297">
        <f t="shared" si="138"/>
        <v>1953187674.2432482</v>
      </c>
      <c r="CU46" s="297">
        <f t="shared" si="138"/>
        <v>1799898175.3761306</v>
      </c>
      <c r="CV46" s="297">
        <f t="shared" si="138"/>
        <v>1820089565.6018174</v>
      </c>
      <c r="CW46" s="297">
        <f t="shared" si="138"/>
        <v>1779413673.420512</v>
      </c>
      <c r="CX46" s="297">
        <f t="shared" si="138"/>
        <v>1851138630.9329894</v>
      </c>
      <c r="CY46" s="297">
        <f t="shared" si="138"/>
        <v>1700774620.7144024</v>
      </c>
      <c r="CZ46" s="297">
        <f t="shared" si="138"/>
        <v>1635644626.6418822</v>
      </c>
      <c r="DA46" s="297">
        <f t="shared" si="138"/>
        <v>1880626417.7022052</v>
      </c>
      <c r="DB46" s="297">
        <f t="shared" si="138"/>
        <v>1924777543.5491378</v>
      </c>
      <c r="DC46" s="297">
        <f t="shared" si="138"/>
        <v>2235087643.4840674</v>
      </c>
      <c r="DD46" s="297">
        <f t="shared" si="138"/>
        <v>2247310067.4470549</v>
      </c>
      <c r="DE46" s="297">
        <f t="shared" si="138"/>
        <v>2078000398.270596</v>
      </c>
      <c r="DF46" s="297">
        <f t="shared" si="138"/>
        <v>2237723991.5040908</v>
      </c>
      <c r="DG46" s="297">
        <f t="shared" si="138"/>
        <v>2200009677.8455882</v>
      </c>
      <c r="DH46" s="297">
        <f t="shared" si="138"/>
        <v>2227141313.8515306</v>
      </c>
      <c r="DI46" s="297">
        <f t="shared" si="138"/>
        <v>2171813397.7625594</v>
      </c>
      <c r="DJ46" s="297">
        <f t="shared" si="138"/>
        <v>2258170008.0553093</v>
      </c>
      <c r="DK46" s="297">
        <f t="shared" si="138"/>
        <v>2072843957.500015</v>
      </c>
      <c r="DL46" s="297">
        <f t="shared" si="138"/>
        <v>1987761698.0088568</v>
      </c>
      <c r="DM46" s="297">
        <f t="shared" si="138"/>
        <v>2285603912.5519514</v>
      </c>
      <c r="DN46" s="297">
        <f t="shared" si="138"/>
        <v>2340598311.0094633</v>
      </c>
      <c r="DO46" s="297">
        <f t="shared" si="138"/>
        <v>2712793263.4387088</v>
      </c>
      <c r="DP46" s="297">
        <f t="shared" si="138"/>
        <v>2720418210.5311213</v>
      </c>
      <c r="DQ46" s="297">
        <f t="shared" si="138"/>
        <v>2512784542.6848435</v>
      </c>
      <c r="DR46" s="297">
        <f t="shared" si="138"/>
        <v>2688875007.7701435</v>
      </c>
      <c r="DS46" s="297">
        <f t="shared" ref="DS46:ED46" si="139">SUM(DS47:DS52)</f>
        <v>2576673638.0848999</v>
      </c>
      <c r="DT46" s="297">
        <f t="shared" si="139"/>
        <v>2608787392.5441384</v>
      </c>
      <c r="DU46" s="297">
        <f t="shared" si="139"/>
        <v>2541952155.1105199</v>
      </c>
      <c r="DV46" s="297">
        <f t="shared" si="139"/>
        <v>2640188252.0500097</v>
      </c>
      <c r="DW46" s="297">
        <f t="shared" si="139"/>
        <v>2423493210.2939138</v>
      </c>
      <c r="DX46" s="297">
        <f t="shared" si="139"/>
        <v>2322073818.8359241</v>
      </c>
      <c r="DY46" s="297">
        <f t="shared" si="139"/>
        <v>2667232865.1590152</v>
      </c>
      <c r="DZ46" s="297">
        <f t="shared" si="139"/>
        <v>2739562651.6767578</v>
      </c>
      <c r="EA46" s="297">
        <f t="shared" si="139"/>
        <v>3174411572.5293436</v>
      </c>
      <c r="EB46" s="297">
        <f t="shared" si="139"/>
        <v>3181250644.09343</v>
      </c>
      <c r="EC46" s="297">
        <f t="shared" si="139"/>
        <v>2938122392.934516</v>
      </c>
      <c r="ED46" s="297">
        <f t="shared" si="139"/>
        <v>3137847787.9950528</v>
      </c>
      <c r="EE46" s="222"/>
      <c r="EF46" s="297">
        <f t="shared" ref="EF46:EF52" si="140">SUM(BK46:BM46)</f>
        <v>2785551122.6407199</v>
      </c>
      <c r="EG46" s="297">
        <f t="shared" ref="EG46:EG52" si="141">SUM(BN46:BP46)</f>
        <v>2398581302.0430112</v>
      </c>
      <c r="EH46" s="297">
        <f t="shared" ref="EH46:EH52" si="142">SUM(BQ46:BS46)</f>
        <v>2863756235.4744883</v>
      </c>
      <c r="EI46" s="297">
        <f t="shared" ref="EI46:EI52" si="143">SUM(BT46:BV46)</f>
        <v>2452637033.2959948</v>
      </c>
      <c r="EJ46" s="297">
        <f t="shared" ref="EJ46:EJ52" si="144">SUM(BW46:BY46)</f>
        <v>2778851078.8886647</v>
      </c>
      <c r="EK46" s="297">
        <f t="shared" ref="EK46:EK52" si="145">SUM(BZ46:CB46)</f>
        <v>2581590494.1912174</v>
      </c>
      <c r="EL46" s="297">
        <f t="shared" ref="EL46:EL52" si="146">SUM(CC46:CE46)</f>
        <v>2980346292.1949081</v>
      </c>
      <c r="EM46" s="297">
        <f t="shared" ref="EM46:EM52" si="147">SUM(CF46:CH46)</f>
        <v>3868009119.5301971</v>
      </c>
      <c r="EN46" s="297">
        <f t="shared" ref="EN46:EN52" si="148">SUM(CI46:CK46)</f>
        <v>4019618791.2069979</v>
      </c>
      <c r="EO46" s="297">
        <f t="shared" ref="EO46:EO52" si="149">SUM(CL46:CN46)</f>
        <v>3836205714.6496725</v>
      </c>
      <c r="EP46" s="297">
        <f t="shared" ref="EP46:EP52" si="150">SUM(CO46:CQ46)</f>
        <v>4735265881.9578838</v>
      </c>
      <c r="EQ46" s="297">
        <f t="shared" ref="EQ46:EQ52" si="151">SUM(CR46:CT46)</f>
        <v>5621541966.3818426</v>
      </c>
      <c r="ER46" s="297">
        <f t="shared" ref="ER46:ER52" si="152">SUM(CU46:CW46)</f>
        <v>5399401414.3984604</v>
      </c>
      <c r="ES46" s="297">
        <f t="shared" ref="ES46:ES52" si="153">SUM(CX46:CZ46)</f>
        <v>5187557878.2892742</v>
      </c>
      <c r="ET46" s="297">
        <f t="shared" ref="ET46:ET52" si="154">SUM(DA46:DC46)</f>
        <v>6040491604.7354107</v>
      </c>
      <c r="EU46" s="297">
        <f t="shared" ref="EU46:EU52" si="155">SUM(DD46:DF46)</f>
        <v>6563034457.2217426</v>
      </c>
      <c r="EV46" s="297">
        <f t="shared" ref="EV46:EV52" si="156">SUM(DG46:DI46)</f>
        <v>6598964389.4596786</v>
      </c>
      <c r="EW46" s="297">
        <f t="shared" ref="EW46:EW52" si="157">SUM(DJ46:DL46)</f>
        <v>6318775663.5641813</v>
      </c>
      <c r="EX46" s="297">
        <f t="shared" ref="EX46:EX52" si="158">SUM(DM46:DO46)</f>
        <v>7338995487.000124</v>
      </c>
      <c r="EY46" s="297">
        <f t="shared" ref="EY46:EY52" si="159">SUM(DP46:DR46)</f>
        <v>7922077760.9861088</v>
      </c>
      <c r="EZ46" s="297">
        <f t="shared" si="23"/>
        <v>7727413185.7395573</v>
      </c>
      <c r="FA46" s="297">
        <f t="shared" si="24"/>
        <v>7385755281.1798477</v>
      </c>
      <c r="FB46" s="297">
        <f t="shared" si="25"/>
        <v>8581207089.3651171</v>
      </c>
      <c r="FC46" s="297">
        <f t="shared" si="26"/>
        <v>9257220825.0229988</v>
      </c>
      <c r="FE46" s="297">
        <f t="shared" si="120"/>
        <v>10500525693.454214</v>
      </c>
      <c r="FF46" s="297">
        <f t="shared" si="121"/>
        <v>12208796984.804987</v>
      </c>
      <c r="FG46" s="297">
        <f t="shared" si="122"/>
        <v>18212632354.196396</v>
      </c>
      <c r="FH46" s="297">
        <f t="shared" si="123"/>
        <v>23190485354.64489</v>
      </c>
      <c r="FI46" s="297">
        <f t="shared" si="124"/>
        <v>28178813301.010094</v>
      </c>
      <c r="FJ46" s="774">
        <f t="shared" si="32"/>
        <v>32951596381.307522</v>
      </c>
      <c r="FK46" s="545" t="s">
        <v>1</v>
      </c>
    </row>
    <row r="47" spans="2:167" x14ac:dyDescent="0.2">
      <c r="B47" s="225" t="s">
        <v>304</v>
      </c>
      <c r="C47" s="19">
        <f>'B2B- Non Repair'!C23</f>
        <v>127373162</v>
      </c>
      <c r="D47" s="19">
        <f>'B2B- Non Repair'!D23</f>
        <v>119525214</v>
      </c>
      <c r="E47" s="19">
        <f>'B2B- Non Repair'!E23</f>
        <v>133618915.88573273</v>
      </c>
      <c r="F47" s="19">
        <f>'B2B- Non Repair'!F23</f>
        <v>155721260.4144277</v>
      </c>
      <c r="G47" s="19">
        <f>'B2B- Non Repair'!G23</f>
        <v>182921172.49998167</v>
      </c>
      <c r="H47" s="19">
        <f>'B2B- Non Repair'!H23</f>
        <v>190468885</v>
      </c>
      <c r="I47" s="19">
        <f>'B2B- Non Repair'!I23</f>
        <v>203496304</v>
      </c>
      <c r="J47" s="19">
        <f>'B2B- Non Repair'!J23</f>
        <v>191306750</v>
      </c>
      <c r="K47" s="19">
        <f>'B2B- Non Repair'!K23</f>
        <v>241759536</v>
      </c>
      <c r="L47" s="19">
        <f>'B2B- Non Repair'!L23</f>
        <v>234336044</v>
      </c>
      <c r="M47" s="19">
        <f>'B2B- Non Repair'!M23</f>
        <v>238581665.40440598</v>
      </c>
      <c r="N47" s="19">
        <f>'B2B- Non Repair'!N23</f>
        <v>208964937</v>
      </c>
      <c r="O47" s="19">
        <f>'B2B- Non Repair'!O23</f>
        <v>269447912.26024622</v>
      </c>
      <c r="P47" s="19">
        <f>'B2B- Non Repair'!P23</f>
        <v>266868735.1242533</v>
      </c>
      <c r="Q47" s="19">
        <f>'B2B- Non Repair'!Q23</f>
        <v>286229261.5</v>
      </c>
      <c r="R47" s="19">
        <f>'B2B- Non Repair'!R23</f>
        <v>292359425.71099395</v>
      </c>
      <c r="S47" s="19">
        <f>'B2B- Non Repair'!S23</f>
        <v>240342977.87539515</v>
      </c>
      <c r="T47" s="19">
        <f>'B2B- Non Repair'!T23</f>
        <v>212420597.12555185</v>
      </c>
      <c r="U47" s="19">
        <f>'B2B- Non Repair'!U23</f>
        <v>179826642.85981309</v>
      </c>
      <c r="V47" s="19">
        <f>'B2B- Non Repair'!V23</f>
        <v>219145509.50059792</v>
      </c>
      <c r="W47" s="19">
        <f>'B2B- Non Repair'!W23</f>
        <v>251361505.16609254</v>
      </c>
      <c r="X47" s="19">
        <f>'B2B- Non Repair'!X23</f>
        <v>253840663.09572297</v>
      </c>
      <c r="Y47" s="19">
        <f>'B2B- Non Repair'!Y23</f>
        <v>291578958.80223233</v>
      </c>
      <c r="Z47" s="19">
        <f>'B2B- Non Repair'!Z23</f>
        <v>181928659.19999999</v>
      </c>
      <c r="AA47" s="19">
        <f>'B2B- Non Repair'!AA23</f>
        <v>-58689</v>
      </c>
      <c r="AB47" s="19">
        <f>'B2B- Non Repair'!AB23</f>
        <v>140822505.93964374</v>
      </c>
      <c r="AC47" s="19">
        <f>'B2B- Non Repair'!AC23</f>
        <v>145960707.95446637</v>
      </c>
      <c r="AD47" s="19">
        <f>'B2B- Non Repair'!AD23</f>
        <v>119738395.07042427</v>
      </c>
      <c r="AE47" s="19">
        <f>'B2B- Non Repair'!AE23</f>
        <v>200055468.57239282</v>
      </c>
      <c r="AF47" s="19">
        <f>'B2B- Non Repair'!AF23</f>
        <v>205142874.22751704</v>
      </c>
      <c r="AG47" s="19">
        <f>'B2B- Non Repair'!AG23</f>
        <v>184510568.67909652</v>
      </c>
      <c r="AH47" s="19">
        <f>'B2B- Non Repair'!AH23</f>
        <v>218065650.95785782</v>
      </c>
      <c r="AI47" s="19">
        <f>'B2B- Non Repair'!AI23</f>
        <v>351624938.17792231</v>
      </c>
      <c r="AJ47" s="19">
        <f>'B2B- Non Repair'!AJ23</f>
        <v>302824165.85610336</v>
      </c>
      <c r="AK47" s="19">
        <f>'B2B- Non Repair'!AK23</f>
        <v>378804197.32158595</v>
      </c>
      <c r="AL47" s="19">
        <f>'B2B- Non Repair'!AL23</f>
        <v>317244253.6084246</v>
      </c>
      <c r="AM47" s="19">
        <f>'B2B- Non Repair'!AM23</f>
        <v>218341300.60656399</v>
      </c>
      <c r="AN47" s="19">
        <f>'B2B- Non Repair'!AN23</f>
        <v>99507961</v>
      </c>
      <c r="AO47" s="19">
        <f>'B2B- Non Repair'!AO23</f>
        <v>220549752.36498249</v>
      </c>
      <c r="AP47" s="19">
        <f>'B2B- Non Repair'!AP23</f>
        <v>309028022.56999999</v>
      </c>
      <c r="AQ47" s="19">
        <f>'B2B- Non Repair'!AQ23</f>
        <v>302429208.89614981</v>
      </c>
      <c r="AR47" s="19">
        <f>'B2B- Non Repair'!AR23</f>
        <v>284500821</v>
      </c>
      <c r="AS47" s="19">
        <f>'B2B- Non Repair'!AS23</f>
        <v>243017416.99999997</v>
      </c>
      <c r="AT47" s="19">
        <f>'B2B- Non Repair'!AT23</f>
        <v>290726966</v>
      </c>
      <c r="AU47" s="19">
        <f>'B2B- Non Repair'!AU23</f>
        <v>389798687.40441</v>
      </c>
      <c r="AV47" s="19">
        <f>'B2B- Non Repair'!AV23</f>
        <v>355193261.00000006</v>
      </c>
      <c r="AW47" s="19">
        <f>'B2B- Non Repair'!AW23</f>
        <v>363297745</v>
      </c>
      <c r="AX47" s="19">
        <f>'B2B- Non Repair'!AX23</f>
        <v>316865236.87457108</v>
      </c>
      <c r="AY47" s="19">
        <f>'B2B- Non Repair'!AY23</f>
        <v>314883922.45000011</v>
      </c>
      <c r="AZ47" s="19">
        <f>'B2B- Non Repair'!AZ23</f>
        <v>353948479</v>
      </c>
      <c r="BA47" s="19">
        <f>'B2B- Non Repair'!BA23</f>
        <v>253718952.35678959</v>
      </c>
      <c r="BB47" s="19">
        <f>'B2B- Non Repair'!BB23</f>
        <v>295352366.05637115</v>
      </c>
      <c r="BC47" s="19">
        <f>'B2B- Non Repair'!BC23</f>
        <v>314859557.06935155</v>
      </c>
      <c r="BD47" s="19">
        <f>'B2B- Non Repair'!BD23</f>
        <v>323017769.97385091</v>
      </c>
      <c r="BE47" s="19">
        <f>'B2B- Non Repair'!BE23</f>
        <v>379991484.77648139</v>
      </c>
      <c r="BF47" s="19">
        <f>'B2B- Non Repair'!BF23</f>
        <v>411137982.12704134</v>
      </c>
      <c r="BG47" s="19">
        <f>'B2B- Non Repair'!BG23</f>
        <v>523499249.52725494</v>
      </c>
      <c r="BH47" s="19">
        <f>'B2B- Non Repair'!BH23</f>
        <v>472010291.35966325</v>
      </c>
      <c r="BI47" s="19">
        <f>'B2B- Non Repair'!BI23</f>
        <v>379962296.8494646</v>
      </c>
      <c r="BJ47" s="19">
        <f>'B2B- Non Repair'!BJ23</f>
        <v>420473610.973279</v>
      </c>
      <c r="BK47" s="19">
        <f>'B2B- Non Repair'!BK23</f>
        <v>388619576.70573646</v>
      </c>
      <c r="BL47" s="19">
        <f>'B2B- Non Repair'!BL23</f>
        <v>395066518.57596982</v>
      </c>
      <c r="BM47" s="19">
        <f>'B2B- Non Repair'!BM23</f>
        <v>300462671.48357654</v>
      </c>
      <c r="BN47" s="19">
        <f>'B2B- Non Repair'!BN23</f>
        <v>283687792.77625483</v>
      </c>
      <c r="BO47" s="19">
        <f>'B2B- Non Repair'!BO23</f>
        <v>300679904.2239241</v>
      </c>
      <c r="BP47" s="19">
        <f>'B2B- Non Repair'!BP23</f>
        <v>289582835.51983523</v>
      </c>
      <c r="BQ47" s="19">
        <f>'B2B- Non Repair'!BQ23</f>
        <v>272230318.70985508</v>
      </c>
      <c r="BR47" s="19">
        <f>'B2B- Non Repair'!BR23</f>
        <v>334439243.09056324</v>
      </c>
      <c r="BS47" s="19">
        <f>'B2B- Non Repair'!BS23</f>
        <v>301141663.49213475</v>
      </c>
      <c r="BT47" s="19">
        <f>'B2B- Non Repair'!BT23</f>
        <v>271286674.68889612</v>
      </c>
      <c r="BU47" s="19">
        <f>'B2B- Non Repair'!BU23</f>
        <v>285387260.72658789</v>
      </c>
      <c r="BV47" s="19">
        <f>'B2B- Non Repair'!BV23</f>
        <v>295499604.70715314</v>
      </c>
      <c r="BW47" s="19">
        <f>'B2B- Non Repair'!BW23</f>
        <v>306810965.38962066</v>
      </c>
      <c r="BX47" s="19">
        <f>'B2B- Non Repair'!BX23</f>
        <v>317634236.1956681</v>
      </c>
      <c r="BY47" s="19">
        <f>'B2B- Non Repair'!BY23</f>
        <v>302669466.78844017</v>
      </c>
      <c r="BZ47" s="19">
        <f>'B2B- Non Repair'!BZ23</f>
        <v>286115234.40934157</v>
      </c>
      <c r="CA47" s="19">
        <f>'B2B- Non Repair'!CA23</f>
        <v>276117758.08156765</v>
      </c>
      <c r="CB47" s="19">
        <f>'B2B- Non Repair'!CB23</f>
        <v>242257243.25205413</v>
      </c>
      <c r="CC47" s="19">
        <f>'B2B- Non Repair'!CC23</f>
        <v>290251317.86683983</v>
      </c>
      <c r="CD47" s="19">
        <f>'B2B- Non Repair'!CD23</f>
        <v>296899274.37488753</v>
      </c>
      <c r="CE47" s="19">
        <f>'B2B- Non Repair'!CE23</f>
        <v>335757957.58998883</v>
      </c>
      <c r="CF47" s="19">
        <f>'B2B- Non Repair'!CF23</f>
        <v>385179872.95694119</v>
      </c>
      <c r="CG47" s="19">
        <f>'B2B- Non Repair'!CG23</f>
        <v>445942525.30202425</v>
      </c>
      <c r="CH47" s="19">
        <f>'B2B- Non Repair'!CH23</f>
        <v>553793255.71783984</v>
      </c>
      <c r="CI47" s="19">
        <f>'B2B- Non Repair'!CI23</f>
        <v>470069111.57037914</v>
      </c>
      <c r="CJ47" s="19">
        <f>'B2B- Non Repair'!CJ23</f>
        <v>466408773.88283879</v>
      </c>
      <c r="CK47" s="19">
        <f>'B2B- Non Repair'!CK23</f>
        <v>460358627.85315222</v>
      </c>
      <c r="CL47" s="19">
        <f>'B2B- Non Repair'!CL23</f>
        <v>461154413.35000002</v>
      </c>
      <c r="CM47" s="19">
        <f>'B2B- Non Repair'!CM23</f>
        <v>388687802.75999916</v>
      </c>
      <c r="CN47" s="19">
        <f>'B2B- Non Repair'!CN23</f>
        <v>336052923.92999959</v>
      </c>
      <c r="CO47" s="19">
        <f>'B2B- Non Repair'!CO23</f>
        <v>435550558.52000046</v>
      </c>
      <c r="CP47" s="19">
        <f>'B2B- Non Repair'!CP23</f>
        <v>522842565.63999999</v>
      </c>
      <c r="CQ47" s="19">
        <f>'B2B- Non Repair'!CQ23</f>
        <v>633370264.37999988</v>
      </c>
      <c r="CR47" s="19">
        <f>'B2B- Non Repair'!CR23</f>
        <v>681442196.87000072</v>
      </c>
      <c r="CS47" s="19">
        <f>'B2B- Non Repair'!CS23</f>
        <v>622125579.7500006</v>
      </c>
      <c r="CT47" s="19">
        <f>'B2B- Non Repair'!CT23</f>
        <v>604962856.32999957</v>
      </c>
      <c r="CU47" s="19">
        <f>'B2B- Non Repair'!CU23</f>
        <v>626377247.22057498</v>
      </c>
      <c r="CV47" s="19">
        <f>'B2B- Non Repair'!CV23</f>
        <v>649242340.31171215</v>
      </c>
      <c r="CW47" s="19">
        <f>'B2B- Non Repair'!CW23</f>
        <v>609907584.32042396</v>
      </c>
      <c r="CX47" s="19">
        <f>'B2B- Non Repair'!CX23</f>
        <v>610431282.88397908</v>
      </c>
      <c r="CY47" s="19">
        <f>'B2B- Non Repair'!CY23</f>
        <v>567575430.2484076</v>
      </c>
      <c r="CZ47" s="19">
        <f>'B2B- Non Repair'!CZ23</f>
        <v>494949921.32897353</v>
      </c>
      <c r="DA47" s="19">
        <f>'B2B- Non Repair'!DA23</f>
        <v>579036629.22452211</v>
      </c>
      <c r="DB47" s="19">
        <f>'B2B- Non Repair'!DB23</f>
        <v>717062311.02831566</v>
      </c>
      <c r="DC47" s="19">
        <f>'B2B- Non Repair'!DC23</f>
        <v>799010325.98845029</v>
      </c>
      <c r="DD47" s="19">
        <f>'B2B- Non Repair'!DD23</f>
        <v>747715470.71532393</v>
      </c>
      <c r="DE47" s="19">
        <f>'B2B- Non Repair'!DE23</f>
        <v>729178487.93240309</v>
      </c>
      <c r="DF47" s="19">
        <f>'B2B- Non Repair'!DF23</f>
        <v>701131242.00030887</v>
      </c>
      <c r="DG47" s="19">
        <f>'B2B- Non Repair'!DG23</f>
        <v>782971559.02571845</v>
      </c>
      <c r="DH47" s="19">
        <f>'B2B- Non Repair'!DH23</f>
        <v>811552925.38964021</v>
      </c>
      <c r="DI47" s="19">
        <f>'B2B- Non Repair'!DI23</f>
        <v>762384480.40052974</v>
      </c>
      <c r="DJ47" s="19">
        <f>'B2B- Non Repair'!DJ23</f>
        <v>763039103.60497355</v>
      </c>
      <c r="DK47" s="19">
        <f>'B2B- Non Repair'!DK23</f>
        <v>709469287.81050944</v>
      </c>
      <c r="DL47" s="19">
        <f>'B2B- Non Repair'!DL23</f>
        <v>618687401.66121662</v>
      </c>
      <c r="DM47" s="19">
        <f>'B2B- Non Repair'!DM23</f>
        <v>723795786.53065228</v>
      </c>
      <c r="DN47" s="19">
        <f>'B2B- Non Repair'!DN23</f>
        <v>896327888.78539443</v>
      </c>
      <c r="DO47" s="19">
        <f>'B2B- Non Repair'!DO23</f>
        <v>998762907.48556256</v>
      </c>
      <c r="DP47" s="19">
        <f>'B2B- Non Repair'!DP23</f>
        <v>934644338.39415479</v>
      </c>
      <c r="DQ47" s="19">
        <f>'B2B- Non Repair'!DQ23</f>
        <v>911473109.91550374</v>
      </c>
      <c r="DR47" s="19">
        <f>'B2B- Non Repair'!DR23</f>
        <v>876414052.50038612</v>
      </c>
      <c r="DS47" s="19">
        <f>'B2B- Non Repair'!DS23</f>
        <v>939565870.83086228</v>
      </c>
      <c r="DT47" s="19">
        <f>'B2B- Non Repair'!DT23</f>
        <v>973863510.46756792</v>
      </c>
      <c r="DU47" s="19">
        <f>'B2B- Non Repair'!DU23</f>
        <v>914861376.48063564</v>
      </c>
      <c r="DV47" s="19">
        <f>'B2B- Non Repair'!DV23</f>
        <v>915646924.32596827</v>
      </c>
      <c r="DW47" s="19">
        <f>'B2B- Non Repair'!DW23</f>
        <v>851363145.37261117</v>
      </c>
      <c r="DX47" s="19">
        <f>'B2B- Non Repair'!DX23</f>
        <v>742424881.99345994</v>
      </c>
      <c r="DY47" s="19">
        <f>'B2B- Non Repair'!DY23</f>
        <v>868554943.83678293</v>
      </c>
      <c r="DZ47" s="19">
        <f>'B2B- Non Repair'!DZ23</f>
        <v>1075593466.5424733</v>
      </c>
      <c r="EA47" s="19">
        <f>'B2B- Non Repair'!EA23</f>
        <v>1198515488.9826753</v>
      </c>
      <c r="EB47" s="19">
        <f>'B2B- Non Repair'!EB23</f>
        <v>1121573206.0729861</v>
      </c>
      <c r="EC47" s="19">
        <f>'B2B- Non Repair'!EC23</f>
        <v>1093767731.8986044</v>
      </c>
      <c r="ED47" s="19">
        <f>'B2B- Non Repair'!ED23</f>
        <v>1051696863.0004632</v>
      </c>
      <c r="EE47" s="222"/>
      <c r="EF47" s="19">
        <f t="shared" si="140"/>
        <v>1084148766.7652829</v>
      </c>
      <c r="EG47" s="19">
        <f t="shared" si="141"/>
        <v>873950532.52001417</v>
      </c>
      <c r="EH47" s="19">
        <f t="shared" si="142"/>
        <v>907811225.29255319</v>
      </c>
      <c r="EI47" s="19">
        <f t="shared" si="143"/>
        <v>852173540.12263703</v>
      </c>
      <c r="EJ47" s="19">
        <f t="shared" si="144"/>
        <v>927114668.37372899</v>
      </c>
      <c r="EK47" s="19">
        <f t="shared" si="145"/>
        <v>804490235.74296331</v>
      </c>
      <c r="EL47" s="19">
        <f t="shared" si="146"/>
        <v>922908549.83171618</v>
      </c>
      <c r="EM47" s="19">
        <f t="shared" si="147"/>
        <v>1384915653.9768052</v>
      </c>
      <c r="EN47" s="19">
        <f t="shared" si="148"/>
        <v>1396836513.3063703</v>
      </c>
      <c r="EO47" s="19">
        <f t="shared" si="149"/>
        <v>1185895140.0399988</v>
      </c>
      <c r="EP47" s="19">
        <f t="shared" si="150"/>
        <v>1591763388.5400004</v>
      </c>
      <c r="EQ47" s="19">
        <f t="shared" si="151"/>
        <v>1908530632.9500008</v>
      </c>
      <c r="ER47" s="19">
        <f t="shared" si="152"/>
        <v>1885527171.8527112</v>
      </c>
      <c r="ES47" s="19">
        <f t="shared" si="153"/>
        <v>1672956634.4613602</v>
      </c>
      <c r="ET47" s="19">
        <f t="shared" si="154"/>
        <v>2095109266.2412879</v>
      </c>
      <c r="EU47" s="19">
        <f t="shared" si="155"/>
        <v>2178025200.648036</v>
      </c>
      <c r="EV47" s="19">
        <f t="shared" si="156"/>
        <v>2356908964.8158884</v>
      </c>
      <c r="EW47" s="19">
        <f t="shared" si="157"/>
        <v>2091195793.0766997</v>
      </c>
      <c r="EX47" s="19">
        <f t="shared" si="158"/>
        <v>2618886582.801609</v>
      </c>
      <c r="EY47" s="19">
        <f t="shared" si="159"/>
        <v>2722531500.8100448</v>
      </c>
      <c r="EZ47" s="19">
        <f t="shared" si="23"/>
        <v>2828290757.7790661</v>
      </c>
      <c r="FA47" s="19">
        <f t="shared" si="24"/>
        <v>2509434951.6920395</v>
      </c>
      <c r="FB47" s="19">
        <f t="shared" si="25"/>
        <v>3142663899.3619318</v>
      </c>
      <c r="FC47" s="19">
        <f t="shared" si="26"/>
        <v>3267037800.9720535</v>
      </c>
      <c r="FE47" s="19">
        <f t="shared" si="120"/>
        <v>3718084064.7004871</v>
      </c>
      <c r="FF47" s="19">
        <f t="shared" si="121"/>
        <v>4039429107.9252138</v>
      </c>
      <c r="FG47" s="19">
        <f t="shared" si="122"/>
        <v>6083025674.8363705</v>
      </c>
      <c r="FH47" s="19">
        <f t="shared" si="123"/>
        <v>7831618273.2033958</v>
      </c>
      <c r="FI47" s="19">
        <f t="shared" si="124"/>
        <v>9789522841.5042419</v>
      </c>
      <c r="FJ47" s="770">
        <f t="shared" si="32"/>
        <v>11747427409.805092</v>
      </c>
      <c r="FK47" s="545" t="s">
        <v>1</v>
      </c>
    </row>
    <row r="48" spans="2:167" x14ac:dyDescent="0.2">
      <c r="B48" s="225" t="s">
        <v>139</v>
      </c>
      <c r="C48" s="19">
        <f>Refurbished!C21</f>
        <v>6192647</v>
      </c>
      <c r="D48" s="19">
        <f>Refurbished!D21</f>
        <v>6767807</v>
      </c>
      <c r="E48" s="19">
        <f>Refurbished!E21</f>
        <v>5747560.7689844025</v>
      </c>
      <c r="F48" s="19">
        <f>Refurbished!F21</f>
        <v>9331198.8993185107</v>
      </c>
      <c r="G48" s="19">
        <f>Refurbished!G21</f>
        <v>7135417.9363709055</v>
      </c>
      <c r="H48" s="19">
        <f>Refurbished!H21</f>
        <v>5830125.5643097647</v>
      </c>
      <c r="I48" s="19">
        <f>Refurbished!I21</f>
        <v>7326199.0000000009</v>
      </c>
      <c r="J48" s="19">
        <f>Refurbished!J21</f>
        <v>9536226</v>
      </c>
      <c r="K48" s="19">
        <f>Refurbished!K21</f>
        <v>11404856</v>
      </c>
      <c r="L48" s="19">
        <f>Refurbished!L21</f>
        <v>13296972.770714287</v>
      </c>
      <c r="M48" s="19">
        <f>Refurbished!M21</f>
        <v>20383278.310714286</v>
      </c>
      <c r="N48" s="19">
        <f>Refurbished!N21</f>
        <v>33795612.599285722</v>
      </c>
      <c r="O48" s="19">
        <f>Refurbished!O21</f>
        <v>43602740.531428576</v>
      </c>
      <c r="P48" s="19">
        <f>Refurbished!P21</f>
        <v>47553838.704642862</v>
      </c>
      <c r="Q48" s="19">
        <f>Refurbished!Q21</f>
        <v>41912956.475000001</v>
      </c>
      <c r="R48" s="19">
        <f>Refurbished!R21</f>
        <v>58596025.079642855</v>
      </c>
      <c r="S48" s="19">
        <f>Refurbished!S21</f>
        <v>37652327</v>
      </c>
      <c r="T48" s="19">
        <f>Refurbished!T21</f>
        <v>45328626.200000003</v>
      </c>
      <c r="U48" s="19">
        <f>Refurbished!U21</f>
        <v>40091328</v>
      </c>
      <c r="V48" s="19">
        <f>Refurbished!V21</f>
        <v>17945248</v>
      </c>
      <c r="W48" s="19">
        <f>Refurbished!W21</f>
        <v>30219008</v>
      </c>
      <c r="X48" s="19">
        <f>Refurbished!X21</f>
        <v>37180654.785471424</v>
      </c>
      <c r="Y48" s="19">
        <f>Refurbished!Y21</f>
        <v>23280069.623240825</v>
      </c>
      <c r="Z48" s="19">
        <f>Refurbished!Z21</f>
        <v>24244971.863357142</v>
      </c>
      <c r="AA48" s="19">
        <f>Refurbished!AA21</f>
        <v>-3099488</v>
      </c>
      <c r="AB48" s="19">
        <f>Refurbished!AB21</f>
        <v>29744394.104352541</v>
      </c>
      <c r="AC48" s="19">
        <f>Refurbished!AC21</f>
        <v>28843935.470764291</v>
      </c>
      <c r="AD48" s="19">
        <f>Refurbished!AD21</f>
        <v>27800228.018400002</v>
      </c>
      <c r="AE48" s="19">
        <f>Refurbished!AE21</f>
        <v>31243748.260000002</v>
      </c>
      <c r="AF48" s="19">
        <f>Refurbished!AF21</f>
        <v>37235534.401000001</v>
      </c>
      <c r="AG48" s="19">
        <f>Refurbished!AG21</f>
        <v>46067414.031000003</v>
      </c>
      <c r="AH48" s="19">
        <f>Refurbished!AH21</f>
        <v>55667728</v>
      </c>
      <c r="AI48" s="19">
        <f>Refurbished!AI21</f>
        <v>95343467.050000012</v>
      </c>
      <c r="AJ48" s="19">
        <f>Refurbished!AJ21</f>
        <v>110195528.70999999</v>
      </c>
      <c r="AK48" s="19">
        <f>Refurbished!AK21</f>
        <v>88109945.949999988</v>
      </c>
      <c r="AL48" s="19">
        <f>Refurbished!AL21</f>
        <v>90085748.480000108</v>
      </c>
      <c r="AM48" s="19">
        <f>Refurbished!AM21</f>
        <v>60400075.890000015</v>
      </c>
      <c r="AN48" s="19">
        <f>Refurbished!AN21</f>
        <v>27013724.799999997</v>
      </c>
      <c r="AO48" s="19">
        <f>Refurbished!AO21</f>
        <v>61562947.890000038</v>
      </c>
      <c r="AP48" s="19">
        <f>Refurbished!AP21</f>
        <v>77116410.65000008</v>
      </c>
      <c r="AQ48" s="19">
        <f>Refurbished!AQ21</f>
        <v>90133879.960000128</v>
      </c>
      <c r="AR48" s="19">
        <f>Refurbished!AR21</f>
        <v>112393244.14000013</v>
      </c>
      <c r="AS48" s="19">
        <f>Refurbished!AS21</f>
        <v>126561316.94000036</v>
      </c>
      <c r="AT48" s="19">
        <f>Refurbished!AT21</f>
        <v>164983746.35999984</v>
      </c>
      <c r="AU48" s="19">
        <f>Refurbished!AU21</f>
        <v>190948408.13999945</v>
      </c>
      <c r="AV48" s="19">
        <f>Refurbished!AV21</f>
        <v>206055081.93000221</v>
      </c>
      <c r="AW48" s="19">
        <f>Refurbished!AW21</f>
        <v>208346120.67999631</v>
      </c>
      <c r="AX48" s="19">
        <f>Refurbished!AX21</f>
        <v>208035686.559995</v>
      </c>
      <c r="AY48" s="19">
        <f>Refurbished!AY21</f>
        <v>158142634.55999595</v>
      </c>
      <c r="AZ48" s="19">
        <f>Refurbished!AZ21</f>
        <v>191764165.76000482</v>
      </c>
      <c r="BA48" s="19">
        <f>Refurbished!BA21</f>
        <v>224506384.4399901</v>
      </c>
      <c r="BB48" s="19">
        <f>Refurbished!BB21</f>
        <v>218114267.30999857</v>
      </c>
      <c r="BC48" s="19">
        <f>Refurbished!BC21</f>
        <v>205934890.3400054</v>
      </c>
      <c r="BD48" s="19">
        <f>Refurbished!BD21</f>
        <v>196830864.92948377</v>
      </c>
      <c r="BE48" s="19">
        <f>Refurbished!BE21</f>
        <v>238832540.28770751</v>
      </c>
      <c r="BF48" s="19">
        <f>Refurbished!BF21</f>
        <v>247478984.3420319</v>
      </c>
      <c r="BG48" s="19">
        <f>Refurbished!BG21</f>
        <v>290431420.74414909</v>
      </c>
      <c r="BH48" s="19">
        <f>Refurbished!BH21</f>
        <v>327744328.17887121</v>
      </c>
      <c r="BI48" s="19">
        <f>Refurbished!BI21</f>
        <v>349809706.79444808</v>
      </c>
      <c r="BJ48" s="19">
        <f>Refurbished!BJ21</f>
        <v>484834187.80862319</v>
      </c>
      <c r="BK48" s="19">
        <f>Refurbished!BK21</f>
        <v>488045955.55942798</v>
      </c>
      <c r="BL48" s="19">
        <f>Refurbished!BL21</f>
        <v>486740557.7096855</v>
      </c>
      <c r="BM48" s="19">
        <f>Refurbished!BM21</f>
        <v>514293123.67642361</v>
      </c>
      <c r="BN48" s="19">
        <f>Refurbished!BN21</f>
        <v>414738100.76314175</v>
      </c>
      <c r="BO48" s="19">
        <f>Refurbished!BO21</f>
        <v>436368009.07490754</v>
      </c>
      <c r="BP48" s="19">
        <f>Refurbished!BP21</f>
        <v>438127606.50698757</v>
      </c>
      <c r="BQ48" s="19">
        <f>Refurbished!BQ21</f>
        <v>655140468.45114815</v>
      </c>
      <c r="BR48" s="19">
        <f>Refurbished!BR21</f>
        <v>550478882.38706899</v>
      </c>
      <c r="BS48" s="19">
        <f>Refurbished!BS21</f>
        <v>492437220.33111715</v>
      </c>
      <c r="BT48" s="19">
        <f>Refurbished!BT21</f>
        <v>468497166.54165256</v>
      </c>
      <c r="BU48" s="19">
        <f>Refurbished!BU21</f>
        <v>391086995.87576556</v>
      </c>
      <c r="BV48" s="19">
        <f>Refurbished!BV21</f>
        <v>504617056.66021729</v>
      </c>
      <c r="BW48" s="19">
        <f>Refurbished!BW21</f>
        <v>511404555.11941302</v>
      </c>
      <c r="BX48" s="19">
        <f>Refurbished!BX21</f>
        <v>528382766.45801866</v>
      </c>
      <c r="BY48" s="19">
        <f>Refurbished!BY21</f>
        <v>557915117.44188285</v>
      </c>
      <c r="BZ48" s="19">
        <f>Refurbished!BZ21</f>
        <v>549172956.25877106</v>
      </c>
      <c r="CA48" s="19">
        <f>Refurbished!CA21</f>
        <v>486481967.82860899</v>
      </c>
      <c r="CB48" s="19">
        <f>Refurbished!CB21</f>
        <v>458111278.06665248</v>
      </c>
      <c r="CC48" s="19">
        <f>Refurbished!CC21</f>
        <v>571831289.16511595</v>
      </c>
      <c r="CD48" s="19">
        <f>Refurbished!CD21</f>
        <v>534552554.81307018</v>
      </c>
      <c r="CE48" s="19">
        <f>Refurbished!CE21</f>
        <v>636403083.74523067</v>
      </c>
      <c r="CF48" s="19">
        <f>Refurbished!CF21</f>
        <v>681078195.92077541</v>
      </c>
      <c r="CG48" s="19">
        <f>Refurbished!CG21</f>
        <v>649806770.9229219</v>
      </c>
      <c r="CH48" s="19">
        <f>Refurbished!CH21</f>
        <v>838927433.56969547</v>
      </c>
      <c r="CI48" s="19">
        <f>Refurbished!CI21</f>
        <v>773004511.89321828</v>
      </c>
      <c r="CJ48" s="19">
        <f>Refurbished!CJ21</f>
        <v>755574724.8283186</v>
      </c>
      <c r="CK48" s="19">
        <f>Refurbished!CK21</f>
        <v>763813123.11457694</v>
      </c>
      <c r="CL48" s="19">
        <f>Refurbished!CL21</f>
        <v>820391689.6474576</v>
      </c>
      <c r="CM48" s="19">
        <f>Refurbished!CM21</f>
        <v>701446467.27000093</v>
      </c>
      <c r="CN48" s="19">
        <f>Refurbished!CN21</f>
        <v>758296395.77670133</v>
      </c>
      <c r="CO48" s="19">
        <f>Refurbished!CO21</f>
        <v>881911119.647488</v>
      </c>
      <c r="CP48" s="19">
        <f>Refurbished!CP21</f>
        <v>817850963.33060002</v>
      </c>
      <c r="CQ48" s="19">
        <f>Refurbished!CQ21</f>
        <v>1006235498.4649951</v>
      </c>
      <c r="CR48" s="19">
        <f>Refurbished!CR21</f>
        <v>1093034605.5906382</v>
      </c>
      <c r="CS48" s="19">
        <f>Refurbished!CS21</f>
        <v>985465798.37775457</v>
      </c>
      <c r="CT48" s="19">
        <f>Refurbished!CT21</f>
        <v>1161455513.4814487</v>
      </c>
      <c r="CU48" s="19">
        <f>Refurbished!CU21</f>
        <v>1027611351.5716845</v>
      </c>
      <c r="CV48" s="19">
        <f>Refurbished!CV21</f>
        <v>1017215256.4438188</v>
      </c>
      <c r="CW48" s="19">
        <f>Refurbished!CW21</f>
        <v>1014880125.3755372</v>
      </c>
      <c r="CX48" s="19">
        <f>Refurbished!CX21</f>
        <v>1075499963.9560406</v>
      </c>
      <c r="CY48" s="19">
        <f>Refurbished!CY21</f>
        <v>974594526.26008964</v>
      </c>
      <c r="CZ48" s="19">
        <f>Refurbished!CZ21</f>
        <v>964323899.00094485</v>
      </c>
      <c r="DA48" s="19">
        <f>Refurbished!DA21</f>
        <v>1099736828.0221882</v>
      </c>
      <c r="DB48" s="19">
        <f>Refurbished!DB21</f>
        <v>1041277483.2033017</v>
      </c>
      <c r="DC48" s="19">
        <f>Refurbished!DC21</f>
        <v>1264667706.8547726</v>
      </c>
      <c r="DD48" s="19">
        <f>Refurbished!DD21</f>
        <v>1323545981.3105874</v>
      </c>
      <c r="DE48" s="19">
        <f>Refurbished!DE21</f>
        <v>1186395496.120446</v>
      </c>
      <c r="DF48" s="19">
        <f>Refurbished!DF21</f>
        <v>1349942060.3239968</v>
      </c>
      <c r="DG48" s="19">
        <f>Refurbished!DG21</f>
        <v>1245861891.7771087</v>
      </c>
      <c r="DH48" s="19">
        <f>Refurbished!DH21</f>
        <v>1234904713.6893134</v>
      </c>
      <c r="DI48" s="19">
        <f>Refurbished!DI21</f>
        <v>1228195566.1338305</v>
      </c>
      <c r="DJ48" s="19">
        <f>Refurbished!DJ21</f>
        <v>1301558126.6655786</v>
      </c>
      <c r="DK48" s="19">
        <f>Refurbished!DK21</f>
        <v>1177817271.8590436</v>
      </c>
      <c r="DL48" s="19">
        <f>Refurbished!DL21</f>
        <v>1162587754.7089529</v>
      </c>
      <c r="DM48" s="19">
        <f>Refurbished!DM21</f>
        <v>1324851278.5433443</v>
      </c>
      <c r="DN48" s="19">
        <f>Refurbished!DN21</f>
        <v>1250063909.505533</v>
      </c>
      <c r="DO48" s="19">
        <f>Refurbished!DO21</f>
        <v>1514196606.7960484</v>
      </c>
      <c r="DP48" s="19">
        <f>Refurbished!DP21</f>
        <v>1580406005.0833676</v>
      </c>
      <c r="DQ48" s="19">
        <f>Refurbished!DQ21</f>
        <v>1413088135.210254</v>
      </c>
      <c r="DR48" s="19">
        <f>Refurbished!DR21</f>
        <v>1596543953.8011425</v>
      </c>
      <c r="DS48" s="19">
        <f>Refurbished!DS21</f>
        <v>1444001859.7005246</v>
      </c>
      <c r="DT48" s="19">
        <f>Refurbished!DT21</f>
        <v>1430899479.1369433</v>
      </c>
      <c r="DU48" s="19">
        <f>Refurbished!DU21</f>
        <v>1422718760.3548121</v>
      </c>
      <c r="DV48" s="19">
        <f>Refurbished!DV21</f>
        <v>1506243933.5743794</v>
      </c>
      <c r="DW48" s="19">
        <f>Refurbished!DW21</f>
        <v>1363133975.8585</v>
      </c>
      <c r="DX48" s="19">
        <f>Refurbished!DX21</f>
        <v>1346854717.5163527</v>
      </c>
      <c r="DY48" s="19">
        <f>Refurbished!DY21</f>
        <v>1530733233.3528552</v>
      </c>
      <c r="DZ48" s="19">
        <f>Refurbished!DZ21</f>
        <v>1445177848.2572882</v>
      </c>
      <c r="EA48" s="19">
        <f>Refurbished!EA21</f>
        <v>1750632122.4094658</v>
      </c>
      <c r="EB48" s="19">
        <f>Refurbished!EB21</f>
        <v>1827851693.5386305</v>
      </c>
      <c r="EC48" s="19">
        <f>Refurbished!EC21</f>
        <v>1632693350.9766765</v>
      </c>
      <c r="ED48" s="19">
        <f>Refurbished!ED21</f>
        <v>1843056302.3061841</v>
      </c>
      <c r="EE48" s="222"/>
      <c r="EF48" s="19">
        <f t="shared" si="140"/>
        <v>1489079636.9455371</v>
      </c>
      <c r="EG48" s="19">
        <f t="shared" si="141"/>
        <v>1289233716.345037</v>
      </c>
      <c r="EH48" s="19">
        <f t="shared" si="142"/>
        <v>1698056571.1693344</v>
      </c>
      <c r="EI48" s="19">
        <f t="shared" si="143"/>
        <v>1364201219.0776353</v>
      </c>
      <c r="EJ48" s="19">
        <f t="shared" si="144"/>
        <v>1597702439.0193145</v>
      </c>
      <c r="EK48" s="19">
        <f t="shared" si="145"/>
        <v>1493766202.1540325</v>
      </c>
      <c r="EL48" s="19">
        <f t="shared" si="146"/>
        <v>1742786927.7234168</v>
      </c>
      <c r="EM48" s="19">
        <f t="shared" si="147"/>
        <v>2169812400.413393</v>
      </c>
      <c r="EN48" s="19">
        <f t="shared" si="148"/>
        <v>2292392359.8361139</v>
      </c>
      <c r="EO48" s="19">
        <f t="shared" si="149"/>
        <v>2280134552.69416</v>
      </c>
      <c r="EP48" s="19">
        <f t="shared" si="150"/>
        <v>2705997581.4430828</v>
      </c>
      <c r="EQ48" s="19">
        <f t="shared" si="151"/>
        <v>3239955917.4498415</v>
      </c>
      <c r="ER48" s="19">
        <f t="shared" si="152"/>
        <v>3059706733.3910408</v>
      </c>
      <c r="ES48" s="19">
        <f t="shared" si="153"/>
        <v>3014418389.2170753</v>
      </c>
      <c r="ET48" s="19">
        <f t="shared" si="154"/>
        <v>3405682018.0802622</v>
      </c>
      <c r="EU48" s="19">
        <f t="shared" si="155"/>
        <v>3859883537.7550297</v>
      </c>
      <c r="EV48" s="19">
        <f t="shared" si="156"/>
        <v>3708962171.6002526</v>
      </c>
      <c r="EW48" s="19">
        <f t="shared" si="157"/>
        <v>3641963153.2335749</v>
      </c>
      <c r="EX48" s="19">
        <f t="shared" si="158"/>
        <v>4089111794.8449259</v>
      </c>
      <c r="EY48" s="19">
        <f t="shared" si="159"/>
        <v>4590038094.0947638</v>
      </c>
      <c r="EZ48" s="19">
        <f t="shared" si="23"/>
        <v>4297620099.1922798</v>
      </c>
      <c r="FA48" s="19">
        <f t="shared" si="24"/>
        <v>4216232626.9492321</v>
      </c>
      <c r="FB48" s="19">
        <f t="shared" si="25"/>
        <v>4726543204.0196095</v>
      </c>
      <c r="FC48" s="19">
        <f t="shared" si="26"/>
        <v>5303601346.8214912</v>
      </c>
      <c r="FE48" s="19">
        <f t="shared" si="120"/>
        <v>5840571143.5375443</v>
      </c>
      <c r="FF48" s="19">
        <f t="shared" si="121"/>
        <v>7004067969.3101568</v>
      </c>
      <c r="FG48" s="19">
        <f t="shared" si="122"/>
        <v>10518480411.423199</v>
      </c>
      <c r="FH48" s="19">
        <f t="shared" si="123"/>
        <v>13339690678.443407</v>
      </c>
      <c r="FI48" s="19">
        <f t="shared" si="124"/>
        <v>16030075213.773518</v>
      </c>
      <c r="FJ48" s="770">
        <f t="shared" si="32"/>
        <v>18543997276.982613</v>
      </c>
      <c r="FK48" s="545" t="s">
        <v>1</v>
      </c>
    </row>
    <row r="49" spans="2:167" x14ac:dyDescent="0.2">
      <c r="B49" s="225" t="s">
        <v>309</v>
      </c>
      <c r="C49" s="19">
        <f>Marketplace!C5</f>
        <v>5037141.5199999996</v>
      </c>
      <c r="D49" s="19">
        <f>Marketplace!D5</f>
        <v>7483366.4799999995</v>
      </c>
      <c r="E49" s="19">
        <f>Marketplace!E5</f>
        <v>6940571.1999999993</v>
      </c>
      <c r="F49" s="19">
        <f>Marketplace!F5</f>
        <v>5992624.0999999996</v>
      </c>
      <c r="G49" s="19">
        <f>Marketplace!G5</f>
        <v>3592413.2399999998</v>
      </c>
      <c r="H49" s="19">
        <f>Marketplace!H5</f>
        <v>2666191.1199999996</v>
      </c>
      <c r="I49" s="19">
        <f>Marketplace!I5</f>
        <v>3294731.0999999996</v>
      </c>
      <c r="J49" s="19">
        <f>Marketplace!J5</f>
        <v>2948318.5</v>
      </c>
      <c r="K49" s="19">
        <f>Marketplace!K5</f>
        <v>3756528.82</v>
      </c>
      <c r="L49" s="19">
        <f>Marketplace!L5</f>
        <v>3942207.7199999997</v>
      </c>
      <c r="M49" s="19">
        <f>Marketplace!M5</f>
        <v>3494748.1799999997</v>
      </c>
      <c r="N49" s="19">
        <f>Marketplace!N5</f>
        <v>3183586.9</v>
      </c>
      <c r="O49" s="19">
        <f>Marketplace!O5</f>
        <v>3134571.0003599999</v>
      </c>
      <c r="P49" s="19">
        <f>Marketplace!P5</f>
        <v>3522761.0024000001</v>
      </c>
      <c r="Q49" s="19">
        <f>Marketplace!Q5</f>
        <v>3625072</v>
      </c>
      <c r="R49" s="19">
        <f>Marketplace!R5</f>
        <v>4126418.6999999997</v>
      </c>
      <c r="S49" s="19">
        <f>Marketplace!S5</f>
        <v>4442845.1399999997</v>
      </c>
      <c r="T49" s="19">
        <f>Marketplace!T5</f>
        <v>4465010.26</v>
      </c>
      <c r="U49" s="19">
        <f>Marketplace!U5</f>
        <v>5754935.5199999996</v>
      </c>
      <c r="V49" s="19">
        <f>Marketplace!V5</f>
        <v>4266889.4399999995</v>
      </c>
      <c r="W49" s="19">
        <f>Marketplace!W5</f>
        <v>4431723.6399999997</v>
      </c>
      <c r="X49" s="19">
        <f>Marketplace!X5</f>
        <v>5115912.42</v>
      </c>
      <c r="Y49" s="19">
        <f>Marketplace!Y5</f>
        <v>4767477.3</v>
      </c>
      <c r="Z49" s="19">
        <f>Marketplace!Z5</f>
        <v>3902536.1199999996</v>
      </c>
      <c r="AA49" s="19">
        <f>Marketplace!AA5</f>
        <v>70048.34</v>
      </c>
      <c r="AB49" s="19">
        <f>Marketplace!AB5</f>
        <v>2301717.44</v>
      </c>
      <c r="AC49" s="19">
        <f>Marketplace!AC5</f>
        <v>7162144.5199999996</v>
      </c>
      <c r="AD49" s="19">
        <f>Marketplace!AD5</f>
        <v>10723278.32</v>
      </c>
      <c r="AE49" s="19">
        <f>Marketplace!AE5</f>
        <v>14061486.52</v>
      </c>
      <c r="AF49" s="19">
        <f>Marketplace!AF5</f>
        <v>14792490.619999999</v>
      </c>
      <c r="AG49" s="19">
        <f>Marketplace!AG5</f>
        <v>18074284.199999999</v>
      </c>
      <c r="AH49" s="19">
        <f>Marketplace!AH5</f>
        <v>14545867.08</v>
      </c>
      <c r="AI49" s="19">
        <f>Marketplace!AI5</f>
        <v>12589519.119999999</v>
      </c>
      <c r="AJ49" s="19">
        <f>Marketplace!AJ5</f>
        <v>15575773.439999999</v>
      </c>
      <c r="AK49" s="19">
        <f>Marketplace!AK5</f>
        <v>13618755.239999998</v>
      </c>
      <c r="AL49" s="19">
        <f>Marketplace!AL5</f>
        <v>15407885.399999999</v>
      </c>
      <c r="AM49" s="19">
        <f>Marketplace!AM5</f>
        <v>11347887.719999999</v>
      </c>
      <c r="AN49" s="19">
        <f>Marketplace!AN5</f>
        <v>5113180.72</v>
      </c>
      <c r="AO49" s="19">
        <f>Marketplace!AO5</f>
        <v>15730204.76</v>
      </c>
      <c r="AP49" s="19">
        <f>Marketplace!AP5</f>
        <v>20350553.759999998</v>
      </c>
      <c r="AQ49" s="19">
        <f>Marketplace!AQ5</f>
        <v>23513832.859999999</v>
      </c>
      <c r="AR49" s="19">
        <f>Marketplace!AR5</f>
        <v>22755332.600000005</v>
      </c>
      <c r="AS49" s="19">
        <f>Marketplace!AS5</f>
        <v>32204996.599999998</v>
      </c>
      <c r="AT49" s="19">
        <f>Marketplace!AT5</f>
        <v>20863025.399999999</v>
      </c>
      <c r="AU49" s="19">
        <f>Marketplace!AU5</f>
        <v>22902468</v>
      </c>
      <c r="AV49" s="19">
        <f>Marketplace!AV5</f>
        <v>24690158.34</v>
      </c>
      <c r="AW49" s="19">
        <f>Marketplace!AW5</f>
        <v>22715897.98</v>
      </c>
      <c r="AX49" s="19">
        <f>Marketplace!AX5</f>
        <v>29537732.859999999</v>
      </c>
      <c r="AY49" s="19">
        <f>Marketplace!AY5</f>
        <v>26344736.639999997</v>
      </c>
      <c r="AZ49" s="19">
        <f>Marketplace!AZ5</f>
        <v>25057708.279999997</v>
      </c>
      <c r="BA49" s="19">
        <f>Marketplace!BA5</f>
        <v>27981552.399999999</v>
      </c>
      <c r="BB49" s="19">
        <f>Marketplace!BB5</f>
        <v>27514383.600000001</v>
      </c>
      <c r="BC49" s="19">
        <f>Marketplace!BC5</f>
        <v>28644535.699999999</v>
      </c>
      <c r="BD49" s="19">
        <f>Marketplace!BD5</f>
        <v>35781950.600000001</v>
      </c>
      <c r="BE49" s="19">
        <f>Marketplace!BE5</f>
        <v>36652303.600000001</v>
      </c>
      <c r="BF49" s="19">
        <f>Marketplace!BF5</f>
        <v>29292672.199999999</v>
      </c>
      <c r="BG49" s="19">
        <f>Marketplace!BG5</f>
        <v>33118752.699999999</v>
      </c>
      <c r="BH49" s="19">
        <f>Marketplace!BH5</f>
        <v>37538967.399999999</v>
      </c>
      <c r="BI49" s="19">
        <f>Marketplace!BI5</f>
        <v>34811191.799999997</v>
      </c>
      <c r="BJ49" s="19">
        <f>Marketplace!BJ5</f>
        <v>39334982.5</v>
      </c>
      <c r="BK49" s="19">
        <f>Marketplace!BK5</f>
        <v>43178511.199999996</v>
      </c>
      <c r="BL49" s="19">
        <f>Marketplace!BL5</f>
        <v>45187280.599999994</v>
      </c>
      <c r="BM49" s="19">
        <f>Marketplace!BM5</f>
        <v>44856414.600000001</v>
      </c>
      <c r="BN49" s="19">
        <f>Marketplace!BN5</f>
        <v>48982039.799999997</v>
      </c>
      <c r="BO49" s="19">
        <f>Marketplace!BO5</f>
        <v>50518089.699999996</v>
      </c>
      <c r="BP49" s="19">
        <f>Marketplace!BP5</f>
        <v>44960297.300000004</v>
      </c>
      <c r="BQ49" s="19">
        <f>Marketplace!BQ5</f>
        <v>66784382</v>
      </c>
      <c r="BR49" s="19">
        <f>Marketplace!BR5</f>
        <v>55621871.5</v>
      </c>
      <c r="BS49" s="19">
        <f>Marketplace!BS5</f>
        <v>51448122.200000003</v>
      </c>
      <c r="BT49" s="19">
        <f>Marketplace!BT5</f>
        <v>58472463.899999999</v>
      </c>
      <c r="BU49" s="19">
        <f>Marketplace!BU5</f>
        <v>51764888.200000003</v>
      </c>
      <c r="BV49" s="19">
        <f>Marketplace!BV5</f>
        <v>52977776.799999997</v>
      </c>
      <c r="BW49" s="19">
        <f>Marketplace!BW5</f>
        <v>50664829.200000003</v>
      </c>
      <c r="BX49" s="19">
        <f>Marketplace!BX5</f>
        <v>58635265.799999997</v>
      </c>
      <c r="BY49" s="19">
        <f>Marketplace!BY5</f>
        <v>54144114.299999997</v>
      </c>
      <c r="BZ49" s="19">
        <f>Marketplace!BZ5</f>
        <v>63681462</v>
      </c>
      <c r="CA49" s="19">
        <f>Marketplace!CA5</f>
        <v>60089615.899999999</v>
      </c>
      <c r="CB49" s="19">
        <f>Marketplace!CB5</f>
        <v>57165476.700000003</v>
      </c>
      <c r="CC49" s="19">
        <f>Marketplace!CC5</f>
        <v>80389169</v>
      </c>
      <c r="CD49" s="19">
        <f>Marketplace!CD5</f>
        <v>61787164.100000001</v>
      </c>
      <c r="CE49" s="19">
        <f>Marketplace!CE5</f>
        <v>63288101.100000001</v>
      </c>
      <c r="CF49" s="19">
        <f>Marketplace!CF5</f>
        <v>68244290.200000003</v>
      </c>
      <c r="CG49" s="19">
        <f>Marketplace!CG5</f>
        <v>68161695.099999994</v>
      </c>
      <c r="CH49" s="19">
        <f>Marketplace!CH5</f>
        <v>66744770.899999999</v>
      </c>
      <c r="CI49" s="19">
        <f>Marketplace!CI5</f>
        <v>67297281.599999994</v>
      </c>
      <c r="CJ49" s="19">
        <f>Marketplace!CJ5</f>
        <v>71162635.299999997</v>
      </c>
      <c r="CK49" s="19">
        <f>Marketplace!CK5</f>
        <v>70151011.299999997</v>
      </c>
      <c r="CL49" s="19">
        <f>Marketplace!CL5</f>
        <v>74141842.400000006</v>
      </c>
      <c r="CM49" s="19">
        <f>Marketplace!CM5</f>
        <v>68520557.900000006</v>
      </c>
      <c r="CN49" s="19">
        <f>Marketplace!CN5</f>
        <v>82727019.400000006</v>
      </c>
      <c r="CO49" s="19">
        <f>Marketplace!CO5</f>
        <v>104441401</v>
      </c>
      <c r="CP49" s="19">
        <f>Marketplace!CP5</f>
        <v>80810639</v>
      </c>
      <c r="CQ49" s="19">
        <f>Marketplace!CQ5</f>
        <v>84431312.5</v>
      </c>
      <c r="CR49" s="19">
        <f>Marketplace!CR5</f>
        <v>88183692</v>
      </c>
      <c r="CS49" s="19">
        <f>Marketplace!CS5</f>
        <v>77328942.5</v>
      </c>
      <c r="CT49" s="19">
        <f>Marketplace!CT5</f>
        <v>97862297</v>
      </c>
      <c r="CU49" s="19">
        <f>Marketplace!CU5</f>
        <v>86814414.030677676</v>
      </c>
      <c r="CV49" s="19">
        <f>Marketplace!CV5</f>
        <v>94595724.363379747</v>
      </c>
      <c r="CW49" s="19">
        <f>Marketplace!CW5</f>
        <v>93477269.802135661</v>
      </c>
      <c r="CX49" s="19">
        <f>Marketplace!CX5</f>
        <v>102201505.51072444</v>
      </c>
      <c r="CY49" s="19">
        <f>Marketplace!CY5</f>
        <v>95393584.296822354</v>
      </c>
      <c r="CZ49" s="19">
        <f>Marketplace!CZ5</f>
        <v>110816942.13748014</v>
      </c>
      <c r="DA49" s="19">
        <f>Marketplace!DA5</f>
        <v>136983846.6455487</v>
      </c>
      <c r="DB49" s="19">
        <f>Marketplace!DB5</f>
        <v>101397842.95958407</v>
      </c>
      <c r="DC49" s="19">
        <f>Marketplace!DC5</f>
        <v>104763361.22428742</v>
      </c>
      <c r="DD49" s="19">
        <f>Marketplace!DD5</f>
        <v>109916085.73990221</v>
      </c>
      <c r="DE49" s="19">
        <f>Marketplace!DE5</f>
        <v>94243215.338240549</v>
      </c>
      <c r="DF49" s="19">
        <f>Marketplace!DF5</f>
        <v>114484196.52246724</v>
      </c>
      <c r="DG49" s="19">
        <f>Marketplace!DG5</f>
        <v>104177296.83681323</v>
      </c>
      <c r="DH49" s="19">
        <f>Marketplace!DH5</f>
        <v>113514869.2360557</v>
      </c>
      <c r="DI49" s="19">
        <f>Marketplace!DI5</f>
        <v>112172723.7625628</v>
      </c>
      <c r="DJ49" s="19">
        <f>Marketplace!DJ5</f>
        <v>122641806.61286932</v>
      </c>
      <c r="DK49" s="19">
        <f>Marketplace!DK5</f>
        <v>114472301.15618682</v>
      </c>
      <c r="DL49" s="19">
        <f>Marketplace!DL5</f>
        <v>132980330.56497617</v>
      </c>
      <c r="DM49" s="19">
        <f>Marketplace!DM5</f>
        <v>164380615.97465849</v>
      </c>
      <c r="DN49" s="19">
        <f>Marketplace!DN5</f>
        <v>121677411.55150087</v>
      </c>
      <c r="DO49" s="19">
        <f>Marketplace!DO5</f>
        <v>125716033.46914491</v>
      </c>
      <c r="DP49" s="19">
        <f>Marketplace!DP5</f>
        <v>131899302.88788265</v>
      </c>
      <c r="DQ49" s="19">
        <f>Marketplace!DQ5</f>
        <v>113091858.40588866</v>
      </c>
      <c r="DR49" s="19">
        <f>Marketplace!DR5</f>
        <v>137381035.82696068</v>
      </c>
      <c r="DS49" s="19">
        <f>Marketplace!DS5</f>
        <v>119803891.36233518</v>
      </c>
      <c r="DT49" s="19">
        <f>Marketplace!DT5</f>
        <v>130542099.62146404</v>
      </c>
      <c r="DU49" s="19">
        <f>Marketplace!DU5</f>
        <v>128998632.3269472</v>
      </c>
      <c r="DV49" s="19">
        <f>Marketplace!DV5</f>
        <v>141038077.60479972</v>
      </c>
      <c r="DW49" s="19">
        <f>Marketplace!DW5</f>
        <v>131643146.32961483</v>
      </c>
      <c r="DX49" s="19">
        <f>Marketplace!DX5</f>
        <v>152927380.14972258</v>
      </c>
      <c r="DY49" s="19">
        <f>Marketplace!DY5</f>
        <v>189037708.37085724</v>
      </c>
      <c r="DZ49" s="19">
        <f>Marketplace!DZ5</f>
        <v>139929023.284226</v>
      </c>
      <c r="EA49" s="19">
        <f>Marketplace!EA5</f>
        <v>144573438.48951665</v>
      </c>
      <c r="EB49" s="19">
        <f>Marketplace!EB5</f>
        <v>151684198.32106504</v>
      </c>
      <c r="EC49" s="19">
        <f>Marketplace!EC5</f>
        <v>130055637.16677196</v>
      </c>
      <c r="ED49" s="19">
        <f>Marketplace!ED5</f>
        <v>157988191.2010048</v>
      </c>
      <c r="EE49" s="222"/>
      <c r="EF49" s="19">
        <f t="shared" si="140"/>
        <v>133222206.39999998</v>
      </c>
      <c r="EG49" s="19">
        <f t="shared" si="141"/>
        <v>144460426.80000001</v>
      </c>
      <c r="EH49" s="19">
        <f t="shared" si="142"/>
        <v>173854375.69999999</v>
      </c>
      <c r="EI49" s="19">
        <f t="shared" si="143"/>
        <v>163215128.89999998</v>
      </c>
      <c r="EJ49" s="19">
        <f t="shared" si="144"/>
        <v>163444209.30000001</v>
      </c>
      <c r="EK49" s="19">
        <f t="shared" si="145"/>
        <v>180936554.60000002</v>
      </c>
      <c r="EL49" s="19">
        <f t="shared" si="146"/>
        <v>205464434.19999999</v>
      </c>
      <c r="EM49" s="19">
        <f t="shared" si="147"/>
        <v>203150756.20000002</v>
      </c>
      <c r="EN49" s="19">
        <f t="shared" si="148"/>
        <v>208610928.19999999</v>
      </c>
      <c r="EO49" s="19">
        <f t="shared" si="149"/>
        <v>225389419.70000002</v>
      </c>
      <c r="EP49" s="19">
        <f t="shared" si="150"/>
        <v>269683352.5</v>
      </c>
      <c r="EQ49" s="19">
        <f t="shared" si="151"/>
        <v>263374931.5</v>
      </c>
      <c r="ER49" s="19">
        <f t="shared" si="152"/>
        <v>274887408.1961931</v>
      </c>
      <c r="ES49" s="19">
        <f t="shared" si="153"/>
        <v>308412031.94502693</v>
      </c>
      <c r="ET49" s="19">
        <f t="shared" si="154"/>
        <v>343145050.82942021</v>
      </c>
      <c r="EU49" s="19">
        <f t="shared" si="155"/>
        <v>318643497.60061002</v>
      </c>
      <c r="EV49" s="19">
        <f t="shared" si="156"/>
        <v>329864889.83543175</v>
      </c>
      <c r="EW49" s="19">
        <f t="shared" si="157"/>
        <v>370094438.3340323</v>
      </c>
      <c r="EX49" s="19">
        <f t="shared" si="158"/>
        <v>411774060.99530423</v>
      </c>
      <c r="EY49" s="19">
        <f t="shared" si="159"/>
        <v>382372197.12073201</v>
      </c>
      <c r="EZ49" s="19">
        <f t="shared" si="23"/>
        <v>379344623.31074643</v>
      </c>
      <c r="FA49" s="19">
        <f t="shared" si="24"/>
        <v>425608604.08413714</v>
      </c>
      <c r="FB49" s="19">
        <f t="shared" si="25"/>
        <v>473540170.14459991</v>
      </c>
      <c r="FC49" s="19">
        <f t="shared" si="26"/>
        <v>439728026.68884182</v>
      </c>
      <c r="FE49" s="19">
        <f t="shared" si="120"/>
        <v>614752137.79999995</v>
      </c>
      <c r="FF49" s="19">
        <f t="shared" si="121"/>
        <v>752995954.30000007</v>
      </c>
      <c r="FG49" s="19">
        <f t="shared" si="122"/>
        <v>967058631.89999998</v>
      </c>
      <c r="FH49" s="19">
        <f t="shared" si="123"/>
        <v>1245087988.5712504</v>
      </c>
      <c r="FI49" s="19">
        <f t="shared" si="124"/>
        <v>1494105586.2855003</v>
      </c>
      <c r="FJ49" s="770">
        <f t="shared" si="32"/>
        <v>1718221424.2283254</v>
      </c>
      <c r="FK49" s="545" t="s">
        <v>1</v>
      </c>
    </row>
    <row r="50" spans="2:167" x14ac:dyDescent="0.2">
      <c r="B50" s="225" t="s">
        <v>310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f>'D2C Online'!C40</f>
        <v>0</v>
      </c>
      <c r="M50" s="19">
        <f>'D2C Online'!D40</f>
        <v>0</v>
      </c>
      <c r="N50" s="19">
        <f>'D2C Online'!E40</f>
        <v>0</v>
      </c>
      <c r="O50" s="19">
        <f>'D2C Online'!F40</f>
        <v>0</v>
      </c>
      <c r="P50" s="19">
        <f>'D2C Online'!G40</f>
        <v>0</v>
      </c>
      <c r="Q50" s="19">
        <f>'D2C Online'!H40</f>
        <v>0</v>
      </c>
      <c r="R50" s="19">
        <f>'D2C Online'!I40</f>
        <v>0</v>
      </c>
      <c r="S50" s="19">
        <f>'D2C Online'!J40</f>
        <v>0</v>
      </c>
      <c r="T50" s="19">
        <f>'D2C Online'!K40</f>
        <v>0</v>
      </c>
      <c r="U50" s="19">
        <f>'D2C Online'!L40</f>
        <v>0</v>
      </c>
      <c r="V50" s="19">
        <f>'D2C Online'!M40</f>
        <v>0</v>
      </c>
      <c r="W50" s="19">
        <f>'D2C Online'!N40</f>
        <v>0</v>
      </c>
      <c r="X50" s="19">
        <f>'D2C Online'!O40</f>
        <v>0</v>
      </c>
      <c r="Y50" s="19">
        <f>'D2C Online'!P40</f>
        <v>0</v>
      </c>
      <c r="Z50" s="19">
        <f>'D2C Online'!Q40</f>
        <v>0</v>
      </c>
      <c r="AA50" s="19">
        <f>'D2C Online'!R40</f>
        <v>0</v>
      </c>
      <c r="AB50" s="19">
        <f>'D2C Online'!S40</f>
        <v>0</v>
      </c>
      <c r="AC50" s="19">
        <f>'D2C Online'!T40+'D2C - Retail'!C34+'D2C - Retail'!C35</f>
        <v>3855584.01</v>
      </c>
      <c r="AD50" s="19">
        <f>'D2C Online'!U40+'D2C - Retail'!D34+'D2C - Retail'!D35</f>
        <v>4106966</v>
      </c>
      <c r="AE50" s="19">
        <f>'D2C Online'!V40+'D2C - Retail'!E34+'D2C - Retail'!E35</f>
        <v>4333550.51</v>
      </c>
      <c r="AF50" s="19">
        <f>'D2C Online'!W40+'D2C - Retail'!F34+'D2C - Retail'!F35</f>
        <v>3785324.8000000003</v>
      </c>
      <c r="AG50" s="19">
        <f>'D2C Online'!X40+'D2C - Retail'!G34+'D2C - Retail'!G35</f>
        <v>3549308.34</v>
      </c>
      <c r="AH50" s="19">
        <f>'D2C Online'!Y40+'D2C - Retail'!H34+'D2C - Retail'!H35</f>
        <v>3452754</v>
      </c>
      <c r="AI50" s="19">
        <f>'D2C Online'!Z40+'D2C - Retail'!I34+'D2C - Retail'!I35</f>
        <v>3507793.41</v>
      </c>
      <c r="AJ50" s="19">
        <f>'D2C Online'!AA40+'D2C - Retail'!J34+'D2C - Retail'!J35</f>
        <v>3548218.66</v>
      </c>
      <c r="AK50" s="19">
        <f>'D2C Online'!AB40+'D2C - Retail'!K34+'D2C - Retail'!K35</f>
        <v>3885216.0000000009</v>
      </c>
      <c r="AL50" s="19">
        <f>'D2C Online'!AC40+'D2C - Retail'!L34+'D2C - Retail'!L35</f>
        <v>4518735.97</v>
      </c>
      <c r="AM50" s="19">
        <f>'D2C Online'!AD40+'D2C - Retail'!M34+'D2C - Retail'!M35</f>
        <v>2754753.13</v>
      </c>
      <c r="AN50" s="19">
        <f>'D2C Online'!AE40+'D2C - Retail'!N34+'D2C - Retail'!N35</f>
        <v>7394.56</v>
      </c>
      <c r="AO50" s="19">
        <f>'D2C Online'!AF40+'D2C - Retail'!O34+'D2C - Retail'!O35</f>
        <v>4698123.91</v>
      </c>
      <c r="AP50" s="19">
        <f>'D2C Online'!AG40+'D2C - Retail'!P34+'D2C - Retail'!P35</f>
        <v>6695036.46</v>
      </c>
      <c r="AQ50" s="19">
        <f>'D2C Online'!AH40+'D2C - Retail'!Q34+'D2C - Retail'!Q35</f>
        <v>7224054.2799999993</v>
      </c>
      <c r="AR50" s="19">
        <f>'D2C Online'!AI40+'D2C - Retail'!R34+'D2C - Retail'!R35</f>
        <v>9073450</v>
      </c>
      <c r="AS50" s="19">
        <f>'D2C Online'!AJ40+'D2C - Retail'!S34+'D2C - Retail'!S35</f>
        <v>8678322.3399999999</v>
      </c>
      <c r="AT50" s="19">
        <f>'D2C Online'!AK40+'D2C - Retail'!T34+'D2C - Retail'!T35</f>
        <v>9314321.3600000069</v>
      </c>
      <c r="AU50" s="19">
        <f>'D2C Online'!AL40+'D2C - Retail'!U34+'D2C - Retail'!U35</f>
        <v>13318043.340000013</v>
      </c>
      <c r="AV50" s="19">
        <f>'D2C Online'!AM40+'D2C - Retail'!V34+'D2C - Retail'!V35</f>
        <v>13044841.750000002</v>
      </c>
      <c r="AW50" s="19">
        <f>'D2C Online'!AN40+'D2C - Retail'!W34+'D2C - Retail'!W35</f>
        <v>13007430.240000002</v>
      </c>
      <c r="AX50" s="19">
        <f>'D2C Online'!AO40+'D2C - Retail'!X34+'D2C - Retail'!X35</f>
        <v>13559378.300000001</v>
      </c>
      <c r="AY50" s="19">
        <f>'D2C Online'!AP40+'D2C - Retail'!Y34+'D2C - Retail'!Y35</f>
        <v>14442774.980000002</v>
      </c>
      <c r="AZ50" s="19">
        <f>'D2C Online'!AQ40+'D2C - Retail'!Z34+'D2C - Retail'!Z35</f>
        <v>16158667.18</v>
      </c>
      <c r="BA50" s="19">
        <f>'D2C Online'!AR40+'D2C - Retail'!AA34+'D2C - Retail'!AA35</f>
        <v>17135873.57</v>
      </c>
      <c r="BB50" s="19">
        <f>'D2C Online'!AS40+'D2C - Retail'!AB34+'D2C - Retail'!AB35</f>
        <v>19793986.179999992</v>
      </c>
      <c r="BC50" s="19">
        <f>'D2C Online'!AT40+'D2C - Retail'!AC34+'D2C - Retail'!AC35</f>
        <v>21423301.919999998</v>
      </c>
      <c r="BD50" s="19">
        <f>'D2C Online'!AU40+'D2C - Retail'!AD34+'D2C - Retail'!AD35</f>
        <v>21022921.509999998</v>
      </c>
      <c r="BE50" s="19">
        <f>'D2C Online'!AV40+'D2C - Retail'!AE34+'D2C - Retail'!AE35</f>
        <v>20006333.32</v>
      </c>
      <c r="BF50" s="19">
        <f>'D2C Online'!AW40+'D2C - Retail'!AF34+'D2C - Retail'!AF35</f>
        <v>19872844.25</v>
      </c>
      <c r="BG50" s="19">
        <f>'D2C Online'!AX40+'D2C - Retail'!AG34+'D2C - Retail'!AG35</f>
        <v>20212569.09</v>
      </c>
      <c r="BH50" s="19">
        <f>'D2C Online'!AY40+'D2C - Retail'!AH34+'D2C - Retail'!AH35</f>
        <v>22245831.109999999</v>
      </c>
      <c r="BI50" s="19">
        <f>'D2C Online'!AZ40+'D2C - Retail'!AI34+'D2C - Retail'!AI35</f>
        <v>21951680.920000002</v>
      </c>
      <c r="BJ50" s="19">
        <f>'D2C Online'!BA40+'D2C - Retail'!AJ34+'D2C - Retail'!AJ35</f>
        <v>22900452.419999998</v>
      </c>
      <c r="BK50" s="19">
        <f>'D2C Online'!BB40+'D2C - Retail'!AK34+'D2C - Retail'!AK35</f>
        <v>23804634.729500007</v>
      </c>
      <c r="BL50" s="19">
        <f>'D2C Online'!BC40+'D2C - Retail'!AL34+'D2C - Retail'!AL35</f>
        <v>24966485.999999996</v>
      </c>
      <c r="BM50" s="19">
        <f>'D2C Online'!BD40+'D2C - Retail'!AM34+'D2C - Retail'!AM35</f>
        <v>26469870.610000022</v>
      </c>
      <c r="BN50" s="19">
        <f>'D2C Online'!BE40+'D2C - Retail'!AN34+'D2C - Retail'!AN35</f>
        <v>27368811.799999997</v>
      </c>
      <c r="BO50" s="19">
        <f>'D2C Online'!BF40+'D2C - Retail'!AO34+'D2C - Retail'!AO35</f>
        <v>31249709.862000063</v>
      </c>
      <c r="BP50" s="19">
        <f>'D2C Online'!BG40+'D2C - Retail'!AP34+'D2C - Retail'!AP35</f>
        <v>28010891.030359998</v>
      </c>
      <c r="BQ50" s="19">
        <f>'D2C Online'!BH40+'D2C - Retail'!AQ34+'D2C - Retail'!AQ35</f>
        <v>32103452.921699986</v>
      </c>
      <c r="BR50" s="19">
        <f>'D2C Online'!BI40+'D2C - Retail'!AR34+'D2C - Retail'!AR35</f>
        <v>23971268.163940348</v>
      </c>
      <c r="BS50" s="19">
        <f>'D2C Online'!BJ40+'D2C - Retail'!AS34+'D2C - Retail'!AS35</f>
        <v>22623898.830960013</v>
      </c>
      <c r="BT50" s="19">
        <f>'D2C Online'!BK40+'D2C - Retail'!AT34+'D2C - Retail'!AT35</f>
        <v>21380656.909995697</v>
      </c>
      <c r="BU50" s="19">
        <f>'D2C Online'!BL40+'D2C - Retail'!AU34+'D2C - Retail'!AU35</f>
        <v>22317999.362155214</v>
      </c>
      <c r="BV50" s="19">
        <f>'D2C Online'!BM40+'D2C - Retail'!AV34+'D2C - Retail'!AV35</f>
        <v>25574583.989971936</v>
      </c>
      <c r="BW50" s="19">
        <f>'D2C Online'!BN40+'D2C - Retail'!AW34+'D2C - Retail'!AW35</f>
        <v>27071436.119972557</v>
      </c>
      <c r="BX50" s="19">
        <f>'D2C Online'!BO40+'D2C - Retail'!AX34+'D2C - Retail'!AX35</f>
        <v>28390045.1202107</v>
      </c>
      <c r="BY50" s="19">
        <f>'D2C Online'!BP40+'D2C - Retail'!AY34+'D2C - Retail'!AY35</f>
        <v>31218104.005038187</v>
      </c>
      <c r="BZ50" s="19">
        <f>'D2C Online'!BQ40+'D2C - Retail'!AZ34+'D2C - Retail'!AZ35</f>
        <v>32356468.750004139</v>
      </c>
      <c r="CA50" s="19">
        <f>'D2C Online'!BR40+'D2C - Retail'!BA34+'D2C - Retail'!BA35</f>
        <v>31697574.859999996</v>
      </c>
      <c r="CB50" s="19">
        <f>'D2C Online'!BS40+'D2C - Retail'!BB34+'D2C - Retail'!BB35</f>
        <v>28755322.906617671</v>
      </c>
      <c r="CC50" s="19">
        <f>'D2C Online'!BT40+'D2C - Retail'!BC34+'D2C - Retail'!BC35</f>
        <v>33792530.861587428</v>
      </c>
      <c r="CD50" s="19">
        <f>'D2C Online'!BU40+'D2C - Retail'!BD34+'D2C - Retail'!BD35</f>
        <v>29474410.620000005</v>
      </c>
      <c r="CE50" s="19">
        <f>'D2C Online'!BV40+'D2C - Retail'!BE34+'D2C - Retail'!BE35</f>
        <v>34572785.636187755</v>
      </c>
      <c r="CF50" s="19">
        <f>'D2C Online'!BW40+'D2C - Retail'!BF34+'D2C - Retail'!BF35</f>
        <v>34137067.819999903</v>
      </c>
      <c r="CG50" s="19">
        <f>'D2C Online'!BX40+'D2C - Retail'!BG34+'D2C - Retail'!BG35</f>
        <v>30293358.169999931</v>
      </c>
      <c r="CH50" s="19">
        <f>'D2C Online'!BY40+'D2C - Retail'!BH34+'D2C - Retail'!BH35</f>
        <v>38254753.189999998</v>
      </c>
      <c r="CI50" s="19">
        <f>'D2C Online'!BZ40+'D2C - Retail'!BI34+'D2C - Retail'!BI35</f>
        <v>38241732.560000002</v>
      </c>
      <c r="CJ50" s="19">
        <f>'D2C Online'!CA40+'D2C - Retail'!BJ34+'D2C - Retail'!BJ35</f>
        <v>40010303.889999993</v>
      </c>
      <c r="CK50" s="19">
        <f>'D2C Online'!CB40+'D2C - Retail'!BK34+'D2C - Retail'!BK35</f>
        <v>37004432.425714172</v>
      </c>
      <c r="CL50" s="19">
        <f>'D2C Online'!CC40+'D2C - Retail'!BL34+'D2C - Retail'!BL35</f>
        <v>42787885.245714284</v>
      </c>
      <c r="CM50" s="19">
        <f>'D2C Online'!CD40+'D2C - Retail'!BM34+'D2C - Retail'!BM35</f>
        <v>44987060.829999998</v>
      </c>
      <c r="CN50" s="19">
        <f>'D2C Online'!CE40+'D2C - Retail'!BN34+'D2C - Retail'!BN35</f>
        <v>43404225.229999997</v>
      </c>
      <c r="CO50" s="19">
        <f>'D2C Online'!CF40+'D2C - Retail'!BO34+'D2C - Retail'!BO35</f>
        <v>49438529.159999996</v>
      </c>
      <c r="CP50" s="19">
        <f>'D2C Online'!CG40+'D2C - Retail'!BP34+'D2C - Retail'!BP35</f>
        <v>47516929.219999999</v>
      </c>
      <c r="CQ50" s="19">
        <f>'D2C Online'!CH40+'D2C - Retail'!BQ34+'D2C - Retail'!BQ35</f>
        <v>59255297.740000024</v>
      </c>
      <c r="CR50" s="19">
        <f>'D2C Online'!CI40+'D2C - Retail'!BR34+'D2C - Retail'!BR35</f>
        <v>58174140.580000013</v>
      </c>
      <c r="CS50" s="19">
        <f>'D2C Online'!CJ40+'D2C - Retail'!BS34+'D2C - Retail'!BS35</f>
        <v>55623259.200000025</v>
      </c>
      <c r="CT50" s="19">
        <f>'D2C Online'!CK40+'D2C - Retail'!BT34+'D2C - Retail'!BT35</f>
        <v>81605981.620000035</v>
      </c>
      <c r="CU50" s="19">
        <f>'D2C Online'!CL40+'D2C - Retail'!BU34+'D2C - Retail'!BU35</f>
        <v>57041884.791193597</v>
      </c>
      <c r="CV50" s="19">
        <f>'D2C Online'!CM40+'D2C - Retail'!BV34+'D2C - Retail'!BV35</f>
        <v>57529533.98890689</v>
      </c>
      <c r="CW50" s="19">
        <f>'D2C Online'!CN40+'D2C - Retail'!BW34+'D2C - Retail'!BW35</f>
        <v>58186161.189615302</v>
      </c>
      <c r="CX50" s="19">
        <f>'D2C Online'!CO40+'D2C - Retail'!BX34+'D2C - Retail'!BX35</f>
        <v>58697490.666245252</v>
      </c>
      <c r="CY50" s="19">
        <f>'D2C Online'!CP40+'D2C - Retail'!BY34+'D2C - Retail'!BY35</f>
        <v>59080667.027082972</v>
      </c>
      <c r="CZ50" s="19">
        <f>'D2C Online'!CQ40+'D2C - Retail'!BZ34+'D2C - Retail'!BZ35</f>
        <v>60385234.062683702</v>
      </c>
      <c r="DA50" s="19">
        <f>'D2C Online'!CR40+'D2C - Retail'!CA34+'D2C - Retail'!CA35</f>
        <v>60688515.374546021</v>
      </c>
      <c r="DB50" s="19">
        <f>'D2C Online'!CS40+'D2C - Retail'!CB34+'D2C - Retail'!CB35</f>
        <v>61359801.79553616</v>
      </c>
      <c r="DC50" s="19">
        <f>'D2C Online'!CT40+'D2C - Retail'!CC34+'D2C - Retail'!CC35</f>
        <v>62896149.059557587</v>
      </c>
      <c r="DD50" s="19">
        <f>'D2C Online'!CU40+'D2C - Retail'!CD34+'D2C - Retail'!CD35</f>
        <v>63794538.333241589</v>
      </c>
      <c r="DE50" s="19">
        <f>'D2C Online'!CV40+'D2C - Retail'!CE34+'D2C - Retail'!CE35</f>
        <v>63545112.957306355</v>
      </c>
      <c r="DF50" s="19">
        <f>'D2C Online'!CW40+'D2C - Retail'!CF34+'D2C - Retail'!CF35</f>
        <v>64865466.845518149</v>
      </c>
      <c r="DG50" s="19">
        <f>'D2C Online'!CX40+'D2C - Retail'!CG34+'D2C - Retail'!CG35</f>
        <v>64945652.443947688</v>
      </c>
      <c r="DH50" s="19">
        <f>'D2C Online'!CY40+'D2C - Retail'!CH34+'D2C - Retail'!CH35</f>
        <v>65662095.042521216</v>
      </c>
      <c r="DI50" s="19">
        <f>'D2C Online'!CZ40+'D2C - Retail'!CI34+'D2C - Retail'!CI35</f>
        <v>66098094.73283644</v>
      </c>
      <c r="DJ50" s="19">
        <f>'D2C Online'!DA40+'D2C - Retail'!CJ34+'D2C - Retail'!CJ35</f>
        <v>66622583.255887911</v>
      </c>
      <c r="DK50" s="19">
        <f>'D2C Online'!DB40+'D2C - Retail'!CK34+'D2C - Retail'!CK35</f>
        <v>66954683.792275205</v>
      </c>
      <c r="DL50" s="19">
        <f>'D2C Online'!DC40+'D2C - Retail'!CL34+'D2C - Retail'!CL35</f>
        <v>68337580.961910933</v>
      </c>
      <c r="DM50" s="19">
        <f>'D2C Online'!DD40+'D2C - Retail'!CM34+'D2C - Retail'!CM35</f>
        <v>68395633.067896321</v>
      </c>
      <c r="DN50" s="19">
        <f>'D2C Online'!DE40+'D2C - Retail'!CN34+'D2C - Retail'!CN35</f>
        <v>68848996.604635283</v>
      </c>
      <c r="DO50" s="19">
        <f>'D2C Online'!DF40+'D2C - Retail'!CO34+'D2C - Retail'!CO35</f>
        <v>70367615.330953151</v>
      </c>
      <c r="DP50" s="19">
        <f>'D2C Online'!DG40+'D2C - Retail'!CP34+'D2C - Retail'!CP35</f>
        <v>71130572.817716271</v>
      </c>
      <c r="DQ50" s="19">
        <f>'D2C Online'!DH40+'D2C - Retail'!CQ34+'D2C - Retail'!CQ35</f>
        <v>70493353.230997205</v>
      </c>
      <c r="DR50" s="19">
        <f>'D2C Online'!DI40+'D2C - Retail'!CR34+'D2C - Retail'!CR35</f>
        <v>71234939.829854354</v>
      </c>
      <c r="DS50" s="19">
        <f>'D2C Online'!DJ40+'D2C - Retail'!CS34+'D2C - Retail'!CS35</f>
        <v>71248738.429177612</v>
      </c>
      <c r="DT50" s="19">
        <f>'D2C Online'!DK40+'D2C - Retail'!CT34+'D2C - Retail'!CT35</f>
        <v>71975592.824162886</v>
      </c>
      <c r="DU50" s="19">
        <f>'D2C Online'!DL40+'D2C - Retail'!CU34+'D2C - Retail'!CU35</f>
        <v>72410853.215324655</v>
      </c>
      <c r="DV50" s="19">
        <f>'D2C Online'!DM40+'D2C - Retail'!CV34+'D2C - Retail'!CV35</f>
        <v>72950928.628862381</v>
      </c>
      <c r="DW50" s="19">
        <f>'D2C Online'!DN40+'D2C - Retail'!CW34+'D2C - Retail'!CW35</f>
        <v>73222529.851188138</v>
      </c>
      <c r="DX50" s="19">
        <f>'D2C Online'!DO40+'D2C - Retail'!CX34+'D2C - Retail'!CX35</f>
        <v>74698209.064588338</v>
      </c>
      <c r="DY50" s="19">
        <f>'D2C Online'!DP40+'D2C - Retail'!CY34+'D2C - Retail'!CY35</f>
        <v>74726381.163119808</v>
      </c>
      <c r="DZ50" s="19">
        <f>'D2C Online'!DQ40+'D2C - Retail'!CZ34+'D2C - Retail'!CZ35</f>
        <v>75182209.030370459</v>
      </c>
      <c r="EA50" s="19">
        <f>'D2C Online'!DR40+'D2C - Retail'!DA34+'D2C - Retail'!DA35</f>
        <v>76940422.290685743</v>
      </c>
      <c r="EB50" s="19">
        <f>'D2C Online'!DS40+'D2C - Retail'!DB34+'D2C - Retail'!DB35</f>
        <v>77803554.812748402</v>
      </c>
      <c r="EC50" s="19">
        <f>'D2C Online'!DT40+'D2C - Retail'!DC34+'D2C - Retail'!DC35</f>
        <v>76967586.970262825</v>
      </c>
      <c r="ED50" s="19">
        <f>'D2C Online'!DU40+'D2C - Retail'!DD34+'D2C - Retail'!DD35</f>
        <v>77805405.675600693</v>
      </c>
      <c r="EE50" s="222"/>
      <c r="EF50" s="19">
        <f t="shared" si="140"/>
        <v>75240991.339500025</v>
      </c>
      <c r="EG50" s="19">
        <f t="shared" si="141"/>
        <v>86629412.692360058</v>
      </c>
      <c r="EH50" s="19">
        <f t="shared" si="142"/>
        <v>78698619.916600347</v>
      </c>
      <c r="EI50" s="19">
        <f t="shared" si="143"/>
        <v>69273240.26212284</v>
      </c>
      <c r="EJ50" s="19">
        <f t="shared" si="144"/>
        <v>86679585.245221436</v>
      </c>
      <c r="EK50" s="19">
        <f t="shared" si="145"/>
        <v>92809366.516621798</v>
      </c>
      <c r="EL50" s="19">
        <f t="shared" si="146"/>
        <v>97839727.117775187</v>
      </c>
      <c r="EM50" s="19">
        <f t="shared" si="147"/>
        <v>102685179.17999983</v>
      </c>
      <c r="EN50" s="19">
        <f t="shared" si="148"/>
        <v>115256468.87571415</v>
      </c>
      <c r="EO50" s="19">
        <f t="shared" si="149"/>
        <v>131179171.30571428</v>
      </c>
      <c r="EP50" s="19">
        <f t="shared" si="150"/>
        <v>156210756.12</v>
      </c>
      <c r="EQ50" s="19">
        <f t="shared" si="151"/>
        <v>195403381.40000007</v>
      </c>
      <c r="ER50" s="19">
        <f t="shared" si="152"/>
        <v>172757579.9697158</v>
      </c>
      <c r="ES50" s="19">
        <f t="shared" si="153"/>
        <v>178163391.75601193</v>
      </c>
      <c r="ET50" s="19">
        <f t="shared" si="154"/>
        <v>184944466.22963977</v>
      </c>
      <c r="EU50" s="19">
        <f t="shared" si="155"/>
        <v>192205118.13606608</v>
      </c>
      <c r="EV50" s="19">
        <f t="shared" si="156"/>
        <v>196705842.21930534</v>
      </c>
      <c r="EW50" s="19">
        <f t="shared" si="157"/>
        <v>201914848.01007405</v>
      </c>
      <c r="EX50" s="19">
        <f t="shared" si="158"/>
        <v>207612245.00348476</v>
      </c>
      <c r="EY50" s="19">
        <f t="shared" si="159"/>
        <v>212858865.87856781</v>
      </c>
      <c r="EZ50" s="19">
        <f t="shared" si="23"/>
        <v>215635184.46866512</v>
      </c>
      <c r="FA50" s="19">
        <f t="shared" si="24"/>
        <v>220871667.54463884</v>
      </c>
      <c r="FB50" s="19">
        <f t="shared" si="25"/>
        <v>226849012.48417601</v>
      </c>
      <c r="FC50" s="19">
        <f t="shared" si="26"/>
        <v>232576547.45861191</v>
      </c>
      <c r="FE50" s="19">
        <f t="shared" si="120"/>
        <v>309842264.21058327</v>
      </c>
      <c r="FF50" s="19">
        <f t="shared" si="121"/>
        <v>380013858.05961823</v>
      </c>
      <c r="FG50" s="19">
        <f t="shared" si="122"/>
        <v>598049777.70142853</v>
      </c>
      <c r="FH50" s="19">
        <f t="shared" si="123"/>
        <v>728070556.09143353</v>
      </c>
      <c r="FI50" s="19">
        <f t="shared" si="124"/>
        <v>819091801.11143196</v>
      </c>
      <c r="FJ50" s="770">
        <f t="shared" si="32"/>
        <v>895932411.95609188</v>
      </c>
      <c r="FK50" s="545" t="s">
        <v>1</v>
      </c>
    </row>
    <row r="51" spans="2:167" x14ac:dyDescent="0.2">
      <c r="B51" s="225" t="s">
        <v>311</v>
      </c>
      <c r="C51" s="19">
        <f>'P&amp;L - Inputs'!B745</f>
        <v>0</v>
      </c>
      <c r="D51" s="19">
        <f>'P&amp;L - Inputs'!C745</f>
        <v>0</v>
      </c>
      <c r="E51" s="19">
        <f>'P&amp;L - Inputs'!D745</f>
        <v>0</v>
      </c>
      <c r="F51" s="19">
        <f>'P&amp;L - Inputs'!E745</f>
        <v>0</v>
      </c>
      <c r="G51" s="19">
        <f>'P&amp;L - Inputs'!F745</f>
        <v>0</v>
      </c>
      <c r="H51" s="19">
        <f>'P&amp;L - Inputs'!G745</f>
        <v>0</v>
      </c>
      <c r="I51" s="19">
        <f>'P&amp;L - Inputs'!H745</f>
        <v>0</v>
      </c>
      <c r="J51" s="19">
        <f>'P&amp;L - Inputs'!I745</f>
        <v>0</v>
      </c>
      <c r="K51" s="19">
        <f>'P&amp;L - Inputs'!J745</f>
        <v>0</v>
      </c>
      <c r="L51" s="19">
        <f>'P&amp;L - Inputs'!K745</f>
        <v>0</v>
      </c>
      <c r="M51" s="19">
        <f>'P&amp;L - Inputs'!L745</f>
        <v>0</v>
      </c>
      <c r="N51" s="19">
        <f>'P&amp;L - Inputs'!M745</f>
        <v>0</v>
      </c>
      <c r="O51" s="19">
        <f>'P&amp;L - Inputs'!N745</f>
        <v>0</v>
      </c>
      <c r="P51" s="19">
        <f>'P&amp;L - Inputs'!O745</f>
        <v>0</v>
      </c>
      <c r="Q51" s="19">
        <f>'P&amp;L - Inputs'!P745</f>
        <v>0</v>
      </c>
      <c r="R51" s="19">
        <f>'P&amp;L - Inputs'!Q745</f>
        <v>0</v>
      </c>
      <c r="S51" s="19">
        <f>'P&amp;L - Inputs'!R745</f>
        <v>0</v>
      </c>
      <c r="T51" s="19">
        <f>'P&amp;L - Inputs'!S745</f>
        <v>0</v>
      </c>
      <c r="U51" s="19">
        <f>'P&amp;L - Inputs'!T745</f>
        <v>0</v>
      </c>
      <c r="V51" s="19">
        <f>'P&amp;L - Inputs'!U745</f>
        <v>0</v>
      </c>
      <c r="W51" s="19">
        <f>'P&amp;L - Inputs'!V745</f>
        <v>0</v>
      </c>
      <c r="X51" s="19">
        <f>'P&amp;L - Inputs'!W745</f>
        <v>0</v>
      </c>
      <c r="Y51" s="19">
        <f>'P&amp;L - Inputs'!X745</f>
        <v>0</v>
      </c>
      <c r="Z51" s="19">
        <f>'P&amp;L - Inputs'!Y745</f>
        <v>0</v>
      </c>
      <c r="AA51" s="19">
        <f>'P&amp;L - Inputs'!Z745</f>
        <v>0</v>
      </c>
      <c r="AB51" s="19">
        <f>'P&amp;L - Inputs'!AA745</f>
        <v>0</v>
      </c>
      <c r="AC51" s="19">
        <f>'P&amp;L - Inputs'!AB745</f>
        <v>0</v>
      </c>
      <c r="AD51" s="19">
        <f>'P&amp;L - Inputs'!AC745</f>
        <v>1016444.9199999999</v>
      </c>
      <c r="AE51" s="19">
        <f>'P&amp;L - Inputs'!AD745</f>
        <v>1285256</v>
      </c>
      <c r="AF51" s="19">
        <f>'P&amp;L - Inputs'!AE745</f>
        <v>1791138.52</v>
      </c>
      <c r="AG51" s="19">
        <f>'P&amp;L - Inputs'!AF745</f>
        <v>2109889.56</v>
      </c>
      <c r="AH51" s="19">
        <f>'P&amp;L - Inputs'!AG745</f>
        <v>1307895.48</v>
      </c>
      <c r="AI51" s="19">
        <f>'P&amp;L - Inputs'!AH745</f>
        <v>3331132.92</v>
      </c>
      <c r="AJ51" s="19">
        <f>'P&amp;L - Inputs'!AI745</f>
        <v>1285239.48</v>
      </c>
      <c r="AK51" s="19">
        <f>'P&amp;L - Inputs'!AJ745</f>
        <v>874972.36</v>
      </c>
      <c r="AL51" s="19">
        <f>'P&amp;L - Inputs'!AK745</f>
        <v>939999.8</v>
      </c>
      <c r="AM51" s="19">
        <f>'P&amp;L - Inputs'!AL745</f>
        <v>859040</v>
      </c>
      <c r="AN51" s="19">
        <f>'P&amp;L - Inputs'!AM745</f>
        <v>1118369.78</v>
      </c>
      <c r="AO51" s="19">
        <f>'P&amp;L - Inputs'!AN745</f>
        <v>1321600</v>
      </c>
      <c r="AP51" s="19">
        <f>'P&amp;L - Inputs'!AO745</f>
        <v>2256571.8199999998</v>
      </c>
      <c r="AQ51" s="19">
        <f>'P&amp;L - Inputs'!AP745</f>
        <v>2048480</v>
      </c>
      <c r="AR51" s="19">
        <f>'P&amp;L - Inputs'!AQ745</f>
        <v>5765480</v>
      </c>
      <c r="AS51" s="19">
        <f>'P&amp;L - Inputs'!AR745</f>
        <v>4057961</v>
      </c>
      <c r="AT51" s="19">
        <f>'P&amp;L - Inputs'!AS745</f>
        <v>2852192.0183999999</v>
      </c>
      <c r="AU51" s="19">
        <f>'P&amp;L - Inputs'!AT745</f>
        <v>1320307.7112</v>
      </c>
      <c r="AV51" s="19">
        <f>'P&amp;L - Inputs'!AU745</f>
        <v>3300129.8832</v>
      </c>
      <c r="AW51" s="19">
        <f>'P&amp;L - Inputs'!AV745</f>
        <v>1611452.4624000001</v>
      </c>
      <c r="AX51" s="19">
        <f>'P&amp;L - Inputs'!AW745</f>
        <v>2020024.064</v>
      </c>
      <c r="AY51" s="19">
        <f>'P&amp;L - Inputs'!AX745</f>
        <v>1729831.7144000004</v>
      </c>
      <c r="AZ51" s="19">
        <f>'P&amp;L - Inputs'!AY745</f>
        <v>1823880.9240000001</v>
      </c>
      <c r="BA51" s="19">
        <f>'P&amp;L - Inputs'!AZ745</f>
        <v>2497155.0816000002</v>
      </c>
      <c r="BB51" s="19">
        <f>'P&amp;L - Inputs'!BA745</f>
        <v>2001015.7272000001</v>
      </c>
      <c r="BC51" s="19">
        <f>'P&amp;L - Inputs'!BB745</f>
        <v>2001015.7272000001</v>
      </c>
      <c r="BD51" s="19">
        <f>'P&amp;L - Inputs'!BC745</f>
        <v>3124726.6119999997</v>
      </c>
      <c r="BE51" s="19">
        <f>'P&amp;L - Inputs'!BD745</f>
        <v>2548494.6632000003</v>
      </c>
      <c r="BF51" s="19">
        <f>'P&amp;L - Inputs'!BE745</f>
        <v>731466.51840000018</v>
      </c>
      <c r="BG51" s="19">
        <f>'P&amp;L - Inputs'!BF745</f>
        <v>1180734.8047999998</v>
      </c>
      <c r="BH51" s="19">
        <f>'P&amp;L - Inputs'!BG745</f>
        <v>1521225.5984</v>
      </c>
      <c r="BI51" s="19">
        <f>'P&amp;L - Inputs'!BH745</f>
        <v>1247324.260338983</v>
      </c>
      <c r="BJ51" s="19">
        <f>'P&amp;L - Inputs'!BI745</f>
        <v>1497573.7616000001</v>
      </c>
      <c r="BK51" s="19">
        <f>'P&amp;L - Inputs'!BJ745</f>
        <v>1383701.9047999999</v>
      </c>
      <c r="BL51" s="19">
        <f>'P&amp;L - Inputs'!BK745</f>
        <v>1486206.9047999999</v>
      </c>
      <c r="BM51" s="19">
        <f>'P&amp;L - Inputs'!BL745</f>
        <v>989612.38080000004</v>
      </c>
      <c r="BN51" s="19">
        <f>'P&amp;L - Inputs'!BM745</f>
        <v>1334373.6888000001</v>
      </c>
      <c r="BO51" s="19">
        <f>'P&amp;L - Inputs'!BN745</f>
        <v>1705493.1816000002</v>
      </c>
      <c r="BP51" s="19">
        <f>'P&amp;L - Inputs'!BO745</f>
        <v>1267346.8152000001</v>
      </c>
      <c r="BQ51" s="19">
        <f>'P&amp;L - Inputs'!BP745</f>
        <v>2895478.4304000004</v>
      </c>
      <c r="BR51" s="19">
        <f>'P&amp;L - Inputs'!BQ745</f>
        <v>1123084.9656</v>
      </c>
      <c r="BS51" s="19">
        <f>'P&amp;L - Inputs'!BR745</f>
        <v>1316880</v>
      </c>
      <c r="BT51" s="19">
        <f>'P&amp;L - Inputs'!BS745</f>
        <v>1476936.1440000001</v>
      </c>
      <c r="BU51" s="19">
        <f>'P&amp;L - Inputs'!BT745</f>
        <v>1077727.3703999999</v>
      </c>
      <c r="BV51" s="19">
        <f>'P&amp;L - Inputs'!BU745</f>
        <v>1219241.4192000001</v>
      </c>
      <c r="BW51" s="19">
        <f>'P&amp;L - Inputs'!BV745</f>
        <v>1197662.8536</v>
      </c>
      <c r="BX51" s="19">
        <f>'P&amp;L - Inputs'!BW745</f>
        <v>1189440</v>
      </c>
      <c r="BY51" s="19">
        <f>'P&amp;L - Inputs'!BX745</f>
        <v>1523074.0968000004</v>
      </c>
      <c r="BZ51" s="19">
        <f>'P&amp;L - Inputs'!BY745</f>
        <v>1693584.9935999999</v>
      </c>
      <c r="CA51" s="19">
        <f>'P&amp;L - Inputs'!BZ745</f>
        <v>2813167.6720000003</v>
      </c>
      <c r="CB51" s="19">
        <f>'P&amp;L - Inputs'!CA745</f>
        <v>5081382.5120000001</v>
      </c>
      <c r="CC51" s="19">
        <f>'P&amp;L - Inputs'!CB745</f>
        <v>3633293.3959999997</v>
      </c>
      <c r="CD51" s="19">
        <f>'P&amp;L - Inputs'!CC745</f>
        <v>4427961.9179999996</v>
      </c>
      <c r="CE51" s="19">
        <f>'P&amp;L - Inputs'!CD745</f>
        <v>3285398.0079999999</v>
      </c>
      <c r="CF51" s="19">
        <f>'P&amp;L - Inputs'!CE745</f>
        <v>2490653.2579999999</v>
      </c>
      <c r="CG51" s="19">
        <f>'P&amp;L - Inputs'!CF745</f>
        <v>1951079.142</v>
      </c>
      <c r="CH51" s="19">
        <f>'P&amp;L - Inputs'!CG745</f>
        <v>3003397.36</v>
      </c>
      <c r="CI51" s="19">
        <f>'P&amp;L - Inputs'!CH745</f>
        <v>2053277.7619999999</v>
      </c>
      <c r="CJ51" s="19">
        <f>'P&amp;L - Inputs'!CI745</f>
        <v>1506710.4939999999</v>
      </c>
      <c r="CK51" s="19">
        <f>'P&amp;L - Inputs'!CJ745</f>
        <v>2962532.7327999999</v>
      </c>
      <c r="CL51" s="19">
        <f>'P&amp;L - Inputs'!CK745</f>
        <v>4308387.9160000002</v>
      </c>
      <c r="CM51" s="19">
        <f>'P&amp;L - Inputs'!CL745</f>
        <v>4130412.8819999998</v>
      </c>
      <c r="CN51" s="19">
        <f>'P&amp;L - Inputs'!CM745</f>
        <v>5168630.1118000001</v>
      </c>
      <c r="CO51" s="19">
        <f>'P&amp;L - Inputs'!CN745</f>
        <v>4180598.4354000003</v>
      </c>
      <c r="CP51" s="19">
        <f>'P&amp;L - Inputs'!CO745</f>
        <v>3680104.5623999997</v>
      </c>
      <c r="CQ51" s="19">
        <f>'P&amp;L - Inputs'!CP745</f>
        <v>3750100.3569999998</v>
      </c>
      <c r="CR51" s="19">
        <f>'P&amp;L - Inputs'!CQ745</f>
        <v>2337991.3480000002</v>
      </c>
      <c r="CS51" s="19">
        <f>'P&amp;L - Inputs'!CR745</f>
        <v>4638085.9221999999</v>
      </c>
      <c r="CT51" s="19">
        <f>'P&amp;L - Inputs'!CS745</f>
        <v>7301025.8117999993</v>
      </c>
      <c r="CU51" s="19">
        <f>'P&amp;L - Inputs'!CT745</f>
        <v>2053277.7619999999</v>
      </c>
      <c r="CV51" s="19">
        <f>'P&amp;L - Inputs'!CU745</f>
        <v>1506710.4939999999</v>
      </c>
      <c r="CW51" s="19">
        <f>'P&amp;L - Inputs'!CV745</f>
        <v>2962532.7327999999</v>
      </c>
      <c r="CX51" s="19">
        <f>'P&amp;L - Inputs'!CW745</f>
        <v>4308387.9160000002</v>
      </c>
      <c r="CY51" s="19">
        <f>'P&amp;L - Inputs'!CX745</f>
        <v>4130412.8819999998</v>
      </c>
      <c r="CZ51" s="19">
        <f>'P&amp;L - Inputs'!CY745</f>
        <v>5168630.1118000001</v>
      </c>
      <c r="DA51" s="19">
        <f>'P&amp;L - Inputs'!CZ745</f>
        <v>4180598.4354000003</v>
      </c>
      <c r="DB51" s="19">
        <f>'P&amp;L - Inputs'!DA745</f>
        <v>3680104.5623999997</v>
      </c>
      <c r="DC51" s="19">
        <f>'P&amp;L - Inputs'!DB745</f>
        <v>3750100.3569999998</v>
      </c>
      <c r="DD51" s="19">
        <f>'P&amp;L - Inputs'!DC745</f>
        <v>2337991.3480000002</v>
      </c>
      <c r="DE51" s="19">
        <f>'P&amp;L - Inputs'!DD745</f>
        <v>4638085.9221999999</v>
      </c>
      <c r="DF51" s="19">
        <f>'P&amp;L - Inputs'!DE745</f>
        <v>7301025.8117999993</v>
      </c>
      <c r="DG51" s="19">
        <f>'P&amp;L - Inputs'!DF745</f>
        <v>2053277.7619999999</v>
      </c>
      <c r="DH51" s="19">
        <f>'P&amp;L - Inputs'!DG745</f>
        <v>1506710.4939999999</v>
      </c>
      <c r="DI51" s="19">
        <f>'P&amp;L - Inputs'!DH745</f>
        <v>2962532.7327999999</v>
      </c>
      <c r="DJ51" s="19">
        <f>'P&amp;L - Inputs'!DI745</f>
        <v>4308387.9160000002</v>
      </c>
      <c r="DK51" s="19">
        <f>'P&amp;L - Inputs'!DJ745</f>
        <v>4130412.8819999998</v>
      </c>
      <c r="DL51" s="19">
        <f>'P&amp;L - Inputs'!DK745</f>
        <v>5168630.1118000001</v>
      </c>
      <c r="DM51" s="19">
        <f>'P&amp;L - Inputs'!DL745</f>
        <v>4180598.4354000003</v>
      </c>
      <c r="DN51" s="19">
        <f>'P&amp;L - Inputs'!DM745</f>
        <v>3680104.5623999997</v>
      </c>
      <c r="DO51" s="19">
        <f>'P&amp;L - Inputs'!DN745</f>
        <v>3750100.3569999998</v>
      </c>
      <c r="DP51" s="19">
        <f>'P&amp;L - Inputs'!DO745</f>
        <v>2337991.3480000002</v>
      </c>
      <c r="DQ51" s="19">
        <f>'P&amp;L - Inputs'!DP745</f>
        <v>4638085.9221999999</v>
      </c>
      <c r="DR51" s="19">
        <f>'P&amp;L - Inputs'!DQ745</f>
        <v>7301025.8117999993</v>
      </c>
      <c r="DS51" s="19">
        <f>'P&amp;L - Inputs'!DR745</f>
        <v>2053277.7619999999</v>
      </c>
      <c r="DT51" s="19">
        <f>'P&amp;L - Inputs'!DS745</f>
        <v>1506710.4939999999</v>
      </c>
      <c r="DU51" s="19">
        <f>'P&amp;L - Inputs'!DT745</f>
        <v>2962532.7327999999</v>
      </c>
      <c r="DV51" s="19">
        <f>'P&amp;L - Inputs'!DU745</f>
        <v>4308387.9160000002</v>
      </c>
      <c r="DW51" s="19">
        <f>'P&amp;L - Inputs'!DV745</f>
        <v>4130412.8819999998</v>
      </c>
      <c r="DX51" s="19">
        <f>'P&amp;L - Inputs'!DW745</f>
        <v>5168630.1118000001</v>
      </c>
      <c r="DY51" s="19">
        <f>'P&amp;L - Inputs'!DX745</f>
        <v>4180598.4354000003</v>
      </c>
      <c r="DZ51" s="19">
        <f>'P&amp;L - Inputs'!DY745</f>
        <v>3680104.5623999997</v>
      </c>
      <c r="EA51" s="19">
        <f>'P&amp;L - Inputs'!DZ745</f>
        <v>3750100.3569999998</v>
      </c>
      <c r="EB51" s="19">
        <f>'P&amp;L - Inputs'!EA745</f>
        <v>2337991.3480000002</v>
      </c>
      <c r="EC51" s="19">
        <f>'P&amp;L - Inputs'!EB745</f>
        <v>4638085.9221999999</v>
      </c>
      <c r="ED51" s="19">
        <f>'P&amp;L - Inputs'!EC745</f>
        <v>7301025.8117999993</v>
      </c>
      <c r="EE51" s="222"/>
      <c r="EF51" s="19">
        <f t="shared" si="140"/>
        <v>3859521.1903999997</v>
      </c>
      <c r="EG51" s="19">
        <f t="shared" si="141"/>
        <v>4307213.6856000004</v>
      </c>
      <c r="EH51" s="19">
        <f t="shared" si="142"/>
        <v>5335443.3960000006</v>
      </c>
      <c r="EI51" s="19">
        <f t="shared" si="143"/>
        <v>3773904.9336000001</v>
      </c>
      <c r="EJ51" s="19">
        <f t="shared" si="144"/>
        <v>3910176.9504000004</v>
      </c>
      <c r="EK51" s="19">
        <f t="shared" si="145"/>
        <v>9588135.1776000001</v>
      </c>
      <c r="EL51" s="19">
        <f t="shared" si="146"/>
        <v>11346653.321999999</v>
      </c>
      <c r="EM51" s="19">
        <f t="shared" si="147"/>
        <v>7445129.7599999998</v>
      </c>
      <c r="EN51" s="19">
        <f t="shared" si="148"/>
        <v>6522520.9888000004</v>
      </c>
      <c r="EO51" s="19">
        <f t="shared" si="149"/>
        <v>13607430.9098</v>
      </c>
      <c r="EP51" s="19">
        <f t="shared" si="150"/>
        <v>11610803.354800001</v>
      </c>
      <c r="EQ51" s="19">
        <f t="shared" si="151"/>
        <v>14277103.081999999</v>
      </c>
      <c r="ER51" s="19">
        <f t="shared" si="152"/>
        <v>6522520.9888000004</v>
      </c>
      <c r="ES51" s="19">
        <f t="shared" si="153"/>
        <v>13607430.9098</v>
      </c>
      <c r="ET51" s="19">
        <f t="shared" si="154"/>
        <v>11610803.354800001</v>
      </c>
      <c r="EU51" s="19">
        <f t="shared" si="155"/>
        <v>14277103.081999999</v>
      </c>
      <c r="EV51" s="19">
        <f t="shared" si="156"/>
        <v>6522520.9888000004</v>
      </c>
      <c r="EW51" s="19">
        <f t="shared" si="157"/>
        <v>13607430.9098</v>
      </c>
      <c r="EX51" s="19">
        <f t="shared" si="158"/>
        <v>11610803.354800001</v>
      </c>
      <c r="EY51" s="19">
        <f t="shared" si="159"/>
        <v>14277103.081999999</v>
      </c>
      <c r="EZ51" s="19">
        <f t="shared" si="23"/>
        <v>6522520.9888000004</v>
      </c>
      <c r="FA51" s="19">
        <f t="shared" si="24"/>
        <v>13607430.9098</v>
      </c>
      <c r="FB51" s="19">
        <f t="shared" si="25"/>
        <v>11610803.354800001</v>
      </c>
      <c r="FC51" s="19">
        <f t="shared" si="26"/>
        <v>14277103.081999999</v>
      </c>
      <c r="FE51" s="19">
        <f t="shared" si="120"/>
        <v>17276083.205600001</v>
      </c>
      <c r="FF51" s="19">
        <f t="shared" si="121"/>
        <v>32290095.210000001</v>
      </c>
      <c r="FG51" s="19">
        <f t="shared" si="122"/>
        <v>46017858.3354</v>
      </c>
      <c r="FH51" s="19">
        <f t="shared" si="123"/>
        <v>46017858.3354</v>
      </c>
      <c r="FI51" s="19">
        <f t="shared" si="124"/>
        <v>46017858.3354</v>
      </c>
      <c r="FJ51" s="770">
        <f t="shared" si="32"/>
        <v>46017858.3354</v>
      </c>
      <c r="FK51" s="545" t="s">
        <v>1</v>
      </c>
    </row>
    <row r="52" spans="2:167" x14ac:dyDescent="0.2">
      <c r="B52" s="225" t="s">
        <v>191</v>
      </c>
      <c r="C52" s="19">
        <f>'Screen Pro'!B2</f>
        <v>1122221.3</v>
      </c>
      <c r="D52" s="19">
        <f>'Screen Pro'!C2</f>
        <v>1450136.22</v>
      </c>
      <c r="E52" s="19">
        <f>'Screen Pro'!D2</f>
        <v>1972016</v>
      </c>
      <c r="F52" s="19">
        <f>'Screen Pro'!E2</f>
        <v>2300746.2999999998</v>
      </c>
      <c r="G52" s="19">
        <f>'Screen Pro'!F2</f>
        <v>2454507.38</v>
      </c>
      <c r="H52" s="19">
        <f>'Screen Pro'!G2</f>
        <v>3129509.86</v>
      </c>
      <c r="I52" s="19">
        <f>'Screen Pro'!H2</f>
        <v>3675259.86</v>
      </c>
      <c r="J52" s="19">
        <f>'Screen Pro'!I2</f>
        <v>5148563.0199999996</v>
      </c>
      <c r="K52" s="19">
        <f>'Screen Pro'!J2</f>
        <v>7472148.2199999997</v>
      </c>
      <c r="L52" s="19">
        <f>'Screen Pro'!K2</f>
        <v>10007707.439999999</v>
      </c>
      <c r="M52" s="19">
        <f>'Screen Pro'!L2</f>
        <v>9620099.8599999994</v>
      </c>
      <c r="N52" s="19">
        <f>'Screen Pro'!M2</f>
        <v>10683960.720000001</v>
      </c>
      <c r="O52" s="19">
        <f>'Screen Pro'!N2</f>
        <v>11188042.560000001</v>
      </c>
      <c r="P52" s="19">
        <f>'Screen Pro'!O2</f>
        <v>11181957.380000141</v>
      </c>
      <c r="Q52" s="19">
        <f>'Screen Pro'!P2</f>
        <v>9904954.2200000007</v>
      </c>
      <c r="R52" s="19">
        <f>'Screen Pro'!Q2</f>
        <v>7466791.0000000056</v>
      </c>
      <c r="S52" s="19">
        <f>'Screen Pro'!R2</f>
        <v>6939939.9000000004</v>
      </c>
      <c r="T52" s="19">
        <f>'Screen Pro'!S2</f>
        <v>6410732.3200000003</v>
      </c>
      <c r="U52" s="19">
        <f>'Screen Pro'!T2</f>
        <v>6104551.8200000003</v>
      </c>
      <c r="V52" s="19">
        <f>'Screen Pro'!U2</f>
        <v>5469154.8600000003</v>
      </c>
      <c r="W52" s="19">
        <f>'Screen Pro'!V2</f>
        <v>5245282.839999998</v>
      </c>
      <c r="X52" s="19">
        <f>'Screen Pro'!W2</f>
        <v>4628703.9799999958</v>
      </c>
      <c r="Y52" s="19">
        <f>'Screen Pro'!X2</f>
        <v>4482612.32</v>
      </c>
      <c r="Z52" s="19">
        <f>'Screen Pro'!Y2</f>
        <v>3142376.58</v>
      </c>
      <c r="AA52" s="19">
        <f>'Screen Pro'!Z2</f>
        <v>0</v>
      </c>
      <c r="AB52" s="19">
        <f>'Screen Pro'!AA2</f>
        <v>629338.27360000042</v>
      </c>
      <c r="AC52" s="19">
        <f>'Screen Pro'!AB2</f>
        <v>0</v>
      </c>
      <c r="AD52" s="19">
        <f>'Screen Pro'!AC2</f>
        <v>0</v>
      </c>
      <c r="AE52" s="19">
        <f>'Screen Pro'!AD2</f>
        <v>0</v>
      </c>
      <c r="AF52" s="19">
        <f>'Screen Pro'!AE2</f>
        <v>0</v>
      </c>
      <c r="AG52" s="19">
        <f>'Screen Pro'!AF2</f>
        <v>0</v>
      </c>
      <c r="AH52" s="19">
        <f>'Screen Pro'!AG2</f>
        <v>0</v>
      </c>
      <c r="AI52" s="19">
        <f>'Screen Pro'!AH2</f>
        <v>0</v>
      </c>
      <c r="AJ52" s="19">
        <f>'Screen Pro'!AI2</f>
        <v>0</v>
      </c>
      <c r="AK52" s="19">
        <f>'Screen Pro'!AJ2</f>
        <v>0</v>
      </c>
      <c r="AL52" s="19">
        <f>'Screen Pro'!AK2</f>
        <v>0</v>
      </c>
      <c r="AM52" s="19">
        <f>'Screen Pro'!AL2</f>
        <v>0</v>
      </c>
      <c r="AN52" s="19">
        <f>'Screen Pro'!AM2</f>
        <v>0</v>
      </c>
      <c r="AO52" s="19">
        <f>'Screen Pro'!AN2</f>
        <v>0</v>
      </c>
      <c r="AP52" s="19">
        <f>'Screen Pro'!AO2</f>
        <v>0</v>
      </c>
      <c r="AQ52" s="19">
        <f>'Screen Pro'!AP2</f>
        <v>0</v>
      </c>
      <c r="AR52" s="19">
        <f>'Screen Pro'!AQ2</f>
        <v>0</v>
      </c>
      <c r="AS52" s="19">
        <f>'Screen Pro'!AR2</f>
        <v>0</v>
      </c>
      <c r="AT52" s="19">
        <f>'Screen Pro'!AS2</f>
        <v>0</v>
      </c>
      <c r="AU52" s="19">
        <f>'Screen Pro'!AT2</f>
        <v>0</v>
      </c>
      <c r="AV52" s="19">
        <f>'Screen Pro'!AU2</f>
        <v>0</v>
      </c>
      <c r="AW52" s="19">
        <f>'Screen Pro'!AV2</f>
        <v>0</v>
      </c>
      <c r="AX52" s="19">
        <f>'Screen Pro'!AW2</f>
        <v>0</v>
      </c>
      <c r="AY52" s="19">
        <f>'Screen Pro'!AX2</f>
        <v>0</v>
      </c>
      <c r="AZ52" s="19">
        <f>'Screen Pro'!AY2</f>
        <v>0</v>
      </c>
      <c r="BA52" s="19">
        <f>'Screen Pro'!AZ2</f>
        <v>0</v>
      </c>
      <c r="BB52" s="19">
        <f>'Screen Pro'!BA2</f>
        <v>0</v>
      </c>
      <c r="BC52" s="19">
        <f>'Screen Pro'!BB2</f>
        <v>0</v>
      </c>
      <c r="BD52" s="19">
        <f>'Screen Pro'!BC2</f>
        <v>0</v>
      </c>
      <c r="BE52" s="19">
        <f>'Screen Pro'!BD2</f>
        <v>0</v>
      </c>
      <c r="BF52" s="19">
        <f>'Screen Pro'!BE2</f>
        <v>0</v>
      </c>
      <c r="BG52" s="19">
        <f>'Screen Pro'!BF2</f>
        <v>0</v>
      </c>
      <c r="BH52" s="19">
        <f>'Screen Pro'!BG2</f>
        <v>0</v>
      </c>
      <c r="BI52" s="19">
        <f>'Screen Pro'!BH2</f>
        <v>0</v>
      </c>
      <c r="BJ52" s="19">
        <f>'Screen Pro'!BI2</f>
        <v>0</v>
      </c>
      <c r="BK52" s="19">
        <f>'Screen Pro'!BJ2</f>
        <v>0</v>
      </c>
      <c r="BL52" s="19">
        <f>'Screen Pro'!BK2</f>
        <v>0</v>
      </c>
      <c r="BM52" s="19">
        <f>'Screen Pro'!BL2</f>
        <v>0</v>
      </c>
      <c r="BN52" s="19">
        <f>'Screen Pro'!BM2</f>
        <v>0</v>
      </c>
      <c r="BO52" s="19">
        <f>'Screen Pro'!BN2</f>
        <v>0</v>
      </c>
      <c r="BP52" s="19">
        <f>'Screen Pro'!BO2</f>
        <v>0</v>
      </c>
      <c r="BQ52" s="19">
        <f>'Screen Pro'!BP2</f>
        <v>0</v>
      </c>
      <c r="BR52" s="19">
        <f>'Screen Pro'!BQ2</f>
        <v>0</v>
      </c>
      <c r="BS52" s="19">
        <f>'Screen Pro'!BR2</f>
        <v>0</v>
      </c>
      <c r="BT52" s="19">
        <f>'Screen Pro'!BS2</f>
        <v>0</v>
      </c>
      <c r="BU52" s="19">
        <f>'Screen Pro'!BT2</f>
        <v>0</v>
      </c>
      <c r="BV52" s="19">
        <f>'Screen Pro'!BU2</f>
        <v>0</v>
      </c>
      <c r="BW52" s="19">
        <f>'Screen Pro'!BV2</f>
        <v>0</v>
      </c>
      <c r="BX52" s="19">
        <f>'Screen Pro'!BW2</f>
        <v>0</v>
      </c>
      <c r="BY52" s="19">
        <f>'Screen Pro'!BX2</f>
        <v>0</v>
      </c>
      <c r="BZ52" s="19">
        <f>'Screen Pro'!BY2</f>
        <v>0</v>
      </c>
      <c r="CA52" s="19">
        <f>'Screen Pro'!BZ2</f>
        <v>0</v>
      </c>
      <c r="CB52" s="19">
        <f>'Screen Pro'!CA2</f>
        <v>0</v>
      </c>
      <c r="CC52" s="19">
        <f>'Screen Pro'!CB2</f>
        <v>0</v>
      </c>
      <c r="CD52" s="19">
        <f>'Screen Pro'!CC2</f>
        <v>0</v>
      </c>
      <c r="CE52" s="19">
        <f>'Screen Pro'!CD2</f>
        <v>0</v>
      </c>
      <c r="CF52" s="19">
        <f>'Screen Pro'!CE2</f>
        <v>0</v>
      </c>
      <c r="CG52" s="19">
        <f>'Screen Pro'!CF2</f>
        <v>0</v>
      </c>
      <c r="CH52" s="19">
        <f>'Screen Pro'!CG2</f>
        <v>0</v>
      </c>
      <c r="CI52" s="19">
        <f>'Screen Pro'!CH2</f>
        <v>0</v>
      </c>
      <c r="CJ52" s="19">
        <f>'Screen Pro'!CI2</f>
        <v>0</v>
      </c>
      <c r="CK52" s="19">
        <f>'Screen Pro'!CJ2</f>
        <v>0</v>
      </c>
      <c r="CL52" s="19">
        <f>'Screen Pro'!CK2</f>
        <v>0</v>
      </c>
      <c r="CM52" s="19">
        <f>'Screen Pro'!CL2</f>
        <v>0</v>
      </c>
      <c r="CN52" s="19">
        <f>'Screen Pro'!CM2</f>
        <v>0</v>
      </c>
      <c r="CO52" s="19">
        <f>'Screen Pro'!CN2</f>
        <v>0</v>
      </c>
      <c r="CP52" s="19">
        <f>'Screen Pro'!CO2</f>
        <v>0</v>
      </c>
      <c r="CQ52" s="19">
        <f>'Screen Pro'!CP2</f>
        <v>0</v>
      </c>
      <c r="CR52" s="19">
        <f>'Screen Pro'!CQ2</f>
        <v>0</v>
      </c>
      <c r="CS52" s="19">
        <f>'Screen Pro'!CR2</f>
        <v>0</v>
      </c>
      <c r="CT52" s="19">
        <f>'Screen Pro'!CS2</f>
        <v>0</v>
      </c>
      <c r="CU52" s="19">
        <f>'Screen Pro'!CT2</f>
        <v>0</v>
      </c>
      <c r="CV52" s="19">
        <f>'Screen Pro'!CU2</f>
        <v>0</v>
      </c>
      <c r="CW52" s="19">
        <f>'Screen Pro'!CV2</f>
        <v>0</v>
      </c>
      <c r="CX52" s="19">
        <f>'Screen Pro'!CW2</f>
        <v>0</v>
      </c>
      <c r="CY52" s="19">
        <f>'Screen Pro'!CX2</f>
        <v>0</v>
      </c>
      <c r="CZ52" s="19">
        <f>'Screen Pro'!CY2</f>
        <v>0</v>
      </c>
      <c r="DA52" s="19">
        <f>'Screen Pro'!CZ2</f>
        <v>0</v>
      </c>
      <c r="DB52" s="19">
        <f>'Screen Pro'!DA2</f>
        <v>0</v>
      </c>
      <c r="DC52" s="19">
        <f>'Screen Pro'!DB2</f>
        <v>0</v>
      </c>
      <c r="DD52" s="19">
        <f>'Screen Pro'!DC2</f>
        <v>0</v>
      </c>
      <c r="DE52" s="19">
        <f>'Screen Pro'!DD2</f>
        <v>0</v>
      </c>
      <c r="DF52" s="19">
        <f>'Screen Pro'!DE2</f>
        <v>0</v>
      </c>
      <c r="DG52" s="19">
        <f>'Screen Pro'!DF2</f>
        <v>0</v>
      </c>
      <c r="DH52" s="19">
        <f>'Screen Pro'!DG2</f>
        <v>0</v>
      </c>
      <c r="DI52" s="19">
        <f>'Screen Pro'!DH2</f>
        <v>0</v>
      </c>
      <c r="DJ52" s="19">
        <f>'Screen Pro'!DI2</f>
        <v>0</v>
      </c>
      <c r="DK52" s="19">
        <f>'Screen Pro'!DJ2</f>
        <v>0</v>
      </c>
      <c r="DL52" s="19">
        <f>'Screen Pro'!DK2</f>
        <v>0</v>
      </c>
      <c r="DM52" s="19">
        <f>'Screen Pro'!DL2</f>
        <v>0</v>
      </c>
      <c r="DN52" s="19">
        <f>'Screen Pro'!DM2</f>
        <v>0</v>
      </c>
      <c r="DO52" s="19">
        <f>'Screen Pro'!DN2</f>
        <v>0</v>
      </c>
      <c r="DP52" s="19">
        <f>'Screen Pro'!DO2</f>
        <v>0</v>
      </c>
      <c r="DQ52" s="19">
        <f>'Screen Pro'!DP2</f>
        <v>0</v>
      </c>
      <c r="DR52" s="19">
        <f>'Screen Pro'!DQ2</f>
        <v>0</v>
      </c>
      <c r="DS52" s="19">
        <f>'Screen Pro'!DR2</f>
        <v>0</v>
      </c>
      <c r="DT52" s="19">
        <f>'Screen Pro'!DS2</f>
        <v>0</v>
      </c>
      <c r="DU52" s="19">
        <f>'Screen Pro'!DT2</f>
        <v>0</v>
      </c>
      <c r="DV52" s="19">
        <f>'Screen Pro'!DU2</f>
        <v>0</v>
      </c>
      <c r="DW52" s="19">
        <f>'Screen Pro'!DV2</f>
        <v>0</v>
      </c>
      <c r="DX52" s="19">
        <f>'Screen Pro'!DW2</f>
        <v>0</v>
      </c>
      <c r="DY52" s="19">
        <f>'Screen Pro'!DX2</f>
        <v>0</v>
      </c>
      <c r="DZ52" s="19">
        <f>'Screen Pro'!DY2</f>
        <v>0</v>
      </c>
      <c r="EA52" s="19">
        <f>'Screen Pro'!DZ2</f>
        <v>0</v>
      </c>
      <c r="EB52" s="19">
        <f>'Screen Pro'!EA2</f>
        <v>0</v>
      </c>
      <c r="EC52" s="19">
        <f>'Screen Pro'!EB2</f>
        <v>0</v>
      </c>
      <c r="ED52" s="19">
        <f>'Screen Pro'!EC2</f>
        <v>0</v>
      </c>
      <c r="EE52" s="222"/>
      <c r="EF52" s="19">
        <f t="shared" si="140"/>
        <v>0</v>
      </c>
      <c r="EG52" s="19">
        <f t="shared" si="141"/>
        <v>0</v>
      </c>
      <c r="EH52" s="19">
        <f t="shared" si="142"/>
        <v>0</v>
      </c>
      <c r="EI52" s="19">
        <f t="shared" si="143"/>
        <v>0</v>
      </c>
      <c r="EJ52" s="19">
        <f t="shared" si="144"/>
        <v>0</v>
      </c>
      <c r="EK52" s="19">
        <f t="shared" si="145"/>
        <v>0</v>
      </c>
      <c r="EL52" s="19">
        <f t="shared" si="146"/>
        <v>0</v>
      </c>
      <c r="EM52" s="19">
        <f t="shared" si="147"/>
        <v>0</v>
      </c>
      <c r="EN52" s="19">
        <f t="shared" si="148"/>
        <v>0</v>
      </c>
      <c r="EO52" s="19">
        <f t="shared" si="149"/>
        <v>0</v>
      </c>
      <c r="EP52" s="19">
        <f t="shared" si="150"/>
        <v>0</v>
      </c>
      <c r="EQ52" s="19">
        <f t="shared" si="151"/>
        <v>0</v>
      </c>
      <c r="ER52" s="19">
        <f t="shared" si="152"/>
        <v>0</v>
      </c>
      <c r="ES52" s="19">
        <f t="shared" si="153"/>
        <v>0</v>
      </c>
      <c r="ET52" s="19">
        <f t="shared" si="154"/>
        <v>0</v>
      </c>
      <c r="EU52" s="19">
        <f t="shared" si="155"/>
        <v>0</v>
      </c>
      <c r="EV52" s="19">
        <f t="shared" si="156"/>
        <v>0</v>
      </c>
      <c r="EW52" s="19">
        <f t="shared" si="157"/>
        <v>0</v>
      </c>
      <c r="EX52" s="19">
        <f t="shared" si="158"/>
        <v>0</v>
      </c>
      <c r="EY52" s="19">
        <f t="shared" si="159"/>
        <v>0</v>
      </c>
      <c r="EZ52" s="19">
        <f t="shared" si="23"/>
        <v>0</v>
      </c>
      <c r="FA52" s="19">
        <f t="shared" si="24"/>
        <v>0</v>
      </c>
      <c r="FB52" s="19">
        <f t="shared" si="25"/>
        <v>0</v>
      </c>
      <c r="FC52" s="19">
        <f t="shared" si="26"/>
        <v>0</v>
      </c>
      <c r="FE52" s="19">
        <f t="shared" si="120"/>
        <v>0</v>
      </c>
      <c r="FF52" s="19">
        <f t="shared" si="121"/>
        <v>0</v>
      </c>
      <c r="FG52" s="19">
        <f t="shared" si="122"/>
        <v>0</v>
      </c>
      <c r="FH52" s="19">
        <f t="shared" si="123"/>
        <v>0</v>
      </c>
      <c r="FI52" s="19">
        <f t="shared" si="124"/>
        <v>0</v>
      </c>
      <c r="FJ52" s="770">
        <f t="shared" si="32"/>
        <v>0</v>
      </c>
      <c r="FK52" s="545" t="s">
        <v>1</v>
      </c>
    </row>
    <row r="53" spans="2:167" x14ac:dyDescent="0.2">
      <c r="B53" s="301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222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E53" s="19"/>
      <c r="FF53" s="19"/>
      <c r="FG53" s="19"/>
      <c r="FH53" s="19"/>
      <c r="FI53" s="19"/>
      <c r="FJ53" s="770"/>
      <c r="FK53" s="545"/>
    </row>
    <row r="54" spans="2:167" x14ac:dyDescent="0.2">
      <c r="B54" s="302" t="s">
        <v>11</v>
      </c>
      <c r="C54" s="297">
        <f>SUM(C55:C60)</f>
        <v>2659885.8557142857</v>
      </c>
      <c r="D54" s="297">
        <f t="shared" ref="D54:BO54" si="160">SUM(D55:D60)</f>
        <v>3477826.5232648929</v>
      </c>
      <c r="E54" s="297">
        <f t="shared" si="160"/>
        <v>3656603.4283523355</v>
      </c>
      <c r="F54" s="297">
        <f t="shared" si="160"/>
        <v>4133990.3049671771</v>
      </c>
      <c r="G54" s="297">
        <f t="shared" si="160"/>
        <v>4632250.1360214856</v>
      </c>
      <c r="H54" s="297">
        <f t="shared" si="160"/>
        <v>4441054.400603164</v>
      </c>
      <c r="I54" s="297">
        <f t="shared" si="160"/>
        <v>3949934.7888611429</v>
      </c>
      <c r="J54" s="297">
        <f t="shared" si="160"/>
        <v>4838900.8382142857</v>
      </c>
      <c r="K54" s="297">
        <f t="shared" si="160"/>
        <v>5843223.2771428572</v>
      </c>
      <c r="L54" s="297">
        <f t="shared" si="160"/>
        <v>5542708.6996326428</v>
      </c>
      <c r="M54" s="297">
        <f t="shared" si="160"/>
        <v>4946641.6003571432</v>
      </c>
      <c r="N54" s="297">
        <f t="shared" si="160"/>
        <v>6087486.2457142854</v>
      </c>
      <c r="O54" s="297">
        <f t="shared" si="160"/>
        <v>6375836.8098149542</v>
      </c>
      <c r="P54" s="297">
        <f t="shared" si="160"/>
        <v>6584223.7479162645</v>
      </c>
      <c r="Q54" s="297">
        <f t="shared" si="160"/>
        <v>6458600.9358171914</v>
      </c>
      <c r="R54" s="297">
        <f t="shared" si="160"/>
        <v>7957206.7178777047</v>
      </c>
      <c r="S54" s="297">
        <f t="shared" si="160"/>
        <v>6308222.2427209076</v>
      </c>
      <c r="T54" s="297">
        <f t="shared" si="160"/>
        <v>5219184.6713091275</v>
      </c>
      <c r="U54" s="297">
        <f t="shared" si="160"/>
        <v>5736143.6064085457</v>
      </c>
      <c r="V54" s="297">
        <f t="shared" si="160"/>
        <v>4843904.4000679674</v>
      </c>
      <c r="W54" s="297">
        <f t="shared" si="160"/>
        <v>5314780.5917915767</v>
      </c>
      <c r="X54" s="297">
        <f t="shared" si="160"/>
        <v>5348554.5480877515</v>
      </c>
      <c r="Y54" s="297">
        <f t="shared" si="160"/>
        <v>5800867.3168624565</v>
      </c>
      <c r="Z54" s="297">
        <f t="shared" si="160"/>
        <v>3952069.8482982069</v>
      </c>
      <c r="AA54" s="297">
        <f t="shared" si="160"/>
        <v>-110398.89857142861</v>
      </c>
      <c r="AB54" s="297">
        <f t="shared" si="160"/>
        <v>5427107.0221684026</v>
      </c>
      <c r="AC54" s="297">
        <f t="shared" si="160"/>
        <v>6514216.9998159083</v>
      </c>
      <c r="AD54" s="297">
        <f t="shared" si="160"/>
        <v>6952396.8023510296</v>
      </c>
      <c r="AE54" s="297">
        <f t="shared" si="160"/>
        <v>9474389.8485033941</v>
      </c>
      <c r="AF54" s="297">
        <f t="shared" si="160"/>
        <v>9261474.7948990017</v>
      </c>
      <c r="AG54" s="297">
        <f t="shared" si="160"/>
        <v>9620197.5943498667</v>
      </c>
      <c r="AH54" s="297">
        <f t="shared" si="160"/>
        <v>10835615.362888621</v>
      </c>
      <c r="AI54" s="297">
        <f t="shared" si="160"/>
        <v>13300854.953094916</v>
      </c>
      <c r="AJ54" s="297">
        <f t="shared" si="160"/>
        <v>12893971.902201662</v>
      </c>
      <c r="AK54" s="297">
        <f t="shared" si="160"/>
        <v>12458453.827360135</v>
      </c>
      <c r="AL54" s="297">
        <f t="shared" si="160"/>
        <v>11763713.810600545</v>
      </c>
      <c r="AM54" s="297">
        <f t="shared" si="160"/>
        <v>8364233.2879863353</v>
      </c>
      <c r="AN54" s="297">
        <f t="shared" si="160"/>
        <v>4385981.7037712382</v>
      </c>
      <c r="AO54" s="297">
        <f t="shared" si="160"/>
        <v>11487289.428510748</v>
      </c>
      <c r="AP54" s="297">
        <f t="shared" si="160"/>
        <v>15248914.605328456</v>
      </c>
      <c r="AQ54" s="297">
        <f t="shared" si="160"/>
        <v>16468617.297565252</v>
      </c>
      <c r="AR54" s="297">
        <f t="shared" si="160"/>
        <v>17606653.225341477</v>
      </c>
      <c r="AS54" s="297">
        <f t="shared" si="160"/>
        <v>19604594.562505085</v>
      </c>
      <c r="AT54" s="297">
        <f t="shared" si="160"/>
        <v>18739105.318608712</v>
      </c>
      <c r="AU54" s="297">
        <f t="shared" si="160"/>
        <v>22100000.911969464</v>
      </c>
      <c r="AV54" s="297">
        <f t="shared" si="160"/>
        <v>23073199.865517773</v>
      </c>
      <c r="AW54" s="297">
        <f t="shared" si="160"/>
        <v>22247145.115071196</v>
      </c>
      <c r="AX54" s="297">
        <f t="shared" si="160"/>
        <v>22095968.480997317</v>
      </c>
      <c r="AY54" s="297">
        <f t="shared" si="160"/>
        <v>19139884.318261202</v>
      </c>
      <c r="AZ54" s="297">
        <f t="shared" si="160"/>
        <v>22270075.336682532</v>
      </c>
      <c r="BA54" s="297">
        <f t="shared" si="160"/>
        <v>21952895.329369172</v>
      </c>
      <c r="BB54" s="297">
        <f t="shared" si="160"/>
        <v>23797444.4887858</v>
      </c>
      <c r="BC54" s="297">
        <f t="shared" si="160"/>
        <v>22870000.35808979</v>
      </c>
      <c r="BD54" s="297">
        <f t="shared" si="160"/>
        <v>22429270.759466626</v>
      </c>
      <c r="BE54" s="297">
        <f t="shared" si="160"/>
        <v>26349189.336639386</v>
      </c>
      <c r="BF54" s="297">
        <f t="shared" si="160"/>
        <v>25276964.77360737</v>
      </c>
      <c r="BG54" s="297">
        <f t="shared" si="160"/>
        <v>30453742.560513057</v>
      </c>
      <c r="BH54" s="297">
        <f t="shared" si="160"/>
        <v>31359934.529153608</v>
      </c>
      <c r="BI54" s="297">
        <f t="shared" si="160"/>
        <v>30540105.399694324</v>
      </c>
      <c r="BJ54" s="297">
        <f t="shared" si="160"/>
        <v>37053071.124168687</v>
      </c>
      <c r="BK54" s="297">
        <f t="shared" si="160"/>
        <v>37742542.407919377</v>
      </c>
      <c r="BL54" s="297">
        <f t="shared" si="160"/>
        <v>38027096.968183786</v>
      </c>
      <c r="BM54" s="297">
        <f t="shared" si="160"/>
        <v>40535861.309088781</v>
      </c>
      <c r="BN54" s="297">
        <f t="shared" si="160"/>
        <v>37498530.506734207</v>
      </c>
      <c r="BO54" s="297">
        <f t="shared" si="160"/>
        <v>40760496.481880032</v>
      </c>
      <c r="BP54" s="297">
        <f t="shared" ref="BP54:DR54" si="161">SUM(BP55:BP60)</f>
        <v>34121059.688873477</v>
      </c>
      <c r="BQ54" s="297">
        <f t="shared" si="161"/>
        <v>46872911.723397017</v>
      </c>
      <c r="BR54" s="297">
        <f t="shared" si="161"/>
        <v>43052040.757243462</v>
      </c>
      <c r="BS54" s="297">
        <f t="shared" si="161"/>
        <v>38647949.163745187</v>
      </c>
      <c r="BT54" s="297">
        <f t="shared" si="161"/>
        <v>40421228.119747996</v>
      </c>
      <c r="BU54" s="297">
        <f t="shared" si="161"/>
        <v>41029809.22402481</v>
      </c>
      <c r="BV54" s="297">
        <f t="shared" si="161"/>
        <v>48393224.949112162</v>
      </c>
      <c r="BW54" s="297">
        <f t="shared" si="161"/>
        <v>46516344.95742166</v>
      </c>
      <c r="BX54" s="297">
        <f t="shared" si="161"/>
        <v>48382408.231289335</v>
      </c>
      <c r="BY54" s="297">
        <f t="shared" si="161"/>
        <v>49163373.547805987</v>
      </c>
      <c r="BZ54" s="297">
        <f t="shared" si="161"/>
        <v>49589203.570331745</v>
      </c>
      <c r="CA54" s="297">
        <f t="shared" si="161"/>
        <v>45731714.516863786</v>
      </c>
      <c r="CB54" s="297">
        <f t="shared" si="161"/>
        <v>41841620.754563957</v>
      </c>
      <c r="CC54" s="297">
        <f t="shared" si="161"/>
        <v>54428677.720325492</v>
      </c>
      <c r="CD54" s="297">
        <f t="shared" si="161"/>
        <v>49251838.607297987</v>
      </c>
      <c r="CE54" s="297">
        <f t="shared" si="161"/>
        <v>53473101.349217124</v>
      </c>
      <c r="CF54" s="297">
        <f t="shared" si="161"/>
        <v>57621304.69308544</v>
      </c>
      <c r="CG54" s="297">
        <f t="shared" si="161"/>
        <v>58009047.081937186</v>
      </c>
      <c r="CH54" s="297">
        <f t="shared" si="161"/>
        <v>71336434.515824586</v>
      </c>
      <c r="CI54" s="297">
        <f t="shared" si="161"/>
        <v>69481271.881388441</v>
      </c>
      <c r="CJ54" s="297">
        <f t="shared" si="161"/>
        <v>73765775.378659949</v>
      </c>
      <c r="CK54" s="297">
        <f t="shared" si="161"/>
        <v>74147793.569244266</v>
      </c>
      <c r="CL54" s="297">
        <f t="shared" si="161"/>
        <v>75222667.441447988</v>
      </c>
      <c r="CM54" s="297">
        <f t="shared" si="161"/>
        <v>68985655.01318635</v>
      </c>
      <c r="CN54" s="297">
        <f t="shared" si="161"/>
        <v>69305227.882139027</v>
      </c>
      <c r="CO54" s="297">
        <f t="shared" si="161"/>
        <v>83518583.870823711</v>
      </c>
      <c r="CP54" s="297">
        <f t="shared" si="161"/>
        <v>77705813.404772952</v>
      </c>
      <c r="CQ54" s="297">
        <f t="shared" si="161"/>
        <v>90867304.644288242</v>
      </c>
      <c r="CR54" s="297">
        <f t="shared" si="161"/>
        <v>98651508.979525372</v>
      </c>
      <c r="CS54" s="297">
        <f t="shared" si="161"/>
        <v>90688443.549318656</v>
      </c>
      <c r="CT54" s="297">
        <f t="shared" si="161"/>
        <v>104612425.01942714</v>
      </c>
      <c r="CU54" s="297">
        <f t="shared" si="161"/>
        <v>97267637.483289436</v>
      </c>
      <c r="CV54" s="297">
        <f t="shared" si="161"/>
        <v>98599055.415602088</v>
      </c>
      <c r="CW54" s="297">
        <f t="shared" si="161"/>
        <v>97157051.05668278</v>
      </c>
      <c r="CX54" s="297">
        <f t="shared" si="161"/>
        <v>102218197.66654329</v>
      </c>
      <c r="CY54" s="297">
        <f t="shared" si="161"/>
        <v>93903276.308284387</v>
      </c>
      <c r="CZ54" s="297">
        <f t="shared" si="161"/>
        <v>93276043.630806163</v>
      </c>
      <c r="DA54" s="297">
        <f t="shared" si="161"/>
        <v>107903237.18237139</v>
      </c>
      <c r="DB54" s="297">
        <f t="shared" si="161"/>
        <v>103939610.47917831</v>
      </c>
      <c r="DC54" s="297">
        <f t="shared" si="161"/>
        <v>120113447.66662192</v>
      </c>
      <c r="DD54" s="297">
        <f t="shared" si="161"/>
        <v>122237748.97793238</v>
      </c>
      <c r="DE54" s="297">
        <f t="shared" si="161"/>
        <v>111785073.00930771</v>
      </c>
      <c r="DF54" s="297">
        <f t="shared" si="161"/>
        <v>123701676.99806765</v>
      </c>
      <c r="DG54" s="297">
        <f t="shared" si="161"/>
        <v>118304010.29450856</v>
      </c>
      <c r="DH54" s="297">
        <f t="shared" si="161"/>
        <v>120053636.16687545</v>
      </c>
      <c r="DI54" s="297">
        <f t="shared" si="161"/>
        <v>117963973.82406645</v>
      </c>
      <c r="DJ54" s="297">
        <f t="shared" si="161"/>
        <v>124027943.26207742</v>
      </c>
      <c r="DK54" s="297">
        <f t="shared" si="161"/>
        <v>113819196.32449614</v>
      </c>
      <c r="DL54" s="297">
        <f t="shared" si="161"/>
        <v>112730552.67288473</v>
      </c>
      <c r="DM54" s="297">
        <f t="shared" si="161"/>
        <v>130429988.74804066</v>
      </c>
      <c r="DN54" s="297">
        <f t="shared" si="161"/>
        <v>125645354.07802223</v>
      </c>
      <c r="DO54" s="297">
        <f t="shared" si="161"/>
        <v>144953807.02754417</v>
      </c>
      <c r="DP54" s="297">
        <f t="shared" si="161"/>
        <v>147182834.68315873</v>
      </c>
      <c r="DQ54" s="297">
        <f t="shared" si="161"/>
        <v>134357619.53931791</v>
      </c>
      <c r="DR54" s="297">
        <f t="shared" si="161"/>
        <v>147743194.44843811</v>
      </c>
      <c r="DS54" s="297">
        <f t="shared" ref="DS54:ED54" si="162">SUM(DS55:DS60)</f>
        <v>137801463.00227666</v>
      </c>
      <c r="DT54" s="297">
        <f t="shared" si="162"/>
        <v>139841625.63462546</v>
      </c>
      <c r="DU54" s="297">
        <f t="shared" si="162"/>
        <v>137287322.4380157</v>
      </c>
      <c r="DV54" s="297">
        <f t="shared" si="162"/>
        <v>144178852.92710614</v>
      </c>
      <c r="DW54" s="297">
        <f t="shared" si="162"/>
        <v>132297375.87275068</v>
      </c>
      <c r="DX54" s="297">
        <f t="shared" si="162"/>
        <v>130923645.188853</v>
      </c>
      <c r="DY54" s="297">
        <f t="shared" si="162"/>
        <v>151327482.64871997</v>
      </c>
      <c r="DZ54" s="297">
        <f t="shared" si="162"/>
        <v>146162816.34417543</v>
      </c>
      <c r="EA54" s="297">
        <f t="shared" si="162"/>
        <v>168637800.30797097</v>
      </c>
      <c r="EB54" s="297">
        <f t="shared" si="162"/>
        <v>171178515.06786028</v>
      </c>
      <c r="EC54" s="297">
        <f t="shared" si="162"/>
        <v>156178201.53966856</v>
      </c>
      <c r="ED54" s="297">
        <f t="shared" si="162"/>
        <v>171409934.5519169</v>
      </c>
      <c r="EE54" s="222"/>
      <c r="EF54" s="297">
        <f>SUM(BK54:BM54)</f>
        <v>116305500.68519194</v>
      </c>
      <c r="EG54" s="297">
        <f>SUM(BN54:BP54)</f>
        <v>112380086.6774877</v>
      </c>
      <c r="EH54" s="297">
        <f>SUM(BQ54:BS54)</f>
        <v>128572901.64438567</v>
      </c>
      <c r="EI54" s="297">
        <f>SUM(BT54:BV54)</f>
        <v>129844262.29288496</v>
      </c>
      <c r="EJ54" s="297">
        <f>SUM(BW54:BY54)</f>
        <v>144062126.73651698</v>
      </c>
      <c r="EK54" s="297">
        <f>SUM(BZ54:CB54)</f>
        <v>137162538.8417595</v>
      </c>
      <c r="EL54" s="297">
        <f>SUM(CC54:CE54)</f>
        <v>157153617.6768406</v>
      </c>
      <c r="EM54" s="297">
        <f>SUM(CF54:CH54)</f>
        <v>186966786.29084721</v>
      </c>
      <c r="EN54" s="297">
        <f>SUM(CI54:CK54)</f>
        <v>217394840.82929265</v>
      </c>
      <c r="EO54" s="297">
        <f>SUM(CL54:CN54)</f>
        <v>213513550.33677337</v>
      </c>
      <c r="EP54" s="297">
        <f>SUM(CO54:CQ54)</f>
        <v>252091701.91988492</v>
      </c>
      <c r="EQ54" s="297">
        <f>SUM(CR54:CT54)</f>
        <v>293952377.54827118</v>
      </c>
      <c r="ER54" s="297">
        <f>SUM(CU54:CW54)</f>
        <v>293023743.95557427</v>
      </c>
      <c r="ES54" s="297">
        <f>SUM(CX54:CZ54)</f>
        <v>289397517.60563385</v>
      </c>
      <c r="ET54" s="297">
        <f>SUM(DA54:DC54)</f>
        <v>331956295.32817161</v>
      </c>
      <c r="EU54" s="297">
        <f>SUM(DD54:DF54)</f>
        <v>357724498.98530769</v>
      </c>
      <c r="EV54" s="297">
        <f>SUM(DG54:DI54)</f>
        <v>356321620.28545046</v>
      </c>
      <c r="EW54" s="297">
        <f>SUM(DJ54:DL54)</f>
        <v>350577692.2594583</v>
      </c>
      <c r="EX54" s="297">
        <f>SUM(DM54:DO54)</f>
        <v>401029149.85360706</v>
      </c>
      <c r="EY54" s="297">
        <f>SUM(DP54:DR54)</f>
        <v>429283648.67091471</v>
      </c>
      <c r="EZ54" s="297">
        <f t="shared" si="23"/>
        <v>414930411.07491779</v>
      </c>
      <c r="FA54" s="297">
        <f t="shared" si="24"/>
        <v>407399873.98870981</v>
      </c>
      <c r="FB54" s="297">
        <f t="shared" si="25"/>
        <v>466128099.30086637</v>
      </c>
      <c r="FC54" s="297">
        <f t="shared" si="26"/>
        <v>498766651.1594457</v>
      </c>
      <c r="FE54" s="297">
        <f t="shared" si="120"/>
        <v>487102751.29995024</v>
      </c>
      <c r="FF54" s="297">
        <f t="shared" si="121"/>
        <v>625345069.54596436</v>
      </c>
      <c r="FG54" s="297">
        <f t="shared" si="122"/>
        <v>976952470.63422215</v>
      </c>
      <c r="FH54" s="297">
        <f t="shared" si="123"/>
        <v>1272102055.8746874</v>
      </c>
      <c r="FI54" s="297">
        <f t="shared" si="124"/>
        <v>1537212111.0694304</v>
      </c>
      <c r="FJ54" s="774">
        <f t="shared" si="32"/>
        <v>1787225035.5239396</v>
      </c>
      <c r="FK54" s="545" t="s">
        <v>1</v>
      </c>
    </row>
    <row r="55" spans="2:167" x14ac:dyDescent="0.2">
      <c r="B55" s="225" t="s">
        <v>304</v>
      </c>
      <c r="C55" s="19">
        <f>'B2B- Non Repair'!C27</f>
        <v>1571885</v>
      </c>
      <c r="D55" s="19">
        <f>'B2B- Non Repair'!D27</f>
        <v>1933225.857142857</v>
      </c>
      <c r="E55" s="19">
        <f>'B2B- Non Repair'!E27</f>
        <v>2144810.8091856497</v>
      </c>
      <c r="F55" s="19">
        <f>'B2B- Non Repair'!F27</f>
        <v>2670744.5190276657</v>
      </c>
      <c r="G55" s="19">
        <f>'B2B- Non Repair'!G27</f>
        <v>3520739.1602093042</v>
      </c>
      <c r="H55" s="19">
        <f>'B2B- Non Repair'!H27</f>
        <v>3375803</v>
      </c>
      <c r="I55" s="19">
        <f>'B2B- Non Repair'!I27</f>
        <v>2640496</v>
      </c>
      <c r="J55" s="19">
        <f>'B2B- Non Repair'!J27</f>
        <v>3233060</v>
      </c>
      <c r="K55" s="19">
        <f>'B2B- Non Repair'!K27</f>
        <v>3701309</v>
      </c>
      <c r="L55" s="19">
        <f>'B2B- Non Repair'!L27</f>
        <v>2919247</v>
      </c>
      <c r="M55" s="19">
        <f>'B2B- Non Repair'!M27</f>
        <v>2007686</v>
      </c>
      <c r="N55" s="19">
        <f>'B2B- Non Repair'!N27</f>
        <v>2008229</v>
      </c>
      <c r="O55" s="19">
        <f>'B2B- Non Repair'!O27</f>
        <v>2074638.8850263832</v>
      </c>
      <c r="P55" s="19">
        <f>'B2B- Non Repair'!P27</f>
        <v>2149446.9775985675</v>
      </c>
      <c r="Q55" s="19">
        <f>'B2B- Non Repair'!Q27</f>
        <v>2794451.4107142859</v>
      </c>
      <c r="R55" s="19">
        <f>'B2B- Non Repair'!R27</f>
        <v>3291671.1060011913</v>
      </c>
      <c r="S55" s="19">
        <f>'B2B- Non Repair'!S27</f>
        <v>3107952.9509351938</v>
      </c>
      <c r="T55" s="19">
        <f>'B2B- Non Repair'!T27</f>
        <v>2375814.5848805555</v>
      </c>
      <c r="U55" s="19">
        <f>'B2B- Non Repair'!U27</f>
        <v>2358981.5742656877</v>
      </c>
      <c r="V55" s="19">
        <f>'B2B- Non Repair'!V27</f>
        <v>2789918.7972108242</v>
      </c>
      <c r="W55" s="19">
        <f>'B2B- Non Repair'!W27</f>
        <v>2858485.1095155482</v>
      </c>
      <c r="X55" s="19">
        <f>'B2B- Non Repair'!X27</f>
        <v>2908758.4798988895</v>
      </c>
      <c r="Y55" s="19">
        <f>'B2B- Non Repair'!Y27</f>
        <v>3984937.7029611464</v>
      </c>
      <c r="Z55" s="19">
        <f>'B2B- Non Repair'!Z27</f>
        <v>2321371.5514285713</v>
      </c>
      <c r="AA55" s="19">
        <f>'B2B- Non Repair'!AA27</f>
        <v>-1030.5642857142857</v>
      </c>
      <c r="AB55" s="19">
        <f>'B2B- Non Repair'!AB27</f>
        <v>3900614</v>
      </c>
      <c r="AC55" s="19">
        <f>'B2B- Non Repair'!AC27</f>
        <v>3270039.6696492299</v>
      </c>
      <c r="AD55" s="19">
        <f>'B2B- Non Repair'!AD27</f>
        <v>2663850.7524969731</v>
      </c>
      <c r="AE55" s="19">
        <f>'B2B- Non Repair'!AE27</f>
        <v>4690032.1283731069</v>
      </c>
      <c r="AF55" s="19">
        <f>'B2B- Non Repair'!AF27</f>
        <v>4140394.5922888326</v>
      </c>
      <c r="AG55" s="19">
        <f>'B2B- Non Repair'!AG27</f>
        <v>3479215.8310084632</v>
      </c>
      <c r="AH55" s="19">
        <f>'B2B- Non Repair'!AH27</f>
        <v>4885138.599654723</v>
      </c>
      <c r="AI55" s="19">
        <f>'B2B- Non Repair'!AI27</f>
        <v>5677808.8600000003</v>
      </c>
      <c r="AJ55" s="19">
        <f>'B2B- Non Repair'!AJ27</f>
        <v>4311081.9400000004</v>
      </c>
      <c r="AK55" s="19">
        <f>'B2B- Non Repair'!AK27</f>
        <v>5245946.8049999997</v>
      </c>
      <c r="AL55" s="19">
        <f>'B2B- Non Repair'!AL27</f>
        <v>3879587.5550000002</v>
      </c>
      <c r="AM55" s="19">
        <f>'B2B- Non Repair'!AM27</f>
        <v>2963721.9840000002</v>
      </c>
      <c r="AN55" s="19">
        <f>'B2B- Non Repair'!AN27</f>
        <v>2025289</v>
      </c>
      <c r="AO55" s="19">
        <f>'B2B- Non Repair'!AO27</f>
        <v>4833429.6950000003</v>
      </c>
      <c r="AP55" s="19">
        <f>'B2B- Non Repair'!AP27</f>
        <v>6484924.1200000001</v>
      </c>
      <c r="AQ55" s="19">
        <f>'B2B- Non Repair'!AQ27</f>
        <v>6968696.4699999997</v>
      </c>
      <c r="AR55" s="19">
        <f>'B2B- Non Repair'!AR27</f>
        <v>6104232</v>
      </c>
      <c r="AS55" s="19">
        <f>'B2B- Non Repair'!AS27</f>
        <v>5760470</v>
      </c>
      <c r="AT55" s="19">
        <f>'B2B- Non Repair'!AT27</f>
        <v>4515277</v>
      </c>
      <c r="AU55" s="19">
        <f>'B2B- Non Repair'!AU27</f>
        <v>5958902.2499999898</v>
      </c>
      <c r="AV55" s="19">
        <f>'B2B- Non Repair'!AV27</f>
        <v>5855167</v>
      </c>
      <c r="AW55" s="19">
        <f>'B2B- Non Repair'!AW27</f>
        <v>5581986</v>
      </c>
      <c r="AX55" s="19">
        <f>'B2B- Non Repair'!AX27</f>
        <v>5571264.4000000004</v>
      </c>
      <c r="AY55" s="19">
        <f>'B2B- Non Repair'!AY27</f>
        <v>4708314</v>
      </c>
      <c r="AZ55" s="19">
        <f>'B2B- Non Repair'!AZ27</f>
        <v>6279353</v>
      </c>
      <c r="BA55" s="19">
        <f>'B2B- Non Repair'!BA27</f>
        <v>4093538</v>
      </c>
      <c r="BB55" s="19">
        <f>'B2B- Non Repair'!BB27</f>
        <v>5519187.2144797016</v>
      </c>
      <c r="BC55" s="19">
        <f>'B2B- Non Repair'!BC27</f>
        <v>5516764.610474729</v>
      </c>
      <c r="BD55" s="19">
        <f>'B2B- Non Repair'!BD27</f>
        <v>4791404.7020451846</v>
      </c>
      <c r="BE55" s="19">
        <f>'B2B- Non Repair'!BE27</f>
        <v>6953816.5711733215</v>
      </c>
      <c r="BF55" s="19">
        <f>'B2B- Non Repair'!BF27</f>
        <v>7179089.4394325111</v>
      </c>
      <c r="BG55" s="19">
        <f>'B2B- Non Repair'!BG27</f>
        <v>10406552.007967513</v>
      </c>
      <c r="BH55" s="19">
        <f>'B2B- Non Repair'!BH27</f>
        <v>9057356.0492312312</v>
      </c>
      <c r="BI55" s="19">
        <f>'B2B- Non Repair'!BI27</f>
        <v>7253164.0957235033</v>
      </c>
      <c r="BJ55" s="19">
        <f>'B2B- Non Repair'!BJ27</f>
        <v>8383170.7145901695</v>
      </c>
      <c r="BK55" s="19">
        <f>'B2B- Non Repair'!BK27</f>
        <v>8838599.247797424</v>
      </c>
      <c r="BL55" s="19">
        <f>'B2B- Non Repair'!BL27</f>
        <v>7354907.1775600836</v>
      </c>
      <c r="BM55" s="19">
        <f>'B2B- Non Repair'!BM27</f>
        <v>7161410.1133693503</v>
      </c>
      <c r="BN55" s="19">
        <f>'B2B- Non Repair'!BN27</f>
        <v>7953510.7387108337</v>
      </c>
      <c r="BO55" s="19">
        <f>'B2B- Non Repair'!BO27</f>
        <v>8283598.2274204753</v>
      </c>
      <c r="BP55" s="19">
        <f>'B2B- Non Repair'!BP27</f>
        <v>6200463.1806926541</v>
      </c>
      <c r="BQ55" s="19">
        <f>'B2B- Non Repair'!BQ27</f>
        <v>6613959.9047642378</v>
      </c>
      <c r="BR55" s="19">
        <f>'B2B- Non Repair'!BR27</f>
        <v>7409178.8331753649</v>
      </c>
      <c r="BS55" s="19">
        <f>'B2B- Non Repair'!BS27</f>
        <v>5750049.2147189975</v>
      </c>
      <c r="BT55" s="19">
        <f>'B2B- Non Repair'!BT27</f>
        <v>5686690.9617407536</v>
      </c>
      <c r="BU55" s="19">
        <f>'B2B- Non Repair'!BU27</f>
        <v>7669766.1773037827</v>
      </c>
      <c r="BV55" s="19">
        <f>'B2B- Non Repair'!BV27</f>
        <v>8024179.4618596323</v>
      </c>
      <c r="BW55" s="19">
        <f>'B2B- Non Repair'!BW27</f>
        <v>8517831.6084843203</v>
      </c>
      <c r="BX55" s="19">
        <f>'B2B- Non Repair'!BX27</f>
        <v>8837156.0655760728</v>
      </c>
      <c r="BY55" s="19">
        <f>'B2B- Non Repair'!BY27</f>
        <v>8182294.8197127413</v>
      </c>
      <c r="BZ55" s="19">
        <f>'B2B- Non Repair'!BZ27</f>
        <v>7523018.0914777583</v>
      </c>
      <c r="CA55" s="19">
        <f>'B2B- Non Repair'!CA27</f>
        <v>6510651.5996009111</v>
      </c>
      <c r="CB55" s="19">
        <f>'B2B- Non Repair'!CB27</f>
        <v>5286889.366321329</v>
      </c>
      <c r="CC55" s="19">
        <f>'B2B- Non Repair'!CC27</f>
        <v>7450617.4753430719</v>
      </c>
      <c r="CD55" s="19">
        <f>'B2B- Non Repair'!CD27</f>
        <v>8512066.8890635725</v>
      </c>
      <c r="CE55" s="19">
        <f>'B2B- Non Repair'!CE27</f>
        <v>7587145.9876836576</v>
      </c>
      <c r="CF55" s="19">
        <f>'B2B- Non Repair'!CF27</f>
        <v>8969730.0832711998</v>
      </c>
      <c r="CG55" s="19">
        <f>'B2B- Non Repair'!CG27</f>
        <v>11444978.070268853</v>
      </c>
      <c r="CH55" s="19">
        <f>'B2B- Non Repair'!CH27</f>
        <v>11677359.036198275</v>
      </c>
      <c r="CI55" s="19">
        <f>'B2B- Non Repair'!CI27</f>
        <v>10991167.98380474</v>
      </c>
      <c r="CJ55" s="19">
        <f>'B2B- Non Repair'!CJ27</f>
        <v>14119814.18267357</v>
      </c>
      <c r="CK55" s="19">
        <f>'B2B- Non Repair'!CK27</f>
        <v>16502040.907416202</v>
      </c>
      <c r="CL55" s="19">
        <f>'B2B- Non Repair'!CL27</f>
        <v>13088210.209999999</v>
      </c>
      <c r="CM55" s="19">
        <f>'B2B- Non Repair'!CM27</f>
        <v>11861183.11999991</v>
      </c>
      <c r="CN55" s="19">
        <f>'B2B- Non Repair'!CN27</f>
        <v>11572655.169999989</v>
      </c>
      <c r="CO55" s="19">
        <f>'B2B- Non Repair'!CO27</f>
        <v>14095181.049999975</v>
      </c>
      <c r="CP55" s="19">
        <f>'B2B- Non Repair'!CP27</f>
        <v>15819389.059999999</v>
      </c>
      <c r="CQ55" s="19">
        <f>'B2B- Non Repair'!CQ27</f>
        <v>18329819.949999966</v>
      </c>
      <c r="CR55" s="19">
        <f>'B2B- Non Repair'!CR27</f>
        <v>21185581.019999892</v>
      </c>
      <c r="CS55" s="19">
        <f>'B2B- Non Repair'!CS27</f>
        <v>21438490.849999983</v>
      </c>
      <c r="CT55" s="19">
        <f>'B2B- Non Repair'!CT27</f>
        <v>21307950.059999969</v>
      </c>
      <c r="CU55" s="19">
        <f>'B2B- Non Repair'!CU27</f>
        <v>22069034.586785167</v>
      </c>
      <c r="CV55" s="19">
        <f>'B2B- Non Repair'!CV27</f>
        <v>22874314.361866917</v>
      </c>
      <c r="CW55" s="19">
        <f>'B2B- Non Repair'!CW27</f>
        <v>21476852.161835209</v>
      </c>
      <c r="CX55" s="19">
        <f>'B2B- Non Repair'!CX27</f>
        <v>21497139.029926181</v>
      </c>
      <c r="CY55" s="19">
        <f>'B2B- Non Repair'!CY27</f>
        <v>19985625.406352729</v>
      </c>
      <c r="CZ55" s="19">
        <f>'B2B- Non Repair'!CZ27</f>
        <v>17430414.674845722</v>
      </c>
      <c r="DA55" s="19">
        <f>'B2B- Non Repair'!DA27</f>
        <v>20389092.619133864</v>
      </c>
      <c r="DB55" s="19">
        <f>'B2B- Non Repair'!DB27</f>
        <v>25255760.196872897</v>
      </c>
      <c r="DC55" s="19">
        <f>'B2B- Non Repair'!DC27</f>
        <v>28142557.61991011</v>
      </c>
      <c r="DD55" s="19">
        <f>'B2B- Non Repair'!DD27</f>
        <v>26330876.49607145</v>
      </c>
      <c r="DE55" s="19">
        <f>'B2B- Non Repair'!DE27</f>
        <v>25676517.666257858</v>
      </c>
      <c r="DF55" s="19">
        <f>'B2B- Non Repair'!DF27</f>
        <v>24686603.860855408</v>
      </c>
      <c r="DG55" s="19">
        <f>'B2B- Non Repair'!DG27</f>
        <v>27586293.233481452</v>
      </c>
      <c r="DH55" s="19">
        <f>'B2B- Non Repair'!DH27</f>
        <v>28592892.952333644</v>
      </c>
      <c r="DI55" s="19">
        <f>'B2B- Non Repair'!DI27</f>
        <v>26846065.202294003</v>
      </c>
      <c r="DJ55" s="19">
        <f>'B2B- Non Repair'!DJ27</f>
        <v>26871423.787407715</v>
      </c>
      <c r="DK55" s="19">
        <f>'B2B- Non Repair'!DK27</f>
        <v>24982031.7579409</v>
      </c>
      <c r="DL55" s="19">
        <f>'B2B- Non Repair'!DL27</f>
        <v>21788018.343557142</v>
      </c>
      <c r="DM55" s="19">
        <f>'B2B- Non Repair'!DM27</f>
        <v>25486365.773917314</v>
      </c>
      <c r="DN55" s="19">
        <f>'B2B- Non Repair'!DN27</f>
        <v>31569700.246091116</v>
      </c>
      <c r="DO55" s="19">
        <f>'B2B- Non Repair'!DO27</f>
        <v>35178197.024887621</v>
      </c>
      <c r="DP55" s="19">
        <f>'B2B- Non Repair'!DP27</f>
        <v>32913595.620089311</v>
      </c>
      <c r="DQ55" s="19">
        <f>'B2B- Non Repair'!DQ27</f>
        <v>32095647.082822315</v>
      </c>
      <c r="DR55" s="19">
        <f>'B2B- Non Repair'!DR27</f>
        <v>30858254.826069258</v>
      </c>
      <c r="DS55" s="19">
        <f>'B2B- Non Repair'!DS27</f>
        <v>33103551.880177747</v>
      </c>
      <c r="DT55" s="19">
        <f>'B2B- Non Repair'!DT27</f>
        <v>34311471.542800359</v>
      </c>
      <c r="DU55" s="19">
        <f>'B2B- Non Repair'!DU27</f>
        <v>32215278.242752798</v>
      </c>
      <c r="DV55" s="19">
        <f>'B2B- Non Repair'!DV27</f>
        <v>32245708.544889253</v>
      </c>
      <c r="DW55" s="19">
        <f>'B2B- Non Repair'!DW27</f>
        <v>29978438.109529074</v>
      </c>
      <c r="DX55" s="19">
        <f>'B2B- Non Repair'!DX27</f>
        <v>26145622.012268566</v>
      </c>
      <c r="DY55" s="19">
        <f>'B2B- Non Repair'!DY27</f>
        <v>30583638.928700771</v>
      </c>
      <c r="DZ55" s="19">
        <f>'B2B- Non Repair'!DZ27</f>
        <v>37883640.295309335</v>
      </c>
      <c r="EA55" s="19">
        <f>'B2B- Non Repair'!EA27</f>
        <v>42213836.429865152</v>
      </c>
      <c r="EB55" s="19">
        <f>'B2B- Non Repair'!EB27</f>
        <v>39496314.744107172</v>
      </c>
      <c r="EC55" s="19">
        <f>'B2B- Non Repair'!EC27</f>
        <v>38514776.499386773</v>
      </c>
      <c r="ED55" s="19">
        <f>'B2B- Non Repair'!ED27</f>
        <v>37029905.791283101</v>
      </c>
      <c r="EE55" s="222"/>
      <c r="EF55" s="19">
        <f>SUM(BK55:BM55)</f>
        <v>23354916.538726859</v>
      </c>
      <c r="EG55" s="19">
        <f>SUM(BN55:BP55)</f>
        <v>22437572.146823965</v>
      </c>
      <c r="EH55" s="19">
        <f>SUM(BQ55:BS55)</f>
        <v>19773187.952658601</v>
      </c>
      <c r="EI55" s="19">
        <f>SUM(BT55:BV55)</f>
        <v>21380636.600904167</v>
      </c>
      <c r="EJ55" s="19">
        <f>SUM(BW55:BY55)</f>
        <v>25537282.493773133</v>
      </c>
      <c r="EK55" s="19">
        <f>SUM(BZ55:CB55)</f>
        <v>19320559.057399999</v>
      </c>
      <c r="EL55" s="19">
        <f>SUM(CC55:CE55)</f>
        <v>23549830.352090303</v>
      </c>
      <c r="EM55" s="19">
        <f>SUM(CF55:CH55)</f>
        <v>32092067.189738326</v>
      </c>
      <c r="EN55" s="19">
        <f>SUM(CI55:CK55)</f>
        <v>41613023.073894516</v>
      </c>
      <c r="EO55" s="19">
        <f>SUM(CL55:CN55)</f>
        <v>36522048.499999896</v>
      </c>
      <c r="EP55" s="19">
        <f>SUM(CO55:CQ55)</f>
        <v>48244390.059999943</v>
      </c>
      <c r="EQ55" s="19">
        <f>SUM(CR55:CT55)</f>
        <v>63932021.929999843</v>
      </c>
      <c r="ER55" s="19">
        <f>SUM(CU55:CW55)</f>
        <v>66420201.110487297</v>
      </c>
      <c r="ES55" s="19">
        <f>SUM(CX55:CZ55)</f>
        <v>58913179.111124635</v>
      </c>
      <c r="ET55" s="19">
        <f>SUM(DA55:DC55)</f>
        <v>73787410.435916871</v>
      </c>
      <c r="EU55" s="19">
        <f>SUM(DD55:DF55)</f>
        <v>76693998.023184717</v>
      </c>
      <c r="EV55" s="19">
        <f>SUM(DG55:DI55)</f>
        <v>83025251.388109103</v>
      </c>
      <c r="EW55" s="19">
        <f>SUM(DJ55:DL55)</f>
        <v>73641473.888905764</v>
      </c>
      <c r="EX55" s="19">
        <f>SUM(DM55:DO55)</f>
        <v>92234263.044896051</v>
      </c>
      <c r="EY55" s="19">
        <f>SUM(DP55:DR55)</f>
        <v>95867497.528980881</v>
      </c>
      <c r="EZ55" s="19">
        <f t="shared" si="23"/>
        <v>99630301.665730894</v>
      </c>
      <c r="FA55" s="19">
        <f t="shared" si="24"/>
        <v>88369768.666686893</v>
      </c>
      <c r="FB55" s="19">
        <f t="shared" si="25"/>
        <v>110681115.65387526</v>
      </c>
      <c r="FC55" s="19">
        <f t="shared" si="26"/>
        <v>115040997.03477705</v>
      </c>
      <c r="FE55" s="19">
        <f t="shared" si="120"/>
        <v>86946313.239113599</v>
      </c>
      <c r="FF55" s="19">
        <f t="shared" si="121"/>
        <v>100499739.09300175</v>
      </c>
      <c r="FG55" s="19">
        <f t="shared" si="122"/>
        <v>190311483.56389421</v>
      </c>
      <c r="FH55" s="19">
        <f t="shared" si="123"/>
        <v>275814788.68071353</v>
      </c>
      <c r="FI55" s="19">
        <f t="shared" si="124"/>
        <v>344768485.85089183</v>
      </c>
      <c r="FJ55" s="770">
        <f t="shared" si="32"/>
        <v>413722183.02107012</v>
      </c>
      <c r="FK55" s="545" t="s">
        <v>1</v>
      </c>
    </row>
    <row r="56" spans="2:167" x14ac:dyDescent="0.2">
      <c r="B56" s="225" t="s">
        <v>139</v>
      </c>
      <c r="C56" s="19">
        <f>Refurbished!C30</f>
        <v>148437.03571428571</v>
      </c>
      <c r="D56" s="19">
        <f>Refurbished!D30</f>
        <v>181862.96612203572</v>
      </c>
      <c r="E56" s="19">
        <f>Refurbished!E30</f>
        <v>152245.41916668598</v>
      </c>
      <c r="F56" s="19">
        <f>Refurbished!F30</f>
        <v>198155.38593951135</v>
      </c>
      <c r="G56" s="19">
        <f>Refurbished!G30</f>
        <v>189099.35581218151</v>
      </c>
      <c r="H56" s="19">
        <f>Refurbished!H30</f>
        <v>181161.42060316404</v>
      </c>
      <c r="I56" s="19">
        <f>Refurbished!I30</f>
        <v>246219.82886114286</v>
      </c>
      <c r="J56" s="19">
        <f>Refurbished!J30</f>
        <v>370723.31821428571</v>
      </c>
      <c r="K56" s="19">
        <f>Refurbished!K30</f>
        <v>429065.23714285716</v>
      </c>
      <c r="L56" s="19">
        <f>Refurbished!L30</f>
        <v>495508.53963264287</v>
      </c>
      <c r="M56" s="19">
        <f>Refurbished!M30</f>
        <v>938385.56035714282</v>
      </c>
      <c r="N56" s="19">
        <f>Refurbished!N30</f>
        <v>1963868.6257142858</v>
      </c>
      <c r="O56" s="19">
        <f>Refurbished!O30</f>
        <v>2116392.4664285714</v>
      </c>
      <c r="P56" s="19">
        <f>Refurbished!P30</f>
        <v>2191684.1357142855</v>
      </c>
      <c r="Q56" s="19">
        <f>Refurbished!Q30</f>
        <v>1600247.2203571426</v>
      </c>
      <c r="R56" s="19">
        <f>Refurbished!R30</f>
        <v>2976284.0135714281</v>
      </c>
      <c r="S56" s="19">
        <f>Refurbished!S30</f>
        <v>1463912.2517857142</v>
      </c>
      <c r="T56" s="19">
        <f>Refurbished!T30</f>
        <v>1184358.5064285719</v>
      </c>
      <c r="U56" s="19">
        <f>Refurbished!U30</f>
        <v>1568087.6921428572</v>
      </c>
      <c r="V56" s="19">
        <f>Refurbished!V30</f>
        <v>568826.30285714287</v>
      </c>
      <c r="W56" s="19">
        <f>Refurbished!W30</f>
        <v>980141.95142857148</v>
      </c>
      <c r="X56" s="19">
        <f>Refurbished!X30</f>
        <v>953329.15971428575</v>
      </c>
      <c r="Y56" s="19">
        <f>Refurbished!Y30</f>
        <v>404898.99390131026</v>
      </c>
      <c r="Z56" s="19">
        <f>Refurbished!Z30</f>
        <v>556050.5968696354</v>
      </c>
      <c r="AA56" s="19">
        <f>Refurbished!AA30</f>
        <v>-120053.67428571433</v>
      </c>
      <c r="AB56" s="19">
        <f>Refurbished!AB30</f>
        <v>1079382.8285684017</v>
      </c>
      <c r="AC56" s="19">
        <f>Refurbished!AC30</f>
        <v>1563528.2599497295</v>
      </c>
      <c r="AD56" s="19">
        <f>Refurbished!AD30</f>
        <v>1871665.7251082934</v>
      </c>
      <c r="AE56" s="19">
        <f>Refurbished!AE30</f>
        <v>1782279.1223336766</v>
      </c>
      <c r="AF56" s="19">
        <f>Refurbished!AF30</f>
        <v>2013951.6354915262</v>
      </c>
      <c r="AG56" s="19">
        <f>Refurbished!AG30</f>
        <v>2520620.0870702174</v>
      </c>
      <c r="AH56" s="19">
        <f>Refurbished!AH30</f>
        <v>3005414.9150983049</v>
      </c>
      <c r="AI56" s="19">
        <f>Refurbished!AI30</f>
        <v>4659384.9227559324</v>
      </c>
      <c r="AJ56" s="19">
        <f>Refurbished!AJ30</f>
        <v>5469617.3483033562</v>
      </c>
      <c r="AK56" s="19">
        <f>Refurbished!AK30</f>
        <v>4462025.829139797</v>
      </c>
      <c r="AL56" s="19">
        <f>Refurbished!AL30</f>
        <v>4701082.3483124096</v>
      </c>
      <c r="AM56" s="19">
        <f>Refurbished!AM30</f>
        <v>3118221.0048337933</v>
      </c>
      <c r="AN56" s="19">
        <f>Refurbished!AN30</f>
        <v>1408989.2037712384</v>
      </c>
      <c r="AO56" s="19">
        <f>Refurbished!AO30</f>
        <v>3336071.4989344757</v>
      </c>
      <c r="AP56" s="19">
        <f>Refurbished!AP30</f>
        <v>4294165.4307521842</v>
      </c>
      <c r="AQ56" s="19">
        <f>Refurbished!AQ30</f>
        <v>4498607.6129889823</v>
      </c>
      <c r="AR56" s="19">
        <f>Refurbished!AR30</f>
        <v>5767691.8795787608</v>
      </c>
      <c r="AS56" s="19">
        <f>Refurbished!AS30</f>
        <v>6988675.0801322013</v>
      </c>
      <c r="AT56" s="19">
        <f>Refurbished!AT30</f>
        <v>9185424.0981748141</v>
      </c>
      <c r="AU56" s="19">
        <f>Refurbished!AU30</f>
        <v>10414533.043989811</v>
      </c>
      <c r="AV56" s="19">
        <f>Refurbished!AV30</f>
        <v>10958436.767910993</v>
      </c>
      <c r="AW56" s="19">
        <f>Refurbished!AW30</f>
        <v>10970023.078772888</v>
      </c>
      <c r="AX56" s="19">
        <f>Refurbished!AX30</f>
        <v>9642429.2163193524</v>
      </c>
      <c r="AY56" s="19">
        <f>Refurbished!AY30</f>
        <v>7945873.877420526</v>
      </c>
      <c r="AZ56" s="19">
        <f>Refurbished!AZ30</f>
        <v>9425259.4984452426</v>
      </c>
      <c r="BA56" s="19">
        <f>Refurbished!BA30</f>
        <v>10596116.152006466</v>
      </c>
      <c r="BB56" s="19">
        <f>Refurbished!BB30</f>
        <v>10756486.603716273</v>
      </c>
      <c r="BC56" s="19">
        <f>Refurbished!BC30</f>
        <v>9410529.3048218396</v>
      </c>
      <c r="BD56" s="19">
        <f>Refurbished!BD30</f>
        <v>8496062.862540083</v>
      </c>
      <c r="BE56" s="19">
        <f>Refurbished!BE30</f>
        <v>10363776.422266062</v>
      </c>
      <c r="BF56" s="19">
        <f>Refurbished!BF30</f>
        <v>10486471.152554518</v>
      </c>
      <c r="BG56" s="19">
        <f>Refurbished!BG30</f>
        <v>11719710.732999783</v>
      </c>
      <c r="BH56" s="19">
        <f>Refurbished!BH30</f>
        <v>12938730.734573226</v>
      </c>
      <c r="BI56" s="19">
        <f>Refurbished!BI30</f>
        <v>14422912.954099635</v>
      </c>
      <c r="BJ56" s="19">
        <f>Refurbished!BJ30</f>
        <v>18932476.747978516</v>
      </c>
      <c r="BK56" s="19">
        <f>Refurbished!BK30</f>
        <v>18458425.932177883</v>
      </c>
      <c r="BL56" s="19">
        <f>Refurbished!BL30</f>
        <v>19724567.662094884</v>
      </c>
      <c r="BM56" s="19">
        <f>Refurbished!BM30</f>
        <v>22343212.580173668</v>
      </c>
      <c r="BN56" s="19">
        <f>Refurbished!BN30</f>
        <v>17694731.164647099</v>
      </c>
      <c r="BO56" s="19">
        <f>Refurbished!BO30</f>
        <v>19734605.462384965</v>
      </c>
      <c r="BP56" s="19">
        <f>Refurbished!BP30</f>
        <v>16586995.553095397</v>
      </c>
      <c r="BQ56" s="19">
        <f>Refurbished!BQ30</f>
        <v>24732683.68017685</v>
      </c>
      <c r="BR56" s="19">
        <f>Refurbished!BR30</f>
        <v>23330217.489053469</v>
      </c>
      <c r="BS56" s="19">
        <f>Refurbished!BS30</f>
        <v>21397898.09684585</v>
      </c>
      <c r="BT56" s="19">
        <f>Refurbished!BT30</f>
        <v>22328257.28366892</v>
      </c>
      <c r="BU56" s="19">
        <f>Refurbished!BU30</f>
        <v>21894864.49768718</v>
      </c>
      <c r="BV56" s="19">
        <f>Refurbished!BV30</f>
        <v>28200495.997717824</v>
      </c>
      <c r="BW56" s="19">
        <f>Refurbished!BW30</f>
        <v>25957744.644494068</v>
      </c>
      <c r="BX56" s="19">
        <f>Refurbished!BX30</f>
        <v>26088764.737206545</v>
      </c>
      <c r="BY56" s="19">
        <f>Refurbished!BY30</f>
        <v>27727390.056626402</v>
      </c>
      <c r="BZ56" s="19">
        <f>Refurbished!BZ30</f>
        <v>27157988.162033014</v>
      </c>
      <c r="CA56" s="19">
        <f>Refurbished!CA30</f>
        <v>24790499.766618803</v>
      </c>
      <c r="CB56" s="19">
        <f>Refurbished!CB30</f>
        <v>22673042.590487391</v>
      </c>
      <c r="CC56" s="19">
        <f>Refurbished!CC30</f>
        <v>29006281.612469085</v>
      </c>
      <c r="CD56" s="19">
        <f>Refurbished!CD30</f>
        <v>26143062.739556443</v>
      </c>
      <c r="CE56" s="19">
        <f>Refurbished!CE30</f>
        <v>30456861.078521766</v>
      </c>
      <c r="CF56" s="19">
        <f>Refurbished!CF30</f>
        <v>32654149.16062782</v>
      </c>
      <c r="CG56" s="19">
        <f>Refurbished!CG30</f>
        <v>31247879.321702242</v>
      </c>
      <c r="CH56" s="19">
        <f>Refurbished!CH30</f>
        <v>43184053.563524619</v>
      </c>
      <c r="CI56" s="19">
        <f>Refurbished!CI30</f>
        <v>42077720.384058274</v>
      </c>
      <c r="CJ56" s="19">
        <f>Refurbished!CJ30</f>
        <v>42457540.057749078</v>
      </c>
      <c r="CK56" s="19">
        <f>Refurbished!CK30</f>
        <v>40848095.235953011</v>
      </c>
      <c r="CL56" s="19">
        <f>Refurbished!CL30</f>
        <v>43640507.400000036</v>
      </c>
      <c r="CM56" s="19">
        <f>Refurbished!CM30</f>
        <v>39179687.410000004</v>
      </c>
      <c r="CN56" s="19">
        <f>Refurbished!CN30</f>
        <v>37703778.260000065</v>
      </c>
      <c r="CO56" s="19">
        <f>Refurbished!CO30</f>
        <v>45312474.730000004</v>
      </c>
      <c r="CP56" s="19">
        <f>Refurbished!CP30</f>
        <v>41749660.700000063</v>
      </c>
      <c r="CQ56" s="19">
        <f>Refurbished!CQ30</f>
        <v>50047139.010000125</v>
      </c>
      <c r="CR56" s="19">
        <f>Refurbished!CR30</f>
        <v>54783514.14000006</v>
      </c>
      <c r="CS56" s="19">
        <f>Refurbished!CS30</f>
        <v>48261603.740000032</v>
      </c>
      <c r="CT56" s="19">
        <f>Refurbished!CT30</f>
        <v>54814242.080000043</v>
      </c>
      <c r="CU56" s="19">
        <f>Refurbished!CU30</f>
        <v>51344887.045872375</v>
      </c>
      <c r="CV56" s="19">
        <f>Refurbished!CV30</f>
        <v>50972502.340090111</v>
      </c>
      <c r="CW56" s="19">
        <f>Refurbished!CW30</f>
        <v>50897174.122561514</v>
      </c>
      <c r="CX56" s="19">
        <f>Refurbished!CX30</f>
        <v>53585159.562206365</v>
      </c>
      <c r="CY56" s="19">
        <f>Refurbished!CY30</f>
        <v>48994528.98697336</v>
      </c>
      <c r="CZ56" s="19">
        <f>Refurbished!CZ30</f>
        <v>49065385.465726942</v>
      </c>
      <c r="DA56" s="19">
        <f>Refurbished!DA30</f>
        <v>54717458.310679287</v>
      </c>
      <c r="DB56" s="19">
        <f>Refurbished!DB30</f>
        <v>52260613.639642015</v>
      </c>
      <c r="DC56" s="19">
        <f>Refurbished!DC30</f>
        <v>63042402.274359308</v>
      </c>
      <c r="DD56" s="19">
        <f>Refurbished!DD30</f>
        <v>66086348.605633594</v>
      </c>
      <c r="DE56" s="19">
        <f>Refurbished!DE30</f>
        <v>59243826.224401653</v>
      </c>
      <c r="DF56" s="19">
        <f>Refurbished!DF30</f>
        <v>66758292.953387</v>
      </c>
      <c r="DG56" s="19">
        <f>Refurbished!DG30</f>
        <v>61930355.346325308</v>
      </c>
      <c r="DH56" s="19">
        <f>Refurbished!DH30</f>
        <v>61553172.086365014</v>
      </c>
      <c r="DI56" s="19">
        <f>Refurbished!DI30</f>
        <v>61280877.857896253</v>
      </c>
      <c r="DJ56" s="19">
        <f>Refurbished!DJ30</f>
        <v>64527906.747362778</v>
      </c>
      <c r="DK56" s="19">
        <f>Refurbished!DK30</f>
        <v>58904879.58472041</v>
      </c>
      <c r="DL56" s="19">
        <f>Refurbished!DL30</f>
        <v>58850969.733955108</v>
      </c>
      <c r="DM56" s="19">
        <f>Refurbished!DM30</f>
        <v>65612743.066763759</v>
      </c>
      <c r="DN56" s="19">
        <f>Refurbished!DN30</f>
        <v>62451224.064639203</v>
      </c>
      <c r="DO56" s="19">
        <f>Refurbished!DO30</f>
        <v>75189175.956462651</v>
      </c>
      <c r="DP56" s="19">
        <f>Refurbished!DP30</f>
        <v>78630967.31366241</v>
      </c>
      <c r="DQ56" s="19">
        <f>Refurbished!DQ30</f>
        <v>70303628.854825199</v>
      </c>
      <c r="DR56" s="19">
        <f>Refurbished!DR30</f>
        <v>78730821.013199657</v>
      </c>
      <c r="DS56" s="19">
        <f>Refurbished!DS30</f>
        <v>71758611.604591325</v>
      </c>
      <c r="DT56" s="19">
        <f>Refurbished!DT30</f>
        <v>71301354.785789669</v>
      </c>
      <c r="DU56" s="19">
        <f>Refurbished!DU30</f>
        <v>70965368.051408201</v>
      </c>
      <c r="DV56" s="19">
        <f>Refurbished!DV30</f>
        <v>74663908.900793746</v>
      </c>
      <c r="DW56" s="19">
        <f>Refurbished!DW30</f>
        <v>68146099.945919111</v>
      </c>
      <c r="DX56" s="19">
        <f>Refurbished!DX30</f>
        <v>68150504.668633133</v>
      </c>
      <c r="DY56" s="19">
        <f>Refurbished!DY30</f>
        <v>75802520.248978674</v>
      </c>
      <c r="DZ56" s="19">
        <f>Refurbished!DZ30</f>
        <v>72183695.312495619</v>
      </c>
      <c r="EA56" s="19">
        <f>Refurbished!EA30</f>
        <v>86953446.252231464</v>
      </c>
      <c r="EB56" s="19">
        <f>Refurbished!EB30</f>
        <v>90977012.577967212</v>
      </c>
      <c r="EC56" s="19">
        <f>Refurbished!EC30</f>
        <v>81239249.748476833</v>
      </c>
      <c r="ED56" s="19">
        <f>Refurbished!ED30</f>
        <v>90923004.568396091</v>
      </c>
      <c r="EE56" s="222"/>
      <c r="EF56" s="19">
        <f>SUM(BK56:BM56)</f>
        <v>60526206.174446434</v>
      </c>
      <c r="EG56" s="19">
        <f>SUM(BN56:BP56)</f>
        <v>54016332.180127457</v>
      </c>
      <c r="EH56" s="19">
        <f>SUM(BQ56:BS56)</f>
        <v>69460799.266076177</v>
      </c>
      <c r="EI56" s="19">
        <f>SUM(BT56:BV56)</f>
        <v>72423617.779073924</v>
      </c>
      <c r="EJ56" s="19">
        <f>SUM(BW56:BY56)</f>
        <v>79773899.438327014</v>
      </c>
      <c r="EK56" s="19">
        <f>SUM(BZ56:CB56)</f>
        <v>74621530.5191392</v>
      </c>
      <c r="EL56" s="19">
        <f>SUM(CC56:CE56)</f>
        <v>85606205.430547297</v>
      </c>
      <c r="EM56" s="19">
        <f>SUM(CF56:CH56)</f>
        <v>107086082.04585469</v>
      </c>
      <c r="EN56" s="19">
        <f>SUM(CI56:CK56)</f>
        <v>125383355.67776036</v>
      </c>
      <c r="EO56" s="19">
        <f>SUM(CL56:CN56)</f>
        <v>120523973.0700001</v>
      </c>
      <c r="EP56" s="19">
        <f>SUM(CO56:CQ56)</f>
        <v>137109274.44000018</v>
      </c>
      <c r="EQ56" s="19">
        <f>SUM(CR56:CT56)</f>
        <v>157859359.96000013</v>
      </c>
      <c r="ER56" s="19">
        <f>SUM(CU56:CW56)</f>
        <v>153214563.508524</v>
      </c>
      <c r="ES56" s="19">
        <f>SUM(CX56:CZ56)</f>
        <v>151645074.01490667</v>
      </c>
      <c r="ET56" s="19">
        <f>SUM(DA56:DC56)</f>
        <v>170020474.2246806</v>
      </c>
      <c r="EU56" s="19">
        <f>SUM(DD56:DF56)</f>
        <v>192088467.78342223</v>
      </c>
      <c r="EV56" s="19">
        <f>SUM(DG56:DI56)</f>
        <v>184764405.29058659</v>
      </c>
      <c r="EW56" s="19">
        <f>SUM(DJ56:DL56)</f>
        <v>182283756.06603831</v>
      </c>
      <c r="EX56" s="19">
        <f>SUM(DM56:DO56)</f>
        <v>203253143.08786562</v>
      </c>
      <c r="EY56" s="19">
        <f>SUM(DP56:DR56)</f>
        <v>227665417.18168727</v>
      </c>
      <c r="EZ56" s="19">
        <f t="shared" si="23"/>
        <v>214025334.44178918</v>
      </c>
      <c r="FA56" s="19">
        <f t="shared" si="24"/>
        <v>210960513.51534599</v>
      </c>
      <c r="FB56" s="19">
        <f t="shared" si="25"/>
        <v>234939661.81370574</v>
      </c>
      <c r="FC56" s="19">
        <f t="shared" si="26"/>
        <v>263139266.89484012</v>
      </c>
      <c r="FE56" s="19">
        <f t="shared" si="120"/>
        <v>256426955.39972398</v>
      </c>
      <c r="FF56" s="19">
        <f t="shared" si="121"/>
        <v>347087717.43386817</v>
      </c>
      <c r="FG56" s="19">
        <f t="shared" si="122"/>
        <v>540875963.14776075</v>
      </c>
      <c r="FH56" s="19">
        <f t="shared" si="123"/>
        <v>666968579.53153348</v>
      </c>
      <c r="FI56" s="19">
        <f t="shared" si="124"/>
        <v>797966721.62617779</v>
      </c>
      <c r="FJ56" s="770">
        <f t="shared" si="32"/>
        <v>923064776.665681</v>
      </c>
      <c r="FK56" s="545" t="s">
        <v>1</v>
      </c>
    </row>
    <row r="57" spans="2:167" x14ac:dyDescent="0.2">
      <c r="B57" s="225" t="s">
        <v>309</v>
      </c>
      <c r="C57" s="19">
        <f>Marketplace!C6</f>
        <v>768377.52</v>
      </c>
      <c r="D57" s="19">
        <f>Marketplace!D6</f>
        <v>1141530.48</v>
      </c>
      <c r="E57" s="19">
        <f>Marketplace!E6</f>
        <v>1058731.2</v>
      </c>
      <c r="F57" s="19">
        <f>Marketplace!F6</f>
        <v>914129.1</v>
      </c>
      <c r="G57" s="19">
        <f>Marketplace!G6</f>
        <v>547995.24</v>
      </c>
      <c r="H57" s="19">
        <f>Marketplace!H6</f>
        <v>406707.12</v>
      </c>
      <c r="I57" s="19">
        <f>Marketplace!I6</f>
        <v>502586.1</v>
      </c>
      <c r="J57" s="19">
        <f>Marketplace!J6</f>
        <v>449743.5</v>
      </c>
      <c r="K57" s="19">
        <f>Marketplace!K6</f>
        <v>573029.81999999995</v>
      </c>
      <c r="L57" s="19">
        <f>Marketplace!L6</f>
        <v>601353.72</v>
      </c>
      <c r="M57" s="19">
        <f>Marketplace!M6</f>
        <v>533097.17999999993</v>
      </c>
      <c r="N57" s="19">
        <f>Marketplace!N6</f>
        <v>485631.89999999997</v>
      </c>
      <c r="O57" s="19">
        <f>Marketplace!O6</f>
        <v>478154.89835999999</v>
      </c>
      <c r="P57" s="19">
        <f>Marketplace!P6</f>
        <v>537370.32240000006</v>
      </c>
      <c r="Q57" s="19">
        <f>Marketplace!Q6</f>
        <v>552977.08474576275</v>
      </c>
      <c r="R57" s="19">
        <f>Marketplace!R6</f>
        <v>629453.69999999995</v>
      </c>
      <c r="S57" s="19">
        <f>Marketplace!S6</f>
        <v>677722.14</v>
      </c>
      <c r="T57" s="19">
        <f>Marketplace!T6</f>
        <v>681103.26</v>
      </c>
      <c r="U57" s="19">
        <f>Marketplace!U6</f>
        <v>877871.52</v>
      </c>
      <c r="V57" s="19">
        <f>Marketplace!V6</f>
        <v>650881.43999999994</v>
      </c>
      <c r="W57" s="19">
        <f>Marketplace!W6</f>
        <v>676025.64</v>
      </c>
      <c r="X57" s="19">
        <f>Marketplace!X6</f>
        <v>780393.41999999993</v>
      </c>
      <c r="Y57" s="19">
        <f>Marketplace!Y6</f>
        <v>727242.29999999993</v>
      </c>
      <c r="Z57" s="19">
        <f>Marketplace!Z6</f>
        <v>595302.12</v>
      </c>
      <c r="AA57" s="19">
        <f>Marketplace!AA6</f>
        <v>10685.34</v>
      </c>
      <c r="AB57" s="19">
        <f>Marketplace!AB6</f>
        <v>351109.44</v>
      </c>
      <c r="AC57" s="19">
        <f>Marketplace!AC6</f>
        <v>1092530.52</v>
      </c>
      <c r="AD57" s="19">
        <f>Marketplace!AD6</f>
        <v>1635754.3199999998</v>
      </c>
      <c r="AE57" s="19">
        <f>Marketplace!AE6</f>
        <v>2144972.52</v>
      </c>
      <c r="AF57" s="19">
        <f>Marketplace!AF6</f>
        <v>2256481.62</v>
      </c>
      <c r="AG57" s="19">
        <f>Marketplace!AG6</f>
        <v>2757094.1999999997</v>
      </c>
      <c r="AH57" s="19">
        <f>Marketplace!AH6</f>
        <v>2218861.08</v>
      </c>
      <c r="AI57" s="19">
        <f>Marketplace!AI6</f>
        <v>1920435.1199999999</v>
      </c>
      <c r="AJ57" s="19">
        <f>Marketplace!AJ6</f>
        <v>2375965.44</v>
      </c>
      <c r="AK57" s="19">
        <f>Marketplace!AK6</f>
        <v>2077437.24</v>
      </c>
      <c r="AL57" s="19">
        <f>Marketplace!AL6</f>
        <v>2350355.4</v>
      </c>
      <c r="AM57" s="19">
        <f>Marketplace!AM6</f>
        <v>1731033.72</v>
      </c>
      <c r="AN57" s="19">
        <f>Marketplace!AN6</f>
        <v>779976.72</v>
      </c>
      <c r="AO57" s="19">
        <f>Marketplace!AO6</f>
        <v>2399522.7599999998</v>
      </c>
      <c r="AP57" s="19">
        <f>Marketplace!AP6</f>
        <v>3104321.76</v>
      </c>
      <c r="AQ57" s="19">
        <f>Marketplace!AQ6</f>
        <v>3586855.86</v>
      </c>
      <c r="AR57" s="19">
        <f>Marketplace!AR6</f>
        <v>3471152.4305084753</v>
      </c>
      <c r="AS57" s="19">
        <f>Marketplace!AS6</f>
        <v>4912626.5999999996</v>
      </c>
      <c r="AT57" s="19">
        <f>Marketplace!AT6</f>
        <v>3182495.4</v>
      </c>
      <c r="AU57" s="19">
        <f>Marketplace!AU6</f>
        <v>3493596.8135593222</v>
      </c>
      <c r="AV57" s="19">
        <f>Marketplace!AV6</f>
        <v>3766295.34</v>
      </c>
      <c r="AW57" s="19">
        <f>Marketplace!AW6</f>
        <v>3465136.98</v>
      </c>
      <c r="AX57" s="19">
        <f>Marketplace!AX6</f>
        <v>4505755.8599999994</v>
      </c>
      <c r="AY57" s="19">
        <f>Marketplace!AY6</f>
        <v>4018688.6399999997</v>
      </c>
      <c r="AZ57" s="19">
        <f>Marketplace!AZ6</f>
        <v>3822362.28</v>
      </c>
      <c r="BA57" s="19">
        <f>Marketplace!BA6</f>
        <v>4268372.3999999994</v>
      </c>
      <c r="BB57" s="19">
        <f>Marketplace!BB6</f>
        <v>4197109.3627118655</v>
      </c>
      <c r="BC57" s="19">
        <f>Marketplace!BC6</f>
        <v>4369505.4457627125</v>
      </c>
      <c r="BD57" s="19">
        <f>Marketplace!BD6</f>
        <v>5458263.6508474573</v>
      </c>
      <c r="BE57" s="19">
        <f>Marketplace!BE6</f>
        <v>5591029.3627118645</v>
      </c>
      <c r="BF57" s="19">
        <f>Marketplace!BF6</f>
        <v>4468373.725423729</v>
      </c>
      <c r="BG57" s="19">
        <f>Marketplace!BG6</f>
        <v>5052013.1237288136</v>
      </c>
      <c r="BH57" s="19">
        <f>Marketplace!BH6</f>
        <v>5726283.1627118643</v>
      </c>
      <c r="BI57" s="19">
        <f>Marketplace!BI6</f>
        <v>5310181.8</v>
      </c>
      <c r="BJ57" s="19">
        <f>Marketplace!BJ6</f>
        <v>6000251.5677966103</v>
      </c>
      <c r="BK57" s="19">
        <f>Marketplace!BK6</f>
        <v>6586552.5559322024</v>
      </c>
      <c r="BL57" s="19">
        <f>Marketplace!BL6</f>
        <v>6892975.0067796605</v>
      </c>
      <c r="BM57" s="19">
        <f>Marketplace!BM6</f>
        <v>6842503.9220338985</v>
      </c>
      <c r="BN57" s="19">
        <f>Marketplace!BN6</f>
        <v>7471836.5796610173</v>
      </c>
      <c r="BO57" s="19">
        <f>Marketplace!BO6</f>
        <v>7706149.2762711849</v>
      </c>
      <c r="BP57" s="19">
        <f>Marketplace!BP6</f>
        <v>6858350.4355932213</v>
      </c>
      <c r="BQ57" s="19">
        <f>Marketplace!BQ6</f>
        <v>10187448.101694915</v>
      </c>
      <c r="BR57" s="19">
        <f>Marketplace!BR6</f>
        <v>8484692.262711864</v>
      </c>
      <c r="BS57" s="19">
        <f>Marketplace!BS6</f>
        <v>7848018.6406779662</v>
      </c>
      <c r="BT57" s="19">
        <f>Marketplace!BT6</f>
        <v>8919528.391525425</v>
      </c>
      <c r="BU57" s="19">
        <f>Marketplace!BU6</f>
        <v>7896338.8779661022</v>
      </c>
      <c r="BV57" s="19">
        <f>Marketplace!BV6</f>
        <v>8081355.7830508472</v>
      </c>
      <c r="BW57" s="19">
        <f>Marketplace!BW6</f>
        <v>7728533.2677966114</v>
      </c>
      <c r="BX57" s="19">
        <f>Marketplace!BX6</f>
        <v>8944362.5796610173</v>
      </c>
      <c r="BY57" s="19">
        <f>Marketplace!BY6</f>
        <v>8259271.6728813564</v>
      </c>
      <c r="BZ57" s="19">
        <f>Marketplace!BZ6</f>
        <v>9714121.3220338989</v>
      </c>
      <c r="CA57" s="19">
        <f>Marketplace!CA6</f>
        <v>9166212.594915254</v>
      </c>
      <c r="CB57" s="19">
        <f>Marketplace!CB6</f>
        <v>8720157.4627118651</v>
      </c>
      <c r="CC57" s="19">
        <f>Marketplace!CC6</f>
        <v>12262754.593220338</v>
      </c>
      <c r="CD57" s="19">
        <f>Marketplace!CD6</f>
        <v>9425160.6254237294</v>
      </c>
      <c r="CE57" s="19">
        <f>Marketplace!CE6</f>
        <v>9654117.1169491541</v>
      </c>
      <c r="CF57" s="19">
        <f>Marketplace!CF6</f>
        <v>10410145.962711865</v>
      </c>
      <c r="CG57" s="19">
        <f>Marketplace!CG6</f>
        <v>10397546.71016949</v>
      </c>
      <c r="CH57" s="19">
        <f>Marketplace!CH6</f>
        <v>10181405.730508475</v>
      </c>
      <c r="CI57" s="19">
        <f>Marketplace!CI6</f>
        <v>10265687.023728812</v>
      </c>
      <c r="CJ57" s="19">
        <f>Marketplace!CJ6</f>
        <v>10855317.249152541</v>
      </c>
      <c r="CK57" s="19">
        <f>Marketplace!CK6</f>
        <v>10701001.723728813</v>
      </c>
      <c r="CL57" s="19">
        <f>Marketplace!CL6</f>
        <v>11309772.569491526</v>
      </c>
      <c r="CM57" s="19">
        <f>Marketplace!CM6</f>
        <v>10452288.49322034</v>
      </c>
      <c r="CN57" s="19">
        <f>Marketplace!CN6</f>
        <v>12619375.840677967</v>
      </c>
      <c r="CO57" s="19">
        <f>Marketplace!CO6</f>
        <v>15931739.135593221</v>
      </c>
      <c r="CP57" s="19">
        <f>Marketplace!CP6</f>
        <v>12327046.627118643</v>
      </c>
      <c r="CQ57" s="19">
        <f>Marketplace!CQ6</f>
        <v>12879352.754237289</v>
      </c>
      <c r="CR57" s="19">
        <f>Marketplace!CR6</f>
        <v>13451749.627118643</v>
      </c>
      <c r="CS57" s="19">
        <f>Marketplace!CS6</f>
        <v>11795940.381355932</v>
      </c>
      <c r="CT57" s="19">
        <f>Marketplace!CT6</f>
        <v>14928147</v>
      </c>
      <c r="CU57" s="19">
        <f>Marketplace!CU6</f>
        <v>13242876.716544053</v>
      </c>
      <c r="CV57" s="19">
        <f>Marketplace!CV6</f>
        <v>14429856.25882064</v>
      </c>
      <c r="CW57" s="19">
        <f>Marketplace!CW6</f>
        <v>14259244.546088491</v>
      </c>
      <c r="CX57" s="19">
        <f>Marketplace!CX6</f>
        <v>15590060.16265288</v>
      </c>
      <c r="CY57" s="19">
        <f>Marketplace!CY6</f>
        <v>14551563.706294933</v>
      </c>
      <c r="CZ57" s="19">
        <f>Marketplace!CZ6</f>
        <v>16904279.30910714</v>
      </c>
      <c r="DA57" s="19">
        <f>Marketplace!DA6</f>
        <v>20895841.013727769</v>
      </c>
      <c r="DB57" s="19">
        <f>Marketplace!DB6</f>
        <v>15467467.570106044</v>
      </c>
      <c r="DC57" s="19">
        <f>Marketplace!DC6</f>
        <v>15980851.712179437</v>
      </c>
      <c r="DD57" s="19">
        <f>Marketplace!DD6</f>
        <v>16766860.536595251</v>
      </c>
      <c r="DE57" s="19">
        <f>Marketplace!DE6</f>
        <v>14376083.695663812</v>
      </c>
      <c r="DF57" s="19">
        <f>Marketplace!DF6</f>
        <v>17463690.99495263</v>
      </c>
      <c r="DG57" s="19">
        <f>Marketplace!DG6</f>
        <v>15891452.059852865</v>
      </c>
      <c r="DH57" s="19">
        <f>Marketplace!DH6</f>
        <v>17315827.510584768</v>
      </c>
      <c r="DI57" s="19">
        <f>Marketplace!DI6</f>
        <v>17111093.455306187</v>
      </c>
      <c r="DJ57" s="19">
        <f>Marketplace!DJ6</f>
        <v>18708072.195183456</v>
      </c>
      <c r="DK57" s="19">
        <f>Marketplace!DK6</f>
        <v>17461876.447553921</v>
      </c>
      <c r="DL57" s="19">
        <f>Marketplace!DL6</f>
        <v>20285135.170928568</v>
      </c>
      <c r="DM57" s="19">
        <f>Marketplace!DM6</f>
        <v>25075009.216473326</v>
      </c>
      <c r="DN57" s="19">
        <f>Marketplace!DN6</f>
        <v>18560961.084127251</v>
      </c>
      <c r="DO57" s="19">
        <f>Marketplace!DO6</f>
        <v>19177022.054615326</v>
      </c>
      <c r="DP57" s="19">
        <f>Marketplace!DP6</f>
        <v>20120232.643914301</v>
      </c>
      <c r="DQ57" s="19">
        <f>Marketplace!DQ6</f>
        <v>17251300.434796575</v>
      </c>
      <c r="DR57" s="19">
        <f>Marketplace!DR6</f>
        <v>20956429.193943158</v>
      </c>
      <c r="DS57" s="19">
        <f>Marketplace!DS6</f>
        <v>18275169.868830789</v>
      </c>
      <c r="DT57" s="19">
        <f>Marketplace!DT6</f>
        <v>19913201.637172483</v>
      </c>
      <c r="DU57" s="19">
        <f>Marketplace!DU6</f>
        <v>19677757.473602112</v>
      </c>
      <c r="DV57" s="19">
        <f>Marketplace!DV6</f>
        <v>21514283.024460975</v>
      </c>
      <c r="DW57" s="19">
        <f>Marketplace!DW6</f>
        <v>20081157.914687008</v>
      </c>
      <c r="DX57" s="19">
        <f>Marketplace!DX6</f>
        <v>23327905.446567848</v>
      </c>
      <c r="DY57" s="19">
        <f>Marketplace!DY6</f>
        <v>28836260.598944321</v>
      </c>
      <c r="DZ57" s="19">
        <f>Marketplace!DZ6</f>
        <v>21345105.246746339</v>
      </c>
      <c r="EA57" s="19">
        <f>Marketplace!EA6</f>
        <v>22053575.36280762</v>
      </c>
      <c r="EB57" s="19">
        <f>Marketplace!EB6</f>
        <v>23138267.540501446</v>
      </c>
      <c r="EC57" s="19">
        <f>Marketplace!EC6</f>
        <v>19838995.50001606</v>
      </c>
      <c r="ED57" s="19">
        <f>Marketplace!ED6</f>
        <v>24099893.573034629</v>
      </c>
      <c r="EE57" s="222"/>
      <c r="EF57" s="19">
        <f>SUM(BK57:BM57)</f>
        <v>20322031.484745763</v>
      </c>
      <c r="EG57" s="19">
        <f>SUM(BN57:BP57)</f>
        <v>22036336.291525424</v>
      </c>
      <c r="EH57" s="19">
        <f>SUM(BQ57:BS57)</f>
        <v>26520159.005084746</v>
      </c>
      <c r="EI57" s="19">
        <f>SUM(BT57:BV57)</f>
        <v>24897223.052542374</v>
      </c>
      <c r="EJ57" s="19">
        <f>SUM(BW57:BY57)</f>
        <v>24932167.520338986</v>
      </c>
      <c r="EK57" s="19">
        <f>SUM(BZ57:CB57)</f>
        <v>27600491.379661016</v>
      </c>
      <c r="EL57" s="19">
        <f>SUM(CC57:CE57)</f>
        <v>31342032.335593224</v>
      </c>
      <c r="EM57" s="19">
        <f>SUM(CF57:CH57)</f>
        <v>30989098.403389834</v>
      </c>
      <c r="EN57" s="19">
        <f>SUM(CI57:CK57)</f>
        <v>31822005.996610165</v>
      </c>
      <c r="EO57" s="19">
        <f>SUM(CL57:CN57)</f>
        <v>34381436.903389834</v>
      </c>
      <c r="EP57" s="19">
        <f>SUM(CO57:CQ57)</f>
        <v>41138138.516949154</v>
      </c>
      <c r="EQ57" s="19">
        <f>SUM(CR57:CT57)</f>
        <v>40175837.008474573</v>
      </c>
      <c r="ER57" s="19">
        <f>SUM(CU57:CW57)</f>
        <v>41931977.521453187</v>
      </c>
      <c r="ES57" s="19">
        <f>SUM(CX57:CZ57)</f>
        <v>47045903.178054951</v>
      </c>
      <c r="ET57" s="19">
        <f>SUM(DA57:DC57)</f>
        <v>52344160.296013251</v>
      </c>
      <c r="EU57" s="19">
        <f>SUM(DD57:DF57)</f>
        <v>48606635.227211699</v>
      </c>
      <c r="EV57" s="19">
        <f>SUM(DG57:DI57)</f>
        <v>50318373.02574382</v>
      </c>
      <c r="EW57" s="19">
        <f>SUM(DJ57:DL57)</f>
        <v>56455083.813665941</v>
      </c>
      <c r="EX57" s="19">
        <f>SUM(DM57:DO57)</f>
        <v>62812992.3552159</v>
      </c>
      <c r="EY57" s="19">
        <f>SUM(DP57:DR57)</f>
        <v>58327962.272654034</v>
      </c>
      <c r="EZ57" s="19">
        <f t="shared" si="23"/>
        <v>57866128.979605392</v>
      </c>
      <c r="FA57" s="19">
        <f t="shared" si="24"/>
        <v>64923346.385715827</v>
      </c>
      <c r="FB57" s="19">
        <f t="shared" si="25"/>
        <v>72234941.208498284</v>
      </c>
      <c r="FC57" s="19">
        <f t="shared" si="26"/>
        <v>67077156.613552138</v>
      </c>
      <c r="FE57" s="19">
        <f t="shared" si="120"/>
        <v>93775749.833898306</v>
      </c>
      <c r="FF57" s="19">
        <f t="shared" si="121"/>
        <v>114863789.63898307</v>
      </c>
      <c r="FG57" s="19">
        <f t="shared" si="122"/>
        <v>147517418.42542374</v>
      </c>
      <c r="FH57" s="19">
        <f t="shared" si="123"/>
        <v>189928676.22273308</v>
      </c>
      <c r="FI57" s="19">
        <f t="shared" si="124"/>
        <v>227914411.4672797</v>
      </c>
      <c r="FJ57" s="770">
        <f t="shared" si="32"/>
        <v>262101573.18737167</v>
      </c>
      <c r="FK57" s="545" t="s">
        <v>1</v>
      </c>
    </row>
    <row r="58" spans="2:167" x14ac:dyDescent="0.2">
      <c r="B58" s="225" t="s">
        <v>310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f>'D2C Online'!C55</f>
        <v>0</v>
      </c>
      <c r="M58" s="19">
        <f>'D2C Online'!D55</f>
        <v>0</v>
      </c>
      <c r="N58" s="19">
        <f>'D2C Online'!E55</f>
        <v>0</v>
      </c>
      <c r="O58" s="19">
        <f>'D2C Online'!F55</f>
        <v>0</v>
      </c>
      <c r="P58" s="19">
        <f>'D2C Online'!G55</f>
        <v>0</v>
      </c>
      <c r="Q58" s="19">
        <f>'D2C Online'!H55</f>
        <v>0</v>
      </c>
      <c r="R58" s="19">
        <f>'D2C Online'!I55</f>
        <v>0</v>
      </c>
      <c r="S58" s="19">
        <f>'D2C Online'!J55</f>
        <v>0</v>
      </c>
      <c r="T58" s="19">
        <f>'D2C Online'!K55</f>
        <v>0</v>
      </c>
      <c r="U58" s="19">
        <f>'D2C Online'!L55</f>
        <v>0</v>
      </c>
      <c r="V58" s="19">
        <f>'D2C Online'!M55</f>
        <v>0</v>
      </c>
      <c r="W58" s="19">
        <f>'D2C Online'!N55</f>
        <v>0</v>
      </c>
      <c r="X58" s="19">
        <f>'D2C Online'!O55</f>
        <v>0</v>
      </c>
      <c r="Y58" s="19">
        <f>'D2C Online'!P55</f>
        <v>0</v>
      </c>
      <c r="Z58" s="19">
        <f>'D2C Online'!Q55</f>
        <v>0</v>
      </c>
      <c r="AA58" s="19">
        <f>'D2C Online'!R55</f>
        <v>0</v>
      </c>
      <c r="AB58" s="19">
        <f>'D2C Online'!S55</f>
        <v>0</v>
      </c>
      <c r="AC58" s="19">
        <f>'D2C - Retail'!C58+'D2C - Retail'!C59+'D2C Online'!T55</f>
        <v>588118.55021694931</v>
      </c>
      <c r="AD58" s="19">
        <f>'D2C - Retail'!D58+'D2C - Retail'!D59+'D2C Online'!U55</f>
        <v>626075.08474576275</v>
      </c>
      <c r="AE58" s="19">
        <f>'D2C - Retail'!E58+'D2C - Retail'!E59+'D2C Online'!V55</f>
        <v>661050.07779661019</v>
      </c>
      <c r="AF58" s="19">
        <f>'D2C - Retail'!F58+'D2C - Retail'!F59+'D2C Online'!W55</f>
        <v>577422.427118644</v>
      </c>
      <c r="AG58" s="19">
        <f>'D2C - Retail'!G58+'D2C - Retail'!G59+'D2C Online'!X55</f>
        <v>541419.91627118643</v>
      </c>
      <c r="AH58" s="19">
        <f>'D2C - Retail'!H58+'D2C - Retail'!H59+'D2C Online'!Y55</f>
        <v>526691.28813559317</v>
      </c>
      <c r="AI58" s="19">
        <f>'D2C - Retail'!I58+'D2C - Retail'!I59+'D2C Online'!Z55</f>
        <v>535087.13033898303</v>
      </c>
      <c r="AJ58" s="19">
        <f>'D2C - Retail'!J58+'D2C - Retail'!J59+'D2C Online'!AA55</f>
        <v>541253.69389830506</v>
      </c>
      <c r="AK58" s="19">
        <f>'D2C - Retail'!K58+'D2C - Retail'!K59+'D2C Online'!AB55</f>
        <v>539573.59322033916</v>
      </c>
      <c r="AL58" s="19">
        <f>'D2C - Retail'!L58+'D2C - Retail'!L59+'D2C Online'!AC55</f>
        <v>689298.70728813554</v>
      </c>
      <c r="AM58" s="19">
        <f>'D2C - Retail'!M58+'D2C - Retail'!M59+'D2C Online'!AD55</f>
        <v>420216.5791525424</v>
      </c>
      <c r="AN58" s="19">
        <f>'D2C - Retail'!N58+'D2C - Retail'!N59+'D2C Online'!AE55</f>
        <v>1128</v>
      </c>
      <c r="AO58" s="19">
        <f>'D2C - Retail'!O58+'D2C - Retail'!O59+'D2C Online'!AF55</f>
        <v>716665.47457627114</v>
      </c>
      <c r="AP58" s="19">
        <f>'D2C - Retail'!P58+'D2C - Retail'!P59+'D2C Online'!AG55</f>
        <v>1021280.4745762711</v>
      </c>
      <c r="AQ58" s="19">
        <f>'D2C - Retail'!Q58+'D2C - Retail'!Q59+'D2C Online'!AH55</f>
        <v>1101977.354576271</v>
      </c>
      <c r="AR58" s="19">
        <f>'D2C - Retail'!R58+'D2C - Retail'!R59+'D2C Online'!AI55</f>
        <v>1384096.9152542374</v>
      </c>
      <c r="AS58" s="19">
        <f>'D2C - Retail'!S58+'D2C - Retail'!S59+'D2C Online'!AJ55</f>
        <v>1323811.8823728813</v>
      </c>
      <c r="AT58" s="19">
        <f>'D2C - Retail'!T58+'D2C - Retail'!T59+'D2C Online'!AK55</f>
        <v>1420828.6820338995</v>
      </c>
      <c r="AU58" s="19">
        <f>'D2C - Retail'!U58+'D2C - Retail'!U59+'D2C Online'!AL55</f>
        <v>2031565.9332203409</v>
      </c>
      <c r="AV58" s="19">
        <f>'D2C - Retail'!V58+'D2C - Retail'!V59+'D2C Online'!AM55</f>
        <v>1989891.1144067799</v>
      </c>
      <c r="AW58" s="19">
        <f>'D2C - Retail'!W58+'D2C - Retail'!W59+'D2C Online'!AN55</f>
        <v>1984184.2738983054</v>
      </c>
      <c r="AX58" s="19">
        <f>'D2C - Retail'!X58+'D2C - Retail'!X59+'D2C Online'!AO55</f>
        <v>2068379.740677966</v>
      </c>
      <c r="AY58" s="19">
        <f>'D2C - Retail'!Y58+'D2C - Retail'!Y59+'D2C Online'!AP55</f>
        <v>2203135.1664406783</v>
      </c>
      <c r="AZ58" s="19">
        <f>'D2C - Retail'!Z58+'D2C - Retail'!Z59+'D2C Online'!AQ55</f>
        <v>2464881.4342372883</v>
      </c>
      <c r="BA58" s="19">
        <f>'D2C - Retail'!AA58+'D2C - Retail'!AA59+'D2C Online'!AR55</f>
        <v>2613946.8157627117</v>
      </c>
      <c r="BB58" s="19">
        <f>'D2C - Retail'!AB58+'D2C - Retail'!AB59+'D2C Online'!AS55</f>
        <v>3019421.6206779648</v>
      </c>
      <c r="BC58" s="19">
        <f>'D2C - Retail'!AC58+'D2C - Retail'!AC59+'D2C Online'!AT55</f>
        <v>3267961.3098305077</v>
      </c>
      <c r="BD58" s="19">
        <f>'D2C - Retail'!AD58+'D2C - Retail'!AD59+'D2C Online'!AU55</f>
        <v>3206886.3320338987</v>
      </c>
      <c r="BE58" s="19">
        <f>'D2C - Retail'!AE58+'D2C - Retail'!AE59+'D2C Online'!AV55</f>
        <v>3051813.5572881354</v>
      </c>
      <c r="BF58" s="19">
        <f>'D2C - Retail'!AF58+'D2C - Retail'!AF59+'D2C Online'!AW55</f>
        <v>3031450.8177966108</v>
      </c>
      <c r="BG58" s="19">
        <f>'D2C - Retail'!AG58+'D2C - Retail'!AG59+'D2C Online'!AX55</f>
        <v>3083273.2510169493</v>
      </c>
      <c r="BH58" s="19">
        <f>'D2C - Retail'!AH58+'D2C - Retail'!AH59+'D2C Online'!AY55</f>
        <v>3393431.864237288</v>
      </c>
      <c r="BI58" s="19">
        <f>'D2C - Retail'!AI58+'D2C - Retail'!AI59+'D2C Online'!AZ55</f>
        <v>3348561.4962711865</v>
      </c>
      <c r="BJ58" s="19">
        <f>'D2C - Retail'!AJ58+'D2C - Retail'!AJ59+'D2C Online'!BA55</f>
        <v>3493289.3522033896</v>
      </c>
      <c r="BK58" s="19">
        <f>'D2C - Retail'!AK58+'D2C - Retail'!AK59+'D2C Online'!BB55</f>
        <v>3631215.4672118658</v>
      </c>
      <c r="BL58" s="19">
        <f>'D2C - Retail'!AL58+'D2C - Retail'!AL59+'D2C Online'!BC55</f>
        <v>3808447.0169491516</v>
      </c>
      <c r="BM58" s="19">
        <f>'D2C - Retail'!AM58+'D2C - Retail'!AM59+'D2C Online'!BD55</f>
        <v>4037776.872711868</v>
      </c>
      <c r="BN58" s="19">
        <f>'D2C - Retail'!AN58+'D2C - Retail'!AN59+'D2C Online'!BE55</f>
        <v>4174903.4949152535</v>
      </c>
      <c r="BO58" s="19">
        <f>'D2C - Retail'!AO58+'D2C - Retail'!AO59+'D2C Online'!BF55</f>
        <v>4766904.8942033993</v>
      </c>
      <c r="BP58" s="19">
        <f>'D2C - Retail'!AP58+'D2C - Retail'!AP59+'D2C Online'!BG55</f>
        <v>4272847.7842922034</v>
      </c>
      <c r="BQ58" s="19">
        <f>'D2C - Retail'!AQ58+'D2C - Retail'!AQ59+'D2C Online'!BH55</f>
        <v>4897136.8863610141</v>
      </c>
      <c r="BR58" s="19">
        <f>'D2C - Retail'!AR58+'D2C - Retail'!AR59+'D2C Online'!BI55</f>
        <v>3656634.126702765</v>
      </c>
      <c r="BS58" s="19">
        <f>'D2C - Retail'!AS58+'D2C - Retail'!AS59+'D2C Online'!BJ55</f>
        <v>3451103.2115023751</v>
      </c>
      <c r="BT58" s="19">
        <f>'D2C - Retail'!AT58+'D2C - Retail'!AT59+'D2C Online'!BK55</f>
        <v>3261456.1388129033</v>
      </c>
      <c r="BU58" s="19">
        <f>'D2C - Retail'!AU58+'D2C - Retail'!AU59+'D2C Online'!BL55</f>
        <v>3404440.5806677444</v>
      </c>
      <c r="BV58" s="19">
        <f>'D2C - Retail'!AV58+'D2C - Retail'!AV59+'D2C Online'!BM55</f>
        <v>3901207.727283855</v>
      </c>
      <c r="BW58" s="19">
        <f>'D2C - Retail'!AW58+'D2C - Retail'!AW59+'D2C Online'!BN55</f>
        <v>4129541.1030466612</v>
      </c>
      <c r="BX58" s="19">
        <f>'D2C - Retail'!AX58+'D2C - Retail'!AX59+'D2C Online'!BO55</f>
        <v>4330684.8488456998</v>
      </c>
      <c r="BY58" s="19">
        <f>'D2C - Retail'!AY58+'D2C - Retail'!AY59+'D2C Online'!BP55</f>
        <v>4762083.6617854862</v>
      </c>
      <c r="BZ58" s="19">
        <f>'D2C - Retail'!AZ58+'D2C - Retail'!AZ59+'D2C Online'!BQ55</f>
        <v>4935732.5211870726</v>
      </c>
      <c r="CA58" s="19">
        <f>'D2C - Retail'!BA58+'D2C - Retail'!BA59+'D2C Online'!BR55</f>
        <v>4835223.2837288138</v>
      </c>
      <c r="CB58" s="19">
        <f>'D2C - Retail'!BB58+'D2C - Retail'!BB59+'D2C Online'!BS55</f>
        <v>4386405.1891450686</v>
      </c>
      <c r="CC58" s="19">
        <f>'D2C - Retail'!BC58+'D2C - Retail'!BC59+'D2C Online'!BT55</f>
        <v>5154792.8432929972</v>
      </c>
      <c r="CD58" s="19">
        <f>'D2C - Retail'!BD58+'D2C - Retail'!BD59+'D2C Online'!BU55</f>
        <v>4496096.5352542382</v>
      </c>
      <c r="CE58" s="19">
        <f>'D2C - Retail'!BE58+'D2C - Retail'!BE59+'D2C Online'!BV55</f>
        <v>5273814.7580625396</v>
      </c>
      <c r="CF58" s="19">
        <f>'D2C - Retail'!BF58+'D2C - Retail'!BF59+'D2C Online'!BW55</f>
        <v>5207349.3284745608</v>
      </c>
      <c r="CG58" s="19">
        <f>'D2C - Retail'!BG58+'D2C - Retail'!BG59+'D2C Online'!BX55</f>
        <v>4621020.7377966</v>
      </c>
      <c r="CH58" s="19">
        <f>'D2C - Retail'!BH58+'D2C - Retail'!BH59+'D2C Online'!BY55</f>
        <v>5835470.8255932201</v>
      </c>
      <c r="CI58" s="19">
        <f>'D2C - Retail'!BI58+'D2C - Retail'!BI59+'D2C Online'!BZ55</f>
        <v>5833484.6277966108</v>
      </c>
      <c r="CJ58" s="19">
        <f>'D2C - Retail'!BJ58+'D2C - Retail'!BJ59+'D2C Online'!CA55</f>
        <v>6103266.6950847451</v>
      </c>
      <c r="CK58" s="19">
        <f>'D2C - Retail'!BK58+'D2C - Retail'!BK59+'D2C Online'!CB55</f>
        <v>5644743.9293462308</v>
      </c>
      <c r="CL58" s="19">
        <f>'D2C - Retail'!BL58+'D2C - Retail'!BL59+'D2C Online'!CC55</f>
        <v>6526965.5459564161</v>
      </c>
      <c r="CM58" s="19">
        <f>'D2C - Retail'!BM58+'D2C - Retail'!BM59+'D2C Online'!CD55</f>
        <v>6862433.0079661012</v>
      </c>
      <c r="CN58" s="19">
        <f>'D2C - Retail'!BN58+'D2C - Retail'!BN59+'D2C Online'!CE55</f>
        <v>6620983.509661017</v>
      </c>
      <c r="CO58" s="19">
        <f>'D2C - Retail'!BO58+'D2C - Retail'!BO59+'D2C Online'!CF55</f>
        <v>7541470.5498305084</v>
      </c>
      <c r="CP58" s="19">
        <f>'D2C - Retail'!BP58+'D2C - Retail'!BP59+'D2C Online'!CG55</f>
        <v>7248345.1352542378</v>
      </c>
      <c r="CQ58" s="19">
        <f>'D2C - Retail'!BQ58+'D2C - Retail'!BQ59+'D2C Online'!CH55</f>
        <v>9038943.7230508514</v>
      </c>
      <c r="CR58" s="19">
        <f>'D2C - Retail'!BR58+'D2C - Retail'!BR59+'D2C Online'!CI55</f>
        <v>8874021.4444067813</v>
      </c>
      <c r="CS58" s="19">
        <f>'D2C - Retail'!BS58+'D2C - Retail'!BS59+'D2C Online'!CJ55</f>
        <v>8484903.9457627144</v>
      </c>
      <c r="CT58" s="19">
        <f>'D2C - Retail'!BT58+'D2C - Retail'!BT59+'D2C Online'!CK55</f>
        <v>12448370.077627126</v>
      </c>
      <c r="CU58" s="19">
        <f>'D2C Online'!CL55+'D2C - Retail'!BU58+'D2C - Retail'!BU59</f>
        <v>10297627.272087839</v>
      </c>
      <c r="CV58" s="19">
        <f>'D2C Online'!CM55+'D2C - Retail'!BV58+'D2C - Retail'!BV59</f>
        <v>10092545.260824414</v>
      </c>
      <c r="CW58" s="19">
        <f>'D2C Online'!CN55+'D2C - Retail'!BW58+'D2C - Retail'!BW59</f>
        <v>10071868.453397572</v>
      </c>
      <c r="CX58" s="19">
        <f>'D2C Online'!CO55+'D2C - Retail'!BX58+'D2C - Retail'!BX59</f>
        <v>10888627.195757858</v>
      </c>
      <c r="CY58" s="19">
        <f>'D2C Online'!CP55+'D2C - Retail'!BY58+'D2C - Retail'!BY59</f>
        <v>9741495.226663366</v>
      </c>
      <c r="CZ58" s="19">
        <f>'D2C Online'!CQ55+'D2C - Retail'!BZ58+'D2C - Retail'!BZ59</f>
        <v>9087529.0793263614</v>
      </c>
      <c r="DA58" s="19">
        <f>'D2C Online'!CR55+'D2C - Retail'!CA58+'D2C - Retail'!CA59</f>
        <v>11263126.83343048</v>
      </c>
      <c r="DB58" s="19">
        <f>'D2C Online'!CS55+'D2C - Retail'!CB58+'D2C - Retail'!CB59</f>
        <v>10394397.190157343</v>
      </c>
      <c r="DC58" s="19">
        <f>'D2C Online'!CT55+'D2C - Retail'!CC58+'D2C - Retail'!CC59</f>
        <v>12375586.85317306</v>
      </c>
      <c r="DD58" s="19">
        <f>'D2C Online'!CU55+'D2C - Retail'!CD58+'D2C - Retail'!CD59</f>
        <v>12697020.591632083</v>
      </c>
      <c r="DE58" s="19">
        <f>'D2C Online'!CV55+'D2C - Retail'!CE58+'D2C - Retail'!CE59</f>
        <v>11781140.790784396</v>
      </c>
      <c r="DF58" s="19">
        <f>'D2C Online'!CW55+'D2C - Retail'!CF58+'D2C - Retail'!CF59</f>
        <v>13679373.387072608</v>
      </c>
      <c r="DG58" s="19">
        <f>'D2C Online'!CX55+'D2C - Retail'!CG58+'D2C - Retail'!CG59</f>
        <v>12582697.792848926</v>
      </c>
      <c r="DH58" s="19">
        <f>'D2C Online'!CY55+'D2C - Retail'!CH58+'D2C - Retail'!CH59</f>
        <v>12361906.42359202</v>
      </c>
      <c r="DI58" s="19">
        <f>'D2C Online'!CZ55+'D2C - Retail'!CI58+'D2C - Retail'!CI59</f>
        <v>12274025.535769995</v>
      </c>
      <c r="DJ58" s="19">
        <f>'D2C Online'!DA55+'D2C - Retail'!CJ58+'D2C - Retail'!CJ59</f>
        <v>13263328.816123471</v>
      </c>
      <c r="DK58" s="19">
        <f>'D2C Online'!DB55+'D2C - Retail'!CK58+'D2C - Retail'!CK59</f>
        <v>11840345.552280916</v>
      </c>
      <c r="DL58" s="19">
        <f>'D2C Online'!DC55+'D2C - Retail'!CL58+'D2C - Retail'!CL59</f>
        <v>11017994.322643923</v>
      </c>
      <c r="DM58" s="19">
        <f>'D2C Online'!DD55+'D2C - Retail'!CM58+'D2C - Retail'!CM59</f>
        <v>13618152.28548627</v>
      </c>
      <c r="DN58" s="19">
        <f>'D2C Online'!DE55+'D2C - Retail'!CN58+'D2C - Retail'!CN59</f>
        <v>12502096.800764645</v>
      </c>
      <c r="DO58" s="19">
        <f>'D2C Online'!DF55+'D2C - Retail'!CO58+'D2C - Retail'!CO59</f>
        <v>14837362.784578603</v>
      </c>
      <c r="DP58" s="19">
        <f>'D2C Online'!DG55+'D2C - Retail'!CP58+'D2C - Retail'!CP59</f>
        <v>15161396.357492715</v>
      </c>
      <c r="DQ58" s="19">
        <f>'D2C Online'!DH55+'D2C - Retail'!CQ58+'D2C - Retail'!CQ59</f>
        <v>13999538.534673817</v>
      </c>
      <c r="DR58" s="19">
        <f>'D2C Online'!DI55+'D2C - Retail'!CR58+'D2C - Retail'!CR59</f>
        <v>16083973.613426022</v>
      </c>
      <c r="DS58" s="19">
        <f>'D2C Online'!DJ55+'D2C - Retail'!CS58+'D2C - Retail'!CS59</f>
        <v>14350917.786676807</v>
      </c>
      <c r="DT58" s="19">
        <f>'D2C Online'!DK55+'D2C - Retail'!CT58+'D2C - Retail'!CT59</f>
        <v>14085760.474862946</v>
      </c>
      <c r="DU58" s="19">
        <f>'D2C Online'!DL55+'D2C - Retail'!CU58+'D2C - Retail'!CU59</f>
        <v>13977006.89745258</v>
      </c>
      <c r="DV58" s="19">
        <f>'D2C Online'!DM55+'D2C - Retail'!CV58+'D2C - Retail'!CV59</f>
        <v>15097740.740962189</v>
      </c>
      <c r="DW58" s="19">
        <f>'D2C Online'!DN55+'D2C - Retail'!CW58+'D2C - Retail'!CW59</f>
        <v>13461616.9206155</v>
      </c>
      <c r="DX58" s="19">
        <f>'D2C Online'!DO55+'D2C - Retail'!CX58+'D2C - Retail'!CX59</f>
        <v>12511177.959583443</v>
      </c>
      <c r="DY58" s="19">
        <f>'D2C Online'!DP55+'D2C - Retail'!CY58+'D2C - Retail'!CY59</f>
        <v>15467344.466696177</v>
      </c>
      <c r="DZ58" s="19">
        <f>'D2C Online'!DQ55+'D2C - Retail'!CZ58+'D2C - Retail'!CZ59</f>
        <v>14189003.607224151</v>
      </c>
      <c r="EA58" s="19">
        <f>'D2C Online'!DR55+'D2C - Retail'!DA58+'D2C - Retail'!DA59</f>
        <v>16844893.056066751</v>
      </c>
      <c r="EB58" s="19">
        <f>'D2C Online'!DS55+'D2C - Retail'!DB58+'D2C - Retail'!DB59</f>
        <v>17210277.457284465</v>
      </c>
      <c r="EC58" s="19">
        <f>'D2C Online'!DT55+'D2C - Retail'!DC58+'D2C - Retail'!DC59</f>
        <v>15877675.159588892</v>
      </c>
      <c r="ED58" s="19">
        <f>'D2C Online'!DU55+'D2C - Retail'!DD58+'D2C - Retail'!DD59</f>
        <v>18243414.817403093</v>
      </c>
      <c r="EE58" s="222"/>
      <c r="EF58" s="19">
        <f>SUM(BK58:BM58)</f>
        <v>11477439.356872886</v>
      </c>
      <c r="EG58" s="19">
        <f>SUM(BN58:BP58)</f>
        <v>13214656.173410855</v>
      </c>
      <c r="EH58" s="19">
        <f>SUM(BQ58:BS58)</f>
        <v>12004874.224566154</v>
      </c>
      <c r="EI58" s="19">
        <f>SUM(BT58:BV58)</f>
        <v>10567104.446764503</v>
      </c>
      <c r="EJ58" s="19">
        <f>SUM(BW58:BY58)</f>
        <v>13222309.613677848</v>
      </c>
      <c r="EK58" s="19">
        <f>SUM(BZ58:CB58)</f>
        <v>14157360.994060956</v>
      </c>
      <c r="EL58" s="19">
        <f>SUM(CC58:CE58)</f>
        <v>14924704.136609776</v>
      </c>
      <c r="EM58" s="19">
        <f>SUM(CF58:CH58)</f>
        <v>15663840.89186438</v>
      </c>
      <c r="EN58" s="19">
        <f>SUM(CI58:CK58)</f>
        <v>17581495.252227586</v>
      </c>
      <c r="EO58" s="19">
        <f>SUM(CL58:CN58)</f>
        <v>20010382.063583534</v>
      </c>
      <c r="EP58" s="19">
        <f>SUM(CO58:CQ58)</f>
        <v>23828759.408135597</v>
      </c>
      <c r="EQ58" s="19">
        <f>SUM(CR58:CT58)</f>
        <v>29807295.46779662</v>
      </c>
      <c r="ER58" s="19">
        <f>SUM(CU58:CW58)</f>
        <v>30462040.986309826</v>
      </c>
      <c r="ES58" s="19">
        <f>SUM(CX58:CZ58)</f>
        <v>29717651.501747586</v>
      </c>
      <c r="ET58" s="19">
        <f>SUM(DA58:DC58)</f>
        <v>34033110.876760885</v>
      </c>
      <c r="EU58" s="19">
        <f>SUM(DD58:DF58)</f>
        <v>38157534.769489087</v>
      </c>
      <c r="EV58" s="19">
        <f>SUM(DG58:DI58)</f>
        <v>37218629.752210945</v>
      </c>
      <c r="EW58" s="19">
        <f>SUM(DJ58:DL58)</f>
        <v>36121668.691048309</v>
      </c>
      <c r="EX58" s="19">
        <f>SUM(DM58:DO58)</f>
        <v>40957611.870829523</v>
      </c>
      <c r="EY58" s="19">
        <f>SUM(DP58:DR58)</f>
        <v>45244908.505592555</v>
      </c>
      <c r="EZ58" s="19">
        <f t="shared" si="23"/>
        <v>42413685.158992335</v>
      </c>
      <c r="FA58" s="19">
        <f t="shared" si="24"/>
        <v>41070535.621161133</v>
      </c>
      <c r="FB58" s="19">
        <f t="shared" si="25"/>
        <v>46501241.129987076</v>
      </c>
      <c r="FC58" s="19">
        <f t="shared" si="26"/>
        <v>51331367.434276447</v>
      </c>
      <c r="FE58" s="19">
        <f t="shared" si="120"/>
        <v>47264074.201614395</v>
      </c>
      <c r="FF58" s="19">
        <f t="shared" si="121"/>
        <v>57968215.63621296</v>
      </c>
      <c r="FG58" s="19">
        <f t="shared" si="122"/>
        <v>91227932.191743344</v>
      </c>
      <c r="FH58" s="19">
        <f t="shared" si="123"/>
        <v>132370338.13430738</v>
      </c>
      <c r="FI58" s="19">
        <f t="shared" si="124"/>
        <v>159542818.81968135</v>
      </c>
      <c r="FJ58" s="770">
        <f t="shared" si="32"/>
        <v>181316829.34441698</v>
      </c>
      <c r="FK58" s="545" t="s">
        <v>1</v>
      </c>
    </row>
    <row r="59" spans="2:167" x14ac:dyDescent="0.2">
      <c r="B59" s="225" t="s">
        <v>311</v>
      </c>
      <c r="C59" s="19">
        <f>C68*18%</f>
        <v>0</v>
      </c>
      <c r="D59" s="19">
        <f t="shared" ref="D59:BO59" si="163">D68*18%</f>
        <v>0</v>
      </c>
      <c r="E59" s="19">
        <f t="shared" si="163"/>
        <v>0</v>
      </c>
      <c r="F59" s="19">
        <f t="shared" si="163"/>
        <v>0</v>
      </c>
      <c r="G59" s="19">
        <f t="shared" si="163"/>
        <v>0</v>
      </c>
      <c r="H59" s="19">
        <f t="shared" si="163"/>
        <v>0</v>
      </c>
      <c r="I59" s="19">
        <f t="shared" si="163"/>
        <v>0</v>
      </c>
      <c r="J59" s="19">
        <f t="shared" si="163"/>
        <v>0</v>
      </c>
      <c r="K59" s="19">
        <f t="shared" si="163"/>
        <v>0</v>
      </c>
      <c r="L59" s="19">
        <f t="shared" si="163"/>
        <v>0</v>
      </c>
      <c r="M59" s="19">
        <f t="shared" si="163"/>
        <v>0</v>
      </c>
      <c r="N59" s="19">
        <f t="shared" si="163"/>
        <v>0</v>
      </c>
      <c r="O59" s="19">
        <f t="shared" si="163"/>
        <v>0</v>
      </c>
      <c r="P59" s="19">
        <f t="shared" si="163"/>
        <v>0</v>
      </c>
      <c r="Q59" s="19">
        <f t="shared" si="163"/>
        <v>0</v>
      </c>
      <c r="R59" s="19">
        <f t="shared" si="163"/>
        <v>0</v>
      </c>
      <c r="S59" s="19">
        <f t="shared" si="163"/>
        <v>0</v>
      </c>
      <c r="T59" s="19">
        <f t="shared" si="163"/>
        <v>0</v>
      </c>
      <c r="U59" s="19">
        <f t="shared" si="163"/>
        <v>0</v>
      </c>
      <c r="V59" s="19">
        <f t="shared" si="163"/>
        <v>0</v>
      </c>
      <c r="W59" s="19">
        <f t="shared" si="163"/>
        <v>0</v>
      </c>
      <c r="X59" s="19">
        <f t="shared" si="163"/>
        <v>0</v>
      </c>
      <c r="Y59" s="19">
        <f t="shared" si="163"/>
        <v>0</v>
      </c>
      <c r="Z59" s="19">
        <f t="shared" si="163"/>
        <v>0</v>
      </c>
      <c r="AA59" s="19">
        <f t="shared" si="163"/>
        <v>0</v>
      </c>
      <c r="AB59" s="19">
        <f t="shared" si="163"/>
        <v>0</v>
      </c>
      <c r="AC59" s="19">
        <f t="shared" si="163"/>
        <v>0</v>
      </c>
      <c r="AD59" s="19">
        <f t="shared" si="163"/>
        <v>155050.91999999998</v>
      </c>
      <c r="AE59" s="19">
        <f t="shared" si="163"/>
        <v>196056</v>
      </c>
      <c r="AF59" s="19">
        <f t="shared" si="163"/>
        <v>273224.52</v>
      </c>
      <c r="AG59" s="19">
        <f t="shared" si="163"/>
        <v>321847.56</v>
      </c>
      <c r="AH59" s="19">
        <f t="shared" si="163"/>
        <v>199509.47999999998</v>
      </c>
      <c r="AI59" s="19">
        <f t="shared" si="163"/>
        <v>508138.92</v>
      </c>
      <c r="AJ59" s="19">
        <f t="shared" si="163"/>
        <v>196053.47999999998</v>
      </c>
      <c r="AK59" s="19">
        <f t="shared" si="163"/>
        <v>133470.35999999999</v>
      </c>
      <c r="AL59" s="19">
        <f t="shared" si="163"/>
        <v>143389.79999999999</v>
      </c>
      <c r="AM59" s="19">
        <f t="shared" si="163"/>
        <v>131040</v>
      </c>
      <c r="AN59" s="19">
        <f t="shared" si="163"/>
        <v>170598.78</v>
      </c>
      <c r="AO59" s="19">
        <f t="shared" si="163"/>
        <v>201600</v>
      </c>
      <c r="AP59" s="19">
        <f t="shared" si="163"/>
        <v>344222.82</v>
      </c>
      <c r="AQ59" s="19">
        <f t="shared" si="163"/>
        <v>312480</v>
      </c>
      <c r="AR59" s="19">
        <f t="shared" si="163"/>
        <v>879480</v>
      </c>
      <c r="AS59" s="19">
        <f t="shared" si="163"/>
        <v>619011</v>
      </c>
      <c r="AT59" s="19">
        <f t="shared" si="163"/>
        <v>435080.13839999994</v>
      </c>
      <c r="AU59" s="19">
        <f t="shared" si="163"/>
        <v>201402.87119999999</v>
      </c>
      <c r="AV59" s="19">
        <f t="shared" si="163"/>
        <v>503409.64320000005</v>
      </c>
      <c r="AW59" s="19">
        <f t="shared" si="163"/>
        <v>245814.78240000003</v>
      </c>
      <c r="AX59" s="19">
        <f t="shared" si="163"/>
        <v>308139.26400000002</v>
      </c>
      <c r="AY59" s="19">
        <f t="shared" si="163"/>
        <v>263872.63440000004</v>
      </c>
      <c r="AZ59" s="19">
        <f t="shared" si="163"/>
        <v>278219.12400000001</v>
      </c>
      <c r="BA59" s="19">
        <f t="shared" si="163"/>
        <v>380921.96159999998</v>
      </c>
      <c r="BB59" s="19">
        <f t="shared" si="163"/>
        <v>305239.68719999999</v>
      </c>
      <c r="BC59" s="19">
        <f t="shared" si="163"/>
        <v>305239.68719999999</v>
      </c>
      <c r="BD59" s="19">
        <f t="shared" si="163"/>
        <v>476653.21199999994</v>
      </c>
      <c r="BE59" s="19">
        <f t="shared" si="163"/>
        <v>388753.42320000002</v>
      </c>
      <c r="BF59" s="19">
        <f t="shared" si="163"/>
        <v>111579.63840000001</v>
      </c>
      <c r="BG59" s="19">
        <f t="shared" si="163"/>
        <v>192193.44479999997</v>
      </c>
      <c r="BH59" s="19">
        <f t="shared" si="163"/>
        <v>244132.71840000001</v>
      </c>
      <c r="BI59" s="19">
        <f t="shared" si="163"/>
        <v>205285.05359999998</v>
      </c>
      <c r="BJ59" s="19">
        <f t="shared" si="163"/>
        <v>243882.74160000001</v>
      </c>
      <c r="BK59" s="19">
        <f t="shared" si="163"/>
        <v>227749.20479999998</v>
      </c>
      <c r="BL59" s="19">
        <f t="shared" si="163"/>
        <v>246200.10479999997</v>
      </c>
      <c r="BM59" s="19">
        <f t="shared" si="163"/>
        <v>150957.82080000002</v>
      </c>
      <c r="BN59" s="19">
        <f t="shared" si="163"/>
        <v>203548.52880000003</v>
      </c>
      <c r="BO59" s="19">
        <f t="shared" si="163"/>
        <v>269238.62160000001</v>
      </c>
      <c r="BP59" s="19">
        <f t="shared" ref="BP59:DR59" si="164">BP68*18%</f>
        <v>202402.73520000002</v>
      </c>
      <c r="BQ59" s="19">
        <f t="shared" si="164"/>
        <v>441683.15040000004</v>
      </c>
      <c r="BR59" s="19">
        <f t="shared" si="164"/>
        <v>171318.04560000001</v>
      </c>
      <c r="BS59" s="19">
        <f t="shared" si="164"/>
        <v>200880</v>
      </c>
      <c r="BT59" s="19">
        <f t="shared" si="164"/>
        <v>225295.34400000001</v>
      </c>
      <c r="BU59" s="19">
        <f t="shared" si="164"/>
        <v>164399.09039999999</v>
      </c>
      <c r="BV59" s="19">
        <f t="shared" si="164"/>
        <v>185985.9792</v>
      </c>
      <c r="BW59" s="19">
        <f t="shared" si="164"/>
        <v>182694.33359999998</v>
      </c>
      <c r="BX59" s="19">
        <f t="shared" si="164"/>
        <v>181440</v>
      </c>
      <c r="BY59" s="19">
        <f t="shared" si="164"/>
        <v>232333.33680000005</v>
      </c>
      <c r="BZ59" s="19">
        <f t="shared" si="164"/>
        <v>258343.4736</v>
      </c>
      <c r="CA59" s="19">
        <f t="shared" si="164"/>
        <v>429127.27200000006</v>
      </c>
      <c r="CB59" s="19">
        <f t="shared" si="164"/>
        <v>775126.14589830511</v>
      </c>
      <c r="CC59" s="19">
        <f t="shared" si="164"/>
        <v>554231.19599999988</v>
      </c>
      <c r="CD59" s="19">
        <f t="shared" si="164"/>
        <v>675451.81799999997</v>
      </c>
      <c r="CE59" s="19">
        <f t="shared" si="164"/>
        <v>501162.408</v>
      </c>
      <c r="CF59" s="19">
        <f t="shared" si="164"/>
        <v>379930.158</v>
      </c>
      <c r="CG59" s="19">
        <f t="shared" si="164"/>
        <v>297622.24199999997</v>
      </c>
      <c r="CH59" s="19">
        <f t="shared" si="164"/>
        <v>458145.36</v>
      </c>
      <c r="CI59" s="19">
        <f t="shared" si="164"/>
        <v>313211.86199999996</v>
      </c>
      <c r="CJ59" s="19">
        <f t="shared" si="164"/>
        <v>229837.19399999999</v>
      </c>
      <c r="CK59" s="19">
        <f t="shared" si="164"/>
        <v>451911.77279999998</v>
      </c>
      <c r="CL59" s="19">
        <f t="shared" si="164"/>
        <v>657211.71600000001</v>
      </c>
      <c r="CM59" s="19">
        <f t="shared" si="164"/>
        <v>630062.98199999996</v>
      </c>
      <c r="CN59" s="19">
        <f t="shared" si="164"/>
        <v>788435.10179999995</v>
      </c>
      <c r="CO59" s="19">
        <f t="shared" si="164"/>
        <v>637718.40540000005</v>
      </c>
      <c r="CP59" s="19">
        <f t="shared" si="164"/>
        <v>561371.88239999989</v>
      </c>
      <c r="CQ59" s="19">
        <f t="shared" si="164"/>
        <v>572049.20699999994</v>
      </c>
      <c r="CR59" s="19">
        <f t="shared" si="164"/>
        <v>356642.74800000002</v>
      </c>
      <c r="CS59" s="19">
        <f t="shared" si="164"/>
        <v>707504.63219999999</v>
      </c>
      <c r="CT59" s="19">
        <f t="shared" si="164"/>
        <v>1113715.8018</v>
      </c>
      <c r="CU59" s="19">
        <f t="shared" si="164"/>
        <v>313211.86199999996</v>
      </c>
      <c r="CV59" s="19">
        <f t="shared" si="164"/>
        <v>229837.19399999999</v>
      </c>
      <c r="CW59" s="19">
        <f t="shared" si="164"/>
        <v>451911.77279999998</v>
      </c>
      <c r="CX59" s="19">
        <f t="shared" si="164"/>
        <v>657211.71600000001</v>
      </c>
      <c r="CY59" s="19">
        <f t="shared" si="164"/>
        <v>630062.98199999996</v>
      </c>
      <c r="CZ59" s="19">
        <f t="shared" si="164"/>
        <v>788435.10180000006</v>
      </c>
      <c r="DA59" s="19">
        <f t="shared" si="164"/>
        <v>637718.40540000005</v>
      </c>
      <c r="DB59" s="19">
        <f t="shared" si="164"/>
        <v>561371.88239999989</v>
      </c>
      <c r="DC59" s="19">
        <f t="shared" si="164"/>
        <v>572049.20699999994</v>
      </c>
      <c r="DD59" s="19">
        <f t="shared" si="164"/>
        <v>356642.74800000002</v>
      </c>
      <c r="DE59" s="19">
        <f t="shared" si="164"/>
        <v>707504.63219999999</v>
      </c>
      <c r="DF59" s="19">
        <f t="shared" si="164"/>
        <v>1113715.8018</v>
      </c>
      <c r="DG59" s="19">
        <f t="shared" si="164"/>
        <v>313211.86199999996</v>
      </c>
      <c r="DH59" s="19">
        <f t="shared" si="164"/>
        <v>229837.19399999999</v>
      </c>
      <c r="DI59" s="19">
        <f t="shared" si="164"/>
        <v>451911.77279999998</v>
      </c>
      <c r="DJ59" s="19">
        <f t="shared" si="164"/>
        <v>657211.71600000001</v>
      </c>
      <c r="DK59" s="19">
        <f t="shared" si="164"/>
        <v>630062.98199999996</v>
      </c>
      <c r="DL59" s="19">
        <f t="shared" si="164"/>
        <v>788435.10180000006</v>
      </c>
      <c r="DM59" s="19">
        <f t="shared" si="164"/>
        <v>637718.40540000005</v>
      </c>
      <c r="DN59" s="19">
        <f t="shared" si="164"/>
        <v>561371.88239999989</v>
      </c>
      <c r="DO59" s="19">
        <f t="shared" si="164"/>
        <v>572049.20699999994</v>
      </c>
      <c r="DP59" s="19">
        <f t="shared" si="164"/>
        <v>356642.74800000002</v>
      </c>
      <c r="DQ59" s="19">
        <f t="shared" si="164"/>
        <v>707504.63219999999</v>
      </c>
      <c r="DR59" s="19">
        <f t="shared" si="164"/>
        <v>1113715.8018</v>
      </c>
      <c r="DS59" s="19">
        <f t="shared" ref="DS59:ED59" si="165">DS68*18%</f>
        <v>313211.86199999996</v>
      </c>
      <c r="DT59" s="19">
        <f t="shared" si="165"/>
        <v>229837.19399999999</v>
      </c>
      <c r="DU59" s="19">
        <f t="shared" si="165"/>
        <v>451911.77279999998</v>
      </c>
      <c r="DV59" s="19">
        <f t="shared" si="165"/>
        <v>657211.71600000001</v>
      </c>
      <c r="DW59" s="19">
        <f t="shared" si="165"/>
        <v>630062.98199999996</v>
      </c>
      <c r="DX59" s="19">
        <f t="shared" si="165"/>
        <v>788435.10180000006</v>
      </c>
      <c r="DY59" s="19">
        <f t="shared" si="165"/>
        <v>637718.40540000005</v>
      </c>
      <c r="DZ59" s="19">
        <f t="shared" si="165"/>
        <v>561371.88239999989</v>
      </c>
      <c r="EA59" s="19">
        <f t="shared" si="165"/>
        <v>572049.20699999994</v>
      </c>
      <c r="EB59" s="19">
        <f t="shared" si="165"/>
        <v>356642.74800000002</v>
      </c>
      <c r="EC59" s="19">
        <f t="shared" si="165"/>
        <v>707504.63219999999</v>
      </c>
      <c r="ED59" s="19">
        <f t="shared" si="165"/>
        <v>1113715.8018</v>
      </c>
      <c r="EE59" s="222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E59" s="19"/>
      <c r="FF59" s="19"/>
      <c r="FG59" s="19"/>
      <c r="FH59" s="19"/>
      <c r="FI59" s="19"/>
      <c r="FJ59" s="770">
        <f t="shared" si="32"/>
        <v>0</v>
      </c>
      <c r="FK59" s="545" t="s">
        <v>1</v>
      </c>
    </row>
    <row r="60" spans="2:167" x14ac:dyDescent="0.2">
      <c r="B60" s="225" t="s">
        <v>191</v>
      </c>
      <c r="C60" s="19">
        <f>'Screen Pro'!B3</f>
        <v>171186.3</v>
      </c>
      <c r="D60" s="19">
        <f>'Screen Pro'!C3</f>
        <v>221207.22</v>
      </c>
      <c r="E60" s="19">
        <f>'Screen Pro'!D3</f>
        <v>300816</v>
      </c>
      <c r="F60" s="19">
        <f>'Screen Pro'!E3</f>
        <v>350961.3</v>
      </c>
      <c r="G60" s="19">
        <f>'Screen Pro'!F3</f>
        <v>374416.38</v>
      </c>
      <c r="H60" s="19">
        <f>'Screen Pro'!G3</f>
        <v>477382.86</v>
      </c>
      <c r="I60" s="19">
        <f>'Screen Pro'!H3</f>
        <v>560632.86</v>
      </c>
      <c r="J60" s="19">
        <f>'Screen Pro'!I3</f>
        <v>785374.02</v>
      </c>
      <c r="K60" s="19">
        <f>'Screen Pro'!J3</f>
        <v>1139819.22</v>
      </c>
      <c r="L60" s="19">
        <f>'Screen Pro'!K3</f>
        <v>1526599.44</v>
      </c>
      <c r="M60" s="19">
        <f>'Screen Pro'!L3</f>
        <v>1467472.8599999999</v>
      </c>
      <c r="N60" s="19">
        <f>'Screen Pro'!M3</f>
        <v>1629756.72</v>
      </c>
      <c r="O60" s="19">
        <f>'Screen Pro'!N3</f>
        <v>1706650.5599999998</v>
      </c>
      <c r="P60" s="19">
        <f>'Screen Pro'!O3</f>
        <v>1705722.3122034112</v>
      </c>
      <c r="Q60" s="19">
        <f>'Screen Pro'!P3</f>
        <v>1510925.22</v>
      </c>
      <c r="R60" s="19">
        <f>'Screen Pro'!Q3</f>
        <v>1059797.898305085</v>
      </c>
      <c r="S60" s="19">
        <f>'Screen Pro'!R3</f>
        <v>1058634.8999999999</v>
      </c>
      <c r="T60" s="19">
        <f>'Screen Pro'!S3</f>
        <v>977908.32</v>
      </c>
      <c r="U60" s="19">
        <f>'Screen Pro'!T3</f>
        <v>931202.82</v>
      </c>
      <c r="V60" s="19">
        <f>'Screen Pro'!U3</f>
        <v>834277.86</v>
      </c>
      <c r="W60" s="19">
        <f>'Screen Pro'!V3</f>
        <v>800127.89084745722</v>
      </c>
      <c r="X60" s="19">
        <f>'Screen Pro'!W3</f>
        <v>706073.48847457557</v>
      </c>
      <c r="Y60" s="19">
        <f>'Screen Pro'!X3</f>
        <v>683788.32</v>
      </c>
      <c r="Z60" s="19">
        <f>'Screen Pro'!Y3</f>
        <v>479345.57999999996</v>
      </c>
      <c r="AA60" s="19">
        <f>'Screen Pro'!Z3</f>
        <v>0</v>
      </c>
      <c r="AB60" s="19">
        <f>'Screen Pro'!AA3</f>
        <v>96000.753600000069</v>
      </c>
      <c r="AC60" s="19">
        <f>'Screen Pro'!AB3</f>
        <v>0</v>
      </c>
      <c r="AD60" s="19">
        <f>'Screen Pro'!AC3</f>
        <v>0</v>
      </c>
      <c r="AE60" s="19">
        <f>'Screen Pro'!AD3</f>
        <v>0</v>
      </c>
      <c r="AF60" s="19">
        <f>'Screen Pro'!AE3</f>
        <v>0</v>
      </c>
      <c r="AG60" s="19">
        <f>'Screen Pro'!AF3</f>
        <v>0</v>
      </c>
      <c r="AH60" s="19">
        <f>'Screen Pro'!AG3</f>
        <v>0</v>
      </c>
      <c r="AI60" s="19">
        <f>'Screen Pro'!AH3</f>
        <v>0</v>
      </c>
      <c r="AJ60" s="19">
        <f>'Screen Pro'!AI3</f>
        <v>0</v>
      </c>
      <c r="AK60" s="19">
        <f>'Screen Pro'!AJ3</f>
        <v>0</v>
      </c>
      <c r="AL60" s="19">
        <f>'Screen Pro'!AK3</f>
        <v>0</v>
      </c>
      <c r="AM60" s="19">
        <f>'Screen Pro'!AL3</f>
        <v>0</v>
      </c>
      <c r="AN60" s="19">
        <f>'Screen Pro'!AM3</f>
        <v>0</v>
      </c>
      <c r="AO60" s="19">
        <f>'Screen Pro'!AN3</f>
        <v>0</v>
      </c>
      <c r="AP60" s="19">
        <f>'Screen Pro'!AO3</f>
        <v>0</v>
      </c>
      <c r="AQ60" s="19">
        <f>'Screen Pro'!AP3</f>
        <v>0</v>
      </c>
      <c r="AR60" s="19">
        <f>'Screen Pro'!AQ3</f>
        <v>0</v>
      </c>
      <c r="AS60" s="19">
        <f>'Screen Pro'!AR3</f>
        <v>0</v>
      </c>
      <c r="AT60" s="19">
        <f>'Screen Pro'!AS3</f>
        <v>0</v>
      </c>
      <c r="AU60" s="19">
        <f>'Screen Pro'!AT3</f>
        <v>0</v>
      </c>
      <c r="AV60" s="19">
        <f>'Screen Pro'!AU3</f>
        <v>0</v>
      </c>
      <c r="AW60" s="19">
        <f>'Screen Pro'!AV3</f>
        <v>0</v>
      </c>
      <c r="AX60" s="19">
        <f>'Screen Pro'!AW3</f>
        <v>0</v>
      </c>
      <c r="AY60" s="19">
        <f>'Screen Pro'!AX3</f>
        <v>0</v>
      </c>
      <c r="AZ60" s="19">
        <f>'Screen Pro'!AY3</f>
        <v>0</v>
      </c>
      <c r="BA60" s="19">
        <f>'Screen Pro'!AZ3</f>
        <v>0</v>
      </c>
      <c r="BB60" s="19">
        <f>'Screen Pro'!BA3</f>
        <v>0</v>
      </c>
      <c r="BC60" s="19">
        <f>'Screen Pro'!BB3</f>
        <v>0</v>
      </c>
      <c r="BD60" s="19">
        <f>'Screen Pro'!BC3</f>
        <v>0</v>
      </c>
      <c r="BE60" s="19">
        <f>'Screen Pro'!BD3</f>
        <v>0</v>
      </c>
      <c r="BF60" s="19">
        <f>'Screen Pro'!BE3</f>
        <v>0</v>
      </c>
      <c r="BG60" s="19">
        <f>'Screen Pro'!BF3</f>
        <v>0</v>
      </c>
      <c r="BH60" s="19">
        <f>'Screen Pro'!BG3</f>
        <v>0</v>
      </c>
      <c r="BI60" s="19">
        <f>'Screen Pro'!BH3</f>
        <v>0</v>
      </c>
      <c r="BJ60" s="19">
        <f>'Screen Pro'!BI3</f>
        <v>0</v>
      </c>
      <c r="BK60" s="19">
        <f>'Screen Pro'!BJ3</f>
        <v>0</v>
      </c>
      <c r="BL60" s="19">
        <f>'Screen Pro'!BK3</f>
        <v>0</v>
      </c>
      <c r="BM60" s="19">
        <f>'Screen Pro'!BL3</f>
        <v>0</v>
      </c>
      <c r="BN60" s="19">
        <f>'Screen Pro'!BM3</f>
        <v>0</v>
      </c>
      <c r="BO60" s="19">
        <f>'Screen Pro'!BN3</f>
        <v>0</v>
      </c>
      <c r="BP60" s="19">
        <f>'Screen Pro'!BO3</f>
        <v>0</v>
      </c>
      <c r="BQ60" s="19">
        <f>'Screen Pro'!BP3</f>
        <v>0</v>
      </c>
      <c r="BR60" s="19">
        <f>'Screen Pro'!BQ3</f>
        <v>0</v>
      </c>
      <c r="BS60" s="19">
        <f>'Screen Pro'!BR3</f>
        <v>0</v>
      </c>
      <c r="BT60" s="19">
        <f>'Screen Pro'!BS3</f>
        <v>0</v>
      </c>
      <c r="BU60" s="19">
        <f>'Screen Pro'!BT3</f>
        <v>0</v>
      </c>
      <c r="BV60" s="19">
        <f>'Screen Pro'!BU3</f>
        <v>0</v>
      </c>
      <c r="BW60" s="19">
        <f>'Screen Pro'!BV3</f>
        <v>0</v>
      </c>
      <c r="BX60" s="19">
        <f>'Screen Pro'!BW3</f>
        <v>0</v>
      </c>
      <c r="BY60" s="19">
        <f>'Screen Pro'!BX3</f>
        <v>0</v>
      </c>
      <c r="BZ60" s="19">
        <f>'Screen Pro'!BY3</f>
        <v>0</v>
      </c>
      <c r="CA60" s="19">
        <f>'Screen Pro'!BZ3</f>
        <v>0</v>
      </c>
      <c r="CB60" s="19">
        <f>'Screen Pro'!CA3</f>
        <v>0</v>
      </c>
      <c r="CC60" s="19">
        <f>'Screen Pro'!CB3</f>
        <v>0</v>
      </c>
      <c r="CD60" s="19">
        <f>'Screen Pro'!CC3</f>
        <v>0</v>
      </c>
      <c r="CE60" s="19">
        <f>'Screen Pro'!CD3</f>
        <v>0</v>
      </c>
      <c r="CF60" s="19">
        <f>'Screen Pro'!CE3</f>
        <v>0</v>
      </c>
      <c r="CG60" s="19">
        <f>'Screen Pro'!CF3</f>
        <v>0</v>
      </c>
      <c r="CH60" s="19">
        <f>'Screen Pro'!CG3</f>
        <v>0</v>
      </c>
      <c r="CI60" s="19">
        <f>'Screen Pro'!CH3</f>
        <v>0</v>
      </c>
      <c r="CJ60" s="19">
        <f>'Screen Pro'!CI3</f>
        <v>0</v>
      </c>
      <c r="CK60" s="19">
        <f>'Screen Pro'!CJ3</f>
        <v>0</v>
      </c>
      <c r="CL60" s="19">
        <f>'Screen Pro'!CK3</f>
        <v>0</v>
      </c>
      <c r="CM60" s="19">
        <f>'Screen Pro'!CL3</f>
        <v>0</v>
      </c>
      <c r="CN60" s="19">
        <f>'Screen Pro'!CM3</f>
        <v>0</v>
      </c>
      <c r="CO60" s="19">
        <f>'Screen Pro'!CN3</f>
        <v>0</v>
      </c>
      <c r="CP60" s="19">
        <f>'Screen Pro'!CO3</f>
        <v>0</v>
      </c>
      <c r="CQ60" s="19">
        <f>'Screen Pro'!CP3</f>
        <v>0</v>
      </c>
      <c r="CR60" s="19">
        <f>'Screen Pro'!CQ3</f>
        <v>0</v>
      </c>
      <c r="CS60" s="19">
        <f>'Screen Pro'!CR3</f>
        <v>0</v>
      </c>
      <c r="CT60" s="19">
        <f>'Screen Pro'!CS3</f>
        <v>0</v>
      </c>
      <c r="CU60" s="19">
        <f>'Screen Pro'!CT3</f>
        <v>0</v>
      </c>
      <c r="CV60" s="19">
        <f>'Screen Pro'!CU3</f>
        <v>0</v>
      </c>
      <c r="CW60" s="19">
        <f>'Screen Pro'!CV3</f>
        <v>0</v>
      </c>
      <c r="CX60" s="19">
        <f>'Screen Pro'!CW3</f>
        <v>0</v>
      </c>
      <c r="CY60" s="19">
        <f>'Screen Pro'!CX3</f>
        <v>0</v>
      </c>
      <c r="CZ60" s="19">
        <f>'Screen Pro'!CY3</f>
        <v>0</v>
      </c>
      <c r="DA60" s="19">
        <f>'Screen Pro'!CZ3</f>
        <v>0</v>
      </c>
      <c r="DB60" s="19">
        <f>'Screen Pro'!DA3</f>
        <v>0</v>
      </c>
      <c r="DC60" s="19">
        <f>'Screen Pro'!DB3</f>
        <v>0</v>
      </c>
      <c r="DD60" s="19">
        <f>'Screen Pro'!DC3</f>
        <v>0</v>
      </c>
      <c r="DE60" s="19">
        <f>'Screen Pro'!DD3</f>
        <v>0</v>
      </c>
      <c r="DF60" s="19">
        <f>'Screen Pro'!DE3</f>
        <v>0</v>
      </c>
      <c r="DG60" s="19">
        <f>'Screen Pro'!DF3</f>
        <v>0</v>
      </c>
      <c r="DH60" s="19">
        <f>'Screen Pro'!DG3</f>
        <v>0</v>
      </c>
      <c r="DI60" s="19">
        <f>'Screen Pro'!DH3</f>
        <v>0</v>
      </c>
      <c r="DJ60" s="19">
        <f>'Screen Pro'!DI3</f>
        <v>0</v>
      </c>
      <c r="DK60" s="19">
        <f>'Screen Pro'!DJ3</f>
        <v>0</v>
      </c>
      <c r="DL60" s="19">
        <f>'Screen Pro'!DK3</f>
        <v>0</v>
      </c>
      <c r="DM60" s="19">
        <f>'Screen Pro'!DL3</f>
        <v>0</v>
      </c>
      <c r="DN60" s="19">
        <f>'Screen Pro'!DM3</f>
        <v>0</v>
      </c>
      <c r="DO60" s="19">
        <f>'Screen Pro'!DN3</f>
        <v>0</v>
      </c>
      <c r="DP60" s="19">
        <f>'Screen Pro'!DO3</f>
        <v>0</v>
      </c>
      <c r="DQ60" s="19">
        <f>'Screen Pro'!DP3</f>
        <v>0</v>
      </c>
      <c r="DR60" s="19">
        <f>'Screen Pro'!DQ3</f>
        <v>0</v>
      </c>
      <c r="DS60" s="19">
        <f>'Screen Pro'!DR3</f>
        <v>0</v>
      </c>
      <c r="DT60" s="19">
        <f>'Screen Pro'!DS3</f>
        <v>0</v>
      </c>
      <c r="DU60" s="19">
        <f>'Screen Pro'!DT3</f>
        <v>0</v>
      </c>
      <c r="DV60" s="19">
        <f>'Screen Pro'!DU3</f>
        <v>0</v>
      </c>
      <c r="DW60" s="19">
        <f>'Screen Pro'!DV3</f>
        <v>0</v>
      </c>
      <c r="DX60" s="19">
        <f>'Screen Pro'!DW3</f>
        <v>0</v>
      </c>
      <c r="DY60" s="19">
        <f>'Screen Pro'!DX3</f>
        <v>0</v>
      </c>
      <c r="DZ60" s="19">
        <f>'Screen Pro'!DY3</f>
        <v>0</v>
      </c>
      <c r="EA60" s="19">
        <f>'Screen Pro'!DZ3</f>
        <v>0</v>
      </c>
      <c r="EB60" s="19">
        <f>'Screen Pro'!EA3</f>
        <v>0</v>
      </c>
      <c r="EC60" s="19">
        <f>'Screen Pro'!EB3</f>
        <v>0</v>
      </c>
      <c r="ED60" s="19">
        <f>'Screen Pro'!EC3</f>
        <v>0</v>
      </c>
      <c r="EE60" s="222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E60" s="19"/>
      <c r="FF60" s="19"/>
      <c r="FG60" s="19"/>
      <c r="FH60" s="19"/>
      <c r="FI60" s="19"/>
      <c r="FJ60" s="770">
        <f t="shared" si="32"/>
        <v>0</v>
      </c>
      <c r="FK60" s="545" t="s">
        <v>1</v>
      </c>
    </row>
    <row r="61" spans="2:167" x14ac:dyDescent="0.2">
      <c r="B61" s="226" t="s">
        <v>12</v>
      </c>
      <c r="C61" s="20">
        <f>C54/C34</f>
        <v>1.2914690200214948E-2</v>
      </c>
      <c r="D61" s="20">
        <f t="shared" ref="D61:BO61" si="166">D54/D34</f>
        <v>1.580898020862375E-2</v>
      </c>
      <c r="E61" s="20">
        <f t="shared" si="166"/>
        <v>1.6482244964051998E-2</v>
      </c>
      <c r="F61" s="20">
        <f t="shared" si="166"/>
        <v>1.7698051709663272E-2</v>
      </c>
      <c r="G61" s="20">
        <f t="shared" si="166"/>
        <v>1.9913840575884956E-2</v>
      </c>
      <c r="H61" s="20">
        <f t="shared" si="166"/>
        <v>1.9541178107717577E-2</v>
      </c>
      <c r="I61" s="20">
        <f t="shared" si="166"/>
        <v>1.5950325421061375E-2</v>
      </c>
      <c r="J61" s="20">
        <f t="shared" si="166"/>
        <v>2.0335945430868956E-2</v>
      </c>
      <c r="K61" s="20">
        <f t="shared" si="166"/>
        <v>1.9859396808142121E-2</v>
      </c>
      <c r="L61" s="20">
        <f t="shared" si="166"/>
        <v>1.8950892892069693E-2</v>
      </c>
      <c r="M61" s="20">
        <f t="shared" si="166"/>
        <v>1.6452942878233866E-2</v>
      </c>
      <c r="N61" s="20">
        <f t="shared" si="166"/>
        <v>2.1129631709800943E-2</v>
      </c>
      <c r="O61" s="20">
        <f t="shared" si="166"/>
        <v>1.7845138103952704E-2</v>
      </c>
      <c r="P61" s="20">
        <f t="shared" si="166"/>
        <v>1.8048380774522584E-2</v>
      </c>
      <c r="Q61" s="20">
        <f t="shared" si="166"/>
        <v>1.7164986003253734E-2</v>
      </c>
      <c r="R61" s="20">
        <f t="shared" si="166"/>
        <v>1.987873348781645E-2</v>
      </c>
      <c r="S61" s="20">
        <f t="shared" si="166"/>
        <v>1.9180833602221479E-2</v>
      </c>
      <c r="T61" s="20">
        <f t="shared" si="166"/>
        <v>1.6743592428388299E-2</v>
      </c>
      <c r="U61" s="20">
        <f t="shared" si="166"/>
        <v>2.0002309877026617E-2</v>
      </c>
      <c r="V61" s="20">
        <f t="shared" si="166"/>
        <v>1.6707516191247121E-2</v>
      </c>
      <c r="W61" s="20">
        <f t="shared" si="166"/>
        <v>1.5876131701959811E-2</v>
      </c>
      <c r="X61" s="20">
        <f t="shared" si="166"/>
        <v>1.5142898238858183E-2</v>
      </c>
      <c r="Y61" s="20">
        <f t="shared" si="166"/>
        <v>1.562045604135987E-2</v>
      </c>
      <c r="Z61" s="20">
        <f t="shared" si="166"/>
        <v>1.5604421936503724E-2</v>
      </c>
      <c r="AA61" s="20">
        <f t="shared" si="166"/>
        <v>5.9382533062215984E-2</v>
      </c>
      <c r="AB61" s="20">
        <f t="shared" si="166"/>
        <v>2.7682184154083762E-2</v>
      </c>
      <c r="AC61" s="20">
        <f t="shared" si="166"/>
        <v>2.5385135931325898E-2</v>
      </c>
      <c r="AD61" s="20">
        <f t="shared" si="166"/>
        <v>2.5786111723515422E-2</v>
      </c>
      <c r="AE61" s="20">
        <f t="shared" si="166"/>
        <v>2.480541254349667E-2</v>
      </c>
      <c r="AF61" s="20">
        <f t="shared" si="166"/>
        <v>2.3442854067725956E-2</v>
      </c>
      <c r="AG61" s="20">
        <f t="shared" si="166"/>
        <v>2.3382953648188938E-2</v>
      </c>
      <c r="AH61" s="20">
        <f t="shared" si="166"/>
        <v>2.5958255993277411E-2</v>
      </c>
      <c r="AI61" s="20">
        <f t="shared" si="166"/>
        <v>2.2951287379788875E-2</v>
      </c>
      <c r="AJ61" s="20">
        <f t="shared" si="166"/>
        <v>2.2783023380787693E-2</v>
      </c>
      <c r="AK61" s="20">
        <f t="shared" si="166"/>
        <v>2.0778641631118984E-2</v>
      </c>
      <c r="AL61" s="20">
        <f t="shared" si="166"/>
        <v>2.0993372770590983E-2</v>
      </c>
      <c r="AM61" s="20">
        <f t="shared" si="166"/>
        <v>2.1442439471606255E-2</v>
      </c>
      <c r="AN61" s="20">
        <f t="shared" si="166"/>
        <v>2.4975082043001248E-2</v>
      </c>
      <c r="AO61" s="20">
        <f t="shared" si="166"/>
        <v>2.6915406927913457E-2</v>
      </c>
      <c r="AP61" s="20">
        <f t="shared" si="166"/>
        <v>2.6422478977407036E-2</v>
      </c>
      <c r="AQ61" s="20">
        <f t="shared" si="166"/>
        <v>2.684716179798402E-2</v>
      </c>
      <c r="AR61" s="20">
        <f t="shared" si="166"/>
        <v>2.7432627759429576E-2</v>
      </c>
      <c r="AS61" s="20">
        <f t="shared" si="166"/>
        <v>2.7931038082672093E-2</v>
      </c>
      <c r="AT61" s="20">
        <f t="shared" si="166"/>
        <v>2.7408207626603547E-2</v>
      </c>
      <c r="AU61" s="20">
        <f t="shared" si="166"/>
        <v>2.6621443865498105E-2</v>
      </c>
      <c r="AV61" s="20">
        <f t="shared" si="166"/>
        <v>2.755427170031963E-2</v>
      </c>
      <c r="AW61" s="20">
        <f t="shared" si="166"/>
        <v>2.740042697756661E-2</v>
      </c>
      <c r="AX61" s="20">
        <f t="shared" si="166"/>
        <v>2.6204500907286828E-2</v>
      </c>
      <c r="AY61" s="20">
        <f t="shared" si="166"/>
        <v>2.5455882601795331E-2</v>
      </c>
      <c r="AZ61" s="20">
        <f t="shared" si="166"/>
        <v>2.7465253874101456E-2</v>
      </c>
      <c r="BA61" s="20">
        <f t="shared" si="166"/>
        <v>2.8456342636378595E-2</v>
      </c>
      <c r="BB61" s="20">
        <f t="shared" si="166"/>
        <v>3.0013691623586691E-2</v>
      </c>
      <c r="BC61" s="20">
        <f t="shared" si="166"/>
        <v>2.8417195058927296E-2</v>
      </c>
      <c r="BD61" s="20">
        <f t="shared" si="166"/>
        <v>2.5544419076896141E-2</v>
      </c>
      <c r="BE61" s="20">
        <f t="shared" si="166"/>
        <v>2.6560925061695002E-2</v>
      </c>
      <c r="BF61" s="20">
        <f t="shared" si="166"/>
        <v>2.6743578210366138E-2</v>
      </c>
      <c r="BG61" s="20">
        <f t="shared" si="166"/>
        <v>2.7041285128963224E-2</v>
      </c>
      <c r="BH61" s="20">
        <f t="shared" si="166"/>
        <v>2.7170193214885553E-2</v>
      </c>
      <c r="BI61" s="20">
        <f t="shared" si="166"/>
        <v>2.8975632043201353E-2</v>
      </c>
      <c r="BJ61" s="20">
        <f t="shared" si="166"/>
        <v>2.9029279510826771E-2</v>
      </c>
      <c r="BK61" s="20">
        <f t="shared" si="166"/>
        <v>2.9950178806179856E-2</v>
      </c>
      <c r="BL61" s="20">
        <f t="shared" si="166"/>
        <v>3.0090676088798635E-2</v>
      </c>
      <c r="BM61" s="20">
        <f t="shared" si="166"/>
        <v>3.3765383763388994E-2</v>
      </c>
      <c r="BN61" s="20">
        <f t="shared" si="166"/>
        <v>3.3535263181924999E-2</v>
      </c>
      <c r="BO61" s="20">
        <f t="shared" si="166"/>
        <v>3.473246268181153E-2</v>
      </c>
      <c r="BP61" s="20">
        <f t="shared" ref="BP61:EM61" si="167">BP54/BP34</f>
        <v>3.0710786709102478E-2</v>
      </c>
      <c r="BQ61" s="20">
        <f t="shared" si="167"/>
        <v>3.1301488456017712E-2</v>
      </c>
      <c r="BR61" s="20">
        <f t="shared" si="167"/>
        <v>3.239323409661702E-2</v>
      </c>
      <c r="BS61" s="20">
        <f t="shared" si="167"/>
        <v>3.1301697911980543E-2</v>
      </c>
      <c r="BT61" s="20">
        <f t="shared" si="167"/>
        <v>3.2140769339827922E-2</v>
      </c>
      <c r="BU61" s="20">
        <f t="shared" si="167"/>
        <v>3.6501583124346738E-2</v>
      </c>
      <c r="BV61" s="20">
        <f t="shared" si="167"/>
        <v>3.8689416586319081E-2</v>
      </c>
      <c r="BW61" s="20">
        <f t="shared" si="167"/>
        <v>3.7301790172432688E-2</v>
      </c>
      <c r="BX61" s="20">
        <f t="shared" si="167"/>
        <v>3.6078525573022539E-2</v>
      </c>
      <c r="BY61" s="20">
        <f t="shared" si="167"/>
        <v>3.731731648757413E-2</v>
      </c>
      <c r="BZ61" s="20">
        <f t="shared" si="167"/>
        <v>3.5776563875719487E-2</v>
      </c>
      <c r="CA61" s="20">
        <f t="shared" si="167"/>
        <v>3.6333884959068884E-2</v>
      </c>
      <c r="CB61" s="20">
        <f t="shared" si="167"/>
        <v>3.5754869129089067E-2</v>
      </c>
      <c r="CC61" s="20">
        <f t="shared" si="167"/>
        <v>3.5988299070031579E-2</v>
      </c>
      <c r="CD61" s="20">
        <f t="shared" si="167"/>
        <v>3.6235315950763007E-2</v>
      </c>
      <c r="CE61" s="20">
        <f t="shared" si="167"/>
        <v>3.5171817518554548E-2</v>
      </c>
      <c r="CF61" s="20">
        <f t="shared" si="167"/>
        <v>3.48571863719336E-2</v>
      </c>
      <c r="CG61" s="20">
        <f t="shared" si="167"/>
        <v>3.3625464449072613E-2</v>
      </c>
      <c r="CH61" s="20">
        <f t="shared" si="167"/>
        <v>3.6411019332277174E-2</v>
      </c>
      <c r="CI61" s="20">
        <f t="shared" si="167"/>
        <v>3.8477469192784997E-2</v>
      </c>
      <c r="CJ61" s="20">
        <f t="shared" si="167"/>
        <v>4.105595234425486E-2</v>
      </c>
      <c r="CK61" s="20">
        <f t="shared" si="167"/>
        <v>4.1445600201529896E-2</v>
      </c>
      <c r="CL61" s="20">
        <f t="shared" si="167"/>
        <v>4.0006823360054219E-2</v>
      </c>
      <c r="CM61" s="20">
        <f t="shared" si="167"/>
        <v>4.2294543324909679E-2</v>
      </c>
      <c r="CN61" s="20">
        <f t="shared" si="167"/>
        <v>4.0128766938856884E-2</v>
      </c>
      <c r="CO61" s="20">
        <f t="shared" si="167"/>
        <v>3.970461575450384E-2</v>
      </c>
      <c r="CP61" s="20">
        <f t="shared" si="167"/>
        <v>3.9266363055014533E-2</v>
      </c>
      <c r="CQ61" s="20">
        <f t="shared" si="167"/>
        <v>3.8876639368864409E-2</v>
      </c>
      <c r="CR61" s="20">
        <f t="shared" si="167"/>
        <v>3.9589866415652319E-2</v>
      </c>
      <c r="CS61" s="20">
        <f t="shared" si="167"/>
        <v>4.0196238264765302E-2</v>
      </c>
      <c r="CT61" s="20">
        <f t="shared" si="167"/>
        <v>3.995430093569044E-2</v>
      </c>
      <c r="CU61" s="20">
        <f t="shared" si="167"/>
        <v>4.1271401603302942E-2</v>
      </c>
      <c r="CV61" s="20">
        <f t="shared" si="167"/>
        <v>4.0627803508282198E-2</v>
      </c>
      <c r="CW61" s="20">
        <f t="shared" si="167"/>
        <v>4.0838834743476965E-2</v>
      </c>
      <c r="CX61" s="20">
        <f t="shared" si="167"/>
        <v>4.0777611179421594E-2</v>
      </c>
      <c r="CY61" s="20">
        <f t="shared" si="167"/>
        <v>4.0603499713503445E-2</v>
      </c>
      <c r="CZ61" s="20">
        <f t="shared" si="167"/>
        <v>3.9751232578204489E-2</v>
      </c>
      <c r="DA61" s="20">
        <f t="shared" si="167"/>
        <v>3.9104908432651637E-2</v>
      </c>
      <c r="DB61" s="20">
        <f t="shared" si="167"/>
        <v>4.0361648752243809E-2</v>
      </c>
      <c r="DC61" s="20">
        <f t="shared" si="167"/>
        <v>4.1317190203764634E-2</v>
      </c>
      <c r="DD61" s="20">
        <f t="shared" si="167"/>
        <v>4.1403105690938018E-2</v>
      </c>
      <c r="DE61" s="20">
        <f t="shared" si="167"/>
        <v>4.1671418715832034E-2</v>
      </c>
      <c r="DF61" s="20">
        <f t="shared" si="167"/>
        <v>4.1620997833210702E-2</v>
      </c>
      <c r="DG61" s="20">
        <f t="shared" si="167"/>
        <v>4.1245792738451227E-2</v>
      </c>
      <c r="DH61" s="20">
        <f t="shared" si="167"/>
        <v>4.0623201423125081E-2</v>
      </c>
      <c r="DI61" s="20">
        <f t="shared" si="167"/>
        <v>4.0798784818680219E-2</v>
      </c>
      <c r="DJ61" s="20">
        <f t="shared" si="167"/>
        <v>4.0733386361327173E-2</v>
      </c>
      <c r="DK61" s="20">
        <f t="shared" si="167"/>
        <v>4.0546298432059695E-2</v>
      </c>
      <c r="DL61" s="20">
        <f t="shared" si="167"/>
        <v>3.9682938238745989E-2</v>
      </c>
      <c r="DM61" s="20">
        <f t="shared" si="167"/>
        <v>3.9050370556436821E-2</v>
      </c>
      <c r="DN61" s="20">
        <f t="shared" si="167"/>
        <v>4.0256573694527037E-2</v>
      </c>
      <c r="DO61" s="20">
        <f t="shared" si="167"/>
        <v>4.1189242393518039E-2</v>
      </c>
      <c r="DP61" s="20">
        <f t="shared" si="167"/>
        <v>4.1268103078117978E-2</v>
      </c>
      <c r="DQ61" s="20">
        <f t="shared" si="167"/>
        <v>4.149110545791302E-2</v>
      </c>
      <c r="DR61" s="20">
        <f t="shared" si="167"/>
        <v>4.138321549469421E-2</v>
      </c>
      <c r="DS61" s="20">
        <f t="shared" ref="DS61:ED61" si="168">DS54/DS34</f>
        <v>4.1194141873553358E-2</v>
      </c>
      <c r="DT61" s="20">
        <f t="shared" si="168"/>
        <v>4.0578891333871395E-2</v>
      </c>
      <c r="DU61" s="20">
        <f t="shared" si="168"/>
        <v>4.0744960637068131E-2</v>
      </c>
      <c r="DV61" s="20">
        <f t="shared" si="168"/>
        <v>4.0672244404474138E-2</v>
      </c>
      <c r="DW61" s="20">
        <f t="shared" si="168"/>
        <v>4.0483473843851731E-2</v>
      </c>
      <c r="DX61" s="20">
        <f t="shared" si="168"/>
        <v>3.9637239843275364E-2</v>
      </c>
      <c r="DY61" s="20">
        <f t="shared" si="168"/>
        <v>3.9003537576355711E-2</v>
      </c>
      <c r="DZ61" s="20">
        <f t="shared" si="168"/>
        <v>4.0186021869803731E-2</v>
      </c>
      <c r="EA61" s="20">
        <f t="shared" si="168"/>
        <v>4.1113153468699724E-2</v>
      </c>
      <c r="EB61" s="20">
        <f t="shared" si="168"/>
        <v>4.1205648869289555E-2</v>
      </c>
      <c r="EC61" s="20">
        <f t="shared" si="168"/>
        <v>4.140042871061838E-2</v>
      </c>
      <c r="ED61" s="20">
        <f t="shared" si="168"/>
        <v>4.1290826651506046E-2</v>
      </c>
      <c r="EE61" s="222"/>
      <c r="EF61" s="20">
        <f t="shared" si="167"/>
        <v>3.1227622305848003E-2</v>
      </c>
      <c r="EG61" s="20">
        <f t="shared" si="167"/>
        <v>3.3025933328616731E-2</v>
      </c>
      <c r="EH61" s="20">
        <f t="shared" si="167"/>
        <v>3.1658830170438051E-2</v>
      </c>
      <c r="EI61" s="20">
        <f t="shared" si="167"/>
        <v>3.5745155207386338E-2</v>
      </c>
      <c r="EJ61" s="20">
        <f t="shared" si="167"/>
        <v>3.688699547696165E-2</v>
      </c>
      <c r="EK61" s="20">
        <f t="shared" si="167"/>
        <v>3.5953782992096554E-2</v>
      </c>
      <c r="EL61" s="20">
        <f t="shared" si="167"/>
        <v>3.5782109082632338E-2</v>
      </c>
      <c r="EM61" s="20">
        <f t="shared" si="167"/>
        <v>3.5029434433511988E-2</v>
      </c>
      <c r="EN61" s="20">
        <f t="shared" ref="EN61:FJ61" si="169">EN54/EN34</f>
        <v>4.0321643342144269E-2</v>
      </c>
      <c r="EO61" s="20">
        <f t="shared" si="169"/>
        <v>4.0759354123781753E-2</v>
      </c>
      <c r="EP61" s="20">
        <f t="shared" si="169"/>
        <v>3.9268069219579226E-2</v>
      </c>
      <c r="EQ61" s="20">
        <f t="shared" si="169"/>
        <v>3.9905121925005435E-2</v>
      </c>
      <c r="ER61" s="20">
        <f t="shared" si="169"/>
        <v>4.0909662252165253E-2</v>
      </c>
      <c r="ES61" s="20">
        <f t="shared" si="169"/>
        <v>4.0385329047927833E-2</v>
      </c>
      <c r="ET61" s="20">
        <f t="shared" si="169"/>
        <v>4.0277939986654201E-2</v>
      </c>
      <c r="EU61" s="20">
        <f t="shared" si="169"/>
        <v>4.1561970999420488E-2</v>
      </c>
      <c r="EV61" s="20">
        <f t="shared" si="169"/>
        <v>4.088636303191448E-2</v>
      </c>
      <c r="EW61" s="20">
        <f t="shared" si="169"/>
        <v>4.0329686991583909E-2</v>
      </c>
      <c r="EX61" s="20">
        <f t="shared" si="169"/>
        <v>4.018177582332344E-2</v>
      </c>
      <c r="EY61" s="20">
        <f t="shared" si="169"/>
        <v>4.1377318867969776E-2</v>
      </c>
      <c r="EZ61" s="20">
        <f t="shared" si="169"/>
        <v>4.083651726129299E-2</v>
      </c>
      <c r="FA61" s="20">
        <f t="shared" si="169"/>
        <v>4.0273311316216573E-2</v>
      </c>
      <c r="FB61" s="20">
        <f t="shared" si="169"/>
        <v>4.0118463697104964E-2</v>
      </c>
      <c r="FC61" s="20">
        <f t="shared" si="169"/>
        <v>4.1295762194260489E-2</v>
      </c>
      <c r="FD61" s="785"/>
      <c r="FE61" s="20">
        <f t="shared" si="169"/>
        <v>3.2865874755343034E-2</v>
      </c>
      <c r="FF61" s="20">
        <f t="shared" si="169"/>
        <v>3.5836706863553627E-2</v>
      </c>
      <c r="FG61" s="20">
        <f t="shared" si="169"/>
        <v>4.0012869484987466E-2</v>
      </c>
      <c r="FH61" s="20">
        <f t="shared" si="169"/>
        <v>4.0802233978941477E-2</v>
      </c>
      <c r="FI61" s="20">
        <f t="shared" si="169"/>
        <v>4.070688766121526E-2</v>
      </c>
      <c r="FJ61" s="20">
        <f t="shared" si="169"/>
        <v>4.0643365809172591E-2</v>
      </c>
      <c r="FK61" s="545" t="s">
        <v>1</v>
      </c>
    </row>
    <row r="62" spans="2:167" x14ac:dyDescent="0.2">
      <c r="B62" s="303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222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E62" s="19"/>
      <c r="FF62" s="19"/>
      <c r="FG62" s="19"/>
      <c r="FH62" s="19"/>
      <c r="FI62" s="19"/>
      <c r="FJ62" s="770"/>
      <c r="FK62" s="545"/>
    </row>
    <row r="63" spans="2:167" x14ac:dyDescent="0.2">
      <c r="B63" s="223" t="s">
        <v>13</v>
      </c>
      <c r="C63" s="297">
        <f>SUM(C64:C68)</f>
        <v>136114250.96428573</v>
      </c>
      <c r="D63" s="297">
        <f t="shared" ref="D63:BO63" si="170">SUM(D64:D68)</f>
        <v>130519768.17673512</v>
      </c>
      <c r="E63" s="297">
        <f t="shared" si="170"/>
        <v>142951260.42636478</v>
      </c>
      <c r="F63" s="297">
        <f t="shared" si="170"/>
        <v>167262054.40877903</v>
      </c>
      <c r="G63" s="297">
        <f t="shared" si="170"/>
        <v>189391169.92033109</v>
      </c>
      <c r="H63" s="297">
        <f t="shared" si="170"/>
        <v>195001530.14370659</v>
      </c>
      <c r="I63" s="297">
        <f t="shared" si="170"/>
        <v>210727932.17113885</v>
      </c>
      <c r="J63" s="297">
        <f t="shared" si="170"/>
        <v>199737767.6817857</v>
      </c>
      <c r="K63" s="297">
        <f t="shared" si="170"/>
        <v>252217516.76285714</v>
      </c>
      <c r="L63" s="297">
        <f t="shared" si="170"/>
        <v>247559115.23108163</v>
      </c>
      <c r="M63" s="297">
        <f t="shared" si="170"/>
        <v>258980523.15476313</v>
      </c>
      <c r="N63" s="297">
        <f t="shared" si="170"/>
        <v>241486406.97357142</v>
      </c>
      <c r="O63" s="297">
        <f t="shared" si="170"/>
        <v>311516037.54221982</v>
      </c>
      <c r="P63" s="297">
        <f t="shared" si="170"/>
        <v>313066833.39558333</v>
      </c>
      <c r="Q63" s="297">
        <f t="shared" si="170"/>
        <v>326819614.25918281</v>
      </c>
      <c r="R63" s="297">
        <f t="shared" si="170"/>
        <v>348184460.67106414</v>
      </c>
      <c r="S63" s="297">
        <f t="shared" si="170"/>
        <v>277188562.67267424</v>
      </c>
      <c r="T63" s="297">
        <f t="shared" si="170"/>
        <v>257972957.23424274</v>
      </c>
      <c r="U63" s="297">
        <f t="shared" si="170"/>
        <v>220867965.59340453</v>
      </c>
      <c r="V63" s="297">
        <f t="shared" si="170"/>
        <v>237348020.40052998</v>
      </c>
      <c r="W63" s="297">
        <f t="shared" si="170"/>
        <v>281497584.10514843</v>
      </c>
      <c r="X63" s="297">
        <f t="shared" si="170"/>
        <v>291494749.2415812</v>
      </c>
      <c r="Y63" s="297">
        <f t="shared" si="170"/>
        <v>314509426.72861069</v>
      </c>
      <c r="Z63" s="297">
        <f t="shared" si="170"/>
        <v>206603442.91505894</v>
      </c>
      <c r="AA63" s="297">
        <f t="shared" si="170"/>
        <v>-2977729.7614285718</v>
      </c>
      <c r="AB63" s="297">
        <f t="shared" si="170"/>
        <v>167537511.21542788</v>
      </c>
      <c r="AC63" s="297">
        <f t="shared" si="170"/>
        <v>179308154.95541474</v>
      </c>
      <c r="AD63" s="297">
        <f t="shared" si="170"/>
        <v>156432915.52647325</v>
      </c>
      <c r="AE63" s="297">
        <f t="shared" si="170"/>
        <v>241505120.0138894</v>
      </c>
      <c r="AF63" s="297">
        <f t="shared" si="170"/>
        <v>253485887.77361804</v>
      </c>
      <c r="AG63" s="297">
        <f t="shared" si="170"/>
        <v>244691267.21574667</v>
      </c>
      <c r="AH63" s="297">
        <f t="shared" si="170"/>
        <v>282204280.15496916</v>
      </c>
      <c r="AI63" s="297">
        <f t="shared" si="170"/>
        <v>453095995.72482735</v>
      </c>
      <c r="AJ63" s="297">
        <f t="shared" si="170"/>
        <v>420534954.24390173</v>
      </c>
      <c r="AK63" s="297">
        <f t="shared" si="170"/>
        <v>472834633.04422581</v>
      </c>
      <c r="AL63" s="297">
        <f t="shared" si="170"/>
        <v>416432909.44782418</v>
      </c>
      <c r="AM63" s="297">
        <f t="shared" si="170"/>
        <v>285338824.05857766</v>
      </c>
      <c r="AN63" s="297">
        <f t="shared" si="170"/>
        <v>128374649.15622877</v>
      </c>
      <c r="AO63" s="297">
        <f t="shared" si="170"/>
        <v>292375339.49647176</v>
      </c>
      <c r="AP63" s="297">
        <f t="shared" si="170"/>
        <v>400197680.65467161</v>
      </c>
      <c r="AQ63" s="297">
        <f t="shared" si="170"/>
        <v>408880838.69858468</v>
      </c>
      <c r="AR63" s="297">
        <f t="shared" si="170"/>
        <v>416881674.51465869</v>
      </c>
      <c r="AS63" s="297">
        <f t="shared" si="170"/>
        <v>394915419.31749523</v>
      </c>
      <c r="AT63" s="297">
        <f t="shared" si="170"/>
        <v>470001145.81979114</v>
      </c>
      <c r="AU63" s="297">
        <f t="shared" si="170"/>
        <v>596187913.68364</v>
      </c>
      <c r="AV63" s="297">
        <f t="shared" si="170"/>
        <v>579210273.03768444</v>
      </c>
      <c r="AW63" s="297">
        <f t="shared" si="170"/>
        <v>586731501.24732506</v>
      </c>
      <c r="AX63" s="297">
        <f t="shared" si="170"/>
        <v>547922090.17756879</v>
      </c>
      <c r="AY63" s="297">
        <f t="shared" si="170"/>
        <v>496404016.02613485</v>
      </c>
      <c r="AZ63" s="297">
        <f t="shared" si="170"/>
        <v>566482825.80732214</v>
      </c>
      <c r="BA63" s="297">
        <f t="shared" si="170"/>
        <v>503887022.51901054</v>
      </c>
      <c r="BB63" s="297">
        <f t="shared" si="170"/>
        <v>538978574.38478386</v>
      </c>
      <c r="BC63" s="297">
        <f t="shared" si="170"/>
        <v>549993300.39846718</v>
      </c>
      <c r="BD63" s="297">
        <f t="shared" si="170"/>
        <v>557348962.86586809</v>
      </c>
      <c r="BE63" s="297">
        <f t="shared" si="170"/>
        <v>651681967.31074953</v>
      </c>
      <c r="BF63" s="297">
        <f t="shared" si="170"/>
        <v>683236984.66386592</v>
      </c>
      <c r="BG63" s="297">
        <f t="shared" si="170"/>
        <v>838068184.305691</v>
      </c>
      <c r="BH63" s="297">
        <f t="shared" si="170"/>
        <v>829779909.1177808</v>
      </c>
      <c r="BI63" s="297">
        <f t="shared" si="170"/>
        <v>757340528.53781831</v>
      </c>
      <c r="BJ63" s="297">
        <f t="shared" si="170"/>
        <v>932088949.43933356</v>
      </c>
      <c r="BK63" s="297">
        <f t="shared" si="170"/>
        <v>907399158.35154498</v>
      </c>
      <c r="BL63" s="297">
        <f t="shared" si="170"/>
        <v>915547724.38227153</v>
      </c>
      <c r="BM63" s="297">
        <f t="shared" si="170"/>
        <v>846535831.44171131</v>
      </c>
      <c r="BN63" s="297">
        <f t="shared" si="170"/>
        <v>738612588.32146227</v>
      </c>
      <c r="BO63" s="297">
        <f t="shared" si="170"/>
        <v>779820225.12055171</v>
      </c>
      <c r="BP63" s="297">
        <f t="shared" ref="BP63:DR63" si="171">SUM(BP64:BP68)</f>
        <v>767887433.04350936</v>
      </c>
      <c r="BQ63" s="297">
        <f t="shared" si="171"/>
        <v>982281188.78970623</v>
      </c>
      <c r="BR63" s="297">
        <f t="shared" si="171"/>
        <v>922582309.34992898</v>
      </c>
      <c r="BS63" s="297">
        <f t="shared" si="171"/>
        <v>830319835.69046664</v>
      </c>
      <c r="BT63" s="297">
        <f t="shared" si="171"/>
        <v>780692670.06479633</v>
      </c>
      <c r="BU63" s="297">
        <f t="shared" si="171"/>
        <v>710605062.31088376</v>
      </c>
      <c r="BV63" s="297">
        <f t="shared" si="171"/>
        <v>831495038.6274302</v>
      </c>
      <c r="BW63" s="297">
        <f t="shared" si="171"/>
        <v>850633103.72518468</v>
      </c>
      <c r="BX63" s="297">
        <f t="shared" si="171"/>
        <v>885849345.34260821</v>
      </c>
      <c r="BY63" s="297">
        <f t="shared" si="171"/>
        <v>898306503.08435512</v>
      </c>
      <c r="BZ63" s="297">
        <f t="shared" si="171"/>
        <v>883430502.84138501</v>
      </c>
      <c r="CA63" s="297">
        <f t="shared" si="171"/>
        <v>811468369.82531285</v>
      </c>
      <c r="CB63" s="297">
        <f t="shared" si="171"/>
        <v>749529082.68276024</v>
      </c>
      <c r="CC63" s="297">
        <f t="shared" si="171"/>
        <v>925468922.5692178</v>
      </c>
      <c r="CD63" s="297">
        <f t="shared" si="171"/>
        <v>877889527.21865964</v>
      </c>
      <c r="CE63" s="297">
        <f t="shared" si="171"/>
        <v>1019834224.7301902</v>
      </c>
      <c r="CF63" s="297">
        <f t="shared" si="171"/>
        <v>1113508775.4626312</v>
      </c>
      <c r="CG63" s="297">
        <f t="shared" si="171"/>
        <v>1138146381.5550089</v>
      </c>
      <c r="CH63" s="297">
        <f t="shared" si="171"/>
        <v>1429387176.2217107</v>
      </c>
      <c r="CI63" s="297">
        <f t="shared" si="171"/>
        <v>1278826353.6737006</v>
      </c>
      <c r="CJ63" s="297">
        <f t="shared" si="171"/>
        <v>1258388678.9487007</v>
      </c>
      <c r="CK63" s="297">
        <f t="shared" si="171"/>
        <v>1257690547.1741905</v>
      </c>
      <c r="CL63" s="297">
        <f t="shared" si="171"/>
        <v>1324693164.4349153</v>
      </c>
      <c r="CM63" s="297">
        <f t="shared" si="171"/>
        <v>1135825105.9508476</v>
      </c>
      <c r="CN63" s="297">
        <f t="shared" si="171"/>
        <v>1152808641.9900906</v>
      </c>
      <c r="CO63" s="297">
        <f t="shared" si="171"/>
        <v>1388658509.3327427</v>
      </c>
      <c r="CP63" s="297">
        <f t="shared" si="171"/>
        <v>1392091998.5177186</v>
      </c>
      <c r="CQ63" s="297">
        <f t="shared" si="171"/>
        <v>1692076863.7129612</v>
      </c>
      <c r="CR63" s="297">
        <f t="shared" si="171"/>
        <v>1818412642.8328424</v>
      </c>
      <c r="CS63" s="297">
        <f t="shared" si="171"/>
        <v>1649337289.9972465</v>
      </c>
      <c r="CT63" s="297">
        <f t="shared" si="171"/>
        <v>1842740503.4611092</v>
      </c>
      <c r="CU63" s="297">
        <f t="shared" si="171"/>
        <v>1698694789.0380361</v>
      </c>
      <c r="CV63" s="297">
        <f t="shared" si="171"/>
        <v>1717499748.7968304</v>
      </c>
      <c r="CW63" s="297">
        <f t="shared" si="171"/>
        <v>1678268066.4894729</v>
      </c>
      <c r="CX63" s="297">
        <f t="shared" si="171"/>
        <v>1744903757.086041</v>
      </c>
      <c r="CY63" s="297">
        <f t="shared" si="171"/>
        <v>1603061451.8584344</v>
      </c>
      <c r="CZ63" s="297">
        <f t="shared" si="171"/>
        <v>1538125099.3404949</v>
      </c>
      <c r="DA63" s="297">
        <f t="shared" si="171"/>
        <v>1768714167.3582132</v>
      </c>
      <c r="DB63" s="297">
        <f t="shared" si="171"/>
        <v>1816776315.1249712</v>
      </c>
      <c r="DC63" s="297">
        <f t="shared" si="171"/>
        <v>2109970018.8540151</v>
      </c>
      <c r="DD63" s="297">
        <f t="shared" si="171"/>
        <v>2119649591.0144677</v>
      </c>
      <c r="DE63" s="297">
        <f t="shared" si="171"/>
        <v>1961609581.8965218</v>
      </c>
      <c r="DF63" s="297">
        <f t="shared" si="171"/>
        <v>2109091205.1796873</v>
      </c>
      <c r="DG63" s="297">
        <f t="shared" si="171"/>
        <v>2077062361.5787258</v>
      </c>
      <c r="DH63" s="297">
        <f t="shared" si="171"/>
        <v>2102380277.3219225</v>
      </c>
      <c r="DI63" s="297">
        <f t="shared" si="171"/>
        <v>2049141576.7122276</v>
      </c>
      <c r="DJ63" s="297">
        <f t="shared" si="171"/>
        <v>2129401963.7143104</v>
      </c>
      <c r="DK63" s="297">
        <f t="shared" si="171"/>
        <v>1954526496.620162</v>
      </c>
      <c r="DL63" s="297">
        <f t="shared" si="171"/>
        <v>1870016988.6264091</v>
      </c>
      <c r="DM63" s="297">
        <f t="shared" si="171"/>
        <v>2150438615.2792892</v>
      </c>
      <c r="DN63" s="297">
        <f t="shared" si="171"/>
        <v>2210151137.0560837</v>
      </c>
      <c r="DO63" s="297">
        <f t="shared" si="171"/>
        <v>2561920622.6243787</v>
      </c>
      <c r="DP63" s="297">
        <f t="shared" si="171"/>
        <v>2566818032.3171387</v>
      </c>
      <c r="DQ63" s="297">
        <f t="shared" si="171"/>
        <v>2372973581.1747484</v>
      </c>
      <c r="DR63" s="297">
        <f t="shared" si="171"/>
        <v>2535285159.3514409</v>
      </c>
      <c r="DS63" s="297">
        <f t="shared" ref="DS63:ED63" si="172">SUM(DS64:DS68)</f>
        <v>2433345476.3321424</v>
      </c>
      <c r="DT63" s="297">
        <f t="shared" si="172"/>
        <v>2463342973.1653614</v>
      </c>
      <c r="DU63" s="297">
        <f t="shared" si="172"/>
        <v>2399061284.7815242</v>
      </c>
      <c r="DV63" s="297">
        <f t="shared" si="172"/>
        <v>2490365180.5486264</v>
      </c>
      <c r="DW63" s="297">
        <f t="shared" si="172"/>
        <v>2285840455.3496051</v>
      </c>
      <c r="DX63" s="297">
        <f t="shared" si="172"/>
        <v>2185184861.0451474</v>
      </c>
      <c r="DY63" s="297">
        <f t="shared" si="172"/>
        <v>2510264394.5680184</v>
      </c>
      <c r="DZ63" s="297">
        <f t="shared" si="172"/>
        <v>2587682170.219151</v>
      </c>
      <c r="EA63" s="297">
        <f t="shared" si="172"/>
        <v>2998727684.0490103</v>
      </c>
      <c r="EB63" s="297">
        <f t="shared" si="172"/>
        <v>3002434666.4285278</v>
      </c>
      <c r="EC63" s="297">
        <f t="shared" si="172"/>
        <v>2775450693.7559276</v>
      </c>
      <c r="ED63" s="297">
        <f t="shared" si="172"/>
        <v>2959473493.5359821</v>
      </c>
      <c r="EE63" s="222"/>
      <c r="EF63" s="297">
        <f t="shared" ref="EF63:EF68" si="173">SUM(BK63:BM63)</f>
        <v>2669482714.175528</v>
      </c>
      <c r="EG63" s="297">
        <f t="shared" ref="EG63:EG68" si="174">SUM(BN63:BP63)</f>
        <v>2286320246.4855232</v>
      </c>
      <c r="EH63" s="297">
        <f t="shared" ref="EH63:EH68" si="175">SUM(BQ63:BS63)</f>
        <v>2735183333.830102</v>
      </c>
      <c r="EI63" s="297">
        <f t="shared" ref="EI63:EI68" si="176">SUM(BT63:BV63)</f>
        <v>2322792771.0031099</v>
      </c>
      <c r="EJ63" s="297">
        <f t="shared" ref="EJ63:EJ68" si="177">SUM(BW63:BY63)</f>
        <v>2634788952.1521482</v>
      </c>
      <c r="EK63" s="297">
        <f t="shared" ref="EK63:EK68" si="178">SUM(BZ63:CB63)</f>
        <v>2444427955.3494582</v>
      </c>
      <c r="EL63" s="297">
        <f t="shared" ref="EL63:EL68" si="179">SUM(CC63:CE63)</f>
        <v>2823192674.5180678</v>
      </c>
      <c r="EM63" s="297">
        <f t="shared" ref="EM63:EM68" si="180">SUM(CF63:CH63)</f>
        <v>3681042333.2393508</v>
      </c>
      <c r="EN63" s="297">
        <f t="shared" ref="EN63:EN68" si="181">SUM(CI63:CK63)</f>
        <v>3794905579.7965918</v>
      </c>
      <c r="EO63" s="297">
        <f t="shared" ref="EO63:EO68" si="182">SUM(CL63:CN63)</f>
        <v>3613326912.3758535</v>
      </c>
      <c r="EP63" s="297">
        <f t="shared" ref="EP63:EP68" si="183">SUM(CO63:CQ63)</f>
        <v>4472827371.5634222</v>
      </c>
      <c r="EQ63" s="297">
        <f t="shared" ref="EQ63:EQ68" si="184">SUM(CR63:CT63)</f>
        <v>5310490436.2911978</v>
      </c>
      <c r="ER63" s="297">
        <f t="shared" ref="ER63:ER68" si="185">SUM(CU63:CW63)</f>
        <v>5094462604.3243389</v>
      </c>
      <c r="ES63" s="297">
        <f t="shared" ref="ES63:ES68" si="186">SUM(CX63:CZ63)</f>
        <v>4886090308.2849703</v>
      </c>
      <c r="ET63" s="297">
        <f t="shared" ref="ET63:ET68" si="187">SUM(DA63:DC63)</f>
        <v>5695460501.3371992</v>
      </c>
      <c r="EU63" s="297">
        <f t="shared" ref="EU63:EU68" si="188">SUM(DD63:DF63)</f>
        <v>6190350378.0906773</v>
      </c>
      <c r="EV63" s="297">
        <f t="shared" ref="EV63:EV68" si="189">SUM(DG63:DI63)</f>
        <v>6228584215.6128759</v>
      </c>
      <c r="EW63" s="297">
        <f t="shared" ref="EW63:EW68" si="190">SUM(DJ63:DL63)</f>
        <v>5953945448.9608822</v>
      </c>
      <c r="EX63" s="297">
        <f t="shared" ref="EX63:EX68" si="191">SUM(DM63:DO63)</f>
        <v>6922510374.9597511</v>
      </c>
      <c r="EY63" s="297">
        <f t="shared" ref="EY63:EY68" si="192">SUM(DP63:DR63)</f>
        <v>7475076772.8433285</v>
      </c>
      <c r="EZ63" s="297">
        <f t="shared" ref="EZ63:EZ68" si="193">SUM(DS63:DU63)</f>
        <v>7295749734.2790279</v>
      </c>
      <c r="FA63" s="297">
        <f t="shared" ref="FA63:FA68" si="194">SUM(DV63:DX63)</f>
        <v>6961390496.9433784</v>
      </c>
      <c r="FB63" s="297">
        <f t="shared" ref="FB63:FB68" si="195">SUM(DY63:EA63)</f>
        <v>8096674248.8361797</v>
      </c>
      <c r="FC63" s="297">
        <f t="shared" ref="FC63:FC68" si="196">SUM(EB63:ED63)</f>
        <v>8737358853.720438</v>
      </c>
      <c r="FE63" s="297">
        <f t="shared" ref="FE63:FE67" si="197">SUM(EF63:EI63)</f>
        <v>10013779065.494263</v>
      </c>
      <c r="FF63" s="297">
        <f t="shared" ref="FF63:FF67" si="198">SUM(EJ63:EM63)</f>
        <v>11583451915.259026</v>
      </c>
      <c r="FG63" s="297">
        <f t="shared" ref="FG63:FG67" si="199">SUM(EN63:EQ63)</f>
        <v>17191550300.027065</v>
      </c>
      <c r="FH63" s="297">
        <f t="shared" ref="FH63:FH67" si="200">SUM(ER63:EU63)</f>
        <v>21866363792.037186</v>
      </c>
      <c r="FI63" s="297">
        <f t="shared" ref="FI63:FI67" si="201">SUM(EV63:EY63)</f>
        <v>26580116812.376839</v>
      </c>
      <c r="FJ63" s="774">
        <f t="shared" si="32"/>
        <v>31091173333.779022</v>
      </c>
      <c r="FK63" s="545" t="s">
        <v>1</v>
      </c>
    </row>
    <row r="64" spans="2:167" x14ac:dyDescent="0.2">
      <c r="B64" s="225" t="s">
        <v>304</v>
      </c>
      <c r="C64" s="19">
        <f>'B2B- Non Repair'!C32</f>
        <v>125801277</v>
      </c>
      <c r="D64" s="19">
        <f>'B2B- Non Repair'!D32</f>
        <v>117591988.14285715</v>
      </c>
      <c r="E64" s="19">
        <f>'B2B- Non Repair'!E32</f>
        <v>131474105.07654707</v>
      </c>
      <c r="F64" s="19">
        <f>'B2B- Non Repair'!F32</f>
        <v>153050515.89540002</v>
      </c>
      <c r="G64" s="19">
        <f>'B2B- Non Repair'!G32</f>
        <v>179400433.33977237</v>
      </c>
      <c r="H64" s="19">
        <f>'B2B- Non Repair'!H32</f>
        <v>187093082</v>
      </c>
      <c r="I64" s="19">
        <f>'B2B- Non Repair'!I32</f>
        <v>200855808</v>
      </c>
      <c r="J64" s="19">
        <f>'B2B- Non Repair'!J32</f>
        <v>188073690</v>
      </c>
      <c r="K64" s="19">
        <f>'B2B- Non Repair'!K32</f>
        <v>238058227</v>
      </c>
      <c r="L64" s="19">
        <f>'B2B- Non Repair'!L32</f>
        <v>231416797</v>
      </c>
      <c r="M64" s="19">
        <f>'B2B- Non Repair'!M32</f>
        <v>236573979.40440598</v>
      </c>
      <c r="N64" s="19">
        <f>'B2B- Non Repair'!N32</f>
        <v>206956708</v>
      </c>
      <c r="O64" s="19">
        <f>'B2B- Non Repair'!O32</f>
        <v>267373273.37521982</v>
      </c>
      <c r="P64" s="19">
        <f>'B2B- Non Repair'!P32</f>
        <v>264719288.14665473</v>
      </c>
      <c r="Q64" s="19">
        <f>'B2B- Non Repair'!Q32</f>
        <v>283434810.08928573</v>
      </c>
      <c r="R64" s="19">
        <f>'B2B- Non Repair'!R32</f>
        <v>289067754.60499275</v>
      </c>
      <c r="S64" s="19">
        <f>'B2B- Non Repair'!S32</f>
        <v>237235024.92445996</v>
      </c>
      <c r="T64" s="19">
        <f>'B2B- Non Repair'!T32</f>
        <v>210044782.54067129</v>
      </c>
      <c r="U64" s="19">
        <f>'B2B- Non Repair'!U32</f>
        <v>177467661.28554741</v>
      </c>
      <c r="V64" s="19">
        <f>'B2B- Non Repair'!V32</f>
        <v>216355590.70338711</v>
      </c>
      <c r="W64" s="19">
        <f>'B2B- Non Repair'!W32</f>
        <v>248503020.056577</v>
      </c>
      <c r="X64" s="19">
        <f>'B2B- Non Repair'!X32</f>
        <v>250931904.61582407</v>
      </c>
      <c r="Y64" s="19">
        <f>'B2B- Non Repair'!Y32</f>
        <v>287594021.09927118</v>
      </c>
      <c r="Z64" s="19">
        <f>'B2B- Non Repair'!Z32</f>
        <v>179607287.64857143</v>
      </c>
      <c r="AA64" s="19">
        <f>'B2B- Non Repair'!AA32</f>
        <v>-57658.435714285712</v>
      </c>
      <c r="AB64" s="19">
        <f>'B2B- Non Repair'!AB32</f>
        <v>136921891.93964374</v>
      </c>
      <c r="AC64" s="19">
        <f>'B2B- Non Repair'!AC32</f>
        <v>142690668.28481713</v>
      </c>
      <c r="AD64" s="19">
        <f>'B2B- Non Repair'!AD32</f>
        <v>117074544.3179273</v>
      </c>
      <c r="AE64" s="19">
        <f>'B2B- Non Repair'!AE32</f>
        <v>195365436.44401971</v>
      </c>
      <c r="AF64" s="19">
        <f>'B2B- Non Repair'!AF32</f>
        <v>201002479.63522822</v>
      </c>
      <c r="AG64" s="19">
        <f>'B2B- Non Repair'!AG32</f>
        <v>181031352.84808806</v>
      </c>
      <c r="AH64" s="19">
        <f>'B2B- Non Repair'!AH32</f>
        <v>213180512.35820308</v>
      </c>
      <c r="AI64" s="19">
        <f>'B2B- Non Repair'!AI32</f>
        <v>345947129.31792229</v>
      </c>
      <c r="AJ64" s="19">
        <f>'B2B- Non Repair'!AJ32</f>
        <v>298513083.91610336</v>
      </c>
      <c r="AK64" s="19">
        <f>'B2B- Non Repair'!AK32</f>
        <v>373558250.51658595</v>
      </c>
      <c r="AL64" s="19">
        <f>'B2B- Non Repair'!AL32</f>
        <v>313364666.0534246</v>
      </c>
      <c r="AM64" s="19">
        <f>'B2B- Non Repair'!AM32</f>
        <v>215377578.62256399</v>
      </c>
      <c r="AN64" s="19">
        <f>'B2B- Non Repair'!AN32</f>
        <v>97482672</v>
      </c>
      <c r="AO64" s="19">
        <f>'B2B- Non Repair'!AO32</f>
        <v>215716322.66998249</v>
      </c>
      <c r="AP64" s="19">
        <f>'B2B- Non Repair'!AP32</f>
        <v>302543098.44999999</v>
      </c>
      <c r="AQ64" s="19">
        <f>'B2B- Non Repair'!AQ32</f>
        <v>295460512.42614979</v>
      </c>
      <c r="AR64" s="19">
        <f>'B2B- Non Repair'!AR32</f>
        <v>278396589</v>
      </c>
      <c r="AS64" s="19">
        <f>'B2B- Non Repair'!AS32</f>
        <v>237256946.99999997</v>
      </c>
      <c r="AT64" s="19">
        <f>'B2B- Non Repair'!AT32</f>
        <v>286211689</v>
      </c>
      <c r="AU64" s="19">
        <f>'B2B- Non Repair'!AU32</f>
        <v>383839785.15441</v>
      </c>
      <c r="AV64" s="19">
        <f>'B2B- Non Repair'!AV32</f>
        <v>349338094.00000006</v>
      </c>
      <c r="AW64" s="19">
        <f>'B2B- Non Repair'!AW32</f>
        <v>357715759</v>
      </c>
      <c r="AX64" s="19">
        <f>'B2B- Non Repair'!AX32</f>
        <v>311293972.47457111</v>
      </c>
      <c r="AY64" s="19">
        <f>'B2B- Non Repair'!AY32</f>
        <v>310175608.45000011</v>
      </c>
      <c r="AZ64" s="19">
        <f>'B2B- Non Repair'!AZ32</f>
        <v>347669126</v>
      </c>
      <c r="BA64" s="19">
        <f>'B2B- Non Repair'!BA32</f>
        <v>249625414.35678959</v>
      </c>
      <c r="BB64" s="19">
        <f>'B2B- Non Repair'!BB32</f>
        <v>289833178.84189147</v>
      </c>
      <c r="BC64" s="19">
        <f>'B2B- Non Repair'!BC32</f>
        <v>309342792.45887685</v>
      </c>
      <c r="BD64" s="19">
        <f>'B2B- Non Repair'!BD32</f>
        <v>318226365.2718057</v>
      </c>
      <c r="BE64" s="19">
        <f>'B2B- Non Repair'!BE32</f>
        <v>373037668.20530808</v>
      </c>
      <c r="BF64" s="19">
        <f>'B2B- Non Repair'!BF32</f>
        <v>403958892.68760884</v>
      </c>
      <c r="BG64" s="19">
        <f>'B2B- Non Repair'!BG32</f>
        <v>513092697.51928741</v>
      </c>
      <c r="BH64" s="19">
        <f>'B2B- Non Repair'!BH32</f>
        <v>462952935.31043202</v>
      </c>
      <c r="BI64" s="19">
        <f>'B2B- Non Repair'!BI32</f>
        <v>372709132.75374109</v>
      </c>
      <c r="BJ64" s="19">
        <f>'B2B- Non Repair'!BJ32</f>
        <v>412090440.25868881</v>
      </c>
      <c r="BK64" s="19">
        <f>'B2B- Non Repair'!BK32</f>
        <v>379780977.45793903</v>
      </c>
      <c r="BL64" s="19">
        <f>'B2B- Non Repair'!BL32</f>
        <v>387711611.39840972</v>
      </c>
      <c r="BM64" s="19">
        <f>'B2B- Non Repair'!BM32</f>
        <v>293301261.37020719</v>
      </c>
      <c r="BN64" s="19">
        <f>'B2B- Non Repair'!BN32</f>
        <v>275734282.03754401</v>
      </c>
      <c r="BO64" s="19">
        <f>'B2B- Non Repair'!BO32</f>
        <v>292396305.99650365</v>
      </c>
      <c r="BP64" s="19">
        <f>'B2B- Non Repair'!BP32</f>
        <v>283382372.33914256</v>
      </c>
      <c r="BQ64" s="19">
        <f>'B2B- Non Repair'!BQ32</f>
        <v>265616358.80509084</v>
      </c>
      <c r="BR64" s="19">
        <f>'B2B- Non Repair'!BR32</f>
        <v>327030064.25738788</v>
      </c>
      <c r="BS64" s="19">
        <f>'B2B- Non Repair'!BS32</f>
        <v>295391614.27741575</v>
      </c>
      <c r="BT64" s="19">
        <f>'B2B- Non Repair'!BT32</f>
        <v>265599983.72715536</v>
      </c>
      <c r="BU64" s="19">
        <f>'B2B- Non Repair'!BU32</f>
        <v>277717494.5492841</v>
      </c>
      <c r="BV64" s="19">
        <f>'B2B- Non Repair'!BV32</f>
        <v>287475425.2452935</v>
      </c>
      <c r="BW64" s="19">
        <f>'B2B- Non Repair'!BW32</f>
        <v>298293133.78113633</v>
      </c>
      <c r="BX64" s="19">
        <f>'B2B- Non Repair'!BX32</f>
        <v>308797080.13009202</v>
      </c>
      <c r="BY64" s="19">
        <f>'B2B- Non Repair'!BY32</f>
        <v>294487171.96872741</v>
      </c>
      <c r="BZ64" s="19">
        <f>'B2B- Non Repair'!BZ32</f>
        <v>278592216.31786382</v>
      </c>
      <c r="CA64" s="19">
        <f>'B2B- Non Repair'!CA32</f>
        <v>269607106.48196673</v>
      </c>
      <c r="CB64" s="19">
        <f>'B2B- Non Repair'!CB32</f>
        <v>236970353.8857328</v>
      </c>
      <c r="CC64" s="19">
        <f>'B2B- Non Repair'!CC32</f>
        <v>282800700.39149678</v>
      </c>
      <c r="CD64" s="19">
        <f>'B2B- Non Repair'!CD32</f>
        <v>288387207.48582393</v>
      </c>
      <c r="CE64" s="19">
        <f>'B2B- Non Repair'!CE32</f>
        <v>328170811.60230517</v>
      </c>
      <c r="CF64" s="19">
        <f>'B2B- Non Repair'!CF32</f>
        <v>376210142.87366998</v>
      </c>
      <c r="CG64" s="19">
        <f>'B2B- Non Repair'!CG32</f>
        <v>434497547.23175538</v>
      </c>
      <c r="CH64" s="19">
        <f>'B2B- Non Repair'!CH32</f>
        <v>542115896.68164158</v>
      </c>
      <c r="CI64" s="19">
        <f>'B2B- Non Repair'!CI32</f>
        <v>459077943.58657438</v>
      </c>
      <c r="CJ64" s="19">
        <f>'B2B- Non Repair'!CJ32</f>
        <v>452288959.70016521</v>
      </c>
      <c r="CK64" s="19">
        <f>'B2B- Non Repair'!CK32</f>
        <v>443856586.94573599</v>
      </c>
      <c r="CL64" s="19">
        <f>'B2B- Non Repair'!CL32</f>
        <v>448066203.14000005</v>
      </c>
      <c r="CM64" s="19">
        <f>'B2B- Non Repair'!CM32</f>
        <v>376826619.63999927</v>
      </c>
      <c r="CN64" s="19">
        <f>'B2B- Non Repair'!CN32</f>
        <v>324480268.75999957</v>
      </c>
      <c r="CO64" s="19">
        <f>'B2B- Non Repair'!CO32</f>
        <v>421455377.47000051</v>
      </c>
      <c r="CP64" s="19">
        <f>'B2B- Non Repair'!CP32</f>
        <v>507023176.57999998</v>
      </c>
      <c r="CQ64" s="19">
        <f>'B2B- Non Repair'!CQ32</f>
        <v>615040444.42999995</v>
      </c>
      <c r="CR64" s="19">
        <f>'B2B- Non Repair'!CR32</f>
        <v>660256615.85000086</v>
      </c>
      <c r="CS64" s="19">
        <f>'B2B- Non Repair'!CS32</f>
        <v>600687088.90000057</v>
      </c>
      <c r="CT64" s="19">
        <f>'B2B- Non Repair'!CT32</f>
        <v>583654906.26999962</v>
      </c>
      <c r="CU64" s="19">
        <f>'B2B- Non Repair'!CU32</f>
        <v>604308212.63378978</v>
      </c>
      <c r="CV64" s="19">
        <f>'B2B- Non Repair'!CV32</f>
        <v>626368025.94984519</v>
      </c>
      <c r="CW64" s="19">
        <f>'B2B- Non Repair'!CW32</f>
        <v>588430732.15858877</v>
      </c>
      <c r="CX64" s="19">
        <f>'B2B- Non Repair'!CX32</f>
        <v>588934143.8540529</v>
      </c>
      <c r="CY64" s="19">
        <f>'B2B- Non Repair'!CY32</f>
        <v>547589804.84205484</v>
      </c>
      <c r="CZ64" s="19">
        <f>'B2B- Non Repair'!CZ32</f>
        <v>477519506.65412784</v>
      </c>
      <c r="DA64" s="19">
        <f>'B2B- Non Repair'!DA32</f>
        <v>558647536.60538828</v>
      </c>
      <c r="DB64" s="19">
        <f>'B2B- Non Repair'!DB32</f>
        <v>691806550.83144271</v>
      </c>
      <c r="DC64" s="19">
        <f>'B2B- Non Repair'!DC32</f>
        <v>770867768.36854017</v>
      </c>
      <c r="DD64" s="19">
        <f>'B2B- Non Repair'!DD32</f>
        <v>721384594.21925247</v>
      </c>
      <c r="DE64" s="19">
        <f>'B2B- Non Repair'!DE32</f>
        <v>703501970.26614523</v>
      </c>
      <c r="DF64" s="19">
        <f>'B2B- Non Repair'!DF32</f>
        <v>676444638.13945341</v>
      </c>
      <c r="DG64" s="19">
        <f>'B2B- Non Repair'!DG32</f>
        <v>755385265.79223704</v>
      </c>
      <c r="DH64" s="19">
        <f>'B2B- Non Repair'!DH32</f>
        <v>782960032.43730652</v>
      </c>
      <c r="DI64" s="19">
        <f>'B2B- Non Repair'!DI32</f>
        <v>735538415.19823575</v>
      </c>
      <c r="DJ64" s="19">
        <f>'B2B- Non Repair'!DJ32</f>
        <v>736167679.8175658</v>
      </c>
      <c r="DK64" s="19">
        <f>'B2B- Non Repair'!DK32</f>
        <v>684487256.05256855</v>
      </c>
      <c r="DL64" s="19">
        <f>'B2B- Non Repair'!DL32</f>
        <v>596899383.3176595</v>
      </c>
      <c r="DM64" s="19">
        <f>'B2B- Non Repair'!DM32</f>
        <v>698309420.75673497</v>
      </c>
      <c r="DN64" s="19">
        <f>'B2B- Non Repair'!DN32</f>
        <v>864758188.5393033</v>
      </c>
      <c r="DO64" s="19">
        <f>'B2B- Non Repair'!DO32</f>
        <v>963584710.460675</v>
      </c>
      <c r="DP64" s="19">
        <f>'B2B- Non Repair'!DP32</f>
        <v>901730742.77406549</v>
      </c>
      <c r="DQ64" s="19">
        <f>'B2B- Non Repair'!DQ32</f>
        <v>879377462.83268142</v>
      </c>
      <c r="DR64" s="19">
        <f>'B2B- Non Repair'!DR32</f>
        <v>845555797.67431688</v>
      </c>
      <c r="DS64" s="19">
        <f>'B2B- Non Repair'!DS32</f>
        <v>906462318.95068455</v>
      </c>
      <c r="DT64" s="19">
        <f>'B2B- Non Repair'!DT32</f>
        <v>939552038.92476761</v>
      </c>
      <c r="DU64" s="19">
        <f>'B2B- Non Repair'!DU32</f>
        <v>882646098.23788285</v>
      </c>
      <c r="DV64" s="19">
        <f>'B2B- Non Repair'!DV32</f>
        <v>883401215.78107905</v>
      </c>
      <c r="DW64" s="19">
        <f>'B2B- Non Repair'!DW32</f>
        <v>821384707.26308215</v>
      </c>
      <c r="DX64" s="19">
        <f>'B2B- Non Repair'!DX32</f>
        <v>716279259.9811914</v>
      </c>
      <c r="DY64" s="19">
        <f>'B2B- Non Repair'!DY32</f>
        <v>837971304.90808213</v>
      </c>
      <c r="DZ64" s="19">
        <f>'B2B- Non Repair'!DZ32</f>
        <v>1037709826.247164</v>
      </c>
      <c r="EA64" s="19">
        <f>'B2B- Non Repair'!EA32</f>
        <v>1156301652.5528102</v>
      </c>
      <c r="EB64" s="19">
        <f>'B2B- Non Repair'!EB32</f>
        <v>1082076891.3288789</v>
      </c>
      <c r="EC64" s="19">
        <f>'B2B- Non Repair'!EC32</f>
        <v>1055252955.3992176</v>
      </c>
      <c r="ED64" s="19">
        <f>'B2B- Non Repair'!ED32</f>
        <v>1014666957.2091801</v>
      </c>
      <c r="EE64" s="222"/>
      <c r="EF64" s="19">
        <f t="shared" si="173"/>
        <v>1060793850.2265559</v>
      </c>
      <c r="EG64" s="19">
        <f t="shared" si="174"/>
        <v>851512960.37319016</v>
      </c>
      <c r="EH64" s="19">
        <f t="shared" si="175"/>
        <v>888038037.33989453</v>
      </c>
      <c r="EI64" s="19">
        <f t="shared" si="176"/>
        <v>830792903.52173293</v>
      </c>
      <c r="EJ64" s="19">
        <f t="shared" si="177"/>
        <v>901577385.87995577</v>
      </c>
      <c r="EK64" s="19">
        <f t="shared" si="178"/>
        <v>785169676.68556333</v>
      </c>
      <c r="EL64" s="19">
        <f t="shared" si="179"/>
        <v>899358719.47962594</v>
      </c>
      <c r="EM64" s="19">
        <f t="shared" si="180"/>
        <v>1352823586.7870669</v>
      </c>
      <c r="EN64" s="19">
        <f t="shared" si="181"/>
        <v>1355223490.2324755</v>
      </c>
      <c r="EO64" s="19">
        <f t="shared" si="182"/>
        <v>1149373091.5399988</v>
      </c>
      <c r="EP64" s="19">
        <f t="shared" si="183"/>
        <v>1543518998.4800005</v>
      </c>
      <c r="EQ64" s="19">
        <f t="shared" si="184"/>
        <v>1844598611.0200009</v>
      </c>
      <c r="ER64" s="19">
        <f t="shared" si="185"/>
        <v>1819106970.7422237</v>
      </c>
      <c r="ES64" s="19">
        <f t="shared" si="186"/>
        <v>1614043455.3502357</v>
      </c>
      <c r="ET64" s="19">
        <f t="shared" si="187"/>
        <v>2021321855.8053713</v>
      </c>
      <c r="EU64" s="19">
        <f t="shared" si="188"/>
        <v>2101331202.6248512</v>
      </c>
      <c r="EV64" s="19">
        <f t="shared" si="189"/>
        <v>2273883713.4277792</v>
      </c>
      <c r="EW64" s="19">
        <f t="shared" si="190"/>
        <v>2017554319.1877937</v>
      </c>
      <c r="EX64" s="19">
        <f t="shared" si="191"/>
        <v>2526652319.7567129</v>
      </c>
      <c r="EY64" s="19">
        <f t="shared" si="192"/>
        <v>2626664003.281064</v>
      </c>
      <c r="EZ64" s="19">
        <f t="shared" si="193"/>
        <v>2728660456.1133347</v>
      </c>
      <c r="FA64" s="19">
        <f t="shared" si="194"/>
        <v>2421065183.0253525</v>
      </c>
      <c r="FB64" s="19">
        <f t="shared" si="195"/>
        <v>3031982783.7080564</v>
      </c>
      <c r="FC64" s="19">
        <f t="shared" si="196"/>
        <v>3151996803.9372768</v>
      </c>
      <c r="FE64" s="19">
        <f t="shared" si="197"/>
        <v>3631137751.4613738</v>
      </c>
      <c r="FF64" s="19">
        <f t="shared" si="198"/>
        <v>3938929368.832212</v>
      </c>
      <c r="FG64" s="19">
        <f t="shared" si="199"/>
        <v>5892714191.2724762</v>
      </c>
      <c r="FH64" s="19">
        <f t="shared" si="200"/>
        <v>7555803484.5226822</v>
      </c>
      <c r="FI64" s="19">
        <f t="shared" si="201"/>
        <v>9444754355.6533508</v>
      </c>
      <c r="FJ64" s="770">
        <f t="shared" si="32"/>
        <v>11333705226.784019</v>
      </c>
      <c r="FK64" s="545" t="s">
        <v>1</v>
      </c>
    </row>
    <row r="65" spans="2:167" x14ac:dyDescent="0.2">
      <c r="B65" s="225" t="s">
        <v>139</v>
      </c>
      <c r="C65" s="19">
        <f>Refurbished!C36</f>
        <v>6044209.9642857146</v>
      </c>
      <c r="D65" s="19">
        <f>Refurbished!D36</f>
        <v>6585944.0338779641</v>
      </c>
      <c r="E65" s="19">
        <f>Refurbished!E36</f>
        <v>5595315.3498177165</v>
      </c>
      <c r="F65" s="19">
        <f>Refurbished!F36</f>
        <v>9133043.5133790001</v>
      </c>
      <c r="G65" s="19">
        <f>Refurbished!G36</f>
        <v>6946318.5805587238</v>
      </c>
      <c r="H65" s="19">
        <f>Refurbished!H36</f>
        <v>5648964.1437066002</v>
      </c>
      <c r="I65" s="19">
        <f>Refurbished!I36</f>
        <v>7079979.1711388584</v>
      </c>
      <c r="J65" s="19">
        <f>Refurbished!J36</f>
        <v>9165502.6817857139</v>
      </c>
      <c r="K65" s="19">
        <f>Refurbished!K36</f>
        <v>10975790.762857143</v>
      </c>
      <c r="L65" s="19">
        <f>Refurbished!L36</f>
        <v>12801464.231081642</v>
      </c>
      <c r="M65" s="19">
        <f>Refurbished!M36</f>
        <v>19444892.750357144</v>
      </c>
      <c r="N65" s="19">
        <f>Refurbished!N36</f>
        <v>31831743.973571435</v>
      </c>
      <c r="O65" s="19">
        <f>Refurbished!O36</f>
        <v>41486348.064999998</v>
      </c>
      <c r="P65" s="19">
        <f>Refurbished!P36</f>
        <v>45362154.56892857</v>
      </c>
      <c r="Q65" s="19">
        <f>Refurbished!Q36</f>
        <v>40312709.254642859</v>
      </c>
      <c r="R65" s="19">
        <f>Refurbished!R36</f>
        <v>55619741.066071421</v>
      </c>
      <c r="S65" s="19">
        <f>Refurbished!S36</f>
        <v>36188414.74821429</v>
      </c>
      <c r="T65" s="19">
        <f>Refurbished!T36</f>
        <v>44144267.693571433</v>
      </c>
      <c r="U65" s="19">
        <f>Refurbished!U36</f>
        <v>38523240.307857141</v>
      </c>
      <c r="V65" s="19">
        <f>Refurbished!V36</f>
        <v>17376421.697142858</v>
      </c>
      <c r="W65" s="19">
        <f>Refurbished!W36</f>
        <v>29238866.048571426</v>
      </c>
      <c r="X65" s="19">
        <f>Refurbished!X36</f>
        <v>36227325.625757143</v>
      </c>
      <c r="Y65" s="19">
        <f>Refurbished!Y36</f>
        <v>22875170.629339516</v>
      </c>
      <c r="Z65" s="19">
        <f>Refurbished!Z36</f>
        <v>23688921.266487509</v>
      </c>
      <c r="AA65" s="19">
        <f>Refurbished!AA36</f>
        <v>-2979434.325714286</v>
      </c>
      <c r="AB65" s="19">
        <f>Refurbished!AB36</f>
        <v>28665011.275784142</v>
      </c>
      <c r="AC65" s="19">
        <f>Refurbished!AC36</f>
        <v>27280407.210814558</v>
      </c>
      <c r="AD65" s="19">
        <f>Refurbished!AD36</f>
        <v>25928562.29329171</v>
      </c>
      <c r="AE65" s="19">
        <f>Refurbished!AE36</f>
        <v>29461469.137666326</v>
      </c>
      <c r="AF65" s="19">
        <f>Refurbished!AF36</f>
        <v>35221582.765508473</v>
      </c>
      <c r="AG65" s="19">
        <f>Refurbished!AG36</f>
        <v>43546793.943929784</v>
      </c>
      <c r="AH65" s="19">
        <f>Refurbished!AH36</f>
        <v>52662313.084901698</v>
      </c>
      <c r="AI65" s="19">
        <f>Refurbished!AI36</f>
        <v>90684082.127244055</v>
      </c>
      <c r="AJ65" s="19">
        <f>Refurbished!AJ36</f>
        <v>104725911.36169666</v>
      </c>
      <c r="AK65" s="19">
        <f>Refurbished!AK36</f>
        <v>83647920.120860189</v>
      </c>
      <c r="AL65" s="19">
        <f>Refurbished!AL36</f>
        <v>85384666.131687686</v>
      </c>
      <c r="AM65" s="19">
        <f>Refurbished!AM36</f>
        <v>57281854.88516622</v>
      </c>
      <c r="AN65" s="19">
        <f>Refurbished!AN36</f>
        <v>25604735.59622876</v>
      </c>
      <c r="AO65" s="19">
        <f>Refurbished!AO36</f>
        <v>58226876.39106556</v>
      </c>
      <c r="AP65" s="19">
        <f>Refurbished!AP36</f>
        <v>72822245.219247907</v>
      </c>
      <c r="AQ65" s="19">
        <f>Refurbished!AQ36</f>
        <v>85635272.347011149</v>
      </c>
      <c r="AR65" s="19">
        <f>Refurbished!AR36</f>
        <v>106625552.26042137</v>
      </c>
      <c r="AS65" s="19">
        <f>Refurbished!AS36</f>
        <v>119572641.85986814</v>
      </c>
      <c r="AT65" s="19">
        <f>Refurbished!AT36</f>
        <v>155798322.26182503</v>
      </c>
      <c r="AU65" s="19">
        <f>Refurbished!AU36</f>
        <v>180533875.09600964</v>
      </c>
      <c r="AV65" s="19">
        <f>Refurbished!AV36</f>
        <v>195096645.1620912</v>
      </c>
      <c r="AW65" s="19">
        <f>Refurbished!AW36</f>
        <v>197376097.60122341</v>
      </c>
      <c r="AX65" s="19">
        <f>Refurbished!AX36</f>
        <v>198393257.34367567</v>
      </c>
      <c r="AY65" s="19">
        <f>Refurbished!AY36</f>
        <v>150196760.68257543</v>
      </c>
      <c r="AZ65" s="19">
        <f>Refurbished!AZ36</f>
        <v>182338906.26155955</v>
      </c>
      <c r="BA65" s="19">
        <f>Refurbished!BA36</f>
        <v>213910268.28798366</v>
      </c>
      <c r="BB65" s="19">
        <f>Refurbished!BB36</f>
        <v>207357780.70628232</v>
      </c>
      <c r="BC65" s="19">
        <f>Refurbished!BC36</f>
        <v>196524361.03518355</v>
      </c>
      <c r="BD65" s="19">
        <f>Refurbished!BD36</f>
        <v>188334802.06694371</v>
      </c>
      <c r="BE65" s="19">
        <f>Refurbished!BE36</f>
        <v>228468763.86544144</v>
      </c>
      <c r="BF65" s="19">
        <f>Refurbished!BF36</f>
        <v>236992513.18947741</v>
      </c>
      <c r="BG65" s="19">
        <f>Refurbished!BG36</f>
        <v>278711710.01114929</v>
      </c>
      <c r="BH65" s="19">
        <f>Refurbished!BH36</f>
        <v>314805597.44429803</v>
      </c>
      <c r="BI65" s="19">
        <f>Refurbished!BI36</f>
        <v>335386793.84034848</v>
      </c>
      <c r="BJ65" s="19">
        <f>Refurbished!BJ36</f>
        <v>465901711.06064475</v>
      </c>
      <c r="BK65" s="19">
        <f>Refurbished!BK36</f>
        <v>469587529.62725013</v>
      </c>
      <c r="BL65" s="19">
        <f>Refurbished!BL36</f>
        <v>467015990.04759061</v>
      </c>
      <c r="BM65" s="19">
        <f>Refurbished!BM36</f>
        <v>491949911.09624994</v>
      </c>
      <c r="BN65" s="19">
        <f>Refurbished!BN36</f>
        <v>397043369.59849465</v>
      </c>
      <c r="BO65" s="19">
        <f>Refurbished!BO36</f>
        <v>416633403.6125226</v>
      </c>
      <c r="BP65" s="19">
        <f>Refurbished!BP36</f>
        <v>421540610.95389223</v>
      </c>
      <c r="BQ65" s="19">
        <f>Refurbished!BQ36</f>
        <v>630407784.7709713</v>
      </c>
      <c r="BR65" s="19">
        <f>Refurbished!BR36</f>
        <v>527148664.89801544</v>
      </c>
      <c r="BS65" s="19">
        <f>Refurbished!BS36</f>
        <v>471039322.23427129</v>
      </c>
      <c r="BT65" s="19">
        <f>Refurbished!BT36</f>
        <v>446168909.25798368</v>
      </c>
      <c r="BU65" s="19">
        <f>Refurbished!BU36</f>
        <v>369192131.37807834</v>
      </c>
      <c r="BV65" s="19">
        <f>Refurbished!BV36</f>
        <v>476416560.66249943</v>
      </c>
      <c r="BW65" s="19">
        <f>Refurbished!BW36</f>
        <v>485446810.47491896</v>
      </c>
      <c r="BX65" s="19">
        <f>Refurbished!BX36</f>
        <v>502294001.72081214</v>
      </c>
      <c r="BY65" s="19">
        <f>Refurbished!BY36</f>
        <v>530187727.38525641</v>
      </c>
      <c r="BZ65" s="19">
        <f>Refurbished!BZ36</f>
        <v>522014968.09673804</v>
      </c>
      <c r="CA65" s="19">
        <f>Refurbished!CA36</f>
        <v>461691468.06199026</v>
      </c>
      <c r="CB65" s="19">
        <f>Refurbished!CB36</f>
        <v>435438235.47616506</v>
      </c>
      <c r="CC65" s="19">
        <f>Refurbished!CC36</f>
        <v>542825007.55264688</v>
      </c>
      <c r="CD65" s="19">
        <f>Refurbished!CD36</f>
        <v>508409492.07351375</v>
      </c>
      <c r="CE65" s="19">
        <f>Refurbished!CE36</f>
        <v>605946222.66670895</v>
      </c>
      <c r="CF65" s="19">
        <f>Refurbished!CF36</f>
        <v>648424046.76014769</v>
      </c>
      <c r="CG65" s="19">
        <f>Refurbished!CG36</f>
        <v>618558891.60121965</v>
      </c>
      <c r="CH65" s="19">
        <f>Refurbished!CH36</f>
        <v>795743380.00617075</v>
      </c>
      <c r="CI65" s="19">
        <f>Refurbished!CI36</f>
        <v>730926791.50915992</v>
      </c>
      <c r="CJ65" s="19">
        <f>Refurbished!CJ36</f>
        <v>713117184.77056944</v>
      </c>
      <c r="CK65" s="19">
        <f>Refurbished!CK36</f>
        <v>722965027.87862396</v>
      </c>
      <c r="CL65" s="19">
        <f>Refurbished!CL36</f>
        <v>776751182.2474575</v>
      </c>
      <c r="CM65" s="19">
        <f>Refurbished!CM36</f>
        <v>662266779.86000085</v>
      </c>
      <c r="CN65" s="19">
        <f>Refurbished!CN36</f>
        <v>720592617.51670122</v>
      </c>
      <c r="CO65" s="19">
        <f>Refurbished!CO36</f>
        <v>836598644.91748798</v>
      </c>
      <c r="CP65" s="19">
        <f>Refurbished!CP36</f>
        <v>776101302.63059998</v>
      </c>
      <c r="CQ65" s="19">
        <f>Refurbished!CQ36</f>
        <v>956188359.45499492</v>
      </c>
      <c r="CR65" s="19">
        <f>Refurbished!CR36</f>
        <v>1038251091.4506381</v>
      </c>
      <c r="CS65" s="19">
        <f>Refurbished!CS36</f>
        <v>937204194.63775456</v>
      </c>
      <c r="CT65" s="19">
        <f>Refurbished!CT36</f>
        <v>1106641271.4014487</v>
      </c>
      <c r="CU65" s="19">
        <f>Refurbished!CU36</f>
        <v>976266464.52581215</v>
      </c>
      <c r="CV65" s="19">
        <f>Refurbished!CV36</f>
        <v>966242754.10372877</v>
      </c>
      <c r="CW65" s="19">
        <f>Refurbished!CW36</f>
        <v>963982951.2529757</v>
      </c>
      <c r="CX65" s="19">
        <f>Refurbished!CX36</f>
        <v>1021914804.3938344</v>
      </c>
      <c r="CY65" s="19">
        <f>Refurbished!CY36</f>
        <v>925599997.27311635</v>
      </c>
      <c r="CZ65" s="19">
        <f>Refurbished!CZ36</f>
        <v>915258513.53521776</v>
      </c>
      <c r="DA65" s="19">
        <f>Refurbished!DA36</f>
        <v>1045019369.711509</v>
      </c>
      <c r="DB65" s="19">
        <f>Refurbished!DB36</f>
        <v>989016869.56365967</v>
      </c>
      <c r="DC65" s="19">
        <f>Refurbished!DC36</f>
        <v>1201625304.5804133</v>
      </c>
      <c r="DD65" s="19">
        <f>Refurbished!DD36</f>
        <v>1257459632.7049537</v>
      </c>
      <c r="DE65" s="19">
        <f>Refurbished!DE36</f>
        <v>1127151669.8960443</v>
      </c>
      <c r="DF65" s="19">
        <f>Refurbished!DF36</f>
        <v>1283183767.3706098</v>
      </c>
      <c r="DG65" s="19">
        <f>Refurbished!DG36</f>
        <v>1183931536.4307833</v>
      </c>
      <c r="DH65" s="19">
        <f>Refurbished!DH36</f>
        <v>1173351541.6029487</v>
      </c>
      <c r="DI65" s="19">
        <f>Refurbished!DI36</f>
        <v>1166914688.2759345</v>
      </c>
      <c r="DJ65" s="19">
        <f>Refurbished!DJ36</f>
        <v>1237030219.9182158</v>
      </c>
      <c r="DK65" s="19">
        <f>Refurbished!DK36</f>
        <v>1118912392.2743232</v>
      </c>
      <c r="DL65" s="19">
        <f>Refurbished!DL36</f>
        <v>1103736784.9749978</v>
      </c>
      <c r="DM65" s="19">
        <f>Refurbished!DM36</f>
        <v>1259238535.4765806</v>
      </c>
      <c r="DN65" s="19">
        <f>Refurbished!DN36</f>
        <v>1187612685.4408937</v>
      </c>
      <c r="DO65" s="19">
        <f>Refurbished!DO36</f>
        <v>1439007430.8395858</v>
      </c>
      <c r="DP65" s="19">
        <f>Refurbished!DP36</f>
        <v>1501775037.7697053</v>
      </c>
      <c r="DQ65" s="19">
        <f>Refurbished!DQ36</f>
        <v>1342784506.3554287</v>
      </c>
      <c r="DR65" s="19">
        <f>Refurbished!DR36</f>
        <v>1517813132.7879429</v>
      </c>
      <c r="DS65" s="19">
        <f>Refurbished!DS36</f>
        <v>1372243248.0959332</v>
      </c>
      <c r="DT65" s="19">
        <f>Refurbished!DT36</f>
        <v>1359598124.3511534</v>
      </c>
      <c r="DU65" s="19">
        <f>Refurbished!DU36</f>
        <v>1351753392.3034039</v>
      </c>
      <c r="DV65" s="19">
        <f>Refurbished!DV36</f>
        <v>1431580024.6735859</v>
      </c>
      <c r="DW65" s="19">
        <f>Refurbished!DW36</f>
        <v>1294987875.9125807</v>
      </c>
      <c r="DX65" s="19">
        <f>Refurbished!DX36</f>
        <v>1278704212.8477192</v>
      </c>
      <c r="DY65" s="19">
        <f>Refurbished!DY36</f>
        <v>1454930713.1038766</v>
      </c>
      <c r="DZ65" s="19">
        <f>Refurbished!DZ36</f>
        <v>1372994152.9447927</v>
      </c>
      <c r="EA65" s="19">
        <f>Refurbished!EA36</f>
        <v>1663678676.1572342</v>
      </c>
      <c r="EB65" s="19">
        <f>Refurbished!EB36</f>
        <v>1736874680.9606633</v>
      </c>
      <c r="EC65" s="19">
        <f>Refurbished!EC36</f>
        <v>1551454101.2281995</v>
      </c>
      <c r="ED65" s="19">
        <f>Refurbished!ED36</f>
        <v>1752133297.7377877</v>
      </c>
      <c r="EE65" s="222"/>
      <c r="EF65" s="19">
        <f t="shared" si="173"/>
        <v>1428553430.7710905</v>
      </c>
      <c r="EG65" s="19">
        <f t="shared" si="174"/>
        <v>1235217384.1649094</v>
      </c>
      <c r="EH65" s="19">
        <f t="shared" si="175"/>
        <v>1628595771.9032581</v>
      </c>
      <c r="EI65" s="19">
        <f t="shared" si="176"/>
        <v>1291777601.2985616</v>
      </c>
      <c r="EJ65" s="19">
        <f t="shared" si="177"/>
        <v>1517928539.5809875</v>
      </c>
      <c r="EK65" s="19">
        <f t="shared" si="178"/>
        <v>1419144671.6348934</v>
      </c>
      <c r="EL65" s="19">
        <f t="shared" si="179"/>
        <v>1657180722.2928696</v>
      </c>
      <c r="EM65" s="19">
        <f t="shared" si="180"/>
        <v>2062726318.367538</v>
      </c>
      <c r="EN65" s="19">
        <f t="shared" si="181"/>
        <v>2167009004.1583533</v>
      </c>
      <c r="EO65" s="19">
        <f t="shared" si="182"/>
        <v>2159610579.6241598</v>
      </c>
      <c r="EP65" s="19">
        <f t="shared" si="183"/>
        <v>2568888307.0030832</v>
      </c>
      <c r="EQ65" s="19">
        <f t="shared" si="184"/>
        <v>3082096557.4898415</v>
      </c>
      <c r="ER65" s="19">
        <f t="shared" si="185"/>
        <v>2906492169.8825169</v>
      </c>
      <c r="ES65" s="19">
        <f t="shared" si="186"/>
        <v>2862773315.2021685</v>
      </c>
      <c r="ET65" s="19">
        <f t="shared" si="187"/>
        <v>3235661543.8555822</v>
      </c>
      <c r="EU65" s="19">
        <f t="shared" si="188"/>
        <v>3667795069.9716077</v>
      </c>
      <c r="EV65" s="19">
        <f t="shared" si="189"/>
        <v>3524197766.3096666</v>
      </c>
      <c r="EW65" s="19">
        <f t="shared" si="190"/>
        <v>3459679397.1675367</v>
      </c>
      <c r="EX65" s="19">
        <f t="shared" si="191"/>
        <v>3885858651.7570601</v>
      </c>
      <c r="EY65" s="19">
        <f t="shared" si="192"/>
        <v>4362372676.9130764</v>
      </c>
      <c r="EZ65" s="19">
        <f t="shared" si="193"/>
        <v>4083594764.7504902</v>
      </c>
      <c r="FA65" s="19">
        <f t="shared" si="194"/>
        <v>4005272113.4338856</v>
      </c>
      <c r="FB65" s="19">
        <f t="shared" si="195"/>
        <v>4491603542.205904</v>
      </c>
      <c r="FC65" s="19">
        <f t="shared" si="196"/>
        <v>5040462079.926651</v>
      </c>
      <c r="FE65" s="19">
        <f t="shared" si="197"/>
        <v>5584144188.1378193</v>
      </c>
      <c r="FF65" s="19">
        <f t="shared" si="198"/>
        <v>6656980251.8762894</v>
      </c>
      <c r="FG65" s="19">
        <f t="shared" si="199"/>
        <v>9977604448.2754364</v>
      </c>
      <c r="FH65" s="19">
        <f t="shared" si="200"/>
        <v>12672722098.911875</v>
      </c>
      <c r="FI65" s="19">
        <f t="shared" si="201"/>
        <v>15232108492.147341</v>
      </c>
      <c r="FJ65" s="770">
        <f t="shared" si="32"/>
        <v>17620932500.316933</v>
      </c>
      <c r="FK65" s="545" t="s">
        <v>1</v>
      </c>
    </row>
    <row r="66" spans="2:167" x14ac:dyDescent="0.2">
      <c r="B66" s="225" t="s">
        <v>309</v>
      </c>
      <c r="C66" s="19">
        <f>Marketplace!C9</f>
        <v>4268764</v>
      </c>
      <c r="D66" s="19">
        <f>Marketplace!D9</f>
        <v>6341836</v>
      </c>
      <c r="E66" s="19">
        <f>Marketplace!E9</f>
        <v>5881839.9999999991</v>
      </c>
      <c r="F66" s="19">
        <f>Marketplace!F9</f>
        <v>5078495</v>
      </c>
      <c r="G66" s="19">
        <f>Marketplace!G9</f>
        <v>3044418</v>
      </c>
      <c r="H66" s="19">
        <f>Marketplace!H9</f>
        <v>2259483.9999999995</v>
      </c>
      <c r="I66" s="19">
        <f>Marketplace!I9</f>
        <v>2792144.9999999995</v>
      </c>
      <c r="J66" s="19">
        <f>Marketplace!J9</f>
        <v>2498575</v>
      </c>
      <c r="K66" s="19">
        <f>Marketplace!K9</f>
        <v>3183499</v>
      </c>
      <c r="L66" s="19">
        <f>Marketplace!L9</f>
        <v>3340854</v>
      </c>
      <c r="M66" s="19">
        <f>Marketplace!M9</f>
        <v>2961651</v>
      </c>
      <c r="N66" s="19">
        <f>Marketplace!N9</f>
        <v>2697955</v>
      </c>
      <c r="O66" s="19">
        <f>Marketplace!O9</f>
        <v>2656416.102</v>
      </c>
      <c r="P66" s="19">
        <f>Marketplace!P9</f>
        <v>2985390.68</v>
      </c>
      <c r="Q66" s="19">
        <f>Marketplace!Q9</f>
        <v>3072094.9152542371</v>
      </c>
      <c r="R66" s="19">
        <f>Marketplace!R9</f>
        <v>3496965</v>
      </c>
      <c r="S66" s="19">
        <f>Marketplace!S9</f>
        <v>3765122.9999999995</v>
      </c>
      <c r="T66" s="19">
        <f>Marketplace!T9</f>
        <v>3783907</v>
      </c>
      <c r="U66" s="19">
        <f>Marketplace!U9</f>
        <v>4877064</v>
      </c>
      <c r="V66" s="19">
        <f>Marketplace!V9</f>
        <v>3616007.9999999995</v>
      </c>
      <c r="W66" s="19">
        <f>Marketplace!W9</f>
        <v>3755697.9999999995</v>
      </c>
      <c r="X66" s="19">
        <f>Marketplace!X9</f>
        <v>4335519</v>
      </c>
      <c r="Y66" s="19">
        <f>Marketplace!Y9</f>
        <v>4040235</v>
      </c>
      <c r="Z66" s="19">
        <f>Marketplace!Z9</f>
        <v>3307233.9999999995</v>
      </c>
      <c r="AA66" s="19">
        <f>Marketplace!AA9</f>
        <v>59363</v>
      </c>
      <c r="AB66" s="19">
        <f>Marketplace!AB9</f>
        <v>1950608</v>
      </c>
      <c r="AC66" s="19">
        <f>Marketplace!AC9</f>
        <v>6069614</v>
      </c>
      <c r="AD66" s="19">
        <f>Marketplace!AD9</f>
        <v>9087524</v>
      </c>
      <c r="AE66" s="19">
        <f>Marketplace!AE9</f>
        <v>11916514</v>
      </c>
      <c r="AF66" s="19">
        <f>Marketplace!AF9</f>
        <v>12536009</v>
      </c>
      <c r="AG66" s="19">
        <f>Marketplace!AG9</f>
        <v>15317190</v>
      </c>
      <c r="AH66" s="19">
        <f>Marketplace!AH9</f>
        <v>12327006</v>
      </c>
      <c r="AI66" s="19">
        <f>Marketplace!AI9</f>
        <v>10669084</v>
      </c>
      <c r="AJ66" s="19">
        <f>Marketplace!AJ9</f>
        <v>13199808</v>
      </c>
      <c r="AK66" s="19">
        <f>Marketplace!AK9</f>
        <v>11541317.999999998</v>
      </c>
      <c r="AL66" s="19">
        <f>Marketplace!AL9</f>
        <v>13057529.999999998</v>
      </c>
      <c r="AM66" s="19">
        <f>Marketplace!AM9</f>
        <v>9616853.9999999981</v>
      </c>
      <c r="AN66" s="19">
        <f>Marketplace!AN9</f>
        <v>4333204</v>
      </c>
      <c r="AO66" s="19">
        <f>Marketplace!AO9</f>
        <v>13330682</v>
      </c>
      <c r="AP66" s="19">
        <f>Marketplace!AP9</f>
        <v>17246232</v>
      </c>
      <c r="AQ66" s="19">
        <f>Marketplace!AQ9</f>
        <v>19926977</v>
      </c>
      <c r="AR66" s="19">
        <f>Marketplace!AR9</f>
        <v>19284180.169491529</v>
      </c>
      <c r="AS66" s="19">
        <f>Marketplace!AS9</f>
        <v>27292370</v>
      </c>
      <c r="AT66" s="19">
        <f>Marketplace!AT9</f>
        <v>17680530</v>
      </c>
      <c r="AU66" s="19">
        <f>Marketplace!AU9</f>
        <v>19408871.186440676</v>
      </c>
      <c r="AV66" s="19">
        <f>Marketplace!AV9</f>
        <v>20923863</v>
      </c>
      <c r="AW66" s="19">
        <f>Marketplace!AW9</f>
        <v>19250761</v>
      </c>
      <c r="AX66" s="19">
        <f>Marketplace!AX9</f>
        <v>25031977</v>
      </c>
      <c r="AY66" s="19">
        <f>Marketplace!AY9</f>
        <v>22326047.999999996</v>
      </c>
      <c r="AZ66" s="19">
        <f>Marketplace!AZ9</f>
        <v>21235345.999999996</v>
      </c>
      <c r="BA66" s="19">
        <f>Marketplace!BA9</f>
        <v>23713180</v>
      </c>
      <c r="BB66" s="19">
        <f>Marketplace!BB9</f>
        <v>23317274.237288136</v>
      </c>
      <c r="BC66" s="19">
        <f>Marketplace!BC9</f>
        <v>24275030.254237287</v>
      </c>
      <c r="BD66" s="19">
        <f>Marketplace!BD9</f>
        <v>30323686.949152544</v>
      </c>
      <c r="BE66" s="19">
        <f>Marketplace!BE9</f>
        <v>31061274.237288136</v>
      </c>
      <c r="BF66" s="19">
        <f>Marketplace!BF9</f>
        <v>24824298.474576272</v>
      </c>
      <c r="BG66" s="19">
        <f>Marketplace!BG9</f>
        <v>28066739.576271184</v>
      </c>
      <c r="BH66" s="19">
        <f>Marketplace!BH9</f>
        <v>31812684.237288132</v>
      </c>
      <c r="BI66" s="19">
        <f>Marketplace!BI9</f>
        <v>29501009.999999996</v>
      </c>
      <c r="BJ66" s="19">
        <f>Marketplace!BJ9</f>
        <v>33334730.93220339</v>
      </c>
      <c r="BK66" s="19">
        <f>Marketplace!BK9</f>
        <v>36591958.644067794</v>
      </c>
      <c r="BL66" s="19">
        <f>Marketplace!BL9</f>
        <v>38294305.593220331</v>
      </c>
      <c r="BM66" s="19">
        <f>Marketplace!BM9</f>
        <v>38013910.677966103</v>
      </c>
      <c r="BN66" s="19">
        <f>Marketplace!BN9</f>
        <v>41510203.220338978</v>
      </c>
      <c r="BO66" s="19">
        <f>Marketplace!BO9</f>
        <v>42811940.423728809</v>
      </c>
      <c r="BP66" s="19">
        <f>Marketplace!BP9</f>
        <v>38101946.864406779</v>
      </c>
      <c r="BQ66" s="19">
        <f>Marketplace!BQ9</f>
        <v>56596933.898305088</v>
      </c>
      <c r="BR66" s="19">
        <f>Marketplace!BR9</f>
        <v>47137179.237288132</v>
      </c>
      <c r="BS66" s="19">
        <f>Marketplace!BS9</f>
        <v>43600103.559322037</v>
      </c>
      <c r="BT66" s="19">
        <f>Marketplace!BT9</f>
        <v>49552935.508474573</v>
      </c>
      <c r="BU66" s="19">
        <f>Marketplace!BU9</f>
        <v>43868549.322033897</v>
      </c>
      <c r="BV66" s="19">
        <f>Marketplace!BV9</f>
        <v>44896421.016949147</v>
      </c>
      <c r="BW66" s="19">
        <f>Marketplace!BW9</f>
        <v>42936295.93220339</v>
      </c>
      <c r="BX66" s="19">
        <f>Marketplace!BX9</f>
        <v>49690903.220338978</v>
      </c>
      <c r="BY66" s="19">
        <f>Marketplace!BY9</f>
        <v>45884842.62711864</v>
      </c>
      <c r="BZ66" s="19">
        <f>Marketplace!BZ9</f>
        <v>53967340.677966103</v>
      </c>
      <c r="CA66" s="19">
        <f>Marketplace!CA9</f>
        <v>50923403.305084743</v>
      </c>
      <c r="CB66" s="19">
        <f>Marketplace!CB9</f>
        <v>48445319.23728814</v>
      </c>
      <c r="CC66" s="19">
        <f>Marketplace!CC9</f>
        <v>68126414.406779662</v>
      </c>
      <c r="CD66" s="19">
        <f>Marketplace!CD9</f>
        <v>52362003.474576272</v>
      </c>
      <c r="CE66" s="19">
        <f>Marketplace!CE9</f>
        <v>53633983.983050846</v>
      </c>
      <c r="CF66" s="19">
        <f>Marketplace!CF9</f>
        <v>57834144.23728814</v>
      </c>
      <c r="CG66" s="19">
        <f>Marketplace!CG9</f>
        <v>57764148.3898305</v>
      </c>
      <c r="CH66" s="19">
        <f>Marketplace!CH9</f>
        <v>56563365.169491522</v>
      </c>
      <c r="CI66" s="19">
        <f>Marketplace!CI9</f>
        <v>57031594.576271184</v>
      </c>
      <c r="CJ66" s="19">
        <f>Marketplace!CJ9</f>
        <v>60307318.050847456</v>
      </c>
      <c r="CK66" s="19">
        <f>Marketplace!CK9</f>
        <v>59450009.576271184</v>
      </c>
      <c r="CL66" s="19">
        <f>Marketplace!CL9</f>
        <v>62832069.830508478</v>
      </c>
      <c r="CM66" s="19">
        <f>Marketplace!CM9</f>
        <v>58068269.406779662</v>
      </c>
      <c r="CN66" s="19">
        <f>Marketplace!CN9</f>
        <v>70107643.559322044</v>
      </c>
      <c r="CO66" s="19">
        <f>Marketplace!CO9</f>
        <v>88509661.864406779</v>
      </c>
      <c r="CP66" s="19">
        <f>Marketplace!CP9</f>
        <v>68483592.372881353</v>
      </c>
      <c r="CQ66" s="19">
        <f>Marketplace!CQ9</f>
        <v>71551959.745762706</v>
      </c>
      <c r="CR66" s="19">
        <f>Marketplace!CR9</f>
        <v>74731942.372881353</v>
      </c>
      <c r="CS66" s="19">
        <f>Marketplace!CS9</f>
        <v>65533002.118644066</v>
      </c>
      <c r="CT66" s="19">
        <f>Marketplace!CT9</f>
        <v>82934150</v>
      </c>
      <c r="CU66" s="19">
        <f>Marketplace!CU9</f>
        <v>73571537.314133629</v>
      </c>
      <c r="CV66" s="19">
        <f>Marketplace!CV9</f>
        <v>80165868.104559109</v>
      </c>
      <c r="CW66" s="19">
        <f>Marketplace!CW9</f>
        <v>79218025.256047174</v>
      </c>
      <c r="CX66" s="19">
        <f>Marketplace!CX9</f>
        <v>86611445.34807156</v>
      </c>
      <c r="CY66" s="19">
        <f>Marketplace!CY9</f>
        <v>80842020.590527415</v>
      </c>
      <c r="CZ66" s="19">
        <f>Marketplace!CZ9</f>
        <v>93912662.828373</v>
      </c>
      <c r="DA66" s="19">
        <f>Marketplace!DA9</f>
        <v>116088005.63182093</v>
      </c>
      <c r="DB66" s="19">
        <f>Marketplace!DB9</f>
        <v>85930375.389478028</v>
      </c>
      <c r="DC66" s="19">
        <f>Marketplace!DC9</f>
        <v>88782509.512107983</v>
      </c>
      <c r="DD66" s="19">
        <f>Marketplace!DD9</f>
        <v>93149225.203306958</v>
      </c>
      <c r="DE66" s="19">
        <f>Marketplace!DE9</f>
        <v>79867131.642576739</v>
      </c>
      <c r="DF66" s="19">
        <f>Marketplace!DF9</f>
        <v>97020505.527514607</v>
      </c>
      <c r="DG66" s="19">
        <f>Marketplace!DG9</f>
        <v>88285844.776960358</v>
      </c>
      <c r="DH66" s="19">
        <f>Marketplace!DH9</f>
        <v>96199041.72547093</v>
      </c>
      <c r="DI66" s="19">
        <f>Marketplace!DI9</f>
        <v>95061630.307256609</v>
      </c>
      <c r="DJ66" s="19">
        <f>Marketplace!DJ9</f>
        <v>103933734.41768587</v>
      </c>
      <c r="DK66" s="19">
        <f>Marketplace!DK9</f>
        <v>97010424.708632901</v>
      </c>
      <c r="DL66" s="19">
        <f>Marketplace!DL9</f>
        <v>112695195.3940476</v>
      </c>
      <c r="DM66" s="19">
        <f>Marketplace!DM9</f>
        <v>139305606.75818515</v>
      </c>
      <c r="DN66" s="19">
        <f>Marketplace!DN9</f>
        <v>103116450.46737362</v>
      </c>
      <c r="DO66" s="19">
        <f>Marketplace!DO9</f>
        <v>106539011.41452959</v>
      </c>
      <c r="DP66" s="19">
        <f>Marketplace!DP9</f>
        <v>111779070.24396835</v>
      </c>
      <c r="DQ66" s="19">
        <f>Marketplace!DQ9</f>
        <v>95840557.97109209</v>
      </c>
      <c r="DR66" s="19">
        <f>Marketplace!DR9</f>
        <v>116424606.63301753</v>
      </c>
      <c r="DS66" s="19">
        <f>Marketplace!DS9</f>
        <v>101528721.49350439</v>
      </c>
      <c r="DT66" s="19">
        <f>Marketplace!DT9</f>
        <v>110628897.98429155</v>
      </c>
      <c r="DU66" s="19">
        <f>Marketplace!DU9</f>
        <v>109320874.85334508</v>
      </c>
      <c r="DV66" s="19">
        <f>Marketplace!DV9</f>
        <v>119523794.58033875</v>
      </c>
      <c r="DW66" s="19">
        <f>Marketplace!DW9</f>
        <v>111561988.41492783</v>
      </c>
      <c r="DX66" s="19">
        <f>Marketplace!DX9</f>
        <v>129599474.70315473</v>
      </c>
      <c r="DY66" s="19">
        <f>Marketplace!DY9</f>
        <v>160201447.77191293</v>
      </c>
      <c r="DZ66" s="19">
        <f>Marketplace!DZ9</f>
        <v>118583918.03747967</v>
      </c>
      <c r="EA66" s="19">
        <f>Marketplace!EA9</f>
        <v>122519863.12670903</v>
      </c>
      <c r="EB66" s="19">
        <f>Marketplace!EB9</f>
        <v>128545930.78056359</v>
      </c>
      <c r="EC66" s="19">
        <f>Marketplace!EC9</f>
        <v>110216641.6667559</v>
      </c>
      <c r="ED66" s="19">
        <f>Marketplace!ED9</f>
        <v>133888297.62797017</v>
      </c>
      <c r="EE66" s="222"/>
      <c r="EF66" s="19">
        <f t="shared" si="173"/>
        <v>112900174.91525422</v>
      </c>
      <c r="EG66" s="19">
        <f t="shared" si="174"/>
        <v>122424090.50847457</v>
      </c>
      <c r="EH66" s="19">
        <f t="shared" si="175"/>
        <v>147334216.69491526</v>
      </c>
      <c r="EI66" s="19">
        <f t="shared" si="176"/>
        <v>138317905.84745762</v>
      </c>
      <c r="EJ66" s="19">
        <f t="shared" si="177"/>
        <v>138512041.779661</v>
      </c>
      <c r="EK66" s="19">
        <f t="shared" si="178"/>
        <v>153336063.220339</v>
      </c>
      <c r="EL66" s="19">
        <f t="shared" si="179"/>
        <v>174122401.86440679</v>
      </c>
      <c r="EM66" s="19">
        <f t="shared" si="180"/>
        <v>172161657.79661018</v>
      </c>
      <c r="EN66" s="19">
        <f t="shared" si="181"/>
        <v>176788922.20338982</v>
      </c>
      <c r="EO66" s="19">
        <f t="shared" si="182"/>
        <v>191007982.79661018</v>
      </c>
      <c r="EP66" s="19">
        <f t="shared" si="183"/>
        <v>228545213.98305082</v>
      </c>
      <c r="EQ66" s="19">
        <f t="shared" si="184"/>
        <v>223199094.49152541</v>
      </c>
      <c r="ER66" s="19">
        <f t="shared" si="185"/>
        <v>232955430.6747399</v>
      </c>
      <c r="ES66" s="19">
        <f t="shared" si="186"/>
        <v>261366128.76697201</v>
      </c>
      <c r="ET66" s="19">
        <f t="shared" si="187"/>
        <v>290800890.53340691</v>
      </c>
      <c r="EU66" s="19">
        <f t="shared" si="188"/>
        <v>270036862.3733983</v>
      </c>
      <c r="EV66" s="19">
        <f t="shared" si="189"/>
        <v>279546516.80968785</v>
      </c>
      <c r="EW66" s="19">
        <f t="shared" si="190"/>
        <v>313639354.52036637</v>
      </c>
      <c r="EX66" s="19">
        <f t="shared" si="191"/>
        <v>348961068.64008832</v>
      </c>
      <c r="EY66" s="19">
        <f t="shared" si="192"/>
        <v>324044234.84807795</v>
      </c>
      <c r="EZ66" s="19">
        <f t="shared" si="193"/>
        <v>321478494.33114105</v>
      </c>
      <c r="FA66" s="19">
        <f t="shared" si="194"/>
        <v>360685257.6984213</v>
      </c>
      <c r="FB66" s="19">
        <f t="shared" si="195"/>
        <v>401305228.93610162</v>
      </c>
      <c r="FC66" s="19">
        <f t="shared" si="196"/>
        <v>372650870.07528967</v>
      </c>
      <c r="FE66" s="19">
        <f t="shared" si="197"/>
        <v>520976387.96610165</v>
      </c>
      <c r="FF66" s="19">
        <f t="shared" si="198"/>
        <v>638132164.66101694</v>
      </c>
      <c r="FG66" s="19">
        <f t="shared" si="199"/>
        <v>819541213.47457623</v>
      </c>
      <c r="FH66" s="19">
        <f t="shared" si="200"/>
        <v>1055159312.3485172</v>
      </c>
      <c r="FI66" s="19">
        <f t="shared" si="201"/>
        <v>1266191174.8182206</v>
      </c>
      <c r="FJ66" s="770">
        <f t="shared" si="32"/>
        <v>1456119851.0409536</v>
      </c>
      <c r="FK66" s="545" t="s">
        <v>1</v>
      </c>
    </row>
    <row r="67" spans="2:167" x14ac:dyDescent="0.2">
      <c r="B67" s="225" t="s">
        <v>310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f>'D2C Online'!C62</f>
        <v>0</v>
      </c>
      <c r="M67" s="19">
        <f>'D2C Online'!D62</f>
        <v>0</v>
      </c>
      <c r="N67" s="19">
        <f>'D2C Online'!E62</f>
        <v>0</v>
      </c>
      <c r="O67" s="19">
        <f>'D2C Online'!F62</f>
        <v>0</v>
      </c>
      <c r="P67" s="19">
        <f>'D2C Online'!G62</f>
        <v>0</v>
      </c>
      <c r="Q67" s="19">
        <f>'D2C Online'!H62</f>
        <v>0</v>
      </c>
      <c r="R67" s="19">
        <f>'D2C Online'!I62</f>
        <v>0</v>
      </c>
      <c r="S67" s="19">
        <f>'D2C Online'!J62</f>
        <v>0</v>
      </c>
      <c r="T67" s="19">
        <f>'D2C Online'!K62</f>
        <v>0</v>
      </c>
      <c r="U67" s="19">
        <f>'D2C Online'!L62</f>
        <v>0</v>
      </c>
      <c r="V67" s="19">
        <f>'D2C Online'!M62</f>
        <v>0</v>
      </c>
      <c r="W67" s="19">
        <f>'D2C Online'!N62</f>
        <v>0</v>
      </c>
      <c r="X67" s="19">
        <f>'D2C Online'!O62</f>
        <v>0</v>
      </c>
      <c r="Y67" s="19">
        <f>'D2C Online'!P62</f>
        <v>0</v>
      </c>
      <c r="Z67" s="19">
        <f>'D2C Online'!Q62</f>
        <v>0</v>
      </c>
      <c r="AA67" s="19">
        <f>'D2C Online'!R62</f>
        <v>0</v>
      </c>
      <c r="AB67" s="19">
        <f>'D2C Online'!S62</f>
        <v>0</v>
      </c>
      <c r="AC67" s="19">
        <f>'D2C Online'!T62+'D2C - Retail'!C76+'D2C - Retail'!C77</f>
        <v>3267465.4597830502</v>
      </c>
      <c r="AD67" s="19">
        <f>'D2C Online'!U62+'D2C - Retail'!D76+'D2C - Retail'!D77</f>
        <v>3480890.9152542371</v>
      </c>
      <c r="AE67" s="19">
        <f>'D2C Online'!V62+'D2C - Retail'!E76+'D2C - Retail'!E77</f>
        <v>3672500.4322033897</v>
      </c>
      <c r="AF67" s="19">
        <f>'D2C Online'!W62+'D2C - Retail'!F76+'D2C - Retail'!F77</f>
        <v>3207902.3728813557</v>
      </c>
      <c r="AG67" s="19">
        <f>'D2C Online'!X62+'D2C - Retail'!G76+'D2C - Retail'!G77</f>
        <v>3007888.4237288139</v>
      </c>
      <c r="AH67" s="19">
        <f>'D2C Online'!Y62+'D2C - Retail'!H76+'D2C - Retail'!H77</f>
        <v>2926062.7118644072</v>
      </c>
      <c r="AI67" s="19">
        <f>'D2C Online'!Z62+'D2C - Retail'!I76+'D2C - Retail'!I77</f>
        <v>2972706.2796610165</v>
      </c>
      <c r="AJ67" s="19">
        <f>'D2C Online'!AA62+'D2C - Retail'!J76+'D2C - Retail'!J77</f>
        <v>3006964.9661016949</v>
      </c>
      <c r="AK67" s="19">
        <f>'D2C Online'!AB62+'D2C - Retail'!K76+'D2C - Retail'!K77</f>
        <v>3345642.4067796618</v>
      </c>
      <c r="AL67" s="19">
        <f>'D2C Online'!AC62+'D2C - Retail'!L76+'D2C - Retail'!L77</f>
        <v>3829437.2627118644</v>
      </c>
      <c r="AM67" s="19">
        <f>'D2C Online'!AD62+'D2C - Retail'!M76+'D2C - Retail'!M77</f>
        <v>2334536.5508474577</v>
      </c>
      <c r="AN67" s="19">
        <f>'D2C Online'!AE62+'D2C - Retail'!N76+'D2C - Retail'!N77</f>
        <v>6266.56</v>
      </c>
      <c r="AO67" s="19">
        <f>'D2C Online'!AF62+'D2C - Retail'!O76+'D2C - Retail'!O77</f>
        <v>3981458.435423729</v>
      </c>
      <c r="AP67" s="19">
        <f>'D2C Online'!AG62+'D2C - Retail'!P76+'D2C - Retail'!P77</f>
        <v>5673755.9854237288</v>
      </c>
      <c r="AQ67" s="19">
        <f>'D2C Online'!AH62+'D2C - Retail'!Q76+'D2C - Retail'!Q77</f>
        <v>6122076.9254237283</v>
      </c>
      <c r="AR67" s="19">
        <f>'D2C Online'!AI62+'D2C - Retail'!R76+'D2C - Retail'!R77</f>
        <v>7689353.0847457629</v>
      </c>
      <c r="AS67" s="19">
        <f>'D2C Online'!AJ62+'D2C - Retail'!S76+'D2C - Retail'!S77</f>
        <v>7354510.4576271186</v>
      </c>
      <c r="AT67" s="19">
        <f>'D2C Online'!AK62+'D2C - Retail'!T76+'D2C - Retail'!T77</f>
        <v>7893492.6779661076</v>
      </c>
      <c r="AU67" s="19">
        <f>'D2C Online'!AL62+'D2C - Retail'!U76+'D2C - Retail'!U77</f>
        <v>11286477.406779671</v>
      </c>
      <c r="AV67" s="19">
        <f>'D2C Online'!AM62+'D2C - Retail'!V76+'D2C - Retail'!V77</f>
        <v>11054950.635593222</v>
      </c>
      <c r="AW67" s="19">
        <f>'D2C Online'!AN62+'D2C - Retail'!W76+'D2C - Retail'!W77</f>
        <v>11023245.966101695</v>
      </c>
      <c r="AX67" s="19">
        <f>'D2C Online'!AO62+'D2C - Retail'!X76+'D2C - Retail'!X77</f>
        <v>11490998.559322033</v>
      </c>
      <c r="AY67" s="19">
        <f>'D2C Online'!AP62+'D2C - Retail'!Y76+'D2C - Retail'!Y77</f>
        <v>12239639.813559325</v>
      </c>
      <c r="AZ67" s="19">
        <f>'D2C Online'!AQ62+'D2C - Retail'!Z76+'D2C - Retail'!Z77</f>
        <v>13693785.745762713</v>
      </c>
      <c r="BA67" s="19">
        <f>'D2C Online'!AR62+'D2C - Retail'!AA76+'D2C - Retail'!AA77</f>
        <v>14521926.754237287</v>
      </c>
      <c r="BB67" s="19">
        <f>'D2C Online'!AS62+'D2C - Retail'!AB76+'D2C - Retail'!AB77</f>
        <v>16774564.559322029</v>
      </c>
      <c r="BC67" s="19">
        <f>'D2C Online'!AT62+'D2C - Retail'!AC76+'D2C - Retail'!AC77</f>
        <v>18155340.610169493</v>
      </c>
      <c r="BD67" s="19">
        <f>'D2C Online'!AU62+'D2C - Retail'!AD76+'D2C - Retail'!AD77</f>
        <v>17816035.177966099</v>
      </c>
      <c r="BE67" s="19">
        <f>'D2C Online'!AV62+'D2C - Retail'!AE76+'D2C - Retail'!AE77</f>
        <v>16954519.76271186</v>
      </c>
      <c r="BF67" s="19">
        <f>'D2C Online'!AW62+'D2C - Retail'!AF76+'D2C - Retail'!AF77</f>
        <v>16841393.43220339</v>
      </c>
      <c r="BG67" s="19">
        <f>'D2C Online'!AX62+'D2C - Retail'!AG76+'D2C - Retail'!AG77</f>
        <v>17129295.838983051</v>
      </c>
      <c r="BH67" s="19">
        <f>'D2C Online'!AY62+'D2C - Retail'!AH76+'D2C - Retail'!AH77</f>
        <v>18852399.245762713</v>
      </c>
      <c r="BI67" s="19">
        <f>'D2C Online'!AZ62+'D2C - Retail'!AI76+'D2C - Retail'!AI77</f>
        <v>18603119.423728816</v>
      </c>
      <c r="BJ67" s="19">
        <f>'D2C Online'!BA62+'D2C - Retail'!AJ76+'D2C - Retail'!AJ77</f>
        <v>19407163.06779661</v>
      </c>
      <c r="BK67" s="19">
        <f>'D2C Online'!BB62+'D2C - Retail'!AK76+'D2C - Retail'!AK77</f>
        <v>20173419.262288142</v>
      </c>
      <c r="BL67" s="19">
        <f>'D2C Online'!BC62+'D2C - Retail'!AL76+'D2C - Retail'!AL77</f>
        <v>21158038.983050846</v>
      </c>
      <c r="BM67" s="19">
        <f>'D2C Online'!BD62+'D2C - Retail'!AM76+'D2C - Retail'!AM77</f>
        <v>22432093.737288155</v>
      </c>
      <c r="BN67" s="19">
        <f>'D2C Online'!BE62+'D2C - Retail'!AN76+'D2C - Retail'!AN77</f>
        <v>23193908.305084743</v>
      </c>
      <c r="BO67" s="19">
        <f>'D2C Online'!BF62+'D2C - Retail'!AO76+'D2C - Retail'!AO77</f>
        <v>26482804.967796661</v>
      </c>
      <c r="BP67" s="19">
        <f>'D2C Online'!BG62+'D2C - Retail'!AP76+'D2C - Retail'!AP77</f>
        <v>23738043.246067796</v>
      </c>
      <c r="BQ67" s="19">
        <f>'D2C Online'!BH62+'D2C - Retail'!AQ76+'D2C - Retail'!AQ77</f>
        <v>27206316.035338968</v>
      </c>
      <c r="BR67" s="19">
        <f>'D2C Online'!BI62+'D2C - Retail'!AR76+'D2C - Retail'!AR77</f>
        <v>20314634.037237581</v>
      </c>
      <c r="BS67" s="19">
        <f>'D2C Online'!BJ62+'D2C - Retail'!AS76+'D2C - Retail'!AS77</f>
        <v>19172795.61945764</v>
      </c>
      <c r="BT67" s="19">
        <f>'D2C Online'!BK62+'D2C - Retail'!AT76+'D2C - Retail'!AT77</f>
        <v>18119200.771182798</v>
      </c>
      <c r="BU67" s="19">
        <f>'D2C Online'!BL62+'D2C - Retail'!AU76+'D2C - Retail'!AU77</f>
        <v>18913558.781487469</v>
      </c>
      <c r="BV67" s="19">
        <f>'D2C Online'!BM62+'D2C - Retail'!AV76+'D2C - Retail'!AV77</f>
        <v>21673376.262688082</v>
      </c>
      <c r="BW67" s="19">
        <f>'D2C Online'!BN62+'D2C - Retail'!AW76+'D2C - Retail'!AW77</f>
        <v>22941895.016925897</v>
      </c>
      <c r="BX67" s="19">
        <f>'D2C Online'!BO62+'D2C - Retail'!AX76+'D2C - Retail'!AX77</f>
        <v>24059360.271365002</v>
      </c>
      <c r="BY67" s="19">
        <f>'D2C Online'!BP62+'D2C - Retail'!AY76+'D2C - Retail'!AY77</f>
        <v>26456020.3432527</v>
      </c>
      <c r="BZ67" s="19">
        <f>'D2C Online'!BQ62+'D2C - Retail'!AZ76+'D2C - Retail'!AZ77</f>
        <v>27420736.228817064</v>
      </c>
      <c r="CA67" s="19">
        <f>'D2C Online'!BR62+'D2C - Retail'!BA76+'D2C - Retail'!BA77</f>
        <v>26862351.576271184</v>
      </c>
      <c r="CB67" s="19">
        <f>'D2C Online'!BS62+'D2C - Retail'!BB76+'D2C - Retail'!BB77</f>
        <v>24368917.717472598</v>
      </c>
      <c r="CC67" s="19">
        <f>'D2C Online'!BT62+'D2C - Retail'!BC76+'D2C - Retail'!BC77</f>
        <v>28637738.018294431</v>
      </c>
      <c r="CD67" s="19">
        <f>'D2C Online'!BU62+'D2C - Retail'!BD76+'D2C - Retail'!BD77</f>
        <v>24978314.084745768</v>
      </c>
      <c r="CE67" s="19">
        <f>'D2C Online'!BV62+'D2C - Retail'!BE76+'D2C - Retail'!BE77</f>
        <v>29298970.878125213</v>
      </c>
      <c r="CF67" s="19">
        <f>'D2C Online'!BW62+'D2C - Retail'!BF76+'D2C - Retail'!BF77</f>
        <v>28929718.491525337</v>
      </c>
      <c r="CG67" s="19">
        <f>'D2C - Retail'!BG76+'D2C - Retail'!BG77</f>
        <v>25672337.43220333</v>
      </c>
      <c r="CH67" s="19">
        <f>'D2C - Retail'!BH76+'D2C - Retail'!BH77</f>
        <v>32419282.364406779</v>
      </c>
      <c r="CI67" s="19">
        <f>'D2C - Retail'!BI76+'D2C - Retail'!BI77</f>
        <v>30049958.101694915</v>
      </c>
      <c r="CJ67" s="19">
        <f>'D2C - Retail'!BJ76+'D2C - Retail'!BJ77</f>
        <v>31398343.12711864</v>
      </c>
      <c r="CK67" s="19">
        <f>'D2C - Retail'!BK76+'D2C - Retail'!BK77</f>
        <v>28908301.81355923</v>
      </c>
      <c r="CL67" s="19">
        <f>'D2C - Retail'!BL76+'D2C - Retail'!BL77</f>
        <v>33392533.016949154</v>
      </c>
      <c r="CM67" s="19">
        <f>'D2C - Retail'!BM76+'D2C - Retail'!BM77</f>
        <v>35163087.144067794</v>
      </c>
      <c r="CN67" s="19">
        <f>'D2C - Retail'!BN76+'D2C - Retail'!BN77</f>
        <v>33247917.144067794</v>
      </c>
      <c r="CO67" s="19">
        <f>'D2C - Retail'!BO76+'D2C - Retail'!BO77</f>
        <v>38551945.050847456</v>
      </c>
      <c r="CP67" s="19">
        <f>'D2C - Retail'!BP76+'D2C - Retail'!BP77</f>
        <v>37365194.254237287</v>
      </c>
      <c r="CQ67" s="19">
        <f>'D2C - Retail'!BQ76+'D2C - Retail'!BQ77</f>
        <v>46118048.932203412</v>
      </c>
      <c r="CR67" s="19">
        <f>'D2C - Retail'!BR76+'D2C - Retail'!BR77</f>
        <v>43191644.559322044</v>
      </c>
      <c r="CS67" s="19">
        <f>'D2C - Retail'!BS76+'D2C - Retail'!BS77</f>
        <v>41982423.050847471</v>
      </c>
      <c r="CT67" s="19">
        <f>'D2C - Retail'!BT76+'D2C - Retail'!BT77</f>
        <v>63322865.779661044</v>
      </c>
      <c r="CU67" s="19">
        <f>'D2C - Retail'!BU76+'D2C - Retail'!BU77</f>
        <v>42808508.664300382</v>
      </c>
      <c r="CV67" s="19">
        <f>'D2C - Retail'!BV76+'D2C - Retail'!BV77</f>
        <v>43446227.338697255</v>
      </c>
      <c r="CW67" s="19">
        <f>'D2C - Retail'!BW76+'D2C - Retail'!BW77</f>
        <v>44125736.86186114</v>
      </c>
      <c r="CX67" s="19">
        <f>'D2C - Retail'!BX76+'D2C - Retail'!BX77</f>
        <v>43792187.290082298</v>
      </c>
      <c r="CY67" s="19">
        <f>'D2C - Retail'!BY76+'D2C - Retail'!BY77</f>
        <v>45529279.252735943</v>
      </c>
      <c r="CZ67" s="19">
        <f>'D2C - Retail'!BZ76+'D2C - Retail'!BZ77</f>
        <v>47054221.312776305</v>
      </c>
      <c r="DA67" s="19">
        <f>'D2C - Retail'!CA76+'D2C - Retail'!CA77</f>
        <v>45416375.379494905</v>
      </c>
      <c r="DB67" s="19">
        <f>'D2C - Retail'!CB76+'D2C - Retail'!CB77</f>
        <v>46903786.660390534</v>
      </c>
      <c r="DC67" s="19">
        <f>'D2C - Retail'!CC76+'D2C - Retail'!CC77</f>
        <v>45516385.242953345</v>
      </c>
      <c r="DD67" s="19">
        <f>'D2C - Retail'!CD76+'D2C - Retail'!CD77</f>
        <v>45674790.286954612</v>
      </c>
      <c r="DE67" s="19">
        <f>'D2C - Retail'!CE76+'D2C - Retail'!CE77</f>
        <v>47158228.801755756</v>
      </c>
      <c r="DF67" s="19">
        <f>'D2C - Retail'!CF76+'D2C - Retail'!CF77</f>
        <v>46254984.132109508</v>
      </c>
      <c r="DG67" s="19">
        <f>'D2C - Retail'!CG76+'D2C - Retail'!CG77</f>
        <v>47719648.678745121</v>
      </c>
      <c r="DH67" s="19">
        <f>'D2C - Retail'!CH76+'D2C - Retail'!CH77</f>
        <v>48592788.256196544</v>
      </c>
      <c r="DI67" s="19">
        <f>'D2C - Retail'!CI76+'D2C - Retail'!CI77</f>
        <v>49116221.970800743</v>
      </c>
      <c r="DJ67" s="19">
        <f>'D2C - Retail'!CJ76+'D2C - Retail'!CJ77</f>
        <v>48619153.3608426</v>
      </c>
      <c r="DK67" s="19">
        <f>'D2C - Retail'!CK76+'D2C - Retail'!CK77</f>
        <v>50616073.684637107</v>
      </c>
      <c r="DL67" s="19">
        <f>'D2C - Retail'!CL76+'D2C - Retail'!CL77</f>
        <v>52305429.929704085</v>
      </c>
      <c r="DM67" s="19">
        <f>'D2C - Retail'!CM76+'D2C - Retail'!CM77</f>
        <v>50042172.257788733</v>
      </c>
      <c r="DN67" s="19">
        <f>'D2C - Retail'!CN76+'D2C - Retail'!CN77</f>
        <v>51545079.928512938</v>
      </c>
      <c r="DO67" s="19">
        <f>'D2C - Retail'!CO76+'D2C - Retail'!CO77</f>
        <v>49611418.759588018</v>
      </c>
      <c r="DP67" s="19">
        <f>'D2C - Retail'!CP76+'D2C - Retail'!CP77</f>
        <v>49551832.92939952</v>
      </c>
      <c r="DQ67" s="19">
        <f>'D2C - Retail'!CQ76+'D2C - Retail'!CQ77</f>
        <v>51040472.725545958</v>
      </c>
      <c r="DR67" s="19">
        <f>'D2C - Retail'!CR76+'D2C - Retail'!CR77</f>
        <v>49304312.246163294</v>
      </c>
      <c r="DS67" s="19">
        <f>'D2C - Retail'!CS76+'D2C - Retail'!CS77</f>
        <v>51371121.892020196</v>
      </c>
      <c r="DT67" s="19">
        <f>'D2C - Retail'!CT76+'D2C - Retail'!CT77</f>
        <v>52287038.605148949</v>
      </c>
      <c r="DU67" s="19">
        <f>'D2C - Retail'!CU76+'D2C - Retail'!CU77</f>
        <v>52830298.426892683</v>
      </c>
      <c r="DV67" s="19">
        <f>'D2C - Retail'!CV76+'D2C - Retail'!CV77</f>
        <v>52208969.31362246</v>
      </c>
      <c r="DW67" s="19">
        <f>'D2C - Retail'!CW76+'D2C - Retail'!CW77</f>
        <v>54405533.85901387</v>
      </c>
      <c r="DX67" s="19">
        <f>'D2C - Retail'!CX76+'D2C - Retail'!CX77</f>
        <v>56221718.503081888</v>
      </c>
      <c r="DY67" s="19">
        <f>'D2C - Retail'!CY76+'D2C - Retail'!CY77</f>
        <v>53618048.754146509</v>
      </c>
      <c r="DZ67" s="19">
        <f>'D2C - Retail'!CZ76+'D2C - Retail'!CZ77</f>
        <v>55275540.30971469</v>
      </c>
      <c r="EA67" s="19">
        <f>'D2C - Retail'!DA76+'D2C - Retail'!DA77</f>
        <v>53049441.062257037</v>
      </c>
      <c r="EB67" s="19">
        <f>'D2C - Retail'!DB76+'D2C - Retail'!DB77</f>
        <v>52955814.758422434</v>
      </c>
      <c r="EC67" s="19">
        <f>'D2C - Retail'!DC76+'D2C - Retail'!DC77</f>
        <v>54596414.171754874</v>
      </c>
      <c r="ED67" s="19">
        <f>'D2C - Retail'!DD76+'D2C - Retail'!DD77</f>
        <v>52597630.951043814</v>
      </c>
      <c r="EE67" s="222"/>
      <c r="EF67" s="19">
        <f t="shared" si="173"/>
        <v>63763551.982627146</v>
      </c>
      <c r="EG67" s="19">
        <f t="shared" si="174"/>
        <v>73414756.518949196</v>
      </c>
      <c r="EH67" s="19">
        <f t="shared" si="175"/>
        <v>66693745.692034192</v>
      </c>
      <c r="EI67" s="19">
        <f t="shared" si="176"/>
        <v>58706135.815358356</v>
      </c>
      <c r="EJ67" s="19">
        <f t="shared" si="177"/>
        <v>73457275.631543607</v>
      </c>
      <c r="EK67" s="19">
        <f t="shared" si="178"/>
        <v>78652005.52256085</v>
      </c>
      <c r="EL67" s="19">
        <f t="shared" si="179"/>
        <v>82915022.981165409</v>
      </c>
      <c r="EM67" s="19">
        <f t="shared" si="180"/>
        <v>87021338.288135439</v>
      </c>
      <c r="EN67" s="19">
        <f t="shared" si="181"/>
        <v>90356603.042372793</v>
      </c>
      <c r="EO67" s="19">
        <f t="shared" si="182"/>
        <v>101803537.30508474</v>
      </c>
      <c r="EP67" s="19">
        <f t="shared" si="183"/>
        <v>122035188.23728815</v>
      </c>
      <c r="EQ67" s="19">
        <f t="shared" si="184"/>
        <v>148496933.38983056</v>
      </c>
      <c r="ER67" s="19">
        <f t="shared" si="185"/>
        <v>130380472.86485878</v>
      </c>
      <c r="ES67" s="19">
        <f t="shared" si="186"/>
        <v>136375687.85559455</v>
      </c>
      <c r="ET67" s="19">
        <f t="shared" si="187"/>
        <v>137836547.28283876</v>
      </c>
      <c r="EU67" s="19">
        <f t="shared" si="188"/>
        <v>139088003.22081989</v>
      </c>
      <c r="EV67" s="19">
        <f t="shared" si="189"/>
        <v>145428658.90574241</v>
      </c>
      <c r="EW67" s="19">
        <f t="shared" si="190"/>
        <v>151540656.97518378</v>
      </c>
      <c r="EX67" s="19">
        <f t="shared" si="191"/>
        <v>151198670.94588971</v>
      </c>
      <c r="EY67" s="19">
        <f t="shared" si="192"/>
        <v>149896617.90110877</v>
      </c>
      <c r="EZ67" s="19">
        <f t="shared" si="193"/>
        <v>156488458.92406183</v>
      </c>
      <c r="FA67" s="19">
        <f t="shared" si="194"/>
        <v>162836221.67571822</v>
      </c>
      <c r="FB67" s="19">
        <f t="shared" si="195"/>
        <v>161943030.12611824</v>
      </c>
      <c r="FC67" s="19">
        <f t="shared" si="196"/>
        <v>160149859.88122112</v>
      </c>
      <c r="FE67" s="19">
        <f t="shared" si="197"/>
        <v>262578190.00896889</v>
      </c>
      <c r="FF67" s="19">
        <f t="shared" si="198"/>
        <v>322045642.42340529</v>
      </c>
      <c r="FG67" s="19">
        <f t="shared" si="199"/>
        <v>462692261.97457623</v>
      </c>
      <c r="FH67" s="19">
        <f t="shared" si="200"/>
        <v>543680711.22411203</v>
      </c>
      <c r="FI67" s="19">
        <f t="shared" si="201"/>
        <v>598064604.7279247</v>
      </c>
      <c r="FJ67" s="770">
        <f t="shared" si="32"/>
        <v>641417570.60711944</v>
      </c>
      <c r="FK67" s="545" t="s">
        <v>1</v>
      </c>
    </row>
    <row r="68" spans="2:167" x14ac:dyDescent="0.2">
      <c r="B68" s="225" t="s">
        <v>311</v>
      </c>
      <c r="C68" s="19">
        <f>'P&amp;L - Inputs'!B748</f>
        <v>0</v>
      </c>
      <c r="D68" s="19">
        <f>'P&amp;L - Inputs'!C748</f>
        <v>0</v>
      </c>
      <c r="E68" s="19">
        <f>'P&amp;L - Inputs'!D748</f>
        <v>0</v>
      </c>
      <c r="F68" s="19">
        <f>'P&amp;L - Inputs'!E748</f>
        <v>0</v>
      </c>
      <c r="G68" s="19">
        <f>'P&amp;L - Inputs'!F748</f>
        <v>0</v>
      </c>
      <c r="H68" s="19">
        <f>'P&amp;L - Inputs'!G748</f>
        <v>0</v>
      </c>
      <c r="I68" s="19">
        <f>'P&amp;L - Inputs'!H748</f>
        <v>0</v>
      </c>
      <c r="J68" s="19">
        <f>'P&amp;L - Inputs'!I748</f>
        <v>0</v>
      </c>
      <c r="K68" s="19">
        <f>'P&amp;L - Inputs'!J748</f>
        <v>0</v>
      </c>
      <c r="L68" s="19">
        <f>'P&amp;L - Inputs'!K748</f>
        <v>0</v>
      </c>
      <c r="M68" s="19">
        <f>'P&amp;L - Inputs'!L748</f>
        <v>0</v>
      </c>
      <c r="N68" s="19">
        <f>'P&amp;L - Inputs'!M748</f>
        <v>0</v>
      </c>
      <c r="O68" s="19">
        <f>'P&amp;L - Inputs'!N748</f>
        <v>0</v>
      </c>
      <c r="P68" s="19">
        <f>'P&amp;L - Inputs'!O748</f>
        <v>0</v>
      </c>
      <c r="Q68" s="19">
        <f>'P&amp;L - Inputs'!P748</f>
        <v>0</v>
      </c>
      <c r="R68" s="19">
        <f>'P&amp;L - Inputs'!Q748</f>
        <v>0</v>
      </c>
      <c r="S68" s="19">
        <f>'P&amp;L - Inputs'!R748</f>
        <v>0</v>
      </c>
      <c r="T68" s="19">
        <f>'P&amp;L - Inputs'!S748</f>
        <v>0</v>
      </c>
      <c r="U68" s="19">
        <f>'P&amp;L - Inputs'!T748</f>
        <v>0</v>
      </c>
      <c r="V68" s="19">
        <f>'P&amp;L - Inputs'!U748</f>
        <v>0</v>
      </c>
      <c r="W68" s="19">
        <f>'P&amp;L - Inputs'!V748</f>
        <v>0</v>
      </c>
      <c r="X68" s="19">
        <f>'P&amp;L - Inputs'!W748</f>
        <v>0</v>
      </c>
      <c r="Y68" s="19">
        <f>'P&amp;L - Inputs'!X748</f>
        <v>0</v>
      </c>
      <c r="Z68" s="19">
        <f>'P&amp;L - Inputs'!Y748</f>
        <v>0</v>
      </c>
      <c r="AA68" s="19">
        <f>'P&amp;L - Inputs'!Z748</f>
        <v>0</v>
      </c>
      <c r="AB68" s="19">
        <f>'P&amp;L - Inputs'!AA748</f>
        <v>0</v>
      </c>
      <c r="AC68" s="19">
        <f>'P&amp;L - Inputs'!AB748</f>
        <v>0</v>
      </c>
      <c r="AD68" s="19">
        <f>'P&amp;L - Inputs'!AC748</f>
        <v>861394</v>
      </c>
      <c r="AE68" s="19">
        <f>'P&amp;L - Inputs'!AD748</f>
        <v>1089200</v>
      </c>
      <c r="AF68" s="19">
        <f>'P&amp;L - Inputs'!AE748</f>
        <v>1517914</v>
      </c>
      <c r="AG68" s="19">
        <f>'P&amp;L - Inputs'!AF748</f>
        <v>1788042</v>
      </c>
      <c r="AH68" s="19">
        <f>'P&amp;L - Inputs'!AG748</f>
        <v>1108386</v>
      </c>
      <c r="AI68" s="19">
        <f>'P&amp;L - Inputs'!AH748</f>
        <v>2822994</v>
      </c>
      <c r="AJ68" s="19">
        <f>'P&amp;L - Inputs'!AI748</f>
        <v>1089186</v>
      </c>
      <c r="AK68" s="19">
        <f>'P&amp;L - Inputs'!AJ748</f>
        <v>741502</v>
      </c>
      <c r="AL68" s="19">
        <f>'P&amp;L - Inputs'!AK748</f>
        <v>796610</v>
      </c>
      <c r="AM68" s="19">
        <f>'P&amp;L - Inputs'!AL748</f>
        <v>728000</v>
      </c>
      <c r="AN68" s="19">
        <f>'P&amp;L - Inputs'!AM748</f>
        <v>947771</v>
      </c>
      <c r="AO68" s="19">
        <f>'P&amp;L - Inputs'!AN748</f>
        <v>1120000</v>
      </c>
      <c r="AP68" s="19">
        <f>'P&amp;L - Inputs'!AO748</f>
        <v>1912349</v>
      </c>
      <c r="AQ68" s="19">
        <f>'P&amp;L - Inputs'!AP748</f>
        <v>1736000</v>
      </c>
      <c r="AR68" s="19">
        <f>'P&amp;L - Inputs'!AQ748</f>
        <v>4886000</v>
      </c>
      <c r="AS68" s="19">
        <f>'P&amp;L - Inputs'!AR748</f>
        <v>3438950</v>
      </c>
      <c r="AT68" s="19">
        <f>'P&amp;L - Inputs'!AS748</f>
        <v>2417111.88</v>
      </c>
      <c r="AU68" s="19">
        <f>'P&amp;L - Inputs'!AT748</f>
        <v>1118904.8400000001</v>
      </c>
      <c r="AV68" s="19">
        <f>'P&amp;L - Inputs'!AU748</f>
        <v>2796720.24</v>
      </c>
      <c r="AW68" s="19">
        <f>'P&amp;L - Inputs'!AV748</f>
        <v>1365637.6800000002</v>
      </c>
      <c r="AX68" s="19">
        <f>'P&amp;L - Inputs'!AW748</f>
        <v>1711884.8</v>
      </c>
      <c r="AY68" s="19">
        <f>'P&amp;L - Inputs'!AX748</f>
        <v>1465959.0800000003</v>
      </c>
      <c r="AZ68" s="19">
        <f>'P&amp;L - Inputs'!AY748</f>
        <v>1545661.8</v>
      </c>
      <c r="BA68" s="19">
        <f>'P&amp;L - Inputs'!AZ748</f>
        <v>2116233.12</v>
      </c>
      <c r="BB68" s="19">
        <f>'P&amp;L - Inputs'!BA748</f>
        <v>1695776.04</v>
      </c>
      <c r="BC68" s="19">
        <f>'P&amp;L - Inputs'!BB748</f>
        <v>1695776.04</v>
      </c>
      <c r="BD68" s="19">
        <f>'P&amp;L - Inputs'!BC748</f>
        <v>2648073.4</v>
      </c>
      <c r="BE68" s="19">
        <f>'P&amp;L - Inputs'!BD748</f>
        <v>2159741.2400000002</v>
      </c>
      <c r="BF68" s="19">
        <f>'P&amp;L - Inputs'!BE748</f>
        <v>619886.88000000012</v>
      </c>
      <c r="BG68" s="19">
        <f>'P&amp;L - Inputs'!BF748</f>
        <v>1067741.3599999999</v>
      </c>
      <c r="BH68" s="19">
        <f>'P&amp;L - Inputs'!BG748</f>
        <v>1356292.8800000001</v>
      </c>
      <c r="BI68" s="19">
        <f>'P&amp;L - Inputs'!BH748</f>
        <v>1140472.52</v>
      </c>
      <c r="BJ68" s="19">
        <f>'P&amp;L - Inputs'!BI748</f>
        <v>1354904.12</v>
      </c>
      <c r="BK68" s="19">
        <f>'P&amp;L - Inputs'!BJ748</f>
        <v>1265273.3599999999</v>
      </c>
      <c r="BL68" s="19">
        <f>'P&amp;L - Inputs'!BK748</f>
        <v>1367778.3599999999</v>
      </c>
      <c r="BM68" s="19">
        <f>'P&amp;L - Inputs'!BL748</f>
        <v>838654.56</v>
      </c>
      <c r="BN68" s="19">
        <f>'P&amp;L - Inputs'!BM748</f>
        <v>1130825.1600000001</v>
      </c>
      <c r="BO68" s="19">
        <f>'P&amp;L - Inputs'!BN748</f>
        <v>1495770.12</v>
      </c>
      <c r="BP68" s="19">
        <f>'P&amp;L - Inputs'!BO748</f>
        <v>1124459.6400000001</v>
      </c>
      <c r="BQ68" s="19">
        <f>'P&amp;L - Inputs'!BP748</f>
        <v>2453795.2800000003</v>
      </c>
      <c r="BR68" s="19">
        <f>'P&amp;L - Inputs'!BQ748</f>
        <v>951766.92</v>
      </c>
      <c r="BS68" s="19">
        <f>'P&amp;L - Inputs'!BR748</f>
        <v>1116000</v>
      </c>
      <c r="BT68" s="19">
        <f>'P&amp;L - Inputs'!BS748</f>
        <v>1251640.8</v>
      </c>
      <c r="BU68" s="19">
        <f>'P&amp;L - Inputs'!BT748</f>
        <v>913328.28</v>
      </c>
      <c r="BV68" s="19">
        <f>'P&amp;L - Inputs'!BU748</f>
        <v>1033255.4400000001</v>
      </c>
      <c r="BW68" s="19">
        <f>'P&amp;L - Inputs'!BV748</f>
        <v>1014968.52</v>
      </c>
      <c r="BX68" s="19">
        <f>'P&amp;L - Inputs'!BW748</f>
        <v>1008000</v>
      </c>
      <c r="BY68" s="19">
        <f>'P&amp;L - Inputs'!BX748</f>
        <v>1290740.7600000002</v>
      </c>
      <c r="BZ68" s="19">
        <f>'P&amp;L - Inputs'!BY748</f>
        <v>1435241.52</v>
      </c>
      <c r="CA68" s="19">
        <f>'P&amp;L - Inputs'!BZ748</f>
        <v>2384040.4000000004</v>
      </c>
      <c r="CB68" s="19">
        <f>'P&amp;L - Inputs'!CA748</f>
        <v>4306256.3661016952</v>
      </c>
      <c r="CC68" s="19">
        <f>'P&amp;L - Inputs'!CB748</f>
        <v>3079062.1999999997</v>
      </c>
      <c r="CD68" s="19">
        <f>'P&amp;L - Inputs'!CC748</f>
        <v>3752510.1</v>
      </c>
      <c r="CE68" s="19">
        <f>'P&amp;L - Inputs'!CD748</f>
        <v>2784235.6</v>
      </c>
      <c r="CF68" s="19">
        <f>'P&amp;L - Inputs'!CE748</f>
        <v>2110723.1</v>
      </c>
      <c r="CG68" s="19">
        <f>'P&amp;L - Inputs'!CF748</f>
        <v>1653456.9</v>
      </c>
      <c r="CH68" s="19">
        <f>'P&amp;L - Inputs'!CG748</f>
        <v>2545252</v>
      </c>
      <c r="CI68" s="19">
        <f>'P&amp;L - Inputs'!CH748</f>
        <v>1740065.9</v>
      </c>
      <c r="CJ68" s="19">
        <f>'P&amp;L - Inputs'!CI748</f>
        <v>1276873.3</v>
      </c>
      <c r="CK68" s="19">
        <f>'P&amp;L - Inputs'!CJ748</f>
        <v>2510620.96</v>
      </c>
      <c r="CL68" s="19">
        <f>'P&amp;L - Inputs'!CK748</f>
        <v>3651176.2</v>
      </c>
      <c r="CM68" s="19">
        <f>'P&amp;L - Inputs'!CL748</f>
        <v>3500349.9</v>
      </c>
      <c r="CN68" s="19">
        <f>'P&amp;L - Inputs'!CM748</f>
        <v>4380195.01</v>
      </c>
      <c r="CO68" s="19">
        <f>'P&amp;L - Inputs'!CN748</f>
        <v>3542880.0300000003</v>
      </c>
      <c r="CP68" s="19">
        <f>'P&amp;L - Inputs'!CO748</f>
        <v>3118732.6799999997</v>
      </c>
      <c r="CQ68" s="19">
        <f>'P&amp;L - Inputs'!CP748</f>
        <v>3178051.15</v>
      </c>
      <c r="CR68" s="19">
        <f>'P&amp;L - Inputs'!CQ748</f>
        <v>1981348.6</v>
      </c>
      <c r="CS68" s="19">
        <f>'P&amp;L - Inputs'!CR748</f>
        <v>3930581.29</v>
      </c>
      <c r="CT68" s="19">
        <f>'P&amp;L - Inputs'!CS748</f>
        <v>6187310.0099999998</v>
      </c>
      <c r="CU68" s="19">
        <f>'P&amp;L - Inputs'!CT748</f>
        <v>1740065.9</v>
      </c>
      <c r="CV68" s="19">
        <f>'P&amp;L - Inputs'!CU748</f>
        <v>1276873.3</v>
      </c>
      <c r="CW68" s="19">
        <f>'P&amp;L - Inputs'!CV748</f>
        <v>2510620.96</v>
      </c>
      <c r="CX68" s="19">
        <f>'P&amp;L - Inputs'!CW748</f>
        <v>3651176.2</v>
      </c>
      <c r="CY68" s="19">
        <f>'P&amp;L - Inputs'!CX748</f>
        <v>3500349.9</v>
      </c>
      <c r="CZ68" s="19">
        <f>'P&amp;L - Inputs'!CY748</f>
        <v>4380195.0100000007</v>
      </c>
      <c r="DA68" s="19">
        <f>'P&amp;L - Inputs'!CZ748</f>
        <v>3542880.0300000003</v>
      </c>
      <c r="DB68" s="19">
        <f>'P&amp;L - Inputs'!DA748</f>
        <v>3118732.6799999997</v>
      </c>
      <c r="DC68" s="19">
        <f>'P&amp;L - Inputs'!DB748</f>
        <v>3178051.15</v>
      </c>
      <c r="DD68" s="19">
        <f>'P&amp;L - Inputs'!DC748</f>
        <v>1981348.6000000003</v>
      </c>
      <c r="DE68" s="19">
        <f>'P&amp;L - Inputs'!DD748</f>
        <v>3930581.29</v>
      </c>
      <c r="DF68" s="19">
        <f>'P&amp;L - Inputs'!DE748</f>
        <v>6187310.0099999998</v>
      </c>
      <c r="DG68" s="19">
        <f>'P&amp;L - Inputs'!DF748</f>
        <v>1740065.9</v>
      </c>
      <c r="DH68" s="19">
        <f>'P&amp;L - Inputs'!DG748</f>
        <v>1276873.3</v>
      </c>
      <c r="DI68" s="19">
        <f>'P&amp;L - Inputs'!DH748</f>
        <v>2510620.96</v>
      </c>
      <c r="DJ68" s="19">
        <f>'P&amp;L - Inputs'!DI748</f>
        <v>3651176.2</v>
      </c>
      <c r="DK68" s="19">
        <f>'P&amp;L - Inputs'!DJ748</f>
        <v>3500349.9</v>
      </c>
      <c r="DL68" s="19">
        <f>'P&amp;L - Inputs'!DK748</f>
        <v>4380195.0100000007</v>
      </c>
      <c r="DM68" s="19">
        <f>'P&amp;L - Inputs'!DL748</f>
        <v>3542880.0300000003</v>
      </c>
      <c r="DN68" s="19">
        <f>'P&amp;L - Inputs'!DM748</f>
        <v>3118732.6799999997</v>
      </c>
      <c r="DO68" s="19">
        <f>'P&amp;L - Inputs'!DN748</f>
        <v>3178051.15</v>
      </c>
      <c r="DP68" s="19">
        <f>'P&amp;L - Inputs'!DO748</f>
        <v>1981348.6000000003</v>
      </c>
      <c r="DQ68" s="19">
        <f>'P&amp;L - Inputs'!DP748</f>
        <v>3930581.29</v>
      </c>
      <c r="DR68" s="19">
        <f>'P&amp;L - Inputs'!DQ748</f>
        <v>6187310.0099999998</v>
      </c>
      <c r="DS68" s="19">
        <f>'P&amp;L - Inputs'!DR748</f>
        <v>1740065.9</v>
      </c>
      <c r="DT68" s="19">
        <f>'P&amp;L - Inputs'!DS748</f>
        <v>1276873.3</v>
      </c>
      <c r="DU68" s="19">
        <f>'P&amp;L - Inputs'!DT748</f>
        <v>2510620.96</v>
      </c>
      <c r="DV68" s="19">
        <f>'P&amp;L - Inputs'!DU748</f>
        <v>3651176.2</v>
      </c>
      <c r="DW68" s="19">
        <f>'P&amp;L - Inputs'!DV748</f>
        <v>3500349.9</v>
      </c>
      <c r="DX68" s="19">
        <f>'P&amp;L - Inputs'!DW748</f>
        <v>4380195.0100000007</v>
      </c>
      <c r="DY68" s="19">
        <f>'P&amp;L - Inputs'!DX748</f>
        <v>3542880.0300000003</v>
      </c>
      <c r="DZ68" s="19">
        <f>'P&amp;L - Inputs'!DY748</f>
        <v>3118732.6799999997</v>
      </c>
      <c r="EA68" s="19">
        <f>'P&amp;L - Inputs'!DZ748</f>
        <v>3178051.15</v>
      </c>
      <c r="EB68" s="19">
        <f>'P&amp;L - Inputs'!EA748</f>
        <v>1981348.6000000003</v>
      </c>
      <c r="EC68" s="19">
        <f>'P&amp;L - Inputs'!EB748</f>
        <v>3930581.29</v>
      </c>
      <c r="ED68" s="19">
        <f>'P&amp;L - Inputs'!EC748</f>
        <v>6187310.0099999998</v>
      </c>
      <c r="EE68" s="222"/>
      <c r="EF68" s="19">
        <f t="shared" si="173"/>
        <v>3471706.28</v>
      </c>
      <c r="EG68" s="19">
        <f t="shared" si="174"/>
        <v>3751054.9200000004</v>
      </c>
      <c r="EH68" s="19">
        <f t="shared" si="175"/>
        <v>4521562.2</v>
      </c>
      <c r="EI68" s="19">
        <f t="shared" si="176"/>
        <v>3198224.52</v>
      </c>
      <c r="EJ68" s="19">
        <f t="shared" si="177"/>
        <v>3313709.2800000003</v>
      </c>
      <c r="EK68" s="19">
        <f t="shared" si="178"/>
        <v>8125538.2861016952</v>
      </c>
      <c r="EL68" s="19">
        <f t="shared" si="179"/>
        <v>9615807.9000000004</v>
      </c>
      <c r="EM68" s="19">
        <f t="shared" si="180"/>
        <v>6309432</v>
      </c>
      <c r="EN68" s="19">
        <f t="shared" si="181"/>
        <v>5527560.1600000001</v>
      </c>
      <c r="EO68" s="19">
        <f t="shared" si="182"/>
        <v>11531721.109999999</v>
      </c>
      <c r="EP68" s="19">
        <f t="shared" si="183"/>
        <v>9839663.8599999994</v>
      </c>
      <c r="EQ68" s="19">
        <f t="shared" si="184"/>
        <v>12099239.9</v>
      </c>
      <c r="ER68" s="19">
        <f t="shared" si="185"/>
        <v>5527560.1600000001</v>
      </c>
      <c r="ES68" s="19">
        <f t="shared" si="186"/>
        <v>11531721.109999999</v>
      </c>
      <c r="ET68" s="19">
        <f t="shared" si="187"/>
        <v>9839663.8599999994</v>
      </c>
      <c r="EU68" s="19">
        <f t="shared" si="188"/>
        <v>12099239.9</v>
      </c>
      <c r="EV68" s="19">
        <f t="shared" si="189"/>
        <v>5527560.1600000001</v>
      </c>
      <c r="EW68" s="19">
        <f t="shared" si="190"/>
        <v>11531721.109999999</v>
      </c>
      <c r="EX68" s="19">
        <f t="shared" si="191"/>
        <v>9839663.8599999994</v>
      </c>
      <c r="EY68" s="19">
        <f t="shared" si="192"/>
        <v>12099239.9</v>
      </c>
      <c r="EZ68" s="19">
        <f t="shared" si="193"/>
        <v>5527560.1600000001</v>
      </c>
      <c r="FA68" s="19">
        <f t="shared" si="194"/>
        <v>11531721.109999999</v>
      </c>
      <c r="FB68" s="19">
        <f t="shared" si="195"/>
        <v>9839663.8599999994</v>
      </c>
      <c r="FC68" s="19">
        <f t="shared" si="196"/>
        <v>12099239.9</v>
      </c>
      <c r="FE68" s="19">
        <f t="shared" ref="FE68" si="202">SUM(EF68:EI68)</f>
        <v>14942547.92</v>
      </c>
      <c r="FF68" s="19">
        <f t="shared" ref="FF68" si="203">SUM(EJ68:EM68)</f>
        <v>27364487.466101699</v>
      </c>
      <c r="FG68" s="19">
        <f t="shared" ref="FG68" si="204">SUM(EN68:EQ68)</f>
        <v>38998185.030000001</v>
      </c>
      <c r="FH68" s="19">
        <f t="shared" ref="FH68" si="205">SUM(ER68:EU68)</f>
        <v>38998185.030000001</v>
      </c>
      <c r="FI68" s="19">
        <f t="shared" ref="FI68" si="206">SUM(EV68:EY68)</f>
        <v>38998185.030000001</v>
      </c>
      <c r="FJ68" s="770">
        <f t="shared" ref="FJ68:FJ131" si="207">SUM(EZ68:FC68)</f>
        <v>38998185.030000001</v>
      </c>
      <c r="FK68" s="545" t="s">
        <v>1</v>
      </c>
    </row>
    <row r="69" spans="2:167" x14ac:dyDescent="0.2">
      <c r="B69" s="225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222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E69" s="19"/>
      <c r="FF69" s="19"/>
      <c r="FG69" s="19"/>
      <c r="FH69" s="19"/>
      <c r="FI69" s="19"/>
      <c r="FJ69" s="770"/>
      <c r="FK69" s="545"/>
    </row>
    <row r="70" spans="2:167" x14ac:dyDescent="0.2">
      <c r="B70" s="228" t="s">
        <v>15</v>
      </c>
      <c r="C70" s="19"/>
      <c r="D70" s="20">
        <f>D63/C63-1</f>
        <v>-4.1101374381573907E-2</v>
      </c>
      <c r="E70" s="20">
        <f t="shared" ref="E70:BP70" si="208">E63/D63-1</f>
        <v>9.524604911032597E-2</v>
      </c>
      <c r="F70" s="20">
        <f t="shared" si="208"/>
        <v>0.17006351612364345</v>
      </c>
      <c r="G70" s="20">
        <f t="shared" si="208"/>
        <v>0.13230206689599644</v>
      </c>
      <c r="H70" s="20">
        <f t="shared" si="208"/>
        <v>2.9623135153215019E-2</v>
      </c>
      <c r="I70" s="20">
        <f t="shared" si="208"/>
        <v>8.0647582692518816E-2</v>
      </c>
      <c r="J70" s="20">
        <f t="shared" si="208"/>
        <v>-5.2153335232406173E-2</v>
      </c>
      <c r="K70" s="20">
        <f t="shared" si="208"/>
        <v>0.26274324425553863</v>
      </c>
      <c r="L70" s="20">
        <f t="shared" si="208"/>
        <v>-1.8469777958187938E-2</v>
      </c>
      <c r="M70" s="20">
        <f t="shared" si="208"/>
        <v>4.61360831453137E-2</v>
      </c>
      <c r="N70" s="20">
        <f t="shared" si="208"/>
        <v>-6.7549929886957072E-2</v>
      </c>
      <c r="O70" s="20">
        <f t="shared" si="208"/>
        <v>0.28999408888597422</v>
      </c>
      <c r="P70" s="20">
        <f t="shared" si="208"/>
        <v>4.9782215567419907E-3</v>
      </c>
      <c r="Q70" s="20">
        <f t="shared" si="208"/>
        <v>4.3929217012336208E-2</v>
      </c>
      <c r="R70" s="20">
        <f t="shared" si="208"/>
        <v>6.5371983442028103E-2</v>
      </c>
      <c r="S70" s="20">
        <f t="shared" si="208"/>
        <v>-0.20390312037923186</v>
      </c>
      <c r="T70" s="20">
        <f t="shared" si="208"/>
        <v>-6.9323226229657919E-2</v>
      </c>
      <c r="U70" s="20">
        <f t="shared" si="208"/>
        <v>-0.14383287317649496</v>
      </c>
      <c r="V70" s="20">
        <f t="shared" si="208"/>
        <v>7.4614961761650722E-2</v>
      </c>
      <c r="W70" s="20">
        <f t="shared" si="208"/>
        <v>0.18601193146719774</v>
      </c>
      <c r="X70" s="20">
        <f t="shared" si="208"/>
        <v>3.551421291309742E-2</v>
      </c>
      <c r="Y70" s="20">
        <f t="shared" si="208"/>
        <v>7.8954003620681723E-2</v>
      </c>
      <c r="Z70" s="20">
        <f t="shared" si="208"/>
        <v>-0.34309300339879323</v>
      </c>
      <c r="AA70" s="20">
        <f t="shared" si="208"/>
        <v>-1.0144127789905844</v>
      </c>
      <c r="AB70" s="20">
        <f t="shared" si="208"/>
        <v>-57.2635042929656</v>
      </c>
      <c r="AC70" s="20">
        <f t="shared" si="208"/>
        <v>7.0256766109242141E-2</v>
      </c>
      <c r="AD70" s="20">
        <f t="shared" si="208"/>
        <v>-0.1275750087029196</v>
      </c>
      <c r="AE70" s="20">
        <f t="shared" si="208"/>
        <v>0.54382547433260187</v>
      </c>
      <c r="AF70" s="20">
        <f t="shared" si="208"/>
        <v>4.9608752638617304E-2</v>
      </c>
      <c r="AG70" s="20">
        <f t="shared" si="208"/>
        <v>-3.4694714704297969E-2</v>
      </c>
      <c r="AH70" s="20">
        <f t="shared" si="208"/>
        <v>0.15330752652544355</v>
      </c>
      <c r="AI70" s="20">
        <f t="shared" si="208"/>
        <v>0.60556032486826572</v>
      </c>
      <c r="AJ70" s="20">
        <f t="shared" si="208"/>
        <v>-7.1863450103629822E-2</v>
      </c>
      <c r="AK70" s="20">
        <f t="shared" si="208"/>
        <v>0.12436464144664505</v>
      </c>
      <c r="AL70" s="20">
        <f t="shared" si="208"/>
        <v>-0.11928424792675074</v>
      </c>
      <c r="AM70" s="20">
        <f t="shared" si="208"/>
        <v>-0.31480241454277191</v>
      </c>
      <c r="AN70" s="20">
        <f t="shared" si="208"/>
        <v>-0.55009750397697532</v>
      </c>
      <c r="AO70" s="20">
        <f t="shared" si="208"/>
        <v>1.2775161717533359</v>
      </c>
      <c r="AP70" s="20">
        <f t="shared" si="208"/>
        <v>0.36878055907140217</v>
      </c>
      <c r="AQ70" s="20">
        <f t="shared" si="208"/>
        <v>2.1697172331704984E-2</v>
      </c>
      <c r="AR70" s="20">
        <f t="shared" si="208"/>
        <v>1.956764675385525E-2</v>
      </c>
      <c r="AS70" s="20">
        <f t="shared" si="208"/>
        <v>-5.2691822500322116E-2</v>
      </c>
      <c r="AT70" s="20">
        <f t="shared" si="208"/>
        <v>0.19013115930510227</v>
      </c>
      <c r="AU70" s="20">
        <f t="shared" si="208"/>
        <v>0.26848183028096639</v>
      </c>
      <c r="AV70" s="20">
        <f t="shared" si="208"/>
        <v>-2.8476995685901341E-2</v>
      </c>
      <c r="AW70" s="20">
        <f t="shared" si="208"/>
        <v>1.2985315626733218E-2</v>
      </c>
      <c r="AX70" s="20">
        <f t="shared" si="208"/>
        <v>-6.6145095307226232E-2</v>
      </c>
      <c r="AY70" s="20">
        <f t="shared" si="208"/>
        <v>-9.4024451787914076E-2</v>
      </c>
      <c r="AZ70" s="20">
        <f t="shared" si="208"/>
        <v>0.14117293075545501</v>
      </c>
      <c r="BA70" s="20">
        <f t="shared" si="208"/>
        <v>-0.11049903092667157</v>
      </c>
      <c r="BB70" s="20">
        <f t="shared" si="208"/>
        <v>6.9641705972789625E-2</v>
      </c>
      <c r="BC70" s="20">
        <f t="shared" si="208"/>
        <v>2.0436296612079685E-2</v>
      </c>
      <c r="BD70" s="20">
        <f t="shared" si="208"/>
        <v>1.3374094670010939E-2</v>
      </c>
      <c r="BE70" s="20">
        <f t="shared" si="208"/>
        <v>0.16925303666095393</v>
      </c>
      <c r="BF70" s="20">
        <f t="shared" si="208"/>
        <v>4.8420884627715433E-2</v>
      </c>
      <c r="BG70" s="20">
        <f t="shared" si="208"/>
        <v>0.22661419553860629</v>
      </c>
      <c r="BH70" s="20">
        <f t="shared" si="208"/>
        <v>-9.8897384999487858E-3</v>
      </c>
      <c r="BI70" s="20">
        <f t="shared" si="208"/>
        <v>-8.7299511333047142E-2</v>
      </c>
      <c r="BJ70" s="20">
        <f t="shared" si="208"/>
        <v>0.23073956076125812</v>
      </c>
      <c r="BK70" s="20">
        <f t="shared" si="208"/>
        <v>-2.6488664094386993E-2</v>
      </c>
      <c r="BL70" s="20">
        <f t="shared" si="208"/>
        <v>8.9801339969610705E-3</v>
      </c>
      <c r="BM70" s="20">
        <f t="shared" si="208"/>
        <v>-7.537771227286183E-2</v>
      </c>
      <c r="BN70" s="20">
        <f t="shared" si="208"/>
        <v>-0.12748809809556205</v>
      </c>
      <c r="BO70" s="20">
        <f t="shared" si="208"/>
        <v>5.5790596383871627E-2</v>
      </c>
      <c r="BP70" s="20">
        <f t="shared" si="208"/>
        <v>-1.5301978190162546E-2</v>
      </c>
      <c r="BQ70" s="20">
        <f t="shared" ref="BQ70:DR70" si="209">BQ63/BP63-1</f>
        <v>0.27919945882751418</v>
      </c>
      <c r="BR70" s="20">
        <f t="shared" si="209"/>
        <v>-6.0775753542968491E-2</v>
      </c>
      <c r="BS70" s="20">
        <f t="shared" si="209"/>
        <v>-0.10000459874899659</v>
      </c>
      <c r="BT70" s="20">
        <f t="shared" si="209"/>
        <v>-5.9768734278643376E-2</v>
      </c>
      <c r="BU70" s="20">
        <f t="shared" si="209"/>
        <v>-8.9776182666215343E-2</v>
      </c>
      <c r="BV70" s="20">
        <f t="shared" si="209"/>
        <v>0.17012259372796046</v>
      </c>
      <c r="BW70" s="20">
        <f t="shared" si="209"/>
        <v>2.3016451342086297E-2</v>
      </c>
      <c r="BX70" s="20">
        <f t="shared" si="209"/>
        <v>4.140003658827851E-2</v>
      </c>
      <c r="BY70" s="20">
        <f t="shared" si="209"/>
        <v>1.406238860731901E-2</v>
      </c>
      <c r="BZ70" s="20">
        <f t="shared" si="209"/>
        <v>-1.6560049595425452E-2</v>
      </c>
      <c r="CA70" s="20">
        <f t="shared" si="209"/>
        <v>-8.145760507999189E-2</v>
      </c>
      <c r="CB70" s="20">
        <f t="shared" si="209"/>
        <v>-7.632988474447433E-2</v>
      </c>
      <c r="CC70" s="20">
        <f t="shared" si="209"/>
        <v>0.2347338401556387</v>
      </c>
      <c r="CD70" s="20">
        <f t="shared" si="209"/>
        <v>-5.1411121638176405E-2</v>
      </c>
      <c r="CE70" s="20">
        <f t="shared" si="209"/>
        <v>0.1616885645751367</v>
      </c>
      <c r="CF70" s="20">
        <f t="shared" si="209"/>
        <v>9.1852723178832196E-2</v>
      </c>
      <c r="CG70" s="20">
        <f t="shared" si="209"/>
        <v>2.2126099618875017E-2</v>
      </c>
      <c r="CH70" s="20">
        <f t="shared" si="209"/>
        <v>0.25589045432696444</v>
      </c>
      <c r="CI70" s="20">
        <f t="shared" si="209"/>
        <v>-0.10533242850686997</v>
      </c>
      <c r="CJ70" s="20">
        <f t="shared" si="209"/>
        <v>-1.5981587074967885E-2</v>
      </c>
      <c r="CK70" s="20">
        <f t="shared" si="209"/>
        <v>-5.5478230707972642E-4</v>
      </c>
      <c r="CL70" s="20">
        <f t="shared" si="209"/>
        <v>5.3274326829654495E-2</v>
      </c>
      <c r="CM70" s="20">
        <f t="shared" si="209"/>
        <v>-0.14257494758390676</v>
      </c>
      <c r="CN70" s="20">
        <f t="shared" si="209"/>
        <v>1.4952597851783933E-2</v>
      </c>
      <c r="CO70" s="20">
        <f t="shared" si="209"/>
        <v>0.20458717843709517</v>
      </c>
      <c r="CP70" s="20">
        <f t="shared" si="209"/>
        <v>2.4725223385737571E-3</v>
      </c>
      <c r="CQ70" s="20">
        <f t="shared" si="209"/>
        <v>0.21549212660848749</v>
      </c>
      <c r="CR70" s="20">
        <f t="shared" si="209"/>
        <v>7.4663144345972432E-2</v>
      </c>
      <c r="CS70" s="20">
        <f t="shared" si="209"/>
        <v>-9.2979639963456928E-2</v>
      </c>
      <c r="CT70" s="20">
        <f t="shared" si="209"/>
        <v>0.11726116582508461</v>
      </c>
      <c r="CU70" s="20">
        <f t="shared" si="209"/>
        <v>-7.8169288704796225E-2</v>
      </c>
      <c r="CV70" s="20">
        <f t="shared" si="209"/>
        <v>1.107024044586824E-2</v>
      </c>
      <c r="CW70" s="20">
        <f t="shared" si="209"/>
        <v>-2.2842322006067728E-2</v>
      </c>
      <c r="CX70" s="20">
        <f t="shared" si="209"/>
        <v>3.9705033973478132E-2</v>
      </c>
      <c r="CY70" s="20">
        <f t="shared" si="209"/>
        <v>-8.1289472070643409E-2</v>
      </c>
      <c r="CZ70" s="20">
        <f t="shared" si="209"/>
        <v>-4.0507712566264176E-2</v>
      </c>
      <c r="DA70" s="20">
        <f t="shared" si="209"/>
        <v>0.14991567858595412</v>
      </c>
      <c r="DB70" s="20">
        <f t="shared" si="209"/>
        <v>2.7173496234580652E-2</v>
      </c>
      <c r="DC70" s="20">
        <f t="shared" si="209"/>
        <v>0.16138128909330041</v>
      </c>
      <c r="DD70" s="20">
        <f t="shared" si="209"/>
        <v>4.5875401422574846E-3</v>
      </c>
      <c r="DE70" s="20">
        <f t="shared" si="209"/>
        <v>-7.4559497847145439E-2</v>
      </c>
      <c r="DF70" s="20">
        <f t="shared" si="209"/>
        <v>7.5183983930470655E-2</v>
      </c>
      <c r="DG70" s="20">
        <f t="shared" si="209"/>
        <v>-1.5186087506458779E-2</v>
      </c>
      <c r="DH70" s="20">
        <f t="shared" si="209"/>
        <v>1.218929012990877E-2</v>
      </c>
      <c r="DI70" s="20">
        <f t="shared" si="209"/>
        <v>-2.5323059383677293E-2</v>
      </c>
      <c r="DJ70" s="20">
        <f t="shared" si="209"/>
        <v>3.9167809542402399E-2</v>
      </c>
      <c r="DK70" s="20">
        <f t="shared" si="209"/>
        <v>-8.2124216129261796E-2</v>
      </c>
      <c r="DL70" s="20">
        <f t="shared" si="209"/>
        <v>-4.3237842075760979E-2</v>
      </c>
      <c r="DM70" s="20">
        <f t="shared" si="209"/>
        <v>0.14995672678827332</v>
      </c>
      <c r="DN70" s="20">
        <f t="shared" si="209"/>
        <v>2.7767601154724986E-2</v>
      </c>
      <c r="DO70" s="20">
        <f t="shared" si="209"/>
        <v>0.15916082826663658</v>
      </c>
      <c r="DP70" s="20">
        <f t="shared" si="209"/>
        <v>1.9116164839421135E-3</v>
      </c>
      <c r="DQ70" s="20">
        <f t="shared" si="209"/>
        <v>-7.5519358482689758E-2</v>
      </c>
      <c r="DR70" s="20">
        <f t="shared" si="209"/>
        <v>6.8400078055795177E-2</v>
      </c>
      <c r="DS70" s="20">
        <f t="shared" ref="DS70" si="210">DS63/DR63-1</f>
        <v>-4.0208369714662018E-2</v>
      </c>
      <c r="DT70" s="20">
        <f t="shared" ref="DT70" si="211">DT63/DS63-1</f>
        <v>1.2327676906131346E-2</v>
      </c>
      <c r="DU70" s="20">
        <f t="shared" ref="DU70" si="212">DU63/DT63-1</f>
        <v>-2.6095305884765274E-2</v>
      </c>
      <c r="DV70" s="20">
        <f t="shared" ref="DV70" si="213">DV63/DU63-1</f>
        <v>3.805817564823788E-2</v>
      </c>
      <c r="DW70" s="20">
        <f t="shared" ref="DW70" si="214">DW63/DV63-1</f>
        <v>-8.2126399291354013E-2</v>
      </c>
      <c r="DX70" s="20">
        <f t="shared" ref="DX70" si="215">DX63/DW63-1</f>
        <v>-4.4034391844317455E-2</v>
      </c>
      <c r="DY70" s="20">
        <f t="shared" ref="DY70" si="216">DY63/DX63-1</f>
        <v>0.14876523232336014</v>
      </c>
      <c r="DZ70" s="20">
        <f t="shared" ref="DZ70" si="217">DZ63/DY63-1</f>
        <v>3.0840486690827174E-2</v>
      </c>
      <c r="EA70" s="20">
        <f t="shared" ref="EA70" si="218">EA63/DZ63-1</f>
        <v>0.15884698614090142</v>
      </c>
      <c r="EB70" s="20">
        <f t="shared" ref="EB70" si="219">EB63/EA63-1</f>
        <v>1.2361850658317852E-3</v>
      </c>
      <c r="EC70" s="20">
        <f t="shared" ref="EC70" si="220">EC63/EB63-1</f>
        <v>-7.5599970654017135E-2</v>
      </c>
      <c r="ED70" s="20">
        <f t="shared" ref="ED70" si="221">ED63/EC63-1</f>
        <v>6.6303753907089868E-2</v>
      </c>
      <c r="EE70" s="222"/>
      <c r="EF70" s="20"/>
      <c r="EG70" s="20">
        <f t="shared" ref="EG70" si="222">EG63/EF63-1</f>
        <v>-0.14353435055238595</v>
      </c>
      <c r="EH70" s="20">
        <f t="shared" ref="EH70" si="223">EH63/EG63-1</f>
        <v>0.19632555327039602</v>
      </c>
      <c r="EI70" s="20">
        <f t="shared" ref="EI70" si="224">EI63/EH63-1</f>
        <v>-0.15077254885489444</v>
      </c>
      <c r="EJ70" s="20">
        <f t="shared" ref="EJ70" si="225">EJ63/EI63-1</f>
        <v>0.13431942144985287</v>
      </c>
      <c r="EK70" s="20">
        <f t="shared" ref="EK70" si="226">EK63/EJ63-1</f>
        <v>-7.224904926339526E-2</v>
      </c>
      <c r="EL70" s="20">
        <f t="shared" ref="EL70" si="227">EL63/EK63-1</f>
        <v>0.15495024851917183</v>
      </c>
      <c r="EM70" s="20">
        <f t="shared" ref="EM70" si="228">EM63/EL63-1</f>
        <v>0.30385799257137913</v>
      </c>
      <c r="EN70" s="20">
        <f t="shared" ref="EN70" si="229">EN63/EM63-1</f>
        <v>3.0932338248074398E-2</v>
      </c>
      <c r="EO70" s="20">
        <f t="shared" ref="EO70" si="230">EO63/EN63-1</f>
        <v>-4.7848006650661135E-2</v>
      </c>
      <c r="EP70" s="20">
        <f t="shared" ref="EP70" si="231">EP63/EO63-1</f>
        <v>0.2378695534698867</v>
      </c>
      <c r="EQ70" s="20">
        <f t="shared" ref="EQ70" si="232">EQ63/EP63-1</f>
        <v>0.18727820126779915</v>
      </c>
      <c r="ER70" s="20">
        <f t="shared" ref="ER70" si="233">ER63/EQ63-1</f>
        <v>-4.0679450336743472E-2</v>
      </c>
      <c r="ES70" s="20">
        <f t="shared" ref="ES70" si="234">ES63/ER63-1</f>
        <v>-4.0901722560981346E-2</v>
      </c>
      <c r="ET70" s="20">
        <f t="shared" ref="ET70" si="235">ET63/ES63-1</f>
        <v>0.16564781696315389</v>
      </c>
      <c r="EU70" s="20">
        <f t="shared" ref="EU70" si="236">EU63/ET63-1</f>
        <v>8.689198645786167E-2</v>
      </c>
      <c r="EV70" s="20">
        <f t="shared" ref="EV70" si="237">EV63/EU63-1</f>
        <v>6.1763608175586793E-3</v>
      </c>
      <c r="EW70" s="20">
        <f t="shared" ref="EW70" si="238">EW63/EV63-1</f>
        <v>-4.4093289445066963E-2</v>
      </c>
      <c r="EX70" s="20">
        <f t="shared" ref="EX70" si="239">EX63/EW63-1</f>
        <v>0.16267615051258288</v>
      </c>
      <c r="EY70" s="20">
        <f t="shared" ref="EY70" si="240">EY63/EX63-1</f>
        <v>7.9821678546316388E-2</v>
      </c>
      <c r="EZ70" s="20">
        <f t="shared" ref="EZ70" si="241">EZ63/EY63-1</f>
        <v>-2.3989992880847577E-2</v>
      </c>
      <c r="FA70" s="20">
        <f t="shared" ref="FA70" si="242">FA63/EZ63-1</f>
        <v>-4.5829318372129002E-2</v>
      </c>
      <c r="FB70" s="20">
        <f t="shared" ref="FB70" si="243">FB63/FA63-1</f>
        <v>0.16308290023254468</v>
      </c>
      <c r="FC70" s="20">
        <f t="shared" ref="FC70" si="244">FC63/FB63-1</f>
        <v>7.9129354250154105E-2</v>
      </c>
      <c r="FD70" s="785"/>
      <c r="FE70" s="20"/>
      <c r="FF70" s="20">
        <f t="shared" ref="FF70" si="245">FF63/FE63-1</f>
        <v>0.15675129633862017</v>
      </c>
      <c r="FG70" s="20">
        <f t="shared" ref="FG70" si="246">FG63/FF63-1</f>
        <v>0.48414742218426454</v>
      </c>
      <c r="FH70" s="20">
        <f t="shared" ref="FH70" si="247">FH63/FG63-1</f>
        <v>0.27192506844497677</v>
      </c>
      <c r="FI70" s="20">
        <f t="shared" ref="FI70:FJ70" si="248">FI63/FH63-1</f>
        <v>0.21557095935887638</v>
      </c>
      <c r="FJ70" s="20">
        <f t="shared" si="248"/>
        <v>0.16971545133697985</v>
      </c>
      <c r="FK70" s="545" t="s">
        <v>1</v>
      </c>
    </row>
    <row r="71" spans="2:167" x14ac:dyDescent="0.2">
      <c r="B71" s="301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222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772"/>
      <c r="FE71" s="19"/>
      <c r="FF71" s="19"/>
      <c r="FG71" s="19"/>
      <c r="FH71" s="19"/>
      <c r="FI71" s="19"/>
      <c r="FJ71" s="770"/>
      <c r="FK71" s="545"/>
    </row>
    <row r="72" spans="2:167" x14ac:dyDescent="0.2">
      <c r="B72" s="228" t="s">
        <v>313</v>
      </c>
      <c r="C72" s="19"/>
      <c r="D72" s="20">
        <f>IFERROR((D64/C64-1),0)</f>
        <v>-6.5256005764892544E-2</v>
      </c>
      <c r="E72" s="20">
        <f t="shared" ref="E72:BP73" si="249">IFERROR((E64/D64-1),0)</f>
        <v>0.11805325475767248</v>
      </c>
      <c r="F72" s="20">
        <f t="shared" si="249"/>
        <v>0.1641114864884663</v>
      </c>
      <c r="G72" s="20">
        <f t="shared" si="249"/>
        <v>0.17216483910698344</v>
      </c>
      <c r="H72" s="20">
        <f t="shared" si="249"/>
        <v>4.2879766325080615E-2</v>
      </c>
      <c r="I72" s="20">
        <f t="shared" si="249"/>
        <v>7.3560849246152138E-2</v>
      </c>
      <c r="J72" s="20">
        <f t="shared" si="249"/>
        <v>-6.3638279257525854E-2</v>
      </c>
      <c r="K72" s="20">
        <f t="shared" si="249"/>
        <v>0.26577102304952915</v>
      </c>
      <c r="L72" s="20">
        <f t="shared" si="249"/>
        <v>-2.7898342702518786E-2</v>
      </c>
      <c r="M72" s="20">
        <f t="shared" si="249"/>
        <v>2.2285255311030872E-2</v>
      </c>
      <c r="N72" s="20">
        <f t="shared" si="249"/>
        <v>-0.12519243020288984</v>
      </c>
      <c r="O72" s="20">
        <f t="shared" si="249"/>
        <v>0.29192851953955423</v>
      </c>
      <c r="P72" s="20">
        <f t="shared" si="249"/>
        <v>-9.9261425611549825E-3</v>
      </c>
      <c r="Q72" s="20">
        <f t="shared" si="249"/>
        <v>7.0699502381037727E-2</v>
      </c>
      <c r="R72" s="20">
        <f t="shared" si="249"/>
        <v>1.9873862755010796E-2</v>
      </c>
      <c r="S72" s="20">
        <f t="shared" si="249"/>
        <v>-0.17930996748966876</v>
      </c>
      <c r="T72" s="20">
        <f t="shared" si="249"/>
        <v>-0.11461310315560091</v>
      </c>
      <c r="U72" s="20">
        <f t="shared" si="249"/>
        <v>-0.15509607456598418</v>
      </c>
      <c r="V72" s="20">
        <f t="shared" si="249"/>
        <v>0.21912684900528778</v>
      </c>
      <c r="W72" s="20">
        <f t="shared" si="249"/>
        <v>0.14858608113003391</v>
      </c>
      <c r="X72" s="20">
        <f t="shared" si="249"/>
        <v>9.7740645513848534E-3</v>
      </c>
      <c r="Y72" s="20">
        <f t="shared" si="249"/>
        <v>0.14610384653787523</v>
      </c>
      <c r="Z72" s="20">
        <f t="shared" si="249"/>
        <v>-0.37548323514495141</v>
      </c>
      <c r="AA72" s="20">
        <f t="shared" si="249"/>
        <v>-1.0003210250345025</v>
      </c>
      <c r="AB72" s="20">
        <f t="shared" si="249"/>
        <v>-2375.7070180351661</v>
      </c>
      <c r="AC72" s="20">
        <f t="shared" si="249"/>
        <v>4.2131877258286154E-2</v>
      </c>
      <c r="AD72" s="20">
        <f t="shared" si="249"/>
        <v>-0.17952206878559762</v>
      </c>
      <c r="AE72" s="20">
        <f t="shared" si="249"/>
        <v>0.66872685759498562</v>
      </c>
      <c r="AF72" s="20">
        <f t="shared" si="249"/>
        <v>2.8853840749992532E-2</v>
      </c>
      <c r="AG72" s="20">
        <f t="shared" si="249"/>
        <v>-9.9357614012439144E-2</v>
      </c>
      <c r="AH72" s="20">
        <f t="shared" si="249"/>
        <v>0.17758890382426129</v>
      </c>
      <c r="AI72" s="20">
        <f t="shared" si="249"/>
        <v>0.62278965131969488</v>
      </c>
      <c r="AJ72" s="20">
        <f t="shared" si="249"/>
        <v>-0.13711356846735812</v>
      </c>
      <c r="AK72" s="20">
        <f t="shared" si="249"/>
        <v>0.25139657403282833</v>
      </c>
      <c r="AL72" s="20">
        <f t="shared" si="249"/>
        <v>-0.161135738214645</v>
      </c>
      <c r="AM72" s="20">
        <f t="shared" si="249"/>
        <v>-0.31269347838391925</v>
      </c>
      <c r="AN72" s="20">
        <f t="shared" si="249"/>
        <v>-0.5473870928281146</v>
      </c>
      <c r="AO72" s="20">
        <f t="shared" si="249"/>
        <v>1.2128683820852029</v>
      </c>
      <c r="AP72" s="20">
        <f t="shared" si="249"/>
        <v>0.40250443130745839</v>
      </c>
      <c r="AQ72" s="20">
        <f t="shared" si="249"/>
        <v>-2.3410172170959975E-2</v>
      </c>
      <c r="AR72" s="20">
        <f t="shared" si="249"/>
        <v>-5.7753651362853153E-2</v>
      </c>
      <c r="AS72" s="20">
        <f t="shared" si="249"/>
        <v>-0.14777351313022025</v>
      </c>
      <c r="AT72" s="20">
        <f t="shared" si="249"/>
        <v>0.20633639022590988</v>
      </c>
      <c r="AU72" s="20">
        <f t="shared" si="249"/>
        <v>0.34110450378709034</v>
      </c>
      <c r="AV72" s="20">
        <f t="shared" si="249"/>
        <v>-8.988565669535975E-2</v>
      </c>
      <c r="AW72" s="20">
        <f t="shared" si="249"/>
        <v>2.398153864090169E-2</v>
      </c>
      <c r="AX72" s="20">
        <f t="shared" si="249"/>
        <v>-0.12977283040367504</v>
      </c>
      <c r="AY72" s="20">
        <f t="shared" si="249"/>
        <v>-3.5926298722740446E-3</v>
      </c>
      <c r="AZ72" s="20">
        <f t="shared" si="249"/>
        <v>0.12087835577194905</v>
      </c>
      <c r="BA72" s="20">
        <f t="shared" si="249"/>
        <v>-0.28200292839120378</v>
      </c>
      <c r="BB72" s="20">
        <f t="shared" si="249"/>
        <v>0.1610723995739991</v>
      </c>
      <c r="BC72" s="20">
        <f t="shared" si="249"/>
        <v>6.7313251350109127E-2</v>
      </c>
      <c r="BD72" s="20">
        <f t="shared" si="249"/>
        <v>2.8717568436994689E-2</v>
      </c>
      <c r="BE72" s="20">
        <f t="shared" si="249"/>
        <v>0.17223998045129463</v>
      </c>
      <c r="BF72" s="20">
        <f t="shared" si="249"/>
        <v>8.2890354293343682E-2</v>
      </c>
      <c r="BG72" s="20">
        <f t="shared" si="249"/>
        <v>0.2701606693334373</v>
      </c>
      <c r="BH72" s="20">
        <f t="shared" si="249"/>
        <v>-9.7720670068532023E-2</v>
      </c>
      <c r="BI72" s="20">
        <f t="shared" si="249"/>
        <v>-0.19493083567161784</v>
      </c>
      <c r="BJ72" s="20">
        <f t="shared" si="249"/>
        <v>0.10566230887335948</v>
      </c>
      <c r="BK72" s="20">
        <f t="shared" si="249"/>
        <v>-7.8403815386902886E-2</v>
      </c>
      <c r="BL72" s="20">
        <f t="shared" si="249"/>
        <v>2.0882125254283013E-2</v>
      </c>
      <c r="BM72" s="20">
        <f t="shared" si="249"/>
        <v>-0.24350663548012008</v>
      </c>
      <c r="BN72" s="20">
        <f t="shared" si="249"/>
        <v>-5.9893978125412861E-2</v>
      </c>
      <c r="BO72" s="20">
        <f t="shared" si="249"/>
        <v>6.0427828690126084E-2</v>
      </c>
      <c r="BP72" s="20">
        <f t="shared" si="249"/>
        <v>-3.0827795948519476E-2</v>
      </c>
      <c r="BQ72" s="20">
        <f t="shared" ref="BQ72:DR76" si="250">IFERROR((BQ64/BP64-1),0)</f>
        <v>-6.2692726394392495E-2</v>
      </c>
      <c r="BR72" s="20">
        <f t="shared" si="250"/>
        <v>0.23121205986172844</v>
      </c>
      <c r="BS72" s="20">
        <f t="shared" si="250"/>
        <v>-9.6744774985186632E-2</v>
      </c>
      <c r="BT72" s="20">
        <f t="shared" si="250"/>
        <v>-0.10085469292395588</v>
      </c>
      <c r="BU72" s="20">
        <f t="shared" si="250"/>
        <v>4.5623161011096869E-2</v>
      </c>
      <c r="BV72" s="20">
        <f t="shared" si="250"/>
        <v>3.5136175745232867E-2</v>
      </c>
      <c r="BW72" s="20">
        <f t="shared" si="250"/>
        <v>3.763002881589772E-2</v>
      </c>
      <c r="BX72" s="20">
        <f t="shared" si="250"/>
        <v>3.5213503629160536E-2</v>
      </c>
      <c r="BY72" s="20">
        <f t="shared" si="250"/>
        <v>-4.6340814347519244E-2</v>
      </c>
      <c r="BZ72" s="20">
        <f t="shared" si="250"/>
        <v>-5.3975035804111449E-2</v>
      </c>
      <c r="CA72" s="20">
        <f t="shared" si="250"/>
        <v>-3.2251833718302425E-2</v>
      </c>
      <c r="CB72" s="20">
        <f t="shared" si="250"/>
        <v>-0.12105301311268257</v>
      </c>
      <c r="CC72" s="20">
        <f t="shared" si="250"/>
        <v>0.19340118185358901</v>
      </c>
      <c r="CD72" s="20">
        <f t="shared" si="250"/>
        <v>1.9754219443563814E-2</v>
      </c>
      <c r="CE72" s="20">
        <f t="shared" si="250"/>
        <v>0.13795204185136001</v>
      </c>
      <c r="CF72" s="20">
        <f t="shared" si="250"/>
        <v>0.14638514326368979</v>
      </c>
      <c r="CG72" s="20">
        <f t="shared" si="250"/>
        <v>0.15493310178417508</v>
      </c>
      <c r="CH72" s="20">
        <f t="shared" si="250"/>
        <v>0.24768459600183657</v>
      </c>
      <c r="CI72" s="20">
        <f t="shared" si="250"/>
        <v>-0.15317380213963983</v>
      </c>
      <c r="CJ72" s="20">
        <f t="shared" si="250"/>
        <v>-1.4788303339885678E-2</v>
      </c>
      <c r="CK72" s="20">
        <f t="shared" si="250"/>
        <v>-1.8643773131272745E-2</v>
      </c>
      <c r="CL72" s="20">
        <f t="shared" si="250"/>
        <v>9.4841809676211586E-3</v>
      </c>
      <c r="CM72" s="20">
        <f t="shared" si="250"/>
        <v>-0.15899343222220597</v>
      </c>
      <c r="CN72" s="20">
        <f t="shared" si="250"/>
        <v>-0.13891362274249286</v>
      </c>
      <c r="CO72" s="20">
        <f t="shared" si="250"/>
        <v>0.29886288334446665</v>
      </c>
      <c r="CP72" s="20">
        <f t="shared" si="250"/>
        <v>0.20302932097737969</v>
      </c>
      <c r="CQ72" s="20">
        <f t="shared" si="250"/>
        <v>0.21304207152541599</v>
      </c>
      <c r="CR72" s="20">
        <f t="shared" si="250"/>
        <v>7.3517395204645064E-2</v>
      </c>
      <c r="CS72" s="20">
        <f t="shared" si="250"/>
        <v>-9.0221779714106609E-2</v>
      </c>
      <c r="CT72" s="20">
        <f t="shared" si="250"/>
        <v>-2.8354500945227401E-2</v>
      </c>
      <c r="CU72" s="20">
        <f t="shared" si="250"/>
        <v>3.5386160797962862E-2</v>
      </c>
      <c r="CV72" s="20">
        <f t="shared" si="250"/>
        <v>3.6504242131529141E-2</v>
      </c>
      <c r="CW72" s="20">
        <f t="shared" si="250"/>
        <v>-6.0567098286549714E-2</v>
      </c>
      <c r="CX72" s="20">
        <f t="shared" si="250"/>
        <v>8.5551564177732686E-4</v>
      </c>
      <c r="CY72" s="20">
        <f t="shared" si="250"/>
        <v>-7.0201973248546823E-2</v>
      </c>
      <c r="CZ72" s="20">
        <f t="shared" si="250"/>
        <v>-0.12796129067475581</v>
      </c>
      <c r="DA72" s="20">
        <f t="shared" si="250"/>
        <v>0.16989469293036086</v>
      </c>
      <c r="DB72" s="20">
        <f t="shared" si="250"/>
        <v>0.23835961943946415</v>
      </c>
      <c r="DC72" s="20">
        <f t="shared" si="250"/>
        <v>0.11428226206022241</v>
      </c>
      <c r="DD72" s="20">
        <f t="shared" si="250"/>
        <v>-6.4191520491268639E-2</v>
      </c>
      <c r="DE72" s="20">
        <f t="shared" si="250"/>
        <v>-2.4789306697714286E-2</v>
      </c>
      <c r="DF72" s="20">
        <f t="shared" si="250"/>
        <v>-3.8460918761116791E-2</v>
      </c>
      <c r="DG72" s="20">
        <f t="shared" si="250"/>
        <v>0.11669931758186181</v>
      </c>
      <c r="DH72" s="20">
        <f t="shared" si="250"/>
        <v>3.6504242131529363E-2</v>
      </c>
      <c r="DI72" s="20">
        <f t="shared" si="250"/>
        <v>-6.0567098286550047E-2</v>
      </c>
      <c r="DJ72" s="20">
        <f t="shared" si="250"/>
        <v>8.5551564177710482E-4</v>
      </c>
      <c r="DK72" s="20">
        <f t="shared" si="250"/>
        <v>-7.0201973248546379E-2</v>
      </c>
      <c r="DL72" s="20">
        <f t="shared" si="250"/>
        <v>-0.12796129067475626</v>
      </c>
      <c r="DM72" s="20">
        <f t="shared" si="250"/>
        <v>0.16989469293036086</v>
      </c>
      <c r="DN72" s="20">
        <f t="shared" si="250"/>
        <v>0.2383596194394646</v>
      </c>
      <c r="DO72" s="20">
        <f t="shared" si="250"/>
        <v>0.11428226206022218</v>
      </c>
      <c r="DP72" s="20">
        <f t="shared" si="250"/>
        <v>-6.4191520491268528E-2</v>
      </c>
      <c r="DQ72" s="20">
        <f t="shared" si="250"/>
        <v>-2.4789306697714397E-2</v>
      </c>
      <c r="DR72" s="20">
        <f t="shared" si="250"/>
        <v>-3.8460918761116569E-2</v>
      </c>
      <c r="DS72" s="20">
        <f t="shared" ref="DS72:ED76" si="251">IFERROR((DS64/DR64-1),0)</f>
        <v>7.20313448785872E-2</v>
      </c>
      <c r="DT72" s="20">
        <f t="shared" si="251"/>
        <v>3.6504242131528919E-2</v>
      </c>
      <c r="DU72" s="20">
        <f t="shared" si="251"/>
        <v>-6.0567098286549936E-2</v>
      </c>
      <c r="DV72" s="20">
        <f t="shared" si="251"/>
        <v>8.5551564177732686E-4</v>
      </c>
      <c r="DW72" s="20">
        <f t="shared" si="251"/>
        <v>-7.0201973248546712E-2</v>
      </c>
      <c r="DX72" s="20">
        <f t="shared" si="251"/>
        <v>-0.12796129067475615</v>
      </c>
      <c r="DY72" s="20">
        <f t="shared" si="251"/>
        <v>0.16989469293036108</v>
      </c>
      <c r="DZ72" s="20">
        <f t="shared" si="251"/>
        <v>0.23835961943946438</v>
      </c>
      <c r="EA72" s="20">
        <f t="shared" si="251"/>
        <v>0.11428226206022241</v>
      </c>
      <c r="EB72" s="20">
        <f t="shared" si="251"/>
        <v>-6.4191520491268417E-2</v>
      </c>
      <c r="EC72" s="20">
        <f t="shared" si="251"/>
        <v>-2.478930669771473E-2</v>
      </c>
      <c r="ED72" s="20">
        <f t="shared" si="251"/>
        <v>-3.8460918761116569E-2</v>
      </c>
      <c r="EE72" s="222"/>
      <c r="EF72" s="20"/>
      <c r="EG72" s="20">
        <f t="shared" ref="EG72:FJ75" si="252">IFERROR((EG64/EF64-1),0)</f>
        <v>-0.19728705045628725</v>
      </c>
      <c r="EH72" s="20">
        <f t="shared" si="252"/>
        <v>4.2894328878678056E-2</v>
      </c>
      <c r="EI72" s="20">
        <f t="shared" si="252"/>
        <v>-6.4462479546077311E-2</v>
      </c>
      <c r="EJ72" s="20">
        <f t="shared" si="252"/>
        <v>8.5201115775263903E-2</v>
      </c>
      <c r="EK72" s="20">
        <f t="shared" si="252"/>
        <v>-0.1291156045143883</v>
      </c>
      <c r="EL72" s="20">
        <f t="shared" si="252"/>
        <v>0.14543231378482258</v>
      </c>
      <c r="EM72" s="20">
        <f t="shared" si="252"/>
        <v>0.50420911865936913</v>
      </c>
      <c r="EN72" s="20">
        <f t="shared" si="252"/>
        <v>1.7739958623195218E-3</v>
      </c>
      <c r="EO72" s="20">
        <f t="shared" si="252"/>
        <v>-0.15189406040856412</v>
      </c>
      <c r="EP72" s="20">
        <f t="shared" si="252"/>
        <v>0.34292251127255935</v>
      </c>
      <c r="EQ72" s="20">
        <f t="shared" si="252"/>
        <v>0.19506051615593489</v>
      </c>
      <c r="ER72" s="20">
        <f t="shared" si="252"/>
        <v>-1.3819613722728108E-2</v>
      </c>
      <c r="ES72" s="20">
        <f t="shared" si="252"/>
        <v>-0.11272757385362497</v>
      </c>
      <c r="ET72" s="20">
        <f t="shared" si="252"/>
        <v>0.25233422254220472</v>
      </c>
      <c r="EU72" s="20">
        <f t="shared" si="252"/>
        <v>3.9582685256030814E-2</v>
      </c>
      <c r="EV72" s="20">
        <f t="shared" si="252"/>
        <v>8.2115808582381655E-2</v>
      </c>
      <c r="EW72" s="20">
        <f t="shared" si="252"/>
        <v>-0.1127275738536252</v>
      </c>
      <c r="EX72" s="20">
        <f t="shared" si="252"/>
        <v>0.25233422254220472</v>
      </c>
      <c r="EY72" s="20">
        <f t="shared" si="252"/>
        <v>3.9582685256031258E-2</v>
      </c>
      <c r="EZ72" s="20">
        <f t="shared" ref="EZ72:EZ76" si="253">IFERROR((EZ64/EY64-1),0)</f>
        <v>3.8831176239086274E-2</v>
      </c>
      <c r="FA72" s="20">
        <f t="shared" ref="FA72:FA76" si="254">IFERROR((FA64/EZ64-1),0)</f>
        <v>-0.11272757385362508</v>
      </c>
      <c r="FB72" s="20">
        <f t="shared" ref="FB72:FB76" si="255">IFERROR((FB64/FA64-1),0)</f>
        <v>0.25233422254220517</v>
      </c>
      <c r="FC72" s="20">
        <f t="shared" ref="FC72:FC76" si="256">IFERROR((FC64/FB64-1),0)</f>
        <v>3.9582685256030814E-2</v>
      </c>
      <c r="FD72" s="785"/>
      <c r="FE72" s="20">
        <f t="shared" si="252"/>
        <v>0</v>
      </c>
      <c r="FF72" s="20">
        <f t="shared" si="252"/>
        <v>8.4764511411599797E-2</v>
      </c>
      <c r="FG72" s="20">
        <f t="shared" si="252"/>
        <v>0.49601925789786616</v>
      </c>
      <c r="FH72" s="20">
        <f t="shared" si="252"/>
        <v>0.28222805981551891</v>
      </c>
      <c r="FI72" s="20">
        <f t="shared" si="252"/>
        <v>0.24999999999999978</v>
      </c>
      <c r="FJ72" s="20">
        <f t="shared" si="252"/>
        <v>0.19999999999999973</v>
      </c>
      <c r="FK72" s="545" t="s">
        <v>1</v>
      </c>
    </row>
    <row r="73" spans="2:167" x14ac:dyDescent="0.2">
      <c r="B73" s="228" t="s">
        <v>144</v>
      </c>
      <c r="C73" s="19"/>
      <c r="D73" s="20">
        <f t="shared" ref="D73:S76" si="257">IFERROR((D65/C65-1),0)</f>
        <v>8.9628598740492338E-2</v>
      </c>
      <c r="E73" s="20">
        <f t="shared" si="257"/>
        <v>-0.15041559402334326</v>
      </c>
      <c r="F73" s="20">
        <f t="shared" si="257"/>
        <v>0.63226609089629515</v>
      </c>
      <c r="G73" s="20">
        <f t="shared" si="257"/>
        <v>-0.23943003552068287</v>
      </c>
      <c r="H73" s="20">
        <f t="shared" si="257"/>
        <v>-0.18676863460929427</v>
      </c>
      <c r="I73" s="20">
        <f t="shared" si="257"/>
        <v>0.25332343966575244</v>
      </c>
      <c r="J73" s="20">
        <f t="shared" si="257"/>
        <v>0.294566334198888</v>
      </c>
      <c r="K73" s="20">
        <f t="shared" si="257"/>
        <v>0.19751105246730782</v>
      </c>
      <c r="L73" s="20">
        <f t="shared" si="257"/>
        <v>0.16633639504159548</v>
      </c>
      <c r="M73" s="20">
        <f t="shared" si="257"/>
        <v>0.5189584878224649</v>
      </c>
      <c r="N73" s="20">
        <f t="shared" si="257"/>
        <v>0.63702337586751567</v>
      </c>
      <c r="O73" s="20">
        <f t="shared" si="257"/>
        <v>0.30330113547797999</v>
      </c>
      <c r="P73" s="20">
        <f t="shared" si="257"/>
        <v>9.3423660666782204E-2</v>
      </c>
      <c r="Q73" s="20">
        <f t="shared" si="257"/>
        <v>-0.11131405380255899</v>
      </c>
      <c r="R73" s="20">
        <f t="shared" si="257"/>
        <v>0.37970734526272598</v>
      </c>
      <c r="S73" s="20">
        <f t="shared" si="257"/>
        <v>-0.34936024414019484</v>
      </c>
      <c r="T73" s="20">
        <f t="shared" si="249"/>
        <v>0.21984530134052704</v>
      </c>
      <c r="U73" s="20">
        <f t="shared" si="249"/>
        <v>-0.12733312113665129</v>
      </c>
      <c r="V73" s="20">
        <f t="shared" si="249"/>
        <v>-0.54893665334795871</v>
      </c>
      <c r="W73" s="20">
        <f t="shared" si="249"/>
        <v>0.68267475077328887</v>
      </c>
      <c r="X73" s="20">
        <f t="shared" si="249"/>
        <v>0.23901267462207776</v>
      </c>
      <c r="Y73" s="20">
        <f t="shared" si="249"/>
        <v>-0.36856584817633964</v>
      </c>
      <c r="Z73" s="20">
        <f t="shared" si="249"/>
        <v>3.5573532994953139E-2</v>
      </c>
      <c r="AA73" s="20">
        <f t="shared" si="249"/>
        <v>-1.1257733221448654</v>
      </c>
      <c r="AB73" s="20">
        <f t="shared" si="249"/>
        <v>-10.620957585266467</v>
      </c>
      <c r="AC73" s="20">
        <f t="shared" si="249"/>
        <v>-4.8302931111674829E-2</v>
      </c>
      <c r="AD73" s="20">
        <f t="shared" si="249"/>
        <v>-4.9553692768447566E-2</v>
      </c>
      <c r="AE73" s="20">
        <f t="shared" si="249"/>
        <v>0.13625540839526828</v>
      </c>
      <c r="AF73" s="20">
        <f t="shared" si="249"/>
        <v>0.1955134552498563</v>
      </c>
      <c r="AG73" s="20">
        <f t="shared" si="249"/>
        <v>0.2363667536989269</v>
      </c>
      <c r="AH73" s="20">
        <f t="shared" si="249"/>
        <v>0.20932698633816593</v>
      </c>
      <c r="AI73" s="20">
        <f t="shared" si="249"/>
        <v>0.7219920055741571</v>
      </c>
      <c r="AJ73" s="20">
        <f t="shared" si="249"/>
        <v>0.15484337388726832</v>
      </c>
      <c r="AK73" s="20">
        <f t="shared" si="249"/>
        <v>-0.20126815767721939</v>
      </c>
      <c r="AL73" s="20">
        <f t="shared" si="249"/>
        <v>2.0762572557908587E-2</v>
      </c>
      <c r="AM73" s="20">
        <f t="shared" si="249"/>
        <v>-0.32913182799331742</v>
      </c>
      <c r="AN73" s="20">
        <f t="shared" si="249"/>
        <v>-0.55300442613880163</v>
      </c>
      <c r="AO73" s="20">
        <f t="shared" si="249"/>
        <v>1.27406669255517</v>
      </c>
      <c r="AP73" s="20">
        <f t="shared" si="249"/>
        <v>0.25066377818649199</v>
      </c>
      <c r="AQ73" s="20">
        <f t="shared" si="249"/>
        <v>0.17594935571111159</v>
      </c>
      <c r="AR73" s="20">
        <f t="shared" si="249"/>
        <v>0.24511254928171922</v>
      </c>
      <c r="AS73" s="20">
        <f t="shared" si="249"/>
        <v>0.1214257682607347</v>
      </c>
      <c r="AT73" s="20">
        <f t="shared" si="249"/>
        <v>0.3029596054623529</v>
      </c>
      <c r="AU73" s="20">
        <f t="shared" si="249"/>
        <v>0.15876649039015689</v>
      </c>
      <c r="AV73" s="20">
        <f t="shared" si="249"/>
        <v>8.0665027869905037E-2</v>
      </c>
      <c r="AW73" s="20">
        <f t="shared" si="249"/>
        <v>1.1683709052189961E-2</v>
      </c>
      <c r="AX73" s="20">
        <f t="shared" si="249"/>
        <v>5.1534089224285484E-3</v>
      </c>
      <c r="AY73" s="20">
        <f t="shared" si="249"/>
        <v>-0.2429341465854844</v>
      </c>
      <c r="AZ73" s="20">
        <f t="shared" si="249"/>
        <v>0.2140002582806233</v>
      </c>
      <c r="BA73" s="20">
        <f t="shared" si="249"/>
        <v>0.17314660197169318</v>
      </c>
      <c r="BB73" s="20">
        <f t="shared" si="249"/>
        <v>-3.063194504005684E-2</v>
      </c>
      <c r="BC73" s="20">
        <f t="shared" si="249"/>
        <v>-5.2245059887306877E-2</v>
      </c>
      <c r="BD73" s="20">
        <f t="shared" si="249"/>
        <v>-4.1671978604086002E-2</v>
      </c>
      <c r="BE73" s="20">
        <f t="shared" si="249"/>
        <v>0.21309902024497895</v>
      </c>
      <c r="BF73" s="20">
        <f t="shared" si="249"/>
        <v>3.7308160554744729E-2</v>
      </c>
      <c r="BG73" s="20">
        <f t="shared" si="249"/>
        <v>0.1760359272966443</v>
      </c>
      <c r="BH73" s="20">
        <f t="shared" si="249"/>
        <v>0.12950258685472837</v>
      </c>
      <c r="BI73" s="20">
        <f t="shared" si="249"/>
        <v>6.5377479190763532E-2</v>
      </c>
      <c r="BJ73" s="20">
        <f t="shared" si="249"/>
        <v>0.38914745487093994</v>
      </c>
      <c r="BK73" s="20">
        <f t="shared" si="249"/>
        <v>7.9111505261795223E-3</v>
      </c>
      <c r="BL73" s="20">
        <f t="shared" si="249"/>
        <v>-5.476166672698457E-3</v>
      </c>
      <c r="BM73" s="20">
        <f t="shared" si="249"/>
        <v>5.3389865829044592E-2</v>
      </c>
      <c r="BN73" s="20">
        <f t="shared" si="249"/>
        <v>-0.19291911505028581</v>
      </c>
      <c r="BO73" s="20">
        <f t="shared" si="249"/>
        <v>4.9339783797014869E-2</v>
      </c>
      <c r="BP73" s="20">
        <f t="shared" si="249"/>
        <v>1.1778237891682419E-2</v>
      </c>
      <c r="BQ73" s="20">
        <f t="shared" si="250"/>
        <v>0.49548529463018887</v>
      </c>
      <c r="BR73" s="20">
        <f t="shared" si="250"/>
        <v>-0.16379734255735778</v>
      </c>
      <c r="BS73" s="20">
        <f t="shared" si="250"/>
        <v>-0.10643931475117996</v>
      </c>
      <c r="BT73" s="20">
        <f t="shared" si="250"/>
        <v>-5.2799016562609435E-2</v>
      </c>
      <c r="BU73" s="20">
        <f t="shared" si="250"/>
        <v>-0.17252833239304854</v>
      </c>
      <c r="BV73" s="20">
        <f t="shared" si="250"/>
        <v>0.29042988777736389</v>
      </c>
      <c r="BW73" s="20">
        <f t="shared" si="250"/>
        <v>1.8954525425946889E-2</v>
      </c>
      <c r="BX73" s="20">
        <f t="shared" si="250"/>
        <v>3.4704504968137151E-2</v>
      </c>
      <c r="BY73" s="20">
        <f t="shared" si="250"/>
        <v>5.5532667260375312E-2</v>
      </c>
      <c r="BZ73" s="20">
        <f t="shared" si="250"/>
        <v>-1.5414840567555599E-2</v>
      </c>
      <c r="CA73" s="20">
        <f t="shared" si="250"/>
        <v>-0.11555894700622615</v>
      </c>
      <c r="CB73" s="20">
        <f t="shared" si="250"/>
        <v>-5.6863152997014499E-2</v>
      </c>
      <c r="CC73" s="20">
        <f t="shared" si="250"/>
        <v>0.24661769070199147</v>
      </c>
      <c r="CD73" s="20">
        <f t="shared" si="250"/>
        <v>-6.3400755308413603E-2</v>
      </c>
      <c r="CE73" s="20">
        <f t="shared" si="250"/>
        <v>0.19184679301599639</v>
      </c>
      <c r="CF73" s="20">
        <f t="shared" si="250"/>
        <v>7.010164021899179E-2</v>
      </c>
      <c r="CG73" s="20">
        <f t="shared" si="250"/>
        <v>-4.6058062325339932E-2</v>
      </c>
      <c r="CH73" s="20">
        <f t="shared" si="250"/>
        <v>0.28644724182411507</v>
      </c>
      <c r="CI73" s="20">
        <f t="shared" si="250"/>
        <v>-8.1454134744430085E-2</v>
      </c>
      <c r="CJ73" s="20">
        <f t="shared" si="250"/>
        <v>-2.4365787306576348E-2</v>
      </c>
      <c r="CK73" s="20">
        <f t="shared" si="250"/>
        <v>1.3809572000740511E-2</v>
      </c>
      <c r="CL73" s="20">
        <f t="shared" si="250"/>
        <v>7.4396619884445458E-2</v>
      </c>
      <c r="CM73" s="20">
        <f t="shared" si="250"/>
        <v>-0.14738877133885608</v>
      </c>
      <c r="CN73" s="20">
        <f t="shared" si="250"/>
        <v>8.80700035551083E-2</v>
      </c>
      <c r="CO73" s="20">
        <f t="shared" si="250"/>
        <v>0.16098697735839362</v>
      </c>
      <c r="CP73" s="20">
        <f t="shared" si="250"/>
        <v>-7.2313459571590299E-2</v>
      </c>
      <c r="CQ73" s="20">
        <f t="shared" si="250"/>
        <v>0.23204065785482997</v>
      </c>
      <c r="CR73" s="20">
        <f t="shared" si="250"/>
        <v>8.5822768269650407E-2</v>
      </c>
      <c r="CS73" s="20">
        <f t="shared" si="250"/>
        <v>-9.732414215110663E-2</v>
      </c>
      <c r="CT73" s="20">
        <f t="shared" si="250"/>
        <v>0.18078992575271657</v>
      </c>
      <c r="CU73" s="20">
        <f t="shared" si="250"/>
        <v>-0.1178112639071649</v>
      </c>
      <c r="CV73" s="20">
        <f t="shared" si="250"/>
        <v>-1.0267391932746617E-2</v>
      </c>
      <c r="CW73" s="20">
        <f t="shared" si="250"/>
        <v>-2.3387527007633357E-3</v>
      </c>
      <c r="CX73" s="20">
        <f t="shared" si="250"/>
        <v>6.0096346170395831E-2</v>
      </c>
      <c r="CY73" s="20">
        <f t="shared" si="250"/>
        <v>-9.4249351028678707E-2</v>
      </c>
      <c r="CZ73" s="20">
        <f t="shared" si="250"/>
        <v>-1.1172735272650502E-2</v>
      </c>
      <c r="DA73" s="20">
        <f t="shared" si="250"/>
        <v>0.14177508786570625</v>
      </c>
      <c r="DB73" s="20">
        <f t="shared" si="250"/>
        <v>-5.3589915910658648E-2</v>
      </c>
      <c r="DC73" s="20">
        <f t="shared" si="250"/>
        <v>0.21496947277608469</v>
      </c>
      <c r="DD73" s="20">
        <f t="shared" si="250"/>
        <v>4.6465672711541783E-2</v>
      </c>
      <c r="DE73" s="20">
        <f t="shared" si="250"/>
        <v>-0.10362794909654527</v>
      </c>
      <c r="DF73" s="20">
        <f t="shared" si="250"/>
        <v>0.13843043633068142</v>
      </c>
      <c r="DG73" s="20">
        <f t="shared" si="250"/>
        <v>-7.7348415296123685E-2</v>
      </c>
      <c r="DH73" s="20">
        <f t="shared" si="250"/>
        <v>-8.9363231760261064E-3</v>
      </c>
      <c r="DI73" s="20">
        <f t="shared" si="250"/>
        <v>-5.4858694080894832E-3</v>
      </c>
      <c r="DJ73" s="20">
        <f t="shared" si="250"/>
        <v>6.0086253388303756E-2</v>
      </c>
      <c r="DK73" s="20">
        <f t="shared" si="250"/>
        <v>-9.5484997651635095E-2</v>
      </c>
      <c r="DL73" s="20">
        <f t="shared" si="250"/>
        <v>-1.3562819934882731E-2</v>
      </c>
      <c r="DM73" s="20">
        <f t="shared" si="250"/>
        <v>0.14088662498016258</v>
      </c>
      <c r="DN73" s="20">
        <f t="shared" si="250"/>
        <v>-5.6880287584733846E-2</v>
      </c>
      <c r="DO73" s="20">
        <f t="shared" si="250"/>
        <v>0.21168075120834828</v>
      </c>
      <c r="DP73" s="20">
        <f t="shared" si="250"/>
        <v>4.3618681589085329E-2</v>
      </c>
      <c r="DQ73" s="20">
        <f t="shared" si="250"/>
        <v>-0.10586840732843339</v>
      </c>
      <c r="DR73" s="20">
        <f t="shared" si="250"/>
        <v>0.13034751712139947</v>
      </c>
      <c r="DS73" s="20">
        <f t="shared" si="251"/>
        <v>-9.5907646038497885E-2</v>
      </c>
      <c r="DT73" s="20">
        <f t="shared" si="251"/>
        <v>-9.2149287397300661E-3</v>
      </c>
      <c r="DU73" s="20">
        <f t="shared" si="251"/>
        <v>-5.7698903133551749E-3</v>
      </c>
      <c r="DV73" s="20">
        <f t="shared" si="251"/>
        <v>5.9054138739135231E-2</v>
      </c>
      <c r="DW73" s="20">
        <f t="shared" si="251"/>
        <v>-9.5413561524197332E-2</v>
      </c>
      <c r="DX73" s="20">
        <f t="shared" si="251"/>
        <v>-1.2574374917129205E-2</v>
      </c>
      <c r="DY73" s="20">
        <f t="shared" si="251"/>
        <v>0.13781646958345029</v>
      </c>
      <c r="DZ73" s="20">
        <f t="shared" si="251"/>
        <v>-5.631646883327146E-2</v>
      </c>
      <c r="EA73" s="20">
        <f t="shared" si="251"/>
        <v>0.21171577649400941</v>
      </c>
      <c r="EB73" s="20">
        <f t="shared" si="251"/>
        <v>4.3996479520010068E-2</v>
      </c>
      <c r="EC73" s="20">
        <f t="shared" si="251"/>
        <v>-0.10675530121143106</v>
      </c>
      <c r="ED73" s="20">
        <f t="shared" si="251"/>
        <v>0.12934910310960657</v>
      </c>
      <c r="EE73" s="222"/>
      <c r="EF73" s="20"/>
      <c r="EG73" s="20">
        <f t="shared" si="252"/>
        <v>-0.13533693766135446</v>
      </c>
      <c r="EH73" s="20">
        <f t="shared" si="252"/>
        <v>0.3184689535472327</v>
      </c>
      <c r="EI73" s="20">
        <f t="shared" si="252"/>
        <v>-0.2068150835311785</v>
      </c>
      <c r="EJ73" s="20">
        <f t="shared" si="252"/>
        <v>0.17506956155230369</v>
      </c>
      <c r="EK73" s="20">
        <f t="shared" si="252"/>
        <v>-6.5078075396989732E-2</v>
      </c>
      <c r="EL73" s="20">
        <f t="shared" si="252"/>
        <v>0.16773205397287083</v>
      </c>
      <c r="EM73" s="20">
        <f t="shared" si="252"/>
        <v>0.2447201989614971</v>
      </c>
      <c r="EN73" s="20">
        <f t="shared" si="252"/>
        <v>5.0555754712697798E-2</v>
      </c>
      <c r="EO73" s="20">
        <f t="shared" si="252"/>
        <v>-3.4141180401172644E-3</v>
      </c>
      <c r="EP73" s="20">
        <f t="shared" si="252"/>
        <v>0.18951459640012991</v>
      </c>
      <c r="EQ73" s="20">
        <f t="shared" si="252"/>
        <v>0.19977834345218271</v>
      </c>
      <c r="ER73" s="20">
        <f t="shared" si="252"/>
        <v>-5.6975628223128294E-2</v>
      </c>
      <c r="ES73" s="20">
        <f t="shared" si="252"/>
        <v>-1.504179338013345E-2</v>
      </c>
      <c r="ET73" s="20">
        <f t="shared" si="252"/>
        <v>0.13025419325842802</v>
      </c>
      <c r="EU73" s="20">
        <f t="shared" si="252"/>
        <v>0.13355337703247527</v>
      </c>
      <c r="EV73" s="20">
        <f t="shared" si="252"/>
        <v>-3.9150852466534491E-2</v>
      </c>
      <c r="EW73" s="20">
        <f t="shared" si="252"/>
        <v>-1.8307249882202226E-2</v>
      </c>
      <c r="EX73" s="20">
        <f t="shared" si="252"/>
        <v>0.1231846092266351</v>
      </c>
      <c r="EY73" s="20">
        <f t="shared" si="252"/>
        <v>0.12262772989453752</v>
      </c>
      <c r="EZ73" s="20">
        <f t="shared" si="253"/>
        <v>-6.3905111463300357E-2</v>
      </c>
      <c r="FA73" s="20">
        <f t="shared" si="254"/>
        <v>-1.9179829495493572E-2</v>
      </c>
      <c r="FB73" s="20">
        <f t="shared" si="255"/>
        <v>0.12142281847488912</v>
      </c>
      <c r="FC73" s="20">
        <f t="shared" si="256"/>
        <v>0.12219656801036205</v>
      </c>
      <c r="FD73" s="785"/>
      <c r="FE73" s="20">
        <f t="shared" si="252"/>
        <v>0</v>
      </c>
      <c r="FF73" s="20">
        <f t="shared" si="252"/>
        <v>0.19212184134096222</v>
      </c>
      <c r="FG73" s="20">
        <f t="shared" si="252"/>
        <v>0.49881839373989711</v>
      </c>
      <c r="FH73" s="20">
        <f t="shared" si="252"/>
        <v>0.27011670633047302</v>
      </c>
      <c r="FI73" s="20">
        <f t="shared" si="252"/>
        <v>0.20196027130234517</v>
      </c>
      <c r="FJ73" s="20">
        <f t="shared" si="252"/>
        <v>0.15682819022731564</v>
      </c>
      <c r="FK73" s="545" t="s">
        <v>1</v>
      </c>
    </row>
    <row r="74" spans="2:167" x14ac:dyDescent="0.2">
      <c r="B74" s="228" t="s">
        <v>315</v>
      </c>
      <c r="C74" s="19"/>
      <c r="D74" s="20">
        <f t="shared" si="257"/>
        <v>0.48563752880224809</v>
      </c>
      <c r="E74" s="20">
        <f t="shared" ref="E74:BP76" si="258">IFERROR((E66/D66-1),0)</f>
        <v>-7.2533569143068521E-2</v>
      </c>
      <c r="F74" s="20">
        <f t="shared" si="258"/>
        <v>-0.13658055982481654</v>
      </c>
      <c r="G74" s="20">
        <f t="shared" si="258"/>
        <v>-0.40052751848726842</v>
      </c>
      <c r="H74" s="20">
        <f t="shared" si="258"/>
        <v>-0.25782727601794508</v>
      </c>
      <c r="I74" s="20">
        <f t="shared" si="258"/>
        <v>0.23574453282253827</v>
      </c>
      <c r="J74" s="20">
        <f t="shared" si="258"/>
        <v>-0.10514138771446313</v>
      </c>
      <c r="K74" s="20">
        <f t="shared" si="258"/>
        <v>0.2741258517354892</v>
      </c>
      <c r="L74" s="20">
        <f t="shared" si="258"/>
        <v>4.9428317709539149E-2</v>
      </c>
      <c r="M74" s="20">
        <f t="shared" si="258"/>
        <v>-0.11350481044667027</v>
      </c>
      <c r="N74" s="20">
        <f t="shared" si="258"/>
        <v>-8.9036824392880853E-2</v>
      </c>
      <c r="O74" s="20">
        <f t="shared" si="258"/>
        <v>-1.5396438413539215E-2</v>
      </c>
      <c r="P74" s="20">
        <f t="shared" si="258"/>
        <v>0.12384150877278488</v>
      </c>
      <c r="Q74" s="20">
        <f t="shared" si="258"/>
        <v>2.9042843817760122E-2</v>
      </c>
      <c r="R74" s="20">
        <f t="shared" si="258"/>
        <v>0.1382997910110475</v>
      </c>
      <c r="S74" s="20">
        <f t="shared" si="258"/>
        <v>7.6683066602039052E-2</v>
      </c>
      <c r="T74" s="20">
        <f t="shared" si="258"/>
        <v>4.9889472402364632E-3</v>
      </c>
      <c r="U74" s="20">
        <f t="shared" si="258"/>
        <v>0.28889637086746589</v>
      </c>
      <c r="V74" s="20">
        <f t="shared" si="258"/>
        <v>-0.25856867984508725</v>
      </c>
      <c r="W74" s="20">
        <f t="shared" si="258"/>
        <v>3.8630998603985445E-2</v>
      </c>
      <c r="X74" s="20">
        <f t="shared" si="258"/>
        <v>0.15438435145743901</v>
      </c>
      <c r="Y74" s="20">
        <f t="shared" si="258"/>
        <v>-6.8108108856171579E-2</v>
      </c>
      <c r="Z74" s="20">
        <f t="shared" si="258"/>
        <v>-0.18142533788257376</v>
      </c>
      <c r="AA74" s="20">
        <f t="shared" si="258"/>
        <v>-0.98205055947054243</v>
      </c>
      <c r="AB74" s="20">
        <f t="shared" si="258"/>
        <v>31.858986237218467</v>
      </c>
      <c r="AC74" s="20">
        <f t="shared" si="258"/>
        <v>2.1116523668517715</v>
      </c>
      <c r="AD74" s="20">
        <f t="shared" si="258"/>
        <v>0.4972161326898219</v>
      </c>
      <c r="AE74" s="20">
        <f t="shared" si="258"/>
        <v>0.31130481746183003</v>
      </c>
      <c r="AF74" s="20">
        <f t="shared" si="258"/>
        <v>5.1986260411392093E-2</v>
      </c>
      <c r="AG74" s="20">
        <f t="shared" si="258"/>
        <v>0.22185537677900524</v>
      </c>
      <c r="AH74" s="20">
        <f t="shared" si="258"/>
        <v>-0.19521753010832932</v>
      </c>
      <c r="AI74" s="20">
        <f t="shared" si="258"/>
        <v>-0.13449510773337825</v>
      </c>
      <c r="AJ74" s="20">
        <f t="shared" si="258"/>
        <v>0.2372016191830526</v>
      </c>
      <c r="AK74" s="20">
        <f t="shared" si="258"/>
        <v>-0.12564500938195478</v>
      </c>
      <c r="AL74" s="20">
        <f t="shared" si="258"/>
        <v>0.13137251741958766</v>
      </c>
      <c r="AM74" s="20">
        <f t="shared" si="258"/>
        <v>-0.26350129006021816</v>
      </c>
      <c r="AN74" s="20">
        <f t="shared" si="258"/>
        <v>-0.54941564049948133</v>
      </c>
      <c r="AO74" s="20">
        <f t="shared" si="258"/>
        <v>2.0764030495679409</v>
      </c>
      <c r="AP74" s="20">
        <f t="shared" si="258"/>
        <v>0.29372465714807383</v>
      </c>
      <c r="AQ74" s="20">
        <f t="shared" si="258"/>
        <v>0.15543946063116865</v>
      </c>
      <c r="AR74" s="20">
        <f t="shared" si="258"/>
        <v>-3.2257618930782606E-2</v>
      </c>
      <c r="AS74" s="20">
        <f t="shared" si="258"/>
        <v>0.4152725062783742</v>
      </c>
      <c r="AT74" s="20">
        <f t="shared" si="258"/>
        <v>-0.35218048121141554</v>
      </c>
      <c r="AU74" s="20">
        <f t="shared" si="258"/>
        <v>9.775392403059624E-2</v>
      </c>
      <c r="AV74" s="20">
        <f t="shared" si="258"/>
        <v>7.8056667953864345E-2</v>
      </c>
      <c r="AW74" s="20">
        <f t="shared" si="258"/>
        <v>-7.9961429684375251E-2</v>
      </c>
      <c r="AX74" s="20">
        <f t="shared" si="258"/>
        <v>0.30031103705458717</v>
      </c>
      <c r="AY74" s="20">
        <f t="shared" si="258"/>
        <v>-0.10809889286811036</v>
      </c>
      <c r="AZ74" s="20">
        <f t="shared" si="258"/>
        <v>-4.8853339381873639E-2</v>
      </c>
      <c r="BA74" s="20">
        <f t="shared" si="258"/>
        <v>0.1166844185161855</v>
      </c>
      <c r="BB74" s="20">
        <f t="shared" si="258"/>
        <v>-1.6695599776658576E-2</v>
      </c>
      <c r="BC74" s="20">
        <f t="shared" si="258"/>
        <v>4.1074956154932618E-2</v>
      </c>
      <c r="BD74" s="20">
        <f t="shared" si="258"/>
        <v>0.24917195289012861</v>
      </c>
      <c r="BE74" s="20">
        <f t="shared" si="258"/>
        <v>2.4323799720409767E-2</v>
      </c>
      <c r="BF74" s="20">
        <f t="shared" si="258"/>
        <v>-0.20079587576045288</v>
      </c>
      <c r="BG74" s="20">
        <f t="shared" si="258"/>
        <v>0.13061561860511972</v>
      </c>
      <c r="BH74" s="20">
        <f t="shared" si="258"/>
        <v>0.13346561508640398</v>
      </c>
      <c r="BI74" s="20">
        <f t="shared" si="258"/>
        <v>-7.2665174055906556E-2</v>
      </c>
      <c r="BJ74" s="20">
        <f t="shared" si="258"/>
        <v>0.12995219255894619</v>
      </c>
      <c r="BK74" s="20">
        <f t="shared" si="258"/>
        <v>9.7712734459713957E-2</v>
      </c>
      <c r="BL74" s="20">
        <f t="shared" si="258"/>
        <v>4.6522433131042984E-2</v>
      </c>
      <c r="BM74" s="20">
        <f t="shared" si="258"/>
        <v>-7.3221047074912837E-3</v>
      </c>
      <c r="BN74" s="20">
        <f t="shared" si="258"/>
        <v>9.1974029507030375E-2</v>
      </c>
      <c r="BO74" s="20">
        <f t="shared" si="258"/>
        <v>3.1359451469801902E-2</v>
      </c>
      <c r="BP74" s="20">
        <f t="shared" si="258"/>
        <v>-0.11001588605200163</v>
      </c>
      <c r="BQ74" s="20">
        <f t="shared" si="250"/>
        <v>0.48540792678432765</v>
      </c>
      <c r="BR74" s="20">
        <f t="shared" si="250"/>
        <v>-0.167142528922406</v>
      </c>
      <c r="BS74" s="20">
        <f t="shared" si="250"/>
        <v>-7.5037915615622452E-2</v>
      </c>
      <c r="BT74" s="20">
        <f t="shared" si="250"/>
        <v>0.13653251857654758</v>
      </c>
      <c r="BU74" s="20">
        <f t="shared" si="250"/>
        <v>-0.11471340957123577</v>
      </c>
      <c r="BV74" s="20">
        <f t="shared" si="250"/>
        <v>2.3430719975939152E-2</v>
      </c>
      <c r="BW74" s="20">
        <f t="shared" si="250"/>
        <v>-4.365882714806546E-2</v>
      </c>
      <c r="BX74" s="20">
        <f t="shared" si="250"/>
        <v>0.15731695390774147</v>
      </c>
      <c r="BY74" s="20">
        <f t="shared" si="250"/>
        <v>-7.6594715462175E-2</v>
      </c>
      <c r="BZ74" s="20">
        <f t="shared" si="250"/>
        <v>0.17614745061957748</v>
      </c>
      <c r="CA74" s="20">
        <f t="shared" si="250"/>
        <v>-5.6403323466411748E-2</v>
      </c>
      <c r="CB74" s="20">
        <f t="shared" si="250"/>
        <v>-4.8662970401845973E-2</v>
      </c>
      <c r="CC74" s="20">
        <f t="shared" si="250"/>
        <v>0.40625380283061641</v>
      </c>
      <c r="CD74" s="20">
        <f t="shared" si="250"/>
        <v>-0.23139939287094757</v>
      </c>
      <c r="CE74" s="20">
        <f t="shared" si="250"/>
        <v>2.4292051947404358E-2</v>
      </c>
      <c r="CF74" s="20">
        <f t="shared" si="250"/>
        <v>7.8311546939429544E-2</v>
      </c>
      <c r="CG74" s="20">
        <f t="shared" si="250"/>
        <v>-1.2102858679892137E-3</v>
      </c>
      <c r="CH74" s="20">
        <f t="shared" si="250"/>
        <v>-2.0787690181724883E-2</v>
      </c>
      <c r="CI74" s="20">
        <f t="shared" si="250"/>
        <v>8.2779623414663828E-3</v>
      </c>
      <c r="CJ74" s="20">
        <f t="shared" si="250"/>
        <v>5.7436996088115366E-2</v>
      </c>
      <c r="CK74" s="20">
        <f t="shared" si="250"/>
        <v>-1.4215662415188901E-2</v>
      </c>
      <c r="CL74" s="20">
        <f t="shared" si="250"/>
        <v>5.6889145659401397E-2</v>
      </c>
      <c r="CM74" s="20">
        <f t="shared" si="250"/>
        <v>-7.5817976975441348E-2</v>
      </c>
      <c r="CN74" s="20">
        <f t="shared" si="250"/>
        <v>0.20733137521637146</v>
      </c>
      <c r="CO74" s="20">
        <f t="shared" si="250"/>
        <v>0.26248233959701905</v>
      </c>
      <c r="CP74" s="20">
        <f t="shared" si="250"/>
        <v>-0.22625856962604329</v>
      </c>
      <c r="CQ74" s="20">
        <f t="shared" si="250"/>
        <v>4.4804416161094762E-2</v>
      </c>
      <c r="CR74" s="20">
        <f t="shared" si="250"/>
        <v>4.444298434896421E-2</v>
      </c>
      <c r="CS74" s="20">
        <f t="shared" si="250"/>
        <v>-0.12309248177089249</v>
      </c>
      <c r="CT74" s="20">
        <f t="shared" si="250"/>
        <v>0.26553259150026531</v>
      </c>
      <c r="CU74" s="20">
        <f t="shared" si="250"/>
        <v>-0.11289212810243276</v>
      </c>
      <c r="CV74" s="20">
        <f t="shared" si="250"/>
        <v>8.9631548166095865E-2</v>
      </c>
      <c r="CW74" s="20">
        <f t="shared" si="250"/>
        <v>-1.1823521293072958E-2</v>
      </c>
      <c r="CX74" s="20">
        <f t="shared" si="250"/>
        <v>9.3330022657438061E-2</v>
      </c>
      <c r="CY74" s="20">
        <f t="shared" si="250"/>
        <v>-6.6612729234088452E-2</v>
      </c>
      <c r="CZ74" s="20">
        <f t="shared" si="250"/>
        <v>0.16168129077388649</v>
      </c>
      <c r="DA74" s="20">
        <f t="shared" si="250"/>
        <v>0.23612729248209852</v>
      </c>
      <c r="DB74" s="20">
        <f t="shared" si="250"/>
        <v>-0.25978248207648058</v>
      </c>
      <c r="DC74" s="20">
        <f t="shared" si="250"/>
        <v>3.3191221494177192E-2</v>
      </c>
      <c r="DD74" s="20">
        <f t="shared" si="250"/>
        <v>4.9184413858040843E-2</v>
      </c>
      <c r="DE74" s="20">
        <f t="shared" si="250"/>
        <v>-0.14258941533588498</v>
      </c>
      <c r="DF74" s="20">
        <f t="shared" si="250"/>
        <v>0.21477388172274736</v>
      </c>
      <c r="DG74" s="20">
        <f t="shared" si="250"/>
        <v>-9.002901709347555E-2</v>
      </c>
      <c r="DH74" s="20">
        <f t="shared" si="250"/>
        <v>8.9631548166095643E-2</v>
      </c>
      <c r="DI74" s="20">
        <f t="shared" si="250"/>
        <v>-1.1823521293072958E-2</v>
      </c>
      <c r="DJ74" s="20">
        <f t="shared" si="250"/>
        <v>9.3330022657438061E-2</v>
      </c>
      <c r="DK74" s="20">
        <f t="shared" si="250"/>
        <v>-6.6612729234088452E-2</v>
      </c>
      <c r="DL74" s="20">
        <f t="shared" si="250"/>
        <v>0.16168129077388649</v>
      </c>
      <c r="DM74" s="20">
        <f t="shared" si="250"/>
        <v>0.23612729248209874</v>
      </c>
      <c r="DN74" s="20">
        <f t="shared" si="250"/>
        <v>-0.2597824820764808</v>
      </c>
      <c r="DO74" s="20">
        <f t="shared" si="250"/>
        <v>3.3191221494177414E-2</v>
      </c>
      <c r="DP74" s="20">
        <f t="shared" si="250"/>
        <v>4.9184413858040843E-2</v>
      </c>
      <c r="DQ74" s="20">
        <f t="shared" si="250"/>
        <v>-0.14258941533588498</v>
      </c>
      <c r="DR74" s="20">
        <f t="shared" si="250"/>
        <v>0.21477388172274736</v>
      </c>
      <c r="DS74" s="20">
        <f t="shared" si="251"/>
        <v>-0.12794447471458092</v>
      </c>
      <c r="DT74" s="20">
        <f t="shared" si="251"/>
        <v>8.9631548166095865E-2</v>
      </c>
      <c r="DU74" s="20">
        <f t="shared" si="251"/>
        <v>-1.1823521293072958E-2</v>
      </c>
      <c r="DV74" s="20">
        <f t="shared" si="251"/>
        <v>9.3330022657438283E-2</v>
      </c>
      <c r="DW74" s="20">
        <f t="shared" si="251"/>
        <v>-6.6612729234088564E-2</v>
      </c>
      <c r="DX74" s="20">
        <f t="shared" si="251"/>
        <v>0.16168129077388649</v>
      </c>
      <c r="DY74" s="20">
        <f t="shared" si="251"/>
        <v>0.23612729248209896</v>
      </c>
      <c r="DZ74" s="20">
        <f t="shared" si="251"/>
        <v>-0.25978248207648091</v>
      </c>
      <c r="EA74" s="20">
        <f t="shared" si="251"/>
        <v>3.3191221494177414E-2</v>
      </c>
      <c r="EB74" s="20">
        <f t="shared" si="251"/>
        <v>4.9184413858040843E-2</v>
      </c>
      <c r="EC74" s="20">
        <f t="shared" si="251"/>
        <v>-0.14258941533588487</v>
      </c>
      <c r="ED74" s="20">
        <f t="shared" si="251"/>
        <v>0.21477388172274758</v>
      </c>
      <c r="EE74" s="222"/>
      <c r="EF74" s="20"/>
      <c r="EG74" s="20">
        <f t="shared" si="252"/>
        <v>8.4356960477423915E-2</v>
      </c>
      <c r="EH74" s="20">
        <f t="shared" si="252"/>
        <v>0.20347405549822195</v>
      </c>
      <c r="EI74" s="20">
        <f t="shared" si="252"/>
        <v>-6.1196313047414574E-2</v>
      </c>
      <c r="EJ74" s="20">
        <f t="shared" si="252"/>
        <v>1.4035488103578686E-3</v>
      </c>
      <c r="EK74" s="20">
        <f t="shared" si="252"/>
        <v>0.10702334071617692</v>
      </c>
      <c r="EL74" s="20">
        <f t="shared" si="252"/>
        <v>0.13556066464415806</v>
      </c>
      <c r="EM74" s="20">
        <f t="shared" si="252"/>
        <v>-1.1260722611232343E-2</v>
      </c>
      <c r="EN74" s="20">
        <f t="shared" si="252"/>
        <v>2.6877438716617297E-2</v>
      </c>
      <c r="EO74" s="20">
        <f t="shared" si="252"/>
        <v>8.042959036122066E-2</v>
      </c>
      <c r="EP74" s="20">
        <f t="shared" si="252"/>
        <v>0.1965217926331968</v>
      </c>
      <c r="EQ74" s="20">
        <f t="shared" si="252"/>
        <v>-2.3391955571302803E-2</v>
      </c>
      <c r="ER74" s="20">
        <f t="shared" si="252"/>
        <v>4.3711360950816625E-2</v>
      </c>
      <c r="ES74" s="20">
        <f t="shared" si="252"/>
        <v>0.12195765520444146</v>
      </c>
      <c r="ET74" s="20">
        <f t="shared" si="252"/>
        <v>0.11261888411209653</v>
      </c>
      <c r="EU74" s="20">
        <f t="shared" si="252"/>
        <v>-7.1402904309962101E-2</v>
      </c>
      <c r="EV74" s="20">
        <f t="shared" si="252"/>
        <v>3.5216134392570098E-2</v>
      </c>
      <c r="EW74" s="20">
        <f t="shared" si="252"/>
        <v>0.12195765520444146</v>
      </c>
      <c r="EX74" s="20">
        <f t="shared" si="252"/>
        <v>0.11261888411209675</v>
      </c>
      <c r="EY74" s="20">
        <f t="shared" si="252"/>
        <v>-7.1402904309962212E-2</v>
      </c>
      <c r="EZ74" s="20">
        <f t="shared" si="253"/>
        <v>-7.9178712071201751E-3</v>
      </c>
      <c r="FA74" s="20">
        <f t="shared" si="254"/>
        <v>0.12195765520444124</v>
      </c>
      <c r="FB74" s="20">
        <f t="shared" si="255"/>
        <v>0.11261888411209697</v>
      </c>
      <c r="FC74" s="20">
        <f t="shared" si="256"/>
        <v>-7.1402904309962212E-2</v>
      </c>
      <c r="FD74" s="785"/>
      <c r="FE74" s="20">
        <f t="shared" si="252"/>
        <v>0</v>
      </c>
      <c r="FF74" s="20">
        <f t="shared" si="252"/>
        <v>0.22487732534730198</v>
      </c>
      <c r="FG74" s="20">
        <f t="shared" si="252"/>
        <v>0.28428131170903415</v>
      </c>
      <c r="FH74" s="20">
        <f t="shared" si="252"/>
        <v>0.28750000000000031</v>
      </c>
      <c r="FI74" s="20">
        <f t="shared" si="252"/>
        <v>0.19999999999999996</v>
      </c>
      <c r="FJ74" s="20">
        <f t="shared" si="252"/>
        <v>0.14999999999999991</v>
      </c>
      <c r="FK74" s="545" t="s">
        <v>1</v>
      </c>
    </row>
    <row r="75" spans="2:167" x14ac:dyDescent="0.2">
      <c r="B75" s="228" t="s">
        <v>316</v>
      </c>
      <c r="C75" s="19"/>
      <c r="D75" s="20">
        <f t="shared" si="257"/>
        <v>0</v>
      </c>
      <c r="E75" s="20">
        <f t="shared" si="258"/>
        <v>0</v>
      </c>
      <c r="F75" s="20">
        <f t="shared" si="258"/>
        <v>0</v>
      </c>
      <c r="G75" s="20">
        <f t="shared" si="258"/>
        <v>0</v>
      </c>
      <c r="H75" s="20">
        <f t="shared" si="258"/>
        <v>0</v>
      </c>
      <c r="I75" s="20">
        <f t="shared" si="258"/>
        <v>0</v>
      </c>
      <c r="J75" s="20">
        <f t="shared" si="258"/>
        <v>0</v>
      </c>
      <c r="K75" s="20">
        <f t="shared" si="258"/>
        <v>0</v>
      </c>
      <c r="L75" s="20">
        <f t="shared" si="258"/>
        <v>0</v>
      </c>
      <c r="M75" s="20">
        <f t="shared" si="258"/>
        <v>0</v>
      </c>
      <c r="N75" s="20">
        <f t="shared" si="258"/>
        <v>0</v>
      </c>
      <c r="O75" s="20">
        <f t="shared" si="258"/>
        <v>0</v>
      </c>
      <c r="P75" s="20">
        <f t="shared" si="258"/>
        <v>0</v>
      </c>
      <c r="Q75" s="20">
        <f t="shared" si="258"/>
        <v>0</v>
      </c>
      <c r="R75" s="20">
        <f t="shared" si="258"/>
        <v>0</v>
      </c>
      <c r="S75" s="20">
        <f t="shared" si="258"/>
        <v>0</v>
      </c>
      <c r="T75" s="20">
        <f t="shared" si="258"/>
        <v>0</v>
      </c>
      <c r="U75" s="20">
        <f t="shared" si="258"/>
        <v>0</v>
      </c>
      <c r="V75" s="20">
        <f t="shared" si="258"/>
        <v>0</v>
      </c>
      <c r="W75" s="20">
        <f t="shared" si="258"/>
        <v>0</v>
      </c>
      <c r="X75" s="20">
        <f t="shared" si="258"/>
        <v>0</v>
      </c>
      <c r="Y75" s="20">
        <f t="shared" si="258"/>
        <v>0</v>
      </c>
      <c r="Z75" s="20">
        <f t="shared" si="258"/>
        <v>0</v>
      </c>
      <c r="AA75" s="20">
        <f t="shared" si="258"/>
        <v>0</v>
      </c>
      <c r="AB75" s="20">
        <f t="shared" si="258"/>
        <v>0</v>
      </c>
      <c r="AC75" s="20">
        <f t="shared" si="258"/>
        <v>0</v>
      </c>
      <c r="AD75" s="20">
        <f t="shared" si="258"/>
        <v>6.5318350904727707E-2</v>
      </c>
      <c r="AE75" s="20">
        <f t="shared" si="258"/>
        <v>5.504611365712897E-2</v>
      </c>
      <c r="AF75" s="20">
        <f t="shared" si="258"/>
        <v>-0.12650728513142451</v>
      </c>
      <c r="AG75" s="20">
        <f t="shared" si="258"/>
        <v>-6.2350385361911176E-2</v>
      </c>
      <c r="AH75" s="20">
        <f t="shared" si="258"/>
        <v>-2.7203705835261438E-2</v>
      </c>
      <c r="AI75" s="20">
        <f t="shared" si="258"/>
        <v>1.5940727315064684E-2</v>
      </c>
      <c r="AJ75" s="20">
        <f t="shared" si="258"/>
        <v>1.1524410156184217E-2</v>
      </c>
      <c r="AK75" s="20">
        <f t="shared" si="258"/>
        <v>0.11263098988380871</v>
      </c>
      <c r="AL75" s="20">
        <f t="shared" si="258"/>
        <v>0.14460447265727905</v>
      </c>
      <c r="AM75" s="20">
        <f t="shared" si="258"/>
        <v>-0.39037085851245257</v>
      </c>
      <c r="AN75" s="20">
        <f t="shared" si="258"/>
        <v>-0.99731571561913424</v>
      </c>
      <c r="AO75" s="20">
        <f t="shared" si="258"/>
        <v>634.34992650253548</v>
      </c>
      <c r="AP75" s="20">
        <f t="shared" si="258"/>
        <v>0.42504463563987849</v>
      </c>
      <c r="AQ75" s="20">
        <f t="shared" si="258"/>
        <v>7.9016605781384808E-2</v>
      </c>
      <c r="AR75" s="20">
        <f t="shared" si="258"/>
        <v>0.2560039964237395</v>
      </c>
      <c r="AS75" s="20">
        <f t="shared" si="258"/>
        <v>-4.3546267602525557E-2</v>
      </c>
      <c r="AT75" s="20">
        <f t="shared" si="258"/>
        <v>7.3285941116587594E-2</v>
      </c>
      <c r="AU75" s="20">
        <f t="shared" si="258"/>
        <v>0.42984580682322537</v>
      </c>
      <c r="AV75" s="20">
        <f t="shared" si="258"/>
        <v>-2.0513643260152481E-2</v>
      </c>
      <c r="AW75" s="20">
        <f t="shared" si="258"/>
        <v>-2.8679159714607438E-3</v>
      </c>
      <c r="AX75" s="20">
        <f t="shared" si="258"/>
        <v>4.2433290036233862E-2</v>
      </c>
      <c r="AY75" s="20">
        <f t="shared" si="258"/>
        <v>6.5150234800957385E-2</v>
      </c>
      <c r="AZ75" s="20">
        <f t="shared" si="258"/>
        <v>0.118806268350516</v>
      </c>
      <c r="BA75" s="20">
        <f t="shared" si="258"/>
        <v>6.0475680272040533E-2</v>
      </c>
      <c r="BB75" s="20">
        <f t="shared" si="258"/>
        <v>0.15511976084216617</v>
      </c>
      <c r="BC75" s="20">
        <f t="shared" si="258"/>
        <v>8.2313674728452746E-2</v>
      </c>
      <c r="BD75" s="20">
        <f t="shared" si="258"/>
        <v>-1.8689014956477124E-2</v>
      </c>
      <c r="BE75" s="20">
        <f t="shared" si="258"/>
        <v>-4.8356180634382295E-2</v>
      </c>
      <c r="BF75" s="20">
        <f t="shared" si="258"/>
        <v>-6.6723405965923854E-3</v>
      </c>
      <c r="BG75" s="20">
        <f t="shared" si="258"/>
        <v>1.7094927919037106E-2</v>
      </c>
      <c r="BH75" s="20">
        <f t="shared" si="258"/>
        <v>0.10059394285538592</v>
      </c>
      <c r="BI75" s="20">
        <f t="shared" si="258"/>
        <v>-1.3222710742767929E-2</v>
      </c>
      <c r="BJ75" s="20">
        <f t="shared" si="258"/>
        <v>4.3220904287815998E-2</v>
      </c>
      <c r="BK75" s="20">
        <f t="shared" si="258"/>
        <v>3.9483163603804883E-2</v>
      </c>
      <c r="BL75" s="20">
        <f t="shared" si="258"/>
        <v>4.8807775616071858E-2</v>
      </c>
      <c r="BM75" s="20">
        <f t="shared" si="258"/>
        <v>6.0216107705346467E-2</v>
      </c>
      <c r="BN75" s="20">
        <f t="shared" si="258"/>
        <v>3.3960921201494854E-2</v>
      </c>
      <c r="BO75" s="20">
        <f t="shared" si="258"/>
        <v>0.14180002005056225</v>
      </c>
      <c r="BP75" s="20">
        <f t="shared" si="258"/>
        <v>-0.10364316487874004</v>
      </c>
      <c r="BQ75" s="20">
        <f t="shared" si="250"/>
        <v>0.14610609447961509</v>
      </c>
      <c r="BR75" s="20">
        <f t="shared" si="250"/>
        <v>-0.25331184086627556</v>
      </c>
      <c r="BS75" s="20">
        <f t="shared" si="250"/>
        <v>-5.6207678449284537E-2</v>
      </c>
      <c r="BT75" s="20">
        <f t="shared" si="250"/>
        <v>-5.4952593726373067E-2</v>
      </c>
      <c r="BU75" s="20">
        <f t="shared" si="250"/>
        <v>4.384067599538044E-2</v>
      </c>
      <c r="BV75" s="20">
        <f t="shared" si="250"/>
        <v>0.14591740840977607</v>
      </c>
      <c r="BW75" s="20">
        <f t="shared" si="250"/>
        <v>5.8528894569215728E-2</v>
      </c>
      <c r="BX75" s="20">
        <f t="shared" si="250"/>
        <v>4.8708498300365832E-2</v>
      </c>
      <c r="BY75" s="20">
        <f t="shared" si="250"/>
        <v>9.9614455449181571E-2</v>
      </c>
      <c r="BZ75" s="20">
        <f t="shared" si="250"/>
        <v>3.6464890525774285E-2</v>
      </c>
      <c r="CA75" s="20">
        <f t="shared" si="250"/>
        <v>-2.0363590819967192E-2</v>
      </c>
      <c r="CB75" s="20">
        <f t="shared" si="250"/>
        <v>-9.2822620228124708E-2</v>
      </c>
      <c r="CC75" s="20">
        <f t="shared" si="250"/>
        <v>0.17517480055181411</v>
      </c>
      <c r="CD75" s="20">
        <f t="shared" si="250"/>
        <v>-0.12778327433580616</v>
      </c>
      <c r="CE75" s="20">
        <f t="shared" si="250"/>
        <v>0.17297631772586541</v>
      </c>
      <c r="CF75" s="20">
        <f t="shared" si="250"/>
        <v>-1.2602913192270582E-2</v>
      </c>
      <c r="CG75" s="20">
        <f t="shared" si="250"/>
        <v>-0.11259636212071067</v>
      </c>
      <c r="CH75" s="20">
        <f t="shared" si="250"/>
        <v>0.26280991943258325</v>
      </c>
      <c r="CI75" s="20">
        <f t="shared" si="250"/>
        <v>-7.3083797354908553E-2</v>
      </c>
      <c r="CJ75" s="20">
        <f t="shared" si="250"/>
        <v>4.4871444441304309E-2</v>
      </c>
      <c r="CK75" s="20">
        <f t="shared" si="250"/>
        <v>-7.9304863427929417E-2</v>
      </c>
      <c r="CL75" s="20">
        <f t="shared" si="250"/>
        <v>0.15511914993521447</v>
      </c>
      <c r="CM75" s="20">
        <f t="shared" si="250"/>
        <v>5.3022456434196119E-2</v>
      </c>
      <c r="CN75" s="20">
        <f t="shared" si="250"/>
        <v>-5.4465354311846848E-2</v>
      </c>
      <c r="CO75" s="20">
        <f t="shared" si="250"/>
        <v>0.15952962959443684</v>
      </c>
      <c r="CP75" s="20">
        <f t="shared" si="250"/>
        <v>-3.0783162692438082E-2</v>
      </c>
      <c r="CQ75" s="20">
        <f t="shared" si="250"/>
        <v>0.23425155021035482</v>
      </c>
      <c r="CR75" s="20">
        <f t="shared" si="250"/>
        <v>-6.3454643911397435E-2</v>
      </c>
      <c r="CS75" s="20">
        <f t="shared" si="250"/>
        <v>-2.7996653538249872E-2</v>
      </c>
      <c r="CT75" s="20">
        <f t="shared" si="250"/>
        <v>0.50831850993847749</v>
      </c>
      <c r="CU75" s="20">
        <f t="shared" si="250"/>
        <v>-0.32396444574606986</v>
      </c>
      <c r="CV75" s="20">
        <f t="shared" si="250"/>
        <v>1.4897007494416359E-2</v>
      </c>
      <c r="CW75" s="20">
        <f t="shared" si="250"/>
        <v>1.5640242313022412E-2</v>
      </c>
      <c r="CX75" s="20">
        <f t="shared" si="250"/>
        <v>-7.5590708620468794E-3</v>
      </c>
      <c r="CY75" s="20">
        <f t="shared" si="250"/>
        <v>3.9666709295588243E-2</v>
      </c>
      <c r="CZ75" s="20">
        <f t="shared" si="250"/>
        <v>3.3493656940521976E-2</v>
      </c>
      <c r="DA75" s="20">
        <f t="shared" si="250"/>
        <v>-3.4807630167639991E-2</v>
      </c>
      <c r="DB75" s="20">
        <f t="shared" si="250"/>
        <v>3.275055018078743E-2</v>
      </c>
      <c r="DC75" s="20">
        <f t="shared" si="250"/>
        <v>-2.9579731536021669E-2</v>
      </c>
      <c r="DD75" s="20">
        <f t="shared" si="250"/>
        <v>3.480176274010871E-3</v>
      </c>
      <c r="DE75" s="20">
        <f t="shared" si="250"/>
        <v>3.2478277524239374E-2</v>
      </c>
      <c r="DF75" s="20">
        <f t="shared" si="250"/>
        <v>-1.915349012456169E-2</v>
      </c>
      <c r="DG75" s="20">
        <f t="shared" si="250"/>
        <v>3.166501024954127E-2</v>
      </c>
      <c r="DH75" s="20">
        <f t="shared" si="250"/>
        <v>1.8297275894244569E-2</v>
      </c>
      <c r="DI75" s="20">
        <f t="shared" si="250"/>
        <v>1.0771839472238032E-2</v>
      </c>
      <c r="DJ75" s="20">
        <f t="shared" si="250"/>
        <v>-1.0120253350382802E-2</v>
      </c>
      <c r="DK75" s="20">
        <f t="shared" si="250"/>
        <v>4.1072708711600292E-2</v>
      </c>
      <c r="DL75" s="20">
        <f t="shared" si="250"/>
        <v>3.3375884814624168E-2</v>
      </c>
      <c r="DM75" s="20">
        <f t="shared" si="250"/>
        <v>-4.3270032861923879E-2</v>
      </c>
      <c r="DN75" s="20">
        <f t="shared" si="250"/>
        <v>3.0032822375936963E-2</v>
      </c>
      <c r="DO75" s="20">
        <f t="shared" si="250"/>
        <v>-3.7513981384967976E-2</v>
      </c>
      <c r="DP75" s="20">
        <f t="shared" si="250"/>
        <v>-1.201050719336294E-3</v>
      </c>
      <c r="DQ75" s="20">
        <f t="shared" si="250"/>
        <v>3.0042073282484205E-2</v>
      </c>
      <c r="DR75" s="20">
        <f t="shared" si="250"/>
        <v>-3.4015368327764528E-2</v>
      </c>
      <c r="DS75" s="20">
        <f t="shared" si="251"/>
        <v>4.1919449875659431E-2</v>
      </c>
      <c r="DT75" s="20">
        <f t="shared" si="251"/>
        <v>1.7829408418487791E-2</v>
      </c>
      <c r="DU75" s="20">
        <f t="shared" si="251"/>
        <v>1.038995200791959E-2</v>
      </c>
      <c r="DV75" s="20">
        <f t="shared" si="251"/>
        <v>-1.1760848069598318E-2</v>
      </c>
      <c r="DW75" s="20">
        <f t="shared" si="251"/>
        <v>4.207255140771915E-2</v>
      </c>
      <c r="DX75" s="20">
        <f t="shared" si="251"/>
        <v>3.3382351302249313E-2</v>
      </c>
      <c r="DY75" s="20">
        <f t="shared" si="251"/>
        <v>-4.6310746420756499E-2</v>
      </c>
      <c r="DZ75" s="20">
        <f t="shared" si="251"/>
        <v>3.0912940587753068E-2</v>
      </c>
      <c r="EA75" s="20">
        <f t="shared" si="251"/>
        <v>-4.0272772278381774E-2</v>
      </c>
      <c r="EB75" s="20">
        <f t="shared" si="251"/>
        <v>-1.7648876587544882E-3</v>
      </c>
      <c r="EC75" s="20">
        <f t="shared" si="251"/>
        <v>3.0980533881248773E-2</v>
      </c>
      <c r="ED75" s="20">
        <f t="shared" si="251"/>
        <v>-3.6610155649107079E-2</v>
      </c>
      <c r="EE75" s="222"/>
      <c r="EF75" s="20"/>
      <c r="EG75" s="20">
        <f t="shared" si="252"/>
        <v>0.15135926773576847</v>
      </c>
      <c r="EH75" s="20">
        <f t="shared" si="252"/>
        <v>-9.1548499860245824E-2</v>
      </c>
      <c r="EI75" s="20">
        <f t="shared" si="252"/>
        <v>-0.11976550115447882</v>
      </c>
      <c r="EJ75" s="20">
        <f t="shared" si="252"/>
        <v>0.25127083585573251</v>
      </c>
      <c r="EK75" s="20">
        <f t="shared" si="252"/>
        <v>7.0717704221344047E-2</v>
      </c>
      <c r="EL75" s="20">
        <f t="shared" si="252"/>
        <v>5.4201001363935131E-2</v>
      </c>
      <c r="EM75" s="20">
        <f t="shared" si="252"/>
        <v>4.9524382425881974E-2</v>
      </c>
      <c r="EN75" s="20">
        <f t="shared" si="252"/>
        <v>3.8326976116983991E-2</v>
      </c>
      <c r="EO75" s="20">
        <f t="shared" si="252"/>
        <v>0.1266861953336591</v>
      </c>
      <c r="EP75" s="20">
        <f t="shared" si="252"/>
        <v>0.19873229818697968</v>
      </c>
      <c r="EQ75" s="20">
        <f t="shared" si="252"/>
        <v>0.21683700852814325</v>
      </c>
      <c r="ER75" s="20">
        <f t="shared" si="252"/>
        <v>-0.12199888651850399</v>
      </c>
      <c r="ES75" s="20">
        <f t="shared" si="252"/>
        <v>4.5982460862447505E-2</v>
      </c>
      <c r="ET75" s="20">
        <f t="shared" si="252"/>
        <v>1.0712022430208412E-2</v>
      </c>
      <c r="EU75" s="20">
        <f t="shared" si="252"/>
        <v>9.0792751461856724E-3</v>
      </c>
      <c r="EV75" s="20">
        <f t="shared" si="252"/>
        <v>4.5587365826626369E-2</v>
      </c>
      <c r="EW75" s="20">
        <f t="shared" si="252"/>
        <v>4.2027466356564513E-2</v>
      </c>
      <c r="EX75" s="20">
        <f t="shared" si="252"/>
        <v>-2.2567279047105426E-3</v>
      </c>
      <c r="EY75" s="20">
        <f t="shared" si="252"/>
        <v>-8.6115376321457271E-3</v>
      </c>
      <c r="EZ75" s="20">
        <f t="shared" si="253"/>
        <v>4.3975915636081275E-2</v>
      </c>
      <c r="FA75" s="20">
        <f t="shared" si="254"/>
        <v>4.0563775726980111E-2</v>
      </c>
      <c r="FB75" s="20">
        <f t="shared" si="255"/>
        <v>-5.485214164319796E-3</v>
      </c>
      <c r="FC75" s="20">
        <f t="shared" si="256"/>
        <v>-1.1072846071242703E-2</v>
      </c>
      <c r="FD75" s="785"/>
      <c r="FE75" s="20">
        <f t="shared" si="252"/>
        <v>0</v>
      </c>
      <c r="FF75" s="20">
        <f t="shared" si="252"/>
        <v>0.22647521643897828</v>
      </c>
      <c r="FG75" s="20">
        <f t="shared" si="252"/>
        <v>0.43672883909498039</v>
      </c>
      <c r="FH75" s="20">
        <f t="shared" si="252"/>
        <v>0.17503739721929024</v>
      </c>
      <c r="FI75" s="20">
        <f t="shared" si="252"/>
        <v>0.10002910234090501</v>
      </c>
      <c r="FJ75" s="20">
        <f t="shared" si="252"/>
        <v>7.2488767160727052E-2</v>
      </c>
      <c r="FK75" s="545" t="s">
        <v>1</v>
      </c>
    </row>
    <row r="76" spans="2:167" x14ac:dyDescent="0.2">
      <c r="B76" s="228" t="s">
        <v>317</v>
      </c>
      <c r="C76" s="19"/>
      <c r="D76" s="20">
        <f t="shared" si="257"/>
        <v>0</v>
      </c>
      <c r="E76" s="20">
        <f t="shared" si="258"/>
        <v>0</v>
      </c>
      <c r="F76" s="20">
        <f t="shared" si="258"/>
        <v>0</v>
      </c>
      <c r="G76" s="20">
        <f t="shared" si="258"/>
        <v>0</v>
      </c>
      <c r="H76" s="20">
        <f t="shared" si="258"/>
        <v>0</v>
      </c>
      <c r="I76" s="20">
        <f t="shared" si="258"/>
        <v>0</v>
      </c>
      <c r="J76" s="20">
        <f t="shared" si="258"/>
        <v>0</v>
      </c>
      <c r="K76" s="20">
        <f t="shared" si="258"/>
        <v>0</v>
      </c>
      <c r="L76" s="20">
        <f t="shared" si="258"/>
        <v>0</v>
      </c>
      <c r="M76" s="20">
        <f t="shared" si="258"/>
        <v>0</v>
      </c>
      <c r="N76" s="20">
        <f t="shared" si="258"/>
        <v>0</v>
      </c>
      <c r="O76" s="20">
        <f t="shared" si="258"/>
        <v>0</v>
      </c>
      <c r="P76" s="20">
        <f t="shared" si="258"/>
        <v>0</v>
      </c>
      <c r="Q76" s="20">
        <f t="shared" si="258"/>
        <v>0</v>
      </c>
      <c r="R76" s="20">
        <f t="shared" si="258"/>
        <v>0</v>
      </c>
      <c r="S76" s="20">
        <f t="shared" si="258"/>
        <v>0</v>
      </c>
      <c r="T76" s="20">
        <f t="shared" si="258"/>
        <v>0</v>
      </c>
      <c r="U76" s="20">
        <f t="shared" si="258"/>
        <v>0</v>
      </c>
      <c r="V76" s="20">
        <f t="shared" si="258"/>
        <v>0</v>
      </c>
      <c r="W76" s="20">
        <f t="shared" si="258"/>
        <v>0</v>
      </c>
      <c r="X76" s="20">
        <f t="shared" si="258"/>
        <v>0</v>
      </c>
      <c r="Y76" s="20">
        <f t="shared" si="258"/>
        <v>0</v>
      </c>
      <c r="Z76" s="20">
        <f t="shared" si="258"/>
        <v>0</v>
      </c>
      <c r="AA76" s="20">
        <f t="shared" si="258"/>
        <v>0</v>
      </c>
      <c r="AB76" s="20">
        <f t="shared" si="258"/>
        <v>0</v>
      </c>
      <c r="AC76" s="20">
        <f t="shared" si="258"/>
        <v>0</v>
      </c>
      <c r="AD76" s="20">
        <f t="shared" si="258"/>
        <v>0</v>
      </c>
      <c r="AE76" s="20">
        <f t="shared" si="258"/>
        <v>0.26446202318567336</v>
      </c>
      <c r="AF76" s="20">
        <f t="shared" si="258"/>
        <v>0.39360448035255224</v>
      </c>
      <c r="AG76" s="20">
        <f t="shared" si="258"/>
        <v>0.17796001618009982</v>
      </c>
      <c r="AH76" s="20">
        <f t="shared" si="258"/>
        <v>-0.38011187656665779</v>
      </c>
      <c r="AI76" s="20">
        <f t="shared" si="258"/>
        <v>1.54694122805593</v>
      </c>
      <c r="AJ76" s="20">
        <f t="shared" si="258"/>
        <v>-0.61417346264285366</v>
      </c>
      <c r="AK76" s="20">
        <f t="shared" si="258"/>
        <v>-0.3192145326877136</v>
      </c>
      <c r="AL76" s="20">
        <f t="shared" si="258"/>
        <v>7.4319421930082452E-2</v>
      </c>
      <c r="AM76" s="20">
        <f t="shared" si="258"/>
        <v>-8.6127465133503223E-2</v>
      </c>
      <c r="AN76" s="20">
        <f t="shared" si="258"/>
        <v>0.30188324175824177</v>
      </c>
      <c r="AO76" s="20">
        <f t="shared" si="258"/>
        <v>0.18172005684917569</v>
      </c>
      <c r="AP76" s="20">
        <f t="shared" si="258"/>
        <v>0.70745446428571435</v>
      </c>
      <c r="AQ76" s="20">
        <f t="shared" si="258"/>
        <v>-9.2215908288706738E-2</v>
      </c>
      <c r="AR76" s="20">
        <f t="shared" si="258"/>
        <v>1.814516129032258</v>
      </c>
      <c r="AS76" s="20">
        <f t="shared" si="258"/>
        <v>-0.29616250511665987</v>
      </c>
      <c r="AT76" s="20">
        <f t="shared" si="258"/>
        <v>-0.29713666089940249</v>
      </c>
      <c r="AU76" s="20">
        <f t="shared" si="258"/>
        <v>-0.5370901739144982</v>
      </c>
      <c r="AV76" s="20">
        <f t="shared" si="258"/>
        <v>1.4995157228920379</v>
      </c>
      <c r="AW76" s="20">
        <f t="shared" si="258"/>
        <v>-0.5117002907663013</v>
      </c>
      <c r="AX76" s="20">
        <f t="shared" si="258"/>
        <v>0.25354244765712664</v>
      </c>
      <c r="AY76" s="20">
        <f t="shared" si="258"/>
        <v>-0.14365786763221433</v>
      </c>
      <c r="AZ76" s="20">
        <f t="shared" si="258"/>
        <v>5.4368993710247171E-2</v>
      </c>
      <c r="BA76" s="20">
        <f t="shared" si="258"/>
        <v>0.36914370271685559</v>
      </c>
      <c r="BB76" s="20">
        <f t="shared" si="258"/>
        <v>-0.19868183520348648</v>
      </c>
      <c r="BC76" s="20">
        <f t="shared" si="258"/>
        <v>0</v>
      </c>
      <c r="BD76" s="20">
        <f t="shared" si="258"/>
        <v>0.56157024131559252</v>
      </c>
      <c r="BE76" s="20">
        <f t="shared" si="258"/>
        <v>-0.18441035660114247</v>
      </c>
      <c r="BF76" s="20">
        <f t="shared" si="258"/>
        <v>-0.71298094951411861</v>
      </c>
      <c r="BG76" s="20">
        <f t="shared" si="258"/>
        <v>0.72247775271514003</v>
      </c>
      <c r="BH76" s="20">
        <f t="shared" si="258"/>
        <v>0.27024477163645733</v>
      </c>
      <c r="BI76" s="20">
        <f t="shared" si="258"/>
        <v>-0.15912518835902179</v>
      </c>
      <c r="BJ76" s="20">
        <f t="shared" si="258"/>
        <v>0.1880199621118448</v>
      </c>
      <c r="BK76" s="20">
        <f t="shared" si="258"/>
        <v>-6.6152843346583223E-2</v>
      </c>
      <c r="BL76" s="20">
        <f t="shared" si="258"/>
        <v>8.1014113819641409E-2</v>
      </c>
      <c r="BM76" s="20">
        <f t="shared" si="258"/>
        <v>-0.38684907984653294</v>
      </c>
      <c r="BN76" s="20">
        <f t="shared" si="258"/>
        <v>0.34838014831756237</v>
      </c>
      <c r="BO76" s="20">
        <f t="shared" si="258"/>
        <v>0.32272447846844865</v>
      </c>
      <c r="BP76" s="20">
        <f t="shared" si="258"/>
        <v>-0.24824033789363298</v>
      </c>
      <c r="BQ76" s="20">
        <f t="shared" si="250"/>
        <v>1.1821995140705983</v>
      </c>
      <c r="BR76" s="20">
        <f t="shared" si="250"/>
        <v>-0.61212456158934336</v>
      </c>
      <c r="BS76" s="20">
        <f t="shared" si="250"/>
        <v>0.17255598671153649</v>
      </c>
      <c r="BT76" s="20">
        <f t="shared" si="250"/>
        <v>0.12154193548387093</v>
      </c>
      <c r="BU76" s="20">
        <f t="shared" si="250"/>
        <v>-0.27029521568807924</v>
      </c>
      <c r="BV76" s="20">
        <f t="shared" si="250"/>
        <v>0.13130783599518026</v>
      </c>
      <c r="BW76" s="20">
        <f t="shared" si="250"/>
        <v>-1.7698353468141526E-2</v>
      </c>
      <c r="BX76" s="20">
        <f t="shared" si="250"/>
        <v>-6.8657498855235755E-3</v>
      </c>
      <c r="BY76" s="20">
        <f t="shared" si="250"/>
        <v>0.28049678571428593</v>
      </c>
      <c r="BZ76" s="20">
        <f t="shared" si="250"/>
        <v>0.11195180665093418</v>
      </c>
      <c r="CA76" s="20">
        <f t="shared" si="250"/>
        <v>0.66107262560241442</v>
      </c>
      <c r="CB76" s="20">
        <f t="shared" si="250"/>
        <v>0.80628497994484261</v>
      </c>
      <c r="CC76" s="20">
        <f t="shared" si="250"/>
        <v>-0.28497935602766533</v>
      </c>
      <c r="CD76" s="20">
        <f t="shared" si="250"/>
        <v>0.2187185111102985</v>
      </c>
      <c r="CE76" s="20">
        <f t="shared" si="250"/>
        <v>-0.25803381581837714</v>
      </c>
      <c r="CF76" s="20">
        <f t="shared" si="250"/>
        <v>-0.24190212207616335</v>
      </c>
      <c r="CG76" s="20">
        <f t="shared" si="250"/>
        <v>-0.21663959616493522</v>
      </c>
      <c r="CH76" s="20">
        <f t="shared" si="250"/>
        <v>0.53935188755146868</v>
      </c>
      <c r="CI76" s="20">
        <f t="shared" si="250"/>
        <v>-0.31634828299909012</v>
      </c>
      <c r="CJ76" s="20">
        <f t="shared" si="250"/>
        <v>-0.26619256201733499</v>
      </c>
      <c r="CK76" s="20">
        <f t="shared" si="250"/>
        <v>0.96622559184219758</v>
      </c>
      <c r="CL76" s="20">
        <f t="shared" si="250"/>
        <v>0.45429208875879068</v>
      </c>
      <c r="CM76" s="20">
        <f t="shared" si="250"/>
        <v>-4.1308962300970364E-2</v>
      </c>
      <c r="CN76" s="20">
        <f t="shared" si="250"/>
        <v>0.25135918840570759</v>
      </c>
      <c r="CO76" s="20">
        <f t="shared" si="250"/>
        <v>-0.19115929270007537</v>
      </c>
      <c r="CP76" s="20">
        <f t="shared" si="250"/>
        <v>-0.11971823669118153</v>
      </c>
      <c r="CQ76" s="20">
        <f t="shared" si="250"/>
        <v>1.9020055928615331E-2</v>
      </c>
      <c r="CR76" s="20">
        <f t="shared" si="250"/>
        <v>-0.37655232515688108</v>
      </c>
      <c r="CS76" s="20">
        <f t="shared" si="250"/>
        <v>0.9837908836435949</v>
      </c>
      <c r="CT76" s="20">
        <f t="shared" si="250"/>
        <v>0.57414630394274324</v>
      </c>
      <c r="CU76" s="20">
        <f t="shared" si="250"/>
        <v>-0.71876859294464213</v>
      </c>
      <c r="CV76" s="20">
        <f t="shared" si="250"/>
        <v>-0.26619256201733499</v>
      </c>
      <c r="CW76" s="20">
        <f t="shared" si="250"/>
        <v>0.96622559184219758</v>
      </c>
      <c r="CX76" s="20">
        <f t="shared" si="250"/>
        <v>0.45429208875879068</v>
      </c>
      <c r="CY76" s="20">
        <f t="shared" si="250"/>
        <v>-4.1308962300970364E-2</v>
      </c>
      <c r="CZ76" s="20">
        <f t="shared" si="250"/>
        <v>0.25135918840570781</v>
      </c>
      <c r="DA76" s="20">
        <f t="shared" si="250"/>
        <v>-0.19115929270007559</v>
      </c>
      <c r="DB76" s="20">
        <f t="shared" si="250"/>
        <v>-0.11971823669118153</v>
      </c>
      <c r="DC76" s="20">
        <f t="shared" si="250"/>
        <v>1.9020055928615331E-2</v>
      </c>
      <c r="DD76" s="20">
        <f t="shared" ref="DD76:DR76" si="259">IFERROR((DD68/DC68-1),0)</f>
        <v>-0.37655232515688097</v>
      </c>
      <c r="DE76" s="20">
        <f t="shared" si="259"/>
        <v>0.98379088364359468</v>
      </c>
      <c r="DF76" s="20">
        <f t="shared" si="259"/>
        <v>0.57414630394274324</v>
      </c>
      <c r="DG76" s="20">
        <f t="shared" si="259"/>
        <v>-0.71876859294464213</v>
      </c>
      <c r="DH76" s="20">
        <f t="shared" si="259"/>
        <v>-0.26619256201733499</v>
      </c>
      <c r="DI76" s="20">
        <f t="shared" si="259"/>
        <v>0.96622559184219758</v>
      </c>
      <c r="DJ76" s="20">
        <f t="shared" si="259"/>
        <v>0.45429208875879068</v>
      </c>
      <c r="DK76" s="20">
        <f t="shared" si="259"/>
        <v>-4.1308962300970364E-2</v>
      </c>
      <c r="DL76" s="20">
        <f t="shared" si="259"/>
        <v>0.25135918840570781</v>
      </c>
      <c r="DM76" s="20">
        <f t="shared" si="259"/>
        <v>-0.19115929270007559</v>
      </c>
      <c r="DN76" s="20">
        <f t="shared" si="259"/>
        <v>-0.11971823669118153</v>
      </c>
      <c r="DO76" s="20">
        <f t="shared" si="259"/>
        <v>1.9020055928615331E-2</v>
      </c>
      <c r="DP76" s="20">
        <f t="shared" si="259"/>
        <v>-0.37655232515688097</v>
      </c>
      <c r="DQ76" s="20">
        <f t="shared" si="259"/>
        <v>0.98379088364359468</v>
      </c>
      <c r="DR76" s="20">
        <f t="shared" si="259"/>
        <v>0.57414630394274324</v>
      </c>
      <c r="DS76" s="20">
        <f t="shared" si="251"/>
        <v>-0.71876859294464213</v>
      </c>
      <c r="DT76" s="20">
        <f t="shared" si="251"/>
        <v>-0.26619256201733499</v>
      </c>
      <c r="DU76" s="20">
        <f t="shared" si="251"/>
        <v>0.96622559184219758</v>
      </c>
      <c r="DV76" s="20">
        <f t="shared" si="251"/>
        <v>0.45429208875879068</v>
      </c>
      <c r="DW76" s="20">
        <f t="shared" si="251"/>
        <v>-4.1308962300970364E-2</v>
      </c>
      <c r="DX76" s="20">
        <f t="shared" si="251"/>
        <v>0.25135918840570781</v>
      </c>
      <c r="DY76" s="20">
        <f t="shared" si="251"/>
        <v>-0.19115929270007559</v>
      </c>
      <c r="DZ76" s="20">
        <f t="shared" si="251"/>
        <v>-0.11971823669118153</v>
      </c>
      <c r="EA76" s="20">
        <f t="shared" si="251"/>
        <v>1.9020055928615331E-2</v>
      </c>
      <c r="EB76" s="20">
        <f t="shared" si="251"/>
        <v>-0.37655232515688097</v>
      </c>
      <c r="EC76" s="20">
        <f t="shared" si="251"/>
        <v>0.98379088364359468</v>
      </c>
      <c r="ED76" s="20">
        <f t="shared" si="251"/>
        <v>0.57414630394274324</v>
      </c>
      <c r="EE76" s="222"/>
      <c r="EF76" s="20"/>
      <c r="EG76" s="20">
        <f t="shared" ref="EG76" si="260">IFERROR((EG68/EF68-1),0)</f>
        <v>8.0464364629371898E-2</v>
      </c>
      <c r="EH76" s="20">
        <f t="shared" ref="EH76" si="261">IFERROR((EH68/EG68-1),0)</f>
        <v>0.20541082347042772</v>
      </c>
      <c r="EI76" s="20">
        <f t="shared" ref="EI76" si="262">IFERROR((EI68/EH68-1),0)</f>
        <v>-0.29267266963617133</v>
      </c>
      <c r="EJ76" s="20">
        <f t="shared" ref="EJ76" si="263">IFERROR((EJ68/EI68-1),0)</f>
        <v>3.6109022139571456E-2</v>
      </c>
      <c r="EK76" s="20">
        <f t="shared" ref="EK76" si="264">IFERROR((EK68/EJ68-1),0)</f>
        <v>1.4520975135458154</v>
      </c>
      <c r="EL76" s="20">
        <f t="shared" ref="EL76" si="265">IFERROR((EL68/EK68-1),0)</f>
        <v>0.18340564789994684</v>
      </c>
      <c r="EM76" s="20">
        <f t="shared" ref="EM76" si="266">IFERROR((EM68/EL68-1),0)</f>
        <v>-0.34384795686278224</v>
      </c>
      <c r="EN76" s="20">
        <f t="shared" ref="EN76" si="267">IFERROR((EN68/EM68-1),0)</f>
        <v>-0.12392111365967651</v>
      </c>
      <c r="EO76" s="20">
        <f t="shared" ref="EO76" si="268">IFERROR((EO68/EN68-1),0)</f>
        <v>1.0862226328080342</v>
      </c>
      <c r="EP76" s="20">
        <f t="shared" ref="EP76" si="269">IFERROR((EP68/EO68-1),0)</f>
        <v>-0.14673067739495482</v>
      </c>
      <c r="EQ76" s="20">
        <f t="shared" ref="EQ76" si="270">IFERROR((EQ68/EP68-1),0)</f>
        <v>0.22963955600003616</v>
      </c>
      <c r="ER76" s="20">
        <f t="shared" ref="ER76" si="271">IFERROR((ER68/EQ68-1),0)</f>
        <v>-0.54314814767826869</v>
      </c>
      <c r="ES76" s="20">
        <f t="shared" ref="ES76" si="272">IFERROR((ES68/ER68-1),0)</f>
        <v>1.0862226328080342</v>
      </c>
      <c r="ET76" s="20">
        <f t="shared" ref="ET76" si="273">IFERROR((ET68/ES68-1),0)</f>
        <v>-0.14673067739495482</v>
      </c>
      <c r="EU76" s="20">
        <f t="shared" ref="EU76" si="274">IFERROR((EU68/ET68-1),0)</f>
        <v>0.22963955600003616</v>
      </c>
      <c r="EV76" s="20">
        <f t="shared" ref="EV76" si="275">IFERROR((EV68/EU68-1),0)</f>
        <v>-0.54314814767826869</v>
      </c>
      <c r="EW76" s="20">
        <f t="shared" ref="EW76" si="276">IFERROR((EW68/EV68-1),0)</f>
        <v>1.0862226328080342</v>
      </c>
      <c r="EX76" s="20">
        <f t="shared" ref="EX76" si="277">IFERROR((EX68/EW68-1),0)</f>
        <v>-0.14673067739495482</v>
      </c>
      <c r="EY76" s="20">
        <f t="shared" ref="EY76" si="278">IFERROR((EY68/EX68-1),0)</f>
        <v>0.22963955600003616</v>
      </c>
      <c r="EZ76" s="20">
        <f t="shared" si="253"/>
        <v>-0.54314814767826869</v>
      </c>
      <c r="FA76" s="20">
        <f t="shared" si="254"/>
        <v>1.0862226328080342</v>
      </c>
      <c r="FB76" s="20">
        <f t="shared" si="255"/>
        <v>-0.14673067739495482</v>
      </c>
      <c r="FC76" s="20">
        <f t="shared" si="256"/>
        <v>0.22963955600003616</v>
      </c>
      <c r="FD76" s="785"/>
      <c r="FE76" s="20">
        <f t="shared" ref="FE76" si="279">IFERROR((FE68/FD68-1),0)</f>
        <v>0</v>
      </c>
      <c r="FF76" s="20">
        <f t="shared" ref="FF76" si="280">IFERROR((FF68/FE68-1),0)</f>
        <v>0.83131334847355132</v>
      </c>
      <c r="FG76" s="20">
        <f t="shared" ref="FG76" si="281">IFERROR((FG68/FF68-1),0)</f>
        <v>0.42513851495701416</v>
      </c>
      <c r="FH76" s="20">
        <f t="shared" ref="FH76" si="282">IFERROR((FH68/FG68-1),0)</f>
        <v>0</v>
      </c>
      <c r="FI76" s="20">
        <f t="shared" ref="FI76:FJ76" si="283">IFERROR((FI68/FH68-1),0)</f>
        <v>0</v>
      </c>
      <c r="FJ76" s="20">
        <f t="shared" si="283"/>
        <v>0</v>
      </c>
      <c r="FK76" s="545" t="s">
        <v>1</v>
      </c>
    </row>
    <row r="77" spans="2:167" x14ac:dyDescent="0.2">
      <c r="B77" s="303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222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E77" s="19"/>
      <c r="FF77" s="19"/>
      <c r="FG77" s="19"/>
      <c r="FH77" s="19"/>
      <c r="FI77" s="19"/>
      <c r="FJ77" s="770"/>
      <c r="FK77" s="545"/>
    </row>
    <row r="78" spans="2:167" x14ac:dyDescent="0.2">
      <c r="B78" s="228" t="s">
        <v>318</v>
      </c>
      <c r="C78" s="158">
        <f>SUM(C79:C81)</f>
        <v>45455</v>
      </c>
      <c r="D78" s="158">
        <f t="shared" ref="D78:BO78" si="284">SUM(D79:D81)</f>
        <v>45784</v>
      </c>
      <c r="E78" s="158">
        <f t="shared" si="284"/>
        <v>51139</v>
      </c>
      <c r="F78" s="158">
        <f t="shared" si="284"/>
        <v>54075</v>
      </c>
      <c r="G78" s="158">
        <f t="shared" si="284"/>
        <v>56305</v>
      </c>
      <c r="H78" s="158">
        <f t="shared" si="284"/>
        <v>55394</v>
      </c>
      <c r="I78" s="158">
        <f t="shared" si="284"/>
        <v>60126</v>
      </c>
      <c r="J78" s="158">
        <f t="shared" si="284"/>
        <v>59874</v>
      </c>
      <c r="K78" s="158">
        <f t="shared" si="284"/>
        <v>75376</v>
      </c>
      <c r="L78" s="158">
        <f t="shared" si="284"/>
        <v>71265</v>
      </c>
      <c r="M78" s="158">
        <f t="shared" si="284"/>
        <v>76203</v>
      </c>
      <c r="N78" s="158">
        <f t="shared" si="284"/>
        <v>62925</v>
      </c>
      <c r="O78" s="158">
        <f t="shared" si="284"/>
        <v>83332</v>
      </c>
      <c r="P78" s="158">
        <f t="shared" si="284"/>
        <v>87564</v>
      </c>
      <c r="Q78" s="158">
        <f t="shared" si="284"/>
        <v>88326</v>
      </c>
      <c r="R78" s="158">
        <f t="shared" si="284"/>
        <v>85321</v>
      </c>
      <c r="S78" s="158">
        <f t="shared" si="284"/>
        <v>76386</v>
      </c>
      <c r="T78" s="158">
        <f t="shared" si="284"/>
        <v>69478</v>
      </c>
      <c r="U78" s="158">
        <f t="shared" si="284"/>
        <v>61533</v>
      </c>
      <c r="V78" s="158">
        <f t="shared" si="284"/>
        <v>64173</v>
      </c>
      <c r="W78" s="158">
        <f t="shared" si="284"/>
        <v>80471</v>
      </c>
      <c r="X78" s="158">
        <f t="shared" si="284"/>
        <v>81539</v>
      </c>
      <c r="Y78" s="158">
        <f t="shared" si="284"/>
        <v>94714</v>
      </c>
      <c r="Z78" s="158">
        <f t="shared" si="284"/>
        <v>63937</v>
      </c>
      <c r="AA78" s="158">
        <f t="shared" si="284"/>
        <v>-194</v>
      </c>
      <c r="AB78" s="158">
        <f t="shared" si="284"/>
        <v>46799</v>
      </c>
      <c r="AC78" s="158">
        <f t="shared" si="284"/>
        <v>57354</v>
      </c>
      <c r="AD78" s="158">
        <f t="shared" si="284"/>
        <v>42733</v>
      </c>
      <c r="AE78" s="158">
        <f t="shared" si="284"/>
        <v>67826</v>
      </c>
      <c r="AF78" s="158">
        <f t="shared" si="284"/>
        <v>65087</v>
      </c>
      <c r="AG78" s="158">
        <f t="shared" si="284"/>
        <v>70767</v>
      </c>
      <c r="AH78" s="158">
        <f t="shared" si="284"/>
        <v>82574</v>
      </c>
      <c r="AI78" s="158">
        <f t="shared" si="284"/>
        <v>96220</v>
      </c>
      <c r="AJ78" s="158">
        <f t="shared" si="284"/>
        <v>87315</v>
      </c>
      <c r="AK78" s="158">
        <f t="shared" si="284"/>
        <v>100670</v>
      </c>
      <c r="AL78" s="158">
        <f t="shared" si="284"/>
        <v>92335</v>
      </c>
      <c r="AM78" s="158">
        <f t="shared" si="284"/>
        <v>64510</v>
      </c>
      <c r="AN78" s="158">
        <f t="shared" si="284"/>
        <v>32368</v>
      </c>
      <c r="AO78" s="158">
        <f t="shared" si="284"/>
        <v>79702</v>
      </c>
      <c r="AP78" s="158">
        <f t="shared" si="284"/>
        <v>109007</v>
      </c>
      <c r="AQ78" s="158">
        <f t="shared" si="284"/>
        <v>118014</v>
      </c>
      <c r="AR78" s="158">
        <f t="shared" si="284"/>
        <v>115863</v>
      </c>
      <c r="AS78" s="158">
        <f t="shared" si="284"/>
        <v>121613</v>
      </c>
      <c r="AT78" s="158">
        <f t="shared" si="284"/>
        <v>123455</v>
      </c>
      <c r="AU78" s="158">
        <f t="shared" si="284"/>
        <v>145610</v>
      </c>
      <c r="AV78" s="158">
        <f t="shared" si="284"/>
        <v>140614</v>
      </c>
      <c r="AW78" s="158">
        <f t="shared" si="284"/>
        <v>129109</v>
      </c>
      <c r="AX78" s="158">
        <f t="shared" si="284"/>
        <v>132682</v>
      </c>
      <c r="AY78" s="158">
        <f t="shared" si="284"/>
        <v>116816</v>
      </c>
      <c r="AZ78" s="158">
        <f t="shared" si="284"/>
        <v>123268</v>
      </c>
      <c r="BA78" s="158">
        <f t="shared" si="284"/>
        <v>106336</v>
      </c>
      <c r="BB78" s="158">
        <f t="shared" si="284"/>
        <v>115662</v>
      </c>
      <c r="BC78" s="158">
        <f t="shared" si="284"/>
        <v>115721</v>
      </c>
      <c r="BD78" s="158">
        <f t="shared" si="284"/>
        <v>127260</v>
      </c>
      <c r="BE78" s="158">
        <f t="shared" si="284"/>
        <v>123561</v>
      </c>
      <c r="BF78" s="158">
        <f t="shared" si="284"/>
        <v>115247</v>
      </c>
      <c r="BG78" s="158">
        <f t="shared" si="284"/>
        <v>136770</v>
      </c>
      <c r="BH78" s="158">
        <f t="shared" si="284"/>
        <v>134693</v>
      </c>
      <c r="BI78" s="158">
        <f t="shared" si="284"/>
        <v>117403</v>
      </c>
      <c r="BJ78" s="158">
        <f t="shared" si="284"/>
        <v>136951</v>
      </c>
      <c r="BK78" s="158">
        <f t="shared" si="284"/>
        <v>127028</v>
      </c>
      <c r="BL78" s="158">
        <f t="shared" si="284"/>
        <v>129925</v>
      </c>
      <c r="BM78" s="158">
        <f t="shared" si="284"/>
        <v>115710</v>
      </c>
      <c r="BN78" s="158">
        <f t="shared" si="284"/>
        <v>114157</v>
      </c>
      <c r="BO78" s="158">
        <f t="shared" si="284"/>
        <v>119462</v>
      </c>
      <c r="BP78" s="158">
        <f t="shared" ref="BP78:DR78" si="285">SUM(BP79:BP81)</f>
        <v>113703</v>
      </c>
      <c r="BQ78" s="158">
        <f t="shared" si="285"/>
        <v>135521</v>
      </c>
      <c r="BR78" s="158">
        <f t="shared" si="285"/>
        <v>127335</v>
      </c>
      <c r="BS78" s="158">
        <f t="shared" si="285"/>
        <v>106817</v>
      </c>
      <c r="BT78" s="158">
        <f t="shared" si="285"/>
        <v>107178</v>
      </c>
      <c r="BU78" s="158">
        <f t="shared" si="285"/>
        <v>98434</v>
      </c>
      <c r="BV78" s="158">
        <f t="shared" si="285"/>
        <v>105447</v>
      </c>
      <c r="BW78" s="158">
        <f t="shared" si="285"/>
        <v>104197</v>
      </c>
      <c r="BX78" s="158">
        <f t="shared" si="285"/>
        <v>115574</v>
      </c>
      <c r="BY78" s="158">
        <f t="shared" si="285"/>
        <v>110043</v>
      </c>
      <c r="BZ78" s="158">
        <f t="shared" si="285"/>
        <v>119194</v>
      </c>
      <c r="CA78" s="158">
        <f t="shared" si="285"/>
        <v>110381</v>
      </c>
      <c r="CB78" s="158">
        <f t="shared" si="285"/>
        <v>101665</v>
      </c>
      <c r="CC78" s="158">
        <f t="shared" si="285"/>
        <v>127586</v>
      </c>
      <c r="CD78" s="158">
        <f t="shared" si="285"/>
        <v>108362</v>
      </c>
      <c r="CE78" s="158">
        <f t="shared" si="285"/>
        <v>122058</v>
      </c>
      <c r="CF78" s="158">
        <f t="shared" si="285"/>
        <v>133865</v>
      </c>
      <c r="CG78" s="158">
        <f t="shared" si="285"/>
        <v>125369</v>
      </c>
      <c r="CH78" s="158">
        <f t="shared" si="285"/>
        <v>144100</v>
      </c>
      <c r="CI78" s="158">
        <f t="shared" si="285"/>
        <v>134463</v>
      </c>
      <c r="CJ78" s="158">
        <f t="shared" si="285"/>
        <v>142214</v>
      </c>
      <c r="CK78" s="158">
        <f t="shared" si="285"/>
        <v>137634.65413533835</v>
      </c>
      <c r="CL78" s="158">
        <f t="shared" si="285"/>
        <v>146617</v>
      </c>
      <c r="CM78" s="158">
        <f t="shared" si="285"/>
        <v>135251</v>
      </c>
      <c r="CN78" s="158">
        <f t="shared" si="285"/>
        <v>142465</v>
      </c>
      <c r="CO78" s="158">
        <f t="shared" si="285"/>
        <v>168467</v>
      </c>
      <c r="CP78" s="158">
        <f t="shared" si="285"/>
        <v>153921</v>
      </c>
      <c r="CQ78" s="158">
        <f t="shared" si="285"/>
        <v>169348</v>
      </c>
      <c r="CR78" s="158">
        <f t="shared" si="285"/>
        <v>172211</v>
      </c>
      <c r="CS78" s="158">
        <f t="shared" si="285"/>
        <v>156015.564144</v>
      </c>
      <c r="CT78" s="158">
        <f t="shared" si="285"/>
        <v>172103.3726876</v>
      </c>
      <c r="CU78" s="158">
        <f t="shared" si="285"/>
        <v>173831.91199329199</v>
      </c>
      <c r="CV78" s="158">
        <f t="shared" si="285"/>
        <v>182622.21384716558</v>
      </c>
      <c r="CW78" s="158">
        <f t="shared" si="285"/>
        <v>177757.61539553874</v>
      </c>
      <c r="CX78" s="158">
        <f t="shared" si="285"/>
        <v>187189.90636603415</v>
      </c>
      <c r="CY78" s="158">
        <f t="shared" si="285"/>
        <v>173664.23942069945</v>
      </c>
      <c r="CZ78" s="158">
        <f t="shared" si="285"/>
        <v>179238.89713158814</v>
      </c>
      <c r="DA78" s="158">
        <f t="shared" si="285"/>
        <v>214695.61276773948</v>
      </c>
      <c r="DB78" s="158">
        <f t="shared" si="285"/>
        <v>196486.8607998066</v>
      </c>
      <c r="DC78" s="158">
        <f t="shared" si="285"/>
        <v>215337.82314957981</v>
      </c>
      <c r="DD78" s="158">
        <f t="shared" si="285"/>
        <v>216597.50588274642</v>
      </c>
      <c r="DE78" s="158">
        <f t="shared" si="285"/>
        <v>196509.77467091434</v>
      </c>
      <c r="DF78" s="158">
        <f t="shared" si="285"/>
        <v>216334.10300118587</v>
      </c>
      <c r="DG78" s="158">
        <f t="shared" si="285"/>
        <v>210941.52062869008</v>
      </c>
      <c r="DH78" s="158">
        <f t="shared" si="285"/>
        <v>221665.47313704476</v>
      </c>
      <c r="DI78" s="158">
        <f t="shared" si="285"/>
        <v>215523.10260449798</v>
      </c>
      <c r="DJ78" s="158">
        <f t="shared" si="285"/>
        <v>226788.59829572027</v>
      </c>
      <c r="DK78" s="158">
        <f t="shared" si="285"/>
        <v>210381.33223637653</v>
      </c>
      <c r="DL78" s="158">
        <f t="shared" si="285"/>
        <v>216608.23000879298</v>
      </c>
      <c r="DM78" s="158">
        <f t="shared" si="285"/>
        <v>259433.63852468779</v>
      </c>
      <c r="DN78" s="158">
        <f t="shared" si="285"/>
        <v>238225.89944113477</v>
      </c>
      <c r="DO78" s="158">
        <f t="shared" si="285"/>
        <v>260874.51225961262</v>
      </c>
      <c r="DP78" s="158">
        <f t="shared" si="285"/>
        <v>261915.41505449326</v>
      </c>
      <c r="DQ78" s="158">
        <f t="shared" si="285"/>
        <v>237810.61007810076</v>
      </c>
      <c r="DR78" s="158">
        <f t="shared" si="285"/>
        <v>260875.52538118989</v>
      </c>
      <c r="DS78" s="158">
        <f t="shared" ref="DS78:ED78" si="286">SUM(DS79:DS81)</f>
        <v>246493.59069785092</v>
      </c>
      <c r="DT78" s="158">
        <f t="shared" si="286"/>
        <v>258955.02271527509</v>
      </c>
      <c r="DU78" s="158">
        <f t="shared" si="286"/>
        <v>251638.60447741422</v>
      </c>
      <c r="DV78" s="158">
        <f t="shared" si="286"/>
        <v>264562.28880723746</v>
      </c>
      <c r="DW78" s="158">
        <f t="shared" si="286"/>
        <v>245422.92802663418</v>
      </c>
      <c r="DX78" s="158">
        <f t="shared" si="286"/>
        <v>252100.20796193261</v>
      </c>
      <c r="DY78" s="158">
        <f t="shared" si="286"/>
        <v>301833.52635712043</v>
      </c>
      <c r="DZ78" s="158">
        <f t="shared" si="286"/>
        <v>278347.30320738646</v>
      </c>
      <c r="EA78" s="158">
        <f t="shared" si="286"/>
        <v>304861.74088573211</v>
      </c>
      <c r="EB78" s="158">
        <f t="shared" si="286"/>
        <v>305716.37783818261</v>
      </c>
      <c r="EC78" s="158">
        <f t="shared" si="286"/>
        <v>277890.57010122662</v>
      </c>
      <c r="ED78" s="158">
        <f t="shared" si="286"/>
        <v>304171.49565296271</v>
      </c>
      <c r="EE78" s="222"/>
      <c r="EF78" s="158">
        <f>SUM(BK78:BM78)</f>
        <v>372663</v>
      </c>
      <c r="EG78" s="158">
        <f>SUM(BN78:BP78)</f>
        <v>347322</v>
      </c>
      <c r="EH78" s="158">
        <f>SUM(BQ78:BS78)</f>
        <v>369673</v>
      </c>
      <c r="EI78" s="158">
        <f>SUM(BT78:BV78)</f>
        <v>311059</v>
      </c>
      <c r="EJ78" s="158">
        <f>SUM(BW78:BY78)</f>
        <v>329814</v>
      </c>
      <c r="EK78" s="158">
        <f>SUM(BZ78:CB78)</f>
        <v>331240</v>
      </c>
      <c r="EL78" s="158">
        <f>SUM(CC78:CE78)</f>
        <v>358006</v>
      </c>
      <c r="EM78" s="158">
        <f>SUM(CF78:CH78)</f>
        <v>403334</v>
      </c>
      <c r="EN78" s="158">
        <f>SUM(CI78:CK78)</f>
        <v>414311.65413533838</v>
      </c>
      <c r="EO78" s="158">
        <f>SUM(CL78:CN78)</f>
        <v>424333</v>
      </c>
      <c r="EP78" s="158">
        <f>SUM(CO78:CQ78)</f>
        <v>491736</v>
      </c>
      <c r="EQ78" s="158">
        <f>SUM(CR78:CT78)</f>
        <v>500329.93683160003</v>
      </c>
      <c r="ER78" s="158">
        <f>SUM(CU78:CW78)</f>
        <v>534211.74123599636</v>
      </c>
      <c r="ES78" s="158">
        <f>SUM(CX78:CZ78)</f>
        <v>540093.04291832168</v>
      </c>
      <c r="ET78" s="158">
        <f>SUM(DA78:DC78)</f>
        <v>626520.29671712592</v>
      </c>
      <c r="EU78" s="158">
        <f>SUM(DD78:DF78)</f>
        <v>629441.38355484663</v>
      </c>
      <c r="EV78" s="158">
        <f>SUM(DG78:DI78)</f>
        <v>648130.09637023276</v>
      </c>
      <c r="EW78" s="158">
        <f>SUM(DJ78:DL78)</f>
        <v>653778.16054088972</v>
      </c>
      <c r="EX78" s="158">
        <f>SUM(DM78:DO78)</f>
        <v>758534.05022543517</v>
      </c>
      <c r="EY78" s="158">
        <f>SUM(DP78:DR78)</f>
        <v>760601.55051378394</v>
      </c>
      <c r="EZ78" s="158">
        <f t="shared" ref="EZ78:EZ97" si="287">SUM(DS78:DU78)</f>
        <v>757087.21789054014</v>
      </c>
      <c r="FA78" s="158">
        <f t="shared" ref="FA78:FA97" si="288">SUM(DV78:DX78)</f>
        <v>762085.42479580431</v>
      </c>
      <c r="FB78" s="158">
        <f t="shared" ref="FB78:FB97" si="289">SUM(DY78:EA78)</f>
        <v>885042.570450239</v>
      </c>
      <c r="FC78" s="158">
        <f t="shared" ref="FC78:FC97" si="290">SUM(EB78:ED78)</f>
        <v>887778.44359237188</v>
      </c>
      <c r="FE78" s="158">
        <f t="shared" ref="FE78:FE97" si="291">SUM(EF78:EI78)</f>
        <v>1400717</v>
      </c>
      <c r="FF78" s="158">
        <f t="shared" ref="FF78:FF97" si="292">SUM(EJ78:EM78)</f>
        <v>1422394</v>
      </c>
      <c r="FG78" s="158">
        <f t="shared" ref="FG78:FG97" si="293">SUM(EN78:EQ78)</f>
        <v>1830710.5909669385</v>
      </c>
      <c r="FH78" s="158">
        <f t="shared" ref="FH78:FH97" si="294">SUM(ER78:EU78)</f>
        <v>2330266.4644262907</v>
      </c>
      <c r="FI78" s="158">
        <f t="shared" ref="FI78:FI97" si="295">SUM(EV78:EY78)</f>
        <v>2821043.8576503415</v>
      </c>
      <c r="FJ78" s="780">
        <f t="shared" si="207"/>
        <v>3291993.6567289555</v>
      </c>
      <c r="FK78" s="545" t="s">
        <v>1</v>
      </c>
    </row>
    <row r="79" spans="2:167" x14ac:dyDescent="0.2">
      <c r="B79" s="228" t="s">
        <v>304</v>
      </c>
      <c r="C79" s="19">
        <f>'B2B- Non Repair'!C36</f>
        <v>32077</v>
      </c>
      <c r="D79" s="19">
        <f>'B2B- Non Repair'!D36</f>
        <v>28685</v>
      </c>
      <c r="E79" s="19">
        <f>'B2B- Non Repair'!E36</f>
        <v>34758</v>
      </c>
      <c r="F79" s="19">
        <f>'B2B- Non Repair'!F36</f>
        <v>39298</v>
      </c>
      <c r="G79" s="19">
        <f>'B2B- Non Repair'!G36</f>
        <v>47222</v>
      </c>
      <c r="H79" s="19">
        <f>'B2B- Non Repair'!H36</f>
        <v>49152</v>
      </c>
      <c r="I79" s="19">
        <f>'B2B- Non Repair'!I36</f>
        <v>52716</v>
      </c>
      <c r="J79" s="19">
        <f>'B2B- Non Repair'!J36</f>
        <v>52798</v>
      </c>
      <c r="K79" s="19">
        <f>'B2B- Non Repair'!K36</f>
        <v>67323</v>
      </c>
      <c r="L79" s="19">
        <f>'B2B- Non Repair'!L36</f>
        <v>62990</v>
      </c>
      <c r="M79" s="19">
        <f>'B2B- Non Repair'!M36</f>
        <v>67278</v>
      </c>
      <c r="N79" s="19">
        <f>'B2B- Non Repair'!N36</f>
        <v>53088</v>
      </c>
      <c r="O79" s="19">
        <f>'B2B- Non Repair'!O36</f>
        <v>72387</v>
      </c>
      <c r="P79" s="19">
        <f>'B2B- Non Repair'!P36</f>
        <v>75629</v>
      </c>
      <c r="Q79" s="19">
        <f>'B2B- Non Repair'!Q36</f>
        <v>76373</v>
      </c>
      <c r="R79" s="19">
        <f>'B2B- Non Repair'!R36</f>
        <v>71613</v>
      </c>
      <c r="S79" s="19">
        <f>'B2B- Non Repair'!S36</f>
        <v>63107</v>
      </c>
      <c r="T79" s="19">
        <f>'B2B- Non Repair'!T36</f>
        <v>56070</v>
      </c>
      <c r="U79" s="19">
        <f>'B2B- Non Repair'!U36</f>
        <v>45887</v>
      </c>
      <c r="V79" s="19">
        <f>'B2B- Non Repair'!V36</f>
        <v>53361</v>
      </c>
      <c r="W79" s="19">
        <f>'B2B- Non Repair'!W36</f>
        <v>66249</v>
      </c>
      <c r="X79" s="19">
        <f>'B2B- Non Repair'!X36</f>
        <v>66221</v>
      </c>
      <c r="Y79" s="19">
        <f>'B2B- Non Repair'!Y36</f>
        <v>82599</v>
      </c>
      <c r="Z79" s="19">
        <f>'B2B- Non Repair'!Z36</f>
        <v>53879</v>
      </c>
      <c r="AA79" s="19">
        <f>'B2B- Non Repair'!AA36</f>
        <v>-9</v>
      </c>
      <c r="AB79" s="19">
        <f>'B2B- Non Repair'!AB36</f>
        <v>39615</v>
      </c>
      <c r="AC79" s="19">
        <f>'B2B- Non Repair'!AC36</f>
        <v>42144</v>
      </c>
      <c r="AD79" s="19">
        <f>'B2B- Non Repair'!AD36</f>
        <v>23101</v>
      </c>
      <c r="AE79" s="19">
        <f>'B2B- Non Repair'!AE36</f>
        <v>42428</v>
      </c>
      <c r="AF79" s="19">
        <f>'B2B- Non Repair'!AF36</f>
        <v>37510</v>
      </c>
      <c r="AG79" s="19">
        <f>'B2B- Non Repair'!AG36</f>
        <v>38033</v>
      </c>
      <c r="AH79" s="19">
        <f>'B2B- Non Repair'!AH36</f>
        <v>52152</v>
      </c>
      <c r="AI79" s="19">
        <f>'B2B- Non Repair'!AI36</f>
        <v>65623</v>
      </c>
      <c r="AJ79" s="19">
        <f>'B2B- Non Repair'!AJ36</f>
        <v>50097</v>
      </c>
      <c r="AK79" s="19">
        <f>'B2B- Non Repair'!AK36</f>
        <v>68912</v>
      </c>
      <c r="AL79" s="19">
        <f>'B2B- Non Repair'!AL36</f>
        <v>58359</v>
      </c>
      <c r="AM79" s="19">
        <f>'B2B- Non Repair'!AM36</f>
        <v>39373</v>
      </c>
      <c r="AN79" s="19">
        <f>'B2B- Non Repair'!AN36</f>
        <v>20126</v>
      </c>
      <c r="AO79" s="19">
        <f>'B2B- Non Repair'!AO36</f>
        <v>44621</v>
      </c>
      <c r="AP79" s="19">
        <f>'B2B- Non Repair'!AP36</f>
        <v>64902</v>
      </c>
      <c r="AQ79" s="19">
        <f>'B2B- Non Repair'!AQ36</f>
        <v>67514</v>
      </c>
      <c r="AR79" s="19">
        <f>'B2B- Non Repair'!AR36</f>
        <v>62399</v>
      </c>
      <c r="AS79" s="19">
        <f>'B2B- Non Repair'!AS36</f>
        <v>54021</v>
      </c>
      <c r="AT79" s="19">
        <f>'B2B- Non Repair'!AT36</f>
        <v>70785</v>
      </c>
      <c r="AU79" s="19">
        <f>'B2B- Non Repair'!AU36</f>
        <v>86904</v>
      </c>
      <c r="AV79" s="19">
        <f>'B2B- Non Repair'!AV36</f>
        <v>78350</v>
      </c>
      <c r="AW79" s="19">
        <f>'B2B- Non Repair'!AW36</f>
        <v>71272</v>
      </c>
      <c r="AX79" s="19">
        <f>'B2B- Non Repair'!AX36</f>
        <v>64414</v>
      </c>
      <c r="AY79" s="19">
        <f>'B2B- Non Repair'!AY36</f>
        <v>58747</v>
      </c>
      <c r="AZ79" s="19">
        <f>'B2B- Non Repair'!AZ36</f>
        <v>64291</v>
      </c>
      <c r="BA79" s="19">
        <f>'B2B- Non Repair'!BA36</f>
        <v>42923</v>
      </c>
      <c r="BB79" s="19">
        <f>'B2B- Non Repair'!BB36</f>
        <v>52724</v>
      </c>
      <c r="BC79" s="19">
        <f>'B2B- Non Repair'!BC36</f>
        <v>55751</v>
      </c>
      <c r="BD79" s="19">
        <f>'B2B- Non Repair'!BD36</f>
        <v>60752</v>
      </c>
      <c r="BE79" s="19">
        <f>'B2B- Non Repair'!BE36</f>
        <v>56404</v>
      </c>
      <c r="BF79" s="19">
        <f>'B2B- Non Repair'!BF36</f>
        <v>61515</v>
      </c>
      <c r="BG79" s="19">
        <f>'B2B- Non Repair'!BG36</f>
        <v>77757</v>
      </c>
      <c r="BH79" s="19">
        <f>'B2B- Non Repair'!BH36</f>
        <v>68844</v>
      </c>
      <c r="BI79" s="19">
        <f>'B2B- Non Repair'!BI36</f>
        <v>54352</v>
      </c>
      <c r="BJ79" s="19">
        <f>'B2B- Non Repair'!BJ36</f>
        <v>63463</v>
      </c>
      <c r="BK79" s="19">
        <f>'B2B- Non Repair'!BK36</f>
        <v>52095</v>
      </c>
      <c r="BL79" s="19">
        <f>'B2B- Non Repair'!BL36</f>
        <v>50869</v>
      </c>
      <c r="BM79" s="19">
        <f>'B2B- Non Repair'!BM36</f>
        <v>37278</v>
      </c>
      <c r="BN79" s="19">
        <f>'B2B- Non Repair'!BN36</f>
        <v>37858</v>
      </c>
      <c r="BO79" s="19">
        <f>'B2B- Non Repair'!BO36</f>
        <v>41284</v>
      </c>
      <c r="BP79" s="19">
        <f>'B2B- Non Repair'!BP36</f>
        <v>41474</v>
      </c>
      <c r="BQ79" s="19">
        <f>'B2B- Non Repair'!BQ36</f>
        <v>34830</v>
      </c>
      <c r="BR79" s="19">
        <f>'B2B- Non Repair'!BR36</f>
        <v>43285</v>
      </c>
      <c r="BS79" s="19">
        <f>'B2B- Non Repair'!BS36</f>
        <v>31222</v>
      </c>
      <c r="BT79" s="19">
        <f>'B2B- Non Repair'!BT36</f>
        <v>29041</v>
      </c>
      <c r="BU79" s="19">
        <f>'B2B- Non Repair'!BU36</f>
        <v>30017</v>
      </c>
      <c r="BV79" s="19">
        <f>'B2B- Non Repair'!BV36</f>
        <v>29941</v>
      </c>
      <c r="BW79" s="19">
        <f>'B2B- Non Repair'!BW36</f>
        <v>31452</v>
      </c>
      <c r="BX79" s="19">
        <f>'B2B- Non Repair'!BX36</f>
        <v>35266</v>
      </c>
      <c r="BY79" s="19">
        <f>'B2B- Non Repair'!BY36</f>
        <v>33841</v>
      </c>
      <c r="BZ79" s="19">
        <f>'B2B- Non Repair'!BZ36</f>
        <v>35750</v>
      </c>
      <c r="CA79" s="19">
        <f>'B2B- Non Repair'!CA36</f>
        <v>31293</v>
      </c>
      <c r="CB79" s="19">
        <f>'B2B- Non Repair'!CB36</f>
        <v>27648</v>
      </c>
      <c r="CC79" s="19">
        <f>'B2B- Non Repair'!CC36</f>
        <v>29614</v>
      </c>
      <c r="CD79" s="19">
        <f>'B2B- Non Repair'!CD36</f>
        <v>32314</v>
      </c>
      <c r="CE79" s="19">
        <f>'B2B- Non Repair'!CE36</f>
        <v>41872</v>
      </c>
      <c r="CF79" s="19">
        <f>'B2B- Non Repair'!CF36</f>
        <v>47777</v>
      </c>
      <c r="CG79" s="19">
        <f>'B2B- Non Repair'!CG36</f>
        <v>44343</v>
      </c>
      <c r="CH79" s="19">
        <f>'B2B- Non Repair'!CH36</f>
        <v>56164</v>
      </c>
      <c r="CI79" s="19">
        <f>'B2B- Non Repair'!CI36</f>
        <v>48992</v>
      </c>
      <c r="CJ79" s="19">
        <f>'B2B- Non Repair'!CJ36</f>
        <v>51123</v>
      </c>
      <c r="CK79" s="19">
        <f>'B2B- Non Repair'!CK36</f>
        <v>46922.368421052633</v>
      </c>
      <c r="CL79" s="19">
        <f>'B2B- Non Repair'!CL36</f>
        <v>47845</v>
      </c>
      <c r="CM79" s="19">
        <f>'B2B- Non Repair'!CM36</f>
        <v>44174</v>
      </c>
      <c r="CN79" s="19">
        <f>'B2B- Non Repair'!CN36</f>
        <v>38572</v>
      </c>
      <c r="CO79" s="19">
        <f>'B2B- Non Repair'!CO36</f>
        <v>45287</v>
      </c>
      <c r="CP79" s="19">
        <f>'B2B- Non Repair'!CP36</f>
        <v>56546</v>
      </c>
      <c r="CQ79" s="19">
        <f>'B2B- Non Repair'!CQ36</f>
        <v>62538</v>
      </c>
      <c r="CR79" s="19">
        <f>'B2B- Non Repair'!CR36</f>
        <v>59086</v>
      </c>
      <c r="CS79" s="19">
        <f>'B2B- Non Repair'!CS36</f>
        <v>57416.564144000004</v>
      </c>
      <c r="CT79" s="19">
        <f>'B2B- Non Repair'!CT36</f>
        <v>54821.372687599993</v>
      </c>
      <c r="CU79" s="19">
        <f>'B2B- Non Repair'!CU36</f>
        <v>65019.181533881332</v>
      </c>
      <c r="CV79" s="19">
        <f>'B2B- Non Repair'!CV36</f>
        <v>67399.727875252342</v>
      </c>
      <c r="CW79" s="19">
        <f>'B2B- Non Repair'!CW36</f>
        <v>63572.51181093786</v>
      </c>
      <c r="CX79" s="19">
        <f>'B2B- Non Repair'!CX36</f>
        <v>63586.353581892479</v>
      </c>
      <c r="CY79" s="19">
        <f>'B2B- Non Repair'!CY36</f>
        <v>59172.738679872913</v>
      </c>
      <c r="CZ79" s="19">
        <f>'B2B- Non Repair'!CZ36</f>
        <v>51554.807559096051</v>
      </c>
      <c r="DA79" s="19">
        <f>'B2B- Non Repair'!DA36</f>
        <v>60370.007730844874</v>
      </c>
      <c r="DB79" s="19">
        <f>'B2B- Non Repair'!DB36</f>
        <v>74617.119789671589</v>
      </c>
      <c r="DC79" s="19">
        <f>'B2B- Non Repair'!DC36</f>
        <v>83133.681436905434</v>
      </c>
      <c r="DD79" s="19">
        <f>'B2B- Non Repair'!DD36</f>
        <v>77906.724150091221</v>
      </c>
      <c r="DE79" s="19">
        <f>'B2B- Non Repair'!DE36</f>
        <v>76010.115028125598</v>
      </c>
      <c r="DF79" s="19">
        <f>'B2B- Non Repair'!DF36</f>
        <v>73136.953943496788</v>
      </c>
      <c r="DG79" s="19">
        <f>'B2B- Non Repair'!DG36</f>
        <v>81273.976917351654</v>
      </c>
      <c r="DH79" s="19">
        <f>'B2B- Non Repair'!DH36</f>
        <v>84249.659844065434</v>
      </c>
      <c r="DI79" s="19">
        <f>'B2B- Non Repair'!DI36</f>
        <v>79465.639763672327</v>
      </c>
      <c r="DJ79" s="19">
        <f>'B2B- Non Repair'!DJ36</f>
        <v>79482.941977365583</v>
      </c>
      <c r="DK79" s="19">
        <f>'B2B- Non Repair'!DK36</f>
        <v>73965.923349841149</v>
      </c>
      <c r="DL79" s="19">
        <f>'B2B- Non Repair'!DL36</f>
        <v>64443.509448870056</v>
      </c>
      <c r="DM79" s="19">
        <f>'B2B- Non Repair'!DM36</f>
        <v>75462.509663556091</v>
      </c>
      <c r="DN79" s="19">
        <f>'B2B- Non Repair'!DN36</f>
        <v>93271.399737089494</v>
      </c>
      <c r="DO79" s="19">
        <f>'B2B- Non Repair'!DO36</f>
        <v>103917.1017961318</v>
      </c>
      <c r="DP79" s="19">
        <f>'B2B- Non Repair'!DP36</f>
        <v>97383.405187614029</v>
      </c>
      <c r="DQ79" s="19">
        <f>'B2B- Non Repair'!DQ36</f>
        <v>95012.643785156994</v>
      </c>
      <c r="DR79" s="19">
        <f>'B2B- Non Repair'!DR36</f>
        <v>91421.192429370974</v>
      </c>
      <c r="DS79" s="19">
        <f>'B2B- Non Repair'!DS36</f>
        <v>97528.772300822005</v>
      </c>
      <c r="DT79" s="19">
        <f>'B2B- Non Repair'!DT36</f>
        <v>101099.59181287851</v>
      </c>
      <c r="DU79" s="19">
        <f>'B2B- Non Repair'!DU36</f>
        <v>95358.767716406786</v>
      </c>
      <c r="DV79" s="19">
        <f>'B2B- Non Repair'!DV36</f>
        <v>95379.530372838708</v>
      </c>
      <c r="DW79" s="19">
        <f>'B2B- Non Repair'!DW36</f>
        <v>88759.10801980937</v>
      </c>
      <c r="DX79" s="19">
        <f>'B2B- Non Repair'!DX36</f>
        <v>77332.211338644061</v>
      </c>
      <c r="DY79" s="19">
        <f>'B2B- Non Repair'!DY36</f>
        <v>90555.011596267315</v>
      </c>
      <c r="DZ79" s="19">
        <f>'B2B- Non Repair'!DZ36</f>
        <v>111925.6796845074</v>
      </c>
      <c r="EA79" s="19">
        <f>'B2B- Non Repair'!EA36</f>
        <v>124700.52215535815</v>
      </c>
      <c r="EB79" s="19">
        <f>'B2B- Non Repair'!EB36</f>
        <v>116860.08622513684</v>
      </c>
      <c r="EC79" s="19">
        <f>'B2B- Non Repair'!EC36</f>
        <v>114015.1725421884</v>
      </c>
      <c r="ED79" s="19">
        <f>'B2B- Non Repair'!ED36</f>
        <v>109705.43091524518</v>
      </c>
      <c r="EE79" s="222"/>
      <c r="EF79" s="19">
        <f>SUM(BK79:BM79)</f>
        <v>140242</v>
      </c>
      <c r="EG79" s="19">
        <f>SUM(BN79:BP79)</f>
        <v>120616</v>
      </c>
      <c r="EH79" s="19">
        <f>SUM(BQ79:BS79)</f>
        <v>109337</v>
      </c>
      <c r="EI79" s="19">
        <f>SUM(BT79:BV79)</f>
        <v>88999</v>
      </c>
      <c r="EJ79" s="19">
        <f>SUM(BW79:BY79)</f>
        <v>100559</v>
      </c>
      <c r="EK79" s="19">
        <f>SUM(BZ79:CB79)</f>
        <v>94691</v>
      </c>
      <c r="EL79" s="19">
        <f>SUM(CC79:CE79)</f>
        <v>103800</v>
      </c>
      <c r="EM79" s="19">
        <f>SUM(CF79:CH79)</f>
        <v>148284</v>
      </c>
      <c r="EN79" s="19">
        <f>SUM(CI79:CK79)</f>
        <v>147037.36842105264</v>
      </c>
      <c r="EO79" s="19">
        <f>SUM(CL79:CN79)</f>
        <v>130591</v>
      </c>
      <c r="EP79" s="19">
        <f>SUM(CO79:CQ79)</f>
        <v>164371</v>
      </c>
      <c r="EQ79" s="19">
        <f>SUM(CR79:CT79)</f>
        <v>171323.9368316</v>
      </c>
      <c r="ER79" s="19">
        <f>SUM(CU79:CW79)</f>
        <v>195991.42122007153</v>
      </c>
      <c r="ES79" s="19">
        <f>SUM(CX79:CZ79)</f>
        <v>174313.89982086144</v>
      </c>
      <c r="ET79" s="19">
        <f>SUM(DA79:DC79)</f>
        <v>218120.80895742189</v>
      </c>
      <c r="EU79" s="19">
        <f>SUM(DD79:DF79)</f>
        <v>227053.79312171362</v>
      </c>
      <c r="EV79" s="19">
        <f>SUM(DG79:DI79)</f>
        <v>244989.2765250894</v>
      </c>
      <c r="EW79" s="19">
        <f>SUM(DJ79:DL79)</f>
        <v>217892.37477607679</v>
      </c>
      <c r="EX79" s="19">
        <f>SUM(DM79:DO79)</f>
        <v>272651.0111967774</v>
      </c>
      <c r="EY79" s="19">
        <f>SUM(DP79:DR79)</f>
        <v>283817.24140214198</v>
      </c>
      <c r="EZ79" s="19">
        <f t="shared" si="287"/>
        <v>293987.1318301073</v>
      </c>
      <c r="FA79" s="19">
        <f t="shared" si="288"/>
        <v>261470.84973129214</v>
      </c>
      <c r="FB79" s="19">
        <f t="shared" si="289"/>
        <v>327181.21343613288</v>
      </c>
      <c r="FC79" s="19">
        <f t="shared" si="290"/>
        <v>340580.6896825704</v>
      </c>
      <c r="FE79" s="19">
        <f t="shared" si="291"/>
        <v>459194</v>
      </c>
      <c r="FF79" s="19">
        <f t="shared" si="292"/>
        <v>447334</v>
      </c>
      <c r="FG79" s="19">
        <f t="shared" si="293"/>
        <v>613323.30525265262</v>
      </c>
      <c r="FH79" s="19">
        <f t="shared" si="294"/>
        <v>815479.92312006839</v>
      </c>
      <c r="FI79" s="19">
        <f t="shared" si="295"/>
        <v>1019349.9039000855</v>
      </c>
      <c r="FJ79" s="770">
        <f t="shared" si="207"/>
        <v>1223219.8846801026</v>
      </c>
      <c r="FK79" s="545" t="s">
        <v>1</v>
      </c>
    </row>
    <row r="80" spans="2:167" x14ac:dyDescent="0.2">
      <c r="B80" s="228" t="s">
        <v>139</v>
      </c>
      <c r="C80" s="19">
        <f>Refurbished!C45</f>
        <v>916</v>
      </c>
      <c r="D80" s="19">
        <f>Refurbished!D45</f>
        <v>969</v>
      </c>
      <c r="E80" s="19">
        <f>Refurbished!E45</f>
        <v>817</v>
      </c>
      <c r="F80" s="19">
        <f>Refurbished!F45</f>
        <v>1419</v>
      </c>
      <c r="G80" s="19">
        <f>Refurbished!G45</f>
        <v>1338</v>
      </c>
      <c r="H80" s="19">
        <f>Refurbished!H45</f>
        <v>1177</v>
      </c>
      <c r="I80" s="19">
        <f>Refurbished!I45</f>
        <v>1366</v>
      </c>
      <c r="J80" s="19">
        <f>Refurbished!J45</f>
        <v>1689</v>
      </c>
      <c r="K80" s="19">
        <f>Refurbished!K45</f>
        <v>2158</v>
      </c>
      <c r="L80" s="19">
        <f>Refurbished!L45</f>
        <v>2243</v>
      </c>
      <c r="M80" s="19">
        <f>Refurbished!M45</f>
        <v>3407</v>
      </c>
      <c r="N80" s="19">
        <f>Refurbished!N45</f>
        <v>4040</v>
      </c>
      <c r="O80" s="19">
        <f>Refurbished!O45</f>
        <v>5288</v>
      </c>
      <c r="P80" s="19">
        <f>Refurbished!P45</f>
        <v>5675</v>
      </c>
      <c r="Q80" s="19">
        <f>Refurbished!Q45</f>
        <v>5719</v>
      </c>
      <c r="R80" s="19">
        <f>Refurbished!R45</f>
        <v>6443</v>
      </c>
      <c r="S80" s="19">
        <f>Refurbished!S45</f>
        <v>5019</v>
      </c>
      <c r="T80" s="19">
        <f>Refurbished!T45</f>
        <v>5162</v>
      </c>
      <c r="U80" s="19">
        <f>Refurbished!U45</f>
        <v>4445</v>
      </c>
      <c r="V80" s="19">
        <f>Refurbished!V45</f>
        <v>2705</v>
      </c>
      <c r="W80" s="19">
        <f>Refurbished!W45</f>
        <v>5579</v>
      </c>
      <c r="X80" s="19">
        <f>Refurbished!X45</f>
        <v>5112</v>
      </c>
      <c r="Y80" s="19">
        <f>Refurbished!Y45</f>
        <v>2845</v>
      </c>
      <c r="Z80" s="19">
        <f>Refurbished!Z45</f>
        <v>2684</v>
      </c>
      <c r="AA80" s="19">
        <f>Refurbished!AA45</f>
        <v>-280</v>
      </c>
      <c r="AB80" s="19">
        <f>Refurbished!AB45</f>
        <v>3284</v>
      </c>
      <c r="AC80" s="19">
        <f>Refurbished!AC45</f>
        <v>2787</v>
      </c>
      <c r="AD80" s="19">
        <f>Refurbished!AD45</f>
        <v>2738</v>
      </c>
      <c r="AE80" s="19">
        <f>Refurbished!AE45</f>
        <v>3326</v>
      </c>
      <c r="AF80" s="19">
        <f>Refurbished!AF45</f>
        <v>4304</v>
      </c>
      <c r="AG80" s="19">
        <f>Refurbished!AG45</f>
        <v>5065</v>
      </c>
      <c r="AH80" s="19">
        <f>Refurbished!AH45</f>
        <v>6946</v>
      </c>
      <c r="AI80" s="19">
        <f>Refurbished!AI45</f>
        <v>10431</v>
      </c>
      <c r="AJ80" s="19">
        <f>Refurbished!AJ45</f>
        <v>12637</v>
      </c>
      <c r="AK80" s="19">
        <f>Refurbished!AK45</f>
        <v>9922</v>
      </c>
      <c r="AL80" s="19">
        <f>Refurbished!AL45</f>
        <v>9737</v>
      </c>
      <c r="AM80" s="19">
        <f>Refurbished!AM45</f>
        <v>7121</v>
      </c>
      <c r="AN80" s="19">
        <f>Refurbished!AN45</f>
        <v>3976</v>
      </c>
      <c r="AO80" s="19">
        <f>Refurbished!AO45</f>
        <v>8271</v>
      </c>
      <c r="AP80" s="19">
        <f>Refurbished!AP45</f>
        <v>10158</v>
      </c>
      <c r="AQ80" s="19">
        <f>Refurbished!AQ45</f>
        <v>11376</v>
      </c>
      <c r="AR80" s="19">
        <f>Refurbished!AR45</f>
        <v>13863</v>
      </c>
      <c r="AS80" s="19">
        <f>Refurbished!AS45</f>
        <v>15261</v>
      </c>
      <c r="AT80" s="19">
        <f>Refurbished!AT45</f>
        <v>17818</v>
      </c>
      <c r="AU80" s="19">
        <f>Refurbished!AU45</f>
        <v>20229</v>
      </c>
      <c r="AV80" s="19">
        <f>Refurbished!AV45</f>
        <v>21595</v>
      </c>
      <c r="AW80" s="19">
        <f>Refurbished!AW45</f>
        <v>20402</v>
      </c>
      <c r="AX80" s="19">
        <f>Refurbished!AX45</f>
        <v>21246</v>
      </c>
      <c r="AY80" s="19">
        <f>Refurbished!AY45</f>
        <v>15685</v>
      </c>
      <c r="AZ80" s="19">
        <f>Refurbished!AZ45</f>
        <v>17437</v>
      </c>
      <c r="BA80" s="19">
        <f>Refurbished!BA45</f>
        <v>16076</v>
      </c>
      <c r="BB80" s="19">
        <f>Refurbished!BB45</f>
        <v>17742</v>
      </c>
      <c r="BC80" s="19">
        <f>Refurbished!BC45</f>
        <v>16488</v>
      </c>
      <c r="BD80" s="19">
        <f>Refurbished!BD45</f>
        <v>15321</v>
      </c>
      <c r="BE80" s="19">
        <f>Refurbished!BE45</f>
        <v>15201</v>
      </c>
      <c r="BF80" s="19">
        <f>Refurbished!BF45</f>
        <v>14674</v>
      </c>
      <c r="BG80" s="19">
        <f>Refurbished!BG45</f>
        <v>17451</v>
      </c>
      <c r="BH80" s="19">
        <f>Refurbished!BH45</f>
        <v>18286</v>
      </c>
      <c r="BI80" s="19">
        <f>Refurbished!BI45</f>
        <v>18676</v>
      </c>
      <c r="BJ80" s="19">
        <f>Refurbished!BJ45</f>
        <v>23420</v>
      </c>
      <c r="BK80" s="19">
        <f>Refurbished!BK45</f>
        <v>20741</v>
      </c>
      <c r="BL80" s="19">
        <f>Refurbished!BL45</f>
        <v>20909</v>
      </c>
      <c r="BM80" s="19">
        <f>Refurbished!BM45</f>
        <v>23236</v>
      </c>
      <c r="BN80" s="19">
        <f>Refurbished!BN45</f>
        <v>18465</v>
      </c>
      <c r="BO80" s="19">
        <f>Refurbished!BO45</f>
        <v>19986</v>
      </c>
      <c r="BP80" s="19">
        <f>Refurbished!BP45</f>
        <v>19513</v>
      </c>
      <c r="BQ80" s="19">
        <f>Refurbished!BQ45</f>
        <v>24406</v>
      </c>
      <c r="BR80" s="19">
        <f>Refurbished!BR45</f>
        <v>22087</v>
      </c>
      <c r="BS80" s="19">
        <f>Refurbished!BS45</f>
        <v>19735</v>
      </c>
      <c r="BT80" s="19">
        <f>Refurbished!BT45</f>
        <v>19017</v>
      </c>
      <c r="BU80" s="19">
        <f>Refurbished!BU45</f>
        <v>14904</v>
      </c>
      <c r="BV80" s="19">
        <f>Refurbished!BV45</f>
        <v>20373</v>
      </c>
      <c r="BW80" s="19">
        <f>Refurbished!BW45</f>
        <v>20441</v>
      </c>
      <c r="BX80" s="19">
        <f>Refurbished!BX45</f>
        <v>20495</v>
      </c>
      <c r="BY80" s="19">
        <f>Refurbished!BY45</f>
        <v>21942</v>
      </c>
      <c r="BZ80" s="19">
        <f>Refurbished!BZ45</f>
        <v>21468</v>
      </c>
      <c r="CA80" s="19">
        <f>Refurbished!CA45</f>
        <v>18542</v>
      </c>
      <c r="CB80" s="19">
        <f>Refurbished!CB45</f>
        <v>17241</v>
      </c>
      <c r="CC80" s="19">
        <f>Refurbished!CC45</f>
        <v>19466</v>
      </c>
      <c r="CD80" s="19">
        <f>Refurbished!CD45</f>
        <v>18172</v>
      </c>
      <c r="CE80" s="19">
        <f>Refurbished!CE45</f>
        <v>21951</v>
      </c>
      <c r="CF80" s="19">
        <f>Refurbished!CF45</f>
        <v>23245</v>
      </c>
      <c r="CG80" s="19">
        <f>Refurbished!CG45</f>
        <v>22396</v>
      </c>
      <c r="CH80" s="19">
        <f>Refurbished!CH45</f>
        <v>28618</v>
      </c>
      <c r="CI80" s="19">
        <f>Refurbished!CI45</f>
        <v>25626</v>
      </c>
      <c r="CJ80" s="19">
        <f>Refurbished!CJ45</f>
        <v>25882</v>
      </c>
      <c r="CK80" s="19">
        <f>Refurbished!CK45</f>
        <v>26274.285714285714</v>
      </c>
      <c r="CL80" s="19">
        <f>Refurbished!CL45</f>
        <v>28320</v>
      </c>
      <c r="CM80" s="19">
        <f>Refurbished!CM45</f>
        <v>25318</v>
      </c>
      <c r="CN80" s="19">
        <f>Refurbished!CN45</f>
        <v>27502</v>
      </c>
      <c r="CO80" s="19">
        <f>Refurbished!CO45</f>
        <v>28751</v>
      </c>
      <c r="CP80" s="19">
        <f>Refurbished!CP45</f>
        <v>27477</v>
      </c>
      <c r="CQ80" s="19">
        <f>Refurbished!CQ45</f>
        <v>34592</v>
      </c>
      <c r="CR80" s="19">
        <f>Refurbished!CR45</f>
        <v>37355</v>
      </c>
      <c r="CS80" s="19">
        <f>Refurbished!CS45</f>
        <v>33633</v>
      </c>
      <c r="CT80" s="19">
        <f>Refurbished!CT45</f>
        <v>38363</v>
      </c>
      <c r="CU80" s="19">
        <f>Refurbished!CU45</f>
        <v>34006.480459410668</v>
      </c>
      <c r="CV80" s="19">
        <f>Refurbished!CV45</f>
        <v>33711.235971913244</v>
      </c>
      <c r="CW80" s="19">
        <f>Refurbished!CW45</f>
        <v>33637.603584600896</v>
      </c>
      <c r="CX80" s="19">
        <f>Refurbished!CX45</f>
        <v>35538.552784141677</v>
      </c>
      <c r="CY80" s="19">
        <f>Refurbished!CY45</f>
        <v>32292.750740826534</v>
      </c>
      <c r="CZ80" s="19">
        <f>Refurbished!CZ45</f>
        <v>32195.339572492099</v>
      </c>
      <c r="DA80" s="19">
        <f>Refurbished!DA45</f>
        <v>36289.355036894609</v>
      </c>
      <c r="DB80" s="19">
        <f>Refurbished!DB45</f>
        <v>34497.241010135011</v>
      </c>
      <c r="DC80" s="19">
        <f>Refurbished!DC45</f>
        <v>41931.641712674391</v>
      </c>
      <c r="DD80" s="19">
        <f>Refurbished!DD45</f>
        <v>43978.281732655203</v>
      </c>
      <c r="DE80" s="19">
        <f>Refurbished!DE45</f>
        <v>39292.159642788742</v>
      </c>
      <c r="DF80" s="19">
        <f>Refurbished!DF45</f>
        <v>44548.399057689079</v>
      </c>
      <c r="DG80" s="19">
        <f>Refurbished!DG45</f>
        <v>39900.043711338425</v>
      </c>
      <c r="DH80" s="19">
        <f>Refurbished!DH45</f>
        <v>39602.313292979306</v>
      </c>
      <c r="DI80" s="19">
        <f>Refurbished!DI45</f>
        <v>39400.462840825669</v>
      </c>
      <c r="DJ80" s="19">
        <f>Refurbished!DJ45</f>
        <v>41627.656318354682</v>
      </c>
      <c r="DK80" s="19">
        <f>Refurbished!DK45</f>
        <v>37776.90888653537</v>
      </c>
      <c r="DL80" s="19">
        <f>Refurbished!DL45</f>
        <v>37578.220559922927</v>
      </c>
      <c r="DM80" s="19">
        <f>Refurbished!DM45</f>
        <v>42327.6288611317</v>
      </c>
      <c r="DN80" s="19">
        <f>Refurbished!DN45</f>
        <v>40107.49970404528</v>
      </c>
      <c r="DO80" s="19">
        <f>Refurbished!DO45</f>
        <v>48630.410463480803</v>
      </c>
      <c r="DP80" s="19">
        <f>Refurbished!DP45</f>
        <v>50877.009866879242</v>
      </c>
      <c r="DQ80" s="19">
        <f>Refurbished!DQ45</f>
        <v>45348.966292943755</v>
      </c>
      <c r="DR80" s="19">
        <f>Refurbished!DR45</f>
        <v>51075.832951818913</v>
      </c>
      <c r="DS80" s="19">
        <f>Refurbished!DS45</f>
        <v>45732.193397028939</v>
      </c>
      <c r="DT80" s="19">
        <f>Refurbished!DT45</f>
        <v>45369.905902396597</v>
      </c>
      <c r="DU80" s="19">
        <f>Refurbished!DU45</f>
        <v>45124.286761007461</v>
      </c>
      <c r="DV80" s="19">
        <f>Refurbished!DV45</f>
        <v>47653.058434398728</v>
      </c>
      <c r="DW80" s="19">
        <f>Refurbished!DW45</f>
        <v>43229.545006824832</v>
      </c>
      <c r="DX80" s="19">
        <f>Refurbished!DX45</f>
        <v>42993.521623288565</v>
      </c>
      <c r="DY80" s="19">
        <f>Refurbished!DY45</f>
        <v>48388.489760853125</v>
      </c>
      <c r="DZ80" s="19">
        <f>Refurbished!DZ45</f>
        <v>45847.573522879087</v>
      </c>
      <c r="EA80" s="19">
        <f>Refurbished!EA45</f>
        <v>55585.168730373945</v>
      </c>
      <c r="EB80" s="19">
        <f>Refurbished!EB45</f>
        <v>58153.041613045803</v>
      </c>
      <c r="EC80" s="19">
        <f>Refurbished!EC45</f>
        <v>51809.047559038241</v>
      </c>
      <c r="ED80" s="19">
        <f>Refurbished!ED45</f>
        <v>58330.789737717525</v>
      </c>
      <c r="EE80" s="222"/>
      <c r="EF80" s="19">
        <f>SUM(BK80:BM80)</f>
        <v>64886</v>
      </c>
      <c r="EG80" s="19">
        <f>SUM(BN80:BP80)</f>
        <v>57964</v>
      </c>
      <c r="EH80" s="19">
        <f>SUM(BQ80:BS80)</f>
        <v>66228</v>
      </c>
      <c r="EI80" s="19">
        <f>SUM(BT80:BV80)</f>
        <v>54294</v>
      </c>
      <c r="EJ80" s="19">
        <f>SUM(BW80:BY80)</f>
        <v>62878</v>
      </c>
      <c r="EK80" s="19">
        <f>SUM(BZ80:CB80)</f>
        <v>57251</v>
      </c>
      <c r="EL80" s="19">
        <f>SUM(CC80:CE80)</f>
        <v>59589</v>
      </c>
      <c r="EM80" s="19">
        <f>SUM(CF80:CH80)</f>
        <v>74259</v>
      </c>
      <c r="EN80" s="19">
        <f>SUM(CI80:CK80)</f>
        <v>77782.28571428571</v>
      </c>
      <c r="EO80" s="19">
        <f>SUM(CL80:CN80)</f>
        <v>81140</v>
      </c>
      <c r="EP80" s="19">
        <f>SUM(CO80:CQ80)</f>
        <v>90820</v>
      </c>
      <c r="EQ80" s="19">
        <f>SUM(CR80:CT80)</f>
        <v>109351</v>
      </c>
      <c r="ER80" s="19">
        <f>SUM(CU80:CW80)</f>
        <v>101355.32001592481</v>
      </c>
      <c r="ES80" s="19">
        <f>SUM(CX80:CZ80)</f>
        <v>100026.64309746031</v>
      </c>
      <c r="ET80" s="19">
        <f>SUM(DA80:DC80)</f>
        <v>112718.23775970402</v>
      </c>
      <c r="EU80" s="19">
        <f>SUM(DD80:DF80)</f>
        <v>127818.84043313302</v>
      </c>
      <c r="EV80" s="19">
        <f>SUM(DG80:DI80)</f>
        <v>118902.8198451434</v>
      </c>
      <c r="EW80" s="19">
        <f>SUM(DJ80:DL80)</f>
        <v>116982.78576481299</v>
      </c>
      <c r="EX80" s="19">
        <f>SUM(DM80:DO80)</f>
        <v>131065.53902865777</v>
      </c>
      <c r="EY80" s="19">
        <f>SUM(DP80:DR80)</f>
        <v>147301.80911164189</v>
      </c>
      <c r="EZ80" s="19">
        <f t="shared" si="287"/>
        <v>136226.386060433</v>
      </c>
      <c r="FA80" s="19">
        <f t="shared" si="288"/>
        <v>133876.12506451213</v>
      </c>
      <c r="FB80" s="19">
        <f t="shared" si="289"/>
        <v>149821.23201410618</v>
      </c>
      <c r="FC80" s="19">
        <f t="shared" si="290"/>
        <v>168292.87890980157</v>
      </c>
      <c r="FE80" s="19">
        <f t="shared" si="291"/>
        <v>243372</v>
      </c>
      <c r="FF80" s="19">
        <f t="shared" si="292"/>
        <v>253977</v>
      </c>
      <c r="FG80" s="19">
        <f t="shared" si="293"/>
        <v>359093.28571428568</v>
      </c>
      <c r="FH80" s="19">
        <f t="shared" si="294"/>
        <v>441919.04130622215</v>
      </c>
      <c r="FI80" s="19">
        <f t="shared" si="295"/>
        <v>514252.95375025604</v>
      </c>
      <c r="FJ80" s="770">
        <f t="shared" si="207"/>
        <v>588216.62204885285</v>
      </c>
      <c r="FK80" s="545" t="s">
        <v>1</v>
      </c>
    </row>
    <row r="81" spans="2:167" x14ac:dyDescent="0.2">
      <c r="B81" s="228" t="s">
        <v>309</v>
      </c>
      <c r="C81" s="19">
        <f>Marketplace!C10</f>
        <v>12462</v>
      </c>
      <c r="D81" s="19">
        <f>Marketplace!D10</f>
        <v>16130</v>
      </c>
      <c r="E81" s="19">
        <f>Marketplace!E10</f>
        <v>15564</v>
      </c>
      <c r="F81" s="19">
        <f>Marketplace!F10</f>
        <v>13358</v>
      </c>
      <c r="G81" s="19">
        <f>Marketplace!G10</f>
        <v>7745</v>
      </c>
      <c r="H81" s="19">
        <f>Marketplace!H10</f>
        <v>5065</v>
      </c>
      <c r="I81" s="19">
        <f>Marketplace!I10</f>
        <v>6044</v>
      </c>
      <c r="J81" s="19">
        <f>Marketplace!J10</f>
        <v>5387</v>
      </c>
      <c r="K81" s="19">
        <f>Marketplace!K10</f>
        <v>5895</v>
      </c>
      <c r="L81" s="19">
        <f>Marketplace!L10</f>
        <v>6032</v>
      </c>
      <c r="M81" s="19">
        <f>Marketplace!M10</f>
        <v>5518</v>
      </c>
      <c r="N81" s="19">
        <f>Marketplace!N10</f>
        <v>5797</v>
      </c>
      <c r="O81" s="19">
        <f>Marketplace!O10</f>
        <v>5657</v>
      </c>
      <c r="P81" s="19">
        <f>Marketplace!P10</f>
        <v>6260</v>
      </c>
      <c r="Q81" s="19">
        <f>Marketplace!Q10</f>
        <v>6234</v>
      </c>
      <c r="R81" s="19">
        <f>Marketplace!R10</f>
        <v>7265</v>
      </c>
      <c r="S81" s="19">
        <f>Marketplace!S10</f>
        <v>8260</v>
      </c>
      <c r="T81" s="19">
        <f>Marketplace!T10</f>
        <v>8246</v>
      </c>
      <c r="U81" s="19">
        <f>Marketplace!U10</f>
        <v>11201</v>
      </c>
      <c r="V81" s="19">
        <f>Marketplace!V10</f>
        <v>8107</v>
      </c>
      <c r="W81" s="19">
        <f>Marketplace!W10</f>
        <v>8643</v>
      </c>
      <c r="X81" s="19">
        <f>Marketplace!X10</f>
        <v>10206</v>
      </c>
      <c r="Y81" s="19">
        <f>Marketplace!Y10</f>
        <v>9270</v>
      </c>
      <c r="Z81" s="19">
        <f>Marketplace!Z10</f>
        <v>7374</v>
      </c>
      <c r="AA81" s="19">
        <f>Marketplace!AA10</f>
        <v>95</v>
      </c>
      <c r="AB81" s="19">
        <f>Marketplace!AB10</f>
        <v>3900</v>
      </c>
      <c r="AC81" s="19">
        <f>Marketplace!AC10</f>
        <v>12423</v>
      </c>
      <c r="AD81" s="19">
        <f>Marketplace!AD10</f>
        <v>16894</v>
      </c>
      <c r="AE81" s="19">
        <f>Marketplace!AE10</f>
        <v>22072</v>
      </c>
      <c r="AF81" s="19">
        <f>Marketplace!AF10</f>
        <v>23273</v>
      </c>
      <c r="AG81" s="19">
        <f>Marketplace!AG10</f>
        <v>27669</v>
      </c>
      <c r="AH81" s="19">
        <f>Marketplace!AH10</f>
        <v>23476</v>
      </c>
      <c r="AI81" s="19">
        <f>Marketplace!AI10</f>
        <v>20166</v>
      </c>
      <c r="AJ81" s="19">
        <f>Marketplace!AJ10</f>
        <v>24581</v>
      </c>
      <c r="AK81" s="19">
        <f>Marketplace!AK10</f>
        <v>21836</v>
      </c>
      <c r="AL81" s="19">
        <f>Marketplace!AL10</f>
        <v>24239</v>
      </c>
      <c r="AM81" s="19">
        <f>Marketplace!AM10</f>
        <v>18016</v>
      </c>
      <c r="AN81" s="19">
        <f>Marketplace!AN10</f>
        <v>8266</v>
      </c>
      <c r="AO81" s="19">
        <f>Marketplace!AO10</f>
        <v>26810</v>
      </c>
      <c r="AP81" s="19">
        <f>Marketplace!AP10</f>
        <v>33947</v>
      </c>
      <c r="AQ81" s="19">
        <f>Marketplace!AQ10</f>
        <v>39124</v>
      </c>
      <c r="AR81" s="19">
        <f>Marketplace!AR10</f>
        <v>39601</v>
      </c>
      <c r="AS81" s="19">
        <f>Marketplace!AS10</f>
        <v>52331</v>
      </c>
      <c r="AT81" s="19">
        <f>Marketplace!AT10</f>
        <v>34852</v>
      </c>
      <c r="AU81" s="19">
        <f>Marketplace!AU10</f>
        <v>38477</v>
      </c>
      <c r="AV81" s="19">
        <f>Marketplace!AV10</f>
        <v>40669</v>
      </c>
      <c r="AW81" s="19">
        <f>Marketplace!AW10</f>
        <v>37435</v>
      </c>
      <c r="AX81" s="19">
        <f>Marketplace!AX10</f>
        <v>47022</v>
      </c>
      <c r="AY81" s="19">
        <f>Marketplace!AY10</f>
        <v>42384</v>
      </c>
      <c r="AZ81" s="19">
        <f>Marketplace!AZ10</f>
        <v>41540</v>
      </c>
      <c r="BA81" s="19">
        <f>Marketplace!BA10</f>
        <v>47337</v>
      </c>
      <c r="BB81" s="19">
        <f>Marketplace!BB10</f>
        <v>45196</v>
      </c>
      <c r="BC81" s="19">
        <f>Marketplace!BC10</f>
        <v>43482</v>
      </c>
      <c r="BD81" s="19">
        <f>Marketplace!BD10</f>
        <v>51187</v>
      </c>
      <c r="BE81" s="19">
        <f>Marketplace!BE10</f>
        <v>51956</v>
      </c>
      <c r="BF81" s="19">
        <f>Marketplace!BF10</f>
        <v>39058</v>
      </c>
      <c r="BG81" s="19">
        <f>Marketplace!BG10</f>
        <v>41562</v>
      </c>
      <c r="BH81" s="19">
        <f>Marketplace!BH10</f>
        <v>47563</v>
      </c>
      <c r="BI81" s="19">
        <f>Marketplace!BI10</f>
        <v>44375</v>
      </c>
      <c r="BJ81" s="19">
        <f>Marketplace!BJ10</f>
        <v>50068</v>
      </c>
      <c r="BK81" s="19">
        <f>Marketplace!BK10</f>
        <v>54192</v>
      </c>
      <c r="BL81" s="19">
        <f>Marketplace!BL10</f>
        <v>58147</v>
      </c>
      <c r="BM81" s="19">
        <f>Marketplace!BM10</f>
        <v>55196</v>
      </c>
      <c r="BN81" s="19">
        <f>Marketplace!BN10</f>
        <v>57834</v>
      </c>
      <c r="BO81" s="19">
        <f>Marketplace!BO10</f>
        <v>58192</v>
      </c>
      <c r="BP81" s="19">
        <f>Marketplace!BP10</f>
        <v>52716</v>
      </c>
      <c r="BQ81" s="19">
        <f>Marketplace!BQ10</f>
        <v>76285</v>
      </c>
      <c r="BR81" s="19">
        <f>Marketplace!BR10</f>
        <v>61963</v>
      </c>
      <c r="BS81" s="19">
        <f>Marketplace!BS10</f>
        <v>55860</v>
      </c>
      <c r="BT81" s="19">
        <f>Marketplace!BT10</f>
        <v>59120</v>
      </c>
      <c r="BU81" s="19">
        <f>Marketplace!BU10</f>
        <v>53513</v>
      </c>
      <c r="BV81" s="19">
        <f>Marketplace!BV10</f>
        <v>55133</v>
      </c>
      <c r="BW81" s="19">
        <f>Marketplace!BW10</f>
        <v>52304</v>
      </c>
      <c r="BX81" s="19">
        <f>Marketplace!BX10</f>
        <v>59813</v>
      </c>
      <c r="BY81" s="19">
        <f>Marketplace!BY10</f>
        <v>54260</v>
      </c>
      <c r="BZ81" s="19">
        <f>Marketplace!BZ10</f>
        <v>61976</v>
      </c>
      <c r="CA81" s="19">
        <f>Marketplace!CA10</f>
        <v>60546</v>
      </c>
      <c r="CB81" s="19">
        <f>Marketplace!CB10</f>
        <v>56776</v>
      </c>
      <c r="CC81" s="19">
        <f>Marketplace!CC10</f>
        <v>78506</v>
      </c>
      <c r="CD81" s="19">
        <f>Marketplace!CD10</f>
        <v>57876</v>
      </c>
      <c r="CE81" s="19">
        <f>Marketplace!CE10</f>
        <v>58235</v>
      </c>
      <c r="CF81" s="19">
        <f>Marketplace!CF10</f>
        <v>62843</v>
      </c>
      <c r="CG81" s="19">
        <f>Marketplace!CG10</f>
        <v>58630</v>
      </c>
      <c r="CH81" s="19">
        <f>Marketplace!CH10</f>
        <v>59318</v>
      </c>
      <c r="CI81" s="19">
        <f>Marketplace!CI10</f>
        <v>59845</v>
      </c>
      <c r="CJ81" s="19">
        <f>Marketplace!CJ10</f>
        <v>65209</v>
      </c>
      <c r="CK81" s="19">
        <f>Marketplace!CK10</f>
        <v>64438</v>
      </c>
      <c r="CL81" s="19">
        <f>Marketplace!CL10</f>
        <v>70452</v>
      </c>
      <c r="CM81" s="19">
        <f>Marketplace!CM10</f>
        <v>65759</v>
      </c>
      <c r="CN81" s="19">
        <f>Marketplace!CN10</f>
        <v>76391</v>
      </c>
      <c r="CO81" s="19">
        <f>Marketplace!CO10</f>
        <v>94429</v>
      </c>
      <c r="CP81" s="19">
        <f>Marketplace!CP10</f>
        <v>69898</v>
      </c>
      <c r="CQ81" s="19">
        <f>Marketplace!CQ10</f>
        <v>72218</v>
      </c>
      <c r="CR81" s="19">
        <f>Marketplace!CR10</f>
        <v>75770</v>
      </c>
      <c r="CS81" s="19">
        <f>Marketplace!CS10</f>
        <v>64966</v>
      </c>
      <c r="CT81" s="19">
        <f>Marketplace!CT10</f>
        <v>78919</v>
      </c>
      <c r="CU81" s="19">
        <f>Marketplace!CU10</f>
        <v>74806.25</v>
      </c>
      <c r="CV81" s="19">
        <f>Marketplace!CV10</f>
        <v>81511.25</v>
      </c>
      <c r="CW81" s="19">
        <f>Marketplace!CW10</f>
        <v>80547.5</v>
      </c>
      <c r="CX81" s="19">
        <f>Marketplace!CX10</f>
        <v>88065</v>
      </c>
      <c r="CY81" s="19">
        <f>Marketplace!CY10</f>
        <v>82198.75</v>
      </c>
      <c r="CZ81" s="19">
        <f>Marketplace!CZ10</f>
        <v>95488.75</v>
      </c>
      <c r="DA81" s="19">
        <f>Marketplace!DA10</f>
        <v>118036.25</v>
      </c>
      <c r="DB81" s="19">
        <f>Marketplace!DB10</f>
        <v>87372.5</v>
      </c>
      <c r="DC81" s="19">
        <f>Marketplace!DC10</f>
        <v>90272.5</v>
      </c>
      <c r="DD81" s="19">
        <f>Marketplace!DD10</f>
        <v>94712.5</v>
      </c>
      <c r="DE81" s="19">
        <f>Marketplace!DE10</f>
        <v>81207.5</v>
      </c>
      <c r="DF81" s="19">
        <f>Marketplace!DF10</f>
        <v>98648.75</v>
      </c>
      <c r="DG81" s="19">
        <f>Marketplace!DG10</f>
        <v>89767.5</v>
      </c>
      <c r="DH81" s="19">
        <f>Marketplace!DH10</f>
        <v>97813.5</v>
      </c>
      <c r="DI81" s="19">
        <f>Marketplace!DI10</f>
        <v>96657</v>
      </c>
      <c r="DJ81" s="19">
        <f>Marketplace!DJ10</f>
        <v>105678</v>
      </c>
      <c r="DK81" s="19">
        <f>Marketplace!DK10</f>
        <v>98638.5</v>
      </c>
      <c r="DL81" s="19">
        <f>Marketplace!DL10</f>
        <v>114586.5</v>
      </c>
      <c r="DM81" s="19">
        <f>Marketplace!DM10</f>
        <v>141643.5</v>
      </c>
      <c r="DN81" s="19">
        <f>Marketplace!DN10</f>
        <v>104847</v>
      </c>
      <c r="DO81" s="19">
        <f>Marketplace!DO10</f>
        <v>108327</v>
      </c>
      <c r="DP81" s="19">
        <f>Marketplace!DP10</f>
        <v>113655</v>
      </c>
      <c r="DQ81" s="19">
        <f>Marketplace!DQ10</f>
        <v>97449</v>
      </c>
      <c r="DR81" s="19">
        <f>Marketplace!DR10</f>
        <v>118378.5</v>
      </c>
      <c r="DS81" s="19">
        <f>Marketplace!DS10</f>
        <v>103232.62499999999</v>
      </c>
      <c r="DT81" s="19">
        <f>Marketplace!DT10</f>
        <v>112485.52499999999</v>
      </c>
      <c r="DU81" s="19">
        <f>Marketplace!DU10</f>
        <v>111155.54999999999</v>
      </c>
      <c r="DV81" s="19">
        <f>Marketplace!DV10</f>
        <v>121529.7</v>
      </c>
      <c r="DW81" s="19">
        <f>Marketplace!DW10</f>
        <v>113434.27499999999</v>
      </c>
      <c r="DX81" s="19">
        <f>Marketplace!DX10</f>
        <v>131774.47499999998</v>
      </c>
      <c r="DY81" s="19">
        <f>Marketplace!DY10</f>
        <v>162890.02499999999</v>
      </c>
      <c r="DZ81" s="19">
        <f>Marketplace!DZ10</f>
        <v>120574.04999999999</v>
      </c>
      <c r="EA81" s="19">
        <f>Marketplace!EA10</f>
        <v>124576.04999999999</v>
      </c>
      <c r="EB81" s="19">
        <f>Marketplace!EB10</f>
        <v>130703.24999999999</v>
      </c>
      <c r="EC81" s="19">
        <f>Marketplace!EC10</f>
        <v>112066.34999999999</v>
      </c>
      <c r="ED81" s="19">
        <f>Marketplace!ED10</f>
        <v>136135.27499999999</v>
      </c>
      <c r="EE81" s="222"/>
      <c r="EF81" s="19">
        <f>SUM(BK81:BM81)</f>
        <v>167535</v>
      </c>
      <c r="EG81" s="19">
        <f>SUM(BN81:BP81)</f>
        <v>168742</v>
      </c>
      <c r="EH81" s="19">
        <f>SUM(BQ81:BS81)</f>
        <v>194108</v>
      </c>
      <c r="EI81" s="19">
        <f>SUM(BT81:BV81)</f>
        <v>167766</v>
      </c>
      <c r="EJ81" s="19">
        <f>SUM(BW81:BY81)</f>
        <v>166377</v>
      </c>
      <c r="EK81" s="19">
        <f>SUM(BZ81:CB81)</f>
        <v>179298</v>
      </c>
      <c r="EL81" s="19">
        <f>SUM(CC81:CE81)</f>
        <v>194617</v>
      </c>
      <c r="EM81" s="19">
        <f>SUM(CF81:CH81)</f>
        <v>180791</v>
      </c>
      <c r="EN81" s="19">
        <f>SUM(CI81:CK81)</f>
        <v>189492</v>
      </c>
      <c r="EO81" s="19">
        <f>SUM(CL81:CN81)</f>
        <v>212602</v>
      </c>
      <c r="EP81" s="19">
        <f>SUM(CO81:CQ81)</f>
        <v>236545</v>
      </c>
      <c r="EQ81" s="19">
        <f>SUM(CR81:CT81)</f>
        <v>219655</v>
      </c>
      <c r="ER81" s="19">
        <f>SUM(CU81:CW81)</f>
        <v>236865</v>
      </c>
      <c r="ES81" s="19">
        <f>SUM(CX81:CZ81)</f>
        <v>265752.5</v>
      </c>
      <c r="ET81" s="19">
        <f>SUM(DA81:DC81)</f>
        <v>295681.25</v>
      </c>
      <c r="EU81" s="19">
        <f>SUM(DD81:DF81)</f>
        <v>274568.75</v>
      </c>
      <c r="EV81" s="19">
        <f>SUM(DG81:DI81)</f>
        <v>284238</v>
      </c>
      <c r="EW81" s="19">
        <f>SUM(DJ81:DL81)</f>
        <v>318903</v>
      </c>
      <c r="EX81" s="19">
        <f>SUM(DM81:DO81)</f>
        <v>354817.5</v>
      </c>
      <c r="EY81" s="19">
        <f>SUM(DP81:DR81)</f>
        <v>329482.5</v>
      </c>
      <c r="EZ81" s="19">
        <f t="shared" si="287"/>
        <v>326873.69999999995</v>
      </c>
      <c r="FA81" s="19">
        <f t="shared" si="288"/>
        <v>366738.44999999995</v>
      </c>
      <c r="FB81" s="19">
        <f t="shared" si="289"/>
        <v>408040.12499999994</v>
      </c>
      <c r="FC81" s="19">
        <f t="shared" si="290"/>
        <v>378904.875</v>
      </c>
      <c r="FE81" s="19">
        <f t="shared" si="291"/>
        <v>698151</v>
      </c>
      <c r="FF81" s="19">
        <f t="shared" si="292"/>
        <v>721083</v>
      </c>
      <c r="FG81" s="19">
        <f t="shared" si="293"/>
        <v>858294</v>
      </c>
      <c r="FH81" s="19">
        <f t="shared" si="294"/>
        <v>1072867.5</v>
      </c>
      <c r="FI81" s="19">
        <f t="shared" si="295"/>
        <v>1287441</v>
      </c>
      <c r="FJ81" s="770">
        <f t="shared" si="207"/>
        <v>1480557.15</v>
      </c>
      <c r="FK81" s="545" t="s">
        <v>1</v>
      </c>
    </row>
    <row r="82" spans="2:167" x14ac:dyDescent="0.2">
      <c r="B82" s="303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222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E82" s="19"/>
      <c r="FF82" s="19"/>
      <c r="FG82" s="19"/>
      <c r="FH82" s="19"/>
      <c r="FI82" s="19"/>
      <c r="FJ82" s="770"/>
      <c r="FK82" s="545"/>
    </row>
    <row r="83" spans="2:167" x14ac:dyDescent="0.2">
      <c r="B83" s="223" t="s">
        <v>18</v>
      </c>
      <c r="C83" s="297">
        <f>SUM(C84:C88)</f>
        <v>126754289</v>
      </c>
      <c r="D83" s="297">
        <f t="shared" ref="D83:BO83" si="296">SUM(D84:D88)</f>
        <v>119819938.87714672</v>
      </c>
      <c r="E83" s="297">
        <f t="shared" si="296"/>
        <v>133084508.12436855</v>
      </c>
      <c r="F83" s="297">
        <f t="shared" si="296"/>
        <v>155727859.83737811</v>
      </c>
      <c r="G83" s="297">
        <f t="shared" si="296"/>
        <v>182795742.89628568</v>
      </c>
      <c r="H83" s="297">
        <f t="shared" si="296"/>
        <v>184378270.93755788</v>
      </c>
      <c r="I83" s="297">
        <f t="shared" si="296"/>
        <v>212480519.13634789</v>
      </c>
      <c r="J83" s="297">
        <f t="shared" si="296"/>
        <v>188439516.09237558</v>
      </c>
      <c r="K83" s="297">
        <f t="shared" si="296"/>
        <v>245237226.10324571</v>
      </c>
      <c r="L83" s="297">
        <f t="shared" si="296"/>
        <v>248236020.79849324</v>
      </c>
      <c r="M83" s="297">
        <f t="shared" si="296"/>
        <v>251863582.16944057</v>
      </c>
      <c r="N83" s="297">
        <f t="shared" si="296"/>
        <v>229141110.31692117</v>
      </c>
      <c r="O83" s="297">
        <f t="shared" si="296"/>
        <v>298567458.6363188</v>
      </c>
      <c r="P83" s="297">
        <f t="shared" si="296"/>
        <v>302525404.39767718</v>
      </c>
      <c r="Q83" s="297">
        <f t="shared" si="296"/>
        <v>316273472.35416216</v>
      </c>
      <c r="R83" s="297">
        <f t="shared" si="296"/>
        <v>325817328.9530279</v>
      </c>
      <c r="S83" s="297">
        <f t="shared" si="296"/>
        <v>259368603.32220185</v>
      </c>
      <c r="T83" s="297">
        <f t="shared" si="296"/>
        <v>246773756.0159992</v>
      </c>
      <c r="U83" s="297">
        <f t="shared" si="296"/>
        <v>209638879.51347181</v>
      </c>
      <c r="V83" s="297">
        <f t="shared" si="296"/>
        <v>228596600.14987156</v>
      </c>
      <c r="W83" s="297">
        <f t="shared" si="296"/>
        <v>268124093.51190317</v>
      </c>
      <c r="X83" s="297">
        <f t="shared" si="296"/>
        <v>273807618.71352553</v>
      </c>
      <c r="Y83" s="297">
        <f t="shared" si="296"/>
        <v>292153798.56670946</v>
      </c>
      <c r="Z83" s="297">
        <f t="shared" si="296"/>
        <v>194317683.7495023</v>
      </c>
      <c r="AA83" s="297">
        <f t="shared" si="296"/>
        <v>6353383.0841666702</v>
      </c>
      <c r="AB83" s="297">
        <f t="shared" si="296"/>
        <v>153748056.10794836</v>
      </c>
      <c r="AC83" s="297">
        <f t="shared" si="296"/>
        <v>163647806.88501582</v>
      </c>
      <c r="AD83" s="297">
        <f t="shared" si="296"/>
        <v>136874412.75357133</v>
      </c>
      <c r="AE83" s="297">
        <f t="shared" si="296"/>
        <v>214675901.94174129</v>
      </c>
      <c r="AF83" s="297">
        <f t="shared" si="296"/>
        <v>225422227.9634892</v>
      </c>
      <c r="AG83" s="297">
        <f t="shared" si="296"/>
        <v>216381134.91772875</v>
      </c>
      <c r="AH83" s="297">
        <f t="shared" si="296"/>
        <v>248380500.99082702</v>
      </c>
      <c r="AI83" s="297">
        <f t="shared" si="296"/>
        <v>409792093.71152031</v>
      </c>
      <c r="AJ83" s="297">
        <f t="shared" si="296"/>
        <v>381469854.9627769</v>
      </c>
      <c r="AK83" s="297">
        <f t="shared" si="296"/>
        <v>432928248.81834453</v>
      </c>
      <c r="AL83" s="297">
        <f t="shared" si="296"/>
        <v>372547880.81028932</v>
      </c>
      <c r="AM83" s="297">
        <f t="shared" si="296"/>
        <v>263140727.45087084</v>
      </c>
      <c r="AN83" s="297">
        <f t="shared" si="296"/>
        <v>121268704.73673043</v>
      </c>
      <c r="AO83" s="297">
        <f t="shared" si="296"/>
        <v>260310919.63525891</v>
      </c>
      <c r="AP83" s="297">
        <f t="shared" si="296"/>
        <v>360061616.56935692</v>
      </c>
      <c r="AQ83" s="297">
        <f t="shared" si="296"/>
        <v>365167201.96747828</v>
      </c>
      <c r="AR83" s="297">
        <f t="shared" si="296"/>
        <v>371285190.2782135</v>
      </c>
      <c r="AS83" s="297">
        <f t="shared" si="296"/>
        <v>337655012.87439692</v>
      </c>
      <c r="AT83" s="297">
        <f t="shared" si="296"/>
        <v>410954435.03461868</v>
      </c>
      <c r="AU83" s="297">
        <f t="shared" si="296"/>
        <v>532354359.30776566</v>
      </c>
      <c r="AV83" s="297">
        <f t="shared" si="296"/>
        <v>523951363.10092819</v>
      </c>
      <c r="AW83" s="297">
        <f t="shared" si="296"/>
        <v>542630076.1587677</v>
      </c>
      <c r="AX83" s="297">
        <f t="shared" si="296"/>
        <v>497868554.44823182</v>
      </c>
      <c r="AY83" s="297">
        <f t="shared" si="296"/>
        <v>457576446.7087546</v>
      </c>
      <c r="AZ83" s="297">
        <f t="shared" si="296"/>
        <v>530374181.59494579</v>
      </c>
      <c r="BA83" s="297">
        <f t="shared" si="296"/>
        <v>449976750.81886607</v>
      </c>
      <c r="BB83" s="297">
        <f t="shared" si="296"/>
        <v>471607834.46665013</v>
      </c>
      <c r="BC83" s="297">
        <f t="shared" si="296"/>
        <v>497998993.56479031</v>
      </c>
      <c r="BD83" s="297">
        <f t="shared" si="296"/>
        <v>521509722.99640232</v>
      </c>
      <c r="BE83" s="297">
        <f t="shared" si="296"/>
        <v>597800272.16157115</v>
      </c>
      <c r="BF83" s="297">
        <f t="shared" si="296"/>
        <v>630049243.74965692</v>
      </c>
      <c r="BG83" s="297">
        <f t="shared" si="296"/>
        <v>760830361.90729821</v>
      </c>
      <c r="BH83" s="297">
        <f t="shared" si="296"/>
        <v>744362961.96530318</v>
      </c>
      <c r="BI83" s="297">
        <f t="shared" si="296"/>
        <v>673172547.69551921</v>
      </c>
      <c r="BJ83" s="297">
        <f t="shared" si="296"/>
        <v>816236026.42255259</v>
      </c>
      <c r="BK83" s="297">
        <f t="shared" si="296"/>
        <v>787700501.55828142</v>
      </c>
      <c r="BL83" s="297">
        <f t="shared" si="296"/>
        <v>790524920.0617429</v>
      </c>
      <c r="BM83" s="297">
        <f t="shared" si="296"/>
        <v>711593581.87859142</v>
      </c>
      <c r="BN83" s="297">
        <f t="shared" si="296"/>
        <v>608711309.207479</v>
      </c>
      <c r="BO83" s="297">
        <f t="shared" si="296"/>
        <v>645303493.88730013</v>
      </c>
      <c r="BP83" s="297">
        <f t="shared" ref="BP83:DR83" si="297">SUM(BP84:BP88)</f>
        <v>656804838.62326622</v>
      </c>
      <c r="BQ83" s="297">
        <f t="shared" si="297"/>
        <v>818741299.75662434</v>
      </c>
      <c r="BR83" s="297">
        <f t="shared" si="297"/>
        <v>776126977.13816035</v>
      </c>
      <c r="BS83" s="297">
        <f t="shared" si="297"/>
        <v>702682713.62740242</v>
      </c>
      <c r="BT83" s="297">
        <f t="shared" si="297"/>
        <v>660601760.55649877</v>
      </c>
      <c r="BU83" s="297">
        <f t="shared" si="297"/>
        <v>570750645.78912067</v>
      </c>
      <c r="BV83" s="297">
        <f t="shared" si="297"/>
        <v>668134484.41832066</v>
      </c>
      <c r="BW83" s="297">
        <f t="shared" si="297"/>
        <v>688193231.48995697</v>
      </c>
      <c r="BX83" s="297">
        <f t="shared" si="297"/>
        <v>704179488.87879121</v>
      </c>
      <c r="BY83" s="297">
        <f t="shared" si="297"/>
        <v>712960637.77041996</v>
      </c>
      <c r="BZ83" s="297">
        <f t="shared" si="297"/>
        <v>705134347.82661688</v>
      </c>
      <c r="CA83" s="297">
        <f t="shared" si="297"/>
        <v>643090661.94657683</v>
      </c>
      <c r="CB83" s="297">
        <f t="shared" si="297"/>
        <v>595529874.19890177</v>
      </c>
      <c r="CC83" s="297">
        <f t="shared" si="297"/>
        <v>722197204.37737858</v>
      </c>
      <c r="CD83" s="297">
        <f t="shared" si="297"/>
        <v>694086537.27469528</v>
      </c>
      <c r="CE83" s="297">
        <f t="shared" si="297"/>
        <v>821971586.01025987</v>
      </c>
      <c r="CF83" s="297">
        <f t="shared" si="297"/>
        <v>905016358.62826931</v>
      </c>
      <c r="CG83" s="297">
        <f t="shared" si="297"/>
        <v>930695331.49807322</v>
      </c>
      <c r="CH83" s="297">
        <f t="shared" si="297"/>
        <v>1190998550.1077273</v>
      </c>
      <c r="CI83" s="297">
        <f t="shared" si="297"/>
        <v>1043488071.8453518</v>
      </c>
      <c r="CJ83" s="297">
        <f t="shared" si="297"/>
        <v>1025064983.0027211</v>
      </c>
      <c r="CK83" s="297">
        <f t="shared" si="297"/>
        <v>1014027188.6547439</v>
      </c>
      <c r="CL83" s="297">
        <f t="shared" si="297"/>
        <v>1068763016.2520291</v>
      </c>
      <c r="CM83" s="297">
        <f t="shared" si="297"/>
        <v>898306487.03380859</v>
      </c>
      <c r="CN83" s="297">
        <f t="shared" si="297"/>
        <v>916934721.44372916</v>
      </c>
      <c r="CO83" s="297">
        <f t="shared" si="297"/>
        <v>1087382061.8179569</v>
      </c>
      <c r="CP83" s="297">
        <f t="shared" si="297"/>
        <v>1126809240.2542257</v>
      </c>
      <c r="CQ83" s="297">
        <f t="shared" si="297"/>
        <v>1413978300.018213</v>
      </c>
      <c r="CR83" s="297">
        <f t="shared" si="297"/>
        <v>1516875322.4770064</v>
      </c>
      <c r="CS83" s="297">
        <f t="shared" si="297"/>
        <v>1367736597.7897463</v>
      </c>
      <c r="CT83" s="297">
        <f t="shared" si="297"/>
        <v>1513566557.0954163</v>
      </c>
      <c r="CU83" s="297">
        <f t="shared" si="297"/>
        <v>1394893808.9532135</v>
      </c>
      <c r="CV83" s="297">
        <f t="shared" si="297"/>
        <v>1407764407.5390341</v>
      </c>
      <c r="CW83" s="297">
        <f t="shared" si="297"/>
        <v>1370936440.339617</v>
      </c>
      <c r="CX83" s="297">
        <f t="shared" si="297"/>
        <v>1418608732.1219912</v>
      </c>
      <c r="CY83" s="297">
        <f t="shared" si="297"/>
        <v>1302108978.9953489</v>
      </c>
      <c r="CZ83" s="297">
        <f t="shared" si="297"/>
        <v>1229736281.8990374</v>
      </c>
      <c r="DA83" s="297">
        <f t="shared" si="297"/>
        <v>1410271105.8726251</v>
      </c>
      <c r="DB83" s="297">
        <f t="shared" si="297"/>
        <v>1489791315.5694907</v>
      </c>
      <c r="DC83" s="297">
        <f t="shared" si="297"/>
        <v>1737718113.7891064</v>
      </c>
      <c r="DD83" s="297">
        <f t="shared" si="297"/>
        <v>1737792176.4758227</v>
      </c>
      <c r="DE83" s="297">
        <f t="shared" si="297"/>
        <v>1614502688.8070633</v>
      </c>
      <c r="DF83" s="297">
        <f t="shared" si="297"/>
        <v>1716671078.1334186</v>
      </c>
      <c r="DG83" s="297">
        <f t="shared" si="297"/>
        <v>1704583125.4841559</v>
      </c>
      <c r="DH83" s="297">
        <f t="shared" si="297"/>
        <v>1722061151.9471657</v>
      </c>
      <c r="DI83" s="297">
        <f t="shared" si="297"/>
        <v>1673276407.9799097</v>
      </c>
      <c r="DJ83" s="297">
        <f t="shared" si="297"/>
        <v>1730994681.9452481</v>
      </c>
      <c r="DK83" s="297">
        <f t="shared" si="297"/>
        <v>1587464411.1930342</v>
      </c>
      <c r="DL83" s="297">
        <f t="shared" si="297"/>
        <v>1495778008.4638379</v>
      </c>
      <c r="DM83" s="297">
        <f t="shared" si="297"/>
        <v>1715083486.1371617</v>
      </c>
      <c r="DN83" s="297">
        <f t="shared" si="297"/>
        <v>1811400247.2141056</v>
      </c>
      <c r="DO83" s="297">
        <f t="shared" si="297"/>
        <v>2108801998.0107393</v>
      </c>
      <c r="DP83" s="297">
        <f t="shared" si="297"/>
        <v>2103589629.2519143</v>
      </c>
      <c r="DQ83" s="297">
        <f t="shared" si="297"/>
        <v>1952476937.5804982</v>
      </c>
      <c r="DR83" s="297">
        <f t="shared" si="297"/>
        <v>2063902859.4595668</v>
      </c>
      <c r="DS83" s="297">
        <f t="shared" ref="DS83:ED83" si="298">SUM(DS84:DS88)</f>
        <v>1997343391.7328904</v>
      </c>
      <c r="DT83" s="297">
        <f t="shared" si="298"/>
        <v>2017943859.9154251</v>
      </c>
      <c r="DU83" s="297">
        <f t="shared" si="298"/>
        <v>1959722971.97752</v>
      </c>
      <c r="DV83" s="297">
        <f t="shared" si="298"/>
        <v>2025648024.5629356</v>
      </c>
      <c r="DW83" s="297">
        <f t="shared" si="298"/>
        <v>1857692876.4560635</v>
      </c>
      <c r="DX83" s="297">
        <f t="shared" si="298"/>
        <v>1749919350.4408717</v>
      </c>
      <c r="DY83" s="297">
        <f t="shared" si="298"/>
        <v>2004123087.966121</v>
      </c>
      <c r="DZ83" s="297">
        <f t="shared" si="298"/>
        <v>2120924175.8530753</v>
      </c>
      <c r="EA83" s="297">
        <f t="shared" si="298"/>
        <v>2468502490.3167562</v>
      </c>
      <c r="EB83" s="297">
        <f t="shared" si="298"/>
        <v>2461280852.0903625</v>
      </c>
      <c r="EC83" s="297">
        <f t="shared" si="298"/>
        <v>2284087105.4867363</v>
      </c>
      <c r="ED83" s="297">
        <f t="shared" si="298"/>
        <v>2411051670.9860344</v>
      </c>
      <c r="EE83" s="222"/>
      <c r="EF83" s="297">
        <f t="shared" ref="EF83:EF88" si="299">SUM(BK83:BM83)</f>
        <v>2289819003.4986157</v>
      </c>
      <c r="EG83" s="297">
        <f t="shared" ref="EG83:EG88" si="300">SUM(BN83:BP83)</f>
        <v>1910819641.7180452</v>
      </c>
      <c r="EH83" s="297">
        <f t="shared" ref="EH83:EH88" si="301">SUM(BQ83:BS83)</f>
        <v>2297550990.5221872</v>
      </c>
      <c r="EI83" s="297">
        <f t="shared" ref="EI83:EI88" si="302">SUM(BT83:BV83)</f>
        <v>1899486890.7639401</v>
      </c>
      <c r="EJ83" s="297">
        <f t="shared" ref="EJ83:EJ88" si="303">SUM(BW83:BY83)</f>
        <v>2105333358.1391683</v>
      </c>
      <c r="EK83" s="297">
        <f t="shared" ref="EK83:EK88" si="304">SUM(BZ83:CB83)</f>
        <v>1943754883.9720955</v>
      </c>
      <c r="EL83" s="297">
        <f t="shared" ref="EL83:EL88" si="305">SUM(CC83:CE83)</f>
        <v>2238255327.6623335</v>
      </c>
      <c r="EM83" s="297">
        <f t="shared" ref="EM83:EM88" si="306">SUM(CF83:CH83)</f>
        <v>3026710240.2340698</v>
      </c>
      <c r="EN83" s="297">
        <f t="shared" ref="EN83:EN88" si="307">SUM(CI83:CK83)</f>
        <v>3082580243.5028172</v>
      </c>
      <c r="EO83" s="297">
        <f t="shared" ref="EO83:EO88" si="308">SUM(CL83:CN83)</f>
        <v>2884004224.7295666</v>
      </c>
      <c r="EP83" s="297">
        <f t="shared" ref="EP83:EP88" si="309">SUM(CO83:CQ83)</f>
        <v>3628169602.0903959</v>
      </c>
      <c r="EQ83" s="297">
        <f t="shared" ref="EQ83:EQ88" si="310">SUM(CR83:CT83)</f>
        <v>4398178477.3621693</v>
      </c>
      <c r="ER83" s="297">
        <f t="shared" ref="ER83:ER88" si="311">SUM(CU83:CW83)</f>
        <v>4173594656.8318644</v>
      </c>
      <c r="ES83" s="297">
        <f t="shared" ref="ES83:ES88" si="312">SUM(CX83:CZ83)</f>
        <v>3950453993.0163774</v>
      </c>
      <c r="ET83" s="297">
        <f t="shared" ref="ET83:ET88" si="313">SUM(DA83:DC83)</f>
        <v>4637780535.2312222</v>
      </c>
      <c r="EU83" s="297">
        <f t="shared" ref="EU83:EU88" si="314">SUM(DD83:DF83)</f>
        <v>5068965943.4163046</v>
      </c>
      <c r="EV83" s="297">
        <f t="shared" ref="EV83:EV88" si="315">SUM(DG83:DI83)</f>
        <v>5099920685.411231</v>
      </c>
      <c r="EW83" s="297">
        <f t="shared" ref="EW83:EW88" si="316">SUM(DJ83:DL83)</f>
        <v>4814237101.6021204</v>
      </c>
      <c r="EX83" s="297">
        <f t="shared" ref="EX83:EX88" si="317">SUM(DM83:DO83)</f>
        <v>5635285731.3620071</v>
      </c>
      <c r="EY83" s="297">
        <f t="shared" ref="EY83:EY88" si="318">SUM(DP83:DR83)</f>
        <v>6119969426.2919798</v>
      </c>
      <c r="EZ83" s="297">
        <f t="shared" si="287"/>
        <v>5975010223.6258354</v>
      </c>
      <c r="FA83" s="297">
        <f t="shared" si="288"/>
        <v>5633260251.4598713</v>
      </c>
      <c r="FB83" s="297">
        <f t="shared" si="289"/>
        <v>6593549754.135952</v>
      </c>
      <c r="FC83" s="297">
        <f t="shared" si="290"/>
        <v>7156419628.5631332</v>
      </c>
      <c r="FE83" s="297">
        <f t="shared" si="291"/>
        <v>8397676526.5027876</v>
      </c>
      <c r="FF83" s="297">
        <f t="shared" si="292"/>
        <v>9314053810.0076675</v>
      </c>
      <c r="FG83" s="297">
        <f t="shared" si="293"/>
        <v>13992932547.68495</v>
      </c>
      <c r="FH83" s="297">
        <f t="shared" si="294"/>
        <v>17830795128.49577</v>
      </c>
      <c r="FI83" s="297">
        <f t="shared" si="295"/>
        <v>21669412944.667339</v>
      </c>
      <c r="FJ83" s="774">
        <f t="shared" si="207"/>
        <v>25358239857.78479</v>
      </c>
      <c r="FK83" s="545" t="s">
        <v>1</v>
      </c>
    </row>
    <row r="84" spans="2:167" x14ac:dyDescent="0.2">
      <c r="B84" s="225" t="s">
        <v>304</v>
      </c>
      <c r="C84" s="19">
        <f>'B2B- Non Repair'!C46</f>
        <v>121416986</v>
      </c>
      <c r="D84" s="19">
        <f>'B2B- Non Repair'!D46</f>
        <v>113891364.15000001</v>
      </c>
      <c r="E84" s="19">
        <f>'B2B- Non Repair'!E46</f>
        <v>127864166.11290786</v>
      </c>
      <c r="F84" s="19">
        <f>'B2B- Non Repair'!F46</f>
        <v>146796533.52163956</v>
      </c>
      <c r="G84" s="19">
        <f>'B2B- Non Repair'!G46</f>
        <v>176001067.08562428</v>
      </c>
      <c r="H84" s="19">
        <f>'B2B- Non Repair'!H46</f>
        <v>179070353.36078241</v>
      </c>
      <c r="I84" s="19">
        <f>'B2B- Non Repair'!I46</f>
        <v>206515423.63476619</v>
      </c>
      <c r="J84" s="19">
        <f>'B2B- Non Repair'!J46</f>
        <v>181559771.85094699</v>
      </c>
      <c r="K84" s="19">
        <f>'B2B- Non Repair'!K46</f>
        <v>236317564.04896</v>
      </c>
      <c r="L84" s="19">
        <f>'B2B- Non Repair'!L46</f>
        <v>237535026.09657136</v>
      </c>
      <c r="M84" s="19">
        <f>'B2B- Non Repair'!M46</f>
        <v>235361550.33000001</v>
      </c>
      <c r="N84" s="19">
        <f>'B2B- Non Repair'!N46</f>
        <v>204090153.28</v>
      </c>
      <c r="O84" s="19">
        <f>'B2B- Non Repair'!O46</f>
        <v>263329564.23251396</v>
      </c>
      <c r="P84" s="19">
        <f>'B2B- Non Repair'!P46</f>
        <v>262710994.85734957</v>
      </c>
      <c r="Q84" s="19">
        <f>'B2B- Non Repair'!Q46</f>
        <v>278655499.19406545</v>
      </c>
      <c r="R84" s="19">
        <f>'B2B- Non Repair'!R46</f>
        <v>277761887.00624001</v>
      </c>
      <c r="S84" s="19">
        <f>'B2B- Non Repair'!S46</f>
        <v>228422587.32104322</v>
      </c>
      <c r="T84" s="19">
        <f>'B2B- Non Repair'!T46</f>
        <v>206629539.46676761</v>
      </c>
      <c r="U84" s="19">
        <f>'B2B- Non Repair'!U46</f>
        <v>177669796.63337746</v>
      </c>
      <c r="V84" s="19">
        <f>'B2B- Non Repair'!V46</f>
        <v>210652076.56234482</v>
      </c>
      <c r="W84" s="19">
        <f>'B2B- Non Repair'!W46</f>
        <v>240873226.34043518</v>
      </c>
      <c r="X84" s="19">
        <f>'B2B- Non Repair'!X46</f>
        <v>239639197.21116152</v>
      </c>
      <c r="Y84" s="19">
        <f>'B2B- Non Repair'!Y46</f>
        <v>267818364.35730439</v>
      </c>
      <c r="Z84" s="19">
        <f>'B2B- Non Repair'!Z46</f>
        <v>171159136.70326135</v>
      </c>
      <c r="AA84" s="19">
        <f>'B2B- Non Repair'!AA46</f>
        <v>3899965.9901791238</v>
      </c>
      <c r="AB84" s="19">
        <f>'B2B- Non Repair'!AB46</f>
        <v>127450154.90000001</v>
      </c>
      <c r="AC84" s="19">
        <f>'B2B- Non Repair'!AC46</f>
        <v>138776110.11051407</v>
      </c>
      <c r="AD84" s="19">
        <f>'B2B- Non Repair'!AD46</f>
        <v>113929939.08771838</v>
      </c>
      <c r="AE84" s="19">
        <f>'B2B- Non Repair'!AE46</f>
        <v>187256254.47</v>
      </c>
      <c r="AF84" s="19">
        <f>'B2B- Non Repair'!AF46</f>
        <v>191816653.13999999</v>
      </c>
      <c r="AG84" s="19">
        <f>'B2B- Non Repair'!AG46</f>
        <v>176096920.86000001</v>
      </c>
      <c r="AH84" s="19">
        <f>'B2B- Non Repair'!AH46</f>
        <v>200342015.88999999</v>
      </c>
      <c r="AI84" s="19">
        <f>'B2B- Non Repair'!AI46</f>
        <v>333171935.37999398</v>
      </c>
      <c r="AJ84" s="19">
        <f>'B2B- Non Repair'!AJ46</f>
        <v>290929134.19999999</v>
      </c>
      <c r="AK84" s="19">
        <f>'B2B- Non Repair'!AK46</f>
        <v>360362174.80000001</v>
      </c>
      <c r="AL84" s="19">
        <f>'B2B- Non Repair'!AL46</f>
        <v>300211587.19999999</v>
      </c>
      <c r="AM84" s="19">
        <f>'B2B- Non Repair'!AM46</f>
        <v>211485201.5</v>
      </c>
      <c r="AN84" s="19">
        <f>'B2B- Non Repair'!AN46</f>
        <v>96036857.077283368</v>
      </c>
      <c r="AO84" s="19">
        <f>'B2B- Non Repair'!AO46</f>
        <v>204669639</v>
      </c>
      <c r="AP84" s="19">
        <f>'B2B- Non Repair'!AP46</f>
        <v>291473345.41000003</v>
      </c>
      <c r="AQ84" s="19">
        <f>'B2B- Non Repair'!AQ46</f>
        <v>284269149.49000001</v>
      </c>
      <c r="AR84" s="19">
        <f>'B2B- Non Repair'!AR46</f>
        <v>269815352.84090894</v>
      </c>
      <c r="AS84" s="19">
        <f>'B2B- Non Repair'!AS46</f>
        <v>228860155.81</v>
      </c>
      <c r="AT84" s="19">
        <f>'B2B- Non Repair'!AT46</f>
        <v>277948724</v>
      </c>
      <c r="AU84" s="19">
        <f>'B2B- Non Repair'!AU46</f>
        <v>373585567</v>
      </c>
      <c r="AV84" s="19">
        <f>'B2B- Non Repair'!AV46</f>
        <v>351570716</v>
      </c>
      <c r="AW84" s="19">
        <f>'B2B- Non Repair'!AW46</f>
        <v>366222411.39999998</v>
      </c>
      <c r="AX84" s="19">
        <f>'B2B- Non Repair'!AX46</f>
        <v>316072904</v>
      </c>
      <c r="AY84" s="19">
        <f>'B2B- Non Repair'!AY46</f>
        <v>318060369.88623065</v>
      </c>
      <c r="AZ84" s="19">
        <f>'B2B- Non Repair'!AZ46</f>
        <v>362159300.38</v>
      </c>
      <c r="BA84" s="19">
        <f>'B2B- Non Repair'!BA46</f>
        <v>256240081.07081074</v>
      </c>
      <c r="BB84" s="19">
        <f>'B2B- Non Repair'!BB46</f>
        <v>280061626.97955954</v>
      </c>
      <c r="BC84" s="19">
        <f>'B2B- Non Repair'!BC46</f>
        <v>310914548.51442248</v>
      </c>
      <c r="BD84" s="19">
        <f>'B2B- Non Repair'!BD46</f>
        <v>338658595.76397133</v>
      </c>
      <c r="BE84" s="19">
        <f>'B2B- Non Repair'!BE46</f>
        <v>386113976.83713621</v>
      </c>
      <c r="BF84" s="19">
        <f>'B2B- Non Repair'!BF46</f>
        <v>409612018.49882078</v>
      </c>
      <c r="BG84" s="19">
        <f>'B2B- Non Repair'!BG46</f>
        <v>506082343.61624014</v>
      </c>
      <c r="BH84" s="19">
        <f>'B2B- Non Repair'!BH46</f>
        <v>461518252.96013737</v>
      </c>
      <c r="BI84" s="19">
        <f>'B2B- Non Repair'!BI46</f>
        <v>374920702.67855561</v>
      </c>
      <c r="BJ84" s="19">
        <f>'B2B- Non Repair'!BJ46</f>
        <v>404002973.85839206</v>
      </c>
      <c r="BK84" s="19">
        <f>'B2B- Non Repair'!BK46</f>
        <v>364268062.11962599</v>
      </c>
      <c r="BL84" s="19">
        <f>'B2B- Non Repair'!BL46</f>
        <v>374677071.14427495</v>
      </c>
      <c r="BM84" s="19">
        <f>'B2B- Non Repair'!BM46</f>
        <v>279200842.48156905</v>
      </c>
      <c r="BN84" s="19">
        <f>'B2B- Non Repair'!BN46</f>
        <v>256477667.93000045</v>
      </c>
      <c r="BO84" s="19">
        <f>'B2B- Non Repair'!BO46</f>
        <v>274980159.74575835</v>
      </c>
      <c r="BP84" s="19">
        <f>'B2B- Non Repair'!BP46</f>
        <v>272148393.8546043</v>
      </c>
      <c r="BQ84" s="19">
        <f>'B2B- Non Repair'!BQ46</f>
        <v>250598286.66021693</v>
      </c>
      <c r="BR84" s="19">
        <f>'B2B- Non Repair'!BR46</f>
        <v>311185868.47622514</v>
      </c>
      <c r="BS84" s="19">
        <f>'B2B- Non Repair'!BS46</f>
        <v>292185265.29954267</v>
      </c>
      <c r="BT84" s="19">
        <f>'B2B- Non Repair'!BT46</f>
        <v>276757707.00253946</v>
      </c>
      <c r="BU84" s="19">
        <f>'B2B- Non Repair'!BU46</f>
        <v>265807282.57459417</v>
      </c>
      <c r="BV84" s="19">
        <f>'B2B- Non Repair'!BV46</f>
        <v>271595161.18193054</v>
      </c>
      <c r="BW84" s="19">
        <f>'B2B- Non Repair'!BW46</f>
        <v>275055628.85867995</v>
      </c>
      <c r="BX84" s="19">
        <f>'B2B- Non Repair'!BX46</f>
        <v>282437190.97777611</v>
      </c>
      <c r="BY84" s="19">
        <f>'B2B- Non Repair'!BY46</f>
        <v>270676268.97096658</v>
      </c>
      <c r="BZ84" s="19">
        <f>'B2B- Non Repair'!BZ46</f>
        <v>265798544.46574375</v>
      </c>
      <c r="CA84" s="19">
        <f>'B2B- Non Repair'!CA46</f>
        <v>253738461.4585025</v>
      </c>
      <c r="CB84" s="19">
        <f>'B2B- Non Repair'!CB46</f>
        <v>224109733.65058213</v>
      </c>
      <c r="CC84" s="19">
        <f>'B2B- Non Repair'!CC46</f>
        <v>264393635.05155018</v>
      </c>
      <c r="CD84" s="19">
        <f>'B2B- Non Repair'!CD46</f>
        <v>268393529.83140317</v>
      </c>
      <c r="CE84" s="19">
        <f>'B2B- Non Repair'!CE46</f>
        <v>308357700.69821143</v>
      </c>
      <c r="CF84" s="19">
        <f>'B2B- Non Repair'!CF46</f>
        <v>354188723.89264339</v>
      </c>
      <c r="CG84" s="19">
        <f>'B2B- Non Repair'!CG46</f>
        <v>403068188.12642056</v>
      </c>
      <c r="CH84" s="19">
        <f>'B2B- Non Repair'!CH46</f>
        <v>518223348.04349077</v>
      </c>
      <c r="CI84" s="19">
        <f>'B2B- Non Repair'!CI46</f>
        <v>425577433.93141842</v>
      </c>
      <c r="CJ84" s="19">
        <f>'B2B- Non Repair'!CJ46</f>
        <v>420392254.81617689</v>
      </c>
      <c r="CK84" s="19">
        <f>'B2B- Non Repair'!CK46</f>
        <v>412077117.72259784</v>
      </c>
      <c r="CL84" s="19">
        <f>'B2B- Non Repair'!CL46</f>
        <v>416622063.97343439</v>
      </c>
      <c r="CM84" s="19">
        <f>'B2B- Non Repair'!CM46</f>
        <v>346406207.50009173</v>
      </c>
      <c r="CN84" s="19">
        <f>'B2B- Non Repair'!CN46</f>
        <v>303508525.64065212</v>
      </c>
      <c r="CO84" s="19">
        <f>'B2B- Non Repair'!CO46</f>
        <v>387082309.26802498</v>
      </c>
      <c r="CP84" s="19">
        <f>'B2B- Non Repair'!CP46</f>
        <v>471857531.27524769</v>
      </c>
      <c r="CQ84" s="19">
        <f>'B2B- Non Repair'!CQ46</f>
        <v>589968640.97073686</v>
      </c>
      <c r="CR84" s="19">
        <f>'B2B- Non Repair'!CR46</f>
        <v>626000785.15201592</v>
      </c>
      <c r="CS84" s="19">
        <f>'B2B- Non Repair'!CS46</f>
        <v>555331919.23378873</v>
      </c>
      <c r="CT84" s="19">
        <f>'B2B- Non Repair'!CT46</f>
        <v>533442727.39853609</v>
      </c>
      <c r="CU84" s="19">
        <f>'B2B- Non Repair'!CU46</f>
        <v>564127540.90510178</v>
      </c>
      <c r="CV84" s="19">
        <f>'B2B- Non Repair'!CV46</f>
        <v>584720589.25136542</v>
      </c>
      <c r="CW84" s="19">
        <f>'B2B- Non Repair'!CW46</f>
        <v>549305759.85200882</v>
      </c>
      <c r="CX84" s="19">
        <f>'B2B- Non Repair'!CX46</f>
        <v>549775699.52168059</v>
      </c>
      <c r="CY84" s="19">
        <f>'B2B- Non Repair'!CY46</f>
        <v>511180360.57115853</v>
      </c>
      <c r="CZ84" s="19">
        <f>'B2B- Non Repair'!CZ46</f>
        <v>445769061.86488593</v>
      </c>
      <c r="DA84" s="19">
        <f>'B2B- Non Repair'!DA46</f>
        <v>521502859.7482757</v>
      </c>
      <c r="DB84" s="19">
        <f>'B2B- Non Repair'!DB46</f>
        <v>645808082.93446696</v>
      </c>
      <c r="DC84" s="19">
        <f>'B2B- Non Repair'!DC46</f>
        <v>719612491.50899363</v>
      </c>
      <c r="DD84" s="19">
        <f>'B2B- Non Repair'!DD46</f>
        <v>673419471.51452112</v>
      </c>
      <c r="DE84" s="19">
        <f>'B2B- Non Repair'!DE46</f>
        <v>656725869.69893503</v>
      </c>
      <c r="DF84" s="19">
        <f>'B2B- Non Repair'!DF46</f>
        <v>631467589.37612057</v>
      </c>
      <c r="DG84" s="19">
        <f>'B2B- Non Repair'!DG46</f>
        <v>698517859.36447597</v>
      </c>
      <c r="DH84" s="19">
        <f>'B2B- Non Repair'!DH46</f>
        <v>724016724.43591392</v>
      </c>
      <c r="DI84" s="19">
        <f>'B2B- Non Repair'!DI46</f>
        <v>680165132.32589793</v>
      </c>
      <c r="DJ84" s="19">
        <f>'B2B- Non Repair'!DJ46</f>
        <v>680747024.23559415</v>
      </c>
      <c r="DK84" s="19">
        <f>'B2B- Non Repair'!DK46</f>
        <v>632957239.85117936</v>
      </c>
      <c r="DL84" s="19">
        <f>'B2B- Non Repair'!DL46</f>
        <v>551963214.49789131</v>
      </c>
      <c r="DM84" s="19">
        <f>'B2B- Non Repair'!DM46</f>
        <v>645738835.33386528</v>
      </c>
      <c r="DN84" s="19">
        <f>'B2B- Non Repair'!DN46</f>
        <v>799656898.38132858</v>
      </c>
      <c r="DO84" s="19">
        <f>'B2B- Non Repair'!DO46</f>
        <v>891043497.6004082</v>
      </c>
      <c r="DP84" s="19">
        <f>'B2B- Non Repair'!DP46</f>
        <v>833846060.66557992</v>
      </c>
      <c r="DQ84" s="19">
        <f>'B2B- Non Repair'!DQ46</f>
        <v>813175594.9290601</v>
      </c>
      <c r="DR84" s="19">
        <f>'B2B- Non Repair'!DR46</f>
        <v>781900114.43397081</v>
      </c>
      <c r="DS84" s="19">
        <f>'B2B- Non Repair'!DS46</f>
        <v>830331249.91829228</v>
      </c>
      <c r="DT84" s="19">
        <f>'B2B- Non Repair'!DT46</f>
        <v>860641862.91468501</v>
      </c>
      <c r="DU84" s="19">
        <f>'B2B- Non Repair'!DU46</f>
        <v>808515282.61401176</v>
      </c>
      <c r="DV84" s="19">
        <f>'B2B- Non Repair'!DV46</f>
        <v>809206980.08490384</v>
      </c>
      <c r="DW84" s="19">
        <f>'B2B- Non Repair'!DW46</f>
        <v>752399053.31644642</v>
      </c>
      <c r="DX84" s="19">
        <f>'B2B- Non Repair'!DX46</f>
        <v>656121099.35160899</v>
      </c>
      <c r="DY84" s="19">
        <f>'B2B- Non Repair'!DY46</f>
        <v>767592592.05108142</v>
      </c>
      <c r="DZ84" s="19">
        <f>'B2B- Non Repair'!DZ46</f>
        <v>950555670.17692983</v>
      </c>
      <c r="EA84" s="19">
        <f>'B2B- Non Repair'!EA46</f>
        <v>1059187322.3789196</v>
      </c>
      <c r="EB84" s="19">
        <f>'B2B- Non Repair'!EB46</f>
        <v>991196477.67034113</v>
      </c>
      <c r="EC84" s="19">
        <f>'B2B- Non Repair'!EC46</f>
        <v>966625404.18767679</v>
      </c>
      <c r="ED84" s="19">
        <f>'B2B- Non Repair'!ED46</f>
        <v>929448103.04478312</v>
      </c>
      <c r="EE84" s="222"/>
      <c r="EF84" s="19">
        <f t="shared" si="299"/>
        <v>1018145975.74547</v>
      </c>
      <c r="EG84" s="19">
        <f t="shared" si="300"/>
        <v>803606221.53036308</v>
      </c>
      <c r="EH84" s="19">
        <f t="shared" si="301"/>
        <v>853969420.43598473</v>
      </c>
      <c r="EI84" s="19">
        <f t="shared" si="302"/>
        <v>814160150.7590642</v>
      </c>
      <c r="EJ84" s="19">
        <f t="shared" si="303"/>
        <v>828169088.80742264</v>
      </c>
      <c r="EK84" s="19">
        <f t="shared" si="304"/>
        <v>743646739.57482839</v>
      </c>
      <c r="EL84" s="19">
        <f t="shared" si="305"/>
        <v>841144865.58116484</v>
      </c>
      <c r="EM84" s="19">
        <f t="shared" si="306"/>
        <v>1275480260.0625548</v>
      </c>
      <c r="EN84" s="19">
        <f t="shared" si="307"/>
        <v>1258046806.4701931</v>
      </c>
      <c r="EO84" s="19">
        <f t="shared" si="308"/>
        <v>1066536797.1141782</v>
      </c>
      <c r="EP84" s="19">
        <f t="shared" si="309"/>
        <v>1448908481.5140095</v>
      </c>
      <c r="EQ84" s="19">
        <f t="shared" si="310"/>
        <v>1714775431.7843409</v>
      </c>
      <c r="ER84" s="19">
        <f t="shared" si="311"/>
        <v>1698153890.008476</v>
      </c>
      <c r="ES84" s="19">
        <f t="shared" si="312"/>
        <v>1506725121.957725</v>
      </c>
      <c r="ET84" s="19">
        <f t="shared" si="313"/>
        <v>1886923434.1917362</v>
      </c>
      <c r="EU84" s="19">
        <f t="shared" si="314"/>
        <v>1961612930.5895767</v>
      </c>
      <c r="EV84" s="19">
        <f t="shared" si="315"/>
        <v>2102699716.1262877</v>
      </c>
      <c r="EW84" s="19">
        <f t="shared" si="316"/>
        <v>1865667478.5846648</v>
      </c>
      <c r="EX84" s="19">
        <f t="shared" si="317"/>
        <v>2336439231.3156018</v>
      </c>
      <c r="EY84" s="19">
        <f t="shared" si="318"/>
        <v>2428921770.0286107</v>
      </c>
      <c r="EZ84" s="19">
        <f t="shared" si="287"/>
        <v>2499488395.4469891</v>
      </c>
      <c r="FA84" s="19">
        <f t="shared" si="288"/>
        <v>2217727132.7529593</v>
      </c>
      <c r="FB84" s="19">
        <f t="shared" si="289"/>
        <v>2777335584.6069307</v>
      </c>
      <c r="FC84" s="19">
        <f t="shared" si="290"/>
        <v>2887269984.902801</v>
      </c>
      <c r="FE84" s="19">
        <f t="shared" si="291"/>
        <v>3489881768.4708819</v>
      </c>
      <c r="FF84" s="19">
        <f t="shared" si="292"/>
        <v>3688440954.0259709</v>
      </c>
      <c r="FG84" s="19">
        <f t="shared" si="293"/>
        <v>5488267516.8827219</v>
      </c>
      <c r="FH84" s="19">
        <f t="shared" si="294"/>
        <v>7053415376.7475138</v>
      </c>
      <c r="FI84" s="19">
        <f t="shared" si="295"/>
        <v>8733728196.0551643</v>
      </c>
      <c r="FJ84" s="770">
        <f t="shared" si="207"/>
        <v>10381821097.709681</v>
      </c>
      <c r="FK84" s="545" t="s">
        <v>1</v>
      </c>
    </row>
    <row r="85" spans="2:167" x14ac:dyDescent="0.2">
      <c r="B85" s="225" t="s">
        <v>139</v>
      </c>
      <c r="C85" s="19">
        <f>Refurbished!C51</f>
        <v>5337303</v>
      </c>
      <c r="D85" s="19">
        <f>Refurbished!D51</f>
        <v>5928574.727146714</v>
      </c>
      <c r="E85" s="19">
        <f>Refurbished!E51</f>
        <v>5220342.011460687</v>
      </c>
      <c r="F85" s="19">
        <f>Refurbished!F51</f>
        <v>8931326.3157385718</v>
      </c>
      <c r="G85" s="19">
        <f>Refurbished!G51</f>
        <v>6794675.8106614156</v>
      </c>
      <c r="H85" s="19">
        <f>Refurbished!H51</f>
        <v>5307917.5767754726</v>
      </c>
      <c r="I85" s="19">
        <f>Refurbished!I51</f>
        <v>5965095.5015817136</v>
      </c>
      <c r="J85" s="19">
        <f>Refurbished!J51</f>
        <v>6879744.2414285708</v>
      </c>
      <c r="K85" s="19">
        <f>Refurbished!K51</f>
        <v>8919662.0542857144</v>
      </c>
      <c r="L85" s="19">
        <f>Refurbished!L51</f>
        <v>10700994.701921871</v>
      </c>
      <c r="M85" s="19">
        <f>Refurbished!M51</f>
        <v>16502031.839440562</v>
      </c>
      <c r="N85" s="19">
        <f>Refurbished!N51</f>
        <v>25050957.036921158</v>
      </c>
      <c r="O85" s="19">
        <f>Refurbished!O51</f>
        <v>35237894.403804846</v>
      </c>
      <c r="P85" s="19">
        <f>Refurbished!P51</f>
        <v>39814409.540327623</v>
      </c>
      <c r="Q85" s="19">
        <f>Refurbished!Q51</f>
        <v>37617973.160096698</v>
      </c>
      <c r="R85" s="19">
        <f>Refurbished!R51</f>
        <v>48055441.946787909</v>
      </c>
      <c r="S85" s="19">
        <f>Refurbished!S51</f>
        <v>30946016.001158632</v>
      </c>
      <c r="T85" s="19">
        <f>Refurbished!T51</f>
        <v>40144216.549231574</v>
      </c>
      <c r="U85" s="19">
        <f>Refurbished!U51</f>
        <v>31969082.880094338</v>
      </c>
      <c r="V85" s="19">
        <f>Refurbished!V51</f>
        <v>17944523.58752675</v>
      </c>
      <c r="W85" s="19">
        <f>Refurbished!W51</f>
        <v>27250867.171467986</v>
      </c>
      <c r="X85" s="19">
        <f>Refurbished!X51</f>
        <v>34168421.502363987</v>
      </c>
      <c r="Y85" s="19">
        <f>Refurbished!Y51</f>
        <v>24335434.209405072</v>
      </c>
      <c r="Z85" s="19">
        <f>Refurbished!Z51</f>
        <v>23158547.046240967</v>
      </c>
      <c r="AA85" s="19">
        <f>Refurbished!AA51</f>
        <v>2453417.0939875464</v>
      </c>
      <c r="AB85" s="19">
        <f>Refurbished!AB51</f>
        <v>26297901.207948342</v>
      </c>
      <c r="AC85" s="19">
        <f>Refurbished!AC51</f>
        <v>22811619.396097142</v>
      </c>
      <c r="AD85" s="19">
        <f>Refurbished!AD51</f>
        <v>20928343.830875341</v>
      </c>
      <c r="AE85" s="19">
        <f>Refurbished!AE51</f>
        <v>25126308.336289678</v>
      </c>
      <c r="AF85" s="19">
        <f>Refurbished!AF51</f>
        <v>31605876.215155281</v>
      </c>
      <c r="AG85" s="19">
        <f>Refurbished!AG51</f>
        <v>38332045.441324607</v>
      </c>
      <c r="AH85" s="19">
        <f>Refurbished!AH51</f>
        <v>46073891.355910569</v>
      </c>
      <c r="AI85" s="19">
        <f>Refurbished!AI51</f>
        <v>74470484.242938355</v>
      </c>
      <c r="AJ85" s="19">
        <f>Refurbished!AJ51</f>
        <v>88441486.339048073</v>
      </c>
      <c r="AK85" s="19">
        <f>Refurbished!AK51</f>
        <v>70104499.302923247</v>
      </c>
      <c r="AL85" s="19">
        <f>Refurbished!AL51</f>
        <v>70035734.889950305</v>
      </c>
      <c r="AM85" s="19">
        <f>Refurbished!AM51</f>
        <v>50163433.661040343</v>
      </c>
      <c r="AN85" s="19">
        <f>Refurbished!AN51</f>
        <v>25227935.659447063</v>
      </c>
      <c r="AO85" s="19">
        <f>Refurbished!AO51</f>
        <v>53211918.833733499</v>
      </c>
      <c r="AP85" s="19">
        <f>Refurbished!AP51</f>
        <v>65006990.489865392</v>
      </c>
      <c r="AQ85" s="19">
        <f>Refurbished!AQ51</f>
        <v>76889180.824935928</v>
      </c>
      <c r="AR85" s="19">
        <f>Refurbished!AR51</f>
        <v>96168679.243745193</v>
      </c>
      <c r="AS85" s="19">
        <f>Refurbished!AS51</f>
        <v>103731360.17049861</v>
      </c>
      <c r="AT85" s="19">
        <f>Refurbished!AT51</f>
        <v>127413089.55733055</v>
      </c>
      <c r="AU85" s="19">
        <f>Refurbished!AU51</f>
        <v>150879535.58318937</v>
      </c>
      <c r="AV85" s="19">
        <f>Refurbished!AV51</f>
        <v>163999636.54160613</v>
      </c>
      <c r="AW85" s="19">
        <f>Refurbished!AW51</f>
        <v>167871292.30114055</v>
      </c>
      <c r="AX85" s="19">
        <f>Refurbished!AX51</f>
        <v>172662870.36348608</v>
      </c>
      <c r="AY85" s="19">
        <f>Refurbished!AY51</f>
        <v>130141624.47506633</v>
      </c>
      <c r="AZ85" s="19">
        <f>Refurbished!AZ51</f>
        <v>157716764.64714915</v>
      </c>
      <c r="BA85" s="19">
        <f>Refurbished!BA51</f>
        <v>183391576.11602139</v>
      </c>
      <c r="BB85" s="19">
        <f>Refurbished!BB51</f>
        <v>178919005.64810747</v>
      </c>
      <c r="BC85" s="19">
        <f>Refurbished!BC51</f>
        <v>172434663.1032491</v>
      </c>
      <c r="BD85" s="19">
        <f>Refurbished!BD51</f>
        <v>168706188.0497191</v>
      </c>
      <c r="BE85" s="19">
        <f>Refurbished!BE51</f>
        <v>198160809.56189251</v>
      </c>
      <c r="BF85" s="19">
        <f>Refurbished!BF51</f>
        <v>207791391.1999886</v>
      </c>
      <c r="BG85" s="19">
        <f>Refurbished!BG51</f>
        <v>241865777.8122794</v>
      </c>
      <c r="BH85" s="19">
        <f>Refurbished!BH51</f>
        <v>269166374.48054087</v>
      </c>
      <c r="BI85" s="19">
        <f>Refurbished!BI51</f>
        <v>284875391.9856143</v>
      </c>
      <c r="BJ85" s="19">
        <f>Refurbished!BJ51</f>
        <v>398228873.14707512</v>
      </c>
      <c r="BK85" s="19">
        <f>Refurbished!BK51</f>
        <v>409423791.19018304</v>
      </c>
      <c r="BL85" s="19">
        <f>Refurbished!BL51</f>
        <v>401263460.53543919</v>
      </c>
      <c r="BM85" s="19">
        <f>Refurbished!BM51</f>
        <v>416042061.23908472</v>
      </c>
      <c r="BN85" s="19">
        <f>Refurbished!BN51</f>
        <v>336168798.52579916</v>
      </c>
      <c r="BO85" s="19">
        <f>Refurbished!BO51</f>
        <v>351298972.19095707</v>
      </c>
      <c r="BP85" s="19">
        <f>Refurbished!BP51</f>
        <v>367589249.76997113</v>
      </c>
      <c r="BQ85" s="19">
        <f>Refurbished!BQ51</f>
        <v>548021455.48509908</v>
      </c>
      <c r="BR85" s="19">
        <f>Refurbished!BR51</f>
        <v>449659365.56172836</v>
      </c>
      <c r="BS85" s="19">
        <f>Refurbished!BS51</f>
        <v>397053164.24299866</v>
      </c>
      <c r="BT85" s="19">
        <f>Refurbished!BT51</f>
        <v>370362077.83198321</v>
      </c>
      <c r="BU85" s="19">
        <f>Refurbished!BU51</f>
        <v>291790179.85301352</v>
      </c>
      <c r="BV85" s="19">
        <f>Refurbished!BV51</f>
        <v>381061935.0377866</v>
      </c>
      <c r="BW85" s="19">
        <f>Refurbished!BW51</f>
        <v>395899308.49220383</v>
      </c>
      <c r="BX85" s="19">
        <f>Refurbished!BX51</f>
        <v>404938706.44998717</v>
      </c>
      <c r="BY85" s="19">
        <f>Refurbished!BY51</f>
        <v>424475084.58372176</v>
      </c>
      <c r="BZ85" s="19">
        <f>Refurbished!BZ51</f>
        <v>420145527.30259562</v>
      </c>
      <c r="CA85" s="19">
        <f>Refurbished!CA51</f>
        <v>371883170.95367169</v>
      </c>
      <c r="CB85" s="19">
        <f>Refurbished!CB51</f>
        <v>354937305.25207663</v>
      </c>
      <c r="CC85" s="19">
        <f>Refurbished!CC51</f>
        <v>437939186.67802858</v>
      </c>
      <c r="CD85" s="19">
        <f>Refurbished!CD51</f>
        <v>407868136.61477065</v>
      </c>
      <c r="CE85" s="19">
        <f>Refurbished!CE51</f>
        <v>491930316.7031399</v>
      </c>
      <c r="CF85" s="19">
        <f>Refurbished!CF51</f>
        <v>530770991.83800894</v>
      </c>
      <c r="CG85" s="19">
        <f>Refurbished!CG51</f>
        <v>509454236.81146634</v>
      </c>
      <c r="CH85" s="19">
        <f>Refurbished!CH51</f>
        <v>649735037.99656105</v>
      </c>
      <c r="CI85" s="19">
        <f>Refurbished!CI51</f>
        <v>596924924.62660801</v>
      </c>
      <c r="CJ85" s="19">
        <f>Refurbished!CJ51</f>
        <v>583098635.83854461</v>
      </c>
      <c r="CK85" s="19">
        <f>Refurbished!CK51</f>
        <v>582347597.91407835</v>
      </c>
      <c r="CL85" s="19">
        <f>Refurbished!CL51</f>
        <v>628978862.46461165</v>
      </c>
      <c r="CM85" s="19">
        <f>Refurbished!CM51</f>
        <v>526215807.92329311</v>
      </c>
      <c r="CN85" s="19">
        <f>Refurbished!CN51</f>
        <v>589147058.72333133</v>
      </c>
      <c r="CO85" s="19">
        <f>Refurbished!CO51</f>
        <v>672137697.81227028</v>
      </c>
      <c r="CP85" s="19">
        <f>Refurbished!CP51</f>
        <v>627340580.04329991</v>
      </c>
      <c r="CQ85" s="19">
        <f>Refurbished!CQ51</f>
        <v>789931761.28103566</v>
      </c>
      <c r="CR85" s="19">
        <f>Refurbished!CR51</f>
        <v>858720120.63236332</v>
      </c>
      <c r="CS85" s="19">
        <f>Refurbished!CS51</f>
        <v>781605365.05866933</v>
      </c>
      <c r="CT85" s="19">
        <f>Refurbished!CT51</f>
        <v>936309700.31027019</v>
      </c>
      <c r="CU85" s="19">
        <f>Refurbished!CU51</f>
        <v>798570335.41382194</v>
      </c>
      <c r="CV85" s="19">
        <f>Refurbished!CV51</f>
        <v>790572336.50994897</v>
      </c>
      <c r="CW85" s="19">
        <f>Refurbished!CW51</f>
        <v>788750853.64402151</v>
      </c>
      <c r="CX85" s="19">
        <f>Refurbished!CX51</f>
        <v>835695109.35207248</v>
      </c>
      <c r="CY85" s="19">
        <f>Refurbished!CY51</f>
        <v>757363346.3898195</v>
      </c>
      <c r="CZ85" s="19">
        <f>Refurbished!CZ51</f>
        <v>749846366.35771298</v>
      </c>
      <c r="DA85" s="19">
        <f>Refurbished!DA51</f>
        <v>854412732.97098446</v>
      </c>
      <c r="DB85" s="19">
        <f>Refurbished!DB51</f>
        <v>809204857.21275139</v>
      </c>
      <c r="DC85" s="19">
        <f>Refurbished!DC51</f>
        <v>983088087.13833857</v>
      </c>
      <c r="DD85" s="19">
        <f>Refurbished!DD51</f>
        <v>1029088233.4724253</v>
      </c>
      <c r="DE85" s="19">
        <f>Refurbished!DE51</f>
        <v>922069556.73705924</v>
      </c>
      <c r="DF85" s="19">
        <f>Refurbished!DF51</f>
        <v>1048984276.8806651</v>
      </c>
      <c r="DG85" s="19">
        <f>Refurbished!DG51</f>
        <v>969555645.69249749</v>
      </c>
      <c r="DH85" s="19">
        <f>Refurbished!DH51</f>
        <v>961122982.67583656</v>
      </c>
      <c r="DI85" s="19">
        <f>Refurbished!DI51</f>
        <v>955916335.26392281</v>
      </c>
      <c r="DJ85" s="19">
        <f>Refurbished!DJ51</f>
        <v>1012797559.1918211</v>
      </c>
      <c r="DK85" s="19">
        <f>Refurbished!DK51</f>
        <v>916625055.17680788</v>
      </c>
      <c r="DL85" s="19">
        <f>Refurbished!DL51</f>
        <v>905374141.79701304</v>
      </c>
      <c r="DM85" s="19">
        <f>Refurbished!DM51</f>
        <v>1030812622.1754589</v>
      </c>
      <c r="DN85" s="19">
        <f>Refurbished!DN51</f>
        <v>972920224.46291876</v>
      </c>
      <c r="DO85" s="19">
        <f>Refurbished!DO51</f>
        <v>1178838077.0553339</v>
      </c>
      <c r="DP85" s="19">
        <f>Refurbished!DP51</f>
        <v>1230692170.9484966</v>
      </c>
      <c r="DQ85" s="19">
        <f>Refurbished!DQ51</f>
        <v>1099959105.6513071</v>
      </c>
      <c r="DR85" s="19">
        <f>Refurbished!DR51</f>
        <v>1242559660.1464374</v>
      </c>
      <c r="DS85" s="19">
        <f>Refurbished!DS51</f>
        <v>1127267828.4274118</v>
      </c>
      <c r="DT85" s="19">
        <f>Refurbished!DT51</f>
        <v>1117145090.5421042</v>
      </c>
      <c r="DU85" s="19">
        <f>Refurbished!DU51</f>
        <v>1110776931.0944781</v>
      </c>
      <c r="DV85" s="19">
        <f>Refurbished!DV51</f>
        <v>1175757360.9207573</v>
      </c>
      <c r="DW85" s="19">
        <f>Refurbished!DW51</f>
        <v>1064174534.5240687</v>
      </c>
      <c r="DX85" s="19">
        <f>Refurbished!DX51</f>
        <v>1052118147.4877584</v>
      </c>
      <c r="DY85" s="19">
        <f>Refurbished!DY51</f>
        <v>1194765132.7261348</v>
      </c>
      <c r="DZ85" s="19">
        <f>Refurbished!DZ51</f>
        <v>1128309269.0242639</v>
      </c>
      <c r="EA85" s="19">
        <f>Refurbished!EA51</f>
        <v>1367163887.1265697</v>
      </c>
      <c r="EB85" s="19">
        <f>Refurbished!EB51</f>
        <v>1427802730.9998741</v>
      </c>
      <c r="EC85" s="19">
        <f>Refurbished!EC51</f>
        <v>1274886487.9511812</v>
      </c>
      <c r="ED85" s="19">
        <f>Refurbished!ED51</f>
        <v>1438932225.7877011</v>
      </c>
      <c r="EE85" s="222"/>
      <c r="EF85" s="19">
        <f t="shared" si="299"/>
        <v>1226729312.9647069</v>
      </c>
      <c r="EG85" s="19">
        <f t="shared" si="300"/>
        <v>1055057020.4867274</v>
      </c>
      <c r="EH85" s="19">
        <f t="shared" si="301"/>
        <v>1394733985.2898262</v>
      </c>
      <c r="EI85" s="19">
        <f t="shared" si="302"/>
        <v>1043214192.7227833</v>
      </c>
      <c r="EJ85" s="19">
        <f t="shared" si="303"/>
        <v>1225313099.5259128</v>
      </c>
      <c r="EK85" s="19">
        <f t="shared" si="304"/>
        <v>1146966003.5083439</v>
      </c>
      <c r="EL85" s="19">
        <f t="shared" si="305"/>
        <v>1337737639.9959393</v>
      </c>
      <c r="EM85" s="19">
        <f t="shared" si="306"/>
        <v>1689960266.6460364</v>
      </c>
      <c r="EN85" s="19">
        <f t="shared" si="307"/>
        <v>1762371158.379231</v>
      </c>
      <c r="EO85" s="19">
        <f t="shared" si="308"/>
        <v>1744341729.1112361</v>
      </c>
      <c r="EP85" s="19">
        <f t="shared" si="309"/>
        <v>2089410039.136606</v>
      </c>
      <c r="EQ85" s="19">
        <f t="shared" si="310"/>
        <v>2576635186.0013027</v>
      </c>
      <c r="ER85" s="19">
        <f t="shared" si="311"/>
        <v>2377893525.5677924</v>
      </c>
      <c r="ES85" s="19">
        <f t="shared" si="312"/>
        <v>2342904822.0996046</v>
      </c>
      <c r="ET85" s="19">
        <f t="shared" si="313"/>
        <v>2646705677.3220744</v>
      </c>
      <c r="EU85" s="19">
        <f t="shared" si="314"/>
        <v>3000142067.0901499</v>
      </c>
      <c r="EV85" s="19">
        <f t="shared" si="315"/>
        <v>2886594963.632257</v>
      </c>
      <c r="EW85" s="19">
        <f t="shared" si="316"/>
        <v>2834796756.1656418</v>
      </c>
      <c r="EX85" s="19">
        <f t="shared" si="317"/>
        <v>3182570923.6937113</v>
      </c>
      <c r="EY85" s="19">
        <f t="shared" si="318"/>
        <v>3573210936.7462416</v>
      </c>
      <c r="EZ85" s="19">
        <f t="shared" si="287"/>
        <v>3355189850.0639939</v>
      </c>
      <c r="FA85" s="19">
        <f t="shared" si="288"/>
        <v>3292050042.9325848</v>
      </c>
      <c r="FB85" s="19">
        <f t="shared" si="289"/>
        <v>3690238288.8769684</v>
      </c>
      <c r="FC85" s="19">
        <f t="shared" si="290"/>
        <v>4141621444.7387567</v>
      </c>
      <c r="FE85" s="19">
        <f t="shared" si="291"/>
        <v>4719734511.4640436</v>
      </c>
      <c r="FF85" s="19">
        <f t="shared" si="292"/>
        <v>5399977009.6762323</v>
      </c>
      <c r="FG85" s="19">
        <f t="shared" si="293"/>
        <v>8172758112.628376</v>
      </c>
      <c r="FH85" s="19">
        <f t="shared" si="294"/>
        <v>10367646092.07962</v>
      </c>
      <c r="FI85" s="19">
        <f t="shared" si="295"/>
        <v>12477173580.237854</v>
      </c>
      <c r="FJ85" s="770">
        <f t="shared" si="207"/>
        <v>14479099626.612303</v>
      </c>
      <c r="FK85" s="545" t="s">
        <v>1</v>
      </c>
    </row>
    <row r="86" spans="2:167" x14ac:dyDescent="0.2">
      <c r="B86" s="225" t="s">
        <v>309</v>
      </c>
      <c r="C86" s="19">
        <f>Marketplace!C17</f>
        <v>0</v>
      </c>
      <c r="D86" s="19">
        <f>Marketplace!D17</f>
        <v>0</v>
      </c>
      <c r="E86" s="19">
        <f>Marketplace!E17</f>
        <v>0</v>
      </c>
      <c r="F86" s="19">
        <f>Marketplace!F17</f>
        <v>0</v>
      </c>
      <c r="G86" s="19">
        <f>Marketplace!G17</f>
        <v>0</v>
      </c>
      <c r="H86" s="19">
        <f>Marketplace!H17</f>
        <v>0</v>
      </c>
      <c r="I86" s="19">
        <f>Marketplace!I17</f>
        <v>0</v>
      </c>
      <c r="J86" s="19">
        <f>Marketplace!J17</f>
        <v>0</v>
      </c>
      <c r="K86" s="19">
        <f>Marketplace!K17</f>
        <v>0</v>
      </c>
      <c r="L86" s="19">
        <f>Marketplace!L17</f>
        <v>0</v>
      </c>
      <c r="M86" s="19">
        <f>Marketplace!M17</f>
        <v>0</v>
      </c>
      <c r="N86" s="19">
        <f>Marketplace!N17</f>
        <v>0</v>
      </c>
      <c r="O86" s="19">
        <f>Marketplace!O17</f>
        <v>0</v>
      </c>
      <c r="P86" s="19">
        <f>Marketplace!P17</f>
        <v>0</v>
      </c>
      <c r="Q86" s="19">
        <f>Marketplace!Q17</f>
        <v>0</v>
      </c>
      <c r="R86" s="19">
        <f>Marketplace!R17</f>
        <v>0</v>
      </c>
      <c r="S86" s="19">
        <f>Marketplace!S17</f>
        <v>0</v>
      </c>
      <c r="T86" s="19">
        <f>Marketplace!T17</f>
        <v>0</v>
      </c>
      <c r="U86" s="19">
        <f>Marketplace!U17</f>
        <v>0</v>
      </c>
      <c r="V86" s="19">
        <f>Marketplace!V17</f>
        <v>0</v>
      </c>
      <c r="W86" s="19">
        <f>Marketplace!W17</f>
        <v>0</v>
      </c>
      <c r="X86" s="19">
        <f>Marketplace!X17</f>
        <v>0</v>
      </c>
      <c r="Y86" s="19">
        <f>Marketplace!Y17</f>
        <v>0</v>
      </c>
      <c r="Z86" s="19">
        <f>Marketplace!Z17</f>
        <v>0</v>
      </c>
      <c r="AA86" s="19">
        <f>Marketplace!AA17</f>
        <v>0</v>
      </c>
      <c r="AB86" s="19">
        <f>Marketplace!AB17</f>
        <v>0</v>
      </c>
      <c r="AC86" s="19">
        <f>Marketplace!AC17</f>
        <v>0</v>
      </c>
      <c r="AD86" s="19">
        <f>Marketplace!AD17</f>
        <v>0</v>
      </c>
      <c r="AE86" s="19">
        <f>Marketplace!AE17</f>
        <v>0</v>
      </c>
      <c r="AF86" s="19">
        <f>Marketplace!AF17</f>
        <v>0</v>
      </c>
      <c r="AG86" s="19">
        <f>Marketplace!AG17</f>
        <v>0</v>
      </c>
      <c r="AH86" s="19">
        <f>Marketplace!AH17</f>
        <v>0</v>
      </c>
      <c r="AI86" s="19">
        <f>Marketplace!AI17</f>
        <v>0</v>
      </c>
      <c r="AJ86" s="19">
        <f>Marketplace!AJ17</f>
        <v>0</v>
      </c>
      <c r="AK86" s="19">
        <f>Marketplace!AK17</f>
        <v>0</v>
      </c>
      <c r="AL86" s="19">
        <f>Marketplace!AL17</f>
        <v>0</v>
      </c>
      <c r="AM86" s="19">
        <f>Marketplace!AM17</f>
        <v>0</v>
      </c>
      <c r="AN86" s="19">
        <f>Marketplace!AN17</f>
        <v>0</v>
      </c>
      <c r="AO86" s="19">
        <f>Marketplace!AO17</f>
        <v>0</v>
      </c>
      <c r="AP86" s="19">
        <f>Marketplace!AP17</f>
        <v>0</v>
      </c>
      <c r="AQ86" s="19">
        <f>Marketplace!AQ17</f>
        <v>0</v>
      </c>
      <c r="AR86" s="19">
        <f>Marketplace!AR17</f>
        <v>0</v>
      </c>
      <c r="AS86" s="19">
        <f>Marketplace!AS17</f>
        <v>0</v>
      </c>
      <c r="AT86" s="19">
        <f>Marketplace!AT17</f>
        <v>0</v>
      </c>
      <c r="AU86" s="19">
        <f>Marketplace!AU17</f>
        <v>0</v>
      </c>
      <c r="AV86" s="19">
        <f>Marketplace!AV17</f>
        <v>0</v>
      </c>
      <c r="AW86" s="19">
        <f>Marketplace!AW17</f>
        <v>0</v>
      </c>
      <c r="AX86" s="19">
        <f>Marketplace!AX17</f>
        <v>0</v>
      </c>
      <c r="AY86" s="19">
        <f>Marketplace!AY17</f>
        <v>0</v>
      </c>
      <c r="AZ86" s="19">
        <f>Marketplace!AZ17</f>
        <v>0</v>
      </c>
      <c r="BA86" s="19">
        <f>Marketplace!BA17</f>
        <v>0</v>
      </c>
      <c r="BB86" s="19">
        <f>Marketplace!BB17</f>
        <v>0</v>
      </c>
      <c r="BC86" s="19">
        <f>Marketplace!BC17</f>
        <v>0</v>
      </c>
      <c r="BD86" s="19">
        <f>Marketplace!BD17</f>
        <v>0</v>
      </c>
      <c r="BE86" s="19">
        <f>Marketplace!BE17</f>
        <v>0</v>
      </c>
      <c r="BF86" s="19">
        <f>Marketplace!BF17</f>
        <v>0</v>
      </c>
      <c r="BG86" s="19">
        <f>Marketplace!BG17</f>
        <v>0</v>
      </c>
      <c r="BH86" s="19">
        <f>Marketplace!BH17</f>
        <v>0</v>
      </c>
      <c r="BI86" s="19">
        <f>Marketplace!BI17</f>
        <v>0</v>
      </c>
      <c r="BJ86" s="19">
        <f>Marketplace!BJ17</f>
        <v>0</v>
      </c>
      <c r="BK86" s="19">
        <f>Marketplace!BK17</f>
        <v>0</v>
      </c>
      <c r="BL86" s="19">
        <f>Marketplace!BL17</f>
        <v>0</v>
      </c>
      <c r="BM86" s="19">
        <f>Marketplace!BM17</f>
        <v>0</v>
      </c>
      <c r="BN86" s="19">
        <f>Marketplace!BN17</f>
        <v>0</v>
      </c>
      <c r="BO86" s="19">
        <f>Marketplace!BO17</f>
        <v>0</v>
      </c>
      <c r="BP86" s="19">
        <f>Marketplace!BP17</f>
        <v>0</v>
      </c>
      <c r="BQ86" s="19">
        <f>Marketplace!BQ17</f>
        <v>0</v>
      </c>
      <c r="BR86" s="19">
        <f>Marketplace!BR17</f>
        <v>0</v>
      </c>
      <c r="BS86" s="19">
        <f>Marketplace!BS17</f>
        <v>0</v>
      </c>
      <c r="BT86" s="19">
        <f>Marketplace!BT17</f>
        <v>0</v>
      </c>
      <c r="BU86" s="19">
        <f>Marketplace!BU17</f>
        <v>0</v>
      </c>
      <c r="BV86" s="19">
        <f>Marketplace!BV17</f>
        <v>0</v>
      </c>
      <c r="BW86" s="19">
        <f>Marketplace!BW17</f>
        <v>0</v>
      </c>
      <c r="BX86" s="19">
        <f>Marketplace!BX17</f>
        <v>0</v>
      </c>
      <c r="BY86" s="19">
        <f>Marketplace!BY17</f>
        <v>0</v>
      </c>
      <c r="BZ86" s="19">
        <f>Marketplace!BZ17</f>
        <v>0</v>
      </c>
      <c r="CA86" s="19">
        <f>Marketplace!CA17</f>
        <v>0</v>
      </c>
      <c r="CB86" s="19">
        <f>Marketplace!CB17</f>
        <v>0</v>
      </c>
      <c r="CC86" s="19">
        <f>Marketplace!CC17</f>
        <v>0</v>
      </c>
      <c r="CD86" s="19">
        <f>Marketplace!CD17</f>
        <v>0</v>
      </c>
      <c r="CE86" s="19">
        <f>Marketplace!CE17</f>
        <v>0</v>
      </c>
      <c r="CF86" s="19">
        <f>Marketplace!CF17</f>
        <v>0</v>
      </c>
      <c r="CG86" s="19">
        <f>Marketplace!CG17</f>
        <v>0</v>
      </c>
      <c r="CH86" s="19">
        <f>Marketplace!CH17</f>
        <v>0</v>
      </c>
      <c r="CI86" s="19">
        <f>Marketplace!CI17</f>
        <v>0</v>
      </c>
      <c r="CJ86" s="19">
        <f>Marketplace!CJ17</f>
        <v>0</v>
      </c>
      <c r="CK86" s="19">
        <f>Marketplace!CK17</f>
        <v>0</v>
      </c>
      <c r="CL86" s="19">
        <f>Marketplace!CL17</f>
        <v>0</v>
      </c>
      <c r="CM86" s="19">
        <f>Marketplace!CM17</f>
        <v>0</v>
      </c>
      <c r="CN86" s="19">
        <f>Marketplace!CN17</f>
        <v>0</v>
      </c>
      <c r="CO86" s="19">
        <f>Marketplace!CO17</f>
        <v>0</v>
      </c>
      <c r="CP86" s="19">
        <f>Marketplace!CP17</f>
        <v>0</v>
      </c>
      <c r="CQ86" s="19">
        <f>Marketplace!CQ17</f>
        <v>0</v>
      </c>
      <c r="CR86" s="19">
        <f>Marketplace!CR17</f>
        <v>0</v>
      </c>
      <c r="CS86" s="19">
        <f>Marketplace!CS17</f>
        <v>0</v>
      </c>
      <c r="CT86" s="19">
        <f>Marketplace!CT17</f>
        <v>0</v>
      </c>
      <c r="CU86" s="19">
        <f>Marketplace!CU17</f>
        <v>0</v>
      </c>
      <c r="CV86" s="19">
        <f>Marketplace!CV17</f>
        <v>0</v>
      </c>
      <c r="CW86" s="19">
        <f>Marketplace!CW17</f>
        <v>0</v>
      </c>
      <c r="CX86" s="19">
        <f>Marketplace!CX17</f>
        <v>0</v>
      </c>
      <c r="CY86" s="19">
        <f>Marketplace!CY17</f>
        <v>0</v>
      </c>
      <c r="CZ86" s="19">
        <f>Marketplace!CZ17</f>
        <v>0</v>
      </c>
      <c r="DA86" s="19">
        <f>Marketplace!DA17</f>
        <v>0</v>
      </c>
      <c r="DB86" s="19">
        <f>Marketplace!DB17</f>
        <v>0</v>
      </c>
      <c r="DC86" s="19">
        <f>Marketplace!DC17</f>
        <v>0</v>
      </c>
      <c r="DD86" s="19">
        <f>Marketplace!DD17</f>
        <v>0</v>
      </c>
      <c r="DE86" s="19">
        <f>Marketplace!DE17</f>
        <v>0</v>
      </c>
      <c r="DF86" s="19">
        <f>Marketplace!DF17</f>
        <v>0</v>
      </c>
      <c r="DG86" s="19">
        <f>Marketplace!DG17</f>
        <v>0</v>
      </c>
      <c r="DH86" s="19">
        <f>Marketplace!DH17</f>
        <v>0</v>
      </c>
      <c r="DI86" s="19">
        <f>Marketplace!DI17</f>
        <v>0</v>
      </c>
      <c r="DJ86" s="19">
        <f>Marketplace!DJ17</f>
        <v>0</v>
      </c>
      <c r="DK86" s="19">
        <f>Marketplace!DK17</f>
        <v>0</v>
      </c>
      <c r="DL86" s="19">
        <f>Marketplace!DL17</f>
        <v>0</v>
      </c>
      <c r="DM86" s="19">
        <f>Marketplace!DM17</f>
        <v>0</v>
      </c>
      <c r="DN86" s="19">
        <f>Marketplace!DN17</f>
        <v>0</v>
      </c>
      <c r="DO86" s="19">
        <f>Marketplace!DO17</f>
        <v>0</v>
      </c>
      <c r="DP86" s="19">
        <f>Marketplace!DP17</f>
        <v>0</v>
      </c>
      <c r="DQ86" s="19">
        <f>Marketplace!DQ17</f>
        <v>0</v>
      </c>
      <c r="DR86" s="19">
        <f>Marketplace!DR17</f>
        <v>0</v>
      </c>
      <c r="DS86" s="19">
        <f>Marketplace!DS17</f>
        <v>0</v>
      </c>
      <c r="DT86" s="19">
        <f>Marketplace!DT17</f>
        <v>0</v>
      </c>
      <c r="DU86" s="19">
        <f>Marketplace!DU17</f>
        <v>0</v>
      </c>
      <c r="DV86" s="19">
        <f>Marketplace!DV17</f>
        <v>0</v>
      </c>
      <c r="DW86" s="19">
        <f>Marketplace!DW17</f>
        <v>0</v>
      </c>
      <c r="DX86" s="19">
        <f>Marketplace!DX17</f>
        <v>0</v>
      </c>
      <c r="DY86" s="19">
        <f>Marketplace!DY17</f>
        <v>0</v>
      </c>
      <c r="DZ86" s="19">
        <f>Marketplace!DZ17</f>
        <v>0</v>
      </c>
      <c r="EA86" s="19">
        <f>Marketplace!EA17</f>
        <v>0</v>
      </c>
      <c r="EB86" s="19">
        <f>Marketplace!EB17</f>
        <v>0</v>
      </c>
      <c r="EC86" s="19">
        <f>Marketplace!EC17</f>
        <v>0</v>
      </c>
      <c r="ED86" s="19">
        <f>Marketplace!ED17</f>
        <v>0</v>
      </c>
      <c r="EE86" s="222"/>
      <c r="EF86" s="19">
        <f t="shared" si="299"/>
        <v>0</v>
      </c>
      <c r="EG86" s="19">
        <f t="shared" si="300"/>
        <v>0</v>
      </c>
      <c r="EH86" s="19">
        <f t="shared" si="301"/>
        <v>0</v>
      </c>
      <c r="EI86" s="19">
        <f t="shared" si="302"/>
        <v>0</v>
      </c>
      <c r="EJ86" s="19">
        <f t="shared" si="303"/>
        <v>0</v>
      </c>
      <c r="EK86" s="19">
        <f t="shared" si="304"/>
        <v>0</v>
      </c>
      <c r="EL86" s="19">
        <f t="shared" si="305"/>
        <v>0</v>
      </c>
      <c r="EM86" s="19">
        <f t="shared" si="306"/>
        <v>0</v>
      </c>
      <c r="EN86" s="19">
        <f t="shared" si="307"/>
        <v>0</v>
      </c>
      <c r="EO86" s="19">
        <f t="shared" si="308"/>
        <v>0</v>
      </c>
      <c r="EP86" s="19">
        <f t="shared" si="309"/>
        <v>0</v>
      </c>
      <c r="EQ86" s="19">
        <f t="shared" si="310"/>
        <v>0</v>
      </c>
      <c r="ER86" s="19">
        <f t="shared" si="311"/>
        <v>0</v>
      </c>
      <c r="ES86" s="19">
        <f t="shared" si="312"/>
        <v>0</v>
      </c>
      <c r="ET86" s="19">
        <f t="shared" si="313"/>
        <v>0</v>
      </c>
      <c r="EU86" s="19">
        <f t="shared" si="314"/>
        <v>0</v>
      </c>
      <c r="EV86" s="19">
        <f t="shared" si="315"/>
        <v>0</v>
      </c>
      <c r="EW86" s="19">
        <f t="shared" si="316"/>
        <v>0</v>
      </c>
      <c r="EX86" s="19">
        <f t="shared" si="317"/>
        <v>0</v>
      </c>
      <c r="EY86" s="19">
        <f t="shared" si="318"/>
        <v>0</v>
      </c>
      <c r="EZ86" s="19">
        <f t="shared" si="287"/>
        <v>0</v>
      </c>
      <c r="FA86" s="19">
        <f t="shared" si="288"/>
        <v>0</v>
      </c>
      <c r="FB86" s="19">
        <f t="shared" si="289"/>
        <v>0</v>
      </c>
      <c r="FC86" s="19">
        <f t="shared" si="290"/>
        <v>0</v>
      </c>
      <c r="FE86" s="19">
        <f t="shared" si="291"/>
        <v>0</v>
      </c>
      <c r="FF86" s="19">
        <f t="shared" si="292"/>
        <v>0</v>
      </c>
      <c r="FG86" s="19">
        <f t="shared" si="293"/>
        <v>0</v>
      </c>
      <c r="FH86" s="19">
        <f t="shared" si="294"/>
        <v>0</v>
      </c>
      <c r="FI86" s="19">
        <f t="shared" si="295"/>
        <v>0</v>
      </c>
      <c r="FJ86" s="770">
        <f t="shared" si="207"/>
        <v>0</v>
      </c>
      <c r="FK86" s="545" t="s">
        <v>1</v>
      </c>
    </row>
    <row r="87" spans="2:167" x14ac:dyDescent="0.2">
      <c r="B87" s="225" t="s">
        <v>310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f>'D2C Online'!C71</f>
        <v>0</v>
      </c>
      <c r="M87" s="19">
        <f>'D2C Online'!D71</f>
        <v>0</v>
      </c>
      <c r="N87" s="19">
        <f>'D2C Online'!E71</f>
        <v>0</v>
      </c>
      <c r="O87" s="19">
        <f>'D2C Online'!F71</f>
        <v>0</v>
      </c>
      <c r="P87" s="19">
        <f>'D2C Online'!G71</f>
        <v>0</v>
      </c>
      <c r="Q87" s="19">
        <f>'D2C Online'!H71</f>
        <v>0</v>
      </c>
      <c r="R87" s="19">
        <f>'D2C Online'!I71</f>
        <v>0</v>
      </c>
      <c r="S87" s="19">
        <f>'D2C Online'!J71</f>
        <v>0</v>
      </c>
      <c r="T87" s="19">
        <f>'D2C Online'!K71</f>
        <v>0</v>
      </c>
      <c r="U87" s="19">
        <f>'D2C Online'!L71</f>
        <v>0</v>
      </c>
      <c r="V87" s="19">
        <f>'D2C Online'!M71</f>
        <v>0</v>
      </c>
      <c r="W87" s="19">
        <f>'D2C Online'!N71</f>
        <v>0</v>
      </c>
      <c r="X87" s="19">
        <f>'D2C Online'!O71</f>
        <v>0</v>
      </c>
      <c r="Y87" s="19">
        <f>'D2C Online'!P71</f>
        <v>0</v>
      </c>
      <c r="Z87" s="19">
        <f>'D2C Online'!Q71</f>
        <v>0</v>
      </c>
      <c r="AA87" s="19">
        <f>'D2C Online'!R71</f>
        <v>0</v>
      </c>
      <c r="AB87" s="19">
        <f>'D2C Online'!S71</f>
        <v>0</v>
      </c>
      <c r="AC87" s="19">
        <f>'D2C Online'!T71+'D2C - Retail'!C105+'D2C - Retail'!C106+'D2C - Retail'!C116</f>
        <v>2060077.3784045905</v>
      </c>
      <c r="AD87" s="19">
        <f>'D2C Online'!U71+'D2C - Retail'!D105+'D2C - Retail'!D106+'D2C - Retail'!D116</f>
        <v>2016129.8349776056</v>
      </c>
      <c r="AE87" s="19">
        <f>'D2C Online'!V71+'D2C - Retail'!E105+'D2C - Retail'!E106+'D2C - Retail'!E116</f>
        <v>2293339.1354516051</v>
      </c>
      <c r="AF87" s="19">
        <f>'D2C Online'!W71+'D2C - Retail'!F105+'D2C - Retail'!F106+'D2C - Retail'!F116</f>
        <v>1999698.6083339574</v>
      </c>
      <c r="AG87" s="19">
        <f>'D2C Online'!X71+'D2C - Retail'!G105+'D2C - Retail'!G106+'D2C - Retail'!G116</f>
        <v>1952168.6164041371</v>
      </c>
      <c r="AH87" s="19">
        <f>'D2C Online'!Y71+'D2C - Retail'!H105+'D2C - Retail'!H106+'D2C - Retail'!H116</f>
        <v>1964593.7449164807</v>
      </c>
      <c r="AI87" s="19">
        <f>'D2C Online'!Z71+'D2C - Retail'!I105+'D2C - Retail'!I106+'D2C - Retail'!I116</f>
        <v>2149674.088588004</v>
      </c>
      <c r="AJ87" s="19">
        <f>'D2C Online'!AA71+'D2C - Retail'!J105+'D2C - Retail'!J106+'D2C - Retail'!J116</f>
        <v>2099234.4237288143</v>
      </c>
      <c r="AK87" s="19">
        <f>'D2C Online'!AB71+'D2C - Retail'!K105+'D2C - Retail'!K106+'D2C - Retail'!K116</f>
        <v>2461574.7154212375</v>
      </c>
      <c r="AL87" s="19">
        <f>'D2C Online'!AC71+'D2C - Retail'!L105+'D2C - Retail'!L106+'D2C - Retail'!L116</f>
        <v>2300558.720338983</v>
      </c>
      <c r="AM87" s="19">
        <f>'D2C Online'!AD71+'D2C - Retail'!M105+'D2C - Retail'!M106+'D2C - Retail'!M116</f>
        <v>1492092.2898305086</v>
      </c>
      <c r="AN87" s="19">
        <f>'D2C Online'!AE71+'D2C - Retail'!N105+'D2C - Retail'!N106+'D2C - Retail'!N116</f>
        <v>3912</v>
      </c>
      <c r="AO87" s="19">
        <f>'D2C Online'!AF71+'D2C - Retail'!O105+'D2C - Retail'!O106+'D2C - Retail'!O116</f>
        <v>2429361.8015254238</v>
      </c>
      <c r="AP87" s="19">
        <f>'D2C Online'!AG71+'D2C - Retail'!P105+'D2C - Retail'!P106+'D2C - Retail'!P116</f>
        <v>3581280.6694915257</v>
      </c>
      <c r="AQ87" s="19">
        <f>'D2C Online'!AH71+'D2C - Retail'!Q105+'D2C - Retail'!Q106+'D2C - Retail'!Q116</f>
        <v>4008871.6525423811</v>
      </c>
      <c r="AR87" s="19">
        <f>'D2C Online'!AI71+'D2C - Retail'!R105+'D2C - Retail'!R106+'D2C - Retail'!R116</f>
        <v>5301158.1935593216</v>
      </c>
      <c r="AS87" s="19">
        <f>'D2C Online'!AJ71+'D2C - Retail'!S105+'D2C - Retail'!S106+'D2C - Retail'!S116</f>
        <v>5063496.8938983101</v>
      </c>
      <c r="AT87" s="19">
        <f>'D2C Online'!AK71+'D2C - Retail'!T105+'D2C - Retail'!T106+'D2C - Retail'!T116</f>
        <v>5592621.4772881493</v>
      </c>
      <c r="AU87" s="19">
        <f>'D2C Online'!AL71+'D2C - Retail'!U105+'D2C - Retail'!U106+'D2C - Retail'!U116</f>
        <v>7889256.7245762851</v>
      </c>
      <c r="AV87" s="19">
        <f>'D2C Online'!AM71+'D2C - Retail'!V105+'D2C - Retail'!V106+'D2C - Retail'!V116</f>
        <v>8381010.5593220424</v>
      </c>
      <c r="AW87" s="19">
        <f>'D2C Online'!AN71+'D2C - Retail'!W105+'D2C - Retail'!W106+'D2C - Retail'!W116</f>
        <v>8536372.4576271363</v>
      </c>
      <c r="AX87" s="19">
        <f>'D2C Online'!AO71+'D2C - Retail'!X105+'D2C - Retail'!X106+'D2C - Retail'!X116</f>
        <v>9132780.0847457871</v>
      </c>
      <c r="AY87" s="19">
        <f>'D2C Online'!AP71+'D2C - Retail'!Y105+'D2C - Retail'!Y106+'D2C - Retail'!Y116</f>
        <v>9374452.3474576008</v>
      </c>
      <c r="AZ87" s="19">
        <f>'D2C Online'!AQ71+'D2C - Retail'!Z105+'D2C - Retail'!Z106+'D2C - Retail'!Z116</f>
        <v>10498116.567796618</v>
      </c>
      <c r="BA87" s="19">
        <f>'D2C Online'!AR71+'D2C - Retail'!AA105+'D2C - Retail'!AA106+'D2C - Retail'!AA116</f>
        <v>10345093.632033927</v>
      </c>
      <c r="BB87" s="19">
        <f>'D2C Online'!AS71+'D2C - Retail'!AB105+'D2C - Retail'!AB106+'D2C - Retail'!AB116</f>
        <v>12627201.8389831</v>
      </c>
      <c r="BC87" s="19">
        <f>'D2C Online'!AT71+'D2C - Retail'!AC105+'D2C - Retail'!AC106+'D2C - Retail'!AC116</f>
        <v>14649781.947118713</v>
      </c>
      <c r="BD87" s="19">
        <f>'D2C Online'!AU71+'D2C - Retail'!AD105+'D2C - Retail'!AD106+'D2C - Retail'!AD116</f>
        <v>14144939.18271192</v>
      </c>
      <c r="BE87" s="19">
        <f>'D2C Online'!AV71+'D2C - Retail'!AE105+'D2C - Retail'!AE106+'D2C - Retail'!AE116</f>
        <v>13525485.762542421</v>
      </c>
      <c r="BF87" s="19">
        <f>'D2C Online'!AW71+'D2C - Retail'!AF105+'D2C - Retail'!AF106+'D2C - Retail'!AF116</f>
        <v>12645834.050847489</v>
      </c>
      <c r="BG87" s="19">
        <f>'D2C Online'!AX71+'D2C - Retail'!AG105+'D2C - Retail'!AG106+'D2C - Retail'!AG116</f>
        <v>12882240.478778772</v>
      </c>
      <c r="BH87" s="19">
        <f>'D2C Online'!AY71+'D2C - Retail'!AH105+'D2C - Retail'!AH106+'D2C - Retail'!AH116</f>
        <v>13678334.524624944</v>
      </c>
      <c r="BI87" s="19">
        <f>'D2C Online'!AZ71+'D2C - Retail'!AI105+'D2C - Retail'!AI106+'D2C - Retail'!AI116</f>
        <v>13376453.031349275</v>
      </c>
      <c r="BJ87" s="19">
        <f>'D2C Online'!BA71+'D2C - Retail'!AJ105+'D2C - Retail'!AJ106+'D2C - Retail'!AJ116</f>
        <v>14004179.417085443</v>
      </c>
      <c r="BK87" s="19">
        <f>'D2C Online'!BB71+'D2C - Retail'!AK105+'D2C - Retail'!AK106+'D2C - Retail'!AK116</f>
        <v>14008648.248472396</v>
      </c>
      <c r="BL87" s="19">
        <f>'D2C Online'!BC71+'D2C - Retail'!AL105+'D2C - Retail'!AL106+'D2C - Retail'!AL116</f>
        <v>14584388.382028706</v>
      </c>
      <c r="BM87" s="19">
        <f>'D2C Online'!BD71+'D2C - Retail'!AM105+'D2C - Retail'!AM106+'D2C - Retail'!AM116</f>
        <v>16350678.15793764</v>
      </c>
      <c r="BN87" s="19">
        <f>'D2C Online'!BE71+'D2C - Retail'!AN105+'D2C - Retail'!AN106+'D2C - Retail'!AN116</f>
        <v>16064842.751679443</v>
      </c>
      <c r="BO87" s="19">
        <f>'D2C Online'!BF71+'D2C - Retail'!AO105+'D2C - Retail'!AO106+'D2C - Retail'!AO116</f>
        <v>19024361.950584754</v>
      </c>
      <c r="BP87" s="19">
        <f>'D2C Online'!BG71+'D2C - Retail'!AP105+'D2C - Retail'!AP106+'D2C - Retail'!AP116</f>
        <v>17067194.998690862</v>
      </c>
      <c r="BQ87" s="19">
        <f>'D2C Online'!BH71+'D2C - Retail'!AQ105+'D2C - Retail'!AQ106+'D2C - Retail'!AQ116</f>
        <v>20121557.611308366</v>
      </c>
      <c r="BR87" s="19">
        <f>'D2C Online'!BI71+'D2C - Retail'!AR105+'D2C - Retail'!AR106+'D2C - Retail'!AR116</f>
        <v>15281743.100206878</v>
      </c>
      <c r="BS87" s="19">
        <f>'D2C Online'!BJ71+'D2C - Retail'!AS105+'D2C - Retail'!AS106+'D2C - Retail'!AS116</f>
        <v>13444284.084861141</v>
      </c>
      <c r="BT87" s="19">
        <f>'D2C Online'!BK71+'D2C - Retail'!AT105+'D2C - Retail'!AT106+'D2C - Retail'!AT116</f>
        <v>13481975.721976018</v>
      </c>
      <c r="BU87" s="19">
        <f>'D2C Online'!BL71+'D2C - Retail'!AU105+'D2C - Retail'!AU106+'D2C - Retail'!AU116</f>
        <v>13153183.361512987</v>
      </c>
      <c r="BV87" s="19">
        <f>'D2C Online'!BM71+'D2C - Retail'!AV105+'D2C - Retail'!AV106+'D2C - Retail'!AV116</f>
        <v>15477388.198603546</v>
      </c>
      <c r="BW87" s="19">
        <f>'D2C Online'!BN71+'D2C - Retail'!AW105+'D2C - Retail'!AW106+'D2C - Retail'!AW116</f>
        <v>17238294.139073215</v>
      </c>
      <c r="BX87" s="19">
        <f>'D2C Online'!BO71+'D2C - Retail'!AX105+'D2C - Retail'!AX106+'D2C - Retail'!AX116</f>
        <v>16803591.451028034</v>
      </c>
      <c r="BY87" s="19">
        <f>'D2C Online'!BP71+'D2C - Retail'!AY105+'D2C - Retail'!AY106+'D2C - Retail'!AY116</f>
        <v>17809284.215731595</v>
      </c>
      <c r="BZ87" s="19">
        <f>'D2C Online'!BQ71+'D2C - Retail'!AZ105+'D2C - Retail'!AZ106+'D2C - Retail'!AZ116</f>
        <v>19190276.058277451</v>
      </c>
      <c r="CA87" s="19">
        <f>'D2C Online'!BR71+'D2C - Retail'!BA105+'D2C - Retail'!BA106+'D2C - Retail'!BA116</f>
        <v>17469029.534402609</v>
      </c>
      <c r="CB87" s="19">
        <f>'D2C Online'!BS71+'D2C - Retail'!BB105+'D2C - Retail'!BB106+'D2C - Retail'!BB116</f>
        <v>16482835.296243057</v>
      </c>
      <c r="CC87" s="19">
        <f>'D2C Online'!BT71+'D2C - Retail'!BC105+'D2C - Retail'!BC106+'D2C - Retail'!BC116</f>
        <v>19864382.647799861</v>
      </c>
      <c r="CD87" s="19">
        <f>'D2C Online'!BU71+'D2C - Retail'!BD105+'D2C - Retail'!BD106+'D2C - Retail'!BD116</f>
        <v>17824870.828521498</v>
      </c>
      <c r="CE87" s="19">
        <f>'D2C Online'!BV71+'D2C - Retail'!BE105+'D2C - Retail'!BE106+'D2C - Retail'!BE116</f>
        <v>21683568.608908542</v>
      </c>
      <c r="CF87" s="19">
        <f>'D2C Online'!BW71+'D2C - Retail'!BF105+'D2C - Retail'!BF106+'D2C - Retail'!BF116</f>
        <v>20056642.89761693</v>
      </c>
      <c r="CG87" s="19">
        <f>'D2C Online'!BX71+'D2C - Retail'!BG105+'D2C - Retail'!BG106+'D2C - Retail'!BG116</f>
        <v>18172906.560186218</v>
      </c>
      <c r="CH87" s="19">
        <f>'D2C Online'!BY71+'D2C - Retail'!BH105+'D2C - Retail'!BH106+'D2C - Retail'!BH116</f>
        <v>23040164.067675434</v>
      </c>
      <c r="CI87" s="19">
        <f>'D2C Online'!BZ71+'D2C - Retail'!BI105+'D2C - Retail'!BI106+'D2C - Retail'!BI116</f>
        <v>20985713.287325375</v>
      </c>
      <c r="CJ87" s="19">
        <f>'D2C Online'!CA71+'D2C - Retail'!BJ105+'D2C - Retail'!BJ106+'D2C - Retail'!BJ116</f>
        <v>21574092.347999565</v>
      </c>
      <c r="CK87" s="19">
        <f>'D2C Online'!CB71+'D2C - Retail'!BK105+'D2C - Retail'!BK106+'D2C - Retail'!BK116</f>
        <v>19602473.01806777</v>
      </c>
      <c r="CL87" s="19">
        <f>'D2C Online'!CC71+'D2C - Retail'!BL105+'D2C - Retail'!BL106+'D2C - Retail'!BL116</f>
        <v>23162089.813983057</v>
      </c>
      <c r="CM87" s="19">
        <f>'D2C Online'!CD71+'D2C - Retail'!BM105+'D2C - Retail'!BM106+'D2C - Retail'!BM116</f>
        <v>25684471.610423736</v>
      </c>
      <c r="CN87" s="19">
        <f>'D2C Online'!CE71+'D2C - Retail'!BN105+'D2C - Retail'!BN106+'D2C - Retail'!BN116</f>
        <v>24279137.079745766</v>
      </c>
      <c r="CO87" s="19">
        <f>'D2C Online'!CF71+'D2C - Retail'!BO105+'D2C - Retail'!BO106+'D2C - Retail'!BO116</f>
        <v>28162054.737661481</v>
      </c>
      <c r="CP87" s="19">
        <f>'D2C Online'!CG71+'D2C - Retail'!BP105+'D2C - Retail'!BP106+'D2C - Retail'!BP116</f>
        <v>27611128.935677964</v>
      </c>
      <c r="CQ87" s="19">
        <f>'D2C Online'!CH71+'D2C - Retail'!BQ105+'D2C - Retail'!BQ106+'D2C - Retail'!BQ116</f>
        <v>34077897.766440563</v>
      </c>
      <c r="CR87" s="19">
        <f>'D2C Online'!CI71+'D2C - Retail'!BR105+'D2C - Retail'!BR106+'D2C - Retail'!BR116</f>
        <v>32154416.692627124</v>
      </c>
      <c r="CS87" s="19">
        <f>'D2C Online'!CJ71+'D2C - Retail'!BS105+'D2C - Retail'!BS106+'D2C - Retail'!BS116</f>
        <v>30799313.497288145</v>
      </c>
      <c r="CT87" s="19">
        <f>'D2C Online'!CK71+'D2C - Retail'!BT105+'D2C - Retail'!BT106+'D2C - Retail'!BT116</f>
        <v>43814129.386609972</v>
      </c>
      <c r="CU87" s="19">
        <f>'D2C Online'!CL71+'D2C - Retail'!BU105+'D2C - Retail'!BU106+'D2C - Retail'!BU116</f>
        <v>32195932.634289704</v>
      </c>
      <c r="CV87" s="19">
        <f>'D2C Online'!CM71+'D2C - Retail'!BV105+'D2C - Retail'!BV106+'D2C - Retail'!BV116</f>
        <v>32471481.777719658</v>
      </c>
      <c r="CW87" s="19">
        <f>'D2C Online'!CN71+'D2C - Retail'!BW105+'D2C - Retail'!BW106+'D2C - Retail'!BW116</f>
        <v>32879826.843586788</v>
      </c>
      <c r="CX87" s="19">
        <f>'D2C Online'!CO71+'D2C - Retail'!BX105+'D2C - Retail'!BX106+'D2C - Retail'!BX116</f>
        <v>33137923.24823818</v>
      </c>
      <c r="CY87" s="19">
        <f>'D2C Online'!CP71+'D2C - Retail'!BY105+'D2C - Retail'!BY106+'D2C - Retail'!BY116</f>
        <v>33565272.034370929</v>
      </c>
      <c r="CZ87" s="19">
        <f>'D2C Online'!CQ71+'D2C - Retail'!BZ105+'D2C - Retail'!BZ106+'D2C - Retail'!BZ116</f>
        <v>34120853.676438361</v>
      </c>
      <c r="DA87" s="19">
        <f>'D2C Online'!CR71+'D2C - Retail'!CA105+'D2C - Retail'!CA106+'D2C - Retail'!CA116</f>
        <v>34355513.15336483</v>
      </c>
      <c r="DB87" s="19">
        <f>'D2C Online'!CS71+'D2C - Retail'!CB105+'D2C - Retail'!CB106+'D2C - Retail'!CB116</f>
        <v>34778375.422272362</v>
      </c>
      <c r="DC87" s="19">
        <f>'D2C Online'!CT71+'D2C - Retail'!CC105+'D2C - Retail'!CC106+'D2C - Retail'!CC116</f>
        <v>35017535.141774222</v>
      </c>
      <c r="DD87" s="19">
        <f>'D2C Online'!CU71+'D2C - Retail'!CD105+'D2C - Retail'!CD106+'D2C - Retail'!CD116</f>
        <v>35284471.488876037</v>
      </c>
      <c r="DE87" s="19">
        <f>'D2C Online'!CV71+'D2C - Retail'!CE105+'D2C - Retail'!CE106+'D2C - Retail'!CE116</f>
        <v>35707262.371069193</v>
      </c>
      <c r="DF87" s="19">
        <f>'D2C Online'!CW71+'D2C - Retail'!CF105+'D2C - Retail'!CF106+'D2C - Retail'!CF116</f>
        <v>36219211.876632996</v>
      </c>
      <c r="DG87" s="19">
        <f>'D2C Online'!CX71+'D2C - Retail'!CG105+'D2C - Retail'!CG106+'D2C - Retail'!CG116</f>
        <v>36509620.427182458</v>
      </c>
      <c r="DH87" s="19">
        <f>'D2C Online'!CY71+'D2C - Retail'!CH105+'D2C - Retail'!CH106+'D2C - Retail'!CH116</f>
        <v>36921444.835415065</v>
      </c>
      <c r="DI87" s="19">
        <f>'D2C Online'!CZ71+'D2C - Retail'!CI105+'D2C - Retail'!CI106+'D2C - Retail'!CI116</f>
        <v>37194940.390088841</v>
      </c>
      <c r="DJ87" s="19">
        <f>'D2C Online'!DA71+'D2C - Retail'!CJ105+'D2C - Retail'!CJ106+'D2C - Retail'!CJ116</f>
        <v>37450098.517832786</v>
      </c>
      <c r="DK87" s="19">
        <f>'D2C Online'!DB71+'D2C - Retail'!CK105+'D2C - Retail'!CK106+'D2C - Retail'!CK116</f>
        <v>37882116.165047027</v>
      </c>
      <c r="DL87" s="19">
        <f>'D2C Online'!DC71+'D2C - Retail'!CL105+'D2C - Retail'!CL106+'D2C - Retail'!CL116</f>
        <v>38440652.168933719</v>
      </c>
      <c r="DM87" s="19">
        <f>'D2C Online'!DD71+'D2C - Retail'!CM105+'D2C - Retail'!CM106+'D2C - Retail'!CM116</f>
        <v>38532028.627837777</v>
      </c>
      <c r="DN87" s="19">
        <f>'D2C Online'!DE71+'D2C - Retail'!CN105+'D2C - Retail'!CN106+'D2C - Retail'!CN116</f>
        <v>38823124.369858205</v>
      </c>
      <c r="DO87" s="19">
        <f>'D2C Online'!DF71+'D2C - Retail'!CO105+'D2C - Retail'!CO106+'D2C - Retail'!CO116</f>
        <v>38920423.354997069</v>
      </c>
      <c r="DP87" s="19">
        <f>'D2C Online'!DG71+'D2C - Retail'!CP105+'D2C - Retail'!CP106+'D2C - Retail'!CP116</f>
        <v>39051397.63783776</v>
      </c>
      <c r="DQ87" s="19">
        <f>'D2C Online'!DH71+'D2C - Retail'!CQ105+'D2C - Retail'!CQ106+'D2C - Retail'!CQ116</f>
        <v>39342237.000131063</v>
      </c>
      <c r="DR87" s="19">
        <f>'D2C Online'!DI71+'D2C - Retail'!CR105+'D2C - Retail'!CR106+'D2C - Retail'!CR116</f>
        <v>39443084.879158646</v>
      </c>
      <c r="DS87" s="19">
        <f>'D2C Online'!DJ71+'D2C - Retail'!CS105+'D2C - Retail'!CS106+'D2C - Retail'!CS116</f>
        <v>39744313.387186274</v>
      </c>
      <c r="DT87" s="19">
        <f>'D2C Online'!DK71+'D2C - Retail'!CT105+'D2C - Retail'!CT106+'D2C - Retail'!CT116</f>
        <v>40156906.458635867</v>
      </c>
      <c r="DU87" s="19">
        <f>'D2C Online'!DL71+'D2C - Retail'!CU105+'D2C - Retail'!CU106+'D2C - Retail'!CU116</f>
        <v>40430758.269030206</v>
      </c>
      <c r="DV87" s="19">
        <f>'D2C Online'!DM71+'D2C - Retail'!CV105+'D2C - Retail'!CV106+'D2C - Retail'!CV116</f>
        <v>40683683.55727452</v>
      </c>
      <c r="DW87" s="19">
        <f>'D2C Online'!DN71+'D2C - Retail'!CW105+'D2C - Retail'!CW106+'D2C - Retail'!CW116</f>
        <v>41119288.615548372</v>
      </c>
      <c r="DX87" s="19">
        <f>'D2C Online'!DO71+'D2C - Retail'!CX105+'D2C - Retail'!CX106+'D2C - Retail'!CX116</f>
        <v>41680103.601504311</v>
      </c>
      <c r="DY87" s="19">
        <f>'D2C Online'!DP71+'D2C - Retail'!CY105+'D2C - Retail'!CY106+'D2C - Retail'!CY116</f>
        <v>41765363.188904844</v>
      </c>
      <c r="DZ87" s="19">
        <f>'D2C Online'!DQ71+'D2C - Retail'!CZ105+'D2C - Retail'!CZ106+'D2C - Retail'!CZ116</f>
        <v>42059236.651881553</v>
      </c>
      <c r="EA87" s="19">
        <f>'D2C Online'!DR71+'D2C - Retail'!DA105+'D2C - Retail'!DA106+'D2C - Retail'!DA116</f>
        <v>42151280.811266944</v>
      </c>
      <c r="EB87" s="19">
        <f>'D2C Online'!DS71+'D2C - Retail'!DB105+'D2C - Retail'!DB106+'D2C - Retail'!DB116</f>
        <v>42281643.420147546</v>
      </c>
      <c r="EC87" s="19">
        <f>'D2C Online'!DT71+'D2C - Retail'!DC105+'D2C - Retail'!DC106+'D2C - Retail'!DC116</f>
        <v>42575213.347878434</v>
      </c>
      <c r="ED87" s="19">
        <f>'D2C Online'!DU71+'D2C - Retail'!DD105+'D2C - Retail'!DD106+'D2C - Retail'!DD116</f>
        <v>42671342.153550379</v>
      </c>
      <c r="EE87" s="222"/>
      <c r="EF87" s="19">
        <f t="shared" si="299"/>
        <v>44943714.788438745</v>
      </c>
      <c r="EG87" s="19">
        <f t="shared" si="300"/>
        <v>52156399.700955063</v>
      </c>
      <c r="EH87" s="19">
        <f t="shared" si="301"/>
        <v>48847584.796376392</v>
      </c>
      <c r="EI87" s="19">
        <f t="shared" si="302"/>
        <v>42112547.282092549</v>
      </c>
      <c r="EJ87" s="19">
        <f t="shared" si="303"/>
        <v>51851169.805832848</v>
      </c>
      <c r="EK87" s="19">
        <f t="shared" si="304"/>
        <v>53142140.888923116</v>
      </c>
      <c r="EL87" s="19">
        <f t="shared" si="305"/>
        <v>59372822.085229896</v>
      </c>
      <c r="EM87" s="19">
        <f t="shared" si="306"/>
        <v>61269713.525478579</v>
      </c>
      <c r="EN87" s="19">
        <f t="shared" si="307"/>
        <v>62162278.65339271</v>
      </c>
      <c r="EO87" s="19">
        <f t="shared" si="308"/>
        <v>73125698.504152566</v>
      </c>
      <c r="EP87" s="19">
        <f t="shared" si="309"/>
        <v>89851081.439779997</v>
      </c>
      <c r="EQ87" s="19">
        <f t="shared" si="310"/>
        <v>106767859.57652524</v>
      </c>
      <c r="ER87" s="19">
        <f t="shared" si="311"/>
        <v>97547241.255596146</v>
      </c>
      <c r="ES87" s="19">
        <f t="shared" si="312"/>
        <v>100824048.95904747</v>
      </c>
      <c r="ET87" s="19">
        <f t="shared" si="313"/>
        <v>104151423.71741141</v>
      </c>
      <c r="EU87" s="19">
        <f t="shared" si="314"/>
        <v>107210945.73657823</v>
      </c>
      <c r="EV87" s="19">
        <f t="shared" si="315"/>
        <v>110626005.65268637</v>
      </c>
      <c r="EW87" s="19">
        <f t="shared" si="316"/>
        <v>113772866.85181352</v>
      </c>
      <c r="EX87" s="19">
        <f t="shared" si="317"/>
        <v>116275576.35269305</v>
      </c>
      <c r="EY87" s="19">
        <f t="shared" si="318"/>
        <v>117836719.51712747</v>
      </c>
      <c r="EZ87" s="19">
        <f t="shared" si="287"/>
        <v>120331978.11485234</v>
      </c>
      <c r="FA87" s="19">
        <f t="shared" si="288"/>
        <v>123483075.7743272</v>
      </c>
      <c r="FB87" s="19">
        <f t="shared" si="289"/>
        <v>125975880.65205334</v>
      </c>
      <c r="FC87" s="19">
        <f t="shared" si="290"/>
        <v>127528198.92157635</v>
      </c>
      <c r="FE87" s="19">
        <f t="shared" si="291"/>
        <v>188060246.56786272</v>
      </c>
      <c r="FF87" s="19">
        <f t="shared" si="292"/>
        <v>225635846.30546445</v>
      </c>
      <c r="FG87" s="19">
        <f t="shared" si="293"/>
        <v>331906918.17385054</v>
      </c>
      <c r="FH87" s="19">
        <f t="shared" si="294"/>
        <v>409733659.66863322</v>
      </c>
      <c r="FI87" s="19">
        <f t="shared" si="295"/>
        <v>458511168.37432045</v>
      </c>
      <c r="FJ87" s="770">
        <f t="shared" si="207"/>
        <v>497319133.46280921</v>
      </c>
      <c r="FK87" s="545" t="s">
        <v>1</v>
      </c>
    </row>
    <row r="88" spans="2:167" x14ac:dyDescent="0.2">
      <c r="B88" s="225" t="s">
        <v>311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>
        <v>0</v>
      </c>
      <c r="BW88" s="19">
        <v>0</v>
      </c>
      <c r="BX88" s="19">
        <v>0</v>
      </c>
      <c r="BY88" s="19">
        <v>0</v>
      </c>
      <c r="BZ88" s="19">
        <v>0</v>
      </c>
      <c r="CA88" s="19">
        <v>0</v>
      </c>
      <c r="CB88" s="19">
        <v>0</v>
      </c>
      <c r="CC88" s="19">
        <v>0</v>
      </c>
      <c r="CD88" s="19">
        <v>0</v>
      </c>
      <c r="CE88" s="19">
        <v>0</v>
      </c>
      <c r="CF88" s="19">
        <v>0</v>
      </c>
      <c r="CG88" s="19">
        <v>0</v>
      </c>
      <c r="CH88" s="19">
        <v>0</v>
      </c>
      <c r="CI88" s="19">
        <v>0</v>
      </c>
      <c r="CJ88" s="19">
        <v>0</v>
      </c>
      <c r="CK88" s="19">
        <v>0</v>
      </c>
      <c r="CL88" s="19">
        <v>0</v>
      </c>
      <c r="CM88" s="19">
        <v>0</v>
      </c>
      <c r="CN88" s="19">
        <v>0</v>
      </c>
      <c r="CO88" s="19">
        <v>0</v>
      </c>
      <c r="CP88" s="19">
        <v>0</v>
      </c>
      <c r="CQ88" s="19">
        <v>0</v>
      </c>
      <c r="CR88" s="19">
        <v>0</v>
      </c>
      <c r="CS88" s="19">
        <v>0</v>
      </c>
      <c r="CT88" s="19">
        <v>0</v>
      </c>
      <c r="CU88" s="19">
        <v>0</v>
      </c>
      <c r="CV88" s="19">
        <v>0</v>
      </c>
      <c r="CW88" s="19">
        <v>0</v>
      </c>
      <c r="CX88" s="19">
        <v>0</v>
      </c>
      <c r="CY88" s="19">
        <v>0</v>
      </c>
      <c r="CZ88" s="19">
        <v>0</v>
      </c>
      <c r="DA88" s="19">
        <v>0</v>
      </c>
      <c r="DB88" s="19">
        <v>0</v>
      </c>
      <c r="DC88" s="19">
        <v>0</v>
      </c>
      <c r="DD88" s="19">
        <v>0</v>
      </c>
      <c r="DE88" s="19">
        <v>0</v>
      </c>
      <c r="DF88" s="19">
        <v>0</v>
      </c>
      <c r="DG88" s="19">
        <v>0</v>
      </c>
      <c r="DH88" s="19">
        <v>0</v>
      </c>
      <c r="DI88" s="19">
        <v>0</v>
      </c>
      <c r="DJ88" s="19">
        <v>0</v>
      </c>
      <c r="DK88" s="19">
        <v>0</v>
      </c>
      <c r="DL88" s="19">
        <v>0</v>
      </c>
      <c r="DM88" s="19">
        <v>0</v>
      </c>
      <c r="DN88" s="19">
        <v>0</v>
      </c>
      <c r="DO88" s="19">
        <v>0</v>
      </c>
      <c r="DP88" s="19">
        <v>0</v>
      </c>
      <c r="DQ88" s="19">
        <v>0</v>
      </c>
      <c r="DR88" s="19">
        <v>0</v>
      </c>
      <c r="DS88" s="19">
        <v>0</v>
      </c>
      <c r="DT88" s="19">
        <v>0</v>
      </c>
      <c r="DU88" s="19">
        <v>0</v>
      </c>
      <c r="DV88" s="19">
        <v>0</v>
      </c>
      <c r="DW88" s="19">
        <v>0</v>
      </c>
      <c r="DX88" s="19">
        <v>0</v>
      </c>
      <c r="DY88" s="19">
        <v>0</v>
      </c>
      <c r="DZ88" s="19">
        <v>0</v>
      </c>
      <c r="EA88" s="19">
        <v>0</v>
      </c>
      <c r="EB88" s="19">
        <v>0</v>
      </c>
      <c r="EC88" s="19">
        <v>0</v>
      </c>
      <c r="ED88" s="19">
        <v>0</v>
      </c>
      <c r="EE88" s="222"/>
      <c r="EF88" s="19">
        <f t="shared" si="299"/>
        <v>0</v>
      </c>
      <c r="EG88" s="19">
        <f t="shared" si="300"/>
        <v>0</v>
      </c>
      <c r="EH88" s="19">
        <f t="shared" si="301"/>
        <v>0</v>
      </c>
      <c r="EI88" s="19">
        <f t="shared" si="302"/>
        <v>0</v>
      </c>
      <c r="EJ88" s="19">
        <f t="shared" si="303"/>
        <v>0</v>
      </c>
      <c r="EK88" s="19">
        <f t="shared" si="304"/>
        <v>0</v>
      </c>
      <c r="EL88" s="19">
        <f t="shared" si="305"/>
        <v>0</v>
      </c>
      <c r="EM88" s="19">
        <f t="shared" si="306"/>
        <v>0</v>
      </c>
      <c r="EN88" s="19">
        <f t="shared" si="307"/>
        <v>0</v>
      </c>
      <c r="EO88" s="19">
        <f t="shared" si="308"/>
        <v>0</v>
      </c>
      <c r="EP88" s="19">
        <f t="shared" si="309"/>
        <v>0</v>
      </c>
      <c r="EQ88" s="19">
        <f t="shared" si="310"/>
        <v>0</v>
      </c>
      <c r="ER88" s="19">
        <f t="shared" si="311"/>
        <v>0</v>
      </c>
      <c r="ES88" s="19">
        <f t="shared" si="312"/>
        <v>0</v>
      </c>
      <c r="ET88" s="19">
        <f t="shared" si="313"/>
        <v>0</v>
      </c>
      <c r="EU88" s="19">
        <f t="shared" si="314"/>
        <v>0</v>
      </c>
      <c r="EV88" s="19">
        <f t="shared" si="315"/>
        <v>0</v>
      </c>
      <c r="EW88" s="19">
        <f t="shared" si="316"/>
        <v>0</v>
      </c>
      <c r="EX88" s="19">
        <f t="shared" si="317"/>
        <v>0</v>
      </c>
      <c r="EY88" s="19">
        <f t="shared" si="318"/>
        <v>0</v>
      </c>
      <c r="EZ88" s="19">
        <f t="shared" si="287"/>
        <v>0</v>
      </c>
      <c r="FA88" s="19">
        <f t="shared" si="288"/>
        <v>0</v>
      </c>
      <c r="FB88" s="19">
        <f t="shared" si="289"/>
        <v>0</v>
      </c>
      <c r="FC88" s="19">
        <f t="shared" si="290"/>
        <v>0</v>
      </c>
      <c r="FE88" s="19">
        <f t="shared" si="291"/>
        <v>0</v>
      </c>
      <c r="FF88" s="19">
        <f t="shared" si="292"/>
        <v>0</v>
      </c>
      <c r="FG88" s="19">
        <f t="shared" si="293"/>
        <v>0</v>
      </c>
      <c r="FH88" s="19">
        <f t="shared" si="294"/>
        <v>0</v>
      </c>
      <c r="FI88" s="19">
        <f t="shared" si="295"/>
        <v>0</v>
      </c>
      <c r="FJ88" s="770">
        <f t="shared" si="207"/>
        <v>0</v>
      </c>
      <c r="FK88" s="545" t="s">
        <v>1</v>
      </c>
    </row>
    <row r="89" spans="2:167" x14ac:dyDescent="0.2">
      <c r="B89" s="225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222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E89" s="19"/>
      <c r="FF89" s="19"/>
      <c r="FG89" s="19"/>
      <c r="FH89" s="19"/>
      <c r="FI89" s="19"/>
      <c r="FJ89" s="770"/>
      <c r="FK89" s="545"/>
    </row>
    <row r="90" spans="2:167" x14ac:dyDescent="0.2">
      <c r="B90" s="225" t="s">
        <v>19</v>
      </c>
      <c r="C90" s="19">
        <f>'B2B- Non Repair'!C47+Refurbished!C56</f>
        <v>122426272</v>
      </c>
      <c r="D90" s="19">
        <f>'B2B- Non Repair'!D47+Refurbished!D56</f>
        <v>115753565.162861</v>
      </c>
      <c r="E90" s="19">
        <f>'B2B- Non Repair'!E47+Refurbished!E56</f>
        <v>128294842.83865426</v>
      </c>
      <c r="F90" s="19">
        <f>'B2B- Non Repair'!F47+Refurbished!F56</f>
        <v>148967284.26594955</v>
      </c>
      <c r="G90" s="19">
        <f>'B2B- Non Repair'!G47+Refurbished!G56</f>
        <v>174384561.61057141</v>
      </c>
      <c r="H90" s="19">
        <f>'B2B- Non Repair'!H47+Refurbished!H56</f>
        <v>176354244.36612931</v>
      </c>
      <c r="I90" s="19">
        <f>'B2B- Non Repair'!I47+Refurbished!I56</f>
        <v>202987521.42206219</v>
      </c>
      <c r="J90" s="19">
        <f>'B2B- Non Repair'!J47+Refurbished!J56</f>
        <v>178870493.52094698</v>
      </c>
      <c r="K90" s="19">
        <f>'B2B- Non Repair'!K47+Refurbished!K56</f>
        <v>235237922.38896</v>
      </c>
      <c r="L90" s="19">
        <f>'B2B- Non Repair'!L47+Refurbished!L56</f>
        <v>237340909.30333334</v>
      </c>
      <c r="M90" s="19">
        <v>239295352.09</v>
      </c>
      <c r="N90" s="19">
        <v>216476116.13</v>
      </c>
      <c r="O90" s="19">
        <v>283747938.87251395</v>
      </c>
      <c r="P90" s="19">
        <v>285968285.79734957</v>
      </c>
      <c r="Q90" s="19">
        <v>299358802.55406547</v>
      </c>
      <c r="R90" s="19">
        <v>306657938.66624004</v>
      </c>
      <c r="S90" s="19">
        <v>244001524.66104323</v>
      </c>
      <c r="T90" s="19">
        <v>231799852.11676762</v>
      </c>
      <c r="U90" s="19">
        <v>190610485.47337747</v>
      </c>
      <c r="V90" s="19">
        <v>211306471.86234483</v>
      </c>
      <c r="W90" s="19">
        <v>252670844.14375138</v>
      </c>
      <c r="X90" s="19">
        <v>256870743.00116152</v>
      </c>
      <c r="Y90" s="19">
        <v>273512393.16750443</v>
      </c>
      <c r="Z90" s="19">
        <v>180596331.15229034</v>
      </c>
      <c r="AA90" s="19">
        <v>-2013289.4399999995</v>
      </c>
      <c r="AB90" s="19">
        <v>143172299.0702</v>
      </c>
      <c r="AC90" s="19">
        <v>153533624.23495501</v>
      </c>
      <c r="AD90" s="19">
        <v>124396242.01827218</v>
      </c>
      <c r="AE90" s="19">
        <v>194364090.48283467</v>
      </c>
      <c r="AF90" s="19">
        <v>206885216.87347811</v>
      </c>
      <c r="AG90" s="19">
        <v>199281117.32402304</v>
      </c>
      <c r="AH90" s="19">
        <v>228241173.87303343</v>
      </c>
      <c r="AI90" s="19">
        <v>384535438.61362267</v>
      </c>
      <c r="AJ90" s="19">
        <v>356398850.82328814</v>
      </c>
      <c r="AK90" s="19">
        <v>409080268.8824873</v>
      </c>
      <c r="AL90" s="19">
        <v>351576788.77298856</v>
      </c>
      <c r="AM90" s="19">
        <v>244541840.06965876</v>
      </c>
      <c r="AN90" s="19">
        <v>108168461.22083299</v>
      </c>
      <c r="AO90" s="19">
        <v>237595863.33327293</v>
      </c>
      <c r="AP90" s="19">
        <v>330195455.12726796</v>
      </c>
      <c r="AQ90" s="19">
        <v>332598425.58299983</v>
      </c>
      <c r="AR90" s="19">
        <v>337075407.66497517</v>
      </c>
      <c r="AS90" s="19">
        <v>303963187.45367885</v>
      </c>
      <c r="AT90" s="19">
        <v>377583271.70650476</v>
      </c>
      <c r="AU90" s="19">
        <v>491705571.83326077</v>
      </c>
      <c r="AV90" s="19">
        <v>480859594.11073393</v>
      </c>
      <c r="AW90" s="19">
        <v>495463848.23091322</v>
      </c>
      <c r="AX90" s="19">
        <v>452343189.95761001</v>
      </c>
      <c r="AY90" s="19">
        <v>420925262.98722482</v>
      </c>
      <c r="AZ90" s="19">
        <v>487980105.65842992</v>
      </c>
      <c r="BA90" s="19">
        <v>404717166.9262349</v>
      </c>
      <c r="BB90" s="19">
        <v>431430966.44157529</v>
      </c>
      <c r="BC90" s="19">
        <v>458581180.24225843</v>
      </c>
      <c r="BD90" s="19">
        <v>470169110.31589335</v>
      </c>
      <c r="BE90" s="19">
        <v>542355998.64890516</v>
      </c>
      <c r="BF90" s="19">
        <v>582977726.25751138</v>
      </c>
      <c r="BG90" s="19">
        <v>707662392.87207818</v>
      </c>
      <c r="BH90" s="19">
        <v>699667866.47134018</v>
      </c>
      <c r="BI90" s="19">
        <v>626707578.67839336</v>
      </c>
      <c r="BJ90" s="19">
        <v>761679895.31917346</v>
      </c>
      <c r="BK90" s="19">
        <v>734370044.91119623</v>
      </c>
      <c r="BL90" s="19">
        <v>733960278.97159815</v>
      </c>
      <c r="BM90" s="19">
        <v>654627269.56758714</v>
      </c>
      <c r="BN90" s="19">
        <v>558840318.23411357</v>
      </c>
      <c r="BO90" s="19">
        <v>582625100.94188511</v>
      </c>
      <c r="BP90" s="19">
        <v>600310902.47545981</v>
      </c>
      <c r="BQ90" s="19">
        <v>749047588.92537999</v>
      </c>
      <c r="BR90" s="19">
        <v>707769028.42614067</v>
      </c>
      <c r="BS90" s="19">
        <v>645163202.98791039</v>
      </c>
      <c r="BT90" s="19">
        <v>602229100.86621332</v>
      </c>
      <c r="BU90" s="19">
        <v>517787527.74964857</v>
      </c>
      <c r="BV90" s="19">
        <v>602999072.97216284</v>
      </c>
      <c r="BW90" s="19">
        <v>625133966.49025965</v>
      </c>
      <c r="BX90" s="19">
        <v>641936889.54528415</v>
      </c>
      <c r="BY90" s="19">
        <v>643317196.97341597</v>
      </c>
      <c r="BZ90" s="19">
        <v>637321370.26694489</v>
      </c>
      <c r="CA90" s="19">
        <v>581179916.24320853</v>
      </c>
      <c r="CB90" s="19">
        <v>536158733.49227697</v>
      </c>
      <c r="CC90" s="19">
        <v>660553806.21447778</v>
      </c>
      <c r="CD90" s="19">
        <v>635906291.75438845</v>
      </c>
      <c r="CE90" s="19">
        <v>753928743.32039416</v>
      </c>
      <c r="CF90" s="19">
        <v>833468346.13930035</v>
      </c>
      <c r="CG90" s="19">
        <v>860547658.03417778</v>
      </c>
      <c r="CH90" s="19">
        <v>1104405144.7531533</v>
      </c>
      <c r="CI90" s="19">
        <v>964310996.35563052</v>
      </c>
      <c r="CJ90" s="19">
        <v>948715613.66687286</v>
      </c>
      <c r="CK90" s="19">
        <v>935661039.1804738</v>
      </c>
      <c r="CL90" s="19">
        <v>980591911.23528838</v>
      </c>
      <c r="CM90" s="19">
        <v>811859307.4305625</v>
      </c>
      <c r="CN90" s="19">
        <v>826567916.48509979</v>
      </c>
      <c r="CO90" s="19">
        <v>993263641.87362278</v>
      </c>
      <c r="CP90" s="19">
        <v>1036499716.8221276</v>
      </c>
      <c r="CQ90" s="19">
        <v>1290802136.6394999</v>
      </c>
      <c r="CR90" s="19">
        <v>1373521750.7243001</v>
      </c>
      <c r="CS90" s="19">
        <v>1229079024.6289001</v>
      </c>
      <c r="CT90" s="19">
        <v>1359384956.9045997</v>
      </c>
      <c r="CU90" s="19">
        <f>CT90/CT$83*CU$83</f>
        <v>1252800976.2644479</v>
      </c>
      <c r="CV90" s="19">
        <f t="shared" ref="CV90:DR91" si="319">CU90/CU$83*CV$83</f>
        <v>1264360493.1036003</v>
      </c>
      <c r="CW90" s="19">
        <f t="shared" si="319"/>
        <v>1231284058.9226437</v>
      </c>
      <c r="CX90" s="19">
        <f t="shared" si="319"/>
        <v>1274100145.2099154</v>
      </c>
      <c r="CY90" s="19">
        <f t="shared" si="319"/>
        <v>1169467804.3716173</v>
      </c>
      <c r="CZ90" s="19">
        <f t="shared" si="319"/>
        <v>1104467454.5276449</v>
      </c>
      <c r="DA90" s="19">
        <f t="shared" si="319"/>
        <v>1266611843.0625482</v>
      </c>
      <c r="DB90" s="19">
        <f t="shared" si="319"/>
        <v>1338031614.0168319</v>
      </c>
      <c r="DC90" s="19">
        <f t="shared" si="319"/>
        <v>1560702997.930094</v>
      </c>
      <c r="DD90" s="19">
        <f t="shared" si="319"/>
        <v>1560769516.1163726</v>
      </c>
      <c r="DE90" s="19">
        <f t="shared" si="319"/>
        <v>1450039086.6577485</v>
      </c>
      <c r="DF90" s="19">
        <f t="shared" si="319"/>
        <v>1541799948.3590977</v>
      </c>
      <c r="DG90" s="19">
        <f t="shared" si="319"/>
        <v>1530943352.1201344</v>
      </c>
      <c r="DH90" s="19">
        <f t="shared" si="319"/>
        <v>1546640954.6727378</v>
      </c>
      <c r="DI90" s="19">
        <f t="shared" si="319"/>
        <v>1502825737.7173665</v>
      </c>
      <c r="DJ90" s="19">
        <f t="shared" si="319"/>
        <v>1554664457.9898</v>
      </c>
      <c r="DK90" s="19">
        <f t="shared" si="319"/>
        <v>1425755101.4726791</v>
      </c>
      <c r="DL90" s="19">
        <f t="shared" si="319"/>
        <v>1343408463.9637551</v>
      </c>
      <c r="DM90" s="19">
        <f t="shared" si="319"/>
        <v>1540374078.6691945</v>
      </c>
      <c r="DN90" s="19">
        <f t="shared" si="319"/>
        <v>1626879396.5172803</v>
      </c>
      <c r="DO90" s="19">
        <f t="shared" si="319"/>
        <v>1893985896.9184701</v>
      </c>
      <c r="DP90" s="19">
        <f t="shared" si="319"/>
        <v>1889304493.4827442</v>
      </c>
      <c r="DQ90" s="19">
        <f t="shared" si="319"/>
        <v>1753585110.0882709</v>
      </c>
      <c r="DR90" s="19">
        <f t="shared" si="319"/>
        <v>1853660472.6823745</v>
      </c>
      <c r="DS90" s="19">
        <f t="shared" ref="DS90:DS98" si="320">DR90/DR$83*DS$83</f>
        <v>1793881179.3681412</v>
      </c>
      <c r="DT90" s="19">
        <f t="shared" ref="DT90:DT98" si="321">DS90/DS$83*DT$83</f>
        <v>1812383151.693871</v>
      </c>
      <c r="DU90" s="19">
        <f t="shared" ref="DU90:DU98" si="322">DT90/DT$83*DU$83</f>
        <v>1760093016.9327691</v>
      </c>
      <c r="DV90" s="19">
        <f t="shared" ref="DV90:DV98" si="323">DU90/DU$83*DV$83</f>
        <v>1819302520.7022879</v>
      </c>
      <c r="DW90" s="19">
        <f t="shared" ref="DW90:DW98" si="324">DV90/DV$83*DW$83</f>
        <v>1668456361.5420914</v>
      </c>
      <c r="DX90" s="19">
        <f t="shared" ref="DX90:DX98" si="325">DW90/DW$83*DX$83</f>
        <v>1571661338.3362617</v>
      </c>
      <c r="DY90" s="19">
        <f t="shared" ref="DY90:DY98" si="326">DX90/DX$83*DY$83</f>
        <v>1799970252.2461274</v>
      </c>
      <c r="DZ90" s="19">
        <f t="shared" ref="DZ90:DZ98" si="327">DY90/DY$83*DZ$83</f>
        <v>1904873231.9527595</v>
      </c>
      <c r="EA90" s="19">
        <f t="shared" ref="EA90:EA98" si="328">DZ90/DZ$83*EA$83</f>
        <v>2217044989.3249054</v>
      </c>
      <c r="EB90" s="19">
        <f t="shared" ref="EB90:EB98" si="329">EA90/EA$83*EB$83</f>
        <v>2210558993.5005751</v>
      </c>
      <c r="EC90" s="19">
        <f t="shared" ref="EC90:EC98" si="330">EB90/EB$83*EC$83</f>
        <v>2051415338.7591667</v>
      </c>
      <c r="ED90" s="19">
        <f t="shared" ref="ED90:ED98" si="331">EC90/EC$83*ED$83</f>
        <v>2165446479.0420809</v>
      </c>
      <c r="EE90" s="222"/>
      <c r="EF90" s="19">
        <f t="shared" ref="EF90:EF97" si="332">SUM(BK90:BM90)</f>
        <v>2122957593.4503815</v>
      </c>
      <c r="EG90" s="19">
        <f t="shared" ref="EG90:EG97" si="333">SUM(BN90:BP90)</f>
        <v>1741776321.6514585</v>
      </c>
      <c r="EH90" s="19">
        <f t="shared" ref="EH90:EH97" si="334">SUM(BQ90:BS90)</f>
        <v>2101979820.3394308</v>
      </c>
      <c r="EI90" s="19">
        <f t="shared" ref="EI90:EI97" si="335">SUM(BT90:BV90)</f>
        <v>1723015701.5880246</v>
      </c>
      <c r="EJ90" s="19">
        <f t="shared" ref="EJ90:EJ97" si="336">SUM(BW90:BY90)</f>
        <v>1910388053.0089598</v>
      </c>
      <c r="EK90" s="19">
        <f t="shared" ref="EK90:EK97" si="337">SUM(BZ90:CB90)</f>
        <v>1754660020.0024302</v>
      </c>
      <c r="EL90" s="19">
        <f t="shared" ref="EL90:EL97" si="338">SUM(CC90:CE90)</f>
        <v>2050388841.2892604</v>
      </c>
      <c r="EM90" s="19">
        <f t="shared" ref="EM90:EM97" si="339">SUM(CF90:CH90)</f>
        <v>2798421148.9266315</v>
      </c>
      <c r="EN90" s="19">
        <f t="shared" ref="EN90:EN97" si="340">SUM(CI90:CK90)</f>
        <v>2848687649.2029772</v>
      </c>
      <c r="EO90" s="19">
        <f t="shared" ref="EO90:EO97" si="341">SUM(CL90:CN90)</f>
        <v>2619019135.1509504</v>
      </c>
      <c r="EP90" s="19">
        <f t="shared" ref="EP90:EP97" si="342">SUM(CO90:CQ90)</f>
        <v>3320565495.3352499</v>
      </c>
      <c r="EQ90" s="19">
        <f t="shared" ref="EQ90:EQ97" si="343">SUM(CR90:CT90)</f>
        <v>3961985732.2577996</v>
      </c>
      <c r="ER90" s="19">
        <f t="shared" ref="ER90:ER97" si="344">SUM(CU90:CW90)</f>
        <v>3748445528.2906919</v>
      </c>
      <c r="ES90" s="19">
        <f t="shared" ref="ES90:ES97" si="345">SUM(CX90:CZ90)</f>
        <v>3548035404.1091776</v>
      </c>
      <c r="ET90" s="19">
        <f t="shared" ref="ET90:ET97" si="346">SUM(DA90:DC90)</f>
        <v>4165346455.0094738</v>
      </c>
      <c r="EU90" s="19">
        <f t="shared" ref="EU90:EU97" si="347">SUM(DD90:DF90)</f>
        <v>4552608551.1332188</v>
      </c>
      <c r="EV90" s="19">
        <f t="shared" ref="EV90:EV97" si="348">SUM(DG90:DI90)</f>
        <v>4580410044.5102386</v>
      </c>
      <c r="EW90" s="19">
        <f t="shared" ref="EW90:EW97" si="349">SUM(DJ90:DL90)</f>
        <v>4323828023.4262342</v>
      </c>
      <c r="EX90" s="19">
        <f t="shared" ref="EX90:EX97" si="350">SUM(DM90:DO90)</f>
        <v>5061239372.1049452</v>
      </c>
      <c r="EY90" s="19">
        <f t="shared" ref="EY90:EY97" si="351">SUM(DP90:DR90)</f>
        <v>5496550076.2533894</v>
      </c>
      <c r="EZ90" s="19">
        <f t="shared" si="287"/>
        <v>5366357347.9947815</v>
      </c>
      <c r="FA90" s="19">
        <f t="shared" si="288"/>
        <v>5059420220.5806408</v>
      </c>
      <c r="FB90" s="19">
        <f t="shared" si="289"/>
        <v>5921888473.5237923</v>
      </c>
      <c r="FC90" s="19">
        <f t="shared" si="290"/>
        <v>6427420811.3018227</v>
      </c>
      <c r="FE90" s="19">
        <f t="shared" si="291"/>
        <v>7689729437.029295</v>
      </c>
      <c r="FF90" s="19">
        <f t="shared" si="292"/>
        <v>8513858063.2272816</v>
      </c>
      <c r="FG90" s="19">
        <f t="shared" si="293"/>
        <v>12750258011.946978</v>
      </c>
      <c r="FH90" s="19">
        <f t="shared" si="294"/>
        <v>16014435938.542562</v>
      </c>
      <c r="FI90" s="19">
        <f t="shared" si="295"/>
        <v>19462027516.294807</v>
      </c>
      <c r="FJ90" s="770">
        <f t="shared" si="207"/>
        <v>22775086853.401039</v>
      </c>
      <c r="FK90" s="545" t="s">
        <v>1</v>
      </c>
    </row>
    <row r="91" spans="2:167" x14ac:dyDescent="0.2">
      <c r="B91" s="225" t="s">
        <v>20</v>
      </c>
      <c r="C91" s="19">
        <v>379598</v>
      </c>
      <c r="D91" s="19">
        <v>539953</v>
      </c>
      <c r="E91" s="19">
        <v>466918</v>
      </c>
      <c r="F91" s="19">
        <v>743073</v>
      </c>
      <c r="G91" s="19">
        <v>783337</v>
      </c>
      <c r="H91" s="19">
        <v>629251</v>
      </c>
      <c r="I91" s="19">
        <v>513808</v>
      </c>
      <c r="J91" s="19">
        <v>395503</v>
      </c>
      <c r="K91" s="19">
        <v>783326</v>
      </c>
      <c r="L91" s="19">
        <v>1185981</v>
      </c>
      <c r="M91" s="19">
        <v>2596723</v>
      </c>
      <c r="N91" s="19">
        <v>2593158</v>
      </c>
      <c r="O91" s="19">
        <v>4188887</v>
      </c>
      <c r="P91" s="19">
        <v>4891360</v>
      </c>
      <c r="Q91" s="19">
        <v>3986552.9999999995</v>
      </c>
      <c r="R91" s="19">
        <v>7219505</v>
      </c>
      <c r="S91" s="19">
        <v>5387313</v>
      </c>
      <c r="T91" s="19">
        <v>5165089</v>
      </c>
      <c r="U91" s="19">
        <v>5587508</v>
      </c>
      <c r="V91" s="19">
        <v>3940762.5</v>
      </c>
      <c r="W91" s="19">
        <v>4624751</v>
      </c>
      <c r="X91" s="19">
        <v>5553100</v>
      </c>
      <c r="Y91" s="19">
        <v>6818955.9999999991</v>
      </c>
      <c r="Z91" s="19">
        <v>4116525</v>
      </c>
      <c r="AA91" s="19">
        <v>12250</v>
      </c>
      <c r="AB91" s="19">
        <v>3569813</v>
      </c>
      <c r="AC91" s="19">
        <v>2799927.5180000011</v>
      </c>
      <c r="AD91" s="19">
        <v>2384279.4499999997</v>
      </c>
      <c r="AE91" s="19">
        <v>3648749.6879999996</v>
      </c>
      <c r="AF91" s="19">
        <v>4352580.16599999</v>
      </c>
      <c r="AG91" s="19">
        <v>5743262.2320000101</v>
      </c>
      <c r="AH91" s="19">
        <v>5460704.4591399999</v>
      </c>
      <c r="AI91" s="19">
        <v>6990285.0291259987</v>
      </c>
      <c r="AJ91" s="19">
        <v>8654997.6785779893</v>
      </c>
      <c r="AK91" s="19">
        <v>6590418.7772064349</v>
      </c>
      <c r="AL91" s="19">
        <v>7320373.9657719787</v>
      </c>
      <c r="AM91" s="19">
        <v>5330613.0483905207</v>
      </c>
      <c r="AN91" s="19">
        <v>3197945.7499999986</v>
      </c>
      <c r="AO91" s="19">
        <v>7772605.3088199869</v>
      </c>
      <c r="AP91" s="19">
        <v>10140086.38249643</v>
      </c>
      <c r="AQ91" s="19">
        <v>12447611</v>
      </c>
      <c r="AR91" s="19">
        <v>12780776.583389269</v>
      </c>
      <c r="AS91" s="19">
        <v>13660893.776477478</v>
      </c>
      <c r="AT91" s="19">
        <v>14228488.919115119</v>
      </c>
      <c r="AU91" s="19">
        <v>18670647.964234572</v>
      </c>
      <c r="AV91" s="19">
        <v>23225104.64481011</v>
      </c>
      <c r="AW91" s="19">
        <v>26262855.475474488</v>
      </c>
      <c r="AX91" s="19">
        <v>24348564</v>
      </c>
      <c r="AY91" s="19">
        <v>15787778.21804028</v>
      </c>
      <c r="AZ91" s="19">
        <v>19883585.64410999</v>
      </c>
      <c r="BA91" s="19">
        <v>23255845.088930853</v>
      </c>
      <c r="BB91" s="19">
        <v>18675306.99623356</v>
      </c>
      <c r="BC91" s="19">
        <v>14809922.53430677</v>
      </c>
      <c r="BD91" s="19">
        <v>13357541.561315257</v>
      </c>
      <c r="BE91" s="19">
        <v>13866621.691333871</v>
      </c>
      <c r="BF91" s="19">
        <v>12982893.67380238</v>
      </c>
      <c r="BG91" s="19">
        <v>18553844.09844752</v>
      </c>
      <c r="BH91" s="19">
        <v>15226808.971416935</v>
      </c>
      <c r="BI91" s="19">
        <v>13432058.330072854</v>
      </c>
      <c r="BJ91" s="19">
        <v>20423388.423913598</v>
      </c>
      <c r="BK91" s="19">
        <v>20667655.72059333</v>
      </c>
      <c r="BL91" s="19">
        <v>21420450.836610276</v>
      </c>
      <c r="BM91" s="19">
        <v>21887453.001303032</v>
      </c>
      <c r="BN91" s="19">
        <v>15225125.741187131</v>
      </c>
      <c r="BO91" s="19">
        <v>24196174.112465598</v>
      </c>
      <c r="BP91" s="19">
        <v>24687159.498243816</v>
      </c>
      <c r="BQ91" s="19">
        <v>31255104.55644051</v>
      </c>
      <c r="BR91" s="19">
        <v>31019515.956271283</v>
      </c>
      <c r="BS91" s="19">
        <v>31228368.479492314</v>
      </c>
      <c r="BT91" s="19">
        <v>34840937.58949165</v>
      </c>
      <c r="BU91" s="19">
        <v>28316926.126271181</v>
      </c>
      <c r="BV91" s="19">
        <v>37956426.855932206</v>
      </c>
      <c r="BW91" s="19">
        <v>34649627.347288318</v>
      </c>
      <c r="BX91" s="19">
        <v>35659446.728305094</v>
      </c>
      <c r="BY91" s="19">
        <v>40904614.927796647</v>
      </c>
      <c r="BZ91" s="19">
        <v>43615763.304915309</v>
      </c>
      <c r="CA91" s="19">
        <v>37728043.264101692</v>
      </c>
      <c r="CB91" s="19">
        <v>35916607.464915432</v>
      </c>
      <c r="CC91" s="19">
        <v>32692270.536271129</v>
      </c>
      <c r="CD91" s="19">
        <v>29591537.496271133</v>
      </c>
      <c r="CE91" s="19">
        <v>37158787.873220697</v>
      </c>
      <c r="CF91" s="19">
        <v>40082721.574067771</v>
      </c>
      <c r="CG91" s="19">
        <v>36802503.286631078</v>
      </c>
      <c r="CH91" s="19">
        <v>52728946.870463014</v>
      </c>
      <c r="CI91" s="19">
        <v>43891157.267512873</v>
      </c>
      <c r="CJ91" s="19">
        <v>41210869.452614196</v>
      </c>
      <c r="CK91" s="19">
        <v>43732864.558106959</v>
      </c>
      <c r="CL91" s="19">
        <v>51304010.211864397</v>
      </c>
      <c r="CM91" s="19">
        <v>48945226.194915332</v>
      </c>
      <c r="CN91" s="19">
        <v>53313484.338983007</v>
      </c>
      <c r="CO91" s="19">
        <v>54339749.788135543</v>
      </c>
      <c r="CP91" s="19">
        <v>47409495.881355956</v>
      </c>
      <c r="CQ91" s="19">
        <v>72349159.550847486</v>
      </c>
      <c r="CR91" s="19">
        <v>85281988.500000075</v>
      </c>
      <c r="CS91" s="19">
        <v>81014311.373448476</v>
      </c>
      <c r="CT91" s="19">
        <v>94371174.658200651</v>
      </c>
      <c r="CU91" s="19">
        <f>CT91/CT$83*CU$83</f>
        <v>86971905.303578883</v>
      </c>
      <c r="CV91" s="19">
        <f t="shared" si="319"/>
        <v>87774389.674949348</v>
      </c>
      <c r="CW91" s="19">
        <f t="shared" si="319"/>
        <v>85478158.624791726</v>
      </c>
      <c r="CX91" s="19">
        <f t="shared" si="319"/>
        <v>88450535.460855454</v>
      </c>
      <c r="CY91" s="19">
        <f t="shared" si="319"/>
        <v>81186752.775903776</v>
      </c>
      <c r="CZ91" s="19">
        <f t="shared" si="319"/>
        <v>76674300.775598034</v>
      </c>
      <c r="DA91" s="19">
        <f t="shared" si="319"/>
        <v>87930682.812602118</v>
      </c>
      <c r="DB91" s="19">
        <f t="shared" si="319"/>
        <v>92888783.639407426</v>
      </c>
      <c r="DC91" s="19">
        <f t="shared" si="319"/>
        <v>108347068.62036771</v>
      </c>
      <c r="DD91" s="19">
        <f t="shared" si="319"/>
        <v>108351686.44355559</v>
      </c>
      <c r="DE91" s="19">
        <f t="shared" si="319"/>
        <v>100664562.46492034</v>
      </c>
      <c r="DF91" s="19">
        <f t="shared" si="319"/>
        <v>107034781.77801573</v>
      </c>
      <c r="DG91" s="19">
        <f t="shared" si="319"/>
        <v>106281095.53582446</v>
      </c>
      <c r="DH91" s="19">
        <f t="shared" si="319"/>
        <v>107370853.94802581</v>
      </c>
      <c r="DI91" s="19">
        <f t="shared" si="319"/>
        <v>104329115.49786837</v>
      </c>
      <c r="DJ91" s="19">
        <f t="shared" si="319"/>
        <v>107927861.31305452</v>
      </c>
      <c r="DK91" s="19">
        <f t="shared" si="319"/>
        <v>98978720.499657094</v>
      </c>
      <c r="DL91" s="19">
        <f t="shared" si="319"/>
        <v>93262055.127277538</v>
      </c>
      <c r="DM91" s="19">
        <f t="shared" si="319"/>
        <v>106935795.10256207</v>
      </c>
      <c r="DN91" s="19">
        <f t="shared" si="319"/>
        <v>112941164.23515414</v>
      </c>
      <c r="DO91" s="19">
        <f t="shared" si="319"/>
        <v>131484222.30981433</v>
      </c>
      <c r="DP91" s="19">
        <f t="shared" si="319"/>
        <v>131159230.08518036</v>
      </c>
      <c r="DQ91" s="19">
        <f t="shared" si="319"/>
        <v>121737323.8254644</v>
      </c>
      <c r="DR91" s="19">
        <f t="shared" si="319"/>
        <v>128684752.12705161</v>
      </c>
      <c r="DS91" s="19">
        <f t="shared" si="320"/>
        <v>124534756.12948869</v>
      </c>
      <c r="DT91" s="19">
        <f t="shared" si="321"/>
        <v>125819199.40142876</v>
      </c>
      <c r="DU91" s="19">
        <f t="shared" si="322"/>
        <v>122189115.50548998</v>
      </c>
      <c r="DV91" s="19">
        <f t="shared" si="323"/>
        <v>126299555.5933236</v>
      </c>
      <c r="DW91" s="19">
        <f t="shared" si="324"/>
        <v>115827518.83852473</v>
      </c>
      <c r="DX91" s="19">
        <f t="shared" si="325"/>
        <v>109107818.14255552</v>
      </c>
      <c r="DY91" s="19">
        <f t="shared" si="326"/>
        <v>124957471.53262469</v>
      </c>
      <c r="DZ91" s="19">
        <f t="shared" si="327"/>
        <v>132240042.49957341</v>
      </c>
      <c r="EA91" s="19">
        <f t="shared" si="328"/>
        <v>153911619.2583794</v>
      </c>
      <c r="EB91" s="19">
        <f t="shared" si="329"/>
        <v>153461348.68442515</v>
      </c>
      <c r="EC91" s="19">
        <f t="shared" si="330"/>
        <v>142413283.48327416</v>
      </c>
      <c r="ED91" s="19">
        <f t="shared" si="331"/>
        <v>150329549.29264185</v>
      </c>
      <c r="EE91" s="222"/>
      <c r="EF91" s="19">
        <f t="shared" si="332"/>
        <v>63975559.558506638</v>
      </c>
      <c r="EG91" s="19">
        <f t="shared" si="333"/>
        <v>64108459.351896547</v>
      </c>
      <c r="EH91" s="19">
        <f t="shared" si="334"/>
        <v>93502988.9922041</v>
      </c>
      <c r="EI91" s="19">
        <f t="shared" si="335"/>
        <v>101114290.57169503</v>
      </c>
      <c r="EJ91" s="19">
        <f t="shared" si="336"/>
        <v>111213689.00339006</v>
      </c>
      <c r="EK91" s="19">
        <f t="shared" si="337"/>
        <v>117260414.03393242</v>
      </c>
      <c r="EL91" s="19">
        <f t="shared" si="338"/>
        <v>99442595.905762956</v>
      </c>
      <c r="EM91" s="19">
        <f t="shared" si="339"/>
        <v>129614171.73116186</v>
      </c>
      <c r="EN91" s="19">
        <f t="shared" si="340"/>
        <v>128834891.27823403</v>
      </c>
      <c r="EO91" s="19">
        <f t="shared" si="341"/>
        <v>153562720.74576274</v>
      </c>
      <c r="EP91" s="19">
        <f t="shared" si="342"/>
        <v>174098405.220339</v>
      </c>
      <c r="EQ91" s="19">
        <f t="shared" si="343"/>
        <v>260667474.5316492</v>
      </c>
      <c r="ER91" s="19">
        <f t="shared" si="344"/>
        <v>260224453.60331994</v>
      </c>
      <c r="ES91" s="19">
        <f t="shared" si="345"/>
        <v>246311589.01235729</v>
      </c>
      <c r="ET91" s="19">
        <f t="shared" si="346"/>
        <v>289166535.07237726</v>
      </c>
      <c r="EU91" s="19">
        <f t="shared" si="347"/>
        <v>316051030.68649167</v>
      </c>
      <c r="EV91" s="19">
        <f t="shared" si="348"/>
        <v>317981064.98171866</v>
      </c>
      <c r="EW91" s="19">
        <f t="shared" si="349"/>
        <v>300168636.93998915</v>
      </c>
      <c r="EX91" s="19">
        <f t="shared" si="350"/>
        <v>351361181.64753056</v>
      </c>
      <c r="EY91" s="19">
        <f t="shared" si="351"/>
        <v>381581306.03769636</v>
      </c>
      <c r="EZ91" s="19">
        <f t="shared" si="287"/>
        <v>372543071.03640747</v>
      </c>
      <c r="FA91" s="19">
        <f t="shared" si="288"/>
        <v>351234892.57440388</v>
      </c>
      <c r="FB91" s="19">
        <f t="shared" si="289"/>
        <v>411109133.29057753</v>
      </c>
      <c r="FC91" s="19">
        <f t="shared" si="290"/>
        <v>446204181.46034122</v>
      </c>
      <c r="FE91" s="19">
        <f t="shared" si="291"/>
        <v>322701298.47430229</v>
      </c>
      <c r="FF91" s="19">
        <f t="shared" si="292"/>
        <v>457530870.67424726</v>
      </c>
      <c r="FG91" s="19">
        <f t="shared" si="293"/>
        <v>717163491.775985</v>
      </c>
      <c r="FH91" s="19">
        <f t="shared" si="294"/>
        <v>1111753608.3745463</v>
      </c>
      <c r="FI91" s="19">
        <f t="shared" si="295"/>
        <v>1351092189.6069348</v>
      </c>
      <c r="FJ91" s="770">
        <f t="shared" si="207"/>
        <v>1581091278.3617301</v>
      </c>
      <c r="FK91" s="545" t="s">
        <v>1</v>
      </c>
    </row>
    <row r="92" spans="2:167" x14ac:dyDescent="0.2">
      <c r="B92" s="225" t="s">
        <v>21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0</v>
      </c>
      <c r="BM92" s="19">
        <v>0</v>
      </c>
      <c r="BN92" s="19">
        <v>0</v>
      </c>
      <c r="BO92" s="19">
        <v>0</v>
      </c>
      <c r="BP92" s="19">
        <v>0</v>
      </c>
      <c r="BQ92" s="19">
        <v>-2373549.1181329801</v>
      </c>
      <c r="BR92" s="19">
        <v>-3431435.3824443598</v>
      </c>
      <c r="BS92" s="19">
        <v>-5125023.6416100953</v>
      </c>
      <c r="BT92" s="19">
        <v>-7083550</v>
      </c>
      <c r="BU92" s="19">
        <v>-5449308.3237917451</v>
      </c>
      <c r="BV92" s="19">
        <v>-3157680.9159807418</v>
      </c>
      <c r="BW92" s="19">
        <v>-2305770.3426865875</v>
      </c>
      <c r="BX92" s="19">
        <v>-3240183</v>
      </c>
      <c r="BY92" s="19">
        <v>-3725761.5788141801</v>
      </c>
      <c r="BZ92" s="19">
        <v>-5584959</v>
      </c>
      <c r="CA92" s="19">
        <v>-4195543</v>
      </c>
      <c r="CB92" s="19">
        <v>-4673576.7204873962</v>
      </c>
      <c r="CC92" s="19">
        <v>-4700421</v>
      </c>
      <c r="CD92" s="19">
        <v>-3237513.5578047899</v>
      </c>
      <c r="CE92" s="19">
        <v>-3231083</v>
      </c>
      <c r="CF92" s="19">
        <v>-2940546.1807626099</v>
      </c>
      <c r="CG92" s="19">
        <v>-2373473.2746713846</v>
      </c>
      <c r="CH92" s="19">
        <v>-4750933.3566312408</v>
      </c>
      <c r="CI92" s="19">
        <v>-3893397.474789795</v>
      </c>
      <c r="CJ92" s="19">
        <v>-3971325.7649152544</v>
      </c>
      <c r="CK92" s="19">
        <v>-4222781.1186440699</v>
      </c>
      <c r="CL92" s="19">
        <v>-5264748</v>
      </c>
      <c r="CM92" s="19">
        <v>-5169465</v>
      </c>
      <c r="CN92" s="19">
        <v>-6401161</v>
      </c>
      <c r="CO92" s="19">
        <v>-5508032</v>
      </c>
      <c r="CP92" s="19">
        <v>-4777393</v>
      </c>
      <c r="CQ92" s="19">
        <v>-5456838</v>
      </c>
      <c r="CR92" s="19">
        <v>-5140813</v>
      </c>
      <c r="CS92" s="19">
        <v>-5008114</v>
      </c>
      <c r="CT92" s="19">
        <v>-6917477</v>
      </c>
      <c r="CU92" s="19">
        <f t="shared" ref="CU92:DR92" si="352">CT92/CT$83*CU$83</f>
        <v>-6375105.0759163667</v>
      </c>
      <c r="CV92" s="19">
        <f t="shared" si="352"/>
        <v>-6433927.7747109961</v>
      </c>
      <c r="CW92" s="19">
        <f t="shared" si="352"/>
        <v>-6265612.3379933601</v>
      </c>
      <c r="CX92" s="19">
        <f t="shared" si="352"/>
        <v>-6483489.7616163464</v>
      </c>
      <c r="CY92" s="19">
        <f t="shared" si="352"/>
        <v>-5951049.110769948</v>
      </c>
      <c r="CZ92" s="19">
        <f t="shared" si="352"/>
        <v>-5620283.0369261652</v>
      </c>
      <c r="DA92" s="19">
        <f t="shared" si="352"/>
        <v>-6445384.1774620116</v>
      </c>
      <c r="DB92" s="19">
        <f t="shared" si="352"/>
        <v>-6808816.6403653044</v>
      </c>
      <c r="DC92" s="19">
        <f t="shared" si="352"/>
        <v>-7941920.3789012739</v>
      </c>
      <c r="DD92" s="19">
        <f t="shared" si="352"/>
        <v>-7942258.8687612126</v>
      </c>
      <c r="DE92" s="19">
        <f t="shared" si="352"/>
        <v>-7378786.9875331558</v>
      </c>
      <c r="DF92" s="19">
        <f t="shared" si="352"/>
        <v>-7845728.7813901631</v>
      </c>
      <c r="DG92" s="19">
        <f t="shared" si="352"/>
        <v>-7790483.0216075014</v>
      </c>
      <c r="DH92" s="19">
        <f t="shared" si="352"/>
        <v>-7870363.12036925</v>
      </c>
      <c r="DI92" s="19">
        <f t="shared" si="352"/>
        <v>-7647401.4390593823</v>
      </c>
      <c r="DJ92" s="19">
        <f t="shared" si="352"/>
        <v>-7911192.1727824695</v>
      </c>
      <c r="DK92" s="19">
        <f t="shared" si="352"/>
        <v>-7255213.5228329375</v>
      </c>
      <c r="DL92" s="19">
        <f t="shared" si="352"/>
        <v>-6836177.7168958159</v>
      </c>
      <c r="DM92" s="19">
        <f t="shared" si="352"/>
        <v>-7838472.9847633103</v>
      </c>
      <c r="DN92" s="19">
        <f t="shared" si="352"/>
        <v>-8278670.9901571702</v>
      </c>
      <c r="DO92" s="19">
        <f t="shared" si="352"/>
        <v>-9637890.8812489863</v>
      </c>
      <c r="DP92" s="19">
        <f t="shared" si="352"/>
        <v>-9614068.7104725093</v>
      </c>
      <c r="DQ92" s="19">
        <f t="shared" si="352"/>
        <v>-8923436.003146369</v>
      </c>
      <c r="DR92" s="19">
        <f t="shared" si="352"/>
        <v>-9432687.6433791034</v>
      </c>
      <c r="DS92" s="19">
        <f t="shared" si="320"/>
        <v>-9128489.8629953358</v>
      </c>
      <c r="DT92" s="19">
        <f t="shared" si="321"/>
        <v>-9222640.5061724577</v>
      </c>
      <c r="DU92" s="19">
        <f t="shared" si="322"/>
        <v>-8956552.6679191403</v>
      </c>
      <c r="DV92" s="19">
        <f t="shared" si="323"/>
        <v>-9257850.9708220195</v>
      </c>
      <c r="DW92" s="19">
        <f t="shared" si="324"/>
        <v>-8490242.9204099756</v>
      </c>
      <c r="DX92" s="19">
        <f t="shared" si="325"/>
        <v>-7997683.8823392158</v>
      </c>
      <c r="DY92" s="19">
        <f t="shared" si="326"/>
        <v>-9159475.2151362803</v>
      </c>
      <c r="DZ92" s="19">
        <f t="shared" si="327"/>
        <v>-9693293.0609689113</v>
      </c>
      <c r="EA92" s="19">
        <f t="shared" si="328"/>
        <v>-11281835.68879714</v>
      </c>
      <c r="EB92" s="19">
        <f t="shared" si="329"/>
        <v>-11248830.522226028</v>
      </c>
      <c r="EC92" s="19">
        <f t="shared" si="330"/>
        <v>-10438999.160051487</v>
      </c>
      <c r="ED92" s="19">
        <f t="shared" si="331"/>
        <v>-11019267.307189876</v>
      </c>
      <c r="EE92" s="222"/>
      <c r="EF92" s="19">
        <f t="shared" si="332"/>
        <v>0</v>
      </c>
      <c r="EG92" s="19">
        <f t="shared" si="333"/>
        <v>0</v>
      </c>
      <c r="EH92" s="19">
        <f t="shared" si="334"/>
        <v>-10930008.142187435</v>
      </c>
      <c r="EI92" s="19">
        <f t="shared" si="335"/>
        <v>-15690539.239772487</v>
      </c>
      <c r="EJ92" s="19">
        <f t="shared" si="336"/>
        <v>-9271714.9215007685</v>
      </c>
      <c r="EK92" s="19">
        <f t="shared" si="337"/>
        <v>-14454078.720487397</v>
      </c>
      <c r="EL92" s="19">
        <f t="shared" si="338"/>
        <v>-11169017.557804789</v>
      </c>
      <c r="EM92" s="19">
        <f t="shared" si="339"/>
        <v>-10064952.812065236</v>
      </c>
      <c r="EN92" s="19">
        <f t="shared" si="340"/>
        <v>-12087504.358349118</v>
      </c>
      <c r="EO92" s="19">
        <f t="shared" si="341"/>
        <v>-16835374</v>
      </c>
      <c r="EP92" s="19">
        <f t="shared" si="342"/>
        <v>-15742263</v>
      </c>
      <c r="EQ92" s="19">
        <f t="shared" si="343"/>
        <v>-17066404</v>
      </c>
      <c r="ER92" s="19">
        <f t="shared" si="344"/>
        <v>-19074645.188620724</v>
      </c>
      <c r="ES92" s="19">
        <f t="shared" si="345"/>
        <v>-18054821.909312461</v>
      </c>
      <c r="ET92" s="19">
        <f t="shared" si="346"/>
        <v>-21196121.196728591</v>
      </c>
      <c r="EU92" s="19">
        <f t="shared" si="347"/>
        <v>-23166774.637684532</v>
      </c>
      <c r="EV92" s="19">
        <f t="shared" si="348"/>
        <v>-23308247.581036136</v>
      </c>
      <c r="EW92" s="19">
        <f t="shared" si="349"/>
        <v>-22002583.412511222</v>
      </c>
      <c r="EX92" s="19">
        <f t="shared" si="350"/>
        <v>-25755034.85616947</v>
      </c>
      <c r="EY92" s="19">
        <f t="shared" si="351"/>
        <v>-27970192.356997982</v>
      </c>
      <c r="EZ92" s="19">
        <f t="shared" si="287"/>
        <v>-27307683.037086934</v>
      </c>
      <c r="FA92" s="19">
        <f t="shared" si="288"/>
        <v>-25745777.773571212</v>
      </c>
      <c r="FB92" s="19">
        <f t="shared" si="289"/>
        <v>-30134603.964902334</v>
      </c>
      <c r="FC92" s="19">
        <f t="shared" si="290"/>
        <v>-32707096.98946739</v>
      </c>
      <c r="FE92" s="19">
        <f t="shared" si="291"/>
        <v>-26620547.381959923</v>
      </c>
      <c r="FF92" s="19">
        <f t="shared" si="292"/>
        <v>-44959764.011858188</v>
      </c>
      <c r="FG92" s="19">
        <f t="shared" si="293"/>
        <v>-61731545.358349115</v>
      </c>
      <c r="FH92" s="19">
        <f t="shared" si="294"/>
        <v>-81492362.932346314</v>
      </c>
      <c r="FI92" s="19">
        <f t="shared" si="295"/>
        <v>-99036058.206714809</v>
      </c>
      <c r="FJ92" s="770">
        <f t="shared" si="207"/>
        <v>-115895161.76502785</v>
      </c>
      <c r="FK92" s="545" t="s">
        <v>1</v>
      </c>
    </row>
    <row r="93" spans="2:167" x14ac:dyDescent="0.2">
      <c r="B93" s="225" t="s">
        <v>22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0</v>
      </c>
      <c r="BD93" s="19">
        <v>4791928</v>
      </c>
      <c r="BE93" s="19">
        <v>4406906.3900000006</v>
      </c>
      <c r="BF93" s="19">
        <v>3968428</v>
      </c>
      <c r="BG93" s="19">
        <v>4563802</v>
      </c>
      <c r="BH93" s="19">
        <v>3063802</v>
      </c>
      <c r="BI93" s="19">
        <v>6837163</v>
      </c>
      <c r="BJ93" s="19">
        <v>5617449</v>
      </c>
      <c r="BK93" s="19">
        <v>6829844</v>
      </c>
      <c r="BL93" s="19">
        <v>10122117</v>
      </c>
      <c r="BM93" s="19">
        <v>9171795</v>
      </c>
      <c r="BN93" s="19">
        <v>8917964</v>
      </c>
      <c r="BO93" s="19">
        <v>10010466</v>
      </c>
      <c r="BP93" s="19">
        <v>4910106</v>
      </c>
      <c r="BQ93" s="19">
        <v>10377180.560000001</v>
      </c>
      <c r="BR93" s="19">
        <v>8640146</v>
      </c>
      <c r="BS93" s="19">
        <v>5834919.0000000009</v>
      </c>
      <c r="BT93" s="19">
        <v>6204356</v>
      </c>
      <c r="BU93" s="19">
        <v>6471005</v>
      </c>
      <c r="BV93" s="19">
        <v>7034157.0000000009</v>
      </c>
      <c r="BW93" s="19">
        <v>5528346</v>
      </c>
      <c r="BX93" s="19">
        <v>3805292.9999999995</v>
      </c>
      <c r="BY93" s="19">
        <v>5489007</v>
      </c>
      <c r="BZ93" s="19">
        <v>2165791</v>
      </c>
      <c r="CA93" s="19">
        <v>2172027</v>
      </c>
      <c r="CB93" s="19">
        <v>2100379.9999999995</v>
      </c>
      <c r="CC93" s="19">
        <v>4317999</v>
      </c>
      <c r="CD93" s="19">
        <v>2464681</v>
      </c>
      <c r="CE93" s="19">
        <v>3412038</v>
      </c>
      <c r="CF93" s="19">
        <v>3562908</v>
      </c>
      <c r="CG93" s="19">
        <v>4706328</v>
      </c>
      <c r="CH93" s="19">
        <v>4393442.9999999991</v>
      </c>
      <c r="CI93" s="19">
        <v>4582087.0000000009</v>
      </c>
      <c r="CJ93" s="19">
        <v>4010453</v>
      </c>
      <c r="CK93" s="19">
        <v>3367117</v>
      </c>
      <c r="CL93" s="19">
        <v>5142059.87</v>
      </c>
      <c r="CM93" s="19">
        <v>4393569.9000000004</v>
      </c>
      <c r="CN93" s="19">
        <v>4546690.0663019996</v>
      </c>
      <c r="CO93" s="19">
        <v>2308600.89</v>
      </c>
      <c r="CP93" s="19">
        <v>3098591.6500000004</v>
      </c>
      <c r="CQ93" s="19">
        <v>3179281.0252108518</v>
      </c>
      <c r="CR93" s="19">
        <v>6107987.6903972942</v>
      </c>
      <c r="CS93" s="19">
        <v>5895484.0099999988</v>
      </c>
      <c r="CT93" s="19">
        <v>7037669.6957489997</v>
      </c>
      <c r="CU93" s="19">
        <f t="shared" ref="CU93:DR93" si="353">CT93/CT$83*CU$83</f>
        <v>6485873.9392978456</v>
      </c>
      <c r="CV93" s="19">
        <f t="shared" si="353"/>
        <v>6545718.6955188103</v>
      </c>
      <c r="CW93" s="19">
        <f t="shared" si="353"/>
        <v>6374478.7407904519</v>
      </c>
      <c r="CX93" s="19">
        <f t="shared" si="353"/>
        <v>6596141.8329292992</v>
      </c>
      <c r="CY93" s="19">
        <f t="shared" si="353"/>
        <v>6054449.9077885905</v>
      </c>
      <c r="CZ93" s="19">
        <f t="shared" si="353"/>
        <v>5717936.7001158707</v>
      </c>
      <c r="DA93" s="19">
        <f t="shared" si="353"/>
        <v>6557374.1558062993</v>
      </c>
      <c r="DB93" s="19">
        <f t="shared" si="353"/>
        <v>6927121.3382871272</v>
      </c>
      <c r="DC93" s="19">
        <f t="shared" si="353"/>
        <v>8079913.0053695757</v>
      </c>
      <c r="DD93" s="19">
        <f t="shared" si="353"/>
        <v>8080257.3765658373</v>
      </c>
      <c r="DE93" s="19">
        <f t="shared" si="353"/>
        <v>7506995.0465392433</v>
      </c>
      <c r="DF93" s="19">
        <f t="shared" si="353"/>
        <v>7982050.0575361913</v>
      </c>
      <c r="DG93" s="19">
        <f t="shared" si="353"/>
        <v>7925844.3904351564</v>
      </c>
      <c r="DH93" s="19">
        <f t="shared" si="353"/>
        <v>8007112.4236138714</v>
      </c>
      <c r="DI93" s="19">
        <f t="shared" si="353"/>
        <v>7780276.7336841896</v>
      </c>
      <c r="DJ93" s="19">
        <f t="shared" si="353"/>
        <v>8048650.8898602594</v>
      </c>
      <c r="DK93" s="19">
        <f t="shared" si="353"/>
        <v>7381274.4655066738</v>
      </c>
      <c r="DL93" s="19">
        <f t="shared" si="353"/>
        <v>6954957.8195854165</v>
      </c>
      <c r="DM93" s="19">
        <f t="shared" si="353"/>
        <v>7974668.1898351032</v>
      </c>
      <c r="DN93" s="19">
        <f t="shared" si="353"/>
        <v>8422514.7331180833</v>
      </c>
      <c r="DO93" s="19">
        <f t="shared" si="353"/>
        <v>9805351.3710131031</v>
      </c>
      <c r="DP93" s="19">
        <f t="shared" si="353"/>
        <v>9781115.2847405262</v>
      </c>
      <c r="DQ93" s="19">
        <f t="shared" si="353"/>
        <v>9078482.6810842715</v>
      </c>
      <c r="DR93" s="19">
        <f t="shared" si="353"/>
        <v>9596582.6814133506</v>
      </c>
      <c r="DS93" s="19">
        <f t="shared" si="320"/>
        <v>9287099.3971868977</v>
      </c>
      <c r="DT93" s="19">
        <f t="shared" si="321"/>
        <v>9382885.9286524747</v>
      </c>
      <c r="DU93" s="19">
        <f t="shared" si="322"/>
        <v>9112174.755245937</v>
      </c>
      <c r="DV93" s="19">
        <f t="shared" si="323"/>
        <v>9418708.1829277631</v>
      </c>
      <c r="DW93" s="19">
        <f t="shared" si="324"/>
        <v>8637762.7725421842</v>
      </c>
      <c r="DX93" s="19">
        <f t="shared" si="325"/>
        <v>8136645.4120366313</v>
      </c>
      <c r="DY93" s="19">
        <f t="shared" si="326"/>
        <v>9318623.1266874708</v>
      </c>
      <c r="DZ93" s="19">
        <f t="shared" si="327"/>
        <v>9861716.1758824755</v>
      </c>
      <c r="EA93" s="19">
        <f t="shared" si="328"/>
        <v>11477860.083881335</v>
      </c>
      <c r="EB93" s="19">
        <f t="shared" si="329"/>
        <v>11444281.44522729</v>
      </c>
      <c r="EC93" s="19">
        <f t="shared" si="330"/>
        <v>10620379.083680889</v>
      </c>
      <c r="ED93" s="19">
        <f t="shared" si="331"/>
        <v>11210729.518459966</v>
      </c>
      <c r="EE93" s="222"/>
      <c r="EF93" s="19">
        <f t="shared" si="332"/>
        <v>26123756</v>
      </c>
      <c r="EG93" s="19">
        <f t="shared" si="333"/>
        <v>23838536</v>
      </c>
      <c r="EH93" s="19">
        <f t="shared" si="334"/>
        <v>24852245.560000002</v>
      </c>
      <c r="EI93" s="19">
        <f t="shared" si="335"/>
        <v>19709518</v>
      </c>
      <c r="EJ93" s="19">
        <f t="shared" si="336"/>
        <v>14822646</v>
      </c>
      <c r="EK93" s="19">
        <f t="shared" si="337"/>
        <v>6438198</v>
      </c>
      <c r="EL93" s="19">
        <f t="shared" si="338"/>
        <v>10194718</v>
      </c>
      <c r="EM93" s="19">
        <f t="shared" si="339"/>
        <v>12662679</v>
      </c>
      <c r="EN93" s="19">
        <f t="shared" si="340"/>
        <v>11959657</v>
      </c>
      <c r="EO93" s="19">
        <f t="shared" si="341"/>
        <v>14082319.836301999</v>
      </c>
      <c r="EP93" s="19">
        <f t="shared" si="342"/>
        <v>8586473.5652108528</v>
      </c>
      <c r="EQ93" s="19">
        <f t="shared" si="343"/>
        <v>19041141.396146294</v>
      </c>
      <c r="ER93" s="19">
        <f t="shared" si="344"/>
        <v>19406071.375607107</v>
      </c>
      <c r="ES93" s="19">
        <f t="shared" si="345"/>
        <v>18368528.440833762</v>
      </c>
      <c r="ET93" s="19">
        <f t="shared" si="346"/>
        <v>21564408.499462999</v>
      </c>
      <c r="EU93" s="19">
        <f t="shared" si="347"/>
        <v>23569302.480641272</v>
      </c>
      <c r="EV93" s="19">
        <f t="shared" si="348"/>
        <v>23713233.547733217</v>
      </c>
      <c r="EW93" s="19">
        <f t="shared" si="349"/>
        <v>22384883.174952351</v>
      </c>
      <c r="EX93" s="19">
        <f t="shared" si="350"/>
        <v>26202534.29396629</v>
      </c>
      <c r="EY93" s="19">
        <f t="shared" si="351"/>
        <v>28456180.64723815</v>
      </c>
      <c r="EZ93" s="19">
        <f t="shared" si="287"/>
        <v>27782160.081085309</v>
      </c>
      <c r="FA93" s="19">
        <f t="shared" si="288"/>
        <v>26193116.367506579</v>
      </c>
      <c r="FB93" s="19">
        <f t="shared" si="289"/>
        <v>30658199.386451282</v>
      </c>
      <c r="FC93" s="19">
        <f t="shared" si="290"/>
        <v>33275390.047368146</v>
      </c>
      <c r="FE93" s="19">
        <f t="shared" si="291"/>
        <v>94524055.560000002</v>
      </c>
      <c r="FF93" s="19">
        <f t="shared" si="292"/>
        <v>44118241</v>
      </c>
      <c r="FG93" s="19">
        <f t="shared" si="293"/>
        <v>53669591.797659144</v>
      </c>
      <c r="FH93" s="19">
        <f t="shared" si="294"/>
        <v>82908310.796545133</v>
      </c>
      <c r="FI93" s="19">
        <f t="shared" si="295"/>
        <v>100756831.66389</v>
      </c>
      <c r="FJ93" s="770">
        <f t="shared" si="207"/>
        <v>117908865.8824113</v>
      </c>
      <c r="FK93" s="545" t="s">
        <v>1</v>
      </c>
    </row>
    <row r="94" spans="2:167" x14ac:dyDescent="0.2">
      <c r="B94" s="225" t="s">
        <v>24</v>
      </c>
      <c r="C94" s="19">
        <v>3490350</v>
      </c>
      <c r="D94" s="19">
        <v>3037241</v>
      </c>
      <c r="E94" s="19">
        <v>3828263</v>
      </c>
      <c r="F94" s="19">
        <v>5413662</v>
      </c>
      <c r="G94" s="19">
        <v>6988558</v>
      </c>
      <c r="H94" s="19">
        <v>6774377</v>
      </c>
      <c r="I94" s="19">
        <v>8388510</v>
      </c>
      <c r="J94" s="19">
        <v>8536467</v>
      </c>
      <c r="K94" s="19">
        <v>8199188</v>
      </c>
      <c r="L94" s="19">
        <v>8648627</v>
      </c>
      <c r="M94" s="19">
        <v>8711691</v>
      </c>
      <c r="N94" s="19">
        <v>9053124</v>
      </c>
      <c r="O94" s="19">
        <v>9352106</v>
      </c>
      <c r="P94" s="19">
        <v>9906684</v>
      </c>
      <c r="Q94" s="19">
        <v>10483980</v>
      </c>
      <c r="R94" s="19">
        <v>10454011</v>
      </c>
      <c r="S94" s="19">
        <v>8364847</v>
      </c>
      <c r="T94" s="19">
        <v>8753182</v>
      </c>
      <c r="U94" s="19">
        <v>12688940</v>
      </c>
      <c r="V94" s="19">
        <v>11219755</v>
      </c>
      <c r="W94" s="19">
        <v>8491887.0000000037</v>
      </c>
      <c r="X94" s="19">
        <v>9374006</v>
      </c>
      <c r="Y94" s="19">
        <v>8990102</v>
      </c>
      <c r="Z94" s="19">
        <v>7801578.5</v>
      </c>
      <c r="AA94" s="19">
        <v>4311652</v>
      </c>
      <c r="AB94" s="19">
        <v>5314991</v>
      </c>
      <c r="AC94" s="19">
        <v>4320651</v>
      </c>
      <c r="AD94" s="19">
        <v>6854529.0000000009</v>
      </c>
      <c r="AE94" s="19">
        <v>13373714</v>
      </c>
      <c r="AF94" s="19">
        <v>11199555.999999998</v>
      </c>
      <c r="AG94" s="19">
        <v>8817841</v>
      </c>
      <c r="AH94" s="19">
        <v>11663304</v>
      </c>
      <c r="AI94" s="19">
        <v>15495423.999999998</v>
      </c>
      <c r="AJ94" s="19">
        <v>12572835</v>
      </c>
      <c r="AK94" s="19">
        <v>13667024</v>
      </c>
      <c r="AL94" s="19">
        <v>10541739</v>
      </c>
      <c r="AM94" s="19">
        <v>8510634</v>
      </c>
      <c r="AN94" s="19">
        <v>5547692</v>
      </c>
      <c r="AO94" s="19">
        <v>9060089.9999999981</v>
      </c>
      <c r="AP94" s="19">
        <v>13672329</v>
      </c>
      <c r="AQ94" s="19">
        <v>13935031</v>
      </c>
      <c r="AR94" s="19">
        <v>14801396.010000002</v>
      </c>
      <c r="AS94" s="19">
        <v>12409844.810000001</v>
      </c>
      <c r="AT94" s="19">
        <v>11342654.440290637</v>
      </c>
      <c r="AU94" s="19">
        <v>13746992.633935008</v>
      </c>
      <c r="AV94" s="19">
        <v>13012564.564019449</v>
      </c>
      <c r="AW94" s="19">
        <v>13221830.291384684</v>
      </c>
      <c r="AX94" s="19">
        <v>12974874.622430822</v>
      </c>
      <c r="AY94" s="19">
        <v>12619537.084415585</v>
      </c>
      <c r="AZ94" s="19">
        <v>13472838.572066825</v>
      </c>
      <c r="BA94" s="19">
        <v>12425198.535967797</v>
      </c>
      <c r="BB94" s="19">
        <v>11693164.093234917</v>
      </c>
      <c r="BC94" s="19">
        <v>14508577.468666175</v>
      </c>
      <c r="BD94" s="19">
        <v>23025032.154895656</v>
      </c>
      <c r="BE94" s="19">
        <v>26675122.457671706</v>
      </c>
      <c r="BF94" s="19">
        <v>19295815.996074487</v>
      </c>
      <c r="BG94" s="19">
        <v>19172700.491777003</v>
      </c>
      <c r="BH94" s="19">
        <v>15355860.897333134</v>
      </c>
      <c r="BI94" s="19">
        <v>15143490.83742776</v>
      </c>
      <c r="BJ94" s="19">
        <v>17114140.902330577</v>
      </c>
      <c r="BK94" s="19">
        <v>14625422.156373158</v>
      </c>
      <c r="BL94" s="19">
        <v>13320608.361633293</v>
      </c>
      <c r="BM94" s="19">
        <v>13436986.220603015</v>
      </c>
      <c r="BN94" s="19">
        <v>12627802.591240687</v>
      </c>
      <c r="BO94" s="19">
        <v>13784315.985636331</v>
      </c>
      <c r="BP94" s="19">
        <v>12600744.490310118</v>
      </c>
      <c r="BQ94" s="19">
        <v>13065847.449999992</v>
      </c>
      <c r="BR94" s="19">
        <v>14627202.184385784</v>
      </c>
      <c r="BS94" s="19">
        <v>10655624.449999999</v>
      </c>
      <c r="BT94" s="19">
        <v>9889119.8706079572</v>
      </c>
      <c r="BU94" s="19">
        <v>10383726</v>
      </c>
      <c r="BV94" s="19">
        <v>9733288.2999999989</v>
      </c>
      <c r="BW94" s="19">
        <v>10799401.999999993</v>
      </c>
      <c r="BX94" s="19">
        <v>10806514.304999994</v>
      </c>
      <c r="BY94" s="19">
        <v>10752280.93</v>
      </c>
      <c r="BZ94" s="19">
        <v>11451640.049999993</v>
      </c>
      <c r="CA94" s="19">
        <v>10348694.779999997</v>
      </c>
      <c r="CB94" s="19">
        <v>10002374.4</v>
      </c>
      <c r="CC94" s="19">
        <v>12045840.600000001</v>
      </c>
      <c r="CD94" s="19">
        <v>12339741.800000001</v>
      </c>
      <c r="CE94" s="19">
        <v>11651280.880000001</v>
      </c>
      <c r="CF94" s="19">
        <v>12053188.699999999</v>
      </c>
      <c r="CG94" s="19">
        <v>12980163.40044908</v>
      </c>
      <c r="CH94" s="19">
        <v>14136065.269999996</v>
      </c>
      <c r="CI94" s="19">
        <v>14156646.91022462</v>
      </c>
      <c r="CJ94" s="19">
        <v>13998056.148711195</v>
      </c>
      <c r="CK94" s="19">
        <v>12153979.256269522</v>
      </c>
      <c r="CL94" s="19">
        <v>12395074.955543619</v>
      </c>
      <c r="CM94" s="19">
        <v>12499691.5</v>
      </c>
      <c r="CN94" s="19">
        <v>12423924.5</v>
      </c>
      <c r="CO94" s="19">
        <v>14543502.500000002</v>
      </c>
      <c r="CP94" s="19">
        <v>15607186.599999998</v>
      </c>
      <c r="CQ94" s="19">
        <v>23624821.29894983</v>
      </c>
      <c r="CR94" s="19">
        <v>27057710.200000003</v>
      </c>
      <c r="CS94" s="19">
        <v>27730500.613022074</v>
      </c>
      <c r="CT94" s="19">
        <v>27340419.899999999</v>
      </c>
      <c r="CU94" s="19">
        <f t="shared" ref="CU94:DR94" si="354">CT94/CT$83*CU$83</f>
        <v>25196766.058228284</v>
      </c>
      <c r="CV94" s="19">
        <f t="shared" si="354"/>
        <v>25429255.054533783</v>
      </c>
      <c r="CW94" s="19">
        <f t="shared" si="354"/>
        <v>24764010.382883698</v>
      </c>
      <c r="CX94" s="19">
        <f t="shared" si="354"/>
        <v>25625142.302597001</v>
      </c>
      <c r="CY94" s="19">
        <f t="shared" si="354"/>
        <v>23520740.514781903</v>
      </c>
      <c r="CZ94" s="19">
        <f t="shared" si="354"/>
        <v>22213431.022092097</v>
      </c>
      <c r="DA94" s="19">
        <f t="shared" si="354"/>
        <v>25474534.982715156</v>
      </c>
      <c r="DB94" s="19">
        <f t="shared" si="354"/>
        <v>26910954.090587463</v>
      </c>
      <c r="DC94" s="19">
        <f t="shared" si="354"/>
        <v>31389397.893412281</v>
      </c>
      <c r="DD94" s="19">
        <f t="shared" si="354"/>
        <v>31390735.730155736</v>
      </c>
      <c r="DE94" s="19">
        <f t="shared" si="354"/>
        <v>29163687.077212188</v>
      </c>
      <c r="DF94" s="19">
        <f t="shared" si="354"/>
        <v>31009213.229725569</v>
      </c>
      <c r="DG94" s="19">
        <f t="shared" si="354"/>
        <v>30790861.615379401</v>
      </c>
      <c r="DH94" s="19">
        <f t="shared" si="354"/>
        <v>31106577.221199222</v>
      </c>
      <c r="DI94" s="19">
        <f t="shared" si="354"/>
        <v>30225350.440304715</v>
      </c>
      <c r="DJ94" s="19">
        <f t="shared" si="354"/>
        <v>31267948.69190979</v>
      </c>
      <c r="DK94" s="19">
        <f t="shared" si="354"/>
        <v>28675279.177424189</v>
      </c>
      <c r="DL94" s="19">
        <f t="shared" si="354"/>
        <v>27019095.154339496</v>
      </c>
      <c r="DM94" s="19">
        <f t="shared" si="354"/>
        <v>30980535.645906039</v>
      </c>
      <c r="DN94" s="19">
        <f t="shared" si="354"/>
        <v>32720360.484732479</v>
      </c>
      <c r="DO94" s="19">
        <f t="shared" si="354"/>
        <v>38092498.702016398</v>
      </c>
      <c r="DP94" s="19">
        <f t="shared" si="354"/>
        <v>37998344.698763706</v>
      </c>
      <c r="DQ94" s="19">
        <f t="shared" si="354"/>
        <v>35268709.570960544</v>
      </c>
      <c r="DR94" s="19">
        <f t="shared" si="354"/>
        <v>37281459.837962039</v>
      </c>
      <c r="DS94" s="19">
        <f t="shared" si="320"/>
        <v>36079158.03799361</v>
      </c>
      <c r="DT94" s="19">
        <f t="shared" si="321"/>
        <v>36451276.097557463</v>
      </c>
      <c r="DU94" s="19">
        <f t="shared" si="322"/>
        <v>35399598.841799475</v>
      </c>
      <c r="DV94" s="19">
        <f t="shared" si="323"/>
        <v>36590440.837591022</v>
      </c>
      <c r="DW94" s="19">
        <f t="shared" si="324"/>
        <v>33556570.769517705</v>
      </c>
      <c r="DX94" s="19">
        <f t="shared" si="325"/>
        <v>31609795.821600322</v>
      </c>
      <c r="DY94" s="19">
        <f t="shared" si="326"/>
        <v>36201623.57539732</v>
      </c>
      <c r="DZ94" s="19">
        <f t="shared" si="327"/>
        <v>38311468.545633949</v>
      </c>
      <c r="EA94" s="19">
        <f t="shared" si="328"/>
        <v>44589974.780475534</v>
      </c>
      <c r="EB94" s="19">
        <f t="shared" si="329"/>
        <v>44459526.191644132</v>
      </c>
      <c r="EC94" s="19">
        <f t="shared" si="330"/>
        <v>41258774.025783524</v>
      </c>
      <c r="ED94" s="19">
        <f t="shared" si="331"/>
        <v>43552207.715170354</v>
      </c>
      <c r="EE94" s="222"/>
      <c r="EF94" s="19">
        <f t="shared" si="332"/>
        <v>41383016.738609463</v>
      </c>
      <c r="EG94" s="19">
        <f t="shared" si="333"/>
        <v>39012863.067187138</v>
      </c>
      <c r="EH94" s="19">
        <f t="shared" si="334"/>
        <v>38348674.084385775</v>
      </c>
      <c r="EI94" s="19">
        <f t="shared" si="335"/>
        <v>30006134.170607954</v>
      </c>
      <c r="EJ94" s="19">
        <f t="shared" si="336"/>
        <v>32358197.234999985</v>
      </c>
      <c r="EK94" s="19">
        <f t="shared" si="337"/>
        <v>31802709.229999989</v>
      </c>
      <c r="EL94" s="19">
        <f t="shared" si="338"/>
        <v>36036863.280000001</v>
      </c>
      <c r="EM94" s="19">
        <f t="shared" si="339"/>
        <v>39169417.370449074</v>
      </c>
      <c r="EN94" s="19">
        <f t="shared" si="340"/>
        <v>40308682.315205336</v>
      </c>
      <c r="EO94" s="19">
        <f t="shared" si="341"/>
        <v>37318690.955543622</v>
      </c>
      <c r="EP94" s="19">
        <f t="shared" si="342"/>
        <v>53775510.398949832</v>
      </c>
      <c r="EQ94" s="19">
        <f t="shared" si="343"/>
        <v>82128630.713022083</v>
      </c>
      <c r="ER94" s="19">
        <f t="shared" si="344"/>
        <v>75390031.495645761</v>
      </c>
      <c r="ES94" s="19">
        <f t="shared" si="345"/>
        <v>71359313.839471012</v>
      </c>
      <c r="ET94" s="19">
        <f t="shared" si="346"/>
        <v>83774886.966714904</v>
      </c>
      <c r="EU94" s="19">
        <f t="shared" si="347"/>
        <v>91563636.03709349</v>
      </c>
      <c r="EV94" s="19">
        <f t="shared" si="348"/>
        <v>92122789.276883334</v>
      </c>
      <c r="EW94" s="19">
        <f t="shared" si="349"/>
        <v>86962323.023673475</v>
      </c>
      <c r="EX94" s="19">
        <f t="shared" si="350"/>
        <v>101793394.83265492</v>
      </c>
      <c r="EY94" s="19">
        <f t="shared" si="351"/>
        <v>110548514.10768628</v>
      </c>
      <c r="EZ94" s="19">
        <f t="shared" si="287"/>
        <v>107930032.97735053</v>
      </c>
      <c r="FA94" s="19">
        <f t="shared" si="288"/>
        <v>101756807.42870905</v>
      </c>
      <c r="FB94" s="19">
        <f t="shared" si="289"/>
        <v>119103066.90150681</v>
      </c>
      <c r="FC94" s="19">
        <f t="shared" si="290"/>
        <v>129270507.93259801</v>
      </c>
      <c r="FE94" s="19">
        <f t="shared" si="291"/>
        <v>148750688.06079033</v>
      </c>
      <c r="FF94" s="19">
        <f t="shared" si="292"/>
        <v>139367187.11544904</v>
      </c>
      <c r="FG94" s="19">
        <f t="shared" si="293"/>
        <v>213531514.38272089</v>
      </c>
      <c r="FH94" s="19">
        <f t="shared" si="294"/>
        <v>322087868.33892512</v>
      </c>
      <c r="FI94" s="19">
        <f t="shared" si="295"/>
        <v>391427021.24089801</v>
      </c>
      <c r="FJ94" s="770">
        <f t="shared" si="207"/>
        <v>458060415.2401644</v>
      </c>
      <c r="FK94" s="545" t="s">
        <v>1</v>
      </c>
    </row>
    <row r="95" spans="2:167" x14ac:dyDescent="0.2">
      <c r="B95" s="225" t="s">
        <v>26</v>
      </c>
      <c r="C95" s="19">
        <v>154930.714285714</v>
      </c>
      <c r="D95" s="19">
        <v>155680.714285714</v>
      </c>
      <c r="E95" s="19">
        <v>156430.714285714</v>
      </c>
      <c r="F95" s="19">
        <v>158181.714285714</v>
      </c>
      <c r="G95" s="19">
        <v>155304.14285714299</v>
      </c>
      <c r="H95" s="19">
        <v>150247.285714286</v>
      </c>
      <c r="I95" s="19">
        <v>160074</v>
      </c>
      <c r="J95" s="19">
        <v>176190</v>
      </c>
      <c r="K95" s="19">
        <v>494171.42857142899</v>
      </c>
      <c r="L95" s="19">
        <v>464424.42857142899</v>
      </c>
      <c r="M95" s="19">
        <v>510542.42857142905</v>
      </c>
      <c r="N95" s="19">
        <v>618184.28571428603</v>
      </c>
      <c r="O95" s="19">
        <v>518022.14285714302</v>
      </c>
      <c r="P95" s="19">
        <v>1250045</v>
      </c>
      <c r="Q95" s="19">
        <v>1635603.2857142901</v>
      </c>
      <c r="R95" s="19">
        <v>1298866</v>
      </c>
      <c r="S95" s="19">
        <v>1883897</v>
      </c>
      <c r="T95" s="19">
        <v>1688224.0000000002</v>
      </c>
      <c r="U95" s="19">
        <v>1834785</v>
      </c>
      <c r="V95" s="19">
        <v>1826041</v>
      </c>
      <c r="W95" s="19">
        <v>1841092</v>
      </c>
      <c r="X95" s="19">
        <v>1854732</v>
      </c>
      <c r="Y95" s="19">
        <v>1810261</v>
      </c>
      <c r="Z95" s="19">
        <v>1675850</v>
      </c>
      <c r="AA95" s="19">
        <v>1328178</v>
      </c>
      <c r="AB95" s="19">
        <v>1825024</v>
      </c>
      <c r="AC95" s="19">
        <v>1994027.9999999998</v>
      </c>
      <c r="AD95" s="19">
        <v>2008521</v>
      </c>
      <c r="AE95" s="19">
        <v>1942886</v>
      </c>
      <c r="AF95" s="19">
        <v>1685313</v>
      </c>
      <c r="AG95" s="19">
        <v>1728487</v>
      </c>
      <c r="AH95" s="19">
        <v>1619689</v>
      </c>
      <c r="AI95" s="19">
        <v>1596295.9999999998</v>
      </c>
      <c r="AJ95" s="19">
        <v>1880766.2258789861</v>
      </c>
      <c r="AK95" s="19">
        <v>1875209</v>
      </c>
      <c r="AL95" s="19">
        <v>1911691.9999999998</v>
      </c>
      <c r="AM95" s="19">
        <v>2006811.9999999998</v>
      </c>
      <c r="AN95" s="19">
        <v>2016971</v>
      </c>
      <c r="AO95" s="19">
        <v>1928748.0000000002</v>
      </c>
      <c r="AP95" s="19">
        <v>1848884.9999999998</v>
      </c>
      <c r="AQ95" s="19">
        <v>2019412</v>
      </c>
      <c r="AR95" s="19">
        <v>2162818</v>
      </c>
      <c r="AS95" s="19">
        <v>2002004.9999999998</v>
      </c>
      <c r="AT95" s="19">
        <v>1993786</v>
      </c>
      <c r="AU95" s="19">
        <v>2042924</v>
      </c>
      <c r="AV95" s="19">
        <v>1919973</v>
      </c>
      <c r="AW95" s="19">
        <v>1949768</v>
      </c>
      <c r="AX95" s="19">
        <v>2067805.0000000002</v>
      </c>
      <c r="AY95" s="19">
        <v>2207590</v>
      </c>
      <c r="AZ95" s="19">
        <v>2377051</v>
      </c>
      <c r="BA95" s="19">
        <v>3408454</v>
      </c>
      <c r="BB95" s="19">
        <v>3337087.8377917651</v>
      </c>
      <c r="BC95" s="19">
        <v>3305234.4751923075</v>
      </c>
      <c r="BD95" s="19">
        <v>3244746.6188461529</v>
      </c>
      <c r="BE95" s="19">
        <v>3571001.6860897439</v>
      </c>
      <c r="BF95" s="19">
        <v>3747896.5322435899</v>
      </c>
      <c r="BG95" s="19">
        <v>3800942.3546794867</v>
      </c>
      <c r="BH95" s="19">
        <v>3783989.3546794895</v>
      </c>
      <c r="BI95" s="19">
        <v>3986265.3004487203</v>
      </c>
      <c r="BJ95" s="19">
        <v>4126089.5854487182</v>
      </c>
      <c r="BK95" s="19">
        <v>4170520.6246823901</v>
      </c>
      <c r="BL95" s="19">
        <v>4526021.6615172056</v>
      </c>
      <c r="BM95" s="19">
        <v>4493118.4780128207</v>
      </c>
      <c r="BN95" s="19">
        <v>5250164.4780128207</v>
      </c>
      <c r="BO95" s="19">
        <v>5656907.7694230769</v>
      </c>
      <c r="BP95" s="19">
        <v>5692706.2087820508</v>
      </c>
      <c r="BQ95" s="19">
        <v>5984134.5863461532</v>
      </c>
      <c r="BR95" s="19">
        <v>7065075.4596794881</v>
      </c>
      <c r="BS95" s="19">
        <v>5411302.4763229918</v>
      </c>
      <c r="BT95" s="19">
        <v>5046089.3115384616</v>
      </c>
      <c r="BU95" s="19">
        <v>4577165.0398717951</v>
      </c>
      <c r="BV95" s="19">
        <v>4342957.7082913928</v>
      </c>
      <c r="BW95" s="19">
        <v>4469088.2032692302</v>
      </c>
      <c r="BX95" s="19">
        <v>5306769.2032692321</v>
      </c>
      <c r="BY95" s="19">
        <v>5846335.9032692295</v>
      </c>
      <c r="BZ95" s="19">
        <v>5734344.1801923076</v>
      </c>
      <c r="CA95" s="19">
        <v>5333552.5340384562</v>
      </c>
      <c r="CB95" s="19">
        <v>5369974.5340384627</v>
      </c>
      <c r="CC95" s="19">
        <v>5748290.5340384627</v>
      </c>
      <c r="CD95" s="19">
        <v>5495541.5340384617</v>
      </c>
      <c r="CE95" s="19">
        <v>6102456.5340384608</v>
      </c>
      <c r="CF95" s="19">
        <v>5827332.7457051277</v>
      </c>
      <c r="CG95" s="19">
        <v>5630766.5723241502</v>
      </c>
      <c r="CH95" s="19">
        <v>5993234.395705129</v>
      </c>
      <c r="CI95" s="19">
        <v>6345168.3867453765</v>
      </c>
      <c r="CJ95" s="19">
        <v>6622851.2136177197</v>
      </c>
      <c r="CK95" s="19">
        <v>7381762.7335217735</v>
      </c>
      <c r="CL95" s="19">
        <v>7649206.0253302371</v>
      </c>
      <c r="CM95" s="19">
        <v>7819918.8866184391</v>
      </c>
      <c r="CN95" s="19">
        <v>7989009.2179576838</v>
      </c>
      <c r="CO95" s="19">
        <v>8562039.1392569728</v>
      </c>
      <c r="CP95" s="19">
        <v>9013868.0355128199</v>
      </c>
      <c r="CQ95" s="19">
        <v>8714742.0733543262</v>
      </c>
      <c r="CR95" s="19">
        <v>8826094.5678227898</v>
      </c>
      <c r="CS95" s="19">
        <v>8668210.0338184312</v>
      </c>
      <c r="CT95" s="19">
        <v>8744699.0998719241</v>
      </c>
      <c r="CU95" s="19">
        <f t="shared" ref="CU95:DR95" si="355">CT95/CT$83*CU$83</f>
        <v>8059061.9410740053</v>
      </c>
      <c r="CV95" s="19">
        <f t="shared" si="355"/>
        <v>8133422.405330183</v>
      </c>
      <c r="CW95" s="19">
        <f t="shared" si="355"/>
        <v>7920647.1625705389</v>
      </c>
      <c r="CX95" s="19">
        <f t="shared" si="355"/>
        <v>8196075.9800770283</v>
      </c>
      <c r="CY95" s="19">
        <f t="shared" si="355"/>
        <v>7522993.398061689</v>
      </c>
      <c r="CZ95" s="19">
        <f t="shared" si="355"/>
        <v>7104856.8739778511</v>
      </c>
      <c r="DA95" s="19">
        <f t="shared" si="355"/>
        <v>8147904.9680946963</v>
      </c>
      <c r="DB95" s="19">
        <f t="shared" si="355"/>
        <v>8607336.5688379537</v>
      </c>
      <c r="DC95" s="19">
        <f t="shared" si="355"/>
        <v>10039744.835961504</v>
      </c>
      <c r="DD95" s="19">
        <f t="shared" si="355"/>
        <v>10040172.736476896</v>
      </c>
      <c r="DE95" s="19">
        <f t="shared" si="355"/>
        <v>9327862.1566834077</v>
      </c>
      <c r="DF95" s="19">
        <f t="shared" si="355"/>
        <v>9918144.6374829747</v>
      </c>
      <c r="DG95" s="19">
        <f t="shared" si="355"/>
        <v>9848305.9454507232</v>
      </c>
      <c r="DH95" s="19">
        <f t="shared" si="355"/>
        <v>9949286.0322279613</v>
      </c>
      <c r="DI95" s="19">
        <f t="shared" si="355"/>
        <v>9667429.9720117394</v>
      </c>
      <c r="DJ95" s="19">
        <f t="shared" si="355"/>
        <v>10000899.90501518</v>
      </c>
      <c r="DK95" s="19">
        <f t="shared" si="355"/>
        <v>9171647.2873702087</v>
      </c>
      <c r="DL95" s="19">
        <f t="shared" si="355"/>
        <v>8641924.9572500717</v>
      </c>
      <c r="DM95" s="19">
        <f t="shared" si="355"/>
        <v>9908972.2530671395</v>
      </c>
      <c r="DN95" s="19">
        <f t="shared" si="355"/>
        <v>10465446.687536977</v>
      </c>
      <c r="DO95" s="19">
        <f t="shared" si="355"/>
        <v>12183698.726272864</v>
      </c>
      <c r="DP95" s="19">
        <f t="shared" si="355"/>
        <v>12153584.030503575</v>
      </c>
      <c r="DQ95" s="19">
        <f t="shared" si="355"/>
        <v>11280523.6337582</v>
      </c>
      <c r="DR95" s="19">
        <f t="shared" si="355"/>
        <v>11924291.926728526</v>
      </c>
      <c r="DS95" s="19">
        <f t="shared" si="320"/>
        <v>11539741.597713342</v>
      </c>
      <c r="DT95" s="19">
        <f t="shared" si="321"/>
        <v>11658761.732459484</v>
      </c>
      <c r="DU95" s="19">
        <f t="shared" si="322"/>
        <v>11322387.924543584</v>
      </c>
      <c r="DV95" s="19">
        <f t="shared" si="323"/>
        <v>11703272.891445208</v>
      </c>
      <c r="DW95" s="19">
        <f t="shared" si="324"/>
        <v>10732904.44244384</v>
      </c>
      <c r="DX95" s="19">
        <f t="shared" si="325"/>
        <v>10110238.031431392</v>
      </c>
      <c r="DY95" s="19">
        <f t="shared" si="326"/>
        <v>11578911.59870881</v>
      </c>
      <c r="DZ95" s="19">
        <f t="shared" si="327"/>
        <v>12253735.155902879</v>
      </c>
      <c r="EA95" s="19">
        <f t="shared" si="328"/>
        <v>14261884.555991627</v>
      </c>
      <c r="EB95" s="19">
        <f t="shared" si="329"/>
        <v>14220161.215183189</v>
      </c>
      <c r="EC95" s="19">
        <f t="shared" si="330"/>
        <v>13196416.346373973</v>
      </c>
      <c r="ED95" s="19">
        <f t="shared" si="331"/>
        <v>13929959.854211502</v>
      </c>
      <c r="EE95" s="222"/>
      <c r="EF95" s="19">
        <f t="shared" si="332"/>
        <v>13189660.764212416</v>
      </c>
      <c r="EG95" s="19">
        <f t="shared" si="333"/>
        <v>16599778.456217948</v>
      </c>
      <c r="EH95" s="19">
        <f t="shared" si="334"/>
        <v>18460512.522348635</v>
      </c>
      <c r="EI95" s="19">
        <f t="shared" si="335"/>
        <v>13966212.059701649</v>
      </c>
      <c r="EJ95" s="19">
        <f t="shared" si="336"/>
        <v>15622193.309807692</v>
      </c>
      <c r="EK95" s="19">
        <f t="shared" si="337"/>
        <v>16437871.248269226</v>
      </c>
      <c r="EL95" s="19">
        <f t="shared" si="338"/>
        <v>17346288.602115385</v>
      </c>
      <c r="EM95" s="19">
        <f t="shared" si="339"/>
        <v>17451333.713734407</v>
      </c>
      <c r="EN95" s="19">
        <f t="shared" si="340"/>
        <v>20349782.333884869</v>
      </c>
      <c r="EO95" s="19">
        <f t="shared" si="341"/>
        <v>23458134.12990636</v>
      </c>
      <c r="EP95" s="19">
        <f t="shared" si="342"/>
        <v>26290649.248124119</v>
      </c>
      <c r="EQ95" s="19">
        <f t="shared" si="343"/>
        <v>26239003.701513149</v>
      </c>
      <c r="ER95" s="19">
        <f t="shared" si="344"/>
        <v>24113131.508974727</v>
      </c>
      <c r="ES95" s="19">
        <f t="shared" si="345"/>
        <v>22823926.252116568</v>
      </c>
      <c r="ET95" s="19">
        <f t="shared" si="346"/>
        <v>26794986.372894153</v>
      </c>
      <c r="EU95" s="19">
        <f t="shared" si="347"/>
        <v>29286179.530643281</v>
      </c>
      <c r="EV95" s="19">
        <f t="shared" si="348"/>
        <v>29465021.949690424</v>
      </c>
      <c r="EW95" s="19">
        <f t="shared" si="349"/>
        <v>27814472.149635464</v>
      </c>
      <c r="EX95" s="19">
        <f t="shared" si="350"/>
        <v>32558117.666876979</v>
      </c>
      <c r="EY95" s="19">
        <f t="shared" si="351"/>
        <v>35358399.590990297</v>
      </c>
      <c r="EZ95" s="19">
        <f t="shared" si="287"/>
        <v>34520891.254716411</v>
      </c>
      <c r="FA95" s="19">
        <f t="shared" si="288"/>
        <v>32546415.36532044</v>
      </c>
      <c r="FB95" s="19">
        <f t="shared" si="289"/>
        <v>38094531.310603321</v>
      </c>
      <c r="FC95" s="19">
        <f t="shared" si="290"/>
        <v>41346537.415768668</v>
      </c>
      <c r="FE95" s="19">
        <f t="shared" si="291"/>
        <v>62216163.802480653</v>
      </c>
      <c r="FF95" s="19">
        <f t="shared" si="292"/>
        <v>66857686.873926714</v>
      </c>
      <c r="FG95" s="19">
        <f t="shared" si="293"/>
        <v>96337569.413428485</v>
      </c>
      <c r="FH95" s="19">
        <f t="shared" si="294"/>
        <v>103018223.66462873</v>
      </c>
      <c r="FI95" s="19">
        <f t="shared" si="295"/>
        <v>125196011.35719317</v>
      </c>
      <c r="FJ95" s="770">
        <f t="shared" si="207"/>
        <v>146508375.34640884</v>
      </c>
      <c r="FK95" s="545" t="s">
        <v>1</v>
      </c>
    </row>
    <row r="96" spans="2:167" x14ac:dyDescent="0.2">
      <c r="B96" s="225" t="s">
        <v>36</v>
      </c>
      <c r="C96" s="19">
        <v>58190</v>
      </c>
      <c r="D96" s="19">
        <v>60575</v>
      </c>
      <c r="E96" s="19">
        <v>53735</v>
      </c>
      <c r="F96" s="19">
        <v>81575</v>
      </c>
      <c r="G96" s="19">
        <v>108086</v>
      </c>
      <c r="H96" s="19">
        <v>106167</v>
      </c>
      <c r="I96" s="19">
        <v>112852</v>
      </c>
      <c r="J96" s="19">
        <v>127342</v>
      </c>
      <c r="K96" s="19">
        <v>153802</v>
      </c>
      <c r="L96" s="19">
        <v>160957</v>
      </c>
      <c r="M96" s="19">
        <v>227457.99999999997</v>
      </c>
      <c r="N96" s="19">
        <v>259544</v>
      </c>
      <c r="O96" s="19">
        <v>333898</v>
      </c>
      <c r="P96" s="19">
        <v>389283</v>
      </c>
      <c r="Q96" s="19">
        <v>420658</v>
      </c>
      <c r="R96" s="19">
        <v>463514.00000000006</v>
      </c>
      <c r="S96" s="19">
        <v>361563</v>
      </c>
      <c r="T96" s="19">
        <v>443576</v>
      </c>
      <c r="U96" s="19">
        <v>455756</v>
      </c>
      <c r="V96" s="19">
        <v>370240</v>
      </c>
      <c r="W96" s="19">
        <v>379569</v>
      </c>
      <c r="X96" s="19">
        <v>411644</v>
      </c>
      <c r="Y96" s="19">
        <v>399976</v>
      </c>
      <c r="Z96" s="19">
        <v>358662</v>
      </c>
      <c r="AA96" s="19">
        <v>144106</v>
      </c>
      <c r="AB96" s="19">
        <v>313337</v>
      </c>
      <c r="AC96" s="19">
        <v>258983</v>
      </c>
      <c r="AD96" s="19">
        <v>276740</v>
      </c>
      <c r="AE96" s="19">
        <v>308016</v>
      </c>
      <c r="AF96" s="19">
        <v>356265</v>
      </c>
      <c r="AG96" s="19">
        <v>336926.99999999994</v>
      </c>
      <c r="AH96" s="19">
        <v>423757</v>
      </c>
      <c r="AI96" s="19">
        <v>623807</v>
      </c>
      <c r="AJ96" s="19">
        <v>648195</v>
      </c>
      <c r="AK96" s="19">
        <v>552009</v>
      </c>
      <c r="AL96" s="19">
        <v>591759</v>
      </c>
      <c r="AM96" s="19">
        <v>398344</v>
      </c>
      <c r="AN96" s="19">
        <v>263151</v>
      </c>
      <c r="AO96" s="19">
        <v>529384</v>
      </c>
      <c r="AP96" s="19">
        <v>574609</v>
      </c>
      <c r="AQ96" s="19">
        <v>646444</v>
      </c>
      <c r="AR96" s="19">
        <v>791709.24</v>
      </c>
      <c r="AS96" s="19">
        <v>1005699</v>
      </c>
      <c r="AT96" s="19">
        <v>1148985</v>
      </c>
      <c r="AU96" s="19">
        <v>1153609</v>
      </c>
      <c r="AV96" s="19">
        <v>1124235</v>
      </c>
      <c r="AW96" s="19">
        <v>1058445</v>
      </c>
      <c r="AX96" s="19">
        <v>1161675</v>
      </c>
      <c r="AY96" s="19">
        <v>877263.47839593329</v>
      </c>
      <c r="AZ96" s="19">
        <v>1186695</v>
      </c>
      <c r="BA96" s="19">
        <v>859556</v>
      </c>
      <c r="BB96" s="19">
        <v>939567</v>
      </c>
      <c r="BC96" s="19">
        <v>899484</v>
      </c>
      <c r="BD96" s="19">
        <v>868275</v>
      </c>
      <c r="BE96" s="19">
        <v>854905</v>
      </c>
      <c r="BF96" s="19">
        <v>819263</v>
      </c>
      <c r="BG96" s="19">
        <v>928550</v>
      </c>
      <c r="BH96" s="19">
        <v>967849</v>
      </c>
      <c r="BI96" s="19">
        <v>989744</v>
      </c>
      <c r="BJ96" s="19">
        <v>1243377</v>
      </c>
      <c r="BK96" s="19">
        <v>1103600</v>
      </c>
      <c r="BL96" s="19">
        <v>1185895</v>
      </c>
      <c r="BM96" s="19">
        <v>1325725</v>
      </c>
      <c r="BN96" s="19">
        <v>1046830</v>
      </c>
      <c r="BO96" s="19">
        <v>1137325</v>
      </c>
      <c r="BP96" s="19">
        <v>1112565</v>
      </c>
      <c r="BQ96" s="19">
        <v>1393620</v>
      </c>
      <c r="BR96" s="19">
        <v>1260595</v>
      </c>
      <c r="BS96" s="19">
        <v>1126985</v>
      </c>
      <c r="BT96" s="19">
        <v>1089585</v>
      </c>
      <c r="BU96" s="19">
        <v>849290</v>
      </c>
      <c r="BV96" s="19">
        <v>1166165</v>
      </c>
      <c r="BW96" s="19">
        <v>1166315</v>
      </c>
      <c r="BX96" s="19">
        <v>1171475</v>
      </c>
      <c r="BY96" s="19">
        <v>1253075</v>
      </c>
      <c r="BZ96" s="19">
        <v>1228900</v>
      </c>
      <c r="CA96" s="19">
        <v>1063780</v>
      </c>
      <c r="CB96" s="19">
        <v>993250</v>
      </c>
      <c r="CC96" s="19">
        <v>1114955</v>
      </c>
      <c r="CD96" s="19">
        <v>1039150</v>
      </c>
      <c r="CE96" s="19">
        <v>1256625</v>
      </c>
      <c r="CF96" s="19">
        <v>1333755</v>
      </c>
      <c r="CG96" s="19">
        <v>1286425</v>
      </c>
      <c r="CH96" s="19">
        <v>1645660</v>
      </c>
      <c r="CI96" s="19">
        <v>1467495</v>
      </c>
      <c r="CJ96" s="19">
        <v>1483715</v>
      </c>
      <c r="CK96" s="19">
        <v>1506047.1428571427</v>
      </c>
      <c r="CL96" s="19">
        <v>1621365</v>
      </c>
      <c r="CM96" s="19">
        <v>1451300</v>
      </c>
      <c r="CN96" s="19">
        <v>1588095</v>
      </c>
      <c r="CO96" s="19">
        <v>1643135</v>
      </c>
      <c r="CP96" s="19">
        <v>1574860</v>
      </c>
      <c r="CQ96" s="19">
        <v>1982470</v>
      </c>
      <c r="CR96" s="19">
        <v>2142405</v>
      </c>
      <c r="CS96" s="19">
        <v>1923850</v>
      </c>
      <c r="CT96" s="19">
        <v>2190900</v>
      </c>
      <c r="CU96" s="19">
        <f t="shared" ref="CU96:DR96" si="356">CT96/CT$83*CU$83</f>
        <v>2019120.2241547268</v>
      </c>
      <c r="CV96" s="19">
        <f t="shared" si="356"/>
        <v>2037750.5211241497</v>
      </c>
      <c r="CW96" s="19">
        <f t="shared" si="356"/>
        <v>1984441.7366779323</v>
      </c>
      <c r="CX96" s="19">
        <f t="shared" si="356"/>
        <v>2053447.7698625168</v>
      </c>
      <c r="CY96" s="19">
        <f t="shared" si="356"/>
        <v>1884813.4221170347</v>
      </c>
      <c r="CZ96" s="19">
        <f t="shared" si="356"/>
        <v>1780053.349740308</v>
      </c>
      <c r="DA96" s="19">
        <f t="shared" si="356"/>
        <v>2041378.9875125745</v>
      </c>
      <c r="DB96" s="19">
        <f t="shared" si="356"/>
        <v>2156485.1429757331</v>
      </c>
      <c r="DC96" s="19">
        <f t="shared" si="356"/>
        <v>2515361.2159657055</v>
      </c>
      <c r="DD96" s="19">
        <f t="shared" si="356"/>
        <v>2515468.4223119118</v>
      </c>
      <c r="DE96" s="19">
        <f t="shared" si="356"/>
        <v>2337005.8781527411</v>
      </c>
      <c r="DF96" s="19">
        <f t="shared" si="356"/>
        <v>2484895.4593051346</v>
      </c>
      <c r="DG96" s="19">
        <f t="shared" si="356"/>
        <v>2467398.0487452103</v>
      </c>
      <c r="DH96" s="19">
        <f t="shared" si="356"/>
        <v>2492697.6353397323</v>
      </c>
      <c r="DI96" s="19">
        <f t="shared" si="356"/>
        <v>2422081.3184973649</v>
      </c>
      <c r="DJ96" s="19">
        <f t="shared" si="356"/>
        <v>2505628.9932513125</v>
      </c>
      <c r="DK96" s="19">
        <f t="shared" si="356"/>
        <v>2297867.749639743</v>
      </c>
      <c r="DL96" s="19">
        <f t="shared" si="356"/>
        <v>2165150.9300207347</v>
      </c>
      <c r="DM96" s="19">
        <f t="shared" si="356"/>
        <v>2482597.4068750697</v>
      </c>
      <c r="DN96" s="19">
        <f t="shared" si="356"/>
        <v>2622016.7081633005</v>
      </c>
      <c r="DO96" s="19">
        <f t="shared" si="356"/>
        <v>3052508.1806167774</v>
      </c>
      <c r="DP96" s="19">
        <f t="shared" si="356"/>
        <v>3044963.2341060503</v>
      </c>
      <c r="DQ96" s="19">
        <f t="shared" si="356"/>
        <v>2826226.3740513166</v>
      </c>
      <c r="DR96" s="19">
        <f t="shared" si="356"/>
        <v>2987516.3094693739</v>
      </c>
      <c r="DS96" s="19">
        <f t="shared" si="320"/>
        <v>2891170.9342635302</v>
      </c>
      <c r="DT96" s="19">
        <f t="shared" si="321"/>
        <v>2920990.2808456374</v>
      </c>
      <c r="DU96" s="19">
        <f t="shared" si="322"/>
        <v>2836715.0682458421</v>
      </c>
      <c r="DV96" s="19">
        <f t="shared" si="323"/>
        <v>2932142.1223336142</v>
      </c>
      <c r="DW96" s="19">
        <f t="shared" si="324"/>
        <v>2689025.6685098074</v>
      </c>
      <c r="DX96" s="19">
        <f t="shared" si="325"/>
        <v>2533022.6060479837</v>
      </c>
      <c r="DY96" s="19">
        <f t="shared" si="326"/>
        <v>2900984.6001428091</v>
      </c>
      <c r="DZ96" s="19">
        <f t="shared" si="327"/>
        <v>3070055.1324242619</v>
      </c>
      <c r="EA96" s="19">
        <f t="shared" si="328"/>
        <v>3573177.5921460465</v>
      </c>
      <c r="EB96" s="19">
        <f t="shared" si="329"/>
        <v>3562724.2116085109</v>
      </c>
      <c r="EC96" s="19">
        <f t="shared" si="330"/>
        <v>3306234.8107202672</v>
      </c>
      <c r="ED96" s="19">
        <f t="shared" si="331"/>
        <v>3490017.0601683678</v>
      </c>
      <c r="EE96" s="222"/>
      <c r="EF96" s="19">
        <f t="shared" si="332"/>
        <v>3615220</v>
      </c>
      <c r="EG96" s="19">
        <f t="shared" si="333"/>
        <v>3296720</v>
      </c>
      <c r="EH96" s="19">
        <f t="shared" si="334"/>
        <v>3781200</v>
      </c>
      <c r="EI96" s="19">
        <f t="shared" si="335"/>
        <v>3105040</v>
      </c>
      <c r="EJ96" s="19">
        <f t="shared" si="336"/>
        <v>3590865</v>
      </c>
      <c r="EK96" s="19">
        <f t="shared" si="337"/>
        <v>3285930</v>
      </c>
      <c r="EL96" s="19">
        <f t="shared" si="338"/>
        <v>3410730</v>
      </c>
      <c r="EM96" s="19">
        <f t="shared" si="339"/>
        <v>4265840</v>
      </c>
      <c r="EN96" s="19">
        <f t="shared" si="340"/>
        <v>4457257.1428571427</v>
      </c>
      <c r="EO96" s="19">
        <f t="shared" si="341"/>
        <v>4660760</v>
      </c>
      <c r="EP96" s="19">
        <f t="shared" si="342"/>
        <v>5200465</v>
      </c>
      <c r="EQ96" s="19">
        <f t="shared" si="343"/>
        <v>6257155</v>
      </c>
      <c r="ER96" s="19">
        <f t="shared" si="344"/>
        <v>6041312.4819568088</v>
      </c>
      <c r="ES96" s="19">
        <f t="shared" si="345"/>
        <v>5718314.5417198595</v>
      </c>
      <c r="ET96" s="19">
        <f t="shared" si="346"/>
        <v>6713225.3464540131</v>
      </c>
      <c r="EU96" s="19">
        <f t="shared" si="347"/>
        <v>7337369.7597697871</v>
      </c>
      <c r="EV96" s="19">
        <f t="shared" si="348"/>
        <v>7382177.0025823079</v>
      </c>
      <c r="EW96" s="19">
        <f t="shared" si="349"/>
        <v>6968647.6729117902</v>
      </c>
      <c r="EX96" s="19">
        <f t="shared" si="350"/>
        <v>8157122.2956551481</v>
      </c>
      <c r="EY96" s="19">
        <f t="shared" si="351"/>
        <v>8858705.9176267404</v>
      </c>
      <c r="EZ96" s="19">
        <f t="shared" si="287"/>
        <v>8648876.2833550088</v>
      </c>
      <c r="FA96" s="19">
        <f t="shared" si="288"/>
        <v>8154190.3968914058</v>
      </c>
      <c r="FB96" s="19">
        <f t="shared" si="289"/>
        <v>9544217.3247131184</v>
      </c>
      <c r="FC96" s="19">
        <f t="shared" si="290"/>
        <v>10358976.082497146</v>
      </c>
      <c r="FE96" s="19">
        <f t="shared" si="291"/>
        <v>13798180</v>
      </c>
      <c r="FF96" s="19">
        <f t="shared" si="292"/>
        <v>14553365</v>
      </c>
      <c r="FG96" s="19">
        <f t="shared" si="293"/>
        <v>20575637.142857142</v>
      </c>
      <c r="FH96" s="19">
        <f t="shared" si="294"/>
        <v>25810222.129900467</v>
      </c>
      <c r="FI96" s="19">
        <f t="shared" si="295"/>
        <v>31366652.888775982</v>
      </c>
      <c r="FJ96" s="770">
        <f t="shared" si="207"/>
        <v>36706260.087456673</v>
      </c>
      <c r="FK96" s="545" t="s">
        <v>1</v>
      </c>
    </row>
    <row r="97" spans="2:167" x14ac:dyDescent="0.2">
      <c r="B97" s="225" t="s">
        <v>202</v>
      </c>
      <c r="C97" s="19">
        <v>244948.285714286</v>
      </c>
      <c r="D97" s="19">
        <v>272924</v>
      </c>
      <c r="E97" s="19">
        <v>284318.57142857101</v>
      </c>
      <c r="F97" s="19">
        <v>364083.85714285698</v>
      </c>
      <c r="G97" s="19">
        <v>375896.14285714302</v>
      </c>
      <c r="H97" s="19">
        <v>363984.28571428597</v>
      </c>
      <c r="I97" s="19">
        <v>317753.71428571403</v>
      </c>
      <c r="J97" s="19">
        <v>333520.57142857101</v>
      </c>
      <c r="K97" s="19">
        <v>368816.28571428597</v>
      </c>
      <c r="L97" s="19">
        <v>473870.14285714302</v>
      </c>
      <c r="M97" s="19">
        <v>708903</v>
      </c>
      <c r="N97" s="19">
        <v>943631.00000000012</v>
      </c>
      <c r="O97" s="19">
        <v>1384453.8571428601</v>
      </c>
      <c r="P97" s="19">
        <v>1430399.42857143</v>
      </c>
      <c r="Q97" s="19">
        <v>1560151.1428571427</v>
      </c>
      <c r="R97" s="19">
        <v>1577662</v>
      </c>
      <c r="S97" s="19">
        <v>1756505</v>
      </c>
      <c r="T97" s="19">
        <v>1848126</v>
      </c>
      <c r="U97" s="19">
        <v>1943839</v>
      </c>
      <c r="V97" s="19">
        <v>2151267</v>
      </c>
      <c r="W97" s="19">
        <v>2051888</v>
      </c>
      <c r="X97" s="19">
        <v>2301126</v>
      </c>
      <c r="Y97" s="19">
        <v>2341940.5499999998</v>
      </c>
      <c r="Z97" s="19">
        <v>2383112.5</v>
      </c>
      <c r="AA97" s="19">
        <v>2570486.5241666702</v>
      </c>
      <c r="AB97" s="19">
        <v>2430116.7450000001</v>
      </c>
      <c r="AC97" s="19">
        <v>1717686.252261905</v>
      </c>
      <c r="AD97" s="19">
        <v>1660481.276190477</v>
      </c>
      <c r="AE97" s="19">
        <v>1644514.2711904761</v>
      </c>
      <c r="AF97" s="19">
        <v>1681564.1833333301</v>
      </c>
      <c r="AG97" s="19">
        <v>1631780.5666666699</v>
      </c>
      <c r="AH97" s="19">
        <v>1654958.7066666665</v>
      </c>
      <c r="AI97" s="19">
        <v>1651991</v>
      </c>
      <c r="AJ97" s="19">
        <v>1873493.3983333332</v>
      </c>
      <c r="AK97" s="19">
        <v>1864890.8325</v>
      </c>
      <c r="AL97" s="19">
        <v>1839973.0194871784</v>
      </c>
      <c r="AM97" s="19">
        <v>2047449.2904487182</v>
      </c>
      <c r="AN97" s="19">
        <v>2074483.7658974354</v>
      </c>
      <c r="AO97" s="19">
        <v>2875493.0185897397</v>
      </c>
      <c r="AP97" s="19">
        <v>2866992.9494230798</v>
      </c>
      <c r="AQ97" s="19">
        <v>2817083.72346154</v>
      </c>
      <c r="AR97" s="19">
        <v>2807216.1696794867</v>
      </c>
      <c r="AS97" s="19">
        <v>3789933.9528846098</v>
      </c>
      <c r="AT97" s="19">
        <v>3788696.8500641002</v>
      </c>
      <c r="AU97" s="19">
        <v>3788696.8500641007</v>
      </c>
      <c r="AV97" s="19">
        <v>2574621.0610256405</v>
      </c>
      <c r="AW97" s="19">
        <v>3439027.8474359</v>
      </c>
      <c r="AX97" s="19">
        <v>3832313.9190384601</v>
      </c>
      <c r="AY97" s="19">
        <v>3750916</v>
      </c>
      <c r="AZ97" s="19">
        <v>3856465</v>
      </c>
      <c r="BA97" s="19">
        <v>3675218.6999359</v>
      </c>
      <c r="BB97" s="19">
        <v>3610831.5469670594</v>
      </c>
      <c r="BC97" s="19">
        <v>3878382.0477564102</v>
      </c>
      <c r="BD97" s="19">
        <v>4159916.71833333</v>
      </c>
      <c r="BE97" s="19">
        <v>4263393.5333333351</v>
      </c>
      <c r="BF97" s="19">
        <v>4350714.31544872</v>
      </c>
      <c r="BG97" s="19">
        <v>4226782.75980769</v>
      </c>
      <c r="BH97" s="19">
        <v>4255866.9654487204</v>
      </c>
      <c r="BI97" s="19">
        <v>4154109.6678205193</v>
      </c>
      <c r="BJ97" s="19">
        <v>4008410.4289743612</v>
      </c>
      <c r="BK97" s="19">
        <v>3841665.6708600996</v>
      </c>
      <c r="BL97" s="19">
        <v>3795257.3405534327</v>
      </c>
      <c r="BM97" s="19">
        <v>4345647.280576922</v>
      </c>
      <c r="BN97" s="19">
        <v>4322220.0951282047</v>
      </c>
      <c r="BO97" s="19">
        <v>5385776.3660256397</v>
      </c>
      <c r="BP97" s="19">
        <v>5317021.6030128207</v>
      </c>
      <c r="BQ97" s="19">
        <v>7765348.2626923099</v>
      </c>
      <c r="BR97" s="19">
        <v>7325918.51955128</v>
      </c>
      <c r="BS97" s="19">
        <v>6528208.6888461523</v>
      </c>
      <c r="BT97" s="19">
        <v>6557592.1728846151</v>
      </c>
      <c r="BU97" s="19">
        <v>5971041.4852564102</v>
      </c>
      <c r="BV97" s="19">
        <v>5912933.8114743587</v>
      </c>
      <c r="BW97" s="19">
        <v>6469243.0630128235</v>
      </c>
      <c r="BX97" s="19">
        <v>6284623.7155769309</v>
      </c>
      <c r="BY97" s="19">
        <v>6480118.275769229</v>
      </c>
      <c r="BZ97" s="19">
        <v>6382703.5160897486</v>
      </c>
      <c r="CA97" s="19">
        <v>6712077.2269230848</v>
      </c>
      <c r="CB97" s="19">
        <v>7015782.8501923122</v>
      </c>
      <c r="CC97" s="19">
        <v>7728573.5332692359</v>
      </c>
      <c r="CD97" s="19">
        <v>8039331.3681410328</v>
      </c>
      <c r="CE97" s="19">
        <v>8845200.8500641137</v>
      </c>
      <c r="CF97" s="19">
        <v>8921003.860128209</v>
      </c>
      <c r="CG97" s="19">
        <v>8748018.6486538518</v>
      </c>
      <c r="CH97" s="19">
        <v>9306157.1343589853</v>
      </c>
      <c r="CI97" s="19">
        <v>9729679.7983333394</v>
      </c>
      <c r="CJ97" s="19">
        <v>10003794.777345669</v>
      </c>
      <c r="CK97" s="19">
        <v>11441533.707243595</v>
      </c>
      <c r="CL97" s="19">
        <v>11928268.177307699</v>
      </c>
      <c r="CM97" s="19">
        <v>12691202.367051285</v>
      </c>
      <c r="CN97" s="19">
        <v>13709969.975640999</v>
      </c>
      <c r="CO97" s="19">
        <v>14966400.806602567</v>
      </c>
      <c r="CP97" s="19">
        <v>14999498.999551278</v>
      </c>
      <c r="CQ97" s="19">
        <v>14695239.293910258</v>
      </c>
      <c r="CR97" s="19">
        <v>15026667.511858966</v>
      </c>
      <c r="CS97" s="19">
        <v>14473071.193269232</v>
      </c>
      <c r="CT97" s="19">
        <v>14667137.990384612</v>
      </c>
      <c r="CU97" s="19">
        <f t="shared" ref="CU97:DR97" si="357">CT97/CT$83*CU$83</f>
        <v>13517145.897509558</v>
      </c>
      <c r="CV97" s="19">
        <f t="shared" si="357"/>
        <v>13641867.763615893</v>
      </c>
      <c r="CW97" s="19">
        <f t="shared" si="357"/>
        <v>13284988.263149263</v>
      </c>
      <c r="CX97" s="19">
        <f t="shared" si="357"/>
        <v>13746954.126898116</v>
      </c>
      <c r="CY97" s="19">
        <f t="shared" si="357"/>
        <v>12618019.329188731</v>
      </c>
      <c r="CZ97" s="19">
        <f t="shared" si="357"/>
        <v>11916695.472585449</v>
      </c>
      <c r="DA97" s="19">
        <f t="shared" si="357"/>
        <v>13666158.793426702</v>
      </c>
      <c r="DB97" s="19">
        <f t="shared" si="357"/>
        <v>14436745.249093693</v>
      </c>
      <c r="DC97" s="19">
        <f t="shared" si="357"/>
        <v>16839266.990839671</v>
      </c>
      <c r="DD97" s="19">
        <f t="shared" si="357"/>
        <v>16839984.691452779</v>
      </c>
      <c r="DE97" s="19">
        <f t="shared" si="357"/>
        <v>15645254.324344438</v>
      </c>
      <c r="DF97" s="19">
        <f t="shared" si="357"/>
        <v>16635311.786621284</v>
      </c>
      <c r="DG97" s="19">
        <f t="shared" si="357"/>
        <v>16518174.110252293</v>
      </c>
      <c r="DH97" s="19">
        <f t="shared" si="357"/>
        <v>16687544.016538085</v>
      </c>
      <c r="DI97" s="19">
        <f t="shared" si="357"/>
        <v>16214797.992758028</v>
      </c>
      <c r="DJ97" s="19">
        <f t="shared" si="357"/>
        <v>16774113.924289327</v>
      </c>
      <c r="DK97" s="19">
        <f t="shared" si="357"/>
        <v>15383241.301575005</v>
      </c>
      <c r="DL97" s="19">
        <f t="shared" si="357"/>
        <v>14494758.985176731</v>
      </c>
      <c r="DM97" s="19">
        <f t="shared" si="357"/>
        <v>16619927.308963286</v>
      </c>
      <c r="DN97" s="19">
        <f t="shared" si="357"/>
        <v>17553279.872073192</v>
      </c>
      <c r="DO97" s="19">
        <f t="shared" si="357"/>
        <v>20435236.068229567</v>
      </c>
      <c r="DP97" s="19">
        <f t="shared" si="357"/>
        <v>20384725.879903812</v>
      </c>
      <c r="DQ97" s="19">
        <f t="shared" si="357"/>
        <v>18920376.201686535</v>
      </c>
      <c r="DR97" s="19">
        <f t="shared" si="357"/>
        <v>20000143.301616643</v>
      </c>
      <c r="DS97" s="19">
        <f t="shared" si="320"/>
        <v>19355152.241833221</v>
      </c>
      <c r="DT97" s="19">
        <f t="shared" si="321"/>
        <v>19554780.007182106</v>
      </c>
      <c r="DU97" s="19">
        <f t="shared" si="322"/>
        <v>18990593.52109411</v>
      </c>
      <c r="DV97" s="19">
        <f t="shared" si="323"/>
        <v>19629436.813951496</v>
      </c>
      <c r="DW97" s="19">
        <f t="shared" si="324"/>
        <v>18001876.187740009</v>
      </c>
      <c r="DX97" s="19">
        <f t="shared" si="325"/>
        <v>16957502.43994223</v>
      </c>
      <c r="DY97" s="19">
        <f t="shared" si="326"/>
        <v>19420850.535522081</v>
      </c>
      <c r="DZ97" s="19">
        <f t="shared" si="327"/>
        <v>20552705.402051747</v>
      </c>
      <c r="EA97" s="19">
        <f t="shared" si="328"/>
        <v>23920894.978390761</v>
      </c>
      <c r="EB97" s="19">
        <f t="shared" si="329"/>
        <v>23850914.068805642</v>
      </c>
      <c r="EC97" s="19">
        <f t="shared" si="330"/>
        <v>22133827.284425274</v>
      </c>
      <c r="ED97" s="19">
        <f t="shared" si="331"/>
        <v>23364170.802084032</v>
      </c>
      <c r="EE97" s="222"/>
      <c r="EF97" s="19">
        <f t="shared" si="332"/>
        <v>11982570.291990455</v>
      </c>
      <c r="EG97" s="19">
        <f t="shared" si="333"/>
        <v>15025018.064166665</v>
      </c>
      <c r="EH97" s="19">
        <f t="shared" si="334"/>
        <v>21619475.471089743</v>
      </c>
      <c r="EI97" s="19">
        <f t="shared" si="335"/>
        <v>18441567.469615385</v>
      </c>
      <c r="EJ97" s="19">
        <f t="shared" si="336"/>
        <v>19233985.054358985</v>
      </c>
      <c r="EK97" s="19">
        <f t="shared" si="337"/>
        <v>20110563.593205146</v>
      </c>
      <c r="EL97" s="19">
        <f t="shared" si="338"/>
        <v>24613105.75147438</v>
      </c>
      <c r="EM97" s="19">
        <f t="shared" si="339"/>
        <v>26975179.643141046</v>
      </c>
      <c r="EN97" s="19">
        <f t="shared" si="340"/>
        <v>31175008.282922603</v>
      </c>
      <c r="EO97" s="19">
        <f t="shared" si="341"/>
        <v>38329440.519999981</v>
      </c>
      <c r="EP97" s="19">
        <f t="shared" si="342"/>
        <v>44661139.100064099</v>
      </c>
      <c r="EQ97" s="19">
        <f t="shared" si="343"/>
        <v>44166876.695512816</v>
      </c>
      <c r="ER97" s="19">
        <f t="shared" si="344"/>
        <v>40444001.924274713</v>
      </c>
      <c r="ES97" s="19">
        <f t="shared" si="345"/>
        <v>38281668.928672291</v>
      </c>
      <c r="ET97" s="19">
        <f t="shared" si="346"/>
        <v>44942171.033360064</v>
      </c>
      <c r="EU97" s="19">
        <f t="shared" si="347"/>
        <v>49120550.8024185</v>
      </c>
      <c r="EV97" s="19">
        <f t="shared" si="348"/>
        <v>49420516.11954841</v>
      </c>
      <c r="EW97" s="19">
        <f t="shared" si="349"/>
        <v>46652114.211041063</v>
      </c>
      <c r="EX97" s="19">
        <f t="shared" si="350"/>
        <v>54608443.249266043</v>
      </c>
      <c r="EY97" s="19">
        <f t="shared" si="351"/>
        <v>59305245.383206993</v>
      </c>
      <c r="EZ97" s="19">
        <f t="shared" si="287"/>
        <v>57900525.770109445</v>
      </c>
      <c r="FA97" s="19">
        <f t="shared" si="288"/>
        <v>54588815.441633731</v>
      </c>
      <c r="FB97" s="19">
        <f t="shared" si="289"/>
        <v>63894450.915964589</v>
      </c>
      <c r="FC97" s="19">
        <f t="shared" si="290"/>
        <v>69348912.155314952</v>
      </c>
      <c r="FE97" s="19">
        <f t="shared" si="291"/>
        <v>67068631.296862245</v>
      </c>
      <c r="FF97" s="19">
        <f t="shared" si="292"/>
        <v>90932834.042179555</v>
      </c>
      <c r="FG97" s="19">
        <f t="shared" si="293"/>
        <v>158332464.59849948</v>
      </c>
      <c r="FH97" s="19">
        <f t="shared" si="294"/>
        <v>172788392.68872556</v>
      </c>
      <c r="FI97" s="19">
        <f t="shared" si="295"/>
        <v>209986318.96306249</v>
      </c>
      <c r="FJ97" s="770">
        <f t="shared" si="207"/>
        <v>245732704.28302273</v>
      </c>
      <c r="FK97" s="545" t="s">
        <v>1</v>
      </c>
    </row>
    <row r="98" spans="2:167" x14ac:dyDescent="0.2">
      <c r="B98" s="225" t="s">
        <v>203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464690.21313559316</v>
      </c>
      <c r="AD98" s="19">
        <v>413859.96452380955</v>
      </c>
      <c r="AE98" s="19">
        <v>524049.20338983042</v>
      </c>
      <c r="AF98" s="19">
        <v>442709.63135593222</v>
      </c>
      <c r="AG98" s="19">
        <v>417746.18644067796</v>
      </c>
      <c r="AH98" s="19">
        <v>402297.83898305084</v>
      </c>
      <c r="AI98" s="19">
        <v>404381.31355932198</v>
      </c>
      <c r="AJ98" s="19">
        <v>402682.62711864407</v>
      </c>
      <c r="AK98" s="19">
        <v>366026.7</v>
      </c>
      <c r="AL98" s="19">
        <v>486624.78813559317</v>
      </c>
      <c r="AM98" s="19">
        <v>305035.04237288132</v>
      </c>
      <c r="AN98" s="19">
        <v>0</v>
      </c>
      <c r="AO98" s="19">
        <v>548735.97457627114</v>
      </c>
      <c r="AP98" s="19">
        <v>763259.1101694915</v>
      </c>
      <c r="AQ98" s="19">
        <v>703194.6610169491</v>
      </c>
      <c r="AR98" s="19">
        <v>865866.6101694915</v>
      </c>
      <c r="AS98" s="19">
        <v>823447.88135593222</v>
      </c>
      <c r="AT98" s="19">
        <v>868552.11864406778</v>
      </c>
      <c r="AU98" s="19">
        <v>1245917.0262711863</v>
      </c>
      <c r="AV98" s="19">
        <v>1235270.720338983</v>
      </c>
      <c r="AW98" s="19">
        <v>1234301.3135593219</v>
      </c>
      <c r="AX98" s="19">
        <v>1140131.9491525423</v>
      </c>
      <c r="AY98" s="19">
        <v>1408098.9406779662</v>
      </c>
      <c r="AZ98" s="19">
        <v>1617440.720338983</v>
      </c>
      <c r="BA98" s="19">
        <v>1635311.5677966101</v>
      </c>
      <c r="BB98" s="19">
        <v>1920910.5508474577</v>
      </c>
      <c r="BC98" s="19">
        <v>2016212.7966101696</v>
      </c>
      <c r="BD98" s="19">
        <v>1893172.6271186438</v>
      </c>
      <c r="BE98" s="19">
        <v>1806322.7542372879</v>
      </c>
      <c r="BF98" s="19">
        <v>1906505.9745762711</v>
      </c>
      <c r="BG98" s="19">
        <v>1921347.3305084745</v>
      </c>
      <c r="BH98" s="19">
        <v>2040918.3050847456</v>
      </c>
      <c r="BI98" s="19">
        <v>1922137.8813559322</v>
      </c>
      <c r="BJ98" s="19">
        <v>2023275.7627118644</v>
      </c>
      <c r="BK98" s="19">
        <v>2091748.4745762711</v>
      </c>
      <c r="BL98" s="19">
        <v>2194290.8898305083</v>
      </c>
      <c r="BM98" s="19">
        <v>2305587.3305084747</v>
      </c>
      <c r="BN98" s="19">
        <v>2480884.0677966103</v>
      </c>
      <c r="BO98" s="19">
        <v>2507427.7118644067</v>
      </c>
      <c r="BP98" s="19">
        <v>2173633.3474576268</v>
      </c>
      <c r="BQ98" s="19">
        <v>2226024.5338983047</v>
      </c>
      <c r="BR98" s="19">
        <v>1850930.9745762711</v>
      </c>
      <c r="BS98" s="19">
        <v>1859126.1864406778</v>
      </c>
      <c r="BT98" s="19">
        <v>1828529.7457627119</v>
      </c>
      <c r="BU98" s="19">
        <v>1843272.7118644067</v>
      </c>
      <c r="BV98" s="19">
        <v>2147163.6864406778</v>
      </c>
      <c r="BW98" s="19">
        <v>2283013.7288135593</v>
      </c>
      <c r="BX98" s="19">
        <v>2448660.3813559324</v>
      </c>
      <c r="BY98" s="19">
        <v>2643770.3389830505</v>
      </c>
      <c r="BZ98" s="19">
        <v>2818794.5084745758</v>
      </c>
      <c r="CA98" s="19">
        <v>2748113.8983050846</v>
      </c>
      <c r="CB98" s="19">
        <v>2646348.1779661016</v>
      </c>
      <c r="CC98" s="19">
        <v>2695889.9593220339</v>
      </c>
      <c r="CD98" s="19">
        <v>2447775.8796610171</v>
      </c>
      <c r="CE98" s="19">
        <v>2847536.5525423726</v>
      </c>
      <c r="CF98" s="19">
        <v>2707648.7898305082</v>
      </c>
      <c r="CG98" s="19">
        <v>2366941.8305084743</v>
      </c>
      <c r="CH98" s="19">
        <v>3140832.0406779661</v>
      </c>
      <c r="CI98" s="19">
        <v>2898238.6016949154</v>
      </c>
      <c r="CJ98" s="19">
        <v>2990955.5084745758</v>
      </c>
      <c r="CK98" s="19">
        <v>3005626.1949152541</v>
      </c>
      <c r="CL98" s="19">
        <v>3395868.7766949153</v>
      </c>
      <c r="CM98" s="19">
        <v>3815735.7546610166</v>
      </c>
      <c r="CN98" s="19">
        <v>3196792.8597457628</v>
      </c>
      <c r="CO98" s="19">
        <v>3263023.8203389831</v>
      </c>
      <c r="CP98" s="19">
        <v>3383415.2656779662</v>
      </c>
      <c r="CQ98" s="19">
        <v>4087288.136440678</v>
      </c>
      <c r="CR98" s="19">
        <v>4051531.2826271183</v>
      </c>
      <c r="CS98" s="19">
        <v>3960259.9372881353</v>
      </c>
      <c r="CT98" s="19">
        <v>6747075.8466101699</v>
      </c>
      <c r="CU98" s="19">
        <f t="shared" ref="CU98:DR98" si="358">CT98/CT$83*CU$83</f>
        <v>6218064.400838227</v>
      </c>
      <c r="CV98" s="19">
        <f t="shared" si="358"/>
        <v>6275438.0950723626</v>
      </c>
      <c r="CW98" s="19">
        <f t="shared" si="358"/>
        <v>6111268.8441027971</v>
      </c>
      <c r="CX98" s="19">
        <f t="shared" si="358"/>
        <v>6323779.2004723661</v>
      </c>
      <c r="CY98" s="19">
        <f t="shared" si="358"/>
        <v>5804454.3866595943</v>
      </c>
      <c r="CZ98" s="19">
        <f t="shared" si="358"/>
        <v>5481836.2142089363</v>
      </c>
      <c r="DA98" s="19">
        <f t="shared" si="358"/>
        <v>6286612.2873812662</v>
      </c>
      <c r="DB98" s="19">
        <f t="shared" si="358"/>
        <v>6641092.163834611</v>
      </c>
      <c r="DC98" s="19">
        <f t="shared" si="358"/>
        <v>7746283.6759971706</v>
      </c>
      <c r="DD98" s="19">
        <f t="shared" si="358"/>
        <v>7746613.8276924072</v>
      </c>
      <c r="DE98" s="19">
        <f t="shared" si="358"/>
        <v>7197022.1889955513</v>
      </c>
      <c r="DF98" s="19">
        <f t="shared" si="358"/>
        <v>7652461.6070240373</v>
      </c>
      <c r="DG98" s="19">
        <f t="shared" si="358"/>
        <v>7598576.7395416843</v>
      </c>
      <c r="DH98" s="19">
        <f t="shared" si="358"/>
        <v>7676489.1178524802</v>
      </c>
      <c r="DI98" s="19">
        <f t="shared" si="358"/>
        <v>7459019.7464782922</v>
      </c>
      <c r="DJ98" s="19">
        <f t="shared" si="358"/>
        <v>7716312.4108503778</v>
      </c>
      <c r="DK98" s="19">
        <f t="shared" si="358"/>
        <v>7076492.7620150521</v>
      </c>
      <c r="DL98" s="19">
        <f t="shared" si="358"/>
        <v>6667779.2433285164</v>
      </c>
      <c r="DM98" s="19">
        <f t="shared" si="358"/>
        <v>7645384.5455218516</v>
      </c>
      <c r="DN98" s="19">
        <f t="shared" si="358"/>
        <v>8074738.9662042605</v>
      </c>
      <c r="DO98" s="19">
        <f t="shared" si="358"/>
        <v>9400476.6155549828</v>
      </c>
      <c r="DP98" s="19">
        <f t="shared" si="358"/>
        <v>9377241.2664443478</v>
      </c>
      <c r="DQ98" s="19">
        <f t="shared" si="358"/>
        <v>8703621.2083683778</v>
      </c>
      <c r="DR98" s="19">
        <f t="shared" si="358"/>
        <v>9200328.2363297138</v>
      </c>
      <c r="DS98" s="19">
        <f t="shared" si="320"/>
        <v>8903623.8892650623</v>
      </c>
      <c r="DT98" s="19">
        <f t="shared" si="321"/>
        <v>8995455.2796004657</v>
      </c>
      <c r="DU98" s="19">
        <f t="shared" si="322"/>
        <v>8735922.0962511487</v>
      </c>
      <c r="DV98" s="19">
        <f t="shared" si="323"/>
        <v>9029798.3898970336</v>
      </c>
      <c r="DW98" s="19">
        <f t="shared" si="324"/>
        <v>8281099.1551039703</v>
      </c>
      <c r="DX98" s="19">
        <f t="shared" si="325"/>
        <v>7800673.533335113</v>
      </c>
      <c r="DY98" s="19">
        <f t="shared" si="326"/>
        <v>8933845.9660466518</v>
      </c>
      <c r="DZ98" s="19">
        <f t="shared" si="327"/>
        <v>9454514.0498157497</v>
      </c>
      <c r="EA98" s="19">
        <f t="shared" si="328"/>
        <v>11003925.43138312</v>
      </c>
      <c r="EB98" s="19">
        <f t="shared" si="329"/>
        <v>10971733.295119379</v>
      </c>
      <c r="EC98" s="19">
        <f t="shared" si="330"/>
        <v>10181850.853362758</v>
      </c>
      <c r="ED98" s="19">
        <f t="shared" si="331"/>
        <v>10747825.008407243</v>
      </c>
      <c r="EE98" s="222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E98" s="19"/>
      <c r="FF98" s="19"/>
      <c r="FG98" s="19"/>
      <c r="FH98" s="19"/>
      <c r="FI98" s="19"/>
      <c r="FJ98" s="770">
        <f t="shared" si="207"/>
        <v>0</v>
      </c>
      <c r="FK98" s="545" t="s">
        <v>1</v>
      </c>
    </row>
    <row r="99" spans="2:167" x14ac:dyDescent="0.2">
      <c r="B99" s="225" t="s">
        <v>27</v>
      </c>
      <c r="C99" s="20">
        <f>C83/C63</f>
        <v>0.93123451881065977</v>
      </c>
      <c r="D99" s="20">
        <f t="shared" ref="D99:BO99" si="359">D83/D63</f>
        <v>0.91802138902744679</v>
      </c>
      <c r="E99" s="20">
        <f t="shared" si="359"/>
        <v>0.93097820702967038</v>
      </c>
      <c r="F99" s="20">
        <f t="shared" si="359"/>
        <v>0.93104117600270542</v>
      </c>
      <c r="G99" s="20">
        <f t="shared" si="359"/>
        <v>0.96517563608261236</v>
      </c>
      <c r="H99" s="20">
        <f t="shared" si="359"/>
        <v>0.94552217514231862</v>
      </c>
      <c r="I99" s="20">
        <f t="shared" si="359"/>
        <v>1.0083168232476447</v>
      </c>
      <c r="J99" s="20">
        <f t="shared" si="359"/>
        <v>0.94343457564114741</v>
      </c>
      <c r="K99" s="20">
        <f t="shared" si="359"/>
        <v>0.97232432247687806</v>
      </c>
      <c r="L99" s="20">
        <f t="shared" si="359"/>
        <v>1.0027343188990627</v>
      </c>
      <c r="M99" s="20">
        <f t="shared" si="359"/>
        <v>0.97251939683097488</v>
      </c>
      <c r="N99" s="20">
        <f t="shared" si="359"/>
        <v>0.9488778817351764</v>
      </c>
      <c r="O99" s="20">
        <f t="shared" si="359"/>
        <v>0.95843366842984423</v>
      </c>
      <c r="P99" s="20">
        <f t="shared" si="359"/>
        <v>0.96632850281975968</v>
      </c>
      <c r="Q99" s="20">
        <f t="shared" si="359"/>
        <v>0.96773100069612994</v>
      </c>
      <c r="R99" s="20">
        <f t="shared" si="359"/>
        <v>0.93576068364760578</v>
      </c>
      <c r="S99" s="20">
        <f t="shared" si="359"/>
        <v>0.93571177981280718</v>
      </c>
      <c r="T99" s="20">
        <f t="shared" si="359"/>
        <v>0.95658769299576418</v>
      </c>
      <c r="U99" s="20">
        <f t="shared" si="359"/>
        <v>0.94915928142968309</v>
      </c>
      <c r="V99" s="20">
        <f t="shared" si="359"/>
        <v>0.96312832002605198</v>
      </c>
      <c r="W99" s="20">
        <f t="shared" si="359"/>
        <v>0.95249163279408522</v>
      </c>
      <c r="X99" s="20">
        <f t="shared" si="359"/>
        <v>0.93932264449334157</v>
      </c>
      <c r="Y99" s="20">
        <f t="shared" si="359"/>
        <v>0.92891905214277781</v>
      </c>
      <c r="Z99" s="20">
        <f t="shared" si="359"/>
        <v>0.94053458648988875</v>
      </c>
      <c r="AA99" s="20">
        <f t="shared" si="359"/>
        <v>-2.1336332015295514</v>
      </c>
      <c r="AB99" s="20">
        <f t="shared" si="359"/>
        <v>0.91769332725882291</v>
      </c>
      <c r="AC99" s="20">
        <f t="shared" si="359"/>
        <v>0.91266237682110496</v>
      </c>
      <c r="AD99" s="20">
        <f t="shared" si="359"/>
        <v>0.87497194751451124</v>
      </c>
      <c r="AE99" s="20">
        <f t="shared" si="359"/>
        <v>0.88890828455063342</v>
      </c>
      <c r="AF99" s="20">
        <f t="shared" si="359"/>
        <v>0.88928906434747246</v>
      </c>
      <c r="AG99" s="20">
        <f t="shared" si="359"/>
        <v>0.88430264545135318</v>
      </c>
      <c r="AH99" s="20">
        <f t="shared" si="359"/>
        <v>0.88014434385768991</v>
      </c>
      <c r="AI99" s="20">
        <f t="shared" si="359"/>
        <v>0.90442665037453518</v>
      </c>
      <c r="AJ99" s="20">
        <f t="shared" si="359"/>
        <v>0.90710617776978442</v>
      </c>
      <c r="AK99" s="20">
        <f t="shared" si="359"/>
        <v>0.91560181628626869</v>
      </c>
      <c r="AL99" s="20">
        <f t="shared" si="359"/>
        <v>0.89461680947424427</v>
      </c>
      <c r="AM99" s="20">
        <f t="shared" si="359"/>
        <v>0.92220442948503312</v>
      </c>
      <c r="AN99" s="20">
        <f t="shared" si="359"/>
        <v>0.94464682500630959</v>
      </c>
      <c r="AO99" s="20">
        <f t="shared" si="359"/>
        <v>0.8903313120852322</v>
      </c>
      <c r="AP99" s="20">
        <f t="shared" si="359"/>
        <v>0.89970940356361562</v>
      </c>
      <c r="AQ99" s="20">
        <f t="shared" si="359"/>
        <v>0.89308954444957289</v>
      </c>
      <c r="AR99" s="20">
        <f t="shared" si="359"/>
        <v>0.89062487745586449</v>
      </c>
      <c r="AS99" s="20">
        <f t="shared" si="359"/>
        <v>0.85500589837171348</v>
      </c>
      <c r="AT99" s="20">
        <f t="shared" si="359"/>
        <v>0.87436900673469364</v>
      </c>
      <c r="AU99" s="20">
        <f t="shared" si="359"/>
        <v>0.89293047894669864</v>
      </c>
      <c r="AV99" s="20">
        <f t="shared" si="359"/>
        <v>0.90459611559209863</v>
      </c>
      <c r="AW99" s="20">
        <f t="shared" si="359"/>
        <v>0.92483542302603028</v>
      </c>
      <c r="AX99" s="20">
        <f t="shared" si="359"/>
        <v>0.90864844358964281</v>
      </c>
      <c r="AY99" s="20">
        <f t="shared" si="359"/>
        <v>0.92178232233452351</v>
      </c>
      <c r="AZ99" s="20">
        <f t="shared" si="359"/>
        <v>0.93625818371295511</v>
      </c>
      <c r="BA99" s="20">
        <f t="shared" si="359"/>
        <v>0.89301119240849158</v>
      </c>
      <c r="BB99" s="20">
        <f t="shared" si="359"/>
        <v>0.8750029349589008</v>
      </c>
      <c r="BC99" s="20">
        <f t="shared" si="359"/>
        <v>0.90546374511106353</v>
      </c>
      <c r="BD99" s="20">
        <f t="shared" si="359"/>
        <v>0.9356969470523786</v>
      </c>
      <c r="BE99" s="20">
        <f t="shared" si="359"/>
        <v>0.91731903312972085</v>
      </c>
      <c r="BF99" s="20">
        <f t="shared" si="359"/>
        <v>0.92215330535659468</v>
      </c>
      <c r="BG99" s="20">
        <f t="shared" si="359"/>
        <v>0.90783825964902665</v>
      </c>
      <c r="BH99" s="20">
        <f t="shared" si="359"/>
        <v>0.89706071909683538</v>
      </c>
      <c r="BI99" s="20">
        <f t="shared" si="359"/>
        <v>0.88886375722582744</v>
      </c>
      <c r="BJ99" s="20">
        <f t="shared" si="359"/>
        <v>0.87570615112809957</v>
      </c>
      <c r="BK99" s="20">
        <f t="shared" si="359"/>
        <v>0.86808599535102293</v>
      </c>
      <c r="BL99" s="20">
        <f t="shared" si="359"/>
        <v>0.86344479813449082</v>
      </c>
      <c r="BM99" s="20">
        <f t="shared" si="359"/>
        <v>0.84059475742060019</v>
      </c>
      <c r="BN99" s="20">
        <f t="shared" si="359"/>
        <v>0.82412799190277675</v>
      </c>
      <c r="BO99" s="20">
        <f t="shared" si="359"/>
        <v>0.82750289502627772</v>
      </c>
      <c r="BP99" s="20">
        <f t="shared" ref="BP99:EM99" si="360">BP83/BP63</f>
        <v>0.85534000214071859</v>
      </c>
      <c r="BQ99" s="20">
        <f t="shared" si="360"/>
        <v>0.83351010800218661</v>
      </c>
      <c r="BR99" s="20">
        <f t="shared" si="360"/>
        <v>0.84125499619111044</v>
      </c>
      <c r="BS99" s="20">
        <f t="shared" si="360"/>
        <v>0.84627957014067312</v>
      </c>
      <c r="BT99" s="20">
        <f t="shared" si="360"/>
        <v>0.84617389900902973</v>
      </c>
      <c r="BU99" s="20">
        <f t="shared" si="360"/>
        <v>0.80318967040994993</v>
      </c>
      <c r="BV99" s="20">
        <f t="shared" si="360"/>
        <v>0.80353393992732303</v>
      </c>
      <c r="BW99" s="20">
        <f t="shared" si="360"/>
        <v>0.80903650290136442</v>
      </c>
      <c r="BX99" s="20">
        <f t="shared" si="360"/>
        <v>0.79492014368023833</v>
      </c>
      <c r="BY99" s="20">
        <f t="shared" si="360"/>
        <v>0.79367190966830803</v>
      </c>
      <c r="BZ99" s="20">
        <f t="shared" si="360"/>
        <v>0.79817749733418453</v>
      </c>
      <c r="CA99" s="20">
        <f t="shared" si="360"/>
        <v>0.79250243861632808</v>
      </c>
      <c r="CB99" s="20">
        <f t="shared" si="360"/>
        <v>0.79453871498534101</v>
      </c>
      <c r="CC99" s="20">
        <f t="shared" si="360"/>
        <v>0.78035813711871449</v>
      </c>
      <c r="CD99" s="20">
        <f t="shared" si="360"/>
        <v>0.79063084335190648</v>
      </c>
      <c r="CE99" s="20">
        <f t="shared" si="360"/>
        <v>0.80598548869814868</v>
      </c>
      <c r="CF99" s="20">
        <f t="shared" si="360"/>
        <v>0.81276086778234935</v>
      </c>
      <c r="CG99" s="20">
        <f t="shared" si="360"/>
        <v>0.81772902552877014</v>
      </c>
      <c r="CH99" s="20">
        <f t="shared" si="360"/>
        <v>0.83322319517087429</v>
      </c>
      <c r="CI99" s="20">
        <f t="shared" si="360"/>
        <v>0.81597323111750908</v>
      </c>
      <c r="CJ99" s="20">
        <f t="shared" si="360"/>
        <v>0.81458535041740376</v>
      </c>
      <c r="CK99" s="20">
        <f t="shared" si="360"/>
        <v>0.80626127860552399</v>
      </c>
      <c r="CL99" s="20">
        <f t="shared" si="360"/>
        <v>0.8068004311835788</v>
      </c>
      <c r="CM99" s="20">
        <f t="shared" si="360"/>
        <v>0.79088451410994121</v>
      </c>
      <c r="CN99" s="20">
        <f t="shared" si="360"/>
        <v>0.7953919566918124</v>
      </c>
      <c r="CO99" s="20">
        <f t="shared" si="360"/>
        <v>0.78304497074694723</v>
      </c>
      <c r="CP99" s="20">
        <f t="shared" si="360"/>
        <v>0.80943590039597779</v>
      </c>
      <c r="CQ99" s="20">
        <f t="shared" si="360"/>
        <v>0.83564661295320208</v>
      </c>
      <c r="CR99" s="20">
        <f t="shared" si="360"/>
        <v>0.8341755258113025</v>
      </c>
      <c r="CS99" s="20">
        <f t="shared" si="360"/>
        <v>0.8292643391286143</v>
      </c>
      <c r="CT99" s="20">
        <f t="shared" si="360"/>
        <v>0.82136717256313352</v>
      </c>
      <c r="CU99" s="20">
        <f t="shared" si="360"/>
        <v>0.82115623003890892</v>
      </c>
      <c r="CV99" s="20">
        <f t="shared" si="360"/>
        <v>0.81965916357497171</v>
      </c>
      <c r="CW99" s="20">
        <f t="shared" si="360"/>
        <v>0.81687572308235679</v>
      </c>
      <c r="CX99" s="20">
        <f t="shared" si="360"/>
        <v>0.81300113336396451</v>
      </c>
      <c r="CY99" s="20">
        <f t="shared" si="360"/>
        <v>0.81226392006732473</v>
      </c>
      <c r="CZ99" s="20">
        <f t="shared" si="360"/>
        <v>0.79950342298315913</v>
      </c>
      <c r="DA99" s="20">
        <f t="shared" si="360"/>
        <v>0.79734257343516068</v>
      </c>
      <c r="DB99" s="20">
        <f t="shared" si="360"/>
        <v>0.82001912022229984</v>
      </c>
      <c r="DC99" s="20">
        <f t="shared" si="360"/>
        <v>0.8235747893389076</v>
      </c>
      <c r="DD99" s="20">
        <f t="shared" si="360"/>
        <v>0.81984880135028004</v>
      </c>
      <c r="DE99" s="20">
        <f t="shared" si="360"/>
        <v>0.82304996045448098</v>
      </c>
      <c r="DF99" s="20">
        <f t="shared" si="360"/>
        <v>0.81393875898655799</v>
      </c>
      <c r="DG99" s="20">
        <f t="shared" si="360"/>
        <v>0.82067017197718739</v>
      </c>
      <c r="DH99" s="20">
        <f t="shared" si="360"/>
        <v>0.81910069768195359</v>
      </c>
      <c r="DI99" s="20">
        <f t="shared" si="360"/>
        <v>0.81657432897565829</v>
      </c>
      <c r="DJ99" s="20">
        <f t="shared" si="360"/>
        <v>0.81290179658042516</v>
      </c>
      <c r="DK99" s="20">
        <f t="shared" si="360"/>
        <v>0.81219897194442492</v>
      </c>
      <c r="DL99" s="20">
        <f t="shared" si="360"/>
        <v>0.7998740212315063</v>
      </c>
      <c r="DM99" s="20">
        <f t="shared" si="360"/>
        <v>0.7975505433873612</v>
      </c>
      <c r="DN99" s="20">
        <f t="shared" si="360"/>
        <v>0.81958207148986506</v>
      </c>
      <c r="DO99" s="20">
        <f t="shared" si="360"/>
        <v>0.82313323035376718</v>
      </c>
      <c r="DP99" s="20">
        <f t="shared" si="360"/>
        <v>0.81953204425361814</v>
      </c>
      <c r="DQ99" s="20">
        <f t="shared" si="360"/>
        <v>0.82279758741094711</v>
      </c>
      <c r="DR99" s="20">
        <f t="shared" si="360"/>
        <v>0.81407128971146592</v>
      </c>
      <c r="DS99" s="20">
        <f t="shared" ref="DS99:ED99" si="361">DS83/DS63</f>
        <v>0.8208219552710404</v>
      </c>
      <c r="DT99" s="20">
        <f t="shared" si="361"/>
        <v>0.81918915956814387</v>
      </c>
      <c r="DU99" s="20">
        <f t="shared" si="361"/>
        <v>0.816870742072763</v>
      </c>
      <c r="DV99" s="20">
        <f t="shared" si="361"/>
        <v>0.81339397144827019</v>
      </c>
      <c r="DW99" s="20">
        <f t="shared" si="361"/>
        <v>0.8126957732804414</v>
      </c>
      <c r="DX99" s="20">
        <f t="shared" si="361"/>
        <v>0.80081066899022291</v>
      </c>
      <c r="DY99" s="20">
        <f t="shared" si="361"/>
        <v>0.79837131590714472</v>
      </c>
      <c r="DZ99" s="20">
        <f t="shared" si="361"/>
        <v>0.81962313620356786</v>
      </c>
      <c r="EA99" s="20">
        <f t="shared" si="361"/>
        <v>0.82318327984476358</v>
      </c>
      <c r="EB99" s="20">
        <f t="shared" si="361"/>
        <v>0.81976166862545541</v>
      </c>
      <c r="EC99" s="20">
        <f t="shared" si="361"/>
        <v>0.82296079358403418</v>
      </c>
      <c r="ED99" s="20">
        <f t="shared" si="361"/>
        <v>0.81468939534420604</v>
      </c>
      <c r="EE99" s="222"/>
      <c r="EF99" s="20">
        <f t="shared" si="360"/>
        <v>0.85777629925797372</v>
      </c>
      <c r="EG99" s="20">
        <f t="shared" si="360"/>
        <v>0.83576202618828721</v>
      </c>
      <c r="EH99" s="20">
        <f t="shared" si="360"/>
        <v>0.83999889956367413</v>
      </c>
      <c r="EI99" s="20">
        <f t="shared" si="360"/>
        <v>0.81775994590496204</v>
      </c>
      <c r="EJ99" s="20">
        <f t="shared" si="360"/>
        <v>0.79905199102170588</v>
      </c>
      <c r="EK99" s="20">
        <f t="shared" si="360"/>
        <v>0.79517781643689889</v>
      </c>
      <c r="EL99" s="20">
        <f t="shared" si="360"/>
        <v>0.79280997994386415</v>
      </c>
      <c r="EM99" s="20">
        <f t="shared" si="360"/>
        <v>0.82224271448965847</v>
      </c>
      <c r="EN99" s="20">
        <f t="shared" ref="EN99:FJ99" si="362">EN83/EN63</f>
        <v>0.81229431897171067</v>
      </c>
      <c r="EO99" s="20">
        <f t="shared" si="362"/>
        <v>0.79815756909558488</v>
      </c>
      <c r="EP99" s="20">
        <f t="shared" si="362"/>
        <v>0.81115797697826497</v>
      </c>
      <c r="EQ99" s="20">
        <f t="shared" si="362"/>
        <v>0.82820570531595206</v>
      </c>
      <c r="ER99" s="20">
        <f t="shared" si="362"/>
        <v>0.81924139619538805</v>
      </c>
      <c r="ES99" s="20">
        <f t="shared" si="362"/>
        <v>0.80851022878514833</v>
      </c>
      <c r="ET99" s="20">
        <f t="shared" si="362"/>
        <v>0.81429421451388317</v>
      </c>
      <c r="EU99" s="20">
        <f t="shared" si="362"/>
        <v>0.81884960201231016</v>
      </c>
      <c r="EV99" s="20">
        <f t="shared" si="362"/>
        <v>0.81879292450241237</v>
      </c>
      <c r="EW99" s="20">
        <f t="shared" si="362"/>
        <v>0.80857930978227721</v>
      </c>
      <c r="EX99" s="20">
        <f t="shared" si="362"/>
        <v>0.81405233450369108</v>
      </c>
      <c r="EY99" s="20">
        <f t="shared" si="362"/>
        <v>0.81871659813924558</v>
      </c>
      <c r="EZ99" s="20">
        <f t="shared" si="362"/>
        <v>0.81897137939810249</v>
      </c>
      <c r="FA99" s="20">
        <f t="shared" si="362"/>
        <v>0.80921480470508511</v>
      </c>
      <c r="FB99" s="20">
        <f t="shared" si="362"/>
        <v>0.81435285050324369</v>
      </c>
      <c r="FC99" s="20">
        <f t="shared" si="362"/>
        <v>0.81905982670219291</v>
      </c>
      <c r="FD99" s="785"/>
      <c r="FE99" s="20">
        <f t="shared" si="362"/>
        <v>0.83861212351286207</v>
      </c>
      <c r="FF99" s="20">
        <f t="shared" si="362"/>
        <v>0.80408274477646413</v>
      </c>
      <c r="FG99" s="20">
        <f t="shared" si="362"/>
        <v>0.81394244867275989</v>
      </c>
      <c r="FH99" s="20">
        <f t="shared" si="362"/>
        <v>0.81544399874061357</v>
      </c>
      <c r="FI99" s="20">
        <f t="shared" si="362"/>
        <v>0.81524897341975311</v>
      </c>
      <c r="FJ99" s="20">
        <f t="shared" si="362"/>
        <v>0.81560896996557919</v>
      </c>
      <c r="FK99" s="545" t="s">
        <v>1</v>
      </c>
    </row>
    <row r="100" spans="2:167" x14ac:dyDescent="0.2">
      <c r="B100" s="225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20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222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E100" s="19"/>
      <c r="FF100" s="19"/>
      <c r="FG100" s="19"/>
      <c r="FH100" s="19"/>
      <c r="FI100" s="19"/>
      <c r="FJ100" s="770"/>
      <c r="FK100" s="545"/>
    </row>
    <row r="101" spans="2:167" x14ac:dyDescent="0.2">
      <c r="B101" s="223" t="s">
        <v>28</v>
      </c>
      <c r="C101" s="297">
        <f t="shared" ref="C101:AH101" si="363">SUM(C102:C106)</f>
        <v>9759840.9642857146</v>
      </c>
      <c r="D101" s="297">
        <f t="shared" si="363"/>
        <v>11128434.013874106</v>
      </c>
      <c r="E101" s="297">
        <f t="shared" si="363"/>
        <v>10307501.587710528</v>
      </c>
      <c r="F101" s="297">
        <f t="shared" si="363"/>
        <v>12056460.142829463</v>
      </c>
      <c r="G101" s="297">
        <f t="shared" si="363"/>
        <v>7126627.3097596895</v>
      </c>
      <c r="H101" s="297">
        <f t="shared" si="363"/>
        <v>11137490.777577285</v>
      </c>
      <c r="I101" s="297">
        <f t="shared" si="363"/>
        <v>-1274759.2509233332</v>
      </c>
      <c r="J101" s="297">
        <f t="shared" si="363"/>
        <v>11807962.160838721</v>
      </c>
      <c r="K101" s="297">
        <f t="shared" si="363"/>
        <v>7843278.3738971427</v>
      </c>
      <c r="L101" s="297">
        <f t="shared" si="363"/>
        <v>222640.92774828523</v>
      </c>
      <c r="M101" s="297">
        <f t="shared" si="363"/>
        <v>8149299.064763112</v>
      </c>
      <c r="N101" s="297">
        <f t="shared" si="363"/>
        <v>13104464.843571432</v>
      </c>
      <c r="O101" s="297">
        <f t="shared" si="363"/>
        <v>13893207.669705855</v>
      </c>
      <c r="P101" s="297">
        <f t="shared" si="363"/>
        <v>11911220.598233722</v>
      </c>
      <c r="Q101" s="297">
        <f t="shared" si="363"/>
        <v>12569620.705117377</v>
      </c>
      <c r="R101" s="297">
        <f t="shared" si="363"/>
        <v>23389492.004824162</v>
      </c>
      <c r="S101" s="297">
        <f t="shared" si="363"/>
        <v>19073315.011631031</v>
      </c>
      <c r="T101" s="297">
        <f t="shared" si="363"/>
        <v>11811258.117475107</v>
      </c>
      <c r="U101" s="297">
        <f t="shared" si="363"/>
        <v>11525276.120027084</v>
      </c>
      <c r="V101" s="297">
        <f t="shared" si="363"/>
        <v>10510791.038185151</v>
      </c>
      <c r="W101" s="297">
        <f t="shared" si="363"/>
        <v>15330532.961397056</v>
      </c>
      <c r="X101" s="297">
        <f t="shared" si="363"/>
        <v>19285256.240419697</v>
      </c>
      <c r="Y101" s="297">
        <f t="shared" si="363"/>
        <v>24787999.561106317</v>
      </c>
      <c r="Z101" s="297">
        <f t="shared" si="363"/>
        <v>13730346.262768593</v>
      </c>
      <c r="AA101" s="297">
        <f t="shared" si="363"/>
        <v>-5432448.3214285718</v>
      </c>
      <c r="AB101" s="297">
        <f t="shared" si="363"/>
        <v>15167071.145227879</v>
      </c>
      <c r="AC101" s="297">
        <f t="shared" si="363"/>
        <v>17930278.98932413</v>
      </c>
      <c r="AD101" s="297">
        <f t="shared" si="363"/>
        <v>22107265.09367726</v>
      </c>
      <c r="AE101" s="297">
        <f t="shared" si="363"/>
        <v>29286500.639664933</v>
      </c>
      <c r="AF101" s="297">
        <f t="shared" si="363"/>
        <v>30249560.102784008</v>
      </c>
      <c r="AG101" s="297">
        <f t="shared" si="363"/>
        <v>30094373.473282941</v>
      </c>
      <c r="AH101" s="297">
        <f t="shared" si="363"/>
        <v>36013042.98381272</v>
      </c>
      <c r="AI101" s="297">
        <f t="shared" ref="AI101:BN101" si="364">SUM(AI102:AI106)</f>
        <v>45046659.768519387</v>
      </c>
      <c r="AJ101" s="297">
        <f t="shared" si="364"/>
        <v>41857393.114916921</v>
      </c>
      <c r="AK101" s="297">
        <f t="shared" si="364"/>
        <v>42578885.684532113</v>
      </c>
      <c r="AL101" s="297">
        <f t="shared" si="364"/>
        <v>45915623.920927987</v>
      </c>
      <c r="AM101" s="297">
        <f t="shared" si="364"/>
        <v>26252357.898155533</v>
      </c>
      <c r="AN101" s="297">
        <f t="shared" si="364"/>
        <v>11197399.185395764</v>
      </c>
      <c r="AO101" s="297">
        <f t="shared" si="364"/>
        <v>36868660.8798026</v>
      </c>
      <c r="AP101" s="297">
        <f t="shared" si="364"/>
        <v>44851942.034737751</v>
      </c>
      <c r="AQ101" s="297">
        <f t="shared" si="364"/>
        <v>48550132.454567879</v>
      </c>
      <c r="AR101" s="297">
        <f t="shared" si="364"/>
        <v>50566518.406124704</v>
      </c>
      <c r="AS101" s="297">
        <f t="shared" si="364"/>
        <v>63052346.395982921</v>
      </c>
      <c r="AT101" s="297">
        <f t="shared" si="364"/>
        <v>64829193.635236539</v>
      </c>
      <c r="AU101" s="297">
        <f t="shared" si="364"/>
        <v>69665175.225938439</v>
      </c>
      <c r="AV101" s="297">
        <f t="shared" si="364"/>
        <v>59753503.997781985</v>
      </c>
      <c r="AW101" s="297">
        <f t="shared" si="364"/>
        <v>49490220.935993366</v>
      </c>
      <c r="AX101" s="297">
        <f t="shared" si="364"/>
        <v>55953654.648375422</v>
      </c>
      <c r="AY101" s="297">
        <f t="shared" si="364"/>
        <v>44786075.317380279</v>
      </c>
      <c r="AZ101" s="297">
        <f t="shared" si="364"/>
        <v>42342160.212376527</v>
      </c>
      <c r="BA101" s="297">
        <f t="shared" si="364"/>
        <v>60993944.400080353</v>
      </c>
      <c r="BB101" s="297">
        <f t="shared" si="364"/>
        <v>74318659.30289267</v>
      </c>
      <c r="BC101" s="297">
        <f t="shared" si="364"/>
        <v>59177923.356625564</v>
      </c>
      <c r="BD101" s="297">
        <f t="shared" si="364"/>
        <v>43243903.206645191</v>
      </c>
      <c r="BE101" s="297">
        <f t="shared" si="364"/>
        <v>61716090.368601464</v>
      </c>
      <c r="BF101" s="297">
        <f t="shared" si="364"/>
        <v>61286351.761901356</v>
      </c>
      <c r="BG101" s="297">
        <f t="shared" si="364"/>
        <v>85265547.512879774</v>
      </c>
      <c r="BH101" s="297">
        <f t="shared" si="364"/>
        <v>93456803.472605973</v>
      </c>
      <c r="BI101" s="297">
        <f t="shared" si="364"/>
        <v>92308355.810568422</v>
      </c>
      <c r="BJ101" s="297">
        <f t="shared" si="364"/>
        <v>123987423.031204</v>
      </c>
      <c r="BK101" s="297">
        <f t="shared" si="364"/>
        <v>127710843.08880615</v>
      </c>
      <c r="BL101" s="297">
        <f t="shared" si="364"/>
        <v>133344083.32259926</v>
      </c>
      <c r="BM101" s="297">
        <f t="shared" si="364"/>
        <v>143781015.32170978</v>
      </c>
      <c r="BN101" s="297">
        <f t="shared" si="364"/>
        <v>139473663.68712422</v>
      </c>
      <c r="BO101" s="297">
        <f t="shared" ref="BO101:CT101" si="365">SUM(BO102:BO106)</f>
        <v>145559415.36870027</v>
      </c>
      <c r="BP101" s="297">
        <f t="shared" si="365"/>
        <v>122092322.23203795</v>
      </c>
      <c r="BQ101" s="297">
        <f t="shared" si="365"/>
        <v>177289371.88212031</v>
      </c>
      <c r="BR101" s="297">
        <f t="shared" si="365"/>
        <v>160846326.19099945</v>
      </c>
      <c r="BS101" s="297">
        <f t="shared" si="365"/>
        <v>139576633.22823331</v>
      </c>
      <c r="BT101" s="297">
        <f t="shared" si="365"/>
        <v>131694590.99272077</v>
      </c>
      <c r="BU101" s="297">
        <f t="shared" si="365"/>
        <v>150402623.04689139</v>
      </c>
      <c r="BV101" s="297">
        <f t="shared" si="365"/>
        <v>173616445.72887519</v>
      </c>
      <c r="BW101" s="297">
        <f t="shared" si="365"/>
        <v>173378203.5015097</v>
      </c>
      <c r="BX101" s="297">
        <f t="shared" si="365"/>
        <v>193261249.38266301</v>
      </c>
      <c r="BY101" s="297">
        <f t="shared" si="365"/>
        <v>197672319.4929736</v>
      </c>
      <c r="BZ101" s="297">
        <f t="shared" si="365"/>
        <v>190413202.7110503</v>
      </c>
      <c r="CA101" s="297">
        <f t="shared" si="365"/>
        <v>180423337.63969764</v>
      </c>
      <c r="CB101" s="297">
        <f t="shared" si="365"/>
        <v>166384965.86808917</v>
      </c>
      <c r="CC101" s="297">
        <f t="shared" si="365"/>
        <v>216748582.2591469</v>
      </c>
      <c r="CD101" s="297">
        <f t="shared" si="365"/>
        <v>197337862.84614384</v>
      </c>
      <c r="CE101" s="297">
        <f t="shared" si="365"/>
        <v>212810296.1040329</v>
      </c>
      <c r="CF101" s="297">
        <f t="shared" si="365"/>
        <v>223240753.4401952</v>
      </c>
      <c r="CG101" s="297">
        <f t="shared" si="365"/>
        <v>221829835.27791384</v>
      </c>
      <c r="CH101" s="297">
        <f t="shared" si="365"/>
        <v>253688017.64404744</v>
      </c>
      <c r="CI101" s="297">
        <f t="shared" si="365"/>
        <v>251413130.0134272</v>
      </c>
      <c r="CJ101" s="297">
        <f t="shared" si="365"/>
        <v>249950341.93694317</v>
      </c>
      <c r="CK101" s="297">
        <f t="shared" si="365"/>
        <v>262486654.96021172</v>
      </c>
      <c r="CL101" s="297">
        <f t="shared" si="365"/>
        <v>275507622.38552386</v>
      </c>
      <c r="CM101" s="297">
        <f t="shared" si="365"/>
        <v>258029740.17070872</v>
      </c>
      <c r="CN101" s="297">
        <f t="shared" si="365"/>
        <v>257572899.7399601</v>
      </c>
      <c r="CO101" s="297">
        <f t="shared" si="365"/>
        <v>324804887.46064556</v>
      </c>
      <c r="CP101" s="297">
        <f t="shared" si="365"/>
        <v>289296125.29855716</v>
      </c>
      <c r="CQ101" s="297">
        <f t="shared" si="365"/>
        <v>301508545.06201237</v>
      </c>
      <c r="CR101" s="297">
        <f t="shared" si="365"/>
        <v>325390082.43551767</v>
      </c>
      <c r="CS101" s="297">
        <f t="shared" si="365"/>
        <v>304741973.43458819</v>
      </c>
      <c r="CT101" s="297">
        <f t="shared" si="365"/>
        <v>352585783.45594996</v>
      </c>
      <c r="CU101" s="297">
        <f t="shared" ref="CU101:DR101" si="366">SUM(CU102:CU106)</f>
        <v>325573463.84072506</v>
      </c>
      <c r="CV101" s="297">
        <f t="shared" si="366"/>
        <v>331599930.66328752</v>
      </c>
      <c r="CW101" s="297">
        <f t="shared" si="366"/>
        <v>328911624.32591832</v>
      </c>
      <c r="CX101" s="297">
        <f t="shared" si="366"/>
        <v>348656095.47003812</v>
      </c>
      <c r="CY101" s="297">
        <f t="shared" si="366"/>
        <v>321571866.41981286</v>
      </c>
      <c r="CZ101" s="297">
        <f t="shared" si="366"/>
        <v>328895826.95968491</v>
      </c>
      <c r="DA101" s="297">
        <f t="shared" si="366"/>
        <v>380907013.89742345</v>
      </c>
      <c r="DB101" s="297">
        <f t="shared" si="366"/>
        <v>349720000.46633071</v>
      </c>
      <c r="DC101" s="297">
        <f t="shared" si="366"/>
        <v>399322916.93011373</v>
      </c>
      <c r="DD101" s="297">
        <f t="shared" si="366"/>
        <v>409780755.45737249</v>
      </c>
      <c r="DE101" s="297">
        <f t="shared" si="366"/>
        <v>372324042.62639648</v>
      </c>
      <c r="DF101" s="297">
        <f t="shared" si="366"/>
        <v>419824249.79980963</v>
      </c>
      <c r="DG101" s="297">
        <f t="shared" si="366"/>
        <v>398839057.91024983</v>
      </c>
      <c r="DH101" s="297">
        <f t="shared" si="366"/>
        <v>406815093.50494272</v>
      </c>
      <c r="DI101" s="297">
        <f t="shared" si="366"/>
        <v>401957967.88257909</v>
      </c>
      <c r="DJ101" s="297">
        <f t="shared" si="366"/>
        <v>425442357.29182029</v>
      </c>
      <c r="DK101" s="297">
        <f t="shared" si="366"/>
        <v>391965904.71429533</v>
      </c>
      <c r="DL101" s="297">
        <f t="shared" si="366"/>
        <v>398941182.96414447</v>
      </c>
      <c r="DM101" s="297">
        <f t="shared" si="366"/>
        <v>462429860.42025948</v>
      </c>
      <c r="DN101" s="297">
        <f t="shared" si="366"/>
        <v>426139639.45224583</v>
      </c>
      <c r="DO101" s="297">
        <f t="shared" si="366"/>
        <v>485670254.09204113</v>
      </c>
      <c r="DP101" s="297">
        <f t="shared" si="366"/>
        <v>496723489.79571265</v>
      </c>
      <c r="DQ101" s="297">
        <f t="shared" si="366"/>
        <v>450718730.41368675</v>
      </c>
      <c r="DR101" s="297">
        <f t="shared" si="366"/>
        <v>504056019.17104691</v>
      </c>
      <c r="DS101" s="297">
        <f t="shared" ref="DS101:ED101" si="367">SUM(DS102:DS106)</f>
        <v>466878943.48665982</v>
      </c>
      <c r="DT101" s="297">
        <f t="shared" si="367"/>
        <v>476437383.1928786</v>
      </c>
      <c r="DU101" s="297">
        <f t="shared" si="367"/>
        <v>469890363.38304299</v>
      </c>
      <c r="DV101" s="297">
        <f t="shared" si="367"/>
        <v>496345957.41463447</v>
      </c>
      <c r="DW101" s="297">
        <f t="shared" si="367"/>
        <v>457284516.07038558</v>
      </c>
      <c r="DX101" s="297">
        <f t="shared" si="367"/>
        <v>464172515.1930086</v>
      </c>
      <c r="DY101" s="297">
        <f t="shared" si="367"/>
        <v>537773907.76252913</v>
      </c>
      <c r="DZ101" s="297">
        <f t="shared" si="367"/>
        <v>498814021.2803365</v>
      </c>
      <c r="EA101" s="297">
        <f t="shared" si="367"/>
        <v>568322123.74256051</v>
      </c>
      <c r="EB101" s="297">
        <f t="shared" si="367"/>
        <v>580347427.7011894</v>
      </c>
      <c r="EC101" s="297">
        <f t="shared" si="367"/>
        <v>526711614.1572727</v>
      </c>
      <c r="ED101" s="297">
        <f t="shared" si="367"/>
        <v>586590470.71708453</v>
      </c>
      <c r="EE101" s="222"/>
      <c r="EF101" s="297">
        <f t="shared" ref="EF101:EF106" si="368">SUM(BK101:BM101)</f>
        <v>404835941.7331152</v>
      </c>
      <c r="EG101" s="297">
        <f t="shared" ref="EG101:EG106" si="369">SUM(BN101:BP101)</f>
        <v>407125401.28786248</v>
      </c>
      <c r="EH101" s="297">
        <f t="shared" ref="EH101:EH106" si="370">SUM(BQ101:BS101)</f>
        <v>477712331.3013531</v>
      </c>
      <c r="EI101" s="297">
        <f t="shared" ref="EI101:EI106" si="371">SUM(BT101:BV101)</f>
        <v>455713659.76848733</v>
      </c>
      <c r="EJ101" s="297">
        <f t="shared" ref="EJ101:EJ106" si="372">SUM(BW101:BY101)</f>
        <v>564311772.37714624</v>
      </c>
      <c r="EK101" s="297">
        <f t="shared" ref="EK101:EK106" si="373">SUM(BZ101:CB101)</f>
        <v>537221506.21883714</v>
      </c>
      <c r="EL101" s="297">
        <f t="shared" ref="EL101:EL106" si="374">SUM(CC101:CE101)</f>
        <v>626896741.20932364</v>
      </c>
      <c r="EM101" s="297">
        <f t="shared" ref="EM101:EM106" si="375">SUM(CF101:CH101)</f>
        <v>698758606.36215639</v>
      </c>
      <c r="EN101" s="297">
        <f t="shared" ref="EN101:EN106" si="376">SUM(CI101:CK101)</f>
        <v>763850126.91058207</v>
      </c>
      <c r="EO101" s="297">
        <f t="shared" ref="EO101:EO106" si="377">SUM(CL101:CN101)</f>
        <v>791110262.29619265</v>
      </c>
      <c r="EP101" s="297">
        <f t="shared" ref="EP101:EP106" si="378">SUM(CO101:CQ101)</f>
        <v>915609557.82121515</v>
      </c>
      <c r="EQ101" s="297">
        <f t="shared" ref="EQ101:EQ106" si="379">SUM(CR101:CT101)</f>
        <v>982717839.32605577</v>
      </c>
      <c r="ER101" s="297">
        <f t="shared" ref="ER101:ER106" si="380">SUM(CU101:CW101)</f>
        <v>986085018.8299309</v>
      </c>
      <c r="ES101" s="297">
        <f t="shared" ref="ES101:ES106" si="381">SUM(CX101:CZ101)</f>
        <v>999123788.84953594</v>
      </c>
      <c r="ET101" s="297">
        <f t="shared" ref="ET101:ET106" si="382">SUM(DA101:DC101)</f>
        <v>1129949931.2938678</v>
      </c>
      <c r="EU101" s="297">
        <f t="shared" ref="EU101:EU106" si="383">SUM(DD101:DF101)</f>
        <v>1201929047.8835785</v>
      </c>
      <c r="EV101" s="297">
        <f t="shared" ref="EV101:EV106" si="384">SUM(DG101:DI101)</f>
        <v>1207612119.2977717</v>
      </c>
      <c r="EW101" s="297">
        <f t="shared" ref="EW101:EW106" si="385">SUM(DJ101:DL101)</f>
        <v>1216349444.9702601</v>
      </c>
      <c r="EX101" s="297">
        <f t="shared" ref="EX101:EX106" si="386">SUM(DM101:DO101)</f>
        <v>1374239753.9645464</v>
      </c>
      <c r="EY101" s="297">
        <f t="shared" ref="EY101:EY106" si="387">SUM(DP101:DR101)</f>
        <v>1451498239.3804464</v>
      </c>
      <c r="EZ101" s="297">
        <f t="shared" ref="EZ101:EZ105" si="388">SUM(DS101:DU101)</f>
        <v>1413206690.0625815</v>
      </c>
      <c r="FA101" s="297">
        <f t="shared" ref="FA101:FA105" si="389">SUM(DV101:DX101)</f>
        <v>1417802988.6780286</v>
      </c>
      <c r="FB101" s="297">
        <f t="shared" ref="FB101:FB105" si="390">SUM(DY101:EA101)</f>
        <v>1604910052.7854261</v>
      </c>
      <c r="FC101" s="297">
        <f t="shared" ref="FC101:FC105" si="391">SUM(EB101:ED101)</f>
        <v>1693649512.5755467</v>
      </c>
      <c r="FE101" s="297">
        <f t="shared" ref="FE101:FE105" si="392">SUM(EF101:EI101)</f>
        <v>1745387334.0908184</v>
      </c>
      <c r="FF101" s="297">
        <f t="shared" ref="FF101:FF105" si="393">SUM(EJ101:EM101)</f>
        <v>2427188626.1674633</v>
      </c>
      <c r="FG101" s="297">
        <f t="shared" ref="FG101:FG105" si="394">SUM(EN101:EQ101)</f>
        <v>3453287786.3540459</v>
      </c>
      <c r="FH101" s="297">
        <f t="shared" ref="FH101:FH105" si="395">SUM(ER101:EU101)</f>
        <v>4317087786.8569126</v>
      </c>
      <c r="FI101" s="297">
        <f t="shared" ref="FI101:FI105" si="396">SUM(EV101:EY101)</f>
        <v>5249699557.6130247</v>
      </c>
      <c r="FJ101" s="774">
        <f t="shared" si="207"/>
        <v>6129569244.1015835</v>
      </c>
      <c r="FK101" s="545" t="s">
        <v>1</v>
      </c>
    </row>
    <row r="102" spans="2:167" x14ac:dyDescent="0.2">
      <c r="B102" s="225" t="s">
        <v>304</v>
      </c>
      <c r="C102" s="19">
        <f>'B2B- Non Repair'!C60</f>
        <v>4384291</v>
      </c>
      <c r="D102" s="19">
        <f>'B2B- Non Repair'!D60</f>
        <v>3700623.9928571433</v>
      </c>
      <c r="E102" s="19">
        <f>'B2B- Non Repair'!E60</f>
        <v>3609938.9636392146</v>
      </c>
      <c r="F102" s="19">
        <f>'B2B- Non Repair'!F60</f>
        <v>6253982.3737604618</v>
      </c>
      <c r="G102" s="19">
        <f>'B2B- Non Repair'!G60</f>
        <v>3399366.2541480958</v>
      </c>
      <c r="H102" s="19">
        <f>'B2B- Non Repair'!H60</f>
        <v>8022728.6392175853</v>
      </c>
      <c r="I102" s="19">
        <f>'B2B- Non Repair'!I60</f>
        <v>-5659615.6347661912</v>
      </c>
      <c r="J102" s="19">
        <f>'B2B- Non Repair'!J60</f>
        <v>6513918.1490530074</v>
      </c>
      <c r="K102" s="19">
        <f>'B2B- Non Repair'!K60</f>
        <v>1740662.9510399997</v>
      </c>
      <c r="L102" s="19">
        <f>'B2B- Non Repair'!L60</f>
        <v>-6118229.0965713561</v>
      </c>
      <c r="M102" s="19">
        <f>'B2B- Non Repair'!M60</f>
        <v>1212429.0744059682</v>
      </c>
      <c r="N102" s="19">
        <f>'B2B- Non Repair'!N60</f>
        <v>2866554.7199999988</v>
      </c>
      <c r="O102" s="19">
        <f>'B2B- Non Repair'!O60</f>
        <v>4043709.1427058578</v>
      </c>
      <c r="P102" s="19">
        <f>'B2B- Non Repair'!P60</f>
        <v>2008293.2893051505</v>
      </c>
      <c r="Q102" s="19">
        <f>'B2B- Non Repair'!Q60</f>
        <v>4779310.8952202797</v>
      </c>
      <c r="R102" s="19">
        <f>'B2B- Non Repair'!R60</f>
        <v>11305867.598752737</v>
      </c>
      <c r="S102" s="19">
        <f>'B2B- Non Repair'!S60</f>
        <v>8812437.6034167409</v>
      </c>
      <c r="T102" s="19">
        <f>'B2B- Non Repair'!T60</f>
        <v>3415243.0739036798</v>
      </c>
      <c r="U102" s="19">
        <f>'B2B- Non Repair'!U60</f>
        <v>-202135.34783005714</v>
      </c>
      <c r="V102" s="19">
        <f>'B2B- Non Repair'!V60</f>
        <v>5703514.1410422921</v>
      </c>
      <c r="W102" s="19">
        <f>'B2B- Non Repair'!W60</f>
        <v>7629793.71614182</v>
      </c>
      <c r="X102" s="19">
        <f>'B2B- Non Repair'!X60</f>
        <v>11292707.404662549</v>
      </c>
      <c r="Y102" s="19">
        <f>'B2B- Non Repair'!Y60</f>
        <v>19775656.741966784</v>
      </c>
      <c r="Z102" s="19">
        <f>'B2B- Non Repair'!Z60</f>
        <v>8448150.945310086</v>
      </c>
      <c r="AA102" s="19">
        <f>'B2B- Non Repair'!AA60</f>
        <v>-3957624.4258934096</v>
      </c>
      <c r="AB102" s="19">
        <f>'B2B- Non Repair'!AB60</f>
        <v>9471737.0396437347</v>
      </c>
      <c r="AC102" s="19">
        <f>'B2B- Non Repair'!AC60</f>
        <v>3914558.1743030548</v>
      </c>
      <c r="AD102" s="19">
        <f>'B2B- Non Repair'!AD60</f>
        <v>3144605.2302089185</v>
      </c>
      <c r="AE102" s="19">
        <f>'B2B- Non Repair'!AE60</f>
        <v>8109181.9740197062</v>
      </c>
      <c r="AF102" s="19">
        <f>'B2B- Non Repair'!AF60</f>
        <v>9185826.495228231</v>
      </c>
      <c r="AG102" s="19">
        <f>'B2B- Non Repair'!AG60</f>
        <v>4934431.9880880415</v>
      </c>
      <c r="AH102" s="19">
        <f>'B2B- Non Repair'!AH60</f>
        <v>12838496.468203098</v>
      </c>
      <c r="AI102" s="19">
        <f>'B2B- Non Repair'!AI60</f>
        <v>12775193.937928319</v>
      </c>
      <c r="AJ102" s="19">
        <f>'B2B- Non Repair'!AJ60</f>
        <v>7583949.716103375</v>
      </c>
      <c r="AK102" s="19">
        <f>'B2B- Non Repair'!AK60</f>
        <v>13196075.716585934</v>
      </c>
      <c r="AL102" s="19">
        <f>'B2B- Non Repair'!AL60</f>
        <v>13153078.853424609</v>
      </c>
      <c r="AM102" s="19">
        <f>'B2B- Non Repair'!AM60</f>
        <v>3892377.122563988</v>
      </c>
      <c r="AN102" s="19">
        <f>'B2B- Non Repair'!AN60</f>
        <v>1445814.9227166325</v>
      </c>
      <c r="AO102" s="19">
        <f>'B2B- Non Repair'!AO60</f>
        <v>11046683.669982493</v>
      </c>
      <c r="AP102" s="19">
        <f>'B2B- Non Repair'!AP60</f>
        <v>11069753.039999962</v>
      </c>
      <c r="AQ102" s="19">
        <f>'B2B- Non Repair'!AQ60</f>
        <v>11191362.936149776</v>
      </c>
      <c r="AR102" s="19">
        <f>'B2B- Non Repair'!AR60</f>
        <v>8581236.1590910554</v>
      </c>
      <c r="AS102" s="19">
        <f>'B2B- Non Repair'!AS60</f>
        <v>8396791.1899999678</v>
      </c>
      <c r="AT102" s="19">
        <f>'B2B- Non Repair'!AT60</f>
        <v>8262965</v>
      </c>
      <c r="AU102" s="19">
        <f>'B2B- Non Repair'!AU60</f>
        <v>10254218.154410005</v>
      </c>
      <c r="AV102" s="19">
        <f>'B2B- Non Repair'!AV60</f>
        <v>-2232621.9999999404</v>
      </c>
      <c r="AW102" s="19">
        <f>'B2B- Non Repair'!AW60</f>
        <v>-8506652.3999999762</v>
      </c>
      <c r="AX102" s="19">
        <f>'B2B- Non Repair'!AX60</f>
        <v>-4778931.5254288912</v>
      </c>
      <c r="AY102" s="19">
        <f>'B2B- Non Repair'!AY60</f>
        <v>-7884761.4362305403</v>
      </c>
      <c r="AZ102" s="19">
        <f>'B2B- Non Repair'!AZ60</f>
        <v>-14490174.379999995</v>
      </c>
      <c r="BA102" s="19">
        <f>'B2B- Non Repair'!BA60</f>
        <v>-6614666.7140211463</v>
      </c>
      <c r="BB102" s="19">
        <f>'B2B- Non Repair'!BB60</f>
        <v>9771551.8623319268</v>
      </c>
      <c r="BC102" s="19">
        <f>'B2B- Non Repair'!BC60</f>
        <v>-1571756.0555456281</v>
      </c>
      <c r="BD102" s="19">
        <f>'B2B- Non Repair'!BD60</f>
        <v>-20432230.492165625</v>
      </c>
      <c r="BE102" s="19">
        <f>'B2B- Non Repair'!BE60</f>
        <v>-13076308.631828129</v>
      </c>
      <c r="BF102" s="19">
        <f>'B2B- Non Repair'!BF60</f>
        <v>-5653125.8112119436</v>
      </c>
      <c r="BG102" s="19">
        <f>'B2B- Non Repair'!BG60</f>
        <v>7010353.9030472636</v>
      </c>
      <c r="BH102" s="19">
        <f>'B2B- Non Repair'!BH60</f>
        <v>1434682.3502946496</v>
      </c>
      <c r="BI102" s="19">
        <f>'B2B- Non Repair'!BI60</f>
        <v>-2211569.9248145223</v>
      </c>
      <c r="BJ102" s="19">
        <f>'B2B- Non Repair'!BJ60</f>
        <v>8087466.4002967477</v>
      </c>
      <c r="BK102" s="19">
        <f>'B2B- Non Repair'!BK60</f>
        <v>15512915.338313043</v>
      </c>
      <c r="BL102" s="19">
        <f>'B2B- Non Repair'!BL60</f>
        <v>13034540.254134774</v>
      </c>
      <c r="BM102" s="19">
        <f>'B2B- Non Repair'!BM60</f>
        <v>14100418.888638139</v>
      </c>
      <c r="BN102" s="19">
        <f>'B2B- Non Repair'!BN60</f>
        <v>19256614.107543558</v>
      </c>
      <c r="BO102" s="19">
        <f>'B2B- Non Repair'!BO60</f>
        <v>17416146.250745296</v>
      </c>
      <c r="BP102" s="19">
        <f>'B2B- Non Repair'!BP60</f>
        <v>11233978.484538257</v>
      </c>
      <c r="BQ102" s="19">
        <f>'B2B- Non Repair'!BQ60</f>
        <v>15018072.144873917</v>
      </c>
      <c r="BR102" s="19">
        <f>'B2B- Non Repair'!BR60</f>
        <v>15844195.781162739</v>
      </c>
      <c r="BS102" s="19">
        <f>'B2B- Non Repair'!BS60</f>
        <v>3206348.9778730869</v>
      </c>
      <c r="BT102" s="19">
        <f>'B2B- Non Repair'!BT60</f>
        <v>-11157723.275384098</v>
      </c>
      <c r="BU102" s="19">
        <f>'B2B- Non Repair'!BU60</f>
        <v>11910211.974689931</v>
      </c>
      <c r="BV102" s="19">
        <f>'B2B- Non Repair'!BV60</f>
        <v>15880264.063362956</v>
      </c>
      <c r="BW102" s="19">
        <f>'B2B- Non Repair'!BW60</f>
        <v>24804070.383594427</v>
      </c>
      <c r="BX102" s="19">
        <f>'B2B- Non Repair'!BX60</f>
        <v>28177454.477020148</v>
      </c>
      <c r="BY102" s="19">
        <f>'B2B- Non Repair'!BY60</f>
        <v>25493574.857377741</v>
      </c>
      <c r="BZ102" s="19">
        <f>'B2B- Non Repair'!BZ60</f>
        <v>14254502.202434445</v>
      </c>
      <c r="CA102" s="19">
        <f>'B2B- Non Repair'!CA60</f>
        <v>16906488.977704059</v>
      </c>
      <c r="CB102" s="19">
        <f>'B2B- Non Repair'!CB60</f>
        <v>13758722.838047974</v>
      </c>
      <c r="CC102" s="19">
        <f>'B2B- Non Repair'!CC60</f>
        <v>20291617.965833403</v>
      </c>
      <c r="CD102" s="19">
        <f>'B2B- Non Repair'!CD60</f>
        <v>22273923.442069523</v>
      </c>
      <c r="CE102" s="19">
        <f>'B2B- Non Repair'!CE60</f>
        <v>21868363.715148319</v>
      </c>
      <c r="CF102" s="19">
        <f>'B2B- Non Repair'!CF60</f>
        <v>23780941.527739443</v>
      </c>
      <c r="CG102" s="19">
        <f>'B2B- Non Repair'!CG60</f>
        <v>33150624.700745475</v>
      </c>
      <c r="CH102" s="19">
        <f>'B2B- Non Repair'!CH60</f>
        <v>25783799.679394897</v>
      </c>
      <c r="CI102" s="19">
        <f>'B2B- Non Repair'!CI60</f>
        <v>35259655.826844856</v>
      </c>
      <c r="CJ102" s="19">
        <f>'B2B- Non Repair'!CJ60</f>
        <v>35295245.472956017</v>
      </c>
      <c r="CK102" s="19">
        <f>'B2B- Non Repair'!CK60</f>
        <v>34924240.935434565</v>
      </c>
      <c r="CL102" s="19">
        <f>'B2B- Non Repair'!CL60</f>
        <v>34936045.552291155</v>
      </c>
      <c r="CM102" s="19">
        <f>'B2B- Non Repair'!CM60</f>
        <v>33669494.864961959</v>
      </c>
      <c r="CN102" s="19">
        <f>'B2B- Non Repair'!CN60</f>
        <v>23408291.563125439</v>
      </c>
      <c r="CO102" s="19">
        <f>'B2B- Non Repair'!CO60</f>
        <v>37985269.156933762</v>
      </c>
      <c r="CP102" s="19">
        <f>'B2B- Non Repair'!CP60</f>
        <v>39204404.874397367</v>
      </c>
      <c r="CQ102" s="19">
        <f>'B2B- Non Repair'!CQ60</f>
        <v>28706550.022102349</v>
      </c>
      <c r="CR102" s="19">
        <f>'B2B- Non Repair'!CR60</f>
        <v>38106811.226199932</v>
      </c>
      <c r="CS102" s="19">
        <f>'B2B- Non Repair'!CS60</f>
        <v>49678978.379448652</v>
      </c>
      <c r="CT102" s="19">
        <f>'B2B- Non Repair'!CT60</f>
        <v>53913545.558124386</v>
      </c>
      <c r="CU102" s="19">
        <f>'B2B- Non Repair'!CU60</f>
        <v>44348565.911101446</v>
      </c>
      <c r="CV102" s="19">
        <f>'B2B- Non Repair'!CV60</f>
        <v>45967476.69930663</v>
      </c>
      <c r="CW102" s="19">
        <f>'B2B- Non Repair'!CW60</f>
        <v>43183360.020074897</v>
      </c>
      <c r="CX102" s="19">
        <f>'B2B- Non Repair'!CX60</f>
        <v>43220304.060036547</v>
      </c>
      <c r="CY102" s="19">
        <f>'B2B- Non Repair'!CY60</f>
        <v>40186153.430619724</v>
      </c>
      <c r="CZ102" s="19">
        <f>'B2B- Non Repair'!CZ60</f>
        <v>35043881.370383941</v>
      </c>
      <c r="DA102" s="19">
        <f>'B2B- Non Repair'!DA60</f>
        <v>40997650.834893353</v>
      </c>
      <c r="DB102" s="19">
        <f>'B2B- Non Repair'!DB60</f>
        <v>50769835.285810508</v>
      </c>
      <c r="DC102" s="19">
        <f>'B2B- Non Repair'!DC60</f>
        <v>56571926.906697713</v>
      </c>
      <c r="DD102" s="19">
        <f>'B2B- Non Repair'!DD60</f>
        <v>52940488.901435904</v>
      </c>
      <c r="DE102" s="19">
        <f>'B2B- Non Repair'!DE60</f>
        <v>51628130.885331206</v>
      </c>
      <c r="DF102" s="19">
        <f>'B2B- Non Repair'!DF60</f>
        <v>49642465.537562132</v>
      </c>
      <c r="DG102" s="19">
        <f>'B2B- Non Repair'!DG60</f>
        <v>62077274.155777887</v>
      </c>
      <c r="DH102" s="19">
        <f>'B2B- Non Repair'!DH60</f>
        <v>64343358.002426185</v>
      </c>
      <c r="DI102" s="19">
        <f>'B2B- Non Repair'!DI60</f>
        <v>60446267.514206506</v>
      </c>
      <c r="DJ102" s="19">
        <f>'B2B- Non Repair'!DJ60</f>
        <v>60497980.241551951</v>
      </c>
      <c r="DK102" s="19">
        <f>'B2B- Non Repair'!DK60</f>
        <v>56250902.65104346</v>
      </c>
      <c r="DL102" s="19">
        <f>'B2B- Non Repair'!DL60</f>
        <v>49052964.546195723</v>
      </c>
      <c r="DM102" s="19">
        <f>'B2B- Non Repair'!DM60</f>
        <v>57386802.895095646</v>
      </c>
      <c r="DN102" s="19">
        <f>'B2B- Non Repair'!DN60</f>
        <v>71065499.394018158</v>
      </c>
      <c r="DO102" s="19">
        <f>'B2B- Non Repair'!DO60</f>
        <v>79187025.41920577</v>
      </c>
      <c r="DP102" s="19">
        <f>'B2B- Non Repair'!DP60</f>
        <v>74103889.854366273</v>
      </c>
      <c r="DQ102" s="19">
        <f>'B2B- Non Repair'!DQ60</f>
        <v>72266905.801272586</v>
      </c>
      <c r="DR102" s="19">
        <f>'B2B- Non Repair'!DR60</f>
        <v>69487454.208132669</v>
      </c>
      <c r="DS102" s="19">
        <f>'B2B- Non Repair'!DS60</f>
        <v>82382910.306012437</v>
      </c>
      <c r="DT102" s="19">
        <f>'B2B- Non Repair'!DT60</f>
        <v>85390236.011322901</v>
      </c>
      <c r="DU102" s="19">
        <f>'B2B- Non Repair'!DU60</f>
        <v>80218397.194113523</v>
      </c>
      <c r="DV102" s="19">
        <f>'B2B- Non Repair'!DV60</f>
        <v>80287025.287671581</v>
      </c>
      <c r="DW102" s="19">
        <f>'B2B- Non Repair'!DW60</f>
        <v>74650717.686220825</v>
      </c>
      <c r="DX102" s="19">
        <f>'B2B- Non Repair'!DX60</f>
        <v>65098315.501295447</v>
      </c>
      <c r="DY102" s="19">
        <f>'B2B- Non Repair'!DY60</f>
        <v>76158173.823671862</v>
      </c>
      <c r="DZ102" s="19">
        <f>'B2B- Non Repair'!DZ60</f>
        <v>94311207.153486311</v>
      </c>
      <c r="EA102" s="19">
        <f>'B2B- Non Repair'!EA60</f>
        <v>105089305.24461734</v>
      </c>
      <c r="EB102" s="19">
        <f>'B2B- Non Repair'!EB60</f>
        <v>98343462.95359458</v>
      </c>
      <c r="EC102" s="19">
        <f>'B2B- Non Repair'!EC60</f>
        <v>95905596.688722342</v>
      </c>
      <c r="ED102" s="19">
        <f>'B2B- Non Repair'!ED60</f>
        <v>92216979.325740919</v>
      </c>
      <c r="EE102" s="222"/>
      <c r="EF102" s="19">
        <f t="shared" si="368"/>
        <v>42647874.481085956</v>
      </c>
      <c r="EG102" s="19">
        <f t="shared" si="369"/>
        <v>47906738.842827111</v>
      </c>
      <c r="EH102" s="19">
        <f t="shared" si="370"/>
        <v>34068616.903909743</v>
      </c>
      <c r="EI102" s="19">
        <f t="shared" si="371"/>
        <v>16632752.762668788</v>
      </c>
      <c r="EJ102" s="19">
        <f t="shared" si="372"/>
        <v>78475099.717992321</v>
      </c>
      <c r="EK102" s="19">
        <f t="shared" si="373"/>
        <v>44919714.01818648</v>
      </c>
      <c r="EL102" s="19">
        <f t="shared" si="374"/>
        <v>64433905.123051241</v>
      </c>
      <c r="EM102" s="19">
        <f t="shared" si="375"/>
        <v>82715365.907879815</v>
      </c>
      <c r="EN102" s="19">
        <f t="shared" si="376"/>
        <v>105479142.23523544</v>
      </c>
      <c r="EO102" s="19">
        <f t="shared" si="377"/>
        <v>92013831.980378538</v>
      </c>
      <c r="EP102" s="19">
        <f t="shared" si="378"/>
        <v>105896224.05343348</v>
      </c>
      <c r="EQ102" s="19">
        <f t="shared" si="379"/>
        <v>141699335.16377297</v>
      </c>
      <c r="ER102" s="19">
        <f t="shared" si="380"/>
        <v>133499402.63048297</v>
      </c>
      <c r="ES102" s="19">
        <f t="shared" si="381"/>
        <v>118450338.8610402</v>
      </c>
      <c r="ET102" s="19">
        <f t="shared" si="382"/>
        <v>148339413.02740157</v>
      </c>
      <c r="EU102" s="19">
        <f t="shared" si="383"/>
        <v>154211085.32432926</v>
      </c>
      <c r="EV102" s="19">
        <f t="shared" si="384"/>
        <v>186866899.67241058</v>
      </c>
      <c r="EW102" s="19">
        <f t="shared" si="385"/>
        <v>165801847.43879113</v>
      </c>
      <c r="EX102" s="19">
        <f t="shared" si="386"/>
        <v>207639327.70831957</v>
      </c>
      <c r="EY102" s="19">
        <f t="shared" si="387"/>
        <v>215858249.86377156</v>
      </c>
      <c r="EZ102" s="19">
        <f t="shared" si="388"/>
        <v>247991543.51144886</v>
      </c>
      <c r="FA102" s="19">
        <f t="shared" si="389"/>
        <v>220036058.47518784</v>
      </c>
      <c r="FB102" s="19">
        <f t="shared" si="390"/>
        <v>275558686.22177553</v>
      </c>
      <c r="FC102" s="19">
        <f t="shared" si="391"/>
        <v>286466038.96805787</v>
      </c>
      <c r="FE102" s="19">
        <f t="shared" si="392"/>
        <v>141255982.9904916</v>
      </c>
      <c r="FF102" s="19">
        <f t="shared" si="393"/>
        <v>270544084.76710987</v>
      </c>
      <c r="FG102" s="19">
        <f t="shared" si="394"/>
        <v>445088533.43282044</v>
      </c>
      <c r="FH102" s="19">
        <f t="shared" si="395"/>
        <v>554500239.84325397</v>
      </c>
      <c r="FI102" s="19">
        <f t="shared" si="396"/>
        <v>776166324.68329287</v>
      </c>
      <c r="FJ102" s="770">
        <f t="shared" si="207"/>
        <v>1030052327.17647</v>
      </c>
      <c r="FK102" s="545" t="s">
        <v>1</v>
      </c>
    </row>
    <row r="103" spans="2:167" x14ac:dyDescent="0.2">
      <c r="B103" s="225" t="s">
        <v>139</v>
      </c>
      <c r="C103" s="19">
        <f>Refurbished!C65</f>
        <v>1106785.9642857146</v>
      </c>
      <c r="D103" s="19">
        <f>Refurbished!D65</f>
        <v>1085974.0210169638</v>
      </c>
      <c r="E103" s="19">
        <f>Refurbished!E65</f>
        <v>815722.624071314</v>
      </c>
      <c r="F103" s="19">
        <f>Refurbished!F65</f>
        <v>723982.76906900108</v>
      </c>
      <c r="G103" s="19">
        <f>Refurbished!G65</f>
        <v>682843.05561159365</v>
      </c>
      <c r="H103" s="19">
        <f>Refurbished!H65</f>
        <v>855278.13835970033</v>
      </c>
      <c r="I103" s="19">
        <f>Refurbished!I65</f>
        <v>1592711.3838428585</v>
      </c>
      <c r="J103" s="19">
        <f>Refurbished!J65</f>
        <v>2795469.011785714</v>
      </c>
      <c r="K103" s="19">
        <f>Refurbished!K65</f>
        <v>2919116.422857143</v>
      </c>
      <c r="L103" s="19">
        <f>Refurbished!L65</f>
        <v>3000016.0243196413</v>
      </c>
      <c r="M103" s="19">
        <f>Refurbished!M65</f>
        <v>3975218.9903571438</v>
      </c>
      <c r="N103" s="19">
        <f>Refurbished!N65</f>
        <v>7539955.1235714331</v>
      </c>
      <c r="O103" s="19">
        <f>Refurbished!O65</f>
        <v>7193082.424999997</v>
      </c>
      <c r="P103" s="19">
        <f>Refurbished!P65</f>
        <v>6917536.6289285719</v>
      </c>
      <c r="Q103" s="19">
        <f>Refurbished!Q65</f>
        <v>4718214.8946428597</v>
      </c>
      <c r="R103" s="19">
        <f>Refurbished!R65</f>
        <v>8586659.4060714245</v>
      </c>
      <c r="S103" s="19">
        <f>Refurbished!S65</f>
        <v>6495754.4082142897</v>
      </c>
      <c r="T103" s="19">
        <f>Refurbished!T65</f>
        <v>4612108.0435714275</v>
      </c>
      <c r="U103" s="19">
        <f>Refurbished!U65</f>
        <v>6850347.467857141</v>
      </c>
      <c r="V103" s="19">
        <f>Refurbished!V65</f>
        <v>1191268.8971428592</v>
      </c>
      <c r="W103" s="19">
        <f>Refurbished!W65</f>
        <v>3945041.2452552356</v>
      </c>
      <c r="X103" s="19">
        <f>Refurbished!X65</f>
        <v>3657029.8357571475</v>
      </c>
      <c r="Y103" s="19">
        <f>Refurbished!Y65</f>
        <v>972107.81913953274</v>
      </c>
      <c r="Z103" s="19">
        <f>Refurbished!Z65</f>
        <v>1974961.3174585067</v>
      </c>
      <c r="AA103" s="19">
        <f>Refurbished!AA65</f>
        <v>-1534186.8955351624</v>
      </c>
      <c r="AB103" s="19">
        <f>Refurbished!AB65</f>
        <v>3744726.1055841446</v>
      </c>
      <c r="AC103" s="19">
        <f>Refurbished!AC65</f>
        <v>6738718.7336426154</v>
      </c>
      <c r="AD103" s="19">
        <f>Refurbished!AD65</f>
        <v>7548980.7831917107</v>
      </c>
      <c r="AE103" s="19">
        <f>Refurbished!AE65</f>
        <v>6792443.3688934408</v>
      </c>
      <c r="AF103" s="19">
        <f>Refurbished!AF65</f>
        <v>5801606.8430083804</v>
      </c>
      <c r="AG103" s="19">
        <f>Refurbished!AG65</f>
        <v>6998989.6778702214</v>
      </c>
      <c r="AH103" s="19">
        <f>Refurbished!AH65</f>
        <v>8777685.5486616939</v>
      </c>
      <c r="AI103" s="19">
        <f>Refurbished!AI65</f>
        <v>17956355.639518052</v>
      </c>
      <c r="AJ103" s="19">
        <f>Refurbished!AJ65</f>
        <v>19076718.856440663</v>
      </c>
      <c r="AK103" s="19">
        <f>Refurbished!AK65</f>
        <v>16215922.276587754</v>
      </c>
      <c r="AL103" s="19">
        <f>Refurbished!AL65</f>
        <v>17379526.525130495</v>
      </c>
      <c r="AM103" s="19">
        <f>Refurbished!AM65</f>
        <v>11172682.514574595</v>
      </c>
      <c r="AN103" s="19">
        <f>Refurbished!AN65</f>
        <v>4468254.7026791312</v>
      </c>
      <c r="AO103" s="19">
        <f>Refurbished!AO65</f>
        <v>9819198.5759218037</v>
      </c>
      <c r="AP103" s="19">
        <f>Refurbished!AP65</f>
        <v>12531132.67880559</v>
      </c>
      <c r="AQ103" s="19">
        <f>Refurbished!AQ65</f>
        <v>13582587.245536759</v>
      </c>
      <c r="AR103" s="19">
        <f>Refurbished!AR65</f>
        <v>15426907.18635568</v>
      </c>
      <c r="AS103" s="19">
        <f>Refurbished!AS65</f>
        <v>21633221.642254144</v>
      </c>
      <c r="AT103" s="19">
        <f>Refurbished!AT65</f>
        <v>34167715.554558575</v>
      </c>
      <c r="AU103" s="19">
        <f>Refurbished!AU65</f>
        <v>35485960.362884372</v>
      </c>
      <c r="AV103" s="19">
        <f>Refurbished!AV65</f>
        <v>35591602.681510746</v>
      </c>
      <c r="AW103" s="19">
        <f>Refurbished!AW65</f>
        <v>34893601.147518784</v>
      </c>
      <c r="AX103" s="19">
        <f>Refurbished!AX65</f>
        <v>31630505.899228066</v>
      </c>
      <c r="AY103" s="19">
        <f>Refurbished!AY65</f>
        <v>26013642.2075091</v>
      </c>
      <c r="AZ103" s="19">
        <f>Refurbished!AZ65</f>
        <v>30855657.61441043</v>
      </c>
      <c r="BA103" s="19">
        <f>Refurbished!BA65</f>
        <v>37602364.871898144</v>
      </c>
      <c r="BB103" s="19">
        <f>Refurbished!BB65</f>
        <v>35386694.442933679</v>
      </c>
      <c r="BC103" s="19">
        <f>Refurbished!BC65</f>
        <v>31273314.454883128</v>
      </c>
      <c r="BD103" s="19">
        <f>Refurbished!BD65</f>
        <v>27033277.354404092</v>
      </c>
      <c r="BE103" s="19">
        <f>Refurbished!BE65</f>
        <v>38142349.522972018</v>
      </c>
      <c r="BF103" s="19">
        <f>Refurbished!BF65</f>
        <v>37299732.837181121</v>
      </c>
      <c r="BG103" s="19">
        <f>Refurbished!BG65</f>
        <v>44873657.313357055</v>
      </c>
      <c r="BH103" s="19">
        <f>Refurbished!BH65</f>
        <v>53679079.283885419</v>
      </c>
      <c r="BI103" s="19">
        <f>Refurbished!BI65</f>
        <v>58651776.823003411</v>
      </c>
      <c r="BJ103" s="19">
        <f>Refurbished!BJ65</f>
        <v>75807337.927992702</v>
      </c>
      <c r="BK103" s="19">
        <f>Refurbished!BK65</f>
        <v>68175924.73260957</v>
      </c>
      <c r="BL103" s="19">
        <f>Refurbished!BL65</f>
        <v>74073808.514222026</v>
      </c>
      <c r="BM103" s="19">
        <f>Refurbished!BM65</f>
        <v>84746615.615755022</v>
      </c>
      <c r="BN103" s="19">
        <f>Refurbished!BN65</f>
        <v>70446955.645836413</v>
      </c>
      <c r="BO103" s="19">
        <f>Refurbished!BO65</f>
        <v>76377115.557014227</v>
      </c>
      <c r="BP103" s="19">
        <f>Refurbished!BP65</f>
        <v>64961088.995715976</v>
      </c>
      <c r="BQ103" s="19">
        <f>Refurbished!BQ65</f>
        <v>96135812.134910703</v>
      </c>
      <c r="BR103" s="19">
        <f>Refurbished!BR65</f>
        <v>91880293.315517902</v>
      </c>
      <c r="BS103" s="19">
        <f>Refurbished!BS65</f>
        <v>85925669.156441689</v>
      </c>
      <c r="BT103" s="19">
        <f>Refurbished!BT65</f>
        <v>87410512.910423517</v>
      </c>
      <c r="BU103" s="19">
        <f>Refurbished!BU65</f>
        <v>87950158.050193071</v>
      </c>
      <c r="BV103" s="19">
        <f>Refurbished!BV65</f>
        <v>105610517.14447856</v>
      </c>
      <c r="BW103" s="19">
        <f>Refurbished!BW65</f>
        <v>98919267.787859201</v>
      </c>
      <c r="BX103" s="19">
        <f>Refurbished!BX65</f>
        <v>107129122.86496693</v>
      </c>
      <c r="BY103" s="19">
        <f>Refurbished!BY65</f>
        <v>116356425.12095612</v>
      </c>
      <c r="BZ103" s="19">
        <f>Refurbished!BZ65</f>
        <v>112525658.14011014</v>
      </c>
      <c r="CA103" s="19">
        <f>Refurbished!CA65</f>
        <v>100816082.91504025</v>
      </c>
      <c r="CB103" s="19">
        <f>Refurbished!CB65</f>
        <v>91988585.005421817</v>
      </c>
      <c r="CC103" s="19">
        <f>Refurbished!CC65</f>
        <v>116478132.31603926</v>
      </c>
      <c r="CD103" s="19">
        <f>Refurbished!CD65</f>
        <v>111795982.57327378</v>
      </c>
      <c r="CE103" s="19">
        <f>Refurbished!CE65</f>
        <v>126908310.53661704</v>
      </c>
      <c r="CF103" s="19">
        <f>Refurbished!CF65</f>
        <v>130641868.98125923</v>
      </c>
      <c r="CG103" s="19">
        <f>Refurbished!CG65</f>
        <v>121762174.41532075</v>
      </c>
      <c r="CH103" s="19">
        <f>Refurbished!CH65</f>
        <v>159416482.49842966</v>
      </c>
      <c r="CI103" s="19">
        <f>Refurbished!CI65</f>
        <v>148317568.89594162</v>
      </c>
      <c r="CJ103" s="19">
        <f>Refurbished!CJ65</f>
        <v>143246654.33402061</v>
      </c>
      <c r="CK103" s="19">
        <f>Refurbished!CK65</f>
        <v>156295954.6930145</v>
      </c>
      <c r="CL103" s="19">
        <f>Refurbished!CL65</f>
        <v>163857887.59975815</v>
      </c>
      <c r="CM103" s="19">
        <f>Refurbished!CM65</f>
        <v>153313010.46532303</v>
      </c>
      <c r="CN103" s="19">
        <f>Refurbished!CN65</f>
        <v>150707989.5431906</v>
      </c>
      <c r="CO103" s="19">
        <f>Refurbished!CO65</f>
        <v>184377186.09611905</v>
      </c>
      <c r="CP103" s="19">
        <f>Refurbished!CP65</f>
        <v>168735330.05271912</v>
      </c>
      <c r="CQ103" s="19">
        <f>Refurbished!CQ65</f>
        <v>186031832.97838449</v>
      </c>
      <c r="CR103" s="19">
        <f>Refurbished!CR65</f>
        <v>199532752.36974144</v>
      </c>
      <c r="CS103" s="19">
        <f>Refurbished!CS65</f>
        <v>174416302.09293616</v>
      </c>
      <c r="CT103" s="19">
        <f>Refurbished!CT65</f>
        <v>190042041.49477446</v>
      </c>
      <c r="CU103" s="19">
        <f>Refurbished!CU65</f>
        <v>195300718.68547928</v>
      </c>
      <c r="CV103" s="19">
        <f>Refurbished!CV65</f>
        <v>193214966.9984442</v>
      </c>
      <c r="CW103" s="19">
        <f>Refurbished!CW65</f>
        <v>192753708.07152188</v>
      </c>
      <c r="CX103" s="19">
        <f>Refurbished!CX65</f>
        <v>204518905.82008588</v>
      </c>
      <c r="CY103" s="19">
        <f>Refurbished!CY65</f>
        <v>185079335.28030074</v>
      </c>
      <c r="CZ103" s="19">
        <f>Refurbished!CZ65</f>
        <v>182625720.11459005</v>
      </c>
      <c r="DA103" s="19">
        <f>Refurbished!DA65</f>
        <v>209217615.17457914</v>
      </c>
      <c r="DB103" s="19">
        <f>Refurbished!DB65</f>
        <v>197775645.87292397</v>
      </c>
      <c r="DC103" s="19">
        <f>Refurbished!DC65</f>
        <v>240291579.26012897</v>
      </c>
      <c r="DD103" s="19">
        <f>Refurbished!DD65</f>
        <v>251319373.95455098</v>
      </c>
      <c r="DE103" s="19">
        <f>Refurbished!DE65</f>
        <v>225447232.3778019</v>
      </c>
      <c r="DF103" s="19">
        <f>Refurbished!DF65</f>
        <v>256938196.4692564</v>
      </c>
      <c r="DG103" s="19">
        <f>Refurbished!DG65</f>
        <v>235525844.82594895</v>
      </c>
      <c r="DH103" s="19">
        <f>Refurbished!DH65</f>
        <v>233324477.05626404</v>
      </c>
      <c r="DI103" s="19">
        <f>Refurbished!DI65</f>
        <v>232018167.5204041</v>
      </c>
      <c r="DJ103" s="19">
        <f>Refurbished!DJ65</f>
        <v>246190411.58957267</v>
      </c>
      <c r="DK103" s="19">
        <f>Refurbished!DK65</f>
        <v>222470269.93502891</v>
      </c>
      <c r="DL103" s="19">
        <f>Refurbished!DL65</f>
        <v>218948050.25313079</v>
      </c>
      <c r="DM103" s="19">
        <f>Refurbished!DM65</f>
        <v>250684427.10702777</v>
      </c>
      <c r="DN103" s="19">
        <f>Refurbished!DN65</f>
        <v>236117001.35219932</v>
      </c>
      <c r="DO103" s="19">
        <f>Refurbished!DO65</f>
        <v>286075170.70371485</v>
      </c>
      <c r="DP103" s="19">
        <f>Refurbished!DP65</f>
        <v>298358745.80581617</v>
      </c>
      <c r="DQ103" s="19">
        <f>Refurbished!DQ65</f>
        <v>266982449.62590718</v>
      </c>
      <c r="DR103" s="19">
        <f>Refurbished!DR65</f>
        <v>302095420.95289207</v>
      </c>
      <c r="DS103" s="19">
        <f>Refurbished!DS65</f>
        <v>269600437.28230906</v>
      </c>
      <c r="DT103" s="19">
        <f>Refurbished!DT65</f>
        <v>267011243.75075102</v>
      </c>
      <c r="DU103" s="19">
        <f>Refurbished!DU65</f>
        <v>265440930.21772194</v>
      </c>
      <c r="DV103" s="19">
        <f>Refurbished!DV65</f>
        <v>281358675.59027624</v>
      </c>
      <c r="DW103" s="19">
        <f>Refurbished!DW65</f>
        <v>254285214.82577145</v>
      </c>
      <c r="DX103" s="19">
        <f>Refurbished!DX65</f>
        <v>250552915.07698083</v>
      </c>
      <c r="DY103" s="19">
        <f>Refurbished!DY65</f>
        <v>286018720.57170272</v>
      </c>
      <c r="DZ103" s="19">
        <f>Refurbished!DZ65</f>
        <v>269583859.75153732</v>
      </c>
      <c r="EA103" s="19">
        <f>Refurbished!EA65</f>
        <v>326636743.97024417</v>
      </c>
      <c r="EB103" s="19">
        <f>Refurbished!EB65</f>
        <v>340802514.02875638</v>
      </c>
      <c r="EC103" s="19">
        <f>Refurbished!EC65</f>
        <v>304637593.68791795</v>
      </c>
      <c r="ED103" s="19">
        <f>Refurbished!ED65</f>
        <v>344371594.95587993</v>
      </c>
      <c r="EE103" s="222"/>
      <c r="EF103" s="19">
        <f t="shared" si="368"/>
        <v>226996348.86258662</v>
      </c>
      <c r="EG103" s="19">
        <f t="shared" si="369"/>
        <v>211785160.19856662</v>
      </c>
      <c r="EH103" s="19">
        <f t="shared" si="370"/>
        <v>273941774.60687029</v>
      </c>
      <c r="EI103" s="19">
        <f t="shared" si="371"/>
        <v>280971188.10509515</v>
      </c>
      <c r="EJ103" s="19">
        <f t="shared" si="372"/>
        <v>322404815.77378225</v>
      </c>
      <c r="EK103" s="19">
        <f t="shared" si="373"/>
        <v>305330326.06057221</v>
      </c>
      <c r="EL103" s="19">
        <f t="shared" si="374"/>
        <v>355182425.42593008</v>
      </c>
      <c r="EM103" s="19">
        <f t="shared" si="375"/>
        <v>411820525.89500964</v>
      </c>
      <c r="EN103" s="19">
        <f t="shared" si="376"/>
        <v>447860177.92297673</v>
      </c>
      <c r="EO103" s="19">
        <f t="shared" si="377"/>
        <v>467878887.60827178</v>
      </c>
      <c r="EP103" s="19">
        <f t="shared" si="378"/>
        <v>539144349.12722266</v>
      </c>
      <c r="EQ103" s="19">
        <f t="shared" si="379"/>
        <v>563991095.95745206</v>
      </c>
      <c r="ER103" s="19">
        <f t="shared" si="380"/>
        <v>581269393.75544536</v>
      </c>
      <c r="ES103" s="19">
        <f t="shared" si="381"/>
        <v>572223961.21497667</v>
      </c>
      <c r="ET103" s="19">
        <f t="shared" si="382"/>
        <v>647284840.30763209</v>
      </c>
      <c r="EU103" s="19">
        <f t="shared" si="383"/>
        <v>733704802.80160928</v>
      </c>
      <c r="EV103" s="19">
        <f t="shared" si="384"/>
        <v>700868489.4026171</v>
      </c>
      <c r="EW103" s="19">
        <f t="shared" si="385"/>
        <v>687608731.77773237</v>
      </c>
      <c r="EX103" s="19">
        <f t="shared" si="386"/>
        <v>772876599.16294193</v>
      </c>
      <c r="EY103" s="19">
        <f t="shared" si="387"/>
        <v>867436616.38461542</v>
      </c>
      <c r="EZ103" s="19">
        <f t="shared" si="388"/>
        <v>802052611.25078201</v>
      </c>
      <c r="FA103" s="19">
        <f t="shared" si="389"/>
        <v>786196805.49302852</v>
      </c>
      <c r="FB103" s="19">
        <f t="shared" si="390"/>
        <v>882239324.29348421</v>
      </c>
      <c r="FC103" s="19">
        <f t="shared" si="391"/>
        <v>989811702.67255425</v>
      </c>
      <c r="FE103" s="19">
        <f t="shared" si="392"/>
        <v>993694471.77311873</v>
      </c>
      <c r="FF103" s="19">
        <f t="shared" si="393"/>
        <v>1394738093.1552939</v>
      </c>
      <c r="FG103" s="19">
        <f t="shared" si="394"/>
        <v>2018874510.6159232</v>
      </c>
      <c r="FH103" s="19">
        <f t="shared" si="395"/>
        <v>2534482998.0796633</v>
      </c>
      <c r="FI103" s="19">
        <f t="shared" si="396"/>
        <v>3028790436.7279067</v>
      </c>
      <c r="FJ103" s="770">
        <f t="shared" si="207"/>
        <v>3460300443.7098494</v>
      </c>
      <c r="FK103" s="545" t="s">
        <v>1</v>
      </c>
    </row>
    <row r="104" spans="2:167" x14ac:dyDescent="0.2">
      <c r="B104" s="225" t="s">
        <v>309</v>
      </c>
      <c r="C104" s="19">
        <f>Marketplace!C20</f>
        <v>4268764</v>
      </c>
      <c r="D104" s="19">
        <f>Marketplace!D20</f>
        <v>6341836</v>
      </c>
      <c r="E104" s="19">
        <f>Marketplace!E20</f>
        <v>5881839.9999999991</v>
      </c>
      <c r="F104" s="19">
        <f>Marketplace!F20</f>
        <v>5078495</v>
      </c>
      <c r="G104" s="19">
        <f>Marketplace!G20</f>
        <v>3044418</v>
      </c>
      <c r="H104" s="19">
        <f>Marketplace!H20</f>
        <v>2259483.9999999995</v>
      </c>
      <c r="I104" s="19">
        <f>Marketplace!I20</f>
        <v>2792144.9999999995</v>
      </c>
      <c r="J104" s="19">
        <f>Marketplace!J20</f>
        <v>2498575</v>
      </c>
      <c r="K104" s="19">
        <f>Marketplace!K20</f>
        <v>3183499</v>
      </c>
      <c r="L104" s="19">
        <f>Marketplace!L20</f>
        <v>3340854</v>
      </c>
      <c r="M104" s="19">
        <f>Marketplace!M20</f>
        <v>2961651</v>
      </c>
      <c r="N104" s="19">
        <f>Marketplace!N20</f>
        <v>2697955</v>
      </c>
      <c r="O104" s="19">
        <f>Marketplace!O20</f>
        <v>2656416.102</v>
      </c>
      <c r="P104" s="19">
        <f>Marketplace!P20</f>
        <v>2985390.68</v>
      </c>
      <c r="Q104" s="19">
        <f>Marketplace!Q20</f>
        <v>3072094.9152542371</v>
      </c>
      <c r="R104" s="19">
        <f>Marketplace!R20</f>
        <v>3496965</v>
      </c>
      <c r="S104" s="19">
        <f>Marketplace!S20</f>
        <v>3765122.9999999995</v>
      </c>
      <c r="T104" s="19">
        <f>Marketplace!T20</f>
        <v>3783907</v>
      </c>
      <c r="U104" s="19">
        <f>Marketplace!U20</f>
        <v>4877064</v>
      </c>
      <c r="V104" s="19">
        <f>Marketplace!V20</f>
        <v>3616007.9999999995</v>
      </c>
      <c r="W104" s="19">
        <f>Marketplace!W20</f>
        <v>3755697.9999999995</v>
      </c>
      <c r="X104" s="19">
        <f>Marketplace!X20</f>
        <v>4335519</v>
      </c>
      <c r="Y104" s="19">
        <f>Marketplace!Y20</f>
        <v>4040235</v>
      </c>
      <c r="Z104" s="19">
        <f>Marketplace!Z20</f>
        <v>3307233.9999999995</v>
      </c>
      <c r="AA104" s="19">
        <f>Marketplace!AA20</f>
        <v>59363</v>
      </c>
      <c r="AB104" s="19">
        <f>Marketplace!AB20</f>
        <v>1950608</v>
      </c>
      <c r="AC104" s="19">
        <f>Marketplace!AC20</f>
        <v>6069614</v>
      </c>
      <c r="AD104" s="19">
        <f>Marketplace!AD20</f>
        <v>9087524</v>
      </c>
      <c r="AE104" s="19">
        <f>Marketplace!AE20</f>
        <v>11916514</v>
      </c>
      <c r="AF104" s="19">
        <f>Marketplace!AF20</f>
        <v>12536009</v>
      </c>
      <c r="AG104" s="19">
        <f>Marketplace!AG20</f>
        <v>15317190</v>
      </c>
      <c r="AH104" s="19">
        <f>Marketplace!AH20</f>
        <v>12327006</v>
      </c>
      <c r="AI104" s="19">
        <f>Marketplace!AI20</f>
        <v>10669084</v>
      </c>
      <c r="AJ104" s="19">
        <f>Marketplace!AJ20</f>
        <v>13199808</v>
      </c>
      <c r="AK104" s="19">
        <f>Marketplace!AK20</f>
        <v>11541317.999999998</v>
      </c>
      <c r="AL104" s="19">
        <f>Marketplace!AL20</f>
        <v>13057529.999999998</v>
      </c>
      <c r="AM104" s="19">
        <f>Marketplace!AM20</f>
        <v>9616853.9999999981</v>
      </c>
      <c r="AN104" s="19">
        <f>Marketplace!AN20</f>
        <v>4333204</v>
      </c>
      <c r="AO104" s="19">
        <f>Marketplace!AO20</f>
        <v>13330682</v>
      </c>
      <c r="AP104" s="19">
        <f>Marketplace!AP20</f>
        <v>17246232</v>
      </c>
      <c r="AQ104" s="19">
        <f>Marketplace!AQ20</f>
        <v>19926977</v>
      </c>
      <c r="AR104" s="19">
        <f>Marketplace!AR20</f>
        <v>19284180.169491529</v>
      </c>
      <c r="AS104" s="19">
        <f>Marketplace!AS20</f>
        <v>27292370</v>
      </c>
      <c r="AT104" s="19">
        <f>Marketplace!AT20</f>
        <v>17680530</v>
      </c>
      <c r="AU104" s="19">
        <f>Marketplace!AU20</f>
        <v>19408871.186440676</v>
      </c>
      <c r="AV104" s="19">
        <f>Marketplace!AV20</f>
        <v>20923863</v>
      </c>
      <c r="AW104" s="19">
        <f>Marketplace!AW20</f>
        <v>19250761</v>
      </c>
      <c r="AX104" s="19">
        <f>Marketplace!AX20</f>
        <v>25031977</v>
      </c>
      <c r="AY104" s="19">
        <f>Marketplace!AY20</f>
        <v>22326047.999999996</v>
      </c>
      <c r="AZ104" s="19">
        <f>Marketplace!AZ20</f>
        <v>21235345.999999996</v>
      </c>
      <c r="BA104" s="19">
        <f>Marketplace!BA20</f>
        <v>23713180</v>
      </c>
      <c r="BB104" s="19">
        <f>Marketplace!BB20</f>
        <v>23317274.237288136</v>
      </c>
      <c r="BC104" s="19">
        <f>Marketplace!BC20</f>
        <v>24275030.254237287</v>
      </c>
      <c r="BD104" s="19">
        <f>Marketplace!BD20</f>
        <v>30323686.949152544</v>
      </c>
      <c r="BE104" s="19">
        <f>Marketplace!BE20</f>
        <v>31061274.237288136</v>
      </c>
      <c r="BF104" s="19">
        <f>Marketplace!BF20</f>
        <v>24824298.474576272</v>
      </c>
      <c r="BG104" s="19">
        <f>Marketplace!BG20</f>
        <v>28066739.576271184</v>
      </c>
      <c r="BH104" s="19">
        <f>Marketplace!BH20</f>
        <v>31812684.237288132</v>
      </c>
      <c r="BI104" s="19">
        <f>Marketplace!BI20</f>
        <v>29501009.999999996</v>
      </c>
      <c r="BJ104" s="19">
        <f>Marketplace!BJ20</f>
        <v>33334730.93220339</v>
      </c>
      <c r="BK104" s="19">
        <f>Marketplace!BK20</f>
        <v>36591958.644067794</v>
      </c>
      <c r="BL104" s="19">
        <f>Marketplace!BL20</f>
        <v>38294305.593220331</v>
      </c>
      <c r="BM104" s="19">
        <f>Marketplace!BM20</f>
        <v>38013910.677966103</v>
      </c>
      <c r="BN104" s="19">
        <f>Marketplace!BN20</f>
        <v>41510203.220338978</v>
      </c>
      <c r="BO104" s="19">
        <f>Marketplace!BO20</f>
        <v>42811940.423728809</v>
      </c>
      <c r="BP104" s="19">
        <f>Marketplace!BP20</f>
        <v>38101946.864406779</v>
      </c>
      <c r="BQ104" s="19">
        <f>Marketplace!BQ20</f>
        <v>56596933.898305088</v>
      </c>
      <c r="BR104" s="19">
        <f>Marketplace!BR20</f>
        <v>47137179.237288132</v>
      </c>
      <c r="BS104" s="19">
        <f>Marketplace!BS20</f>
        <v>43600103.559322037</v>
      </c>
      <c r="BT104" s="19">
        <f>Marketplace!BT20</f>
        <v>49552935.508474573</v>
      </c>
      <c r="BU104" s="19">
        <f>Marketplace!BU20</f>
        <v>43868549.322033897</v>
      </c>
      <c r="BV104" s="19">
        <f>Marketplace!BV20</f>
        <v>44896421.016949147</v>
      </c>
      <c r="BW104" s="19">
        <f>Marketplace!BW20</f>
        <v>42936295.93220339</v>
      </c>
      <c r="BX104" s="19">
        <f>Marketplace!BX20</f>
        <v>49690903.220338978</v>
      </c>
      <c r="BY104" s="19">
        <f>Marketplace!BY20</f>
        <v>45884842.62711864</v>
      </c>
      <c r="BZ104" s="19">
        <f>Marketplace!BZ20</f>
        <v>53967340.677966103</v>
      </c>
      <c r="CA104" s="19">
        <f>Marketplace!CA20</f>
        <v>50923403.305084743</v>
      </c>
      <c r="CB104" s="19">
        <f>Marketplace!CB20</f>
        <v>48445319.23728814</v>
      </c>
      <c r="CC104" s="19">
        <f>Marketplace!CC20</f>
        <v>68126414.406779662</v>
      </c>
      <c r="CD104" s="19">
        <f>Marketplace!CD20</f>
        <v>52362003.474576272</v>
      </c>
      <c r="CE104" s="19">
        <f>Marketplace!CE20</f>
        <v>53633983.983050846</v>
      </c>
      <c r="CF104" s="19">
        <f>Marketplace!CF20</f>
        <v>57834144.23728814</v>
      </c>
      <c r="CG104" s="19">
        <f>Marketplace!CG20</f>
        <v>57764148.3898305</v>
      </c>
      <c r="CH104" s="19">
        <f>Marketplace!CH20</f>
        <v>56563365.169491522</v>
      </c>
      <c r="CI104" s="19">
        <f>Marketplace!CI20</f>
        <v>57031594.576271184</v>
      </c>
      <c r="CJ104" s="19">
        <f>Marketplace!CJ20</f>
        <v>60307318.050847456</v>
      </c>
      <c r="CK104" s="19">
        <f>Marketplace!CK20</f>
        <v>59450009.576271184</v>
      </c>
      <c r="CL104" s="19">
        <f>Marketplace!CL20</f>
        <v>62832069.830508478</v>
      </c>
      <c r="CM104" s="19">
        <f>Marketplace!CM20</f>
        <v>58068269.406779662</v>
      </c>
      <c r="CN104" s="19">
        <f>Marketplace!CN20</f>
        <v>70107643.559322044</v>
      </c>
      <c r="CO104" s="19">
        <f>Marketplace!CO20</f>
        <v>88509661.864406779</v>
      </c>
      <c r="CP104" s="19">
        <f>Marketplace!CP20</f>
        <v>68483592.372881353</v>
      </c>
      <c r="CQ104" s="19">
        <f>Marketplace!CQ20</f>
        <v>71551959.745762706</v>
      </c>
      <c r="CR104" s="19">
        <f>Marketplace!CR20</f>
        <v>74731942.372881353</v>
      </c>
      <c r="CS104" s="19">
        <f>Marketplace!CS20</f>
        <v>65533002.118644066</v>
      </c>
      <c r="CT104" s="19">
        <f>Marketplace!CT20</f>
        <v>82934150</v>
      </c>
      <c r="CU104" s="19">
        <f>Marketplace!CU20</f>
        <v>73571537.314133629</v>
      </c>
      <c r="CV104" s="19">
        <f>Marketplace!CV20</f>
        <v>80165868.104559109</v>
      </c>
      <c r="CW104" s="19">
        <f>Marketplace!CW20</f>
        <v>79218025.256047174</v>
      </c>
      <c r="CX104" s="19">
        <f>Marketplace!CX20</f>
        <v>86611445.34807156</v>
      </c>
      <c r="CY104" s="19">
        <f>Marketplace!CY20</f>
        <v>80842020.590527415</v>
      </c>
      <c r="CZ104" s="19">
        <f>Marketplace!CZ20</f>
        <v>93912662.828373</v>
      </c>
      <c r="DA104" s="19">
        <f>Marketplace!DA20</f>
        <v>116088005.63182093</v>
      </c>
      <c r="DB104" s="19">
        <f>Marketplace!DB20</f>
        <v>85930375.389478028</v>
      </c>
      <c r="DC104" s="19">
        <f>Marketplace!DC20</f>
        <v>88782509.512107983</v>
      </c>
      <c r="DD104" s="19">
        <f>Marketplace!DD20</f>
        <v>93149225.203306958</v>
      </c>
      <c r="DE104" s="19">
        <f>Marketplace!DE20</f>
        <v>79867131.642576739</v>
      </c>
      <c r="DF104" s="19">
        <f>Marketplace!DF20</f>
        <v>97020505.527514607</v>
      </c>
      <c r="DG104" s="19">
        <f>Marketplace!DG20</f>
        <v>88285844.776960358</v>
      </c>
      <c r="DH104" s="19">
        <f>Marketplace!DH20</f>
        <v>96199041.72547093</v>
      </c>
      <c r="DI104" s="19">
        <f>Marketplace!DI20</f>
        <v>95061630.307256609</v>
      </c>
      <c r="DJ104" s="19">
        <f>Marketplace!DJ20</f>
        <v>103933734.41768587</v>
      </c>
      <c r="DK104" s="19">
        <f>Marketplace!DK20</f>
        <v>97010424.708632901</v>
      </c>
      <c r="DL104" s="19">
        <f>Marketplace!DL20</f>
        <v>112695195.3940476</v>
      </c>
      <c r="DM104" s="19">
        <f>Marketplace!DM20</f>
        <v>139305606.75818515</v>
      </c>
      <c r="DN104" s="19">
        <f>Marketplace!DN20</f>
        <v>103116450.46737362</v>
      </c>
      <c r="DO104" s="19">
        <f>Marketplace!DO20</f>
        <v>106539011.41452959</v>
      </c>
      <c r="DP104" s="19">
        <f>Marketplace!DP20</f>
        <v>111779070.24396835</v>
      </c>
      <c r="DQ104" s="19">
        <f>Marketplace!DQ20</f>
        <v>95840557.97109209</v>
      </c>
      <c r="DR104" s="19">
        <f>Marketplace!DR20</f>
        <v>116424606.63301753</v>
      </c>
      <c r="DS104" s="19">
        <f>Marketplace!DS20</f>
        <v>101528721.49350439</v>
      </c>
      <c r="DT104" s="19">
        <f>Marketplace!DT20</f>
        <v>110628897.98429155</v>
      </c>
      <c r="DU104" s="19">
        <f>Marketplace!DU20</f>
        <v>109320874.85334508</v>
      </c>
      <c r="DV104" s="19">
        <f>Marketplace!DV20</f>
        <v>119523794.58033875</v>
      </c>
      <c r="DW104" s="19">
        <f>Marketplace!DW20</f>
        <v>111561988.41492783</v>
      </c>
      <c r="DX104" s="19">
        <f>Marketplace!DX20</f>
        <v>129599474.70315473</v>
      </c>
      <c r="DY104" s="19">
        <f>Marketplace!DY20</f>
        <v>160201447.77191293</v>
      </c>
      <c r="DZ104" s="19">
        <f>Marketplace!DZ20</f>
        <v>118583918.03747967</v>
      </c>
      <c r="EA104" s="19">
        <f>Marketplace!EA20</f>
        <v>122519863.12670903</v>
      </c>
      <c r="EB104" s="19">
        <f>Marketplace!EB20</f>
        <v>128545930.78056359</v>
      </c>
      <c r="EC104" s="19">
        <f>Marketplace!EC20</f>
        <v>110216641.6667559</v>
      </c>
      <c r="ED104" s="19">
        <f>Marketplace!ED20</f>
        <v>133888297.62797017</v>
      </c>
      <c r="EE104" s="222"/>
      <c r="EF104" s="19">
        <f t="shared" si="368"/>
        <v>112900174.91525422</v>
      </c>
      <c r="EG104" s="19">
        <f t="shared" si="369"/>
        <v>122424090.50847457</v>
      </c>
      <c r="EH104" s="19">
        <f t="shared" si="370"/>
        <v>147334216.69491526</v>
      </c>
      <c r="EI104" s="19">
        <f t="shared" si="371"/>
        <v>138317905.84745762</v>
      </c>
      <c r="EJ104" s="19">
        <f t="shared" si="372"/>
        <v>138512041.779661</v>
      </c>
      <c r="EK104" s="19">
        <f t="shared" si="373"/>
        <v>153336063.220339</v>
      </c>
      <c r="EL104" s="19">
        <f t="shared" si="374"/>
        <v>174122401.86440679</v>
      </c>
      <c r="EM104" s="19">
        <f t="shared" si="375"/>
        <v>172161657.79661018</v>
      </c>
      <c r="EN104" s="19">
        <f t="shared" si="376"/>
        <v>176788922.20338982</v>
      </c>
      <c r="EO104" s="19">
        <f t="shared" si="377"/>
        <v>191007982.79661018</v>
      </c>
      <c r="EP104" s="19">
        <f t="shared" si="378"/>
        <v>228545213.98305082</v>
      </c>
      <c r="EQ104" s="19">
        <f t="shared" si="379"/>
        <v>223199094.49152541</v>
      </c>
      <c r="ER104" s="19">
        <f t="shared" si="380"/>
        <v>232955430.6747399</v>
      </c>
      <c r="ES104" s="19">
        <f t="shared" si="381"/>
        <v>261366128.76697201</v>
      </c>
      <c r="ET104" s="19">
        <f t="shared" si="382"/>
        <v>290800890.53340691</v>
      </c>
      <c r="EU104" s="19">
        <f t="shared" si="383"/>
        <v>270036862.3733983</v>
      </c>
      <c r="EV104" s="19">
        <f t="shared" si="384"/>
        <v>279546516.80968785</v>
      </c>
      <c r="EW104" s="19">
        <f t="shared" si="385"/>
        <v>313639354.52036637</v>
      </c>
      <c r="EX104" s="19">
        <f t="shared" si="386"/>
        <v>348961068.64008832</v>
      </c>
      <c r="EY104" s="19">
        <f t="shared" si="387"/>
        <v>324044234.84807795</v>
      </c>
      <c r="EZ104" s="19">
        <f t="shared" si="388"/>
        <v>321478494.33114105</v>
      </c>
      <c r="FA104" s="19">
        <f t="shared" si="389"/>
        <v>360685257.6984213</v>
      </c>
      <c r="FB104" s="19">
        <f t="shared" si="390"/>
        <v>401305228.93610162</v>
      </c>
      <c r="FC104" s="19">
        <f t="shared" si="391"/>
        <v>372650870.07528967</v>
      </c>
      <c r="FE104" s="19">
        <f t="shared" si="392"/>
        <v>520976387.96610165</v>
      </c>
      <c r="FF104" s="19">
        <f t="shared" si="393"/>
        <v>638132164.66101694</v>
      </c>
      <c r="FG104" s="19">
        <f t="shared" si="394"/>
        <v>819541213.47457623</v>
      </c>
      <c r="FH104" s="19">
        <f t="shared" si="395"/>
        <v>1055159312.3485172</v>
      </c>
      <c r="FI104" s="19">
        <f t="shared" si="396"/>
        <v>1266191174.8182206</v>
      </c>
      <c r="FJ104" s="770">
        <f t="shared" si="207"/>
        <v>1456119851.0409536</v>
      </c>
      <c r="FK104" s="545" t="s">
        <v>1</v>
      </c>
    </row>
    <row r="105" spans="2:167" x14ac:dyDescent="0.2">
      <c r="B105" s="225" t="s">
        <v>310</v>
      </c>
      <c r="C105" s="19">
        <f>C67-C87</f>
        <v>0</v>
      </c>
      <c r="D105" s="19">
        <f t="shared" ref="D105:BO106" si="397">D67-D87</f>
        <v>0</v>
      </c>
      <c r="E105" s="19">
        <f t="shared" si="397"/>
        <v>0</v>
      </c>
      <c r="F105" s="19">
        <f t="shared" si="397"/>
        <v>0</v>
      </c>
      <c r="G105" s="19">
        <f t="shared" si="397"/>
        <v>0</v>
      </c>
      <c r="H105" s="19">
        <f t="shared" si="397"/>
        <v>0</v>
      </c>
      <c r="I105" s="19">
        <f t="shared" si="397"/>
        <v>0</v>
      </c>
      <c r="J105" s="19">
        <f t="shared" si="397"/>
        <v>0</v>
      </c>
      <c r="K105" s="19">
        <f t="shared" si="397"/>
        <v>0</v>
      </c>
      <c r="L105" s="19">
        <f t="shared" si="397"/>
        <v>0</v>
      </c>
      <c r="M105" s="19">
        <f t="shared" si="397"/>
        <v>0</v>
      </c>
      <c r="N105" s="19">
        <f t="shared" si="397"/>
        <v>0</v>
      </c>
      <c r="O105" s="19">
        <f t="shared" si="397"/>
        <v>0</v>
      </c>
      <c r="P105" s="19">
        <f t="shared" si="397"/>
        <v>0</v>
      </c>
      <c r="Q105" s="19">
        <f t="shared" si="397"/>
        <v>0</v>
      </c>
      <c r="R105" s="19">
        <f t="shared" si="397"/>
        <v>0</v>
      </c>
      <c r="S105" s="19">
        <f t="shared" si="397"/>
        <v>0</v>
      </c>
      <c r="T105" s="19">
        <f t="shared" si="397"/>
        <v>0</v>
      </c>
      <c r="U105" s="19">
        <f t="shared" si="397"/>
        <v>0</v>
      </c>
      <c r="V105" s="19">
        <f t="shared" si="397"/>
        <v>0</v>
      </c>
      <c r="W105" s="19">
        <f t="shared" si="397"/>
        <v>0</v>
      </c>
      <c r="X105" s="19">
        <f t="shared" si="397"/>
        <v>0</v>
      </c>
      <c r="Y105" s="19">
        <f t="shared" si="397"/>
        <v>0</v>
      </c>
      <c r="Z105" s="19">
        <f t="shared" si="397"/>
        <v>0</v>
      </c>
      <c r="AA105" s="19">
        <f t="shared" si="397"/>
        <v>0</v>
      </c>
      <c r="AB105" s="19">
        <f t="shared" si="397"/>
        <v>0</v>
      </c>
      <c r="AC105" s="19">
        <f t="shared" si="397"/>
        <v>1207388.0813784597</v>
      </c>
      <c r="AD105" s="19">
        <f t="shared" si="397"/>
        <v>1464761.0802766315</v>
      </c>
      <c r="AE105" s="19">
        <f t="shared" si="397"/>
        <v>1379161.2967517846</v>
      </c>
      <c r="AF105" s="19">
        <f t="shared" si="397"/>
        <v>1208203.7645473983</v>
      </c>
      <c r="AG105" s="19">
        <f t="shared" si="397"/>
        <v>1055719.8073246768</v>
      </c>
      <c r="AH105" s="19">
        <f t="shared" si="397"/>
        <v>961468.96694792644</v>
      </c>
      <c r="AI105" s="19">
        <f t="shared" si="397"/>
        <v>823032.19107301254</v>
      </c>
      <c r="AJ105" s="19">
        <f t="shared" si="397"/>
        <v>907730.5423728805</v>
      </c>
      <c r="AK105" s="19">
        <f t="shared" si="397"/>
        <v>884067.69135842426</v>
      </c>
      <c r="AL105" s="19">
        <f t="shared" si="397"/>
        <v>1528878.5423728814</v>
      </c>
      <c r="AM105" s="19">
        <f t="shared" si="397"/>
        <v>842444.26101694908</v>
      </c>
      <c r="AN105" s="19">
        <f t="shared" si="397"/>
        <v>2354.5600000000004</v>
      </c>
      <c r="AO105" s="19">
        <f t="shared" si="397"/>
        <v>1552096.6338983052</v>
      </c>
      <c r="AP105" s="19">
        <f t="shared" si="397"/>
        <v>2092475.3159322031</v>
      </c>
      <c r="AQ105" s="19">
        <f t="shared" si="397"/>
        <v>2113205.2728813472</v>
      </c>
      <c r="AR105" s="19">
        <f t="shared" si="397"/>
        <v>2388194.8911864413</v>
      </c>
      <c r="AS105" s="19">
        <f t="shared" si="397"/>
        <v>2291013.5637288084</v>
      </c>
      <c r="AT105" s="19">
        <f t="shared" si="397"/>
        <v>2300871.2006779583</v>
      </c>
      <c r="AU105" s="19">
        <f t="shared" si="397"/>
        <v>3397220.682203386</v>
      </c>
      <c r="AV105" s="19">
        <f t="shared" si="397"/>
        <v>2673940.0762711801</v>
      </c>
      <c r="AW105" s="19">
        <f t="shared" si="397"/>
        <v>2486873.5084745586</v>
      </c>
      <c r="AX105" s="19">
        <f t="shared" si="397"/>
        <v>2358218.474576246</v>
      </c>
      <c r="AY105" s="19">
        <f t="shared" si="397"/>
        <v>2865187.4661017247</v>
      </c>
      <c r="AZ105" s="19">
        <f t="shared" si="397"/>
        <v>3195669.1779660955</v>
      </c>
      <c r="BA105" s="19">
        <f t="shared" si="397"/>
        <v>4176833.1222033594</v>
      </c>
      <c r="BB105" s="19">
        <f t="shared" si="397"/>
        <v>4147362.7203389294</v>
      </c>
      <c r="BC105" s="19">
        <f t="shared" si="397"/>
        <v>3505558.6630507801</v>
      </c>
      <c r="BD105" s="19">
        <f t="shared" si="397"/>
        <v>3671095.9952541795</v>
      </c>
      <c r="BE105" s="19">
        <f t="shared" si="397"/>
        <v>3429034.0001694392</v>
      </c>
      <c r="BF105" s="19">
        <f t="shared" si="397"/>
        <v>4195559.3813559003</v>
      </c>
      <c r="BG105" s="19">
        <f t="shared" si="397"/>
        <v>4247055.3602042794</v>
      </c>
      <c r="BH105" s="19">
        <f t="shared" si="397"/>
        <v>5174064.7211377695</v>
      </c>
      <c r="BI105" s="19">
        <f t="shared" si="397"/>
        <v>5226666.392379541</v>
      </c>
      <c r="BJ105" s="19">
        <f t="shared" si="397"/>
        <v>5402983.6507111676</v>
      </c>
      <c r="BK105" s="19">
        <f t="shared" si="397"/>
        <v>6164771.0138157457</v>
      </c>
      <c r="BL105" s="19">
        <f t="shared" si="397"/>
        <v>6573650.6010221392</v>
      </c>
      <c r="BM105" s="19">
        <f t="shared" si="397"/>
        <v>6081415.5793505143</v>
      </c>
      <c r="BN105" s="19">
        <f t="shared" si="397"/>
        <v>7129065.5534052998</v>
      </c>
      <c r="BO105" s="19">
        <f t="shared" si="397"/>
        <v>7458443.0172119066</v>
      </c>
      <c r="BP105" s="19">
        <f t="shared" ref="BP105:DR106" si="398">BP67-BP87</f>
        <v>6670848.2473769337</v>
      </c>
      <c r="BQ105" s="19">
        <f t="shared" si="398"/>
        <v>7084758.424030602</v>
      </c>
      <c r="BR105" s="19">
        <f t="shared" si="398"/>
        <v>5032890.9370307028</v>
      </c>
      <c r="BS105" s="19">
        <f t="shared" si="398"/>
        <v>5728511.5345964991</v>
      </c>
      <c r="BT105" s="19">
        <f t="shared" si="398"/>
        <v>4637225.0492067803</v>
      </c>
      <c r="BU105" s="19">
        <f t="shared" si="398"/>
        <v>5760375.4199744817</v>
      </c>
      <c r="BV105" s="19">
        <f t="shared" si="398"/>
        <v>6195988.0640845355</v>
      </c>
      <c r="BW105" s="19">
        <f t="shared" si="398"/>
        <v>5703600.877852682</v>
      </c>
      <c r="BX105" s="19">
        <f t="shared" si="398"/>
        <v>7255768.8203369677</v>
      </c>
      <c r="BY105" s="19">
        <f t="shared" si="398"/>
        <v>8646736.1275211051</v>
      </c>
      <c r="BZ105" s="19">
        <f t="shared" si="398"/>
        <v>8230460.1705396138</v>
      </c>
      <c r="CA105" s="19">
        <f t="shared" si="398"/>
        <v>9393322.0418685749</v>
      </c>
      <c r="CB105" s="19">
        <f t="shared" si="398"/>
        <v>7886082.4212295413</v>
      </c>
      <c r="CC105" s="19">
        <f t="shared" si="398"/>
        <v>8773355.3704945706</v>
      </c>
      <c r="CD105" s="19">
        <f t="shared" si="398"/>
        <v>7153443.2562242709</v>
      </c>
      <c r="CE105" s="19">
        <f t="shared" si="398"/>
        <v>7615402.2692166716</v>
      </c>
      <c r="CF105" s="19">
        <f t="shared" si="398"/>
        <v>8873075.5939084068</v>
      </c>
      <c r="CG105" s="19">
        <f t="shared" si="398"/>
        <v>7499430.8720171116</v>
      </c>
      <c r="CH105" s="19">
        <f t="shared" si="398"/>
        <v>9379118.2967313454</v>
      </c>
      <c r="CI105" s="19">
        <f t="shared" si="398"/>
        <v>9064244.8143695407</v>
      </c>
      <c r="CJ105" s="19">
        <f t="shared" si="398"/>
        <v>9824250.7791190743</v>
      </c>
      <c r="CK105" s="19">
        <f t="shared" si="398"/>
        <v>9305828.7954914607</v>
      </c>
      <c r="CL105" s="19">
        <f t="shared" si="398"/>
        <v>10230443.202966098</v>
      </c>
      <c r="CM105" s="19">
        <f t="shared" si="398"/>
        <v>9478615.5336440578</v>
      </c>
      <c r="CN105" s="19">
        <f t="shared" si="398"/>
        <v>8968780.0643220283</v>
      </c>
      <c r="CO105" s="19">
        <f t="shared" si="398"/>
        <v>10389890.313185975</v>
      </c>
      <c r="CP105" s="19">
        <f t="shared" si="398"/>
        <v>9754065.3185593225</v>
      </c>
      <c r="CQ105" s="19">
        <f t="shared" si="398"/>
        <v>12040151.165762849</v>
      </c>
      <c r="CR105" s="19">
        <f t="shared" si="398"/>
        <v>11037227.86669492</v>
      </c>
      <c r="CS105" s="19">
        <f t="shared" si="398"/>
        <v>11183109.553559326</v>
      </c>
      <c r="CT105" s="19">
        <f t="shared" si="398"/>
        <v>19508736.393051073</v>
      </c>
      <c r="CU105" s="19">
        <f t="shared" si="398"/>
        <v>10612576.030010678</v>
      </c>
      <c r="CV105" s="19">
        <f t="shared" si="398"/>
        <v>10974745.560977597</v>
      </c>
      <c r="CW105" s="19">
        <f t="shared" si="398"/>
        <v>11245910.018274352</v>
      </c>
      <c r="CX105" s="19">
        <f t="shared" si="398"/>
        <v>10654264.041844118</v>
      </c>
      <c r="CY105" s="19">
        <f t="shared" si="398"/>
        <v>11964007.218365014</v>
      </c>
      <c r="CZ105" s="19">
        <f t="shared" si="398"/>
        <v>12933367.636337943</v>
      </c>
      <c r="DA105" s="19">
        <f t="shared" si="398"/>
        <v>11060862.226130076</v>
      </c>
      <c r="DB105" s="19">
        <f t="shared" si="398"/>
        <v>12125411.238118172</v>
      </c>
      <c r="DC105" s="19">
        <f t="shared" si="398"/>
        <v>10498850.101179123</v>
      </c>
      <c r="DD105" s="19">
        <f t="shared" si="398"/>
        <v>10390318.798078574</v>
      </c>
      <c r="DE105" s="19">
        <f t="shared" si="398"/>
        <v>11450966.430686563</v>
      </c>
      <c r="DF105" s="19">
        <f t="shared" si="398"/>
        <v>10035772.255476512</v>
      </c>
      <c r="DG105" s="19">
        <f t="shared" si="398"/>
        <v>11210028.251562662</v>
      </c>
      <c r="DH105" s="19">
        <f t="shared" si="398"/>
        <v>11671343.420781478</v>
      </c>
      <c r="DI105" s="19">
        <f t="shared" si="398"/>
        <v>11921281.580711901</v>
      </c>
      <c r="DJ105" s="19">
        <f t="shared" si="398"/>
        <v>11169054.843009815</v>
      </c>
      <c r="DK105" s="19">
        <f t="shared" si="398"/>
        <v>12733957.51959008</v>
      </c>
      <c r="DL105" s="19">
        <f t="shared" si="398"/>
        <v>13864777.760770366</v>
      </c>
      <c r="DM105" s="19">
        <f t="shared" si="398"/>
        <v>11510143.629950956</v>
      </c>
      <c r="DN105" s="19">
        <f t="shared" si="398"/>
        <v>12721955.558654733</v>
      </c>
      <c r="DO105" s="19">
        <f t="shared" si="398"/>
        <v>10690995.404590949</v>
      </c>
      <c r="DP105" s="19">
        <f t="shared" si="398"/>
        <v>10500435.29156176</v>
      </c>
      <c r="DQ105" s="19">
        <f t="shared" si="398"/>
        <v>11698235.725414895</v>
      </c>
      <c r="DR105" s="19">
        <f t="shared" si="398"/>
        <v>9861227.3670046479</v>
      </c>
      <c r="DS105" s="19">
        <f t="shared" ref="DS105:ED105" si="399">DS67-DS87</f>
        <v>11626808.504833922</v>
      </c>
      <c r="DT105" s="19">
        <f t="shared" si="399"/>
        <v>12130132.146513082</v>
      </c>
      <c r="DU105" s="19">
        <f t="shared" si="399"/>
        <v>12399540.157862477</v>
      </c>
      <c r="DV105" s="19">
        <f t="shared" si="399"/>
        <v>11525285.756347939</v>
      </c>
      <c r="DW105" s="19">
        <f t="shared" si="399"/>
        <v>13286245.243465498</v>
      </c>
      <c r="DX105" s="19">
        <f t="shared" si="399"/>
        <v>14541614.901577577</v>
      </c>
      <c r="DY105" s="19">
        <f t="shared" si="399"/>
        <v>11852685.565241665</v>
      </c>
      <c r="DZ105" s="19">
        <f t="shared" si="399"/>
        <v>13216303.657833137</v>
      </c>
      <c r="EA105" s="19">
        <f t="shared" si="399"/>
        <v>10898160.250990093</v>
      </c>
      <c r="EB105" s="19">
        <f t="shared" si="399"/>
        <v>10674171.338274889</v>
      </c>
      <c r="EC105" s="19">
        <f t="shared" si="399"/>
        <v>12021200.823876441</v>
      </c>
      <c r="ED105" s="19">
        <f t="shared" si="399"/>
        <v>9926288.7974934354</v>
      </c>
      <c r="EE105" s="222"/>
      <c r="EF105" s="19">
        <f t="shared" si="368"/>
        <v>18819837.194188401</v>
      </c>
      <c r="EG105" s="19">
        <f t="shared" si="369"/>
        <v>21258356.81799414</v>
      </c>
      <c r="EH105" s="19">
        <f t="shared" si="370"/>
        <v>17846160.895657804</v>
      </c>
      <c r="EI105" s="19">
        <f t="shared" si="371"/>
        <v>16593588.533265797</v>
      </c>
      <c r="EJ105" s="19">
        <f t="shared" si="372"/>
        <v>21606105.825710755</v>
      </c>
      <c r="EK105" s="19">
        <f t="shared" si="373"/>
        <v>25509864.63363773</v>
      </c>
      <c r="EL105" s="19">
        <f t="shared" si="374"/>
        <v>23542200.895935513</v>
      </c>
      <c r="EM105" s="19">
        <f t="shared" si="375"/>
        <v>25751624.762656864</v>
      </c>
      <c r="EN105" s="19">
        <f t="shared" si="376"/>
        <v>28194324.388980076</v>
      </c>
      <c r="EO105" s="19">
        <f t="shared" si="377"/>
        <v>28677838.800932184</v>
      </c>
      <c r="EP105" s="19">
        <f t="shared" si="378"/>
        <v>32184106.797508147</v>
      </c>
      <c r="EQ105" s="19">
        <f t="shared" si="379"/>
        <v>41729073.813305318</v>
      </c>
      <c r="ER105" s="19">
        <f t="shared" si="380"/>
        <v>32833231.609262627</v>
      </c>
      <c r="ES105" s="19">
        <f t="shared" si="381"/>
        <v>35551638.896547079</v>
      </c>
      <c r="ET105" s="19">
        <f t="shared" si="382"/>
        <v>33685123.56542737</v>
      </c>
      <c r="EU105" s="19">
        <f t="shared" si="383"/>
        <v>31877057.48424165</v>
      </c>
      <c r="EV105" s="19">
        <f t="shared" si="384"/>
        <v>34802653.253056042</v>
      </c>
      <c r="EW105" s="19">
        <f t="shared" si="385"/>
        <v>37767790.12337026</v>
      </c>
      <c r="EX105" s="19">
        <f t="shared" si="386"/>
        <v>34923094.593196638</v>
      </c>
      <c r="EY105" s="19">
        <f t="shared" si="387"/>
        <v>32059898.383981302</v>
      </c>
      <c r="EZ105" s="19">
        <f t="shared" si="388"/>
        <v>36156480.809209481</v>
      </c>
      <c r="FA105" s="19">
        <f t="shared" si="389"/>
        <v>39353145.901391014</v>
      </c>
      <c r="FB105" s="19">
        <f t="shared" si="390"/>
        <v>35967149.474064894</v>
      </c>
      <c r="FC105" s="19">
        <f t="shared" si="391"/>
        <v>32621660.959644765</v>
      </c>
      <c r="FE105" s="19">
        <f t="shared" si="392"/>
        <v>74517943.441106141</v>
      </c>
      <c r="FF105" s="19">
        <f t="shared" si="393"/>
        <v>96409796.117940873</v>
      </c>
      <c r="FG105" s="19">
        <f t="shared" si="394"/>
        <v>130785343.80072573</v>
      </c>
      <c r="FH105" s="19">
        <f t="shared" si="395"/>
        <v>133947051.55547874</v>
      </c>
      <c r="FI105" s="19">
        <f t="shared" si="396"/>
        <v>139553436.35360426</v>
      </c>
      <c r="FJ105" s="770">
        <f t="shared" si="207"/>
        <v>144098437.14431015</v>
      </c>
      <c r="FK105" s="545" t="s">
        <v>1</v>
      </c>
    </row>
    <row r="106" spans="2:167" x14ac:dyDescent="0.2">
      <c r="B106" s="225" t="s">
        <v>311</v>
      </c>
      <c r="C106" s="19">
        <f>C68-C88</f>
        <v>0</v>
      </c>
      <c r="D106" s="19">
        <f t="shared" si="397"/>
        <v>0</v>
      </c>
      <c r="E106" s="19">
        <f t="shared" si="397"/>
        <v>0</v>
      </c>
      <c r="F106" s="19">
        <f t="shared" si="397"/>
        <v>0</v>
      </c>
      <c r="G106" s="19">
        <f t="shared" si="397"/>
        <v>0</v>
      </c>
      <c r="H106" s="19">
        <f t="shared" si="397"/>
        <v>0</v>
      </c>
      <c r="I106" s="19">
        <f t="shared" si="397"/>
        <v>0</v>
      </c>
      <c r="J106" s="19">
        <f t="shared" si="397"/>
        <v>0</v>
      </c>
      <c r="K106" s="19">
        <f t="shared" si="397"/>
        <v>0</v>
      </c>
      <c r="L106" s="19">
        <f t="shared" si="397"/>
        <v>0</v>
      </c>
      <c r="M106" s="19">
        <f t="shared" si="397"/>
        <v>0</v>
      </c>
      <c r="N106" s="19">
        <f t="shared" si="397"/>
        <v>0</v>
      </c>
      <c r="O106" s="19">
        <f t="shared" si="397"/>
        <v>0</v>
      </c>
      <c r="P106" s="19">
        <f t="shared" si="397"/>
        <v>0</v>
      </c>
      <c r="Q106" s="19">
        <f t="shared" si="397"/>
        <v>0</v>
      </c>
      <c r="R106" s="19">
        <f t="shared" si="397"/>
        <v>0</v>
      </c>
      <c r="S106" s="19">
        <f t="shared" si="397"/>
        <v>0</v>
      </c>
      <c r="T106" s="19">
        <f t="shared" si="397"/>
        <v>0</v>
      </c>
      <c r="U106" s="19">
        <f t="shared" si="397"/>
        <v>0</v>
      </c>
      <c r="V106" s="19">
        <f t="shared" si="397"/>
        <v>0</v>
      </c>
      <c r="W106" s="19">
        <f t="shared" si="397"/>
        <v>0</v>
      </c>
      <c r="X106" s="19">
        <f t="shared" si="397"/>
        <v>0</v>
      </c>
      <c r="Y106" s="19">
        <f t="shared" si="397"/>
        <v>0</v>
      </c>
      <c r="Z106" s="19">
        <f t="shared" si="397"/>
        <v>0</v>
      </c>
      <c r="AA106" s="19">
        <f t="shared" si="397"/>
        <v>0</v>
      </c>
      <c r="AB106" s="19">
        <f t="shared" si="397"/>
        <v>0</v>
      </c>
      <c r="AC106" s="19">
        <f t="shared" si="397"/>
        <v>0</v>
      </c>
      <c r="AD106" s="19">
        <f t="shared" si="397"/>
        <v>861394</v>
      </c>
      <c r="AE106" s="19">
        <f t="shared" si="397"/>
        <v>1089200</v>
      </c>
      <c r="AF106" s="19">
        <f t="shared" si="397"/>
        <v>1517914</v>
      </c>
      <c r="AG106" s="19">
        <f t="shared" si="397"/>
        <v>1788042</v>
      </c>
      <c r="AH106" s="19">
        <f t="shared" si="397"/>
        <v>1108386</v>
      </c>
      <c r="AI106" s="19">
        <f t="shared" si="397"/>
        <v>2822994</v>
      </c>
      <c r="AJ106" s="19">
        <f t="shared" si="397"/>
        <v>1089186</v>
      </c>
      <c r="AK106" s="19">
        <f t="shared" si="397"/>
        <v>741502</v>
      </c>
      <c r="AL106" s="19">
        <f t="shared" si="397"/>
        <v>796610</v>
      </c>
      <c r="AM106" s="19">
        <f t="shared" si="397"/>
        <v>728000</v>
      </c>
      <c r="AN106" s="19">
        <f t="shared" si="397"/>
        <v>947771</v>
      </c>
      <c r="AO106" s="19">
        <f t="shared" si="397"/>
        <v>1120000</v>
      </c>
      <c r="AP106" s="19">
        <f t="shared" si="397"/>
        <v>1912349</v>
      </c>
      <c r="AQ106" s="19">
        <f t="shared" si="397"/>
        <v>1736000</v>
      </c>
      <c r="AR106" s="19">
        <f t="shared" si="397"/>
        <v>4886000</v>
      </c>
      <c r="AS106" s="19">
        <f t="shared" si="397"/>
        <v>3438950</v>
      </c>
      <c r="AT106" s="19">
        <f t="shared" si="397"/>
        <v>2417111.88</v>
      </c>
      <c r="AU106" s="19">
        <f t="shared" si="397"/>
        <v>1118904.8400000001</v>
      </c>
      <c r="AV106" s="19">
        <f t="shared" si="397"/>
        <v>2796720.24</v>
      </c>
      <c r="AW106" s="19">
        <f t="shared" si="397"/>
        <v>1365637.6800000002</v>
      </c>
      <c r="AX106" s="19">
        <f t="shared" si="397"/>
        <v>1711884.8</v>
      </c>
      <c r="AY106" s="19">
        <f t="shared" si="397"/>
        <v>1465959.0800000003</v>
      </c>
      <c r="AZ106" s="19">
        <f t="shared" si="397"/>
        <v>1545661.8</v>
      </c>
      <c r="BA106" s="19">
        <f t="shared" si="397"/>
        <v>2116233.12</v>
      </c>
      <c r="BB106" s="19">
        <f t="shared" si="397"/>
        <v>1695776.04</v>
      </c>
      <c r="BC106" s="19">
        <f t="shared" si="397"/>
        <v>1695776.04</v>
      </c>
      <c r="BD106" s="19">
        <f t="shared" si="397"/>
        <v>2648073.4</v>
      </c>
      <c r="BE106" s="19">
        <f t="shared" si="397"/>
        <v>2159741.2400000002</v>
      </c>
      <c r="BF106" s="19">
        <f t="shared" si="397"/>
        <v>619886.88000000012</v>
      </c>
      <c r="BG106" s="19">
        <f t="shared" si="397"/>
        <v>1067741.3599999999</v>
      </c>
      <c r="BH106" s="19">
        <f t="shared" si="397"/>
        <v>1356292.8800000001</v>
      </c>
      <c r="BI106" s="19">
        <f t="shared" si="397"/>
        <v>1140472.52</v>
      </c>
      <c r="BJ106" s="19">
        <f t="shared" si="397"/>
        <v>1354904.12</v>
      </c>
      <c r="BK106" s="19">
        <f t="shared" si="397"/>
        <v>1265273.3599999999</v>
      </c>
      <c r="BL106" s="19">
        <f t="shared" si="397"/>
        <v>1367778.3599999999</v>
      </c>
      <c r="BM106" s="19">
        <f t="shared" si="397"/>
        <v>838654.56</v>
      </c>
      <c r="BN106" s="19">
        <f t="shared" si="397"/>
        <v>1130825.1600000001</v>
      </c>
      <c r="BO106" s="19">
        <f t="shared" si="397"/>
        <v>1495770.12</v>
      </c>
      <c r="BP106" s="19">
        <f t="shared" si="398"/>
        <v>1124459.6400000001</v>
      </c>
      <c r="BQ106" s="19">
        <f t="shared" si="398"/>
        <v>2453795.2800000003</v>
      </c>
      <c r="BR106" s="19">
        <f t="shared" si="398"/>
        <v>951766.92</v>
      </c>
      <c r="BS106" s="19">
        <f t="shared" si="398"/>
        <v>1116000</v>
      </c>
      <c r="BT106" s="19">
        <f t="shared" si="398"/>
        <v>1251640.8</v>
      </c>
      <c r="BU106" s="19">
        <f t="shared" si="398"/>
        <v>913328.28</v>
      </c>
      <c r="BV106" s="19">
        <f t="shared" si="398"/>
        <v>1033255.4400000001</v>
      </c>
      <c r="BW106" s="19">
        <f t="shared" si="398"/>
        <v>1014968.52</v>
      </c>
      <c r="BX106" s="19">
        <f t="shared" si="398"/>
        <v>1008000</v>
      </c>
      <c r="BY106" s="19">
        <f t="shared" si="398"/>
        <v>1290740.7600000002</v>
      </c>
      <c r="BZ106" s="19">
        <f t="shared" si="398"/>
        <v>1435241.52</v>
      </c>
      <c r="CA106" s="19">
        <f t="shared" si="398"/>
        <v>2384040.4000000004</v>
      </c>
      <c r="CB106" s="19">
        <f t="shared" si="398"/>
        <v>4306256.3661016952</v>
      </c>
      <c r="CC106" s="19">
        <f t="shared" si="398"/>
        <v>3079062.1999999997</v>
      </c>
      <c r="CD106" s="19">
        <f t="shared" si="398"/>
        <v>3752510.1</v>
      </c>
      <c r="CE106" s="19">
        <f t="shared" si="398"/>
        <v>2784235.6</v>
      </c>
      <c r="CF106" s="19">
        <f t="shared" si="398"/>
        <v>2110723.1</v>
      </c>
      <c r="CG106" s="19">
        <f t="shared" si="398"/>
        <v>1653456.9</v>
      </c>
      <c r="CH106" s="19">
        <f t="shared" si="398"/>
        <v>2545252</v>
      </c>
      <c r="CI106" s="19">
        <f t="shared" si="398"/>
        <v>1740065.9</v>
      </c>
      <c r="CJ106" s="19">
        <f t="shared" si="398"/>
        <v>1276873.3</v>
      </c>
      <c r="CK106" s="19">
        <f t="shared" si="398"/>
        <v>2510620.96</v>
      </c>
      <c r="CL106" s="19">
        <f t="shared" si="398"/>
        <v>3651176.2</v>
      </c>
      <c r="CM106" s="19">
        <f t="shared" si="398"/>
        <v>3500349.9</v>
      </c>
      <c r="CN106" s="19">
        <f t="shared" si="398"/>
        <v>4380195.01</v>
      </c>
      <c r="CO106" s="19">
        <f t="shared" si="398"/>
        <v>3542880.0300000003</v>
      </c>
      <c r="CP106" s="19">
        <f t="shared" si="398"/>
        <v>3118732.6799999997</v>
      </c>
      <c r="CQ106" s="19">
        <f t="shared" si="398"/>
        <v>3178051.15</v>
      </c>
      <c r="CR106" s="19">
        <f t="shared" si="398"/>
        <v>1981348.6</v>
      </c>
      <c r="CS106" s="19">
        <f t="shared" si="398"/>
        <v>3930581.29</v>
      </c>
      <c r="CT106" s="19">
        <f t="shared" si="398"/>
        <v>6187310.0099999998</v>
      </c>
      <c r="CU106" s="19">
        <f t="shared" si="398"/>
        <v>1740065.9</v>
      </c>
      <c r="CV106" s="19">
        <f t="shared" si="398"/>
        <v>1276873.3</v>
      </c>
      <c r="CW106" s="19">
        <f t="shared" si="398"/>
        <v>2510620.96</v>
      </c>
      <c r="CX106" s="19">
        <f t="shared" si="398"/>
        <v>3651176.2</v>
      </c>
      <c r="CY106" s="19">
        <f t="shared" si="398"/>
        <v>3500349.9</v>
      </c>
      <c r="CZ106" s="19">
        <f t="shared" si="398"/>
        <v>4380195.0100000007</v>
      </c>
      <c r="DA106" s="19">
        <f t="shared" si="398"/>
        <v>3542880.0300000003</v>
      </c>
      <c r="DB106" s="19">
        <f t="shared" si="398"/>
        <v>3118732.6799999997</v>
      </c>
      <c r="DC106" s="19">
        <f t="shared" si="398"/>
        <v>3178051.15</v>
      </c>
      <c r="DD106" s="19">
        <f t="shared" si="398"/>
        <v>1981348.6000000003</v>
      </c>
      <c r="DE106" s="19">
        <f t="shared" si="398"/>
        <v>3930581.29</v>
      </c>
      <c r="DF106" s="19">
        <f t="shared" si="398"/>
        <v>6187310.0099999998</v>
      </c>
      <c r="DG106" s="19">
        <f t="shared" si="398"/>
        <v>1740065.9</v>
      </c>
      <c r="DH106" s="19">
        <f t="shared" si="398"/>
        <v>1276873.3</v>
      </c>
      <c r="DI106" s="19">
        <f t="shared" si="398"/>
        <v>2510620.96</v>
      </c>
      <c r="DJ106" s="19">
        <f t="shared" si="398"/>
        <v>3651176.2</v>
      </c>
      <c r="DK106" s="19">
        <f t="shared" si="398"/>
        <v>3500349.9</v>
      </c>
      <c r="DL106" s="19">
        <f t="shared" si="398"/>
        <v>4380195.0100000007</v>
      </c>
      <c r="DM106" s="19">
        <f t="shared" si="398"/>
        <v>3542880.0300000003</v>
      </c>
      <c r="DN106" s="19">
        <f t="shared" si="398"/>
        <v>3118732.6799999997</v>
      </c>
      <c r="DO106" s="19">
        <f t="shared" si="398"/>
        <v>3178051.15</v>
      </c>
      <c r="DP106" s="19">
        <f t="shared" si="398"/>
        <v>1981348.6000000003</v>
      </c>
      <c r="DQ106" s="19">
        <f t="shared" si="398"/>
        <v>3930581.29</v>
      </c>
      <c r="DR106" s="19">
        <f t="shared" si="398"/>
        <v>6187310.0099999998</v>
      </c>
      <c r="DS106" s="19">
        <f t="shared" ref="DS106:ED106" si="400">DS68-DS88</f>
        <v>1740065.9</v>
      </c>
      <c r="DT106" s="19">
        <f t="shared" si="400"/>
        <v>1276873.3</v>
      </c>
      <c r="DU106" s="19">
        <f t="shared" si="400"/>
        <v>2510620.96</v>
      </c>
      <c r="DV106" s="19">
        <f t="shared" si="400"/>
        <v>3651176.2</v>
      </c>
      <c r="DW106" s="19">
        <f t="shared" si="400"/>
        <v>3500349.9</v>
      </c>
      <c r="DX106" s="19">
        <f t="shared" si="400"/>
        <v>4380195.0100000007</v>
      </c>
      <c r="DY106" s="19">
        <f t="shared" si="400"/>
        <v>3542880.0300000003</v>
      </c>
      <c r="DZ106" s="19">
        <f t="shared" si="400"/>
        <v>3118732.6799999997</v>
      </c>
      <c r="EA106" s="19">
        <f t="shared" si="400"/>
        <v>3178051.15</v>
      </c>
      <c r="EB106" s="19">
        <f t="shared" si="400"/>
        <v>1981348.6000000003</v>
      </c>
      <c r="EC106" s="19">
        <f t="shared" si="400"/>
        <v>3930581.29</v>
      </c>
      <c r="ED106" s="19">
        <f t="shared" si="400"/>
        <v>6187310.0099999998</v>
      </c>
      <c r="EE106" s="222"/>
      <c r="EF106" s="19">
        <f t="shared" si="368"/>
        <v>3471706.28</v>
      </c>
      <c r="EG106" s="19">
        <f t="shared" si="369"/>
        <v>3751054.9200000004</v>
      </c>
      <c r="EH106" s="19">
        <f t="shared" si="370"/>
        <v>4521562.2</v>
      </c>
      <c r="EI106" s="19">
        <f t="shared" si="371"/>
        <v>3198224.52</v>
      </c>
      <c r="EJ106" s="19">
        <f t="shared" si="372"/>
        <v>3313709.2800000003</v>
      </c>
      <c r="EK106" s="19">
        <f t="shared" si="373"/>
        <v>8125538.2861016952</v>
      </c>
      <c r="EL106" s="19">
        <f t="shared" si="374"/>
        <v>9615807.9000000004</v>
      </c>
      <c r="EM106" s="19">
        <f t="shared" si="375"/>
        <v>6309432</v>
      </c>
      <c r="EN106" s="19">
        <f t="shared" si="376"/>
        <v>5527560.1600000001</v>
      </c>
      <c r="EO106" s="19">
        <f t="shared" si="377"/>
        <v>11531721.109999999</v>
      </c>
      <c r="EP106" s="19">
        <f t="shared" si="378"/>
        <v>9839663.8599999994</v>
      </c>
      <c r="EQ106" s="19">
        <f t="shared" si="379"/>
        <v>12099239.9</v>
      </c>
      <c r="ER106" s="19">
        <f t="shared" si="380"/>
        <v>5527560.1600000001</v>
      </c>
      <c r="ES106" s="19">
        <f t="shared" si="381"/>
        <v>11531721.109999999</v>
      </c>
      <c r="ET106" s="19">
        <f t="shared" si="382"/>
        <v>9839663.8599999994</v>
      </c>
      <c r="EU106" s="19">
        <f t="shared" si="383"/>
        <v>12099239.9</v>
      </c>
      <c r="EV106" s="19">
        <f t="shared" si="384"/>
        <v>5527560.1600000001</v>
      </c>
      <c r="EW106" s="19">
        <f t="shared" si="385"/>
        <v>11531721.109999999</v>
      </c>
      <c r="EX106" s="19">
        <f t="shared" si="386"/>
        <v>9839663.8599999994</v>
      </c>
      <c r="EY106" s="19">
        <f t="shared" si="387"/>
        <v>12099239.9</v>
      </c>
      <c r="EZ106" s="19">
        <f t="shared" ref="EZ106" si="401">SUM(DS106:DU106)</f>
        <v>5527560.1600000001</v>
      </c>
      <c r="FA106" s="19">
        <f t="shared" ref="FA106" si="402">SUM(DV106:DX106)</f>
        <v>11531721.109999999</v>
      </c>
      <c r="FB106" s="19">
        <f t="shared" ref="FB106" si="403">SUM(DY106:EA106)</f>
        <v>9839663.8599999994</v>
      </c>
      <c r="FC106" s="19">
        <f t="shared" ref="FC106" si="404">SUM(EB106:ED106)</f>
        <v>12099239.9</v>
      </c>
      <c r="FE106" s="19">
        <f t="shared" ref="FE106" si="405">SUM(EF106:EI106)</f>
        <v>14942547.92</v>
      </c>
      <c r="FF106" s="19">
        <f t="shared" ref="FF106" si="406">SUM(EJ106:EM106)</f>
        <v>27364487.466101699</v>
      </c>
      <c r="FG106" s="19">
        <f t="shared" ref="FG106" si="407">SUM(EN106:EQ106)</f>
        <v>38998185.030000001</v>
      </c>
      <c r="FH106" s="19">
        <f t="shared" ref="FH106" si="408">SUM(ER106:EU106)</f>
        <v>38998185.030000001</v>
      </c>
      <c r="FI106" s="19">
        <f t="shared" ref="FI106" si="409">SUM(EV106:EY106)</f>
        <v>38998185.030000001</v>
      </c>
      <c r="FJ106" s="770">
        <f t="shared" ref="FJ106" si="410">SUM(EZ106:FC106)</f>
        <v>38998185.030000001</v>
      </c>
      <c r="FK106" s="545" t="s">
        <v>1</v>
      </c>
    </row>
    <row r="107" spans="2:167" x14ac:dyDescent="0.2">
      <c r="B107" s="226" t="s">
        <v>29</v>
      </c>
      <c r="C107" s="20">
        <f>C101/C63</f>
        <v>7.1703299949441343E-2</v>
      </c>
      <c r="D107" s="20">
        <f t="shared" ref="D107:BO107" si="411">D101/D63</f>
        <v>8.5262440849613208E-2</v>
      </c>
      <c r="E107" s="20">
        <f t="shared" si="411"/>
        <v>7.2105006678272673E-2</v>
      </c>
      <c r="F107" s="20">
        <f t="shared" si="411"/>
        <v>7.2081263054226005E-2</v>
      </c>
      <c r="G107" s="20">
        <f t="shared" si="411"/>
        <v>3.7629142439732338E-2</v>
      </c>
      <c r="H107" s="20">
        <f t="shared" si="411"/>
        <v>5.7114889146610795E-2</v>
      </c>
      <c r="I107" s="20">
        <f t="shared" si="411"/>
        <v>-6.0493131488997898E-3</v>
      </c>
      <c r="J107" s="20">
        <f t="shared" si="411"/>
        <v>5.9117323167698056E-2</v>
      </c>
      <c r="K107" s="20">
        <f t="shared" si="411"/>
        <v>3.1097278549735468E-2</v>
      </c>
      <c r="L107" s="20">
        <f t="shared" si="411"/>
        <v>8.9934449612353489E-4</v>
      </c>
      <c r="M107" s="20">
        <f t="shared" si="411"/>
        <v>3.1466841465499724E-2</v>
      </c>
      <c r="N107" s="20">
        <f t="shared" si="411"/>
        <v>5.4265848781317128E-2</v>
      </c>
      <c r="O107" s="20">
        <f t="shared" si="411"/>
        <v>4.4598691545127613E-2</v>
      </c>
      <c r="P107" s="20">
        <f t="shared" si="411"/>
        <v>3.8046893914127931E-2</v>
      </c>
      <c r="Q107" s="20">
        <f t="shared" si="411"/>
        <v>3.8460423293777884E-2</v>
      </c>
      <c r="R107" s="20">
        <f t="shared" si="411"/>
        <v>6.7175576875961207E-2</v>
      </c>
      <c r="S107" s="20">
        <f t="shared" si="411"/>
        <v>6.8809891821381822E-2</v>
      </c>
      <c r="T107" s="20">
        <f t="shared" si="411"/>
        <v>4.5784869251819814E-2</v>
      </c>
      <c r="U107" s="20">
        <f t="shared" si="411"/>
        <v>5.2181746180629679E-2</v>
      </c>
      <c r="V107" s="20">
        <f t="shared" si="411"/>
        <v>4.4284300414420823E-2</v>
      </c>
      <c r="W107" s="20">
        <f t="shared" si="411"/>
        <v>5.4460620008982406E-2</v>
      </c>
      <c r="X107" s="20">
        <f t="shared" si="411"/>
        <v>6.6159875231360396E-2</v>
      </c>
      <c r="Y107" s="20">
        <f t="shared" si="411"/>
        <v>7.8814806344408281E-2</v>
      </c>
      <c r="Z107" s="20">
        <f t="shared" si="411"/>
        <v>6.645749010297744E-2</v>
      </c>
      <c r="AA107" s="20">
        <f t="shared" si="411"/>
        <v>1.8243590777768712</v>
      </c>
      <c r="AB107" s="20">
        <f t="shared" si="411"/>
        <v>9.0529404640166358E-2</v>
      </c>
      <c r="AC107" s="20">
        <f t="shared" si="411"/>
        <v>9.9997007909553931E-2</v>
      </c>
      <c r="AD107" s="20">
        <f t="shared" si="411"/>
        <v>0.14132105777914772</v>
      </c>
      <c r="AE107" s="20">
        <f t="shared" si="411"/>
        <v>0.12126658282847425</v>
      </c>
      <c r="AF107" s="20">
        <f t="shared" si="411"/>
        <v>0.11933429654987003</v>
      </c>
      <c r="AG107" s="20">
        <f t="shared" si="411"/>
        <v>0.12298916024145823</v>
      </c>
      <c r="AH107" s="20">
        <f t="shared" si="411"/>
        <v>0.12761338334073666</v>
      </c>
      <c r="AI107" s="20">
        <f t="shared" si="411"/>
        <v>9.9419681907489121E-2</v>
      </c>
      <c r="AJ107" s="20">
        <f t="shared" si="411"/>
        <v>9.9533683686708438E-2</v>
      </c>
      <c r="AK107" s="20">
        <f t="shared" si="411"/>
        <v>9.0050268548221096E-2</v>
      </c>
      <c r="AL107" s="20">
        <f t="shared" si="411"/>
        <v>0.11025935481854816</v>
      </c>
      <c r="AM107" s="20">
        <f t="shared" si="411"/>
        <v>9.2004156759145209E-2</v>
      </c>
      <c r="AN107" s="20">
        <f t="shared" si="411"/>
        <v>8.7224380039152491E-2</v>
      </c>
      <c r="AO107" s="20">
        <f t="shared" si="411"/>
        <v>0.12610044658108902</v>
      </c>
      <c r="AP107" s="20">
        <f t="shared" si="411"/>
        <v>0.11207446770147637</v>
      </c>
      <c r="AQ107" s="20">
        <f t="shared" si="411"/>
        <v>0.11873907471207683</v>
      </c>
      <c r="AR107" s="20">
        <f t="shared" si="411"/>
        <v>0.12129705261090014</v>
      </c>
      <c r="AS107" s="20">
        <f t="shared" si="411"/>
        <v>0.15966038121517739</v>
      </c>
      <c r="AT107" s="20">
        <f t="shared" si="411"/>
        <v>0.1379341182714765</v>
      </c>
      <c r="AU107" s="20">
        <f t="shared" si="411"/>
        <v>0.11685103576739973</v>
      </c>
      <c r="AV107" s="20">
        <f t="shared" si="411"/>
        <v>0.10316375033267809</v>
      </c>
      <c r="AW107" s="20">
        <f t="shared" si="411"/>
        <v>8.4349009437507158E-2</v>
      </c>
      <c r="AX107" s="20">
        <f t="shared" si="411"/>
        <v>0.10211972769749462</v>
      </c>
      <c r="AY107" s="20">
        <f t="shared" si="411"/>
        <v>9.0221017299389389E-2</v>
      </c>
      <c r="AZ107" s="20">
        <f t="shared" si="411"/>
        <v>7.4745708578247999E-2</v>
      </c>
      <c r="BA107" s="20">
        <f t="shared" si="411"/>
        <v>0.12104686501978563</v>
      </c>
      <c r="BB107" s="20">
        <f t="shared" si="411"/>
        <v>0.13788796593208472</v>
      </c>
      <c r="BC107" s="20">
        <f t="shared" si="411"/>
        <v>0.10759753494042833</v>
      </c>
      <c r="BD107" s="20">
        <f t="shared" si="411"/>
        <v>7.7588559570088034E-2</v>
      </c>
      <c r="BE107" s="20">
        <f t="shared" si="411"/>
        <v>9.4702774458039624E-2</v>
      </c>
      <c r="BF107" s="20">
        <f t="shared" si="411"/>
        <v>8.9699991565960938E-2</v>
      </c>
      <c r="BG107" s="20">
        <f t="shared" si="411"/>
        <v>0.10174058520491286</v>
      </c>
      <c r="BH107" s="20">
        <f t="shared" si="411"/>
        <v>0.11262842405038336</v>
      </c>
      <c r="BI107" s="20">
        <f t="shared" si="411"/>
        <v>0.1218848752077038</v>
      </c>
      <c r="BJ107" s="20">
        <f t="shared" si="411"/>
        <v>0.13302102026398277</v>
      </c>
      <c r="BK107" s="171">
        <f t="shared" si="411"/>
        <v>0.14074384124492251</v>
      </c>
      <c r="BL107" s="20">
        <f t="shared" si="411"/>
        <v>0.14564405521576468</v>
      </c>
      <c r="BM107" s="20">
        <f t="shared" si="411"/>
        <v>0.16984634315695815</v>
      </c>
      <c r="BN107" s="20">
        <f t="shared" si="411"/>
        <v>0.18883196129121735</v>
      </c>
      <c r="BO107" s="20">
        <f t="shared" si="411"/>
        <v>0.18665765605938006</v>
      </c>
      <c r="BP107" s="20">
        <f t="shared" ref="BP107:DR107" si="412">BP101/BP63</f>
        <v>0.15899768244432261</v>
      </c>
      <c r="BQ107" s="20">
        <f t="shared" si="412"/>
        <v>0.18048739394120239</v>
      </c>
      <c r="BR107" s="20">
        <f t="shared" si="412"/>
        <v>0.17434360550912273</v>
      </c>
      <c r="BS107" s="20">
        <f t="shared" si="412"/>
        <v>0.1680998420472106</v>
      </c>
      <c r="BT107" s="20">
        <f t="shared" si="412"/>
        <v>0.16868941651750147</v>
      </c>
      <c r="BU107" s="20">
        <f t="shared" si="412"/>
        <v>0.21165430845339447</v>
      </c>
      <c r="BV107" s="20">
        <f t="shared" si="412"/>
        <v>0.20880033874341358</v>
      </c>
      <c r="BW107" s="20">
        <f t="shared" si="412"/>
        <v>0.20382254434048366</v>
      </c>
      <c r="BX107" s="20">
        <f t="shared" si="412"/>
        <v>0.21816491754353323</v>
      </c>
      <c r="BY107" s="20">
        <f t="shared" si="412"/>
        <v>0.22004997048809213</v>
      </c>
      <c r="BZ107" s="20">
        <f t="shared" si="412"/>
        <v>0.21553840635864702</v>
      </c>
      <c r="CA107" s="20">
        <f t="shared" si="412"/>
        <v>0.22234179956827879</v>
      </c>
      <c r="CB107" s="20">
        <f t="shared" si="412"/>
        <v>0.22198600389534445</v>
      </c>
      <c r="CC107" s="20">
        <f t="shared" si="412"/>
        <v>0.23420406344648034</v>
      </c>
      <c r="CD107" s="20">
        <f t="shared" si="412"/>
        <v>0.22478666931060459</v>
      </c>
      <c r="CE107" s="20">
        <f t="shared" si="412"/>
        <v>0.20867145948189228</v>
      </c>
      <c r="CF107" s="20">
        <f t="shared" si="412"/>
        <v>0.2004840539738405</v>
      </c>
      <c r="CG107" s="20">
        <f t="shared" si="412"/>
        <v>0.19490448581388595</v>
      </c>
      <c r="CH107" s="20">
        <f t="shared" si="412"/>
        <v>0.17748026697330477</v>
      </c>
      <c r="CI107" s="20">
        <f t="shared" si="412"/>
        <v>0.19659676960143144</v>
      </c>
      <c r="CJ107" s="20">
        <f t="shared" si="412"/>
        <v>0.19862729704923912</v>
      </c>
      <c r="CK107" s="20">
        <f t="shared" si="412"/>
        <v>0.20870527774099365</v>
      </c>
      <c r="CL107" s="20">
        <f t="shared" si="412"/>
        <v>0.2079784434481092</v>
      </c>
      <c r="CM107" s="20">
        <f t="shared" si="412"/>
        <v>0.22717383056496274</v>
      </c>
      <c r="CN107" s="20">
        <f t="shared" si="412"/>
        <v>0.2234307502200128</v>
      </c>
      <c r="CO107" s="20">
        <f t="shared" si="412"/>
        <v>0.23389831645270076</v>
      </c>
      <c r="CP107" s="20">
        <f t="shared" si="412"/>
        <v>0.20781394161204569</v>
      </c>
      <c r="CQ107" s="20">
        <f t="shared" si="412"/>
        <v>0.17818844493884609</v>
      </c>
      <c r="CR107" s="20">
        <f t="shared" si="412"/>
        <v>0.17894182803777897</v>
      </c>
      <c r="CS107" s="20">
        <f t="shared" si="412"/>
        <v>0.18476631510289623</v>
      </c>
      <c r="CT107" s="20">
        <f t="shared" si="412"/>
        <v>0.19133772921022205</v>
      </c>
      <c r="CU107" s="20">
        <f t="shared" si="412"/>
        <v>0.19166095401110636</v>
      </c>
      <c r="CV107" s="20">
        <f t="shared" si="412"/>
        <v>0.19307131246778059</v>
      </c>
      <c r="CW107" s="20">
        <f t="shared" si="412"/>
        <v>0.19598276991227101</v>
      </c>
      <c r="CX107" s="20">
        <f t="shared" si="412"/>
        <v>0.19981394048476792</v>
      </c>
      <c r="CY107" s="20">
        <f t="shared" si="412"/>
        <v>0.20059858968414063</v>
      </c>
      <c r="CZ107" s="20">
        <f t="shared" si="412"/>
        <v>0.21382904882100048</v>
      </c>
      <c r="DA107" s="20">
        <f t="shared" si="412"/>
        <v>0.21535815166017117</v>
      </c>
      <c r="DB107" s="20">
        <f t="shared" si="412"/>
        <v>0.192494803875883</v>
      </c>
      <c r="DC107" s="20">
        <f t="shared" si="412"/>
        <v>0.18925525640738602</v>
      </c>
      <c r="DD107" s="20">
        <f t="shared" si="412"/>
        <v>0.19332476329790471</v>
      </c>
      <c r="DE107" s="20">
        <f t="shared" si="412"/>
        <v>0.1898053751687053</v>
      </c>
      <c r="DF107" s="20">
        <f t="shared" si="412"/>
        <v>0.19905457325352702</v>
      </c>
      <c r="DG107" s="20">
        <f t="shared" si="412"/>
        <v>0.19202074299160748</v>
      </c>
      <c r="DH107" s="20">
        <f t="shared" si="412"/>
        <v>0.19350214511294619</v>
      </c>
      <c r="DI107" s="20">
        <f t="shared" si="412"/>
        <v>0.19615919780784785</v>
      </c>
      <c r="DJ107" s="20">
        <f t="shared" si="412"/>
        <v>0.19979429179717778</v>
      </c>
      <c r="DK107" s="20">
        <f t="shared" si="412"/>
        <v>0.20054264057923848</v>
      </c>
      <c r="DL107" s="20">
        <f t="shared" si="412"/>
        <v>0.21333559287992368</v>
      </c>
      <c r="DM107" s="20">
        <f t="shared" si="412"/>
        <v>0.21503978636479293</v>
      </c>
      <c r="DN107" s="20">
        <f t="shared" si="412"/>
        <v>0.19281018040235151</v>
      </c>
      <c r="DO107" s="20">
        <f t="shared" si="412"/>
        <v>0.18957271736020084</v>
      </c>
      <c r="DP107" s="20">
        <f t="shared" si="412"/>
        <v>0.1935172199750001</v>
      </c>
      <c r="DQ107" s="20">
        <f t="shared" si="412"/>
        <v>0.18993836846281154</v>
      </c>
      <c r="DR107" s="20">
        <f t="shared" si="412"/>
        <v>0.19881630171337059</v>
      </c>
      <c r="DS107" s="20">
        <f t="shared" ref="DS107:ED107" si="413">DS101/DS63</f>
        <v>0.19186710149781158</v>
      </c>
      <c r="DT107" s="20">
        <f t="shared" si="413"/>
        <v>0.1934109007080988</v>
      </c>
      <c r="DU107" s="20">
        <f t="shared" si="413"/>
        <v>0.19586426006029878</v>
      </c>
      <c r="DV107" s="20">
        <f t="shared" si="413"/>
        <v>0.19930649580688792</v>
      </c>
      <c r="DW107" s="20">
        <f t="shared" si="413"/>
        <v>0.20005093312623465</v>
      </c>
      <c r="DX107" s="20">
        <f t="shared" si="413"/>
        <v>0.21241796219062239</v>
      </c>
      <c r="DY107" s="20">
        <f t="shared" si="413"/>
        <v>0.21422998666045795</v>
      </c>
      <c r="DZ107" s="20">
        <f t="shared" si="413"/>
        <v>0.19276479430937685</v>
      </c>
      <c r="EA107" s="20">
        <f t="shared" si="413"/>
        <v>0.18952108481393939</v>
      </c>
      <c r="EB107" s="20">
        <f t="shared" si="413"/>
        <v>0.19329227516265238</v>
      </c>
      <c r="EC107" s="20">
        <f t="shared" si="413"/>
        <v>0.18977516528837735</v>
      </c>
      <c r="ED107" s="20">
        <f t="shared" si="413"/>
        <v>0.1982077122833851</v>
      </c>
      <c r="EE107" s="222"/>
      <c r="EF107" s="20">
        <f t="shared" ref="EF107:FI107" si="414">EF101/EF63</f>
        <v>0.15165332953210342</v>
      </c>
      <c r="EG107" s="20">
        <f t="shared" si="414"/>
        <v>0.17807015526966788</v>
      </c>
      <c r="EH107" s="20">
        <f t="shared" si="414"/>
        <v>0.17465459276267534</v>
      </c>
      <c r="EI107" s="20">
        <f t="shared" si="414"/>
        <v>0.19619212934423119</v>
      </c>
      <c r="EJ107" s="20">
        <f t="shared" si="414"/>
        <v>0.21417721974134024</v>
      </c>
      <c r="EK107" s="20">
        <f t="shared" si="414"/>
        <v>0.21977391685574768</v>
      </c>
      <c r="EL107" s="20">
        <f t="shared" si="414"/>
        <v>0.2220524113949601</v>
      </c>
      <c r="EM107" s="20">
        <f t="shared" si="414"/>
        <v>0.1898262891606689</v>
      </c>
      <c r="EN107" s="20">
        <f t="shared" si="414"/>
        <v>0.20128303876048603</v>
      </c>
      <c r="EO107" s="20">
        <f t="shared" si="414"/>
        <v>0.21894234357444778</v>
      </c>
      <c r="EP107" s="20">
        <f t="shared" si="414"/>
        <v>0.20470487272599008</v>
      </c>
      <c r="EQ107" s="20">
        <f t="shared" si="414"/>
        <v>0.18505218135980256</v>
      </c>
      <c r="ER107" s="20">
        <f t="shared" si="414"/>
        <v>0.1935601643229084</v>
      </c>
      <c r="ES107" s="20">
        <f t="shared" si="414"/>
        <v>0.20448328332274129</v>
      </c>
      <c r="ET107" s="20">
        <f t="shared" si="414"/>
        <v>0.19839483234561534</v>
      </c>
      <c r="EU107" s="20">
        <f t="shared" si="414"/>
        <v>0.1941617153267334</v>
      </c>
      <c r="EV107" s="20">
        <f t="shared" si="414"/>
        <v>0.19388228167016056</v>
      </c>
      <c r="EW107" s="20">
        <f t="shared" si="414"/>
        <v>0.20429301131446287</v>
      </c>
      <c r="EX107" s="20">
        <f t="shared" si="414"/>
        <v>0.19851754342405539</v>
      </c>
      <c r="EY107" s="20">
        <f t="shared" si="414"/>
        <v>0.19417837214109757</v>
      </c>
      <c r="EZ107" s="20">
        <f t="shared" ref="EZ107:FC107" si="415">EZ101/EZ63</f>
        <v>0.19370273673487456</v>
      </c>
      <c r="FA107" s="20">
        <f t="shared" si="415"/>
        <v>0.20366663661527973</v>
      </c>
      <c r="FB107" s="20">
        <f t="shared" si="415"/>
        <v>0.19821842937748382</v>
      </c>
      <c r="FC107" s="20">
        <f t="shared" si="415"/>
        <v>0.1938399853926541</v>
      </c>
      <c r="FD107" s="785"/>
      <c r="FE107" s="20">
        <f t="shared" si="414"/>
        <v>0.17429856627305859</v>
      </c>
      <c r="FF107" s="20">
        <f t="shared" si="414"/>
        <v>0.20953931901509407</v>
      </c>
      <c r="FG107" s="20">
        <f t="shared" si="414"/>
        <v>0.20087122604344818</v>
      </c>
      <c r="FH107" s="20">
        <f t="shared" si="414"/>
        <v>0.19743052973576775</v>
      </c>
      <c r="FI107" s="20">
        <f t="shared" si="414"/>
        <v>0.19750475871379694</v>
      </c>
      <c r="FJ107" s="20">
        <f t="shared" ref="FJ107" si="416">FJ101/FJ63</f>
        <v>0.19714821239770033</v>
      </c>
      <c r="FK107" s="545" t="s">
        <v>1</v>
      </c>
    </row>
    <row r="108" spans="2:167" x14ac:dyDescent="0.2">
      <c r="B108" s="226" t="s">
        <v>319</v>
      </c>
      <c r="C108" s="20">
        <f>(C101-C104)/(C63-C66)</f>
        <v>4.1647818903146346E-2</v>
      </c>
      <c r="D108" s="20">
        <f t="shared" ref="D108:BO108" si="417">(D101-D104)/(D63-D66)</f>
        <v>3.8546285398452472E-2</v>
      </c>
      <c r="E108" s="20">
        <f t="shared" si="417"/>
        <v>3.2287738387921788E-2</v>
      </c>
      <c r="F108" s="20">
        <f t="shared" si="417"/>
        <v>4.3025107897907831E-2</v>
      </c>
      <c r="G108" s="20">
        <f t="shared" si="417"/>
        <v>2.190652247861534E-2</v>
      </c>
      <c r="H108" s="20">
        <f t="shared" si="417"/>
        <v>4.6061598676595608E-2</v>
      </c>
      <c r="I108" s="20">
        <f t="shared" si="417"/>
        <v>-1.9558462284205651E-2</v>
      </c>
      <c r="J108" s="20">
        <f t="shared" si="417"/>
        <v>4.7198465144084968E-2</v>
      </c>
      <c r="K108" s="20">
        <f t="shared" si="417"/>
        <v>1.871141708171942E-2</v>
      </c>
      <c r="L108" s="20">
        <f t="shared" si="417"/>
        <v>-1.2768140500768008E-2</v>
      </c>
      <c r="M108" s="20">
        <f t="shared" si="417"/>
        <v>2.0262756495650774E-2</v>
      </c>
      <c r="N108" s="20">
        <f t="shared" si="417"/>
        <v>4.3580456917251598E-2</v>
      </c>
      <c r="O108" s="20">
        <f t="shared" si="417"/>
        <v>3.6381549376083629E-2</v>
      </c>
      <c r="P108" s="20">
        <f t="shared" si="417"/>
        <v>2.8785437271139056E-2</v>
      </c>
      <c r="Q108" s="20">
        <f t="shared" si="417"/>
        <v>2.9336211777343621E-2</v>
      </c>
      <c r="R108" s="20">
        <f t="shared" si="417"/>
        <v>5.7711774446867758E-2</v>
      </c>
      <c r="S108" s="20">
        <f t="shared" si="417"/>
        <v>5.5987123964050263E-2</v>
      </c>
      <c r="T108" s="20">
        <f t="shared" si="417"/>
        <v>3.1580239629038567E-2</v>
      </c>
      <c r="U108" s="20">
        <f t="shared" si="417"/>
        <v>3.0780056340253235E-2</v>
      </c>
      <c r="V108" s="20">
        <f t="shared" si="417"/>
        <v>2.9498668014589505E-2</v>
      </c>
      <c r="W108" s="20">
        <f t="shared" si="417"/>
        <v>4.1674790661625362E-2</v>
      </c>
      <c r="X108" s="20">
        <f t="shared" si="417"/>
        <v>5.2060792988763718E-2</v>
      </c>
      <c r="Y108" s="20">
        <f t="shared" si="417"/>
        <v>6.6827128468329583E-2</v>
      </c>
      <c r="Z108" s="20">
        <f t="shared" si="417"/>
        <v>5.1270568784308072E-2</v>
      </c>
      <c r="AA108" s="20">
        <f t="shared" si="417"/>
        <v>1.8082461593452821</v>
      </c>
      <c r="AB108" s="20">
        <f t="shared" si="417"/>
        <v>7.9815872442721605E-2</v>
      </c>
      <c r="AC108" s="20">
        <f t="shared" si="417"/>
        <v>6.846435512509097E-2</v>
      </c>
      <c r="AD108" s="20">
        <f t="shared" si="417"/>
        <v>8.8362051631170488E-2</v>
      </c>
      <c r="AE108" s="20">
        <f t="shared" si="417"/>
        <v>7.5657006422235523E-2</v>
      </c>
      <c r="AF108" s="20">
        <f t="shared" si="417"/>
        <v>7.351550120274844E-2</v>
      </c>
      <c r="AG108" s="20">
        <f t="shared" si="417"/>
        <v>6.4423947346864699E-2</v>
      </c>
      <c r="AH108" s="20">
        <f t="shared" si="417"/>
        <v>8.7765956055313135E-2</v>
      </c>
      <c r="AI108" s="20">
        <f t="shared" si="417"/>
        <v>7.7702270945717078E-2</v>
      </c>
      <c r="AJ108" s="20">
        <f t="shared" si="417"/>
        <v>7.0353823820931721E-2</v>
      </c>
      <c r="AK108" s="20">
        <f t="shared" si="417"/>
        <v>6.7283801157093356E-2</v>
      </c>
      <c r="AL108" s="20">
        <f t="shared" si="417"/>
        <v>8.1457856862526032E-2</v>
      </c>
      <c r="AM108" s="20">
        <f t="shared" si="417"/>
        <v>6.0334342941990769E-2</v>
      </c>
      <c r="AN108" s="20">
        <f t="shared" si="417"/>
        <v>5.5337916909548979E-2</v>
      </c>
      <c r="AO108" s="20">
        <f t="shared" si="417"/>
        <v>8.4352014086133201E-2</v>
      </c>
      <c r="AP108" s="20">
        <f t="shared" si="417"/>
        <v>7.2086710030000015E-2</v>
      </c>
      <c r="AQ108" s="20">
        <f t="shared" si="417"/>
        <v>7.359010482520692E-2</v>
      </c>
      <c r="AR108" s="20">
        <f t="shared" si="417"/>
        <v>7.8678408897305499E-2</v>
      </c>
      <c r="AS108" s="20">
        <f t="shared" si="417"/>
        <v>9.7273488325534924E-2</v>
      </c>
      <c r="AT108" s="20">
        <f t="shared" si="417"/>
        <v>0.10423726442312109</v>
      </c>
      <c r="AU108" s="20">
        <f t="shared" si="417"/>
        <v>8.7132680518193062E-2</v>
      </c>
      <c r="AV108" s="20">
        <f t="shared" si="417"/>
        <v>6.9551470893158537E-2</v>
      </c>
      <c r="AW108" s="20">
        <f t="shared" si="417"/>
        <v>5.3287200412852967E-2</v>
      </c>
      <c r="AX108" s="20">
        <f t="shared" si="417"/>
        <v>5.9136091635901132E-2</v>
      </c>
      <c r="AY108" s="20">
        <f t="shared" si="417"/>
        <v>4.7376230983470026E-2</v>
      </c>
      <c r="AZ108" s="20">
        <f t="shared" si="417"/>
        <v>3.8710521357815705E-2</v>
      </c>
      <c r="BA108" s="20">
        <f t="shared" si="417"/>
        <v>7.7640140088647933E-2</v>
      </c>
      <c r="BB108" s="20">
        <f t="shared" si="417"/>
        <v>9.8904814169720509E-2</v>
      </c>
      <c r="BC108" s="20">
        <f t="shared" si="417"/>
        <v>6.6390869567482844E-2</v>
      </c>
      <c r="BD108" s="20">
        <f t="shared" si="417"/>
        <v>2.4515363584828129E-2</v>
      </c>
      <c r="BE108" s="20">
        <f t="shared" si="417"/>
        <v>4.9393802806515168E-2</v>
      </c>
      <c r="BF108" s="20">
        <f t="shared" si="417"/>
        <v>5.5378722269701926E-2</v>
      </c>
      <c r="BG108" s="20">
        <f t="shared" si="417"/>
        <v>7.0615686316109955E-2</v>
      </c>
      <c r="BH108" s="20">
        <f t="shared" si="417"/>
        <v>7.7251442557117495E-2</v>
      </c>
      <c r="BI108" s="20">
        <f t="shared" si="417"/>
        <v>8.6292849193932541E-2</v>
      </c>
      <c r="BJ108" s="20">
        <f t="shared" si="417"/>
        <v>0.10086483070931079</v>
      </c>
      <c r="BK108" s="20">
        <f t="shared" si="417"/>
        <v>0.10463726583260582</v>
      </c>
      <c r="BL108" s="20">
        <f t="shared" si="417"/>
        <v>0.10834928162558133</v>
      </c>
      <c r="BM108" s="20">
        <f t="shared" si="417"/>
        <v>0.13081538289504144</v>
      </c>
      <c r="BN108" s="20">
        <f t="shared" si="417"/>
        <v>0.14052951554967702</v>
      </c>
      <c r="BO108" s="20">
        <f t="shared" si="417"/>
        <v>0.13941156032898308</v>
      </c>
      <c r="BP108" s="20">
        <f t="shared" ref="BP108:DR108" si="418">(BP101-BP104)/(BP63-BP66)</f>
        <v>0.11508912818666062</v>
      </c>
      <c r="BQ108" s="20">
        <f t="shared" si="418"/>
        <v>0.1303818633038914</v>
      </c>
      <c r="BR108" s="20">
        <f t="shared" si="418"/>
        <v>0.12988723455355872</v>
      </c>
      <c r="BS108" s="20">
        <f t="shared" si="418"/>
        <v>0.12199583377541645</v>
      </c>
      <c r="BT108" s="20">
        <f t="shared" si="418"/>
        <v>0.11234740994358937</v>
      </c>
      <c r="BU108" s="20">
        <f t="shared" si="418"/>
        <v>0.15978437006139951</v>
      </c>
      <c r="BV108" s="20">
        <f t="shared" si="418"/>
        <v>0.16364130552752565</v>
      </c>
      <c r="BW108" s="20">
        <f t="shared" si="418"/>
        <v>0.16149860481154651</v>
      </c>
      <c r="BX108" s="20">
        <f t="shared" si="418"/>
        <v>0.17170232210766834</v>
      </c>
      <c r="BY108" s="20">
        <f t="shared" si="418"/>
        <v>0.17806618943075259</v>
      </c>
      <c r="BZ108" s="20">
        <f t="shared" si="418"/>
        <v>0.16449900159182954</v>
      </c>
      <c r="CA108" s="20">
        <f t="shared" si="418"/>
        <v>0.17027255459611093</v>
      </c>
      <c r="CB108" s="20">
        <f t="shared" si="418"/>
        <v>0.16822475826738206</v>
      </c>
      <c r="CC108" s="20">
        <f t="shared" si="418"/>
        <v>0.17335215090514119</v>
      </c>
      <c r="CD108" s="20">
        <f t="shared" si="418"/>
        <v>0.17561602151560804</v>
      </c>
      <c r="CE108" s="20">
        <f t="shared" si="418"/>
        <v>0.16474464133634956</v>
      </c>
      <c r="CF108" s="20">
        <f t="shared" si="418"/>
        <v>0.15668332297700119</v>
      </c>
      <c r="CG108" s="20">
        <f t="shared" si="418"/>
        <v>0.1518589271941494</v>
      </c>
      <c r="CH108" s="20">
        <f t="shared" si="418"/>
        <v>0.14359064206751126</v>
      </c>
      <c r="CI108" s="20">
        <f t="shared" si="418"/>
        <v>0.15909508040511697</v>
      </c>
      <c r="CJ108" s="20">
        <f t="shared" si="418"/>
        <v>0.15828893602348967</v>
      </c>
      <c r="CK108" s="20">
        <f t="shared" si="418"/>
        <v>0.16944564886025529</v>
      </c>
      <c r="CL108" s="20">
        <f t="shared" si="418"/>
        <v>0.16854117577948555</v>
      </c>
      <c r="CM108" s="20">
        <f t="shared" si="418"/>
        <v>0.18553486647797565</v>
      </c>
      <c r="CN108" s="20">
        <f t="shared" si="418"/>
        <v>0.17314591604916232</v>
      </c>
      <c r="CO108" s="20">
        <f t="shared" si="418"/>
        <v>0.18174474873115909</v>
      </c>
      <c r="CP108" s="20">
        <f t="shared" si="418"/>
        <v>0.16682617902738914</v>
      </c>
      <c r="CQ108" s="20">
        <f t="shared" si="418"/>
        <v>0.14190253093506566</v>
      </c>
      <c r="CR108" s="20">
        <f t="shared" si="418"/>
        <v>0.14375231657752241</v>
      </c>
      <c r="CS108" s="20">
        <f t="shared" si="418"/>
        <v>0.15103442587363378</v>
      </c>
      <c r="CT108" s="20">
        <f t="shared" si="418"/>
        <v>0.15322801450603418</v>
      </c>
      <c r="CU108" s="20">
        <f t="shared" si="418"/>
        <v>0.15506634728121216</v>
      </c>
      <c r="CV108" s="20">
        <f t="shared" si="418"/>
        <v>0.15356309762088419</v>
      </c>
      <c r="CW108" s="20">
        <f t="shared" si="418"/>
        <v>0.15615121017555536</v>
      </c>
      <c r="CX108" s="20">
        <f t="shared" si="418"/>
        <v>0.15802078334870362</v>
      </c>
      <c r="CY108" s="20">
        <f t="shared" si="418"/>
        <v>0.15814398429323265</v>
      </c>
      <c r="CZ108" s="20">
        <f t="shared" si="418"/>
        <v>0.16270678619747475</v>
      </c>
      <c r="DA108" s="20">
        <f t="shared" si="418"/>
        <v>0.1602413264406774</v>
      </c>
      <c r="DB108" s="20">
        <f t="shared" si="418"/>
        <v>0.15240502867468658</v>
      </c>
      <c r="DC108" s="20">
        <f t="shared" si="418"/>
        <v>0.15364255220393522</v>
      </c>
      <c r="DD108" s="20">
        <f t="shared" si="418"/>
        <v>0.1562454838873544</v>
      </c>
      <c r="DE108" s="20">
        <f t="shared" si="418"/>
        <v>0.15541813968449936</v>
      </c>
      <c r="DF108" s="20">
        <f t="shared" si="418"/>
        <v>0.16043359924087072</v>
      </c>
      <c r="DG108" s="20">
        <f t="shared" si="418"/>
        <v>0.15615289627046836</v>
      </c>
      <c r="DH108" s="20">
        <f t="shared" si="418"/>
        <v>0.15482950705952719</v>
      </c>
      <c r="DI108" s="20">
        <f t="shared" si="418"/>
        <v>0.15705413595791548</v>
      </c>
      <c r="DJ108" s="20">
        <f t="shared" si="418"/>
        <v>0.1587329873773351</v>
      </c>
      <c r="DK108" s="20">
        <f t="shared" si="418"/>
        <v>0.1587902707631112</v>
      </c>
      <c r="DL108" s="20">
        <f t="shared" si="418"/>
        <v>0.1628876331429232</v>
      </c>
      <c r="DM108" s="20">
        <f t="shared" si="418"/>
        <v>0.16066776901030788</v>
      </c>
      <c r="DN108" s="20">
        <f t="shared" si="418"/>
        <v>0.15330701057790694</v>
      </c>
      <c r="DO108" s="20">
        <f t="shared" si="418"/>
        <v>0.15440827647589203</v>
      </c>
      <c r="DP108" s="20">
        <f t="shared" si="418"/>
        <v>0.15679768243949824</v>
      </c>
      <c r="DQ108" s="20">
        <f t="shared" si="418"/>
        <v>0.15584428701636549</v>
      </c>
      <c r="DR108" s="20">
        <f t="shared" si="418"/>
        <v>0.1602537244664195</v>
      </c>
      <c r="DS108" s="20">
        <f t="shared" ref="DS108:ED108" si="419">(DS101-DS104)/(DS63-DS66)</f>
        <v>0.15668050297478789</v>
      </c>
      <c r="DT108" s="20">
        <f t="shared" si="419"/>
        <v>0.15548361318849749</v>
      </c>
      <c r="DU108" s="20">
        <f t="shared" si="419"/>
        <v>0.15747177582501923</v>
      </c>
      <c r="DV108" s="20">
        <f t="shared" si="419"/>
        <v>0.15894026697209687</v>
      </c>
      <c r="DW108" s="20">
        <f t="shared" si="419"/>
        <v>0.15900563470274409</v>
      </c>
      <c r="DX108" s="20">
        <f t="shared" si="419"/>
        <v>0.16276290088111678</v>
      </c>
      <c r="DY108" s="20">
        <f t="shared" si="419"/>
        <v>0.16066482836358464</v>
      </c>
      <c r="DZ108" s="20">
        <f t="shared" si="419"/>
        <v>0.15399553375686417</v>
      </c>
      <c r="EA108" s="20">
        <f t="shared" si="419"/>
        <v>0.15499654001806376</v>
      </c>
      <c r="EB108" s="20">
        <f t="shared" si="419"/>
        <v>0.15720911227927545</v>
      </c>
      <c r="EC108" s="20">
        <f t="shared" si="419"/>
        <v>0.15626956745657772</v>
      </c>
      <c r="ED108" s="20">
        <f t="shared" si="419"/>
        <v>0.16021536839332035</v>
      </c>
      <c r="EE108" s="222"/>
      <c r="EF108" s="20">
        <f t="shared" ref="EF108:FI108" si="420">(EF101-EF104)/(EF63-EF66)</f>
        <v>0.11418984614607051</v>
      </c>
      <c r="EG108" s="20">
        <f t="shared" si="420"/>
        <v>0.13156884169002034</v>
      </c>
      <c r="EH108" s="20">
        <f t="shared" si="420"/>
        <v>0.12766513797843615</v>
      </c>
      <c r="EI108" s="20">
        <f t="shared" si="420"/>
        <v>0.14529613454646637</v>
      </c>
      <c r="EJ108" s="20">
        <f t="shared" si="420"/>
        <v>0.17057391703148375</v>
      </c>
      <c r="EK108" s="20">
        <f t="shared" si="420"/>
        <v>0.16755567261064858</v>
      </c>
      <c r="EL108" s="20">
        <f t="shared" si="420"/>
        <v>0.17091820629256385</v>
      </c>
      <c r="EM108" s="20">
        <f t="shared" si="420"/>
        <v>0.15007547912671659</v>
      </c>
      <c r="EN108" s="20">
        <f t="shared" si="420"/>
        <v>0.1622560188807482</v>
      </c>
      <c r="EO108" s="20">
        <f t="shared" si="420"/>
        <v>0.17534960704944061</v>
      </c>
      <c r="EP108" s="20">
        <f t="shared" si="420"/>
        <v>0.1618799877880536</v>
      </c>
      <c r="EQ108" s="20">
        <f t="shared" si="420"/>
        <v>0.14929727703895257</v>
      </c>
      <c r="ER108" s="20">
        <f t="shared" si="420"/>
        <v>0.15491689331187522</v>
      </c>
      <c r="ES108" s="20">
        <f t="shared" si="420"/>
        <v>0.15952468329894107</v>
      </c>
      <c r="ET108" s="20">
        <f t="shared" si="420"/>
        <v>0.15526399462475324</v>
      </c>
      <c r="EU108" s="20">
        <f t="shared" si="420"/>
        <v>0.15740588450868151</v>
      </c>
      <c r="EV108" s="20">
        <f t="shared" si="420"/>
        <v>0.156002642692076</v>
      </c>
      <c r="EW108" s="20">
        <f t="shared" si="420"/>
        <v>0.16004629453349503</v>
      </c>
      <c r="EX108" s="20">
        <f t="shared" si="420"/>
        <v>0.15597033467730714</v>
      </c>
      <c r="EY108" s="20">
        <f t="shared" si="420"/>
        <v>0.15766310648733861</v>
      </c>
      <c r="EZ108" s="20">
        <f t="shared" ref="EZ108:FC108" si="421">(EZ101-EZ104)/(EZ63-EZ66)</f>
        <v>0.15653652663781373</v>
      </c>
      <c r="FA108" s="20">
        <f t="shared" si="421"/>
        <v>0.16015224020221955</v>
      </c>
      <c r="FB108" s="20">
        <f t="shared" si="421"/>
        <v>0.15640638164808279</v>
      </c>
      <c r="FC108" s="20">
        <f t="shared" si="421"/>
        <v>0.15792525514137506</v>
      </c>
      <c r="FD108" s="785"/>
      <c r="FE108" s="20">
        <f t="shared" si="420"/>
        <v>0.12898308199571071</v>
      </c>
      <c r="FF108" s="20">
        <f t="shared" si="420"/>
        <v>0.1634540152569503</v>
      </c>
      <c r="FG108" s="20">
        <f t="shared" si="420"/>
        <v>0.16086886825898208</v>
      </c>
      <c r="FH108" s="20">
        <f t="shared" si="420"/>
        <v>0.15673905264310742</v>
      </c>
      <c r="FI108" s="20">
        <f t="shared" si="420"/>
        <v>0.1573643076870076</v>
      </c>
      <c r="FJ108" s="20">
        <f t="shared" ref="FJ108" si="422">(FJ101-FJ104)/(FJ63-FJ66)</f>
        <v>0.15770004922659706</v>
      </c>
      <c r="FK108" s="545" t="s">
        <v>1</v>
      </c>
    </row>
    <row r="109" spans="2:167" x14ac:dyDescent="0.2">
      <c r="B109" s="226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222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E109" s="19"/>
      <c r="FF109" s="19"/>
      <c r="FG109" s="19"/>
      <c r="FH109" s="19"/>
      <c r="FI109" s="19"/>
      <c r="FJ109" s="770"/>
      <c r="FK109" s="545"/>
    </row>
    <row r="110" spans="2:167" x14ac:dyDescent="0.2">
      <c r="B110" s="223" t="s">
        <v>30</v>
      </c>
      <c r="C110" s="297">
        <f t="shared" ref="C110:AH110" si="423">SUM(C111:C115)</f>
        <v>9359961.9642857146</v>
      </c>
      <c r="D110" s="297">
        <f t="shared" si="423"/>
        <v>10699829.299588393</v>
      </c>
      <c r="E110" s="297">
        <f t="shared" si="423"/>
        <v>9866752.3019962423</v>
      </c>
      <c r="F110" s="297">
        <f t="shared" si="423"/>
        <v>11534194.57140089</v>
      </c>
      <c r="G110" s="297">
        <f t="shared" si="423"/>
        <v>6595427.024045404</v>
      </c>
      <c r="H110" s="297">
        <f t="shared" si="423"/>
        <v>10623259.206148712</v>
      </c>
      <c r="I110" s="297">
        <f t="shared" si="423"/>
        <v>-1752586.9652090468</v>
      </c>
      <c r="J110" s="297">
        <f t="shared" si="423"/>
        <v>11298251.58941015</v>
      </c>
      <c r="K110" s="297">
        <f t="shared" si="423"/>
        <v>6980290.6596114282</v>
      </c>
      <c r="L110" s="297">
        <f t="shared" si="423"/>
        <v>-676905.56741158478</v>
      </c>
      <c r="M110" s="297">
        <f t="shared" si="423"/>
        <v>7116940.9853225499</v>
      </c>
      <c r="N110" s="297">
        <f t="shared" si="423"/>
        <v>12345296.656650275</v>
      </c>
      <c r="O110" s="297">
        <f t="shared" si="423"/>
        <v>12948578.905901009</v>
      </c>
      <c r="P110" s="297">
        <f t="shared" si="423"/>
        <v>10541428.997906096</v>
      </c>
      <c r="Q110" s="297">
        <f t="shared" si="423"/>
        <v>10546141.905020678</v>
      </c>
      <c r="R110" s="297">
        <f t="shared" si="423"/>
        <v>22367131.718036249</v>
      </c>
      <c r="S110" s="297">
        <f t="shared" si="423"/>
        <v>17819959.350472398</v>
      </c>
      <c r="T110" s="297">
        <f t="shared" si="423"/>
        <v>11199201.218243539</v>
      </c>
      <c r="U110" s="297">
        <f t="shared" si="423"/>
        <v>11229086.079932746</v>
      </c>
      <c r="V110" s="297">
        <f t="shared" si="423"/>
        <v>8751420.2506584004</v>
      </c>
      <c r="W110" s="297">
        <f t="shared" si="423"/>
        <v>13373490.59324526</v>
      </c>
      <c r="X110" s="297">
        <f t="shared" si="423"/>
        <v>17687130.528055705</v>
      </c>
      <c r="Y110" s="297">
        <f t="shared" si="423"/>
        <v>22355628.161901228</v>
      </c>
      <c r="Z110" s="297">
        <f t="shared" si="423"/>
        <v>12285759.165556628</v>
      </c>
      <c r="AA110" s="297">
        <f t="shared" si="423"/>
        <v>-9331112.8455952425</v>
      </c>
      <c r="AB110" s="297">
        <f t="shared" si="423"/>
        <v>13789455.107479535</v>
      </c>
      <c r="AC110" s="297">
        <f t="shared" si="423"/>
        <v>15660348.07039893</v>
      </c>
      <c r="AD110" s="297">
        <f t="shared" si="423"/>
        <v>19558502.772901919</v>
      </c>
      <c r="AE110" s="297">
        <f t="shared" si="423"/>
        <v>26829218.072148141</v>
      </c>
      <c r="AF110" s="297">
        <f t="shared" si="423"/>
        <v>28063659.810128823</v>
      </c>
      <c r="AG110" s="297">
        <f t="shared" si="423"/>
        <v>28310132.298017897</v>
      </c>
      <c r="AH110" s="297">
        <f t="shared" si="423"/>
        <v>33823779.164142154</v>
      </c>
      <c r="AI110" s="297">
        <f t="shared" ref="AI110:BN110" si="424">SUM(AI111:AI115)</f>
        <v>43303902.013307035</v>
      </c>
      <c r="AJ110" s="297">
        <f t="shared" si="424"/>
        <v>39065099.281124845</v>
      </c>
      <c r="AK110" s="297">
        <f t="shared" si="424"/>
        <v>39906384.225881301</v>
      </c>
      <c r="AL110" s="297">
        <f t="shared" si="424"/>
        <v>43885028.637534872</v>
      </c>
      <c r="AM110" s="297">
        <f t="shared" si="424"/>
        <v>22198096.607706815</v>
      </c>
      <c r="AN110" s="297">
        <f t="shared" si="424"/>
        <v>7105944.4194983291</v>
      </c>
      <c r="AO110" s="297">
        <f t="shared" si="424"/>
        <v>32064419.861212861</v>
      </c>
      <c r="AP110" s="297">
        <f t="shared" si="424"/>
        <v>40136064.085314676</v>
      </c>
      <c r="AQ110" s="297">
        <f t="shared" si="424"/>
        <v>43713636.731106341</v>
      </c>
      <c r="AR110" s="297">
        <f t="shared" si="424"/>
        <v>45596484.236445196</v>
      </c>
      <c r="AS110" s="297">
        <f t="shared" si="424"/>
        <v>57260406.443098307</v>
      </c>
      <c r="AT110" s="297">
        <f t="shared" si="424"/>
        <v>59046710.78517244</v>
      </c>
      <c r="AU110" s="297">
        <f t="shared" si="424"/>
        <v>63833554.375874341</v>
      </c>
      <c r="AV110" s="297">
        <f t="shared" si="424"/>
        <v>55258909.936756305</v>
      </c>
      <c r="AW110" s="297">
        <f t="shared" si="424"/>
        <v>44101425.088557445</v>
      </c>
      <c r="AX110" s="297">
        <f t="shared" si="424"/>
        <v>50053535.729336947</v>
      </c>
      <c r="AY110" s="297">
        <f t="shared" si="424"/>
        <v>38827569.317380279</v>
      </c>
      <c r="AZ110" s="297">
        <f t="shared" si="424"/>
        <v>36108644.21237649</v>
      </c>
      <c r="BA110" s="297">
        <f t="shared" si="424"/>
        <v>53910271.70014447</v>
      </c>
      <c r="BB110" s="297">
        <f t="shared" si="424"/>
        <v>67370739.91813384</v>
      </c>
      <c r="BC110" s="297">
        <f t="shared" si="424"/>
        <v>51994306.833676882</v>
      </c>
      <c r="BD110" s="297">
        <f t="shared" si="424"/>
        <v>35839239.869465709</v>
      </c>
      <c r="BE110" s="297">
        <f t="shared" si="424"/>
        <v>53881695.149178378</v>
      </c>
      <c r="BF110" s="297">
        <f t="shared" si="424"/>
        <v>53187740.914209045</v>
      </c>
      <c r="BG110" s="297">
        <f t="shared" si="424"/>
        <v>77237822.398392603</v>
      </c>
      <c r="BH110" s="297">
        <f t="shared" si="424"/>
        <v>85416947.152477711</v>
      </c>
      <c r="BI110" s="297">
        <f t="shared" si="424"/>
        <v>84167980.842299193</v>
      </c>
      <c r="BJ110" s="297">
        <f t="shared" si="424"/>
        <v>115852923.01678093</v>
      </c>
      <c r="BK110" s="297">
        <f t="shared" si="424"/>
        <v>119698656.79326367</v>
      </c>
      <c r="BL110" s="297">
        <f t="shared" si="424"/>
        <v>125022804.32052866</v>
      </c>
      <c r="BM110" s="297">
        <f t="shared" si="424"/>
        <v>134942249.56311998</v>
      </c>
      <c r="BN110" s="297">
        <f t="shared" si="424"/>
        <v>129901279.11398332</v>
      </c>
      <c r="BO110" s="297">
        <f t="shared" ref="BO110:CT110" si="425">SUM(BO111:BO115)</f>
        <v>134516731.23325154</v>
      </c>
      <c r="BP110" s="297">
        <f t="shared" si="425"/>
        <v>111082594.42024307</v>
      </c>
      <c r="BQ110" s="297">
        <f t="shared" si="425"/>
        <v>163539889.03308183</v>
      </c>
      <c r="BR110" s="297">
        <f t="shared" si="425"/>
        <v>146455332.21176863</v>
      </c>
      <c r="BS110" s="297">
        <f t="shared" si="425"/>
        <v>127637122.06306425</v>
      </c>
      <c r="BT110" s="297">
        <f t="shared" si="425"/>
        <v>120090909.50829773</v>
      </c>
      <c r="BU110" s="297">
        <f t="shared" si="425"/>
        <v>139854416.52176315</v>
      </c>
      <c r="BV110" s="297">
        <f t="shared" si="425"/>
        <v>163360554.20910946</v>
      </c>
      <c r="BW110" s="297">
        <f t="shared" si="425"/>
        <v>162439872.23522758</v>
      </c>
      <c r="BX110" s="297">
        <f t="shared" si="425"/>
        <v>181669856.46381682</v>
      </c>
      <c r="BY110" s="297">
        <f t="shared" si="425"/>
        <v>185345865.31393522</v>
      </c>
      <c r="BZ110" s="297">
        <f t="shared" si="425"/>
        <v>178296155.01476821</v>
      </c>
      <c r="CA110" s="297">
        <f t="shared" si="425"/>
        <v>168377707.87873611</v>
      </c>
      <c r="CB110" s="297">
        <f t="shared" si="425"/>
        <v>153999208.48385847</v>
      </c>
      <c r="CC110" s="297">
        <f t="shared" si="425"/>
        <v>203271718.19183913</v>
      </c>
      <c r="CD110" s="297">
        <f t="shared" si="425"/>
        <v>183802989.94396439</v>
      </c>
      <c r="CE110" s="297">
        <f t="shared" si="425"/>
        <v>197862638.71993032</v>
      </c>
      <c r="CF110" s="297">
        <f t="shared" si="425"/>
        <v>208492416.83436188</v>
      </c>
      <c r="CG110" s="297">
        <f t="shared" si="425"/>
        <v>207451050.05693576</v>
      </c>
      <c r="CH110" s="297">
        <f t="shared" si="425"/>
        <v>238388626.11398339</v>
      </c>
      <c r="CI110" s="297">
        <f t="shared" si="425"/>
        <v>235338281.82834858</v>
      </c>
      <c r="CJ110" s="297">
        <f t="shared" si="425"/>
        <v>233323695.94597971</v>
      </c>
      <c r="CK110" s="297">
        <f t="shared" si="425"/>
        <v>243663358.5194464</v>
      </c>
      <c r="CL110" s="297">
        <f t="shared" si="425"/>
        <v>255930148.18288606</v>
      </c>
      <c r="CM110" s="297">
        <f t="shared" si="425"/>
        <v>237518618.91703898</v>
      </c>
      <c r="CN110" s="297">
        <f t="shared" si="425"/>
        <v>235873920.54636142</v>
      </c>
      <c r="CO110" s="297">
        <f t="shared" si="425"/>
        <v>301276447.51478595</v>
      </c>
      <c r="CP110" s="297">
        <f t="shared" si="425"/>
        <v>265282758.26349303</v>
      </c>
      <c r="CQ110" s="297">
        <f t="shared" si="425"/>
        <v>278098563.69474787</v>
      </c>
      <c r="CR110" s="297">
        <f t="shared" si="425"/>
        <v>301537320.35583597</v>
      </c>
      <c r="CS110" s="297">
        <f t="shared" si="425"/>
        <v>281600692.20750046</v>
      </c>
      <c r="CT110" s="297">
        <f t="shared" si="425"/>
        <v>329173946.36569315</v>
      </c>
      <c r="CU110" s="297">
        <f t="shared" ref="CU110:DR110" si="426">SUM(CU111:CU115)</f>
        <v>303800980.08482254</v>
      </c>
      <c r="CV110" s="297">
        <f t="shared" si="426"/>
        <v>309735341.25779629</v>
      </c>
      <c r="CW110" s="297">
        <f t="shared" si="426"/>
        <v>307331626.14985567</v>
      </c>
      <c r="CX110" s="297">
        <f t="shared" si="426"/>
        <v>326295024.96404988</v>
      </c>
      <c r="CY110" s="297">
        <f t="shared" si="426"/>
        <v>300952472.86308557</v>
      </c>
      <c r="CZ110" s="297">
        <f t="shared" si="426"/>
        <v>308388817.44145763</v>
      </c>
      <c r="DA110" s="297">
        <f t="shared" si="426"/>
        <v>358443061.48558807</v>
      </c>
      <c r="DB110" s="297">
        <f t="shared" si="426"/>
        <v>326984999.55548024</v>
      </c>
      <c r="DC110" s="297">
        <f t="shared" si="426"/>
        <v>372251905.06490839</v>
      </c>
      <c r="DD110" s="297">
        <f t="shared" si="426"/>
        <v>381857414.53864527</v>
      </c>
      <c r="DE110" s="297">
        <f t="shared" si="426"/>
        <v>347106893.08945853</v>
      </c>
      <c r="DF110" s="297">
        <f t="shared" si="426"/>
        <v>392420127.04626864</v>
      </c>
      <c r="DG110" s="297">
        <f t="shared" si="426"/>
        <v>372479236.09456986</v>
      </c>
      <c r="DH110" s="297">
        <f t="shared" si="426"/>
        <v>380319125.37475711</v>
      </c>
      <c r="DI110" s="297">
        <f t="shared" si="426"/>
        <v>375865168.73231792</v>
      </c>
      <c r="DJ110" s="297">
        <f t="shared" si="426"/>
        <v>398407281.76906198</v>
      </c>
      <c r="DK110" s="297">
        <f t="shared" si="426"/>
        <v>367062085.42712748</v>
      </c>
      <c r="DL110" s="297">
        <f t="shared" si="426"/>
        <v>374238980.16257089</v>
      </c>
      <c r="DM110" s="297">
        <f t="shared" si="426"/>
        <v>435355129.14212745</v>
      </c>
      <c r="DN110" s="297">
        <f t="shared" si="426"/>
        <v>398750889.84197795</v>
      </c>
      <c r="DO110" s="297">
        <f t="shared" si="426"/>
        <v>453118624.61363924</v>
      </c>
      <c r="DP110" s="297">
        <f t="shared" si="426"/>
        <v>463228403.06522447</v>
      </c>
      <c r="DQ110" s="297">
        <f t="shared" si="426"/>
        <v>420496643.5942499</v>
      </c>
      <c r="DR110" s="297">
        <f t="shared" si="426"/>
        <v>471382299.89187372</v>
      </c>
      <c r="DS110" s="297">
        <f t="shared" ref="DS110:ED110" si="427">SUM(DS111:DS115)</f>
        <v>436002084.59925199</v>
      </c>
      <c r="DT110" s="297">
        <f t="shared" si="427"/>
        <v>445399113.2499364</v>
      </c>
      <c r="DU110" s="297">
        <f t="shared" si="427"/>
        <v>439338312.80400437</v>
      </c>
      <c r="DV110" s="297">
        <f t="shared" si="427"/>
        <v>464717155.98569047</v>
      </c>
      <c r="DW110" s="297">
        <f t="shared" si="427"/>
        <v>428147578.89354104</v>
      </c>
      <c r="DX110" s="297">
        <f t="shared" si="427"/>
        <v>435265510.60427552</v>
      </c>
      <c r="DY110" s="297">
        <f t="shared" si="427"/>
        <v>506141306.60189712</v>
      </c>
      <c r="DZ110" s="297">
        <f t="shared" si="427"/>
        <v>466757994.36607587</v>
      </c>
      <c r="EA110" s="297">
        <f t="shared" si="427"/>
        <v>530225193.73225415</v>
      </c>
      <c r="EB110" s="297">
        <f t="shared" si="427"/>
        <v>541153814.3381654</v>
      </c>
      <c r="EC110" s="297">
        <f t="shared" si="427"/>
        <v>491363588.2691915</v>
      </c>
      <c r="ED110" s="297">
        <f t="shared" si="427"/>
        <v>548421822.54994714</v>
      </c>
      <c r="EE110" s="222"/>
      <c r="EF110" s="297">
        <f t="shared" ref="EF110:EF115" si="428">SUM(BK110:BM110)</f>
        <v>379663710.67691231</v>
      </c>
      <c r="EG110" s="297">
        <f t="shared" ref="EG110:EG115" si="429">SUM(BN110:BP110)</f>
        <v>375500604.76747793</v>
      </c>
      <c r="EH110" s="297">
        <f t="shared" ref="EH110:EH115" si="430">SUM(BQ110:BS110)</f>
        <v>437632343.30791473</v>
      </c>
      <c r="EI110" s="297">
        <f t="shared" ref="EI110:EI115" si="431">SUM(BT110:BV110)</f>
        <v>423305880.23917031</v>
      </c>
      <c r="EJ110" s="297">
        <f t="shared" ref="EJ110:EJ115" si="432">SUM(BW110:BY110)</f>
        <v>529455594.01297963</v>
      </c>
      <c r="EK110" s="297">
        <f t="shared" ref="EK110:EK115" si="433">SUM(BZ110:CB110)</f>
        <v>500673071.37736279</v>
      </c>
      <c r="EL110" s="297">
        <f t="shared" ref="EL110:EL115" si="434">SUM(CC110:CE110)</f>
        <v>584937346.85573387</v>
      </c>
      <c r="EM110" s="297">
        <f t="shared" ref="EM110:EM115" si="435">SUM(CF110:CH110)</f>
        <v>654332093.00528097</v>
      </c>
      <c r="EN110" s="297">
        <f t="shared" ref="EN110:EN115" si="436">SUM(CI110:CK110)</f>
        <v>712325336.29377472</v>
      </c>
      <c r="EO110" s="297">
        <f t="shared" ref="EO110:EO115" si="437">SUM(CL110:CN110)</f>
        <v>729322687.64628649</v>
      </c>
      <c r="EP110" s="297">
        <f t="shared" ref="EP110:EP115" si="438">SUM(CO110:CQ110)</f>
        <v>844657769.47302675</v>
      </c>
      <c r="EQ110" s="297">
        <f t="shared" ref="EQ110:EQ115" si="439">SUM(CR110:CT110)</f>
        <v>912311958.92902946</v>
      </c>
      <c r="ER110" s="297">
        <f t="shared" ref="ER110:ER115" si="440">SUM(CU110:CW110)</f>
        <v>920867947.49247456</v>
      </c>
      <c r="ES110" s="297">
        <f t="shared" ref="ES110:ES115" si="441">SUM(CX110:CZ110)</f>
        <v>935636315.26859307</v>
      </c>
      <c r="ET110" s="297">
        <f t="shared" ref="ET110:ET115" si="442">SUM(DA110:DC110)</f>
        <v>1057679966.1059767</v>
      </c>
      <c r="EU110" s="297">
        <f t="shared" ref="EU110:EU115" si="443">SUM(DD110:DF110)</f>
        <v>1121384434.6743724</v>
      </c>
      <c r="EV110" s="297">
        <f t="shared" ref="EV110:EV115" si="444">SUM(DG110:DI110)</f>
        <v>1128663530.2016449</v>
      </c>
      <c r="EW110" s="297">
        <f t="shared" ref="EW110:EW115" si="445">SUM(DJ110:DL110)</f>
        <v>1139708347.3587604</v>
      </c>
      <c r="EX110" s="297">
        <f t="shared" ref="EX110:EX115" si="446">SUM(DM110:DO110)</f>
        <v>1287224643.5977445</v>
      </c>
      <c r="EY110" s="297">
        <f t="shared" ref="EY110:EY115" si="447">SUM(DP110:DR110)</f>
        <v>1355107346.5513482</v>
      </c>
      <c r="EZ110" s="297">
        <f t="shared" ref="EZ110:EZ114" si="448">SUM(DS110:DU110)</f>
        <v>1320739510.6531928</v>
      </c>
      <c r="FA110" s="297">
        <f t="shared" ref="FA110:FA114" si="449">SUM(DV110:DX110)</f>
        <v>1328130245.4835069</v>
      </c>
      <c r="FB110" s="297">
        <f t="shared" ref="FB110:FB114" si="450">SUM(DY110:EA110)</f>
        <v>1503124494.7002273</v>
      </c>
      <c r="FC110" s="297">
        <f t="shared" ref="FC110:FC114" si="451">SUM(EB110:ED110)</f>
        <v>1580939225.157304</v>
      </c>
      <c r="FE110" s="297">
        <f t="shared" ref="FE110:FE114" si="452">SUM(EF110:EI110)</f>
        <v>1616102538.9914753</v>
      </c>
      <c r="FF110" s="297">
        <f t="shared" ref="FF110:FF114" si="453">SUM(EJ110:EM110)</f>
        <v>2269398105.2513571</v>
      </c>
      <c r="FG110" s="297">
        <f t="shared" ref="FG110:FG114" si="454">SUM(EN110:EQ110)</f>
        <v>3198617752.3421173</v>
      </c>
      <c r="FH110" s="297">
        <f t="shared" ref="FH110:FH114" si="455">SUM(ER110:EU110)</f>
        <v>4035568663.5414171</v>
      </c>
      <c r="FI110" s="297">
        <f t="shared" ref="FI110:FI114" si="456">SUM(EV110:EY110)</f>
        <v>4910703867.7094975</v>
      </c>
      <c r="FJ110" s="774">
        <f t="shared" si="207"/>
        <v>5732933475.9942312</v>
      </c>
      <c r="FK110" s="545" t="s">
        <v>1</v>
      </c>
    </row>
    <row r="111" spans="2:167" x14ac:dyDescent="0.2">
      <c r="B111" s="225" t="s">
        <v>304</v>
      </c>
      <c r="C111" s="19">
        <f>'B2B- Non Repair'!C66</f>
        <v>4384291</v>
      </c>
      <c r="D111" s="19">
        <f>'B2B- Non Repair'!D66</f>
        <v>3700623.9928571433</v>
      </c>
      <c r="E111" s="19">
        <f>'B2B- Non Repair'!E66</f>
        <v>3609938.9636392146</v>
      </c>
      <c r="F111" s="19">
        <f>'B2B- Non Repair'!F66</f>
        <v>6253982.3737604618</v>
      </c>
      <c r="G111" s="19">
        <f>'B2B- Non Repair'!G66</f>
        <v>3399366.2541480958</v>
      </c>
      <c r="H111" s="19">
        <f>'B2B- Non Repair'!H66</f>
        <v>8022728.6392175853</v>
      </c>
      <c r="I111" s="19">
        <f>'B2B- Non Repair'!I66</f>
        <v>-5659615.6347661912</v>
      </c>
      <c r="J111" s="19">
        <f>'B2B- Non Repair'!J66</f>
        <v>6513918.1490530074</v>
      </c>
      <c r="K111" s="19">
        <f>'B2B- Non Repair'!K66</f>
        <v>1740662.9510399997</v>
      </c>
      <c r="L111" s="19">
        <f>'B2B- Non Repair'!L66</f>
        <v>-6118229.0965713561</v>
      </c>
      <c r="M111" s="19">
        <f>'B2B- Non Repair'!M66</f>
        <v>1212429.0744059682</v>
      </c>
      <c r="N111" s="19">
        <f>'B2B- Non Repair'!N66</f>
        <v>2866554.7199999988</v>
      </c>
      <c r="O111" s="19">
        <f>'B2B- Non Repair'!O66</f>
        <v>4043709.1427058578</v>
      </c>
      <c r="P111" s="19">
        <f>'B2B- Non Repair'!P66</f>
        <v>2008293.2893051505</v>
      </c>
      <c r="Q111" s="19">
        <f>'B2B- Non Repair'!Q66</f>
        <v>4779310.8952202797</v>
      </c>
      <c r="R111" s="19">
        <f>'B2B- Non Repair'!R66</f>
        <v>11305867.598752737</v>
      </c>
      <c r="S111" s="19">
        <f>'B2B- Non Repair'!S66</f>
        <v>8812437.6034167409</v>
      </c>
      <c r="T111" s="19">
        <f>'B2B- Non Repair'!T66</f>
        <v>3415243.0739036798</v>
      </c>
      <c r="U111" s="19">
        <f>'B2B- Non Repair'!U66</f>
        <v>-202135.34783005714</v>
      </c>
      <c r="V111" s="19">
        <f>'B2B- Non Repair'!V66</f>
        <v>5703514.1410422921</v>
      </c>
      <c r="W111" s="19">
        <f>'B2B- Non Repair'!W66</f>
        <v>7629793.71614182</v>
      </c>
      <c r="X111" s="19">
        <f>'B2B- Non Repair'!X66</f>
        <v>11292707.404662549</v>
      </c>
      <c r="Y111" s="19">
        <f>'B2B- Non Repair'!Y66</f>
        <v>19775656.741966784</v>
      </c>
      <c r="Z111" s="19">
        <f>'B2B- Non Repair'!Z66</f>
        <v>8448150.945310086</v>
      </c>
      <c r="AA111" s="19">
        <f>'B2B- Non Repair'!AA66</f>
        <v>-3957624.4258934096</v>
      </c>
      <c r="AB111" s="19">
        <f>'B2B- Non Repair'!AB66</f>
        <v>9471737.0396437347</v>
      </c>
      <c r="AC111" s="19">
        <f>'B2B- Non Repair'!AC66</f>
        <v>3914558.1743030548</v>
      </c>
      <c r="AD111" s="19">
        <f>'B2B- Non Repair'!AD66</f>
        <v>3144605.2302089185</v>
      </c>
      <c r="AE111" s="19">
        <f>'B2B- Non Repair'!AE66</f>
        <v>8109181.9740197062</v>
      </c>
      <c r="AF111" s="19">
        <f>'B2B- Non Repair'!AF66</f>
        <v>9185826.495228231</v>
      </c>
      <c r="AG111" s="19">
        <f>'B2B- Non Repair'!AG66</f>
        <v>4934431.9880880415</v>
      </c>
      <c r="AH111" s="19">
        <f>'B2B- Non Repair'!AH66</f>
        <v>12838496.468203098</v>
      </c>
      <c r="AI111" s="19">
        <f>'B2B- Non Repair'!AI66</f>
        <v>12775193.937928319</v>
      </c>
      <c r="AJ111" s="19">
        <f>'B2B- Non Repair'!AJ66</f>
        <v>7583949.716103375</v>
      </c>
      <c r="AK111" s="19">
        <f>'B2B- Non Repair'!AK66</f>
        <v>13196075.716585934</v>
      </c>
      <c r="AL111" s="19">
        <f>'B2B- Non Repair'!AL66</f>
        <v>13153078.853424609</v>
      </c>
      <c r="AM111" s="19">
        <f>'B2B- Non Repair'!AM66</f>
        <v>3892377.122563988</v>
      </c>
      <c r="AN111" s="19">
        <f>'B2B- Non Repair'!AN66</f>
        <v>1445814.9227166325</v>
      </c>
      <c r="AO111" s="19">
        <f>'B2B- Non Repair'!AO66</f>
        <v>11046683.669982493</v>
      </c>
      <c r="AP111" s="19">
        <f>'B2B- Non Repair'!AP66</f>
        <v>11069753.039999962</v>
      </c>
      <c r="AQ111" s="19">
        <f>'B2B- Non Repair'!AQ66</f>
        <v>11191362.936149776</v>
      </c>
      <c r="AR111" s="19">
        <f>'B2B- Non Repair'!AR66</f>
        <v>8581236.1590910554</v>
      </c>
      <c r="AS111" s="19">
        <f>'B2B- Non Repair'!AS66</f>
        <v>8396791.1899999678</v>
      </c>
      <c r="AT111" s="19">
        <f>'B2B- Non Repair'!AT66</f>
        <v>8262965</v>
      </c>
      <c r="AU111" s="19">
        <f>'B2B- Non Repair'!AU66</f>
        <v>10254218.154410005</v>
      </c>
      <c r="AV111" s="19">
        <f>'B2B- Non Repair'!AV66</f>
        <v>-2232621.9999999404</v>
      </c>
      <c r="AW111" s="19">
        <f>'B2B- Non Repair'!AW66</f>
        <v>-8506652.3999999762</v>
      </c>
      <c r="AX111" s="19">
        <f>'B2B- Non Repair'!AX66</f>
        <v>-4778931.5254288912</v>
      </c>
      <c r="AY111" s="19">
        <f>'B2B- Non Repair'!AY66</f>
        <v>-7884761.4362305403</v>
      </c>
      <c r="AZ111" s="19">
        <f>'B2B- Non Repair'!AZ66</f>
        <v>-14490174.379999995</v>
      </c>
      <c r="BA111" s="19">
        <f>'B2B- Non Repair'!BA66</f>
        <v>-6614666.7140211463</v>
      </c>
      <c r="BB111" s="19">
        <f>'B2B- Non Repair'!BB66</f>
        <v>9771551.8623319268</v>
      </c>
      <c r="BC111" s="19">
        <f>'B2B- Non Repair'!BC66</f>
        <v>-1571756.0555456281</v>
      </c>
      <c r="BD111" s="19">
        <f>'B2B- Non Repair'!BD66</f>
        <v>-20432230.492165625</v>
      </c>
      <c r="BE111" s="19">
        <f>'B2B- Non Repair'!BE66</f>
        <v>-13076308.631828129</v>
      </c>
      <c r="BF111" s="19">
        <f>'B2B- Non Repair'!BF66</f>
        <v>-5653125.8112119436</v>
      </c>
      <c r="BG111" s="19">
        <f>'B2B- Non Repair'!BG66</f>
        <v>7010353.9030472636</v>
      </c>
      <c r="BH111" s="19">
        <f>'B2B- Non Repair'!BH66</f>
        <v>1434682.3502946496</v>
      </c>
      <c r="BI111" s="19">
        <f>'B2B- Non Repair'!BI66</f>
        <v>-2211569.9248145223</v>
      </c>
      <c r="BJ111" s="19">
        <f>'B2B- Non Repair'!BJ66</f>
        <v>8087466.4002967477</v>
      </c>
      <c r="BK111" s="19">
        <f>'B2B- Non Repair'!BK66</f>
        <v>15512915.338313043</v>
      </c>
      <c r="BL111" s="19">
        <f>'B2B- Non Repair'!BL66</f>
        <v>13034540.254134774</v>
      </c>
      <c r="BM111" s="19">
        <f>'B2B- Non Repair'!BM66</f>
        <v>14100418.888638139</v>
      </c>
      <c r="BN111" s="19">
        <f>'B2B- Non Repair'!BN66</f>
        <v>19256614.107543558</v>
      </c>
      <c r="BO111" s="19">
        <f>'B2B- Non Repair'!BO66</f>
        <v>17416146.250745296</v>
      </c>
      <c r="BP111" s="19">
        <f>'B2B- Non Repair'!BP66</f>
        <v>11233978.484538257</v>
      </c>
      <c r="BQ111" s="19">
        <f>'B2B- Non Repair'!BQ66</f>
        <v>15018072.144873917</v>
      </c>
      <c r="BR111" s="19">
        <f>'B2B- Non Repair'!BR66</f>
        <v>15844195.781162739</v>
      </c>
      <c r="BS111" s="19">
        <f>'B2B- Non Repair'!BS66</f>
        <v>3206348.9778730869</v>
      </c>
      <c r="BT111" s="19">
        <f>'B2B- Non Repair'!BT66</f>
        <v>-11157723.275384098</v>
      </c>
      <c r="BU111" s="19">
        <f>'B2B- Non Repair'!BU66</f>
        <v>11910211.974689931</v>
      </c>
      <c r="BV111" s="19">
        <f>'B2B- Non Repair'!BV66</f>
        <v>15880264.063362956</v>
      </c>
      <c r="BW111" s="19">
        <f>'B2B- Non Repair'!BW66</f>
        <v>23237504.922456384</v>
      </c>
      <c r="BX111" s="19">
        <f>'B2B- Non Repair'!BX66</f>
        <v>26359889.152315915</v>
      </c>
      <c r="BY111" s="19">
        <f>'B2B- Non Repair'!BY66</f>
        <v>23810902.997760832</v>
      </c>
      <c r="BZ111" s="19">
        <f>'B2B- Non Repair'!BZ66</f>
        <v>12793671.852120072</v>
      </c>
      <c r="CA111" s="19">
        <f>'B2B- Non Repair'!CA66</f>
        <v>15868645.023464233</v>
      </c>
      <c r="CB111" s="19">
        <f>'B2B- Non Repair'!CB66</f>
        <v>12860620.235150665</v>
      </c>
      <c r="CC111" s="19">
        <f>'B2B- Non Repair'!CC66</f>
        <v>18407065.339946598</v>
      </c>
      <c r="CD111" s="19">
        <f>'B2B- Non Repair'!CD66</f>
        <v>19993677.654420763</v>
      </c>
      <c r="CE111" s="19">
        <f>'B2B- Non Repair'!CE66</f>
        <v>19813110.904093742</v>
      </c>
      <c r="CF111" s="19">
        <f>'B2B- Non Repair'!CF66</f>
        <v>22021418.98102659</v>
      </c>
      <c r="CG111" s="19">
        <f>'B2B- Non Repair'!CG66</f>
        <v>31429359.105334818</v>
      </c>
      <c r="CH111" s="19">
        <f>'B2B- Non Repair'!CH66</f>
        <v>23892548.638150811</v>
      </c>
      <c r="CI111" s="19">
        <f>'B2B- Non Repair'!CI66</f>
        <v>33500509.655155957</v>
      </c>
      <c r="CJ111" s="19">
        <f>'B2B- Non Repair'!CJ66</f>
        <v>31896704.883988321</v>
      </c>
      <c r="CK111" s="19">
        <f>'B2B- Non Repair'!CK66</f>
        <v>31779469.223138154</v>
      </c>
      <c r="CL111" s="19">
        <f>'B2B- Non Repair'!CL66</f>
        <v>31444139.166565657</v>
      </c>
      <c r="CM111" s="19">
        <f>'B2B- Non Repair'!CM66</f>
        <v>30420412.139907539</v>
      </c>
      <c r="CN111" s="19">
        <f>'B2B- Non Repair'!CN66</f>
        <v>20971743.119347453</v>
      </c>
      <c r="CO111" s="19">
        <f>'B2B- Non Repair'!CO66</f>
        <v>34373068.201975524</v>
      </c>
      <c r="CP111" s="19">
        <f>'B2B- Non Repair'!CP66</f>
        <v>35165645.30475229</v>
      </c>
      <c r="CQ111" s="19">
        <f>'B2B- Non Repair'!CQ66</f>
        <v>25071803.459263086</v>
      </c>
      <c r="CR111" s="19">
        <f>'B2B- Non Repair'!CR66</f>
        <v>34255830.697984934</v>
      </c>
      <c r="CS111" s="19">
        <f>'B2B- Non Repair'!CS66</f>
        <v>45355169.666211843</v>
      </c>
      <c r="CT111" s="19">
        <f>'B2B- Non Repair'!CT66</f>
        <v>50212178.871463537</v>
      </c>
      <c r="CU111" s="19">
        <f>'B2B- Non Repair'!CU66</f>
        <v>40180671.728688002</v>
      </c>
      <c r="CV111" s="19">
        <f>'B2B- Non Repair'!CV66</f>
        <v>41647436.698479772</v>
      </c>
      <c r="CW111" s="19">
        <f>'B2B- Non Repair'!CW66</f>
        <v>39124972.306579947</v>
      </c>
      <c r="CX111" s="19">
        <f>'B2B- Non Repair'!CX66</f>
        <v>39158444.332372308</v>
      </c>
      <c r="CY111" s="19">
        <f>'B2B- Non Repair'!CY66</f>
        <v>36409444.270896316</v>
      </c>
      <c r="CZ111" s="19">
        <f>'B2B- Non Repair'!CZ66</f>
        <v>31750444.78924191</v>
      </c>
      <c r="DA111" s="19">
        <f>'B2B- Non Repair'!DA66</f>
        <v>37144676.857112586</v>
      </c>
      <c r="DB111" s="19">
        <f>'B2B- Non Repair'!DB66</f>
        <v>45998467.896975756</v>
      </c>
      <c r="DC111" s="19">
        <f>'B2B- Non Repair'!DC66</f>
        <v>51255276.859546542</v>
      </c>
      <c r="DD111" s="19">
        <f>'B2B- Non Repair'!DD66</f>
        <v>47965122.704731345</v>
      </c>
      <c r="DE111" s="19">
        <f>'B2B- Non Repair'!DE66</f>
        <v>46776100.567210197</v>
      </c>
      <c r="DF111" s="19">
        <f>'B2B- Non Repair'!DF66</f>
        <v>44977048.763332844</v>
      </c>
      <c r="DG111" s="19">
        <f>'B2B- Non Repair'!DG66</f>
        <v>56867406.427761078</v>
      </c>
      <c r="DH111" s="19">
        <f>'B2B- Non Repair'!DH66</f>
        <v>58943308.001392603</v>
      </c>
      <c r="DI111" s="19">
        <f>'B2B- Non Repair'!DI66</f>
        <v>55373282.872337818</v>
      </c>
      <c r="DJ111" s="19">
        <f>'B2B- Non Repair'!DJ66</f>
        <v>55420655.581971645</v>
      </c>
      <c r="DK111" s="19">
        <f>'B2B- Non Repair'!DK66</f>
        <v>51530016.201389194</v>
      </c>
      <c r="DL111" s="19">
        <f>'B2B- Non Repair'!DL66</f>
        <v>44936168.81976819</v>
      </c>
      <c r="DM111" s="19">
        <f>'B2B- Non Repair'!DM66</f>
        <v>52570585.422869682</v>
      </c>
      <c r="DN111" s="19">
        <f>'B2B- Non Repair'!DN66</f>
        <v>65101290.15797472</v>
      </c>
      <c r="DO111" s="19">
        <f>'B2B- Non Repair'!DO66</f>
        <v>72541212.860266805</v>
      </c>
      <c r="DP111" s="19">
        <f>'B2B- Non Repair'!DP66</f>
        <v>67884682.108485579</v>
      </c>
      <c r="DQ111" s="19">
        <f>'B2B- Non Repair'!DQ66</f>
        <v>66201867.903621316</v>
      </c>
      <c r="DR111" s="19">
        <f>'B2B- Non Repair'!DR66</f>
        <v>63655683.240346074</v>
      </c>
      <c r="DS111" s="19">
        <f>'B2B- Non Repair'!DS66</f>
        <v>76131069.032392263</v>
      </c>
      <c r="DT111" s="19">
        <f>'B2B- Non Repair'!DT66</f>
        <v>78910176.010082603</v>
      </c>
      <c r="DU111" s="19">
        <f>'B2B- Non Repair'!DU66</f>
        <v>74130815.623871088</v>
      </c>
      <c r="DV111" s="19">
        <f>'B2B- Non Repair'!DV66</f>
        <v>74194235.696175218</v>
      </c>
      <c r="DW111" s="19">
        <f>'B2B- Non Repair'!DW66</f>
        <v>68985653.946635723</v>
      </c>
      <c r="DX111" s="19">
        <f>'B2B- Non Repair'!DX66</f>
        <v>60158160.629582405</v>
      </c>
      <c r="DY111" s="19">
        <f>'B2B- Non Repair'!DY66</f>
        <v>70378712.857000709</v>
      </c>
      <c r="DZ111" s="19">
        <f>'B2B- Non Repair'!DZ66</f>
        <v>87154156.070234179</v>
      </c>
      <c r="EA111" s="19">
        <f>'B2B- Non Repair'!EA66</f>
        <v>97114330.173890591</v>
      </c>
      <c r="EB111" s="19">
        <f>'B2B- Non Repair'!EB66</f>
        <v>90880413.658537745</v>
      </c>
      <c r="EC111" s="19">
        <f>'B2B- Non Repair'!EC66</f>
        <v>88627551.211540818</v>
      </c>
      <c r="ED111" s="19">
        <f>'B2B- Non Repair'!ED66</f>
        <v>85218854.164397001</v>
      </c>
      <c r="EE111" s="222"/>
      <c r="EF111" s="19">
        <f t="shared" si="428"/>
        <v>42647874.481085956</v>
      </c>
      <c r="EG111" s="19">
        <f t="shared" si="429"/>
        <v>47906738.842827111</v>
      </c>
      <c r="EH111" s="19">
        <f t="shared" si="430"/>
        <v>34068616.903909743</v>
      </c>
      <c r="EI111" s="19">
        <f t="shared" si="431"/>
        <v>16632752.762668788</v>
      </c>
      <c r="EJ111" s="19">
        <f t="shared" si="432"/>
        <v>73408297.072533131</v>
      </c>
      <c r="EK111" s="19">
        <f t="shared" si="433"/>
        <v>41522937.110734969</v>
      </c>
      <c r="EL111" s="19">
        <f t="shared" si="434"/>
        <v>58213853.898461103</v>
      </c>
      <c r="EM111" s="19">
        <f t="shared" si="435"/>
        <v>77343326.724512219</v>
      </c>
      <c r="EN111" s="19">
        <f t="shared" si="436"/>
        <v>97176683.762282431</v>
      </c>
      <c r="EO111" s="19">
        <f t="shared" si="437"/>
        <v>82836294.425820649</v>
      </c>
      <c r="EP111" s="19">
        <f t="shared" si="438"/>
        <v>94610516.965990901</v>
      </c>
      <c r="EQ111" s="19">
        <f t="shared" si="439"/>
        <v>129823179.23566031</v>
      </c>
      <c r="ER111" s="19">
        <f t="shared" si="440"/>
        <v>120953080.73374772</v>
      </c>
      <c r="ES111" s="19">
        <f t="shared" si="441"/>
        <v>107318333.39251053</v>
      </c>
      <c r="ET111" s="19">
        <f t="shared" si="442"/>
        <v>134398421.61363488</v>
      </c>
      <c r="EU111" s="19">
        <f t="shared" si="443"/>
        <v>139718272.03527439</v>
      </c>
      <c r="EV111" s="19">
        <f t="shared" si="444"/>
        <v>171183997.3014915</v>
      </c>
      <c r="EW111" s="19">
        <f t="shared" si="445"/>
        <v>151886840.60312903</v>
      </c>
      <c r="EX111" s="19">
        <f t="shared" si="446"/>
        <v>190213088.44111121</v>
      </c>
      <c r="EY111" s="19">
        <f t="shared" si="447"/>
        <v>197742233.25245297</v>
      </c>
      <c r="EZ111" s="19">
        <f t="shared" si="448"/>
        <v>229172060.66634595</v>
      </c>
      <c r="FA111" s="19">
        <f t="shared" si="449"/>
        <v>203338050.27239335</v>
      </c>
      <c r="FB111" s="19">
        <f t="shared" si="450"/>
        <v>254647199.10112548</v>
      </c>
      <c r="FC111" s="19">
        <f t="shared" si="451"/>
        <v>264726819.03447556</v>
      </c>
      <c r="FE111" s="19">
        <f t="shared" si="452"/>
        <v>141255982.9904916</v>
      </c>
      <c r="FF111" s="19">
        <f t="shared" si="453"/>
        <v>250488414.80624142</v>
      </c>
      <c r="FG111" s="19">
        <f t="shared" si="454"/>
        <v>404446674.3897543</v>
      </c>
      <c r="FH111" s="19">
        <f t="shared" si="455"/>
        <v>502388107.77516752</v>
      </c>
      <c r="FI111" s="19">
        <f t="shared" si="456"/>
        <v>711026159.5981847</v>
      </c>
      <c r="FJ111" s="770">
        <f t="shared" si="207"/>
        <v>951884129.07434034</v>
      </c>
      <c r="FK111" s="545" t="s">
        <v>1</v>
      </c>
    </row>
    <row r="112" spans="2:167" x14ac:dyDescent="0.2">
      <c r="B112" s="225" t="s">
        <v>139</v>
      </c>
      <c r="C112" s="19">
        <f>Refurbished!C71</f>
        <v>706906.96428571455</v>
      </c>
      <c r="D112" s="19">
        <f>Refurbished!D71</f>
        <v>657369.30673125014</v>
      </c>
      <c r="E112" s="19">
        <f>Refurbished!E71</f>
        <v>374973.33835702948</v>
      </c>
      <c r="F112" s="19">
        <f>Refurbished!F71</f>
        <v>201717.19764042832</v>
      </c>
      <c r="G112" s="19">
        <f>Refurbished!G71</f>
        <v>151642.7698973082</v>
      </c>
      <c r="H112" s="19">
        <f>Refurbished!H71</f>
        <v>341046.56693112757</v>
      </c>
      <c r="I112" s="19">
        <f>Refurbished!I71</f>
        <v>1114883.6695571449</v>
      </c>
      <c r="J112" s="19">
        <f>Refurbished!J71</f>
        <v>2285758.4403571431</v>
      </c>
      <c r="K112" s="19">
        <f>Refurbished!K71</f>
        <v>2056128.7085714284</v>
      </c>
      <c r="L112" s="19">
        <f>Refurbished!L71</f>
        <v>2100469.5291597713</v>
      </c>
      <c r="M112" s="19">
        <f>Refurbished!M71</f>
        <v>2942860.9109165817</v>
      </c>
      <c r="N112" s="19">
        <f>Refurbished!N71</f>
        <v>6780786.9366502762</v>
      </c>
      <c r="O112" s="19">
        <f>Refurbished!O71</f>
        <v>6248453.6611951515</v>
      </c>
      <c r="P112" s="19">
        <f>Refurbished!P71</f>
        <v>5547745.0286009461</v>
      </c>
      <c r="Q112" s="19">
        <f>Refurbished!Q71</f>
        <v>2694736.0945461616</v>
      </c>
      <c r="R112" s="19">
        <f>Refurbished!R71</f>
        <v>7564299.1192835122</v>
      </c>
      <c r="S112" s="19">
        <f>Refurbished!S71</f>
        <v>5242398.7470556572</v>
      </c>
      <c r="T112" s="19">
        <f>Refurbished!T71</f>
        <v>4000051.1443398595</v>
      </c>
      <c r="U112" s="19">
        <f>Refurbished!U71</f>
        <v>6554157.4277628027</v>
      </c>
      <c r="V112" s="19">
        <f>Refurbished!V71</f>
        <v>-568101.89038389176</v>
      </c>
      <c r="W112" s="19">
        <f>Refurbished!W71</f>
        <v>1987998.8771034405</v>
      </c>
      <c r="X112" s="19">
        <f>Refurbished!X71</f>
        <v>2058904.1233931556</v>
      </c>
      <c r="Y112" s="19">
        <f>Refurbished!Y71</f>
        <v>-1460263.5800655559</v>
      </c>
      <c r="Z112" s="19">
        <f>Refurbished!Z71</f>
        <v>530374.22024654225</v>
      </c>
      <c r="AA112" s="19">
        <f>Refurbished!AA71</f>
        <v>-5432851.4197018323</v>
      </c>
      <c r="AB112" s="19">
        <f>Refurbished!AB71</f>
        <v>2367110.0678358003</v>
      </c>
      <c r="AC112" s="19">
        <f>Refurbished!AC71</f>
        <v>4468787.8147174157</v>
      </c>
      <c r="AD112" s="19">
        <f>Refurbished!AD71</f>
        <v>5000218.4624163695</v>
      </c>
      <c r="AE112" s="19">
        <f>Refurbished!AE71</f>
        <v>4335160.8013766482</v>
      </c>
      <c r="AF112" s="19">
        <f>Refurbished!AF71</f>
        <v>3615706.5503531918</v>
      </c>
      <c r="AG112" s="19">
        <f>Refurbished!AG71</f>
        <v>5214748.5026051775</v>
      </c>
      <c r="AH112" s="19">
        <f>Refurbished!AH71</f>
        <v>6588421.7289911285</v>
      </c>
      <c r="AI112" s="19">
        <f>Refurbished!AI71</f>
        <v>16213597.884305701</v>
      </c>
      <c r="AJ112" s="19">
        <f>Refurbished!AJ71</f>
        <v>16284425.022648588</v>
      </c>
      <c r="AK112" s="19">
        <f>Refurbished!AK71</f>
        <v>13543420.817936942</v>
      </c>
      <c r="AL112" s="19">
        <f>Refurbished!AL71</f>
        <v>15348931.241737381</v>
      </c>
      <c r="AM112" s="19">
        <f>Refurbished!AM71</f>
        <v>7118421.224125877</v>
      </c>
      <c r="AN112" s="19">
        <f>Refurbished!AN71</f>
        <v>376799.93678169698</v>
      </c>
      <c r="AO112" s="19">
        <f>Refurbished!AO71</f>
        <v>5014957.5573320612</v>
      </c>
      <c r="AP112" s="19">
        <f>Refurbished!AP71</f>
        <v>7815254.729382515</v>
      </c>
      <c r="AQ112" s="19">
        <f>Refurbished!AQ71</f>
        <v>8746091.5220752209</v>
      </c>
      <c r="AR112" s="19">
        <f>Refurbished!AR71</f>
        <v>10456873.016676173</v>
      </c>
      <c r="AS112" s="19">
        <f>Refurbished!AS71</f>
        <v>15841281.689369529</v>
      </c>
      <c r="AT112" s="19">
        <f>Refurbished!AT71</f>
        <v>28385232.704494476</v>
      </c>
      <c r="AU112" s="19">
        <f>Refurbished!AU71</f>
        <v>29654339.512820274</v>
      </c>
      <c r="AV112" s="19">
        <f>Refurbished!AV71</f>
        <v>31097008.620485067</v>
      </c>
      <c r="AW112" s="19">
        <f>Refurbished!AW71</f>
        <v>29504805.300082862</v>
      </c>
      <c r="AX112" s="19">
        <f>Refurbished!AX71</f>
        <v>25730386.980189592</v>
      </c>
      <c r="AY112" s="19">
        <f>Refurbished!AY71</f>
        <v>20055136.2075091</v>
      </c>
      <c r="AZ112" s="19">
        <f>Refurbished!AZ71</f>
        <v>24622141.6144104</v>
      </c>
      <c r="BA112" s="19">
        <f>Refurbished!BA71</f>
        <v>30518692.171962261</v>
      </c>
      <c r="BB112" s="19">
        <f>Refurbished!BB71</f>
        <v>28438775.058174849</v>
      </c>
      <c r="BC112" s="19">
        <f>Refurbished!BC71</f>
        <v>24089697.931934446</v>
      </c>
      <c r="BD112" s="19">
        <f>Refurbished!BD71</f>
        <v>19628614.01722461</v>
      </c>
      <c r="BE112" s="19">
        <f>Refurbished!BE71</f>
        <v>30307954.303548932</v>
      </c>
      <c r="BF112" s="19">
        <f>Refurbished!BF71</f>
        <v>29201121.98948881</v>
      </c>
      <c r="BG112" s="19">
        <f>Refurbished!BG71</f>
        <v>36845932.198869884</v>
      </c>
      <c r="BH112" s="19">
        <f>Refurbished!BH71</f>
        <v>45639222.963757157</v>
      </c>
      <c r="BI112" s="19">
        <f>Refurbished!BI71</f>
        <v>50511401.854734182</v>
      </c>
      <c r="BJ112" s="19">
        <f>Refurbished!BJ71</f>
        <v>67672837.913569629</v>
      </c>
      <c r="BK112" s="19">
        <f>Refurbished!BK71</f>
        <v>60163738.437067091</v>
      </c>
      <c r="BL112" s="19">
        <f>Refurbished!BL71</f>
        <v>65752529.51215142</v>
      </c>
      <c r="BM112" s="19">
        <f>Refurbished!BM71</f>
        <v>75907849.857165217</v>
      </c>
      <c r="BN112" s="19">
        <f>Refurbished!BN71</f>
        <v>60874571.072695494</v>
      </c>
      <c r="BO112" s="19">
        <f>Refurbished!BO71</f>
        <v>65334431.421565533</v>
      </c>
      <c r="BP112" s="19">
        <f>Refurbished!BP71</f>
        <v>53951361.183921099</v>
      </c>
      <c r="BQ112" s="19">
        <f>Refurbished!BQ71</f>
        <v>82386329.285872221</v>
      </c>
      <c r="BR112" s="19">
        <f>Refurbished!BR71</f>
        <v>77489299.336287081</v>
      </c>
      <c r="BS112" s="19">
        <f>Refurbished!BS71</f>
        <v>73986157.991272628</v>
      </c>
      <c r="BT112" s="19">
        <f>Refurbished!BT71</f>
        <v>75806831.426000476</v>
      </c>
      <c r="BU112" s="19">
        <f>Refurbished!BU71</f>
        <v>77401951.525064826</v>
      </c>
      <c r="BV112" s="19">
        <f>Refurbished!BV71</f>
        <v>95354625.624712825</v>
      </c>
      <c r="BW112" s="19">
        <f>Refurbished!BW71</f>
        <v>89547501.98271513</v>
      </c>
      <c r="BX112" s="19">
        <f>Refurbished!BX71</f>
        <v>97355295.270824969</v>
      </c>
      <c r="BY112" s="19">
        <f>Refurbished!BY71</f>
        <v>105712642.80153465</v>
      </c>
      <c r="BZ112" s="19">
        <f>Refurbished!BZ71</f>
        <v>101869440.79414243</v>
      </c>
      <c r="CA112" s="19">
        <f>Refurbished!CA71</f>
        <v>89808297.108318567</v>
      </c>
      <c r="CB112" s="19">
        <f>Refurbished!CB71</f>
        <v>80500930.22408843</v>
      </c>
      <c r="CC112" s="19">
        <f>Refurbished!CC71</f>
        <v>104885820.87461829</v>
      </c>
      <c r="CD112" s="19">
        <f>Refurbished!CD71</f>
        <v>100541355.4587431</v>
      </c>
      <c r="CE112" s="19">
        <f>Refurbished!CE71</f>
        <v>114015905.96356905</v>
      </c>
      <c r="CF112" s="19">
        <f>Refurbished!CF71</f>
        <v>117653054.92213875</v>
      </c>
      <c r="CG112" s="19">
        <f>Refurbished!CG71</f>
        <v>109104654.78975332</v>
      </c>
      <c r="CH112" s="19">
        <f>Refurbished!CH71</f>
        <v>146008342.0096097</v>
      </c>
      <c r="CI112" s="19">
        <f>Refurbished!CI71</f>
        <v>134001866.88255191</v>
      </c>
      <c r="CJ112" s="19">
        <f>Refurbished!CJ71</f>
        <v>130018548.93202484</v>
      </c>
      <c r="CK112" s="19">
        <f>Refurbished!CK71</f>
        <v>140617429.96454561</v>
      </c>
      <c r="CL112" s="19">
        <f>Refurbished!CL71</f>
        <v>147772319.78284585</v>
      </c>
      <c r="CM112" s="19">
        <f>Refurbished!CM71</f>
        <v>136050971.93670774</v>
      </c>
      <c r="CN112" s="19">
        <f>Refurbished!CN71</f>
        <v>131445558.79336989</v>
      </c>
      <c r="CO112" s="19">
        <f>Refurbished!CO71</f>
        <v>164460947.1052177</v>
      </c>
      <c r="CP112" s="19">
        <f>Refurbished!CP71</f>
        <v>148760722.58730006</v>
      </c>
      <c r="CQ112" s="19">
        <f>Refurbished!CQ71</f>
        <v>166256598.17395926</v>
      </c>
      <c r="CR112" s="19">
        <f>Refurbished!CR71</f>
        <v>179530970.81827474</v>
      </c>
      <c r="CS112" s="19">
        <f>Refurbished!CS71</f>
        <v>155598829.57908523</v>
      </c>
      <c r="CT112" s="19">
        <f>Refurbished!CT71</f>
        <v>170331571.09117854</v>
      </c>
      <c r="CU112" s="19">
        <f>Refurbished!CU71</f>
        <v>177696129.11199021</v>
      </c>
      <c r="CV112" s="19">
        <f>Refurbished!CV71</f>
        <v>175670417.5937798</v>
      </c>
      <c r="CW112" s="19">
        <f>Refurbished!CW71</f>
        <v>175232097.60895419</v>
      </c>
      <c r="CX112" s="19">
        <f>Refurbished!CX71</f>
        <v>186219695.04176188</v>
      </c>
      <c r="CY112" s="19">
        <f>Refurbished!CY71</f>
        <v>168236650.88329685</v>
      </c>
      <c r="CZ112" s="19">
        <f>Refurbished!CZ71</f>
        <v>165412147.17750478</v>
      </c>
      <c r="DA112" s="19">
        <f>Refurbished!DA71</f>
        <v>190606636.74052453</v>
      </c>
      <c r="DB112" s="19">
        <f>Refurbished!DB71</f>
        <v>179812012.35090828</v>
      </c>
      <c r="DC112" s="19">
        <f>Refurbished!DC71</f>
        <v>218537217.44207478</v>
      </c>
      <c r="DD112" s="19">
        <f>Refurbished!DD71</f>
        <v>228371399.23252833</v>
      </c>
      <c r="DE112" s="19">
        <f>Refurbished!DE71</f>
        <v>205082113.15898502</v>
      </c>
      <c r="DF112" s="19">
        <f>Refurbished!DF71</f>
        <v>234199490.4899447</v>
      </c>
      <c r="DG112" s="19">
        <f>Refurbished!DG71</f>
        <v>214375890.73828578</v>
      </c>
      <c r="DH112" s="19">
        <f>Refurbished!DH71</f>
        <v>212228558.9271121</v>
      </c>
      <c r="DI112" s="19">
        <f>Refurbished!DI71</f>
        <v>210998353.01201165</v>
      </c>
      <c r="DJ112" s="19">
        <f>Refurbished!DJ71</f>
        <v>224232660.72639465</v>
      </c>
      <c r="DK112" s="19">
        <f>Refurbished!DK71</f>
        <v>202287337.09751534</v>
      </c>
      <c r="DL112" s="19">
        <f>Refurbished!DL71</f>
        <v>198362643.17798471</v>
      </c>
      <c r="DM112" s="19">
        <f>Refurbished!DM71</f>
        <v>228425913.30112171</v>
      </c>
      <c r="DN112" s="19">
        <f>Refurbished!DN71</f>
        <v>214692460.97797489</v>
      </c>
      <c r="DO112" s="19">
        <f>Refurbished!DO71</f>
        <v>260169353.78425193</v>
      </c>
      <c r="DP112" s="19">
        <f>Refurbished!DP71</f>
        <v>271082866.82120872</v>
      </c>
      <c r="DQ112" s="19">
        <f>Refurbished!DQ71</f>
        <v>242825400.70412159</v>
      </c>
      <c r="DR112" s="19">
        <f>Refurbished!DR71</f>
        <v>275253472.64150548</v>
      </c>
      <c r="DS112" s="19">
        <f>Refurbished!DS71</f>
        <v>244975419.6685214</v>
      </c>
      <c r="DT112" s="19">
        <f>Refurbished!DT71</f>
        <v>242453033.80904913</v>
      </c>
      <c r="DU112" s="19">
        <f>Refurbished!DU71</f>
        <v>240976461.20892572</v>
      </c>
      <c r="DV112" s="19">
        <f>Refurbished!DV71</f>
        <v>255822663.7528286</v>
      </c>
      <c r="DW112" s="19">
        <f>Refurbished!DW71</f>
        <v>230813341.38851202</v>
      </c>
      <c r="DX112" s="19">
        <f>Refurbished!DX71</f>
        <v>226586065.35996079</v>
      </c>
      <c r="DY112" s="19">
        <f>Refurbished!DY71</f>
        <v>260165580.37774181</v>
      </c>
      <c r="DZ112" s="19">
        <f>Refurbished!DZ71</f>
        <v>244684883.92052889</v>
      </c>
      <c r="EA112" s="19">
        <f>Refurbished!EA71</f>
        <v>296514789.03066444</v>
      </c>
      <c r="EB112" s="19">
        <f>Refurbished!EB71</f>
        <v>309071949.9607892</v>
      </c>
      <c r="EC112" s="19">
        <f>Refurbished!EC71</f>
        <v>276567613.27701831</v>
      </c>
      <c r="ED112" s="19">
        <f>Refurbished!ED71</f>
        <v>313201071.95008659</v>
      </c>
      <c r="EE112" s="222"/>
      <c r="EF112" s="19">
        <f t="shared" si="428"/>
        <v>201824117.80638373</v>
      </c>
      <c r="EG112" s="19">
        <f t="shared" si="429"/>
        <v>180160363.67818213</v>
      </c>
      <c r="EH112" s="19">
        <f t="shared" si="430"/>
        <v>233861786.61343193</v>
      </c>
      <c r="EI112" s="19">
        <f t="shared" si="431"/>
        <v>248563408.57577813</v>
      </c>
      <c r="EJ112" s="19">
        <f t="shared" si="432"/>
        <v>292615440.05507475</v>
      </c>
      <c r="EK112" s="19">
        <f t="shared" si="433"/>
        <v>272178668.12654942</v>
      </c>
      <c r="EL112" s="19">
        <f t="shared" si="434"/>
        <v>319443082.29693043</v>
      </c>
      <c r="EM112" s="19">
        <f t="shared" si="435"/>
        <v>372766051.72150177</v>
      </c>
      <c r="EN112" s="19">
        <f t="shared" si="436"/>
        <v>404637845.77912235</v>
      </c>
      <c r="EO112" s="19">
        <f t="shared" si="437"/>
        <v>415268850.51292348</v>
      </c>
      <c r="EP112" s="19">
        <f t="shared" si="438"/>
        <v>479478267.86647701</v>
      </c>
      <c r="EQ112" s="19">
        <f t="shared" si="439"/>
        <v>505461371.4885385</v>
      </c>
      <c r="ER112" s="19">
        <f t="shared" si="440"/>
        <v>528598644.31472421</v>
      </c>
      <c r="ES112" s="19">
        <f t="shared" si="441"/>
        <v>519868493.1025635</v>
      </c>
      <c r="ET112" s="19">
        <f t="shared" si="442"/>
        <v>588955866.53350759</v>
      </c>
      <c r="EU112" s="19">
        <f t="shared" si="443"/>
        <v>667653002.88145804</v>
      </c>
      <c r="EV112" s="19">
        <f t="shared" si="444"/>
        <v>637602802.67740953</v>
      </c>
      <c r="EW112" s="19">
        <f t="shared" si="445"/>
        <v>624882641.00189471</v>
      </c>
      <c r="EX112" s="19">
        <f t="shared" si="446"/>
        <v>703287728.06334853</v>
      </c>
      <c r="EY112" s="19">
        <f t="shared" si="447"/>
        <v>789161740.16683578</v>
      </c>
      <c r="EZ112" s="19">
        <f t="shared" si="448"/>
        <v>728404914.68649626</v>
      </c>
      <c r="FA112" s="19">
        <f t="shared" si="449"/>
        <v>713222070.50130141</v>
      </c>
      <c r="FB112" s="19">
        <f t="shared" si="450"/>
        <v>801365253.32893515</v>
      </c>
      <c r="FC112" s="19">
        <f t="shared" si="451"/>
        <v>898840635.18789411</v>
      </c>
      <c r="FE112" s="19">
        <f t="shared" si="452"/>
        <v>864409676.67377591</v>
      </c>
      <c r="FF112" s="19">
        <f t="shared" si="453"/>
        <v>1257003242.2000563</v>
      </c>
      <c r="FG112" s="19">
        <f t="shared" si="454"/>
        <v>1804846335.6470613</v>
      </c>
      <c r="FH112" s="19">
        <f t="shared" si="455"/>
        <v>2305076006.8322535</v>
      </c>
      <c r="FI112" s="19">
        <f t="shared" si="456"/>
        <v>2754934911.9094887</v>
      </c>
      <c r="FJ112" s="770">
        <f t="shared" si="207"/>
        <v>3141832873.704627</v>
      </c>
      <c r="FK112" s="545" t="s">
        <v>1</v>
      </c>
    </row>
    <row r="113" spans="2:167" x14ac:dyDescent="0.2">
      <c r="B113" s="225" t="s">
        <v>309</v>
      </c>
      <c r="C113" s="19">
        <f>Marketplace!C23</f>
        <v>4268764</v>
      </c>
      <c r="D113" s="19">
        <f>Marketplace!D23</f>
        <v>6341836</v>
      </c>
      <c r="E113" s="19">
        <f>Marketplace!E23</f>
        <v>5881839.9999999991</v>
      </c>
      <c r="F113" s="19">
        <f>Marketplace!F23</f>
        <v>5078495</v>
      </c>
      <c r="G113" s="19">
        <f>Marketplace!G23</f>
        <v>3044418</v>
      </c>
      <c r="H113" s="19">
        <f>Marketplace!H23</f>
        <v>2259483.9999999995</v>
      </c>
      <c r="I113" s="19">
        <f>Marketplace!I23</f>
        <v>2792144.9999999995</v>
      </c>
      <c r="J113" s="19">
        <f>Marketplace!J23</f>
        <v>2498575</v>
      </c>
      <c r="K113" s="19">
        <f>Marketplace!K23</f>
        <v>3183499</v>
      </c>
      <c r="L113" s="19">
        <f>Marketplace!L23</f>
        <v>3340854</v>
      </c>
      <c r="M113" s="19">
        <f>Marketplace!M23</f>
        <v>2961651</v>
      </c>
      <c r="N113" s="19">
        <f>Marketplace!N23</f>
        <v>2697955</v>
      </c>
      <c r="O113" s="19">
        <f>Marketplace!O23</f>
        <v>2656416.102</v>
      </c>
      <c r="P113" s="19">
        <f>Marketplace!P23</f>
        <v>2985390.68</v>
      </c>
      <c r="Q113" s="19">
        <f>Marketplace!Q23</f>
        <v>3072094.9152542371</v>
      </c>
      <c r="R113" s="19">
        <f>Marketplace!R23</f>
        <v>3496965</v>
      </c>
      <c r="S113" s="19">
        <f>Marketplace!S23</f>
        <v>3765122.9999999995</v>
      </c>
      <c r="T113" s="19">
        <f>Marketplace!T23</f>
        <v>3783907</v>
      </c>
      <c r="U113" s="19">
        <f>Marketplace!U23</f>
        <v>4877064</v>
      </c>
      <c r="V113" s="19">
        <f>Marketplace!V23</f>
        <v>3616007.9999999995</v>
      </c>
      <c r="W113" s="19">
        <f>Marketplace!W23</f>
        <v>3755697.9999999995</v>
      </c>
      <c r="X113" s="19">
        <f>Marketplace!X23</f>
        <v>4335519</v>
      </c>
      <c r="Y113" s="19">
        <f>Marketplace!Y23</f>
        <v>4040235</v>
      </c>
      <c r="Z113" s="19">
        <f>Marketplace!Z23</f>
        <v>3307233.9999999995</v>
      </c>
      <c r="AA113" s="19">
        <f>Marketplace!AA23</f>
        <v>59363</v>
      </c>
      <c r="AB113" s="19">
        <f>Marketplace!AB23</f>
        <v>1950608</v>
      </c>
      <c r="AC113" s="19">
        <f>Marketplace!AC23</f>
        <v>6069614</v>
      </c>
      <c r="AD113" s="19">
        <f>Marketplace!AD23</f>
        <v>9087524</v>
      </c>
      <c r="AE113" s="19">
        <f>Marketplace!AE23</f>
        <v>11916514</v>
      </c>
      <c r="AF113" s="19">
        <f>Marketplace!AF23</f>
        <v>12536009</v>
      </c>
      <c r="AG113" s="19">
        <f>Marketplace!AG23</f>
        <v>15317190</v>
      </c>
      <c r="AH113" s="19">
        <f>Marketplace!AH23</f>
        <v>12327006</v>
      </c>
      <c r="AI113" s="19">
        <f>Marketplace!AI23</f>
        <v>10669084</v>
      </c>
      <c r="AJ113" s="19">
        <f>Marketplace!AJ23</f>
        <v>13199808</v>
      </c>
      <c r="AK113" s="19">
        <f>Marketplace!AK23</f>
        <v>11541317.999999998</v>
      </c>
      <c r="AL113" s="19">
        <f>Marketplace!AL23</f>
        <v>13057529.999999998</v>
      </c>
      <c r="AM113" s="19">
        <f>Marketplace!AM23</f>
        <v>9616853.9999999981</v>
      </c>
      <c r="AN113" s="19">
        <f>Marketplace!AN23</f>
        <v>4333204</v>
      </c>
      <c r="AO113" s="19">
        <f>Marketplace!AO23</f>
        <v>13330682</v>
      </c>
      <c r="AP113" s="19">
        <f>Marketplace!AP23</f>
        <v>17246232</v>
      </c>
      <c r="AQ113" s="19">
        <f>Marketplace!AQ23</f>
        <v>19926977</v>
      </c>
      <c r="AR113" s="19">
        <f>Marketplace!AR23</f>
        <v>19284180.169491529</v>
      </c>
      <c r="AS113" s="19">
        <f>Marketplace!AS23</f>
        <v>27292370</v>
      </c>
      <c r="AT113" s="19">
        <f>Marketplace!AT23</f>
        <v>17680530</v>
      </c>
      <c r="AU113" s="19">
        <f>Marketplace!AU23</f>
        <v>19408871.186440676</v>
      </c>
      <c r="AV113" s="19">
        <f>Marketplace!AV23</f>
        <v>20923863</v>
      </c>
      <c r="AW113" s="19">
        <f>Marketplace!AW23</f>
        <v>19250761</v>
      </c>
      <c r="AX113" s="19">
        <f>Marketplace!AX23</f>
        <v>25031977</v>
      </c>
      <c r="AY113" s="19">
        <f>Marketplace!AY23</f>
        <v>22326047.999999996</v>
      </c>
      <c r="AZ113" s="19">
        <f>Marketplace!AZ23</f>
        <v>21235345.999999996</v>
      </c>
      <c r="BA113" s="19">
        <f>Marketplace!BA23</f>
        <v>23713180</v>
      </c>
      <c r="BB113" s="19">
        <f>Marketplace!BB23</f>
        <v>23317274.237288136</v>
      </c>
      <c r="BC113" s="19">
        <f>Marketplace!BC23</f>
        <v>24275030.254237287</v>
      </c>
      <c r="BD113" s="19">
        <f>Marketplace!BD23</f>
        <v>30323686.949152544</v>
      </c>
      <c r="BE113" s="19">
        <f>Marketplace!BE23</f>
        <v>31061274.237288136</v>
      </c>
      <c r="BF113" s="19">
        <f>Marketplace!BF23</f>
        <v>24824298.474576272</v>
      </c>
      <c r="BG113" s="19">
        <f>Marketplace!BG23</f>
        <v>28066739.576271184</v>
      </c>
      <c r="BH113" s="19">
        <f>Marketplace!BH23</f>
        <v>31812684.237288132</v>
      </c>
      <c r="BI113" s="19">
        <f>Marketplace!BI23</f>
        <v>29501009.999999996</v>
      </c>
      <c r="BJ113" s="19">
        <f>Marketplace!BJ23</f>
        <v>33334730.93220339</v>
      </c>
      <c r="BK113" s="19">
        <f>Marketplace!BK23</f>
        <v>36591958.644067794</v>
      </c>
      <c r="BL113" s="19">
        <f>Marketplace!BL23</f>
        <v>38294305.593220331</v>
      </c>
      <c r="BM113" s="19">
        <f>Marketplace!BM23</f>
        <v>38013910.677966103</v>
      </c>
      <c r="BN113" s="19">
        <f>Marketplace!BN23</f>
        <v>41510203.220338978</v>
      </c>
      <c r="BO113" s="19">
        <f>Marketplace!BO23</f>
        <v>42811940.423728809</v>
      </c>
      <c r="BP113" s="19">
        <f>Marketplace!BP23</f>
        <v>38101946.864406779</v>
      </c>
      <c r="BQ113" s="19">
        <f>Marketplace!BQ23</f>
        <v>56596933.898305088</v>
      </c>
      <c r="BR113" s="19">
        <f>Marketplace!BR23</f>
        <v>47137179.237288132</v>
      </c>
      <c r="BS113" s="19">
        <f>Marketplace!BS23</f>
        <v>43600103.559322037</v>
      </c>
      <c r="BT113" s="19">
        <f>Marketplace!BT23</f>
        <v>49552935.508474573</v>
      </c>
      <c r="BU113" s="19">
        <f>Marketplace!BU23</f>
        <v>43868549.322033897</v>
      </c>
      <c r="BV113" s="19">
        <f>Marketplace!BV23</f>
        <v>44896421.016949147</v>
      </c>
      <c r="BW113" s="19">
        <f>Marketplace!BW23</f>
        <v>42936295.93220339</v>
      </c>
      <c r="BX113" s="19">
        <f>Marketplace!BX23</f>
        <v>49690903.220338978</v>
      </c>
      <c r="BY113" s="19">
        <f>Marketplace!BY23</f>
        <v>45884842.62711864</v>
      </c>
      <c r="BZ113" s="19">
        <f>Marketplace!BZ23</f>
        <v>53967340.677966103</v>
      </c>
      <c r="CA113" s="19">
        <f>Marketplace!CA23</f>
        <v>50923403.305084743</v>
      </c>
      <c r="CB113" s="19">
        <f>Marketplace!CB23</f>
        <v>48445319.23728814</v>
      </c>
      <c r="CC113" s="19">
        <f>Marketplace!CC23</f>
        <v>68126414.406779662</v>
      </c>
      <c r="CD113" s="19">
        <f>Marketplace!CD23</f>
        <v>52362003.474576272</v>
      </c>
      <c r="CE113" s="19">
        <f>Marketplace!CE23</f>
        <v>53633983.983050846</v>
      </c>
      <c r="CF113" s="19">
        <f>Marketplace!CF23</f>
        <v>57834144.23728814</v>
      </c>
      <c r="CG113" s="19">
        <f>Marketplace!CG23</f>
        <v>57764148.3898305</v>
      </c>
      <c r="CH113" s="19">
        <f>Marketplace!CH23</f>
        <v>56563365.169491522</v>
      </c>
      <c r="CI113" s="19">
        <f>Marketplace!CI23</f>
        <v>57031594.576271184</v>
      </c>
      <c r="CJ113" s="19">
        <f>Marketplace!CJ23</f>
        <v>60307318.050847456</v>
      </c>
      <c r="CK113" s="19">
        <f>Marketplace!CK23</f>
        <v>59450009.576271184</v>
      </c>
      <c r="CL113" s="19">
        <f>Marketplace!CL23</f>
        <v>62832069.830508478</v>
      </c>
      <c r="CM113" s="19">
        <f>Marketplace!CM23</f>
        <v>58068269.406779662</v>
      </c>
      <c r="CN113" s="19">
        <f>Marketplace!CN23</f>
        <v>70107643.559322044</v>
      </c>
      <c r="CO113" s="19">
        <f>Marketplace!CO23</f>
        <v>88509661.864406779</v>
      </c>
      <c r="CP113" s="19">
        <f>Marketplace!CP23</f>
        <v>68483592.372881353</v>
      </c>
      <c r="CQ113" s="19">
        <f>Marketplace!CQ23</f>
        <v>71551959.745762706</v>
      </c>
      <c r="CR113" s="19">
        <f>Marketplace!CR23</f>
        <v>74731942.372881353</v>
      </c>
      <c r="CS113" s="19">
        <f>Marketplace!CS23</f>
        <v>65533002.118644066</v>
      </c>
      <c r="CT113" s="19">
        <f>Marketplace!CT23</f>
        <v>82934150</v>
      </c>
      <c r="CU113" s="19">
        <f>Marketplace!CU23</f>
        <v>73571537.314133629</v>
      </c>
      <c r="CV113" s="19">
        <f>Marketplace!CV23</f>
        <v>80165868.104559109</v>
      </c>
      <c r="CW113" s="19">
        <f>Marketplace!CW23</f>
        <v>79218025.256047174</v>
      </c>
      <c r="CX113" s="19">
        <f>Marketplace!CX23</f>
        <v>86611445.34807156</v>
      </c>
      <c r="CY113" s="19">
        <f>Marketplace!CY23</f>
        <v>80842020.590527415</v>
      </c>
      <c r="CZ113" s="19">
        <f>Marketplace!CZ23</f>
        <v>93912662.828373</v>
      </c>
      <c r="DA113" s="19">
        <f>Marketplace!DA23</f>
        <v>116088005.63182093</v>
      </c>
      <c r="DB113" s="19">
        <f>Marketplace!DB23</f>
        <v>85930375.389478028</v>
      </c>
      <c r="DC113" s="19">
        <f>Marketplace!DC23</f>
        <v>88782509.512107983</v>
      </c>
      <c r="DD113" s="19">
        <f>Marketplace!DD23</f>
        <v>93149225.203306958</v>
      </c>
      <c r="DE113" s="19">
        <f>Marketplace!DE23</f>
        <v>79867131.642576739</v>
      </c>
      <c r="DF113" s="19">
        <f>Marketplace!DF23</f>
        <v>97020505.527514607</v>
      </c>
      <c r="DG113" s="19">
        <f>Marketplace!DG23</f>
        <v>88285844.776960358</v>
      </c>
      <c r="DH113" s="19">
        <f>Marketplace!DH23</f>
        <v>96199041.72547093</v>
      </c>
      <c r="DI113" s="19">
        <f>Marketplace!DI23</f>
        <v>95061630.307256609</v>
      </c>
      <c r="DJ113" s="19">
        <f>Marketplace!DJ23</f>
        <v>103933734.41768587</v>
      </c>
      <c r="DK113" s="19">
        <f>Marketplace!DK23</f>
        <v>97010424.708632901</v>
      </c>
      <c r="DL113" s="19">
        <f>Marketplace!DL23</f>
        <v>112695195.3940476</v>
      </c>
      <c r="DM113" s="19">
        <f>Marketplace!DM23</f>
        <v>139305606.75818515</v>
      </c>
      <c r="DN113" s="19">
        <f>Marketplace!DN23</f>
        <v>103116450.46737362</v>
      </c>
      <c r="DO113" s="19">
        <f>Marketplace!DO23</f>
        <v>106539011.41452959</v>
      </c>
      <c r="DP113" s="19">
        <f>Marketplace!DP23</f>
        <v>111779070.24396835</v>
      </c>
      <c r="DQ113" s="19">
        <f>Marketplace!DQ23</f>
        <v>95840557.97109209</v>
      </c>
      <c r="DR113" s="19">
        <f>Marketplace!DR23</f>
        <v>116424606.63301753</v>
      </c>
      <c r="DS113" s="19">
        <f>Marketplace!DS23</f>
        <v>101528721.49350439</v>
      </c>
      <c r="DT113" s="19">
        <f>Marketplace!DT23</f>
        <v>110628897.98429155</v>
      </c>
      <c r="DU113" s="19">
        <f>Marketplace!DU23</f>
        <v>109320874.85334508</v>
      </c>
      <c r="DV113" s="19">
        <f>Marketplace!DV23</f>
        <v>119523794.58033875</v>
      </c>
      <c r="DW113" s="19">
        <f>Marketplace!DW23</f>
        <v>111561988.41492783</v>
      </c>
      <c r="DX113" s="19">
        <f>Marketplace!DX23</f>
        <v>129599474.70315473</v>
      </c>
      <c r="DY113" s="19">
        <f>Marketplace!DY23</f>
        <v>160201447.77191293</v>
      </c>
      <c r="DZ113" s="19">
        <f>Marketplace!DZ23</f>
        <v>118583918.03747967</v>
      </c>
      <c r="EA113" s="19">
        <f>Marketplace!EA23</f>
        <v>122519863.12670903</v>
      </c>
      <c r="EB113" s="19">
        <f>Marketplace!EB23</f>
        <v>128545930.78056359</v>
      </c>
      <c r="EC113" s="19">
        <f>Marketplace!EC23</f>
        <v>110216641.6667559</v>
      </c>
      <c r="ED113" s="19">
        <f>Marketplace!ED23</f>
        <v>133888297.62797017</v>
      </c>
      <c r="EE113" s="222"/>
      <c r="EF113" s="19">
        <f t="shared" si="428"/>
        <v>112900174.91525422</v>
      </c>
      <c r="EG113" s="19">
        <f t="shared" si="429"/>
        <v>122424090.50847457</v>
      </c>
      <c r="EH113" s="19">
        <f t="shared" si="430"/>
        <v>147334216.69491526</v>
      </c>
      <c r="EI113" s="19">
        <f t="shared" si="431"/>
        <v>138317905.84745762</v>
      </c>
      <c r="EJ113" s="19">
        <f t="shared" si="432"/>
        <v>138512041.779661</v>
      </c>
      <c r="EK113" s="19">
        <f t="shared" si="433"/>
        <v>153336063.220339</v>
      </c>
      <c r="EL113" s="19">
        <f t="shared" si="434"/>
        <v>174122401.86440679</v>
      </c>
      <c r="EM113" s="19">
        <f t="shared" si="435"/>
        <v>172161657.79661018</v>
      </c>
      <c r="EN113" s="19">
        <f t="shared" si="436"/>
        <v>176788922.20338982</v>
      </c>
      <c r="EO113" s="19">
        <f t="shared" si="437"/>
        <v>191007982.79661018</v>
      </c>
      <c r="EP113" s="19">
        <f t="shared" si="438"/>
        <v>228545213.98305082</v>
      </c>
      <c r="EQ113" s="19">
        <f t="shared" si="439"/>
        <v>223199094.49152541</v>
      </c>
      <c r="ER113" s="19">
        <f t="shared" si="440"/>
        <v>232955430.6747399</v>
      </c>
      <c r="ES113" s="19">
        <f t="shared" si="441"/>
        <v>261366128.76697201</v>
      </c>
      <c r="ET113" s="19">
        <f t="shared" si="442"/>
        <v>290800890.53340691</v>
      </c>
      <c r="EU113" s="19">
        <f t="shared" si="443"/>
        <v>270036862.3733983</v>
      </c>
      <c r="EV113" s="19">
        <f t="shared" si="444"/>
        <v>279546516.80968785</v>
      </c>
      <c r="EW113" s="19">
        <f t="shared" si="445"/>
        <v>313639354.52036637</v>
      </c>
      <c r="EX113" s="19">
        <f t="shared" si="446"/>
        <v>348961068.64008832</v>
      </c>
      <c r="EY113" s="19">
        <f t="shared" si="447"/>
        <v>324044234.84807795</v>
      </c>
      <c r="EZ113" s="19">
        <f t="shared" si="448"/>
        <v>321478494.33114105</v>
      </c>
      <c r="FA113" s="19">
        <f t="shared" si="449"/>
        <v>360685257.6984213</v>
      </c>
      <c r="FB113" s="19">
        <f t="shared" si="450"/>
        <v>401305228.93610162</v>
      </c>
      <c r="FC113" s="19">
        <f t="shared" si="451"/>
        <v>372650870.07528967</v>
      </c>
      <c r="FE113" s="19">
        <f t="shared" si="452"/>
        <v>520976387.96610165</v>
      </c>
      <c r="FF113" s="19">
        <f t="shared" si="453"/>
        <v>638132164.66101694</v>
      </c>
      <c r="FG113" s="19">
        <f t="shared" si="454"/>
        <v>819541213.47457623</v>
      </c>
      <c r="FH113" s="19">
        <f t="shared" si="455"/>
        <v>1055159312.3485172</v>
      </c>
      <c r="FI113" s="19">
        <f t="shared" si="456"/>
        <v>1266191174.8182206</v>
      </c>
      <c r="FJ113" s="770">
        <f t="shared" si="207"/>
        <v>1456119851.0409536</v>
      </c>
      <c r="FK113" s="545" t="s">
        <v>1</v>
      </c>
    </row>
    <row r="114" spans="2:167" x14ac:dyDescent="0.2">
      <c r="B114" s="225" t="s">
        <v>310</v>
      </c>
      <c r="C114" s="19">
        <f>C67-C87</f>
        <v>0</v>
      </c>
      <c r="D114" s="19">
        <f t="shared" ref="D114:BO115" si="457">D67-D87</f>
        <v>0</v>
      </c>
      <c r="E114" s="19">
        <f t="shared" si="457"/>
        <v>0</v>
      </c>
      <c r="F114" s="19">
        <f t="shared" si="457"/>
        <v>0</v>
      </c>
      <c r="G114" s="19">
        <f t="shared" si="457"/>
        <v>0</v>
      </c>
      <c r="H114" s="19">
        <f t="shared" si="457"/>
        <v>0</v>
      </c>
      <c r="I114" s="19">
        <f t="shared" si="457"/>
        <v>0</v>
      </c>
      <c r="J114" s="19">
        <f t="shared" si="457"/>
        <v>0</v>
      </c>
      <c r="K114" s="19">
        <f t="shared" si="457"/>
        <v>0</v>
      </c>
      <c r="L114" s="19">
        <f t="shared" si="457"/>
        <v>0</v>
      </c>
      <c r="M114" s="19">
        <f t="shared" si="457"/>
        <v>0</v>
      </c>
      <c r="N114" s="19">
        <f t="shared" si="457"/>
        <v>0</v>
      </c>
      <c r="O114" s="19">
        <f t="shared" si="457"/>
        <v>0</v>
      </c>
      <c r="P114" s="19">
        <f t="shared" si="457"/>
        <v>0</v>
      </c>
      <c r="Q114" s="19">
        <f t="shared" si="457"/>
        <v>0</v>
      </c>
      <c r="R114" s="19">
        <f t="shared" si="457"/>
        <v>0</v>
      </c>
      <c r="S114" s="19">
        <f t="shared" si="457"/>
        <v>0</v>
      </c>
      <c r="T114" s="19">
        <f t="shared" si="457"/>
        <v>0</v>
      </c>
      <c r="U114" s="19">
        <f t="shared" si="457"/>
        <v>0</v>
      </c>
      <c r="V114" s="19">
        <f t="shared" si="457"/>
        <v>0</v>
      </c>
      <c r="W114" s="19">
        <f t="shared" si="457"/>
        <v>0</v>
      </c>
      <c r="X114" s="19">
        <f t="shared" si="457"/>
        <v>0</v>
      </c>
      <c r="Y114" s="19">
        <f t="shared" si="457"/>
        <v>0</v>
      </c>
      <c r="Z114" s="19">
        <f t="shared" si="457"/>
        <v>0</v>
      </c>
      <c r="AA114" s="19">
        <f t="shared" si="457"/>
        <v>0</v>
      </c>
      <c r="AB114" s="19">
        <f t="shared" si="457"/>
        <v>0</v>
      </c>
      <c r="AC114" s="19">
        <f t="shared" si="457"/>
        <v>1207388.0813784597</v>
      </c>
      <c r="AD114" s="19">
        <f t="shared" si="457"/>
        <v>1464761.0802766315</v>
      </c>
      <c r="AE114" s="19">
        <f t="shared" si="457"/>
        <v>1379161.2967517846</v>
      </c>
      <c r="AF114" s="19">
        <f t="shared" si="457"/>
        <v>1208203.7645473983</v>
      </c>
      <c r="AG114" s="19">
        <f t="shared" si="457"/>
        <v>1055719.8073246768</v>
      </c>
      <c r="AH114" s="19">
        <f t="shared" si="457"/>
        <v>961468.96694792644</v>
      </c>
      <c r="AI114" s="19">
        <f t="shared" si="457"/>
        <v>823032.19107301254</v>
      </c>
      <c r="AJ114" s="19">
        <f t="shared" si="457"/>
        <v>907730.5423728805</v>
      </c>
      <c r="AK114" s="19">
        <f t="shared" si="457"/>
        <v>884067.69135842426</v>
      </c>
      <c r="AL114" s="19">
        <f t="shared" si="457"/>
        <v>1528878.5423728814</v>
      </c>
      <c r="AM114" s="19">
        <f t="shared" si="457"/>
        <v>842444.26101694908</v>
      </c>
      <c r="AN114" s="19">
        <f t="shared" si="457"/>
        <v>2354.5600000000004</v>
      </c>
      <c r="AO114" s="19">
        <f t="shared" si="457"/>
        <v>1552096.6338983052</v>
      </c>
      <c r="AP114" s="19">
        <f t="shared" si="457"/>
        <v>2092475.3159322031</v>
      </c>
      <c r="AQ114" s="19">
        <f t="shared" si="457"/>
        <v>2113205.2728813472</v>
      </c>
      <c r="AR114" s="19">
        <f t="shared" si="457"/>
        <v>2388194.8911864413</v>
      </c>
      <c r="AS114" s="19">
        <f t="shared" si="457"/>
        <v>2291013.5637288084</v>
      </c>
      <c r="AT114" s="19">
        <f t="shared" si="457"/>
        <v>2300871.2006779583</v>
      </c>
      <c r="AU114" s="19">
        <f t="shared" si="457"/>
        <v>3397220.682203386</v>
      </c>
      <c r="AV114" s="19">
        <f t="shared" si="457"/>
        <v>2673940.0762711801</v>
      </c>
      <c r="AW114" s="19">
        <f t="shared" si="457"/>
        <v>2486873.5084745586</v>
      </c>
      <c r="AX114" s="19">
        <f t="shared" si="457"/>
        <v>2358218.474576246</v>
      </c>
      <c r="AY114" s="19">
        <f t="shared" si="457"/>
        <v>2865187.4661017247</v>
      </c>
      <c r="AZ114" s="19">
        <f t="shared" si="457"/>
        <v>3195669.1779660955</v>
      </c>
      <c r="BA114" s="19">
        <f t="shared" si="457"/>
        <v>4176833.1222033594</v>
      </c>
      <c r="BB114" s="19">
        <f t="shared" si="457"/>
        <v>4147362.7203389294</v>
      </c>
      <c r="BC114" s="19">
        <f t="shared" si="457"/>
        <v>3505558.6630507801</v>
      </c>
      <c r="BD114" s="19">
        <f t="shared" si="457"/>
        <v>3671095.9952541795</v>
      </c>
      <c r="BE114" s="19">
        <f t="shared" si="457"/>
        <v>3429034.0001694392</v>
      </c>
      <c r="BF114" s="19">
        <f t="shared" si="457"/>
        <v>4195559.3813559003</v>
      </c>
      <c r="BG114" s="19">
        <f t="shared" si="457"/>
        <v>4247055.3602042794</v>
      </c>
      <c r="BH114" s="19">
        <f t="shared" si="457"/>
        <v>5174064.7211377695</v>
      </c>
      <c r="BI114" s="19">
        <f t="shared" si="457"/>
        <v>5226666.392379541</v>
      </c>
      <c r="BJ114" s="19">
        <f t="shared" si="457"/>
        <v>5402983.6507111676</v>
      </c>
      <c r="BK114" s="19">
        <f t="shared" si="457"/>
        <v>6164771.0138157457</v>
      </c>
      <c r="BL114" s="19">
        <f t="shared" si="457"/>
        <v>6573650.6010221392</v>
      </c>
      <c r="BM114" s="19">
        <f t="shared" si="457"/>
        <v>6081415.5793505143</v>
      </c>
      <c r="BN114" s="19">
        <f t="shared" si="457"/>
        <v>7129065.5534052998</v>
      </c>
      <c r="BO114" s="19">
        <f t="shared" si="457"/>
        <v>7458443.0172119066</v>
      </c>
      <c r="BP114" s="19">
        <f t="shared" ref="BP114:DR115" si="458">BP67-BP87</f>
        <v>6670848.2473769337</v>
      </c>
      <c r="BQ114" s="19">
        <f t="shared" si="458"/>
        <v>7084758.424030602</v>
      </c>
      <c r="BR114" s="19">
        <f t="shared" si="458"/>
        <v>5032890.9370307028</v>
      </c>
      <c r="BS114" s="19">
        <f t="shared" si="458"/>
        <v>5728511.5345964991</v>
      </c>
      <c r="BT114" s="19">
        <f t="shared" si="458"/>
        <v>4637225.0492067803</v>
      </c>
      <c r="BU114" s="19">
        <f t="shared" si="458"/>
        <v>5760375.4199744817</v>
      </c>
      <c r="BV114" s="19">
        <f t="shared" si="458"/>
        <v>6195988.0640845355</v>
      </c>
      <c r="BW114" s="19">
        <f t="shared" si="458"/>
        <v>5703600.877852682</v>
      </c>
      <c r="BX114" s="19">
        <f t="shared" si="458"/>
        <v>7255768.8203369677</v>
      </c>
      <c r="BY114" s="19">
        <f t="shared" si="458"/>
        <v>8646736.1275211051</v>
      </c>
      <c r="BZ114" s="19">
        <f t="shared" si="458"/>
        <v>8230460.1705396138</v>
      </c>
      <c r="CA114" s="19">
        <f t="shared" si="458"/>
        <v>9393322.0418685749</v>
      </c>
      <c r="CB114" s="19">
        <f t="shared" si="458"/>
        <v>7886082.4212295413</v>
      </c>
      <c r="CC114" s="19">
        <f t="shared" si="458"/>
        <v>8773355.3704945706</v>
      </c>
      <c r="CD114" s="19">
        <f t="shared" si="458"/>
        <v>7153443.2562242709</v>
      </c>
      <c r="CE114" s="19">
        <f t="shared" si="458"/>
        <v>7615402.2692166716</v>
      </c>
      <c r="CF114" s="19">
        <f t="shared" si="458"/>
        <v>8873075.5939084068</v>
      </c>
      <c r="CG114" s="19">
        <f t="shared" si="458"/>
        <v>7499430.8720171116</v>
      </c>
      <c r="CH114" s="19">
        <f t="shared" si="458"/>
        <v>9379118.2967313454</v>
      </c>
      <c r="CI114" s="19">
        <f t="shared" si="458"/>
        <v>9064244.8143695407</v>
      </c>
      <c r="CJ114" s="19">
        <f t="shared" si="458"/>
        <v>9824250.7791190743</v>
      </c>
      <c r="CK114" s="19">
        <f t="shared" si="458"/>
        <v>9305828.7954914607</v>
      </c>
      <c r="CL114" s="19">
        <f t="shared" si="458"/>
        <v>10230443.202966098</v>
      </c>
      <c r="CM114" s="19">
        <f t="shared" si="458"/>
        <v>9478615.5336440578</v>
      </c>
      <c r="CN114" s="19">
        <f t="shared" si="458"/>
        <v>8968780.0643220283</v>
      </c>
      <c r="CO114" s="19">
        <f t="shared" si="458"/>
        <v>10389890.313185975</v>
      </c>
      <c r="CP114" s="19">
        <f t="shared" si="458"/>
        <v>9754065.3185593225</v>
      </c>
      <c r="CQ114" s="19">
        <f t="shared" si="458"/>
        <v>12040151.165762849</v>
      </c>
      <c r="CR114" s="19">
        <f t="shared" si="458"/>
        <v>11037227.86669492</v>
      </c>
      <c r="CS114" s="19">
        <f t="shared" si="458"/>
        <v>11183109.553559326</v>
      </c>
      <c r="CT114" s="19">
        <f t="shared" si="458"/>
        <v>19508736.393051073</v>
      </c>
      <c r="CU114" s="19">
        <f t="shared" si="458"/>
        <v>10612576.030010678</v>
      </c>
      <c r="CV114" s="19">
        <f t="shared" si="458"/>
        <v>10974745.560977597</v>
      </c>
      <c r="CW114" s="19">
        <f t="shared" si="458"/>
        <v>11245910.018274352</v>
      </c>
      <c r="CX114" s="19">
        <f t="shared" si="458"/>
        <v>10654264.041844118</v>
      </c>
      <c r="CY114" s="19">
        <f t="shared" si="458"/>
        <v>11964007.218365014</v>
      </c>
      <c r="CZ114" s="19">
        <f t="shared" si="458"/>
        <v>12933367.636337943</v>
      </c>
      <c r="DA114" s="19">
        <f t="shared" si="458"/>
        <v>11060862.226130076</v>
      </c>
      <c r="DB114" s="19">
        <f t="shared" si="458"/>
        <v>12125411.238118172</v>
      </c>
      <c r="DC114" s="19">
        <f t="shared" si="458"/>
        <v>10498850.101179123</v>
      </c>
      <c r="DD114" s="19">
        <f t="shared" si="458"/>
        <v>10390318.798078574</v>
      </c>
      <c r="DE114" s="19">
        <f t="shared" si="458"/>
        <v>11450966.430686563</v>
      </c>
      <c r="DF114" s="19">
        <f t="shared" si="458"/>
        <v>10035772.255476512</v>
      </c>
      <c r="DG114" s="19">
        <f t="shared" si="458"/>
        <v>11210028.251562662</v>
      </c>
      <c r="DH114" s="19">
        <f t="shared" si="458"/>
        <v>11671343.420781478</v>
      </c>
      <c r="DI114" s="19">
        <f t="shared" si="458"/>
        <v>11921281.580711901</v>
      </c>
      <c r="DJ114" s="19">
        <f t="shared" si="458"/>
        <v>11169054.843009815</v>
      </c>
      <c r="DK114" s="19">
        <f t="shared" si="458"/>
        <v>12733957.51959008</v>
      </c>
      <c r="DL114" s="19">
        <f t="shared" si="458"/>
        <v>13864777.760770366</v>
      </c>
      <c r="DM114" s="19">
        <f t="shared" si="458"/>
        <v>11510143.629950956</v>
      </c>
      <c r="DN114" s="19">
        <f t="shared" si="458"/>
        <v>12721955.558654733</v>
      </c>
      <c r="DO114" s="19">
        <f t="shared" si="458"/>
        <v>10690995.404590949</v>
      </c>
      <c r="DP114" s="19">
        <f t="shared" si="458"/>
        <v>10500435.29156176</v>
      </c>
      <c r="DQ114" s="19">
        <f t="shared" si="458"/>
        <v>11698235.725414895</v>
      </c>
      <c r="DR114" s="19">
        <f t="shared" si="458"/>
        <v>9861227.3670046479</v>
      </c>
      <c r="DS114" s="19">
        <f t="shared" ref="DS114:ED114" si="459">DS67-DS87</f>
        <v>11626808.504833922</v>
      </c>
      <c r="DT114" s="19">
        <f t="shared" si="459"/>
        <v>12130132.146513082</v>
      </c>
      <c r="DU114" s="19">
        <f t="shared" si="459"/>
        <v>12399540.157862477</v>
      </c>
      <c r="DV114" s="19">
        <f t="shared" si="459"/>
        <v>11525285.756347939</v>
      </c>
      <c r="DW114" s="19">
        <f t="shared" si="459"/>
        <v>13286245.243465498</v>
      </c>
      <c r="DX114" s="19">
        <f t="shared" si="459"/>
        <v>14541614.901577577</v>
      </c>
      <c r="DY114" s="19">
        <f t="shared" si="459"/>
        <v>11852685.565241665</v>
      </c>
      <c r="DZ114" s="19">
        <f t="shared" si="459"/>
        <v>13216303.657833137</v>
      </c>
      <c r="EA114" s="19">
        <f t="shared" si="459"/>
        <v>10898160.250990093</v>
      </c>
      <c r="EB114" s="19">
        <f t="shared" si="459"/>
        <v>10674171.338274889</v>
      </c>
      <c r="EC114" s="19">
        <f t="shared" si="459"/>
        <v>12021200.823876441</v>
      </c>
      <c r="ED114" s="19">
        <f t="shared" si="459"/>
        <v>9926288.7974934354</v>
      </c>
      <c r="EE114" s="222"/>
      <c r="EF114" s="19">
        <f t="shared" si="428"/>
        <v>18819837.194188401</v>
      </c>
      <c r="EG114" s="19">
        <f t="shared" si="429"/>
        <v>21258356.81799414</v>
      </c>
      <c r="EH114" s="19">
        <f t="shared" si="430"/>
        <v>17846160.895657804</v>
      </c>
      <c r="EI114" s="19">
        <f t="shared" si="431"/>
        <v>16593588.533265797</v>
      </c>
      <c r="EJ114" s="19">
        <f t="shared" si="432"/>
        <v>21606105.825710755</v>
      </c>
      <c r="EK114" s="19">
        <f t="shared" si="433"/>
        <v>25509864.63363773</v>
      </c>
      <c r="EL114" s="19">
        <f t="shared" si="434"/>
        <v>23542200.895935513</v>
      </c>
      <c r="EM114" s="19">
        <f t="shared" si="435"/>
        <v>25751624.762656864</v>
      </c>
      <c r="EN114" s="19">
        <f t="shared" si="436"/>
        <v>28194324.388980076</v>
      </c>
      <c r="EO114" s="19">
        <f t="shared" si="437"/>
        <v>28677838.800932184</v>
      </c>
      <c r="EP114" s="19">
        <f t="shared" si="438"/>
        <v>32184106.797508147</v>
      </c>
      <c r="EQ114" s="19">
        <f t="shared" si="439"/>
        <v>41729073.813305318</v>
      </c>
      <c r="ER114" s="19">
        <f t="shared" si="440"/>
        <v>32833231.609262627</v>
      </c>
      <c r="ES114" s="19">
        <f t="shared" si="441"/>
        <v>35551638.896547079</v>
      </c>
      <c r="ET114" s="19">
        <f t="shared" si="442"/>
        <v>33685123.56542737</v>
      </c>
      <c r="EU114" s="19">
        <f t="shared" si="443"/>
        <v>31877057.48424165</v>
      </c>
      <c r="EV114" s="19">
        <f t="shared" si="444"/>
        <v>34802653.253056042</v>
      </c>
      <c r="EW114" s="19">
        <f t="shared" si="445"/>
        <v>37767790.12337026</v>
      </c>
      <c r="EX114" s="19">
        <f t="shared" si="446"/>
        <v>34923094.593196638</v>
      </c>
      <c r="EY114" s="19">
        <f t="shared" si="447"/>
        <v>32059898.383981302</v>
      </c>
      <c r="EZ114" s="19">
        <f t="shared" si="448"/>
        <v>36156480.809209481</v>
      </c>
      <c r="FA114" s="19">
        <f t="shared" si="449"/>
        <v>39353145.901391014</v>
      </c>
      <c r="FB114" s="19">
        <f t="shared" si="450"/>
        <v>35967149.474064894</v>
      </c>
      <c r="FC114" s="19">
        <f t="shared" si="451"/>
        <v>32621660.959644765</v>
      </c>
      <c r="FE114" s="19">
        <f t="shared" si="452"/>
        <v>74517943.441106141</v>
      </c>
      <c r="FF114" s="19">
        <f t="shared" si="453"/>
        <v>96409796.117940873</v>
      </c>
      <c r="FG114" s="19">
        <f t="shared" si="454"/>
        <v>130785343.80072573</v>
      </c>
      <c r="FH114" s="19">
        <f t="shared" si="455"/>
        <v>133947051.55547874</v>
      </c>
      <c r="FI114" s="19">
        <f t="shared" si="456"/>
        <v>139553436.35360426</v>
      </c>
      <c r="FJ114" s="770">
        <f t="shared" si="207"/>
        <v>144098437.14431015</v>
      </c>
      <c r="FK114" s="545" t="s">
        <v>1</v>
      </c>
    </row>
    <row r="115" spans="2:167" x14ac:dyDescent="0.2">
      <c r="B115" s="225" t="s">
        <v>311</v>
      </c>
      <c r="C115" s="19">
        <f>C68-C88</f>
        <v>0</v>
      </c>
      <c r="D115" s="19">
        <f t="shared" si="457"/>
        <v>0</v>
      </c>
      <c r="E115" s="19">
        <f t="shared" si="457"/>
        <v>0</v>
      </c>
      <c r="F115" s="19">
        <f t="shared" si="457"/>
        <v>0</v>
      </c>
      <c r="G115" s="19">
        <f t="shared" si="457"/>
        <v>0</v>
      </c>
      <c r="H115" s="19">
        <f t="shared" si="457"/>
        <v>0</v>
      </c>
      <c r="I115" s="19">
        <f t="shared" si="457"/>
        <v>0</v>
      </c>
      <c r="J115" s="19">
        <f t="shared" si="457"/>
        <v>0</v>
      </c>
      <c r="K115" s="19">
        <f t="shared" si="457"/>
        <v>0</v>
      </c>
      <c r="L115" s="19">
        <f t="shared" si="457"/>
        <v>0</v>
      </c>
      <c r="M115" s="19">
        <f t="shared" si="457"/>
        <v>0</v>
      </c>
      <c r="N115" s="19">
        <f t="shared" si="457"/>
        <v>0</v>
      </c>
      <c r="O115" s="19">
        <f t="shared" si="457"/>
        <v>0</v>
      </c>
      <c r="P115" s="19">
        <f t="shared" si="457"/>
        <v>0</v>
      </c>
      <c r="Q115" s="19">
        <f t="shared" si="457"/>
        <v>0</v>
      </c>
      <c r="R115" s="19">
        <f t="shared" si="457"/>
        <v>0</v>
      </c>
      <c r="S115" s="19">
        <f t="shared" si="457"/>
        <v>0</v>
      </c>
      <c r="T115" s="19">
        <f t="shared" si="457"/>
        <v>0</v>
      </c>
      <c r="U115" s="19">
        <f t="shared" si="457"/>
        <v>0</v>
      </c>
      <c r="V115" s="19">
        <f t="shared" si="457"/>
        <v>0</v>
      </c>
      <c r="W115" s="19">
        <f t="shared" si="457"/>
        <v>0</v>
      </c>
      <c r="X115" s="19">
        <f t="shared" si="457"/>
        <v>0</v>
      </c>
      <c r="Y115" s="19">
        <f t="shared" si="457"/>
        <v>0</v>
      </c>
      <c r="Z115" s="19">
        <f t="shared" si="457"/>
        <v>0</v>
      </c>
      <c r="AA115" s="19">
        <f t="shared" si="457"/>
        <v>0</v>
      </c>
      <c r="AB115" s="19">
        <f t="shared" si="457"/>
        <v>0</v>
      </c>
      <c r="AC115" s="19">
        <f t="shared" si="457"/>
        <v>0</v>
      </c>
      <c r="AD115" s="19">
        <f t="shared" si="457"/>
        <v>861394</v>
      </c>
      <c r="AE115" s="19">
        <f t="shared" si="457"/>
        <v>1089200</v>
      </c>
      <c r="AF115" s="19">
        <f t="shared" si="457"/>
        <v>1517914</v>
      </c>
      <c r="AG115" s="19">
        <f t="shared" si="457"/>
        <v>1788042</v>
      </c>
      <c r="AH115" s="19">
        <f t="shared" si="457"/>
        <v>1108386</v>
      </c>
      <c r="AI115" s="19">
        <f t="shared" si="457"/>
        <v>2822994</v>
      </c>
      <c r="AJ115" s="19">
        <f t="shared" si="457"/>
        <v>1089186</v>
      </c>
      <c r="AK115" s="19">
        <f t="shared" si="457"/>
        <v>741502</v>
      </c>
      <c r="AL115" s="19">
        <f t="shared" si="457"/>
        <v>796610</v>
      </c>
      <c r="AM115" s="19">
        <f t="shared" si="457"/>
        <v>728000</v>
      </c>
      <c r="AN115" s="19">
        <f t="shared" si="457"/>
        <v>947771</v>
      </c>
      <c r="AO115" s="19">
        <f t="shared" si="457"/>
        <v>1120000</v>
      </c>
      <c r="AP115" s="19">
        <f t="shared" si="457"/>
        <v>1912349</v>
      </c>
      <c r="AQ115" s="19">
        <f t="shared" si="457"/>
        <v>1736000</v>
      </c>
      <c r="AR115" s="19">
        <f t="shared" si="457"/>
        <v>4886000</v>
      </c>
      <c r="AS115" s="19">
        <f t="shared" si="457"/>
        <v>3438950</v>
      </c>
      <c r="AT115" s="19">
        <f t="shared" si="457"/>
        <v>2417111.88</v>
      </c>
      <c r="AU115" s="19">
        <f t="shared" si="457"/>
        <v>1118904.8400000001</v>
      </c>
      <c r="AV115" s="19">
        <f t="shared" si="457"/>
        <v>2796720.24</v>
      </c>
      <c r="AW115" s="19">
        <f t="shared" si="457"/>
        <v>1365637.6800000002</v>
      </c>
      <c r="AX115" s="19">
        <f t="shared" si="457"/>
        <v>1711884.8</v>
      </c>
      <c r="AY115" s="19">
        <f t="shared" si="457"/>
        <v>1465959.0800000003</v>
      </c>
      <c r="AZ115" s="19">
        <f t="shared" si="457"/>
        <v>1545661.8</v>
      </c>
      <c r="BA115" s="19">
        <f t="shared" si="457"/>
        <v>2116233.12</v>
      </c>
      <c r="BB115" s="19">
        <f t="shared" si="457"/>
        <v>1695776.04</v>
      </c>
      <c r="BC115" s="19">
        <f t="shared" si="457"/>
        <v>1695776.04</v>
      </c>
      <c r="BD115" s="19">
        <f t="shared" si="457"/>
        <v>2648073.4</v>
      </c>
      <c r="BE115" s="19">
        <f t="shared" si="457"/>
        <v>2159741.2400000002</v>
      </c>
      <c r="BF115" s="19">
        <f t="shared" si="457"/>
        <v>619886.88000000012</v>
      </c>
      <c r="BG115" s="19">
        <f t="shared" si="457"/>
        <v>1067741.3599999999</v>
      </c>
      <c r="BH115" s="19">
        <f t="shared" si="457"/>
        <v>1356292.8800000001</v>
      </c>
      <c r="BI115" s="19">
        <f t="shared" si="457"/>
        <v>1140472.52</v>
      </c>
      <c r="BJ115" s="19">
        <f t="shared" si="457"/>
        <v>1354904.12</v>
      </c>
      <c r="BK115" s="19">
        <f t="shared" si="457"/>
        <v>1265273.3599999999</v>
      </c>
      <c r="BL115" s="19">
        <f t="shared" si="457"/>
        <v>1367778.3599999999</v>
      </c>
      <c r="BM115" s="19">
        <f t="shared" si="457"/>
        <v>838654.56</v>
      </c>
      <c r="BN115" s="19">
        <f t="shared" si="457"/>
        <v>1130825.1600000001</v>
      </c>
      <c r="BO115" s="19">
        <f t="shared" si="457"/>
        <v>1495770.12</v>
      </c>
      <c r="BP115" s="19">
        <f t="shared" si="458"/>
        <v>1124459.6400000001</v>
      </c>
      <c r="BQ115" s="19">
        <f t="shared" si="458"/>
        <v>2453795.2800000003</v>
      </c>
      <c r="BR115" s="19">
        <f t="shared" si="458"/>
        <v>951766.92</v>
      </c>
      <c r="BS115" s="19">
        <f t="shared" si="458"/>
        <v>1116000</v>
      </c>
      <c r="BT115" s="19">
        <f t="shared" si="458"/>
        <v>1251640.8</v>
      </c>
      <c r="BU115" s="19">
        <f t="shared" si="458"/>
        <v>913328.28</v>
      </c>
      <c r="BV115" s="19">
        <f t="shared" si="458"/>
        <v>1033255.4400000001</v>
      </c>
      <c r="BW115" s="19">
        <f t="shared" si="458"/>
        <v>1014968.52</v>
      </c>
      <c r="BX115" s="19">
        <f t="shared" si="458"/>
        <v>1008000</v>
      </c>
      <c r="BY115" s="19">
        <f t="shared" si="458"/>
        <v>1290740.7600000002</v>
      </c>
      <c r="BZ115" s="19">
        <f t="shared" si="458"/>
        <v>1435241.52</v>
      </c>
      <c r="CA115" s="19">
        <f t="shared" si="458"/>
        <v>2384040.4000000004</v>
      </c>
      <c r="CB115" s="19">
        <f t="shared" si="458"/>
        <v>4306256.3661016952</v>
      </c>
      <c r="CC115" s="19">
        <f t="shared" si="458"/>
        <v>3079062.1999999997</v>
      </c>
      <c r="CD115" s="19">
        <f t="shared" si="458"/>
        <v>3752510.1</v>
      </c>
      <c r="CE115" s="19">
        <f t="shared" si="458"/>
        <v>2784235.6</v>
      </c>
      <c r="CF115" s="19">
        <f t="shared" si="458"/>
        <v>2110723.1</v>
      </c>
      <c r="CG115" s="19">
        <f t="shared" si="458"/>
        <v>1653456.9</v>
      </c>
      <c r="CH115" s="19">
        <f t="shared" si="458"/>
        <v>2545252</v>
      </c>
      <c r="CI115" s="19">
        <f t="shared" si="458"/>
        <v>1740065.9</v>
      </c>
      <c r="CJ115" s="19">
        <f t="shared" si="458"/>
        <v>1276873.3</v>
      </c>
      <c r="CK115" s="19">
        <f t="shared" si="458"/>
        <v>2510620.96</v>
      </c>
      <c r="CL115" s="19">
        <f t="shared" si="458"/>
        <v>3651176.2</v>
      </c>
      <c r="CM115" s="19">
        <f t="shared" si="458"/>
        <v>3500349.9</v>
      </c>
      <c r="CN115" s="19">
        <f t="shared" si="458"/>
        <v>4380195.01</v>
      </c>
      <c r="CO115" s="19">
        <f t="shared" si="458"/>
        <v>3542880.0300000003</v>
      </c>
      <c r="CP115" s="19">
        <f t="shared" si="458"/>
        <v>3118732.6799999997</v>
      </c>
      <c r="CQ115" s="19">
        <f t="shared" si="458"/>
        <v>3178051.15</v>
      </c>
      <c r="CR115" s="19">
        <f t="shared" si="458"/>
        <v>1981348.6</v>
      </c>
      <c r="CS115" s="19">
        <f t="shared" si="458"/>
        <v>3930581.29</v>
      </c>
      <c r="CT115" s="19">
        <f t="shared" si="458"/>
        <v>6187310.0099999998</v>
      </c>
      <c r="CU115" s="19">
        <f t="shared" si="458"/>
        <v>1740065.9</v>
      </c>
      <c r="CV115" s="19">
        <f t="shared" si="458"/>
        <v>1276873.3</v>
      </c>
      <c r="CW115" s="19">
        <f t="shared" si="458"/>
        <v>2510620.96</v>
      </c>
      <c r="CX115" s="19">
        <f t="shared" si="458"/>
        <v>3651176.2</v>
      </c>
      <c r="CY115" s="19">
        <f t="shared" si="458"/>
        <v>3500349.9</v>
      </c>
      <c r="CZ115" s="19">
        <f t="shared" si="458"/>
        <v>4380195.0100000007</v>
      </c>
      <c r="DA115" s="19">
        <f t="shared" si="458"/>
        <v>3542880.0300000003</v>
      </c>
      <c r="DB115" s="19">
        <f t="shared" si="458"/>
        <v>3118732.6799999997</v>
      </c>
      <c r="DC115" s="19">
        <f t="shared" si="458"/>
        <v>3178051.15</v>
      </c>
      <c r="DD115" s="19">
        <f t="shared" si="458"/>
        <v>1981348.6000000003</v>
      </c>
      <c r="DE115" s="19">
        <f t="shared" si="458"/>
        <v>3930581.29</v>
      </c>
      <c r="DF115" s="19">
        <f t="shared" si="458"/>
        <v>6187310.0099999998</v>
      </c>
      <c r="DG115" s="19">
        <f t="shared" si="458"/>
        <v>1740065.9</v>
      </c>
      <c r="DH115" s="19">
        <f t="shared" si="458"/>
        <v>1276873.3</v>
      </c>
      <c r="DI115" s="19">
        <f t="shared" si="458"/>
        <v>2510620.96</v>
      </c>
      <c r="DJ115" s="19">
        <f t="shared" si="458"/>
        <v>3651176.2</v>
      </c>
      <c r="DK115" s="19">
        <f t="shared" si="458"/>
        <v>3500349.9</v>
      </c>
      <c r="DL115" s="19">
        <f t="shared" si="458"/>
        <v>4380195.0100000007</v>
      </c>
      <c r="DM115" s="19">
        <f t="shared" si="458"/>
        <v>3542880.0300000003</v>
      </c>
      <c r="DN115" s="19">
        <f t="shared" si="458"/>
        <v>3118732.6799999997</v>
      </c>
      <c r="DO115" s="19">
        <f t="shared" si="458"/>
        <v>3178051.15</v>
      </c>
      <c r="DP115" s="19">
        <f t="shared" si="458"/>
        <v>1981348.6000000003</v>
      </c>
      <c r="DQ115" s="19">
        <f t="shared" si="458"/>
        <v>3930581.29</v>
      </c>
      <c r="DR115" s="19">
        <f t="shared" si="458"/>
        <v>6187310.0099999998</v>
      </c>
      <c r="DS115" s="19">
        <f t="shared" ref="DS115:ED115" si="460">DS68-DS88</f>
        <v>1740065.9</v>
      </c>
      <c r="DT115" s="19">
        <f t="shared" si="460"/>
        <v>1276873.3</v>
      </c>
      <c r="DU115" s="19">
        <f t="shared" si="460"/>
        <v>2510620.96</v>
      </c>
      <c r="DV115" s="19">
        <f t="shared" si="460"/>
        <v>3651176.2</v>
      </c>
      <c r="DW115" s="19">
        <f t="shared" si="460"/>
        <v>3500349.9</v>
      </c>
      <c r="DX115" s="19">
        <f t="shared" si="460"/>
        <v>4380195.0100000007</v>
      </c>
      <c r="DY115" s="19">
        <f t="shared" si="460"/>
        <v>3542880.0300000003</v>
      </c>
      <c r="DZ115" s="19">
        <f t="shared" si="460"/>
        <v>3118732.6799999997</v>
      </c>
      <c r="EA115" s="19">
        <f t="shared" si="460"/>
        <v>3178051.15</v>
      </c>
      <c r="EB115" s="19">
        <f t="shared" si="460"/>
        <v>1981348.6000000003</v>
      </c>
      <c r="EC115" s="19">
        <f t="shared" si="460"/>
        <v>3930581.29</v>
      </c>
      <c r="ED115" s="19">
        <f t="shared" si="460"/>
        <v>6187310.0099999998</v>
      </c>
      <c r="EE115" s="222"/>
      <c r="EF115" s="19">
        <f t="shared" si="428"/>
        <v>3471706.28</v>
      </c>
      <c r="EG115" s="19">
        <f t="shared" si="429"/>
        <v>3751054.9200000004</v>
      </c>
      <c r="EH115" s="19">
        <f t="shared" si="430"/>
        <v>4521562.2</v>
      </c>
      <c r="EI115" s="19">
        <f t="shared" si="431"/>
        <v>3198224.52</v>
      </c>
      <c r="EJ115" s="19">
        <f t="shared" si="432"/>
        <v>3313709.2800000003</v>
      </c>
      <c r="EK115" s="19">
        <f t="shared" si="433"/>
        <v>8125538.2861016952</v>
      </c>
      <c r="EL115" s="19">
        <f t="shared" si="434"/>
        <v>9615807.9000000004</v>
      </c>
      <c r="EM115" s="19">
        <f t="shared" si="435"/>
        <v>6309432</v>
      </c>
      <c r="EN115" s="19">
        <f t="shared" si="436"/>
        <v>5527560.1600000001</v>
      </c>
      <c r="EO115" s="19">
        <f t="shared" si="437"/>
        <v>11531721.109999999</v>
      </c>
      <c r="EP115" s="19">
        <f t="shared" si="438"/>
        <v>9839663.8599999994</v>
      </c>
      <c r="EQ115" s="19">
        <f t="shared" si="439"/>
        <v>12099239.9</v>
      </c>
      <c r="ER115" s="19">
        <f t="shared" si="440"/>
        <v>5527560.1600000001</v>
      </c>
      <c r="ES115" s="19">
        <f t="shared" si="441"/>
        <v>11531721.109999999</v>
      </c>
      <c r="ET115" s="19">
        <f t="shared" si="442"/>
        <v>9839663.8599999994</v>
      </c>
      <c r="EU115" s="19">
        <f t="shared" si="443"/>
        <v>12099239.9</v>
      </c>
      <c r="EV115" s="19">
        <f t="shared" si="444"/>
        <v>5527560.1600000001</v>
      </c>
      <c r="EW115" s="19">
        <f t="shared" si="445"/>
        <v>11531721.109999999</v>
      </c>
      <c r="EX115" s="19">
        <f t="shared" si="446"/>
        <v>9839663.8599999994</v>
      </c>
      <c r="EY115" s="19">
        <f t="shared" si="447"/>
        <v>12099239.9</v>
      </c>
      <c r="EZ115" s="19">
        <f t="shared" ref="EZ115" si="461">SUM(DS115:DU115)</f>
        <v>5527560.1600000001</v>
      </c>
      <c r="FA115" s="19">
        <f t="shared" ref="FA115" si="462">SUM(DV115:DX115)</f>
        <v>11531721.109999999</v>
      </c>
      <c r="FB115" s="19">
        <f t="shared" ref="FB115" si="463">SUM(DY115:EA115)</f>
        <v>9839663.8599999994</v>
      </c>
      <c r="FC115" s="19">
        <f t="shared" ref="FC115" si="464">SUM(EB115:ED115)</f>
        <v>12099239.9</v>
      </c>
      <c r="FE115" s="19">
        <f t="shared" ref="FE115" si="465">SUM(EF115:EI115)</f>
        <v>14942547.92</v>
      </c>
      <c r="FF115" s="19">
        <f t="shared" ref="FF115" si="466">SUM(EJ115:EM115)</f>
        <v>27364487.466101699</v>
      </c>
      <c r="FG115" s="19">
        <f t="shared" ref="FG115" si="467">SUM(EN115:EQ115)</f>
        <v>38998185.030000001</v>
      </c>
      <c r="FH115" s="19">
        <f t="shared" ref="FH115" si="468">SUM(ER115:EU115)</f>
        <v>38998185.030000001</v>
      </c>
      <c r="FI115" s="19">
        <f t="shared" ref="FI115" si="469">SUM(EV115:EY115)</f>
        <v>38998185.030000001</v>
      </c>
      <c r="FJ115" s="770">
        <f t="shared" ref="FJ115" si="470">SUM(EZ115:FC115)</f>
        <v>38998185.030000001</v>
      </c>
      <c r="FK115" s="545" t="s">
        <v>1</v>
      </c>
    </row>
    <row r="116" spans="2:167" x14ac:dyDescent="0.2">
      <c r="B116" s="226" t="s">
        <v>31</v>
      </c>
      <c r="C116" s="20">
        <f>C110/C63</f>
        <v>6.8765481189340144E-2</v>
      </c>
      <c r="D116" s="20">
        <f t="shared" ref="D116:BO116" si="471">D110/D63</f>
        <v>8.197861097255317E-2</v>
      </c>
      <c r="E116" s="20">
        <f t="shared" si="471"/>
        <v>6.9021792970329746E-2</v>
      </c>
      <c r="F116" s="20">
        <f t="shared" si="471"/>
        <v>6.8958823997294499E-2</v>
      </c>
      <c r="G116" s="20">
        <f t="shared" si="471"/>
        <v>3.4824363917387614E-2</v>
      </c>
      <c r="H116" s="20">
        <f t="shared" si="471"/>
        <v>5.4477824857681316E-2</v>
      </c>
      <c r="I116" s="20">
        <f t="shared" si="471"/>
        <v>-8.3168232476448119E-3</v>
      </c>
      <c r="J116" s="20">
        <f t="shared" si="471"/>
        <v>5.6565424358852742E-2</v>
      </c>
      <c r="K116" s="20">
        <f t="shared" si="471"/>
        <v>2.7675677523121906E-2</v>
      </c>
      <c r="L116" s="20">
        <f t="shared" si="471"/>
        <v>-2.7343188990626901E-3</v>
      </c>
      <c r="M116" s="20">
        <f t="shared" si="471"/>
        <v>2.7480603169025054E-2</v>
      </c>
      <c r="N116" s="20">
        <f t="shared" si="471"/>
        <v>5.112211826482374E-2</v>
      </c>
      <c r="O116" s="20">
        <f t="shared" si="471"/>
        <v>4.1566331570155796E-2</v>
      </c>
      <c r="P116" s="20">
        <f t="shared" si="471"/>
        <v>3.3671497180240151E-2</v>
      </c>
      <c r="Q116" s="20">
        <f t="shared" si="471"/>
        <v>3.2268999303870144E-2</v>
      </c>
      <c r="R116" s="20">
        <f t="shared" si="471"/>
        <v>6.4239316352394216E-2</v>
      </c>
      <c r="S116" s="20">
        <f t="shared" si="471"/>
        <v>6.4288220187192893E-2</v>
      </c>
      <c r="T116" s="20">
        <f t="shared" si="471"/>
        <v>4.3412307004235803E-2</v>
      </c>
      <c r="U116" s="20">
        <f t="shared" si="471"/>
        <v>5.0840718570317037E-2</v>
      </c>
      <c r="V116" s="20">
        <f t="shared" si="471"/>
        <v>3.6871679973947906E-2</v>
      </c>
      <c r="W116" s="20">
        <f t="shared" si="471"/>
        <v>4.7508367205914739E-2</v>
      </c>
      <c r="X116" s="20">
        <f t="shared" si="471"/>
        <v>6.067735550665853E-2</v>
      </c>
      <c r="Y116" s="20">
        <f t="shared" si="471"/>
        <v>7.1080947857222215E-2</v>
      </c>
      <c r="Z116" s="20">
        <f t="shared" si="471"/>
        <v>5.946541351011117E-2</v>
      </c>
      <c r="AA116" s="20">
        <f t="shared" si="471"/>
        <v>3.1336332015295514</v>
      </c>
      <c r="AB116" s="20">
        <f t="shared" si="471"/>
        <v>8.2306672741177242E-2</v>
      </c>
      <c r="AC116" s="20">
        <f t="shared" si="471"/>
        <v>8.7337623178895013E-2</v>
      </c>
      <c r="AD116" s="20">
        <f t="shared" si="471"/>
        <v>0.12502805248548871</v>
      </c>
      <c r="AE116" s="20">
        <f t="shared" si="471"/>
        <v>0.11109171544936663</v>
      </c>
      <c r="AF116" s="20">
        <f t="shared" si="471"/>
        <v>0.11071093565252746</v>
      </c>
      <c r="AG116" s="20">
        <f t="shared" si="471"/>
        <v>0.11569735454864671</v>
      </c>
      <c r="AH116" s="20">
        <f t="shared" si="471"/>
        <v>0.11985565614231018</v>
      </c>
      <c r="AI116" s="20">
        <f t="shared" si="471"/>
        <v>9.5573349625464821E-2</v>
      </c>
      <c r="AJ116" s="20">
        <f t="shared" si="471"/>
        <v>9.289382223021557E-2</v>
      </c>
      <c r="AK116" s="20">
        <f t="shared" si="471"/>
        <v>8.4398183713731312E-2</v>
      </c>
      <c r="AL116" s="20">
        <f t="shared" si="471"/>
        <v>0.10538319052575582</v>
      </c>
      <c r="AM116" s="20">
        <f t="shared" si="471"/>
        <v>7.7795570514966911E-2</v>
      </c>
      <c r="AN116" s="20">
        <f t="shared" si="471"/>
        <v>5.5353174993690309E-2</v>
      </c>
      <c r="AO116" s="20">
        <f t="shared" si="471"/>
        <v>0.10966868791476785</v>
      </c>
      <c r="AP116" s="20">
        <f t="shared" si="471"/>
        <v>0.10029059643638431</v>
      </c>
      <c r="AQ116" s="20">
        <f t="shared" si="471"/>
        <v>0.10691045555042698</v>
      </c>
      <c r="AR116" s="20">
        <f t="shared" si="471"/>
        <v>0.10937512254413548</v>
      </c>
      <c r="AS116" s="20">
        <f t="shared" si="471"/>
        <v>0.14499410162828658</v>
      </c>
      <c r="AT116" s="20">
        <f t="shared" si="471"/>
        <v>0.12563099326530633</v>
      </c>
      <c r="AU116" s="20">
        <f t="shared" si="471"/>
        <v>0.10706952105330142</v>
      </c>
      <c r="AV116" s="20">
        <f t="shared" si="471"/>
        <v>9.5403884407901485E-2</v>
      </c>
      <c r="AW116" s="20">
        <f t="shared" si="471"/>
        <v>7.5164576973969832E-2</v>
      </c>
      <c r="AX116" s="20">
        <f t="shared" si="471"/>
        <v>9.135155641035711E-2</v>
      </c>
      <c r="AY116" s="20">
        <f t="shared" si="471"/>
        <v>7.8217677665476562E-2</v>
      </c>
      <c r="AZ116" s="20">
        <f t="shared" si="471"/>
        <v>6.3741816287045089E-2</v>
      </c>
      <c r="BA116" s="20">
        <f t="shared" si="471"/>
        <v>0.10698880759150838</v>
      </c>
      <c r="BB116" s="20">
        <f t="shared" si="471"/>
        <v>0.12499706504109936</v>
      </c>
      <c r="BC116" s="20">
        <f t="shared" si="471"/>
        <v>9.4536254888936438E-2</v>
      </c>
      <c r="BD116" s="20">
        <f t="shared" si="471"/>
        <v>6.4303052947621259E-2</v>
      </c>
      <c r="BE116" s="20">
        <f t="shared" si="471"/>
        <v>8.268096687027908E-2</v>
      </c>
      <c r="BF116" s="20">
        <f t="shared" si="471"/>
        <v>7.784669464340542E-2</v>
      </c>
      <c r="BG116" s="20">
        <f t="shared" si="471"/>
        <v>9.2161740350973145E-2</v>
      </c>
      <c r="BH116" s="20">
        <f t="shared" si="471"/>
        <v>0.1029392809031647</v>
      </c>
      <c r="BI116" s="20">
        <f t="shared" si="471"/>
        <v>0.11113624277417264</v>
      </c>
      <c r="BJ116" s="20">
        <f t="shared" si="471"/>
        <v>0.12429384887190038</v>
      </c>
      <c r="BK116" s="20">
        <f t="shared" si="471"/>
        <v>0.13191400464897718</v>
      </c>
      <c r="BL116" s="20">
        <f t="shared" si="471"/>
        <v>0.13655520186550918</v>
      </c>
      <c r="BM116" s="20">
        <f t="shared" si="471"/>
        <v>0.15940524257939989</v>
      </c>
      <c r="BN116" s="20">
        <f t="shared" si="471"/>
        <v>0.17587200809722336</v>
      </c>
      <c r="BO116" s="20">
        <f t="shared" si="471"/>
        <v>0.17249710497372228</v>
      </c>
      <c r="BP116" s="20">
        <f t="shared" ref="BP116:DR116" si="472">BP110/BP63</f>
        <v>0.1446599978592813</v>
      </c>
      <c r="BQ116" s="20">
        <f t="shared" si="472"/>
        <v>0.16648989199781328</v>
      </c>
      <c r="BR116" s="20">
        <f t="shared" si="472"/>
        <v>0.15874500380888959</v>
      </c>
      <c r="BS116" s="20">
        <f t="shared" si="472"/>
        <v>0.15372042985932693</v>
      </c>
      <c r="BT116" s="20">
        <f t="shared" si="472"/>
        <v>0.15382610099097044</v>
      </c>
      <c r="BU116" s="20">
        <f t="shared" si="472"/>
        <v>0.19681032959005013</v>
      </c>
      <c r="BV116" s="20">
        <f t="shared" si="472"/>
        <v>0.19646606007267683</v>
      </c>
      <c r="BW116" s="20">
        <f t="shared" si="472"/>
        <v>0.19096349709863547</v>
      </c>
      <c r="BX116" s="20">
        <f t="shared" si="472"/>
        <v>0.20507985631976144</v>
      </c>
      <c r="BY116" s="20">
        <f t="shared" si="472"/>
        <v>0.20632809033169205</v>
      </c>
      <c r="BZ116" s="20">
        <f t="shared" si="472"/>
        <v>0.20182250266581556</v>
      </c>
      <c r="CA116" s="20">
        <f t="shared" si="472"/>
        <v>0.20749756138367201</v>
      </c>
      <c r="CB116" s="20">
        <f t="shared" si="472"/>
        <v>0.20546128501465893</v>
      </c>
      <c r="CC116" s="20">
        <f t="shared" si="472"/>
        <v>0.21964186288128545</v>
      </c>
      <c r="CD116" s="20">
        <f t="shared" si="472"/>
        <v>0.20936915664809361</v>
      </c>
      <c r="CE116" s="20">
        <f t="shared" si="472"/>
        <v>0.19401451130185138</v>
      </c>
      <c r="CF116" s="20">
        <f t="shared" si="472"/>
        <v>0.18723913221765065</v>
      </c>
      <c r="CG116" s="20">
        <f t="shared" si="472"/>
        <v>0.18227097447122995</v>
      </c>
      <c r="CH116" s="20">
        <f t="shared" si="472"/>
        <v>0.16677680482912574</v>
      </c>
      <c r="CI116" s="20">
        <f t="shared" si="472"/>
        <v>0.18402676888249084</v>
      </c>
      <c r="CJ116" s="20">
        <f t="shared" si="472"/>
        <v>0.18541464958259637</v>
      </c>
      <c r="CK116" s="20">
        <f t="shared" si="472"/>
        <v>0.19373872139447587</v>
      </c>
      <c r="CL116" s="20">
        <f t="shared" si="472"/>
        <v>0.19319956881642111</v>
      </c>
      <c r="CM116" s="20">
        <f t="shared" si="472"/>
        <v>0.20911548589005877</v>
      </c>
      <c r="CN116" s="20">
        <f t="shared" si="472"/>
        <v>0.20460804330818763</v>
      </c>
      <c r="CO116" s="20">
        <f t="shared" si="472"/>
        <v>0.21695502925305285</v>
      </c>
      <c r="CP116" s="20">
        <f t="shared" si="472"/>
        <v>0.19056409960402235</v>
      </c>
      <c r="CQ116" s="20">
        <f t="shared" si="472"/>
        <v>0.16435338704679769</v>
      </c>
      <c r="CR116" s="20">
        <f t="shared" si="472"/>
        <v>0.16582447418869756</v>
      </c>
      <c r="CS116" s="20">
        <f t="shared" si="472"/>
        <v>0.17073566087138586</v>
      </c>
      <c r="CT116" s="20">
        <f t="shared" si="472"/>
        <v>0.17863282743686668</v>
      </c>
      <c r="CU116" s="20">
        <f t="shared" si="472"/>
        <v>0.178843769961091</v>
      </c>
      <c r="CV116" s="20">
        <f t="shared" si="472"/>
        <v>0.18034083642502824</v>
      </c>
      <c r="CW116" s="20">
        <f t="shared" si="472"/>
        <v>0.1831242769176431</v>
      </c>
      <c r="CX116" s="20">
        <f t="shared" si="472"/>
        <v>0.18699886663603552</v>
      </c>
      <c r="CY116" s="20">
        <f t="shared" si="472"/>
        <v>0.1877360799326753</v>
      </c>
      <c r="CZ116" s="20">
        <f t="shared" si="472"/>
        <v>0.20049657701684093</v>
      </c>
      <c r="DA116" s="20">
        <f t="shared" si="472"/>
        <v>0.20265742656483934</v>
      </c>
      <c r="DB116" s="20">
        <f t="shared" si="472"/>
        <v>0.1799808797777</v>
      </c>
      <c r="DC116" s="20">
        <f t="shared" si="472"/>
        <v>0.17642521066109224</v>
      </c>
      <c r="DD116" s="20">
        <f t="shared" si="472"/>
        <v>0.18015119864972007</v>
      </c>
      <c r="DE116" s="20">
        <f t="shared" si="472"/>
        <v>0.17695003954551899</v>
      </c>
      <c r="DF116" s="20">
        <f t="shared" si="472"/>
        <v>0.18606124101344199</v>
      </c>
      <c r="DG116" s="20">
        <f t="shared" si="472"/>
        <v>0.17932982802281258</v>
      </c>
      <c r="DH116" s="20">
        <f t="shared" si="472"/>
        <v>0.1808993023180466</v>
      </c>
      <c r="DI116" s="20">
        <f t="shared" si="472"/>
        <v>0.18342567102434171</v>
      </c>
      <c r="DJ116" s="20">
        <f t="shared" si="472"/>
        <v>0.18709820341957475</v>
      </c>
      <c r="DK116" s="20">
        <f t="shared" si="472"/>
        <v>0.18780102805557486</v>
      </c>
      <c r="DL116" s="20">
        <f t="shared" si="472"/>
        <v>0.2001259787684935</v>
      </c>
      <c r="DM116" s="20">
        <f t="shared" si="472"/>
        <v>0.20244945661263877</v>
      </c>
      <c r="DN116" s="20">
        <f t="shared" si="472"/>
        <v>0.18041792851013494</v>
      </c>
      <c r="DO116" s="20">
        <f t="shared" si="472"/>
        <v>0.17686676964623277</v>
      </c>
      <c r="DP116" s="20">
        <f t="shared" si="472"/>
        <v>0.18046795574638191</v>
      </c>
      <c r="DQ116" s="20">
        <f t="shared" si="472"/>
        <v>0.17720241258905278</v>
      </c>
      <c r="DR116" s="20">
        <f t="shared" si="472"/>
        <v>0.18592871028853397</v>
      </c>
      <c r="DS116" s="20">
        <f t="shared" ref="DS116:ED116" si="473">DS110/DS63</f>
        <v>0.17917804472895954</v>
      </c>
      <c r="DT116" s="20">
        <f t="shared" si="473"/>
        <v>0.18081084043185622</v>
      </c>
      <c r="DU116" s="20">
        <f t="shared" si="473"/>
        <v>0.18312925792723703</v>
      </c>
      <c r="DV116" s="20">
        <f t="shared" si="473"/>
        <v>0.1866060285517297</v>
      </c>
      <c r="DW116" s="20">
        <f t="shared" si="473"/>
        <v>0.1873042267195584</v>
      </c>
      <c r="DX116" s="20">
        <f t="shared" si="473"/>
        <v>0.19918933100977704</v>
      </c>
      <c r="DY116" s="20">
        <f t="shared" si="473"/>
        <v>0.20162868409285509</v>
      </c>
      <c r="DZ116" s="20">
        <f t="shared" si="473"/>
        <v>0.1803768637964322</v>
      </c>
      <c r="EA116" s="20">
        <f t="shared" si="473"/>
        <v>0.17681672015523645</v>
      </c>
      <c r="EB116" s="20">
        <f t="shared" si="473"/>
        <v>0.18023833137454465</v>
      </c>
      <c r="EC116" s="20">
        <f t="shared" si="473"/>
        <v>0.17703920641596593</v>
      </c>
      <c r="ED116" s="20">
        <f t="shared" si="473"/>
        <v>0.18531060465579374</v>
      </c>
      <c r="EE116" s="222"/>
      <c r="EF116" s="20">
        <f t="shared" ref="EF116:FI116" si="474">EF110/EF63</f>
        <v>0.14222370074202625</v>
      </c>
      <c r="EG116" s="20">
        <f t="shared" si="474"/>
        <v>0.16423797381171271</v>
      </c>
      <c r="EH116" s="20">
        <f t="shared" si="474"/>
        <v>0.16000110043632584</v>
      </c>
      <c r="EI116" s="20">
        <f t="shared" si="474"/>
        <v>0.18224005409503816</v>
      </c>
      <c r="EJ116" s="20">
        <f t="shared" si="474"/>
        <v>0.20094800897829396</v>
      </c>
      <c r="EK116" s="20">
        <f t="shared" si="474"/>
        <v>0.20482218356310117</v>
      </c>
      <c r="EL116" s="20">
        <f t="shared" si="474"/>
        <v>0.20719002005613571</v>
      </c>
      <c r="EM116" s="20">
        <f t="shared" si="474"/>
        <v>0.17775728551034151</v>
      </c>
      <c r="EN116" s="20">
        <f t="shared" si="474"/>
        <v>0.18770568102828941</v>
      </c>
      <c r="EO116" s="20">
        <f t="shared" si="474"/>
        <v>0.20184243090441503</v>
      </c>
      <c r="EP116" s="20">
        <f t="shared" si="474"/>
        <v>0.18884202302173511</v>
      </c>
      <c r="EQ116" s="20">
        <f t="shared" si="474"/>
        <v>0.17179429468404814</v>
      </c>
      <c r="ER116" s="20">
        <f t="shared" si="474"/>
        <v>0.18075860380461192</v>
      </c>
      <c r="ES116" s="20">
        <f t="shared" si="474"/>
        <v>0.19148977121485167</v>
      </c>
      <c r="ET116" s="20">
        <f t="shared" si="474"/>
        <v>0.18570578548611671</v>
      </c>
      <c r="EU116" s="20">
        <f t="shared" si="474"/>
        <v>0.18115039798768984</v>
      </c>
      <c r="EV116" s="20">
        <f t="shared" si="474"/>
        <v>0.18120707549758761</v>
      </c>
      <c r="EW116" s="20">
        <f t="shared" si="474"/>
        <v>0.19142069021772259</v>
      </c>
      <c r="EX116" s="20">
        <f t="shared" si="474"/>
        <v>0.18594766549630901</v>
      </c>
      <c r="EY116" s="20">
        <f t="shared" si="474"/>
        <v>0.1812834018607544</v>
      </c>
      <c r="EZ116" s="20">
        <f t="shared" ref="EZ116:FC116" si="475">EZ110/EZ63</f>
        <v>0.18102862060189751</v>
      </c>
      <c r="FA116" s="20">
        <f t="shared" si="475"/>
        <v>0.19078519529491486</v>
      </c>
      <c r="FB116" s="20">
        <f t="shared" si="475"/>
        <v>0.18564714949675629</v>
      </c>
      <c r="FC116" s="20">
        <f t="shared" si="475"/>
        <v>0.18094017329780696</v>
      </c>
      <c r="FD116" s="785"/>
      <c r="FE116" s="20">
        <f t="shared" si="474"/>
        <v>0.1613878764871379</v>
      </c>
      <c r="FF116" s="20">
        <f t="shared" si="474"/>
        <v>0.19591725522353579</v>
      </c>
      <c r="FG116" s="20">
        <f t="shared" si="474"/>
        <v>0.18605755132724019</v>
      </c>
      <c r="FH116" s="20">
        <f t="shared" si="474"/>
        <v>0.18455600125938645</v>
      </c>
      <c r="FI116" s="20">
        <f t="shared" si="474"/>
        <v>0.18475102658024678</v>
      </c>
      <c r="FJ116" s="20">
        <f t="shared" ref="FJ116" si="476">FJ110/FJ63</f>
        <v>0.18439103003442081</v>
      </c>
      <c r="FK116" s="545" t="s">
        <v>1</v>
      </c>
    </row>
    <row r="117" spans="2:167" x14ac:dyDescent="0.2">
      <c r="B117" s="303" t="s">
        <v>320</v>
      </c>
      <c r="C117" s="20">
        <f>(C110-C113)/(C63-C66)</f>
        <v>3.8614882325587803E-2</v>
      </c>
      <c r="D117" s="20">
        <f t="shared" ref="D117:BO117" si="477">(D110-D113)/(D63-D66)</f>
        <v>3.5094748504798087E-2</v>
      </c>
      <c r="E117" s="20">
        <f t="shared" si="477"/>
        <v>2.9072219679640233E-2</v>
      </c>
      <c r="F117" s="20">
        <f t="shared" si="477"/>
        <v>3.9804895113502124E-2</v>
      </c>
      <c r="G117" s="20">
        <f t="shared" si="477"/>
        <v>1.9055921219188025E-2</v>
      </c>
      <c r="H117" s="20">
        <f t="shared" si="477"/>
        <v>4.3393620507238793E-2</v>
      </c>
      <c r="I117" s="20">
        <f t="shared" si="477"/>
        <v>-2.1856420325898802E-2</v>
      </c>
      <c r="J117" s="20">
        <f t="shared" si="477"/>
        <v>4.461423954217375E-2</v>
      </c>
      <c r="K117" s="20">
        <f t="shared" si="477"/>
        <v>1.5246076394378081E-2</v>
      </c>
      <c r="L117" s="20">
        <f t="shared" si="477"/>
        <v>-1.6451511640277968E-2</v>
      </c>
      <c r="M117" s="20">
        <f t="shared" si="477"/>
        <v>1.6230405010184881E-2</v>
      </c>
      <c r="N117" s="20">
        <f t="shared" si="477"/>
        <v>4.0401206913130046E-2</v>
      </c>
      <c r="O117" s="20">
        <f t="shared" si="477"/>
        <v>3.33231089124192E-2</v>
      </c>
      <c r="P117" s="20">
        <f t="shared" si="477"/>
        <v>2.4367915253918428E-2</v>
      </c>
      <c r="Q117" s="20">
        <f t="shared" si="477"/>
        <v>2.3086036319019617E-2</v>
      </c>
      <c r="R117" s="20">
        <f t="shared" si="477"/>
        <v>5.4745724620205202E-2</v>
      </c>
      <c r="S117" s="20">
        <f t="shared" si="477"/>
        <v>5.1403187551506135E-2</v>
      </c>
      <c r="T117" s="20">
        <f t="shared" si="477"/>
        <v>2.9172358964361864E-2</v>
      </c>
      <c r="U117" s="20">
        <f t="shared" si="477"/>
        <v>2.9408748392051296E-2</v>
      </c>
      <c r="V117" s="20">
        <f t="shared" si="477"/>
        <v>2.1971368824986664E-2</v>
      </c>
      <c r="W117" s="20">
        <f t="shared" si="477"/>
        <v>3.462852768848889E-2</v>
      </c>
      <c r="X117" s="20">
        <f t="shared" si="477"/>
        <v>4.6495498392384135E-2</v>
      </c>
      <c r="Y117" s="20">
        <f t="shared" si="477"/>
        <v>5.8992626804372901E-2</v>
      </c>
      <c r="Z117" s="20">
        <f t="shared" si="477"/>
        <v>4.4164744701697949E-2</v>
      </c>
      <c r="AA117" s="20">
        <f t="shared" si="477"/>
        <v>3.0919292175910358</v>
      </c>
      <c r="AB117" s="20">
        <f t="shared" si="477"/>
        <v>7.14962770460007E-2</v>
      </c>
      <c r="AC117" s="20">
        <f t="shared" si="477"/>
        <v>5.5361434109903025E-2</v>
      </c>
      <c r="AD117" s="20">
        <f t="shared" si="477"/>
        <v>7.1064175570232327E-2</v>
      </c>
      <c r="AE117" s="20">
        <f t="shared" si="477"/>
        <v>6.4954025075817434E-2</v>
      </c>
      <c r="AF117" s="20">
        <f t="shared" si="477"/>
        <v>6.4443488783481259E-2</v>
      </c>
      <c r="AG117" s="20">
        <f t="shared" si="477"/>
        <v>5.6645207931656907E-2</v>
      </c>
      <c r="AH117" s="20">
        <f t="shared" si="477"/>
        <v>7.9653884275555045E-2</v>
      </c>
      <c r="AI117" s="20">
        <f t="shared" si="477"/>
        <v>7.3763184716947428E-2</v>
      </c>
      <c r="AJ117" s="20">
        <f t="shared" si="477"/>
        <v>6.3498795818707432E-2</v>
      </c>
      <c r="AK117" s="20">
        <f t="shared" si="477"/>
        <v>6.1490304109787161E-2</v>
      </c>
      <c r="AL117" s="20">
        <f t="shared" si="477"/>
        <v>7.642384788019109E-2</v>
      </c>
      <c r="AM117" s="20">
        <f t="shared" si="477"/>
        <v>4.5630178128474523E-2</v>
      </c>
      <c r="AN117" s="20">
        <f t="shared" si="477"/>
        <v>2.2353338563623589E-2</v>
      </c>
      <c r="AO117" s="20">
        <f t="shared" si="477"/>
        <v>6.7135267986450267E-2</v>
      </c>
      <c r="AP117" s="20">
        <f t="shared" si="477"/>
        <v>5.977215170677079E-2</v>
      </c>
      <c r="AQ117" s="20">
        <f t="shared" si="477"/>
        <v>6.1155479025786198E-2</v>
      </c>
      <c r="AR117" s="20">
        <f t="shared" si="477"/>
        <v>6.6178244182069995E-2</v>
      </c>
      <c r="AS117" s="20">
        <f t="shared" si="477"/>
        <v>8.1518382753026489E-2</v>
      </c>
      <c r="AT117" s="20">
        <f t="shared" si="477"/>
        <v>9.1453228834595335E-2</v>
      </c>
      <c r="AU117" s="20">
        <f t="shared" si="477"/>
        <v>7.702201348560507E-2</v>
      </c>
      <c r="AV117" s="20">
        <f t="shared" si="477"/>
        <v>6.1500775085029713E-2</v>
      </c>
      <c r="AW117" s="20">
        <f t="shared" si="477"/>
        <v>4.3791202636633594E-2</v>
      </c>
      <c r="AX117" s="20">
        <f t="shared" si="477"/>
        <v>4.7852422715133361E-2</v>
      </c>
      <c r="AY117" s="20">
        <f t="shared" si="477"/>
        <v>3.4807610625918375E-2</v>
      </c>
      <c r="AZ117" s="20">
        <f t="shared" si="477"/>
        <v>2.7278068699432365E-2</v>
      </c>
      <c r="BA117" s="20">
        <f t="shared" si="477"/>
        <v>6.2887831502293753E-2</v>
      </c>
      <c r="BB117" s="20">
        <f t="shared" si="477"/>
        <v>8.5431009983190517E-2</v>
      </c>
      <c r="BC117" s="20">
        <f t="shared" si="477"/>
        <v>5.2726485179666403E-2</v>
      </c>
      <c r="BD117" s="20">
        <f t="shared" si="477"/>
        <v>1.0465442877894861E-2</v>
      </c>
      <c r="BE117" s="20">
        <f t="shared" si="477"/>
        <v>3.6770319079884504E-2</v>
      </c>
      <c r="BF117" s="20">
        <f t="shared" si="477"/>
        <v>4.3078517523397863E-2</v>
      </c>
      <c r="BG117" s="20">
        <f t="shared" si="477"/>
        <v>6.0704932246814655E-2</v>
      </c>
      <c r="BH117" s="20">
        <f t="shared" si="477"/>
        <v>6.7176020823684332E-2</v>
      </c>
      <c r="BI117" s="20">
        <f t="shared" si="477"/>
        <v>7.5108549961839854E-2</v>
      </c>
      <c r="BJ117" s="20">
        <f t="shared" si="477"/>
        <v>9.1813969142357788E-2</v>
      </c>
      <c r="BK117" s="20">
        <f t="shared" si="477"/>
        <v>9.5436393012268611E-2</v>
      </c>
      <c r="BL117" s="20">
        <f t="shared" si="477"/>
        <v>9.8863677096895433E-2</v>
      </c>
      <c r="BM117" s="20">
        <f t="shared" si="477"/>
        <v>0.11988337779833294</v>
      </c>
      <c r="BN117" s="20">
        <f t="shared" si="477"/>
        <v>0.12679783885809273</v>
      </c>
      <c r="BO117" s="20">
        <f t="shared" si="477"/>
        <v>0.12442843956258455</v>
      </c>
      <c r="BP117" s="20">
        <f t="shared" ref="BP117:DR117" si="478">(BP110-BP113)/(BP63-BP66)</f>
        <v>0.10000287610258876</v>
      </c>
      <c r="BQ117" s="20">
        <f t="shared" si="478"/>
        <v>0.11552854504079581</v>
      </c>
      <c r="BR117" s="20">
        <f t="shared" si="478"/>
        <v>0.11344874688114552</v>
      </c>
      <c r="BS117" s="20">
        <f t="shared" si="478"/>
        <v>0.10681951280933857</v>
      </c>
      <c r="BT117" s="20">
        <f t="shared" si="478"/>
        <v>9.6476734427007702E-2</v>
      </c>
      <c r="BU117" s="20">
        <f t="shared" si="478"/>
        <v>0.14396371779527015</v>
      </c>
      <c r="BV117" s="20">
        <f t="shared" si="478"/>
        <v>0.15060302743987664</v>
      </c>
      <c r="BW117" s="20">
        <f t="shared" si="478"/>
        <v>0.14795598441148458</v>
      </c>
      <c r="BX117" s="20">
        <f t="shared" si="478"/>
        <v>0.15783964688378871</v>
      </c>
      <c r="BY117" s="20">
        <f t="shared" si="478"/>
        <v>0.1636056768102421</v>
      </c>
      <c r="BZ117" s="20">
        <f t="shared" si="478"/>
        <v>0.14989070040497729</v>
      </c>
      <c r="CA117" s="20">
        <f t="shared" si="478"/>
        <v>0.15443439867999895</v>
      </c>
      <c r="CB117" s="20">
        <f t="shared" si="478"/>
        <v>0.15055817114894565</v>
      </c>
      <c r="CC117" s="20">
        <f t="shared" si="478"/>
        <v>0.15763280427412782</v>
      </c>
      <c r="CD117" s="20">
        <f t="shared" si="478"/>
        <v>0.15922059857344661</v>
      </c>
      <c r="CE117" s="20">
        <f t="shared" si="478"/>
        <v>0.14927408279814847</v>
      </c>
      <c r="CF117" s="20">
        <f t="shared" si="478"/>
        <v>0.14271279060878975</v>
      </c>
      <c r="CG117" s="20">
        <f t="shared" si="478"/>
        <v>0.13854994748346608</v>
      </c>
      <c r="CH117" s="20">
        <f t="shared" si="478"/>
        <v>0.13244617370464273</v>
      </c>
      <c r="CI117" s="20">
        <f t="shared" si="478"/>
        <v>0.1459383304146738</v>
      </c>
      <c r="CJ117" s="20">
        <f t="shared" si="478"/>
        <v>0.14441120907304006</v>
      </c>
      <c r="CK117" s="20">
        <f t="shared" si="478"/>
        <v>0.15373653549767463</v>
      </c>
      <c r="CL117" s="20">
        <f t="shared" si="478"/>
        <v>0.15302641406256667</v>
      </c>
      <c r="CM117" s="20">
        <f t="shared" si="478"/>
        <v>0.16650355945380438</v>
      </c>
      <c r="CN117" s="20">
        <f t="shared" si="478"/>
        <v>0.15310439098818199</v>
      </c>
      <c r="CO117" s="20">
        <f t="shared" si="478"/>
        <v>0.16364802081290999</v>
      </c>
      <c r="CP117" s="20">
        <f t="shared" si="478"/>
        <v>0.14868382897613355</v>
      </c>
      <c r="CQ117" s="20">
        <f t="shared" si="478"/>
        <v>0.1274566058462536</v>
      </c>
      <c r="CR117" s="20">
        <f t="shared" si="478"/>
        <v>0.13007276958627015</v>
      </c>
      <c r="CS117" s="20">
        <f t="shared" si="478"/>
        <v>0.13642322586350886</v>
      </c>
      <c r="CT117" s="20">
        <f t="shared" si="478"/>
        <v>0.13992437058850232</v>
      </c>
      <c r="CU117" s="20">
        <f t="shared" si="478"/>
        <v>0.1416689118972764</v>
      </c>
      <c r="CV117" s="20">
        <f t="shared" si="478"/>
        <v>0.14020932191067487</v>
      </c>
      <c r="CW117" s="20">
        <f t="shared" si="478"/>
        <v>0.14265569870337097</v>
      </c>
      <c r="CX117" s="20">
        <f t="shared" si="478"/>
        <v>0.14453638717336781</v>
      </c>
      <c r="CY117" s="20">
        <f t="shared" si="478"/>
        <v>0.14459837244964141</v>
      </c>
      <c r="CZ117" s="20">
        <f t="shared" si="478"/>
        <v>0.14850734503509755</v>
      </c>
      <c r="DA117" s="20">
        <f t="shared" si="478"/>
        <v>0.14664844443742461</v>
      </c>
      <c r="DB117" s="20">
        <f t="shared" si="478"/>
        <v>0.13926983253220102</v>
      </c>
      <c r="DC117" s="20">
        <f t="shared" si="478"/>
        <v>0.14024893496650256</v>
      </c>
      <c r="DD117" s="20">
        <f t="shared" si="478"/>
        <v>0.14246638895610322</v>
      </c>
      <c r="DE117" s="20">
        <f t="shared" si="478"/>
        <v>0.1420171827503903</v>
      </c>
      <c r="DF117" s="20">
        <f t="shared" si="478"/>
        <v>0.14681373848832441</v>
      </c>
      <c r="DG117" s="20">
        <f t="shared" si="478"/>
        <v>0.14289860570891733</v>
      </c>
      <c r="DH117" s="20">
        <f t="shared" si="478"/>
        <v>0.14162234129600723</v>
      </c>
      <c r="DI117" s="20">
        <f t="shared" si="478"/>
        <v>0.14370115150184679</v>
      </c>
      <c r="DJ117" s="20">
        <f t="shared" si="478"/>
        <v>0.1453854190809187</v>
      </c>
      <c r="DK117" s="20">
        <f t="shared" si="478"/>
        <v>0.14538321622196806</v>
      </c>
      <c r="DL117" s="20">
        <f t="shared" si="478"/>
        <v>0.14883090039385899</v>
      </c>
      <c r="DM117" s="20">
        <f t="shared" si="478"/>
        <v>0.14720534202839408</v>
      </c>
      <c r="DN117" s="20">
        <f t="shared" si="478"/>
        <v>0.14030829262390387</v>
      </c>
      <c r="DO117" s="20">
        <f t="shared" si="478"/>
        <v>0.14115101767351684</v>
      </c>
      <c r="DP117" s="20">
        <f t="shared" si="478"/>
        <v>0.14315427911762058</v>
      </c>
      <c r="DQ117" s="20">
        <f t="shared" si="478"/>
        <v>0.14257229696946083</v>
      </c>
      <c r="DR117" s="20">
        <f t="shared" si="478"/>
        <v>0.14674582743512804</v>
      </c>
      <c r="DS117" s="20">
        <f t="shared" ref="DS117:ED117" si="479">(DS110-DS113)/(DS63-DS66)</f>
        <v>0.14343895694706646</v>
      </c>
      <c r="DT117" s="20">
        <f t="shared" si="479"/>
        <v>0.1422910751447263</v>
      </c>
      <c r="DU117" s="20">
        <f t="shared" si="479"/>
        <v>0.14412875648249171</v>
      </c>
      <c r="DV117" s="20">
        <f t="shared" si="479"/>
        <v>0.14559951730569676</v>
      </c>
      <c r="DW117" s="20">
        <f t="shared" si="479"/>
        <v>0.14560489619572015</v>
      </c>
      <c r="DX117" s="20">
        <f t="shared" si="479"/>
        <v>0.1487002378651209</v>
      </c>
      <c r="DY117" s="20">
        <f t="shared" si="479"/>
        <v>0.1472045075650471</v>
      </c>
      <c r="DZ117" s="20">
        <f t="shared" si="479"/>
        <v>0.14101264541455691</v>
      </c>
      <c r="EA117" s="20">
        <f t="shared" si="479"/>
        <v>0.14175099853348147</v>
      </c>
      <c r="EB117" s="20">
        <f t="shared" si="479"/>
        <v>0.14357127972269002</v>
      </c>
      <c r="EC117" s="20">
        <f t="shared" si="479"/>
        <v>0.1430069326570661</v>
      </c>
      <c r="ED117" s="20">
        <f t="shared" si="479"/>
        <v>0.146707140709224</v>
      </c>
      <c r="EE117" s="222"/>
      <c r="EF117" s="20">
        <f t="shared" ref="EF117:FI117" si="480">(EF110-EF113)/(EF63-EF66)</f>
        <v>0.10434379945301664</v>
      </c>
      <c r="EG117" s="20">
        <f t="shared" si="480"/>
        <v>0.11695409391987828</v>
      </c>
      <c r="EH117" s="20">
        <f t="shared" si="480"/>
        <v>0.11217737722451403</v>
      </c>
      <c r="EI117" s="20">
        <f t="shared" si="480"/>
        <v>0.1304606333254405</v>
      </c>
      <c r="EJ117" s="20">
        <f t="shared" si="480"/>
        <v>0.15661065108957931</v>
      </c>
      <c r="EK117" s="20">
        <f t="shared" si="480"/>
        <v>0.15160326364484766</v>
      </c>
      <c r="EL117" s="20">
        <f t="shared" si="480"/>
        <v>0.15507891550940253</v>
      </c>
      <c r="EM117" s="20">
        <f t="shared" si="480"/>
        <v>0.13741431522114439</v>
      </c>
      <c r="EN117" s="20">
        <f t="shared" si="480"/>
        <v>0.14801524239592309</v>
      </c>
      <c r="EO117" s="20">
        <f t="shared" si="480"/>
        <v>0.15729530646515738</v>
      </c>
      <c r="EP117" s="20">
        <f t="shared" si="480"/>
        <v>0.14516295868538967</v>
      </c>
      <c r="EQ117" s="20">
        <f t="shared" si="480"/>
        <v>0.13545771573477933</v>
      </c>
      <c r="ER117" s="20">
        <f t="shared" si="480"/>
        <v>0.14150190306133181</v>
      </c>
      <c r="ES117" s="20">
        <f t="shared" si="480"/>
        <v>0.14579684329885709</v>
      </c>
      <c r="ET117" s="20">
        <f t="shared" si="480"/>
        <v>0.14189220613257419</v>
      </c>
      <c r="EU117" s="20">
        <f t="shared" si="480"/>
        <v>0.14380109601304258</v>
      </c>
      <c r="EV117" s="20">
        <f t="shared" si="480"/>
        <v>0.14273182594939349</v>
      </c>
      <c r="EW117" s="20">
        <f t="shared" si="480"/>
        <v>0.14645818489401238</v>
      </c>
      <c r="EX117" s="20">
        <f t="shared" si="480"/>
        <v>0.14273317674146455</v>
      </c>
      <c r="EY117" s="20">
        <f t="shared" si="480"/>
        <v>0.14418380929257002</v>
      </c>
      <c r="EZ117" s="20">
        <f t="shared" ref="EZ117:FC117" si="481">(EZ110-EZ113)/(EZ63-EZ66)</f>
        <v>0.14327819810023887</v>
      </c>
      <c r="FA117" s="20">
        <f t="shared" si="481"/>
        <v>0.14656691258277577</v>
      </c>
      <c r="FB117" s="20">
        <f t="shared" si="481"/>
        <v>0.14317952302415152</v>
      </c>
      <c r="FC117" s="20">
        <f t="shared" si="481"/>
        <v>0.14445075159162579</v>
      </c>
      <c r="FD117" s="785"/>
      <c r="FE117" s="20">
        <f t="shared" si="480"/>
        <v>0.11536383808101389</v>
      </c>
      <c r="FF117" s="20">
        <f t="shared" si="480"/>
        <v>0.14903776022634826</v>
      </c>
      <c r="FG117" s="20">
        <f t="shared" si="480"/>
        <v>0.14531365859194695</v>
      </c>
      <c r="FH117" s="20">
        <f t="shared" si="480"/>
        <v>0.14321176624359833</v>
      </c>
      <c r="FI117" s="20">
        <f t="shared" si="480"/>
        <v>0.14397263960844792</v>
      </c>
      <c r="FJ117" s="20">
        <f t="shared" ref="FJ117" si="482">(FJ110-FJ113)/(FJ63-FJ66)</f>
        <v>0.14431604206297288</v>
      </c>
      <c r="FK117" s="545" t="s">
        <v>1</v>
      </c>
    </row>
    <row r="118" spans="2:167" x14ac:dyDescent="0.2">
      <c r="B118" s="303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222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E118" s="19"/>
      <c r="FF118" s="19"/>
      <c r="FG118" s="19"/>
      <c r="FH118" s="19"/>
      <c r="FI118" s="19"/>
      <c r="FJ118" s="770"/>
      <c r="FK118" s="545"/>
    </row>
    <row r="119" spans="2:167" x14ac:dyDescent="0.2">
      <c r="B119" s="223" t="s">
        <v>32</v>
      </c>
      <c r="C119" s="297">
        <f t="shared" ref="C119:AH119" si="483">SUM(C120:C124)</f>
        <v>2240730</v>
      </c>
      <c r="D119" s="297">
        <f t="shared" si="483"/>
        <v>2416956</v>
      </c>
      <c r="E119" s="297">
        <f t="shared" si="483"/>
        <v>2739744</v>
      </c>
      <c r="F119" s="297">
        <f t="shared" si="483"/>
        <v>3113048</v>
      </c>
      <c r="G119" s="297">
        <f t="shared" si="483"/>
        <v>3353634</v>
      </c>
      <c r="H119" s="297">
        <f t="shared" si="483"/>
        <v>3643874</v>
      </c>
      <c r="I119" s="297">
        <f t="shared" si="483"/>
        <v>3574083</v>
      </c>
      <c r="J119" s="297">
        <f t="shared" si="483"/>
        <v>3989380</v>
      </c>
      <c r="K119" s="297">
        <f t="shared" si="483"/>
        <v>4637950</v>
      </c>
      <c r="L119" s="297">
        <f t="shared" si="483"/>
        <v>3389654</v>
      </c>
      <c r="M119" s="297">
        <f t="shared" si="483"/>
        <v>4617566.25</v>
      </c>
      <c r="N119" s="297">
        <f t="shared" si="483"/>
        <v>5272074</v>
      </c>
      <c r="O119" s="297">
        <f t="shared" si="483"/>
        <v>5636374</v>
      </c>
      <c r="P119" s="297">
        <f t="shared" si="483"/>
        <v>6778487</v>
      </c>
      <c r="Q119" s="297">
        <f t="shared" si="483"/>
        <v>6367884</v>
      </c>
      <c r="R119" s="297">
        <f t="shared" si="483"/>
        <v>6921523</v>
      </c>
      <c r="S119" s="297">
        <f t="shared" si="483"/>
        <v>6190756</v>
      </c>
      <c r="T119" s="297">
        <f t="shared" si="483"/>
        <v>5748541</v>
      </c>
      <c r="U119" s="297">
        <f t="shared" si="483"/>
        <v>5612038</v>
      </c>
      <c r="V119" s="297">
        <f t="shared" si="483"/>
        <v>6141967.7400000002</v>
      </c>
      <c r="W119" s="297">
        <f t="shared" si="483"/>
        <v>6375905.21</v>
      </c>
      <c r="X119" s="297">
        <f t="shared" si="483"/>
        <v>6826020.4900000002</v>
      </c>
      <c r="Y119" s="297">
        <f t="shared" si="483"/>
        <v>7229886.2999999998</v>
      </c>
      <c r="Z119" s="297">
        <f t="shared" si="483"/>
        <v>6919153.27332142</v>
      </c>
      <c r="AA119" s="297">
        <f t="shared" si="483"/>
        <v>5600352.5</v>
      </c>
      <c r="AB119" s="297">
        <f t="shared" si="483"/>
        <v>6498540.125</v>
      </c>
      <c r="AC119" s="297">
        <f t="shared" si="483"/>
        <v>7640004.1081472188</v>
      </c>
      <c r="AD119" s="297">
        <f t="shared" si="483"/>
        <v>7511398.5777892061</v>
      </c>
      <c r="AE119" s="297">
        <f t="shared" si="483"/>
        <v>8401576.6962844227</v>
      </c>
      <c r="AF119" s="297">
        <f t="shared" si="483"/>
        <v>7908938.3437747564</v>
      </c>
      <c r="AG119" s="297">
        <f t="shared" si="483"/>
        <v>10015166.542371696</v>
      </c>
      <c r="AH119" s="297">
        <f t="shared" si="483"/>
        <v>9295773.8634821251</v>
      </c>
      <c r="AI119" s="297">
        <f t="shared" ref="AI119:BN119" si="484">SUM(AI120:AI124)</f>
        <v>11200977.187146194</v>
      </c>
      <c r="AJ119" s="297">
        <f t="shared" si="484"/>
        <v>13651190.337732431</v>
      </c>
      <c r="AK119" s="297">
        <f t="shared" si="484"/>
        <v>11882398.277736971</v>
      </c>
      <c r="AL119" s="297">
        <f t="shared" si="484"/>
        <v>12325281.020328045</v>
      </c>
      <c r="AM119" s="297">
        <f t="shared" si="484"/>
        <v>11037955.0238686</v>
      </c>
      <c r="AN119" s="297">
        <f t="shared" si="484"/>
        <v>8913590.8669968769</v>
      </c>
      <c r="AO119" s="297">
        <f t="shared" si="484"/>
        <v>11109744.970362434</v>
      </c>
      <c r="AP119" s="297">
        <f t="shared" si="484"/>
        <v>13536868.239800001</v>
      </c>
      <c r="AQ119" s="297">
        <f t="shared" si="484"/>
        <v>14936240.163600691</v>
      </c>
      <c r="AR119" s="297">
        <f t="shared" si="484"/>
        <v>16288758.861996517</v>
      </c>
      <c r="AS119" s="297">
        <f t="shared" si="484"/>
        <v>18686856.956170443</v>
      </c>
      <c r="AT119" s="297">
        <f t="shared" si="484"/>
        <v>20541623.653919119</v>
      </c>
      <c r="AU119" s="297">
        <f t="shared" si="484"/>
        <v>21262611.94065991</v>
      </c>
      <c r="AV119" s="297">
        <f t="shared" si="484"/>
        <v>20280865.438372709</v>
      </c>
      <c r="AW119" s="297">
        <f t="shared" si="484"/>
        <v>21517004.135747075</v>
      </c>
      <c r="AX119" s="297">
        <f t="shared" si="484"/>
        <v>21078094.309922054</v>
      </c>
      <c r="AY119" s="297">
        <f t="shared" si="484"/>
        <v>19019231.643974133</v>
      </c>
      <c r="AZ119" s="297">
        <f t="shared" si="484"/>
        <v>20166793.607404146</v>
      </c>
      <c r="BA119" s="297">
        <f t="shared" si="484"/>
        <v>20462314.076116532</v>
      </c>
      <c r="BB119" s="297">
        <f t="shared" si="484"/>
        <v>23017595.398321569</v>
      </c>
      <c r="BC119" s="297">
        <f t="shared" si="484"/>
        <v>23117982.949017931</v>
      </c>
      <c r="BD119" s="297">
        <f t="shared" si="484"/>
        <v>23661695.566035967</v>
      </c>
      <c r="BE119" s="297">
        <f t="shared" si="484"/>
        <v>24792161.601307023</v>
      </c>
      <c r="BF119" s="297">
        <f t="shared" si="484"/>
        <v>26002074.35346406</v>
      </c>
      <c r="BG119" s="297">
        <f t="shared" si="484"/>
        <v>26436334.00184897</v>
      </c>
      <c r="BH119" s="297">
        <f t="shared" si="484"/>
        <v>26318165.129112221</v>
      </c>
      <c r="BI119" s="297">
        <f t="shared" si="484"/>
        <v>28278631.02269271</v>
      </c>
      <c r="BJ119" s="297">
        <f t="shared" si="484"/>
        <v>38473324.27494134</v>
      </c>
      <c r="BK119" s="297">
        <f t="shared" si="484"/>
        <v>36502181.266359225</v>
      </c>
      <c r="BL119" s="297">
        <f t="shared" si="484"/>
        <v>33485972.823699597</v>
      </c>
      <c r="BM119" s="297">
        <f t="shared" si="484"/>
        <v>34182676.399038464</v>
      </c>
      <c r="BN119" s="297">
        <f t="shared" si="484"/>
        <v>29761817.10853868</v>
      </c>
      <c r="BO119" s="297">
        <f t="shared" ref="BO119:CT119" si="485">SUM(BO120:BO124)</f>
        <v>31474620.913717948</v>
      </c>
      <c r="BP119" s="297">
        <f t="shared" si="485"/>
        <v>32239217.587051284</v>
      </c>
      <c r="BQ119" s="297">
        <f t="shared" si="485"/>
        <v>44023444.594815537</v>
      </c>
      <c r="BR119" s="297">
        <f t="shared" si="485"/>
        <v>35098371.409687951</v>
      </c>
      <c r="BS119" s="297">
        <f t="shared" si="485"/>
        <v>32728443.043063447</v>
      </c>
      <c r="BT119" s="297">
        <f t="shared" si="485"/>
        <v>32068207.87186113</v>
      </c>
      <c r="BU119" s="297">
        <f t="shared" si="485"/>
        <v>33638598.445073798</v>
      </c>
      <c r="BV119" s="297">
        <f t="shared" si="485"/>
        <v>36324306.189173706</v>
      </c>
      <c r="BW119" s="297">
        <f t="shared" si="485"/>
        <v>32205061.163391717</v>
      </c>
      <c r="BX119" s="297">
        <f t="shared" si="485"/>
        <v>34621379.936987177</v>
      </c>
      <c r="BY119" s="297">
        <f t="shared" si="485"/>
        <v>36369279.48208341</v>
      </c>
      <c r="BZ119" s="297">
        <f t="shared" si="485"/>
        <v>38149522.431217946</v>
      </c>
      <c r="CA119" s="297">
        <f t="shared" si="485"/>
        <v>32833561.421858974</v>
      </c>
      <c r="CB119" s="297">
        <f t="shared" si="485"/>
        <v>32257869.885455899</v>
      </c>
      <c r="CC119" s="297">
        <f t="shared" si="485"/>
        <v>37234060.012432978</v>
      </c>
      <c r="CD119" s="297">
        <f t="shared" si="485"/>
        <v>35838380.725371063</v>
      </c>
      <c r="CE119" s="297">
        <f t="shared" si="485"/>
        <v>37366077.165512815</v>
      </c>
      <c r="CF119" s="297">
        <f t="shared" si="485"/>
        <v>40113944.158416837</v>
      </c>
      <c r="CG119" s="297">
        <f t="shared" si="485"/>
        <v>36500063.498581357</v>
      </c>
      <c r="CH119" s="297">
        <f t="shared" si="485"/>
        <v>49768187.368011072</v>
      </c>
      <c r="CI119" s="297">
        <f t="shared" si="485"/>
        <v>48432722.597297505</v>
      </c>
      <c r="CJ119" s="297">
        <f t="shared" si="485"/>
        <v>47400963.866423652</v>
      </c>
      <c r="CK119" s="297">
        <f t="shared" si="485"/>
        <v>51407188.390319094</v>
      </c>
      <c r="CL119" s="297">
        <f t="shared" si="485"/>
        <v>55043760.925736852</v>
      </c>
      <c r="CM119" s="297">
        <f t="shared" si="485"/>
        <v>45712358.79741668</v>
      </c>
      <c r="CN119" s="297">
        <f t="shared" si="485"/>
        <v>49345135.587847814</v>
      </c>
      <c r="CO119" s="297">
        <f t="shared" si="485"/>
        <v>63051291.451309927</v>
      </c>
      <c r="CP119" s="297">
        <f t="shared" si="485"/>
        <v>50166035.447467245</v>
      </c>
      <c r="CQ119" s="297">
        <f t="shared" si="485"/>
        <v>51531454.521260001</v>
      </c>
      <c r="CR119" s="297">
        <f t="shared" si="485"/>
        <v>55642516.418392286</v>
      </c>
      <c r="CS119" s="297">
        <f t="shared" si="485"/>
        <v>50155298.455760956</v>
      </c>
      <c r="CT119" s="297">
        <f t="shared" si="485"/>
        <v>59774964.637696713</v>
      </c>
      <c r="CU119" s="297">
        <f t="shared" ref="CU119:DR119" si="486">SUM(CU120:CU124)</f>
        <v>54730119.566332281</v>
      </c>
      <c r="CV119" s="297">
        <f t="shared" si="486"/>
        <v>54682014.471501201</v>
      </c>
      <c r="CW119" s="297">
        <f t="shared" si="486"/>
        <v>54452773.174199015</v>
      </c>
      <c r="CX119" s="297">
        <f t="shared" si="486"/>
        <v>56283451.358161718</v>
      </c>
      <c r="CY119" s="297">
        <f t="shared" si="486"/>
        <v>52653841.963862114</v>
      </c>
      <c r="CZ119" s="297">
        <f t="shared" si="486"/>
        <v>53159165.309278823</v>
      </c>
      <c r="DA119" s="297">
        <f t="shared" si="486"/>
        <v>56854288.371189177</v>
      </c>
      <c r="DB119" s="297">
        <f t="shared" si="486"/>
        <v>55930602.301427051</v>
      </c>
      <c r="DC119" s="297">
        <f t="shared" si="486"/>
        <v>65192105.86812754</v>
      </c>
      <c r="DD119" s="297">
        <f t="shared" si="486"/>
        <v>67752773.417184711</v>
      </c>
      <c r="DE119" s="297">
        <f t="shared" si="486"/>
        <v>61610461.904507518</v>
      </c>
      <c r="DF119" s="297">
        <f t="shared" si="486"/>
        <v>67062435.064442262</v>
      </c>
      <c r="DG119" s="297">
        <f t="shared" si="486"/>
        <v>64759665.647325642</v>
      </c>
      <c r="DH119" s="297">
        <f t="shared" si="486"/>
        <v>64752697.147819839</v>
      </c>
      <c r="DI119" s="297">
        <f t="shared" si="486"/>
        <v>64347111.471449375</v>
      </c>
      <c r="DJ119" s="297">
        <f t="shared" si="486"/>
        <v>66574147.888133295</v>
      </c>
      <c r="DK119" s="297">
        <f t="shared" si="486"/>
        <v>62102931.851712883</v>
      </c>
      <c r="DL119" s="297">
        <f t="shared" si="486"/>
        <v>62576730.814612821</v>
      </c>
      <c r="DM119" s="297">
        <f t="shared" si="486"/>
        <v>67083501.282255679</v>
      </c>
      <c r="DN119" s="297">
        <f t="shared" si="486"/>
        <v>65897514.934587419</v>
      </c>
      <c r="DO119" s="297">
        <f t="shared" si="486"/>
        <v>76973145.751288235</v>
      </c>
      <c r="DP119" s="297">
        <f t="shared" si="486"/>
        <v>79899029.291049838</v>
      </c>
      <c r="DQ119" s="297">
        <f t="shared" si="486"/>
        <v>72426331.326193944</v>
      </c>
      <c r="DR119" s="297">
        <f t="shared" si="486"/>
        <v>78627039.120054245</v>
      </c>
      <c r="DS119" s="297">
        <f t="shared" ref="DS119:ED119" si="487">SUM(DS120:DS124)</f>
        <v>73975269.642351598</v>
      </c>
      <c r="DT119" s="297">
        <f t="shared" si="487"/>
        <v>73969054.638394296</v>
      </c>
      <c r="DU119" s="297">
        <f t="shared" si="487"/>
        <v>73464928.510152936</v>
      </c>
      <c r="DV119" s="297">
        <f t="shared" si="487"/>
        <v>76005086.030302107</v>
      </c>
      <c r="DW119" s="297">
        <f t="shared" si="487"/>
        <v>70801220.33084023</v>
      </c>
      <c r="DX119" s="297">
        <f t="shared" si="487"/>
        <v>71346970.092848212</v>
      </c>
      <c r="DY119" s="297">
        <f t="shared" si="487"/>
        <v>76504909.07026571</v>
      </c>
      <c r="DZ119" s="297">
        <f t="shared" si="487"/>
        <v>75242183.85375917</v>
      </c>
      <c r="EA119" s="297">
        <f t="shared" si="487"/>
        <v>88121800.485020801</v>
      </c>
      <c r="EB119" s="297">
        <f t="shared" si="487"/>
        <v>91500858.356489584</v>
      </c>
      <c r="EC119" s="297">
        <f t="shared" si="487"/>
        <v>82783786.979775324</v>
      </c>
      <c r="ED119" s="297">
        <f t="shared" si="487"/>
        <v>89896866.095941111</v>
      </c>
      <c r="EE119" s="222"/>
      <c r="EF119" s="297">
        <f t="shared" ref="EF119:EF125" si="488">SUM(BK119:BM119)</f>
        <v>104170830.48909728</v>
      </c>
      <c r="EG119" s="297">
        <f t="shared" ref="EG119:EG125" si="489">SUM(BN119:BP119)</f>
        <v>93475655.609307915</v>
      </c>
      <c r="EH119" s="297">
        <f t="shared" ref="EH119:EH125" si="490">SUM(BQ119:BS119)</f>
        <v>111850259.04756694</v>
      </c>
      <c r="EI119" s="297">
        <f t="shared" ref="EI119:EI125" si="491">SUM(BT119:BV119)</f>
        <v>102031112.50610864</v>
      </c>
      <c r="EJ119" s="297">
        <f t="shared" ref="EJ119:EJ125" si="492">SUM(BW119:BY119)</f>
        <v>103195720.58246231</v>
      </c>
      <c r="EK119" s="297">
        <f t="shared" ref="EK119:EK125" si="493">SUM(BZ119:CB119)</f>
        <v>103240953.73853281</v>
      </c>
      <c r="EL119" s="297">
        <f t="shared" ref="EL119:EL125" si="494">SUM(CC119:CE119)</f>
        <v>110438517.90331686</v>
      </c>
      <c r="EM119" s="297">
        <f t="shared" ref="EM119:EM125" si="495">SUM(CF119:CH119)</f>
        <v>126382195.02500926</v>
      </c>
      <c r="EN119" s="297">
        <f t="shared" ref="EN119:EN125" si="496">SUM(CI119:CK119)</f>
        <v>147240874.85404027</v>
      </c>
      <c r="EO119" s="297">
        <f t="shared" ref="EO119:EO125" si="497">SUM(CL119:CN119)</f>
        <v>150101255.31100136</v>
      </c>
      <c r="EP119" s="297">
        <f t="shared" ref="EP119:EP125" si="498">SUM(CO119:CQ119)</f>
        <v>164748781.42003718</v>
      </c>
      <c r="EQ119" s="297">
        <f t="shared" ref="EQ119:EQ125" si="499">SUM(CR119:CT119)</f>
        <v>165572779.51184994</v>
      </c>
      <c r="ER119" s="297">
        <f t="shared" ref="ER119:ER125" si="500">SUM(CU119:CW119)</f>
        <v>163864907.2120325</v>
      </c>
      <c r="ES119" s="297">
        <f t="shared" ref="ES119:ES125" si="501">SUM(CX119:CZ119)</f>
        <v>162096458.63130265</v>
      </c>
      <c r="ET119" s="297">
        <f t="shared" ref="ET119:ET125" si="502">SUM(DA119:DC119)</f>
        <v>177976996.54074377</v>
      </c>
      <c r="EU119" s="297">
        <f t="shared" ref="EU119:EU125" si="503">SUM(DD119:DF119)</f>
        <v>196425670.38613451</v>
      </c>
      <c r="EV119" s="297">
        <f t="shared" ref="EV119:EV125" si="504">SUM(DG119:DI119)</f>
        <v>193859474.26659486</v>
      </c>
      <c r="EW119" s="297">
        <f t="shared" ref="EW119:EW125" si="505">SUM(DJ119:DL119)</f>
        <v>191253810.55445898</v>
      </c>
      <c r="EX119" s="297">
        <f t="shared" ref="EX119:EX125" si="506">SUM(DM119:DO119)</f>
        <v>209954161.96813133</v>
      </c>
      <c r="EY119" s="297">
        <f t="shared" ref="EY119:EY125" si="507">SUM(DP119:DR119)</f>
        <v>230952399.73729801</v>
      </c>
      <c r="EZ119" s="297">
        <f t="shared" ref="EZ119:EZ133" si="508">SUM(DS119:DU119)</f>
        <v>221409252.79089883</v>
      </c>
      <c r="FA119" s="297">
        <f t="shared" ref="FA119:FA133" si="509">SUM(DV119:DX119)</f>
        <v>218153276.45399055</v>
      </c>
      <c r="FB119" s="297">
        <f t="shared" ref="FB119:FB133" si="510">SUM(DY119:EA119)</f>
        <v>239868893.4090457</v>
      </c>
      <c r="FC119" s="297">
        <f t="shared" ref="FC119:FC133" si="511">SUM(EB119:ED119)</f>
        <v>264181511.43220603</v>
      </c>
      <c r="FE119" s="297">
        <f t="shared" ref="FE119:FE132" si="512">SUM(EF119:EI119)</f>
        <v>411527857.65208077</v>
      </c>
      <c r="FF119" s="297">
        <f t="shared" ref="FF119:FF132" si="513">SUM(EJ119:EM119)</f>
        <v>443257387.24932122</v>
      </c>
      <c r="FG119" s="297">
        <f t="shared" ref="FG119:FG132" si="514">SUM(EN119:EQ119)</f>
        <v>627663691.09692883</v>
      </c>
      <c r="FH119" s="297">
        <f t="shared" ref="FH119:FH132" si="515">SUM(ER119:EU119)</f>
        <v>700364032.77021337</v>
      </c>
      <c r="FI119" s="297">
        <f t="shared" ref="FI119:FI132" si="516">SUM(EV119:EY119)</f>
        <v>826019846.52648318</v>
      </c>
      <c r="FJ119" s="774">
        <f t="shared" si="207"/>
        <v>943612934.08614111</v>
      </c>
      <c r="FK119" s="545" t="s">
        <v>1</v>
      </c>
    </row>
    <row r="120" spans="2:167" x14ac:dyDescent="0.2">
      <c r="B120" s="225" t="s">
        <v>304</v>
      </c>
      <c r="C120" s="19">
        <f>'B2B- Non Repair'!C74</f>
        <v>1980988</v>
      </c>
      <c r="D120" s="19">
        <f>'B2B- Non Repair'!D74</f>
        <v>2116069</v>
      </c>
      <c r="E120" s="19">
        <f>'B2B- Non Repair'!E74</f>
        <v>2396018</v>
      </c>
      <c r="F120" s="19">
        <f>'B2B- Non Repair'!F74</f>
        <v>2631623</v>
      </c>
      <c r="G120" s="19">
        <f>'B2B- Non Repair'!G74</f>
        <v>2869257</v>
      </c>
      <c r="H120" s="19">
        <f>'B2B- Non Repair'!H74</f>
        <v>3128521</v>
      </c>
      <c r="I120" s="19">
        <f>'B2B- Non Repair'!I74</f>
        <v>3073497</v>
      </c>
      <c r="J120" s="19">
        <f>'B2B- Non Repair'!J74</f>
        <v>3352277</v>
      </c>
      <c r="K120" s="19">
        <f>'B2B- Non Repair'!K74</f>
        <v>4003488</v>
      </c>
      <c r="L120" s="19">
        <f>'B2B- Non Repair'!L74</f>
        <v>2801786</v>
      </c>
      <c r="M120" s="19">
        <f>'B2B- Non Repair'!M74</f>
        <v>3629808.25</v>
      </c>
      <c r="N120" s="19">
        <f>'B2B- Non Repair'!N74</f>
        <v>4217512</v>
      </c>
      <c r="O120" s="19">
        <f>'B2B- Non Repair'!O74</f>
        <v>4445375</v>
      </c>
      <c r="P120" s="19">
        <f>'B2B- Non Repair'!P74</f>
        <v>5025716</v>
      </c>
      <c r="Q120" s="19">
        <f>'B2B- Non Repair'!Q74</f>
        <v>5206596</v>
      </c>
      <c r="R120" s="19">
        <f>'B2B- Non Repair'!R74</f>
        <v>5239229</v>
      </c>
      <c r="S120" s="19">
        <f>'B2B- Non Repair'!S74</f>
        <v>4869706</v>
      </c>
      <c r="T120" s="19">
        <f>'B2B- Non Repair'!T74</f>
        <v>4625437</v>
      </c>
      <c r="U120" s="19">
        <f>'B2B- Non Repair'!U74</f>
        <v>4687865</v>
      </c>
      <c r="V120" s="19">
        <f>'B2B- Non Repair'!V74</f>
        <v>5330710</v>
      </c>
      <c r="W120" s="19">
        <f>'B2B- Non Repair'!W74</f>
        <v>5370232</v>
      </c>
      <c r="X120" s="19">
        <f>'B2B- Non Repair'!X74</f>
        <v>5572872</v>
      </c>
      <c r="Y120" s="19">
        <f>'B2B- Non Repair'!Y74</f>
        <v>5943825</v>
      </c>
      <c r="Z120" s="19">
        <f>'B2B- Non Repair'!Z74</f>
        <v>5861409.1283214195</v>
      </c>
      <c r="AA120" s="19">
        <f>'B2B- Non Repair'!AA74</f>
        <v>5194527.3597195782</v>
      </c>
      <c r="AB120" s="19">
        <f>'B2B- Non Repair'!AB74</f>
        <v>5436027</v>
      </c>
      <c r="AC120" s="19">
        <f>'B2B- Non Repair'!AC74</f>
        <v>5635612</v>
      </c>
      <c r="AD120" s="19">
        <f>'B2B- Non Repair'!AD74</f>
        <v>5472355</v>
      </c>
      <c r="AE120" s="19">
        <f>'B2B- Non Repair'!AE74</f>
        <v>6454815</v>
      </c>
      <c r="AF120" s="19">
        <f>'B2B- Non Repair'!AF74</f>
        <v>5621437</v>
      </c>
      <c r="AG120" s="19">
        <f>'B2B- Non Repair'!AG74</f>
        <v>6815341</v>
      </c>
      <c r="AH120" s="19">
        <f>'B2B- Non Repair'!AH74</f>
        <v>6206536</v>
      </c>
      <c r="AI120" s="19">
        <f>'B2B- Non Repair'!AI74</f>
        <v>6032646</v>
      </c>
      <c r="AJ120" s="19">
        <f>'B2B- Non Repair'!AJ74</f>
        <v>7278789</v>
      </c>
      <c r="AK120" s="19">
        <f>'B2B- Non Repair'!AK74</f>
        <v>7597247</v>
      </c>
      <c r="AL120" s="19">
        <f>'B2B- Non Repair'!AL74</f>
        <v>7036348</v>
      </c>
      <c r="AM120" s="19">
        <f>'B2B- Non Repair'!AM74</f>
        <v>7163087</v>
      </c>
      <c r="AN120" s="19">
        <f>'B2B- Non Repair'!AN74</f>
        <v>6290841</v>
      </c>
      <c r="AO120" s="19">
        <f>'B2B- Non Repair'!AO74</f>
        <v>7265443.8600000003</v>
      </c>
      <c r="AP120" s="19">
        <f>'B2B- Non Repair'!AP74</f>
        <v>9263088.7799999993</v>
      </c>
      <c r="AQ120" s="19">
        <f>'B2B- Non Repair'!AQ74</f>
        <v>10368587.106326077</v>
      </c>
      <c r="AR120" s="19">
        <f>'B2B- Non Repair'!AR74</f>
        <v>11137596.966909021</v>
      </c>
      <c r="AS120" s="19">
        <f>'B2B- Non Repair'!AS74</f>
        <v>11965347.088584751</v>
      </c>
      <c r="AT120" s="19">
        <f>'B2B- Non Repair'!AT74</f>
        <v>12225344</v>
      </c>
      <c r="AU120" s="19">
        <f>'B2B- Non Repair'!AU74</f>
        <v>11931371.563461538</v>
      </c>
      <c r="AV120" s="19">
        <f>'B2B- Non Repair'!AV74</f>
        <v>10983764.117948718</v>
      </c>
      <c r="AW120" s="19">
        <f>'B2B- Non Repair'!AW74</f>
        <v>12563472.35</v>
      </c>
      <c r="AX120" s="19">
        <f>'B2B- Non Repair'!AX74</f>
        <v>12430141</v>
      </c>
      <c r="AY120" s="19">
        <f>'B2B- Non Repair'!AY74</f>
        <v>11771588.869895713</v>
      </c>
      <c r="AZ120" s="19">
        <f>'B2B- Non Repair'!AZ74</f>
        <v>12332230.969019067</v>
      </c>
      <c r="BA120" s="19">
        <f>'B2B- Non Repair'!BA74</f>
        <v>11909063.359169491</v>
      </c>
      <c r="BB120" s="19">
        <f>'B2B- Non Repair'!BB74</f>
        <v>13747654.811635247</v>
      </c>
      <c r="BC120" s="19">
        <f>'B2B- Non Repair'!BC74</f>
        <v>15081284.328141298</v>
      </c>
      <c r="BD120" s="19">
        <f>'B2B- Non Repair'!BD74</f>
        <v>14633342.336707532</v>
      </c>
      <c r="BE120" s="19">
        <f>'B2B- Non Repair'!BE74</f>
        <v>14007492.220874872</v>
      </c>
      <c r="BF120" s="19">
        <f>'B2B- Non Repair'!BF74</f>
        <v>15234584.984776143</v>
      </c>
      <c r="BG120" s="19">
        <f>'B2B- Non Repair'!BG74</f>
        <v>16163234.158494797</v>
      </c>
      <c r="BH120" s="19">
        <f>'B2B- Non Repair'!BH74</f>
        <v>15946169.979977548</v>
      </c>
      <c r="BI120" s="19">
        <f>'B2B- Non Repair'!BI74</f>
        <v>14747974.088771598</v>
      </c>
      <c r="BJ120" s="19">
        <f>'B2B- Non Repair'!BJ74</f>
        <v>13876837.915013649</v>
      </c>
      <c r="BK120" s="19">
        <f>'B2B- Non Repair'!BK74</f>
        <v>11849225.840997901</v>
      </c>
      <c r="BL120" s="19">
        <f>'B2B- Non Repair'!BL74</f>
        <v>11391991.749390233</v>
      </c>
      <c r="BM120" s="19">
        <f>'B2B- Non Repair'!BM74</f>
        <v>10383235.623571785</v>
      </c>
      <c r="BN120" s="19">
        <f>'B2B- Non Repair'!BN74</f>
        <v>9326870.4554418698</v>
      </c>
      <c r="BO120" s="19">
        <f>'B2B- Non Repair'!BO74</f>
        <v>10085194.34857267</v>
      </c>
      <c r="BP120" s="19">
        <f>'B2B- Non Repair'!BP74</f>
        <v>10387540.308343828</v>
      </c>
      <c r="BQ120" s="19">
        <f>'B2B- Non Repair'!BQ74</f>
        <v>8961251.5122974701</v>
      </c>
      <c r="BR120" s="19">
        <f>'B2B- Non Repair'!BR74</f>
        <v>9551776.8720383495</v>
      </c>
      <c r="BS120" s="19">
        <f>'B2B- Non Repair'!BS74</f>
        <v>9104973.0170982368</v>
      </c>
      <c r="BT120" s="19">
        <f>'B2B- Non Repair'!BT74</f>
        <v>8270980.8376579992</v>
      </c>
      <c r="BU120" s="19">
        <f>'B2B- Non Repair'!BU74</f>
        <v>7992894.3729644809</v>
      </c>
      <c r="BV120" s="19">
        <f>'B2B- Non Repair'!BV74</f>
        <v>7625733.4863872835</v>
      </c>
      <c r="BW120" s="19">
        <f>'B2B- Non Repair'!BW74</f>
        <v>6901841.2953981385</v>
      </c>
      <c r="BX120" s="19">
        <f>'B2B- Non Repair'!BX74</f>
        <v>7316153.6723409696</v>
      </c>
      <c r="BY120" s="19">
        <f>'B2B- Non Repair'!BY74</f>
        <v>7198153.6734949844</v>
      </c>
      <c r="BZ120" s="19">
        <f>'B2B- Non Repair'!BZ74</f>
        <v>7783339.52752438</v>
      </c>
      <c r="CA120" s="19">
        <f>'B2B- Non Repair'!CA74</f>
        <v>6985447.9932982791</v>
      </c>
      <c r="CB120" s="19">
        <f>'B2B- Non Repair'!CB74</f>
        <v>7147934.8173326347</v>
      </c>
      <c r="CC120" s="19">
        <f>'B2B- Non Repair'!CC74</f>
        <v>7314653.9765428146</v>
      </c>
      <c r="CD120" s="19">
        <f>'B2B- Non Repair'!CD74</f>
        <v>7933928.0321638836</v>
      </c>
      <c r="CE120" s="19">
        <f>'B2B- Non Repair'!CE74</f>
        <v>8362386.2100695241</v>
      </c>
      <c r="CF120" s="19">
        <f>'B2B- Non Repair'!CF74</f>
        <v>9071399.1242741607</v>
      </c>
      <c r="CG120" s="19">
        <f>'B2B- Non Repair'!CG74</f>
        <v>9333639.5865437984</v>
      </c>
      <c r="CH120" s="19">
        <f>'B2B- Non Repair'!CH74</f>
        <v>8777968.5780643597</v>
      </c>
      <c r="CI120" s="19">
        <f>'B2B- Non Repair'!CI74</f>
        <v>8797665.8637100644</v>
      </c>
      <c r="CJ120" s="19">
        <f>'B2B- Non Repair'!CJ74</f>
        <v>8336108.2172275363</v>
      </c>
      <c r="CK120" s="19">
        <f>'B2B- Non Repair'!CK74</f>
        <v>9103987.1738874279</v>
      </c>
      <c r="CL120" s="19">
        <f>'B2B- Non Repair'!CL74</f>
        <v>10168756.107149877</v>
      </c>
      <c r="CM120" s="19">
        <f>'B2B- Non Repair'!CM74</f>
        <v>9123132.7479200531</v>
      </c>
      <c r="CN120" s="19">
        <f>'B2B- Non Repair'!CN74</f>
        <v>8891814.26394183</v>
      </c>
      <c r="CO120" s="19">
        <f>'B2B- Non Repair'!CO74</f>
        <v>9689256.6399642471</v>
      </c>
      <c r="CP120" s="19">
        <f>'B2B- Non Repair'!CP74</f>
        <v>11485340.490360165</v>
      </c>
      <c r="CQ120" s="19">
        <f>'B2B- Non Repair'!CQ74</f>
        <v>11145919.297739061</v>
      </c>
      <c r="CR120" s="19">
        <f>'B2B- Non Repair'!CR74</f>
        <v>10777689.339590345</v>
      </c>
      <c r="CS120" s="19">
        <f>'B2B- Non Repair'!CS74</f>
        <v>10488099.747429775</v>
      </c>
      <c r="CT120" s="19">
        <f>'B2B- Non Repair'!CT74</f>
        <v>11566286.433446035</v>
      </c>
      <c r="CU120" s="19">
        <f>'B2B- Non Repair'!CU74</f>
        <v>10927291.045953065</v>
      </c>
      <c r="CV120" s="19">
        <f>'B2B- Non Repair'!CV74</f>
        <v>11030678.505778695</v>
      </c>
      <c r="CW120" s="19">
        <f>'B2B- Non Repair'!CW74</f>
        <v>10864461.977993969</v>
      </c>
      <c r="CX120" s="19">
        <f>'B2B- Non Repair'!CX74</f>
        <v>10865063.128038231</v>
      </c>
      <c r="CY120" s="19">
        <f>'B2B- Non Repair'!CY74</f>
        <v>10673379.216896407</v>
      </c>
      <c r="CZ120" s="19">
        <f>'B2B- Non Repair'!CZ74</f>
        <v>10342531.405191911</v>
      </c>
      <c r="DA120" s="19">
        <f>'B2B- Non Repair'!DA74</f>
        <v>10725376.778866382</v>
      </c>
      <c r="DB120" s="19">
        <f>'B2B- Non Repair'!DB74</f>
        <v>11344130.843853367</v>
      </c>
      <c r="DC120" s="19">
        <f>'B2B- Non Repair'!DC74</f>
        <v>11714006.304731308</v>
      </c>
      <c r="DD120" s="19">
        <f>'B2B- Non Repair'!DD74</f>
        <v>11486998.82031092</v>
      </c>
      <c r="DE120" s="19">
        <f>'B2B- Non Repair'!DE74</f>
        <v>11404628.821460482</v>
      </c>
      <c r="DF120" s="19">
        <f>'B2B- Non Repair'!DF74</f>
        <v>11279847.034587745</v>
      </c>
      <c r="DG120" s="19">
        <f>'B2B- Non Repair'!DG74</f>
        <v>12214901.031809576</v>
      </c>
      <c r="DH120" s="19">
        <f>'B2B- Non Repair'!DH74</f>
        <v>12350597.072830716</v>
      </c>
      <c r="DI120" s="19">
        <f>'B2B- Non Repair'!DI74</f>
        <v>12132437.880113263</v>
      </c>
      <c r="DJ120" s="19">
        <f>'B2B- Non Repair'!DJ74</f>
        <v>12133226.889546359</v>
      </c>
      <c r="DK120" s="19">
        <f>'B2B- Non Repair'!DK74</f>
        <v>11881641.756172717</v>
      </c>
      <c r="DL120" s="19">
        <f>'B2B- Non Repair'!DL74</f>
        <v>11447404.003310565</v>
      </c>
      <c r="DM120" s="19">
        <f>'B2B- Non Repair'!DM74</f>
        <v>11949888.556258308</v>
      </c>
      <c r="DN120" s="19">
        <f>'B2B- Non Repair'!DN74</f>
        <v>12762003.266553728</v>
      </c>
      <c r="DO120" s="19">
        <f>'B2B- Non Repair'!DO74</f>
        <v>13247464.808956025</v>
      </c>
      <c r="DP120" s="19">
        <f>'B2B- Non Repair'!DP74</f>
        <v>12949517.485654265</v>
      </c>
      <c r="DQ120" s="19">
        <f>'B2B- Non Repair'!DQ74</f>
        <v>12841406.862163063</v>
      </c>
      <c r="DR120" s="19">
        <f>'B2B- Non Repair'!DR74</f>
        <v>12677630.766892597</v>
      </c>
      <c r="DS120" s="19">
        <f>'B2B- Non Repair'!DS74</f>
        <v>13603953.78863686</v>
      </c>
      <c r="DT120" s="19">
        <f>'B2B- Non Repair'!DT74</f>
        <v>13774930.800323496</v>
      </c>
      <c r="DU120" s="19">
        <f>'B2B- Non Repair'!DU74</f>
        <v>13500050.217499506</v>
      </c>
      <c r="DV120" s="19">
        <f>'B2B- Non Repair'!DV74</f>
        <v>13501044.369385205</v>
      </c>
      <c r="DW120" s="19">
        <f>'B2B- Non Repair'!DW74</f>
        <v>13184047.101334415</v>
      </c>
      <c r="DX120" s="19">
        <f>'B2B- Non Repair'!DX74</f>
        <v>12636907.532728106</v>
      </c>
      <c r="DY120" s="19">
        <f>'B2B- Non Repair'!DY74</f>
        <v>13270038.069442261</v>
      </c>
      <c r="DZ120" s="19">
        <f>'B2B- Non Repair'!DZ74</f>
        <v>14293302.604414489</v>
      </c>
      <c r="EA120" s="19">
        <f>'B2B- Non Repair'!EA74</f>
        <v>14904984.147841385</v>
      </c>
      <c r="EB120" s="19">
        <f>'B2B- Non Repair'!EB74</f>
        <v>14529570.520481165</v>
      </c>
      <c r="EC120" s="19">
        <f>'B2B- Non Repair'!EC74</f>
        <v>14393351.134882253</v>
      </c>
      <c r="ED120" s="19">
        <f>'B2B- Non Repair'!ED74</f>
        <v>14186993.254841467</v>
      </c>
      <c r="EE120" s="222"/>
      <c r="EF120" s="19">
        <f t="shared" si="488"/>
        <v>33624453.213959917</v>
      </c>
      <c r="EG120" s="19">
        <f t="shared" si="489"/>
        <v>29799605.112358369</v>
      </c>
      <c r="EH120" s="19">
        <f t="shared" si="490"/>
        <v>27618001.401434056</v>
      </c>
      <c r="EI120" s="19">
        <f t="shared" si="491"/>
        <v>23889608.697009765</v>
      </c>
      <c r="EJ120" s="19">
        <f t="shared" si="492"/>
        <v>21416148.641234092</v>
      </c>
      <c r="EK120" s="19">
        <f t="shared" si="493"/>
        <v>21916722.338155292</v>
      </c>
      <c r="EL120" s="19">
        <f t="shared" si="494"/>
        <v>23610968.218776222</v>
      </c>
      <c r="EM120" s="19">
        <f t="shared" si="495"/>
        <v>27183007.288882319</v>
      </c>
      <c r="EN120" s="19">
        <f t="shared" si="496"/>
        <v>26237761.25482503</v>
      </c>
      <c r="EO120" s="19">
        <f t="shared" si="497"/>
        <v>28183703.11901176</v>
      </c>
      <c r="EP120" s="19">
        <f t="shared" si="498"/>
        <v>32320516.428063475</v>
      </c>
      <c r="EQ120" s="19">
        <f t="shared" si="499"/>
        <v>32832075.520466156</v>
      </c>
      <c r="ER120" s="19">
        <f t="shared" si="500"/>
        <v>32822431.529725727</v>
      </c>
      <c r="ES120" s="19">
        <f t="shared" si="501"/>
        <v>31880973.750126548</v>
      </c>
      <c r="ET120" s="19">
        <f t="shared" si="502"/>
        <v>33783513.927451059</v>
      </c>
      <c r="EU120" s="19">
        <f t="shared" si="503"/>
        <v>34171474.676359147</v>
      </c>
      <c r="EV120" s="19">
        <f t="shared" si="504"/>
        <v>36697935.984753549</v>
      </c>
      <c r="EW120" s="19">
        <f t="shared" si="505"/>
        <v>35462272.649029642</v>
      </c>
      <c r="EX120" s="19">
        <f t="shared" si="506"/>
        <v>37959356.631768063</v>
      </c>
      <c r="EY120" s="19">
        <f t="shared" si="507"/>
        <v>38468555.114709929</v>
      </c>
      <c r="EZ120" s="19">
        <f t="shared" si="508"/>
        <v>40878934.806459859</v>
      </c>
      <c r="FA120" s="19">
        <f t="shared" si="509"/>
        <v>39321999.003447726</v>
      </c>
      <c r="FB120" s="19">
        <f t="shared" si="510"/>
        <v>42468324.821698137</v>
      </c>
      <c r="FC120" s="19">
        <f t="shared" si="511"/>
        <v>43109914.910204887</v>
      </c>
      <c r="FE120" s="19">
        <f t="shared" si="512"/>
        <v>114931668.4247621</v>
      </c>
      <c r="FF120" s="19">
        <f t="shared" si="513"/>
        <v>94126846.487047926</v>
      </c>
      <c r="FG120" s="19">
        <f t="shared" si="514"/>
        <v>119574056.32236642</v>
      </c>
      <c r="FH120" s="19">
        <f t="shared" si="515"/>
        <v>132658393.88366248</v>
      </c>
      <c r="FI120" s="19">
        <f t="shared" si="516"/>
        <v>148588120.38026118</v>
      </c>
      <c r="FJ120" s="770">
        <f t="shared" si="207"/>
        <v>165779173.5418106</v>
      </c>
      <c r="FK120" s="545" t="s">
        <v>1</v>
      </c>
    </row>
    <row r="121" spans="2:167" x14ac:dyDescent="0.2">
      <c r="B121" s="225" t="s">
        <v>139</v>
      </c>
      <c r="C121" s="19">
        <f>Refurbished!C77</f>
        <v>259742</v>
      </c>
      <c r="D121" s="19">
        <f>Refurbished!D77</f>
        <v>300887</v>
      </c>
      <c r="E121" s="19">
        <f>Refurbished!E77</f>
        <v>343726</v>
      </c>
      <c r="F121" s="19">
        <f>Refurbished!F77</f>
        <v>481425</v>
      </c>
      <c r="G121" s="19">
        <f>Refurbished!G77</f>
        <v>484377</v>
      </c>
      <c r="H121" s="19">
        <f>Refurbished!H77</f>
        <v>515353</v>
      </c>
      <c r="I121" s="19">
        <f>Refurbished!I77</f>
        <v>500586</v>
      </c>
      <c r="J121" s="19">
        <f>Refurbished!J77</f>
        <v>637103</v>
      </c>
      <c r="K121" s="19">
        <f>Refurbished!K77</f>
        <v>634462</v>
      </c>
      <c r="L121" s="19">
        <f>Refurbished!L77</f>
        <v>587868</v>
      </c>
      <c r="M121" s="19">
        <f>Refurbished!M77</f>
        <v>987758.00000000012</v>
      </c>
      <c r="N121" s="19">
        <f>Refurbished!N77</f>
        <v>1054562</v>
      </c>
      <c r="O121" s="19">
        <f>Refurbished!O77</f>
        <v>1190999</v>
      </c>
      <c r="P121" s="19">
        <f>Refurbished!P77</f>
        <v>1752771</v>
      </c>
      <c r="Q121" s="19">
        <f>Refurbished!Q77</f>
        <v>1161288</v>
      </c>
      <c r="R121" s="19">
        <f>Refurbished!R77</f>
        <v>1682294</v>
      </c>
      <c r="S121" s="19">
        <f>Refurbished!S77</f>
        <v>1321050</v>
      </c>
      <c r="T121" s="19">
        <f>Refurbished!T77</f>
        <v>1123104</v>
      </c>
      <c r="U121" s="19">
        <f>Refurbished!U77</f>
        <v>924172.99999999988</v>
      </c>
      <c r="V121" s="19">
        <f>Refurbished!V77</f>
        <v>811257.74</v>
      </c>
      <c r="W121" s="19">
        <f>Refurbished!W77</f>
        <v>1005673.21</v>
      </c>
      <c r="X121" s="19">
        <f>Refurbished!X77</f>
        <v>1253148.49</v>
      </c>
      <c r="Y121" s="19">
        <f>Refurbished!Y77</f>
        <v>1286061.3</v>
      </c>
      <c r="Z121" s="19">
        <f>Refurbished!Z77</f>
        <v>1057744.145</v>
      </c>
      <c r="AA121" s="19">
        <f>Refurbished!AA77</f>
        <v>405825.14028042229</v>
      </c>
      <c r="AB121" s="19">
        <f>Refurbished!AB77</f>
        <v>1062513.125</v>
      </c>
      <c r="AC121" s="19">
        <f>Refurbished!AC77</f>
        <v>2004392.1081472184</v>
      </c>
      <c r="AD121" s="19">
        <f>Refurbished!AD77</f>
        <v>2039043.5777892061</v>
      </c>
      <c r="AE121" s="19">
        <f>Refurbished!AE77</f>
        <v>1946761.6962844231</v>
      </c>
      <c r="AF121" s="19">
        <f>Refurbished!AF77</f>
        <v>2287501.343774756</v>
      </c>
      <c r="AG121" s="19">
        <f>Refurbished!AG77</f>
        <v>3199825.5423716963</v>
      </c>
      <c r="AH121" s="19">
        <f>Refurbished!AH77</f>
        <v>3089237.8634821256</v>
      </c>
      <c r="AI121" s="19">
        <f>Refurbished!AI77</f>
        <v>5168331.1871461933</v>
      </c>
      <c r="AJ121" s="19">
        <f>Refurbished!AJ77</f>
        <v>6372401.3377324315</v>
      </c>
      <c r="AK121" s="19">
        <f>Refurbished!AK77</f>
        <v>4285151.2777369712</v>
      </c>
      <c r="AL121" s="19">
        <f>Refurbished!AL77</f>
        <v>5288933.0203280449</v>
      </c>
      <c r="AM121" s="19">
        <f>Refurbished!AM77</f>
        <v>3874868.0238685994</v>
      </c>
      <c r="AN121" s="19">
        <f>Refurbished!AN77</f>
        <v>2622749.8669968774</v>
      </c>
      <c r="AO121" s="19">
        <f>Refurbished!AO77</f>
        <v>3844301.1103624334</v>
      </c>
      <c r="AP121" s="19">
        <f>Refurbished!AP77</f>
        <v>4273779.4598000012</v>
      </c>
      <c r="AQ121" s="19">
        <f>Refurbished!AQ77</f>
        <v>4567653.0572746126</v>
      </c>
      <c r="AR121" s="19">
        <f>Refurbished!AR77</f>
        <v>5151161.8950874945</v>
      </c>
      <c r="AS121" s="19">
        <f>Refurbished!AS77</f>
        <v>6721509.8675856935</v>
      </c>
      <c r="AT121" s="19">
        <f>Refurbished!AT77</f>
        <v>8316279.6539191194</v>
      </c>
      <c r="AU121" s="19">
        <f>Refurbished!AU77</f>
        <v>9331240.3771983739</v>
      </c>
      <c r="AV121" s="19">
        <f>Refurbished!AV77</f>
        <v>9297101.3204239905</v>
      </c>
      <c r="AW121" s="19">
        <f>Refurbished!AW77</f>
        <v>8953531.7857470736</v>
      </c>
      <c r="AX121" s="19">
        <f>Refurbished!AX77</f>
        <v>8647953.3099220563</v>
      </c>
      <c r="AY121" s="19">
        <f>Refurbished!AY77</f>
        <v>7247642.7740784176</v>
      </c>
      <c r="AZ121" s="19">
        <f>Refurbished!AZ77</f>
        <v>7834562.6383850798</v>
      </c>
      <c r="BA121" s="19">
        <f>Refurbished!BA77</f>
        <v>8553250.7169470415</v>
      </c>
      <c r="BB121" s="19">
        <f>Refurbished!BB77</f>
        <v>9269940.5866863225</v>
      </c>
      <c r="BC121" s="19">
        <f>Refurbished!BC77</f>
        <v>8036698.6208766317</v>
      </c>
      <c r="BD121" s="19">
        <f>Refurbished!BD77</f>
        <v>9028353.2293284349</v>
      </c>
      <c r="BE121" s="19">
        <f>Refurbished!BE77</f>
        <v>10784669.380432151</v>
      </c>
      <c r="BF121" s="19">
        <f>Refurbished!BF77</f>
        <v>10767489.368687917</v>
      </c>
      <c r="BG121" s="19">
        <f>Refurbished!BG77</f>
        <v>10273099.843354173</v>
      </c>
      <c r="BH121" s="19">
        <f>Refurbished!BH77</f>
        <v>10371995.149134673</v>
      </c>
      <c r="BI121" s="19">
        <f>Refurbished!BI77</f>
        <v>13530656.93392111</v>
      </c>
      <c r="BJ121" s="19">
        <f>Refurbished!BJ77</f>
        <v>24596486.359927692</v>
      </c>
      <c r="BK121" s="19">
        <f>Refurbished!BK77</f>
        <v>24652955.42536132</v>
      </c>
      <c r="BL121" s="19">
        <f>Refurbished!BL77</f>
        <v>22093981.074309364</v>
      </c>
      <c r="BM121" s="19">
        <f>Refurbished!BM77</f>
        <v>23799440.775466677</v>
      </c>
      <c r="BN121" s="19">
        <f>Refurbished!BN77</f>
        <v>20434946.65309681</v>
      </c>
      <c r="BO121" s="19">
        <f>Refurbished!BO77</f>
        <v>21389426.56514528</v>
      </c>
      <c r="BP121" s="19">
        <f>Refurbished!BP77</f>
        <v>21851677.278707456</v>
      </c>
      <c r="BQ121" s="19">
        <f>Refurbished!BQ77</f>
        <v>35062193.082518063</v>
      </c>
      <c r="BR121" s="19">
        <f>Refurbished!BR77</f>
        <v>25546594.537649602</v>
      </c>
      <c r="BS121" s="19">
        <f>Refurbished!BS77</f>
        <v>23623470.02596521</v>
      </c>
      <c r="BT121" s="19">
        <f>Refurbished!BT77</f>
        <v>23797227.034203131</v>
      </c>
      <c r="BU121" s="19">
        <f>Refurbished!BU77</f>
        <v>25645704.072109316</v>
      </c>
      <c r="BV121" s="19">
        <f>Refurbished!BV77</f>
        <v>28698572.702786423</v>
      </c>
      <c r="BW121" s="19">
        <f>Refurbished!BW77</f>
        <v>25303219.867993578</v>
      </c>
      <c r="BX121" s="19">
        <f>Refurbished!BX77</f>
        <v>27305226.264646206</v>
      </c>
      <c r="BY121" s="19">
        <f>Refurbished!BY77</f>
        <v>29171125.808588423</v>
      </c>
      <c r="BZ121" s="19">
        <f>Refurbished!BZ77</f>
        <v>30366182.903693564</v>
      </c>
      <c r="CA121" s="19">
        <f>Refurbished!CA77</f>
        <v>25848113.428560697</v>
      </c>
      <c r="CB121" s="19">
        <f>Refurbished!CB77</f>
        <v>25109935.068123266</v>
      </c>
      <c r="CC121" s="19">
        <f>Refurbished!CC77</f>
        <v>29919406.035890166</v>
      </c>
      <c r="CD121" s="19">
        <f>Refurbished!CD77</f>
        <v>27904452.693207178</v>
      </c>
      <c r="CE121" s="19">
        <f>Refurbished!CE77</f>
        <v>29003690.955443293</v>
      </c>
      <c r="CF121" s="19">
        <f>Refurbished!CF77</f>
        <v>31042545.03414268</v>
      </c>
      <c r="CG121" s="19">
        <f>Refurbished!CG77</f>
        <v>27166423.912037559</v>
      </c>
      <c r="CH121" s="19">
        <f>Refurbished!CH77</f>
        <v>40990218.789946713</v>
      </c>
      <c r="CI121" s="19">
        <f>Refurbished!CI77</f>
        <v>39635056.733587444</v>
      </c>
      <c r="CJ121" s="19">
        <f>Refurbished!CJ77</f>
        <v>39064855.649196118</v>
      </c>
      <c r="CK121" s="19">
        <f>Refurbished!CK77</f>
        <v>42303201.216431662</v>
      </c>
      <c r="CL121" s="19">
        <f>Refurbished!CL77</f>
        <v>44875004.818586975</v>
      </c>
      <c r="CM121" s="19">
        <f>Refurbished!CM77</f>
        <v>36589226.049496628</v>
      </c>
      <c r="CN121" s="19">
        <f>Refurbished!CN77</f>
        <v>40453321.323905982</v>
      </c>
      <c r="CO121" s="19">
        <f>Refurbished!CO77</f>
        <v>53362034.811345682</v>
      </c>
      <c r="CP121" s="19">
        <f>Refurbished!CP77</f>
        <v>38680694.957107082</v>
      </c>
      <c r="CQ121" s="19">
        <f>Refurbished!CQ77</f>
        <v>40385535.223520942</v>
      </c>
      <c r="CR121" s="19">
        <f>Refurbished!CR77</f>
        <v>44864827.078801945</v>
      </c>
      <c r="CS121" s="19">
        <f>Refurbished!CS77</f>
        <v>39667198.708331183</v>
      </c>
      <c r="CT121" s="19">
        <f>Refurbished!CT77</f>
        <v>48208678.204250678</v>
      </c>
      <c r="CU121" s="19">
        <f>Refurbished!CU77</f>
        <v>43802828.520379215</v>
      </c>
      <c r="CV121" s="19">
        <f>Refurbished!CV77</f>
        <v>43651335.965722509</v>
      </c>
      <c r="CW121" s="19">
        <f>Refurbished!CW77</f>
        <v>43588311.19620505</v>
      </c>
      <c r="CX121" s="19">
        <f>Refurbished!CX77</f>
        <v>45418388.23012349</v>
      </c>
      <c r="CY121" s="19">
        <f>Refurbished!CY77</f>
        <v>41980462.746965706</v>
      </c>
      <c r="CZ121" s="19">
        <f>Refurbished!CZ77</f>
        <v>42816633.90408691</v>
      </c>
      <c r="DA121" s="19">
        <f>Refurbished!DA77</f>
        <v>46128911.592322797</v>
      </c>
      <c r="DB121" s="19">
        <f>Refurbished!DB77</f>
        <v>44586471.457573682</v>
      </c>
      <c r="DC121" s="19">
        <f>Refurbished!DC77</f>
        <v>53478099.56339623</v>
      </c>
      <c r="DD121" s="19">
        <f>Refurbished!DD77</f>
        <v>56265774.59687379</v>
      </c>
      <c r="DE121" s="19">
        <f>Refurbished!DE77</f>
        <v>50205833.083047032</v>
      </c>
      <c r="DF121" s="19">
        <f>Refurbished!DF77</f>
        <v>55782588.029854521</v>
      </c>
      <c r="DG121" s="19">
        <f>Refurbished!DG77</f>
        <v>52544764.615516067</v>
      </c>
      <c r="DH121" s="19">
        <f>Refurbished!DH77</f>
        <v>52402100.074989125</v>
      </c>
      <c r="DI121" s="19">
        <f>Refurbished!DI77</f>
        <v>52214673.591336116</v>
      </c>
      <c r="DJ121" s="19">
        <f>Refurbished!DJ77</f>
        <v>54440920.998586938</v>
      </c>
      <c r="DK121" s="19">
        <f>Refurbished!DK77</f>
        <v>50221290.095540166</v>
      </c>
      <c r="DL121" s="19">
        <f>Refurbished!DL77</f>
        <v>51129326.81130226</v>
      </c>
      <c r="DM121" s="19">
        <f>Refurbished!DM77</f>
        <v>55133612.725997373</v>
      </c>
      <c r="DN121" s="19">
        <f>Refurbished!DN77</f>
        <v>53135511.668033689</v>
      </c>
      <c r="DO121" s="19">
        <f>Refurbished!DO77</f>
        <v>63725680.942332208</v>
      </c>
      <c r="DP121" s="19">
        <f>Refurbished!DP77</f>
        <v>66949511.805395573</v>
      </c>
      <c r="DQ121" s="19">
        <f>Refurbished!DQ77</f>
        <v>59584924.464030877</v>
      </c>
      <c r="DR121" s="19">
        <f>Refurbished!DR77</f>
        <v>65949408.35316164</v>
      </c>
      <c r="DS121" s="19">
        <f>Refurbished!DS77</f>
        <v>60371315.853714734</v>
      </c>
      <c r="DT121" s="19">
        <f>Refurbished!DT77</f>
        <v>60194123.838070795</v>
      </c>
      <c r="DU121" s="19">
        <f>Refurbished!DU77</f>
        <v>59964878.292653427</v>
      </c>
      <c r="DV121" s="19">
        <f>Refurbished!DV77</f>
        <v>62504041.66091691</v>
      </c>
      <c r="DW121" s="19">
        <f>Refurbished!DW77</f>
        <v>57617173.229505807</v>
      </c>
      <c r="DX121" s="19">
        <f>Refurbished!DX77</f>
        <v>58710062.560120098</v>
      </c>
      <c r="DY121" s="19">
        <f>Refurbished!DY77</f>
        <v>63234871.000823453</v>
      </c>
      <c r="DZ121" s="19">
        <f>Refurbished!DZ77</f>
        <v>60948881.249344677</v>
      </c>
      <c r="EA121" s="19">
        <f>Refurbished!EA77</f>
        <v>73216816.337179422</v>
      </c>
      <c r="EB121" s="19">
        <f>Refurbished!EB77</f>
        <v>76971287.836008415</v>
      </c>
      <c r="EC121" s="19">
        <f>Refurbished!EC77</f>
        <v>68390435.844893068</v>
      </c>
      <c r="ED121" s="19">
        <f>Refurbished!ED77</f>
        <v>75709872.84109965</v>
      </c>
      <c r="EE121" s="222"/>
      <c r="EF121" s="19">
        <f t="shared" si="488"/>
        <v>70546377.275137365</v>
      </c>
      <c r="EG121" s="19">
        <f t="shared" si="489"/>
        <v>63676050.496949553</v>
      </c>
      <c r="EH121" s="19">
        <f t="shared" si="490"/>
        <v>84232257.646132872</v>
      </c>
      <c r="EI121" s="19">
        <f t="shared" si="491"/>
        <v>78141503.80909887</v>
      </c>
      <c r="EJ121" s="19">
        <f t="shared" si="492"/>
        <v>81779571.941228211</v>
      </c>
      <c r="EK121" s="19">
        <f t="shared" si="493"/>
        <v>81324231.400377527</v>
      </c>
      <c r="EL121" s="19">
        <f t="shared" si="494"/>
        <v>86827549.684540629</v>
      </c>
      <c r="EM121" s="19">
        <f t="shared" si="495"/>
        <v>99199187.736126959</v>
      </c>
      <c r="EN121" s="19">
        <f t="shared" si="496"/>
        <v>121003113.59921522</v>
      </c>
      <c r="EO121" s="19">
        <f t="shared" si="497"/>
        <v>121917552.19198957</v>
      </c>
      <c r="EP121" s="19">
        <f t="shared" si="498"/>
        <v>132428264.9919737</v>
      </c>
      <c r="EQ121" s="19">
        <f t="shared" si="499"/>
        <v>132740703.99138381</v>
      </c>
      <c r="ER121" s="19">
        <f t="shared" si="500"/>
        <v>131042475.68230677</v>
      </c>
      <c r="ES121" s="19">
        <f t="shared" si="501"/>
        <v>130215484.88117611</v>
      </c>
      <c r="ET121" s="19">
        <f t="shared" si="502"/>
        <v>144193482.61329269</v>
      </c>
      <c r="EU121" s="19">
        <f t="shared" si="503"/>
        <v>162254195.70977533</v>
      </c>
      <c r="EV121" s="19">
        <f t="shared" si="504"/>
        <v>157161538.28184131</v>
      </c>
      <c r="EW121" s="19">
        <f t="shared" si="505"/>
        <v>155791537.90542936</v>
      </c>
      <c r="EX121" s="19">
        <f t="shared" si="506"/>
        <v>171994805.33636326</v>
      </c>
      <c r="EY121" s="19">
        <f t="shared" si="507"/>
        <v>192483844.6225881</v>
      </c>
      <c r="EZ121" s="19">
        <f t="shared" si="508"/>
        <v>180530317.98443896</v>
      </c>
      <c r="FA121" s="19">
        <f t="shared" si="509"/>
        <v>178831277.45054281</v>
      </c>
      <c r="FB121" s="19">
        <f t="shared" si="510"/>
        <v>197400568.58734757</v>
      </c>
      <c r="FC121" s="19">
        <f t="shared" si="511"/>
        <v>221071596.52200112</v>
      </c>
      <c r="FE121" s="19">
        <f t="shared" si="512"/>
        <v>296596189.22731864</v>
      </c>
      <c r="FF121" s="19">
        <f t="shared" si="513"/>
        <v>349130540.76227331</v>
      </c>
      <c r="FG121" s="19">
        <f t="shared" si="514"/>
        <v>508089634.7745623</v>
      </c>
      <c r="FH121" s="19">
        <f t="shared" si="515"/>
        <v>567705638.8865509</v>
      </c>
      <c r="FI121" s="19">
        <f t="shared" si="516"/>
        <v>677431726.146222</v>
      </c>
      <c r="FJ121" s="770">
        <f t="shared" si="207"/>
        <v>777833760.54433048</v>
      </c>
      <c r="FK121" s="545" t="s">
        <v>1</v>
      </c>
    </row>
    <row r="122" spans="2:167" x14ac:dyDescent="0.2">
      <c r="B122" s="225" t="s">
        <v>309</v>
      </c>
      <c r="C122" s="19">
        <v>0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>
        <v>0</v>
      </c>
      <c r="BC122" s="19">
        <v>0</v>
      </c>
      <c r="BD122" s="19">
        <v>0</v>
      </c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>
        <v>0</v>
      </c>
      <c r="BM122" s="19">
        <v>0</v>
      </c>
      <c r="BN122" s="19">
        <v>0</v>
      </c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>
        <v>0</v>
      </c>
      <c r="BW122" s="19">
        <v>0</v>
      </c>
      <c r="BX122" s="19">
        <v>0</v>
      </c>
      <c r="BY122" s="19">
        <v>0</v>
      </c>
      <c r="BZ122" s="19">
        <v>0</v>
      </c>
      <c r="CA122" s="19">
        <v>0</v>
      </c>
      <c r="CB122" s="19">
        <v>0</v>
      </c>
      <c r="CC122" s="19">
        <v>0</v>
      </c>
      <c r="CD122" s="19">
        <v>0</v>
      </c>
      <c r="CE122" s="19">
        <v>0</v>
      </c>
      <c r="CF122" s="19">
        <v>0</v>
      </c>
      <c r="CG122" s="19">
        <v>0</v>
      </c>
      <c r="CH122" s="19">
        <v>0</v>
      </c>
      <c r="CI122" s="19">
        <v>0</v>
      </c>
      <c r="CJ122" s="19">
        <v>0</v>
      </c>
      <c r="CK122" s="19">
        <v>0</v>
      </c>
      <c r="CL122" s="19">
        <v>0</v>
      </c>
      <c r="CM122" s="19">
        <v>0</v>
      </c>
      <c r="CN122" s="19">
        <v>0</v>
      </c>
      <c r="CO122" s="19">
        <v>0</v>
      </c>
      <c r="CP122" s="19">
        <v>0</v>
      </c>
      <c r="CQ122" s="19">
        <v>0</v>
      </c>
      <c r="CR122" s="19">
        <v>0</v>
      </c>
      <c r="CS122" s="19">
        <v>0</v>
      </c>
      <c r="CT122" s="19">
        <v>0</v>
      </c>
      <c r="CU122" s="19">
        <v>0</v>
      </c>
      <c r="CV122" s="19">
        <v>0</v>
      </c>
      <c r="CW122" s="19">
        <v>0</v>
      </c>
      <c r="CX122" s="19">
        <v>0</v>
      </c>
      <c r="CY122" s="19">
        <v>0</v>
      </c>
      <c r="CZ122" s="19">
        <v>0</v>
      </c>
      <c r="DA122" s="19">
        <v>0</v>
      </c>
      <c r="DB122" s="19">
        <v>0</v>
      </c>
      <c r="DC122" s="19">
        <v>0</v>
      </c>
      <c r="DD122" s="19">
        <v>0</v>
      </c>
      <c r="DE122" s="19">
        <v>0</v>
      </c>
      <c r="DF122" s="19">
        <v>0</v>
      </c>
      <c r="DG122" s="19">
        <v>0</v>
      </c>
      <c r="DH122" s="19">
        <v>0</v>
      </c>
      <c r="DI122" s="19">
        <v>0</v>
      </c>
      <c r="DJ122" s="19">
        <v>0</v>
      </c>
      <c r="DK122" s="19">
        <v>0</v>
      </c>
      <c r="DL122" s="19">
        <v>0</v>
      </c>
      <c r="DM122" s="19">
        <v>0</v>
      </c>
      <c r="DN122" s="19">
        <v>0</v>
      </c>
      <c r="DO122" s="19">
        <v>0</v>
      </c>
      <c r="DP122" s="19">
        <v>0</v>
      </c>
      <c r="DQ122" s="19">
        <v>0</v>
      </c>
      <c r="DR122" s="19">
        <v>0</v>
      </c>
      <c r="DS122" s="19">
        <v>0</v>
      </c>
      <c r="DT122" s="19">
        <v>0</v>
      </c>
      <c r="DU122" s="19">
        <v>0</v>
      </c>
      <c r="DV122" s="19">
        <v>0</v>
      </c>
      <c r="DW122" s="19">
        <v>0</v>
      </c>
      <c r="DX122" s="19">
        <v>0</v>
      </c>
      <c r="DY122" s="19">
        <v>0</v>
      </c>
      <c r="DZ122" s="19">
        <v>0</v>
      </c>
      <c r="EA122" s="19">
        <v>0</v>
      </c>
      <c r="EB122" s="19">
        <v>0</v>
      </c>
      <c r="EC122" s="19">
        <v>0</v>
      </c>
      <c r="ED122" s="19">
        <v>0</v>
      </c>
      <c r="EE122" s="222"/>
      <c r="EF122" s="19">
        <f t="shared" si="488"/>
        <v>0</v>
      </c>
      <c r="EG122" s="19">
        <f t="shared" si="489"/>
        <v>0</v>
      </c>
      <c r="EH122" s="19">
        <f t="shared" si="490"/>
        <v>0</v>
      </c>
      <c r="EI122" s="19">
        <f t="shared" si="491"/>
        <v>0</v>
      </c>
      <c r="EJ122" s="19">
        <f t="shared" si="492"/>
        <v>0</v>
      </c>
      <c r="EK122" s="19">
        <f t="shared" si="493"/>
        <v>0</v>
      </c>
      <c r="EL122" s="19">
        <f t="shared" si="494"/>
        <v>0</v>
      </c>
      <c r="EM122" s="19">
        <f t="shared" si="495"/>
        <v>0</v>
      </c>
      <c r="EN122" s="19">
        <f t="shared" si="496"/>
        <v>0</v>
      </c>
      <c r="EO122" s="19">
        <f t="shared" si="497"/>
        <v>0</v>
      </c>
      <c r="EP122" s="19">
        <f t="shared" si="498"/>
        <v>0</v>
      </c>
      <c r="EQ122" s="19">
        <f t="shared" si="499"/>
        <v>0</v>
      </c>
      <c r="ER122" s="19">
        <f t="shared" si="500"/>
        <v>0</v>
      </c>
      <c r="ES122" s="19">
        <f t="shared" si="501"/>
        <v>0</v>
      </c>
      <c r="ET122" s="19">
        <f t="shared" si="502"/>
        <v>0</v>
      </c>
      <c r="EU122" s="19">
        <f t="shared" si="503"/>
        <v>0</v>
      </c>
      <c r="EV122" s="19">
        <f t="shared" si="504"/>
        <v>0</v>
      </c>
      <c r="EW122" s="19">
        <f t="shared" si="505"/>
        <v>0</v>
      </c>
      <c r="EX122" s="19">
        <f t="shared" si="506"/>
        <v>0</v>
      </c>
      <c r="EY122" s="19">
        <f t="shared" si="507"/>
        <v>0</v>
      </c>
      <c r="EZ122" s="19">
        <f t="shared" si="508"/>
        <v>0</v>
      </c>
      <c r="FA122" s="19">
        <f t="shared" si="509"/>
        <v>0</v>
      </c>
      <c r="FB122" s="19">
        <f t="shared" si="510"/>
        <v>0</v>
      </c>
      <c r="FC122" s="19">
        <f t="shared" si="511"/>
        <v>0</v>
      </c>
      <c r="FE122" s="19">
        <f t="shared" si="512"/>
        <v>0</v>
      </c>
      <c r="FF122" s="19">
        <f t="shared" si="513"/>
        <v>0</v>
      </c>
      <c r="FG122" s="19">
        <f t="shared" si="514"/>
        <v>0</v>
      </c>
      <c r="FH122" s="19">
        <f t="shared" si="515"/>
        <v>0</v>
      </c>
      <c r="FI122" s="19">
        <f t="shared" si="516"/>
        <v>0</v>
      </c>
      <c r="FJ122" s="770">
        <f t="shared" si="207"/>
        <v>0</v>
      </c>
      <c r="FK122" s="545" t="s">
        <v>1</v>
      </c>
    </row>
    <row r="123" spans="2:167" x14ac:dyDescent="0.2">
      <c r="B123" s="225" t="s">
        <v>310</v>
      </c>
      <c r="C123" s="19">
        <v>0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>
        <v>0</v>
      </c>
      <c r="BM123" s="19">
        <v>0</v>
      </c>
      <c r="BN123" s="19">
        <v>0</v>
      </c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>
        <v>0</v>
      </c>
      <c r="BW123" s="19">
        <v>0</v>
      </c>
      <c r="BX123" s="19">
        <v>0</v>
      </c>
      <c r="BY123" s="19">
        <v>0</v>
      </c>
      <c r="BZ123" s="19">
        <v>0</v>
      </c>
      <c r="CA123" s="19">
        <v>0</v>
      </c>
      <c r="CB123" s="19">
        <v>0</v>
      </c>
      <c r="CC123" s="19">
        <v>0</v>
      </c>
      <c r="CD123" s="19">
        <v>0</v>
      </c>
      <c r="CE123" s="19">
        <v>0</v>
      </c>
      <c r="CF123" s="19">
        <v>0</v>
      </c>
      <c r="CG123" s="19">
        <v>0</v>
      </c>
      <c r="CH123" s="19">
        <v>0</v>
      </c>
      <c r="CI123" s="19">
        <v>0</v>
      </c>
      <c r="CJ123" s="19">
        <v>0</v>
      </c>
      <c r="CK123" s="19">
        <v>0</v>
      </c>
      <c r="CL123" s="19">
        <v>0</v>
      </c>
      <c r="CM123" s="19">
        <v>0</v>
      </c>
      <c r="CN123" s="19">
        <v>0</v>
      </c>
      <c r="CO123" s="19">
        <v>0</v>
      </c>
      <c r="CP123" s="19">
        <v>0</v>
      </c>
      <c r="CQ123" s="19">
        <v>0</v>
      </c>
      <c r="CR123" s="19">
        <v>0</v>
      </c>
      <c r="CS123" s="19">
        <v>0</v>
      </c>
      <c r="CT123" s="19">
        <v>0</v>
      </c>
      <c r="CU123" s="19">
        <v>0</v>
      </c>
      <c r="CV123" s="19">
        <v>0</v>
      </c>
      <c r="CW123" s="19">
        <v>0</v>
      </c>
      <c r="CX123" s="19">
        <v>0</v>
      </c>
      <c r="CY123" s="19">
        <v>0</v>
      </c>
      <c r="CZ123" s="19">
        <v>0</v>
      </c>
      <c r="DA123" s="19">
        <v>0</v>
      </c>
      <c r="DB123" s="19">
        <v>0</v>
      </c>
      <c r="DC123" s="19">
        <v>0</v>
      </c>
      <c r="DD123" s="19">
        <v>0</v>
      </c>
      <c r="DE123" s="19">
        <v>0</v>
      </c>
      <c r="DF123" s="19">
        <v>0</v>
      </c>
      <c r="DG123" s="19">
        <v>0</v>
      </c>
      <c r="DH123" s="19">
        <v>0</v>
      </c>
      <c r="DI123" s="19">
        <v>0</v>
      </c>
      <c r="DJ123" s="19">
        <v>0</v>
      </c>
      <c r="DK123" s="19">
        <v>0</v>
      </c>
      <c r="DL123" s="19">
        <v>0</v>
      </c>
      <c r="DM123" s="19">
        <v>0</v>
      </c>
      <c r="DN123" s="19">
        <v>0</v>
      </c>
      <c r="DO123" s="19">
        <v>0</v>
      </c>
      <c r="DP123" s="19">
        <v>0</v>
      </c>
      <c r="DQ123" s="19">
        <v>0</v>
      </c>
      <c r="DR123" s="19">
        <v>0</v>
      </c>
      <c r="DS123" s="19">
        <v>0</v>
      </c>
      <c r="DT123" s="19">
        <v>0</v>
      </c>
      <c r="DU123" s="19">
        <v>0</v>
      </c>
      <c r="DV123" s="19">
        <v>0</v>
      </c>
      <c r="DW123" s="19">
        <v>0</v>
      </c>
      <c r="DX123" s="19">
        <v>0</v>
      </c>
      <c r="DY123" s="19">
        <v>0</v>
      </c>
      <c r="DZ123" s="19">
        <v>0</v>
      </c>
      <c r="EA123" s="19">
        <v>0</v>
      </c>
      <c r="EB123" s="19">
        <v>0</v>
      </c>
      <c r="EC123" s="19">
        <v>0</v>
      </c>
      <c r="ED123" s="19">
        <v>0</v>
      </c>
      <c r="EE123" s="222"/>
      <c r="EF123" s="19">
        <f t="shared" si="488"/>
        <v>0</v>
      </c>
      <c r="EG123" s="19">
        <f t="shared" si="489"/>
        <v>0</v>
      </c>
      <c r="EH123" s="19">
        <f t="shared" si="490"/>
        <v>0</v>
      </c>
      <c r="EI123" s="19">
        <f t="shared" si="491"/>
        <v>0</v>
      </c>
      <c r="EJ123" s="19">
        <f t="shared" si="492"/>
        <v>0</v>
      </c>
      <c r="EK123" s="19">
        <f t="shared" si="493"/>
        <v>0</v>
      </c>
      <c r="EL123" s="19">
        <f t="shared" si="494"/>
        <v>0</v>
      </c>
      <c r="EM123" s="19">
        <f t="shared" si="495"/>
        <v>0</v>
      </c>
      <c r="EN123" s="19">
        <f t="shared" si="496"/>
        <v>0</v>
      </c>
      <c r="EO123" s="19">
        <f t="shared" si="497"/>
        <v>0</v>
      </c>
      <c r="EP123" s="19">
        <f t="shared" si="498"/>
        <v>0</v>
      </c>
      <c r="EQ123" s="19">
        <f t="shared" si="499"/>
        <v>0</v>
      </c>
      <c r="ER123" s="19">
        <f t="shared" si="500"/>
        <v>0</v>
      </c>
      <c r="ES123" s="19">
        <f t="shared" si="501"/>
        <v>0</v>
      </c>
      <c r="ET123" s="19">
        <f t="shared" si="502"/>
        <v>0</v>
      </c>
      <c r="EU123" s="19">
        <f t="shared" si="503"/>
        <v>0</v>
      </c>
      <c r="EV123" s="19">
        <f t="shared" si="504"/>
        <v>0</v>
      </c>
      <c r="EW123" s="19">
        <f t="shared" si="505"/>
        <v>0</v>
      </c>
      <c r="EX123" s="19">
        <f t="shared" si="506"/>
        <v>0</v>
      </c>
      <c r="EY123" s="19">
        <f t="shared" si="507"/>
        <v>0</v>
      </c>
      <c r="EZ123" s="19">
        <f t="shared" si="508"/>
        <v>0</v>
      </c>
      <c r="FA123" s="19">
        <f t="shared" si="509"/>
        <v>0</v>
      </c>
      <c r="FB123" s="19">
        <f t="shared" si="510"/>
        <v>0</v>
      </c>
      <c r="FC123" s="19">
        <f t="shared" si="511"/>
        <v>0</v>
      </c>
      <c r="FE123" s="19">
        <f t="shared" si="512"/>
        <v>0</v>
      </c>
      <c r="FF123" s="19">
        <f t="shared" si="513"/>
        <v>0</v>
      </c>
      <c r="FG123" s="19">
        <f t="shared" si="514"/>
        <v>0</v>
      </c>
      <c r="FH123" s="19">
        <f t="shared" si="515"/>
        <v>0</v>
      </c>
      <c r="FI123" s="19">
        <f t="shared" si="516"/>
        <v>0</v>
      </c>
      <c r="FJ123" s="770">
        <f t="shared" si="207"/>
        <v>0</v>
      </c>
      <c r="FK123" s="545" t="s">
        <v>1</v>
      </c>
    </row>
    <row r="124" spans="2:167" x14ac:dyDescent="0.2">
      <c r="B124" s="225" t="s">
        <v>311</v>
      </c>
      <c r="C124" s="19">
        <v>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>
        <v>0</v>
      </c>
      <c r="BM124" s="19">
        <v>0</v>
      </c>
      <c r="BN124" s="19">
        <v>0</v>
      </c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>
        <v>0</v>
      </c>
      <c r="BW124" s="19">
        <v>0</v>
      </c>
      <c r="BX124" s="19">
        <v>0</v>
      </c>
      <c r="BY124" s="19">
        <v>0</v>
      </c>
      <c r="BZ124" s="19">
        <v>0</v>
      </c>
      <c r="CA124" s="19">
        <v>0</v>
      </c>
      <c r="CB124" s="19">
        <v>0</v>
      </c>
      <c r="CC124" s="19">
        <v>0</v>
      </c>
      <c r="CD124" s="19">
        <v>0</v>
      </c>
      <c r="CE124" s="19">
        <v>0</v>
      </c>
      <c r="CF124" s="19">
        <v>0</v>
      </c>
      <c r="CG124" s="19">
        <v>0</v>
      </c>
      <c r="CH124" s="19">
        <v>0</v>
      </c>
      <c r="CI124" s="19">
        <v>0</v>
      </c>
      <c r="CJ124" s="19">
        <v>0</v>
      </c>
      <c r="CK124" s="19">
        <v>0</v>
      </c>
      <c r="CL124" s="19">
        <v>0</v>
      </c>
      <c r="CM124" s="19">
        <v>0</v>
      </c>
      <c r="CN124" s="19">
        <v>0</v>
      </c>
      <c r="CO124" s="19">
        <v>0</v>
      </c>
      <c r="CP124" s="19">
        <v>0</v>
      </c>
      <c r="CQ124" s="19">
        <v>0</v>
      </c>
      <c r="CR124" s="19">
        <v>0</v>
      </c>
      <c r="CS124" s="19">
        <v>0</v>
      </c>
      <c r="CT124" s="19">
        <v>0</v>
      </c>
      <c r="CU124" s="19">
        <v>0</v>
      </c>
      <c r="CV124" s="19">
        <v>0</v>
      </c>
      <c r="CW124" s="19">
        <v>0</v>
      </c>
      <c r="CX124" s="19">
        <v>0</v>
      </c>
      <c r="CY124" s="19">
        <v>0</v>
      </c>
      <c r="CZ124" s="19">
        <v>0</v>
      </c>
      <c r="DA124" s="19">
        <v>0</v>
      </c>
      <c r="DB124" s="19">
        <v>0</v>
      </c>
      <c r="DC124" s="19">
        <v>0</v>
      </c>
      <c r="DD124" s="19">
        <v>0</v>
      </c>
      <c r="DE124" s="19">
        <v>0</v>
      </c>
      <c r="DF124" s="19">
        <v>0</v>
      </c>
      <c r="DG124" s="19">
        <v>0</v>
      </c>
      <c r="DH124" s="19">
        <v>0</v>
      </c>
      <c r="DI124" s="19">
        <v>0</v>
      </c>
      <c r="DJ124" s="19">
        <v>0</v>
      </c>
      <c r="DK124" s="19">
        <v>0</v>
      </c>
      <c r="DL124" s="19">
        <v>0</v>
      </c>
      <c r="DM124" s="19">
        <v>0</v>
      </c>
      <c r="DN124" s="19">
        <v>0</v>
      </c>
      <c r="DO124" s="19">
        <v>0</v>
      </c>
      <c r="DP124" s="19">
        <v>0</v>
      </c>
      <c r="DQ124" s="19">
        <v>0</v>
      </c>
      <c r="DR124" s="19">
        <v>0</v>
      </c>
      <c r="DS124" s="19">
        <v>0</v>
      </c>
      <c r="DT124" s="19">
        <v>0</v>
      </c>
      <c r="DU124" s="19">
        <v>0</v>
      </c>
      <c r="DV124" s="19">
        <v>0</v>
      </c>
      <c r="DW124" s="19">
        <v>0</v>
      </c>
      <c r="DX124" s="19">
        <v>0</v>
      </c>
      <c r="DY124" s="19">
        <v>0</v>
      </c>
      <c r="DZ124" s="19">
        <v>0</v>
      </c>
      <c r="EA124" s="19">
        <v>0</v>
      </c>
      <c r="EB124" s="19">
        <v>0</v>
      </c>
      <c r="EC124" s="19">
        <v>0</v>
      </c>
      <c r="ED124" s="19">
        <v>0</v>
      </c>
      <c r="EE124" s="222"/>
      <c r="EF124" s="19">
        <f t="shared" si="488"/>
        <v>0</v>
      </c>
      <c r="EG124" s="19">
        <f t="shared" si="489"/>
        <v>0</v>
      </c>
      <c r="EH124" s="19">
        <f t="shared" si="490"/>
        <v>0</v>
      </c>
      <c r="EI124" s="19">
        <f t="shared" si="491"/>
        <v>0</v>
      </c>
      <c r="EJ124" s="19">
        <f t="shared" si="492"/>
        <v>0</v>
      </c>
      <c r="EK124" s="19">
        <f t="shared" si="493"/>
        <v>0</v>
      </c>
      <c r="EL124" s="19">
        <f t="shared" si="494"/>
        <v>0</v>
      </c>
      <c r="EM124" s="19">
        <f t="shared" si="495"/>
        <v>0</v>
      </c>
      <c r="EN124" s="19">
        <f t="shared" si="496"/>
        <v>0</v>
      </c>
      <c r="EO124" s="19">
        <f t="shared" si="497"/>
        <v>0</v>
      </c>
      <c r="EP124" s="19">
        <f t="shared" si="498"/>
        <v>0</v>
      </c>
      <c r="EQ124" s="19">
        <f t="shared" si="499"/>
        <v>0</v>
      </c>
      <c r="ER124" s="19">
        <f t="shared" si="500"/>
        <v>0</v>
      </c>
      <c r="ES124" s="19">
        <f t="shared" si="501"/>
        <v>0</v>
      </c>
      <c r="ET124" s="19">
        <f t="shared" si="502"/>
        <v>0</v>
      </c>
      <c r="EU124" s="19">
        <f t="shared" si="503"/>
        <v>0</v>
      </c>
      <c r="EV124" s="19">
        <f t="shared" si="504"/>
        <v>0</v>
      </c>
      <c r="EW124" s="19">
        <f t="shared" si="505"/>
        <v>0</v>
      </c>
      <c r="EX124" s="19">
        <f t="shared" si="506"/>
        <v>0</v>
      </c>
      <c r="EY124" s="19">
        <f t="shared" si="507"/>
        <v>0</v>
      </c>
      <c r="EZ124" s="19">
        <f t="shared" si="508"/>
        <v>0</v>
      </c>
      <c r="FA124" s="19">
        <f t="shared" si="509"/>
        <v>0</v>
      </c>
      <c r="FB124" s="19">
        <f t="shared" si="510"/>
        <v>0</v>
      </c>
      <c r="FC124" s="19">
        <f t="shared" si="511"/>
        <v>0</v>
      </c>
      <c r="FE124" s="19">
        <f t="shared" si="512"/>
        <v>0</v>
      </c>
      <c r="FF124" s="19">
        <f t="shared" si="513"/>
        <v>0</v>
      </c>
      <c r="FG124" s="19">
        <f t="shared" si="514"/>
        <v>0</v>
      </c>
      <c r="FH124" s="19">
        <f t="shared" si="515"/>
        <v>0</v>
      </c>
      <c r="FI124" s="19">
        <f t="shared" si="516"/>
        <v>0</v>
      </c>
      <c r="FJ124" s="770">
        <f t="shared" si="207"/>
        <v>0</v>
      </c>
      <c r="FK124" s="545" t="s">
        <v>1</v>
      </c>
    </row>
    <row r="125" spans="2:167" x14ac:dyDescent="0.2">
      <c r="B125" s="225" t="s">
        <v>191</v>
      </c>
      <c r="C125" s="19">
        <v>531199.85714285716</v>
      </c>
      <c r="D125" s="19">
        <v>583013.28571428568</v>
      </c>
      <c r="E125" s="19">
        <v>700247.57142857148</v>
      </c>
      <c r="F125" s="19">
        <v>855551.14285714284</v>
      </c>
      <c r="G125" s="19">
        <v>986558.42857142864</v>
      </c>
      <c r="H125" s="19">
        <v>1275733.5714285714</v>
      </c>
      <c r="I125" s="19">
        <v>1422624.7142857141</v>
      </c>
      <c r="J125" s="19">
        <v>1651412.8571428573</v>
      </c>
      <c r="K125" s="19">
        <v>2133427.8362857141</v>
      </c>
      <c r="L125" s="19">
        <v>2308360.5051428573</v>
      </c>
      <c r="M125" s="19">
        <v>3125187.8385714288</v>
      </c>
      <c r="N125" s="19">
        <v>3362972.6673523802</v>
      </c>
      <c r="O125" s="19">
        <v>3468885.3369573317</v>
      </c>
      <c r="P125" s="19">
        <v>3511641.697619047</v>
      </c>
      <c r="Q125" s="19">
        <v>3766303.027619048</v>
      </c>
      <c r="R125" s="19">
        <v>3273644.9513333333</v>
      </c>
      <c r="S125" s="19">
        <v>3026956</v>
      </c>
      <c r="T125" s="19">
        <v>2676203.6</v>
      </c>
      <c r="U125" s="19">
        <v>2474898.4</v>
      </c>
      <c r="V125" s="19">
        <v>2284648</v>
      </c>
      <c r="W125" s="19">
        <v>2380789</v>
      </c>
      <c r="X125" s="19">
        <v>2245342</v>
      </c>
      <c r="Y125" s="19">
        <v>2169345.166666667</v>
      </c>
      <c r="Z125" s="19">
        <v>2127229.4591666702</v>
      </c>
      <c r="AA125" s="19">
        <v>608680</v>
      </c>
      <c r="AB125" s="19">
        <v>830472.47809523798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>
        <v>0</v>
      </c>
      <c r="BM125" s="19">
        <v>0</v>
      </c>
      <c r="BN125" s="19">
        <v>0</v>
      </c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>
        <v>0</v>
      </c>
      <c r="BW125" s="19">
        <v>0</v>
      </c>
      <c r="BX125" s="19">
        <v>0</v>
      </c>
      <c r="BY125" s="19">
        <v>0</v>
      </c>
      <c r="BZ125" s="19">
        <v>0</v>
      </c>
      <c r="CA125" s="19">
        <v>0</v>
      </c>
      <c r="CB125" s="19">
        <v>0</v>
      </c>
      <c r="CC125" s="19">
        <v>0</v>
      </c>
      <c r="CD125" s="19">
        <v>0</v>
      </c>
      <c r="CE125" s="19">
        <v>0</v>
      </c>
      <c r="CF125" s="19">
        <v>0</v>
      </c>
      <c r="CG125" s="19">
        <v>0</v>
      </c>
      <c r="CH125" s="19">
        <v>0</v>
      </c>
      <c r="CI125" s="19">
        <v>0</v>
      </c>
      <c r="CJ125" s="19">
        <v>0</v>
      </c>
      <c r="CK125" s="19">
        <v>0</v>
      </c>
      <c r="CL125" s="19">
        <v>0</v>
      </c>
      <c r="CM125" s="19">
        <v>0</v>
      </c>
      <c r="CN125" s="19">
        <v>0</v>
      </c>
      <c r="CO125" s="19">
        <v>0</v>
      </c>
      <c r="CP125" s="19">
        <v>0</v>
      </c>
      <c r="CQ125" s="19">
        <v>0</v>
      </c>
      <c r="CR125" s="19">
        <v>0</v>
      </c>
      <c r="CS125" s="19">
        <v>0</v>
      </c>
      <c r="CT125" s="19">
        <v>0</v>
      </c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222"/>
      <c r="EF125" s="19">
        <f t="shared" si="488"/>
        <v>0</v>
      </c>
      <c r="EG125" s="19">
        <f t="shared" si="489"/>
        <v>0</v>
      </c>
      <c r="EH125" s="19">
        <f t="shared" si="490"/>
        <v>0</v>
      </c>
      <c r="EI125" s="19">
        <f t="shared" si="491"/>
        <v>0</v>
      </c>
      <c r="EJ125" s="19">
        <f t="shared" si="492"/>
        <v>0</v>
      </c>
      <c r="EK125" s="19">
        <f t="shared" si="493"/>
        <v>0</v>
      </c>
      <c r="EL125" s="19">
        <f t="shared" si="494"/>
        <v>0</v>
      </c>
      <c r="EM125" s="19">
        <f t="shared" si="495"/>
        <v>0</v>
      </c>
      <c r="EN125" s="19">
        <f t="shared" si="496"/>
        <v>0</v>
      </c>
      <c r="EO125" s="19">
        <f t="shared" si="497"/>
        <v>0</v>
      </c>
      <c r="EP125" s="19">
        <f t="shared" si="498"/>
        <v>0</v>
      </c>
      <c r="EQ125" s="19">
        <f t="shared" si="499"/>
        <v>0</v>
      </c>
      <c r="ER125" s="19">
        <f t="shared" si="500"/>
        <v>0</v>
      </c>
      <c r="ES125" s="19">
        <f t="shared" si="501"/>
        <v>0</v>
      </c>
      <c r="ET125" s="19">
        <f t="shared" si="502"/>
        <v>0</v>
      </c>
      <c r="EU125" s="19">
        <f t="shared" si="503"/>
        <v>0</v>
      </c>
      <c r="EV125" s="19">
        <f t="shared" si="504"/>
        <v>0</v>
      </c>
      <c r="EW125" s="19">
        <f t="shared" si="505"/>
        <v>0</v>
      </c>
      <c r="EX125" s="19">
        <f t="shared" si="506"/>
        <v>0</v>
      </c>
      <c r="EY125" s="19">
        <f t="shared" si="507"/>
        <v>0</v>
      </c>
      <c r="EZ125" s="19">
        <f t="shared" si="508"/>
        <v>0</v>
      </c>
      <c r="FA125" s="19">
        <f t="shared" si="509"/>
        <v>0</v>
      </c>
      <c r="FB125" s="19">
        <f t="shared" si="510"/>
        <v>0</v>
      </c>
      <c r="FC125" s="19">
        <f t="shared" si="511"/>
        <v>0</v>
      </c>
      <c r="FE125" s="19">
        <f t="shared" si="512"/>
        <v>0</v>
      </c>
      <c r="FF125" s="19">
        <f t="shared" si="513"/>
        <v>0</v>
      </c>
      <c r="FG125" s="19">
        <f t="shared" si="514"/>
        <v>0</v>
      </c>
      <c r="FH125" s="19">
        <f t="shared" si="515"/>
        <v>0</v>
      </c>
      <c r="FI125" s="19">
        <f t="shared" si="516"/>
        <v>0</v>
      </c>
      <c r="FJ125" s="770">
        <f t="shared" si="207"/>
        <v>0</v>
      </c>
      <c r="FK125" s="545" t="s">
        <v>1</v>
      </c>
    </row>
    <row r="126" spans="2:167" x14ac:dyDescent="0.2">
      <c r="B126" s="225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222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E126" s="19"/>
      <c r="FF126" s="19"/>
      <c r="FG126" s="19"/>
      <c r="FH126" s="19"/>
      <c r="FI126" s="19"/>
      <c r="FJ126" s="770"/>
      <c r="FK126" s="545"/>
    </row>
    <row r="127" spans="2:167" x14ac:dyDescent="0.2">
      <c r="B127" s="225" t="s">
        <v>33</v>
      </c>
      <c r="C127" s="19">
        <f>'B2B- Non Repair'!C75+Refurbished!C82+'Screen Pro'!B23</f>
        <v>100000</v>
      </c>
      <c r="D127" s="19">
        <f>'B2B- Non Repair'!D75+Refurbished!D82+'Screen Pro'!C23</f>
        <v>100000</v>
      </c>
      <c r="E127" s="19">
        <f>'B2B- Non Repair'!E75+Refurbished!E82+'Screen Pro'!D23</f>
        <v>100000</v>
      </c>
      <c r="F127" s="19">
        <f>'B2B- Non Repair'!F75+Refurbished!F82+'Screen Pro'!E23</f>
        <v>100000</v>
      </c>
      <c r="G127" s="19">
        <f>'B2B- Non Repair'!G75+Refurbished!G82+'Screen Pro'!F23</f>
        <v>100000</v>
      </c>
      <c r="H127" s="19">
        <f>'B2B- Non Repair'!H75+Refurbished!H82+'Screen Pro'!G23</f>
        <v>100000</v>
      </c>
      <c r="I127" s="19">
        <f>'B2B- Non Repair'!I75+Refurbished!I82+'Screen Pro'!H23</f>
        <v>100000</v>
      </c>
      <c r="J127" s="19">
        <f>'B2B- Non Repair'!J75+Refurbished!J82+'Screen Pro'!I23</f>
        <v>100000</v>
      </c>
      <c r="K127" s="19">
        <f>'B2B- Non Repair'!K75+Refurbished!K82+'Screen Pro'!J23</f>
        <v>1513276</v>
      </c>
      <c r="L127" s="19">
        <f>'B2B- Non Repair'!L75+Refurbished!L82+'Screen Pro'!K23</f>
        <v>219986</v>
      </c>
      <c r="M127" s="19">
        <f>'B2B- Non Repair'!M75+Refurbished!M82+'Screen Pro'!L23</f>
        <v>269870.25</v>
      </c>
      <c r="N127" s="19">
        <f>'B2B- Non Repair'!N75+Refurbished!N82+'Screen Pro'!M23</f>
        <v>918222</v>
      </c>
      <c r="O127" s="19">
        <f>'B2B- Non Repair'!O75+Refurbished!O82+'Screen Pro'!N23</f>
        <v>730757</v>
      </c>
      <c r="P127" s="19">
        <f>'B2B- Non Repair'!P75+Refurbished!P82+'Screen Pro'!O23</f>
        <v>780192</v>
      </c>
      <c r="Q127" s="19">
        <f>'B2B- Non Repair'!Q75+Refurbished!Q82+'Screen Pro'!P23</f>
        <v>659281</v>
      </c>
      <c r="R127" s="19">
        <f>'B2B- Non Repair'!R75+Refurbished!R82+'Screen Pro'!Q23</f>
        <v>1397946</v>
      </c>
      <c r="S127" s="19">
        <f>'B2B- Non Repair'!S75+Refurbished!S82+'Screen Pro'!R23</f>
        <v>876058</v>
      </c>
      <c r="T127" s="19">
        <f>'B2B- Non Repair'!T75+Refurbished!T82+'Screen Pro'!S23</f>
        <v>651327</v>
      </c>
      <c r="U127" s="19">
        <f>'B2B- Non Repair'!U75+Refurbished!U82+'Screen Pro'!T23</f>
        <v>312740</v>
      </c>
      <c r="V127" s="19">
        <f>'B2B- Non Repair'!V75+Refurbished!V82+'Screen Pro'!U23</f>
        <v>665785.74</v>
      </c>
      <c r="W127" s="19">
        <f>'B2B- Non Repair'!W75+Refurbished!W82+'Screen Pro'!V23</f>
        <v>608935</v>
      </c>
      <c r="X127" s="19">
        <f>'B2B- Non Repair'!X75+Refurbished!X82+'Screen Pro'!W23</f>
        <v>574795.48</v>
      </c>
      <c r="Y127" s="19">
        <f>'B2B- Non Repair'!Y75+Refurbished!Y82+'Screen Pro'!X23</f>
        <v>632865</v>
      </c>
      <c r="Z127" s="19">
        <f>'B2B- Non Repair'!Z75+Refurbished!Z82+'Screen Pro'!Y23</f>
        <v>604900</v>
      </c>
      <c r="AA127" s="19">
        <f>'B2B- Non Repair'!AA75+Refurbished!AA82+'Screen Pro'!Z23</f>
        <v>0</v>
      </c>
      <c r="AB127" s="19">
        <f>'B2B- Non Repair'!AB75+Refurbished!AB82+'Screen Pro'!AA23</f>
        <v>292156</v>
      </c>
      <c r="AC127" s="19">
        <f>'B2B- Non Repair'!AC75+Refurbished!AC82+'Screen Pro'!AB23</f>
        <v>536389</v>
      </c>
      <c r="AD127" s="19">
        <f>'B2B- Non Repair'!AD75+Refurbished!AD82+'Screen Pro'!AC23</f>
        <v>548844</v>
      </c>
      <c r="AE127" s="19">
        <f>'B2B- Non Repair'!AE75+Refurbished!AE82+'Screen Pro'!AD23</f>
        <v>875681</v>
      </c>
      <c r="AF127" s="19">
        <f>'B2B- Non Repair'!AF75+Refurbished!AF82+'Screen Pro'!AE23</f>
        <v>1174477</v>
      </c>
      <c r="AG127" s="19">
        <f>'B2B- Non Repair'!AG75+Refurbished!AG82+'Screen Pro'!AF23</f>
        <v>1419469</v>
      </c>
      <c r="AH127" s="19">
        <f>'B2B- Non Repair'!AH75+Refurbished!AH82+'Screen Pro'!AG23</f>
        <v>1400000</v>
      </c>
      <c r="AI127" s="19">
        <f>'B2B- Non Repair'!AI75+Refurbished!AI82+'Screen Pro'!AH23</f>
        <v>1626508</v>
      </c>
      <c r="AJ127" s="19">
        <f>'B2B- Non Repair'!AJ75+Refurbished!AJ82+'Screen Pro'!AI23</f>
        <v>1560465</v>
      </c>
      <c r="AK127" s="19">
        <f>'B2B- Non Repair'!AK75+Refurbished!AK82+'Screen Pro'!AJ23</f>
        <v>1652462</v>
      </c>
      <c r="AL127" s="19">
        <f>'B2B- Non Repair'!AL75+Refurbished!AL82+'Screen Pro'!AK23</f>
        <v>2251528</v>
      </c>
      <c r="AM127" s="19">
        <f>'B2B- Non Repair'!AM75+Refurbished!AM82+'Screen Pro'!AL23</f>
        <v>1588200</v>
      </c>
      <c r="AN127" s="19">
        <f>'B2B- Non Repair'!AN75+Refurbished!AN82+'Screen Pro'!AM23</f>
        <v>1391660</v>
      </c>
      <c r="AO127" s="19">
        <f>'B2B- Non Repair'!AO75+Refurbished!AO82+'Screen Pro'!AN23</f>
        <v>1712763</v>
      </c>
      <c r="AP127" s="19">
        <f>'B2B- Non Repair'!AP75+Refurbished!AP82+'Screen Pro'!AO23</f>
        <v>3523566</v>
      </c>
      <c r="AQ127" s="19">
        <f>'B2B- Non Repair'!AQ75+Refurbished!AQ82+'Screen Pro'!AP23</f>
        <v>3844880</v>
      </c>
      <c r="AR127" s="19">
        <f>'B2B- Non Repair'!AR75+Refurbished!AR82+'Screen Pro'!AQ23</f>
        <v>3356913</v>
      </c>
      <c r="AS127" s="19">
        <f>'B2B- Non Repair'!AS75+Refurbished!AS82+'Screen Pro'!AR23</f>
        <v>4573365</v>
      </c>
      <c r="AT127" s="19">
        <f>'B2B- Non Repair'!AT75+Refurbished!AT82+'Screen Pro'!AS23</f>
        <v>3916381</v>
      </c>
      <c r="AU127" s="19">
        <f>'B2B- Non Repair'!AU75+Refurbished!AU82+'Screen Pro'!AT23</f>
        <v>3222417</v>
      </c>
      <c r="AV127" s="19">
        <f>'B2B- Non Repair'!AV75+Refurbished!AV82+'Screen Pro'!AU23</f>
        <v>2807699</v>
      </c>
      <c r="AW127" s="19">
        <f>'B2B- Non Repair'!AW75+Refurbished!AW82+'Screen Pro'!AV23</f>
        <v>5017820</v>
      </c>
      <c r="AX127" s="19">
        <f>'B2B- Non Repair'!AX75+Refurbished!AX82+'Screen Pro'!AW23</f>
        <v>5719029</v>
      </c>
      <c r="AY127" s="19">
        <f>'B2B- Non Repair'!AY75+Refurbished!AY82+'Screen Pro'!AX23</f>
        <v>4799821</v>
      </c>
      <c r="AZ127" s="19">
        <f>'B2B- Non Repair'!AZ75+Refurbished!AZ82+'Screen Pro'!AY23</f>
        <v>5249628</v>
      </c>
      <c r="BA127" s="19">
        <f>'B2B- Non Repair'!BA75+Refurbished!BA82+'Screen Pro'!AZ23</f>
        <v>4850887.3408511505</v>
      </c>
      <c r="BB127" s="19">
        <f>'B2B- Non Repair'!BB75+Refurbished!BB82+'Screen Pro'!BA23</f>
        <v>6591834.4759239601</v>
      </c>
      <c r="BC127" s="19">
        <f>'B2B- Non Repair'!BC75+Refurbished!BC82+'Screen Pro'!BB23</f>
        <v>6868420.0113461539</v>
      </c>
      <c r="BD127" s="19">
        <f>'B2B- Non Repair'!BD75+Refurbished!BD82+'Screen Pro'!BC23</f>
        <v>7285438.1457012193</v>
      </c>
      <c r="BE127" s="19">
        <f>'B2B- Non Repair'!BE75+Refurbished!BE82+'Screen Pro'!BD23</f>
        <v>6789766.3770512827</v>
      </c>
      <c r="BF127" s="19">
        <f>'B2B- Non Repair'!BF75+Refurbished!BF82+'Screen Pro'!BE23</f>
        <v>7774149.9137179479</v>
      </c>
      <c r="BG127" s="19">
        <f>'B2B- Non Repair'!BG75+Refurbished!BG82+'Screen Pro'!BF23</f>
        <v>8389395.0709615387</v>
      </c>
      <c r="BH127" s="19">
        <f>'B2B- Non Repair'!BH75+Refurbished!BH82+'Screen Pro'!BG23</f>
        <v>8294354.1919230763</v>
      </c>
      <c r="BI127" s="19">
        <f>'B2B- Non Repair'!BI75+Refurbished!BI82+'Screen Pro'!BH23</f>
        <v>8045058.2303846143</v>
      </c>
      <c r="BJ127" s="19">
        <f>'B2B- Non Repair'!BJ75+Refurbished!BJ82+'Screen Pro'!BI23</f>
        <v>8518021.1771794874</v>
      </c>
      <c r="BK127" s="19">
        <f>'B2B- Non Repair'!BK75+Refurbished!BK82+'Screen Pro'!BJ23</f>
        <v>6593229.7148347571</v>
      </c>
      <c r="BL127" s="19">
        <f>'B2B- Non Repair'!BL75+Refurbished!BL82+'Screen Pro'!BK23</f>
        <v>6584270.1716695698</v>
      </c>
      <c r="BM127" s="19">
        <f>'B2B- Non Repair'!BM75+Refurbished!BM82+'Screen Pro'!BL23</f>
        <v>6955307.2109615384</v>
      </c>
      <c r="BN127" s="19">
        <f>'B2B- Non Repair'!BN75+Refurbished!BN82+'Screen Pro'!BM23</f>
        <v>5936680.1444230769</v>
      </c>
      <c r="BO127" s="19">
        <f>'B2B- Non Repair'!BO75+Refurbished!BO82+'Screen Pro'!BN23</f>
        <v>5199251.5925000003</v>
      </c>
      <c r="BP127" s="19">
        <f>'B2B- Non Repair'!BP75+Refurbished!BP82+'Screen Pro'!BO23</f>
        <v>5968853.5924999993</v>
      </c>
      <c r="BQ127" s="19">
        <f>'B2B- Non Repair'!BQ75+Refurbished!BQ82+'Screen Pro'!BP23</f>
        <v>7541160.6533974363</v>
      </c>
      <c r="BR127" s="19">
        <f>'B2B- Non Repair'!BR75+Refurbished!BR82+'Screen Pro'!BQ23</f>
        <v>6388000.3146153847</v>
      </c>
      <c r="BS127" s="19">
        <f>'B2B- Non Repair'!BS75+Refurbished!BS82+'Screen Pro'!BR23</f>
        <v>6364600.574615486</v>
      </c>
      <c r="BT127" s="19">
        <f>'B2B- Non Repair'!BT75+Refurbished!BT82+'Screen Pro'!BS23</f>
        <v>6518716.4039743599</v>
      </c>
      <c r="BU127" s="19">
        <f>'B2B- Non Repair'!BU75+Refurbished!BU82+'Screen Pro'!BT23</f>
        <v>5780943.0681410264</v>
      </c>
      <c r="BV127" s="19">
        <f>'B2B- Non Repair'!BV75+Refurbished!BV82+'Screen Pro'!BU23</f>
        <v>4780564.7726923078</v>
      </c>
      <c r="BW127" s="19">
        <f>'B2B- Non Repair'!BW75+Refurbished!BW82+'Screen Pro'!BV23</f>
        <v>5043116.8245512806</v>
      </c>
      <c r="BX127" s="19">
        <f>'B2B- Non Repair'!BX75+Refurbished!BX82+'Screen Pro'!BW23</f>
        <v>3844868.9408333302</v>
      </c>
      <c r="BY127" s="19">
        <f>'B2B- Non Repair'!BY75+Refurbished!BY82+'Screen Pro'!BX23</f>
        <v>5113356.9071153803</v>
      </c>
      <c r="BZ127" s="19">
        <f>'B2B- Non Repair'!BZ75+Refurbished!BZ82+'Screen Pro'!BY23</f>
        <v>3930877.4350640997</v>
      </c>
      <c r="CA127" s="19">
        <f>'B2B- Non Repair'!CA75+Refurbished!CA82+'Screen Pro'!BZ23</f>
        <v>4644140.5418589748</v>
      </c>
      <c r="CB127" s="19">
        <f>'B2B- Non Repair'!CB75+Refurbished!CB82+'Screen Pro'!CA23</f>
        <v>4334865.0676282104</v>
      </c>
      <c r="CC127" s="19">
        <f>'B2B- Non Repair'!CC75+Refurbished!CC82+'Screen Pro'!CB23</f>
        <v>4904275.5842452403</v>
      </c>
      <c r="CD127" s="19">
        <f>'B2B- Non Repair'!CD75+Refurbished!CD82+'Screen Pro'!CC23</f>
        <v>5134954.9255128205</v>
      </c>
      <c r="CE127" s="19">
        <f>'B2B- Non Repair'!CE75+Refurbished!CE82+'Screen Pro'!CD23</f>
        <v>4949914.6232051281</v>
      </c>
      <c r="CF127" s="19">
        <f>'B2B- Non Repair'!CF75+Refurbished!CF82+'Screen Pro'!CE23</f>
        <v>6105004.4283974366</v>
      </c>
      <c r="CG127" s="19">
        <f>'B2B- Non Repair'!CG75+Refurbished!CG82+'Screen Pro'!CF23</f>
        <v>6675672.5439743595</v>
      </c>
      <c r="CH127" s="19">
        <f>'B2B- Non Repair'!CH75+Refurbished!CH82+'Screen Pro'!CG23</f>
        <v>7341672.4308333294</v>
      </c>
      <c r="CI127" s="19">
        <f>'B2B- Non Repair'!CI75+Refurbished!CI82+'Screen Pro'!CH23</f>
        <v>6965907.7892948696</v>
      </c>
      <c r="CJ127" s="19">
        <f>'B2B- Non Repair'!CJ75+Refurbished!CJ82+'Screen Pro'!CI23</f>
        <v>7005431.2692948692</v>
      </c>
      <c r="CK127" s="19">
        <f>'B2B- Non Repair'!CK75+Refurbished!CK82+'Screen Pro'!CJ23</f>
        <v>7412458.94108974</v>
      </c>
      <c r="CL127" s="19">
        <f>'B2B- Non Repair'!CL75+Refurbished!CL82+'Screen Pro'!CK23</f>
        <v>9701577.0637820549</v>
      </c>
      <c r="CM127" s="19">
        <f>'B2B- Non Repair'!CM75+Refurbished!CM82+'Screen Pro'!CL23</f>
        <v>7831505.8487820504</v>
      </c>
      <c r="CN127" s="19">
        <f>'B2B- Non Repair'!CN75+Refurbished!CN82+'Screen Pro'!CM23</f>
        <v>7197447.0870512798</v>
      </c>
      <c r="CO127" s="19">
        <f>'B2B- Non Repair'!CO75+Refurbished!CO82+'Screen Pro'!CN23</f>
        <v>8410200.6674441695</v>
      </c>
      <c r="CP127" s="19">
        <f>'B2B- Non Repair'!CP75+Refurbished!CP82+'Screen Pro'!CO23</f>
        <v>8258901.6946236566</v>
      </c>
      <c r="CQ127" s="19">
        <f>'B2B- Non Repair'!CQ75+Refurbished!CQ82+'Screen Pro'!CP23</f>
        <v>8281469.6981803151</v>
      </c>
      <c r="CR127" s="19">
        <f>'B2B- Non Repair'!CR75+Refurbished!CR82+'Screen Pro'!CQ23</f>
        <v>11554107.028910257</v>
      </c>
      <c r="CS127" s="19">
        <f>'B2B- Non Repair'!CS75+Refurbished!CS82+'Screen Pro'!CR23</f>
        <v>8881752.7680128179</v>
      </c>
      <c r="CT127" s="19">
        <f>'B2B- Non Repair'!CT75+Refurbished!CT82+'Screen Pro'!CS23</f>
        <v>10738713.526282052</v>
      </c>
      <c r="CU127" s="19">
        <f>'B2B- Non Repair'!CU75+Refurbished!CU82+'Screen Pro'!CT23</f>
        <v>10404637.376708224</v>
      </c>
      <c r="CV127" s="19">
        <f>'B2B- Non Repair'!CV75+Refurbished!CV82+'Screen Pro'!CU23</f>
        <v>10408130.342651583</v>
      </c>
      <c r="CW127" s="19">
        <f>'B2B- Non Repair'!CW75+Refurbished!CW82+'Screen Pro'!CV23</f>
        <v>10289394.255089007</v>
      </c>
      <c r="CX127" s="19">
        <f>'B2B- Non Repair'!CX75+Refurbished!CX82+'Screen Pro'!CW23</f>
        <v>10740839.902468553</v>
      </c>
      <c r="CY127" s="19">
        <f>'B2B- Non Repair'!CY75+Refurbished!CY82+'Screen Pro'!CX23</f>
        <v>9825904.3908153474</v>
      </c>
      <c r="CZ127" s="19">
        <f>'B2B- Non Repair'!CZ75+Refurbished!CZ82+'Screen Pro'!CY23</f>
        <v>9679009.3221732192</v>
      </c>
      <c r="DA127" s="19">
        <f>'B2B- Non Repair'!DA75+Refurbished!DA82+'Screen Pro'!CZ23</f>
        <v>10830881.964677019</v>
      </c>
      <c r="DB127" s="19">
        <f>'B2B- Non Repair'!DB75+Refurbished!DB82+'Screen Pro'!DA23</f>
        <v>10796392.688965848</v>
      </c>
      <c r="DC127" s="19">
        <f>'B2B- Non Repair'!DC75+Refurbished!DC82+'Screen Pro'!DB23</f>
        <v>12933653.93259481</v>
      </c>
      <c r="DD127" s="19">
        <f>'B2B- Non Repair'!DD75+Refurbished!DD82+'Screen Pro'!DC23</f>
        <v>13350274.070499653</v>
      </c>
      <c r="DE127" s="19">
        <f>'B2B- Non Repair'!DE75+Refurbished!DE82+'Screen Pro'!DD23</f>
        <v>12055295.382071069</v>
      </c>
      <c r="DF127" s="19">
        <f>'B2B- Non Repair'!DF75+Refurbished!DF82+'Screen Pro'!DE23</f>
        <v>13270658.051576497</v>
      </c>
      <c r="DG127" s="19">
        <f>'B2B- Non Repair'!DG75+Refurbished!DG82+'Screen Pro'!DF23</f>
        <v>12935857.935402721</v>
      </c>
      <c r="DH127" s="19">
        <f>'B2B- Non Repair'!DH75+Refurbished!DH82+'Screen Pro'!DG23</f>
        <v>12956798.599473067</v>
      </c>
      <c r="DI127" s="19">
        <f>'B2B- Non Repair'!DI75+Refurbished!DI82+'Screen Pro'!DH23</f>
        <v>12774445.491493082</v>
      </c>
      <c r="DJ127" s="19">
        <f>'B2B- Non Repair'!DJ75+Refurbished!DJ82+'Screen Pro'!DI23</f>
        <v>13329552.049170602</v>
      </c>
      <c r="DK127" s="19">
        <f>'B2B- Non Repair'!DK75+Refurbished!DK82+'Screen Pro'!DJ23</f>
        <v>12183942.550250422</v>
      </c>
      <c r="DL127" s="19">
        <f>'B2B- Non Repair'!DL75+Refurbished!DL82+'Screen Pro'!DK23</f>
        <v>11964451.384118281</v>
      </c>
      <c r="DM127" s="19">
        <f>'B2B- Non Repair'!DM75+Refurbished!DM82+'Screen Pro'!DL23</f>
        <v>13389793.809404761</v>
      </c>
      <c r="DN127" s="19">
        <f>'B2B- Non Repair'!DN75+Refurbished!DN82+'Screen Pro'!DM23</f>
        <v>13349155.843500093</v>
      </c>
      <c r="DO127" s="19">
        <f>'B2B- Non Repair'!DO75+Refurbished!DO82+'Screen Pro'!DN23</f>
        <v>15947083.204020767</v>
      </c>
      <c r="DP127" s="19">
        <f>'B2B- Non Repair'!DP75+Refurbished!DP82+'Screen Pro'!DO23</f>
        <v>16409741.58884399</v>
      </c>
      <c r="DQ127" s="19">
        <f>'B2B- Non Repair'!DQ75+Refurbished!DQ82+'Screen Pro'!DP23</f>
        <v>14807149.849724833</v>
      </c>
      <c r="DR127" s="19">
        <f>'B2B- Non Repair'!DR75+Refurbished!DR82+'Screen Pro'!DQ23</f>
        <v>16189810.572485279</v>
      </c>
      <c r="DS127" s="19">
        <f>'B2B- Non Repair'!DS75+Refurbished!DS82+'Screen Pro'!DR23</f>
        <v>15087339.504204283</v>
      </c>
      <c r="DT127" s="19">
        <f>'B2B- Non Repair'!DT75+Refurbished!DT82+'Screen Pro'!DS23</f>
        <v>15115689.238813527</v>
      </c>
      <c r="DU127" s="19">
        <f>'B2B- Non Repair'!DU75+Refurbished!DU82+'Screen Pro'!DT23</f>
        <v>14888114.298214907</v>
      </c>
      <c r="DV127" s="19">
        <f>'B2B- Non Repair'!DV75+Refurbished!DV82+'Screen Pro'!DU23</f>
        <v>15518673.771080036</v>
      </c>
      <c r="DW127" s="19">
        <f>'B2B- Non Repair'!DW75+Refurbished!DW82+'Screen Pro'!DV23</f>
        <v>14185554.423752395</v>
      </c>
      <c r="DX127" s="19">
        <f>'B2B- Non Repair'!DX75+Refurbished!DX82+'Screen Pro'!DW23</f>
        <v>13902248.544346258</v>
      </c>
      <c r="DY127" s="19">
        <f>'B2B- Non Repair'!DY75+Refurbished!DY82+'Screen Pro'!DX23</f>
        <v>15558849.553519182</v>
      </c>
      <c r="DZ127" s="19">
        <f>'B2B- Non Repair'!DZ75+Refurbished!DZ82+'Screen Pro'!DY23</f>
        <v>15569439.898043009</v>
      </c>
      <c r="EA127" s="19">
        <f>'B2B- Non Repair'!EA75+Refurbished!EA82+'Screen Pro'!DZ23</f>
        <v>18574124.132546987</v>
      </c>
      <c r="EB127" s="19">
        <f>'B2B- Non Repair'!EB75+Refurbished!EB82+'Screen Pro'!EA23</f>
        <v>19082432.762926079</v>
      </c>
      <c r="EC127" s="19">
        <f>'B2B- Non Repair'!EC75+Refurbished!EC82+'Screen Pro'!EB23</f>
        <v>17235423.506559484</v>
      </c>
      <c r="ED127" s="19">
        <f>'B2B- Non Repair'!ED75+Refurbished!ED82+'Screen Pro'!EC23</f>
        <v>18798993.313191675</v>
      </c>
      <c r="EE127" s="222"/>
      <c r="EF127" s="19">
        <f t="shared" ref="EF127:EF133" si="517">SUM(BK127:BM127)</f>
        <v>20132807.097465865</v>
      </c>
      <c r="EG127" s="19">
        <f t="shared" ref="EG127:EG133" si="518">SUM(BN127:BP127)</f>
        <v>17104785.329423077</v>
      </c>
      <c r="EH127" s="19">
        <f t="shared" ref="EH127:EH133" si="519">SUM(BQ127:BS127)</f>
        <v>20293761.542628307</v>
      </c>
      <c r="EI127" s="19">
        <f t="shared" ref="EI127:EI133" si="520">SUM(BT127:BV127)</f>
        <v>17080224.244807694</v>
      </c>
      <c r="EJ127" s="19">
        <f t="shared" ref="EJ127:EJ133" si="521">SUM(BW127:BY127)</f>
        <v>14001342.672499992</v>
      </c>
      <c r="EK127" s="19">
        <f t="shared" ref="EK127:EK133" si="522">SUM(BZ127:CB127)</f>
        <v>12909883.044551285</v>
      </c>
      <c r="EL127" s="19">
        <f t="shared" ref="EL127:EL133" si="523">SUM(CC127:CE127)</f>
        <v>14989145.132963188</v>
      </c>
      <c r="EM127" s="19">
        <f t="shared" ref="EM127:EM133" si="524">SUM(CF127:CH127)</f>
        <v>20122349.403205127</v>
      </c>
      <c r="EN127" s="19">
        <f t="shared" ref="EN127:EN133" si="525">SUM(CI127:CK127)</f>
        <v>21383797.999679476</v>
      </c>
      <c r="EO127" s="19">
        <f t="shared" ref="EO127:EO133" si="526">SUM(CL127:CN127)</f>
        <v>24730529.999615386</v>
      </c>
      <c r="EP127" s="19">
        <f t="shared" ref="EP127:EP133" si="527">SUM(CO127:CQ127)</f>
        <v>24950572.06024814</v>
      </c>
      <c r="EQ127" s="19">
        <f t="shared" ref="EQ127:EQ133" si="528">SUM(CR127:CT127)</f>
        <v>31174573.323205128</v>
      </c>
      <c r="ER127" s="19">
        <f t="shared" ref="ER127:ER133" si="529">SUM(CU127:CW127)</f>
        <v>31102161.974448815</v>
      </c>
      <c r="ES127" s="19">
        <f t="shared" ref="ES127:ES133" si="530">SUM(CX127:CZ127)</f>
        <v>30245753.615457121</v>
      </c>
      <c r="ET127" s="19">
        <f t="shared" ref="ET127:ET133" si="531">SUM(DA127:DC127)</f>
        <v>34560928.586237676</v>
      </c>
      <c r="EU127" s="19">
        <f t="shared" ref="EU127:EU133" si="532">SUM(DD127:DF127)</f>
        <v>38676227.504147217</v>
      </c>
      <c r="EV127" s="19">
        <f t="shared" ref="EV127:EV133" si="533">SUM(DG127:DI127)</f>
        <v>38667102.026368871</v>
      </c>
      <c r="EW127" s="19">
        <f t="shared" ref="EW127:EW133" si="534">SUM(DJ127:DL127)</f>
        <v>37477945.983539306</v>
      </c>
      <c r="EX127" s="19">
        <f t="shared" ref="EX127:EX133" si="535">SUM(DM127:DO127)</f>
        <v>42686032.856925622</v>
      </c>
      <c r="EY127" s="19">
        <f t="shared" ref="EY127:EY133" si="536">SUM(DP127:DR127)</f>
        <v>47406702.011054099</v>
      </c>
      <c r="EZ127" s="19">
        <f t="shared" si="508"/>
        <v>45091143.041232713</v>
      </c>
      <c r="FA127" s="19">
        <f t="shared" si="509"/>
        <v>43606476.739178687</v>
      </c>
      <c r="FB127" s="19">
        <f t="shared" si="510"/>
        <v>49702413.584109172</v>
      </c>
      <c r="FC127" s="19">
        <f t="shared" si="511"/>
        <v>55116849.582677238</v>
      </c>
      <c r="FE127" s="19">
        <f t="shared" si="512"/>
        <v>74611578.214324936</v>
      </c>
      <c r="FF127" s="19">
        <f t="shared" si="513"/>
        <v>62022720.25321959</v>
      </c>
      <c r="FG127" s="19">
        <f t="shared" si="514"/>
        <v>102239473.38274813</v>
      </c>
      <c r="FH127" s="19">
        <f t="shared" si="515"/>
        <v>134585071.68029082</v>
      </c>
      <c r="FI127" s="19">
        <f t="shared" si="516"/>
        <v>166237782.8778879</v>
      </c>
      <c r="FJ127" s="770">
        <f t="shared" si="207"/>
        <v>193516882.94719779</v>
      </c>
      <c r="FK127" s="545" t="s">
        <v>1</v>
      </c>
    </row>
    <row r="128" spans="2:167" x14ac:dyDescent="0.2">
      <c r="B128" s="225" t="s">
        <v>34</v>
      </c>
      <c r="C128" s="19">
        <f>'B2B- Non Repair'!C76+Refurbished!C83+'Screen Pro'!B24</f>
        <v>2473114.8571428573</v>
      </c>
      <c r="D128" s="19">
        <f>'B2B- Non Repair'!D76+Refurbished!D83+'Screen Pro'!C24</f>
        <v>2669298.8571428573</v>
      </c>
      <c r="E128" s="19">
        <f>'B2B- Non Repair'!E76+Refurbished!E83+'Screen Pro'!D24</f>
        <v>3069753.8571428573</v>
      </c>
      <c r="F128" s="19">
        <f>'B2B- Non Repair'!F76+Refurbished!F83+'Screen Pro'!E24</f>
        <v>3445347.8571428573</v>
      </c>
      <c r="G128" s="19">
        <f>'B2B- Non Repair'!G76+Refurbished!G83+'Screen Pro'!F24</f>
        <v>3751141.8571428573</v>
      </c>
      <c r="H128" s="19">
        <f>'B2B- Non Repair'!H76+Refurbished!H83+'Screen Pro'!G24</f>
        <v>4226301.8571428573</v>
      </c>
      <c r="I128" s="19">
        <f>'B2B- Non Repair'!I76+Refurbished!I83+'Screen Pro'!H24</f>
        <v>4260835.8571428573</v>
      </c>
      <c r="J128" s="19">
        <f>'B2B- Non Repair'!J76+Refurbished!J83+'Screen Pro'!I24</f>
        <v>4680505.4285714291</v>
      </c>
      <c r="K128" s="19">
        <f>'B2B- Non Repair'!K76+Refurbished!K83+'Screen Pro'!J24</f>
        <v>4043125.5505714286</v>
      </c>
      <c r="L128" s="19">
        <f>'B2B- Non Repair'!L76+Refurbished!L83+'Screen Pro'!K24</f>
        <v>4213408.7908571428</v>
      </c>
      <c r="M128" s="19">
        <f>'B2B- Non Repair'!M76+Refurbished!M83+'Screen Pro'!L24</f>
        <v>5798614.5528571429</v>
      </c>
      <c r="N128" s="19">
        <f>'B2B- Non Repair'!N76+Refurbished!N83+'Screen Pro'!M24</f>
        <v>5702639.8102095239</v>
      </c>
      <c r="O128" s="19">
        <f>'B2B- Non Repair'!O76+Refurbished!O83+'Screen Pro'!N24</f>
        <v>6217831.7655287609</v>
      </c>
      <c r="P128" s="19">
        <f>'B2B- Non Repair'!P76+Refurbished!P83+'Screen Pro'!O24</f>
        <v>7398357.8404761907</v>
      </c>
      <c r="Q128" s="19">
        <f>'B2B- Non Repair'!Q76+Refurbished!Q83+'Screen Pro'!P24</f>
        <v>7245212.4476190479</v>
      </c>
      <c r="R128" s="19">
        <f>'B2B- Non Repair'!R76+Refurbished!R83+'Screen Pro'!Q24</f>
        <v>6654701.9513333328</v>
      </c>
      <c r="S128" s="19">
        <f>'B2B- Non Repair'!S76+Refurbished!S83+'Screen Pro'!R24</f>
        <v>6628701</v>
      </c>
      <c r="T128" s="19">
        <f>'B2B- Non Repair'!T76+Refurbished!T83+'Screen Pro'!S24</f>
        <v>6099521.5999999996</v>
      </c>
      <c r="U128" s="19">
        <f>'B2B- Non Repair'!U76+Refurbished!U83+'Screen Pro'!T24</f>
        <v>6160206.4000000004</v>
      </c>
      <c r="V128" s="19">
        <f>'B2B- Non Repair'!V76+Refurbished!V83+'Screen Pro'!U24</f>
        <v>6547886</v>
      </c>
      <c r="W128" s="19">
        <f>'B2B- Non Repair'!W76+Refurbished!W83+'Screen Pro'!V24</f>
        <v>6662204</v>
      </c>
      <c r="X128" s="19">
        <f>'B2B- Non Repair'!X76+Refurbished!X83+'Screen Pro'!W24</f>
        <v>6891799</v>
      </c>
      <c r="Y128" s="19">
        <f>'B2B- Non Repair'!Y76+Refurbished!Y83+'Screen Pro'!X24</f>
        <v>7180470.9666666668</v>
      </c>
      <c r="Z128" s="19">
        <f>'B2B- Non Repair'!Z76+Refurbished!Z83+'Screen Pro'!Y24</f>
        <v>7104257.5874880897</v>
      </c>
      <c r="AA128" s="19">
        <f>'B2B- Non Repair'!AA76+Refurbished!AA83+'Screen Pro'!Z24</f>
        <v>5747035</v>
      </c>
      <c r="AB128" s="19">
        <f>'B2B- Non Repair'!AB76+Refurbished!AB83+'Screen Pro'!AA24</f>
        <v>5988985</v>
      </c>
      <c r="AC128" s="19">
        <f>'B2B- Non Repair'!AC76+Refurbished!AC83+'Screen Pro'!AB24</f>
        <v>5656655</v>
      </c>
      <c r="AD128" s="19">
        <f>'B2B- Non Repair'!AD76+Refurbished!AD83+'Screen Pro'!AC24</f>
        <v>5732523</v>
      </c>
      <c r="AE128" s="19">
        <f>'B2B- Non Repair'!AE76+Refurbished!AE83+'Screen Pro'!AD24</f>
        <v>6270644</v>
      </c>
      <c r="AF128" s="19">
        <f>'B2B- Non Repair'!AF76+Refurbished!AF83+'Screen Pro'!AE24</f>
        <v>5165022</v>
      </c>
      <c r="AG128" s="19">
        <f>'B2B- Non Repair'!AG76+Refurbished!AG83+'Screen Pro'!AF24</f>
        <v>5109928</v>
      </c>
      <c r="AH128" s="19">
        <f>'B2B- Non Repair'!AH76+Refurbished!AH83+'Screen Pro'!AG24</f>
        <v>5565239</v>
      </c>
      <c r="AI128" s="19">
        <f>'B2B- Non Repair'!AI76+Refurbished!AI83+'Screen Pro'!AH24</f>
        <v>4838547</v>
      </c>
      <c r="AJ128" s="19">
        <f>'B2B- Non Repair'!AJ76+Refurbished!AJ83+'Screen Pro'!AI24</f>
        <v>5898229</v>
      </c>
      <c r="AK128" s="19">
        <f>'B2B- Non Repair'!AK76+Refurbished!AK83+'Screen Pro'!AJ24</f>
        <v>5130231</v>
      </c>
      <c r="AL128" s="19">
        <f>'B2B- Non Repair'!AL76+Refurbished!AL83+'Screen Pro'!AK24</f>
        <v>5355580</v>
      </c>
      <c r="AM128" s="19">
        <f>'B2B- Non Repair'!AM76+Refurbished!AM83+'Screen Pro'!AL24</f>
        <v>5750469</v>
      </c>
      <c r="AN128" s="19">
        <f>'B2B- Non Repair'!AN76+Refurbished!AN83+'Screen Pro'!AM24</f>
        <v>5376632</v>
      </c>
      <c r="AO128" s="19">
        <f>'B2B- Non Repair'!AO76+Refurbished!AO83+'Screen Pro'!AN24</f>
        <v>5453391</v>
      </c>
      <c r="AP128" s="19">
        <f>'B2B- Non Repair'!AP76+Refurbished!AP83+'Screen Pro'!AO24</f>
        <v>5430873</v>
      </c>
      <c r="AQ128" s="19">
        <f>'B2B- Non Repair'!AQ76+Refurbished!AQ83+'Screen Pro'!AP24</f>
        <v>6519668.0000000009</v>
      </c>
      <c r="AR128" s="19">
        <f>'B2B- Non Repair'!AR76+Refurbished!AR83+'Screen Pro'!AQ24</f>
        <v>7443111.8399999999</v>
      </c>
      <c r="AS128" s="19">
        <f>'B2B- Non Repair'!AS76+Refurbished!AS83+'Screen Pro'!AR24</f>
        <v>7844202.0000000102</v>
      </c>
      <c r="AT128" s="19">
        <f>'B2B- Non Repair'!AT76+Refurbished!AT83+'Screen Pro'!AS24</f>
        <v>8406928</v>
      </c>
      <c r="AU128" s="19">
        <f>'B2B- Non Repair'!AU76+Refurbished!AU83+'Screen Pro'!AT24</f>
        <v>8187247.3287308896</v>
      </c>
      <c r="AV128" s="19">
        <f>'B2B- Non Repair'!AV76+Refurbished!AV83+'Screen Pro'!AU24</f>
        <v>7643156.1179487184</v>
      </c>
      <c r="AW128" s="19">
        <f>'B2B- Non Repair'!AW76+Refurbished!AW83+'Screen Pro'!AV24</f>
        <v>7270490</v>
      </c>
      <c r="AX128" s="19">
        <f>'B2B- Non Repair'!AX76+Refurbished!AX83+'Screen Pro'!AW24</f>
        <v>8103708</v>
      </c>
      <c r="AY128" s="19">
        <f>'B2B- Non Repair'!AY76+Refurbished!AY83+'Screen Pro'!AX24</f>
        <v>8684414</v>
      </c>
      <c r="AZ128" s="19">
        <f>'B2B- Non Repair'!AZ76+Refurbished!AZ83+'Screen Pro'!AY24</f>
        <v>8263056.9999999972</v>
      </c>
      <c r="BA128" s="19">
        <f>'B2B- Non Repair'!BA76+Refurbished!BA83+'Screen Pro'!AZ24</f>
        <v>8587448.5553846154</v>
      </c>
      <c r="BB128" s="19">
        <f>'B2B- Non Repair'!BB76+Refurbished!BB83+'Screen Pro'!BA24</f>
        <v>8915209.2211158164</v>
      </c>
      <c r="BC128" s="19">
        <f>'B2B- Non Repair'!BC76+Refurbished!BC83+'Screen Pro'!BB24</f>
        <v>9283850</v>
      </c>
      <c r="BD128" s="19">
        <f>'B2B- Non Repair'!BD76+Refurbished!BD83+'Screen Pro'!BC24</f>
        <v>9207966.6766666677</v>
      </c>
      <c r="BE128" s="19">
        <f>'B2B- Non Repair'!BE76+Refurbished!BE83+'Screen Pro'!BD24</f>
        <v>9536093.8709615394</v>
      </c>
      <c r="BF128" s="19">
        <f>'B2B- Non Repair'!BF76+Refurbished!BF83+'Screen Pro'!BE24</f>
        <v>9445565.0836538468</v>
      </c>
      <c r="BG128" s="19">
        <f>'B2B- Non Repair'!BG76+Refurbished!BG83+'Screen Pro'!BF24</f>
        <v>9195129.7378846146</v>
      </c>
      <c r="BH128" s="19">
        <f>'B2B- Non Repair'!BH76+Refurbished!BH83+'Screen Pro'!BG24</f>
        <v>8943561.8546404224</v>
      </c>
      <c r="BI128" s="19">
        <f>'B2B- Non Repair'!BI76+Refurbished!BI83+'Screen Pro'!BH24</f>
        <v>9396571.4606636316</v>
      </c>
      <c r="BJ128" s="19">
        <f>'B2B- Non Repair'!BJ76+Refurbished!BJ83+'Screen Pro'!BI24</f>
        <v>8956275.9470955357</v>
      </c>
      <c r="BK128" s="19">
        <f>'B2B- Non Repair'!BK76+Refurbished!BK83+'Screen Pro'!BJ24</f>
        <v>8899665.9959301837</v>
      </c>
      <c r="BL128" s="19">
        <f>'B2B- Non Repair'!BL76+Refurbished!BL83+'Screen Pro'!BK24</f>
        <v>8237537.6520300256</v>
      </c>
      <c r="BM128" s="19">
        <f>'B2B- Non Repair'!BM76+Refurbished!BM83+'Screen Pro'!BL24</f>
        <v>8658480.1880769338</v>
      </c>
      <c r="BN128" s="19">
        <f>'B2B- Non Repair'!BN76+Refurbished!BN83+'Screen Pro'!BM24</f>
        <v>8125993.6656410266</v>
      </c>
      <c r="BO128" s="19">
        <f>'B2B- Non Repair'!BO76+Refurbished!BO83+'Screen Pro'!BN24</f>
        <v>9891583.3212179504</v>
      </c>
      <c r="BP128" s="19">
        <f>'B2B- Non Repair'!BP76+Refurbished!BP83+'Screen Pro'!BO24</f>
        <v>8804166.6545512825</v>
      </c>
      <c r="BQ128" s="19">
        <f>'B2B- Non Repair'!BQ76+Refurbished!BQ83+'Screen Pro'!BP24</f>
        <v>9020391.8232851177</v>
      </c>
      <c r="BR128" s="19">
        <f>'B2B- Non Repair'!BR76+Refurbished!BR83+'Screen Pro'!BQ24</f>
        <v>8651438.7126282062</v>
      </c>
      <c r="BS128" s="19">
        <f>'B2B- Non Repair'!BS76+Refurbished!BS83+'Screen Pro'!BR24</f>
        <v>8177367.7468380621</v>
      </c>
      <c r="BT128" s="19">
        <f>'B2B- Non Repair'!BT76+Refurbished!BT83+'Screen Pro'!BS24</f>
        <v>6913931.3278867695</v>
      </c>
      <c r="BU128" s="19">
        <f>'B2B- Non Repair'!BU76+Refurbished!BU83+'Screen Pro'!BT24</f>
        <v>7568475.0531410258</v>
      </c>
      <c r="BV128" s="19">
        <f>'B2B- Non Repair'!BV76+Refurbished!BV83+'Screen Pro'!BU24</f>
        <v>8792107.7012113072</v>
      </c>
      <c r="BW128" s="19">
        <f>'B2B- Non Repair'!BW76+Refurbished!BW83+'Screen Pro'!BV24</f>
        <v>7879366.9961538464</v>
      </c>
      <c r="BX128" s="19">
        <f>'B2B- Non Repair'!BX76+Refurbished!BX83+'Screen Pro'!BW24</f>
        <v>10314288.996153943</v>
      </c>
      <c r="BY128" s="19">
        <f>'B2B- Non Repair'!BY76+Refurbished!BY83+'Screen Pro'!BX24</f>
        <v>8993729.9961538464</v>
      </c>
      <c r="BZ128" s="19">
        <f>'B2B- Non Repair'!BZ76+Refurbished!BZ83+'Screen Pro'!BY24</f>
        <v>9934876.9961538464</v>
      </c>
      <c r="CA128" s="19">
        <f>'B2B- Non Repair'!CA76+Refurbished!CA83+'Screen Pro'!BZ24</f>
        <v>9033617</v>
      </c>
      <c r="CB128" s="19">
        <f>'B2B- Non Repair'!CB76+Refurbished!CB83+'Screen Pro'!CA24</f>
        <v>9441981.9961538464</v>
      </c>
      <c r="CC128" s="19">
        <f>'B2B- Non Repair'!CC76+Refurbished!CC83+'Screen Pro'!CB24</f>
        <v>9236701.9961538427</v>
      </c>
      <c r="CD128" s="19">
        <f>'B2B- Non Repair'!CD76+Refurbished!CD83+'Screen Pro'!CC24</f>
        <v>9114252.5423076916</v>
      </c>
      <c r="CE128" s="19">
        <f>'B2B- Non Repair'!CE76+Refurbished!CE83+'Screen Pro'!CD24</f>
        <v>9508795.5423076879</v>
      </c>
      <c r="CF128" s="19">
        <f>'B2B- Non Repair'!CF76+Refurbished!CF83+'Screen Pro'!CE24</f>
        <v>9702744.5423076935</v>
      </c>
      <c r="CG128" s="19">
        <f>'B2B- Non Repair'!CG76+Refurbished!CG83+'Screen Pro'!CF24</f>
        <v>9839150.2441729009</v>
      </c>
      <c r="CH128" s="19">
        <f>'B2B- Non Repair'!CH76+Refurbished!CH83+'Screen Pro'!CG24</f>
        <v>11103360.79698718</v>
      </c>
      <c r="CI128" s="19">
        <f>'B2B- Non Repair'!CI76+Refurbished!CI83+'Screen Pro'!CH24</f>
        <v>11149605.89982301</v>
      </c>
      <c r="CJ128" s="19">
        <f>'B2B- Non Repair'!CJ76+Refurbished!CJ83+'Screen Pro'!CI24</f>
        <v>10929644.474719808</v>
      </c>
      <c r="CK128" s="19">
        <f>'B2B- Non Repair'!CK76+Refurbished!CK83+'Screen Pro'!CJ24</f>
        <v>11792252.330585279</v>
      </c>
      <c r="CL128" s="19">
        <f>'B2B- Non Repair'!CL76+Refurbished!CL83+'Screen Pro'!CK24</f>
        <v>12260346.861954805</v>
      </c>
      <c r="CM128" s="19">
        <f>'B2B- Non Repair'!CM76+Refurbished!CM83+'Screen Pro'!CL24</f>
        <v>11724566.94863463</v>
      </c>
      <c r="CN128" s="19">
        <f>'B2B- Non Repair'!CN76+Refurbished!CN83+'Screen Pro'!CM24</f>
        <v>12560546.272566531</v>
      </c>
      <c r="CO128" s="19">
        <f>'B2B- Non Repair'!CO76+Refurbished!CO83+'Screen Pro'!CN24</f>
        <v>13675259.475865761</v>
      </c>
      <c r="CP128" s="19">
        <f>'B2B- Non Repair'!CP76+Refurbished!CP83+'Screen Pro'!CO24</f>
        <v>14530600.182243591</v>
      </c>
      <c r="CQ128" s="19">
        <f>'B2B- Non Repair'!CQ76+Refurbished!CQ83+'Screen Pro'!CP24</f>
        <v>14231241.248079685</v>
      </c>
      <c r="CR128" s="19">
        <f>'B2B- Non Repair'!CR76+Refurbished!CR83+'Screen Pro'!CQ24</f>
        <v>13582591.168842036</v>
      </c>
      <c r="CS128" s="19">
        <f>'B2B- Non Repair'!CS76+Refurbished!CS83+'Screen Pro'!CR24</f>
        <v>14030429.890828142</v>
      </c>
      <c r="CT128" s="19">
        <f>'B2B- Non Repair'!CT76+Refurbished!CT83+'Screen Pro'!CS24</f>
        <v>13361507.76215066</v>
      </c>
      <c r="CU128" s="19">
        <f>'B2B- Non Repair'!CU76+Refurbished!CU83+'Screen Pro'!CT24</f>
        <v>14088691.860725475</v>
      </c>
      <c r="CV128" s="19">
        <f>'B2B- Non Repair'!CV76+Refurbished!CV83+'Screen Pro'!CU24</f>
        <v>14117419.829668127</v>
      </c>
      <c r="CW128" s="19">
        <f>'B2B- Non Repair'!CW76+Refurbished!CW83+'Screen Pro'!CV24</f>
        <v>14115379.973885216</v>
      </c>
      <c r="CX128" s="19">
        <f>'B2B- Non Repair'!CX76+Refurbished!CX83+'Screen Pro'!CW24</f>
        <v>14158386.93330824</v>
      </c>
      <c r="CY128" s="19">
        <f>'B2B- Non Repair'!CY76+Refurbished!CY83+'Screen Pro'!CX24</f>
        <v>13991458.735073421</v>
      </c>
      <c r="CZ128" s="19">
        <f>'B2B- Non Repair'!CZ76+Refurbished!CZ83+'Screen Pro'!CY24</f>
        <v>14247460.635828653</v>
      </c>
      <c r="DA128" s="19">
        <f>'B2B- Non Repair'!DA76+Refurbished!DA83+'Screen Pro'!CZ24</f>
        <v>14165016.464602698</v>
      </c>
      <c r="DB128" s="19">
        <f>'B2B- Non Repair'!DB76+Refurbished!DB83+'Screen Pro'!DA24</f>
        <v>14171815.983879065</v>
      </c>
      <c r="DC128" s="19">
        <f>'B2B- Non Repair'!DC76+Refurbished!DC83+'Screen Pro'!DB24</f>
        <v>14832899.245523889</v>
      </c>
      <c r="DD128" s="19">
        <f>'B2B- Non Repair'!DD76+Refurbished!DD83+'Screen Pro'!DC24</f>
        <v>15109299.704108223</v>
      </c>
      <c r="DE128" s="19">
        <f>'B2B- Non Repair'!DE76+Refurbished!DE83+'Screen Pro'!DD24</f>
        <v>14560918.474469192</v>
      </c>
      <c r="DF128" s="19">
        <f>'B2B- Non Repair'!DF76+Refurbished!DF83+'Screen Pro'!DE24</f>
        <v>14826439.702211339</v>
      </c>
      <c r="DG128" s="19">
        <f>'B2B- Non Repair'!DG76+Refurbished!DG83+'Screen Pro'!DF24</f>
        <v>15172772.937888222</v>
      </c>
      <c r="DH128" s="19">
        <f>'B2B- Non Repair'!DH76+Refurbished!DH83+'Screen Pro'!DG24</f>
        <v>15206801.217100792</v>
      </c>
      <c r="DI128" s="19">
        <f>'B2B- Non Repair'!DI76+Refurbished!DI83+'Screen Pro'!DH24</f>
        <v>15204385.007925935</v>
      </c>
      <c r="DJ128" s="19">
        <f>'B2B- Non Repair'!DJ76+Refurbished!DJ83+'Screen Pro'!DI24</f>
        <v>15255326.751362508</v>
      </c>
      <c r="DK128" s="19">
        <f>'B2B- Non Repair'!DK76+Refurbished!DK83+'Screen Pro'!DJ24</f>
        <v>15057600.300553363</v>
      </c>
      <c r="DL128" s="19">
        <f>'B2B- Non Repair'!DL76+Refurbished!DL83+'Screen Pro'!DK24</f>
        <v>15360834.551997937</v>
      </c>
      <c r="DM128" s="19">
        <f>'B2B- Non Repair'!DM76+Refurbished!DM83+'Screen Pro'!DL24</f>
        <v>15263179.431180794</v>
      </c>
      <c r="DN128" s="19">
        <f>'B2B- Non Repair'!DN76+Refurbished!DN83+'Screen Pro'!DM24</f>
        <v>15271233.46176365</v>
      </c>
      <c r="DO128" s="19">
        <f>'B2B- Non Repair'!DO76+Refurbished!DO83+'Screen Pro'!DN24</f>
        <v>16054286.585181942</v>
      </c>
      <c r="DP128" s="19">
        <f>'B2B- Non Repair'!DP76+Refurbished!DP83+'Screen Pro'!DO24</f>
        <v>16381682.92837509</v>
      </c>
      <c r="DQ128" s="19">
        <f>'B2B- Non Repair'!DQ76+Refurbished!DQ83+'Screen Pro'!DP24</f>
        <v>15732125.361867655</v>
      </c>
      <c r="DR128" s="19">
        <f>'B2B- Non Repair'!DR76+Refurbished!DR83+'Screen Pro'!DQ24</f>
        <v>16046635.256128227</v>
      </c>
      <c r="DS128" s="19">
        <f>'B2B- Non Repair'!DS76+Refurbished!DS83+'Screen Pro'!DR24</f>
        <v>16215069.363822222</v>
      </c>
      <c r="DT128" s="19">
        <f>'B2B- Non Repair'!DT76+Refurbished!DT83+'Screen Pro'!DS24</f>
        <v>16255375.860549513</v>
      </c>
      <c r="DU128" s="19">
        <f>'B2B- Non Repair'!DU76+Refurbished!DU83+'Screen Pro'!DT24</f>
        <v>16252513.860781895</v>
      </c>
      <c r="DV128" s="19">
        <f>'B2B- Non Repair'!DV76+Refurbished!DV83+'Screen Pro'!DU24</f>
        <v>16312854.355882514</v>
      </c>
      <c r="DW128" s="19">
        <f>'B2B- Non Repair'!DW76+Refurbished!DW83+'Screen Pro'!DV24</f>
        <v>16078647.374899084</v>
      </c>
      <c r="DX128" s="19">
        <f>'B2B- Non Repair'!DX76+Refurbished!DX83+'Screen Pro'!DW24</f>
        <v>16437828.345735181</v>
      </c>
      <c r="DY128" s="19">
        <f>'B2B- Non Repair'!DY76+Refurbished!DY83+'Screen Pro'!DX24</f>
        <v>16322155.855127273</v>
      </c>
      <c r="DZ128" s="19">
        <f>'B2B- Non Repair'!DZ76+Refurbished!DZ83+'Screen Pro'!DY24</f>
        <v>16331695.854352668</v>
      </c>
      <c r="EA128" s="19">
        <f>'B2B- Non Repair'!EA76+Refurbished!EA83+'Screen Pro'!DZ24</f>
        <v>17259222.279041633</v>
      </c>
      <c r="EB128" s="19">
        <f>'B2B- Non Repair'!EB76+Refurbished!EB83+'Screen Pro'!EA24</f>
        <v>17647023.247553915</v>
      </c>
      <c r="EC128" s="19">
        <f>'B2B- Non Repair'!EC76+Refurbished!EC83+'Screen Pro'!EB24</f>
        <v>16877622.310025863</v>
      </c>
      <c r="ED128" s="19">
        <f>'B2B- Non Repair'!ED76+Refurbished!ED83+'Screen Pro'!EC24</f>
        <v>17250159.279777512</v>
      </c>
      <c r="EE128" s="222"/>
      <c r="EF128" s="19">
        <f t="shared" si="517"/>
        <v>25795683.836037144</v>
      </c>
      <c r="EG128" s="19">
        <f t="shared" si="518"/>
        <v>26821743.641410261</v>
      </c>
      <c r="EH128" s="19">
        <f t="shared" si="519"/>
        <v>25849198.282751389</v>
      </c>
      <c r="EI128" s="19">
        <f t="shared" si="520"/>
        <v>23274514.082239103</v>
      </c>
      <c r="EJ128" s="19">
        <f t="shared" si="521"/>
        <v>27187385.988461636</v>
      </c>
      <c r="EK128" s="19">
        <f t="shared" si="522"/>
        <v>28410475.992307693</v>
      </c>
      <c r="EL128" s="19">
        <f t="shared" si="523"/>
        <v>27859750.080769226</v>
      </c>
      <c r="EM128" s="19">
        <f t="shared" si="524"/>
        <v>30645255.583467774</v>
      </c>
      <c r="EN128" s="19">
        <f t="shared" si="525"/>
        <v>33871502.705128096</v>
      </c>
      <c r="EO128" s="19">
        <f t="shared" si="526"/>
        <v>36545460.08315596</v>
      </c>
      <c r="EP128" s="19">
        <f t="shared" si="527"/>
        <v>42437100.906189039</v>
      </c>
      <c r="EQ128" s="19">
        <f t="shared" si="528"/>
        <v>40974528.82182084</v>
      </c>
      <c r="ER128" s="19">
        <f t="shared" si="529"/>
        <v>42321491.66427882</v>
      </c>
      <c r="ES128" s="19">
        <f t="shared" si="530"/>
        <v>42397306.304210313</v>
      </c>
      <c r="ET128" s="19">
        <f t="shared" si="531"/>
        <v>43169731.694005653</v>
      </c>
      <c r="EU128" s="19">
        <f t="shared" si="532"/>
        <v>44496657.880788758</v>
      </c>
      <c r="EV128" s="19">
        <f t="shared" si="533"/>
        <v>45583959.162914947</v>
      </c>
      <c r="EW128" s="19">
        <f t="shared" si="534"/>
        <v>45673761.603913806</v>
      </c>
      <c r="EX128" s="19">
        <f t="shared" si="535"/>
        <v>46588699.478126384</v>
      </c>
      <c r="EY128" s="19">
        <f t="shared" si="536"/>
        <v>48160443.546370976</v>
      </c>
      <c r="EZ128" s="19">
        <f t="shared" si="508"/>
        <v>48722959.085153632</v>
      </c>
      <c r="FA128" s="19">
        <f t="shared" si="509"/>
        <v>48829330.076516777</v>
      </c>
      <c r="FB128" s="19">
        <f t="shared" si="510"/>
        <v>49913073.988521576</v>
      </c>
      <c r="FC128" s="19">
        <f t="shared" si="511"/>
        <v>51774804.83735729</v>
      </c>
      <c r="FE128" s="19">
        <f t="shared" si="512"/>
        <v>101741139.84243791</v>
      </c>
      <c r="FF128" s="19">
        <f t="shared" si="513"/>
        <v>114102867.64500633</v>
      </c>
      <c r="FG128" s="19">
        <f t="shared" si="514"/>
        <v>153828592.51629394</v>
      </c>
      <c r="FH128" s="19">
        <f t="shared" si="515"/>
        <v>172385187.54328355</v>
      </c>
      <c r="FI128" s="19">
        <f t="shared" si="516"/>
        <v>186006863.79132611</v>
      </c>
      <c r="FJ128" s="770">
        <f t="shared" si="207"/>
        <v>199240167.98754928</v>
      </c>
      <c r="FK128" s="545" t="s">
        <v>1</v>
      </c>
    </row>
    <row r="129" spans="2:167" x14ac:dyDescent="0.2">
      <c r="B129" s="225" t="s">
        <v>35</v>
      </c>
      <c r="C129" s="19">
        <f>'B2B- Non Repair'!C77+Refurbished!C84</f>
        <v>0</v>
      </c>
      <c r="D129" s="19">
        <f>'B2B- Non Repair'!D77+Refurbished!D84</f>
        <v>0</v>
      </c>
      <c r="E129" s="19">
        <f>'B2B- Non Repair'!E77+Refurbished!E84</f>
        <v>0</v>
      </c>
      <c r="F129" s="19">
        <f>'B2B- Non Repair'!F77+Refurbished!F84</f>
        <v>0</v>
      </c>
      <c r="G129" s="19">
        <f>'B2B- Non Repair'!G77+Refurbished!G84</f>
        <v>0</v>
      </c>
      <c r="H129" s="19">
        <f>'B2B- Non Repair'!H77+Refurbished!H84</f>
        <v>0</v>
      </c>
      <c r="I129" s="19">
        <f>'B2B- Non Repair'!I77+Refurbished!I84</f>
        <v>0</v>
      </c>
      <c r="J129" s="19">
        <f>'B2B- Non Repair'!J77+Refurbished!J84</f>
        <v>0</v>
      </c>
      <c r="K129" s="19">
        <f>'B2B- Non Repair'!K77+Refurbished!K84</f>
        <v>0</v>
      </c>
      <c r="L129" s="19">
        <f>'B2B- Non Repair'!L77+Refurbished!L84</f>
        <v>0</v>
      </c>
      <c r="M129" s="19">
        <f>'B2B- Non Repair'!M77+Refurbished!M84</f>
        <v>0</v>
      </c>
      <c r="N129" s="19">
        <f>'B2B- Non Repair'!N77+Refurbished!N84</f>
        <v>0</v>
      </c>
      <c r="O129" s="19">
        <f>'B2B- Non Repair'!O77+Refurbished!O84</f>
        <v>0</v>
      </c>
      <c r="P129" s="19">
        <f>'B2B- Non Repair'!P77+Refurbished!P84</f>
        <v>0</v>
      </c>
      <c r="Q129" s="19">
        <f>'B2B- Non Repair'!Q77+Refurbished!Q84</f>
        <v>0</v>
      </c>
      <c r="R129" s="19">
        <f>'B2B- Non Repair'!R77+Refurbished!R84</f>
        <v>0</v>
      </c>
      <c r="S129" s="19">
        <f>'B2B- Non Repair'!S77+Refurbished!S84</f>
        <v>0</v>
      </c>
      <c r="T129" s="19">
        <f>'B2B- Non Repair'!T77+Refurbished!T84</f>
        <v>0</v>
      </c>
      <c r="U129" s="19">
        <f>'B2B- Non Repair'!U77+Refurbished!U84</f>
        <v>0</v>
      </c>
      <c r="V129" s="19">
        <f>'B2B- Non Repair'!V77+Refurbished!V84</f>
        <v>0</v>
      </c>
      <c r="W129" s="19">
        <f>'B2B- Non Repair'!W77+Refurbished!W84</f>
        <v>0</v>
      </c>
      <c r="X129" s="19">
        <f>'B2B- Non Repair'!X77+Refurbished!X84</f>
        <v>0</v>
      </c>
      <c r="Y129" s="19">
        <f>'B2B- Non Repair'!Y77+Refurbished!Y84</f>
        <v>0</v>
      </c>
      <c r="Z129" s="19">
        <f>'B2B- Non Repair'!Z77+Refurbished!Z84</f>
        <v>0</v>
      </c>
      <c r="AA129" s="19">
        <f>'B2B- Non Repair'!AA77+Refurbished!AA84</f>
        <v>0</v>
      </c>
      <c r="AB129" s="19">
        <f>'B2B- Non Repair'!AB77+Refurbished!AB84</f>
        <v>0</v>
      </c>
      <c r="AC129" s="19">
        <f>'B2B- Non Repair'!AC77+Refurbished!AC84</f>
        <v>0</v>
      </c>
      <c r="AD129" s="19">
        <f>'B2B- Non Repair'!AD77+Refurbished!AD84</f>
        <v>0</v>
      </c>
      <c r="AE129" s="19">
        <f>'B2B- Non Repair'!AE77+Refurbished!AE84</f>
        <v>0</v>
      </c>
      <c r="AF129" s="19">
        <f>'B2B- Non Repair'!AF77+Refurbished!AF84</f>
        <v>0</v>
      </c>
      <c r="AG129" s="19">
        <f>'B2B- Non Repair'!AG77+Refurbished!AG84</f>
        <v>0</v>
      </c>
      <c r="AH129" s="19">
        <f>'B2B- Non Repair'!AH77+Refurbished!AH84</f>
        <v>0</v>
      </c>
      <c r="AI129" s="19">
        <f>'B2B- Non Repair'!AI77+Refurbished!AI84</f>
        <v>0</v>
      </c>
      <c r="AJ129" s="19">
        <f>'B2B- Non Repair'!AJ77+Refurbished!AJ84</f>
        <v>809552</v>
      </c>
      <c r="AK129" s="19">
        <f>'B2B- Non Repair'!AK77+Refurbished!AK84</f>
        <v>816376</v>
      </c>
      <c r="AL129" s="19">
        <f>'B2B- Non Repair'!AL77+Refurbished!AL84</f>
        <v>497982</v>
      </c>
      <c r="AM129" s="19">
        <f>'B2B- Non Repair'!AM77+Refurbished!AM84</f>
        <v>466651</v>
      </c>
      <c r="AN129" s="19">
        <f>'B2B- Non Repair'!AN77+Refurbished!AN84</f>
        <v>374698</v>
      </c>
      <c r="AO129" s="19">
        <f>'B2B- Non Repair'!AO77+Refurbished!AO84</f>
        <v>720916.86</v>
      </c>
      <c r="AP129" s="19">
        <f>'B2B- Non Repair'!AP77+Refurbished!AP84</f>
        <v>1519935.78</v>
      </c>
      <c r="AQ129" s="19">
        <f>'B2B- Non Repair'!AQ77+Refurbished!AQ84</f>
        <v>1497285.25</v>
      </c>
      <c r="AR129" s="19">
        <f>'B2B- Non Repair'!AR77+Refurbished!AR84</f>
        <v>1636339</v>
      </c>
      <c r="AS129" s="19">
        <f>'B2B- Non Repair'!AS77+Refurbished!AS84</f>
        <v>1336898</v>
      </c>
      <c r="AT129" s="19">
        <f>'B2B- Non Repair'!AT77+Refurbished!AT84</f>
        <v>1849286</v>
      </c>
      <c r="AU129" s="19">
        <f>'B2B- Non Repair'!AU77+Refurbished!AU84</f>
        <v>2390321</v>
      </c>
      <c r="AV129" s="19">
        <f>'B2B- Non Repair'!AV77+Refurbished!AV84</f>
        <v>2243834</v>
      </c>
      <c r="AW129" s="19">
        <f>'B2B- Non Repair'!AW77+Refurbished!AW84</f>
        <v>2344983.3499999996</v>
      </c>
      <c r="AX129" s="19">
        <f>'B2B- Non Repair'!AX77+Refurbished!AX84</f>
        <v>1885886.1700000006</v>
      </c>
      <c r="AY129" s="19">
        <f>'B2B- Non Repair'!AY77+Refurbished!AY84</f>
        <v>1773641.0389000003</v>
      </c>
      <c r="AZ129" s="19">
        <f>'B2B- Non Repair'!AZ77+Refurbished!AZ84</f>
        <v>1906097</v>
      </c>
      <c r="BA129" s="19">
        <f>'B2B- Non Repair'!BA77+Refurbished!BA84</f>
        <v>2209414.7599999998</v>
      </c>
      <c r="BB129" s="19">
        <f>'B2B- Non Repair'!BB77+Refurbished!BB84</f>
        <v>2537693.7999999998</v>
      </c>
      <c r="BC129" s="19">
        <f>'B2B- Non Repair'!BC77+Refurbished!BC84</f>
        <v>2481600</v>
      </c>
      <c r="BD129" s="19">
        <f>'B2B- Non Repair'!BD77+Refurbished!BD84</f>
        <v>1991049</v>
      </c>
      <c r="BE129" s="19">
        <f>'B2B- Non Repair'!BE77+Refurbished!BE84</f>
        <v>3280366</v>
      </c>
      <c r="BF129" s="19">
        <f>'B2B- Non Repair'!BF77+Refurbished!BF84</f>
        <v>3326046</v>
      </c>
      <c r="BG129" s="19">
        <f>'B2B- Non Repair'!BG77+Refurbished!BG84</f>
        <v>3274588.3600000003</v>
      </c>
      <c r="BH129" s="19">
        <f>'B2B- Non Repair'!BH77+Refurbished!BH84</f>
        <v>4198610.9000000004</v>
      </c>
      <c r="BI129" s="19">
        <f>'B2B- Non Repair'!BI77+Refurbished!BI84</f>
        <v>3705686.7800000003</v>
      </c>
      <c r="BJ129" s="19">
        <f>'B2B- Non Repair'!BJ77+Refurbished!BJ84</f>
        <v>4232197.3448275859</v>
      </c>
      <c r="BK129" s="19">
        <f>'B2B- Non Repair'!BK77+Refurbished!BK84</f>
        <v>4844033</v>
      </c>
      <c r="BL129" s="19">
        <f>'B2B- Non Repair'!BL77+Refurbished!BL84</f>
        <v>4824146</v>
      </c>
      <c r="BM129" s="19">
        <f>'B2B- Non Repair'!BM77+Refurbished!BM84</f>
        <v>5012842</v>
      </c>
      <c r="BN129" s="19">
        <f>'B2B- Non Repair'!BN77+Refurbished!BN84</f>
        <v>3913192.79</v>
      </c>
      <c r="BO129" s="19">
        <f>'B2B- Non Repair'!BO77+Refurbished!BO84</f>
        <v>4322306</v>
      </c>
      <c r="BP129" s="19">
        <f>'B2B- Non Repair'!BP77+Refurbished!BP84</f>
        <v>4745323.6765617393</v>
      </c>
      <c r="BQ129" s="19">
        <f>'B2B- Non Repair'!BQ77+Refurbished!BQ84</f>
        <v>6156270.3535000002</v>
      </c>
      <c r="BR129" s="19">
        <f>'B2B- Non Repair'!BR77+Refurbished!BR84</f>
        <v>4712966</v>
      </c>
      <c r="BS129" s="19">
        <f>'B2B- Non Repair'!BS77+Refurbished!BS84</f>
        <v>5171693.08</v>
      </c>
      <c r="BT129" s="19">
        <f>'B2B- Non Repair'!BT77+Refurbished!BT84</f>
        <v>3380851.1399999997</v>
      </c>
      <c r="BU129" s="19">
        <f>'B2B- Non Repair'!BU77+Refurbished!BU84</f>
        <v>4865695.2259999989</v>
      </c>
      <c r="BV129" s="19">
        <f>'B2B- Non Repair'!BV77+Refurbished!BV84</f>
        <v>5063958.7992893495</v>
      </c>
      <c r="BW129" s="19">
        <f>'B2B- Non Repair'!BW77+Refurbished!BW84</f>
        <v>4551434</v>
      </c>
      <c r="BX129" s="19">
        <f>'B2B- Non Repair'!BX77+Refurbished!BX84</f>
        <v>4423347.9210932199</v>
      </c>
      <c r="BY129" s="19">
        <f>'B2B- Non Repair'!BY77+Refurbished!BY84</f>
        <v>4187581.2542372914</v>
      </c>
      <c r="BZ129" s="19">
        <f>'B2B- Non Repair'!BZ77+Refurbished!BZ84</f>
        <v>3794477</v>
      </c>
      <c r="CA129" s="19">
        <f>'B2B- Non Repair'!CA77+Refurbished!CA84</f>
        <v>3715162.88</v>
      </c>
      <c r="CB129" s="19">
        <f>'B2B- Non Repair'!CB77+Refurbished!CB84</f>
        <v>3561658.8299999991</v>
      </c>
      <c r="CC129" s="19">
        <f>'B2B- Non Repair'!CC77+Refurbished!CC84</f>
        <v>3816728.9111863999</v>
      </c>
      <c r="CD129" s="19">
        <f>'B2B- Non Repair'!CD77+Refurbished!CD84</f>
        <v>3699571.6150000002</v>
      </c>
      <c r="CE129" s="19">
        <f>'B2B- Non Repair'!CE77+Refurbished!CE84</f>
        <v>4656854</v>
      </c>
      <c r="CF129" s="19">
        <f>'B2B- Non Repair'!CF77+Refurbished!CF84</f>
        <v>5678660.0069491006</v>
      </c>
      <c r="CG129" s="19">
        <f>'B2B- Non Repair'!CG77+Refurbished!CG84</f>
        <v>4306761.4357627099</v>
      </c>
      <c r="CH129" s="19">
        <f>'B2B- Non Repair'!CH77+Refurbished!CH84</f>
        <v>5879984.03779661</v>
      </c>
      <c r="CI129" s="19">
        <f>'B2B- Non Repair'!CI77+Refurbished!CI84</f>
        <v>5404328.0266101696</v>
      </c>
      <c r="CJ129" s="19">
        <f>'B2B- Non Repair'!CJ77+Refurbished!CJ84</f>
        <v>5302926</v>
      </c>
      <c r="CK129" s="19">
        <f>'B2B- Non Repair'!CK77+Refurbished!CK84</f>
        <v>5192795.4745762702</v>
      </c>
      <c r="CL129" s="19">
        <f>'B2B- Non Repair'!CL77+Refurbished!CL84</f>
        <v>5314910</v>
      </c>
      <c r="CM129" s="19">
        <f>'B2B- Non Repair'!CM77+Refurbished!CM84</f>
        <v>5383136</v>
      </c>
      <c r="CN129" s="19">
        <f>'B2B- Non Repair'!CN77+Refurbished!CN84</f>
        <v>4632473</v>
      </c>
      <c r="CO129" s="19">
        <f>'B2B- Non Repair'!CO77+Refurbished!CO84</f>
        <v>6193078</v>
      </c>
      <c r="CP129" s="19">
        <f>'B2B- Non Repair'!CP77+Refurbished!CP84</f>
        <v>5817265.2400000002</v>
      </c>
      <c r="CQ129" s="19">
        <f>'B2B- Non Repair'!CQ77+Refurbished!CQ84</f>
        <v>7211182.71</v>
      </c>
      <c r="CR129" s="19">
        <f>'B2B- Non Repair'!CR77+Refurbished!CR84</f>
        <v>7939742.9900000002</v>
      </c>
      <c r="CS129" s="19">
        <f>'B2B- Non Repair'!CS77+Refurbished!CS84</f>
        <v>7021485</v>
      </c>
      <c r="CT129" s="19">
        <f>'B2B- Non Repair'!CT77+Refurbished!CT84</f>
        <v>8218698</v>
      </c>
      <c r="CU129" s="19">
        <f>'B2B- Non Repair'!CU77+Refurbished!CU84</f>
        <v>7308517.3066780251</v>
      </c>
      <c r="CV129" s="19">
        <f>'B2B- Non Repair'!CV77+Refurbished!CV84</f>
        <v>7248925.0041153254</v>
      </c>
      <c r="CW129" s="19">
        <f>'B2B- Non Repair'!CW77+Refurbished!CW84</f>
        <v>7233395.5410890151</v>
      </c>
      <c r="CX129" s="19">
        <f>'B2B- Non Repair'!CX77+Refurbished!CX84</f>
        <v>7633615.6910530105</v>
      </c>
      <c r="CY129" s="19">
        <f>'B2B- Non Repair'!CY77+Refurbished!CY84</f>
        <v>6943474.414126996</v>
      </c>
      <c r="CZ129" s="19">
        <f>'B2B- Non Repair'!CZ77+Refurbished!CZ84</f>
        <v>6941689.6051569022</v>
      </c>
      <c r="DA129" s="19">
        <f>'B2B- Non Repair'!DA77+Refurbished!DA84</f>
        <v>7790936.3389744628</v>
      </c>
      <c r="DB129" s="19">
        <f>'B2B- Non Repair'!DB77+Refurbished!DB84</f>
        <v>7417063.1955200341</v>
      </c>
      <c r="DC129" s="19">
        <f>'B2B- Non Repair'!DC77+Refurbished!DC84</f>
        <v>9018021.5214804076</v>
      </c>
      <c r="DD129" s="19">
        <f>'B2B- Non Repair'!DD77+Refurbished!DD84</f>
        <v>9465600.5453110691</v>
      </c>
      <c r="DE129" s="19">
        <f>'B2B- Non Repair'!DE77+Refurbished!DE84</f>
        <v>8446920.4078896306</v>
      </c>
      <c r="DF129" s="19">
        <f>'B2B- Non Repair'!DF77+Refurbished!DF84</f>
        <v>9564184.3588779196</v>
      </c>
      <c r="DG129" s="19">
        <f>'B2B- Non Repair'!DG77+Refurbished!DG84</f>
        <v>8998882.5850834511</v>
      </c>
      <c r="DH129" s="19">
        <f>'B2B- Non Repair'!DH77+Refurbished!DH84</f>
        <v>8936093.5066105332</v>
      </c>
      <c r="DI129" s="19">
        <f>'B2B- Non Repair'!DI77+Refurbished!DI84</f>
        <v>8891640.7628975455</v>
      </c>
      <c r="DJ129" s="19">
        <f>'B2B- Non Repair'!DJ77+Refurbished!DJ84</f>
        <v>9383921.9354920909</v>
      </c>
      <c r="DK129" s="19">
        <f>'B2B- Non Repair'!DK77+Refurbished!DK84</f>
        <v>8524677.6080518384</v>
      </c>
      <c r="DL129" s="19">
        <f>'B2B- Non Repair'!DL77+Refurbished!DL84</f>
        <v>8503513.1362296622</v>
      </c>
      <c r="DM129" s="19">
        <f>'B2B- Non Repair'!DM77+Refurbished!DM84</f>
        <v>9538035.2807732467</v>
      </c>
      <c r="DN129" s="19">
        <f>'B2B- Non Repair'!DN77+Refurbished!DN84</f>
        <v>9051664.7666764706</v>
      </c>
      <c r="DO129" s="19">
        <f>'B2B- Non Repair'!DO77+Refurbished!DO84</f>
        <v>10978976.490445845</v>
      </c>
      <c r="DP129" s="19">
        <f>'B2B- Non Repair'!DP77+Refurbished!DP84</f>
        <v>11495950.616266718</v>
      </c>
      <c r="DQ129" s="19">
        <f>'B2B- Non Repair'!DQ77+Refurbished!DQ84</f>
        <v>10235405.221762307</v>
      </c>
      <c r="DR129" s="19">
        <f>'B2B- Non Repair'!DR77+Refurbished!DR84</f>
        <v>11514792.893447898</v>
      </c>
      <c r="DS129" s="19">
        <f>'B2B- Non Repair'!DS77+Refurbished!DS84</f>
        <v>10315187.156372521</v>
      </c>
      <c r="DT129" s="19">
        <f>'B2B- Non Repair'!DT77+Refurbished!DT84</f>
        <v>10238615.370730609</v>
      </c>
      <c r="DU129" s="19">
        <f>'B2B- Non Repair'!DU77+Refurbished!DU84</f>
        <v>10184535.556086626</v>
      </c>
      <c r="DV129" s="19">
        <f>'B2B- Non Repair'!DV77+Refurbished!DV84</f>
        <v>10743530.13296622</v>
      </c>
      <c r="DW129" s="19">
        <f>'B2B- Non Repair'!DW77+Refurbished!DW84</f>
        <v>9756462.110191334</v>
      </c>
      <c r="DX129" s="19">
        <f>'B2B- Non Repair'!DX77+Refurbished!DX84</f>
        <v>9730470.931463033</v>
      </c>
      <c r="DY129" s="19">
        <f>'B2B- Non Repair'!DY77+Refurbished!DY84</f>
        <v>10905508.126411695</v>
      </c>
      <c r="DZ129" s="19">
        <f>'B2B- Non Repair'!DZ77+Refurbished!DZ84</f>
        <v>10348865.08151136</v>
      </c>
      <c r="EA129" s="19">
        <f>'B2B- Non Repair'!EA77+Refurbished!EA84</f>
        <v>12551290.084382791</v>
      </c>
      <c r="EB129" s="19">
        <f>'B2B- Non Repair'!EB77+Refurbished!EB84</f>
        <v>13142363.067474306</v>
      </c>
      <c r="EC129" s="19">
        <f>'B2B- Non Repair'!EC77+Refurbished!EC84</f>
        <v>11695643.463631939</v>
      </c>
      <c r="ED129" s="19">
        <f>'B2B- Non Repair'!ED77+Refurbished!ED84</f>
        <v>13152867.562734963</v>
      </c>
      <c r="EE129" s="222"/>
      <c r="EF129" s="19">
        <f t="shared" si="517"/>
        <v>14681021</v>
      </c>
      <c r="EG129" s="19">
        <f t="shared" si="518"/>
        <v>12980822.466561738</v>
      </c>
      <c r="EH129" s="19">
        <f t="shared" si="519"/>
        <v>16040929.433500001</v>
      </c>
      <c r="EI129" s="19">
        <f t="shared" si="520"/>
        <v>13310505.165289348</v>
      </c>
      <c r="EJ129" s="19">
        <f t="shared" si="521"/>
        <v>13162363.175330512</v>
      </c>
      <c r="EK129" s="19">
        <f t="shared" si="522"/>
        <v>11071298.709999999</v>
      </c>
      <c r="EL129" s="19">
        <f t="shared" si="523"/>
        <v>12173154.526186399</v>
      </c>
      <c r="EM129" s="19">
        <f t="shared" si="524"/>
        <v>15865405.480508421</v>
      </c>
      <c r="EN129" s="19">
        <f t="shared" si="525"/>
        <v>15900049.50118644</v>
      </c>
      <c r="EO129" s="19">
        <f t="shared" si="526"/>
        <v>15330519</v>
      </c>
      <c r="EP129" s="19">
        <f t="shared" si="527"/>
        <v>19221525.949999999</v>
      </c>
      <c r="EQ129" s="19">
        <f t="shared" si="528"/>
        <v>23179925.990000002</v>
      </c>
      <c r="ER129" s="19">
        <f t="shared" si="529"/>
        <v>21790837.851882368</v>
      </c>
      <c r="ES129" s="19">
        <f t="shared" si="530"/>
        <v>21518779.710336909</v>
      </c>
      <c r="ET129" s="19">
        <f t="shared" si="531"/>
        <v>24226021.055974904</v>
      </c>
      <c r="EU129" s="19">
        <f t="shared" si="532"/>
        <v>27476705.312078618</v>
      </c>
      <c r="EV129" s="19">
        <f t="shared" si="533"/>
        <v>26826616.854591526</v>
      </c>
      <c r="EW129" s="19">
        <f t="shared" si="534"/>
        <v>26412112.679773591</v>
      </c>
      <c r="EX129" s="19">
        <f t="shared" si="535"/>
        <v>29568676.53789556</v>
      </c>
      <c r="EY129" s="19">
        <f t="shared" si="536"/>
        <v>33246148.731476925</v>
      </c>
      <c r="EZ129" s="19">
        <f t="shared" si="508"/>
        <v>30738338.083189756</v>
      </c>
      <c r="FA129" s="19">
        <f t="shared" si="509"/>
        <v>30230463.174620587</v>
      </c>
      <c r="FB129" s="19">
        <f t="shared" si="510"/>
        <v>33805663.292305842</v>
      </c>
      <c r="FC129" s="19">
        <f t="shared" si="511"/>
        <v>37990874.09384121</v>
      </c>
      <c r="FE129" s="19">
        <f t="shared" si="512"/>
        <v>57013278.065351091</v>
      </c>
      <c r="FF129" s="19">
        <f t="shared" si="513"/>
        <v>52272221.892025337</v>
      </c>
      <c r="FG129" s="19">
        <f t="shared" si="514"/>
        <v>73632020.441186428</v>
      </c>
      <c r="FH129" s="19">
        <f t="shared" si="515"/>
        <v>95012343.930272788</v>
      </c>
      <c r="FI129" s="19">
        <f t="shared" si="516"/>
        <v>116053554.80373761</v>
      </c>
      <c r="FJ129" s="770">
        <f t="shared" si="207"/>
        <v>132765338.64395739</v>
      </c>
      <c r="FK129" s="545" t="s">
        <v>1</v>
      </c>
    </row>
    <row r="130" spans="2:167" x14ac:dyDescent="0.2">
      <c r="B130" s="225" t="s">
        <v>238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>
        <f>'D2C Online'!C109</f>
        <v>0</v>
      </c>
      <c r="M130" s="19">
        <f>'D2C Online'!D109</f>
        <v>0</v>
      </c>
      <c r="N130" s="19">
        <f>'D2C Online'!E109</f>
        <v>0</v>
      </c>
      <c r="O130" s="19">
        <f>'D2C Online'!F109</f>
        <v>0</v>
      </c>
      <c r="P130" s="19">
        <f>'D2C Online'!G109</f>
        <v>0</v>
      </c>
      <c r="Q130" s="19">
        <f>'D2C Online'!H109</f>
        <v>0</v>
      </c>
      <c r="R130" s="19">
        <f>'D2C Online'!I109</f>
        <v>0</v>
      </c>
      <c r="S130" s="19">
        <f>'D2C Online'!J109</f>
        <v>0</v>
      </c>
      <c r="T130" s="19">
        <f>'D2C Online'!K109</f>
        <v>0</v>
      </c>
      <c r="U130" s="19">
        <f>'D2C Online'!L109</f>
        <v>0</v>
      </c>
      <c r="V130" s="19">
        <f>'D2C Online'!M109</f>
        <v>0</v>
      </c>
      <c r="W130" s="19">
        <f>'D2C Online'!N109</f>
        <v>0</v>
      </c>
      <c r="X130" s="19">
        <f>'D2C Online'!O109</f>
        <v>0</v>
      </c>
      <c r="Y130" s="19">
        <f>'D2C Online'!P109</f>
        <v>0</v>
      </c>
      <c r="Z130" s="19">
        <f>'D2C Online'!Q109</f>
        <v>0</v>
      </c>
      <c r="AA130" s="19">
        <f>'D2C Online'!R109</f>
        <v>0</v>
      </c>
      <c r="AB130" s="19">
        <f>'D2C Online'!S109</f>
        <v>0</v>
      </c>
      <c r="AC130" s="19">
        <f>'D2C Online'!T109</f>
        <v>0</v>
      </c>
      <c r="AD130" s="19">
        <f>'D2C Online'!U109</f>
        <v>0</v>
      </c>
      <c r="AE130" s="19">
        <f>'D2C Online'!V109</f>
        <v>0</v>
      </c>
      <c r="AF130" s="19">
        <f>'D2C Online'!W109</f>
        <v>0</v>
      </c>
      <c r="AG130" s="19">
        <f>'D2C Online'!X109</f>
        <v>0</v>
      </c>
      <c r="AH130" s="19">
        <f>'D2C Online'!Y109</f>
        <v>0</v>
      </c>
      <c r="AI130" s="19">
        <f>'D2C Online'!Z109</f>
        <v>0</v>
      </c>
      <c r="AJ130" s="19">
        <f>'D2C Online'!AA109</f>
        <v>0</v>
      </c>
      <c r="AK130" s="19">
        <f>'D2C Online'!AB109</f>
        <v>0</v>
      </c>
      <c r="AL130" s="19">
        <f>'D2C Online'!AC109</f>
        <v>0</v>
      </c>
      <c r="AM130" s="19">
        <f>'D2C Online'!AD109</f>
        <v>0</v>
      </c>
      <c r="AN130" s="19">
        <f>'D2C Online'!AE109</f>
        <v>0</v>
      </c>
      <c r="AO130" s="19">
        <f>'D2C Online'!AF109</f>
        <v>0</v>
      </c>
      <c r="AP130" s="19">
        <f>'D2C Online'!AG109</f>
        <v>0</v>
      </c>
      <c r="AQ130" s="19">
        <f>'D2C Online'!AH109</f>
        <v>0</v>
      </c>
      <c r="AR130" s="19">
        <f>'D2C Online'!AI109</f>
        <v>0</v>
      </c>
      <c r="AS130" s="19">
        <f>'D2C Online'!AJ109</f>
        <v>0</v>
      </c>
      <c r="AT130" s="19">
        <f>'D2C Online'!AK109</f>
        <v>0</v>
      </c>
      <c r="AU130" s="19">
        <f>'D2C Online'!AL109</f>
        <v>0</v>
      </c>
      <c r="AV130" s="19">
        <f>'D2C Online'!AM109</f>
        <v>0</v>
      </c>
      <c r="AW130" s="19">
        <f>'D2C Online'!AN109</f>
        <v>0</v>
      </c>
      <c r="AX130" s="19">
        <f>'D2C Online'!AO109</f>
        <v>0</v>
      </c>
      <c r="AY130" s="19">
        <f>'D2C Online'!AP109</f>
        <v>0</v>
      </c>
      <c r="AZ130" s="19">
        <f>'D2C Online'!AQ109</f>
        <v>0</v>
      </c>
      <c r="BA130" s="19">
        <f>'D2C Online'!AR109</f>
        <v>0</v>
      </c>
      <c r="BB130" s="19">
        <f>'D2C Online'!AS109</f>
        <v>0</v>
      </c>
      <c r="BC130" s="19">
        <f>'D2C Online'!AT109</f>
        <v>0</v>
      </c>
      <c r="BD130" s="19">
        <f>'D2C Online'!AU109</f>
        <v>0</v>
      </c>
      <c r="BE130" s="19">
        <f>'D2C Online'!AV109</f>
        <v>0</v>
      </c>
      <c r="BF130" s="19">
        <f>'D2C Online'!AW109</f>
        <v>0</v>
      </c>
      <c r="BG130" s="19">
        <f>'D2C Online'!AX109</f>
        <v>0</v>
      </c>
      <c r="BH130" s="19">
        <f>'D2C Online'!AY109</f>
        <v>0</v>
      </c>
      <c r="BI130" s="19">
        <f>'D2C Online'!AZ109+'D2C - Retail'!AI137</f>
        <v>1946063</v>
      </c>
      <c r="BJ130" s="19">
        <f>'D2C Online'!BA109+'D2C - Retail'!AJ137</f>
        <v>9167497.6551724151</v>
      </c>
      <c r="BK130" s="19">
        <f>'D2C Online'!BB109+'D2C - Retail'!AK137</f>
        <v>9539631</v>
      </c>
      <c r="BL130" s="19">
        <f>'D2C Online'!BC109+'D2C - Retail'!AL137</f>
        <v>7547098</v>
      </c>
      <c r="BM130" s="19">
        <f>'D2C Online'!BD109+'D2C - Retail'!AM137</f>
        <v>7900727</v>
      </c>
      <c r="BN130" s="19">
        <f>'D2C Online'!BE109+'D2C - Retail'!AN137</f>
        <v>6722614</v>
      </c>
      <c r="BO130" s="19">
        <f>'D2C Online'!BF109+'D2C - Retail'!AO137</f>
        <v>6929976</v>
      </c>
      <c r="BP130" s="19">
        <f>'D2C Online'!BG109+'D2C - Retail'!AP137</f>
        <v>7280096.6634382606</v>
      </c>
      <c r="BQ130" s="19">
        <f>'D2C Online'!BH109+'D2C - Retail'!AQ137</f>
        <v>12903975.646499999</v>
      </c>
      <c r="BR130" s="19">
        <f>'D2C Online'!BI109+'D2C - Retail'!AR137</f>
        <v>8280114</v>
      </c>
      <c r="BS130" s="19">
        <f>'D2C Online'!BJ109+'D2C - Retail'!AS137</f>
        <v>4932356</v>
      </c>
      <c r="BT130" s="19">
        <f>'D2C Online'!BK109+'D2C - Retail'!AT137</f>
        <v>5451347</v>
      </c>
      <c r="BU130" s="19">
        <f>'D2C Online'!BL109+'D2C - Retail'!AU137</f>
        <v>4738914.7740000011</v>
      </c>
      <c r="BV130" s="19">
        <f>'D2C Online'!BM109+'D2C - Retail'!AV137</f>
        <v>6468526</v>
      </c>
      <c r="BW130" s="19">
        <f>'D2C Online'!BN109+'D2C - Retail'!AW137</f>
        <v>6337100</v>
      </c>
      <c r="BX130" s="19">
        <f>'D2C Online'!BO109+'D2C - Retail'!AX137</f>
        <v>8677914.0789067801</v>
      </c>
      <c r="BY130" s="19">
        <f>'D2C Online'!BP109+'D2C - Retail'!AY137</f>
        <v>11647302.74576271</v>
      </c>
      <c r="BZ130" s="19">
        <f>'D2C Online'!BQ109+'D2C - Retail'!AZ137</f>
        <v>12674060</v>
      </c>
      <c r="CA130" s="19">
        <f>'D2C Online'!BR109+'D2C - Retail'!BA137</f>
        <v>9882386</v>
      </c>
      <c r="CB130" s="19">
        <f>'D2C Online'!BS109+'D2C - Retail'!BB137</f>
        <v>8934495.2711864505</v>
      </c>
      <c r="CC130" s="19">
        <f>'D2C Online'!BT109+'D2C - Retail'!BC137</f>
        <v>11939815.520847499</v>
      </c>
      <c r="CD130" s="19">
        <f>'D2C Online'!BU109+'D2C - Retail'!BD137</f>
        <v>12580016.084745759</v>
      </c>
      <c r="CE130" s="19">
        <f>'D2C Online'!BV109+'D2C - Retail'!BE137</f>
        <v>12798453</v>
      </c>
      <c r="CF130" s="19">
        <f>'D2C Online'!BW109+'D2C - Retail'!BF137</f>
        <v>12390442</v>
      </c>
      <c r="CG130" s="19">
        <f>'D2C Online'!BX109+'D2C - Retail'!BG137</f>
        <v>10067514</v>
      </c>
      <c r="CH130" s="19">
        <f>'D2C Online'!BY109+'D2C - Retail'!BH137</f>
        <v>16270469.74576271</v>
      </c>
      <c r="CI130" s="19">
        <f>'D2C Online'!BZ109+'D2C - Retail'!BI137</f>
        <v>15699671.40677966</v>
      </c>
      <c r="CJ130" s="19">
        <f>'D2C Online'!CA109+'D2C - Retail'!BJ137</f>
        <v>15342844.357493721</v>
      </c>
      <c r="CK130" s="19">
        <f>'D2C Online'!CB109+'D2C - Retail'!BK137</f>
        <v>17577363.525423728</v>
      </c>
      <c r="CL130" s="19">
        <f>'D2C Online'!CC109+'D2C - Retail'!BL137</f>
        <v>16948041</v>
      </c>
      <c r="CM130" s="19">
        <f>'D2C Online'!CD109+'D2C - Retail'!BM137</f>
        <v>12723547</v>
      </c>
      <c r="CN130" s="19">
        <f>'D2C Online'!CE109+'D2C - Retail'!BN137</f>
        <v>13930642.22823</v>
      </c>
      <c r="CO130" s="19">
        <f>'D2C Online'!CF109+'D2C - Retail'!BO137</f>
        <v>17915499.447999999</v>
      </c>
      <c r="CP130" s="19">
        <f>'D2C Online'!CG109+'D2C - Retail'!BP137</f>
        <v>10823161.3706</v>
      </c>
      <c r="CQ130" s="19">
        <f>'D2C Online'!CH109+'D2C - Retail'!BQ137</f>
        <v>9115835.8649999984</v>
      </c>
      <c r="CR130" s="19">
        <f>'D2C Online'!CI109+'D2C - Retail'!BR137</f>
        <v>11393843.230640002</v>
      </c>
      <c r="CS130" s="19">
        <f>'D2C Online'!CJ109+'D2C - Retail'!BS137</f>
        <v>9873136.2377599999</v>
      </c>
      <c r="CT130" s="19">
        <f>'D2C Online'!CK109+'D2C - Retail'!BT137</f>
        <v>11583400.591449998</v>
      </c>
      <c r="CU130" s="19">
        <f>'D2C Online'!CL109+'D2C - Retail'!BU137</f>
        <v>10444205.308564749</v>
      </c>
      <c r="CV130" s="19">
        <f>'D2C Online'!CM109+'D2C - Retail'!BV137</f>
        <v>10449171.690254575</v>
      </c>
      <c r="CW130" s="19">
        <f>'D2C Online'!CN109+'D2C - Retail'!BW137</f>
        <v>10437296.187811887</v>
      </c>
      <c r="CX130" s="19">
        <f>'D2C Online'!CO109+'D2C - Retail'!BX137</f>
        <v>10812197.77879907</v>
      </c>
      <c r="CY130" s="19">
        <f>'D2C Online'!CP109+'D2C - Retail'!BY137</f>
        <v>10018570.962024374</v>
      </c>
      <c r="CZ130" s="19">
        <f>'D2C Online'!CQ109+'D2C - Retail'!BZ137</f>
        <v>10446576.733232431</v>
      </c>
      <c r="DA130" s="19">
        <f>'D2C Online'!CR109+'D2C - Retail'!CA137</f>
        <v>10951278.156295773</v>
      </c>
      <c r="DB130" s="19">
        <f>'D2C Online'!CS109+'D2C - Retail'!CB137</f>
        <v>10684257.2887493</v>
      </c>
      <c r="DC130" s="19">
        <f>'D2C Online'!CT109+'D2C - Retail'!CC137</f>
        <v>12989561.294379715</v>
      </c>
      <c r="DD130" s="19">
        <f>'D2C Online'!CU109+'D2C - Retail'!CD137</f>
        <v>13787659.415092701</v>
      </c>
      <c r="DE130" s="19">
        <f>'D2C Online'!CV109+'D2C - Retail'!CE137</f>
        <v>12113271.063014377</v>
      </c>
      <c r="DF130" s="19">
        <f>'D2C Online'!CW109+'D2C - Retail'!CF137</f>
        <v>13399695.166199466</v>
      </c>
      <c r="DG130" s="19">
        <f>'D2C Online'!CX109+'D2C - Retail'!CG137</f>
        <v>12497105.304088458</v>
      </c>
      <c r="DH130" s="19">
        <f>'D2C Online'!CY109+'D2C - Retail'!CH137</f>
        <v>12510223.776569879</v>
      </c>
      <c r="DI130" s="19">
        <f>'D2C Online'!CZ109+'D2C - Retail'!CI137</f>
        <v>12475429.407663781</v>
      </c>
      <c r="DJ130" s="19">
        <f>'D2C Online'!DA109+'D2C - Retail'!CJ137</f>
        <v>12926645.976011377</v>
      </c>
      <c r="DK130" s="19">
        <f>'D2C Online'!DB109+'D2C - Retail'!CK137</f>
        <v>11965600.271375915</v>
      </c>
      <c r="DL130" s="19">
        <f>'D2C Online'!DC109+'D2C - Retail'!CL137</f>
        <v>12456966.271772176</v>
      </c>
      <c r="DM130" s="19">
        <f>'D2C Online'!DD109+'D2C - Retail'!CM137</f>
        <v>13062359.060717225</v>
      </c>
      <c r="DN130" s="19">
        <f>'D2C Online'!DE109+'D2C - Retail'!CN137</f>
        <v>12717609.653065173</v>
      </c>
      <c r="DO130" s="19">
        <f>'D2C Online'!DF109+'D2C - Retail'!CO137</f>
        <v>15444497.139116663</v>
      </c>
      <c r="DP130" s="19">
        <f>'D2C Online'!DG109+'D2C - Retail'!CP137</f>
        <v>16371302.318700649</v>
      </c>
      <c r="DQ130" s="19">
        <f>'D2C Online'!DH109+'D2C - Retail'!CQ137</f>
        <v>14362811.433340281</v>
      </c>
      <c r="DR130" s="19">
        <f>'D2C Online'!DI109+'D2C - Retail'!CR137</f>
        <v>15832946.901588224</v>
      </c>
      <c r="DS130" s="19">
        <f>'D2C Online'!DJ109+'D2C - Retail'!CS137</f>
        <v>14621899.937562069</v>
      </c>
      <c r="DT130" s="19">
        <f>'D2C Online'!DK109+'D2C - Retail'!CT137</f>
        <v>14636251.804417014</v>
      </c>
      <c r="DU130" s="19">
        <f>'D2C Online'!DL109+'D2C - Retail'!CU137</f>
        <v>14593514.52272157</v>
      </c>
      <c r="DV130" s="19">
        <f>'D2C Online'!DM109+'D2C - Retail'!CV137</f>
        <v>15111272.542038161</v>
      </c>
      <c r="DW130" s="19">
        <f>'D2C Online'!DN109+'D2C - Retail'!CW137</f>
        <v>13989067.318532359</v>
      </c>
      <c r="DX130" s="19">
        <f>'D2C Online'!DO109+'D2C - Retail'!CX137</f>
        <v>14578819.178765267</v>
      </c>
      <c r="DY130" s="19">
        <f>'D2C Online'!DP109+'D2C - Retail'!CY137</f>
        <v>15255451.150555849</v>
      </c>
      <c r="DZ130" s="19">
        <f>'D2C Online'!DQ109+'D2C - Retail'!CZ137</f>
        <v>14861361.161590692</v>
      </c>
      <c r="EA130" s="19">
        <f>'D2C Online'!DR109+'D2C - Retail'!DA137</f>
        <v>18055313.919021808</v>
      </c>
      <c r="EB130" s="19">
        <f>'D2C Online'!DS109+'D2C - Retail'!DB137</f>
        <v>19147087.070150312</v>
      </c>
      <c r="EC130" s="19">
        <f>'D2C Online'!DT109+'D2C - Retail'!DC137</f>
        <v>16782292.49891812</v>
      </c>
      <c r="ED130" s="19">
        <f>'D2C Online'!DU109+'D2C - Retail'!DD137</f>
        <v>18489898.172516443</v>
      </c>
      <c r="EE130" s="222"/>
      <c r="EF130" s="19">
        <f t="shared" si="517"/>
        <v>24987456</v>
      </c>
      <c r="EG130" s="19">
        <f t="shared" si="518"/>
        <v>20932686.663438261</v>
      </c>
      <c r="EH130" s="19">
        <f t="shared" si="519"/>
        <v>26116445.646499999</v>
      </c>
      <c r="EI130" s="19">
        <f t="shared" si="520"/>
        <v>16658787.774</v>
      </c>
      <c r="EJ130" s="19">
        <f t="shared" si="521"/>
        <v>26662316.824669488</v>
      </c>
      <c r="EK130" s="19">
        <f t="shared" si="522"/>
        <v>31490941.271186449</v>
      </c>
      <c r="EL130" s="19">
        <f t="shared" si="523"/>
        <v>37318284.605593257</v>
      </c>
      <c r="EM130" s="19">
        <f t="shared" si="524"/>
        <v>38728425.745762706</v>
      </c>
      <c r="EN130" s="19">
        <f t="shared" si="525"/>
        <v>48619879.289697111</v>
      </c>
      <c r="EO130" s="19">
        <f t="shared" si="526"/>
        <v>43602230.22823</v>
      </c>
      <c r="EP130" s="19">
        <f t="shared" si="527"/>
        <v>37854496.683599994</v>
      </c>
      <c r="EQ130" s="19">
        <f t="shared" si="528"/>
        <v>32850380.05985</v>
      </c>
      <c r="ER130" s="19">
        <f t="shared" si="529"/>
        <v>31330673.18663121</v>
      </c>
      <c r="ES130" s="19">
        <f t="shared" si="530"/>
        <v>31277345.474055875</v>
      </c>
      <c r="ET130" s="19">
        <f t="shared" si="531"/>
        <v>34625096.739424787</v>
      </c>
      <c r="EU130" s="19">
        <f t="shared" si="532"/>
        <v>39300625.644306548</v>
      </c>
      <c r="EV130" s="19">
        <f t="shared" si="533"/>
        <v>37482758.488322124</v>
      </c>
      <c r="EW130" s="19">
        <f t="shared" si="534"/>
        <v>37349212.519159466</v>
      </c>
      <c r="EX130" s="19">
        <f t="shared" si="535"/>
        <v>41224465.85289906</v>
      </c>
      <c r="EY130" s="19">
        <f t="shared" si="536"/>
        <v>46567060.653629154</v>
      </c>
      <c r="EZ130" s="19">
        <f t="shared" si="508"/>
        <v>43851666.264700651</v>
      </c>
      <c r="FA130" s="19">
        <f t="shared" si="509"/>
        <v>43679159.039335787</v>
      </c>
      <c r="FB130" s="19">
        <f t="shared" si="510"/>
        <v>48172126.231168345</v>
      </c>
      <c r="FC130" s="19">
        <f t="shared" si="511"/>
        <v>54419277.741584875</v>
      </c>
      <c r="FE130" s="19">
        <f t="shared" si="512"/>
        <v>88695376.083938256</v>
      </c>
      <c r="FF130" s="19">
        <f t="shared" si="513"/>
        <v>134199968.44721189</v>
      </c>
      <c r="FG130" s="19">
        <f t="shared" si="514"/>
        <v>162926986.2613771</v>
      </c>
      <c r="FH130" s="19">
        <f t="shared" si="515"/>
        <v>136533741.04441842</v>
      </c>
      <c r="FI130" s="19">
        <f t="shared" si="516"/>
        <v>162623497.5140098</v>
      </c>
      <c r="FJ130" s="770">
        <f t="shared" si="207"/>
        <v>190122229.27678964</v>
      </c>
      <c r="FK130" s="545" t="s">
        <v>1</v>
      </c>
    </row>
    <row r="131" spans="2:167" x14ac:dyDescent="0.2">
      <c r="B131" s="225" t="s">
        <v>36</v>
      </c>
      <c r="C131" s="19">
        <f>'B2B- Non Repair'!C78</f>
        <v>0</v>
      </c>
      <c r="D131" s="19">
        <f>'B2B- Non Repair'!D78</f>
        <v>0</v>
      </c>
      <c r="E131" s="19">
        <f>'B2B- Non Repair'!E78</f>
        <v>0</v>
      </c>
      <c r="F131" s="19">
        <f>'B2B- Non Repair'!F78</f>
        <v>0</v>
      </c>
      <c r="G131" s="19">
        <f>'B2B- Non Repair'!G78</f>
        <v>0</v>
      </c>
      <c r="H131" s="19">
        <f>'B2B- Non Repair'!H78</f>
        <v>0</v>
      </c>
      <c r="I131" s="19">
        <f>'B2B- Non Repair'!I78</f>
        <v>0</v>
      </c>
      <c r="J131" s="19">
        <f>'B2B- Non Repair'!J78</f>
        <v>0</v>
      </c>
      <c r="K131" s="19">
        <f>'B2B- Non Repair'!K78</f>
        <v>0</v>
      </c>
      <c r="L131" s="19">
        <f>'B2B- Non Repair'!L78</f>
        <v>0</v>
      </c>
      <c r="M131" s="19">
        <f>'B2B- Non Repair'!M78</f>
        <v>0</v>
      </c>
      <c r="N131" s="19">
        <f>'B2B- Non Repair'!N78</f>
        <v>0</v>
      </c>
      <c r="O131" s="19">
        <f>'B2B- Non Repair'!O78</f>
        <v>0</v>
      </c>
      <c r="P131" s="19">
        <f>'B2B- Non Repair'!P78</f>
        <v>0</v>
      </c>
      <c r="Q131" s="19">
        <f>'B2B- Non Repair'!Q78</f>
        <v>132236</v>
      </c>
      <c r="R131" s="19">
        <f>'B2B- Non Repair'!R78</f>
        <v>246328</v>
      </c>
      <c r="S131" s="19">
        <f>'B2B- Non Repair'!S78</f>
        <v>100000</v>
      </c>
      <c r="T131" s="19">
        <f>'B2B- Non Repair'!T78</f>
        <v>0</v>
      </c>
      <c r="U131" s="19">
        <f>'B2B- Non Repair'!U78</f>
        <v>22200</v>
      </c>
      <c r="V131" s="19">
        <f>'B2B- Non Repair'!V78</f>
        <v>0</v>
      </c>
      <c r="W131" s="19">
        <f>'B2B- Non Repair'!W78</f>
        <v>3664</v>
      </c>
      <c r="X131" s="19">
        <f>'B2B- Non Repair'!X78</f>
        <v>0</v>
      </c>
      <c r="Y131" s="19">
        <f>'B2B- Non Repair'!Y78</f>
        <v>15400</v>
      </c>
      <c r="Z131" s="19">
        <f>'B2B- Non Repair'!Z78</f>
        <v>10780</v>
      </c>
      <c r="AA131" s="19">
        <f>'B2B- Non Repair'!AA78</f>
        <v>0</v>
      </c>
      <c r="AB131" s="19">
        <f>'B2B- Non Repair'!AB78</f>
        <v>0</v>
      </c>
      <c r="AC131" s="19">
        <f>'B2B- Non Repair'!AC78</f>
        <v>0</v>
      </c>
      <c r="AD131" s="19">
        <f>'B2B- Non Repair'!AD78</f>
        <v>0</v>
      </c>
      <c r="AE131" s="19">
        <f>'B2B- Non Repair'!AE78</f>
        <v>0</v>
      </c>
      <c r="AF131" s="19">
        <f>'B2B- Non Repair'!AF78</f>
        <v>0</v>
      </c>
      <c r="AG131" s="19">
        <f>'B2B- Non Repair'!AG78</f>
        <v>991235</v>
      </c>
      <c r="AH131" s="19">
        <f>'B2B- Non Repair'!AH78</f>
        <v>27047</v>
      </c>
      <c r="AI131" s="19">
        <f>'B2B- Non Repair'!AI78</f>
        <v>636741</v>
      </c>
      <c r="AJ131" s="19">
        <f>'B2B- Non Repair'!AJ78</f>
        <v>525417</v>
      </c>
      <c r="AK131" s="19">
        <f>'B2B- Non Repair'!AK78</f>
        <v>994895</v>
      </c>
      <c r="AL131" s="19">
        <f>'B2B- Non Repair'!AL78</f>
        <v>524193</v>
      </c>
      <c r="AM131" s="19">
        <f>'B2B- Non Repair'!AM78</f>
        <v>526382</v>
      </c>
      <c r="AN131" s="19">
        <f>'B2B- Non Repair'!AN78</f>
        <v>183628</v>
      </c>
      <c r="AO131" s="19">
        <f>'B2B- Non Repair'!AO78</f>
        <v>486306</v>
      </c>
      <c r="AP131" s="19">
        <f>'B2B- Non Repair'!AP78</f>
        <v>629079</v>
      </c>
      <c r="AQ131" s="19">
        <f>'B2B- Non Repair'!AQ78</f>
        <v>893154</v>
      </c>
      <c r="AR131" s="19">
        <f>'B2B- Non Repair'!AR78</f>
        <v>1037449</v>
      </c>
      <c r="AS131" s="19">
        <f>'B2B- Non Repair'!AS78</f>
        <v>1358157</v>
      </c>
      <c r="AT131" s="19">
        <f>'B2B- Non Repair'!AT78</f>
        <v>1180268</v>
      </c>
      <c r="AU131" s="19">
        <f>'B2B- Non Repair'!AU78</f>
        <v>1431850</v>
      </c>
      <c r="AV131" s="19">
        <f>'B2B- Non Repair'!AV78</f>
        <v>1283728</v>
      </c>
      <c r="AW131" s="19">
        <f>'B2B- Non Repair'!AW78</f>
        <v>1284172</v>
      </c>
      <c r="AX131" s="19">
        <f>'B2B- Non Repair'!AX78</f>
        <v>1091070</v>
      </c>
      <c r="AY131" s="19">
        <f>'B2B- Non Repair'!AY78</f>
        <v>757143</v>
      </c>
      <c r="AZ131" s="19">
        <f>'B2B- Non Repair'!AZ78</f>
        <v>835450</v>
      </c>
      <c r="BA131" s="19">
        <f>'B2B- Non Repair'!BA78</f>
        <v>611523</v>
      </c>
      <c r="BB131" s="19">
        <f>'B2B- Non Repair'!BB78</f>
        <v>688281</v>
      </c>
      <c r="BC131" s="19">
        <f>'B2B- Non Repair'!BC78</f>
        <v>785268</v>
      </c>
      <c r="BD131" s="19">
        <f>'B2B- Non Repair'!BD78</f>
        <v>833268</v>
      </c>
      <c r="BE131" s="19">
        <f>'B2B- Non Repair'!BE78</f>
        <v>773124</v>
      </c>
      <c r="BF131" s="19">
        <f>'B2B- Non Repair'!BF78</f>
        <v>973784</v>
      </c>
      <c r="BG131" s="19">
        <f>'B2B- Non Repair'!BG78</f>
        <v>1210258</v>
      </c>
      <c r="BH131" s="19">
        <f>'B2B- Non Repair'!BH78</f>
        <v>1070468</v>
      </c>
      <c r="BI131" s="19">
        <f>'B2B- Non Repair'!BI78</f>
        <v>860902</v>
      </c>
      <c r="BJ131" s="19">
        <f>'B2B- Non Repair'!BJ78</f>
        <v>996898</v>
      </c>
      <c r="BK131" s="19">
        <f>'B2B- Non Repair'!BK78</f>
        <v>857850</v>
      </c>
      <c r="BL131" s="19">
        <f>'B2B- Non Repair'!BL78</f>
        <v>885705</v>
      </c>
      <c r="BM131" s="19">
        <f>'B2B- Non Repair'!BM78</f>
        <v>651765</v>
      </c>
      <c r="BN131" s="19">
        <f>'B2B- Non Repair'!BN78</f>
        <v>661890</v>
      </c>
      <c r="BO131" s="19">
        <f>'B2B- Non Repair'!BO78</f>
        <v>717165</v>
      </c>
      <c r="BP131" s="19">
        <f>'B2B- Non Repair'!BP78</f>
        <v>707160</v>
      </c>
      <c r="BQ131" s="19">
        <f>'B2B- Non Repair'!BQ78</f>
        <v>594480</v>
      </c>
      <c r="BR131" s="19">
        <f>'B2B- Non Repair'!BR78</f>
        <v>700800</v>
      </c>
      <c r="BS131" s="19">
        <f>'B2B- Non Repair'!BS78</f>
        <v>523785</v>
      </c>
      <c r="BT131" s="19">
        <f>'B2B- Non Repair'!BT78</f>
        <v>486195</v>
      </c>
      <c r="BU131" s="19">
        <f>'B2B- Non Repair'!BU78</f>
        <v>501645</v>
      </c>
      <c r="BV131" s="19">
        <f>'B2B- Non Repair'!BV78</f>
        <v>495225</v>
      </c>
      <c r="BW131" s="19">
        <f>'B2B- Non Repair'!BW78</f>
        <v>522030</v>
      </c>
      <c r="BX131" s="19">
        <f>'B2B- Non Repair'!BX78</f>
        <v>587160</v>
      </c>
      <c r="BY131" s="19">
        <f>'B2B- Non Repair'!BY78</f>
        <v>567930</v>
      </c>
      <c r="BZ131" s="19">
        <f>'B2B- Non Repair'!BZ78</f>
        <v>596655</v>
      </c>
      <c r="CA131" s="19">
        <f>'B2B- Non Repair'!CA78</f>
        <v>529095</v>
      </c>
      <c r="CB131" s="19">
        <f>'B2B- Non Repair'!CB78</f>
        <v>477675</v>
      </c>
      <c r="CC131" s="19">
        <f>'B2B- Non Repair'!CC78</f>
        <v>502500</v>
      </c>
      <c r="CD131" s="19">
        <f>'B2B- Non Repair'!CD78</f>
        <v>538455</v>
      </c>
      <c r="CE131" s="19">
        <f>'B2B- Non Repair'!CE78</f>
        <v>687360</v>
      </c>
      <c r="CF131" s="19">
        <f>'B2B- Non Repair'!CF78</f>
        <v>762930</v>
      </c>
      <c r="CG131" s="19">
        <f>'B2B- Non Repair'!CG78</f>
        <v>703875</v>
      </c>
      <c r="CH131" s="19">
        <f>'B2B- Non Repair'!CH78</f>
        <v>888150</v>
      </c>
      <c r="CI131" s="19">
        <f>'B2B- Non Repair'!CI78</f>
        <v>786195</v>
      </c>
      <c r="CJ131" s="19">
        <f>'B2B- Non Repair'!CJ78</f>
        <v>815175</v>
      </c>
      <c r="CK131" s="19">
        <f>'B2B- Non Repair'!CK78</f>
        <v>775920</v>
      </c>
      <c r="CL131" s="19">
        <f>'B2B- Non Repair'!CL78</f>
        <v>774975</v>
      </c>
      <c r="CM131" s="19">
        <f>'B2B- Non Repair'!CM78</f>
        <v>722565</v>
      </c>
      <c r="CN131" s="19">
        <f>'B2B- Non Repair'!CN78</f>
        <v>628275</v>
      </c>
      <c r="CO131" s="19">
        <f>'B2B- Non Repair'!CO78</f>
        <v>737250</v>
      </c>
      <c r="CP131" s="19">
        <f>'B2B- Non Repair'!CP78</f>
        <v>907320</v>
      </c>
      <c r="CQ131" s="19">
        <f>'B2B- Non Repair'!CQ78</f>
        <v>1010580</v>
      </c>
      <c r="CR131" s="19">
        <f>'B2B- Non Repair'!CR78</f>
        <v>950055</v>
      </c>
      <c r="CS131" s="19">
        <f>'B2B- Non Repair'!CS78</f>
        <v>927878.46216000011</v>
      </c>
      <c r="CT131" s="19">
        <f>'B2B- Non Repair'!CT78</f>
        <v>894185.59031399991</v>
      </c>
      <c r="CU131" s="19">
        <f>'B2B- Non Repair'!CU78</f>
        <v>1105368.126519724</v>
      </c>
      <c r="CV131" s="19">
        <f>'B2B- Non Repair'!CV78</f>
        <v>1145838.9535491823</v>
      </c>
      <c r="CW131" s="19">
        <f>'B2B- Non Repair'!CW78</f>
        <v>1080773.8058343804</v>
      </c>
      <c r="CX131" s="19">
        <f>'B2B- Non Repair'!CX78</f>
        <v>1081009.1248904939</v>
      </c>
      <c r="CY131" s="19">
        <f>'B2B- Non Repair'!CY78</f>
        <v>1005974.817777867</v>
      </c>
      <c r="CZ131" s="19">
        <f>'B2B- Non Repair'!CZ78</f>
        <v>876465.06308276276</v>
      </c>
      <c r="DA131" s="19">
        <f>'B2B- Non Repair'!DA78</f>
        <v>1026329.1657808989</v>
      </c>
      <c r="DB131" s="19">
        <f>'B2B- Non Repair'!DB78</f>
        <v>1268539.2827534641</v>
      </c>
      <c r="DC131" s="19">
        <f>'B2B- Non Repair'!DC78</f>
        <v>1413326.3374395806</v>
      </c>
      <c r="DD131" s="19">
        <f>'B2B- Non Repair'!DD78</f>
        <v>1324464.6838902554</v>
      </c>
      <c r="DE131" s="19">
        <f>'B2B- Non Repair'!DE78</f>
        <v>1292221.1024973567</v>
      </c>
      <c r="DF131" s="19">
        <f>'B2B- Non Repair'!DF78</f>
        <v>1243375.5063150888</v>
      </c>
      <c r="DG131" s="19">
        <f>'B2B- Non Repair'!DG78</f>
        <v>1450795.6660571375</v>
      </c>
      <c r="DH131" s="19">
        <f>'B2B- Non Repair'!DH78</f>
        <v>1503913.6265333018</v>
      </c>
      <c r="DI131" s="19">
        <f>'B2B- Non Repair'!DI78</f>
        <v>1418515.6201576246</v>
      </c>
      <c r="DJ131" s="19">
        <f>'B2B- Non Repair'!DJ78</f>
        <v>1418824.4764187732</v>
      </c>
      <c r="DK131" s="19">
        <f>'B2B- Non Repair'!DK78</f>
        <v>1320341.9483334506</v>
      </c>
      <c r="DL131" s="19">
        <f>'B2B- Non Repair'!DL78</f>
        <v>1150360.3952961261</v>
      </c>
      <c r="DM131" s="19">
        <f>'B2B- Non Repair'!DM78</f>
        <v>1347057.0300874298</v>
      </c>
      <c r="DN131" s="19">
        <f>'B2B- Non Repair'!DN78</f>
        <v>1664957.8086139217</v>
      </c>
      <c r="DO131" s="19">
        <f>'B2B- Non Repair'!DO78</f>
        <v>1854990.8178894497</v>
      </c>
      <c r="DP131" s="19">
        <f>'B2B- Non Repair'!DP78</f>
        <v>1738359.8976059603</v>
      </c>
      <c r="DQ131" s="19">
        <f>'B2B- Non Repair'!DQ78</f>
        <v>1696040.1970277806</v>
      </c>
      <c r="DR131" s="19">
        <f>'B2B- Non Repair'!DR78</f>
        <v>1631930.3520385541</v>
      </c>
      <c r="DS131" s="19">
        <f>'B2B- Non Repair'!DS78</f>
        <v>1828002.5392319937</v>
      </c>
      <c r="DT131" s="19">
        <f>'B2B- Non Repair'!DT78</f>
        <v>1894931.1694319602</v>
      </c>
      <c r="DU131" s="19">
        <f>'B2B- Non Repair'!DU78</f>
        <v>1787329.6813986069</v>
      </c>
      <c r="DV131" s="19">
        <f>'B2B- Non Repair'!DV78</f>
        <v>1787718.8402876544</v>
      </c>
      <c r="DW131" s="19">
        <f>'B2B- Non Repair'!DW78</f>
        <v>1663630.8549001475</v>
      </c>
      <c r="DX131" s="19">
        <f>'B2B- Non Repair'!DX78</f>
        <v>1449454.0980731186</v>
      </c>
      <c r="DY131" s="19">
        <f>'B2B- Non Repair'!DY78</f>
        <v>1697291.8579101616</v>
      </c>
      <c r="DZ131" s="19">
        <f>'B2B- Non Repair'!DZ78</f>
        <v>2097846.8388535418</v>
      </c>
      <c r="EA131" s="19">
        <f>'B2B- Non Repair'!EA78</f>
        <v>2337288.4305407065</v>
      </c>
      <c r="EB131" s="19">
        <f>'B2B- Non Repair'!EB78</f>
        <v>2190333.4709835099</v>
      </c>
      <c r="EC131" s="19">
        <f>'B2B- Non Repair'!EC78</f>
        <v>2137010.6482550036</v>
      </c>
      <c r="ED131" s="19">
        <f>'B2B- Non Repair'!ED78</f>
        <v>2056232.2435685783</v>
      </c>
      <c r="EE131" s="222"/>
      <c r="EF131" s="19">
        <f t="shared" si="517"/>
        <v>2395320</v>
      </c>
      <c r="EG131" s="19">
        <f t="shared" si="518"/>
        <v>2086215</v>
      </c>
      <c r="EH131" s="19">
        <f t="shared" si="519"/>
        <v>1819065</v>
      </c>
      <c r="EI131" s="19">
        <f t="shared" si="520"/>
        <v>1483065</v>
      </c>
      <c r="EJ131" s="19">
        <f t="shared" si="521"/>
        <v>1677120</v>
      </c>
      <c r="EK131" s="19">
        <f t="shared" si="522"/>
        <v>1603425</v>
      </c>
      <c r="EL131" s="19">
        <f t="shared" si="523"/>
        <v>1728315</v>
      </c>
      <c r="EM131" s="19">
        <f t="shared" si="524"/>
        <v>2354955</v>
      </c>
      <c r="EN131" s="19">
        <f t="shared" si="525"/>
        <v>2377290</v>
      </c>
      <c r="EO131" s="19">
        <f t="shared" si="526"/>
        <v>2125815</v>
      </c>
      <c r="EP131" s="19">
        <f t="shared" si="527"/>
        <v>2655150</v>
      </c>
      <c r="EQ131" s="19">
        <f t="shared" si="528"/>
        <v>2772119.052474</v>
      </c>
      <c r="ER131" s="19">
        <f t="shared" si="529"/>
        <v>3331980.8859032867</v>
      </c>
      <c r="ES131" s="19">
        <f t="shared" si="530"/>
        <v>2963449.0057511237</v>
      </c>
      <c r="ET131" s="19">
        <f t="shared" si="531"/>
        <v>3708194.7859739438</v>
      </c>
      <c r="EU131" s="19">
        <f t="shared" si="532"/>
        <v>3860061.2927027009</v>
      </c>
      <c r="EV131" s="19">
        <f t="shared" si="533"/>
        <v>4373224.9127480639</v>
      </c>
      <c r="EW131" s="19">
        <f t="shared" si="534"/>
        <v>3889526.8200483499</v>
      </c>
      <c r="EX131" s="19">
        <f t="shared" si="535"/>
        <v>4867005.6565908007</v>
      </c>
      <c r="EY131" s="19">
        <f t="shared" si="536"/>
        <v>5066330.4466722952</v>
      </c>
      <c r="EZ131" s="19">
        <f t="shared" si="508"/>
        <v>5510263.3900625613</v>
      </c>
      <c r="FA131" s="19">
        <f t="shared" si="509"/>
        <v>4900803.7932609208</v>
      </c>
      <c r="FB131" s="19">
        <f t="shared" si="510"/>
        <v>6132427.1273044106</v>
      </c>
      <c r="FC131" s="19">
        <f t="shared" si="511"/>
        <v>6383576.3628070913</v>
      </c>
      <c r="FE131" s="19">
        <f t="shared" si="512"/>
        <v>7783665</v>
      </c>
      <c r="FF131" s="19">
        <f t="shared" si="513"/>
        <v>7363815</v>
      </c>
      <c r="FG131" s="19">
        <f t="shared" si="514"/>
        <v>9930374.0524739996</v>
      </c>
      <c r="FH131" s="19">
        <f t="shared" si="515"/>
        <v>13863685.970331054</v>
      </c>
      <c r="FI131" s="19">
        <f t="shared" si="516"/>
        <v>18196087.836059511</v>
      </c>
      <c r="FJ131" s="770">
        <f t="shared" si="207"/>
        <v>22927070.673434984</v>
      </c>
      <c r="FK131" s="545" t="s">
        <v>1</v>
      </c>
    </row>
    <row r="132" spans="2:167" x14ac:dyDescent="0.2">
      <c r="B132" s="225" t="s">
        <v>149</v>
      </c>
      <c r="C132" s="19">
        <f>Refurbished!C86</f>
        <v>60511</v>
      </c>
      <c r="D132" s="19">
        <f>Refurbished!D86</f>
        <v>68134</v>
      </c>
      <c r="E132" s="19">
        <f>Refurbished!E86</f>
        <v>61016</v>
      </c>
      <c r="F132" s="19">
        <f>Refurbished!F86</f>
        <v>96698</v>
      </c>
      <c r="G132" s="19">
        <f>Refurbished!G86</f>
        <v>80520</v>
      </c>
      <c r="H132" s="19">
        <f>Refurbished!H86</f>
        <v>71035</v>
      </c>
      <c r="I132" s="19">
        <f>Refurbished!I86</f>
        <v>81327</v>
      </c>
      <c r="J132" s="19">
        <f>Refurbished!J86</f>
        <v>97729</v>
      </c>
      <c r="K132" s="19">
        <f>Refurbished!K86</f>
        <v>118165</v>
      </c>
      <c r="L132" s="19">
        <f>Refurbished!L86</f>
        <v>138388</v>
      </c>
      <c r="M132" s="19">
        <f>Refurbished!M86</f>
        <v>207369</v>
      </c>
      <c r="N132" s="19">
        <f>Refurbished!N86</f>
        <v>328219</v>
      </c>
      <c r="O132" s="19">
        <f>Refurbished!O86</f>
        <v>427539</v>
      </c>
      <c r="P132" s="19">
        <f>Refurbished!P86</f>
        <v>465134</v>
      </c>
      <c r="Q132" s="19">
        <f>Refurbished!Q86</f>
        <v>422759</v>
      </c>
      <c r="R132" s="19">
        <f>Refurbished!R86</f>
        <v>570019</v>
      </c>
      <c r="S132" s="19">
        <f>Refurbished!S86</f>
        <v>369752</v>
      </c>
      <c r="T132" s="19">
        <f>Refurbished!T86</f>
        <v>497457</v>
      </c>
      <c r="U132" s="19">
        <f>Refurbished!U86</f>
        <v>399192</v>
      </c>
      <c r="V132" s="19">
        <f>Refurbished!V86</f>
        <v>222864</v>
      </c>
      <c r="W132" s="19">
        <f>Refurbished!W86</f>
        <v>464376.20999999996</v>
      </c>
      <c r="X132" s="19">
        <f>Refurbished!X86</f>
        <v>595130.01</v>
      </c>
      <c r="Y132" s="19">
        <f>Refurbished!Y86</f>
        <v>685719.29999999993</v>
      </c>
      <c r="Z132" s="19">
        <f>Refurbished!Z86</f>
        <v>465221.14499999996</v>
      </c>
      <c r="AA132" s="19">
        <f>Refurbished!AA86</f>
        <v>3610.5</v>
      </c>
      <c r="AB132" s="19">
        <f>Refurbished!AB86</f>
        <v>500374.12599999999</v>
      </c>
      <c r="AC132" s="19">
        <f>Refurbished!AC86</f>
        <v>409206.10814721836</v>
      </c>
      <c r="AD132" s="19">
        <f>Refurbished!AD86</f>
        <v>388937.57778920612</v>
      </c>
      <c r="AE132" s="19">
        <f>Refurbished!AE86</f>
        <v>441922.03706499486</v>
      </c>
      <c r="AF132" s="19">
        <f>Refurbished!AF86</f>
        <v>528374.72799305082</v>
      </c>
      <c r="AG132" s="19">
        <f>Refurbished!AG86</f>
        <v>595885.56480915262</v>
      </c>
      <c r="AH132" s="19">
        <f>Refurbished!AH86</f>
        <v>705215.53143900004</v>
      </c>
      <c r="AI132" s="19">
        <f>Refurbished!AI86</f>
        <v>1626886.26285866</v>
      </c>
      <c r="AJ132" s="19">
        <f>Refurbished!AJ86</f>
        <v>1936780.5967244541</v>
      </c>
      <c r="AK132" s="19">
        <f>Refurbished!AK86</f>
        <v>1530624.6838739198</v>
      </c>
      <c r="AL132" s="19">
        <f>Refurbished!AL86</f>
        <v>1460532.229231671</v>
      </c>
      <c r="AM132" s="19">
        <f>Refurbished!AM86</f>
        <v>1014663.4167422906</v>
      </c>
      <c r="AN132" s="19">
        <f>Refurbished!AN86</f>
        <v>522979.71748919412</v>
      </c>
      <c r="AO132" s="19">
        <f>Refurbished!AO86</f>
        <v>1116679.7635876276</v>
      </c>
      <c r="AP132" s="19">
        <f>Refurbished!AP86</f>
        <v>1555514.459800001</v>
      </c>
      <c r="AQ132" s="19">
        <f>Refurbished!AQ86</f>
        <v>1792663.1535199999</v>
      </c>
      <c r="AR132" s="19">
        <f>Refurbished!AR86</f>
        <v>2322033.9276800016</v>
      </c>
      <c r="AS132" s="19">
        <f>Refurbished!AS86</f>
        <v>2607389.5365800001</v>
      </c>
      <c r="AT132" s="19">
        <f>Refurbished!AT86</f>
        <v>3130380.635619998</v>
      </c>
      <c r="AU132" s="19">
        <f>Refurbished!AU86</f>
        <v>3592750.7942699902</v>
      </c>
      <c r="AV132" s="19">
        <f>Refurbished!AV86</f>
        <v>4016958.5267800265</v>
      </c>
      <c r="AW132" s="19">
        <f>Refurbished!AW86</f>
        <v>3998482.1021599555</v>
      </c>
      <c r="AX132" s="19">
        <f>Refurbished!AX86</f>
        <v>3869605.6858799402</v>
      </c>
      <c r="AY132" s="19">
        <f>Refurbished!AY86</f>
        <v>2765483.6404999518</v>
      </c>
      <c r="AZ132" s="19">
        <f>Refurbished!AZ86</f>
        <v>3314277.4528000578</v>
      </c>
      <c r="BA132" s="19">
        <f>Refurbished!BA86</f>
        <v>3834142.4394598813</v>
      </c>
      <c r="BB132" s="19">
        <f>Refurbished!BB86</f>
        <v>3617152.698839989</v>
      </c>
      <c r="BC132" s="19">
        <f>Refurbished!BC86</f>
        <v>3228930.1880400665</v>
      </c>
      <c r="BD132" s="19">
        <f>Refurbished!BD86</f>
        <v>3040914.3545465819</v>
      </c>
      <c r="BE132" s="19">
        <f>Refurbished!BE86</f>
        <v>3114311.353294204</v>
      </c>
      <c r="BF132" s="19">
        <f>Refurbished!BF86</f>
        <v>3146177.1469606627</v>
      </c>
      <c r="BG132" s="19">
        <f>Refurbished!BG86</f>
        <v>3526462.8330028201</v>
      </c>
      <c r="BH132" s="19">
        <f>Refurbished!BH86</f>
        <v>3094210.1826487202</v>
      </c>
      <c r="BI132" s="19">
        <f>Refurbished!BI86</f>
        <v>3370499.551644465</v>
      </c>
      <c r="BJ132" s="19">
        <f>Refurbished!BJ86</f>
        <v>5075081.1506663188</v>
      </c>
      <c r="BK132" s="19">
        <f>Refurbished!BK86</f>
        <v>4880459.5555942804</v>
      </c>
      <c r="BL132" s="19">
        <f>Refurbished!BL86</f>
        <v>5407216</v>
      </c>
      <c r="BM132" s="19">
        <f>Refurbished!BM86</f>
        <v>5003555</v>
      </c>
      <c r="BN132" s="19">
        <f>Refurbished!BN86</f>
        <v>4401446.5084745763</v>
      </c>
      <c r="BO132" s="19">
        <f>Refurbished!BO86</f>
        <v>4414339</v>
      </c>
      <c r="BP132" s="19">
        <f>Refurbished!BP86</f>
        <v>4833617</v>
      </c>
      <c r="BQ132" s="19">
        <f>Refurbished!BQ86</f>
        <v>7807166.1181329805</v>
      </c>
      <c r="BR132" s="19">
        <f>Refurbished!BR86</f>
        <v>6365052.3824443594</v>
      </c>
      <c r="BS132" s="19">
        <f>Refurbished!BS86</f>
        <v>7558640.6416100953</v>
      </c>
      <c r="BT132" s="19">
        <f>Refurbished!BT86</f>
        <v>9317167</v>
      </c>
      <c r="BU132" s="19">
        <f>Refurbished!BU86</f>
        <v>10282926.323791699</v>
      </c>
      <c r="BV132" s="19">
        <f>Refurbished!BV86</f>
        <v>10723923.915980741</v>
      </c>
      <c r="BW132" s="19">
        <f>Refurbished!BW86</f>
        <v>7872013.342686587</v>
      </c>
      <c r="BX132" s="19">
        <f>Refurbished!BX86</f>
        <v>6773800</v>
      </c>
      <c r="BY132" s="19">
        <f>Refurbished!BY86</f>
        <v>5859378.5788141806</v>
      </c>
      <c r="BZ132" s="19">
        <f>Refurbished!BZ86</f>
        <v>7218576</v>
      </c>
      <c r="CA132" s="19">
        <f>Refurbished!CA86</f>
        <v>5029160</v>
      </c>
      <c r="CB132" s="19">
        <f>Refurbished!CB86</f>
        <v>5507193.7204873962</v>
      </c>
      <c r="CC132" s="19">
        <f>Refurbished!CC86</f>
        <v>6834038</v>
      </c>
      <c r="CD132" s="19">
        <f>Refurbished!CD86</f>
        <v>4771130.5578047894</v>
      </c>
      <c r="CE132" s="19">
        <f>Refurbished!CE86</f>
        <v>4764700</v>
      </c>
      <c r="CF132" s="19">
        <f>Refurbished!CF86</f>
        <v>5474163.1807626095</v>
      </c>
      <c r="CG132" s="19">
        <f>Refurbished!CG86</f>
        <v>4907090.2746713851</v>
      </c>
      <c r="CH132" s="19">
        <f>Refurbished!CH86</f>
        <v>8284550.3566312417</v>
      </c>
      <c r="CI132" s="19">
        <f>Refurbished!CI86</f>
        <v>8427014.4747897945</v>
      </c>
      <c r="CJ132" s="19">
        <f>Refurbished!CJ86</f>
        <v>8004942.7649152549</v>
      </c>
      <c r="CK132" s="19">
        <f>Refurbished!CK86</f>
        <v>8656398.1186440699</v>
      </c>
      <c r="CL132" s="19">
        <f>Refurbished!CL86</f>
        <v>10043911</v>
      </c>
      <c r="CM132" s="19">
        <f>Refurbished!CM86</f>
        <v>7327038.0000000009</v>
      </c>
      <c r="CN132" s="19">
        <f>Refurbished!CN86</f>
        <v>10395752</v>
      </c>
      <c r="CO132" s="19">
        <f>Refurbished!CO86</f>
        <v>16120003.859999999</v>
      </c>
      <c r="CP132" s="19">
        <f>Refurbished!CP86</f>
        <v>9828786.9600000009</v>
      </c>
      <c r="CQ132" s="19">
        <f>Refurbished!CQ86</f>
        <v>11681145</v>
      </c>
      <c r="CR132" s="19">
        <f>Refurbished!CR86</f>
        <v>10222177</v>
      </c>
      <c r="CS132" s="19">
        <f>Refurbished!CS86</f>
        <v>9420616.0969999991</v>
      </c>
      <c r="CT132" s="19">
        <f>Refurbished!CT86</f>
        <v>14978459.1675</v>
      </c>
      <c r="CU132" s="19">
        <f>Refurbished!CU86</f>
        <v>11378699.587136077</v>
      </c>
      <c r="CV132" s="19">
        <f>Refurbished!CV86</f>
        <v>11312528.651262414</v>
      </c>
      <c r="CW132" s="19">
        <f>Refurbished!CW86</f>
        <v>11296533.410489507</v>
      </c>
      <c r="CX132" s="19">
        <f>Refurbished!CX86</f>
        <v>11857401.927642349</v>
      </c>
      <c r="CY132" s="19">
        <f>Refurbished!CY86</f>
        <v>10868458.644044111</v>
      </c>
      <c r="CZ132" s="19">
        <f>Refurbished!CZ86</f>
        <v>10967963.949804846</v>
      </c>
      <c r="DA132" s="19">
        <f>Refurbished!DA86</f>
        <v>12089846.28085833</v>
      </c>
      <c r="DB132" s="19">
        <f>Refurbished!DB86</f>
        <v>11592533.861559335</v>
      </c>
      <c r="DC132" s="19">
        <f>Refurbished!DC86</f>
        <v>14004643.536709137</v>
      </c>
      <c r="DD132" s="19">
        <f>Refurbished!DD86</f>
        <v>14715474.998282813</v>
      </c>
      <c r="DE132" s="19">
        <f>Refurbished!DE86</f>
        <v>13141835.474565893</v>
      </c>
      <c r="DF132" s="19">
        <f>Refurbished!DF86</f>
        <v>14758082.279261958</v>
      </c>
      <c r="DG132" s="19">
        <f>Refurbished!DG86</f>
        <v>13704251.218805656</v>
      </c>
      <c r="DH132" s="19">
        <f>Refurbished!DH86</f>
        <v>13638866.421532266</v>
      </c>
      <c r="DI132" s="19">
        <f>Refurbished!DI86</f>
        <v>13582695.18131141</v>
      </c>
      <c r="DJ132" s="19">
        <f>Refurbished!DJ86</f>
        <v>14259876.699677946</v>
      </c>
      <c r="DK132" s="19">
        <f>Refurbished!DK86</f>
        <v>13050769.173147889</v>
      </c>
      <c r="DL132" s="19">
        <f>Refurbished!DL86</f>
        <v>13140605.075198635</v>
      </c>
      <c r="DM132" s="19">
        <f>Refurbished!DM86</f>
        <v>14483076.670092225</v>
      </c>
      <c r="DN132" s="19">
        <f>Refurbished!DN86</f>
        <v>13842893.400968112</v>
      </c>
      <c r="DO132" s="19">
        <f>Refurbished!DO86</f>
        <v>16693311.514633562</v>
      </c>
      <c r="DP132" s="19">
        <f>Refurbished!DP86</f>
        <v>17501991.941257432</v>
      </c>
      <c r="DQ132" s="19">
        <f>Refurbished!DQ86</f>
        <v>15592799.262471089</v>
      </c>
      <c r="DR132" s="19">
        <f>Refurbished!DR86</f>
        <v>17410923.144366048</v>
      </c>
      <c r="DS132" s="19">
        <f>Refurbished!DS86</f>
        <v>15907771.141158508</v>
      </c>
      <c r="DT132" s="19">
        <f>Refurbished!DT86</f>
        <v>15828191.194451666</v>
      </c>
      <c r="DU132" s="19">
        <f>Refurbished!DU86</f>
        <v>15758920.590949323</v>
      </c>
      <c r="DV132" s="19">
        <f>Refurbished!DV86</f>
        <v>16531036.388047524</v>
      </c>
      <c r="DW132" s="19">
        <f>Refurbished!DW86</f>
        <v>15127858.248564906</v>
      </c>
      <c r="DX132" s="19">
        <f>Refurbished!DX86</f>
        <v>15248148.994465346</v>
      </c>
      <c r="DY132" s="19">
        <f>Refurbished!DY86</f>
        <v>16765652.526741557</v>
      </c>
      <c r="DZ132" s="19">
        <f>Refurbished!DZ86</f>
        <v>16032975.019407894</v>
      </c>
      <c r="EA132" s="19">
        <f>Refurbished!EA86</f>
        <v>19344561.639486879</v>
      </c>
      <c r="EB132" s="19">
        <f>Refurbished!EB86</f>
        <v>20291618.737401456</v>
      </c>
      <c r="EC132" s="19">
        <f>Refurbished!EC86</f>
        <v>18055794.552384913</v>
      </c>
      <c r="ED132" s="19">
        <f>Refurbished!ED86</f>
        <v>20148715.524151936</v>
      </c>
      <c r="EE132" s="222"/>
      <c r="EF132" s="19">
        <f t="shared" si="517"/>
        <v>15291230.55559428</v>
      </c>
      <c r="EG132" s="19">
        <f t="shared" si="518"/>
        <v>13649402.508474577</v>
      </c>
      <c r="EH132" s="19">
        <f t="shared" si="519"/>
        <v>21730859.142187435</v>
      </c>
      <c r="EI132" s="19">
        <f t="shared" si="520"/>
        <v>30324017.239772439</v>
      </c>
      <c r="EJ132" s="19">
        <f t="shared" si="521"/>
        <v>20505191.921500765</v>
      </c>
      <c r="EK132" s="19">
        <f t="shared" si="522"/>
        <v>17754929.720487397</v>
      </c>
      <c r="EL132" s="19">
        <f t="shared" si="523"/>
        <v>16369868.557804789</v>
      </c>
      <c r="EM132" s="19">
        <f t="shared" si="524"/>
        <v>18665803.812065236</v>
      </c>
      <c r="EN132" s="19">
        <f t="shared" si="525"/>
        <v>25088355.358349118</v>
      </c>
      <c r="EO132" s="19">
        <f t="shared" si="526"/>
        <v>27766701</v>
      </c>
      <c r="EP132" s="19">
        <f t="shared" si="527"/>
        <v>37629935.82</v>
      </c>
      <c r="EQ132" s="19">
        <f t="shared" si="528"/>
        <v>34621252.2645</v>
      </c>
      <c r="ER132" s="19">
        <f t="shared" si="529"/>
        <v>33987761.648887999</v>
      </c>
      <c r="ES132" s="19">
        <f t="shared" si="530"/>
        <v>33693824.521491304</v>
      </c>
      <c r="ET132" s="19">
        <f t="shared" si="531"/>
        <v>37687023.679126799</v>
      </c>
      <c r="EU132" s="19">
        <f t="shared" si="532"/>
        <v>42615392.75211066</v>
      </c>
      <c r="EV132" s="19">
        <f t="shared" si="533"/>
        <v>40925812.821649328</v>
      </c>
      <c r="EW132" s="19">
        <f t="shared" si="534"/>
        <v>40451250.948024467</v>
      </c>
      <c r="EX132" s="19">
        <f t="shared" si="535"/>
        <v>45019281.585693896</v>
      </c>
      <c r="EY132" s="19">
        <f t="shared" si="536"/>
        <v>50505714.348094568</v>
      </c>
      <c r="EZ132" s="19">
        <f t="shared" si="508"/>
        <v>47494882.926559493</v>
      </c>
      <c r="FA132" s="19">
        <f t="shared" si="509"/>
        <v>46907043.631077774</v>
      </c>
      <c r="FB132" s="19">
        <f t="shared" si="510"/>
        <v>52143189.185636327</v>
      </c>
      <c r="FC132" s="19">
        <f t="shared" si="511"/>
        <v>58496128.813938305</v>
      </c>
      <c r="FE132" s="19">
        <f t="shared" si="512"/>
        <v>80995509.446028739</v>
      </c>
      <c r="FF132" s="19">
        <f t="shared" si="513"/>
        <v>73295794.011858195</v>
      </c>
      <c r="FG132" s="19">
        <f t="shared" si="514"/>
        <v>125106244.4428491</v>
      </c>
      <c r="FH132" s="19">
        <f t="shared" si="515"/>
        <v>147984002.60161677</v>
      </c>
      <c r="FI132" s="19">
        <f t="shared" si="516"/>
        <v>176902059.70346224</v>
      </c>
      <c r="FJ132" s="770">
        <f t="shared" ref="FJ132:FJ195" si="537">SUM(EZ132:FC132)</f>
        <v>205041244.55721194</v>
      </c>
      <c r="FK132" s="545" t="s">
        <v>1</v>
      </c>
    </row>
    <row r="133" spans="2:167" x14ac:dyDescent="0.2">
      <c r="B133" s="225" t="s">
        <v>150</v>
      </c>
      <c r="C133" s="19">
        <f>Refurbished!C87</f>
        <v>0</v>
      </c>
      <c r="D133" s="19">
        <f>Refurbished!D87</f>
        <v>0</v>
      </c>
      <c r="E133" s="19">
        <f>Refurbished!E87</f>
        <v>0</v>
      </c>
      <c r="F133" s="19">
        <f>Refurbished!F87</f>
        <v>0</v>
      </c>
      <c r="G133" s="19">
        <f>Refurbished!G87</f>
        <v>0</v>
      </c>
      <c r="H133" s="19">
        <f>Refurbished!H87</f>
        <v>0</v>
      </c>
      <c r="I133" s="19">
        <f>Refurbished!I87</f>
        <v>0</v>
      </c>
      <c r="J133" s="19">
        <f>Refurbished!J87</f>
        <v>0</v>
      </c>
      <c r="K133" s="19">
        <f>Refurbished!K87</f>
        <v>0</v>
      </c>
      <c r="L133" s="19">
        <f>Refurbished!L87</f>
        <v>0</v>
      </c>
      <c r="M133" s="19">
        <f>Refurbished!M87</f>
        <v>0</v>
      </c>
      <c r="N133" s="19">
        <f>Refurbished!N87</f>
        <v>0</v>
      </c>
      <c r="O133" s="19">
        <f>Refurbished!O87</f>
        <v>0</v>
      </c>
      <c r="P133" s="19">
        <f>Refurbished!P87</f>
        <v>0</v>
      </c>
      <c r="Q133" s="19">
        <f>Refurbished!Q87</f>
        <v>0</v>
      </c>
      <c r="R133" s="19">
        <f>Refurbished!R87</f>
        <v>0</v>
      </c>
      <c r="S133" s="19">
        <f>Refurbished!S87</f>
        <v>0</v>
      </c>
      <c r="T133" s="19">
        <f>Refurbished!T87</f>
        <v>0</v>
      </c>
      <c r="U133" s="19">
        <f>Refurbished!U87</f>
        <v>0</v>
      </c>
      <c r="V133" s="19">
        <f>Refurbished!V87</f>
        <v>0</v>
      </c>
      <c r="W133" s="19">
        <f>Refurbished!W87</f>
        <v>0</v>
      </c>
      <c r="X133" s="19">
        <f>Refurbished!X87</f>
        <v>0</v>
      </c>
      <c r="Y133" s="19">
        <f>Refurbished!Y87</f>
        <v>0</v>
      </c>
      <c r="Z133" s="19">
        <f>Refurbished!Z87</f>
        <v>0</v>
      </c>
      <c r="AA133" s="19">
        <f>Refurbished!AA87</f>
        <v>0</v>
      </c>
      <c r="AB133" s="19">
        <f>Refurbished!AB87</f>
        <v>0</v>
      </c>
      <c r="AC133" s="19">
        <f>Refurbished!AC87</f>
        <v>1037754</v>
      </c>
      <c r="AD133" s="19">
        <f>Refurbished!AD87</f>
        <v>841194</v>
      </c>
      <c r="AE133" s="19">
        <f>Refurbished!AE87</f>
        <v>813329.65921942831</v>
      </c>
      <c r="AF133" s="19">
        <f>Refurbished!AF87</f>
        <v>1041064.6157817051</v>
      </c>
      <c r="AG133" s="19">
        <f>Refurbished!AG87</f>
        <v>1899648.9775625439</v>
      </c>
      <c r="AH133" s="19">
        <f>Refurbished!AH87</f>
        <v>1598272.3320431258</v>
      </c>
      <c r="AI133" s="19">
        <f>Refurbished!AI87</f>
        <v>2473394.9342875332</v>
      </c>
      <c r="AJ133" s="19">
        <f>Refurbished!AJ87</f>
        <v>2920746.7410079776</v>
      </c>
      <c r="AK133" s="19">
        <f>Refurbished!AK87</f>
        <v>1757809.5938630514</v>
      </c>
      <c r="AL133" s="19">
        <f>Refurbished!AL87</f>
        <v>2235465.7910963739</v>
      </c>
      <c r="AM133" s="19">
        <f>Refurbished!AM87</f>
        <v>1691589.6071263086</v>
      </c>
      <c r="AN133" s="19">
        <f>Refurbished!AN87</f>
        <v>1063993.1495076832</v>
      </c>
      <c r="AO133" s="19">
        <f>Refurbished!AO87</f>
        <v>1619688.3467748063</v>
      </c>
      <c r="AP133" s="19">
        <f>Refurbished!AP87</f>
        <v>877900</v>
      </c>
      <c r="AQ133" s="19">
        <f>Refurbished!AQ87</f>
        <v>388689.76008068753</v>
      </c>
      <c r="AR133" s="19">
        <f>Refurbished!AR87</f>
        <v>492912.09431651281</v>
      </c>
      <c r="AS133" s="19">
        <f>Refurbished!AS87</f>
        <v>1066845.4195904422</v>
      </c>
      <c r="AT133" s="19">
        <f>Refurbished!AT87</f>
        <v>2059380.0182991216</v>
      </c>
      <c r="AU133" s="19">
        <f>Refurbished!AU87</f>
        <v>2438025.817679028</v>
      </c>
      <c r="AV133" s="19">
        <f>Refurbished!AV87</f>
        <v>2285489.793643964</v>
      </c>
      <c r="AW133" s="19">
        <f>Refurbished!AW87</f>
        <v>1601056.6835871171</v>
      </c>
      <c r="AX133" s="19">
        <f>Refurbished!AX87</f>
        <v>408795.45404211478</v>
      </c>
      <c r="AY133" s="19">
        <f>Refurbished!AY87</f>
        <v>238728.96457417944</v>
      </c>
      <c r="AZ133" s="19">
        <f>Refurbished!AZ87</f>
        <v>598384.15460408933</v>
      </c>
      <c r="BA133" s="19">
        <f>Refurbished!BA87</f>
        <v>368897.9804208827</v>
      </c>
      <c r="BB133" s="19">
        <f>Refurbished!BB87</f>
        <v>667424.20244180295</v>
      </c>
      <c r="BC133" s="19">
        <f>Refurbished!BC87</f>
        <v>469914.74963170785</v>
      </c>
      <c r="BD133" s="19">
        <f>Refurbished!BD87</f>
        <v>1303059.3891214989</v>
      </c>
      <c r="BE133" s="19">
        <f>Refurbished!BE87</f>
        <v>1298500</v>
      </c>
      <c r="BF133" s="19">
        <f>Refurbished!BF87</f>
        <v>1336352.209131601</v>
      </c>
      <c r="BG133" s="19">
        <f>Refurbished!BG87</f>
        <v>841500</v>
      </c>
      <c r="BH133" s="19">
        <f>Refurbished!BH87</f>
        <v>716960</v>
      </c>
      <c r="BI133" s="19">
        <f>Refurbished!BI87</f>
        <v>953850</v>
      </c>
      <c r="BJ133" s="19">
        <f>Refurbished!BJ87</f>
        <v>1627353</v>
      </c>
      <c r="BK133" s="19">
        <f>Refurbished!BK87</f>
        <v>887312</v>
      </c>
      <c r="BL133" s="19">
        <f>Refurbished!BL87</f>
        <v>0</v>
      </c>
      <c r="BM133" s="19">
        <f>Refurbished!BM87</f>
        <v>0</v>
      </c>
      <c r="BN133" s="19">
        <f>Refurbished!BN87</f>
        <v>0</v>
      </c>
      <c r="BO133" s="19">
        <f>Refurbished!BO87</f>
        <v>0</v>
      </c>
      <c r="BP133" s="19">
        <f>Refurbished!BP87</f>
        <v>0</v>
      </c>
      <c r="BQ133" s="19">
        <f>Refurbished!BQ87</f>
        <v>0</v>
      </c>
      <c r="BR133" s="19">
        <f>Refurbished!BR87</f>
        <v>0</v>
      </c>
      <c r="BS133" s="19">
        <f>Refurbished!BS87</f>
        <v>0</v>
      </c>
      <c r="BT133" s="19">
        <f>Refurbished!BT87</f>
        <v>0</v>
      </c>
      <c r="BU133" s="19">
        <f>Refurbished!BU87</f>
        <v>0</v>
      </c>
      <c r="BV133" s="19">
        <f>Refurbished!BV87</f>
        <v>0</v>
      </c>
      <c r="BW133" s="19">
        <f>Refurbished!BW87</f>
        <v>0</v>
      </c>
      <c r="BX133" s="19">
        <f>Refurbished!BX87</f>
        <v>0</v>
      </c>
      <c r="BY133" s="19">
        <f>Refurbished!BY87</f>
        <v>0</v>
      </c>
      <c r="BZ133" s="19">
        <f>Refurbished!BZ87</f>
        <v>0</v>
      </c>
      <c r="CA133" s="19">
        <f>Refurbished!CA87</f>
        <v>0</v>
      </c>
      <c r="CB133" s="19">
        <f>Refurbished!CB87</f>
        <v>0</v>
      </c>
      <c r="CC133" s="19">
        <f>Refurbished!CC87</f>
        <v>0</v>
      </c>
      <c r="CD133" s="19">
        <f>Refurbished!CD87</f>
        <v>0</v>
      </c>
      <c r="CE133" s="19">
        <f>Refurbished!CE87</f>
        <v>0</v>
      </c>
      <c r="CF133" s="19">
        <f>Refurbished!CF87</f>
        <v>0</v>
      </c>
      <c r="CG133" s="19">
        <f>Refurbished!CG87</f>
        <v>0</v>
      </c>
      <c r="CH133" s="19">
        <f>Refurbished!CH87</f>
        <v>0</v>
      </c>
      <c r="CI133" s="19">
        <f>Refurbished!CI87</f>
        <v>0</v>
      </c>
      <c r="CJ133" s="19">
        <f>Refurbished!CJ87</f>
        <v>0</v>
      </c>
      <c r="CK133" s="19">
        <f>Refurbished!CK87</f>
        <v>0</v>
      </c>
      <c r="CL133" s="19">
        <f>Refurbished!CL87</f>
        <v>0</v>
      </c>
      <c r="CM133" s="19">
        <f>Refurbished!CM87</f>
        <v>0</v>
      </c>
      <c r="CN133" s="19">
        <f>Refurbished!CN87</f>
        <v>0</v>
      </c>
      <c r="CO133" s="19">
        <f>Refurbished!CO87</f>
        <v>0</v>
      </c>
      <c r="CP133" s="19">
        <f>Refurbished!CP87</f>
        <v>0</v>
      </c>
      <c r="CQ133" s="19">
        <f>Refurbished!CQ87</f>
        <v>0</v>
      </c>
      <c r="CR133" s="19">
        <f>Refurbished!CR87</f>
        <v>0</v>
      </c>
      <c r="CS133" s="19">
        <f>Refurbished!CS87</f>
        <v>0</v>
      </c>
      <c r="CT133" s="19">
        <f>Refurbished!CT87</f>
        <v>0</v>
      </c>
      <c r="CU133" s="19">
        <f>Refurbished!CU87</f>
        <v>0</v>
      </c>
      <c r="CV133" s="19">
        <f>Refurbished!CV87</f>
        <v>0</v>
      </c>
      <c r="CW133" s="19">
        <f>Refurbished!CW87</f>
        <v>0</v>
      </c>
      <c r="CX133" s="19">
        <f>Refurbished!CX87</f>
        <v>0</v>
      </c>
      <c r="CY133" s="19">
        <f>Refurbished!CY87</f>
        <v>0</v>
      </c>
      <c r="CZ133" s="19">
        <f>Refurbished!CZ87</f>
        <v>0</v>
      </c>
      <c r="DA133" s="19">
        <f>Refurbished!DA87</f>
        <v>0</v>
      </c>
      <c r="DB133" s="19">
        <f>Refurbished!DB87</f>
        <v>0</v>
      </c>
      <c r="DC133" s="19">
        <f>Refurbished!DC87</f>
        <v>0</v>
      </c>
      <c r="DD133" s="19">
        <f>Refurbished!DD87</f>
        <v>0</v>
      </c>
      <c r="DE133" s="19">
        <f>Refurbished!DE87</f>
        <v>0</v>
      </c>
      <c r="DF133" s="19">
        <f>Refurbished!DF87</f>
        <v>0</v>
      </c>
      <c r="DG133" s="19">
        <f>Refurbished!DG87</f>
        <v>0</v>
      </c>
      <c r="DH133" s="19">
        <f>Refurbished!DH87</f>
        <v>0</v>
      </c>
      <c r="DI133" s="19">
        <f>Refurbished!DI87</f>
        <v>0</v>
      </c>
      <c r="DJ133" s="19">
        <f>Refurbished!DJ87</f>
        <v>0</v>
      </c>
      <c r="DK133" s="19">
        <f>Refurbished!DK87</f>
        <v>0</v>
      </c>
      <c r="DL133" s="19">
        <f>Refurbished!DL87</f>
        <v>0</v>
      </c>
      <c r="DM133" s="19">
        <f>Refurbished!DM87</f>
        <v>0</v>
      </c>
      <c r="DN133" s="19">
        <f>Refurbished!DN87</f>
        <v>0</v>
      </c>
      <c r="DO133" s="19">
        <f>Refurbished!DO87</f>
        <v>0</v>
      </c>
      <c r="DP133" s="19">
        <f>Refurbished!DP87</f>
        <v>0</v>
      </c>
      <c r="DQ133" s="19">
        <f>Refurbished!DQ87</f>
        <v>0</v>
      </c>
      <c r="DR133" s="19">
        <f>Refurbished!DR87</f>
        <v>0</v>
      </c>
      <c r="DS133" s="19">
        <f>Refurbished!DS87</f>
        <v>0</v>
      </c>
      <c r="DT133" s="19">
        <f>Refurbished!DT87</f>
        <v>0</v>
      </c>
      <c r="DU133" s="19">
        <f>Refurbished!DU87</f>
        <v>0</v>
      </c>
      <c r="DV133" s="19">
        <f>Refurbished!DV87</f>
        <v>0</v>
      </c>
      <c r="DW133" s="19">
        <f>Refurbished!DW87</f>
        <v>0</v>
      </c>
      <c r="DX133" s="19">
        <f>Refurbished!DX87</f>
        <v>0</v>
      </c>
      <c r="DY133" s="19">
        <f>Refurbished!DY87</f>
        <v>0</v>
      </c>
      <c r="DZ133" s="19">
        <f>Refurbished!DZ87</f>
        <v>0</v>
      </c>
      <c r="EA133" s="19">
        <f>Refurbished!EA87</f>
        <v>0</v>
      </c>
      <c r="EB133" s="19">
        <f>Refurbished!EB87</f>
        <v>0</v>
      </c>
      <c r="EC133" s="19">
        <f>Refurbished!EC87</f>
        <v>0</v>
      </c>
      <c r="ED133" s="19">
        <f>Refurbished!ED87</f>
        <v>0</v>
      </c>
      <c r="EE133" s="222"/>
      <c r="EF133" s="19">
        <f t="shared" si="517"/>
        <v>887312</v>
      </c>
      <c r="EG133" s="19">
        <f t="shared" si="518"/>
        <v>0</v>
      </c>
      <c r="EH133" s="19">
        <f t="shared" si="519"/>
        <v>0</v>
      </c>
      <c r="EI133" s="19">
        <f t="shared" si="520"/>
        <v>0</v>
      </c>
      <c r="EJ133" s="19">
        <f t="shared" si="521"/>
        <v>0</v>
      </c>
      <c r="EK133" s="19">
        <f t="shared" si="522"/>
        <v>0</v>
      </c>
      <c r="EL133" s="19">
        <f t="shared" si="523"/>
        <v>0</v>
      </c>
      <c r="EM133" s="19">
        <f t="shared" si="524"/>
        <v>0</v>
      </c>
      <c r="EN133" s="19">
        <f t="shared" si="525"/>
        <v>0</v>
      </c>
      <c r="EO133" s="19">
        <f t="shared" si="526"/>
        <v>0</v>
      </c>
      <c r="EP133" s="19">
        <f t="shared" si="527"/>
        <v>0</v>
      </c>
      <c r="EQ133" s="19">
        <f t="shared" si="528"/>
        <v>0</v>
      </c>
      <c r="ER133" s="19">
        <f t="shared" si="529"/>
        <v>0</v>
      </c>
      <c r="ES133" s="19">
        <f t="shared" si="530"/>
        <v>0</v>
      </c>
      <c r="ET133" s="19">
        <f t="shared" si="531"/>
        <v>0</v>
      </c>
      <c r="EU133" s="19">
        <f t="shared" si="532"/>
        <v>0</v>
      </c>
      <c r="EV133" s="19">
        <f t="shared" si="533"/>
        <v>0</v>
      </c>
      <c r="EW133" s="19">
        <f t="shared" si="534"/>
        <v>0</v>
      </c>
      <c r="EX133" s="19">
        <f t="shared" si="535"/>
        <v>0</v>
      </c>
      <c r="EY133" s="19">
        <f t="shared" si="536"/>
        <v>0</v>
      </c>
      <c r="EZ133" s="19">
        <f t="shared" si="508"/>
        <v>0</v>
      </c>
      <c r="FA133" s="19">
        <f t="shared" si="509"/>
        <v>0</v>
      </c>
      <c r="FB133" s="19">
        <f t="shared" si="510"/>
        <v>0</v>
      </c>
      <c r="FC133" s="19">
        <f t="shared" si="511"/>
        <v>0</v>
      </c>
      <c r="FE133" s="19">
        <f>SUM(EF133:EI133)</f>
        <v>887312</v>
      </c>
      <c r="FF133" s="19">
        <f>SUM(EJ133:EM133)</f>
        <v>0</v>
      </c>
      <c r="FG133" s="19">
        <f>SUM(EN133:EQ133)</f>
        <v>0</v>
      </c>
      <c r="FH133" s="19">
        <f>SUM(ER133:EU133)</f>
        <v>0</v>
      </c>
      <c r="FI133" s="19">
        <f>SUM(EV133:EY133)</f>
        <v>0</v>
      </c>
      <c r="FJ133" s="770">
        <f t="shared" si="537"/>
        <v>0</v>
      </c>
      <c r="FK133" s="545" t="s">
        <v>1</v>
      </c>
    </row>
    <row r="134" spans="2:167" x14ac:dyDescent="0.2">
      <c r="B134" s="226" t="s">
        <v>37</v>
      </c>
      <c r="C134" s="20">
        <f>C119/C63</f>
        <v>1.6462126369030477E-2</v>
      </c>
      <c r="D134" s="20">
        <f t="shared" ref="D134:BO134" si="538">D119/D63</f>
        <v>1.8517930530854387E-2</v>
      </c>
      <c r="E134" s="20">
        <f t="shared" si="538"/>
        <v>1.9165581274544003E-2</v>
      </c>
      <c r="F134" s="20">
        <f t="shared" si="538"/>
        <v>1.8611800572483024E-2</v>
      </c>
      <c r="G134" s="20">
        <f t="shared" si="538"/>
        <v>1.7707446452813681E-2</v>
      </c>
      <c r="H134" s="20">
        <f t="shared" si="538"/>
        <v>1.8686386703297371E-2</v>
      </c>
      <c r="I134" s="20">
        <f t="shared" si="538"/>
        <v>1.6960651410451718E-2</v>
      </c>
      <c r="J134" s="20">
        <f t="shared" si="538"/>
        <v>1.9973087945769585E-2</v>
      </c>
      <c r="K134" s="20">
        <f t="shared" si="538"/>
        <v>1.8388691077157605E-2</v>
      </c>
      <c r="L134" s="20">
        <f t="shared" si="538"/>
        <v>1.3692301318963596E-2</v>
      </c>
      <c r="M134" s="20">
        <f t="shared" si="538"/>
        <v>1.7829781922405828E-2</v>
      </c>
      <c r="N134" s="20">
        <f t="shared" si="538"/>
        <v>2.1831762980253303E-2</v>
      </c>
      <c r="O134" s="20">
        <f t="shared" si="538"/>
        <v>1.8093367020425397E-2</v>
      </c>
      <c r="P134" s="20">
        <f t="shared" si="538"/>
        <v>2.1651884763643662E-2</v>
      </c>
      <c r="Q134" s="20">
        <f t="shared" si="538"/>
        <v>1.9484399718280001E-2</v>
      </c>
      <c r="R134" s="20">
        <f t="shared" si="538"/>
        <v>1.9878896911883964E-2</v>
      </c>
      <c r="S134" s="20">
        <f t="shared" si="538"/>
        <v>2.2334096112437817E-2</v>
      </c>
      <c r="T134" s="20">
        <f t="shared" si="538"/>
        <v>2.2283502354784619E-2</v>
      </c>
      <c r="U134" s="20">
        <f t="shared" si="538"/>
        <v>2.5409017486633583E-2</v>
      </c>
      <c r="V134" s="20">
        <f t="shared" si="538"/>
        <v>2.5877476161946897E-2</v>
      </c>
      <c r="W134" s="20">
        <f t="shared" si="538"/>
        <v>2.2649946464969994E-2</v>
      </c>
      <c r="X134" s="20">
        <f t="shared" si="538"/>
        <v>2.3417301710442887E-2</v>
      </c>
      <c r="Y134" s="20">
        <f t="shared" si="538"/>
        <v>2.2987820667895745E-2</v>
      </c>
      <c r="Z134" s="20">
        <f t="shared" si="538"/>
        <v>3.3490019216020989E-2</v>
      </c>
      <c r="AA134" s="20">
        <f t="shared" si="538"/>
        <v>-1.8807457186152512</v>
      </c>
      <c r="AB134" s="20">
        <f t="shared" si="538"/>
        <v>3.8788567872682922E-2</v>
      </c>
      <c r="AC134" s="20">
        <f t="shared" si="538"/>
        <v>4.2608235582184857E-2</v>
      </c>
      <c r="AD134" s="20">
        <f t="shared" si="538"/>
        <v>4.8016739651688248E-2</v>
      </c>
      <c r="AE134" s="20">
        <f t="shared" si="538"/>
        <v>3.4788399913845441E-2</v>
      </c>
      <c r="AF134" s="20">
        <f t="shared" si="538"/>
        <v>3.1200704754175638E-2</v>
      </c>
      <c r="AG134" s="20">
        <f t="shared" si="538"/>
        <v>4.0929807819995577E-2</v>
      </c>
      <c r="AH134" s="20">
        <f t="shared" si="538"/>
        <v>3.2939875534054482E-2</v>
      </c>
      <c r="AI134" s="20">
        <f t="shared" si="538"/>
        <v>2.4720980306232352E-2</v>
      </c>
      <c r="AJ134" s="20">
        <f t="shared" si="538"/>
        <v>3.2461487921441642E-2</v>
      </c>
      <c r="AK134" s="20">
        <f t="shared" si="538"/>
        <v>2.5130135246724979E-2</v>
      </c>
      <c r="AL134" s="20">
        <f t="shared" si="538"/>
        <v>2.959727903510543E-2</v>
      </c>
      <c r="AM134" s="20">
        <f t="shared" si="538"/>
        <v>3.8683677415039044E-2</v>
      </c>
      <c r="AN134" s="20">
        <f t="shared" si="538"/>
        <v>6.9434198461950675E-2</v>
      </c>
      <c r="AO134" s="20">
        <f t="shared" si="538"/>
        <v>3.7998228542446895E-2</v>
      </c>
      <c r="AP134" s="20">
        <f t="shared" si="538"/>
        <v>3.3825454004769433E-2</v>
      </c>
      <c r="AQ134" s="20">
        <f t="shared" si="538"/>
        <v>3.652956741905742E-2</v>
      </c>
      <c r="AR134" s="20">
        <f t="shared" si="538"/>
        <v>3.9072858937635457E-2</v>
      </c>
      <c r="AS134" s="20">
        <f t="shared" si="538"/>
        <v>4.7318630881685086E-2</v>
      </c>
      <c r="AT134" s="20">
        <f t="shared" si="538"/>
        <v>4.3705475692170405E-2</v>
      </c>
      <c r="AU134" s="20">
        <f t="shared" si="538"/>
        <v>3.5664278749439157E-2</v>
      </c>
      <c r="AV134" s="20">
        <f t="shared" si="538"/>
        <v>3.5014685309376757E-2</v>
      </c>
      <c r="AW134" s="20">
        <f t="shared" si="538"/>
        <v>3.6672658771523856E-2</v>
      </c>
      <c r="AX134" s="20">
        <f t="shared" si="538"/>
        <v>3.8469144952873013E-2</v>
      </c>
      <c r="AY134" s="20">
        <f t="shared" si="538"/>
        <v>3.8314016466322869E-2</v>
      </c>
      <c r="AZ134" s="20">
        <f t="shared" si="538"/>
        <v>3.5600008841686369E-2</v>
      </c>
      <c r="BA134" s="20">
        <f t="shared" si="538"/>
        <v>4.0608932482170713E-2</v>
      </c>
      <c r="BB134" s="20">
        <f t="shared" si="538"/>
        <v>4.2705956214669501E-2</v>
      </c>
      <c r="BC134" s="20">
        <f t="shared" si="538"/>
        <v>4.2033208281390115E-2</v>
      </c>
      <c r="BD134" s="20">
        <f t="shared" si="538"/>
        <v>4.245400483813299E-2</v>
      </c>
      <c r="BE134" s="20">
        <f t="shared" si="538"/>
        <v>3.8043344522198617E-2</v>
      </c>
      <c r="BF134" s="20">
        <f t="shared" si="538"/>
        <v>3.8057182115596944E-2</v>
      </c>
      <c r="BG134" s="20">
        <f t="shared" si="538"/>
        <v>3.1544371325527065E-2</v>
      </c>
      <c r="BH134" s="20">
        <f t="shared" si="538"/>
        <v>3.1717043085670277E-2</v>
      </c>
      <c r="BI134" s="20">
        <f t="shared" si="538"/>
        <v>3.7339386916595732E-2</v>
      </c>
      <c r="BJ134" s="20">
        <f t="shared" si="538"/>
        <v>4.1276451456788175E-2</v>
      </c>
      <c r="BK134" s="20">
        <f t="shared" si="538"/>
        <v>4.0227259338296115E-2</v>
      </c>
      <c r="BL134" s="20">
        <f t="shared" si="538"/>
        <v>3.6574797721541923E-2</v>
      </c>
      <c r="BM134" s="20">
        <f t="shared" si="538"/>
        <v>4.0379479674029758E-2</v>
      </c>
      <c r="BN134" s="20">
        <f t="shared" si="538"/>
        <v>4.029421861895699E-2</v>
      </c>
      <c r="BO134" s="20">
        <f t="shared" si="538"/>
        <v>4.0361380610322482E-2</v>
      </c>
      <c r="BP134" s="20">
        <f t="shared" ref="BP134:EM134" si="539">BP119/BP63</f>
        <v>4.1984301604301125E-2</v>
      </c>
      <c r="BQ134" s="20">
        <f t="shared" si="539"/>
        <v>4.4817558451931618E-2</v>
      </c>
      <c r="BR134" s="20">
        <f t="shared" si="539"/>
        <v>3.8043620665584851E-2</v>
      </c>
      <c r="BS134" s="20">
        <f t="shared" si="539"/>
        <v>3.9416670102608777E-2</v>
      </c>
      <c r="BT134" s="20">
        <f t="shared" si="539"/>
        <v>4.1076609402774994E-2</v>
      </c>
      <c r="BU134" s="20">
        <f t="shared" si="539"/>
        <v>4.7337966233566169E-2</v>
      </c>
      <c r="BV134" s="20">
        <f t="shared" si="539"/>
        <v>4.368553569379699E-2</v>
      </c>
      <c r="BW134" s="20">
        <f t="shared" si="539"/>
        <v>3.7860107985870549E-2</v>
      </c>
      <c r="BX134" s="20">
        <f t="shared" si="539"/>
        <v>3.9082695177244976E-2</v>
      </c>
      <c r="BY134" s="20">
        <f t="shared" si="539"/>
        <v>4.0486492480248881E-2</v>
      </c>
      <c r="BZ134" s="20">
        <f t="shared" si="539"/>
        <v>4.3183388289760559E-2</v>
      </c>
      <c r="CA134" s="20">
        <f t="shared" si="539"/>
        <v>4.0461911570166501E-2</v>
      </c>
      <c r="CB134" s="20">
        <f t="shared" si="539"/>
        <v>4.3037515996039222E-2</v>
      </c>
      <c r="CC134" s="20">
        <f t="shared" si="539"/>
        <v>4.023264218215622E-2</v>
      </c>
      <c r="CD134" s="20">
        <f t="shared" si="539"/>
        <v>4.0823337805287026E-2</v>
      </c>
      <c r="CE134" s="20">
        <f t="shared" si="539"/>
        <v>3.6639363790128221E-2</v>
      </c>
      <c r="CF134" s="20">
        <f t="shared" si="539"/>
        <v>3.6024811876090183E-2</v>
      </c>
      <c r="CG134" s="20">
        <f t="shared" si="539"/>
        <v>3.2069744358113779E-2</v>
      </c>
      <c r="CH134" s="20">
        <f t="shared" si="539"/>
        <v>3.4817849352449755E-2</v>
      </c>
      <c r="CI134" s="20">
        <f t="shared" si="539"/>
        <v>3.7872790514649791E-2</v>
      </c>
      <c r="CJ134" s="20">
        <f t="shared" si="539"/>
        <v>3.7667983397644662E-2</v>
      </c>
      <c r="CK134" s="20">
        <f t="shared" si="539"/>
        <v>4.0874274284578196E-2</v>
      </c>
      <c r="CL134" s="20">
        <f t="shared" si="539"/>
        <v>4.1552083458675726E-2</v>
      </c>
      <c r="CM134" s="20">
        <f t="shared" si="539"/>
        <v>4.0245948568947081E-2</v>
      </c>
      <c r="CN134" s="20">
        <f t="shared" si="539"/>
        <v>4.2804272791244373E-2</v>
      </c>
      <c r="CO134" s="20">
        <f t="shared" si="539"/>
        <v>4.5404461231873618E-2</v>
      </c>
      <c r="CP134" s="20">
        <f t="shared" si="539"/>
        <v>3.6036436888426476E-2</v>
      </c>
      <c r="CQ134" s="20">
        <f t="shared" si="539"/>
        <v>3.045455890708381E-2</v>
      </c>
      <c r="CR134" s="20">
        <f t="shared" si="539"/>
        <v>3.0599499314802787E-2</v>
      </c>
      <c r="CS134" s="20">
        <f t="shared" si="539"/>
        <v>3.0409364270084917E-2</v>
      </c>
      <c r="CT134" s="20">
        <f t="shared" si="539"/>
        <v>3.2438080416328278E-2</v>
      </c>
      <c r="CU134" s="20">
        <f t="shared" si="539"/>
        <v>3.2218924741227777E-2</v>
      </c>
      <c r="CV134" s="20">
        <f t="shared" si="539"/>
        <v>3.1838149909371394E-2</v>
      </c>
      <c r="CW134" s="20">
        <f t="shared" si="539"/>
        <v>3.244581378951035E-2</v>
      </c>
      <c r="CX134" s="20">
        <f t="shared" si="539"/>
        <v>3.2255905879963319E-2</v>
      </c>
      <c r="CY134" s="20">
        <f t="shared" si="539"/>
        <v>3.2845803822941624E-2</v>
      </c>
      <c r="CZ134" s="20">
        <f t="shared" si="539"/>
        <v>3.4561015441508622E-2</v>
      </c>
      <c r="DA134" s="20">
        <f t="shared" si="539"/>
        <v>3.2144418482330517E-2</v>
      </c>
      <c r="DB134" s="20">
        <f t="shared" si="539"/>
        <v>3.0785629378694172E-2</v>
      </c>
      <c r="DC134" s="20">
        <f t="shared" si="539"/>
        <v>3.0897171659119229E-2</v>
      </c>
      <c r="DD134" s="20">
        <f t="shared" si="539"/>
        <v>3.1964138650274795E-2</v>
      </c>
      <c r="DE134" s="20">
        <f t="shared" si="539"/>
        <v>3.140811631076014E-2</v>
      </c>
      <c r="DF134" s="20">
        <f t="shared" si="539"/>
        <v>3.1796839747728581E-2</v>
      </c>
      <c r="DG134" s="20">
        <f t="shared" si="539"/>
        <v>3.1178488833673419E-2</v>
      </c>
      <c r="DH134" s="20">
        <f t="shared" si="539"/>
        <v>3.0799707287163025E-2</v>
      </c>
      <c r="DI134" s="20">
        <f t="shared" si="539"/>
        <v>3.140198422731335E-2</v>
      </c>
      <c r="DJ134" s="20">
        <f t="shared" si="539"/>
        <v>3.1264246498584128E-2</v>
      </c>
      <c r="DK134" s="20">
        <f t="shared" si="539"/>
        <v>3.177390122830441E-2</v>
      </c>
      <c r="DL134" s="20">
        <f t="shared" si="539"/>
        <v>3.3463188406955356E-2</v>
      </c>
      <c r="DM134" s="20">
        <f t="shared" si="539"/>
        <v>3.1195264447733691E-2</v>
      </c>
      <c r="DN134" s="20">
        <f t="shared" si="539"/>
        <v>2.9815841020882743E-2</v>
      </c>
      <c r="DO134" s="20">
        <f t="shared" si="539"/>
        <v>3.0045093931301638E-2</v>
      </c>
      <c r="DP134" s="20">
        <f t="shared" si="539"/>
        <v>3.1127656220695452E-2</v>
      </c>
      <c r="DQ134" s="20">
        <f t="shared" si="539"/>
        <v>3.0521339091495087E-2</v>
      </c>
      <c r="DR134" s="20">
        <f t="shared" si="539"/>
        <v>3.1013094850509071E-2</v>
      </c>
      <c r="DS134" s="20">
        <f t="shared" ref="DS134:ED134" si="540">DS119/DS63</f>
        <v>3.040064403590436E-2</v>
      </c>
      <c r="DT134" s="20">
        <f t="shared" si="540"/>
        <v>3.0027915497022769E-2</v>
      </c>
      <c r="DU134" s="20">
        <f t="shared" si="540"/>
        <v>3.0622364245623337E-2</v>
      </c>
      <c r="DV134" s="20">
        <f t="shared" si="540"/>
        <v>3.05196549582171E-2</v>
      </c>
      <c r="DW134" s="20">
        <f t="shared" si="540"/>
        <v>3.0973824163949195E-2</v>
      </c>
      <c r="DX134" s="20">
        <f t="shared" si="540"/>
        <v>3.265031319076768E-2</v>
      </c>
      <c r="DY134" s="20">
        <f t="shared" si="540"/>
        <v>3.0476833131926385E-2</v>
      </c>
      <c r="DZ134" s="20">
        <f t="shared" si="540"/>
        <v>2.9077057731315938E-2</v>
      </c>
      <c r="EA134" s="20">
        <f t="shared" si="540"/>
        <v>2.9386396421976862E-2</v>
      </c>
      <c r="EB134" s="20">
        <f t="shared" si="540"/>
        <v>3.0475553516484066E-2</v>
      </c>
      <c r="EC134" s="20">
        <f t="shared" si="540"/>
        <v>2.9827151015875807E-2</v>
      </c>
      <c r="ED134" s="20">
        <f t="shared" si="540"/>
        <v>3.0375965958908534E-2</v>
      </c>
      <c r="EE134" s="222"/>
      <c r="EF134" s="20">
        <f t="shared" si="539"/>
        <v>3.9022852605835483E-2</v>
      </c>
      <c r="EG134" s="20">
        <f t="shared" si="539"/>
        <v>4.0884760458643733E-2</v>
      </c>
      <c r="EH134" s="20">
        <f t="shared" si="539"/>
        <v>4.0893148793409037E-2</v>
      </c>
      <c r="EI134" s="20">
        <f t="shared" si="539"/>
        <v>4.3926050476748288E-2</v>
      </c>
      <c r="EJ134" s="20">
        <f t="shared" si="539"/>
        <v>3.9166598333490801E-2</v>
      </c>
      <c r="EK134" s="20">
        <f t="shared" si="539"/>
        <v>4.2235220519630072E-2</v>
      </c>
      <c r="EL134" s="20">
        <f t="shared" si="539"/>
        <v>3.9118307050073804E-2</v>
      </c>
      <c r="EM134" s="20">
        <f t="shared" si="539"/>
        <v>3.4333263131421737E-2</v>
      </c>
      <c r="EN134" s="20">
        <f t="shared" ref="EN134:FJ134" si="541">EN119/EN63</f>
        <v>3.8799614840992286E-2</v>
      </c>
      <c r="EO134" s="20">
        <f t="shared" si="541"/>
        <v>4.1541011635812933E-2</v>
      </c>
      <c r="EP134" s="20">
        <f t="shared" si="541"/>
        <v>3.6833252825147877E-2</v>
      </c>
      <c r="EQ134" s="20">
        <f t="shared" si="541"/>
        <v>3.1178434741233541E-2</v>
      </c>
      <c r="ER134" s="20">
        <f t="shared" si="541"/>
        <v>3.2165297881063815E-2</v>
      </c>
      <c r="ES134" s="20">
        <f t="shared" si="541"/>
        <v>3.3175084454834587E-2</v>
      </c>
      <c r="ET134" s="20">
        <f t="shared" si="541"/>
        <v>3.1248921224009497E-2</v>
      </c>
      <c r="EU134" s="20">
        <f t="shared" si="541"/>
        <v>3.1730945485951498E-2</v>
      </c>
      <c r="EV134" s="20">
        <f t="shared" si="541"/>
        <v>3.112416362303606E-2</v>
      </c>
      <c r="EW134" s="20">
        <f t="shared" si="541"/>
        <v>3.2122197321750354E-2</v>
      </c>
      <c r="EX134" s="20">
        <f t="shared" si="541"/>
        <v>3.0329194265649916E-2</v>
      </c>
      <c r="EY134" s="20">
        <f t="shared" si="541"/>
        <v>3.08963247810831E-2</v>
      </c>
      <c r="EZ134" s="20">
        <f t="shared" si="541"/>
        <v>3.0347703917338206E-2</v>
      </c>
      <c r="FA134" s="20">
        <f t="shared" si="541"/>
        <v>3.133760080687583E-2</v>
      </c>
      <c r="FB134" s="20">
        <f t="shared" si="541"/>
        <v>2.9625607507122394E-2</v>
      </c>
      <c r="FC134" s="20">
        <f t="shared" si="541"/>
        <v>3.0235854547706418E-2</v>
      </c>
      <c r="FD134" s="785"/>
      <c r="FE134" s="20">
        <f t="shared" si="541"/>
        <v>4.1096159098430084E-2</v>
      </c>
      <c r="FF134" s="20">
        <f t="shared" si="541"/>
        <v>3.8266433053985638E-2</v>
      </c>
      <c r="FG134" s="20">
        <f t="shared" si="541"/>
        <v>3.6510011031171553E-2</v>
      </c>
      <c r="FH134" s="20">
        <f t="shared" si="541"/>
        <v>3.2029286598865454E-2</v>
      </c>
      <c r="FI134" s="20">
        <f t="shared" si="541"/>
        <v>3.1076607087815844E-2</v>
      </c>
      <c r="FJ134" s="20">
        <f t="shared" si="541"/>
        <v>3.0349865666245292E-2</v>
      </c>
      <c r="FK134" s="545" t="s">
        <v>1</v>
      </c>
    </row>
    <row r="135" spans="2:167" x14ac:dyDescent="0.2">
      <c r="B135" s="301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222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/>
      <c r="EQ135" s="19"/>
      <c r="ER135" s="19"/>
      <c r="ES135" s="19"/>
      <c r="ET135" s="19"/>
      <c r="EU135" s="19"/>
      <c r="EV135" s="19"/>
      <c r="EW135" s="19"/>
      <c r="EX135" s="19"/>
      <c r="EY135" s="19"/>
      <c r="EZ135" s="19"/>
      <c r="FA135" s="19"/>
      <c r="FB135" s="19"/>
      <c r="FC135" s="19"/>
      <c r="FE135" s="19"/>
      <c r="FF135" s="19"/>
      <c r="FG135" s="19"/>
      <c r="FH135" s="19"/>
      <c r="FI135" s="19"/>
      <c r="FJ135" s="770"/>
      <c r="FK135" s="545"/>
    </row>
    <row r="136" spans="2:167" x14ac:dyDescent="0.2">
      <c r="B136" s="223" t="s">
        <v>38</v>
      </c>
      <c r="C136" s="297">
        <f>SUM(C137:C142)</f>
        <v>7119231.9642857146</v>
      </c>
      <c r="D136" s="297">
        <f t="shared" ref="D136:BO136" si="542">SUM(D137:D142)</f>
        <v>8282873.2995883934</v>
      </c>
      <c r="E136" s="297">
        <f t="shared" si="542"/>
        <v>7127008.3019962432</v>
      </c>
      <c r="F136" s="297">
        <f t="shared" si="542"/>
        <v>8421146.5714008901</v>
      </c>
      <c r="G136" s="297">
        <f t="shared" si="542"/>
        <v>3241793.024045404</v>
      </c>
      <c r="H136" s="297">
        <f t="shared" si="542"/>
        <v>6979385.206148712</v>
      </c>
      <c r="I136" s="297">
        <f t="shared" si="542"/>
        <v>-5326669.9652090464</v>
      </c>
      <c r="J136" s="297">
        <f t="shared" si="542"/>
        <v>7308871.5894101504</v>
      </c>
      <c r="K136" s="297">
        <f t="shared" si="542"/>
        <v>2342340.6596114282</v>
      </c>
      <c r="L136" s="297">
        <f t="shared" si="542"/>
        <v>-4066559.5674115848</v>
      </c>
      <c r="M136" s="297">
        <f t="shared" si="542"/>
        <v>2499374.7353225499</v>
      </c>
      <c r="N136" s="297">
        <f t="shared" si="542"/>
        <v>7073222.656650275</v>
      </c>
      <c r="O136" s="297">
        <f t="shared" si="542"/>
        <v>7312204.9059010092</v>
      </c>
      <c r="P136" s="297">
        <f t="shared" si="542"/>
        <v>3762941.9979060967</v>
      </c>
      <c r="Q136" s="297">
        <f t="shared" si="542"/>
        <v>4178257.9050206784</v>
      </c>
      <c r="R136" s="297">
        <f t="shared" si="542"/>
        <v>15445608.718036249</v>
      </c>
      <c r="S136" s="297">
        <f t="shared" si="542"/>
        <v>11629203.350472398</v>
      </c>
      <c r="T136" s="297">
        <f t="shared" si="542"/>
        <v>5450660.2182435393</v>
      </c>
      <c r="U136" s="297">
        <f t="shared" si="542"/>
        <v>5617048.0799327455</v>
      </c>
      <c r="V136" s="297">
        <f t="shared" si="542"/>
        <v>2609452.5106584001</v>
      </c>
      <c r="W136" s="297">
        <f t="shared" si="542"/>
        <v>6997585.3832452595</v>
      </c>
      <c r="X136" s="297">
        <f t="shared" si="542"/>
        <v>10861110.038055705</v>
      </c>
      <c r="Y136" s="297">
        <f t="shared" si="542"/>
        <v>15125741.861901227</v>
      </c>
      <c r="Z136" s="297">
        <f t="shared" si="542"/>
        <v>5366605.8922352083</v>
      </c>
      <c r="AA136" s="297">
        <f t="shared" si="542"/>
        <v>-14931465.345595242</v>
      </c>
      <c r="AB136" s="297">
        <f t="shared" si="542"/>
        <v>7290914.982479535</v>
      </c>
      <c r="AC136" s="297">
        <f t="shared" si="542"/>
        <v>8020343.9622517116</v>
      </c>
      <c r="AD136" s="297">
        <f t="shared" si="542"/>
        <v>12047104.195112713</v>
      </c>
      <c r="AE136" s="297">
        <f t="shared" si="542"/>
        <v>18427641.375863716</v>
      </c>
      <c r="AF136" s="297">
        <f t="shared" si="542"/>
        <v>20154721.466354065</v>
      </c>
      <c r="AG136" s="297">
        <f t="shared" si="542"/>
        <v>18294965.755646199</v>
      </c>
      <c r="AH136" s="297">
        <f t="shared" si="542"/>
        <v>24528005.300660029</v>
      </c>
      <c r="AI136" s="297">
        <f t="shared" si="542"/>
        <v>32102924.826160837</v>
      </c>
      <c r="AJ136" s="297">
        <f t="shared" si="542"/>
        <v>25413908.943392411</v>
      </c>
      <c r="AK136" s="297">
        <f t="shared" si="542"/>
        <v>28023985.948144328</v>
      </c>
      <c r="AL136" s="297">
        <f t="shared" si="542"/>
        <v>31559747.617206827</v>
      </c>
      <c r="AM136" s="297">
        <f t="shared" si="542"/>
        <v>11160141.583838213</v>
      </c>
      <c r="AN136" s="297">
        <f t="shared" si="542"/>
        <v>-1807646.4474985474</v>
      </c>
      <c r="AO136" s="297">
        <f t="shared" si="542"/>
        <v>20954674.890850428</v>
      </c>
      <c r="AP136" s="297">
        <f t="shared" si="542"/>
        <v>26599195.845514681</v>
      </c>
      <c r="AQ136" s="297">
        <f t="shared" si="542"/>
        <v>28777396.567505654</v>
      </c>
      <c r="AR136" s="297">
        <f t="shared" si="542"/>
        <v>29307725.374448683</v>
      </c>
      <c r="AS136" s="297">
        <f t="shared" si="542"/>
        <v>38573549.486927859</v>
      </c>
      <c r="AT136" s="297">
        <f t="shared" si="542"/>
        <v>38505087.131253324</v>
      </c>
      <c r="AU136" s="297">
        <f t="shared" si="542"/>
        <v>42570942.43521443</v>
      </c>
      <c r="AV136" s="297">
        <f t="shared" si="542"/>
        <v>34978044.498383597</v>
      </c>
      <c r="AW136" s="297">
        <f t="shared" si="542"/>
        <v>22584420.952810369</v>
      </c>
      <c r="AX136" s="297">
        <f t="shared" si="542"/>
        <v>28975441.419414893</v>
      </c>
      <c r="AY136" s="297">
        <f t="shared" si="542"/>
        <v>19808337.673406154</v>
      </c>
      <c r="AZ136" s="297">
        <f t="shared" si="542"/>
        <v>15941850.604972351</v>
      </c>
      <c r="BA136" s="297">
        <f t="shared" si="542"/>
        <v>33447957.624027941</v>
      </c>
      <c r="BB136" s="297">
        <f t="shared" si="542"/>
        <v>44353144.519812278</v>
      </c>
      <c r="BC136" s="297">
        <f t="shared" si="542"/>
        <v>28876323.884658955</v>
      </c>
      <c r="BD136" s="297">
        <f t="shared" si="542"/>
        <v>12177544.303429741</v>
      </c>
      <c r="BE136" s="297">
        <f t="shared" si="542"/>
        <v>29089533.547871359</v>
      </c>
      <c r="BF136" s="297">
        <f t="shared" si="542"/>
        <v>27185666.560744978</v>
      </c>
      <c r="BG136" s="297">
        <f t="shared" si="542"/>
        <v>50801488.396543637</v>
      </c>
      <c r="BH136" s="297">
        <f t="shared" si="542"/>
        <v>59098782.02336549</v>
      </c>
      <c r="BI136" s="297">
        <f t="shared" si="542"/>
        <v>55889349.81960649</v>
      </c>
      <c r="BJ136" s="297">
        <f t="shared" si="542"/>
        <v>77379598.741839603</v>
      </c>
      <c r="BK136" s="297">
        <f t="shared" si="542"/>
        <v>83196475.526904449</v>
      </c>
      <c r="BL136" s="297">
        <f t="shared" si="542"/>
        <v>91536831.496829063</v>
      </c>
      <c r="BM136" s="297">
        <f t="shared" si="542"/>
        <v>100759573.16408151</v>
      </c>
      <c r="BN136" s="297">
        <f t="shared" si="542"/>
        <v>100139462.00544465</v>
      </c>
      <c r="BO136" s="297">
        <f t="shared" si="542"/>
        <v>103042110.31953359</v>
      </c>
      <c r="BP136" s="297">
        <f t="shared" ref="BP136:DR136" si="543">SUM(BP137:BP142)</f>
        <v>78843376.833191782</v>
      </c>
      <c r="BQ136" s="297">
        <f t="shared" si="543"/>
        <v>119516444.43826629</v>
      </c>
      <c r="BR136" s="297">
        <f t="shared" si="543"/>
        <v>111356960.80208071</v>
      </c>
      <c r="BS136" s="297">
        <f t="shared" si="543"/>
        <v>94908679.020000815</v>
      </c>
      <c r="BT136" s="297">
        <f t="shared" si="543"/>
        <v>88022701.636436597</v>
      </c>
      <c r="BU136" s="297">
        <f t="shared" si="543"/>
        <v>106215818.07668933</v>
      </c>
      <c r="BV136" s="297">
        <f t="shared" si="543"/>
        <v>127036248.01993574</v>
      </c>
      <c r="BW136" s="297">
        <f t="shared" si="543"/>
        <v>130234811.07183586</v>
      </c>
      <c r="BX136" s="297">
        <f t="shared" si="543"/>
        <v>147048476.52682966</v>
      </c>
      <c r="BY136" s="297">
        <f t="shared" si="543"/>
        <v>148976585.83185181</v>
      </c>
      <c r="BZ136" s="297">
        <f t="shared" si="543"/>
        <v>140146632.58355027</v>
      </c>
      <c r="CA136" s="297">
        <f t="shared" si="543"/>
        <v>135544146.45687714</v>
      </c>
      <c r="CB136" s="297">
        <f t="shared" si="543"/>
        <v>121741338.59840257</v>
      </c>
      <c r="CC136" s="297">
        <f t="shared" si="543"/>
        <v>166037658.17940614</v>
      </c>
      <c r="CD136" s="297">
        <f t="shared" si="543"/>
        <v>147964609.21859333</v>
      </c>
      <c r="CE136" s="297">
        <f t="shared" si="543"/>
        <v>160496561.55441746</v>
      </c>
      <c r="CF136" s="297">
        <f t="shared" si="543"/>
        <v>168378472.67594504</v>
      </c>
      <c r="CG136" s="297">
        <f t="shared" si="543"/>
        <v>170950986.55835441</v>
      </c>
      <c r="CH136" s="297">
        <f t="shared" si="543"/>
        <v>188620438.74597234</v>
      </c>
      <c r="CI136" s="297">
        <f t="shared" si="543"/>
        <v>186905559.23105109</v>
      </c>
      <c r="CJ136" s="297">
        <f t="shared" si="543"/>
        <v>185922732.07955605</v>
      </c>
      <c r="CK136" s="297">
        <f t="shared" si="543"/>
        <v>192256170.12912732</v>
      </c>
      <c r="CL136" s="297">
        <f t="shared" si="543"/>
        <v>200886387.25714922</v>
      </c>
      <c r="CM136" s="297">
        <f t="shared" si="543"/>
        <v>191806260.11962232</v>
      </c>
      <c r="CN136" s="297">
        <f t="shared" si="543"/>
        <v>186528784.95851359</v>
      </c>
      <c r="CO136" s="297">
        <f t="shared" si="543"/>
        <v>238225156.06347606</v>
      </c>
      <c r="CP136" s="297">
        <f t="shared" si="543"/>
        <v>215116722.81602579</v>
      </c>
      <c r="CQ136" s="297">
        <f t="shared" si="543"/>
        <v>226567109.1734879</v>
      </c>
      <c r="CR136" s="297">
        <f t="shared" si="543"/>
        <v>245894803.93744367</v>
      </c>
      <c r="CS136" s="297">
        <f t="shared" si="543"/>
        <v>231445393.7517395</v>
      </c>
      <c r="CT136" s="297">
        <f t="shared" si="543"/>
        <v>269398981.72799641</v>
      </c>
      <c r="CU136" s="297">
        <f t="shared" si="543"/>
        <v>249070860.51849025</v>
      </c>
      <c r="CV136" s="297">
        <f t="shared" si="543"/>
        <v>255053326.78629509</v>
      </c>
      <c r="CW136" s="297">
        <f t="shared" si="543"/>
        <v>252878852.97565666</v>
      </c>
      <c r="CX136" s="297">
        <f t="shared" si="543"/>
        <v>270011573.60588813</v>
      </c>
      <c r="CY136" s="297">
        <f t="shared" si="543"/>
        <v>248298630.89922348</v>
      </c>
      <c r="CZ136" s="297">
        <f t="shared" si="543"/>
        <v>255229652.13217878</v>
      </c>
      <c r="DA136" s="297">
        <f t="shared" si="543"/>
        <v>301588773.1143989</v>
      </c>
      <c r="DB136" s="297">
        <f t="shared" si="543"/>
        <v>271054397.25405318</v>
      </c>
      <c r="DC136" s="297">
        <f t="shared" si="543"/>
        <v>307059799.19678086</v>
      </c>
      <c r="DD136" s="297">
        <f t="shared" si="543"/>
        <v>314104641.12146056</v>
      </c>
      <c r="DE136" s="297">
        <f t="shared" si="543"/>
        <v>285496431.18495101</v>
      </c>
      <c r="DF136" s="297">
        <f t="shared" si="543"/>
        <v>325357691.98182636</v>
      </c>
      <c r="DG136" s="297">
        <f t="shared" si="543"/>
        <v>307719570.44724423</v>
      </c>
      <c r="DH136" s="297">
        <f t="shared" si="543"/>
        <v>315566428.22693729</v>
      </c>
      <c r="DI136" s="297">
        <f t="shared" si="543"/>
        <v>311518057.26086855</v>
      </c>
      <c r="DJ136" s="297">
        <f t="shared" si="543"/>
        <v>331833133.8809287</v>
      </c>
      <c r="DK136" s="297">
        <f t="shared" si="543"/>
        <v>304959153.5754146</v>
      </c>
      <c r="DL136" s="297">
        <f t="shared" si="543"/>
        <v>311662249.34795809</v>
      </c>
      <c r="DM136" s="297">
        <f t="shared" si="543"/>
        <v>368271627.85987175</v>
      </c>
      <c r="DN136" s="297">
        <f t="shared" si="543"/>
        <v>332853374.90739053</v>
      </c>
      <c r="DO136" s="297">
        <f t="shared" si="543"/>
        <v>376145478.86235106</v>
      </c>
      <c r="DP136" s="297">
        <f t="shared" si="543"/>
        <v>383329373.77417463</v>
      </c>
      <c r="DQ136" s="297">
        <f t="shared" si="543"/>
        <v>348070312.26805598</v>
      </c>
      <c r="DR136" s="297">
        <f t="shared" si="543"/>
        <v>392755260.77181947</v>
      </c>
      <c r="DS136" s="297">
        <f t="shared" ref="DS136:ED136" si="544">SUM(DS137:DS142)</f>
        <v>362026814.95690036</v>
      </c>
      <c r="DT136" s="297">
        <f t="shared" si="544"/>
        <v>371430058.61154211</v>
      </c>
      <c r="DU136" s="297">
        <f t="shared" si="544"/>
        <v>365873384.29385144</v>
      </c>
      <c r="DV136" s="297">
        <f t="shared" si="544"/>
        <v>388712069.95538837</v>
      </c>
      <c r="DW136" s="297">
        <f t="shared" si="544"/>
        <v>357346358.56270081</v>
      </c>
      <c r="DX136" s="297">
        <f t="shared" si="544"/>
        <v>363918540.51142728</v>
      </c>
      <c r="DY136" s="297">
        <f t="shared" si="544"/>
        <v>429636397.53163135</v>
      </c>
      <c r="DZ136" s="297">
        <f t="shared" si="544"/>
        <v>391515810.5123167</v>
      </c>
      <c r="EA136" s="297">
        <f t="shared" si="544"/>
        <v>442103393.24723333</v>
      </c>
      <c r="EB136" s="297">
        <f t="shared" si="544"/>
        <v>449652955.98167586</v>
      </c>
      <c r="EC136" s="297">
        <f t="shared" si="544"/>
        <v>408579801.28941619</v>
      </c>
      <c r="ED136" s="297">
        <f t="shared" si="544"/>
        <v>458524956.45400608</v>
      </c>
      <c r="EE136" s="222"/>
      <c r="EF136" s="297">
        <f t="shared" ref="EF136:EF141" si="545">SUM(BK136:BM136)</f>
        <v>275492880.18781501</v>
      </c>
      <c r="EG136" s="297">
        <f t="shared" ref="EG136:EG141" si="546">SUM(BN136:BP136)</f>
        <v>282024949.15816998</v>
      </c>
      <c r="EH136" s="297">
        <f t="shared" ref="EH136:EH141" si="547">SUM(BQ136:BS136)</f>
        <v>325782084.26034784</v>
      </c>
      <c r="EI136" s="297">
        <f t="shared" ref="EI136:EI141" si="548">SUM(BT136:BV136)</f>
        <v>321274767.73306167</v>
      </c>
      <c r="EJ136" s="297">
        <f t="shared" ref="EJ136:EJ141" si="549">SUM(BW136:BY136)</f>
        <v>426259873.43051732</v>
      </c>
      <c r="EK136" s="297">
        <f t="shared" ref="EK136:EK141" si="550">SUM(BZ136:CB136)</f>
        <v>397432117.63883001</v>
      </c>
      <c r="EL136" s="297">
        <f t="shared" ref="EL136:EL141" si="551">SUM(CC136:CE136)</f>
        <v>474498828.9524169</v>
      </c>
      <c r="EM136" s="297">
        <f t="shared" ref="EM136:EM141" si="552">SUM(CF136:CH136)</f>
        <v>527949897.98027176</v>
      </c>
      <c r="EN136" s="297">
        <f t="shared" ref="EN136:EN141" si="553">SUM(CI136:CK136)</f>
        <v>565084461.43973446</v>
      </c>
      <c r="EO136" s="297">
        <f t="shared" ref="EO136:EO141" si="554">SUM(CL136:CN136)</f>
        <v>579221432.33528519</v>
      </c>
      <c r="EP136" s="297">
        <f t="shared" ref="EP136:EP141" si="555">SUM(CO136:CQ136)</f>
        <v>679908988.05298972</v>
      </c>
      <c r="EQ136" s="297">
        <f t="shared" ref="EQ136:EQ141" si="556">SUM(CR136:CT136)</f>
        <v>746739179.41717958</v>
      </c>
      <c r="ER136" s="297">
        <f t="shared" ref="ER136:ER141" si="557">SUM(CU136:CW136)</f>
        <v>757003040.280442</v>
      </c>
      <c r="ES136" s="297">
        <f t="shared" ref="ES136:ES141" si="558">SUM(CX136:CZ136)</f>
        <v>773539856.63729036</v>
      </c>
      <c r="ET136" s="297">
        <f t="shared" ref="ET136:ET141" si="559">SUM(DA136:DC136)</f>
        <v>879702969.56523299</v>
      </c>
      <c r="EU136" s="297">
        <f t="shared" ref="EU136:EU141" si="560">SUM(DD136:DF136)</f>
        <v>924958764.28823781</v>
      </c>
      <c r="EV136" s="297">
        <f t="shared" ref="EV136:EV141" si="561">SUM(DG136:DI136)</f>
        <v>934804055.93505001</v>
      </c>
      <c r="EW136" s="297">
        <f t="shared" ref="EW136:EW141" si="562">SUM(DJ136:DL136)</f>
        <v>948454536.80430138</v>
      </c>
      <c r="EX136" s="297">
        <f t="shared" ref="EX136:EX141" si="563">SUM(DM136:DO136)</f>
        <v>1077270481.6296134</v>
      </c>
      <c r="EY136" s="297">
        <f t="shared" ref="EY136:EY141" si="564">SUM(DP136:DR136)</f>
        <v>1124154946.8140502</v>
      </c>
      <c r="EZ136" s="297">
        <f t="shared" ref="EZ136:EZ141" si="565">SUM(DS136:DU136)</f>
        <v>1099330257.862294</v>
      </c>
      <c r="FA136" s="297">
        <f t="shared" ref="FA136:FA141" si="566">SUM(DV136:DX136)</f>
        <v>1109976969.0295165</v>
      </c>
      <c r="FB136" s="297">
        <f t="shared" ref="FB136:FB141" si="567">SUM(DY136:EA136)</f>
        <v>1263255601.2911813</v>
      </c>
      <c r="FC136" s="297">
        <f t="shared" ref="FC136:FC141" si="568">SUM(EB136:ED136)</f>
        <v>1316757713.7250981</v>
      </c>
      <c r="FE136" s="297">
        <f t="shared" ref="FE136:FE141" si="569">SUM(EF136:EI136)</f>
        <v>1204574681.3393946</v>
      </c>
      <c r="FF136" s="297">
        <f t="shared" ref="FF136:FF141" si="570">SUM(EJ136:EM136)</f>
        <v>1826140718.0020361</v>
      </c>
      <c r="FG136" s="297">
        <f t="shared" ref="FG136:FG141" si="571">SUM(EN136:EQ136)</f>
        <v>2570954061.2451887</v>
      </c>
      <c r="FH136" s="297">
        <f t="shared" ref="FH136:FH141" si="572">SUM(ER136:EU136)</f>
        <v>3335204630.771203</v>
      </c>
      <c r="FI136" s="297">
        <f t="shared" ref="FI136:FI141" si="573">SUM(EV136:EY136)</f>
        <v>4084684021.1830149</v>
      </c>
      <c r="FJ136" s="774">
        <f t="shared" si="537"/>
        <v>4789320541.9080906</v>
      </c>
      <c r="FK136" s="545" t="s">
        <v>1</v>
      </c>
    </row>
    <row r="137" spans="2:167" x14ac:dyDescent="0.2">
      <c r="B137" s="225" t="s">
        <v>304</v>
      </c>
      <c r="C137" s="19">
        <f>'B2B- Non Repair'!C81</f>
        <v>2403303</v>
      </c>
      <c r="D137" s="19">
        <f>'B2B- Non Repair'!D81</f>
        <v>1584554.9928571433</v>
      </c>
      <c r="E137" s="19">
        <f>'B2B- Non Repair'!E81</f>
        <v>1213920.9636392146</v>
      </c>
      <c r="F137" s="19">
        <f>'B2B- Non Repair'!F81</f>
        <v>3622359.3737604618</v>
      </c>
      <c r="G137" s="19">
        <f>'B2B- Non Repair'!G81</f>
        <v>530109.25414809585</v>
      </c>
      <c r="H137" s="19">
        <f>'B2B- Non Repair'!H81</f>
        <v>4894207.6392175853</v>
      </c>
      <c r="I137" s="19">
        <f>'B2B- Non Repair'!I81</f>
        <v>-8733112.6347661912</v>
      </c>
      <c r="J137" s="19">
        <f>'B2B- Non Repair'!J81</f>
        <v>3161641.1490530074</v>
      </c>
      <c r="K137" s="19">
        <f>'B2B- Non Repair'!K81</f>
        <v>-2262825.0489600003</v>
      </c>
      <c r="L137" s="19">
        <f>'B2B- Non Repair'!L81</f>
        <v>-8920015.0965713561</v>
      </c>
      <c r="M137" s="19">
        <f>'B2B- Non Repair'!M81</f>
        <v>-2417379.1755940318</v>
      </c>
      <c r="N137" s="19">
        <f>'B2B- Non Repair'!N81</f>
        <v>-1350957.2800000012</v>
      </c>
      <c r="O137" s="19">
        <f>'B2B- Non Repair'!O81</f>
        <v>-401665.85729414225</v>
      </c>
      <c r="P137" s="19">
        <f>'B2B- Non Repair'!P81</f>
        <v>-3017422.7106948495</v>
      </c>
      <c r="Q137" s="19">
        <f>'B2B- Non Repair'!Q81</f>
        <v>-427285.10477972031</v>
      </c>
      <c r="R137" s="19">
        <f>'B2B- Non Repair'!R81</f>
        <v>6066638.598752737</v>
      </c>
      <c r="S137" s="19">
        <f>'B2B- Non Repair'!S81</f>
        <v>3942731.6034167409</v>
      </c>
      <c r="T137" s="19">
        <f>'B2B- Non Repair'!T81</f>
        <v>-1210193.9260963202</v>
      </c>
      <c r="U137" s="19">
        <f>'B2B- Non Repair'!U81</f>
        <v>-4890000.3478300571</v>
      </c>
      <c r="V137" s="19">
        <f>'B2B- Non Repair'!V81</f>
        <v>372804.14104229212</v>
      </c>
      <c r="W137" s="19">
        <f>'B2B- Non Repair'!W81</f>
        <v>2259561.71614182</v>
      </c>
      <c r="X137" s="19">
        <f>'B2B- Non Repair'!X81</f>
        <v>5719835.4046625495</v>
      </c>
      <c r="Y137" s="19">
        <f>'B2B- Non Repair'!Y81</f>
        <v>13831831.741966784</v>
      </c>
      <c r="Z137" s="19">
        <f>'B2B- Non Repair'!Z81</f>
        <v>2586741.8169886665</v>
      </c>
      <c r="AA137" s="19">
        <f>'B2B- Non Repair'!AA81</f>
        <v>-9152151.7856129874</v>
      </c>
      <c r="AB137" s="19">
        <f>'B2B- Non Repair'!AB81</f>
        <v>4035710.0396437347</v>
      </c>
      <c r="AC137" s="19">
        <f>'B2B- Non Repair'!AC81</f>
        <v>-1721053.8256969452</v>
      </c>
      <c r="AD137" s="19">
        <f>'B2B- Non Repair'!AD81</f>
        <v>-2327749.7697910815</v>
      </c>
      <c r="AE137" s="19">
        <f>'B2B- Non Repair'!AE81</f>
        <v>1654366.9740197062</v>
      </c>
      <c r="AF137" s="19">
        <f>'B2B- Non Repair'!AF81</f>
        <v>3564389.495228231</v>
      </c>
      <c r="AG137" s="19">
        <f>'B2B- Non Repair'!AG81</f>
        <v>-1880909.0119119585</v>
      </c>
      <c r="AH137" s="19">
        <f>'B2B- Non Repair'!AH81</f>
        <v>6631960.4682030976</v>
      </c>
      <c r="AI137" s="19">
        <f>'B2B- Non Repair'!AI81</f>
        <v>6742547.937928319</v>
      </c>
      <c r="AJ137" s="19">
        <f>'B2B- Non Repair'!AJ81</f>
        <v>305160.71610337496</v>
      </c>
      <c r="AK137" s="19">
        <f>'B2B- Non Repair'!AK81</f>
        <v>5598828.7165859342</v>
      </c>
      <c r="AL137" s="19">
        <f>'B2B- Non Repair'!AL81</f>
        <v>6116730.8534246087</v>
      </c>
      <c r="AM137" s="19">
        <f>'B2B- Non Repair'!AM81</f>
        <v>-3270709.877436012</v>
      </c>
      <c r="AN137" s="19">
        <f>'B2B- Non Repair'!AN81</f>
        <v>-4845026.0772833675</v>
      </c>
      <c r="AO137" s="19">
        <f>'B2B- Non Repair'!AO81</f>
        <v>3781239.8099824926</v>
      </c>
      <c r="AP137" s="19">
        <f>'B2B- Non Repair'!AP81</f>
        <v>1806664.2599999625</v>
      </c>
      <c r="AQ137" s="19">
        <f>'B2B- Non Repair'!AQ81</f>
        <v>822775.82982369885</v>
      </c>
      <c r="AR137" s="19">
        <f>'B2B- Non Repair'!AR81</f>
        <v>-2556360.8078179657</v>
      </c>
      <c r="AS137" s="19">
        <f>'B2B- Non Repair'!AS81</f>
        <v>-3568555.8985847831</v>
      </c>
      <c r="AT137" s="19">
        <f>'B2B- Non Repair'!AT81</f>
        <v>-3962379</v>
      </c>
      <c r="AU137" s="19">
        <f>'B2B- Non Repair'!AU81</f>
        <v>-1677153.4090515338</v>
      </c>
      <c r="AV137" s="19">
        <f>'B2B- Non Repair'!AV81</f>
        <v>-13216386.117948659</v>
      </c>
      <c r="AW137" s="19">
        <f>'B2B- Non Repair'!AW81</f>
        <v>-21070124.749999978</v>
      </c>
      <c r="AX137" s="19">
        <f>'B2B- Non Repair'!AX81</f>
        <v>-17209072.525428891</v>
      </c>
      <c r="AY137" s="19">
        <f>'B2B- Non Repair'!AY81</f>
        <v>-19656350.306126252</v>
      </c>
      <c r="AZ137" s="19">
        <f>'B2B- Non Repair'!AZ81</f>
        <v>-26822405.349019062</v>
      </c>
      <c r="BA137" s="19">
        <f>'B2B- Non Repair'!BA81</f>
        <v>-18523730.073190637</v>
      </c>
      <c r="BB137" s="19">
        <f>'B2B- Non Repair'!BB81</f>
        <v>-3976102.9493033197</v>
      </c>
      <c r="BC137" s="19">
        <f>'B2B- Non Repair'!BC81</f>
        <v>-16653040.383686926</v>
      </c>
      <c r="BD137" s="19">
        <f>'B2B- Non Repair'!BD81</f>
        <v>-35065572.828873158</v>
      </c>
      <c r="BE137" s="19">
        <f>'B2B- Non Repair'!BE81</f>
        <v>-27083800.852703001</v>
      </c>
      <c r="BF137" s="19">
        <f>'B2B- Non Repair'!BF81</f>
        <v>-20887710.795988087</v>
      </c>
      <c r="BG137" s="19">
        <f>'B2B- Non Repair'!BG81</f>
        <v>-9152880.255447533</v>
      </c>
      <c r="BH137" s="19">
        <f>'B2B- Non Repair'!BH81</f>
        <v>-14511487.629682899</v>
      </c>
      <c r="BI137" s="19">
        <f>'B2B- Non Repair'!BI81</f>
        <v>-16959544.013586119</v>
      </c>
      <c r="BJ137" s="19">
        <f>'B2B- Non Repair'!BJ81</f>
        <v>-5789371.5147169009</v>
      </c>
      <c r="BK137" s="19">
        <f>'B2B- Non Repair'!BK81</f>
        <v>3663689.4973151423</v>
      </c>
      <c r="BL137" s="19">
        <f>'B2B- Non Repair'!BL81</f>
        <v>1642548.5047445409</v>
      </c>
      <c r="BM137" s="19">
        <f>'B2B- Non Repair'!BM81</f>
        <v>3717183.2650663536</v>
      </c>
      <c r="BN137" s="19">
        <f>'B2B- Non Repair'!BN81</f>
        <v>9929743.6521016881</v>
      </c>
      <c r="BO137" s="19">
        <f>'B2B- Non Repair'!BO81</f>
        <v>7330951.9021726269</v>
      </c>
      <c r="BP137" s="19">
        <f>'B2B- Non Repair'!BP81</f>
        <v>846438.1761944294</v>
      </c>
      <c r="BQ137" s="19">
        <f>'B2B- Non Repair'!BQ81</f>
        <v>6056820.632576447</v>
      </c>
      <c r="BR137" s="19">
        <f>'B2B- Non Repair'!BR81</f>
        <v>6292418.9091243893</v>
      </c>
      <c r="BS137" s="19">
        <f>'B2B- Non Repair'!BS81</f>
        <v>-5898624.0392251499</v>
      </c>
      <c r="BT137" s="19">
        <f>'B2B- Non Repair'!BT81</f>
        <v>-19428704.113042098</v>
      </c>
      <c r="BU137" s="19">
        <f>'B2B- Non Repair'!BU81</f>
        <v>3917317.6017254498</v>
      </c>
      <c r="BV137" s="19">
        <f>'B2B- Non Repair'!BV81</f>
        <v>8254530.5769756725</v>
      </c>
      <c r="BW137" s="19">
        <f>'B2B- Non Repair'!BW81</f>
        <v>16335663.627058245</v>
      </c>
      <c r="BX137" s="19">
        <f>'B2B- Non Repair'!BX81</f>
        <v>19043735.479974944</v>
      </c>
      <c r="BY137" s="19">
        <f>'B2B- Non Repair'!BY81</f>
        <v>16612749.324265849</v>
      </c>
      <c r="BZ137" s="19">
        <f>'B2B- Non Repair'!BZ81</f>
        <v>5010332.3245956916</v>
      </c>
      <c r="CA137" s="19">
        <f>'B2B- Non Repair'!CA81</f>
        <v>8883197.0301659536</v>
      </c>
      <c r="CB137" s="19">
        <f>'B2B- Non Repair'!CB81</f>
        <v>5712685.4178180303</v>
      </c>
      <c r="CC137" s="19">
        <f>'B2B- Non Repair'!CC81</f>
        <v>11092411.363403782</v>
      </c>
      <c r="CD137" s="19">
        <f>'B2B- Non Repair'!CD81</f>
        <v>12059749.622256879</v>
      </c>
      <c r="CE137" s="19">
        <f>'B2B- Non Repair'!CE81</f>
        <v>11450724.694024218</v>
      </c>
      <c r="CF137" s="19">
        <f>'B2B- Non Repair'!CF81</f>
        <v>12950019.856752429</v>
      </c>
      <c r="CG137" s="19">
        <f>'B2B- Non Repair'!CG81</f>
        <v>22095719.51879102</v>
      </c>
      <c r="CH137" s="19">
        <f>'B2B- Non Repair'!CH81</f>
        <v>15114580.060086451</v>
      </c>
      <c r="CI137" s="19">
        <f>'B2B- Non Repair'!CI81</f>
        <v>24702843.791445892</v>
      </c>
      <c r="CJ137" s="19">
        <f>'B2B- Non Repair'!CJ81</f>
        <v>23560596.666760784</v>
      </c>
      <c r="CK137" s="19">
        <f>'B2B- Non Repair'!CK81</f>
        <v>22675482.049250726</v>
      </c>
      <c r="CL137" s="19">
        <f>'B2B- Non Repair'!CL81</f>
        <v>21275383.05941578</v>
      </c>
      <c r="CM137" s="19">
        <f>'B2B- Non Repair'!CM81</f>
        <v>21297279.391987488</v>
      </c>
      <c r="CN137" s="19">
        <f>'B2B- Non Repair'!CN81</f>
        <v>12079928.855405623</v>
      </c>
      <c r="CO137" s="19">
        <f>'B2B- Non Repair'!CO81</f>
        <v>24683811.562011279</v>
      </c>
      <c r="CP137" s="19">
        <f>'B2B- Non Repair'!CP81</f>
        <v>23680304.814392127</v>
      </c>
      <c r="CQ137" s="19">
        <f>'B2B- Non Repair'!CQ81</f>
        <v>13925884.161524026</v>
      </c>
      <c r="CR137" s="19">
        <f>'B2B- Non Repair'!CR81</f>
        <v>23478141.358394589</v>
      </c>
      <c r="CS137" s="19">
        <f>'B2B- Non Repair'!CS81</f>
        <v>34867069.91878207</v>
      </c>
      <c r="CT137" s="19">
        <f>'B2B- Non Repair'!CT81</f>
        <v>38645892.438017502</v>
      </c>
      <c r="CU137" s="19">
        <f>'B2B- Non Repair'!CU81</f>
        <v>29253380.682734936</v>
      </c>
      <c r="CV137" s="19">
        <f>'B2B- Non Repair'!CV81</f>
        <v>30616758.192701079</v>
      </c>
      <c r="CW137" s="19">
        <f>'B2B- Non Repair'!CW81</f>
        <v>28260510.328585979</v>
      </c>
      <c r="CX137" s="19">
        <f>'B2B- Non Repair'!CX81</f>
        <v>28293381.204334076</v>
      </c>
      <c r="CY137" s="19">
        <f>'B2B- Non Repair'!CY81</f>
        <v>25736065.053999908</v>
      </c>
      <c r="CZ137" s="19">
        <f>'B2B- Non Repair'!CZ81</f>
        <v>21407913.384049997</v>
      </c>
      <c r="DA137" s="19">
        <f>'B2B- Non Repair'!DA81</f>
        <v>26419300.078246206</v>
      </c>
      <c r="DB137" s="19">
        <f>'B2B- Non Repair'!DB81</f>
        <v>34654337.053122386</v>
      </c>
      <c r="DC137" s="19">
        <f>'B2B- Non Repair'!DC81</f>
        <v>39541270.554815233</v>
      </c>
      <c r="DD137" s="19">
        <f>'B2B- Non Repair'!DD81</f>
        <v>36478123.884420425</v>
      </c>
      <c r="DE137" s="19">
        <f>'B2B- Non Repair'!DE81</f>
        <v>35371471.745749712</v>
      </c>
      <c r="DF137" s="19">
        <f>'B2B- Non Repair'!DF81</f>
        <v>33697201.728745103</v>
      </c>
      <c r="DG137" s="19">
        <f>'B2B- Non Repair'!DG81</f>
        <v>44652505.395951502</v>
      </c>
      <c r="DH137" s="19">
        <f>'B2B- Non Repair'!DH81</f>
        <v>46592710.928561889</v>
      </c>
      <c r="DI137" s="19">
        <f>'B2B- Non Repair'!DI81</f>
        <v>43240844.992224559</v>
      </c>
      <c r="DJ137" s="19">
        <f>'B2B- Non Repair'!DJ81</f>
        <v>43287428.692425288</v>
      </c>
      <c r="DK137" s="19">
        <f>'B2B- Non Repair'!DK81</f>
        <v>39648374.445216477</v>
      </c>
      <c r="DL137" s="19">
        <f>'B2B- Non Repair'!DL81</f>
        <v>33488764.816457625</v>
      </c>
      <c r="DM137" s="19">
        <f>'B2B- Non Repair'!DM81</f>
        <v>40620696.866611376</v>
      </c>
      <c r="DN137" s="19">
        <f>'B2B- Non Repair'!DN81</f>
        <v>52339286.89142099</v>
      </c>
      <c r="DO137" s="19">
        <f>'B2B- Non Repair'!DO81</f>
        <v>59293748.051310778</v>
      </c>
      <c r="DP137" s="19">
        <f>'B2B- Non Repair'!DP81</f>
        <v>54935164.622831315</v>
      </c>
      <c r="DQ137" s="19">
        <f>'B2B- Non Repair'!DQ81</f>
        <v>53360461.041458249</v>
      </c>
      <c r="DR137" s="19">
        <f>'B2B- Non Repair'!DR81</f>
        <v>50978052.473453477</v>
      </c>
      <c r="DS137" s="19">
        <f>'B2B- Non Repair'!DS81</f>
        <v>62527115.2437554</v>
      </c>
      <c r="DT137" s="19">
        <f>'B2B- Non Repair'!DT81</f>
        <v>65135245.209759109</v>
      </c>
      <c r="DU137" s="19">
        <f>'B2B- Non Repair'!DU81</f>
        <v>60630765.406371579</v>
      </c>
      <c r="DV137" s="19">
        <f>'B2B- Non Repair'!DV81</f>
        <v>60693191.326790012</v>
      </c>
      <c r="DW137" s="19">
        <f>'B2B- Non Repair'!DW81</f>
        <v>55801606.845301308</v>
      </c>
      <c r="DX137" s="19">
        <f>'B2B- Non Repair'!DX81</f>
        <v>47521253.096854299</v>
      </c>
      <c r="DY137" s="19">
        <f>'B2B- Non Repair'!DY81</f>
        <v>57108674.787558451</v>
      </c>
      <c r="DZ137" s="19">
        <f>'B2B- Non Repair'!DZ81</f>
        <v>72860853.465819687</v>
      </c>
      <c r="EA137" s="19">
        <f>'B2B- Non Repair'!EA81</f>
        <v>82209346.026049212</v>
      </c>
      <c r="EB137" s="19">
        <f>'B2B- Non Repair'!EB81</f>
        <v>76350843.138056576</v>
      </c>
      <c r="EC137" s="19">
        <f>'B2B- Non Repair'!EC81</f>
        <v>74234200.076658562</v>
      </c>
      <c r="ED137" s="19">
        <f>'B2B- Non Repair'!ED81</f>
        <v>71031860.909555539</v>
      </c>
      <c r="EE137" s="222"/>
      <c r="EF137" s="19">
        <f t="shared" si="545"/>
        <v>9023421.2671260368</v>
      </c>
      <c r="EG137" s="19">
        <f t="shared" si="546"/>
        <v>18107133.730468743</v>
      </c>
      <c r="EH137" s="19">
        <f t="shared" si="547"/>
        <v>6450615.5024756864</v>
      </c>
      <c r="EI137" s="19">
        <f t="shared" si="548"/>
        <v>-7256855.9343409752</v>
      </c>
      <c r="EJ137" s="19">
        <f t="shared" si="549"/>
        <v>51992148.431299046</v>
      </c>
      <c r="EK137" s="19">
        <f t="shared" si="550"/>
        <v>19606214.772579677</v>
      </c>
      <c r="EL137" s="19">
        <f t="shared" si="551"/>
        <v>34602885.679684877</v>
      </c>
      <c r="EM137" s="19">
        <f t="shared" si="552"/>
        <v>50160319.435629897</v>
      </c>
      <c r="EN137" s="19">
        <f t="shared" si="553"/>
        <v>70938922.507457405</v>
      </c>
      <c r="EO137" s="19">
        <f t="shared" si="554"/>
        <v>54652591.306808889</v>
      </c>
      <c r="EP137" s="19">
        <f t="shared" si="555"/>
        <v>62290000.537927434</v>
      </c>
      <c r="EQ137" s="19">
        <f t="shared" si="556"/>
        <v>96991103.715194166</v>
      </c>
      <c r="ER137" s="19">
        <f t="shared" si="557"/>
        <v>88130649.20402199</v>
      </c>
      <c r="ES137" s="19">
        <f t="shared" si="558"/>
        <v>75437359.642383978</v>
      </c>
      <c r="ET137" s="19">
        <f t="shared" si="559"/>
        <v>100614907.68618383</v>
      </c>
      <c r="EU137" s="19">
        <f t="shared" si="560"/>
        <v>105546797.35891524</v>
      </c>
      <c r="EV137" s="19">
        <f t="shared" si="561"/>
        <v>134486061.31673795</v>
      </c>
      <c r="EW137" s="19">
        <f t="shared" si="562"/>
        <v>116424567.95409939</v>
      </c>
      <c r="EX137" s="19">
        <f t="shared" si="563"/>
        <v>152253731.80934316</v>
      </c>
      <c r="EY137" s="19">
        <f t="shared" si="564"/>
        <v>159273678.13774306</v>
      </c>
      <c r="EZ137" s="19">
        <f t="shared" si="565"/>
        <v>188293125.85988611</v>
      </c>
      <c r="FA137" s="19">
        <f t="shared" si="566"/>
        <v>164016051.26894563</v>
      </c>
      <c r="FB137" s="19">
        <f t="shared" si="567"/>
        <v>212178874.27942735</v>
      </c>
      <c r="FC137" s="19">
        <f t="shared" si="568"/>
        <v>221616904.12427068</v>
      </c>
      <c r="FE137" s="19">
        <f t="shared" si="569"/>
        <v>26324314.565729491</v>
      </c>
      <c r="FF137" s="19">
        <f t="shared" si="570"/>
        <v>156361568.31919351</v>
      </c>
      <c r="FG137" s="19">
        <f t="shared" si="571"/>
        <v>284872618.06738788</v>
      </c>
      <c r="FH137" s="19">
        <f t="shared" si="572"/>
        <v>369729713.891505</v>
      </c>
      <c r="FI137" s="19">
        <f t="shared" si="573"/>
        <v>562438039.21792364</v>
      </c>
      <c r="FJ137" s="770">
        <f t="shared" si="537"/>
        <v>786104955.53252983</v>
      </c>
      <c r="FK137" s="545" t="s">
        <v>1</v>
      </c>
    </row>
    <row r="138" spans="2:167" x14ac:dyDescent="0.2">
      <c r="B138" s="225" t="s">
        <v>139</v>
      </c>
      <c r="C138" s="19">
        <f>Refurbished!C90</f>
        <v>447164.96428571455</v>
      </c>
      <c r="D138" s="19">
        <f>Refurbished!D90</f>
        <v>356482.30673125014</v>
      </c>
      <c r="E138" s="19">
        <f>Refurbished!E90</f>
        <v>31247.338357029483</v>
      </c>
      <c r="F138" s="19">
        <f>Refurbished!F90</f>
        <v>-279707.80235957168</v>
      </c>
      <c r="G138" s="19">
        <f>Refurbished!G90</f>
        <v>-332734.2301026918</v>
      </c>
      <c r="H138" s="19">
        <f>Refurbished!H90</f>
        <v>-174306.43306887243</v>
      </c>
      <c r="I138" s="19">
        <f>Refurbished!I90</f>
        <v>614297.66955714487</v>
      </c>
      <c r="J138" s="19">
        <f>Refurbished!J90</f>
        <v>1648655.4403571431</v>
      </c>
      <c r="K138" s="19">
        <f>Refurbished!K90</f>
        <v>1421666.7085714284</v>
      </c>
      <c r="L138" s="19">
        <f>Refurbished!L90</f>
        <v>1512601.5291597713</v>
      </c>
      <c r="M138" s="19">
        <f>Refurbished!M90</f>
        <v>1955102.9109165817</v>
      </c>
      <c r="N138" s="19">
        <f>Refurbished!N90</f>
        <v>5726224.9366502762</v>
      </c>
      <c r="O138" s="19">
        <f>Refurbished!O90</f>
        <v>5057454.6611951515</v>
      </c>
      <c r="P138" s="19">
        <f>Refurbished!P90</f>
        <v>3794974.0286009461</v>
      </c>
      <c r="Q138" s="19">
        <f>Refurbished!Q90</f>
        <v>1533448.0945461616</v>
      </c>
      <c r="R138" s="19">
        <f>Refurbished!R90</f>
        <v>5882005.1192835122</v>
      </c>
      <c r="S138" s="19">
        <f>Refurbished!S90</f>
        <v>3921348.7470556572</v>
      </c>
      <c r="T138" s="19">
        <f>Refurbished!T90</f>
        <v>2876947.1443398595</v>
      </c>
      <c r="U138" s="19">
        <f>Refurbished!U90</f>
        <v>5629984.4277628027</v>
      </c>
      <c r="V138" s="19">
        <f>Refurbished!V90</f>
        <v>-1379359.6303838918</v>
      </c>
      <c r="W138" s="19">
        <f>Refurbished!W90</f>
        <v>982325.6671034405</v>
      </c>
      <c r="X138" s="19">
        <f>Refurbished!X90</f>
        <v>805755.63339315564</v>
      </c>
      <c r="Y138" s="19">
        <f>Refurbished!Y90</f>
        <v>-2746324.8800655557</v>
      </c>
      <c r="Z138" s="19">
        <f>Refurbished!Z90</f>
        <v>-527369.92475345777</v>
      </c>
      <c r="AA138" s="19">
        <f>Refurbished!AA90</f>
        <v>-5838676.5599822551</v>
      </c>
      <c r="AB138" s="19">
        <f>Refurbished!AB90</f>
        <v>1304596.9428358003</v>
      </c>
      <c r="AC138" s="19">
        <f>Refurbished!AC90</f>
        <v>2464395.7065701974</v>
      </c>
      <c r="AD138" s="19">
        <f>Refurbished!AD90</f>
        <v>2961174.8846271634</v>
      </c>
      <c r="AE138" s="19">
        <f>Refurbished!AE90</f>
        <v>2388399.1050922251</v>
      </c>
      <c r="AF138" s="19">
        <f>Refurbished!AF90</f>
        <v>1328205.2065784358</v>
      </c>
      <c r="AG138" s="19">
        <f>Refurbished!AG90</f>
        <v>2014922.9602334811</v>
      </c>
      <c r="AH138" s="19">
        <f>Refurbished!AH90</f>
        <v>3499183.8655090029</v>
      </c>
      <c r="AI138" s="19">
        <f>Refurbished!AI90</f>
        <v>11045266.697159506</v>
      </c>
      <c r="AJ138" s="19">
        <f>Refurbished!AJ90</f>
        <v>9912023.6849161573</v>
      </c>
      <c r="AK138" s="19">
        <f>Refurbished!AK90</f>
        <v>9258269.5401999708</v>
      </c>
      <c r="AL138" s="19">
        <f>Refurbished!AL90</f>
        <v>10059998.221409336</v>
      </c>
      <c r="AM138" s="19">
        <f>Refurbished!AM90</f>
        <v>3243553.2002572776</v>
      </c>
      <c r="AN138" s="19">
        <f>Refurbished!AN90</f>
        <v>-2245949.9302151804</v>
      </c>
      <c r="AO138" s="19">
        <f>Refurbished!AO90</f>
        <v>1170656.4469696279</v>
      </c>
      <c r="AP138" s="19">
        <f>Refurbished!AP90</f>
        <v>3541475.2695825137</v>
      </c>
      <c r="AQ138" s="19">
        <f>Refurbished!AQ90</f>
        <v>4178438.4648006083</v>
      </c>
      <c r="AR138" s="19">
        <f>Refurbished!AR90</f>
        <v>5305711.1215886781</v>
      </c>
      <c r="AS138" s="19">
        <f>Refurbished!AS90</f>
        <v>9119771.8217838369</v>
      </c>
      <c r="AT138" s="19">
        <f>Refurbished!AT90</f>
        <v>20068953.050575357</v>
      </c>
      <c r="AU138" s="19">
        <f>Refurbished!AU90</f>
        <v>20323099.135621898</v>
      </c>
      <c r="AV138" s="19">
        <f>Refurbished!AV90</f>
        <v>21799907.300061077</v>
      </c>
      <c r="AW138" s="19">
        <f>Refurbished!AW90</f>
        <v>20551273.514335789</v>
      </c>
      <c r="AX138" s="19">
        <f>Refurbished!AX90</f>
        <v>17082433.670267537</v>
      </c>
      <c r="AY138" s="19">
        <f>Refurbished!AY90</f>
        <v>12807493.433430683</v>
      </c>
      <c r="AZ138" s="19">
        <f>Refurbished!AZ90</f>
        <v>16787578.976025321</v>
      </c>
      <c r="BA138" s="19">
        <f>Refurbished!BA90</f>
        <v>21965441.45501522</v>
      </c>
      <c r="BB138" s="19">
        <f>Refurbished!BB90</f>
        <v>19168834.471488528</v>
      </c>
      <c r="BC138" s="19">
        <f>Refurbished!BC90</f>
        <v>16052999.311057813</v>
      </c>
      <c r="BD138" s="19">
        <f>Refurbished!BD90</f>
        <v>10600260.787896175</v>
      </c>
      <c r="BE138" s="19">
        <f>Refurbished!BE90</f>
        <v>19523284.923116781</v>
      </c>
      <c r="BF138" s="19">
        <f>Refurbished!BF90</f>
        <v>18433632.620800894</v>
      </c>
      <c r="BG138" s="19">
        <f>Refurbished!BG90</f>
        <v>26572832.355515711</v>
      </c>
      <c r="BH138" s="19">
        <f>Refurbished!BH90</f>
        <v>35267227.814622484</v>
      </c>
      <c r="BI138" s="19">
        <f>Refurbished!BI90</f>
        <v>36980744.920813069</v>
      </c>
      <c r="BJ138" s="19">
        <f>Refurbished!BJ90</f>
        <v>43076351.553641938</v>
      </c>
      <c r="BK138" s="19">
        <f>Refurbished!BK90</f>
        <v>35510783.011705771</v>
      </c>
      <c r="BL138" s="19">
        <f>Refurbished!BL90</f>
        <v>43658548.437842056</v>
      </c>
      <c r="BM138" s="19">
        <f>Refurbished!BM90</f>
        <v>52108409.081698537</v>
      </c>
      <c r="BN138" s="19">
        <f>Refurbished!BN90</f>
        <v>40439624.419598684</v>
      </c>
      <c r="BO138" s="19">
        <f>Refurbished!BO90</f>
        <v>43945004.856420249</v>
      </c>
      <c r="BP138" s="19">
        <f>Refurbished!BP90</f>
        <v>32099683.905213643</v>
      </c>
      <c r="BQ138" s="19">
        <f>Refurbished!BQ90</f>
        <v>47324136.203354158</v>
      </c>
      <c r="BR138" s="19">
        <f>Refurbished!BR90</f>
        <v>51942704.79863748</v>
      </c>
      <c r="BS138" s="19">
        <f>Refurbished!BS90</f>
        <v>50362687.965307415</v>
      </c>
      <c r="BT138" s="19">
        <f>Refurbished!BT90</f>
        <v>52009604.391797349</v>
      </c>
      <c r="BU138" s="19">
        <f>Refurbished!BU90</f>
        <v>51756247.452955514</v>
      </c>
      <c r="BV138" s="19">
        <f>Refurbished!BV90</f>
        <v>66656052.921926402</v>
      </c>
      <c r="BW138" s="19">
        <f>Refurbished!BW90</f>
        <v>64244282.114721552</v>
      </c>
      <c r="BX138" s="19">
        <f>Refurbished!BX90</f>
        <v>70050069.006178766</v>
      </c>
      <c r="BY138" s="19">
        <f>Refurbished!BY90</f>
        <v>76541516.992946237</v>
      </c>
      <c r="BZ138" s="19">
        <f>Refurbished!BZ90</f>
        <v>71503257.890448868</v>
      </c>
      <c r="CA138" s="19">
        <f>Refurbished!CA90</f>
        <v>63960183.679757871</v>
      </c>
      <c r="CB138" s="19">
        <f>Refurbished!CB90</f>
        <v>55390995.155965164</v>
      </c>
      <c r="CC138" s="19">
        <f>Refurbished!CC90</f>
        <v>74966414.83872813</v>
      </c>
      <c r="CD138" s="19">
        <f>Refurbished!CD90</f>
        <v>72636902.765535921</v>
      </c>
      <c r="CE138" s="19">
        <f>Refurbished!CE90</f>
        <v>85012215.008125752</v>
      </c>
      <c r="CF138" s="19">
        <f>Refurbished!CF90</f>
        <v>86610509.887996078</v>
      </c>
      <c r="CG138" s="19">
        <f>Refurbished!CG90</f>
        <v>81938230.877715766</v>
      </c>
      <c r="CH138" s="19">
        <f>Refurbished!CH90</f>
        <v>105018123.21966299</v>
      </c>
      <c r="CI138" s="19">
        <f>Refurbished!CI90</f>
        <v>94366810.148964465</v>
      </c>
      <c r="CJ138" s="19">
        <f>Refurbished!CJ90</f>
        <v>90953693.282828718</v>
      </c>
      <c r="CK138" s="19">
        <f>Refurbished!CK90</f>
        <v>98314228.748113945</v>
      </c>
      <c r="CL138" s="19">
        <f>Refurbished!CL90</f>
        <v>102897314.96425888</v>
      </c>
      <c r="CM138" s="19">
        <f>Refurbished!CM90</f>
        <v>99461745.887211114</v>
      </c>
      <c r="CN138" s="19">
        <f>Refurbished!CN90</f>
        <v>90992237.469463915</v>
      </c>
      <c r="CO138" s="19">
        <f>Refurbished!CO90</f>
        <v>111098912.29387201</v>
      </c>
      <c r="CP138" s="19">
        <f>Refurbished!CP90</f>
        <v>110080027.63019298</v>
      </c>
      <c r="CQ138" s="19">
        <f>Refurbished!CQ90</f>
        <v>125871062.95043832</v>
      </c>
      <c r="CR138" s="19">
        <f>Refurbished!CR90</f>
        <v>134666143.73947281</v>
      </c>
      <c r="CS138" s="19">
        <f>Refurbished!CS90</f>
        <v>115931630.87075405</v>
      </c>
      <c r="CT138" s="19">
        <f>Refurbished!CT90</f>
        <v>122122892.88692786</v>
      </c>
      <c r="CU138" s="19">
        <f>Refurbished!CU90</f>
        <v>133893300.591611</v>
      </c>
      <c r="CV138" s="19">
        <f>Refurbished!CV90</f>
        <v>132019081.6280573</v>
      </c>
      <c r="CW138" s="19">
        <f>Refurbished!CW90</f>
        <v>131643786.41274914</v>
      </c>
      <c r="CX138" s="19">
        <f>Refurbished!CX90</f>
        <v>140801306.81163839</v>
      </c>
      <c r="CY138" s="19">
        <f>Refurbished!CY90</f>
        <v>126256188.13633114</v>
      </c>
      <c r="CZ138" s="19">
        <f>Refurbished!CZ90</f>
        <v>122595513.27341786</v>
      </c>
      <c r="DA138" s="19">
        <f>Refurbished!DA90</f>
        <v>144477725.14820173</v>
      </c>
      <c r="DB138" s="19">
        <f>Refurbished!DB90</f>
        <v>135225540.8933346</v>
      </c>
      <c r="DC138" s="19">
        <f>Refurbished!DC90</f>
        <v>165059117.87867856</v>
      </c>
      <c r="DD138" s="19">
        <f>Refurbished!DD90</f>
        <v>172105624.63565454</v>
      </c>
      <c r="DE138" s="19">
        <f>Refurbished!DE90</f>
        <v>154876280.07593799</v>
      </c>
      <c r="DF138" s="19">
        <f>Refurbished!DF90</f>
        <v>178416902.46009016</v>
      </c>
      <c r="DG138" s="19">
        <f>Refurbished!DG90</f>
        <v>161831126.12276971</v>
      </c>
      <c r="DH138" s="19">
        <f>Refurbished!DH90</f>
        <v>159826458.85212296</v>
      </c>
      <c r="DI138" s="19">
        <f>Refurbished!DI90</f>
        <v>158783679.42067552</v>
      </c>
      <c r="DJ138" s="19">
        <f>Refurbished!DJ90</f>
        <v>169791739.7278077</v>
      </c>
      <c r="DK138" s="19">
        <f>Refurbished!DK90</f>
        <v>152066047.00197518</v>
      </c>
      <c r="DL138" s="19">
        <f>Refurbished!DL90</f>
        <v>147233316.36668247</v>
      </c>
      <c r="DM138" s="19">
        <f>Refurbished!DM90</f>
        <v>173292300.57512432</v>
      </c>
      <c r="DN138" s="19">
        <f>Refurbished!DN90</f>
        <v>161556949.3099412</v>
      </c>
      <c r="DO138" s="19">
        <f>Refurbished!DO90</f>
        <v>196443672.84191972</v>
      </c>
      <c r="DP138" s="19">
        <f>Refurbished!DP90</f>
        <v>204133355.01581314</v>
      </c>
      <c r="DQ138" s="19">
        <f>Refurbished!DQ90</f>
        <v>183240476.24009073</v>
      </c>
      <c r="DR138" s="19">
        <f>Refurbished!DR90</f>
        <v>209304064.28834385</v>
      </c>
      <c r="DS138" s="19">
        <f>Refurbished!DS90</f>
        <v>184604103.81480667</v>
      </c>
      <c r="DT138" s="19">
        <f>Refurbished!DT90</f>
        <v>182258909.97097832</v>
      </c>
      <c r="DU138" s="19">
        <f>Refurbished!DU90</f>
        <v>181011582.91627228</v>
      </c>
      <c r="DV138" s="19">
        <f>Refurbished!DV90</f>
        <v>193318622.09191167</v>
      </c>
      <c r="DW138" s="19">
        <f>Refurbished!DW90</f>
        <v>173196168.15900621</v>
      </c>
      <c r="DX138" s="19">
        <f>Refurbished!DX90</f>
        <v>167876002.79984069</v>
      </c>
      <c r="DY138" s="19">
        <f>Refurbished!DY90</f>
        <v>196930709.37691838</v>
      </c>
      <c r="DZ138" s="19">
        <f>Refurbished!DZ90</f>
        <v>183736002.67118421</v>
      </c>
      <c r="EA138" s="19">
        <f>Refurbished!EA90</f>
        <v>223297972.69348502</v>
      </c>
      <c r="EB138" s="19">
        <f>Refurbished!EB90</f>
        <v>232100662.12478077</v>
      </c>
      <c r="EC138" s="19">
        <f>Refurbished!EC90</f>
        <v>208177177.43212524</v>
      </c>
      <c r="ED138" s="19">
        <f>Refurbished!ED90</f>
        <v>237491199.10898694</v>
      </c>
      <c r="EE138" s="222"/>
      <c r="EF138" s="19">
        <f t="shared" si="545"/>
        <v>131277740.53124636</v>
      </c>
      <c r="EG138" s="19">
        <f t="shared" si="546"/>
        <v>116484313.18123257</v>
      </c>
      <c r="EH138" s="19">
        <f t="shared" si="547"/>
        <v>149629528.96729904</v>
      </c>
      <c r="EI138" s="19">
        <f t="shared" si="548"/>
        <v>170421904.76667926</v>
      </c>
      <c r="EJ138" s="19">
        <f t="shared" si="549"/>
        <v>210835868.11384657</v>
      </c>
      <c r="EK138" s="19">
        <f t="shared" si="550"/>
        <v>190854436.72617191</v>
      </c>
      <c r="EL138" s="19">
        <f t="shared" si="551"/>
        <v>232615532.6123898</v>
      </c>
      <c r="EM138" s="19">
        <f t="shared" si="552"/>
        <v>273566863.98537481</v>
      </c>
      <c r="EN138" s="19">
        <f t="shared" si="553"/>
        <v>283634732.17990714</v>
      </c>
      <c r="EO138" s="19">
        <f t="shared" si="554"/>
        <v>293351298.32093394</v>
      </c>
      <c r="EP138" s="19">
        <f t="shared" si="555"/>
        <v>347050002.87450331</v>
      </c>
      <c r="EQ138" s="19">
        <f t="shared" si="556"/>
        <v>372720667.49715471</v>
      </c>
      <c r="ER138" s="19">
        <f t="shared" si="557"/>
        <v>397556168.63241744</v>
      </c>
      <c r="ES138" s="19">
        <f t="shared" si="558"/>
        <v>389653008.22138739</v>
      </c>
      <c r="ET138" s="19">
        <f t="shared" si="559"/>
        <v>444762383.92021489</v>
      </c>
      <c r="EU138" s="19">
        <f t="shared" si="560"/>
        <v>505398807.17168272</v>
      </c>
      <c r="EV138" s="19">
        <f t="shared" si="561"/>
        <v>480441264.39556819</v>
      </c>
      <c r="EW138" s="19">
        <f t="shared" si="562"/>
        <v>469091103.09646535</v>
      </c>
      <c r="EX138" s="19">
        <f t="shared" si="563"/>
        <v>531292922.72698528</v>
      </c>
      <c r="EY138" s="19">
        <f t="shared" si="564"/>
        <v>596677895.54424763</v>
      </c>
      <c r="EZ138" s="19">
        <f t="shared" si="565"/>
        <v>547874596.70205724</v>
      </c>
      <c r="FA138" s="19">
        <f t="shared" si="566"/>
        <v>534390793.0507586</v>
      </c>
      <c r="FB138" s="19">
        <f t="shared" si="567"/>
        <v>603964684.74158764</v>
      </c>
      <c r="FC138" s="19">
        <f t="shared" si="568"/>
        <v>677769038.66589296</v>
      </c>
      <c r="FE138" s="19">
        <f t="shared" si="569"/>
        <v>567813487.44645727</v>
      </c>
      <c r="FF138" s="19">
        <f t="shared" si="570"/>
        <v>907872701.43778312</v>
      </c>
      <c r="FG138" s="19">
        <f t="shared" si="571"/>
        <v>1296756700.8724992</v>
      </c>
      <c r="FH138" s="19">
        <f t="shared" si="572"/>
        <v>1737370367.9457026</v>
      </c>
      <c r="FI138" s="19">
        <f t="shared" si="573"/>
        <v>2077503185.7632663</v>
      </c>
      <c r="FJ138" s="770">
        <f t="shared" si="537"/>
        <v>2363999113.1602964</v>
      </c>
      <c r="FK138" s="545" t="s">
        <v>1</v>
      </c>
    </row>
    <row r="139" spans="2:167" x14ac:dyDescent="0.2">
      <c r="B139" s="225" t="s">
        <v>309</v>
      </c>
      <c r="C139" s="19">
        <f>C113-C122</f>
        <v>4268764</v>
      </c>
      <c r="D139" s="19">
        <f t="shared" ref="D139:BO139" si="574">D113-D122</f>
        <v>6341836</v>
      </c>
      <c r="E139" s="19">
        <f t="shared" si="574"/>
        <v>5881839.9999999991</v>
      </c>
      <c r="F139" s="19">
        <f t="shared" si="574"/>
        <v>5078495</v>
      </c>
      <c r="G139" s="19">
        <f t="shared" si="574"/>
        <v>3044418</v>
      </c>
      <c r="H139" s="19">
        <f t="shared" si="574"/>
        <v>2259483.9999999995</v>
      </c>
      <c r="I139" s="19">
        <f t="shared" si="574"/>
        <v>2792144.9999999995</v>
      </c>
      <c r="J139" s="19">
        <f t="shared" si="574"/>
        <v>2498575</v>
      </c>
      <c r="K139" s="19">
        <f t="shared" si="574"/>
        <v>3183499</v>
      </c>
      <c r="L139" s="19">
        <f t="shared" si="574"/>
        <v>3340854</v>
      </c>
      <c r="M139" s="19">
        <f t="shared" si="574"/>
        <v>2961651</v>
      </c>
      <c r="N139" s="19">
        <f t="shared" si="574"/>
        <v>2697955</v>
      </c>
      <c r="O139" s="19">
        <f t="shared" si="574"/>
        <v>2656416.102</v>
      </c>
      <c r="P139" s="19">
        <f t="shared" si="574"/>
        <v>2985390.68</v>
      </c>
      <c r="Q139" s="19">
        <f t="shared" si="574"/>
        <v>3072094.9152542371</v>
      </c>
      <c r="R139" s="19">
        <f t="shared" si="574"/>
        <v>3496965</v>
      </c>
      <c r="S139" s="19">
        <f t="shared" si="574"/>
        <v>3765122.9999999995</v>
      </c>
      <c r="T139" s="19">
        <f t="shared" si="574"/>
        <v>3783907</v>
      </c>
      <c r="U139" s="19">
        <f t="shared" si="574"/>
        <v>4877064</v>
      </c>
      <c r="V139" s="19">
        <f t="shared" si="574"/>
        <v>3616007.9999999995</v>
      </c>
      <c r="W139" s="19">
        <f t="shared" si="574"/>
        <v>3755697.9999999995</v>
      </c>
      <c r="X139" s="19">
        <f t="shared" si="574"/>
        <v>4335519</v>
      </c>
      <c r="Y139" s="19">
        <f t="shared" si="574"/>
        <v>4040235</v>
      </c>
      <c r="Z139" s="19">
        <f t="shared" si="574"/>
        <v>3307233.9999999995</v>
      </c>
      <c r="AA139" s="19">
        <f t="shared" si="574"/>
        <v>59363</v>
      </c>
      <c r="AB139" s="19">
        <f t="shared" si="574"/>
        <v>1950608</v>
      </c>
      <c r="AC139" s="19">
        <f t="shared" si="574"/>
        <v>6069614</v>
      </c>
      <c r="AD139" s="19">
        <f t="shared" si="574"/>
        <v>9087524</v>
      </c>
      <c r="AE139" s="19">
        <f t="shared" si="574"/>
        <v>11916514</v>
      </c>
      <c r="AF139" s="19">
        <f t="shared" si="574"/>
        <v>12536009</v>
      </c>
      <c r="AG139" s="19">
        <f t="shared" si="574"/>
        <v>15317190</v>
      </c>
      <c r="AH139" s="19">
        <f t="shared" si="574"/>
        <v>12327006</v>
      </c>
      <c r="AI139" s="19">
        <f t="shared" si="574"/>
        <v>10669084</v>
      </c>
      <c r="AJ139" s="19">
        <f t="shared" si="574"/>
        <v>13199808</v>
      </c>
      <c r="AK139" s="19">
        <f t="shared" si="574"/>
        <v>11541317.999999998</v>
      </c>
      <c r="AL139" s="19">
        <f t="shared" si="574"/>
        <v>13057529.999999998</v>
      </c>
      <c r="AM139" s="19">
        <f t="shared" si="574"/>
        <v>9616853.9999999981</v>
      </c>
      <c r="AN139" s="19">
        <f t="shared" si="574"/>
        <v>4333204</v>
      </c>
      <c r="AO139" s="19">
        <f t="shared" si="574"/>
        <v>13330682</v>
      </c>
      <c r="AP139" s="19">
        <f t="shared" si="574"/>
        <v>17246232</v>
      </c>
      <c r="AQ139" s="19">
        <f t="shared" si="574"/>
        <v>19926977</v>
      </c>
      <c r="AR139" s="19">
        <f t="shared" si="574"/>
        <v>19284180.169491529</v>
      </c>
      <c r="AS139" s="19">
        <f t="shared" si="574"/>
        <v>27292370</v>
      </c>
      <c r="AT139" s="19">
        <f t="shared" si="574"/>
        <v>17680530</v>
      </c>
      <c r="AU139" s="19">
        <f t="shared" si="574"/>
        <v>19408871.186440676</v>
      </c>
      <c r="AV139" s="19">
        <f t="shared" si="574"/>
        <v>20923863</v>
      </c>
      <c r="AW139" s="19">
        <f t="shared" si="574"/>
        <v>19250761</v>
      </c>
      <c r="AX139" s="19">
        <f t="shared" si="574"/>
        <v>25031977</v>
      </c>
      <c r="AY139" s="19">
        <f t="shared" si="574"/>
        <v>22326047.999999996</v>
      </c>
      <c r="AZ139" s="19">
        <f t="shared" si="574"/>
        <v>21235345.999999996</v>
      </c>
      <c r="BA139" s="19">
        <f t="shared" si="574"/>
        <v>23713180</v>
      </c>
      <c r="BB139" s="19">
        <f t="shared" si="574"/>
        <v>23317274.237288136</v>
      </c>
      <c r="BC139" s="19">
        <f t="shared" si="574"/>
        <v>24275030.254237287</v>
      </c>
      <c r="BD139" s="19">
        <f t="shared" si="574"/>
        <v>30323686.949152544</v>
      </c>
      <c r="BE139" s="19">
        <f t="shared" si="574"/>
        <v>31061274.237288136</v>
      </c>
      <c r="BF139" s="19">
        <f t="shared" si="574"/>
        <v>24824298.474576272</v>
      </c>
      <c r="BG139" s="19">
        <f t="shared" si="574"/>
        <v>28066739.576271184</v>
      </c>
      <c r="BH139" s="19">
        <f t="shared" si="574"/>
        <v>31812684.237288132</v>
      </c>
      <c r="BI139" s="19">
        <f t="shared" si="574"/>
        <v>29501009.999999996</v>
      </c>
      <c r="BJ139" s="19">
        <f t="shared" si="574"/>
        <v>33334730.93220339</v>
      </c>
      <c r="BK139" s="19">
        <f t="shared" si="574"/>
        <v>36591958.644067794</v>
      </c>
      <c r="BL139" s="19">
        <f t="shared" si="574"/>
        <v>38294305.593220331</v>
      </c>
      <c r="BM139" s="19">
        <f t="shared" si="574"/>
        <v>38013910.677966103</v>
      </c>
      <c r="BN139" s="19">
        <f t="shared" si="574"/>
        <v>41510203.220338978</v>
      </c>
      <c r="BO139" s="19">
        <f t="shared" si="574"/>
        <v>42811940.423728809</v>
      </c>
      <c r="BP139" s="19">
        <f t="shared" ref="BP139:DR139" si="575">BP113-BP122</f>
        <v>38101946.864406779</v>
      </c>
      <c r="BQ139" s="19">
        <f t="shared" si="575"/>
        <v>56596933.898305088</v>
      </c>
      <c r="BR139" s="19">
        <f t="shared" si="575"/>
        <v>47137179.237288132</v>
      </c>
      <c r="BS139" s="19">
        <f t="shared" si="575"/>
        <v>43600103.559322037</v>
      </c>
      <c r="BT139" s="19">
        <f t="shared" si="575"/>
        <v>49552935.508474573</v>
      </c>
      <c r="BU139" s="19">
        <f t="shared" si="575"/>
        <v>43868549.322033897</v>
      </c>
      <c r="BV139" s="19">
        <f t="shared" si="575"/>
        <v>44896421.016949147</v>
      </c>
      <c r="BW139" s="19">
        <f t="shared" si="575"/>
        <v>42936295.93220339</v>
      </c>
      <c r="BX139" s="19">
        <f t="shared" si="575"/>
        <v>49690903.220338978</v>
      </c>
      <c r="BY139" s="19">
        <f t="shared" si="575"/>
        <v>45884842.62711864</v>
      </c>
      <c r="BZ139" s="19">
        <f t="shared" si="575"/>
        <v>53967340.677966103</v>
      </c>
      <c r="CA139" s="19">
        <f t="shared" si="575"/>
        <v>50923403.305084743</v>
      </c>
      <c r="CB139" s="19">
        <f t="shared" si="575"/>
        <v>48445319.23728814</v>
      </c>
      <c r="CC139" s="19">
        <f t="shared" si="575"/>
        <v>68126414.406779662</v>
      </c>
      <c r="CD139" s="19">
        <f t="shared" si="575"/>
        <v>52362003.474576272</v>
      </c>
      <c r="CE139" s="19">
        <f t="shared" si="575"/>
        <v>53633983.983050846</v>
      </c>
      <c r="CF139" s="19">
        <f t="shared" si="575"/>
        <v>57834144.23728814</v>
      </c>
      <c r="CG139" s="19">
        <f t="shared" si="575"/>
        <v>57764148.3898305</v>
      </c>
      <c r="CH139" s="19">
        <f t="shared" si="575"/>
        <v>56563365.169491522</v>
      </c>
      <c r="CI139" s="19">
        <f t="shared" si="575"/>
        <v>57031594.576271184</v>
      </c>
      <c r="CJ139" s="19">
        <f t="shared" si="575"/>
        <v>60307318.050847456</v>
      </c>
      <c r="CK139" s="19">
        <f t="shared" si="575"/>
        <v>59450009.576271184</v>
      </c>
      <c r="CL139" s="19">
        <f t="shared" si="575"/>
        <v>62832069.830508478</v>
      </c>
      <c r="CM139" s="19">
        <f t="shared" si="575"/>
        <v>58068269.406779662</v>
      </c>
      <c r="CN139" s="19">
        <f t="shared" si="575"/>
        <v>70107643.559322044</v>
      </c>
      <c r="CO139" s="19">
        <f t="shared" si="575"/>
        <v>88509661.864406779</v>
      </c>
      <c r="CP139" s="19">
        <f t="shared" si="575"/>
        <v>68483592.372881353</v>
      </c>
      <c r="CQ139" s="19">
        <f t="shared" si="575"/>
        <v>71551959.745762706</v>
      </c>
      <c r="CR139" s="19">
        <f t="shared" si="575"/>
        <v>74731942.372881353</v>
      </c>
      <c r="CS139" s="19">
        <f t="shared" si="575"/>
        <v>65533002.118644066</v>
      </c>
      <c r="CT139" s="19">
        <f t="shared" si="575"/>
        <v>82934150</v>
      </c>
      <c r="CU139" s="19">
        <f t="shared" si="575"/>
        <v>73571537.314133629</v>
      </c>
      <c r="CV139" s="19">
        <f t="shared" si="575"/>
        <v>80165868.104559109</v>
      </c>
      <c r="CW139" s="19">
        <f t="shared" si="575"/>
        <v>79218025.256047174</v>
      </c>
      <c r="CX139" s="19">
        <f t="shared" si="575"/>
        <v>86611445.34807156</v>
      </c>
      <c r="CY139" s="19">
        <f t="shared" si="575"/>
        <v>80842020.590527415</v>
      </c>
      <c r="CZ139" s="19">
        <f t="shared" si="575"/>
        <v>93912662.828373</v>
      </c>
      <c r="DA139" s="19">
        <f t="shared" si="575"/>
        <v>116088005.63182093</v>
      </c>
      <c r="DB139" s="19">
        <f t="shared" si="575"/>
        <v>85930375.389478028</v>
      </c>
      <c r="DC139" s="19">
        <f t="shared" si="575"/>
        <v>88782509.512107983</v>
      </c>
      <c r="DD139" s="19">
        <f t="shared" si="575"/>
        <v>93149225.203306958</v>
      </c>
      <c r="DE139" s="19">
        <f t="shared" si="575"/>
        <v>79867131.642576739</v>
      </c>
      <c r="DF139" s="19">
        <f t="shared" si="575"/>
        <v>97020505.527514607</v>
      </c>
      <c r="DG139" s="19">
        <f t="shared" si="575"/>
        <v>88285844.776960358</v>
      </c>
      <c r="DH139" s="19">
        <f t="shared" si="575"/>
        <v>96199041.72547093</v>
      </c>
      <c r="DI139" s="19">
        <f t="shared" si="575"/>
        <v>95061630.307256609</v>
      </c>
      <c r="DJ139" s="19">
        <f t="shared" si="575"/>
        <v>103933734.41768587</v>
      </c>
      <c r="DK139" s="19">
        <f t="shared" si="575"/>
        <v>97010424.708632901</v>
      </c>
      <c r="DL139" s="19">
        <f t="shared" si="575"/>
        <v>112695195.3940476</v>
      </c>
      <c r="DM139" s="19">
        <f t="shared" si="575"/>
        <v>139305606.75818515</v>
      </c>
      <c r="DN139" s="19">
        <f t="shared" si="575"/>
        <v>103116450.46737362</v>
      </c>
      <c r="DO139" s="19">
        <f t="shared" si="575"/>
        <v>106539011.41452959</v>
      </c>
      <c r="DP139" s="19">
        <f t="shared" si="575"/>
        <v>111779070.24396835</v>
      </c>
      <c r="DQ139" s="19">
        <f t="shared" si="575"/>
        <v>95840557.97109209</v>
      </c>
      <c r="DR139" s="19">
        <f t="shared" si="575"/>
        <v>116424606.63301753</v>
      </c>
      <c r="DS139" s="19">
        <f t="shared" ref="DS139:ED139" si="576">DS113-DS122</f>
        <v>101528721.49350439</v>
      </c>
      <c r="DT139" s="19">
        <f t="shared" si="576"/>
        <v>110628897.98429155</v>
      </c>
      <c r="DU139" s="19">
        <f t="shared" si="576"/>
        <v>109320874.85334508</v>
      </c>
      <c r="DV139" s="19">
        <f t="shared" si="576"/>
        <v>119523794.58033875</v>
      </c>
      <c r="DW139" s="19">
        <f t="shared" si="576"/>
        <v>111561988.41492783</v>
      </c>
      <c r="DX139" s="19">
        <f t="shared" si="576"/>
        <v>129599474.70315473</v>
      </c>
      <c r="DY139" s="19">
        <f t="shared" si="576"/>
        <v>160201447.77191293</v>
      </c>
      <c r="DZ139" s="19">
        <f t="shared" si="576"/>
        <v>118583918.03747967</v>
      </c>
      <c r="EA139" s="19">
        <f t="shared" si="576"/>
        <v>122519863.12670903</v>
      </c>
      <c r="EB139" s="19">
        <f t="shared" si="576"/>
        <v>128545930.78056359</v>
      </c>
      <c r="EC139" s="19">
        <f t="shared" si="576"/>
        <v>110216641.6667559</v>
      </c>
      <c r="ED139" s="19">
        <f t="shared" si="576"/>
        <v>133888297.62797017</v>
      </c>
      <c r="EE139" s="222"/>
      <c r="EF139" s="19">
        <f t="shared" si="545"/>
        <v>112900174.91525422</v>
      </c>
      <c r="EG139" s="19">
        <f t="shared" si="546"/>
        <v>122424090.50847457</v>
      </c>
      <c r="EH139" s="19">
        <f t="shared" si="547"/>
        <v>147334216.69491526</v>
      </c>
      <c r="EI139" s="19">
        <f t="shared" si="548"/>
        <v>138317905.84745762</v>
      </c>
      <c r="EJ139" s="19">
        <f t="shared" si="549"/>
        <v>138512041.779661</v>
      </c>
      <c r="EK139" s="19">
        <f t="shared" si="550"/>
        <v>153336063.220339</v>
      </c>
      <c r="EL139" s="19">
        <f t="shared" si="551"/>
        <v>174122401.86440679</v>
      </c>
      <c r="EM139" s="19">
        <f t="shared" si="552"/>
        <v>172161657.79661018</v>
      </c>
      <c r="EN139" s="19">
        <f t="shared" si="553"/>
        <v>176788922.20338982</v>
      </c>
      <c r="EO139" s="19">
        <f t="shared" si="554"/>
        <v>191007982.79661018</v>
      </c>
      <c r="EP139" s="19">
        <f t="shared" si="555"/>
        <v>228545213.98305082</v>
      </c>
      <c r="EQ139" s="19">
        <f t="shared" si="556"/>
        <v>223199094.49152541</v>
      </c>
      <c r="ER139" s="19">
        <f t="shared" si="557"/>
        <v>232955430.6747399</v>
      </c>
      <c r="ES139" s="19">
        <f t="shared" si="558"/>
        <v>261366128.76697201</v>
      </c>
      <c r="ET139" s="19">
        <f t="shared" si="559"/>
        <v>290800890.53340691</v>
      </c>
      <c r="EU139" s="19">
        <f t="shared" si="560"/>
        <v>270036862.3733983</v>
      </c>
      <c r="EV139" s="19">
        <f t="shared" si="561"/>
        <v>279546516.80968785</v>
      </c>
      <c r="EW139" s="19">
        <f t="shared" si="562"/>
        <v>313639354.52036637</v>
      </c>
      <c r="EX139" s="19">
        <f t="shared" si="563"/>
        <v>348961068.64008832</v>
      </c>
      <c r="EY139" s="19">
        <f t="shared" si="564"/>
        <v>324044234.84807795</v>
      </c>
      <c r="EZ139" s="19">
        <f t="shared" si="565"/>
        <v>321478494.33114105</v>
      </c>
      <c r="FA139" s="19">
        <f t="shared" si="566"/>
        <v>360685257.6984213</v>
      </c>
      <c r="FB139" s="19">
        <f t="shared" si="567"/>
        <v>401305228.93610162</v>
      </c>
      <c r="FC139" s="19">
        <f t="shared" si="568"/>
        <v>372650870.07528967</v>
      </c>
      <c r="FE139" s="19">
        <f t="shared" si="569"/>
        <v>520976387.96610165</v>
      </c>
      <c r="FF139" s="19">
        <f t="shared" si="570"/>
        <v>638132164.66101694</v>
      </c>
      <c r="FG139" s="19">
        <f t="shared" si="571"/>
        <v>819541213.47457623</v>
      </c>
      <c r="FH139" s="19">
        <f t="shared" si="572"/>
        <v>1055159312.3485172</v>
      </c>
      <c r="FI139" s="19">
        <f t="shared" si="573"/>
        <v>1266191174.8182206</v>
      </c>
      <c r="FJ139" s="770">
        <f t="shared" si="537"/>
        <v>1456119851.0409536</v>
      </c>
      <c r="FK139" s="545" t="s">
        <v>1</v>
      </c>
    </row>
    <row r="140" spans="2:167" x14ac:dyDescent="0.2">
      <c r="B140" s="225" t="s">
        <v>310</v>
      </c>
      <c r="C140" s="19">
        <f>C114-C123</f>
        <v>0</v>
      </c>
      <c r="D140" s="19">
        <f t="shared" ref="D140:BO140" si="577">D114-D123</f>
        <v>0</v>
      </c>
      <c r="E140" s="19">
        <f t="shared" si="577"/>
        <v>0</v>
      </c>
      <c r="F140" s="19">
        <f t="shared" si="577"/>
        <v>0</v>
      </c>
      <c r="G140" s="19">
        <f t="shared" si="577"/>
        <v>0</v>
      </c>
      <c r="H140" s="19">
        <f t="shared" si="577"/>
        <v>0</v>
      </c>
      <c r="I140" s="19">
        <f t="shared" si="577"/>
        <v>0</v>
      </c>
      <c r="J140" s="19">
        <f t="shared" si="577"/>
        <v>0</v>
      </c>
      <c r="K140" s="19">
        <f t="shared" si="577"/>
        <v>0</v>
      </c>
      <c r="L140" s="19">
        <f t="shared" si="577"/>
        <v>0</v>
      </c>
      <c r="M140" s="19">
        <f t="shared" si="577"/>
        <v>0</v>
      </c>
      <c r="N140" s="19">
        <f t="shared" si="577"/>
        <v>0</v>
      </c>
      <c r="O140" s="19">
        <f t="shared" si="577"/>
        <v>0</v>
      </c>
      <c r="P140" s="19">
        <f t="shared" si="577"/>
        <v>0</v>
      </c>
      <c r="Q140" s="19">
        <f t="shared" si="577"/>
        <v>0</v>
      </c>
      <c r="R140" s="19">
        <f t="shared" si="577"/>
        <v>0</v>
      </c>
      <c r="S140" s="19">
        <f t="shared" si="577"/>
        <v>0</v>
      </c>
      <c r="T140" s="19">
        <f t="shared" si="577"/>
        <v>0</v>
      </c>
      <c r="U140" s="19">
        <f t="shared" si="577"/>
        <v>0</v>
      </c>
      <c r="V140" s="19">
        <f t="shared" si="577"/>
        <v>0</v>
      </c>
      <c r="W140" s="19">
        <f t="shared" si="577"/>
        <v>0</v>
      </c>
      <c r="X140" s="19">
        <f t="shared" si="577"/>
        <v>0</v>
      </c>
      <c r="Y140" s="19">
        <f t="shared" si="577"/>
        <v>0</v>
      </c>
      <c r="Z140" s="19">
        <f t="shared" si="577"/>
        <v>0</v>
      </c>
      <c r="AA140" s="19">
        <f t="shared" si="577"/>
        <v>0</v>
      </c>
      <c r="AB140" s="19">
        <f t="shared" si="577"/>
        <v>0</v>
      </c>
      <c r="AC140" s="19">
        <f t="shared" si="577"/>
        <v>1207388.0813784597</v>
      </c>
      <c r="AD140" s="19">
        <f t="shared" si="577"/>
        <v>1464761.0802766315</v>
      </c>
      <c r="AE140" s="19">
        <f t="shared" si="577"/>
        <v>1379161.2967517846</v>
      </c>
      <c r="AF140" s="19">
        <f t="shared" si="577"/>
        <v>1208203.7645473983</v>
      </c>
      <c r="AG140" s="19">
        <f t="shared" si="577"/>
        <v>1055719.8073246768</v>
      </c>
      <c r="AH140" s="19">
        <f t="shared" si="577"/>
        <v>961468.96694792644</v>
      </c>
      <c r="AI140" s="19">
        <f t="shared" si="577"/>
        <v>823032.19107301254</v>
      </c>
      <c r="AJ140" s="19">
        <f t="shared" si="577"/>
        <v>907730.5423728805</v>
      </c>
      <c r="AK140" s="19">
        <f t="shared" si="577"/>
        <v>884067.69135842426</v>
      </c>
      <c r="AL140" s="19">
        <f t="shared" si="577"/>
        <v>1528878.5423728814</v>
      </c>
      <c r="AM140" s="19">
        <f t="shared" si="577"/>
        <v>842444.26101694908</v>
      </c>
      <c r="AN140" s="19">
        <f t="shared" si="577"/>
        <v>2354.5600000000004</v>
      </c>
      <c r="AO140" s="19">
        <f t="shared" si="577"/>
        <v>1552096.6338983052</v>
      </c>
      <c r="AP140" s="19">
        <f t="shared" si="577"/>
        <v>2092475.3159322031</v>
      </c>
      <c r="AQ140" s="19">
        <f t="shared" si="577"/>
        <v>2113205.2728813472</v>
      </c>
      <c r="AR140" s="19">
        <f t="shared" si="577"/>
        <v>2388194.8911864413</v>
      </c>
      <c r="AS140" s="19">
        <f t="shared" si="577"/>
        <v>2291013.5637288084</v>
      </c>
      <c r="AT140" s="19">
        <f t="shared" si="577"/>
        <v>2300871.2006779583</v>
      </c>
      <c r="AU140" s="19">
        <f t="shared" si="577"/>
        <v>3397220.682203386</v>
      </c>
      <c r="AV140" s="19">
        <f t="shared" si="577"/>
        <v>2673940.0762711801</v>
      </c>
      <c r="AW140" s="19">
        <f t="shared" si="577"/>
        <v>2486873.5084745586</v>
      </c>
      <c r="AX140" s="19">
        <f t="shared" si="577"/>
        <v>2358218.474576246</v>
      </c>
      <c r="AY140" s="19">
        <f t="shared" si="577"/>
        <v>2865187.4661017247</v>
      </c>
      <c r="AZ140" s="19">
        <f t="shared" si="577"/>
        <v>3195669.1779660955</v>
      </c>
      <c r="BA140" s="19">
        <f t="shared" si="577"/>
        <v>4176833.1222033594</v>
      </c>
      <c r="BB140" s="19">
        <f t="shared" si="577"/>
        <v>4147362.7203389294</v>
      </c>
      <c r="BC140" s="19">
        <f t="shared" si="577"/>
        <v>3505558.6630507801</v>
      </c>
      <c r="BD140" s="19">
        <f t="shared" si="577"/>
        <v>3671095.9952541795</v>
      </c>
      <c r="BE140" s="19">
        <f t="shared" si="577"/>
        <v>3429034.0001694392</v>
      </c>
      <c r="BF140" s="19">
        <f t="shared" si="577"/>
        <v>4195559.3813559003</v>
      </c>
      <c r="BG140" s="19">
        <f t="shared" si="577"/>
        <v>4247055.3602042794</v>
      </c>
      <c r="BH140" s="19">
        <f t="shared" si="577"/>
        <v>5174064.7211377695</v>
      </c>
      <c r="BI140" s="19">
        <f t="shared" si="577"/>
        <v>5226666.392379541</v>
      </c>
      <c r="BJ140" s="19">
        <f t="shared" si="577"/>
        <v>5402983.6507111676</v>
      </c>
      <c r="BK140" s="19">
        <f t="shared" si="577"/>
        <v>6164771.0138157457</v>
      </c>
      <c r="BL140" s="19">
        <f t="shared" si="577"/>
        <v>6573650.6010221392</v>
      </c>
      <c r="BM140" s="19">
        <f t="shared" si="577"/>
        <v>6081415.5793505143</v>
      </c>
      <c r="BN140" s="19">
        <f t="shared" si="577"/>
        <v>7129065.5534052998</v>
      </c>
      <c r="BO140" s="19">
        <f t="shared" si="577"/>
        <v>7458443.0172119066</v>
      </c>
      <c r="BP140" s="19">
        <f t="shared" ref="BP140:DR140" si="578">BP114-BP123</f>
        <v>6670848.2473769337</v>
      </c>
      <c r="BQ140" s="19">
        <f t="shared" si="578"/>
        <v>7084758.424030602</v>
      </c>
      <c r="BR140" s="19">
        <f t="shared" si="578"/>
        <v>5032890.9370307028</v>
      </c>
      <c r="BS140" s="19">
        <f t="shared" si="578"/>
        <v>5728511.5345964991</v>
      </c>
      <c r="BT140" s="19">
        <f t="shared" si="578"/>
        <v>4637225.0492067803</v>
      </c>
      <c r="BU140" s="19">
        <f t="shared" si="578"/>
        <v>5760375.4199744817</v>
      </c>
      <c r="BV140" s="19">
        <f t="shared" si="578"/>
        <v>6195988.0640845355</v>
      </c>
      <c r="BW140" s="19">
        <f t="shared" si="578"/>
        <v>5703600.877852682</v>
      </c>
      <c r="BX140" s="19">
        <f t="shared" si="578"/>
        <v>7255768.8203369677</v>
      </c>
      <c r="BY140" s="19">
        <f t="shared" si="578"/>
        <v>8646736.1275211051</v>
      </c>
      <c r="BZ140" s="19">
        <f t="shared" si="578"/>
        <v>8230460.1705396138</v>
      </c>
      <c r="CA140" s="19">
        <f t="shared" si="578"/>
        <v>9393322.0418685749</v>
      </c>
      <c r="CB140" s="19">
        <f t="shared" si="578"/>
        <v>7886082.4212295413</v>
      </c>
      <c r="CC140" s="19">
        <f t="shared" si="578"/>
        <v>8773355.3704945706</v>
      </c>
      <c r="CD140" s="19">
        <f t="shared" si="578"/>
        <v>7153443.2562242709</v>
      </c>
      <c r="CE140" s="19">
        <f t="shared" si="578"/>
        <v>7615402.2692166716</v>
      </c>
      <c r="CF140" s="19">
        <f t="shared" si="578"/>
        <v>8873075.5939084068</v>
      </c>
      <c r="CG140" s="19">
        <f t="shared" si="578"/>
        <v>7499430.8720171116</v>
      </c>
      <c r="CH140" s="19">
        <f t="shared" si="578"/>
        <v>9379118.2967313454</v>
      </c>
      <c r="CI140" s="19">
        <f t="shared" si="578"/>
        <v>9064244.8143695407</v>
      </c>
      <c r="CJ140" s="19">
        <f t="shared" si="578"/>
        <v>9824250.7791190743</v>
      </c>
      <c r="CK140" s="19">
        <f t="shared" si="578"/>
        <v>9305828.7954914607</v>
      </c>
      <c r="CL140" s="19">
        <f t="shared" si="578"/>
        <v>10230443.202966098</v>
      </c>
      <c r="CM140" s="19">
        <f t="shared" si="578"/>
        <v>9478615.5336440578</v>
      </c>
      <c r="CN140" s="19">
        <f t="shared" si="578"/>
        <v>8968780.0643220283</v>
      </c>
      <c r="CO140" s="19">
        <f t="shared" si="578"/>
        <v>10389890.313185975</v>
      </c>
      <c r="CP140" s="19">
        <f t="shared" si="578"/>
        <v>9754065.3185593225</v>
      </c>
      <c r="CQ140" s="19">
        <f t="shared" si="578"/>
        <v>12040151.165762849</v>
      </c>
      <c r="CR140" s="19">
        <f t="shared" si="578"/>
        <v>11037227.86669492</v>
      </c>
      <c r="CS140" s="19">
        <f t="shared" si="578"/>
        <v>11183109.553559326</v>
      </c>
      <c r="CT140" s="19">
        <f t="shared" si="578"/>
        <v>19508736.393051073</v>
      </c>
      <c r="CU140" s="19">
        <f t="shared" si="578"/>
        <v>10612576.030010678</v>
      </c>
      <c r="CV140" s="19">
        <f t="shared" si="578"/>
        <v>10974745.560977597</v>
      </c>
      <c r="CW140" s="19">
        <f t="shared" si="578"/>
        <v>11245910.018274352</v>
      </c>
      <c r="CX140" s="19">
        <f t="shared" si="578"/>
        <v>10654264.041844118</v>
      </c>
      <c r="CY140" s="19">
        <f t="shared" si="578"/>
        <v>11964007.218365014</v>
      </c>
      <c r="CZ140" s="19">
        <f t="shared" si="578"/>
        <v>12933367.636337943</v>
      </c>
      <c r="DA140" s="19">
        <f t="shared" si="578"/>
        <v>11060862.226130076</v>
      </c>
      <c r="DB140" s="19">
        <f t="shared" si="578"/>
        <v>12125411.238118172</v>
      </c>
      <c r="DC140" s="19">
        <f t="shared" si="578"/>
        <v>10498850.101179123</v>
      </c>
      <c r="DD140" s="19">
        <f t="shared" si="578"/>
        <v>10390318.798078574</v>
      </c>
      <c r="DE140" s="19">
        <f t="shared" si="578"/>
        <v>11450966.430686563</v>
      </c>
      <c r="DF140" s="19">
        <f t="shared" si="578"/>
        <v>10035772.255476512</v>
      </c>
      <c r="DG140" s="19">
        <f t="shared" si="578"/>
        <v>11210028.251562662</v>
      </c>
      <c r="DH140" s="19">
        <f t="shared" si="578"/>
        <v>11671343.420781478</v>
      </c>
      <c r="DI140" s="19">
        <f t="shared" si="578"/>
        <v>11921281.580711901</v>
      </c>
      <c r="DJ140" s="19">
        <f t="shared" si="578"/>
        <v>11169054.843009815</v>
      </c>
      <c r="DK140" s="19">
        <f t="shared" si="578"/>
        <v>12733957.51959008</v>
      </c>
      <c r="DL140" s="19">
        <f t="shared" si="578"/>
        <v>13864777.760770366</v>
      </c>
      <c r="DM140" s="19">
        <f t="shared" si="578"/>
        <v>11510143.629950956</v>
      </c>
      <c r="DN140" s="19">
        <f t="shared" si="578"/>
        <v>12721955.558654733</v>
      </c>
      <c r="DO140" s="19">
        <f t="shared" si="578"/>
        <v>10690995.404590949</v>
      </c>
      <c r="DP140" s="19">
        <f t="shared" si="578"/>
        <v>10500435.29156176</v>
      </c>
      <c r="DQ140" s="19">
        <f t="shared" si="578"/>
        <v>11698235.725414895</v>
      </c>
      <c r="DR140" s="19">
        <f t="shared" si="578"/>
        <v>9861227.3670046479</v>
      </c>
      <c r="DS140" s="19">
        <f t="shared" ref="DS140:ED140" si="579">DS114-DS123</f>
        <v>11626808.504833922</v>
      </c>
      <c r="DT140" s="19">
        <f t="shared" si="579"/>
        <v>12130132.146513082</v>
      </c>
      <c r="DU140" s="19">
        <f t="shared" si="579"/>
        <v>12399540.157862477</v>
      </c>
      <c r="DV140" s="19">
        <f t="shared" si="579"/>
        <v>11525285.756347939</v>
      </c>
      <c r="DW140" s="19">
        <f t="shared" si="579"/>
        <v>13286245.243465498</v>
      </c>
      <c r="DX140" s="19">
        <f t="shared" si="579"/>
        <v>14541614.901577577</v>
      </c>
      <c r="DY140" s="19">
        <f t="shared" si="579"/>
        <v>11852685.565241665</v>
      </c>
      <c r="DZ140" s="19">
        <f t="shared" si="579"/>
        <v>13216303.657833137</v>
      </c>
      <c r="EA140" s="19">
        <f t="shared" si="579"/>
        <v>10898160.250990093</v>
      </c>
      <c r="EB140" s="19">
        <f t="shared" si="579"/>
        <v>10674171.338274889</v>
      </c>
      <c r="EC140" s="19">
        <f t="shared" si="579"/>
        <v>12021200.823876441</v>
      </c>
      <c r="ED140" s="19">
        <f t="shared" si="579"/>
        <v>9926288.7974934354</v>
      </c>
      <c r="EE140" s="222"/>
      <c r="EF140" s="19">
        <f t="shared" si="545"/>
        <v>18819837.194188401</v>
      </c>
      <c r="EG140" s="19">
        <f t="shared" si="546"/>
        <v>21258356.81799414</v>
      </c>
      <c r="EH140" s="19">
        <f t="shared" si="547"/>
        <v>17846160.895657804</v>
      </c>
      <c r="EI140" s="19">
        <f t="shared" si="548"/>
        <v>16593588.533265797</v>
      </c>
      <c r="EJ140" s="19">
        <f t="shared" si="549"/>
        <v>21606105.825710755</v>
      </c>
      <c r="EK140" s="19">
        <f t="shared" si="550"/>
        <v>25509864.63363773</v>
      </c>
      <c r="EL140" s="19">
        <f t="shared" si="551"/>
        <v>23542200.895935513</v>
      </c>
      <c r="EM140" s="19">
        <f t="shared" si="552"/>
        <v>25751624.762656864</v>
      </c>
      <c r="EN140" s="19">
        <f t="shared" si="553"/>
        <v>28194324.388980076</v>
      </c>
      <c r="EO140" s="19">
        <f t="shared" si="554"/>
        <v>28677838.800932184</v>
      </c>
      <c r="EP140" s="19">
        <f t="shared" si="555"/>
        <v>32184106.797508147</v>
      </c>
      <c r="EQ140" s="19">
        <f t="shared" si="556"/>
        <v>41729073.813305318</v>
      </c>
      <c r="ER140" s="19">
        <f t="shared" si="557"/>
        <v>32833231.609262627</v>
      </c>
      <c r="ES140" s="19">
        <f t="shared" si="558"/>
        <v>35551638.896547079</v>
      </c>
      <c r="ET140" s="19">
        <f t="shared" si="559"/>
        <v>33685123.56542737</v>
      </c>
      <c r="EU140" s="19">
        <f t="shared" si="560"/>
        <v>31877057.48424165</v>
      </c>
      <c r="EV140" s="19">
        <f t="shared" si="561"/>
        <v>34802653.253056042</v>
      </c>
      <c r="EW140" s="19">
        <f t="shared" si="562"/>
        <v>37767790.12337026</v>
      </c>
      <c r="EX140" s="19">
        <f t="shared" si="563"/>
        <v>34923094.593196638</v>
      </c>
      <c r="EY140" s="19">
        <f t="shared" si="564"/>
        <v>32059898.383981302</v>
      </c>
      <c r="EZ140" s="19">
        <f t="shared" si="565"/>
        <v>36156480.809209481</v>
      </c>
      <c r="FA140" s="19">
        <f t="shared" si="566"/>
        <v>39353145.901391014</v>
      </c>
      <c r="FB140" s="19">
        <f t="shared" si="567"/>
        <v>35967149.474064894</v>
      </c>
      <c r="FC140" s="19">
        <f t="shared" si="568"/>
        <v>32621660.959644765</v>
      </c>
      <c r="FE140" s="19">
        <f t="shared" si="569"/>
        <v>74517943.441106141</v>
      </c>
      <c r="FF140" s="19">
        <f t="shared" si="570"/>
        <v>96409796.117940873</v>
      </c>
      <c r="FG140" s="19">
        <f t="shared" si="571"/>
        <v>130785343.80072573</v>
      </c>
      <c r="FH140" s="19">
        <f t="shared" si="572"/>
        <v>133947051.55547874</v>
      </c>
      <c r="FI140" s="19">
        <f t="shared" si="573"/>
        <v>139553436.35360426</v>
      </c>
      <c r="FJ140" s="770">
        <f t="shared" si="537"/>
        <v>144098437.14431015</v>
      </c>
      <c r="FK140" s="545" t="s">
        <v>1</v>
      </c>
    </row>
    <row r="141" spans="2:167" x14ac:dyDescent="0.2">
      <c r="B141" s="225" t="s">
        <v>311</v>
      </c>
      <c r="C141" s="19">
        <f>C115-C124</f>
        <v>0</v>
      </c>
      <c r="D141" s="19">
        <f t="shared" ref="D141:BO141" si="580">D115-D124</f>
        <v>0</v>
      </c>
      <c r="E141" s="19">
        <f t="shared" si="580"/>
        <v>0</v>
      </c>
      <c r="F141" s="19">
        <f t="shared" si="580"/>
        <v>0</v>
      </c>
      <c r="G141" s="19">
        <f t="shared" si="580"/>
        <v>0</v>
      </c>
      <c r="H141" s="19">
        <f t="shared" si="580"/>
        <v>0</v>
      </c>
      <c r="I141" s="19">
        <f t="shared" si="580"/>
        <v>0</v>
      </c>
      <c r="J141" s="19">
        <f t="shared" si="580"/>
        <v>0</v>
      </c>
      <c r="K141" s="19">
        <f t="shared" si="580"/>
        <v>0</v>
      </c>
      <c r="L141" s="19">
        <f t="shared" si="580"/>
        <v>0</v>
      </c>
      <c r="M141" s="19">
        <f t="shared" si="580"/>
        <v>0</v>
      </c>
      <c r="N141" s="19">
        <f t="shared" si="580"/>
        <v>0</v>
      </c>
      <c r="O141" s="19">
        <f t="shared" si="580"/>
        <v>0</v>
      </c>
      <c r="P141" s="19">
        <f t="shared" si="580"/>
        <v>0</v>
      </c>
      <c r="Q141" s="19">
        <f t="shared" si="580"/>
        <v>0</v>
      </c>
      <c r="R141" s="19">
        <f t="shared" si="580"/>
        <v>0</v>
      </c>
      <c r="S141" s="19">
        <f t="shared" si="580"/>
        <v>0</v>
      </c>
      <c r="T141" s="19">
        <f t="shared" si="580"/>
        <v>0</v>
      </c>
      <c r="U141" s="19">
        <f t="shared" si="580"/>
        <v>0</v>
      </c>
      <c r="V141" s="19">
        <f t="shared" si="580"/>
        <v>0</v>
      </c>
      <c r="W141" s="19">
        <f t="shared" si="580"/>
        <v>0</v>
      </c>
      <c r="X141" s="19">
        <f t="shared" si="580"/>
        <v>0</v>
      </c>
      <c r="Y141" s="19">
        <f t="shared" si="580"/>
        <v>0</v>
      </c>
      <c r="Z141" s="19">
        <f t="shared" si="580"/>
        <v>0</v>
      </c>
      <c r="AA141" s="19">
        <f t="shared" si="580"/>
        <v>0</v>
      </c>
      <c r="AB141" s="19">
        <f t="shared" si="580"/>
        <v>0</v>
      </c>
      <c r="AC141" s="19">
        <f t="shared" si="580"/>
        <v>0</v>
      </c>
      <c r="AD141" s="19">
        <f t="shared" si="580"/>
        <v>861394</v>
      </c>
      <c r="AE141" s="19">
        <f t="shared" si="580"/>
        <v>1089200</v>
      </c>
      <c r="AF141" s="19">
        <f t="shared" si="580"/>
        <v>1517914</v>
      </c>
      <c r="AG141" s="19">
        <f t="shared" si="580"/>
        <v>1788042</v>
      </c>
      <c r="AH141" s="19">
        <f t="shared" si="580"/>
        <v>1108386</v>
      </c>
      <c r="AI141" s="19">
        <f t="shared" si="580"/>
        <v>2822994</v>
      </c>
      <c r="AJ141" s="19">
        <f t="shared" si="580"/>
        <v>1089186</v>
      </c>
      <c r="AK141" s="19">
        <f t="shared" si="580"/>
        <v>741502</v>
      </c>
      <c r="AL141" s="19">
        <f t="shared" si="580"/>
        <v>796610</v>
      </c>
      <c r="AM141" s="19">
        <f t="shared" si="580"/>
        <v>728000</v>
      </c>
      <c r="AN141" s="19">
        <f t="shared" si="580"/>
        <v>947771</v>
      </c>
      <c r="AO141" s="19">
        <f t="shared" si="580"/>
        <v>1120000</v>
      </c>
      <c r="AP141" s="19">
        <f t="shared" si="580"/>
        <v>1912349</v>
      </c>
      <c r="AQ141" s="19">
        <f t="shared" si="580"/>
        <v>1736000</v>
      </c>
      <c r="AR141" s="19">
        <f t="shared" si="580"/>
        <v>4886000</v>
      </c>
      <c r="AS141" s="19">
        <f t="shared" si="580"/>
        <v>3438950</v>
      </c>
      <c r="AT141" s="19">
        <f t="shared" si="580"/>
        <v>2417111.88</v>
      </c>
      <c r="AU141" s="19">
        <f t="shared" si="580"/>
        <v>1118904.8400000001</v>
      </c>
      <c r="AV141" s="19">
        <f t="shared" si="580"/>
        <v>2796720.24</v>
      </c>
      <c r="AW141" s="19">
        <f t="shared" si="580"/>
        <v>1365637.6800000002</v>
      </c>
      <c r="AX141" s="19">
        <f t="shared" si="580"/>
        <v>1711884.8</v>
      </c>
      <c r="AY141" s="19">
        <f t="shared" si="580"/>
        <v>1465959.0800000003</v>
      </c>
      <c r="AZ141" s="19">
        <f t="shared" si="580"/>
        <v>1545661.8</v>
      </c>
      <c r="BA141" s="19">
        <f t="shared" si="580"/>
        <v>2116233.12</v>
      </c>
      <c r="BB141" s="19">
        <f t="shared" si="580"/>
        <v>1695776.04</v>
      </c>
      <c r="BC141" s="19">
        <f t="shared" si="580"/>
        <v>1695776.04</v>
      </c>
      <c r="BD141" s="19">
        <f t="shared" si="580"/>
        <v>2648073.4</v>
      </c>
      <c r="BE141" s="19">
        <f t="shared" si="580"/>
        <v>2159741.2400000002</v>
      </c>
      <c r="BF141" s="19">
        <f t="shared" si="580"/>
        <v>619886.88000000012</v>
      </c>
      <c r="BG141" s="19">
        <f t="shared" si="580"/>
        <v>1067741.3599999999</v>
      </c>
      <c r="BH141" s="19">
        <f t="shared" si="580"/>
        <v>1356292.8800000001</v>
      </c>
      <c r="BI141" s="19">
        <f t="shared" si="580"/>
        <v>1140472.52</v>
      </c>
      <c r="BJ141" s="19">
        <f t="shared" si="580"/>
        <v>1354904.12</v>
      </c>
      <c r="BK141" s="19">
        <f t="shared" si="580"/>
        <v>1265273.3599999999</v>
      </c>
      <c r="BL141" s="19">
        <f t="shared" si="580"/>
        <v>1367778.3599999999</v>
      </c>
      <c r="BM141" s="19">
        <f t="shared" si="580"/>
        <v>838654.56</v>
      </c>
      <c r="BN141" s="19">
        <f t="shared" si="580"/>
        <v>1130825.1600000001</v>
      </c>
      <c r="BO141" s="19">
        <f t="shared" si="580"/>
        <v>1495770.12</v>
      </c>
      <c r="BP141" s="19">
        <f t="shared" ref="BP141:DR141" si="581">BP115-BP124</f>
        <v>1124459.6400000001</v>
      </c>
      <c r="BQ141" s="19">
        <f t="shared" si="581"/>
        <v>2453795.2800000003</v>
      </c>
      <c r="BR141" s="19">
        <f t="shared" si="581"/>
        <v>951766.92</v>
      </c>
      <c r="BS141" s="19">
        <f t="shared" si="581"/>
        <v>1116000</v>
      </c>
      <c r="BT141" s="19">
        <f t="shared" si="581"/>
        <v>1251640.8</v>
      </c>
      <c r="BU141" s="19">
        <f t="shared" si="581"/>
        <v>913328.28</v>
      </c>
      <c r="BV141" s="19">
        <f t="shared" si="581"/>
        <v>1033255.4400000001</v>
      </c>
      <c r="BW141" s="19">
        <f t="shared" si="581"/>
        <v>1014968.52</v>
      </c>
      <c r="BX141" s="19">
        <f t="shared" si="581"/>
        <v>1008000</v>
      </c>
      <c r="BY141" s="19">
        <f t="shared" si="581"/>
        <v>1290740.7600000002</v>
      </c>
      <c r="BZ141" s="19">
        <f t="shared" si="581"/>
        <v>1435241.52</v>
      </c>
      <c r="CA141" s="19">
        <f t="shared" si="581"/>
        <v>2384040.4000000004</v>
      </c>
      <c r="CB141" s="19">
        <f t="shared" si="581"/>
        <v>4306256.3661016952</v>
      </c>
      <c r="CC141" s="19">
        <f t="shared" si="581"/>
        <v>3079062.1999999997</v>
      </c>
      <c r="CD141" s="19">
        <f t="shared" si="581"/>
        <v>3752510.1</v>
      </c>
      <c r="CE141" s="19">
        <f t="shared" si="581"/>
        <v>2784235.6</v>
      </c>
      <c r="CF141" s="19">
        <f t="shared" si="581"/>
        <v>2110723.1</v>
      </c>
      <c r="CG141" s="19">
        <f t="shared" si="581"/>
        <v>1653456.9</v>
      </c>
      <c r="CH141" s="19">
        <f t="shared" si="581"/>
        <v>2545252</v>
      </c>
      <c r="CI141" s="19">
        <f t="shared" si="581"/>
        <v>1740065.9</v>
      </c>
      <c r="CJ141" s="19">
        <f t="shared" si="581"/>
        <v>1276873.3</v>
      </c>
      <c r="CK141" s="19">
        <f t="shared" si="581"/>
        <v>2510620.96</v>
      </c>
      <c r="CL141" s="19">
        <f t="shared" si="581"/>
        <v>3651176.2</v>
      </c>
      <c r="CM141" s="19">
        <f t="shared" si="581"/>
        <v>3500349.9</v>
      </c>
      <c r="CN141" s="19">
        <f t="shared" si="581"/>
        <v>4380195.01</v>
      </c>
      <c r="CO141" s="19">
        <f t="shared" si="581"/>
        <v>3542880.0300000003</v>
      </c>
      <c r="CP141" s="19">
        <f t="shared" si="581"/>
        <v>3118732.6799999997</v>
      </c>
      <c r="CQ141" s="19">
        <f t="shared" si="581"/>
        <v>3178051.15</v>
      </c>
      <c r="CR141" s="19">
        <f t="shared" si="581"/>
        <v>1981348.6</v>
      </c>
      <c r="CS141" s="19">
        <f t="shared" si="581"/>
        <v>3930581.29</v>
      </c>
      <c r="CT141" s="19">
        <f t="shared" si="581"/>
        <v>6187310.0099999998</v>
      </c>
      <c r="CU141" s="19">
        <f t="shared" si="581"/>
        <v>1740065.9</v>
      </c>
      <c r="CV141" s="19">
        <f t="shared" si="581"/>
        <v>1276873.3</v>
      </c>
      <c r="CW141" s="19">
        <f t="shared" si="581"/>
        <v>2510620.96</v>
      </c>
      <c r="CX141" s="19">
        <f t="shared" si="581"/>
        <v>3651176.2</v>
      </c>
      <c r="CY141" s="19">
        <f t="shared" si="581"/>
        <v>3500349.9</v>
      </c>
      <c r="CZ141" s="19">
        <f t="shared" si="581"/>
        <v>4380195.0100000007</v>
      </c>
      <c r="DA141" s="19">
        <f t="shared" si="581"/>
        <v>3542880.0300000003</v>
      </c>
      <c r="DB141" s="19">
        <f t="shared" si="581"/>
        <v>3118732.6799999997</v>
      </c>
      <c r="DC141" s="19">
        <f t="shared" si="581"/>
        <v>3178051.15</v>
      </c>
      <c r="DD141" s="19">
        <f t="shared" si="581"/>
        <v>1981348.6000000003</v>
      </c>
      <c r="DE141" s="19">
        <f t="shared" si="581"/>
        <v>3930581.29</v>
      </c>
      <c r="DF141" s="19">
        <f t="shared" si="581"/>
        <v>6187310.0099999998</v>
      </c>
      <c r="DG141" s="19">
        <f t="shared" si="581"/>
        <v>1740065.9</v>
      </c>
      <c r="DH141" s="19">
        <f t="shared" si="581"/>
        <v>1276873.3</v>
      </c>
      <c r="DI141" s="19">
        <f t="shared" si="581"/>
        <v>2510620.96</v>
      </c>
      <c r="DJ141" s="19">
        <f t="shared" si="581"/>
        <v>3651176.2</v>
      </c>
      <c r="DK141" s="19">
        <f t="shared" si="581"/>
        <v>3500349.9</v>
      </c>
      <c r="DL141" s="19">
        <f t="shared" si="581"/>
        <v>4380195.0100000007</v>
      </c>
      <c r="DM141" s="19">
        <f t="shared" si="581"/>
        <v>3542880.0300000003</v>
      </c>
      <c r="DN141" s="19">
        <f t="shared" si="581"/>
        <v>3118732.6799999997</v>
      </c>
      <c r="DO141" s="19">
        <f t="shared" si="581"/>
        <v>3178051.15</v>
      </c>
      <c r="DP141" s="19">
        <f t="shared" si="581"/>
        <v>1981348.6000000003</v>
      </c>
      <c r="DQ141" s="19">
        <f t="shared" si="581"/>
        <v>3930581.29</v>
      </c>
      <c r="DR141" s="19">
        <f t="shared" si="581"/>
        <v>6187310.0099999998</v>
      </c>
      <c r="DS141" s="19">
        <f t="shared" ref="DS141:ED141" si="582">DS115-DS124</f>
        <v>1740065.9</v>
      </c>
      <c r="DT141" s="19">
        <f t="shared" si="582"/>
        <v>1276873.3</v>
      </c>
      <c r="DU141" s="19">
        <f t="shared" si="582"/>
        <v>2510620.96</v>
      </c>
      <c r="DV141" s="19">
        <f t="shared" si="582"/>
        <v>3651176.2</v>
      </c>
      <c r="DW141" s="19">
        <f t="shared" si="582"/>
        <v>3500349.9</v>
      </c>
      <c r="DX141" s="19">
        <f t="shared" si="582"/>
        <v>4380195.0100000007</v>
      </c>
      <c r="DY141" s="19">
        <f t="shared" si="582"/>
        <v>3542880.0300000003</v>
      </c>
      <c r="DZ141" s="19">
        <f t="shared" si="582"/>
        <v>3118732.6799999997</v>
      </c>
      <c r="EA141" s="19">
        <f t="shared" si="582"/>
        <v>3178051.15</v>
      </c>
      <c r="EB141" s="19">
        <f t="shared" si="582"/>
        <v>1981348.6000000003</v>
      </c>
      <c r="EC141" s="19">
        <f t="shared" si="582"/>
        <v>3930581.29</v>
      </c>
      <c r="ED141" s="19">
        <f t="shared" si="582"/>
        <v>6187310.0099999998</v>
      </c>
      <c r="EE141" s="222"/>
      <c r="EF141" s="19">
        <f t="shared" si="545"/>
        <v>3471706.28</v>
      </c>
      <c r="EG141" s="19">
        <f t="shared" si="546"/>
        <v>3751054.9200000004</v>
      </c>
      <c r="EH141" s="19">
        <f t="shared" si="547"/>
        <v>4521562.2</v>
      </c>
      <c r="EI141" s="19">
        <f t="shared" si="548"/>
        <v>3198224.52</v>
      </c>
      <c r="EJ141" s="19">
        <f t="shared" si="549"/>
        <v>3313709.2800000003</v>
      </c>
      <c r="EK141" s="19">
        <f t="shared" si="550"/>
        <v>8125538.2861016952</v>
      </c>
      <c r="EL141" s="19">
        <f t="shared" si="551"/>
        <v>9615807.9000000004</v>
      </c>
      <c r="EM141" s="19">
        <f t="shared" si="552"/>
        <v>6309432</v>
      </c>
      <c r="EN141" s="19">
        <f t="shared" si="553"/>
        <v>5527560.1600000001</v>
      </c>
      <c r="EO141" s="19">
        <f t="shared" si="554"/>
        <v>11531721.109999999</v>
      </c>
      <c r="EP141" s="19">
        <f t="shared" si="555"/>
        <v>9839663.8599999994</v>
      </c>
      <c r="EQ141" s="19">
        <f t="shared" si="556"/>
        <v>12099239.9</v>
      </c>
      <c r="ER141" s="19">
        <f t="shared" si="557"/>
        <v>5527560.1600000001</v>
      </c>
      <c r="ES141" s="19">
        <f t="shared" si="558"/>
        <v>11531721.109999999</v>
      </c>
      <c r="ET141" s="19">
        <f t="shared" si="559"/>
        <v>9839663.8599999994</v>
      </c>
      <c r="EU141" s="19">
        <f t="shared" si="560"/>
        <v>12099239.9</v>
      </c>
      <c r="EV141" s="19">
        <f t="shared" si="561"/>
        <v>5527560.1600000001</v>
      </c>
      <c r="EW141" s="19">
        <f t="shared" si="562"/>
        <v>11531721.109999999</v>
      </c>
      <c r="EX141" s="19">
        <f t="shared" si="563"/>
        <v>9839663.8599999994</v>
      </c>
      <c r="EY141" s="19">
        <f t="shared" si="564"/>
        <v>12099239.9</v>
      </c>
      <c r="EZ141" s="19">
        <f t="shared" si="565"/>
        <v>5527560.1600000001</v>
      </c>
      <c r="FA141" s="19">
        <f t="shared" si="566"/>
        <v>11531721.109999999</v>
      </c>
      <c r="FB141" s="19">
        <f t="shared" si="567"/>
        <v>9839663.8599999994</v>
      </c>
      <c r="FC141" s="19">
        <f t="shared" si="568"/>
        <v>12099239.9</v>
      </c>
      <c r="FE141" s="19">
        <f t="shared" si="569"/>
        <v>14942547.92</v>
      </c>
      <c r="FF141" s="19">
        <f t="shared" si="570"/>
        <v>27364487.466101699</v>
      </c>
      <c r="FG141" s="19">
        <f t="shared" si="571"/>
        <v>38998185.030000001</v>
      </c>
      <c r="FH141" s="19">
        <f t="shared" si="572"/>
        <v>38998185.030000001</v>
      </c>
      <c r="FI141" s="19">
        <f t="shared" si="573"/>
        <v>38998185.030000001</v>
      </c>
      <c r="FJ141" s="770">
        <f t="shared" si="537"/>
        <v>38998185.030000001</v>
      </c>
      <c r="FK141" s="545" t="s">
        <v>1</v>
      </c>
    </row>
    <row r="142" spans="2:167" x14ac:dyDescent="0.2">
      <c r="B142" s="225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304"/>
      <c r="CV142" s="304"/>
      <c r="CW142" s="304"/>
      <c r="CX142" s="304"/>
      <c r="CY142" s="304"/>
      <c r="CZ142" s="304"/>
      <c r="DA142" s="304"/>
      <c r="DB142" s="304"/>
      <c r="DC142" s="304"/>
      <c r="DD142" s="304"/>
      <c r="DE142" s="304"/>
      <c r="DF142" s="304"/>
      <c r="DG142" s="304"/>
      <c r="DH142" s="304"/>
      <c r="DI142" s="304"/>
      <c r="DJ142" s="304"/>
      <c r="DK142" s="304"/>
      <c r="DL142" s="304"/>
      <c r="DM142" s="304"/>
      <c r="DN142" s="304"/>
      <c r="DO142" s="304"/>
      <c r="DP142" s="304"/>
      <c r="DQ142" s="304"/>
      <c r="DR142" s="304"/>
      <c r="DS142" s="304"/>
      <c r="DT142" s="304"/>
      <c r="DU142" s="304"/>
      <c r="DV142" s="304"/>
      <c r="DW142" s="304"/>
      <c r="DX142" s="304"/>
      <c r="DY142" s="304"/>
      <c r="DZ142" s="304"/>
      <c r="EA142" s="304"/>
      <c r="EB142" s="304"/>
      <c r="EC142" s="304"/>
      <c r="ED142" s="304"/>
      <c r="EE142" s="222"/>
      <c r="EF142" s="304"/>
      <c r="EG142" s="304"/>
      <c r="EH142" s="304"/>
      <c r="EI142" s="304"/>
      <c r="EJ142" s="304"/>
      <c r="EK142" s="304"/>
      <c r="EL142" s="304"/>
      <c r="EM142" s="304"/>
      <c r="EN142" s="304"/>
      <c r="EO142" s="304"/>
      <c r="EP142" s="304"/>
      <c r="EQ142" s="304"/>
      <c r="ER142" s="304"/>
      <c r="ES142" s="304"/>
      <c r="ET142" s="304"/>
      <c r="EU142" s="304"/>
      <c r="EV142" s="304"/>
      <c r="EW142" s="304"/>
      <c r="EX142" s="304"/>
      <c r="EY142" s="304"/>
      <c r="EZ142" s="304"/>
      <c r="FA142" s="304"/>
      <c r="FB142" s="304"/>
      <c r="FC142" s="304"/>
      <c r="FE142" s="304"/>
      <c r="FF142" s="304"/>
      <c r="FG142" s="304"/>
      <c r="FH142" s="304"/>
      <c r="FI142" s="304"/>
      <c r="FJ142" s="788"/>
      <c r="FK142" s="545"/>
    </row>
    <row r="143" spans="2:167" x14ac:dyDescent="0.2">
      <c r="B143" s="226" t="s">
        <v>39</v>
      </c>
      <c r="C143" s="20">
        <f t="shared" ref="C143:BN143" si="583">C136/C63</f>
        <v>5.2303354820309671E-2</v>
      </c>
      <c r="D143" s="20">
        <f t="shared" si="583"/>
        <v>6.346068044169878E-2</v>
      </c>
      <c r="E143" s="20">
        <f t="shared" si="583"/>
        <v>4.9856211695785753E-2</v>
      </c>
      <c r="F143" s="20">
        <f t="shared" si="583"/>
        <v>5.0347023424811482E-2</v>
      </c>
      <c r="G143" s="20">
        <f t="shared" si="583"/>
        <v>1.711691746457393E-2</v>
      </c>
      <c r="H143" s="20">
        <f t="shared" si="583"/>
        <v>3.5791438154383952E-2</v>
      </c>
      <c r="I143" s="20">
        <f t="shared" si="583"/>
        <v>-2.5277474658096526E-2</v>
      </c>
      <c r="J143" s="20">
        <f t="shared" si="583"/>
        <v>3.6592336413083154E-2</v>
      </c>
      <c r="K143" s="20">
        <f t="shared" si="583"/>
        <v>9.2869864459643008E-3</v>
      </c>
      <c r="L143" s="20">
        <f t="shared" si="583"/>
        <v>-1.6426620218026287E-2</v>
      </c>
      <c r="M143" s="20">
        <f t="shared" si="583"/>
        <v>9.6508212466192237E-3</v>
      </c>
      <c r="N143" s="20">
        <f t="shared" si="583"/>
        <v>2.9290355284570437E-2</v>
      </c>
      <c r="O143" s="20">
        <f t="shared" si="583"/>
        <v>2.3472964549730396E-2</v>
      </c>
      <c r="P143" s="20">
        <f t="shared" si="583"/>
        <v>1.2019612416596485E-2</v>
      </c>
      <c r="Q143" s="20">
        <f t="shared" si="583"/>
        <v>1.2784599585590141E-2</v>
      </c>
      <c r="R143" s="20">
        <f t="shared" si="583"/>
        <v>4.4360419440510244E-2</v>
      </c>
      <c r="S143" s="20">
        <f t="shared" si="583"/>
        <v>4.1954124074755073E-2</v>
      </c>
      <c r="T143" s="20">
        <f t="shared" si="583"/>
        <v>2.1128804649451185E-2</v>
      </c>
      <c r="U143" s="20">
        <f t="shared" si="583"/>
        <v>2.5431701083683454E-2</v>
      </c>
      <c r="V143" s="20">
        <f t="shared" si="583"/>
        <v>1.0994203812001009E-2</v>
      </c>
      <c r="W143" s="20">
        <f t="shared" si="583"/>
        <v>2.4858420740944746E-2</v>
      </c>
      <c r="X143" s="20">
        <f t="shared" si="583"/>
        <v>3.7260053796215643E-2</v>
      </c>
      <c r="Y143" s="20">
        <f t="shared" si="583"/>
        <v>4.8093127189326471E-2</v>
      </c>
      <c r="Z143" s="20">
        <f t="shared" si="583"/>
        <v>2.5975394294090182E-2</v>
      </c>
      <c r="AA143" s="20">
        <f t="shared" si="583"/>
        <v>5.0143789201448028</v>
      </c>
      <c r="AB143" s="20">
        <f t="shared" si="583"/>
        <v>4.3518104868494327E-2</v>
      </c>
      <c r="AC143" s="20">
        <f t="shared" si="583"/>
        <v>4.4729387596710163E-2</v>
      </c>
      <c r="AD143" s="20">
        <f t="shared" si="583"/>
        <v>7.7011312833800458E-2</v>
      </c>
      <c r="AE143" s="20">
        <f t="shared" si="583"/>
        <v>7.6303315535521193E-2</v>
      </c>
      <c r="AF143" s="20">
        <f t="shared" si="583"/>
        <v>7.9510230898351811E-2</v>
      </c>
      <c r="AG143" s="20">
        <f t="shared" si="583"/>
        <v>7.476754672865113E-2</v>
      </c>
      <c r="AH143" s="20">
        <f t="shared" si="583"/>
        <v>8.6915780608255708E-2</v>
      </c>
      <c r="AI143" s="20">
        <f t="shared" si="583"/>
        <v>7.0852369319232458E-2</v>
      </c>
      <c r="AJ143" s="20">
        <f t="shared" si="583"/>
        <v>6.0432334308773913E-2</v>
      </c>
      <c r="AK143" s="20">
        <f t="shared" si="583"/>
        <v>5.9268048467006326E-2</v>
      </c>
      <c r="AL143" s="20">
        <f t="shared" si="583"/>
        <v>7.5785911490650379E-2</v>
      </c>
      <c r="AM143" s="20">
        <f t="shared" si="583"/>
        <v>3.9111893099927859E-2</v>
      </c>
      <c r="AN143" s="20">
        <f t="shared" si="583"/>
        <v>-1.4081023468260361E-2</v>
      </c>
      <c r="AO143" s="20">
        <f t="shared" si="583"/>
        <v>7.1670459372320958E-2</v>
      </c>
      <c r="AP143" s="20">
        <f t="shared" si="583"/>
        <v>6.6465142431614888E-2</v>
      </c>
      <c r="AQ143" s="20">
        <f t="shared" si="583"/>
        <v>7.0380888131369571E-2</v>
      </c>
      <c r="AR143" s="20">
        <f t="shared" si="583"/>
        <v>7.0302263606500034E-2</v>
      </c>
      <c r="AS143" s="20">
        <f t="shared" si="583"/>
        <v>9.7675470746601475E-2</v>
      </c>
      <c r="AT143" s="20">
        <f t="shared" si="583"/>
        <v>8.1925517573135931E-2</v>
      </c>
      <c r="AU143" s="20">
        <f t="shared" si="583"/>
        <v>7.1405242303862262E-2</v>
      </c>
      <c r="AV143" s="20">
        <f t="shared" si="583"/>
        <v>6.0389199098524728E-2</v>
      </c>
      <c r="AW143" s="20">
        <f t="shared" si="583"/>
        <v>3.8491918202445984E-2</v>
      </c>
      <c r="AX143" s="20">
        <f t="shared" si="583"/>
        <v>5.288241145748409E-2</v>
      </c>
      <c r="AY143" s="20">
        <f t="shared" si="583"/>
        <v>3.9903661199153707E-2</v>
      </c>
      <c r="AZ143" s="20">
        <f t="shared" si="583"/>
        <v>2.814180744535873E-2</v>
      </c>
      <c r="BA143" s="20">
        <f t="shared" si="583"/>
        <v>6.6379875109337683E-2</v>
      </c>
      <c r="BB143" s="20">
        <f t="shared" si="583"/>
        <v>8.2291108826429871E-2</v>
      </c>
      <c r="BC143" s="20">
        <f t="shared" si="583"/>
        <v>5.2503046607546337E-2</v>
      </c>
      <c r="BD143" s="20">
        <f t="shared" si="583"/>
        <v>2.1849048109488265E-2</v>
      </c>
      <c r="BE143" s="20">
        <f t="shared" si="583"/>
        <v>4.4637622348080469E-2</v>
      </c>
      <c r="BF143" s="20">
        <f t="shared" si="583"/>
        <v>3.978951252780847E-2</v>
      </c>
      <c r="BG143" s="20">
        <f t="shared" si="583"/>
        <v>6.0617369025446087E-2</v>
      </c>
      <c r="BH143" s="20">
        <f t="shared" si="583"/>
        <v>7.1222237817494413E-2</v>
      </c>
      <c r="BI143" s="20">
        <f t="shared" si="583"/>
        <v>7.3796855857576907E-2</v>
      </c>
      <c r="BJ143" s="20">
        <f t="shared" si="583"/>
        <v>8.3017397415112229E-2</v>
      </c>
      <c r="BK143" s="20">
        <f t="shared" si="583"/>
        <v>9.168674531068105E-2</v>
      </c>
      <c r="BL143" s="20">
        <f t="shared" si="583"/>
        <v>9.9980404143967264E-2</v>
      </c>
      <c r="BM143" s="20">
        <f t="shared" si="583"/>
        <v>0.11902576290537015</v>
      </c>
      <c r="BN143" s="20">
        <f t="shared" si="583"/>
        <v>0.13557778947826638</v>
      </c>
      <c r="BO143" s="20">
        <f t="shared" ref="BO143:DZ143" si="584">BO136/BO63</f>
        <v>0.13213572436339979</v>
      </c>
      <c r="BP143" s="20">
        <f t="shared" si="584"/>
        <v>0.10267569625498016</v>
      </c>
      <c r="BQ143" s="20">
        <f t="shared" si="584"/>
        <v>0.12167233354588167</v>
      </c>
      <c r="BR143" s="20">
        <f t="shared" si="584"/>
        <v>0.12070138314330477</v>
      </c>
      <c r="BS143" s="20">
        <f t="shared" si="584"/>
        <v>0.11430375975671818</v>
      </c>
      <c r="BT143" s="20">
        <f t="shared" si="584"/>
        <v>0.11274949158819544</v>
      </c>
      <c r="BU143" s="20">
        <f t="shared" si="584"/>
        <v>0.14947236335648395</v>
      </c>
      <c r="BV143" s="20">
        <f t="shared" si="584"/>
        <v>0.15278052437887985</v>
      </c>
      <c r="BW143" s="20">
        <f t="shared" si="584"/>
        <v>0.15310338911276491</v>
      </c>
      <c r="BX143" s="20">
        <f t="shared" si="584"/>
        <v>0.16599716114251648</v>
      </c>
      <c r="BY143" s="20">
        <f t="shared" si="584"/>
        <v>0.16584159785144317</v>
      </c>
      <c r="BZ143" s="20">
        <f t="shared" si="584"/>
        <v>0.15863911437605502</v>
      </c>
      <c r="CA143" s="20">
        <f t="shared" si="584"/>
        <v>0.16703564981350552</v>
      </c>
      <c r="CB143" s="20">
        <f t="shared" si="584"/>
        <v>0.16242376901861971</v>
      </c>
      <c r="CC143" s="20">
        <f t="shared" si="584"/>
        <v>0.17940922069912923</v>
      </c>
      <c r="CD143" s="20">
        <f t="shared" si="584"/>
        <v>0.16854581884280659</v>
      </c>
      <c r="CE143" s="20">
        <f t="shared" si="584"/>
        <v>0.15737514751172313</v>
      </c>
      <c r="CF143" s="20">
        <f t="shared" si="584"/>
        <v>0.15121432034156046</v>
      </c>
      <c r="CG143" s="20">
        <f t="shared" si="584"/>
        <v>0.15020123011311617</v>
      </c>
      <c r="CH143" s="20">
        <f t="shared" si="584"/>
        <v>0.13195895547667599</v>
      </c>
      <c r="CI143" s="20">
        <f t="shared" si="584"/>
        <v>0.14615397836784105</v>
      </c>
      <c r="CJ143" s="20">
        <f t="shared" si="584"/>
        <v>0.14774666618495172</v>
      </c>
      <c r="CK143" s="20">
        <f t="shared" si="584"/>
        <v>0.15286444710989769</v>
      </c>
      <c r="CL143" s="20">
        <f t="shared" si="584"/>
        <v>0.15164748535774539</v>
      </c>
      <c r="CM143" s="20">
        <f t="shared" si="584"/>
        <v>0.16886953732111171</v>
      </c>
      <c r="CN143" s="20">
        <f t="shared" si="584"/>
        <v>0.16180377051694322</v>
      </c>
      <c r="CO143" s="20">
        <f t="shared" si="584"/>
        <v>0.17155056802117924</v>
      </c>
      <c r="CP143" s="20">
        <f t="shared" si="584"/>
        <v>0.15452766271559587</v>
      </c>
      <c r="CQ143" s="20">
        <f t="shared" si="584"/>
        <v>0.1338988281397139</v>
      </c>
      <c r="CR143" s="20">
        <f t="shared" si="584"/>
        <v>0.13522497487389476</v>
      </c>
      <c r="CS143" s="20">
        <f t="shared" si="584"/>
        <v>0.14032629660130094</v>
      </c>
      <c r="CT143" s="20">
        <f t="shared" si="584"/>
        <v>0.14619474702053839</v>
      </c>
      <c r="CU143" s="20">
        <f t="shared" si="584"/>
        <v>0.14662484521986321</v>
      </c>
      <c r="CV143" s="20">
        <f t="shared" si="584"/>
        <v>0.14850268651565685</v>
      </c>
      <c r="CW143" s="20">
        <f t="shared" si="584"/>
        <v>0.15067846312813274</v>
      </c>
      <c r="CX143" s="20">
        <f t="shared" si="584"/>
        <v>0.15474296075607216</v>
      </c>
      <c r="CY143" s="20">
        <f t="shared" si="584"/>
        <v>0.15489027610973369</v>
      </c>
      <c r="CZ143" s="20">
        <f t="shared" si="584"/>
        <v>0.16593556157533229</v>
      </c>
      <c r="DA143" s="20">
        <f t="shared" si="584"/>
        <v>0.17051300808250883</v>
      </c>
      <c r="DB143" s="20">
        <f t="shared" si="584"/>
        <v>0.14919525039900583</v>
      </c>
      <c r="DC143" s="20">
        <f t="shared" si="584"/>
        <v>0.14552803900197303</v>
      </c>
      <c r="DD143" s="20">
        <f t="shared" si="584"/>
        <v>0.14818705999944526</v>
      </c>
      <c r="DE143" s="20">
        <f t="shared" si="584"/>
        <v>0.14554192323475887</v>
      </c>
      <c r="DF143" s="20">
        <f t="shared" si="584"/>
        <v>0.15426440126571342</v>
      </c>
      <c r="DG143" s="20">
        <f t="shared" si="584"/>
        <v>0.14815133918913917</v>
      </c>
      <c r="DH143" s="20">
        <f t="shared" si="584"/>
        <v>0.15009959503088358</v>
      </c>
      <c r="DI143" s="20">
        <f t="shared" si="584"/>
        <v>0.15202368679702835</v>
      </c>
      <c r="DJ143" s="20">
        <f t="shared" si="584"/>
        <v>0.15583395692099064</v>
      </c>
      <c r="DK143" s="20">
        <f t="shared" si="584"/>
        <v>0.15602712682727043</v>
      </c>
      <c r="DL143" s="20">
        <f t="shared" si="584"/>
        <v>0.16666279036153817</v>
      </c>
      <c r="DM143" s="20">
        <f t="shared" si="584"/>
        <v>0.17125419216490506</v>
      </c>
      <c r="DN143" s="20">
        <f t="shared" si="584"/>
        <v>0.15060208748925219</v>
      </c>
      <c r="DO143" s="20">
        <f t="shared" si="584"/>
        <v>0.14682167571493115</v>
      </c>
      <c r="DP143" s="20">
        <f t="shared" si="584"/>
        <v>0.14934029952568645</v>
      </c>
      <c r="DQ143" s="20">
        <f t="shared" si="584"/>
        <v>0.14668107349755771</v>
      </c>
      <c r="DR143" s="20">
        <f t="shared" si="584"/>
        <v>0.1549156154380249</v>
      </c>
      <c r="DS143" s="20">
        <f t="shared" si="584"/>
        <v>0.14877740069305517</v>
      </c>
      <c r="DT143" s="20">
        <f t="shared" si="584"/>
        <v>0.15078292493483345</v>
      </c>
      <c r="DU143" s="20">
        <f t="shared" si="584"/>
        <v>0.15250689368161369</v>
      </c>
      <c r="DV143" s="20">
        <f t="shared" si="584"/>
        <v>0.1560863735935126</v>
      </c>
      <c r="DW143" s="20">
        <f t="shared" si="584"/>
        <v>0.1563304025556092</v>
      </c>
      <c r="DX143" s="20">
        <f t="shared" si="584"/>
        <v>0.16653901781900934</v>
      </c>
      <c r="DY143" s="20">
        <f t="shared" si="584"/>
        <v>0.17115185096092866</v>
      </c>
      <c r="DZ143" s="20">
        <f t="shared" si="584"/>
        <v>0.15129980606511625</v>
      </c>
      <c r="EA143" s="20">
        <f t="shared" ref="EA143:ED143" si="585">EA136/EA63</f>
        <v>0.14743032373325957</v>
      </c>
      <c r="EB143" s="20">
        <f t="shared" si="585"/>
        <v>0.14976277785806058</v>
      </c>
      <c r="EC143" s="20">
        <f t="shared" si="585"/>
        <v>0.14721205540009014</v>
      </c>
      <c r="ED143" s="20">
        <f t="shared" si="585"/>
        <v>0.15493463869688523</v>
      </c>
      <c r="EE143" s="222"/>
      <c r="EF143" s="20">
        <f t="shared" ref="EF143:FC143" si="586">EF136/EF63</f>
        <v>0.10320084813619076</v>
      </c>
      <c r="EG143" s="20">
        <f t="shared" si="586"/>
        <v>0.12335321335306897</v>
      </c>
      <c r="EH143" s="20">
        <f t="shared" si="586"/>
        <v>0.11910795164291683</v>
      </c>
      <c r="EI143" s="20">
        <f t="shared" si="586"/>
        <v>0.13831400361828985</v>
      </c>
      <c r="EJ143" s="20">
        <f t="shared" si="586"/>
        <v>0.16178141064480317</v>
      </c>
      <c r="EK143" s="20">
        <f t="shared" si="586"/>
        <v>0.16258696304347112</v>
      </c>
      <c r="EL143" s="20">
        <f t="shared" si="586"/>
        <v>0.16807171300606186</v>
      </c>
      <c r="EM143" s="20">
        <f t="shared" si="586"/>
        <v>0.1434240223789198</v>
      </c>
      <c r="EN143" s="20">
        <f t="shared" si="586"/>
        <v>0.14890606618729713</v>
      </c>
      <c r="EO143" s="20">
        <f t="shared" si="586"/>
        <v>0.16030141926860211</v>
      </c>
      <c r="EP143" s="20">
        <f t="shared" si="586"/>
        <v>0.15200877019658726</v>
      </c>
      <c r="EQ143" s="20">
        <f t="shared" si="586"/>
        <v>0.14061585994281461</v>
      </c>
      <c r="ER143" s="20">
        <f t="shared" si="586"/>
        <v>0.14859330592354808</v>
      </c>
      <c r="ES143" s="20">
        <f t="shared" si="586"/>
        <v>0.15831468676001709</v>
      </c>
      <c r="ET143" s="20">
        <f t="shared" si="586"/>
        <v>0.15445686426210722</v>
      </c>
      <c r="EU143" s="20">
        <f t="shared" si="586"/>
        <v>0.14941945250173833</v>
      </c>
      <c r="EV143" s="20">
        <f t="shared" si="586"/>
        <v>0.15008291187455156</v>
      </c>
      <c r="EW143" s="20">
        <f t="shared" si="586"/>
        <v>0.15929849289597225</v>
      </c>
      <c r="EX143" s="20">
        <f t="shared" si="586"/>
        <v>0.15561847123065914</v>
      </c>
      <c r="EY143" s="20">
        <f t="shared" si="586"/>
        <v>0.15038707707967131</v>
      </c>
      <c r="EZ143" s="20">
        <f t="shared" si="586"/>
        <v>0.15068091668455932</v>
      </c>
      <c r="FA143" s="20">
        <f t="shared" si="586"/>
        <v>0.15944759448803905</v>
      </c>
      <c r="FB143" s="20">
        <f t="shared" si="586"/>
        <v>0.15602154198963386</v>
      </c>
      <c r="FC143" s="20">
        <f t="shared" si="586"/>
        <v>0.15070431875010057</v>
      </c>
      <c r="FD143" s="785"/>
      <c r="FE143" s="20">
        <f>FE136/FE63</f>
        <v>0.12029171738870782</v>
      </c>
      <c r="FF143" s="20">
        <f t="shared" ref="FF143:FJ143" si="587">FF136/FF63</f>
        <v>0.15765082216955018</v>
      </c>
      <c r="FG143" s="20">
        <f t="shared" si="587"/>
        <v>0.14954754029606865</v>
      </c>
      <c r="FH143" s="20">
        <f t="shared" si="587"/>
        <v>0.15252671466052098</v>
      </c>
      <c r="FI143" s="20">
        <f t="shared" si="587"/>
        <v>0.15367441949243096</v>
      </c>
      <c r="FJ143" s="20">
        <f t="shared" si="587"/>
        <v>0.15404116436817553</v>
      </c>
      <c r="FK143" s="545" t="s">
        <v>1</v>
      </c>
    </row>
    <row r="144" spans="2:167" x14ac:dyDescent="0.2">
      <c r="B144" s="303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222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/>
      <c r="EQ144" s="19"/>
      <c r="ER144" s="19"/>
      <c r="ES144" s="19"/>
      <c r="ET144" s="19"/>
      <c r="EU144" s="19"/>
      <c r="EV144" s="19"/>
      <c r="EW144" s="19"/>
      <c r="EX144" s="19"/>
      <c r="EY144" s="19"/>
      <c r="EZ144" s="19"/>
      <c r="FA144" s="19"/>
      <c r="FB144" s="19"/>
      <c r="FC144" s="19"/>
      <c r="FE144" s="19"/>
      <c r="FF144" s="19"/>
      <c r="FG144" s="19"/>
      <c r="FH144" s="19"/>
      <c r="FI144" s="19"/>
      <c r="FJ144" s="770"/>
      <c r="FK144" s="545"/>
    </row>
    <row r="145" spans="2:167" x14ac:dyDescent="0.2">
      <c r="B145" s="223" t="s">
        <v>40</v>
      </c>
      <c r="C145" s="297">
        <f>SUM(C146:C151)</f>
        <v>3311525.4285714277</v>
      </c>
      <c r="D145" s="297">
        <f t="shared" ref="D145:BO145" si="588">SUM(D146:D151)</f>
        <v>3565945.5714285709</v>
      </c>
      <c r="E145" s="297">
        <f t="shared" si="588"/>
        <v>3563745.7142857136</v>
      </c>
      <c r="F145" s="297">
        <f t="shared" si="588"/>
        <v>4154013.2857142854</v>
      </c>
      <c r="G145" s="297">
        <f t="shared" si="588"/>
        <v>4809070</v>
      </c>
      <c r="H145" s="297">
        <f t="shared" si="588"/>
        <v>5411877.5714285709</v>
      </c>
      <c r="I145" s="297">
        <f t="shared" si="588"/>
        <v>5511103.8571428563</v>
      </c>
      <c r="J145" s="297">
        <f t="shared" si="588"/>
        <v>5699019.1428571427</v>
      </c>
      <c r="K145" s="297">
        <f t="shared" si="588"/>
        <v>7896879.8728571432</v>
      </c>
      <c r="L145" s="297">
        <f t="shared" si="588"/>
        <v>9225959.9368377831</v>
      </c>
      <c r="M145" s="297">
        <f t="shared" si="588"/>
        <v>8691360.4756443575</v>
      </c>
      <c r="N145" s="297">
        <f t="shared" si="588"/>
        <v>10389072.553604018</v>
      </c>
      <c r="O145" s="297">
        <f t="shared" si="588"/>
        <v>10341267.239147397</v>
      </c>
      <c r="P145" s="297">
        <f t="shared" si="588"/>
        <v>10389514.778664336</v>
      </c>
      <c r="Q145" s="297">
        <f t="shared" si="588"/>
        <v>11417475.581474502</v>
      </c>
      <c r="R145" s="297">
        <f t="shared" si="588"/>
        <v>10668652.795027807</v>
      </c>
      <c r="S145" s="297">
        <f t="shared" si="588"/>
        <v>9910801.4757776055</v>
      </c>
      <c r="T145" s="297">
        <f t="shared" si="588"/>
        <v>9571333.2054069154</v>
      </c>
      <c r="U145" s="297">
        <f t="shared" si="588"/>
        <v>9697965.9991509449</v>
      </c>
      <c r="V145" s="297">
        <f t="shared" si="588"/>
        <v>9807961.6616080701</v>
      </c>
      <c r="W145" s="297">
        <f t="shared" si="588"/>
        <v>9318781.8976425491</v>
      </c>
      <c r="X145" s="297">
        <f t="shared" si="588"/>
        <v>10621948.199228486</v>
      </c>
      <c r="Y145" s="297">
        <f t="shared" si="588"/>
        <v>10021013.767556969</v>
      </c>
      <c r="Z145" s="297">
        <f t="shared" si="588"/>
        <v>10105055.294358848</v>
      </c>
      <c r="AA145" s="297">
        <f t="shared" si="588"/>
        <v>8209849.0070238095</v>
      </c>
      <c r="AB145" s="297">
        <f t="shared" si="588"/>
        <v>8150337.3355282238</v>
      </c>
      <c r="AC145" s="297">
        <f t="shared" si="588"/>
        <v>9839336.4095110204</v>
      </c>
      <c r="AD145" s="297">
        <f t="shared" si="588"/>
        <v>10166116.942622187</v>
      </c>
      <c r="AE145" s="297">
        <f t="shared" si="588"/>
        <v>10951115.491660848</v>
      </c>
      <c r="AF145" s="297">
        <f t="shared" si="588"/>
        <v>11434029.478788337</v>
      </c>
      <c r="AG145" s="297">
        <f t="shared" si="588"/>
        <v>12185713.377987167</v>
      </c>
      <c r="AH145" s="297">
        <f t="shared" si="588"/>
        <v>11596195.346353494</v>
      </c>
      <c r="AI145" s="297">
        <f t="shared" si="588"/>
        <v>12240994.284905929</v>
      </c>
      <c r="AJ145" s="297">
        <f t="shared" si="588"/>
        <v>15777170.515021427</v>
      </c>
      <c r="AK145" s="297">
        <f t="shared" si="588"/>
        <v>14194268.412505787</v>
      </c>
      <c r="AL145" s="297">
        <f t="shared" si="588"/>
        <v>16378673.35600356</v>
      </c>
      <c r="AM145" s="297">
        <f t="shared" si="588"/>
        <v>13973808.394374797</v>
      </c>
      <c r="AN145" s="297">
        <f t="shared" si="588"/>
        <v>13336163.862724358</v>
      </c>
      <c r="AO145" s="297">
        <f t="shared" si="588"/>
        <v>13738361.332673728</v>
      </c>
      <c r="AP145" s="297">
        <f t="shared" si="588"/>
        <v>16328895.952955516</v>
      </c>
      <c r="AQ145" s="297">
        <f t="shared" si="588"/>
        <v>18971025.751233049</v>
      </c>
      <c r="AR145" s="297">
        <f t="shared" si="588"/>
        <v>23366143.718358666</v>
      </c>
      <c r="AS145" s="297">
        <f t="shared" si="588"/>
        <v>29340418.957586374</v>
      </c>
      <c r="AT145" s="297">
        <f t="shared" si="588"/>
        <v>26763694.212118752</v>
      </c>
      <c r="AU145" s="297">
        <f t="shared" si="588"/>
        <v>30386269.917465996</v>
      </c>
      <c r="AV145" s="297">
        <f t="shared" si="588"/>
        <v>31447943.812789209</v>
      </c>
      <c r="AW145" s="297">
        <f t="shared" si="588"/>
        <v>33084105.055298388</v>
      </c>
      <c r="AX145" s="297">
        <f t="shared" si="588"/>
        <v>40441942.485759534</v>
      </c>
      <c r="AY145" s="297">
        <f t="shared" si="588"/>
        <v>42689032.77822268</v>
      </c>
      <c r="AZ145" s="297">
        <f t="shared" si="588"/>
        <v>41117603.185680561</v>
      </c>
      <c r="BA145" s="297">
        <f t="shared" si="588"/>
        <v>44228297.015943125</v>
      </c>
      <c r="BB145" s="297">
        <f t="shared" si="588"/>
        <v>44994054.178559214</v>
      </c>
      <c r="BC145" s="297">
        <f t="shared" si="588"/>
        <v>47626528.607261926</v>
      </c>
      <c r="BD145" s="297">
        <f t="shared" si="588"/>
        <v>55406019.248349905</v>
      </c>
      <c r="BE145" s="297">
        <f t="shared" si="588"/>
        <v>57154139.167280801</v>
      </c>
      <c r="BF145" s="297">
        <f t="shared" si="588"/>
        <v>53069731.000950836</v>
      </c>
      <c r="BG145" s="297">
        <f t="shared" si="588"/>
        <v>55201087.690979868</v>
      </c>
      <c r="BH145" s="297">
        <f t="shared" si="588"/>
        <v>58527648.424878061</v>
      </c>
      <c r="BI145" s="297">
        <f t="shared" si="588"/>
        <v>55744059.847685188</v>
      </c>
      <c r="BJ145" s="297">
        <f t="shared" si="588"/>
        <v>55196709.732557446</v>
      </c>
      <c r="BK145" s="297">
        <f t="shared" si="588"/>
        <v>57059253.72489813</v>
      </c>
      <c r="BL145" s="297">
        <f t="shared" si="588"/>
        <v>57355331.698060647</v>
      </c>
      <c r="BM145" s="297">
        <f t="shared" si="588"/>
        <v>58565581.809693985</v>
      </c>
      <c r="BN145" s="297">
        <f t="shared" si="588"/>
        <v>56218277.182342209</v>
      </c>
      <c r="BO145" s="297">
        <f t="shared" si="588"/>
        <v>56957041.124546669</v>
      </c>
      <c r="BP145" s="297">
        <f t="shared" ref="BP145:DR145" si="589">SUM(BP146:BP151)</f>
        <v>54803488.47861471</v>
      </c>
      <c r="BQ145" s="297">
        <f t="shared" si="589"/>
        <v>57181797.488392696</v>
      </c>
      <c r="BR145" s="297">
        <f t="shared" si="589"/>
        <v>56909895.989599854</v>
      </c>
      <c r="BS145" s="297">
        <f t="shared" si="589"/>
        <v>56747542.886582248</v>
      </c>
      <c r="BT145" s="297">
        <f t="shared" si="589"/>
        <v>53260300.303699777</v>
      </c>
      <c r="BU145" s="297">
        <f t="shared" si="589"/>
        <v>49092633.992821775</v>
      </c>
      <c r="BV145" s="297">
        <f t="shared" si="589"/>
        <v>49984860.8636375</v>
      </c>
      <c r="BW145" s="297">
        <f t="shared" si="589"/>
        <v>53545847.602218069</v>
      </c>
      <c r="BX145" s="297">
        <f t="shared" si="589"/>
        <v>55335704.934559815</v>
      </c>
      <c r="BY145" s="297">
        <f t="shared" si="589"/>
        <v>54874701.597620092</v>
      </c>
      <c r="BZ145" s="297">
        <f t="shared" si="589"/>
        <v>55093260.285110898</v>
      </c>
      <c r="CA145" s="297">
        <f t="shared" si="589"/>
        <v>55083019.226511478</v>
      </c>
      <c r="CB145" s="297">
        <f t="shared" si="589"/>
        <v>53405395.122697644</v>
      </c>
      <c r="CC145" s="297">
        <f t="shared" si="589"/>
        <v>54990833.221666142</v>
      </c>
      <c r="CD145" s="297">
        <f t="shared" si="589"/>
        <v>55059180.509261221</v>
      </c>
      <c r="CE145" s="297">
        <f t="shared" si="589"/>
        <v>56819373.693237975</v>
      </c>
      <c r="CF145" s="297">
        <f t="shared" si="589"/>
        <v>58157683.505251214</v>
      </c>
      <c r="CG145" s="297">
        <f t="shared" si="589"/>
        <v>59221504.184887253</v>
      </c>
      <c r="CH145" s="297">
        <f t="shared" si="589"/>
        <v>71833159.229685366</v>
      </c>
      <c r="CI145" s="297">
        <f t="shared" si="589"/>
        <v>71522357.557428777</v>
      </c>
      <c r="CJ145" s="297">
        <f t="shared" si="589"/>
        <v>70328995.018287897</v>
      </c>
      <c r="CK145" s="297">
        <f t="shared" si="589"/>
        <v>73527910.00510779</v>
      </c>
      <c r="CL145" s="297">
        <f t="shared" si="589"/>
        <v>80346528.505393401</v>
      </c>
      <c r="CM145" s="297">
        <f t="shared" si="589"/>
        <v>78913293.853535622</v>
      </c>
      <c r="CN145" s="297">
        <f t="shared" si="589"/>
        <v>80531244.050205439</v>
      </c>
      <c r="CO145" s="297">
        <f t="shared" si="589"/>
        <v>87566704.753909677</v>
      </c>
      <c r="CP145" s="297">
        <f t="shared" si="589"/>
        <v>84342346.795261651</v>
      </c>
      <c r="CQ145" s="297">
        <f t="shared" si="589"/>
        <v>90762034.363776445</v>
      </c>
      <c r="CR145" s="297">
        <f t="shared" si="589"/>
        <v>95354443.955257505</v>
      </c>
      <c r="CS145" s="297">
        <f t="shared" si="589"/>
        <v>93216952.266786948</v>
      </c>
      <c r="CT145" s="297">
        <f t="shared" si="589"/>
        <v>100090633.18057257</v>
      </c>
      <c r="CU145" s="297">
        <f t="shared" si="589"/>
        <v>106073488.30476373</v>
      </c>
      <c r="CV145" s="297">
        <f t="shared" si="589"/>
        <v>105956808.91115126</v>
      </c>
      <c r="CW145" s="297">
        <f t="shared" si="589"/>
        <v>105944795.98517767</v>
      </c>
      <c r="CX145" s="297">
        <f t="shared" si="589"/>
        <v>106417425.41282198</v>
      </c>
      <c r="CY145" s="297">
        <f t="shared" si="589"/>
        <v>105748245.93763536</v>
      </c>
      <c r="CZ145" s="297">
        <f t="shared" si="589"/>
        <v>105384472.83672765</v>
      </c>
      <c r="DA145" s="297">
        <f t="shared" si="589"/>
        <v>106633474.66603588</v>
      </c>
      <c r="DB145" s="297">
        <f t="shared" si="589"/>
        <v>106133422.57494932</v>
      </c>
      <c r="DC145" s="297">
        <f t="shared" si="589"/>
        <v>107307958.50291075</v>
      </c>
      <c r="DD145" s="297">
        <f t="shared" si="589"/>
        <v>107507052.67821361</v>
      </c>
      <c r="DE145" s="297">
        <f t="shared" si="589"/>
        <v>106951830.06029814</v>
      </c>
      <c r="DF145" s="297">
        <f t="shared" si="589"/>
        <v>108058623.96524327</v>
      </c>
      <c r="DG145" s="297">
        <f t="shared" si="589"/>
        <v>117638472.87059273</v>
      </c>
      <c r="DH145" s="297">
        <f t="shared" si="589"/>
        <v>117513012.18956891</v>
      </c>
      <c r="DI145" s="297">
        <f t="shared" si="589"/>
        <v>117462270.19163072</v>
      </c>
      <c r="DJ145" s="297">
        <f t="shared" si="589"/>
        <v>118034686.99071911</v>
      </c>
      <c r="DK145" s="297">
        <f t="shared" si="589"/>
        <v>117205061.05624115</v>
      </c>
      <c r="DL145" s="297">
        <f t="shared" si="589"/>
        <v>116746679.92287292</v>
      </c>
      <c r="DM145" s="297">
        <f t="shared" si="589"/>
        <v>118239464.32900883</v>
      </c>
      <c r="DN145" s="297">
        <f t="shared" si="589"/>
        <v>117597013.88907471</v>
      </c>
      <c r="DO145" s="297">
        <f t="shared" si="589"/>
        <v>118981654.57786614</v>
      </c>
      <c r="DP145" s="297">
        <f t="shared" si="589"/>
        <v>119184819.27740024</v>
      </c>
      <c r="DQ145" s="297">
        <f t="shared" si="589"/>
        <v>118482806.51364587</v>
      </c>
      <c r="DR145" s="297">
        <f t="shared" si="589"/>
        <v>119699326.24926271</v>
      </c>
      <c r="DS145" s="297">
        <f t="shared" ref="DS145:ED145" si="590">SUM(DS146:DS151)</f>
        <v>130102785.68936457</v>
      </c>
      <c r="DT145" s="297">
        <f t="shared" si="590"/>
        <v>129952086.6413978</v>
      </c>
      <c r="DU145" s="297">
        <f t="shared" si="590"/>
        <v>129889299.31641795</v>
      </c>
      <c r="DV145" s="297">
        <f t="shared" si="590"/>
        <v>130537895.37606323</v>
      </c>
      <c r="DW145" s="297">
        <f t="shared" si="590"/>
        <v>129583658.16514124</v>
      </c>
      <c r="DX145" s="297">
        <f t="shared" si="590"/>
        <v>129054320.27662489</v>
      </c>
      <c r="DY145" s="297">
        <f t="shared" si="590"/>
        <v>130751259.35941769</v>
      </c>
      <c r="DZ145" s="297">
        <f t="shared" si="590"/>
        <v>130015406.23176709</v>
      </c>
      <c r="EA145" s="297">
        <f t="shared" si="590"/>
        <v>131592017.98303434</v>
      </c>
      <c r="EB145" s="297">
        <f t="shared" si="590"/>
        <v>131822048.80475117</v>
      </c>
      <c r="EC145" s="297">
        <f t="shared" si="590"/>
        <v>131015639.16886912</v>
      </c>
      <c r="ED145" s="297">
        <f t="shared" si="590"/>
        <v>132397120.32989511</v>
      </c>
      <c r="EE145" s="222"/>
      <c r="EF145" s="297">
        <f t="shared" ref="EF145:EF151" si="591">SUM(BK145:BM145)</f>
        <v>172980167.23265275</v>
      </c>
      <c r="EG145" s="297">
        <f t="shared" ref="EG145:EG151" si="592">SUM(BN145:BP145)</f>
        <v>167978806.7855036</v>
      </c>
      <c r="EH145" s="297">
        <f t="shared" ref="EH145:EH151" si="593">SUM(BQ145:BS145)</f>
        <v>170839236.36457479</v>
      </c>
      <c r="EI145" s="297">
        <f t="shared" ref="EI145:EI151" si="594">SUM(BT145:BV145)</f>
        <v>152337795.16015905</v>
      </c>
      <c r="EJ145" s="297">
        <f t="shared" ref="EJ145:EJ151" si="595">SUM(BW145:BY145)</f>
        <v>163756254.13439798</v>
      </c>
      <c r="EK145" s="297">
        <f t="shared" ref="EK145:EK151" si="596">SUM(BZ145:CB145)</f>
        <v>163581674.63432002</v>
      </c>
      <c r="EL145" s="297">
        <f t="shared" ref="EL145:EL151" si="597">SUM(CC145:CE145)</f>
        <v>166869387.42416534</v>
      </c>
      <c r="EM145" s="297">
        <f t="shared" ref="EM145:EM151" si="598">SUM(CF145:CH145)</f>
        <v>189212346.91982383</v>
      </c>
      <c r="EN145" s="297">
        <f t="shared" ref="EN145:EN151" si="599">SUM(CI145:CK145)</f>
        <v>215379262.58082446</v>
      </c>
      <c r="EO145" s="297">
        <f t="shared" ref="EO145:EO151" si="600">SUM(CL145:CN145)</f>
        <v>239791066.40913448</v>
      </c>
      <c r="EP145" s="297">
        <f t="shared" ref="EP145:EP151" si="601">SUM(CO145:CQ145)</f>
        <v>262671085.91294777</v>
      </c>
      <c r="EQ145" s="297">
        <f t="shared" ref="EQ145:EQ151" si="602">SUM(CR145:CT145)</f>
        <v>288662029.40261704</v>
      </c>
      <c r="ER145" s="297">
        <f t="shared" ref="ER145:ER151" si="603">SUM(CU145:CW145)</f>
        <v>317975093.20109266</v>
      </c>
      <c r="ES145" s="297">
        <f t="shared" ref="ES145:ES151" si="604">SUM(CX145:CZ145)</f>
        <v>317550144.18718499</v>
      </c>
      <c r="ET145" s="297">
        <f t="shared" ref="ET145:ET151" si="605">SUM(DA145:DC145)</f>
        <v>320074855.74389595</v>
      </c>
      <c r="EU145" s="297">
        <f t="shared" ref="EU145:EU151" si="606">SUM(DD145:DF145)</f>
        <v>322517506.70375502</v>
      </c>
      <c r="EV145" s="297">
        <f t="shared" ref="EV145:EV151" si="607">SUM(DG145:DI145)</f>
        <v>352613755.25179237</v>
      </c>
      <c r="EW145" s="297">
        <f t="shared" ref="EW145:EW151" si="608">SUM(DJ145:DL145)</f>
        <v>351986427.9698332</v>
      </c>
      <c r="EX145" s="297">
        <f t="shared" ref="EX145:EX151" si="609">SUM(DM145:DO145)</f>
        <v>354818132.7959497</v>
      </c>
      <c r="EY145" s="297">
        <f t="shared" ref="EY145:EY151" si="610">SUM(DP145:DR145)</f>
        <v>357366952.04030883</v>
      </c>
      <c r="EZ145" s="297">
        <f t="shared" ref="EZ145:EZ163" si="611">SUM(DS145:DU145)</f>
        <v>389944171.64718032</v>
      </c>
      <c r="FA145" s="297">
        <f t="shared" ref="FA145:FA163" si="612">SUM(DV145:DX145)</f>
        <v>389175873.81782937</v>
      </c>
      <c r="FB145" s="297">
        <f t="shared" ref="FB145:FB163" si="613">SUM(DY145:EA145)</f>
        <v>392358683.57421911</v>
      </c>
      <c r="FC145" s="297">
        <f t="shared" ref="FC145:FC163" si="614">SUM(EB145:ED145)</f>
        <v>395234808.30351543</v>
      </c>
      <c r="FE145" s="297">
        <f t="shared" ref="FE145:FE163" si="615">SUM(EF145:EI145)</f>
        <v>664136005.54289019</v>
      </c>
      <c r="FF145" s="297">
        <f t="shared" ref="FF145:FF163" si="616">SUM(EJ145:EM145)</f>
        <v>683419663.11270714</v>
      </c>
      <c r="FG145" s="297">
        <f t="shared" ref="FG145:FG163" si="617">SUM(EN145:EQ145)</f>
        <v>1006503444.3055236</v>
      </c>
      <c r="FH145" s="297">
        <f t="shared" ref="FH145:FH163" si="618">SUM(ER145:EU145)</f>
        <v>1278117599.8359284</v>
      </c>
      <c r="FI145" s="297">
        <f t="shared" ref="FI145:FI163" si="619">SUM(EV145:EY145)</f>
        <v>1416785268.0578842</v>
      </c>
      <c r="FJ145" s="774">
        <f t="shared" si="537"/>
        <v>1566713537.3427444</v>
      </c>
      <c r="FK145" s="545" t="s">
        <v>1</v>
      </c>
    </row>
    <row r="146" spans="2:167" x14ac:dyDescent="0.2">
      <c r="B146" s="225" t="s">
        <v>304</v>
      </c>
      <c r="C146" s="19">
        <f>'B2B- Non Repair'!C84</f>
        <v>1592567</v>
      </c>
      <c r="D146" s="19">
        <f>'B2B- Non Repair'!D84</f>
        <v>1605934</v>
      </c>
      <c r="E146" s="19">
        <f>'B2B- Non Repair'!E84</f>
        <v>1657393.2857142857</v>
      </c>
      <c r="F146" s="19">
        <f>'B2B- Non Repair'!F84</f>
        <v>2023970.5714285714</v>
      </c>
      <c r="G146" s="19">
        <f>'B2B- Non Repair'!G84</f>
        <v>2710513.7142857146</v>
      </c>
      <c r="H146" s="19">
        <f>'B2B- Non Repair'!H84</f>
        <v>3001649.7142857141</v>
      </c>
      <c r="I146" s="19">
        <f>'B2B- Non Repair'!I84</f>
        <v>3066200.8571428573</v>
      </c>
      <c r="J146" s="19">
        <f>'B2B- Non Repair'!J84</f>
        <v>3250774.7142857141</v>
      </c>
      <c r="K146" s="19">
        <f>'B2B- Non Repair'!K84</f>
        <v>4616982.8571428573</v>
      </c>
      <c r="L146" s="19">
        <f>'B2B- Non Repair'!L84</f>
        <v>6162107.3771428578</v>
      </c>
      <c r="M146" s="19">
        <f>'B2B- Non Repair'!M84</f>
        <v>5271089.4185714293</v>
      </c>
      <c r="N146" s="19">
        <f>'B2B- Non Repair'!N84</f>
        <v>6252206.4100000001</v>
      </c>
      <c r="O146" s="19">
        <f>'B2B- Non Repair'!O84</f>
        <v>6532142.962857143</v>
      </c>
      <c r="P146" s="19">
        <f>'B2B- Non Repair'!P84</f>
        <v>6227877.3428571438</v>
      </c>
      <c r="Q146" s="19">
        <f>'B2B- Non Repair'!Q84</f>
        <v>6614386.6657142853</v>
      </c>
      <c r="R146" s="19">
        <f>'B2B- Non Repair'!R84</f>
        <v>5914997.7400000002</v>
      </c>
      <c r="S146" s="19">
        <f>'B2B- Non Repair'!S84</f>
        <v>5642505.4299999997</v>
      </c>
      <c r="T146" s="19">
        <f>'B2B- Non Repair'!T84</f>
        <v>5491891.2200000007</v>
      </c>
      <c r="U146" s="19">
        <f>'B2B- Non Repair'!U84</f>
        <v>5505648.6200000001</v>
      </c>
      <c r="V146" s="19">
        <f>'B2B- Non Repair'!V84</f>
        <v>5115178.3600000003</v>
      </c>
      <c r="W146" s="19">
        <f>'B2B- Non Repair'!W84</f>
        <v>4922499.49</v>
      </c>
      <c r="X146" s="19">
        <f>'B2B- Non Repair'!X84</f>
        <v>5572811.4199999999</v>
      </c>
      <c r="Y146" s="19">
        <f>'B2B- Non Repair'!Y84</f>
        <v>5245512.9866666663</v>
      </c>
      <c r="Z146" s="19">
        <f>'B2B- Non Repair'!Z84</f>
        <v>4762159.9766666656</v>
      </c>
      <c r="AA146" s="19">
        <f>'B2B- Non Repair'!AA84</f>
        <v>4104075.5954159093</v>
      </c>
      <c r="AB146" s="19">
        <f>'B2B- Non Repair'!AB84</f>
        <v>4186946.6008333331</v>
      </c>
      <c r="AC146" s="19">
        <f>'B2B- Non Repair'!AC84</f>
        <v>3957060.514642857</v>
      </c>
      <c r="AD146" s="19">
        <f>'B2B- Non Repair'!AD84</f>
        <v>4056125.59154762</v>
      </c>
      <c r="AE146" s="19">
        <f>'B2B- Non Repair'!AE84</f>
        <v>4133835.9382142858</v>
      </c>
      <c r="AF146" s="19">
        <f>'B2B- Non Repair'!AF84</f>
        <v>4591502.9399999995</v>
      </c>
      <c r="AG146" s="19">
        <f>'B2B- Non Repair'!AG84</f>
        <v>4780985.5</v>
      </c>
      <c r="AH146" s="19">
        <f>'B2B- Non Repair'!AH84</f>
        <v>4398198.1399999997</v>
      </c>
      <c r="AI146" s="19">
        <f>'B2B- Non Repair'!AI84</f>
        <v>4502640.7450000001</v>
      </c>
      <c r="AJ146" s="19">
        <f>'B2B- Non Repair'!AJ84</f>
        <v>6163467.25</v>
      </c>
      <c r="AK146" s="19">
        <f>'B2B- Non Repair'!AK84</f>
        <v>4699620.023846156</v>
      </c>
      <c r="AL146" s="19">
        <f>'B2B- Non Repair'!AL84</f>
        <v>5060466.0938461544</v>
      </c>
      <c r="AM146" s="19">
        <f>'B2B- Non Repair'!AM84</f>
        <v>3979520.569807692</v>
      </c>
      <c r="AN146" s="19">
        <f>'B2B- Non Repair'!AN84</f>
        <v>3597956.7628846155</v>
      </c>
      <c r="AO146" s="19">
        <f>'B2B- Non Repair'!AO84</f>
        <v>3827165.6090384615</v>
      </c>
      <c r="AP146" s="19">
        <f>'B2B- Non Repair'!AP84</f>
        <v>3978781.8077564104</v>
      </c>
      <c r="AQ146" s="19">
        <f>'B2B- Non Repair'!AQ84</f>
        <v>4903797.325384615</v>
      </c>
      <c r="AR146" s="19">
        <f>'B2B- Non Repair'!AR84</f>
        <v>5146882.1995512825</v>
      </c>
      <c r="AS146" s="19">
        <f>'B2B- Non Repair'!AS84</f>
        <v>7045476.4632692309</v>
      </c>
      <c r="AT146" s="19">
        <f>'B2B- Non Repair'!AT84</f>
        <v>7165440.1805128204</v>
      </c>
      <c r="AU146" s="19">
        <f>'B2B- Non Repair'!AU84</f>
        <v>8032904.8064102558</v>
      </c>
      <c r="AV146" s="19">
        <f>'B2B- Non Repair'!AV84</f>
        <v>8965298.1179487165</v>
      </c>
      <c r="AW146" s="19">
        <f>'B2B- Non Repair'!AW84</f>
        <v>9932113.8741666675</v>
      </c>
      <c r="AX146" s="19">
        <f>'B2B- Non Repair'!AX84</f>
        <v>12292648.337564103</v>
      </c>
      <c r="AY146" s="19">
        <f>'B2B- Non Repair'!AY84</f>
        <v>13479157.082756409</v>
      </c>
      <c r="AZ146" s="19">
        <f>'B2B- Non Repair'!AZ84</f>
        <v>9114050.1568528879</v>
      </c>
      <c r="BA146" s="19">
        <f>'B2B- Non Repair'!BA84</f>
        <v>10558854.361308588</v>
      </c>
      <c r="BB146" s="19">
        <f>'B2B- Non Repair'!BB84</f>
        <v>10235341.773406541</v>
      </c>
      <c r="BC146" s="19">
        <f>'B2B- Non Repair'!BC84</f>
        <v>10639148.886504382</v>
      </c>
      <c r="BD146" s="19">
        <f>'B2B- Non Repair'!BD84</f>
        <v>12837755.961961398</v>
      </c>
      <c r="BE146" s="19">
        <f>'B2B- Non Repair'!BE84</f>
        <v>12569691.495048899</v>
      </c>
      <c r="BF146" s="19">
        <f>'B2B- Non Repair'!BF84</f>
        <v>9734342.5227141939</v>
      </c>
      <c r="BG146" s="19">
        <f>'B2B- Non Repair'!BG84</f>
        <v>8796659.0404583924</v>
      </c>
      <c r="BH146" s="19">
        <f>'B2B- Non Repair'!BH84</f>
        <v>10387160.790894225</v>
      </c>
      <c r="BI146" s="19">
        <f>'B2B- Non Repair'!BI84</f>
        <v>8347642.6893383069</v>
      </c>
      <c r="BJ146" s="19">
        <f>'B2B- Non Repair'!BJ84</f>
        <v>7340826.0514730215</v>
      </c>
      <c r="BK146" s="19">
        <f>'B2B- Non Repair'!BK84</f>
        <v>7544565.145051457</v>
      </c>
      <c r="BL146" s="19">
        <f>'B2B- Non Repair'!BL84</f>
        <v>7851704.7930138931</v>
      </c>
      <c r="BM146" s="19">
        <f>'B2B- Non Repair'!BM84</f>
        <v>7336509.6220799228</v>
      </c>
      <c r="BN146" s="19">
        <f>'B2B- Non Repair'!BN84</f>
        <v>7385790.8613602826</v>
      </c>
      <c r="BO146" s="19">
        <f>'B2B- Non Repair'!BO84</f>
        <v>7311306.4701936822</v>
      </c>
      <c r="BP146" s="19">
        <f>'B2B- Non Repair'!BP84</f>
        <v>6555709.2803707542</v>
      </c>
      <c r="BQ146" s="19">
        <f>'B2B- Non Repair'!BQ84</f>
        <v>6575877.2729385821</v>
      </c>
      <c r="BR146" s="19">
        <f>'B2B- Non Repair'!BR84</f>
        <v>6570061.3447853895</v>
      </c>
      <c r="BS146" s="19">
        <f>'B2B- Non Repair'!BS84</f>
        <v>6252810.7126376629</v>
      </c>
      <c r="BT146" s="19">
        <f>'B2B- Non Repair'!BT84</f>
        <v>4490298.1720487271</v>
      </c>
      <c r="BU146" s="19">
        <f>'B2B- Non Repair'!BU84</f>
        <v>4324209.590320521</v>
      </c>
      <c r="BV146" s="19">
        <f>'B2B- Non Repair'!BV84</f>
        <v>4380170.5105756549</v>
      </c>
      <c r="BW146" s="19">
        <f>'B2B- Non Repair'!BW84</f>
        <v>4910660.6258357745</v>
      </c>
      <c r="BX146" s="19">
        <f>'B2B- Non Repair'!BX84</f>
        <v>5271665.7250062022</v>
      </c>
      <c r="BY146" s="19">
        <f>'B2B- Non Repair'!BY84</f>
        <v>4920121.6181872729</v>
      </c>
      <c r="BZ146" s="19">
        <f>'B2B- Non Repair'!BZ84</f>
        <v>5296734.2794259153</v>
      </c>
      <c r="CA146" s="19">
        <f>'B2B- Non Repair'!CA84</f>
        <v>4898420.8242049823</v>
      </c>
      <c r="CB146" s="19">
        <f>'B2B- Non Repair'!CB84</f>
        <v>4794391.6188728167</v>
      </c>
      <c r="CC146" s="19">
        <f>'B2B- Non Repair'!CC84</f>
        <v>4976204.1434573215</v>
      </c>
      <c r="CD146" s="19">
        <f>'B2B- Non Repair'!CD84</f>
        <v>5012252.0990037769</v>
      </c>
      <c r="CE146" s="19">
        <f>'B2B- Non Repair'!CE84</f>
        <v>5161659.974254814</v>
      </c>
      <c r="CF146" s="19">
        <f>'B2B- Non Repair'!CF84</f>
        <v>5386369.9122889517</v>
      </c>
      <c r="CG146" s="19">
        <f>'B2B- Non Repair'!CG84</f>
        <v>5526884.5643401537</v>
      </c>
      <c r="CH146" s="19">
        <f>'B2B- Non Repair'!CH84</f>
        <v>10141469.266929183</v>
      </c>
      <c r="CI146" s="19">
        <f>'B2B- Non Repair'!CI84</f>
        <v>7363971.3529240675</v>
      </c>
      <c r="CJ146" s="19">
        <f>'B2B- Non Repair'!CJ84</f>
        <v>6845754.1350943185</v>
      </c>
      <c r="CK146" s="19">
        <f>'B2B- Non Repair'!CK84</f>
        <v>6588553.5540378876</v>
      </c>
      <c r="CL146" s="19">
        <f>'B2B- Non Repair'!CL84</f>
        <v>8162399.2553835083</v>
      </c>
      <c r="CM146" s="19">
        <f>'B2B- Non Repair'!CM84</f>
        <v>6990049.1257390408</v>
      </c>
      <c r="CN146" s="19">
        <f>'B2B- Non Repair'!CN84</f>
        <v>7377224.7827681908</v>
      </c>
      <c r="CO146" s="19">
        <f>'B2B- Non Repair'!CO84</f>
        <v>7232962.7083851881</v>
      </c>
      <c r="CP146" s="19">
        <f>'B2B- Non Repair'!CP84</f>
        <v>7173247.6554175029</v>
      </c>
      <c r="CQ146" s="19">
        <f>'B2B- Non Repair'!CQ84</f>
        <v>8208148.6204378661</v>
      </c>
      <c r="CR146" s="19">
        <f>'B2B- Non Repair'!CR84</f>
        <v>7726306.4154639151</v>
      </c>
      <c r="CS146" s="19">
        <f>'B2B- Non Repair'!CS84</f>
        <v>8756028.5324777551</v>
      </c>
      <c r="CT146" s="19">
        <f>'B2B- Non Repair'!CT84</f>
        <v>10225705.838798149</v>
      </c>
      <c r="CU146" s="19">
        <f>'B2B- Non Repair'!CU84</f>
        <v>9442927.148935115</v>
      </c>
      <c r="CV146" s="19">
        <f>'B2B- Non Repair'!CV84</f>
        <v>9442927.148935115</v>
      </c>
      <c r="CW146" s="19">
        <f>'B2B- Non Repair'!CW84</f>
        <v>9442927.148935115</v>
      </c>
      <c r="CX146" s="19">
        <f>'B2B- Non Repair'!CX84</f>
        <v>9442927.148935115</v>
      </c>
      <c r="CY146" s="19">
        <f>'B2B- Non Repair'!CY84</f>
        <v>9442927.148935115</v>
      </c>
      <c r="CZ146" s="19">
        <f>'B2B- Non Repair'!CZ84</f>
        <v>9442927.148935115</v>
      </c>
      <c r="DA146" s="19">
        <f>'B2B- Non Repair'!DA84</f>
        <v>9442927.148935115</v>
      </c>
      <c r="DB146" s="19">
        <f>'B2B- Non Repair'!DB84</f>
        <v>9442927.148935115</v>
      </c>
      <c r="DC146" s="19">
        <f>'B2B- Non Repair'!DC84</f>
        <v>9442927.148935115</v>
      </c>
      <c r="DD146" s="19">
        <f>'B2B- Non Repair'!DD84</f>
        <v>9442927.148935115</v>
      </c>
      <c r="DE146" s="19">
        <f>'B2B- Non Repair'!DE84</f>
        <v>9442927.148935115</v>
      </c>
      <c r="DF146" s="19">
        <f>'B2B- Non Repair'!DF84</f>
        <v>9442927.148935115</v>
      </c>
      <c r="DG146" s="19">
        <f>'B2B- Non Repair'!DG84</f>
        <v>10584014.18614519</v>
      </c>
      <c r="DH146" s="19">
        <f>'B2B- Non Repair'!DH84</f>
        <v>10584014.18614519</v>
      </c>
      <c r="DI146" s="19">
        <f>'B2B- Non Repair'!DI84</f>
        <v>10584014.18614519</v>
      </c>
      <c r="DJ146" s="19">
        <f>'B2B- Non Repair'!DJ84</f>
        <v>10584014.18614519</v>
      </c>
      <c r="DK146" s="19">
        <f>'B2B- Non Repair'!DK84</f>
        <v>10584014.18614519</v>
      </c>
      <c r="DL146" s="19">
        <f>'B2B- Non Repair'!DL84</f>
        <v>10584014.18614519</v>
      </c>
      <c r="DM146" s="19">
        <f>'B2B- Non Repair'!DM84</f>
        <v>10584014.18614519</v>
      </c>
      <c r="DN146" s="19">
        <f>'B2B- Non Repair'!DN84</f>
        <v>10584014.18614519</v>
      </c>
      <c r="DO146" s="19">
        <f>'B2B- Non Repair'!DO84</f>
        <v>10584014.18614519</v>
      </c>
      <c r="DP146" s="19">
        <f>'B2B- Non Repair'!DP84</f>
        <v>10584014.18614519</v>
      </c>
      <c r="DQ146" s="19">
        <f>'B2B- Non Repair'!DQ84</f>
        <v>10584014.18614519</v>
      </c>
      <c r="DR146" s="19">
        <f>'B2B- Non Repair'!DR84</f>
        <v>10584014.18614519</v>
      </c>
      <c r="DS146" s="19">
        <f>'B2B- Non Repair'!DS84</f>
        <v>11871793.626304056</v>
      </c>
      <c r="DT146" s="19">
        <f>'B2B- Non Repair'!DT84</f>
        <v>11871793.626304056</v>
      </c>
      <c r="DU146" s="19">
        <f>'B2B- Non Repair'!DU84</f>
        <v>11871793.626304056</v>
      </c>
      <c r="DV146" s="19">
        <f>'B2B- Non Repair'!DV84</f>
        <v>11871793.626304056</v>
      </c>
      <c r="DW146" s="19">
        <f>'B2B- Non Repair'!DW84</f>
        <v>11871793.626304056</v>
      </c>
      <c r="DX146" s="19">
        <f>'B2B- Non Repair'!DX84</f>
        <v>11871793.626304056</v>
      </c>
      <c r="DY146" s="19">
        <f>'B2B- Non Repair'!DY84</f>
        <v>11871793.626304056</v>
      </c>
      <c r="DZ146" s="19">
        <f>'B2B- Non Repair'!DZ84</f>
        <v>11871793.626304056</v>
      </c>
      <c r="EA146" s="19">
        <f>'B2B- Non Repair'!EA84</f>
        <v>11871793.626304056</v>
      </c>
      <c r="EB146" s="19">
        <f>'B2B- Non Repair'!EB84</f>
        <v>11871793.626304056</v>
      </c>
      <c r="EC146" s="19">
        <f>'B2B- Non Repair'!EC84</f>
        <v>11871793.626304056</v>
      </c>
      <c r="ED146" s="19">
        <f>'B2B- Non Repair'!ED84</f>
        <v>11871793.626304056</v>
      </c>
      <c r="EE146" s="222"/>
      <c r="EF146" s="19">
        <f t="shared" si="591"/>
        <v>22732779.560145274</v>
      </c>
      <c r="EG146" s="19">
        <f t="shared" si="592"/>
        <v>21252806.611924719</v>
      </c>
      <c r="EH146" s="19">
        <f t="shared" si="593"/>
        <v>19398749.330361634</v>
      </c>
      <c r="EI146" s="19">
        <f t="shared" si="594"/>
        <v>13194678.272944905</v>
      </c>
      <c r="EJ146" s="19">
        <f t="shared" si="595"/>
        <v>15102447.96902925</v>
      </c>
      <c r="EK146" s="19">
        <f t="shared" si="596"/>
        <v>14989546.722503714</v>
      </c>
      <c r="EL146" s="19">
        <f t="shared" si="597"/>
        <v>15150116.216715913</v>
      </c>
      <c r="EM146" s="19">
        <f t="shared" si="598"/>
        <v>21054723.743558288</v>
      </c>
      <c r="EN146" s="19">
        <f t="shared" si="599"/>
        <v>20798279.042056274</v>
      </c>
      <c r="EO146" s="19">
        <f t="shared" si="600"/>
        <v>22529673.163890738</v>
      </c>
      <c r="EP146" s="19">
        <f t="shared" si="601"/>
        <v>22614358.984240554</v>
      </c>
      <c r="EQ146" s="19">
        <f t="shared" si="602"/>
        <v>26708040.786739819</v>
      </c>
      <c r="ER146" s="19">
        <f t="shared" si="603"/>
        <v>28328781.446805343</v>
      </c>
      <c r="ES146" s="19">
        <f t="shared" si="604"/>
        <v>28328781.446805343</v>
      </c>
      <c r="ET146" s="19">
        <f t="shared" si="605"/>
        <v>28328781.446805343</v>
      </c>
      <c r="EU146" s="19">
        <f t="shared" si="606"/>
        <v>28328781.446805343</v>
      </c>
      <c r="EV146" s="19">
        <f t="shared" si="607"/>
        <v>31752042.55843557</v>
      </c>
      <c r="EW146" s="19">
        <f t="shared" si="608"/>
        <v>31752042.55843557</v>
      </c>
      <c r="EX146" s="19">
        <f t="shared" si="609"/>
        <v>31752042.55843557</v>
      </c>
      <c r="EY146" s="19">
        <f t="shared" si="610"/>
        <v>31752042.55843557</v>
      </c>
      <c r="EZ146" s="19">
        <f t="shared" si="611"/>
        <v>35615380.878912166</v>
      </c>
      <c r="FA146" s="19">
        <f t="shared" si="612"/>
        <v>35615380.878912166</v>
      </c>
      <c r="FB146" s="19">
        <f t="shared" si="613"/>
        <v>35615380.878912166</v>
      </c>
      <c r="FC146" s="19">
        <f t="shared" si="614"/>
        <v>35615380.878912166</v>
      </c>
      <c r="FE146" s="19">
        <f t="shared" si="615"/>
        <v>76579013.775376529</v>
      </c>
      <c r="FF146" s="19">
        <f t="shared" si="616"/>
        <v>66296834.651807159</v>
      </c>
      <c r="FG146" s="19">
        <f t="shared" si="617"/>
        <v>92650351.976927385</v>
      </c>
      <c r="FH146" s="19">
        <f t="shared" si="618"/>
        <v>113315125.78722137</v>
      </c>
      <c r="FI146" s="19">
        <f t="shared" si="619"/>
        <v>127008170.23374228</v>
      </c>
      <c r="FJ146" s="770">
        <f t="shared" si="537"/>
        <v>142461523.51564866</v>
      </c>
      <c r="FK146" s="545" t="s">
        <v>1</v>
      </c>
    </row>
    <row r="147" spans="2:167" x14ac:dyDescent="0.2">
      <c r="B147" s="225" t="s">
        <v>139</v>
      </c>
      <c r="C147" s="19">
        <f>Refurbished!C96</f>
        <v>490698.28571428498</v>
      </c>
      <c r="D147" s="19">
        <f>Refurbished!D96</f>
        <v>527346.71428571397</v>
      </c>
      <c r="E147" s="19">
        <f>Refurbished!E96</f>
        <v>492922.71428571397</v>
      </c>
      <c r="F147" s="19">
        <f>Refurbished!F96</f>
        <v>514260.71428571397</v>
      </c>
      <c r="G147" s="19">
        <f>Refurbished!G96</f>
        <v>544897.14285714296</v>
      </c>
      <c r="H147" s="19">
        <f>Refurbished!H96</f>
        <v>651666.28571428603</v>
      </c>
      <c r="I147" s="19">
        <f>Refurbished!I96</f>
        <v>569034</v>
      </c>
      <c r="J147" s="19">
        <f>Refurbished!J96</f>
        <v>597510</v>
      </c>
      <c r="K147" s="19">
        <f>Refurbished!K96</f>
        <v>1086277.768571429</v>
      </c>
      <c r="L147" s="19">
        <f>Refurbished!L96</f>
        <v>1065059.1311234972</v>
      </c>
      <c r="M147" s="19">
        <f>Refurbished!M96</f>
        <v>1230167.9099300704</v>
      </c>
      <c r="N147" s="19">
        <f>Refurbished!N96</f>
        <v>1379633.0007468769</v>
      </c>
      <c r="O147" s="19">
        <f>Refurbished!O96</f>
        <v>1205221.5877188244</v>
      </c>
      <c r="P147" s="19">
        <f>Refurbished!P96</f>
        <v>1719063.7715214784</v>
      </c>
      <c r="Q147" s="19">
        <f>Refurbished!Q96</f>
        <v>2250600.7014745013</v>
      </c>
      <c r="R147" s="19">
        <f>Refurbished!R96</f>
        <v>1978289.3550278069</v>
      </c>
      <c r="S147" s="19">
        <f>Refurbished!S96</f>
        <v>2116570.125777605</v>
      </c>
      <c r="T147" s="19">
        <f>Refurbished!T96</f>
        <v>1829822.615406916</v>
      </c>
      <c r="U147" s="19">
        <f>Refurbished!U96</f>
        <v>1762607.7291509435</v>
      </c>
      <c r="V147" s="19">
        <f>Refurbished!V96</f>
        <v>2453481.871608071</v>
      </c>
      <c r="W147" s="19">
        <f>Refurbished!W96</f>
        <v>2525453.8076425493</v>
      </c>
      <c r="X147" s="19">
        <f>Refurbished!X96</f>
        <v>2950997.7792284866</v>
      </c>
      <c r="Y147" s="19">
        <f>Refurbished!Y96</f>
        <v>2831552.5275569689</v>
      </c>
      <c r="Z147" s="19">
        <f>Refurbished!Z96</f>
        <v>2421067.0120969443</v>
      </c>
      <c r="AA147" s="19">
        <f>Refurbished!AA96</f>
        <v>2719351.8876621462</v>
      </c>
      <c r="AB147" s="19">
        <f>Refurbished!AB96</f>
        <v>2450650.2580282241</v>
      </c>
      <c r="AC147" s="19">
        <f>Refurbished!AC96</f>
        <v>2436892.2406303161</v>
      </c>
      <c r="AD147" s="19">
        <f>Refurbished!AD96</f>
        <v>4691606.1597363045</v>
      </c>
      <c r="AE147" s="19">
        <f>Refurbished!AE96</f>
        <v>5099394.6980991801</v>
      </c>
      <c r="AF147" s="19">
        <f>Refurbished!AF96</f>
        <v>4945122.9716704004</v>
      </c>
      <c r="AG147" s="19">
        <f>Refurbished!AG96</f>
        <v>5412294.8649296816</v>
      </c>
      <c r="AH147" s="19">
        <f>Refurbished!AH96</f>
        <v>5512191.2567806635</v>
      </c>
      <c r="AI147" s="19">
        <f>Refurbished!AI96</f>
        <v>6069603.7727316711</v>
      </c>
      <c r="AJ147" s="19">
        <f>Refurbished!AJ96</f>
        <v>7825027.3001343738</v>
      </c>
      <c r="AK147" s="19">
        <f>Refurbished!AK96</f>
        <v>7699265.5860465486</v>
      </c>
      <c r="AL147" s="19">
        <f>Refurbished!AL96</f>
        <v>8780254.6538495868</v>
      </c>
      <c r="AM147" s="19">
        <f>Refurbished!AM96</f>
        <v>7662518.9870738126</v>
      </c>
      <c r="AN147" s="19">
        <f>Refurbished!AN96</f>
        <v>7166002.0035062563</v>
      </c>
      <c r="AO147" s="19">
        <f>Refurbished!AO96</f>
        <v>6320895.6052511586</v>
      </c>
      <c r="AP147" s="19">
        <f>Refurbished!AP96</f>
        <v>8740630.1134251468</v>
      </c>
      <c r="AQ147" s="19">
        <f>Refurbished!AQ96</f>
        <v>10311638.343461031</v>
      </c>
      <c r="AR147" s="19">
        <f>Refurbished!AR96</f>
        <v>12123512.282062532</v>
      </c>
      <c r="AS147" s="19">
        <f>Refurbished!AS96</f>
        <v>15036008.468639493</v>
      </c>
      <c r="AT147" s="19">
        <f>Refurbished!AT96</f>
        <v>15255949.383047819</v>
      </c>
      <c r="AU147" s="19">
        <f>Refurbished!AU96</f>
        <v>16876051.191667166</v>
      </c>
      <c r="AV147" s="19">
        <f>Refurbished!AV96</f>
        <v>17338060.473478485</v>
      </c>
      <c r="AW147" s="19">
        <f>Refurbished!AW96</f>
        <v>17845580.133180406</v>
      </c>
      <c r="AX147" s="19">
        <f>Refurbished!AX96</f>
        <v>21903505.075555265</v>
      </c>
      <c r="AY147" s="19">
        <f>Refurbished!AY96</f>
        <v>22807176.636981707</v>
      </c>
      <c r="AZ147" s="19">
        <f>Refurbished!AZ96</f>
        <v>24706506.198028147</v>
      </c>
      <c r="BA147" s="19">
        <f>Refurbished!BA96</f>
        <v>25855557.453659996</v>
      </c>
      <c r="BB147" s="19">
        <f>Refurbished!BB96</f>
        <v>27434670.191282004</v>
      </c>
      <c r="BC147" s="19">
        <f>Refurbished!BC96</f>
        <v>29833243.962256275</v>
      </c>
      <c r="BD147" s="19">
        <f>Refurbished!BD96</f>
        <v>32180118.186895091</v>
      </c>
      <c r="BE147" s="19">
        <f>Refurbished!BE96</f>
        <v>32774011.825485013</v>
      </c>
      <c r="BF147" s="19">
        <f>Refurbished!BF96</f>
        <v>34408241.537116967</v>
      </c>
      <c r="BG147" s="19">
        <f>Refurbished!BG96</f>
        <v>37517810.029989965</v>
      </c>
      <c r="BH147" s="19">
        <f>Refurbished!BH96</f>
        <v>39867656.937494129</v>
      </c>
      <c r="BI147" s="19">
        <f>Refurbished!BI96</f>
        <v>39284108.342832565</v>
      </c>
      <c r="BJ147" s="19">
        <f>Refurbished!BJ96</f>
        <v>40201560.139961652</v>
      </c>
      <c r="BK147" s="19">
        <f>Refurbished!BK96</f>
        <v>41229810.069595516</v>
      </c>
      <c r="BL147" s="19">
        <f>Refurbished!BL96</f>
        <v>40944881.611584306</v>
      </c>
      <c r="BM147" s="19">
        <f>Refurbished!BM96</f>
        <v>43146189.813233897</v>
      </c>
      <c r="BN147" s="19">
        <f>Refurbished!BN96</f>
        <v>40901161.224612594</v>
      </c>
      <c r="BO147" s="19">
        <f>Refurbished!BO96</f>
        <v>40556599.402128868</v>
      </c>
      <c r="BP147" s="19">
        <f>Refurbished!BP96</f>
        <v>39666422.922983363</v>
      </c>
      <c r="BQ147" s="19">
        <f>Refurbished!BQ96</f>
        <v>41249140.391345389</v>
      </c>
      <c r="BR147" s="19">
        <f>Refurbished!BR96</f>
        <v>41997939.064145744</v>
      </c>
      <c r="BS147" s="19">
        <f>Refurbished!BS96</f>
        <v>41942065.922505036</v>
      </c>
      <c r="BT147" s="19">
        <f>Refurbished!BT96</f>
        <v>40176193.21436432</v>
      </c>
      <c r="BU147" s="19">
        <f>Refurbished!BU96</f>
        <v>36667484.807361409</v>
      </c>
      <c r="BV147" s="19">
        <f>Refurbished!BV96</f>
        <v>37620876.564093038</v>
      </c>
      <c r="BW147" s="19">
        <f>Refurbished!BW96</f>
        <v>40013492.008101061</v>
      </c>
      <c r="BX147" s="19">
        <f>Refurbished!BX96</f>
        <v>41170666.761608519</v>
      </c>
      <c r="BY147" s="19">
        <f>Refurbished!BY96</f>
        <v>40752455.779164582</v>
      </c>
      <c r="BZ147" s="19">
        <f>Refurbished!BZ96</f>
        <v>40629700.483477533</v>
      </c>
      <c r="CA147" s="19">
        <f>Refurbished!CA96</f>
        <v>40456894.703057408</v>
      </c>
      <c r="CB147" s="19">
        <f>Refurbished!CB96</f>
        <v>39090204.941205487</v>
      </c>
      <c r="CC147" s="19">
        <f>Refurbished!CC96</f>
        <v>40079213.319060832</v>
      </c>
      <c r="CD147" s="19">
        <f>Refurbished!CD96</f>
        <v>40852515.029706016</v>
      </c>
      <c r="CE147" s="19">
        <f>Refurbished!CE96</f>
        <v>42084929.893786117</v>
      </c>
      <c r="CF147" s="19">
        <f>Refurbished!CF96</f>
        <v>42684678.511083111</v>
      </c>
      <c r="CG147" s="19">
        <f>Refurbished!CG96</f>
        <v>43885393.880015194</v>
      </c>
      <c r="CH147" s="19">
        <f>Refurbished!CH96</f>
        <v>49537630.576941565</v>
      </c>
      <c r="CI147" s="19">
        <f>Refurbished!CI96</f>
        <v>52263259.884330705</v>
      </c>
      <c r="CJ147" s="19">
        <f>Refurbished!CJ96</f>
        <v>51624330.255842417</v>
      </c>
      <c r="CK147" s="19">
        <f>Refurbished!CK96</f>
        <v>54553084.744503498</v>
      </c>
      <c r="CL147" s="19">
        <f>Refurbished!CL96</f>
        <v>58872570.47164306</v>
      </c>
      <c r="CM147" s="19">
        <f>Refurbished!CM96</f>
        <v>59294682.343570136</v>
      </c>
      <c r="CN147" s="19">
        <f>Refurbished!CN96</f>
        <v>60057906.342861906</v>
      </c>
      <c r="CO147" s="19">
        <f>Refurbished!CO96</f>
        <v>66172909.326547474</v>
      </c>
      <c r="CP147" s="19">
        <f>Refurbished!CP96</f>
        <v>64399478.430268504</v>
      </c>
      <c r="CQ147" s="19">
        <f>Refurbished!CQ96</f>
        <v>70280674.586278006</v>
      </c>
      <c r="CR147" s="19">
        <f>Refurbished!CR96</f>
        <v>74032113.496049747</v>
      </c>
      <c r="CS147" s="19">
        <f>Refurbished!CS96</f>
        <v>72394782.049494028</v>
      </c>
      <c r="CT147" s="19">
        <f>Refurbished!CT96</f>
        <v>75882675.839217842</v>
      </c>
      <c r="CU147" s="19">
        <f>Refurbished!CU96</f>
        <v>81932285.215512127</v>
      </c>
      <c r="CV147" s="19">
        <f>Refurbished!CV96</f>
        <v>81717695.45996359</v>
      </c>
      <c r="CW147" s="19">
        <f>Refurbished!CW96</f>
        <v>81656097.750741243</v>
      </c>
      <c r="CX147" s="19">
        <f>Refurbished!CX96</f>
        <v>82365985.588163733</v>
      </c>
      <c r="CY147" s="19">
        <f>Refurbished!CY96</f>
        <v>81270650.670677349</v>
      </c>
      <c r="CZ147" s="19">
        <f>Refurbished!CZ96</f>
        <v>80564567.669962138</v>
      </c>
      <c r="DA147" s="19">
        <f>Refurbished!DA96</f>
        <v>82577288.847054854</v>
      </c>
      <c r="DB147" s="19">
        <f>Refurbished!DB96</f>
        <v>81760488.12705566</v>
      </c>
      <c r="DC147" s="19">
        <f>Refurbished!DC96</f>
        <v>83474081.135645211</v>
      </c>
      <c r="DD147" s="19">
        <f>Refurbished!DD96</f>
        <v>83722282.018893749</v>
      </c>
      <c r="DE147" s="19">
        <f>Refurbished!DE96</f>
        <v>82909218.884241089</v>
      </c>
      <c r="DF147" s="19">
        <f>Refurbished!DF96</f>
        <v>84422973.026271939</v>
      </c>
      <c r="DG147" s="19">
        <f>Refurbished!DG96</f>
        <v>91430925.141917571</v>
      </c>
      <c r="DH147" s="19">
        <f>Refurbished!DH96</f>
        <v>91206024.082912624</v>
      </c>
      <c r="DI147" s="19">
        <f>Refurbished!DI96</f>
        <v>91104908.756880522</v>
      </c>
      <c r="DJ147" s="19">
        <f>Refurbished!DJ96</f>
        <v>91918273.691287458</v>
      </c>
      <c r="DK147" s="19">
        <f>Refurbished!DK96</f>
        <v>90655714.13870883</v>
      </c>
      <c r="DL147" s="19">
        <f>Refurbished!DL96</f>
        <v>89849085.209841445</v>
      </c>
      <c r="DM147" s="19">
        <f>Refurbished!DM96</f>
        <v>92118233.293717936</v>
      </c>
      <c r="DN147" s="19">
        <f>Refurbished!DN96</f>
        <v>91154055.513140291</v>
      </c>
      <c r="DO147" s="19">
        <f>Refurbished!DO96</f>
        <v>93086001.991661862</v>
      </c>
      <c r="DP147" s="19">
        <f>Refurbished!DP96</f>
        <v>93338970.805270806</v>
      </c>
      <c r="DQ147" s="19">
        <f>Refurbished!DQ96</f>
        <v>92375355.094431877</v>
      </c>
      <c r="DR147" s="19">
        <f>Refurbished!DR96</f>
        <v>94004660.052752286</v>
      </c>
      <c r="DS147" s="19">
        <f>Refurbished!DS96</f>
        <v>101506177.1653025</v>
      </c>
      <c r="DT147" s="19">
        <f>Refurbished!DT96</f>
        <v>101251566.93511969</v>
      </c>
      <c r="DU147" s="19">
        <f>Refurbished!DU96</f>
        <v>101136133.36811915</v>
      </c>
      <c r="DV147" s="19">
        <f>Refurbished!DV96</f>
        <v>102036499.90817901</v>
      </c>
      <c r="DW147" s="19">
        <f>Refurbished!DW96</f>
        <v>100629793.83645028</v>
      </c>
      <c r="DX147" s="19">
        <f>Refurbished!DX96</f>
        <v>99736200.289736122</v>
      </c>
      <c r="DY147" s="19">
        <f>Refurbished!DY96</f>
        <v>102244830.99163049</v>
      </c>
      <c r="DZ147" s="19">
        <f>Refurbished!DZ96</f>
        <v>101172768.52294834</v>
      </c>
      <c r="EA147" s="19">
        <f>Refurbished!EA96</f>
        <v>103321188.86421476</v>
      </c>
      <c r="EB147" s="19">
        <f>Refurbished!EB96</f>
        <v>103603221.4416393</v>
      </c>
      <c r="EC147" s="19">
        <f>Refurbished!EC96</f>
        <v>102523605.69289806</v>
      </c>
      <c r="ED147" s="19">
        <f>Refurbished!ED96</f>
        <v>104336113.51287855</v>
      </c>
      <c r="EE147" s="222"/>
      <c r="EF147" s="19">
        <f t="shared" si="591"/>
        <v>125320881.49441372</v>
      </c>
      <c r="EG147" s="19">
        <f t="shared" si="592"/>
        <v>121124183.54972483</v>
      </c>
      <c r="EH147" s="19">
        <f t="shared" si="593"/>
        <v>125189145.37799616</v>
      </c>
      <c r="EI147" s="19">
        <f t="shared" si="594"/>
        <v>114464554.58581877</v>
      </c>
      <c r="EJ147" s="19">
        <f t="shared" si="595"/>
        <v>121936614.54887417</v>
      </c>
      <c r="EK147" s="19">
        <f t="shared" si="596"/>
        <v>120176800.12774043</v>
      </c>
      <c r="EL147" s="19">
        <f t="shared" si="597"/>
        <v>123016658.24255297</v>
      </c>
      <c r="EM147" s="19">
        <f t="shared" si="598"/>
        <v>136107702.96803987</v>
      </c>
      <c r="EN147" s="19">
        <f t="shared" si="599"/>
        <v>158440674.88467664</v>
      </c>
      <c r="EO147" s="19">
        <f t="shared" si="600"/>
        <v>178225159.15807509</v>
      </c>
      <c r="EP147" s="19">
        <f t="shared" si="601"/>
        <v>200853062.34309399</v>
      </c>
      <c r="EQ147" s="19">
        <f t="shared" si="602"/>
        <v>222309571.38476163</v>
      </c>
      <c r="ER147" s="19">
        <f t="shared" si="603"/>
        <v>245306078.42621696</v>
      </c>
      <c r="ES147" s="19">
        <f t="shared" si="604"/>
        <v>244201203.92880324</v>
      </c>
      <c r="ET147" s="19">
        <f t="shared" si="605"/>
        <v>247811858.10975572</v>
      </c>
      <c r="EU147" s="19">
        <f t="shared" si="606"/>
        <v>251054473.92940676</v>
      </c>
      <c r="EV147" s="19">
        <f t="shared" si="607"/>
        <v>273741857.98171073</v>
      </c>
      <c r="EW147" s="19">
        <f t="shared" si="608"/>
        <v>272423073.03983772</v>
      </c>
      <c r="EX147" s="19">
        <f t="shared" si="609"/>
        <v>276358290.79852009</v>
      </c>
      <c r="EY147" s="19">
        <f t="shared" si="610"/>
        <v>279718985.95245492</v>
      </c>
      <c r="EZ147" s="19">
        <f t="shared" si="611"/>
        <v>303893877.46854138</v>
      </c>
      <c r="FA147" s="19">
        <f t="shared" si="612"/>
        <v>302402494.03436542</v>
      </c>
      <c r="FB147" s="19">
        <f t="shared" si="613"/>
        <v>306738788.3787936</v>
      </c>
      <c r="FC147" s="19">
        <f t="shared" si="614"/>
        <v>310462940.64741594</v>
      </c>
      <c r="FE147" s="19">
        <f t="shared" si="615"/>
        <v>486098765.00795346</v>
      </c>
      <c r="FF147" s="19">
        <f t="shared" si="616"/>
        <v>501237775.88720739</v>
      </c>
      <c r="FG147" s="19">
        <f t="shared" si="617"/>
        <v>759828467.77060723</v>
      </c>
      <c r="FH147" s="19">
        <f t="shared" si="618"/>
        <v>988373614.39418268</v>
      </c>
      <c r="FI147" s="19">
        <f t="shared" si="619"/>
        <v>1102242207.7725234</v>
      </c>
      <c r="FJ147" s="770">
        <f t="shared" si="537"/>
        <v>1223498100.5291164</v>
      </c>
      <c r="FK147" s="545" t="s">
        <v>1</v>
      </c>
    </row>
    <row r="148" spans="2:167" x14ac:dyDescent="0.2">
      <c r="B148" s="225" t="s">
        <v>309</v>
      </c>
      <c r="C148" s="19">
        <f>Marketplace!C26</f>
        <v>1063614.1428571427</v>
      </c>
      <c r="D148" s="19">
        <f>Marketplace!D26</f>
        <v>1171810.1428571427</v>
      </c>
      <c r="E148" s="19">
        <f>Marketplace!E26</f>
        <v>1134855.1428571427</v>
      </c>
      <c r="F148" s="19">
        <f>Marketplace!F26</f>
        <v>1285917.1428571427</v>
      </c>
      <c r="G148" s="19">
        <f>Marketplace!G26</f>
        <v>1234087.1428571427</v>
      </c>
      <c r="H148" s="19">
        <f>Marketplace!H26</f>
        <v>1239079.4285714284</v>
      </c>
      <c r="I148" s="19">
        <f>Marketplace!I26</f>
        <v>1275190.7142857141</v>
      </c>
      <c r="J148" s="19">
        <f>Marketplace!J26</f>
        <v>1136396.7142857143</v>
      </c>
      <c r="K148" s="19">
        <f>Marketplace!K26</f>
        <v>1085702.1428571427</v>
      </c>
      <c r="L148" s="19">
        <f>Marketplace!L26</f>
        <v>902237</v>
      </c>
      <c r="M148" s="19">
        <f>Marketplace!M26</f>
        <v>981571</v>
      </c>
      <c r="N148" s="19">
        <f>Marketplace!N26</f>
        <v>1187626</v>
      </c>
      <c r="O148" s="19">
        <f>Marketplace!O26</f>
        <v>961155</v>
      </c>
      <c r="P148" s="19">
        <f>Marketplace!P26</f>
        <v>964291</v>
      </c>
      <c r="Q148" s="19">
        <f>Marketplace!Q26</f>
        <v>1004016.8571428572</v>
      </c>
      <c r="R148" s="19">
        <f>Marketplace!R26</f>
        <v>1190054</v>
      </c>
      <c r="S148" s="19">
        <f>Marketplace!S26</f>
        <v>987449</v>
      </c>
      <c r="T148" s="19">
        <f>Marketplace!T26</f>
        <v>1070730</v>
      </c>
      <c r="U148" s="19">
        <f>Marketplace!U26</f>
        <v>1248472</v>
      </c>
      <c r="V148" s="19">
        <f>Marketplace!V26</f>
        <v>1200702</v>
      </c>
      <c r="W148" s="19">
        <f>Marketplace!W26</f>
        <v>1038842</v>
      </c>
      <c r="X148" s="19">
        <f>Marketplace!X26</f>
        <v>1299927</v>
      </c>
      <c r="Y148" s="19">
        <f>Marketplace!Y26</f>
        <v>1123920</v>
      </c>
      <c r="Z148" s="19">
        <f>Marketplace!Z26</f>
        <v>995871</v>
      </c>
      <c r="AA148" s="19">
        <f>Marketplace!AA26</f>
        <v>1313843.5239457542</v>
      </c>
      <c r="AB148" s="19">
        <f>Marketplace!AB26</f>
        <v>1357600</v>
      </c>
      <c r="AC148" s="19">
        <f>Marketplace!AC26</f>
        <v>1204526</v>
      </c>
      <c r="AD148" s="19">
        <f>Marketplace!AD26</f>
        <v>1103126</v>
      </c>
      <c r="AE148" s="19">
        <f>Marketplace!AE26</f>
        <v>1387242</v>
      </c>
      <c r="AF148" s="19">
        <f>Marketplace!AF26</f>
        <v>1677452</v>
      </c>
      <c r="AG148" s="19">
        <f>Marketplace!AG26</f>
        <v>1729440</v>
      </c>
      <c r="AH148" s="19">
        <f>Marketplace!AH26</f>
        <v>1564097</v>
      </c>
      <c r="AI148" s="19">
        <f>Marketplace!AI26</f>
        <v>1711388</v>
      </c>
      <c r="AJ148" s="19">
        <f>Marketplace!AJ26</f>
        <v>1789371</v>
      </c>
      <c r="AK148" s="19">
        <f>Marketplace!AK26</f>
        <v>1675685</v>
      </c>
      <c r="AL148" s="19">
        <f>Marketplace!AL26</f>
        <v>2271220</v>
      </c>
      <c r="AM148" s="19">
        <f>Marketplace!AM26</f>
        <v>2090454</v>
      </c>
      <c r="AN148" s="19">
        <f>Marketplace!AN26</f>
        <v>2550418</v>
      </c>
      <c r="AO148" s="19">
        <f>Marketplace!AO26</f>
        <v>3026879</v>
      </c>
      <c r="AP148" s="19">
        <f>Marketplace!AP26</f>
        <v>2878569</v>
      </c>
      <c r="AQ148" s="19">
        <f>Marketplace!AQ26</f>
        <v>3009628</v>
      </c>
      <c r="AR148" s="19">
        <f>Marketplace!AR26</f>
        <v>5340998.4666582299</v>
      </c>
      <c r="AS148" s="19">
        <f>Marketplace!AS26</f>
        <v>6598978</v>
      </c>
      <c r="AT148" s="19">
        <f>Marketplace!AT26</f>
        <v>3817100</v>
      </c>
      <c r="AU148" s="19">
        <f>Marketplace!AU26</f>
        <v>4692803</v>
      </c>
      <c r="AV148" s="19">
        <f>Marketplace!AV26</f>
        <v>4370305</v>
      </c>
      <c r="AW148" s="19">
        <f>Marketplace!AW26</f>
        <v>4602192</v>
      </c>
      <c r="AX148" s="19">
        <f>Marketplace!AX26</f>
        <v>5441928</v>
      </c>
      <c r="AY148" s="19">
        <f>Marketplace!AY26</f>
        <v>5427317</v>
      </c>
      <c r="AZ148" s="19">
        <f>Marketplace!AZ26</f>
        <v>6094636.179551282</v>
      </c>
      <c r="BA148" s="19">
        <f>Marketplace!BA26</f>
        <v>6661770.3176923059</v>
      </c>
      <c r="BB148" s="19">
        <f>Marketplace!BB26</f>
        <v>5991644.9809711371</v>
      </c>
      <c r="BC148" s="19">
        <f>Marketplace!BC26</f>
        <v>5675555.1115059126</v>
      </c>
      <c r="BD148" s="19">
        <f>Marketplace!BD26</f>
        <v>8598734.0565006323</v>
      </c>
      <c r="BE148" s="19">
        <f>Marketplace!BE26</f>
        <v>10294440.986447815</v>
      </c>
      <c r="BF148" s="19">
        <f>Marketplace!BF26</f>
        <v>7182110.0441603605</v>
      </c>
      <c r="BG148" s="19">
        <f>Marketplace!BG26</f>
        <v>7341717.4429592099</v>
      </c>
      <c r="BH148" s="19">
        <f>Marketplace!BH26</f>
        <v>6636433.1251996662</v>
      </c>
      <c r="BI148" s="19">
        <f>Marketplace!BI26</f>
        <v>6651669.7328090565</v>
      </c>
      <c r="BJ148" s="19">
        <f>Marketplace!BJ26</f>
        <v>6304244.8900692509</v>
      </c>
      <c r="BK148" s="19">
        <f>Marketplace!BK26</f>
        <v>7239708.0533900065</v>
      </c>
      <c r="BL148" s="19">
        <f>Marketplace!BL26</f>
        <v>7460076.6133514112</v>
      </c>
      <c r="BM148" s="19">
        <f>Marketplace!BM26</f>
        <v>6744994.6212526811</v>
      </c>
      <c r="BN148" s="19">
        <f>Marketplace!BN26</f>
        <v>6500101.0562241171</v>
      </c>
      <c r="BO148" s="19">
        <f>Marketplace!BO26</f>
        <v>7367840.2220355188</v>
      </c>
      <c r="BP148" s="19">
        <f>Marketplace!BP26</f>
        <v>7046712.5116620976</v>
      </c>
      <c r="BQ148" s="19">
        <f>Marketplace!BQ26</f>
        <v>8149573.9116530772</v>
      </c>
      <c r="BR148" s="19">
        <f>Marketplace!BR26</f>
        <v>7228632.719450457</v>
      </c>
      <c r="BS148" s="19">
        <f>Marketplace!BS26</f>
        <v>7307532.0051790886</v>
      </c>
      <c r="BT148" s="19">
        <f>Marketplace!BT26</f>
        <v>7242182.1301233498</v>
      </c>
      <c r="BU148" s="19">
        <f>Marketplace!BU26</f>
        <v>6791082.8645835146</v>
      </c>
      <c r="BV148" s="19">
        <f>Marketplace!BV26</f>
        <v>6688512.1478825826</v>
      </c>
      <c r="BW148" s="19">
        <f>Marketplace!BW26</f>
        <v>7340465.5510260146</v>
      </c>
      <c r="BX148" s="19">
        <f>Marketplace!BX26</f>
        <v>7474643.7291403618</v>
      </c>
      <c r="BY148" s="19">
        <f>Marketplace!BY26</f>
        <v>7728766.0601704735</v>
      </c>
      <c r="BZ148" s="19">
        <f>Marketplace!BZ26</f>
        <v>7560010.1715115858</v>
      </c>
      <c r="CA148" s="19">
        <f>Marketplace!CA26</f>
        <v>7822819.6773071196</v>
      </c>
      <c r="CB148" s="19">
        <f>Marketplace!CB26</f>
        <v>7519220.9984555757</v>
      </c>
      <c r="CC148" s="19">
        <f>Marketplace!CC26</f>
        <v>8164981.087384304</v>
      </c>
      <c r="CD148" s="19">
        <f>Marketplace!CD26</f>
        <v>7740924.6244842391</v>
      </c>
      <c r="CE148" s="19">
        <f>Marketplace!CE26</f>
        <v>7945353.2550098179</v>
      </c>
      <c r="CF148" s="19">
        <f>Marketplace!CF26</f>
        <v>8476297.0566480923</v>
      </c>
      <c r="CG148" s="19">
        <f>Marketplace!CG26</f>
        <v>8271961.6025343696</v>
      </c>
      <c r="CH148" s="19">
        <f>Marketplace!CH26</f>
        <v>10459133.527879855</v>
      </c>
      <c r="CI148" s="19">
        <f>Marketplace!CI26</f>
        <v>10029113.140107088</v>
      </c>
      <c r="CJ148" s="19">
        <f>Marketplace!CJ26</f>
        <v>9916440.1582132094</v>
      </c>
      <c r="CK148" s="19">
        <f>Marketplace!CK26</f>
        <v>10470189.62770604</v>
      </c>
      <c r="CL148" s="19">
        <f>Marketplace!CL26</f>
        <v>11201471.067289051</v>
      </c>
      <c r="CM148" s="19">
        <f>Marketplace!CM26</f>
        <v>9906228.1274996903</v>
      </c>
      <c r="CN148" s="19">
        <f>Marketplace!CN26</f>
        <v>10169151.284843663</v>
      </c>
      <c r="CO148" s="19">
        <f>Marketplace!CO26</f>
        <v>11605641.416522076</v>
      </c>
      <c r="CP148" s="19">
        <f>Marketplace!CP26</f>
        <v>10127513.669346314</v>
      </c>
      <c r="CQ148" s="19">
        <f>Marketplace!CQ26</f>
        <v>9360491.1165597625</v>
      </c>
      <c r="CR148" s="19">
        <f>Marketplace!CR26</f>
        <v>10977082.446090035</v>
      </c>
      <c r="CS148" s="19">
        <f>Marketplace!CS26</f>
        <v>9598749.5381732509</v>
      </c>
      <c r="CT148" s="19">
        <f>Marketplace!CT26</f>
        <v>10716365.549841955</v>
      </c>
      <c r="CU148" s="19">
        <f>Marketplace!CU26</f>
        <v>12004456.405828619</v>
      </c>
      <c r="CV148" s="19">
        <f>Marketplace!CV26</f>
        <v>12004456.405828619</v>
      </c>
      <c r="CW148" s="19">
        <f>Marketplace!CW26</f>
        <v>12004456.405828619</v>
      </c>
      <c r="CX148" s="19">
        <f>Marketplace!CX26</f>
        <v>12004456.405828619</v>
      </c>
      <c r="CY148" s="19">
        <f>Marketplace!CY26</f>
        <v>12004456.405828619</v>
      </c>
      <c r="CZ148" s="19">
        <f>Marketplace!CZ26</f>
        <v>12004456.405828619</v>
      </c>
      <c r="DA148" s="19">
        <f>Marketplace!DA26</f>
        <v>12004456.405828619</v>
      </c>
      <c r="DB148" s="19">
        <f>Marketplace!DB26</f>
        <v>12004456.405828619</v>
      </c>
      <c r="DC148" s="19">
        <f>Marketplace!DC26</f>
        <v>12004456.405828619</v>
      </c>
      <c r="DD148" s="19">
        <f>Marketplace!DD26</f>
        <v>12004456.405828619</v>
      </c>
      <c r="DE148" s="19">
        <f>Marketplace!DE26</f>
        <v>12004456.405828619</v>
      </c>
      <c r="DF148" s="19">
        <f>Marketplace!DF26</f>
        <v>12004456.405828619</v>
      </c>
      <c r="DG148" s="19">
        <f>Marketplace!DG26</f>
        <v>12951915.693294909</v>
      </c>
      <c r="DH148" s="19">
        <f>Marketplace!DH26</f>
        <v>12951915.693294909</v>
      </c>
      <c r="DI148" s="19">
        <f>Marketplace!DI26</f>
        <v>12951915.693294909</v>
      </c>
      <c r="DJ148" s="19">
        <f>Marketplace!DJ26</f>
        <v>12951915.693294909</v>
      </c>
      <c r="DK148" s="19">
        <f>Marketplace!DK26</f>
        <v>12951915.693294909</v>
      </c>
      <c r="DL148" s="19">
        <f>Marketplace!DL26</f>
        <v>12951915.693294909</v>
      </c>
      <c r="DM148" s="19">
        <f>Marketplace!DM26</f>
        <v>12951915.693294909</v>
      </c>
      <c r="DN148" s="19">
        <f>Marketplace!DN26</f>
        <v>12951915.693294909</v>
      </c>
      <c r="DO148" s="19">
        <f>Marketplace!DO26</f>
        <v>12951915.693294909</v>
      </c>
      <c r="DP148" s="19">
        <f>Marketplace!DP26</f>
        <v>12951915.693294909</v>
      </c>
      <c r="DQ148" s="19">
        <f>Marketplace!DQ26</f>
        <v>12951915.693294909</v>
      </c>
      <c r="DR148" s="19">
        <f>Marketplace!DR26</f>
        <v>12951915.693294909</v>
      </c>
      <c r="DS148" s="19">
        <f>Marketplace!DS26</f>
        <v>13974526.862508506</v>
      </c>
      <c r="DT148" s="19">
        <f>Marketplace!DT26</f>
        <v>13974526.862508506</v>
      </c>
      <c r="DU148" s="19">
        <f>Marketplace!DU26</f>
        <v>13974526.862508506</v>
      </c>
      <c r="DV148" s="19">
        <f>Marketplace!DV26</f>
        <v>13974526.862508506</v>
      </c>
      <c r="DW148" s="19">
        <f>Marketplace!DW26</f>
        <v>13974526.862508506</v>
      </c>
      <c r="DX148" s="19">
        <f>Marketplace!DX26</f>
        <v>13974526.862508506</v>
      </c>
      <c r="DY148" s="19">
        <f>Marketplace!DY26</f>
        <v>13974526.862508506</v>
      </c>
      <c r="DZ148" s="19">
        <f>Marketplace!DZ26</f>
        <v>13974526.862508506</v>
      </c>
      <c r="EA148" s="19">
        <f>Marketplace!EA26</f>
        <v>13974526.862508506</v>
      </c>
      <c r="EB148" s="19">
        <f>Marketplace!EB26</f>
        <v>13974526.862508506</v>
      </c>
      <c r="EC148" s="19">
        <f>Marketplace!EC26</f>
        <v>13974526.862508506</v>
      </c>
      <c r="ED148" s="19">
        <f>Marketplace!ED26</f>
        <v>13974526.862508506</v>
      </c>
      <c r="EE148" s="222"/>
      <c r="EF148" s="19">
        <f t="shared" si="591"/>
        <v>21444779.287994098</v>
      </c>
      <c r="EG148" s="19">
        <f t="shared" si="592"/>
        <v>20914653.789921731</v>
      </c>
      <c r="EH148" s="19">
        <f t="shared" si="593"/>
        <v>22685738.636282623</v>
      </c>
      <c r="EI148" s="19">
        <f t="shared" si="594"/>
        <v>20721777.14258945</v>
      </c>
      <c r="EJ148" s="19">
        <f t="shared" si="595"/>
        <v>22543875.340336852</v>
      </c>
      <c r="EK148" s="19">
        <f t="shared" si="596"/>
        <v>22902050.847274281</v>
      </c>
      <c r="EL148" s="19">
        <f t="shared" si="597"/>
        <v>23851258.966878362</v>
      </c>
      <c r="EM148" s="19">
        <f t="shared" si="598"/>
        <v>27207392.187062316</v>
      </c>
      <c r="EN148" s="19">
        <f t="shared" si="599"/>
        <v>30415742.926026337</v>
      </c>
      <c r="EO148" s="19">
        <f t="shared" si="600"/>
        <v>31276850.4796324</v>
      </c>
      <c r="EP148" s="19">
        <f t="shared" si="601"/>
        <v>31093646.202428151</v>
      </c>
      <c r="EQ148" s="19">
        <f t="shared" si="602"/>
        <v>31292197.534105241</v>
      </c>
      <c r="ER148" s="19">
        <f t="shared" si="603"/>
        <v>36013369.21748586</v>
      </c>
      <c r="ES148" s="19">
        <f t="shared" si="604"/>
        <v>36013369.21748586</v>
      </c>
      <c r="ET148" s="19">
        <f t="shared" si="605"/>
        <v>36013369.21748586</v>
      </c>
      <c r="EU148" s="19">
        <f t="shared" si="606"/>
        <v>36013369.21748586</v>
      </c>
      <c r="EV148" s="19">
        <f t="shared" si="607"/>
        <v>38855747.079884723</v>
      </c>
      <c r="EW148" s="19">
        <f t="shared" si="608"/>
        <v>38855747.079884723</v>
      </c>
      <c r="EX148" s="19">
        <f t="shared" si="609"/>
        <v>38855747.079884723</v>
      </c>
      <c r="EY148" s="19">
        <f t="shared" si="610"/>
        <v>38855747.079884723</v>
      </c>
      <c r="EZ148" s="19">
        <f t="shared" si="611"/>
        <v>41923580.587525517</v>
      </c>
      <c r="FA148" s="19">
        <f t="shared" si="612"/>
        <v>41923580.587525517</v>
      </c>
      <c r="FB148" s="19">
        <f t="shared" si="613"/>
        <v>41923580.587525517</v>
      </c>
      <c r="FC148" s="19">
        <f t="shared" si="614"/>
        <v>41923580.587525517</v>
      </c>
      <c r="FE148" s="19">
        <f t="shared" si="615"/>
        <v>85766948.856787905</v>
      </c>
      <c r="FF148" s="19">
        <f t="shared" si="616"/>
        <v>96504577.341551811</v>
      </c>
      <c r="FG148" s="19">
        <f t="shared" si="617"/>
        <v>124078437.14219213</v>
      </c>
      <c r="FH148" s="19">
        <f t="shared" si="618"/>
        <v>144053476.86994344</v>
      </c>
      <c r="FI148" s="19">
        <f t="shared" si="619"/>
        <v>155422988.31953889</v>
      </c>
      <c r="FJ148" s="770">
        <f t="shared" si="537"/>
        <v>167694322.35010207</v>
      </c>
      <c r="FK148" s="545" t="s">
        <v>1</v>
      </c>
    </row>
    <row r="149" spans="2:167" x14ac:dyDescent="0.2">
      <c r="B149" s="225" t="s">
        <v>310</v>
      </c>
      <c r="C149" s="19">
        <v>0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f>'Offline Distribution'!Z53+'D2C Online'!R134-'Consolidated - P&amp;L'!AA147</f>
        <v>0</v>
      </c>
      <c r="AB149" s="19">
        <f>'Offline Distribution'!AA53+'D2C Online'!S134-'Consolidated - P&amp;L'!AB147</f>
        <v>0</v>
      </c>
      <c r="AC149" s="19">
        <f>'Offline Distribution'!AB53+'D2C Online'!T134+'D2C - Retail'!C144-'Consolidated - P&amp;L'!AC147</f>
        <v>2240857.6542378473</v>
      </c>
      <c r="AD149" s="19">
        <f>'Offline Distribution'!AC53+'D2C Online'!U134+'D2C - Retail'!D144-'Consolidated - P&amp;L'!AD147</f>
        <v>315259.19133826159</v>
      </c>
      <c r="AE149" s="19">
        <f>'Offline Distribution'!AD53+'D2C Online'!V134+'D2C - Retail'!E144-'Consolidated - P&amp;L'!AE147</f>
        <v>330642.85534738097</v>
      </c>
      <c r="AF149" s="19">
        <f>'Offline Distribution'!AE53+'D2C Online'!W134+'D2C - Retail'!F144-'Consolidated - P&amp;L'!AF147</f>
        <v>219951.56711793691</v>
      </c>
      <c r="AG149" s="19">
        <f>'Offline Distribution'!AF53+'D2C Online'!X134+'D2C - Retail'!G144-'Consolidated - P&amp;L'!AG147</f>
        <v>262993.01305748522</v>
      </c>
      <c r="AH149" s="19">
        <f>'Offline Distribution'!AG53+'D2C Online'!Y134+'D2C - Retail'!H144-'Consolidated - P&amp;L'!AH147</f>
        <v>121708.94957283232</v>
      </c>
      <c r="AI149" s="19">
        <f>'Offline Distribution'!AH53+'D2C Online'!Z134+'D2C - Retail'!I144-'Consolidated - P&amp;L'!AI147</f>
        <v>-42638.232825742103</v>
      </c>
      <c r="AJ149" s="19">
        <f>'Offline Distribution'!AI53+'D2C Online'!AA134+'D2C - Retail'!J144-'Consolidated - P&amp;L'!AJ147</f>
        <v>-695.03511294722557</v>
      </c>
      <c r="AK149" s="19">
        <f>'Offline Distribution'!AJ53+'D2C Online'!AB134+'D2C - Retail'!K144-'Consolidated - P&amp;L'!AK147</f>
        <v>119697.80261308327</v>
      </c>
      <c r="AL149" s="19">
        <f>'Offline Distribution'!AK53+'D2C Online'!AC134+'D2C - Retail'!L144-'Consolidated - P&amp;L'!AL147</f>
        <v>266732.60830781981</v>
      </c>
      <c r="AM149" s="19">
        <f>'Offline Distribution'!AL53+'D2C Online'!AD134+'D2C - Retail'!M144-'Consolidated - P&amp;L'!AM147</f>
        <v>241314.83749329299</v>
      </c>
      <c r="AN149" s="19">
        <f>'Offline Distribution'!AM53+'D2C Online'!AE134+'D2C - Retail'!N144-'Consolidated - P&amp;L'!AN147</f>
        <v>21787.096333486959</v>
      </c>
      <c r="AO149" s="19">
        <f>'Offline Distribution'!AN53+'D2C Online'!AF134+'D2C - Retail'!O144-'Consolidated - P&amp;L'!AO147</f>
        <v>563421.11838410795</v>
      </c>
      <c r="AP149" s="19">
        <f>'Offline Distribution'!AO53+'D2C Online'!AG134+'D2C - Retail'!P144-'Consolidated - P&amp;L'!AP147</f>
        <v>730915.03177395836</v>
      </c>
      <c r="AQ149" s="19">
        <f>'Offline Distribution'!AP53+'D2C Online'!AH134+'D2C - Retail'!Q144-'Consolidated - P&amp;L'!AQ147</f>
        <v>745962.08238740265</v>
      </c>
      <c r="AR149" s="19">
        <f>'Offline Distribution'!AQ53+'D2C Online'!AI134+'D2C - Retail'!R144-'Consolidated - P&amp;L'!AR147</f>
        <v>754750.77008662187</v>
      </c>
      <c r="AS149" s="19">
        <f>'Offline Distribution'!AR53+'D2C Online'!AJ134+'D2C - Retail'!S144-'Consolidated - P&amp;L'!AS147</f>
        <v>659956.02567765117</v>
      </c>
      <c r="AT149" s="19">
        <f>'Offline Distribution'!AS53+'D2C Online'!AK134+'D2C - Retail'!T144-'Consolidated - P&amp;L'!AT147</f>
        <v>525204.64855811372</v>
      </c>
      <c r="AU149" s="19">
        <f>'Offline Distribution'!AT53+'D2C Online'!AL134+'D2C - Retail'!U144-'Consolidated - P&amp;L'!AU147</f>
        <v>784510.91938857362</v>
      </c>
      <c r="AV149" s="19">
        <f>'Offline Distribution'!AU53+'D2C Online'!AM134+'D2C - Retail'!V144-'Consolidated - P&amp;L'!AV147</f>
        <v>774280.22136200964</v>
      </c>
      <c r="AW149" s="19">
        <f>'Offline Distribution'!AV53+'D2C Online'!AN134+'D2C - Retail'!W144-'Consolidated - P&amp;L'!AW147</f>
        <v>704219.0479513146</v>
      </c>
      <c r="AX149" s="19">
        <f>'Offline Distribution'!AW53+'D2C Online'!AO134+'D2C - Retail'!X144-'Consolidated - P&amp;L'!AX147</f>
        <v>803861.07264016569</v>
      </c>
      <c r="AY149" s="19">
        <f>'Offline Distribution'!AX53+'D2C Online'!AP134+'D2C - Retail'!Y144-'Consolidated - P&amp;L'!AY147</f>
        <v>975382.05848455802</v>
      </c>
      <c r="AZ149" s="19">
        <f>'Offline Distribution'!AY53+'D2C Online'!AQ134+'D2C - Retail'!Z144-'Consolidated - P&amp;L'!AZ147</f>
        <v>1202410.6512482464</v>
      </c>
      <c r="BA149" s="19">
        <f>'Offline Distribution'!AZ53+'D2C Online'!AR134+'D2C - Retail'!AA144-'Consolidated - P&amp;L'!BA147</f>
        <v>1152114.8832822256</v>
      </c>
      <c r="BB149" s="19">
        <f>'Offline Distribution'!BA53+'D2C Online'!AS134+'D2C - Retail'!AB144-'Consolidated - P&amp;L'!BB147</f>
        <v>1332397.2328995354</v>
      </c>
      <c r="BC149" s="19">
        <f>'Offline Distribution'!BB53+'D2C Online'!AT134+'D2C - Retail'!AC144-'Consolidated - P&amp;L'!BC147</f>
        <v>1478580.6469953582</v>
      </c>
      <c r="BD149" s="19">
        <f>'Offline Distribution'!BC53+'D2C Online'!AU134+'D2C - Retail'!AD144-'Consolidated - P&amp;L'!BD147</f>
        <v>1789411.0429927893</v>
      </c>
      <c r="BE149" s="19">
        <f>'Offline Distribution'!BD53+'D2C Online'!AV134+'D2C - Retail'!AE144-'Consolidated - P&amp;L'!BE147</f>
        <v>1515994.8602990732</v>
      </c>
      <c r="BF149" s="19">
        <f>'Offline Distribution'!BE53+'D2C Online'!AW134+'D2C - Retail'!AF144-'Consolidated - P&amp;L'!BF147</f>
        <v>1745036.8969593197</v>
      </c>
      <c r="BG149" s="19">
        <f>'Offline Distribution'!BF53+'D2C Online'!AX134+'D2C - Retail'!AG144-'Consolidated - P&amp;L'!BG147</f>
        <v>1544901.1775723025</v>
      </c>
      <c r="BH149" s="19">
        <f>'Offline Distribution'!BG53+'D2C Online'!AY134+'D2C - Retail'!AH144-'Consolidated - P&amp;L'!BH147</f>
        <v>1636397.5712900385</v>
      </c>
      <c r="BI149" s="19">
        <f>'Offline Distribution'!BH53+'D2C Online'!AZ134+'D2C - Retail'!AI144-'Consolidated - P&amp;L'!BI147</f>
        <v>1460639.0827052593</v>
      </c>
      <c r="BJ149" s="19">
        <f>'Offline Distribution'!BI53+'D2C Online'!BA134+'D2C - Retail'!AJ144-'Consolidated - P&amp;L'!BJ147</f>
        <v>1350078.6510535181</v>
      </c>
      <c r="BK149" s="19">
        <f>'Offline Distribution'!BJ53+'D2C Online'!BB134+'D2C - Retail'!AK144-'Consolidated - P&amp;L'!BK147</f>
        <v>1045170.4568611532</v>
      </c>
      <c r="BL149" s="19">
        <f>'Offline Distribution'!BK53+'D2C Online'!BC134+'D2C - Retail'!AL144-'Consolidated - P&amp;L'!BL147</f>
        <v>1098668.6801110357</v>
      </c>
      <c r="BM149" s="19">
        <f>'Offline Distribution'!BL53+'D2C Online'!BD134+'D2C - Retail'!AM144-'Consolidated - P&amp;L'!BM147</f>
        <v>1337887.7531274855</v>
      </c>
      <c r="BN149" s="19">
        <f>'Offline Distribution'!BM53+'D2C Online'!BE134+'D2C - Retail'!AN144-'Consolidated - P&amp;L'!BN147</f>
        <v>1431224.0401452184</v>
      </c>
      <c r="BO149" s="19">
        <f>'Offline Distribution'!BN53+'D2C Online'!BF134+'D2C - Retail'!AO144-'Consolidated - P&amp;L'!BO147</f>
        <v>1721295.0301885977</v>
      </c>
      <c r="BP149" s="19">
        <f>'Offline Distribution'!BO53+'D2C Online'!BG134+'D2C - Retail'!AP144-'Consolidated - P&amp;L'!BP147</f>
        <v>1534643.7635984942</v>
      </c>
      <c r="BQ149" s="19">
        <f>'Offline Distribution'!BP53+'D2C Online'!BH134+'D2C - Retail'!AQ144-'Consolidated - P&amp;L'!BQ147</f>
        <v>1207205.9124556482</v>
      </c>
      <c r="BR149" s="19">
        <f>'Offline Distribution'!BQ53+'D2C Online'!BI134+'D2C - Retail'!AR144-'Consolidated - P&amp;L'!BR147</f>
        <v>1113262.8612182587</v>
      </c>
      <c r="BS149" s="19">
        <f>'Offline Distribution'!BR53+'D2C Online'!BJ134+'D2C - Retail'!AS144-'Consolidated - P&amp;L'!BS147</f>
        <v>1245134.2462604567</v>
      </c>
      <c r="BT149" s="19">
        <f>'Offline Distribution'!BS53+'D2C Online'!BK134+'D2C - Retail'!AT144-'Consolidated - P&amp;L'!BT147</f>
        <v>1351626.7871633843</v>
      </c>
      <c r="BU149" s="19">
        <f>'Offline Distribution'!BT53+'D2C Online'!BL134+'D2C - Retail'!AU144-'Consolidated - P&amp;L'!BU147</f>
        <v>1309856.7305563316</v>
      </c>
      <c r="BV149" s="19">
        <f>'Offline Distribution'!BU53+'D2C Online'!BM134+'D2C - Retail'!AV144-'Consolidated - P&amp;L'!BV147</f>
        <v>1295301.6410862282</v>
      </c>
      <c r="BW149" s="19">
        <f>'Offline Distribution'!BV53+'D2C Online'!BN134+'D2C - Retail'!AW144-'Consolidated - P&amp;L'!BW147</f>
        <v>1281229.4172552153</v>
      </c>
      <c r="BX149" s="19">
        <f>'Offline Distribution'!BW53+'D2C Online'!BO134+'D2C - Retail'!AX144-'Consolidated - P&amp;L'!BX147</f>
        <v>1418728.718804732</v>
      </c>
      <c r="BY149" s="19">
        <f>'Offline Distribution'!BX53+'D2C Online'!BP134+'D2C - Retail'!AY144-'Consolidated - P&amp;L'!BY147</f>
        <v>1473358.1400977671</v>
      </c>
      <c r="BZ149" s="19">
        <f>'Offline Distribution'!BY53+'D2C Online'!BQ134+'D2C - Retail'!AZ144-'Consolidated - P&amp;L'!BZ147</f>
        <v>1606815.3506958634</v>
      </c>
      <c r="CA149" s="19">
        <f>'Offline Distribution'!BZ53+'D2C Online'!BR134+'D2C - Retail'!BA144-'Consolidated - P&amp;L'!CA147</f>
        <v>1904884.0219419673</v>
      </c>
      <c r="CB149" s="19">
        <f>'Offline Distribution'!CA53+'D2C Online'!BS134+'D2C - Retail'!BB144-'Consolidated - P&amp;L'!CB147</f>
        <v>2001577.5641637668</v>
      </c>
      <c r="CC149" s="19">
        <f>'Offline Distribution'!CB53+'D2C Online'!BT134+'D2C - Retail'!BC144-'Consolidated - P&amp;L'!CC147</f>
        <v>1770434.6717636809</v>
      </c>
      <c r="CD149" s="19">
        <f>'Offline Distribution'!CC53+'D2C Online'!BU134+'D2C - Retail'!BD144-'Consolidated - P&amp;L'!CD147</f>
        <v>1453488.7560671866</v>
      </c>
      <c r="CE149" s="19">
        <f>'Offline Distribution'!CD53+'D2C Online'!BV134+'D2C - Retail'!BE144-'Consolidated - P&amp;L'!CE147</f>
        <v>1627430.5701872259</v>
      </c>
      <c r="CF149" s="19">
        <f>'Offline Distribution'!CE53+'D2C Online'!BW134+'D2C - Retail'!BF144-'Consolidated - P&amp;L'!CF147</f>
        <v>1610338.0252310634</v>
      </c>
      <c r="CG149" s="19">
        <f>'Offline Distribution'!CF53+'D2C Online'!BX134+'D2C - Retail'!BG144-'Consolidated - P&amp;L'!CG147</f>
        <v>1537264.1379975379</v>
      </c>
      <c r="CH149" s="19">
        <f>'Offline Distribution'!CG53+'D2C Online'!BY134+'D2C - Retail'!BH144-'Consolidated - P&amp;L'!CH147</f>
        <v>1694925.857934773</v>
      </c>
      <c r="CI149" s="19">
        <f>'Offline Distribution'!CH53+'D2C Online'!BZ134+'D2C - Retail'!BI144-'Consolidated - P&amp;L'!CI147</f>
        <v>1866013.1800669134</v>
      </c>
      <c r="CJ149" s="19">
        <f>'Offline Distribution'!CI53+'D2C Online'!CA134+'D2C - Retail'!BJ144-'Consolidated - P&amp;L'!CJ147</f>
        <v>1942470.4691379592</v>
      </c>
      <c r="CK149" s="19">
        <f>'Offline Distribution'!CJ53+'D2C Online'!CB134+'D2C - Retail'!BK144-'Consolidated - P&amp;L'!CK147</f>
        <v>1916082.0788603649</v>
      </c>
      <c r="CL149" s="19">
        <f>'Offline Distribution'!CK53+'D2C Online'!CC134+'D2C - Retail'!BL144-'Consolidated - P&amp;L'!CL147</f>
        <v>2110087.7110777795</v>
      </c>
      <c r="CM149" s="19">
        <f>'Offline Distribution'!CL53+'D2C Online'!CD134+'D2C - Retail'!BM144-'Consolidated - P&amp;L'!CM147</f>
        <v>2722334.2567267567</v>
      </c>
      <c r="CN149" s="19">
        <f>'Offline Distribution'!CM53+'D2C Online'!CE134+'D2C - Retail'!BN144-'Consolidated - P&amp;L'!CN147</f>
        <v>2926961.6397316828</v>
      </c>
      <c r="CO149" s="19">
        <f>'Offline Distribution'!CN53+'D2C Online'!CF134+'D2C - Retail'!BO144-'Consolidated - P&amp;L'!CO147</f>
        <v>2555191.3024549484</v>
      </c>
      <c r="CP149" s="19">
        <f>'Offline Distribution'!CO53+'D2C Online'!CG134+'D2C - Retail'!BP144-'Consolidated - P&amp;L'!CP147</f>
        <v>2642107.0402293131</v>
      </c>
      <c r="CQ149" s="19">
        <f>'Offline Distribution'!CP53+'D2C Online'!CH134+'D2C - Retail'!BQ144-'Consolidated - P&amp;L'!CQ147</f>
        <v>2912720.0405008197</v>
      </c>
      <c r="CR149" s="19">
        <f>'Offline Distribution'!CQ53+'D2C Online'!CI134+'D2C - Retail'!BR144-'Consolidated - P&amp;L'!CR147</f>
        <v>2618941.5976538062</v>
      </c>
      <c r="CS149" s="19">
        <f>'Offline Distribution'!CR53+'D2C Online'!CJ134+'D2C - Retail'!BS144-'Consolidated - P&amp;L'!CS147</f>
        <v>2467392.146641925</v>
      </c>
      <c r="CT149" s="19">
        <f>'Offline Distribution'!CS53+'D2C Online'!CK134+'D2C - Retail'!BT144-'Consolidated - P&amp;L'!CT147</f>
        <v>3265885.952714622</v>
      </c>
      <c r="CU149" s="19">
        <f>'Offline Distribution'!CT53+'D2C Online'!CL134+'D2C - Retail'!BU144-'Consolidated - P&amp;L'!CU147</f>
        <v>2693819.5344878733</v>
      </c>
      <c r="CV149" s="19">
        <f>'Offline Distribution'!CU53+'D2C Online'!CM134+'D2C - Retail'!BV144-'Consolidated - P&amp;L'!CV147</f>
        <v>2791729.8964239359</v>
      </c>
      <c r="CW149" s="19">
        <f>'Offline Distribution'!CV53+'D2C Online'!CN134+'D2C - Retail'!BW144-'Consolidated - P&amp;L'!CW147</f>
        <v>2841314.6796726882</v>
      </c>
      <c r="CX149" s="19">
        <f>'Offline Distribution'!CW53+'D2C Online'!CO134+'D2C - Retail'!BX144-'Consolidated - P&amp;L'!CX147</f>
        <v>2604056.2698945105</v>
      </c>
      <c r="CY149" s="19">
        <f>'Offline Distribution'!CX53+'D2C Online'!CP134+'D2C - Retail'!BY144-'Consolidated - P&amp;L'!CY147</f>
        <v>3030211.7121942788</v>
      </c>
      <c r="CZ149" s="19">
        <f>'Offline Distribution'!CY53+'D2C Online'!CQ134+'D2C - Retail'!BZ144-'Consolidated - P&amp;L'!CZ147</f>
        <v>3372521.6120017767</v>
      </c>
      <c r="DA149" s="19">
        <f>'Offline Distribution'!CZ53+'D2C Online'!CR134+'D2C - Retail'!CA144-'Consolidated - P&amp;L'!DA147</f>
        <v>2608802.2642172873</v>
      </c>
      <c r="DB149" s="19">
        <f>'Offline Distribution'!DA53+'D2C Online'!CS134+'D2C - Retail'!CB144-'Consolidated - P&amp;L'!DB147</f>
        <v>2925550.8931299299</v>
      </c>
      <c r="DC149" s="19">
        <f>'Offline Distribution'!DB53+'D2C Online'!CT134+'D2C - Retail'!CC144-'Consolidated - P&amp;L'!DC147</f>
        <v>2386493.812501803</v>
      </c>
      <c r="DD149" s="19">
        <f>'Offline Distribution'!DC53+'D2C Online'!CU134+'D2C - Retail'!CD144-'Consolidated - P&amp;L'!DD147</f>
        <v>2337387.1045561284</v>
      </c>
      <c r="DE149" s="19">
        <f>'Offline Distribution'!DD53+'D2C Online'!CV134+'D2C - Retail'!CE144-'Consolidated - P&amp;L'!DE147</f>
        <v>2595227.6212933213</v>
      </c>
      <c r="DF149" s="19">
        <f>'Offline Distribution'!DE53+'D2C Online'!CW134+'D2C - Retail'!CF144-'Consolidated - P&amp;L'!DF147</f>
        <v>2188267.3842075914</v>
      </c>
      <c r="DG149" s="19">
        <f>'Offline Distribution'!DF53+'D2C Online'!CX134+'D2C - Retail'!CG144-'Consolidated - P&amp;L'!DG147</f>
        <v>2671617.8492350578</v>
      </c>
      <c r="DH149" s="19">
        <f>'Offline Distribution'!DG53+'D2C Online'!CY134+'D2C - Retail'!CH144-'Consolidated - P&amp;L'!DH147</f>
        <v>2771058.2272161841</v>
      </c>
      <c r="DI149" s="19">
        <f>'Offline Distribution'!DH53+'D2C Online'!CZ134+'D2C - Retail'!CI144-'Consolidated - P&amp;L'!DI147</f>
        <v>2821431.5553101003</v>
      </c>
      <c r="DJ149" s="19">
        <f>'Offline Distribution'!DI53+'D2C Online'!DA134+'D2C - Retail'!CJ144-'Consolidated - P&amp;L'!DJ147</f>
        <v>2580483.4199915528</v>
      </c>
      <c r="DK149" s="19">
        <f>'Offline Distribution'!DJ53+'D2C Online'!DB134+'D2C - Retail'!CK144-'Consolidated - P&amp;L'!DK147</f>
        <v>3013417.0380922258</v>
      </c>
      <c r="DL149" s="19">
        <f>'Offline Distribution'!DK53+'D2C Online'!DC134+'D2C - Retail'!CL144-'Consolidated - P&amp;L'!DL147</f>
        <v>3361664.8335913718</v>
      </c>
      <c r="DM149" s="19">
        <f>'Offline Distribution'!DL53+'D2C Online'!DD134+'D2C - Retail'!CM144-'Consolidated - P&amp;L'!DM147</f>
        <v>2585301.1558507979</v>
      </c>
      <c r="DN149" s="19">
        <f>'Offline Distribution'!DM53+'D2C Online'!DE134+'D2C - Retail'!CN144-'Consolidated - P&amp;L'!DN147</f>
        <v>2907028.496494323</v>
      </c>
      <c r="DO149" s="19">
        <f>'Offline Distribution'!DN53+'D2C Online'!DF134+'D2C - Retail'!CO144-'Consolidated - P&amp;L'!DO147</f>
        <v>2359722.7067641765</v>
      </c>
      <c r="DP149" s="19">
        <f>'Offline Distribution'!DO53+'D2C Online'!DG134+'D2C - Retail'!CP144-'Consolidated - P&amp;L'!DP147</f>
        <v>2309918.5926893353</v>
      </c>
      <c r="DQ149" s="19">
        <f>'Offline Distribution'!DP53+'D2C Online'!DH134+'D2C - Retail'!CQ144-'Consolidated - P&amp;L'!DQ147</f>
        <v>2571521.5397738963</v>
      </c>
      <c r="DR149" s="19">
        <f>'Offline Distribution'!DQ53+'D2C Online'!DI134+'D2C - Retail'!CR144-'Consolidated - P&amp;L'!DR147</f>
        <v>2158736.3170703202</v>
      </c>
      <c r="DS149" s="19">
        <f>'Offline Distribution'!DR53+'D2C Online'!DJ134+'D2C - Retail'!CS144-'Consolidated - P&amp;L'!DS147</f>
        <v>2750288.0352495015</v>
      </c>
      <c r="DT149" s="19">
        <f>'Offline Distribution'!DS53+'D2C Online'!DK134+'D2C - Retail'!CT144-'Consolidated - P&amp;L'!DT147</f>
        <v>2854199.2174655497</v>
      </c>
      <c r="DU149" s="19">
        <f>'Offline Distribution'!DT53+'D2C Online'!DL134+'D2C - Retail'!CU144-'Consolidated - P&amp;L'!DU147</f>
        <v>2906845.4594862312</v>
      </c>
      <c r="DV149" s="19">
        <f>'Offline Distribution'!DU53+'D2C Online'!DM134+'D2C - Retail'!CV144-'Consolidated - P&amp;L'!DV147</f>
        <v>2655074.9790716469</v>
      </c>
      <c r="DW149" s="19">
        <f>'Offline Distribution'!DV53+'D2C Online'!DN134+'D2C - Retail'!CW144-'Consolidated - P&amp;L'!DW147</f>
        <v>3107543.8398783952</v>
      </c>
      <c r="DX149" s="19">
        <f>'Offline Distribution'!DW53+'D2C Online'!DO134+'D2C - Retail'!CX144-'Consolidated - P&amp;L'!DX147</f>
        <v>3471799.4980762005</v>
      </c>
      <c r="DY149" s="19">
        <f>'Offline Distribution'!DX53+'D2C Online'!DP134+'D2C - Retail'!CY144-'Consolidated - P&amp;L'!DY147</f>
        <v>2660107.8789746314</v>
      </c>
      <c r="DZ149" s="19">
        <f>'Offline Distribution'!DY53+'D2C Online'!DQ134+'D2C - Retail'!CZ144-'Consolidated - P&amp;L'!DZ147</f>
        <v>2996317.2200061828</v>
      </c>
      <c r="EA149" s="19">
        <f>'Offline Distribution'!DZ53+'D2C Online'!DR134+'D2C - Retail'!DA144-'Consolidated - P&amp;L'!EA147</f>
        <v>2424508.6300070137</v>
      </c>
      <c r="EB149" s="19">
        <f>'Offline Distribution'!EA53+'D2C Online'!DS134+'D2C - Retail'!DB144-'Consolidated - P&amp;L'!EB147</f>
        <v>2372506.8742993027</v>
      </c>
      <c r="EC149" s="19">
        <f>'Offline Distribution'!EB53+'D2C Online'!DT134+'D2C - Retail'!DC144-'Consolidated - P&amp;L'!EC147</f>
        <v>2645712.9871584922</v>
      </c>
      <c r="ED149" s="19">
        <f>'Offline Distribution'!EC53+'D2C Online'!DU134+'D2C - Retail'!DD144-'Consolidated - P&amp;L'!ED147</f>
        <v>2214686.3282039911</v>
      </c>
      <c r="EE149" s="222"/>
      <c r="EF149" s="19">
        <f t="shared" si="591"/>
        <v>3481726.8900996745</v>
      </c>
      <c r="EG149" s="19">
        <f t="shared" si="592"/>
        <v>4687162.8339323103</v>
      </c>
      <c r="EH149" s="19">
        <f t="shared" si="593"/>
        <v>3565603.0199343637</v>
      </c>
      <c r="EI149" s="19">
        <f t="shared" si="594"/>
        <v>3956785.158805944</v>
      </c>
      <c r="EJ149" s="19">
        <f t="shared" si="595"/>
        <v>4173316.2761577144</v>
      </c>
      <c r="EK149" s="19">
        <f t="shared" si="596"/>
        <v>5513276.9368015975</v>
      </c>
      <c r="EL149" s="19">
        <f t="shared" si="597"/>
        <v>4851353.9980180934</v>
      </c>
      <c r="EM149" s="19">
        <f t="shared" si="598"/>
        <v>4842528.0211633742</v>
      </c>
      <c r="EN149" s="19">
        <f t="shared" si="599"/>
        <v>5724565.7280652374</v>
      </c>
      <c r="EO149" s="19">
        <f t="shared" si="600"/>
        <v>7759383.6075362191</v>
      </c>
      <c r="EP149" s="19">
        <f t="shared" si="601"/>
        <v>8110018.3831850812</v>
      </c>
      <c r="EQ149" s="19">
        <f t="shared" si="602"/>
        <v>8352219.6970103532</v>
      </c>
      <c r="ER149" s="19">
        <f t="shared" si="603"/>
        <v>8326864.1105844975</v>
      </c>
      <c r="ES149" s="19">
        <f t="shared" si="604"/>
        <v>9006789.594090566</v>
      </c>
      <c r="ET149" s="19">
        <f t="shared" si="605"/>
        <v>7920846.9698490202</v>
      </c>
      <c r="EU149" s="19">
        <f t="shared" si="606"/>
        <v>7120882.110057041</v>
      </c>
      <c r="EV149" s="19">
        <f t="shared" si="607"/>
        <v>8264107.6317613423</v>
      </c>
      <c r="EW149" s="19">
        <f t="shared" si="608"/>
        <v>8955565.2916751504</v>
      </c>
      <c r="EX149" s="19">
        <f t="shared" si="609"/>
        <v>7852052.3591092974</v>
      </c>
      <c r="EY149" s="19">
        <f t="shared" si="610"/>
        <v>7040176.4495335519</v>
      </c>
      <c r="EZ149" s="19">
        <f t="shared" si="611"/>
        <v>8511332.7122012824</v>
      </c>
      <c r="FA149" s="19">
        <f t="shared" si="612"/>
        <v>9234418.3170262426</v>
      </c>
      <c r="FB149" s="19">
        <f t="shared" si="613"/>
        <v>8080933.7289878279</v>
      </c>
      <c r="FC149" s="19">
        <f t="shared" si="614"/>
        <v>7232906.189661786</v>
      </c>
      <c r="FE149" s="19">
        <f t="shared" si="615"/>
        <v>15691277.902772292</v>
      </c>
      <c r="FF149" s="19">
        <f t="shared" si="616"/>
        <v>19380475.232140779</v>
      </c>
      <c r="FG149" s="19">
        <f t="shared" si="617"/>
        <v>29946187.415796891</v>
      </c>
      <c r="FH149" s="19">
        <f t="shared" si="618"/>
        <v>32375382.784581125</v>
      </c>
      <c r="FI149" s="19">
        <f t="shared" si="619"/>
        <v>32111901.732079342</v>
      </c>
      <c r="FJ149" s="770">
        <f t="shared" si="537"/>
        <v>33059590.947877139</v>
      </c>
      <c r="FK149" s="545" t="s">
        <v>1</v>
      </c>
    </row>
    <row r="150" spans="2:167" x14ac:dyDescent="0.2">
      <c r="B150" s="225" t="s">
        <v>311</v>
      </c>
      <c r="C150" s="19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0</v>
      </c>
      <c r="AT150" s="19">
        <v>0</v>
      </c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>
        <v>0</v>
      </c>
      <c r="BC150" s="19">
        <v>0</v>
      </c>
      <c r="BD150" s="19">
        <v>0</v>
      </c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>
        <v>0</v>
      </c>
      <c r="BM150" s="19">
        <v>0</v>
      </c>
      <c r="BN150" s="19">
        <v>0</v>
      </c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>
        <v>0</v>
      </c>
      <c r="BW150" s="19">
        <v>0</v>
      </c>
      <c r="BX150" s="19">
        <v>0</v>
      </c>
      <c r="BY150" s="19">
        <v>0</v>
      </c>
      <c r="BZ150" s="19">
        <v>0</v>
      </c>
      <c r="CA150" s="19">
        <v>0</v>
      </c>
      <c r="CB150" s="19">
        <v>0</v>
      </c>
      <c r="CC150" s="19">
        <v>0</v>
      </c>
      <c r="CD150" s="19">
        <v>0</v>
      </c>
      <c r="CE150" s="19">
        <v>0</v>
      </c>
      <c r="CF150" s="19">
        <v>0</v>
      </c>
      <c r="CG150" s="19">
        <v>0</v>
      </c>
      <c r="CH150" s="19">
        <v>0</v>
      </c>
      <c r="CI150" s="19">
        <v>0</v>
      </c>
      <c r="CJ150" s="19">
        <v>0</v>
      </c>
      <c r="CK150" s="19">
        <v>0</v>
      </c>
      <c r="CL150" s="19">
        <v>0</v>
      </c>
      <c r="CM150" s="19">
        <v>0</v>
      </c>
      <c r="CN150" s="19">
        <v>0</v>
      </c>
      <c r="CO150" s="19">
        <v>0</v>
      </c>
      <c r="CP150" s="19">
        <v>0</v>
      </c>
      <c r="CQ150" s="19">
        <v>0</v>
      </c>
      <c r="CR150" s="19">
        <v>0</v>
      </c>
      <c r="CS150" s="19">
        <v>0</v>
      </c>
      <c r="CT150" s="19">
        <v>0</v>
      </c>
      <c r="CU150" s="19">
        <v>0</v>
      </c>
      <c r="CV150" s="19">
        <v>0</v>
      </c>
      <c r="CW150" s="19">
        <v>0</v>
      </c>
      <c r="CX150" s="19">
        <v>0</v>
      </c>
      <c r="CY150" s="19">
        <v>0</v>
      </c>
      <c r="CZ150" s="19">
        <v>0</v>
      </c>
      <c r="DA150" s="19">
        <v>0</v>
      </c>
      <c r="DB150" s="19">
        <v>0</v>
      </c>
      <c r="DC150" s="19">
        <v>0</v>
      </c>
      <c r="DD150" s="19">
        <v>0</v>
      </c>
      <c r="DE150" s="19">
        <v>0</v>
      </c>
      <c r="DF150" s="19">
        <v>0</v>
      </c>
      <c r="DG150" s="19">
        <v>0</v>
      </c>
      <c r="DH150" s="19">
        <v>0</v>
      </c>
      <c r="DI150" s="19">
        <v>0</v>
      </c>
      <c r="DJ150" s="19">
        <v>0</v>
      </c>
      <c r="DK150" s="19">
        <v>0</v>
      </c>
      <c r="DL150" s="19">
        <v>0</v>
      </c>
      <c r="DM150" s="19">
        <v>0</v>
      </c>
      <c r="DN150" s="19">
        <v>0</v>
      </c>
      <c r="DO150" s="19">
        <v>0</v>
      </c>
      <c r="DP150" s="19">
        <v>0</v>
      </c>
      <c r="DQ150" s="19">
        <v>0</v>
      </c>
      <c r="DR150" s="19">
        <v>0</v>
      </c>
      <c r="DS150" s="19">
        <v>0</v>
      </c>
      <c r="DT150" s="19">
        <v>0</v>
      </c>
      <c r="DU150" s="19">
        <v>0</v>
      </c>
      <c r="DV150" s="19">
        <v>0</v>
      </c>
      <c r="DW150" s="19">
        <v>0</v>
      </c>
      <c r="DX150" s="19">
        <v>0</v>
      </c>
      <c r="DY150" s="19">
        <v>0</v>
      </c>
      <c r="DZ150" s="19">
        <v>0</v>
      </c>
      <c r="EA150" s="19">
        <v>0</v>
      </c>
      <c r="EB150" s="19">
        <v>0</v>
      </c>
      <c r="EC150" s="19">
        <v>0</v>
      </c>
      <c r="ED150" s="19">
        <v>0</v>
      </c>
      <c r="EE150" s="222"/>
      <c r="EF150" s="19">
        <f t="shared" si="591"/>
        <v>0</v>
      </c>
      <c r="EG150" s="19">
        <f t="shared" si="592"/>
        <v>0</v>
      </c>
      <c r="EH150" s="19">
        <f t="shared" si="593"/>
        <v>0</v>
      </c>
      <c r="EI150" s="19">
        <f t="shared" si="594"/>
        <v>0</v>
      </c>
      <c r="EJ150" s="19">
        <f t="shared" si="595"/>
        <v>0</v>
      </c>
      <c r="EK150" s="19">
        <f t="shared" si="596"/>
        <v>0</v>
      </c>
      <c r="EL150" s="19">
        <f t="shared" si="597"/>
        <v>0</v>
      </c>
      <c r="EM150" s="19">
        <f t="shared" si="598"/>
        <v>0</v>
      </c>
      <c r="EN150" s="19">
        <f t="shared" si="599"/>
        <v>0</v>
      </c>
      <c r="EO150" s="19">
        <f t="shared" si="600"/>
        <v>0</v>
      </c>
      <c r="EP150" s="19">
        <f t="shared" si="601"/>
        <v>0</v>
      </c>
      <c r="EQ150" s="19">
        <f t="shared" si="602"/>
        <v>0</v>
      </c>
      <c r="ER150" s="19">
        <f t="shared" si="603"/>
        <v>0</v>
      </c>
      <c r="ES150" s="19">
        <f t="shared" si="604"/>
        <v>0</v>
      </c>
      <c r="ET150" s="19">
        <f t="shared" si="605"/>
        <v>0</v>
      </c>
      <c r="EU150" s="19">
        <f t="shared" si="606"/>
        <v>0</v>
      </c>
      <c r="EV150" s="19">
        <f t="shared" si="607"/>
        <v>0</v>
      </c>
      <c r="EW150" s="19">
        <f t="shared" si="608"/>
        <v>0</v>
      </c>
      <c r="EX150" s="19">
        <f t="shared" si="609"/>
        <v>0</v>
      </c>
      <c r="EY150" s="19">
        <f t="shared" si="610"/>
        <v>0</v>
      </c>
      <c r="EZ150" s="19">
        <f t="shared" si="611"/>
        <v>0</v>
      </c>
      <c r="FA150" s="19">
        <f t="shared" si="612"/>
        <v>0</v>
      </c>
      <c r="FB150" s="19">
        <f t="shared" si="613"/>
        <v>0</v>
      </c>
      <c r="FC150" s="19">
        <f t="shared" si="614"/>
        <v>0</v>
      </c>
      <c r="FE150" s="19">
        <f t="shared" si="615"/>
        <v>0</v>
      </c>
      <c r="FF150" s="19">
        <f t="shared" si="616"/>
        <v>0</v>
      </c>
      <c r="FG150" s="19">
        <f t="shared" si="617"/>
        <v>0</v>
      </c>
      <c r="FH150" s="19">
        <f t="shared" si="618"/>
        <v>0</v>
      </c>
      <c r="FI150" s="19">
        <f t="shared" si="619"/>
        <v>0</v>
      </c>
      <c r="FJ150" s="770">
        <f t="shared" si="537"/>
        <v>0</v>
      </c>
      <c r="FK150" s="545" t="s">
        <v>1</v>
      </c>
    </row>
    <row r="151" spans="2:167" x14ac:dyDescent="0.2">
      <c r="B151" s="225" t="s">
        <v>191</v>
      </c>
      <c r="C151" s="19">
        <v>164646</v>
      </c>
      <c r="D151" s="19">
        <v>260854.71428571426</v>
      </c>
      <c r="E151" s="19">
        <v>278574.57142857142</v>
      </c>
      <c r="F151" s="19">
        <v>329864.85714285716</v>
      </c>
      <c r="G151" s="19">
        <v>319572</v>
      </c>
      <c r="H151" s="19">
        <v>519482.14285714284</v>
      </c>
      <c r="I151" s="19">
        <v>600678.28571428568</v>
      </c>
      <c r="J151" s="19">
        <v>714337.71428571432</v>
      </c>
      <c r="K151" s="19">
        <v>1107917.1042857142</v>
      </c>
      <c r="L151" s="19">
        <v>1096556.4285714286</v>
      </c>
      <c r="M151" s="19">
        <v>1208532.1471428573</v>
      </c>
      <c r="N151" s="19">
        <v>1569607.1428571427</v>
      </c>
      <c r="O151" s="19">
        <v>1642747.6885714286</v>
      </c>
      <c r="P151" s="19">
        <v>1478282.6642857143</v>
      </c>
      <c r="Q151" s="19">
        <v>1548471.3571428573</v>
      </c>
      <c r="R151" s="19">
        <v>1585311.7</v>
      </c>
      <c r="S151" s="19">
        <v>1164276.9200000002</v>
      </c>
      <c r="T151" s="19">
        <v>1178889.3699999999</v>
      </c>
      <c r="U151" s="19">
        <v>1181237.6499999999</v>
      </c>
      <c r="V151" s="19">
        <v>1038599.4299999999</v>
      </c>
      <c r="W151" s="19">
        <v>831986.6</v>
      </c>
      <c r="X151" s="19">
        <v>798212</v>
      </c>
      <c r="Y151" s="19">
        <v>820028.2533333333</v>
      </c>
      <c r="Z151" s="19">
        <v>1925957.3055952382</v>
      </c>
      <c r="AA151" s="19">
        <v>72578</v>
      </c>
      <c r="AB151" s="19">
        <v>155140.47666666668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>
        <v>0</v>
      </c>
      <c r="AS151" s="19">
        <v>0</v>
      </c>
      <c r="AT151" s="19">
        <v>0</v>
      </c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>
        <v>0</v>
      </c>
      <c r="BM151" s="19">
        <v>0</v>
      </c>
      <c r="BN151" s="19">
        <v>0</v>
      </c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>
        <v>0</v>
      </c>
      <c r="BW151" s="19">
        <v>0</v>
      </c>
      <c r="BX151" s="19">
        <v>0</v>
      </c>
      <c r="BY151" s="19">
        <v>0</v>
      </c>
      <c r="BZ151" s="19">
        <v>0</v>
      </c>
      <c r="CA151" s="19">
        <v>0</v>
      </c>
      <c r="CB151" s="19">
        <v>0</v>
      </c>
      <c r="CC151" s="19">
        <v>0</v>
      </c>
      <c r="CD151" s="19">
        <v>0</v>
      </c>
      <c r="CE151" s="19">
        <v>0</v>
      </c>
      <c r="CF151" s="19">
        <v>0</v>
      </c>
      <c r="CG151" s="19">
        <v>0</v>
      </c>
      <c r="CH151" s="19">
        <v>0</v>
      </c>
      <c r="CI151" s="19">
        <v>0</v>
      </c>
      <c r="CJ151" s="19">
        <v>0</v>
      </c>
      <c r="CK151" s="19">
        <v>0</v>
      </c>
      <c r="CL151" s="19">
        <v>0</v>
      </c>
      <c r="CM151" s="19">
        <v>0</v>
      </c>
      <c r="CN151" s="19">
        <v>0</v>
      </c>
      <c r="CO151" s="19">
        <v>0</v>
      </c>
      <c r="CP151" s="19">
        <v>0</v>
      </c>
      <c r="CQ151" s="19">
        <v>0</v>
      </c>
      <c r="CR151" s="19">
        <v>0</v>
      </c>
      <c r="CS151" s="19">
        <v>0</v>
      </c>
      <c r="CT151" s="19">
        <v>0</v>
      </c>
      <c r="CU151" s="19">
        <v>0</v>
      </c>
      <c r="CV151" s="19">
        <v>0</v>
      </c>
      <c r="CW151" s="19">
        <v>0</v>
      </c>
      <c r="CX151" s="19">
        <v>0</v>
      </c>
      <c r="CY151" s="19">
        <v>0</v>
      </c>
      <c r="CZ151" s="19">
        <v>0</v>
      </c>
      <c r="DA151" s="19">
        <v>0</v>
      </c>
      <c r="DB151" s="19">
        <v>0</v>
      </c>
      <c r="DC151" s="19">
        <v>0</v>
      </c>
      <c r="DD151" s="19">
        <v>0</v>
      </c>
      <c r="DE151" s="19">
        <v>0</v>
      </c>
      <c r="DF151" s="19">
        <v>0</v>
      </c>
      <c r="DG151" s="19">
        <v>0</v>
      </c>
      <c r="DH151" s="19">
        <v>0</v>
      </c>
      <c r="DI151" s="19">
        <v>0</v>
      </c>
      <c r="DJ151" s="19">
        <v>0</v>
      </c>
      <c r="DK151" s="19">
        <v>0</v>
      </c>
      <c r="DL151" s="19">
        <v>0</v>
      </c>
      <c r="DM151" s="19">
        <v>0</v>
      </c>
      <c r="DN151" s="19">
        <v>0</v>
      </c>
      <c r="DO151" s="19">
        <v>0</v>
      </c>
      <c r="DP151" s="19">
        <v>0</v>
      </c>
      <c r="DQ151" s="19">
        <v>0</v>
      </c>
      <c r="DR151" s="19">
        <v>0</v>
      </c>
      <c r="DS151" s="19">
        <v>0</v>
      </c>
      <c r="DT151" s="19">
        <v>0</v>
      </c>
      <c r="DU151" s="19">
        <v>0</v>
      </c>
      <c r="DV151" s="19">
        <v>0</v>
      </c>
      <c r="DW151" s="19">
        <v>0</v>
      </c>
      <c r="DX151" s="19">
        <v>0</v>
      </c>
      <c r="DY151" s="19">
        <v>0</v>
      </c>
      <c r="DZ151" s="19">
        <v>0</v>
      </c>
      <c r="EA151" s="19">
        <v>0</v>
      </c>
      <c r="EB151" s="19">
        <v>0</v>
      </c>
      <c r="EC151" s="19">
        <v>0</v>
      </c>
      <c r="ED151" s="19">
        <v>0</v>
      </c>
      <c r="EE151" s="222"/>
      <c r="EF151" s="19">
        <f t="shared" si="591"/>
        <v>0</v>
      </c>
      <c r="EG151" s="19">
        <f t="shared" si="592"/>
        <v>0</v>
      </c>
      <c r="EH151" s="19">
        <f t="shared" si="593"/>
        <v>0</v>
      </c>
      <c r="EI151" s="19">
        <f t="shared" si="594"/>
        <v>0</v>
      </c>
      <c r="EJ151" s="19">
        <f t="shared" si="595"/>
        <v>0</v>
      </c>
      <c r="EK151" s="19">
        <f t="shared" si="596"/>
        <v>0</v>
      </c>
      <c r="EL151" s="19">
        <f t="shared" si="597"/>
        <v>0</v>
      </c>
      <c r="EM151" s="19">
        <f t="shared" si="598"/>
        <v>0</v>
      </c>
      <c r="EN151" s="19">
        <f t="shared" si="599"/>
        <v>0</v>
      </c>
      <c r="EO151" s="19">
        <f t="shared" si="600"/>
        <v>0</v>
      </c>
      <c r="EP151" s="19">
        <f t="shared" si="601"/>
        <v>0</v>
      </c>
      <c r="EQ151" s="19">
        <f t="shared" si="602"/>
        <v>0</v>
      </c>
      <c r="ER151" s="19">
        <f t="shared" si="603"/>
        <v>0</v>
      </c>
      <c r="ES151" s="19">
        <f t="shared" si="604"/>
        <v>0</v>
      </c>
      <c r="ET151" s="19">
        <f t="shared" si="605"/>
        <v>0</v>
      </c>
      <c r="EU151" s="19">
        <f t="shared" si="606"/>
        <v>0</v>
      </c>
      <c r="EV151" s="19">
        <f t="shared" si="607"/>
        <v>0</v>
      </c>
      <c r="EW151" s="19">
        <f t="shared" si="608"/>
        <v>0</v>
      </c>
      <c r="EX151" s="19">
        <f t="shared" si="609"/>
        <v>0</v>
      </c>
      <c r="EY151" s="19">
        <f t="shared" si="610"/>
        <v>0</v>
      </c>
      <c r="EZ151" s="19">
        <f t="shared" si="611"/>
        <v>0</v>
      </c>
      <c r="FA151" s="19">
        <f t="shared" si="612"/>
        <v>0</v>
      </c>
      <c r="FB151" s="19">
        <f t="shared" si="613"/>
        <v>0</v>
      </c>
      <c r="FC151" s="19">
        <f t="shared" si="614"/>
        <v>0</v>
      </c>
      <c r="FE151" s="19">
        <f t="shared" si="615"/>
        <v>0</v>
      </c>
      <c r="FF151" s="19">
        <f t="shared" si="616"/>
        <v>0</v>
      </c>
      <c r="FG151" s="19">
        <f t="shared" si="617"/>
        <v>0</v>
      </c>
      <c r="FH151" s="19">
        <f t="shared" si="618"/>
        <v>0</v>
      </c>
      <c r="FI151" s="19">
        <f t="shared" si="619"/>
        <v>0</v>
      </c>
      <c r="FJ151" s="770">
        <f t="shared" si="537"/>
        <v>0</v>
      </c>
      <c r="FK151" s="545" t="s">
        <v>1</v>
      </c>
    </row>
    <row r="152" spans="2:167" x14ac:dyDescent="0.2">
      <c r="B152" s="225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222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/>
      <c r="EQ152" s="19"/>
      <c r="ER152" s="19"/>
      <c r="ES152" s="19"/>
      <c r="ET152" s="19"/>
      <c r="EU152" s="19"/>
      <c r="EV152" s="19"/>
      <c r="EW152" s="19"/>
      <c r="EX152" s="19"/>
      <c r="EY152" s="19"/>
      <c r="EZ152" s="19"/>
      <c r="FA152" s="19"/>
      <c r="FB152" s="19"/>
      <c r="FC152" s="19"/>
      <c r="FE152" s="19"/>
      <c r="FF152" s="19"/>
      <c r="FG152" s="19"/>
      <c r="FH152" s="19"/>
      <c r="FI152" s="19"/>
      <c r="FJ152" s="770"/>
      <c r="FK152" s="545"/>
    </row>
    <row r="153" spans="2:167" x14ac:dyDescent="0.2">
      <c r="B153" s="225" t="s">
        <v>72</v>
      </c>
      <c r="C153" s="19">
        <f>C154+C155+C156</f>
        <v>2280733.7142857136</v>
      </c>
      <c r="D153" s="19">
        <f t="shared" ref="D153:BO153" si="620">D154+D155+D156</f>
        <v>2466759.1428571427</v>
      </c>
      <c r="E153" s="19">
        <f t="shared" si="620"/>
        <v>2479435.4285714286</v>
      </c>
      <c r="F153" s="19">
        <f t="shared" si="620"/>
        <v>2926643.8571428568</v>
      </c>
      <c r="G153" s="19">
        <f t="shared" si="620"/>
        <v>3453845.5714285709</v>
      </c>
      <c r="H153" s="19">
        <f t="shared" si="620"/>
        <v>4002679</v>
      </c>
      <c r="I153" s="19">
        <f t="shared" si="620"/>
        <v>3995472</v>
      </c>
      <c r="J153" s="19">
        <f t="shared" si="620"/>
        <v>4101144.4285714291</v>
      </c>
      <c r="K153" s="19">
        <f t="shared" si="620"/>
        <v>4531097.5714285709</v>
      </c>
      <c r="L153" s="19">
        <f t="shared" si="620"/>
        <v>4729719.4285714291</v>
      </c>
      <c r="M153" s="19">
        <f t="shared" si="620"/>
        <v>5041288</v>
      </c>
      <c r="N153" s="19">
        <f t="shared" si="620"/>
        <v>5671205</v>
      </c>
      <c r="O153" s="19">
        <f t="shared" si="620"/>
        <v>5585136.7142857146</v>
      </c>
      <c r="P153" s="19">
        <f t="shared" si="620"/>
        <v>5506682.8571428582</v>
      </c>
      <c r="Q153" s="19">
        <f t="shared" si="620"/>
        <v>5704585.8571428582</v>
      </c>
      <c r="R153" s="19">
        <f t="shared" si="620"/>
        <v>5590622</v>
      </c>
      <c r="S153" s="19">
        <f t="shared" si="620"/>
        <v>5340647</v>
      </c>
      <c r="T153" s="19">
        <f t="shared" si="620"/>
        <v>5250122</v>
      </c>
      <c r="U153" s="19">
        <f t="shared" si="620"/>
        <v>5254017</v>
      </c>
      <c r="V153" s="19">
        <f t="shared" si="620"/>
        <v>5239183</v>
      </c>
      <c r="W153" s="19">
        <f t="shared" si="620"/>
        <v>4959076.75</v>
      </c>
      <c r="X153" s="19">
        <f t="shared" si="620"/>
        <v>5844528</v>
      </c>
      <c r="Y153" s="19">
        <f t="shared" si="620"/>
        <v>4967240.0833333321</v>
      </c>
      <c r="Z153" s="19">
        <f t="shared" si="620"/>
        <v>4725321.1422619047</v>
      </c>
      <c r="AA153" s="19">
        <f t="shared" si="620"/>
        <v>4650382.9070238099</v>
      </c>
      <c r="AB153" s="19">
        <f t="shared" si="620"/>
        <v>4703261.8595238086</v>
      </c>
      <c r="AC153" s="19">
        <f t="shared" si="620"/>
        <v>5884571.7857691692</v>
      </c>
      <c r="AD153" s="19">
        <f t="shared" si="620"/>
        <v>5324190.4990119059</v>
      </c>
      <c r="AE153" s="19">
        <f t="shared" si="620"/>
        <v>5925094.8842887413</v>
      </c>
      <c r="AF153" s="19">
        <f t="shared" si="620"/>
        <v>5500220.6802690681</v>
      </c>
      <c r="AG153" s="19">
        <f t="shared" si="620"/>
        <v>6124537.2982676551</v>
      </c>
      <c r="AH153" s="19">
        <f t="shared" si="620"/>
        <v>6227420.8859336153</v>
      </c>
      <c r="AI153" s="19">
        <f t="shared" si="620"/>
        <v>6387580.9414406782</v>
      </c>
      <c r="AJ153" s="19">
        <f t="shared" si="620"/>
        <v>7929383.329381356</v>
      </c>
      <c r="AK153" s="19">
        <f t="shared" si="620"/>
        <v>7347089.8003205154</v>
      </c>
      <c r="AL153" s="19">
        <f t="shared" si="620"/>
        <v>8503837.2367073558</v>
      </c>
      <c r="AM153" s="19">
        <f t="shared" si="620"/>
        <v>8484015.394374799</v>
      </c>
      <c r="AN153" s="19">
        <f t="shared" si="620"/>
        <v>8077535.3736858983</v>
      </c>
      <c r="AO153" s="19">
        <f t="shared" si="620"/>
        <v>7968516.3326737285</v>
      </c>
      <c r="AP153" s="19">
        <f t="shared" si="620"/>
        <v>10019684.952955516</v>
      </c>
      <c r="AQ153" s="19">
        <f t="shared" si="620"/>
        <v>11916794.251233051</v>
      </c>
      <c r="AR153" s="19">
        <f t="shared" si="620"/>
        <v>12876872.290058075</v>
      </c>
      <c r="AS153" s="19">
        <f t="shared" si="620"/>
        <v>15028442.217586374</v>
      </c>
      <c r="AT153" s="19">
        <f t="shared" si="620"/>
        <v>15926498.862118755</v>
      </c>
      <c r="AU153" s="19">
        <f t="shared" si="620"/>
        <v>18114885.437465992</v>
      </c>
      <c r="AV153" s="19">
        <f t="shared" si="620"/>
        <v>19682096.582789209</v>
      </c>
      <c r="AW153" s="19">
        <f t="shared" si="620"/>
        <v>21179462.015298389</v>
      </c>
      <c r="AX153" s="19">
        <f t="shared" si="620"/>
        <v>25354621.895759534</v>
      </c>
      <c r="AY153" s="19">
        <f t="shared" si="620"/>
        <v>26363204.778222676</v>
      </c>
      <c r="AZ153" s="19">
        <f t="shared" si="620"/>
        <v>25364630.965878956</v>
      </c>
      <c r="BA153" s="19">
        <f t="shared" si="620"/>
        <v>26910706.065472618</v>
      </c>
      <c r="BB153" s="19">
        <f t="shared" si="620"/>
        <v>27517751.789295226</v>
      </c>
      <c r="BC153" s="19">
        <f t="shared" si="620"/>
        <v>29164333.521082141</v>
      </c>
      <c r="BD153" s="19">
        <f t="shared" si="620"/>
        <v>30702443.1113429</v>
      </c>
      <c r="BE153" s="19">
        <f t="shared" si="620"/>
        <v>31065271.968299929</v>
      </c>
      <c r="BF153" s="19">
        <f t="shared" si="620"/>
        <v>30803084.563757058</v>
      </c>
      <c r="BG153" s="19">
        <f t="shared" si="620"/>
        <v>30942595.268048182</v>
      </c>
      <c r="BH153" s="19">
        <f t="shared" si="620"/>
        <v>33985791.149658859</v>
      </c>
      <c r="BI153" s="19">
        <f t="shared" si="620"/>
        <v>33170628.44768253</v>
      </c>
      <c r="BJ153" s="19">
        <f t="shared" si="620"/>
        <v>32165983.075296827</v>
      </c>
      <c r="BK153" s="19">
        <f t="shared" si="620"/>
        <v>38739541.925374895</v>
      </c>
      <c r="BL153" s="19">
        <f t="shared" si="620"/>
        <v>38670857.844074309</v>
      </c>
      <c r="BM153" s="19">
        <f t="shared" si="620"/>
        <v>37919612.462771274</v>
      </c>
      <c r="BN153" s="19">
        <f t="shared" si="620"/>
        <v>37954237.447264113</v>
      </c>
      <c r="BO153" s="19">
        <f t="shared" si="620"/>
        <v>36740140.247088537</v>
      </c>
      <c r="BP153" s="19">
        <f t="shared" ref="BP153:DR153" si="621">BP154+BP155+BP156</f>
        <v>35516589.511141986</v>
      </c>
      <c r="BQ153" s="19">
        <f t="shared" si="621"/>
        <v>37823441.811699279</v>
      </c>
      <c r="BR153" s="19">
        <f t="shared" si="621"/>
        <v>36559879.359603204</v>
      </c>
      <c r="BS153" s="19">
        <f t="shared" si="621"/>
        <v>35481633.269758239</v>
      </c>
      <c r="BT153" s="19">
        <f t="shared" si="621"/>
        <v>31469165.179429587</v>
      </c>
      <c r="BU153" s="19">
        <f t="shared" si="621"/>
        <v>30649403.257179365</v>
      </c>
      <c r="BV153" s="19">
        <f t="shared" si="621"/>
        <v>31427760.144072134</v>
      </c>
      <c r="BW153" s="19">
        <f t="shared" si="621"/>
        <v>35625729.794776186</v>
      </c>
      <c r="BX153" s="19">
        <f t="shared" si="621"/>
        <v>36700522.607567139</v>
      </c>
      <c r="BY153" s="19">
        <f t="shared" si="621"/>
        <v>36307948.26499135</v>
      </c>
      <c r="BZ153" s="19">
        <f t="shared" si="621"/>
        <v>37098747.411525421</v>
      </c>
      <c r="CA153" s="19">
        <f t="shared" si="621"/>
        <v>35857303.589323126</v>
      </c>
      <c r="CB153" s="19">
        <f t="shared" si="621"/>
        <v>34286214.196456984</v>
      </c>
      <c r="CC153" s="19">
        <f t="shared" si="621"/>
        <v>33737776.315227151</v>
      </c>
      <c r="CD153" s="19">
        <f t="shared" si="621"/>
        <v>34050995.820851766</v>
      </c>
      <c r="CE153" s="19">
        <f t="shared" si="621"/>
        <v>34647812.021576725</v>
      </c>
      <c r="CF153" s="19">
        <f t="shared" si="621"/>
        <v>35407047.021019369</v>
      </c>
      <c r="CG153" s="19">
        <f t="shared" si="621"/>
        <v>36092027.667824805</v>
      </c>
      <c r="CH153" s="19">
        <f t="shared" si="621"/>
        <v>42363676.728993222</v>
      </c>
      <c r="CI153" s="19">
        <f t="shared" si="621"/>
        <v>45375933.03856153</v>
      </c>
      <c r="CJ153" s="19">
        <f t="shared" si="621"/>
        <v>44603290.991461277</v>
      </c>
      <c r="CK153" s="19">
        <f t="shared" si="621"/>
        <v>44591224.372905247</v>
      </c>
      <c r="CL153" s="19">
        <f t="shared" si="621"/>
        <v>46863276.161710784</v>
      </c>
      <c r="CM153" s="19">
        <f t="shared" si="621"/>
        <v>47034024.797807969</v>
      </c>
      <c r="CN153" s="19">
        <f t="shared" si="621"/>
        <v>46980187.105446585</v>
      </c>
      <c r="CO153" s="19">
        <f t="shared" si="621"/>
        <v>49933008.65953286</v>
      </c>
      <c r="CP153" s="19">
        <f t="shared" si="621"/>
        <v>50771294.817847617</v>
      </c>
      <c r="CQ153" s="19">
        <f t="shared" si="621"/>
        <v>51225119.606084138</v>
      </c>
      <c r="CR153" s="19">
        <f t="shared" si="621"/>
        <v>57669098.440706223</v>
      </c>
      <c r="CS153" s="19">
        <f t="shared" si="621"/>
        <v>58803294.597748488</v>
      </c>
      <c r="CT153" s="19">
        <f t="shared" si="621"/>
        <v>57434351.021851368</v>
      </c>
      <c r="CU153" s="19">
        <f t="shared" si="621"/>
        <v>60388370.559103087</v>
      </c>
      <c r="CV153" s="19">
        <f t="shared" si="621"/>
        <v>60388370.559103087</v>
      </c>
      <c r="CW153" s="19">
        <f t="shared" si="621"/>
        <v>60388370.559103087</v>
      </c>
      <c r="CX153" s="19">
        <f t="shared" si="621"/>
        <v>60388370.559103087</v>
      </c>
      <c r="CY153" s="19">
        <f t="shared" si="621"/>
        <v>60388370.559103087</v>
      </c>
      <c r="CZ153" s="19">
        <f t="shared" si="621"/>
        <v>60388370.559103087</v>
      </c>
      <c r="DA153" s="19">
        <f t="shared" si="621"/>
        <v>60388370.559103087</v>
      </c>
      <c r="DB153" s="19">
        <f t="shared" si="621"/>
        <v>60388370.559103087</v>
      </c>
      <c r="DC153" s="19">
        <f t="shared" si="621"/>
        <v>60388370.559103087</v>
      </c>
      <c r="DD153" s="19">
        <f t="shared" si="621"/>
        <v>60388370.559103087</v>
      </c>
      <c r="DE153" s="19">
        <f t="shared" si="621"/>
        <v>60388370.559103087</v>
      </c>
      <c r="DF153" s="19">
        <f t="shared" si="621"/>
        <v>60388370.559103087</v>
      </c>
      <c r="DG153" s="19">
        <f t="shared" si="621"/>
        <v>68283064.708052427</v>
      </c>
      <c r="DH153" s="19">
        <f t="shared" si="621"/>
        <v>68283064.708052427</v>
      </c>
      <c r="DI153" s="19">
        <f t="shared" si="621"/>
        <v>68283064.708052427</v>
      </c>
      <c r="DJ153" s="19">
        <f t="shared" si="621"/>
        <v>68283064.708052427</v>
      </c>
      <c r="DK153" s="19">
        <f t="shared" si="621"/>
        <v>68283064.708052427</v>
      </c>
      <c r="DL153" s="19">
        <f t="shared" si="621"/>
        <v>68283064.708052427</v>
      </c>
      <c r="DM153" s="19">
        <f t="shared" si="621"/>
        <v>68283064.708052427</v>
      </c>
      <c r="DN153" s="19">
        <f t="shared" si="621"/>
        <v>68283064.708052427</v>
      </c>
      <c r="DO153" s="19">
        <f t="shared" si="621"/>
        <v>68283064.708052427</v>
      </c>
      <c r="DP153" s="19">
        <f t="shared" si="621"/>
        <v>68283064.708052427</v>
      </c>
      <c r="DQ153" s="19">
        <f t="shared" si="621"/>
        <v>68283064.708052427</v>
      </c>
      <c r="DR153" s="19">
        <f t="shared" si="621"/>
        <v>68283064.708052427</v>
      </c>
      <c r="DS153" s="19">
        <f t="shared" ref="DS153:ED153" si="622">DS154+DS155+DS156</f>
        <v>77225780.497662455</v>
      </c>
      <c r="DT153" s="19">
        <f t="shared" si="622"/>
        <v>77225780.497662455</v>
      </c>
      <c r="DU153" s="19">
        <f t="shared" si="622"/>
        <v>77225780.497662455</v>
      </c>
      <c r="DV153" s="19">
        <f t="shared" si="622"/>
        <v>77225780.497662455</v>
      </c>
      <c r="DW153" s="19">
        <f t="shared" si="622"/>
        <v>77225780.497662455</v>
      </c>
      <c r="DX153" s="19">
        <f t="shared" si="622"/>
        <v>77225780.497662455</v>
      </c>
      <c r="DY153" s="19">
        <f t="shared" si="622"/>
        <v>77225780.497662455</v>
      </c>
      <c r="DZ153" s="19">
        <f t="shared" si="622"/>
        <v>77225780.497662455</v>
      </c>
      <c r="EA153" s="19">
        <f t="shared" si="622"/>
        <v>77225780.497662455</v>
      </c>
      <c r="EB153" s="19">
        <f t="shared" si="622"/>
        <v>77225780.497662455</v>
      </c>
      <c r="EC153" s="19">
        <f t="shared" si="622"/>
        <v>77225780.497662455</v>
      </c>
      <c r="ED153" s="19">
        <f t="shared" si="622"/>
        <v>77225780.497662455</v>
      </c>
      <c r="EE153" s="222"/>
      <c r="EF153" s="19">
        <f t="shared" ref="EF153:EF163" si="623">SUM(BK153:BM153)</f>
        <v>115330012.23222047</v>
      </c>
      <c r="EG153" s="19">
        <f t="shared" ref="EG153:EG163" si="624">SUM(BN153:BP153)</f>
        <v>110210967.20549464</v>
      </c>
      <c r="EH153" s="19">
        <f t="shared" ref="EH153:EH163" si="625">SUM(BQ153:BS153)</f>
        <v>109864954.44106072</v>
      </c>
      <c r="EI153" s="19">
        <f t="shared" ref="EI153:EI163" si="626">SUM(BT153:BV153)</f>
        <v>93546328.580681086</v>
      </c>
      <c r="EJ153" s="19">
        <f t="shared" ref="EJ153:EJ163" si="627">SUM(BW153:BY153)</f>
        <v>108634200.66733468</v>
      </c>
      <c r="EK153" s="19">
        <f t="shared" ref="EK153:EK163" si="628">SUM(BZ153:CB153)</f>
        <v>107242265.19730553</v>
      </c>
      <c r="EL153" s="19">
        <f t="shared" ref="EL153:EL163" si="629">SUM(CC153:CE153)</f>
        <v>102436584.15765566</v>
      </c>
      <c r="EM153" s="19">
        <f t="shared" ref="EM153:EM163" si="630">SUM(CF153:CH153)</f>
        <v>113862751.4178374</v>
      </c>
      <c r="EN153" s="19">
        <f t="shared" ref="EN153:EN163" si="631">SUM(CI153:CK153)</f>
        <v>134570448.40292805</v>
      </c>
      <c r="EO153" s="19">
        <f t="shared" ref="EO153:EO163" si="632">SUM(CL153:CN153)</f>
        <v>140877488.06496534</v>
      </c>
      <c r="EP153" s="19">
        <f t="shared" ref="EP153:EP163" si="633">SUM(CO153:CQ153)</f>
        <v>151929423.08346462</v>
      </c>
      <c r="EQ153" s="19">
        <f t="shared" ref="EQ153:EQ163" si="634">SUM(CR153:CT153)</f>
        <v>173906744.06030607</v>
      </c>
      <c r="ER153" s="19">
        <f t="shared" ref="ER153:ER163" si="635">SUM(CU153:CW153)</f>
        <v>181165111.67730927</v>
      </c>
      <c r="ES153" s="19">
        <f t="shared" ref="ES153:ES163" si="636">SUM(CX153:CZ153)</f>
        <v>181165111.67730927</v>
      </c>
      <c r="ET153" s="19">
        <f t="shared" ref="ET153:ET163" si="637">SUM(DA153:DC153)</f>
        <v>181165111.67730927</v>
      </c>
      <c r="EU153" s="19">
        <f t="shared" ref="EU153:EU163" si="638">SUM(DD153:DF153)</f>
        <v>181165111.67730927</v>
      </c>
      <c r="EV153" s="19">
        <f t="shared" ref="EV153:EV163" si="639">SUM(DG153:DI153)</f>
        <v>204849194.12415728</v>
      </c>
      <c r="EW153" s="19">
        <f t="shared" ref="EW153:EW163" si="640">SUM(DJ153:DL153)</f>
        <v>204849194.12415728</v>
      </c>
      <c r="EX153" s="19">
        <f t="shared" ref="EX153:EX163" si="641">SUM(DM153:DO153)</f>
        <v>204849194.12415728</v>
      </c>
      <c r="EY153" s="19">
        <f t="shared" ref="EY153:EY163" si="642">SUM(DP153:DR153)</f>
        <v>204849194.12415728</v>
      </c>
      <c r="EZ153" s="19">
        <f t="shared" si="611"/>
        <v>231677341.49298736</v>
      </c>
      <c r="FA153" s="19">
        <f t="shared" si="612"/>
        <v>231677341.49298736</v>
      </c>
      <c r="FB153" s="19">
        <f t="shared" si="613"/>
        <v>231677341.49298736</v>
      </c>
      <c r="FC153" s="19">
        <f t="shared" si="614"/>
        <v>231677341.49298736</v>
      </c>
      <c r="FE153" s="19">
        <f t="shared" si="615"/>
        <v>428952262.45945692</v>
      </c>
      <c r="FF153" s="19">
        <f t="shared" si="616"/>
        <v>432175801.44013321</v>
      </c>
      <c r="FG153" s="19">
        <f t="shared" si="617"/>
        <v>601284103.61166406</v>
      </c>
      <c r="FH153" s="19">
        <f t="shared" si="618"/>
        <v>724660446.7092371</v>
      </c>
      <c r="FI153" s="19">
        <f t="shared" si="619"/>
        <v>819396776.49662912</v>
      </c>
      <c r="FJ153" s="770">
        <f t="shared" si="537"/>
        <v>926709365.97194946</v>
      </c>
      <c r="FK153" s="545" t="s">
        <v>1</v>
      </c>
    </row>
    <row r="154" spans="2:167" x14ac:dyDescent="0.2">
      <c r="B154" s="300" t="s">
        <v>273</v>
      </c>
      <c r="C154" s="19">
        <v>2059438.1428571427</v>
      </c>
      <c r="D154" s="19">
        <v>2228302.1428571427</v>
      </c>
      <c r="E154" s="19">
        <v>2264085.4285714286</v>
      </c>
      <c r="F154" s="19">
        <v>2713369.8571428568</v>
      </c>
      <c r="G154" s="19">
        <v>3193554.8571428568</v>
      </c>
      <c r="H154" s="19">
        <v>3623222.2857142854</v>
      </c>
      <c r="I154" s="19">
        <v>3690475.1428571427</v>
      </c>
      <c r="J154" s="19">
        <v>3753981.7142857146</v>
      </c>
      <c r="K154" s="19">
        <v>4125459.7142857141</v>
      </c>
      <c r="L154" s="19">
        <v>4312233.5714285718</v>
      </c>
      <c r="M154" s="19">
        <v>4479707.1428571427</v>
      </c>
      <c r="N154" s="19">
        <v>5076843.1428571427</v>
      </c>
      <c r="O154" s="19">
        <v>4912901.5714285718</v>
      </c>
      <c r="P154" s="19">
        <v>4811214.2857142864</v>
      </c>
      <c r="Q154" s="19">
        <v>4968269.1428571437</v>
      </c>
      <c r="R154" s="19">
        <v>4885477</v>
      </c>
      <c r="S154" s="19">
        <v>4740655</v>
      </c>
      <c r="T154" s="19">
        <v>4608430</v>
      </c>
      <c r="U154" s="19">
        <v>4675466</v>
      </c>
      <c r="V154" s="19">
        <v>4356645</v>
      </c>
      <c r="W154" s="19">
        <v>4189268.75</v>
      </c>
      <c r="X154" s="19">
        <v>5060878</v>
      </c>
      <c r="Y154" s="19">
        <v>4223946.9499999993</v>
      </c>
      <c r="Z154" s="19">
        <v>3996792.0089285714</v>
      </c>
      <c r="AA154" s="19">
        <v>3916964.0220238096</v>
      </c>
      <c r="AB154" s="19">
        <v>3699776.711666666</v>
      </c>
      <c r="AC154" s="19">
        <v>4721894.3263644073</v>
      </c>
      <c r="AD154" s="19">
        <v>4273581.539607144</v>
      </c>
      <c r="AE154" s="19">
        <v>4774228.0723839793</v>
      </c>
      <c r="AF154" s="19">
        <v>4579415.1802690681</v>
      </c>
      <c r="AG154" s="19">
        <v>5189085.7982676551</v>
      </c>
      <c r="AH154" s="19">
        <v>5227798.3859336153</v>
      </c>
      <c r="AI154" s="19">
        <v>5328854.4414406782</v>
      </c>
      <c r="AJ154" s="19">
        <v>6654160.829381356</v>
      </c>
      <c r="AK154" s="19">
        <v>6202494.6464743614</v>
      </c>
      <c r="AL154" s="19">
        <v>7467985.8596560741</v>
      </c>
      <c r="AM154" s="19">
        <v>7452148.6842617299</v>
      </c>
      <c r="AN154" s="19">
        <v>6939722.3007371798</v>
      </c>
      <c r="AO154" s="19">
        <v>6817128.4599301387</v>
      </c>
      <c r="AP154" s="19">
        <v>7938104.9596862849</v>
      </c>
      <c r="AQ154" s="19">
        <v>9213433.9794381782</v>
      </c>
      <c r="AR154" s="19">
        <v>9864102.1113401242</v>
      </c>
      <c r="AS154" s="19">
        <v>11408129.802522272</v>
      </c>
      <c r="AT154" s="19">
        <v>11748971.388336703</v>
      </c>
      <c r="AU154" s="19">
        <v>13296044.81464548</v>
      </c>
      <c r="AV154" s="19">
        <v>13776596.691763571</v>
      </c>
      <c r="AW154" s="19">
        <v>14964560.261193883</v>
      </c>
      <c r="AX154" s="19">
        <v>17622478.947312199</v>
      </c>
      <c r="AY154" s="19">
        <v>19999873.107902162</v>
      </c>
      <c r="AZ154" s="19">
        <v>18530641.18594306</v>
      </c>
      <c r="BA154" s="19">
        <v>20824569.212780312</v>
      </c>
      <c r="BB154" s="19">
        <v>21474120.106025994</v>
      </c>
      <c r="BC154" s="19">
        <v>22801135.839992397</v>
      </c>
      <c r="BD154" s="19">
        <v>23161966.598714698</v>
      </c>
      <c r="BE154" s="19">
        <v>23487383.2858661</v>
      </c>
      <c r="BF154" s="19">
        <v>23332137.236833982</v>
      </c>
      <c r="BG154" s="19">
        <v>24271513.63179715</v>
      </c>
      <c r="BH154" s="19">
        <v>26502587.876646034</v>
      </c>
      <c r="BI154" s="19">
        <v>26448324.722169708</v>
      </c>
      <c r="BJ154" s="19">
        <v>24481232.909041654</v>
      </c>
      <c r="BK154" s="19">
        <v>25944165.414204247</v>
      </c>
      <c r="BL154" s="19">
        <v>25356869.841148645</v>
      </c>
      <c r="BM154" s="19">
        <v>24898601.503026135</v>
      </c>
      <c r="BN154" s="19">
        <v>24720769.674363472</v>
      </c>
      <c r="BO154" s="19">
        <v>24024069.536848158</v>
      </c>
      <c r="BP154" s="19">
        <v>23670953.203651607</v>
      </c>
      <c r="BQ154" s="19">
        <v>26356853.577676844</v>
      </c>
      <c r="BR154" s="19">
        <v>24320392.472001188</v>
      </c>
      <c r="BS154" s="19">
        <v>23222028.1297778</v>
      </c>
      <c r="BT154" s="19">
        <v>20250295.851380534</v>
      </c>
      <c r="BU154" s="19">
        <v>19731892.1348821</v>
      </c>
      <c r="BV154" s="19">
        <v>20030063.561801061</v>
      </c>
      <c r="BW154" s="19">
        <v>23233245.457425147</v>
      </c>
      <c r="BX154" s="19">
        <v>23613632.414546173</v>
      </c>
      <c r="BY154" s="19">
        <v>23079947.028582387</v>
      </c>
      <c r="BZ154" s="19">
        <v>23257475.32801456</v>
      </c>
      <c r="CA154" s="19">
        <v>22730183.675322093</v>
      </c>
      <c r="CB154" s="19">
        <v>21684123.664084591</v>
      </c>
      <c r="CC154" s="19">
        <v>25007913.712660987</v>
      </c>
      <c r="CD154" s="19">
        <v>25339317.220146637</v>
      </c>
      <c r="CE154" s="19">
        <v>25851284.255662747</v>
      </c>
      <c r="CF154" s="19">
        <v>26025500.961515643</v>
      </c>
      <c r="CG154" s="19">
        <v>26647970.258529935</v>
      </c>
      <c r="CH154" s="19">
        <v>30758858.782847647</v>
      </c>
      <c r="CI154" s="19">
        <v>30820322.81920898</v>
      </c>
      <c r="CJ154" s="19">
        <v>30140601.981551029</v>
      </c>
      <c r="CK154" s="19">
        <v>30188539.654841162</v>
      </c>
      <c r="CL154" s="19">
        <v>32018197.875144828</v>
      </c>
      <c r="CM154" s="19">
        <v>31992100.000159495</v>
      </c>
      <c r="CN154" s="19">
        <v>31385384.406497829</v>
      </c>
      <c r="CO154" s="19">
        <v>34624020.841970004</v>
      </c>
      <c r="CP154" s="19">
        <v>34189363.79767777</v>
      </c>
      <c r="CQ154" s="19">
        <v>34251045.080727912</v>
      </c>
      <c r="CR154" s="19">
        <v>39530578.992978655</v>
      </c>
      <c r="CS154" s="19">
        <v>39752529.385355547</v>
      </c>
      <c r="CT154" s="19">
        <v>38499126.526043028</v>
      </c>
      <c r="CU154" s="19">
        <f>'B2B- Non Repair'!CU86+'D2C - Retail'!BU146+'D2C Online'!CL136</f>
        <v>35689789.049042806</v>
      </c>
      <c r="CV154" s="19">
        <f>'B2B- Non Repair'!CV86+'D2C - Retail'!BV146+'D2C Online'!CM136</f>
        <v>35689789.049042806</v>
      </c>
      <c r="CW154" s="19">
        <f>'B2B- Non Repair'!CW86+'D2C - Retail'!BW146+'D2C Online'!CN136</f>
        <v>35689789.049042806</v>
      </c>
      <c r="CX154" s="19">
        <f>'B2B- Non Repair'!CX86+'D2C - Retail'!BX146+'D2C Online'!CO136</f>
        <v>35689789.049042806</v>
      </c>
      <c r="CY154" s="19">
        <f>'B2B- Non Repair'!CY86+'D2C - Retail'!BY146+'D2C Online'!CP136</f>
        <v>35689789.049042806</v>
      </c>
      <c r="CZ154" s="19">
        <f>'B2B- Non Repair'!CZ86+'D2C - Retail'!BZ146+'D2C Online'!CQ136</f>
        <v>35689789.049042806</v>
      </c>
      <c r="DA154" s="19">
        <f>'B2B- Non Repair'!DA86+'D2C - Retail'!CA146+'D2C Online'!CR136</f>
        <v>35689789.049042806</v>
      </c>
      <c r="DB154" s="19">
        <f>'B2B- Non Repair'!DB86+'D2C - Retail'!CB146+'D2C Online'!CS136</f>
        <v>35689789.049042806</v>
      </c>
      <c r="DC154" s="19">
        <f>'B2B- Non Repair'!DC86+'D2C - Retail'!CC146+'D2C Online'!CT136</f>
        <v>35689789.049042806</v>
      </c>
      <c r="DD154" s="19">
        <f>'B2B- Non Repair'!DD86+'D2C - Retail'!CD146+'D2C Online'!CU136</f>
        <v>35689789.049042806</v>
      </c>
      <c r="DE154" s="19">
        <f>'B2B- Non Repair'!DE86+'D2C - Retail'!CE146+'D2C Online'!CV136</f>
        <v>35689789.049042806</v>
      </c>
      <c r="DF154" s="19">
        <f>'B2B- Non Repair'!DF86+'D2C - Retail'!CF146+'D2C Online'!CW136</f>
        <v>35689789.049042806</v>
      </c>
      <c r="DG154" s="19">
        <f>'B2B- Non Repair'!DG86+'D2C - Retail'!CG146+'D2C Online'!CX136</f>
        <v>40472220.781614542</v>
      </c>
      <c r="DH154" s="19">
        <f>'B2B- Non Repair'!DH86+'D2C - Retail'!CH146+'D2C Online'!CY136</f>
        <v>40472220.781614542</v>
      </c>
      <c r="DI154" s="19">
        <f>'B2B- Non Repair'!DI86+'D2C - Retail'!CI146+'D2C Online'!CZ136</f>
        <v>40472220.781614542</v>
      </c>
      <c r="DJ154" s="19">
        <f>'B2B- Non Repair'!DJ86+'D2C - Retail'!CJ146+'D2C Online'!DA136</f>
        <v>40472220.781614542</v>
      </c>
      <c r="DK154" s="19">
        <f>'B2B- Non Repair'!DK86+'D2C - Retail'!CK146+'D2C Online'!DB136</f>
        <v>40472220.781614542</v>
      </c>
      <c r="DL154" s="19">
        <f>'B2B- Non Repair'!DL86+'D2C - Retail'!CL146+'D2C Online'!DC136</f>
        <v>40472220.781614542</v>
      </c>
      <c r="DM154" s="19">
        <f>'B2B- Non Repair'!DM86+'D2C - Retail'!CM146+'D2C Online'!DD136</f>
        <v>40472220.781614542</v>
      </c>
      <c r="DN154" s="19">
        <f>'B2B- Non Repair'!DN86+'D2C - Retail'!CN146+'D2C Online'!DE136</f>
        <v>40472220.781614542</v>
      </c>
      <c r="DO154" s="19">
        <f>'B2B- Non Repair'!DO86+'D2C - Retail'!CO146+'D2C Online'!DF136</f>
        <v>40472220.781614542</v>
      </c>
      <c r="DP154" s="19">
        <f>'B2B- Non Repair'!DP86+'D2C - Retail'!CP146+'D2C Online'!DG136</f>
        <v>40472220.781614542</v>
      </c>
      <c r="DQ154" s="19">
        <f>'B2B- Non Repair'!DQ86+'D2C - Retail'!CQ146+'D2C Online'!DH136</f>
        <v>40472220.781614542</v>
      </c>
      <c r="DR154" s="19">
        <f>'B2B- Non Repair'!DR86+'D2C - Retail'!CR146+'D2C Online'!DI136</f>
        <v>40472220.781614542</v>
      </c>
      <c r="DS154" s="19">
        <f>'B2B- Non Repair'!DS86+'D2C - Retail'!CS146+'D2C Online'!DJ136</f>
        <v>45895498.366350904</v>
      </c>
      <c r="DT154" s="19">
        <f>'B2B- Non Repair'!DT86+'D2C - Retail'!CT146+'D2C Online'!DK136</f>
        <v>45895498.366350904</v>
      </c>
      <c r="DU154" s="19">
        <f>'B2B- Non Repair'!DU86+'D2C - Retail'!CU146+'D2C Online'!DL136</f>
        <v>45895498.366350904</v>
      </c>
      <c r="DV154" s="19">
        <f>'B2B- Non Repair'!DV86+'D2C - Retail'!CV146+'D2C Online'!DM136</f>
        <v>45895498.366350904</v>
      </c>
      <c r="DW154" s="19">
        <f>'B2B- Non Repair'!DW86+'D2C - Retail'!CW146+'D2C Online'!DN136</f>
        <v>45895498.366350904</v>
      </c>
      <c r="DX154" s="19">
        <f>'B2B- Non Repair'!DX86+'D2C - Retail'!CX146+'D2C Online'!DO136</f>
        <v>45895498.366350904</v>
      </c>
      <c r="DY154" s="19">
        <f>'B2B- Non Repair'!DY86+'D2C - Retail'!CY146+'D2C Online'!DP136</f>
        <v>45895498.366350904</v>
      </c>
      <c r="DZ154" s="19">
        <f>'B2B- Non Repair'!DZ86+'D2C - Retail'!CZ146+'D2C Online'!DQ136</f>
        <v>45895498.366350904</v>
      </c>
      <c r="EA154" s="19">
        <f>'B2B- Non Repair'!EA86+'D2C - Retail'!DA146+'D2C Online'!DR136</f>
        <v>45895498.366350904</v>
      </c>
      <c r="EB154" s="19">
        <f>'B2B- Non Repair'!EB86+'D2C - Retail'!DB146+'D2C Online'!DS136</f>
        <v>45895498.366350904</v>
      </c>
      <c r="EC154" s="19">
        <f>'B2B- Non Repair'!EC86+'D2C - Retail'!DC146+'D2C Online'!DT136</f>
        <v>45895498.366350904</v>
      </c>
      <c r="ED154" s="19">
        <f>'B2B- Non Repair'!ED86+'D2C - Retail'!DD146+'D2C Online'!DU136</f>
        <v>45895498.366350904</v>
      </c>
      <c r="EE154" s="222"/>
      <c r="EF154" s="19">
        <f t="shared" si="623"/>
        <v>76199636.758379027</v>
      </c>
      <c r="EG154" s="19">
        <f t="shared" si="624"/>
        <v>72415792.414863229</v>
      </c>
      <c r="EH154" s="19">
        <f t="shared" si="625"/>
        <v>73899274.179455832</v>
      </c>
      <c r="EI154" s="19">
        <f t="shared" si="626"/>
        <v>60012251.548063695</v>
      </c>
      <c r="EJ154" s="19">
        <f t="shared" si="627"/>
        <v>69926824.900553703</v>
      </c>
      <c r="EK154" s="19">
        <f t="shared" si="628"/>
        <v>67671782.667421252</v>
      </c>
      <c r="EL154" s="19">
        <f t="shared" si="629"/>
        <v>76198515.188470364</v>
      </c>
      <c r="EM154" s="19">
        <f t="shared" si="630"/>
        <v>83432330.002893224</v>
      </c>
      <c r="EN154" s="19">
        <f t="shared" si="631"/>
        <v>91149464.455601171</v>
      </c>
      <c r="EO154" s="19">
        <f t="shared" si="632"/>
        <v>95395682.281802148</v>
      </c>
      <c r="EP154" s="19">
        <f t="shared" si="633"/>
        <v>103064429.72037569</v>
      </c>
      <c r="EQ154" s="19">
        <f t="shared" si="634"/>
        <v>117782234.90437722</v>
      </c>
      <c r="ER154" s="19">
        <f t="shared" si="635"/>
        <v>107069367.14712842</v>
      </c>
      <c r="ES154" s="19">
        <f t="shared" si="636"/>
        <v>107069367.14712842</v>
      </c>
      <c r="ET154" s="19">
        <f t="shared" si="637"/>
        <v>107069367.14712842</v>
      </c>
      <c r="EU154" s="19">
        <f t="shared" si="638"/>
        <v>107069367.14712842</v>
      </c>
      <c r="EV154" s="19">
        <f t="shared" si="639"/>
        <v>121416662.34484363</v>
      </c>
      <c r="EW154" s="19">
        <f t="shared" si="640"/>
        <v>121416662.34484363</v>
      </c>
      <c r="EX154" s="19">
        <f t="shared" si="641"/>
        <v>121416662.34484363</v>
      </c>
      <c r="EY154" s="19">
        <f t="shared" si="642"/>
        <v>121416662.34484363</v>
      </c>
      <c r="EZ154" s="19">
        <f t="shared" si="611"/>
        <v>137686495.09905273</v>
      </c>
      <c r="FA154" s="19">
        <f t="shared" si="612"/>
        <v>137686495.09905273</v>
      </c>
      <c r="FB154" s="19">
        <f t="shared" si="613"/>
        <v>137686495.09905273</v>
      </c>
      <c r="FC154" s="19">
        <f t="shared" si="614"/>
        <v>137686495.09905273</v>
      </c>
      <c r="FE154" s="19">
        <f t="shared" si="615"/>
        <v>282526954.90076178</v>
      </c>
      <c r="FF154" s="19">
        <f t="shared" si="616"/>
        <v>297229452.75933856</v>
      </c>
      <c r="FG154" s="19">
        <f t="shared" si="617"/>
        <v>407391811.36215627</v>
      </c>
      <c r="FH154" s="19">
        <f t="shared" si="618"/>
        <v>428277468.58851367</v>
      </c>
      <c r="FI154" s="19">
        <f t="shared" si="619"/>
        <v>485666649.3793745</v>
      </c>
      <c r="FJ154" s="770">
        <f t="shared" si="537"/>
        <v>550745980.39621091</v>
      </c>
      <c r="FK154" s="545" t="s">
        <v>1</v>
      </c>
    </row>
    <row r="155" spans="2:167" x14ac:dyDescent="0.2">
      <c r="B155" s="300" t="s">
        <v>321</v>
      </c>
      <c r="C155" s="19">
        <v>221295.57142857101</v>
      </c>
      <c r="D155" s="19">
        <v>238457</v>
      </c>
      <c r="E155" s="19">
        <v>215350</v>
      </c>
      <c r="F155" s="19">
        <v>213274</v>
      </c>
      <c r="G155" s="19">
        <v>260290.71428571429</v>
      </c>
      <c r="H155" s="19">
        <v>379456.71428571432</v>
      </c>
      <c r="I155" s="19">
        <v>304996.85714285716</v>
      </c>
      <c r="J155" s="19">
        <v>347162.71428571432</v>
      </c>
      <c r="K155" s="19">
        <v>405637.85714285716</v>
      </c>
      <c r="L155" s="19">
        <v>417485.85714285716</v>
      </c>
      <c r="M155" s="19">
        <v>561580.85714285704</v>
      </c>
      <c r="N155" s="19">
        <v>594361.85714285716</v>
      </c>
      <c r="O155" s="19">
        <v>672235.14285714284</v>
      </c>
      <c r="P155" s="19">
        <v>695468.57142857136</v>
      </c>
      <c r="Q155" s="19">
        <v>736316.71428571432</v>
      </c>
      <c r="R155" s="19">
        <v>705145</v>
      </c>
      <c r="S155" s="19">
        <v>599992</v>
      </c>
      <c r="T155" s="19">
        <v>641692</v>
      </c>
      <c r="U155" s="19">
        <v>578551</v>
      </c>
      <c r="V155" s="19">
        <v>882538</v>
      </c>
      <c r="W155" s="19">
        <v>769808</v>
      </c>
      <c r="X155" s="19">
        <v>783650</v>
      </c>
      <c r="Y155" s="19">
        <v>743293.1333333333</v>
      </c>
      <c r="Z155" s="19">
        <v>728529.1333333333</v>
      </c>
      <c r="AA155" s="19">
        <v>733418.88500000001</v>
      </c>
      <c r="AB155" s="19">
        <v>1003485.1478571428</v>
      </c>
      <c r="AC155" s="19">
        <v>1162677.4594047619</v>
      </c>
      <c r="AD155" s="19">
        <v>1050608.9594047619</v>
      </c>
      <c r="AE155" s="19">
        <v>1150866.8119047619</v>
      </c>
      <c r="AF155" s="19">
        <v>920805.50000000012</v>
      </c>
      <c r="AG155" s="19">
        <v>935451.49999999988</v>
      </c>
      <c r="AH155" s="19">
        <v>999622.5</v>
      </c>
      <c r="AI155" s="19">
        <v>1058726.5</v>
      </c>
      <c r="AJ155" s="19">
        <v>1275222.5</v>
      </c>
      <c r="AK155" s="19">
        <v>1144595.153846154</v>
      </c>
      <c r="AL155" s="19">
        <v>1035851.3770512821</v>
      </c>
      <c r="AM155" s="19">
        <v>1031866.7101130686</v>
      </c>
      <c r="AN155" s="19">
        <v>1137813.072948718</v>
      </c>
      <c r="AO155" s="19">
        <v>1151387.8727435896</v>
      </c>
      <c r="AP155" s="19">
        <v>2081579.9932692307</v>
      </c>
      <c r="AQ155" s="19">
        <v>2682670.5849358975</v>
      </c>
      <c r="AR155" s="19">
        <v>2776431.7110897442</v>
      </c>
      <c r="AS155" s="19">
        <v>2951319.5480128205</v>
      </c>
      <c r="AT155" s="19">
        <v>2984773.916602564</v>
      </c>
      <c r="AU155" s="19">
        <v>3067168.6228205124</v>
      </c>
      <c r="AV155" s="19">
        <v>3798438.4656410255</v>
      </c>
      <c r="AW155" s="19">
        <v>3934205.9023096329</v>
      </c>
      <c r="AX155" s="19">
        <v>5031773.9681268223</v>
      </c>
      <c r="AY155" s="19">
        <v>4262822.4112179484</v>
      </c>
      <c r="AZ155" s="19">
        <v>4500521.019358974</v>
      </c>
      <c r="BA155" s="19">
        <v>3725380.490448717</v>
      </c>
      <c r="BB155" s="19">
        <v>3974661.7082692306</v>
      </c>
      <c r="BC155" s="19">
        <v>3945649.1094230772</v>
      </c>
      <c r="BD155" s="19">
        <v>4839777.7481410243</v>
      </c>
      <c r="BE155" s="19">
        <v>4765987.3503825478</v>
      </c>
      <c r="BF155" s="19">
        <v>5114852.4682692299</v>
      </c>
      <c r="BG155" s="19">
        <v>4903684.8686869303</v>
      </c>
      <c r="BH155" s="19">
        <v>5665171.2730128206</v>
      </c>
      <c r="BI155" s="19">
        <v>5184486.1191025646</v>
      </c>
      <c r="BJ155" s="19">
        <v>6334312.1669602999</v>
      </c>
      <c r="BK155" s="19">
        <v>11392815.973136239</v>
      </c>
      <c r="BL155" s="19">
        <v>11633750.160532277</v>
      </c>
      <c r="BM155" s="19">
        <v>11717866.721155401</v>
      </c>
      <c r="BN155" s="19">
        <v>11648167.926746797</v>
      </c>
      <c r="BO155" s="19">
        <v>11048040.248701924</v>
      </c>
      <c r="BP155" s="19">
        <v>10688503.448836535</v>
      </c>
      <c r="BQ155" s="19">
        <v>10305779.059663463</v>
      </c>
      <c r="BR155" s="19">
        <v>11043423.054012273</v>
      </c>
      <c r="BS155" s="19">
        <v>11165863.126390699</v>
      </c>
      <c r="BT155" s="19">
        <v>10349256.010100335</v>
      </c>
      <c r="BU155" s="19">
        <v>9957477.0016562343</v>
      </c>
      <c r="BV155" s="19">
        <v>10387596.912591588</v>
      </c>
      <c r="BW155" s="19">
        <v>11334902.671197195</v>
      </c>
      <c r="BX155" s="19">
        <v>12040592.988405589</v>
      </c>
      <c r="BY155" s="19">
        <v>12197136.254870504</v>
      </c>
      <c r="BZ155" s="19">
        <v>12390541.019728808</v>
      </c>
      <c r="CA155" s="19">
        <v>11950078.194001032</v>
      </c>
      <c r="CB155" s="19">
        <v>11429498.388782647</v>
      </c>
      <c r="CC155" s="19">
        <v>7573012.613335399</v>
      </c>
      <c r="CD155" s="19">
        <v>7594637.8314743564</v>
      </c>
      <c r="CE155" s="19">
        <v>7707907.2997601302</v>
      </c>
      <c r="CF155" s="19">
        <v>8353149.8933498804</v>
      </c>
      <c r="CG155" s="19">
        <v>8394771.3883974329</v>
      </c>
      <c r="CH155" s="19">
        <v>10577162.006530188</v>
      </c>
      <c r="CI155" s="19">
        <v>13270260.156980759</v>
      </c>
      <c r="CJ155" s="19">
        <v>13295174.577025628</v>
      </c>
      <c r="CK155" s="19">
        <v>13255328.620628182</v>
      </c>
      <c r="CL155" s="19">
        <v>13351440.694578782</v>
      </c>
      <c r="CM155" s="19">
        <v>13803763.748097187</v>
      </c>
      <c r="CN155" s="19">
        <v>14347287.500230804</v>
      </c>
      <c r="CO155" s="19">
        <v>13900355.138075668</v>
      </c>
      <c r="CP155" s="19">
        <v>15199140.125041638</v>
      </c>
      <c r="CQ155" s="19">
        <v>15214154.978304949</v>
      </c>
      <c r="CR155" s="19">
        <v>16563580.193048075</v>
      </c>
      <c r="CS155" s="19">
        <v>16992177.989316024</v>
      </c>
      <c r="CT155" s="19">
        <v>17240313.971128847</v>
      </c>
      <c r="CU155" s="19">
        <f>'B2B- Non Repair'!CU90+'D2C - Retail'!BU148+'D2C Online'!CL138</f>
        <v>22702883.764284886</v>
      </c>
      <c r="CV155" s="19">
        <f>'B2B- Non Repair'!CV90+'D2C - Retail'!BV148+'D2C Online'!CM138</f>
        <v>22702883.764284886</v>
      </c>
      <c r="CW155" s="19">
        <f>'B2B- Non Repair'!CW90+'D2C - Retail'!BW148+'D2C Online'!CN138</f>
        <v>22702883.764284886</v>
      </c>
      <c r="CX155" s="19">
        <f>'B2B- Non Repair'!CX90+'D2C - Retail'!BX148+'D2C Online'!CO138</f>
        <v>22702883.764284886</v>
      </c>
      <c r="CY155" s="19">
        <f>'B2B- Non Repair'!CY90+'D2C - Retail'!BY148+'D2C Online'!CP138</f>
        <v>22702883.764284886</v>
      </c>
      <c r="CZ155" s="19">
        <f>'B2B- Non Repair'!CZ90+'D2C - Retail'!BZ148+'D2C Online'!CQ138</f>
        <v>22702883.764284886</v>
      </c>
      <c r="DA155" s="19">
        <f>'B2B- Non Repair'!DA90+'D2C - Retail'!CA148+'D2C Online'!CR138</f>
        <v>22702883.764284886</v>
      </c>
      <c r="DB155" s="19">
        <f>'B2B- Non Repair'!DB90+'D2C - Retail'!CB148+'D2C Online'!CS138</f>
        <v>22702883.764284886</v>
      </c>
      <c r="DC155" s="19">
        <f>'B2B- Non Repair'!DC90+'D2C - Retail'!CC148+'D2C Online'!CT138</f>
        <v>22702883.764284886</v>
      </c>
      <c r="DD155" s="19">
        <f>'B2B- Non Repair'!DD90+'D2C - Retail'!CD148+'D2C Online'!CU138</f>
        <v>22702883.764284886</v>
      </c>
      <c r="DE155" s="19">
        <f>'B2B- Non Repair'!DE90+'D2C - Retail'!CE148+'D2C Online'!CV138</f>
        <v>22702883.764284886</v>
      </c>
      <c r="DF155" s="19">
        <f>'B2B- Non Repair'!DF90+'D2C - Retail'!CF148+'D2C Online'!CW138</f>
        <v>22702883.764284886</v>
      </c>
      <c r="DG155" s="19">
        <f>'B2B- Non Repair'!DG90+'D2C - Retail'!CG148+'D2C Online'!CX138</f>
        <v>25547722.682728585</v>
      </c>
      <c r="DH155" s="19">
        <f>'B2B- Non Repair'!DH90+'D2C - Retail'!CH148+'D2C Online'!CY138</f>
        <v>25547722.682728585</v>
      </c>
      <c r="DI155" s="19">
        <f>'B2B- Non Repair'!DI90+'D2C - Retail'!CI148+'D2C Online'!CZ138</f>
        <v>25547722.682728585</v>
      </c>
      <c r="DJ155" s="19">
        <f>'B2B- Non Repair'!DJ90+'D2C - Retail'!CJ148+'D2C Online'!DA138</f>
        <v>25547722.682728585</v>
      </c>
      <c r="DK155" s="19">
        <f>'B2B- Non Repair'!DK90+'D2C - Retail'!CK148+'D2C Online'!DB138</f>
        <v>25547722.682728585</v>
      </c>
      <c r="DL155" s="19">
        <f>'B2B- Non Repair'!DL90+'D2C - Retail'!CL148+'D2C Online'!DC138</f>
        <v>25547722.682728585</v>
      </c>
      <c r="DM155" s="19">
        <f>'B2B- Non Repair'!DM90+'D2C - Retail'!CM148+'D2C Online'!DD138</f>
        <v>25547722.682728585</v>
      </c>
      <c r="DN155" s="19">
        <f>'B2B- Non Repair'!DN90+'D2C - Retail'!CN148+'D2C Online'!DE138</f>
        <v>25547722.682728585</v>
      </c>
      <c r="DO155" s="19">
        <f>'B2B- Non Repair'!DO90+'D2C - Retail'!CO148+'D2C Online'!DF138</f>
        <v>25547722.682728585</v>
      </c>
      <c r="DP155" s="19">
        <f>'B2B- Non Repair'!DP90+'D2C - Retail'!CP148+'D2C Online'!DG138</f>
        <v>25547722.682728585</v>
      </c>
      <c r="DQ155" s="19">
        <f>'B2B- Non Repair'!DQ90+'D2C - Retail'!CQ148+'D2C Online'!DH138</f>
        <v>25547722.682728585</v>
      </c>
      <c r="DR155" s="19">
        <f>'B2B- Non Repair'!DR90+'D2C - Retail'!CR148+'D2C Online'!DI138</f>
        <v>25547722.682728585</v>
      </c>
      <c r="DS155" s="19">
        <f>'B2B- Non Repair'!DS90+'D2C - Retail'!CS148+'D2C Online'!DJ138</f>
        <v>28763902.640945215</v>
      </c>
      <c r="DT155" s="19">
        <f>'B2B- Non Repair'!DT90+'D2C - Retail'!CT148+'D2C Online'!DK138</f>
        <v>28763902.640945215</v>
      </c>
      <c r="DU155" s="19">
        <f>'B2B- Non Repair'!DU90+'D2C - Retail'!CU148+'D2C Online'!DL138</f>
        <v>28763902.640945215</v>
      </c>
      <c r="DV155" s="19">
        <f>'B2B- Non Repair'!DV90+'D2C - Retail'!CV148+'D2C Online'!DM138</f>
        <v>28763902.640945215</v>
      </c>
      <c r="DW155" s="19">
        <f>'B2B- Non Repair'!DW90+'D2C - Retail'!CW148+'D2C Online'!DN138</f>
        <v>28763902.640945215</v>
      </c>
      <c r="DX155" s="19">
        <f>'B2B- Non Repair'!DX90+'D2C - Retail'!CX148+'D2C Online'!DO138</f>
        <v>28763902.640945215</v>
      </c>
      <c r="DY155" s="19">
        <f>'B2B- Non Repair'!DY90+'D2C - Retail'!CY148+'D2C Online'!DP138</f>
        <v>28763902.640945215</v>
      </c>
      <c r="DZ155" s="19">
        <f>'B2B- Non Repair'!DZ90+'D2C - Retail'!CZ148+'D2C Online'!DQ138</f>
        <v>28763902.640945215</v>
      </c>
      <c r="EA155" s="19">
        <f>'B2B- Non Repair'!EA90+'D2C - Retail'!DA148+'D2C Online'!DR138</f>
        <v>28763902.640945215</v>
      </c>
      <c r="EB155" s="19">
        <f>'B2B- Non Repair'!EB90+'D2C - Retail'!DB148+'D2C Online'!DS138</f>
        <v>28763902.640945215</v>
      </c>
      <c r="EC155" s="19">
        <f>'B2B- Non Repair'!EC90+'D2C - Retail'!DC148+'D2C Online'!DT138</f>
        <v>28763902.640945215</v>
      </c>
      <c r="ED155" s="19">
        <f>'B2B- Non Repair'!ED90+'D2C - Retail'!DD148+'D2C Online'!DU138</f>
        <v>28763902.640945215</v>
      </c>
      <c r="EE155" s="222"/>
      <c r="EF155" s="19">
        <f t="shared" si="623"/>
        <v>34744432.854823917</v>
      </c>
      <c r="EG155" s="19">
        <f t="shared" si="624"/>
        <v>33384711.624285258</v>
      </c>
      <c r="EH155" s="19">
        <f t="shared" si="625"/>
        <v>32515065.240066435</v>
      </c>
      <c r="EI155" s="19">
        <f t="shared" si="626"/>
        <v>30694329.924348157</v>
      </c>
      <c r="EJ155" s="19">
        <f t="shared" si="627"/>
        <v>35572631.914473288</v>
      </c>
      <c r="EK155" s="19">
        <f t="shared" si="628"/>
        <v>35770117.602512486</v>
      </c>
      <c r="EL155" s="19">
        <f t="shared" si="629"/>
        <v>22875557.744569886</v>
      </c>
      <c r="EM155" s="19">
        <f t="shared" si="630"/>
        <v>27325083.288277499</v>
      </c>
      <c r="EN155" s="19">
        <f t="shared" si="631"/>
        <v>39820763.354634568</v>
      </c>
      <c r="EO155" s="19">
        <f t="shared" si="632"/>
        <v>41502491.942906775</v>
      </c>
      <c r="EP155" s="19">
        <f t="shared" si="633"/>
        <v>44313650.241422251</v>
      </c>
      <c r="EQ155" s="19">
        <f t="shared" si="634"/>
        <v>50796072.153492942</v>
      </c>
      <c r="ER155" s="19">
        <f t="shared" si="635"/>
        <v>68108651.292854667</v>
      </c>
      <c r="ES155" s="19">
        <f t="shared" si="636"/>
        <v>68108651.292854667</v>
      </c>
      <c r="ET155" s="19">
        <f t="shared" si="637"/>
        <v>68108651.292854667</v>
      </c>
      <c r="EU155" s="19">
        <f t="shared" si="638"/>
        <v>68108651.292854667</v>
      </c>
      <c r="EV155" s="19">
        <f t="shared" si="639"/>
        <v>76643168.048185751</v>
      </c>
      <c r="EW155" s="19">
        <f t="shared" si="640"/>
        <v>76643168.048185751</v>
      </c>
      <c r="EX155" s="19">
        <f t="shared" si="641"/>
        <v>76643168.048185751</v>
      </c>
      <c r="EY155" s="19">
        <f t="shared" si="642"/>
        <v>76643168.048185751</v>
      </c>
      <c r="EZ155" s="19">
        <f t="shared" si="611"/>
        <v>86291707.922835648</v>
      </c>
      <c r="FA155" s="19">
        <f t="shared" si="612"/>
        <v>86291707.922835648</v>
      </c>
      <c r="FB155" s="19">
        <f t="shared" si="613"/>
        <v>86291707.922835648</v>
      </c>
      <c r="FC155" s="19">
        <f t="shared" si="614"/>
        <v>86291707.922835648</v>
      </c>
      <c r="FE155" s="19">
        <f t="shared" si="615"/>
        <v>131338539.64352377</v>
      </c>
      <c r="FF155" s="19">
        <f t="shared" si="616"/>
        <v>121543390.54983315</v>
      </c>
      <c r="FG155" s="19">
        <f t="shared" si="617"/>
        <v>176432977.69245654</v>
      </c>
      <c r="FH155" s="19">
        <f t="shared" si="618"/>
        <v>272434605.17141867</v>
      </c>
      <c r="FI155" s="19">
        <f t="shared" si="619"/>
        <v>306572672.192743</v>
      </c>
      <c r="FJ155" s="770">
        <f t="shared" si="537"/>
        <v>345166831.69134259</v>
      </c>
      <c r="FK155" s="545" t="s">
        <v>1</v>
      </c>
    </row>
    <row r="156" spans="2:167" x14ac:dyDescent="0.2">
      <c r="B156" s="300" t="s">
        <v>322</v>
      </c>
      <c r="C156" s="19">
        <v>0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20689.686858974361</v>
      </c>
      <c r="AR156" s="19">
        <v>236338.46762820517</v>
      </c>
      <c r="AS156" s="19">
        <v>668992.86705128173</v>
      </c>
      <c r="AT156" s="19">
        <v>1192753.5571794873</v>
      </c>
      <c r="AU156" s="19">
        <v>1751672</v>
      </c>
      <c r="AV156" s="19">
        <v>2107061.4253846155</v>
      </c>
      <c r="AW156" s="19">
        <v>2280695.851794872</v>
      </c>
      <c r="AX156" s="19">
        <v>2700368.9803205132</v>
      </c>
      <c r="AY156" s="19">
        <v>2100509.2591025629</v>
      </c>
      <c r="AZ156" s="19">
        <v>2333468.7605769229</v>
      </c>
      <c r="BA156" s="19">
        <v>2360756.3622435895</v>
      </c>
      <c r="BB156" s="19">
        <v>2068969.9749999999</v>
      </c>
      <c r="BC156" s="19">
        <v>2417548.5716666663</v>
      </c>
      <c r="BD156" s="19">
        <v>2700698.7644871781</v>
      </c>
      <c r="BE156" s="19">
        <v>2811901.3320512804</v>
      </c>
      <c r="BF156" s="19">
        <v>2356094.8586538462</v>
      </c>
      <c r="BG156" s="19">
        <v>1767396.7675641028</v>
      </c>
      <c r="BH156" s="19">
        <v>1818032</v>
      </c>
      <c r="BI156" s="19">
        <v>1537817.6064102568</v>
      </c>
      <c r="BJ156" s="19">
        <v>1350437.9992948722</v>
      </c>
      <c r="BK156" s="19">
        <v>1402560.5380344104</v>
      </c>
      <c r="BL156" s="19">
        <v>1680237.8423933852</v>
      </c>
      <c r="BM156" s="19">
        <v>1303144.2385897436</v>
      </c>
      <c r="BN156" s="19">
        <v>1585299.846153846</v>
      </c>
      <c r="BO156" s="19">
        <v>1668030.4615384601</v>
      </c>
      <c r="BP156" s="19">
        <v>1157132.8586538462</v>
      </c>
      <c r="BQ156" s="19">
        <v>1160809.17435897</v>
      </c>
      <c r="BR156" s="19">
        <v>1196063.8335897434</v>
      </c>
      <c r="BS156" s="19">
        <v>1093742.0135897435</v>
      </c>
      <c r="BT156" s="19">
        <v>869613.31794871786</v>
      </c>
      <c r="BU156" s="19">
        <v>960034.12064102991</v>
      </c>
      <c r="BV156" s="19">
        <v>1010099.669679487</v>
      </c>
      <c r="BW156" s="19">
        <v>1057581.6661538463</v>
      </c>
      <c r="BX156" s="19">
        <v>1046297.2046153799</v>
      </c>
      <c r="BY156" s="19">
        <v>1030864.9815384618</v>
      </c>
      <c r="BZ156" s="19">
        <v>1450731.06378205</v>
      </c>
      <c r="CA156" s="19">
        <v>1177041.7200000002</v>
      </c>
      <c r="CB156" s="19">
        <v>1172592.1435897436</v>
      </c>
      <c r="CC156" s="19">
        <v>1156849.9892307699</v>
      </c>
      <c r="CD156" s="19">
        <v>1117040.7692307692</v>
      </c>
      <c r="CE156" s="19">
        <v>1088620.4661538461</v>
      </c>
      <c r="CF156" s="19">
        <v>1028396.16615385</v>
      </c>
      <c r="CG156" s="19">
        <v>1049286.020897436</v>
      </c>
      <c r="CH156" s="19">
        <v>1027655.9396153846</v>
      </c>
      <c r="CI156" s="19">
        <v>1285350.0623717899</v>
      </c>
      <c r="CJ156" s="19">
        <v>1167514.4328846156</v>
      </c>
      <c r="CK156" s="19">
        <v>1147356.0974358977</v>
      </c>
      <c r="CL156" s="19">
        <v>1493637.5919871801</v>
      </c>
      <c r="CM156" s="19">
        <v>1238161.0495512823</v>
      </c>
      <c r="CN156" s="19">
        <v>1247515.198717949</v>
      </c>
      <c r="CO156" s="19">
        <v>1408632.67948718</v>
      </c>
      <c r="CP156" s="19">
        <v>1382790.8951282101</v>
      </c>
      <c r="CQ156" s="19">
        <v>1759919.54705128</v>
      </c>
      <c r="CR156" s="19">
        <v>1574939.2546794901</v>
      </c>
      <c r="CS156" s="19">
        <v>2058587.22307692</v>
      </c>
      <c r="CT156" s="19">
        <v>1694910.5246794899</v>
      </c>
      <c r="CU156" s="19">
        <f>'B2B- Non Repair'!CU92</f>
        <v>1995697.7457753972</v>
      </c>
      <c r="CV156" s="19">
        <f>'B2B- Non Repair'!CV92</f>
        <v>1995697.7457753972</v>
      </c>
      <c r="CW156" s="19">
        <f>'B2B- Non Repair'!CW92</f>
        <v>1995697.7457753972</v>
      </c>
      <c r="CX156" s="19">
        <f>'B2B- Non Repair'!CX92</f>
        <v>1995697.7457753972</v>
      </c>
      <c r="CY156" s="19">
        <f>'B2B- Non Repair'!CY92</f>
        <v>1995697.7457753972</v>
      </c>
      <c r="CZ156" s="19">
        <f>'B2B- Non Repair'!CZ92</f>
        <v>1995697.7457753972</v>
      </c>
      <c r="DA156" s="19">
        <f>'B2B- Non Repair'!DA92</f>
        <v>1995697.7457753972</v>
      </c>
      <c r="DB156" s="19">
        <f>'B2B- Non Repair'!DB92</f>
        <v>1995697.7457753972</v>
      </c>
      <c r="DC156" s="19">
        <f>'B2B- Non Repair'!DC92</f>
        <v>1995697.7457753972</v>
      </c>
      <c r="DD156" s="19">
        <f>'B2B- Non Repair'!DD92</f>
        <v>1995697.7457753972</v>
      </c>
      <c r="DE156" s="19">
        <f>'B2B- Non Repair'!DE92</f>
        <v>1995697.7457753972</v>
      </c>
      <c r="DF156" s="19">
        <f>'B2B- Non Repair'!DF92</f>
        <v>1995697.7457753972</v>
      </c>
      <c r="DG156" s="19">
        <f>'B2B- Non Repair'!DG92</f>
        <v>2263121.2437093006</v>
      </c>
      <c r="DH156" s="19">
        <f>'B2B- Non Repair'!DH92</f>
        <v>2263121.2437093006</v>
      </c>
      <c r="DI156" s="19">
        <f>'B2B- Non Repair'!DI92</f>
        <v>2263121.2437093006</v>
      </c>
      <c r="DJ156" s="19">
        <f>'B2B- Non Repair'!DJ92</f>
        <v>2263121.2437093006</v>
      </c>
      <c r="DK156" s="19">
        <f>'B2B- Non Repair'!DK92</f>
        <v>2263121.2437093006</v>
      </c>
      <c r="DL156" s="19">
        <f>'B2B- Non Repair'!DL92</f>
        <v>2263121.2437093006</v>
      </c>
      <c r="DM156" s="19">
        <f>'B2B- Non Repair'!DM92</f>
        <v>2263121.2437093006</v>
      </c>
      <c r="DN156" s="19">
        <f>'B2B- Non Repair'!DN92</f>
        <v>2263121.2437093006</v>
      </c>
      <c r="DO156" s="19">
        <f>'B2B- Non Repair'!DO92</f>
        <v>2263121.2437093006</v>
      </c>
      <c r="DP156" s="19">
        <f>'B2B- Non Repair'!DP92</f>
        <v>2263121.2437093006</v>
      </c>
      <c r="DQ156" s="19">
        <f>'B2B- Non Repair'!DQ92</f>
        <v>2263121.2437093006</v>
      </c>
      <c r="DR156" s="19">
        <f>'B2B- Non Repair'!DR92</f>
        <v>2263121.2437093006</v>
      </c>
      <c r="DS156" s="19">
        <f>'B2B- Non Repair'!DS92</f>
        <v>2566379.4903663471</v>
      </c>
      <c r="DT156" s="19">
        <f>'B2B- Non Repair'!DT92</f>
        <v>2566379.4903663471</v>
      </c>
      <c r="DU156" s="19">
        <f>'B2B- Non Repair'!DU92</f>
        <v>2566379.4903663471</v>
      </c>
      <c r="DV156" s="19">
        <f>'B2B- Non Repair'!DV92</f>
        <v>2566379.4903663471</v>
      </c>
      <c r="DW156" s="19">
        <f>'B2B- Non Repair'!DW92</f>
        <v>2566379.4903663471</v>
      </c>
      <c r="DX156" s="19">
        <f>'B2B- Non Repair'!DX92</f>
        <v>2566379.4903663471</v>
      </c>
      <c r="DY156" s="19">
        <f>'B2B- Non Repair'!DY92</f>
        <v>2566379.4903663471</v>
      </c>
      <c r="DZ156" s="19">
        <f>'B2B- Non Repair'!DZ92</f>
        <v>2566379.4903663471</v>
      </c>
      <c r="EA156" s="19">
        <f>'B2B- Non Repair'!EA92</f>
        <v>2566379.4903663471</v>
      </c>
      <c r="EB156" s="19">
        <f>'B2B- Non Repair'!EB92</f>
        <v>2566379.4903663471</v>
      </c>
      <c r="EC156" s="19">
        <f>'B2B- Non Repair'!EC92</f>
        <v>2566379.4903663471</v>
      </c>
      <c r="ED156" s="19">
        <f>'B2B- Non Repair'!ED92</f>
        <v>2566379.4903663471</v>
      </c>
      <c r="EE156" s="222"/>
      <c r="EF156" s="19">
        <f t="shared" si="623"/>
        <v>4385942.6190175395</v>
      </c>
      <c r="EG156" s="19">
        <f t="shared" si="624"/>
        <v>4410463.1663461523</v>
      </c>
      <c r="EH156" s="19">
        <f t="shared" si="625"/>
        <v>3450615.0215384569</v>
      </c>
      <c r="EI156" s="19">
        <f t="shared" si="626"/>
        <v>2839747.1082692347</v>
      </c>
      <c r="EJ156" s="19">
        <f t="shared" si="627"/>
        <v>3134743.8523076875</v>
      </c>
      <c r="EK156" s="19">
        <f t="shared" si="628"/>
        <v>3800364.9273717934</v>
      </c>
      <c r="EL156" s="19">
        <f t="shared" si="629"/>
        <v>3362511.2246153853</v>
      </c>
      <c r="EM156" s="19">
        <f t="shared" si="630"/>
        <v>3105338.1266666707</v>
      </c>
      <c r="EN156" s="19">
        <f t="shared" si="631"/>
        <v>3600220.592692303</v>
      </c>
      <c r="EO156" s="19">
        <f t="shared" si="632"/>
        <v>3979313.8402564116</v>
      </c>
      <c r="EP156" s="19">
        <f t="shared" si="633"/>
        <v>4551343.1216666698</v>
      </c>
      <c r="EQ156" s="19">
        <f t="shared" si="634"/>
        <v>5328437.0024359003</v>
      </c>
      <c r="ER156" s="19">
        <f t="shared" si="635"/>
        <v>5987093.2373261917</v>
      </c>
      <c r="ES156" s="19">
        <f t="shared" si="636"/>
        <v>5987093.2373261917</v>
      </c>
      <c r="ET156" s="19">
        <f t="shared" si="637"/>
        <v>5987093.2373261917</v>
      </c>
      <c r="EU156" s="19">
        <f t="shared" si="638"/>
        <v>5987093.2373261917</v>
      </c>
      <c r="EV156" s="19">
        <f t="shared" si="639"/>
        <v>6789363.7311279019</v>
      </c>
      <c r="EW156" s="19">
        <f t="shared" si="640"/>
        <v>6789363.7311279019</v>
      </c>
      <c r="EX156" s="19">
        <f t="shared" si="641"/>
        <v>6789363.7311279019</v>
      </c>
      <c r="EY156" s="19">
        <f t="shared" si="642"/>
        <v>6789363.7311279019</v>
      </c>
      <c r="EZ156" s="19">
        <f t="shared" si="611"/>
        <v>7699138.4710990414</v>
      </c>
      <c r="FA156" s="19">
        <f t="shared" si="612"/>
        <v>7699138.4710990414</v>
      </c>
      <c r="FB156" s="19">
        <f t="shared" si="613"/>
        <v>7699138.4710990414</v>
      </c>
      <c r="FC156" s="19">
        <f t="shared" si="614"/>
        <v>7699138.4710990414</v>
      </c>
      <c r="FE156" s="19">
        <f t="shared" si="615"/>
        <v>15086767.915171385</v>
      </c>
      <c r="FF156" s="19">
        <f t="shared" si="616"/>
        <v>13402958.130961537</v>
      </c>
      <c r="FG156" s="19">
        <f t="shared" si="617"/>
        <v>17459314.557051286</v>
      </c>
      <c r="FH156" s="19">
        <f t="shared" si="618"/>
        <v>23948372.949304767</v>
      </c>
      <c r="FI156" s="19">
        <f t="shared" si="619"/>
        <v>27157454.924511608</v>
      </c>
      <c r="FJ156" s="770">
        <f t="shared" si="537"/>
        <v>30796553.884396166</v>
      </c>
      <c r="FK156" s="545" t="s">
        <v>1</v>
      </c>
    </row>
    <row r="157" spans="2:167" x14ac:dyDescent="0.2">
      <c r="B157" s="225" t="s">
        <v>49</v>
      </c>
      <c r="C157" s="19">
        <f>'B2B- Non Repair'!C94</f>
        <v>320000</v>
      </c>
      <c r="D157" s="19">
        <f>'B2B- Non Repair'!D94</f>
        <v>320000</v>
      </c>
      <c r="E157" s="19">
        <f>'B2B- Non Repair'!E94</f>
        <v>320000</v>
      </c>
      <c r="F157" s="19">
        <f>'B2B- Non Repair'!F94</f>
        <v>446210</v>
      </c>
      <c r="G157" s="19">
        <f>'B2B- Non Repair'!G94</f>
        <v>507500</v>
      </c>
      <c r="H157" s="19">
        <f>'B2B- Non Repair'!H94</f>
        <v>507500</v>
      </c>
      <c r="I157" s="19">
        <f>'B2B- Non Repair'!I94</f>
        <v>547500</v>
      </c>
      <c r="J157" s="19">
        <f>'B2B- Non Repair'!J94</f>
        <v>580276</v>
      </c>
      <c r="K157" s="19">
        <f>'B2B- Non Repair'!K94</f>
        <v>1357440</v>
      </c>
      <c r="L157" s="19">
        <f>'B2B- Non Repair'!L94</f>
        <v>1221762</v>
      </c>
      <c r="M157" s="19">
        <f>'B2B- Non Repair'!M94</f>
        <v>1546858</v>
      </c>
      <c r="N157" s="19">
        <f>'B2B- Non Repair'!N94</f>
        <v>1989393</v>
      </c>
      <c r="O157" s="19">
        <f>'B2B- Non Repair'!O94</f>
        <v>2271585</v>
      </c>
      <c r="P157" s="19">
        <f>'B2B- Non Repair'!P94</f>
        <v>1948753</v>
      </c>
      <c r="Q157" s="19">
        <f>'B2B- Non Repair'!Q94</f>
        <v>2203116</v>
      </c>
      <c r="R157" s="19">
        <f>'B2B- Non Repair'!R94</f>
        <v>1963936</v>
      </c>
      <c r="S157" s="19">
        <f>'B2B- Non Repair'!S94</f>
        <v>1858616</v>
      </c>
      <c r="T157" s="19">
        <f>'B2B- Non Repair'!T94</f>
        <v>2029568</v>
      </c>
      <c r="U157" s="19">
        <f>'B2B- Non Repair'!U94</f>
        <v>1969242</v>
      </c>
      <c r="V157" s="19">
        <f>'B2B- Non Repair'!V94</f>
        <v>1922785</v>
      </c>
      <c r="W157" s="19">
        <f>'B2B- Non Repair'!W94</f>
        <v>1847884</v>
      </c>
      <c r="X157" s="19">
        <f>'B2B- Non Repair'!X94</f>
        <v>1646565.42</v>
      </c>
      <c r="Y157" s="19">
        <f>'B2B- Non Repair'!Y94</f>
        <v>1759024</v>
      </c>
      <c r="Z157" s="19">
        <f>'B2B- Non Repair'!Z94</f>
        <v>1759024</v>
      </c>
      <c r="AA157" s="19">
        <f>'B2B- Non Repair'!AA94</f>
        <v>1338388</v>
      </c>
      <c r="AB157" s="19">
        <f>'B2B- Non Repair'!AB94</f>
        <v>1678513</v>
      </c>
      <c r="AC157" s="19">
        <f>'B2B- Non Repair'!AC94</f>
        <v>1469579</v>
      </c>
      <c r="AD157" s="19">
        <f>'B2B- Non Repair'!AD94</f>
        <v>1188968</v>
      </c>
      <c r="AE157" s="19">
        <f>'B2B- Non Repair'!AE94</f>
        <v>884423</v>
      </c>
      <c r="AF157" s="19">
        <f>'B2B- Non Repair'!AF94</f>
        <v>792176</v>
      </c>
      <c r="AG157" s="19">
        <f>'B2B- Non Repair'!AG94</f>
        <v>834854</v>
      </c>
      <c r="AH157" s="19">
        <f>'B2B- Non Repair'!AH94</f>
        <v>725750</v>
      </c>
      <c r="AI157" s="19">
        <f>'B2B- Non Repair'!AI94</f>
        <v>670132</v>
      </c>
      <c r="AJ157" s="19">
        <f>'B2B- Non Repair'!AJ94</f>
        <v>940825</v>
      </c>
      <c r="AK157" s="19">
        <f>'B2B- Non Repair'!AK94</f>
        <v>685520</v>
      </c>
      <c r="AL157" s="19">
        <f>'B2B- Non Repair'!AL94</f>
        <v>939634</v>
      </c>
      <c r="AM157" s="19">
        <f>'B2B- Non Repair'!AM94</f>
        <v>769651</v>
      </c>
      <c r="AN157" s="19">
        <f>'B2B- Non Repair'!AN94</f>
        <v>687987</v>
      </c>
      <c r="AO157" s="19">
        <f>'B2B- Non Repair'!AO94</f>
        <v>711449</v>
      </c>
      <c r="AP157" s="19">
        <f>'B2B- Non Repair'!AP94</f>
        <v>716783</v>
      </c>
      <c r="AQ157" s="19">
        <f>'B2B- Non Repair'!AQ94</f>
        <v>696632</v>
      </c>
      <c r="AR157" s="19">
        <f>'B2B- Non Repair'!AR94</f>
        <v>673343</v>
      </c>
      <c r="AS157" s="19">
        <f>'B2B- Non Repair'!AS94</f>
        <v>667766</v>
      </c>
      <c r="AT157" s="19">
        <f>'B2B- Non Repair'!AT94</f>
        <v>640553</v>
      </c>
      <c r="AU157" s="19">
        <f>'B2B- Non Repair'!AU94</f>
        <v>682629</v>
      </c>
      <c r="AV157" s="19">
        <f>'B2B- Non Repair'!AV94</f>
        <v>668720</v>
      </c>
      <c r="AW157" s="19">
        <f>'B2B- Non Repair'!AW94</f>
        <v>687703</v>
      </c>
      <c r="AX157" s="19">
        <f>'B2B- Non Repair'!AX94</f>
        <v>766940</v>
      </c>
      <c r="AY157" s="19">
        <f>'B2B- Non Repair'!AY94</f>
        <v>624180</v>
      </c>
      <c r="AZ157" s="19">
        <f>'B2B- Non Repair'!AZ94</f>
        <v>716394</v>
      </c>
      <c r="BA157" s="19">
        <f>'B2B- Non Repair'!BA94</f>
        <v>998450</v>
      </c>
      <c r="BB157" s="19">
        <f>'B2B- Non Repair'!BB94</f>
        <v>893303</v>
      </c>
      <c r="BC157" s="19">
        <f>'B2B- Non Repair'!BC94</f>
        <v>841346</v>
      </c>
      <c r="BD157" s="19">
        <f>'B2B- Non Repair'!BD94</f>
        <v>867407</v>
      </c>
      <c r="BE157" s="19">
        <f>'B2B- Non Repair'!BE94</f>
        <v>856798</v>
      </c>
      <c r="BF157" s="19">
        <f>'B2B- Non Repair'!BF94</f>
        <v>887008</v>
      </c>
      <c r="BG157" s="19">
        <f>'B2B- Non Repair'!BG94</f>
        <v>940165.5</v>
      </c>
      <c r="BH157" s="19">
        <f>'B2B- Non Repair'!BH94</f>
        <v>1213858.8</v>
      </c>
      <c r="BI157" s="19">
        <f>'B2B- Non Repair'!BI94</f>
        <v>1055313.2</v>
      </c>
      <c r="BJ157" s="19">
        <f>'B2B- Non Repair'!BJ94</f>
        <v>1004496</v>
      </c>
      <c r="BK157" s="19">
        <f>'B2B- Non Repair'!BK94</f>
        <v>1076597</v>
      </c>
      <c r="BL157" s="19">
        <f>'B2B- Non Repair'!BL94</f>
        <v>698785</v>
      </c>
      <c r="BM157" s="19">
        <f>'B2B- Non Repair'!BM94</f>
        <v>723618</v>
      </c>
      <c r="BN157" s="19">
        <f>'B2B- Non Repair'!BN94</f>
        <v>350087</v>
      </c>
      <c r="BO157" s="19">
        <f>'B2B- Non Repair'!BO94</f>
        <v>303995</v>
      </c>
      <c r="BP157" s="19">
        <f>'B2B- Non Repair'!BP94</f>
        <v>243061</v>
      </c>
      <c r="BQ157" s="19">
        <f>'B2B- Non Repair'!BQ94</f>
        <v>234254</v>
      </c>
      <c r="BR157" s="19">
        <f>'B2B- Non Repair'!BR94</f>
        <v>263345</v>
      </c>
      <c r="BS157" s="19">
        <f>'B2B- Non Repair'!BS94</f>
        <v>273364</v>
      </c>
      <c r="BT157" s="19">
        <f>'B2B- Non Repair'!BT94</f>
        <v>197453</v>
      </c>
      <c r="BU157" s="19">
        <f>'B2B- Non Repair'!BU94</f>
        <v>0</v>
      </c>
      <c r="BV157" s="19">
        <f>'B2B- Non Repair'!BV94</f>
        <v>0</v>
      </c>
      <c r="BW157" s="19">
        <f>'B2B- Non Repair'!BW94</f>
        <v>0</v>
      </c>
      <c r="BX157" s="19">
        <f>'B2B- Non Repair'!BX94</f>
        <v>0</v>
      </c>
      <c r="BY157" s="19">
        <f>'B2B- Non Repair'!BY94</f>
        <v>0</v>
      </c>
      <c r="BZ157" s="19">
        <f>'B2B- Non Repair'!BZ94</f>
        <v>0</v>
      </c>
      <c r="CA157" s="19">
        <f>'B2B- Non Repair'!CA94</f>
        <v>0</v>
      </c>
      <c r="CB157" s="19">
        <f>'B2B- Non Repair'!CB94</f>
        <v>0</v>
      </c>
      <c r="CC157" s="19">
        <f>'B2B- Non Repair'!CC94</f>
        <v>0</v>
      </c>
      <c r="CD157" s="19">
        <f>'B2B- Non Repair'!CD94</f>
        <v>0</v>
      </c>
      <c r="CE157" s="19">
        <f>'B2B- Non Repair'!CE94</f>
        <v>0</v>
      </c>
      <c r="CF157" s="19">
        <f>'B2B- Non Repair'!CF94</f>
        <v>0</v>
      </c>
      <c r="CG157" s="19">
        <f>'B2B- Non Repair'!CG94</f>
        <v>0</v>
      </c>
      <c r="CH157" s="19">
        <f>'B2B- Non Repair'!CH94</f>
        <v>0</v>
      </c>
      <c r="CI157" s="19">
        <f>'B2B- Non Repair'!CI94</f>
        <v>0</v>
      </c>
      <c r="CJ157" s="19">
        <f>'B2B- Non Repair'!CJ94</f>
        <v>0</v>
      </c>
      <c r="CK157" s="19">
        <f>'B2B- Non Repair'!CK94</f>
        <v>0</v>
      </c>
      <c r="CL157" s="19">
        <f>'B2B- Non Repair'!CL94</f>
        <v>0</v>
      </c>
      <c r="CM157" s="19">
        <f>'B2B- Non Repair'!CM94</f>
        <v>0</v>
      </c>
      <c r="CN157" s="19">
        <f>'B2B- Non Repair'!CN94</f>
        <v>0</v>
      </c>
      <c r="CO157" s="19">
        <f>'B2B- Non Repair'!CO94</f>
        <v>0</v>
      </c>
      <c r="CP157" s="19">
        <f>'B2B- Non Repair'!CP94</f>
        <v>0</v>
      </c>
      <c r="CQ157" s="19">
        <f>'B2B- Non Repair'!CQ94</f>
        <v>0</v>
      </c>
      <c r="CR157" s="19">
        <f>'B2B- Non Repair'!CR94</f>
        <v>0</v>
      </c>
      <c r="CS157" s="19">
        <f>'B2B- Non Repair'!CS94</f>
        <v>0</v>
      </c>
      <c r="CT157" s="19">
        <f>'B2B- Non Repair'!CT94</f>
        <v>0</v>
      </c>
      <c r="CU157" s="19">
        <f>'B2B- Non Repair'!CU94</f>
        <v>0</v>
      </c>
      <c r="CV157" s="19">
        <f>'B2B- Non Repair'!CV94</f>
        <v>0</v>
      </c>
      <c r="CW157" s="19">
        <f>'B2B- Non Repair'!CW94</f>
        <v>0</v>
      </c>
      <c r="CX157" s="19">
        <f>'B2B- Non Repair'!CX94</f>
        <v>0</v>
      </c>
      <c r="CY157" s="19">
        <f>'B2B- Non Repair'!CY94</f>
        <v>0</v>
      </c>
      <c r="CZ157" s="19">
        <f>'B2B- Non Repair'!CZ94</f>
        <v>0</v>
      </c>
      <c r="DA157" s="19">
        <f>'B2B- Non Repair'!DA94</f>
        <v>0</v>
      </c>
      <c r="DB157" s="19">
        <f>'B2B- Non Repair'!DB94</f>
        <v>0</v>
      </c>
      <c r="DC157" s="19">
        <f>'B2B- Non Repair'!DC94</f>
        <v>0</v>
      </c>
      <c r="DD157" s="19">
        <f>'B2B- Non Repair'!DD94</f>
        <v>0</v>
      </c>
      <c r="DE157" s="19">
        <f>'B2B- Non Repair'!DE94</f>
        <v>0</v>
      </c>
      <c r="DF157" s="19">
        <f>'B2B- Non Repair'!DF94</f>
        <v>0</v>
      </c>
      <c r="DG157" s="19">
        <f>'B2B- Non Repair'!DG94</f>
        <v>0</v>
      </c>
      <c r="DH157" s="19">
        <f>'B2B- Non Repair'!DH94</f>
        <v>0</v>
      </c>
      <c r="DI157" s="19">
        <f>'B2B- Non Repair'!DI94</f>
        <v>0</v>
      </c>
      <c r="DJ157" s="19">
        <f>'B2B- Non Repair'!DJ94</f>
        <v>0</v>
      </c>
      <c r="DK157" s="19">
        <f>'B2B- Non Repair'!DK94</f>
        <v>0</v>
      </c>
      <c r="DL157" s="19">
        <f>'B2B- Non Repair'!DL94</f>
        <v>0</v>
      </c>
      <c r="DM157" s="19">
        <f>'B2B- Non Repair'!DM94</f>
        <v>0</v>
      </c>
      <c r="DN157" s="19">
        <f>'B2B- Non Repair'!DN94</f>
        <v>0</v>
      </c>
      <c r="DO157" s="19">
        <f>'B2B- Non Repair'!DO94</f>
        <v>0</v>
      </c>
      <c r="DP157" s="19">
        <f>'B2B- Non Repair'!DP94</f>
        <v>0</v>
      </c>
      <c r="DQ157" s="19">
        <f>'B2B- Non Repair'!DQ94</f>
        <v>0</v>
      </c>
      <c r="DR157" s="19">
        <f>'B2B- Non Repair'!DR94</f>
        <v>0</v>
      </c>
      <c r="DS157" s="19">
        <f>'B2B- Non Repair'!DS94</f>
        <v>0</v>
      </c>
      <c r="DT157" s="19">
        <f>'B2B- Non Repair'!DT94</f>
        <v>0</v>
      </c>
      <c r="DU157" s="19">
        <f>'B2B- Non Repair'!DU94</f>
        <v>0</v>
      </c>
      <c r="DV157" s="19">
        <f>'B2B- Non Repair'!DV94</f>
        <v>0</v>
      </c>
      <c r="DW157" s="19">
        <f>'B2B- Non Repair'!DW94</f>
        <v>0</v>
      </c>
      <c r="DX157" s="19">
        <f>'B2B- Non Repair'!DX94</f>
        <v>0</v>
      </c>
      <c r="DY157" s="19">
        <f>'B2B- Non Repair'!DY94</f>
        <v>0</v>
      </c>
      <c r="DZ157" s="19">
        <f>'B2B- Non Repair'!DZ94</f>
        <v>0</v>
      </c>
      <c r="EA157" s="19">
        <f>'B2B- Non Repair'!EA94</f>
        <v>0</v>
      </c>
      <c r="EB157" s="19">
        <f>'B2B- Non Repair'!EB94</f>
        <v>0</v>
      </c>
      <c r="EC157" s="19">
        <f>'B2B- Non Repair'!EC94</f>
        <v>0</v>
      </c>
      <c r="ED157" s="19">
        <f>'B2B- Non Repair'!ED94</f>
        <v>0</v>
      </c>
      <c r="EE157" s="222"/>
      <c r="EF157" s="19">
        <f t="shared" si="623"/>
        <v>2499000</v>
      </c>
      <c r="EG157" s="19">
        <f t="shared" si="624"/>
        <v>897143</v>
      </c>
      <c r="EH157" s="19">
        <f t="shared" si="625"/>
        <v>770963</v>
      </c>
      <c r="EI157" s="19">
        <f t="shared" si="626"/>
        <v>197453</v>
      </c>
      <c r="EJ157" s="19">
        <f t="shared" si="627"/>
        <v>0</v>
      </c>
      <c r="EK157" s="19">
        <f t="shared" si="628"/>
        <v>0</v>
      </c>
      <c r="EL157" s="19">
        <f t="shared" si="629"/>
        <v>0</v>
      </c>
      <c r="EM157" s="19">
        <f t="shared" si="630"/>
        <v>0</v>
      </c>
      <c r="EN157" s="19">
        <f t="shared" si="631"/>
        <v>0</v>
      </c>
      <c r="EO157" s="19">
        <f t="shared" si="632"/>
        <v>0</v>
      </c>
      <c r="EP157" s="19">
        <f t="shared" si="633"/>
        <v>0</v>
      </c>
      <c r="EQ157" s="19">
        <f t="shared" si="634"/>
        <v>0</v>
      </c>
      <c r="ER157" s="19">
        <f t="shared" si="635"/>
        <v>0</v>
      </c>
      <c r="ES157" s="19">
        <f t="shared" si="636"/>
        <v>0</v>
      </c>
      <c r="ET157" s="19">
        <f t="shared" si="637"/>
        <v>0</v>
      </c>
      <c r="EU157" s="19">
        <f t="shared" si="638"/>
        <v>0</v>
      </c>
      <c r="EV157" s="19">
        <f t="shared" si="639"/>
        <v>0</v>
      </c>
      <c r="EW157" s="19">
        <f t="shared" si="640"/>
        <v>0</v>
      </c>
      <c r="EX157" s="19">
        <f t="shared" si="641"/>
        <v>0</v>
      </c>
      <c r="EY157" s="19">
        <f t="shared" si="642"/>
        <v>0</v>
      </c>
      <c r="EZ157" s="19">
        <f t="shared" si="611"/>
        <v>0</v>
      </c>
      <c r="FA157" s="19">
        <f t="shared" si="612"/>
        <v>0</v>
      </c>
      <c r="FB157" s="19">
        <f t="shared" si="613"/>
        <v>0</v>
      </c>
      <c r="FC157" s="19">
        <f t="shared" si="614"/>
        <v>0</v>
      </c>
      <c r="FE157" s="19">
        <f t="shared" si="615"/>
        <v>4364559</v>
      </c>
      <c r="FF157" s="19">
        <f t="shared" si="616"/>
        <v>0</v>
      </c>
      <c r="FG157" s="19">
        <f t="shared" si="617"/>
        <v>0</v>
      </c>
      <c r="FH157" s="19">
        <f t="shared" si="618"/>
        <v>0</v>
      </c>
      <c r="FI157" s="19">
        <f t="shared" si="619"/>
        <v>0</v>
      </c>
      <c r="FJ157" s="770">
        <f t="shared" si="537"/>
        <v>0</v>
      </c>
      <c r="FK157" s="545" t="s">
        <v>1</v>
      </c>
    </row>
    <row r="158" spans="2:167" x14ac:dyDescent="0.2">
      <c r="B158" s="225" t="s">
        <v>50</v>
      </c>
      <c r="C158" s="19">
        <f>'B2B- Non Repair'!C95+'P&amp;L - Inputs'!B723+'Screen Pro'!B34+Marketplace!C28</f>
        <v>555861</v>
      </c>
      <c r="D158" s="19">
        <f>'B2B- Non Repair'!D95+'P&amp;L - Inputs'!C723+'Screen Pro'!C34+Marketplace!D28</f>
        <v>623505.71428571432</v>
      </c>
      <c r="E158" s="19">
        <f>'B2B- Non Repair'!E95+'P&amp;L - Inputs'!D723+'Screen Pro'!D34+Marketplace!E28</f>
        <v>607879.57142857136</v>
      </c>
      <c r="F158" s="19">
        <f>'B2B- Non Repair'!F95+'P&amp;L - Inputs'!E723+'Screen Pro'!E34+Marketplace!F28</f>
        <v>622977.71428571432</v>
      </c>
      <c r="G158" s="19">
        <f>'B2B- Non Repair'!G95+'P&amp;L - Inputs'!F723+'Screen Pro'!F34+Marketplace!G28</f>
        <v>692420.28571428568</v>
      </c>
      <c r="H158" s="19">
        <f>'B2B- Non Repair'!H95+'P&amp;L - Inputs'!G723+'Screen Pro'!G34+Marketplace!H28</f>
        <v>751451.28571428568</v>
      </c>
      <c r="I158" s="19">
        <f>'B2B- Non Repair'!I95+'P&amp;L - Inputs'!H723+'Screen Pro'!H34+Marketplace!I28</f>
        <v>808057.85714285716</v>
      </c>
      <c r="J158" s="19">
        <f>'B2B- Non Repair'!J95+'P&amp;L - Inputs'!I723+'Screen Pro'!I34+Marketplace!J28</f>
        <v>841408.7142857142</v>
      </c>
      <c r="K158" s="19">
        <f>'B2B- Non Repair'!K95+'P&amp;L - Inputs'!J723+'Screen Pro'!J34+Marketplace!K28</f>
        <v>891825.14285714284</v>
      </c>
      <c r="L158" s="19">
        <f>'B2B- Non Repair'!L95+'P&amp;L - Inputs'!K723+'Screen Pro'!K34+Marketplace!L28</f>
        <v>950007.85714285716</v>
      </c>
      <c r="M158" s="19">
        <f>'B2B- Non Repair'!M95+'P&amp;L - Inputs'!L723+'Screen Pro'!L34+Marketplace!M28</f>
        <v>1049423.2857142857</v>
      </c>
      <c r="N158" s="19">
        <f>'B2B- Non Repair'!N95+'P&amp;L - Inputs'!M723+'Screen Pro'!M34+Marketplace!N28</f>
        <v>1207785.1428571427</v>
      </c>
      <c r="O158" s="19">
        <f>'B2B- Non Repair'!O95+'P&amp;L - Inputs'!N723+'Screen Pro'!N34+Marketplace!O28</f>
        <v>1320785.8571428573</v>
      </c>
      <c r="P158" s="19">
        <f>'B2B- Non Repair'!P95+'P&amp;L - Inputs'!O723+'Screen Pro'!O34+Marketplace!P28</f>
        <v>1361136</v>
      </c>
      <c r="Q158" s="19">
        <f>'B2B- Non Repair'!Q95+'P&amp;L - Inputs'!P723+'Screen Pro'!P34+Marketplace!Q28</f>
        <v>1352998.1428571427</v>
      </c>
      <c r="R158" s="19">
        <f>'B2B- Non Repair'!R95+'P&amp;L - Inputs'!Q723+'Screen Pro'!Q34+Marketplace!R28</f>
        <v>1294807</v>
      </c>
      <c r="S158" s="19">
        <f>'B2B- Non Repair'!S95+'P&amp;L - Inputs'!R723+'Screen Pro'!R34+Marketplace!S28</f>
        <v>1008421</v>
      </c>
      <c r="T158" s="19">
        <f>'B2B- Non Repair'!T95+'P&amp;L - Inputs'!S723+'Screen Pro'!S34+Marketplace!T28</f>
        <v>1057413</v>
      </c>
      <c r="U158" s="19">
        <f>'B2B- Non Repair'!U95+'P&amp;L - Inputs'!T723+'Screen Pro'!T34+Marketplace!U28</f>
        <v>1096464</v>
      </c>
      <c r="V158" s="19">
        <f>'B2B- Non Repair'!V95+'P&amp;L - Inputs'!U723+'Screen Pro'!U34+Marketplace!V28</f>
        <v>1048857</v>
      </c>
      <c r="W158" s="19">
        <f>'B2B- Non Repair'!W95+'P&amp;L - Inputs'!V723+'Screen Pro'!V34+Marketplace!W28</f>
        <v>967771</v>
      </c>
      <c r="X158" s="19">
        <f>'B2B- Non Repair'!X95+'P&amp;L - Inputs'!W723+'Screen Pro'!W34+Marketplace!X28</f>
        <v>963884</v>
      </c>
      <c r="Y158" s="19">
        <f>'B2B- Non Repair'!Y95+'P&amp;L - Inputs'!X723+'Screen Pro'!X34+Marketplace!Y28</f>
        <v>943335.33333333337</v>
      </c>
      <c r="Z158" s="19">
        <f>'B2B- Non Repair'!Z95+'P&amp;L - Inputs'!Y723+'Screen Pro'!Y34+Marketplace!Z28</f>
        <v>806448.5</v>
      </c>
      <c r="AA158" s="19">
        <f>'B2B- Non Repair'!AA95+'P&amp;L - Inputs'!Z723+'Screen Pro'!Z34+Marketplace!AA28</f>
        <v>892139</v>
      </c>
      <c r="AB158" s="19">
        <f>'B2B- Non Repair'!AB95+'P&amp;L - Inputs'!AA723+'Screen Pro'!AA34+Marketplace!AB28</f>
        <v>816327.47666666668</v>
      </c>
      <c r="AC158" s="19">
        <f>'B2B- Non Repair'!AC95+'P&amp;L - Inputs'!AB723+'Screen Pro'!AB34+Marketplace!AC28</f>
        <v>702239</v>
      </c>
      <c r="AD158" s="19">
        <f>'B2B- Non Repair'!AD95+'P&amp;L - Inputs'!AC723+'Screen Pro'!AC34+Marketplace!AD28</f>
        <v>644147</v>
      </c>
      <c r="AE158" s="19">
        <f>'B2B- Non Repair'!AE95+'P&amp;L - Inputs'!AD723+'Screen Pro'!AD34+Marketplace!AE28</f>
        <v>770836</v>
      </c>
      <c r="AF158" s="19">
        <f>'B2B- Non Repair'!AF95+'P&amp;L - Inputs'!AE723+'Screen Pro'!AE34+Marketplace!AF28</f>
        <v>1418273</v>
      </c>
      <c r="AG158" s="19">
        <f>'B2B- Non Repair'!AG95+'P&amp;L - Inputs'!AF723+'Screen Pro'!AF34+Marketplace!AG28</f>
        <v>1659501.2725</v>
      </c>
      <c r="AH158" s="19">
        <f>'B2B- Non Repair'!AH95+'P&amp;L - Inputs'!AG723+'Screen Pro'!AG34+Marketplace!AH28</f>
        <v>1676709</v>
      </c>
      <c r="AI158" s="19">
        <f>'B2B- Non Repair'!AI95+'P&amp;L - Inputs'!AH723+'Screen Pro'!AH34+Marketplace!AI28</f>
        <v>1701360.2725</v>
      </c>
      <c r="AJ158" s="19">
        <f>'B2B- Non Repair'!AJ95+'P&amp;L - Inputs'!AI723+'Screen Pro'!AI34+Marketplace!AJ28</f>
        <v>1820052.8592132505</v>
      </c>
      <c r="AK158" s="19">
        <f>'B2B- Non Repair'!AK95+'P&amp;L - Inputs'!AJ723+'Screen Pro'!AJ34+Marketplace!AK28</f>
        <v>1840914</v>
      </c>
      <c r="AL158" s="19">
        <f>'B2B- Non Repair'!AL95+'P&amp;L - Inputs'!AK723+'Screen Pro'!AK34+Marketplace!AL28</f>
        <v>1880310</v>
      </c>
      <c r="AM158" s="19">
        <f>'B2B- Non Repair'!AM95+'P&amp;L - Inputs'!AL723+'Screen Pro'!AL34+Marketplace!AM28</f>
        <v>2180706</v>
      </c>
      <c r="AN158" s="19">
        <f>'B2B- Non Repair'!AN95+'P&amp;L - Inputs'!AM723+'Screen Pro'!AM34+Marketplace!AN28</f>
        <v>2307706.5590384617</v>
      </c>
      <c r="AO158" s="19">
        <f>'B2B- Non Repair'!AO95+'P&amp;L - Inputs'!AN723+'Screen Pro'!AN34+Marketplace!AO28</f>
        <v>2576662</v>
      </c>
      <c r="AP158" s="19">
        <f>'B2B- Non Repair'!AP95+'P&amp;L - Inputs'!AO723+'Screen Pro'!AO34+Marketplace!AP28</f>
        <v>2546769</v>
      </c>
      <c r="AQ158" s="19">
        <f>'B2B- Non Repair'!AQ95+'P&amp;L - Inputs'!AP723+'Screen Pro'!AP34+Marketplace!AQ28</f>
        <v>2441259</v>
      </c>
      <c r="AR158" s="19">
        <f>'B2B- Non Repair'!AR95+'P&amp;L - Inputs'!AQ723+'Screen Pro'!AQ34+Marketplace!AR28</f>
        <v>4905798.2283005919</v>
      </c>
      <c r="AS158" s="19">
        <f>'B2B- Non Repair'!AS95+'P&amp;L - Inputs'!AR723+'Screen Pro'!AR34+Marketplace!AS28</f>
        <v>8531578</v>
      </c>
      <c r="AT158" s="19">
        <f>'B2B- Non Repair'!AT95+'P&amp;L - Inputs'!AS723+'Screen Pro'!AS34+Marketplace!AT28</f>
        <v>4898211</v>
      </c>
      <c r="AU158" s="19">
        <f>'B2B- Non Repair'!AU95+'P&amp;L - Inputs'!AT723+'Screen Pro'!AT34+Marketplace!AU28</f>
        <v>4732982</v>
      </c>
      <c r="AV158" s="19">
        <f>'B2B- Non Repair'!AV95+'P&amp;L - Inputs'!AU723+'Screen Pro'!AU34+Marketplace!AV28</f>
        <v>4695018</v>
      </c>
      <c r="AW158" s="19">
        <f>'B2B- Non Repair'!AW95+'P&amp;L - Inputs'!AV723+'Screen Pro'!AV34+Marketplace!AW28</f>
        <v>5075351</v>
      </c>
      <c r="AX158" s="19">
        <f>'B2B- Non Repair'!AX95+'P&amp;L - Inputs'!AW723+'Screen Pro'!AW34+Marketplace!AX28</f>
        <v>5688861</v>
      </c>
      <c r="AY158" s="19">
        <f>'B2B- Non Repair'!AY95+'P&amp;L - Inputs'!AX723+'Screen Pro'!AX34+Marketplace!AY28</f>
        <v>5321544</v>
      </c>
      <c r="AZ158" s="19">
        <f>'B2B- Non Repair'!AZ95+'P&amp;L - Inputs'!AY723+'Screen Pro'!AY34+Marketplace!AZ28</f>
        <v>5211852.869801607</v>
      </c>
      <c r="BA158" s="19">
        <f>'B2B- Non Repair'!BA95+'P&amp;L - Inputs'!AZ723+'Screen Pro'!AZ34+Marketplace!BA28</f>
        <v>5412722.9504704988</v>
      </c>
      <c r="BB158" s="19">
        <f>'B2B- Non Repair'!BB95+'P&amp;L - Inputs'!BA723+'Screen Pro'!BA34+Marketplace!BB28</f>
        <v>5717812.5492639933</v>
      </c>
      <c r="BC158" s="19">
        <f>'B2B- Non Repair'!BC95+'P&amp;L - Inputs'!BB723+'Screen Pro'!BB34+Marketplace!BC28</f>
        <v>5879265.3461797852</v>
      </c>
      <c r="BD158" s="19">
        <f>'B2B- Non Repair'!BD95+'P&amp;L - Inputs'!BC723+'Screen Pro'!BC34+Marketplace!BD28</f>
        <v>9875656.557007011</v>
      </c>
      <c r="BE158" s="19">
        <f>'B2B- Non Repair'!BE95+'P&amp;L - Inputs'!BD723+'Screen Pro'!BD34+Marketplace!BE28</f>
        <v>11701617.548980873</v>
      </c>
      <c r="BF158" s="19">
        <f>'B2B- Non Repair'!BF95+'P&amp;L - Inputs'!BE723+'Screen Pro'!BE34+Marketplace!BF28</f>
        <v>5731567.4371937867</v>
      </c>
      <c r="BG158" s="19">
        <f>'B2B- Non Repair'!BG95+'P&amp;L - Inputs'!BF723+'Screen Pro'!BF34+Marketplace!BG28</f>
        <v>6027189.7829316864</v>
      </c>
      <c r="BH158" s="19">
        <f>'B2B- Non Repair'!BH95+'P&amp;L - Inputs'!BG723+'Screen Pro'!BG34+Marketplace!BH28</f>
        <v>5575604.8752192026</v>
      </c>
      <c r="BI158" s="19">
        <f>'B2B- Non Repair'!BI95+'P&amp;L - Inputs'!BH723+'Screen Pro'!BH34+Marketplace!BI28</f>
        <v>5902013.7000026535</v>
      </c>
      <c r="BJ158" s="19">
        <f>'B2B- Non Repair'!BJ95+'P&amp;L - Inputs'!BI723+'Screen Pro'!BI34+Marketplace!BJ28</f>
        <v>5686510.6572606191</v>
      </c>
      <c r="BK158" s="19">
        <f>'B2B- Non Repair'!BK95+'P&amp;L - Inputs'!BJ723+'Screen Pro'!BJ34+Marketplace!BK28</f>
        <v>5212547.1495232331</v>
      </c>
      <c r="BL158" s="19">
        <f>'B2B- Non Repair'!BL95+'P&amp;L - Inputs'!BK723+'Screen Pro'!BK34+Marketplace!BL28</f>
        <v>5228612.3044863436</v>
      </c>
      <c r="BM158" s="19">
        <f>'B2B- Non Repair'!BM95+'P&amp;L - Inputs'!BL723+'Screen Pro'!BL34+Marketplace!BM28</f>
        <v>4662125.0969226994</v>
      </c>
      <c r="BN158" s="19">
        <f>'B2B- Non Repair'!BN95+'P&amp;L - Inputs'!BM723+'Screen Pro'!BM34+Marketplace!BN28</f>
        <v>4689659.806578096</v>
      </c>
      <c r="BO158" s="19">
        <f>'B2B- Non Repair'!BO95+'P&amp;L - Inputs'!BN723+'Screen Pro'!BN34+Marketplace!BO28</f>
        <v>5113575.7774581201</v>
      </c>
      <c r="BP158" s="19">
        <f>'B2B- Non Repair'!BP95+'P&amp;L - Inputs'!BO723+'Screen Pro'!BO34+Marketplace!BP28</f>
        <v>5118962.2094727214</v>
      </c>
      <c r="BQ158" s="19">
        <f>'B2B- Non Repair'!BQ95+'P&amp;L - Inputs'!BP723+'Screen Pro'!BP34+Marketplace!BQ28</f>
        <v>5568776.4066934176</v>
      </c>
      <c r="BR158" s="19">
        <f>'B2B- Non Repair'!BR95+'P&amp;L - Inputs'!BQ723+'Screen Pro'!BQ34+Marketplace!BR28</f>
        <v>5177966.6419966491</v>
      </c>
      <c r="BS158" s="19">
        <f>'B2B- Non Repair'!BS95+'P&amp;L - Inputs'!BR723+'Screen Pro'!BR34+Marketplace!BS28</f>
        <v>5398004.2273240015</v>
      </c>
      <c r="BT158" s="19">
        <f>'B2B- Non Repair'!BT95+'P&amp;L - Inputs'!BS723+'Screen Pro'!BS34+Marketplace!BT28</f>
        <v>5203553.594270193</v>
      </c>
      <c r="BU158" s="19">
        <f>'B2B- Non Repair'!BU95+'P&amp;L - Inputs'!BT723+'Screen Pro'!BT34+Marketplace!BU28</f>
        <v>4930320.311642414</v>
      </c>
      <c r="BV158" s="19">
        <f>'B2B- Non Repair'!BV95+'P&amp;L - Inputs'!BU723+'Screen Pro'!BU34+Marketplace!BV28</f>
        <v>4825315.9695653692</v>
      </c>
      <c r="BW158" s="19">
        <f>'B2B- Non Repair'!BW95+'P&amp;L - Inputs'!BV723+'Screen Pro'!BV34+Marketplace!BW28</f>
        <v>4996599.7674418781</v>
      </c>
      <c r="BX158" s="19">
        <f>'B2B- Non Repair'!BX95+'P&amp;L - Inputs'!BW723+'Screen Pro'!BW34+Marketplace!BX28</f>
        <v>5043039.3489926755</v>
      </c>
      <c r="BY158" s="19">
        <f>'B2B- Non Repair'!BY95+'P&amp;L - Inputs'!BX723+'Screen Pro'!BX34+Marketplace!BY28</f>
        <v>5324170.1016287431</v>
      </c>
      <c r="BZ158" s="19">
        <f>'B2B- Non Repair'!BZ95+'P&amp;L - Inputs'!BY723+'Screen Pro'!BY34+Marketplace!BZ28</f>
        <v>4998237.5335854879</v>
      </c>
      <c r="CA158" s="19">
        <f>'B2B- Non Repair'!CA95+'P&amp;L - Inputs'!BZ723+'Screen Pro'!BZ34+Marketplace!CA28</f>
        <v>4962334.627188351</v>
      </c>
      <c r="CB158" s="19">
        <f>'B2B- Non Repair'!CB95+'P&amp;L - Inputs'!CA723+'Screen Pro'!CA34+Marketplace!CB28</f>
        <v>5090929.6262406632</v>
      </c>
      <c r="CC158" s="19">
        <f>'B2B- Non Repair'!CC95+'P&amp;L - Inputs'!CB723+'Screen Pro'!CB34+Marketplace!CC28</f>
        <v>5099710.8827889934</v>
      </c>
      <c r="CD158" s="19">
        <f>'B2B- Non Repair'!CD95+'P&amp;L - Inputs'!CC723+'Screen Pro'!CC34+Marketplace!CD28</f>
        <v>5354548.8884094525</v>
      </c>
      <c r="CE158" s="19">
        <f>'B2B- Non Repair'!CE95+'P&amp;L - Inputs'!CD723+'Screen Pro'!CD34+Marketplace!CE28</f>
        <v>5226325.731661249</v>
      </c>
      <c r="CF158" s="19">
        <f>'B2B- Non Repair'!CF95+'P&amp;L - Inputs'!CE723+'Screen Pro'!CE34+Marketplace!CF28</f>
        <v>5411083.4842318408</v>
      </c>
      <c r="CG158" s="19">
        <f>'B2B- Non Repair'!CG95+'P&amp;L - Inputs'!CF723+'Screen Pro'!CF34+Marketplace!CG28</f>
        <v>5707824.8670624495</v>
      </c>
      <c r="CH158" s="19">
        <f>'B2B- Non Repair'!CH95+'P&amp;L - Inputs'!CG723+'Screen Pro'!CG34+Marketplace!CH28</f>
        <v>6006874.2206921568</v>
      </c>
      <c r="CI158" s="19">
        <f>'B2B- Non Repair'!CI95+'P&amp;L - Inputs'!CH723+'Screen Pro'!CH34+Marketplace!CI28</f>
        <v>5844586.6488672476</v>
      </c>
      <c r="CJ158" s="19">
        <f>'B2B- Non Repair'!CJ95+'P&amp;L - Inputs'!CI723+'Screen Pro'!CI34+Marketplace!CJ28</f>
        <v>6633795.1468266267</v>
      </c>
      <c r="CK158" s="19">
        <f>'B2B- Non Repair'!CK95+'P&amp;L - Inputs'!CJ723+'Screen Pro'!CJ34+Marketplace!CK28</f>
        <v>8212040.7922025509</v>
      </c>
      <c r="CL158" s="19">
        <f>'B2B- Non Repair'!CL95+'P&amp;L - Inputs'!CK723+'Screen Pro'!CK34+Marketplace!CL28</f>
        <v>9942072.5236826092</v>
      </c>
      <c r="CM158" s="19">
        <f>'B2B- Non Repair'!CM95+'P&amp;L - Inputs'!CL723+'Screen Pro'!CL34+Marketplace!CM28</f>
        <v>8993038.3757276554</v>
      </c>
      <c r="CN158" s="19">
        <f>'B2B- Non Repair'!CN95+'P&amp;L - Inputs'!CM723+'Screen Pro'!CM34+Marketplace!CN28</f>
        <v>8170147.5304255253</v>
      </c>
      <c r="CO158" s="19">
        <f>'B2B- Non Repair'!CO95+'P&amp;L - Inputs'!CN723+'Screen Pro'!CN34+Marketplace!CO28</f>
        <v>8006307.1943768458</v>
      </c>
      <c r="CP158" s="19">
        <f>'B2B- Non Repair'!CP95+'P&amp;L - Inputs'!CO723+'Screen Pro'!CO34+Marketplace!CP28</f>
        <v>7983870.0750411339</v>
      </c>
      <c r="CQ158" s="19">
        <f>'B2B- Non Repair'!CQ95+'P&amp;L - Inputs'!CP723+'Screen Pro'!CP34+Marketplace!CQ28</f>
        <v>7578361.5076923082</v>
      </c>
      <c r="CR158" s="19">
        <f>'B2B- Non Repair'!CR95+'P&amp;L - Inputs'!CQ723+'Screen Pro'!CQ34+Marketplace!CR28</f>
        <v>6588975.8045512829</v>
      </c>
      <c r="CS158" s="19">
        <f>'B2B- Non Repair'!CS95+'P&amp;L - Inputs'!CR723+'Screen Pro'!CR34+Marketplace!CS28</f>
        <v>5811711.6990384618</v>
      </c>
      <c r="CT158" s="19">
        <f>'B2B- Non Repair'!CT95+'P&amp;L - Inputs'!CS723+'Screen Pro'!CS34+Marketplace!CT28</f>
        <v>5965043.8516025646</v>
      </c>
      <c r="CU158" s="19">
        <f>'B2B- Non Repair'!CU95+'P&amp;L - Inputs'!CT723+'Screen Pro'!CT34+Marketplace!CU28</f>
        <v>6938378.1082537584</v>
      </c>
      <c r="CV158" s="19">
        <f>'B2B- Non Repair'!CV95+'P&amp;L - Inputs'!CU723+'Screen Pro'!CU34+Marketplace!CV28</f>
        <v>6938378.1082537584</v>
      </c>
      <c r="CW158" s="19">
        <f>'B2B- Non Repair'!CW95+'P&amp;L - Inputs'!CV723+'Screen Pro'!CV34+Marketplace!CW28</f>
        <v>6938378.1082537584</v>
      </c>
      <c r="CX158" s="19">
        <f>'B2B- Non Repair'!CX95+'P&amp;L - Inputs'!CW723+'Screen Pro'!CW34+Marketplace!CX28</f>
        <v>6938378.1082537584</v>
      </c>
      <c r="CY158" s="19">
        <f>'B2B- Non Repair'!CY95+'P&amp;L - Inputs'!CX723+'Screen Pro'!CX34+Marketplace!CY28</f>
        <v>6938378.1082537584</v>
      </c>
      <c r="CZ158" s="19">
        <f>'B2B- Non Repair'!CZ95+'P&amp;L - Inputs'!CY723+'Screen Pro'!CY34+Marketplace!CZ28</f>
        <v>6938378.1082537584</v>
      </c>
      <c r="DA158" s="19">
        <f>'B2B- Non Repair'!DA95+'P&amp;L - Inputs'!CZ723+'Screen Pro'!CZ34+Marketplace!DA28</f>
        <v>6938378.1082537584</v>
      </c>
      <c r="DB158" s="19">
        <f>'B2B- Non Repair'!DB95+'P&amp;L - Inputs'!DA723+'Screen Pro'!DA34+Marketplace!DB28</f>
        <v>6938378.1082537584</v>
      </c>
      <c r="DC158" s="19">
        <f>'B2B- Non Repair'!DC95+'P&amp;L - Inputs'!DB723+'Screen Pro'!DB34+Marketplace!DC28</f>
        <v>6938378.1082537584</v>
      </c>
      <c r="DD158" s="19">
        <f>'B2B- Non Repair'!DD95+'P&amp;L - Inputs'!DC723+'Screen Pro'!DC34+Marketplace!DD28</f>
        <v>6938378.1082537584</v>
      </c>
      <c r="DE158" s="19">
        <f>'B2B- Non Repair'!DE95+'P&amp;L - Inputs'!DD723+'Screen Pro'!DD34+Marketplace!DE28</f>
        <v>6938378.1082537584</v>
      </c>
      <c r="DF158" s="19">
        <f>'B2B- Non Repair'!DF95+'P&amp;L - Inputs'!DE723+'Screen Pro'!DE34+Marketplace!DF28</f>
        <v>6938378.1082537584</v>
      </c>
      <c r="DG158" s="19">
        <f>'B2B- Non Repair'!DG95+'P&amp;L - Inputs'!DF723+'Screen Pro'!DF34+Marketplace!DG28</f>
        <v>7370924.4891736899</v>
      </c>
      <c r="DH158" s="19">
        <f>'B2B- Non Repair'!DH95+'P&amp;L - Inputs'!DG723+'Screen Pro'!DG34+Marketplace!DH28</f>
        <v>7370924.4891736899</v>
      </c>
      <c r="DI158" s="19">
        <f>'B2B- Non Repair'!DI95+'P&amp;L - Inputs'!DH723+'Screen Pro'!DH34+Marketplace!DI28</f>
        <v>7370924.4891736899</v>
      </c>
      <c r="DJ158" s="19">
        <f>'B2B- Non Repair'!DJ95+'P&amp;L - Inputs'!DI723+'Screen Pro'!DI34+Marketplace!DJ28</f>
        <v>7370924.4891736899</v>
      </c>
      <c r="DK158" s="19">
        <f>'B2B- Non Repair'!DK95+'P&amp;L - Inputs'!DJ723+'Screen Pro'!DJ34+Marketplace!DK28</f>
        <v>7370924.4891736899</v>
      </c>
      <c r="DL158" s="19">
        <f>'B2B- Non Repair'!DL95+'P&amp;L - Inputs'!DK723+'Screen Pro'!DK34+Marketplace!DL28</f>
        <v>7370924.4891736899</v>
      </c>
      <c r="DM158" s="19">
        <f>'B2B- Non Repair'!DM95+'P&amp;L - Inputs'!DL723+'Screen Pro'!DL34+Marketplace!DM28</f>
        <v>7370924.4891736899</v>
      </c>
      <c r="DN158" s="19">
        <f>'B2B- Non Repair'!DN95+'P&amp;L - Inputs'!DM723+'Screen Pro'!DM34+Marketplace!DN28</f>
        <v>7370924.4891736899</v>
      </c>
      <c r="DO158" s="19">
        <f>'B2B- Non Repair'!DO95+'P&amp;L - Inputs'!DN723+'Screen Pro'!DN34+Marketplace!DO28</f>
        <v>7370924.4891736899</v>
      </c>
      <c r="DP158" s="19">
        <f>'B2B- Non Repair'!DP95+'P&amp;L - Inputs'!DO723+'Screen Pro'!DO34+Marketplace!DP28</f>
        <v>7370924.4891736899</v>
      </c>
      <c r="DQ158" s="19">
        <f>'B2B- Non Repair'!DQ95+'P&amp;L - Inputs'!DP723+'Screen Pro'!DP34+Marketplace!DQ28</f>
        <v>7370924.4891736899</v>
      </c>
      <c r="DR158" s="19">
        <f>'B2B- Non Repair'!DR95+'P&amp;L - Inputs'!DQ723+'Screen Pro'!DQ34+Marketplace!DR28</f>
        <v>7370924.4891736899</v>
      </c>
      <c r="DS158" s="19">
        <f>'B2B- Non Repair'!DS95+'P&amp;L - Inputs'!DR723+'Screen Pro'!DR34+Marketplace!DS28</f>
        <v>7831948.3871801989</v>
      </c>
      <c r="DT158" s="19">
        <f>'B2B- Non Repair'!DT95+'P&amp;L - Inputs'!DS723+'Screen Pro'!DS34+Marketplace!DT28</f>
        <v>7831948.3871801989</v>
      </c>
      <c r="DU158" s="19">
        <f>'B2B- Non Repair'!DU95+'P&amp;L - Inputs'!DT723+'Screen Pro'!DT34+Marketplace!DU28</f>
        <v>7831948.3871801989</v>
      </c>
      <c r="DV158" s="19">
        <f>'B2B- Non Repair'!DV95+'P&amp;L - Inputs'!DU723+'Screen Pro'!DU34+Marketplace!DV28</f>
        <v>7831948.3871801989</v>
      </c>
      <c r="DW158" s="19">
        <f>'B2B- Non Repair'!DW95+'P&amp;L - Inputs'!DV723+'Screen Pro'!DV34+Marketplace!DW28</f>
        <v>7831948.3871801989</v>
      </c>
      <c r="DX158" s="19">
        <f>'B2B- Non Repair'!DX95+'P&amp;L - Inputs'!DW723+'Screen Pro'!DW34+Marketplace!DX28</f>
        <v>7831948.3871801989</v>
      </c>
      <c r="DY158" s="19">
        <f>'B2B- Non Repair'!DY95+'P&amp;L - Inputs'!DX723+'Screen Pro'!DX34+Marketplace!DY28</f>
        <v>7831948.3871801989</v>
      </c>
      <c r="DZ158" s="19">
        <f>'B2B- Non Repair'!DZ95+'P&amp;L - Inputs'!DY723+'Screen Pro'!DY34+Marketplace!DZ28</f>
        <v>7831948.3871801989</v>
      </c>
      <c r="EA158" s="19">
        <f>'B2B- Non Repair'!EA95+'P&amp;L - Inputs'!DZ723+'Screen Pro'!DZ34+Marketplace!EA28</f>
        <v>7831948.3871801989</v>
      </c>
      <c r="EB158" s="19">
        <f>'B2B- Non Repair'!EB95+'P&amp;L - Inputs'!EA723+'Screen Pro'!EA34+Marketplace!EB28</f>
        <v>7831948.3871801989</v>
      </c>
      <c r="EC158" s="19">
        <f>'B2B- Non Repair'!EC95+'P&amp;L - Inputs'!EB723+'Screen Pro'!EB34+Marketplace!EC28</f>
        <v>7831948.3871801989</v>
      </c>
      <c r="ED158" s="19">
        <f>'B2B- Non Repair'!ED95+'P&amp;L - Inputs'!EC723+'Screen Pro'!EC34+Marketplace!ED28</f>
        <v>7831948.3871801989</v>
      </c>
      <c r="EE158" s="222"/>
      <c r="EF158" s="19">
        <f t="shared" si="623"/>
        <v>15103284.550932277</v>
      </c>
      <c r="EG158" s="19">
        <f t="shared" si="624"/>
        <v>14922197.793508938</v>
      </c>
      <c r="EH158" s="19">
        <f t="shared" si="625"/>
        <v>16144747.276014067</v>
      </c>
      <c r="EI158" s="19">
        <f t="shared" si="626"/>
        <v>14959189.875477977</v>
      </c>
      <c r="EJ158" s="19">
        <f t="shared" si="627"/>
        <v>15363809.218063297</v>
      </c>
      <c r="EK158" s="19">
        <f t="shared" si="628"/>
        <v>15051501.787014503</v>
      </c>
      <c r="EL158" s="19">
        <f t="shared" si="629"/>
        <v>15680585.502859695</v>
      </c>
      <c r="EM158" s="19">
        <f t="shared" si="630"/>
        <v>17125782.571986448</v>
      </c>
      <c r="EN158" s="19">
        <f t="shared" si="631"/>
        <v>20690422.587896425</v>
      </c>
      <c r="EO158" s="19">
        <f t="shared" si="632"/>
        <v>27105258.429835789</v>
      </c>
      <c r="EP158" s="19">
        <f t="shared" si="633"/>
        <v>23568538.777110286</v>
      </c>
      <c r="EQ158" s="19">
        <f t="shared" si="634"/>
        <v>18365731.355192311</v>
      </c>
      <c r="ER158" s="19">
        <f t="shared" si="635"/>
        <v>20815134.324761275</v>
      </c>
      <c r="ES158" s="19">
        <f t="shared" si="636"/>
        <v>20815134.324761275</v>
      </c>
      <c r="ET158" s="19">
        <f t="shared" si="637"/>
        <v>20815134.324761275</v>
      </c>
      <c r="EU158" s="19">
        <f t="shared" si="638"/>
        <v>20815134.324761275</v>
      </c>
      <c r="EV158" s="19">
        <f t="shared" si="639"/>
        <v>22112773.467521071</v>
      </c>
      <c r="EW158" s="19">
        <f t="shared" si="640"/>
        <v>22112773.467521071</v>
      </c>
      <c r="EX158" s="19">
        <f t="shared" si="641"/>
        <v>22112773.467521071</v>
      </c>
      <c r="EY158" s="19">
        <f t="shared" si="642"/>
        <v>22112773.467521071</v>
      </c>
      <c r="EZ158" s="19">
        <f t="shared" si="611"/>
        <v>23495845.161540598</v>
      </c>
      <c r="FA158" s="19">
        <f t="shared" si="612"/>
        <v>23495845.161540598</v>
      </c>
      <c r="FB158" s="19">
        <f t="shared" si="613"/>
        <v>23495845.161540598</v>
      </c>
      <c r="FC158" s="19">
        <f t="shared" si="614"/>
        <v>23495845.161540598</v>
      </c>
      <c r="FE158" s="19">
        <f t="shared" si="615"/>
        <v>61129419.495933257</v>
      </c>
      <c r="FF158" s="19">
        <f t="shared" si="616"/>
        <v>63221679.079923943</v>
      </c>
      <c r="FG158" s="19">
        <f t="shared" si="617"/>
        <v>89729951.150034815</v>
      </c>
      <c r="FH158" s="19">
        <f t="shared" si="618"/>
        <v>83260537.299045101</v>
      </c>
      <c r="FI158" s="19">
        <f t="shared" si="619"/>
        <v>88451093.870084286</v>
      </c>
      <c r="FJ158" s="770">
        <f t="shared" si="537"/>
        <v>93983380.646162391</v>
      </c>
      <c r="FK158" s="545" t="s">
        <v>1</v>
      </c>
    </row>
    <row r="159" spans="2:167" x14ac:dyDescent="0.2">
      <c r="B159" s="225" t="s">
        <v>189</v>
      </c>
      <c r="C159" s="19">
        <v>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f>'D2C - Retail'!C151</f>
        <v>594143</v>
      </c>
      <c r="AD159" s="19">
        <f>'D2C - Retail'!D151</f>
        <v>751364</v>
      </c>
      <c r="AE159" s="19">
        <f>'D2C - Retail'!E151</f>
        <v>761465</v>
      </c>
      <c r="AF159" s="19">
        <f>'D2C - Retail'!F151</f>
        <v>981243</v>
      </c>
      <c r="AG159" s="19">
        <f>'D2C - Retail'!G151</f>
        <v>1139124</v>
      </c>
      <c r="AH159" s="19">
        <f>'D2C - Retail'!H151</f>
        <v>1165796</v>
      </c>
      <c r="AI159" s="19">
        <f>'D2C - Retail'!I151</f>
        <v>1349848.38</v>
      </c>
      <c r="AJ159" s="19">
        <f>'D2C - Retail'!J151</f>
        <v>1534675.82</v>
      </c>
      <c r="AK159" s="19">
        <f>'D2C - Retail'!K151</f>
        <v>1449642</v>
      </c>
      <c r="AL159" s="19">
        <f>'D2C - Retail'!L151</f>
        <v>2104422.0699999998</v>
      </c>
      <c r="AM159" s="19">
        <f>'D2C - Retail'!M151</f>
        <v>2090055</v>
      </c>
      <c r="AN159" s="19">
        <f>'D2C - Retail'!N151</f>
        <v>1898300</v>
      </c>
      <c r="AO159" s="19">
        <f>'D2C - Retail'!O151</f>
        <v>2127842</v>
      </c>
      <c r="AP159" s="19">
        <f>'D2C - Retail'!P151</f>
        <v>2121334</v>
      </c>
      <c r="AQ159" s="19">
        <f>'D2C - Retail'!Q151</f>
        <v>2330597</v>
      </c>
      <c r="AR159" s="19">
        <f>'D2C - Retail'!R151</f>
        <v>2685435</v>
      </c>
      <c r="AS159" s="19">
        <f>'D2C - Retail'!S151</f>
        <v>3237564</v>
      </c>
      <c r="AT159" s="19">
        <f>'D2C - Retail'!T151</f>
        <v>3472983</v>
      </c>
      <c r="AU159" s="19">
        <f>'D2C - Retail'!U151</f>
        <v>4120268</v>
      </c>
      <c r="AV159" s="19">
        <f>'D2C - Retail'!V151</f>
        <v>4086677</v>
      </c>
      <c r="AW159" s="19">
        <f>'D2C - Retail'!W151</f>
        <v>4095051</v>
      </c>
      <c r="AX159" s="19">
        <f>'D2C - Retail'!X151</f>
        <v>4370421.5999999996</v>
      </c>
      <c r="AY159" s="19">
        <f>'D2C - Retail'!Y151</f>
        <v>5137842</v>
      </c>
      <c r="AZ159" s="19">
        <f>'D2C - Retail'!Z151</f>
        <v>6868017.5999999996</v>
      </c>
      <c r="BA159" s="19">
        <f>'D2C - Retail'!AA151</f>
        <v>7524546</v>
      </c>
      <c r="BB159" s="19">
        <f>'D2C - Retail'!AB151</f>
        <v>7603693.8399999999</v>
      </c>
      <c r="BC159" s="19">
        <f>'D2C - Retail'!AC151</f>
        <v>8243800.7400000002</v>
      </c>
      <c r="BD159" s="19">
        <f>'D2C - Retail'!AD151</f>
        <v>9358654.5800000001</v>
      </c>
      <c r="BE159" s="19">
        <f>'D2C - Retail'!AE151</f>
        <v>9162073</v>
      </c>
      <c r="BF159" s="19">
        <f>'D2C - Retail'!AF151</f>
        <v>11375135</v>
      </c>
      <c r="BG159" s="19">
        <f>'D2C - Retail'!AG151</f>
        <v>11511652</v>
      </c>
      <c r="BH159" s="19">
        <f>'D2C - Retail'!AH151</f>
        <v>12268574</v>
      </c>
      <c r="BI159" s="19">
        <f>'D2C - Retail'!AI151</f>
        <v>11336802.5</v>
      </c>
      <c r="BJ159" s="19">
        <f>'D2C - Retail'!AJ151</f>
        <v>12175187</v>
      </c>
      <c r="BK159" s="19">
        <f>'D2C - Retail'!AK151</f>
        <v>9727985.6500000004</v>
      </c>
      <c r="BL159" s="19">
        <f>'D2C - Retail'!AL151</f>
        <v>9727363.6794999987</v>
      </c>
      <c r="BM159" s="19">
        <f>'D2C - Retail'!AM151</f>
        <v>10040459.25</v>
      </c>
      <c r="BN159" s="19">
        <f>'D2C - Retail'!AN151</f>
        <v>10055240.9285</v>
      </c>
      <c r="BO159" s="19">
        <f>'D2C - Retail'!AO151</f>
        <v>10157488.1</v>
      </c>
      <c r="BP159" s="19">
        <f>'D2C - Retail'!AP151</f>
        <v>10275811.398</v>
      </c>
      <c r="BQ159" s="19">
        <f>'D2C - Retail'!AQ151</f>
        <v>10306887.67</v>
      </c>
      <c r="BR159" s="19">
        <f>'D2C - Retail'!AR151</f>
        <v>11189288.718</v>
      </c>
      <c r="BS159" s="19">
        <f>'D2C - Retail'!AS151</f>
        <v>11618352.3895</v>
      </c>
      <c r="BT159" s="19">
        <f>'D2C - Retail'!AT151</f>
        <v>12617270.800000001</v>
      </c>
      <c r="BU159" s="19">
        <f>'D2C - Retail'!AU151</f>
        <v>10273682.114</v>
      </c>
      <c r="BV159" s="19">
        <f>'D2C - Retail'!AV151</f>
        <v>10875911.5</v>
      </c>
      <c r="BW159" s="19">
        <f>'D2C - Retail'!AW151</f>
        <v>10325357.15</v>
      </c>
      <c r="BX159" s="19">
        <f>'D2C - Retail'!AX151</f>
        <v>10753704.517999999</v>
      </c>
      <c r="BY159" s="19">
        <f>'D2C - Retail'!AY151</f>
        <v>9961881.3910000008</v>
      </c>
      <c r="BZ159" s="19">
        <f>'D2C - Retail'!AZ151</f>
        <v>10079878.85</v>
      </c>
      <c r="CA159" s="19">
        <f>'D2C - Retail'!BA151</f>
        <v>10389011.1</v>
      </c>
      <c r="CB159" s="19">
        <f>'D2C - Retail'!BB151</f>
        <v>10615291.300000001</v>
      </c>
      <c r="CC159" s="19">
        <f>'D2C - Retail'!BC151+'D2C Online'!BT138</f>
        <v>12873844.06364999</v>
      </c>
      <c r="CD159" s="19">
        <f>'D2C - Retail'!BD151+'D2C Online'!BU138</f>
        <v>11979481</v>
      </c>
      <c r="CE159" s="19">
        <f>'D2C - Retail'!BE151+'D2C Online'!BV138</f>
        <v>13076661</v>
      </c>
      <c r="CF159" s="19">
        <f>'D2C - Retail'!BF151+'D2C Online'!BW138</f>
        <v>12761158</v>
      </c>
      <c r="CG159" s="19">
        <f>'D2C - Retail'!BG151+'D2C Online'!BX138</f>
        <v>12804442</v>
      </c>
      <c r="CH159" s="19">
        <f>'D2C - Retail'!BH151+'D2C Online'!BY138</f>
        <v>12958859</v>
      </c>
      <c r="CI159" s="19">
        <f>'D2C - Retail'!BI151+'D2C Online'!BZ138</f>
        <v>13678108</v>
      </c>
      <c r="CJ159" s="19">
        <f>'D2C - Retail'!BJ151+'D2C Online'!CA138</f>
        <v>14066025.279999999</v>
      </c>
      <c r="CK159" s="19">
        <f>'D2C - Retail'!BK151+'D2C Online'!CB138</f>
        <v>15521631.060000001</v>
      </c>
      <c r="CL159" s="19">
        <f>'D2C - Retail'!BL151+'D2C Online'!CC138</f>
        <v>17657690.82</v>
      </c>
      <c r="CM159" s="19">
        <f>'D2C - Retail'!BM151+'D2C Online'!CD138</f>
        <v>17863135</v>
      </c>
      <c r="CN159" s="19">
        <f>'D2C - Retail'!BN151+'D2C Online'!CE138</f>
        <v>19204615.59</v>
      </c>
      <c r="CO159" s="19">
        <f>'D2C - Retail'!BO151+'D2C Online'!CF138</f>
        <v>20515202</v>
      </c>
      <c r="CP159" s="19">
        <f>'D2C - Retail'!BP151+'D2C Online'!CG138</f>
        <v>17750450</v>
      </c>
      <c r="CQ159" s="19">
        <f>'D2C - Retail'!BQ151+'D2C Online'!CH138</f>
        <v>21342288</v>
      </c>
      <c r="CR159" s="19">
        <f>'D2C - Retail'!BR151+'D2C Online'!CI138</f>
        <v>20797492.359999999</v>
      </c>
      <c r="CS159" s="19">
        <f>'D2C - Retail'!BS151+'D2C Online'!CJ138</f>
        <v>19700800</v>
      </c>
      <c r="CT159" s="19">
        <f>'D2C - Retail'!BT151+'D2C Online'!CK138</f>
        <v>21051997</v>
      </c>
      <c r="CU159" s="19">
        <f>'D2C - Retail'!BU151+'D2C Online'!CL138</f>
        <v>18818054.923009574</v>
      </c>
      <c r="CV159" s="19">
        <f>'D2C - Retail'!BV151+'D2C Online'!CM138</f>
        <v>18818054.923009574</v>
      </c>
      <c r="CW159" s="19">
        <f>'D2C - Retail'!BW151+'D2C Online'!CN138</f>
        <v>18818054.923009574</v>
      </c>
      <c r="CX159" s="19">
        <f>'D2C - Retail'!BX151+'D2C Online'!CO138</f>
        <v>18818054.923009574</v>
      </c>
      <c r="CY159" s="19">
        <f>'D2C - Retail'!BY151+'D2C Online'!CP138</f>
        <v>18818054.923009574</v>
      </c>
      <c r="CZ159" s="19">
        <f>'D2C - Retail'!BZ151+'D2C Online'!CQ138</f>
        <v>18818054.923009574</v>
      </c>
      <c r="DA159" s="19">
        <f>'D2C - Retail'!CA151+'D2C Online'!CR138</f>
        <v>18818054.923009574</v>
      </c>
      <c r="DB159" s="19">
        <f>'D2C - Retail'!CB151+'D2C Online'!CS138</f>
        <v>18818054.923009574</v>
      </c>
      <c r="DC159" s="19">
        <f>'D2C - Retail'!CC151+'D2C Online'!CT138</f>
        <v>18818054.923009574</v>
      </c>
      <c r="DD159" s="19">
        <f>'D2C - Retail'!CD151+'D2C Online'!CU138</f>
        <v>18818054.923009574</v>
      </c>
      <c r="DE159" s="19">
        <f>'D2C - Retail'!CE151+'D2C Online'!CV138</f>
        <v>18818054.923009574</v>
      </c>
      <c r="DF159" s="19">
        <f>'D2C - Retail'!CF151+'D2C Online'!CW138</f>
        <v>18818054.923009574</v>
      </c>
      <c r="DG159" s="19">
        <f>'D2C - Retail'!CG151+'D2C Online'!CX138</f>
        <v>19758957.669160053</v>
      </c>
      <c r="DH159" s="19">
        <f>'D2C - Retail'!CH151+'D2C Online'!CY138</f>
        <v>19758957.669160053</v>
      </c>
      <c r="DI159" s="19">
        <f>'D2C - Retail'!CI151+'D2C Online'!CZ138</f>
        <v>19758957.669160053</v>
      </c>
      <c r="DJ159" s="19">
        <f>'D2C - Retail'!CJ151+'D2C Online'!DA138</f>
        <v>19758957.669160053</v>
      </c>
      <c r="DK159" s="19">
        <f>'D2C - Retail'!CK151+'D2C Online'!DB138</f>
        <v>19758957.669160053</v>
      </c>
      <c r="DL159" s="19">
        <f>'D2C - Retail'!CL151+'D2C Online'!DC138</f>
        <v>19758957.669160053</v>
      </c>
      <c r="DM159" s="19">
        <f>'D2C - Retail'!CM151+'D2C Online'!DD138</f>
        <v>19758957.669160053</v>
      </c>
      <c r="DN159" s="19">
        <f>'D2C - Retail'!CN151+'D2C Online'!DE138</f>
        <v>19758957.669160053</v>
      </c>
      <c r="DO159" s="19">
        <f>'D2C - Retail'!CO151+'D2C Online'!DF138</f>
        <v>19758957.669160053</v>
      </c>
      <c r="DP159" s="19">
        <f>'D2C - Retail'!CP151+'D2C Online'!DG138</f>
        <v>19758957.669160053</v>
      </c>
      <c r="DQ159" s="19">
        <f>'D2C - Retail'!CQ151+'D2C Online'!DH138</f>
        <v>19758957.669160053</v>
      </c>
      <c r="DR159" s="19">
        <f>'D2C - Retail'!CR151+'D2C Online'!DI138</f>
        <v>19758957.669160053</v>
      </c>
      <c r="DS159" s="19">
        <f>'D2C - Retail'!CS151+'D2C Online'!DJ138</f>
        <v>20746905.552618057</v>
      </c>
      <c r="DT159" s="19">
        <f>'D2C - Retail'!CT151+'D2C Online'!DK138</f>
        <v>20746905.552618057</v>
      </c>
      <c r="DU159" s="19">
        <f>'D2C - Retail'!CU151+'D2C Online'!DL138</f>
        <v>20746905.552618057</v>
      </c>
      <c r="DV159" s="19">
        <f>'D2C - Retail'!CV151+'D2C Online'!DM138</f>
        <v>20746905.552618057</v>
      </c>
      <c r="DW159" s="19">
        <f>'D2C - Retail'!CW151+'D2C Online'!DN138</f>
        <v>20746905.552618057</v>
      </c>
      <c r="DX159" s="19">
        <f>'D2C - Retail'!CX151+'D2C Online'!DO138</f>
        <v>20746905.552618057</v>
      </c>
      <c r="DY159" s="19">
        <f>'D2C - Retail'!CY151+'D2C Online'!DP138</f>
        <v>20746905.552618057</v>
      </c>
      <c r="DZ159" s="19">
        <f>'D2C - Retail'!CZ151+'D2C Online'!DQ138</f>
        <v>20746905.552618057</v>
      </c>
      <c r="EA159" s="19">
        <f>'D2C - Retail'!DA151+'D2C Online'!DR138</f>
        <v>20746905.552618057</v>
      </c>
      <c r="EB159" s="19">
        <f>'D2C - Retail'!DB151+'D2C Online'!DS138</f>
        <v>20746905.552618057</v>
      </c>
      <c r="EC159" s="19">
        <f>'D2C - Retail'!DC151+'D2C Online'!DT138</f>
        <v>20746905.552618057</v>
      </c>
      <c r="ED159" s="19">
        <f>'D2C - Retail'!DD151+'D2C Online'!DU138</f>
        <v>20746905.552618057</v>
      </c>
      <c r="EE159" s="222"/>
      <c r="EF159" s="19">
        <f t="shared" si="623"/>
        <v>29495808.579499997</v>
      </c>
      <c r="EG159" s="19">
        <f t="shared" si="624"/>
        <v>30488540.4265</v>
      </c>
      <c r="EH159" s="19">
        <f t="shared" si="625"/>
        <v>33114528.7775</v>
      </c>
      <c r="EI159" s="19">
        <f t="shared" si="626"/>
        <v>33766864.414000005</v>
      </c>
      <c r="EJ159" s="19">
        <f t="shared" si="627"/>
        <v>31040943.059</v>
      </c>
      <c r="EK159" s="19">
        <f t="shared" si="628"/>
        <v>31084181.25</v>
      </c>
      <c r="EL159" s="19">
        <f t="shared" si="629"/>
        <v>37929986.06364999</v>
      </c>
      <c r="EM159" s="19">
        <f t="shared" si="630"/>
        <v>38524459</v>
      </c>
      <c r="EN159" s="19">
        <f t="shared" si="631"/>
        <v>43265764.340000004</v>
      </c>
      <c r="EO159" s="19">
        <f t="shared" si="632"/>
        <v>54725441.409999996</v>
      </c>
      <c r="EP159" s="19">
        <f t="shared" si="633"/>
        <v>59607940</v>
      </c>
      <c r="EQ159" s="19">
        <f t="shared" si="634"/>
        <v>61550289.359999999</v>
      </c>
      <c r="ER159" s="19">
        <f t="shared" si="635"/>
        <v>56454164.769028723</v>
      </c>
      <c r="ES159" s="19">
        <f t="shared" si="636"/>
        <v>56454164.769028723</v>
      </c>
      <c r="ET159" s="19">
        <f t="shared" si="637"/>
        <v>56454164.769028723</v>
      </c>
      <c r="EU159" s="19">
        <f t="shared" si="638"/>
        <v>56454164.769028723</v>
      </c>
      <c r="EV159" s="19">
        <f t="shared" si="639"/>
        <v>59276873.007480159</v>
      </c>
      <c r="EW159" s="19">
        <f t="shared" si="640"/>
        <v>59276873.007480159</v>
      </c>
      <c r="EX159" s="19">
        <f t="shared" si="641"/>
        <v>59276873.007480159</v>
      </c>
      <c r="EY159" s="19">
        <f t="shared" si="642"/>
        <v>59276873.007480159</v>
      </c>
      <c r="EZ159" s="19">
        <f t="shared" si="611"/>
        <v>62240716.65785417</v>
      </c>
      <c r="FA159" s="19">
        <f t="shared" si="612"/>
        <v>62240716.65785417</v>
      </c>
      <c r="FB159" s="19">
        <f t="shared" si="613"/>
        <v>62240716.65785417</v>
      </c>
      <c r="FC159" s="19">
        <f t="shared" si="614"/>
        <v>62240716.65785417</v>
      </c>
      <c r="FE159" s="19">
        <f t="shared" si="615"/>
        <v>126865742.19750001</v>
      </c>
      <c r="FF159" s="19">
        <f t="shared" si="616"/>
        <v>138579569.37265</v>
      </c>
      <c r="FG159" s="19">
        <f t="shared" si="617"/>
        <v>219149435.11000001</v>
      </c>
      <c r="FH159" s="19">
        <f t="shared" si="618"/>
        <v>225816659.07611489</v>
      </c>
      <c r="FI159" s="19">
        <f t="shared" si="619"/>
        <v>237107492.02992064</v>
      </c>
      <c r="FJ159" s="770">
        <f t="shared" si="537"/>
        <v>248962866.63141668</v>
      </c>
      <c r="FK159" s="545" t="s">
        <v>1</v>
      </c>
    </row>
    <row r="160" spans="2:167" x14ac:dyDescent="0.2">
      <c r="B160" s="225" t="s">
        <v>51</v>
      </c>
      <c r="C160" s="19">
        <f>'B2B- Non Repair'!C96+'Screen Pro'!B35+'Offline Distribution'!B59</f>
        <v>0</v>
      </c>
      <c r="D160" s="19">
        <f>'B2B- Non Repair'!D96+'Screen Pro'!C35+'Offline Distribution'!C59</f>
        <v>0</v>
      </c>
      <c r="E160" s="19">
        <f>'B2B- Non Repair'!E96+'Screen Pro'!D35+'Offline Distribution'!D59</f>
        <v>0</v>
      </c>
      <c r="F160" s="19">
        <f>'B2B- Non Repair'!F96+'Screen Pro'!E35+'Offline Distribution'!E59</f>
        <v>0</v>
      </c>
      <c r="G160" s="19">
        <f>'B2B- Non Repair'!G96+'Screen Pro'!F35+'Offline Distribution'!F59</f>
        <v>0</v>
      </c>
      <c r="H160" s="19">
        <f>'B2B- Non Repair'!H96+'Screen Pro'!G35+'Offline Distribution'!G59</f>
        <v>0</v>
      </c>
      <c r="I160" s="19">
        <f>'B2B- Non Repair'!I96+'Screen Pro'!H35+'Offline Distribution'!H59</f>
        <v>0</v>
      </c>
      <c r="J160" s="19">
        <f>'B2B- Non Repair'!J96+'Screen Pro'!I35+'Offline Distribution'!I59</f>
        <v>0</v>
      </c>
      <c r="K160" s="19">
        <f>'B2B- Non Repair'!K96+'Screen Pro'!J35+'Offline Distribution'!J59</f>
        <v>385340.39</v>
      </c>
      <c r="L160" s="19">
        <f>'B2B- Non Repair'!L96+'Screen Pro'!K35+'Offline Distribution'!K59</f>
        <v>184887.41999999998</v>
      </c>
      <c r="M160" s="19">
        <f>'B2B- Non Repair'!M96+'Screen Pro'!L35+'Offline Distribution'!L59</f>
        <v>379806</v>
      </c>
      <c r="N160" s="19">
        <f>'B2B- Non Repair'!N96+'Screen Pro'!M35+'Offline Distribution'!M59</f>
        <v>694187</v>
      </c>
      <c r="O160" s="19">
        <f>'B2B- Non Repair'!O96+'Screen Pro'!N35+'Offline Distribution'!N59</f>
        <v>593633</v>
      </c>
      <c r="P160" s="19">
        <f>'B2B- Non Repair'!P96+'Screen Pro'!O35+'Offline Distribution'!O59</f>
        <v>547395.24</v>
      </c>
      <c r="Q160" s="19">
        <f>'B2B- Non Repair'!Q96+'Screen Pro'!P35+'Offline Distribution'!P59</f>
        <v>555390</v>
      </c>
      <c r="R160" s="19">
        <f>'B2B- Non Repair'!R96+'Screen Pro'!Q35+'Offline Distribution'!Q59</f>
        <v>578112</v>
      </c>
      <c r="S160" s="19">
        <f>'B2B- Non Repair'!S96+'Screen Pro'!R35+'Offline Distribution'!R59</f>
        <v>295667</v>
      </c>
      <c r="T160" s="19">
        <f>'B2B- Non Repair'!T96+'Screen Pro'!S35+'Offline Distribution'!S59</f>
        <v>407559.21</v>
      </c>
      <c r="U160" s="19">
        <f>'B2B- Non Repair'!U96+'Screen Pro'!T35+'Offline Distribution'!T59</f>
        <v>455684.29000000004</v>
      </c>
      <c r="V160" s="19">
        <f>'B2B- Non Repair'!V96+'Screen Pro'!U35+'Offline Distribution'!U59</f>
        <v>323026.68</v>
      </c>
      <c r="W160" s="19">
        <f>'B2B- Non Repair'!W96+'Screen Pro'!V35+'Offline Distribution'!V59</f>
        <v>309229.72000000003</v>
      </c>
      <c r="X160" s="19">
        <f>'B2B- Non Repair'!X96+'Screen Pro'!W35+'Offline Distribution'!W59</f>
        <v>411187</v>
      </c>
      <c r="Y160" s="19">
        <f>'B2B- Non Repair'!Y96+'Screen Pro'!X35+'Offline Distribution'!X59</f>
        <v>356753.15</v>
      </c>
      <c r="Z160" s="19">
        <f>'B2B- Non Repair'!Z96+'Screen Pro'!Y35+'Offline Distribution'!Y59</f>
        <v>490542.57999999996</v>
      </c>
      <c r="AA160" s="19">
        <f>'B2B- Non Repair'!AA96+'Screen Pro'!Z35+'Offline Distribution'!Z59</f>
        <v>0</v>
      </c>
      <c r="AB160" s="19">
        <f>'B2B- Non Repair'!AB96+'Screen Pro'!AA35+'Offline Distribution'!AA59</f>
        <v>24355</v>
      </c>
      <c r="AC160" s="19">
        <f>'B2B- Non Repair'!AC96+'Screen Pro'!AB35+'Offline Distribution'!AB59+'D2C - Retail'!C153</f>
        <v>35417</v>
      </c>
      <c r="AD160" s="19">
        <f>'B2B- Non Repair'!AD96+'Screen Pro'!AC35+'Offline Distribution'!AC59+'D2C - Retail'!D153</f>
        <v>177586</v>
      </c>
      <c r="AE160" s="19">
        <f>'B2B- Non Repair'!AE96+'Screen Pro'!AD35+'Offline Distribution'!AD59+'D2C - Retail'!E153</f>
        <v>230110</v>
      </c>
      <c r="AF160" s="19">
        <f>'B2B- Non Repair'!AF96+'Screen Pro'!AE35+'Offline Distribution'!AE59+'D2C - Retail'!F153</f>
        <v>502720</v>
      </c>
      <c r="AG160" s="19">
        <f>'B2B- Non Repair'!AG96+'Screen Pro'!AF35+'Offline Distribution'!AF59+'D2C - Retail'!G153</f>
        <v>538182</v>
      </c>
      <c r="AH160" s="19">
        <f>'B2B- Non Repair'!AH96+'Screen Pro'!AG35+'Offline Distribution'!AG59+'D2C - Retail'!H153</f>
        <v>263647.2</v>
      </c>
      <c r="AI160" s="19">
        <f>'B2B- Non Repair'!AI96+'Screen Pro'!AH35+'Offline Distribution'!AH59+'D2C - Retail'!I153</f>
        <v>315460</v>
      </c>
      <c r="AJ160" s="19">
        <f>'B2B- Non Repair'!AJ96+'Screen Pro'!AI35+'Offline Distribution'!AI59+'D2C - Retail'!J153</f>
        <v>410891.32</v>
      </c>
      <c r="AK160" s="19">
        <f>'B2B- Non Repair'!AK96+'Screen Pro'!AJ35+'Offline Distribution'!AJ59+'D2C - Retail'!K153</f>
        <v>295053.09999999998</v>
      </c>
      <c r="AL160" s="19">
        <f>'B2B- Non Repair'!AL96+'Screen Pro'!AK35+'Offline Distribution'!AK59+'D2C - Retail'!L153</f>
        <v>370800.25</v>
      </c>
      <c r="AM160" s="19">
        <f>'B2B- Non Repair'!AM96+'Screen Pro'!AL35+'Offline Distribution'!AL59+'D2C - Retail'!M153</f>
        <v>56767</v>
      </c>
      <c r="AN160" s="19">
        <f>'B2B- Non Repair'!AN96+'Screen Pro'!AM35+'Offline Distribution'!AM59+'D2C - Retail'!N153</f>
        <v>124070.93000000001</v>
      </c>
      <c r="AO160" s="19">
        <f>'B2B- Non Repair'!AO96+'Screen Pro'!AN35+'Offline Distribution'!AN59+'D2C - Retail'!O153</f>
        <v>56839</v>
      </c>
      <c r="AP160" s="19">
        <f>'B2B- Non Repair'!AP96+'Screen Pro'!AO35+'Offline Distribution'!AO59+'D2C - Retail'!P153</f>
        <v>570986</v>
      </c>
      <c r="AQ160" s="19">
        <f>'B2B- Non Repair'!AQ96+'Screen Pro'!AP35+'Offline Distribution'!AP59+'D2C - Retail'!Q153</f>
        <v>760105.5</v>
      </c>
      <c r="AR160" s="19">
        <f>'B2B- Non Repair'!AR96+'Screen Pro'!AQ35+'Offline Distribution'!AQ59+'D2C - Retail'!R153</f>
        <v>1571705</v>
      </c>
      <c r="AS160" s="19">
        <f>'B2B- Non Repair'!AS96+'Screen Pro'!AR35+'Offline Distribution'!AR59+'D2C - Retail'!S153</f>
        <v>1502508</v>
      </c>
      <c r="AT160" s="19">
        <f>'B2B- Non Repair'!AT96+'Screen Pro'!AS35+'Offline Distribution'!AS59+'D2C - Retail'!T153</f>
        <v>1280256.95</v>
      </c>
      <c r="AU160" s="19">
        <f>'B2B- Non Repair'!AU96+'Screen Pro'!AT35+'Offline Distribution'!AT59+'D2C - Retail'!U153</f>
        <v>1933929</v>
      </c>
      <c r="AV160" s="19">
        <f>'B2B- Non Repair'!AV96+'Screen Pro'!AU35+'Offline Distribution'!AU59+'D2C - Retail'!V153</f>
        <v>1552498</v>
      </c>
      <c r="AW160" s="19">
        <f>'B2B- Non Repair'!AW96+'Screen Pro'!AV35+'Offline Distribution'!AV59+'D2C - Retail'!W153</f>
        <v>1608697</v>
      </c>
      <c r="AX160" s="19">
        <f>'B2B- Non Repair'!AX96+'Screen Pro'!AW35+'Offline Distribution'!AW59+'D2C - Retail'!X153+Marketplace!AX29</f>
        <v>3526542</v>
      </c>
      <c r="AY160" s="19">
        <f>'B2B- Non Repair'!AY96+'Screen Pro'!AX35+'Offline Distribution'!AX59+'D2C - Retail'!Y153+Marketplace!AY29</f>
        <v>1754204</v>
      </c>
      <c r="AZ160" s="19">
        <f>'B2B- Non Repair'!AZ96+'Screen Pro'!AY35+'Offline Distribution'!AY59+'D2C - Retail'!Z153+Marketplace!AZ29</f>
        <v>2099561</v>
      </c>
      <c r="BA160" s="19">
        <f>'B2B- Non Repair'!BA96+'Screen Pro'!AZ35+'Offline Distribution'!AZ59+'D2C - Retail'!AA153+Marketplace!BA29</f>
        <v>2122490</v>
      </c>
      <c r="BB160" s="19">
        <f>'B2B- Non Repair'!BB96+'Screen Pro'!BA35+'Offline Distribution'!BA59+'D2C - Retail'!AB153+Marketplace!BB29</f>
        <v>2223740</v>
      </c>
      <c r="BC160" s="19">
        <f>'B2B- Non Repair'!BC96+'Screen Pro'!BB35+'Offline Distribution'!BB59+'D2C - Retail'!AC153+Marketplace!BC29</f>
        <v>1828446</v>
      </c>
      <c r="BD160" s="19">
        <f>'B2B- Non Repair'!BD96+'Screen Pro'!BC35+'Offline Distribution'!BC59+'D2C - Retail'!AD153+Marketplace!BD29</f>
        <v>2625208</v>
      </c>
      <c r="BE160" s="19">
        <f>'B2B- Non Repair'!BE96+'Screen Pro'!BD35+'Offline Distribution'!BD59+'D2C - Retail'!AE153+Marketplace!BE29</f>
        <v>2710541</v>
      </c>
      <c r="BF160" s="19">
        <f>'B2B- Non Repair'!BF96+'Screen Pro'!BE35+'Offline Distribution'!BE59+'D2C - Retail'!AF153+Marketplace!BF29</f>
        <v>2141650</v>
      </c>
      <c r="BG160" s="19">
        <f>'B2B- Non Repair'!BG96+'Screen Pro'!BF35+'Offline Distribution'!BF59+'D2C - Retail'!AG153+Marketplace!BG29</f>
        <v>2945804</v>
      </c>
      <c r="BH160" s="19">
        <f>'B2B- Non Repair'!BH96+'Screen Pro'!BG35+'Offline Distribution'!BG59+'D2C - Retail'!AH153+Marketplace!BH29</f>
        <v>3090121</v>
      </c>
      <c r="BI160" s="19">
        <f>'B2B- Non Repair'!BI96+'Screen Pro'!BH35+'Offline Distribution'!BH59+'D2C - Retail'!AI153+Marketplace!BI29</f>
        <v>2397540</v>
      </c>
      <c r="BJ160" s="19">
        <f>'B2B- Non Repair'!BJ96+'Screen Pro'!BI35+'Offline Distribution'!BI59+'D2C - Retail'!AJ153+Marketplace!BJ29</f>
        <v>2212906</v>
      </c>
      <c r="BK160" s="19">
        <f>'B2B- Non Repair'!BK96+'Screen Pro'!BJ35+'Offline Distribution'!BJ59+'D2C - Retail'!AK153+Marketplace!BK29</f>
        <v>773401</v>
      </c>
      <c r="BL160" s="19">
        <f>'B2B- Non Repair'!BL96+'Screen Pro'!BK35+'Offline Distribution'!BK59+'D2C - Retail'!AL153+Marketplace!BL29</f>
        <v>1410269</v>
      </c>
      <c r="BM160" s="19">
        <f>'B2B- Non Repair'!BM96+'Screen Pro'!BL35+'Offline Distribution'!BL59+'D2C - Retail'!AM153+Marketplace!BM29</f>
        <v>1357480</v>
      </c>
      <c r="BN160" s="19">
        <f>'B2B- Non Repair'!BN96+'Screen Pro'!BM35+'Offline Distribution'!BM59+'D2C - Retail'!AN153+Marketplace!BN29</f>
        <v>1345761</v>
      </c>
      <c r="BO160" s="19">
        <f>'B2B- Non Repair'!BO96+'Screen Pro'!BN35+'Offline Distribution'!BN59+'D2C - Retail'!AO153+Marketplace!BO29</f>
        <v>1638374</v>
      </c>
      <c r="BP160" s="19">
        <f>'B2B- Non Repair'!BP96+'Screen Pro'!BO35+'Offline Distribution'!BO59+'D2C - Retail'!AP153+Marketplace!BP29</f>
        <v>1550133.99</v>
      </c>
      <c r="BQ160" s="19">
        <f>'B2B- Non Repair'!BQ96+'Screen Pro'!BP35+'Offline Distribution'!BP59+'D2C - Retail'!AQ153+Marketplace!BQ29</f>
        <v>1488563</v>
      </c>
      <c r="BR160" s="19">
        <f>'B2B- Non Repair'!BR96+'Screen Pro'!BQ35+'Offline Distribution'!BQ59+'D2C - Retail'!AR153+Marketplace!BR29</f>
        <v>1503628</v>
      </c>
      <c r="BS160" s="19">
        <f>'B2B- Non Repair'!BS96+'Screen Pro'!BR35+'Offline Distribution'!BR59+'D2C - Retail'!AS153+Marketplace!BS29</f>
        <v>1835618</v>
      </c>
      <c r="BT160" s="19">
        <f>'B2B- Non Repair'!BT96+'Screen Pro'!BS35+'Offline Distribution'!BS59+'D2C - Retail'!AT153+Marketplace!BT29</f>
        <v>1925916</v>
      </c>
      <c r="BU160" s="19">
        <f>'B2B- Non Repair'!BU96+'Screen Pro'!BT35+'Offline Distribution'!BT59+'D2C - Retail'!AU153+Marketplace!BU29</f>
        <v>1443416</v>
      </c>
      <c r="BV160" s="19">
        <f>'B2B- Non Repair'!BV96+'Screen Pro'!BU35+'Offline Distribution'!BU59+'D2C - Retail'!AV153+Marketplace!BV29</f>
        <v>1183448</v>
      </c>
      <c r="BW160" s="19">
        <f>'B2B- Non Repair'!BW96+'Screen Pro'!BV35+'Offline Distribution'!BV59+'D2C - Retail'!AW153+Marketplace!BW29</f>
        <v>1122889</v>
      </c>
      <c r="BX160" s="19">
        <f>'B2B- Non Repair'!BX96+'Screen Pro'!BW35+'Offline Distribution'!BW59+'D2C - Retail'!AX153+Marketplace!BX29</f>
        <v>1611358</v>
      </c>
      <c r="BY160" s="19">
        <f>'B2B- Non Repair'!BY96+'Screen Pro'!BX35+'Offline Distribution'!BX59+'D2C - Retail'!AY153+Marketplace!BY29</f>
        <v>1417053</v>
      </c>
      <c r="BZ160" s="19">
        <f>'B2B- Non Repair'!BZ96+'Screen Pro'!BY35+'Offline Distribution'!BY59+'D2C - Retail'!AZ153+Marketplace!BZ29</f>
        <v>1593216</v>
      </c>
      <c r="CA160" s="19">
        <f>'B2B- Non Repair'!CA96+'Screen Pro'!BZ35+'Offline Distribution'!BZ59+'D2C - Retail'!BA153+Marketplace!CA29</f>
        <v>1675594</v>
      </c>
      <c r="CB160" s="19">
        <f>'B2B- Non Repair'!CB96+'Screen Pro'!CA35+'Offline Distribution'!CA59+'D2C - Retail'!BB153+Marketplace!CB29</f>
        <v>1499447</v>
      </c>
      <c r="CC160" s="19">
        <f>'B2B- Non Repair'!CC96+'Screen Pro'!CB35+'Offline Distribution'!CB59+'D2C - Retail'!BC153+Marketplace!CC29</f>
        <v>1573646</v>
      </c>
      <c r="CD160" s="19">
        <f>'B2B- Non Repair'!CD96+'Screen Pro'!CC35+'Offline Distribution'!CC59+'D2C - Retail'!BD153+Marketplace!CD29</f>
        <v>1616719</v>
      </c>
      <c r="CE160" s="19">
        <f>'B2B- Non Repair'!CE96+'Screen Pro'!CD35+'Offline Distribution'!CD59+'D2C - Retail'!BE153+Marketplace!CE29</f>
        <v>1913636</v>
      </c>
      <c r="CF160" s="19">
        <f>'B2B- Non Repair'!CF96+'Screen Pro'!CE35+'Offline Distribution'!CE59+'D2C - Retail'!BF153+Marketplace!CF29</f>
        <v>1846372</v>
      </c>
      <c r="CG160" s="19">
        <f>'B2B- Non Repair'!CG96+'Screen Pro'!CF35+'Offline Distribution'!CF59+'D2C - Retail'!BG153+Marketplace!CG29</f>
        <v>1483068</v>
      </c>
      <c r="CH160" s="19">
        <f>'B2B- Non Repair'!CH96+'Screen Pro'!CG35+'Offline Distribution'!CG59+'D2C - Retail'!BH153+Marketplace!CH29</f>
        <v>3242915</v>
      </c>
      <c r="CI160" s="19">
        <f>'B2B- Non Repair'!CI96+'Screen Pro'!CH35+'Offline Distribution'!CH59+'D2C - Retail'!BI153+Marketplace!CI29</f>
        <v>2013297.8699999999</v>
      </c>
      <c r="CJ160" s="19">
        <f>'B2B- Non Repair'!CJ96+'Screen Pro'!CI35+'Offline Distribution'!CI59+'D2C - Retail'!BJ153+Marketplace!CJ29</f>
        <v>2684470.5999999996</v>
      </c>
      <c r="CK160" s="19">
        <f>'B2B- Non Repair'!CK96+'Screen Pro'!CJ35+'Offline Distribution'!CJ59+'D2C - Retail'!BK153+Marketplace!CK29</f>
        <v>2382473</v>
      </c>
      <c r="CL160" s="19">
        <f>'B2B- Non Repair'!CL96+'Screen Pro'!CK35+'Offline Distribution'!CK59+'D2C - Retail'!BL153+Marketplace!CL29</f>
        <v>2801240</v>
      </c>
      <c r="CM160" s="19">
        <f>'B2B- Non Repair'!CM96+'Screen Pro'!CL35+'Offline Distribution'!CL59+'D2C - Retail'!BM153+Marketplace!CM29</f>
        <v>2706305</v>
      </c>
      <c r="CN160" s="19">
        <f>'B2B- Non Repair'!CN96+'Screen Pro'!CM35+'Offline Distribution'!CM59+'D2C - Retail'!BN153+Marketplace!CN29</f>
        <v>2908367.9243333335</v>
      </c>
      <c r="CO160" s="19">
        <f>'B2B- Non Repair'!CO96+'Screen Pro'!CN35+'Offline Distribution'!CN59+'D2C - Retail'!BO153+Marketplace!CO29</f>
        <v>2725014.8999999994</v>
      </c>
      <c r="CP160" s="19">
        <f>'B2B- Non Repair'!CP96+'Screen Pro'!CO35+'Offline Distribution'!CO59+'D2C - Retail'!BP153+Marketplace!CP29</f>
        <v>3280640.38</v>
      </c>
      <c r="CQ160" s="19">
        <f>'B2B- Non Repair'!CQ96+'Screen Pro'!CP35+'Offline Distribution'!CP59+'D2C - Retail'!BQ153+Marketplace!CQ29</f>
        <v>3269848.25</v>
      </c>
      <c r="CR160" s="19">
        <f>'B2B- Non Repair'!CR96+'Screen Pro'!CQ35+'Offline Distribution'!CQ59+'D2C - Retail'!BR153+Marketplace!CR29</f>
        <v>3580399.5</v>
      </c>
      <c r="CS160" s="19">
        <f>'B2B- Non Repair'!CS96+'Screen Pro'!CR35+'Offline Distribution'!CR59+'D2C - Retail'!BS153+Marketplace!CS29</f>
        <v>3784367.29</v>
      </c>
      <c r="CT160" s="19">
        <f>'B2B- Non Repair'!CT96+'Screen Pro'!CS35+'Offline Distribution'!CS59+'D2C - Retail'!BT153+Marketplace!CT29</f>
        <v>5379085</v>
      </c>
      <c r="CU160" s="19">
        <f>'B2B- Non Repair'!CU96+'Screen Pro'!CT35+'Offline Distribution'!CT59+'D2C - Retail'!BU153+Marketplace!CU29</f>
        <v>3564170.5040638889</v>
      </c>
      <c r="CV160" s="19">
        <f>'B2B- Non Repair'!CV96+'Screen Pro'!CU35+'Offline Distribution'!CU59+'D2C - Retail'!BV153+Marketplace!CV29</f>
        <v>3564170.5040638889</v>
      </c>
      <c r="CW160" s="19">
        <f>'B2B- Non Repair'!CW96+'Screen Pro'!CV35+'Offline Distribution'!CV59+'D2C - Retail'!BW153+Marketplace!CW29</f>
        <v>3564170.5040638889</v>
      </c>
      <c r="CX160" s="19">
        <f>'B2B- Non Repair'!CX96+'Screen Pro'!CW35+'Offline Distribution'!CW59+'D2C - Retail'!BX153+Marketplace!CX29</f>
        <v>3564170.5040638889</v>
      </c>
      <c r="CY160" s="19">
        <f>'B2B- Non Repair'!CY96+'Screen Pro'!CX35+'Offline Distribution'!CX59+'D2C - Retail'!BY153+Marketplace!CY29</f>
        <v>3564170.5040638889</v>
      </c>
      <c r="CZ160" s="19">
        <f>'B2B- Non Repair'!CZ96+'Screen Pro'!CY35+'Offline Distribution'!CY59+'D2C - Retail'!BZ153+Marketplace!CZ29</f>
        <v>3564170.5040638889</v>
      </c>
      <c r="DA160" s="19">
        <f>'B2B- Non Repair'!DA96+'Screen Pro'!CZ35+'Offline Distribution'!CZ59+'D2C - Retail'!CA153+Marketplace!DA29</f>
        <v>3564170.5040638889</v>
      </c>
      <c r="DB160" s="19">
        <f>'B2B- Non Repair'!DB96+'Screen Pro'!DA35+'Offline Distribution'!DA59+'D2C - Retail'!CB153+Marketplace!DB29</f>
        <v>3564170.5040638889</v>
      </c>
      <c r="DC160" s="19">
        <f>'B2B- Non Repair'!DC96+'Screen Pro'!DB35+'Offline Distribution'!DB59+'D2C - Retail'!CC153+Marketplace!DC29</f>
        <v>3564170.5040638889</v>
      </c>
      <c r="DD160" s="19">
        <f>'B2B- Non Repair'!DD96+'Screen Pro'!DC35+'Offline Distribution'!DC59+'D2C - Retail'!CD153+Marketplace!DD29</f>
        <v>3564170.5040638889</v>
      </c>
      <c r="DE160" s="19">
        <f>'B2B- Non Repair'!DE96+'Screen Pro'!DD35+'Offline Distribution'!DD59+'D2C - Retail'!CE153+Marketplace!DE29</f>
        <v>3564170.5040638889</v>
      </c>
      <c r="DF160" s="19">
        <f>'B2B- Non Repair'!DF96+'Screen Pro'!DE35+'Offline Distribution'!DE59+'D2C - Retail'!CF153+Marketplace!DF29</f>
        <v>3564170.5040638889</v>
      </c>
      <c r="DG160" s="19">
        <f>'B2B- Non Repair'!DG96+'Screen Pro'!DF35+'Offline Distribution'!DF59+'D2C - Retail'!CG153+Marketplace!DG29</f>
        <v>3742379.0292670834</v>
      </c>
      <c r="DH160" s="19">
        <f>'B2B- Non Repair'!DH96+'Screen Pro'!DG35+'Offline Distribution'!DG59+'D2C - Retail'!CH153+Marketplace!DH29</f>
        <v>3742379.0292670834</v>
      </c>
      <c r="DI160" s="19">
        <f>'B2B- Non Repair'!DI96+'Screen Pro'!DH35+'Offline Distribution'!DH59+'D2C - Retail'!CI153+Marketplace!DI29</f>
        <v>3742379.0292670834</v>
      </c>
      <c r="DJ160" s="19">
        <f>'B2B- Non Repair'!DJ96+'Screen Pro'!DI35+'Offline Distribution'!DI59+'D2C - Retail'!CJ153+Marketplace!DJ29</f>
        <v>3742379.0292670834</v>
      </c>
      <c r="DK160" s="19">
        <f>'B2B- Non Repair'!DK96+'Screen Pro'!DJ35+'Offline Distribution'!DJ59+'D2C - Retail'!CK153+Marketplace!DK29</f>
        <v>3742379.0292670834</v>
      </c>
      <c r="DL160" s="19">
        <f>'B2B- Non Repair'!DL96+'Screen Pro'!DK35+'Offline Distribution'!DK59+'D2C - Retail'!CL153+Marketplace!DL29</f>
        <v>3742379.0292670834</v>
      </c>
      <c r="DM160" s="19">
        <f>'B2B- Non Repair'!DM96+'Screen Pro'!DL35+'Offline Distribution'!DL59+'D2C - Retail'!CM153+Marketplace!DM29</f>
        <v>3742379.0292670834</v>
      </c>
      <c r="DN160" s="19">
        <f>'B2B- Non Repair'!DN96+'Screen Pro'!DM35+'Offline Distribution'!DM59+'D2C - Retail'!CN153+Marketplace!DN29</f>
        <v>3742379.0292670834</v>
      </c>
      <c r="DO160" s="19">
        <f>'B2B- Non Repair'!DO96+'Screen Pro'!DN35+'Offline Distribution'!DN59+'D2C - Retail'!CO153+Marketplace!DO29</f>
        <v>3742379.0292670834</v>
      </c>
      <c r="DP160" s="19">
        <f>'B2B- Non Repair'!DP96+'Screen Pro'!DO35+'Offline Distribution'!DO59+'D2C - Retail'!CP153+Marketplace!DP29</f>
        <v>3742379.0292670834</v>
      </c>
      <c r="DQ160" s="19">
        <f>'B2B- Non Repair'!DQ96+'Screen Pro'!DP35+'Offline Distribution'!DP59+'D2C - Retail'!CQ153+Marketplace!DQ29</f>
        <v>3742379.0292670834</v>
      </c>
      <c r="DR160" s="19">
        <f>'B2B- Non Repair'!DR96+'Screen Pro'!DQ35+'Offline Distribution'!DQ59+'D2C - Retail'!CR153+Marketplace!DR29</f>
        <v>3742379.0292670834</v>
      </c>
      <c r="DS160" s="19">
        <f>'B2B- Non Repair'!DS96+'Screen Pro'!DR35+'Offline Distribution'!DR59+'D2C - Retail'!CS153+Marketplace!DS29</f>
        <v>3929497.9807304381</v>
      </c>
      <c r="DT160" s="19">
        <f>'B2B- Non Repair'!DT96+'Screen Pro'!DS35+'Offline Distribution'!DS59+'D2C - Retail'!CT153+Marketplace!DT29</f>
        <v>3929497.9807304381</v>
      </c>
      <c r="DU160" s="19">
        <f>'B2B- Non Repair'!DU96+'Screen Pro'!DT35+'Offline Distribution'!DT59+'D2C - Retail'!CU153+Marketplace!DU29</f>
        <v>3929497.9807304381</v>
      </c>
      <c r="DV160" s="19">
        <f>'B2B- Non Repair'!DV96+'Screen Pro'!DU35+'Offline Distribution'!DU59+'D2C - Retail'!CV153+Marketplace!DV29</f>
        <v>3929497.9807304381</v>
      </c>
      <c r="DW160" s="19">
        <f>'B2B- Non Repair'!DW96+'Screen Pro'!DV35+'Offline Distribution'!DV59+'D2C - Retail'!CW153+Marketplace!DW29</f>
        <v>3929497.9807304381</v>
      </c>
      <c r="DX160" s="19">
        <f>'B2B- Non Repair'!DX96+'Screen Pro'!DW35+'Offline Distribution'!DW59+'D2C - Retail'!CX153+Marketplace!DX29</f>
        <v>3929497.9807304381</v>
      </c>
      <c r="DY160" s="19">
        <f>'B2B- Non Repair'!DY96+'Screen Pro'!DX35+'Offline Distribution'!DX59+'D2C - Retail'!CY153+Marketplace!DY29</f>
        <v>3929497.9807304381</v>
      </c>
      <c r="DZ160" s="19">
        <f>'B2B- Non Repair'!DZ96+'Screen Pro'!DY35+'Offline Distribution'!DY59+'D2C - Retail'!CZ153+Marketplace!DZ29</f>
        <v>3929497.9807304381</v>
      </c>
      <c r="EA160" s="19">
        <f>'B2B- Non Repair'!EA96+'Screen Pro'!DZ35+'Offline Distribution'!DZ59+'D2C - Retail'!DA153+Marketplace!EA29</f>
        <v>3929497.9807304381</v>
      </c>
      <c r="EB160" s="19">
        <f>'B2B- Non Repair'!EB96+'Screen Pro'!EA35+'Offline Distribution'!EA59+'D2C - Retail'!DB153+Marketplace!EB29</f>
        <v>3929497.9807304381</v>
      </c>
      <c r="EC160" s="19">
        <f>'B2B- Non Repair'!EC96+'Screen Pro'!EB35+'Offline Distribution'!EB59+'D2C - Retail'!DC153+Marketplace!EC29</f>
        <v>3929497.9807304381</v>
      </c>
      <c r="ED160" s="19">
        <f>'B2B- Non Repair'!ED96+'Screen Pro'!EC35+'Offline Distribution'!EC59+'D2C - Retail'!DD153+Marketplace!ED29</f>
        <v>3929497.9807304381</v>
      </c>
      <c r="EE160" s="222"/>
      <c r="EF160" s="19">
        <f t="shared" si="623"/>
        <v>3541150</v>
      </c>
      <c r="EG160" s="19">
        <f t="shared" si="624"/>
        <v>4534268.99</v>
      </c>
      <c r="EH160" s="19">
        <f t="shared" si="625"/>
        <v>4827809</v>
      </c>
      <c r="EI160" s="19">
        <f t="shared" si="626"/>
        <v>4552780</v>
      </c>
      <c r="EJ160" s="19">
        <f t="shared" si="627"/>
        <v>4151300</v>
      </c>
      <c r="EK160" s="19">
        <f t="shared" si="628"/>
        <v>4768257</v>
      </c>
      <c r="EL160" s="19">
        <f t="shared" si="629"/>
        <v>5104001</v>
      </c>
      <c r="EM160" s="19">
        <f t="shared" si="630"/>
        <v>6572355</v>
      </c>
      <c r="EN160" s="19">
        <f t="shared" si="631"/>
        <v>7080241.4699999997</v>
      </c>
      <c r="EO160" s="19">
        <f t="shared" si="632"/>
        <v>8415912.924333334</v>
      </c>
      <c r="EP160" s="19">
        <f t="shared" si="633"/>
        <v>9275503.5299999993</v>
      </c>
      <c r="EQ160" s="19">
        <f t="shared" si="634"/>
        <v>12743851.789999999</v>
      </c>
      <c r="ER160" s="19">
        <f t="shared" si="635"/>
        <v>10692511.512191666</v>
      </c>
      <c r="ES160" s="19">
        <f t="shared" si="636"/>
        <v>10692511.512191666</v>
      </c>
      <c r="ET160" s="19">
        <f t="shared" si="637"/>
        <v>10692511.512191666</v>
      </c>
      <c r="EU160" s="19">
        <f t="shared" si="638"/>
        <v>10692511.512191666</v>
      </c>
      <c r="EV160" s="19">
        <f t="shared" si="639"/>
        <v>11227137.08780125</v>
      </c>
      <c r="EW160" s="19">
        <f t="shared" si="640"/>
        <v>11227137.08780125</v>
      </c>
      <c r="EX160" s="19">
        <f t="shared" si="641"/>
        <v>11227137.08780125</v>
      </c>
      <c r="EY160" s="19">
        <f t="shared" si="642"/>
        <v>11227137.08780125</v>
      </c>
      <c r="EZ160" s="19">
        <f t="shared" si="611"/>
        <v>11788493.942191314</v>
      </c>
      <c r="FA160" s="19">
        <f t="shared" si="612"/>
        <v>11788493.942191314</v>
      </c>
      <c r="FB160" s="19">
        <f t="shared" si="613"/>
        <v>11788493.942191314</v>
      </c>
      <c r="FC160" s="19">
        <f t="shared" si="614"/>
        <v>11788493.942191314</v>
      </c>
      <c r="FE160" s="19">
        <f t="shared" si="615"/>
        <v>17456007.990000002</v>
      </c>
      <c r="FF160" s="19">
        <f t="shared" si="616"/>
        <v>20595913</v>
      </c>
      <c r="FG160" s="19">
        <f t="shared" si="617"/>
        <v>37515509.714333333</v>
      </c>
      <c r="FH160" s="19">
        <f t="shared" si="618"/>
        <v>42770046.048766665</v>
      </c>
      <c r="FI160" s="19">
        <f t="shared" si="619"/>
        <v>44908548.351204999</v>
      </c>
      <c r="FJ160" s="770">
        <f t="shared" si="537"/>
        <v>47153975.768765256</v>
      </c>
      <c r="FK160" s="545" t="s">
        <v>1</v>
      </c>
    </row>
    <row r="161" spans="2:167" x14ac:dyDescent="0.2">
      <c r="B161" s="225" t="s">
        <v>52</v>
      </c>
      <c r="C161" s="19">
        <f>'B2B- Non Repair'!C97+'Offline Distribution'!B60+'Screen Pro'!B38</f>
        <v>0</v>
      </c>
      <c r="D161" s="19">
        <f>'B2B- Non Repair'!D97+'Offline Distribution'!C60+'Screen Pro'!C38</f>
        <v>0</v>
      </c>
      <c r="E161" s="19">
        <f>'B2B- Non Repair'!E97+'Offline Distribution'!D60+'Screen Pro'!D38</f>
        <v>0</v>
      </c>
      <c r="F161" s="19">
        <f>'B2B- Non Repair'!F97+'Offline Distribution'!E60+'Screen Pro'!E38</f>
        <v>0</v>
      </c>
      <c r="G161" s="19">
        <f>'B2B- Non Repair'!G97+'Offline Distribution'!F60+'Screen Pro'!F38</f>
        <v>0</v>
      </c>
      <c r="H161" s="19">
        <f>'B2B- Non Repair'!H97+'Offline Distribution'!G60+'Screen Pro'!G38</f>
        <v>0</v>
      </c>
      <c r="I161" s="19">
        <f>'B2B- Non Repair'!I97+'Offline Distribution'!H60+'Screen Pro'!H38</f>
        <v>0</v>
      </c>
      <c r="J161" s="19">
        <f>'B2B- Non Repair'!J97+'Offline Distribution'!I60+'Screen Pro'!I38</f>
        <v>0</v>
      </c>
      <c r="K161" s="19">
        <f>'B2B- Non Repair'!K97+'Offline Distribution'!J60+'Screen Pro'!J38</f>
        <v>237005.34</v>
      </c>
      <c r="L161" s="19">
        <f>'B2B- Non Repair'!L97+'Offline Distribution'!K60+'Screen Pro'!K38</f>
        <v>1690417.1</v>
      </c>
      <c r="M161" s="19">
        <f>'B2B- Non Repair'!M97+'Offline Distribution'!L60+'Screen Pro'!L38</f>
        <v>222238.99</v>
      </c>
      <c r="N161" s="19">
        <f>'B2B- Non Repair'!N97+'Offline Distribution'!M60+'Screen Pro'!M38</f>
        <v>455254.41000000003</v>
      </c>
      <c r="O161" s="19">
        <f>'B2B- Non Repair'!O97+'Offline Distribution'!N60+'Screen Pro'!N38</f>
        <v>250563.82</v>
      </c>
      <c r="P161" s="19">
        <f>'B2B- Non Repair'!P97+'Offline Distribution'!O60+'Screen Pro'!O38</f>
        <v>265582.86</v>
      </c>
      <c r="Q161" s="19">
        <f>'B2B- Non Repair'!Q97+'Offline Distribution'!P60+'Screen Pro'!P38</f>
        <v>363720.98</v>
      </c>
      <c r="R161" s="19">
        <f>'B2B- Non Repair'!R97+'Offline Distribution'!Q60+'Screen Pro'!Q38</f>
        <v>556817.74</v>
      </c>
      <c r="S161" s="19">
        <f>'B2B- Non Repair'!S97+'Offline Distribution'!R60+'Screen Pro'!R38</f>
        <v>581718.23</v>
      </c>
      <c r="T161" s="19">
        <f>'B2B- Non Repair'!T97+'Offline Distribution'!S60+'Screen Pro'!S38</f>
        <v>308237.98</v>
      </c>
      <c r="U161" s="19">
        <f>'B2B- Non Repair'!U97+'Offline Distribution'!T60+'Screen Pro'!T38</f>
        <v>378882.9</v>
      </c>
      <c r="V161" s="19">
        <f>'B2B- Non Repair'!V97+'Offline Distribution'!U60+'Screen Pro'!U38</f>
        <v>335131.70999999996</v>
      </c>
      <c r="W161" s="19">
        <f>'B2B- Non Repair'!W97+'Offline Distribution'!V60+'Screen Pro'!V38</f>
        <v>192398.52000000002</v>
      </c>
      <c r="X161" s="19">
        <f>'B2B- Non Repair'!X97+'Offline Distribution'!W60+'Screen Pro'!W38</f>
        <v>890976</v>
      </c>
      <c r="Y161" s="19">
        <f>'B2B- Non Repair'!Y97+'Offline Distribution'!X60+'Screen Pro'!X38</f>
        <v>834604</v>
      </c>
      <c r="Z161" s="19">
        <f>'B2B- Non Repair'!Z97+'Offline Distribution'!Y60+'Screen Pro'!Y38</f>
        <v>372159.83999999997</v>
      </c>
      <c r="AA161" s="19">
        <f>'B2B- Non Repair'!AA97+'Offline Distribution'!Z60+'Screen Pro'!Z38</f>
        <v>761.1</v>
      </c>
      <c r="AB161" s="19">
        <f>'B2B- Non Repair'!AB97+'Offline Distribution'!AA60+'Screen Pro'!AA38</f>
        <v>202704.9</v>
      </c>
      <c r="AC161" s="19">
        <f>'B2B- Non Repair'!AC97+'Offline Distribution'!AB60+'Screen Pro'!AB38+'D2C - Retail'!C154</f>
        <v>91378.23</v>
      </c>
      <c r="AD161" s="19">
        <f>'B2B- Non Repair'!AD97+'Offline Distribution'!AC60+'Screen Pro'!AC38+'D2C - Retail'!D154</f>
        <v>724439.91999999993</v>
      </c>
      <c r="AE161" s="19">
        <f>'B2B- Non Repair'!AE97+'Offline Distribution'!AD60+'Screen Pro'!AD38+'D2C - Retail'!E154</f>
        <v>1115316.77</v>
      </c>
      <c r="AF161" s="19">
        <f>'B2B- Non Repair'!AF97+'Offline Distribution'!AE60+'Screen Pro'!AE38+'D2C - Retail'!F154</f>
        <v>1252594.19</v>
      </c>
      <c r="AG161" s="19">
        <f>'B2B- Non Repair'!AG97+'Offline Distribution'!AF60+'Screen Pro'!AF38+'D2C - Retail'!G154</f>
        <v>978560</v>
      </c>
      <c r="AH161" s="19">
        <f>'B2B- Non Repair'!AH97+'Offline Distribution'!AG60+'Screen Pro'!AG38+'D2C - Retail'!H154</f>
        <v>538272.23</v>
      </c>
      <c r="AI161" s="19">
        <f>'B2B- Non Repair'!AI97+'Offline Distribution'!AH60+'Screen Pro'!AH38+'D2C - Retail'!I154</f>
        <v>909836.44</v>
      </c>
      <c r="AJ161" s="19">
        <f>'B2B- Non Repair'!AJ97+'Offline Distribution'!AI60+'Screen Pro'!AI38+'D2C - Retail'!J154</f>
        <v>1819500.25</v>
      </c>
      <c r="AK161" s="19">
        <f>'B2B- Non Repair'!AK97+'Offline Distribution'!AJ60+'Screen Pro'!AJ38+'D2C - Retail'!K154</f>
        <v>1263848.6299999999</v>
      </c>
      <c r="AL161" s="19">
        <f>'B2B- Non Repair'!AL97+'Offline Distribution'!AK60+'Screen Pro'!AK38+'D2C - Retail'!L154</f>
        <v>1498019.74</v>
      </c>
      <c r="AM161" s="19">
        <f>'B2B- Non Repair'!AM97+'Offline Distribution'!AL60+'Screen Pro'!AL38+'D2C - Retail'!M154</f>
        <v>392614</v>
      </c>
      <c r="AN161" s="19">
        <f>'B2B- Non Repair'!AN97+'Offline Distribution'!AM60+'Screen Pro'!AM38+'D2C - Retail'!N154</f>
        <v>240564</v>
      </c>
      <c r="AO161" s="19">
        <f>'B2B- Non Repair'!AO97+'Offline Distribution'!AN60+'Screen Pro'!AN38+'D2C - Retail'!O154</f>
        <v>297053</v>
      </c>
      <c r="AP161" s="19">
        <f>'B2B- Non Repair'!AP97+'Offline Distribution'!AO60+'Screen Pro'!AO38+'D2C - Retail'!P154</f>
        <v>353339</v>
      </c>
      <c r="AQ161" s="19">
        <f>'B2B- Non Repair'!AQ97+'Offline Distribution'!AP60+'Screen Pro'!AP38+'D2C - Retail'!Q154</f>
        <v>825638</v>
      </c>
      <c r="AR161" s="19">
        <f>'B2B- Non Repair'!AR97+'Offline Distribution'!AQ60+'Screen Pro'!AQ38+'D2C - Retail'!R154</f>
        <v>652990.19999999995</v>
      </c>
      <c r="AS161" s="19">
        <f>'B2B- Non Repair'!AS97+'Offline Distribution'!AR60+'Screen Pro'!AR38+'D2C - Retail'!S154</f>
        <v>372560.74</v>
      </c>
      <c r="AT161" s="19">
        <f>'B2B- Non Repair'!AT97+'Offline Distribution'!AS60+'Screen Pro'!AS38+'D2C - Retail'!T154</f>
        <v>545191.4</v>
      </c>
      <c r="AU161" s="19">
        <f>'B2B- Non Repair'!AU97+'Offline Distribution'!AT60+'Screen Pro'!AT38+'D2C - Retail'!U154</f>
        <v>801576.48</v>
      </c>
      <c r="AV161" s="19">
        <f>'B2B- Non Repair'!AV97+'Offline Distribution'!AU60+'Screen Pro'!AU38+'D2C - Retail'!V154</f>
        <v>762934.23</v>
      </c>
      <c r="AW161" s="19">
        <f>'B2B- Non Repair'!AW97+'Offline Distribution'!AV60+'Screen Pro'!AV38+'D2C - Retail'!W154</f>
        <v>437841.04</v>
      </c>
      <c r="AX161" s="19">
        <f>'B2B- Non Repair'!AX97+'Offline Distribution'!AW60+'Screen Pro'!AW38+'D2C - Retail'!X154</f>
        <v>734555.99</v>
      </c>
      <c r="AY161" s="19">
        <f>'B2B- Non Repair'!AY97+'Offline Distribution'!AX60+'Screen Pro'!AX38+'D2C - Retail'!Y154</f>
        <v>3488058</v>
      </c>
      <c r="AZ161" s="19">
        <f>'B2B- Non Repair'!AZ97+'Offline Distribution'!AY60+'Screen Pro'!AY38+'D2C - Retail'!Z154</f>
        <v>857146.75</v>
      </c>
      <c r="BA161" s="19">
        <f>'B2B- Non Repair'!BA97+'Offline Distribution'!AZ60+'Screen Pro'!AZ38+'D2C - Retail'!AA154</f>
        <v>1259382</v>
      </c>
      <c r="BB161" s="19">
        <f>'B2B- Non Repair'!BB97+'Offline Distribution'!BA60+'Screen Pro'!BA38+'D2C - Retail'!AB154</f>
        <v>1037753</v>
      </c>
      <c r="BC161" s="19">
        <f>'B2B- Non Repair'!BC97+'Offline Distribution'!BB60+'Screen Pro'!BB38+'D2C - Retail'!AC154</f>
        <v>1669337</v>
      </c>
      <c r="BD161" s="19">
        <f>'B2B- Non Repair'!BD97+'Offline Distribution'!BC60+'Screen Pro'!BC38+'D2C - Retail'!AD154</f>
        <v>1976650</v>
      </c>
      <c r="BE161" s="19">
        <f>'B2B- Non Repair'!BE97+'Offline Distribution'!BD60+'Screen Pro'!BD38+'D2C - Retail'!AE154</f>
        <v>1657837.65</v>
      </c>
      <c r="BF161" s="19">
        <f>'B2B- Non Repair'!BF97+'Offline Distribution'!BE60+'Screen Pro'!BE38+'D2C - Retail'!AF154</f>
        <v>2131286</v>
      </c>
      <c r="BG161" s="19">
        <f>'B2B- Non Repair'!BG97+'Offline Distribution'!BF60+'Screen Pro'!BF38+'D2C - Retail'!AG154+'D2C Online'!AX141</f>
        <v>2833681.14</v>
      </c>
      <c r="BH161" s="19">
        <f>'B2B- Non Repair'!BH97+'Offline Distribution'!BG60+'Screen Pro'!BG38+'D2C - Retail'!AH154+'D2C Online'!AY141</f>
        <v>2393698.6</v>
      </c>
      <c r="BI161" s="19">
        <f>'B2B- Non Repair'!BI97+'Offline Distribution'!BH60+'Screen Pro'!BH38+'D2C - Retail'!AI154+'D2C Online'!AZ141</f>
        <v>1881762</v>
      </c>
      <c r="BJ161" s="19">
        <f>'B2B- Non Repair'!BJ97+'Offline Distribution'!BI60+'Screen Pro'!BI38+'D2C - Retail'!AJ154+'D2C Online'!BA141</f>
        <v>1951627</v>
      </c>
      <c r="BK161" s="19">
        <f>'B2B- Non Repair'!BK97+'Offline Distribution'!BJ60+'Screen Pro'!BJ38+'D2C - Retail'!AK154+'D2C Online'!BB141</f>
        <v>1529181</v>
      </c>
      <c r="BL161" s="19">
        <f>'B2B- Non Repair'!BL97+'Offline Distribution'!BK60+'Screen Pro'!BK38+'D2C - Retail'!AL154+'D2C Online'!BC141</f>
        <v>1619443.87</v>
      </c>
      <c r="BM161" s="19">
        <f>'B2B- Non Repair'!BM97+'Offline Distribution'!BL60+'Screen Pro'!BL38+'D2C - Retail'!AM154+'D2C Online'!BD141</f>
        <v>3862287</v>
      </c>
      <c r="BN161" s="19">
        <f>'B2B- Non Repair'!BN97+'Offline Distribution'!BM60+'Screen Pro'!BM38+'D2C - Retail'!AN154+'D2C Online'!BE141</f>
        <v>1823291</v>
      </c>
      <c r="BO161" s="19">
        <f>'B2B- Non Repair'!BO97+'Offline Distribution'!BN60+'Screen Pro'!BN38+'D2C - Retail'!AO154+'D2C Online'!BF141</f>
        <v>3003468</v>
      </c>
      <c r="BP161" s="19">
        <f>'B2B- Non Repair'!BP97+'Offline Distribution'!BO60+'Screen Pro'!BO38+'D2C - Retail'!AP154+'D2C Online'!BG141</f>
        <v>2098930.37</v>
      </c>
      <c r="BQ161" s="19">
        <f>'B2B- Non Repair'!BQ97+'Offline Distribution'!BP60+'Screen Pro'!BP38+'D2C - Retail'!AQ154+'D2C Online'!BH141</f>
        <v>1759874.6</v>
      </c>
      <c r="BR161" s="19">
        <f>'B2B- Non Repair'!BR97+'Offline Distribution'!BQ60+'Screen Pro'!BQ38+'D2C - Retail'!AR154+'D2C Online'!BI141</f>
        <v>2215788.27</v>
      </c>
      <c r="BS161" s="19">
        <f>'B2B- Non Repair'!BS97+'Offline Distribution'!BR60+'Screen Pro'!BR38+'D2C - Retail'!AS154+'D2C Online'!BJ141</f>
        <v>2140571</v>
      </c>
      <c r="BT161" s="19">
        <f>'B2B- Non Repair'!BT97+'Offline Distribution'!BS60+'Screen Pro'!BS38+'D2C - Retail'!AT154+'D2C Online'!BK141</f>
        <v>1846941.73</v>
      </c>
      <c r="BU161" s="19">
        <f>'B2B- Non Repair'!BU97+'Offline Distribution'!BT60+'Screen Pro'!BT38+'D2C - Retail'!AU154+'D2C Online'!BL141</f>
        <v>1795812.31</v>
      </c>
      <c r="BV161" s="19">
        <f>'B2B- Non Repair'!BV97+'Offline Distribution'!BU60+'Screen Pro'!BU38+'D2C - Retail'!AV154+'D2C Online'!BM141</f>
        <v>1672425.25</v>
      </c>
      <c r="BW161" s="19">
        <f>'B2B- Non Repair'!BW97+'Offline Distribution'!BV60+'Screen Pro'!BV38+'D2C - Retail'!AW154+'D2C Online'!BN141</f>
        <v>1475271.8900000001</v>
      </c>
      <c r="BX161" s="19">
        <f>'B2B- Non Repair'!BX97+'Offline Distribution'!BW60+'Screen Pro'!BW38+'D2C - Retail'!AX154+'D2C Online'!BO141</f>
        <v>1227080.46</v>
      </c>
      <c r="BY161" s="19">
        <f>'B2B- Non Repair'!BY97+'Offline Distribution'!BX60+'Screen Pro'!BX38+'D2C - Retail'!AY154+'D2C Online'!BP141</f>
        <v>1863648.84</v>
      </c>
      <c r="BZ161" s="19">
        <f>'B2B- Non Repair'!BZ97+'Offline Distribution'!BY60+'Screen Pro'!BY38+'D2C - Retail'!AZ154+'D2C Online'!BQ141</f>
        <v>1323180.49</v>
      </c>
      <c r="CA161" s="19">
        <f>'B2B- Non Repair'!CA97+'Offline Distribution'!BZ60+'Screen Pro'!BZ38+'D2C - Retail'!BA154+'D2C Online'!BR141+Marketplace!CA30</f>
        <v>2198775.91</v>
      </c>
      <c r="CB161" s="19">
        <f>'B2B- Non Repair'!CB97+'Offline Distribution'!CA60+'Screen Pro'!CA38+'D2C - Retail'!BB154+'D2C Online'!BS141+Marketplace!CB30</f>
        <v>1913513</v>
      </c>
      <c r="CC161" s="19">
        <f>'B2B- Non Repair'!CC97+'Offline Distribution'!CB60+'Screen Pro'!CB38+'D2C - Retail'!BC154+'D2C Online'!BT141+Marketplace!CC30</f>
        <v>1705855.96</v>
      </c>
      <c r="CD161" s="19">
        <f>'B2B- Non Repair'!CD97+'Offline Distribution'!CC60+'Screen Pro'!CC38+'D2C - Retail'!BD154+'D2C Online'!BU141+Marketplace!CD30</f>
        <v>2057435.8</v>
      </c>
      <c r="CE161" s="19">
        <f>'B2B- Non Repair'!CE97+'Offline Distribution'!CD60+'Screen Pro'!CD38+'D2C - Retail'!BE154+'D2C Online'!BV141+Marketplace!CE30</f>
        <v>1954938.94</v>
      </c>
      <c r="CF161" s="19">
        <f>'B2B- Non Repair'!CF97+'Offline Distribution'!CE60+'Screen Pro'!CE38+'D2C - Retail'!BF154+'D2C Online'!BW141+Marketplace!CF30</f>
        <v>2732023</v>
      </c>
      <c r="CG161" s="19">
        <f>'B2B- Non Repair'!CG97+'Offline Distribution'!CF60+'Screen Pro'!CF38+'D2C - Retail'!BG154+'D2C Online'!BX141+Marketplace!CG30</f>
        <v>3134141.65</v>
      </c>
      <c r="CH161" s="19">
        <f>'B2B- Non Repair'!CH97+'Offline Distribution'!CG60+'Screen Pro'!CG38+'D2C - Retail'!BH154+'D2C Online'!BY141+Marketplace!CH30</f>
        <v>7260834.2799999993</v>
      </c>
      <c r="CI161" s="19">
        <f>'B2B- Non Repair'!CI97+'Offline Distribution'!CH60+'Screen Pro'!CH38+'D2C - Retail'!BI154+'D2C Online'!BZ141+Marketplace!CI30</f>
        <v>4235199</v>
      </c>
      <c r="CJ161" s="19">
        <f>'B2B- Non Repair'!CJ97+'Offline Distribution'!CI60+'Screen Pro'!CI38+'D2C - Retail'!BJ154+'D2C Online'!CA141+Marketplace!CJ30</f>
        <v>2341413</v>
      </c>
      <c r="CK161" s="19">
        <f>'B2B- Non Repair'!CK97+'Offline Distribution'!CJ60+'Screen Pro'!CJ38+'D2C - Retail'!BK154+'D2C Online'!CB141+Marketplace!CK30</f>
        <v>2820540.78</v>
      </c>
      <c r="CL161" s="19">
        <f>'B2B- Non Repair'!CL97+'Offline Distribution'!CK60+'Screen Pro'!CK38+'D2C - Retail'!BL154+'D2C Online'!CC141+Marketplace!CL30</f>
        <v>3082249</v>
      </c>
      <c r="CM161" s="19">
        <f>'B2B- Non Repair'!CM97+'Offline Distribution'!CL60+'Screen Pro'!CL38+'D2C - Retail'!BM154+'D2C Online'!CD141+Marketplace!CM30</f>
        <v>2316790.6799999997</v>
      </c>
      <c r="CN161" s="19">
        <f>'B2B- Non Repair'!CN97+'Offline Distribution'!CM60+'Screen Pro'!CM38+'D2C - Retail'!BN154+'D2C Online'!CE141+Marketplace!CN30</f>
        <v>3267925.9</v>
      </c>
      <c r="CO161" s="19">
        <f>'B2B- Non Repair'!CO97+'Offline Distribution'!CN60+'Screen Pro'!CN38+'D2C - Retail'!BO154+'D2C Online'!CF141+Marketplace!CO30</f>
        <v>4640172</v>
      </c>
      <c r="CP161" s="19">
        <f>'B2B- Non Repair'!CP97+'Offline Distribution'!CO60+'Screen Pro'!CO38+'D2C - Retail'!BP154+'D2C Online'!CG141+Marketplace!CP30</f>
        <v>3566588.98</v>
      </c>
      <c r="CQ161" s="19">
        <f>'B2B- Non Repair'!CQ97+'Offline Distribution'!CP60+'Screen Pro'!CP38+'D2C - Retail'!BQ154+'D2C Online'!CH141+Marketplace!CQ30</f>
        <v>4325640</v>
      </c>
      <c r="CR161" s="19">
        <f>'B2B- Non Repair'!CR97+'Offline Distribution'!CQ60+'Screen Pro'!CQ38+'D2C - Retail'!BR154+'D2C Online'!CI141+Marketplace!CR30</f>
        <v>4368071.54</v>
      </c>
      <c r="CS161" s="19">
        <f>'B2B- Non Repair'!CS97+'Offline Distribution'!CR60+'Screen Pro'!CR38+'D2C - Retail'!BS154+'D2C Online'!CJ141+Marketplace!CS30</f>
        <v>2416510.6800000002</v>
      </c>
      <c r="CT161" s="19">
        <f>'B2B- Non Repair'!CT97+'Offline Distribution'!CS60+'Screen Pro'!CS38+'D2C - Retail'!BT154+'D2C Online'!CK141+Marketplace!CT30</f>
        <v>3331571.68</v>
      </c>
      <c r="CU161" s="19">
        <f>'B2B- Non Repair'!CU97+'Offline Distribution'!CT60+'Screen Pro'!CT38+'D2C - Retail'!BU154+'D2C Online'!CL141+Marketplace!CU30</f>
        <v>3442099.9625833337</v>
      </c>
      <c r="CV161" s="19">
        <f>'B2B- Non Repair'!CV97+'Offline Distribution'!CU60+'Screen Pro'!CU38+'D2C - Retail'!BV154+'D2C Online'!CM141+Marketplace!CV30</f>
        <v>3445079.1910505621</v>
      </c>
      <c r="CW161" s="19">
        <f>'B2B- Non Repair'!CW97+'Offline Distribution'!CV60+'Screen Pro'!CV38+'D2C - Retail'!BW154+'D2C Online'!CN141+Marketplace!CW30</f>
        <v>3444867.6482008183</v>
      </c>
      <c r="CX161" s="19">
        <f>'B2B- Non Repair'!CX97+'Offline Distribution'!CW60+'Screen Pro'!CW38+'D2C - Retail'!BX154+'D2C Online'!CO141+Marketplace!CX30</f>
        <v>3449327.6766162552</v>
      </c>
      <c r="CY161" s="19">
        <f>'B2B- Non Repair'!CY97+'Offline Distribution'!CX60+'Screen Pro'!CX38+'D2C - Retail'!BY154+'D2C Online'!CP141+Marketplace!CY30</f>
        <v>3432016.4200788671</v>
      </c>
      <c r="CZ161" s="19">
        <f>'B2B- Non Repair'!CZ97+'Offline Distribution'!CY60+'Screen Pro'!CY38+'D2C - Retail'!BZ154+'D2C Online'!CQ141+Marketplace!CZ30</f>
        <v>3458565.0477217454</v>
      </c>
      <c r="DA161" s="19">
        <f>'B2B- Non Repair'!DA97+'Offline Distribution'!CZ60+'Screen Pro'!CZ38+'D2C - Retail'!CA154+'D2C Online'!CR141+Marketplace!DA30</f>
        <v>3450015.1908779237</v>
      </c>
      <c r="DB161" s="19">
        <f>'B2B- Non Repair'!DB97+'Offline Distribution'!DA60+'Screen Pro'!DA38+'D2C - Retail'!CB154+'D2C Online'!CS141+Marketplace!DB30</f>
        <v>3450720.3337104036</v>
      </c>
      <c r="DC161" s="19">
        <f>'B2B- Non Repair'!DC97+'Offline Distribution'!DB60+'Screen Pro'!DB38+'D2C - Retail'!CC154+'D2C Online'!CT141+Marketplace!DC30</f>
        <v>3519277.8455982888</v>
      </c>
      <c r="DD161" s="19">
        <f>'B2B- Non Repair'!DD97+'Offline Distribution'!DC60+'Screen Pro'!DC38+'D2C - Retail'!CD154+'D2C Online'!CU141+Marketplace!DD30</f>
        <v>3547941.9017386083</v>
      </c>
      <c r="DE161" s="19">
        <f>'B2B- Non Repair'!DE97+'Offline Distribution'!DD60+'Screen Pro'!DD38+'D2C - Retail'!CE154+'D2C Online'!CV141+Marketplace!DE30</f>
        <v>3491072.1322990819</v>
      </c>
      <c r="DF161" s="19">
        <f>'B2B- Non Repair'!DF97+'Offline Distribution'!DE60+'Screen Pro'!DE38+'D2C - Retail'!CF154+'D2C Online'!CW141+Marketplace!DF30</f>
        <v>3518607.959907433</v>
      </c>
      <c r="DG161" s="19">
        <f>'B2B- Non Repair'!DG97+'Offline Distribution'!DF60+'Screen Pro'!DF38+'D2C - Retail'!CG154+'D2C Online'!CX141+Marketplace!DG30</f>
        <v>3653576.1259783339</v>
      </c>
      <c r="DH161" s="19">
        <f>'B2B- Non Repair'!DH97+'Offline Distribution'!DG60+'Screen Pro'!DG38+'D2C - Retail'!CH154+'D2C Online'!CY141+Marketplace!DH30</f>
        <v>3657105.0220977664</v>
      </c>
      <c r="DI161" s="19">
        <f>'B2B- Non Repair'!DI97+'Offline Distribution'!DH60+'Screen Pro'!DH38+'D2C - Retail'!CI154+'D2C Online'!CZ141+Marketplace!DI30</f>
        <v>3656854.4495922443</v>
      </c>
      <c r="DJ161" s="19">
        <f>'B2B- Non Repair'!DJ97+'Offline Distribution'!DI60+'Screen Pro'!DI38+'D2C - Retail'!CJ154+'D2C Online'!DA141+Marketplace!DJ30</f>
        <v>3662137.3532503298</v>
      </c>
      <c r="DK161" s="19">
        <f>'B2B- Non Repair'!DK97+'Offline Distribution'!DJ60+'Screen Pro'!DJ38+'D2C - Retail'!CK154+'D2C Online'!DB141+Marketplace!DK30</f>
        <v>3641632.1698817932</v>
      </c>
      <c r="DL161" s="19">
        <f>'B2B- Non Repair'!DL97+'Offline Distribution'!DK60+'Screen Pro'!DK38+'D2C - Retail'!CL154+'D2C Online'!DC141+Marketplace!DL30</f>
        <v>3673079.0193247832</v>
      </c>
      <c r="DM161" s="19">
        <f>'B2B- Non Repair'!DM97+'Offline Distribution'!DL60+'Screen Pro'!DL38+'D2C - Retail'!CM154+'D2C Online'!DD141+Marketplace!DM30</f>
        <v>3662951.7138932757</v>
      </c>
      <c r="DN161" s="19">
        <f>'B2B- Non Repair'!DN97+'Offline Distribution'!DM60+'Screen Pro'!DM38+'D2C - Retail'!CN154+'D2C Online'!DE141+Marketplace!DN30</f>
        <v>3663786.9555783486</v>
      </c>
      <c r="DO161" s="19">
        <f>'B2B- Non Repair'!DO97+'Offline Distribution'!DN60+'Screen Pro'!DN38+'D2C - Retail'!CO154+'D2C Online'!DF141+Marketplace!DO30</f>
        <v>3744993.3284095484</v>
      </c>
      <c r="DP161" s="19">
        <f>'B2B- Non Repair'!DP97+'Offline Distribution'!DO60+'Screen Pro'!DO38+'D2C - Retail'!CP154+'D2C Online'!DG141+Marketplace!DP30</f>
        <v>3778945.9029077566</v>
      </c>
      <c r="DQ161" s="19">
        <f>'B2B- Non Repair'!DQ97+'Offline Distribution'!DP60+'Screen Pro'!DP38+'D2C - Retail'!CQ154+'D2C Online'!DH141+Marketplace!DQ30</f>
        <v>3711583.6610066378</v>
      </c>
      <c r="DR161" s="19">
        <f>'B2B- Non Repair'!DR97+'Offline Distribution'!DQ60+'Screen Pro'!DQ38+'D2C - Retail'!CR154+'D2C Online'!DI141+Marketplace!DR30</f>
        <v>3744199.8488087291</v>
      </c>
      <c r="DS161" s="19">
        <f>'B2B- Non Repair'!DS97+'Offline Distribution'!DR60+'Screen Pro'!DR38+'D2C - Retail'!CS154+'D2C Online'!DJ141+Marketplace!DS30</f>
        <v>3882890.07753463</v>
      </c>
      <c r="DT161" s="19">
        <f>'B2B- Non Repair'!DT97+'Offline Distribution'!DS60+'Screen Pro'!DS38+'D2C - Retail'!CT154+'D2C Online'!DK141+Marketplace!DT30</f>
        <v>3887070.0549880979</v>
      </c>
      <c r="DU161" s="19">
        <f>'B2B- Non Repair'!DU97+'Offline Distribution'!DT60+'Screen Pro'!DT38+'D2C - Retail'!CU154+'D2C Online'!DL141+Marketplace!DU30</f>
        <v>3886773.2518553073</v>
      </c>
      <c r="DV161" s="19">
        <f>'B2B- Non Repair'!DV97+'Offline Distribution'!DU60+'Screen Pro'!DU38+'D2C - Retail'!CV154+'D2C Online'!DM141+Marketplace!DV30</f>
        <v>3893030.8512383094</v>
      </c>
      <c r="DW161" s="19">
        <f>'B2B- Non Repair'!DW97+'Offline Distribution'!DV60+'Screen Pro'!DV38+'D2C - Retail'!CW154+'D2C Online'!DN141+Marketplace!DW30</f>
        <v>3868742.461538278</v>
      </c>
      <c r="DX161" s="19">
        <f>'B2B- Non Repair'!DX97+'Offline Distribution'!DW60+'Screen Pro'!DW38+'D2C - Retail'!CX154+'D2C Online'!DO141+Marketplace!DX30</f>
        <v>3905991.2547034994</v>
      </c>
      <c r="DY161" s="19">
        <f>'B2B- Non Repair'!DY97+'Offline Distribution'!DX60+'Screen Pro'!DX38+'D2C - Retail'!CY154+'D2C Online'!DP141+Marketplace!DY30</f>
        <v>3893995.4614198785</v>
      </c>
      <c r="DZ161" s="19">
        <f>'B2B- Non Repair'!DZ97+'Offline Distribution'!DY60+'Screen Pro'!DY38+'D2C - Retail'!CZ154+'D2C Online'!DQ141+Marketplace!DZ30</f>
        <v>3894984.8051958475</v>
      </c>
      <c r="EA161" s="19">
        <f>'B2B- Non Repair'!EA97+'Offline Distribution'!DZ60+'Screen Pro'!DZ38+'D2C - Retail'!DA154+'D2C Online'!DR141+Marketplace!EA30</f>
        <v>3991173.7538144039</v>
      </c>
      <c r="EB161" s="19">
        <f>'B2B- Non Repair'!EB97+'Offline Distribution'!EA60+'Screen Pro'!EA38+'D2C - Retail'!DB154+'D2C Online'!DS141+Marketplace!EB30</f>
        <v>4031390.5783075313</v>
      </c>
      <c r="EC161" s="19">
        <f>'B2B- Non Repair'!EC97+'Offline Distribution'!EB60+'Screen Pro'!EB38+'D2C - Retail'!DC154+'D2C Online'!DT141+Marketplace!EC30</f>
        <v>3951600.0027756561</v>
      </c>
      <c r="ED161" s="19">
        <f>'B2B- Non Repair'!ED97+'Offline Distribution'!EC60+'Screen Pro'!EC38+'D2C - Retail'!DD154+'D2C Online'!DU141+Marketplace!ED30</f>
        <v>3990233.8772272337</v>
      </c>
      <c r="EE161" s="222"/>
      <c r="EF161" s="19">
        <f t="shared" si="623"/>
        <v>7010911.8700000001</v>
      </c>
      <c r="EG161" s="19">
        <f t="shared" si="624"/>
        <v>6925689.3700000001</v>
      </c>
      <c r="EH161" s="19">
        <f t="shared" si="625"/>
        <v>6116233.8700000001</v>
      </c>
      <c r="EI161" s="19">
        <f t="shared" si="626"/>
        <v>5315179.29</v>
      </c>
      <c r="EJ161" s="19">
        <f t="shared" si="627"/>
        <v>4566001.1900000004</v>
      </c>
      <c r="EK161" s="19">
        <f t="shared" si="628"/>
        <v>5435469.4000000004</v>
      </c>
      <c r="EL161" s="19">
        <f t="shared" si="629"/>
        <v>5718230.6999999993</v>
      </c>
      <c r="EM161" s="19">
        <f t="shared" si="630"/>
        <v>13126998.93</v>
      </c>
      <c r="EN161" s="19">
        <f t="shared" si="631"/>
        <v>9397152.7799999993</v>
      </c>
      <c r="EO161" s="19">
        <f t="shared" si="632"/>
        <v>8666965.5800000001</v>
      </c>
      <c r="EP161" s="19">
        <f t="shared" si="633"/>
        <v>12532400.98</v>
      </c>
      <c r="EQ161" s="19">
        <f t="shared" si="634"/>
        <v>10116153.9</v>
      </c>
      <c r="ER161" s="19">
        <f t="shared" si="635"/>
        <v>10332046.801834714</v>
      </c>
      <c r="ES161" s="19">
        <f t="shared" si="636"/>
        <v>10339909.144416869</v>
      </c>
      <c r="ET161" s="19">
        <f t="shared" si="637"/>
        <v>10420013.370186616</v>
      </c>
      <c r="EU161" s="19">
        <f t="shared" si="638"/>
        <v>10557621.993945124</v>
      </c>
      <c r="EV161" s="19">
        <f t="shared" si="639"/>
        <v>10967535.597668344</v>
      </c>
      <c r="EW161" s="19">
        <f t="shared" si="640"/>
        <v>10976848.542456906</v>
      </c>
      <c r="EX161" s="19">
        <f t="shared" si="641"/>
        <v>11071731.997881172</v>
      </c>
      <c r="EY161" s="19">
        <f t="shared" si="642"/>
        <v>11234729.412723124</v>
      </c>
      <c r="EZ161" s="19">
        <f t="shared" si="611"/>
        <v>11656733.384378035</v>
      </c>
      <c r="FA161" s="19">
        <f t="shared" si="612"/>
        <v>11667764.567480087</v>
      </c>
      <c r="FB161" s="19">
        <f t="shared" si="613"/>
        <v>11780154.020430129</v>
      </c>
      <c r="FC161" s="19">
        <f t="shared" si="614"/>
        <v>11973224.458310422</v>
      </c>
      <c r="FE161" s="19">
        <f t="shared" si="615"/>
        <v>25368014.399999999</v>
      </c>
      <c r="FF161" s="19">
        <f t="shared" si="616"/>
        <v>28846700.219999999</v>
      </c>
      <c r="FG161" s="19">
        <f t="shared" si="617"/>
        <v>40712673.240000002</v>
      </c>
      <c r="FH161" s="19">
        <f t="shared" si="618"/>
        <v>41649591.31038332</v>
      </c>
      <c r="FI161" s="19">
        <f t="shared" si="619"/>
        <v>44250845.55072955</v>
      </c>
      <c r="FJ161" s="770">
        <f t="shared" si="537"/>
        <v>47077876.430598676</v>
      </c>
      <c r="FK161" s="545" t="s">
        <v>1</v>
      </c>
    </row>
    <row r="162" spans="2:167" x14ac:dyDescent="0.2">
      <c r="B162" s="225" t="s">
        <v>284</v>
      </c>
      <c r="C162" s="19">
        <f>'Screen Pro'!B37</f>
        <v>0</v>
      </c>
      <c r="D162" s="19">
        <f>'Screen Pro'!C37</f>
        <v>0</v>
      </c>
      <c r="E162" s="19">
        <f>'Screen Pro'!D37</f>
        <v>0</v>
      </c>
      <c r="F162" s="19">
        <f>'Screen Pro'!E37</f>
        <v>0</v>
      </c>
      <c r="G162" s="19">
        <f>'Screen Pro'!F37</f>
        <v>0</v>
      </c>
      <c r="H162" s="19">
        <f>'Screen Pro'!G37</f>
        <v>0</v>
      </c>
      <c r="I162" s="19">
        <f>'Screen Pro'!H37</f>
        <v>0</v>
      </c>
      <c r="J162" s="19">
        <f>'Screen Pro'!I37</f>
        <v>0</v>
      </c>
      <c r="K162" s="19">
        <f>'Screen Pro'!J37</f>
        <v>0</v>
      </c>
      <c r="L162" s="19">
        <f>'Screen Pro'!K37</f>
        <v>0</v>
      </c>
      <c r="M162" s="19">
        <f>'Screen Pro'!L37</f>
        <v>2897.29</v>
      </c>
      <c r="N162" s="19">
        <f>'Screen Pro'!M37</f>
        <v>3540</v>
      </c>
      <c r="O162" s="19">
        <f>'Screen Pro'!N37</f>
        <v>2852.26</v>
      </c>
      <c r="P162" s="19">
        <f>'Screen Pro'!O37</f>
        <v>2835.05</v>
      </c>
      <c r="Q162" s="19">
        <f>'Screen Pro'!P37</f>
        <v>69771.899999999994</v>
      </c>
      <c r="R162" s="19">
        <f>'Screen Pro'!Q37</f>
        <v>2809.7</v>
      </c>
      <c r="S162" s="19">
        <f>'Screen Pro'!R37</f>
        <v>2809.12</v>
      </c>
      <c r="T162" s="19">
        <f>'Screen Pro'!S37</f>
        <v>2766.97</v>
      </c>
      <c r="U162" s="19">
        <f>'Screen Pro'!T37</f>
        <v>2760.42</v>
      </c>
      <c r="V162" s="19">
        <f>'Screen Pro'!U37</f>
        <v>2790.33</v>
      </c>
      <c r="W162" s="19">
        <f>'Screen Pro'!V37</f>
        <v>2782.75</v>
      </c>
      <c r="X162" s="19">
        <f>'Screen Pro'!W37</f>
        <v>0</v>
      </c>
      <c r="Y162" s="19">
        <f>'Screen Pro'!X37</f>
        <v>3101.84</v>
      </c>
      <c r="Z162" s="19">
        <f>'Screen Pro'!Y37</f>
        <v>3254.24</v>
      </c>
      <c r="AA162" s="19">
        <f>'Screen Pro'!Z37</f>
        <v>0</v>
      </c>
      <c r="AB162" s="19">
        <f>'Screen Pro'!AA37</f>
        <v>0</v>
      </c>
      <c r="AC162" s="19">
        <f>'Screen Pro'!AB37</f>
        <v>0</v>
      </c>
      <c r="AD162" s="19">
        <f>'Screen Pro'!AC37</f>
        <v>0</v>
      </c>
      <c r="AE162" s="19">
        <f>'Screen Pro'!AD37</f>
        <v>0</v>
      </c>
      <c r="AF162" s="19">
        <f>'Screen Pro'!AE37</f>
        <v>0</v>
      </c>
      <c r="AG162" s="19">
        <f>'Screen Pro'!AF37</f>
        <v>0</v>
      </c>
      <c r="AH162" s="19">
        <f>'Screen Pro'!AG37</f>
        <v>0</v>
      </c>
      <c r="AI162" s="19">
        <f>'Screen Pro'!AH37</f>
        <v>0</v>
      </c>
      <c r="AJ162" s="19">
        <f>'Screen Pro'!AI37</f>
        <v>0</v>
      </c>
      <c r="AK162" s="19">
        <f>'Screen Pro'!AJ37</f>
        <v>0</v>
      </c>
      <c r="AL162" s="19">
        <f>'Screen Pro'!AK37</f>
        <v>0</v>
      </c>
      <c r="AM162" s="19">
        <f>'Screen Pro'!AL37</f>
        <v>0</v>
      </c>
      <c r="AN162" s="19">
        <f>'Screen Pro'!AM37</f>
        <v>0</v>
      </c>
      <c r="AO162" s="19">
        <f>'Screen Pro'!AN37</f>
        <v>0</v>
      </c>
      <c r="AP162" s="19">
        <f>'Screen Pro'!AO37</f>
        <v>0</v>
      </c>
      <c r="AQ162" s="19">
        <f>'Screen Pro'!AP37</f>
        <v>0</v>
      </c>
      <c r="AR162" s="19">
        <f>'Screen Pro'!AQ37</f>
        <v>0</v>
      </c>
      <c r="AS162" s="19">
        <f>'Screen Pro'!AR37</f>
        <v>0</v>
      </c>
      <c r="AT162" s="19">
        <f>'Screen Pro'!AS37</f>
        <v>0</v>
      </c>
      <c r="AU162" s="19">
        <f>'Screen Pro'!AT37</f>
        <v>0</v>
      </c>
      <c r="AV162" s="19">
        <f>'Screen Pro'!AU37</f>
        <v>0</v>
      </c>
      <c r="AW162" s="19">
        <f>'Screen Pro'!AV37</f>
        <v>0</v>
      </c>
      <c r="AX162" s="19">
        <f>'Screen Pro'!AW37</f>
        <v>0</v>
      </c>
      <c r="AY162" s="19">
        <f>'Screen Pro'!AX37</f>
        <v>0</v>
      </c>
      <c r="AZ162" s="19">
        <f>'Screen Pro'!AY37</f>
        <v>0</v>
      </c>
      <c r="BA162" s="19">
        <f>'Screen Pro'!AZ37</f>
        <v>0</v>
      </c>
      <c r="BB162" s="19">
        <f>'Screen Pro'!BA37</f>
        <v>0</v>
      </c>
      <c r="BC162" s="19">
        <f>'Screen Pro'!BB37</f>
        <v>0</v>
      </c>
      <c r="BD162" s="19">
        <f>'D2C - Retail'!AD155</f>
        <v>0</v>
      </c>
      <c r="BE162" s="19">
        <f>'D2C - Retail'!AE155</f>
        <v>0</v>
      </c>
      <c r="BF162" s="19">
        <f>'D2C - Retail'!AF155</f>
        <v>0</v>
      </c>
      <c r="BG162" s="19">
        <f>'D2C - Retail'!AG155</f>
        <v>0</v>
      </c>
      <c r="BH162" s="19">
        <f>'D2C - Retail'!AH155</f>
        <v>0</v>
      </c>
      <c r="BI162" s="19">
        <f>'D2C - Retail'!AI155</f>
        <v>0</v>
      </c>
      <c r="BJ162" s="19">
        <f>'D2C - Retail'!AJ155</f>
        <v>0</v>
      </c>
      <c r="BK162" s="19">
        <f>'D2C - Retail'!AK155</f>
        <v>0</v>
      </c>
      <c r="BL162" s="19">
        <f>'D2C - Retail'!AL155</f>
        <v>0</v>
      </c>
      <c r="BM162" s="19">
        <f>'D2C - Retail'!AM155</f>
        <v>0</v>
      </c>
      <c r="BN162" s="19">
        <f>'D2C - Retail'!AN155</f>
        <v>0</v>
      </c>
      <c r="BO162" s="19">
        <f>'D2C - Retail'!AO155</f>
        <v>0</v>
      </c>
      <c r="BP162" s="19">
        <f>'D2C - Retail'!AP155</f>
        <v>0</v>
      </c>
      <c r="BQ162" s="19">
        <f>'D2C - Retail'!AQ155</f>
        <v>0</v>
      </c>
      <c r="BR162" s="19">
        <f>'D2C - Retail'!AR155</f>
        <v>0</v>
      </c>
      <c r="BS162" s="19">
        <f>'D2C - Retail'!AS155</f>
        <v>0</v>
      </c>
      <c r="BT162" s="19">
        <f>'D2C - Retail'!AT155</f>
        <v>0</v>
      </c>
      <c r="BU162" s="19">
        <f>'D2C - Retail'!AU155</f>
        <v>0</v>
      </c>
      <c r="BV162" s="19">
        <f>'D2C - Retail'!AV155</f>
        <v>0</v>
      </c>
      <c r="BW162" s="19">
        <f>'D2C - Retail'!AW155</f>
        <v>0</v>
      </c>
      <c r="BX162" s="19">
        <f>'D2C - Retail'!AX155</f>
        <v>0</v>
      </c>
      <c r="BY162" s="19">
        <f>'D2C - Retail'!AY155</f>
        <v>0</v>
      </c>
      <c r="BZ162" s="19">
        <f>'D2C - Retail'!AZ155</f>
        <v>0</v>
      </c>
      <c r="CA162" s="19">
        <f>'D2C - Retail'!BA155</f>
        <v>0</v>
      </c>
      <c r="CB162" s="19">
        <f>'D2C - Retail'!BB155</f>
        <v>0</v>
      </c>
      <c r="CC162" s="19">
        <f>'D2C - Retail'!BC155</f>
        <v>0</v>
      </c>
      <c r="CD162" s="19">
        <f>'D2C - Retail'!BD155</f>
        <v>0</v>
      </c>
      <c r="CE162" s="19">
        <f>'D2C - Retail'!BE155</f>
        <v>0</v>
      </c>
      <c r="CF162" s="19">
        <f>'D2C - Retail'!BF155</f>
        <v>0</v>
      </c>
      <c r="CG162" s="19">
        <f>'D2C - Retail'!BG155</f>
        <v>0</v>
      </c>
      <c r="CH162" s="19">
        <f>'D2C - Retail'!BH155</f>
        <v>0</v>
      </c>
      <c r="CI162" s="19">
        <f>'D2C - Retail'!BI155</f>
        <v>375233</v>
      </c>
      <c r="CJ162" s="19">
        <f>'D2C - Retail'!BJ155</f>
        <v>0</v>
      </c>
      <c r="CK162" s="19">
        <f>'D2C - Retail'!BK155</f>
        <v>0</v>
      </c>
      <c r="CL162" s="19">
        <f>'D2C - Retail'!BL155</f>
        <v>0</v>
      </c>
      <c r="CM162" s="19">
        <f>'D2C - Retail'!BM155</f>
        <v>0</v>
      </c>
      <c r="CN162" s="19">
        <f>'D2C - Retail'!BN155</f>
        <v>0</v>
      </c>
      <c r="CO162" s="19">
        <f>'D2C - Retail'!BO155</f>
        <v>1747000</v>
      </c>
      <c r="CP162" s="19">
        <f>'D2C - Retail'!BP155</f>
        <v>989502.54237288143</v>
      </c>
      <c r="CQ162" s="19">
        <f>'D2C - Retail'!BQ155</f>
        <v>3020777</v>
      </c>
      <c r="CR162" s="19">
        <f>'D2C - Retail'!BR155</f>
        <v>2350406.31</v>
      </c>
      <c r="CS162" s="19">
        <f>'D2C - Retail'!BS155</f>
        <v>2700268</v>
      </c>
      <c r="CT162" s="19">
        <f>'D2C - Retail'!BT155</f>
        <v>6928584.6271186443</v>
      </c>
      <c r="CU162" s="19">
        <f>'D2C - Retail'!BU155</f>
        <v>5781209.4383778051</v>
      </c>
      <c r="CV162" s="19">
        <f>'D2C - Retail'!BV155</f>
        <v>5661550.8162980992</v>
      </c>
      <c r="CW162" s="19">
        <f>'D2C - Retail'!BW155</f>
        <v>5649749.4331742506</v>
      </c>
      <c r="CX162" s="19">
        <f>'D2C - Retail'!BX155</f>
        <v>6117918.8324031308</v>
      </c>
      <c r="CY162" s="19">
        <f>'D2C - Retail'!BY155</f>
        <v>5466050.6137538999</v>
      </c>
      <c r="CZ162" s="19">
        <f>'D2C - Retail'!BZ155</f>
        <v>5075728.8852033094</v>
      </c>
      <c r="DA162" s="19">
        <f>'D2C - Retail'!CA155</f>
        <v>6333280.5713553587</v>
      </c>
      <c r="DB162" s="19">
        <f>'D2C - Retail'!CB155</f>
        <v>5832523.3374363389</v>
      </c>
      <c r="DC162" s="19">
        <f>'D2C - Retail'!CC155</f>
        <v>6938501.7535098642</v>
      </c>
      <c r="DD162" s="19">
        <f>'D2C - Retail'!CD155</f>
        <v>7108931.8726724023</v>
      </c>
      <c r="DE162" s="19">
        <f>'D2C - Retail'!CE155</f>
        <v>6610579.0241964757</v>
      </c>
      <c r="DF162" s="19">
        <f>'D2C - Retail'!CF155</f>
        <v>7689837.1015332406</v>
      </c>
      <c r="DG162" s="19">
        <f>'D2C - Retail'!CG155</f>
        <v>7069696.8074526303</v>
      </c>
      <c r="DH162" s="19">
        <f>'D2C - Retail'!CH155</f>
        <v>6940707.2303093811</v>
      </c>
      <c r="DI162" s="19">
        <f>'D2C - Retail'!CI155</f>
        <v>6890215.8048767122</v>
      </c>
      <c r="DJ162" s="19">
        <f>'D2C - Retail'!CJ155</f>
        <v>7457349.7003070153</v>
      </c>
      <c r="DK162" s="19">
        <f>'D2C - Retail'!CK155</f>
        <v>6648228.9491976043</v>
      </c>
      <c r="DL162" s="19">
        <f>'D2C - Retail'!CL155</f>
        <v>6158400.9663863694</v>
      </c>
      <c r="DM162" s="19">
        <f>'D2C - Retail'!CM155</f>
        <v>7661312.6779537899</v>
      </c>
      <c r="DN162" s="19">
        <f>'D2C - Retail'!CN155</f>
        <v>7018026.9963345928</v>
      </c>
      <c r="DO162" s="19">
        <f>'D2C - Retail'!CO155</f>
        <v>8321461.3122948203</v>
      </c>
      <c r="DP162" s="19">
        <f>'D2C - Retail'!CP155</f>
        <v>8490673.4373307154</v>
      </c>
      <c r="DQ162" s="19">
        <f>'D2C - Retail'!CQ155</f>
        <v>7856022.9154774714</v>
      </c>
      <c r="DR162" s="19">
        <f>'D2C - Retail'!CR155</f>
        <v>9039926.4632922094</v>
      </c>
      <c r="DS162" s="19">
        <f>'D2C - Retail'!CS155</f>
        <v>8055357.7390538156</v>
      </c>
      <c r="DT162" s="19">
        <f>'D2C - Retail'!CT155</f>
        <v>7900478.7136335829</v>
      </c>
      <c r="DU162" s="19">
        <f>'D2C - Retail'!CU155</f>
        <v>7837988.1917865276</v>
      </c>
      <c r="DV162" s="19">
        <f>'D2C - Retail'!CV155</f>
        <v>8480326.6520487908</v>
      </c>
      <c r="DW162" s="19">
        <f>'D2C - Retail'!CW155</f>
        <v>7550377.8308268506</v>
      </c>
      <c r="DX162" s="19">
        <f>'D2C - Retail'!CX155</f>
        <v>6983791.1491452754</v>
      </c>
      <c r="DY162" s="19">
        <f>'D2C - Retail'!CY155</f>
        <v>8692726.0252216961</v>
      </c>
      <c r="DZ162" s="19">
        <f>'D2C - Retail'!CZ155</f>
        <v>7955883.5537951319</v>
      </c>
      <c r="EA162" s="19">
        <f>'D2C - Retail'!DA155</f>
        <v>9436306.3564438205</v>
      </c>
      <c r="EB162" s="19">
        <f>'D2C - Retail'!DB155</f>
        <v>9626120.3536675218</v>
      </c>
      <c r="EC162" s="19">
        <f>'D2C - Retail'!DC155</f>
        <v>8899501.2933173496</v>
      </c>
      <c r="ED162" s="19">
        <f>'D2C - Retail'!DD155</f>
        <v>10242348.579891756</v>
      </c>
      <c r="EE162" s="222"/>
      <c r="EF162" s="19">
        <f t="shared" si="623"/>
        <v>0</v>
      </c>
      <c r="EG162" s="19">
        <f t="shared" si="624"/>
        <v>0</v>
      </c>
      <c r="EH162" s="19">
        <f t="shared" si="625"/>
        <v>0</v>
      </c>
      <c r="EI162" s="19">
        <f t="shared" si="626"/>
        <v>0</v>
      </c>
      <c r="EJ162" s="19">
        <f t="shared" si="627"/>
        <v>0</v>
      </c>
      <c r="EK162" s="19">
        <f t="shared" si="628"/>
        <v>0</v>
      </c>
      <c r="EL162" s="19">
        <f t="shared" si="629"/>
        <v>0</v>
      </c>
      <c r="EM162" s="19">
        <f t="shared" si="630"/>
        <v>0</v>
      </c>
      <c r="EN162" s="19">
        <f t="shared" si="631"/>
        <v>375233</v>
      </c>
      <c r="EO162" s="19">
        <f t="shared" si="632"/>
        <v>0</v>
      </c>
      <c r="EP162" s="19">
        <f t="shared" si="633"/>
        <v>5757279.5423728814</v>
      </c>
      <c r="EQ162" s="19">
        <f t="shared" si="634"/>
        <v>11979258.937118646</v>
      </c>
      <c r="ER162" s="19">
        <f t="shared" si="635"/>
        <v>17092509.687850155</v>
      </c>
      <c r="ES162" s="19">
        <f t="shared" si="636"/>
        <v>16659698.33136034</v>
      </c>
      <c r="ET162" s="19">
        <f t="shared" si="637"/>
        <v>19104305.662301563</v>
      </c>
      <c r="EU162" s="19">
        <f t="shared" si="638"/>
        <v>21409347.998402119</v>
      </c>
      <c r="EV162" s="19">
        <f t="shared" si="639"/>
        <v>20900619.842638724</v>
      </c>
      <c r="EW162" s="19">
        <f t="shared" si="640"/>
        <v>20263979.615890991</v>
      </c>
      <c r="EX162" s="19">
        <f t="shared" si="641"/>
        <v>23000800.986583203</v>
      </c>
      <c r="EY162" s="19">
        <f t="shared" si="642"/>
        <v>25386622.816100396</v>
      </c>
      <c r="EZ162" s="19">
        <f t="shared" si="611"/>
        <v>23793824.644473925</v>
      </c>
      <c r="FA162" s="19">
        <f t="shared" si="612"/>
        <v>23014495.632020917</v>
      </c>
      <c r="FB162" s="19">
        <f t="shared" si="613"/>
        <v>26084915.935460649</v>
      </c>
      <c r="FC162" s="19">
        <f t="shared" si="614"/>
        <v>28767970.226876628</v>
      </c>
      <c r="FE162" s="19">
        <f t="shared" si="615"/>
        <v>0</v>
      </c>
      <c r="FF162" s="19">
        <f t="shared" si="616"/>
        <v>0</v>
      </c>
      <c r="FG162" s="19">
        <f t="shared" si="617"/>
        <v>18111771.479491528</v>
      </c>
      <c r="FH162" s="19">
        <f t="shared" si="618"/>
        <v>74265861.679914176</v>
      </c>
      <c r="FI162" s="19">
        <f t="shared" si="619"/>
        <v>89552023.261213303</v>
      </c>
      <c r="FJ162" s="770">
        <f t="shared" si="537"/>
        <v>101661206.43883212</v>
      </c>
      <c r="FK162" s="545" t="s">
        <v>1</v>
      </c>
    </row>
    <row r="163" spans="2:167" x14ac:dyDescent="0.2">
      <c r="B163" s="225" t="s">
        <v>149</v>
      </c>
      <c r="C163" s="19">
        <f>'Screen Pro'!B36</f>
        <v>0</v>
      </c>
      <c r="D163" s="19">
        <f>'Screen Pro'!C36</f>
        <v>0</v>
      </c>
      <c r="E163" s="19">
        <f>'Screen Pro'!D36</f>
        <v>0</v>
      </c>
      <c r="F163" s="19">
        <f>'Screen Pro'!E36</f>
        <v>0</v>
      </c>
      <c r="G163" s="19">
        <f>'Screen Pro'!F36</f>
        <v>0</v>
      </c>
      <c r="H163" s="19">
        <f>'Screen Pro'!G36</f>
        <v>0</v>
      </c>
      <c r="I163" s="19">
        <f>'Screen Pro'!H36</f>
        <v>0</v>
      </c>
      <c r="J163" s="19">
        <f>'Screen Pro'!I36</f>
        <v>0</v>
      </c>
      <c r="K163" s="19">
        <f>'Screen Pro'!J36</f>
        <v>0</v>
      </c>
      <c r="L163" s="19">
        <f>'Screen Pro'!K36</f>
        <v>0</v>
      </c>
      <c r="M163" s="19">
        <f>'Screen Pro'!L36</f>
        <v>0</v>
      </c>
      <c r="N163" s="19">
        <f>'Screen Pro'!M36</f>
        <v>0</v>
      </c>
      <c r="O163" s="19">
        <f>'Screen Pro'!N36</f>
        <v>0</v>
      </c>
      <c r="P163" s="19">
        <f>'Screen Pro'!O36</f>
        <v>0</v>
      </c>
      <c r="Q163" s="19">
        <f>'Screen Pro'!P36</f>
        <v>0</v>
      </c>
      <c r="R163" s="19">
        <f>'Screen Pro'!Q36</f>
        <v>0</v>
      </c>
      <c r="S163" s="19">
        <f>'Screen Pro'!R36</f>
        <v>0</v>
      </c>
      <c r="T163" s="19">
        <f>'Screen Pro'!S36</f>
        <v>0</v>
      </c>
      <c r="U163" s="19">
        <f>'Screen Pro'!T36</f>
        <v>0</v>
      </c>
      <c r="V163" s="19">
        <f>'Screen Pro'!U36</f>
        <v>0</v>
      </c>
      <c r="W163" s="19">
        <f>'Screen Pro'!V36</f>
        <v>0</v>
      </c>
      <c r="X163" s="19">
        <f>'Screen Pro'!W36</f>
        <v>0</v>
      </c>
      <c r="Y163" s="19">
        <f>'Screen Pro'!X36</f>
        <v>0</v>
      </c>
      <c r="Z163" s="19">
        <f>'Screen Pro'!Y36</f>
        <v>1200000</v>
      </c>
      <c r="AA163" s="19">
        <f>'Screen Pro'!Z36</f>
        <v>0</v>
      </c>
      <c r="AB163" s="19">
        <f>'Screen Pro'!AA36</f>
        <v>0</v>
      </c>
      <c r="AC163" s="19">
        <f>'Screen Pro'!AB36</f>
        <v>0</v>
      </c>
      <c r="AD163" s="19">
        <f>'Screen Pro'!AC36</f>
        <v>0</v>
      </c>
      <c r="AE163" s="19">
        <f>'Screen Pro'!AD36</f>
        <v>0</v>
      </c>
      <c r="AF163" s="19">
        <f>'Screen Pro'!AE36</f>
        <v>0</v>
      </c>
      <c r="AG163" s="19">
        <f>'Screen Pro'!AF36</f>
        <v>0</v>
      </c>
      <c r="AH163" s="19">
        <f>'Screen Pro'!AG36</f>
        <v>0</v>
      </c>
      <c r="AI163" s="19">
        <f>'Screen Pro'!AH36</f>
        <v>0</v>
      </c>
      <c r="AJ163" s="19">
        <f>'Screen Pro'!AI36</f>
        <v>0</v>
      </c>
      <c r="AK163" s="19">
        <f>'Screen Pro'!AJ36</f>
        <v>0</v>
      </c>
      <c r="AL163" s="19">
        <f>'Screen Pro'!AK36</f>
        <v>0</v>
      </c>
      <c r="AM163" s="19">
        <f>'Screen Pro'!AL36</f>
        <v>0</v>
      </c>
      <c r="AN163" s="19">
        <f>'Screen Pro'!AM36</f>
        <v>0</v>
      </c>
      <c r="AO163" s="19">
        <f>'Screen Pro'!AN36</f>
        <v>0</v>
      </c>
      <c r="AP163" s="19">
        <f>'Screen Pro'!AO36</f>
        <v>0</v>
      </c>
      <c r="AQ163" s="19">
        <f>'Screen Pro'!AP36</f>
        <v>0</v>
      </c>
      <c r="AR163" s="19">
        <f>'Screen Pro'!AQ36</f>
        <v>0</v>
      </c>
      <c r="AS163" s="19">
        <f>'Screen Pro'!AR36</f>
        <v>0</v>
      </c>
      <c r="AT163" s="19">
        <f>'Screen Pro'!AS36</f>
        <v>0</v>
      </c>
      <c r="AU163" s="19">
        <f>'Screen Pro'!AT36</f>
        <v>0</v>
      </c>
      <c r="AV163" s="19">
        <f>'Screen Pro'!AU36</f>
        <v>0</v>
      </c>
      <c r="AW163" s="19">
        <f>'Screen Pro'!AV36</f>
        <v>0</v>
      </c>
      <c r="AX163" s="19">
        <f>'Screen Pro'!AW36</f>
        <v>0</v>
      </c>
      <c r="AY163" s="19">
        <f>'Screen Pro'!AX36</f>
        <v>0</v>
      </c>
      <c r="AZ163" s="19">
        <f>'Screen Pro'!AY36</f>
        <v>0</v>
      </c>
      <c r="BA163" s="19">
        <f>'Screen Pro'!AZ36</f>
        <v>0</v>
      </c>
      <c r="BB163" s="19">
        <f>'Screen Pro'!BA36</f>
        <v>0</v>
      </c>
      <c r="BC163" s="19">
        <f>'Screen Pro'!BB36</f>
        <v>0</v>
      </c>
      <c r="BD163" s="19">
        <f>'Screen Pro'!BC36</f>
        <v>0</v>
      </c>
      <c r="BE163" s="19">
        <f>'Screen Pro'!BD36</f>
        <v>0</v>
      </c>
      <c r="BF163" s="19">
        <f>'Screen Pro'!BE36</f>
        <v>0</v>
      </c>
      <c r="BG163" s="19">
        <f>'Screen Pro'!BF36</f>
        <v>0</v>
      </c>
      <c r="BH163" s="19">
        <f>'Screen Pro'!BG36</f>
        <v>0</v>
      </c>
      <c r="BI163" s="19">
        <f>'Screen Pro'!BH36</f>
        <v>0</v>
      </c>
      <c r="BJ163" s="19">
        <f>'Screen Pro'!BI36</f>
        <v>0</v>
      </c>
      <c r="BK163" s="19">
        <f>'Screen Pro'!BJ36</f>
        <v>0</v>
      </c>
      <c r="BL163" s="19">
        <f>'Screen Pro'!BK36</f>
        <v>0</v>
      </c>
      <c r="BM163" s="19">
        <f>'Screen Pro'!BL36</f>
        <v>0</v>
      </c>
      <c r="BN163" s="19">
        <f>'Screen Pro'!BM36</f>
        <v>0</v>
      </c>
      <c r="BO163" s="19">
        <f>'Screen Pro'!BN36</f>
        <v>0</v>
      </c>
      <c r="BP163" s="19">
        <f>'Screen Pro'!BO36</f>
        <v>0</v>
      </c>
      <c r="BQ163" s="19">
        <f>'Screen Pro'!BP36</f>
        <v>0</v>
      </c>
      <c r="BR163" s="19">
        <f>'Screen Pro'!BQ36</f>
        <v>0</v>
      </c>
      <c r="BS163" s="19">
        <f>'Screen Pro'!BR36</f>
        <v>0</v>
      </c>
      <c r="BT163" s="19">
        <f>'Screen Pro'!BS36</f>
        <v>0</v>
      </c>
      <c r="BU163" s="19">
        <f>'Screen Pro'!BT36</f>
        <v>0</v>
      </c>
      <c r="BV163" s="19">
        <f>'Screen Pro'!BU36</f>
        <v>0</v>
      </c>
      <c r="BW163" s="19">
        <f>'Screen Pro'!BV36</f>
        <v>0</v>
      </c>
      <c r="BX163" s="19">
        <f>'Screen Pro'!BW36</f>
        <v>0</v>
      </c>
      <c r="BY163" s="19">
        <f>'Screen Pro'!BX36</f>
        <v>0</v>
      </c>
      <c r="BZ163" s="19">
        <f>'Screen Pro'!BY36</f>
        <v>0</v>
      </c>
      <c r="CA163" s="19">
        <f>'Screen Pro'!BZ36</f>
        <v>0</v>
      </c>
      <c r="CB163" s="19">
        <f>'Screen Pro'!CA36</f>
        <v>0</v>
      </c>
      <c r="CC163" s="19">
        <f>'Screen Pro'!CB36</f>
        <v>0</v>
      </c>
      <c r="CD163" s="19">
        <f>'Screen Pro'!CC36</f>
        <v>0</v>
      </c>
      <c r="CE163" s="19">
        <f>'Screen Pro'!CD36</f>
        <v>0</v>
      </c>
      <c r="CF163" s="19">
        <f>'Screen Pro'!CE36</f>
        <v>0</v>
      </c>
      <c r="CG163" s="19">
        <f>'Screen Pro'!CF36</f>
        <v>0</v>
      </c>
      <c r="CH163" s="19">
        <f>'Screen Pro'!CG36</f>
        <v>0</v>
      </c>
      <c r="CI163" s="19">
        <f>'Screen Pro'!CH36</f>
        <v>0</v>
      </c>
      <c r="CJ163" s="19">
        <f>'Screen Pro'!CI36</f>
        <v>0</v>
      </c>
      <c r="CK163" s="19">
        <f>'Screen Pro'!CJ36</f>
        <v>0</v>
      </c>
      <c r="CL163" s="19">
        <f>'Screen Pro'!CK36</f>
        <v>0</v>
      </c>
      <c r="CM163" s="19">
        <f>'Screen Pro'!CL36</f>
        <v>0</v>
      </c>
      <c r="CN163" s="19">
        <f>'Screen Pro'!CM36</f>
        <v>0</v>
      </c>
      <c r="CO163" s="19">
        <f>'Screen Pro'!CN36</f>
        <v>0</v>
      </c>
      <c r="CP163" s="19">
        <f>'Screen Pro'!CO36</f>
        <v>0</v>
      </c>
      <c r="CQ163" s="19">
        <f>'Screen Pro'!CP36</f>
        <v>0</v>
      </c>
      <c r="CR163" s="19">
        <f>'Screen Pro'!CQ36</f>
        <v>0</v>
      </c>
      <c r="CS163" s="19">
        <f>'Screen Pro'!CR36</f>
        <v>0</v>
      </c>
      <c r="CT163" s="19">
        <f>'Screen Pro'!CS36</f>
        <v>0</v>
      </c>
      <c r="CU163" s="19">
        <f>'Screen Pro'!CT36</f>
        <v>0</v>
      </c>
      <c r="CV163" s="19">
        <f>'Screen Pro'!CU36</f>
        <v>0</v>
      </c>
      <c r="CW163" s="19">
        <f>'Screen Pro'!CV36</f>
        <v>0</v>
      </c>
      <c r="CX163" s="19">
        <f>'Screen Pro'!CW36</f>
        <v>0</v>
      </c>
      <c r="CY163" s="19">
        <f>'Screen Pro'!CX36</f>
        <v>0</v>
      </c>
      <c r="CZ163" s="19">
        <f>'Screen Pro'!CY36</f>
        <v>0</v>
      </c>
      <c r="DA163" s="19">
        <f>'Screen Pro'!CZ36</f>
        <v>0</v>
      </c>
      <c r="DB163" s="19">
        <f>'Screen Pro'!DA36</f>
        <v>0</v>
      </c>
      <c r="DC163" s="19">
        <f>'Screen Pro'!DB36</f>
        <v>0</v>
      </c>
      <c r="DD163" s="19">
        <f>'Screen Pro'!DC36</f>
        <v>0</v>
      </c>
      <c r="DE163" s="19">
        <f>'Screen Pro'!DD36</f>
        <v>0</v>
      </c>
      <c r="DF163" s="19">
        <f>'Screen Pro'!DE36</f>
        <v>0</v>
      </c>
      <c r="DG163" s="19">
        <f>'Screen Pro'!DF36</f>
        <v>0</v>
      </c>
      <c r="DH163" s="19">
        <f>'Screen Pro'!DG36</f>
        <v>0</v>
      </c>
      <c r="DI163" s="19">
        <f>'Screen Pro'!DH36</f>
        <v>0</v>
      </c>
      <c r="DJ163" s="19">
        <f>'Screen Pro'!DI36</f>
        <v>0</v>
      </c>
      <c r="DK163" s="19">
        <f>'Screen Pro'!DJ36</f>
        <v>0</v>
      </c>
      <c r="DL163" s="19">
        <f>'Screen Pro'!DK36</f>
        <v>0</v>
      </c>
      <c r="DM163" s="19">
        <f>'Screen Pro'!DL36</f>
        <v>0</v>
      </c>
      <c r="DN163" s="19">
        <f>'Screen Pro'!DM36</f>
        <v>0</v>
      </c>
      <c r="DO163" s="19">
        <f>'Screen Pro'!DN36</f>
        <v>0</v>
      </c>
      <c r="DP163" s="19">
        <f>'Screen Pro'!DO36</f>
        <v>0</v>
      </c>
      <c r="DQ163" s="19">
        <f>'Screen Pro'!DP36</f>
        <v>0</v>
      </c>
      <c r="DR163" s="19">
        <f>'Screen Pro'!DQ36</f>
        <v>0</v>
      </c>
      <c r="DS163" s="19">
        <f>'Screen Pro'!DR36</f>
        <v>0</v>
      </c>
      <c r="DT163" s="19">
        <f>'Screen Pro'!DS36</f>
        <v>0</v>
      </c>
      <c r="DU163" s="19">
        <f>'Screen Pro'!DT36</f>
        <v>0</v>
      </c>
      <c r="DV163" s="19">
        <f>'Screen Pro'!DU36</f>
        <v>0</v>
      </c>
      <c r="DW163" s="19">
        <f>'Screen Pro'!DV36</f>
        <v>0</v>
      </c>
      <c r="DX163" s="19">
        <f>'Screen Pro'!DW36</f>
        <v>0</v>
      </c>
      <c r="DY163" s="19">
        <f>'Screen Pro'!DX36</f>
        <v>0</v>
      </c>
      <c r="DZ163" s="19">
        <f>'Screen Pro'!DY36</f>
        <v>0</v>
      </c>
      <c r="EA163" s="19">
        <f>'Screen Pro'!DZ36</f>
        <v>0</v>
      </c>
      <c r="EB163" s="19">
        <f>'Screen Pro'!EA36</f>
        <v>0</v>
      </c>
      <c r="EC163" s="19">
        <f>'Screen Pro'!EB36</f>
        <v>0</v>
      </c>
      <c r="ED163" s="19">
        <f>'Screen Pro'!EC36</f>
        <v>0</v>
      </c>
      <c r="EE163" s="222"/>
      <c r="EF163" s="19">
        <f t="shared" si="623"/>
        <v>0</v>
      </c>
      <c r="EG163" s="19">
        <f t="shared" si="624"/>
        <v>0</v>
      </c>
      <c r="EH163" s="19">
        <f t="shared" si="625"/>
        <v>0</v>
      </c>
      <c r="EI163" s="19">
        <f t="shared" si="626"/>
        <v>0</v>
      </c>
      <c r="EJ163" s="19">
        <f t="shared" si="627"/>
        <v>0</v>
      </c>
      <c r="EK163" s="19">
        <f t="shared" si="628"/>
        <v>0</v>
      </c>
      <c r="EL163" s="19">
        <f t="shared" si="629"/>
        <v>0</v>
      </c>
      <c r="EM163" s="19">
        <f t="shared" si="630"/>
        <v>0</v>
      </c>
      <c r="EN163" s="19">
        <f t="shared" si="631"/>
        <v>0</v>
      </c>
      <c r="EO163" s="19">
        <f t="shared" si="632"/>
        <v>0</v>
      </c>
      <c r="EP163" s="19">
        <f t="shared" si="633"/>
        <v>0</v>
      </c>
      <c r="EQ163" s="19">
        <f t="shared" si="634"/>
        <v>0</v>
      </c>
      <c r="ER163" s="19">
        <f t="shared" si="635"/>
        <v>0</v>
      </c>
      <c r="ES163" s="19">
        <f t="shared" si="636"/>
        <v>0</v>
      </c>
      <c r="ET163" s="19">
        <f t="shared" si="637"/>
        <v>0</v>
      </c>
      <c r="EU163" s="19">
        <f t="shared" si="638"/>
        <v>0</v>
      </c>
      <c r="EV163" s="19">
        <f t="shared" si="639"/>
        <v>0</v>
      </c>
      <c r="EW163" s="19">
        <f t="shared" si="640"/>
        <v>0</v>
      </c>
      <c r="EX163" s="19">
        <f t="shared" si="641"/>
        <v>0</v>
      </c>
      <c r="EY163" s="19">
        <f t="shared" si="642"/>
        <v>0</v>
      </c>
      <c r="EZ163" s="19">
        <f t="shared" si="611"/>
        <v>0</v>
      </c>
      <c r="FA163" s="19">
        <f t="shared" si="612"/>
        <v>0</v>
      </c>
      <c r="FB163" s="19">
        <f t="shared" si="613"/>
        <v>0</v>
      </c>
      <c r="FC163" s="19">
        <f t="shared" si="614"/>
        <v>0</v>
      </c>
      <c r="FE163" s="19">
        <f t="shared" si="615"/>
        <v>0</v>
      </c>
      <c r="FF163" s="19">
        <f t="shared" si="616"/>
        <v>0</v>
      </c>
      <c r="FG163" s="19">
        <f t="shared" si="617"/>
        <v>0</v>
      </c>
      <c r="FH163" s="19">
        <f t="shared" si="618"/>
        <v>0</v>
      </c>
      <c r="FI163" s="19">
        <f t="shared" si="619"/>
        <v>0</v>
      </c>
      <c r="FJ163" s="770">
        <f t="shared" si="537"/>
        <v>0</v>
      </c>
      <c r="FK163" s="545" t="s">
        <v>1</v>
      </c>
    </row>
    <row r="164" spans="2:167" x14ac:dyDescent="0.2">
      <c r="B164" s="226" t="s">
        <v>53</v>
      </c>
      <c r="C164" s="20">
        <f>C145/C63</f>
        <v>2.4329013348060965E-2</v>
      </c>
      <c r="D164" s="20">
        <f t="shared" ref="D164:BO164" si="643">D145/D63</f>
        <v>2.7321114810746297E-2</v>
      </c>
      <c r="E164" s="20">
        <f t="shared" si="643"/>
        <v>2.4929795677607367E-2</v>
      </c>
      <c r="F164" s="20">
        <f t="shared" si="643"/>
        <v>2.4835359701861077E-2</v>
      </c>
      <c r="G164" s="20">
        <f t="shared" si="643"/>
        <v>2.5392260906477181E-2</v>
      </c>
      <c r="H164" s="20">
        <f t="shared" si="643"/>
        <v>2.7753000540253616E-2</v>
      </c>
      <c r="I164" s="20">
        <f t="shared" si="643"/>
        <v>2.6152697463320211E-2</v>
      </c>
      <c r="J164" s="20">
        <f t="shared" si="643"/>
        <v>2.8532506440827925E-2</v>
      </c>
      <c r="K164" s="20">
        <f t="shared" si="643"/>
        <v>3.1309799470756183E-2</v>
      </c>
      <c r="L164" s="20">
        <f t="shared" si="643"/>
        <v>3.7267704435871414E-2</v>
      </c>
      <c r="M164" s="20">
        <f t="shared" si="643"/>
        <v>3.3559900064185605E-2</v>
      </c>
      <c r="N164" s="20">
        <f t="shared" si="643"/>
        <v>4.3021355461804571E-2</v>
      </c>
      <c r="O164" s="20">
        <f t="shared" si="643"/>
        <v>3.3196580570096147E-2</v>
      </c>
      <c r="P164" s="20">
        <f t="shared" si="643"/>
        <v>3.3186251849094496E-2</v>
      </c>
      <c r="Q164" s="20">
        <f t="shared" si="643"/>
        <v>3.4935099006695246E-2</v>
      </c>
      <c r="R164" s="20">
        <f t="shared" si="643"/>
        <v>3.0640806813910824E-2</v>
      </c>
      <c r="S164" s="20">
        <f t="shared" si="643"/>
        <v>3.5754727324305402E-2</v>
      </c>
      <c r="T164" s="20">
        <f t="shared" si="643"/>
        <v>3.7102079644402507E-2</v>
      </c>
      <c r="U164" s="20">
        <f t="shared" si="643"/>
        <v>4.3908431777761353E-2</v>
      </c>
      <c r="V164" s="20">
        <f t="shared" si="643"/>
        <v>4.1323123930239319E-2</v>
      </c>
      <c r="W164" s="20">
        <f t="shared" si="643"/>
        <v>3.3104305059192561E-2</v>
      </c>
      <c r="X164" s="20">
        <f t="shared" si="643"/>
        <v>3.6439586739949702E-2</v>
      </c>
      <c r="Y164" s="20">
        <f t="shared" si="643"/>
        <v>3.1862363782832095E-2</v>
      </c>
      <c r="Z164" s="20">
        <f t="shared" si="643"/>
        <v>4.8910391578098476E-2</v>
      </c>
      <c r="AA164" s="20">
        <f t="shared" si="643"/>
        <v>-2.7570833033166577</v>
      </c>
      <c r="AB164" s="20">
        <f t="shared" si="643"/>
        <v>4.86478357974897E-2</v>
      </c>
      <c r="AC164" s="20">
        <f t="shared" si="643"/>
        <v>5.4873892444867255E-2</v>
      </c>
      <c r="AD164" s="20">
        <f t="shared" si="643"/>
        <v>6.498707070956411E-2</v>
      </c>
      <c r="AE164" s="20">
        <f t="shared" si="643"/>
        <v>4.5345272559981456E-2</v>
      </c>
      <c r="AF164" s="20">
        <f t="shared" si="643"/>
        <v>4.5107163870991451E-2</v>
      </c>
      <c r="AG164" s="20">
        <f t="shared" si="643"/>
        <v>4.9800360742923058E-2</v>
      </c>
      <c r="AH164" s="20">
        <f t="shared" si="643"/>
        <v>4.109149350954415E-2</v>
      </c>
      <c r="AI164" s="20">
        <f t="shared" si="643"/>
        <v>2.7016337377521397E-2</v>
      </c>
      <c r="AJ164" s="20">
        <f t="shared" si="643"/>
        <v>3.7516906396967392E-2</v>
      </c>
      <c r="AK164" s="20">
        <f t="shared" si="643"/>
        <v>3.0019519342565054E-2</v>
      </c>
      <c r="AL164" s="20">
        <f t="shared" si="643"/>
        <v>3.9330881360267904E-2</v>
      </c>
      <c r="AM164" s="20">
        <f t="shared" si="643"/>
        <v>4.8972685159402257E-2</v>
      </c>
      <c r="AN164" s="20">
        <f t="shared" si="643"/>
        <v>0.10388471517062982</v>
      </c>
      <c r="AO164" s="20">
        <f t="shared" si="643"/>
        <v>4.6988782830774671E-2</v>
      </c>
      <c r="AP164" s="20">
        <f t="shared" si="643"/>
        <v>4.0802075429931417E-2</v>
      </c>
      <c r="AQ164" s="20">
        <f t="shared" si="643"/>
        <v>4.6397443841133257E-2</v>
      </c>
      <c r="AR164" s="20">
        <f t="shared" si="643"/>
        <v>5.6049822160117641E-2</v>
      </c>
      <c r="AS164" s="20">
        <f t="shared" si="643"/>
        <v>7.4295450424025924E-2</v>
      </c>
      <c r="AT164" s="20">
        <f t="shared" si="643"/>
        <v>5.694389141421486E-2</v>
      </c>
      <c r="AU164" s="20">
        <f t="shared" si="643"/>
        <v>5.0967604709930614E-2</v>
      </c>
      <c r="AV164" s="20">
        <f t="shared" si="643"/>
        <v>5.4294520102103144E-2</v>
      </c>
      <c r="AW164" s="20">
        <f t="shared" si="643"/>
        <v>5.6387129351271083E-2</v>
      </c>
      <c r="AX164" s="20">
        <f t="shared" si="643"/>
        <v>7.3809658728402866E-2</v>
      </c>
      <c r="AY164" s="20">
        <f t="shared" si="643"/>
        <v>8.5996549987571363E-2</v>
      </c>
      <c r="AZ164" s="20">
        <f t="shared" si="643"/>
        <v>7.2584024285435075E-2</v>
      </c>
      <c r="BA164" s="20">
        <f t="shared" si="643"/>
        <v>8.7774233189890277E-2</v>
      </c>
      <c r="BB164" s="20">
        <f t="shared" si="643"/>
        <v>8.3480227817808145E-2</v>
      </c>
      <c r="BC164" s="20">
        <f t="shared" si="643"/>
        <v>8.659474319552031E-2</v>
      </c>
      <c r="BD164" s="20">
        <f t="shared" si="643"/>
        <v>9.940992616807641E-2</v>
      </c>
      <c r="BE164" s="20">
        <f t="shared" si="643"/>
        <v>8.7702502193109308E-2</v>
      </c>
      <c r="BF164" s="20">
        <f t="shared" si="643"/>
        <v>7.767397285593329E-2</v>
      </c>
      <c r="BG164" s="20">
        <f t="shared" si="643"/>
        <v>6.586706037136103E-2</v>
      </c>
      <c r="BH164" s="20">
        <f t="shared" si="643"/>
        <v>7.0533942533152511E-2</v>
      </c>
      <c r="BI164" s="20">
        <f t="shared" si="643"/>
        <v>7.3605013527150182E-2</v>
      </c>
      <c r="BJ164" s="20">
        <f t="shared" si="643"/>
        <v>5.9218285728802118E-2</v>
      </c>
      <c r="BK164" s="20">
        <f t="shared" si="643"/>
        <v>6.2882198203221398E-2</v>
      </c>
      <c r="BL164" s="20">
        <f t="shared" si="643"/>
        <v>6.2645922403180912E-2</v>
      </c>
      <c r="BM164" s="20">
        <f t="shared" si="643"/>
        <v>6.918263779803932E-2</v>
      </c>
      <c r="BN164" s="20">
        <f t="shared" si="643"/>
        <v>7.6113348284655338E-2</v>
      </c>
      <c r="BO164" s="20">
        <f t="shared" si="643"/>
        <v>7.3038681595802069E-2</v>
      </c>
      <c r="BP164" s="20">
        <f t="shared" ref="BP164:EM164" si="644">BP145/BP63</f>
        <v>7.1369169646912922E-2</v>
      </c>
      <c r="BQ164" s="20">
        <f t="shared" si="644"/>
        <v>5.8213267383087984E-2</v>
      </c>
      <c r="BR164" s="20">
        <f t="shared" si="644"/>
        <v>6.1685440326402718E-2</v>
      </c>
      <c r="BS164" s="20">
        <f t="shared" si="644"/>
        <v>6.8344197557791517E-2</v>
      </c>
      <c r="BT164" s="20">
        <f t="shared" si="644"/>
        <v>6.8221852652054812E-2</v>
      </c>
      <c r="BU164" s="20">
        <f t="shared" si="644"/>
        <v>6.9085680072659209E-2</v>
      </c>
      <c r="BV164" s="20">
        <f t="shared" si="644"/>
        <v>6.0114442710504645E-2</v>
      </c>
      <c r="BW164" s="20">
        <f t="shared" si="644"/>
        <v>6.2948229228000058E-2</v>
      </c>
      <c r="BX164" s="20">
        <f t="shared" si="644"/>
        <v>6.2466270619817819E-2</v>
      </c>
      <c r="BY164" s="20">
        <f t="shared" si="644"/>
        <v>6.1086835516838182E-2</v>
      </c>
      <c r="BZ164" s="20">
        <f t="shared" si="644"/>
        <v>6.2362868508517626E-2</v>
      </c>
      <c r="CA164" s="20">
        <f t="shared" si="644"/>
        <v>6.7880673202788372E-2</v>
      </c>
      <c r="CB164" s="20">
        <f t="shared" si="644"/>
        <v>7.1251931855059972E-2</v>
      </c>
      <c r="CC164" s="20">
        <f t="shared" si="644"/>
        <v>5.9419427147272212E-2</v>
      </c>
      <c r="CD164" s="20">
        <f t="shared" si="644"/>
        <v>6.2717664127627068E-2</v>
      </c>
      <c r="CE164" s="20">
        <f t="shared" si="644"/>
        <v>5.5714323284522291E-2</v>
      </c>
      <c r="CF164" s="20">
        <f t="shared" si="644"/>
        <v>5.2229209851613743E-2</v>
      </c>
      <c r="CG164" s="20">
        <f t="shared" si="644"/>
        <v>5.2033293032109823E-2</v>
      </c>
      <c r="CH164" s="20">
        <f t="shared" si="644"/>
        <v>5.0254514959034026E-2</v>
      </c>
      <c r="CI164" s="20">
        <f t="shared" si="644"/>
        <v>5.5928122963657734E-2</v>
      </c>
      <c r="CJ164" s="20">
        <f t="shared" si="644"/>
        <v>5.5888133924601943E-2</v>
      </c>
      <c r="CK164" s="20">
        <f t="shared" si="644"/>
        <v>5.8462640249870745E-2</v>
      </c>
      <c r="CL164" s="20">
        <f t="shared" si="644"/>
        <v>6.0652935081511837E-2</v>
      </c>
      <c r="CM164" s="20">
        <f t="shared" si="644"/>
        <v>6.9476624033128709E-2</v>
      </c>
      <c r="CN164" s="20">
        <f t="shared" si="644"/>
        <v>6.9856558249931713E-2</v>
      </c>
      <c r="CO164" s="20">
        <f t="shared" si="644"/>
        <v>6.305848714093569E-2</v>
      </c>
      <c r="CP164" s="20">
        <f t="shared" si="644"/>
        <v>6.0586762142924667E-2</v>
      </c>
      <c r="CQ164" s="20">
        <f t="shared" si="644"/>
        <v>5.3639427563955538E-2</v>
      </c>
      <c r="CR164" s="20">
        <f t="shared" si="644"/>
        <v>5.2438286948284799E-2</v>
      </c>
      <c r="CS164" s="20">
        <f t="shared" si="644"/>
        <v>5.6517822541284186E-2</v>
      </c>
      <c r="CT164" s="20">
        <f t="shared" si="644"/>
        <v>5.4316184504860192E-2</v>
      </c>
      <c r="CU164" s="20">
        <f t="shared" si="644"/>
        <v>6.2444112379265448E-2</v>
      </c>
      <c r="CV164" s="20">
        <f t="shared" si="644"/>
        <v>6.1692474182530606E-2</v>
      </c>
      <c r="CW164" s="20">
        <f t="shared" si="644"/>
        <v>6.3127457466784984E-2</v>
      </c>
      <c r="CX164" s="20">
        <f t="shared" si="644"/>
        <v>6.0987561623763842E-2</v>
      </c>
      <c r="CY164" s="20">
        <f t="shared" si="644"/>
        <v>6.5966433049114287E-2</v>
      </c>
      <c r="CZ164" s="20">
        <f t="shared" si="644"/>
        <v>6.8514890552084207E-2</v>
      </c>
      <c r="DA164" s="20">
        <f t="shared" si="644"/>
        <v>6.0288698215894186E-2</v>
      </c>
      <c r="DB164" s="20">
        <f t="shared" si="644"/>
        <v>5.8418541507488056E-2</v>
      </c>
      <c r="DC164" s="20">
        <f t="shared" si="644"/>
        <v>5.0857575010090791E-2</v>
      </c>
      <c r="DD164" s="20">
        <f t="shared" si="644"/>
        <v>5.071925715172599E-2</v>
      </c>
      <c r="DE164" s="20">
        <f t="shared" si="644"/>
        <v>5.4522485538072804E-2</v>
      </c>
      <c r="DF164" s="20">
        <f t="shared" si="644"/>
        <v>5.123468520463393E-2</v>
      </c>
      <c r="DG164" s="20">
        <f t="shared" si="644"/>
        <v>5.6636947954311068E-2</v>
      </c>
      <c r="DH164" s="20">
        <f t="shared" si="644"/>
        <v>5.5895221933522247E-2</v>
      </c>
      <c r="DI164" s="20">
        <f t="shared" si="644"/>
        <v>5.7322671857595424E-2</v>
      </c>
      <c r="DJ164" s="20">
        <f t="shared" si="644"/>
        <v>5.5430909242157128E-2</v>
      </c>
      <c r="DK164" s="20">
        <f t="shared" si="644"/>
        <v>5.9965961709353331E-2</v>
      </c>
      <c r="DL164" s="20">
        <f t="shared" si="644"/>
        <v>6.2430812464771945E-2</v>
      </c>
      <c r="DM164" s="20">
        <f t="shared" si="644"/>
        <v>5.4983882585112727E-2</v>
      </c>
      <c r="DN164" s="20">
        <f t="shared" si="644"/>
        <v>5.3207679745247496E-2</v>
      </c>
      <c r="DO164" s="20">
        <f t="shared" si="644"/>
        <v>4.6442365749795864E-2</v>
      </c>
      <c r="DP164" s="20">
        <f t="shared" si="644"/>
        <v>4.6432905557317113E-2</v>
      </c>
      <c r="DQ164" s="20">
        <f t="shared" si="644"/>
        <v>4.9930099287068576E-2</v>
      </c>
      <c r="DR164" s="20">
        <f t="shared" si="644"/>
        <v>4.7213358153322428E-2</v>
      </c>
      <c r="DS164" s="20">
        <f t="shared" ref="DS164:ED164" si="645">DS145/DS63</f>
        <v>5.3466631415392998E-2</v>
      </c>
      <c r="DT164" s="20">
        <f t="shared" si="645"/>
        <v>5.2754361880193723E-2</v>
      </c>
      <c r="DU164" s="20">
        <f t="shared" si="645"/>
        <v>5.4141717904570577E-2</v>
      </c>
      <c r="DV164" s="20">
        <f t="shared" si="645"/>
        <v>5.2417170138600228E-2</v>
      </c>
      <c r="DW164" s="20">
        <f t="shared" si="645"/>
        <v>5.6689721219113795E-2</v>
      </c>
      <c r="DX164" s="20">
        <f t="shared" si="645"/>
        <v>5.905876549725856E-2</v>
      </c>
      <c r="DY164" s="20">
        <f t="shared" si="645"/>
        <v>5.2086648578672193E-2</v>
      </c>
      <c r="DZ164" s="20">
        <f t="shared" si="645"/>
        <v>5.0243962619550019E-2</v>
      </c>
      <c r="EA164" s="20">
        <f t="shared" si="645"/>
        <v>4.388261684547267E-2</v>
      </c>
      <c r="EB164" s="20">
        <f t="shared" si="645"/>
        <v>4.3905051549899952E-2</v>
      </c>
      <c r="EC164" s="20">
        <f t="shared" si="645"/>
        <v>4.7205176248895961E-2</v>
      </c>
      <c r="ED164" s="20">
        <f t="shared" si="645"/>
        <v>4.473671435783224E-2</v>
      </c>
      <c r="EE164" s="222"/>
      <c r="EF164" s="20">
        <f t="shared" si="644"/>
        <v>6.479913367263658E-2</v>
      </c>
      <c r="EG164" s="20">
        <f t="shared" si="644"/>
        <v>7.3471250164414456E-2</v>
      </c>
      <c r="EH164" s="20">
        <f t="shared" si="644"/>
        <v>6.2459884955991987E-2</v>
      </c>
      <c r="EI164" s="20">
        <f t="shared" si="644"/>
        <v>6.5583894121717626E-2</v>
      </c>
      <c r="EJ164" s="20">
        <f t="shared" si="644"/>
        <v>6.2151563980347879E-2</v>
      </c>
      <c r="EK164" s="20">
        <f t="shared" si="644"/>
        <v>6.6920227399761598E-2</v>
      </c>
      <c r="EL164" s="20">
        <f t="shared" si="644"/>
        <v>5.9106623834184725E-2</v>
      </c>
      <c r="EM164" s="20">
        <f t="shared" si="644"/>
        <v>5.1401839422290818E-2</v>
      </c>
      <c r="EN164" s="20">
        <f t="shared" ref="EN164:FJ164" si="646">EN145/EN63</f>
        <v>5.6754840944519325E-2</v>
      </c>
      <c r="EO164" s="20">
        <f t="shared" si="646"/>
        <v>6.6362959185297138E-2</v>
      </c>
      <c r="EP164" s="20">
        <f t="shared" si="646"/>
        <v>5.8725961029239167E-2</v>
      </c>
      <c r="EQ164" s="20">
        <f t="shared" si="646"/>
        <v>5.4356943650616232E-2</v>
      </c>
      <c r="ER164" s="20">
        <f t="shared" si="646"/>
        <v>6.2415826338814512E-2</v>
      </c>
      <c r="ES164" s="20">
        <f t="shared" si="646"/>
        <v>6.4990641627875656E-2</v>
      </c>
      <c r="ET164" s="20">
        <f t="shared" si="646"/>
        <v>5.6198239926121461E-2</v>
      </c>
      <c r="EU164" s="20">
        <f t="shared" si="646"/>
        <v>5.210004070936463E-2</v>
      </c>
      <c r="EV164" s="20">
        <f t="shared" si="646"/>
        <v>5.6612183932251148E-2</v>
      </c>
      <c r="EW164" s="20">
        <f t="shared" si="646"/>
        <v>5.911818154653465E-2</v>
      </c>
      <c r="EX164" s="20">
        <f t="shared" si="646"/>
        <v>5.1255702567005929E-2</v>
      </c>
      <c r="EY164" s="20">
        <f t="shared" si="646"/>
        <v>4.7807796882917572E-2</v>
      </c>
      <c r="EZ164" s="20">
        <f t="shared" si="646"/>
        <v>5.3448128821501434E-2</v>
      </c>
      <c r="FA164" s="20">
        <f t="shared" si="646"/>
        <v>5.5904904916440117E-2</v>
      </c>
      <c r="FB164" s="20">
        <f t="shared" si="646"/>
        <v>4.8459240364105913E-2</v>
      </c>
      <c r="FC164" s="20">
        <f t="shared" si="646"/>
        <v>4.5235043554977858E-2</v>
      </c>
      <c r="FD164" s="785"/>
      <c r="FE164" s="20">
        <f t="shared" si="646"/>
        <v>6.632221474022601E-2</v>
      </c>
      <c r="FF164" s="20">
        <f t="shared" si="646"/>
        <v>5.8999654689499761E-2</v>
      </c>
      <c r="FG164" s="20">
        <f t="shared" si="646"/>
        <v>5.8546403712289932E-2</v>
      </c>
      <c r="FH164" s="20">
        <f t="shared" si="646"/>
        <v>5.8451309600060959E-2</v>
      </c>
      <c r="FI164" s="20">
        <f t="shared" si="646"/>
        <v>5.3302447015513808E-2</v>
      </c>
      <c r="FJ164" s="20">
        <f t="shared" si="646"/>
        <v>5.0390942809501099E-2</v>
      </c>
      <c r="FK164" s="545" t="s">
        <v>1</v>
      </c>
    </row>
    <row r="165" spans="2:167" x14ac:dyDescent="0.2">
      <c r="B165" s="225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222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/>
      <c r="EQ165" s="19"/>
      <c r="ER165" s="19"/>
      <c r="ES165" s="19"/>
      <c r="ET165" s="19"/>
      <c r="EU165" s="19"/>
      <c r="EV165" s="19"/>
      <c r="EW165" s="19"/>
      <c r="EX165" s="19"/>
      <c r="EY165" s="19"/>
      <c r="EZ165" s="19"/>
      <c r="FA165" s="19"/>
      <c r="FB165" s="19"/>
      <c r="FC165" s="19"/>
      <c r="FE165" s="19"/>
      <c r="FF165" s="19"/>
      <c r="FG165" s="19"/>
      <c r="FH165" s="19"/>
      <c r="FI165" s="19"/>
      <c r="FJ165" s="770"/>
      <c r="FK165" s="545"/>
    </row>
    <row r="166" spans="2:167" x14ac:dyDescent="0.2">
      <c r="B166" s="223" t="s">
        <v>54</v>
      </c>
      <c r="C166" s="297">
        <f>SUM(C167:C172)</f>
        <v>3807706.5357142868</v>
      </c>
      <c r="D166" s="297">
        <f t="shared" ref="D166:BO166" si="647">SUM(D167:D172)</f>
        <v>4716927.7281598225</v>
      </c>
      <c r="E166" s="297">
        <f t="shared" si="647"/>
        <v>3563262.5877105296</v>
      </c>
      <c r="F166" s="297">
        <f t="shared" si="647"/>
        <v>4267133.2856866047</v>
      </c>
      <c r="G166" s="297">
        <f t="shared" si="647"/>
        <v>-1567276.975954596</v>
      </c>
      <c r="H166" s="297">
        <f t="shared" si="647"/>
        <v>1567507.6347201411</v>
      </c>
      <c r="I166" s="297">
        <f t="shared" si="647"/>
        <v>-10837773.822351905</v>
      </c>
      <c r="J166" s="297">
        <f t="shared" si="647"/>
        <v>1609852.4465530079</v>
      </c>
      <c r="K166" s="297">
        <f t="shared" si="647"/>
        <v>-5554539.213245715</v>
      </c>
      <c r="L166" s="297">
        <f t="shared" si="647"/>
        <v>-13292519.504249368</v>
      </c>
      <c r="M166" s="297">
        <f t="shared" si="647"/>
        <v>-6191985.7403218076</v>
      </c>
      <c r="N166" s="297">
        <f t="shared" si="647"/>
        <v>-3315849.8969537448</v>
      </c>
      <c r="O166" s="297">
        <f t="shared" si="647"/>
        <v>-3029062.3332463866</v>
      </c>
      <c r="P166" s="297">
        <f t="shared" si="647"/>
        <v>-6626572.7807582412</v>
      </c>
      <c r="Q166" s="297">
        <f t="shared" si="647"/>
        <v>-7239217.6764538232</v>
      </c>
      <c r="R166" s="297">
        <f t="shared" si="647"/>
        <v>4776955.9230084419</v>
      </c>
      <c r="S166" s="297">
        <f t="shared" si="647"/>
        <v>1718401.8746947928</v>
      </c>
      <c r="T166" s="297">
        <f t="shared" si="647"/>
        <v>-4120672.987163377</v>
      </c>
      <c r="U166" s="297">
        <f t="shared" si="647"/>
        <v>-4080917.9192181989</v>
      </c>
      <c r="V166" s="297">
        <f t="shared" si="647"/>
        <v>-7198509.1509496719</v>
      </c>
      <c r="W166" s="297">
        <f t="shared" si="647"/>
        <v>-2321196.5143972896</v>
      </c>
      <c r="X166" s="297">
        <f t="shared" si="647"/>
        <v>239161.83882721886</v>
      </c>
      <c r="Y166" s="297">
        <f t="shared" si="647"/>
        <v>5104728.0943442602</v>
      </c>
      <c r="Z166" s="297">
        <f t="shared" si="647"/>
        <v>-4738449.4021236403</v>
      </c>
      <c r="AA166" s="297">
        <f t="shared" si="647"/>
        <v>-23141314.352619048</v>
      </c>
      <c r="AB166" s="297">
        <f t="shared" si="647"/>
        <v>-859422.35304868885</v>
      </c>
      <c r="AC166" s="297">
        <f t="shared" si="647"/>
        <v>-1818992.4472593085</v>
      </c>
      <c r="AD166" s="297">
        <f t="shared" si="647"/>
        <v>1880987.2524905277</v>
      </c>
      <c r="AE166" s="297">
        <f t="shared" si="647"/>
        <v>7476525.8842028696</v>
      </c>
      <c r="AF166" s="297">
        <f t="shared" si="647"/>
        <v>8720691.9875657279</v>
      </c>
      <c r="AG166" s="297">
        <f t="shared" si="647"/>
        <v>6109252.3776590331</v>
      </c>
      <c r="AH166" s="297">
        <f t="shared" si="647"/>
        <v>12931809.954306532</v>
      </c>
      <c r="AI166" s="297">
        <f t="shared" si="647"/>
        <v>19861930.541254908</v>
      </c>
      <c r="AJ166" s="297">
        <f t="shared" si="647"/>
        <v>9636738.4283709861</v>
      </c>
      <c r="AK166" s="297">
        <f t="shared" si="647"/>
        <v>13829717.535638541</v>
      </c>
      <c r="AL166" s="297">
        <f t="shared" si="647"/>
        <v>15181074.261203263</v>
      </c>
      <c r="AM166" s="297">
        <f t="shared" si="647"/>
        <v>-2813666.8105365848</v>
      </c>
      <c r="AN166" s="297">
        <f t="shared" si="647"/>
        <v>-15143810.310222905</v>
      </c>
      <c r="AO166" s="297">
        <f t="shared" si="647"/>
        <v>7216313.5581766963</v>
      </c>
      <c r="AP166" s="297">
        <f t="shared" si="647"/>
        <v>10270299.892559163</v>
      </c>
      <c r="AQ166" s="297">
        <f t="shared" si="647"/>
        <v>9806370.8162726052</v>
      </c>
      <c r="AR166" s="297">
        <f t="shared" si="647"/>
        <v>5941581.6560900146</v>
      </c>
      <c r="AS166" s="297">
        <f t="shared" si="647"/>
        <v>9233130.5293414891</v>
      </c>
      <c r="AT166" s="297">
        <f t="shared" si="647"/>
        <v>11741392.919134561</v>
      </c>
      <c r="AU166" s="297">
        <f t="shared" si="647"/>
        <v>12184672.51774843</v>
      </c>
      <c r="AV166" s="297">
        <f t="shared" si="647"/>
        <v>3530100.6855943855</v>
      </c>
      <c r="AW166" s="297">
        <f t="shared" si="647"/>
        <v>-10499684.102488019</v>
      </c>
      <c r="AX166" s="297">
        <f t="shared" si="647"/>
        <v>-11466501.066344641</v>
      </c>
      <c r="AY166" s="297">
        <f t="shared" si="647"/>
        <v>-22880695.104816519</v>
      </c>
      <c r="AZ166" s="297">
        <f t="shared" si="647"/>
        <v>-25175752.580708213</v>
      </c>
      <c r="BA166" s="297">
        <f t="shared" si="647"/>
        <v>-10780339.391915176</v>
      </c>
      <c r="BB166" s="297">
        <f t="shared" si="647"/>
        <v>-640909.65874694567</v>
      </c>
      <c r="BC166" s="297">
        <f t="shared" si="647"/>
        <v>-18750204.722602978</v>
      </c>
      <c r="BD166" s="297">
        <f t="shared" si="647"/>
        <v>-43228474.94492016</v>
      </c>
      <c r="BE166" s="297">
        <f t="shared" si="647"/>
        <v>-28064605.619409442</v>
      </c>
      <c r="BF166" s="297">
        <f t="shared" si="647"/>
        <v>-25884064.440205865</v>
      </c>
      <c r="BG166" s="297">
        <f t="shared" si="647"/>
        <v>-4399599.2944362313</v>
      </c>
      <c r="BH166" s="297">
        <f t="shared" si="647"/>
        <v>571133.59848742676</v>
      </c>
      <c r="BI166" s="297">
        <f t="shared" si="647"/>
        <v>145289.97192129912</v>
      </c>
      <c r="BJ166" s="297">
        <f t="shared" si="647"/>
        <v>22182889.009282153</v>
      </c>
      <c r="BK166" s="297">
        <f t="shared" si="647"/>
        <v>26137221.802006319</v>
      </c>
      <c r="BL166" s="297">
        <f t="shared" si="647"/>
        <v>34181499.798768423</v>
      </c>
      <c r="BM166" s="297">
        <f t="shared" si="647"/>
        <v>42193991.354387522</v>
      </c>
      <c r="BN166" s="297">
        <f t="shared" si="647"/>
        <v>43921184.823102444</v>
      </c>
      <c r="BO166" s="297">
        <f t="shared" si="647"/>
        <v>46085069.194986917</v>
      </c>
      <c r="BP166" s="297">
        <f t="shared" ref="BP166:DR166" si="648">SUM(BP167:BP172)</f>
        <v>24039888.354577079</v>
      </c>
      <c r="BQ166" s="297">
        <f t="shared" si="648"/>
        <v>62334646.949873596</v>
      </c>
      <c r="BR166" s="297">
        <f t="shared" si="648"/>
        <v>54447064.812480852</v>
      </c>
      <c r="BS166" s="297">
        <f t="shared" si="648"/>
        <v>38161136.13341856</v>
      </c>
      <c r="BT166" s="297">
        <f t="shared" si="648"/>
        <v>34762401.33273682</v>
      </c>
      <c r="BU166" s="297">
        <f t="shared" si="648"/>
        <v>57123184.083867565</v>
      </c>
      <c r="BV166" s="297">
        <f t="shared" si="648"/>
        <v>77051387.15629825</v>
      </c>
      <c r="BW166" s="297">
        <f t="shared" si="648"/>
        <v>76688963.469617799</v>
      </c>
      <c r="BX166" s="297">
        <f t="shared" si="648"/>
        <v>91712771.592269838</v>
      </c>
      <c r="BY166" s="297">
        <f t="shared" si="648"/>
        <v>94101884.234231725</v>
      </c>
      <c r="BZ166" s="297">
        <f t="shared" si="648"/>
        <v>85053372.298439384</v>
      </c>
      <c r="CA166" s="297">
        <f t="shared" si="648"/>
        <v>80461127.230365664</v>
      </c>
      <c r="CB166" s="297">
        <f t="shared" si="648"/>
        <v>68335943.475704923</v>
      </c>
      <c r="CC166" s="297">
        <f t="shared" si="648"/>
        <v>111046824.95773999</v>
      </c>
      <c r="CD166" s="297">
        <f t="shared" si="648"/>
        <v>92905428.709332108</v>
      </c>
      <c r="CE166" s="297">
        <f t="shared" si="648"/>
        <v>103677187.8611795</v>
      </c>
      <c r="CF166" s="297">
        <f t="shared" si="648"/>
        <v>110220789.17069381</v>
      </c>
      <c r="CG166" s="297">
        <f t="shared" si="648"/>
        <v>111729482.37346715</v>
      </c>
      <c r="CH166" s="297">
        <f t="shared" si="648"/>
        <v>116787279.51628694</v>
      </c>
      <c r="CI166" s="297">
        <f t="shared" si="648"/>
        <v>115383201.67362233</v>
      </c>
      <c r="CJ166" s="297">
        <f t="shared" si="648"/>
        <v>115593737.06126811</v>
      </c>
      <c r="CK166" s="297">
        <f t="shared" si="648"/>
        <v>118728260.12401952</v>
      </c>
      <c r="CL166" s="297">
        <f t="shared" si="648"/>
        <v>120539858.75175585</v>
      </c>
      <c r="CM166" s="297">
        <f t="shared" si="648"/>
        <v>112892966.2660867</v>
      </c>
      <c r="CN166" s="297">
        <f t="shared" si="648"/>
        <v>105997540.90830818</v>
      </c>
      <c r="CO166" s="297">
        <f t="shared" si="648"/>
        <v>150658451.30956635</v>
      </c>
      <c r="CP166" s="297">
        <f t="shared" si="648"/>
        <v>130774376.02076414</v>
      </c>
      <c r="CQ166" s="297">
        <f t="shared" si="648"/>
        <v>135805074.80971146</v>
      </c>
      <c r="CR166" s="297">
        <f t="shared" si="648"/>
        <v>150540359.98218617</v>
      </c>
      <c r="CS166" s="297">
        <f t="shared" si="648"/>
        <v>138228441.48495254</v>
      </c>
      <c r="CT166" s="297">
        <f t="shared" si="648"/>
        <v>169308348.54742384</v>
      </c>
      <c r="CU166" s="297">
        <f t="shared" si="648"/>
        <v>142997372.21372652</v>
      </c>
      <c r="CV166" s="297">
        <f t="shared" si="648"/>
        <v>149096517.87514386</v>
      </c>
      <c r="CW166" s="297">
        <f t="shared" si="648"/>
        <v>146934056.99047896</v>
      </c>
      <c r="CX166" s="297">
        <f t="shared" si="648"/>
        <v>163594148.19306615</v>
      </c>
      <c r="CY166" s="297">
        <f t="shared" si="648"/>
        <v>142550384.96158811</v>
      </c>
      <c r="CZ166" s="297">
        <f t="shared" si="648"/>
        <v>149845179.29545113</v>
      </c>
      <c r="DA166" s="297">
        <f t="shared" si="648"/>
        <v>194955298.44836307</v>
      </c>
      <c r="DB166" s="297">
        <f t="shared" si="648"/>
        <v>164920974.67910385</v>
      </c>
      <c r="DC166" s="297">
        <f t="shared" si="648"/>
        <v>199751840.69387016</v>
      </c>
      <c r="DD166" s="297">
        <f t="shared" si="648"/>
        <v>206597588.44324687</v>
      </c>
      <c r="DE166" s="297">
        <f t="shared" si="648"/>
        <v>178544601.12465283</v>
      </c>
      <c r="DF166" s="297">
        <f t="shared" si="648"/>
        <v>217299068.01658311</v>
      </c>
      <c r="DG166" s="297">
        <f t="shared" si="648"/>
        <v>190081097.57665148</v>
      </c>
      <c r="DH166" s="297">
        <f t="shared" si="648"/>
        <v>198053416.03736836</v>
      </c>
      <c r="DI166" s="297">
        <f t="shared" si="648"/>
        <v>194055787.06923789</v>
      </c>
      <c r="DJ166" s="297">
        <f t="shared" si="648"/>
        <v>213798446.89020956</v>
      </c>
      <c r="DK166" s="297">
        <f t="shared" si="648"/>
        <v>187754092.5191735</v>
      </c>
      <c r="DL166" s="297">
        <f t="shared" si="648"/>
        <v>194915569.42508513</v>
      </c>
      <c r="DM166" s="297">
        <f t="shared" si="648"/>
        <v>250032163.53086296</v>
      </c>
      <c r="DN166" s="297">
        <f t="shared" si="648"/>
        <v>215256361.01831582</v>
      </c>
      <c r="DO166" s="297">
        <f t="shared" si="648"/>
        <v>257163824.28448492</v>
      </c>
      <c r="DP166" s="297">
        <f t="shared" si="648"/>
        <v>264144554.49677432</v>
      </c>
      <c r="DQ166" s="297">
        <f t="shared" si="648"/>
        <v>229587505.75441006</v>
      </c>
      <c r="DR166" s="297">
        <f t="shared" si="648"/>
        <v>273055934.52255678</v>
      </c>
      <c r="DS166" s="297">
        <f t="shared" ref="DS166:ED166" si="649">SUM(DS167:DS172)</f>
        <v>231924029.26753584</v>
      </c>
      <c r="DT166" s="297">
        <f t="shared" si="649"/>
        <v>241477971.97014427</v>
      </c>
      <c r="DU166" s="297">
        <f t="shared" si="649"/>
        <v>235984084.97743347</v>
      </c>
      <c r="DV166" s="297">
        <f t="shared" si="649"/>
        <v>258174174.57932514</v>
      </c>
      <c r="DW166" s="297">
        <f t="shared" si="649"/>
        <v>227762700.39755961</v>
      </c>
      <c r="DX166" s="297">
        <f t="shared" si="649"/>
        <v>234864220.23480242</v>
      </c>
      <c r="DY166" s="297">
        <f t="shared" si="649"/>
        <v>298885138.17221367</v>
      </c>
      <c r="DZ166" s="297">
        <f t="shared" si="649"/>
        <v>261500404.28054962</v>
      </c>
      <c r="EA166" s="297">
        <f t="shared" si="649"/>
        <v>310511375.26419896</v>
      </c>
      <c r="EB166" s="297">
        <f t="shared" si="649"/>
        <v>317830907.17692471</v>
      </c>
      <c r="EC166" s="297">
        <f t="shared" si="649"/>
        <v>277564162.12054706</v>
      </c>
      <c r="ED166" s="297">
        <f t="shared" si="649"/>
        <v>326127836.12411094</v>
      </c>
      <c r="EE166" s="222"/>
      <c r="EF166" s="297">
        <f t="shared" ref="EF166:EF172" si="650">SUM(BK166:BM166)</f>
        <v>102512712.95516226</v>
      </c>
      <c r="EG166" s="297">
        <f t="shared" ref="EG166:EG172" si="651">SUM(BN166:BP166)</f>
        <v>114046142.37266643</v>
      </c>
      <c r="EH166" s="297">
        <f t="shared" ref="EH166:EH172" si="652">SUM(BQ166:BS166)</f>
        <v>154942847.89577299</v>
      </c>
      <c r="EI166" s="297">
        <f t="shared" ref="EI166:EI172" si="653">SUM(BT166:BV166)</f>
        <v>168936972.57290262</v>
      </c>
      <c r="EJ166" s="297">
        <f t="shared" ref="EJ166:EJ172" si="654">SUM(BW166:BY166)</f>
        <v>262503619.29611933</v>
      </c>
      <c r="EK166" s="297">
        <f t="shared" ref="EK166:EK172" si="655">SUM(BZ166:CB166)</f>
        <v>233850443.00450999</v>
      </c>
      <c r="EL166" s="297">
        <f t="shared" ref="EL166:EL172" si="656">SUM(CC166:CE166)</f>
        <v>307629441.52825165</v>
      </c>
      <c r="EM166" s="297">
        <f t="shared" ref="EM166:EM172" si="657">SUM(CF166:CH166)</f>
        <v>338737551.06044793</v>
      </c>
      <c r="EN166" s="297">
        <f t="shared" ref="EN166:EN172" si="658">SUM(CI166:CK166)</f>
        <v>349705198.85890996</v>
      </c>
      <c r="EO166" s="297">
        <f t="shared" ref="EO166:EO172" si="659">SUM(CL166:CN166)</f>
        <v>339430365.92615068</v>
      </c>
      <c r="EP166" s="297">
        <f t="shared" ref="EP166:EP172" si="660">SUM(CO166:CQ166)</f>
        <v>417237902.14004195</v>
      </c>
      <c r="EQ166" s="297">
        <f t="shared" ref="EQ166:EQ172" si="661">SUM(CR166:CT166)</f>
        <v>458077150.01456255</v>
      </c>
      <c r="ER166" s="297">
        <f t="shared" ref="ER166:ER172" si="662">SUM(CU166:CW166)</f>
        <v>439027947.0793494</v>
      </c>
      <c r="ES166" s="297">
        <f t="shared" ref="ES166:ES172" si="663">SUM(CX166:CZ166)</f>
        <v>455989712.45010543</v>
      </c>
      <c r="ET166" s="297">
        <f t="shared" ref="ET166:ET172" si="664">SUM(DA166:DC166)</f>
        <v>559628113.8213371</v>
      </c>
      <c r="EU166" s="297">
        <f t="shared" ref="EU166:EU172" si="665">SUM(DD166:DF166)</f>
        <v>602441257.58448279</v>
      </c>
      <c r="EV166" s="297">
        <f t="shared" ref="EV166:EV172" si="666">SUM(DG166:DI166)</f>
        <v>582190300.68325782</v>
      </c>
      <c r="EW166" s="297">
        <f t="shared" ref="EW166:EW172" si="667">SUM(DJ166:DL166)</f>
        <v>596468108.83446813</v>
      </c>
      <c r="EX166" s="297">
        <f t="shared" ref="EX166:EX172" si="668">SUM(DM166:DO166)</f>
        <v>722452348.8336637</v>
      </c>
      <c r="EY166" s="297">
        <f t="shared" ref="EY166:EY172" si="669">SUM(DP166:DR166)</f>
        <v>766787994.77374113</v>
      </c>
      <c r="EZ166" s="297">
        <f t="shared" ref="EZ166:EZ172" si="670">SUM(DS166:DU166)</f>
        <v>709386086.21511352</v>
      </c>
      <c r="FA166" s="297">
        <f t="shared" ref="FA166:FA172" si="671">SUM(DV166:DX166)</f>
        <v>720801095.21168709</v>
      </c>
      <c r="FB166" s="297">
        <f t="shared" ref="FB166:FB172" si="672">SUM(DY166:EA166)</f>
        <v>870896917.71696234</v>
      </c>
      <c r="FC166" s="297">
        <f t="shared" ref="FC166:FC172" si="673">SUM(EB166:ED166)</f>
        <v>921522905.4215827</v>
      </c>
      <c r="FE166" s="297">
        <f t="shared" ref="FE166:FE172" si="674">SUM(EF166:EI166)</f>
        <v>540438675.79650426</v>
      </c>
      <c r="FF166" s="297">
        <f t="shared" ref="FF166:FF172" si="675">SUM(EJ166:EM166)</f>
        <v>1142721054.889329</v>
      </c>
      <c r="FG166" s="297">
        <f t="shared" ref="FG166:FG172" si="676">SUM(EN166:EQ166)</f>
        <v>1564450616.9396653</v>
      </c>
      <c r="FH166" s="297">
        <f t="shared" ref="FH166:FH172" si="677">SUM(ER166:EU166)</f>
        <v>2057087030.9352746</v>
      </c>
      <c r="FI166" s="297">
        <f t="shared" ref="FI166:FI172" si="678">SUM(EV166:EY166)</f>
        <v>2667898753.1251307</v>
      </c>
      <c r="FJ166" s="774">
        <f t="shared" si="537"/>
        <v>3222607004.5653458</v>
      </c>
      <c r="FK166" s="545" t="s">
        <v>1</v>
      </c>
    </row>
    <row r="167" spans="2:167" x14ac:dyDescent="0.2">
      <c r="B167" s="225" t="s">
        <v>304</v>
      </c>
      <c r="C167" s="19">
        <f>'B2B- Non Repair'!C100</f>
        <v>810736</v>
      </c>
      <c r="D167" s="19">
        <f>'B2B- Non Repair'!D100</f>
        <v>-21379.007142856717</v>
      </c>
      <c r="E167" s="19">
        <f>'B2B- Non Repair'!E100</f>
        <v>-443472.32207507105</v>
      </c>
      <c r="F167" s="19">
        <f>'B2B- Non Repair'!F100</f>
        <v>1598388.8023318904</v>
      </c>
      <c r="G167" s="19">
        <f>'B2B- Non Repair'!G100</f>
        <v>-2180404.4601376187</v>
      </c>
      <c r="H167" s="19">
        <f>'B2B- Non Repair'!H100</f>
        <v>1892557.9249318712</v>
      </c>
      <c r="I167" s="19">
        <f>'B2B- Non Repair'!I100</f>
        <v>-11799313.491909049</v>
      </c>
      <c r="J167" s="19">
        <f>'B2B- Non Repair'!J100</f>
        <v>-89133.565232706722</v>
      </c>
      <c r="K167" s="19">
        <f>'B2B- Non Repair'!K100</f>
        <v>-6879807.9061028576</v>
      </c>
      <c r="L167" s="19">
        <f>'B2B- Non Repair'!L100</f>
        <v>-15082122.473714214</v>
      </c>
      <c r="M167" s="19">
        <f>'B2B- Non Repair'!M100</f>
        <v>-7688468.5941654611</v>
      </c>
      <c r="N167" s="19">
        <f>'B2B- Non Repair'!N100</f>
        <v>-7603163.6900000013</v>
      </c>
      <c r="O167" s="19">
        <f>'B2B- Non Repair'!O100</f>
        <v>-6933808.8201512853</v>
      </c>
      <c r="P167" s="19">
        <f>'B2B- Non Repair'!P100</f>
        <v>-9245300.0535519943</v>
      </c>
      <c r="Q167" s="19">
        <f>'B2B- Non Repair'!Q100</f>
        <v>-7041671.7704940056</v>
      </c>
      <c r="R167" s="19">
        <f>'B2B- Non Repair'!R100</f>
        <v>151640.85875273682</v>
      </c>
      <c r="S167" s="19">
        <f>'B2B- Non Repair'!S100</f>
        <v>-1699773.8265832588</v>
      </c>
      <c r="T167" s="19">
        <f>'B2B- Non Repair'!T100</f>
        <v>-6702085.1460963208</v>
      </c>
      <c r="U167" s="19">
        <f>'B2B- Non Repair'!U100</f>
        <v>-10395648.967830058</v>
      </c>
      <c r="V167" s="19">
        <f>'B2B- Non Repair'!V100</f>
        <v>-4742374.2189577082</v>
      </c>
      <c r="W167" s="19">
        <f>'B2B- Non Repair'!W100</f>
        <v>-2662937.7738581803</v>
      </c>
      <c r="X167" s="19">
        <f>'B2B- Non Repair'!X100</f>
        <v>147023.98466254957</v>
      </c>
      <c r="Y167" s="19">
        <f>'B2B- Non Repair'!Y100</f>
        <v>8586318.7553001177</v>
      </c>
      <c r="Z167" s="19">
        <f>'B2B- Non Repair'!Z100</f>
        <v>-2175418.1596779991</v>
      </c>
      <c r="AA167" s="19">
        <f>'B2B- Non Repair'!AA100</f>
        <v>-13256227.381028896</v>
      </c>
      <c r="AB167" s="19">
        <f>'B2B- Non Repair'!AB100</f>
        <v>-151236.5611895984</v>
      </c>
      <c r="AC167" s="19">
        <f>'B2B- Non Repair'!AC100</f>
        <v>-5678114.3403398022</v>
      </c>
      <c r="AD167" s="19">
        <f>'B2B- Non Repair'!AD100</f>
        <v>-6383875.3613387011</v>
      </c>
      <c r="AE167" s="19">
        <f>'B2B- Non Repair'!AE100</f>
        <v>-2479468.9641945795</v>
      </c>
      <c r="AF167" s="19">
        <f>'B2B- Non Repair'!AF100</f>
        <v>-1027113.4447717685</v>
      </c>
      <c r="AG167" s="19">
        <f>'B2B- Non Repair'!AG100</f>
        <v>-6661894.5119119585</v>
      </c>
      <c r="AH167" s="19">
        <f>'B2B- Non Repair'!AH100</f>
        <v>2233762.3282030979</v>
      </c>
      <c r="AI167" s="19">
        <f>'B2B- Non Repair'!AI100</f>
        <v>2239907.1929283189</v>
      </c>
      <c r="AJ167" s="19">
        <f>'B2B- Non Repair'!AJ100</f>
        <v>-5858306.533896625</v>
      </c>
      <c r="AK167" s="19">
        <f>'B2B- Non Repair'!AK100</f>
        <v>899208.6927397782</v>
      </c>
      <c r="AL167" s="19">
        <f>'B2B- Non Repair'!AL100</f>
        <v>1056264.7595784543</v>
      </c>
      <c r="AM167" s="19">
        <f>'B2B- Non Repair'!AM100</f>
        <v>-7250230.4472437035</v>
      </c>
      <c r="AN167" s="19">
        <f>'B2B- Non Repair'!AN100</f>
        <v>-8442982.8401679825</v>
      </c>
      <c r="AO167" s="19">
        <f>'B2B- Non Repair'!AO100</f>
        <v>-45925.799055968877</v>
      </c>
      <c r="AP167" s="19">
        <f>'B2B- Non Repair'!AP100</f>
        <v>-2172117.5477564479</v>
      </c>
      <c r="AQ167" s="19">
        <f>'B2B- Non Repair'!AQ100</f>
        <v>-4081021.4955609161</v>
      </c>
      <c r="AR167" s="19">
        <f>'B2B- Non Repair'!AR100</f>
        <v>-7703243.0073692482</v>
      </c>
      <c r="AS167" s="19">
        <f>'B2B- Non Repair'!AS100</f>
        <v>-10614032.361854013</v>
      </c>
      <c r="AT167" s="19">
        <f>'B2B- Non Repair'!AT100</f>
        <v>-11127819.180512819</v>
      </c>
      <c r="AU167" s="19">
        <f>'B2B- Non Repair'!AU100</f>
        <v>-9710058.2154617906</v>
      </c>
      <c r="AV167" s="19">
        <f>'B2B- Non Repair'!AV100</f>
        <v>-22181684.235897377</v>
      </c>
      <c r="AW167" s="19">
        <f>'B2B- Non Repair'!AW100</f>
        <v>-31002238.624166645</v>
      </c>
      <c r="AX167" s="19">
        <f>'B2B- Non Repair'!AX100</f>
        <v>-29501720.862992994</v>
      </c>
      <c r="AY167" s="19">
        <f>'B2B- Non Repair'!AY100</f>
        <v>-33135507.388882659</v>
      </c>
      <c r="AZ167" s="19">
        <f>'B2B- Non Repair'!AZ100</f>
        <v>-35936455.505871952</v>
      </c>
      <c r="BA167" s="19">
        <f>'B2B- Non Repair'!BA100</f>
        <v>-29082584.434499227</v>
      </c>
      <c r="BB167" s="19">
        <f>'B2B- Non Repair'!BB100</f>
        <v>-14211444.722709861</v>
      </c>
      <c r="BC167" s="19">
        <f>'B2B- Non Repair'!BC100</f>
        <v>-27292189.270191308</v>
      </c>
      <c r="BD167" s="19">
        <f>'B2B- Non Repair'!BD100</f>
        <v>-47903328.790834554</v>
      </c>
      <c r="BE167" s="19">
        <f>'B2B- Non Repair'!BE100</f>
        <v>-39653492.347751901</v>
      </c>
      <c r="BF167" s="19">
        <f>'B2B- Non Repair'!BF100</f>
        <v>-30622053.318702281</v>
      </c>
      <c r="BG167" s="19">
        <f>'B2B- Non Repair'!BG100</f>
        <v>-17949539.295905925</v>
      </c>
      <c r="BH167" s="19">
        <f>'B2B- Non Repair'!BH100</f>
        <v>-24898648.420577124</v>
      </c>
      <c r="BI167" s="19">
        <f>'B2B- Non Repair'!BI100</f>
        <v>-25307186.702924427</v>
      </c>
      <c r="BJ167" s="19">
        <f>'B2B- Non Repair'!BJ100</f>
        <v>-13130197.566189922</v>
      </c>
      <c r="BK167" s="19">
        <f>'B2B- Non Repair'!BK100</f>
        <v>-3880875.6477363147</v>
      </c>
      <c r="BL167" s="19">
        <f>'B2B- Non Repair'!BL100</f>
        <v>-6209156.2882693522</v>
      </c>
      <c r="BM167" s="19">
        <f>'B2B- Non Repair'!BM100</f>
        <v>-3619326.3570135692</v>
      </c>
      <c r="BN167" s="19">
        <f>'B2B- Non Repair'!BN100</f>
        <v>2543952.7907414054</v>
      </c>
      <c r="BO167" s="19">
        <f>'B2B- Non Repair'!BO100</f>
        <v>19645.431978944689</v>
      </c>
      <c r="BP167" s="19">
        <f>'B2B- Non Repair'!BP100</f>
        <v>-5709271.1041763248</v>
      </c>
      <c r="BQ167" s="19">
        <f>'B2B- Non Repair'!BQ100</f>
        <v>-519056.64036213513</v>
      </c>
      <c r="BR167" s="19">
        <f>'B2B- Non Repair'!BR100</f>
        <v>-277642.4356610002</v>
      </c>
      <c r="BS167" s="19">
        <f>'B2B- Non Repair'!BS100</f>
        <v>-12151434.751862813</v>
      </c>
      <c r="BT167" s="19">
        <f>'B2B- Non Repair'!BT100</f>
        <v>-23919002.285090826</v>
      </c>
      <c r="BU167" s="19">
        <f>'B2B- Non Repair'!BU100</f>
        <v>-406891.98859507125</v>
      </c>
      <c r="BV167" s="19">
        <f>'B2B- Non Repair'!BV100</f>
        <v>3874360.0664000176</v>
      </c>
      <c r="BW167" s="19">
        <f>'B2B- Non Repair'!BW100</f>
        <v>11425003.001222471</v>
      </c>
      <c r="BX167" s="19">
        <f>'B2B- Non Repair'!BX100</f>
        <v>13772069.754968742</v>
      </c>
      <c r="BY167" s="19">
        <f>'B2B- Non Repair'!BY100</f>
        <v>11692627.706078576</v>
      </c>
      <c r="BZ167" s="19">
        <f>'B2B- Non Repair'!BZ100</f>
        <v>-286401.95483022369</v>
      </c>
      <c r="CA167" s="19">
        <f>'B2B- Non Repair'!CA100</f>
        <v>3984776.2059609713</v>
      </c>
      <c r="CB167" s="19">
        <f>'B2B- Non Repair'!CB100</f>
        <v>918293.79894521367</v>
      </c>
      <c r="CC167" s="19">
        <f>'B2B- Non Repair'!CC100</f>
        <v>6116207.2199464608</v>
      </c>
      <c r="CD167" s="19">
        <f>'B2B- Non Repair'!CD100</f>
        <v>7047497.5232531019</v>
      </c>
      <c r="CE167" s="19">
        <f>'B2B- Non Repair'!CE100</f>
        <v>6289064.7197694043</v>
      </c>
      <c r="CF167" s="19">
        <f>'B2B- Non Repair'!CF100</f>
        <v>7563649.9444634775</v>
      </c>
      <c r="CG167" s="19">
        <f>'B2B- Non Repair'!CG100</f>
        <v>16568834.954450866</v>
      </c>
      <c r="CH167" s="19">
        <f>'B2B- Non Repair'!CH100</f>
        <v>4973110.7931572683</v>
      </c>
      <c r="CI167" s="19">
        <f>'B2B- Non Repair'!CI100</f>
        <v>17338872.438521825</v>
      </c>
      <c r="CJ167" s="19">
        <f>'B2B- Non Repair'!CJ100</f>
        <v>16714842.531666465</v>
      </c>
      <c r="CK167" s="19">
        <f>'B2B- Non Repair'!CK100</f>
        <v>16086928.495212838</v>
      </c>
      <c r="CL167" s="19">
        <f>'B2B- Non Repair'!CL100</f>
        <v>13112983.804032272</v>
      </c>
      <c r="CM167" s="19">
        <f>'B2B- Non Repair'!CM100</f>
        <v>14307230.266248446</v>
      </c>
      <c r="CN167" s="19">
        <f>'B2B- Non Repair'!CN100</f>
        <v>4702704.0726374323</v>
      </c>
      <c r="CO167" s="19">
        <f>'B2B- Non Repair'!CO100</f>
        <v>17450848.853626091</v>
      </c>
      <c r="CP167" s="19">
        <f>'B2B- Non Repair'!CP100</f>
        <v>16507057.158974625</v>
      </c>
      <c r="CQ167" s="19">
        <f>'B2B- Non Repair'!CQ100</f>
        <v>5717735.5410861596</v>
      </c>
      <c r="CR167" s="19">
        <f>'B2B- Non Repair'!CR100</f>
        <v>15751834.942930674</v>
      </c>
      <c r="CS167" s="19">
        <f>'B2B- Non Repair'!CS100</f>
        <v>26111041.386304315</v>
      </c>
      <c r="CT167" s="19">
        <f>'B2B- Non Repair'!CT100</f>
        <v>28420186.599219352</v>
      </c>
      <c r="CU167" s="19">
        <f>'B2B- Non Repair'!CU100</f>
        <v>19810453.53379982</v>
      </c>
      <c r="CV167" s="19">
        <f>'B2B- Non Repair'!CV100</f>
        <v>21173831.043765962</v>
      </c>
      <c r="CW167" s="19">
        <f>'B2B- Non Repair'!CW100</f>
        <v>18817583.179650865</v>
      </c>
      <c r="CX167" s="19">
        <f>'B2B- Non Repair'!CX100</f>
        <v>18850454.055398963</v>
      </c>
      <c r="CY167" s="19">
        <f>'B2B- Non Repair'!CY100</f>
        <v>16293137.905064793</v>
      </c>
      <c r="CZ167" s="19">
        <f>'B2B- Non Repair'!CZ100</f>
        <v>11964986.235114882</v>
      </c>
      <c r="DA167" s="19">
        <f>'B2B- Non Repair'!DA100</f>
        <v>16976372.929311089</v>
      </c>
      <c r="DB167" s="19">
        <f>'B2B- Non Repair'!DB100</f>
        <v>25211409.90418727</v>
      </c>
      <c r="DC167" s="19">
        <f>'B2B- Non Repair'!DC100</f>
        <v>30098343.405880116</v>
      </c>
      <c r="DD167" s="19">
        <f>'B2B- Non Repair'!DD100</f>
        <v>27035196.735485308</v>
      </c>
      <c r="DE167" s="19">
        <f>'B2B- Non Repair'!DE100</f>
        <v>25928544.596814595</v>
      </c>
      <c r="DF167" s="19">
        <f>'B2B- Non Repair'!DF100</f>
        <v>24254274.579809986</v>
      </c>
      <c r="DG167" s="19">
        <f>'B2B- Non Repair'!DG100</f>
        <v>34068491.209806308</v>
      </c>
      <c r="DH167" s="19">
        <f>'B2B- Non Repair'!DH100</f>
        <v>36008696.742416695</v>
      </c>
      <c r="DI167" s="19">
        <f>'B2B- Non Repair'!DI100</f>
        <v>32656830.806079369</v>
      </c>
      <c r="DJ167" s="19">
        <f>'B2B- Non Repair'!DJ100</f>
        <v>32703414.506280098</v>
      </c>
      <c r="DK167" s="19">
        <f>'B2B- Non Repair'!DK100</f>
        <v>29064360.259071287</v>
      </c>
      <c r="DL167" s="19">
        <f>'B2B- Non Repair'!DL100</f>
        <v>22904750.630312435</v>
      </c>
      <c r="DM167" s="19">
        <f>'B2B- Non Repair'!DM100</f>
        <v>30036682.680466186</v>
      </c>
      <c r="DN167" s="19">
        <f>'B2B- Non Repair'!DN100</f>
        <v>41755272.705275804</v>
      </c>
      <c r="DO167" s="19">
        <f>'B2B- Non Repair'!DO100</f>
        <v>48709733.865165591</v>
      </c>
      <c r="DP167" s="19">
        <f>'B2B- Non Repair'!DP100</f>
        <v>44351150.436686128</v>
      </c>
      <c r="DQ167" s="19">
        <f>'B2B- Non Repair'!DQ100</f>
        <v>42776446.855313063</v>
      </c>
      <c r="DR167" s="19">
        <f>'B2B- Non Repair'!DR100</f>
        <v>40394038.287308291</v>
      </c>
      <c r="DS167" s="19">
        <f>'B2B- Non Repair'!DS100</f>
        <v>50655321.61745134</v>
      </c>
      <c r="DT167" s="19">
        <f>'B2B- Non Repair'!DT100</f>
        <v>53263451.583455056</v>
      </c>
      <c r="DU167" s="19">
        <f>'B2B- Non Repair'!DU100</f>
        <v>48758971.780067518</v>
      </c>
      <c r="DV167" s="19">
        <f>'B2B- Non Repair'!DV100</f>
        <v>48821397.70048596</v>
      </c>
      <c r="DW167" s="19">
        <f>'B2B- Non Repair'!DW100</f>
        <v>43929813.218997255</v>
      </c>
      <c r="DX167" s="19">
        <f>'B2B- Non Repair'!DX100</f>
        <v>35649459.470550239</v>
      </c>
      <c r="DY167" s="19">
        <f>'B2B- Non Repair'!DY100</f>
        <v>45236881.161254391</v>
      </c>
      <c r="DZ167" s="19">
        <f>'B2B- Non Repair'!DZ100</f>
        <v>60989059.839515626</v>
      </c>
      <c r="EA167" s="19">
        <f>'B2B- Non Repair'!EA100</f>
        <v>70337552.399745151</v>
      </c>
      <c r="EB167" s="19">
        <f>'B2B- Non Repair'!EB100</f>
        <v>64479049.511752516</v>
      </c>
      <c r="EC167" s="19">
        <f>'B2B- Non Repair'!EC100</f>
        <v>62362406.450354502</v>
      </c>
      <c r="ED167" s="19">
        <f>'B2B- Non Repair'!ED100</f>
        <v>59160067.283251479</v>
      </c>
      <c r="EE167" s="222"/>
      <c r="EF167" s="19">
        <f t="shared" si="650"/>
        <v>-13709358.293019235</v>
      </c>
      <c r="EG167" s="19">
        <f t="shared" si="651"/>
        <v>-3145672.8814559747</v>
      </c>
      <c r="EH167" s="19">
        <f t="shared" si="652"/>
        <v>-12948133.827885948</v>
      </c>
      <c r="EI167" s="19">
        <f t="shared" si="653"/>
        <v>-20451534.207285881</v>
      </c>
      <c r="EJ167" s="19">
        <f t="shared" si="654"/>
        <v>36889700.46226979</v>
      </c>
      <c r="EK167" s="19">
        <f t="shared" si="655"/>
        <v>4616668.0500759613</v>
      </c>
      <c r="EL167" s="19">
        <f t="shared" si="656"/>
        <v>19452769.462968968</v>
      </c>
      <c r="EM167" s="19">
        <f t="shared" si="657"/>
        <v>29105595.692071613</v>
      </c>
      <c r="EN167" s="19">
        <f t="shared" si="658"/>
        <v>50140643.465401128</v>
      </c>
      <c r="EO167" s="19">
        <f t="shared" si="659"/>
        <v>32122918.142918147</v>
      </c>
      <c r="EP167" s="19">
        <f t="shared" si="660"/>
        <v>39675641.55368688</v>
      </c>
      <c r="EQ167" s="19">
        <f t="shared" si="661"/>
        <v>70283062.92845434</v>
      </c>
      <c r="ER167" s="19">
        <f t="shared" si="662"/>
        <v>59801867.757216647</v>
      </c>
      <c r="ES167" s="19">
        <f t="shared" si="663"/>
        <v>47108578.195578635</v>
      </c>
      <c r="ET167" s="19">
        <f t="shared" si="664"/>
        <v>72286126.239378482</v>
      </c>
      <c r="EU167" s="19">
        <f t="shared" si="665"/>
        <v>77218015.912109882</v>
      </c>
      <c r="EV167" s="19">
        <f t="shared" si="666"/>
        <v>102734018.75830238</v>
      </c>
      <c r="EW167" s="19">
        <f t="shared" si="667"/>
        <v>84672525.395663828</v>
      </c>
      <c r="EX167" s="19">
        <f t="shared" si="668"/>
        <v>120501689.25090759</v>
      </c>
      <c r="EY167" s="19">
        <f t="shared" si="669"/>
        <v>127521635.57930748</v>
      </c>
      <c r="EZ167" s="19">
        <f t="shared" si="670"/>
        <v>152677744.9809739</v>
      </c>
      <c r="FA167" s="19">
        <f t="shared" si="671"/>
        <v>128400670.39003345</v>
      </c>
      <c r="FB167" s="19">
        <f t="shared" si="672"/>
        <v>176563493.40051517</v>
      </c>
      <c r="FC167" s="19">
        <f t="shared" si="673"/>
        <v>186001523.2453585</v>
      </c>
      <c r="FE167" s="19">
        <f t="shared" si="674"/>
        <v>-50254699.209647037</v>
      </c>
      <c r="FF167" s="19">
        <f t="shared" si="675"/>
        <v>90064733.667386338</v>
      </c>
      <c r="FG167" s="19">
        <f t="shared" si="676"/>
        <v>192222266.09046051</v>
      </c>
      <c r="FH167" s="19">
        <f t="shared" si="677"/>
        <v>256414588.10428366</v>
      </c>
      <c r="FI167" s="19">
        <f t="shared" si="678"/>
        <v>435429868.98418128</v>
      </c>
      <c r="FJ167" s="770">
        <f t="shared" si="537"/>
        <v>643643432.01688099</v>
      </c>
      <c r="FK167" s="545" t="s">
        <v>1</v>
      </c>
    </row>
    <row r="168" spans="2:167" x14ac:dyDescent="0.2">
      <c r="B168" s="225" t="s">
        <v>139</v>
      </c>
      <c r="C168" s="19">
        <f>Refurbished!C111</f>
        <v>-43533.321428570431</v>
      </c>
      <c r="D168" s="19">
        <f>Refurbished!D111</f>
        <v>-170864.40755446383</v>
      </c>
      <c r="E168" s="19">
        <f>Refurbished!E111</f>
        <v>-461675.37592868449</v>
      </c>
      <c r="F168" s="19">
        <f>Refurbished!F111</f>
        <v>-793968.51664528565</v>
      </c>
      <c r="G168" s="19">
        <f>Refurbished!G111</f>
        <v>-877631.37295983476</v>
      </c>
      <c r="H168" s="19">
        <f>Refurbished!H111</f>
        <v>-825972.71878315846</v>
      </c>
      <c r="I168" s="19">
        <f>Refurbished!I111</f>
        <v>45263.669557144865</v>
      </c>
      <c r="J168" s="19">
        <f>Refurbished!J111</f>
        <v>1051145.4403571431</v>
      </c>
      <c r="K168" s="19">
        <f>Refurbished!K111</f>
        <v>335388.93999999948</v>
      </c>
      <c r="L168" s="19">
        <f>Refurbished!L111</f>
        <v>447542.39803627413</v>
      </c>
      <c r="M168" s="19">
        <f>Refurbished!M111</f>
        <v>724935.00098651135</v>
      </c>
      <c r="N168" s="19">
        <f>Refurbished!N111</f>
        <v>4346591.9359033993</v>
      </c>
      <c r="O168" s="19">
        <f>Refurbished!O111</f>
        <v>3852233.0734763271</v>
      </c>
      <c r="P168" s="19">
        <f>Refurbished!P111</f>
        <v>2075910.2570794676</v>
      </c>
      <c r="Q168" s="19">
        <f>Refurbished!Q111</f>
        <v>-717152.60692833969</v>
      </c>
      <c r="R168" s="19">
        <f>Refurbished!R111</f>
        <v>3903715.7642557053</v>
      </c>
      <c r="S168" s="19">
        <f>Refurbished!S111</f>
        <v>1804778.6212780522</v>
      </c>
      <c r="T168" s="19">
        <f>Refurbished!T111</f>
        <v>1047124.5289329435</v>
      </c>
      <c r="U168" s="19">
        <f>Refurbished!U111</f>
        <v>3867376.6986118592</v>
      </c>
      <c r="V168" s="19">
        <f>Refurbished!V111</f>
        <v>-3832841.501991963</v>
      </c>
      <c r="W168" s="19">
        <f>Refurbished!W111</f>
        <v>-1543128.1405391088</v>
      </c>
      <c r="X168" s="19">
        <f>Refurbished!X111</f>
        <v>-2145242.1458353307</v>
      </c>
      <c r="Y168" s="19">
        <f>Refurbished!Y111</f>
        <v>-5577877.4076225245</v>
      </c>
      <c r="Z168" s="19">
        <f>Refurbished!Z111</f>
        <v>-2948436.936850402</v>
      </c>
      <c r="AA168" s="19">
        <f>Refurbished!AA111</f>
        <v>-8558028.4476444013</v>
      </c>
      <c r="AB168" s="19">
        <f>Refurbished!AB111</f>
        <v>-1146053.3151924238</v>
      </c>
      <c r="AC168" s="19">
        <f>Refurbished!AC111</f>
        <v>27503.46593988128</v>
      </c>
      <c r="AD168" s="19">
        <f>Refurbished!AD111</f>
        <v>-1730431.2751091411</v>
      </c>
      <c r="AE168" s="19">
        <f>Refurbished!AE111</f>
        <v>-2710995.593006955</v>
      </c>
      <c r="AF168" s="19">
        <f>Refurbished!AF111</f>
        <v>-3616917.7650919645</v>
      </c>
      <c r="AG168" s="19">
        <f>Refurbished!AG111</f>
        <v>-3397371.9046962005</v>
      </c>
      <c r="AH168" s="19">
        <f>Refurbished!AH111</f>
        <v>-2013007.3912716606</v>
      </c>
      <c r="AI168" s="19">
        <f>Refurbished!AI111</f>
        <v>4975662.9244278353</v>
      </c>
      <c r="AJ168" s="19">
        <f>Refurbished!AJ111</f>
        <v>2086996.3847817834</v>
      </c>
      <c r="AK168" s="19">
        <f>Refurbished!AK111</f>
        <v>1559003.9541534223</v>
      </c>
      <c r="AL168" s="19">
        <f>Refurbished!AL111</f>
        <v>1279743.5675597489</v>
      </c>
      <c r="AM168" s="19">
        <f>Refurbished!AM111</f>
        <v>-4418965.7868165355</v>
      </c>
      <c r="AN168" s="19">
        <f>Refurbished!AN111</f>
        <v>-9411951.9337214362</v>
      </c>
      <c r="AO168" s="19">
        <f>Refurbished!AO111</f>
        <v>-5150239.1582815312</v>
      </c>
      <c r="AP168" s="19">
        <f>Refurbished!AP111</f>
        <v>-5199154.8438426331</v>
      </c>
      <c r="AQ168" s="19">
        <f>Refurbished!AQ111</f>
        <v>-6133199.8786604227</v>
      </c>
      <c r="AR168" s="19">
        <f>Refurbished!AR111</f>
        <v>-6817801.1604738543</v>
      </c>
      <c r="AS168" s="19">
        <f>Refurbished!AS111</f>
        <v>-5916236.6468556561</v>
      </c>
      <c r="AT168" s="19">
        <f>Refurbished!AT111</f>
        <v>4813003.6675275378</v>
      </c>
      <c r="AU168" s="19">
        <f>Refurbished!AU111</f>
        <v>3447047.9439547323</v>
      </c>
      <c r="AV168" s="19">
        <f>Refurbished!AV111</f>
        <v>4461846.826582592</v>
      </c>
      <c r="AW168" s="19">
        <f>Refurbished!AW111</f>
        <v>2705693.3811553828</v>
      </c>
      <c r="AX168" s="19">
        <f>Refurbished!AX111</f>
        <v>-4821071.4052877277</v>
      </c>
      <c r="AY168" s="19">
        <f>Refurbished!AY111</f>
        <v>-9999683.2035510242</v>
      </c>
      <c r="AZ168" s="19">
        <f>Refurbished!AZ111</f>
        <v>-7918927.2220028266</v>
      </c>
      <c r="BA168" s="19">
        <f>Refurbished!BA111</f>
        <v>-3890115.9986447766</v>
      </c>
      <c r="BB168" s="19">
        <f>Refurbished!BB111</f>
        <v>-8265835.7197934762</v>
      </c>
      <c r="BC168" s="19">
        <f>Refurbished!BC111</f>
        <v>-13780244.651198462</v>
      </c>
      <c r="BD168" s="19">
        <f>Refurbished!BD111</f>
        <v>-21579857.398998916</v>
      </c>
      <c r="BE168" s="19">
        <f>Refurbished!BE111</f>
        <v>-13250726.902368233</v>
      </c>
      <c r="BF168" s="19">
        <f>Refurbished!BF111</f>
        <v>-15974608.916316073</v>
      </c>
      <c r="BG168" s="19">
        <f>Refurbished!BG111</f>
        <v>-10944977.674474254</v>
      </c>
      <c r="BH168" s="19">
        <f>Refurbished!BH111</f>
        <v>-4600429.1228716448</v>
      </c>
      <c r="BI168" s="19">
        <f>Refurbished!BI111</f>
        <v>-2303363.4220194966</v>
      </c>
      <c r="BJ168" s="19">
        <f>Refurbished!BJ111</f>
        <v>2874791.4136802852</v>
      </c>
      <c r="BK168" s="19">
        <f>Refurbished!BK111</f>
        <v>-5719027.0578897446</v>
      </c>
      <c r="BL168" s="19">
        <f>Refurbished!BL111</f>
        <v>2713666.8262577504</v>
      </c>
      <c r="BM168" s="19">
        <f>Refurbished!BM111</f>
        <v>8962219.2684646398</v>
      </c>
      <c r="BN168" s="19">
        <f>Refurbished!BN111</f>
        <v>-461536.80501390994</v>
      </c>
      <c r="BO168" s="19">
        <f>Refurbished!BO111</f>
        <v>3388405.4542913809</v>
      </c>
      <c r="BP168" s="19">
        <f>Refurbished!BP111</f>
        <v>-7566739.0177697204</v>
      </c>
      <c r="BQ168" s="19">
        <f>Refurbished!BQ111</f>
        <v>6074995.8120087683</v>
      </c>
      <c r="BR168" s="19">
        <f>Refurbished!BR111</f>
        <v>9944765.7344917357</v>
      </c>
      <c r="BS168" s="19">
        <f>Refurbished!BS111</f>
        <v>8420622.0428023785</v>
      </c>
      <c r="BT168" s="19">
        <f>Refurbished!BT111</f>
        <v>11833411.177433029</v>
      </c>
      <c r="BU168" s="19">
        <f>Refurbished!BU111</f>
        <v>15088762.645594105</v>
      </c>
      <c r="BV168" s="19">
        <f>Refurbished!BV111</f>
        <v>29035176.357833363</v>
      </c>
      <c r="BW168" s="19">
        <f>Refurbished!BW111</f>
        <v>24230790.106620491</v>
      </c>
      <c r="BX168" s="19">
        <f>Refurbished!BX111</f>
        <v>28879402.244570248</v>
      </c>
      <c r="BY168" s="19">
        <f>Refurbished!BY111</f>
        <v>35789061.213781655</v>
      </c>
      <c r="BZ168" s="19">
        <f>Refurbished!BZ111</f>
        <v>30873557.406971335</v>
      </c>
      <c r="CA168" s="19">
        <f>Refurbished!CA111</f>
        <v>23503288.976700462</v>
      </c>
      <c r="CB168" s="19">
        <f>Refurbished!CB111</f>
        <v>16300790.214759678</v>
      </c>
      <c r="CC168" s="19">
        <f>Refurbished!CC111</f>
        <v>34887201.519667298</v>
      </c>
      <c r="CD168" s="19">
        <f>Refurbished!CD111</f>
        <v>31784387.735829905</v>
      </c>
      <c r="CE168" s="19">
        <f>Refurbished!CE111</f>
        <v>42927285.114339635</v>
      </c>
      <c r="CF168" s="19">
        <f>Refurbished!CF111</f>
        <v>43925831.376912966</v>
      </c>
      <c r="CG168" s="19">
        <f>Refurbished!CG111</f>
        <v>38052836.997700572</v>
      </c>
      <c r="CH168" s="19">
        <f>Refurbished!CH111</f>
        <v>55480492.642721429</v>
      </c>
      <c r="CI168" s="19">
        <f>Refurbished!CI111</f>
        <v>42103550.26463376</v>
      </c>
      <c r="CJ168" s="19">
        <f>Refurbished!CJ111</f>
        <v>39329363.026986301</v>
      </c>
      <c r="CK168" s="19">
        <f>Refurbished!CK111</f>
        <v>43761144.003610447</v>
      </c>
      <c r="CL168" s="19">
        <f>Refurbished!CL111</f>
        <v>44024744.492615819</v>
      </c>
      <c r="CM168" s="19">
        <f>Refurbished!CM111</f>
        <v>40167063.543640979</v>
      </c>
      <c r="CN168" s="19">
        <f>Refurbished!CN111</f>
        <v>30934331.126602009</v>
      </c>
      <c r="CO168" s="19">
        <f>Refurbished!CO111</f>
        <v>44926002.96732454</v>
      </c>
      <c r="CP168" s="19">
        <f>Refurbished!CP111</f>
        <v>45680549.199924476</v>
      </c>
      <c r="CQ168" s="19">
        <f>Refurbished!CQ111</f>
        <v>55590388.364160314</v>
      </c>
      <c r="CR168" s="19">
        <f>Refurbished!CR111</f>
        <v>60634030.24342306</v>
      </c>
      <c r="CS168" s="19">
        <f>Refurbished!CS111</f>
        <v>43536848.82126002</v>
      </c>
      <c r="CT168" s="19">
        <f>Refurbished!CT111</f>
        <v>46240217.047710016</v>
      </c>
      <c r="CU168" s="19">
        <f>Refurbished!CU111</f>
        <v>51961015.376098871</v>
      </c>
      <c r="CV168" s="19">
        <f>Refurbished!CV111</f>
        <v>50301386.168093711</v>
      </c>
      <c r="CW168" s="19">
        <f>Refurbished!CW111</f>
        <v>49987688.662007898</v>
      </c>
      <c r="CX168" s="19">
        <f>Refurbished!CX111</f>
        <v>58435321.223474652</v>
      </c>
      <c r="CY168" s="19">
        <f>Refurbished!CY111</f>
        <v>44985537.465653792</v>
      </c>
      <c r="CZ168" s="19">
        <f>Refurbished!CZ111</f>
        <v>42030945.603455722</v>
      </c>
      <c r="DA168" s="19">
        <f>Refurbished!DA111</f>
        <v>61900436.30114688</v>
      </c>
      <c r="DB168" s="19">
        <f>Refurbished!DB111</f>
        <v>53465052.766278937</v>
      </c>
      <c r="DC168" s="19">
        <f>Refurbished!DC111</f>
        <v>81585036.74303335</v>
      </c>
      <c r="DD168" s="19">
        <f>Refurbished!DD111</f>
        <v>88383342.61676079</v>
      </c>
      <c r="DE168" s="19">
        <f>Refurbished!DE111</f>
        <v>71967061.191696897</v>
      </c>
      <c r="DF168" s="19">
        <f>Refurbished!DF111</f>
        <v>93993929.433818221</v>
      </c>
      <c r="DG168" s="19">
        <f>Refurbished!DG111</f>
        <v>70400200.980852142</v>
      </c>
      <c r="DH168" s="19">
        <f>Refurbished!DH111</f>
        <v>68620434.769210339</v>
      </c>
      <c r="DI168" s="19">
        <f>Refurbished!DI111</f>
        <v>67678770.663794994</v>
      </c>
      <c r="DJ168" s="19">
        <f>Refurbished!DJ111</f>
        <v>77873466.036520243</v>
      </c>
      <c r="DK168" s="19">
        <f>Refurbished!DK111</f>
        <v>61410332.863266349</v>
      </c>
      <c r="DL168" s="19">
        <f>Refurbished!DL111</f>
        <v>57384231.156841025</v>
      </c>
      <c r="DM168" s="19">
        <f>Refurbished!DM111</f>
        <v>81174067.281406388</v>
      </c>
      <c r="DN168" s="19">
        <f>Refurbished!DN111</f>
        <v>70402893.796800911</v>
      </c>
      <c r="DO168" s="19">
        <f>Refurbished!DO111</f>
        <v>103357670.85025786</v>
      </c>
      <c r="DP168" s="19">
        <f>Refurbished!DP111</f>
        <v>110794384.21054234</v>
      </c>
      <c r="DQ168" s="19">
        <f>Refurbished!DQ111</f>
        <v>90865121.145658851</v>
      </c>
      <c r="DR168" s="19">
        <f>Refurbished!DR111</f>
        <v>115299404.23559156</v>
      </c>
      <c r="DS168" s="19">
        <f>Refurbished!DS111</f>
        <v>83097926.64950417</v>
      </c>
      <c r="DT168" s="19">
        <f>Refurbished!DT111</f>
        <v>81007343.035858631</v>
      </c>
      <c r="DU168" s="19">
        <f>Refurbished!DU111</f>
        <v>79875449.548153132</v>
      </c>
      <c r="DV168" s="19">
        <f>Refurbished!DV111</f>
        <v>91282122.183732659</v>
      </c>
      <c r="DW168" s="19">
        <f>Refurbished!DW111</f>
        <v>72566374.322555929</v>
      </c>
      <c r="DX168" s="19">
        <f>Refurbished!DX111</f>
        <v>68139802.510104567</v>
      </c>
      <c r="DY168" s="19">
        <f>Refurbished!DY111</f>
        <v>94685878.385287881</v>
      </c>
      <c r="DZ168" s="19">
        <f>Refurbished!DZ111</f>
        <v>82563234.148235872</v>
      </c>
      <c r="EA168" s="19">
        <f>Refurbished!EA111</f>
        <v>119976783.82927026</v>
      </c>
      <c r="EB168" s="19">
        <f>Refurbished!EB111</f>
        <v>128497440.68314147</v>
      </c>
      <c r="EC168" s="19">
        <f>Refurbished!EC111</f>
        <v>105653571.73922718</v>
      </c>
      <c r="ED168" s="19">
        <f>Refurbished!ED111</f>
        <v>133155085.59610839</v>
      </c>
      <c r="EE168" s="222"/>
      <c r="EF168" s="19">
        <f t="shared" si="650"/>
        <v>5956859.0368326455</v>
      </c>
      <c r="EG168" s="19">
        <f t="shared" si="651"/>
        <v>-4639870.3684922494</v>
      </c>
      <c r="EH168" s="19">
        <f t="shared" si="652"/>
        <v>24440383.589302883</v>
      </c>
      <c r="EI168" s="19">
        <f t="shared" si="653"/>
        <v>55957350.180860497</v>
      </c>
      <c r="EJ168" s="19">
        <f t="shared" si="654"/>
        <v>88899253.564972401</v>
      </c>
      <c r="EK168" s="19">
        <f t="shared" si="655"/>
        <v>70677636.598431468</v>
      </c>
      <c r="EL168" s="19">
        <f t="shared" si="656"/>
        <v>109598874.36983684</v>
      </c>
      <c r="EM168" s="19">
        <f t="shared" si="657"/>
        <v>137459161.01733497</v>
      </c>
      <c r="EN168" s="19">
        <f t="shared" si="658"/>
        <v>125194057.29523051</v>
      </c>
      <c r="EO168" s="19">
        <f t="shared" si="659"/>
        <v>115126139.1628588</v>
      </c>
      <c r="EP168" s="19">
        <f t="shared" si="660"/>
        <v>146196940.53140932</v>
      </c>
      <c r="EQ168" s="19">
        <f t="shared" si="661"/>
        <v>150411096.11239308</v>
      </c>
      <c r="ER168" s="19">
        <f t="shared" si="662"/>
        <v>152250090.20620048</v>
      </c>
      <c r="ES168" s="19">
        <f t="shared" si="663"/>
        <v>145451804.29258418</v>
      </c>
      <c r="ET168" s="19">
        <f t="shared" si="664"/>
        <v>196950525.81045917</v>
      </c>
      <c r="EU168" s="19">
        <f t="shared" si="665"/>
        <v>254344333.24227589</v>
      </c>
      <c r="EV168" s="19">
        <f t="shared" si="666"/>
        <v>206699406.41385746</v>
      </c>
      <c r="EW168" s="19">
        <f t="shared" si="667"/>
        <v>196668030.05662763</v>
      </c>
      <c r="EX168" s="19">
        <f t="shared" si="668"/>
        <v>254934631.92846519</v>
      </c>
      <c r="EY168" s="19">
        <f t="shared" si="669"/>
        <v>316958909.5917927</v>
      </c>
      <c r="EZ168" s="19">
        <f t="shared" si="670"/>
        <v>243980719.23351595</v>
      </c>
      <c r="FA168" s="19">
        <f t="shared" si="671"/>
        <v>231988299.01639315</v>
      </c>
      <c r="FB168" s="19">
        <f t="shared" si="672"/>
        <v>297225896.36279398</v>
      </c>
      <c r="FC168" s="19">
        <f t="shared" si="673"/>
        <v>367306098.01847702</v>
      </c>
      <c r="FE168" s="19">
        <f t="shared" si="674"/>
        <v>81714722.438503772</v>
      </c>
      <c r="FF168" s="19">
        <f t="shared" si="675"/>
        <v>406634925.55057561</v>
      </c>
      <c r="FG168" s="19">
        <f t="shared" si="676"/>
        <v>536928233.10189176</v>
      </c>
      <c r="FH168" s="19">
        <f t="shared" si="677"/>
        <v>748996753.55151963</v>
      </c>
      <c r="FI168" s="19">
        <f t="shared" si="678"/>
        <v>975260977.99074304</v>
      </c>
      <c r="FJ168" s="770">
        <f t="shared" si="537"/>
        <v>1140501012.63118</v>
      </c>
      <c r="FK168" s="545" t="s">
        <v>1</v>
      </c>
    </row>
    <row r="169" spans="2:167" x14ac:dyDescent="0.2">
      <c r="B169" s="225" t="s">
        <v>309</v>
      </c>
      <c r="C169" s="19">
        <f>Marketplace!C33</f>
        <v>3205149.8571428573</v>
      </c>
      <c r="D169" s="19">
        <f>Marketplace!D33</f>
        <v>5170025.8571428573</v>
      </c>
      <c r="E169" s="19">
        <f>Marketplace!E33</f>
        <v>4746984.8571428563</v>
      </c>
      <c r="F169" s="19">
        <f>Marketplace!F33</f>
        <v>3792577.8571428573</v>
      </c>
      <c r="G169" s="19">
        <f>Marketplace!G33</f>
        <v>1810330.8571428573</v>
      </c>
      <c r="H169" s="19">
        <f>Marketplace!H33</f>
        <v>1020404.5714285711</v>
      </c>
      <c r="I169" s="19">
        <f>Marketplace!I33</f>
        <v>1516954.2857142854</v>
      </c>
      <c r="J169" s="19">
        <f>Marketplace!J33</f>
        <v>1362178.2857142857</v>
      </c>
      <c r="K169" s="19">
        <f>Marketplace!K33</f>
        <v>2097796.8571428573</v>
      </c>
      <c r="L169" s="19">
        <f>Marketplace!L33</f>
        <v>2438617</v>
      </c>
      <c r="M169" s="19">
        <f>Marketplace!M33</f>
        <v>1980080</v>
      </c>
      <c r="N169" s="19">
        <f>Marketplace!N33</f>
        <v>1510329</v>
      </c>
      <c r="O169" s="19">
        <f>Marketplace!O33</f>
        <v>1695261.102</v>
      </c>
      <c r="P169" s="19">
        <f>Marketplace!P33</f>
        <v>2021099.6800000002</v>
      </c>
      <c r="Q169" s="19">
        <f>Marketplace!Q33</f>
        <v>2068078.0581113799</v>
      </c>
      <c r="R169" s="19">
        <f>Marketplace!R33</f>
        <v>2306911</v>
      </c>
      <c r="S169" s="19">
        <f>Marketplace!S33</f>
        <v>2777673.9999999995</v>
      </c>
      <c r="T169" s="19">
        <f>Marketplace!T33</f>
        <v>2713177</v>
      </c>
      <c r="U169" s="19">
        <f>Marketplace!U33</f>
        <v>3628592</v>
      </c>
      <c r="V169" s="19">
        <f>Marketplace!V33</f>
        <v>2415305.9999999995</v>
      </c>
      <c r="W169" s="19">
        <f>Marketplace!W33</f>
        <v>2716855.9999999995</v>
      </c>
      <c r="X169" s="19">
        <f>Marketplace!X33</f>
        <v>3035592</v>
      </c>
      <c r="Y169" s="19">
        <f>Marketplace!Y33</f>
        <v>2916315</v>
      </c>
      <c r="Z169" s="19">
        <f>Marketplace!Z33</f>
        <v>2311362.9999999995</v>
      </c>
      <c r="AA169" s="19">
        <f>Marketplace!AA33</f>
        <v>-1254480.5239457542</v>
      </c>
      <c r="AB169" s="19">
        <f>Marketplace!AB33</f>
        <v>593008</v>
      </c>
      <c r="AC169" s="19">
        <f>Marketplace!AC33</f>
        <v>4865088</v>
      </c>
      <c r="AD169" s="19">
        <f>Marketplace!AD33</f>
        <v>7984398</v>
      </c>
      <c r="AE169" s="19">
        <f>Marketplace!AE33</f>
        <v>10529272</v>
      </c>
      <c r="AF169" s="19">
        <f>Marketplace!AF33</f>
        <v>10858557</v>
      </c>
      <c r="AG169" s="19">
        <f>Marketplace!AG33</f>
        <v>13587750</v>
      </c>
      <c r="AH169" s="19">
        <f>Marketplace!AH33</f>
        <v>10762909</v>
      </c>
      <c r="AI169" s="19">
        <f>Marketplace!AI33</f>
        <v>8957696</v>
      </c>
      <c r="AJ169" s="19">
        <f>Marketplace!AJ33</f>
        <v>11410437</v>
      </c>
      <c r="AK169" s="19">
        <f>Marketplace!AK33</f>
        <v>9865632.9999999981</v>
      </c>
      <c r="AL169" s="19">
        <f>Marketplace!AL33</f>
        <v>10786309.999999998</v>
      </c>
      <c r="AM169" s="19">
        <f>Marketplace!AM33</f>
        <v>7526399.9999999981</v>
      </c>
      <c r="AN169" s="19">
        <f>Marketplace!AN33</f>
        <v>1782786</v>
      </c>
      <c r="AO169" s="19">
        <f>Marketplace!AO33</f>
        <v>10303803</v>
      </c>
      <c r="AP169" s="19">
        <f>Marketplace!AP33</f>
        <v>14367663</v>
      </c>
      <c r="AQ169" s="19">
        <f>Marketplace!AQ33</f>
        <v>16917349</v>
      </c>
      <c r="AR169" s="19">
        <f>Marketplace!AR33</f>
        <v>13943181.702833299</v>
      </c>
      <c r="AS169" s="19">
        <f>Marketplace!AS33</f>
        <v>20693392</v>
      </c>
      <c r="AT169" s="19">
        <f>Marketplace!AT33</f>
        <v>13863430</v>
      </c>
      <c r="AU169" s="19">
        <f>Marketplace!AU33</f>
        <v>14716068.186440676</v>
      </c>
      <c r="AV169" s="19">
        <f>Marketplace!AV33</f>
        <v>16553558</v>
      </c>
      <c r="AW169" s="19">
        <f>Marketplace!AW33</f>
        <v>14648569</v>
      </c>
      <c r="AX169" s="19">
        <f>Marketplace!AX33</f>
        <v>19590049</v>
      </c>
      <c r="AY169" s="19">
        <f>Marketplace!AY33</f>
        <v>16898730.999999996</v>
      </c>
      <c r="AZ169" s="19">
        <f>Marketplace!AZ33</f>
        <v>15140709.820448715</v>
      </c>
      <c r="BA169" s="19">
        <f>Marketplace!BA33</f>
        <v>17051409.682307694</v>
      </c>
      <c r="BB169" s="19">
        <f>Marketplace!BB33</f>
        <v>17325629.256316997</v>
      </c>
      <c r="BC169" s="19">
        <f>Marketplace!BC33</f>
        <v>18599475.142731376</v>
      </c>
      <c r="BD169" s="19">
        <f>Marketplace!BD33</f>
        <v>21724952.892651912</v>
      </c>
      <c r="BE169" s="19">
        <f>Marketplace!BE33</f>
        <v>20766833.250840321</v>
      </c>
      <c r="BF169" s="19">
        <f>Marketplace!BF33</f>
        <v>17642188.430415913</v>
      </c>
      <c r="BG169" s="19">
        <f>Marketplace!BG33</f>
        <v>20725022.133311972</v>
      </c>
      <c r="BH169" s="19">
        <f>Marketplace!BH33</f>
        <v>25176251.112088464</v>
      </c>
      <c r="BI169" s="19">
        <f>Marketplace!BI33</f>
        <v>22849340.267190941</v>
      </c>
      <c r="BJ169" s="19">
        <f>Marketplace!BJ33</f>
        <v>27030486.04213414</v>
      </c>
      <c r="BK169" s="19">
        <f>Marketplace!BK33</f>
        <v>29352250.590677787</v>
      </c>
      <c r="BL169" s="19">
        <f>Marketplace!BL33</f>
        <v>30834228.979868919</v>
      </c>
      <c r="BM169" s="19">
        <f>Marketplace!BM33</f>
        <v>31268916.056713421</v>
      </c>
      <c r="BN169" s="19">
        <f>Marketplace!BN33</f>
        <v>35010102.164114863</v>
      </c>
      <c r="BO169" s="19">
        <f>Marketplace!BO33</f>
        <v>35444100.201693289</v>
      </c>
      <c r="BP169" s="19">
        <f>Marketplace!BP33</f>
        <v>31055234.352744684</v>
      </c>
      <c r="BQ169" s="19">
        <f>Marketplace!BQ33</f>
        <v>48447359.986652009</v>
      </c>
      <c r="BR169" s="19">
        <f>Marketplace!BR33</f>
        <v>39908546.517837673</v>
      </c>
      <c r="BS169" s="19">
        <f>Marketplace!BS33</f>
        <v>36292571.554142952</v>
      </c>
      <c r="BT169" s="19">
        <f>Marketplace!BT33</f>
        <v>42310753.378351226</v>
      </c>
      <c r="BU169" s="19">
        <f>Marketplace!BU33</f>
        <v>37077466.457450382</v>
      </c>
      <c r="BV169" s="19">
        <f>Marketplace!BV33</f>
        <v>38207908.869066566</v>
      </c>
      <c r="BW169" s="19">
        <f>Marketplace!BW33</f>
        <v>35595830.381177373</v>
      </c>
      <c r="BX169" s="19">
        <f>Marketplace!BX33</f>
        <v>42216259.491198614</v>
      </c>
      <c r="BY169" s="19">
        <f>Marketplace!BY33</f>
        <v>38156076.566948168</v>
      </c>
      <c r="BZ169" s="19">
        <f>Marketplace!BZ33</f>
        <v>46407330.50645452</v>
      </c>
      <c r="CA169" s="19">
        <f>Marketplace!CA33</f>
        <v>43100583.627777621</v>
      </c>
      <c r="CB169" s="19">
        <f>Marketplace!CB33</f>
        <v>40926098.238832563</v>
      </c>
      <c r="CC169" s="19">
        <f>Marketplace!CC33</f>
        <v>59961433.319395356</v>
      </c>
      <c r="CD169" s="19">
        <f>Marketplace!CD33</f>
        <v>44621078.850092031</v>
      </c>
      <c r="CE169" s="19">
        <f>Marketplace!CE33</f>
        <v>45688630.72804103</v>
      </c>
      <c r="CF169" s="19">
        <f>Marketplace!CF33</f>
        <v>49357847.180640049</v>
      </c>
      <c r="CG169" s="19">
        <f>Marketplace!CG33</f>
        <v>49492186.787296131</v>
      </c>
      <c r="CH169" s="19">
        <f>Marketplace!CH33</f>
        <v>46104231.641611665</v>
      </c>
      <c r="CI169" s="19">
        <f>Marketplace!CI33</f>
        <v>47002481.436164096</v>
      </c>
      <c r="CJ169" s="19">
        <f>Marketplace!CJ33</f>
        <v>50390877.892634243</v>
      </c>
      <c r="CK169" s="19">
        <f>Marketplace!CK33</f>
        <v>48979819.94856514</v>
      </c>
      <c r="CL169" s="19">
        <f>Marketplace!CL33</f>
        <v>51630598.763219431</v>
      </c>
      <c r="CM169" s="19">
        <f>Marketplace!CM33</f>
        <v>48162041.27927997</v>
      </c>
      <c r="CN169" s="19">
        <f>Marketplace!CN33</f>
        <v>59938492.274478383</v>
      </c>
      <c r="CO169" s="19">
        <f>Marketplace!CO33</f>
        <v>76904020.447884709</v>
      </c>
      <c r="CP169" s="19">
        <f>Marketplace!CP33</f>
        <v>58356078.703535035</v>
      </c>
      <c r="CQ169" s="19">
        <f>Marketplace!CQ33</f>
        <v>62191468.629202947</v>
      </c>
      <c r="CR169" s="19">
        <f>Marketplace!CR33</f>
        <v>63754859.926791318</v>
      </c>
      <c r="CS169" s="19">
        <f>Marketplace!CS33</f>
        <v>55934252.580470815</v>
      </c>
      <c r="CT169" s="19">
        <f>Marketplace!CT33</f>
        <v>72217784.450158045</v>
      </c>
      <c r="CU169" s="19">
        <f>Marketplace!CU33</f>
        <v>61567080.908305012</v>
      </c>
      <c r="CV169" s="19">
        <f>Marketplace!CV33</f>
        <v>68161411.698730484</v>
      </c>
      <c r="CW169" s="19">
        <f>Marketplace!CW33</f>
        <v>67213568.850218549</v>
      </c>
      <c r="CX169" s="19">
        <f>Marketplace!CX33</f>
        <v>74606988.942242935</v>
      </c>
      <c r="CY169" s="19">
        <f>Marketplace!CY33</f>
        <v>68837564.18469879</v>
      </c>
      <c r="CZ169" s="19">
        <f>Marketplace!CZ33</f>
        <v>81908206.422544375</v>
      </c>
      <c r="DA169" s="19">
        <f>Marketplace!DA33</f>
        <v>104083549.22599231</v>
      </c>
      <c r="DB169" s="19">
        <f>Marketplace!DB33</f>
        <v>73925918.983649403</v>
      </c>
      <c r="DC169" s="19">
        <f>Marketplace!DC33</f>
        <v>76778053.106279358</v>
      </c>
      <c r="DD169" s="19">
        <f>Marketplace!DD33</f>
        <v>81144768.797478333</v>
      </c>
      <c r="DE169" s="19">
        <f>Marketplace!DE33</f>
        <v>67862675.236748114</v>
      </c>
      <c r="DF169" s="19">
        <f>Marketplace!DF33</f>
        <v>85016049.121685982</v>
      </c>
      <c r="DG169" s="19">
        <f>Marketplace!DG33</f>
        <v>75333929.083665445</v>
      </c>
      <c r="DH169" s="19">
        <f>Marketplace!DH33</f>
        <v>83247126.032176018</v>
      </c>
      <c r="DI169" s="19">
        <f>Marketplace!DI33</f>
        <v>82109714.613961697</v>
      </c>
      <c r="DJ169" s="19">
        <f>Marketplace!DJ33</f>
        <v>90981818.724390954</v>
      </c>
      <c r="DK169" s="19">
        <f>Marketplace!DK33</f>
        <v>84058509.015337989</v>
      </c>
      <c r="DL169" s="19">
        <f>Marketplace!DL33</f>
        <v>99743279.70075269</v>
      </c>
      <c r="DM169" s="19">
        <f>Marketplace!DM33</f>
        <v>126353691.06489024</v>
      </c>
      <c r="DN169" s="19">
        <f>Marketplace!DN33</f>
        <v>90164534.774078712</v>
      </c>
      <c r="DO169" s="19">
        <f>Marketplace!DO33</f>
        <v>93587095.721234679</v>
      </c>
      <c r="DP169" s="19">
        <f>Marketplace!DP33</f>
        <v>98827154.55067344</v>
      </c>
      <c r="DQ169" s="19">
        <f>Marketplace!DQ33</f>
        <v>82888642.277797177</v>
      </c>
      <c r="DR169" s="19">
        <f>Marketplace!DR33</f>
        <v>103472690.93972261</v>
      </c>
      <c r="DS169" s="19">
        <f>Marketplace!DS33</f>
        <v>87554194.630995885</v>
      </c>
      <c r="DT169" s="19">
        <f>Marketplace!DT33</f>
        <v>96654371.121783048</v>
      </c>
      <c r="DU169" s="19">
        <f>Marketplace!DU33</f>
        <v>95346347.990836576</v>
      </c>
      <c r="DV169" s="19">
        <f>Marketplace!DV33</f>
        <v>105549267.71783024</v>
      </c>
      <c r="DW169" s="19">
        <f>Marketplace!DW33</f>
        <v>97587461.55241932</v>
      </c>
      <c r="DX169" s="19">
        <f>Marketplace!DX33</f>
        <v>115624947.84064622</v>
      </c>
      <c r="DY169" s="19">
        <f>Marketplace!DY33</f>
        <v>146226920.90940443</v>
      </c>
      <c r="DZ169" s="19">
        <f>Marketplace!DZ33</f>
        <v>104609391.17497116</v>
      </c>
      <c r="EA169" s="19">
        <f>Marketplace!EA33</f>
        <v>108545336.26420052</v>
      </c>
      <c r="EB169" s="19">
        <f>Marketplace!EB33</f>
        <v>114571403.91805509</v>
      </c>
      <c r="EC169" s="19">
        <f>Marketplace!EC33</f>
        <v>96242114.804247394</v>
      </c>
      <c r="ED169" s="19">
        <f>Marketplace!ED33</f>
        <v>119913770.76546167</v>
      </c>
      <c r="EE169" s="222"/>
      <c r="EF169" s="19">
        <f t="shared" si="650"/>
        <v>91455395.627260119</v>
      </c>
      <c r="EG169" s="19">
        <f t="shared" si="651"/>
        <v>101509436.71855284</v>
      </c>
      <c r="EH169" s="19">
        <f t="shared" si="652"/>
        <v>124648478.05863264</v>
      </c>
      <c r="EI169" s="19">
        <f t="shared" si="653"/>
        <v>117596128.70486817</v>
      </c>
      <c r="EJ169" s="19">
        <f t="shared" si="654"/>
        <v>115968166.43932417</v>
      </c>
      <c r="EK169" s="19">
        <f t="shared" si="655"/>
        <v>130434012.3730647</v>
      </c>
      <c r="EL169" s="19">
        <f t="shared" si="656"/>
        <v>150271142.89752841</v>
      </c>
      <c r="EM169" s="19">
        <f t="shared" si="657"/>
        <v>144954265.60954785</v>
      </c>
      <c r="EN169" s="19">
        <f t="shared" si="658"/>
        <v>146373179.27736348</v>
      </c>
      <c r="EO169" s="19">
        <f t="shared" si="659"/>
        <v>159731132.31697777</v>
      </c>
      <c r="EP169" s="19">
        <f t="shared" si="660"/>
        <v>197451567.78062272</v>
      </c>
      <c r="EQ169" s="19">
        <f t="shared" si="661"/>
        <v>191906896.95742017</v>
      </c>
      <c r="ER169" s="19">
        <f t="shared" si="662"/>
        <v>196942061.45725405</v>
      </c>
      <c r="ES169" s="19">
        <f t="shared" si="663"/>
        <v>225352759.5494861</v>
      </c>
      <c r="ET169" s="19">
        <f t="shared" si="664"/>
        <v>254787521.31592107</v>
      </c>
      <c r="EU169" s="19">
        <f t="shared" si="665"/>
        <v>234023493.15591243</v>
      </c>
      <c r="EV169" s="19">
        <f t="shared" si="666"/>
        <v>240690769.72980314</v>
      </c>
      <c r="EW169" s="19">
        <f t="shared" si="667"/>
        <v>274783607.4404816</v>
      </c>
      <c r="EX169" s="19">
        <f t="shared" si="668"/>
        <v>310105321.56020361</v>
      </c>
      <c r="EY169" s="19">
        <f t="shared" si="669"/>
        <v>285188487.76819324</v>
      </c>
      <c r="EZ169" s="19">
        <f t="shared" si="670"/>
        <v>279554913.74361551</v>
      </c>
      <c r="FA169" s="19">
        <f t="shared" si="671"/>
        <v>318761677.11089575</v>
      </c>
      <c r="FB169" s="19">
        <f t="shared" si="672"/>
        <v>359381648.34857613</v>
      </c>
      <c r="FC169" s="19">
        <f t="shared" si="673"/>
        <v>330727289.48776418</v>
      </c>
      <c r="FE169" s="19">
        <f t="shared" si="674"/>
        <v>435209439.10931385</v>
      </c>
      <c r="FF169" s="19">
        <f t="shared" si="675"/>
        <v>541627587.31946516</v>
      </c>
      <c r="FG169" s="19">
        <f t="shared" si="676"/>
        <v>695462776.33238411</v>
      </c>
      <c r="FH169" s="19">
        <f t="shared" si="677"/>
        <v>911105835.47857356</v>
      </c>
      <c r="FI169" s="19">
        <f t="shared" si="678"/>
        <v>1110768186.4986815</v>
      </c>
      <c r="FJ169" s="770">
        <f t="shared" si="537"/>
        <v>1288425528.6908514</v>
      </c>
      <c r="FK169" s="545" t="s">
        <v>1</v>
      </c>
    </row>
    <row r="170" spans="2:167" x14ac:dyDescent="0.2">
      <c r="B170" s="225" t="s">
        <v>310</v>
      </c>
      <c r="C170" s="19">
        <f>C140-C149</f>
        <v>0</v>
      </c>
      <c r="D170" s="19">
        <f t="shared" ref="D170:BO171" si="679">D140-D149</f>
        <v>0</v>
      </c>
      <c r="E170" s="19">
        <f t="shared" si="679"/>
        <v>0</v>
      </c>
      <c r="F170" s="19">
        <f t="shared" si="679"/>
        <v>0</v>
      </c>
      <c r="G170" s="19">
        <f t="shared" si="679"/>
        <v>0</v>
      </c>
      <c r="H170" s="19">
        <f t="shared" si="679"/>
        <v>0</v>
      </c>
      <c r="I170" s="19">
        <f t="shared" si="679"/>
        <v>0</v>
      </c>
      <c r="J170" s="19">
        <f t="shared" si="679"/>
        <v>0</v>
      </c>
      <c r="K170" s="19">
        <f t="shared" si="679"/>
        <v>0</v>
      </c>
      <c r="L170" s="19">
        <f t="shared" si="679"/>
        <v>0</v>
      </c>
      <c r="M170" s="19">
        <f t="shared" si="679"/>
        <v>0</v>
      </c>
      <c r="N170" s="19">
        <f t="shared" si="679"/>
        <v>0</v>
      </c>
      <c r="O170" s="19">
        <f t="shared" si="679"/>
        <v>0</v>
      </c>
      <c r="P170" s="19">
        <f t="shared" si="679"/>
        <v>0</v>
      </c>
      <c r="Q170" s="19">
        <f t="shared" si="679"/>
        <v>0</v>
      </c>
      <c r="R170" s="19">
        <f t="shared" si="679"/>
        <v>0</v>
      </c>
      <c r="S170" s="19">
        <f t="shared" si="679"/>
        <v>0</v>
      </c>
      <c r="T170" s="19">
        <f t="shared" si="679"/>
        <v>0</v>
      </c>
      <c r="U170" s="19">
        <f t="shared" si="679"/>
        <v>0</v>
      </c>
      <c r="V170" s="19">
        <f t="shared" si="679"/>
        <v>0</v>
      </c>
      <c r="W170" s="19">
        <f t="shared" si="679"/>
        <v>0</v>
      </c>
      <c r="X170" s="19">
        <f t="shared" si="679"/>
        <v>0</v>
      </c>
      <c r="Y170" s="19">
        <f t="shared" si="679"/>
        <v>0</v>
      </c>
      <c r="Z170" s="19">
        <f t="shared" si="679"/>
        <v>0</v>
      </c>
      <c r="AA170" s="19">
        <f t="shared" si="679"/>
        <v>0</v>
      </c>
      <c r="AB170" s="19">
        <f t="shared" si="679"/>
        <v>0</v>
      </c>
      <c r="AC170" s="19">
        <f t="shared" si="679"/>
        <v>-1033469.5728593876</v>
      </c>
      <c r="AD170" s="19">
        <f t="shared" si="679"/>
        <v>1149501.8889383699</v>
      </c>
      <c r="AE170" s="19">
        <f t="shared" si="679"/>
        <v>1048518.4414044037</v>
      </c>
      <c r="AF170" s="19">
        <f t="shared" si="679"/>
        <v>988252.1974294614</v>
      </c>
      <c r="AG170" s="19">
        <f t="shared" si="679"/>
        <v>792726.79426719155</v>
      </c>
      <c r="AH170" s="19">
        <f t="shared" si="679"/>
        <v>839760.01737509412</v>
      </c>
      <c r="AI170" s="19">
        <f t="shared" si="679"/>
        <v>865670.42389875464</v>
      </c>
      <c r="AJ170" s="19">
        <f t="shared" si="679"/>
        <v>908425.57748582773</v>
      </c>
      <c r="AK170" s="19">
        <f t="shared" si="679"/>
        <v>764369.88874534098</v>
      </c>
      <c r="AL170" s="19">
        <f t="shared" si="679"/>
        <v>1262145.9340650616</v>
      </c>
      <c r="AM170" s="19">
        <f t="shared" si="679"/>
        <v>601129.42352365609</v>
      </c>
      <c r="AN170" s="19">
        <f t="shared" si="679"/>
        <v>-19432.536333486958</v>
      </c>
      <c r="AO170" s="19">
        <f t="shared" si="679"/>
        <v>988675.51551419729</v>
      </c>
      <c r="AP170" s="19">
        <f t="shared" si="679"/>
        <v>1361560.2841582447</v>
      </c>
      <c r="AQ170" s="19">
        <f t="shared" si="679"/>
        <v>1367243.1904939446</v>
      </c>
      <c r="AR170" s="19">
        <f t="shared" si="679"/>
        <v>1633444.1210998194</v>
      </c>
      <c r="AS170" s="19">
        <f t="shared" si="679"/>
        <v>1631057.5380511573</v>
      </c>
      <c r="AT170" s="19">
        <f t="shared" si="679"/>
        <v>1775666.5521198446</v>
      </c>
      <c r="AU170" s="19">
        <f t="shared" si="679"/>
        <v>2612709.7628148124</v>
      </c>
      <c r="AV170" s="19">
        <f t="shared" si="679"/>
        <v>1899659.8549091704</v>
      </c>
      <c r="AW170" s="19">
        <f t="shared" si="679"/>
        <v>1782654.460523244</v>
      </c>
      <c r="AX170" s="19">
        <f t="shared" si="679"/>
        <v>1554357.4019360803</v>
      </c>
      <c r="AY170" s="19">
        <f t="shared" si="679"/>
        <v>1889805.4076171666</v>
      </c>
      <c r="AZ170" s="19">
        <f t="shared" si="679"/>
        <v>1993258.5267178491</v>
      </c>
      <c r="BA170" s="19">
        <f t="shared" si="679"/>
        <v>3024718.2389211338</v>
      </c>
      <c r="BB170" s="19">
        <f t="shared" si="679"/>
        <v>2814965.487439394</v>
      </c>
      <c r="BC170" s="19">
        <f t="shared" si="679"/>
        <v>2026978.0160554219</v>
      </c>
      <c r="BD170" s="19">
        <f t="shared" si="679"/>
        <v>1881684.9522613902</v>
      </c>
      <c r="BE170" s="19">
        <f t="shared" si="679"/>
        <v>1913039.1398703661</v>
      </c>
      <c r="BF170" s="19">
        <f t="shared" si="679"/>
        <v>2450522.4843965806</v>
      </c>
      <c r="BG170" s="19">
        <f t="shared" si="679"/>
        <v>2702154.1826319769</v>
      </c>
      <c r="BH170" s="19">
        <f t="shared" si="679"/>
        <v>3537667.149847731</v>
      </c>
      <c r="BI170" s="19">
        <f t="shared" si="679"/>
        <v>3766027.3096742816</v>
      </c>
      <c r="BJ170" s="19">
        <f t="shared" si="679"/>
        <v>4052904.9996576495</v>
      </c>
      <c r="BK170" s="19">
        <f t="shared" si="679"/>
        <v>5119600.5569545925</v>
      </c>
      <c r="BL170" s="19">
        <f t="shared" si="679"/>
        <v>5474981.9209111035</v>
      </c>
      <c r="BM170" s="19">
        <f t="shared" si="679"/>
        <v>4743527.8262230288</v>
      </c>
      <c r="BN170" s="19">
        <f t="shared" si="679"/>
        <v>5697841.5132600814</v>
      </c>
      <c r="BO170" s="19">
        <f t="shared" si="679"/>
        <v>5737147.9870233089</v>
      </c>
      <c r="BP170" s="19">
        <f t="shared" ref="BP170:DR172" si="680">BP140-BP149</f>
        <v>5136204.4837784395</v>
      </c>
      <c r="BQ170" s="19">
        <f t="shared" si="680"/>
        <v>5877552.5115749538</v>
      </c>
      <c r="BR170" s="19">
        <f t="shared" si="680"/>
        <v>3919628.0758124441</v>
      </c>
      <c r="BS170" s="19">
        <f t="shared" si="680"/>
        <v>4483377.2883360423</v>
      </c>
      <c r="BT170" s="19">
        <f t="shared" si="680"/>
        <v>3285598.262043396</v>
      </c>
      <c r="BU170" s="19">
        <f t="shared" si="680"/>
        <v>4450518.6894181501</v>
      </c>
      <c r="BV170" s="19">
        <f t="shared" si="680"/>
        <v>4900686.4229983073</v>
      </c>
      <c r="BW170" s="19">
        <f t="shared" si="680"/>
        <v>4422371.4605974667</v>
      </c>
      <c r="BX170" s="19">
        <f t="shared" si="680"/>
        <v>5837040.1015322357</v>
      </c>
      <c r="BY170" s="19">
        <f t="shared" si="680"/>
        <v>7173377.987423338</v>
      </c>
      <c r="BZ170" s="19">
        <f t="shared" si="680"/>
        <v>6623644.8198437504</v>
      </c>
      <c r="CA170" s="19">
        <f t="shared" si="680"/>
        <v>7488438.0199266076</v>
      </c>
      <c r="CB170" s="19">
        <f t="shared" si="680"/>
        <v>5884504.8570657745</v>
      </c>
      <c r="CC170" s="19">
        <f t="shared" si="680"/>
        <v>7002920.6987308897</v>
      </c>
      <c r="CD170" s="19">
        <f t="shared" si="680"/>
        <v>5699954.5001570843</v>
      </c>
      <c r="CE170" s="19">
        <f t="shared" si="680"/>
        <v>5987971.6990294456</v>
      </c>
      <c r="CF170" s="19">
        <f t="shared" si="680"/>
        <v>7262737.5686773434</v>
      </c>
      <c r="CG170" s="19">
        <f t="shared" si="680"/>
        <v>5962166.7340195738</v>
      </c>
      <c r="CH170" s="19">
        <f t="shared" si="680"/>
        <v>7684192.4387965724</v>
      </c>
      <c r="CI170" s="19">
        <f t="shared" si="680"/>
        <v>7198231.6343026273</v>
      </c>
      <c r="CJ170" s="19">
        <f t="shared" si="680"/>
        <v>7881780.3099811152</v>
      </c>
      <c r="CK170" s="19">
        <f t="shared" si="680"/>
        <v>7389746.7166310959</v>
      </c>
      <c r="CL170" s="19">
        <f t="shared" si="680"/>
        <v>8120355.4918883182</v>
      </c>
      <c r="CM170" s="19">
        <f t="shared" si="680"/>
        <v>6756281.2769173011</v>
      </c>
      <c r="CN170" s="19">
        <f t="shared" si="680"/>
        <v>6041818.4245903455</v>
      </c>
      <c r="CO170" s="19">
        <f t="shared" si="680"/>
        <v>7834699.0107310265</v>
      </c>
      <c r="CP170" s="19">
        <f t="shared" si="680"/>
        <v>7111958.2783300094</v>
      </c>
      <c r="CQ170" s="19">
        <f t="shared" si="680"/>
        <v>9127431.1252620295</v>
      </c>
      <c r="CR170" s="19">
        <f t="shared" si="680"/>
        <v>8418286.2690411136</v>
      </c>
      <c r="CS170" s="19">
        <f t="shared" si="680"/>
        <v>8715717.4069174007</v>
      </c>
      <c r="CT170" s="19">
        <f t="shared" si="680"/>
        <v>16242850.440336451</v>
      </c>
      <c r="CU170" s="19">
        <f t="shared" si="680"/>
        <v>7918756.4955228046</v>
      </c>
      <c r="CV170" s="19">
        <f t="shared" si="680"/>
        <v>8183015.6645536609</v>
      </c>
      <c r="CW170" s="19">
        <f t="shared" si="680"/>
        <v>8404595.3386016637</v>
      </c>
      <c r="CX170" s="19">
        <f t="shared" si="680"/>
        <v>8050207.7719496079</v>
      </c>
      <c r="CY170" s="19">
        <f t="shared" si="680"/>
        <v>8933795.5061707348</v>
      </c>
      <c r="CZ170" s="19">
        <f t="shared" si="680"/>
        <v>9560846.0243361667</v>
      </c>
      <c r="DA170" s="19">
        <f t="shared" si="680"/>
        <v>8452059.9619127885</v>
      </c>
      <c r="DB170" s="19">
        <f t="shared" si="680"/>
        <v>9199860.3449882418</v>
      </c>
      <c r="DC170" s="19">
        <f t="shared" si="680"/>
        <v>8112356.2886773199</v>
      </c>
      <c r="DD170" s="19">
        <f t="shared" si="680"/>
        <v>8052931.6935224459</v>
      </c>
      <c r="DE170" s="19">
        <f t="shared" si="680"/>
        <v>8855738.809393242</v>
      </c>
      <c r="DF170" s="19">
        <f t="shared" si="680"/>
        <v>7847504.8712689206</v>
      </c>
      <c r="DG170" s="19">
        <f t="shared" si="680"/>
        <v>8538410.4023276046</v>
      </c>
      <c r="DH170" s="19">
        <f t="shared" si="680"/>
        <v>8900285.1935652941</v>
      </c>
      <c r="DI170" s="19">
        <f t="shared" si="680"/>
        <v>9099850.0254018009</v>
      </c>
      <c r="DJ170" s="19">
        <f t="shared" si="680"/>
        <v>8588571.4230182618</v>
      </c>
      <c r="DK170" s="19">
        <f t="shared" si="680"/>
        <v>9720540.481497854</v>
      </c>
      <c r="DL170" s="19">
        <f t="shared" si="680"/>
        <v>10503112.927178994</v>
      </c>
      <c r="DM170" s="19">
        <f t="shared" si="680"/>
        <v>8924842.4741001576</v>
      </c>
      <c r="DN170" s="19">
        <f t="shared" si="680"/>
        <v>9814927.06216041</v>
      </c>
      <c r="DO170" s="19">
        <f t="shared" si="680"/>
        <v>8331272.6978267729</v>
      </c>
      <c r="DP170" s="19">
        <f t="shared" si="680"/>
        <v>8190516.6988724247</v>
      </c>
      <c r="DQ170" s="19">
        <f t="shared" si="680"/>
        <v>9126714.1856409982</v>
      </c>
      <c r="DR170" s="19">
        <f t="shared" si="680"/>
        <v>7702491.0499343276</v>
      </c>
      <c r="DS170" s="19">
        <f t="shared" ref="DS170:ED170" si="681">DS140-DS149</f>
        <v>8876520.4695844203</v>
      </c>
      <c r="DT170" s="19">
        <f t="shared" si="681"/>
        <v>9275932.9290475324</v>
      </c>
      <c r="DU170" s="19">
        <f t="shared" si="681"/>
        <v>9492694.6983762458</v>
      </c>
      <c r="DV170" s="19">
        <f t="shared" si="681"/>
        <v>8870210.7772762924</v>
      </c>
      <c r="DW170" s="19">
        <f t="shared" si="681"/>
        <v>10178701.403587103</v>
      </c>
      <c r="DX170" s="19">
        <f t="shared" si="681"/>
        <v>11069815.403501377</v>
      </c>
      <c r="DY170" s="19">
        <f t="shared" si="681"/>
        <v>9192577.6862670332</v>
      </c>
      <c r="DZ170" s="19">
        <f t="shared" si="681"/>
        <v>10219986.437826954</v>
      </c>
      <c r="EA170" s="19">
        <f t="shared" si="681"/>
        <v>8473651.6209830791</v>
      </c>
      <c r="EB170" s="19">
        <f t="shared" si="681"/>
        <v>8301664.463975586</v>
      </c>
      <c r="EC170" s="19">
        <f t="shared" si="681"/>
        <v>9375487.8367179483</v>
      </c>
      <c r="ED170" s="19">
        <f t="shared" si="681"/>
        <v>7711602.4692894444</v>
      </c>
      <c r="EE170" s="222"/>
      <c r="EF170" s="19">
        <f t="shared" si="650"/>
        <v>15338110.304088725</v>
      </c>
      <c r="EG170" s="19">
        <f t="shared" si="651"/>
        <v>16571193.98406183</v>
      </c>
      <c r="EH170" s="19">
        <f t="shared" si="652"/>
        <v>14280557.87572344</v>
      </c>
      <c r="EI170" s="19">
        <f t="shared" si="653"/>
        <v>12636803.374459853</v>
      </c>
      <c r="EJ170" s="19">
        <f t="shared" si="654"/>
        <v>17432789.54955304</v>
      </c>
      <c r="EK170" s="19">
        <f t="shared" si="655"/>
        <v>19996587.696836133</v>
      </c>
      <c r="EL170" s="19">
        <f t="shared" si="656"/>
        <v>18690846.89791742</v>
      </c>
      <c r="EM170" s="19">
        <f t="shared" si="657"/>
        <v>20909096.74149349</v>
      </c>
      <c r="EN170" s="19">
        <f t="shared" si="658"/>
        <v>22469758.660914838</v>
      </c>
      <c r="EO170" s="19">
        <f t="shared" si="659"/>
        <v>20918455.193395965</v>
      </c>
      <c r="EP170" s="19">
        <f t="shared" si="660"/>
        <v>24074088.414323065</v>
      </c>
      <c r="EQ170" s="19">
        <f t="shared" si="661"/>
        <v>33376854.116294965</v>
      </c>
      <c r="ER170" s="19">
        <f t="shared" si="662"/>
        <v>24506367.498678129</v>
      </c>
      <c r="ES170" s="19">
        <f t="shared" si="663"/>
        <v>26544849.302456509</v>
      </c>
      <c r="ET170" s="19">
        <f t="shared" si="664"/>
        <v>25764276.59557835</v>
      </c>
      <c r="EU170" s="19">
        <f t="shared" si="665"/>
        <v>24756175.374184608</v>
      </c>
      <c r="EV170" s="19">
        <f t="shared" si="666"/>
        <v>26538545.6212947</v>
      </c>
      <c r="EW170" s="19">
        <f t="shared" si="667"/>
        <v>28812224.83169511</v>
      </c>
      <c r="EX170" s="19">
        <f t="shared" si="668"/>
        <v>27071042.234087341</v>
      </c>
      <c r="EY170" s="19">
        <f t="shared" si="669"/>
        <v>25019721.93444775</v>
      </c>
      <c r="EZ170" s="19">
        <f t="shared" si="670"/>
        <v>27645148.097008198</v>
      </c>
      <c r="FA170" s="19">
        <f t="shared" si="671"/>
        <v>30118727.584364772</v>
      </c>
      <c r="FB170" s="19">
        <f t="shared" si="672"/>
        <v>27886215.745077066</v>
      </c>
      <c r="FC170" s="19">
        <f t="shared" si="673"/>
        <v>25388754.769982979</v>
      </c>
      <c r="FE170" s="19">
        <f t="shared" si="674"/>
        <v>58826665.538333856</v>
      </c>
      <c r="FF170" s="19">
        <f t="shared" si="675"/>
        <v>77029320.885800079</v>
      </c>
      <c r="FG170" s="19">
        <f t="shared" si="676"/>
        <v>100839156.38492884</v>
      </c>
      <c r="FH170" s="19">
        <f t="shared" si="677"/>
        <v>101571668.7708976</v>
      </c>
      <c r="FI170" s="19">
        <f t="shared" si="678"/>
        <v>107441534.6215249</v>
      </c>
      <c r="FJ170" s="770">
        <f t="shared" si="537"/>
        <v>111038846.19643302</v>
      </c>
      <c r="FK170" s="545" t="s">
        <v>1</v>
      </c>
    </row>
    <row r="171" spans="2:167" x14ac:dyDescent="0.2">
      <c r="B171" s="225" t="s">
        <v>311</v>
      </c>
      <c r="C171" s="19">
        <f t="shared" ref="C171:R172" si="682">C141-C150</f>
        <v>0</v>
      </c>
      <c r="D171" s="19">
        <f t="shared" si="682"/>
        <v>0</v>
      </c>
      <c r="E171" s="19">
        <f t="shared" si="682"/>
        <v>0</v>
      </c>
      <c r="F171" s="19">
        <f t="shared" si="682"/>
        <v>0</v>
      </c>
      <c r="G171" s="19">
        <f t="shared" si="682"/>
        <v>0</v>
      </c>
      <c r="H171" s="19">
        <f t="shared" si="682"/>
        <v>0</v>
      </c>
      <c r="I171" s="19">
        <f t="shared" si="682"/>
        <v>0</v>
      </c>
      <c r="J171" s="19">
        <f t="shared" si="682"/>
        <v>0</v>
      </c>
      <c r="K171" s="19">
        <f t="shared" si="682"/>
        <v>0</v>
      </c>
      <c r="L171" s="19">
        <f t="shared" si="682"/>
        <v>0</v>
      </c>
      <c r="M171" s="19">
        <f t="shared" si="682"/>
        <v>0</v>
      </c>
      <c r="N171" s="19">
        <f t="shared" si="682"/>
        <v>0</v>
      </c>
      <c r="O171" s="19">
        <f t="shared" si="682"/>
        <v>0</v>
      </c>
      <c r="P171" s="19">
        <f t="shared" si="682"/>
        <v>0</v>
      </c>
      <c r="Q171" s="19">
        <f t="shared" si="682"/>
        <v>0</v>
      </c>
      <c r="R171" s="19">
        <f t="shared" si="682"/>
        <v>0</v>
      </c>
      <c r="S171" s="19">
        <f t="shared" si="679"/>
        <v>0</v>
      </c>
      <c r="T171" s="19">
        <f t="shared" si="679"/>
        <v>0</v>
      </c>
      <c r="U171" s="19">
        <f t="shared" si="679"/>
        <v>0</v>
      </c>
      <c r="V171" s="19">
        <f t="shared" si="679"/>
        <v>0</v>
      </c>
      <c r="W171" s="19">
        <f t="shared" si="679"/>
        <v>0</v>
      </c>
      <c r="X171" s="19">
        <f t="shared" si="679"/>
        <v>0</v>
      </c>
      <c r="Y171" s="19">
        <f t="shared" si="679"/>
        <v>0</v>
      </c>
      <c r="Z171" s="19">
        <f t="shared" si="679"/>
        <v>0</v>
      </c>
      <c r="AA171" s="19">
        <f t="shared" si="679"/>
        <v>0</v>
      </c>
      <c r="AB171" s="19">
        <f t="shared" si="679"/>
        <v>0</v>
      </c>
      <c r="AC171" s="19">
        <f t="shared" si="679"/>
        <v>0</v>
      </c>
      <c r="AD171" s="19">
        <f t="shared" si="679"/>
        <v>861394</v>
      </c>
      <c r="AE171" s="19">
        <f t="shared" si="679"/>
        <v>1089200</v>
      </c>
      <c r="AF171" s="19">
        <f t="shared" si="679"/>
        <v>1517914</v>
      </c>
      <c r="AG171" s="19">
        <f t="shared" si="679"/>
        <v>1788042</v>
      </c>
      <c r="AH171" s="19">
        <f t="shared" si="679"/>
        <v>1108386</v>
      </c>
      <c r="AI171" s="19">
        <f t="shared" si="679"/>
        <v>2822994</v>
      </c>
      <c r="AJ171" s="19">
        <f t="shared" si="679"/>
        <v>1089186</v>
      </c>
      <c r="AK171" s="19">
        <f t="shared" si="679"/>
        <v>741502</v>
      </c>
      <c r="AL171" s="19">
        <f t="shared" si="679"/>
        <v>796610</v>
      </c>
      <c r="AM171" s="19">
        <f t="shared" si="679"/>
        <v>728000</v>
      </c>
      <c r="AN171" s="19">
        <f t="shared" si="679"/>
        <v>947771</v>
      </c>
      <c r="AO171" s="19">
        <f t="shared" si="679"/>
        <v>1120000</v>
      </c>
      <c r="AP171" s="19">
        <f t="shared" si="679"/>
        <v>1912349</v>
      </c>
      <c r="AQ171" s="19">
        <f t="shared" si="679"/>
        <v>1736000</v>
      </c>
      <c r="AR171" s="19">
        <f t="shared" si="679"/>
        <v>4886000</v>
      </c>
      <c r="AS171" s="19">
        <f t="shared" si="679"/>
        <v>3438950</v>
      </c>
      <c r="AT171" s="19">
        <f t="shared" si="679"/>
        <v>2417111.88</v>
      </c>
      <c r="AU171" s="19">
        <f t="shared" si="679"/>
        <v>1118904.8400000001</v>
      </c>
      <c r="AV171" s="19">
        <f t="shared" si="679"/>
        <v>2796720.24</v>
      </c>
      <c r="AW171" s="19">
        <f t="shared" si="679"/>
        <v>1365637.6800000002</v>
      </c>
      <c r="AX171" s="19">
        <f t="shared" si="679"/>
        <v>1711884.8</v>
      </c>
      <c r="AY171" s="19">
        <f t="shared" si="679"/>
        <v>1465959.0800000003</v>
      </c>
      <c r="AZ171" s="19">
        <f t="shared" si="679"/>
        <v>1545661.8</v>
      </c>
      <c r="BA171" s="19">
        <f t="shared" si="679"/>
        <v>2116233.12</v>
      </c>
      <c r="BB171" s="19">
        <f t="shared" si="679"/>
        <v>1695776.04</v>
      </c>
      <c r="BC171" s="19">
        <f t="shared" si="679"/>
        <v>1695776.04</v>
      </c>
      <c r="BD171" s="19">
        <f t="shared" si="679"/>
        <v>2648073.4</v>
      </c>
      <c r="BE171" s="19">
        <f t="shared" si="679"/>
        <v>2159741.2400000002</v>
      </c>
      <c r="BF171" s="19">
        <f t="shared" si="679"/>
        <v>619886.88000000012</v>
      </c>
      <c r="BG171" s="19">
        <f t="shared" si="679"/>
        <v>1067741.3599999999</v>
      </c>
      <c r="BH171" s="19">
        <f t="shared" si="679"/>
        <v>1356292.8800000001</v>
      </c>
      <c r="BI171" s="19">
        <f t="shared" si="679"/>
        <v>1140472.52</v>
      </c>
      <c r="BJ171" s="19">
        <f t="shared" si="679"/>
        <v>1354904.12</v>
      </c>
      <c r="BK171" s="19">
        <f t="shared" si="679"/>
        <v>1265273.3599999999</v>
      </c>
      <c r="BL171" s="19">
        <f t="shared" si="679"/>
        <v>1367778.3599999999</v>
      </c>
      <c r="BM171" s="19">
        <f t="shared" si="679"/>
        <v>838654.56</v>
      </c>
      <c r="BN171" s="19">
        <f t="shared" si="679"/>
        <v>1130825.1600000001</v>
      </c>
      <c r="BO171" s="19">
        <f t="shared" si="679"/>
        <v>1495770.12</v>
      </c>
      <c r="BP171" s="19">
        <f t="shared" si="680"/>
        <v>1124459.6400000001</v>
      </c>
      <c r="BQ171" s="19">
        <f t="shared" si="680"/>
        <v>2453795.2800000003</v>
      </c>
      <c r="BR171" s="19">
        <f t="shared" si="680"/>
        <v>951766.92</v>
      </c>
      <c r="BS171" s="19">
        <f t="shared" si="680"/>
        <v>1116000</v>
      </c>
      <c r="BT171" s="19">
        <f t="shared" si="680"/>
        <v>1251640.8</v>
      </c>
      <c r="BU171" s="19">
        <f t="shared" si="680"/>
        <v>913328.28</v>
      </c>
      <c r="BV171" s="19">
        <f t="shared" si="680"/>
        <v>1033255.4400000001</v>
      </c>
      <c r="BW171" s="19">
        <f t="shared" si="680"/>
        <v>1014968.52</v>
      </c>
      <c r="BX171" s="19">
        <f t="shared" si="680"/>
        <v>1008000</v>
      </c>
      <c r="BY171" s="19">
        <f t="shared" si="680"/>
        <v>1290740.7600000002</v>
      </c>
      <c r="BZ171" s="19">
        <f t="shared" si="680"/>
        <v>1435241.52</v>
      </c>
      <c r="CA171" s="19">
        <f t="shared" si="680"/>
        <v>2384040.4000000004</v>
      </c>
      <c r="CB171" s="19">
        <f t="shared" si="680"/>
        <v>4306256.3661016952</v>
      </c>
      <c r="CC171" s="19">
        <f t="shared" si="680"/>
        <v>3079062.1999999997</v>
      </c>
      <c r="CD171" s="19">
        <f t="shared" si="680"/>
        <v>3752510.1</v>
      </c>
      <c r="CE171" s="19">
        <f t="shared" si="680"/>
        <v>2784235.6</v>
      </c>
      <c r="CF171" s="19">
        <f t="shared" si="680"/>
        <v>2110723.1</v>
      </c>
      <c r="CG171" s="19">
        <f t="shared" si="680"/>
        <v>1653456.9</v>
      </c>
      <c r="CH171" s="19">
        <f t="shared" si="680"/>
        <v>2545252</v>
      </c>
      <c r="CI171" s="19">
        <f t="shared" si="680"/>
        <v>1740065.9</v>
      </c>
      <c r="CJ171" s="19">
        <f t="shared" si="680"/>
        <v>1276873.3</v>
      </c>
      <c r="CK171" s="19">
        <f t="shared" si="680"/>
        <v>2510620.96</v>
      </c>
      <c r="CL171" s="19">
        <f t="shared" si="680"/>
        <v>3651176.2</v>
      </c>
      <c r="CM171" s="19">
        <f t="shared" si="680"/>
        <v>3500349.9</v>
      </c>
      <c r="CN171" s="19">
        <f t="shared" si="680"/>
        <v>4380195.01</v>
      </c>
      <c r="CO171" s="19">
        <f t="shared" si="680"/>
        <v>3542880.0300000003</v>
      </c>
      <c r="CP171" s="19">
        <f t="shared" si="680"/>
        <v>3118732.6799999997</v>
      </c>
      <c r="CQ171" s="19">
        <f t="shared" si="680"/>
        <v>3178051.15</v>
      </c>
      <c r="CR171" s="19">
        <f t="shared" si="680"/>
        <v>1981348.6</v>
      </c>
      <c r="CS171" s="19">
        <f t="shared" si="680"/>
        <v>3930581.29</v>
      </c>
      <c r="CT171" s="19">
        <f t="shared" si="680"/>
        <v>6187310.0099999998</v>
      </c>
      <c r="CU171" s="19">
        <f t="shared" si="680"/>
        <v>1740065.9</v>
      </c>
      <c r="CV171" s="19">
        <f t="shared" si="680"/>
        <v>1276873.3</v>
      </c>
      <c r="CW171" s="19">
        <f t="shared" si="680"/>
        <v>2510620.96</v>
      </c>
      <c r="CX171" s="19">
        <f t="shared" si="680"/>
        <v>3651176.2</v>
      </c>
      <c r="CY171" s="19">
        <f t="shared" si="680"/>
        <v>3500349.9</v>
      </c>
      <c r="CZ171" s="19">
        <f t="shared" si="680"/>
        <v>4380195.0100000007</v>
      </c>
      <c r="DA171" s="19">
        <f t="shared" si="680"/>
        <v>3542880.0300000003</v>
      </c>
      <c r="DB171" s="19">
        <f t="shared" si="680"/>
        <v>3118732.6799999997</v>
      </c>
      <c r="DC171" s="19">
        <f t="shared" si="680"/>
        <v>3178051.15</v>
      </c>
      <c r="DD171" s="19">
        <f t="shared" si="680"/>
        <v>1981348.6000000003</v>
      </c>
      <c r="DE171" s="19">
        <f t="shared" si="680"/>
        <v>3930581.29</v>
      </c>
      <c r="DF171" s="19">
        <f t="shared" si="680"/>
        <v>6187310.0099999998</v>
      </c>
      <c r="DG171" s="19">
        <f t="shared" si="680"/>
        <v>1740065.9</v>
      </c>
      <c r="DH171" s="19">
        <f t="shared" si="680"/>
        <v>1276873.3</v>
      </c>
      <c r="DI171" s="19">
        <f t="shared" si="680"/>
        <v>2510620.96</v>
      </c>
      <c r="DJ171" s="19">
        <f t="shared" si="680"/>
        <v>3651176.2</v>
      </c>
      <c r="DK171" s="19">
        <f t="shared" si="680"/>
        <v>3500349.9</v>
      </c>
      <c r="DL171" s="19">
        <f t="shared" si="680"/>
        <v>4380195.0100000007</v>
      </c>
      <c r="DM171" s="19">
        <f t="shared" si="680"/>
        <v>3542880.0300000003</v>
      </c>
      <c r="DN171" s="19">
        <f t="shared" si="680"/>
        <v>3118732.6799999997</v>
      </c>
      <c r="DO171" s="19">
        <f t="shared" si="680"/>
        <v>3178051.15</v>
      </c>
      <c r="DP171" s="19">
        <f t="shared" si="680"/>
        <v>1981348.6000000003</v>
      </c>
      <c r="DQ171" s="19">
        <f t="shared" si="680"/>
        <v>3930581.29</v>
      </c>
      <c r="DR171" s="19">
        <f t="shared" si="680"/>
        <v>6187310.0099999998</v>
      </c>
      <c r="DS171" s="19">
        <f t="shared" ref="DS171:ED171" si="683">DS141-DS150</f>
        <v>1740065.9</v>
      </c>
      <c r="DT171" s="19">
        <f t="shared" si="683"/>
        <v>1276873.3</v>
      </c>
      <c r="DU171" s="19">
        <f t="shared" si="683"/>
        <v>2510620.96</v>
      </c>
      <c r="DV171" s="19">
        <f t="shared" si="683"/>
        <v>3651176.2</v>
      </c>
      <c r="DW171" s="19">
        <f t="shared" si="683"/>
        <v>3500349.9</v>
      </c>
      <c r="DX171" s="19">
        <f t="shared" si="683"/>
        <v>4380195.0100000007</v>
      </c>
      <c r="DY171" s="19">
        <f t="shared" si="683"/>
        <v>3542880.0300000003</v>
      </c>
      <c r="DZ171" s="19">
        <f t="shared" si="683"/>
        <v>3118732.6799999997</v>
      </c>
      <c r="EA171" s="19">
        <f t="shared" si="683"/>
        <v>3178051.15</v>
      </c>
      <c r="EB171" s="19">
        <f t="shared" si="683"/>
        <v>1981348.6000000003</v>
      </c>
      <c r="EC171" s="19">
        <f t="shared" si="683"/>
        <v>3930581.29</v>
      </c>
      <c r="ED171" s="19">
        <f t="shared" si="683"/>
        <v>6187310.0099999998</v>
      </c>
      <c r="EE171" s="222"/>
      <c r="EF171" s="19">
        <f t="shared" si="650"/>
        <v>3471706.28</v>
      </c>
      <c r="EG171" s="19">
        <f t="shared" si="651"/>
        <v>3751054.9200000004</v>
      </c>
      <c r="EH171" s="19">
        <f t="shared" si="652"/>
        <v>4521562.2</v>
      </c>
      <c r="EI171" s="19">
        <f t="shared" si="653"/>
        <v>3198224.52</v>
      </c>
      <c r="EJ171" s="19">
        <f t="shared" si="654"/>
        <v>3313709.2800000003</v>
      </c>
      <c r="EK171" s="19">
        <f t="shared" si="655"/>
        <v>8125538.2861016952</v>
      </c>
      <c r="EL171" s="19">
        <f t="shared" si="656"/>
        <v>9615807.9000000004</v>
      </c>
      <c r="EM171" s="19">
        <f t="shared" si="657"/>
        <v>6309432</v>
      </c>
      <c r="EN171" s="19">
        <f t="shared" si="658"/>
        <v>5527560.1600000001</v>
      </c>
      <c r="EO171" s="19">
        <f t="shared" si="659"/>
        <v>11531721.109999999</v>
      </c>
      <c r="EP171" s="19">
        <f t="shared" si="660"/>
        <v>9839663.8599999994</v>
      </c>
      <c r="EQ171" s="19">
        <f t="shared" si="661"/>
        <v>12099239.9</v>
      </c>
      <c r="ER171" s="19">
        <f t="shared" si="662"/>
        <v>5527560.1600000001</v>
      </c>
      <c r="ES171" s="19">
        <f t="shared" si="663"/>
        <v>11531721.109999999</v>
      </c>
      <c r="ET171" s="19">
        <f t="shared" si="664"/>
        <v>9839663.8599999994</v>
      </c>
      <c r="EU171" s="19">
        <f t="shared" si="665"/>
        <v>12099239.9</v>
      </c>
      <c r="EV171" s="19">
        <f t="shared" si="666"/>
        <v>5527560.1600000001</v>
      </c>
      <c r="EW171" s="19">
        <f t="shared" si="667"/>
        <v>11531721.109999999</v>
      </c>
      <c r="EX171" s="19">
        <f t="shared" si="668"/>
        <v>9839663.8599999994</v>
      </c>
      <c r="EY171" s="19">
        <f t="shared" si="669"/>
        <v>12099239.9</v>
      </c>
      <c r="EZ171" s="19">
        <f t="shared" si="670"/>
        <v>5527560.1600000001</v>
      </c>
      <c r="FA171" s="19">
        <f t="shared" si="671"/>
        <v>11531721.109999999</v>
      </c>
      <c r="FB171" s="19">
        <f t="shared" si="672"/>
        <v>9839663.8599999994</v>
      </c>
      <c r="FC171" s="19">
        <f t="shared" si="673"/>
        <v>12099239.9</v>
      </c>
      <c r="FE171" s="19">
        <f t="shared" si="674"/>
        <v>14942547.92</v>
      </c>
      <c r="FF171" s="19">
        <f t="shared" si="675"/>
        <v>27364487.466101699</v>
      </c>
      <c r="FG171" s="19">
        <f t="shared" si="676"/>
        <v>38998185.030000001</v>
      </c>
      <c r="FH171" s="19">
        <f t="shared" si="677"/>
        <v>38998185.030000001</v>
      </c>
      <c r="FI171" s="19">
        <f t="shared" si="678"/>
        <v>38998185.030000001</v>
      </c>
      <c r="FJ171" s="770">
        <f t="shared" si="537"/>
        <v>38998185.030000001</v>
      </c>
      <c r="FK171" s="545" t="s">
        <v>1</v>
      </c>
    </row>
    <row r="172" spans="2:167" x14ac:dyDescent="0.2">
      <c r="B172" s="225" t="s">
        <v>191</v>
      </c>
      <c r="C172" s="19">
        <f t="shared" si="682"/>
        <v>-164646</v>
      </c>
      <c r="D172" s="19">
        <f t="shared" ref="D172:BO172" si="684">D142-D151</f>
        <v>-260854.71428571426</v>
      </c>
      <c r="E172" s="19">
        <f t="shared" si="684"/>
        <v>-278574.57142857142</v>
      </c>
      <c r="F172" s="19">
        <f t="shared" si="684"/>
        <v>-329864.85714285716</v>
      </c>
      <c r="G172" s="19">
        <f t="shared" si="684"/>
        <v>-319572</v>
      </c>
      <c r="H172" s="19">
        <f t="shared" si="684"/>
        <v>-519482.14285714284</v>
      </c>
      <c r="I172" s="19">
        <f t="shared" si="684"/>
        <v>-600678.28571428568</v>
      </c>
      <c r="J172" s="19">
        <f t="shared" si="684"/>
        <v>-714337.71428571432</v>
      </c>
      <c r="K172" s="19">
        <f t="shared" si="684"/>
        <v>-1107917.1042857142</v>
      </c>
      <c r="L172" s="19">
        <f t="shared" si="684"/>
        <v>-1096556.4285714286</v>
      </c>
      <c r="M172" s="19">
        <f t="shared" si="684"/>
        <v>-1208532.1471428573</v>
      </c>
      <c r="N172" s="19">
        <f t="shared" si="684"/>
        <v>-1569607.1428571427</v>
      </c>
      <c r="O172" s="19">
        <f t="shared" si="684"/>
        <v>-1642747.6885714286</v>
      </c>
      <c r="P172" s="19">
        <f t="shared" si="684"/>
        <v>-1478282.6642857143</v>
      </c>
      <c r="Q172" s="19">
        <f t="shared" si="684"/>
        <v>-1548471.3571428573</v>
      </c>
      <c r="R172" s="19">
        <f t="shared" si="684"/>
        <v>-1585311.7</v>
      </c>
      <c r="S172" s="19">
        <f t="shared" si="684"/>
        <v>-1164276.9200000002</v>
      </c>
      <c r="T172" s="19">
        <f t="shared" si="684"/>
        <v>-1178889.3699999999</v>
      </c>
      <c r="U172" s="19">
        <f t="shared" si="684"/>
        <v>-1181237.6499999999</v>
      </c>
      <c r="V172" s="19">
        <f t="shared" si="684"/>
        <v>-1038599.4299999999</v>
      </c>
      <c r="W172" s="19">
        <f t="shared" si="684"/>
        <v>-831986.6</v>
      </c>
      <c r="X172" s="19">
        <f t="shared" si="684"/>
        <v>-798212</v>
      </c>
      <c r="Y172" s="19">
        <f t="shared" si="684"/>
        <v>-820028.2533333333</v>
      </c>
      <c r="Z172" s="19">
        <f t="shared" si="684"/>
        <v>-1925957.3055952382</v>
      </c>
      <c r="AA172" s="19">
        <f t="shared" si="684"/>
        <v>-72578</v>
      </c>
      <c r="AB172" s="19">
        <f t="shared" si="684"/>
        <v>-155140.47666666668</v>
      </c>
      <c r="AC172" s="19">
        <f t="shared" si="684"/>
        <v>0</v>
      </c>
      <c r="AD172" s="19">
        <f t="shared" si="684"/>
        <v>0</v>
      </c>
      <c r="AE172" s="19">
        <f t="shared" si="684"/>
        <v>0</v>
      </c>
      <c r="AF172" s="19">
        <f t="shared" si="684"/>
        <v>0</v>
      </c>
      <c r="AG172" s="19">
        <f t="shared" si="684"/>
        <v>0</v>
      </c>
      <c r="AH172" s="19">
        <f t="shared" si="684"/>
        <v>0</v>
      </c>
      <c r="AI172" s="19">
        <f t="shared" si="684"/>
        <v>0</v>
      </c>
      <c r="AJ172" s="19">
        <f t="shared" si="684"/>
        <v>0</v>
      </c>
      <c r="AK172" s="19">
        <f t="shared" si="684"/>
        <v>0</v>
      </c>
      <c r="AL172" s="19">
        <f t="shared" si="684"/>
        <v>0</v>
      </c>
      <c r="AM172" s="19">
        <f t="shared" si="684"/>
        <v>0</v>
      </c>
      <c r="AN172" s="19">
        <f t="shared" si="684"/>
        <v>0</v>
      </c>
      <c r="AO172" s="19">
        <f t="shared" si="684"/>
        <v>0</v>
      </c>
      <c r="AP172" s="19">
        <f t="shared" si="684"/>
        <v>0</v>
      </c>
      <c r="AQ172" s="19">
        <f t="shared" si="684"/>
        <v>0</v>
      </c>
      <c r="AR172" s="19">
        <f t="shared" si="684"/>
        <v>0</v>
      </c>
      <c r="AS172" s="19">
        <f t="shared" si="684"/>
        <v>0</v>
      </c>
      <c r="AT172" s="19">
        <f t="shared" si="684"/>
        <v>0</v>
      </c>
      <c r="AU172" s="19">
        <f t="shared" si="684"/>
        <v>0</v>
      </c>
      <c r="AV172" s="19">
        <f t="shared" si="684"/>
        <v>0</v>
      </c>
      <c r="AW172" s="19">
        <f t="shared" si="684"/>
        <v>0</v>
      </c>
      <c r="AX172" s="19">
        <f t="shared" si="684"/>
        <v>0</v>
      </c>
      <c r="AY172" s="19">
        <f t="shared" si="684"/>
        <v>0</v>
      </c>
      <c r="AZ172" s="19">
        <f t="shared" si="684"/>
        <v>0</v>
      </c>
      <c r="BA172" s="19">
        <f t="shared" si="684"/>
        <v>0</v>
      </c>
      <c r="BB172" s="19">
        <f t="shared" si="684"/>
        <v>0</v>
      </c>
      <c r="BC172" s="19">
        <f t="shared" si="684"/>
        <v>0</v>
      </c>
      <c r="BD172" s="19">
        <f t="shared" si="684"/>
        <v>0</v>
      </c>
      <c r="BE172" s="19">
        <f t="shared" si="684"/>
        <v>0</v>
      </c>
      <c r="BF172" s="19">
        <f t="shared" si="684"/>
        <v>0</v>
      </c>
      <c r="BG172" s="19">
        <f t="shared" si="684"/>
        <v>0</v>
      </c>
      <c r="BH172" s="19">
        <f t="shared" si="684"/>
        <v>0</v>
      </c>
      <c r="BI172" s="19">
        <f t="shared" si="684"/>
        <v>0</v>
      </c>
      <c r="BJ172" s="19">
        <f t="shared" si="684"/>
        <v>0</v>
      </c>
      <c r="BK172" s="19">
        <f t="shared" si="684"/>
        <v>0</v>
      </c>
      <c r="BL172" s="19">
        <f t="shared" si="684"/>
        <v>0</v>
      </c>
      <c r="BM172" s="19">
        <f t="shared" si="684"/>
        <v>0</v>
      </c>
      <c r="BN172" s="19">
        <f t="shared" si="684"/>
        <v>0</v>
      </c>
      <c r="BO172" s="19">
        <f t="shared" si="684"/>
        <v>0</v>
      </c>
      <c r="BP172" s="19">
        <f t="shared" si="680"/>
        <v>0</v>
      </c>
      <c r="BQ172" s="19">
        <f t="shared" si="680"/>
        <v>0</v>
      </c>
      <c r="BR172" s="19">
        <f t="shared" si="680"/>
        <v>0</v>
      </c>
      <c r="BS172" s="19">
        <f t="shared" si="680"/>
        <v>0</v>
      </c>
      <c r="BT172" s="19">
        <f t="shared" si="680"/>
        <v>0</v>
      </c>
      <c r="BU172" s="19">
        <f t="shared" si="680"/>
        <v>0</v>
      </c>
      <c r="BV172" s="19">
        <f t="shared" si="680"/>
        <v>0</v>
      </c>
      <c r="BW172" s="19">
        <f t="shared" si="680"/>
        <v>0</v>
      </c>
      <c r="BX172" s="19">
        <f t="shared" si="680"/>
        <v>0</v>
      </c>
      <c r="BY172" s="19">
        <f t="shared" si="680"/>
        <v>0</v>
      </c>
      <c r="BZ172" s="19">
        <f t="shared" si="680"/>
        <v>0</v>
      </c>
      <c r="CA172" s="19">
        <f t="shared" si="680"/>
        <v>0</v>
      </c>
      <c r="CB172" s="19">
        <f t="shared" si="680"/>
        <v>0</v>
      </c>
      <c r="CC172" s="19">
        <f t="shared" si="680"/>
        <v>0</v>
      </c>
      <c r="CD172" s="19">
        <f t="shared" si="680"/>
        <v>0</v>
      </c>
      <c r="CE172" s="19">
        <f t="shared" si="680"/>
        <v>0</v>
      </c>
      <c r="CF172" s="19">
        <f t="shared" si="680"/>
        <v>0</v>
      </c>
      <c r="CG172" s="19">
        <f t="shared" si="680"/>
        <v>0</v>
      </c>
      <c r="CH172" s="19">
        <f t="shared" si="680"/>
        <v>0</v>
      </c>
      <c r="CI172" s="19">
        <f t="shared" si="680"/>
        <v>0</v>
      </c>
      <c r="CJ172" s="19">
        <f t="shared" si="680"/>
        <v>0</v>
      </c>
      <c r="CK172" s="19">
        <f t="shared" si="680"/>
        <v>0</v>
      </c>
      <c r="CL172" s="19">
        <f t="shared" si="680"/>
        <v>0</v>
      </c>
      <c r="CM172" s="19">
        <f t="shared" si="680"/>
        <v>0</v>
      </c>
      <c r="CN172" s="19">
        <f t="shared" si="680"/>
        <v>0</v>
      </c>
      <c r="CO172" s="19">
        <f t="shared" si="680"/>
        <v>0</v>
      </c>
      <c r="CP172" s="19">
        <f t="shared" si="680"/>
        <v>0</v>
      </c>
      <c r="CQ172" s="19">
        <f t="shared" si="680"/>
        <v>0</v>
      </c>
      <c r="CR172" s="19">
        <f t="shared" si="680"/>
        <v>0</v>
      </c>
      <c r="CS172" s="19">
        <f t="shared" si="680"/>
        <v>0</v>
      </c>
      <c r="CT172" s="19">
        <f t="shared" si="680"/>
        <v>0</v>
      </c>
      <c r="CU172" s="19">
        <f t="shared" si="680"/>
        <v>0</v>
      </c>
      <c r="CV172" s="19">
        <f t="shared" si="680"/>
        <v>0</v>
      </c>
      <c r="CW172" s="19">
        <f t="shared" si="680"/>
        <v>0</v>
      </c>
      <c r="CX172" s="19">
        <f t="shared" si="680"/>
        <v>0</v>
      </c>
      <c r="CY172" s="19">
        <f t="shared" si="680"/>
        <v>0</v>
      </c>
      <c r="CZ172" s="19">
        <f t="shared" si="680"/>
        <v>0</v>
      </c>
      <c r="DA172" s="19">
        <f t="shared" si="680"/>
        <v>0</v>
      </c>
      <c r="DB172" s="19">
        <f t="shared" si="680"/>
        <v>0</v>
      </c>
      <c r="DC172" s="19">
        <f t="shared" si="680"/>
        <v>0</v>
      </c>
      <c r="DD172" s="19">
        <f t="shared" si="680"/>
        <v>0</v>
      </c>
      <c r="DE172" s="19">
        <f t="shared" si="680"/>
        <v>0</v>
      </c>
      <c r="DF172" s="19">
        <f t="shared" si="680"/>
        <v>0</v>
      </c>
      <c r="DG172" s="19">
        <f t="shared" si="680"/>
        <v>0</v>
      </c>
      <c r="DH172" s="19">
        <f t="shared" si="680"/>
        <v>0</v>
      </c>
      <c r="DI172" s="19">
        <f t="shared" si="680"/>
        <v>0</v>
      </c>
      <c r="DJ172" s="19">
        <f t="shared" si="680"/>
        <v>0</v>
      </c>
      <c r="DK172" s="19">
        <f t="shared" si="680"/>
        <v>0</v>
      </c>
      <c r="DL172" s="19">
        <f t="shared" si="680"/>
        <v>0</v>
      </c>
      <c r="DM172" s="19">
        <f t="shared" si="680"/>
        <v>0</v>
      </c>
      <c r="DN172" s="19">
        <f t="shared" si="680"/>
        <v>0</v>
      </c>
      <c r="DO172" s="19">
        <f t="shared" si="680"/>
        <v>0</v>
      </c>
      <c r="DP172" s="19">
        <f t="shared" si="680"/>
        <v>0</v>
      </c>
      <c r="DQ172" s="19">
        <f t="shared" si="680"/>
        <v>0</v>
      </c>
      <c r="DR172" s="19">
        <f t="shared" si="680"/>
        <v>0</v>
      </c>
      <c r="DS172" s="19">
        <f t="shared" ref="DS172:ED172" si="685">DS142-DS151</f>
        <v>0</v>
      </c>
      <c r="DT172" s="19">
        <f t="shared" si="685"/>
        <v>0</v>
      </c>
      <c r="DU172" s="19">
        <f t="shared" si="685"/>
        <v>0</v>
      </c>
      <c r="DV172" s="19">
        <f t="shared" si="685"/>
        <v>0</v>
      </c>
      <c r="DW172" s="19">
        <f t="shared" si="685"/>
        <v>0</v>
      </c>
      <c r="DX172" s="19">
        <f t="shared" si="685"/>
        <v>0</v>
      </c>
      <c r="DY172" s="19">
        <f t="shared" si="685"/>
        <v>0</v>
      </c>
      <c r="DZ172" s="19">
        <f t="shared" si="685"/>
        <v>0</v>
      </c>
      <c r="EA172" s="19">
        <f t="shared" si="685"/>
        <v>0</v>
      </c>
      <c r="EB172" s="19">
        <f t="shared" si="685"/>
        <v>0</v>
      </c>
      <c r="EC172" s="19">
        <f t="shared" si="685"/>
        <v>0</v>
      </c>
      <c r="ED172" s="19">
        <f t="shared" si="685"/>
        <v>0</v>
      </c>
      <c r="EE172" s="222"/>
      <c r="EF172" s="19">
        <f t="shared" si="650"/>
        <v>0</v>
      </c>
      <c r="EG172" s="19">
        <f t="shared" si="651"/>
        <v>0</v>
      </c>
      <c r="EH172" s="19">
        <f t="shared" si="652"/>
        <v>0</v>
      </c>
      <c r="EI172" s="19">
        <f t="shared" si="653"/>
        <v>0</v>
      </c>
      <c r="EJ172" s="19">
        <f t="shared" si="654"/>
        <v>0</v>
      </c>
      <c r="EK172" s="19">
        <f t="shared" si="655"/>
        <v>0</v>
      </c>
      <c r="EL172" s="19">
        <f t="shared" si="656"/>
        <v>0</v>
      </c>
      <c r="EM172" s="19">
        <f t="shared" si="657"/>
        <v>0</v>
      </c>
      <c r="EN172" s="19">
        <f t="shared" si="658"/>
        <v>0</v>
      </c>
      <c r="EO172" s="19">
        <f t="shared" si="659"/>
        <v>0</v>
      </c>
      <c r="EP172" s="19">
        <f t="shared" si="660"/>
        <v>0</v>
      </c>
      <c r="EQ172" s="19">
        <f t="shared" si="661"/>
        <v>0</v>
      </c>
      <c r="ER172" s="19">
        <f t="shared" si="662"/>
        <v>0</v>
      </c>
      <c r="ES172" s="19">
        <f t="shared" si="663"/>
        <v>0</v>
      </c>
      <c r="ET172" s="19">
        <f t="shared" si="664"/>
        <v>0</v>
      </c>
      <c r="EU172" s="19">
        <f t="shared" si="665"/>
        <v>0</v>
      </c>
      <c r="EV172" s="19">
        <f t="shared" si="666"/>
        <v>0</v>
      </c>
      <c r="EW172" s="19">
        <f t="shared" si="667"/>
        <v>0</v>
      </c>
      <c r="EX172" s="19">
        <f t="shared" si="668"/>
        <v>0</v>
      </c>
      <c r="EY172" s="19">
        <f t="shared" si="669"/>
        <v>0</v>
      </c>
      <c r="EZ172" s="19">
        <f t="shared" si="670"/>
        <v>0</v>
      </c>
      <c r="FA172" s="19">
        <f t="shared" si="671"/>
        <v>0</v>
      </c>
      <c r="FB172" s="19">
        <f t="shared" si="672"/>
        <v>0</v>
      </c>
      <c r="FC172" s="19">
        <f t="shared" si="673"/>
        <v>0</v>
      </c>
      <c r="FE172" s="19">
        <f t="shared" si="674"/>
        <v>0</v>
      </c>
      <c r="FF172" s="19">
        <f t="shared" si="675"/>
        <v>0</v>
      </c>
      <c r="FG172" s="19">
        <f t="shared" si="676"/>
        <v>0</v>
      </c>
      <c r="FH172" s="19">
        <f t="shared" si="677"/>
        <v>0</v>
      </c>
      <c r="FI172" s="19">
        <f t="shared" si="678"/>
        <v>0</v>
      </c>
      <c r="FJ172" s="770">
        <f t="shared" si="537"/>
        <v>0</v>
      </c>
      <c r="FK172" s="545" t="s">
        <v>1</v>
      </c>
    </row>
    <row r="173" spans="2:167" x14ac:dyDescent="0.2">
      <c r="B173" s="226" t="s">
        <v>55</v>
      </c>
      <c r="C173" s="20">
        <f>C166/C63</f>
        <v>2.7974341472248705E-2</v>
      </c>
      <c r="D173" s="20">
        <f t="shared" ref="D173:BO173" si="686">D166/D63</f>
        <v>3.6139565630952483E-2</v>
      </c>
      <c r="E173" s="20">
        <f t="shared" si="686"/>
        <v>2.4926416018178389E-2</v>
      </c>
      <c r="F173" s="20">
        <f t="shared" si="686"/>
        <v>2.5511663722950405E-2</v>
      </c>
      <c r="G173" s="20">
        <f t="shared" si="686"/>
        <v>-8.2753434419032493E-3</v>
      </c>
      <c r="H173" s="20">
        <f t="shared" si="686"/>
        <v>8.0384376141303341E-3</v>
      </c>
      <c r="I173" s="20">
        <f t="shared" si="686"/>
        <v>-5.1430172121416748E-2</v>
      </c>
      <c r="J173" s="20">
        <f t="shared" si="686"/>
        <v>8.059829972255227E-3</v>
      </c>
      <c r="K173" s="20">
        <f t="shared" si="686"/>
        <v>-2.2022813024791883E-2</v>
      </c>
      <c r="L173" s="20">
        <f t="shared" si="686"/>
        <v>-5.3694324653897701E-2</v>
      </c>
      <c r="M173" s="20">
        <f t="shared" si="686"/>
        <v>-2.3909078817566383E-2</v>
      </c>
      <c r="N173" s="20">
        <f t="shared" si="686"/>
        <v>-1.3731000177234141E-2</v>
      </c>
      <c r="O173" s="20">
        <f t="shared" si="686"/>
        <v>-9.7236160203657482E-3</v>
      </c>
      <c r="P173" s="20">
        <f t="shared" si="686"/>
        <v>-2.1166639432498018E-2</v>
      </c>
      <c r="Q173" s="20">
        <f t="shared" si="686"/>
        <v>-2.2150499421105106E-2</v>
      </c>
      <c r="R173" s="20">
        <f t="shared" si="686"/>
        <v>1.3719612626599424E-2</v>
      </c>
      <c r="S173" s="20">
        <f t="shared" si="686"/>
        <v>6.1993967504496749E-3</v>
      </c>
      <c r="T173" s="20">
        <f t="shared" si="686"/>
        <v>-1.5973274994951325E-2</v>
      </c>
      <c r="U173" s="20">
        <f t="shared" si="686"/>
        <v>-1.84767306940779E-2</v>
      </c>
      <c r="V173" s="20">
        <f t="shared" si="686"/>
        <v>-3.0328920118238317E-2</v>
      </c>
      <c r="W173" s="20">
        <f t="shared" si="686"/>
        <v>-8.2458843182478172E-3</v>
      </c>
      <c r="X173" s="20">
        <f t="shared" si="686"/>
        <v>8.204670562659413E-4</v>
      </c>
      <c r="Y173" s="20">
        <f t="shared" si="686"/>
        <v>1.6230763406494382E-2</v>
      </c>
      <c r="Z173" s="20">
        <f t="shared" si="686"/>
        <v>-2.2934997284008298E-2</v>
      </c>
      <c r="AA173" s="20">
        <f t="shared" si="686"/>
        <v>7.7714622234614588</v>
      </c>
      <c r="AB173" s="20">
        <f t="shared" si="686"/>
        <v>-5.1297309289953684E-3</v>
      </c>
      <c r="AC173" s="20">
        <f t="shared" si="686"/>
        <v>-1.0144504848157095E-2</v>
      </c>
      <c r="AD173" s="20">
        <f t="shared" si="686"/>
        <v>1.202424212423636E-2</v>
      </c>
      <c r="AE173" s="20">
        <f t="shared" si="686"/>
        <v>3.0958042975539734E-2</v>
      </c>
      <c r="AF173" s="20">
        <f t="shared" si="686"/>
        <v>3.4403067027360359E-2</v>
      </c>
      <c r="AG173" s="20">
        <f t="shared" si="686"/>
        <v>2.4967185985728071E-2</v>
      </c>
      <c r="AH173" s="20">
        <f t="shared" si="686"/>
        <v>4.5824287098711544E-2</v>
      </c>
      <c r="AI173" s="20">
        <f t="shared" si="686"/>
        <v>4.3836031941711054E-2</v>
      </c>
      <c r="AJ173" s="20">
        <f t="shared" si="686"/>
        <v>2.2915427911806525E-2</v>
      </c>
      <c r="AK173" s="20">
        <f t="shared" si="686"/>
        <v>2.9248529124441276E-2</v>
      </c>
      <c r="AL173" s="20">
        <f t="shared" si="686"/>
        <v>3.6455030130382461E-2</v>
      </c>
      <c r="AM173" s="20">
        <f t="shared" si="686"/>
        <v>-9.8607920594743978E-3</v>
      </c>
      <c r="AN173" s="20">
        <f t="shared" si="686"/>
        <v>-0.11796573863889016</v>
      </c>
      <c r="AO173" s="20">
        <f t="shared" si="686"/>
        <v>2.468167654154628E-2</v>
      </c>
      <c r="AP173" s="20">
        <f t="shared" si="686"/>
        <v>2.5663067001683474E-2</v>
      </c>
      <c r="AQ173" s="20">
        <f t="shared" si="686"/>
        <v>2.3983444290236314E-2</v>
      </c>
      <c r="AR173" s="20">
        <f t="shared" si="686"/>
        <v>1.4252441446382389E-2</v>
      </c>
      <c r="AS173" s="20">
        <f t="shared" si="686"/>
        <v>2.3380020322575565E-2</v>
      </c>
      <c r="AT173" s="20">
        <f t="shared" si="686"/>
        <v>2.498162615892105E-2</v>
      </c>
      <c r="AU173" s="20">
        <f t="shared" si="686"/>
        <v>2.0437637593931638E-2</v>
      </c>
      <c r="AV173" s="20">
        <f t="shared" si="686"/>
        <v>6.0946789964215825E-3</v>
      </c>
      <c r="AW173" s="20">
        <f t="shared" si="686"/>
        <v>-1.7895211148825099E-2</v>
      </c>
      <c r="AX173" s="20">
        <f t="shared" si="686"/>
        <v>-2.0927247270918783E-2</v>
      </c>
      <c r="AY173" s="20">
        <f t="shared" si="686"/>
        <v>-4.6092888788417635E-2</v>
      </c>
      <c r="AZ173" s="20">
        <f t="shared" si="686"/>
        <v>-4.4442216840076355E-2</v>
      </c>
      <c r="BA173" s="20">
        <f t="shared" si="686"/>
        <v>-2.1394358080552588E-2</v>
      </c>
      <c r="BB173" s="20">
        <f t="shared" si="686"/>
        <v>-1.1891189913782953E-3</v>
      </c>
      <c r="BC173" s="20">
        <f t="shared" si="686"/>
        <v>-3.4091696587973994E-2</v>
      </c>
      <c r="BD173" s="20">
        <f t="shared" si="686"/>
        <v>-7.7560878058588134E-2</v>
      </c>
      <c r="BE173" s="20">
        <f t="shared" si="686"/>
        <v>-4.3064879845028839E-2</v>
      </c>
      <c r="BF173" s="20">
        <f t="shared" si="686"/>
        <v>-3.7884460328124835E-2</v>
      </c>
      <c r="BG173" s="20">
        <f t="shared" si="686"/>
        <v>-5.2496913459149381E-3</v>
      </c>
      <c r="BH173" s="20">
        <f t="shared" si="686"/>
        <v>6.8829528434190951E-4</v>
      </c>
      <c r="BI173" s="20">
        <f t="shared" si="686"/>
        <v>1.9184233042672028E-4</v>
      </c>
      <c r="BJ173" s="20">
        <f t="shared" si="686"/>
        <v>2.3799111686310107E-2</v>
      </c>
      <c r="BK173" s="20">
        <f t="shared" si="686"/>
        <v>2.8804547107459652E-2</v>
      </c>
      <c r="BL173" s="20">
        <f t="shared" si="686"/>
        <v>3.7334481740786366E-2</v>
      </c>
      <c r="BM173" s="20">
        <f t="shared" si="686"/>
        <v>4.9843125107330806E-2</v>
      </c>
      <c r="BN173" s="20">
        <f t="shared" si="686"/>
        <v>5.9464441193611058E-2</v>
      </c>
      <c r="BO173" s="20">
        <f t="shared" si="686"/>
        <v>5.909704276759771E-2</v>
      </c>
      <c r="BP173" s="20">
        <f t="shared" ref="BP173:EM173" si="687">BP166/BP63</f>
        <v>3.1306526608067244E-2</v>
      </c>
      <c r="BQ173" s="20">
        <f t="shared" si="687"/>
        <v>6.3459066162793676E-2</v>
      </c>
      <c r="BR173" s="20">
        <f t="shared" si="687"/>
        <v>5.9015942816902055E-2</v>
      </c>
      <c r="BS173" s="20">
        <f t="shared" si="687"/>
        <v>4.5959562198926655E-2</v>
      </c>
      <c r="BT173" s="20">
        <f t="shared" si="687"/>
        <v>4.4527638936140639E-2</v>
      </c>
      <c r="BU173" s="20">
        <f t="shared" si="687"/>
        <v>8.0386683283824756E-2</v>
      </c>
      <c r="BV173" s="20">
        <f t="shared" si="687"/>
        <v>9.2666081668375214E-2</v>
      </c>
      <c r="BW173" s="20">
        <f t="shared" si="687"/>
        <v>9.0155159884764857E-2</v>
      </c>
      <c r="BX173" s="20">
        <f t="shared" si="687"/>
        <v>0.10353089052269865</v>
      </c>
      <c r="BY173" s="20">
        <f t="shared" si="687"/>
        <v>0.104754762334605</v>
      </c>
      <c r="BZ173" s="20">
        <f t="shared" si="687"/>
        <v>9.6276245867537399E-2</v>
      </c>
      <c r="CA173" s="20">
        <f t="shared" si="687"/>
        <v>9.9154976610717135E-2</v>
      </c>
      <c r="CB173" s="20">
        <f t="shared" si="687"/>
        <v>9.1171837163559741E-2</v>
      </c>
      <c r="CC173" s="20">
        <f t="shared" si="687"/>
        <v>0.11998979355185702</v>
      </c>
      <c r="CD173" s="20">
        <f t="shared" si="687"/>
        <v>0.10582815471517951</v>
      </c>
      <c r="CE173" s="20">
        <f t="shared" si="687"/>
        <v>0.10166082422720084</v>
      </c>
      <c r="CF173" s="20">
        <f t="shared" si="687"/>
        <v>9.8985110489946709E-2</v>
      </c>
      <c r="CG173" s="20">
        <f t="shared" si="687"/>
        <v>9.8167937081006337E-2</v>
      </c>
      <c r="CH173" s="20">
        <f t="shared" si="687"/>
        <v>8.1704440517641946E-2</v>
      </c>
      <c r="CI173" s="20">
        <f t="shared" si="687"/>
        <v>9.0225855404183333E-2</v>
      </c>
      <c r="CJ173" s="20">
        <f t="shared" si="687"/>
        <v>9.1858532260349735E-2</v>
      </c>
      <c r="CK173" s="20">
        <f t="shared" si="687"/>
        <v>9.4401806860026929E-2</v>
      </c>
      <c r="CL173" s="20">
        <f t="shared" si="687"/>
        <v>9.0994550276233571E-2</v>
      </c>
      <c r="CM173" s="20">
        <f t="shared" si="687"/>
        <v>9.9392913287982998E-2</v>
      </c>
      <c r="CN173" s="20">
        <f t="shared" si="687"/>
        <v>9.1947212267011538E-2</v>
      </c>
      <c r="CO173" s="20">
        <f t="shared" si="687"/>
        <v>0.10849208088024354</v>
      </c>
      <c r="CP173" s="20">
        <f t="shared" si="687"/>
        <v>9.3940900572671196E-2</v>
      </c>
      <c r="CQ173" s="20">
        <f t="shared" si="687"/>
        <v>8.0259400575758366E-2</v>
      </c>
      <c r="CR173" s="20">
        <f t="shared" si="687"/>
        <v>8.2786687925609961E-2</v>
      </c>
      <c r="CS173" s="20">
        <f t="shared" si="687"/>
        <v>8.3808474060016735E-2</v>
      </c>
      <c r="CT173" s="20">
        <f t="shared" si="687"/>
        <v>9.1878562515678205E-2</v>
      </c>
      <c r="CU173" s="20">
        <f t="shared" si="687"/>
        <v>8.418073284059778E-2</v>
      </c>
      <c r="CV173" s="20">
        <f t="shared" si="687"/>
        <v>8.681021233312626E-2</v>
      </c>
      <c r="CW173" s="20">
        <f t="shared" si="687"/>
        <v>8.7551005661347742E-2</v>
      </c>
      <c r="CX173" s="20">
        <f t="shared" si="687"/>
        <v>9.3755399132308334E-2</v>
      </c>
      <c r="CY173" s="20">
        <f t="shared" si="687"/>
        <v>8.8923843060619401E-2</v>
      </c>
      <c r="CZ173" s="20">
        <f t="shared" si="687"/>
        <v>9.7420671023248084E-2</v>
      </c>
      <c r="DA173" s="20">
        <f t="shared" si="687"/>
        <v>0.11022430986661468</v>
      </c>
      <c r="DB173" s="20">
        <f t="shared" si="687"/>
        <v>9.077670889151776E-2</v>
      </c>
      <c r="DC173" s="20">
        <f t="shared" si="687"/>
        <v>9.4670463991882253E-2</v>
      </c>
      <c r="DD173" s="20">
        <f t="shared" si="687"/>
        <v>9.7467802847719248E-2</v>
      </c>
      <c r="DE173" s="20">
        <f t="shared" si="687"/>
        <v>9.1019437696686051E-2</v>
      </c>
      <c r="DF173" s="20">
        <f t="shared" si="687"/>
        <v>0.10302971606107948</v>
      </c>
      <c r="DG173" s="20">
        <f t="shared" si="687"/>
        <v>9.1514391234828088E-2</v>
      </c>
      <c r="DH173" s="20">
        <f t="shared" si="687"/>
        <v>9.4204373097361321E-2</v>
      </c>
      <c r="DI173" s="20">
        <f t="shared" si="687"/>
        <v>9.4701014939432962E-2</v>
      </c>
      <c r="DJ173" s="20">
        <f t="shared" si="687"/>
        <v>0.10040304767883348</v>
      </c>
      <c r="DK173" s="20">
        <f t="shared" si="687"/>
        <v>9.6061165117917138E-2</v>
      </c>
      <c r="DL173" s="20">
        <f t="shared" si="687"/>
        <v>0.10423197789676618</v>
      </c>
      <c r="DM173" s="20">
        <f t="shared" si="687"/>
        <v>0.11627030957979236</v>
      </c>
      <c r="DN173" s="20">
        <f t="shared" si="687"/>
        <v>9.7394407744004693E-2</v>
      </c>
      <c r="DO173" s="20">
        <f t="shared" si="687"/>
        <v>0.1003793099651353</v>
      </c>
      <c r="DP173" s="20">
        <f t="shared" si="687"/>
        <v>0.10290739396836932</v>
      </c>
      <c r="DQ173" s="20">
        <f t="shared" si="687"/>
        <v>9.6750974210489102E-2</v>
      </c>
      <c r="DR173" s="20">
        <f t="shared" si="687"/>
        <v>0.10770225728470247</v>
      </c>
      <c r="DS173" s="20">
        <f t="shared" ref="DS173:ED173" si="688">DS166/DS63</f>
        <v>9.5310769277662202E-2</v>
      </c>
      <c r="DT173" s="20">
        <f t="shared" si="688"/>
        <v>9.8028563054639709E-2</v>
      </c>
      <c r="DU173" s="20">
        <f t="shared" si="688"/>
        <v>9.8365175777043096E-2</v>
      </c>
      <c r="DV173" s="20">
        <f t="shared" si="688"/>
        <v>0.10366920345491237</v>
      </c>
      <c r="DW173" s="20">
        <f t="shared" si="688"/>
        <v>9.9640681336495437E-2</v>
      </c>
      <c r="DX173" s="20">
        <f t="shared" si="688"/>
        <v>0.1074802523217508</v>
      </c>
      <c r="DY173" s="20">
        <f t="shared" si="688"/>
        <v>0.11906520238225649</v>
      </c>
      <c r="DZ173" s="20">
        <f t="shared" si="688"/>
        <v>0.10105584344556624</v>
      </c>
      <c r="EA173" s="20">
        <f t="shared" si="688"/>
        <v>0.1035477068877869</v>
      </c>
      <c r="EB173" s="20">
        <f t="shared" si="688"/>
        <v>0.10585772630816065</v>
      </c>
      <c r="EC173" s="20">
        <f t="shared" si="688"/>
        <v>0.10000687915119416</v>
      </c>
      <c r="ED173" s="20">
        <f t="shared" si="688"/>
        <v>0.11019792433905297</v>
      </c>
      <c r="EE173" s="222"/>
      <c r="EF173" s="20">
        <f t="shared" si="687"/>
        <v>3.8401714463554185E-2</v>
      </c>
      <c r="EG173" s="20">
        <f t="shared" si="687"/>
        <v>4.9881963188654538E-2</v>
      </c>
      <c r="EH173" s="20">
        <f t="shared" si="687"/>
        <v>5.6648066686924826E-2</v>
      </c>
      <c r="EI173" s="20">
        <f t="shared" si="687"/>
        <v>7.2730109496572229E-2</v>
      </c>
      <c r="EJ173" s="20">
        <f t="shared" si="687"/>
        <v>9.9629846664455277E-2</v>
      </c>
      <c r="EK173" s="20">
        <f t="shared" si="687"/>
        <v>9.5666735643709519E-2</v>
      </c>
      <c r="EL173" s="20">
        <f t="shared" si="687"/>
        <v>0.10896508917187717</v>
      </c>
      <c r="EM173" s="20">
        <f t="shared" si="687"/>
        <v>9.2022182956628978E-2</v>
      </c>
      <c r="EN173" s="20">
        <f t="shared" ref="EN173:FJ173" si="689">EN166/EN63</f>
        <v>9.2151225242777787E-2</v>
      </c>
      <c r="EO173" s="20">
        <f t="shared" si="689"/>
        <v>9.3938460083304962E-2</v>
      </c>
      <c r="EP173" s="20">
        <f t="shared" si="689"/>
        <v>9.3282809167348116E-2</v>
      </c>
      <c r="EQ173" s="20">
        <f t="shared" si="689"/>
        <v>8.6258916292198395E-2</v>
      </c>
      <c r="ER173" s="20">
        <f t="shared" si="689"/>
        <v>8.6177479584733582E-2</v>
      </c>
      <c r="ES173" s="20">
        <f t="shared" si="689"/>
        <v>9.3324045132141431E-2</v>
      </c>
      <c r="ET173" s="20">
        <f t="shared" si="689"/>
        <v>9.8258624335985784E-2</v>
      </c>
      <c r="EU173" s="20">
        <f t="shared" si="689"/>
        <v>9.7319411792373689E-2</v>
      </c>
      <c r="EV173" s="20">
        <f t="shared" si="689"/>
        <v>9.3470727942300422E-2</v>
      </c>
      <c r="EW173" s="20">
        <f t="shared" si="689"/>
        <v>0.10018031134943758</v>
      </c>
      <c r="EX173" s="20">
        <f t="shared" si="689"/>
        <v>0.1043627686636532</v>
      </c>
      <c r="EY173" s="20">
        <f t="shared" si="689"/>
        <v>0.10257928019675369</v>
      </c>
      <c r="EZ173" s="20">
        <f t="shared" si="689"/>
        <v>9.7232787863057862E-2</v>
      </c>
      <c r="FA173" s="20">
        <f t="shared" si="689"/>
        <v>0.10354268957159894</v>
      </c>
      <c r="FB173" s="20">
        <f t="shared" si="689"/>
        <v>0.10756230162552798</v>
      </c>
      <c r="FC173" s="20">
        <f t="shared" si="689"/>
        <v>0.1054692751951227</v>
      </c>
      <c r="FD173" s="785"/>
      <c r="FE173" s="20">
        <f t="shared" si="689"/>
        <v>5.3969502648481806E-2</v>
      </c>
      <c r="FF173" s="20">
        <f t="shared" si="689"/>
        <v>9.8651167480050428E-2</v>
      </c>
      <c r="FG173" s="20">
        <f t="shared" si="689"/>
        <v>9.1001136583778744E-2</v>
      </c>
      <c r="FH173" s="20">
        <f t="shared" si="689"/>
        <v>9.4075405060460013E-2</v>
      </c>
      <c r="FI173" s="20">
        <f t="shared" si="689"/>
        <v>0.10037197247691715</v>
      </c>
      <c r="FJ173" s="20">
        <f t="shared" si="689"/>
        <v>0.10365022155867443</v>
      </c>
      <c r="FK173" s="545" t="s">
        <v>1</v>
      </c>
    </row>
    <row r="174" spans="2:167" x14ac:dyDescent="0.2">
      <c r="B174" s="226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222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/>
      <c r="EY174" s="19"/>
      <c r="EZ174" s="19"/>
      <c r="FA174" s="19"/>
      <c r="FB174" s="19"/>
      <c r="FC174" s="19"/>
      <c r="FE174" s="19"/>
      <c r="FF174" s="19"/>
      <c r="FG174" s="19"/>
      <c r="FH174" s="19"/>
      <c r="FI174" s="19"/>
      <c r="FJ174" s="770"/>
      <c r="FK174" s="545"/>
    </row>
    <row r="175" spans="2:167" x14ac:dyDescent="0.2">
      <c r="B175" s="223" t="s">
        <v>56</v>
      </c>
      <c r="C175" s="297">
        <f>SUM(C176:C181)</f>
        <v>5023542</v>
      </c>
      <c r="D175" s="297">
        <f t="shared" ref="D175:BO175" si="690">SUM(D176:D181)</f>
        <v>7071293</v>
      </c>
      <c r="E175" s="297">
        <f t="shared" si="690"/>
        <v>7063097</v>
      </c>
      <c r="F175" s="297">
        <f t="shared" si="690"/>
        <v>7593372</v>
      </c>
      <c r="G175" s="297">
        <f t="shared" si="690"/>
        <v>7832785.2599999998</v>
      </c>
      <c r="H175" s="297">
        <f t="shared" si="690"/>
        <v>8471698.2400000002</v>
      </c>
      <c r="I175" s="297">
        <f t="shared" si="690"/>
        <v>4654179.18</v>
      </c>
      <c r="J175" s="297">
        <f t="shared" si="690"/>
        <v>11678128.83</v>
      </c>
      <c r="K175" s="297">
        <f t="shared" si="690"/>
        <v>13073647</v>
      </c>
      <c r="L175" s="297">
        <f t="shared" si="690"/>
        <v>10386757</v>
      </c>
      <c r="M175" s="297">
        <f t="shared" si="690"/>
        <v>6040647</v>
      </c>
      <c r="N175" s="297">
        <f t="shared" si="690"/>
        <v>5326739</v>
      </c>
      <c r="O175" s="297">
        <f t="shared" si="690"/>
        <v>8024042</v>
      </c>
      <c r="P175" s="297">
        <f t="shared" si="690"/>
        <v>9037302.870000001</v>
      </c>
      <c r="Q175" s="297">
        <f t="shared" si="690"/>
        <v>11950120</v>
      </c>
      <c r="R175" s="297">
        <f t="shared" si="690"/>
        <v>6767528</v>
      </c>
      <c r="S175" s="297">
        <f t="shared" si="690"/>
        <v>2955705</v>
      </c>
      <c r="T175" s="297">
        <f t="shared" si="690"/>
        <v>2227942</v>
      </c>
      <c r="U175" s="297">
        <f t="shared" si="690"/>
        <v>1552500</v>
      </c>
      <c r="V175" s="297">
        <f t="shared" si="690"/>
        <v>1114141</v>
      </c>
      <c r="W175" s="297">
        <f t="shared" si="690"/>
        <v>1486869</v>
      </c>
      <c r="X175" s="297">
        <f t="shared" si="690"/>
        <v>1511084</v>
      </c>
      <c r="Y175" s="297">
        <f t="shared" si="690"/>
        <v>1779757</v>
      </c>
      <c r="Z175" s="297">
        <f t="shared" si="690"/>
        <v>1295895</v>
      </c>
      <c r="AA175" s="297">
        <f t="shared" si="690"/>
        <v>206601</v>
      </c>
      <c r="AB175" s="297">
        <f t="shared" si="690"/>
        <v>520225</v>
      </c>
      <c r="AC175" s="297">
        <f t="shared" si="690"/>
        <v>1359766</v>
      </c>
      <c r="AD175" s="297">
        <f t="shared" si="690"/>
        <v>2185708.6083749421</v>
      </c>
      <c r="AE175" s="297">
        <f t="shared" si="690"/>
        <v>3292109</v>
      </c>
      <c r="AF175" s="297">
        <f t="shared" si="690"/>
        <v>3726791</v>
      </c>
      <c r="AG175" s="297">
        <f t="shared" si="690"/>
        <v>2991652</v>
      </c>
      <c r="AH175" s="297">
        <f t="shared" si="690"/>
        <v>1943552</v>
      </c>
      <c r="AI175" s="297">
        <f t="shared" si="690"/>
        <v>3287903</v>
      </c>
      <c r="AJ175" s="297">
        <f t="shared" si="690"/>
        <v>2916468</v>
      </c>
      <c r="AK175" s="297">
        <f t="shared" si="690"/>
        <v>2985874</v>
      </c>
      <c r="AL175" s="297">
        <f t="shared" si="690"/>
        <v>5535184</v>
      </c>
      <c r="AM175" s="297">
        <f t="shared" si="690"/>
        <v>2814723</v>
      </c>
      <c r="AN175" s="297">
        <f t="shared" si="690"/>
        <v>781183.87122736417</v>
      </c>
      <c r="AO175" s="297">
        <f t="shared" si="690"/>
        <v>3989898</v>
      </c>
      <c r="AP175" s="297">
        <f t="shared" si="690"/>
        <v>6943085.1478637531</v>
      </c>
      <c r="AQ175" s="297">
        <f t="shared" si="690"/>
        <v>8146331.5696202535</v>
      </c>
      <c r="AR175" s="297">
        <f t="shared" si="690"/>
        <v>9164606</v>
      </c>
      <c r="AS175" s="297">
        <f t="shared" si="690"/>
        <v>10140925</v>
      </c>
      <c r="AT175" s="297">
        <f t="shared" si="690"/>
        <v>8342618</v>
      </c>
      <c r="AU175" s="297">
        <f t="shared" si="690"/>
        <v>11553164</v>
      </c>
      <c r="AV175" s="297">
        <f t="shared" si="690"/>
        <v>12357277</v>
      </c>
      <c r="AW175" s="297">
        <f t="shared" si="690"/>
        <v>13747781</v>
      </c>
      <c r="AX175" s="297">
        <f t="shared" si="690"/>
        <v>21824756</v>
      </c>
      <c r="AY175" s="297">
        <f t="shared" si="690"/>
        <v>14102503</v>
      </c>
      <c r="AZ175" s="297">
        <f t="shared" si="690"/>
        <v>8295661.8222387852</v>
      </c>
      <c r="BA175" s="297">
        <f t="shared" si="690"/>
        <v>14692519.68836697</v>
      </c>
      <c r="BB175" s="297">
        <f t="shared" si="690"/>
        <v>18987186.776296284</v>
      </c>
      <c r="BC175" s="297">
        <f t="shared" si="690"/>
        <v>24023055</v>
      </c>
      <c r="BD175" s="297">
        <f t="shared" si="690"/>
        <v>12516140</v>
      </c>
      <c r="BE175" s="297">
        <f t="shared" si="690"/>
        <v>12266519</v>
      </c>
      <c r="BF175" s="297">
        <f t="shared" si="690"/>
        <v>10781107</v>
      </c>
      <c r="BG175" s="297">
        <f t="shared" si="690"/>
        <v>17967305</v>
      </c>
      <c r="BH175" s="297">
        <f t="shared" si="690"/>
        <v>26616533</v>
      </c>
      <c r="BI175" s="297">
        <f t="shared" si="690"/>
        <v>27651511</v>
      </c>
      <c r="BJ175" s="297">
        <f t="shared" si="690"/>
        <v>20794520</v>
      </c>
      <c r="BK175" s="297">
        <f t="shared" si="690"/>
        <v>16796140</v>
      </c>
      <c r="BL175" s="297">
        <f t="shared" si="690"/>
        <v>18892343</v>
      </c>
      <c r="BM175" s="297">
        <f t="shared" si="690"/>
        <v>19901383</v>
      </c>
      <c r="BN175" s="297">
        <f t="shared" si="690"/>
        <v>21856211</v>
      </c>
      <c r="BO175" s="297">
        <f t="shared" si="690"/>
        <v>20228666</v>
      </c>
      <c r="BP175" s="297">
        <f t="shared" ref="BP175:DR175" si="691">SUM(BP176:BP181)</f>
        <v>17358721.999999978</v>
      </c>
      <c r="BQ175" s="297">
        <f t="shared" si="691"/>
        <v>21207639.638260093</v>
      </c>
      <c r="BR175" s="297">
        <f t="shared" si="691"/>
        <v>19287821.509549897</v>
      </c>
      <c r="BS175" s="297">
        <f t="shared" si="691"/>
        <v>16939440</v>
      </c>
      <c r="BT175" s="297">
        <f t="shared" si="691"/>
        <v>14051618</v>
      </c>
      <c r="BU175" s="297">
        <f t="shared" si="691"/>
        <v>15109625.000000004</v>
      </c>
      <c r="BV175" s="297">
        <f t="shared" si="691"/>
        <v>18247612</v>
      </c>
      <c r="BW175" s="297">
        <f t="shared" si="691"/>
        <v>19847948</v>
      </c>
      <c r="BX175" s="297">
        <f t="shared" si="691"/>
        <v>19847948</v>
      </c>
      <c r="BY175" s="297">
        <f t="shared" si="691"/>
        <v>18808288</v>
      </c>
      <c r="BZ175" s="297">
        <f t="shared" si="691"/>
        <v>19442765.967032965</v>
      </c>
      <c r="CA175" s="297">
        <f t="shared" si="691"/>
        <v>14876525.999999996</v>
      </c>
      <c r="CB175" s="297">
        <f t="shared" si="691"/>
        <v>11294241.000000004</v>
      </c>
      <c r="CC175" s="297">
        <f t="shared" si="691"/>
        <v>11191504</v>
      </c>
      <c r="CD175" s="297">
        <f t="shared" si="691"/>
        <v>15017526.749535086</v>
      </c>
      <c r="CE175" s="297">
        <f t="shared" si="691"/>
        <v>19362634</v>
      </c>
      <c r="CF175" s="297">
        <f t="shared" si="691"/>
        <v>20076342.784295402</v>
      </c>
      <c r="CG175" s="297">
        <f t="shared" si="691"/>
        <v>20043331.40130908</v>
      </c>
      <c r="CH175" s="297">
        <f t="shared" si="691"/>
        <v>19240023</v>
      </c>
      <c r="CI175" s="297">
        <f t="shared" si="691"/>
        <v>18971226.416973889</v>
      </c>
      <c r="CJ175" s="297">
        <f t="shared" si="691"/>
        <v>18511785.798407331</v>
      </c>
      <c r="CK175" s="297">
        <f t="shared" si="691"/>
        <v>20327262.983162329</v>
      </c>
      <c r="CL175" s="297">
        <f t="shared" si="691"/>
        <v>22809866.698457584</v>
      </c>
      <c r="CM175" s="297">
        <f t="shared" si="691"/>
        <v>21683258</v>
      </c>
      <c r="CN175" s="297">
        <f t="shared" si="691"/>
        <v>14449017</v>
      </c>
      <c r="CO175" s="297">
        <f t="shared" si="691"/>
        <v>13369410.871208791</v>
      </c>
      <c r="CP175" s="297">
        <f t="shared" si="691"/>
        <v>18051359</v>
      </c>
      <c r="CQ175" s="297">
        <f t="shared" si="691"/>
        <v>21703160.25</v>
      </c>
      <c r="CR175" s="297">
        <f t="shared" si="691"/>
        <v>20708493.050000001</v>
      </c>
      <c r="CS175" s="297">
        <f t="shared" si="691"/>
        <v>18436408.600000001</v>
      </c>
      <c r="CT175" s="297">
        <f t="shared" si="691"/>
        <v>20230092.170000002</v>
      </c>
      <c r="CU175" s="297">
        <f t="shared" si="691"/>
        <v>21585664.502498936</v>
      </c>
      <c r="CV175" s="297">
        <f t="shared" si="691"/>
        <v>21560270.516811877</v>
      </c>
      <c r="CW175" s="297">
        <f t="shared" si="691"/>
        <v>21557766.024039641</v>
      </c>
      <c r="CX175" s="297">
        <f t="shared" si="691"/>
        <v>21657121.062703032</v>
      </c>
      <c r="CY175" s="297">
        <f t="shared" si="691"/>
        <v>21518781.41006019</v>
      </c>
      <c r="CZ175" s="297">
        <f t="shared" si="691"/>
        <v>21435947.225478321</v>
      </c>
      <c r="DA175" s="297">
        <f t="shared" si="691"/>
        <v>22107360.640173681</v>
      </c>
      <c r="DB175" s="297">
        <f t="shared" si="691"/>
        <v>22001089.802269824</v>
      </c>
      <c r="DC175" s="297">
        <f t="shared" si="691"/>
        <v>22235800.845902435</v>
      </c>
      <c r="DD175" s="297">
        <f t="shared" si="691"/>
        <v>22271969.572663926</v>
      </c>
      <c r="DE175" s="297">
        <f t="shared" si="691"/>
        <v>22166208.994100075</v>
      </c>
      <c r="DF175" s="297">
        <f t="shared" si="691"/>
        <v>22395249.440097168</v>
      </c>
      <c r="DG175" s="297">
        <f t="shared" si="691"/>
        <v>24103852.9431573</v>
      </c>
      <c r="DH175" s="297">
        <f t="shared" si="691"/>
        <v>24076478.739620395</v>
      </c>
      <c r="DI175" s="297">
        <f t="shared" si="691"/>
        <v>24065763.435428586</v>
      </c>
      <c r="DJ175" s="297">
        <f t="shared" si="691"/>
        <v>24186120.746693715</v>
      </c>
      <c r="DK175" s="297">
        <f t="shared" si="691"/>
        <v>24014408.918363541</v>
      </c>
      <c r="DL175" s="297">
        <f t="shared" si="691"/>
        <v>23910457.489135616</v>
      </c>
      <c r="DM175" s="297">
        <f t="shared" si="691"/>
        <v>24654168.048405156</v>
      </c>
      <c r="DN175" s="297">
        <f t="shared" si="691"/>
        <v>24517649.784131259</v>
      </c>
      <c r="DO175" s="297">
        <f t="shared" si="691"/>
        <v>24794264.973143451</v>
      </c>
      <c r="DP175" s="297">
        <f t="shared" si="691"/>
        <v>24830175.216856401</v>
      </c>
      <c r="DQ175" s="297">
        <f t="shared" si="691"/>
        <v>24695489.50856293</v>
      </c>
      <c r="DR175" s="297">
        <f t="shared" si="691"/>
        <v>24946737.845085144</v>
      </c>
      <c r="DS175" s="297">
        <f t="shared" ref="DS175:ED175" si="692">SUM(DS176:DS181)</f>
        <v>26854033.723493427</v>
      </c>
      <c r="DT175" s="297">
        <f t="shared" si="692"/>
        <v>26821165.254122898</v>
      </c>
      <c r="DU175" s="297">
        <f t="shared" si="692"/>
        <v>26807903.498389959</v>
      </c>
      <c r="DV175" s="297">
        <f t="shared" si="692"/>
        <v>26944220.743086979</v>
      </c>
      <c r="DW175" s="297">
        <f t="shared" si="692"/>
        <v>26746866.748486593</v>
      </c>
      <c r="DX175" s="297">
        <f t="shared" si="692"/>
        <v>26626625.567073718</v>
      </c>
      <c r="DY175" s="297">
        <f t="shared" si="692"/>
        <v>27435296.530102212</v>
      </c>
      <c r="DZ175" s="297">
        <f t="shared" si="692"/>
        <v>27278923.618164785</v>
      </c>
      <c r="EA175" s="297">
        <f t="shared" si="692"/>
        <v>27593099.352498546</v>
      </c>
      <c r="EB175" s="297">
        <f t="shared" si="692"/>
        <v>27633381.731193256</v>
      </c>
      <c r="EC175" s="297">
        <f t="shared" si="692"/>
        <v>27479178.43436617</v>
      </c>
      <c r="ED175" s="297">
        <f t="shared" si="692"/>
        <v>27764157.854841717</v>
      </c>
      <c r="EE175" s="222"/>
      <c r="EF175" s="297">
        <f t="shared" ref="EF175:EF181" si="693">SUM(BK175:BM175)</f>
        <v>55589866</v>
      </c>
      <c r="EG175" s="297">
        <f t="shared" ref="EG175:EG181" si="694">SUM(BN175:BP175)</f>
        <v>59443598.999999978</v>
      </c>
      <c r="EH175" s="297">
        <f t="shared" ref="EH175:EH181" si="695">SUM(BQ175:BS175)</f>
        <v>57434901.14780999</v>
      </c>
      <c r="EI175" s="297">
        <f t="shared" ref="EI175:EI181" si="696">SUM(BT175:BV175)</f>
        <v>47408855</v>
      </c>
      <c r="EJ175" s="297">
        <f t="shared" ref="EJ175:EJ181" si="697">SUM(BW175:BY175)</f>
        <v>58504184</v>
      </c>
      <c r="EK175" s="297">
        <f t="shared" ref="EK175:EK181" si="698">SUM(BZ175:CB175)</f>
        <v>45613532.967032969</v>
      </c>
      <c r="EL175" s="297">
        <f t="shared" ref="EL175:EL181" si="699">SUM(CC175:CE175)</f>
        <v>45571664.749535084</v>
      </c>
      <c r="EM175" s="297">
        <f t="shared" ref="EM175:EM181" si="700">SUM(CF175:CH175)</f>
        <v>59359697.185604483</v>
      </c>
      <c r="EN175" s="297">
        <f t="shared" ref="EN175:EN181" si="701">SUM(CI175:CK175)</f>
        <v>57810275.198543549</v>
      </c>
      <c r="EO175" s="297">
        <f t="shared" ref="EO175:EO181" si="702">SUM(CL175:CN175)</f>
        <v>58942141.698457584</v>
      </c>
      <c r="EP175" s="297">
        <f t="shared" ref="EP175:EP181" si="703">SUM(CO175:CQ175)</f>
        <v>53123930.121208787</v>
      </c>
      <c r="EQ175" s="297">
        <f t="shared" ref="EQ175:EQ181" si="704">SUM(CR175:CT175)</f>
        <v>59374993.820000008</v>
      </c>
      <c r="ER175" s="297">
        <f t="shared" ref="ER175:ER181" si="705">SUM(CU175:CW175)</f>
        <v>64703701.043350458</v>
      </c>
      <c r="ES175" s="297">
        <f t="shared" ref="ES175:ES181" si="706">SUM(CX175:CZ175)</f>
        <v>64611849.698241547</v>
      </c>
      <c r="ET175" s="297">
        <f t="shared" ref="ET175:ET181" si="707">SUM(DA175:DC175)</f>
        <v>66344251.28834594</v>
      </c>
      <c r="EU175" s="297">
        <f t="shared" ref="EU175:EU181" si="708">SUM(DD175:DF175)</f>
        <v>66833428.006861165</v>
      </c>
      <c r="EV175" s="297">
        <f t="shared" ref="EV175:EV181" si="709">SUM(DG175:DI175)</f>
        <v>72246095.118206277</v>
      </c>
      <c r="EW175" s="297">
        <f t="shared" ref="EW175:EW181" si="710">SUM(DJ175:DL175)</f>
        <v>72110987.154192865</v>
      </c>
      <c r="EX175" s="297">
        <f t="shared" ref="EX175:EX181" si="711">SUM(DM175:DO175)</f>
        <v>73966082.805679858</v>
      </c>
      <c r="EY175" s="297">
        <f t="shared" ref="EY175:EY181" si="712">SUM(DP175:DR175)</f>
        <v>74472402.570504472</v>
      </c>
      <c r="EZ175" s="297">
        <f t="shared" ref="EZ175:EZ181" si="713">SUM(DS175:DU175)</f>
        <v>80483102.476006284</v>
      </c>
      <c r="FA175" s="297">
        <f t="shared" ref="FA175:FA181" si="714">SUM(DV175:DX175)</f>
        <v>80317713.05864729</v>
      </c>
      <c r="FB175" s="297">
        <f t="shared" ref="FB175:FB181" si="715">SUM(DY175:EA175)</f>
        <v>82307319.500765547</v>
      </c>
      <c r="FC175" s="297">
        <f t="shared" ref="FC175:FC181" si="716">SUM(EB175:ED175)</f>
        <v>82876718.02040115</v>
      </c>
      <c r="FE175" s="297">
        <f t="shared" ref="FE175:FE181" si="717">SUM(EF175:EI175)</f>
        <v>219877221.14780995</v>
      </c>
      <c r="FF175" s="297">
        <f t="shared" ref="FF175:FF181" si="718">SUM(EJ175:EM175)</f>
        <v>209049078.90217254</v>
      </c>
      <c r="FG175" s="297">
        <f t="shared" ref="FG175:FG181" si="719">SUM(EN175:EQ175)</f>
        <v>229251340.83820993</v>
      </c>
      <c r="FH175" s="297">
        <f t="shared" ref="FH175:FH181" si="720">SUM(ER175:EU175)</f>
        <v>262493230.03679913</v>
      </c>
      <c r="FI175" s="297">
        <f t="shared" ref="FI175:FI181" si="721">SUM(EV175:EY175)</f>
        <v>292795567.64858347</v>
      </c>
      <c r="FJ175" s="774">
        <f t="shared" si="537"/>
        <v>325984853.05582023</v>
      </c>
      <c r="FK175" s="545" t="s">
        <v>1</v>
      </c>
    </row>
    <row r="176" spans="2:167" x14ac:dyDescent="0.2">
      <c r="B176" s="225" t="s">
        <v>304</v>
      </c>
      <c r="C176" s="19">
        <f>'B2B- Non Repair'!C103</f>
        <v>4480556</v>
      </c>
      <c r="D176" s="19">
        <f>'B2B- Non Repair'!D103</f>
        <v>6137979</v>
      </c>
      <c r="E176" s="19">
        <f>'B2B- Non Repair'!E103</f>
        <v>5594941</v>
      </c>
      <c r="F176" s="19">
        <f>'B2B- Non Repair'!F103</f>
        <v>6427801</v>
      </c>
      <c r="G176" s="19">
        <f>'B2B- Non Repair'!G103</f>
        <v>5604444.2599999998</v>
      </c>
      <c r="H176" s="19">
        <f>'B2B- Non Repair'!H103</f>
        <v>7136365.2400000002</v>
      </c>
      <c r="I176" s="19">
        <f>'B2B- Non Repair'!I103</f>
        <v>2943303.1799999997</v>
      </c>
      <c r="J176" s="19">
        <f>'B2B- Non Repair'!J103</f>
        <v>7506569.8300000001</v>
      </c>
      <c r="K176" s="19">
        <f>'B2B- Non Repair'!K103</f>
        <v>8817679</v>
      </c>
      <c r="L176" s="19">
        <f>'B2B- Non Repair'!L103</f>
        <v>6835882</v>
      </c>
      <c r="M176" s="19">
        <f>'B2B- Non Repair'!M103</f>
        <v>3646105</v>
      </c>
      <c r="N176" s="19">
        <f>'B2B- Non Repair'!N103</f>
        <v>3097880</v>
      </c>
      <c r="O176" s="19">
        <f>'B2B- Non Repair'!O103</f>
        <v>4852199</v>
      </c>
      <c r="P176" s="19">
        <f>'B2B- Non Repair'!P103</f>
        <v>5525719</v>
      </c>
      <c r="Q176" s="19">
        <f>'B2B- Non Repair'!Q103</f>
        <v>7780014</v>
      </c>
      <c r="R176" s="19">
        <f>'B2B- Non Repair'!R103</f>
        <v>4888403</v>
      </c>
      <c r="S176" s="19">
        <f>'B2B- Non Repair'!S103</f>
        <v>1911931</v>
      </c>
      <c r="T176" s="19">
        <f>'B2B- Non Repair'!T103</f>
        <v>1476526</v>
      </c>
      <c r="U176" s="19">
        <f>'B2B- Non Repair'!U103</f>
        <v>1024134</v>
      </c>
      <c r="V176" s="19">
        <f>'B2B- Non Repair'!V103</f>
        <v>686071</v>
      </c>
      <c r="W176" s="19">
        <f>'B2B- Non Repair'!W103</f>
        <v>878174</v>
      </c>
      <c r="X176" s="19">
        <f>'B2B- Non Repair'!X103</f>
        <v>868165</v>
      </c>
      <c r="Y176" s="19">
        <f>'B2B- Non Repair'!Y103</f>
        <v>1007499</v>
      </c>
      <c r="Z176" s="19">
        <f>'B2B- Non Repair'!Z103</f>
        <v>739568</v>
      </c>
      <c r="AA176" s="19">
        <f>'B2B- Non Repair'!AA103</f>
        <v>118847.33994843056</v>
      </c>
      <c r="AB176" s="19">
        <f>'B2B- Non Repair'!AB103</f>
        <v>125780</v>
      </c>
      <c r="AC176" s="19">
        <f>'B2B- Non Repair'!AC103</f>
        <v>293889</v>
      </c>
      <c r="AD176" s="19">
        <f>'B2B- Non Repair'!AD103</f>
        <v>595013</v>
      </c>
      <c r="AE176" s="19">
        <f>'B2B- Non Repair'!AE103</f>
        <v>829021</v>
      </c>
      <c r="AF176" s="19">
        <f>'B2B- Non Repair'!AF103</f>
        <v>971923</v>
      </c>
      <c r="AG176" s="19">
        <f>'B2B- Non Repair'!AG103</f>
        <v>1162919</v>
      </c>
      <c r="AH176" s="19">
        <f>'B2B- Non Repair'!AH103</f>
        <v>827946</v>
      </c>
      <c r="AI176" s="19">
        <f>'B2B- Non Repair'!AI103</f>
        <v>1247068</v>
      </c>
      <c r="AJ176" s="19">
        <f>'B2B- Non Repair'!AJ103</f>
        <v>1071894</v>
      </c>
      <c r="AK176" s="19">
        <f>'B2B- Non Repair'!AK103</f>
        <v>1199904</v>
      </c>
      <c r="AL176" s="19">
        <f>'B2B- Non Repair'!AL103</f>
        <v>2048894</v>
      </c>
      <c r="AM176" s="19">
        <f>'B2B- Non Repair'!AM103</f>
        <v>988493</v>
      </c>
      <c r="AN176" s="19">
        <f>'B2B- Non Repair'!AN103</f>
        <v>145161</v>
      </c>
      <c r="AO176" s="19">
        <f>'B2B- Non Repair'!AO103</f>
        <v>932409</v>
      </c>
      <c r="AP176" s="19">
        <f>'B2B- Non Repair'!AP103</f>
        <v>1576466</v>
      </c>
      <c r="AQ176" s="19">
        <f>'B2B- Non Repair'!AQ103</f>
        <v>2370838</v>
      </c>
      <c r="AR176" s="19">
        <f>'B2B- Non Repair'!AR103</f>
        <v>3267287.5175110432</v>
      </c>
      <c r="AS176" s="19">
        <f>'B2B- Non Repair'!AS103</f>
        <v>3618693</v>
      </c>
      <c r="AT176" s="19">
        <f>'B2B- Non Repair'!AT103</f>
        <v>3155660</v>
      </c>
      <c r="AU176" s="19">
        <f>'B2B- Non Repair'!AU103</f>
        <v>4019162</v>
      </c>
      <c r="AV176" s="19">
        <f>'B2B- Non Repair'!AV103</f>
        <v>4021321</v>
      </c>
      <c r="AW176" s="19">
        <f>'B2B- Non Repair'!AW103</f>
        <v>5235959</v>
      </c>
      <c r="AX176" s="19">
        <f>'B2B- Non Repair'!AX103</f>
        <v>10033257.133917231</v>
      </c>
      <c r="AY176" s="19">
        <f>'B2B- Non Repair'!AY103</f>
        <v>6306556</v>
      </c>
      <c r="AZ176" s="19">
        <f>'B2B- Non Repair'!AZ103</f>
        <v>2769247</v>
      </c>
      <c r="BA176" s="19">
        <f>'B2B- Non Repair'!BA103</f>
        <v>4826736</v>
      </c>
      <c r="BB176" s="19">
        <f>'B2B- Non Repair'!BB103</f>
        <v>5163711.5341815669</v>
      </c>
      <c r="BC176" s="19">
        <f>'B2B- Non Repair'!BC103</f>
        <v>8286220.4510787716</v>
      </c>
      <c r="BD176" s="19">
        <f>'B2B- Non Repair'!BD103</f>
        <v>3428299.4543616418</v>
      </c>
      <c r="BE176" s="19">
        <f>'B2B- Non Repair'!BE103</f>
        <v>3014346.2062729048</v>
      </c>
      <c r="BF176" s="19">
        <f>'B2B- Non Repair'!BF103</f>
        <v>2101110.7453082642</v>
      </c>
      <c r="BG176" s="19">
        <f>'B2B- Non Repair'!BG103</f>
        <v>2744914.1078894567</v>
      </c>
      <c r="BH176" s="19">
        <f>'B2B- Non Repair'!BH103</f>
        <v>4791988.6777349534</v>
      </c>
      <c r="BI176" s="19">
        <f>'B2B- Non Repair'!BI103</f>
        <v>4247115.6451519579</v>
      </c>
      <c r="BJ176" s="19">
        <f>'B2B- Non Repair'!BJ103</f>
        <v>3011019.5638672593</v>
      </c>
      <c r="BK176" s="19">
        <f>'B2B- Non Repair'!BK103</f>
        <v>0</v>
      </c>
      <c r="BL176" s="19">
        <f>'B2B- Non Repair'!BL103</f>
        <v>0</v>
      </c>
      <c r="BM176" s="19">
        <f>'B2B- Non Repair'!BM103</f>
        <v>0</v>
      </c>
      <c r="BN176" s="19">
        <f>'B2B- Non Repair'!BN103</f>
        <v>0</v>
      </c>
      <c r="BO176" s="19">
        <f>'B2B- Non Repair'!BO103</f>
        <v>0</v>
      </c>
      <c r="BP176" s="19">
        <f>'B2B- Non Repair'!BP103</f>
        <v>0</v>
      </c>
      <c r="BQ176" s="19">
        <f>'B2B- Non Repair'!BQ103</f>
        <v>0</v>
      </c>
      <c r="BR176" s="19">
        <f>'B2B- Non Repair'!BR103</f>
        <v>0</v>
      </c>
      <c r="BS176" s="19">
        <f>'B2B- Non Repair'!BS103</f>
        <v>0</v>
      </c>
      <c r="BT176" s="19">
        <f>'B2B- Non Repair'!BT103</f>
        <v>0</v>
      </c>
      <c r="BU176" s="19">
        <f>'B2B- Non Repair'!BU103</f>
        <v>0</v>
      </c>
      <c r="BV176" s="19">
        <f>'B2B- Non Repair'!BV103</f>
        <v>0</v>
      </c>
      <c r="BW176" s="19">
        <f>'B2B- Non Repair'!BW103</f>
        <v>0</v>
      </c>
      <c r="BX176" s="19">
        <f>'B2B- Non Repair'!BX103</f>
        <v>0</v>
      </c>
      <c r="BY176" s="19">
        <f>'B2B- Non Repair'!BY103</f>
        <v>0</v>
      </c>
      <c r="BZ176" s="19">
        <f>'B2B- Non Repair'!BZ103</f>
        <v>0</v>
      </c>
      <c r="CA176" s="19">
        <f>'B2B- Non Repair'!CA103</f>
        <v>0</v>
      </c>
      <c r="CB176" s="19">
        <f>'B2B- Non Repair'!CB103</f>
        <v>0</v>
      </c>
      <c r="CC176" s="19">
        <f>'B2B- Non Repair'!CC103</f>
        <v>0</v>
      </c>
      <c r="CD176" s="19">
        <f>'B2B- Non Repair'!CD103</f>
        <v>0</v>
      </c>
      <c r="CE176" s="19">
        <f>'B2B- Non Repair'!CE103</f>
        <v>0</v>
      </c>
      <c r="CF176" s="19">
        <f>'B2B- Non Repair'!CF103</f>
        <v>0</v>
      </c>
      <c r="CG176" s="19">
        <f>'B2B- Non Repair'!CG103</f>
        <v>0</v>
      </c>
      <c r="CH176" s="19">
        <f>'B2B- Non Repair'!CH103</f>
        <v>0</v>
      </c>
      <c r="CI176" s="19">
        <f>'B2B- Non Repair'!CI103</f>
        <v>0</v>
      </c>
      <c r="CJ176" s="19">
        <f>'B2B- Non Repair'!CJ103</f>
        <v>0</v>
      </c>
      <c r="CK176" s="19">
        <f>'B2B- Non Repair'!CK103</f>
        <v>0</v>
      </c>
      <c r="CL176" s="19">
        <f>'B2B- Non Repair'!CL103</f>
        <v>0</v>
      </c>
      <c r="CM176" s="19">
        <f>'B2B- Non Repair'!CM103</f>
        <v>0</v>
      </c>
      <c r="CN176" s="19">
        <f>'B2B- Non Repair'!CN103</f>
        <v>0</v>
      </c>
      <c r="CO176" s="19">
        <f>'B2B- Non Repair'!CO103</f>
        <v>0</v>
      </c>
      <c r="CP176" s="19">
        <f>'B2B- Non Repair'!CP103</f>
        <v>0</v>
      </c>
      <c r="CQ176" s="19">
        <f>'B2B- Non Repair'!CQ103</f>
        <v>0</v>
      </c>
      <c r="CR176" s="19">
        <f>'B2B- Non Repair'!CR103</f>
        <v>0</v>
      </c>
      <c r="CS176" s="19">
        <f>'B2B- Non Repair'!CS103</f>
        <v>0</v>
      </c>
      <c r="CT176" s="19">
        <f>'B2B- Non Repair'!CT103</f>
        <v>0</v>
      </c>
      <c r="CU176" s="19">
        <f>'B2B- Non Repair'!CU103</f>
        <v>0</v>
      </c>
      <c r="CV176" s="19">
        <f>'B2B- Non Repair'!CV103</f>
        <v>0</v>
      </c>
      <c r="CW176" s="19">
        <f>'B2B- Non Repair'!CW103</f>
        <v>0</v>
      </c>
      <c r="CX176" s="19">
        <f>'B2B- Non Repair'!CX103</f>
        <v>0</v>
      </c>
      <c r="CY176" s="19">
        <f>'B2B- Non Repair'!CY103</f>
        <v>0</v>
      </c>
      <c r="CZ176" s="19">
        <f>'B2B- Non Repair'!CZ103</f>
        <v>0</v>
      </c>
      <c r="DA176" s="19">
        <f>'B2B- Non Repair'!DA103</f>
        <v>0</v>
      </c>
      <c r="DB176" s="19">
        <f>'B2B- Non Repair'!DB103</f>
        <v>0</v>
      </c>
      <c r="DC176" s="19">
        <f>'B2B- Non Repair'!DC103</f>
        <v>0</v>
      </c>
      <c r="DD176" s="19">
        <f>'B2B- Non Repair'!DD103</f>
        <v>0</v>
      </c>
      <c r="DE176" s="19">
        <f>'B2B- Non Repair'!DE103</f>
        <v>0</v>
      </c>
      <c r="DF176" s="19">
        <f>'B2B- Non Repair'!DF103</f>
        <v>0</v>
      </c>
      <c r="DG176" s="19">
        <f>'B2B- Non Repair'!DG103</f>
        <v>0</v>
      </c>
      <c r="DH176" s="19">
        <f>'B2B- Non Repair'!DH103</f>
        <v>0</v>
      </c>
      <c r="DI176" s="19">
        <f>'B2B- Non Repair'!DI103</f>
        <v>0</v>
      </c>
      <c r="DJ176" s="19">
        <f>'B2B- Non Repair'!DJ103</f>
        <v>0</v>
      </c>
      <c r="DK176" s="19">
        <f>'B2B- Non Repair'!DK103</f>
        <v>0</v>
      </c>
      <c r="DL176" s="19">
        <f>'B2B- Non Repair'!DL103</f>
        <v>0</v>
      </c>
      <c r="DM176" s="19">
        <f>'B2B- Non Repair'!DM103</f>
        <v>0</v>
      </c>
      <c r="DN176" s="19">
        <f>'B2B- Non Repair'!DN103</f>
        <v>0</v>
      </c>
      <c r="DO176" s="19">
        <f>'B2B- Non Repair'!DO103</f>
        <v>0</v>
      </c>
      <c r="DP176" s="19">
        <f>'B2B- Non Repair'!DP103</f>
        <v>0</v>
      </c>
      <c r="DQ176" s="19">
        <f>'B2B- Non Repair'!DQ103</f>
        <v>0</v>
      </c>
      <c r="DR176" s="19">
        <f>'B2B- Non Repair'!DR103</f>
        <v>0</v>
      </c>
      <c r="DS176" s="19">
        <f>'B2B- Non Repair'!DS103</f>
        <v>0</v>
      </c>
      <c r="DT176" s="19">
        <f>'B2B- Non Repair'!DT103</f>
        <v>0</v>
      </c>
      <c r="DU176" s="19">
        <f>'B2B- Non Repair'!DU103</f>
        <v>0</v>
      </c>
      <c r="DV176" s="19">
        <f>'B2B- Non Repair'!DV103</f>
        <v>0</v>
      </c>
      <c r="DW176" s="19">
        <f>'B2B- Non Repair'!DW103</f>
        <v>0</v>
      </c>
      <c r="DX176" s="19">
        <f>'B2B- Non Repair'!DX103</f>
        <v>0</v>
      </c>
      <c r="DY176" s="19">
        <f>'B2B- Non Repair'!DY103</f>
        <v>0</v>
      </c>
      <c r="DZ176" s="19">
        <f>'B2B- Non Repair'!DZ103</f>
        <v>0</v>
      </c>
      <c r="EA176" s="19">
        <f>'B2B- Non Repair'!EA103</f>
        <v>0</v>
      </c>
      <c r="EB176" s="19">
        <f>'B2B- Non Repair'!EB103</f>
        <v>0</v>
      </c>
      <c r="EC176" s="19">
        <f>'B2B- Non Repair'!EC103</f>
        <v>0</v>
      </c>
      <c r="ED176" s="19">
        <f>'B2B- Non Repair'!ED103</f>
        <v>0</v>
      </c>
      <c r="EE176" s="222"/>
      <c r="EF176" s="19">
        <f t="shared" si="693"/>
        <v>0</v>
      </c>
      <c r="EG176" s="19">
        <f t="shared" si="694"/>
        <v>0</v>
      </c>
      <c r="EH176" s="19">
        <f t="shared" si="695"/>
        <v>0</v>
      </c>
      <c r="EI176" s="19">
        <f t="shared" si="696"/>
        <v>0</v>
      </c>
      <c r="EJ176" s="19">
        <f t="shared" si="697"/>
        <v>0</v>
      </c>
      <c r="EK176" s="19">
        <f t="shared" si="698"/>
        <v>0</v>
      </c>
      <c r="EL176" s="19">
        <f t="shared" si="699"/>
        <v>0</v>
      </c>
      <c r="EM176" s="19">
        <f t="shared" si="700"/>
        <v>0</v>
      </c>
      <c r="EN176" s="19">
        <f t="shared" si="701"/>
        <v>0</v>
      </c>
      <c r="EO176" s="19">
        <f t="shared" si="702"/>
        <v>0</v>
      </c>
      <c r="EP176" s="19">
        <f t="shared" si="703"/>
        <v>0</v>
      </c>
      <c r="EQ176" s="19">
        <f t="shared" si="704"/>
        <v>0</v>
      </c>
      <c r="ER176" s="19">
        <f t="shared" si="705"/>
        <v>0</v>
      </c>
      <c r="ES176" s="19">
        <f t="shared" si="706"/>
        <v>0</v>
      </c>
      <c r="ET176" s="19">
        <f t="shared" si="707"/>
        <v>0</v>
      </c>
      <c r="EU176" s="19">
        <f t="shared" si="708"/>
        <v>0</v>
      </c>
      <c r="EV176" s="19">
        <f t="shared" si="709"/>
        <v>0</v>
      </c>
      <c r="EW176" s="19">
        <f t="shared" si="710"/>
        <v>0</v>
      </c>
      <c r="EX176" s="19">
        <f t="shared" si="711"/>
        <v>0</v>
      </c>
      <c r="EY176" s="19">
        <f t="shared" si="712"/>
        <v>0</v>
      </c>
      <c r="EZ176" s="19">
        <f t="shared" si="713"/>
        <v>0</v>
      </c>
      <c r="FA176" s="19">
        <f t="shared" si="714"/>
        <v>0</v>
      </c>
      <c r="FB176" s="19">
        <f t="shared" si="715"/>
        <v>0</v>
      </c>
      <c r="FC176" s="19">
        <f t="shared" si="716"/>
        <v>0</v>
      </c>
      <c r="FE176" s="19">
        <f t="shared" si="717"/>
        <v>0</v>
      </c>
      <c r="FF176" s="19">
        <f t="shared" si="718"/>
        <v>0</v>
      </c>
      <c r="FG176" s="19">
        <f t="shared" si="719"/>
        <v>0</v>
      </c>
      <c r="FH176" s="19">
        <f t="shared" si="720"/>
        <v>0</v>
      </c>
      <c r="FI176" s="19">
        <f t="shared" si="721"/>
        <v>0</v>
      </c>
      <c r="FJ176" s="770">
        <f t="shared" si="537"/>
        <v>0</v>
      </c>
      <c r="FK176" s="545" t="s">
        <v>1</v>
      </c>
    </row>
    <row r="177" spans="2:167" x14ac:dyDescent="0.2">
      <c r="B177" s="225" t="s">
        <v>139</v>
      </c>
      <c r="C177" s="19">
        <f>Refurbished!C117</f>
        <v>16000</v>
      </c>
      <c r="D177" s="19">
        <f>Refurbished!D117</f>
        <v>27850</v>
      </c>
      <c r="E177" s="19">
        <f>Refurbished!E117</f>
        <v>32350</v>
      </c>
      <c r="F177" s="19">
        <f>Refurbished!F117</f>
        <v>81736</v>
      </c>
      <c r="G177" s="19">
        <f>Refurbished!G117</f>
        <v>79559</v>
      </c>
      <c r="H177" s="19">
        <f>Refurbished!H117</f>
        <v>43179</v>
      </c>
      <c r="I177" s="19">
        <f>Refurbished!I117</f>
        <v>53950</v>
      </c>
      <c r="J177" s="19">
        <f>Refurbished!J117</f>
        <v>34759</v>
      </c>
      <c r="K177" s="19">
        <f>Refurbished!K117</f>
        <v>147846</v>
      </c>
      <c r="L177" s="19">
        <f>Refurbished!L117</f>
        <v>157467</v>
      </c>
      <c r="M177" s="19">
        <f>Refurbished!M117</f>
        <v>142780</v>
      </c>
      <c r="N177" s="19">
        <f>Refurbished!N117</f>
        <v>131260</v>
      </c>
      <c r="O177" s="19">
        <f>Refurbished!O117</f>
        <v>327024</v>
      </c>
      <c r="P177" s="19">
        <f>Refurbished!P117</f>
        <v>427709</v>
      </c>
      <c r="Q177" s="19">
        <f>Refurbished!Q117</f>
        <v>724040</v>
      </c>
      <c r="R177" s="19">
        <f>Refurbished!R117</f>
        <v>636695</v>
      </c>
      <c r="S177" s="19">
        <f>Refurbished!S117</f>
        <v>167829</v>
      </c>
      <c r="T177" s="19">
        <f>Refurbished!T117</f>
        <v>132782</v>
      </c>
      <c r="U177" s="19">
        <f>Refurbished!U117</f>
        <v>142074</v>
      </c>
      <c r="V177" s="19">
        <f>Refurbished!V117</f>
        <v>44815</v>
      </c>
      <c r="W177" s="19">
        <f>Refurbished!W117</f>
        <v>67514</v>
      </c>
      <c r="X177" s="19">
        <f>Refurbished!X117</f>
        <v>70999</v>
      </c>
      <c r="Y177" s="19">
        <f>Refurbished!Y117</f>
        <v>93327</v>
      </c>
      <c r="Z177" s="19">
        <f>Refurbished!Z117</f>
        <v>76730</v>
      </c>
      <c r="AA177" s="19">
        <f>Refurbished!AA117</f>
        <v>12330.382593950897</v>
      </c>
      <c r="AB177" s="19">
        <f>Refurbished!AB117</f>
        <v>14790</v>
      </c>
      <c r="AC177" s="19">
        <f>Refurbished!AC117</f>
        <v>27177</v>
      </c>
      <c r="AD177" s="19">
        <f>Refurbished!AD117</f>
        <v>76423.608374941832</v>
      </c>
      <c r="AE177" s="19">
        <f>Refurbished!AE117</f>
        <v>140979</v>
      </c>
      <c r="AF177" s="19">
        <f>Refurbished!AF117</f>
        <v>188911</v>
      </c>
      <c r="AG177" s="19">
        <f>Refurbished!AG117</f>
        <v>230617</v>
      </c>
      <c r="AH177" s="19">
        <f>Refurbished!AH117</f>
        <v>147254</v>
      </c>
      <c r="AI177" s="19">
        <f>Refurbished!AI117</f>
        <v>241105.00000000003</v>
      </c>
      <c r="AJ177" s="19">
        <f>Refurbished!AJ117</f>
        <v>270533</v>
      </c>
      <c r="AK177" s="19">
        <f>Refurbished!AK117</f>
        <v>178049.99999999997</v>
      </c>
      <c r="AL177" s="19">
        <f>Refurbished!AL117</f>
        <v>325396</v>
      </c>
      <c r="AM177" s="19">
        <f>Refurbished!AM117</f>
        <v>115942</v>
      </c>
      <c r="AN177" s="19">
        <f>Refurbished!AN117</f>
        <v>6229.871227364185</v>
      </c>
      <c r="AO177" s="19">
        <f>Refurbished!AO117</f>
        <v>75853</v>
      </c>
      <c r="AP177" s="19">
        <f>Refurbished!AP117</f>
        <v>191391.1478637527</v>
      </c>
      <c r="AQ177" s="19">
        <f>Refurbished!AQ117</f>
        <v>510923.56962025317</v>
      </c>
      <c r="AR177" s="19">
        <f>Refurbished!AR117</f>
        <v>907526.05795572652</v>
      </c>
      <c r="AS177" s="19">
        <f>Refurbished!AS117</f>
        <v>1749330.0000000002</v>
      </c>
      <c r="AT177" s="19">
        <f>Refurbished!AT117</f>
        <v>1641200.9999999998</v>
      </c>
      <c r="AU177" s="19">
        <f>Refurbished!AU117</f>
        <v>1136771</v>
      </c>
      <c r="AV177" s="19">
        <f>Refurbished!AV117</f>
        <v>1702567</v>
      </c>
      <c r="AW177" s="19">
        <f>Refurbished!AW117</f>
        <v>1954792</v>
      </c>
      <c r="AX177" s="19">
        <f>Refurbished!AX117</f>
        <v>4863668.4473196501</v>
      </c>
      <c r="AY177" s="19">
        <f>Refurbished!AY117</f>
        <v>2372791</v>
      </c>
      <c r="AZ177" s="19">
        <f>Refurbished!AZ117</f>
        <v>1984674.822238785</v>
      </c>
      <c r="BA177" s="19">
        <f>Refurbished!BA117</f>
        <v>2638493.68836697</v>
      </c>
      <c r="BB177" s="19">
        <f>Refurbished!BB117</f>
        <v>4478959.1823834386</v>
      </c>
      <c r="BC177" s="19">
        <f>Refurbished!BC117</f>
        <v>5973800.6864491208</v>
      </c>
      <c r="BD177" s="19">
        <f>Refurbished!BD117</f>
        <v>4413713.7084252443</v>
      </c>
      <c r="BE177" s="19">
        <f>Refurbished!BE117</f>
        <v>4078539.6943049291</v>
      </c>
      <c r="BF177" s="19">
        <f>Refurbished!BF117</f>
        <v>1539478.5283743916</v>
      </c>
      <c r="BG177" s="19">
        <f>Refurbished!BG117</f>
        <v>759602.93847623933</v>
      </c>
      <c r="BH177" s="19">
        <f>Refurbished!BH117</f>
        <v>1787728.2288776296</v>
      </c>
      <c r="BI177" s="19">
        <f>Refurbished!BI117</f>
        <v>2479501.074067005</v>
      </c>
      <c r="BJ177" s="19">
        <f>Refurbished!BJ117</f>
        <v>3899022.1274900245</v>
      </c>
      <c r="BK177" s="19">
        <f>Refurbished!BK117</f>
        <v>3858697</v>
      </c>
      <c r="BL177" s="19">
        <f>Refurbished!BL117</f>
        <v>5295267</v>
      </c>
      <c r="BM177" s="19">
        <f>Refurbished!BM117</f>
        <v>5368932</v>
      </c>
      <c r="BN177" s="19">
        <f>Refurbished!BN117</f>
        <v>6488294</v>
      </c>
      <c r="BO177" s="19">
        <f>Refurbished!BO117</f>
        <v>6465330</v>
      </c>
      <c r="BP177" s="19">
        <f>Refurbished!BP117</f>
        <v>7027515</v>
      </c>
      <c r="BQ177" s="19">
        <f>Refurbished!BQ117</f>
        <v>12745910</v>
      </c>
      <c r="BR177" s="19">
        <f>Refurbished!BR117</f>
        <v>10055584</v>
      </c>
      <c r="BS177" s="19">
        <f>Refurbished!BS117</f>
        <v>7933364</v>
      </c>
      <c r="BT177" s="19">
        <f>Refurbished!BT117</f>
        <v>7501110</v>
      </c>
      <c r="BU177" s="19">
        <f>Refurbished!BU117</f>
        <v>6698996</v>
      </c>
      <c r="BV177" s="19">
        <f>Refurbished!BV117</f>
        <v>9967858</v>
      </c>
      <c r="BW177" s="19">
        <f>Refurbished!BW117</f>
        <v>8592017</v>
      </c>
      <c r="BX177" s="19">
        <f>Refurbished!BX117</f>
        <v>9992560</v>
      </c>
      <c r="BY177" s="19">
        <f>Refurbished!BY117</f>
        <v>8031862</v>
      </c>
      <c r="BZ177" s="19">
        <f>Refurbished!BZ117</f>
        <v>8834028</v>
      </c>
      <c r="CA177" s="19">
        <f>Refurbished!CA117</f>
        <v>6298726</v>
      </c>
      <c r="CB177" s="19">
        <f>Refurbished!CB117</f>
        <v>3441300</v>
      </c>
      <c r="CC177" s="19">
        <f>Refurbished!CC117</f>
        <v>4868965</v>
      </c>
      <c r="CD177" s="19">
        <f>Refurbished!CD117</f>
        <v>7250147</v>
      </c>
      <c r="CE177" s="19">
        <f>Refurbished!CE117</f>
        <v>10505819</v>
      </c>
      <c r="CF177" s="19">
        <f>Refurbished!CF117</f>
        <v>10668875.289999999</v>
      </c>
      <c r="CG177" s="19">
        <f>Refurbished!CG117</f>
        <v>10066236</v>
      </c>
      <c r="CH177" s="19">
        <f>Refurbished!CH117</f>
        <v>8953663</v>
      </c>
      <c r="CI177" s="19">
        <f>Refurbished!CI117</f>
        <v>8771757</v>
      </c>
      <c r="CJ177" s="19">
        <f>Refurbished!CJ117</f>
        <v>8342037</v>
      </c>
      <c r="CK177" s="19">
        <f>Refurbished!CK117</f>
        <v>9171252</v>
      </c>
      <c r="CL177" s="19">
        <f>Refurbished!CL117</f>
        <v>9682011</v>
      </c>
      <c r="CM177" s="19">
        <f>Refurbished!CM117</f>
        <v>9122112</v>
      </c>
      <c r="CN177" s="19">
        <f>Refurbished!CN117</f>
        <v>6143302</v>
      </c>
      <c r="CO177" s="19">
        <f>Refurbished!CO117</f>
        <v>5689502</v>
      </c>
      <c r="CP177" s="19">
        <f>Refurbished!CP117</f>
        <v>7284183</v>
      </c>
      <c r="CQ177" s="19">
        <f>Refurbished!CQ117</f>
        <v>8342376.25</v>
      </c>
      <c r="CR177" s="19">
        <f>Refurbished!CR117</f>
        <v>8905449</v>
      </c>
      <c r="CS177" s="19">
        <f>Refurbished!CS117</f>
        <v>8065531</v>
      </c>
      <c r="CT177" s="19">
        <f>Refurbished!CT117</f>
        <v>9562209</v>
      </c>
      <c r="CU177" s="19">
        <f>Refurbished!CU117</f>
        <v>9317598.8569989335</v>
      </c>
      <c r="CV177" s="19">
        <f>Refurbished!CV117</f>
        <v>9292204.8713118732</v>
      </c>
      <c r="CW177" s="19">
        <f>Refurbished!CW117</f>
        <v>9289700.3785396367</v>
      </c>
      <c r="CX177" s="19">
        <f>Refurbished!CX117</f>
        <v>9389055.4172030296</v>
      </c>
      <c r="CY177" s="19">
        <f>Refurbished!CY117</f>
        <v>9250715.7645601872</v>
      </c>
      <c r="CZ177" s="19">
        <f>Refurbished!CZ117</f>
        <v>9167881.5799783207</v>
      </c>
      <c r="DA177" s="19">
        <f>Refurbished!DA117</f>
        <v>9839294.9946736787</v>
      </c>
      <c r="DB177" s="19">
        <f>Refurbished!DB117</f>
        <v>9733024.1567698233</v>
      </c>
      <c r="DC177" s="19">
        <f>Refurbished!DC117</f>
        <v>9967735.2004024349</v>
      </c>
      <c r="DD177" s="19">
        <f>Refurbished!DD117</f>
        <v>10003903.927163925</v>
      </c>
      <c r="DE177" s="19">
        <f>Refurbished!DE117</f>
        <v>9898143.3486000728</v>
      </c>
      <c r="DF177" s="19">
        <f>Refurbished!DF117</f>
        <v>10127183.794597164</v>
      </c>
      <c r="DG177" s="19">
        <f>Refurbished!DG117</f>
        <v>9995577.450832298</v>
      </c>
      <c r="DH177" s="19">
        <f>Refurbished!DH117</f>
        <v>9968203.2472953927</v>
      </c>
      <c r="DI177" s="19">
        <f>Refurbished!DI117</f>
        <v>9957487.9431035854</v>
      </c>
      <c r="DJ177" s="19">
        <f>Refurbished!DJ117</f>
        <v>10077845.254368715</v>
      </c>
      <c r="DK177" s="19">
        <f>Refurbished!DK117</f>
        <v>9906133.4260385428</v>
      </c>
      <c r="DL177" s="19">
        <f>Refurbished!DL117</f>
        <v>9802181.9968106169</v>
      </c>
      <c r="DM177" s="19">
        <f>Refurbished!DM117</f>
        <v>10545892.556080157</v>
      </c>
      <c r="DN177" s="19">
        <f>Refurbished!DN117</f>
        <v>10409374.291806256</v>
      </c>
      <c r="DO177" s="19">
        <f>Refurbished!DO117</f>
        <v>10685989.480818449</v>
      </c>
      <c r="DP177" s="19">
        <f>Refurbished!DP117</f>
        <v>10721899.724531401</v>
      </c>
      <c r="DQ177" s="19">
        <f>Refurbished!DQ117</f>
        <v>10587214.016237929</v>
      </c>
      <c r="DR177" s="19">
        <f>Refurbished!DR117</f>
        <v>10838462.352760144</v>
      </c>
      <c r="DS177" s="19">
        <f>Refurbished!DS117</f>
        <v>10629516.90731968</v>
      </c>
      <c r="DT177" s="19">
        <f>Refurbished!DT117</f>
        <v>10596648.437949147</v>
      </c>
      <c r="DU177" s="19">
        <f>Refurbished!DU117</f>
        <v>10583386.682216208</v>
      </c>
      <c r="DV177" s="19">
        <f>Refurbished!DV117</f>
        <v>10719703.926913232</v>
      </c>
      <c r="DW177" s="19">
        <f>Refurbished!DW117</f>
        <v>10522349.932312844</v>
      </c>
      <c r="DX177" s="19">
        <f>Refurbished!DX117</f>
        <v>10402108.750899971</v>
      </c>
      <c r="DY177" s="19">
        <f>Refurbished!DY117</f>
        <v>11210779.713928463</v>
      </c>
      <c r="DZ177" s="19">
        <f>Refurbished!DZ117</f>
        <v>11054406.801991034</v>
      </c>
      <c r="EA177" s="19">
        <f>Refurbished!EA117</f>
        <v>11368582.536324795</v>
      </c>
      <c r="EB177" s="19">
        <f>Refurbished!EB117</f>
        <v>11408864.915019507</v>
      </c>
      <c r="EC177" s="19">
        <f>Refurbished!EC117</f>
        <v>11254661.618192421</v>
      </c>
      <c r="ED177" s="19">
        <f>Refurbished!ED117</f>
        <v>11539641.038667969</v>
      </c>
      <c r="EE177" s="222"/>
      <c r="EF177" s="19">
        <f t="shared" si="693"/>
        <v>14522896</v>
      </c>
      <c r="EG177" s="19">
        <f t="shared" si="694"/>
        <v>19981139</v>
      </c>
      <c r="EH177" s="19">
        <f t="shared" si="695"/>
        <v>30734858</v>
      </c>
      <c r="EI177" s="19">
        <f t="shared" si="696"/>
        <v>24167964</v>
      </c>
      <c r="EJ177" s="19">
        <f t="shared" si="697"/>
        <v>26616439</v>
      </c>
      <c r="EK177" s="19">
        <f t="shared" si="698"/>
        <v>18574054</v>
      </c>
      <c r="EL177" s="19">
        <f t="shared" si="699"/>
        <v>22624931</v>
      </c>
      <c r="EM177" s="19">
        <f t="shared" si="700"/>
        <v>29688774.289999999</v>
      </c>
      <c r="EN177" s="19">
        <f t="shared" si="701"/>
        <v>26285046</v>
      </c>
      <c r="EO177" s="19">
        <f t="shared" si="702"/>
        <v>24947425</v>
      </c>
      <c r="EP177" s="19">
        <f t="shared" si="703"/>
        <v>21316061.25</v>
      </c>
      <c r="EQ177" s="19">
        <f t="shared" si="704"/>
        <v>26533189</v>
      </c>
      <c r="ER177" s="19">
        <f t="shared" si="705"/>
        <v>27899504.106850445</v>
      </c>
      <c r="ES177" s="19">
        <f t="shared" si="706"/>
        <v>27807652.761741538</v>
      </c>
      <c r="ET177" s="19">
        <f t="shared" si="707"/>
        <v>29540054.351845939</v>
      </c>
      <c r="EU177" s="19">
        <f t="shared" si="708"/>
        <v>30029231.07036116</v>
      </c>
      <c r="EV177" s="19">
        <f t="shared" si="709"/>
        <v>29921268.641231276</v>
      </c>
      <c r="EW177" s="19">
        <f t="shared" si="710"/>
        <v>29786160.677217871</v>
      </c>
      <c r="EX177" s="19">
        <f t="shared" si="711"/>
        <v>31641256.328704864</v>
      </c>
      <c r="EY177" s="19">
        <f t="shared" si="712"/>
        <v>32147576.093529474</v>
      </c>
      <c r="EZ177" s="19">
        <f t="shared" si="713"/>
        <v>31809552.027485035</v>
      </c>
      <c r="FA177" s="19">
        <f t="shared" si="714"/>
        <v>31644162.610126048</v>
      </c>
      <c r="FB177" s="19">
        <f t="shared" si="715"/>
        <v>33633769.052244291</v>
      </c>
      <c r="FC177" s="19">
        <f t="shared" si="716"/>
        <v>34203167.571879894</v>
      </c>
      <c r="FE177" s="19">
        <f t="shared" si="717"/>
        <v>89406857</v>
      </c>
      <c r="FF177" s="19">
        <f t="shared" si="718"/>
        <v>97504198.289999992</v>
      </c>
      <c r="FG177" s="19">
        <f t="shared" si="719"/>
        <v>99081721.25</v>
      </c>
      <c r="FH177" s="19">
        <f t="shared" si="720"/>
        <v>115276442.29079908</v>
      </c>
      <c r="FI177" s="19">
        <f t="shared" si="721"/>
        <v>123496261.74068348</v>
      </c>
      <c r="FJ177" s="770">
        <f t="shared" si="537"/>
        <v>131290651.26173526</v>
      </c>
      <c r="FK177" s="545" t="s">
        <v>1</v>
      </c>
    </row>
    <row r="178" spans="2:167" x14ac:dyDescent="0.2">
      <c r="B178" s="225" t="s">
        <v>309</v>
      </c>
      <c r="C178" s="19">
        <f>Marketplace!C36</f>
        <v>0</v>
      </c>
      <c r="D178" s="19">
        <f>Marketplace!D36</f>
        <v>0</v>
      </c>
      <c r="E178" s="19">
        <f>Marketplace!E36</f>
        <v>0</v>
      </c>
      <c r="F178" s="19">
        <f>Marketplace!F36</f>
        <v>0</v>
      </c>
      <c r="G178" s="19">
        <f>Marketplace!G36</f>
        <v>0</v>
      </c>
      <c r="H178" s="19">
        <f>Marketplace!H36</f>
        <v>0</v>
      </c>
      <c r="I178" s="19">
        <f>Marketplace!I36</f>
        <v>0</v>
      </c>
      <c r="J178" s="19">
        <f>Marketplace!J36</f>
        <v>0</v>
      </c>
      <c r="K178" s="19">
        <f>Marketplace!K36</f>
        <v>2937359</v>
      </c>
      <c r="L178" s="19">
        <f>Marketplace!L36</f>
        <v>1561606</v>
      </c>
      <c r="M178" s="19">
        <f>Marketplace!M36</f>
        <v>665531</v>
      </c>
      <c r="N178" s="19">
        <f>Marketplace!N36</f>
        <v>438148</v>
      </c>
      <c r="O178" s="19">
        <f>Marketplace!O36</f>
        <v>901275</v>
      </c>
      <c r="P178" s="19">
        <f>Marketplace!P36</f>
        <v>932034</v>
      </c>
      <c r="Q178" s="19">
        <f>Marketplace!Q36</f>
        <v>1336239</v>
      </c>
      <c r="R178" s="19">
        <f>Marketplace!R36</f>
        <v>723203</v>
      </c>
      <c r="S178" s="19">
        <f>Marketplace!S36</f>
        <v>777287</v>
      </c>
      <c r="T178" s="19">
        <f>Marketplace!T36</f>
        <v>600584</v>
      </c>
      <c r="U178" s="19">
        <f>Marketplace!U36</f>
        <v>363742</v>
      </c>
      <c r="V178" s="19">
        <f>Marketplace!V36</f>
        <v>372005</v>
      </c>
      <c r="W178" s="19">
        <f>Marketplace!W36</f>
        <v>531131</v>
      </c>
      <c r="X178" s="19">
        <f>Marketplace!X36</f>
        <v>571120</v>
      </c>
      <c r="Y178" s="19">
        <f>Marketplace!Y36</f>
        <v>662511</v>
      </c>
      <c r="Z178" s="19">
        <f>Marketplace!Z36</f>
        <v>469347</v>
      </c>
      <c r="AA178" s="19">
        <f>Marketplace!AA36</f>
        <v>75423.277457618547</v>
      </c>
      <c r="AB178" s="19">
        <f>Marketplace!AB36</f>
        <v>379655</v>
      </c>
      <c r="AC178" s="19">
        <f>Marketplace!AC36</f>
        <v>1038700</v>
      </c>
      <c r="AD178" s="19">
        <f>Marketplace!AD36</f>
        <v>1514272</v>
      </c>
      <c r="AE178" s="19">
        <f>Marketplace!AE36</f>
        <v>2322109</v>
      </c>
      <c r="AF178" s="19">
        <f>Marketplace!AF36</f>
        <v>2565957</v>
      </c>
      <c r="AG178" s="19">
        <f>Marketplace!AG36</f>
        <v>1598116</v>
      </c>
      <c r="AH178" s="19">
        <f>Marketplace!AH36</f>
        <v>968352</v>
      </c>
      <c r="AI178" s="19">
        <f>Marketplace!AI36</f>
        <v>1799730</v>
      </c>
      <c r="AJ178" s="19">
        <f>Marketplace!AJ36</f>
        <v>1574041</v>
      </c>
      <c r="AK178" s="19">
        <f>Marketplace!AK36</f>
        <v>1607920</v>
      </c>
      <c r="AL178" s="19">
        <f>Marketplace!AL36</f>
        <v>3160894</v>
      </c>
      <c r="AM178" s="19">
        <f>Marketplace!AM36</f>
        <v>1710288</v>
      </c>
      <c r="AN178" s="19">
        <f>Marketplace!AN36</f>
        <v>629793</v>
      </c>
      <c r="AO178" s="19">
        <f>Marketplace!AO36</f>
        <v>2981636</v>
      </c>
      <c r="AP178" s="19">
        <f>Marketplace!AP36</f>
        <v>5175228</v>
      </c>
      <c r="AQ178" s="19">
        <f>Marketplace!AQ36</f>
        <v>5264570</v>
      </c>
      <c r="AR178" s="19">
        <f>Marketplace!AR36</f>
        <v>4989792.4245332303</v>
      </c>
      <c r="AS178" s="19">
        <f>Marketplace!AS36</f>
        <v>4772902</v>
      </c>
      <c r="AT178" s="19">
        <f>Marketplace!AT36</f>
        <v>3545757</v>
      </c>
      <c r="AU178" s="19">
        <f>Marketplace!AU36</f>
        <v>6397231</v>
      </c>
      <c r="AV178" s="19">
        <f>Marketplace!AV36</f>
        <v>6633389</v>
      </c>
      <c r="AW178" s="19">
        <f>Marketplace!AW36</f>
        <v>6557030</v>
      </c>
      <c r="AX178" s="19">
        <f>Marketplace!AX36</f>
        <v>6927830.4187631197</v>
      </c>
      <c r="AY178" s="19">
        <f>Marketplace!AY36</f>
        <v>5423156</v>
      </c>
      <c r="AZ178" s="19">
        <f>Marketplace!AZ36</f>
        <v>3541740</v>
      </c>
      <c r="BA178" s="19">
        <f>Marketplace!BA36</f>
        <v>7227290</v>
      </c>
      <c r="BB178" s="19">
        <f>Marketplace!BB36</f>
        <v>9344516.0597312786</v>
      </c>
      <c r="BC178" s="19">
        <f>Marketplace!BC36</f>
        <v>9763033.8624721076</v>
      </c>
      <c r="BD178" s="19">
        <f>Marketplace!BD36</f>
        <v>4674126.8372131148</v>
      </c>
      <c r="BE178" s="19">
        <f>Marketplace!BE36</f>
        <v>5173633.0994221661</v>
      </c>
      <c r="BF178" s="19">
        <f>Marketplace!BF36</f>
        <v>7140517.7263173442</v>
      </c>
      <c r="BG178" s="19">
        <f>Marketplace!BG36</f>
        <v>14462787.953634305</v>
      </c>
      <c r="BH178" s="19">
        <f>Marketplace!BH36</f>
        <v>20036816.093387417</v>
      </c>
      <c r="BI178" s="19">
        <f>Marketplace!BI36</f>
        <v>20924894.280781038</v>
      </c>
      <c r="BJ178" s="19">
        <f>Marketplace!BJ36</f>
        <v>13884478.308642717</v>
      </c>
      <c r="BK178" s="19">
        <f>Marketplace!BK36</f>
        <v>12937443</v>
      </c>
      <c r="BL178" s="19">
        <f>Marketplace!BL36</f>
        <v>13597076</v>
      </c>
      <c r="BM178" s="19">
        <f>Marketplace!BM36</f>
        <v>14532451</v>
      </c>
      <c r="BN178" s="19">
        <f>Marketplace!BN36</f>
        <v>15367917</v>
      </c>
      <c r="BO178" s="19">
        <f>Marketplace!BO36</f>
        <v>13763336</v>
      </c>
      <c r="BP178" s="19">
        <f>Marketplace!BP36</f>
        <v>10331206.99999998</v>
      </c>
      <c r="BQ178" s="19">
        <f>Marketplace!BQ36</f>
        <v>8461729.6382600926</v>
      </c>
      <c r="BR178" s="19">
        <f>Marketplace!BR36</f>
        <v>9232237.5095498972</v>
      </c>
      <c r="BS178" s="19">
        <f>Marketplace!BS36</f>
        <v>9006076</v>
      </c>
      <c r="BT178" s="19">
        <f>Marketplace!BT36</f>
        <v>6550508</v>
      </c>
      <c r="BU178" s="19">
        <f>Marketplace!BU36</f>
        <v>8410629.0000000037</v>
      </c>
      <c r="BV178" s="19">
        <f>Marketplace!BV36</f>
        <v>8279754</v>
      </c>
      <c r="BW178" s="19">
        <f>Marketplace!BW36</f>
        <v>11255931</v>
      </c>
      <c r="BX178" s="19">
        <f>Marketplace!BX36</f>
        <v>9855388</v>
      </c>
      <c r="BY178" s="19">
        <f>Marketplace!BY36</f>
        <v>10776426</v>
      </c>
      <c r="BZ178" s="19">
        <f>Marketplace!BZ36</f>
        <v>10608737.967032965</v>
      </c>
      <c r="CA178" s="19">
        <f>Marketplace!CA36</f>
        <v>8577799.9999999963</v>
      </c>
      <c r="CB178" s="19">
        <f>Marketplace!CB36</f>
        <v>7852941.0000000037</v>
      </c>
      <c r="CC178" s="19">
        <f>Marketplace!CC36</f>
        <v>6322539</v>
      </c>
      <c r="CD178" s="19">
        <f>Marketplace!CD36</f>
        <v>7767379.7495350856</v>
      </c>
      <c r="CE178" s="19">
        <f>Marketplace!CE36</f>
        <v>8856815</v>
      </c>
      <c r="CF178" s="19">
        <f>Marketplace!CF36</f>
        <v>9407467.4942954052</v>
      </c>
      <c r="CG178" s="19">
        <f>Marketplace!CG36</f>
        <v>9977095.4013090804</v>
      </c>
      <c r="CH178" s="19">
        <f>Marketplace!CH36</f>
        <v>10286360</v>
      </c>
      <c r="CI178" s="19">
        <f>Marketplace!CI36</f>
        <v>10199469.416973887</v>
      </c>
      <c r="CJ178" s="19">
        <f>Marketplace!CJ36</f>
        <v>10169748.798407331</v>
      </c>
      <c r="CK178" s="19">
        <f>Marketplace!CK36</f>
        <v>11156010.983162329</v>
      </c>
      <c r="CL178" s="19">
        <f>Marketplace!CL36</f>
        <v>13127855.698457584</v>
      </c>
      <c r="CM178" s="19">
        <f>Marketplace!CM36</f>
        <v>12561146</v>
      </c>
      <c r="CN178" s="19">
        <f>Marketplace!CN36</f>
        <v>8305715</v>
      </c>
      <c r="CO178" s="19">
        <f>Marketplace!CO36</f>
        <v>7679908.8712087907</v>
      </c>
      <c r="CP178" s="19">
        <f>Marketplace!CP36</f>
        <v>10767176</v>
      </c>
      <c r="CQ178" s="19">
        <f>Marketplace!CQ36</f>
        <v>13360784</v>
      </c>
      <c r="CR178" s="19">
        <f>Marketplace!CR36</f>
        <v>11803044.050000001</v>
      </c>
      <c r="CS178" s="19">
        <f>Marketplace!CS36</f>
        <v>10370877.600000001</v>
      </c>
      <c r="CT178" s="19">
        <f>Marketplace!CT36</f>
        <v>10667883.170000002</v>
      </c>
      <c r="CU178" s="19">
        <f>Marketplace!CU36</f>
        <v>12268065.645500002</v>
      </c>
      <c r="CV178" s="19">
        <f>Marketplace!CV36</f>
        <v>12268065.645500002</v>
      </c>
      <c r="CW178" s="19">
        <f>Marketplace!CW36</f>
        <v>12268065.645500002</v>
      </c>
      <c r="CX178" s="19">
        <f>Marketplace!CX36</f>
        <v>12268065.645500002</v>
      </c>
      <c r="CY178" s="19">
        <f>Marketplace!CY36</f>
        <v>12268065.645500002</v>
      </c>
      <c r="CZ178" s="19">
        <f>Marketplace!CZ36</f>
        <v>12268065.645500002</v>
      </c>
      <c r="DA178" s="19">
        <f>Marketplace!DA36</f>
        <v>12268065.645500002</v>
      </c>
      <c r="DB178" s="19">
        <f>Marketplace!DB36</f>
        <v>12268065.645500002</v>
      </c>
      <c r="DC178" s="19">
        <f>Marketplace!DC36</f>
        <v>12268065.645500002</v>
      </c>
      <c r="DD178" s="19">
        <f>Marketplace!DD36</f>
        <v>12268065.645500002</v>
      </c>
      <c r="DE178" s="19">
        <f>Marketplace!DE36</f>
        <v>12268065.645500002</v>
      </c>
      <c r="DF178" s="19">
        <f>Marketplace!DF36</f>
        <v>12268065.645500002</v>
      </c>
      <c r="DG178" s="19">
        <f>Marketplace!DG36</f>
        <v>14108275.492325</v>
      </c>
      <c r="DH178" s="19">
        <f>Marketplace!DH36</f>
        <v>14108275.492325</v>
      </c>
      <c r="DI178" s="19">
        <f>Marketplace!DI36</f>
        <v>14108275.492325</v>
      </c>
      <c r="DJ178" s="19">
        <f>Marketplace!DJ36</f>
        <v>14108275.492325</v>
      </c>
      <c r="DK178" s="19">
        <f>Marketplace!DK36</f>
        <v>14108275.492325</v>
      </c>
      <c r="DL178" s="19">
        <f>Marketplace!DL36</f>
        <v>14108275.492325</v>
      </c>
      <c r="DM178" s="19">
        <f>Marketplace!DM36</f>
        <v>14108275.492325</v>
      </c>
      <c r="DN178" s="19">
        <f>Marketplace!DN36</f>
        <v>14108275.492325</v>
      </c>
      <c r="DO178" s="19">
        <f>Marketplace!DO36</f>
        <v>14108275.492325</v>
      </c>
      <c r="DP178" s="19">
        <f>Marketplace!DP36</f>
        <v>14108275.492325</v>
      </c>
      <c r="DQ178" s="19">
        <f>Marketplace!DQ36</f>
        <v>14108275.492325</v>
      </c>
      <c r="DR178" s="19">
        <f>Marketplace!DR36</f>
        <v>14108275.492325</v>
      </c>
      <c r="DS178" s="19">
        <f>Marketplace!DS36</f>
        <v>16224516.816173749</v>
      </c>
      <c r="DT178" s="19">
        <f>Marketplace!DT36</f>
        <v>16224516.816173749</v>
      </c>
      <c r="DU178" s="19">
        <f>Marketplace!DU36</f>
        <v>16224516.816173749</v>
      </c>
      <c r="DV178" s="19">
        <f>Marketplace!DV36</f>
        <v>16224516.816173749</v>
      </c>
      <c r="DW178" s="19">
        <f>Marketplace!DW36</f>
        <v>16224516.816173749</v>
      </c>
      <c r="DX178" s="19">
        <f>Marketplace!DX36</f>
        <v>16224516.816173749</v>
      </c>
      <c r="DY178" s="19">
        <f>Marketplace!DY36</f>
        <v>16224516.816173749</v>
      </c>
      <c r="DZ178" s="19">
        <f>Marketplace!DZ36</f>
        <v>16224516.816173749</v>
      </c>
      <c r="EA178" s="19">
        <f>Marketplace!EA36</f>
        <v>16224516.816173749</v>
      </c>
      <c r="EB178" s="19">
        <f>Marketplace!EB36</f>
        <v>16224516.816173749</v>
      </c>
      <c r="EC178" s="19">
        <f>Marketplace!EC36</f>
        <v>16224516.816173749</v>
      </c>
      <c r="ED178" s="19">
        <f>Marketplace!ED36</f>
        <v>16224516.816173749</v>
      </c>
      <c r="EE178" s="222"/>
      <c r="EF178" s="19">
        <f t="shared" si="693"/>
        <v>41066970</v>
      </c>
      <c r="EG178" s="19">
        <f t="shared" si="694"/>
        <v>39462459.999999978</v>
      </c>
      <c r="EH178" s="19">
        <f t="shared" si="695"/>
        <v>26700043.14780999</v>
      </c>
      <c r="EI178" s="19">
        <f t="shared" si="696"/>
        <v>23240891.000000004</v>
      </c>
      <c r="EJ178" s="19">
        <f t="shared" si="697"/>
        <v>31887745</v>
      </c>
      <c r="EK178" s="19">
        <f t="shared" si="698"/>
        <v>27039478.967032965</v>
      </c>
      <c r="EL178" s="19">
        <f t="shared" si="699"/>
        <v>22946733.749535084</v>
      </c>
      <c r="EM178" s="19">
        <f t="shared" si="700"/>
        <v>29670922.895604484</v>
      </c>
      <c r="EN178" s="19">
        <f t="shared" si="701"/>
        <v>31525229.198543549</v>
      </c>
      <c r="EO178" s="19">
        <f t="shared" si="702"/>
        <v>33994716.698457584</v>
      </c>
      <c r="EP178" s="19">
        <f t="shared" si="703"/>
        <v>31807868.871208791</v>
      </c>
      <c r="EQ178" s="19">
        <f t="shared" si="704"/>
        <v>32841804.820000004</v>
      </c>
      <c r="ER178" s="19">
        <f t="shared" si="705"/>
        <v>36804196.936500005</v>
      </c>
      <c r="ES178" s="19">
        <f t="shared" si="706"/>
        <v>36804196.936500005</v>
      </c>
      <c r="ET178" s="19">
        <f t="shared" si="707"/>
        <v>36804196.936500005</v>
      </c>
      <c r="EU178" s="19">
        <f t="shared" si="708"/>
        <v>36804196.936500005</v>
      </c>
      <c r="EV178" s="19">
        <f t="shared" si="709"/>
        <v>42324826.476975001</v>
      </c>
      <c r="EW178" s="19">
        <f t="shared" si="710"/>
        <v>42324826.476975001</v>
      </c>
      <c r="EX178" s="19">
        <f t="shared" si="711"/>
        <v>42324826.476975001</v>
      </c>
      <c r="EY178" s="19">
        <f t="shared" si="712"/>
        <v>42324826.476975001</v>
      </c>
      <c r="EZ178" s="19">
        <f t="shared" si="713"/>
        <v>48673550.448521249</v>
      </c>
      <c r="FA178" s="19">
        <f t="shared" si="714"/>
        <v>48673550.448521249</v>
      </c>
      <c r="FB178" s="19">
        <f t="shared" si="715"/>
        <v>48673550.448521249</v>
      </c>
      <c r="FC178" s="19">
        <f t="shared" si="716"/>
        <v>48673550.448521249</v>
      </c>
      <c r="FE178" s="19">
        <f t="shared" si="717"/>
        <v>130470364.14780995</v>
      </c>
      <c r="FF178" s="19">
        <f t="shared" si="718"/>
        <v>111544880.61217254</v>
      </c>
      <c r="FG178" s="19">
        <f t="shared" si="719"/>
        <v>130169619.58820993</v>
      </c>
      <c r="FH178" s="19">
        <f t="shared" si="720"/>
        <v>147216787.74600002</v>
      </c>
      <c r="FI178" s="19">
        <f t="shared" si="721"/>
        <v>169299305.90790001</v>
      </c>
      <c r="FJ178" s="770">
        <f t="shared" si="537"/>
        <v>194694201.794085</v>
      </c>
      <c r="FK178" s="545" t="s">
        <v>1</v>
      </c>
    </row>
    <row r="179" spans="2:167" x14ac:dyDescent="0.2">
      <c r="B179" s="225" t="s">
        <v>310</v>
      </c>
      <c r="C179" s="19">
        <v>0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0</v>
      </c>
      <c r="AT179" s="19">
        <v>0</v>
      </c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>
        <v>0</v>
      </c>
      <c r="BC179" s="19">
        <v>0</v>
      </c>
      <c r="BD179" s="19">
        <v>0</v>
      </c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>
        <v>0</v>
      </c>
      <c r="BM179" s="19">
        <v>0</v>
      </c>
      <c r="BN179" s="19">
        <v>0</v>
      </c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>
        <v>0</v>
      </c>
      <c r="BW179" s="19">
        <v>0</v>
      </c>
      <c r="BX179" s="19">
        <v>0</v>
      </c>
      <c r="BY179" s="19">
        <v>0</v>
      </c>
      <c r="BZ179" s="19">
        <v>0</v>
      </c>
      <c r="CA179" s="19">
        <v>0</v>
      </c>
      <c r="CB179" s="19">
        <v>0</v>
      </c>
      <c r="CC179" s="19">
        <v>0</v>
      </c>
      <c r="CD179" s="19">
        <v>0</v>
      </c>
      <c r="CE179" s="19">
        <v>0</v>
      </c>
      <c r="CF179" s="19">
        <v>0</v>
      </c>
      <c r="CG179" s="19">
        <v>0</v>
      </c>
      <c r="CH179" s="19">
        <v>0</v>
      </c>
      <c r="CI179" s="19">
        <v>0</v>
      </c>
      <c r="CJ179" s="19">
        <v>0</v>
      </c>
      <c r="CK179" s="19">
        <v>0</v>
      </c>
      <c r="CL179" s="19">
        <v>0</v>
      </c>
      <c r="CM179" s="19">
        <v>0</v>
      </c>
      <c r="CN179" s="19">
        <v>0</v>
      </c>
      <c r="CO179" s="19">
        <v>0</v>
      </c>
      <c r="CP179" s="19">
        <v>0</v>
      </c>
      <c r="CQ179" s="19">
        <v>0</v>
      </c>
      <c r="CR179" s="19">
        <v>0</v>
      </c>
      <c r="CS179" s="19">
        <v>0</v>
      </c>
      <c r="CT179" s="19">
        <v>0</v>
      </c>
      <c r="CU179" s="19">
        <v>0</v>
      </c>
      <c r="CV179" s="19">
        <v>0</v>
      </c>
      <c r="CW179" s="19">
        <v>0</v>
      </c>
      <c r="CX179" s="19">
        <v>0</v>
      </c>
      <c r="CY179" s="19">
        <v>0</v>
      </c>
      <c r="CZ179" s="19">
        <v>0</v>
      </c>
      <c r="DA179" s="19">
        <v>0</v>
      </c>
      <c r="DB179" s="19">
        <v>0</v>
      </c>
      <c r="DC179" s="19">
        <v>0</v>
      </c>
      <c r="DD179" s="19">
        <v>0</v>
      </c>
      <c r="DE179" s="19">
        <v>0</v>
      </c>
      <c r="DF179" s="19">
        <v>0</v>
      </c>
      <c r="DG179" s="19">
        <v>0</v>
      </c>
      <c r="DH179" s="19">
        <v>0</v>
      </c>
      <c r="DI179" s="19">
        <v>0</v>
      </c>
      <c r="DJ179" s="19">
        <v>0</v>
      </c>
      <c r="DK179" s="19">
        <v>0</v>
      </c>
      <c r="DL179" s="19">
        <v>0</v>
      </c>
      <c r="DM179" s="19">
        <v>0</v>
      </c>
      <c r="DN179" s="19">
        <v>0</v>
      </c>
      <c r="DO179" s="19">
        <v>0</v>
      </c>
      <c r="DP179" s="19">
        <v>0</v>
      </c>
      <c r="DQ179" s="19">
        <v>0</v>
      </c>
      <c r="DR179" s="19">
        <v>0</v>
      </c>
      <c r="DS179" s="19">
        <v>0</v>
      </c>
      <c r="DT179" s="19">
        <v>0</v>
      </c>
      <c r="DU179" s="19">
        <v>0</v>
      </c>
      <c r="DV179" s="19">
        <v>0</v>
      </c>
      <c r="DW179" s="19">
        <v>0</v>
      </c>
      <c r="DX179" s="19">
        <v>0</v>
      </c>
      <c r="DY179" s="19">
        <v>0</v>
      </c>
      <c r="DZ179" s="19">
        <v>0</v>
      </c>
      <c r="EA179" s="19">
        <v>0</v>
      </c>
      <c r="EB179" s="19">
        <v>0</v>
      </c>
      <c r="EC179" s="19">
        <v>0</v>
      </c>
      <c r="ED179" s="19">
        <v>0</v>
      </c>
      <c r="EE179" s="222"/>
      <c r="EF179" s="19">
        <f t="shared" si="693"/>
        <v>0</v>
      </c>
      <c r="EG179" s="19">
        <f t="shared" si="694"/>
        <v>0</v>
      </c>
      <c r="EH179" s="19">
        <f t="shared" si="695"/>
        <v>0</v>
      </c>
      <c r="EI179" s="19">
        <f t="shared" si="696"/>
        <v>0</v>
      </c>
      <c r="EJ179" s="19">
        <f t="shared" si="697"/>
        <v>0</v>
      </c>
      <c r="EK179" s="19">
        <f t="shared" si="698"/>
        <v>0</v>
      </c>
      <c r="EL179" s="19">
        <f t="shared" si="699"/>
        <v>0</v>
      </c>
      <c r="EM179" s="19">
        <f t="shared" si="700"/>
        <v>0</v>
      </c>
      <c r="EN179" s="19">
        <f t="shared" si="701"/>
        <v>0</v>
      </c>
      <c r="EO179" s="19">
        <f t="shared" si="702"/>
        <v>0</v>
      </c>
      <c r="EP179" s="19">
        <f t="shared" si="703"/>
        <v>0</v>
      </c>
      <c r="EQ179" s="19">
        <f t="shared" si="704"/>
        <v>0</v>
      </c>
      <c r="ER179" s="19">
        <f t="shared" si="705"/>
        <v>0</v>
      </c>
      <c r="ES179" s="19">
        <f t="shared" si="706"/>
        <v>0</v>
      </c>
      <c r="ET179" s="19">
        <f t="shared" si="707"/>
        <v>0</v>
      </c>
      <c r="EU179" s="19">
        <f t="shared" si="708"/>
        <v>0</v>
      </c>
      <c r="EV179" s="19">
        <f t="shared" si="709"/>
        <v>0</v>
      </c>
      <c r="EW179" s="19">
        <f t="shared" si="710"/>
        <v>0</v>
      </c>
      <c r="EX179" s="19">
        <f t="shared" si="711"/>
        <v>0</v>
      </c>
      <c r="EY179" s="19">
        <f t="shared" si="712"/>
        <v>0</v>
      </c>
      <c r="EZ179" s="19">
        <f t="shared" si="713"/>
        <v>0</v>
      </c>
      <c r="FA179" s="19">
        <f t="shared" si="714"/>
        <v>0</v>
      </c>
      <c r="FB179" s="19">
        <f t="shared" si="715"/>
        <v>0</v>
      </c>
      <c r="FC179" s="19">
        <f t="shared" si="716"/>
        <v>0</v>
      </c>
      <c r="FE179" s="19">
        <f t="shared" si="717"/>
        <v>0</v>
      </c>
      <c r="FF179" s="19">
        <f t="shared" si="718"/>
        <v>0</v>
      </c>
      <c r="FG179" s="19">
        <f t="shared" si="719"/>
        <v>0</v>
      </c>
      <c r="FH179" s="19">
        <f t="shared" si="720"/>
        <v>0</v>
      </c>
      <c r="FI179" s="19">
        <f t="shared" si="721"/>
        <v>0</v>
      </c>
      <c r="FJ179" s="770">
        <f t="shared" si="537"/>
        <v>0</v>
      </c>
      <c r="FK179" s="545" t="s">
        <v>1</v>
      </c>
    </row>
    <row r="180" spans="2:167" x14ac:dyDescent="0.2">
      <c r="B180" s="225" t="s">
        <v>311</v>
      </c>
      <c r="C180" s="19">
        <v>0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>
        <v>0</v>
      </c>
      <c r="BC180" s="19">
        <v>0</v>
      </c>
      <c r="BD180" s="19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>
        <v>0</v>
      </c>
      <c r="BM180" s="19">
        <v>0</v>
      </c>
      <c r="BN180" s="19">
        <v>0</v>
      </c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>
        <v>0</v>
      </c>
      <c r="BW180" s="19">
        <v>0</v>
      </c>
      <c r="BX180" s="19">
        <v>0</v>
      </c>
      <c r="BY180" s="19">
        <v>0</v>
      </c>
      <c r="BZ180" s="19">
        <v>0</v>
      </c>
      <c r="CA180" s="19">
        <v>0</v>
      </c>
      <c r="CB180" s="19">
        <v>0</v>
      </c>
      <c r="CC180" s="19">
        <v>0</v>
      </c>
      <c r="CD180" s="19">
        <v>0</v>
      </c>
      <c r="CE180" s="19">
        <v>0</v>
      </c>
      <c r="CF180" s="19">
        <v>0</v>
      </c>
      <c r="CG180" s="19">
        <v>0</v>
      </c>
      <c r="CH180" s="19">
        <v>0</v>
      </c>
      <c r="CI180" s="19">
        <v>0</v>
      </c>
      <c r="CJ180" s="19">
        <v>0</v>
      </c>
      <c r="CK180" s="19">
        <v>0</v>
      </c>
      <c r="CL180" s="19">
        <v>0</v>
      </c>
      <c r="CM180" s="19">
        <v>0</v>
      </c>
      <c r="CN180" s="19">
        <v>0</v>
      </c>
      <c r="CO180" s="19">
        <v>0</v>
      </c>
      <c r="CP180" s="19">
        <v>0</v>
      </c>
      <c r="CQ180" s="19">
        <v>0</v>
      </c>
      <c r="CR180" s="19">
        <v>0</v>
      </c>
      <c r="CS180" s="19">
        <v>0</v>
      </c>
      <c r="CT180" s="19">
        <v>0</v>
      </c>
      <c r="CU180" s="19">
        <v>0</v>
      </c>
      <c r="CV180" s="19">
        <v>0</v>
      </c>
      <c r="CW180" s="19">
        <v>0</v>
      </c>
      <c r="CX180" s="19">
        <v>0</v>
      </c>
      <c r="CY180" s="19">
        <v>0</v>
      </c>
      <c r="CZ180" s="19">
        <v>0</v>
      </c>
      <c r="DA180" s="19">
        <v>0</v>
      </c>
      <c r="DB180" s="19">
        <v>0</v>
      </c>
      <c r="DC180" s="19">
        <v>0</v>
      </c>
      <c r="DD180" s="19">
        <v>0</v>
      </c>
      <c r="DE180" s="19">
        <v>0</v>
      </c>
      <c r="DF180" s="19">
        <v>0</v>
      </c>
      <c r="DG180" s="19">
        <v>0</v>
      </c>
      <c r="DH180" s="19">
        <v>0</v>
      </c>
      <c r="DI180" s="19">
        <v>0</v>
      </c>
      <c r="DJ180" s="19">
        <v>0</v>
      </c>
      <c r="DK180" s="19">
        <v>0</v>
      </c>
      <c r="DL180" s="19">
        <v>0</v>
      </c>
      <c r="DM180" s="19">
        <v>0</v>
      </c>
      <c r="DN180" s="19">
        <v>0</v>
      </c>
      <c r="DO180" s="19">
        <v>0</v>
      </c>
      <c r="DP180" s="19">
        <v>0</v>
      </c>
      <c r="DQ180" s="19">
        <v>0</v>
      </c>
      <c r="DR180" s="19">
        <v>0</v>
      </c>
      <c r="DS180" s="19">
        <v>0</v>
      </c>
      <c r="DT180" s="19">
        <v>0</v>
      </c>
      <c r="DU180" s="19">
        <v>0</v>
      </c>
      <c r="DV180" s="19">
        <v>0</v>
      </c>
      <c r="DW180" s="19">
        <v>0</v>
      </c>
      <c r="DX180" s="19">
        <v>0</v>
      </c>
      <c r="DY180" s="19">
        <v>0</v>
      </c>
      <c r="DZ180" s="19">
        <v>0</v>
      </c>
      <c r="EA180" s="19">
        <v>0</v>
      </c>
      <c r="EB180" s="19">
        <v>0</v>
      </c>
      <c r="EC180" s="19">
        <v>0</v>
      </c>
      <c r="ED180" s="19">
        <v>0</v>
      </c>
      <c r="EE180" s="222"/>
      <c r="EF180" s="19">
        <f t="shared" si="693"/>
        <v>0</v>
      </c>
      <c r="EG180" s="19">
        <f t="shared" si="694"/>
        <v>0</v>
      </c>
      <c r="EH180" s="19">
        <f t="shared" si="695"/>
        <v>0</v>
      </c>
      <c r="EI180" s="19">
        <f t="shared" si="696"/>
        <v>0</v>
      </c>
      <c r="EJ180" s="19">
        <f t="shared" si="697"/>
        <v>0</v>
      </c>
      <c r="EK180" s="19">
        <f t="shared" si="698"/>
        <v>0</v>
      </c>
      <c r="EL180" s="19">
        <f t="shared" si="699"/>
        <v>0</v>
      </c>
      <c r="EM180" s="19">
        <f t="shared" si="700"/>
        <v>0</v>
      </c>
      <c r="EN180" s="19">
        <f t="shared" si="701"/>
        <v>0</v>
      </c>
      <c r="EO180" s="19">
        <f t="shared" si="702"/>
        <v>0</v>
      </c>
      <c r="EP180" s="19">
        <f t="shared" si="703"/>
        <v>0</v>
      </c>
      <c r="EQ180" s="19">
        <f t="shared" si="704"/>
        <v>0</v>
      </c>
      <c r="ER180" s="19">
        <f t="shared" si="705"/>
        <v>0</v>
      </c>
      <c r="ES180" s="19">
        <f t="shared" si="706"/>
        <v>0</v>
      </c>
      <c r="ET180" s="19">
        <f t="shared" si="707"/>
        <v>0</v>
      </c>
      <c r="EU180" s="19">
        <f t="shared" si="708"/>
        <v>0</v>
      </c>
      <c r="EV180" s="19">
        <f t="shared" si="709"/>
        <v>0</v>
      </c>
      <c r="EW180" s="19">
        <f t="shared" si="710"/>
        <v>0</v>
      </c>
      <c r="EX180" s="19">
        <f t="shared" si="711"/>
        <v>0</v>
      </c>
      <c r="EY180" s="19">
        <f t="shared" si="712"/>
        <v>0</v>
      </c>
      <c r="EZ180" s="19">
        <f t="shared" si="713"/>
        <v>0</v>
      </c>
      <c r="FA180" s="19">
        <f t="shared" si="714"/>
        <v>0</v>
      </c>
      <c r="FB180" s="19">
        <f t="shared" si="715"/>
        <v>0</v>
      </c>
      <c r="FC180" s="19">
        <f t="shared" si="716"/>
        <v>0</v>
      </c>
      <c r="FE180" s="19">
        <f t="shared" si="717"/>
        <v>0</v>
      </c>
      <c r="FF180" s="19">
        <f t="shared" si="718"/>
        <v>0</v>
      </c>
      <c r="FG180" s="19">
        <f t="shared" si="719"/>
        <v>0</v>
      </c>
      <c r="FH180" s="19">
        <f t="shared" si="720"/>
        <v>0</v>
      </c>
      <c r="FI180" s="19">
        <f t="shared" si="721"/>
        <v>0</v>
      </c>
      <c r="FJ180" s="770">
        <f t="shared" si="537"/>
        <v>0</v>
      </c>
      <c r="FK180" s="545" t="s">
        <v>1</v>
      </c>
    </row>
    <row r="181" spans="2:167" x14ac:dyDescent="0.2">
      <c r="B181" s="225" t="s">
        <v>191</v>
      </c>
      <c r="C181" s="19">
        <v>526986</v>
      </c>
      <c r="D181" s="19">
        <v>905464</v>
      </c>
      <c r="E181" s="19">
        <v>1435806</v>
      </c>
      <c r="F181" s="19">
        <v>1083835</v>
      </c>
      <c r="G181" s="19">
        <v>2148782</v>
      </c>
      <c r="H181" s="19">
        <v>1292154</v>
      </c>
      <c r="I181" s="19">
        <v>1656926</v>
      </c>
      <c r="J181" s="19">
        <v>4136800</v>
      </c>
      <c r="K181" s="19">
        <v>1170763</v>
      </c>
      <c r="L181" s="19">
        <v>1831802</v>
      </c>
      <c r="M181" s="19">
        <v>1586231</v>
      </c>
      <c r="N181" s="19">
        <v>1659451</v>
      </c>
      <c r="O181" s="19">
        <v>1943544</v>
      </c>
      <c r="P181" s="19">
        <v>2151840.87</v>
      </c>
      <c r="Q181" s="19">
        <v>2109827</v>
      </c>
      <c r="R181" s="19">
        <v>519227</v>
      </c>
      <c r="S181" s="19">
        <v>98658</v>
      </c>
      <c r="T181" s="19">
        <v>18050</v>
      </c>
      <c r="U181" s="19">
        <v>22550</v>
      </c>
      <c r="V181" s="19">
        <v>11250</v>
      </c>
      <c r="W181" s="19">
        <v>10050</v>
      </c>
      <c r="X181" s="19">
        <v>800</v>
      </c>
      <c r="Y181" s="19">
        <v>16420</v>
      </c>
      <c r="Z181" s="19">
        <v>10250</v>
      </c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>
        <v>0</v>
      </c>
      <c r="AI181" s="19">
        <v>0</v>
      </c>
      <c r="AJ181" s="19">
        <v>0</v>
      </c>
      <c r="AK181" s="19">
        <v>0</v>
      </c>
      <c r="AL181" s="19">
        <v>0</v>
      </c>
      <c r="AM181" s="19">
        <v>0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</v>
      </c>
      <c r="AT181" s="19">
        <v>0</v>
      </c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>
        <v>0</v>
      </c>
      <c r="BC181" s="19">
        <v>0</v>
      </c>
      <c r="BD181" s="19">
        <v>0</v>
      </c>
      <c r="BE181" s="19">
        <v>0</v>
      </c>
      <c r="BF181" s="19">
        <v>0</v>
      </c>
      <c r="BG181" s="19">
        <v>0</v>
      </c>
      <c r="BH181" s="19">
        <v>0</v>
      </c>
      <c r="BI181" s="19">
        <v>0</v>
      </c>
      <c r="BJ181" s="19">
        <v>0</v>
      </c>
      <c r="BK181" s="19">
        <v>0</v>
      </c>
      <c r="BL181" s="19">
        <v>0</v>
      </c>
      <c r="BM181" s="19">
        <v>0</v>
      </c>
      <c r="BN181" s="19">
        <v>0</v>
      </c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>
        <v>0</v>
      </c>
      <c r="BW181" s="19">
        <v>0</v>
      </c>
      <c r="BX181" s="19">
        <v>0</v>
      </c>
      <c r="BY181" s="19">
        <v>0</v>
      </c>
      <c r="BZ181" s="19">
        <v>0</v>
      </c>
      <c r="CA181" s="19">
        <v>0</v>
      </c>
      <c r="CB181" s="19">
        <v>0</v>
      </c>
      <c r="CC181" s="19">
        <v>0</v>
      </c>
      <c r="CD181" s="19">
        <v>0</v>
      </c>
      <c r="CE181" s="19">
        <v>0</v>
      </c>
      <c r="CF181" s="19">
        <v>0</v>
      </c>
      <c r="CG181" s="19">
        <v>0</v>
      </c>
      <c r="CH181" s="19">
        <v>0</v>
      </c>
      <c r="CI181" s="19">
        <v>0</v>
      </c>
      <c r="CJ181" s="19">
        <v>0</v>
      </c>
      <c r="CK181" s="19">
        <v>0</v>
      </c>
      <c r="CL181" s="19">
        <v>0</v>
      </c>
      <c r="CM181" s="19">
        <v>0</v>
      </c>
      <c r="CN181" s="19">
        <v>0</v>
      </c>
      <c r="CO181" s="19">
        <v>0</v>
      </c>
      <c r="CP181" s="19">
        <v>0</v>
      </c>
      <c r="CQ181" s="19">
        <v>0</v>
      </c>
      <c r="CR181" s="19">
        <v>0</v>
      </c>
      <c r="CS181" s="19">
        <v>0</v>
      </c>
      <c r="CT181" s="19">
        <v>0</v>
      </c>
      <c r="CU181" s="19">
        <v>0</v>
      </c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222"/>
      <c r="EF181" s="19">
        <f t="shared" si="693"/>
        <v>0</v>
      </c>
      <c r="EG181" s="19">
        <f t="shared" si="694"/>
        <v>0</v>
      </c>
      <c r="EH181" s="19">
        <f t="shared" si="695"/>
        <v>0</v>
      </c>
      <c r="EI181" s="19">
        <f t="shared" si="696"/>
        <v>0</v>
      </c>
      <c r="EJ181" s="19">
        <f t="shared" si="697"/>
        <v>0</v>
      </c>
      <c r="EK181" s="19">
        <f t="shared" si="698"/>
        <v>0</v>
      </c>
      <c r="EL181" s="19">
        <f t="shared" si="699"/>
        <v>0</v>
      </c>
      <c r="EM181" s="19">
        <f t="shared" si="700"/>
        <v>0</v>
      </c>
      <c r="EN181" s="19">
        <f t="shared" si="701"/>
        <v>0</v>
      </c>
      <c r="EO181" s="19">
        <f t="shared" si="702"/>
        <v>0</v>
      </c>
      <c r="EP181" s="19">
        <f t="shared" si="703"/>
        <v>0</v>
      </c>
      <c r="EQ181" s="19">
        <f t="shared" si="704"/>
        <v>0</v>
      </c>
      <c r="ER181" s="19">
        <f t="shared" si="705"/>
        <v>0</v>
      </c>
      <c r="ES181" s="19">
        <f t="shared" si="706"/>
        <v>0</v>
      </c>
      <c r="ET181" s="19">
        <f t="shared" si="707"/>
        <v>0</v>
      </c>
      <c r="EU181" s="19">
        <f t="shared" si="708"/>
        <v>0</v>
      </c>
      <c r="EV181" s="19">
        <f t="shared" si="709"/>
        <v>0</v>
      </c>
      <c r="EW181" s="19">
        <f t="shared" si="710"/>
        <v>0</v>
      </c>
      <c r="EX181" s="19">
        <f t="shared" si="711"/>
        <v>0</v>
      </c>
      <c r="EY181" s="19">
        <f t="shared" si="712"/>
        <v>0</v>
      </c>
      <c r="EZ181" s="19">
        <f t="shared" si="713"/>
        <v>0</v>
      </c>
      <c r="FA181" s="19">
        <f t="shared" si="714"/>
        <v>0</v>
      </c>
      <c r="FB181" s="19">
        <f t="shared" si="715"/>
        <v>0</v>
      </c>
      <c r="FC181" s="19">
        <f t="shared" si="716"/>
        <v>0</v>
      </c>
      <c r="FE181" s="19">
        <f t="shared" si="717"/>
        <v>0</v>
      </c>
      <c r="FF181" s="19">
        <f t="shared" si="718"/>
        <v>0</v>
      </c>
      <c r="FG181" s="19">
        <f t="shared" si="719"/>
        <v>0</v>
      </c>
      <c r="FH181" s="19">
        <f t="shared" si="720"/>
        <v>0</v>
      </c>
      <c r="FI181" s="19">
        <f t="shared" si="721"/>
        <v>0</v>
      </c>
      <c r="FJ181" s="770">
        <f t="shared" si="537"/>
        <v>0</v>
      </c>
      <c r="FK181" s="545" t="s">
        <v>1</v>
      </c>
    </row>
    <row r="182" spans="2:167" x14ac:dyDescent="0.2">
      <c r="B182" s="226" t="s">
        <v>57</v>
      </c>
      <c r="C182" s="20">
        <f>C175/C63</f>
        <v>3.6906804132640747E-2</v>
      </c>
      <c r="D182" s="20">
        <f t="shared" ref="D182:BO182" si="722">D175/D63</f>
        <v>5.417794636613861E-2</v>
      </c>
      <c r="E182" s="20">
        <f t="shared" si="722"/>
        <v>4.9409127131399111E-2</v>
      </c>
      <c r="F182" s="20">
        <f t="shared" si="722"/>
        <v>4.5398055326058756E-2</v>
      </c>
      <c r="G182" s="20">
        <f t="shared" si="722"/>
        <v>4.1357710939189635E-2</v>
      </c>
      <c r="H182" s="20">
        <f t="shared" si="722"/>
        <v>4.3444265456567308E-2</v>
      </c>
      <c r="I182" s="20">
        <f t="shared" si="722"/>
        <v>2.2086199641631717E-2</v>
      </c>
      <c r="J182" s="20">
        <f t="shared" si="722"/>
        <v>5.846730423364465E-2</v>
      </c>
      <c r="K182" s="20">
        <f t="shared" si="722"/>
        <v>5.1834809761814662E-2</v>
      </c>
      <c r="L182" s="20">
        <f t="shared" si="722"/>
        <v>4.1956673622397557E-2</v>
      </c>
      <c r="M182" s="20">
        <f t="shared" si="722"/>
        <v>2.3324715412634308E-2</v>
      </c>
      <c r="N182" s="20">
        <f t="shared" si="722"/>
        <v>2.2058131829270893E-2</v>
      </c>
      <c r="O182" s="20">
        <f t="shared" si="722"/>
        <v>2.5758038216290871E-2</v>
      </c>
      <c r="P182" s="20">
        <f t="shared" si="722"/>
        <v>2.886700827417478E-2</v>
      </c>
      <c r="Q182" s="20">
        <f t="shared" si="722"/>
        <v>3.6564880070273295E-2</v>
      </c>
      <c r="R182" s="20">
        <f t="shared" si="722"/>
        <v>1.9436616978703712E-2</v>
      </c>
      <c r="S182" s="20">
        <f t="shared" si="722"/>
        <v>1.0663156414178336E-2</v>
      </c>
      <c r="T182" s="20">
        <f t="shared" si="722"/>
        <v>8.6363393430304407E-3</v>
      </c>
      <c r="U182" s="20">
        <f t="shared" si="722"/>
        <v>7.0290863404700102E-3</v>
      </c>
      <c r="V182" s="20">
        <f t="shared" si="722"/>
        <v>4.6941238360440618E-3</v>
      </c>
      <c r="W182" s="20">
        <f t="shared" si="722"/>
        <v>5.2819955976766263E-3</v>
      </c>
      <c r="X182" s="20">
        <f t="shared" si="722"/>
        <v>5.1839149896578882E-3</v>
      </c>
      <c r="Y182" s="20">
        <f t="shared" si="722"/>
        <v>5.6588351532488321E-3</v>
      </c>
      <c r="Z182" s="20">
        <f t="shared" si="722"/>
        <v>6.2723785321079206E-3</v>
      </c>
      <c r="AA182" s="20">
        <f t="shared" si="722"/>
        <v>-6.938205161400636E-2</v>
      </c>
      <c r="AB182" s="20">
        <f t="shared" si="722"/>
        <v>3.1051255102570396E-3</v>
      </c>
      <c r="AC182" s="20">
        <f t="shared" si="722"/>
        <v>7.5834029988101096E-3</v>
      </c>
      <c r="AD182" s="20">
        <f t="shared" si="722"/>
        <v>1.397217843200687E-2</v>
      </c>
      <c r="AE182" s="20">
        <f t="shared" si="722"/>
        <v>1.3631632322373393E-2</v>
      </c>
      <c r="AF182" s="20">
        <f t="shared" si="722"/>
        <v>1.4702163630222699E-2</v>
      </c>
      <c r="AG182" s="20">
        <f t="shared" si="722"/>
        <v>1.2226231177111161E-2</v>
      </c>
      <c r="AH182" s="20">
        <f t="shared" si="722"/>
        <v>6.8870394131964312E-3</v>
      </c>
      <c r="AI182" s="20">
        <f t="shared" si="722"/>
        <v>7.2565262792496574E-3</v>
      </c>
      <c r="AJ182" s="20">
        <f t="shared" si="722"/>
        <v>6.9351381390962991E-3</v>
      </c>
      <c r="AK182" s="20">
        <f t="shared" si="722"/>
        <v>6.3148377706095851E-3</v>
      </c>
      <c r="AL182" s="20">
        <f t="shared" si="722"/>
        <v>1.3291898585391497E-2</v>
      </c>
      <c r="AM182" s="20">
        <f t="shared" si="722"/>
        <v>9.8644935868319166E-3</v>
      </c>
      <c r="AN182" s="20">
        <f t="shared" si="722"/>
        <v>6.0851879741200517E-3</v>
      </c>
      <c r="AO182" s="20">
        <f t="shared" si="722"/>
        <v>1.3646492918559391E-2</v>
      </c>
      <c r="AP182" s="20">
        <f t="shared" si="722"/>
        <v>1.7349138896821603E-2</v>
      </c>
      <c r="AQ182" s="20">
        <f t="shared" si="722"/>
        <v>1.9923485765556984E-2</v>
      </c>
      <c r="AR182" s="20">
        <f t="shared" si="722"/>
        <v>2.1983710391370891E-2</v>
      </c>
      <c r="AS182" s="20">
        <f t="shared" si="722"/>
        <v>2.5678726390389754E-2</v>
      </c>
      <c r="AT182" s="20">
        <f t="shared" si="722"/>
        <v>1.7750207790341737E-2</v>
      </c>
      <c r="AU182" s="20">
        <f t="shared" si="722"/>
        <v>1.9378393514583304E-2</v>
      </c>
      <c r="AV182" s="20">
        <f t="shared" si="722"/>
        <v>2.1334699288380912E-2</v>
      </c>
      <c r="AW182" s="20">
        <f t="shared" si="722"/>
        <v>2.3431128157894655E-2</v>
      </c>
      <c r="AX182" s="20">
        <f t="shared" si="722"/>
        <v>3.9831860023980974E-2</v>
      </c>
      <c r="AY182" s="20">
        <f t="shared" si="722"/>
        <v>2.8409324954489341E-2</v>
      </c>
      <c r="AZ182" s="20">
        <f t="shared" si="722"/>
        <v>1.4644154146096548E-2</v>
      </c>
      <c r="BA182" s="20">
        <f t="shared" si="722"/>
        <v>2.9158360965354398E-2</v>
      </c>
      <c r="BB182" s="20">
        <f t="shared" si="722"/>
        <v>3.5228091947753531E-2</v>
      </c>
      <c r="BC182" s="20">
        <f t="shared" si="722"/>
        <v>4.3678813873906146E-2</v>
      </c>
      <c r="BD182" s="20">
        <f t="shared" si="722"/>
        <v>2.2456559236501427E-2</v>
      </c>
      <c r="BE182" s="20">
        <f t="shared" si="722"/>
        <v>1.8822860866657683E-2</v>
      </c>
      <c r="BF182" s="20">
        <f t="shared" si="722"/>
        <v>1.5779454628475669E-2</v>
      </c>
      <c r="BG182" s="20">
        <f t="shared" si="722"/>
        <v>2.1438953699077907E-2</v>
      </c>
      <c r="BH182" s="20">
        <f t="shared" si="722"/>
        <v>3.2076617796517402E-2</v>
      </c>
      <c r="BI182" s="20">
        <f t="shared" si="722"/>
        <v>3.651133137346578E-2</v>
      </c>
      <c r="BJ182" s="20">
        <f t="shared" si="722"/>
        <v>2.2309587526499738E-2</v>
      </c>
      <c r="BK182" s="20">
        <f t="shared" si="722"/>
        <v>1.8510200109192555E-2</v>
      </c>
      <c r="BL182" s="20">
        <f t="shared" si="722"/>
        <v>2.0635017156256749E-2</v>
      </c>
      <c r="BM182" s="20">
        <f t="shared" si="722"/>
        <v>2.3509203344773386E-2</v>
      </c>
      <c r="BN182" s="20">
        <f t="shared" si="722"/>
        <v>2.9590899675389287E-2</v>
      </c>
      <c r="BO182" s="20">
        <f t="shared" si="722"/>
        <v>2.5940165884865155E-2</v>
      </c>
      <c r="BP182" s="20">
        <f t="shared" ref="BP182:EM182" si="723">BP175/BP63</f>
        <v>2.2605815973832214E-2</v>
      </c>
      <c r="BQ182" s="20">
        <f t="shared" si="723"/>
        <v>2.1590192177446222E-2</v>
      </c>
      <c r="BR182" s="20">
        <f t="shared" si="723"/>
        <v>2.0906342246189941E-2</v>
      </c>
      <c r="BS182" s="20">
        <f t="shared" si="723"/>
        <v>2.0401102408825051E-2</v>
      </c>
      <c r="BT182" s="20">
        <f t="shared" si="723"/>
        <v>1.7998911144937145E-2</v>
      </c>
      <c r="BU182" s="20">
        <f t="shared" si="723"/>
        <v>2.1263041598470443E-2</v>
      </c>
      <c r="BV182" s="20">
        <f t="shared" si="723"/>
        <v>2.1945545255593817E-2</v>
      </c>
      <c r="BW182" s="20">
        <f t="shared" si="723"/>
        <v>2.333314787900884E-2</v>
      </c>
      <c r="BX182" s="20">
        <f t="shared" si="723"/>
        <v>2.2405556999450817E-2</v>
      </c>
      <c r="BY182" s="20">
        <f t="shared" si="723"/>
        <v>2.0937495092622986E-2</v>
      </c>
      <c r="BZ182" s="20">
        <f t="shared" si="723"/>
        <v>2.2008257474129579E-2</v>
      </c>
      <c r="CA182" s="20">
        <f t="shared" si="723"/>
        <v>1.8332847653941841E-2</v>
      </c>
      <c r="CB182" s="20">
        <f t="shared" si="723"/>
        <v>1.5068449324974779E-2</v>
      </c>
      <c r="CC182" s="20">
        <f t="shared" si="723"/>
        <v>1.2092792882694516E-2</v>
      </c>
      <c r="CD182" s="20">
        <f t="shared" si="723"/>
        <v>1.7106396971283844E-2</v>
      </c>
      <c r="CE182" s="20">
        <f t="shared" si="723"/>
        <v>1.8986060214955646E-2</v>
      </c>
      <c r="CF182" s="20">
        <f t="shared" si="723"/>
        <v>1.8029802033624972E-2</v>
      </c>
      <c r="CG182" s="20">
        <f t="shared" si="723"/>
        <v>1.7610503996792214E-2</v>
      </c>
      <c r="CH182" s="20">
        <f t="shared" si="723"/>
        <v>1.3460329937237173E-2</v>
      </c>
      <c r="CI182" s="20">
        <f t="shared" si="723"/>
        <v>1.4834872899260332E-2</v>
      </c>
      <c r="CJ182" s="20">
        <f t="shared" si="723"/>
        <v>1.4710705927418773E-2</v>
      </c>
      <c r="CK182" s="20">
        <f t="shared" si="723"/>
        <v>1.6162372396639313E-2</v>
      </c>
      <c r="CL182" s="20">
        <f t="shared" si="723"/>
        <v>1.721898120323416E-2</v>
      </c>
      <c r="CM182" s="20">
        <f t="shared" si="723"/>
        <v>1.9090314068949919E-2</v>
      </c>
      <c r="CN182" s="20">
        <f t="shared" si="723"/>
        <v>1.2533751460308884E-2</v>
      </c>
      <c r="CO182" s="20">
        <f t="shared" si="723"/>
        <v>9.6275727843506027E-3</v>
      </c>
      <c r="CP182" s="20">
        <f t="shared" si="723"/>
        <v>1.2967073310686975E-2</v>
      </c>
      <c r="CQ182" s="20">
        <f t="shared" si="723"/>
        <v>1.2826344190048366E-2</v>
      </c>
      <c r="CR182" s="20">
        <f t="shared" si="723"/>
        <v>1.138822540176522E-2</v>
      </c>
      <c r="CS182" s="20">
        <f t="shared" si="723"/>
        <v>1.117807055707252E-2</v>
      </c>
      <c r="CT182" s="20">
        <f t="shared" si="723"/>
        <v>1.0978264238509455E-2</v>
      </c>
      <c r="CU182" s="20">
        <f t="shared" si="723"/>
        <v>1.2707205933517233E-2</v>
      </c>
      <c r="CV182" s="20">
        <f t="shared" si="723"/>
        <v>1.2553288890968172E-2</v>
      </c>
      <c r="CW182" s="20">
        <f t="shared" si="723"/>
        <v>1.2845245914219905E-2</v>
      </c>
      <c r="CX182" s="20">
        <f t="shared" si="723"/>
        <v>1.2411642174964451E-2</v>
      </c>
      <c r="CY182" s="20">
        <f t="shared" si="723"/>
        <v>1.3423553654236645E-2</v>
      </c>
      <c r="CZ182" s="20">
        <f t="shared" si="723"/>
        <v>1.3936413387096705E-2</v>
      </c>
      <c r="DA182" s="20">
        <f t="shared" si="723"/>
        <v>1.2499114355596346E-2</v>
      </c>
      <c r="DB182" s="20">
        <f t="shared" si="723"/>
        <v>1.2109960713989398E-2</v>
      </c>
      <c r="DC182" s="20">
        <f t="shared" si="723"/>
        <v>1.0538443981293787E-2</v>
      </c>
      <c r="DD182" s="20">
        <f t="shared" si="723"/>
        <v>1.0507382761319774E-2</v>
      </c>
      <c r="DE182" s="20">
        <f t="shared" si="723"/>
        <v>1.1300010562075946E-2</v>
      </c>
      <c r="DF182" s="20">
        <f t="shared" si="723"/>
        <v>1.0618435743839333E-2</v>
      </c>
      <c r="DG182" s="20">
        <f t="shared" si="723"/>
        <v>1.1604780573288389E-2</v>
      </c>
      <c r="DH182" s="20">
        <f t="shared" si="723"/>
        <v>1.1452009419670624E-2</v>
      </c>
      <c r="DI182" s="20">
        <f t="shared" si="723"/>
        <v>1.1744314648108024E-2</v>
      </c>
      <c r="DJ182" s="20">
        <f t="shared" si="723"/>
        <v>1.1358175280587197E-2</v>
      </c>
      <c r="DK182" s="20">
        <f t="shared" si="723"/>
        <v>1.2286560944499921E-2</v>
      </c>
      <c r="DL182" s="20">
        <f t="shared" si="723"/>
        <v>1.2786224742641862E-2</v>
      </c>
      <c r="DM182" s="20">
        <f t="shared" si="723"/>
        <v>1.1464716022690648E-2</v>
      </c>
      <c r="DN182" s="20">
        <f t="shared" si="723"/>
        <v>1.1093200538669365E-2</v>
      </c>
      <c r="DO182" s="20">
        <f t="shared" si="723"/>
        <v>9.6779989021458113E-3</v>
      </c>
      <c r="DP182" s="20">
        <f t="shared" si="723"/>
        <v>9.6735237575222687E-3</v>
      </c>
      <c r="DQ182" s="20">
        <f t="shared" si="723"/>
        <v>1.0406980382957886E-2</v>
      </c>
      <c r="DR182" s="20">
        <f t="shared" si="723"/>
        <v>9.8398153568913897E-3</v>
      </c>
      <c r="DS182" s="20">
        <f t="shared" ref="DS182:ED182" si="724">DS175/DS63</f>
        <v>1.1035849198023188E-2</v>
      </c>
      <c r="DT182" s="20">
        <f t="shared" si="724"/>
        <v>1.0888116493034696E-2</v>
      </c>
      <c r="DU182" s="20">
        <f t="shared" si="724"/>
        <v>1.117433042183884E-2</v>
      </c>
      <c r="DV182" s="20">
        <f t="shared" si="724"/>
        <v>1.081938542730154E-2</v>
      </c>
      <c r="DW182" s="20">
        <f t="shared" si="724"/>
        <v>1.1701108310464226E-2</v>
      </c>
      <c r="DX182" s="20">
        <f t="shared" si="724"/>
        <v>1.2185067744949745E-2</v>
      </c>
      <c r="DY182" s="20">
        <f t="shared" si="724"/>
        <v>1.0929245775652028E-2</v>
      </c>
      <c r="DZ182" s="20">
        <f t="shared" si="724"/>
        <v>1.0541836989144045E-2</v>
      </c>
      <c r="EA182" s="20">
        <f t="shared" si="724"/>
        <v>9.2016022325979146E-3</v>
      </c>
      <c r="EB182" s="20">
        <f t="shared" si="724"/>
        <v>9.2036579647089747E-3</v>
      </c>
      <c r="EC182" s="20">
        <f t="shared" si="724"/>
        <v>9.9007986328805888E-3</v>
      </c>
      <c r="ED182" s="20">
        <f t="shared" si="724"/>
        <v>9.3814517735954003E-3</v>
      </c>
      <c r="EE182" s="222"/>
      <c r="EF182" s="20">
        <f t="shared" si="723"/>
        <v>2.0824209014280497E-2</v>
      </c>
      <c r="EG182" s="20">
        <f t="shared" si="723"/>
        <v>2.5999681843073059E-2</v>
      </c>
      <c r="EH182" s="20">
        <f t="shared" si="723"/>
        <v>2.0998556271320714E-2</v>
      </c>
      <c r="EI182" s="20">
        <f t="shared" si="723"/>
        <v>2.0410281791744273E-2</v>
      </c>
      <c r="EJ182" s="20">
        <f t="shared" si="723"/>
        <v>2.2204504824651181E-2</v>
      </c>
      <c r="EK182" s="20">
        <f t="shared" si="723"/>
        <v>1.8660207541486739E-2</v>
      </c>
      <c r="EL182" s="20">
        <f t="shared" si="723"/>
        <v>1.61418896984473E-2</v>
      </c>
      <c r="EM182" s="20">
        <f t="shared" si="723"/>
        <v>1.6125784984756589E-2</v>
      </c>
      <c r="EN182" s="20">
        <f t="shared" ref="EN182:FJ182" si="725">EN175/EN63</f>
        <v>1.5233653112824536E-2</v>
      </c>
      <c r="EO182" s="20">
        <f t="shared" si="725"/>
        <v>1.6312429826533918E-2</v>
      </c>
      <c r="EP182" s="20">
        <f t="shared" si="725"/>
        <v>1.1877035643930958E-2</v>
      </c>
      <c r="EQ182" s="20">
        <f t="shared" si="725"/>
        <v>1.118069875698091E-2</v>
      </c>
      <c r="ER182" s="20">
        <f t="shared" si="725"/>
        <v>1.2700790263614446E-2</v>
      </c>
      <c r="ES182" s="20">
        <f t="shared" si="725"/>
        <v>1.3223629859784656E-2</v>
      </c>
      <c r="ET182" s="20">
        <f t="shared" si="725"/>
        <v>1.1648619329862688E-2</v>
      </c>
      <c r="EU182" s="20">
        <f t="shared" si="725"/>
        <v>1.0796388560395987E-2</v>
      </c>
      <c r="EV182" s="20">
        <f t="shared" si="725"/>
        <v>1.1599119899047147E-2</v>
      </c>
      <c r="EW182" s="20">
        <f t="shared" si="725"/>
        <v>1.2111462520500268E-2</v>
      </c>
      <c r="EX182" s="20">
        <f t="shared" si="725"/>
        <v>1.0684864131548509E-2</v>
      </c>
      <c r="EY182" s="20">
        <f t="shared" si="725"/>
        <v>9.9627608964579333E-3</v>
      </c>
      <c r="EZ182" s="20">
        <f t="shared" si="725"/>
        <v>1.1031505384272847E-2</v>
      </c>
      <c r="FA182" s="20">
        <f t="shared" si="725"/>
        <v>1.1537596273892888E-2</v>
      </c>
      <c r="FB182" s="20">
        <f t="shared" si="725"/>
        <v>1.0165571316222392E-2</v>
      </c>
      <c r="FC182" s="20">
        <f t="shared" si="725"/>
        <v>9.4853283936153741E-3</v>
      </c>
      <c r="FD182" s="785"/>
      <c r="FE182" s="20">
        <f t="shared" si="725"/>
        <v>2.1957466777499469E-2</v>
      </c>
      <c r="FF182" s="20">
        <f t="shared" si="725"/>
        <v>1.804721774057607E-2</v>
      </c>
      <c r="FG182" s="20">
        <f t="shared" si="725"/>
        <v>1.3335117359244152E-2</v>
      </c>
      <c r="FH182" s="20">
        <f t="shared" si="725"/>
        <v>1.2004429841800592E-2</v>
      </c>
      <c r="FI182" s="20">
        <f t="shared" si="725"/>
        <v>1.1015586188554496E-2</v>
      </c>
      <c r="FJ182" s="20">
        <f t="shared" si="725"/>
        <v>1.0484803823780231E-2</v>
      </c>
      <c r="FK182" s="545" t="s">
        <v>1</v>
      </c>
    </row>
    <row r="183" spans="2:167" x14ac:dyDescent="0.2">
      <c r="B183" s="226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222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/>
      <c r="EQ183" s="19"/>
      <c r="ER183" s="19"/>
      <c r="ES183" s="19"/>
      <c r="ET183" s="19"/>
      <c r="EU183" s="19"/>
      <c r="EV183" s="19"/>
      <c r="EW183" s="19"/>
      <c r="EX183" s="19"/>
      <c r="EY183" s="19"/>
      <c r="EZ183" s="19"/>
      <c r="FA183" s="19"/>
      <c r="FB183" s="19"/>
      <c r="FC183" s="19"/>
      <c r="FE183" s="19"/>
      <c r="FF183" s="19"/>
      <c r="FG183" s="19"/>
      <c r="FH183" s="19"/>
      <c r="FI183" s="19"/>
      <c r="FJ183" s="770"/>
      <c r="FK183" s="545"/>
    </row>
    <row r="184" spans="2:167" x14ac:dyDescent="0.2">
      <c r="B184" s="223" t="s">
        <v>153</v>
      </c>
      <c r="C184" s="297">
        <f t="shared" ref="C184:AH184" si="726">SUM(C185:C186)</f>
        <v>1008787</v>
      </c>
      <c r="D184" s="297">
        <f t="shared" si="726"/>
        <v>901968</v>
      </c>
      <c r="E184" s="297">
        <f t="shared" si="726"/>
        <v>923125</v>
      </c>
      <c r="F184" s="297">
        <f t="shared" si="726"/>
        <v>1167941</v>
      </c>
      <c r="G184" s="297">
        <f t="shared" si="726"/>
        <v>1802594</v>
      </c>
      <c r="H184" s="297">
        <f t="shared" si="726"/>
        <v>1645680</v>
      </c>
      <c r="I184" s="297">
        <f t="shared" si="726"/>
        <v>1550309</v>
      </c>
      <c r="J184" s="297">
        <f t="shared" si="726"/>
        <v>1699604</v>
      </c>
      <c r="K184" s="297">
        <f t="shared" si="726"/>
        <v>11802409.640000001</v>
      </c>
      <c r="L184" s="297">
        <f t="shared" si="726"/>
        <v>11062306.195</v>
      </c>
      <c r="M184" s="297">
        <f t="shared" si="726"/>
        <v>13993555.59</v>
      </c>
      <c r="N184" s="297">
        <f t="shared" si="726"/>
        <v>9687508.5199999996</v>
      </c>
      <c r="O184" s="297">
        <f t="shared" si="726"/>
        <v>9452836.25</v>
      </c>
      <c r="P184" s="297">
        <f t="shared" si="726"/>
        <v>11976184.960000001</v>
      </c>
      <c r="Q184" s="297">
        <f t="shared" si="726"/>
        <v>8244211</v>
      </c>
      <c r="R184" s="297">
        <f t="shared" si="726"/>
        <v>4952003.6399999997</v>
      </c>
      <c r="S184" s="297">
        <f t="shared" si="726"/>
        <v>4267095</v>
      </c>
      <c r="T184" s="297">
        <f t="shared" si="726"/>
        <v>5316078</v>
      </c>
      <c r="U184" s="297">
        <f t="shared" si="726"/>
        <v>5110067</v>
      </c>
      <c r="V184" s="297">
        <f t="shared" si="726"/>
        <v>5529368</v>
      </c>
      <c r="W184" s="297">
        <f t="shared" si="726"/>
        <v>4524715</v>
      </c>
      <c r="X184" s="297">
        <f t="shared" si="726"/>
        <v>5713997</v>
      </c>
      <c r="Y184" s="297">
        <f t="shared" si="726"/>
        <v>5843707</v>
      </c>
      <c r="Z184" s="297">
        <f t="shared" si="726"/>
        <v>5008546</v>
      </c>
      <c r="AA184" s="297">
        <f t="shared" si="726"/>
        <v>4168296</v>
      </c>
      <c r="AB184" s="297">
        <f t="shared" si="726"/>
        <v>4087286</v>
      </c>
      <c r="AC184" s="297">
        <f t="shared" si="726"/>
        <v>1949280.56</v>
      </c>
      <c r="AD184" s="297">
        <f t="shared" si="726"/>
        <v>2083500</v>
      </c>
      <c r="AE184" s="297">
        <f t="shared" si="726"/>
        <v>2158019.1339999987</v>
      </c>
      <c r="AF184" s="297">
        <f t="shared" si="726"/>
        <v>3006608.1222499995</v>
      </c>
      <c r="AG184" s="297">
        <f t="shared" si="726"/>
        <v>2941949.98</v>
      </c>
      <c r="AH184" s="297">
        <f t="shared" si="726"/>
        <v>2947288.4619999998</v>
      </c>
      <c r="AI184" s="297">
        <f t="shared" ref="AI184:BN184" si="727">SUM(AI185:AI186)</f>
        <v>3624486.1498333332</v>
      </c>
      <c r="AJ184" s="297">
        <f t="shared" si="727"/>
        <v>4048414.6875</v>
      </c>
      <c r="AK184" s="297">
        <f t="shared" si="727"/>
        <v>3998320.9668653826</v>
      </c>
      <c r="AL184" s="297">
        <f t="shared" si="727"/>
        <v>3309170.9324551299</v>
      </c>
      <c r="AM184" s="297">
        <f t="shared" si="727"/>
        <v>3960661.2382884608</v>
      </c>
      <c r="AN184" s="297">
        <f t="shared" si="727"/>
        <v>3127001.5546410261</v>
      </c>
      <c r="AO184" s="297">
        <f t="shared" si="727"/>
        <v>3434760.5305512818</v>
      </c>
      <c r="AP184" s="297">
        <f t="shared" si="727"/>
        <v>3657524.8928141035</v>
      </c>
      <c r="AQ184" s="297">
        <f t="shared" si="727"/>
        <v>37144924.957852565</v>
      </c>
      <c r="AR184" s="297">
        <f t="shared" si="727"/>
        <v>39364006.866096154</v>
      </c>
      <c r="AS184" s="297">
        <f t="shared" si="727"/>
        <v>13120583.724403847</v>
      </c>
      <c r="AT184" s="297">
        <f t="shared" si="727"/>
        <v>13137585.222884618</v>
      </c>
      <c r="AU184" s="297">
        <f t="shared" si="727"/>
        <v>14899409.694647435</v>
      </c>
      <c r="AV184" s="297">
        <f t="shared" si="727"/>
        <v>11563719.029653845</v>
      </c>
      <c r="AW184" s="297">
        <f t="shared" si="727"/>
        <v>59509360.755429484</v>
      </c>
      <c r="AX184" s="297">
        <f t="shared" si="727"/>
        <v>76613734.102814108</v>
      </c>
      <c r="AY184" s="297">
        <f t="shared" si="727"/>
        <v>6555122.2774423072</v>
      </c>
      <c r="AZ184" s="297">
        <f t="shared" si="727"/>
        <v>5584451.4792371793</v>
      </c>
      <c r="BA184" s="297">
        <f t="shared" si="727"/>
        <v>3752327.3175256429</v>
      </c>
      <c r="BB184" s="297">
        <f t="shared" si="727"/>
        <v>30587085.665487178</v>
      </c>
      <c r="BC184" s="297">
        <f t="shared" si="727"/>
        <v>14676659.384153847</v>
      </c>
      <c r="BD184" s="297">
        <f t="shared" si="727"/>
        <v>8920456.4906730764</v>
      </c>
      <c r="BE184" s="297">
        <f t="shared" si="727"/>
        <v>9217087.7339615375</v>
      </c>
      <c r="BF184" s="297">
        <f t="shared" si="727"/>
        <v>5717128</v>
      </c>
      <c r="BG184" s="297">
        <f t="shared" si="727"/>
        <v>44131809</v>
      </c>
      <c r="BH184" s="297">
        <f t="shared" si="727"/>
        <v>19861942</v>
      </c>
      <c r="BI184" s="297">
        <f t="shared" si="727"/>
        <v>23476483</v>
      </c>
      <c r="BJ184" s="297">
        <f t="shared" si="727"/>
        <v>22707539</v>
      </c>
      <c r="BK184" s="297">
        <f t="shared" si="727"/>
        <v>6573629</v>
      </c>
      <c r="BL184" s="297">
        <f t="shared" si="727"/>
        <v>8970201</v>
      </c>
      <c r="BM184" s="297">
        <f t="shared" si="727"/>
        <v>7942515</v>
      </c>
      <c r="BN184" s="297">
        <f t="shared" si="727"/>
        <v>8597920.2554945052</v>
      </c>
      <c r="BO184" s="297">
        <f t="shared" ref="BO184:CT184" si="728">SUM(BO185:BO186)</f>
        <v>9354470.2554945052</v>
      </c>
      <c r="BP184" s="297">
        <f t="shared" si="728"/>
        <v>4810731</v>
      </c>
      <c r="BQ184" s="297">
        <f t="shared" si="728"/>
        <v>13722382</v>
      </c>
      <c r="BR184" s="297">
        <f t="shared" si="728"/>
        <v>12122298</v>
      </c>
      <c r="BS184" s="297">
        <f t="shared" si="728"/>
        <v>7198052</v>
      </c>
      <c r="BT184" s="297">
        <f t="shared" si="728"/>
        <v>7499633</v>
      </c>
      <c r="BU184" s="297">
        <f t="shared" si="728"/>
        <v>16710385</v>
      </c>
      <c r="BV184" s="297">
        <f t="shared" si="728"/>
        <v>10888912</v>
      </c>
      <c r="BW184" s="297">
        <f t="shared" si="728"/>
        <v>10171042</v>
      </c>
      <c r="BX184" s="297">
        <f t="shared" si="728"/>
        <v>9799280</v>
      </c>
      <c r="BY184" s="297">
        <f t="shared" si="728"/>
        <v>12822771</v>
      </c>
      <c r="BZ184" s="297">
        <f t="shared" si="728"/>
        <v>8056919</v>
      </c>
      <c r="CA184" s="297">
        <f t="shared" si="728"/>
        <v>8778311</v>
      </c>
      <c r="CB184" s="297">
        <f t="shared" si="728"/>
        <v>7239548</v>
      </c>
      <c r="CC184" s="297">
        <f t="shared" si="728"/>
        <v>9079282</v>
      </c>
      <c r="CD184" s="297">
        <f t="shared" si="728"/>
        <v>7487403</v>
      </c>
      <c r="CE184" s="297">
        <f t="shared" si="728"/>
        <v>10155995</v>
      </c>
      <c r="CF184" s="297">
        <f t="shared" si="728"/>
        <v>10065655</v>
      </c>
      <c r="CG184" s="297">
        <f t="shared" si="728"/>
        <v>22830463</v>
      </c>
      <c r="CH184" s="297">
        <f t="shared" si="728"/>
        <v>7788641</v>
      </c>
      <c r="CI184" s="297">
        <f t="shared" si="728"/>
        <v>9729924</v>
      </c>
      <c r="CJ184" s="297">
        <f t="shared" si="728"/>
        <v>11571960</v>
      </c>
      <c r="CK184" s="297">
        <f t="shared" si="728"/>
        <v>12441263</v>
      </c>
      <c r="CL184" s="297">
        <f t="shared" si="728"/>
        <v>11776283</v>
      </c>
      <c r="CM184" s="297">
        <f t="shared" si="728"/>
        <v>8701841</v>
      </c>
      <c r="CN184" s="297">
        <f t="shared" si="728"/>
        <v>11427590</v>
      </c>
      <c r="CO184" s="297">
        <f t="shared" si="728"/>
        <v>10011860</v>
      </c>
      <c r="CP184" s="297">
        <f t="shared" si="728"/>
        <v>12121151</v>
      </c>
      <c r="CQ184" s="297">
        <f t="shared" si="728"/>
        <v>10681139.5</v>
      </c>
      <c r="CR184" s="297">
        <f t="shared" si="728"/>
        <v>9623810</v>
      </c>
      <c r="CS184" s="297">
        <f t="shared" si="728"/>
        <v>8368565</v>
      </c>
      <c r="CT184" s="297">
        <f t="shared" si="728"/>
        <v>10754471</v>
      </c>
      <c r="CU184" s="297">
        <f t="shared" ref="CU184:DR184" si="729">SUM(CU185:CU186)</f>
        <v>127209857.5</v>
      </c>
      <c r="CV184" s="297">
        <f t="shared" si="729"/>
        <v>8148851.125</v>
      </c>
      <c r="CW184" s="297">
        <f t="shared" si="729"/>
        <v>8148851.125</v>
      </c>
      <c r="CX184" s="297">
        <f t="shared" si="729"/>
        <v>8148851.125</v>
      </c>
      <c r="CY184" s="297">
        <f t="shared" si="729"/>
        <v>8148851.125</v>
      </c>
      <c r="CZ184" s="297">
        <f t="shared" si="729"/>
        <v>8148851.125</v>
      </c>
      <c r="DA184" s="297">
        <f t="shared" si="729"/>
        <v>8148851.125</v>
      </c>
      <c r="DB184" s="297">
        <f t="shared" si="729"/>
        <v>8202995.1375000002</v>
      </c>
      <c r="DC184" s="297">
        <f t="shared" si="729"/>
        <v>8202995.1375000002</v>
      </c>
      <c r="DD184" s="297">
        <f t="shared" si="729"/>
        <v>8202995.1375000002</v>
      </c>
      <c r="DE184" s="297">
        <f t="shared" si="729"/>
        <v>8202995.1375000002</v>
      </c>
      <c r="DF184" s="297">
        <f t="shared" si="729"/>
        <v>8202995.1375000002</v>
      </c>
      <c r="DG184" s="297">
        <f t="shared" si="729"/>
        <v>8202995.1375000002</v>
      </c>
      <c r="DH184" s="297">
        <f t="shared" si="729"/>
        <v>9262890.7687499989</v>
      </c>
      <c r="DI184" s="297">
        <f t="shared" si="729"/>
        <v>9262890.7687499989</v>
      </c>
      <c r="DJ184" s="297">
        <f t="shared" si="729"/>
        <v>9262890.7687499989</v>
      </c>
      <c r="DK184" s="297">
        <f t="shared" si="729"/>
        <v>9262890.7687499989</v>
      </c>
      <c r="DL184" s="297">
        <f t="shared" si="729"/>
        <v>9262890.7687499989</v>
      </c>
      <c r="DM184" s="297">
        <f t="shared" si="729"/>
        <v>9262890.7687499989</v>
      </c>
      <c r="DN184" s="297">
        <f t="shared" si="729"/>
        <v>9319741.9818749987</v>
      </c>
      <c r="DO184" s="297">
        <f t="shared" si="729"/>
        <v>9319741.9818749987</v>
      </c>
      <c r="DP184" s="297">
        <f t="shared" si="729"/>
        <v>9319741.9818749987</v>
      </c>
      <c r="DQ184" s="297">
        <f t="shared" si="729"/>
        <v>9319741.9818749987</v>
      </c>
      <c r="DR184" s="297">
        <f t="shared" si="729"/>
        <v>9319741.9818749987</v>
      </c>
      <c r="DS184" s="297">
        <f t="shared" ref="DS184:ED184" si="730">SUM(DS185:DS186)</f>
        <v>9319741.9818749987</v>
      </c>
      <c r="DT184" s="297">
        <f t="shared" si="730"/>
        <v>10538621.957812499</v>
      </c>
      <c r="DU184" s="297">
        <f t="shared" si="730"/>
        <v>10538621.957812499</v>
      </c>
      <c r="DV184" s="297">
        <f t="shared" si="730"/>
        <v>10538621.957812499</v>
      </c>
      <c r="DW184" s="297">
        <f t="shared" si="730"/>
        <v>10538621.957812499</v>
      </c>
      <c r="DX184" s="297">
        <f t="shared" si="730"/>
        <v>10538621.957812499</v>
      </c>
      <c r="DY184" s="297">
        <f t="shared" si="730"/>
        <v>10538621.957812499</v>
      </c>
      <c r="DZ184" s="297">
        <f t="shared" si="730"/>
        <v>10598315.731593749</v>
      </c>
      <c r="EA184" s="297">
        <f t="shared" si="730"/>
        <v>10598315.731593749</v>
      </c>
      <c r="EB184" s="297">
        <f t="shared" si="730"/>
        <v>10598315.731593749</v>
      </c>
      <c r="EC184" s="297">
        <f t="shared" si="730"/>
        <v>10598315.731593749</v>
      </c>
      <c r="ED184" s="297">
        <f t="shared" si="730"/>
        <v>10598315.731593749</v>
      </c>
      <c r="EE184" s="222"/>
      <c r="EF184" s="297">
        <f>SUM(BK184:BM184)</f>
        <v>23486345</v>
      </c>
      <c r="EG184" s="297">
        <f>SUM(BN184:BP184)</f>
        <v>22763121.51098901</v>
      </c>
      <c r="EH184" s="297">
        <f>SUM(BQ184:BS184)</f>
        <v>33042732</v>
      </c>
      <c r="EI184" s="297">
        <f>SUM(BT184:BV184)</f>
        <v>35098930</v>
      </c>
      <c r="EJ184" s="297">
        <f>SUM(BW184:BY184)</f>
        <v>32793093</v>
      </c>
      <c r="EK184" s="297">
        <f>SUM(BZ184:CB184)</f>
        <v>24074778</v>
      </c>
      <c r="EL184" s="297">
        <f>SUM(CC184:CE184)</f>
        <v>26722680</v>
      </c>
      <c r="EM184" s="297">
        <f>SUM(CF184:CH184)</f>
        <v>40684759</v>
      </c>
      <c r="EN184" s="297">
        <f>SUM(CI184:CK184)</f>
        <v>33743147</v>
      </c>
      <c r="EO184" s="297">
        <f>SUM(CL184:CN184)</f>
        <v>31905714</v>
      </c>
      <c r="EP184" s="297">
        <f>SUM(CO184:CQ184)</f>
        <v>32814150.5</v>
      </c>
      <c r="EQ184" s="297">
        <f>SUM(CR184:CT184)</f>
        <v>28746846</v>
      </c>
      <c r="ER184" s="297">
        <f>SUM(CU184:CW184)</f>
        <v>143507559.75</v>
      </c>
      <c r="ES184" s="297">
        <f>SUM(CX184:CZ184)</f>
        <v>24446553.375</v>
      </c>
      <c r="ET184" s="297">
        <f>SUM(DA184:DC184)</f>
        <v>24554841.399999999</v>
      </c>
      <c r="EU184" s="297">
        <f>SUM(DD184:DF184)</f>
        <v>24608985.412500001</v>
      </c>
      <c r="EV184" s="297">
        <f>SUM(DG184:DI184)</f>
        <v>26728776.674999997</v>
      </c>
      <c r="EW184" s="297">
        <f>SUM(DJ184:DL184)</f>
        <v>27788672.306249999</v>
      </c>
      <c r="EX184" s="297">
        <f>SUM(DM184:DO184)</f>
        <v>27902374.732499998</v>
      </c>
      <c r="EY184" s="297">
        <f>SUM(DP184:DR184)</f>
        <v>27959225.945624996</v>
      </c>
      <c r="EZ184" s="297">
        <f t="shared" ref="EZ184:EZ185" si="731">SUM(DS184:DU184)</f>
        <v>30396985.897499997</v>
      </c>
      <c r="FA184" s="297">
        <f t="shared" ref="FA184:FA185" si="732">SUM(DV184:DX184)</f>
        <v>31615865.873437498</v>
      </c>
      <c r="FB184" s="297">
        <f t="shared" ref="FB184:FB185" si="733">SUM(DY184:EA184)</f>
        <v>31735253.420999996</v>
      </c>
      <c r="FC184" s="297">
        <f t="shared" ref="FC184:FC185" si="734">SUM(EB184:ED184)</f>
        <v>31794947.194781244</v>
      </c>
      <c r="FE184" s="297">
        <f t="shared" ref="FE184:FE186" si="735">SUM(EF184:EI184)</f>
        <v>114391128.51098901</v>
      </c>
      <c r="FF184" s="297">
        <f t="shared" ref="FF184:FF186" si="736">SUM(EJ184:EM184)</f>
        <v>124275310</v>
      </c>
      <c r="FG184" s="297">
        <f t="shared" ref="FG184:FG186" si="737">SUM(EN184:EQ184)</f>
        <v>127209857.5</v>
      </c>
      <c r="FH184" s="297">
        <f t="shared" ref="FH184:FH186" si="738">SUM(ER184:EU184)</f>
        <v>217117939.9375</v>
      </c>
      <c r="FI184" s="297">
        <f t="shared" ref="FI184:FI186" si="739">SUM(EV184:EY184)</f>
        <v>110379049.65937498</v>
      </c>
      <c r="FJ184" s="774">
        <f t="shared" si="537"/>
        <v>125543052.38671874</v>
      </c>
      <c r="FK184" s="545" t="s">
        <v>1</v>
      </c>
    </row>
    <row r="185" spans="2:167" x14ac:dyDescent="0.2">
      <c r="B185" s="225" t="s">
        <v>323</v>
      </c>
      <c r="C185" s="19">
        <v>1008787</v>
      </c>
      <c r="D185" s="19">
        <v>901968</v>
      </c>
      <c r="E185" s="19">
        <v>923125</v>
      </c>
      <c r="F185" s="19">
        <v>1167941</v>
      </c>
      <c r="G185" s="19">
        <v>1802594</v>
      </c>
      <c r="H185" s="19">
        <v>1645680</v>
      </c>
      <c r="I185" s="19">
        <v>1550309</v>
      </c>
      <c r="J185" s="19">
        <v>1699604</v>
      </c>
      <c r="K185" s="19">
        <v>7414989.2300000004</v>
      </c>
      <c r="L185" s="19">
        <v>4714251</v>
      </c>
      <c r="M185" s="19">
        <v>6115508.7599999998</v>
      </c>
      <c r="N185" s="19">
        <v>5158013.1400000006</v>
      </c>
      <c r="O185" s="19">
        <v>4965529.7699999996</v>
      </c>
      <c r="P185" s="19">
        <v>9382696</v>
      </c>
      <c r="Q185" s="19">
        <v>8244211</v>
      </c>
      <c r="R185" s="19">
        <v>4952003.6399999997</v>
      </c>
      <c r="S185" s="19">
        <v>4267095</v>
      </c>
      <c r="T185" s="19">
        <v>5316078</v>
      </c>
      <c r="U185" s="19">
        <v>5110067</v>
      </c>
      <c r="V185" s="19">
        <v>5529368</v>
      </c>
      <c r="W185" s="19">
        <v>4524715</v>
      </c>
      <c r="X185" s="19">
        <v>5713997</v>
      </c>
      <c r="Y185" s="19">
        <v>5843707</v>
      </c>
      <c r="Z185" s="19">
        <v>5008546</v>
      </c>
      <c r="AA185" s="19">
        <v>4168296</v>
      </c>
      <c r="AB185" s="19">
        <v>4087286</v>
      </c>
      <c r="AC185" s="19">
        <v>1949280.56</v>
      </c>
      <c r="AD185" s="19">
        <v>2083500</v>
      </c>
      <c r="AE185" s="19">
        <v>2158019.1339999987</v>
      </c>
      <c r="AF185" s="19">
        <v>3006608.1222499995</v>
      </c>
      <c r="AG185" s="19">
        <v>2941949.98</v>
      </c>
      <c r="AH185" s="19">
        <v>2947288.4619999998</v>
      </c>
      <c r="AI185" s="19">
        <v>3624486.1498333332</v>
      </c>
      <c r="AJ185" s="19">
        <v>4048414.6875</v>
      </c>
      <c r="AK185" s="19">
        <v>3998320.9668653826</v>
      </c>
      <c r="AL185" s="19">
        <v>3309170.9324551299</v>
      </c>
      <c r="AM185" s="19">
        <v>3960661.2382884608</v>
      </c>
      <c r="AN185" s="19">
        <v>3127001.5546410261</v>
      </c>
      <c r="AO185" s="19">
        <v>3434760.5305512818</v>
      </c>
      <c r="AP185" s="19">
        <v>3657524.8928141035</v>
      </c>
      <c r="AQ185" s="19">
        <v>37144924.957852565</v>
      </c>
      <c r="AR185" s="19">
        <v>39364006.866096154</v>
      </c>
      <c r="AS185" s="19">
        <v>13120583.724403847</v>
      </c>
      <c r="AT185" s="19">
        <v>13137585.222884618</v>
      </c>
      <c r="AU185" s="19">
        <v>14899409.694647435</v>
      </c>
      <c r="AV185" s="19">
        <v>11563719.029653845</v>
      </c>
      <c r="AW185" s="19">
        <v>59509360.755429484</v>
      </c>
      <c r="AX185" s="19">
        <v>76613734.102814108</v>
      </c>
      <c r="AY185" s="19">
        <v>6555122.2774423072</v>
      </c>
      <c r="AZ185" s="19">
        <v>5584451.4792371793</v>
      </c>
      <c r="BA185" s="19">
        <v>3752327.3175256429</v>
      </c>
      <c r="BB185" s="19">
        <v>30587085.665487178</v>
      </c>
      <c r="BC185" s="19">
        <v>14676659.384153847</v>
      </c>
      <c r="BD185" s="19">
        <v>8920456.4906730764</v>
      </c>
      <c r="BE185" s="19">
        <v>9217087.7339615375</v>
      </c>
      <c r="BF185" s="19">
        <v>5717128</v>
      </c>
      <c r="BG185" s="19">
        <v>44131809</v>
      </c>
      <c r="BH185" s="19">
        <v>19861942</v>
      </c>
      <c r="BI185" s="19">
        <v>23476483</v>
      </c>
      <c r="BJ185" s="19">
        <v>22707539</v>
      </c>
      <c r="BK185" s="19">
        <v>6573629</v>
      </c>
      <c r="BL185" s="19">
        <v>8970201</v>
      </c>
      <c r="BM185" s="19">
        <v>7942515</v>
      </c>
      <c r="BN185" s="19">
        <v>8597920.2554945052</v>
      </c>
      <c r="BO185" s="19">
        <v>9354470.2554945052</v>
      </c>
      <c r="BP185" s="19">
        <v>4810731</v>
      </c>
      <c r="BQ185" s="19">
        <v>13722382</v>
      </c>
      <c r="BR185" s="19">
        <v>12122298</v>
      </c>
      <c r="BS185" s="19">
        <v>7198052</v>
      </c>
      <c r="BT185" s="19">
        <v>7499633</v>
      </c>
      <c r="BU185" s="19">
        <v>16710385</v>
      </c>
      <c r="BV185" s="19">
        <v>10888912</v>
      </c>
      <c r="BW185" s="19">
        <v>10171042</v>
      </c>
      <c r="BX185" s="19">
        <v>9799280</v>
      </c>
      <c r="BY185" s="19">
        <v>12822771</v>
      </c>
      <c r="BZ185" s="19">
        <v>8056919</v>
      </c>
      <c r="CA185" s="19">
        <v>8778311</v>
      </c>
      <c r="CB185" s="19">
        <v>7239548</v>
      </c>
      <c r="CC185" s="19">
        <v>9079282</v>
      </c>
      <c r="CD185" s="19">
        <v>7487403</v>
      </c>
      <c r="CE185" s="19">
        <v>10155995</v>
      </c>
      <c r="CF185" s="19">
        <v>10065655</v>
      </c>
      <c r="CG185" s="19">
        <v>22830463</v>
      </c>
      <c r="CH185" s="19">
        <v>7788641</v>
      </c>
      <c r="CI185" s="19">
        <v>9729924</v>
      </c>
      <c r="CJ185" s="19">
        <v>11571960</v>
      </c>
      <c r="CK185" s="19">
        <v>12441263</v>
      </c>
      <c r="CL185" s="19">
        <v>11776283</v>
      </c>
      <c r="CM185" s="19">
        <v>8701841</v>
      </c>
      <c r="CN185" s="19">
        <v>11427590</v>
      </c>
      <c r="CO185" s="19">
        <v>10011860</v>
      </c>
      <c r="CP185" s="19">
        <v>12121151</v>
      </c>
      <c r="CQ185" s="19">
        <v>10681139.5</v>
      </c>
      <c r="CR185" s="19">
        <v>9623810</v>
      </c>
      <c r="CS185" s="19">
        <v>8368565</v>
      </c>
      <c r="CT185" s="19">
        <v>10754471</v>
      </c>
      <c r="CU185" s="19">
        <v>127209857.5</v>
      </c>
      <c r="CV185" s="19">
        <f>Refurbished!CU123+Marketplace!CU39</f>
        <v>8148851.125</v>
      </c>
      <c r="CW185" s="19">
        <f>Refurbished!CV123+Marketplace!CV39</f>
        <v>8148851.125</v>
      </c>
      <c r="CX185" s="19">
        <f>Refurbished!CW123+Marketplace!CW39</f>
        <v>8148851.125</v>
      </c>
      <c r="CY185" s="19">
        <f>Refurbished!CX123+Marketplace!CX39</f>
        <v>8148851.125</v>
      </c>
      <c r="CZ185" s="19">
        <f>Refurbished!CY123+Marketplace!CY39</f>
        <v>8148851.125</v>
      </c>
      <c r="DA185" s="19">
        <f>Refurbished!CZ123+Marketplace!CZ39</f>
        <v>8148851.125</v>
      </c>
      <c r="DB185" s="19">
        <f>Refurbished!DA123+Marketplace!DA39</f>
        <v>8202995.1375000002</v>
      </c>
      <c r="DC185" s="19">
        <f>Refurbished!DB123+Marketplace!DB39</f>
        <v>8202995.1375000002</v>
      </c>
      <c r="DD185" s="19">
        <f>Refurbished!DC123+Marketplace!DC39</f>
        <v>8202995.1375000002</v>
      </c>
      <c r="DE185" s="19">
        <f>Refurbished!DD123+Marketplace!DD39</f>
        <v>8202995.1375000002</v>
      </c>
      <c r="DF185" s="19">
        <f>Refurbished!DE123+Marketplace!DE39</f>
        <v>8202995.1375000002</v>
      </c>
      <c r="DG185" s="19">
        <f>Refurbished!DF123+Marketplace!DF39</f>
        <v>8202995.1375000002</v>
      </c>
      <c r="DH185" s="19">
        <f>Refurbished!DG123+Marketplace!DG39</f>
        <v>9262890.7687499989</v>
      </c>
      <c r="DI185" s="19">
        <f>Refurbished!DH123+Marketplace!DH39</f>
        <v>9262890.7687499989</v>
      </c>
      <c r="DJ185" s="19">
        <f>Refurbished!DI123+Marketplace!DI39</f>
        <v>9262890.7687499989</v>
      </c>
      <c r="DK185" s="19">
        <f>Refurbished!DJ123+Marketplace!DJ39</f>
        <v>9262890.7687499989</v>
      </c>
      <c r="DL185" s="19">
        <f>Refurbished!DK123+Marketplace!DK39</f>
        <v>9262890.7687499989</v>
      </c>
      <c r="DM185" s="19">
        <f>Refurbished!DL123+Marketplace!DL39</f>
        <v>9262890.7687499989</v>
      </c>
      <c r="DN185" s="19">
        <f>Refurbished!DM123+Marketplace!DM39</f>
        <v>9319741.9818749987</v>
      </c>
      <c r="DO185" s="19">
        <f>Refurbished!DN123+Marketplace!DN39</f>
        <v>9319741.9818749987</v>
      </c>
      <c r="DP185" s="19">
        <f>Refurbished!DO123+Marketplace!DO39</f>
        <v>9319741.9818749987</v>
      </c>
      <c r="DQ185" s="19">
        <f>Refurbished!DP123+Marketplace!DP39</f>
        <v>9319741.9818749987</v>
      </c>
      <c r="DR185" s="19">
        <f>Refurbished!DQ123+Marketplace!DQ39</f>
        <v>9319741.9818749987</v>
      </c>
      <c r="DS185" s="19">
        <f>Refurbished!DR123+Marketplace!DR39</f>
        <v>9319741.9818749987</v>
      </c>
      <c r="DT185" s="19">
        <f>Refurbished!DS123+Marketplace!DS39</f>
        <v>10538621.957812499</v>
      </c>
      <c r="DU185" s="19">
        <f>Refurbished!DT123+Marketplace!DT39</f>
        <v>10538621.957812499</v>
      </c>
      <c r="DV185" s="19">
        <f>Refurbished!DU123+Marketplace!DU39</f>
        <v>10538621.957812499</v>
      </c>
      <c r="DW185" s="19">
        <f>Refurbished!DV123+Marketplace!DV39</f>
        <v>10538621.957812499</v>
      </c>
      <c r="DX185" s="19">
        <f>Refurbished!DW123+Marketplace!DW39</f>
        <v>10538621.957812499</v>
      </c>
      <c r="DY185" s="19">
        <f>Refurbished!DX123+Marketplace!DX39</f>
        <v>10538621.957812499</v>
      </c>
      <c r="DZ185" s="19">
        <f>Refurbished!DY123+Marketplace!DY39</f>
        <v>10598315.731593749</v>
      </c>
      <c r="EA185" s="19">
        <f>Refurbished!DZ123+Marketplace!DZ39</f>
        <v>10598315.731593749</v>
      </c>
      <c r="EB185" s="19">
        <f>Refurbished!EA123+Marketplace!EA39</f>
        <v>10598315.731593749</v>
      </c>
      <c r="EC185" s="19">
        <f>Refurbished!EB123+Marketplace!EB39</f>
        <v>10598315.731593749</v>
      </c>
      <c r="ED185" s="19">
        <f>Refurbished!EC123+Marketplace!EC39</f>
        <v>10598315.731593749</v>
      </c>
      <c r="EE185" s="222"/>
      <c r="EF185" s="19">
        <f>SUM(BK185:BM185)</f>
        <v>23486345</v>
      </c>
      <c r="EG185" s="19">
        <f>SUM(BN185:BP185)</f>
        <v>22763121.51098901</v>
      </c>
      <c r="EH185" s="19">
        <f>SUM(BQ185:BS185)</f>
        <v>33042732</v>
      </c>
      <c r="EI185" s="19">
        <f>SUM(BT185:BV185)</f>
        <v>35098930</v>
      </c>
      <c r="EJ185" s="19">
        <f>SUM(BW185:BY185)</f>
        <v>32793093</v>
      </c>
      <c r="EK185" s="19">
        <f>SUM(BZ185:CB185)</f>
        <v>24074778</v>
      </c>
      <c r="EL185" s="19">
        <f>SUM(CC185:CE185)</f>
        <v>26722680</v>
      </c>
      <c r="EM185" s="19">
        <f>SUM(CF185:CH185)</f>
        <v>40684759</v>
      </c>
      <c r="EN185" s="19">
        <f>SUM(CI185:CK185)</f>
        <v>33743147</v>
      </c>
      <c r="EO185" s="19">
        <f>SUM(CL185:CN185)</f>
        <v>31905714</v>
      </c>
      <c r="EP185" s="19">
        <f>SUM(CO185:CQ185)</f>
        <v>32814150.5</v>
      </c>
      <c r="EQ185" s="19">
        <f>SUM(CR185:CT185)</f>
        <v>28746846</v>
      </c>
      <c r="ER185" s="19">
        <f>SUM(CU185:CW185)</f>
        <v>143507559.75</v>
      </c>
      <c r="ES185" s="19">
        <f>SUM(CX185:CZ185)</f>
        <v>24446553.375</v>
      </c>
      <c r="ET185" s="19">
        <f>SUM(DA185:DC185)</f>
        <v>24554841.399999999</v>
      </c>
      <c r="EU185" s="19">
        <f>SUM(DD185:DF185)</f>
        <v>24608985.412500001</v>
      </c>
      <c r="EV185" s="19">
        <f>SUM(DG185:DI185)</f>
        <v>26728776.674999997</v>
      </c>
      <c r="EW185" s="19">
        <f>SUM(DJ185:DL185)</f>
        <v>27788672.306249999</v>
      </c>
      <c r="EX185" s="19">
        <f>SUM(DM185:DO185)</f>
        <v>27902374.732499998</v>
      </c>
      <c r="EY185" s="19">
        <f>SUM(DP185:DR185)</f>
        <v>27959225.945624996</v>
      </c>
      <c r="EZ185" s="19">
        <f t="shared" si="731"/>
        <v>30396985.897499997</v>
      </c>
      <c r="FA185" s="19">
        <f t="shared" si="732"/>
        <v>31615865.873437498</v>
      </c>
      <c r="FB185" s="19">
        <f t="shared" si="733"/>
        <v>31735253.420999996</v>
      </c>
      <c r="FC185" s="19">
        <f t="shared" si="734"/>
        <v>31794947.194781244</v>
      </c>
      <c r="FE185" s="19">
        <f t="shared" si="735"/>
        <v>114391128.51098901</v>
      </c>
      <c r="FF185" s="19">
        <f t="shared" si="736"/>
        <v>124275310</v>
      </c>
      <c r="FG185" s="19">
        <f t="shared" si="737"/>
        <v>127209857.5</v>
      </c>
      <c r="FH185" s="19">
        <f t="shared" si="738"/>
        <v>217117939.9375</v>
      </c>
      <c r="FI185" s="19">
        <f t="shared" si="739"/>
        <v>110379049.65937498</v>
      </c>
      <c r="FJ185" s="770">
        <f t="shared" si="537"/>
        <v>125543052.38671874</v>
      </c>
      <c r="FK185" s="545" t="s">
        <v>1</v>
      </c>
    </row>
    <row r="186" spans="2:167" x14ac:dyDescent="0.2">
      <c r="B186" s="225" t="s">
        <v>310</v>
      </c>
      <c r="C186" s="19">
        <v>0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4387420.41</v>
      </c>
      <c r="L186" s="19">
        <v>6348055.1950000003</v>
      </c>
      <c r="M186" s="19">
        <v>7878046.8300000001</v>
      </c>
      <c r="N186" s="19">
        <v>4529495.38</v>
      </c>
      <c r="O186" s="19">
        <v>4487306.4800000004</v>
      </c>
      <c r="P186" s="19">
        <v>2593488.96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  <c r="AD186" s="19">
        <v>0</v>
      </c>
      <c r="AE186" s="19">
        <v>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19">
        <v>0</v>
      </c>
      <c r="AM186" s="19">
        <v>0</v>
      </c>
      <c r="AN186" s="19">
        <v>0</v>
      </c>
      <c r="AO186" s="19">
        <v>0</v>
      </c>
      <c r="AP186" s="19">
        <v>0</v>
      </c>
      <c r="AQ186" s="19">
        <v>0</v>
      </c>
      <c r="AR186" s="19">
        <v>0</v>
      </c>
      <c r="AS186" s="19">
        <v>0</v>
      </c>
      <c r="AT186" s="19">
        <v>0</v>
      </c>
      <c r="AU186" s="19">
        <v>0</v>
      </c>
      <c r="AV186" s="19">
        <v>0</v>
      </c>
      <c r="AW186" s="19">
        <v>0</v>
      </c>
      <c r="AX186" s="19">
        <v>0</v>
      </c>
      <c r="AY186" s="19">
        <v>0</v>
      </c>
      <c r="AZ186" s="19">
        <v>0</v>
      </c>
      <c r="BA186" s="19">
        <v>0</v>
      </c>
      <c r="BB186" s="19">
        <v>0</v>
      </c>
      <c r="BC186" s="19">
        <v>0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9">
        <v>0</v>
      </c>
      <c r="BL186" s="19">
        <v>0</v>
      </c>
      <c r="BM186" s="19">
        <v>0</v>
      </c>
      <c r="BN186" s="19">
        <v>0</v>
      </c>
      <c r="BO186" s="19">
        <v>0</v>
      </c>
      <c r="BP186" s="19">
        <v>0</v>
      </c>
      <c r="BQ186" s="19">
        <v>0</v>
      </c>
      <c r="BR186" s="19">
        <v>0</v>
      </c>
      <c r="BS186" s="19">
        <v>0</v>
      </c>
      <c r="BT186" s="19">
        <v>0</v>
      </c>
      <c r="BU186" s="19">
        <v>0</v>
      </c>
      <c r="BV186" s="19">
        <v>0</v>
      </c>
      <c r="BW186" s="19">
        <v>0</v>
      </c>
      <c r="BX186" s="19">
        <v>0</v>
      </c>
      <c r="BY186" s="19">
        <v>0</v>
      </c>
      <c r="BZ186" s="19">
        <v>0</v>
      </c>
      <c r="CA186" s="19">
        <v>0</v>
      </c>
      <c r="CB186" s="19">
        <v>0</v>
      </c>
      <c r="CC186" s="19">
        <v>0</v>
      </c>
      <c r="CD186" s="19">
        <v>0</v>
      </c>
      <c r="CE186" s="19">
        <v>0</v>
      </c>
      <c r="CF186" s="19">
        <v>0</v>
      </c>
      <c r="CG186" s="19">
        <v>0</v>
      </c>
      <c r="CH186" s="19">
        <v>0</v>
      </c>
      <c r="CI186" s="19">
        <v>0</v>
      </c>
      <c r="CJ186" s="19">
        <v>0</v>
      </c>
      <c r="CK186" s="19">
        <v>0</v>
      </c>
      <c r="CL186" s="19">
        <v>0</v>
      </c>
      <c r="CM186" s="19">
        <v>0</v>
      </c>
      <c r="CN186" s="19">
        <v>0</v>
      </c>
      <c r="CO186" s="19">
        <v>0</v>
      </c>
      <c r="CP186" s="19">
        <v>0</v>
      </c>
      <c r="CQ186" s="19">
        <v>0</v>
      </c>
      <c r="CR186" s="19">
        <v>0</v>
      </c>
      <c r="CS186" s="19">
        <v>0</v>
      </c>
      <c r="CT186" s="19">
        <v>0</v>
      </c>
      <c r="CU186" s="19">
        <v>0</v>
      </c>
      <c r="CV186" s="19">
        <v>0</v>
      </c>
      <c r="CW186" s="19">
        <v>0</v>
      </c>
      <c r="CX186" s="19">
        <v>0</v>
      </c>
      <c r="CY186" s="19">
        <v>0</v>
      </c>
      <c r="CZ186" s="19">
        <v>0</v>
      </c>
      <c r="DA186" s="19">
        <v>0</v>
      </c>
      <c r="DB186" s="19">
        <v>0</v>
      </c>
      <c r="DC186" s="19">
        <v>0</v>
      </c>
      <c r="DD186" s="19">
        <v>0</v>
      </c>
      <c r="DE186" s="19">
        <v>0</v>
      </c>
      <c r="DF186" s="19">
        <v>0</v>
      </c>
      <c r="DG186" s="19">
        <v>0</v>
      </c>
      <c r="DH186" s="19">
        <v>0</v>
      </c>
      <c r="DI186" s="19">
        <v>0</v>
      </c>
      <c r="DJ186" s="19">
        <v>0</v>
      </c>
      <c r="DK186" s="19">
        <v>0</v>
      </c>
      <c r="DL186" s="19">
        <v>0</v>
      </c>
      <c r="DM186" s="19">
        <v>0</v>
      </c>
      <c r="DN186" s="19">
        <v>0</v>
      </c>
      <c r="DO186" s="19">
        <v>0</v>
      </c>
      <c r="DP186" s="19">
        <v>0</v>
      </c>
      <c r="DQ186" s="19">
        <v>0</v>
      </c>
      <c r="DR186" s="19">
        <v>0</v>
      </c>
      <c r="DS186" s="19">
        <v>0</v>
      </c>
      <c r="DT186" s="19">
        <v>0</v>
      </c>
      <c r="DU186" s="19">
        <v>0</v>
      </c>
      <c r="DV186" s="19">
        <v>0</v>
      </c>
      <c r="DW186" s="19">
        <v>0</v>
      </c>
      <c r="DX186" s="19">
        <v>0</v>
      </c>
      <c r="DY186" s="19">
        <v>0</v>
      </c>
      <c r="DZ186" s="19">
        <v>0</v>
      </c>
      <c r="EA186" s="19">
        <v>0</v>
      </c>
      <c r="EB186" s="19">
        <v>0</v>
      </c>
      <c r="EC186" s="19">
        <v>0</v>
      </c>
      <c r="ED186" s="19">
        <v>0</v>
      </c>
      <c r="EE186" s="222"/>
      <c r="EF186" s="19">
        <f>SUM(BK186:BM186)</f>
        <v>0</v>
      </c>
      <c r="EG186" s="19">
        <f>SUM(BN186:BP186)</f>
        <v>0</v>
      </c>
      <c r="EH186" s="19">
        <f>SUM(BQ186:BS186)</f>
        <v>0</v>
      </c>
      <c r="EI186" s="19">
        <f>SUM(BT186:BV186)</f>
        <v>0</v>
      </c>
      <c r="EJ186" s="19">
        <f>SUM(BW186:BY186)</f>
        <v>0</v>
      </c>
      <c r="EK186" s="19">
        <f>SUM(BZ186:CB186)</f>
        <v>0</v>
      </c>
      <c r="EL186" s="19">
        <f>SUM(CC186:CE186)</f>
        <v>0</v>
      </c>
      <c r="EM186" s="19">
        <f>SUM(CF186:CH186)</f>
        <v>0</v>
      </c>
      <c r="EN186" s="19">
        <f>SUM(CI186:CK186)</f>
        <v>0</v>
      </c>
      <c r="EO186" s="19">
        <f>SUM(CL186:CN186)</f>
        <v>0</v>
      </c>
      <c r="EP186" s="19">
        <f>SUM(CO186:CQ186)</f>
        <v>0</v>
      </c>
      <c r="EQ186" s="19">
        <f>SUM(CR186:CT186)</f>
        <v>0</v>
      </c>
      <c r="ER186" s="19">
        <f>SUM(CU186:CW186)</f>
        <v>0</v>
      </c>
      <c r="ES186" s="19">
        <f>SUM(CX186:CZ186)</f>
        <v>0</v>
      </c>
      <c r="ET186" s="19">
        <f>SUM(DA186:DC186)</f>
        <v>0</v>
      </c>
      <c r="EU186" s="19">
        <f>SUM(DD186:DF186)</f>
        <v>0</v>
      </c>
      <c r="EV186" s="19">
        <f>SUM(DG186:DI186)</f>
        <v>0</v>
      </c>
      <c r="EW186" s="19">
        <f>SUM(DJ186:DL186)</f>
        <v>0</v>
      </c>
      <c r="EX186" s="19">
        <f>SUM(DM186:DO186)</f>
        <v>0</v>
      </c>
      <c r="EY186" s="19">
        <f>SUM(DP186:DR186)</f>
        <v>0</v>
      </c>
      <c r="EZ186" s="19"/>
      <c r="FA186" s="19"/>
      <c r="FB186" s="19"/>
      <c r="FC186" s="19"/>
      <c r="FE186" s="19">
        <f t="shared" si="735"/>
        <v>0</v>
      </c>
      <c r="FF186" s="19">
        <f t="shared" si="736"/>
        <v>0</v>
      </c>
      <c r="FG186" s="19">
        <f t="shared" si="737"/>
        <v>0</v>
      </c>
      <c r="FH186" s="19">
        <f t="shared" si="738"/>
        <v>0</v>
      </c>
      <c r="FI186" s="19">
        <f t="shared" si="739"/>
        <v>0</v>
      </c>
      <c r="FJ186" s="770">
        <f t="shared" si="537"/>
        <v>0</v>
      </c>
      <c r="FK186" s="545" t="s">
        <v>1</v>
      </c>
    </row>
    <row r="187" spans="2:167" x14ac:dyDescent="0.2">
      <c r="B187" s="226" t="s">
        <v>172</v>
      </c>
      <c r="C187" s="20">
        <f>C184/C63</f>
        <v>7.4113253597868313E-3</v>
      </c>
      <c r="D187" s="20">
        <f t="shared" ref="D187:BO187" si="740">D184/D63</f>
        <v>6.9105853664914339E-3</v>
      </c>
      <c r="E187" s="20">
        <f t="shared" si="740"/>
        <v>6.4576205711422063E-3</v>
      </c>
      <c r="F187" s="20">
        <f t="shared" si="740"/>
        <v>6.9827015106822621E-3</v>
      </c>
      <c r="G187" s="20">
        <f t="shared" si="740"/>
        <v>9.5178354976014744E-3</v>
      </c>
      <c r="H187" s="20">
        <f t="shared" si="740"/>
        <v>8.4393183929747338E-3</v>
      </c>
      <c r="I187" s="20">
        <f t="shared" si="740"/>
        <v>7.3569221888484379E-3</v>
      </c>
      <c r="J187" s="20">
        <f t="shared" si="740"/>
        <v>8.5091769059306883E-3</v>
      </c>
      <c r="K187" s="20">
        <f t="shared" si="740"/>
        <v>4.67945676076773E-2</v>
      </c>
      <c r="L187" s="20">
        <f t="shared" si="740"/>
        <v>4.4685513537540314E-2</v>
      </c>
      <c r="M187" s="20">
        <f t="shared" si="740"/>
        <v>5.4033235470907007E-2</v>
      </c>
      <c r="N187" s="20">
        <f t="shared" si="740"/>
        <v>4.011616488649903E-2</v>
      </c>
      <c r="O187" s="20">
        <f t="shared" si="740"/>
        <v>3.0344621498720931E-2</v>
      </c>
      <c r="P187" s="20">
        <f t="shared" si="740"/>
        <v>3.8254403477059468E-2</v>
      </c>
      <c r="Q187" s="20">
        <f t="shared" si="740"/>
        <v>2.5225569825995713E-2</v>
      </c>
      <c r="R187" s="20">
        <f t="shared" si="740"/>
        <v>1.4222356823322575E-2</v>
      </c>
      <c r="S187" s="20">
        <f t="shared" si="740"/>
        <v>1.5394195773650721E-2</v>
      </c>
      <c r="T187" s="20">
        <f t="shared" si="740"/>
        <v>2.0607113462567061E-2</v>
      </c>
      <c r="U187" s="20">
        <f t="shared" si="740"/>
        <v>2.3136297680248996E-2</v>
      </c>
      <c r="V187" s="20">
        <f t="shared" si="740"/>
        <v>2.3296457205200492E-2</v>
      </c>
      <c r="W187" s="20">
        <f t="shared" si="740"/>
        <v>1.6073725870094407E-2</v>
      </c>
      <c r="X187" s="20">
        <f t="shared" si="740"/>
        <v>1.9602401123405583E-2</v>
      </c>
      <c r="Y187" s="20">
        <f t="shared" si="740"/>
        <v>1.8580387433164345E-2</v>
      </c>
      <c r="Z187" s="20">
        <f t="shared" si="740"/>
        <v>2.4242316242809023E-2</v>
      </c>
      <c r="AA187" s="20">
        <f t="shared" si="740"/>
        <v>-1.3998234675265668</v>
      </c>
      <c r="AB187" s="20">
        <f t="shared" si="740"/>
        <v>2.4396243983500321E-2</v>
      </c>
      <c r="AC187" s="20">
        <f t="shared" si="740"/>
        <v>1.087112050472379E-2</v>
      </c>
      <c r="AD187" s="20">
        <f t="shared" si="740"/>
        <v>1.3318808212376555E-2</v>
      </c>
      <c r="AE187" s="20">
        <f t="shared" si="740"/>
        <v>8.935707590281677E-3</v>
      </c>
      <c r="AF187" s="20">
        <f t="shared" si="740"/>
        <v>1.1861047368976717E-2</v>
      </c>
      <c r="AG187" s="20">
        <f t="shared" si="740"/>
        <v>1.2023109829277455E-2</v>
      </c>
      <c r="AH187" s="20">
        <f t="shared" si="740"/>
        <v>1.0443812051261346E-2</v>
      </c>
      <c r="AI187" s="20">
        <f t="shared" si="740"/>
        <v>7.9993780215054985E-3</v>
      </c>
      <c r="AJ187" s="20">
        <f t="shared" si="740"/>
        <v>9.6268209019124765E-3</v>
      </c>
      <c r="AK187" s="20">
        <f t="shared" si="740"/>
        <v>8.4560662173225505E-3</v>
      </c>
      <c r="AL187" s="20">
        <f t="shared" si="740"/>
        <v>7.9464683443077958E-3</v>
      </c>
      <c r="AM187" s="20">
        <f t="shared" si="740"/>
        <v>1.3880554990565779E-2</v>
      </c>
      <c r="AN187" s="20">
        <f t="shared" si="740"/>
        <v>2.435840389978821E-2</v>
      </c>
      <c r="AO187" s="20">
        <f t="shared" si="740"/>
        <v>1.1747777827181389E-2</v>
      </c>
      <c r="AP187" s="20">
        <f t="shared" si="740"/>
        <v>9.1392955772029126E-3</v>
      </c>
      <c r="AQ187" s="20">
        <f t="shared" si="740"/>
        <v>9.0845355033217265E-2</v>
      </c>
      <c r="AR187" s="20">
        <f t="shared" si="740"/>
        <v>9.4424891456129492E-2</v>
      </c>
      <c r="AS187" s="20">
        <f t="shared" si="740"/>
        <v>3.3223781808973771E-2</v>
      </c>
      <c r="AT187" s="20">
        <f t="shared" si="740"/>
        <v>2.7952240839689058E-2</v>
      </c>
      <c r="AU187" s="20">
        <f t="shared" si="740"/>
        <v>2.4991130066004036E-2</v>
      </c>
      <c r="AV187" s="20">
        <f t="shared" si="740"/>
        <v>1.9964630407895905E-2</v>
      </c>
      <c r="AW187" s="20">
        <f t="shared" si="740"/>
        <v>0.10142520152560291</v>
      </c>
      <c r="AX187" s="20">
        <f t="shared" si="740"/>
        <v>0.13982596335545694</v>
      </c>
      <c r="AY187" s="20">
        <f t="shared" si="740"/>
        <v>1.3205216045426174E-2</v>
      </c>
      <c r="AZ187" s="20">
        <f t="shared" si="740"/>
        <v>9.8581125937551705E-3</v>
      </c>
      <c r="BA187" s="20">
        <f t="shared" si="740"/>
        <v>7.446763162835923E-3</v>
      </c>
      <c r="BB187" s="20">
        <f t="shared" si="740"/>
        <v>5.6750095679407579E-2</v>
      </c>
      <c r="BC187" s="20">
        <f t="shared" si="740"/>
        <v>2.6685160298353973E-2</v>
      </c>
      <c r="BD187" s="20">
        <f t="shared" si="740"/>
        <v>1.6005154911932398E-2</v>
      </c>
      <c r="BE187" s="20">
        <f t="shared" si="740"/>
        <v>1.4143536565845223E-2</v>
      </c>
      <c r="BF187" s="20">
        <f t="shared" si="740"/>
        <v>8.3677086111090312E-3</v>
      </c>
      <c r="BG187" s="20">
        <f t="shared" si="740"/>
        <v>5.2658971938615705E-2</v>
      </c>
      <c r="BH187" s="20">
        <f t="shared" si="740"/>
        <v>2.3936397810736525E-2</v>
      </c>
      <c r="BI187" s="20">
        <f t="shared" si="740"/>
        <v>3.0998582692155087E-2</v>
      </c>
      <c r="BJ187" s="20">
        <f t="shared" si="740"/>
        <v>2.4361987140453654E-2</v>
      </c>
      <c r="BK187" s="20">
        <f t="shared" si="740"/>
        <v>7.2444733274187609E-3</v>
      </c>
      <c r="BL187" s="20">
        <f t="shared" si="740"/>
        <v>9.7976334396464998E-3</v>
      </c>
      <c r="BM187" s="20">
        <f t="shared" si="740"/>
        <v>9.3823730845194429E-3</v>
      </c>
      <c r="BN187" s="20">
        <f t="shared" si="740"/>
        <v>1.1640635959148424E-2</v>
      </c>
      <c r="BO187" s="20">
        <f t="shared" si="740"/>
        <v>1.1995675354596511E-2</v>
      </c>
      <c r="BP187" s="20">
        <f t="shared" ref="BP187:EM187" si="741">BP184/BP63</f>
        <v>6.2648909110711E-3</v>
      </c>
      <c r="BQ187" s="20">
        <f t="shared" si="741"/>
        <v>1.3969912237561728E-2</v>
      </c>
      <c r="BR187" s="20">
        <f t="shared" si="741"/>
        <v>1.3139530074602912E-2</v>
      </c>
      <c r="BS187" s="20">
        <f t="shared" si="741"/>
        <v>8.6690112539758099E-3</v>
      </c>
      <c r="BT187" s="20">
        <f t="shared" si="741"/>
        <v>9.6063832639514107E-3</v>
      </c>
      <c r="BU187" s="20">
        <f t="shared" si="741"/>
        <v>2.3515713419853666E-2</v>
      </c>
      <c r="BV187" s="20">
        <f t="shared" si="741"/>
        <v>1.3095582648303713E-2</v>
      </c>
      <c r="BW187" s="20">
        <f t="shared" si="741"/>
        <v>1.1957025838117363E-2</v>
      </c>
      <c r="BX187" s="20">
        <f t="shared" si="741"/>
        <v>1.1062016415680775E-2</v>
      </c>
      <c r="BY187" s="20">
        <f t="shared" si="741"/>
        <v>1.4274382914932413E-2</v>
      </c>
      <c r="BZ187" s="20">
        <f t="shared" si="741"/>
        <v>9.1200371439365789E-3</v>
      </c>
      <c r="CA187" s="20">
        <f t="shared" si="741"/>
        <v>1.0817810436517363E-2</v>
      </c>
      <c r="CB187" s="20">
        <f t="shared" si="741"/>
        <v>9.6587953253098168E-3</v>
      </c>
      <c r="CC187" s="20">
        <f t="shared" si="741"/>
        <v>9.8104666494848621E-3</v>
      </c>
      <c r="CD187" s="20">
        <f t="shared" si="741"/>
        <v>8.5288669791080459E-3</v>
      </c>
      <c r="CE187" s="20">
        <f t="shared" si="741"/>
        <v>9.9584763422573847E-3</v>
      </c>
      <c r="CF187" s="20">
        <f t="shared" si="741"/>
        <v>9.0395830026736932E-3</v>
      </c>
      <c r="CG187" s="20">
        <f t="shared" si="741"/>
        <v>2.0059338034188141E-2</v>
      </c>
      <c r="CH187" s="20">
        <f t="shared" si="741"/>
        <v>5.4489372295809047E-3</v>
      </c>
      <c r="CI187" s="20">
        <f t="shared" si="741"/>
        <v>7.6084794249420377E-3</v>
      </c>
      <c r="CJ187" s="20">
        <f t="shared" si="741"/>
        <v>9.195855138865042E-3</v>
      </c>
      <c r="CK187" s="20">
        <f t="shared" si="741"/>
        <v>9.8921495656887383E-3</v>
      </c>
      <c r="CL187" s="20">
        <f t="shared" si="741"/>
        <v>8.8898194058572803E-3</v>
      </c>
      <c r="CM187" s="20">
        <f t="shared" si="741"/>
        <v>7.6612507985684272E-3</v>
      </c>
      <c r="CN187" s="20">
        <f t="shared" si="741"/>
        <v>9.9128247167479429E-3</v>
      </c>
      <c r="CO187" s="20">
        <f t="shared" si="741"/>
        <v>7.2097351024124345E-3</v>
      </c>
      <c r="CP187" s="20">
        <f t="shared" si="741"/>
        <v>8.707147956389695E-3</v>
      </c>
      <c r="CQ187" s="20">
        <f t="shared" si="741"/>
        <v>6.3124434409924752E-3</v>
      </c>
      <c r="CR187" s="20">
        <f t="shared" si="741"/>
        <v>5.2924236079921871E-3</v>
      </c>
      <c r="CS187" s="20">
        <f t="shared" si="741"/>
        <v>5.0738954674419386E-3</v>
      </c>
      <c r="CT187" s="20">
        <f t="shared" si="741"/>
        <v>5.8361288416901459E-3</v>
      </c>
      <c r="CU187" s="20">
        <f t="shared" si="741"/>
        <v>7.4886823884376799E-2</v>
      </c>
      <c r="CV187" s="20">
        <f t="shared" si="741"/>
        <v>4.7446010578508441E-3</v>
      </c>
      <c r="CW187" s="20">
        <f t="shared" si="741"/>
        <v>4.8555122317529452E-3</v>
      </c>
      <c r="CX187" s="20">
        <f t="shared" si="741"/>
        <v>4.6700862966840301E-3</v>
      </c>
      <c r="CY187" s="20">
        <f t="shared" si="741"/>
        <v>5.0833055186705473E-3</v>
      </c>
      <c r="CZ187" s="20">
        <f t="shared" si="741"/>
        <v>5.297911807364694E-3</v>
      </c>
      <c r="DA187" s="20">
        <f t="shared" si="741"/>
        <v>4.6072176473665538E-3</v>
      </c>
      <c r="DB187" s="20">
        <f t="shared" si="741"/>
        <v>4.5151376474961025E-3</v>
      </c>
      <c r="DC187" s="20">
        <f t="shared" si="741"/>
        <v>3.887730661668492E-3</v>
      </c>
      <c r="DD187" s="20">
        <f t="shared" si="741"/>
        <v>3.8699769868915141E-3</v>
      </c>
      <c r="DE187" s="20">
        <f t="shared" si="741"/>
        <v>4.1817674695334567E-3</v>
      </c>
      <c r="DF187" s="20">
        <f t="shared" si="741"/>
        <v>3.8893505967662187E-3</v>
      </c>
      <c r="DG187" s="20">
        <f t="shared" si="741"/>
        <v>3.9493253978494409E-3</v>
      </c>
      <c r="DH187" s="20">
        <f t="shared" si="741"/>
        <v>4.4059064236225418E-3</v>
      </c>
      <c r="DI187" s="20">
        <f t="shared" si="741"/>
        <v>4.5203761780149747E-3</v>
      </c>
      <c r="DJ187" s="20">
        <f t="shared" si="741"/>
        <v>4.34999634948808E-3</v>
      </c>
      <c r="DK187" s="20">
        <f t="shared" si="741"/>
        <v>4.7391993839775133E-3</v>
      </c>
      <c r="DL187" s="20">
        <f t="shared" si="741"/>
        <v>4.9533725228634992E-3</v>
      </c>
      <c r="DM187" s="20">
        <f t="shared" si="741"/>
        <v>4.3074425389012915E-3</v>
      </c>
      <c r="DN187" s="20">
        <f t="shared" si="741"/>
        <v>4.2167894428653749E-3</v>
      </c>
      <c r="DO187" s="20">
        <f t="shared" si="741"/>
        <v>3.6377949806766642E-3</v>
      </c>
      <c r="DP187" s="20">
        <f t="shared" si="741"/>
        <v>3.6308541799754328E-3</v>
      </c>
      <c r="DQ187" s="20">
        <f t="shared" si="741"/>
        <v>3.9274529037365974E-3</v>
      </c>
      <c r="DR187" s="20">
        <f t="shared" si="741"/>
        <v>3.6760133066290304E-3</v>
      </c>
      <c r="DS187" s="20">
        <f t="shared" ref="DS187:ED187" si="742">DS184/DS63</f>
        <v>3.8300118386489601E-3</v>
      </c>
      <c r="DT187" s="20">
        <f t="shared" si="742"/>
        <v>4.2781789107793292E-3</v>
      </c>
      <c r="DU187" s="20">
        <f t="shared" si="742"/>
        <v>4.3928106483416586E-3</v>
      </c>
      <c r="DV187" s="20">
        <f t="shared" si="742"/>
        <v>4.2317576715760396E-3</v>
      </c>
      <c r="DW187" s="20">
        <f t="shared" si="742"/>
        <v>4.6103926164876114E-3</v>
      </c>
      <c r="DX187" s="20">
        <f t="shared" si="742"/>
        <v>4.8227599164182402E-3</v>
      </c>
      <c r="DY187" s="20">
        <f t="shared" si="742"/>
        <v>4.198211941585559E-3</v>
      </c>
      <c r="DZ187" s="20">
        <f t="shared" si="742"/>
        <v>4.0956790805171317E-3</v>
      </c>
      <c r="EA187" s="20">
        <f t="shared" si="742"/>
        <v>3.5342708135749925E-3</v>
      </c>
      <c r="EB187" s="20">
        <f t="shared" si="742"/>
        <v>3.5299071950167407E-3</v>
      </c>
      <c r="EC187" s="20">
        <f t="shared" si="742"/>
        <v>3.8185926903465867E-3</v>
      </c>
      <c r="ED187" s="20">
        <f t="shared" si="742"/>
        <v>3.5811490640961507E-3</v>
      </c>
      <c r="EE187" s="222"/>
      <c r="EF187" s="20">
        <f t="shared" si="741"/>
        <v>8.7980884368654838E-3</v>
      </c>
      <c r="EG187" s="20">
        <f t="shared" si="741"/>
        <v>9.9562261874643048E-3</v>
      </c>
      <c r="EH187" s="20">
        <f t="shared" si="741"/>
        <v>1.208062786552957E-2</v>
      </c>
      <c r="EI187" s="20">
        <f t="shared" si="741"/>
        <v>1.5110659219437104E-2</v>
      </c>
      <c r="EJ187" s="20">
        <f t="shared" si="741"/>
        <v>1.2446193450604059E-2</v>
      </c>
      <c r="EK187" s="20">
        <f t="shared" si="741"/>
        <v>9.8488392539097108E-3</v>
      </c>
      <c r="EL187" s="20">
        <f t="shared" si="741"/>
        <v>9.4654113554476713E-3</v>
      </c>
      <c r="EM187" s="20">
        <f t="shared" si="741"/>
        <v>1.1052510489385501E-2</v>
      </c>
      <c r="EN187" s="20">
        <f t="shared" ref="EN187:FJ187" si="743">EN184/EN63</f>
        <v>8.8916960621214305E-3</v>
      </c>
      <c r="EO187" s="20">
        <f t="shared" si="743"/>
        <v>8.8300103405316265E-3</v>
      </c>
      <c r="EP187" s="20">
        <f t="shared" si="743"/>
        <v>7.3363328771908791E-3</v>
      </c>
      <c r="EQ187" s="20">
        <f t="shared" si="743"/>
        <v>5.4132186744086401E-3</v>
      </c>
      <c r="ER187" s="20">
        <f t="shared" si="743"/>
        <v>2.8169322438089211E-2</v>
      </c>
      <c r="ES187" s="20">
        <f t="shared" si="743"/>
        <v>5.0032954433011289E-3</v>
      </c>
      <c r="ET187" s="20">
        <f t="shared" si="743"/>
        <v>4.3113004460719074E-3</v>
      </c>
      <c r="EU187" s="20">
        <f t="shared" si="743"/>
        <v>3.975378437317191E-3</v>
      </c>
      <c r="EV187" s="20">
        <f t="shared" si="743"/>
        <v>4.2913085461701436E-3</v>
      </c>
      <c r="EW187" s="20">
        <f t="shared" si="743"/>
        <v>4.6672702234952191E-3</v>
      </c>
      <c r="EX187" s="20">
        <f t="shared" si="743"/>
        <v>4.0306728659344516E-3</v>
      </c>
      <c r="EY187" s="20">
        <f t="shared" si="743"/>
        <v>3.7403262595509129E-3</v>
      </c>
      <c r="EZ187" s="20">
        <f t="shared" si="743"/>
        <v>4.1663964643249719E-3</v>
      </c>
      <c r="FA187" s="20">
        <f t="shared" si="743"/>
        <v>4.541602124937461E-3</v>
      </c>
      <c r="FB187" s="20">
        <f t="shared" si="743"/>
        <v>3.9195418323222818E-3</v>
      </c>
      <c r="FC187" s="20">
        <f t="shared" si="743"/>
        <v>3.6389654731009127E-3</v>
      </c>
      <c r="FD187" s="785"/>
      <c r="FE187" s="20">
        <f t="shared" si="743"/>
        <v>1.1423372511299046E-2</v>
      </c>
      <c r="FF187" s="20">
        <f t="shared" si="743"/>
        <v>1.0728693908271901E-2</v>
      </c>
      <c r="FG187" s="20">
        <f t="shared" si="743"/>
        <v>7.3995570661128645E-3</v>
      </c>
      <c r="FH187" s="20">
        <f t="shared" si="743"/>
        <v>9.9293116131437126E-3</v>
      </c>
      <c r="FI187" s="20">
        <f t="shared" si="743"/>
        <v>4.1526924218774604E-3</v>
      </c>
      <c r="FJ187" s="20">
        <f t="shared" si="743"/>
        <v>4.0379001152176658E-3</v>
      </c>
      <c r="FK187" s="545" t="s">
        <v>1</v>
      </c>
    </row>
    <row r="188" spans="2:167" x14ac:dyDescent="0.2">
      <c r="B188" s="226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222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19"/>
      <c r="EQ188" s="19"/>
      <c r="ER188" s="19"/>
      <c r="ES188" s="19"/>
      <c r="ET188" s="19"/>
      <c r="EU188" s="19"/>
      <c r="EV188" s="19"/>
      <c r="EW188" s="19"/>
      <c r="EX188" s="19"/>
      <c r="EY188" s="19"/>
      <c r="EZ188" s="19"/>
      <c r="FA188" s="19"/>
      <c r="FB188" s="19"/>
      <c r="FC188" s="19"/>
      <c r="FE188" s="19"/>
      <c r="FF188" s="19"/>
      <c r="FG188" s="19"/>
      <c r="FH188" s="19"/>
      <c r="FI188" s="19"/>
      <c r="FJ188" s="770"/>
      <c r="FK188" s="545"/>
    </row>
    <row r="189" spans="2:167" x14ac:dyDescent="0.2">
      <c r="B189" s="305" t="s">
        <v>214</v>
      </c>
      <c r="C189" s="297">
        <f>SUM(C190:C191)</f>
        <v>6032329</v>
      </c>
      <c r="D189" s="297">
        <f t="shared" ref="D189:BO189" si="744">SUM(D190:D191)</f>
        <v>7973261</v>
      </c>
      <c r="E189" s="297">
        <f t="shared" si="744"/>
        <v>7986222</v>
      </c>
      <c r="F189" s="297">
        <f t="shared" si="744"/>
        <v>8761313</v>
      </c>
      <c r="G189" s="297">
        <f t="shared" si="744"/>
        <v>9635379.2599999998</v>
      </c>
      <c r="H189" s="297">
        <f t="shared" si="744"/>
        <v>10117378.24</v>
      </c>
      <c r="I189" s="297">
        <f t="shared" si="744"/>
        <v>6204488.1799999997</v>
      </c>
      <c r="J189" s="297">
        <f t="shared" si="744"/>
        <v>13377732.83</v>
      </c>
      <c r="K189" s="297">
        <f t="shared" si="744"/>
        <v>24876056.640000001</v>
      </c>
      <c r="L189" s="297">
        <f t="shared" si="744"/>
        <v>21449063.195</v>
      </c>
      <c r="M189" s="297">
        <f t="shared" si="744"/>
        <v>20034202.59</v>
      </c>
      <c r="N189" s="297">
        <f t="shared" si="744"/>
        <v>15014247.52</v>
      </c>
      <c r="O189" s="297">
        <f t="shared" si="744"/>
        <v>17476878.25</v>
      </c>
      <c r="P189" s="297">
        <f t="shared" si="744"/>
        <v>21013487.830000002</v>
      </c>
      <c r="Q189" s="297">
        <f t="shared" si="744"/>
        <v>20194331</v>
      </c>
      <c r="R189" s="297">
        <f t="shared" si="744"/>
        <v>11719531.640000001</v>
      </c>
      <c r="S189" s="297">
        <f t="shared" si="744"/>
        <v>7222800</v>
      </c>
      <c r="T189" s="297">
        <f t="shared" si="744"/>
        <v>7544020</v>
      </c>
      <c r="U189" s="297">
        <f t="shared" si="744"/>
        <v>6662567</v>
      </c>
      <c r="V189" s="297">
        <f t="shared" si="744"/>
        <v>6643509</v>
      </c>
      <c r="W189" s="297">
        <f t="shared" si="744"/>
        <v>6011584</v>
      </c>
      <c r="X189" s="297">
        <f t="shared" si="744"/>
        <v>7225081</v>
      </c>
      <c r="Y189" s="297">
        <f t="shared" si="744"/>
        <v>7623464</v>
      </c>
      <c r="Z189" s="297">
        <f t="shared" si="744"/>
        <v>6304441</v>
      </c>
      <c r="AA189" s="297">
        <f t="shared" si="744"/>
        <v>4374897</v>
      </c>
      <c r="AB189" s="297">
        <f t="shared" si="744"/>
        <v>4607511</v>
      </c>
      <c r="AC189" s="297">
        <f t="shared" si="744"/>
        <v>3309046.56</v>
      </c>
      <c r="AD189" s="297">
        <f t="shared" si="744"/>
        <v>4269208.6083749421</v>
      </c>
      <c r="AE189" s="297">
        <f t="shared" si="744"/>
        <v>5450128.1339999987</v>
      </c>
      <c r="AF189" s="297">
        <f t="shared" si="744"/>
        <v>6733399.12225</v>
      </c>
      <c r="AG189" s="297">
        <f t="shared" si="744"/>
        <v>5933601.9800000004</v>
      </c>
      <c r="AH189" s="297">
        <f t="shared" si="744"/>
        <v>4890840.4619999994</v>
      </c>
      <c r="AI189" s="297">
        <f t="shared" si="744"/>
        <v>6912389.1498333327</v>
      </c>
      <c r="AJ189" s="297">
        <f t="shared" si="744"/>
        <v>6964882.6875</v>
      </c>
      <c r="AK189" s="297">
        <f t="shared" si="744"/>
        <v>6984194.9668653831</v>
      </c>
      <c r="AL189" s="297">
        <f t="shared" si="744"/>
        <v>8844354.9324551299</v>
      </c>
      <c r="AM189" s="297">
        <f t="shared" si="744"/>
        <v>6775384.2382884603</v>
      </c>
      <c r="AN189" s="297">
        <f t="shared" si="744"/>
        <v>3908185.4258683901</v>
      </c>
      <c r="AO189" s="297">
        <f t="shared" si="744"/>
        <v>7424658.5305512818</v>
      </c>
      <c r="AP189" s="297">
        <f t="shared" si="744"/>
        <v>10600610.040677857</v>
      </c>
      <c r="AQ189" s="297">
        <f t="shared" si="744"/>
        <v>45291256.527472816</v>
      </c>
      <c r="AR189" s="297">
        <f t="shared" si="744"/>
        <v>48528612.866096154</v>
      </c>
      <c r="AS189" s="297">
        <f t="shared" si="744"/>
        <v>23261508.724403847</v>
      </c>
      <c r="AT189" s="297">
        <f t="shared" si="744"/>
        <v>21480203.222884618</v>
      </c>
      <c r="AU189" s="297">
        <f t="shared" si="744"/>
        <v>26452573.694647435</v>
      </c>
      <c r="AV189" s="297">
        <f t="shared" si="744"/>
        <v>23920996.029653847</v>
      </c>
      <c r="AW189" s="297">
        <f t="shared" si="744"/>
        <v>73257141.755429476</v>
      </c>
      <c r="AX189" s="297">
        <f t="shared" si="744"/>
        <v>98438490.102814108</v>
      </c>
      <c r="AY189" s="297">
        <f t="shared" si="744"/>
        <v>20657625.277442306</v>
      </c>
      <c r="AZ189" s="297">
        <f t="shared" si="744"/>
        <v>13880113.301475964</v>
      </c>
      <c r="BA189" s="297">
        <f t="shared" si="744"/>
        <v>18444847.005892612</v>
      </c>
      <c r="BB189" s="297">
        <f t="shared" si="744"/>
        <v>49574272.441783458</v>
      </c>
      <c r="BC189" s="297">
        <f t="shared" si="744"/>
        <v>38699714.384153843</v>
      </c>
      <c r="BD189" s="297">
        <f t="shared" si="744"/>
        <v>21436596.490673076</v>
      </c>
      <c r="BE189" s="297">
        <f t="shared" si="744"/>
        <v>21483606.733961537</v>
      </c>
      <c r="BF189" s="297">
        <f t="shared" si="744"/>
        <v>16498235</v>
      </c>
      <c r="BG189" s="297">
        <f t="shared" si="744"/>
        <v>62099114</v>
      </c>
      <c r="BH189" s="297">
        <f t="shared" si="744"/>
        <v>46478475</v>
      </c>
      <c r="BI189" s="297">
        <f t="shared" si="744"/>
        <v>51127994</v>
      </c>
      <c r="BJ189" s="297">
        <f t="shared" si="744"/>
        <v>43502059</v>
      </c>
      <c r="BK189" s="297">
        <f t="shared" si="744"/>
        <v>23369769</v>
      </c>
      <c r="BL189" s="297">
        <f t="shared" si="744"/>
        <v>27862544</v>
      </c>
      <c r="BM189" s="297">
        <f t="shared" si="744"/>
        <v>27843898</v>
      </c>
      <c r="BN189" s="297">
        <f t="shared" si="744"/>
        <v>30454131.255494505</v>
      </c>
      <c r="BO189" s="297">
        <f t="shared" si="744"/>
        <v>29583136.255494505</v>
      </c>
      <c r="BP189" s="297">
        <f t="shared" ref="BP189:DR189" si="745">SUM(BP190:BP191)</f>
        <v>22169452.999999978</v>
      </c>
      <c r="BQ189" s="297">
        <f t="shared" si="745"/>
        <v>34930021.638260096</v>
      </c>
      <c r="BR189" s="297">
        <f t="shared" si="745"/>
        <v>31410119.509549897</v>
      </c>
      <c r="BS189" s="297">
        <f t="shared" si="745"/>
        <v>24137492</v>
      </c>
      <c r="BT189" s="297">
        <f t="shared" si="745"/>
        <v>21551251</v>
      </c>
      <c r="BU189" s="297">
        <f t="shared" si="745"/>
        <v>31820010.000000004</v>
      </c>
      <c r="BV189" s="297">
        <f t="shared" si="745"/>
        <v>29136524</v>
      </c>
      <c r="BW189" s="297">
        <f t="shared" si="745"/>
        <v>30018990</v>
      </c>
      <c r="BX189" s="297">
        <f t="shared" si="745"/>
        <v>29647228</v>
      </c>
      <c r="BY189" s="297">
        <f t="shared" si="745"/>
        <v>31631059</v>
      </c>
      <c r="BZ189" s="297">
        <f t="shared" si="745"/>
        <v>27499684.967032965</v>
      </c>
      <c r="CA189" s="297">
        <f t="shared" si="745"/>
        <v>23654836.999999996</v>
      </c>
      <c r="CB189" s="297">
        <f t="shared" si="745"/>
        <v>18533789.000000004</v>
      </c>
      <c r="CC189" s="297">
        <f t="shared" si="745"/>
        <v>20270786</v>
      </c>
      <c r="CD189" s="297">
        <f t="shared" si="745"/>
        <v>22504929.749535084</v>
      </c>
      <c r="CE189" s="297">
        <f t="shared" si="745"/>
        <v>29518629</v>
      </c>
      <c r="CF189" s="297">
        <f t="shared" si="745"/>
        <v>30141997.784295402</v>
      </c>
      <c r="CG189" s="297">
        <f t="shared" si="745"/>
        <v>42873794.40130908</v>
      </c>
      <c r="CH189" s="297">
        <f t="shared" si="745"/>
        <v>27028664</v>
      </c>
      <c r="CI189" s="297">
        <f t="shared" si="745"/>
        <v>28701150.416973889</v>
      </c>
      <c r="CJ189" s="297">
        <f t="shared" si="745"/>
        <v>30083745.798407331</v>
      </c>
      <c r="CK189" s="297">
        <f t="shared" si="745"/>
        <v>32768525.983162329</v>
      </c>
      <c r="CL189" s="297">
        <f t="shared" si="745"/>
        <v>34586149.698457584</v>
      </c>
      <c r="CM189" s="297">
        <f t="shared" si="745"/>
        <v>30385099</v>
      </c>
      <c r="CN189" s="297">
        <f t="shared" si="745"/>
        <v>25876607</v>
      </c>
      <c r="CO189" s="297">
        <f t="shared" si="745"/>
        <v>23381270.871208791</v>
      </c>
      <c r="CP189" s="297">
        <f t="shared" si="745"/>
        <v>30172510</v>
      </c>
      <c r="CQ189" s="297">
        <f t="shared" si="745"/>
        <v>32384299.75</v>
      </c>
      <c r="CR189" s="297">
        <f t="shared" si="745"/>
        <v>30332303.050000001</v>
      </c>
      <c r="CS189" s="297">
        <f t="shared" si="745"/>
        <v>26804973.600000001</v>
      </c>
      <c r="CT189" s="297">
        <f t="shared" si="745"/>
        <v>30984563.170000002</v>
      </c>
      <c r="CU189" s="297">
        <f t="shared" si="745"/>
        <v>148795522.00249892</v>
      </c>
      <c r="CV189" s="297">
        <f t="shared" si="745"/>
        <v>29709121.641811877</v>
      </c>
      <c r="CW189" s="297">
        <f t="shared" si="745"/>
        <v>29706617.149039641</v>
      </c>
      <c r="CX189" s="297">
        <f t="shared" si="745"/>
        <v>29805972.187703032</v>
      </c>
      <c r="CY189" s="297">
        <f t="shared" si="745"/>
        <v>29667632.53506019</v>
      </c>
      <c r="CZ189" s="297">
        <f t="shared" si="745"/>
        <v>29584798.350478321</v>
      </c>
      <c r="DA189" s="297">
        <f t="shared" si="745"/>
        <v>30256211.765173681</v>
      </c>
      <c r="DB189" s="297">
        <f t="shared" si="745"/>
        <v>30204084.939769823</v>
      </c>
      <c r="DC189" s="297">
        <f t="shared" si="745"/>
        <v>30438795.983402435</v>
      </c>
      <c r="DD189" s="297">
        <f t="shared" si="745"/>
        <v>30474964.710163925</v>
      </c>
      <c r="DE189" s="297">
        <f t="shared" si="745"/>
        <v>30369204.131600074</v>
      </c>
      <c r="DF189" s="297">
        <f t="shared" si="745"/>
        <v>30598244.577597167</v>
      </c>
      <c r="DG189" s="297">
        <f t="shared" si="745"/>
        <v>32306848.0806573</v>
      </c>
      <c r="DH189" s="297">
        <f t="shared" si="745"/>
        <v>33339369.508370392</v>
      </c>
      <c r="DI189" s="297">
        <f t="shared" si="745"/>
        <v>33328654.204178587</v>
      </c>
      <c r="DJ189" s="297">
        <f t="shared" si="745"/>
        <v>33449011.515443712</v>
      </c>
      <c r="DK189" s="297">
        <f t="shared" si="745"/>
        <v>33277299.687113538</v>
      </c>
      <c r="DL189" s="297">
        <f t="shared" si="745"/>
        <v>33173348.257885613</v>
      </c>
      <c r="DM189" s="297">
        <f t="shared" si="745"/>
        <v>33917058.817155153</v>
      </c>
      <c r="DN189" s="297">
        <f t="shared" si="745"/>
        <v>33837391.766006261</v>
      </c>
      <c r="DO189" s="297">
        <f t="shared" si="745"/>
        <v>34114006.955018446</v>
      </c>
      <c r="DP189" s="297">
        <f t="shared" si="745"/>
        <v>34149917.1987314</v>
      </c>
      <c r="DQ189" s="297">
        <f t="shared" si="745"/>
        <v>34015231.490437925</v>
      </c>
      <c r="DR189" s="297">
        <f t="shared" si="745"/>
        <v>34266479.826960146</v>
      </c>
      <c r="DS189" s="297">
        <f t="shared" ref="DS189:ED189" si="746">SUM(DS190:DS191)</f>
        <v>36173775.705368429</v>
      </c>
      <c r="DT189" s="297">
        <f t="shared" si="746"/>
        <v>37359787.211935401</v>
      </c>
      <c r="DU189" s="297">
        <f t="shared" si="746"/>
        <v>37346525.456202462</v>
      </c>
      <c r="DV189" s="297">
        <f t="shared" si="746"/>
        <v>37482842.700899482</v>
      </c>
      <c r="DW189" s="297">
        <f t="shared" si="746"/>
        <v>37285488.706299096</v>
      </c>
      <c r="DX189" s="297">
        <f t="shared" si="746"/>
        <v>37165247.524886221</v>
      </c>
      <c r="DY189" s="297">
        <f t="shared" si="746"/>
        <v>37973918.487914711</v>
      </c>
      <c r="DZ189" s="297">
        <f t="shared" si="746"/>
        <v>37877239.349758536</v>
      </c>
      <c r="EA189" s="297">
        <f t="shared" si="746"/>
        <v>38191415.084092297</v>
      </c>
      <c r="EB189" s="297">
        <f t="shared" si="746"/>
        <v>38231697.462787002</v>
      </c>
      <c r="EC189" s="297">
        <f t="shared" si="746"/>
        <v>38077494.165959917</v>
      </c>
      <c r="ED189" s="297">
        <f t="shared" si="746"/>
        <v>38362473.586435467</v>
      </c>
      <c r="EE189" s="222"/>
      <c r="EF189" s="297">
        <f>SUM(BK189:BM189)</f>
        <v>79076211</v>
      </c>
      <c r="EG189" s="297">
        <f>SUM(BN189:BP189)</f>
        <v>82206720.510988981</v>
      </c>
      <c r="EH189" s="297">
        <f>SUM(BQ189:BS189)</f>
        <v>90477633.147809997</v>
      </c>
      <c r="EI189" s="297">
        <f>SUM(BT189:BV189)</f>
        <v>82507785</v>
      </c>
      <c r="EJ189" s="297">
        <f>SUM(BW189:BY189)</f>
        <v>91297277</v>
      </c>
      <c r="EK189" s="297">
        <f>SUM(BZ189:CB189)</f>
        <v>69688310.967032969</v>
      </c>
      <c r="EL189" s="297">
        <f>SUM(CC189:CE189)</f>
        <v>72294344.749535084</v>
      </c>
      <c r="EM189" s="297">
        <f>SUM(CF189:CH189)</f>
        <v>100044456.18560448</v>
      </c>
      <c r="EN189" s="297">
        <f>SUM(CI189:CK189)</f>
        <v>91553422.198543549</v>
      </c>
      <c r="EO189" s="297">
        <f>SUM(CL189:CN189)</f>
        <v>90847855.698457584</v>
      </c>
      <c r="EP189" s="297">
        <f>SUM(CO189:CQ189)</f>
        <v>85938080.621208787</v>
      </c>
      <c r="EQ189" s="297">
        <f>SUM(CR189:CT189)</f>
        <v>88121839.820000008</v>
      </c>
      <c r="ER189" s="297">
        <f>SUM(CU189:CW189)</f>
        <v>208211260.79335046</v>
      </c>
      <c r="ES189" s="297">
        <f>SUM(CX189:CZ189)</f>
        <v>89058403.073241547</v>
      </c>
      <c r="ET189" s="297">
        <f>SUM(DA189:DC189)</f>
        <v>90899092.688345939</v>
      </c>
      <c r="EU189" s="297">
        <f>SUM(DD189:DF189)</f>
        <v>91442413.419361174</v>
      </c>
      <c r="EV189" s="297">
        <f>SUM(DG189:DI189)</f>
        <v>98974871.793206275</v>
      </c>
      <c r="EW189" s="297">
        <f>SUM(DJ189:DL189)</f>
        <v>99899659.460442871</v>
      </c>
      <c r="EX189" s="297">
        <f>SUM(DM189:DO189)</f>
        <v>101868457.53817986</v>
      </c>
      <c r="EY189" s="297">
        <f>SUM(DP189:DR189)</f>
        <v>102431628.51612946</v>
      </c>
      <c r="EZ189" s="297">
        <f t="shared" ref="EZ189:EZ190" si="747">SUM(DS189:DU189)</f>
        <v>110880088.37350629</v>
      </c>
      <c r="FA189" s="297">
        <f t="shared" ref="FA189:FA190" si="748">SUM(DV189:DX189)</f>
        <v>111933578.9320848</v>
      </c>
      <c r="FB189" s="297">
        <f t="shared" ref="FB189:FB190" si="749">SUM(DY189:EA189)</f>
        <v>114042572.92176554</v>
      </c>
      <c r="FC189" s="297">
        <f t="shared" ref="FC189:FC190" si="750">SUM(EB189:ED189)</f>
        <v>114671665.21518239</v>
      </c>
      <c r="FE189" s="297">
        <f t="shared" ref="FE189:FE191" si="751">SUM(EF189:EI189)</f>
        <v>334268349.65879899</v>
      </c>
      <c r="FF189" s="297">
        <f t="shared" ref="FF189:FF191" si="752">SUM(EJ189:EM189)</f>
        <v>333324388.90217257</v>
      </c>
      <c r="FG189" s="297">
        <f t="shared" ref="FG189:FG191" si="753">SUM(EN189:EQ189)</f>
        <v>356461198.33820993</v>
      </c>
      <c r="FH189" s="297">
        <f t="shared" ref="FH189:FH191" si="754">SUM(ER189:EU189)</f>
        <v>479611169.97429913</v>
      </c>
      <c r="FI189" s="297">
        <f t="shared" ref="FI189:FI191" si="755">SUM(EV189:EY189)</f>
        <v>403174617.30795848</v>
      </c>
      <c r="FJ189" s="774">
        <f t="shared" si="537"/>
        <v>451527905.4425391</v>
      </c>
      <c r="FK189" s="545" t="s">
        <v>1</v>
      </c>
    </row>
    <row r="190" spans="2:167" x14ac:dyDescent="0.2">
      <c r="B190" s="306" t="s">
        <v>56</v>
      </c>
      <c r="C190" s="19">
        <f>C175</f>
        <v>5023542</v>
      </c>
      <c r="D190" s="19">
        <f t="shared" ref="D190:BO190" si="756">D175</f>
        <v>7071293</v>
      </c>
      <c r="E190" s="19">
        <f t="shared" si="756"/>
        <v>7063097</v>
      </c>
      <c r="F190" s="19">
        <f t="shared" si="756"/>
        <v>7593372</v>
      </c>
      <c r="G190" s="19">
        <f t="shared" si="756"/>
        <v>7832785.2599999998</v>
      </c>
      <c r="H190" s="19">
        <f t="shared" si="756"/>
        <v>8471698.2400000002</v>
      </c>
      <c r="I190" s="19">
        <f t="shared" si="756"/>
        <v>4654179.18</v>
      </c>
      <c r="J190" s="19">
        <f t="shared" si="756"/>
        <v>11678128.83</v>
      </c>
      <c r="K190" s="19">
        <f t="shared" si="756"/>
        <v>13073647</v>
      </c>
      <c r="L190" s="19">
        <f t="shared" si="756"/>
        <v>10386757</v>
      </c>
      <c r="M190" s="19">
        <f t="shared" si="756"/>
        <v>6040647</v>
      </c>
      <c r="N190" s="19">
        <f t="shared" si="756"/>
        <v>5326739</v>
      </c>
      <c r="O190" s="19">
        <f t="shared" si="756"/>
        <v>8024042</v>
      </c>
      <c r="P190" s="19">
        <f t="shared" si="756"/>
        <v>9037302.870000001</v>
      </c>
      <c r="Q190" s="19">
        <f t="shared" si="756"/>
        <v>11950120</v>
      </c>
      <c r="R190" s="19">
        <f t="shared" si="756"/>
        <v>6767528</v>
      </c>
      <c r="S190" s="19">
        <f t="shared" si="756"/>
        <v>2955705</v>
      </c>
      <c r="T190" s="19">
        <f t="shared" si="756"/>
        <v>2227942</v>
      </c>
      <c r="U190" s="19">
        <f t="shared" si="756"/>
        <v>1552500</v>
      </c>
      <c r="V190" s="19">
        <f t="shared" si="756"/>
        <v>1114141</v>
      </c>
      <c r="W190" s="19">
        <f t="shared" si="756"/>
        <v>1486869</v>
      </c>
      <c r="X190" s="19">
        <f t="shared" si="756"/>
        <v>1511084</v>
      </c>
      <c r="Y190" s="19">
        <f t="shared" si="756"/>
        <v>1779757</v>
      </c>
      <c r="Z190" s="19">
        <f t="shared" si="756"/>
        <v>1295895</v>
      </c>
      <c r="AA190" s="19">
        <f t="shared" si="756"/>
        <v>206601</v>
      </c>
      <c r="AB190" s="19">
        <f t="shared" si="756"/>
        <v>520225</v>
      </c>
      <c r="AC190" s="19">
        <f t="shared" si="756"/>
        <v>1359766</v>
      </c>
      <c r="AD190" s="19">
        <f t="shared" si="756"/>
        <v>2185708.6083749421</v>
      </c>
      <c r="AE190" s="19">
        <f t="shared" si="756"/>
        <v>3292109</v>
      </c>
      <c r="AF190" s="19">
        <f t="shared" si="756"/>
        <v>3726791</v>
      </c>
      <c r="AG190" s="19">
        <f t="shared" si="756"/>
        <v>2991652</v>
      </c>
      <c r="AH190" s="19">
        <f t="shared" si="756"/>
        <v>1943552</v>
      </c>
      <c r="AI190" s="19">
        <f t="shared" si="756"/>
        <v>3287903</v>
      </c>
      <c r="AJ190" s="19">
        <f t="shared" si="756"/>
        <v>2916468</v>
      </c>
      <c r="AK190" s="19">
        <f t="shared" si="756"/>
        <v>2985874</v>
      </c>
      <c r="AL190" s="19">
        <f t="shared" si="756"/>
        <v>5535184</v>
      </c>
      <c r="AM190" s="19">
        <f t="shared" si="756"/>
        <v>2814723</v>
      </c>
      <c r="AN190" s="19">
        <f t="shared" si="756"/>
        <v>781183.87122736417</v>
      </c>
      <c r="AO190" s="19">
        <f t="shared" si="756"/>
        <v>3989898</v>
      </c>
      <c r="AP190" s="19">
        <f t="shared" si="756"/>
        <v>6943085.1478637531</v>
      </c>
      <c r="AQ190" s="19">
        <f t="shared" si="756"/>
        <v>8146331.5696202535</v>
      </c>
      <c r="AR190" s="19">
        <f t="shared" si="756"/>
        <v>9164606</v>
      </c>
      <c r="AS190" s="19">
        <f t="shared" si="756"/>
        <v>10140925</v>
      </c>
      <c r="AT190" s="19">
        <f t="shared" si="756"/>
        <v>8342618</v>
      </c>
      <c r="AU190" s="19">
        <f t="shared" si="756"/>
        <v>11553164</v>
      </c>
      <c r="AV190" s="19">
        <f t="shared" si="756"/>
        <v>12357277</v>
      </c>
      <c r="AW190" s="19">
        <f t="shared" si="756"/>
        <v>13747781</v>
      </c>
      <c r="AX190" s="19">
        <f t="shared" si="756"/>
        <v>21824756</v>
      </c>
      <c r="AY190" s="19">
        <f t="shared" si="756"/>
        <v>14102503</v>
      </c>
      <c r="AZ190" s="19">
        <f t="shared" si="756"/>
        <v>8295661.8222387852</v>
      </c>
      <c r="BA190" s="19">
        <f t="shared" si="756"/>
        <v>14692519.68836697</v>
      </c>
      <c r="BB190" s="19">
        <f t="shared" si="756"/>
        <v>18987186.776296284</v>
      </c>
      <c r="BC190" s="19">
        <f t="shared" si="756"/>
        <v>24023055</v>
      </c>
      <c r="BD190" s="19">
        <f t="shared" si="756"/>
        <v>12516140</v>
      </c>
      <c r="BE190" s="19">
        <f t="shared" si="756"/>
        <v>12266519</v>
      </c>
      <c r="BF190" s="19">
        <f t="shared" si="756"/>
        <v>10781107</v>
      </c>
      <c r="BG190" s="19">
        <f t="shared" si="756"/>
        <v>17967305</v>
      </c>
      <c r="BH190" s="19">
        <f t="shared" si="756"/>
        <v>26616533</v>
      </c>
      <c r="BI190" s="19">
        <f t="shared" si="756"/>
        <v>27651511</v>
      </c>
      <c r="BJ190" s="19">
        <f t="shared" si="756"/>
        <v>20794520</v>
      </c>
      <c r="BK190" s="19">
        <f t="shared" si="756"/>
        <v>16796140</v>
      </c>
      <c r="BL190" s="19">
        <f t="shared" si="756"/>
        <v>18892343</v>
      </c>
      <c r="BM190" s="19">
        <f t="shared" si="756"/>
        <v>19901383</v>
      </c>
      <c r="BN190" s="19">
        <f t="shared" si="756"/>
        <v>21856211</v>
      </c>
      <c r="BO190" s="19">
        <f t="shared" si="756"/>
        <v>20228666</v>
      </c>
      <c r="BP190" s="19">
        <f t="shared" ref="BP190:DR190" si="757">BP175</f>
        <v>17358721.999999978</v>
      </c>
      <c r="BQ190" s="19">
        <f t="shared" si="757"/>
        <v>21207639.638260093</v>
      </c>
      <c r="BR190" s="19">
        <f t="shared" si="757"/>
        <v>19287821.509549897</v>
      </c>
      <c r="BS190" s="19">
        <f t="shared" si="757"/>
        <v>16939440</v>
      </c>
      <c r="BT190" s="19">
        <f t="shared" si="757"/>
        <v>14051618</v>
      </c>
      <c r="BU190" s="19">
        <f t="shared" si="757"/>
        <v>15109625.000000004</v>
      </c>
      <c r="BV190" s="19">
        <f t="shared" si="757"/>
        <v>18247612</v>
      </c>
      <c r="BW190" s="19">
        <f t="shared" si="757"/>
        <v>19847948</v>
      </c>
      <c r="BX190" s="19">
        <f t="shared" si="757"/>
        <v>19847948</v>
      </c>
      <c r="BY190" s="19">
        <f t="shared" si="757"/>
        <v>18808288</v>
      </c>
      <c r="BZ190" s="19">
        <f t="shared" si="757"/>
        <v>19442765.967032965</v>
      </c>
      <c r="CA190" s="19">
        <f t="shared" si="757"/>
        <v>14876525.999999996</v>
      </c>
      <c r="CB190" s="19">
        <f t="shared" si="757"/>
        <v>11294241.000000004</v>
      </c>
      <c r="CC190" s="19">
        <f t="shared" si="757"/>
        <v>11191504</v>
      </c>
      <c r="CD190" s="19">
        <f t="shared" si="757"/>
        <v>15017526.749535086</v>
      </c>
      <c r="CE190" s="19">
        <f t="shared" si="757"/>
        <v>19362634</v>
      </c>
      <c r="CF190" s="19">
        <f t="shared" si="757"/>
        <v>20076342.784295402</v>
      </c>
      <c r="CG190" s="19">
        <f t="shared" si="757"/>
        <v>20043331.40130908</v>
      </c>
      <c r="CH190" s="19">
        <f t="shared" si="757"/>
        <v>19240023</v>
      </c>
      <c r="CI190" s="19">
        <f t="shared" si="757"/>
        <v>18971226.416973889</v>
      </c>
      <c r="CJ190" s="19">
        <f t="shared" si="757"/>
        <v>18511785.798407331</v>
      </c>
      <c r="CK190" s="19">
        <f t="shared" si="757"/>
        <v>20327262.983162329</v>
      </c>
      <c r="CL190" s="19">
        <f t="shared" si="757"/>
        <v>22809866.698457584</v>
      </c>
      <c r="CM190" s="19">
        <f t="shared" si="757"/>
        <v>21683258</v>
      </c>
      <c r="CN190" s="19">
        <f t="shared" si="757"/>
        <v>14449017</v>
      </c>
      <c r="CO190" s="19">
        <f t="shared" si="757"/>
        <v>13369410.871208791</v>
      </c>
      <c r="CP190" s="19">
        <f t="shared" si="757"/>
        <v>18051359</v>
      </c>
      <c r="CQ190" s="19">
        <f t="shared" si="757"/>
        <v>21703160.25</v>
      </c>
      <c r="CR190" s="19">
        <f t="shared" si="757"/>
        <v>20708493.050000001</v>
      </c>
      <c r="CS190" s="19">
        <f t="shared" si="757"/>
        <v>18436408.600000001</v>
      </c>
      <c r="CT190" s="19">
        <f t="shared" si="757"/>
        <v>20230092.170000002</v>
      </c>
      <c r="CU190" s="19">
        <f t="shared" si="757"/>
        <v>21585664.502498936</v>
      </c>
      <c r="CV190" s="19">
        <f t="shared" si="757"/>
        <v>21560270.516811877</v>
      </c>
      <c r="CW190" s="19">
        <f t="shared" si="757"/>
        <v>21557766.024039641</v>
      </c>
      <c r="CX190" s="19">
        <f t="shared" si="757"/>
        <v>21657121.062703032</v>
      </c>
      <c r="CY190" s="19">
        <f t="shared" si="757"/>
        <v>21518781.41006019</v>
      </c>
      <c r="CZ190" s="19">
        <f t="shared" si="757"/>
        <v>21435947.225478321</v>
      </c>
      <c r="DA190" s="19">
        <f t="shared" si="757"/>
        <v>22107360.640173681</v>
      </c>
      <c r="DB190" s="19">
        <f t="shared" si="757"/>
        <v>22001089.802269824</v>
      </c>
      <c r="DC190" s="19">
        <f t="shared" si="757"/>
        <v>22235800.845902435</v>
      </c>
      <c r="DD190" s="19">
        <f t="shared" si="757"/>
        <v>22271969.572663926</v>
      </c>
      <c r="DE190" s="19">
        <f t="shared" si="757"/>
        <v>22166208.994100075</v>
      </c>
      <c r="DF190" s="19">
        <f t="shared" si="757"/>
        <v>22395249.440097168</v>
      </c>
      <c r="DG190" s="19">
        <f t="shared" si="757"/>
        <v>24103852.9431573</v>
      </c>
      <c r="DH190" s="19">
        <f t="shared" si="757"/>
        <v>24076478.739620395</v>
      </c>
      <c r="DI190" s="19">
        <f t="shared" si="757"/>
        <v>24065763.435428586</v>
      </c>
      <c r="DJ190" s="19">
        <f t="shared" si="757"/>
        <v>24186120.746693715</v>
      </c>
      <c r="DK190" s="19">
        <f t="shared" si="757"/>
        <v>24014408.918363541</v>
      </c>
      <c r="DL190" s="19">
        <f t="shared" si="757"/>
        <v>23910457.489135616</v>
      </c>
      <c r="DM190" s="19">
        <f t="shared" si="757"/>
        <v>24654168.048405156</v>
      </c>
      <c r="DN190" s="19">
        <f t="shared" si="757"/>
        <v>24517649.784131259</v>
      </c>
      <c r="DO190" s="19">
        <f t="shared" si="757"/>
        <v>24794264.973143451</v>
      </c>
      <c r="DP190" s="19">
        <f t="shared" si="757"/>
        <v>24830175.216856401</v>
      </c>
      <c r="DQ190" s="19">
        <f t="shared" si="757"/>
        <v>24695489.50856293</v>
      </c>
      <c r="DR190" s="19">
        <f t="shared" si="757"/>
        <v>24946737.845085144</v>
      </c>
      <c r="DS190" s="19">
        <f t="shared" ref="DS190:ED190" si="758">DS175</f>
        <v>26854033.723493427</v>
      </c>
      <c r="DT190" s="19">
        <f t="shared" si="758"/>
        <v>26821165.254122898</v>
      </c>
      <c r="DU190" s="19">
        <f t="shared" si="758"/>
        <v>26807903.498389959</v>
      </c>
      <c r="DV190" s="19">
        <f t="shared" si="758"/>
        <v>26944220.743086979</v>
      </c>
      <c r="DW190" s="19">
        <f t="shared" si="758"/>
        <v>26746866.748486593</v>
      </c>
      <c r="DX190" s="19">
        <f t="shared" si="758"/>
        <v>26626625.567073718</v>
      </c>
      <c r="DY190" s="19">
        <f t="shared" si="758"/>
        <v>27435296.530102212</v>
      </c>
      <c r="DZ190" s="19">
        <f t="shared" si="758"/>
        <v>27278923.618164785</v>
      </c>
      <c r="EA190" s="19">
        <f t="shared" si="758"/>
        <v>27593099.352498546</v>
      </c>
      <c r="EB190" s="19">
        <f t="shared" si="758"/>
        <v>27633381.731193256</v>
      </c>
      <c r="EC190" s="19">
        <f t="shared" si="758"/>
        <v>27479178.43436617</v>
      </c>
      <c r="ED190" s="19">
        <f t="shared" si="758"/>
        <v>27764157.854841717</v>
      </c>
      <c r="EE190" s="222"/>
      <c r="EF190" s="19">
        <f>SUM(BK190:BM190)</f>
        <v>55589866</v>
      </c>
      <c r="EG190" s="19">
        <f>SUM(BN190:BP190)</f>
        <v>59443598.999999978</v>
      </c>
      <c r="EH190" s="19">
        <f>SUM(BQ190:BS190)</f>
        <v>57434901.14780999</v>
      </c>
      <c r="EI190" s="19">
        <f>SUM(BT190:BV190)</f>
        <v>47408855</v>
      </c>
      <c r="EJ190" s="19">
        <f>SUM(BW190:BY190)</f>
        <v>58504184</v>
      </c>
      <c r="EK190" s="19">
        <f>SUM(BZ190:CB190)</f>
        <v>45613532.967032969</v>
      </c>
      <c r="EL190" s="19">
        <f>SUM(CC190:CE190)</f>
        <v>45571664.749535084</v>
      </c>
      <c r="EM190" s="19">
        <f>SUM(CF190:CH190)</f>
        <v>59359697.185604483</v>
      </c>
      <c r="EN190" s="19">
        <f>SUM(CI190:CK190)</f>
        <v>57810275.198543549</v>
      </c>
      <c r="EO190" s="19">
        <f>SUM(CL190:CN190)</f>
        <v>58942141.698457584</v>
      </c>
      <c r="EP190" s="19">
        <f>SUM(CO190:CQ190)</f>
        <v>53123930.121208787</v>
      </c>
      <c r="EQ190" s="19">
        <f>SUM(CR190:CT190)</f>
        <v>59374993.820000008</v>
      </c>
      <c r="ER190" s="19">
        <f>SUM(CU190:CW190)</f>
        <v>64703701.043350458</v>
      </c>
      <c r="ES190" s="19">
        <f>SUM(CX190:CZ190)</f>
        <v>64611849.698241547</v>
      </c>
      <c r="ET190" s="19">
        <f>SUM(DA190:DC190)</f>
        <v>66344251.28834594</v>
      </c>
      <c r="EU190" s="19">
        <f>SUM(DD190:DF190)</f>
        <v>66833428.006861165</v>
      </c>
      <c r="EV190" s="19">
        <f>SUM(DG190:DI190)</f>
        <v>72246095.118206277</v>
      </c>
      <c r="EW190" s="19">
        <f>SUM(DJ190:DL190)</f>
        <v>72110987.154192865</v>
      </c>
      <c r="EX190" s="19">
        <f>SUM(DM190:DO190)</f>
        <v>73966082.805679858</v>
      </c>
      <c r="EY190" s="19">
        <f>SUM(DP190:DR190)</f>
        <v>74472402.570504472</v>
      </c>
      <c r="EZ190" s="19">
        <f t="shared" si="747"/>
        <v>80483102.476006284</v>
      </c>
      <c r="FA190" s="19">
        <f t="shared" si="748"/>
        <v>80317713.05864729</v>
      </c>
      <c r="FB190" s="19">
        <f t="shared" si="749"/>
        <v>82307319.500765547</v>
      </c>
      <c r="FC190" s="19">
        <f t="shared" si="750"/>
        <v>82876718.02040115</v>
      </c>
      <c r="FE190" s="19">
        <f t="shared" si="751"/>
        <v>219877221.14780995</v>
      </c>
      <c r="FF190" s="19">
        <f t="shared" si="752"/>
        <v>209049078.90217254</v>
      </c>
      <c r="FG190" s="19">
        <f t="shared" si="753"/>
        <v>229251340.83820993</v>
      </c>
      <c r="FH190" s="19">
        <f t="shared" si="754"/>
        <v>262493230.03679913</v>
      </c>
      <c r="FI190" s="19">
        <f t="shared" si="755"/>
        <v>292795567.64858347</v>
      </c>
      <c r="FJ190" s="770">
        <f t="shared" si="537"/>
        <v>325984853.05582023</v>
      </c>
      <c r="FK190" s="545" t="s">
        <v>1</v>
      </c>
    </row>
    <row r="191" spans="2:167" x14ac:dyDescent="0.2">
      <c r="B191" s="306" t="s">
        <v>153</v>
      </c>
      <c r="C191" s="19">
        <f>C184</f>
        <v>1008787</v>
      </c>
      <c r="D191" s="19">
        <f t="shared" ref="D191:BO191" si="759">D184</f>
        <v>901968</v>
      </c>
      <c r="E191" s="19">
        <f t="shared" si="759"/>
        <v>923125</v>
      </c>
      <c r="F191" s="19">
        <f t="shared" si="759"/>
        <v>1167941</v>
      </c>
      <c r="G191" s="19">
        <f t="shared" si="759"/>
        <v>1802594</v>
      </c>
      <c r="H191" s="19">
        <f t="shared" si="759"/>
        <v>1645680</v>
      </c>
      <c r="I191" s="19">
        <f t="shared" si="759"/>
        <v>1550309</v>
      </c>
      <c r="J191" s="19">
        <f t="shared" si="759"/>
        <v>1699604</v>
      </c>
      <c r="K191" s="19">
        <f t="shared" si="759"/>
        <v>11802409.640000001</v>
      </c>
      <c r="L191" s="19">
        <f t="shared" si="759"/>
        <v>11062306.195</v>
      </c>
      <c r="M191" s="19">
        <f t="shared" si="759"/>
        <v>13993555.59</v>
      </c>
      <c r="N191" s="19">
        <f t="shared" si="759"/>
        <v>9687508.5199999996</v>
      </c>
      <c r="O191" s="19">
        <f t="shared" si="759"/>
        <v>9452836.25</v>
      </c>
      <c r="P191" s="19">
        <f t="shared" si="759"/>
        <v>11976184.960000001</v>
      </c>
      <c r="Q191" s="19">
        <f t="shared" si="759"/>
        <v>8244211</v>
      </c>
      <c r="R191" s="19">
        <f t="shared" si="759"/>
        <v>4952003.6399999997</v>
      </c>
      <c r="S191" s="19">
        <f t="shared" si="759"/>
        <v>4267095</v>
      </c>
      <c r="T191" s="19">
        <f t="shared" si="759"/>
        <v>5316078</v>
      </c>
      <c r="U191" s="19">
        <f t="shared" si="759"/>
        <v>5110067</v>
      </c>
      <c r="V191" s="19">
        <f t="shared" si="759"/>
        <v>5529368</v>
      </c>
      <c r="W191" s="19">
        <f t="shared" si="759"/>
        <v>4524715</v>
      </c>
      <c r="X191" s="19">
        <f t="shared" si="759"/>
        <v>5713997</v>
      </c>
      <c r="Y191" s="19">
        <f t="shared" si="759"/>
        <v>5843707</v>
      </c>
      <c r="Z191" s="19">
        <f t="shared" si="759"/>
        <v>5008546</v>
      </c>
      <c r="AA191" s="19">
        <f t="shared" si="759"/>
        <v>4168296</v>
      </c>
      <c r="AB191" s="19">
        <f t="shared" si="759"/>
        <v>4087286</v>
      </c>
      <c r="AC191" s="19">
        <f t="shared" si="759"/>
        <v>1949280.56</v>
      </c>
      <c r="AD191" s="19">
        <f t="shared" si="759"/>
        <v>2083500</v>
      </c>
      <c r="AE191" s="19">
        <f t="shared" si="759"/>
        <v>2158019.1339999987</v>
      </c>
      <c r="AF191" s="19">
        <f t="shared" si="759"/>
        <v>3006608.1222499995</v>
      </c>
      <c r="AG191" s="19">
        <f t="shared" si="759"/>
        <v>2941949.98</v>
      </c>
      <c r="AH191" s="19">
        <f t="shared" si="759"/>
        <v>2947288.4619999998</v>
      </c>
      <c r="AI191" s="19">
        <f t="shared" si="759"/>
        <v>3624486.1498333332</v>
      </c>
      <c r="AJ191" s="19">
        <f t="shared" si="759"/>
        <v>4048414.6875</v>
      </c>
      <c r="AK191" s="19">
        <f t="shared" si="759"/>
        <v>3998320.9668653826</v>
      </c>
      <c r="AL191" s="19">
        <f t="shared" si="759"/>
        <v>3309170.9324551299</v>
      </c>
      <c r="AM191" s="19">
        <f t="shared" si="759"/>
        <v>3960661.2382884608</v>
      </c>
      <c r="AN191" s="19">
        <f t="shared" si="759"/>
        <v>3127001.5546410261</v>
      </c>
      <c r="AO191" s="19">
        <f t="shared" si="759"/>
        <v>3434760.5305512818</v>
      </c>
      <c r="AP191" s="19">
        <f t="shared" si="759"/>
        <v>3657524.8928141035</v>
      </c>
      <c r="AQ191" s="19">
        <f t="shared" si="759"/>
        <v>37144924.957852565</v>
      </c>
      <c r="AR191" s="19">
        <f t="shared" si="759"/>
        <v>39364006.866096154</v>
      </c>
      <c r="AS191" s="19">
        <f t="shared" si="759"/>
        <v>13120583.724403847</v>
      </c>
      <c r="AT191" s="19">
        <f t="shared" si="759"/>
        <v>13137585.222884618</v>
      </c>
      <c r="AU191" s="19">
        <f t="shared" si="759"/>
        <v>14899409.694647435</v>
      </c>
      <c r="AV191" s="19">
        <f t="shared" si="759"/>
        <v>11563719.029653845</v>
      </c>
      <c r="AW191" s="19">
        <f t="shared" si="759"/>
        <v>59509360.755429484</v>
      </c>
      <c r="AX191" s="19">
        <f t="shared" si="759"/>
        <v>76613734.102814108</v>
      </c>
      <c r="AY191" s="19">
        <f t="shared" si="759"/>
        <v>6555122.2774423072</v>
      </c>
      <c r="AZ191" s="19">
        <f t="shared" si="759"/>
        <v>5584451.4792371793</v>
      </c>
      <c r="BA191" s="19">
        <f t="shared" si="759"/>
        <v>3752327.3175256429</v>
      </c>
      <c r="BB191" s="19">
        <f t="shared" si="759"/>
        <v>30587085.665487178</v>
      </c>
      <c r="BC191" s="19">
        <f t="shared" si="759"/>
        <v>14676659.384153847</v>
      </c>
      <c r="BD191" s="19">
        <f t="shared" si="759"/>
        <v>8920456.4906730764</v>
      </c>
      <c r="BE191" s="19">
        <f t="shared" si="759"/>
        <v>9217087.7339615375</v>
      </c>
      <c r="BF191" s="19">
        <f t="shared" si="759"/>
        <v>5717128</v>
      </c>
      <c r="BG191" s="19">
        <f t="shared" si="759"/>
        <v>44131809</v>
      </c>
      <c r="BH191" s="19">
        <f t="shared" si="759"/>
        <v>19861942</v>
      </c>
      <c r="BI191" s="19">
        <f t="shared" si="759"/>
        <v>23476483</v>
      </c>
      <c r="BJ191" s="19">
        <f t="shared" si="759"/>
        <v>22707539</v>
      </c>
      <c r="BK191" s="19">
        <f t="shared" si="759"/>
        <v>6573629</v>
      </c>
      <c r="BL191" s="19">
        <f t="shared" si="759"/>
        <v>8970201</v>
      </c>
      <c r="BM191" s="19">
        <f t="shared" si="759"/>
        <v>7942515</v>
      </c>
      <c r="BN191" s="19">
        <f t="shared" si="759"/>
        <v>8597920.2554945052</v>
      </c>
      <c r="BO191" s="19">
        <f t="shared" si="759"/>
        <v>9354470.2554945052</v>
      </c>
      <c r="BP191" s="19">
        <f t="shared" ref="BP191:DR191" si="760">BP184</f>
        <v>4810731</v>
      </c>
      <c r="BQ191" s="19">
        <f t="shared" si="760"/>
        <v>13722382</v>
      </c>
      <c r="BR191" s="19">
        <f t="shared" si="760"/>
        <v>12122298</v>
      </c>
      <c r="BS191" s="19">
        <f t="shared" si="760"/>
        <v>7198052</v>
      </c>
      <c r="BT191" s="19">
        <f t="shared" si="760"/>
        <v>7499633</v>
      </c>
      <c r="BU191" s="19">
        <f t="shared" si="760"/>
        <v>16710385</v>
      </c>
      <c r="BV191" s="19">
        <f t="shared" si="760"/>
        <v>10888912</v>
      </c>
      <c r="BW191" s="19">
        <f t="shared" si="760"/>
        <v>10171042</v>
      </c>
      <c r="BX191" s="19">
        <f t="shared" si="760"/>
        <v>9799280</v>
      </c>
      <c r="BY191" s="19">
        <f t="shared" si="760"/>
        <v>12822771</v>
      </c>
      <c r="BZ191" s="19">
        <f t="shared" si="760"/>
        <v>8056919</v>
      </c>
      <c r="CA191" s="19">
        <f t="shared" si="760"/>
        <v>8778311</v>
      </c>
      <c r="CB191" s="19">
        <f t="shared" si="760"/>
        <v>7239548</v>
      </c>
      <c r="CC191" s="19">
        <f t="shared" si="760"/>
        <v>9079282</v>
      </c>
      <c r="CD191" s="19">
        <f t="shared" si="760"/>
        <v>7487403</v>
      </c>
      <c r="CE191" s="19">
        <f t="shared" si="760"/>
        <v>10155995</v>
      </c>
      <c r="CF191" s="19">
        <f t="shared" si="760"/>
        <v>10065655</v>
      </c>
      <c r="CG191" s="19">
        <f t="shared" si="760"/>
        <v>22830463</v>
      </c>
      <c r="CH191" s="19">
        <f t="shared" si="760"/>
        <v>7788641</v>
      </c>
      <c r="CI191" s="19">
        <f t="shared" si="760"/>
        <v>9729924</v>
      </c>
      <c r="CJ191" s="19">
        <f t="shared" si="760"/>
        <v>11571960</v>
      </c>
      <c r="CK191" s="19">
        <f t="shared" si="760"/>
        <v>12441263</v>
      </c>
      <c r="CL191" s="19">
        <f t="shared" si="760"/>
        <v>11776283</v>
      </c>
      <c r="CM191" s="19">
        <f t="shared" si="760"/>
        <v>8701841</v>
      </c>
      <c r="CN191" s="19">
        <f t="shared" si="760"/>
        <v>11427590</v>
      </c>
      <c r="CO191" s="19">
        <f t="shared" si="760"/>
        <v>10011860</v>
      </c>
      <c r="CP191" s="19">
        <f t="shared" si="760"/>
        <v>12121151</v>
      </c>
      <c r="CQ191" s="19">
        <f t="shared" si="760"/>
        <v>10681139.5</v>
      </c>
      <c r="CR191" s="19">
        <f t="shared" si="760"/>
        <v>9623810</v>
      </c>
      <c r="CS191" s="19">
        <f t="shared" si="760"/>
        <v>8368565</v>
      </c>
      <c r="CT191" s="19">
        <f t="shared" si="760"/>
        <v>10754471</v>
      </c>
      <c r="CU191" s="19">
        <f t="shared" si="760"/>
        <v>127209857.5</v>
      </c>
      <c r="CV191" s="19">
        <f t="shared" si="760"/>
        <v>8148851.125</v>
      </c>
      <c r="CW191" s="19">
        <f t="shared" si="760"/>
        <v>8148851.125</v>
      </c>
      <c r="CX191" s="19">
        <f t="shared" si="760"/>
        <v>8148851.125</v>
      </c>
      <c r="CY191" s="19">
        <f t="shared" si="760"/>
        <v>8148851.125</v>
      </c>
      <c r="CZ191" s="19">
        <f t="shared" si="760"/>
        <v>8148851.125</v>
      </c>
      <c r="DA191" s="19">
        <f t="shared" si="760"/>
        <v>8148851.125</v>
      </c>
      <c r="DB191" s="19">
        <f t="shared" si="760"/>
        <v>8202995.1375000002</v>
      </c>
      <c r="DC191" s="19">
        <f t="shared" si="760"/>
        <v>8202995.1375000002</v>
      </c>
      <c r="DD191" s="19">
        <f t="shared" si="760"/>
        <v>8202995.1375000002</v>
      </c>
      <c r="DE191" s="19">
        <f t="shared" si="760"/>
        <v>8202995.1375000002</v>
      </c>
      <c r="DF191" s="19">
        <f t="shared" si="760"/>
        <v>8202995.1375000002</v>
      </c>
      <c r="DG191" s="19">
        <f t="shared" si="760"/>
        <v>8202995.1375000002</v>
      </c>
      <c r="DH191" s="19">
        <f t="shared" si="760"/>
        <v>9262890.7687499989</v>
      </c>
      <c r="DI191" s="19">
        <f t="shared" si="760"/>
        <v>9262890.7687499989</v>
      </c>
      <c r="DJ191" s="19">
        <f t="shared" si="760"/>
        <v>9262890.7687499989</v>
      </c>
      <c r="DK191" s="19">
        <f t="shared" si="760"/>
        <v>9262890.7687499989</v>
      </c>
      <c r="DL191" s="19">
        <f t="shared" si="760"/>
        <v>9262890.7687499989</v>
      </c>
      <c r="DM191" s="19">
        <f t="shared" si="760"/>
        <v>9262890.7687499989</v>
      </c>
      <c r="DN191" s="19">
        <f t="shared" si="760"/>
        <v>9319741.9818749987</v>
      </c>
      <c r="DO191" s="19">
        <f t="shared" si="760"/>
        <v>9319741.9818749987</v>
      </c>
      <c r="DP191" s="19">
        <f t="shared" si="760"/>
        <v>9319741.9818749987</v>
      </c>
      <c r="DQ191" s="19">
        <f t="shared" si="760"/>
        <v>9319741.9818749987</v>
      </c>
      <c r="DR191" s="19">
        <f t="shared" si="760"/>
        <v>9319741.9818749987</v>
      </c>
      <c r="DS191" s="19">
        <f t="shared" ref="DS191:ED191" si="761">DS184</f>
        <v>9319741.9818749987</v>
      </c>
      <c r="DT191" s="19">
        <f t="shared" si="761"/>
        <v>10538621.957812499</v>
      </c>
      <c r="DU191" s="19">
        <f t="shared" si="761"/>
        <v>10538621.957812499</v>
      </c>
      <c r="DV191" s="19">
        <f t="shared" si="761"/>
        <v>10538621.957812499</v>
      </c>
      <c r="DW191" s="19">
        <f t="shared" si="761"/>
        <v>10538621.957812499</v>
      </c>
      <c r="DX191" s="19">
        <f t="shared" si="761"/>
        <v>10538621.957812499</v>
      </c>
      <c r="DY191" s="19">
        <f t="shared" si="761"/>
        <v>10538621.957812499</v>
      </c>
      <c r="DZ191" s="19">
        <f t="shared" si="761"/>
        <v>10598315.731593749</v>
      </c>
      <c r="EA191" s="19">
        <f t="shared" si="761"/>
        <v>10598315.731593749</v>
      </c>
      <c r="EB191" s="19">
        <f t="shared" si="761"/>
        <v>10598315.731593749</v>
      </c>
      <c r="EC191" s="19">
        <f t="shared" si="761"/>
        <v>10598315.731593749</v>
      </c>
      <c r="ED191" s="19">
        <f t="shared" si="761"/>
        <v>10598315.731593749</v>
      </c>
      <c r="EE191" s="222"/>
      <c r="EF191" s="19">
        <f>SUM(BK191:BM191)</f>
        <v>23486345</v>
      </c>
      <c r="EG191" s="19">
        <f>SUM(BN191:BP191)</f>
        <v>22763121.51098901</v>
      </c>
      <c r="EH191" s="19">
        <f>SUM(BQ191:BS191)</f>
        <v>33042732</v>
      </c>
      <c r="EI191" s="19">
        <f>SUM(BT191:BV191)</f>
        <v>35098930</v>
      </c>
      <c r="EJ191" s="19">
        <f>SUM(BW191:BY191)</f>
        <v>32793093</v>
      </c>
      <c r="EK191" s="19">
        <f>SUM(BZ191:CB191)</f>
        <v>24074778</v>
      </c>
      <c r="EL191" s="19">
        <f>SUM(CC191:CE191)</f>
        <v>26722680</v>
      </c>
      <c r="EM191" s="19">
        <f>SUM(CF191:CH191)</f>
        <v>40684759</v>
      </c>
      <c r="EN191" s="19">
        <f>SUM(CI191:CK191)</f>
        <v>33743147</v>
      </c>
      <c r="EO191" s="19">
        <f>SUM(CL191:CN191)</f>
        <v>31905714</v>
      </c>
      <c r="EP191" s="19">
        <f>SUM(CO191:CQ191)</f>
        <v>32814150.5</v>
      </c>
      <c r="EQ191" s="19">
        <f>SUM(CR191:CT191)</f>
        <v>28746846</v>
      </c>
      <c r="ER191" s="19">
        <f>SUM(CU191:CW191)</f>
        <v>143507559.75</v>
      </c>
      <c r="ES191" s="19">
        <f>SUM(CX191:CZ191)</f>
        <v>24446553.375</v>
      </c>
      <c r="ET191" s="19">
        <f>SUM(DA191:DC191)</f>
        <v>24554841.399999999</v>
      </c>
      <c r="EU191" s="19">
        <f>SUM(DD191:DF191)</f>
        <v>24608985.412500001</v>
      </c>
      <c r="EV191" s="19">
        <f>SUM(DG191:DI191)</f>
        <v>26728776.674999997</v>
      </c>
      <c r="EW191" s="19">
        <f>SUM(DJ191:DL191)</f>
        <v>27788672.306249999</v>
      </c>
      <c r="EX191" s="19">
        <f>SUM(DM191:DO191)</f>
        <v>27902374.732499998</v>
      </c>
      <c r="EY191" s="19">
        <f>SUM(DP191:DR191)</f>
        <v>27959225.945624996</v>
      </c>
      <c r="EZ191" s="19">
        <f t="shared" ref="EZ191" si="762">SUM(DS191:DU191)</f>
        <v>30396985.897499997</v>
      </c>
      <c r="FA191" s="19">
        <f t="shared" ref="FA191" si="763">SUM(DV191:DX191)</f>
        <v>31615865.873437498</v>
      </c>
      <c r="FB191" s="19">
        <f t="shared" ref="FB191" si="764">SUM(DY191:EA191)</f>
        <v>31735253.420999996</v>
      </c>
      <c r="FC191" s="19">
        <f t="shared" ref="FC191" si="765">SUM(EB191:ED191)</f>
        <v>31794947.194781244</v>
      </c>
      <c r="FE191" s="19">
        <f t="shared" si="751"/>
        <v>114391128.51098901</v>
      </c>
      <c r="FF191" s="19">
        <f t="shared" si="752"/>
        <v>124275310</v>
      </c>
      <c r="FG191" s="19">
        <f t="shared" si="753"/>
        <v>127209857.5</v>
      </c>
      <c r="FH191" s="19">
        <f t="shared" si="754"/>
        <v>217117939.9375</v>
      </c>
      <c r="FI191" s="19">
        <f t="shared" si="755"/>
        <v>110379049.65937498</v>
      </c>
      <c r="FJ191" s="770">
        <f t="shared" si="537"/>
        <v>125543052.38671874</v>
      </c>
      <c r="FK191" s="545" t="s">
        <v>1</v>
      </c>
    </row>
    <row r="192" spans="2:167" x14ac:dyDescent="0.2">
      <c r="B192" s="226" t="s">
        <v>324</v>
      </c>
      <c r="C192" s="171">
        <f>C189/C63</f>
        <v>4.4318129492427576E-2</v>
      </c>
      <c r="D192" s="171">
        <f t="shared" ref="D192:BO192" si="766">D189/D63</f>
        <v>6.1088531732630041E-2</v>
      </c>
      <c r="E192" s="171">
        <f t="shared" si="766"/>
        <v>5.5866747702541318E-2</v>
      </c>
      <c r="F192" s="171">
        <f t="shared" si="766"/>
        <v>5.2380756836741017E-2</v>
      </c>
      <c r="G192" s="171">
        <f t="shared" si="766"/>
        <v>5.0875546436791111E-2</v>
      </c>
      <c r="H192" s="171">
        <f t="shared" si="766"/>
        <v>5.1883583849542038E-2</v>
      </c>
      <c r="I192" s="171">
        <f t="shared" si="766"/>
        <v>2.9443121830480156E-2</v>
      </c>
      <c r="J192" s="171">
        <f t="shared" si="766"/>
        <v>6.6976481139575342E-2</v>
      </c>
      <c r="K192" s="171">
        <f t="shared" si="766"/>
        <v>9.8629377369491955E-2</v>
      </c>
      <c r="L192" s="171">
        <f t="shared" si="766"/>
        <v>8.6642187159937864E-2</v>
      </c>
      <c r="M192" s="171">
        <f t="shared" si="766"/>
        <v>7.7357950883541318E-2</v>
      </c>
      <c r="N192" s="171">
        <f t="shared" si="766"/>
        <v>6.2174296715769919E-2</v>
      </c>
      <c r="O192" s="171">
        <f t="shared" si="766"/>
        <v>5.6102659715011799E-2</v>
      </c>
      <c r="P192" s="171">
        <f t="shared" si="766"/>
        <v>6.7121411751234247E-2</v>
      </c>
      <c r="Q192" s="171">
        <f t="shared" si="766"/>
        <v>6.1790449896269008E-2</v>
      </c>
      <c r="R192" s="171">
        <f t="shared" si="766"/>
        <v>3.3658973802026287E-2</v>
      </c>
      <c r="S192" s="171">
        <f t="shared" si="766"/>
        <v>2.6057352187829057E-2</v>
      </c>
      <c r="T192" s="171">
        <f t="shared" si="766"/>
        <v>2.9243452805597502E-2</v>
      </c>
      <c r="U192" s="171">
        <f t="shared" si="766"/>
        <v>3.0165384020719006E-2</v>
      </c>
      <c r="V192" s="171">
        <f t="shared" si="766"/>
        <v>2.7990581041244553E-2</v>
      </c>
      <c r="W192" s="171">
        <f t="shared" si="766"/>
        <v>2.1355721467771031E-2</v>
      </c>
      <c r="X192" s="171">
        <f t="shared" si="766"/>
        <v>2.4786316113063471E-2</v>
      </c>
      <c r="Y192" s="171">
        <f t="shared" si="766"/>
        <v>2.4239222586413176E-2</v>
      </c>
      <c r="Z192" s="171">
        <f t="shared" si="766"/>
        <v>3.0514694774916942E-2</v>
      </c>
      <c r="AA192" s="171">
        <f t="shared" si="766"/>
        <v>-1.4692055191405733</v>
      </c>
      <c r="AB192" s="171">
        <f t="shared" si="766"/>
        <v>2.7501369493757363E-2</v>
      </c>
      <c r="AC192" s="171">
        <f t="shared" si="766"/>
        <v>1.8454523503533903E-2</v>
      </c>
      <c r="AD192" s="171">
        <f t="shared" si="766"/>
        <v>2.7290986644383425E-2</v>
      </c>
      <c r="AE192" s="171">
        <f t="shared" si="766"/>
        <v>2.2567339912655068E-2</v>
      </c>
      <c r="AF192" s="171">
        <f t="shared" si="766"/>
        <v>2.6563210999199418E-2</v>
      </c>
      <c r="AG192" s="171">
        <f t="shared" si="766"/>
        <v>2.4249341006388616E-2</v>
      </c>
      <c r="AH192" s="171">
        <f t="shared" si="766"/>
        <v>1.7330851464457776E-2</v>
      </c>
      <c r="AI192" s="171">
        <f t="shared" si="766"/>
        <v>1.5255904300755154E-2</v>
      </c>
      <c r="AJ192" s="171">
        <f t="shared" si="766"/>
        <v>1.6561959041008774E-2</v>
      </c>
      <c r="AK192" s="171">
        <f t="shared" si="766"/>
        <v>1.4770903987932136E-2</v>
      </c>
      <c r="AL192" s="171">
        <f t="shared" si="766"/>
        <v>2.1238366929699295E-2</v>
      </c>
      <c r="AM192" s="171">
        <f t="shared" si="766"/>
        <v>2.3745048577397693E-2</v>
      </c>
      <c r="AN192" s="171">
        <f t="shared" si="766"/>
        <v>3.0443591873908261E-2</v>
      </c>
      <c r="AO192" s="171">
        <f t="shared" si="766"/>
        <v>2.5394270745740782E-2</v>
      </c>
      <c r="AP192" s="171">
        <f t="shared" si="766"/>
        <v>2.6488434474024512E-2</v>
      </c>
      <c r="AQ192" s="171">
        <f t="shared" si="766"/>
        <v>0.11076884079877425</v>
      </c>
      <c r="AR192" s="171">
        <f t="shared" si="766"/>
        <v>0.11640860184750039</v>
      </c>
      <c r="AS192" s="171">
        <f t="shared" si="766"/>
        <v>5.8902508199363525E-2</v>
      </c>
      <c r="AT192" s="171">
        <f t="shared" si="766"/>
        <v>4.5702448630030798E-2</v>
      </c>
      <c r="AU192" s="171">
        <f t="shared" si="766"/>
        <v>4.4369523580587343E-2</v>
      </c>
      <c r="AV192" s="171">
        <f t="shared" si="766"/>
        <v>4.1299329696276824E-2</v>
      </c>
      <c r="AW192" s="171">
        <f t="shared" si="766"/>
        <v>0.12485632968349755</v>
      </c>
      <c r="AX192" s="171">
        <f t="shared" si="766"/>
        <v>0.17965782337943792</v>
      </c>
      <c r="AY192" s="171">
        <f t="shared" si="766"/>
        <v>4.1614540999915517E-2</v>
      </c>
      <c r="AZ192" s="171">
        <f t="shared" si="766"/>
        <v>2.450226673985172E-2</v>
      </c>
      <c r="BA192" s="171">
        <f t="shared" si="766"/>
        <v>3.6605124128190322E-2</v>
      </c>
      <c r="BB192" s="171">
        <f t="shared" si="766"/>
        <v>9.1978187627161104E-2</v>
      </c>
      <c r="BC192" s="171">
        <f t="shared" si="766"/>
        <v>7.0363974172260119E-2</v>
      </c>
      <c r="BD192" s="171">
        <f t="shared" si="766"/>
        <v>3.8461714148433822E-2</v>
      </c>
      <c r="BE192" s="171">
        <f t="shared" si="766"/>
        <v>3.296639743250291E-2</v>
      </c>
      <c r="BF192" s="171">
        <f t="shared" si="766"/>
        <v>2.4147163239584702E-2</v>
      </c>
      <c r="BG192" s="171">
        <f t="shared" si="766"/>
        <v>7.4097925637693615E-2</v>
      </c>
      <c r="BH192" s="171">
        <f t="shared" si="766"/>
        <v>5.6013015607253927E-2</v>
      </c>
      <c r="BI192" s="171">
        <f t="shared" si="766"/>
        <v>6.750991406562086E-2</v>
      </c>
      <c r="BJ192" s="171">
        <f t="shared" si="766"/>
        <v>4.6671574666953389E-2</v>
      </c>
      <c r="BK192" s="171">
        <f t="shared" si="766"/>
        <v>2.5754673436611315E-2</v>
      </c>
      <c r="BL192" s="171">
        <f t="shared" si="766"/>
        <v>3.0432650595903249E-2</v>
      </c>
      <c r="BM192" s="171">
        <f t="shared" si="766"/>
        <v>3.2891576429292829E-2</v>
      </c>
      <c r="BN192" s="171">
        <f t="shared" si="766"/>
        <v>4.1231535634537714E-2</v>
      </c>
      <c r="BO192" s="171">
        <f t="shared" si="766"/>
        <v>3.7935841239461664E-2</v>
      </c>
      <c r="BP192" s="171">
        <f t="shared" ref="BP192:EM192" si="767">BP189/BP63</f>
        <v>2.8870706884903313E-2</v>
      </c>
      <c r="BQ192" s="171">
        <f t="shared" si="767"/>
        <v>3.5560104415007954E-2</v>
      </c>
      <c r="BR192" s="171">
        <f t="shared" si="767"/>
        <v>3.4045872320792855E-2</v>
      </c>
      <c r="BS192" s="171">
        <f t="shared" si="767"/>
        <v>2.9070113662800861E-2</v>
      </c>
      <c r="BT192" s="171">
        <f t="shared" si="767"/>
        <v>2.7605294408888557E-2</v>
      </c>
      <c r="BU192" s="171">
        <f t="shared" si="767"/>
        <v>4.477875501832411E-2</v>
      </c>
      <c r="BV192" s="171">
        <f t="shared" si="767"/>
        <v>3.5041127903897532E-2</v>
      </c>
      <c r="BW192" s="171">
        <f t="shared" si="767"/>
        <v>3.5290173717126207E-2</v>
      </c>
      <c r="BX192" s="171">
        <f t="shared" si="767"/>
        <v>3.3467573415131589E-2</v>
      </c>
      <c r="BY192" s="171">
        <f t="shared" si="767"/>
        <v>3.5211878007555396E-2</v>
      </c>
      <c r="BZ192" s="171">
        <f t="shared" si="767"/>
        <v>3.1128294618066158E-2</v>
      </c>
      <c r="CA192" s="171">
        <f t="shared" si="767"/>
        <v>2.9150658090459202E-2</v>
      </c>
      <c r="CB192" s="171">
        <f t="shared" si="767"/>
        <v>2.4727244650284596E-2</v>
      </c>
      <c r="CC192" s="171">
        <f t="shared" si="767"/>
        <v>2.1903259532179378E-2</v>
      </c>
      <c r="CD192" s="171">
        <f t="shared" si="767"/>
        <v>2.5635263950391889E-2</v>
      </c>
      <c r="CE192" s="171">
        <f t="shared" si="767"/>
        <v>2.8944536557213033E-2</v>
      </c>
      <c r="CF192" s="171">
        <f t="shared" si="767"/>
        <v>2.7069385036298667E-2</v>
      </c>
      <c r="CG192" s="171">
        <f t="shared" si="767"/>
        <v>3.7669842030980359E-2</v>
      </c>
      <c r="CH192" s="171">
        <f t="shared" si="767"/>
        <v>1.8909267166818077E-2</v>
      </c>
      <c r="CI192" s="171">
        <f t="shared" si="767"/>
        <v>2.244335232420237E-2</v>
      </c>
      <c r="CJ192" s="171">
        <f t="shared" si="767"/>
        <v>2.3906561066283815E-2</v>
      </c>
      <c r="CK192" s="171">
        <f t="shared" si="767"/>
        <v>2.6054521962328048E-2</v>
      </c>
      <c r="CL192" s="171">
        <f t="shared" si="767"/>
        <v>2.6108800609091438E-2</v>
      </c>
      <c r="CM192" s="171">
        <f t="shared" si="767"/>
        <v>2.6751564867518347E-2</v>
      </c>
      <c r="CN192" s="171">
        <f t="shared" si="767"/>
        <v>2.2446576177056827E-2</v>
      </c>
      <c r="CO192" s="171">
        <f t="shared" si="767"/>
        <v>1.6837307886763037E-2</v>
      </c>
      <c r="CP192" s="171">
        <f t="shared" si="767"/>
        <v>2.167422126707667E-2</v>
      </c>
      <c r="CQ192" s="171">
        <f t="shared" si="767"/>
        <v>1.9138787631040842E-2</v>
      </c>
      <c r="CR192" s="171">
        <f t="shared" si="767"/>
        <v>1.6680649009757405E-2</v>
      </c>
      <c r="CS192" s="171">
        <f t="shared" si="767"/>
        <v>1.625196602451446E-2</v>
      </c>
      <c r="CT192" s="171">
        <f t="shared" si="767"/>
        <v>1.6814393080199601E-2</v>
      </c>
      <c r="CU192" s="171">
        <f t="shared" si="767"/>
        <v>8.759402981789402E-2</v>
      </c>
      <c r="CV192" s="171">
        <f t="shared" si="767"/>
        <v>1.7297889948819017E-2</v>
      </c>
      <c r="CW192" s="171">
        <f t="shared" si="767"/>
        <v>1.7700758145972849E-2</v>
      </c>
      <c r="CX192" s="171">
        <f t="shared" si="767"/>
        <v>1.7081728471648482E-2</v>
      </c>
      <c r="CY192" s="171">
        <f t="shared" si="767"/>
        <v>1.8506859172907193E-2</v>
      </c>
      <c r="CZ192" s="171">
        <f t="shared" si="767"/>
        <v>1.9234325194461398E-2</v>
      </c>
      <c r="DA192" s="171">
        <f t="shared" si="767"/>
        <v>1.7106332002962899E-2</v>
      </c>
      <c r="DB192" s="171">
        <f t="shared" si="767"/>
        <v>1.6625098361485499E-2</v>
      </c>
      <c r="DC192" s="171">
        <f t="shared" si="767"/>
        <v>1.4426174642962279E-2</v>
      </c>
      <c r="DD192" s="171">
        <f t="shared" si="767"/>
        <v>1.4377359748211287E-2</v>
      </c>
      <c r="DE192" s="171">
        <f t="shared" si="767"/>
        <v>1.5481778031609401E-2</v>
      </c>
      <c r="DF192" s="171">
        <f t="shared" si="767"/>
        <v>1.4507786340605551E-2</v>
      </c>
      <c r="DG192" s="171">
        <f t="shared" si="767"/>
        <v>1.5554105971137829E-2</v>
      </c>
      <c r="DH192" s="171">
        <f t="shared" si="767"/>
        <v>1.5857915843293165E-2</v>
      </c>
      <c r="DI192" s="171">
        <f t="shared" si="767"/>
        <v>1.6264690826122998E-2</v>
      </c>
      <c r="DJ192" s="171">
        <f t="shared" si="767"/>
        <v>1.5708171630075277E-2</v>
      </c>
      <c r="DK192" s="171">
        <f t="shared" si="767"/>
        <v>1.7025760328477434E-2</v>
      </c>
      <c r="DL192" s="171">
        <f t="shared" si="767"/>
        <v>1.773959726550536E-2</v>
      </c>
      <c r="DM192" s="171">
        <f t="shared" si="767"/>
        <v>1.5772158561591938E-2</v>
      </c>
      <c r="DN192" s="171">
        <f t="shared" si="767"/>
        <v>1.5309989981534742E-2</v>
      </c>
      <c r="DO192" s="171">
        <f t="shared" si="767"/>
        <v>1.3315793882822474E-2</v>
      </c>
      <c r="DP192" s="171">
        <f t="shared" si="767"/>
        <v>1.33043779374977E-2</v>
      </c>
      <c r="DQ192" s="171">
        <f t="shared" si="767"/>
        <v>1.4334433286694483E-2</v>
      </c>
      <c r="DR192" s="171">
        <f t="shared" si="767"/>
        <v>1.3515828663520421E-2</v>
      </c>
      <c r="DS192" s="171">
        <f t="shared" ref="DS192:ED192" si="768">DS189/DS63</f>
        <v>1.4865861036672151E-2</v>
      </c>
      <c r="DT192" s="171">
        <f t="shared" si="768"/>
        <v>1.5166295403814027E-2</v>
      </c>
      <c r="DU192" s="171">
        <f t="shared" si="768"/>
        <v>1.55671410701805E-2</v>
      </c>
      <c r="DV192" s="171">
        <f t="shared" si="768"/>
        <v>1.5051143098877583E-2</v>
      </c>
      <c r="DW192" s="171">
        <f t="shared" si="768"/>
        <v>1.6311500926951838E-2</v>
      </c>
      <c r="DX192" s="171">
        <f t="shared" si="768"/>
        <v>1.7007827661367988E-2</v>
      </c>
      <c r="DY192" s="171">
        <f t="shared" si="768"/>
        <v>1.5127457717237587E-2</v>
      </c>
      <c r="DZ192" s="171">
        <f t="shared" si="768"/>
        <v>1.4637516069661178E-2</v>
      </c>
      <c r="EA192" s="171">
        <f t="shared" si="768"/>
        <v>1.2735873046172907E-2</v>
      </c>
      <c r="EB192" s="171">
        <f t="shared" si="768"/>
        <v>1.2733565159725716E-2</v>
      </c>
      <c r="EC192" s="171">
        <f t="shared" si="768"/>
        <v>1.3719391323227175E-2</v>
      </c>
      <c r="ED192" s="171">
        <f t="shared" si="768"/>
        <v>1.2962600837691553E-2</v>
      </c>
      <c r="EE192" s="222"/>
      <c r="EF192" s="171">
        <f t="shared" si="767"/>
        <v>2.9622297451145981E-2</v>
      </c>
      <c r="EG192" s="171">
        <f t="shared" si="767"/>
        <v>3.5955908030537359E-2</v>
      </c>
      <c r="EH192" s="171">
        <f t="shared" si="767"/>
        <v>3.3079184136850286E-2</v>
      </c>
      <c r="EI192" s="171">
        <f t="shared" si="767"/>
        <v>3.5520941011181376E-2</v>
      </c>
      <c r="EJ192" s="171">
        <f t="shared" si="767"/>
        <v>3.4650698275255236E-2</v>
      </c>
      <c r="EK192" s="171">
        <f t="shared" si="767"/>
        <v>2.850904679539645E-2</v>
      </c>
      <c r="EL192" s="171">
        <f t="shared" si="767"/>
        <v>2.5607301053894971E-2</v>
      </c>
      <c r="EM192" s="171">
        <f t="shared" si="767"/>
        <v>2.7178295474142088E-2</v>
      </c>
      <c r="EN192" s="171">
        <f t="shared" ref="EN192:FJ192" si="769">EN189/EN63</f>
        <v>2.4125349174945965E-2</v>
      </c>
      <c r="EO192" s="171">
        <f t="shared" si="769"/>
        <v>2.5142440167065544E-2</v>
      </c>
      <c r="EP192" s="171">
        <f t="shared" si="769"/>
        <v>1.9213368521121838E-2</v>
      </c>
      <c r="EQ192" s="171">
        <f t="shared" si="769"/>
        <v>1.6593917431389552E-2</v>
      </c>
      <c r="ER192" s="171">
        <f t="shared" si="769"/>
        <v>4.0870112701703661E-2</v>
      </c>
      <c r="ES192" s="171">
        <f t="shared" si="769"/>
        <v>1.8226925303085784E-2</v>
      </c>
      <c r="ET192" s="171">
        <f t="shared" si="769"/>
        <v>1.5959919775934597E-2</v>
      </c>
      <c r="EU192" s="171">
        <f t="shared" si="769"/>
        <v>1.477176699771318E-2</v>
      </c>
      <c r="EV192" s="171">
        <f t="shared" si="769"/>
        <v>1.5890428445217292E-2</v>
      </c>
      <c r="EW192" s="171">
        <f t="shared" si="769"/>
        <v>1.6778732743995488E-2</v>
      </c>
      <c r="EX192" s="171">
        <f t="shared" si="769"/>
        <v>1.471553699748296E-2</v>
      </c>
      <c r="EY192" s="171">
        <f t="shared" si="769"/>
        <v>1.3703087156008846E-2</v>
      </c>
      <c r="EZ192" s="171">
        <f t="shared" si="769"/>
        <v>1.519790184859782E-2</v>
      </c>
      <c r="FA192" s="171">
        <f t="shared" si="769"/>
        <v>1.6079198398830354E-2</v>
      </c>
      <c r="FB192" s="171">
        <f t="shared" si="769"/>
        <v>1.4085113148544673E-2</v>
      </c>
      <c r="FC192" s="171">
        <f t="shared" si="769"/>
        <v>1.3124293866716288E-2</v>
      </c>
      <c r="FD192" s="786"/>
      <c r="FE192" s="171">
        <f t="shared" si="769"/>
        <v>3.3380839288798515E-2</v>
      </c>
      <c r="FF192" s="171">
        <f t="shared" si="769"/>
        <v>2.8775911648847973E-2</v>
      </c>
      <c r="FG192" s="171">
        <f t="shared" si="769"/>
        <v>2.0734674425357015E-2</v>
      </c>
      <c r="FH192" s="171">
        <f t="shared" si="769"/>
        <v>2.1933741454944304E-2</v>
      </c>
      <c r="FI192" s="171">
        <f t="shared" si="769"/>
        <v>1.5168278610431959E-2</v>
      </c>
      <c r="FJ192" s="171">
        <f t="shared" si="769"/>
        <v>1.45227039389979E-2</v>
      </c>
      <c r="FK192" s="545" t="s">
        <v>1</v>
      </c>
    </row>
    <row r="193" spans="2:167" x14ac:dyDescent="0.2">
      <c r="B193" s="226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9"/>
      <c r="DZ193" s="19"/>
      <c r="EA193" s="19"/>
      <c r="EB193" s="19"/>
      <c r="EC193" s="19"/>
      <c r="ED193" s="19"/>
      <c r="EE193" s="222"/>
      <c r="EF193" s="19"/>
      <c r="EG193" s="19"/>
      <c r="EH193" s="19"/>
      <c r="EI193" s="19"/>
      <c r="EJ193" s="19"/>
      <c r="EK193" s="19"/>
      <c r="EL193" s="19"/>
      <c r="EM193" s="19"/>
      <c r="EN193" s="19"/>
      <c r="EO193" s="19"/>
      <c r="EP193" s="19"/>
      <c r="EQ193" s="19"/>
      <c r="ER193" s="19"/>
      <c r="ES193" s="19"/>
      <c r="ET193" s="19"/>
      <c r="EU193" s="19"/>
      <c r="EV193" s="19"/>
      <c r="EW193" s="19"/>
      <c r="EX193" s="19"/>
      <c r="EY193" s="19"/>
      <c r="EZ193" s="19"/>
      <c r="FA193" s="19"/>
      <c r="FB193" s="19"/>
      <c r="FC193" s="19"/>
      <c r="FE193" s="19"/>
      <c r="FF193" s="19"/>
      <c r="FG193" s="19"/>
      <c r="FH193" s="19"/>
      <c r="FI193" s="19"/>
      <c r="FJ193" s="770"/>
      <c r="FK193" s="545"/>
    </row>
    <row r="194" spans="2:167" x14ac:dyDescent="0.2">
      <c r="B194" s="226" t="s">
        <v>325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>
        <v>29141</v>
      </c>
      <c r="R194" s="19">
        <v>31473</v>
      </c>
      <c r="S194" s="19">
        <v>28256</v>
      </c>
      <c r="T194" s="19">
        <v>26167</v>
      </c>
      <c r="U194" s="19">
        <v>40908</v>
      </c>
      <c r="V194" s="19">
        <v>24084</v>
      </c>
      <c r="W194" s="19">
        <v>20803</v>
      </c>
      <c r="X194" s="19">
        <v>23601</v>
      </c>
      <c r="Y194" s="19">
        <v>21009</v>
      </c>
      <c r="Z194" s="19">
        <v>15465</v>
      </c>
      <c r="AA194" s="19">
        <v>125</v>
      </c>
      <c r="AB194" s="19">
        <v>5217</v>
      </c>
      <c r="AC194" s="19">
        <v>14601</v>
      </c>
      <c r="AD194" s="19">
        <v>21057</v>
      </c>
      <c r="AE194" s="19">
        <v>27123</v>
      </c>
      <c r="AF194" s="19">
        <v>29601</v>
      </c>
      <c r="AG194" s="19">
        <v>42424</v>
      </c>
      <c r="AH194" s="19">
        <v>40558</v>
      </c>
      <c r="AI194" s="19">
        <v>31721</v>
      </c>
      <c r="AJ194" s="19">
        <v>34457</v>
      </c>
      <c r="AK194" s="19">
        <v>33108</v>
      </c>
      <c r="AL194" s="19">
        <v>34406</v>
      </c>
      <c r="AM194" s="19">
        <v>25753</v>
      </c>
      <c r="AN194" s="19">
        <v>9339</v>
      </c>
      <c r="AO194" s="19">
        <v>31849</v>
      </c>
      <c r="AP194" s="19">
        <v>40518</v>
      </c>
      <c r="AQ194" s="19">
        <v>53060</v>
      </c>
      <c r="AR194" s="19">
        <v>66116</v>
      </c>
      <c r="AS194" s="19">
        <v>98286</v>
      </c>
      <c r="AT194" s="19">
        <v>74769</v>
      </c>
      <c r="AU194" s="19">
        <v>67967</v>
      </c>
      <c r="AV194" s="19">
        <v>61366</v>
      </c>
      <c r="AW194" s="19">
        <v>61270</v>
      </c>
      <c r="AX194" s="19">
        <v>86703</v>
      </c>
      <c r="AY194" s="19">
        <v>73967</v>
      </c>
      <c r="AZ194" s="19">
        <v>52927</v>
      </c>
      <c r="BA194" s="19">
        <v>61147</v>
      </c>
      <c r="BB194" s="19">
        <v>66334</v>
      </c>
      <c r="BC194" s="19">
        <v>73401</v>
      </c>
      <c r="BD194" s="19">
        <v>87663</v>
      </c>
      <c r="BE194" s="19">
        <v>96332</v>
      </c>
      <c r="BF194" s="19">
        <v>65863</v>
      </c>
      <c r="BG194" s="19">
        <v>59268</v>
      </c>
      <c r="BH194" s="19">
        <v>72066</v>
      </c>
      <c r="BI194" s="19">
        <v>69559</v>
      </c>
      <c r="BJ194" s="19">
        <v>78368</v>
      </c>
      <c r="BK194" s="19">
        <v>75581</v>
      </c>
      <c r="BL194" s="19">
        <v>79343</v>
      </c>
      <c r="BM194" s="19">
        <v>75726</v>
      </c>
      <c r="BN194" s="19">
        <v>82167</v>
      </c>
      <c r="BO194" s="19">
        <v>82396</v>
      </c>
      <c r="BP194" s="19">
        <v>62984</v>
      </c>
      <c r="BQ194" s="19">
        <v>95245</v>
      </c>
      <c r="BR194" s="19">
        <v>77947</v>
      </c>
      <c r="BS194" s="19">
        <v>62889</v>
      </c>
      <c r="BT194" s="19">
        <v>65422</v>
      </c>
      <c r="BU194" s="19">
        <v>61756</v>
      </c>
      <c r="BV194" s="19">
        <v>68465</v>
      </c>
      <c r="BW194" s="19">
        <v>71989</v>
      </c>
      <c r="BX194" s="19">
        <v>69219</v>
      </c>
      <c r="BY194" s="19">
        <v>74984</v>
      </c>
      <c r="BZ194" s="19">
        <v>69842</v>
      </c>
      <c r="CA194" s="19">
        <v>76947</v>
      </c>
      <c r="CB194" s="19">
        <v>73501</v>
      </c>
      <c r="CC194" s="19">
        <v>78993</v>
      </c>
      <c r="CD194" s="19">
        <v>97197</v>
      </c>
      <c r="CE194" s="19">
        <v>76916</v>
      </c>
      <c r="CF194" s="19">
        <v>80763</v>
      </c>
      <c r="CG194" s="19">
        <v>82010</v>
      </c>
      <c r="CH194" s="19">
        <v>82054</v>
      </c>
      <c r="CI194" s="19">
        <v>81070</v>
      </c>
      <c r="CJ194" s="19">
        <v>83763</v>
      </c>
      <c r="CK194" s="19">
        <v>91326</v>
      </c>
      <c r="CL194" s="19">
        <v>93930</v>
      </c>
      <c r="CM194" s="19">
        <v>98482</v>
      </c>
      <c r="CN194" s="19">
        <v>91298</v>
      </c>
      <c r="CO194" s="19">
        <v>117599</v>
      </c>
      <c r="CP194" s="19">
        <v>124103</v>
      </c>
      <c r="CQ194" s="19">
        <v>99567</v>
      </c>
      <c r="CR194" s="19">
        <v>104149</v>
      </c>
      <c r="CS194" s="19">
        <v>103318</v>
      </c>
      <c r="CT194" s="19">
        <v>97774</v>
      </c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222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19"/>
      <c r="EQ194" s="19"/>
      <c r="ER194" s="19"/>
      <c r="ES194" s="19"/>
      <c r="ET194" s="19"/>
      <c r="EU194" s="19"/>
      <c r="EV194" s="19"/>
      <c r="EW194" s="19"/>
      <c r="EX194" s="19"/>
      <c r="EY194" s="19"/>
      <c r="EZ194" s="19"/>
      <c r="FA194" s="19"/>
      <c r="FB194" s="19"/>
      <c r="FC194" s="19"/>
      <c r="FE194" s="19"/>
      <c r="FF194" s="19"/>
      <c r="FG194" s="19"/>
      <c r="FH194" s="19"/>
      <c r="FI194" s="19"/>
      <c r="FJ194" s="770">
        <f t="shared" si="537"/>
        <v>0</v>
      </c>
      <c r="FK194" s="545" t="s">
        <v>1</v>
      </c>
    </row>
    <row r="195" spans="2:167" x14ac:dyDescent="0.2">
      <c r="B195" s="226" t="s">
        <v>326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>
        <f>Q189/Q194</f>
        <v>692.98689132150582</v>
      </c>
      <c r="R195" s="19">
        <f t="shared" ref="R195:CC195" si="770">R189/R194</f>
        <v>372.36779588853938</v>
      </c>
      <c r="S195" s="19">
        <f t="shared" si="770"/>
        <v>255.62004530011325</v>
      </c>
      <c r="T195" s="19">
        <f t="shared" si="770"/>
        <v>288.30282416784502</v>
      </c>
      <c r="U195" s="19">
        <f t="shared" si="770"/>
        <v>162.86709201134252</v>
      </c>
      <c r="V195" s="19">
        <f t="shared" si="770"/>
        <v>275.84740906826107</v>
      </c>
      <c r="W195" s="19">
        <f t="shared" si="770"/>
        <v>288.97678219487574</v>
      </c>
      <c r="X195" s="19">
        <f t="shared" si="770"/>
        <v>306.13452819795771</v>
      </c>
      <c r="Y195" s="19">
        <f t="shared" si="770"/>
        <v>362.86658098909993</v>
      </c>
      <c r="Z195" s="19">
        <f t="shared" si="770"/>
        <v>407.6586485612674</v>
      </c>
      <c r="AA195" s="19">
        <f t="shared" si="770"/>
        <v>34999.175999999999</v>
      </c>
      <c r="AB195" s="19">
        <f t="shared" si="770"/>
        <v>883.17251293847039</v>
      </c>
      <c r="AC195" s="19">
        <f t="shared" si="770"/>
        <v>226.63150195192111</v>
      </c>
      <c r="AD195" s="19">
        <f t="shared" si="770"/>
        <v>202.74533923991746</v>
      </c>
      <c r="AE195" s="19">
        <f t="shared" si="770"/>
        <v>200.94119876119893</v>
      </c>
      <c r="AF195" s="19">
        <f t="shared" si="770"/>
        <v>227.47201521063477</v>
      </c>
      <c r="AG195" s="19">
        <f t="shared" si="770"/>
        <v>139.86427446728268</v>
      </c>
      <c r="AH195" s="19">
        <f t="shared" si="770"/>
        <v>120.58879782040533</v>
      </c>
      <c r="AI195" s="19">
        <f t="shared" si="770"/>
        <v>217.91208189632525</v>
      </c>
      <c r="AJ195" s="19">
        <f t="shared" si="770"/>
        <v>202.13259098296427</v>
      </c>
      <c r="AK195" s="19">
        <f t="shared" si="770"/>
        <v>210.9518837400442</v>
      </c>
      <c r="AL195" s="19">
        <f t="shared" si="770"/>
        <v>257.05850527393858</v>
      </c>
      <c r="AM195" s="19">
        <f t="shared" si="770"/>
        <v>263.09106660538424</v>
      </c>
      <c r="AN195" s="19">
        <f t="shared" si="770"/>
        <v>418.4800755828665</v>
      </c>
      <c r="AO195" s="19">
        <f t="shared" si="770"/>
        <v>233.12061699115458</v>
      </c>
      <c r="AP195" s="19">
        <f t="shared" si="770"/>
        <v>261.62717904827133</v>
      </c>
      <c r="AQ195" s="19">
        <f t="shared" si="770"/>
        <v>853.58568653359998</v>
      </c>
      <c r="AR195" s="19">
        <f t="shared" si="770"/>
        <v>733.99196663585451</v>
      </c>
      <c r="AS195" s="19">
        <f t="shared" si="770"/>
        <v>236.67163913887885</v>
      </c>
      <c r="AT195" s="19">
        <f t="shared" si="770"/>
        <v>287.28755530881273</v>
      </c>
      <c r="AU195" s="19">
        <f t="shared" si="770"/>
        <v>389.19731185203756</v>
      </c>
      <c r="AV195" s="19">
        <f t="shared" si="770"/>
        <v>389.80862415105838</v>
      </c>
      <c r="AW195" s="19">
        <f t="shared" si="770"/>
        <v>1195.6445528877016</v>
      </c>
      <c r="AX195" s="19">
        <f t="shared" si="770"/>
        <v>1135.352757145821</v>
      </c>
      <c r="AY195" s="19">
        <f t="shared" si="770"/>
        <v>279.28164286022559</v>
      </c>
      <c r="AZ195" s="19">
        <f t="shared" si="770"/>
        <v>262.25014267719621</v>
      </c>
      <c r="BA195" s="19">
        <f t="shared" si="770"/>
        <v>301.64761976699776</v>
      </c>
      <c r="BB195" s="19">
        <f t="shared" si="770"/>
        <v>747.34332984266678</v>
      </c>
      <c r="BC195" s="19">
        <f t="shared" si="770"/>
        <v>527.23688211541867</v>
      </c>
      <c r="BD195" s="19">
        <f t="shared" si="770"/>
        <v>244.53414200601253</v>
      </c>
      <c r="BE195" s="19">
        <f t="shared" si="770"/>
        <v>223.01630542251317</v>
      </c>
      <c r="BF195" s="19">
        <f t="shared" si="770"/>
        <v>250.49322077646022</v>
      </c>
      <c r="BG195" s="19">
        <f t="shared" si="770"/>
        <v>1047.7680029695621</v>
      </c>
      <c r="BH195" s="19">
        <f t="shared" si="770"/>
        <v>644.9431770876696</v>
      </c>
      <c r="BI195" s="19">
        <f t="shared" si="770"/>
        <v>735.03060711051046</v>
      </c>
      <c r="BJ195" s="19">
        <f t="shared" si="770"/>
        <v>555.09977286647609</v>
      </c>
      <c r="BK195" s="19">
        <f t="shared" si="770"/>
        <v>309.20163797779867</v>
      </c>
      <c r="BL195" s="19">
        <f t="shared" si="770"/>
        <v>351.16574871129149</v>
      </c>
      <c r="BM195" s="19">
        <f t="shared" si="770"/>
        <v>367.69270792066135</v>
      </c>
      <c r="BN195" s="19">
        <f t="shared" si="770"/>
        <v>370.63701066723263</v>
      </c>
      <c r="BO195" s="19">
        <f t="shared" si="770"/>
        <v>359.03607281293392</v>
      </c>
      <c r="BP195" s="19">
        <f t="shared" si="770"/>
        <v>351.98547250095226</v>
      </c>
      <c r="BQ195" s="19">
        <f t="shared" si="770"/>
        <v>366.73863865042887</v>
      </c>
      <c r="BR195" s="19">
        <f t="shared" si="770"/>
        <v>402.96765121877553</v>
      </c>
      <c r="BS195" s="19">
        <f t="shared" si="770"/>
        <v>383.81103213598561</v>
      </c>
      <c r="BT195" s="19">
        <f t="shared" si="770"/>
        <v>329.41901806731681</v>
      </c>
      <c r="BU195" s="19">
        <f t="shared" si="770"/>
        <v>515.25374052723623</v>
      </c>
      <c r="BV195" s="19">
        <f t="shared" si="770"/>
        <v>425.56815891331337</v>
      </c>
      <c r="BW195" s="19">
        <f t="shared" si="770"/>
        <v>416.99412410229343</v>
      </c>
      <c r="BX195" s="19">
        <f t="shared" si="770"/>
        <v>428.3105505713749</v>
      </c>
      <c r="BY195" s="19">
        <f t="shared" si="770"/>
        <v>421.83744532166861</v>
      </c>
      <c r="BZ195" s="19">
        <f t="shared" si="770"/>
        <v>393.74137291361882</v>
      </c>
      <c r="CA195" s="19">
        <f t="shared" si="770"/>
        <v>307.41727422771515</v>
      </c>
      <c r="CB195" s="19">
        <f t="shared" si="770"/>
        <v>252.156963850832</v>
      </c>
      <c r="CC195" s="19">
        <f t="shared" si="770"/>
        <v>256.61496588305295</v>
      </c>
      <c r="CD195" s="19">
        <f t="shared" ref="CD195:CT195" si="771">CD189/CD194</f>
        <v>231.53934534538189</v>
      </c>
      <c r="CE195" s="19">
        <f t="shared" si="771"/>
        <v>383.77748452857662</v>
      </c>
      <c r="CF195" s="19">
        <f t="shared" si="771"/>
        <v>373.21543013874424</v>
      </c>
      <c r="CG195" s="19">
        <f t="shared" si="771"/>
        <v>522.78739667490652</v>
      </c>
      <c r="CH195" s="19">
        <f t="shared" si="771"/>
        <v>329.4009310941575</v>
      </c>
      <c r="CI195" s="19">
        <f t="shared" si="771"/>
        <v>354.02923913869358</v>
      </c>
      <c r="CJ195" s="19">
        <f t="shared" si="771"/>
        <v>359.15315590902105</v>
      </c>
      <c r="CK195" s="19">
        <f t="shared" si="771"/>
        <v>358.80829099229493</v>
      </c>
      <c r="CL195" s="19">
        <f t="shared" si="771"/>
        <v>368.21196314763745</v>
      </c>
      <c r="CM195" s="19">
        <f t="shared" si="771"/>
        <v>308.53454438374524</v>
      </c>
      <c r="CN195" s="19">
        <f t="shared" si="771"/>
        <v>283.4301627636969</v>
      </c>
      <c r="CO195" s="19">
        <f t="shared" si="771"/>
        <v>198.8220212009353</v>
      </c>
      <c r="CP195" s="19">
        <f t="shared" si="771"/>
        <v>243.12474315689386</v>
      </c>
      <c r="CQ195" s="19">
        <f t="shared" si="771"/>
        <v>325.25133578394446</v>
      </c>
      <c r="CR195" s="19">
        <f t="shared" si="771"/>
        <v>291.23950349979356</v>
      </c>
      <c r="CS195" s="19">
        <f t="shared" si="771"/>
        <v>259.44146808881317</v>
      </c>
      <c r="CT195" s="19">
        <f t="shared" si="771"/>
        <v>316.89982173174877</v>
      </c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222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19"/>
      <c r="EQ195" s="19"/>
      <c r="ER195" s="19"/>
      <c r="ES195" s="19"/>
      <c r="ET195" s="19"/>
      <c r="EU195" s="19"/>
      <c r="EV195" s="19"/>
      <c r="EW195" s="19"/>
      <c r="EX195" s="19"/>
      <c r="EY195" s="19"/>
      <c r="EZ195" s="19"/>
      <c r="FA195" s="19"/>
      <c r="FB195" s="19"/>
      <c r="FC195" s="19"/>
      <c r="FE195" s="19"/>
      <c r="FF195" s="19"/>
      <c r="FG195" s="19"/>
      <c r="FH195" s="19"/>
      <c r="FI195" s="19"/>
      <c r="FJ195" s="770">
        <f t="shared" si="537"/>
        <v>0</v>
      </c>
      <c r="FK195" s="545" t="s">
        <v>1</v>
      </c>
    </row>
    <row r="196" spans="2:167" x14ac:dyDescent="0.2">
      <c r="B196" s="226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9"/>
      <c r="DZ196" s="19"/>
      <c r="EA196" s="19"/>
      <c r="EB196" s="19"/>
      <c r="EC196" s="19"/>
      <c r="ED196" s="19"/>
      <c r="EE196" s="222"/>
      <c r="EF196" s="19"/>
      <c r="EG196" s="19"/>
      <c r="EH196" s="19"/>
      <c r="EI196" s="19"/>
      <c r="EJ196" s="19"/>
      <c r="EK196" s="19"/>
      <c r="EL196" s="19"/>
      <c r="EM196" s="19"/>
      <c r="EN196" s="19"/>
      <c r="EO196" s="19"/>
      <c r="EP196" s="19"/>
      <c r="EQ196" s="19"/>
      <c r="ER196" s="19"/>
      <c r="ES196" s="19"/>
      <c r="ET196" s="19"/>
      <c r="EU196" s="19"/>
      <c r="EV196" s="19"/>
      <c r="EW196" s="19"/>
      <c r="EX196" s="19"/>
      <c r="EY196" s="19"/>
      <c r="EZ196" s="19"/>
      <c r="FA196" s="19"/>
      <c r="FB196" s="19"/>
      <c r="FC196" s="19"/>
      <c r="FE196" s="19"/>
      <c r="FF196" s="19"/>
      <c r="FG196" s="19"/>
      <c r="FH196" s="19"/>
      <c r="FI196" s="19"/>
      <c r="FJ196" s="770"/>
      <c r="FK196" s="545"/>
    </row>
    <row r="197" spans="2:167" x14ac:dyDescent="0.2">
      <c r="B197" s="223" t="s">
        <v>58</v>
      </c>
      <c r="C197" s="297">
        <f>C166-C189</f>
        <v>-2224622.4642857132</v>
      </c>
      <c r="D197" s="297">
        <f t="shared" ref="D197:BO197" si="772">D166-D189</f>
        <v>-3256333.2718401775</v>
      </c>
      <c r="E197" s="297">
        <f t="shared" si="772"/>
        <v>-4422959.4122894704</v>
      </c>
      <c r="F197" s="297">
        <f t="shared" si="772"/>
        <v>-4494179.7143133953</v>
      </c>
      <c r="G197" s="297">
        <f t="shared" si="772"/>
        <v>-11202656.235954596</v>
      </c>
      <c r="H197" s="297">
        <f t="shared" si="772"/>
        <v>-8549870.6052798592</v>
      </c>
      <c r="I197" s="297">
        <f t="shared" si="772"/>
        <v>-17042262.002351902</v>
      </c>
      <c r="J197" s="297">
        <f t="shared" si="772"/>
        <v>-11767880.383446991</v>
      </c>
      <c r="K197" s="297">
        <f t="shared" si="772"/>
        <v>-30430595.853245717</v>
      </c>
      <c r="L197" s="297">
        <f t="shared" si="772"/>
        <v>-34741582.699249372</v>
      </c>
      <c r="M197" s="297">
        <f t="shared" si="772"/>
        <v>-26226188.330321807</v>
      </c>
      <c r="N197" s="297">
        <f t="shared" si="772"/>
        <v>-18330097.416953743</v>
      </c>
      <c r="O197" s="297">
        <f t="shared" si="772"/>
        <v>-20505940.583246388</v>
      </c>
      <c r="P197" s="297">
        <f t="shared" si="772"/>
        <v>-27640060.610758245</v>
      </c>
      <c r="Q197" s="297">
        <f t="shared" si="772"/>
        <v>-27433548.676453821</v>
      </c>
      <c r="R197" s="297">
        <f t="shared" si="772"/>
        <v>-6942575.7169915587</v>
      </c>
      <c r="S197" s="297">
        <f t="shared" si="772"/>
        <v>-5504398.1253052074</v>
      </c>
      <c r="T197" s="297">
        <f t="shared" si="772"/>
        <v>-11664692.987163376</v>
      </c>
      <c r="U197" s="297">
        <f t="shared" si="772"/>
        <v>-10743484.919218199</v>
      </c>
      <c r="V197" s="297">
        <f t="shared" si="772"/>
        <v>-13842018.150949672</v>
      </c>
      <c r="W197" s="297">
        <f t="shared" si="772"/>
        <v>-8332780.5143972896</v>
      </c>
      <c r="X197" s="297">
        <f t="shared" si="772"/>
        <v>-6985919.1611727811</v>
      </c>
      <c r="Y197" s="297">
        <f t="shared" si="772"/>
        <v>-2518735.9056557398</v>
      </c>
      <c r="Z197" s="297">
        <f t="shared" si="772"/>
        <v>-11042890.402123641</v>
      </c>
      <c r="AA197" s="297">
        <f t="shared" si="772"/>
        <v>-27516211.352619048</v>
      </c>
      <c r="AB197" s="297">
        <f t="shared" si="772"/>
        <v>-5466933.3530486887</v>
      </c>
      <c r="AC197" s="297">
        <f t="shared" si="772"/>
        <v>-5128039.0072593084</v>
      </c>
      <c r="AD197" s="297">
        <f t="shared" si="772"/>
        <v>-2388221.3558844142</v>
      </c>
      <c r="AE197" s="297">
        <f t="shared" si="772"/>
        <v>2026397.7502028709</v>
      </c>
      <c r="AF197" s="297">
        <f t="shared" si="772"/>
        <v>1987292.8653157279</v>
      </c>
      <c r="AG197" s="297">
        <f t="shared" si="772"/>
        <v>175650.39765903261</v>
      </c>
      <c r="AH197" s="297">
        <f t="shared" si="772"/>
        <v>8040969.4923065323</v>
      </c>
      <c r="AI197" s="297">
        <f t="shared" si="772"/>
        <v>12949541.391421575</v>
      </c>
      <c r="AJ197" s="297">
        <f t="shared" si="772"/>
        <v>2671855.7408709861</v>
      </c>
      <c r="AK197" s="297">
        <f t="shared" si="772"/>
        <v>6845522.5687731579</v>
      </c>
      <c r="AL197" s="297">
        <f t="shared" si="772"/>
        <v>6336719.328748133</v>
      </c>
      <c r="AM197" s="297">
        <f t="shared" si="772"/>
        <v>-9589051.0488250442</v>
      </c>
      <c r="AN197" s="297">
        <f t="shared" si="772"/>
        <v>-19051995.736091293</v>
      </c>
      <c r="AO197" s="297">
        <f t="shared" si="772"/>
        <v>-208344.97237458546</v>
      </c>
      <c r="AP197" s="297">
        <f t="shared" si="772"/>
        <v>-330310.14811869338</v>
      </c>
      <c r="AQ197" s="297">
        <f t="shared" si="772"/>
        <v>-35484885.711200207</v>
      </c>
      <c r="AR197" s="297">
        <f t="shared" si="772"/>
        <v>-42587031.21000614</v>
      </c>
      <c r="AS197" s="297">
        <f t="shared" si="772"/>
        <v>-14028378.195062358</v>
      </c>
      <c r="AT197" s="297">
        <f t="shared" si="772"/>
        <v>-9738810.3037500568</v>
      </c>
      <c r="AU197" s="297">
        <f t="shared" si="772"/>
        <v>-14267901.176899005</v>
      </c>
      <c r="AV197" s="297">
        <f t="shared" si="772"/>
        <v>-20390895.34405946</v>
      </c>
      <c r="AW197" s="297">
        <f t="shared" si="772"/>
        <v>-83756825.857917488</v>
      </c>
      <c r="AX197" s="297">
        <f t="shared" si="772"/>
        <v>-109904991.16915876</v>
      </c>
      <c r="AY197" s="297">
        <f t="shared" si="772"/>
        <v>-43538320.382258825</v>
      </c>
      <c r="AZ197" s="297">
        <f t="shared" si="772"/>
        <v>-39055865.882184178</v>
      </c>
      <c r="BA197" s="297">
        <f t="shared" si="772"/>
        <v>-29225186.397807788</v>
      </c>
      <c r="BB197" s="297">
        <f t="shared" si="772"/>
        <v>-50215182.100530401</v>
      </c>
      <c r="BC197" s="297">
        <f t="shared" si="772"/>
        <v>-57449919.106756821</v>
      </c>
      <c r="BD197" s="297">
        <f t="shared" si="772"/>
        <v>-64665071.435593233</v>
      </c>
      <c r="BE197" s="297">
        <f t="shared" si="772"/>
        <v>-49548212.353370979</v>
      </c>
      <c r="BF197" s="297">
        <f t="shared" si="772"/>
        <v>-42382299.440205865</v>
      </c>
      <c r="BG197" s="297">
        <f t="shared" si="772"/>
        <v>-66498713.294436231</v>
      </c>
      <c r="BH197" s="297">
        <f t="shared" si="772"/>
        <v>-45907341.401512571</v>
      </c>
      <c r="BI197" s="297">
        <f t="shared" si="772"/>
        <v>-50982704.028078698</v>
      </c>
      <c r="BJ197" s="297">
        <f t="shared" si="772"/>
        <v>-21319169.990717847</v>
      </c>
      <c r="BK197" s="297">
        <f t="shared" si="772"/>
        <v>2767452.8020063192</v>
      </c>
      <c r="BL197" s="297">
        <f t="shared" si="772"/>
        <v>6318955.7987684235</v>
      </c>
      <c r="BM197" s="297">
        <f t="shared" si="772"/>
        <v>14350093.354387522</v>
      </c>
      <c r="BN197" s="297">
        <f t="shared" si="772"/>
        <v>13467053.567607939</v>
      </c>
      <c r="BO197" s="297">
        <f t="shared" si="772"/>
        <v>16501932.939492412</v>
      </c>
      <c r="BP197" s="297">
        <f t="shared" ref="BP197:DR197" si="773">BP166-BP189</f>
        <v>1870435.3545771018</v>
      </c>
      <c r="BQ197" s="297">
        <f t="shared" si="773"/>
        <v>27404625.3116135</v>
      </c>
      <c r="BR197" s="297">
        <f t="shared" si="773"/>
        <v>23036945.302930955</v>
      </c>
      <c r="BS197" s="297">
        <f t="shared" si="773"/>
        <v>14023644.13341856</v>
      </c>
      <c r="BT197" s="297">
        <f t="shared" si="773"/>
        <v>13211150.33273682</v>
      </c>
      <c r="BU197" s="297">
        <f t="shared" si="773"/>
        <v>25303174.083867561</v>
      </c>
      <c r="BV197" s="297">
        <f t="shared" si="773"/>
        <v>47914863.15629825</v>
      </c>
      <c r="BW197" s="297">
        <f t="shared" si="773"/>
        <v>46669973.469617799</v>
      </c>
      <c r="BX197" s="297">
        <f t="shared" si="773"/>
        <v>62065543.592269838</v>
      </c>
      <c r="BY197" s="297">
        <f t="shared" si="773"/>
        <v>62470825.234231725</v>
      </c>
      <c r="BZ197" s="297">
        <f t="shared" si="773"/>
        <v>57553687.331406415</v>
      </c>
      <c r="CA197" s="297">
        <f t="shared" si="773"/>
        <v>56806290.230365664</v>
      </c>
      <c r="CB197" s="297">
        <f t="shared" si="773"/>
        <v>49802154.475704923</v>
      </c>
      <c r="CC197" s="297">
        <f t="shared" si="773"/>
        <v>90776038.957739994</v>
      </c>
      <c r="CD197" s="297">
        <f t="shared" si="773"/>
        <v>70400498.959797025</v>
      </c>
      <c r="CE197" s="297">
        <f t="shared" si="773"/>
        <v>74158558.861179501</v>
      </c>
      <c r="CF197" s="297">
        <f t="shared" si="773"/>
        <v>80078791.386398405</v>
      </c>
      <c r="CG197" s="297">
        <f t="shared" si="773"/>
        <v>68855687.972158074</v>
      </c>
      <c r="CH197" s="297">
        <f t="shared" si="773"/>
        <v>89758615.516286939</v>
      </c>
      <c r="CI197" s="297">
        <f t="shared" si="773"/>
        <v>86682051.256648436</v>
      </c>
      <c r="CJ197" s="297">
        <f t="shared" si="773"/>
        <v>85509991.262860775</v>
      </c>
      <c r="CK197" s="297">
        <f t="shared" si="773"/>
        <v>85959734.14085719</v>
      </c>
      <c r="CL197" s="297">
        <f t="shared" si="773"/>
        <v>85953709.053298265</v>
      </c>
      <c r="CM197" s="297">
        <f t="shared" si="773"/>
        <v>82507867.266086698</v>
      </c>
      <c r="CN197" s="297">
        <f t="shared" si="773"/>
        <v>80120933.908308178</v>
      </c>
      <c r="CO197" s="297">
        <f t="shared" si="773"/>
        <v>127277180.43835756</v>
      </c>
      <c r="CP197" s="297">
        <f t="shared" si="773"/>
        <v>100601866.02076414</v>
      </c>
      <c r="CQ197" s="297">
        <f t="shared" si="773"/>
        <v>103420775.05971146</v>
      </c>
      <c r="CR197" s="297">
        <f t="shared" si="773"/>
        <v>120208056.93218617</v>
      </c>
      <c r="CS197" s="297">
        <f t="shared" si="773"/>
        <v>111423467.88495255</v>
      </c>
      <c r="CT197" s="297">
        <f t="shared" si="773"/>
        <v>138323785.37742382</v>
      </c>
      <c r="CU197" s="297">
        <f t="shared" si="773"/>
        <v>-5798149.7887724042</v>
      </c>
      <c r="CV197" s="297">
        <f t="shared" si="773"/>
        <v>119387396.23333198</v>
      </c>
      <c r="CW197" s="297">
        <f t="shared" si="773"/>
        <v>117227439.84143932</v>
      </c>
      <c r="CX197" s="297">
        <f t="shared" si="773"/>
        <v>133788176.00536312</v>
      </c>
      <c r="CY197" s="297">
        <f t="shared" si="773"/>
        <v>112882752.42652792</v>
      </c>
      <c r="CZ197" s="297">
        <f t="shared" si="773"/>
        <v>120260380.94497281</v>
      </c>
      <c r="DA197" s="297">
        <f t="shared" si="773"/>
        <v>164699086.68318939</v>
      </c>
      <c r="DB197" s="297">
        <f t="shared" si="773"/>
        <v>134716889.73933402</v>
      </c>
      <c r="DC197" s="297">
        <f t="shared" si="773"/>
        <v>169313044.71046773</v>
      </c>
      <c r="DD197" s="297">
        <f t="shared" si="773"/>
        <v>176122623.73308295</v>
      </c>
      <c r="DE197" s="297">
        <f t="shared" si="773"/>
        <v>148175396.99305275</v>
      </c>
      <c r="DF197" s="297">
        <f t="shared" si="773"/>
        <v>186700823.43898594</v>
      </c>
      <c r="DG197" s="297">
        <f t="shared" si="773"/>
        <v>157774249.49599418</v>
      </c>
      <c r="DH197" s="297">
        <f t="shared" si="773"/>
        <v>164714046.52899796</v>
      </c>
      <c r="DI197" s="297">
        <f t="shared" si="773"/>
        <v>160727132.86505932</v>
      </c>
      <c r="DJ197" s="297">
        <f t="shared" si="773"/>
        <v>180349435.37476584</v>
      </c>
      <c r="DK197" s="297">
        <f t="shared" si="773"/>
        <v>154476792.83205998</v>
      </c>
      <c r="DL197" s="297">
        <f t="shared" si="773"/>
        <v>161742221.16719952</v>
      </c>
      <c r="DM197" s="297">
        <f t="shared" si="773"/>
        <v>216115104.7137078</v>
      </c>
      <c r="DN197" s="297">
        <f t="shared" si="773"/>
        <v>181418969.25230956</v>
      </c>
      <c r="DO197" s="297">
        <f t="shared" si="773"/>
        <v>223049817.32946646</v>
      </c>
      <c r="DP197" s="297">
        <f t="shared" si="773"/>
        <v>229994637.29804292</v>
      </c>
      <c r="DQ197" s="297">
        <f t="shared" si="773"/>
        <v>195572274.26397213</v>
      </c>
      <c r="DR197" s="297">
        <f t="shared" si="773"/>
        <v>238789454.69559664</v>
      </c>
      <c r="DS197" s="297">
        <f t="shared" ref="DS197:ED197" si="774">DS166-DS189</f>
        <v>195750253.56216741</v>
      </c>
      <c r="DT197" s="297">
        <f t="shared" si="774"/>
        <v>204118184.75820887</v>
      </c>
      <c r="DU197" s="297">
        <f t="shared" si="774"/>
        <v>198637559.521231</v>
      </c>
      <c r="DV197" s="297">
        <f t="shared" si="774"/>
        <v>220691331.87842566</v>
      </c>
      <c r="DW197" s="297">
        <f t="shared" si="774"/>
        <v>190477211.69126052</v>
      </c>
      <c r="DX197" s="297">
        <f t="shared" si="774"/>
        <v>197698972.7099162</v>
      </c>
      <c r="DY197" s="297">
        <f t="shared" si="774"/>
        <v>260911219.68429896</v>
      </c>
      <c r="DZ197" s="297">
        <f t="shared" si="774"/>
        <v>223623164.93079108</v>
      </c>
      <c r="EA197" s="297">
        <f t="shared" si="774"/>
        <v>272319960.18010664</v>
      </c>
      <c r="EB197" s="297">
        <f t="shared" si="774"/>
        <v>279599209.71413767</v>
      </c>
      <c r="EC197" s="297">
        <f t="shared" si="774"/>
        <v>239486667.95458713</v>
      </c>
      <c r="ED197" s="297">
        <f t="shared" si="774"/>
        <v>287765362.5376755</v>
      </c>
      <c r="EE197" s="222"/>
      <c r="EF197" s="297">
        <f>SUM(BK197:BM197)</f>
        <v>23436501.955162264</v>
      </c>
      <c r="EG197" s="297">
        <f>SUM(BN197:BP197)</f>
        <v>31839421.861677453</v>
      </c>
      <c r="EH197" s="297">
        <f>SUM(BQ197:BS197)</f>
        <v>64465214.747963011</v>
      </c>
      <c r="EI197" s="297">
        <f>SUM(BT197:BV197)</f>
        <v>86429187.572902635</v>
      </c>
      <c r="EJ197" s="297">
        <f>SUM(BW197:BY197)</f>
        <v>171206342.29611936</v>
      </c>
      <c r="EK197" s="297">
        <f>SUM(BZ197:CB197)</f>
        <v>164162132.03747702</v>
      </c>
      <c r="EL197" s="297">
        <f>SUM(CC197:CE197)</f>
        <v>235335096.77871653</v>
      </c>
      <c r="EM197" s="297">
        <f>SUM(CF197:CH197)</f>
        <v>238693094.87484342</v>
      </c>
      <c r="EN197" s="297">
        <f>SUM(CI197:CK197)</f>
        <v>258151776.66036639</v>
      </c>
      <c r="EO197" s="297">
        <f>SUM(CL197:CN197)</f>
        <v>248582510.22769314</v>
      </c>
      <c r="EP197" s="297">
        <f>SUM(CO197:CQ197)</f>
        <v>331299821.51883316</v>
      </c>
      <c r="EQ197" s="297">
        <f>SUM(CR197:CT197)</f>
        <v>369955310.19456255</v>
      </c>
      <c r="ER197" s="297">
        <f>SUM(CU197:CW197)</f>
        <v>230816686.28599888</v>
      </c>
      <c r="ES197" s="297">
        <f>SUM(CX197:CZ197)</f>
        <v>366931309.37686384</v>
      </c>
      <c r="ET197" s="297">
        <f>SUM(DA197:DC197)</f>
        <v>468729021.13299108</v>
      </c>
      <c r="EU197" s="297">
        <f>SUM(DD197:DF197)</f>
        <v>510998844.16512167</v>
      </c>
      <c r="EV197" s="297">
        <f>SUM(DG197:DI197)</f>
        <v>483215428.89005142</v>
      </c>
      <c r="EW197" s="297">
        <f>SUM(DJ197:DL197)</f>
        <v>496568449.37402534</v>
      </c>
      <c r="EX197" s="297">
        <f>SUM(DM197:DO197)</f>
        <v>620583891.29548383</v>
      </c>
      <c r="EY197" s="297">
        <f>SUM(DP197:DR197)</f>
        <v>664356366.25761175</v>
      </c>
      <c r="EZ197" s="297">
        <f t="shared" ref="EZ197" si="775">SUM(DS197:DU197)</f>
        <v>598505997.84160733</v>
      </c>
      <c r="FA197" s="297">
        <f t="shared" ref="FA197" si="776">SUM(DV197:DX197)</f>
        <v>608867516.27960241</v>
      </c>
      <c r="FB197" s="297">
        <f t="shared" ref="FB197" si="777">SUM(DY197:EA197)</f>
        <v>756854344.79519665</v>
      </c>
      <c r="FC197" s="297">
        <f t="shared" ref="FC197" si="778">SUM(EB197:ED197)</f>
        <v>806851240.20640028</v>
      </c>
      <c r="FE197" s="297">
        <f t="shared" ref="FE197" si="779">SUM(EF197:EI197)</f>
        <v>206170326.13770539</v>
      </c>
      <c r="FF197" s="297">
        <f t="shared" ref="FF197" si="780">SUM(EJ197:EM197)</f>
        <v>809396665.98715639</v>
      </c>
      <c r="FG197" s="297">
        <f t="shared" ref="FG197" si="781">SUM(EN197:EQ197)</f>
        <v>1207989418.6014552</v>
      </c>
      <c r="FH197" s="297">
        <f t="shared" ref="FH197" si="782">SUM(ER197:EU197)</f>
        <v>1577475860.9609756</v>
      </c>
      <c r="FI197" s="297">
        <f t="shared" ref="FI197" si="783">SUM(EV197:EY197)</f>
        <v>2264724135.8171721</v>
      </c>
      <c r="FJ197" s="774">
        <f t="shared" ref="FJ197:FJ244" si="784">SUM(EZ197:FC197)</f>
        <v>2771079099.1228065</v>
      </c>
      <c r="FK197" s="545" t="s">
        <v>1</v>
      </c>
    </row>
    <row r="198" spans="2:167" x14ac:dyDescent="0.2">
      <c r="B198" s="226" t="s">
        <v>59</v>
      </c>
      <c r="C198" s="20">
        <f>C197/C63</f>
        <v>-1.6343788020178867E-2</v>
      </c>
      <c r="D198" s="20">
        <f t="shared" ref="D198:BO198" si="785">D197/D63</f>
        <v>-2.4948966101677555E-2</v>
      </c>
      <c r="E198" s="20">
        <f t="shared" si="785"/>
        <v>-3.0940331684362929E-2</v>
      </c>
      <c r="F198" s="20">
        <f t="shared" si="785"/>
        <v>-2.6869093113790612E-2</v>
      </c>
      <c r="G198" s="20">
        <f t="shared" si="785"/>
        <v>-5.9150889878694358E-2</v>
      </c>
      <c r="H198" s="20">
        <f t="shared" si="785"/>
        <v>-4.3845146235411706E-2</v>
      </c>
      <c r="I198" s="20">
        <f t="shared" si="785"/>
        <v>-8.0873293951896894E-2</v>
      </c>
      <c r="J198" s="20">
        <f t="shared" si="785"/>
        <v>-5.8916651167320103E-2</v>
      </c>
      <c r="K198" s="20">
        <f t="shared" si="785"/>
        <v>-0.12065219039428385</v>
      </c>
      <c r="L198" s="20">
        <f t="shared" si="785"/>
        <v>-0.14033651181383558</v>
      </c>
      <c r="M198" s="20">
        <f t="shared" si="785"/>
        <v>-0.10126702970110769</v>
      </c>
      <c r="N198" s="20">
        <f t="shared" si="785"/>
        <v>-7.5905296893004057E-2</v>
      </c>
      <c r="O198" s="20">
        <f t="shared" si="785"/>
        <v>-6.5826275735377554E-2</v>
      </c>
      <c r="P198" s="20">
        <f t="shared" si="785"/>
        <v>-8.8288051183732272E-2</v>
      </c>
      <c r="Q198" s="20">
        <f t="shared" si="785"/>
        <v>-8.3940949317374114E-2</v>
      </c>
      <c r="R198" s="20">
        <f t="shared" si="785"/>
        <v>-1.9939361175426867E-2</v>
      </c>
      <c r="S198" s="20">
        <f t="shared" si="785"/>
        <v>-1.9857955437379383E-2</v>
      </c>
      <c r="T198" s="20">
        <f t="shared" si="785"/>
        <v>-4.521672780054882E-2</v>
      </c>
      <c r="U198" s="20">
        <f t="shared" si="785"/>
        <v>-4.8642114714796909E-2</v>
      </c>
      <c r="V198" s="20">
        <f t="shared" si="785"/>
        <v>-5.8319501159482867E-2</v>
      </c>
      <c r="W198" s="20">
        <f t="shared" si="785"/>
        <v>-2.960160578601885E-2</v>
      </c>
      <c r="X198" s="20">
        <f t="shared" si="785"/>
        <v>-2.3965849056797529E-2</v>
      </c>
      <c r="Y198" s="20">
        <f t="shared" si="785"/>
        <v>-8.0084591799187942E-3</v>
      </c>
      <c r="Z198" s="20">
        <f t="shared" si="785"/>
        <v>-5.3449692058925247E-2</v>
      </c>
      <c r="AA198" s="20">
        <f t="shared" si="785"/>
        <v>9.2406677426020316</v>
      </c>
      <c r="AB198" s="20">
        <f t="shared" si="785"/>
        <v>-3.2631100422752732E-2</v>
      </c>
      <c r="AC198" s="20">
        <f t="shared" si="785"/>
        <v>-2.8599028351690994E-2</v>
      </c>
      <c r="AD198" s="20">
        <f t="shared" si="785"/>
        <v>-1.5266744520147065E-2</v>
      </c>
      <c r="AE198" s="20">
        <f t="shared" si="785"/>
        <v>8.3907030628846673E-3</v>
      </c>
      <c r="AF198" s="20">
        <f t="shared" si="785"/>
        <v>7.8398560281609433E-3</v>
      </c>
      <c r="AG198" s="20">
        <f t="shared" si="785"/>
        <v>7.1784497933945451E-4</v>
      </c>
      <c r="AH198" s="20">
        <f t="shared" si="785"/>
        <v>2.8493435634253772E-2</v>
      </c>
      <c r="AI198" s="20">
        <f t="shared" si="785"/>
        <v>2.85801276409559E-2</v>
      </c>
      <c r="AJ198" s="20">
        <f t="shared" si="785"/>
        <v>6.3534688707977509E-3</v>
      </c>
      <c r="AK198" s="20">
        <f t="shared" si="785"/>
        <v>1.4477625136509138E-2</v>
      </c>
      <c r="AL198" s="20">
        <f t="shared" si="785"/>
        <v>1.521666320068317E-2</v>
      </c>
      <c r="AM198" s="20">
        <f t="shared" si="785"/>
        <v>-3.3605840636872088E-2</v>
      </c>
      <c r="AN198" s="20">
        <f t="shared" si="785"/>
        <v>-0.14840933051279842</v>
      </c>
      <c r="AO198" s="20">
        <f t="shared" si="785"/>
        <v>-7.1259420419450136E-4</v>
      </c>
      <c r="AP198" s="20">
        <f t="shared" si="785"/>
        <v>-8.2536747234104087E-4</v>
      </c>
      <c r="AQ198" s="20">
        <f t="shared" si="785"/>
        <v>-8.6785396508537921E-2</v>
      </c>
      <c r="AR198" s="20">
        <f t="shared" si="785"/>
        <v>-0.10215616040111801</v>
      </c>
      <c r="AS198" s="20">
        <f t="shared" si="785"/>
        <v>-3.552248787678796E-2</v>
      </c>
      <c r="AT198" s="20">
        <f t="shared" si="785"/>
        <v>-2.0720822471109745E-2</v>
      </c>
      <c r="AU198" s="20">
        <f t="shared" si="785"/>
        <v>-2.3931885986655705E-2</v>
      </c>
      <c r="AV198" s="20">
        <f t="shared" si="785"/>
        <v>-3.5204650699855233E-2</v>
      </c>
      <c r="AW198" s="20">
        <f t="shared" si="785"/>
        <v>-0.14275154083232264</v>
      </c>
      <c r="AX198" s="20">
        <f t="shared" si="785"/>
        <v>-0.20058507065035672</v>
      </c>
      <c r="AY198" s="20">
        <f t="shared" si="785"/>
        <v>-8.7707429788333152E-2</v>
      </c>
      <c r="AZ198" s="20">
        <f t="shared" si="785"/>
        <v>-6.8944483579928079E-2</v>
      </c>
      <c r="BA198" s="20">
        <f t="shared" si="785"/>
        <v>-5.7999482208742903E-2</v>
      </c>
      <c r="BB198" s="20">
        <f t="shared" si="785"/>
        <v>-9.3167306618539392E-2</v>
      </c>
      <c r="BC198" s="20">
        <f t="shared" si="785"/>
        <v>-0.10445567076023411</v>
      </c>
      <c r="BD198" s="20">
        <f t="shared" si="785"/>
        <v>-0.11602259220702195</v>
      </c>
      <c r="BE198" s="20">
        <f t="shared" si="785"/>
        <v>-7.6031277277531756E-2</v>
      </c>
      <c r="BF198" s="20">
        <f t="shared" si="785"/>
        <v>-6.2031623567709533E-2</v>
      </c>
      <c r="BG198" s="20">
        <f t="shared" si="785"/>
        <v>-7.9347616983608552E-2</v>
      </c>
      <c r="BH198" s="20">
        <f t="shared" si="785"/>
        <v>-5.532472032291201E-2</v>
      </c>
      <c r="BI198" s="20">
        <f t="shared" si="785"/>
        <v>-6.7318071735194135E-2</v>
      </c>
      <c r="BJ198" s="20">
        <f t="shared" si="785"/>
        <v>-2.2872462980643285E-2</v>
      </c>
      <c r="BK198" s="20">
        <f t="shared" si="785"/>
        <v>3.0498736708483385E-3</v>
      </c>
      <c r="BL198" s="20">
        <f t="shared" si="785"/>
        <v>6.9018311448831148E-3</v>
      </c>
      <c r="BM198" s="20">
        <f t="shared" si="785"/>
        <v>1.6951548678037977E-2</v>
      </c>
      <c r="BN198" s="20">
        <f t="shared" si="785"/>
        <v>1.823290555907334E-2</v>
      </c>
      <c r="BO198" s="20">
        <f t="shared" si="785"/>
        <v>2.1161201528136043E-2</v>
      </c>
      <c r="BP198" s="20">
        <f t="shared" ref="BP198:EM198" si="786">BP197/BP63</f>
        <v>2.4358197231639299E-3</v>
      </c>
      <c r="BQ198" s="20">
        <f t="shared" si="786"/>
        <v>2.7898961747785722E-2</v>
      </c>
      <c r="BR198" s="20">
        <f t="shared" si="786"/>
        <v>2.4970070496109203E-2</v>
      </c>
      <c r="BS198" s="20">
        <f t="shared" si="786"/>
        <v>1.6889448536125791E-2</v>
      </c>
      <c r="BT198" s="20">
        <f t="shared" si="786"/>
        <v>1.6922344527252081E-2</v>
      </c>
      <c r="BU198" s="20">
        <f t="shared" si="786"/>
        <v>3.5607928265500639E-2</v>
      </c>
      <c r="BV198" s="20">
        <f t="shared" si="786"/>
        <v>5.7624953764477682E-2</v>
      </c>
      <c r="BW198" s="20">
        <f t="shared" si="786"/>
        <v>5.4864986167638657E-2</v>
      </c>
      <c r="BX198" s="20">
        <f t="shared" si="786"/>
        <v>7.0063317107567052E-2</v>
      </c>
      <c r="BY198" s="20">
        <f t="shared" si="786"/>
        <v>6.9542884327049595E-2</v>
      </c>
      <c r="BZ198" s="20">
        <f t="shared" si="786"/>
        <v>6.5147951249471245E-2</v>
      </c>
      <c r="CA198" s="20">
        <f t="shared" si="786"/>
        <v>7.000431852025793E-2</v>
      </c>
      <c r="CB198" s="20">
        <f t="shared" si="786"/>
        <v>6.6444592513275155E-2</v>
      </c>
      <c r="CC198" s="20">
        <f t="shared" si="786"/>
        <v>9.8086534019677638E-2</v>
      </c>
      <c r="CD198" s="20">
        <f t="shared" si="786"/>
        <v>8.0192890764787625E-2</v>
      </c>
      <c r="CE198" s="20">
        <f t="shared" si="786"/>
        <v>7.2716287669987806E-2</v>
      </c>
      <c r="CF198" s="20">
        <f t="shared" si="786"/>
        <v>7.1915725453648036E-2</v>
      </c>
      <c r="CG198" s="20">
        <f t="shared" si="786"/>
        <v>6.0498095050025992E-2</v>
      </c>
      <c r="CH198" s="20">
        <f t="shared" si="786"/>
        <v>6.2795173350823866E-2</v>
      </c>
      <c r="CI198" s="20">
        <f t="shared" si="786"/>
        <v>6.778250307998096E-2</v>
      </c>
      <c r="CJ198" s="20">
        <f t="shared" si="786"/>
        <v>6.7951971194065916E-2</v>
      </c>
      <c r="CK198" s="20">
        <f t="shared" si="786"/>
        <v>6.8347284897698882E-2</v>
      </c>
      <c r="CL198" s="20">
        <f t="shared" si="786"/>
        <v>6.488574966714214E-2</v>
      </c>
      <c r="CM198" s="20">
        <f t="shared" si="786"/>
        <v>7.2641348420464644E-2</v>
      </c>
      <c r="CN198" s="20">
        <f t="shared" si="786"/>
        <v>6.9500636089954715E-2</v>
      </c>
      <c r="CO198" s="20">
        <f t="shared" si="786"/>
        <v>9.1654772993480502E-2</v>
      </c>
      <c r="CP198" s="20">
        <f t="shared" si="786"/>
        <v>7.2266679305594536E-2</v>
      </c>
      <c r="CQ198" s="20">
        <f t="shared" si="786"/>
        <v>6.1120612944717531E-2</v>
      </c>
      <c r="CR198" s="20">
        <f t="shared" si="786"/>
        <v>6.6106038915852552E-2</v>
      </c>
      <c r="CS198" s="20">
        <f t="shared" si="786"/>
        <v>6.7556508035502283E-2</v>
      </c>
      <c r="CT198" s="20">
        <f t="shared" si="786"/>
        <v>7.5064169435478598E-2</v>
      </c>
      <c r="CU198" s="20">
        <f t="shared" si="786"/>
        <v>-3.413296977296241E-3</v>
      </c>
      <c r="CV198" s="20">
        <f t="shared" si="786"/>
        <v>6.951232238430724E-2</v>
      </c>
      <c r="CW198" s="20">
        <f t="shared" si="786"/>
        <v>6.9850247515374886E-2</v>
      </c>
      <c r="CX198" s="20">
        <f t="shared" si="786"/>
        <v>7.6673670660659846E-2</v>
      </c>
      <c r="CY198" s="20">
        <f t="shared" si="786"/>
        <v>7.0416983887712212E-2</v>
      </c>
      <c r="CZ198" s="20">
        <f t="shared" si="786"/>
        <v>7.8186345828786682E-2</v>
      </c>
      <c r="DA198" s="20">
        <f t="shared" si="786"/>
        <v>9.311797786365178E-2</v>
      </c>
      <c r="DB198" s="20">
        <f t="shared" si="786"/>
        <v>7.4151610530032261E-2</v>
      </c>
      <c r="DC198" s="20">
        <f t="shared" si="786"/>
        <v>8.0244289348919973E-2</v>
      </c>
      <c r="DD198" s="20">
        <f t="shared" si="786"/>
        <v>8.3090443099507957E-2</v>
      </c>
      <c r="DE198" s="20">
        <f t="shared" si="786"/>
        <v>7.553765966507664E-2</v>
      </c>
      <c r="DF198" s="20">
        <f t="shared" si="786"/>
        <v>8.852192972047393E-2</v>
      </c>
      <c r="DG198" s="20">
        <f t="shared" si="786"/>
        <v>7.5960285263690266E-2</v>
      </c>
      <c r="DH198" s="20">
        <f t="shared" si="786"/>
        <v>7.834645725406815E-2</v>
      </c>
      <c r="DI198" s="20">
        <f t="shared" si="786"/>
        <v>7.8436324113309974E-2</v>
      </c>
      <c r="DJ198" s="20">
        <f t="shared" si="786"/>
        <v>8.4694876048758208E-2</v>
      </c>
      <c r="DK198" s="20">
        <f t="shared" si="786"/>
        <v>7.9035404789439712E-2</v>
      </c>
      <c r="DL198" s="20">
        <f t="shared" si="786"/>
        <v>8.6492380631260829E-2</v>
      </c>
      <c r="DM198" s="20">
        <f t="shared" si="786"/>
        <v>0.10049815101820042</v>
      </c>
      <c r="DN198" s="20">
        <f t="shared" si="786"/>
        <v>8.2084417762469955E-2</v>
      </c>
      <c r="DO198" s="20">
        <f t="shared" si="786"/>
        <v>8.7063516082312817E-2</v>
      </c>
      <c r="DP198" s="20">
        <f t="shared" si="786"/>
        <v>8.9603016030871618E-2</v>
      </c>
      <c r="DQ198" s="20">
        <f t="shared" si="786"/>
        <v>8.2416540923794621E-2</v>
      </c>
      <c r="DR198" s="20">
        <f t="shared" si="786"/>
        <v>9.4186428621182039E-2</v>
      </c>
      <c r="DS198" s="20">
        <f t="shared" ref="DS198:ED198" si="787">DS197/DS63</f>
        <v>8.0444908240990043E-2</v>
      </c>
      <c r="DT198" s="20">
        <f t="shared" si="787"/>
        <v>8.2862267650825674E-2</v>
      </c>
      <c r="DU198" s="20">
        <f t="shared" si="787"/>
        <v>8.2798034706862589E-2</v>
      </c>
      <c r="DV198" s="20">
        <f t="shared" si="787"/>
        <v>8.8618060356034797E-2</v>
      </c>
      <c r="DW198" s="20">
        <f t="shared" si="787"/>
        <v>8.3329180409543596E-2</v>
      </c>
      <c r="DX198" s="20">
        <f t="shared" si="787"/>
        <v>9.0472424660382827E-2</v>
      </c>
      <c r="DY198" s="20">
        <f t="shared" si="787"/>
        <v>0.1039377446650189</v>
      </c>
      <c r="DZ198" s="20">
        <f t="shared" si="787"/>
        <v>8.641832737590506E-2</v>
      </c>
      <c r="EA198" s="20">
        <f t="shared" si="787"/>
        <v>9.0811833841613981E-2</v>
      </c>
      <c r="EB198" s="20">
        <f t="shared" si="787"/>
        <v>9.3124161148434914E-2</v>
      </c>
      <c r="EC198" s="20">
        <f t="shared" si="787"/>
        <v>8.6287487827966983E-2</v>
      </c>
      <c r="ED198" s="20">
        <f t="shared" si="787"/>
        <v>9.7235323501361437E-2</v>
      </c>
      <c r="EE198" s="222"/>
      <c r="EF198" s="20">
        <f t="shared" si="786"/>
        <v>8.7794170124082058E-3</v>
      </c>
      <c r="EG198" s="20">
        <f t="shared" si="786"/>
        <v>1.3926055158117175E-2</v>
      </c>
      <c r="EH198" s="20">
        <f t="shared" si="786"/>
        <v>2.3568882550074544E-2</v>
      </c>
      <c r="EI198" s="20">
        <f t="shared" si="786"/>
        <v>3.720916848539086E-2</v>
      </c>
      <c r="EJ198" s="20">
        <f t="shared" si="786"/>
        <v>6.4979148389200048E-2</v>
      </c>
      <c r="EK198" s="20">
        <f t="shared" si="786"/>
        <v>6.7157688848313066E-2</v>
      </c>
      <c r="EL198" s="20">
        <f t="shared" si="786"/>
        <v>8.3357788117982182E-2</v>
      </c>
      <c r="EM198" s="20">
        <f t="shared" si="786"/>
        <v>6.4843887482486873E-2</v>
      </c>
      <c r="EN198" s="20">
        <f t="shared" ref="EN198:FJ198" si="788">EN197/EN63</f>
        <v>6.8025876067831809E-2</v>
      </c>
      <c r="EO198" s="20">
        <f t="shared" si="788"/>
        <v>6.8796019916239431E-2</v>
      </c>
      <c r="EP198" s="20">
        <f t="shared" si="788"/>
        <v>7.4069440646226267E-2</v>
      </c>
      <c r="EQ198" s="20">
        <f t="shared" si="788"/>
        <v>6.9664998860808847E-2</v>
      </c>
      <c r="ER198" s="20">
        <f t="shared" si="788"/>
        <v>4.5307366883029915E-2</v>
      </c>
      <c r="ES198" s="20">
        <f t="shared" si="788"/>
        <v>7.5097119829055647E-2</v>
      </c>
      <c r="ET198" s="20">
        <f t="shared" si="788"/>
        <v>8.2298704560051172E-2</v>
      </c>
      <c r="EU198" s="20">
        <f t="shared" si="788"/>
        <v>8.2547644794660521E-2</v>
      </c>
      <c r="EV198" s="20">
        <f t="shared" si="788"/>
        <v>7.7580299497083116E-2</v>
      </c>
      <c r="EW198" s="20">
        <f t="shared" si="788"/>
        <v>8.3401578605442117E-2</v>
      </c>
      <c r="EX198" s="20">
        <f t="shared" si="788"/>
        <v>8.9647231666170238E-2</v>
      </c>
      <c r="EY198" s="20">
        <f t="shared" si="788"/>
        <v>8.8876193040744858E-2</v>
      </c>
      <c r="EZ198" s="20">
        <f t="shared" si="788"/>
        <v>8.2034886014460059E-2</v>
      </c>
      <c r="FA198" s="20">
        <f t="shared" si="788"/>
        <v>8.7463491172768595E-2</v>
      </c>
      <c r="FB198" s="20">
        <f t="shared" si="788"/>
        <v>9.3477188476983289E-2</v>
      </c>
      <c r="FC198" s="20">
        <f t="shared" si="788"/>
        <v>9.2344981328406406E-2</v>
      </c>
      <c r="FD198" s="785"/>
      <c r="FE198" s="20">
        <f t="shared" si="788"/>
        <v>2.0588663359683297E-2</v>
      </c>
      <c r="FF198" s="20">
        <f t="shared" si="788"/>
        <v>6.9875255831202451E-2</v>
      </c>
      <c r="FG198" s="20">
        <f t="shared" si="788"/>
        <v>7.0266462158421708E-2</v>
      </c>
      <c r="FH198" s="20">
        <f t="shared" si="788"/>
        <v>7.2141663605515716E-2</v>
      </c>
      <c r="FI198" s="20">
        <f t="shared" si="788"/>
        <v>8.5203693866485186E-2</v>
      </c>
      <c r="FJ198" s="20">
        <f t="shared" si="788"/>
        <v>8.9127517619676522E-2</v>
      </c>
      <c r="FK198" s="545" t="s">
        <v>1</v>
      </c>
    </row>
    <row r="199" spans="2:167" x14ac:dyDescent="0.2">
      <c r="B199" s="226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9"/>
      <c r="DZ199" s="19"/>
      <c r="EA199" s="19"/>
      <c r="EB199" s="19"/>
      <c r="EC199" s="19"/>
      <c r="ED199" s="19"/>
      <c r="EE199" s="222"/>
      <c r="EF199" s="19"/>
      <c r="EG199" s="19"/>
      <c r="EH199" s="19"/>
      <c r="EI199" s="19"/>
      <c r="EJ199" s="19"/>
      <c r="EK199" s="19"/>
      <c r="EL199" s="19"/>
      <c r="EM199" s="19"/>
      <c r="EN199" s="19"/>
      <c r="EO199" s="19"/>
      <c r="EP199" s="19"/>
      <c r="EQ199" s="19"/>
      <c r="ER199" s="19"/>
      <c r="ES199" s="19"/>
      <c r="ET199" s="19"/>
      <c r="EU199" s="19"/>
      <c r="EV199" s="19"/>
      <c r="EW199" s="19"/>
      <c r="EX199" s="19"/>
      <c r="EY199" s="19"/>
      <c r="EZ199" s="19"/>
      <c r="FA199" s="19"/>
      <c r="FB199" s="19"/>
      <c r="FC199" s="19"/>
      <c r="FE199" s="19"/>
      <c r="FF199" s="19"/>
      <c r="FG199" s="19"/>
      <c r="FH199" s="19"/>
      <c r="FI199" s="19"/>
      <c r="FJ199" s="770"/>
      <c r="FK199" s="545"/>
    </row>
    <row r="200" spans="2:167" x14ac:dyDescent="0.2">
      <c r="B200" s="305" t="s">
        <v>60</v>
      </c>
      <c r="C200" s="297">
        <f>SUM(C201:C208)</f>
        <v>14014771.285714285</v>
      </c>
      <c r="D200" s="297">
        <f t="shared" ref="D200:BO200" si="789">SUM(D201:D208)</f>
        <v>12812156.571428571</v>
      </c>
      <c r="E200" s="297">
        <f t="shared" si="789"/>
        <v>16538795.571428571</v>
      </c>
      <c r="F200" s="297">
        <f t="shared" si="789"/>
        <v>14636637.571428571</v>
      </c>
      <c r="G200" s="297">
        <f t="shared" si="789"/>
        <v>17506273.481428571</v>
      </c>
      <c r="H200" s="297">
        <f t="shared" si="789"/>
        <v>15818538.061428573</v>
      </c>
      <c r="I200" s="297">
        <f t="shared" si="789"/>
        <v>17821788.581428573</v>
      </c>
      <c r="J200" s="297">
        <f t="shared" si="789"/>
        <v>17837627.231428571</v>
      </c>
      <c r="K200" s="297">
        <f t="shared" si="789"/>
        <v>93293776.638428584</v>
      </c>
      <c r="L200" s="297">
        <f t="shared" si="789"/>
        <v>14533507.666428572</v>
      </c>
      <c r="M200" s="297">
        <f t="shared" si="789"/>
        <v>15245910.999428572</v>
      </c>
      <c r="N200" s="297">
        <f t="shared" si="789"/>
        <v>17447115.589428574</v>
      </c>
      <c r="O200" s="297">
        <f t="shared" si="789"/>
        <v>18719541.921999998</v>
      </c>
      <c r="P200" s="297">
        <f t="shared" si="789"/>
        <v>19143387.112714283</v>
      </c>
      <c r="Q200" s="297">
        <f t="shared" si="789"/>
        <v>19741458.497714289</v>
      </c>
      <c r="R200" s="297">
        <f t="shared" si="789"/>
        <v>19295501.059999999</v>
      </c>
      <c r="S200" s="297">
        <f t="shared" si="789"/>
        <v>19232723.729999997</v>
      </c>
      <c r="T200" s="297">
        <f t="shared" si="789"/>
        <v>20147396.910000004</v>
      </c>
      <c r="U200" s="297">
        <f t="shared" si="789"/>
        <v>20642773.549999997</v>
      </c>
      <c r="V200" s="297">
        <f t="shared" si="789"/>
        <v>20372964.699999999</v>
      </c>
      <c r="W200" s="297">
        <f t="shared" si="789"/>
        <v>20489024.390000001</v>
      </c>
      <c r="X200" s="297">
        <f t="shared" si="789"/>
        <v>21374714.539999999</v>
      </c>
      <c r="Y200" s="297">
        <f t="shared" si="789"/>
        <v>21647724.68</v>
      </c>
      <c r="Z200" s="297">
        <f t="shared" si="789"/>
        <v>21870521.378809504</v>
      </c>
      <c r="AA200" s="297">
        <f t="shared" si="789"/>
        <v>19230422.023214284</v>
      </c>
      <c r="AB200" s="297">
        <f t="shared" si="789"/>
        <v>18353194.545357145</v>
      </c>
      <c r="AC200" s="297">
        <f t="shared" si="789"/>
        <v>17956547.020833328</v>
      </c>
      <c r="AD200" s="297">
        <f t="shared" si="789"/>
        <v>17828153.0741667</v>
      </c>
      <c r="AE200" s="297">
        <f t="shared" si="789"/>
        <v>18194194.591666698</v>
      </c>
      <c r="AF200" s="297">
        <f t="shared" si="789"/>
        <v>20286451.701666698</v>
      </c>
      <c r="AG200" s="297">
        <f t="shared" si="789"/>
        <v>20188408.530000001</v>
      </c>
      <c r="AH200" s="297">
        <f t="shared" si="789"/>
        <v>22125377.276666697</v>
      </c>
      <c r="AI200" s="297">
        <f t="shared" si="789"/>
        <v>22420642.085000001</v>
      </c>
      <c r="AJ200" s="297">
        <f t="shared" si="789"/>
        <v>25200868.701666702</v>
      </c>
      <c r="AK200" s="297">
        <f t="shared" si="789"/>
        <v>24802483.394551285</v>
      </c>
      <c r="AL200" s="297">
        <f t="shared" si="789"/>
        <v>24621053.789487198</v>
      </c>
      <c r="AM200" s="297">
        <f t="shared" si="789"/>
        <v>27602234.147564102</v>
      </c>
      <c r="AN200" s="297">
        <f t="shared" si="789"/>
        <v>27569626.149871796</v>
      </c>
      <c r="AO200" s="297">
        <f t="shared" si="789"/>
        <v>28916978.659423102</v>
      </c>
      <c r="AP200" s="297">
        <f t="shared" si="789"/>
        <v>31425219.097435899</v>
      </c>
      <c r="AQ200" s="297">
        <f t="shared" si="789"/>
        <v>31742342.271346159</v>
      </c>
      <c r="AR200" s="297">
        <f t="shared" si="789"/>
        <v>33994598.457564108</v>
      </c>
      <c r="AS200" s="297">
        <f t="shared" si="789"/>
        <v>34310693.301025599</v>
      </c>
      <c r="AT200" s="297">
        <f t="shared" si="789"/>
        <v>36124178.079359002</v>
      </c>
      <c r="AU200" s="297">
        <f t="shared" si="789"/>
        <v>37522349.064743601</v>
      </c>
      <c r="AV200" s="297">
        <f t="shared" si="789"/>
        <v>39643464.232115395</v>
      </c>
      <c r="AW200" s="297">
        <f t="shared" si="789"/>
        <v>41033845.031089798</v>
      </c>
      <c r="AX200" s="297">
        <f t="shared" si="789"/>
        <v>55644746.924166702</v>
      </c>
      <c r="AY200" s="297">
        <f t="shared" si="789"/>
        <v>51778247.000150554</v>
      </c>
      <c r="AZ200" s="297">
        <f t="shared" si="789"/>
        <v>54330377.1096154</v>
      </c>
      <c r="BA200" s="297">
        <f t="shared" si="789"/>
        <v>54510513.956025705</v>
      </c>
      <c r="BB200" s="297">
        <f t="shared" si="789"/>
        <v>58172677.614935905</v>
      </c>
      <c r="BC200" s="297">
        <f t="shared" si="789"/>
        <v>57137108.087179497</v>
      </c>
      <c r="BD200" s="297">
        <f t="shared" si="789"/>
        <v>59736032.384743601</v>
      </c>
      <c r="BE200" s="297">
        <f t="shared" si="789"/>
        <v>59284781.566176593</v>
      </c>
      <c r="BF200" s="297">
        <f t="shared" si="789"/>
        <v>57056485.274679489</v>
      </c>
      <c r="BG200" s="297">
        <f t="shared" si="789"/>
        <v>56572778.017628163</v>
      </c>
      <c r="BH200" s="297">
        <f t="shared" si="789"/>
        <v>56584859.540626511</v>
      </c>
      <c r="BI200" s="297">
        <f t="shared" si="789"/>
        <v>60046187.113516487</v>
      </c>
      <c r="BJ200" s="297">
        <f t="shared" si="789"/>
        <v>68009839.410314307</v>
      </c>
      <c r="BK200" s="297">
        <f t="shared" si="789"/>
        <v>58225707.813913547</v>
      </c>
      <c r="BL200" s="297">
        <f t="shared" si="789"/>
        <v>60696838.111258417</v>
      </c>
      <c r="BM200" s="297">
        <f t="shared" si="789"/>
        <v>60223055.679727048</v>
      </c>
      <c r="BN200" s="297">
        <f t="shared" si="789"/>
        <v>59231112.026718065</v>
      </c>
      <c r="BO200" s="297">
        <f t="shared" si="789"/>
        <v>59145786.231709786</v>
      </c>
      <c r="BP200" s="297">
        <f t="shared" ref="BP200:CT200" si="790">SUM(BP201:BP208)</f>
        <v>60583013.094127372</v>
      </c>
      <c r="BQ200" s="297">
        <f t="shared" si="790"/>
        <v>63060945.810206793</v>
      </c>
      <c r="BR200" s="297">
        <f t="shared" si="790"/>
        <v>61891088.177307703</v>
      </c>
      <c r="BS200" s="297">
        <f t="shared" si="790"/>
        <v>58347490.399241127</v>
      </c>
      <c r="BT200" s="297">
        <f t="shared" si="790"/>
        <v>55644044.699373454</v>
      </c>
      <c r="BU200" s="297">
        <f t="shared" si="790"/>
        <v>52592319.215851001</v>
      </c>
      <c r="BV200" s="297">
        <f t="shared" si="790"/>
        <v>56965871.283862665</v>
      </c>
      <c r="BW200" s="297">
        <f t="shared" si="790"/>
        <v>60218916.334743612</v>
      </c>
      <c r="BX200" s="297">
        <f t="shared" si="790"/>
        <v>61529683.505448706</v>
      </c>
      <c r="BY200" s="297">
        <f t="shared" si="790"/>
        <v>62199392.602256536</v>
      </c>
      <c r="BZ200" s="297">
        <f t="shared" si="790"/>
        <v>62118016.91660253</v>
      </c>
      <c r="CA200" s="297">
        <f t="shared" si="790"/>
        <v>62712347.939230762</v>
      </c>
      <c r="CB200" s="297">
        <f t="shared" si="790"/>
        <v>62060381.499230765</v>
      </c>
      <c r="CC200" s="297">
        <f t="shared" si="790"/>
        <v>68535363.274228647</v>
      </c>
      <c r="CD200" s="297">
        <f t="shared" si="790"/>
        <v>65173735.029871799</v>
      </c>
      <c r="CE200" s="297">
        <f t="shared" si="790"/>
        <v>67520931.961447477</v>
      </c>
      <c r="CF200" s="297">
        <f t="shared" si="790"/>
        <v>67881604.19989863</v>
      </c>
      <c r="CG200" s="297">
        <f t="shared" si="790"/>
        <v>65519810.628534816</v>
      </c>
      <c r="CH200" s="297">
        <f t="shared" si="790"/>
        <v>72200971.108401552</v>
      </c>
      <c r="CI200" s="297">
        <f t="shared" si="790"/>
        <v>75431966.497051284</v>
      </c>
      <c r="CJ200" s="297">
        <f t="shared" si="790"/>
        <v>74991266.437485531</v>
      </c>
      <c r="CK200" s="297">
        <f t="shared" si="790"/>
        <v>75562691.485448748</v>
      </c>
      <c r="CL200" s="297">
        <f t="shared" si="790"/>
        <v>74852304.541747361</v>
      </c>
      <c r="CM200" s="297">
        <f t="shared" si="790"/>
        <v>74555373.781202108</v>
      </c>
      <c r="CN200" s="297">
        <f t="shared" si="790"/>
        <v>77730530.452846155</v>
      </c>
      <c r="CO200" s="297">
        <f t="shared" si="790"/>
        <v>85062161.879875973</v>
      </c>
      <c r="CP200" s="297">
        <f t="shared" si="790"/>
        <v>77728573.388871014</v>
      </c>
      <c r="CQ200" s="297">
        <f t="shared" si="790"/>
        <v>78496903.191443369</v>
      </c>
      <c r="CR200" s="297">
        <f t="shared" si="790"/>
        <v>83916322.385605872</v>
      </c>
      <c r="CS200" s="297">
        <f t="shared" si="790"/>
        <v>81655018.867527485</v>
      </c>
      <c r="CT200" s="297">
        <f t="shared" si="790"/>
        <v>86919939.652675733</v>
      </c>
      <c r="CU200" s="297">
        <f>'P&amp;L - Inputs'!CT753</f>
        <v>91265936.635309517</v>
      </c>
      <c r="CV200" s="297">
        <f>'P&amp;L - Inputs'!CU753</f>
        <v>91265936.635309517</v>
      </c>
      <c r="CW200" s="297">
        <f>'P&amp;L - Inputs'!CV753</f>
        <v>91265936.635309517</v>
      </c>
      <c r="CX200" s="297">
        <f>'P&amp;L - Inputs'!CW753</f>
        <v>91265936.635309517</v>
      </c>
      <c r="CY200" s="297">
        <f>'P&amp;L - Inputs'!CX753</f>
        <v>91265936.635309517</v>
      </c>
      <c r="CZ200" s="297">
        <f>'P&amp;L - Inputs'!CY753</f>
        <v>91265936.635309517</v>
      </c>
      <c r="DA200" s="297">
        <f>'P&amp;L - Inputs'!CZ753</f>
        <v>91265936.635309517</v>
      </c>
      <c r="DB200" s="297">
        <f>'P&amp;L - Inputs'!DA753</f>
        <v>91265936.635309517</v>
      </c>
      <c r="DC200" s="297">
        <f>'P&amp;L - Inputs'!DB753</f>
        <v>91265936.635309517</v>
      </c>
      <c r="DD200" s="297">
        <f>'P&amp;L - Inputs'!DC753</f>
        <v>91265936.635309517</v>
      </c>
      <c r="DE200" s="297">
        <f>'P&amp;L - Inputs'!DD753</f>
        <v>91265936.635309517</v>
      </c>
      <c r="DF200" s="297">
        <f>'P&amp;L - Inputs'!DE753</f>
        <v>91265936.635309517</v>
      </c>
      <c r="DG200" s="297">
        <f>'P&amp;L - Inputs'!DF753</f>
        <v>95829233.46707499</v>
      </c>
      <c r="DH200" s="297">
        <f>'P&amp;L - Inputs'!DG753</f>
        <v>95829233.46707499</v>
      </c>
      <c r="DI200" s="297">
        <f>'P&amp;L - Inputs'!DH753</f>
        <v>95829233.46707499</v>
      </c>
      <c r="DJ200" s="297">
        <f>'P&amp;L - Inputs'!DI753</f>
        <v>95829233.46707499</v>
      </c>
      <c r="DK200" s="297">
        <f>'P&amp;L - Inputs'!DJ753</f>
        <v>95829233.46707499</v>
      </c>
      <c r="DL200" s="297">
        <f>'P&amp;L - Inputs'!DK753</f>
        <v>95829233.46707499</v>
      </c>
      <c r="DM200" s="297">
        <f>'P&amp;L - Inputs'!DL753</f>
        <v>95829233.46707499</v>
      </c>
      <c r="DN200" s="297">
        <f>'P&amp;L - Inputs'!DM753</f>
        <v>95829233.46707499</v>
      </c>
      <c r="DO200" s="297">
        <f>'P&amp;L - Inputs'!DN753</f>
        <v>95829233.46707499</v>
      </c>
      <c r="DP200" s="297">
        <f>'P&amp;L - Inputs'!DO753</f>
        <v>95829233.46707499</v>
      </c>
      <c r="DQ200" s="297">
        <f>'P&amp;L - Inputs'!DP753</f>
        <v>95829233.46707499</v>
      </c>
      <c r="DR200" s="297">
        <f>'P&amp;L - Inputs'!DQ753</f>
        <v>95829233.46707499</v>
      </c>
      <c r="DS200" s="297">
        <f>'P&amp;L - Inputs'!DR753</f>
        <v>100620695.14042874</v>
      </c>
      <c r="DT200" s="297">
        <f>'P&amp;L - Inputs'!DS753</f>
        <v>100620695.14042874</v>
      </c>
      <c r="DU200" s="297">
        <f>'P&amp;L - Inputs'!DT753</f>
        <v>100620695.14042874</v>
      </c>
      <c r="DV200" s="297">
        <f>'P&amp;L - Inputs'!DU753</f>
        <v>100620695.14042874</v>
      </c>
      <c r="DW200" s="297">
        <f>'P&amp;L - Inputs'!DV753</f>
        <v>100620695.14042874</v>
      </c>
      <c r="DX200" s="297">
        <f>'P&amp;L - Inputs'!DW753</f>
        <v>100620695.14042874</v>
      </c>
      <c r="DY200" s="297">
        <f>'P&amp;L - Inputs'!DX753</f>
        <v>100620695.14042874</v>
      </c>
      <c r="DZ200" s="297">
        <f>'P&amp;L - Inputs'!DY753</f>
        <v>100620695.14042874</v>
      </c>
      <c r="EA200" s="297">
        <f>'P&amp;L - Inputs'!DZ753</f>
        <v>100620695.14042874</v>
      </c>
      <c r="EB200" s="297">
        <f>'P&amp;L - Inputs'!EA753</f>
        <v>100620695.14042874</v>
      </c>
      <c r="EC200" s="297">
        <f>'P&amp;L - Inputs'!EB753</f>
        <v>100620695.14042874</v>
      </c>
      <c r="ED200" s="297">
        <f>'P&amp;L - Inputs'!EC753</f>
        <v>100620695.14042874</v>
      </c>
      <c r="EE200" s="222"/>
      <c r="EF200" s="297">
        <f t="shared" ref="EF200:EF208" si="791">SUM(BK200:BM200)</f>
        <v>179145601.60489902</v>
      </c>
      <c r="EG200" s="297">
        <f t="shared" ref="EG200:EG208" si="792">SUM(BN200:BP200)</f>
        <v>178959911.35255522</v>
      </c>
      <c r="EH200" s="297">
        <f t="shared" ref="EH200:EH208" si="793">SUM(BQ200:BS200)</f>
        <v>183299524.38675562</v>
      </c>
      <c r="EI200" s="297">
        <f t="shared" ref="EI200:EI208" si="794">SUM(BT200:BV200)</f>
        <v>165202235.19908714</v>
      </c>
      <c r="EJ200" s="297">
        <f t="shared" ref="EJ200:EJ208" si="795">SUM(BW200:BY200)</f>
        <v>183947992.44244885</v>
      </c>
      <c r="EK200" s="297">
        <f t="shared" ref="EK200:EK208" si="796">SUM(BZ200:CB200)</f>
        <v>186890746.35506406</v>
      </c>
      <c r="EL200" s="297">
        <f t="shared" ref="EL200:EL208" si="797">SUM(CC200:CE200)</f>
        <v>201230030.26554793</v>
      </c>
      <c r="EM200" s="297">
        <f t="shared" ref="EM200:EM208" si="798">SUM(CF200:CH200)</f>
        <v>205602385.93683499</v>
      </c>
      <c r="EN200" s="297">
        <f t="shared" ref="EN200:EN208" si="799">SUM(CI200:CK200)</f>
        <v>225985924.41998556</v>
      </c>
      <c r="EO200" s="297">
        <f t="shared" ref="EO200:EO208" si="800">SUM(CL200:CN200)</f>
        <v>227138208.77579564</v>
      </c>
      <c r="EP200" s="297">
        <f t="shared" ref="EP200:EP208" si="801">SUM(CO200:CQ200)</f>
        <v>241287638.46019036</v>
      </c>
      <c r="EQ200" s="297">
        <f t="shared" ref="EQ200:EQ208" si="802">SUM(CR200:CT200)</f>
        <v>252491280.9058091</v>
      </c>
      <c r="ER200" s="297">
        <f t="shared" ref="ER200:ER208" si="803">SUM(CU200:CW200)</f>
        <v>273797809.90592855</v>
      </c>
      <c r="ES200" s="297">
        <f t="shared" ref="ES200:ES208" si="804">SUM(CX200:CZ200)</f>
        <v>273797809.90592855</v>
      </c>
      <c r="ET200" s="297">
        <f t="shared" ref="ET200:ET208" si="805">SUM(DA200:DC200)</f>
        <v>273797809.90592855</v>
      </c>
      <c r="EU200" s="297">
        <f t="shared" ref="EU200:EU208" si="806">SUM(DD200:DF200)</f>
        <v>273797809.90592855</v>
      </c>
      <c r="EV200" s="297">
        <f t="shared" ref="EV200:EV208" si="807">SUM(DG200:DI200)</f>
        <v>287487700.40122497</v>
      </c>
      <c r="EW200" s="297">
        <f t="shared" ref="EW200:EW208" si="808">SUM(DJ200:DL200)</f>
        <v>287487700.40122497</v>
      </c>
      <c r="EX200" s="297">
        <f t="shared" ref="EX200:EX208" si="809">SUM(DM200:DO200)</f>
        <v>287487700.40122497</v>
      </c>
      <c r="EY200" s="297">
        <f t="shared" ref="EY200:EY208" si="810">SUM(DP200:DR200)</f>
        <v>287487700.40122497</v>
      </c>
      <c r="EZ200" s="297">
        <f t="shared" ref="EZ200" si="811">SUM(DS200:DU200)</f>
        <v>301862085.42128623</v>
      </c>
      <c r="FA200" s="297">
        <f t="shared" ref="FA200" si="812">SUM(DV200:DX200)</f>
        <v>301862085.42128623</v>
      </c>
      <c r="FB200" s="297">
        <f t="shared" ref="FB200" si="813">SUM(DY200:EA200)</f>
        <v>301862085.42128623</v>
      </c>
      <c r="FC200" s="297">
        <f t="shared" ref="FC200" si="814">SUM(EB200:ED200)</f>
        <v>301862085.42128623</v>
      </c>
      <c r="FE200" s="297">
        <f t="shared" ref="FE200:FE208" si="815">SUM(EF200:EI200)</f>
        <v>706607272.54329693</v>
      </c>
      <c r="FF200" s="297">
        <f t="shared" ref="FF200:FF208" si="816">SUM(EJ200:EM200)</f>
        <v>777671154.99989581</v>
      </c>
      <c r="FG200" s="297">
        <f t="shared" ref="FG200:FG208" si="817">SUM(EN200:EQ200)</f>
        <v>946903052.56178069</v>
      </c>
      <c r="FH200" s="297">
        <f t="shared" ref="FH200:FH208" si="818">SUM(ER200:EU200)</f>
        <v>1095191239.6237142</v>
      </c>
      <c r="FI200" s="297">
        <f t="shared" ref="FI200:FI208" si="819">SUM(EV200:EY200)</f>
        <v>1149950801.6048999</v>
      </c>
      <c r="FJ200" s="774">
        <f t="shared" si="784"/>
        <v>1207448341.6851449</v>
      </c>
      <c r="FK200" s="545" t="s">
        <v>1</v>
      </c>
    </row>
    <row r="201" spans="2:167" x14ac:dyDescent="0.2">
      <c r="B201" s="306" t="s">
        <v>72</v>
      </c>
      <c r="C201" s="19">
        <v>7820689.2857142854</v>
      </c>
      <c r="D201" s="19">
        <v>7857182.5714285718</v>
      </c>
      <c r="E201" s="19">
        <v>7979619.5714285718</v>
      </c>
      <c r="F201" s="19">
        <v>8288956.5714285718</v>
      </c>
      <c r="G201" s="19">
        <v>8864786.5714285709</v>
      </c>
      <c r="H201" s="19">
        <v>9130981.5714285728</v>
      </c>
      <c r="I201" s="19">
        <v>9523551.5714285728</v>
      </c>
      <c r="J201" s="19">
        <v>9509106.5714285728</v>
      </c>
      <c r="K201" s="19">
        <v>10157746.571428573</v>
      </c>
      <c r="L201" s="19">
        <v>10469638.571428573</v>
      </c>
      <c r="M201" s="19">
        <v>10828162.571428573</v>
      </c>
      <c r="N201" s="19">
        <v>11506861.571428573</v>
      </c>
      <c r="O201" s="19">
        <v>12741144</v>
      </c>
      <c r="P201" s="19">
        <v>12469423.285714285</v>
      </c>
      <c r="Q201" s="19">
        <v>12670997.235714287</v>
      </c>
      <c r="R201" s="19">
        <v>12494552</v>
      </c>
      <c r="S201" s="19">
        <v>12630510</v>
      </c>
      <c r="T201" s="19">
        <v>12363130</v>
      </c>
      <c r="U201" s="19">
        <v>12249558</v>
      </c>
      <c r="V201" s="19">
        <v>12453213</v>
      </c>
      <c r="W201" s="19">
        <v>12769281.5</v>
      </c>
      <c r="X201" s="19">
        <v>13699977</v>
      </c>
      <c r="Y201" s="19">
        <v>13319544</v>
      </c>
      <c r="Z201" s="19">
        <v>13337592.8188095</v>
      </c>
      <c r="AA201" s="19">
        <v>13995861.233214285</v>
      </c>
      <c r="AB201" s="19">
        <v>13289133.775357144</v>
      </c>
      <c r="AC201" s="19">
        <v>12669377.660833333</v>
      </c>
      <c r="AD201" s="19">
        <v>13308953.714166701</v>
      </c>
      <c r="AE201" s="19">
        <v>13849179.801666699</v>
      </c>
      <c r="AF201" s="19">
        <v>15115452.961666699</v>
      </c>
      <c r="AG201" s="19">
        <v>15126027.630000001</v>
      </c>
      <c r="AH201" s="19">
        <v>15912724.7466667</v>
      </c>
      <c r="AI201" s="19">
        <v>16188178.095000001</v>
      </c>
      <c r="AJ201" s="19">
        <v>17332296.7816667</v>
      </c>
      <c r="AK201" s="19">
        <v>16523897.364551282</v>
      </c>
      <c r="AL201" s="19">
        <v>17678672.429487199</v>
      </c>
      <c r="AM201" s="19">
        <v>20907163.327564102</v>
      </c>
      <c r="AN201" s="19">
        <v>21168644.149871796</v>
      </c>
      <c r="AO201" s="19">
        <v>21902756.949423101</v>
      </c>
      <c r="AP201" s="19">
        <v>23465194.1274359</v>
      </c>
      <c r="AQ201" s="19">
        <v>23852972.07134616</v>
      </c>
      <c r="AR201" s="19">
        <v>25560356.867564112</v>
      </c>
      <c r="AS201" s="19">
        <v>26140750.3710256</v>
      </c>
      <c r="AT201" s="19">
        <v>26571880.949359</v>
      </c>
      <c r="AU201" s="19">
        <v>27339718.914743599</v>
      </c>
      <c r="AV201" s="19">
        <v>28892528.502115399</v>
      </c>
      <c r="AW201" s="19">
        <v>31567500.241089799</v>
      </c>
      <c r="AX201" s="19">
        <v>42392407.344166704</v>
      </c>
      <c r="AY201" s="19">
        <v>39841924.929551303</v>
      </c>
      <c r="AZ201" s="19">
        <v>41791696.639615402</v>
      </c>
      <c r="BA201" s="19">
        <v>41006774.216025703</v>
      </c>
      <c r="BB201" s="19">
        <v>44375218.584935904</v>
      </c>
      <c r="BC201" s="19">
        <v>43023721.087179497</v>
      </c>
      <c r="BD201" s="19">
        <v>44139892.344743602</v>
      </c>
      <c r="BE201" s="19">
        <v>44173062.026176594</v>
      </c>
      <c r="BF201" s="19">
        <v>44358818.034679487</v>
      </c>
      <c r="BG201" s="19">
        <v>43709280.194294825</v>
      </c>
      <c r="BH201" s="19">
        <v>43997134.940626509</v>
      </c>
      <c r="BI201" s="19">
        <v>45771962.413516492</v>
      </c>
      <c r="BJ201" s="19">
        <v>53365539.410314307</v>
      </c>
      <c r="BK201" s="19">
        <v>45764879.853913546</v>
      </c>
      <c r="BL201" s="19">
        <v>47415707.67125842</v>
      </c>
      <c r="BM201" s="19">
        <v>47097167.649727046</v>
      </c>
      <c r="BN201" s="19">
        <v>47304986.422212571</v>
      </c>
      <c r="BO201" s="19">
        <v>46480535.227204293</v>
      </c>
      <c r="BP201" s="19">
        <v>46987403.624127373</v>
      </c>
      <c r="BQ201" s="19">
        <v>47617487.430206791</v>
      </c>
      <c r="BR201" s="19">
        <v>46524554.287307702</v>
      </c>
      <c r="BS201" s="19">
        <v>45180533.139241129</v>
      </c>
      <c r="BT201" s="19">
        <v>42966056.779373452</v>
      </c>
      <c r="BU201" s="19">
        <v>41151874.935851</v>
      </c>
      <c r="BV201" s="19">
        <v>43120938.253862664</v>
      </c>
      <c r="BW201" s="19">
        <v>48541555.834743612</v>
      </c>
      <c r="BX201" s="19">
        <v>48587367.655448712</v>
      </c>
      <c r="BY201" s="19">
        <v>46265464.619935893</v>
      </c>
      <c r="BZ201" s="19">
        <v>46914970.41660253</v>
      </c>
      <c r="CA201" s="19">
        <v>46638773.499230765</v>
      </c>
      <c r="CB201" s="19">
        <v>46630114.499230765</v>
      </c>
      <c r="CC201" s="19">
        <v>48846102.34422864</v>
      </c>
      <c r="CD201" s="19">
        <v>47155229.139871798</v>
      </c>
      <c r="CE201" s="19">
        <v>47982622.201447472</v>
      </c>
      <c r="CF201" s="19">
        <v>47885692.529898636</v>
      </c>
      <c r="CG201" s="19">
        <v>46284469.008534811</v>
      </c>
      <c r="CH201" s="19">
        <v>52273652.61840155</v>
      </c>
      <c r="CI201" s="19">
        <v>53551921.597051285</v>
      </c>
      <c r="CJ201" s="19">
        <v>52782438.707485519</v>
      </c>
      <c r="CK201" s="19">
        <v>54256846.485448748</v>
      </c>
      <c r="CL201" s="19">
        <v>54522615.591747358</v>
      </c>
      <c r="CM201" s="19">
        <v>52130551.84009099</v>
      </c>
      <c r="CN201" s="19">
        <v>52782420.568846166</v>
      </c>
      <c r="CO201" s="19">
        <v>54863913.809875965</v>
      </c>
      <c r="CP201" s="19">
        <v>53980009.738871008</v>
      </c>
      <c r="CQ201" s="19">
        <v>52837872.78144335</v>
      </c>
      <c r="CR201" s="19">
        <v>56038429.465605877</v>
      </c>
      <c r="CS201" s="19">
        <v>54181962.267527476</v>
      </c>
      <c r="CT201" s="19">
        <v>60965859.245049596</v>
      </c>
      <c r="CU201" s="19">
        <f>CT201/CT$200*CU$200</f>
        <v>64014152.207302071</v>
      </c>
      <c r="CV201" s="19">
        <f t="shared" ref="CV201:DR208" si="820">CU201/CU$200*CV$200</f>
        <v>64014152.207302071</v>
      </c>
      <c r="CW201" s="19">
        <f t="shared" si="820"/>
        <v>64014152.207302071</v>
      </c>
      <c r="CX201" s="19">
        <f t="shared" si="820"/>
        <v>64014152.207302071</v>
      </c>
      <c r="CY201" s="19">
        <f t="shared" si="820"/>
        <v>64014152.207302071</v>
      </c>
      <c r="CZ201" s="19">
        <f t="shared" si="820"/>
        <v>64014152.207302071</v>
      </c>
      <c r="DA201" s="19">
        <f t="shared" si="820"/>
        <v>64014152.207302071</v>
      </c>
      <c r="DB201" s="19">
        <f t="shared" si="820"/>
        <v>64014152.207302071</v>
      </c>
      <c r="DC201" s="19">
        <f t="shared" si="820"/>
        <v>64014152.207302071</v>
      </c>
      <c r="DD201" s="19">
        <f t="shared" si="820"/>
        <v>64014152.207302071</v>
      </c>
      <c r="DE201" s="19">
        <f t="shared" si="820"/>
        <v>64014152.207302071</v>
      </c>
      <c r="DF201" s="19">
        <f t="shared" si="820"/>
        <v>64014152.207302071</v>
      </c>
      <c r="DG201" s="19">
        <f t="shared" si="820"/>
        <v>67214859.817667171</v>
      </c>
      <c r="DH201" s="19">
        <f t="shared" si="820"/>
        <v>67214859.817667171</v>
      </c>
      <c r="DI201" s="19">
        <f t="shared" si="820"/>
        <v>67214859.817667171</v>
      </c>
      <c r="DJ201" s="19">
        <f t="shared" si="820"/>
        <v>67214859.817667171</v>
      </c>
      <c r="DK201" s="19">
        <f t="shared" si="820"/>
        <v>67214859.817667171</v>
      </c>
      <c r="DL201" s="19">
        <f t="shared" si="820"/>
        <v>67214859.817667171</v>
      </c>
      <c r="DM201" s="19">
        <f t="shared" si="820"/>
        <v>67214859.817667171</v>
      </c>
      <c r="DN201" s="19">
        <f t="shared" si="820"/>
        <v>67214859.817667171</v>
      </c>
      <c r="DO201" s="19">
        <f t="shared" si="820"/>
        <v>67214859.817667171</v>
      </c>
      <c r="DP201" s="19">
        <f t="shared" si="820"/>
        <v>67214859.817667171</v>
      </c>
      <c r="DQ201" s="19">
        <f t="shared" si="820"/>
        <v>67214859.817667171</v>
      </c>
      <c r="DR201" s="19">
        <f t="shared" si="820"/>
        <v>67214859.817667171</v>
      </c>
      <c r="DS201" s="19">
        <f t="shared" ref="DS201:DS208" si="821">DR201/DR$200*DS$200</f>
        <v>70575602.808550522</v>
      </c>
      <c r="DT201" s="19">
        <f t="shared" ref="DT201:DT208" si="822">DS201/DS$200*DT$200</f>
        <v>70575602.808550522</v>
      </c>
      <c r="DU201" s="19">
        <f t="shared" ref="DU201:DU208" si="823">DT201/DT$200*DU$200</f>
        <v>70575602.808550522</v>
      </c>
      <c r="DV201" s="19">
        <f t="shared" ref="DV201:DV208" si="824">DU201/DU$200*DV$200</f>
        <v>70575602.808550522</v>
      </c>
      <c r="DW201" s="19">
        <f t="shared" ref="DW201:DW208" si="825">DV201/DV$200*DW$200</f>
        <v>70575602.808550522</v>
      </c>
      <c r="DX201" s="19">
        <f t="shared" ref="DX201:DX208" si="826">DW201/DW$200*DX$200</f>
        <v>70575602.808550522</v>
      </c>
      <c r="DY201" s="19">
        <f t="shared" ref="DY201:DY208" si="827">DX201/DX$200*DY$200</f>
        <v>70575602.808550522</v>
      </c>
      <c r="DZ201" s="19">
        <f t="shared" ref="DZ201:DZ208" si="828">DY201/DY$200*DZ$200</f>
        <v>70575602.808550522</v>
      </c>
      <c r="EA201" s="19">
        <f t="shared" ref="EA201:EA208" si="829">DZ201/DZ$200*EA$200</f>
        <v>70575602.808550522</v>
      </c>
      <c r="EB201" s="19">
        <f t="shared" ref="EB201:EB208" si="830">EA201/EA$200*EB$200</f>
        <v>70575602.808550522</v>
      </c>
      <c r="EC201" s="19">
        <f t="shared" ref="EC201:EC208" si="831">EB201/EB$200*EC$200</f>
        <v>70575602.808550522</v>
      </c>
      <c r="ED201" s="19">
        <f t="shared" ref="ED201:ED208" si="832">EC201/EC$200*ED$200</f>
        <v>70575602.808550522</v>
      </c>
      <c r="EE201" s="222"/>
      <c r="EF201" s="19">
        <f t="shared" si="791"/>
        <v>140277755.17489901</v>
      </c>
      <c r="EG201" s="19">
        <f t="shared" si="792"/>
        <v>140772925.27354425</v>
      </c>
      <c r="EH201" s="19">
        <f t="shared" si="793"/>
        <v>139322574.85675561</v>
      </c>
      <c r="EI201" s="19">
        <f t="shared" si="794"/>
        <v>127238869.96908711</v>
      </c>
      <c r="EJ201" s="19">
        <f t="shared" si="795"/>
        <v>143394388.11012822</v>
      </c>
      <c r="EK201" s="19">
        <f t="shared" si="796"/>
        <v>140183858.41506407</v>
      </c>
      <c r="EL201" s="19">
        <f t="shared" si="797"/>
        <v>143983953.68554789</v>
      </c>
      <c r="EM201" s="19">
        <f t="shared" si="798"/>
        <v>146443814.15683499</v>
      </c>
      <c r="EN201" s="19">
        <f t="shared" si="799"/>
        <v>160591206.78998554</v>
      </c>
      <c r="EO201" s="19">
        <f t="shared" si="800"/>
        <v>159435588.0006845</v>
      </c>
      <c r="EP201" s="19">
        <f t="shared" si="801"/>
        <v>161681796.33019033</v>
      </c>
      <c r="EQ201" s="19">
        <f t="shared" si="802"/>
        <v>171186250.97818294</v>
      </c>
      <c r="ER201" s="19">
        <f t="shared" si="803"/>
        <v>192042456.62190622</v>
      </c>
      <c r="ES201" s="19">
        <f t="shared" si="804"/>
        <v>192042456.62190622</v>
      </c>
      <c r="ET201" s="19">
        <f t="shared" si="805"/>
        <v>192042456.62190622</v>
      </c>
      <c r="EU201" s="19">
        <f t="shared" si="806"/>
        <v>192042456.62190622</v>
      </c>
      <c r="EV201" s="19">
        <f t="shared" si="807"/>
        <v>201644579.4530015</v>
      </c>
      <c r="EW201" s="19">
        <f t="shared" si="808"/>
        <v>201644579.4530015</v>
      </c>
      <c r="EX201" s="19">
        <f t="shared" si="809"/>
        <v>201644579.4530015</v>
      </c>
      <c r="EY201" s="19">
        <f t="shared" si="810"/>
        <v>201644579.4530015</v>
      </c>
      <c r="EZ201" s="19">
        <f t="shared" ref="EZ201:EZ208" si="833">SUM(DS201:DU201)</f>
        <v>211726808.42565155</v>
      </c>
      <c r="FA201" s="19">
        <f t="shared" ref="FA201:FA208" si="834">SUM(DV201:DX201)</f>
        <v>211726808.42565155</v>
      </c>
      <c r="FB201" s="19">
        <f t="shared" ref="FB201:FB208" si="835">SUM(DY201:EA201)</f>
        <v>211726808.42565155</v>
      </c>
      <c r="FC201" s="19">
        <f t="shared" ref="FC201:FC208" si="836">SUM(EB201:ED201)</f>
        <v>211726808.42565155</v>
      </c>
      <c r="FE201" s="19">
        <f t="shared" si="815"/>
        <v>547612125.27428603</v>
      </c>
      <c r="FF201" s="19">
        <f t="shared" si="816"/>
        <v>574006014.36757517</v>
      </c>
      <c r="FG201" s="19">
        <f t="shared" si="817"/>
        <v>652894842.09904325</v>
      </c>
      <c r="FH201" s="19">
        <f t="shared" si="818"/>
        <v>768169826.48762488</v>
      </c>
      <c r="FI201" s="19">
        <f t="shared" si="819"/>
        <v>806578317.812006</v>
      </c>
      <c r="FJ201" s="770">
        <f t="shared" si="784"/>
        <v>846907233.7026062</v>
      </c>
      <c r="FK201" s="545" t="s">
        <v>1</v>
      </c>
    </row>
    <row r="202" spans="2:167" x14ac:dyDescent="0.2">
      <c r="B202" s="306" t="s">
        <v>327</v>
      </c>
      <c r="C202" s="19">
        <v>1004853</v>
      </c>
      <c r="D202" s="19">
        <v>1133388</v>
      </c>
      <c r="E202" s="19">
        <v>1601044</v>
      </c>
      <c r="F202" s="19">
        <v>1380404</v>
      </c>
      <c r="G202" s="19">
        <v>1268302</v>
      </c>
      <c r="H202" s="19">
        <v>1874339</v>
      </c>
      <c r="I202" s="19">
        <v>1905283</v>
      </c>
      <c r="J202" s="19">
        <v>2333748</v>
      </c>
      <c r="K202" s="19">
        <v>2116464</v>
      </c>
      <c r="L202" s="19">
        <v>1912740.56</v>
      </c>
      <c r="M202" s="19">
        <v>1951012.51</v>
      </c>
      <c r="N202" s="19">
        <v>2403819</v>
      </c>
      <c r="O202" s="19">
        <v>1918812</v>
      </c>
      <c r="P202" s="19">
        <v>2043553.5</v>
      </c>
      <c r="Q202" s="19">
        <v>2113049</v>
      </c>
      <c r="R202" s="19">
        <v>1851287</v>
      </c>
      <c r="S202" s="19">
        <v>1681174</v>
      </c>
      <c r="T202" s="19">
        <v>1780113</v>
      </c>
      <c r="U202" s="19">
        <v>1881518</v>
      </c>
      <c r="V202" s="19">
        <v>1779245</v>
      </c>
      <c r="W202" s="19">
        <v>1936229</v>
      </c>
      <c r="X202" s="19">
        <v>1994001</v>
      </c>
      <c r="Y202" s="19">
        <v>1957627</v>
      </c>
      <c r="Z202" s="19">
        <v>2773495</v>
      </c>
      <c r="AA202" s="19">
        <v>1666334</v>
      </c>
      <c r="AB202" s="19">
        <v>2004761</v>
      </c>
      <c r="AC202" s="19">
        <v>1981772</v>
      </c>
      <c r="AD202" s="19">
        <v>995026</v>
      </c>
      <c r="AE202" s="19">
        <v>826182</v>
      </c>
      <c r="AF202" s="19">
        <v>870246</v>
      </c>
      <c r="AG202" s="19">
        <v>821358.24</v>
      </c>
      <c r="AH202" s="19">
        <v>800667</v>
      </c>
      <c r="AI202" s="19">
        <v>805027.22</v>
      </c>
      <c r="AJ202" s="19">
        <v>835575</v>
      </c>
      <c r="AK202" s="19">
        <v>1167224</v>
      </c>
      <c r="AL202" s="19">
        <v>1106105</v>
      </c>
      <c r="AM202" s="19">
        <v>1371961</v>
      </c>
      <c r="AN202" s="19">
        <v>1328467</v>
      </c>
      <c r="AO202" s="19">
        <v>1318617</v>
      </c>
      <c r="AP202" s="19">
        <v>1316049</v>
      </c>
      <c r="AQ202" s="19">
        <v>943515</v>
      </c>
      <c r="AR202" s="19">
        <v>1344202</v>
      </c>
      <c r="AS202" s="19">
        <v>1336421</v>
      </c>
      <c r="AT202" s="19">
        <v>1347673</v>
      </c>
      <c r="AU202" s="19">
        <v>1352522.8</v>
      </c>
      <c r="AV202" s="19">
        <v>1356175</v>
      </c>
      <c r="AW202" s="19">
        <v>1444141</v>
      </c>
      <c r="AX202" s="19">
        <v>2494790</v>
      </c>
      <c r="AY202" s="19">
        <v>2339096</v>
      </c>
      <c r="AZ202" s="19">
        <v>2338553</v>
      </c>
      <c r="BA202" s="19">
        <v>2347999</v>
      </c>
      <c r="BB202" s="19">
        <v>2477345</v>
      </c>
      <c r="BC202" s="19">
        <v>2544501</v>
      </c>
      <c r="BD202" s="19">
        <v>2767352</v>
      </c>
      <c r="BE202" s="19">
        <v>2750151</v>
      </c>
      <c r="BF202" s="19">
        <v>2725588</v>
      </c>
      <c r="BG202" s="19">
        <v>2737733</v>
      </c>
      <c r="BH202" s="19">
        <v>2798585</v>
      </c>
      <c r="BI202" s="19">
        <v>2795012</v>
      </c>
      <c r="BJ202" s="19">
        <v>3215157</v>
      </c>
      <c r="BK202" s="19">
        <v>2927639</v>
      </c>
      <c r="BL202" s="19">
        <v>3002752</v>
      </c>
      <c r="BM202" s="19">
        <v>2924288</v>
      </c>
      <c r="BN202" s="19">
        <v>2882512</v>
      </c>
      <c r="BO202" s="19">
        <v>2904787</v>
      </c>
      <c r="BP202" s="19">
        <v>2917103</v>
      </c>
      <c r="BQ202" s="19">
        <v>2975562</v>
      </c>
      <c r="BR202" s="19">
        <v>2958561.58</v>
      </c>
      <c r="BS202" s="19">
        <v>2916594.74</v>
      </c>
      <c r="BT202" s="19">
        <v>3003021.82</v>
      </c>
      <c r="BU202" s="19">
        <v>2987070.82</v>
      </c>
      <c r="BV202" s="19">
        <v>3064930</v>
      </c>
      <c r="BW202" s="19">
        <v>3047719</v>
      </c>
      <c r="BX202" s="19">
        <v>2255987.46</v>
      </c>
      <c r="BY202" s="19">
        <v>2196942.8199999998</v>
      </c>
      <c r="BZ202" s="19">
        <v>2417482</v>
      </c>
      <c r="CA202" s="19">
        <v>2559262.44</v>
      </c>
      <c r="CB202" s="19">
        <v>2315234</v>
      </c>
      <c r="CC202" s="19">
        <v>2315536</v>
      </c>
      <c r="CD202" s="19">
        <v>2252743</v>
      </c>
      <c r="CE202" s="19">
        <v>2384106</v>
      </c>
      <c r="CF202" s="19">
        <v>2394471</v>
      </c>
      <c r="CG202" s="19">
        <v>2192571</v>
      </c>
      <c r="CH202" s="19">
        <v>2482977</v>
      </c>
      <c r="CI202" s="19">
        <v>2606682.9000000004</v>
      </c>
      <c r="CJ202" s="19">
        <v>3165320</v>
      </c>
      <c r="CK202" s="19">
        <v>3155045</v>
      </c>
      <c r="CL202" s="19">
        <v>2814322.07</v>
      </c>
      <c r="CM202" s="19">
        <v>3268908</v>
      </c>
      <c r="CN202" s="19">
        <v>4302266</v>
      </c>
      <c r="CO202" s="19">
        <v>4661269.21</v>
      </c>
      <c r="CP202" s="19">
        <v>3274761.67</v>
      </c>
      <c r="CQ202" s="19">
        <v>3601810.67</v>
      </c>
      <c r="CR202" s="19">
        <v>3220339.4699999997</v>
      </c>
      <c r="CS202" s="19">
        <v>2952589.7199999997</v>
      </c>
      <c r="CT202" s="19">
        <v>3987502.9699999997</v>
      </c>
      <c r="CU202" s="19">
        <f t="shared" ref="CU202:DJ208" si="837">CT202/CT$200*CU$200</f>
        <v>4186878.1184999999</v>
      </c>
      <c r="CV202" s="19">
        <f t="shared" si="837"/>
        <v>4186878.1184999999</v>
      </c>
      <c r="CW202" s="19">
        <f t="shared" si="837"/>
        <v>4186878.1184999999</v>
      </c>
      <c r="CX202" s="19">
        <f t="shared" si="837"/>
        <v>4186878.1184999999</v>
      </c>
      <c r="CY202" s="19">
        <f t="shared" si="837"/>
        <v>4186878.1184999999</v>
      </c>
      <c r="CZ202" s="19">
        <f t="shared" si="837"/>
        <v>4186878.1184999999</v>
      </c>
      <c r="DA202" s="19">
        <f t="shared" si="837"/>
        <v>4186878.1184999999</v>
      </c>
      <c r="DB202" s="19">
        <f t="shared" si="837"/>
        <v>4186878.1184999999</v>
      </c>
      <c r="DC202" s="19">
        <f t="shared" si="837"/>
        <v>4186878.1184999999</v>
      </c>
      <c r="DD202" s="19">
        <f t="shared" si="837"/>
        <v>4186878.1184999999</v>
      </c>
      <c r="DE202" s="19">
        <f t="shared" si="837"/>
        <v>4186878.1184999999</v>
      </c>
      <c r="DF202" s="19">
        <f t="shared" si="837"/>
        <v>4186878.1184999999</v>
      </c>
      <c r="DG202" s="19">
        <f t="shared" si="837"/>
        <v>4396222.024425</v>
      </c>
      <c r="DH202" s="19">
        <f t="shared" si="837"/>
        <v>4396222.024425</v>
      </c>
      <c r="DI202" s="19">
        <f t="shared" si="837"/>
        <v>4396222.024425</v>
      </c>
      <c r="DJ202" s="19">
        <f t="shared" si="837"/>
        <v>4396222.024425</v>
      </c>
      <c r="DK202" s="19">
        <f t="shared" si="820"/>
        <v>4396222.024425</v>
      </c>
      <c r="DL202" s="19">
        <f t="shared" si="820"/>
        <v>4396222.024425</v>
      </c>
      <c r="DM202" s="19">
        <f t="shared" si="820"/>
        <v>4396222.024425</v>
      </c>
      <c r="DN202" s="19">
        <f t="shared" si="820"/>
        <v>4396222.024425</v>
      </c>
      <c r="DO202" s="19">
        <f t="shared" si="820"/>
        <v>4396222.024425</v>
      </c>
      <c r="DP202" s="19">
        <f t="shared" si="820"/>
        <v>4396222.024425</v>
      </c>
      <c r="DQ202" s="19">
        <f t="shared" si="820"/>
        <v>4396222.024425</v>
      </c>
      <c r="DR202" s="19">
        <f t="shared" si="820"/>
        <v>4396222.024425</v>
      </c>
      <c r="DS202" s="19">
        <f t="shared" si="821"/>
        <v>4616033.1256462503</v>
      </c>
      <c r="DT202" s="19">
        <f t="shared" si="822"/>
        <v>4616033.1256462503</v>
      </c>
      <c r="DU202" s="19">
        <f t="shared" si="823"/>
        <v>4616033.1256462503</v>
      </c>
      <c r="DV202" s="19">
        <f t="shared" si="824"/>
        <v>4616033.1256462503</v>
      </c>
      <c r="DW202" s="19">
        <f t="shared" si="825"/>
        <v>4616033.1256462503</v>
      </c>
      <c r="DX202" s="19">
        <f t="shared" si="826"/>
        <v>4616033.1256462503</v>
      </c>
      <c r="DY202" s="19">
        <f t="shared" si="827"/>
        <v>4616033.1256462503</v>
      </c>
      <c r="DZ202" s="19">
        <f t="shared" si="828"/>
        <v>4616033.1256462503</v>
      </c>
      <c r="EA202" s="19">
        <f t="shared" si="829"/>
        <v>4616033.1256462503</v>
      </c>
      <c r="EB202" s="19">
        <f t="shared" si="830"/>
        <v>4616033.1256462503</v>
      </c>
      <c r="EC202" s="19">
        <f t="shared" si="831"/>
        <v>4616033.1256462503</v>
      </c>
      <c r="ED202" s="19">
        <f t="shared" si="832"/>
        <v>4616033.1256462503</v>
      </c>
      <c r="EE202" s="222"/>
      <c r="EF202" s="19">
        <f t="shared" si="791"/>
        <v>8854679</v>
      </c>
      <c r="EG202" s="19">
        <f t="shared" si="792"/>
        <v>8704402</v>
      </c>
      <c r="EH202" s="19">
        <f t="shared" si="793"/>
        <v>8850718.3200000003</v>
      </c>
      <c r="EI202" s="19">
        <f t="shared" si="794"/>
        <v>9055022.6400000006</v>
      </c>
      <c r="EJ202" s="19">
        <f t="shared" si="795"/>
        <v>7500649.2799999993</v>
      </c>
      <c r="EK202" s="19">
        <f t="shared" si="796"/>
        <v>7291978.4399999995</v>
      </c>
      <c r="EL202" s="19">
        <f t="shared" si="797"/>
        <v>6952385</v>
      </c>
      <c r="EM202" s="19">
        <f t="shared" si="798"/>
        <v>7070019</v>
      </c>
      <c r="EN202" s="19">
        <f t="shared" si="799"/>
        <v>8927047.9000000004</v>
      </c>
      <c r="EO202" s="19">
        <f t="shared" si="800"/>
        <v>10385496.07</v>
      </c>
      <c r="EP202" s="19">
        <f t="shared" si="801"/>
        <v>11537841.550000001</v>
      </c>
      <c r="EQ202" s="19">
        <f t="shared" si="802"/>
        <v>10160432.16</v>
      </c>
      <c r="ER202" s="19">
        <f t="shared" si="803"/>
        <v>12560634.3555</v>
      </c>
      <c r="ES202" s="19">
        <f t="shared" si="804"/>
        <v>12560634.3555</v>
      </c>
      <c r="ET202" s="19">
        <f t="shared" si="805"/>
        <v>12560634.3555</v>
      </c>
      <c r="EU202" s="19">
        <f t="shared" si="806"/>
        <v>12560634.3555</v>
      </c>
      <c r="EV202" s="19">
        <f t="shared" si="807"/>
        <v>13188666.073275</v>
      </c>
      <c r="EW202" s="19">
        <f t="shared" si="808"/>
        <v>13188666.073275</v>
      </c>
      <c r="EX202" s="19">
        <f t="shared" si="809"/>
        <v>13188666.073275</v>
      </c>
      <c r="EY202" s="19">
        <f t="shared" si="810"/>
        <v>13188666.073275</v>
      </c>
      <c r="EZ202" s="19">
        <f t="shared" si="833"/>
        <v>13848099.376938751</v>
      </c>
      <c r="FA202" s="19">
        <f t="shared" si="834"/>
        <v>13848099.376938751</v>
      </c>
      <c r="FB202" s="19">
        <f t="shared" si="835"/>
        <v>13848099.376938751</v>
      </c>
      <c r="FC202" s="19">
        <f t="shared" si="836"/>
        <v>13848099.376938751</v>
      </c>
      <c r="FE202" s="19">
        <f t="shared" si="815"/>
        <v>35464821.960000001</v>
      </c>
      <c r="FF202" s="19">
        <f t="shared" si="816"/>
        <v>28815031.719999999</v>
      </c>
      <c r="FG202" s="19">
        <f t="shared" si="817"/>
        <v>41010817.68</v>
      </c>
      <c r="FH202" s="19">
        <f t="shared" si="818"/>
        <v>50242537.421999998</v>
      </c>
      <c r="FI202" s="19">
        <f t="shared" si="819"/>
        <v>52754664.293099999</v>
      </c>
      <c r="FJ202" s="770">
        <f t="shared" si="784"/>
        <v>55392397.507755004</v>
      </c>
      <c r="FK202" s="545" t="s">
        <v>1</v>
      </c>
    </row>
    <row r="203" spans="2:167" x14ac:dyDescent="0.2">
      <c r="B203" s="306" t="s">
        <v>61</v>
      </c>
      <c r="C203" s="19">
        <v>904492</v>
      </c>
      <c r="D203" s="19">
        <v>729965</v>
      </c>
      <c r="E203" s="19">
        <v>771731</v>
      </c>
      <c r="F203" s="19">
        <v>988017</v>
      </c>
      <c r="G203" s="19">
        <v>1475501.29</v>
      </c>
      <c r="H203" s="19">
        <v>1339337.49</v>
      </c>
      <c r="I203" s="19">
        <v>1352151.71</v>
      </c>
      <c r="J203" s="19">
        <v>1205338.44</v>
      </c>
      <c r="K203" s="19">
        <v>435676.67000000004</v>
      </c>
      <c r="L203" s="19">
        <v>1088990.6000000001</v>
      </c>
      <c r="M203" s="19">
        <v>1547131.79</v>
      </c>
      <c r="N203" s="19">
        <v>1739826.31</v>
      </c>
      <c r="O203" s="19">
        <v>2581065.4299999997</v>
      </c>
      <c r="P203" s="19">
        <v>1957960.28</v>
      </c>
      <c r="Q203" s="19">
        <v>2669461.67</v>
      </c>
      <c r="R203" s="19">
        <v>2609919.06</v>
      </c>
      <c r="S203" s="19">
        <v>2847952.95</v>
      </c>
      <c r="T203" s="19">
        <v>3426790.92</v>
      </c>
      <c r="U203" s="19">
        <v>2814047.72</v>
      </c>
      <c r="V203" s="19">
        <v>2896903.94</v>
      </c>
      <c r="W203" s="19">
        <v>2457669</v>
      </c>
      <c r="X203" s="19">
        <v>2624316</v>
      </c>
      <c r="Y203" s="19">
        <v>2814056.11</v>
      </c>
      <c r="Z203" s="19">
        <v>3030139.47</v>
      </c>
      <c r="AA203" s="19">
        <v>2631149</v>
      </c>
      <c r="AB203" s="19">
        <v>1937427.9799999997</v>
      </c>
      <c r="AC203" s="19">
        <v>1720771.48</v>
      </c>
      <c r="AD203" s="19">
        <v>2102023.87</v>
      </c>
      <c r="AE203" s="19">
        <v>2319658.9</v>
      </c>
      <c r="AF203" s="19">
        <v>2818755.39</v>
      </c>
      <c r="AG203" s="19">
        <v>2172316.3400000003</v>
      </c>
      <c r="AH203" s="19">
        <v>2505267.65</v>
      </c>
      <c r="AI203" s="19">
        <v>3241849.34</v>
      </c>
      <c r="AJ203" s="19">
        <v>2607186.1700000004</v>
      </c>
      <c r="AK203" s="19">
        <v>2461316.5800000005</v>
      </c>
      <c r="AL203" s="19">
        <v>3777484.71</v>
      </c>
      <c r="AM203" s="19">
        <v>4137241.5599999991</v>
      </c>
      <c r="AN203" s="19">
        <v>3746069</v>
      </c>
      <c r="AO203" s="19">
        <v>3086722.1300000013</v>
      </c>
      <c r="AP203" s="19">
        <v>3763261.9699999997</v>
      </c>
      <c r="AQ203" s="19">
        <v>4149928.2</v>
      </c>
      <c r="AR203" s="19">
        <v>3825018.06</v>
      </c>
      <c r="AS203" s="19">
        <v>4033032.9299999997</v>
      </c>
      <c r="AT203" s="19">
        <v>4571658.43</v>
      </c>
      <c r="AU203" s="19">
        <v>5279429.6800000006</v>
      </c>
      <c r="AV203" s="19">
        <v>4795612.3000000007</v>
      </c>
      <c r="AW203" s="19">
        <v>4730662.4999999991</v>
      </c>
      <c r="AX203" s="19">
        <v>6317789.4800000004</v>
      </c>
      <c r="AY203" s="19">
        <v>5897810.9705992499</v>
      </c>
      <c r="AZ203" s="19">
        <v>5014620</v>
      </c>
      <c r="BA203" s="19">
        <v>6341890</v>
      </c>
      <c r="BB203" s="19">
        <v>6188206</v>
      </c>
      <c r="BC203" s="19">
        <v>7428802</v>
      </c>
      <c r="BD203" s="19">
        <v>8516697</v>
      </c>
      <c r="BE203" s="19">
        <v>6598822</v>
      </c>
      <c r="BF203" s="19">
        <v>6359013</v>
      </c>
      <c r="BG203" s="19">
        <v>6819614.583333333</v>
      </c>
      <c r="BH203" s="19">
        <v>6335456</v>
      </c>
      <c r="BI203" s="19">
        <v>7878660</v>
      </c>
      <c r="BJ203" s="19">
        <v>7962869</v>
      </c>
      <c r="BK203" s="19">
        <v>6936907</v>
      </c>
      <c r="BL203" s="19">
        <v>7373603</v>
      </c>
      <c r="BM203" s="19">
        <v>7412508.4400000004</v>
      </c>
      <c r="BN203" s="19">
        <v>6765635.7445054939</v>
      </c>
      <c r="BO203" s="19">
        <v>6896077.7445054939</v>
      </c>
      <c r="BP203" s="19">
        <v>8130873</v>
      </c>
      <c r="BQ203" s="19">
        <v>8088480</v>
      </c>
      <c r="BR203" s="19">
        <v>7628644</v>
      </c>
      <c r="BS203" s="19">
        <v>6981424</v>
      </c>
      <c r="BT203" s="19">
        <v>6608703</v>
      </c>
      <c r="BU203" s="19">
        <v>5724089</v>
      </c>
      <c r="BV203" s="19">
        <v>6672943</v>
      </c>
      <c r="BW203" s="19">
        <v>6452088</v>
      </c>
      <c r="BX203" s="19">
        <v>7202291</v>
      </c>
      <c r="BY203" s="19">
        <v>7924371.4123206399</v>
      </c>
      <c r="BZ203" s="19">
        <v>7537011</v>
      </c>
      <c r="CA203" s="19">
        <v>7679340</v>
      </c>
      <c r="CB203" s="19">
        <v>7943855</v>
      </c>
      <c r="CC203" s="19">
        <v>8029457</v>
      </c>
      <c r="CD203" s="19">
        <v>8313237.8899999997</v>
      </c>
      <c r="CE203" s="19">
        <v>9956962.7599999998</v>
      </c>
      <c r="CF203" s="19">
        <v>9476715.5700000003</v>
      </c>
      <c r="CG203" s="19">
        <v>8927470.8000000007</v>
      </c>
      <c r="CH203" s="19">
        <v>9675528.6799999997</v>
      </c>
      <c r="CI203" s="19">
        <v>9703580</v>
      </c>
      <c r="CJ203" s="19">
        <v>9906124</v>
      </c>
      <c r="CK203" s="19">
        <v>9361555</v>
      </c>
      <c r="CL203" s="19">
        <v>9283990</v>
      </c>
      <c r="CM203" s="19">
        <v>10244688</v>
      </c>
      <c r="CN203" s="19">
        <v>9717865.6500000004</v>
      </c>
      <c r="CO203" s="19">
        <v>11304546</v>
      </c>
      <c r="CP203" s="19">
        <v>10135363</v>
      </c>
      <c r="CQ203" s="19">
        <v>9948337.0199999996</v>
      </c>
      <c r="CR203" s="19">
        <v>12269508.290000001</v>
      </c>
      <c r="CS203" s="19">
        <v>13795446.51</v>
      </c>
      <c r="CT203" s="19">
        <v>11035191.619999999</v>
      </c>
      <c r="CU203" s="19">
        <f t="shared" si="837"/>
        <v>11586951.200999999</v>
      </c>
      <c r="CV203" s="19">
        <f t="shared" si="820"/>
        <v>11586951.200999999</v>
      </c>
      <c r="CW203" s="19">
        <f t="shared" si="820"/>
        <v>11586951.200999999</v>
      </c>
      <c r="CX203" s="19">
        <f t="shared" si="820"/>
        <v>11586951.200999999</v>
      </c>
      <c r="CY203" s="19">
        <f t="shared" si="820"/>
        <v>11586951.200999999</v>
      </c>
      <c r="CZ203" s="19">
        <f t="shared" si="820"/>
        <v>11586951.200999999</v>
      </c>
      <c r="DA203" s="19">
        <f t="shared" si="820"/>
        <v>11586951.200999999</v>
      </c>
      <c r="DB203" s="19">
        <f t="shared" si="820"/>
        <v>11586951.200999999</v>
      </c>
      <c r="DC203" s="19">
        <f t="shared" si="820"/>
        <v>11586951.200999999</v>
      </c>
      <c r="DD203" s="19">
        <f t="shared" si="820"/>
        <v>11586951.200999999</v>
      </c>
      <c r="DE203" s="19">
        <f t="shared" si="820"/>
        <v>11586951.200999999</v>
      </c>
      <c r="DF203" s="19">
        <f t="shared" si="820"/>
        <v>11586951.200999999</v>
      </c>
      <c r="DG203" s="19">
        <f t="shared" si="820"/>
        <v>12166298.761049999</v>
      </c>
      <c r="DH203" s="19">
        <f t="shared" si="820"/>
        <v>12166298.761049999</v>
      </c>
      <c r="DI203" s="19">
        <f t="shared" si="820"/>
        <v>12166298.761049999</v>
      </c>
      <c r="DJ203" s="19">
        <f t="shared" si="820"/>
        <v>12166298.761049999</v>
      </c>
      <c r="DK203" s="19">
        <f t="shared" si="820"/>
        <v>12166298.761049999</v>
      </c>
      <c r="DL203" s="19">
        <f t="shared" si="820"/>
        <v>12166298.761049999</v>
      </c>
      <c r="DM203" s="19">
        <f t="shared" si="820"/>
        <v>12166298.761049999</v>
      </c>
      <c r="DN203" s="19">
        <f t="shared" si="820"/>
        <v>12166298.761049999</v>
      </c>
      <c r="DO203" s="19">
        <f t="shared" si="820"/>
        <v>12166298.761049999</v>
      </c>
      <c r="DP203" s="19">
        <f t="shared" si="820"/>
        <v>12166298.761049999</v>
      </c>
      <c r="DQ203" s="19">
        <f t="shared" si="820"/>
        <v>12166298.761049999</v>
      </c>
      <c r="DR203" s="19">
        <f t="shared" si="820"/>
        <v>12166298.761049999</v>
      </c>
      <c r="DS203" s="19">
        <f t="shared" si="821"/>
        <v>12774613.699102497</v>
      </c>
      <c r="DT203" s="19">
        <f t="shared" si="822"/>
        <v>12774613.699102497</v>
      </c>
      <c r="DU203" s="19">
        <f t="shared" si="823"/>
        <v>12774613.699102497</v>
      </c>
      <c r="DV203" s="19">
        <f t="shared" si="824"/>
        <v>12774613.699102497</v>
      </c>
      <c r="DW203" s="19">
        <f t="shared" si="825"/>
        <v>12774613.699102497</v>
      </c>
      <c r="DX203" s="19">
        <f t="shared" si="826"/>
        <v>12774613.699102497</v>
      </c>
      <c r="DY203" s="19">
        <f t="shared" si="827"/>
        <v>12774613.699102497</v>
      </c>
      <c r="DZ203" s="19">
        <f t="shared" si="828"/>
        <v>12774613.699102497</v>
      </c>
      <c r="EA203" s="19">
        <f t="shared" si="829"/>
        <v>12774613.699102497</v>
      </c>
      <c r="EB203" s="19">
        <f t="shared" si="830"/>
        <v>12774613.699102497</v>
      </c>
      <c r="EC203" s="19">
        <f t="shared" si="831"/>
        <v>12774613.699102497</v>
      </c>
      <c r="ED203" s="19">
        <f t="shared" si="832"/>
        <v>12774613.699102497</v>
      </c>
      <c r="EE203" s="222"/>
      <c r="EF203" s="19">
        <f t="shared" si="791"/>
        <v>21723018.440000001</v>
      </c>
      <c r="EG203" s="19">
        <f t="shared" si="792"/>
        <v>21792586.48901099</v>
      </c>
      <c r="EH203" s="19">
        <f t="shared" si="793"/>
        <v>22698548</v>
      </c>
      <c r="EI203" s="19">
        <f t="shared" si="794"/>
        <v>19005735</v>
      </c>
      <c r="EJ203" s="19">
        <f t="shared" si="795"/>
        <v>21578750.41232064</v>
      </c>
      <c r="EK203" s="19">
        <f t="shared" si="796"/>
        <v>23160206</v>
      </c>
      <c r="EL203" s="19">
        <f t="shared" si="797"/>
        <v>26299657.649999999</v>
      </c>
      <c r="EM203" s="19">
        <f t="shared" si="798"/>
        <v>28079715.050000001</v>
      </c>
      <c r="EN203" s="19">
        <f t="shared" si="799"/>
        <v>28971259</v>
      </c>
      <c r="EO203" s="19">
        <f t="shared" si="800"/>
        <v>29246543.649999999</v>
      </c>
      <c r="EP203" s="19">
        <f t="shared" si="801"/>
        <v>31388246.02</v>
      </c>
      <c r="EQ203" s="19">
        <f t="shared" si="802"/>
        <v>37100146.420000002</v>
      </c>
      <c r="ER203" s="19">
        <f t="shared" si="803"/>
        <v>34760853.603</v>
      </c>
      <c r="ES203" s="19">
        <f t="shared" si="804"/>
        <v>34760853.603</v>
      </c>
      <c r="ET203" s="19">
        <f t="shared" si="805"/>
        <v>34760853.603</v>
      </c>
      <c r="EU203" s="19">
        <f t="shared" si="806"/>
        <v>34760853.603</v>
      </c>
      <c r="EV203" s="19">
        <f t="shared" si="807"/>
        <v>36498896.283149995</v>
      </c>
      <c r="EW203" s="19">
        <f t="shared" si="808"/>
        <v>36498896.283149995</v>
      </c>
      <c r="EX203" s="19">
        <f t="shared" si="809"/>
        <v>36498896.283149995</v>
      </c>
      <c r="EY203" s="19">
        <f t="shared" si="810"/>
        <v>36498896.283149995</v>
      </c>
      <c r="EZ203" s="19">
        <f t="shared" si="833"/>
        <v>38323841.097307488</v>
      </c>
      <c r="FA203" s="19">
        <f t="shared" si="834"/>
        <v>38323841.097307488</v>
      </c>
      <c r="FB203" s="19">
        <f t="shared" si="835"/>
        <v>38323841.097307488</v>
      </c>
      <c r="FC203" s="19">
        <f t="shared" si="836"/>
        <v>38323841.097307488</v>
      </c>
      <c r="FE203" s="19">
        <f t="shared" si="815"/>
        <v>85219887.929010987</v>
      </c>
      <c r="FF203" s="19">
        <f t="shared" si="816"/>
        <v>99118329.112320647</v>
      </c>
      <c r="FG203" s="19">
        <f t="shared" si="817"/>
        <v>126706195.09</v>
      </c>
      <c r="FH203" s="19">
        <f t="shared" si="818"/>
        <v>139043414.412</v>
      </c>
      <c r="FI203" s="19">
        <f t="shared" si="819"/>
        <v>145995585.13259998</v>
      </c>
      <c r="FJ203" s="770">
        <f t="shared" si="784"/>
        <v>153295364.38922995</v>
      </c>
      <c r="FK203" s="545" t="s">
        <v>1</v>
      </c>
    </row>
    <row r="204" spans="2:167" x14ac:dyDescent="0.2">
      <c r="B204" s="306" t="s">
        <v>51</v>
      </c>
      <c r="C204" s="19">
        <v>156975</v>
      </c>
      <c r="D204" s="19">
        <v>328209</v>
      </c>
      <c r="E204" s="19">
        <v>438375</v>
      </c>
      <c r="F204" s="19">
        <v>430000</v>
      </c>
      <c r="G204" s="19">
        <v>654999.5</v>
      </c>
      <c r="H204" s="19">
        <v>94205.5</v>
      </c>
      <c r="I204" s="19">
        <v>905780.02</v>
      </c>
      <c r="J204" s="19">
        <v>518124.79999999999</v>
      </c>
      <c r="K204" s="19">
        <v>289759.32</v>
      </c>
      <c r="L204" s="19">
        <v>351224.53</v>
      </c>
      <c r="M204" s="19">
        <v>287660.55300000001</v>
      </c>
      <c r="N204" s="19">
        <v>944117.40499999991</v>
      </c>
      <c r="O204" s="19">
        <v>499531.57</v>
      </c>
      <c r="P204" s="19">
        <v>932412.66099999996</v>
      </c>
      <c r="Q204" s="19">
        <v>522307.21299999993</v>
      </c>
      <c r="R204" s="19">
        <v>781946</v>
      </c>
      <c r="S204" s="19">
        <v>802794</v>
      </c>
      <c r="T204" s="19">
        <v>832420.11999999988</v>
      </c>
      <c r="U204" s="19">
        <v>578135.16</v>
      </c>
      <c r="V204" s="19">
        <v>751423.13</v>
      </c>
      <c r="W204" s="19">
        <v>650683.94999999995</v>
      </c>
      <c r="X204" s="19">
        <v>712155</v>
      </c>
      <c r="Y204" s="19">
        <v>844568.66</v>
      </c>
      <c r="Z204" s="19">
        <v>581685.53</v>
      </c>
      <c r="AA204" s="19">
        <v>266664</v>
      </c>
      <c r="AB204" s="19">
        <v>279745</v>
      </c>
      <c r="AC204" s="19">
        <v>407725</v>
      </c>
      <c r="AD204" s="19">
        <v>367573</v>
      </c>
      <c r="AE204" s="19">
        <v>346107</v>
      </c>
      <c r="AF204" s="19">
        <v>327035</v>
      </c>
      <c r="AG204" s="19">
        <v>425760</v>
      </c>
      <c r="AH204" s="19">
        <v>363410</v>
      </c>
      <c r="AI204" s="19">
        <v>364557</v>
      </c>
      <c r="AJ204" s="19">
        <v>377316</v>
      </c>
      <c r="AK204" s="19">
        <v>302634.90000000002</v>
      </c>
      <c r="AL204" s="19">
        <v>469566</v>
      </c>
      <c r="AM204" s="19">
        <v>405396</v>
      </c>
      <c r="AN204" s="19">
        <v>286498.93</v>
      </c>
      <c r="AO204" s="19">
        <v>273500</v>
      </c>
      <c r="AP204" s="19">
        <v>487024</v>
      </c>
      <c r="AQ204" s="19">
        <v>520880</v>
      </c>
      <c r="AR204" s="19">
        <v>531680</v>
      </c>
      <c r="AS204" s="19">
        <v>424263</v>
      </c>
      <c r="AT204" s="19">
        <v>410711</v>
      </c>
      <c r="AU204" s="19">
        <v>415116</v>
      </c>
      <c r="AV204" s="19">
        <v>451004</v>
      </c>
      <c r="AW204" s="19">
        <v>724169</v>
      </c>
      <c r="AX204" s="19">
        <v>1456787</v>
      </c>
      <c r="AY204" s="19">
        <v>1208246</v>
      </c>
      <c r="AZ204" s="19">
        <v>1853504</v>
      </c>
      <c r="BA204" s="19">
        <v>1604913</v>
      </c>
      <c r="BB204" s="19">
        <v>2085792</v>
      </c>
      <c r="BC204" s="19">
        <v>2186357</v>
      </c>
      <c r="BD204" s="19">
        <v>1752662</v>
      </c>
      <c r="BE204" s="19">
        <v>1755706</v>
      </c>
      <c r="BF204" s="19">
        <v>1399877.72</v>
      </c>
      <c r="BG204" s="19">
        <v>823562</v>
      </c>
      <c r="BH204" s="19">
        <v>1263467.6299999999</v>
      </c>
      <c r="BI204" s="19">
        <v>739894.05</v>
      </c>
      <c r="BJ204" s="19">
        <v>870451</v>
      </c>
      <c r="BK204" s="19">
        <v>649376</v>
      </c>
      <c r="BL204" s="19">
        <v>426441</v>
      </c>
      <c r="BM204" s="19">
        <v>326721</v>
      </c>
      <c r="BN204" s="19">
        <v>471079</v>
      </c>
      <c r="BO204" s="19">
        <v>550271</v>
      </c>
      <c r="BP204" s="19">
        <v>656435.67000000004</v>
      </c>
      <c r="BQ204" s="19">
        <v>881392</v>
      </c>
      <c r="BR204" s="19">
        <v>878491.31</v>
      </c>
      <c r="BS204" s="19">
        <v>852400</v>
      </c>
      <c r="BT204" s="19">
        <v>1290944</v>
      </c>
      <c r="BU204" s="19">
        <v>750169</v>
      </c>
      <c r="BV204" s="19">
        <v>880223</v>
      </c>
      <c r="BW204" s="19">
        <v>408775</v>
      </c>
      <c r="BX204" s="19">
        <v>700801.73</v>
      </c>
      <c r="BY204" s="19">
        <v>829918</v>
      </c>
      <c r="BZ204" s="19">
        <v>508193</v>
      </c>
      <c r="CA204" s="19">
        <v>904702</v>
      </c>
      <c r="CB204" s="19">
        <v>562550</v>
      </c>
      <c r="CC204" s="19">
        <v>1096238</v>
      </c>
      <c r="CD204" s="19">
        <v>639181</v>
      </c>
      <c r="CE204" s="19">
        <v>959131</v>
      </c>
      <c r="CF204" s="19">
        <v>1130217</v>
      </c>
      <c r="CG204" s="19">
        <v>1714315</v>
      </c>
      <c r="CH204" s="19">
        <v>838840</v>
      </c>
      <c r="CI204" s="19">
        <v>1476825</v>
      </c>
      <c r="CJ204" s="19">
        <v>1798597</v>
      </c>
      <c r="CK204" s="19">
        <v>1237199</v>
      </c>
      <c r="CL204" s="19">
        <v>1272153</v>
      </c>
      <c r="CM204" s="19">
        <v>1596495.4111111099</v>
      </c>
      <c r="CN204" s="19">
        <v>1667517.324</v>
      </c>
      <c r="CO204" s="19">
        <v>2695694.36</v>
      </c>
      <c r="CP204" s="19">
        <v>1647405.72</v>
      </c>
      <c r="CQ204" s="19">
        <v>1919321</v>
      </c>
      <c r="CR204" s="19">
        <v>2294239.5</v>
      </c>
      <c r="CS204" s="19">
        <v>1455491.03</v>
      </c>
      <c r="CT204" s="19">
        <v>1585720.63</v>
      </c>
      <c r="CU204" s="19">
        <f t="shared" si="837"/>
        <v>1665006.6614999997</v>
      </c>
      <c r="CV204" s="19">
        <f t="shared" si="820"/>
        <v>1665006.6614999997</v>
      </c>
      <c r="CW204" s="19">
        <f t="shared" si="820"/>
        <v>1665006.6614999997</v>
      </c>
      <c r="CX204" s="19">
        <f t="shared" si="820"/>
        <v>1665006.6614999997</v>
      </c>
      <c r="CY204" s="19">
        <f t="shared" si="820"/>
        <v>1665006.6614999997</v>
      </c>
      <c r="CZ204" s="19">
        <f t="shared" si="820"/>
        <v>1665006.6614999997</v>
      </c>
      <c r="DA204" s="19">
        <f t="shared" si="820"/>
        <v>1665006.6614999997</v>
      </c>
      <c r="DB204" s="19">
        <f t="shared" si="820"/>
        <v>1665006.6614999997</v>
      </c>
      <c r="DC204" s="19">
        <f t="shared" si="820"/>
        <v>1665006.6614999997</v>
      </c>
      <c r="DD204" s="19">
        <f t="shared" si="820"/>
        <v>1665006.6614999997</v>
      </c>
      <c r="DE204" s="19">
        <f t="shared" si="820"/>
        <v>1665006.6614999997</v>
      </c>
      <c r="DF204" s="19">
        <f t="shared" si="820"/>
        <v>1665006.6614999997</v>
      </c>
      <c r="DG204" s="19">
        <f t="shared" si="820"/>
        <v>1748256.9945749997</v>
      </c>
      <c r="DH204" s="19">
        <f t="shared" si="820"/>
        <v>1748256.9945749997</v>
      </c>
      <c r="DI204" s="19">
        <f t="shared" si="820"/>
        <v>1748256.9945749997</v>
      </c>
      <c r="DJ204" s="19">
        <f t="shared" si="820"/>
        <v>1748256.9945749997</v>
      </c>
      <c r="DK204" s="19">
        <f t="shared" si="820"/>
        <v>1748256.9945749997</v>
      </c>
      <c r="DL204" s="19">
        <f t="shared" si="820"/>
        <v>1748256.9945749997</v>
      </c>
      <c r="DM204" s="19">
        <f t="shared" si="820"/>
        <v>1748256.9945749997</v>
      </c>
      <c r="DN204" s="19">
        <f t="shared" si="820"/>
        <v>1748256.9945749997</v>
      </c>
      <c r="DO204" s="19">
        <f t="shared" si="820"/>
        <v>1748256.9945749997</v>
      </c>
      <c r="DP204" s="19">
        <f t="shared" si="820"/>
        <v>1748256.9945749997</v>
      </c>
      <c r="DQ204" s="19">
        <f t="shared" si="820"/>
        <v>1748256.9945749997</v>
      </c>
      <c r="DR204" s="19">
        <f t="shared" si="820"/>
        <v>1748256.9945749997</v>
      </c>
      <c r="DS204" s="19">
        <f t="shared" si="821"/>
        <v>1835669.8443037497</v>
      </c>
      <c r="DT204" s="19">
        <f t="shared" si="822"/>
        <v>1835669.8443037497</v>
      </c>
      <c r="DU204" s="19">
        <f t="shared" si="823"/>
        <v>1835669.8443037497</v>
      </c>
      <c r="DV204" s="19">
        <f t="shared" si="824"/>
        <v>1835669.8443037497</v>
      </c>
      <c r="DW204" s="19">
        <f t="shared" si="825"/>
        <v>1835669.8443037497</v>
      </c>
      <c r="DX204" s="19">
        <f t="shared" si="826"/>
        <v>1835669.8443037497</v>
      </c>
      <c r="DY204" s="19">
        <f t="shared" si="827"/>
        <v>1835669.8443037497</v>
      </c>
      <c r="DZ204" s="19">
        <f t="shared" si="828"/>
        <v>1835669.8443037497</v>
      </c>
      <c r="EA204" s="19">
        <f t="shared" si="829"/>
        <v>1835669.8443037497</v>
      </c>
      <c r="EB204" s="19">
        <f t="shared" si="830"/>
        <v>1835669.8443037497</v>
      </c>
      <c r="EC204" s="19">
        <f t="shared" si="831"/>
        <v>1835669.8443037497</v>
      </c>
      <c r="ED204" s="19">
        <f t="shared" si="832"/>
        <v>1835669.8443037497</v>
      </c>
      <c r="EE204" s="222"/>
      <c r="EF204" s="19">
        <f t="shared" si="791"/>
        <v>1402538</v>
      </c>
      <c r="EG204" s="19">
        <f t="shared" si="792"/>
        <v>1677785.67</v>
      </c>
      <c r="EH204" s="19">
        <f t="shared" si="793"/>
        <v>2612283.31</v>
      </c>
      <c r="EI204" s="19">
        <f t="shared" si="794"/>
        <v>2921336</v>
      </c>
      <c r="EJ204" s="19">
        <f t="shared" si="795"/>
        <v>1939494.73</v>
      </c>
      <c r="EK204" s="19">
        <f t="shared" si="796"/>
        <v>1975445</v>
      </c>
      <c r="EL204" s="19">
        <f t="shared" si="797"/>
        <v>2694550</v>
      </c>
      <c r="EM204" s="19">
        <f t="shared" si="798"/>
        <v>3683372</v>
      </c>
      <c r="EN204" s="19">
        <f t="shared" si="799"/>
        <v>4512621</v>
      </c>
      <c r="EO204" s="19">
        <f t="shared" si="800"/>
        <v>4536165.7351111099</v>
      </c>
      <c r="EP204" s="19">
        <f t="shared" si="801"/>
        <v>6262421.0800000001</v>
      </c>
      <c r="EQ204" s="19">
        <f t="shared" si="802"/>
        <v>5335451.16</v>
      </c>
      <c r="ER204" s="19">
        <f t="shared" si="803"/>
        <v>4995019.9844999993</v>
      </c>
      <c r="ES204" s="19">
        <f t="shared" si="804"/>
        <v>4995019.9844999993</v>
      </c>
      <c r="ET204" s="19">
        <f t="shared" si="805"/>
        <v>4995019.9844999993</v>
      </c>
      <c r="EU204" s="19">
        <f t="shared" si="806"/>
        <v>4995019.9844999993</v>
      </c>
      <c r="EV204" s="19">
        <f t="shared" si="807"/>
        <v>5244770.9837249992</v>
      </c>
      <c r="EW204" s="19">
        <f t="shared" si="808"/>
        <v>5244770.9837249992</v>
      </c>
      <c r="EX204" s="19">
        <f t="shared" si="809"/>
        <v>5244770.9837249992</v>
      </c>
      <c r="EY204" s="19">
        <f t="shared" si="810"/>
        <v>5244770.9837249992</v>
      </c>
      <c r="EZ204" s="19">
        <f t="shared" si="833"/>
        <v>5507009.5329112494</v>
      </c>
      <c r="FA204" s="19">
        <f t="shared" si="834"/>
        <v>5507009.5329112494</v>
      </c>
      <c r="FB204" s="19">
        <f t="shared" si="835"/>
        <v>5507009.5329112494</v>
      </c>
      <c r="FC204" s="19">
        <f t="shared" si="836"/>
        <v>5507009.5329112494</v>
      </c>
      <c r="FE204" s="19">
        <f t="shared" si="815"/>
        <v>8613942.9800000004</v>
      </c>
      <c r="FF204" s="19">
        <f t="shared" si="816"/>
        <v>10292861.73</v>
      </c>
      <c r="FG204" s="19">
        <f t="shared" si="817"/>
        <v>20646658.975111112</v>
      </c>
      <c r="FH204" s="19">
        <f t="shared" si="818"/>
        <v>19980079.937999997</v>
      </c>
      <c r="FI204" s="19">
        <f t="shared" si="819"/>
        <v>20979083.934899997</v>
      </c>
      <c r="FJ204" s="770">
        <f t="shared" si="784"/>
        <v>22028038.131644998</v>
      </c>
      <c r="FK204" s="545" t="s">
        <v>1</v>
      </c>
    </row>
    <row r="205" spans="2:167" x14ac:dyDescent="0.2">
      <c r="B205" s="306" t="s">
        <v>328</v>
      </c>
      <c r="C205" s="19">
        <v>1326693</v>
      </c>
      <c r="D205" s="19">
        <v>1379816</v>
      </c>
      <c r="E205" s="19">
        <v>1309835</v>
      </c>
      <c r="F205" s="19">
        <v>1966565</v>
      </c>
      <c r="G205" s="19">
        <v>1996360.29</v>
      </c>
      <c r="H205" s="19">
        <v>2087714.63</v>
      </c>
      <c r="I205" s="19">
        <v>1923930.31</v>
      </c>
      <c r="J205" s="19">
        <v>2639667.8600000003</v>
      </c>
      <c r="K205" s="19">
        <v>358784.95699999999</v>
      </c>
      <c r="L205" s="19">
        <v>246718.405</v>
      </c>
      <c r="M205" s="19">
        <v>157100.345</v>
      </c>
      <c r="N205" s="19">
        <v>312452.30300000001</v>
      </c>
      <c r="O205" s="19">
        <v>261383.92199999999</v>
      </c>
      <c r="P205" s="19">
        <v>494491.076</v>
      </c>
      <c r="Q205" s="19">
        <v>454380.87900000002</v>
      </c>
      <c r="R205" s="19">
        <v>343078</v>
      </c>
      <c r="S205" s="19">
        <v>353985.54000000004</v>
      </c>
      <c r="T205" s="19">
        <v>342780</v>
      </c>
      <c r="U205" s="19">
        <v>1439282</v>
      </c>
      <c r="V205" s="19">
        <v>285170</v>
      </c>
      <c r="W205" s="19">
        <v>333345.14</v>
      </c>
      <c r="X205" s="19">
        <v>260595</v>
      </c>
      <c r="Y205" s="19">
        <v>411870.5</v>
      </c>
      <c r="Z205" s="19">
        <v>358442.69</v>
      </c>
      <c r="AA205" s="19">
        <v>2470.0700000000002</v>
      </c>
      <c r="AB205" s="19">
        <v>32959.660000000003</v>
      </c>
      <c r="AC205" s="19">
        <v>98989.06</v>
      </c>
      <c r="AD205" s="19">
        <v>61200.49</v>
      </c>
      <c r="AE205" s="19">
        <v>24491.97</v>
      </c>
      <c r="AF205" s="19">
        <v>19578.129999999997</v>
      </c>
      <c r="AG205" s="19">
        <v>31858.66</v>
      </c>
      <c r="AH205" s="19">
        <v>901511</v>
      </c>
      <c r="AI205" s="19">
        <v>293688.19</v>
      </c>
      <c r="AJ205" s="19">
        <v>148162</v>
      </c>
      <c r="AK205" s="19">
        <v>496807.55</v>
      </c>
      <c r="AL205" s="19">
        <v>306027</v>
      </c>
      <c r="AM205" s="19">
        <v>26122.26</v>
      </c>
      <c r="AN205" s="19">
        <v>65131</v>
      </c>
      <c r="AO205" s="19">
        <v>31385.18</v>
      </c>
      <c r="AP205" s="19">
        <v>53775</v>
      </c>
      <c r="AQ205" s="19">
        <v>33234</v>
      </c>
      <c r="AR205" s="19">
        <v>237688</v>
      </c>
      <c r="AS205" s="19">
        <v>80281</v>
      </c>
      <c r="AT205" s="19">
        <v>1239887</v>
      </c>
      <c r="AU205" s="19">
        <v>390901</v>
      </c>
      <c r="AV205" s="19">
        <v>441044</v>
      </c>
      <c r="AW205" s="19">
        <v>117242</v>
      </c>
      <c r="AX205" s="19">
        <v>527059</v>
      </c>
      <c r="AY205" s="19">
        <v>513002</v>
      </c>
      <c r="AZ205" s="19">
        <v>482712.5</v>
      </c>
      <c r="BA205" s="19">
        <v>566869</v>
      </c>
      <c r="BB205" s="19">
        <v>968377.39</v>
      </c>
      <c r="BC205" s="19">
        <v>426237</v>
      </c>
      <c r="BD205" s="19">
        <v>577963</v>
      </c>
      <c r="BE205" s="19">
        <v>2466376</v>
      </c>
      <c r="BF205" s="19">
        <v>935095.24</v>
      </c>
      <c r="BG205" s="19">
        <v>482673</v>
      </c>
      <c r="BH205" s="19">
        <v>713413</v>
      </c>
      <c r="BI205" s="19">
        <v>202928</v>
      </c>
      <c r="BJ205" s="19">
        <v>391713.13</v>
      </c>
      <c r="BK205" s="19">
        <v>476961</v>
      </c>
      <c r="BL205" s="19">
        <v>830923</v>
      </c>
      <c r="BM205" s="19">
        <v>425153</v>
      </c>
      <c r="BN205" s="19">
        <v>298398</v>
      </c>
      <c r="BO205" s="19">
        <v>292154</v>
      </c>
      <c r="BP205" s="19">
        <v>162834.14000000001</v>
      </c>
      <c r="BQ205" s="19">
        <v>1269760</v>
      </c>
      <c r="BR205" s="19">
        <v>1509787</v>
      </c>
      <c r="BS205" s="19">
        <v>551611.43999999994</v>
      </c>
      <c r="BT205" s="19">
        <v>505623</v>
      </c>
      <c r="BU205" s="19">
        <v>846549</v>
      </c>
      <c r="BV205" s="19">
        <v>1209436.1299999999</v>
      </c>
      <c r="BW205" s="19">
        <v>134988</v>
      </c>
      <c r="BX205" s="19">
        <v>730869</v>
      </c>
      <c r="BY205" s="19">
        <v>548201</v>
      </c>
      <c r="BZ205" s="19">
        <v>347483</v>
      </c>
      <c r="CA205" s="19">
        <v>405920</v>
      </c>
      <c r="CB205" s="19">
        <v>279534</v>
      </c>
      <c r="CC205" s="19">
        <v>2605360.1</v>
      </c>
      <c r="CD205" s="19">
        <v>1428742</v>
      </c>
      <c r="CE205" s="19">
        <v>492292</v>
      </c>
      <c r="CF205" s="19">
        <v>838902</v>
      </c>
      <c r="CG205" s="19">
        <v>766358</v>
      </c>
      <c r="CH205" s="19">
        <v>381729</v>
      </c>
      <c r="CI205" s="19">
        <v>2355163</v>
      </c>
      <c r="CJ205" s="19">
        <v>1284907</v>
      </c>
      <c r="CK205" s="19">
        <v>1400409</v>
      </c>
      <c r="CL205" s="19">
        <v>991688.87999999989</v>
      </c>
      <c r="CM205" s="19">
        <v>1048954.26</v>
      </c>
      <c r="CN205" s="19">
        <v>1289399.81</v>
      </c>
      <c r="CO205" s="19">
        <v>4562791</v>
      </c>
      <c r="CP205" s="19">
        <v>1716328.26</v>
      </c>
      <c r="CQ205" s="19">
        <v>1453345</v>
      </c>
      <c r="CR205" s="19">
        <v>1417436.8200000003</v>
      </c>
      <c r="CS205" s="19">
        <v>950795.12</v>
      </c>
      <c r="CT205" s="19">
        <v>1640449</v>
      </c>
      <c r="CU205" s="19">
        <f t="shared" si="837"/>
        <v>1722471.45</v>
      </c>
      <c r="CV205" s="19">
        <f t="shared" si="820"/>
        <v>1722471.45</v>
      </c>
      <c r="CW205" s="19">
        <f t="shared" si="820"/>
        <v>1722471.45</v>
      </c>
      <c r="CX205" s="19">
        <f t="shared" si="820"/>
        <v>1722471.45</v>
      </c>
      <c r="CY205" s="19">
        <f t="shared" si="820"/>
        <v>1722471.45</v>
      </c>
      <c r="CZ205" s="19">
        <f t="shared" si="820"/>
        <v>1722471.45</v>
      </c>
      <c r="DA205" s="19">
        <f t="shared" si="820"/>
        <v>1722471.45</v>
      </c>
      <c r="DB205" s="19">
        <f t="shared" si="820"/>
        <v>1722471.45</v>
      </c>
      <c r="DC205" s="19">
        <f t="shared" si="820"/>
        <v>1722471.45</v>
      </c>
      <c r="DD205" s="19">
        <f t="shared" si="820"/>
        <v>1722471.45</v>
      </c>
      <c r="DE205" s="19">
        <f t="shared" si="820"/>
        <v>1722471.45</v>
      </c>
      <c r="DF205" s="19">
        <f t="shared" si="820"/>
        <v>1722471.45</v>
      </c>
      <c r="DG205" s="19">
        <f t="shared" si="820"/>
        <v>1808595.0224999997</v>
      </c>
      <c r="DH205" s="19">
        <f t="shared" si="820"/>
        <v>1808595.0224999997</v>
      </c>
      <c r="DI205" s="19">
        <f t="shared" si="820"/>
        <v>1808595.0224999997</v>
      </c>
      <c r="DJ205" s="19">
        <f t="shared" si="820"/>
        <v>1808595.0224999997</v>
      </c>
      <c r="DK205" s="19">
        <f t="shared" si="820"/>
        <v>1808595.0224999997</v>
      </c>
      <c r="DL205" s="19">
        <f t="shared" si="820"/>
        <v>1808595.0224999997</v>
      </c>
      <c r="DM205" s="19">
        <f t="shared" si="820"/>
        <v>1808595.0224999997</v>
      </c>
      <c r="DN205" s="19">
        <f t="shared" si="820"/>
        <v>1808595.0224999997</v>
      </c>
      <c r="DO205" s="19">
        <f t="shared" si="820"/>
        <v>1808595.0224999997</v>
      </c>
      <c r="DP205" s="19">
        <f t="shared" si="820"/>
        <v>1808595.0224999997</v>
      </c>
      <c r="DQ205" s="19">
        <f t="shared" si="820"/>
        <v>1808595.0224999997</v>
      </c>
      <c r="DR205" s="19">
        <f t="shared" si="820"/>
        <v>1808595.0224999997</v>
      </c>
      <c r="DS205" s="19">
        <f t="shared" si="821"/>
        <v>1899024.7736249997</v>
      </c>
      <c r="DT205" s="19">
        <f t="shared" si="822"/>
        <v>1899024.7736249997</v>
      </c>
      <c r="DU205" s="19">
        <f t="shared" si="823"/>
        <v>1899024.7736249997</v>
      </c>
      <c r="DV205" s="19">
        <f t="shared" si="824"/>
        <v>1899024.7736249997</v>
      </c>
      <c r="DW205" s="19">
        <f t="shared" si="825"/>
        <v>1899024.7736249997</v>
      </c>
      <c r="DX205" s="19">
        <f t="shared" si="826"/>
        <v>1899024.7736249997</v>
      </c>
      <c r="DY205" s="19">
        <f t="shared" si="827"/>
        <v>1899024.7736249997</v>
      </c>
      <c r="DZ205" s="19">
        <f t="shared" si="828"/>
        <v>1899024.7736249997</v>
      </c>
      <c r="EA205" s="19">
        <f t="shared" si="829"/>
        <v>1899024.7736249997</v>
      </c>
      <c r="EB205" s="19">
        <f t="shared" si="830"/>
        <v>1899024.7736249997</v>
      </c>
      <c r="EC205" s="19">
        <f t="shared" si="831"/>
        <v>1899024.7736249997</v>
      </c>
      <c r="ED205" s="19">
        <f t="shared" si="832"/>
        <v>1899024.7736249997</v>
      </c>
      <c r="EE205" s="222"/>
      <c r="EF205" s="19">
        <f t="shared" si="791"/>
        <v>1733037</v>
      </c>
      <c r="EG205" s="19">
        <f t="shared" si="792"/>
        <v>753386.14</v>
      </c>
      <c r="EH205" s="19">
        <f t="shared" si="793"/>
        <v>3331158.44</v>
      </c>
      <c r="EI205" s="19">
        <f t="shared" si="794"/>
        <v>2561608.13</v>
      </c>
      <c r="EJ205" s="19">
        <f t="shared" si="795"/>
        <v>1414058</v>
      </c>
      <c r="EK205" s="19">
        <f t="shared" si="796"/>
        <v>1032937</v>
      </c>
      <c r="EL205" s="19">
        <f t="shared" si="797"/>
        <v>4526394.0999999996</v>
      </c>
      <c r="EM205" s="19">
        <f t="shared" si="798"/>
        <v>1986989</v>
      </c>
      <c r="EN205" s="19">
        <f t="shared" si="799"/>
        <v>5040479</v>
      </c>
      <c r="EO205" s="19">
        <f t="shared" si="800"/>
        <v>3330042.95</v>
      </c>
      <c r="EP205" s="19">
        <f t="shared" si="801"/>
        <v>7732464.2599999998</v>
      </c>
      <c r="EQ205" s="19">
        <f t="shared" si="802"/>
        <v>4008680.9400000004</v>
      </c>
      <c r="ER205" s="19">
        <f t="shared" si="803"/>
        <v>5167414.3499999996</v>
      </c>
      <c r="ES205" s="19">
        <f t="shared" si="804"/>
        <v>5167414.3499999996</v>
      </c>
      <c r="ET205" s="19">
        <f t="shared" si="805"/>
        <v>5167414.3499999996</v>
      </c>
      <c r="EU205" s="19">
        <f t="shared" si="806"/>
        <v>5167414.3499999996</v>
      </c>
      <c r="EV205" s="19">
        <f t="shared" si="807"/>
        <v>5425785.067499999</v>
      </c>
      <c r="EW205" s="19">
        <f t="shared" si="808"/>
        <v>5425785.067499999</v>
      </c>
      <c r="EX205" s="19">
        <f t="shared" si="809"/>
        <v>5425785.067499999</v>
      </c>
      <c r="EY205" s="19">
        <f t="shared" si="810"/>
        <v>5425785.067499999</v>
      </c>
      <c r="EZ205" s="19">
        <f t="shared" si="833"/>
        <v>5697074.3208749993</v>
      </c>
      <c r="FA205" s="19">
        <f t="shared" si="834"/>
        <v>5697074.3208749993</v>
      </c>
      <c r="FB205" s="19">
        <f t="shared" si="835"/>
        <v>5697074.3208749993</v>
      </c>
      <c r="FC205" s="19">
        <f t="shared" si="836"/>
        <v>5697074.3208749993</v>
      </c>
      <c r="FE205" s="19">
        <f t="shared" si="815"/>
        <v>8379189.71</v>
      </c>
      <c r="FF205" s="19">
        <f t="shared" si="816"/>
        <v>8960378.0999999996</v>
      </c>
      <c r="FG205" s="19">
        <f t="shared" si="817"/>
        <v>20111667.150000002</v>
      </c>
      <c r="FH205" s="19">
        <f t="shared" si="818"/>
        <v>20669657.399999999</v>
      </c>
      <c r="FI205" s="19">
        <f t="shared" si="819"/>
        <v>21703140.269999996</v>
      </c>
      <c r="FJ205" s="770">
        <f t="shared" si="784"/>
        <v>22788297.283499997</v>
      </c>
      <c r="FK205" s="545" t="s">
        <v>1</v>
      </c>
    </row>
    <row r="206" spans="2:167" x14ac:dyDescent="0.2">
      <c r="B206" s="306" t="s">
        <v>329</v>
      </c>
      <c r="C206" s="19">
        <v>1535987</v>
      </c>
      <c r="D206" s="19">
        <v>195400</v>
      </c>
      <c r="E206" s="19">
        <v>2626143</v>
      </c>
      <c r="F206" s="19">
        <v>96258</v>
      </c>
      <c r="G206" s="19">
        <v>1173721.25</v>
      </c>
      <c r="H206" s="19">
        <v>335927.75</v>
      </c>
      <c r="I206" s="19">
        <v>693378.75</v>
      </c>
      <c r="J206" s="19">
        <v>200000</v>
      </c>
      <c r="K206" s="19">
        <v>92540</v>
      </c>
      <c r="L206" s="19">
        <v>255975</v>
      </c>
      <c r="M206" s="19">
        <v>349500</v>
      </c>
      <c r="N206" s="19">
        <v>482039</v>
      </c>
      <c r="O206" s="19">
        <v>380572</v>
      </c>
      <c r="P206" s="19">
        <v>937369</v>
      </c>
      <c r="Q206" s="19">
        <v>958880.89999999991</v>
      </c>
      <c r="R206" s="19">
        <v>903000</v>
      </c>
      <c r="S206" s="19">
        <v>283204</v>
      </c>
      <c r="T206" s="19">
        <v>380500</v>
      </c>
      <c r="U206" s="19">
        <v>359802</v>
      </c>
      <c r="V206" s="19">
        <v>675586</v>
      </c>
      <c r="W206" s="19">
        <v>1088463</v>
      </c>
      <c r="X206" s="19">
        <v>725645</v>
      </c>
      <c r="Y206" s="19">
        <v>1119333</v>
      </c>
      <c r="Z206" s="19">
        <v>835023</v>
      </c>
      <c r="AA206" s="19">
        <v>350533</v>
      </c>
      <c r="AB206" s="19">
        <v>334999.67</v>
      </c>
      <c r="AC206" s="19">
        <v>506165.33</v>
      </c>
      <c r="AD206" s="19">
        <v>444166</v>
      </c>
      <c r="AE206" s="19">
        <v>307666</v>
      </c>
      <c r="AF206" s="19">
        <v>391666</v>
      </c>
      <c r="AG206" s="19">
        <v>289916</v>
      </c>
      <c r="AH206" s="19">
        <v>263083</v>
      </c>
      <c r="AI206" s="19">
        <v>267333</v>
      </c>
      <c r="AJ206" s="19">
        <v>377833</v>
      </c>
      <c r="AK206" s="19">
        <v>354733</v>
      </c>
      <c r="AL206" s="19">
        <v>615507</v>
      </c>
      <c r="AM206" s="19">
        <v>275333</v>
      </c>
      <c r="AN206" s="19">
        <v>622083</v>
      </c>
      <c r="AO206" s="19">
        <v>415000</v>
      </c>
      <c r="AP206" s="19">
        <v>560695</v>
      </c>
      <c r="AQ206" s="19">
        <v>821968</v>
      </c>
      <c r="AR206" s="19">
        <v>450519.72</v>
      </c>
      <c r="AS206" s="19">
        <v>605042</v>
      </c>
      <c r="AT206" s="19">
        <v>549100</v>
      </c>
      <c r="AU206" s="19">
        <v>1171367</v>
      </c>
      <c r="AV206" s="19">
        <v>1863406</v>
      </c>
      <c r="AW206" s="19">
        <v>833400</v>
      </c>
      <c r="AX206" s="19">
        <v>935454</v>
      </c>
      <c r="AY206" s="19">
        <v>401541</v>
      </c>
      <c r="AZ206" s="19">
        <v>464629</v>
      </c>
      <c r="BA206" s="19">
        <v>573405</v>
      </c>
      <c r="BB206" s="19">
        <v>1266119.6399999997</v>
      </c>
      <c r="BC206" s="19">
        <v>471179</v>
      </c>
      <c r="BD206" s="19">
        <v>1467000</v>
      </c>
      <c r="BE206" s="19">
        <v>785500</v>
      </c>
      <c r="BF206" s="19">
        <v>320040</v>
      </c>
      <c r="BG206" s="19">
        <v>435000</v>
      </c>
      <c r="BH206" s="19">
        <v>406961</v>
      </c>
      <c r="BI206" s="19">
        <v>1340500</v>
      </c>
      <c r="BJ206" s="19">
        <v>1199086</v>
      </c>
      <c r="BK206" s="19">
        <v>778725</v>
      </c>
      <c r="BL206" s="19">
        <v>999500</v>
      </c>
      <c r="BM206" s="19">
        <v>1165350</v>
      </c>
      <c r="BN206" s="19">
        <v>1195200</v>
      </c>
      <c r="BO206" s="19">
        <v>1263700</v>
      </c>
      <c r="BP206" s="19">
        <v>1104500</v>
      </c>
      <c r="BQ206" s="19">
        <v>1252500</v>
      </c>
      <c r="BR206" s="19">
        <v>1149479</v>
      </c>
      <c r="BS206" s="19">
        <v>1203153</v>
      </c>
      <c r="BT206" s="19">
        <v>815181</v>
      </c>
      <c r="BU206" s="19">
        <v>669350</v>
      </c>
      <c r="BV206" s="19">
        <v>860693</v>
      </c>
      <c r="BW206" s="19">
        <v>1019500</v>
      </c>
      <c r="BX206" s="19">
        <v>1226675</v>
      </c>
      <c r="BY206" s="19">
        <v>907172</v>
      </c>
      <c r="BZ206" s="19">
        <v>1156212</v>
      </c>
      <c r="CA206" s="19">
        <v>1326522</v>
      </c>
      <c r="CB206" s="19">
        <v>1071500</v>
      </c>
      <c r="CC206" s="19">
        <v>1784737</v>
      </c>
      <c r="CD206" s="19">
        <v>1801391</v>
      </c>
      <c r="CE206" s="19">
        <v>1681910</v>
      </c>
      <c r="CF206" s="19">
        <v>2216012</v>
      </c>
      <c r="CG206" s="19">
        <v>1788859</v>
      </c>
      <c r="CH206" s="19">
        <v>1488295</v>
      </c>
      <c r="CI206" s="19">
        <v>1138092</v>
      </c>
      <c r="CJ206" s="19">
        <v>1581837</v>
      </c>
      <c r="CK206" s="19">
        <v>1681920</v>
      </c>
      <c r="CL206" s="19">
        <v>1352478</v>
      </c>
      <c r="CM206" s="19">
        <v>1200077.27</v>
      </c>
      <c r="CN206" s="19">
        <v>2691267</v>
      </c>
      <c r="CO206" s="19">
        <v>1413566</v>
      </c>
      <c r="CP206" s="19">
        <v>2020063</v>
      </c>
      <c r="CQ206" s="19">
        <v>3166864</v>
      </c>
      <c r="CR206" s="19">
        <v>2952646</v>
      </c>
      <c r="CS206" s="19">
        <v>2848870.05</v>
      </c>
      <c r="CT206" s="19">
        <v>2437922.73</v>
      </c>
      <c r="CU206" s="19">
        <f t="shared" si="837"/>
        <v>2559818.8665</v>
      </c>
      <c r="CV206" s="19">
        <f t="shared" si="820"/>
        <v>2559818.8665</v>
      </c>
      <c r="CW206" s="19">
        <f t="shared" si="820"/>
        <v>2559818.8665</v>
      </c>
      <c r="CX206" s="19">
        <f t="shared" si="820"/>
        <v>2559818.8665</v>
      </c>
      <c r="CY206" s="19">
        <f t="shared" si="820"/>
        <v>2559818.8665</v>
      </c>
      <c r="CZ206" s="19">
        <f t="shared" si="820"/>
        <v>2559818.8665</v>
      </c>
      <c r="DA206" s="19">
        <f t="shared" si="820"/>
        <v>2559818.8665</v>
      </c>
      <c r="DB206" s="19">
        <f t="shared" si="820"/>
        <v>2559818.8665</v>
      </c>
      <c r="DC206" s="19">
        <f t="shared" si="820"/>
        <v>2559818.8665</v>
      </c>
      <c r="DD206" s="19">
        <f t="shared" si="820"/>
        <v>2559818.8665</v>
      </c>
      <c r="DE206" s="19">
        <f t="shared" si="820"/>
        <v>2559818.8665</v>
      </c>
      <c r="DF206" s="19">
        <f t="shared" si="820"/>
        <v>2559818.8665</v>
      </c>
      <c r="DG206" s="19">
        <f t="shared" si="820"/>
        <v>2687809.8098249999</v>
      </c>
      <c r="DH206" s="19">
        <f t="shared" si="820"/>
        <v>2687809.8098249999</v>
      </c>
      <c r="DI206" s="19">
        <f t="shared" si="820"/>
        <v>2687809.8098249999</v>
      </c>
      <c r="DJ206" s="19">
        <f t="shared" si="820"/>
        <v>2687809.8098249999</v>
      </c>
      <c r="DK206" s="19">
        <f t="shared" si="820"/>
        <v>2687809.8098249999</v>
      </c>
      <c r="DL206" s="19">
        <f t="shared" si="820"/>
        <v>2687809.8098249999</v>
      </c>
      <c r="DM206" s="19">
        <f t="shared" si="820"/>
        <v>2687809.8098249999</v>
      </c>
      <c r="DN206" s="19">
        <f t="shared" si="820"/>
        <v>2687809.8098249999</v>
      </c>
      <c r="DO206" s="19">
        <f t="shared" si="820"/>
        <v>2687809.8098249999</v>
      </c>
      <c r="DP206" s="19">
        <f t="shared" si="820"/>
        <v>2687809.8098249999</v>
      </c>
      <c r="DQ206" s="19">
        <f t="shared" si="820"/>
        <v>2687809.8098249999</v>
      </c>
      <c r="DR206" s="19">
        <f t="shared" si="820"/>
        <v>2687809.8098249999</v>
      </c>
      <c r="DS206" s="19">
        <f t="shared" si="821"/>
        <v>2822200.3003162495</v>
      </c>
      <c r="DT206" s="19">
        <f t="shared" si="822"/>
        <v>2822200.3003162495</v>
      </c>
      <c r="DU206" s="19">
        <f t="shared" si="823"/>
        <v>2822200.3003162495</v>
      </c>
      <c r="DV206" s="19">
        <f t="shared" si="824"/>
        <v>2822200.3003162495</v>
      </c>
      <c r="DW206" s="19">
        <f t="shared" si="825"/>
        <v>2822200.3003162495</v>
      </c>
      <c r="DX206" s="19">
        <f t="shared" si="826"/>
        <v>2822200.3003162495</v>
      </c>
      <c r="DY206" s="19">
        <f t="shared" si="827"/>
        <v>2822200.3003162495</v>
      </c>
      <c r="DZ206" s="19">
        <f t="shared" si="828"/>
        <v>2822200.3003162495</v>
      </c>
      <c r="EA206" s="19">
        <f t="shared" si="829"/>
        <v>2822200.3003162495</v>
      </c>
      <c r="EB206" s="19">
        <f t="shared" si="830"/>
        <v>2822200.3003162495</v>
      </c>
      <c r="EC206" s="19">
        <f t="shared" si="831"/>
        <v>2822200.3003162495</v>
      </c>
      <c r="ED206" s="19">
        <f t="shared" si="832"/>
        <v>2822200.3003162495</v>
      </c>
      <c r="EE206" s="222"/>
      <c r="EF206" s="19">
        <f t="shared" si="791"/>
        <v>2943575</v>
      </c>
      <c r="EG206" s="19">
        <f t="shared" si="792"/>
        <v>3563400</v>
      </c>
      <c r="EH206" s="19">
        <f t="shared" si="793"/>
        <v>3605132</v>
      </c>
      <c r="EI206" s="19">
        <f t="shared" si="794"/>
        <v>2345224</v>
      </c>
      <c r="EJ206" s="19">
        <f t="shared" si="795"/>
        <v>3153347</v>
      </c>
      <c r="EK206" s="19">
        <f t="shared" si="796"/>
        <v>3554234</v>
      </c>
      <c r="EL206" s="19">
        <f t="shared" si="797"/>
        <v>5268038</v>
      </c>
      <c r="EM206" s="19">
        <f t="shared" si="798"/>
        <v>5493166</v>
      </c>
      <c r="EN206" s="19">
        <f t="shared" si="799"/>
        <v>4401849</v>
      </c>
      <c r="EO206" s="19">
        <f t="shared" si="800"/>
        <v>5243822.2699999996</v>
      </c>
      <c r="EP206" s="19">
        <f t="shared" si="801"/>
        <v>6600493</v>
      </c>
      <c r="EQ206" s="19">
        <f t="shared" si="802"/>
        <v>8239438.7799999993</v>
      </c>
      <c r="ER206" s="19">
        <f t="shared" si="803"/>
        <v>7679456.5995000005</v>
      </c>
      <c r="ES206" s="19">
        <f t="shared" si="804"/>
        <v>7679456.5995000005</v>
      </c>
      <c r="ET206" s="19">
        <f t="shared" si="805"/>
        <v>7679456.5995000005</v>
      </c>
      <c r="EU206" s="19">
        <f t="shared" si="806"/>
        <v>7679456.5995000005</v>
      </c>
      <c r="EV206" s="19">
        <f t="shared" si="807"/>
        <v>8063429.4294750001</v>
      </c>
      <c r="EW206" s="19">
        <f t="shared" si="808"/>
        <v>8063429.4294750001</v>
      </c>
      <c r="EX206" s="19">
        <f t="shared" si="809"/>
        <v>8063429.4294750001</v>
      </c>
      <c r="EY206" s="19">
        <f t="shared" si="810"/>
        <v>8063429.4294750001</v>
      </c>
      <c r="EZ206" s="19">
        <f t="shared" si="833"/>
        <v>8466600.900948748</v>
      </c>
      <c r="FA206" s="19">
        <f t="shared" si="834"/>
        <v>8466600.900948748</v>
      </c>
      <c r="FB206" s="19">
        <f t="shared" si="835"/>
        <v>8466600.900948748</v>
      </c>
      <c r="FC206" s="19">
        <f t="shared" si="836"/>
        <v>8466600.900948748</v>
      </c>
      <c r="FE206" s="19">
        <f t="shared" si="815"/>
        <v>12457331</v>
      </c>
      <c r="FF206" s="19">
        <f t="shared" si="816"/>
        <v>17468785</v>
      </c>
      <c r="FG206" s="19">
        <f t="shared" si="817"/>
        <v>24485603.049999997</v>
      </c>
      <c r="FH206" s="19">
        <f t="shared" si="818"/>
        <v>30717826.398000002</v>
      </c>
      <c r="FI206" s="19">
        <f t="shared" si="819"/>
        <v>32253717.717900001</v>
      </c>
      <c r="FJ206" s="770">
        <f t="shared" si="784"/>
        <v>33866403.603794992</v>
      </c>
      <c r="FK206" s="545" t="s">
        <v>1</v>
      </c>
    </row>
    <row r="207" spans="2:167" x14ac:dyDescent="0.2">
      <c r="B207" s="306" t="s">
        <v>330</v>
      </c>
      <c r="C207" s="19">
        <v>0</v>
      </c>
      <c r="D207" s="19">
        <v>0</v>
      </c>
      <c r="E207" s="19">
        <v>0</v>
      </c>
      <c r="F207" s="19">
        <v>0</v>
      </c>
      <c r="G207" s="19">
        <v>0</v>
      </c>
      <c r="H207" s="19">
        <v>0</v>
      </c>
      <c r="I207" s="19">
        <v>0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937500</v>
      </c>
      <c r="AQ207" s="19">
        <v>930500</v>
      </c>
      <c r="AR207" s="19">
        <v>911375</v>
      </c>
      <c r="AS207" s="19">
        <v>935000</v>
      </c>
      <c r="AT207" s="19">
        <v>950875</v>
      </c>
      <c r="AU207" s="19">
        <v>950875</v>
      </c>
      <c r="AV207" s="19">
        <v>950175</v>
      </c>
      <c r="AW207" s="19">
        <v>950875</v>
      </c>
      <c r="AX207" s="19">
        <v>950875</v>
      </c>
      <c r="AY207" s="19">
        <v>950875</v>
      </c>
      <c r="AZ207" s="19">
        <v>969795</v>
      </c>
      <c r="BA207" s="19">
        <v>978156</v>
      </c>
      <c r="BB207" s="19">
        <v>0</v>
      </c>
      <c r="BC207" s="19">
        <v>0</v>
      </c>
      <c r="BD207" s="19">
        <v>0</v>
      </c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>
        <v>0</v>
      </c>
      <c r="BM207" s="19">
        <v>0</v>
      </c>
      <c r="BN207" s="19">
        <v>0</v>
      </c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>
        <v>378193</v>
      </c>
      <c r="BW207" s="19">
        <v>189096.5</v>
      </c>
      <c r="BX207" s="19">
        <v>189096.5</v>
      </c>
      <c r="BY207" s="19">
        <v>3016658.5</v>
      </c>
      <c r="BZ207" s="19">
        <v>2853462.5</v>
      </c>
      <c r="CA207" s="19">
        <v>2775448</v>
      </c>
      <c r="CB207" s="19">
        <v>2684107</v>
      </c>
      <c r="CC207" s="19">
        <v>3096363</v>
      </c>
      <c r="CD207" s="19">
        <v>3042937</v>
      </c>
      <c r="CE207" s="19">
        <v>3374555</v>
      </c>
      <c r="CF207" s="19">
        <v>3422721</v>
      </c>
      <c r="CG207" s="19">
        <v>3364124</v>
      </c>
      <c r="CH207" s="19">
        <v>3942713</v>
      </c>
      <c r="CI207" s="19">
        <v>3723544</v>
      </c>
      <c r="CJ207" s="19">
        <v>3613092</v>
      </c>
      <c r="CK207" s="19">
        <v>3866774</v>
      </c>
      <c r="CL207" s="19">
        <v>3942644</v>
      </c>
      <c r="CM207" s="19">
        <v>4226360</v>
      </c>
      <c r="CN207" s="19">
        <v>4418852</v>
      </c>
      <c r="CO207" s="19">
        <v>4414278.5</v>
      </c>
      <c r="CP207" s="19">
        <v>4352169</v>
      </c>
      <c r="CQ207" s="19">
        <v>4825801.43</v>
      </c>
      <c r="CR207" s="19">
        <v>4845164.68</v>
      </c>
      <c r="CS207" s="19">
        <v>4564905.8100000005</v>
      </c>
      <c r="CT207" s="19">
        <v>4454217.9376261383</v>
      </c>
      <c r="CU207" s="19">
        <f t="shared" si="837"/>
        <v>4676928.8345074458</v>
      </c>
      <c r="CV207" s="19">
        <f t="shared" si="820"/>
        <v>4676928.8345074458</v>
      </c>
      <c r="CW207" s="19">
        <f t="shared" si="820"/>
        <v>4676928.8345074458</v>
      </c>
      <c r="CX207" s="19">
        <f t="shared" si="820"/>
        <v>4676928.8345074458</v>
      </c>
      <c r="CY207" s="19">
        <f t="shared" si="820"/>
        <v>4676928.8345074458</v>
      </c>
      <c r="CZ207" s="19">
        <f t="shared" si="820"/>
        <v>4676928.8345074458</v>
      </c>
      <c r="DA207" s="19">
        <f t="shared" si="820"/>
        <v>4676928.8345074458</v>
      </c>
      <c r="DB207" s="19">
        <f t="shared" si="820"/>
        <v>4676928.8345074458</v>
      </c>
      <c r="DC207" s="19">
        <f t="shared" si="820"/>
        <v>4676928.8345074458</v>
      </c>
      <c r="DD207" s="19">
        <f t="shared" si="820"/>
        <v>4676928.8345074458</v>
      </c>
      <c r="DE207" s="19">
        <f t="shared" si="820"/>
        <v>4676928.8345074458</v>
      </c>
      <c r="DF207" s="19">
        <f t="shared" si="820"/>
        <v>4676928.8345074458</v>
      </c>
      <c r="DG207" s="19">
        <f t="shared" si="820"/>
        <v>4910775.2762328181</v>
      </c>
      <c r="DH207" s="19">
        <f t="shared" si="820"/>
        <v>4910775.2762328181</v>
      </c>
      <c r="DI207" s="19">
        <f t="shared" si="820"/>
        <v>4910775.2762328181</v>
      </c>
      <c r="DJ207" s="19">
        <f t="shared" si="820"/>
        <v>4910775.2762328181</v>
      </c>
      <c r="DK207" s="19">
        <f t="shared" si="820"/>
        <v>4910775.2762328181</v>
      </c>
      <c r="DL207" s="19">
        <f t="shared" si="820"/>
        <v>4910775.2762328181</v>
      </c>
      <c r="DM207" s="19">
        <f t="shared" si="820"/>
        <v>4910775.2762328181</v>
      </c>
      <c r="DN207" s="19">
        <f t="shared" si="820"/>
        <v>4910775.2762328181</v>
      </c>
      <c r="DO207" s="19">
        <f t="shared" si="820"/>
        <v>4910775.2762328181</v>
      </c>
      <c r="DP207" s="19">
        <f t="shared" si="820"/>
        <v>4910775.2762328181</v>
      </c>
      <c r="DQ207" s="19">
        <f t="shared" si="820"/>
        <v>4910775.2762328181</v>
      </c>
      <c r="DR207" s="19">
        <f t="shared" si="820"/>
        <v>4910775.2762328181</v>
      </c>
      <c r="DS207" s="19">
        <f t="shared" si="821"/>
        <v>5156314.0400444586</v>
      </c>
      <c r="DT207" s="19">
        <f t="shared" si="822"/>
        <v>5156314.0400444586</v>
      </c>
      <c r="DU207" s="19">
        <f t="shared" si="823"/>
        <v>5156314.0400444586</v>
      </c>
      <c r="DV207" s="19">
        <f t="shared" si="824"/>
        <v>5156314.0400444586</v>
      </c>
      <c r="DW207" s="19">
        <f t="shared" si="825"/>
        <v>5156314.0400444586</v>
      </c>
      <c r="DX207" s="19">
        <f t="shared" si="826"/>
        <v>5156314.0400444586</v>
      </c>
      <c r="DY207" s="19">
        <f t="shared" si="827"/>
        <v>5156314.0400444586</v>
      </c>
      <c r="DZ207" s="19">
        <f t="shared" si="828"/>
        <v>5156314.0400444586</v>
      </c>
      <c r="EA207" s="19">
        <f t="shared" si="829"/>
        <v>5156314.0400444586</v>
      </c>
      <c r="EB207" s="19">
        <f t="shared" si="830"/>
        <v>5156314.0400444586</v>
      </c>
      <c r="EC207" s="19">
        <f t="shared" si="831"/>
        <v>5156314.0400444586</v>
      </c>
      <c r="ED207" s="19">
        <f t="shared" si="832"/>
        <v>5156314.0400444586</v>
      </c>
      <c r="EE207" s="222"/>
      <c r="EF207" s="19">
        <f t="shared" si="791"/>
        <v>0</v>
      </c>
      <c r="EG207" s="19">
        <f t="shared" si="792"/>
        <v>0</v>
      </c>
      <c r="EH207" s="19">
        <f t="shared" si="793"/>
        <v>0</v>
      </c>
      <c r="EI207" s="19">
        <f t="shared" si="794"/>
        <v>378193</v>
      </c>
      <c r="EJ207" s="19">
        <f t="shared" si="795"/>
        <v>3394851.5</v>
      </c>
      <c r="EK207" s="19">
        <f t="shared" si="796"/>
        <v>8313017.5</v>
      </c>
      <c r="EL207" s="19">
        <f t="shared" si="797"/>
        <v>9513855</v>
      </c>
      <c r="EM207" s="19">
        <f t="shared" si="798"/>
        <v>10729558</v>
      </c>
      <c r="EN207" s="19">
        <f t="shared" si="799"/>
        <v>11203410</v>
      </c>
      <c r="EO207" s="19">
        <f t="shared" si="800"/>
        <v>12587856</v>
      </c>
      <c r="EP207" s="19">
        <f t="shared" si="801"/>
        <v>13592248.93</v>
      </c>
      <c r="EQ207" s="19">
        <f t="shared" si="802"/>
        <v>13864288.427626139</v>
      </c>
      <c r="ER207" s="19">
        <f t="shared" si="803"/>
        <v>14030786.503522336</v>
      </c>
      <c r="ES207" s="19">
        <f t="shared" si="804"/>
        <v>14030786.503522336</v>
      </c>
      <c r="ET207" s="19">
        <f t="shared" si="805"/>
        <v>14030786.503522336</v>
      </c>
      <c r="EU207" s="19">
        <f t="shared" si="806"/>
        <v>14030786.503522336</v>
      </c>
      <c r="EV207" s="19">
        <f t="shared" si="807"/>
        <v>14732325.828698454</v>
      </c>
      <c r="EW207" s="19">
        <f t="shared" si="808"/>
        <v>14732325.828698454</v>
      </c>
      <c r="EX207" s="19">
        <f t="shared" si="809"/>
        <v>14732325.828698454</v>
      </c>
      <c r="EY207" s="19">
        <f t="shared" si="810"/>
        <v>14732325.828698454</v>
      </c>
      <c r="EZ207" s="19">
        <f t="shared" si="833"/>
        <v>15468942.120133376</v>
      </c>
      <c r="FA207" s="19">
        <f t="shared" si="834"/>
        <v>15468942.120133376</v>
      </c>
      <c r="FB207" s="19">
        <f t="shared" si="835"/>
        <v>15468942.120133376</v>
      </c>
      <c r="FC207" s="19">
        <f t="shared" si="836"/>
        <v>15468942.120133376</v>
      </c>
      <c r="FE207" s="19">
        <f t="shared" si="815"/>
        <v>378193</v>
      </c>
      <c r="FF207" s="19">
        <f t="shared" si="816"/>
        <v>31951282</v>
      </c>
      <c r="FG207" s="19">
        <f t="shared" si="817"/>
        <v>51247803.35762614</v>
      </c>
      <c r="FH207" s="19">
        <f t="shared" si="818"/>
        <v>56123146.014089346</v>
      </c>
      <c r="FI207" s="19">
        <f t="shared" si="819"/>
        <v>58929303.314793818</v>
      </c>
      <c r="FJ207" s="770">
        <f t="shared" si="784"/>
        <v>61875768.480533503</v>
      </c>
      <c r="FK207" s="545" t="s">
        <v>1</v>
      </c>
    </row>
    <row r="208" spans="2:167" x14ac:dyDescent="0.2">
      <c r="B208" s="307" t="s">
        <v>331</v>
      </c>
      <c r="C208" s="19">
        <v>1265082</v>
      </c>
      <c r="D208" s="19">
        <v>1188196</v>
      </c>
      <c r="E208" s="19">
        <v>1812048</v>
      </c>
      <c r="F208" s="19">
        <v>1486437</v>
      </c>
      <c r="G208" s="19">
        <v>2072602.58</v>
      </c>
      <c r="H208" s="19">
        <v>956032.12000000011</v>
      </c>
      <c r="I208" s="19">
        <v>1517713.2199999993</v>
      </c>
      <c r="J208" s="19">
        <v>1431641.5599999996</v>
      </c>
      <c r="K208" s="19">
        <v>79842805.120000005</v>
      </c>
      <c r="L208" s="19">
        <v>208220</v>
      </c>
      <c r="M208" s="19">
        <v>125343.23</v>
      </c>
      <c r="N208" s="19">
        <v>58000</v>
      </c>
      <c r="O208" s="19">
        <v>337033</v>
      </c>
      <c r="P208" s="19">
        <v>308177.31</v>
      </c>
      <c r="Q208" s="19">
        <v>352381.60000000003</v>
      </c>
      <c r="R208" s="19">
        <v>311719</v>
      </c>
      <c r="S208" s="19">
        <v>633103.24</v>
      </c>
      <c r="T208" s="19">
        <v>1021662.87</v>
      </c>
      <c r="U208" s="19">
        <v>1320430.67</v>
      </c>
      <c r="V208" s="19">
        <v>1531423.63</v>
      </c>
      <c r="W208" s="19">
        <v>1253352.7999999998</v>
      </c>
      <c r="X208" s="19">
        <v>1358025.54</v>
      </c>
      <c r="Y208" s="19">
        <v>1180725.4099999999</v>
      </c>
      <c r="Z208" s="19">
        <v>954142.87000000011</v>
      </c>
      <c r="AA208" s="19">
        <v>317410.71999999997</v>
      </c>
      <c r="AB208" s="19">
        <v>474167.45999999996</v>
      </c>
      <c r="AC208" s="19">
        <v>571746.49</v>
      </c>
      <c r="AD208" s="19">
        <v>549210</v>
      </c>
      <c r="AE208" s="19">
        <v>520908.92</v>
      </c>
      <c r="AF208" s="19">
        <v>743718.22</v>
      </c>
      <c r="AG208" s="19">
        <v>1321171.6600000001</v>
      </c>
      <c r="AH208" s="19">
        <v>1378713.88</v>
      </c>
      <c r="AI208" s="19">
        <v>1260009.24</v>
      </c>
      <c r="AJ208" s="19">
        <v>3522499.75</v>
      </c>
      <c r="AK208" s="19">
        <v>3495870</v>
      </c>
      <c r="AL208" s="19">
        <v>667691.65</v>
      </c>
      <c r="AM208" s="19">
        <v>479017</v>
      </c>
      <c r="AN208" s="19">
        <v>352733.07</v>
      </c>
      <c r="AO208" s="19">
        <v>1888997.4</v>
      </c>
      <c r="AP208" s="19">
        <v>841720</v>
      </c>
      <c r="AQ208" s="19">
        <v>489345</v>
      </c>
      <c r="AR208" s="19">
        <v>1133758.81</v>
      </c>
      <c r="AS208" s="19">
        <v>755903</v>
      </c>
      <c r="AT208" s="19">
        <v>482392.7</v>
      </c>
      <c r="AU208" s="19">
        <v>622418.66999999993</v>
      </c>
      <c r="AV208" s="19">
        <v>893519.43</v>
      </c>
      <c r="AW208" s="19">
        <v>665855.29</v>
      </c>
      <c r="AX208" s="19">
        <v>569585.1</v>
      </c>
      <c r="AY208" s="19">
        <v>625751.1</v>
      </c>
      <c r="AZ208" s="19">
        <v>1414866.97</v>
      </c>
      <c r="BA208" s="19">
        <v>1090507.74</v>
      </c>
      <c r="BB208" s="19">
        <v>811619</v>
      </c>
      <c r="BC208" s="19">
        <v>1056311</v>
      </c>
      <c r="BD208" s="19">
        <v>514466.04000000004</v>
      </c>
      <c r="BE208" s="19">
        <v>755164.54</v>
      </c>
      <c r="BF208" s="19">
        <v>958053.28</v>
      </c>
      <c r="BG208" s="19">
        <v>1564915.24</v>
      </c>
      <c r="BH208" s="19">
        <v>1069841.97</v>
      </c>
      <c r="BI208" s="19">
        <v>1317230.6499999999</v>
      </c>
      <c r="BJ208" s="19">
        <v>1005023.8700000001</v>
      </c>
      <c r="BK208" s="19">
        <v>691219.96</v>
      </c>
      <c r="BL208" s="19">
        <v>647911.43999999994</v>
      </c>
      <c r="BM208" s="19">
        <v>871867.58999999985</v>
      </c>
      <c r="BN208" s="19">
        <v>313300.86</v>
      </c>
      <c r="BO208" s="19">
        <v>758261.26</v>
      </c>
      <c r="BP208" s="19">
        <v>623863.66</v>
      </c>
      <c r="BQ208" s="19">
        <v>975764.38</v>
      </c>
      <c r="BR208" s="19">
        <v>1241571</v>
      </c>
      <c r="BS208" s="19">
        <v>661774.08000000007</v>
      </c>
      <c r="BT208" s="19">
        <v>454515.1</v>
      </c>
      <c r="BU208" s="19">
        <v>463216.46</v>
      </c>
      <c r="BV208" s="19">
        <v>778514.9</v>
      </c>
      <c r="BW208" s="19">
        <v>425194</v>
      </c>
      <c r="BX208" s="19">
        <v>636595.16</v>
      </c>
      <c r="BY208" s="19">
        <v>510664.25</v>
      </c>
      <c r="BZ208" s="19">
        <v>383203</v>
      </c>
      <c r="CA208" s="19">
        <v>422380</v>
      </c>
      <c r="CB208" s="19">
        <v>573487</v>
      </c>
      <c r="CC208" s="19">
        <v>761569.83</v>
      </c>
      <c r="CD208" s="19">
        <v>540274</v>
      </c>
      <c r="CE208" s="19">
        <v>689353</v>
      </c>
      <c r="CF208" s="19">
        <v>516873.1</v>
      </c>
      <c r="CG208" s="19">
        <v>481643.82</v>
      </c>
      <c r="CH208" s="19">
        <v>1117235.81</v>
      </c>
      <c r="CI208" s="19">
        <v>876158</v>
      </c>
      <c r="CJ208" s="19">
        <v>858950.73</v>
      </c>
      <c r="CK208" s="19">
        <v>602943</v>
      </c>
      <c r="CL208" s="19">
        <v>672413</v>
      </c>
      <c r="CM208" s="19">
        <v>839339</v>
      </c>
      <c r="CN208" s="19">
        <v>860942.1</v>
      </c>
      <c r="CO208" s="19">
        <v>1146103</v>
      </c>
      <c r="CP208" s="19">
        <v>602473</v>
      </c>
      <c r="CQ208" s="19">
        <v>743551.29</v>
      </c>
      <c r="CR208" s="19">
        <v>878558.16000000015</v>
      </c>
      <c r="CS208" s="19">
        <v>904958.36</v>
      </c>
      <c r="CT208" s="19">
        <v>813075.52</v>
      </c>
      <c r="CU208" s="19">
        <f t="shared" si="837"/>
        <v>853729.29599999997</v>
      </c>
      <c r="CV208" s="19">
        <f t="shared" si="820"/>
        <v>853729.29599999997</v>
      </c>
      <c r="CW208" s="19">
        <f t="shared" si="820"/>
        <v>853729.29599999997</v>
      </c>
      <c r="CX208" s="19">
        <f t="shared" si="820"/>
        <v>853729.29599999997</v>
      </c>
      <c r="CY208" s="19">
        <f t="shared" si="820"/>
        <v>853729.29599999997</v>
      </c>
      <c r="CZ208" s="19">
        <f t="shared" si="820"/>
        <v>853729.29599999997</v>
      </c>
      <c r="DA208" s="19">
        <f t="shared" si="820"/>
        <v>853729.29599999997</v>
      </c>
      <c r="DB208" s="19">
        <f t="shared" si="820"/>
        <v>853729.29599999997</v>
      </c>
      <c r="DC208" s="19">
        <f t="shared" si="820"/>
        <v>853729.29599999997</v>
      </c>
      <c r="DD208" s="19">
        <f t="shared" si="820"/>
        <v>853729.29599999997</v>
      </c>
      <c r="DE208" s="19">
        <f t="shared" si="820"/>
        <v>853729.29599999997</v>
      </c>
      <c r="DF208" s="19">
        <f t="shared" si="820"/>
        <v>853729.29599999997</v>
      </c>
      <c r="DG208" s="19">
        <f t="shared" si="820"/>
        <v>896415.76079999993</v>
      </c>
      <c r="DH208" s="19">
        <f t="shared" si="820"/>
        <v>896415.76079999993</v>
      </c>
      <c r="DI208" s="19">
        <f t="shared" si="820"/>
        <v>896415.76079999993</v>
      </c>
      <c r="DJ208" s="19">
        <f t="shared" si="820"/>
        <v>896415.76079999993</v>
      </c>
      <c r="DK208" s="19">
        <f t="shared" si="820"/>
        <v>896415.76079999993</v>
      </c>
      <c r="DL208" s="19">
        <f t="shared" si="820"/>
        <v>896415.76079999993</v>
      </c>
      <c r="DM208" s="19">
        <f t="shared" si="820"/>
        <v>896415.76079999993</v>
      </c>
      <c r="DN208" s="19">
        <f t="shared" si="820"/>
        <v>896415.76079999993</v>
      </c>
      <c r="DO208" s="19">
        <f t="shared" si="820"/>
        <v>896415.76079999993</v>
      </c>
      <c r="DP208" s="19">
        <f t="shared" si="820"/>
        <v>896415.76079999993</v>
      </c>
      <c r="DQ208" s="19">
        <f t="shared" si="820"/>
        <v>896415.76079999993</v>
      </c>
      <c r="DR208" s="19">
        <f t="shared" si="820"/>
        <v>896415.76079999993</v>
      </c>
      <c r="DS208" s="19">
        <f t="shared" si="821"/>
        <v>941236.54883999994</v>
      </c>
      <c r="DT208" s="19">
        <f t="shared" si="822"/>
        <v>941236.54883999994</v>
      </c>
      <c r="DU208" s="19">
        <f t="shared" si="823"/>
        <v>941236.54883999994</v>
      </c>
      <c r="DV208" s="19">
        <f t="shared" si="824"/>
        <v>941236.54883999994</v>
      </c>
      <c r="DW208" s="19">
        <f t="shared" si="825"/>
        <v>941236.54883999994</v>
      </c>
      <c r="DX208" s="19">
        <f t="shared" si="826"/>
        <v>941236.54883999994</v>
      </c>
      <c r="DY208" s="19">
        <f t="shared" si="827"/>
        <v>941236.54883999994</v>
      </c>
      <c r="DZ208" s="19">
        <f t="shared" si="828"/>
        <v>941236.54883999994</v>
      </c>
      <c r="EA208" s="19">
        <f t="shared" si="829"/>
        <v>941236.54883999994</v>
      </c>
      <c r="EB208" s="19">
        <f t="shared" si="830"/>
        <v>941236.54883999994</v>
      </c>
      <c r="EC208" s="19">
        <f t="shared" si="831"/>
        <v>941236.54883999994</v>
      </c>
      <c r="ED208" s="19">
        <f t="shared" si="832"/>
        <v>941236.54883999994</v>
      </c>
      <c r="EE208" s="222"/>
      <c r="EF208" s="19">
        <f t="shared" si="791"/>
        <v>2210998.9899999998</v>
      </c>
      <c r="EG208" s="19">
        <f t="shared" si="792"/>
        <v>1695425.7800000003</v>
      </c>
      <c r="EH208" s="19">
        <f t="shared" si="793"/>
        <v>2879109.46</v>
      </c>
      <c r="EI208" s="19">
        <f t="shared" si="794"/>
        <v>1696246.46</v>
      </c>
      <c r="EJ208" s="19">
        <f t="shared" si="795"/>
        <v>1572453.4100000001</v>
      </c>
      <c r="EK208" s="19">
        <f t="shared" si="796"/>
        <v>1379070</v>
      </c>
      <c r="EL208" s="19">
        <f t="shared" si="797"/>
        <v>1991196.83</v>
      </c>
      <c r="EM208" s="19">
        <f t="shared" si="798"/>
        <v>2115752.73</v>
      </c>
      <c r="EN208" s="19">
        <f t="shared" si="799"/>
        <v>2338051.73</v>
      </c>
      <c r="EO208" s="19">
        <f t="shared" si="800"/>
        <v>2372694.1</v>
      </c>
      <c r="EP208" s="19">
        <f t="shared" si="801"/>
        <v>2492127.29</v>
      </c>
      <c r="EQ208" s="19">
        <f t="shared" si="802"/>
        <v>2596592.04</v>
      </c>
      <c r="ER208" s="19">
        <f t="shared" si="803"/>
        <v>2561187.8879999998</v>
      </c>
      <c r="ES208" s="19">
        <f t="shared" si="804"/>
        <v>2561187.8879999998</v>
      </c>
      <c r="ET208" s="19">
        <f t="shared" si="805"/>
        <v>2561187.8879999998</v>
      </c>
      <c r="EU208" s="19">
        <f t="shared" si="806"/>
        <v>2561187.8879999998</v>
      </c>
      <c r="EV208" s="19">
        <f t="shared" si="807"/>
        <v>2689247.2823999999</v>
      </c>
      <c r="EW208" s="19">
        <f t="shared" si="808"/>
        <v>2689247.2823999999</v>
      </c>
      <c r="EX208" s="19">
        <f t="shared" si="809"/>
        <v>2689247.2823999999</v>
      </c>
      <c r="EY208" s="19">
        <f t="shared" si="810"/>
        <v>2689247.2823999999</v>
      </c>
      <c r="EZ208" s="19">
        <f t="shared" si="833"/>
        <v>2823709.64652</v>
      </c>
      <c r="FA208" s="19">
        <f t="shared" si="834"/>
        <v>2823709.64652</v>
      </c>
      <c r="FB208" s="19">
        <f t="shared" si="835"/>
        <v>2823709.64652</v>
      </c>
      <c r="FC208" s="19">
        <f t="shared" si="836"/>
        <v>2823709.64652</v>
      </c>
      <c r="FE208" s="19">
        <f t="shared" si="815"/>
        <v>8481780.6900000013</v>
      </c>
      <c r="FF208" s="19">
        <f t="shared" si="816"/>
        <v>7058472.9700000007</v>
      </c>
      <c r="FG208" s="19">
        <f t="shared" si="817"/>
        <v>9799465.1600000001</v>
      </c>
      <c r="FH208" s="19">
        <f t="shared" si="818"/>
        <v>10244751.551999999</v>
      </c>
      <c r="FI208" s="19">
        <f t="shared" si="819"/>
        <v>10756989.1296</v>
      </c>
      <c r="FJ208" s="770">
        <f t="shared" si="784"/>
        <v>11294838.58608</v>
      </c>
      <c r="FK208" s="545" t="s">
        <v>1</v>
      </c>
    </row>
    <row r="209" spans="2:167" x14ac:dyDescent="0.2">
      <c r="B209" s="226" t="s">
        <v>62</v>
      </c>
      <c r="C209" s="20">
        <f>C200/C63</f>
        <v>0.1029632913998957</v>
      </c>
      <c r="D209" s="20">
        <f t="shared" ref="D209:BO209" si="838">D200/D63</f>
        <v>9.8162575297251503E-2</v>
      </c>
      <c r="E209" s="20">
        <f t="shared" si="838"/>
        <v>0.11569534624668681</v>
      </c>
      <c r="F209" s="20">
        <f t="shared" si="838"/>
        <v>8.7507221067950378E-2</v>
      </c>
      <c r="G209" s="20">
        <f t="shared" si="838"/>
        <v>9.2434475634702112E-2</v>
      </c>
      <c r="H209" s="20">
        <f t="shared" si="838"/>
        <v>8.1120071466983273E-2</v>
      </c>
      <c r="I209" s="20">
        <f t="shared" si="838"/>
        <v>8.4572502552508949E-2</v>
      </c>
      <c r="J209" s="20">
        <f t="shared" si="838"/>
        <v>8.9305229744265358E-2</v>
      </c>
      <c r="K209" s="20">
        <f t="shared" si="838"/>
        <v>0.36989412089940737</v>
      </c>
      <c r="L209" s="20">
        <f t="shared" si="838"/>
        <v>5.8707220911104044E-2</v>
      </c>
      <c r="M209" s="20">
        <f t="shared" si="838"/>
        <v>5.8868948188500761E-2</v>
      </c>
      <c r="N209" s="20">
        <f t="shared" si="838"/>
        <v>7.2248851635520875E-2</v>
      </c>
      <c r="O209" s="20">
        <f t="shared" si="838"/>
        <v>6.0091743814194271E-2</v>
      </c>
      <c r="P209" s="20">
        <f t="shared" si="838"/>
        <v>6.1147924566398205E-2</v>
      </c>
      <c r="Q209" s="20">
        <f t="shared" si="838"/>
        <v>6.0404754293781199E-2</v>
      </c>
      <c r="R209" s="20">
        <f t="shared" si="838"/>
        <v>5.5417467576845111E-2</v>
      </c>
      <c r="S209" s="20">
        <f t="shared" si="838"/>
        <v>6.9384983076345358E-2</v>
      </c>
      <c r="T209" s="20">
        <f t="shared" si="838"/>
        <v>7.8098871780990245E-2</v>
      </c>
      <c r="U209" s="20">
        <f t="shared" si="838"/>
        <v>9.3462053197887668E-2</v>
      </c>
      <c r="V209" s="20">
        <f t="shared" si="838"/>
        <v>8.583583155916015E-2</v>
      </c>
      <c r="W209" s="20">
        <f t="shared" si="838"/>
        <v>7.2785791235589037E-2</v>
      </c>
      <c r="X209" s="20">
        <f t="shared" si="838"/>
        <v>7.3327957349534775E-2</v>
      </c>
      <c r="Y209" s="20">
        <f t="shared" si="838"/>
        <v>6.8830129847522056E-2</v>
      </c>
      <c r="Z209" s="20">
        <f t="shared" si="838"/>
        <v>0.10585748751438354</v>
      </c>
      <c r="AA209" s="20">
        <f t="shared" si="838"/>
        <v>-6.4580816809878847</v>
      </c>
      <c r="AB209" s="20">
        <f t="shared" si="838"/>
        <v>0.10954677798548479</v>
      </c>
      <c r="AC209" s="20">
        <f t="shared" si="838"/>
        <v>0.10014350448978883</v>
      </c>
      <c r="AD209" s="20">
        <f t="shared" si="838"/>
        <v>0.11396676341527132</v>
      </c>
      <c r="AE209" s="20">
        <f t="shared" si="838"/>
        <v>7.5336682678281586E-2</v>
      </c>
      <c r="AF209" s="20">
        <f t="shared" si="838"/>
        <v>8.0029905727075523E-2</v>
      </c>
      <c r="AG209" s="20">
        <f t="shared" si="838"/>
        <v>8.2505635610606753E-2</v>
      </c>
      <c r="AH209" s="20">
        <f t="shared" si="838"/>
        <v>7.8401990446483688E-2</v>
      </c>
      <c r="AI209" s="20">
        <f t="shared" si="838"/>
        <v>4.9483205096821081E-2</v>
      </c>
      <c r="AJ209" s="20">
        <f t="shared" si="838"/>
        <v>5.9925740886334768E-2</v>
      </c>
      <c r="AK209" s="20">
        <f t="shared" si="838"/>
        <v>5.2454878854509425E-2</v>
      </c>
      <c r="AL209" s="20">
        <f t="shared" si="838"/>
        <v>5.9123698513966809E-2</v>
      </c>
      <c r="AM209" s="20">
        <f t="shared" si="838"/>
        <v>9.6734940429619193E-2</v>
      </c>
      <c r="AN209" s="20">
        <f t="shared" si="838"/>
        <v>0.21475911584630891</v>
      </c>
      <c r="AO209" s="20">
        <f t="shared" si="838"/>
        <v>9.8903617210753358E-2</v>
      </c>
      <c r="AP209" s="20">
        <f t="shared" si="838"/>
        <v>7.8524240935200593E-2</v>
      </c>
      <c r="AQ209" s="20">
        <f t="shared" si="838"/>
        <v>7.7632256802196861E-2</v>
      </c>
      <c r="AR209" s="20">
        <f t="shared" si="838"/>
        <v>8.1544957564136739E-2</v>
      </c>
      <c r="AS209" s="20">
        <f t="shared" si="838"/>
        <v>8.6881118393205253E-2</v>
      </c>
      <c r="AT209" s="20">
        <f t="shared" si="838"/>
        <v>7.6859765982804251E-2</v>
      </c>
      <c r="AU209" s="20">
        <f t="shared" si="838"/>
        <v>6.2937117985008978E-2</v>
      </c>
      <c r="AV209" s="20">
        <f t="shared" si="838"/>
        <v>6.84439936194573E-2</v>
      </c>
      <c r="AW209" s="20">
        <f t="shared" si="838"/>
        <v>6.9936325122916476E-2</v>
      </c>
      <c r="AX209" s="20">
        <f t="shared" si="838"/>
        <v>0.10155594731749824</v>
      </c>
      <c r="AY209" s="20">
        <f t="shared" si="838"/>
        <v>0.10430666418586049</v>
      </c>
      <c r="AZ209" s="20">
        <f t="shared" si="838"/>
        <v>9.590825111456211E-2</v>
      </c>
      <c r="BA209" s="20">
        <f t="shared" si="838"/>
        <v>0.10818003147514905</v>
      </c>
      <c r="BB209" s="20">
        <f t="shared" si="838"/>
        <v>0.10793133601152329</v>
      </c>
      <c r="BC209" s="20">
        <f t="shared" si="838"/>
        <v>0.10388691652386306</v>
      </c>
      <c r="BD209" s="20">
        <f t="shared" si="838"/>
        <v>0.1071788706263722</v>
      </c>
      <c r="BE209" s="20">
        <f t="shared" si="838"/>
        <v>9.0971953406694617E-2</v>
      </c>
      <c r="BF209" s="20">
        <f t="shared" si="838"/>
        <v>8.3509070140208724E-2</v>
      </c>
      <c r="BG209" s="20">
        <f t="shared" si="838"/>
        <v>6.750378916304603E-2</v>
      </c>
      <c r="BH209" s="20">
        <f t="shared" si="838"/>
        <v>6.8192612184099929E-2</v>
      </c>
      <c r="BI209" s="20">
        <f t="shared" si="838"/>
        <v>7.9285585348834314E-2</v>
      </c>
      <c r="BJ209" s="20">
        <f t="shared" si="838"/>
        <v>7.2964966971471243E-2</v>
      </c>
      <c r="BK209" s="20">
        <f t="shared" si="838"/>
        <v>6.4167689905830522E-2</v>
      </c>
      <c r="BL209" s="20">
        <f t="shared" si="838"/>
        <v>6.6295657227711566E-2</v>
      </c>
      <c r="BM209" s="20">
        <f t="shared" si="838"/>
        <v>7.1140586662661237E-2</v>
      </c>
      <c r="BN209" s="20">
        <f t="shared" si="838"/>
        <v>8.0192394447709078E-2</v>
      </c>
      <c r="BO209" s="20">
        <f t="shared" si="838"/>
        <v>7.5845411963464393E-2</v>
      </c>
      <c r="BP209" s="20">
        <f t="shared" ref="BP209:EM209" si="839">BP200/BP63</f>
        <v>7.8895695497981505E-2</v>
      </c>
      <c r="BQ209" s="20">
        <f t="shared" si="839"/>
        <v>6.4198466314829658E-2</v>
      </c>
      <c r="BR209" s="20">
        <f t="shared" si="839"/>
        <v>6.7084624916466773E-2</v>
      </c>
      <c r="BS209" s="20">
        <f t="shared" si="839"/>
        <v>7.0271102641696226E-2</v>
      </c>
      <c r="BT209" s="20">
        <f t="shared" si="839"/>
        <v>7.1275223699429735E-2</v>
      </c>
      <c r="BU209" s="20">
        <f t="shared" si="839"/>
        <v>7.4010617156062844E-2</v>
      </c>
      <c r="BV209" s="20">
        <f t="shared" si="839"/>
        <v>6.8510175812831864E-2</v>
      </c>
      <c r="BW209" s="20">
        <f t="shared" si="839"/>
        <v>7.0793055279680994E-2</v>
      </c>
      <c r="BX209" s="20">
        <f t="shared" si="839"/>
        <v>6.9458406024617753E-2</v>
      </c>
      <c r="BY209" s="20">
        <f t="shared" si="839"/>
        <v>6.924072394966925E-2</v>
      </c>
      <c r="BZ209" s="20">
        <f t="shared" si="839"/>
        <v>7.0314548475303745E-2</v>
      </c>
      <c r="CA209" s="20">
        <f t="shared" si="839"/>
        <v>7.7282553789164987E-2</v>
      </c>
      <c r="CB209" s="20">
        <f t="shared" si="839"/>
        <v>8.2799164079264895E-2</v>
      </c>
      <c r="CC209" s="20">
        <f t="shared" si="839"/>
        <v>7.405474306361999E-2</v>
      </c>
      <c r="CD209" s="20">
        <f t="shared" si="839"/>
        <v>7.4239107551898956E-2</v>
      </c>
      <c r="CE209" s="20">
        <f t="shared" si="839"/>
        <v>6.6207752519102783E-2</v>
      </c>
      <c r="CF209" s="20">
        <f t="shared" si="839"/>
        <v>6.0961894235360428E-2</v>
      </c>
      <c r="CG209" s="20">
        <f t="shared" si="839"/>
        <v>5.7567121145715397E-2</v>
      </c>
      <c r="CH209" s="20">
        <f t="shared" si="839"/>
        <v>5.0511836337618396E-2</v>
      </c>
      <c r="CI209" s="20">
        <f t="shared" si="839"/>
        <v>5.8985308115020403E-2</v>
      </c>
      <c r="CJ209" s="20">
        <f t="shared" si="839"/>
        <v>5.959308732826149E-2</v>
      </c>
      <c r="CK209" s="20">
        <f t="shared" si="839"/>
        <v>6.0080511581505347E-2</v>
      </c>
      <c r="CL209" s="20">
        <f t="shared" si="839"/>
        <v>5.6505390494467969E-2</v>
      </c>
      <c r="CM209" s="20">
        <f t="shared" si="839"/>
        <v>6.5639836089719669E-2</v>
      </c>
      <c r="CN209" s="20">
        <f t="shared" si="839"/>
        <v>6.7427088609138236E-2</v>
      </c>
      <c r="CO209" s="20">
        <f t="shared" si="839"/>
        <v>6.1254917107553507E-2</v>
      </c>
      <c r="CP209" s="20">
        <f t="shared" si="839"/>
        <v>5.583580213925185E-2</v>
      </c>
      <c r="CQ209" s="20">
        <f t="shared" si="839"/>
        <v>4.6390861357914856E-2</v>
      </c>
      <c r="CR209" s="20">
        <f t="shared" si="839"/>
        <v>4.614811864422342E-2</v>
      </c>
      <c r="CS209" s="20">
        <f t="shared" si="839"/>
        <v>4.9507774645453993E-2</v>
      </c>
      <c r="CT209" s="20">
        <f t="shared" si="839"/>
        <v>4.7168844169550306E-2</v>
      </c>
      <c r="CU209" s="20">
        <f t="shared" si="839"/>
        <v>5.3727095193476779E-2</v>
      </c>
      <c r="CV209" s="20">
        <f t="shared" si="839"/>
        <v>5.3138835507396461E-2</v>
      </c>
      <c r="CW209" s="20">
        <f t="shared" si="839"/>
        <v>5.4381024377241224E-2</v>
      </c>
      <c r="CX209" s="20">
        <f t="shared" si="839"/>
        <v>5.2304281118473864E-2</v>
      </c>
      <c r="CY209" s="20">
        <f t="shared" si="839"/>
        <v>5.6932275758677008E-2</v>
      </c>
      <c r="CZ209" s="20">
        <f t="shared" si="839"/>
        <v>5.9335834695397535E-2</v>
      </c>
      <c r="DA209" s="20">
        <f t="shared" si="839"/>
        <v>5.1600161473024292E-2</v>
      </c>
      <c r="DB209" s="20">
        <f t="shared" si="839"/>
        <v>5.0235098220680834E-2</v>
      </c>
      <c r="DC209" s="20">
        <f t="shared" si="839"/>
        <v>4.3254613013353926E-2</v>
      </c>
      <c r="DD209" s="20">
        <f t="shared" si="839"/>
        <v>4.3057086898797031E-2</v>
      </c>
      <c r="DE209" s="20">
        <f t="shared" si="839"/>
        <v>4.6526045487130963E-2</v>
      </c>
      <c r="DF209" s="20">
        <f t="shared" si="839"/>
        <v>4.3272636295277701E-2</v>
      </c>
      <c r="DG209" s="20">
        <f t="shared" si="839"/>
        <v>4.6136907220367451E-2</v>
      </c>
      <c r="DH209" s="20">
        <f t="shared" si="839"/>
        <v>4.5581303487656974E-2</v>
      </c>
      <c r="DI209" s="20">
        <f t="shared" si="839"/>
        <v>4.6765550294884689E-2</v>
      </c>
      <c r="DJ209" s="20">
        <f t="shared" si="839"/>
        <v>4.5002885833692149E-2</v>
      </c>
      <c r="DK209" s="20">
        <f t="shared" si="839"/>
        <v>4.9029385701747391E-2</v>
      </c>
      <c r="DL209" s="20">
        <f t="shared" si="839"/>
        <v>5.1245113841166125E-2</v>
      </c>
      <c r="DM209" s="20">
        <f t="shared" si="839"/>
        <v>4.4562645399961402E-2</v>
      </c>
      <c r="DN209" s="20">
        <f t="shared" si="839"/>
        <v>4.3358678897733351E-2</v>
      </c>
      <c r="DO209" s="20">
        <f t="shared" si="839"/>
        <v>3.7405231302174186E-2</v>
      </c>
      <c r="DP209" s="20">
        <f t="shared" si="839"/>
        <v>3.733386327373088E-2</v>
      </c>
      <c r="DQ209" s="20">
        <f t="shared" si="839"/>
        <v>4.0383607397615616E-2</v>
      </c>
      <c r="DR209" s="20">
        <f t="shared" si="839"/>
        <v>3.7798207082784079E-2</v>
      </c>
      <c r="DS209" s="20">
        <f t="shared" ref="DS209:ED209" si="840">DS200/DS63</f>
        <v>4.1350764254033279E-2</v>
      </c>
      <c r="DT209" s="20">
        <f t="shared" si="840"/>
        <v>4.0847213009535796E-2</v>
      </c>
      <c r="DU209" s="20">
        <f t="shared" si="840"/>
        <v>4.1941694353002733E-2</v>
      </c>
      <c r="DV209" s="20">
        <f t="shared" si="840"/>
        <v>4.0403992123862753E-2</v>
      </c>
      <c r="DW209" s="20">
        <f t="shared" si="840"/>
        <v>4.4019124302811165E-2</v>
      </c>
      <c r="DX209" s="20">
        <f t="shared" si="840"/>
        <v>4.6046765623437041E-2</v>
      </c>
      <c r="DY209" s="20">
        <f t="shared" si="840"/>
        <v>4.0083704074424464E-2</v>
      </c>
      <c r="DZ209" s="20">
        <f t="shared" si="840"/>
        <v>3.8884487553549577E-2</v>
      </c>
      <c r="EA209" s="20">
        <f t="shared" si="840"/>
        <v>3.3554462339363329E-2</v>
      </c>
      <c r="EB209" s="20">
        <f t="shared" si="840"/>
        <v>3.3513034027188207E-2</v>
      </c>
      <c r="EC209" s="20">
        <f t="shared" si="840"/>
        <v>3.6253821898836185E-2</v>
      </c>
      <c r="ED209" s="20">
        <f t="shared" si="840"/>
        <v>3.3999525713003437E-2</v>
      </c>
      <c r="EE209" s="222"/>
      <c r="EF209" s="20">
        <f t="shared" si="839"/>
        <v>6.7108732584630459E-2</v>
      </c>
      <c r="EG209" s="20">
        <f t="shared" si="839"/>
        <v>7.8274210110175116E-2</v>
      </c>
      <c r="EH209" s="20">
        <f t="shared" si="839"/>
        <v>6.7015443579088951E-2</v>
      </c>
      <c r="EI209" s="20">
        <f t="shared" si="839"/>
        <v>7.112224442120324E-2</v>
      </c>
      <c r="EJ209" s="20">
        <f t="shared" si="839"/>
        <v>6.9815076570818493E-2</v>
      </c>
      <c r="EK209" s="20">
        <f t="shared" si="839"/>
        <v>7.6455821062783563E-2</v>
      </c>
      <c r="EL209" s="20">
        <f t="shared" si="839"/>
        <v>7.1277469682404462E-2</v>
      </c>
      <c r="EM209" s="20">
        <f t="shared" si="839"/>
        <v>5.5854393219081241E-2</v>
      </c>
      <c r="EN209" s="20">
        <f t="shared" ref="EN209:FJ209" si="841">EN200/EN63</f>
        <v>5.9549814789357287E-2</v>
      </c>
      <c r="EO209" s="20">
        <f t="shared" si="841"/>
        <v>6.2861239595519064E-2</v>
      </c>
      <c r="EP209" s="20">
        <f t="shared" si="841"/>
        <v>5.3945215948687779E-2</v>
      </c>
      <c r="EQ209" s="20">
        <f t="shared" si="841"/>
        <v>4.7545755695239875E-2</v>
      </c>
      <c r="ER209" s="20">
        <f t="shared" si="841"/>
        <v>5.3744198587996388E-2</v>
      </c>
      <c r="ES209" s="20">
        <f t="shared" si="841"/>
        <v>5.6036174657204042E-2</v>
      </c>
      <c r="ET209" s="20">
        <f t="shared" si="841"/>
        <v>4.8072988978089724E-2</v>
      </c>
      <c r="EU209" s="20">
        <f t="shared" si="841"/>
        <v>4.422977589038788E-2</v>
      </c>
      <c r="EV209" s="20">
        <f t="shared" si="841"/>
        <v>4.6156187417454218E-2</v>
      </c>
      <c r="EW209" s="20">
        <f t="shared" si="841"/>
        <v>4.8285242595126399E-2</v>
      </c>
      <c r="EX209" s="20">
        <f t="shared" si="841"/>
        <v>4.1529399716197103E-2</v>
      </c>
      <c r="EY209" s="20">
        <f t="shared" si="841"/>
        <v>3.8459498027586407E-2</v>
      </c>
      <c r="EZ209" s="20">
        <f t="shared" si="841"/>
        <v>4.137506033176952E-2</v>
      </c>
      <c r="FA209" s="20">
        <f t="shared" si="841"/>
        <v>4.3362326183803139E-2</v>
      </c>
      <c r="FB209" s="20">
        <f t="shared" si="841"/>
        <v>3.7282231709479488E-2</v>
      </c>
      <c r="FC209" s="20">
        <f t="shared" si="841"/>
        <v>3.4548436258029037E-2</v>
      </c>
      <c r="FD209" s="785"/>
      <c r="FE209" s="20">
        <f t="shared" si="841"/>
        <v>7.0563497349181839E-2</v>
      </c>
      <c r="FF209" s="20">
        <f t="shared" si="841"/>
        <v>6.7136390834882292E-2</v>
      </c>
      <c r="FG209" s="20">
        <f t="shared" si="841"/>
        <v>5.5079561530892877E-2</v>
      </c>
      <c r="FH209" s="20">
        <f t="shared" si="841"/>
        <v>5.0085658961849751E-2</v>
      </c>
      <c r="FI209" s="20">
        <f t="shared" si="841"/>
        <v>4.3263572155162001E-2</v>
      </c>
      <c r="FJ209" s="20">
        <f t="shared" si="841"/>
        <v>3.8835727707108178E-2</v>
      </c>
      <c r="FK209" s="545" t="s">
        <v>1</v>
      </c>
    </row>
    <row r="210" spans="2:167" x14ac:dyDescent="0.2">
      <c r="B210" s="226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9"/>
      <c r="DX210" s="19"/>
      <c r="DY210" s="19"/>
      <c r="DZ210" s="19"/>
      <c r="EA210" s="19"/>
      <c r="EB210" s="19"/>
      <c r="EC210" s="19"/>
      <c r="ED210" s="19"/>
      <c r="EE210" s="222"/>
      <c r="EF210" s="19"/>
      <c r="EG210" s="19"/>
      <c r="EH210" s="19"/>
      <c r="EI210" s="19"/>
      <c r="EJ210" s="19"/>
      <c r="EK210" s="19"/>
      <c r="EL210" s="19"/>
      <c r="EM210" s="19"/>
      <c r="EN210" s="19"/>
      <c r="EO210" s="19"/>
      <c r="EP210" s="19"/>
      <c r="EQ210" s="19"/>
      <c r="ER210" s="19"/>
      <c r="ES210" s="19"/>
      <c r="ET210" s="19"/>
      <c r="EU210" s="19"/>
      <c r="EV210" s="19"/>
      <c r="EW210" s="19"/>
      <c r="EX210" s="19"/>
      <c r="EY210" s="19"/>
      <c r="EZ210" s="19"/>
      <c r="FA210" s="19"/>
      <c r="FB210" s="19"/>
      <c r="FC210" s="19"/>
      <c r="FE210" s="19"/>
      <c r="FF210" s="19"/>
      <c r="FG210" s="19"/>
      <c r="FH210" s="19"/>
      <c r="FI210" s="19"/>
      <c r="FJ210" s="770"/>
      <c r="FK210" s="545"/>
    </row>
    <row r="211" spans="2:167" s="30" customFormat="1" x14ac:dyDescent="0.2">
      <c r="B211" s="308" t="s">
        <v>512</v>
      </c>
      <c r="C211" s="297">
        <f>C197-C200</f>
        <v>-16239393.749999998</v>
      </c>
      <c r="D211" s="297">
        <f t="shared" ref="D211:BO211" si="842">D197-D200</f>
        <v>-16068489.843268748</v>
      </c>
      <c r="E211" s="297">
        <f t="shared" si="842"/>
        <v>-20961754.983718041</v>
      </c>
      <c r="F211" s="297">
        <f t="shared" si="842"/>
        <v>-19130817.285741966</v>
      </c>
      <c r="G211" s="297">
        <f t="shared" si="842"/>
        <v>-28708929.717383169</v>
      </c>
      <c r="H211" s="297">
        <f t="shared" si="842"/>
        <v>-24368408.666708432</v>
      </c>
      <c r="I211" s="297">
        <f t="shared" si="842"/>
        <v>-34864050.583780475</v>
      </c>
      <c r="J211" s="297">
        <f t="shared" si="842"/>
        <v>-29605507.614875562</v>
      </c>
      <c r="K211" s="297">
        <f t="shared" si="842"/>
        <v>-123724372.4916743</v>
      </c>
      <c r="L211" s="297">
        <f t="shared" si="842"/>
        <v>-49275090.365677945</v>
      </c>
      <c r="M211" s="297">
        <f t="shared" si="842"/>
        <v>-41472099.329750381</v>
      </c>
      <c r="N211" s="297">
        <f t="shared" si="842"/>
        <v>-35777213.006382316</v>
      </c>
      <c r="O211" s="297">
        <f t="shared" si="842"/>
        <v>-39225482.505246386</v>
      </c>
      <c r="P211" s="297">
        <f t="shared" si="842"/>
        <v>-46783447.723472528</v>
      </c>
      <c r="Q211" s="297">
        <f t="shared" si="842"/>
        <v>-47175007.17416811</v>
      </c>
      <c r="R211" s="297">
        <f t="shared" si="842"/>
        <v>-26238076.776991557</v>
      </c>
      <c r="S211" s="297">
        <f t="shared" si="842"/>
        <v>-24737121.855305202</v>
      </c>
      <c r="T211" s="297">
        <f t="shared" si="842"/>
        <v>-31812089.89716338</v>
      </c>
      <c r="U211" s="297">
        <f t="shared" si="842"/>
        <v>-31386258.469218194</v>
      </c>
      <c r="V211" s="297">
        <f t="shared" si="842"/>
        <v>-34214982.850949675</v>
      </c>
      <c r="W211" s="297">
        <f t="shared" si="842"/>
        <v>-28821804.90439729</v>
      </c>
      <c r="X211" s="297">
        <f t="shared" si="842"/>
        <v>-28360633.70117278</v>
      </c>
      <c r="Y211" s="297">
        <f t="shared" si="842"/>
        <v>-24166460.585655741</v>
      </c>
      <c r="Z211" s="297">
        <f t="shared" si="842"/>
        <v>-32913411.780933145</v>
      </c>
      <c r="AA211" s="297">
        <f t="shared" si="842"/>
        <v>-46746633.375833333</v>
      </c>
      <c r="AB211" s="297">
        <f t="shared" si="842"/>
        <v>-23820127.898405835</v>
      </c>
      <c r="AC211" s="297">
        <f t="shared" si="842"/>
        <v>-23084586.028092638</v>
      </c>
      <c r="AD211" s="297">
        <f t="shared" si="842"/>
        <v>-20216374.430051114</v>
      </c>
      <c r="AE211" s="297">
        <f t="shared" si="842"/>
        <v>-16167796.841463827</v>
      </c>
      <c r="AF211" s="297">
        <f t="shared" si="842"/>
        <v>-18299158.83635097</v>
      </c>
      <c r="AG211" s="297">
        <f t="shared" si="842"/>
        <v>-20012758.132340968</v>
      </c>
      <c r="AH211" s="297">
        <f t="shared" si="842"/>
        <v>-14084407.784360165</v>
      </c>
      <c r="AI211" s="297">
        <f t="shared" si="842"/>
        <v>-9471100.6935784258</v>
      </c>
      <c r="AJ211" s="297">
        <f t="shared" si="842"/>
        <v>-22529012.960795715</v>
      </c>
      <c r="AK211" s="297">
        <f t="shared" si="842"/>
        <v>-17956960.825778127</v>
      </c>
      <c r="AL211" s="297">
        <f t="shared" si="842"/>
        <v>-18284334.460739065</v>
      </c>
      <c r="AM211" s="297">
        <f t="shared" si="842"/>
        <v>-37191285.196389146</v>
      </c>
      <c r="AN211" s="297">
        <f t="shared" si="842"/>
        <v>-46621621.88596309</v>
      </c>
      <c r="AO211" s="297">
        <f t="shared" si="842"/>
        <v>-29125323.631797686</v>
      </c>
      <c r="AP211" s="297">
        <f t="shared" si="842"/>
        <v>-31755529.245554592</v>
      </c>
      <c r="AQ211" s="297">
        <f t="shared" si="842"/>
        <v>-67227227.982546359</v>
      </c>
      <c r="AR211" s="297">
        <f t="shared" si="842"/>
        <v>-76581629.667570248</v>
      </c>
      <c r="AS211" s="297">
        <f t="shared" si="842"/>
        <v>-48339071.496087953</v>
      </c>
      <c r="AT211" s="297">
        <f t="shared" si="842"/>
        <v>-45862988.383109063</v>
      </c>
      <c r="AU211" s="297">
        <f t="shared" si="842"/>
        <v>-51790250.241642609</v>
      </c>
      <c r="AV211" s="297">
        <f t="shared" si="842"/>
        <v>-60034359.576174855</v>
      </c>
      <c r="AW211" s="297">
        <f t="shared" si="842"/>
        <v>-124790670.88900729</v>
      </c>
      <c r="AX211" s="297">
        <f t="shared" si="842"/>
        <v>-165549738.09332547</v>
      </c>
      <c r="AY211" s="297">
        <f t="shared" si="842"/>
        <v>-95316567.382409379</v>
      </c>
      <c r="AZ211" s="297">
        <f t="shared" si="842"/>
        <v>-93386242.991799578</v>
      </c>
      <c r="BA211" s="297">
        <f t="shared" si="842"/>
        <v>-83735700.353833497</v>
      </c>
      <c r="BB211" s="297">
        <f t="shared" si="842"/>
        <v>-108387859.71546631</v>
      </c>
      <c r="BC211" s="297">
        <f t="shared" si="842"/>
        <v>-114587027.19393632</v>
      </c>
      <c r="BD211" s="297">
        <f t="shared" si="842"/>
        <v>-124401103.82033683</v>
      </c>
      <c r="BE211" s="297">
        <f t="shared" si="842"/>
        <v>-108832993.91954757</v>
      </c>
      <c r="BF211" s="297">
        <f t="shared" si="842"/>
        <v>-99438784.714885354</v>
      </c>
      <c r="BG211" s="297">
        <f t="shared" si="842"/>
        <v>-123071491.31206439</v>
      </c>
      <c r="BH211" s="297">
        <f t="shared" si="842"/>
        <v>-102492200.94213909</v>
      </c>
      <c r="BI211" s="297">
        <f t="shared" si="842"/>
        <v>-111028891.14159518</v>
      </c>
      <c r="BJ211" s="297">
        <f t="shared" si="842"/>
        <v>-89329009.40103215</v>
      </c>
      <c r="BK211" s="297">
        <f t="shared" si="842"/>
        <v>-55458255.011907227</v>
      </c>
      <c r="BL211" s="297">
        <f t="shared" si="842"/>
        <v>-54377882.312489994</v>
      </c>
      <c r="BM211" s="297">
        <f t="shared" si="842"/>
        <v>-45872962.325339526</v>
      </c>
      <c r="BN211" s="297">
        <f t="shared" si="842"/>
        <v>-45764058.459110126</v>
      </c>
      <c r="BO211" s="297">
        <f t="shared" si="842"/>
        <v>-42643853.292217374</v>
      </c>
      <c r="BP211" s="297">
        <f t="shared" ref="BP211:DR211" si="843">BP197-BP200</f>
        <v>-58712577.73955027</v>
      </c>
      <c r="BQ211" s="297">
        <f t="shared" si="843"/>
        <v>-35656320.498593293</v>
      </c>
      <c r="BR211" s="297">
        <f t="shared" si="843"/>
        <v>-38854142.874376744</v>
      </c>
      <c r="BS211" s="297">
        <f t="shared" si="843"/>
        <v>-44323846.265822567</v>
      </c>
      <c r="BT211" s="297">
        <f t="shared" si="843"/>
        <v>-42432894.366636634</v>
      </c>
      <c r="BU211" s="297">
        <f t="shared" si="843"/>
        <v>-27289145.13198344</v>
      </c>
      <c r="BV211" s="297">
        <f t="shared" si="843"/>
        <v>-9051008.1275644153</v>
      </c>
      <c r="BW211" s="297">
        <f t="shared" si="843"/>
        <v>-13548942.865125813</v>
      </c>
      <c r="BX211" s="297">
        <f t="shared" si="843"/>
        <v>535860.08682113141</v>
      </c>
      <c r="BY211" s="297">
        <f t="shared" si="843"/>
        <v>271432.63197518885</v>
      </c>
      <c r="BZ211" s="297">
        <f t="shared" si="843"/>
        <v>-4564329.5851961151</v>
      </c>
      <c r="CA211" s="297">
        <f t="shared" si="843"/>
        <v>-5906057.7088650987</v>
      </c>
      <c r="CB211" s="297">
        <f t="shared" si="843"/>
        <v>-12258227.023525842</v>
      </c>
      <c r="CC211" s="297">
        <f t="shared" si="843"/>
        <v>22240675.683511347</v>
      </c>
      <c r="CD211" s="297">
        <f t="shared" si="843"/>
        <v>5226763.9299252257</v>
      </c>
      <c r="CE211" s="297">
        <f t="shared" si="843"/>
        <v>6637626.8997320235</v>
      </c>
      <c r="CF211" s="297">
        <f t="shared" si="843"/>
        <v>12197187.186499774</v>
      </c>
      <c r="CG211" s="297">
        <f t="shared" si="843"/>
        <v>3335877.3436232582</v>
      </c>
      <c r="CH211" s="297">
        <f t="shared" si="843"/>
        <v>17557644.407885388</v>
      </c>
      <c r="CI211" s="297">
        <f t="shared" si="843"/>
        <v>11250084.759597152</v>
      </c>
      <c r="CJ211" s="297">
        <f t="shared" si="843"/>
        <v>10518724.825375244</v>
      </c>
      <c r="CK211" s="297">
        <f t="shared" si="843"/>
        <v>10397042.655408442</v>
      </c>
      <c r="CL211" s="297">
        <f t="shared" si="843"/>
        <v>11101404.511550903</v>
      </c>
      <c r="CM211" s="297">
        <f t="shared" si="843"/>
        <v>7952493.4848845899</v>
      </c>
      <c r="CN211" s="297">
        <f t="shared" si="843"/>
        <v>2390403.4554620236</v>
      </c>
      <c r="CO211" s="297">
        <f t="shared" si="843"/>
        <v>42215018.558481589</v>
      </c>
      <c r="CP211" s="297">
        <f t="shared" si="843"/>
        <v>22873292.631893128</v>
      </c>
      <c r="CQ211" s="297">
        <f t="shared" si="843"/>
        <v>24923871.868268088</v>
      </c>
      <c r="CR211" s="297">
        <f t="shared" si="843"/>
        <v>36291734.5465803</v>
      </c>
      <c r="CS211" s="297">
        <f t="shared" si="843"/>
        <v>29768449.01742506</v>
      </c>
      <c r="CT211" s="297">
        <f t="shared" si="843"/>
        <v>51403845.72474809</v>
      </c>
      <c r="CU211" s="297">
        <f t="shared" si="843"/>
        <v>-97064086.424081922</v>
      </c>
      <c r="CV211" s="297">
        <f t="shared" si="843"/>
        <v>28121459.598022461</v>
      </c>
      <c r="CW211" s="297">
        <f t="shared" si="843"/>
        <v>25961503.206129804</v>
      </c>
      <c r="CX211" s="297">
        <f t="shared" si="843"/>
        <v>42522239.370053604</v>
      </c>
      <c r="CY211" s="297">
        <f t="shared" si="843"/>
        <v>21616815.7912184</v>
      </c>
      <c r="CZ211" s="297">
        <f t="shared" si="843"/>
        <v>28994444.309663296</v>
      </c>
      <c r="DA211" s="297">
        <f t="shared" si="843"/>
        <v>73433150.047879875</v>
      </c>
      <c r="DB211" s="297">
        <f t="shared" si="843"/>
        <v>43450953.1040245</v>
      </c>
      <c r="DC211" s="297">
        <f t="shared" si="843"/>
        <v>78047108.075158209</v>
      </c>
      <c r="DD211" s="297">
        <f t="shared" si="843"/>
        <v>84856687.097773433</v>
      </c>
      <c r="DE211" s="297">
        <f t="shared" si="843"/>
        <v>56909460.357743233</v>
      </c>
      <c r="DF211" s="297">
        <f t="shared" si="843"/>
        <v>95434886.803676426</v>
      </c>
      <c r="DG211" s="297">
        <f t="shared" si="843"/>
        <v>61945016.02891919</v>
      </c>
      <c r="DH211" s="297">
        <f t="shared" si="843"/>
        <v>68884813.061922967</v>
      </c>
      <c r="DI211" s="297">
        <f t="shared" si="843"/>
        <v>64897899.397984326</v>
      </c>
      <c r="DJ211" s="297">
        <f t="shared" si="843"/>
        <v>84520201.907690853</v>
      </c>
      <c r="DK211" s="297">
        <f t="shared" si="843"/>
        <v>58647559.364984989</v>
      </c>
      <c r="DL211" s="297">
        <f t="shared" si="843"/>
        <v>65912987.700124532</v>
      </c>
      <c r="DM211" s="297">
        <f t="shared" si="843"/>
        <v>120285871.24663281</v>
      </c>
      <c r="DN211" s="297">
        <f t="shared" si="843"/>
        <v>85589735.785234571</v>
      </c>
      <c r="DO211" s="297">
        <f t="shared" si="843"/>
        <v>127220583.86239147</v>
      </c>
      <c r="DP211" s="297">
        <f t="shared" si="843"/>
        <v>134165403.83096793</v>
      </c>
      <c r="DQ211" s="297">
        <f t="shared" si="843"/>
        <v>99743040.796897143</v>
      </c>
      <c r="DR211" s="297">
        <f t="shared" si="843"/>
        <v>142960221.22852165</v>
      </c>
      <c r="DS211" s="297">
        <f t="shared" ref="DS211:ED211" si="844">DS197-DS200</f>
        <v>95129558.421738669</v>
      </c>
      <c r="DT211" s="297">
        <f t="shared" si="844"/>
        <v>103497489.61778013</v>
      </c>
      <c r="DU211" s="297">
        <f t="shared" si="844"/>
        <v>98016864.380802259</v>
      </c>
      <c r="DV211" s="297">
        <f t="shared" si="844"/>
        <v>120070636.73799692</v>
      </c>
      <c r="DW211" s="297">
        <f t="shared" si="844"/>
        <v>89856516.55083178</v>
      </c>
      <c r="DX211" s="297">
        <f t="shared" si="844"/>
        <v>97078277.569487467</v>
      </c>
      <c r="DY211" s="297">
        <f t="shared" si="844"/>
        <v>160290524.54387021</v>
      </c>
      <c r="DZ211" s="297">
        <f t="shared" si="844"/>
        <v>123002469.79036234</v>
      </c>
      <c r="EA211" s="297">
        <f t="shared" si="844"/>
        <v>171699265.03967792</v>
      </c>
      <c r="EB211" s="297">
        <f t="shared" si="844"/>
        <v>178978514.57370895</v>
      </c>
      <c r="EC211" s="297">
        <f t="shared" si="844"/>
        <v>138865972.81415838</v>
      </c>
      <c r="ED211" s="297">
        <f t="shared" si="844"/>
        <v>187144667.39724678</v>
      </c>
      <c r="EF211" s="297">
        <f>SUM(BK211:BM211)</f>
        <v>-155709099.64973676</v>
      </c>
      <c r="EG211" s="297">
        <f>SUM(BN211:BP211)</f>
        <v>-147120489.49087778</v>
      </c>
      <c r="EH211" s="297">
        <f>SUM(BQ211:BS211)</f>
        <v>-118834309.6387926</v>
      </c>
      <c r="EI211" s="297">
        <f>SUM(BT211:BV211)</f>
        <v>-78773047.626184493</v>
      </c>
      <c r="EJ211" s="297">
        <f>SUM(BW211:BY211)</f>
        <v>-12741650.146329492</v>
      </c>
      <c r="EK211" s="297">
        <f>SUM(BZ211:CB211)</f>
        <v>-22728614.317587055</v>
      </c>
      <c r="EL211" s="297">
        <f>SUM(CC211:CE211)</f>
        <v>34105066.513168596</v>
      </c>
      <c r="EM211" s="297">
        <f>SUM(CF211:CH211)</f>
        <v>33090708.93800842</v>
      </c>
      <c r="EN211" s="297">
        <f>SUM(CI211:CK211)</f>
        <v>32165852.240380839</v>
      </c>
      <c r="EO211" s="297">
        <f>SUM(CL211:CN211)</f>
        <v>21444301.451897517</v>
      </c>
      <c r="EP211" s="297">
        <f>SUM(CO211:CQ211)</f>
        <v>90012183.058642805</v>
      </c>
      <c r="EQ211" s="297">
        <f>SUM(CR211:CT211)</f>
        <v>117464029.28875345</v>
      </c>
      <c r="ER211" s="297">
        <f>SUM(CU211:CW211)</f>
        <v>-42981123.619929656</v>
      </c>
      <c r="ES211" s="297">
        <f>SUM(CX211:CZ211)</f>
        <v>93133499.4709353</v>
      </c>
      <c r="ET211" s="297">
        <f>SUM(DA211:DC211)</f>
        <v>194931211.22706258</v>
      </c>
      <c r="EU211" s="297">
        <f>SUM(DD211:DF211)</f>
        <v>237201034.25919309</v>
      </c>
      <c r="EV211" s="297">
        <f>SUM(DG211:DI211)</f>
        <v>195727728.48882648</v>
      </c>
      <c r="EW211" s="297">
        <f>SUM(DJ211:DL211)</f>
        <v>209080748.97280037</v>
      </c>
      <c r="EX211" s="297">
        <f>SUM(DM211:DO211)</f>
        <v>333096190.89425886</v>
      </c>
      <c r="EY211" s="297">
        <f>SUM(DP211:DR211)</f>
        <v>376868665.85638672</v>
      </c>
      <c r="EZ211" s="297">
        <f t="shared" ref="EZ211" si="845">SUM(DS211:DU211)</f>
        <v>296643912.42032105</v>
      </c>
      <c r="FA211" s="297">
        <f t="shared" ref="FA211" si="846">SUM(DV211:DX211)</f>
        <v>307005430.85831618</v>
      </c>
      <c r="FB211" s="297">
        <f t="shared" ref="FB211" si="847">SUM(DY211:EA211)</f>
        <v>454992259.37391049</v>
      </c>
      <c r="FC211" s="297">
        <f t="shared" ref="FC211" si="848">SUM(EB211:ED211)</f>
        <v>504989154.78511411</v>
      </c>
      <c r="FD211" s="30" t="s">
        <v>487</v>
      </c>
      <c r="FE211" s="297">
        <f t="shared" ref="FE211" si="849">SUM(EF211:EI211)</f>
        <v>-500436946.40559161</v>
      </c>
      <c r="FF211" s="297">
        <f t="shared" ref="FF211" si="850">SUM(EJ211:EM211)</f>
        <v>31725510.987260468</v>
      </c>
      <c r="FG211" s="297">
        <f t="shared" ref="FG211" si="851">SUM(EN211:EQ211)</f>
        <v>261086366.03967461</v>
      </c>
      <c r="FH211" s="297">
        <f t="shared" ref="FH211" si="852">SUM(ER211:EU211)</f>
        <v>482284621.33726132</v>
      </c>
      <c r="FI211" s="297">
        <f t="shared" ref="FI211" si="853">SUM(EV211:EY211)</f>
        <v>1114773334.2122724</v>
      </c>
      <c r="FJ211" s="774">
        <f t="shared" si="784"/>
        <v>1563630757.4376616</v>
      </c>
      <c r="FK211" s="545" t="s">
        <v>1</v>
      </c>
    </row>
    <row r="212" spans="2:167" x14ac:dyDescent="0.2">
      <c r="B212" s="310" t="s">
        <v>213</v>
      </c>
      <c r="C212" s="317">
        <f>C211/C63</f>
        <v>-0.11930707942007455</v>
      </c>
      <c r="D212" s="317">
        <f t="shared" ref="D212:BO212" si="854">D211/D63</f>
        <v>-0.12311154139892905</v>
      </c>
      <c r="E212" s="317">
        <f t="shared" si="854"/>
        <v>-0.14663567793104973</v>
      </c>
      <c r="F212" s="317">
        <f t="shared" si="854"/>
        <v>-0.11437631418174099</v>
      </c>
      <c r="G212" s="317">
        <f t="shared" si="854"/>
        <v>-0.15158536551339646</v>
      </c>
      <c r="H212" s="317">
        <f t="shared" si="854"/>
        <v>-0.12496521770239498</v>
      </c>
      <c r="I212" s="317">
        <f t="shared" si="854"/>
        <v>-0.16544579650440583</v>
      </c>
      <c r="J212" s="317">
        <f t="shared" si="854"/>
        <v>-0.14822188091158545</v>
      </c>
      <c r="K212" s="317">
        <f t="shared" si="854"/>
        <v>-0.49054631129369125</v>
      </c>
      <c r="L212" s="317">
        <f t="shared" si="854"/>
        <v>-0.19904373272493964</v>
      </c>
      <c r="M212" s="317">
        <f t="shared" si="854"/>
        <v>-0.16013597788960846</v>
      </c>
      <c r="N212" s="317">
        <f t="shared" si="854"/>
        <v>-0.14815414852852493</v>
      </c>
      <c r="O212" s="317">
        <f t="shared" si="854"/>
        <v>-0.12591801954957182</v>
      </c>
      <c r="P212" s="317">
        <f t="shared" si="854"/>
        <v>-0.14943597575013048</v>
      </c>
      <c r="Q212" s="317">
        <f t="shared" si="854"/>
        <v>-0.14434570361115531</v>
      </c>
      <c r="R212" s="317">
        <f t="shared" si="854"/>
        <v>-7.5356828752271982E-2</v>
      </c>
      <c r="S212" s="317">
        <f t="shared" si="854"/>
        <v>-8.9242938513724737E-2</v>
      </c>
      <c r="T212" s="317">
        <f t="shared" si="854"/>
        <v>-0.12331559958153906</v>
      </c>
      <c r="U212" s="317">
        <f t="shared" si="854"/>
        <v>-0.14210416791268457</v>
      </c>
      <c r="V212" s="317">
        <f t="shared" si="854"/>
        <v>-0.14415533271864303</v>
      </c>
      <c r="W212" s="317">
        <f t="shared" si="854"/>
        <v>-0.10238739702160789</v>
      </c>
      <c r="X212" s="317">
        <f t="shared" si="854"/>
        <v>-9.7293806406332298E-2</v>
      </c>
      <c r="Y212" s="317">
        <f t="shared" si="854"/>
        <v>-7.6838589027440868E-2</v>
      </c>
      <c r="Z212" s="317">
        <f t="shared" si="854"/>
        <v>-0.15930717957330878</v>
      </c>
      <c r="AA212" s="317">
        <f t="shared" si="854"/>
        <v>15.698749423589916</v>
      </c>
      <c r="AB212" s="317">
        <f t="shared" si="854"/>
        <v>-0.14217787840823753</v>
      </c>
      <c r="AC212" s="317">
        <f t="shared" si="854"/>
        <v>-0.12874253284147982</v>
      </c>
      <c r="AD212" s="317">
        <f t="shared" si="854"/>
        <v>-0.12923350793541838</v>
      </c>
      <c r="AE212" s="317">
        <f t="shared" si="854"/>
        <v>-6.6945979615396917E-2</v>
      </c>
      <c r="AF212" s="317">
        <f t="shared" si="854"/>
        <v>-7.2190049698914585E-2</v>
      </c>
      <c r="AG212" s="317">
        <f t="shared" si="854"/>
        <v>-8.1787790631267288E-2</v>
      </c>
      <c r="AH212" s="317">
        <f t="shared" si="854"/>
        <v>-4.9908554812229916E-2</v>
      </c>
      <c r="AI212" s="317">
        <f t="shared" si="854"/>
        <v>-2.0903077455865181E-2</v>
      </c>
      <c r="AJ212" s="317">
        <f t="shared" si="854"/>
        <v>-5.3572272015537013E-2</v>
      </c>
      <c r="AK212" s="317">
        <f t="shared" si="854"/>
        <v>-3.7977253718000287E-2</v>
      </c>
      <c r="AL212" s="317">
        <f t="shared" si="854"/>
        <v>-4.3907035313283639E-2</v>
      </c>
      <c r="AM212" s="317">
        <f t="shared" si="854"/>
        <v>-0.13034078106649127</v>
      </c>
      <c r="AN212" s="317">
        <f t="shared" si="854"/>
        <v>-0.36316844635910733</v>
      </c>
      <c r="AO212" s="317">
        <f t="shared" si="854"/>
        <v>-9.9616211414947864E-2</v>
      </c>
      <c r="AP212" s="317">
        <f t="shared" si="854"/>
        <v>-7.9349608407541641E-2</v>
      </c>
      <c r="AQ212" s="317">
        <f t="shared" si="854"/>
        <v>-0.16441765331073477</v>
      </c>
      <c r="AR212" s="317">
        <f t="shared" si="854"/>
        <v>-0.18370111796525473</v>
      </c>
      <c r="AS212" s="317">
        <f t="shared" si="854"/>
        <v>-0.12240360626999321</v>
      </c>
      <c r="AT212" s="317">
        <f t="shared" si="854"/>
        <v>-9.7580588453913999E-2</v>
      </c>
      <c r="AU212" s="317">
        <f t="shared" si="854"/>
        <v>-8.6869003971664693E-2</v>
      </c>
      <c r="AV212" s="317">
        <f t="shared" si="854"/>
        <v>-0.10364864431931253</v>
      </c>
      <c r="AW212" s="317">
        <f t="shared" si="854"/>
        <v>-0.21268786595523911</v>
      </c>
      <c r="AX212" s="317">
        <f t="shared" si="854"/>
        <v>-0.30214101796785497</v>
      </c>
      <c r="AY212" s="317">
        <f t="shared" si="854"/>
        <v>-0.19201409397419364</v>
      </c>
      <c r="AZ212" s="317">
        <f t="shared" si="854"/>
        <v>-0.16485273469449019</v>
      </c>
      <c r="BA212" s="317">
        <f t="shared" si="854"/>
        <v>-0.16617951368389197</v>
      </c>
      <c r="BB212" s="317">
        <f t="shared" si="854"/>
        <v>-0.20109864263006269</v>
      </c>
      <c r="BC212" s="317">
        <f t="shared" si="854"/>
        <v>-0.20834258728409716</v>
      </c>
      <c r="BD212" s="317">
        <f t="shared" si="854"/>
        <v>-0.22320146283339415</v>
      </c>
      <c r="BE212" s="317">
        <f t="shared" si="854"/>
        <v>-0.16700323068422637</v>
      </c>
      <c r="BF212" s="317">
        <f t="shared" si="854"/>
        <v>-0.14554069370791825</v>
      </c>
      <c r="BG212" s="317">
        <f t="shared" si="854"/>
        <v>-0.14685140614665457</v>
      </c>
      <c r="BH212" s="317">
        <f t="shared" si="854"/>
        <v>-0.12351733250701195</v>
      </c>
      <c r="BI212" s="317">
        <f t="shared" si="854"/>
        <v>-0.14660365708402845</v>
      </c>
      <c r="BJ212" s="317">
        <f t="shared" si="854"/>
        <v>-9.5837429952114528E-2</v>
      </c>
      <c r="BK212" s="317">
        <f t="shared" si="854"/>
        <v>-6.1117816234982185E-2</v>
      </c>
      <c r="BL212" s="317">
        <f t="shared" si="854"/>
        <v>-5.9393826082828449E-2</v>
      </c>
      <c r="BM212" s="317">
        <f t="shared" si="854"/>
        <v>-5.418903798462326E-2</v>
      </c>
      <c r="BN212" s="317">
        <f t="shared" si="854"/>
        <v>-6.1959488888635741E-2</v>
      </c>
      <c r="BO212" s="317">
        <f t="shared" si="854"/>
        <v>-5.4684210435328347E-2</v>
      </c>
      <c r="BP212" s="317">
        <f t="shared" ref="BP212:DR212" si="855">BP211/BP63</f>
        <v>-7.6459875774817568E-2</v>
      </c>
      <c r="BQ212" s="317">
        <f t="shared" si="855"/>
        <v>-3.6299504567043943E-2</v>
      </c>
      <c r="BR212" s="317">
        <f t="shared" si="855"/>
        <v>-4.2114554420357567E-2</v>
      </c>
      <c r="BS212" s="317">
        <f t="shared" si="855"/>
        <v>-5.3381654105570435E-2</v>
      </c>
      <c r="BT212" s="317">
        <f t="shared" si="855"/>
        <v>-5.4352879172177661E-2</v>
      </c>
      <c r="BU212" s="317">
        <f t="shared" si="855"/>
        <v>-3.8402688890562205E-2</v>
      </c>
      <c r="BV212" s="317">
        <f t="shared" si="855"/>
        <v>-1.0885222048354182E-2</v>
      </c>
      <c r="BW212" s="317">
        <f t="shared" si="855"/>
        <v>-1.592806911204233E-2</v>
      </c>
      <c r="BX212" s="317">
        <f t="shared" si="855"/>
        <v>6.0491108294930657E-4</v>
      </c>
      <c r="BY212" s="317">
        <f t="shared" si="855"/>
        <v>3.0216037738034729E-4</v>
      </c>
      <c r="BZ212" s="317">
        <f t="shared" si="855"/>
        <v>-5.1665972258325057E-3</v>
      </c>
      <c r="CA212" s="317">
        <f t="shared" si="855"/>
        <v>-7.2782352689070469E-3</v>
      </c>
      <c r="CB212" s="317">
        <f t="shared" si="855"/>
        <v>-1.6354571565989736E-2</v>
      </c>
      <c r="CC212" s="317">
        <f t="shared" si="855"/>
        <v>2.4031790956057651E-2</v>
      </c>
      <c r="CD212" s="317">
        <f t="shared" si="855"/>
        <v>5.9537832128886683E-3</v>
      </c>
      <c r="CE212" s="317">
        <f t="shared" si="855"/>
        <v>6.5085351508850278E-3</v>
      </c>
      <c r="CF212" s="317">
        <f t="shared" si="855"/>
        <v>1.0953831218287606E-2</v>
      </c>
      <c r="CG212" s="317">
        <f t="shared" si="855"/>
        <v>2.9309739043105929E-3</v>
      </c>
      <c r="CH212" s="317">
        <f t="shared" si="855"/>
        <v>1.228333701320547E-2</v>
      </c>
      <c r="CI212" s="317">
        <f t="shared" si="855"/>
        <v>8.7971949649605606E-3</v>
      </c>
      <c r="CJ212" s="317">
        <f t="shared" si="855"/>
        <v>8.3588838658044291E-3</v>
      </c>
      <c r="CK212" s="317">
        <f t="shared" si="855"/>
        <v>8.266773316193533E-3</v>
      </c>
      <c r="CL212" s="317">
        <f t="shared" si="855"/>
        <v>8.3803591726741618E-3</v>
      </c>
      <c r="CM212" s="317">
        <f t="shared" si="855"/>
        <v>7.0015123307449858E-3</v>
      </c>
      <c r="CN212" s="317">
        <f t="shared" si="855"/>
        <v>2.0735474808164832E-3</v>
      </c>
      <c r="CO212" s="317">
        <f t="shared" si="855"/>
        <v>3.0399855885926998E-2</v>
      </c>
      <c r="CP212" s="317">
        <f t="shared" si="855"/>
        <v>1.6430877166342679E-2</v>
      </c>
      <c r="CQ212" s="317">
        <f t="shared" si="855"/>
        <v>1.4729751586802677E-2</v>
      </c>
      <c r="CR212" s="317">
        <f t="shared" si="855"/>
        <v>1.9957920271629136E-2</v>
      </c>
      <c r="CS212" s="317">
        <f t="shared" si="855"/>
        <v>1.804873339004829E-2</v>
      </c>
      <c r="CT212" s="317">
        <f t="shared" si="855"/>
        <v>2.7895325265928288E-2</v>
      </c>
      <c r="CU212" s="317">
        <f t="shared" si="855"/>
        <v>-5.7140392170773019E-2</v>
      </c>
      <c r="CV212" s="317">
        <f t="shared" si="855"/>
        <v>1.637348687691078E-2</v>
      </c>
      <c r="CW212" s="317">
        <f t="shared" si="855"/>
        <v>1.5469223138133667E-2</v>
      </c>
      <c r="CX212" s="317">
        <f t="shared" si="855"/>
        <v>2.4369389542185985E-2</v>
      </c>
      <c r="CY212" s="317">
        <f t="shared" si="855"/>
        <v>1.3484708129035199E-2</v>
      </c>
      <c r="CZ212" s="317">
        <f t="shared" si="855"/>
        <v>1.8850511133389154E-2</v>
      </c>
      <c r="DA212" s="317">
        <f t="shared" si="855"/>
        <v>4.1517816390627488E-2</v>
      </c>
      <c r="DB212" s="317">
        <f t="shared" si="855"/>
        <v>2.3916512309351427E-2</v>
      </c>
      <c r="DC212" s="317">
        <f t="shared" si="855"/>
        <v>3.6989676335566046E-2</v>
      </c>
      <c r="DD212" s="317">
        <f t="shared" si="855"/>
        <v>4.0033356200710933E-2</v>
      </c>
      <c r="DE212" s="317">
        <f t="shared" si="855"/>
        <v>2.9011614177945681E-2</v>
      </c>
      <c r="DF212" s="317">
        <f t="shared" si="855"/>
        <v>4.5249293425196235E-2</v>
      </c>
      <c r="DG212" s="317">
        <f t="shared" si="855"/>
        <v>2.9823378043322808E-2</v>
      </c>
      <c r="DH212" s="317">
        <f t="shared" si="855"/>
        <v>3.2765153766411176E-2</v>
      </c>
      <c r="DI212" s="317">
        <f t="shared" si="855"/>
        <v>3.1670773818425285E-2</v>
      </c>
      <c r="DJ212" s="317">
        <f t="shared" si="855"/>
        <v>3.9691990215066059E-2</v>
      </c>
      <c r="DK212" s="317">
        <f t="shared" si="855"/>
        <v>3.0006019087692324E-2</v>
      </c>
      <c r="DL212" s="317">
        <f t="shared" si="855"/>
        <v>3.5247266790094704E-2</v>
      </c>
      <c r="DM212" s="317">
        <f t="shared" si="855"/>
        <v>5.5935505618239019E-2</v>
      </c>
      <c r="DN212" s="317">
        <f t="shared" si="855"/>
        <v>3.8725738864736604E-2</v>
      </c>
      <c r="DO212" s="317">
        <f t="shared" si="855"/>
        <v>4.9658284780138631E-2</v>
      </c>
      <c r="DP212" s="317">
        <f t="shared" si="855"/>
        <v>5.2269152757140738E-2</v>
      </c>
      <c r="DQ212" s="317">
        <f t="shared" si="855"/>
        <v>4.2032933526179005E-2</v>
      </c>
      <c r="DR212" s="317">
        <f t="shared" si="855"/>
        <v>5.6388221538397967E-2</v>
      </c>
      <c r="DS212" s="317">
        <f t="shared" ref="DS212:ED212" si="856">DS211/DS63</f>
        <v>3.9094143986956764E-2</v>
      </c>
      <c r="DT212" s="317">
        <f t="shared" si="856"/>
        <v>4.2015054641289878E-2</v>
      </c>
      <c r="DU212" s="317">
        <f t="shared" si="856"/>
        <v>4.0856340353859856E-2</v>
      </c>
      <c r="DV212" s="317">
        <f t="shared" si="856"/>
        <v>4.8214068232172044E-2</v>
      </c>
      <c r="DW212" s="317">
        <f t="shared" si="856"/>
        <v>3.9310056106732431E-2</v>
      </c>
      <c r="DX212" s="317">
        <f t="shared" si="856"/>
        <v>4.4425659036945779E-2</v>
      </c>
      <c r="DY212" s="317">
        <f t="shared" si="856"/>
        <v>6.3854040590594435E-2</v>
      </c>
      <c r="DZ212" s="317">
        <f t="shared" si="856"/>
        <v>4.7533839822355484E-2</v>
      </c>
      <c r="EA212" s="317">
        <f t="shared" si="856"/>
        <v>5.7257371502250659E-2</v>
      </c>
      <c r="EB212" s="317">
        <f t="shared" si="856"/>
        <v>5.9611127121246714E-2</v>
      </c>
      <c r="EC212" s="317">
        <f t="shared" si="856"/>
        <v>5.0033665929130798E-2</v>
      </c>
      <c r="ED212" s="317">
        <f t="shared" si="856"/>
        <v>6.3235797788358E-2</v>
      </c>
      <c r="EE212" s="222"/>
      <c r="EF212" s="317">
        <f t="shared" ref="EF212" si="857">EF211/EF63</f>
        <v>-5.8329315572222255E-2</v>
      </c>
      <c r="EG212" s="317">
        <f t="shared" ref="EG212" si="858">EG211/EG63</f>
        <v>-6.4348154952057951E-2</v>
      </c>
      <c r="EH212" s="317">
        <f t="shared" ref="EH212" si="859">EH211/EH63</f>
        <v>-4.3446561029014404E-2</v>
      </c>
      <c r="EI212" s="317">
        <f t="shared" ref="EI212" si="860">EI211/EI63</f>
        <v>-3.3913075935812366E-2</v>
      </c>
      <c r="EJ212" s="317">
        <f t="shared" ref="EJ212" si="861">EJ211/EJ63</f>
        <v>-4.8359281816184397E-3</v>
      </c>
      <c r="EK212" s="317">
        <f t="shared" ref="EK212" si="862">EK211/EK63</f>
        <v>-9.298132214470501E-3</v>
      </c>
      <c r="EL212" s="317">
        <f t="shared" ref="EL212" si="863">EL211/EL63</f>
        <v>1.2080318435577725E-2</v>
      </c>
      <c r="EM212" s="317">
        <f t="shared" ref="EM212" si="864">EM211/EM63</f>
        <v>8.9894942634056296E-3</v>
      </c>
      <c r="EN212" s="317">
        <f t="shared" ref="EN212" si="865">EN211/EN63</f>
        <v>8.4760612784745334E-3</v>
      </c>
      <c r="EO212" s="317">
        <f t="shared" ref="EO212" si="866">EO211/EO63</f>
        <v>5.934780320720371E-3</v>
      </c>
      <c r="EP212" s="317">
        <f t="shared" ref="EP212" si="867">EP211/EP63</f>
        <v>2.0124224697538492E-2</v>
      </c>
      <c r="EQ212" s="317">
        <f t="shared" ref="EQ212" si="868">EQ211/EQ63</f>
        <v>2.2119243165568968E-2</v>
      </c>
      <c r="ER212" s="317">
        <f t="shared" ref="ER212" si="869">ER211/ER63</f>
        <v>-8.4368317049664746E-3</v>
      </c>
      <c r="ES212" s="317">
        <f t="shared" ref="ES212" si="870">ES211/ES63</f>
        <v>1.9060945171851602E-2</v>
      </c>
      <c r="ET212" s="317">
        <f t="shared" ref="ET212" si="871">ET211/ET63</f>
        <v>3.4225715581961455E-2</v>
      </c>
      <c r="EU212" s="317">
        <f t="shared" ref="EU212" si="872">EU211/EU63</f>
        <v>3.8317868904272634E-2</v>
      </c>
      <c r="EV212" s="317">
        <f t="shared" ref="EV212" si="873">EV211/EV63</f>
        <v>3.1424112079628905E-2</v>
      </c>
      <c r="EW212" s="317">
        <f t="shared" ref="EW212" si="874">EW211/EW63</f>
        <v>3.5116336010315712E-2</v>
      </c>
      <c r="EX212" s="317">
        <f t="shared" ref="EX212" si="875">EX211/EX63</f>
        <v>4.8117831949973142E-2</v>
      </c>
      <c r="EY212" s="317">
        <f t="shared" ref="EY212:FC212" si="876">EY211/EY63</f>
        <v>5.0416695013158437E-2</v>
      </c>
      <c r="EZ212" s="317">
        <f t="shared" si="876"/>
        <v>4.0659825682690533E-2</v>
      </c>
      <c r="FA212" s="317">
        <f t="shared" si="876"/>
        <v>4.4101164988965456E-2</v>
      </c>
      <c r="FB212" s="317">
        <f t="shared" si="876"/>
        <v>5.6194956767503808E-2</v>
      </c>
      <c r="FC212" s="317">
        <f t="shared" si="876"/>
        <v>5.7796545070377375E-2</v>
      </c>
      <c r="FD212" s="787"/>
      <c r="FE212" s="317">
        <f t="shared" ref="FE212" si="877">FE211/FE63</f>
        <v>-4.9974833989498542E-2</v>
      </c>
      <c r="FF212" s="317">
        <f t="shared" ref="FF212" si="878">FF211/FF63</f>
        <v>2.7388649963201433E-3</v>
      </c>
      <c r="FG212" s="317">
        <f t="shared" ref="FG212" si="879">FG211/FG63</f>
        <v>1.5186900627528838E-2</v>
      </c>
      <c r="FH212" s="317">
        <f t="shared" ref="FH212" si="880">FH211/FH63</f>
        <v>2.2056004643665958E-2</v>
      </c>
      <c r="FI212" s="317">
        <f t="shared" ref="FI212:FJ212" si="881">FI211/FI63</f>
        <v>4.1940121711323192E-2</v>
      </c>
      <c r="FJ212" s="317">
        <f t="shared" si="881"/>
        <v>5.0291789912568344E-2</v>
      </c>
      <c r="FK212" s="545" t="s">
        <v>1</v>
      </c>
    </row>
    <row r="213" spans="2:167" x14ac:dyDescent="0.2">
      <c r="B213" s="226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9"/>
      <c r="DX213" s="19"/>
      <c r="DY213" s="19"/>
      <c r="DZ213" s="19"/>
      <c r="EA213" s="19"/>
      <c r="EB213" s="19"/>
      <c r="EC213" s="19"/>
      <c r="ED213" s="19"/>
      <c r="EE213" s="222"/>
      <c r="EF213" s="19"/>
      <c r="EG213" s="19"/>
      <c r="EH213" s="19"/>
      <c r="EI213" s="19"/>
      <c r="EJ213" s="19"/>
      <c r="EK213" s="19"/>
      <c r="EL213" s="19"/>
      <c r="EM213" s="19"/>
      <c r="EN213" s="19"/>
      <c r="EO213" s="19"/>
      <c r="EP213" s="19"/>
      <c r="EQ213" s="19"/>
      <c r="ER213" s="19"/>
      <c r="ES213" s="19"/>
      <c r="ET213" s="19"/>
      <c r="EU213" s="19"/>
      <c r="EV213" s="19"/>
      <c r="EW213" s="19"/>
      <c r="EX213" s="19"/>
      <c r="EY213" s="19"/>
      <c r="EZ213" s="19"/>
      <c r="FA213" s="19"/>
      <c r="FB213" s="19"/>
      <c r="FC213" s="19"/>
      <c r="FE213" s="19"/>
      <c r="FF213" s="19"/>
      <c r="FG213" s="19"/>
      <c r="FH213" s="19"/>
      <c r="FI213" s="19"/>
      <c r="FJ213" s="770"/>
      <c r="FK213" s="545"/>
    </row>
    <row r="214" spans="2:167" s="548" customFormat="1" x14ac:dyDescent="0.2">
      <c r="B214" s="324" t="s">
        <v>332</v>
      </c>
      <c r="C214" s="316">
        <f t="shared" ref="C214:BN214" si="882">SUM(C215:C224)</f>
        <v>828996</v>
      </c>
      <c r="D214" s="316">
        <f t="shared" si="882"/>
        <v>1803817</v>
      </c>
      <c r="E214" s="316">
        <f t="shared" si="882"/>
        <v>1246366</v>
      </c>
      <c r="F214" s="316">
        <f t="shared" si="882"/>
        <v>1104226</v>
      </c>
      <c r="G214" s="316">
        <f t="shared" si="882"/>
        <v>2261841.4500000002</v>
      </c>
      <c r="H214" s="316">
        <f t="shared" si="882"/>
        <v>6472615.96</v>
      </c>
      <c r="I214" s="316">
        <f t="shared" si="882"/>
        <v>7118242</v>
      </c>
      <c r="J214" s="316">
        <f t="shared" si="882"/>
        <v>926161.49</v>
      </c>
      <c r="K214" s="316">
        <f t="shared" si="882"/>
        <v>1238653.1099999999</v>
      </c>
      <c r="L214" s="316">
        <f t="shared" si="882"/>
        <v>4224940.75</v>
      </c>
      <c r="M214" s="316">
        <f t="shared" si="882"/>
        <v>1685241.1804109588</v>
      </c>
      <c r="N214" s="316">
        <f t="shared" si="882"/>
        <v>4041780.3754739729</v>
      </c>
      <c r="O214" s="316">
        <f t="shared" si="882"/>
        <v>3872674.2916164384</v>
      </c>
      <c r="P214" s="316">
        <f t="shared" si="882"/>
        <v>3221677.3016273975</v>
      </c>
      <c r="Q214" s="316">
        <f t="shared" si="882"/>
        <v>2058300.2732876712</v>
      </c>
      <c r="R214" s="316">
        <f t="shared" si="882"/>
        <v>3659239.5233333334</v>
      </c>
      <c r="S214" s="316">
        <f t="shared" si="882"/>
        <v>4430131.4000000004</v>
      </c>
      <c r="T214" s="316">
        <f t="shared" si="882"/>
        <v>5684308.71</v>
      </c>
      <c r="U214" s="316">
        <f t="shared" si="882"/>
        <v>3581748.0566666666</v>
      </c>
      <c r="V214" s="316">
        <f t="shared" si="882"/>
        <v>6437399.333333334</v>
      </c>
      <c r="W214" s="316">
        <f t="shared" si="882"/>
        <v>4095179.2199999997</v>
      </c>
      <c r="X214" s="316">
        <f t="shared" si="882"/>
        <v>3401551.9699999997</v>
      </c>
      <c r="Y214" s="316">
        <f t="shared" si="882"/>
        <v>4361460.01</v>
      </c>
      <c r="Z214" s="316">
        <f t="shared" si="882"/>
        <v>4637121.46</v>
      </c>
      <c r="AA214" s="316">
        <f t="shared" si="882"/>
        <v>3366810.96</v>
      </c>
      <c r="AB214" s="316">
        <f t="shared" si="882"/>
        <v>7810353.5199999996</v>
      </c>
      <c r="AC214" s="316">
        <f t="shared" si="882"/>
        <v>5760411.1699999999</v>
      </c>
      <c r="AD214" s="316">
        <f t="shared" si="882"/>
        <v>7653305.6699999999</v>
      </c>
      <c r="AE214" s="316">
        <f t="shared" si="882"/>
        <v>9380165.3000000007</v>
      </c>
      <c r="AF214" s="316">
        <f t="shared" si="882"/>
        <v>5644638.8100000005</v>
      </c>
      <c r="AG214" s="316">
        <f t="shared" si="882"/>
        <v>4928902.13</v>
      </c>
      <c r="AH214" s="316">
        <f t="shared" si="882"/>
        <v>5283646.38</v>
      </c>
      <c r="AI214" s="316">
        <f t="shared" si="882"/>
        <v>4651854.67</v>
      </c>
      <c r="AJ214" s="316">
        <f t="shared" si="882"/>
        <v>5980802.8799999999</v>
      </c>
      <c r="AK214" s="316">
        <f t="shared" si="882"/>
        <v>5241993.46</v>
      </c>
      <c r="AL214" s="316">
        <f t="shared" si="882"/>
        <v>20489051</v>
      </c>
      <c r="AM214" s="316">
        <f t="shared" si="882"/>
        <v>10589183</v>
      </c>
      <c r="AN214" s="316">
        <f t="shared" si="882"/>
        <v>17979971</v>
      </c>
      <c r="AO214" s="316">
        <f t="shared" si="882"/>
        <v>5881515</v>
      </c>
      <c r="AP214" s="316">
        <f t="shared" si="882"/>
        <v>7526307</v>
      </c>
      <c r="AQ214" s="316">
        <f t="shared" si="882"/>
        <v>7064632</v>
      </c>
      <c r="AR214" s="316">
        <f t="shared" si="882"/>
        <v>19547147</v>
      </c>
      <c r="AS214" s="316">
        <f t="shared" si="882"/>
        <v>2759790</v>
      </c>
      <c r="AT214" s="316">
        <f t="shared" si="882"/>
        <v>4027151</v>
      </c>
      <c r="AU214" s="316">
        <f t="shared" si="882"/>
        <v>7251249</v>
      </c>
      <c r="AV214" s="316">
        <f t="shared" si="882"/>
        <v>3651520</v>
      </c>
      <c r="AW214" s="316">
        <f t="shared" si="882"/>
        <v>3149012</v>
      </c>
      <c r="AX214" s="316">
        <f t="shared" si="882"/>
        <v>16476158</v>
      </c>
      <c r="AY214" s="316">
        <f t="shared" si="882"/>
        <v>3564724</v>
      </c>
      <c r="AZ214" s="316">
        <f t="shared" si="882"/>
        <v>4518355</v>
      </c>
      <c r="BA214" s="316">
        <f t="shared" si="882"/>
        <v>124939655</v>
      </c>
      <c r="BB214" s="316">
        <f t="shared" si="882"/>
        <v>8474558.1235869788</v>
      </c>
      <c r="BC214" s="316">
        <f t="shared" si="882"/>
        <v>24270213</v>
      </c>
      <c r="BD214" s="316">
        <f t="shared" si="882"/>
        <v>11246080</v>
      </c>
      <c r="BE214" s="316">
        <f t="shared" si="882"/>
        <v>13815047.099999979</v>
      </c>
      <c r="BF214" s="316">
        <f t="shared" si="882"/>
        <v>8914654</v>
      </c>
      <c r="BG214" s="316">
        <f t="shared" si="882"/>
        <v>17502220.259999998</v>
      </c>
      <c r="BH214" s="316">
        <f t="shared" si="882"/>
        <v>13591310.81000003</v>
      </c>
      <c r="BI214" s="316">
        <f t="shared" si="882"/>
        <v>7319357</v>
      </c>
      <c r="BJ214" s="316">
        <f t="shared" si="882"/>
        <v>16216330</v>
      </c>
      <c r="BK214" s="316">
        <f t="shared" si="882"/>
        <v>26654254.329999998</v>
      </c>
      <c r="BL214" s="316">
        <f t="shared" si="882"/>
        <v>25384029</v>
      </c>
      <c r="BM214" s="316">
        <f t="shared" si="882"/>
        <v>19940231.240000002</v>
      </c>
      <c r="BN214" s="316">
        <f t="shared" si="882"/>
        <v>18592786</v>
      </c>
      <c r="BO214" s="316">
        <f t="shared" ref="BO214:DR214" si="883">SUM(BO215:BO224)</f>
        <v>10888073.1</v>
      </c>
      <c r="BP214" s="316">
        <f t="shared" si="883"/>
        <v>11421970.189999999</v>
      </c>
      <c r="BQ214" s="316">
        <f t="shared" si="883"/>
        <v>13317117.68</v>
      </c>
      <c r="BR214" s="316">
        <f t="shared" si="883"/>
        <v>12973360.370000001</v>
      </c>
      <c r="BS214" s="316">
        <f t="shared" si="883"/>
        <v>15598870</v>
      </c>
      <c r="BT214" s="316">
        <f t="shared" si="883"/>
        <v>28492780</v>
      </c>
      <c r="BU214" s="316">
        <f t="shared" si="883"/>
        <v>19161729</v>
      </c>
      <c r="BV214" s="316">
        <f t="shared" si="883"/>
        <v>15875883</v>
      </c>
      <c r="BW214" s="316">
        <f t="shared" si="883"/>
        <v>17426957</v>
      </c>
      <c r="BX214" s="316">
        <f t="shared" si="883"/>
        <v>15963406</v>
      </c>
      <c r="BY214" s="316">
        <f t="shared" si="883"/>
        <v>13213294</v>
      </c>
      <c r="BZ214" s="316">
        <f t="shared" si="883"/>
        <v>14416762</v>
      </c>
      <c r="CA214" s="316">
        <f t="shared" si="883"/>
        <v>15136866</v>
      </c>
      <c r="CB214" s="316">
        <f t="shared" si="883"/>
        <v>14739709</v>
      </c>
      <c r="CC214" s="316">
        <f t="shared" si="883"/>
        <v>15976190</v>
      </c>
      <c r="CD214" s="316">
        <f t="shared" si="883"/>
        <v>12614458</v>
      </c>
      <c r="CE214" s="316">
        <f t="shared" si="883"/>
        <v>15245274</v>
      </c>
      <c r="CF214" s="316">
        <f t="shared" si="883"/>
        <v>16021853</v>
      </c>
      <c r="CG214" s="316">
        <f t="shared" si="883"/>
        <v>13709363</v>
      </c>
      <c r="CH214" s="316">
        <f t="shared" si="883"/>
        <v>11926962</v>
      </c>
      <c r="CI214" s="316">
        <f t="shared" si="883"/>
        <v>12069526</v>
      </c>
      <c r="CJ214" s="316">
        <f t="shared" si="883"/>
        <v>15237446</v>
      </c>
      <c r="CK214" s="316">
        <f t="shared" si="883"/>
        <v>11112694</v>
      </c>
      <c r="CL214" s="316">
        <f t="shared" si="883"/>
        <v>8929782</v>
      </c>
      <c r="CM214" s="316">
        <f t="shared" si="883"/>
        <v>7847411.6500000004</v>
      </c>
      <c r="CN214" s="316">
        <f t="shared" si="883"/>
        <v>9671193</v>
      </c>
      <c r="CO214" s="316">
        <f t="shared" si="883"/>
        <v>9927469</v>
      </c>
      <c r="CP214" s="316">
        <f t="shared" si="883"/>
        <v>9647675</v>
      </c>
      <c r="CQ214" s="316">
        <f t="shared" si="883"/>
        <v>6370717</v>
      </c>
      <c r="CR214" s="316">
        <f t="shared" si="883"/>
        <v>3781784</v>
      </c>
      <c r="CS214" s="316">
        <f t="shared" si="883"/>
        <v>6697820</v>
      </c>
      <c r="CT214" s="316">
        <f t="shared" si="883"/>
        <v>3757262</v>
      </c>
      <c r="CU214" s="316">
        <f t="shared" si="883"/>
        <v>1286507.8625142977</v>
      </c>
      <c r="CV214" s="316">
        <f t="shared" si="883"/>
        <v>1300749.8138878308</v>
      </c>
      <c r="CW214" s="316">
        <f t="shared" si="883"/>
        <v>1271037.6677896723</v>
      </c>
      <c r="CX214" s="316">
        <f t="shared" si="883"/>
        <v>1321504.2615708318</v>
      </c>
      <c r="CY214" s="316">
        <f t="shared" si="883"/>
        <v>1214079.8778086335</v>
      </c>
      <c r="CZ214" s="316">
        <f t="shared" si="883"/>
        <v>1164900.2790858762</v>
      </c>
      <c r="DA214" s="316">
        <f t="shared" si="883"/>
        <v>1339537.0949100025</v>
      </c>
      <c r="DB214" s="316">
        <f t="shared" si="883"/>
        <v>1375937.0011146208</v>
      </c>
      <c r="DC214" s="316">
        <f t="shared" si="883"/>
        <v>1597987.4880656681</v>
      </c>
      <c r="DD214" s="316">
        <f t="shared" si="883"/>
        <v>1605318.3198139945</v>
      </c>
      <c r="DE214" s="316">
        <f t="shared" si="883"/>
        <v>1485626.59200384</v>
      </c>
      <c r="DF214" s="316">
        <f t="shared" si="883"/>
        <v>1597321.9178237366</v>
      </c>
      <c r="DG214" s="316">
        <f t="shared" si="883"/>
        <v>1573064.8474036807</v>
      </c>
      <c r="DH214" s="316">
        <f t="shared" si="883"/>
        <v>1592239.3912218448</v>
      </c>
      <c r="DI214" s="316">
        <f t="shared" si="883"/>
        <v>1551919.0185649039</v>
      </c>
      <c r="DJ214" s="316">
        <f t="shared" si="883"/>
        <v>1612704.2871092863</v>
      </c>
      <c r="DK214" s="316">
        <f t="shared" si="883"/>
        <v>1480262.2116821364</v>
      </c>
      <c r="DL214" s="316">
        <f t="shared" si="883"/>
        <v>1416258.8679427074</v>
      </c>
      <c r="DM214" s="316">
        <f t="shared" si="883"/>
        <v>1628636.4120642613</v>
      </c>
      <c r="DN214" s="316">
        <f t="shared" si="883"/>
        <v>1673859.7383805241</v>
      </c>
      <c r="DO214" s="316">
        <f t="shared" si="883"/>
        <v>1940272.6407433441</v>
      </c>
      <c r="DP214" s="316">
        <f t="shared" si="883"/>
        <v>1943981.6979067309</v>
      </c>
      <c r="DQ214" s="316">
        <f t="shared" si="883"/>
        <v>1797173.4471787247</v>
      </c>
      <c r="DR214" s="316">
        <f t="shared" si="883"/>
        <v>1920100.2512455517</v>
      </c>
      <c r="DS214" s="316">
        <f t="shared" ref="DS214:ED214" si="884">SUM(DS215:DS224)</f>
        <v>0</v>
      </c>
      <c r="DT214" s="316">
        <f t="shared" si="884"/>
        <v>0</v>
      </c>
      <c r="DU214" s="316">
        <f t="shared" si="884"/>
        <v>0</v>
      </c>
      <c r="DV214" s="316">
        <f t="shared" si="884"/>
        <v>0</v>
      </c>
      <c r="DW214" s="316">
        <f t="shared" si="884"/>
        <v>0</v>
      </c>
      <c r="DX214" s="316">
        <f t="shared" si="884"/>
        <v>0</v>
      </c>
      <c r="DY214" s="316">
        <f t="shared" si="884"/>
        <v>0</v>
      </c>
      <c r="DZ214" s="316">
        <f t="shared" si="884"/>
        <v>0</v>
      </c>
      <c r="EA214" s="316">
        <f t="shared" si="884"/>
        <v>0</v>
      </c>
      <c r="EB214" s="316">
        <f t="shared" si="884"/>
        <v>0</v>
      </c>
      <c r="EC214" s="316">
        <f t="shared" si="884"/>
        <v>0</v>
      </c>
      <c r="ED214" s="316">
        <f t="shared" si="884"/>
        <v>0</v>
      </c>
      <c r="EF214" s="316">
        <f t="shared" ref="EF214:EF226" si="885">SUM(BK214:BM214)</f>
        <v>71978514.569999993</v>
      </c>
      <c r="EG214" s="316">
        <f t="shared" ref="EG214:EG226" si="886">SUM(BN214:BP214)</f>
        <v>40902829.289999999</v>
      </c>
      <c r="EH214" s="316">
        <f t="shared" ref="EH214:EH226" si="887">SUM(BQ214:BS214)</f>
        <v>41889348.049999997</v>
      </c>
      <c r="EI214" s="316">
        <f t="shared" ref="EI214:EI226" si="888">SUM(BT214:BV214)</f>
        <v>63530392</v>
      </c>
      <c r="EJ214" s="316">
        <f t="shared" ref="EJ214:EJ226" si="889">SUM(BW214:BY214)</f>
        <v>46603657</v>
      </c>
      <c r="EK214" s="316">
        <f t="shared" ref="EK214:EK226" si="890">SUM(BZ214:CB214)</f>
        <v>44293337</v>
      </c>
      <c r="EL214" s="316">
        <f t="shared" ref="EL214:EL226" si="891">SUM(CC214:CE214)</f>
        <v>43835922</v>
      </c>
      <c r="EM214" s="316">
        <f t="shared" ref="EM214:EM226" si="892">SUM(CF214:CH214)</f>
        <v>41658178</v>
      </c>
      <c r="EN214" s="316">
        <f t="shared" ref="EN214:EN226" si="893">SUM(CI214:CK214)</f>
        <v>38419666</v>
      </c>
      <c r="EO214" s="316">
        <f t="shared" ref="EO214:EO226" si="894">SUM(CL214:CN214)</f>
        <v>26448386.649999999</v>
      </c>
      <c r="EP214" s="316">
        <f t="shared" ref="EP214:EP226" si="895">SUM(CO214:CQ214)</f>
        <v>25945861</v>
      </c>
      <c r="EQ214" s="316">
        <f t="shared" ref="EQ214:EQ226" si="896">SUM(CR214:CT214)</f>
        <v>14236866</v>
      </c>
      <c r="ER214" s="316">
        <f t="shared" ref="ER214:ER226" si="897">SUM(CU214:CW214)</f>
        <v>3858295.3441918008</v>
      </c>
      <c r="ES214" s="316">
        <f t="shared" ref="ES214:ES226" si="898">SUM(CX214:CZ214)</f>
        <v>3700484.4184653414</v>
      </c>
      <c r="ET214" s="316">
        <f t="shared" ref="ET214:ET226" si="899">SUM(DA214:DC214)</f>
        <v>4313461.5840902915</v>
      </c>
      <c r="EU214" s="316">
        <f t="shared" ref="EU214:EU226" si="900">SUM(DD214:DF214)</f>
        <v>4688266.8296415713</v>
      </c>
      <c r="EV214" s="316">
        <f t="shared" ref="EV214:EV226" si="901">SUM(DG214:DI214)</f>
        <v>4717223.2571904296</v>
      </c>
      <c r="EW214" s="316">
        <f t="shared" ref="EW214:EW226" si="902">SUM(DJ214:DL214)</f>
        <v>4509225.3667341303</v>
      </c>
      <c r="EX214" s="316">
        <f t="shared" ref="EX214:EX226" si="903">SUM(DM214:DO214)</f>
        <v>5242768.7911881292</v>
      </c>
      <c r="EY214" s="316">
        <f t="shared" ref="EY214:EY226" si="904">SUM(DP214:DR214)</f>
        <v>5661255.3963310076</v>
      </c>
      <c r="EZ214" s="297">
        <f t="shared" ref="EZ214" si="905">SUM(DS214:DU214)</f>
        <v>0</v>
      </c>
      <c r="FA214" s="297">
        <f t="shared" ref="FA214" si="906">SUM(DV214:DX214)</f>
        <v>0</v>
      </c>
      <c r="FB214" s="297">
        <f t="shared" ref="FB214" si="907">SUM(DY214:EA214)</f>
        <v>0</v>
      </c>
      <c r="FC214" s="297">
        <f t="shared" ref="FC214" si="908">SUM(EB214:ED214)</f>
        <v>0</v>
      </c>
      <c r="FE214" s="316">
        <f t="shared" ref="FE214" si="909">SUM(EF214:EI214)</f>
        <v>218301083.90999997</v>
      </c>
      <c r="FF214" s="316">
        <f t="shared" ref="FF214" si="910">SUM(EJ214:EM214)</f>
        <v>176391094</v>
      </c>
      <c r="FG214" s="316">
        <f t="shared" ref="FG214" si="911">SUM(EN214:EQ214)</f>
        <v>105050779.65000001</v>
      </c>
      <c r="FH214" s="316">
        <f t="shared" ref="FH214" si="912">SUM(ER214:EU214)</f>
        <v>16560508.176389005</v>
      </c>
      <c r="FI214" s="316">
        <f t="shared" ref="FI214" si="913">SUM(EV214:EY214)</f>
        <v>20130472.811443698</v>
      </c>
      <c r="FJ214" s="790">
        <f t="shared" si="784"/>
        <v>0</v>
      </c>
      <c r="FK214" s="545" t="s">
        <v>1</v>
      </c>
    </row>
    <row r="215" spans="2:167" x14ac:dyDescent="0.2">
      <c r="B215" s="306" t="s">
        <v>333</v>
      </c>
      <c r="C215" s="318">
        <v>745797</v>
      </c>
      <c r="D215" s="318">
        <v>751643</v>
      </c>
      <c r="E215" s="318">
        <v>703150</v>
      </c>
      <c r="F215" s="318">
        <v>701534</v>
      </c>
      <c r="G215" s="318">
        <v>676479.45</v>
      </c>
      <c r="H215" s="318">
        <v>630410.96</v>
      </c>
      <c r="I215" s="318">
        <v>626370</v>
      </c>
      <c r="J215" s="318">
        <v>581917</v>
      </c>
      <c r="K215" s="318">
        <v>904268.11</v>
      </c>
      <c r="L215" s="318">
        <v>795940.75</v>
      </c>
      <c r="M215" s="318">
        <v>551443.74041095888</v>
      </c>
      <c r="N215" s="318">
        <v>703470.44</v>
      </c>
      <c r="O215" s="318">
        <v>965071.48</v>
      </c>
      <c r="P215" s="318">
        <v>1404956</v>
      </c>
      <c r="Q215" s="318">
        <v>415414</v>
      </c>
      <c r="R215" s="318">
        <v>1386082.19</v>
      </c>
      <c r="S215" s="318">
        <v>1361027.4</v>
      </c>
      <c r="T215" s="319">
        <v>2292081.71</v>
      </c>
      <c r="U215" s="318">
        <v>1443581.39</v>
      </c>
      <c r="V215" s="318">
        <v>1865281</v>
      </c>
      <c r="W215" s="318">
        <v>1656145.22</v>
      </c>
      <c r="X215" s="318">
        <v>1445646.05</v>
      </c>
      <c r="Y215" s="318">
        <v>1743077.01</v>
      </c>
      <c r="Z215" s="318">
        <v>1701713.46</v>
      </c>
      <c r="AA215" s="318">
        <v>1183422</v>
      </c>
      <c r="AB215" s="318">
        <v>1101398.52</v>
      </c>
      <c r="AC215" s="318">
        <v>969108.85</v>
      </c>
      <c r="AD215" s="318">
        <v>1171926.23</v>
      </c>
      <c r="AE215" s="318">
        <v>1496972.0899999999</v>
      </c>
      <c r="AF215" s="318">
        <v>2055502.81</v>
      </c>
      <c r="AG215" s="318">
        <v>3023198.13</v>
      </c>
      <c r="AH215" s="318">
        <v>3838729.38</v>
      </c>
      <c r="AI215" s="318">
        <v>3928847.67</v>
      </c>
      <c r="AJ215" s="318">
        <v>3413376.88</v>
      </c>
      <c r="AK215" s="318">
        <v>2470778.46</v>
      </c>
      <c r="AL215" s="320">
        <v>1536131</v>
      </c>
      <c r="AM215" s="320">
        <v>1372534</v>
      </c>
      <c r="AN215" s="320">
        <v>1505986</v>
      </c>
      <c r="AO215" s="320">
        <v>2203678</v>
      </c>
      <c r="AP215" s="320">
        <v>2223016</v>
      </c>
      <c r="AQ215" s="320">
        <v>2192772</v>
      </c>
      <c r="AR215" s="320">
        <v>2073972</v>
      </c>
      <c r="AS215" s="320">
        <v>2313700</v>
      </c>
      <c r="AT215" s="320">
        <v>3126847</v>
      </c>
      <c r="AU215" s="320">
        <v>3306678</v>
      </c>
      <c r="AV215" s="320">
        <v>3098433</v>
      </c>
      <c r="AW215" s="320">
        <v>2654643</v>
      </c>
      <c r="AX215" s="320">
        <v>3560570</v>
      </c>
      <c r="AY215" s="320">
        <v>2992741</v>
      </c>
      <c r="AZ215" s="320">
        <v>4116149</v>
      </c>
      <c r="BA215" s="320">
        <v>2174836</v>
      </c>
      <c r="BB215" s="320">
        <v>880349</v>
      </c>
      <c r="BC215" s="320">
        <v>595206</v>
      </c>
      <c r="BD215" s="320">
        <v>1401668</v>
      </c>
      <c r="BE215" s="320">
        <v>1796852</v>
      </c>
      <c r="BF215" s="320">
        <v>1247416</v>
      </c>
      <c r="BG215" s="320">
        <v>1801462</v>
      </c>
      <c r="BH215" s="320">
        <v>924563</v>
      </c>
      <c r="BI215" s="320">
        <v>1701286</v>
      </c>
      <c r="BJ215" s="320">
        <v>1916013</v>
      </c>
      <c r="BK215" s="320">
        <v>897020</v>
      </c>
      <c r="BL215" s="320">
        <v>824678</v>
      </c>
      <c r="BM215" s="320">
        <v>131843.24</v>
      </c>
      <c r="BN215" s="320">
        <v>605028</v>
      </c>
      <c r="BO215" s="320">
        <v>1258625</v>
      </c>
      <c r="BP215" s="320">
        <v>1038473.19</v>
      </c>
      <c r="BQ215" s="320">
        <v>1623205.68</v>
      </c>
      <c r="BR215" s="320">
        <v>2365526</v>
      </c>
      <c r="BS215" s="320">
        <v>2508582</v>
      </c>
      <c r="BT215" s="320">
        <v>2289600</v>
      </c>
      <c r="BU215" s="320">
        <v>1905797</v>
      </c>
      <c r="BV215" s="320">
        <v>1408938</v>
      </c>
      <c r="BW215" s="320">
        <v>1055045</v>
      </c>
      <c r="BX215" s="320">
        <v>111943</v>
      </c>
      <c r="BY215" s="320">
        <v>116070</v>
      </c>
      <c r="BZ215" s="320">
        <v>33664</v>
      </c>
      <c r="CA215" s="320">
        <v>612442</v>
      </c>
      <c r="CB215" s="320">
        <v>463444</v>
      </c>
      <c r="CC215" s="320">
        <v>493182</v>
      </c>
      <c r="CD215" s="320">
        <v>1519163</v>
      </c>
      <c r="CE215" s="320">
        <v>4227958</v>
      </c>
      <c r="CF215" s="320">
        <v>5003758</v>
      </c>
      <c r="CG215" s="320">
        <v>4659235</v>
      </c>
      <c r="CH215" s="320">
        <v>2112075</v>
      </c>
      <c r="CI215" s="320">
        <v>1594273</v>
      </c>
      <c r="CJ215" s="320">
        <v>422073</v>
      </c>
      <c r="CK215" s="320">
        <v>270328</v>
      </c>
      <c r="CL215" s="320">
        <v>124370</v>
      </c>
      <c r="CM215" s="320">
        <v>0</v>
      </c>
      <c r="CN215" s="320">
        <v>570988</v>
      </c>
      <c r="CO215" s="320">
        <v>2777253</v>
      </c>
      <c r="CP215" s="320">
        <v>3750596</v>
      </c>
      <c r="CQ215" s="320">
        <v>2599081</v>
      </c>
      <c r="CR215" s="320">
        <v>616500</v>
      </c>
      <c r="CS215" s="320">
        <v>1224088</v>
      </c>
      <c r="CT215" s="320">
        <v>938661</v>
      </c>
      <c r="CU215" s="19">
        <f>'P&amp;L - Inputs'!CT757</f>
        <v>0</v>
      </c>
      <c r="CV215" s="19">
        <f>'P&amp;L - Inputs'!CU757</f>
        <v>0</v>
      </c>
      <c r="CW215" s="19">
        <f>'P&amp;L - Inputs'!CV757</f>
        <v>0</v>
      </c>
      <c r="CX215" s="19">
        <f>'P&amp;L - Inputs'!CW757</f>
        <v>0</v>
      </c>
      <c r="CY215" s="19">
        <f>'P&amp;L - Inputs'!CX757</f>
        <v>0</v>
      </c>
      <c r="CZ215" s="19">
        <f>'P&amp;L - Inputs'!CY757</f>
        <v>0</v>
      </c>
      <c r="DA215" s="19">
        <f>'P&amp;L - Inputs'!CZ757</f>
        <v>0</v>
      </c>
      <c r="DB215" s="19">
        <f>'P&amp;L - Inputs'!DA757</f>
        <v>0</v>
      </c>
      <c r="DC215" s="19">
        <f>'P&amp;L - Inputs'!DB757</f>
        <v>0</v>
      </c>
      <c r="DD215" s="19">
        <f>'P&amp;L - Inputs'!DC757</f>
        <v>0</v>
      </c>
      <c r="DE215" s="19">
        <f>'P&amp;L - Inputs'!DD757</f>
        <v>0</v>
      </c>
      <c r="DF215" s="19">
        <f>'P&amp;L - Inputs'!DE757</f>
        <v>0</v>
      </c>
      <c r="DG215" s="19">
        <f>'P&amp;L - Inputs'!DF757</f>
        <v>0</v>
      </c>
      <c r="DH215" s="19">
        <f>'P&amp;L - Inputs'!DG757</f>
        <v>0</v>
      </c>
      <c r="DI215" s="19">
        <f>'P&amp;L - Inputs'!DH757</f>
        <v>0</v>
      </c>
      <c r="DJ215" s="19">
        <f>'P&amp;L - Inputs'!DI757</f>
        <v>0</v>
      </c>
      <c r="DK215" s="19">
        <f>'P&amp;L - Inputs'!DJ757</f>
        <v>0</v>
      </c>
      <c r="DL215" s="19">
        <f>'P&amp;L - Inputs'!DK757</f>
        <v>0</v>
      </c>
      <c r="DM215" s="19">
        <f>'P&amp;L - Inputs'!DL757</f>
        <v>0</v>
      </c>
      <c r="DN215" s="19">
        <f>'P&amp;L - Inputs'!DM757</f>
        <v>0</v>
      </c>
      <c r="DO215" s="19">
        <f>'P&amp;L - Inputs'!DN757</f>
        <v>0</v>
      </c>
      <c r="DP215" s="19">
        <f>'P&amp;L - Inputs'!DO757</f>
        <v>0</v>
      </c>
      <c r="DQ215" s="19">
        <f>'P&amp;L - Inputs'!DP757</f>
        <v>0</v>
      </c>
      <c r="DR215" s="19">
        <f>'P&amp;L - Inputs'!DQ757</f>
        <v>0</v>
      </c>
      <c r="DS215" s="19">
        <f>'P&amp;L - Inputs'!DR757</f>
        <v>0</v>
      </c>
      <c r="DT215" s="19">
        <f>'P&amp;L - Inputs'!DS757</f>
        <v>0</v>
      </c>
      <c r="DU215" s="19">
        <f>'P&amp;L - Inputs'!DT757</f>
        <v>0</v>
      </c>
      <c r="DV215" s="19">
        <f>'P&amp;L - Inputs'!DU757</f>
        <v>0</v>
      </c>
      <c r="DW215" s="19">
        <f>'P&amp;L - Inputs'!DV757</f>
        <v>0</v>
      </c>
      <c r="DX215" s="19">
        <f>'P&amp;L - Inputs'!DW757</f>
        <v>0</v>
      </c>
      <c r="DY215" s="19">
        <f>'P&amp;L - Inputs'!DX757</f>
        <v>0</v>
      </c>
      <c r="DZ215" s="19">
        <f>'P&amp;L - Inputs'!DY757</f>
        <v>0</v>
      </c>
      <c r="EA215" s="19">
        <f>'P&amp;L - Inputs'!DZ757</f>
        <v>0</v>
      </c>
      <c r="EB215" s="19">
        <f>'P&amp;L - Inputs'!EA757</f>
        <v>0</v>
      </c>
      <c r="EC215" s="19">
        <f>'P&amp;L - Inputs'!EB757</f>
        <v>0</v>
      </c>
      <c r="ED215" s="19">
        <f>'P&amp;L - Inputs'!EC757</f>
        <v>0</v>
      </c>
      <c r="EE215" s="222"/>
      <c r="EF215" s="19">
        <f t="shared" si="885"/>
        <v>1853541.24</v>
      </c>
      <c r="EG215" s="19">
        <f t="shared" si="886"/>
        <v>2902126.19</v>
      </c>
      <c r="EH215" s="19">
        <f t="shared" si="887"/>
        <v>6497313.6799999997</v>
      </c>
      <c r="EI215" s="19">
        <f t="shared" si="888"/>
        <v>5604335</v>
      </c>
      <c r="EJ215" s="19">
        <f t="shared" si="889"/>
        <v>1283058</v>
      </c>
      <c r="EK215" s="19">
        <f t="shared" si="890"/>
        <v>1109550</v>
      </c>
      <c r="EL215" s="19">
        <f t="shared" si="891"/>
        <v>6240303</v>
      </c>
      <c r="EM215" s="19">
        <f t="shared" si="892"/>
        <v>11775068</v>
      </c>
      <c r="EN215" s="19">
        <f t="shared" si="893"/>
        <v>2286674</v>
      </c>
      <c r="EO215" s="19">
        <f t="shared" si="894"/>
        <v>695358</v>
      </c>
      <c r="EP215" s="19">
        <f t="shared" si="895"/>
        <v>9126930</v>
      </c>
      <c r="EQ215" s="19">
        <f t="shared" si="896"/>
        <v>2779249</v>
      </c>
      <c r="ER215" s="19">
        <f t="shared" si="897"/>
        <v>0</v>
      </c>
      <c r="ES215" s="19">
        <f t="shared" si="898"/>
        <v>0</v>
      </c>
      <c r="ET215" s="19">
        <f t="shared" si="899"/>
        <v>0</v>
      </c>
      <c r="EU215" s="19">
        <f t="shared" si="900"/>
        <v>0</v>
      </c>
      <c r="EV215" s="19">
        <f t="shared" si="901"/>
        <v>0</v>
      </c>
      <c r="EW215" s="19">
        <f t="shared" si="902"/>
        <v>0</v>
      </c>
      <c r="EX215" s="19">
        <f t="shared" si="903"/>
        <v>0</v>
      </c>
      <c r="EY215" s="19">
        <f t="shared" si="904"/>
        <v>0</v>
      </c>
      <c r="EZ215" s="19">
        <f t="shared" ref="EZ215:EZ229" si="914">SUM(DS215:DU215)</f>
        <v>0</v>
      </c>
      <c r="FA215" s="19">
        <f t="shared" ref="FA215:FA229" si="915">SUM(DV215:DX215)</f>
        <v>0</v>
      </c>
      <c r="FB215" s="19">
        <f t="shared" ref="FB215:FB229" si="916">SUM(DY215:EA215)</f>
        <v>0</v>
      </c>
      <c r="FC215" s="19">
        <f t="shared" ref="FC215:FC229" si="917">SUM(EB215:ED215)</f>
        <v>0</v>
      </c>
      <c r="FE215" s="19">
        <f t="shared" ref="FE215:FE232" si="918">SUM(EF215:EI215)</f>
        <v>16857316.109999999</v>
      </c>
      <c r="FF215" s="19">
        <f t="shared" ref="FF215:FF232" si="919">SUM(EJ215:EM215)</f>
        <v>20407979</v>
      </c>
      <c r="FG215" s="19">
        <f t="shared" ref="FG215:FG232" si="920">SUM(EN215:EQ215)</f>
        <v>14888211</v>
      </c>
      <c r="FH215" s="19">
        <f t="shared" ref="FH215:FH232" si="921">SUM(ER215:EU215)</f>
        <v>0</v>
      </c>
      <c r="FI215" s="19">
        <f t="shared" ref="FI215:FI232" si="922">SUM(EV215:EY215)</f>
        <v>0</v>
      </c>
      <c r="FJ215" s="770">
        <f t="shared" si="784"/>
        <v>0</v>
      </c>
      <c r="FK215" s="545" t="s">
        <v>1</v>
      </c>
    </row>
    <row r="216" spans="2:167" x14ac:dyDescent="0.2">
      <c r="B216" s="306" t="s">
        <v>158</v>
      </c>
      <c r="C216" s="320">
        <v>83199</v>
      </c>
      <c r="D216" s="320">
        <v>1052174</v>
      </c>
      <c r="E216" s="320">
        <v>543216</v>
      </c>
      <c r="F216" s="320">
        <v>402692</v>
      </c>
      <c r="G216" s="320">
        <v>1585362</v>
      </c>
      <c r="H216" s="320">
        <v>5842205</v>
      </c>
      <c r="I216" s="320">
        <v>6491872</v>
      </c>
      <c r="J216" s="320">
        <v>344244.49</v>
      </c>
      <c r="K216" s="320">
        <v>334385</v>
      </c>
      <c r="L216" s="320">
        <v>3429000</v>
      </c>
      <c r="M216" s="320">
        <v>1133797.44</v>
      </c>
      <c r="N216" s="320">
        <v>3338309.9354739729</v>
      </c>
      <c r="O216" s="320">
        <v>2907602.8116164384</v>
      </c>
      <c r="P216" s="320">
        <v>1816721.3016273973</v>
      </c>
      <c r="Q216" s="320">
        <v>1642886.2732876712</v>
      </c>
      <c r="R216" s="318">
        <v>2273157.3333333335</v>
      </c>
      <c r="S216" s="320">
        <v>3069104</v>
      </c>
      <c r="T216" s="319">
        <v>3392227</v>
      </c>
      <c r="U216" s="320">
        <v>2138166.666666667</v>
      </c>
      <c r="V216" s="318">
        <v>4572118.333333334</v>
      </c>
      <c r="W216" s="318">
        <v>2439034</v>
      </c>
      <c r="X216" s="318">
        <v>1955905.92</v>
      </c>
      <c r="Y216" s="318">
        <v>2618383</v>
      </c>
      <c r="Z216" s="318">
        <v>2935408</v>
      </c>
      <c r="AA216" s="318">
        <v>2183388.96</v>
      </c>
      <c r="AB216" s="318">
        <v>958721</v>
      </c>
      <c r="AC216" s="318">
        <v>1775192.32</v>
      </c>
      <c r="AD216" s="318">
        <v>2944616.44</v>
      </c>
      <c r="AE216" s="318">
        <v>6019690.21</v>
      </c>
      <c r="AF216" s="318">
        <v>1697355</v>
      </c>
      <c r="AG216" s="318">
        <v>1462088</v>
      </c>
      <c r="AH216" s="318">
        <v>845042</v>
      </c>
      <c r="AI216" s="318">
        <v>723007</v>
      </c>
      <c r="AJ216" s="318">
        <v>697426</v>
      </c>
      <c r="AK216" s="318">
        <v>2771215</v>
      </c>
      <c r="AL216" s="318">
        <v>3952920</v>
      </c>
      <c r="AM216" s="318">
        <v>5977330</v>
      </c>
      <c r="AN216" s="318">
        <v>4473985</v>
      </c>
      <c r="AO216" s="318">
        <v>3677837</v>
      </c>
      <c r="AP216" s="318">
        <v>5303291</v>
      </c>
      <c r="AQ216" s="318">
        <v>4871860</v>
      </c>
      <c r="AR216" s="318">
        <v>17473175</v>
      </c>
      <c r="AS216" s="318">
        <v>446090</v>
      </c>
      <c r="AT216" s="318">
        <v>900304</v>
      </c>
      <c r="AU216" s="318">
        <v>744571</v>
      </c>
      <c r="AV216" s="318">
        <v>553087</v>
      </c>
      <c r="AW216" s="318">
        <v>494369</v>
      </c>
      <c r="AX216" s="318">
        <v>3012240</v>
      </c>
      <c r="AY216" s="318">
        <v>571983</v>
      </c>
      <c r="AZ216" s="318">
        <v>402206</v>
      </c>
      <c r="BA216" s="318">
        <v>3963430</v>
      </c>
      <c r="BB216" s="318">
        <v>7594209.1235869797</v>
      </c>
      <c r="BC216" s="318">
        <v>18430705</v>
      </c>
      <c r="BD216" s="318">
        <v>9844412</v>
      </c>
      <c r="BE216" s="318">
        <v>12018195.099999979</v>
      </c>
      <c r="BF216" s="318">
        <v>7667238</v>
      </c>
      <c r="BG216" s="318">
        <v>14660758.26</v>
      </c>
      <c r="BH216" s="318">
        <v>11046747.81000003</v>
      </c>
      <c r="BI216" s="318">
        <v>3998071</v>
      </c>
      <c r="BJ216" s="318">
        <v>8481738</v>
      </c>
      <c r="BK216" s="318">
        <v>12103082.33</v>
      </c>
      <c r="BL216" s="318">
        <v>12754165</v>
      </c>
      <c r="BM216" s="318">
        <v>12637539</v>
      </c>
      <c r="BN216" s="318">
        <v>12679941</v>
      </c>
      <c r="BO216" s="318">
        <v>9629448.0999999996</v>
      </c>
      <c r="BP216" s="318">
        <v>10383497</v>
      </c>
      <c r="BQ216" s="318">
        <v>11693912</v>
      </c>
      <c r="BR216" s="318">
        <v>10607834.370000001</v>
      </c>
      <c r="BS216" s="318">
        <v>12347529</v>
      </c>
      <c r="BT216" s="318">
        <v>13037988</v>
      </c>
      <c r="BU216" s="318">
        <v>12804403</v>
      </c>
      <c r="BV216" s="318">
        <v>14466945</v>
      </c>
      <c r="BW216" s="318">
        <v>13371912</v>
      </c>
      <c r="BX216" s="318">
        <v>12851463</v>
      </c>
      <c r="BY216" s="318">
        <v>11597224</v>
      </c>
      <c r="BZ216" s="318">
        <v>13883098</v>
      </c>
      <c r="CA216" s="318">
        <v>14024424</v>
      </c>
      <c r="CB216" s="318">
        <v>13629672</v>
      </c>
      <c r="CC216" s="318">
        <v>13313882</v>
      </c>
      <c r="CD216" s="318">
        <v>10105485</v>
      </c>
      <c r="CE216" s="318">
        <v>10328891</v>
      </c>
      <c r="CF216" s="320">
        <v>9664717</v>
      </c>
      <c r="CG216" s="320">
        <v>7950128</v>
      </c>
      <c r="CH216" s="320">
        <v>7714887</v>
      </c>
      <c r="CI216" s="320">
        <v>10475253</v>
      </c>
      <c r="CJ216" s="320">
        <v>9115373</v>
      </c>
      <c r="CK216" s="320">
        <v>8542366</v>
      </c>
      <c r="CL216" s="320">
        <v>7805412</v>
      </c>
      <c r="CM216" s="320">
        <v>6847411.6500000004</v>
      </c>
      <c r="CN216" s="320">
        <v>8100205</v>
      </c>
      <c r="CO216" s="320">
        <v>6150216</v>
      </c>
      <c r="CP216" s="320">
        <v>4897079</v>
      </c>
      <c r="CQ216" s="320">
        <v>2771636</v>
      </c>
      <c r="CR216" s="320">
        <v>2165284</v>
      </c>
      <c r="CS216" s="320">
        <v>2723732</v>
      </c>
      <c r="CT216" s="320">
        <v>1395601</v>
      </c>
      <c r="CU216" s="19">
        <f>'P&amp;L - Inputs'!CT758</f>
        <v>1286507.8625142977</v>
      </c>
      <c r="CV216" s="19">
        <f>'P&amp;L - Inputs'!CU758</f>
        <v>1300749.8138878308</v>
      </c>
      <c r="CW216" s="19">
        <f>'P&amp;L - Inputs'!CV758</f>
        <v>1271037.6677896723</v>
      </c>
      <c r="CX216" s="19">
        <f>'P&amp;L - Inputs'!CW758</f>
        <v>1321504.2615708318</v>
      </c>
      <c r="CY216" s="19">
        <f>'P&amp;L - Inputs'!CX758</f>
        <v>1214079.8778086335</v>
      </c>
      <c r="CZ216" s="19">
        <f>'P&amp;L - Inputs'!CY758</f>
        <v>1164900.2790858762</v>
      </c>
      <c r="DA216" s="19">
        <f>'P&amp;L - Inputs'!CZ758</f>
        <v>1339537.0949100025</v>
      </c>
      <c r="DB216" s="19">
        <f>'P&amp;L - Inputs'!DA758</f>
        <v>1375937.0011146208</v>
      </c>
      <c r="DC216" s="19">
        <f>'P&amp;L - Inputs'!DB758</f>
        <v>1597987.4880656681</v>
      </c>
      <c r="DD216" s="19">
        <f>'P&amp;L - Inputs'!DC758</f>
        <v>1605318.3198139945</v>
      </c>
      <c r="DE216" s="19">
        <f>'P&amp;L - Inputs'!DD758</f>
        <v>1485626.59200384</v>
      </c>
      <c r="DF216" s="19">
        <f>'P&amp;L - Inputs'!DE758</f>
        <v>1597321.9178237366</v>
      </c>
      <c r="DG216" s="19">
        <f>'P&amp;L - Inputs'!DF758</f>
        <v>1573064.8474036807</v>
      </c>
      <c r="DH216" s="19">
        <f>'P&amp;L - Inputs'!DG758</f>
        <v>1592239.3912218448</v>
      </c>
      <c r="DI216" s="19">
        <f>'P&amp;L - Inputs'!DH758</f>
        <v>1551919.0185649039</v>
      </c>
      <c r="DJ216" s="19">
        <f>'P&amp;L - Inputs'!DI758</f>
        <v>1612704.2871092863</v>
      </c>
      <c r="DK216" s="19">
        <f>'P&amp;L - Inputs'!DJ758</f>
        <v>1480262.2116821364</v>
      </c>
      <c r="DL216" s="19">
        <f>'P&amp;L - Inputs'!DK758</f>
        <v>1416258.8679427074</v>
      </c>
      <c r="DM216" s="19">
        <f>'P&amp;L - Inputs'!DL758</f>
        <v>1628636.4120642613</v>
      </c>
      <c r="DN216" s="19">
        <f>'P&amp;L - Inputs'!DM758</f>
        <v>1673859.7383805241</v>
      </c>
      <c r="DO216" s="19">
        <f>'P&amp;L - Inputs'!DN758</f>
        <v>1940272.6407433441</v>
      </c>
      <c r="DP216" s="19">
        <f>'P&amp;L - Inputs'!DO758</f>
        <v>1943981.6979067309</v>
      </c>
      <c r="DQ216" s="19">
        <f>'P&amp;L - Inputs'!DP758</f>
        <v>1797173.4471787247</v>
      </c>
      <c r="DR216" s="19">
        <f>'P&amp;L - Inputs'!DQ758</f>
        <v>1920100.2512455517</v>
      </c>
      <c r="DS216" s="19">
        <f>'P&amp;L - Inputs'!DR758</f>
        <v>0</v>
      </c>
      <c r="DT216" s="19">
        <f>'P&amp;L - Inputs'!DS758</f>
        <v>0</v>
      </c>
      <c r="DU216" s="19">
        <f>'P&amp;L - Inputs'!DT758</f>
        <v>0</v>
      </c>
      <c r="DV216" s="19">
        <f>'P&amp;L - Inputs'!DU758</f>
        <v>0</v>
      </c>
      <c r="DW216" s="19">
        <f>'P&amp;L - Inputs'!DV758</f>
        <v>0</v>
      </c>
      <c r="DX216" s="19">
        <f>'P&amp;L - Inputs'!DW758</f>
        <v>0</v>
      </c>
      <c r="DY216" s="19">
        <f>'P&amp;L - Inputs'!DX758</f>
        <v>0</v>
      </c>
      <c r="DZ216" s="19">
        <f>'P&amp;L - Inputs'!DY758</f>
        <v>0</v>
      </c>
      <c r="EA216" s="19">
        <f>'P&amp;L - Inputs'!DZ758</f>
        <v>0</v>
      </c>
      <c r="EB216" s="19">
        <f>'P&amp;L - Inputs'!EA758</f>
        <v>0</v>
      </c>
      <c r="EC216" s="19">
        <f>'P&amp;L - Inputs'!EB758</f>
        <v>0</v>
      </c>
      <c r="ED216" s="19">
        <f>'P&amp;L - Inputs'!EC758</f>
        <v>0</v>
      </c>
      <c r="EE216" s="222"/>
      <c r="EF216" s="19">
        <f t="shared" si="885"/>
        <v>37494786.329999998</v>
      </c>
      <c r="EG216" s="19">
        <f t="shared" si="886"/>
        <v>32692886.100000001</v>
      </c>
      <c r="EH216" s="19">
        <f t="shared" si="887"/>
        <v>34649275.370000005</v>
      </c>
      <c r="EI216" s="19">
        <f t="shared" si="888"/>
        <v>40309336</v>
      </c>
      <c r="EJ216" s="19">
        <f t="shared" si="889"/>
        <v>37820599</v>
      </c>
      <c r="EK216" s="19">
        <f t="shared" si="890"/>
        <v>41537194</v>
      </c>
      <c r="EL216" s="19">
        <f t="shared" si="891"/>
        <v>33748258</v>
      </c>
      <c r="EM216" s="19">
        <f t="shared" si="892"/>
        <v>25329732</v>
      </c>
      <c r="EN216" s="19">
        <f t="shared" si="893"/>
        <v>28132992</v>
      </c>
      <c r="EO216" s="19">
        <f t="shared" si="894"/>
        <v>22753028.649999999</v>
      </c>
      <c r="EP216" s="19">
        <f t="shared" si="895"/>
        <v>13818931</v>
      </c>
      <c r="EQ216" s="19">
        <f t="shared" si="896"/>
        <v>6284617</v>
      </c>
      <c r="ER216" s="19">
        <f t="shared" si="897"/>
        <v>3858295.3441918008</v>
      </c>
      <c r="ES216" s="19">
        <f t="shared" si="898"/>
        <v>3700484.4184653414</v>
      </c>
      <c r="ET216" s="19">
        <f t="shared" si="899"/>
        <v>4313461.5840902915</v>
      </c>
      <c r="EU216" s="19">
        <f t="shared" si="900"/>
        <v>4688266.8296415713</v>
      </c>
      <c r="EV216" s="19">
        <f t="shared" si="901"/>
        <v>4717223.2571904296</v>
      </c>
      <c r="EW216" s="19">
        <f t="shared" si="902"/>
        <v>4509225.3667341303</v>
      </c>
      <c r="EX216" s="19">
        <f t="shared" si="903"/>
        <v>5242768.7911881292</v>
      </c>
      <c r="EY216" s="19">
        <f t="shared" si="904"/>
        <v>5661255.3963310076</v>
      </c>
      <c r="EZ216" s="19">
        <f t="shared" si="914"/>
        <v>0</v>
      </c>
      <c r="FA216" s="19">
        <f t="shared" si="915"/>
        <v>0</v>
      </c>
      <c r="FB216" s="19">
        <f t="shared" si="916"/>
        <v>0</v>
      </c>
      <c r="FC216" s="19">
        <f t="shared" si="917"/>
        <v>0</v>
      </c>
      <c r="FE216" s="19">
        <f t="shared" si="918"/>
        <v>145146283.80000001</v>
      </c>
      <c r="FF216" s="19">
        <f t="shared" si="919"/>
        <v>138435783</v>
      </c>
      <c r="FG216" s="19">
        <f t="shared" si="920"/>
        <v>70989568.650000006</v>
      </c>
      <c r="FH216" s="19">
        <f t="shared" si="921"/>
        <v>16560508.176389005</v>
      </c>
      <c r="FI216" s="19">
        <f t="shared" si="922"/>
        <v>20130472.811443698</v>
      </c>
      <c r="FJ216" s="770">
        <f t="shared" si="784"/>
        <v>0</v>
      </c>
      <c r="FK216" s="545" t="s">
        <v>1</v>
      </c>
    </row>
    <row r="217" spans="2:167" x14ac:dyDescent="0.2">
      <c r="B217" s="306" t="s">
        <v>334</v>
      </c>
      <c r="C217" s="320"/>
      <c r="D217" s="320"/>
      <c r="E217" s="320"/>
      <c r="F217" s="320"/>
      <c r="G217" s="320"/>
      <c r="H217" s="320"/>
      <c r="I217" s="320"/>
      <c r="J217" s="320"/>
      <c r="K217" s="320"/>
      <c r="L217" s="320"/>
      <c r="M217" s="320"/>
      <c r="N217" s="320"/>
      <c r="O217" s="320"/>
      <c r="P217" s="320"/>
      <c r="Q217" s="320"/>
      <c r="R217" s="318"/>
      <c r="S217" s="320"/>
      <c r="T217" s="319"/>
      <c r="U217" s="320"/>
      <c r="V217" s="318"/>
      <c r="W217" s="318"/>
      <c r="X217" s="318"/>
      <c r="Y217" s="318"/>
      <c r="Z217" s="318"/>
      <c r="AA217" s="318"/>
      <c r="AB217" s="318"/>
      <c r="AC217" s="318"/>
      <c r="AD217" s="318"/>
      <c r="AE217" s="318"/>
      <c r="AF217" s="318"/>
      <c r="AG217" s="318"/>
      <c r="AH217" s="318"/>
      <c r="AI217" s="318"/>
      <c r="AJ217" s="318"/>
      <c r="AK217" s="318"/>
      <c r="AL217" s="318"/>
      <c r="AM217" s="318"/>
      <c r="AN217" s="318"/>
      <c r="AO217" s="318"/>
      <c r="AP217" s="318"/>
      <c r="AQ217" s="318"/>
      <c r="AR217" s="318"/>
      <c r="AS217" s="318"/>
      <c r="AT217" s="318"/>
      <c r="AU217" s="318"/>
      <c r="AV217" s="318"/>
      <c r="AW217" s="318"/>
      <c r="AX217" s="318"/>
      <c r="AY217" s="318"/>
      <c r="AZ217" s="318"/>
      <c r="BA217" s="318"/>
      <c r="BB217" s="318"/>
      <c r="BC217" s="318"/>
      <c r="BD217" s="318"/>
      <c r="BE217" s="318"/>
      <c r="BF217" s="318"/>
      <c r="BG217" s="318">
        <v>1040000</v>
      </c>
      <c r="BH217" s="318">
        <v>1620000</v>
      </c>
      <c r="BI217" s="318">
        <v>1620000</v>
      </c>
      <c r="BJ217" s="318">
        <v>3490117</v>
      </c>
      <c r="BK217" s="318">
        <v>1620000</v>
      </c>
      <c r="BL217" s="318">
        <v>1620000</v>
      </c>
      <c r="BM217" s="318">
        <v>2512947</v>
      </c>
      <c r="BN217" s="318">
        <v>0</v>
      </c>
      <c r="BO217" s="318">
        <v>0</v>
      </c>
      <c r="BP217" s="318">
        <v>0</v>
      </c>
      <c r="BQ217" s="318">
        <v>0</v>
      </c>
      <c r="BR217" s="318">
        <v>0</v>
      </c>
      <c r="BS217" s="318">
        <v>0</v>
      </c>
      <c r="BT217" s="318">
        <v>0</v>
      </c>
      <c r="BU217" s="318">
        <v>0</v>
      </c>
      <c r="BV217" s="318">
        <v>0</v>
      </c>
      <c r="BW217" s="318">
        <v>0</v>
      </c>
      <c r="BX217" s="318">
        <v>0</v>
      </c>
      <c r="BY217" s="318">
        <v>0</v>
      </c>
      <c r="BZ217" s="318">
        <v>0</v>
      </c>
      <c r="CA217" s="318">
        <v>0</v>
      </c>
      <c r="CB217" s="318">
        <v>646593</v>
      </c>
      <c r="CC217" s="318">
        <v>169126</v>
      </c>
      <c r="CD217" s="318">
        <v>489810</v>
      </c>
      <c r="CE217" s="318">
        <v>188425</v>
      </c>
      <c r="CF217" s="318">
        <v>353378</v>
      </c>
      <c r="CG217" s="318">
        <v>100000</v>
      </c>
      <c r="CH217" s="318">
        <v>100000</v>
      </c>
      <c r="CI217" s="318">
        <v>0</v>
      </c>
      <c r="CJ217" s="318">
        <v>0</v>
      </c>
      <c r="CK217" s="318">
        <v>0</v>
      </c>
      <c r="CL217" s="318">
        <v>0</v>
      </c>
      <c r="CM217" s="318">
        <v>0</v>
      </c>
      <c r="CN217" s="318">
        <v>0</v>
      </c>
      <c r="CO217" s="318">
        <v>0</v>
      </c>
      <c r="CP217" s="318">
        <v>0</v>
      </c>
      <c r="CQ217" s="318">
        <v>0</v>
      </c>
      <c r="CR217" s="318">
        <v>0</v>
      </c>
      <c r="CS217" s="318">
        <v>0</v>
      </c>
      <c r="CT217" s="318">
        <v>0</v>
      </c>
      <c r="CU217" s="19">
        <v>0</v>
      </c>
      <c r="CV217" s="19">
        <v>0</v>
      </c>
      <c r="CW217" s="19">
        <v>0</v>
      </c>
      <c r="CX217" s="19">
        <v>0</v>
      </c>
      <c r="CY217" s="19">
        <v>0</v>
      </c>
      <c r="CZ217" s="19">
        <v>0</v>
      </c>
      <c r="DA217" s="19">
        <v>0</v>
      </c>
      <c r="DB217" s="19">
        <v>0</v>
      </c>
      <c r="DC217" s="19">
        <v>0</v>
      </c>
      <c r="DD217" s="19">
        <v>0</v>
      </c>
      <c r="DE217" s="19">
        <v>0</v>
      </c>
      <c r="DF217" s="19">
        <v>0</v>
      </c>
      <c r="DG217" s="19">
        <v>0</v>
      </c>
      <c r="DH217" s="19">
        <v>0</v>
      </c>
      <c r="DI217" s="19">
        <v>0</v>
      </c>
      <c r="DJ217" s="19">
        <v>0</v>
      </c>
      <c r="DK217" s="19">
        <v>0</v>
      </c>
      <c r="DL217" s="19">
        <v>0</v>
      </c>
      <c r="DM217" s="19">
        <v>0</v>
      </c>
      <c r="DN217" s="19">
        <v>0</v>
      </c>
      <c r="DO217" s="19">
        <v>0</v>
      </c>
      <c r="DP217" s="19">
        <v>0</v>
      </c>
      <c r="DQ217" s="19">
        <v>0</v>
      </c>
      <c r="DR217" s="19">
        <v>0</v>
      </c>
      <c r="DS217" s="19">
        <v>0</v>
      </c>
      <c r="DT217" s="19">
        <v>0</v>
      </c>
      <c r="DU217" s="19">
        <v>0</v>
      </c>
      <c r="DV217" s="19">
        <v>0</v>
      </c>
      <c r="DW217" s="19">
        <v>0</v>
      </c>
      <c r="DX217" s="19">
        <v>0</v>
      </c>
      <c r="DY217" s="19">
        <v>0</v>
      </c>
      <c r="DZ217" s="19">
        <v>0</v>
      </c>
      <c r="EA217" s="19">
        <v>0</v>
      </c>
      <c r="EB217" s="19">
        <v>0</v>
      </c>
      <c r="EC217" s="19">
        <v>0</v>
      </c>
      <c r="ED217" s="19">
        <v>0</v>
      </c>
      <c r="EE217" s="222"/>
      <c r="EF217" s="19">
        <f t="shared" si="885"/>
        <v>5752947</v>
      </c>
      <c r="EG217" s="19">
        <f t="shared" si="886"/>
        <v>0</v>
      </c>
      <c r="EH217" s="19">
        <f t="shared" si="887"/>
        <v>0</v>
      </c>
      <c r="EI217" s="19">
        <f t="shared" si="888"/>
        <v>0</v>
      </c>
      <c r="EJ217" s="19">
        <f t="shared" si="889"/>
        <v>0</v>
      </c>
      <c r="EK217" s="19">
        <f t="shared" si="890"/>
        <v>646593</v>
      </c>
      <c r="EL217" s="19">
        <f t="shared" si="891"/>
        <v>847361</v>
      </c>
      <c r="EM217" s="19">
        <f t="shared" si="892"/>
        <v>553378</v>
      </c>
      <c r="EN217" s="19">
        <f t="shared" si="893"/>
        <v>0</v>
      </c>
      <c r="EO217" s="19">
        <f t="shared" si="894"/>
        <v>0</v>
      </c>
      <c r="EP217" s="19">
        <f t="shared" si="895"/>
        <v>0</v>
      </c>
      <c r="EQ217" s="19">
        <f t="shared" si="896"/>
        <v>0</v>
      </c>
      <c r="ER217" s="19">
        <f t="shared" si="897"/>
        <v>0</v>
      </c>
      <c r="ES217" s="19">
        <f t="shared" si="898"/>
        <v>0</v>
      </c>
      <c r="ET217" s="19">
        <f t="shared" si="899"/>
        <v>0</v>
      </c>
      <c r="EU217" s="19">
        <f t="shared" si="900"/>
        <v>0</v>
      </c>
      <c r="EV217" s="19">
        <f t="shared" si="901"/>
        <v>0</v>
      </c>
      <c r="EW217" s="19">
        <f t="shared" si="902"/>
        <v>0</v>
      </c>
      <c r="EX217" s="19">
        <f t="shared" si="903"/>
        <v>0</v>
      </c>
      <c r="EY217" s="19">
        <f t="shared" si="904"/>
        <v>0</v>
      </c>
      <c r="EZ217" s="19">
        <f t="shared" si="914"/>
        <v>0</v>
      </c>
      <c r="FA217" s="19">
        <f t="shared" si="915"/>
        <v>0</v>
      </c>
      <c r="FB217" s="19">
        <f t="shared" si="916"/>
        <v>0</v>
      </c>
      <c r="FC217" s="19">
        <f t="shared" si="917"/>
        <v>0</v>
      </c>
      <c r="FE217" s="19">
        <f t="shared" si="918"/>
        <v>5752947</v>
      </c>
      <c r="FF217" s="19">
        <f t="shared" si="919"/>
        <v>2047332</v>
      </c>
      <c r="FG217" s="19">
        <f t="shared" si="920"/>
        <v>0</v>
      </c>
      <c r="FH217" s="19">
        <f t="shared" si="921"/>
        <v>0</v>
      </c>
      <c r="FI217" s="19">
        <f t="shared" si="922"/>
        <v>0</v>
      </c>
      <c r="FJ217" s="770">
        <f t="shared" si="784"/>
        <v>0</v>
      </c>
      <c r="FK217" s="545" t="s">
        <v>1</v>
      </c>
    </row>
    <row r="218" spans="2:167" x14ac:dyDescent="0.2">
      <c r="B218" s="307" t="s">
        <v>335</v>
      </c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2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  <c r="AN218" s="321"/>
      <c r="AO218" s="321"/>
      <c r="AP218" s="321"/>
      <c r="AQ218" s="321"/>
      <c r="AR218" s="321"/>
      <c r="AS218" s="321"/>
      <c r="AT218" s="321"/>
      <c r="AU218" s="321"/>
      <c r="AV218" s="321"/>
      <c r="AW218" s="321"/>
      <c r="AX218" s="321"/>
      <c r="AY218" s="321"/>
      <c r="AZ218" s="321"/>
      <c r="BA218" s="321"/>
      <c r="BB218" s="321"/>
      <c r="BC218" s="321"/>
      <c r="BD218" s="321"/>
      <c r="BE218" s="321"/>
      <c r="BF218" s="321"/>
      <c r="BG218" s="321"/>
      <c r="BH218" s="321"/>
      <c r="BI218" s="321"/>
      <c r="BJ218" s="321"/>
      <c r="BK218" s="320">
        <v>2000000</v>
      </c>
      <c r="BL218" s="318">
        <v>1500000</v>
      </c>
      <c r="BM218" s="318">
        <v>500000</v>
      </c>
      <c r="BN218" s="318">
        <v>500000</v>
      </c>
      <c r="BO218" s="318">
        <v>0</v>
      </c>
      <c r="BP218" s="318">
        <v>0</v>
      </c>
      <c r="BQ218" s="318">
        <v>0</v>
      </c>
      <c r="BR218" s="318">
        <v>0</v>
      </c>
      <c r="BS218" s="318">
        <v>0</v>
      </c>
      <c r="BT218" s="318">
        <v>0</v>
      </c>
      <c r="BU218" s="318">
        <v>0</v>
      </c>
      <c r="BV218" s="318">
        <v>0</v>
      </c>
      <c r="BW218" s="318">
        <v>1500000</v>
      </c>
      <c r="BX218" s="318">
        <v>1500000</v>
      </c>
      <c r="BY218" s="318">
        <v>1500000</v>
      </c>
      <c r="BZ218" s="318">
        <v>500000</v>
      </c>
      <c r="CA218" s="318">
        <v>500000</v>
      </c>
      <c r="CB218" s="318">
        <v>0</v>
      </c>
      <c r="CC218" s="318">
        <v>2000000</v>
      </c>
      <c r="CD218" s="318">
        <v>500000</v>
      </c>
      <c r="CE218" s="318">
        <v>500000</v>
      </c>
      <c r="CF218" s="318">
        <v>1000000</v>
      </c>
      <c r="CG218" s="318">
        <v>1000000</v>
      </c>
      <c r="CH218" s="318">
        <v>2000000</v>
      </c>
      <c r="CI218" s="318">
        <v>0</v>
      </c>
      <c r="CJ218" s="318">
        <v>1000000</v>
      </c>
      <c r="CK218" s="318">
        <v>1000000</v>
      </c>
      <c r="CL218" s="318">
        <v>1000000</v>
      </c>
      <c r="CM218" s="318">
        <v>1000000</v>
      </c>
      <c r="CN218" s="318">
        <v>1000000</v>
      </c>
      <c r="CO218" s="318">
        <v>1000000</v>
      </c>
      <c r="CP218" s="318">
        <v>1000000</v>
      </c>
      <c r="CQ218" s="318">
        <v>1000000</v>
      </c>
      <c r="CR218" s="318">
        <v>1000000</v>
      </c>
      <c r="CS218" s="318">
        <v>1000000</v>
      </c>
      <c r="CT218" s="318">
        <v>1000000</v>
      </c>
      <c r="CU218" s="19">
        <v>0</v>
      </c>
      <c r="CV218" s="19">
        <v>0</v>
      </c>
      <c r="CW218" s="19">
        <v>0</v>
      </c>
      <c r="CX218" s="19">
        <v>0</v>
      </c>
      <c r="CY218" s="19">
        <v>0</v>
      </c>
      <c r="CZ218" s="19">
        <v>0</v>
      </c>
      <c r="DA218" s="19">
        <v>0</v>
      </c>
      <c r="DB218" s="19">
        <v>0</v>
      </c>
      <c r="DC218" s="19">
        <v>0</v>
      </c>
      <c r="DD218" s="19">
        <v>0</v>
      </c>
      <c r="DE218" s="19">
        <v>0</v>
      </c>
      <c r="DF218" s="19">
        <v>0</v>
      </c>
      <c r="DG218" s="19">
        <v>0</v>
      </c>
      <c r="DH218" s="19">
        <v>0</v>
      </c>
      <c r="DI218" s="19">
        <v>0</v>
      </c>
      <c r="DJ218" s="19">
        <v>0</v>
      </c>
      <c r="DK218" s="19">
        <v>0</v>
      </c>
      <c r="DL218" s="19">
        <v>0</v>
      </c>
      <c r="DM218" s="19">
        <v>0</v>
      </c>
      <c r="DN218" s="19">
        <v>0</v>
      </c>
      <c r="DO218" s="19">
        <v>0</v>
      </c>
      <c r="DP218" s="19">
        <v>0</v>
      </c>
      <c r="DQ218" s="19">
        <v>0</v>
      </c>
      <c r="DR218" s="19">
        <v>0</v>
      </c>
      <c r="DS218" s="19">
        <v>0</v>
      </c>
      <c r="DT218" s="19">
        <v>0</v>
      </c>
      <c r="DU218" s="19">
        <v>0</v>
      </c>
      <c r="DV218" s="19">
        <v>0</v>
      </c>
      <c r="DW218" s="19">
        <v>0</v>
      </c>
      <c r="DX218" s="19">
        <v>0</v>
      </c>
      <c r="DY218" s="19">
        <v>0</v>
      </c>
      <c r="DZ218" s="19">
        <v>0</v>
      </c>
      <c r="EA218" s="19">
        <v>0</v>
      </c>
      <c r="EB218" s="19">
        <v>0</v>
      </c>
      <c r="EC218" s="19">
        <v>0</v>
      </c>
      <c r="ED218" s="19">
        <v>0</v>
      </c>
      <c r="EE218" s="222"/>
      <c r="EF218" s="19">
        <f t="shared" si="885"/>
        <v>4000000</v>
      </c>
      <c r="EG218" s="19">
        <f t="shared" si="886"/>
        <v>500000</v>
      </c>
      <c r="EH218" s="19">
        <f t="shared" si="887"/>
        <v>0</v>
      </c>
      <c r="EI218" s="19">
        <f t="shared" si="888"/>
        <v>0</v>
      </c>
      <c r="EJ218" s="19">
        <f t="shared" si="889"/>
        <v>4500000</v>
      </c>
      <c r="EK218" s="19">
        <f t="shared" si="890"/>
        <v>1000000</v>
      </c>
      <c r="EL218" s="19">
        <f t="shared" si="891"/>
        <v>3000000</v>
      </c>
      <c r="EM218" s="19">
        <f t="shared" si="892"/>
        <v>4000000</v>
      </c>
      <c r="EN218" s="19">
        <f t="shared" si="893"/>
        <v>2000000</v>
      </c>
      <c r="EO218" s="19">
        <f t="shared" si="894"/>
        <v>3000000</v>
      </c>
      <c r="EP218" s="19">
        <f t="shared" si="895"/>
        <v>3000000</v>
      </c>
      <c r="EQ218" s="19">
        <f t="shared" si="896"/>
        <v>3000000</v>
      </c>
      <c r="ER218" s="19">
        <f t="shared" si="897"/>
        <v>0</v>
      </c>
      <c r="ES218" s="19">
        <f t="shared" si="898"/>
        <v>0</v>
      </c>
      <c r="ET218" s="19">
        <f t="shared" si="899"/>
        <v>0</v>
      </c>
      <c r="EU218" s="19">
        <f t="shared" si="900"/>
        <v>0</v>
      </c>
      <c r="EV218" s="19">
        <f t="shared" si="901"/>
        <v>0</v>
      </c>
      <c r="EW218" s="19">
        <f t="shared" si="902"/>
        <v>0</v>
      </c>
      <c r="EX218" s="19">
        <f t="shared" si="903"/>
        <v>0</v>
      </c>
      <c r="EY218" s="19">
        <f t="shared" si="904"/>
        <v>0</v>
      </c>
      <c r="EZ218" s="19">
        <f t="shared" si="914"/>
        <v>0</v>
      </c>
      <c r="FA218" s="19">
        <f t="shared" si="915"/>
        <v>0</v>
      </c>
      <c r="FB218" s="19">
        <f t="shared" si="916"/>
        <v>0</v>
      </c>
      <c r="FC218" s="19">
        <f t="shared" si="917"/>
        <v>0</v>
      </c>
      <c r="FE218" s="19">
        <f t="shared" si="918"/>
        <v>4500000</v>
      </c>
      <c r="FF218" s="19">
        <f t="shared" si="919"/>
        <v>12500000</v>
      </c>
      <c r="FG218" s="19">
        <f t="shared" si="920"/>
        <v>11000000</v>
      </c>
      <c r="FH218" s="19">
        <f t="shared" si="921"/>
        <v>0</v>
      </c>
      <c r="FI218" s="19">
        <f t="shared" si="922"/>
        <v>0</v>
      </c>
      <c r="FJ218" s="770">
        <f t="shared" si="784"/>
        <v>0</v>
      </c>
      <c r="FK218" s="545" t="s">
        <v>1</v>
      </c>
    </row>
    <row r="219" spans="2:167" x14ac:dyDescent="0.2">
      <c r="B219" s="307" t="s">
        <v>336</v>
      </c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2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  <c r="AN219" s="321"/>
      <c r="AO219" s="321"/>
      <c r="AP219" s="321"/>
      <c r="AQ219" s="321"/>
      <c r="AR219" s="321"/>
      <c r="AS219" s="321"/>
      <c r="AT219" s="321"/>
      <c r="AU219" s="321"/>
      <c r="AV219" s="321"/>
      <c r="AW219" s="321"/>
      <c r="AX219" s="321"/>
      <c r="AY219" s="321"/>
      <c r="AZ219" s="321"/>
      <c r="BA219" s="321"/>
      <c r="BB219" s="321"/>
      <c r="BC219" s="321"/>
      <c r="BD219" s="321"/>
      <c r="BE219" s="321">
        <v>0</v>
      </c>
      <c r="BF219" s="321">
        <v>0</v>
      </c>
      <c r="BG219" s="321">
        <v>0</v>
      </c>
      <c r="BH219" s="321">
        <v>0</v>
      </c>
      <c r="BI219" s="321">
        <v>0</v>
      </c>
      <c r="BJ219" s="321">
        <v>0</v>
      </c>
      <c r="BK219" s="320">
        <v>0</v>
      </c>
      <c r="BL219" s="318">
        <v>0</v>
      </c>
      <c r="BM219" s="318">
        <v>0</v>
      </c>
      <c r="BN219" s="318">
        <v>0</v>
      </c>
      <c r="BO219" s="318">
        <v>0</v>
      </c>
      <c r="BP219" s="318">
        <v>0</v>
      </c>
      <c r="BQ219" s="318">
        <v>0</v>
      </c>
      <c r="BR219" s="318">
        <v>0</v>
      </c>
      <c r="BS219" s="318">
        <v>0</v>
      </c>
      <c r="BT219" s="318">
        <v>0</v>
      </c>
      <c r="BU219" s="318">
        <v>0</v>
      </c>
      <c r="BV219" s="318">
        <v>0</v>
      </c>
      <c r="BW219" s="318">
        <v>0</v>
      </c>
      <c r="BX219" s="318">
        <v>0</v>
      </c>
      <c r="BY219" s="318">
        <v>0</v>
      </c>
      <c r="BZ219" s="318">
        <v>0</v>
      </c>
      <c r="CA219" s="318">
        <v>0</v>
      </c>
      <c r="CB219" s="318">
        <v>0</v>
      </c>
      <c r="CC219" s="318">
        <v>0</v>
      </c>
      <c r="CD219" s="318">
        <v>0</v>
      </c>
      <c r="CE219" s="318">
        <v>0</v>
      </c>
      <c r="CF219" s="318">
        <v>0</v>
      </c>
      <c r="CG219" s="318">
        <v>0</v>
      </c>
      <c r="CH219" s="318">
        <v>0</v>
      </c>
      <c r="CI219" s="318">
        <v>0</v>
      </c>
      <c r="CJ219" s="318">
        <v>0</v>
      </c>
      <c r="CK219" s="318">
        <v>0</v>
      </c>
      <c r="CL219" s="318">
        <v>0</v>
      </c>
      <c r="CM219" s="318">
        <v>0</v>
      </c>
      <c r="CN219" s="318">
        <v>0</v>
      </c>
      <c r="CO219" s="318">
        <v>0</v>
      </c>
      <c r="CP219" s="318">
        <v>0</v>
      </c>
      <c r="CQ219" s="318">
        <v>0</v>
      </c>
      <c r="CR219" s="318">
        <v>0</v>
      </c>
      <c r="CS219" s="318">
        <v>1750000</v>
      </c>
      <c r="CT219" s="318">
        <v>423000</v>
      </c>
      <c r="CU219" s="19">
        <v>0</v>
      </c>
      <c r="CV219" s="19">
        <v>0</v>
      </c>
      <c r="CW219" s="19">
        <v>0</v>
      </c>
      <c r="CX219" s="19">
        <v>0</v>
      </c>
      <c r="CY219" s="19">
        <v>0</v>
      </c>
      <c r="CZ219" s="19">
        <v>0</v>
      </c>
      <c r="DA219" s="19">
        <v>0</v>
      </c>
      <c r="DB219" s="19">
        <v>0</v>
      </c>
      <c r="DC219" s="19">
        <v>0</v>
      </c>
      <c r="DD219" s="19">
        <v>0</v>
      </c>
      <c r="DE219" s="19">
        <v>0</v>
      </c>
      <c r="DF219" s="19">
        <v>0</v>
      </c>
      <c r="DG219" s="19">
        <v>0</v>
      </c>
      <c r="DH219" s="19">
        <v>0</v>
      </c>
      <c r="DI219" s="19">
        <v>0</v>
      </c>
      <c r="DJ219" s="19">
        <v>0</v>
      </c>
      <c r="DK219" s="19">
        <v>0</v>
      </c>
      <c r="DL219" s="19">
        <v>0</v>
      </c>
      <c r="DM219" s="19">
        <v>0</v>
      </c>
      <c r="DN219" s="19">
        <v>0</v>
      </c>
      <c r="DO219" s="19">
        <v>0</v>
      </c>
      <c r="DP219" s="19">
        <v>0</v>
      </c>
      <c r="DQ219" s="19">
        <v>0</v>
      </c>
      <c r="DR219" s="19">
        <v>0</v>
      </c>
      <c r="DS219" s="19">
        <v>0</v>
      </c>
      <c r="DT219" s="19">
        <v>0</v>
      </c>
      <c r="DU219" s="19">
        <v>0</v>
      </c>
      <c r="DV219" s="19">
        <v>0</v>
      </c>
      <c r="DW219" s="19">
        <v>0</v>
      </c>
      <c r="DX219" s="19">
        <v>0</v>
      </c>
      <c r="DY219" s="19">
        <v>0</v>
      </c>
      <c r="DZ219" s="19">
        <v>0</v>
      </c>
      <c r="EA219" s="19">
        <v>0</v>
      </c>
      <c r="EB219" s="19">
        <v>0</v>
      </c>
      <c r="EC219" s="19">
        <v>0</v>
      </c>
      <c r="ED219" s="19">
        <v>0</v>
      </c>
      <c r="EE219" s="222"/>
      <c r="EF219" s="19">
        <f t="shared" si="885"/>
        <v>0</v>
      </c>
      <c r="EG219" s="19">
        <f t="shared" si="886"/>
        <v>0</v>
      </c>
      <c r="EH219" s="19">
        <f t="shared" si="887"/>
        <v>0</v>
      </c>
      <c r="EI219" s="19">
        <f t="shared" si="888"/>
        <v>0</v>
      </c>
      <c r="EJ219" s="19">
        <f t="shared" si="889"/>
        <v>0</v>
      </c>
      <c r="EK219" s="19">
        <f t="shared" si="890"/>
        <v>0</v>
      </c>
      <c r="EL219" s="19">
        <f t="shared" si="891"/>
        <v>0</v>
      </c>
      <c r="EM219" s="19">
        <f t="shared" si="892"/>
        <v>0</v>
      </c>
      <c r="EN219" s="19">
        <f t="shared" si="893"/>
        <v>0</v>
      </c>
      <c r="EO219" s="19">
        <f t="shared" si="894"/>
        <v>0</v>
      </c>
      <c r="EP219" s="19">
        <f t="shared" si="895"/>
        <v>0</v>
      </c>
      <c r="EQ219" s="19">
        <f t="shared" si="896"/>
        <v>2173000</v>
      </c>
      <c r="ER219" s="19">
        <f t="shared" si="897"/>
        <v>0</v>
      </c>
      <c r="ES219" s="19">
        <f t="shared" si="898"/>
        <v>0</v>
      </c>
      <c r="ET219" s="19">
        <f t="shared" si="899"/>
        <v>0</v>
      </c>
      <c r="EU219" s="19">
        <f t="shared" si="900"/>
        <v>0</v>
      </c>
      <c r="EV219" s="19">
        <f t="shared" si="901"/>
        <v>0</v>
      </c>
      <c r="EW219" s="19">
        <f t="shared" si="902"/>
        <v>0</v>
      </c>
      <c r="EX219" s="19">
        <f t="shared" si="903"/>
        <v>0</v>
      </c>
      <c r="EY219" s="19">
        <f t="shared" si="904"/>
        <v>0</v>
      </c>
      <c r="EZ219" s="19">
        <f t="shared" si="914"/>
        <v>0</v>
      </c>
      <c r="FA219" s="19">
        <f t="shared" si="915"/>
        <v>0</v>
      </c>
      <c r="FB219" s="19">
        <f t="shared" si="916"/>
        <v>0</v>
      </c>
      <c r="FC219" s="19">
        <f t="shared" si="917"/>
        <v>0</v>
      </c>
      <c r="FE219" s="19">
        <f t="shared" si="918"/>
        <v>0</v>
      </c>
      <c r="FF219" s="19">
        <f t="shared" si="919"/>
        <v>0</v>
      </c>
      <c r="FG219" s="19">
        <f t="shared" si="920"/>
        <v>2173000</v>
      </c>
      <c r="FH219" s="19">
        <f t="shared" si="921"/>
        <v>0</v>
      </c>
      <c r="FI219" s="19">
        <f t="shared" si="922"/>
        <v>0</v>
      </c>
      <c r="FJ219" s="770">
        <f t="shared" si="784"/>
        <v>0</v>
      </c>
      <c r="FK219" s="545" t="s">
        <v>1</v>
      </c>
    </row>
    <row r="220" spans="2:167" x14ac:dyDescent="0.2">
      <c r="B220" s="306" t="s">
        <v>337</v>
      </c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320"/>
      <c r="Q220" s="320"/>
      <c r="R220" s="318"/>
      <c r="S220" s="320"/>
      <c r="T220" s="319"/>
      <c r="U220" s="320"/>
      <c r="V220" s="318"/>
      <c r="W220" s="318"/>
      <c r="X220" s="318"/>
      <c r="Y220" s="318"/>
      <c r="Z220" s="318"/>
      <c r="AA220" s="318"/>
      <c r="AB220" s="318"/>
      <c r="AC220" s="318"/>
      <c r="AD220" s="318"/>
      <c r="AE220" s="318"/>
      <c r="AF220" s="318"/>
      <c r="AG220" s="318"/>
      <c r="AH220" s="318"/>
      <c r="AI220" s="318"/>
      <c r="AJ220" s="318"/>
      <c r="AK220" s="318"/>
      <c r="AL220" s="318"/>
      <c r="AM220" s="318"/>
      <c r="AN220" s="318"/>
      <c r="AO220" s="318"/>
      <c r="AP220" s="318"/>
      <c r="AQ220" s="318"/>
      <c r="AR220" s="318"/>
      <c r="AS220" s="318"/>
      <c r="AT220" s="318"/>
      <c r="AU220" s="318"/>
      <c r="AV220" s="318"/>
      <c r="AW220" s="318"/>
      <c r="AX220" s="318">
        <v>2403348</v>
      </c>
      <c r="AY220" s="318">
        <v>0</v>
      </c>
      <c r="AZ220" s="318"/>
      <c r="BA220" s="318"/>
      <c r="BB220" s="318"/>
      <c r="BC220" s="318"/>
      <c r="BD220" s="318"/>
      <c r="BE220" s="318"/>
      <c r="BF220" s="318"/>
      <c r="BG220" s="318"/>
      <c r="BH220" s="318"/>
      <c r="BI220" s="318"/>
      <c r="BJ220" s="318">
        <v>2328462</v>
      </c>
      <c r="BK220" s="318">
        <v>10034152</v>
      </c>
      <c r="BL220" s="318">
        <v>8685186</v>
      </c>
      <c r="BM220" s="318">
        <v>4157902</v>
      </c>
      <c r="BN220" s="318">
        <v>4807817</v>
      </c>
      <c r="BO220" s="318">
        <v>0</v>
      </c>
      <c r="BP220" s="318">
        <v>0</v>
      </c>
      <c r="BQ220" s="318">
        <v>0</v>
      </c>
      <c r="BR220" s="318">
        <v>0</v>
      </c>
      <c r="BS220" s="318">
        <v>742759</v>
      </c>
      <c r="BT220" s="318">
        <v>13165192</v>
      </c>
      <c r="BU220" s="318">
        <v>4451529</v>
      </c>
      <c r="BV220" s="318">
        <v>0</v>
      </c>
      <c r="BW220" s="318">
        <v>1500000</v>
      </c>
      <c r="BX220" s="318">
        <v>1500000</v>
      </c>
      <c r="BY220" s="318">
        <v>0</v>
      </c>
      <c r="BZ220" s="318">
        <v>0</v>
      </c>
      <c r="CA220" s="318">
        <v>0</v>
      </c>
      <c r="CB220" s="318">
        <v>0</v>
      </c>
      <c r="CC220" s="318">
        <v>0</v>
      </c>
      <c r="CD220" s="318">
        <v>0</v>
      </c>
      <c r="CE220" s="318">
        <v>0</v>
      </c>
      <c r="CF220" s="318">
        <v>0</v>
      </c>
      <c r="CG220" s="318">
        <v>0</v>
      </c>
      <c r="CH220" s="318">
        <v>0</v>
      </c>
      <c r="CI220" s="318">
        <v>0</v>
      </c>
      <c r="CJ220" s="318">
        <v>4700000</v>
      </c>
      <c r="CK220" s="318">
        <v>1300000</v>
      </c>
      <c r="CL220" s="318">
        <v>0</v>
      </c>
      <c r="CM220" s="318">
        <v>0</v>
      </c>
      <c r="CN220" s="318">
        <v>0</v>
      </c>
      <c r="CO220" s="318">
        <v>0</v>
      </c>
      <c r="CP220" s="318">
        <v>0</v>
      </c>
      <c r="CQ220" s="318">
        <v>0</v>
      </c>
      <c r="CR220" s="318">
        <v>0</v>
      </c>
      <c r="CS220" s="318">
        <v>0</v>
      </c>
      <c r="CT220" s="318">
        <v>0</v>
      </c>
      <c r="CU220" s="19">
        <v>0</v>
      </c>
      <c r="CV220" s="19">
        <v>0</v>
      </c>
      <c r="CW220" s="19">
        <v>0</v>
      </c>
      <c r="CX220" s="19">
        <v>0</v>
      </c>
      <c r="CY220" s="19">
        <v>0</v>
      </c>
      <c r="CZ220" s="19">
        <v>0</v>
      </c>
      <c r="DA220" s="19">
        <v>0</v>
      </c>
      <c r="DB220" s="19">
        <v>0</v>
      </c>
      <c r="DC220" s="19">
        <v>0</v>
      </c>
      <c r="DD220" s="19">
        <v>0</v>
      </c>
      <c r="DE220" s="19">
        <v>0</v>
      </c>
      <c r="DF220" s="19">
        <v>0</v>
      </c>
      <c r="DG220" s="19">
        <v>0</v>
      </c>
      <c r="DH220" s="19">
        <v>0</v>
      </c>
      <c r="DI220" s="19">
        <v>0</v>
      </c>
      <c r="DJ220" s="19">
        <v>0</v>
      </c>
      <c r="DK220" s="19">
        <v>0</v>
      </c>
      <c r="DL220" s="19">
        <v>0</v>
      </c>
      <c r="DM220" s="19">
        <v>0</v>
      </c>
      <c r="DN220" s="19">
        <v>0</v>
      </c>
      <c r="DO220" s="19">
        <v>0</v>
      </c>
      <c r="DP220" s="19">
        <v>0</v>
      </c>
      <c r="DQ220" s="19">
        <v>0</v>
      </c>
      <c r="DR220" s="19">
        <v>0</v>
      </c>
      <c r="DS220" s="19">
        <v>0</v>
      </c>
      <c r="DT220" s="19">
        <v>0</v>
      </c>
      <c r="DU220" s="19">
        <v>0</v>
      </c>
      <c r="DV220" s="19">
        <v>0</v>
      </c>
      <c r="DW220" s="19">
        <v>0</v>
      </c>
      <c r="DX220" s="19">
        <v>0</v>
      </c>
      <c r="DY220" s="19">
        <v>0</v>
      </c>
      <c r="DZ220" s="19">
        <v>0</v>
      </c>
      <c r="EA220" s="19">
        <v>0</v>
      </c>
      <c r="EB220" s="19">
        <v>0</v>
      </c>
      <c r="EC220" s="19">
        <v>0</v>
      </c>
      <c r="ED220" s="19">
        <v>0</v>
      </c>
      <c r="EE220" s="222"/>
      <c r="EF220" s="19">
        <f t="shared" si="885"/>
        <v>22877240</v>
      </c>
      <c r="EG220" s="19">
        <f t="shared" si="886"/>
        <v>4807817</v>
      </c>
      <c r="EH220" s="19">
        <f t="shared" si="887"/>
        <v>742759</v>
      </c>
      <c r="EI220" s="19">
        <f t="shared" si="888"/>
        <v>17616721</v>
      </c>
      <c r="EJ220" s="19">
        <f t="shared" si="889"/>
        <v>3000000</v>
      </c>
      <c r="EK220" s="19">
        <f t="shared" si="890"/>
        <v>0</v>
      </c>
      <c r="EL220" s="19">
        <f t="shared" si="891"/>
        <v>0</v>
      </c>
      <c r="EM220" s="19">
        <f t="shared" si="892"/>
        <v>0</v>
      </c>
      <c r="EN220" s="19">
        <f t="shared" si="893"/>
        <v>6000000</v>
      </c>
      <c r="EO220" s="19">
        <f t="shared" si="894"/>
        <v>0</v>
      </c>
      <c r="EP220" s="19">
        <f t="shared" si="895"/>
        <v>0</v>
      </c>
      <c r="EQ220" s="19">
        <f t="shared" si="896"/>
        <v>0</v>
      </c>
      <c r="ER220" s="19">
        <f t="shared" si="897"/>
        <v>0</v>
      </c>
      <c r="ES220" s="19">
        <f t="shared" si="898"/>
        <v>0</v>
      </c>
      <c r="ET220" s="19">
        <f t="shared" si="899"/>
        <v>0</v>
      </c>
      <c r="EU220" s="19">
        <f t="shared" si="900"/>
        <v>0</v>
      </c>
      <c r="EV220" s="19">
        <f t="shared" si="901"/>
        <v>0</v>
      </c>
      <c r="EW220" s="19">
        <f t="shared" si="902"/>
        <v>0</v>
      </c>
      <c r="EX220" s="19">
        <f t="shared" si="903"/>
        <v>0</v>
      </c>
      <c r="EY220" s="19">
        <f t="shared" si="904"/>
        <v>0</v>
      </c>
      <c r="EZ220" s="19">
        <f t="shared" si="914"/>
        <v>0</v>
      </c>
      <c r="FA220" s="19">
        <f t="shared" si="915"/>
        <v>0</v>
      </c>
      <c r="FB220" s="19">
        <f t="shared" si="916"/>
        <v>0</v>
      </c>
      <c r="FC220" s="19">
        <f t="shared" si="917"/>
        <v>0</v>
      </c>
      <c r="FE220" s="19">
        <f t="shared" si="918"/>
        <v>46044537</v>
      </c>
      <c r="FF220" s="19">
        <f t="shared" si="919"/>
        <v>3000000</v>
      </c>
      <c r="FG220" s="19">
        <f t="shared" si="920"/>
        <v>6000000</v>
      </c>
      <c r="FH220" s="19">
        <f t="shared" si="921"/>
        <v>0</v>
      </c>
      <c r="FI220" s="19">
        <f t="shared" si="922"/>
        <v>0</v>
      </c>
      <c r="FJ220" s="770">
        <f t="shared" si="784"/>
        <v>0</v>
      </c>
      <c r="FK220" s="545" t="s">
        <v>1</v>
      </c>
    </row>
    <row r="221" spans="2:167" x14ac:dyDescent="0.2">
      <c r="B221" s="306" t="s">
        <v>338</v>
      </c>
      <c r="C221" s="320"/>
      <c r="D221" s="320"/>
      <c r="E221" s="320"/>
      <c r="F221" s="320"/>
      <c r="G221" s="320"/>
      <c r="H221" s="320"/>
      <c r="I221" s="320"/>
      <c r="J221" s="320"/>
      <c r="K221" s="320"/>
      <c r="L221" s="320"/>
      <c r="M221" s="320"/>
      <c r="N221" s="320"/>
      <c r="O221" s="320"/>
      <c r="P221" s="320"/>
      <c r="Q221" s="320"/>
      <c r="R221" s="318"/>
      <c r="S221" s="320"/>
      <c r="T221" s="319"/>
      <c r="U221" s="320"/>
      <c r="V221" s="318"/>
      <c r="W221" s="318"/>
      <c r="X221" s="318"/>
      <c r="Y221" s="318"/>
      <c r="Z221" s="318"/>
      <c r="AA221" s="318"/>
      <c r="AB221" s="318"/>
      <c r="AC221" s="318"/>
      <c r="AD221" s="318"/>
      <c r="AE221" s="318"/>
      <c r="AF221" s="318">
        <v>1425093</v>
      </c>
      <c r="AG221" s="318">
        <v>0</v>
      </c>
      <c r="AH221" s="318">
        <v>0</v>
      </c>
      <c r="AI221" s="318">
        <v>0</v>
      </c>
      <c r="AJ221" s="318">
        <v>1870000</v>
      </c>
      <c r="AK221" s="318">
        <v>0</v>
      </c>
      <c r="AL221" s="318">
        <v>15000000</v>
      </c>
      <c r="AM221" s="318">
        <v>0</v>
      </c>
      <c r="AN221" s="318">
        <v>0</v>
      </c>
      <c r="AO221" s="318">
        <v>0</v>
      </c>
      <c r="AP221" s="318">
        <v>0</v>
      </c>
      <c r="AQ221" s="318">
        <v>0</v>
      </c>
      <c r="AR221" s="318">
        <v>0</v>
      </c>
      <c r="AS221" s="318">
        <v>0</v>
      </c>
      <c r="AT221" s="318">
        <v>0</v>
      </c>
      <c r="AU221" s="318">
        <v>0</v>
      </c>
      <c r="AV221" s="318">
        <v>0</v>
      </c>
      <c r="AW221" s="318">
        <v>0</v>
      </c>
      <c r="AX221" s="10"/>
      <c r="AY221" s="10"/>
      <c r="AZ221" s="318">
        <v>0</v>
      </c>
      <c r="BA221" s="318">
        <v>87611809</v>
      </c>
      <c r="BB221" s="318">
        <v>0</v>
      </c>
      <c r="BC221" s="318">
        <v>0</v>
      </c>
      <c r="BD221" s="318">
        <v>0</v>
      </c>
      <c r="BE221" s="318">
        <v>0</v>
      </c>
      <c r="BF221" s="318">
        <v>0</v>
      </c>
      <c r="BG221" s="318">
        <v>0</v>
      </c>
      <c r="BH221" s="318">
        <v>0</v>
      </c>
      <c r="BI221" s="318">
        <v>0</v>
      </c>
      <c r="BJ221" s="318">
        <v>0</v>
      </c>
      <c r="BK221" s="318">
        <v>0</v>
      </c>
      <c r="BL221" s="318">
        <v>0</v>
      </c>
      <c r="BM221" s="318">
        <v>0</v>
      </c>
      <c r="BN221" s="318">
        <v>0</v>
      </c>
      <c r="BO221" s="318">
        <v>0</v>
      </c>
      <c r="BP221" s="318">
        <v>0</v>
      </c>
      <c r="BQ221" s="318">
        <v>0</v>
      </c>
      <c r="BR221" s="318">
        <v>0</v>
      </c>
      <c r="BS221" s="318">
        <v>0</v>
      </c>
      <c r="BT221" s="318">
        <v>0</v>
      </c>
      <c r="BU221" s="318">
        <v>0</v>
      </c>
      <c r="BV221" s="318">
        <v>0</v>
      </c>
      <c r="BW221" s="318">
        <v>0</v>
      </c>
      <c r="BX221" s="318">
        <v>0</v>
      </c>
      <c r="BY221" s="318">
        <v>0</v>
      </c>
      <c r="BZ221" s="318">
        <v>0</v>
      </c>
      <c r="CA221" s="318">
        <v>0</v>
      </c>
      <c r="CB221" s="318">
        <v>0</v>
      </c>
      <c r="CC221" s="318">
        <v>0</v>
      </c>
      <c r="CD221" s="318">
        <v>0</v>
      </c>
      <c r="CE221" s="318">
        <v>0</v>
      </c>
      <c r="CF221" s="318">
        <v>0</v>
      </c>
      <c r="CG221" s="318">
        <v>0</v>
      </c>
      <c r="CH221" s="318">
        <v>0</v>
      </c>
      <c r="CI221" s="318">
        <v>0</v>
      </c>
      <c r="CJ221" s="318">
        <v>0</v>
      </c>
      <c r="CK221" s="318">
        <v>0</v>
      </c>
      <c r="CL221" s="318">
        <v>0</v>
      </c>
      <c r="CM221" s="318">
        <v>0</v>
      </c>
      <c r="CN221" s="318">
        <v>0</v>
      </c>
      <c r="CO221" s="318">
        <v>0</v>
      </c>
      <c r="CP221" s="318">
        <v>0</v>
      </c>
      <c r="CQ221" s="318">
        <v>0</v>
      </c>
      <c r="CR221" s="318">
        <v>0</v>
      </c>
      <c r="CS221" s="318">
        <v>0</v>
      </c>
      <c r="CT221" s="318">
        <v>0</v>
      </c>
      <c r="CU221" s="19">
        <v>0</v>
      </c>
      <c r="CV221" s="19">
        <v>0</v>
      </c>
      <c r="CW221" s="19">
        <v>0</v>
      </c>
      <c r="CX221" s="19">
        <v>0</v>
      </c>
      <c r="CY221" s="19">
        <v>0</v>
      </c>
      <c r="CZ221" s="19">
        <v>0</v>
      </c>
      <c r="DA221" s="19">
        <v>0</v>
      </c>
      <c r="DB221" s="19">
        <v>0</v>
      </c>
      <c r="DC221" s="19">
        <v>0</v>
      </c>
      <c r="DD221" s="19">
        <v>0</v>
      </c>
      <c r="DE221" s="19">
        <v>0</v>
      </c>
      <c r="DF221" s="19">
        <v>0</v>
      </c>
      <c r="DG221" s="19">
        <v>0</v>
      </c>
      <c r="DH221" s="19">
        <v>0</v>
      </c>
      <c r="DI221" s="19">
        <v>0</v>
      </c>
      <c r="DJ221" s="19">
        <v>0</v>
      </c>
      <c r="DK221" s="19">
        <v>0</v>
      </c>
      <c r="DL221" s="19">
        <v>0</v>
      </c>
      <c r="DM221" s="19">
        <v>0</v>
      </c>
      <c r="DN221" s="19">
        <v>0</v>
      </c>
      <c r="DO221" s="19">
        <v>0</v>
      </c>
      <c r="DP221" s="19">
        <v>0</v>
      </c>
      <c r="DQ221" s="19">
        <v>0</v>
      </c>
      <c r="DR221" s="19">
        <v>0</v>
      </c>
      <c r="DS221" s="19">
        <v>0</v>
      </c>
      <c r="DT221" s="19">
        <v>0</v>
      </c>
      <c r="DU221" s="19">
        <v>0</v>
      </c>
      <c r="DV221" s="19">
        <v>0</v>
      </c>
      <c r="DW221" s="19">
        <v>0</v>
      </c>
      <c r="DX221" s="19">
        <v>0</v>
      </c>
      <c r="DY221" s="19">
        <v>0</v>
      </c>
      <c r="DZ221" s="19">
        <v>0</v>
      </c>
      <c r="EA221" s="19">
        <v>0</v>
      </c>
      <c r="EB221" s="19">
        <v>0</v>
      </c>
      <c r="EC221" s="19">
        <v>0</v>
      </c>
      <c r="ED221" s="19">
        <v>0</v>
      </c>
      <c r="EE221" s="222"/>
      <c r="EF221" s="19">
        <f t="shared" si="885"/>
        <v>0</v>
      </c>
      <c r="EG221" s="19">
        <f t="shared" si="886"/>
        <v>0</v>
      </c>
      <c r="EH221" s="19">
        <f t="shared" si="887"/>
        <v>0</v>
      </c>
      <c r="EI221" s="19">
        <f t="shared" si="888"/>
        <v>0</v>
      </c>
      <c r="EJ221" s="19">
        <f t="shared" si="889"/>
        <v>0</v>
      </c>
      <c r="EK221" s="19">
        <f t="shared" si="890"/>
        <v>0</v>
      </c>
      <c r="EL221" s="19">
        <f t="shared" si="891"/>
        <v>0</v>
      </c>
      <c r="EM221" s="19">
        <f t="shared" si="892"/>
        <v>0</v>
      </c>
      <c r="EN221" s="19">
        <f t="shared" si="893"/>
        <v>0</v>
      </c>
      <c r="EO221" s="19">
        <f t="shared" si="894"/>
        <v>0</v>
      </c>
      <c r="EP221" s="19">
        <f t="shared" si="895"/>
        <v>0</v>
      </c>
      <c r="EQ221" s="19">
        <f t="shared" si="896"/>
        <v>0</v>
      </c>
      <c r="ER221" s="19">
        <f t="shared" si="897"/>
        <v>0</v>
      </c>
      <c r="ES221" s="19">
        <f t="shared" si="898"/>
        <v>0</v>
      </c>
      <c r="ET221" s="19">
        <f t="shared" si="899"/>
        <v>0</v>
      </c>
      <c r="EU221" s="19">
        <f t="shared" si="900"/>
        <v>0</v>
      </c>
      <c r="EV221" s="19">
        <f t="shared" si="901"/>
        <v>0</v>
      </c>
      <c r="EW221" s="19">
        <f t="shared" si="902"/>
        <v>0</v>
      </c>
      <c r="EX221" s="19">
        <f t="shared" si="903"/>
        <v>0</v>
      </c>
      <c r="EY221" s="19">
        <f t="shared" si="904"/>
        <v>0</v>
      </c>
      <c r="EZ221" s="19">
        <f t="shared" si="914"/>
        <v>0</v>
      </c>
      <c r="FA221" s="19">
        <f t="shared" si="915"/>
        <v>0</v>
      </c>
      <c r="FB221" s="19">
        <f t="shared" si="916"/>
        <v>0</v>
      </c>
      <c r="FC221" s="19">
        <f t="shared" si="917"/>
        <v>0</v>
      </c>
      <c r="FE221" s="19">
        <f t="shared" si="918"/>
        <v>0</v>
      </c>
      <c r="FF221" s="19">
        <f t="shared" si="919"/>
        <v>0</v>
      </c>
      <c r="FG221" s="19">
        <f t="shared" si="920"/>
        <v>0</v>
      </c>
      <c r="FH221" s="19">
        <f t="shared" si="921"/>
        <v>0</v>
      </c>
      <c r="FI221" s="19">
        <f t="shared" si="922"/>
        <v>0</v>
      </c>
      <c r="FJ221" s="770">
        <f t="shared" si="784"/>
        <v>0</v>
      </c>
      <c r="FK221" s="545" t="s">
        <v>1</v>
      </c>
    </row>
    <row r="222" spans="2:167" x14ac:dyDescent="0.2">
      <c r="B222" s="306" t="s">
        <v>339</v>
      </c>
      <c r="C222" s="320"/>
      <c r="D222" s="320"/>
      <c r="E222" s="320"/>
      <c r="F222" s="320"/>
      <c r="G222" s="320"/>
      <c r="H222" s="320"/>
      <c r="I222" s="320"/>
      <c r="J222" s="320"/>
      <c r="K222" s="320"/>
      <c r="L222" s="320"/>
      <c r="M222" s="320"/>
      <c r="N222" s="320"/>
      <c r="O222" s="320"/>
      <c r="P222" s="320"/>
      <c r="Q222" s="320"/>
      <c r="R222" s="318"/>
      <c r="S222" s="320"/>
      <c r="T222" s="319"/>
      <c r="U222" s="320"/>
      <c r="V222" s="318"/>
      <c r="W222" s="318"/>
      <c r="X222" s="318"/>
      <c r="Y222" s="318"/>
      <c r="Z222" s="318"/>
      <c r="AA222" s="318"/>
      <c r="AB222" s="318"/>
      <c r="AC222" s="318"/>
      <c r="AD222" s="318"/>
      <c r="AE222" s="318"/>
      <c r="AF222" s="318"/>
      <c r="AG222" s="318"/>
      <c r="AH222" s="318"/>
      <c r="AI222" s="318">
        <v>0</v>
      </c>
      <c r="AJ222" s="318">
        <v>0</v>
      </c>
      <c r="AK222" s="318">
        <v>0</v>
      </c>
      <c r="AL222" s="318">
        <v>0</v>
      </c>
      <c r="AM222" s="318">
        <v>0</v>
      </c>
      <c r="AN222" s="318">
        <v>0</v>
      </c>
      <c r="AO222" s="318">
        <v>0</v>
      </c>
      <c r="AP222" s="318">
        <v>0</v>
      </c>
      <c r="AQ222" s="318">
        <v>0</v>
      </c>
      <c r="AR222" s="318">
        <v>0</v>
      </c>
      <c r="AS222" s="318">
        <v>0</v>
      </c>
      <c r="AT222" s="318">
        <v>0</v>
      </c>
      <c r="AU222" s="318">
        <v>3200000</v>
      </c>
      <c r="AV222" s="318">
        <v>0</v>
      </c>
      <c r="AW222" s="318">
        <v>0</v>
      </c>
      <c r="AX222" s="318">
        <v>0</v>
      </c>
      <c r="AY222" s="318">
        <v>0</v>
      </c>
      <c r="AZ222" s="318">
        <v>0</v>
      </c>
      <c r="BA222" s="318">
        <v>0</v>
      </c>
      <c r="BB222" s="318">
        <v>0</v>
      </c>
      <c r="BC222" s="318">
        <v>0</v>
      </c>
      <c r="BD222" s="318">
        <v>0</v>
      </c>
      <c r="BE222" s="318">
        <v>0</v>
      </c>
      <c r="BF222" s="318">
        <v>0</v>
      </c>
      <c r="BG222" s="318">
        <v>0</v>
      </c>
      <c r="BH222" s="318">
        <v>0</v>
      </c>
      <c r="BI222" s="318">
        <v>0</v>
      </c>
      <c r="BJ222" s="318">
        <v>0</v>
      </c>
      <c r="BK222" s="318">
        <v>0</v>
      </c>
      <c r="BL222" s="318">
        <v>0</v>
      </c>
      <c r="BM222" s="318">
        <v>0</v>
      </c>
      <c r="BN222" s="318">
        <v>0</v>
      </c>
      <c r="BO222" s="318">
        <v>0</v>
      </c>
      <c r="BP222" s="318">
        <v>0</v>
      </c>
      <c r="BQ222" s="318">
        <v>0</v>
      </c>
      <c r="BR222" s="318">
        <v>0</v>
      </c>
      <c r="BS222" s="318">
        <v>0</v>
      </c>
      <c r="BT222" s="318">
        <v>0</v>
      </c>
      <c r="BU222" s="318">
        <v>0</v>
      </c>
      <c r="BV222" s="318">
        <v>0</v>
      </c>
      <c r="BW222" s="318">
        <v>0</v>
      </c>
      <c r="BX222" s="318">
        <v>0</v>
      </c>
      <c r="BY222" s="318">
        <v>0</v>
      </c>
      <c r="BZ222" s="318">
        <v>0</v>
      </c>
      <c r="CA222" s="318">
        <v>0</v>
      </c>
      <c r="CB222" s="318">
        <v>0</v>
      </c>
      <c r="CC222" s="318">
        <v>0</v>
      </c>
      <c r="CD222" s="318">
        <v>0</v>
      </c>
      <c r="CE222" s="318">
        <v>0</v>
      </c>
      <c r="CF222" s="318">
        <v>0</v>
      </c>
      <c r="CG222" s="318">
        <v>0</v>
      </c>
      <c r="CH222" s="318">
        <v>0</v>
      </c>
      <c r="CI222" s="318">
        <v>0</v>
      </c>
      <c r="CJ222" s="318">
        <v>0</v>
      </c>
      <c r="CK222" s="318">
        <v>0</v>
      </c>
      <c r="CL222" s="318">
        <v>0</v>
      </c>
      <c r="CM222" s="318">
        <v>0</v>
      </c>
      <c r="CN222" s="318">
        <v>0</v>
      </c>
      <c r="CO222" s="318">
        <v>0</v>
      </c>
      <c r="CP222" s="318">
        <v>0</v>
      </c>
      <c r="CQ222" s="318">
        <v>0</v>
      </c>
      <c r="CR222" s="318">
        <v>0</v>
      </c>
      <c r="CS222" s="318">
        <v>0</v>
      </c>
      <c r="CT222" s="318">
        <v>0</v>
      </c>
      <c r="CU222" s="19">
        <v>0</v>
      </c>
      <c r="CV222" s="19">
        <v>0</v>
      </c>
      <c r="CW222" s="19">
        <v>0</v>
      </c>
      <c r="CX222" s="19">
        <v>0</v>
      </c>
      <c r="CY222" s="19">
        <v>0</v>
      </c>
      <c r="CZ222" s="19">
        <v>0</v>
      </c>
      <c r="DA222" s="19">
        <v>0</v>
      </c>
      <c r="DB222" s="19">
        <v>0</v>
      </c>
      <c r="DC222" s="19">
        <v>0</v>
      </c>
      <c r="DD222" s="19">
        <v>0</v>
      </c>
      <c r="DE222" s="19">
        <v>0</v>
      </c>
      <c r="DF222" s="19">
        <v>0</v>
      </c>
      <c r="DG222" s="19">
        <v>0</v>
      </c>
      <c r="DH222" s="19">
        <v>0</v>
      </c>
      <c r="DI222" s="19">
        <v>0</v>
      </c>
      <c r="DJ222" s="19">
        <v>0</v>
      </c>
      <c r="DK222" s="19">
        <v>0</v>
      </c>
      <c r="DL222" s="19">
        <v>0</v>
      </c>
      <c r="DM222" s="19">
        <v>0</v>
      </c>
      <c r="DN222" s="19">
        <v>0</v>
      </c>
      <c r="DO222" s="19">
        <v>0</v>
      </c>
      <c r="DP222" s="19">
        <v>0</v>
      </c>
      <c r="DQ222" s="19">
        <v>0</v>
      </c>
      <c r="DR222" s="19">
        <v>0</v>
      </c>
      <c r="DS222" s="19">
        <v>0</v>
      </c>
      <c r="DT222" s="19">
        <v>0</v>
      </c>
      <c r="DU222" s="19">
        <v>0</v>
      </c>
      <c r="DV222" s="19">
        <v>0</v>
      </c>
      <c r="DW222" s="19">
        <v>0</v>
      </c>
      <c r="DX222" s="19">
        <v>0</v>
      </c>
      <c r="DY222" s="19">
        <v>0</v>
      </c>
      <c r="DZ222" s="19">
        <v>0</v>
      </c>
      <c r="EA222" s="19">
        <v>0</v>
      </c>
      <c r="EB222" s="19">
        <v>0</v>
      </c>
      <c r="EC222" s="19">
        <v>0</v>
      </c>
      <c r="ED222" s="19">
        <v>0</v>
      </c>
      <c r="EE222" s="222"/>
      <c r="EF222" s="19">
        <f t="shared" si="885"/>
        <v>0</v>
      </c>
      <c r="EG222" s="19">
        <f t="shared" si="886"/>
        <v>0</v>
      </c>
      <c r="EH222" s="19">
        <f t="shared" si="887"/>
        <v>0</v>
      </c>
      <c r="EI222" s="19">
        <f t="shared" si="888"/>
        <v>0</v>
      </c>
      <c r="EJ222" s="19">
        <f t="shared" si="889"/>
        <v>0</v>
      </c>
      <c r="EK222" s="19">
        <f t="shared" si="890"/>
        <v>0</v>
      </c>
      <c r="EL222" s="19">
        <f t="shared" si="891"/>
        <v>0</v>
      </c>
      <c r="EM222" s="19">
        <f t="shared" si="892"/>
        <v>0</v>
      </c>
      <c r="EN222" s="19">
        <f t="shared" si="893"/>
        <v>0</v>
      </c>
      <c r="EO222" s="19">
        <f t="shared" si="894"/>
        <v>0</v>
      </c>
      <c r="EP222" s="19">
        <f t="shared" si="895"/>
        <v>0</v>
      </c>
      <c r="EQ222" s="19">
        <f t="shared" si="896"/>
        <v>0</v>
      </c>
      <c r="ER222" s="19">
        <f t="shared" si="897"/>
        <v>0</v>
      </c>
      <c r="ES222" s="19">
        <f t="shared" si="898"/>
        <v>0</v>
      </c>
      <c r="ET222" s="19">
        <f t="shared" si="899"/>
        <v>0</v>
      </c>
      <c r="EU222" s="19">
        <f t="shared" si="900"/>
        <v>0</v>
      </c>
      <c r="EV222" s="19">
        <f t="shared" si="901"/>
        <v>0</v>
      </c>
      <c r="EW222" s="19">
        <f t="shared" si="902"/>
        <v>0</v>
      </c>
      <c r="EX222" s="19">
        <f t="shared" si="903"/>
        <v>0</v>
      </c>
      <c r="EY222" s="19">
        <f t="shared" si="904"/>
        <v>0</v>
      </c>
      <c r="EZ222" s="19">
        <f t="shared" si="914"/>
        <v>0</v>
      </c>
      <c r="FA222" s="19">
        <f t="shared" si="915"/>
        <v>0</v>
      </c>
      <c r="FB222" s="19">
        <f t="shared" si="916"/>
        <v>0</v>
      </c>
      <c r="FC222" s="19">
        <f t="shared" si="917"/>
        <v>0</v>
      </c>
      <c r="FE222" s="19">
        <f t="shared" si="918"/>
        <v>0</v>
      </c>
      <c r="FF222" s="19">
        <f t="shared" si="919"/>
        <v>0</v>
      </c>
      <c r="FG222" s="19">
        <f t="shared" si="920"/>
        <v>0</v>
      </c>
      <c r="FH222" s="19">
        <f t="shared" si="921"/>
        <v>0</v>
      </c>
      <c r="FI222" s="19">
        <f t="shared" si="922"/>
        <v>0</v>
      </c>
      <c r="FJ222" s="770">
        <f t="shared" si="784"/>
        <v>0</v>
      </c>
      <c r="FK222" s="545" t="s">
        <v>1</v>
      </c>
    </row>
    <row r="223" spans="2:167" x14ac:dyDescent="0.2">
      <c r="B223" s="306" t="s">
        <v>340</v>
      </c>
      <c r="C223" s="320"/>
      <c r="D223" s="320"/>
      <c r="E223" s="320"/>
      <c r="F223" s="320"/>
      <c r="G223" s="320"/>
      <c r="H223" s="320"/>
      <c r="I223" s="320"/>
      <c r="J223" s="320"/>
      <c r="K223" s="320"/>
      <c r="L223" s="320"/>
      <c r="M223" s="320"/>
      <c r="N223" s="320"/>
      <c r="O223" s="320"/>
      <c r="P223" s="320"/>
      <c r="Q223" s="320"/>
      <c r="R223" s="318"/>
      <c r="S223" s="320"/>
      <c r="T223" s="319"/>
      <c r="U223" s="320"/>
      <c r="V223" s="318"/>
      <c r="W223" s="318"/>
      <c r="X223" s="318"/>
      <c r="Y223" s="318"/>
      <c r="Z223" s="318"/>
      <c r="AA223" s="318"/>
      <c r="AB223" s="318"/>
      <c r="AC223" s="318"/>
      <c r="AD223" s="318"/>
      <c r="AE223" s="318"/>
      <c r="AF223" s="318"/>
      <c r="AG223" s="318"/>
      <c r="AH223" s="318"/>
      <c r="AI223" s="318"/>
      <c r="AJ223" s="318"/>
      <c r="AK223" s="318"/>
      <c r="AL223" s="318"/>
      <c r="AM223" s="318"/>
      <c r="AN223" s="318">
        <v>2000000</v>
      </c>
      <c r="AO223" s="318">
        <v>0</v>
      </c>
      <c r="AP223" s="318">
        <v>0</v>
      </c>
      <c r="AQ223" s="318">
        <v>0</v>
      </c>
      <c r="AR223" s="318">
        <v>0</v>
      </c>
      <c r="AS223" s="318">
        <v>0</v>
      </c>
      <c r="AT223" s="318">
        <v>0</v>
      </c>
      <c r="AU223" s="318">
        <v>0</v>
      </c>
      <c r="AV223" s="318">
        <v>0</v>
      </c>
      <c r="AW223" s="318">
        <v>0</v>
      </c>
      <c r="AX223" s="318">
        <v>0</v>
      </c>
      <c r="AY223" s="318">
        <v>0</v>
      </c>
      <c r="AZ223" s="318">
        <v>0</v>
      </c>
      <c r="BA223" s="318">
        <v>0</v>
      </c>
      <c r="BB223" s="318">
        <v>0</v>
      </c>
      <c r="BC223" s="318">
        <v>0</v>
      </c>
      <c r="BD223" s="318">
        <v>0</v>
      </c>
      <c r="BE223" s="318">
        <v>0</v>
      </c>
      <c r="BF223" s="318">
        <v>0</v>
      </c>
      <c r="BG223" s="318">
        <v>0</v>
      </c>
      <c r="BH223" s="318">
        <v>0</v>
      </c>
      <c r="BI223" s="318">
        <v>0</v>
      </c>
      <c r="BJ223" s="318">
        <v>0</v>
      </c>
      <c r="BK223" s="318">
        <v>0</v>
      </c>
      <c r="BL223" s="318">
        <v>0</v>
      </c>
      <c r="BM223" s="318">
        <v>0</v>
      </c>
      <c r="BN223" s="318">
        <v>0</v>
      </c>
      <c r="BO223" s="318">
        <v>0</v>
      </c>
      <c r="BP223" s="318">
        <v>0</v>
      </c>
      <c r="BQ223" s="318">
        <v>0</v>
      </c>
      <c r="BR223" s="318">
        <v>0</v>
      </c>
      <c r="BS223" s="318">
        <v>0</v>
      </c>
      <c r="BT223" s="318">
        <v>0</v>
      </c>
      <c r="BU223" s="318">
        <v>0</v>
      </c>
      <c r="BV223" s="318">
        <v>0</v>
      </c>
      <c r="BW223" s="318">
        <v>0</v>
      </c>
      <c r="BX223" s="318">
        <v>0</v>
      </c>
      <c r="BY223" s="318">
        <v>0</v>
      </c>
      <c r="BZ223" s="318">
        <v>0</v>
      </c>
      <c r="CA223" s="318">
        <v>0</v>
      </c>
      <c r="CB223" s="318">
        <v>0</v>
      </c>
      <c r="CC223" s="318">
        <v>0</v>
      </c>
      <c r="CD223" s="318">
        <v>0</v>
      </c>
      <c r="CE223" s="318">
        <v>0</v>
      </c>
      <c r="CF223" s="318">
        <v>0</v>
      </c>
      <c r="CG223" s="318">
        <v>0</v>
      </c>
      <c r="CH223" s="318">
        <v>0</v>
      </c>
      <c r="CI223" s="318">
        <v>0</v>
      </c>
      <c r="CJ223" s="318">
        <v>0</v>
      </c>
      <c r="CK223" s="318">
        <v>0</v>
      </c>
      <c r="CL223" s="318">
        <v>0</v>
      </c>
      <c r="CM223" s="318">
        <v>0</v>
      </c>
      <c r="CN223" s="318">
        <v>0</v>
      </c>
      <c r="CO223" s="318">
        <v>0</v>
      </c>
      <c r="CP223" s="318">
        <v>0</v>
      </c>
      <c r="CQ223" s="318">
        <v>0</v>
      </c>
      <c r="CR223" s="318">
        <v>0</v>
      </c>
      <c r="CS223" s="318">
        <v>0</v>
      </c>
      <c r="CT223" s="318">
        <v>0</v>
      </c>
      <c r="CU223" s="19">
        <v>0</v>
      </c>
      <c r="CV223" s="19">
        <v>0</v>
      </c>
      <c r="CW223" s="19">
        <v>0</v>
      </c>
      <c r="CX223" s="19">
        <v>0</v>
      </c>
      <c r="CY223" s="19">
        <v>0</v>
      </c>
      <c r="CZ223" s="19">
        <v>0</v>
      </c>
      <c r="DA223" s="19">
        <v>0</v>
      </c>
      <c r="DB223" s="19">
        <v>0</v>
      </c>
      <c r="DC223" s="19">
        <v>0</v>
      </c>
      <c r="DD223" s="19">
        <v>0</v>
      </c>
      <c r="DE223" s="19">
        <v>0</v>
      </c>
      <c r="DF223" s="19">
        <v>0</v>
      </c>
      <c r="DG223" s="19">
        <v>0</v>
      </c>
      <c r="DH223" s="19">
        <v>0</v>
      </c>
      <c r="DI223" s="19">
        <v>0</v>
      </c>
      <c r="DJ223" s="19">
        <v>0</v>
      </c>
      <c r="DK223" s="19">
        <v>0</v>
      </c>
      <c r="DL223" s="19">
        <v>0</v>
      </c>
      <c r="DM223" s="19">
        <v>0</v>
      </c>
      <c r="DN223" s="19">
        <v>0</v>
      </c>
      <c r="DO223" s="19">
        <v>0</v>
      </c>
      <c r="DP223" s="19">
        <v>0</v>
      </c>
      <c r="DQ223" s="19">
        <v>0</v>
      </c>
      <c r="DR223" s="19">
        <v>0</v>
      </c>
      <c r="DS223" s="19">
        <v>0</v>
      </c>
      <c r="DT223" s="19">
        <v>0</v>
      </c>
      <c r="DU223" s="19">
        <v>0</v>
      </c>
      <c r="DV223" s="19">
        <v>0</v>
      </c>
      <c r="DW223" s="19">
        <v>0</v>
      </c>
      <c r="DX223" s="19">
        <v>0</v>
      </c>
      <c r="DY223" s="19">
        <v>0</v>
      </c>
      <c r="DZ223" s="19">
        <v>0</v>
      </c>
      <c r="EA223" s="19">
        <v>0</v>
      </c>
      <c r="EB223" s="19">
        <v>0</v>
      </c>
      <c r="EC223" s="19">
        <v>0</v>
      </c>
      <c r="ED223" s="19">
        <v>0</v>
      </c>
      <c r="EE223" s="222"/>
      <c r="EF223" s="19">
        <f t="shared" si="885"/>
        <v>0</v>
      </c>
      <c r="EG223" s="19">
        <f t="shared" si="886"/>
        <v>0</v>
      </c>
      <c r="EH223" s="19">
        <f t="shared" si="887"/>
        <v>0</v>
      </c>
      <c r="EI223" s="19">
        <f t="shared" si="888"/>
        <v>0</v>
      </c>
      <c r="EJ223" s="19">
        <f t="shared" si="889"/>
        <v>0</v>
      </c>
      <c r="EK223" s="19">
        <f t="shared" si="890"/>
        <v>0</v>
      </c>
      <c r="EL223" s="19">
        <f t="shared" si="891"/>
        <v>0</v>
      </c>
      <c r="EM223" s="19">
        <f t="shared" si="892"/>
        <v>0</v>
      </c>
      <c r="EN223" s="19">
        <f t="shared" si="893"/>
        <v>0</v>
      </c>
      <c r="EO223" s="19">
        <f t="shared" si="894"/>
        <v>0</v>
      </c>
      <c r="EP223" s="19">
        <f t="shared" si="895"/>
        <v>0</v>
      </c>
      <c r="EQ223" s="19">
        <f t="shared" si="896"/>
        <v>0</v>
      </c>
      <c r="ER223" s="19">
        <f t="shared" si="897"/>
        <v>0</v>
      </c>
      <c r="ES223" s="19">
        <f t="shared" si="898"/>
        <v>0</v>
      </c>
      <c r="ET223" s="19">
        <f t="shared" si="899"/>
        <v>0</v>
      </c>
      <c r="EU223" s="19">
        <f t="shared" si="900"/>
        <v>0</v>
      </c>
      <c r="EV223" s="19">
        <f t="shared" si="901"/>
        <v>0</v>
      </c>
      <c r="EW223" s="19">
        <f t="shared" si="902"/>
        <v>0</v>
      </c>
      <c r="EX223" s="19">
        <f t="shared" si="903"/>
        <v>0</v>
      </c>
      <c r="EY223" s="19">
        <f t="shared" si="904"/>
        <v>0</v>
      </c>
      <c r="EZ223" s="19">
        <f t="shared" si="914"/>
        <v>0</v>
      </c>
      <c r="FA223" s="19">
        <f t="shared" si="915"/>
        <v>0</v>
      </c>
      <c r="FB223" s="19">
        <f t="shared" si="916"/>
        <v>0</v>
      </c>
      <c r="FC223" s="19">
        <f t="shared" si="917"/>
        <v>0</v>
      </c>
      <c r="FE223" s="19">
        <f t="shared" si="918"/>
        <v>0</v>
      </c>
      <c r="FF223" s="19">
        <f t="shared" si="919"/>
        <v>0</v>
      </c>
      <c r="FG223" s="19">
        <f t="shared" si="920"/>
        <v>0</v>
      </c>
      <c r="FH223" s="19">
        <f t="shared" si="921"/>
        <v>0</v>
      </c>
      <c r="FI223" s="19">
        <f t="shared" si="922"/>
        <v>0</v>
      </c>
      <c r="FJ223" s="770">
        <f t="shared" si="784"/>
        <v>0</v>
      </c>
      <c r="FK223" s="545" t="s">
        <v>1</v>
      </c>
    </row>
    <row r="224" spans="2:167" x14ac:dyDescent="0.2">
      <c r="B224" s="306" t="s">
        <v>341</v>
      </c>
      <c r="C224" s="320"/>
      <c r="D224" s="320"/>
      <c r="E224" s="320"/>
      <c r="F224" s="320"/>
      <c r="G224" s="320"/>
      <c r="H224" s="320"/>
      <c r="I224" s="320"/>
      <c r="J224" s="320"/>
      <c r="K224" s="320"/>
      <c r="L224" s="320"/>
      <c r="M224" s="320"/>
      <c r="N224" s="320"/>
      <c r="O224" s="320"/>
      <c r="P224" s="320"/>
      <c r="Q224" s="320"/>
      <c r="R224" s="318"/>
      <c r="S224" s="320"/>
      <c r="T224" s="319"/>
      <c r="U224" s="320"/>
      <c r="V224" s="318"/>
      <c r="W224" s="318"/>
      <c r="X224" s="318"/>
      <c r="Y224" s="318"/>
      <c r="Z224" s="318"/>
      <c r="AA224" s="318"/>
      <c r="AB224" s="318">
        <v>5750234</v>
      </c>
      <c r="AC224" s="318">
        <v>3016110</v>
      </c>
      <c r="AD224" s="318">
        <v>3536763</v>
      </c>
      <c r="AE224" s="318">
        <v>1863503</v>
      </c>
      <c r="AF224" s="318">
        <v>466688</v>
      </c>
      <c r="AG224" s="318">
        <v>443616</v>
      </c>
      <c r="AH224" s="318">
        <v>599875</v>
      </c>
      <c r="AI224" s="318">
        <v>0</v>
      </c>
      <c r="AJ224" s="318">
        <v>0</v>
      </c>
      <c r="AK224" s="318">
        <v>0</v>
      </c>
      <c r="AL224" s="318">
        <v>0</v>
      </c>
      <c r="AM224" s="318">
        <v>3239319</v>
      </c>
      <c r="AN224" s="318">
        <v>10000000</v>
      </c>
      <c r="AO224" s="318">
        <v>0</v>
      </c>
      <c r="AP224" s="318">
        <v>0</v>
      </c>
      <c r="AQ224" s="318">
        <v>0</v>
      </c>
      <c r="AR224" s="318">
        <v>0</v>
      </c>
      <c r="AS224" s="318">
        <v>0</v>
      </c>
      <c r="AT224" s="318">
        <v>0</v>
      </c>
      <c r="AU224" s="318">
        <v>0</v>
      </c>
      <c r="AV224" s="318">
        <v>0</v>
      </c>
      <c r="AW224" s="318">
        <v>0</v>
      </c>
      <c r="AX224" s="318">
        <v>7500000</v>
      </c>
      <c r="AY224" s="318">
        <v>0</v>
      </c>
      <c r="AZ224" s="318">
        <v>0</v>
      </c>
      <c r="BA224" s="318">
        <v>31189580</v>
      </c>
      <c r="BB224" s="318">
        <v>0</v>
      </c>
      <c r="BC224" s="318">
        <v>5244302</v>
      </c>
      <c r="BD224" s="318">
        <v>0</v>
      </c>
      <c r="BE224" s="318">
        <v>0</v>
      </c>
      <c r="BF224" s="318">
        <v>0</v>
      </c>
      <c r="BG224" s="318">
        <v>0</v>
      </c>
      <c r="BH224" s="318">
        <v>0</v>
      </c>
      <c r="BI224" s="318">
        <v>0</v>
      </c>
      <c r="BJ224" s="318">
        <v>0</v>
      </c>
      <c r="BK224" s="318">
        <v>0</v>
      </c>
      <c r="BL224" s="318">
        <v>0</v>
      </c>
      <c r="BM224" s="318">
        <v>0</v>
      </c>
      <c r="BN224" s="318">
        <v>0</v>
      </c>
      <c r="BO224" s="318">
        <v>0</v>
      </c>
      <c r="BP224" s="318">
        <v>0</v>
      </c>
      <c r="BQ224" s="318">
        <v>0</v>
      </c>
      <c r="BR224" s="318">
        <v>0</v>
      </c>
      <c r="BS224" s="318">
        <v>0</v>
      </c>
      <c r="BT224" s="318">
        <v>0</v>
      </c>
      <c r="BU224" s="318">
        <v>0</v>
      </c>
      <c r="BV224" s="318">
        <v>0</v>
      </c>
      <c r="BW224" s="318">
        <v>0</v>
      </c>
      <c r="BX224" s="318">
        <v>0</v>
      </c>
      <c r="BY224" s="318">
        <v>0</v>
      </c>
      <c r="BZ224" s="318">
        <v>0</v>
      </c>
      <c r="CA224" s="318">
        <v>0</v>
      </c>
      <c r="CB224" s="318">
        <v>0</v>
      </c>
      <c r="CC224" s="318">
        <v>0</v>
      </c>
      <c r="CD224" s="318">
        <v>0</v>
      </c>
      <c r="CE224" s="318">
        <v>0</v>
      </c>
      <c r="CF224" s="318">
        <v>0</v>
      </c>
      <c r="CG224" s="318">
        <v>0</v>
      </c>
      <c r="CH224" s="318">
        <v>0</v>
      </c>
      <c r="CI224" s="318">
        <v>0</v>
      </c>
      <c r="CJ224" s="318">
        <v>0</v>
      </c>
      <c r="CK224" s="318">
        <v>0</v>
      </c>
      <c r="CL224" s="318">
        <v>0</v>
      </c>
      <c r="CM224" s="318">
        <v>0</v>
      </c>
      <c r="CN224" s="318">
        <v>0</v>
      </c>
      <c r="CO224" s="318">
        <v>0</v>
      </c>
      <c r="CP224" s="318">
        <v>0</v>
      </c>
      <c r="CQ224" s="318">
        <v>0</v>
      </c>
      <c r="CR224" s="318">
        <v>0</v>
      </c>
      <c r="CS224" s="318">
        <v>0</v>
      </c>
      <c r="CT224" s="318">
        <v>0</v>
      </c>
      <c r="CU224" s="19">
        <v>0</v>
      </c>
      <c r="CV224" s="19">
        <v>0</v>
      </c>
      <c r="CW224" s="19">
        <v>0</v>
      </c>
      <c r="CX224" s="19">
        <v>0</v>
      </c>
      <c r="CY224" s="19">
        <v>0</v>
      </c>
      <c r="CZ224" s="19">
        <v>0</v>
      </c>
      <c r="DA224" s="19">
        <v>0</v>
      </c>
      <c r="DB224" s="19">
        <v>0</v>
      </c>
      <c r="DC224" s="19">
        <v>0</v>
      </c>
      <c r="DD224" s="19">
        <v>0</v>
      </c>
      <c r="DE224" s="19">
        <v>0</v>
      </c>
      <c r="DF224" s="19">
        <v>0</v>
      </c>
      <c r="DG224" s="19">
        <v>0</v>
      </c>
      <c r="DH224" s="19">
        <v>0</v>
      </c>
      <c r="DI224" s="19">
        <v>0</v>
      </c>
      <c r="DJ224" s="19">
        <v>0</v>
      </c>
      <c r="DK224" s="19">
        <v>0</v>
      </c>
      <c r="DL224" s="19">
        <v>0</v>
      </c>
      <c r="DM224" s="19">
        <v>0</v>
      </c>
      <c r="DN224" s="19">
        <v>0</v>
      </c>
      <c r="DO224" s="19">
        <v>0</v>
      </c>
      <c r="DP224" s="19">
        <v>0</v>
      </c>
      <c r="DQ224" s="19">
        <v>0</v>
      </c>
      <c r="DR224" s="19">
        <v>0</v>
      </c>
      <c r="DS224" s="19">
        <v>0</v>
      </c>
      <c r="DT224" s="19">
        <v>0</v>
      </c>
      <c r="DU224" s="19">
        <v>0</v>
      </c>
      <c r="DV224" s="19">
        <v>0</v>
      </c>
      <c r="DW224" s="19">
        <v>0</v>
      </c>
      <c r="DX224" s="19">
        <v>0</v>
      </c>
      <c r="DY224" s="19">
        <v>0</v>
      </c>
      <c r="DZ224" s="19">
        <v>0</v>
      </c>
      <c r="EA224" s="19">
        <v>0</v>
      </c>
      <c r="EB224" s="19">
        <v>0</v>
      </c>
      <c r="EC224" s="19">
        <v>0</v>
      </c>
      <c r="ED224" s="19">
        <v>0</v>
      </c>
      <c r="EE224" s="222"/>
      <c r="EF224" s="19">
        <f t="shared" si="885"/>
        <v>0</v>
      </c>
      <c r="EG224" s="19">
        <f t="shared" si="886"/>
        <v>0</v>
      </c>
      <c r="EH224" s="19">
        <f t="shared" si="887"/>
        <v>0</v>
      </c>
      <c r="EI224" s="19">
        <f t="shared" si="888"/>
        <v>0</v>
      </c>
      <c r="EJ224" s="19">
        <f t="shared" si="889"/>
        <v>0</v>
      </c>
      <c r="EK224" s="19">
        <f t="shared" si="890"/>
        <v>0</v>
      </c>
      <c r="EL224" s="19">
        <f t="shared" si="891"/>
        <v>0</v>
      </c>
      <c r="EM224" s="19">
        <f t="shared" si="892"/>
        <v>0</v>
      </c>
      <c r="EN224" s="19">
        <f t="shared" si="893"/>
        <v>0</v>
      </c>
      <c r="EO224" s="19">
        <f t="shared" si="894"/>
        <v>0</v>
      </c>
      <c r="EP224" s="19">
        <f t="shared" si="895"/>
        <v>0</v>
      </c>
      <c r="EQ224" s="19">
        <f t="shared" si="896"/>
        <v>0</v>
      </c>
      <c r="ER224" s="19">
        <f t="shared" si="897"/>
        <v>0</v>
      </c>
      <c r="ES224" s="19">
        <f t="shared" si="898"/>
        <v>0</v>
      </c>
      <c r="ET224" s="19">
        <f t="shared" si="899"/>
        <v>0</v>
      </c>
      <c r="EU224" s="19">
        <f t="shared" si="900"/>
        <v>0</v>
      </c>
      <c r="EV224" s="19">
        <f t="shared" si="901"/>
        <v>0</v>
      </c>
      <c r="EW224" s="19">
        <f t="shared" si="902"/>
        <v>0</v>
      </c>
      <c r="EX224" s="19">
        <f t="shared" si="903"/>
        <v>0</v>
      </c>
      <c r="EY224" s="19">
        <f t="shared" si="904"/>
        <v>0</v>
      </c>
      <c r="EZ224" s="19">
        <f t="shared" si="914"/>
        <v>0</v>
      </c>
      <c r="FA224" s="19">
        <f t="shared" si="915"/>
        <v>0</v>
      </c>
      <c r="FB224" s="19">
        <f t="shared" si="916"/>
        <v>0</v>
      </c>
      <c r="FC224" s="19">
        <f t="shared" si="917"/>
        <v>0</v>
      </c>
      <c r="FE224" s="19">
        <f t="shared" si="918"/>
        <v>0</v>
      </c>
      <c r="FF224" s="19">
        <f t="shared" si="919"/>
        <v>0</v>
      </c>
      <c r="FG224" s="19">
        <f t="shared" si="920"/>
        <v>0</v>
      </c>
      <c r="FH224" s="19">
        <f t="shared" si="921"/>
        <v>0</v>
      </c>
      <c r="FI224" s="19">
        <f t="shared" si="922"/>
        <v>0</v>
      </c>
      <c r="FJ224" s="770">
        <f t="shared" si="784"/>
        <v>0</v>
      </c>
      <c r="FK224" s="545" t="s">
        <v>1</v>
      </c>
    </row>
    <row r="225" spans="2:167" x14ac:dyDescent="0.2">
      <c r="B225" s="310" t="s">
        <v>342</v>
      </c>
      <c r="C225" s="320"/>
      <c r="D225" s="320"/>
      <c r="E225" s="320"/>
      <c r="F225" s="320"/>
      <c r="G225" s="320"/>
      <c r="H225" s="320"/>
      <c r="I225" s="320"/>
      <c r="J225" s="320"/>
      <c r="K225" s="320"/>
      <c r="L225" s="320"/>
      <c r="M225" s="320"/>
      <c r="N225" s="320"/>
      <c r="O225" s="320"/>
      <c r="P225" s="320"/>
      <c r="Q225" s="320"/>
      <c r="R225" s="318"/>
      <c r="S225" s="320"/>
      <c r="T225" s="319"/>
      <c r="U225" s="320"/>
      <c r="V225" s="318"/>
      <c r="W225" s="318"/>
      <c r="X225" s="318"/>
      <c r="Y225" s="318"/>
      <c r="Z225" s="318"/>
      <c r="AA225" s="318"/>
      <c r="AB225" s="323">
        <v>2250234</v>
      </c>
      <c r="AC225" s="323">
        <v>3016110</v>
      </c>
      <c r="AD225" s="323">
        <v>3536763</v>
      </c>
      <c r="AE225" s="323">
        <v>1863503</v>
      </c>
      <c r="AF225" s="323">
        <v>466688</v>
      </c>
      <c r="AG225" s="323">
        <v>443616</v>
      </c>
      <c r="AH225" s="323">
        <v>599875</v>
      </c>
      <c r="AI225" s="323">
        <v>0</v>
      </c>
      <c r="AJ225" s="323">
        <v>0</v>
      </c>
      <c r="AK225" s="323">
        <v>0</v>
      </c>
      <c r="AL225" s="323">
        <v>0</v>
      </c>
      <c r="AM225" s="323">
        <v>3239319</v>
      </c>
      <c r="AN225" s="323">
        <v>0</v>
      </c>
      <c r="AO225" s="323">
        <v>0</v>
      </c>
      <c r="AP225" s="323">
        <v>0</v>
      </c>
      <c r="AQ225" s="323">
        <v>0</v>
      </c>
      <c r="AR225" s="323">
        <v>0</v>
      </c>
      <c r="AS225" s="323">
        <v>0</v>
      </c>
      <c r="AT225" s="323">
        <v>0</v>
      </c>
      <c r="AU225" s="323">
        <v>0</v>
      </c>
      <c r="AV225" s="323">
        <v>0</v>
      </c>
      <c r="AW225" s="323">
        <v>0</v>
      </c>
      <c r="AX225" s="323">
        <v>7500000</v>
      </c>
      <c r="AY225" s="323">
        <v>0</v>
      </c>
      <c r="AZ225" s="323">
        <v>0</v>
      </c>
      <c r="BA225" s="323">
        <v>31189580</v>
      </c>
      <c r="BB225" s="323">
        <v>0</v>
      </c>
      <c r="BC225" s="323">
        <v>5244302</v>
      </c>
      <c r="BD225" s="323">
        <v>0</v>
      </c>
      <c r="BE225" s="323">
        <v>0</v>
      </c>
      <c r="BF225" s="323">
        <v>0</v>
      </c>
      <c r="BG225" s="323">
        <v>0</v>
      </c>
      <c r="BH225" s="323">
        <v>0</v>
      </c>
      <c r="BI225" s="323">
        <v>0</v>
      </c>
      <c r="BJ225" s="323">
        <v>0</v>
      </c>
      <c r="BK225" s="323">
        <v>0</v>
      </c>
      <c r="BL225" s="323">
        <v>0</v>
      </c>
      <c r="BM225" s="323">
        <v>0</v>
      </c>
      <c r="BN225" s="323">
        <v>0</v>
      </c>
      <c r="BO225" s="323">
        <v>0</v>
      </c>
      <c r="BP225" s="323">
        <v>0</v>
      </c>
      <c r="BQ225" s="323">
        <v>0</v>
      </c>
      <c r="BR225" s="323">
        <v>0</v>
      </c>
      <c r="BS225" s="323">
        <v>0</v>
      </c>
      <c r="BT225" s="323">
        <v>0</v>
      </c>
      <c r="BU225" s="323">
        <v>0</v>
      </c>
      <c r="BV225" s="323">
        <v>0</v>
      </c>
      <c r="BW225" s="323">
        <v>0</v>
      </c>
      <c r="BX225" s="323">
        <v>0</v>
      </c>
      <c r="BY225" s="323">
        <v>0</v>
      </c>
      <c r="BZ225" s="323">
        <v>0</v>
      </c>
      <c r="CA225" s="323">
        <v>0</v>
      </c>
      <c r="CB225" s="323">
        <v>0</v>
      </c>
      <c r="CC225" s="323">
        <v>0</v>
      </c>
      <c r="CD225" s="323">
        <v>0</v>
      </c>
      <c r="CE225" s="323">
        <v>0</v>
      </c>
      <c r="CF225" s="323">
        <v>0</v>
      </c>
      <c r="CG225" s="323">
        <v>0</v>
      </c>
      <c r="CH225" s="323">
        <v>0</v>
      </c>
      <c r="CI225" s="323">
        <v>0</v>
      </c>
      <c r="CJ225" s="323">
        <v>0</v>
      </c>
      <c r="CK225" s="323">
        <v>0</v>
      </c>
      <c r="CL225" s="323">
        <v>0</v>
      </c>
      <c r="CM225" s="323">
        <v>0</v>
      </c>
      <c r="CN225" s="323">
        <v>0</v>
      </c>
      <c r="CO225" s="323">
        <v>0</v>
      </c>
      <c r="CP225" s="323">
        <v>0</v>
      </c>
      <c r="CQ225" s="323">
        <v>0</v>
      </c>
      <c r="CR225" s="323">
        <v>0</v>
      </c>
      <c r="CS225" s="323">
        <v>0</v>
      </c>
      <c r="CT225" s="323">
        <v>0</v>
      </c>
      <c r="CU225" s="19">
        <v>0</v>
      </c>
      <c r="CV225" s="19">
        <v>0</v>
      </c>
      <c r="CW225" s="19">
        <v>0</v>
      </c>
      <c r="CX225" s="19">
        <v>0</v>
      </c>
      <c r="CY225" s="19">
        <v>0</v>
      </c>
      <c r="CZ225" s="19">
        <v>0</v>
      </c>
      <c r="DA225" s="19">
        <v>0</v>
      </c>
      <c r="DB225" s="19">
        <v>0</v>
      </c>
      <c r="DC225" s="19">
        <v>0</v>
      </c>
      <c r="DD225" s="19">
        <v>0</v>
      </c>
      <c r="DE225" s="19">
        <v>0</v>
      </c>
      <c r="DF225" s="19">
        <v>0</v>
      </c>
      <c r="DG225" s="19">
        <v>0</v>
      </c>
      <c r="DH225" s="19">
        <v>0</v>
      </c>
      <c r="DI225" s="19">
        <v>0</v>
      </c>
      <c r="DJ225" s="19">
        <v>0</v>
      </c>
      <c r="DK225" s="19">
        <v>0</v>
      </c>
      <c r="DL225" s="19">
        <v>0</v>
      </c>
      <c r="DM225" s="19">
        <v>0</v>
      </c>
      <c r="DN225" s="19">
        <v>0</v>
      </c>
      <c r="DO225" s="19">
        <v>0</v>
      </c>
      <c r="DP225" s="19">
        <v>0</v>
      </c>
      <c r="DQ225" s="19">
        <v>0</v>
      </c>
      <c r="DR225" s="19">
        <v>0</v>
      </c>
      <c r="DS225" s="19">
        <v>0</v>
      </c>
      <c r="DT225" s="19">
        <v>0</v>
      </c>
      <c r="DU225" s="19">
        <v>0</v>
      </c>
      <c r="DV225" s="19">
        <v>0</v>
      </c>
      <c r="DW225" s="19">
        <v>0</v>
      </c>
      <c r="DX225" s="19">
        <v>0</v>
      </c>
      <c r="DY225" s="19">
        <v>0</v>
      </c>
      <c r="DZ225" s="19">
        <v>0</v>
      </c>
      <c r="EA225" s="19">
        <v>0</v>
      </c>
      <c r="EB225" s="19">
        <v>0</v>
      </c>
      <c r="EC225" s="19">
        <v>0</v>
      </c>
      <c r="ED225" s="19">
        <v>0</v>
      </c>
      <c r="EE225" s="222"/>
      <c r="EF225" s="19">
        <f t="shared" si="885"/>
        <v>0</v>
      </c>
      <c r="EG225" s="19">
        <f t="shared" si="886"/>
        <v>0</v>
      </c>
      <c r="EH225" s="19">
        <f t="shared" si="887"/>
        <v>0</v>
      </c>
      <c r="EI225" s="19">
        <f t="shared" si="888"/>
        <v>0</v>
      </c>
      <c r="EJ225" s="19">
        <f t="shared" si="889"/>
        <v>0</v>
      </c>
      <c r="EK225" s="19">
        <f t="shared" si="890"/>
        <v>0</v>
      </c>
      <c r="EL225" s="19">
        <f t="shared" si="891"/>
        <v>0</v>
      </c>
      <c r="EM225" s="19">
        <f t="shared" si="892"/>
        <v>0</v>
      </c>
      <c r="EN225" s="19">
        <f t="shared" si="893"/>
        <v>0</v>
      </c>
      <c r="EO225" s="19">
        <f t="shared" si="894"/>
        <v>0</v>
      </c>
      <c r="EP225" s="19">
        <f t="shared" si="895"/>
        <v>0</v>
      </c>
      <c r="EQ225" s="19">
        <f t="shared" si="896"/>
        <v>0</v>
      </c>
      <c r="ER225" s="19">
        <f t="shared" si="897"/>
        <v>0</v>
      </c>
      <c r="ES225" s="19">
        <f t="shared" si="898"/>
        <v>0</v>
      </c>
      <c r="ET225" s="19">
        <f t="shared" si="899"/>
        <v>0</v>
      </c>
      <c r="EU225" s="19">
        <f t="shared" si="900"/>
        <v>0</v>
      </c>
      <c r="EV225" s="19">
        <f t="shared" si="901"/>
        <v>0</v>
      </c>
      <c r="EW225" s="19">
        <f t="shared" si="902"/>
        <v>0</v>
      </c>
      <c r="EX225" s="19">
        <f t="shared" si="903"/>
        <v>0</v>
      </c>
      <c r="EY225" s="19">
        <f t="shared" si="904"/>
        <v>0</v>
      </c>
      <c r="EZ225" s="19">
        <f t="shared" si="914"/>
        <v>0</v>
      </c>
      <c r="FA225" s="19">
        <f t="shared" si="915"/>
        <v>0</v>
      </c>
      <c r="FB225" s="19">
        <f t="shared" si="916"/>
        <v>0</v>
      </c>
      <c r="FC225" s="19">
        <f t="shared" si="917"/>
        <v>0</v>
      </c>
      <c r="FE225" s="19">
        <f t="shared" si="918"/>
        <v>0</v>
      </c>
      <c r="FF225" s="19">
        <f t="shared" si="919"/>
        <v>0</v>
      </c>
      <c r="FG225" s="19">
        <f t="shared" si="920"/>
        <v>0</v>
      </c>
      <c r="FH225" s="19">
        <f t="shared" si="921"/>
        <v>0</v>
      </c>
      <c r="FI225" s="19">
        <f t="shared" si="922"/>
        <v>0</v>
      </c>
      <c r="FJ225" s="770">
        <f t="shared" si="784"/>
        <v>0</v>
      </c>
      <c r="FK225" s="545" t="s">
        <v>1</v>
      </c>
    </row>
    <row r="226" spans="2:167" x14ac:dyDescent="0.2">
      <c r="B226" s="310" t="s">
        <v>343</v>
      </c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320"/>
      <c r="Q226" s="320"/>
      <c r="R226" s="318"/>
      <c r="S226" s="320"/>
      <c r="T226" s="319"/>
      <c r="U226" s="320"/>
      <c r="V226" s="318"/>
      <c r="W226" s="318"/>
      <c r="X226" s="318"/>
      <c r="Y226" s="318"/>
      <c r="Z226" s="318"/>
      <c r="AA226" s="318"/>
      <c r="AB226" s="323">
        <v>3500000</v>
      </c>
      <c r="AC226" s="323">
        <v>0</v>
      </c>
      <c r="AD226" s="323">
        <v>0</v>
      </c>
      <c r="AE226" s="323">
        <v>0</v>
      </c>
      <c r="AF226" s="323">
        <v>0</v>
      </c>
      <c r="AG226" s="323">
        <v>0</v>
      </c>
      <c r="AH226" s="323">
        <v>0</v>
      </c>
      <c r="AI226" s="323">
        <v>0</v>
      </c>
      <c r="AJ226" s="323">
        <v>0</v>
      </c>
      <c r="AK226" s="323">
        <v>0</v>
      </c>
      <c r="AL226" s="323">
        <v>0</v>
      </c>
      <c r="AM226" s="323">
        <v>0</v>
      </c>
      <c r="AN226" s="323">
        <v>10000000</v>
      </c>
      <c r="AO226" s="323">
        <v>0</v>
      </c>
      <c r="AP226" s="323">
        <v>0</v>
      </c>
      <c r="AQ226" s="323">
        <v>0</v>
      </c>
      <c r="AR226" s="323">
        <v>0</v>
      </c>
      <c r="AS226" s="323">
        <v>0</v>
      </c>
      <c r="AT226" s="323">
        <v>0</v>
      </c>
      <c r="AU226" s="323">
        <v>0</v>
      </c>
      <c r="AV226" s="323">
        <v>0</v>
      </c>
      <c r="AW226" s="323">
        <v>0</v>
      </c>
      <c r="AX226" s="323">
        <v>0</v>
      </c>
      <c r="AY226" s="323">
        <v>0</v>
      </c>
      <c r="AZ226" s="323">
        <v>0</v>
      </c>
      <c r="BA226" s="323">
        <v>0</v>
      </c>
      <c r="BB226" s="323">
        <v>0</v>
      </c>
      <c r="BC226" s="323">
        <v>0</v>
      </c>
      <c r="BD226" s="323">
        <v>0</v>
      </c>
      <c r="BE226" s="323">
        <v>0</v>
      </c>
      <c r="BF226" s="323">
        <v>0</v>
      </c>
      <c r="BG226" s="323">
        <v>0</v>
      </c>
      <c r="BH226" s="323">
        <v>0</v>
      </c>
      <c r="BI226" s="323">
        <v>0</v>
      </c>
      <c r="BJ226" s="323">
        <v>0</v>
      </c>
      <c r="BK226" s="323">
        <v>0</v>
      </c>
      <c r="BL226" s="323">
        <v>0</v>
      </c>
      <c r="BM226" s="323">
        <v>0</v>
      </c>
      <c r="BN226" s="323">
        <v>0</v>
      </c>
      <c r="BO226" s="323">
        <v>0</v>
      </c>
      <c r="BP226" s="323">
        <v>0</v>
      </c>
      <c r="BQ226" s="323">
        <v>0</v>
      </c>
      <c r="BR226" s="323">
        <v>0</v>
      </c>
      <c r="BS226" s="323">
        <v>0</v>
      </c>
      <c r="BT226" s="323">
        <v>0</v>
      </c>
      <c r="BU226" s="323">
        <v>0</v>
      </c>
      <c r="BV226" s="323">
        <v>0</v>
      </c>
      <c r="BW226" s="323">
        <v>0</v>
      </c>
      <c r="BX226" s="323">
        <v>0</v>
      </c>
      <c r="BY226" s="323">
        <v>0</v>
      </c>
      <c r="BZ226" s="323">
        <v>0</v>
      </c>
      <c r="CA226" s="323">
        <v>0</v>
      </c>
      <c r="CB226" s="323">
        <v>0</v>
      </c>
      <c r="CC226" s="323">
        <v>0</v>
      </c>
      <c r="CD226" s="323">
        <v>0</v>
      </c>
      <c r="CE226" s="323">
        <v>0</v>
      </c>
      <c r="CF226" s="323">
        <v>0</v>
      </c>
      <c r="CG226" s="323">
        <v>0</v>
      </c>
      <c r="CH226" s="323">
        <v>0</v>
      </c>
      <c r="CI226" s="323">
        <v>0</v>
      </c>
      <c r="CJ226" s="323">
        <v>0</v>
      </c>
      <c r="CK226" s="323">
        <v>0</v>
      </c>
      <c r="CL226" s="323">
        <v>0</v>
      </c>
      <c r="CM226" s="323">
        <v>0</v>
      </c>
      <c r="CN226" s="323">
        <v>0</v>
      </c>
      <c r="CO226" s="323">
        <v>0</v>
      </c>
      <c r="CP226" s="323">
        <v>0</v>
      </c>
      <c r="CQ226" s="323">
        <v>0</v>
      </c>
      <c r="CR226" s="323">
        <v>0</v>
      </c>
      <c r="CS226" s="323">
        <v>0</v>
      </c>
      <c r="CT226" s="323">
        <v>0</v>
      </c>
      <c r="CU226" s="19">
        <v>0</v>
      </c>
      <c r="CV226" s="19">
        <v>0</v>
      </c>
      <c r="CW226" s="19">
        <v>0</v>
      </c>
      <c r="CX226" s="19">
        <v>0</v>
      </c>
      <c r="CY226" s="19">
        <v>0</v>
      </c>
      <c r="CZ226" s="19">
        <v>0</v>
      </c>
      <c r="DA226" s="19">
        <v>0</v>
      </c>
      <c r="DB226" s="19">
        <v>0</v>
      </c>
      <c r="DC226" s="19">
        <v>0</v>
      </c>
      <c r="DD226" s="19">
        <v>0</v>
      </c>
      <c r="DE226" s="19">
        <v>0</v>
      </c>
      <c r="DF226" s="19">
        <v>0</v>
      </c>
      <c r="DG226" s="19">
        <v>0</v>
      </c>
      <c r="DH226" s="19">
        <v>0</v>
      </c>
      <c r="DI226" s="19">
        <v>0</v>
      </c>
      <c r="DJ226" s="19">
        <v>0</v>
      </c>
      <c r="DK226" s="19">
        <v>0</v>
      </c>
      <c r="DL226" s="19">
        <v>0</v>
      </c>
      <c r="DM226" s="19">
        <v>0</v>
      </c>
      <c r="DN226" s="19">
        <v>0</v>
      </c>
      <c r="DO226" s="19">
        <v>0</v>
      </c>
      <c r="DP226" s="19">
        <v>0</v>
      </c>
      <c r="DQ226" s="19">
        <v>0</v>
      </c>
      <c r="DR226" s="19">
        <v>0</v>
      </c>
      <c r="DS226" s="19">
        <v>0</v>
      </c>
      <c r="DT226" s="19">
        <v>0</v>
      </c>
      <c r="DU226" s="19">
        <v>0</v>
      </c>
      <c r="DV226" s="19">
        <v>0</v>
      </c>
      <c r="DW226" s="19">
        <v>0</v>
      </c>
      <c r="DX226" s="19">
        <v>0</v>
      </c>
      <c r="DY226" s="19">
        <v>0</v>
      </c>
      <c r="DZ226" s="19">
        <v>0</v>
      </c>
      <c r="EA226" s="19">
        <v>0</v>
      </c>
      <c r="EB226" s="19">
        <v>0</v>
      </c>
      <c r="EC226" s="19">
        <v>0</v>
      </c>
      <c r="ED226" s="19">
        <v>0</v>
      </c>
      <c r="EE226" s="222"/>
      <c r="EF226" s="19">
        <f t="shared" si="885"/>
        <v>0</v>
      </c>
      <c r="EG226" s="19">
        <f t="shared" si="886"/>
        <v>0</v>
      </c>
      <c r="EH226" s="19">
        <f t="shared" si="887"/>
        <v>0</v>
      </c>
      <c r="EI226" s="19">
        <f t="shared" si="888"/>
        <v>0</v>
      </c>
      <c r="EJ226" s="19">
        <f t="shared" si="889"/>
        <v>0</v>
      </c>
      <c r="EK226" s="19">
        <f t="shared" si="890"/>
        <v>0</v>
      </c>
      <c r="EL226" s="19">
        <f t="shared" si="891"/>
        <v>0</v>
      </c>
      <c r="EM226" s="19">
        <f t="shared" si="892"/>
        <v>0</v>
      </c>
      <c r="EN226" s="19">
        <f t="shared" si="893"/>
        <v>0</v>
      </c>
      <c r="EO226" s="19">
        <f t="shared" si="894"/>
        <v>0</v>
      </c>
      <c r="EP226" s="19">
        <f t="shared" si="895"/>
        <v>0</v>
      </c>
      <c r="EQ226" s="19">
        <f t="shared" si="896"/>
        <v>0</v>
      </c>
      <c r="ER226" s="19">
        <f t="shared" si="897"/>
        <v>0</v>
      </c>
      <c r="ES226" s="19">
        <f t="shared" si="898"/>
        <v>0</v>
      </c>
      <c r="ET226" s="19">
        <f t="shared" si="899"/>
        <v>0</v>
      </c>
      <c r="EU226" s="19">
        <f t="shared" si="900"/>
        <v>0</v>
      </c>
      <c r="EV226" s="19">
        <f t="shared" si="901"/>
        <v>0</v>
      </c>
      <c r="EW226" s="19">
        <f t="shared" si="902"/>
        <v>0</v>
      </c>
      <c r="EX226" s="19">
        <f t="shared" si="903"/>
        <v>0</v>
      </c>
      <c r="EY226" s="19">
        <f t="shared" si="904"/>
        <v>0</v>
      </c>
      <c r="EZ226" s="19">
        <f t="shared" si="914"/>
        <v>0</v>
      </c>
      <c r="FA226" s="19">
        <f t="shared" si="915"/>
        <v>0</v>
      </c>
      <c r="FB226" s="19">
        <f t="shared" si="916"/>
        <v>0</v>
      </c>
      <c r="FC226" s="19">
        <f t="shared" si="917"/>
        <v>0</v>
      </c>
      <c r="FE226" s="19">
        <f t="shared" si="918"/>
        <v>0</v>
      </c>
      <c r="FF226" s="19">
        <f t="shared" si="919"/>
        <v>0</v>
      </c>
      <c r="FG226" s="19">
        <f t="shared" si="920"/>
        <v>0</v>
      </c>
      <c r="FH226" s="19">
        <f t="shared" si="921"/>
        <v>0</v>
      </c>
      <c r="FI226" s="19">
        <f t="shared" si="922"/>
        <v>0</v>
      </c>
      <c r="FJ226" s="770">
        <f t="shared" si="784"/>
        <v>0</v>
      </c>
      <c r="FK226" s="545" t="s">
        <v>1</v>
      </c>
    </row>
    <row r="227" spans="2:167" x14ac:dyDescent="0.2">
      <c r="B227" s="306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  <c r="DX227" s="19"/>
      <c r="DY227" s="19"/>
      <c r="DZ227" s="19"/>
      <c r="EA227" s="19"/>
      <c r="EB227" s="19"/>
      <c r="EC227" s="19"/>
      <c r="ED227" s="19"/>
      <c r="EE227" s="222"/>
      <c r="EF227" s="19"/>
      <c r="EG227" s="19"/>
      <c r="EH227" s="19"/>
      <c r="EI227" s="19"/>
      <c r="EJ227" s="19"/>
      <c r="EK227" s="19"/>
      <c r="EL227" s="19"/>
      <c r="EM227" s="19"/>
      <c r="EN227" s="19"/>
      <c r="EO227" s="19"/>
      <c r="EP227" s="19"/>
      <c r="EQ227" s="19"/>
      <c r="ER227" s="19"/>
      <c r="ES227" s="19"/>
      <c r="ET227" s="19"/>
      <c r="EU227" s="19"/>
      <c r="EV227" s="19"/>
      <c r="EW227" s="19"/>
      <c r="EX227" s="19"/>
      <c r="EY227" s="19"/>
      <c r="EZ227" s="19"/>
      <c r="FA227" s="19"/>
      <c r="FB227" s="19"/>
      <c r="FC227" s="19"/>
      <c r="FE227" s="19"/>
      <c r="FF227" s="19"/>
      <c r="FG227" s="19"/>
      <c r="FH227" s="19"/>
      <c r="FI227" s="19"/>
      <c r="FJ227" s="770"/>
      <c r="FK227" s="545"/>
    </row>
    <row r="228" spans="2:167" x14ac:dyDescent="0.2">
      <c r="B228" s="310" t="s">
        <v>344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>
        <v>0</v>
      </c>
      <c r="CV228" s="19">
        <v>0</v>
      </c>
      <c r="CW228" s="19">
        <v>0</v>
      </c>
      <c r="CX228" s="19">
        <v>0</v>
      </c>
      <c r="CY228" s="19">
        <v>0</v>
      </c>
      <c r="CZ228" s="19">
        <v>0</v>
      </c>
      <c r="DA228" s="19">
        <v>0</v>
      </c>
      <c r="DB228" s="19">
        <v>0</v>
      </c>
      <c r="DC228" s="19">
        <v>0</v>
      </c>
      <c r="DD228" s="19">
        <v>0</v>
      </c>
      <c r="DE228" s="19">
        <v>0</v>
      </c>
      <c r="DF228" s="19">
        <v>0</v>
      </c>
      <c r="DG228" s="19">
        <v>0</v>
      </c>
      <c r="DH228" s="19">
        <v>0</v>
      </c>
      <c r="DI228" s="19">
        <v>0</v>
      </c>
      <c r="DJ228" s="19">
        <v>0</v>
      </c>
      <c r="DK228" s="19">
        <v>0</v>
      </c>
      <c r="DL228" s="19">
        <v>0</v>
      </c>
      <c r="DM228" s="19">
        <v>0</v>
      </c>
      <c r="DN228" s="19">
        <v>0</v>
      </c>
      <c r="DO228" s="19">
        <v>0</v>
      </c>
      <c r="DP228" s="19">
        <v>0</v>
      </c>
      <c r="DQ228" s="19">
        <v>0</v>
      </c>
      <c r="DR228" s="19">
        <v>0</v>
      </c>
      <c r="DS228" s="19">
        <v>0</v>
      </c>
      <c r="DT228" s="19">
        <v>0</v>
      </c>
      <c r="DU228" s="19">
        <v>0</v>
      </c>
      <c r="DV228" s="19">
        <v>0</v>
      </c>
      <c r="DW228" s="19">
        <v>0</v>
      </c>
      <c r="DX228" s="19">
        <v>0</v>
      </c>
      <c r="DY228" s="19">
        <v>0</v>
      </c>
      <c r="DZ228" s="19">
        <v>0</v>
      </c>
      <c r="EA228" s="19">
        <v>0</v>
      </c>
      <c r="EB228" s="19">
        <v>0</v>
      </c>
      <c r="EC228" s="19">
        <v>0</v>
      </c>
      <c r="ED228" s="19">
        <v>0</v>
      </c>
      <c r="EE228" s="222"/>
      <c r="EF228" s="19">
        <f>SUM(BK228:BM228)</f>
        <v>0</v>
      </c>
      <c r="EG228" s="19">
        <f>SUM(BN228:BP228)</f>
        <v>0</v>
      </c>
      <c r="EH228" s="19">
        <f>SUM(BQ228:BS228)</f>
        <v>0</v>
      </c>
      <c r="EI228" s="19">
        <f>SUM(BT228:BV228)</f>
        <v>0</v>
      </c>
      <c r="EJ228" s="19">
        <f>SUM(BW228:BY228)</f>
        <v>0</v>
      </c>
      <c r="EK228" s="19">
        <f>SUM(BZ228:CB228)</f>
        <v>0</v>
      </c>
      <c r="EL228" s="19">
        <f>SUM(CC228:CE228)</f>
        <v>0</v>
      </c>
      <c r="EM228" s="19">
        <f>SUM(CF228:CH228)</f>
        <v>0</v>
      </c>
      <c r="EN228" s="19">
        <f>SUM(CI228:CK228)</f>
        <v>0</v>
      </c>
      <c r="EO228" s="19">
        <f>SUM(CL228:CN228)</f>
        <v>0</v>
      </c>
      <c r="EP228" s="19">
        <f>SUM(CO228:CQ228)</f>
        <v>0</v>
      </c>
      <c r="EQ228" s="19">
        <f>SUM(CR228:CT228)</f>
        <v>0</v>
      </c>
      <c r="ER228" s="19">
        <f>SUM(CU228:CW228)</f>
        <v>0</v>
      </c>
      <c r="ES228" s="19">
        <f>SUM(CX228:CZ228)</f>
        <v>0</v>
      </c>
      <c r="ET228" s="19">
        <f>SUM(DA228:DC228)</f>
        <v>0</v>
      </c>
      <c r="EU228" s="19">
        <f>SUM(DD228:DF228)</f>
        <v>0</v>
      </c>
      <c r="EV228" s="19">
        <f>SUM(DG228:DI228)</f>
        <v>0</v>
      </c>
      <c r="EW228" s="19">
        <f>SUM(DJ228:DL228)</f>
        <v>0</v>
      </c>
      <c r="EX228" s="19">
        <f>SUM(DM228:DO228)</f>
        <v>0</v>
      </c>
      <c r="EY228" s="19">
        <f>SUM(DP228:DR228)</f>
        <v>0</v>
      </c>
      <c r="EZ228" s="19">
        <f t="shared" si="914"/>
        <v>0</v>
      </c>
      <c r="FA228" s="19">
        <f t="shared" si="915"/>
        <v>0</v>
      </c>
      <c r="FB228" s="19">
        <f t="shared" si="916"/>
        <v>0</v>
      </c>
      <c r="FC228" s="19">
        <f t="shared" si="917"/>
        <v>0</v>
      </c>
      <c r="FE228" s="19">
        <f t="shared" si="918"/>
        <v>0</v>
      </c>
      <c r="FF228" s="19">
        <f t="shared" si="919"/>
        <v>0</v>
      </c>
      <c r="FG228" s="19">
        <f t="shared" si="920"/>
        <v>0</v>
      </c>
      <c r="FH228" s="19">
        <f t="shared" si="921"/>
        <v>0</v>
      </c>
      <c r="FI228" s="19">
        <f t="shared" si="922"/>
        <v>0</v>
      </c>
      <c r="FJ228" s="770">
        <f t="shared" si="784"/>
        <v>0</v>
      </c>
      <c r="FK228" s="545" t="s">
        <v>1</v>
      </c>
    </row>
    <row r="229" spans="2:167" x14ac:dyDescent="0.2">
      <c r="B229" s="310" t="s">
        <v>345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>
        <v>0</v>
      </c>
      <c r="CV229" s="19">
        <v>0</v>
      </c>
      <c r="CW229" s="19">
        <v>0</v>
      </c>
      <c r="CX229" s="19">
        <v>0</v>
      </c>
      <c r="CY229" s="19">
        <v>0</v>
      </c>
      <c r="CZ229" s="19">
        <v>0</v>
      </c>
      <c r="DA229" s="19">
        <v>0</v>
      </c>
      <c r="DB229" s="19">
        <v>0</v>
      </c>
      <c r="DC229" s="19">
        <v>0</v>
      </c>
      <c r="DD229" s="19">
        <v>0</v>
      </c>
      <c r="DE229" s="19">
        <v>0</v>
      </c>
      <c r="DF229" s="19">
        <v>0</v>
      </c>
      <c r="DG229" s="19">
        <v>0</v>
      </c>
      <c r="DH229" s="19">
        <v>0</v>
      </c>
      <c r="DI229" s="19">
        <v>0</v>
      </c>
      <c r="DJ229" s="19">
        <v>0</v>
      </c>
      <c r="DK229" s="19">
        <v>0</v>
      </c>
      <c r="DL229" s="19">
        <v>0</v>
      </c>
      <c r="DM229" s="19">
        <v>0</v>
      </c>
      <c r="DN229" s="19">
        <v>0</v>
      </c>
      <c r="DO229" s="19">
        <v>0</v>
      </c>
      <c r="DP229" s="19">
        <v>0</v>
      </c>
      <c r="DQ229" s="19">
        <v>0</v>
      </c>
      <c r="DR229" s="19">
        <v>0</v>
      </c>
      <c r="DS229" s="19">
        <v>0</v>
      </c>
      <c r="DT229" s="19">
        <v>0</v>
      </c>
      <c r="DU229" s="19">
        <v>0</v>
      </c>
      <c r="DV229" s="19">
        <v>0</v>
      </c>
      <c r="DW229" s="19">
        <v>0</v>
      </c>
      <c r="DX229" s="19">
        <v>0</v>
      </c>
      <c r="DY229" s="19">
        <v>0</v>
      </c>
      <c r="DZ229" s="19">
        <v>0</v>
      </c>
      <c r="EA229" s="19">
        <v>0</v>
      </c>
      <c r="EB229" s="19">
        <v>0</v>
      </c>
      <c r="EC229" s="19">
        <v>0</v>
      </c>
      <c r="ED229" s="19">
        <v>0</v>
      </c>
      <c r="EE229" s="222"/>
      <c r="EF229" s="19">
        <f>SUM(BK229:BM229)</f>
        <v>0</v>
      </c>
      <c r="EG229" s="19">
        <f>SUM(BN229:BP229)</f>
        <v>0</v>
      </c>
      <c r="EH229" s="19">
        <f>SUM(BQ229:BS229)</f>
        <v>0</v>
      </c>
      <c r="EI229" s="19">
        <f>SUM(BT229:BV229)</f>
        <v>0</v>
      </c>
      <c r="EJ229" s="19">
        <f>SUM(BW229:BY229)</f>
        <v>0</v>
      </c>
      <c r="EK229" s="19">
        <f>SUM(BZ229:CB229)</f>
        <v>0</v>
      </c>
      <c r="EL229" s="19">
        <f>SUM(CC229:CE229)</f>
        <v>0</v>
      </c>
      <c r="EM229" s="19">
        <f>SUM(CF229:CH229)</f>
        <v>0</v>
      </c>
      <c r="EN229" s="19">
        <f>SUM(CI229:CK229)</f>
        <v>0</v>
      </c>
      <c r="EO229" s="19">
        <f>SUM(CL229:CN229)</f>
        <v>0</v>
      </c>
      <c r="EP229" s="19">
        <f>SUM(CO229:CQ229)</f>
        <v>0</v>
      </c>
      <c r="EQ229" s="19">
        <f>SUM(CR229:CT229)</f>
        <v>0</v>
      </c>
      <c r="ER229" s="19">
        <f>SUM(CU229:CW229)</f>
        <v>0</v>
      </c>
      <c r="ES229" s="19">
        <f>SUM(CX229:CZ229)</f>
        <v>0</v>
      </c>
      <c r="ET229" s="19">
        <f>SUM(DA229:DC229)</f>
        <v>0</v>
      </c>
      <c r="EU229" s="19">
        <f>SUM(DD229:DF229)</f>
        <v>0</v>
      </c>
      <c r="EV229" s="19">
        <f>SUM(DG229:DI229)</f>
        <v>0</v>
      </c>
      <c r="EW229" s="19">
        <f>SUM(DJ229:DL229)</f>
        <v>0</v>
      </c>
      <c r="EX229" s="19">
        <f>SUM(DM229:DO229)</f>
        <v>0</v>
      </c>
      <c r="EY229" s="19">
        <f>SUM(DP229:DR229)</f>
        <v>0</v>
      </c>
      <c r="EZ229" s="19">
        <f t="shared" si="914"/>
        <v>0</v>
      </c>
      <c r="FA229" s="19">
        <f t="shared" si="915"/>
        <v>0</v>
      </c>
      <c r="FB229" s="19">
        <f t="shared" si="916"/>
        <v>0</v>
      </c>
      <c r="FC229" s="19">
        <f t="shared" si="917"/>
        <v>0</v>
      </c>
      <c r="FE229" s="19">
        <f t="shared" si="918"/>
        <v>0</v>
      </c>
      <c r="FF229" s="19">
        <f t="shared" si="919"/>
        <v>0</v>
      </c>
      <c r="FG229" s="19">
        <f t="shared" si="920"/>
        <v>0</v>
      </c>
      <c r="FH229" s="19">
        <f t="shared" si="921"/>
        <v>0</v>
      </c>
      <c r="FI229" s="19">
        <f t="shared" si="922"/>
        <v>0</v>
      </c>
      <c r="FJ229" s="770">
        <f t="shared" si="784"/>
        <v>0</v>
      </c>
      <c r="FK229" s="545" t="s">
        <v>1</v>
      </c>
    </row>
    <row r="230" spans="2:167" x14ac:dyDescent="0.2">
      <c r="B230" s="306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  <c r="DX230" s="19"/>
      <c r="DY230" s="19"/>
      <c r="DZ230" s="19"/>
      <c r="EA230" s="19"/>
      <c r="EB230" s="19"/>
      <c r="EC230" s="19"/>
      <c r="ED230" s="19"/>
      <c r="EE230" s="222"/>
      <c r="EF230" s="19"/>
      <c r="EG230" s="19"/>
      <c r="EH230" s="19"/>
      <c r="EI230" s="19"/>
      <c r="EJ230" s="19"/>
      <c r="EK230" s="19"/>
      <c r="EL230" s="19"/>
      <c r="EM230" s="19"/>
      <c r="EN230" s="19"/>
      <c r="EO230" s="19"/>
      <c r="EP230" s="19"/>
      <c r="EQ230" s="19"/>
      <c r="ER230" s="19"/>
      <c r="ES230" s="19"/>
      <c r="ET230" s="19"/>
      <c r="EU230" s="19"/>
      <c r="EV230" s="19"/>
      <c r="EW230" s="19"/>
      <c r="EX230" s="19"/>
      <c r="EY230" s="19"/>
      <c r="EZ230" s="19"/>
      <c r="FA230" s="19"/>
      <c r="FB230" s="19"/>
      <c r="FC230" s="19"/>
      <c r="FE230" s="19"/>
      <c r="FF230" s="19"/>
      <c r="FG230" s="19"/>
      <c r="FH230" s="19"/>
      <c r="FI230" s="19"/>
      <c r="FJ230" s="770"/>
      <c r="FK230" s="545"/>
    </row>
    <row r="231" spans="2:167" x14ac:dyDescent="0.2">
      <c r="B231" s="306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9"/>
      <c r="DZ231" s="19"/>
      <c r="EA231" s="19"/>
      <c r="EB231" s="19"/>
      <c r="EC231" s="19"/>
      <c r="ED231" s="19"/>
      <c r="EE231" s="222"/>
      <c r="EF231" s="19"/>
      <c r="EG231" s="19"/>
      <c r="EH231" s="19"/>
      <c r="EI231" s="19"/>
      <c r="EJ231" s="19"/>
      <c r="EK231" s="19"/>
      <c r="EL231" s="19"/>
      <c r="EM231" s="19"/>
      <c r="EN231" s="19"/>
      <c r="EO231" s="19"/>
      <c r="EP231" s="19"/>
      <c r="EQ231" s="19"/>
      <c r="ER231" s="19"/>
      <c r="ES231" s="19"/>
      <c r="ET231" s="19"/>
      <c r="EU231" s="19"/>
      <c r="EV231" s="19"/>
      <c r="EW231" s="19"/>
      <c r="EX231" s="19"/>
      <c r="EY231" s="19"/>
      <c r="EZ231" s="19"/>
      <c r="FA231" s="19"/>
      <c r="FB231" s="19"/>
      <c r="FC231" s="19"/>
      <c r="FE231" s="19"/>
      <c r="FF231" s="19"/>
      <c r="FG231" s="19"/>
      <c r="FH231" s="19"/>
      <c r="FI231" s="19"/>
      <c r="FJ231" s="770"/>
      <c r="FK231" s="545"/>
    </row>
    <row r="232" spans="2:167" x14ac:dyDescent="0.2">
      <c r="B232" s="311" t="s">
        <v>346</v>
      </c>
      <c r="C232" s="316">
        <f>C211-C214</f>
        <v>-17068389.75</v>
      </c>
      <c r="D232" s="316">
        <f t="shared" ref="D232:BO232" si="923">D211-D214</f>
        <v>-17872306.843268748</v>
      </c>
      <c r="E232" s="316">
        <f t="shared" si="923"/>
        <v>-22208120.983718041</v>
      </c>
      <c r="F232" s="316">
        <f t="shared" si="923"/>
        <v>-20235043.285741966</v>
      </c>
      <c r="G232" s="316">
        <f t="shared" si="923"/>
        <v>-30970771.167383168</v>
      </c>
      <c r="H232" s="316">
        <f t="shared" si="923"/>
        <v>-30841024.626708433</v>
      </c>
      <c r="I232" s="316">
        <f t="shared" si="923"/>
        <v>-41982292.583780475</v>
      </c>
      <c r="J232" s="316">
        <f t="shared" si="923"/>
        <v>-30531669.104875561</v>
      </c>
      <c r="K232" s="316">
        <f t="shared" si="923"/>
        <v>-124963025.6016743</v>
      </c>
      <c r="L232" s="316">
        <f t="shared" si="923"/>
        <v>-53500031.115677945</v>
      </c>
      <c r="M232" s="316">
        <f t="shared" si="923"/>
        <v>-43157340.51016134</v>
      </c>
      <c r="N232" s="316">
        <f t="shared" si="923"/>
        <v>-39818993.381856292</v>
      </c>
      <c r="O232" s="316">
        <f t="shared" si="923"/>
        <v>-43098156.796862826</v>
      </c>
      <c r="P232" s="316">
        <f t="shared" si="923"/>
        <v>-50005125.025099926</v>
      </c>
      <c r="Q232" s="316">
        <f t="shared" si="923"/>
        <v>-49233307.447455779</v>
      </c>
      <c r="R232" s="316">
        <f t="shared" si="923"/>
        <v>-29897316.300324891</v>
      </c>
      <c r="S232" s="316">
        <f t="shared" si="923"/>
        <v>-29167253.255305201</v>
      </c>
      <c r="T232" s="316">
        <f t="shared" si="923"/>
        <v>-37496398.607163377</v>
      </c>
      <c r="U232" s="316">
        <f t="shared" si="923"/>
        <v>-34968006.525884859</v>
      </c>
      <c r="V232" s="316">
        <f t="shared" si="923"/>
        <v>-40652382.184283011</v>
      </c>
      <c r="W232" s="316">
        <f t="shared" si="923"/>
        <v>-32916984.124397289</v>
      </c>
      <c r="X232" s="316">
        <f t="shared" si="923"/>
        <v>-31762185.671172779</v>
      </c>
      <c r="Y232" s="316">
        <f t="shared" si="923"/>
        <v>-28527920.595655739</v>
      </c>
      <c r="Z232" s="316">
        <f t="shared" si="923"/>
        <v>-37550533.240933143</v>
      </c>
      <c r="AA232" s="316">
        <f t="shared" si="923"/>
        <v>-50113444.335833333</v>
      </c>
      <c r="AB232" s="316">
        <f t="shared" si="923"/>
        <v>-31630481.418405835</v>
      </c>
      <c r="AC232" s="316">
        <f t="shared" si="923"/>
        <v>-28844997.198092639</v>
      </c>
      <c r="AD232" s="316">
        <f t="shared" si="923"/>
        <v>-27869680.100051112</v>
      </c>
      <c r="AE232" s="316">
        <f t="shared" si="923"/>
        <v>-25547962.141463827</v>
      </c>
      <c r="AF232" s="316">
        <f t="shared" si="923"/>
        <v>-23943797.646350972</v>
      </c>
      <c r="AG232" s="316">
        <f t="shared" si="923"/>
        <v>-24941660.262340967</v>
      </c>
      <c r="AH232" s="316">
        <f t="shared" si="923"/>
        <v>-19368054.164360166</v>
      </c>
      <c r="AI232" s="316">
        <f t="shared" si="923"/>
        <v>-14122955.363578426</v>
      </c>
      <c r="AJ232" s="316">
        <f t="shared" si="923"/>
        <v>-28509815.840795714</v>
      </c>
      <c r="AK232" s="316">
        <f t="shared" si="923"/>
        <v>-23198954.285778128</v>
      </c>
      <c r="AL232" s="316">
        <f t="shared" si="923"/>
        <v>-38773385.460739061</v>
      </c>
      <c r="AM232" s="316">
        <f t="shared" si="923"/>
        <v>-47780468.196389146</v>
      </c>
      <c r="AN232" s="316">
        <f t="shared" si="923"/>
        <v>-64601592.88596309</v>
      </c>
      <c r="AO232" s="316">
        <f t="shared" si="923"/>
        <v>-35006838.631797686</v>
      </c>
      <c r="AP232" s="316">
        <f t="shared" si="923"/>
        <v>-39281836.245554596</v>
      </c>
      <c r="AQ232" s="316">
        <f t="shared" si="923"/>
        <v>-74291859.982546359</v>
      </c>
      <c r="AR232" s="316">
        <f t="shared" si="923"/>
        <v>-96128776.667570248</v>
      </c>
      <c r="AS232" s="316">
        <f t="shared" si="923"/>
        <v>-51098861.496087953</v>
      </c>
      <c r="AT232" s="316">
        <f t="shared" si="923"/>
        <v>-49890139.383109063</v>
      </c>
      <c r="AU232" s="316">
        <f t="shared" si="923"/>
        <v>-59041499.241642609</v>
      </c>
      <c r="AV232" s="316">
        <f t="shared" si="923"/>
        <v>-63685879.576174855</v>
      </c>
      <c r="AW232" s="316">
        <f t="shared" si="923"/>
        <v>-127939682.88900729</v>
      </c>
      <c r="AX232" s="316">
        <f t="shared" si="923"/>
        <v>-182025896.09332547</v>
      </c>
      <c r="AY232" s="316">
        <f t="shared" si="923"/>
        <v>-98881291.382409379</v>
      </c>
      <c r="AZ232" s="316">
        <f t="shared" si="923"/>
        <v>-97904597.991799578</v>
      </c>
      <c r="BA232" s="316">
        <f t="shared" si="923"/>
        <v>-208675355.3538335</v>
      </c>
      <c r="BB232" s="316">
        <f t="shared" si="923"/>
        <v>-116862417.83905329</v>
      </c>
      <c r="BC232" s="316">
        <f t="shared" si="923"/>
        <v>-138857240.19393632</v>
      </c>
      <c r="BD232" s="316">
        <f t="shared" si="923"/>
        <v>-135647183.82033682</v>
      </c>
      <c r="BE232" s="316">
        <f t="shared" si="923"/>
        <v>-122648041.01954755</v>
      </c>
      <c r="BF232" s="316">
        <f t="shared" si="923"/>
        <v>-108353438.71488535</v>
      </c>
      <c r="BG232" s="316">
        <f t="shared" si="923"/>
        <v>-140573711.5720644</v>
      </c>
      <c r="BH232" s="316">
        <f t="shared" si="923"/>
        <v>-116083511.75213912</v>
      </c>
      <c r="BI232" s="316">
        <f t="shared" si="923"/>
        <v>-118348248.14159518</v>
      </c>
      <c r="BJ232" s="316">
        <f t="shared" si="923"/>
        <v>-105545339.40103215</v>
      </c>
      <c r="BK232" s="316">
        <f t="shared" si="923"/>
        <v>-82112509.341907233</v>
      </c>
      <c r="BL232" s="316">
        <f t="shared" si="923"/>
        <v>-79761911.312489986</v>
      </c>
      <c r="BM232" s="316">
        <f t="shared" si="923"/>
        <v>-65813193.565339528</v>
      </c>
      <c r="BN232" s="316">
        <f t="shared" si="923"/>
        <v>-64356844.459110126</v>
      </c>
      <c r="BO232" s="316">
        <f t="shared" si="923"/>
        <v>-53531926.392217375</v>
      </c>
      <c r="BP232" s="316">
        <f t="shared" ref="BP232:DR232" si="924">BP211-BP214</f>
        <v>-70134547.929550275</v>
      </c>
      <c r="BQ232" s="316">
        <f t="shared" si="924"/>
        <v>-48973438.178593293</v>
      </c>
      <c r="BR232" s="316">
        <f t="shared" si="924"/>
        <v>-51827503.244376749</v>
      </c>
      <c r="BS232" s="316">
        <f t="shared" si="924"/>
        <v>-59922716.265822567</v>
      </c>
      <c r="BT232" s="316">
        <f t="shared" si="924"/>
        <v>-70925674.366636634</v>
      </c>
      <c r="BU232" s="316">
        <f t="shared" si="924"/>
        <v>-46450874.131983444</v>
      </c>
      <c r="BV232" s="316">
        <f t="shared" si="924"/>
        <v>-24926891.127564415</v>
      </c>
      <c r="BW232" s="316">
        <f t="shared" si="924"/>
        <v>-30975899.865125813</v>
      </c>
      <c r="BX232" s="316">
        <f t="shared" si="924"/>
        <v>-15427545.913178869</v>
      </c>
      <c r="BY232" s="316">
        <f t="shared" si="924"/>
        <v>-12941861.368024811</v>
      </c>
      <c r="BZ232" s="316">
        <f t="shared" si="924"/>
        <v>-18981091.585196115</v>
      </c>
      <c r="CA232" s="316">
        <f t="shared" si="924"/>
        <v>-21042923.708865099</v>
      </c>
      <c r="CB232" s="316">
        <f t="shared" si="924"/>
        <v>-26997936.023525842</v>
      </c>
      <c r="CC232" s="316">
        <f t="shared" si="924"/>
        <v>6264485.6835113466</v>
      </c>
      <c r="CD232" s="316">
        <f t="shared" si="924"/>
        <v>-7387694.0700747743</v>
      </c>
      <c r="CE232" s="316">
        <f t="shared" si="924"/>
        <v>-8607647.1002679765</v>
      </c>
      <c r="CF232" s="316">
        <f t="shared" si="924"/>
        <v>-3824665.8135002255</v>
      </c>
      <c r="CG232" s="316">
        <f t="shared" si="924"/>
        <v>-10373485.656376742</v>
      </c>
      <c r="CH232" s="316">
        <f t="shared" si="924"/>
        <v>5630682.4078853875</v>
      </c>
      <c r="CI232" s="316">
        <f t="shared" si="924"/>
        <v>-819441.24040284753</v>
      </c>
      <c r="CJ232" s="316">
        <f t="shared" si="924"/>
        <v>-4718721.174624756</v>
      </c>
      <c r="CK232" s="316">
        <f t="shared" si="924"/>
        <v>-715651.34459155798</v>
      </c>
      <c r="CL232" s="316">
        <f t="shared" si="924"/>
        <v>2171622.5115509033</v>
      </c>
      <c r="CM232" s="316">
        <f t="shared" si="924"/>
        <v>105081.83488458954</v>
      </c>
      <c r="CN232" s="316">
        <f t="shared" si="924"/>
        <v>-7280789.5445379764</v>
      </c>
      <c r="CO232" s="316">
        <f t="shared" si="924"/>
        <v>32287549.558481589</v>
      </c>
      <c r="CP232" s="316">
        <f t="shared" si="924"/>
        <v>13225617.631893128</v>
      </c>
      <c r="CQ232" s="316">
        <f t="shared" si="924"/>
        <v>18553154.868268088</v>
      </c>
      <c r="CR232" s="316">
        <f t="shared" si="924"/>
        <v>32509950.5465803</v>
      </c>
      <c r="CS232" s="316">
        <f t="shared" si="924"/>
        <v>23070629.01742506</v>
      </c>
      <c r="CT232" s="316">
        <f t="shared" si="924"/>
        <v>47646583.72474809</v>
      </c>
      <c r="CU232" s="316">
        <f t="shared" si="924"/>
        <v>-98350594.286596224</v>
      </c>
      <c r="CV232" s="316">
        <f t="shared" si="924"/>
        <v>26820709.78413463</v>
      </c>
      <c r="CW232" s="316">
        <f t="shared" si="924"/>
        <v>24690465.538340133</v>
      </c>
      <c r="CX232" s="316">
        <f t="shared" si="924"/>
        <v>41200735.108482771</v>
      </c>
      <c r="CY232" s="316">
        <f t="shared" si="924"/>
        <v>20402735.913409766</v>
      </c>
      <c r="CZ232" s="316">
        <f t="shared" si="924"/>
        <v>27829544.030577421</v>
      </c>
      <c r="DA232" s="316">
        <f t="shared" si="924"/>
        <v>72093612.952969879</v>
      </c>
      <c r="DB232" s="316">
        <f t="shared" si="924"/>
        <v>42075016.102909878</v>
      </c>
      <c r="DC232" s="316">
        <f t="shared" si="924"/>
        <v>76449120.587092534</v>
      </c>
      <c r="DD232" s="316">
        <f t="shared" si="924"/>
        <v>83251368.777959436</v>
      </c>
      <c r="DE232" s="316">
        <f t="shared" si="924"/>
        <v>55423833.765739396</v>
      </c>
      <c r="DF232" s="316">
        <f t="shared" si="924"/>
        <v>93837564.885852695</v>
      </c>
      <c r="DG232" s="316">
        <f t="shared" si="924"/>
        <v>60371951.181515507</v>
      </c>
      <c r="DH232" s="316">
        <f t="shared" si="924"/>
        <v>67292573.670701116</v>
      </c>
      <c r="DI232" s="316">
        <f t="shared" si="924"/>
        <v>63345980.379419424</v>
      </c>
      <c r="DJ232" s="316">
        <f t="shared" si="924"/>
        <v>82907497.620581567</v>
      </c>
      <c r="DK232" s="316">
        <f t="shared" si="924"/>
        <v>57167297.153302856</v>
      </c>
      <c r="DL232" s="316">
        <f t="shared" si="924"/>
        <v>64496728.832181826</v>
      </c>
      <c r="DM232" s="316">
        <f t="shared" si="924"/>
        <v>118657234.83456856</v>
      </c>
      <c r="DN232" s="316">
        <f t="shared" si="924"/>
        <v>83915876.046854049</v>
      </c>
      <c r="DO232" s="316">
        <f t="shared" si="924"/>
        <v>125280311.22164813</v>
      </c>
      <c r="DP232" s="316">
        <f t="shared" si="924"/>
        <v>132221422.1330612</v>
      </c>
      <c r="DQ232" s="316">
        <f t="shared" si="924"/>
        <v>97945867.349718422</v>
      </c>
      <c r="DR232" s="316">
        <f t="shared" si="924"/>
        <v>141040120.97727609</v>
      </c>
      <c r="DS232" s="316">
        <f t="shared" ref="DS232:ED232" si="925">DS211-DS214</f>
        <v>95129558.421738669</v>
      </c>
      <c r="DT232" s="316">
        <f t="shared" si="925"/>
        <v>103497489.61778013</v>
      </c>
      <c r="DU232" s="316">
        <f t="shared" si="925"/>
        <v>98016864.380802259</v>
      </c>
      <c r="DV232" s="316">
        <f t="shared" si="925"/>
        <v>120070636.73799692</v>
      </c>
      <c r="DW232" s="316">
        <f t="shared" si="925"/>
        <v>89856516.55083178</v>
      </c>
      <c r="DX232" s="316">
        <f t="shared" si="925"/>
        <v>97078277.569487467</v>
      </c>
      <c r="DY232" s="316">
        <f t="shared" si="925"/>
        <v>160290524.54387021</v>
      </c>
      <c r="DZ232" s="316">
        <f t="shared" si="925"/>
        <v>123002469.79036234</v>
      </c>
      <c r="EA232" s="316">
        <f t="shared" si="925"/>
        <v>171699265.03967792</v>
      </c>
      <c r="EB232" s="316">
        <f t="shared" si="925"/>
        <v>178978514.57370895</v>
      </c>
      <c r="EC232" s="316">
        <f t="shared" si="925"/>
        <v>138865972.81415838</v>
      </c>
      <c r="ED232" s="316">
        <f t="shared" si="925"/>
        <v>187144667.39724678</v>
      </c>
      <c r="EE232" s="222"/>
      <c r="EF232" s="316">
        <f>SUM(BK232:BM232)</f>
        <v>-227687614.21973675</v>
      </c>
      <c r="EG232" s="316">
        <f>SUM(BN232:BP232)</f>
        <v>-188023318.78087777</v>
      </c>
      <c r="EH232" s="316">
        <f>SUM(BQ232:BS232)</f>
        <v>-160723657.68879262</v>
      </c>
      <c r="EI232" s="316">
        <f>SUM(BT232:BV232)</f>
        <v>-142303439.62618449</v>
      </c>
      <c r="EJ232" s="316">
        <f>SUM(BW232:BY232)</f>
        <v>-59345307.146329492</v>
      </c>
      <c r="EK232" s="316">
        <f>SUM(BZ232:CB232)</f>
        <v>-67021951.317587055</v>
      </c>
      <c r="EL232" s="316">
        <f>SUM(CC232:CE232)</f>
        <v>-9730855.4868314043</v>
      </c>
      <c r="EM232" s="316">
        <f>SUM(CF232:CH232)</f>
        <v>-8567469.0619915798</v>
      </c>
      <c r="EN232" s="316">
        <f>SUM(CI232:CK232)</f>
        <v>-6253813.7596191615</v>
      </c>
      <c r="EO232" s="316">
        <f>SUM(CL232:CN232)</f>
        <v>-5004085.1981024835</v>
      </c>
      <c r="EP232" s="316">
        <f>SUM(CO232:CQ232)</f>
        <v>64066322.058642805</v>
      </c>
      <c r="EQ232" s="316">
        <f>SUM(CR232:CT232)</f>
        <v>103227163.28875345</v>
      </c>
      <c r="ER232" s="316">
        <f>SUM(CU232:CW232)</f>
        <v>-46839418.964121461</v>
      </c>
      <c r="ES232" s="316">
        <f>SUM(CX232:CZ232)</f>
        <v>89433015.052469954</v>
      </c>
      <c r="ET232" s="316">
        <f>SUM(DA232:DC232)</f>
        <v>190617749.64297229</v>
      </c>
      <c r="EU232" s="316">
        <f>SUM(DD232:DF232)</f>
        <v>232512767.42955154</v>
      </c>
      <c r="EV232" s="316">
        <f>SUM(DG232:DI232)</f>
        <v>191010505.23163605</v>
      </c>
      <c r="EW232" s="316">
        <f>SUM(DJ232:DL232)</f>
        <v>204571523.60606623</v>
      </c>
      <c r="EX232" s="316">
        <f>SUM(DM232:DO232)</f>
        <v>327853422.10307074</v>
      </c>
      <c r="EY232" s="316">
        <f>SUM(DP232:DR232)</f>
        <v>371207410.46005571</v>
      </c>
      <c r="EZ232" s="297">
        <f t="shared" ref="EZ232" si="926">SUM(DS232:DU232)</f>
        <v>296643912.42032105</v>
      </c>
      <c r="FA232" s="297">
        <f t="shared" ref="FA232" si="927">SUM(DV232:DX232)</f>
        <v>307005430.85831618</v>
      </c>
      <c r="FB232" s="297">
        <f t="shared" ref="FB232" si="928">SUM(DY232:EA232)</f>
        <v>454992259.37391049</v>
      </c>
      <c r="FC232" s="297">
        <f t="shared" ref="FC232" si="929">SUM(EB232:ED232)</f>
        <v>504989154.78511411</v>
      </c>
      <c r="FE232" s="316">
        <f t="shared" si="918"/>
        <v>-718738030.31559157</v>
      </c>
      <c r="FF232" s="316">
        <f t="shared" si="919"/>
        <v>-144665583.01273951</v>
      </c>
      <c r="FG232" s="316">
        <f t="shared" si="920"/>
        <v>156035586.3896746</v>
      </c>
      <c r="FH232" s="316">
        <f t="shared" si="921"/>
        <v>465724113.16087234</v>
      </c>
      <c r="FI232" s="316">
        <f t="shared" si="922"/>
        <v>1094642861.4008288</v>
      </c>
      <c r="FJ232" s="790">
        <f t="shared" si="784"/>
        <v>1563630757.4376616</v>
      </c>
      <c r="FK232" s="545" t="s">
        <v>1</v>
      </c>
    </row>
    <row r="233" spans="2:167" x14ac:dyDescent="0.2">
      <c r="B233" s="310" t="s">
        <v>347</v>
      </c>
      <c r="C233" s="317">
        <f>C232/C63</f>
        <v>-0.12539752178101088</v>
      </c>
      <c r="D233" s="317">
        <f t="shared" ref="D233:BO233" si="930">D232/D63</f>
        <v>-0.13693180039262781</v>
      </c>
      <c r="E233" s="317">
        <f t="shared" si="930"/>
        <v>-0.15535449577345703</v>
      </c>
      <c r="F233" s="317">
        <f t="shared" si="930"/>
        <v>-0.12097808649586871</v>
      </c>
      <c r="G233" s="317">
        <f t="shared" si="930"/>
        <v>-0.16352806300532</v>
      </c>
      <c r="H233" s="317">
        <f t="shared" si="930"/>
        <v>-0.15815785960233289</v>
      </c>
      <c r="I233" s="317">
        <f t="shared" si="930"/>
        <v>-0.19922509631843832</v>
      </c>
      <c r="J233" s="317">
        <f t="shared" si="930"/>
        <v>-0.1528587680699296</v>
      </c>
      <c r="K233" s="317">
        <f t="shared" si="930"/>
        <v>-0.4954573623812516</v>
      </c>
      <c r="L233" s="317">
        <f t="shared" si="930"/>
        <v>-0.21611012410405031</v>
      </c>
      <c r="M233" s="317">
        <f t="shared" si="930"/>
        <v>-0.16664318993738042</v>
      </c>
      <c r="N233" s="317">
        <f t="shared" si="930"/>
        <v>-0.16489124121265397</v>
      </c>
      <c r="O233" s="317">
        <f t="shared" si="930"/>
        <v>-0.13834972072993745</v>
      </c>
      <c r="P233" s="317">
        <f t="shared" si="930"/>
        <v>-0.1597266771530369</v>
      </c>
      <c r="Q233" s="317">
        <f t="shared" si="930"/>
        <v>-0.15064367406177626</v>
      </c>
      <c r="R233" s="317">
        <f t="shared" si="930"/>
        <v>-8.5866314202256724E-2</v>
      </c>
      <c r="S233" s="317">
        <f t="shared" si="930"/>
        <v>-0.10522531295689914</v>
      </c>
      <c r="T233" s="317">
        <f t="shared" si="930"/>
        <v>-0.14535011347377844</v>
      </c>
      <c r="U233" s="317">
        <f t="shared" si="930"/>
        <v>-0.15832086120744826</v>
      </c>
      <c r="V233" s="317">
        <f t="shared" si="930"/>
        <v>-0.17127752789208534</v>
      </c>
      <c r="W233" s="317">
        <f t="shared" si="930"/>
        <v>-0.11693522780679259</v>
      </c>
      <c r="X233" s="317">
        <f t="shared" si="930"/>
        <v>-0.10896314857750433</v>
      </c>
      <c r="Y233" s="317">
        <f t="shared" si="930"/>
        <v>-9.0706090727997166E-2</v>
      </c>
      <c r="Z233" s="317">
        <f t="shared" si="930"/>
        <v>-0.18175173032509109</v>
      </c>
      <c r="AA233" s="317">
        <f t="shared" si="930"/>
        <v>16.829413127063386</v>
      </c>
      <c r="AB233" s="317">
        <f t="shared" si="930"/>
        <v>-0.18879641453986878</v>
      </c>
      <c r="AC233" s="317">
        <f t="shared" si="930"/>
        <v>-0.16086829517187878</v>
      </c>
      <c r="AD233" s="317">
        <f t="shared" si="930"/>
        <v>-0.17815739102129505</v>
      </c>
      <c r="AE233" s="317">
        <f t="shared" si="930"/>
        <v>-0.10578642034584823</v>
      </c>
      <c r="AF233" s="317">
        <f t="shared" si="930"/>
        <v>-9.445810911467617E-2</v>
      </c>
      <c r="AG233" s="317">
        <f t="shared" si="930"/>
        <v>-0.10193114182677251</v>
      </c>
      <c r="AH233" s="317">
        <f t="shared" si="930"/>
        <v>-6.8631326759907491E-2</v>
      </c>
      <c r="AI233" s="317">
        <f t="shared" si="930"/>
        <v>-3.1169896659505085E-2</v>
      </c>
      <c r="AJ233" s="317">
        <f t="shared" si="930"/>
        <v>-6.779416444003987E-2</v>
      </c>
      <c r="AK233" s="317">
        <f t="shared" si="930"/>
        <v>-4.9063568242490078E-2</v>
      </c>
      <c r="AL233" s="317">
        <f t="shared" si="930"/>
        <v>-9.3108360509142382E-2</v>
      </c>
      <c r="AM233" s="317">
        <f t="shared" si="930"/>
        <v>-0.16745168959755796</v>
      </c>
      <c r="AN233" s="317">
        <f t="shared" si="930"/>
        <v>-0.50322702582302326</v>
      </c>
      <c r="AO233" s="317">
        <f t="shared" si="930"/>
        <v>-0.11973252837290038</v>
      </c>
      <c r="AP233" s="317">
        <f t="shared" si="930"/>
        <v>-9.8156081717651625E-2</v>
      </c>
      <c r="AQ233" s="317">
        <f t="shared" si="930"/>
        <v>-0.18169562608756093</v>
      </c>
      <c r="AR233" s="317">
        <f t="shared" si="930"/>
        <v>-0.23059007518016986</v>
      </c>
      <c r="AS233" s="317">
        <f t="shared" si="930"/>
        <v>-0.12939191279084153</v>
      </c>
      <c r="AT233" s="317">
        <f t="shared" si="930"/>
        <v>-0.10614897394790192</v>
      </c>
      <c r="AU233" s="317">
        <f t="shared" si="930"/>
        <v>-9.9031694347584978E-2</v>
      </c>
      <c r="AV233" s="317">
        <f t="shared" si="930"/>
        <v>-0.10995295239183601</v>
      </c>
      <c r="AW233" s="317">
        <f t="shared" si="930"/>
        <v>-0.21805490691572199</v>
      </c>
      <c r="AX233" s="317">
        <f t="shared" si="930"/>
        <v>-0.33221127484444934</v>
      </c>
      <c r="AY233" s="317">
        <f t="shared" si="930"/>
        <v>-0.19919518817350471</v>
      </c>
      <c r="AZ233" s="317">
        <f t="shared" si="930"/>
        <v>-0.1728288900061021</v>
      </c>
      <c r="BA233" s="317">
        <f t="shared" si="930"/>
        <v>-0.4141312358286835</v>
      </c>
      <c r="BB233" s="317">
        <f t="shared" si="930"/>
        <v>-0.21682200998888626</v>
      </c>
      <c r="BC233" s="317">
        <f t="shared" si="930"/>
        <v>-0.25247078481380592</v>
      </c>
      <c r="BD233" s="317">
        <f t="shared" si="930"/>
        <v>-0.24337927018441721</v>
      </c>
      <c r="BE233" s="317">
        <f t="shared" si="930"/>
        <v>-0.18820229371340541</v>
      </c>
      <c r="BF233" s="317">
        <f t="shared" si="930"/>
        <v>-0.15858836852661351</v>
      </c>
      <c r="BG233" s="317">
        <f t="shared" si="930"/>
        <v>-0.16773541127626101</v>
      </c>
      <c r="BH233" s="317">
        <f t="shared" si="930"/>
        <v>-0.13989674909767183</v>
      </c>
      <c r="BI233" s="317">
        <f t="shared" si="930"/>
        <v>-0.15626820918997653</v>
      </c>
      <c r="BJ233" s="317">
        <f t="shared" si="930"/>
        <v>-0.11323526522283026</v>
      </c>
      <c r="BK233" s="317">
        <f t="shared" si="930"/>
        <v>-9.0492159471559891E-2</v>
      </c>
      <c r="BL233" s="317">
        <f t="shared" si="930"/>
        <v>-8.7119337625251689E-2</v>
      </c>
      <c r="BM233" s="317">
        <f t="shared" si="930"/>
        <v>-7.7744132168930086E-2</v>
      </c>
      <c r="BN233" s="317">
        <f t="shared" si="930"/>
        <v>-8.7132070962078506E-2</v>
      </c>
      <c r="BO233" s="317">
        <f t="shared" si="930"/>
        <v>-6.8646496548537092E-2</v>
      </c>
      <c r="BP233" s="317">
        <f t="shared" ref="BP233:DR233" si="931">BP232/BP63</f>
        <v>-9.1334412977137985E-2</v>
      </c>
      <c r="BQ233" s="317">
        <f t="shared" si="931"/>
        <v>-4.9856842152230074E-2</v>
      </c>
      <c r="BR233" s="317">
        <f t="shared" si="931"/>
        <v>-5.6176563022214791E-2</v>
      </c>
      <c r="BS233" s="317">
        <f t="shared" si="931"/>
        <v>-7.2168234082945648E-2</v>
      </c>
      <c r="BT233" s="317">
        <f t="shared" si="931"/>
        <v>-9.0849673740051776E-2</v>
      </c>
      <c r="BU233" s="317">
        <f t="shared" si="931"/>
        <v>-6.5368059693981712E-2</v>
      </c>
      <c r="BV233" s="317">
        <f t="shared" si="931"/>
        <v>-2.9978400314584996E-2</v>
      </c>
      <c r="BW233" s="317">
        <f t="shared" si="931"/>
        <v>-3.6415112143499698E-2</v>
      </c>
      <c r="BX233" s="317">
        <f t="shared" si="931"/>
        <v>-1.7415541360717674E-2</v>
      </c>
      <c r="BY233" s="317">
        <f t="shared" si="931"/>
        <v>-1.4406955002094102E-2</v>
      </c>
      <c r="BZ233" s="317">
        <f t="shared" si="931"/>
        <v>-2.1485664717424937E-2</v>
      </c>
      <c r="CA233" s="317">
        <f t="shared" si="931"/>
        <v>-2.5931908736498342E-2</v>
      </c>
      <c r="CB233" s="317">
        <f t="shared" si="931"/>
        <v>-3.6019864535333547E-2</v>
      </c>
      <c r="CC233" s="317">
        <f t="shared" si="931"/>
        <v>6.7689854631966988E-3</v>
      </c>
      <c r="CD233" s="317">
        <f t="shared" si="931"/>
        <v>-8.4152889868507226E-3</v>
      </c>
      <c r="CE233" s="317">
        <f t="shared" si="931"/>
        <v>-8.4402414544826991E-3</v>
      </c>
      <c r="CF233" s="317">
        <f t="shared" si="931"/>
        <v>-3.4347873117669733E-3</v>
      </c>
      <c r="CG233" s="317">
        <f t="shared" si="931"/>
        <v>-9.1143686124132983E-3</v>
      </c>
      <c r="CH233" s="317">
        <f t="shared" si="931"/>
        <v>3.9392282941623502E-3</v>
      </c>
      <c r="CI233" s="317">
        <f t="shared" si="931"/>
        <v>-6.4077600375440208E-4</v>
      </c>
      <c r="CJ233" s="317">
        <f t="shared" si="931"/>
        <v>-3.7498121634143523E-3</v>
      </c>
      <c r="CK233" s="317">
        <f t="shared" si="931"/>
        <v>-5.6902021423274639E-4</v>
      </c>
      <c r="CL233" s="317">
        <f t="shared" si="931"/>
        <v>1.6393400146193623E-3</v>
      </c>
      <c r="CM233" s="317">
        <f t="shared" si="931"/>
        <v>9.2515858589532632E-5</v>
      </c>
      <c r="CN233" s="317">
        <f t="shared" si="931"/>
        <v>-6.3156965339617576E-3</v>
      </c>
      <c r="CO233" s="317">
        <f t="shared" si="931"/>
        <v>2.3250892383899276E-2</v>
      </c>
      <c r="CP233" s="317">
        <f t="shared" si="931"/>
        <v>9.5005341931248752E-3</v>
      </c>
      <c r="CQ233" s="317">
        <f t="shared" si="931"/>
        <v>1.0964723450893651E-2</v>
      </c>
      <c r="CR233" s="317">
        <f t="shared" si="931"/>
        <v>1.7878203099123954E-2</v>
      </c>
      <c r="CS233" s="317">
        <f t="shared" si="931"/>
        <v>1.3987817505456131E-2</v>
      </c>
      <c r="CT233" s="317">
        <f t="shared" si="931"/>
        <v>2.5856371873986796E-2</v>
      </c>
      <c r="CU233" s="317">
        <f t="shared" si="931"/>
        <v>-5.7897742973763849E-2</v>
      </c>
      <c r="CV233" s="317">
        <f t="shared" si="931"/>
        <v>1.5616136073919947E-2</v>
      </c>
      <c r="CW233" s="317">
        <f t="shared" si="931"/>
        <v>1.4711872335142836E-2</v>
      </c>
      <c r="CX233" s="317">
        <f t="shared" si="931"/>
        <v>2.3612038739195155E-2</v>
      </c>
      <c r="CY233" s="317">
        <f t="shared" si="931"/>
        <v>1.2727357326044367E-2</v>
      </c>
      <c r="CZ233" s="317">
        <f t="shared" si="931"/>
        <v>1.8093160330398324E-2</v>
      </c>
      <c r="DA233" s="317">
        <f t="shared" si="931"/>
        <v>4.0760465587636664E-2</v>
      </c>
      <c r="DB233" s="317">
        <f t="shared" si="931"/>
        <v>2.3159161506360593E-2</v>
      </c>
      <c r="DC233" s="317">
        <f t="shared" si="931"/>
        <v>3.6232325532575209E-2</v>
      </c>
      <c r="DD233" s="317">
        <f t="shared" si="931"/>
        <v>3.9276005397720103E-2</v>
      </c>
      <c r="DE233" s="317">
        <f t="shared" si="931"/>
        <v>2.8254263374954854E-2</v>
      </c>
      <c r="DF233" s="317">
        <f t="shared" si="931"/>
        <v>4.4491942622205405E-2</v>
      </c>
      <c r="DG233" s="317">
        <f t="shared" si="931"/>
        <v>2.9066027240331974E-2</v>
      </c>
      <c r="DH233" s="317">
        <f t="shared" si="931"/>
        <v>3.2007802963420345E-2</v>
      </c>
      <c r="DI233" s="317">
        <f t="shared" si="931"/>
        <v>3.0913423015434455E-2</v>
      </c>
      <c r="DJ233" s="317">
        <f t="shared" si="931"/>
        <v>3.8934639412075221E-2</v>
      </c>
      <c r="DK233" s="317">
        <f t="shared" si="931"/>
        <v>2.9248668284701494E-2</v>
      </c>
      <c r="DL233" s="317">
        <f t="shared" si="931"/>
        <v>3.4489915987103874E-2</v>
      </c>
      <c r="DM233" s="317">
        <f t="shared" si="931"/>
        <v>5.5178154815248188E-2</v>
      </c>
      <c r="DN233" s="317">
        <f t="shared" si="931"/>
        <v>3.7968388061745774E-2</v>
      </c>
      <c r="DO233" s="317">
        <f t="shared" si="931"/>
        <v>4.8900933977147801E-2</v>
      </c>
      <c r="DP233" s="317">
        <f t="shared" si="931"/>
        <v>5.1511801954149908E-2</v>
      </c>
      <c r="DQ233" s="317">
        <f t="shared" si="931"/>
        <v>4.1275582723188174E-2</v>
      </c>
      <c r="DR233" s="317">
        <f t="shared" si="931"/>
        <v>5.5630870735407137E-2</v>
      </c>
      <c r="DS233" s="317">
        <f t="shared" ref="DS233:ED233" si="932">DS232/DS63</f>
        <v>3.9094143986956764E-2</v>
      </c>
      <c r="DT233" s="317">
        <f t="shared" si="932"/>
        <v>4.2015054641289878E-2</v>
      </c>
      <c r="DU233" s="317">
        <f t="shared" si="932"/>
        <v>4.0856340353859856E-2</v>
      </c>
      <c r="DV233" s="317">
        <f t="shared" si="932"/>
        <v>4.8214068232172044E-2</v>
      </c>
      <c r="DW233" s="317">
        <f t="shared" si="932"/>
        <v>3.9310056106732431E-2</v>
      </c>
      <c r="DX233" s="317">
        <f t="shared" si="932"/>
        <v>4.4425659036945779E-2</v>
      </c>
      <c r="DY233" s="317">
        <f t="shared" si="932"/>
        <v>6.3854040590594435E-2</v>
      </c>
      <c r="DZ233" s="317">
        <f t="shared" si="932"/>
        <v>4.7533839822355484E-2</v>
      </c>
      <c r="EA233" s="317">
        <f t="shared" si="932"/>
        <v>5.7257371502250659E-2</v>
      </c>
      <c r="EB233" s="317">
        <f t="shared" si="932"/>
        <v>5.9611127121246714E-2</v>
      </c>
      <c r="EC233" s="317">
        <f t="shared" si="932"/>
        <v>5.0033665929130798E-2</v>
      </c>
      <c r="ED233" s="317">
        <f t="shared" si="932"/>
        <v>6.3235797788358E-2</v>
      </c>
      <c r="EE233" s="222"/>
      <c r="EF233" s="317">
        <f t="shared" ref="EF233" si="933">EF232/EF63</f>
        <v>-8.5292784632268456E-2</v>
      </c>
      <c r="EG233" s="317">
        <f t="shared" ref="EG233" si="934">EG232/EG63</f>
        <v>-8.2238399922278049E-2</v>
      </c>
      <c r="EH233" s="317">
        <f t="shared" ref="EH233" si="935">EH232/EH63</f>
        <v>-5.8761566620007817E-2</v>
      </c>
      <c r="EI233" s="317">
        <f t="shared" ref="EI233" si="936">EI232/EI63</f>
        <v>-6.1263941149915853E-2</v>
      </c>
      <c r="EJ233" s="317">
        <f t="shared" ref="EJ233" si="937">EJ232/EJ63</f>
        <v>-2.2523742213908654E-2</v>
      </c>
      <c r="EK233" s="317">
        <f t="shared" ref="EK233" si="938">EK232/EK63</f>
        <v>-2.7418255944469234E-2</v>
      </c>
      <c r="EL233" s="317">
        <f t="shared" ref="EL233" si="939">EL232/EL63</f>
        <v>-3.4467557154923925E-3</v>
      </c>
      <c r="EM233" s="317">
        <f t="shared" ref="EM233" si="940">EM232/EM63</f>
        <v>-2.3274573575610387E-3</v>
      </c>
      <c r="EN233" s="317">
        <f t="shared" ref="EN233" si="941">EN232/EN63</f>
        <v>-1.6479497653152067E-3</v>
      </c>
      <c r="EO233" s="317">
        <f t="shared" ref="EO233" si="942">EO232/EO63</f>
        <v>-1.384896888505494E-3</v>
      </c>
      <c r="EP233" s="317">
        <f t="shared" ref="EP233" si="943">EP232/EP63</f>
        <v>1.4323450635710361E-2</v>
      </c>
      <c r="EQ233" s="317">
        <f t="shared" ref="EQ233" si="944">EQ232/EQ63</f>
        <v>1.9438348402496405E-2</v>
      </c>
      <c r="ER233" s="317">
        <f t="shared" ref="ER233" si="945">ER232/ER63</f>
        <v>-9.1941825079573068E-3</v>
      </c>
      <c r="ES233" s="317">
        <f t="shared" ref="ES233" si="946">ES232/ES63</f>
        <v>1.8303594368860768E-2</v>
      </c>
      <c r="ET233" s="317">
        <f t="shared" ref="ET233" si="947">ET232/ET63</f>
        <v>3.3468364778970625E-2</v>
      </c>
      <c r="EU233" s="317">
        <f t="shared" ref="EU233" si="948">EU232/EU63</f>
        <v>3.7560518101281803E-2</v>
      </c>
      <c r="EV233" s="317">
        <f t="shared" ref="EV233" si="949">EV232/EV63</f>
        <v>3.0666761276638071E-2</v>
      </c>
      <c r="EW233" s="317">
        <f t="shared" ref="EW233" si="950">EW232/EW63</f>
        <v>3.4358985207324874E-2</v>
      </c>
      <c r="EX233" s="317">
        <f t="shared" ref="EX233" si="951">EX232/EX63</f>
        <v>4.7360481146982311E-2</v>
      </c>
      <c r="EY233" s="317">
        <f t="shared" ref="EY233:FC233" si="952">EY232/EY63</f>
        <v>4.9659344210167607E-2</v>
      </c>
      <c r="EZ233" s="317">
        <f t="shared" si="952"/>
        <v>4.0659825682690533E-2</v>
      </c>
      <c r="FA233" s="317">
        <f t="shared" si="952"/>
        <v>4.4101164988965456E-2</v>
      </c>
      <c r="FB233" s="317">
        <f t="shared" si="952"/>
        <v>5.6194956767503808E-2</v>
      </c>
      <c r="FC233" s="317">
        <f t="shared" si="952"/>
        <v>5.7796545070377375E-2</v>
      </c>
      <c r="FD233" s="787"/>
      <c r="FE233" s="317">
        <f t="shared" ref="FE233" si="953">FE232/FE63</f>
        <v>-7.1774903921361474E-2</v>
      </c>
      <c r="FF233" s="317">
        <f t="shared" ref="FF233" si="954">FF232/FF63</f>
        <v>-1.2488987226870578E-2</v>
      </c>
      <c r="FG233" s="317">
        <f t="shared" ref="FG233" si="955">FG232/FG63</f>
        <v>9.0762952535716895E-3</v>
      </c>
      <c r="FH233" s="317">
        <f t="shared" ref="FH233" si="956">FH232/FH63</f>
        <v>2.1298653840675127E-2</v>
      </c>
      <c r="FI233" s="317">
        <f t="shared" ref="FI233:FJ233" si="957">FI232/FI63</f>
        <v>4.1182770908332361E-2</v>
      </c>
      <c r="FJ233" s="317">
        <f t="shared" si="957"/>
        <v>5.0291789912568344E-2</v>
      </c>
      <c r="FK233" s="545" t="s">
        <v>1</v>
      </c>
    </row>
    <row r="234" spans="2:167" x14ac:dyDescent="0.2">
      <c r="B234" s="226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  <c r="DX234" s="19"/>
      <c r="DY234" s="19"/>
      <c r="DZ234" s="19"/>
      <c r="EA234" s="19"/>
      <c r="EB234" s="19"/>
      <c r="EC234" s="19"/>
      <c r="ED234" s="19"/>
      <c r="EE234" s="222"/>
      <c r="EF234" s="19"/>
      <c r="EG234" s="19"/>
      <c r="EH234" s="19"/>
      <c r="EI234" s="19"/>
      <c r="EJ234" s="19"/>
      <c r="EK234" s="19"/>
      <c r="EL234" s="19"/>
      <c r="EM234" s="19"/>
      <c r="EN234" s="19"/>
      <c r="EO234" s="19"/>
      <c r="EP234" s="19"/>
      <c r="EQ234" s="19"/>
      <c r="ER234" s="19"/>
      <c r="ES234" s="19"/>
      <c r="ET234" s="19"/>
      <c r="EU234" s="19"/>
      <c r="EV234" s="19"/>
      <c r="EW234" s="19"/>
      <c r="EX234" s="19"/>
      <c r="EY234" s="19"/>
      <c r="EZ234" s="19"/>
      <c r="FA234" s="19"/>
      <c r="FB234" s="19"/>
      <c r="FC234" s="19"/>
      <c r="FE234" s="19"/>
      <c r="FF234" s="19"/>
      <c r="FG234" s="19"/>
      <c r="FH234" s="19"/>
      <c r="FI234" s="19"/>
      <c r="FJ234" s="770"/>
      <c r="FK234" s="545"/>
    </row>
    <row r="235" spans="2:167" s="30" customFormat="1" x14ac:dyDescent="0.2">
      <c r="B235" s="312" t="s">
        <v>341</v>
      </c>
      <c r="C235" s="197">
        <f t="shared" ref="C235:M235" si="958">C236+C238+C239+C240</f>
        <v>0</v>
      </c>
      <c r="D235" s="197">
        <f t="shared" si="958"/>
        <v>0</v>
      </c>
      <c r="E235" s="197">
        <f t="shared" si="958"/>
        <v>0</v>
      </c>
      <c r="F235" s="197">
        <f t="shared" si="958"/>
        <v>0</v>
      </c>
      <c r="G235" s="197">
        <f t="shared" si="958"/>
        <v>0</v>
      </c>
      <c r="H235" s="197">
        <f t="shared" si="958"/>
        <v>0</v>
      </c>
      <c r="I235" s="197">
        <f t="shared" si="958"/>
        <v>0</v>
      </c>
      <c r="J235" s="197">
        <f t="shared" si="958"/>
        <v>0</v>
      </c>
      <c r="K235" s="197">
        <f t="shared" si="958"/>
        <v>0</v>
      </c>
      <c r="L235" s="197">
        <f t="shared" si="958"/>
        <v>0</v>
      </c>
      <c r="M235" s="197">
        <f t="shared" si="958"/>
        <v>0</v>
      </c>
      <c r="N235" s="197">
        <v>241602012</v>
      </c>
      <c r="O235" s="197">
        <f>O236+O238+O239+O240</f>
        <v>241602012</v>
      </c>
      <c r="P235" s="197">
        <f t="shared" ref="P235:CA235" si="959">P236+P238+P239+P240</f>
        <v>267477794.19999999</v>
      </c>
      <c r="Q235" s="197">
        <f t="shared" si="959"/>
        <v>217285815.65000001</v>
      </c>
      <c r="R235" s="197">
        <f t="shared" si="959"/>
        <v>226683372</v>
      </c>
      <c r="S235" s="197">
        <f t="shared" si="959"/>
        <v>261094718</v>
      </c>
      <c r="T235" s="197">
        <f t="shared" si="959"/>
        <v>197234800.49000001</v>
      </c>
      <c r="U235" s="197">
        <f t="shared" si="959"/>
        <v>349492540</v>
      </c>
      <c r="V235" s="197">
        <f t="shared" si="959"/>
        <v>368112223</v>
      </c>
      <c r="W235" s="197">
        <f t="shared" si="959"/>
        <v>263336155</v>
      </c>
      <c r="X235" s="197">
        <f t="shared" si="959"/>
        <v>395718070</v>
      </c>
      <c r="Y235" s="197">
        <f t="shared" si="959"/>
        <v>287397097</v>
      </c>
      <c r="Z235" s="197">
        <f t="shared" si="959"/>
        <v>314208595</v>
      </c>
      <c r="AA235" s="197">
        <f t="shared" si="959"/>
        <v>301902999</v>
      </c>
      <c r="AB235" s="197">
        <f t="shared" si="959"/>
        <v>149857024.16333079</v>
      </c>
      <c r="AC235" s="197">
        <f t="shared" si="959"/>
        <v>85978951.909369409</v>
      </c>
      <c r="AD235" s="197">
        <f t="shared" si="959"/>
        <v>74459678</v>
      </c>
      <c r="AE235" s="197">
        <f t="shared" si="959"/>
        <v>114380574</v>
      </c>
      <c r="AF235" s="197">
        <f t="shared" si="959"/>
        <v>165633203</v>
      </c>
      <c r="AG235" s="197">
        <f t="shared" si="959"/>
        <v>513815456</v>
      </c>
      <c r="AH235" s="197">
        <f t="shared" si="959"/>
        <v>580434238</v>
      </c>
      <c r="AI235" s="197">
        <f t="shared" si="959"/>
        <v>364273817</v>
      </c>
      <c r="AJ235" s="197">
        <f t="shared" si="959"/>
        <v>486841699</v>
      </c>
      <c r="AK235" s="197">
        <f t="shared" si="959"/>
        <v>307944326.01999998</v>
      </c>
      <c r="AL235" s="197">
        <f t="shared" si="959"/>
        <v>287288901</v>
      </c>
      <c r="AM235" s="197">
        <f t="shared" si="959"/>
        <v>229368436</v>
      </c>
      <c r="AN235" s="197">
        <f t="shared" si="959"/>
        <v>304869255</v>
      </c>
      <c r="AO235" s="197">
        <f t="shared" si="959"/>
        <v>295117685</v>
      </c>
      <c r="AP235" s="197">
        <f t="shared" si="959"/>
        <v>230632304</v>
      </c>
      <c r="AQ235" s="197">
        <f t="shared" si="959"/>
        <v>391177751</v>
      </c>
      <c r="AR235" s="197">
        <f t="shared" si="959"/>
        <v>377077031</v>
      </c>
      <c r="AS235" s="197">
        <f t="shared" si="959"/>
        <v>830246881</v>
      </c>
      <c r="AT235" s="197">
        <f t="shared" si="959"/>
        <v>1102082619.98</v>
      </c>
      <c r="AU235" s="197">
        <f t="shared" si="959"/>
        <v>1054893067.910871</v>
      </c>
      <c r="AV235" s="197">
        <f t="shared" si="959"/>
        <v>958761489.61000001</v>
      </c>
      <c r="AW235" s="197">
        <f t="shared" si="959"/>
        <v>962377990.70875633</v>
      </c>
      <c r="AX235" s="197">
        <f t="shared" si="959"/>
        <v>1154419554.1547346</v>
      </c>
      <c r="AY235" s="197">
        <f t="shared" si="959"/>
        <v>1237809616.5476978</v>
      </c>
      <c r="AZ235" s="197">
        <f t="shared" si="959"/>
        <v>1079162464.6270006</v>
      </c>
      <c r="BA235" s="197">
        <f t="shared" si="959"/>
        <v>837600532.92583752</v>
      </c>
      <c r="BB235" s="197">
        <f t="shared" si="959"/>
        <v>849381230.11854398</v>
      </c>
      <c r="BC235" s="197">
        <f t="shared" si="959"/>
        <v>881476940.16870356</v>
      </c>
      <c r="BD235" s="197">
        <f t="shared" si="959"/>
        <v>931238909.33221018</v>
      </c>
      <c r="BE235" s="197">
        <f t="shared" si="959"/>
        <v>1347179220.9999998</v>
      </c>
      <c r="BF235" s="197">
        <f t="shared" si="959"/>
        <v>1388536281.0000005</v>
      </c>
      <c r="BG235" s="197">
        <f t="shared" si="959"/>
        <v>1231551994.6801171</v>
      </c>
      <c r="BH235" s="197">
        <f t="shared" si="959"/>
        <v>1130026375.9850001</v>
      </c>
      <c r="BI235" s="197">
        <f t="shared" si="959"/>
        <v>1475716816.8644068</v>
      </c>
      <c r="BJ235" s="197">
        <f t="shared" si="959"/>
        <v>1441022836.6099999</v>
      </c>
      <c r="BK235" s="197">
        <f t="shared" si="959"/>
        <v>1348003964.8599999</v>
      </c>
      <c r="BL235" s="197">
        <f t="shared" si="959"/>
        <v>1215144630.0131509</v>
      </c>
      <c r="BM235" s="197">
        <f t="shared" si="959"/>
        <v>1090184295.1426997</v>
      </c>
      <c r="BN235" s="197">
        <f t="shared" si="959"/>
        <v>1061038898.12</v>
      </c>
      <c r="BO235" s="197">
        <f t="shared" si="959"/>
        <v>1304138986.1433277</v>
      </c>
      <c r="BP235" s="197">
        <f t="shared" si="959"/>
        <v>1225016780.3086524</v>
      </c>
      <c r="BQ235" s="197">
        <f t="shared" si="959"/>
        <v>1407832686.8387728</v>
      </c>
      <c r="BR235" s="197">
        <f t="shared" si="959"/>
        <v>1439287731.0587258</v>
      </c>
      <c r="BS235" s="197">
        <f t="shared" si="959"/>
        <v>1164158274.6344643</v>
      </c>
      <c r="BT235" s="197">
        <f t="shared" si="959"/>
        <v>1020580742.2677305</v>
      </c>
      <c r="BU235" s="197">
        <f t="shared" si="959"/>
        <v>946756436.30999994</v>
      </c>
      <c r="BV235" s="197">
        <f t="shared" si="959"/>
        <v>882981880.60001159</v>
      </c>
      <c r="BW235" s="197">
        <f t="shared" si="959"/>
        <v>895910904.63367283</v>
      </c>
      <c r="BX235" s="197">
        <f t="shared" si="959"/>
        <v>861070687.91497183</v>
      </c>
      <c r="BY235" s="197">
        <f t="shared" si="959"/>
        <v>747993344.2964735</v>
      </c>
      <c r="BZ235" s="197">
        <f t="shared" si="959"/>
        <v>728825093.01135182</v>
      </c>
      <c r="CA235" s="197">
        <f t="shared" si="959"/>
        <v>677126061.82891834</v>
      </c>
      <c r="CB235" s="197">
        <f t="shared" ref="CB235:CT235" si="960">CB236+CB238+CB239+CB240</f>
        <v>731129973.62939167</v>
      </c>
      <c r="CC235" s="197">
        <f t="shared" si="960"/>
        <v>1277348457.7258034</v>
      </c>
      <c r="CD235" s="197">
        <f t="shared" si="960"/>
        <v>1550292347.9126782</v>
      </c>
      <c r="CE235" s="197">
        <f t="shared" si="960"/>
        <v>1524465872.9658186</v>
      </c>
      <c r="CF235" s="197">
        <f t="shared" si="960"/>
        <v>1700975672.3884966</v>
      </c>
      <c r="CG235" s="197">
        <f t="shared" si="960"/>
        <v>1732218808.8998804</v>
      </c>
      <c r="CH235" s="197">
        <f t="shared" si="960"/>
        <v>1383624833.8578358</v>
      </c>
      <c r="CI235" s="197">
        <f t="shared" si="960"/>
        <v>1366182114.1354585</v>
      </c>
      <c r="CJ235" s="197">
        <f t="shared" si="960"/>
        <v>1425122372.182945</v>
      </c>
      <c r="CK235" s="197">
        <f t="shared" si="960"/>
        <v>1354316834.1043198</v>
      </c>
      <c r="CL235" s="197">
        <f t="shared" si="960"/>
        <v>1190520835.1248991</v>
      </c>
      <c r="CM235" s="197">
        <f t="shared" si="960"/>
        <v>1088805843.2284019</v>
      </c>
      <c r="CN235" s="197">
        <f t="shared" si="960"/>
        <v>1373588363.4277</v>
      </c>
      <c r="CO235" s="197">
        <f t="shared" si="960"/>
        <v>2177002947.0722895</v>
      </c>
      <c r="CP235" s="197">
        <f t="shared" si="960"/>
        <v>2542528283.264957</v>
      </c>
      <c r="CQ235" s="197">
        <f t="shared" si="960"/>
        <v>2351173945.2652545</v>
      </c>
      <c r="CR235" s="197">
        <f t="shared" si="960"/>
        <v>2323168499.1625948</v>
      </c>
      <c r="CS235" s="197">
        <f t="shared" si="960"/>
        <v>2294246386.7542586</v>
      </c>
      <c r="CT235" s="197">
        <f t="shared" si="960"/>
        <v>2216542516.5883789</v>
      </c>
      <c r="CU235" s="197">
        <f>CU236+CU238+CU239+CU240</f>
        <v>1604439666.9789412</v>
      </c>
      <c r="CV235" s="197">
        <f t="shared" ref="CV235:DR235" si="961">CV236+CV238+CV239+CV240</f>
        <v>1830054936.8979573</v>
      </c>
      <c r="CW235" s="197">
        <f t="shared" si="961"/>
        <v>1701129081.0482166</v>
      </c>
      <c r="CX235" s="197">
        <f t="shared" si="961"/>
        <v>1494164317.658103</v>
      </c>
      <c r="CY235" s="197">
        <f t="shared" si="961"/>
        <v>1345693303.1353259</v>
      </c>
      <c r="CZ235" s="197">
        <f t="shared" si="961"/>
        <v>1564081411.7259665</v>
      </c>
      <c r="DA235" s="197">
        <f t="shared" si="961"/>
        <v>2723629143.4854851</v>
      </c>
      <c r="DB235" s="197">
        <f t="shared" si="961"/>
        <v>3196456536.2244692</v>
      </c>
      <c r="DC235" s="197">
        <f t="shared" si="961"/>
        <v>2840887747.079649</v>
      </c>
      <c r="DD235" s="197">
        <f t="shared" si="961"/>
        <v>2519148461.184701</v>
      </c>
      <c r="DE235" s="197">
        <f t="shared" si="961"/>
        <v>2379998579.0886717</v>
      </c>
      <c r="DF235" s="197">
        <f t="shared" si="961"/>
        <v>2337873504.5250936</v>
      </c>
      <c r="DG235" s="197">
        <f t="shared" si="961"/>
        <v>1972961012.7941065</v>
      </c>
      <c r="DH235" s="197">
        <f t="shared" si="961"/>
        <v>2251210808.5598135</v>
      </c>
      <c r="DI235" s="197">
        <f t="shared" si="961"/>
        <v>2088593515.4649644</v>
      </c>
      <c r="DJ235" s="197">
        <f t="shared" si="961"/>
        <v>1835582341.8067884</v>
      </c>
      <c r="DK235" s="197">
        <f t="shared" si="961"/>
        <v>1652236460.0898249</v>
      </c>
      <c r="DL235" s="197">
        <f t="shared" si="961"/>
        <v>1912945137.5276031</v>
      </c>
      <c r="DM235" s="197">
        <f t="shared" si="961"/>
        <v>3324579050.625267</v>
      </c>
      <c r="DN235" s="197">
        <f t="shared" si="961"/>
        <v>3901216530.8878469</v>
      </c>
      <c r="DO235" s="197">
        <f t="shared" si="961"/>
        <v>3464325234.5194201</v>
      </c>
      <c r="DP235" s="197">
        <f t="shared" si="961"/>
        <v>3065724105.1991639</v>
      </c>
      <c r="DQ235" s="197">
        <f t="shared" si="961"/>
        <v>2894167600.1328807</v>
      </c>
      <c r="DR235" s="197">
        <f t="shared" si="961"/>
        <v>2827166298.2093611</v>
      </c>
      <c r="DS235" s="197">
        <f t="shared" ref="DS235:ED235" si="962">DS236+DS238+DS239+DS240</f>
        <v>309837155.35987484</v>
      </c>
      <c r="DT235" s="197">
        <f t="shared" si="962"/>
        <v>309837155.35987484</v>
      </c>
      <c r="DU235" s="197">
        <f t="shared" si="962"/>
        <v>309837155.35987484</v>
      </c>
      <c r="DV235" s="197">
        <f t="shared" si="962"/>
        <v>309837155.35987484</v>
      </c>
      <c r="DW235" s="197">
        <f t="shared" si="962"/>
        <v>309837155.35987484</v>
      </c>
      <c r="DX235" s="197">
        <f t="shared" si="962"/>
        <v>309837155.35987484</v>
      </c>
      <c r="DY235" s="197">
        <f t="shared" si="962"/>
        <v>309837155.35987484</v>
      </c>
      <c r="DZ235" s="197">
        <f t="shared" si="962"/>
        <v>309837155.35987484</v>
      </c>
      <c r="EA235" s="197">
        <f t="shared" si="962"/>
        <v>309837155.35987484</v>
      </c>
      <c r="EB235" s="197">
        <f t="shared" si="962"/>
        <v>309837155.35987484</v>
      </c>
      <c r="EC235" s="197">
        <f t="shared" si="962"/>
        <v>309837155.35987484</v>
      </c>
      <c r="ED235" s="197">
        <f t="shared" si="962"/>
        <v>309837155.35987484</v>
      </c>
      <c r="EF235" s="297">
        <f>BM235</f>
        <v>1090184295.1426997</v>
      </c>
      <c r="EG235" s="297">
        <f>BP235</f>
        <v>1225016780.3086524</v>
      </c>
      <c r="EH235" s="297">
        <f>BS235</f>
        <v>1164158274.6344643</v>
      </c>
      <c r="EI235" s="297">
        <f>BV235</f>
        <v>882981880.60001159</v>
      </c>
      <c r="EJ235" s="297">
        <f>BY235</f>
        <v>747993344.2964735</v>
      </c>
      <c r="EK235" s="297">
        <f>CB235</f>
        <v>731129973.62939167</v>
      </c>
      <c r="EL235" s="297">
        <f>CE235</f>
        <v>1524465872.9658186</v>
      </c>
      <c r="EM235" s="297">
        <f>CH235</f>
        <v>1383624833.8578358</v>
      </c>
      <c r="EN235" s="297">
        <f>CK235</f>
        <v>1354316834.1043198</v>
      </c>
      <c r="EO235" s="297">
        <f>CN235</f>
        <v>1373588363.4277</v>
      </c>
      <c r="EP235" s="297">
        <f>CQ235</f>
        <v>2351173945.2652545</v>
      </c>
      <c r="EQ235" s="297">
        <f>CT235</f>
        <v>2216542516.5883789</v>
      </c>
      <c r="ER235" s="297">
        <f>CW235</f>
        <v>1701129081.0482166</v>
      </c>
      <c r="ES235" s="297">
        <f>CZ235</f>
        <v>1564081411.7259665</v>
      </c>
      <c r="ET235" s="297">
        <f>DC235</f>
        <v>2840887747.079649</v>
      </c>
      <c r="EU235" s="297">
        <f>DF235</f>
        <v>2337873504.5250936</v>
      </c>
      <c r="EV235" s="297">
        <f>DI235</f>
        <v>2088593515.4649644</v>
      </c>
      <c r="EW235" s="297">
        <f>DL235</f>
        <v>1912945137.5276031</v>
      </c>
      <c r="EX235" s="297">
        <f>DO235</f>
        <v>3464325234.5194201</v>
      </c>
      <c r="EY235" s="297">
        <f>DR235</f>
        <v>2827166298.2093611</v>
      </c>
      <c r="EZ235" s="297">
        <f t="shared" ref="EZ235" si="963">SUM(DS235:DU235)</f>
        <v>929511466.07962453</v>
      </c>
      <c r="FA235" s="297">
        <f t="shared" ref="FA235" si="964">SUM(DV235:DX235)</f>
        <v>929511466.07962453</v>
      </c>
      <c r="FB235" s="297">
        <f t="shared" ref="FB235" si="965">SUM(DY235:EA235)</f>
        <v>929511466.07962453</v>
      </c>
      <c r="FC235" s="297">
        <f t="shared" ref="FC235" si="966">SUM(EB235:ED235)</f>
        <v>929511466.07962453</v>
      </c>
      <c r="FE235" s="297">
        <f>EI235</f>
        <v>882981880.60001159</v>
      </c>
      <c r="FF235" s="297">
        <f>EM235</f>
        <v>1383624833.8578358</v>
      </c>
      <c r="FG235" s="297">
        <f>EQ235</f>
        <v>2216542516.5883789</v>
      </c>
      <c r="FH235" s="297">
        <f>EU235</f>
        <v>2337873504.5250936</v>
      </c>
      <c r="FI235" s="297">
        <f>EY235</f>
        <v>2827166298.2093611</v>
      </c>
      <c r="FJ235" s="774">
        <f t="shared" si="784"/>
        <v>3718045864.3184981</v>
      </c>
      <c r="FK235" s="545" t="s">
        <v>1</v>
      </c>
    </row>
    <row r="236" spans="2:167" x14ac:dyDescent="0.2">
      <c r="B236" s="306" t="s">
        <v>5</v>
      </c>
      <c r="C236" s="319">
        <v>0</v>
      </c>
      <c r="D236" s="319">
        <v>0</v>
      </c>
      <c r="E236" s="319">
        <v>0</v>
      </c>
      <c r="F236" s="319">
        <v>0</v>
      </c>
      <c r="G236" s="319">
        <v>0</v>
      </c>
      <c r="H236" s="319">
        <v>0</v>
      </c>
      <c r="I236" s="319">
        <v>0</v>
      </c>
      <c r="J236" s="319">
        <v>0</v>
      </c>
      <c r="K236" s="319">
        <v>0</v>
      </c>
      <c r="L236" s="319">
        <v>0</v>
      </c>
      <c r="M236" s="319">
        <v>0</v>
      </c>
      <c r="N236" s="319"/>
      <c r="O236" s="319">
        <v>199957319</v>
      </c>
      <c r="P236" s="319">
        <v>228087233</v>
      </c>
      <c r="Q236" s="319">
        <v>174367534</v>
      </c>
      <c r="R236" s="319">
        <v>174518895</v>
      </c>
      <c r="S236" s="319">
        <v>211288218</v>
      </c>
      <c r="T236" s="319">
        <v>152949788</v>
      </c>
      <c r="U236" s="319">
        <v>309141153</v>
      </c>
      <c r="V236" s="319">
        <v>329495308</v>
      </c>
      <c r="W236" s="319">
        <v>223741566</v>
      </c>
      <c r="X236" s="319">
        <v>342220832</v>
      </c>
      <c r="Y236" s="319">
        <v>239258789</v>
      </c>
      <c r="Z236" s="319">
        <v>268952433</v>
      </c>
      <c r="AA236" s="319">
        <v>256223275</v>
      </c>
      <c r="AB236" s="319">
        <v>109988718</v>
      </c>
      <c r="AC236" s="319">
        <v>54779002</v>
      </c>
      <c r="AD236" s="319">
        <v>40014112</v>
      </c>
      <c r="AE236" s="319">
        <v>93961531</v>
      </c>
      <c r="AF236" s="319">
        <v>143860864</v>
      </c>
      <c r="AG236" s="319">
        <v>492356302</v>
      </c>
      <c r="AH236" s="319">
        <v>547085364</v>
      </c>
      <c r="AI236" s="319">
        <v>336241924</v>
      </c>
      <c r="AJ236" s="319">
        <v>455234166</v>
      </c>
      <c r="AK236" s="319">
        <v>275439476</v>
      </c>
      <c r="AL236" s="319">
        <v>247088985</v>
      </c>
      <c r="AM236" s="319">
        <v>198932050</v>
      </c>
      <c r="AN236" s="319">
        <v>267531235</v>
      </c>
      <c r="AO236" s="319">
        <v>250692462</v>
      </c>
      <c r="AP236" s="319">
        <v>186009915</v>
      </c>
      <c r="AQ236" s="319">
        <v>341726985</v>
      </c>
      <c r="AR236" s="319">
        <v>331838726</v>
      </c>
      <c r="AS236" s="319">
        <v>760628291</v>
      </c>
      <c r="AT236" s="319">
        <v>1015463661</v>
      </c>
      <c r="AU236" s="319">
        <v>957716600.91087103</v>
      </c>
      <c r="AV236" s="326">
        <v>886439783.75</v>
      </c>
      <c r="AW236" s="326">
        <v>870497486</v>
      </c>
      <c r="AX236" s="326">
        <v>1064179186</v>
      </c>
      <c r="AY236" s="326">
        <v>1141220362.3477008</v>
      </c>
      <c r="AZ236" s="326">
        <v>953959292.78425312</v>
      </c>
      <c r="BA236" s="326">
        <v>713242798.96227086</v>
      </c>
      <c r="BB236" s="326">
        <v>731735030.71685112</v>
      </c>
      <c r="BC236" s="326">
        <v>780005984.1389575</v>
      </c>
      <c r="BD236" s="326">
        <v>788928951.1299994</v>
      </c>
      <c r="BE236" s="326">
        <v>1211443810.7050018</v>
      </c>
      <c r="BF236" s="326">
        <v>1242365512.6025019</v>
      </c>
      <c r="BG236" s="326">
        <v>1099430377.052999</v>
      </c>
      <c r="BH236" s="326">
        <v>1008219336.985</v>
      </c>
      <c r="BI236" s="326">
        <v>1343833636.24</v>
      </c>
      <c r="BJ236" s="326">
        <v>1319779418.6099999</v>
      </c>
      <c r="BK236" s="326">
        <v>1223713190.8599999</v>
      </c>
      <c r="BL236" s="326">
        <v>1084978300.3360929</v>
      </c>
      <c r="BM236" s="326">
        <v>955762520.45000005</v>
      </c>
      <c r="BN236" s="326">
        <v>936304386.12</v>
      </c>
      <c r="BO236" s="326">
        <v>1180911876.8</v>
      </c>
      <c r="BP236" s="326">
        <v>1097216848.346282</v>
      </c>
      <c r="BQ236" s="326">
        <v>1272517531.3499999</v>
      </c>
      <c r="BR236" s="326">
        <v>1296678029.7567229</v>
      </c>
      <c r="BS236" s="326">
        <v>1034313021.600877</v>
      </c>
      <c r="BT236" s="326">
        <v>888152147.23000002</v>
      </c>
      <c r="BU236" s="326">
        <v>813916375.30999994</v>
      </c>
      <c r="BV236" s="326">
        <v>758397269.62</v>
      </c>
      <c r="BW236" s="326">
        <v>763506157.49000001</v>
      </c>
      <c r="BX236" s="326">
        <v>729201368.08000004</v>
      </c>
      <c r="BY236" s="326">
        <v>590837494.139364</v>
      </c>
      <c r="BZ236" s="326">
        <v>540788323.90999997</v>
      </c>
      <c r="CA236" s="326">
        <v>465636205</v>
      </c>
      <c r="CB236" s="326">
        <v>477535872.26200002</v>
      </c>
      <c r="CC236" s="326">
        <v>1008587607.26</v>
      </c>
      <c r="CD236" s="326">
        <v>1309914372.74</v>
      </c>
      <c r="CE236" s="326">
        <v>1331312440.0799999</v>
      </c>
      <c r="CF236" s="326">
        <v>1496693197.3299999</v>
      </c>
      <c r="CG236" s="326">
        <v>1517969294.8499999</v>
      </c>
      <c r="CH236" s="326">
        <v>1167534737.6100001</v>
      </c>
      <c r="CI236" s="326">
        <v>1152496651.0899999</v>
      </c>
      <c r="CJ236" s="326">
        <v>1197346038.2</v>
      </c>
      <c r="CK236" s="326">
        <v>1137684013.2515256</v>
      </c>
      <c r="CL236" s="326">
        <v>970459711.54999995</v>
      </c>
      <c r="CM236" s="326">
        <v>807970389.14198506</v>
      </c>
      <c r="CN236" s="326">
        <v>991905970.16999948</v>
      </c>
      <c r="CO236" s="326">
        <v>1803035524.1400101</v>
      </c>
      <c r="CP236" s="326">
        <v>2040738380.5900002</v>
      </c>
      <c r="CQ236" s="326">
        <v>1880529604.1100001</v>
      </c>
      <c r="CR236" s="326">
        <v>1893891657.4300148</v>
      </c>
      <c r="CS236" s="326">
        <v>1850367324.8200006</v>
      </c>
      <c r="CT236" s="326">
        <v>1709069770.3460014</v>
      </c>
      <c r="CU236" s="19">
        <f>CU244/30*CU$90*($CT$236/$CT$235)</f>
        <v>1178065852.62218</v>
      </c>
      <c r="CV236" s="19">
        <f t="shared" ref="CV236:DR236" si="967">CV244/30*CV$90*($CT$236/$CT$235)</f>
        <v>1364235332.8915117</v>
      </c>
      <c r="CW236" s="19">
        <f t="shared" si="967"/>
        <v>1261377517.1505041</v>
      </c>
      <c r="CX236" s="19">
        <f t="shared" si="967"/>
        <v>1084173593.6255088</v>
      </c>
      <c r="CY236" s="19">
        <f t="shared" si="967"/>
        <v>972344782.30624664</v>
      </c>
      <c r="CZ236" s="19">
        <f t="shared" si="967"/>
        <v>1168778182.9667227</v>
      </c>
      <c r="DA236" s="19">
        <f t="shared" si="967"/>
        <v>2122050135.5527122</v>
      </c>
      <c r="DB236" s="19">
        <f t="shared" si="967"/>
        <v>2499144070.0448232</v>
      </c>
      <c r="DC236" s="19">
        <f t="shared" si="967"/>
        <v>2172121417.2986336</v>
      </c>
      <c r="DD236" s="19">
        <f t="shared" si="967"/>
        <v>1905996122.9658067</v>
      </c>
      <c r="DE236" s="19">
        <f t="shared" si="967"/>
        <v>1800913844.7591054</v>
      </c>
      <c r="DF236" s="19">
        <f t="shared" si="967"/>
        <v>1760815202.9658148</v>
      </c>
      <c r="DG236" s="19">
        <f t="shared" si="967"/>
        <v>1439615804.5864749</v>
      </c>
      <c r="DH236" s="19">
        <f t="shared" si="967"/>
        <v>1668813798.8891737</v>
      </c>
      <c r="DI236" s="19">
        <f t="shared" si="967"/>
        <v>1539555867.725971</v>
      </c>
      <c r="DJ236" s="19">
        <f t="shared" si="967"/>
        <v>1322914967.5851855</v>
      </c>
      <c r="DK236" s="19">
        <f t="shared" si="967"/>
        <v>1185432834.1329398</v>
      </c>
      <c r="DL236" s="19">
        <f t="shared" si="967"/>
        <v>1421632205.6906502</v>
      </c>
      <c r="DM236" s="19">
        <f t="shared" si="967"/>
        <v>2580704609.9761043</v>
      </c>
      <c r="DN236" s="19">
        <f t="shared" si="967"/>
        <v>3038647184.335598</v>
      </c>
      <c r="DO236" s="19">
        <f t="shared" si="967"/>
        <v>2635970672.3280358</v>
      </c>
      <c r="DP236" s="19">
        <f t="shared" si="967"/>
        <v>2307199751.4663739</v>
      </c>
      <c r="DQ236" s="19">
        <f t="shared" si="967"/>
        <v>2177910741.7031865</v>
      </c>
      <c r="DR236" s="19">
        <f t="shared" si="967"/>
        <v>2116976034.9970658</v>
      </c>
      <c r="DS236" s="19">
        <f t="shared" ref="DS236:ED236" si="968">DS244/30*DS$90*($CT$236/$CT$235)</f>
        <v>0</v>
      </c>
      <c r="DT236" s="19">
        <f t="shared" si="968"/>
        <v>0</v>
      </c>
      <c r="DU236" s="19">
        <f t="shared" si="968"/>
        <v>0</v>
      </c>
      <c r="DV236" s="19">
        <f t="shared" si="968"/>
        <v>0</v>
      </c>
      <c r="DW236" s="19">
        <f t="shared" si="968"/>
        <v>0</v>
      </c>
      <c r="DX236" s="19">
        <f t="shared" si="968"/>
        <v>0</v>
      </c>
      <c r="DY236" s="19">
        <f t="shared" si="968"/>
        <v>0</v>
      </c>
      <c r="DZ236" s="19">
        <f t="shared" si="968"/>
        <v>0</v>
      </c>
      <c r="EA236" s="19">
        <f t="shared" si="968"/>
        <v>0</v>
      </c>
      <c r="EB236" s="19">
        <f t="shared" si="968"/>
        <v>0</v>
      </c>
      <c r="EC236" s="19">
        <f t="shared" si="968"/>
        <v>0</v>
      </c>
      <c r="ED236" s="19">
        <f t="shared" si="968"/>
        <v>0</v>
      </c>
      <c r="EE236" s="222"/>
      <c r="EF236" s="19">
        <f>BM236</f>
        <v>955762520.45000005</v>
      </c>
      <c r="EG236" s="19">
        <f>BP236</f>
        <v>1097216848.346282</v>
      </c>
      <c r="EH236" s="19">
        <f>BS236</f>
        <v>1034313021.600877</v>
      </c>
      <c r="EI236" s="19">
        <f>BV236</f>
        <v>758397269.62</v>
      </c>
      <c r="EJ236" s="19">
        <f>BY236</f>
        <v>590837494.139364</v>
      </c>
      <c r="EK236" s="19">
        <f>CB236</f>
        <v>477535872.26200002</v>
      </c>
      <c r="EL236" s="19">
        <f>CE236</f>
        <v>1331312440.0799999</v>
      </c>
      <c r="EM236" s="19">
        <f>CH236</f>
        <v>1167534737.6100001</v>
      </c>
      <c r="EN236" s="19">
        <f>CK236</f>
        <v>1137684013.2515256</v>
      </c>
      <c r="EO236" s="19">
        <f>CN236</f>
        <v>991905970.16999948</v>
      </c>
      <c r="EP236" s="19">
        <f>CQ236</f>
        <v>1880529604.1100001</v>
      </c>
      <c r="EQ236" s="19">
        <f>CT236</f>
        <v>1709069770.3460014</v>
      </c>
      <c r="ER236" s="19">
        <f>CW236</f>
        <v>1261377517.1505041</v>
      </c>
      <c r="ES236" s="19">
        <f>CZ236</f>
        <v>1168778182.9667227</v>
      </c>
      <c r="ET236" s="19">
        <f>DC236</f>
        <v>2172121417.2986336</v>
      </c>
      <c r="EU236" s="19">
        <f>DF236</f>
        <v>1760815202.9658148</v>
      </c>
      <c r="EV236" s="19">
        <f>DI236</f>
        <v>1539555867.725971</v>
      </c>
      <c r="EW236" s="19">
        <f>DL236</f>
        <v>1421632205.6906502</v>
      </c>
      <c r="EX236" s="19">
        <f>DO236</f>
        <v>2635970672.3280358</v>
      </c>
      <c r="EY236" s="19">
        <f>DR236</f>
        <v>2116976034.9970658</v>
      </c>
      <c r="EZ236" s="19">
        <f t="shared" ref="EZ236:EZ243" si="969">SUM(DS236:DU236)</f>
        <v>0</v>
      </c>
      <c r="FA236" s="19">
        <f t="shared" ref="FA236:FA243" si="970">SUM(DV236:DX236)</f>
        <v>0</v>
      </c>
      <c r="FB236" s="19">
        <f t="shared" ref="FB236:FB243" si="971">SUM(DY236:EA236)</f>
        <v>0</v>
      </c>
      <c r="FC236" s="19">
        <f t="shared" ref="FC236:FC243" si="972">SUM(EB236:ED236)</f>
        <v>0</v>
      </c>
      <c r="FE236" s="19">
        <f>EI236</f>
        <v>758397269.62</v>
      </c>
      <c r="FF236" s="19">
        <f>EM236</f>
        <v>1167534737.6100001</v>
      </c>
      <c r="FG236" s="19">
        <f>EQ236</f>
        <v>1709069770.3460014</v>
      </c>
      <c r="FH236" s="19">
        <f>EU236</f>
        <v>1760815202.9658148</v>
      </c>
      <c r="FI236" s="19">
        <f>EY236</f>
        <v>2116976034.9970658</v>
      </c>
      <c r="FJ236" s="770">
        <f t="shared" si="784"/>
        <v>0</v>
      </c>
      <c r="FK236" s="545" t="s">
        <v>1</v>
      </c>
    </row>
    <row r="237" spans="2:167" x14ac:dyDescent="0.2">
      <c r="B237" s="310" t="s">
        <v>348</v>
      </c>
      <c r="C237" s="319">
        <v>0</v>
      </c>
      <c r="D237" s="319">
        <v>0</v>
      </c>
      <c r="E237" s="319">
        <v>0</v>
      </c>
      <c r="F237" s="319">
        <v>0</v>
      </c>
      <c r="G237" s="319">
        <v>0</v>
      </c>
      <c r="H237" s="319">
        <v>0</v>
      </c>
      <c r="I237" s="319">
        <v>0</v>
      </c>
      <c r="J237" s="319">
        <v>0</v>
      </c>
      <c r="K237" s="319">
        <v>0</v>
      </c>
      <c r="L237" s="319">
        <v>0</v>
      </c>
      <c r="M237" s="319">
        <v>0</v>
      </c>
      <c r="N237" s="327"/>
      <c r="O237" s="327">
        <v>47119</v>
      </c>
      <c r="P237" s="327">
        <v>56335</v>
      </c>
      <c r="Q237" s="327">
        <v>35545</v>
      </c>
      <c r="R237" s="327">
        <v>45206</v>
      </c>
      <c r="S237" s="327">
        <v>55221</v>
      </c>
      <c r="T237" s="327">
        <v>34519</v>
      </c>
      <c r="U237" s="319">
        <v>80978</v>
      </c>
      <c r="V237" s="319">
        <v>96511</v>
      </c>
      <c r="W237" s="319">
        <v>66243</v>
      </c>
      <c r="X237" s="319">
        <v>82668</v>
      </c>
      <c r="Y237" s="319">
        <v>61732</v>
      </c>
      <c r="Z237" s="319">
        <v>72116</v>
      </c>
      <c r="AA237" s="319">
        <v>72895</v>
      </c>
      <c r="AB237" s="319">
        <v>30787</v>
      </c>
      <c r="AC237" s="319">
        <v>14012</v>
      </c>
      <c r="AD237" s="319">
        <v>8340</v>
      </c>
      <c r="AE237" s="319">
        <v>18393</v>
      </c>
      <c r="AF237" s="319">
        <v>23363</v>
      </c>
      <c r="AG237" s="319">
        <v>93351</v>
      </c>
      <c r="AH237" s="319">
        <v>95688</v>
      </c>
      <c r="AI237" s="319">
        <v>47581</v>
      </c>
      <c r="AJ237" s="319">
        <v>76886</v>
      </c>
      <c r="AK237" s="319">
        <v>49510</v>
      </c>
      <c r="AL237" s="319">
        <v>43982</v>
      </c>
      <c r="AM237" s="319">
        <v>37957</v>
      </c>
      <c r="AN237" s="319">
        <v>53217</v>
      </c>
      <c r="AO237" s="319">
        <v>57648</v>
      </c>
      <c r="AP237" s="319">
        <v>40722</v>
      </c>
      <c r="AQ237" s="319">
        <v>73344</v>
      </c>
      <c r="AR237" s="319">
        <v>69556</v>
      </c>
      <c r="AS237" s="319">
        <v>181742</v>
      </c>
      <c r="AT237" s="319">
        <v>246615</v>
      </c>
      <c r="AU237" s="319">
        <v>214385</v>
      </c>
      <c r="AV237" s="326">
        <v>175666</v>
      </c>
      <c r="AW237" s="326">
        <v>135662</v>
      </c>
      <c r="AX237" s="326">
        <v>145261</v>
      </c>
      <c r="AY237" s="326">
        <v>144103.02131728799</v>
      </c>
      <c r="AZ237" s="326">
        <v>96064</v>
      </c>
      <c r="BA237" s="326">
        <v>71837</v>
      </c>
      <c r="BB237" s="326">
        <v>80170</v>
      </c>
      <c r="BC237" s="326">
        <v>101080</v>
      </c>
      <c r="BD237" s="326">
        <v>102044</v>
      </c>
      <c r="BE237" s="326">
        <v>165035</v>
      </c>
      <c r="BF237" s="326">
        <v>151906</v>
      </c>
      <c r="BG237" s="326">
        <v>103498</v>
      </c>
      <c r="BH237" s="326">
        <v>93470</v>
      </c>
      <c r="BI237" s="326">
        <v>117009</v>
      </c>
      <c r="BJ237" s="326">
        <v>110019</v>
      </c>
      <c r="BK237" s="326">
        <v>99079</v>
      </c>
      <c r="BL237" s="326">
        <v>84917</v>
      </c>
      <c r="BM237" s="326">
        <v>83336</v>
      </c>
      <c r="BN237" s="326">
        <v>91163</v>
      </c>
      <c r="BO237" s="326">
        <v>120357</v>
      </c>
      <c r="BP237" s="326">
        <v>96798</v>
      </c>
      <c r="BQ237" s="326">
        <v>112040</v>
      </c>
      <c r="BR237" s="326">
        <v>107103</v>
      </c>
      <c r="BS237" s="326">
        <v>83657</v>
      </c>
      <c r="BT237" s="326">
        <v>69970</v>
      </c>
      <c r="BU237" s="326">
        <v>63174</v>
      </c>
      <c r="BV237" s="326">
        <v>61598</v>
      </c>
      <c r="BW237" s="326">
        <v>59325</v>
      </c>
      <c r="BX237" s="326">
        <v>59090</v>
      </c>
      <c r="BY237" s="326">
        <v>51575</v>
      </c>
      <c r="BZ237" s="326">
        <v>44298</v>
      </c>
      <c r="CA237" s="326">
        <v>40188</v>
      </c>
      <c r="CB237" s="326">
        <v>37020</v>
      </c>
      <c r="CC237" s="326">
        <v>82186</v>
      </c>
      <c r="CD237" s="326">
        <v>99424</v>
      </c>
      <c r="CE237" s="326">
        <v>103303</v>
      </c>
      <c r="CF237" s="326">
        <v>110678</v>
      </c>
      <c r="CG237" s="326">
        <v>107930</v>
      </c>
      <c r="CH237" s="326">
        <v>79563</v>
      </c>
      <c r="CI237" s="326">
        <v>81302</v>
      </c>
      <c r="CJ237" s="326">
        <v>82974</v>
      </c>
      <c r="CK237" s="326">
        <v>82461</v>
      </c>
      <c r="CL237" s="326">
        <v>77176</v>
      </c>
      <c r="CM237" s="326">
        <v>68157</v>
      </c>
      <c r="CN237" s="326">
        <v>76862</v>
      </c>
      <c r="CO237" s="326">
        <v>128997</v>
      </c>
      <c r="CP237" s="326">
        <v>136795</v>
      </c>
      <c r="CQ237" s="326">
        <v>118632</v>
      </c>
      <c r="CR237" s="326">
        <v>122525</v>
      </c>
      <c r="CS237" s="326">
        <v>110863</v>
      </c>
      <c r="CT237" s="326">
        <v>101280</v>
      </c>
      <c r="CU237" s="19">
        <f>CU245*(CU79+CU80)/30</f>
        <v>107628.76604110262</v>
      </c>
      <c r="CV237" s="19">
        <f t="shared" ref="CV237:DR237" si="973">CV245*(CV79+CV80)/30</f>
        <v>109895.23375096596</v>
      </c>
      <c r="CW237" s="19">
        <f t="shared" si="973"/>
        <v>105655.48925533834</v>
      </c>
      <c r="CX237" s="19">
        <f t="shared" si="973"/>
        <v>107736.6325189403</v>
      </c>
      <c r="CY237" s="19">
        <f t="shared" si="973"/>
        <v>99411.784415662507</v>
      </c>
      <c r="CZ237" s="19">
        <f t="shared" si="973"/>
        <v>91026.152313369297</v>
      </c>
      <c r="DA237" s="19">
        <f t="shared" si="973"/>
        <v>105056.88860444902</v>
      </c>
      <c r="DB237" s="19">
        <f t="shared" si="973"/>
        <v>118593.94599192249</v>
      </c>
      <c r="DC237" s="19">
        <f t="shared" si="973"/>
        <v>135930.68841118019</v>
      </c>
      <c r="DD237" s="19">
        <f t="shared" si="973"/>
        <v>132474.07306361827</v>
      </c>
      <c r="DE237" s="19">
        <f t="shared" si="973"/>
        <v>125319.45048146647</v>
      </c>
      <c r="DF237" s="19">
        <f t="shared" si="973"/>
        <v>127909.5647498648</v>
      </c>
      <c r="DG237" s="19">
        <f t="shared" si="973"/>
        <v>131701.31917308949</v>
      </c>
      <c r="DH237" s="19">
        <f t="shared" si="973"/>
        <v>134611.92555722466</v>
      </c>
      <c r="DI237" s="19">
        <f t="shared" si="973"/>
        <v>129192.8949518544</v>
      </c>
      <c r="DJ237" s="19">
        <f t="shared" si="973"/>
        <v>131632.3868650434</v>
      </c>
      <c r="DK237" s="19">
        <f t="shared" si="973"/>
        <v>121450.77251141063</v>
      </c>
      <c r="DL237" s="19">
        <f t="shared" si="973"/>
        <v>110885.12501909591</v>
      </c>
      <c r="DM237" s="19">
        <f t="shared" si="973"/>
        <v>128023.45377990478</v>
      </c>
      <c r="DN237" s="19">
        <f t="shared" si="973"/>
        <v>144966.5276031387</v>
      </c>
      <c r="DO237" s="19">
        <f t="shared" si="973"/>
        <v>165800.46198786603</v>
      </c>
      <c r="DP237" s="19">
        <f t="shared" si="973"/>
        <v>161140.91240448118</v>
      </c>
      <c r="DQ237" s="19">
        <f t="shared" si="973"/>
        <v>152555.87883140557</v>
      </c>
      <c r="DR237" s="19">
        <f t="shared" si="973"/>
        <v>154876.81372273041</v>
      </c>
      <c r="DS237" s="19">
        <f t="shared" ref="DS237:ED237" si="974">DS245*(DS79+DS80)/30</f>
        <v>0</v>
      </c>
      <c r="DT237" s="19">
        <f t="shared" si="974"/>
        <v>0</v>
      </c>
      <c r="DU237" s="19">
        <f t="shared" si="974"/>
        <v>0</v>
      </c>
      <c r="DV237" s="19">
        <f t="shared" si="974"/>
        <v>0</v>
      </c>
      <c r="DW237" s="19">
        <f t="shared" si="974"/>
        <v>0</v>
      </c>
      <c r="DX237" s="19">
        <f t="shared" si="974"/>
        <v>0</v>
      </c>
      <c r="DY237" s="19">
        <f t="shared" si="974"/>
        <v>0</v>
      </c>
      <c r="DZ237" s="19">
        <f t="shared" si="974"/>
        <v>0</v>
      </c>
      <c r="EA237" s="19">
        <f t="shared" si="974"/>
        <v>0</v>
      </c>
      <c r="EB237" s="19">
        <f t="shared" si="974"/>
        <v>0</v>
      </c>
      <c r="EC237" s="19">
        <f t="shared" si="974"/>
        <v>0</v>
      </c>
      <c r="ED237" s="19">
        <f t="shared" si="974"/>
        <v>0</v>
      </c>
      <c r="EE237" s="222"/>
      <c r="EF237" s="19">
        <f t="shared" ref="EF237:EY237" si="975">SUM(BK237:BM237)</f>
        <v>267332</v>
      </c>
      <c r="EG237" s="19">
        <f t="shared" si="975"/>
        <v>259416</v>
      </c>
      <c r="EH237" s="19">
        <f t="shared" si="975"/>
        <v>294856</v>
      </c>
      <c r="EI237" s="19">
        <f t="shared" si="975"/>
        <v>308318</v>
      </c>
      <c r="EJ237" s="19">
        <f t="shared" si="975"/>
        <v>329195</v>
      </c>
      <c r="EK237" s="19">
        <f t="shared" si="975"/>
        <v>315941</v>
      </c>
      <c r="EL237" s="19">
        <f t="shared" si="975"/>
        <v>302800</v>
      </c>
      <c r="EM237" s="19">
        <f t="shared" si="975"/>
        <v>260730</v>
      </c>
      <c r="EN237" s="19">
        <f t="shared" si="975"/>
        <v>216801</v>
      </c>
      <c r="EO237" s="19">
        <f t="shared" si="975"/>
        <v>194742</v>
      </c>
      <c r="EP237" s="19">
        <f t="shared" si="975"/>
        <v>184097</v>
      </c>
      <c r="EQ237" s="19">
        <f t="shared" si="975"/>
        <v>180013</v>
      </c>
      <c r="ER237" s="19">
        <f t="shared" si="975"/>
        <v>169990</v>
      </c>
      <c r="ES237" s="19">
        <f t="shared" si="975"/>
        <v>154963</v>
      </c>
      <c r="ET237" s="19">
        <f t="shared" si="975"/>
        <v>136061</v>
      </c>
      <c r="EU237" s="19">
        <f t="shared" si="975"/>
        <v>121506</v>
      </c>
      <c r="EV237" s="19">
        <f t="shared" si="975"/>
        <v>159394</v>
      </c>
      <c r="EW237" s="19">
        <f t="shared" si="975"/>
        <v>218630</v>
      </c>
      <c r="EX237" s="19">
        <f t="shared" si="975"/>
        <v>284913</v>
      </c>
      <c r="EY237" s="19">
        <f t="shared" si="975"/>
        <v>313405</v>
      </c>
      <c r="EZ237" s="19">
        <f t="shared" si="969"/>
        <v>0</v>
      </c>
      <c r="FA237" s="19">
        <f t="shared" si="970"/>
        <v>0</v>
      </c>
      <c r="FB237" s="19">
        <f t="shared" si="971"/>
        <v>0</v>
      </c>
      <c r="FC237" s="19">
        <f t="shared" si="972"/>
        <v>0</v>
      </c>
      <c r="FE237" s="19">
        <f t="shared" ref="FE237" si="976">SUM(EF237:EI237)</f>
        <v>1129922</v>
      </c>
      <c r="FF237" s="19">
        <f t="shared" ref="FF237" si="977">SUM(EJ237:EM237)</f>
        <v>1208666</v>
      </c>
      <c r="FG237" s="19">
        <f t="shared" ref="FG237" si="978">SUM(EN237:EQ237)</f>
        <v>775653</v>
      </c>
      <c r="FH237" s="19">
        <f t="shared" ref="FH237" si="979">SUM(ER237:EU237)</f>
        <v>582520</v>
      </c>
      <c r="FI237" s="19">
        <f t="shared" ref="FI237" si="980">SUM(EV237:EY237)</f>
        <v>976342</v>
      </c>
      <c r="FJ237" s="770">
        <f t="shared" si="784"/>
        <v>0</v>
      </c>
      <c r="FK237" s="545" t="s">
        <v>1</v>
      </c>
    </row>
    <row r="238" spans="2:167" x14ac:dyDescent="0.2">
      <c r="B238" s="306" t="s">
        <v>349</v>
      </c>
      <c r="C238" s="319">
        <v>0</v>
      </c>
      <c r="D238" s="319">
        <v>0</v>
      </c>
      <c r="E238" s="319">
        <v>0</v>
      </c>
      <c r="F238" s="319">
        <v>0</v>
      </c>
      <c r="G238" s="319">
        <v>0</v>
      </c>
      <c r="H238" s="319">
        <v>0</v>
      </c>
      <c r="I238" s="319">
        <v>0</v>
      </c>
      <c r="J238" s="319">
        <v>0</v>
      </c>
      <c r="K238" s="319">
        <v>0</v>
      </c>
      <c r="L238" s="319">
        <v>0</v>
      </c>
      <c r="M238" s="319">
        <v>0</v>
      </c>
      <c r="N238" s="325"/>
      <c r="O238" s="319">
        <v>41644693</v>
      </c>
      <c r="P238" s="319">
        <v>39390561.200000003</v>
      </c>
      <c r="Q238" s="319">
        <v>42918281.649999999</v>
      </c>
      <c r="R238" s="319">
        <v>52164477</v>
      </c>
      <c r="S238" s="319">
        <v>49806500</v>
      </c>
      <c r="T238" s="319">
        <v>44285012.489999995</v>
      </c>
      <c r="U238" s="319">
        <v>40351387</v>
      </c>
      <c r="V238" s="319">
        <v>38616915</v>
      </c>
      <c r="W238" s="319">
        <v>39594589</v>
      </c>
      <c r="X238" s="319">
        <v>53497238</v>
      </c>
      <c r="Y238" s="319">
        <v>48138308</v>
      </c>
      <c r="Z238" s="319">
        <v>45256162</v>
      </c>
      <c r="AA238" s="319">
        <v>45679724</v>
      </c>
      <c r="AB238" s="319">
        <v>39868306.163330801</v>
      </c>
      <c r="AC238" s="319">
        <v>31199949.909369402</v>
      </c>
      <c r="AD238" s="319">
        <v>34445566</v>
      </c>
      <c r="AE238" s="319">
        <v>20419043</v>
      </c>
      <c r="AF238" s="319">
        <v>21772339</v>
      </c>
      <c r="AG238" s="319">
        <v>21459154</v>
      </c>
      <c r="AH238" s="319">
        <v>33348874</v>
      </c>
      <c r="AI238" s="319">
        <v>28031893</v>
      </c>
      <c r="AJ238" s="319">
        <v>31607533</v>
      </c>
      <c r="AK238" s="319">
        <v>32504850.02</v>
      </c>
      <c r="AL238" s="319">
        <v>40199916</v>
      </c>
      <c r="AM238" s="319">
        <v>30436386</v>
      </c>
      <c r="AN238" s="319">
        <v>37338020</v>
      </c>
      <c r="AO238" s="319">
        <v>44425223</v>
      </c>
      <c r="AP238" s="319">
        <v>44622389</v>
      </c>
      <c r="AQ238" s="319">
        <v>49450766</v>
      </c>
      <c r="AR238" s="319">
        <v>45238305</v>
      </c>
      <c r="AS238" s="319">
        <v>69618590</v>
      </c>
      <c r="AT238" s="319">
        <v>86618958.980000004</v>
      </c>
      <c r="AU238" s="319">
        <v>97176467</v>
      </c>
      <c r="AV238" s="326">
        <v>72321705.859999999</v>
      </c>
      <c r="AW238" s="326">
        <v>91880504.708756372</v>
      </c>
      <c r="AX238" s="326">
        <v>90240368.154734582</v>
      </c>
      <c r="AY238" s="326">
        <v>96589254.199996993</v>
      </c>
      <c r="AZ238" s="326">
        <v>125203171.84274754</v>
      </c>
      <c r="BA238" s="326">
        <v>115982190.26865099</v>
      </c>
      <c r="BB238" s="326">
        <v>105950520.40169284</v>
      </c>
      <c r="BC238" s="326">
        <v>97491152.24999927</v>
      </c>
      <c r="BD238" s="326">
        <v>131115983.77000871</v>
      </c>
      <c r="BE238" s="326">
        <v>120017137.29499801</v>
      </c>
      <c r="BF238" s="326">
        <v>132312050.39749849</v>
      </c>
      <c r="BG238" s="326">
        <v>116245602</v>
      </c>
      <c r="BH238" s="326">
        <v>91286169</v>
      </c>
      <c r="BI238" s="326">
        <v>108908260.75999999</v>
      </c>
      <c r="BJ238" s="326">
        <v>98999422</v>
      </c>
      <c r="BK238" s="326">
        <v>100197876</v>
      </c>
      <c r="BL238" s="326">
        <v>107614443</v>
      </c>
      <c r="BM238" s="326">
        <v>111716181</v>
      </c>
      <c r="BN238" s="326">
        <v>104069600</v>
      </c>
      <c r="BO238" s="326">
        <v>103972290</v>
      </c>
      <c r="BP238" s="326">
        <v>105086324</v>
      </c>
      <c r="BQ238" s="326">
        <v>108374128</v>
      </c>
      <c r="BR238" s="326">
        <v>116449797</v>
      </c>
      <c r="BS238" s="326">
        <v>103598503</v>
      </c>
      <c r="BT238" s="326">
        <v>108394359.380018</v>
      </c>
      <c r="BU238" s="326">
        <v>110743516</v>
      </c>
      <c r="BV238" s="326">
        <v>104368972.98001161</v>
      </c>
      <c r="BW238" s="326">
        <v>102077913.81033941</v>
      </c>
      <c r="BX238" s="326">
        <v>103243470.3434464</v>
      </c>
      <c r="BY238" s="326">
        <v>87324666.157109514</v>
      </c>
      <c r="BZ238" s="326">
        <v>83515396.570302308</v>
      </c>
      <c r="CA238" s="326">
        <v>82101274.828918293</v>
      </c>
      <c r="CB238" s="326">
        <v>91026831.928649858</v>
      </c>
      <c r="CC238" s="326">
        <v>90681281.175803304</v>
      </c>
      <c r="CD238" s="326">
        <v>86883386.682678148</v>
      </c>
      <c r="CE238" s="326">
        <v>74432146.4958186</v>
      </c>
      <c r="CF238" s="326">
        <v>91328036.058496699</v>
      </c>
      <c r="CG238" s="326">
        <v>97551897.48014386</v>
      </c>
      <c r="CH238" s="326">
        <v>80501674.92440246</v>
      </c>
      <c r="CI238" s="326">
        <v>78420244.945939377</v>
      </c>
      <c r="CJ238" s="326">
        <v>87167301.982945055</v>
      </c>
      <c r="CK238" s="326">
        <v>94930142.433918402</v>
      </c>
      <c r="CL238" s="326">
        <v>101853955.70680299</v>
      </c>
      <c r="CM238" s="326">
        <v>129106073.14977495</v>
      </c>
      <c r="CN238" s="326">
        <v>169435137.69507298</v>
      </c>
      <c r="CO238" s="326">
        <v>201174376.37246293</v>
      </c>
      <c r="CP238" s="326">
        <v>248758751.60310784</v>
      </c>
      <c r="CQ238" s="326">
        <v>232898196.86927107</v>
      </c>
      <c r="CR238" s="326">
        <v>195331559.22042766</v>
      </c>
      <c r="CS238" s="326">
        <v>197855372.69210497</v>
      </c>
      <c r="CT238" s="326">
        <v>184261059.95817649</v>
      </c>
      <c r="CU238" s="19">
        <f>'P&amp;L - Inputs'!CT784</f>
        <v>203583231.20651069</v>
      </c>
      <c r="CV238" s="19">
        <f>'P&amp;L - Inputs'!CU784</f>
        <v>207821475.38523307</v>
      </c>
      <c r="CW238" s="19">
        <f>'P&amp;L - Inputs'!CV784</f>
        <v>201205448.67583007</v>
      </c>
      <c r="CX238" s="19">
        <f>'P&amp;L - Inputs'!CW784</f>
        <v>204956627.999428</v>
      </c>
      <c r="CY238" s="19">
        <f>'P&amp;L - Inputs'!CX784</f>
        <v>189462993.04561037</v>
      </c>
      <c r="CZ238" s="19">
        <f>'P&amp;L - Inputs'!CY784</f>
        <v>174269088.45473111</v>
      </c>
      <c r="DA238" s="19">
        <f>'P&amp;L - Inputs'!CZ784</f>
        <v>200266308.71350428</v>
      </c>
      <c r="DB238" s="19">
        <f>'P&amp;L - Inputs'!DA784</f>
        <v>224685436.45761183</v>
      </c>
      <c r="DC238" s="19">
        <f>'P&amp;L - Inputs'!DB784</f>
        <v>257984372.08657372</v>
      </c>
      <c r="DD238" s="19">
        <f>'P&amp;L - Inputs'!DC784</f>
        <v>252698814.52792767</v>
      </c>
      <c r="DE238" s="19">
        <f>'P&amp;L - Inputs'!DD784</f>
        <v>238503904.50228924</v>
      </c>
      <c r="DF238" s="19">
        <f>'P&amp;L - Inputs'!DE784</f>
        <v>244060748.82026955</v>
      </c>
      <c r="DG238" s="19">
        <f>'P&amp;L - Inputs'!DF784</f>
        <v>261091459.48701516</v>
      </c>
      <c r="DH238" s="19">
        <f>'P&amp;L - Inputs'!DG784</f>
        <v>266798353.96209246</v>
      </c>
      <c r="DI238" s="19">
        <f>'P&amp;L - Inputs'!DH784</f>
        <v>257883678.03551668</v>
      </c>
      <c r="DJ238" s="19">
        <f>'P&amp;L - Inputs'!DI784</f>
        <v>262483569.61469483</v>
      </c>
      <c r="DK238" s="19">
        <f>'P&amp;L - Inputs'!DJ784</f>
        <v>242619831.97450176</v>
      </c>
      <c r="DL238" s="19">
        <f>'P&amp;L - Inputs'!DK784</f>
        <v>222460161.48798111</v>
      </c>
      <c r="DM238" s="19">
        <f>'P&amp;L - Inputs'!DL784</f>
        <v>255823043.76387247</v>
      </c>
      <c r="DN238" s="19">
        <f>'P&amp;L - Inputs'!DM784</f>
        <v>287913883.38001293</v>
      </c>
      <c r="DO238" s="19">
        <f>'P&amp;L - Inputs'!DN784</f>
        <v>329851492.98879659</v>
      </c>
      <c r="DP238" s="19">
        <f>'P&amp;L - Inputs'!DO784</f>
        <v>322196981.26105827</v>
      </c>
      <c r="DQ238" s="19">
        <f>'P&amp;L - Inputs'!DP784</f>
        <v>304380049.4098652</v>
      </c>
      <c r="DR238" s="19">
        <f>'P&amp;L - Inputs'!DQ784</f>
        <v>309837155.35987484</v>
      </c>
      <c r="DS238" s="19">
        <f>'P&amp;L - Inputs'!DR784</f>
        <v>309837155.35987484</v>
      </c>
      <c r="DT238" s="19">
        <f>'P&amp;L - Inputs'!DS784</f>
        <v>309837155.35987484</v>
      </c>
      <c r="DU238" s="19">
        <f>'P&amp;L - Inputs'!DT784</f>
        <v>309837155.35987484</v>
      </c>
      <c r="DV238" s="19">
        <f>'P&amp;L - Inputs'!DU784</f>
        <v>309837155.35987484</v>
      </c>
      <c r="DW238" s="19">
        <f>'P&amp;L - Inputs'!DV784</f>
        <v>309837155.35987484</v>
      </c>
      <c r="DX238" s="19">
        <f>'P&amp;L - Inputs'!DW784</f>
        <v>309837155.35987484</v>
      </c>
      <c r="DY238" s="19">
        <f>'P&amp;L - Inputs'!DX784</f>
        <v>309837155.35987484</v>
      </c>
      <c r="DZ238" s="19">
        <f>'P&amp;L - Inputs'!DY784</f>
        <v>309837155.35987484</v>
      </c>
      <c r="EA238" s="19">
        <f>'P&amp;L - Inputs'!DZ784</f>
        <v>309837155.35987484</v>
      </c>
      <c r="EB238" s="19">
        <f>'P&amp;L - Inputs'!EA784</f>
        <v>309837155.35987484</v>
      </c>
      <c r="EC238" s="19">
        <f>'P&amp;L - Inputs'!EB784</f>
        <v>309837155.35987484</v>
      </c>
      <c r="ED238" s="19">
        <f>'P&amp;L - Inputs'!EC784</f>
        <v>309837155.35987484</v>
      </c>
      <c r="EE238" s="222"/>
      <c r="EF238" s="19">
        <f>BM238</f>
        <v>111716181</v>
      </c>
      <c r="EG238" s="19">
        <f>BP238</f>
        <v>105086324</v>
      </c>
      <c r="EH238" s="19">
        <f>BS238</f>
        <v>103598503</v>
      </c>
      <c r="EI238" s="19">
        <f>BV238</f>
        <v>104368972.98001161</v>
      </c>
      <c r="EJ238" s="19">
        <f>BY238</f>
        <v>87324666.157109514</v>
      </c>
      <c r="EK238" s="19">
        <f>CB238</f>
        <v>91026831.928649858</v>
      </c>
      <c r="EL238" s="19">
        <f>CE238</f>
        <v>74432146.4958186</v>
      </c>
      <c r="EM238" s="19">
        <f>CH238</f>
        <v>80501674.92440246</v>
      </c>
      <c r="EN238" s="19">
        <f>CK238</f>
        <v>94930142.433918402</v>
      </c>
      <c r="EO238" s="19">
        <f>CN238</f>
        <v>169435137.69507298</v>
      </c>
      <c r="EP238" s="19">
        <f>CQ238</f>
        <v>232898196.86927107</v>
      </c>
      <c r="EQ238" s="19">
        <f>CT238</f>
        <v>184261059.95817649</v>
      </c>
      <c r="ER238" s="19">
        <f>CW238</f>
        <v>201205448.67583007</v>
      </c>
      <c r="ES238" s="19">
        <f>CZ238</f>
        <v>174269088.45473111</v>
      </c>
      <c r="ET238" s="19">
        <f>DC238</f>
        <v>257984372.08657372</v>
      </c>
      <c r="EU238" s="19">
        <f>DF238</f>
        <v>244060748.82026955</v>
      </c>
      <c r="EV238" s="19">
        <f>DI238</f>
        <v>257883678.03551668</v>
      </c>
      <c r="EW238" s="19">
        <f>DL238</f>
        <v>222460161.48798111</v>
      </c>
      <c r="EX238" s="19">
        <f>DO238</f>
        <v>329851492.98879659</v>
      </c>
      <c r="EY238" s="19">
        <f>DR238</f>
        <v>309837155.35987484</v>
      </c>
      <c r="EZ238" s="19">
        <f t="shared" si="969"/>
        <v>929511466.07962453</v>
      </c>
      <c r="FA238" s="19">
        <f t="shared" si="970"/>
        <v>929511466.07962453</v>
      </c>
      <c r="FB238" s="19">
        <f t="shared" si="971"/>
        <v>929511466.07962453</v>
      </c>
      <c r="FC238" s="19">
        <f t="shared" si="972"/>
        <v>929511466.07962453</v>
      </c>
      <c r="FE238" s="19">
        <f t="shared" ref="FE238:FE240" si="981">EI238</f>
        <v>104368972.98001161</v>
      </c>
      <c r="FF238" s="19">
        <f t="shared" ref="FF238:FF240" si="982">EM238</f>
        <v>80501674.92440246</v>
      </c>
      <c r="FG238" s="19">
        <f t="shared" ref="FG238:FG240" si="983">EQ238</f>
        <v>184261059.95817649</v>
      </c>
      <c r="FH238" s="19">
        <f t="shared" ref="FH238:FH240" si="984">EU238</f>
        <v>244060748.82026955</v>
      </c>
      <c r="FI238" s="19">
        <f t="shared" ref="FI238:FI240" si="985">EY238</f>
        <v>309837155.35987484</v>
      </c>
      <c r="FJ238" s="770">
        <f t="shared" si="784"/>
        <v>3718045864.3184981</v>
      </c>
      <c r="FK238" s="545" t="s">
        <v>1</v>
      </c>
    </row>
    <row r="239" spans="2:167" x14ac:dyDescent="0.2">
      <c r="B239" s="306" t="s">
        <v>140</v>
      </c>
      <c r="C239" s="319">
        <v>0</v>
      </c>
      <c r="D239" s="319">
        <v>0</v>
      </c>
      <c r="E239" s="319">
        <v>0</v>
      </c>
      <c r="F239" s="319">
        <v>0</v>
      </c>
      <c r="G239" s="319">
        <v>0</v>
      </c>
      <c r="H239" s="319">
        <v>0</v>
      </c>
      <c r="I239" s="319">
        <v>0</v>
      </c>
      <c r="J239" s="319">
        <v>0</v>
      </c>
      <c r="K239" s="319">
        <v>0</v>
      </c>
      <c r="L239" s="319">
        <v>0</v>
      </c>
      <c r="M239" s="319">
        <v>0</v>
      </c>
      <c r="N239" s="325"/>
      <c r="O239" s="319"/>
      <c r="P239" s="319"/>
      <c r="Q239" s="319"/>
      <c r="R239" s="319"/>
      <c r="S239" s="319"/>
      <c r="T239" s="319"/>
      <c r="U239" s="319"/>
      <c r="V239" s="319"/>
      <c r="W239" s="319"/>
      <c r="X239" s="319"/>
      <c r="Y239" s="319"/>
      <c r="Z239" s="319"/>
      <c r="AA239" s="319"/>
      <c r="AB239" s="319"/>
      <c r="AC239" s="319"/>
      <c r="AD239" s="319"/>
      <c r="AE239" s="319"/>
      <c r="AF239" s="319"/>
      <c r="AG239" s="319"/>
      <c r="AH239" s="319"/>
      <c r="AI239" s="319"/>
      <c r="AJ239" s="319"/>
      <c r="AK239" s="319"/>
      <c r="AL239" s="319"/>
      <c r="AM239" s="319"/>
      <c r="AN239" s="319"/>
      <c r="AO239" s="319"/>
      <c r="AP239" s="319"/>
      <c r="AQ239" s="319"/>
      <c r="AR239" s="319"/>
      <c r="AS239" s="319"/>
      <c r="AT239" s="319"/>
      <c r="AU239" s="319"/>
      <c r="AV239" s="326"/>
      <c r="AW239" s="326"/>
      <c r="AX239" s="326"/>
      <c r="AY239" s="326"/>
      <c r="AZ239" s="326"/>
      <c r="BA239" s="326">
        <v>8375543.6949157119</v>
      </c>
      <c r="BB239" s="326">
        <v>11695679</v>
      </c>
      <c r="BC239" s="326">
        <v>3979803.7797467117</v>
      </c>
      <c r="BD239" s="326">
        <v>11193974.432202134</v>
      </c>
      <c r="BE239" s="326">
        <v>15718273</v>
      </c>
      <c r="BF239" s="326">
        <v>13858718</v>
      </c>
      <c r="BG239" s="326">
        <v>15876015.627118038</v>
      </c>
      <c r="BH239" s="326">
        <v>30520870</v>
      </c>
      <c r="BI239" s="326">
        <v>22974919.864406779</v>
      </c>
      <c r="BJ239" s="326">
        <v>22243996</v>
      </c>
      <c r="BK239" s="326">
        <v>24092898</v>
      </c>
      <c r="BL239" s="326">
        <v>22551886.677057981</v>
      </c>
      <c r="BM239" s="326">
        <v>22705593.692699671</v>
      </c>
      <c r="BN239" s="326">
        <v>20664912</v>
      </c>
      <c r="BO239" s="326">
        <v>19254819.343327794</v>
      </c>
      <c r="BP239" s="326">
        <v>22713607.962370448</v>
      </c>
      <c r="BQ239" s="326">
        <v>26941027.488772959</v>
      </c>
      <c r="BR239" s="326">
        <v>26159904.302002896</v>
      </c>
      <c r="BS239" s="326">
        <v>26246750.033587098</v>
      </c>
      <c r="BT239" s="326">
        <v>24034235.657712467</v>
      </c>
      <c r="BU239" s="326">
        <v>22096545</v>
      </c>
      <c r="BV239" s="326">
        <v>20215638</v>
      </c>
      <c r="BW239" s="326">
        <v>30326833.333333332</v>
      </c>
      <c r="BX239" s="326">
        <v>28625849.491525467</v>
      </c>
      <c r="BY239" s="326">
        <v>15342298</v>
      </c>
      <c r="BZ239" s="326">
        <v>19151672.531049494</v>
      </c>
      <c r="CA239" s="326">
        <v>20998368</v>
      </c>
      <c r="CB239" s="326">
        <v>22181320.148741871</v>
      </c>
      <c r="CC239" s="326">
        <v>23949460</v>
      </c>
      <c r="CD239" s="326">
        <v>25001852</v>
      </c>
      <c r="CE239" s="326">
        <v>18674177</v>
      </c>
      <c r="CF239" s="326">
        <v>21225605</v>
      </c>
      <c r="CG239" s="326">
        <v>17297794.489736855</v>
      </c>
      <c r="CH239" s="326">
        <v>19586248.323433194</v>
      </c>
      <c r="CI239" s="326">
        <v>23625578.669519249</v>
      </c>
      <c r="CJ239" s="326">
        <v>25182013</v>
      </c>
      <c r="CK239" s="326">
        <v>27363207.990401026</v>
      </c>
      <c r="CL239" s="326">
        <v>29834549.43809605</v>
      </c>
      <c r="CM239" s="326">
        <v>35028408.078627154</v>
      </c>
      <c r="CN239" s="326">
        <v>45134215.132626988</v>
      </c>
      <c r="CO239" s="326">
        <v>45279849.129816204</v>
      </c>
      <c r="CP239" s="326">
        <v>42749598.631848745</v>
      </c>
      <c r="CQ239" s="326">
        <v>42853984.015983179</v>
      </c>
      <c r="CR239" s="326">
        <v>44481920.672152378</v>
      </c>
      <c r="CS239" s="326">
        <v>40701033.282152951</v>
      </c>
      <c r="CT239" s="326">
        <v>41831323.508203171</v>
      </c>
      <c r="CU239" s="19">
        <f>CU244/30*CU$90*($CT$239/$CT$235)</f>
        <v>28834430.665185105</v>
      </c>
      <c r="CV239" s="19">
        <f t="shared" ref="CV239:DR239" si="986">CV244/30*CV$90*($CT$239/$CT$235)</f>
        <v>33391129.222274348</v>
      </c>
      <c r="CW239" s="19">
        <f t="shared" si="986"/>
        <v>30873573.39145641</v>
      </c>
      <c r="CX239" s="19">
        <f t="shared" si="986"/>
        <v>26536316.492695469</v>
      </c>
      <c r="CY239" s="19">
        <f t="shared" si="986"/>
        <v>23799185.8822308</v>
      </c>
      <c r="CZ239" s="19">
        <f t="shared" si="986"/>
        <v>28607104.946401782</v>
      </c>
      <c r="DA239" s="19">
        <f t="shared" si="986"/>
        <v>51939462.77743873</v>
      </c>
      <c r="DB239" s="19">
        <f t="shared" si="986"/>
        <v>61169243.000821389</v>
      </c>
      <c r="DC239" s="19">
        <f t="shared" si="986"/>
        <v>53165011.331117719</v>
      </c>
      <c r="DD239" s="19">
        <f t="shared" si="986"/>
        <v>46651308.102548815</v>
      </c>
      <c r="DE239" s="19">
        <f t="shared" si="986"/>
        <v>44079306.156862527</v>
      </c>
      <c r="DF239" s="19">
        <f t="shared" si="986"/>
        <v>43097848.707787693</v>
      </c>
      <c r="DG239" s="19">
        <f t="shared" si="986"/>
        <v>35236147.461076021</v>
      </c>
      <c r="DH239" s="19">
        <f t="shared" si="986"/>
        <v>40846015.246149816</v>
      </c>
      <c r="DI239" s="19">
        <f t="shared" si="986"/>
        <v>37682288.154192455</v>
      </c>
      <c r="DJ239" s="19">
        <f t="shared" si="986"/>
        <v>32379768.774271023</v>
      </c>
      <c r="DK239" s="19">
        <f t="shared" si="986"/>
        <v>29014745.472808883</v>
      </c>
      <c r="DL239" s="19">
        <f t="shared" si="986"/>
        <v>34795979.507546119</v>
      </c>
      <c r="DM239" s="19">
        <f t="shared" si="986"/>
        <v>63165525.066402845</v>
      </c>
      <c r="DN239" s="19">
        <f t="shared" si="986"/>
        <v>74374162.834498867</v>
      </c>
      <c r="DO239" s="19">
        <f t="shared" si="986"/>
        <v>64518221.47083351</v>
      </c>
      <c r="DP239" s="19">
        <f t="shared" si="986"/>
        <v>56471199.055903219</v>
      </c>
      <c r="DQ239" s="19">
        <f t="shared" si="986"/>
        <v>53306711.281735741</v>
      </c>
      <c r="DR239" s="19">
        <f t="shared" si="986"/>
        <v>51815268.700907007</v>
      </c>
      <c r="DS239" s="19">
        <f t="shared" ref="DS239:ED239" si="987">DS244/30*DS$90*($CT$239/$CT$235)</f>
        <v>0</v>
      </c>
      <c r="DT239" s="19">
        <f t="shared" si="987"/>
        <v>0</v>
      </c>
      <c r="DU239" s="19">
        <f t="shared" si="987"/>
        <v>0</v>
      </c>
      <c r="DV239" s="19">
        <f t="shared" si="987"/>
        <v>0</v>
      </c>
      <c r="DW239" s="19">
        <f t="shared" si="987"/>
        <v>0</v>
      </c>
      <c r="DX239" s="19">
        <f t="shared" si="987"/>
        <v>0</v>
      </c>
      <c r="DY239" s="19">
        <f t="shared" si="987"/>
        <v>0</v>
      </c>
      <c r="DZ239" s="19">
        <f t="shared" si="987"/>
        <v>0</v>
      </c>
      <c r="EA239" s="19">
        <f t="shared" si="987"/>
        <v>0</v>
      </c>
      <c r="EB239" s="19">
        <f t="shared" si="987"/>
        <v>0</v>
      </c>
      <c r="EC239" s="19">
        <f t="shared" si="987"/>
        <v>0</v>
      </c>
      <c r="ED239" s="19">
        <f t="shared" si="987"/>
        <v>0</v>
      </c>
      <c r="EE239" s="222"/>
      <c r="EF239" s="19">
        <f>BM239</f>
        <v>22705593.692699671</v>
      </c>
      <c r="EG239" s="19">
        <f>BP239</f>
        <v>22713607.962370448</v>
      </c>
      <c r="EH239" s="19">
        <f>BS239</f>
        <v>26246750.033587098</v>
      </c>
      <c r="EI239" s="19">
        <f>BV239</f>
        <v>20215638</v>
      </c>
      <c r="EJ239" s="19">
        <f>BY239</f>
        <v>15342298</v>
      </c>
      <c r="EK239" s="19">
        <f>CB239</f>
        <v>22181320.148741871</v>
      </c>
      <c r="EL239" s="19">
        <f>CE239</f>
        <v>18674177</v>
      </c>
      <c r="EM239" s="19">
        <f>CH239</f>
        <v>19586248.323433194</v>
      </c>
      <c r="EN239" s="19">
        <f>CK239</f>
        <v>27363207.990401026</v>
      </c>
      <c r="EO239" s="19">
        <f>CN239</f>
        <v>45134215.132626988</v>
      </c>
      <c r="EP239" s="19">
        <f>CQ239</f>
        <v>42853984.015983179</v>
      </c>
      <c r="EQ239" s="19">
        <f>CT239</f>
        <v>41831323.508203171</v>
      </c>
      <c r="ER239" s="19">
        <f>CW239</f>
        <v>30873573.39145641</v>
      </c>
      <c r="ES239" s="19">
        <f>CZ239</f>
        <v>28607104.946401782</v>
      </c>
      <c r="ET239" s="19">
        <f>DC239</f>
        <v>53165011.331117719</v>
      </c>
      <c r="EU239" s="19">
        <f>DF239</f>
        <v>43097848.707787693</v>
      </c>
      <c r="EV239" s="19">
        <f>DI239</f>
        <v>37682288.154192455</v>
      </c>
      <c r="EW239" s="19">
        <f>DL239</f>
        <v>34795979.507546119</v>
      </c>
      <c r="EX239" s="19">
        <f>DO239</f>
        <v>64518221.47083351</v>
      </c>
      <c r="EY239" s="19">
        <f>DR239</f>
        <v>51815268.700907007</v>
      </c>
      <c r="EZ239" s="19">
        <f t="shared" si="969"/>
        <v>0</v>
      </c>
      <c r="FA239" s="19">
        <f t="shared" si="970"/>
        <v>0</v>
      </c>
      <c r="FB239" s="19">
        <f t="shared" si="971"/>
        <v>0</v>
      </c>
      <c r="FC239" s="19">
        <f t="shared" si="972"/>
        <v>0</v>
      </c>
      <c r="FE239" s="19">
        <f t="shared" si="981"/>
        <v>20215638</v>
      </c>
      <c r="FF239" s="19">
        <f t="shared" si="982"/>
        <v>19586248.323433194</v>
      </c>
      <c r="FG239" s="19">
        <f t="shared" si="983"/>
        <v>41831323.508203171</v>
      </c>
      <c r="FH239" s="19">
        <f t="shared" si="984"/>
        <v>43097848.707787693</v>
      </c>
      <c r="FI239" s="19">
        <f t="shared" si="985"/>
        <v>51815268.700907007</v>
      </c>
      <c r="FJ239" s="770">
        <f t="shared" si="784"/>
        <v>0</v>
      </c>
      <c r="FK239" s="545" t="s">
        <v>1</v>
      </c>
    </row>
    <row r="240" spans="2:167" x14ac:dyDescent="0.2">
      <c r="B240" s="306" t="s">
        <v>350</v>
      </c>
      <c r="C240" s="319">
        <v>0</v>
      </c>
      <c r="D240" s="319">
        <v>0</v>
      </c>
      <c r="E240" s="319">
        <v>0</v>
      </c>
      <c r="F240" s="319">
        <v>0</v>
      </c>
      <c r="G240" s="319">
        <v>0</v>
      </c>
      <c r="H240" s="319">
        <v>0</v>
      </c>
      <c r="I240" s="319">
        <v>0</v>
      </c>
      <c r="J240" s="319">
        <v>0</v>
      </c>
      <c r="K240" s="319">
        <v>0</v>
      </c>
      <c r="L240" s="319">
        <v>0</v>
      </c>
      <c r="M240" s="319">
        <v>0</v>
      </c>
      <c r="N240" s="325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  <c r="AA240" s="319"/>
      <c r="AB240" s="319"/>
      <c r="AC240" s="319"/>
      <c r="AD240" s="319"/>
      <c r="AE240" s="319"/>
      <c r="AF240" s="319"/>
      <c r="AG240" s="319"/>
      <c r="AH240" s="319"/>
      <c r="AI240" s="319"/>
      <c r="AJ240" s="319"/>
      <c r="AK240" s="319"/>
      <c r="AL240" s="319"/>
      <c r="AM240" s="319"/>
      <c r="AN240" s="319"/>
      <c r="AO240" s="319"/>
      <c r="AP240" s="319"/>
      <c r="AQ240" s="319"/>
      <c r="AR240" s="319"/>
      <c r="AS240" s="319"/>
      <c r="AT240" s="319"/>
      <c r="AU240" s="319"/>
      <c r="AV240" s="326"/>
      <c r="AW240" s="326"/>
      <c r="AX240" s="326"/>
      <c r="AY240" s="326"/>
      <c r="AZ240" s="326"/>
      <c r="BA240" s="326"/>
      <c r="BB240" s="326"/>
      <c r="BC240" s="326"/>
      <c r="BD240" s="326"/>
      <c r="BE240" s="326"/>
      <c r="BF240" s="326"/>
      <c r="BG240" s="326"/>
      <c r="BH240" s="326"/>
      <c r="BI240" s="326"/>
      <c r="BJ240" s="326"/>
      <c r="BK240" s="326"/>
      <c r="BL240" s="326"/>
      <c r="BM240" s="326"/>
      <c r="BN240" s="326"/>
      <c r="BO240" s="326"/>
      <c r="BP240" s="326"/>
      <c r="BQ240" s="326"/>
      <c r="BR240" s="326"/>
      <c r="BS240" s="326"/>
      <c r="BT240" s="326"/>
      <c r="BU240" s="326"/>
      <c r="BV240" s="326"/>
      <c r="BW240" s="326"/>
      <c r="BX240" s="326"/>
      <c r="BY240" s="326">
        <v>54488886</v>
      </c>
      <c r="BZ240" s="326">
        <v>85369700</v>
      </c>
      <c r="CA240" s="326">
        <v>108390214</v>
      </c>
      <c r="CB240" s="326">
        <v>140385949.29000002</v>
      </c>
      <c r="CC240" s="326">
        <v>154130109.29000002</v>
      </c>
      <c r="CD240" s="326">
        <v>128492736.48999999</v>
      </c>
      <c r="CE240" s="326">
        <v>100047109.39</v>
      </c>
      <c r="CF240" s="326">
        <v>91728834</v>
      </c>
      <c r="CG240" s="326">
        <v>99399822.079999998</v>
      </c>
      <c r="CH240" s="326">
        <v>116002173</v>
      </c>
      <c r="CI240" s="326">
        <v>111639639.43000001</v>
      </c>
      <c r="CJ240" s="326">
        <v>115427019</v>
      </c>
      <c r="CK240" s="326">
        <v>94339470.42847459</v>
      </c>
      <c r="CL240" s="326">
        <v>88372618.430000126</v>
      </c>
      <c r="CM240" s="326">
        <v>116700972.85801491</v>
      </c>
      <c r="CN240" s="326">
        <v>167113040.43000066</v>
      </c>
      <c r="CO240" s="326">
        <v>127513197.42999999</v>
      </c>
      <c r="CP240" s="326">
        <v>210281552.44</v>
      </c>
      <c r="CQ240" s="326">
        <v>194892160.27000001</v>
      </c>
      <c r="CR240" s="326">
        <v>189463361.84</v>
      </c>
      <c r="CS240" s="326">
        <v>205322655.96000001</v>
      </c>
      <c r="CT240" s="326">
        <v>281380362.77599794</v>
      </c>
      <c r="CU240" s="19">
        <f>CU244/30*CU$90*($CT$240/$CT$235)</f>
        <v>193956152.48506516</v>
      </c>
      <c r="CV240" s="19">
        <f t="shared" ref="CV240:DR240" si="988">CV244/30*CV$90*($CT$240/$CT$235)</f>
        <v>224606999.3989383</v>
      </c>
      <c r="CW240" s="19">
        <f t="shared" si="988"/>
        <v>207672541.83042595</v>
      </c>
      <c r="CX240" s="19">
        <f t="shared" si="988"/>
        <v>178497779.54047048</v>
      </c>
      <c r="CY240" s="19">
        <f t="shared" si="988"/>
        <v>160086341.90123811</v>
      </c>
      <c r="CZ240" s="19">
        <f t="shared" si="988"/>
        <v>192427035.3581107</v>
      </c>
      <c r="DA240" s="19">
        <f t="shared" si="988"/>
        <v>349373236.4418301</v>
      </c>
      <c r="DB240" s="19">
        <f t="shared" si="988"/>
        <v>411457786.72121233</v>
      </c>
      <c r="DC240" s="19">
        <f t="shared" si="988"/>
        <v>357616946.36332393</v>
      </c>
      <c r="DD240" s="19">
        <f t="shared" si="988"/>
        <v>313802215.58841819</v>
      </c>
      <c r="DE240" s="19">
        <f t="shared" si="988"/>
        <v>296501523.67041427</v>
      </c>
      <c r="DF240" s="19">
        <f t="shared" si="988"/>
        <v>289899704.03122145</v>
      </c>
      <c r="DG240" s="19">
        <f t="shared" si="988"/>
        <v>237017601.2595402</v>
      </c>
      <c r="DH240" s="19">
        <f t="shared" si="988"/>
        <v>274752640.4623974</v>
      </c>
      <c r="DI240" s="19">
        <f t="shared" si="988"/>
        <v>253471681.54928425</v>
      </c>
      <c r="DJ240" s="19">
        <f t="shared" si="988"/>
        <v>217804035.83263695</v>
      </c>
      <c r="DK240" s="19">
        <f t="shared" si="988"/>
        <v>195169048.50957447</v>
      </c>
      <c r="DL240" s="19">
        <f t="shared" si="988"/>
        <v>234056790.8414256</v>
      </c>
      <c r="DM240" s="19">
        <f t="shared" si="988"/>
        <v>424885871.81888741</v>
      </c>
      <c r="DN240" s="19">
        <f t="shared" si="988"/>
        <v>500281300.33773714</v>
      </c>
      <c r="DO240" s="19">
        <f t="shared" si="988"/>
        <v>433984847.73175448</v>
      </c>
      <c r="DP240" s="19">
        <f t="shared" si="988"/>
        <v>379856173.41582835</v>
      </c>
      <c r="DQ240" s="19">
        <f t="shared" si="988"/>
        <v>358570097.73809272</v>
      </c>
      <c r="DR240" s="19">
        <f t="shared" si="988"/>
        <v>348537839.1515131</v>
      </c>
      <c r="DS240" s="19">
        <f t="shared" ref="DS240:ED240" si="989">DS244/30*DS$90*($CT$240/$CT$235)</f>
        <v>0</v>
      </c>
      <c r="DT240" s="19">
        <f t="shared" si="989"/>
        <v>0</v>
      </c>
      <c r="DU240" s="19">
        <f t="shared" si="989"/>
        <v>0</v>
      </c>
      <c r="DV240" s="19">
        <f t="shared" si="989"/>
        <v>0</v>
      </c>
      <c r="DW240" s="19">
        <f t="shared" si="989"/>
        <v>0</v>
      </c>
      <c r="DX240" s="19">
        <f t="shared" si="989"/>
        <v>0</v>
      </c>
      <c r="DY240" s="19">
        <f t="shared" si="989"/>
        <v>0</v>
      </c>
      <c r="DZ240" s="19">
        <f t="shared" si="989"/>
        <v>0</v>
      </c>
      <c r="EA240" s="19">
        <f t="shared" si="989"/>
        <v>0</v>
      </c>
      <c r="EB240" s="19">
        <f t="shared" si="989"/>
        <v>0</v>
      </c>
      <c r="EC240" s="19">
        <f t="shared" si="989"/>
        <v>0</v>
      </c>
      <c r="ED240" s="19">
        <f t="shared" si="989"/>
        <v>0</v>
      </c>
      <c r="EE240" s="222"/>
      <c r="EF240" s="19">
        <f>BM240</f>
        <v>0</v>
      </c>
      <c r="EG240" s="19">
        <f>BP240</f>
        <v>0</v>
      </c>
      <c r="EH240" s="19">
        <f>BS240</f>
        <v>0</v>
      </c>
      <c r="EI240" s="19">
        <f>BV240</f>
        <v>0</v>
      </c>
      <c r="EJ240" s="19">
        <f>BY240</f>
        <v>54488886</v>
      </c>
      <c r="EK240" s="19">
        <f>CB240</f>
        <v>140385949.29000002</v>
      </c>
      <c r="EL240" s="19">
        <f>CE240</f>
        <v>100047109.39</v>
      </c>
      <c r="EM240" s="19">
        <f>CH240</f>
        <v>116002173</v>
      </c>
      <c r="EN240" s="19">
        <f>CK240</f>
        <v>94339470.42847459</v>
      </c>
      <c r="EO240" s="19">
        <f>CN240</f>
        <v>167113040.43000066</v>
      </c>
      <c r="EP240" s="19">
        <f>CQ240</f>
        <v>194892160.27000001</v>
      </c>
      <c r="EQ240" s="19">
        <f>CT240</f>
        <v>281380362.77599794</v>
      </c>
      <c r="ER240" s="19">
        <f>CW240</f>
        <v>207672541.83042595</v>
      </c>
      <c r="ES240" s="19">
        <f>CZ240</f>
        <v>192427035.3581107</v>
      </c>
      <c r="ET240" s="19">
        <f>DC240</f>
        <v>357616946.36332393</v>
      </c>
      <c r="EU240" s="19">
        <f>DF240</f>
        <v>289899704.03122145</v>
      </c>
      <c r="EV240" s="19">
        <f>DI240</f>
        <v>253471681.54928425</v>
      </c>
      <c r="EW240" s="19">
        <f>DL240</f>
        <v>234056790.8414256</v>
      </c>
      <c r="EX240" s="19">
        <f>DO240</f>
        <v>433984847.73175448</v>
      </c>
      <c r="EY240" s="19">
        <f>DR240</f>
        <v>348537839.1515131</v>
      </c>
      <c r="EZ240" s="19">
        <f t="shared" si="969"/>
        <v>0</v>
      </c>
      <c r="FA240" s="19">
        <f t="shared" si="970"/>
        <v>0</v>
      </c>
      <c r="FB240" s="19">
        <f t="shared" si="971"/>
        <v>0</v>
      </c>
      <c r="FC240" s="19">
        <f t="shared" si="972"/>
        <v>0</v>
      </c>
      <c r="FE240" s="19">
        <f t="shared" si="981"/>
        <v>0</v>
      </c>
      <c r="FF240" s="19">
        <f t="shared" si="982"/>
        <v>116002173</v>
      </c>
      <c r="FG240" s="19">
        <f t="shared" si="983"/>
        <v>281380362.77599794</v>
      </c>
      <c r="FH240" s="19">
        <f t="shared" si="984"/>
        <v>289899704.03122145</v>
      </c>
      <c r="FI240" s="19">
        <f t="shared" si="985"/>
        <v>348537839.1515131</v>
      </c>
      <c r="FJ240" s="770">
        <f t="shared" si="784"/>
        <v>0</v>
      </c>
      <c r="FK240" s="545" t="s">
        <v>1</v>
      </c>
    </row>
    <row r="241" spans="2:167" x14ac:dyDescent="0.2">
      <c r="B241" s="310" t="s">
        <v>351</v>
      </c>
      <c r="C241" s="319">
        <v>0</v>
      </c>
      <c r="D241" s="319">
        <v>0</v>
      </c>
      <c r="E241" s="319">
        <v>0</v>
      </c>
      <c r="F241" s="319">
        <v>0</v>
      </c>
      <c r="G241" s="319">
        <v>0</v>
      </c>
      <c r="H241" s="319">
        <v>0</v>
      </c>
      <c r="I241" s="319">
        <v>0</v>
      </c>
      <c r="J241" s="319">
        <v>0</v>
      </c>
      <c r="K241" s="319">
        <v>0</v>
      </c>
      <c r="L241" s="319">
        <v>0</v>
      </c>
      <c r="M241" s="319">
        <v>0</v>
      </c>
      <c r="N241" s="325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  <c r="AA241" s="319"/>
      <c r="AB241" s="319"/>
      <c r="AC241" s="319"/>
      <c r="AD241" s="319"/>
      <c r="AE241" s="319"/>
      <c r="AF241" s="319"/>
      <c r="AG241" s="319"/>
      <c r="AH241" s="319"/>
      <c r="AI241" s="319"/>
      <c r="AJ241" s="319"/>
      <c r="AK241" s="319"/>
      <c r="AL241" s="319"/>
      <c r="AM241" s="319"/>
      <c r="AN241" s="319"/>
      <c r="AO241" s="319"/>
      <c r="AP241" s="319"/>
      <c r="AQ241" s="319"/>
      <c r="AR241" s="319"/>
      <c r="AS241" s="319"/>
      <c r="AT241" s="319"/>
      <c r="AU241" s="319"/>
      <c r="AV241" s="326"/>
      <c r="AW241" s="326"/>
      <c r="AX241" s="326"/>
      <c r="AY241" s="326"/>
      <c r="AZ241" s="326"/>
      <c r="BA241" s="326"/>
      <c r="BB241" s="326"/>
      <c r="BC241" s="326"/>
      <c r="BD241" s="326"/>
      <c r="BE241" s="326"/>
      <c r="BF241" s="326"/>
      <c r="BG241" s="326"/>
      <c r="BH241" s="326"/>
      <c r="BI241" s="326"/>
      <c r="BJ241" s="326"/>
      <c r="BK241" s="326"/>
      <c r="BL241" s="326"/>
      <c r="BM241" s="326"/>
      <c r="BN241" s="326"/>
      <c r="BO241" s="326"/>
      <c r="BP241" s="326"/>
      <c r="BQ241" s="326"/>
      <c r="BR241" s="326"/>
      <c r="BS241" s="326"/>
      <c r="BT241" s="326"/>
      <c r="BU241" s="326"/>
      <c r="BV241" s="326"/>
      <c r="BW241" s="326"/>
      <c r="BX241" s="326"/>
      <c r="BY241" s="326">
        <v>3328</v>
      </c>
      <c r="BZ241" s="326">
        <v>4853</v>
      </c>
      <c r="CA241" s="326">
        <v>6067</v>
      </c>
      <c r="CB241" s="326">
        <v>7384</v>
      </c>
      <c r="CC241" s="326">
        <v>6325</v>
      </c>
      <c r="CD241" s="326">
        <v>7406</v>
      </c>
      <c r="CE241" s="326">
        <v>5683</v>
      </c>
      <c r="CF241" s="326">
        <v>6007</v>
      </c>
      <c r="CG241" s="326">
        <v>6685</v>
      </c>
      <c r="CH241" s="326">
        <v>8106</v>
      </c>
      <c r="CI241" s="326">
        <v>8721</v>
      </c>
      <c r="CJ241" s="326">
        <v>8779</v>
      </c>
      <c r="CK241" s="326">
        <v>7457</v>
      </c>
      <c r="CL241" s="326">
        <v>7372</v>
      </c>
      <c r="CM241" s="326">
        <v>10999</v>
      </c>
      <c r="CN241" s="326">
        <v>12453</v>
      </c>
      <c r="CO241" s="326">
        <v>11308</v>
      </c>
      <c r="CP241" s="326">
        <v>14966</v>
      </c>
      <c r="CQ241" s="326">
        <v>13792</v>
      </c>
      <c r="CR241" s="326">
        <v>13099</v>
      </c>
      <c r="CS241" s="326">
        <v>13215</v>
      </c>
      <c r="CT241" s="326">
        <v>16478</v>
      </c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9"/>
      <c r="DZ241" s="19"/>
      <c r="EA241" s="19"/>
      <c r="EB241" s="19"/>
      <c r="EC241" s="19"/>
      <c r="ED241" s="19"/>
      <c r="EE241" s="222"/>
      <c r="EF241" s="19"/>
      <c r="EG241" s="19"/>
      <c r="EH241" s="19"/>
      <c r="EI241" s="19"/>
      <c r="EJ241" s="19"/>
      <c r="EK241" s="19"/>
      <c r="EL241" s="19"/>
      <c r="EM241" s="19"/>
      <c r="EN241" s="19"/>
      <c r="EO241" s="19"/>
      <c r="EP241" s="19"/>
      <c r="EQ241" s="19"/>
      <c r="ER241" s="19"/>
      <c r="ES241" s="19"/>
      <c r="ET241" s="19"/>
      <c r="EU241" s="19"/>
      <c r="EV241" s="19"/>
      <c r="EW241" s="19"/>
      <c r="EX241" s="19"/>
      <c r="EY241" s="19"/>
      <c r="EZ241" s="19">
        <f t="shared" si="969"/>
        <v>0</v>
      </c>
      <c r="FA241" s="19">
        <f t="shared" si="970"/>
        <v>0</v>
      </c>
      <c r="FB241" s="19">
        <f t="shared" si="971"/>
        <v>0</v>
      </c>
      <c r="FC241" s="19">
        <f t="shared" si="972"/>
        <v>0</v>
      </c>
      <c r="FE241" s="19"/>
      <c r="FF241" s="19"/>
      <c r="FG241" s="19"/>
      <c r="FH241" s="19"/>
      <c r="FI241" s="19"/>
      <c r="FJ241" s="770">
        <f t="shared" si="784"/>
        <v>0</v>
      </c>
      <c r="FK241" s="545" t="s">
        <v>1</v>
      </c>
    </row>
    <row r="242" spans="2:167" x14ac:dyDescent="0.2">
      <c r="B242" s="306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19"/>
      <c r="P242" s="319"/>
      <c r="Q242" s="319"/>
      <c r="R242" s="319"/>
      <c r="S242" s="319"/>
      <c r="T242" s="319"/>
      <c r="U242" s="319"/>
      <c r="V242" s="319"/>
      <c r="W242" s="319"/>
      <c r="X242" s="319"/>
      <c r="Y242" s="319"/>
      <c r="Z242" s="319"/>
      <c r="AA242" s="319"/>
      <c r="AB242" s="319"/>
      <c r="AC242" s="319"/>
      <c r="AD242" s="319"/>
      <c r="AE242" s="319"/>
      <c r="AF242" s="319"/>
      <c r="AG242" s="319"/>
      <c r="AH242" s="319"/>
      <c r="AI242" s="319"/>
      <c r="AJ242" s="319"/>
      <c r="AK242" s="319"/>
      <c r="AL242" s="319"/>
      <c r="AM242" s="319"/>
      <c r="AN242" s="319"/>
      <c r="AO242" s="319"/>
      <c r="AP242" s="319"/>
      <c r="AQ242" s="319"/>
      <c r="AR242" s="319"/>
      <c r="AS242" s="319"/>
      <c r="AT242" s="319"/>
      <c r="AU242" s="319"/>
      <c r="AV242" s="326"/>
      <c r="AW242" s="326"/>
      <c r="AX242" s="326"/>
      <c r="AY242" s="326"/>
      <c r="AZ242" s="326"/>
      <c r="BA242" s="326"/>
      <c r="BB242" s="326"/>
      <c r="BC242" s="326"/>
      <c r="BD242" s="326"/>
      <c r="BE242" s="326"/>
      <c r="BF242" s="326"/>
      <c r="BG242" s="326"/>
      <c r="BH242" s="326"/>
      <c r="BI242" s="326"/>
      <c r="BJ242" s="326"/>
      <c r="BK242" s="326"/>
      <c r="BL242" s="326"/>
      <c r="BM242" s="326"/>
      <c r="BN242" s="326"/>
      <c r="BO242" s="326"/>
      <c r="BP242" s="326"/>
      <c r="BQ242" s="326"/>
      <c r="BR242" s="326"/>
      <c r="BS242" s="326"/>
      <c r="BT242" s="326"/>
      <c r="BU242" s="326"/>
      <c r="BV242" s="326"/>
      <c r="BW242" s="326"/>
      <c r="BX242" s="326"/>
      <c r="BY242" s="326"/>
      <c r="BZ242" s="326"/>
      <c r="CA242" s="326"/>
      <c r="CB242" s="326"/>
      <c r="CC242" s="326"/>
      <c r="CD242" s="326"/>
      <c r="CE242" s="326"/>
      <c r="CF242" s="326"/>
      <c r="CG242" s="326"/>
      <c r="CH242" s="326"/>
      <c r="CI242" s="326"/>
      <c r="CJ242" s="326"/>
      <c r="CK242" s="326"/>
      <c r="CL242" s="326"/>
      <c r="CM242" s="326"/>
      <c r="CN242" s="326"/>
      <c r="CO242" s="326"/>
      <c r="CP242" s="326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19"/>
      <c r="EC242" s="19"/>
      <c r="ED242" s="19"/>
      <c r="EE242" s="222"/>
      <c r="EF242" s="19"/>
      <c r="EG242" s="19"/>
      <c r="EH242" s="19"/>
      <c r="EI242" s="19"/>
      <c r="EJ242" s="19"/>
      <c r="EK242" s="19"/>
      <c r="EL242" s="19"/>
      <c r="EM242" s="19"/>
      <c r="EN242" s="19"/>
      <c r="EO242" s="19"/>
      <c r="EP242" s="19"/>
      <c r="EQ242" s="19"/>
      <c r="ER242" s="19"/>
      <c r="ES242" s="19"/>
      <c r="ET242" s="19"/>
      <c r="EU242" s="19"/>
      <c r="EV242" s="19"/>
      <c r="EW242" s="19"/>
      <c r="EX242" s="19"/>
      <c r="EY242" s="19"/>
      <c r="EZ242" s="19"/>
      <c r="FA242" s="19"/>
      <c r="FB242" s="19"/>
      <c r="FC242" s="19"/>
      <c r="FE242" s="19"/>
      <c r="FF242" s="19"/>
      <c r="FG242" s="19"/>
      <c r="FH242" s="19"/>
      <c r="FI242" s="19"/>
      <c r="FJ242" s="770"/>
      <c r="FK242" s="545"/>
    </row>
    <row r="243" spans="2:167" x14ac:dyDescent="0.2">
      <c r="B243" s="306" t="s">
        <v>352</v>
      </c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19"/>
      <c r="P243" s="319"/>
      <c r="Q243" s="319"/>
      <c r="R243" s="319"/>
      <c r="S243" s="319"/>
      <c r="T243" s="319"/>
      <c r="U243" s="325"/>
      <c r="V243" s="325"/>
      <c r="W243" s="325"/>
      <c r="X243" s="325"/>
      <c r="Y243" s="325"/>
      <c r="Z243" s="325"/>
      <c r="AA243" s="325"/>
      <c r="AB243" s="325"/>
      <c r="AC243" s="325"/>
      <c r="AD243" s="325"/>
      <c r="AE243" s="325"/>
      <c r="AF243" s="325"/>
      <c r="AG243" s="325"/>
      <c r="AH243" s="325"/>
      <c r="AI243" s="325"/>
      <c r="AJ243" s="325"/>
      <c r="AK243" s="325"/>
      <c r="AL243" s="325"/>
      <c r="AM243" s="325"/>
      <c r="AN243" s="325"/>
      <c r="AO243" s="325"/>
      <c r="AP243" s="325"/>
      <c r="AQ243" s="325"/>
      <c r="AR243" s="325"/>
      <c r="AS243" s="325"/>
      <c r="AT243" s="325"/>
      <c r="AU243" s="325"/>
      <c r="AV243" s="325"/>
      <c r="AW243" s="325"/>
      <c r="AX243" s="325"/>
      <c r="AY243" s="325"/>
      <c r="AZ243" s="325"/>
      <c r="BA243" s="325"/>
      <c r="BB243" s="325"/>
      <c r="BC243" s="325"/>
      <c r="BD243" s="325"/>
      <c r="BE243" s="325"/>
      <c r="BF243" s="325"/>
      <c r="BG243" s="325"/>
      <c r="BH243" s="325"/>
      <c r="BI243" s="325"/>
      <c r="BJ243" s="325">
        <v>12642829.390000001</v>
      </c>
      <c r="BK243" s="325">
        <v>10796564.939999999</v>
      </c>
      <c r="BL243" s="325">
        <v>12227585.449999999</v>
      </c>
      <c r="BM243" s="325">
        <v>12665535</v>
      </c>
      <c r="BN243" s="325">
        <v>12980077</v>
      </c>
      <c r="BO243" s="325">
        <v>12919071</v>
      </c>
      <c r="BP243" s="325">
        <v>13765589</v>
      </c>
      <c r="BQ243" s="325">
        <v>14676199</v>
      </c>
      <c r="BR243" s="325">
        <v>14872583</v>
      </c>
      <c r="BS243" s="325">
        <v>15484527</v>
      </c>
      <c r="BT243" s="325">
        <v>14945141</v>
      </c>
      <c r="BU243" s="325">
        <v>15202854</v>
      </c>
      <c r="BV243" s="325">
        <v>15236698</v>
      </c>
      <c r="BW243" s="325">
        <v>6029986</v>
      </c>
      <c r="BX243" s="325">
        <v>6198882.2699999996</v>
      </c>
      <c r="BY243" s="325">
        <v>3891252</v>
      </c>
      <c r="BZ243" s="325">
        <v>10670089.92</v>
      </c>
      <c r="CA243" s="325">
        <v>13549972</v>
      </c>
      <c r="CB243" s="325">
        <v>13957279.120000001</v>
      </c>
      <c r="CC243" s="325">
        <v>13605319.220000001</v>
      </c>
      <c r="CD243" s="325">
        <v>14683913.770000001</v>
      </c>
      <c r="CE243" s="325">
        <v>24638855.529999997</v>
      </c>
      <c r="CF243" s="325">
        <v>23373238.670000002</v>
      </c>
      <c r="CG243" s="325">
        <v>19274527.069999997</v>
      </c>
      <c r="CH243" s="325">
        <v>11956316.389999999</v>
      </c>
      <c r="CI243" s="325">
        <v>12222779.01</v>
      </c>
      <c r="CJ243" s="325">
        <v>12213544.799999999</v>
      </c>
      <c r="CK243" s="325">
        <v>8789437.5599999987</v>
      </c>
      <c r="CL243" s="325">
        <v>10548236.52</v>
      </c>
      <c r="CM243" s="325">
        <v>10595008.270000003</v>
      </c>
      <c r="CN243" s="325">
        <v>13289561.669999998</v>
      </c>
      <c r="CO243" s="325">
        <v>14282619.6</v>
      </c>
      <c r="CP243" s="325">
        <v>14354643.779999999</v>
      </c>
      <c r="CQ243" s="325">
        <v>11527284.360000001</v>
      </c>
      <c r="CR243" s="325">
        <v>13382900.739999995</v>
      </c>
      <c r="CS243" s="325">
        <v>13347255.209999997</v>
      </c>
      <c r="CT243" s="325">
        <v>11038985.090000002</v>
      </c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DZ243" s="19"/>
      <c r="EA243" s="19"/>
      <c r="EB243" s="19"/>
      <c r="EC243" s="19"/>
      <c r="ED243" s="19"/>
      <c r="EE243" s="222"/>
      <c r="EF243" s="19">
        <f t="shared" ref="EF243:EY243" si="990">SUM(BK243:BM243)</f>
        <v>35689685.390000001</v>
      </c>
      <c r="EG243" s="19">
        <f t="shared" si="990"/>
        <v>37873197.450000003</v>
      </c>
      <c r="EH243" s="19">
        <f t="shared" si="990"/>
        <v>38564683</v>
      </c>
      <c r="EI243" s="19">
        <f t="shared" si="990"/>
        <v>39664737</v>
      </c>
      <c r="EJ243" s="19">
        <f t="shared" si="990"/>
        <v>41360859</v>
      </c>
      <c r="EK243" s="19">
        <f t="shared" si="990"/>
        <v>43314371</v>
      </c>
      <c r="EL243" s="19">
        <f t="shared" si="990"/>
        <v>45033309</v>
      </c>
      <c r="EM243" s="19">
        <f t="shared" si="990"/>
        <v>45302251</v>
      </c>
      <c r="EN243" s="19">
        <f t="shared" si="990"/>
        <v>45632522</v>
      </c>
      <c r="EO243" s="19">
        <f t="shared" si="990"/>
        <v>45384693</v>
      </c>
      <c r="EP243" s="19">
        <f t="shared" si="990"/>
        <v>36469538</v>
      </c>
      <c r="EQ243" s="19">
        <f t="shared" si="990"/>
        <v>27465566.27</v>
      </c>
      <c r="ER243" s="19">
        <f t="shared" si="990"/>
        <v>16120120.27</v>
      </c>
      <c r="ES243" s="19">
        <f t="shared" si="990"/>
        <v>20760224.189999998</v>
      </c>
      <c r="ET243" s="19">
        <f t="shared" si="990"/>
        <v>28111313.920000002</v>
      </c>
      <c r="EU243" s="19">
        <f t="shared" si="990"/>
        <v>38177341.040000007</v>
      </c>
      <c r="EV243" s="19">
        <f t="shared" si="990"/>
        <v>41112570.340000004</v>
      </c>
      <c r="EW243" s="19">
        <f t="shared" si="990"/>
        <v>42246512.110000007</v>
      </c>
      <c r="EX243" s="19">
        <f t="shared" si="990"/>
        <v>52928088.519999996</v>
      </c>
      <c r="EY243" s="19">
        <f t="shared" si="990"/>
        <v>62696007.969999999</v>
      </c>
      <c r="EZ243" s="19">
        <f t="shared" si="969"/>
        <v>0</v>
      </c>
      <c r="FA243" s="19">
        <f t="shared" si="970"/>
        <v>0</v>
      </c>
      <c r="FB243" s="19">
        <f t="shared" si="971"/>
        <v>0</v>
      </c>
      <c r="FC243" s="19">
        <f t="shared" si="972"/>
        <v>0</v>
      </c>
      <c r="FE243" s="19">
        <f t="shared" ref="FE243" si="991">SUM(EF243:EI243)</f>
        <v>151792302.84</v>
      </c>
      <c r="FF243" s="19">
        <f t="shared" ref="FF243" si="992">SUM(EJ243:EM243)</f>
        <v>175010790</v>
      </c>
      <c r="FG243" s="19">
        <f t="shared" ref="FG243" si="993">SUM(EN243:EQ243)</f>
        <v>154952319.27000001</v>
      </c>
      <c r="FH243" s="19">
        <f t="shared" ref="FH243" si="994">SUM(ER243:EU243)</f>
        <v>103168999.42</v>
      </c>
      <c r="FI243" s="19">
        <f t="shared" ref="FI243" si="995">SUM(EV243:EY243)</f>
        <v>198983178.94000003</v>
      </c>
      <c r="FJ243" s="770">
        <f t="shared" si="784"/>
        <v>0</v>
      </c>
      <c r="FK243" s="545" t="s">
        <v>1</v>
      </c>
    </row>
    <row r="244" spans="2:167" x14ac:dyDescent="0.2">
      <c r="B244" s="313" t="s">
        <v>353</v>
      </c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7"/>
      <c r="P244" s="327"/>
      <c r="Q244" s="327"/>
      <c r="R244" s="327"/>
      <c r="S244" s="327"/>
      <c r="T244" s="327"/>
      <c r="U244" s="327"/>
      <c r="V244" s="327"/>
      <c r="W244" s="327"/>
      <c r="X244" s="327"/>
      <c r="Y244" s="327"/>
      <c r="Z244" s="327"/>
      <c r="AA244" s="327"/>
      <c r="AB244" s="327"/>
      <c r="AC244" s="327">
        <f>(AC236+AC240)/('B2B- Non Repair'!AB47+'Offline Distribution'!AF31+'D2C Online'!T70+'D2C - Retail'!C104)*30</f>
        <v>11.368196194790416</v>
      </c>
      <c r="AD244" s="327">
        <f>(AD236+AD240)/('B2B- Non Repair'!AC47+'Offline Distribution'!AG31+'D2C Online'!U70+'D2C - Retail'!D104)*30</f>
        <v>7.7096347270362608</v>
      </c>
      <c r="AE244" s="327">
        <f>(AE236+AE240)/('B2B- Non Repair'!AD47+'Offline Distribution'!AH31+'D2C Online'!V70+'D2C - Retail'!E104)*30</f>
        <v>21.353985798611763</v>
      </c>
      <c r="AF244" s="327">
        <f>(AF236+AF240)/('B2B- Non Repair'!AE47+'Offline Distribution'!AI31+'D2C Online'!W70+'D2C - Retail'!F104)*30</f>
        <v>20.441411520930501</v>
      </c>
      <c r="AG244" s="327">
        <f>(AG236+AG240)/('B2B- Non Repair'!AF47+'Offline Distribution'!AJ31+'D2C Online'!X70+'D2C - Retail'!G104)*30</f>
        <v>66.951292454645795</v>
      </c>
      <c r="AH244" s="327">
        <f>(AH236+AH240)/('B2B- Non Repair'!AG47+'Offline Distribution'!AK31+'D2C Online'!Y70+'D2C - Retail'!H104)*30</f>
        <v>80.411116669551475</v>
      </c>
      <c r="AI244" s="327">
        <f>(AI236+AI240)/('B2B- Non Repair'!AH47+'Offline Distribution'!AL31+'D2C Online'!Z70+'D2C - Retail'!I104)*30</f>
        <v>40.604727295795378</v>
      </c>
      <c r="AJ244" s="327">
        <f>(AJ236+AJ240)/('B2B- Non Repair'!AI47+'Offline Distribution'!AM31+'D2C Online'!AA70+'D2C - Retail'!J104)*30</f>
        <v>35.98858989924144</v>
      </c>
      <c r="AK244" s="327">
        <f>(AK236+AK240)/('B2B- Non Repair'!AJ47+'Offline Distribution'!AN31+'D2C Online'!AB70+'D2C - Retail'!K104)*30</f>
        <v>24.459348189281222</v>
      </c>
      <c r="AL244" s="327">
        <f>(AL236+AL240)/('B2B- Non Repair'!AK47+'Offline Distribution'!AO31+'D2C Online'!AC70+'D2C - Retail'!L104)*30</f>
        <v>17.751440649716567</v>
      </c>
      <c r="AM244" s="327">
        <f>(AM236+AM240)/('B2B- Non Repair'!AL47+'Offline Distribution'!AP31+'D2C Online'!AD70+'D2C - Retail'!M104)*30</f>
        <v>17.011819480161297</v>
      </c>
      <c r="AN244" s="327">
        <f>(AN236+AN240)/('B2B- Non Repair'!AM47+'Offline Distribution'!AQ31+'D2C Online'!AE70+'D2C - Retail'!N104)*30</f>
        <v>32.011416257078444</v>
      </c>
      <c r="AO244" s="327">
        <f>(AO236+AO240)/('B2B- Non Repair'!AN47+'Offline Distribution'!AR31+'D2C Online'!AF70+'D2C - Retail'!O104)*30</f>
        <v>51.046285137451953</v>
      </c>
      <c r="AP244" s="327">
        <f>(AP236+AP240)/('B2B- Non Repair'!AO47+'Offline Distribution'!AS31+'D2C Online'!AG70+'D2C - Retail'!P104)*30</f>
        <v>22.284534852784997</v>
      </c>
      <c r="AQ244" s="327">
        <f>(AQ236+AQ240)/('B2B- Non Repair'!AP47+'Offline Distribution'!AT31+'D2C Online'!AH70+'D2C - Retail'!Q104)*30</f>
        <v>30.139420102063987</v>
      </c>
      <c r="AR244" s="327">
        <f>(AR236+AR240)/('B2B- Non Repair'!AQ47+'Offline Distribution'!AU31+'D2C Online'!AI70+'D2C - Retail'!R104)*30</f>
        <v>28.620258024252269</v>
      </c>
      <c r="AS244" s="327">
        <f>(AS236+AS240)/('B2B- Non Repair'!AR47+'Offline Distribution'!AV31+'D2C Online'!AJ70+'D2C - Retail'!S104)*30</f>
        <v>66.494215043841706</v>
      </c>
      <c r="AT244" s="327">
        <f>(AT236+AT240)/('B2B- Non Repair'!AS47+'Offline Distribution'!AW31+'D2C Online'!AK70+'D2C - Retail'!T104)*30</f>
        <v>88.947770057380396</v>
      </c>
      <c r="AU244" s="327">
        <f>(AU236+AU240)/('B2B- Non Repair'!AT47+'Offline Distribution'!AX31+'D2C Online'!AL70+'D2C - Retail'!U104)*30</f>
        <v>75.431795219084918</v>
      </c>
      <c r="AV244" s="327">
        <f>(AV236+AV240)/('B2B- Non Repair'!AU47+'Offline Distribution'!AY31+'D2C Online'!AM70+'D2C - Retail'!V104)*30</f>
        <v>55.447317925172314</v>
      </c>
      <c r="AW244" s="327">
        <f>(AW236+AW240)/('B2B- Non Repair'!AV47+'Offline Distribution'!AZ31+'D2C Online'!AN70+'D2C - Retail'!W104)*30</f>
        <v>57.652919425139885</v>
      </c>
      <c r="AX244" s="327">
        <f>(AX236+AX240)/('B2B- Non Repair'!AW47+'Offline Distribution'!BA31+'D2C Online'!AO70+'D2C - Retail'!X104)*30</f>
        <v>68.721601559636625</v>
      </c>
      <c r="AY244" s="327">
        <f>(AY236+AY240)/('B2B- Non Repair'!AX47+'Offline Distribution'!BB31+'D2C Online'!AP70+'D2C - Retail'!Y104)*30</f>
        <v>85.106132950617379</v>
      </c>
      <c r="AZ244" s="327">
        <f>(AZ236+AZ240)/('B2B- Non Repair'!AY47+'Offline Distribution'!BC31+'D2C Online'!AQ70+'D2C - Retail'!Z104)*30</f>
        <v>68.191744769341909</v>
      </c>
      <c r="BA244" s="327">
        <f>(BA236+BA240)/('B2B- Non Repair'!AZ47+'Offline Distribution'!BD31+'D2C Online'!AR70+'D2C - Retail'!AA104)*30</f>
        <v>44.126435297900315</v>
      </c>
      <c r="BB244" s="327">
        <f>(BB236+BB240)/('B2B- Non Repair'!BA47+'Offline Distribution'!BE31+'D2C Online'!AS70+'D2C - Retail'!AB104)*30</f>
        <v>56.074567166099257</v>
      </c>
      <c r="BC244" s="327">
        <f>(BC236+BC240)/('B2B- Non Repair'!BB47+'Offline Distribution'!BF31+'D2C Online'!AT70+'D2C - Retail'!AC104)*30</f>
        <v>55.047844350507496</v>
      </c>
      <c r="BD244" s="327">
        <f>(BD236+BD240)/('B2B- Non Repair'!BC47+'Offline Distribution'!BG31+'D2C Online'!AU70+'D2C - Retail'!AD104)*30</f>
        <v>50.915025274884634</v>
      </c>
      <c r="BE244" s="327">
        <f>(BE236+BE240)/('B2B- Non Repair'!BD47+'Offline Distribution'!BH31+'D2C Online'!AV70+'D2C - Retail'!AE104)*30</f>
        <v>71.304881470061474</v>
      </c>
      <c r="BF244" s="327">
        <f>(BF236+BF240)/('B2B- Non Repair'!BE47+'Offline Distribution'!BI31+'D2C Online'!AW70+'D2C - Retail'!AF104)*30</f>
        <v>67.025535925262332</v>
      </c>
      <c r="BG244" s="327">
        <f>(BG236+BG240)/('B2B- Non Repair'!BF47+'Offline Distribution'!BJ31+'D2C Online'!AX70+'D2C - Retail'!AG104)*30</f>
        <v>57.031914246852608</v>
      </c>
      <c r="BH244" s="327">
        <f>(BH236+BH240)/('B2B- Non Repair'!BG47+'Offline Distribution'!BK31+'D2C Online'!AY70+'D2C - Retail'!AH104)*30</f>
        <v>43.473247977705718</v>
      </c>
      <c r="BI244" s="327">
        <f>(BI236+BI240)/('B2B- Non Repair'!BH47+'Offline Distribution'!BL31+'D2C Online'!AZ70+'D2C - Retail'!AI104)*30</f>
        <v>59.679170011238263</v>
      </c>
      <c r="BJ244" s="327">
        <f>(BJ236+BJ240)/('B2B- Non Repair'!BI47+'Offline Distribution'!BM31+'D2C Online'!BA70+'D2C - Retail'!AJ104)*30</f>
        <v>57.526833252385444</v>
      </c>
      <c r="BK244" s="327">
        <f>(BK236+BK240)/('B2B- Non Repair'!BJ47+'Offline Distribution'!BN31+'D2C Online'!BB70+'D2C - Retail'!AK104)*30</f>
        <v>48.516103571742526</v>
      </c>
      <c r="BL244" s="327">
        <f>(BL236+BL240)/('B2B- Non Repair'!BK47+'Offline Distribution'!BO31+'D2C Online'!BC70+'D2C - Retail'!AL104)*30</f>
        <v>45.669019982726773</v>
      </c>
      <c r="BM244" s="327">
        <f>(BM236+BM240)/('B2B- Non Repair'!BL47+'Offline Distribution'!BP31+'D2C Online'!BD70+'D2C - Retail'!AM104)*30</f>
        <v>39.004128661228279</v>
      </c>
      <c r="BN244" s="327">
        <f>(BN236+BN240)/('B2B- Non Repair'!BM47+'Offline Distribution'!BQ31+'D2C Online'!BE70+'D2C - Retail'!AN104)*30</f>
        <v>49.407552273314373</v>
      </c>
      <c r="BO244" s="327">
        <f>(BO236+BO240)/('B2B- Non Repair'!BN47+'Offline Distribution'!BR31+'D2C Online'!BF70+'D2C - Retail'!AO104)*30</f>
        <v>64.025291519457454</v>
      </c>
      <c r="BP244" s="327">
        <f>(BP236+BP240)/('B2B- Non Repair'!BO47+'Offline Distribution'!BS31+'D2C Online'!BG70+'D2C - Retail'!AP104)*30</f>
        <v>56.332259121920067</v>
      </c>
      <c r="BQ244" s="327">
        <f>(BQ236+BQ240)/('B2B- Non Repair'!BP47+'Offline Distribution'!BT31+'D2C Online'!BH70+'D2C - Retail'!AQ104)*30</f>
        <v>50.86826568238881</v>
      </c>
      <c r="BR244" s="327">
        <f>(BR236+BR240)/('B2B- Non Repair'!BQ47+'Offline Distribution'!BU31+'D2C Online'!BI70+'D2C - Retail'!AR104)*30</f>
        <v>61.122121255975216</v>
      </c>
      <c r="BS244" s="327">
        <f>(BS236+BS240)/('B2B- Non Repair'!BR47+'Offline Distribution'!BV31+'D2C Online'!BJ70+'D2C - Retail'!AS104)*30</f>
        <v>47.871404218353142</v>
      </c>
      <c r="BT244" s="327">
        <f>(BT236+BT240)/('B2B- Non Repair'!BS47+'Offline Distribution'!BW31+'D2C Online'!BK70+'D2C - Retail'!AT104)*30</f>
        <v>44.072870186804586</v>
      </c>
      <c r="BU244" s="327">
        <f>(BU236+BU240)/('B2B- Non Repair'!BT47+'Offline Distribution'!BX31+'D2C Online'!BL70+'D2C - Retail'!AU104)*30</f>
        <v>47.042803028849903</v>
      </c>
      <c r="BV244" s="327">
        <f>(BV236+BV240)/('B2B- Non Repair'!BU47+'Offline Distribution'!BY31+'D2C Online'!BM70+'D2C - Retail'!AV104)*30</f>
        <v>38.809934020391928</v>
      </c>
      <c r="BW244" s="327">
        <f>(BW236+BW240)/('B2B- Non Repair'!BV47+'Offline Distribution'!BZ31+'D2C Online'!BN70+'D2C - Retail'!AW104)*30</f>
        <v>37.687022128692931</v>
      </c>
      <c r="BX244" s="327">
        <f>(BX236+BX240)/('B2B- Non Repair'!BW47+'Offline Distribution'!CA31+'D2C Online'!BO70+'D2C - Retail'!AX104)*30</f>
        <v>35.313710312528436</v>
      </c>
      <c r="BY244" s="327">
        <f>(BY236+BY240)/('B2B- Non Repair'!BX47+'Offline Distribution'!CB31+'D2C Online'!BP70+'D2C - Retail'!AY104)*30</f>
        <v>30.205216892284923</v>
      </c>
      <c r="BZ244" s="327">
        <f>(BZ236+BZ240)/('B2B- Non Repair'!BY47+'Offline Distribution'!CC31+'D2C Online'!BQ70+'D2C - Retail'!AZ104)*30</f>
        <v>30.149893012192258</v>
      </c>
      <c r="CA244" s="327">
        <f>(CA236+CA240)/('B2B- Non Repair'!BZ47+'Offline Distribution'!CD31+'D2C Online'!BR70+'D2C - Retail'!BA104)*30</f>
        <v>29.825329343246246</v>
      </c>
      <c r="CB244" s="327">
        <f>(CB236+CB240)/('B2B- Non Repair'!CA47+'Offline Distribution'!CE31+'D2C Online'!BS70+'D2C - Retail'!BB104)*30</f>
        <v>33.720120867601679</v>
      </c>
      <c r="CC244" s="327">
        <f>(CC236+CC240)/('B2B- Non Repair'!CB47+'Offline Distribution'!CF31+'D2C Online'!BT70+'D2C - Retail'!BC104)*30</f>
        <v>57.477287083436629</v>
      </c>
      <c r="CD244" s="327">
        <f>(CD236+CD240)/('B2B- Non Repair'!CC47+'Offline Distribution'!CG31+'D2C Online'!BU70+'D2C - Retail'!BD104)*30</f>
        <v>69.814331086756951</v>
      </c>
      <c r="CE244" s="327">
        <f>(CE236+CE240)/('B2B- Non Repair'!CD47+'Offline Distribution'!CH31+'D2C Online'!BV70+'D2C - Retail'!BE104)*30</f>
        <v>61.814409422992789</v>
      </c>
      <c r="CF244" s="327">
        <f>(CF236+CF240)/('B2B- Non Repair'!CE47+'Offline Distribution'!CI31+'D2C Online'!BW70+'D2C - Retail'!BF104)*30</f>
        <v>61.815910066252179</v>
      </c>
      <c r="CG244" s="327">
        <f>(CG236+CG240)/('B2B- Non Repair'!CF47+'Offline Distribution'!CJ31+'D2C Online'!BX70+'D2C - Retail'!BG104)*30</f>
        <v>60.85695268894159</v>
      </c>
      <c r="CH244" s="327">
        <f>(CH236+CH240)/('B2B- Non Repair'!CG47+'Offline Distribution'!CK31+'D2C Online'!BY70+'D2C - Retail'!BH104)*30</f>
        <v>39.630902499868313</v>
      </c>
      <c r="CI244" s="327">
        <f>(CI236+CI240)/('B2B- Non Repair'!CH47+'Offline Distribution'!CL31+'D2C Online'!BZ70+'D2C - Retail'!BI104)*30</f>
        <v>36.586849413362778</v>
      </c>
      <c r="CJ244" s="327">
        <f>(CJ236+CJ240)/('B2B- Non Repair'!CI47+'Offline Distribution'!CM31+'D2C Online'!CA70+'D2C - Retail'!BJ104)*30</f>
        <v>41.981302083714475</v>
      </c>
      <c r="CK244" s="327">
        <f>(CK236+CK240)/('B2B- Non Repair'!CJ47+'Offline Distribution'!CN31+'D2C Online'!CB70+'D2C - Retail'!BK104)*30</f>
        <v>39.858812643241222</v>
      </c>
      <c r="CL244" s="327">
        <f>(CL236+CL240)/('B2B- Non Repair'!CK47+'Offline Distribution'!CO31+'D2C Online'!CC70+'D2C - Retail'!BL104)*30</f>
        <v>33.107987945740561</v>
      </c>
      <c r="CM244" s="327">
        <f>(CM236+CM240)/('B2B- Non Repair'!CL47+'Offline Distribution'!CP31+'D2C Online'!CD70+'D2C - Retail'!BM104)*30</f>
        <v>32.349647020315018</v>
      </c>
      <c r="CN244" s="327">
        <f>(CN236+CN240)/('B2B- Non Repair'!CM47+'Offline Distribution'!CQ31+'D2C Online'!CE70+'D2C - Retail'!BN104)*30</f>
        <v>41.173397163913116</v>
      </c>
      <c r="CO244" s="327">
        <f>(CO236+CO240)/('B2B- Non Repair'!CN47+'Offline Distribution'!CR31+'D2C Online'!CF70+'D2C - Retail'!BO104)*30</f>
        <v>65.185293333960615</v>
      </c>
      <c r="CP244" s="327">
        <f>(CP236+CP240)/('B2B- Non Repair'!CO47+'Offline Distribution'!CS31+'D2C Online'!CG70+'D2C - Retail'!BP104)*30</f>
        <v>72.671219223263563</v>
      </c>
      <c r="CQ244" s="327">
        <f>(CQ236+CQ240)/('B2B- Non Repair'!CP47+'Offline Distribution'!CT31+'D2C Online'!CH70+'D2C - Retail'!BQ104)*30</f>
        <v>54.150361655669393</v>
      </c>
      <c r="CR244" s="327">
        <f>(CR236+CR240)/('B2B- Non Repair'!CQ47+'Offline Distribution'!CU31+'D2C Online'!CI70+'D2C - Retail'!BR104)*30</f>
        <v>47.513909602074712</v>
      </c>
      <c r="CS244" s="327">
        <f>(CS236+CS240)/('B2B- Non Repair'!CR47+'Offline Distribution'!CV31+'D2C Online'!CJ70+'D2C - Retail'!BS104)*30</f>
        <v>48.322651467709328</v>
      </c>
      <c r="CT244" s="327">
        <f>(CT236+CT240)/('B2B- Non Repair'!CS47+'Offline Distribution'!CW31+'D2C Online'!CK70+'D2C - Retail'!BT104)*30</f>
        <v>44.434805222722922</v>
      </c>
      <c r="CU244" s="19">
        <f>'P&amp;L - Inputs'!CT778</f>
        <v>36.586849413362778</v>
      </c>
      <c r="CV244" s="19">
        <f>'P&amp;L - Inputs'!CU778</f>
        <v>41.981302083714475</v>
      </c>
      <c r="CW244" s="19">
        <f>'P&amp;L - Inputs'!CV778</f>
        <v>39.858812643241222</v>
      </c>
      <c r="CX244" s="19">
        <f>'P&amp;L - Inputs'!CW778</f>
        <v>33.107987945740561</v>
      </c>
      <c r="CY244" s="19">
        <f>'P&amp;L - Inputs'!CX778</f>
        <v>32.349647020315018</v>
      </c>
      <c r="CZ244" s="19">
        <f>'P&amp;L - Inputs'!CY778</f>
        <v>41.173397163913116</v>
      </c>
      <c r="DA244" s="19">
        <f>'P&amp;L - Inputs'!CZ778</f>
        <v>65.185293333960615</v>
      </c>
      <c r="DB244" s="19">
        <f>'P&amp;L - Inputs'!DA778</f>
        <v>72.671219223263563</v>
      </c>
      <c r="DC244" s="19">
        <f>'P&amp;L - Inputs'!DB778</f>
        <v>54.150361655669393</v>
      </c>
      <c r="DD244" s="19">
        <f>'P&amp;L - Inputs'!DC778</f>
        <v>47.513909602074712</v>
      </c>
      <c r="DE244" s="19">
        <f>'P&amp;L - Inputs'!DD778</f>
        <v>48.322651467709328</v>
      </c>
      <c r="DF244" s="19">
        <f>'P&amp;L - Inputs'!DE778</f>
        <v>44.434805222722922</v>
      </c>
      <c r="DG244" s="19">
        <f>'P&amp;L - Inputs'!DF778</f>
        <v>36.586849413362778</v>
      </c>
      <c r="DH244" s="19">
        <f>'P&amp;L - Inputs'!DG778</f>
        <v>41.981302083714475</v>
      </c>
      <c r="DI244" s="19">
        <f>'P&amp;L - Inputs'!DH778</f>
        <v>39.858812643241222</v>
      </c>
      <c r="DJ244" s="19">
        <f>'P&amp;L - Inputs'!DI778</f>
        <v>33.107987945740561</v>
      </c>
      <c r="DK244" s="19">
        <f>'P&amp;L - Inputs'!DJ778</f>
        <v>32.349647020315018</v>
      </c>
      <c r="DL244" s="19">
        <f>'P&amp;L - Inputs'!DK778</f>
        <v>41.173397163913116</v>
      </c>
      <c r="DM244" s="19">
        <f>'P&amp;L - Inputs'!DL778</f>
        <v>65.185293333960615</v>
      </c>
      <c r="DN244" s="19">
        <f>'P&amp;L - Inputs'!DM778</f>
        <v>72.671219223263563</v>
      </c>
      <c r="DO244" s="19">
        <f>'P&amp;L - Inputs'!DN778</f>
        <v>54.150361655669393</v>
      </c>
      <c r="DP244" s="19">
        <f>'P&amp;L - Inputs'!DO778</f>
        <v>47.513909602074712</v>
      </c>
      <c r="DQ244" s="19">
        <f>'P&amp;L - Inputs'!DP778</f>
        <v>48.322651467709328</v>
      </c>
      <c r="DR244" s="19">
        <f>'P&amp;L - Inputs'!DQ778</f>
        <v>44.434805222722922</v>
      </c>
      <c r="DS244" s="19">
        <f>'P&amp;L - Inputs'!DR778</f>
        <v>0</v>
      </c>
      <c r="DT244" s="19">
        <f>'P&amp;L - Inputs'!DS778</f>
        <v>0</v>
      </c>
      <c r="DU244" s="19">
        <f>'P&amp;L - Inputs'!DT778</f>
        <v>0</v>
      </c>
      <c r="DV244" s="19">
        <f>'P&amp;L - Inputs'!DU778</f>
        <v>0</v>
      </c>
      <c r="DW244" s="19">
        <f>'P&amp;L - Inputs'!DV778</f>
        <v>0</v>
      </c>
      <c r="DX244" s="19">
        <f>'P&amp;L - Inputs'!DW778</f>
        <v>0</v>
      </c>
      <c r="DY244" s="19">
        <f>'P&amp;L - Inputs'!DX778</f>
        <v>0</v>
      </c>
      <c r="DZ244" s="19">
        <f>'P&amp;L - Inputs'!DY778</f>
        <v>0</v>
      </c>
      <c r="EA244" s="19">
        <f>'P&amp;L - Inputs'!DZ778</f>
        <v>0</v>
      </c>
      <c r="EB244" s="19">
        <f>'P&amp;L - Inputs'!EA778</f>
        <v>0</v>
      </c>
      <c r="EC244" s="19">
        <f>'P&amp;L - Inputs'!EB778</f>
        <v>0</v>
      </c>
      <c r="ED244" s="19">
        <f>'P&amp;L - Inputs'!EC778</f>
        <v>0</v>
      </c>
      <c r="EE244" s="222"/>
      <c r="EF244" s="19">
        <f>BM244</f>
        <v>39.004128661228279</v>
      </c>
      <c r="EG244" s="19">
        <f>BP244</f>
        <v>56.332259121920067</v>
      </c>
      <c r="EH244" s="19">
        <f>BS244</f>
        <v>47.871404218353142</v>
      </c>
      <c r="EI244" s="19">
        <f>BV244</f>
        <v>38.809934020391928</v>
      </c>
      <c r="EJ244" s="19">
        <f>BY244</f>
        <v>30.205216892284923</v>
      </c>
      <c r="EK244" s="19">
        <f>CB244</f>
        <v>33.720120867601679</v>
      </c>
      <c r="EL244" s="19">
        <f>CE244</f>
        <v>61.814409422992789</v>
      </c>
      <c r="EM244" s="19">
        <f>CH244</f>
        <v>39.630902499868313</v>
      </c>
      <c r="EN244" s="19">
        <f>CK244</f>
        <v>39.858812643241222</v>
      </c>
      <c r="EO244" s="19">
        <f>CN244</f>
        <v>41.173397163913116</v>
      </c>
      <c r="EP244" s="19">
        <f>CQ244</f>
        <v>54.150361655669393</v>
      </c>
      <c r="EQ244" s="19">
        <f>CT244</f>
        <v>44.434805222722922</v>
      </c>
      <c r="ER244" s="19">
        <f>CW244</f>
        <v>39.858812643241222</v>
      </c>
      <c r="ES244" s="19">
        <f>CZ244</f>
        <v>41.173397163913116</v>
      </c>
      <c r="ET244" s="19">
        <f>DC244</f>
        <v>54.150361655669393</v>
      </c>
      <c r="EU244" s="19">
        <f>DF244</f>
        <v>44.434805222722922</v>
      </c>
      <c r="EV244" s="19">
        <f>DI244</f>
        <v>39.858812643241222</v>
      </c>
      <c r="EW244" s="19">
        <f>DL244</f>
        <v>41.173397163913116</v>
      </c>
      <c r="EX244" s="19">
        <f>DO244</f>
        <v>54.150361655669393</v>
      </c>
      <c r="EY244" s="19">
        <f>DR244</f>
        <v>44.434805222722922</v>
      </c>
      <c r="EZ244" s="19"/>
      <c r="FA244" s="19"/>
      <c r="FB244" s="19"/>
      <c r="FC244" s="19"/>
      <c r="FE244" s="19">
        <f t="shared" ref="FE244" si="996">EI244</f>
        <v>38.809934020391928</v>
      </c>
      <c r="FF244" s="19">
        <f t="shared" ref="FF244" si="997">EM244</f>
        <v>39.630902499868313</v>
      </c>
      <c r="FG244" s="19">
        <f t="shared" ref="FG244" si="998">EQ244</f>
        <v>44.434805222722922</v>
      </c>
      <c r="FH244" s="19">
        <f t="shared" ref="FH244" si="999">EU244</f>
        <v>44.434805222722922</v>
      </c>
      <c r="FI244" s="19">
        <f t="shared" ref="FI244" si="1000">EY244</f>
        <v>44.434805222722922</v>
      </c>
      <c r="FJ244" s="770">
        <f t="shared" si="784"/>
        <v>0</v>
      </c>
      <c r="FK244" s="545" t="s">
        <v>1</v>
      </c>
    </row>
    <row r="245" spans="2:167" hidden="1" x14ac:dyDescent="0.2">
      <c r="B245" s="313" t="s">
        <v>354</v>
      </c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7"/>
      <c r="P245" s="327"/>
      <c r="Q245" s="327"/>
      <c r="R245" s="327"/>
      <c r="S245" s="327"/>
      <c r="T245" s="327"/>
      <c r="U245" s="327"/>
      <c r="V245" s="327"/>
      <c r="W245" s="327"/>
      <c r="X245" s="327"/>
      <c r="Y245" s="327"/>
      <c r="Z245" s="327"/>
      <c r="AA245" s="327"/>
      <c r="AB245" s="327"/>
      <c r="AC245" s="327"/>
      <c r="AD245" s="327"/>
      <c r="AE245" s="327"/>
      <c r="AF245" s="327"/>
      <c r="AG245" s="327"/>
      <c r="AH245" s="327"/>
      <c r="AI245" s="327"/>
      <c r="AJ245" s="327"/>
      <c r="AK245" s="327"/>
      <c r="AL245" s="327"/>
      <c r="AM245" s="327">
        <f>AM237/(AM79+AM80)*30</f>
        <v>24.491547296425345</v>
      </c>
      <c r="AN245" s="327">
        <f t="shared" ref="AN245:CT245" si="1001">AN237/(AN79+AN80)*30</f>
        <v>66.239731142643762</v>
      </c>
      <c r="AO245" s="327">
        <f t="shared" si="1001"/>
        <v>32.697572411706879</v>
      </c>
      <c r="AP245" s="327">
        <f t="shared" si="1001"/>
        <v>16.2757793764988</v>
      </c>
      <c r="AQ245" s="327">
        <f t="shared" si="1001"/>
        <v>27.890987450880971</v>
      </c>
      <c r="AR245" s="327">
        <f t="shared" si="1001"/>
        <v>27.36198893288925</v>
      </c>
      <c r="AS245" s="327">
        <f t="shared" si="1001"/>
        <v>78.696631159608557</v>
      </c>
      <c r="AT245" s="327">
        <f t="shared" si="1001"/>
        <v>83.501122986806308</v>
      </c>
      <c r="AU245" s="327">
        <f t="shared" si="1001"/>
        <v>60.033323065722044</v>
      </c>
      <c r="AV245" s="327">
        <f t="shared" si="1001"/>
        <v>52.728800840462256</v>
      </c>
      <c r="AW245" s="327">
        <f t="shared" si="1001"/>
        <v>44.394921133582045</v>
      </c>
      <c r="AX245" s="327">
        <f t="shared" si="1001"/>
        <v>50.873569927620828</v>
      </c>
      <c r="AY245" s="327">
        <f t="shared" si="1001"/>
        <v>58.081075874874244</v>
      </c>
      <c r="AZ245" s="327">
        <f t="shared" si="1001"/>
        <v>35.262333594361785</v>
      </c>
      <c r="BA245" s="327">
        <f t="shared" si="1001"/>
        <v>36.527907252665301</v>
      </c>
      <c r="BB245" s="327">
        <f t="shared" si="1001"/>
        <v>34.131354128232054</v>
      </c>
      <c r="BC245" s="327">
        <f t="shared" si="1001"/>
        <v>41.977325267514779</v>
      </c>
      <c r="BD245" s="327">
        <f t="shared" si="1001"/>
        <v>40.241872937836028</v>
      </c>
      <c r="BE245" s="327">
        <f t="shared" si="1001"/>
        <v>69.143914531108166</v>
      </c>
      <c r="BF245" s="327">
        <f t="shared" si="1001"/>
        <v>59.814146399086482</v>
      </c>
      <c r="BG245" s="327">
        <f t="shared" si="1001"/>
        <v>32.612175447441395</v>
      </c>
      <c r="BH245" s="327">
        <f t="shared" si="1001"/>
        <v>32.182945024675774</v>
      </c>
      <c r="BI245" s="327">
        <f t="shared" si="1001"/>
        <v>48.067453579448973</v>
      </c>
      <c r="BJ245" s="327">
        <f t="shared" si="1001"/>
        <v>37.988674424225685</v>
      </c>
      <c r="BK245" s="327">
        <f t="shared" si="1001"/>
        <v>40.809077928496897</v>
      </c>
      <c r="BL245" s="327">
        <f t="shared" si="1001"/>
        <v>35.491515506143948</v>
      </c>
      <c r="BM245" s="327">
        <f t="shared" si="1001"/>
        <v>41.314076081567897</v>
      </c>
      <c r="BN245" s="327">
        <f t="shared" si="1001"/>
        <v>48.557250146476576</v>
      </c>
      <c r="BO245" s="327">
        <f t="shared" si="1001"/>
        <v>58.931124530765466</v>
      </c>
      <c r="BP245" s="327">
        <f t="shared" si="1001"/>
        <v>47.615721383245614</v>
      </c>
      <c r="BQ245" s="327">
        <f t="shared" si="1001"/>
        <v>56.742521439665069</v>
      </c>
      <c r="BR245" s="327">
        <f t="shared" si="1001"/>
        <v>49.150859695282385</v>
      </c>
      <c r="BS245" s="327">
        <f t="shared" si="1001"/>
        <v>49.251525796259592</v>
      </c>
      <c r="BT245" s="327">
        <f t="shared" si="1001"/>
        <v>43.678471846518789</v>
      </c>
      <c r="BU245" s="327">
        <f t="shared" si="1001"/>
        <v>42.190067006522561</v>
      </c>
      <c r="BV245" s="327">
        <f t="shared" si="1001"/>
        <v>36.728147235361931</v>
      </c>
      <c r="BW245" s="327">
        <f t="shared" si="1001"/>
        <v>34.296533251112869</v>
      </c>
      <c r="BX245" s="327">
        <f t="shared" si="1001"/>
        <v>31.791036746112876</v>
      </c>
      <c r="BY245" s="327">
        <f t="shared" si="1001"/>
        <v>27.736944947385407</v>
      </c>
      <c r="BZ245" s="327">
        <f t="shared" si="1001"/>
        <v>23.225907931070644</v>
      </c>
      <c r="CA245" s="327">
        <f t="shared" si="1001"/>
        <v>24.192635697802746</v>
      </c>
      <c r="CB245" s="327">
        <f t="shared" si="1001"/>
        <v>24.741027868742901</v>
      </c>
      <c r="CC245" s="327">
        <f t="shared" si="1001"/>
        <v>50.235941320293392</v>
      </c>
      <c r="CD245" s="327">
        <f t="shared" si="1001"/>
        <v>59.080141029196213</v>
      </c>
      <c r="CE245" s="327">
        <f t="shared" si="1001"/>
        <v>48.557573288626358</v>
      </c>
      <c r="CF245" s="327">
        <f t="shared" si="1001"/>
        <v>46.750865928867114</v>
      </c>
      <c r="CG245" s="327">
        <f t="shared" si="1001"/>
        <v>48.515860291583628</v>
      </c>
      <c r="CH245" s="327">
        <f t="shared" si="1001"/>
        <v>28.153263664457079</v>
      </c>
      <c r="CI245" s="327">
        <f t="shared" si="1001"/>
        <v>32.687287249725273</v>
      </c>
      <c r="CJ245" s="327">
        <f t="shared" si="1001"/>
        <v>32.325433413414714</v>
      </c>
      <c r="CK245" s="327">
        <f t="shared" si="1001"/>
        <v>33.797036616263426</v>
      </c>
      <c r="CL245" s="327">
        <f t="shared" si="1001"/>
        <v>30.398214402940983</v>
      </c>
      <c r="CM245" s="327">
        <f t="shared" si="1001"/>
        <v>29.423674667587637</v>
      </c>
      <c r="CN245" s="327">
        <f t="shared" si="1001"/>
        <v>34.898144504646304</v>
      </c>
      <c r="CO245" s="327">
        <f t="shared" si="1001"/>
        <v>52.269240119938409</v>
      </c>
      <c r="CP245" s="327">
        <f t="shared" si="1001"/>
        <v>48.841983742546688</v>
      </c>
      <c r="CQ245" s="327">
        <f t="shared" si="1001"/>
        <v>36.641202512097188</v>
      </c>
      <c r="CR245" s="327">
        <f t="shared" si="1001"/>
        <v>38.113976420816876</v>
      </c>
      <c r="CS245" s="327">
        <f t="shared" si="1001"/>
        <v>36.528346195484453</v>
      </c>
      <c r="CT245" s="327">
        <f t="shared" si="1001"/>
        <v>32.606325635589307</v>
      </c>
      <c r="CU245" s="19">
        <f>CT245</f>
        <v>32.606325635589307</v>
      </c>
      <c r="CV245" s="19">
        <f t="shared" ref="CV245:DR245" si="1002">CU245</f>
        <v>32.606325635589307</v>
      </c>
      <c r="CW245" s="19">
        <f t="shared" si="1002"/>
        <v>32.606325635589307</v>
      </c>
      <c r="CX245" s="19">
        <f t="shared" si="1002"/>
        <v>32.606325635589307</v>
      </c>
      <c r="CY245" s="19">
        <f t="shared" si="1002"/>
        <v>32.606325635589307</v>
      </c>
      <c r="CZ245" s="19">
        <f t="shared" si="1002"/>
        <v>32.606325635589307</v>
      </c>
      <c r="DA245" s="19">
        <f t="shared" si="1002"/>
        <v>32.606325635589307</v>
      </c>
      <c r="DB245" s="19">
        <f t="shared" si="1002"/>
        <v>32.606325635589307</v>
      </c>
      <c r="DC245" s="19">
        <f t="shared" si="1002"/>
        <v>32.606325635589307</v>
      </c>
      <c r="DD245" s="19">
        <f t="shared" si="1002"/>
        <v>32.606325635589307</v>
      </c>
      <c r="DE245" s="19">
        <f t="shared" si="1002"/>
        <v>32.606325635589307</v>
      </c>
      <c r="DF245" s="19">
        <f t="shared" si="1002"/>
        <v>32.606325635589307</v>
      </c>
      <c r="DG245" s="19">
        <f t="shared" si="1002"/>
        <v>32.606325635589307</v>
      </c>
      <c r="DH245" s="19">
        <f t="shared" si="1002"/>
        <v>32.606325635589307</v>
      </c>
      <c r="DI245" s="19">
        <f t="shared" si="1002"/>
        <v>32.606325635589307</v>
      </c>
      <c r="DJ245" s="19">
        <f t="shared" si="1002"/>
        <v>32.606325635589307</v>
      </c>
      <c r="DK245" s="19">
        <f t="shared" si="1002"/>
        <v>32.606325635589307</v>
      </c>
      <c r="DL245" s="19">
        <f t="shared" si="1002"/>
        <v>32.606325635589307</v>
      </c>
      <c r="DM245" s="19">
        <f t="shared" si="1002"/>
        <v>32.606325635589307</v>
      </c>
      <c r="DN245" s="19">
        <f t="shared" si="1002"/>
        <v>32.606325635589307</v>
      </c>
      <c r="DO245" s="19">
        <f t="shared" si="1002"/>
        <v>32.606325635589307</v>
      </c>
      <c r="DP245" s="19">
        <f t="shared" si="1002"/>
        <v>32.606325635589307</v>
      </c>
      <c r="DQ245" s="19">
        <f t="shared" si="1002"/>
        <v>32.606325635589307</v>
      </c>
      <c r="DR245" s="19">
        <f t="shared" si="1002"/>
        <v>32.606325635589307</v>
      </c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19"/>
      <c r="ED245" s="19"/>
      <c r="EE245" s="222"/>
      <c r="EF245" s="19">
        <f t="shared" ref="EF245:EY245" si="1003">SUM(BK245:BM245)</f>
        <v>117.61466951620875</v>
      </c>
      <c r="EG245" s="19">
        <f t="shared" si="1003"/>
        <v>125.36284173418842</v>
      </c>
      <c r="EH245" s="19">
        <f t="shared" si="1003"/>
        <v>148.80245075880993</v>
      </c>
      <c r="EI245" s="19">
        <f t="shared" si="1003"/>
        <v>155.10409606048765</v>
      </c>
      <c r="EJ245" s="19">
        <f t="shared" si="1003"/>
        <v>163.28936735367614</v>
      </c>
      <c r="EK245" s="19">
        <f t="shared" si="1003"/>
        <v>153.50910251819306</v>
      </c>
      <c r="EL245" s="19">
        <f t="shared" si="1003"/>
        <v>155.14490693120703</v>
      </c>
      <c r="EM245" s="19">
        <f t="shared" si="1003"/>
        <v>142.08085733806075</v>
      </c>
      <c r="EN245" s="19">
        <f t="shared" si="1003"/>
        <v>135.12006464930093</v>
      </c>
      <c r="EO245" s="19">
        <f t="shared" si="1003"/>
        <v>122.59668608840327</v>
      </c>
      <c r="EP245" s="19">
        <f t="shared" si="1003"/>
        <v>113.21474749299736</v>
      </c>
      <c r="EQ245" s="19">
        <f t="shared" si="1003"/>
        <v>102.81571723258769</v>
      </c>
      <c r="ER245" s="19">
        <f t="shared" si="1003"/>
        <v>93.824514944611153</v>
      </c>
      <c r="ES245" s="19">
        <f t="shared" si="1003"/>
        <v>82.753889624568927</v>
      </c>
      <c r="ET245" s="19">
        <f t="shared" si="1003"/>
        <v>75.15548857625879</v>
      </c>
      <c r="EU245" s="19">
        <f t="shared" si="1003"/>
        <v>72.159571497616298</v>
      </c>
      <c r="EV245" s="19">
        <f t="shared" si="1003"/>
        <v>99.169604886839039</v>
      </c>
      <c r="EW245" s="19">
        <f t="shared" si="1003"/>
        <v>134.05711021823251</v>
      </c>
      <c r="EX245" s="19">
        <f t="shared" si="1003"/>
        <v>157.87365563811596</v>
      </c>
      <c r="EY245" s="19">
        <f t="shared" si="1003"/>
        <v>154.38858024668968</v>
      </c>
      <c r="EZ245" s="19"/>
      <c r="FA245" s="19"/>
      <c r="FB245" s="19"/>
      <c r="FC245" s="19"/>
      <c r="FE245" s="19"/>
      <c r="FF245" s="19"/>
      <c r="FG245" s="19"/>
      <c r="FH245" s="19"/>
      <c r="FI245" s="19"/>
      <c r="FJ245" s="770"/>
      <c r="FK245" s="545" t="s">
        <v>1</v>
      </c>
    </row>
    <row r="246" spans="2:167" x14ac:dyDescent="0.2">
      <c r="B246" s="310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9"/>
      <c r="DX246" s="19"/>
      <c r="DY246" s="19"/>
      <c r="DZ246" s="19"/>
      <c r="EA246" s="19"/>
      <c r="EB246" s="19"/>
      <c r="EC246" s="19"/>
      <c r="ED246" s="19"/>
      <c r="EE246" s="222"/>
      <c r="EF246" s="19"/>
      <c r="EG246" s="19"/>
      <c r="EH246" s="19"/>
      <c r="EI246" s="19"/>
      <c r="EJ246" s="19"/>
      <c r="EK246" s="19"/>
      <c r="EL246" s="19"/>
      <c r="EM246" s="19"/>
      <c r="EN246" s="19"/>
      <c r="EO246" s="19"/>
      <c r="EP246" s="19"/>
      <c r="EQ246" s="19"/>
      <c r="ER246" s="19"/>
      <c r="ES246" s="19"/>
      <c r="ET246" s="19"/>
      <c r="EU246" s="19"/>
      <c r="EV246" s="19"/>
      <c r="EW246" s="19"/>
      <c r="EX246" s="19"/>
      <c r="EY246" s="19"/>
      <c r="EZ246" s="19"/>
      <c r="FA246" s="19"/>
      <c r="FB246" s="19"/>
      <c r="FC246" s="19"/>
      <c r="FE246" s="19"/>
      <c r="FF246" s="19"/>
      <c r="FG246" s="19"/>
      <c r="FH246" s="19"/>
      <c r="FI246" s="19"/>
      <c r="FJ246" s="770"/>
      <c r="FK246" s="545"/>
    </row>
    <row r="247" spans="2:167" hidden="1" x14ac:dyDescent="0.2">
      <c r="B247" s="312"/>
      <c r="C247" s="197"/>
      <c r="D247" s="197"/>
      <c r="E247" s="197"/>
      <c r="F247" s="197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197"/>
      <c r="X247" s="197"/>
      <c r="Y247" s="197"/>
      <c r="Z247" s="197"/>
      <c r="AA247" s="197"/>
      <c r="AB247" s="197"/>
      <c r="AC247" s="197"/>
      <c r="AD247" s="197"/>
      <c r="AE247" s="197"/>
      <c r="AF247" s="197"/>
      <c r="AG247" s="197"/>
      <c r="AH247" s="197"/>
      <c r="AI247" s="197"/>
      <c r="AJ247" s="197"/>
      <c r="AK247" s="197"/>
      <c r="AL247" s="197"/>
      <c r="AM247" s="197"/>
      <c r="AN247" s="197"/>
      <c r="AO247" s="197"/>
      <c r="AP247" s="197"/>
      <c r="AQ247" s="197"/>
      <c r="AR247" s="197"/>
      <c r="AS247" s="197"/>
      <c r="AT247" s="197"/>
      <c r="AU247" s="197"/>
      <c r="AV247" s="197"/>
      <c r="AW247" s="197"/>
      <c r="AX247" s="197"/>
      <c r="AY247" s="197"/>
      <c r="AZ247" s="197"/>
      <c r="BA247" s="197"/>
      <c r="BB247" s="197"/>
      <c r="BC247" s="197"/>
      <c r="BD247" s="197"/>
      <c r="BE247" s="197"/>
      <c r="BF247" s="197"/>
      <c r="BG247" s="197"/>
      <c r="BH247" s="197"/>
      <c r="BI247" s="197"/>
      <c r="BJ247" s="197"/>
      <c r="BK247" s="197"/>
      <c r="BL247" s="197"/>
      <c r="BM247" s="197"/>
      <c r="BN247" s="197"/>
      <c r="BO247" s="197"/>
      <c r="BP247" s="197"/>
      <c r="BQ247" s="197"/>
      <c r="BR247" s="197"/>
      <c r="BS247" s="197"/>
      <c r="BT247" s="197"/>
      <c r="BU247" s="197"/>
      <c r="BV247" s="197"/>
      <c r="BW247" s="197"/>
      <c r="BX247" s="197"/>
      <c r="BY247" s="197"/>
      <c r="BZ247" s="197"/>
      <c r="CA247" s="197"/>
      <c r="CB247" s="197"/>
      <c r="CC247" s="197"/>
      <c r="CD247" s="197"/>
      <c r="CE247" s="197"/>
      <c r="CF247" s="197"/>
      <c r="CG247" s="197"/>
      <c r="CH247" s="197"/>
      <c r="CI247" s="197"/>
      <c r="CJ247" s="197"/>
      <c r="CK247" s="197"/>
      <c r="CL247" s="197"/>
      <c r="CM247" s="197"/>
      <c r="CN247" s="197"/>
      <c r="CO247" s="197"/>
      <c r="CP247" s="197"/>
      <c r="CQ247" s="197"/>
      <c r="CR247" s="197"/>
      <c r="CS247" s="197"/>
      <c r="CT247" s="197"/>
      <c r="CU247" s="197"/>
      <c r="CV247" s="197"/>
      <c r="CW247" s="197"/>
      <c r="CX247" s="197"/>
      <c r="CY247" s="197"/>
      <c r="CZ247" s="197"/>
      <c r="DA247" s="197"/>
      <c r="DB247" s="197"/>
      <c r="DC247" s="197"/>
      <c r="DD247" s="197"/>
      <c r="DE247" s="197"/>
      <c r="DF247" s="197"/>
      <c r="DG247" s="197"/>
      <c r="DH247" s="197"/>
      <c r="DI247" s="197"/>
      <c r="DJ247" s="197"/>
      <c r="DK247" s="197"/>
      <c r="DL247" s="197"/>
      <c r="DM247" s="197"/>
      <c r="DN247" s="197"/>
      <c r="DO247" s="197"/>
      <c r="DP247" s="197"/>
      <c r="DQ247" s="197"/>
      <c r="DR247" s="197"/>
      <c r="DS247" s="197"/>
      <c r="DT247" s="197"/>
      <c r="DU247" s="197"/>
      <c r="DV247" s="197"/>
      <c r="DW247" s="197"/>
      <c r="DX247" s="197"/>
      <c r="DY247" s="197"/>
      <c r="DZ247" s="197"/>
      <c r="EA247" s="197"/>
      <c r="EB247" s="197"/>
      <c r="EC247" s="197"/>
      <c r="ED247" s="197"/>
      <c r="EE247" s="222"/>
      <c r="EF247" s="309"/>
      <c r="EG247" s="309"/>
      <c r="EH247" s="309"/>
      <c r="EI247" s="309"/>
      <c r="EJ247" s="309"/>
      <c r="EK247" s="309"/>
      <c r="EL247" s="309"/>
      <c r="EM247" s="309"/>
      <c r="EN247" s="309"/>
      <c r="EO247" s="309"/>
      <c r="EP247" s="309"/>
      <c r="EQ247" s="309"/>
      <c r="ER247" s="309"/>
      <c r="ES247" s="309"/>
      <c r="ET247" s="309"/>
      <c r="EU247" s="309"/>
      <c r="EV247" s="309"/>
      <c r="EW247" s="309"/>
      <c r="EX247" s="309"/>
      <c r="EY247" s="309"/>
      <c r="EZ247" s="309"/>
      <c r="FA247" s="309"/>
      <c r="FB247" s="309"/>
      <c r="FC247" s="309"/>
      <c r="FE247" s="309"/>
      <c r="FF247" s="309"/>
      <c r="FG247" s="309"/>
      <c r="FH247" s="309"/>
      <c r="FI247" s="309"/>
      <c r="FJ247" s="789"/>
      <c r="FK247" s="545"/>
    </row>
    <row r="248" spans="2:167" hidden="1" x14ac:dyDescent="0.2">
      <c r="B248" s="307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  <c r="DX248" s="19"/>
      <c r="DY248" s="19"/>
      <c r="DZ248" s="19"/>
      <c r="EA248" s="19"/>
      <c r="EB248" s="19"/>
      <c r="EC248" s="19"/>
      <c r="ED248" s="19"/>
      <c r="EE248" s="222"/>
      <c r="EF248" s="19"/>
      <c r="EG248" s="19"/>
      <c r="EH248" s="19"/>
      <c r="EI248" s="19"/>
      <c r="EJ248" s="19"/>
      <c r="EK248" s="19"/>
      <c r="EL248" s="19"/>
      <c r="EM248" s="19"/>
      <c r="EN248" s="19"/>
      <c r="EO248" s="19"/>
      <c r="EP248" s="19"/>
      <c r="EQ248" s="19"/>
      <c r="ER248" s="19"/>
      <c r="ES248" s="19"/>
      <c r="ET248" s="19"/>
      <c r="EU248" s="19"/>
      <c r="EV248" s="19"/>
      <c r="EW248" s="19"/>
      <c r="EX248" s="19"/>
      <c r="EY248" s="19"/>
      <c r="EZ248" s="19"/>
      <c r="FA248" s="19"/>
      <c r="FB248" s="19"/>
      <c r="FC248" s="19"/>
      <c r="FE248" s="19"/>
      <c r="FF248" s="19"/>
      <c r="FG248" s="19"/>
      <c r="FH248" s="19"/>
      <c r="FI248" s="19"/>
      <c r="FJ248" s="770"/>
      <c r="FK248" s="545"/>
    </row>
    <row r="249" spans="2:167" hidden="1" x14ac:dyDescent="0.2">
      <c r="B249" s="307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9"/>
      <c r="DX249" s="19"/>
      <c r="DY249" s="19"/>
      <c r="DZ249" s="19"/>
      <c r="EA249" s="19"/>
      <c r="EB249" s="19"/>
      <c r="EC249" s="19"/>
      <c r="ED249" s="19"/>
      <c r="EE249" s="222"/>
      <c r="EF249" s="19"/>
      <c r="EG249" s="19"/>
      <c r="EH249" s="19"/>
      <c r="EI249" s="19"/>
      <c r="EJ249" s="19"/>
      <c r="EK249" s="19"/>
      <c r="EL249" s="19"/>
      <c r="EM249" s="19"/>
      <c r="EN249" s="19"/>
      <c r="EO249" s="19"/>
      <c r="EP249" s="19"/>
      <c r="EQ249" s="19"/>
      <c r="ER249" s="19"/>
      <c r="ES249" s="19"/>
      <c r="ET249" s="19"/>
      <c r="EU249" s="19"/>
      <c r="EV249" s="19"/>
      <c r="EW249" s="19"/>
      <c r="EX249" s="19"/>
      <c r="EY249" s="19"/>
      <c r="EZ249" s="19"/>
      <c r="FA249" s="19"/>
      <c r="FB249" s="19"/>
      <c r="FC249" s="19"/>
      <c r="FE249" s="19"/>
      <c r="FF249" s="19"/>
      <c r="FG249" s="19"/>
      <c r="FH249" s="19"/>
      <c r="FI249" s="19"/>
      <c r="FJ249" s="770"/>
      <c r="FK249" s="545"/>
    </row>
    <row r="250" spans="2:167" hidden="1" x14ac:dyDescent="0.2">
      <c r="B250" s="307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9"/>
      <c r="DX250" s="19"/>
      <c r="DY250" s="19"/>
      <c r="DZ250" s="19"/>
      <c r="EA250" s="19"/>
      <c r="EB250" s="19"/>
      <c r="EC250" s="19"/>
      <c r="ED250" s="19"/>
      <c r="EE250" s="222"/>
      <c r="EF250" s="19"/>
      <c r="EG250" s="19"/>
      <c r="EH250" s="19"/>
      <c r="EI250" s="19"/>
      <c r="EJ250" s="19"/>
      <c r="EK250" s="19"/>
      <c r="EL250" s="19"/>
      <c r="EM250" s="19"/>
      <c r="EN250" s="19"/>
      <c r="EO250" s="19"/>
      <c r="EP250" s="19"/>
      <c r="EQ250" s="19"/>
      <c r="ER250" s="19"/>
      <c r="ES250" s="19"/>
      <c r="ET250" s="19"/>
      <c r="EU250" s="19"/>
      <c r="EV250" s="19"/>
      <c r="EW250" s="19"/>
      <c r="EX250" s="19"/>
      <c r="EY250" s="19"/>
      <c r="EZ250" s="19"/>
      <c r="FA250" s="19"/>
      <c r="FB250" s="19"/>
      <c r="FC250" s="19"/>
      <c r="FE250" s="19"/>
      <c r="FF250" s="19"/>
      <c r="FG250" s="19"/>
      <c r="FH250" s="19"/>
      <c r="FI250" s="19"/>
      <c r="FJ250" s="770"/>
      <c r="FK250" s="545"/>
    </row>
    <row r="251" spans="2:167" hidden="1" x14ac:dyDescent="0.2">
      <c r="B251" s="314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9"/>
      <c r="DX251" s="19"/>
      <c r="DY251" s="19"/>
      <c r="DZ251" s="19"/>
      <c r="EA251" s="19"/>
      <c r="EB251" s="19"/>
      <c r="EC251" s="19"/>
      <c r="ED251" s="19"/>
      <c r="EE251" s="222"/>
      <c r="EF251" s="19"/>
      <c r="EG251" s="19"/>
      <c r="EH251" s="19"/>
      <c r="EI251" s="19"/>
      <c r="EJ251" s="19"/>
      <c r="EK251" s="19"/>
      <c r="EL251" s="19"/>
      <c r="EM251" s="19"/>
      <c r="EN251" s="19"/>
      <c r="EO251" s="19"/>
      <c r="EP251" s="19"/>
      <c r="EQ251" s="19"/>
      <c r="ER251" s="19"/>
      <c r="ES251" s="19"/>
      <c r="ET251" s="19"/>
      <c r="EU251" s="19"/>
      <c r="EV251" s="19"/>
      <c r="EW251" s="19"/>
      <c r="EX251" s="19"/>
      <c r="EY251" s="19"/>
      <c r="EZ251" s="19"/>
      <c r="FA251" s="19"/>
      <c r="FB251" s="19"/>
      <c r="FC251" s="19"/>
      <c r="FE251" s="19"/>
      <c r="FF251" s="19"/>
      <c r="FG251" s="19"/>
      <c r="FH251" s="19"/>
      <c r="FI251" s="19"/>
      <c r="FJ251" s="770"/>
      <c r="FK251" s="545"/>
    </row>
    <row r="252" spans="2:167" hidden="1" x14ac:dyDescent="0.2">
      <c r="B252" s="546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7"/>
      <c r="P252" s="297"/>
      <c r="Q252" s="297"/>
      <c r="R252" s="297"/>
      <c r="S252" s="297"/>
      <c r="T252" s="297"/>
      <c r="U252" s="297"/>
      <c r="V252" s="297"/>
      <c r="W252" s="297"/>
      <c r="X252" s="297"/>
      <c r="Y252" s="297"/>
      <c r="Z252" s="297"/>
      <c r="AA252" s="297"/>
      <c r="AB252" s="297"/>
      <c r="AC252" s="297"/>
      <c r="AD252" s="297"/>
      <c r="AE252" s="297"/>
      <c r="AF252" s="297"/>
      <c r="AG252" s="297"/>
      <c r="AH252" s="297"/>
      <c r="AI252" s="297"/>
      <c r="AJ252" s="297"/>
      <c r="AK252" s="297"/>
      <c r="AL252" s="297"/>
      <c r="AM252" s="297"/>
      <c r="AN252" s="297"/>
      <c r="AO252" s="297"/>
      <c r="AP252" s="297"/>
      <c r="AQ252" s="297"/>
      <c r="AR252" s="297"/>
      <c r="AS252" s="297"/>
      <c r="AT252" s="297"/>
      <c r="AU252" s="297"/>
      <c r="AV252" s="297"/>
      <c r="AW252" s="297"/>
      <c r="AX252" s="297"/>
      <c r="AY252" s="297"/>
      <c r="AZ252" s="297"/>
      <c r="BA252" s="297"/>
      <c r="BB252" s="297"/>
      <c r="BC252" s="297"/>
      <c r="BD252" s="297"/>
      <c r="BE252" s="297"/>
      <c r="BF252" s="297"/>
      <c r="BG252" s="297"/>
      <c r="BH252" s="297"/>
      <c r="BI252" s="297"/>
      <c r="BJ252" s="297"/>
      <c r="BK252" s="297"/>
      <c r="BL252" s="297"/>
      <c r="BM252" s="297"/>
      <c r="BN252" s="297"/>
      <c r="BO252" s="297"/>
      <c r="BP252" s="297"/>
      <c r="BQ252" s="297"/>
      <c r="BR252" s="297"/>
      <c r="BS252" s="297"/>
      <c r="BT252" s="297"/>
      <c r="BU252" s="297"/>
      <c r="BV252" s="297"/>
      <c r="BW252" s="297"/>
      <c r="BX252" s="297"/>
      <c r="BY252" s="297"/>
      <c r="BZ252" s="297"/>
      <c r="CA252" s="297"/>
      <c r="CB252" s="297"/>
      <c r="CC252" s="297"/>
      <c r="CD252" s="297"/>
      <c r="CE252" s="297"/>
      <c r="CF252" s="297"/>
      <c r="CG252" s="297"/>
      <c r="CH252" s="297"/>
      <c r="CI252" s="297"/>
      <c r="CJ252" s="297"/>
      <c r="CK252" s="297"/>
      <c r="CL252" s="297"/>
      <c r="CM252" s="297"/>
      <c r="CN252" s="297"/>
      <c r="CO252" s="297"/>
      <c r="CP252" s="297"/>
      <c r="CQ252" s="297"/>
      <c r="CR252" s="297"/>
      <c r="CS252" s="297"/>
      <c r="CT252" s="297"/>
      <c r="CU252" s="297"/>
      <c r="CV252" s="297"/>
      <c r="CW252" s="297"/>
      <c r="CX252" s="297"/>
      <c r="CY252" s="297"/>
      <c r="CZ252" s="297"/>
      <c r="DA252" s="297"/>
      <c r="DB252" s="297"/>
      <c r="DC252" s="297"/>
      <c r="DD252" s="297"/>
      <c r="DE252" s="297"/>
      <c r="DF252" s="297"/>
      <c r="DG252" s="297"/>
      <c r="DH252" s="297"/>
      <c r="DI252" s="297"/>
      <c r="DJ252" s="297"/>
      <c r="DK252" s="297"/>
      <c r="DL252" s="297"/>
      <c r="DM252" s="297"/>
      <c r="DN252" s="297"/>
      <c r="DO252" s="297"/>
      <c r="DP252" s="297"/>
      <c r="DQ252" s="297"/>
      <c r="DR252" s="297"/>
      <c r="DS252" s="297"/>
      <c r="DT252" s="297"/>
      <c r="DU252" s="297"/>
      <c r="DV252" s="297"/>
      <c r="DW252" s="297"/>
      <c r="DX252" s="297"/>
      <c r="DY252" s="297"/>
      <c r="DZ252" s="297"/>
      <c r="EA252" s="297"/>
      <c r="EB252" s="297"/>
      <c r="EC252" s="297"/>
      <c r="ED252" s="297"/>
      <c r="EE252" s="222"/>
      <c r="EF252" s="309"/>
      <c r="EG252" s="309"/>
      <c r="EH252" s="309"/>
      <c r="EI252" s="309"/>
      <c r="EJ252" s="309"/>
      <c r="EK252" s="309"/>
      <c r="EL252" s="309"/>
      <c r="EM252" s="309"/>
      <c r="EN252" s="309"/>
      <c r="EO252" s="309"/>
      <c r="EP252" s="309"/>
      <c r="EQ252" s="309"/>
      <c r="ER252" s="309"/>
      <c r="ES252" s="309"/>
      <c r="ET252" s="309"/>
      <c r="EU252" s="309"/>
      <c r="EV252" s="309"/>
      <c r="EW252" s="309"/>
      <c r="EX252" s="309"/>
      <c r="EY252" s="309"/>
      <c r="EZ252" s="309"/>
      <c r="FA252" s="309"/>
      <c r="FB252" s="309"/>
      <c r="FC252" s="309"/>
      <c r="FE252" s="309"/>
      <c r="FF252" s="309"/>
      <c r="FG252" s="309"/>
      <c r="FH252" s="309"/>
      <c r="FI252" s="309"/>
      <c r="FJ252" s="789"/>
      <c r="FK252" s="545"/>
    </row>
    <row r="253" spans="2:167" hidden="1" x14ac:dyDescent="0.2">
      <c r="B253" s="307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  <c r="DX253" s="19"/>
      <c r="DY253" s="19"/>
      <c r="DZ253" s="19"/>
      <c r="EA253" s="19"/>
      <c r="EB253" s="19"/>
      <c r="EC253" s="19"/>
      <c r="ED253" s="19"/>
      <c r="EE253" s="222"/>
      <c r="EF253" s="19"/>
      <c r="EG253" s="19"/>
      <c r="EH253" s="19"/>
      <c r="EI253" s="19"/>
      <c r="EJ253" s="19"/>
      <c r="EK253" s="19"/>
      <c r="EL253" s="19"/>
      <c r="EM253" s="19"/>
      <c r="EN253" s="19"/>
      <c r="EO253" s="19"/>
      <c r="EP253" s="19"/>
      <c r="EQ253" s="19"/>
      <c r="ER253" s="19"/>
      <c r="ES253" s="19"/>
      <c r="ET253" s="19"/>
      <c r="EU253" s="19"/>
      <c r="EV253" s="19"/>
      <c r="EW253" s="19"/>
      <c r="EX253" s="19"/>
      <c r="EY253" s="19"/>
      <c r="EZ253" s="19"/>
      <c r="FA253" s="19"/>
      <c r="FB253" s="19"/>
      <c r="FC253" s="19"/>
      <c r="FE253" s="19"/>
      <c r="FF253" s="19"/>
      <c r="FG253" s="19"/>
      <c r="FH253" s="19"/>
      <c r="FI253" s="19"/>
      <c r="FJ253" s="770"/>
      <c r="FK253" s="545"/>
    </row>
    <row r="254" spans="2:167" hidden="1" x14ac:dyDescent="0.2">
      <c r="B254" s="307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  <c r="DX254" s="19"/>
      <c r="DY254" s="19"/>
      <c r="DZ254" s="19"/>
      <c r="EA254" s="19"/>
      <c r="EB254" s="19"/>
      <c r="EC254" s="19"/>
      <c r="ED254" s="19"/>
      <c r="EE254" s="222"/>
      <c r="EF254" s="19"/>
      <c r="EG254" s="19"/>
      <c r="EH254" s="19"/>
      <c r="EI254" s="19"/>
      <c r="EJ254" s="19"/>
      <c r="EK254" s="19"/>
      <c r="EL254" s="19"/>
      <c r="EM254" s="19"/>
      <c r="EN254" s="19"/>
      <c r="EO254" s="19"/>
      <c r="EP254" s="19"/>
      <c r="EQ254" s="19"/>
      <c r="ER254" s="19"/>
      <c r="ES254" s="19"/>
      <c r="ET254" s="19"/>
      <c r="EU254" s="19"/>
      <c r="EV254" s="19"/>
      <c r="EW254" s="19"/>
      <c r="EX254" s="19"/>
      <c r="EY254" s="19"/>
      <c r="EZ254" s="19"/>
      <c r="FA254" s="19"/>
      <c r="FB254" s="19"/>
      <c r="FC254" s="19"/>
      <c r="FE254" s="19"/>
      <c r="FF254" s="19"/>
      <c r="FG254" s="19"/>
      <c r="FH254" s="19"/>
      <c r="FI254" s="19"/>
      <c r="FJ254" s="770"/>
      <c r="FK254" s="545"/>
    </row>
    <row r="255" spans="2:167" hidden="1" x14ac:dyDescent="0.2">
      <c r="B255" s="307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9"/>
      <c r="DX255" s="19"/>
      <c r="DY255" s="19"/>
      <c r="DZ255" s="19"/>
      <c r="EA255" s="19"/>
      <c r="EB255" s="19"/>
      <c r="EC255" s="19"/>
      <c r="ED255" s="19"/>
      <c r="EE255" s="222"/>
      <c r="EF255" s="19"/>
      <c r="EG255" s="19"/>
      <c r="EH255" s="19"/>
      <c r="EI255" s="19"/>
      <c r="EJ255" s="19"/>
      <c r="EK255" s="19"/>
      <c r="EL255" s="19"/>
      <c r="EM255" s="19"/>
      <c r="EN255" s="19"/>
      <c r="EO255" s="19"/>
      <c r="EP255" s="19"/>
      <c r="EQ255" s="19"/>
      <c r="ER255" s="19"/>
      <c r="ES255" s="19"/>
      <c r="ET255" s="19"/>
      <c r="EU255" s="19"/>
      <c r="EV255" s="19"/>
      <c r="EW255" s="19"/>
      <c r="EX255" s="19"/>
      <c r="EY255" s="19"/>
      <c r="EZ255" s="19"/>
      <c r="FA255" s="19"/>
      <c r="FB255" s="19"/>
      <c r="FC255" s="19"/>
      <c r="FE255" s="19"/>
      <c r="FF255" s="19"/>
      <c r="FG255" s="19"/>
      <c r="FH255" s="19"/>
      <c r="FI255" s="19"/>
      <c r="FJ255" s="770"/>
      <c r="FK255" s="545"/>
    </row>
    <row r="256" spans="2:167" s="30" customFormat="1" hidden="1" x14ac:dyDescent="0.2">
      <c r="B256" s="546"/>
      <c r="C256" s="297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297"/>
      <c r="P256" s="297"/>
      <c r="Q256" s="297"/>
      <c r="R256" s="297"/>
      <c r="S256" s="297"/>
      <c r="T256" s="297"/>
      <c r="U256" s="297"/>
      <c r="V256" s="297"/>
      <c r="W256" s="297"/>
      <c r="X256" s="297"/>
      <c r="Y256" s="297"/>
      <c r="Z256" s="297"/>
      <c r="AA256" s="297"/>
      <c r="AB256" s="297"/>
      <c r="AC256" s="297"/>
      <c r="AD256" s="297"/>
      <c r="AE256" s="297"/>
      <c r="AF256" s="297"/>
      <c r="AG256" s="297"/>
      <c r="AH256" s="297"/>
      <c r="AI256" s="297"/>
      <c r="AJ256" s="297"/>
      <c r="AK256" s="297"/>
      <c r="AL256" s="297"/>
      <c r="AM256" s="297"/>
      <c r="AN256" s="297"/>
      <c r="AO256" s="297"/>
      <c r="AP256" s="297"/>
      <c r="AQ256" s="297"/>
      <c r="AR256" s="297"/>
      <c r="AS256" s="297"/>
      <c r="AT256" s="297"/>
      <c r="AU256" s="297"/>
      <c r="AV256" s="297"/>
      <c r="AW256" s="297"/>
      <c r="AX256" s="297"/>
      <c r="AY256" s="297"/>
      <c r="AZ256" s="297"/>
      <c r="BA256" s="297"/>
      <c r="BB256" s="297"/>
      <c r="BC256" s="297"/>
      <c r="BD256" s="297"/>
      <c r="BE256" s="297"/>
      <c r="BF256" s="297"/>
      <c r="BG256" s="297"/>
      <c r="BH256" s="297"/>
      <c r="BI256" s="297"/>
      <c r="BJ256" s="297"/>
      <c r="BK256" s="297"/>
      <c r="BL256" s="297"/>
      <c r="BM256" s="297"/>
      <c r="BN256" s="297"/>
      <c r="BO256" s="297"/>
      <c r="BP256" s="297"/>
      <c r="BQ256" s="297"/>
      <c r="BR256" s="297"/>
      <c r="BS256" s="297"/>
      <c r="BT256" s="297"/>
      <c r="BU256" s="297"/>
      <c r="BV256" s="297"/>
      <c r="BW256" s="297"/>
      <c r="BX256" s="297"/>
      <c r="BY256" s="297"/>
      <c r="BZ256" s="297"/>
      <c r="CA256" s="297"/>
      <c r="CB256" s="297"/>
      <c r="CC256" s="297"/>
      <c r="CD256" s="297"/>
      <c r="CE256" s="297"/>
      <c r="CF256" s="297"/>
      <c r="CG256" s="297"/>
      <c r="CH256" s="297"/>
      <c r="CI256" s="297"/>
      <c r="CJ256" s="297"/>
      <c r="CK256" s="297"/>
      <c r="CL256" s="297"/>
      <c r="CM256" s="297"/>
      <c r="CN256" s="297"/>
      <c r="CO256" s="297"/>
      <c r="CP256" s="297"/>
      <c r="CQ256" s="297"/>
      <c r="CR256" s="297"/>
      <c r="CS256" s="297"/>
      <c r="CT256" s="297"/>
      <c r="CU256" s="297"/>
      <c r="CV256" s="297"/>
      <c r="CW256" s="297"/>
      <c r="CX256" s="297"/>
      <c r="CY256" s="297"/>
      <c r="CZ256" s="297"/>
      <c r="DA256" s="297"/>
      <c r="DB256" s="297"/>
      <c r="DC256" s="297"/>
      <c r="DD256" s="297"/>
      <c r="DE256" s="297"/>
      <c r="DF256" s="297"/>
      <c r="DG256" s="297"/>
      <c r="DH256" s="297"/>
      <c r="DI256" s="297"/>
      <c r="DJ256" s="297"/>
      <c r="DK256" s="297"/>
      <c r="DL256" s="297"/>
      <c r="DM256" s="297"/>
      <c r="DN256" s="297"/>
      <c r="DO256" s="297"/>
      <c r="DP256" s="297"/>
      <c r="DQ256" s="297"/>
      <c r="DR256" s="297"/>
      <c r="DS256" s="297"/>
      <c r="DT256" s="297"/>
      <c r="DU256" s="297"/>
      <c r="DV256" s="297"/>
      <c r="DW256" s="297"/>
      <c r="DX256" s="297"/>
      <c r="DY256" s="297"/>
      <c r="DZ256" s="297"/>
      <c r="EA256" s="297"/>
      <c r="EB256" s="297"/>
      <c r="EC256" s="297"/>
      <c r="ED256" s="297"/>
      <c r="EF256" s="297"/>
      <c r="EG256" s="297"/>
      <c r="EH256" s="297"/>
      <c r="EI256" s="297"/>
      <c r="EJ256" s="297"/>
      <c r="EK256" s="297"/>
      <c r="EL256" s="297"/>
      <c r="EM256" s="297"/>
      <c r="EN256" s="297"/>
      <c r="EO256" s="297"/>
      <c r="EP256" s="297"/>
      <c r="EQ256" s="297"/>
      <c r="ER256" s="297"/>
      <c r="ES256" s="297"/>
      <c r="ET256" s="297"/>
      <c r="EU256" s="297"/>
      <c r="EV256" s="297"/>
      <c r="EW256" s="297"/>
      <c r="EX256" s="297"/>
      <c r="EY256" s="297"/>
      <c r="EZ256" s="297"/>
      <c r="FA256" s="297"/>
      <c r="FB256" s="297"/>
      <c r="FC256" s="297"/>
      <c r="FE256" s="297"/>
      <c r="FF256" s="297"/>
      <c r="FG256" s="297"/>
      <c r="FH256" s="297"/>
      <c r="FI256" s="297"/>
      <c r="FJ256" s="774"/>
      <c r="FK256" s="545"/>
    </row>
    <row r="257" spans="2:167" hidden="1" x14ac:dyDescent="0.2">
      <c r="B257" s="314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9"/>
      <c r="DX257" s="19"/>
      <c r="DY257" s="19"/>
      <c r="DZ257" s="19"/>
      <c r="EA257" s="19"/>
      <c r="EB257" s="19"/>
      <c r="EC257" s="19"/>
      <c r="ED257" s="19"/>
      <c r="EE257" s="222"/>
      <c r="EF257" s="19"/>
      <c r="EG257" s="19"/>
      <c r="EH257" s="19"/>
      <c r="EI257" s="19"/>
      <c r="EJ257" s="19"/>
      <c r="EK257" s="19"/>
      <c r="EL257" s="19"/>
      <c r="EM257" s="19"/>
      <c r="EN257" s="19"/>
      <c r="EO257" s="19"/>
      <c r="EP257" s="19"/>
      <c r="EQ257" s="19"/>
      <c r="ER257" s="19"/>
      <c r="ES257" s="19"/>
      <c r="ET257" s="19"/>
      <c r="EU257" s="19"/>
      <c r="EV257" s="19"/>
      <c r="EW257" s="19"/>
      <c r="EX257" s="19"/>
      <c r="EY257" s="19"/>
      <c r="EZ257" s="19"/>
      <c r="FA257" s="19"/>
      <c r="FB257" s="19"/>
      <c r="FC257" s="19"/>
      <c r="FE257" s="19"/>
      <c r="FF257" s="19"/>
      <c r="FG257" s="19"/>
      <c r="FH257" s="19"/>
      <c r="FI257" s="19"/>
      <c r="FJ257" s="770"/>
      <c r="FK257" s="545"/>
    </row>
    <row r="258" spans="2:167" hidden="1" x14ac:dyDescent="0.2">
      <c r="B258" s="546"/>
      <c r="C258" s="309"/>
      <c r="D258" s="309"/>
      <c r="E258" s="309"/>
      <c r="F258" s="309"/>
      <c r="G258" s="309"/>
      <c r="H258" s="309"/>
      <c r="I258" s="309"/>
      <c r="J258" s="309"/>
      <c r="K258" s="309"/>
      <c r="L258" s="309"/>
      <c r="M258" s="309"/>
      <c r="N258" s="309"/>
      <c r="O258" s="309"/>
      <c r="P258" s="309"/>
      <c r="Q258" s="309"/>
      <c r="R258" s="309"/>
      <c r="S258" s="309"/>
      <c r="T258" s="309"/>
      <c r="U258" s="309"/>
      <c r="V258" s="309"/>
      <c r="W258" s="309"/>
      <c r="X258" s="309"/>
      <c r="Y258" s="309"/>
      <c r="Z258" s="309"/>
      <c r="AA258" s="309"/>
      <c r="AB258" s="309"/>
      <c r="AC258" s="309"/>
      <c r="AD258" s="309"/>
      <c r="AE258" s="309"/>
      <c r="AF258" s="309"/>
      <c r="AG258" s="309"/>
      <c r="AH258" s="309"/>
      <c r="AI258" s="309"/>
      <c r="AJ258" s="309"/>
      <c r="AK258" s="309"/>
      <c r="AL258" s="309"/>
      <c r="AM258" s="309"/>
      <c r="AN258" s="309"/>
      <c r="AO258" s="309"/>
      <c r="AP258" s="309"/>
      <c r="AQ258" s="309"/>
      <c r="AR258" s="309"/>
      <c r="AS258" s="309"/>
      <c r="AT258" s="309"/>
      <c r="AU258" s="309"/>
      <c r="AV258" s="309"/>
      <c r="AW258" s="309"/>
      <c r="AX258" s="309"/>
      <c r="AY258" s="309"/>
      <c r="AZ258" s="309"/>
      <c r="BA258" s="309"/>
      <c r="BB258" s="309"/>
      <c r="BC258" s="309"/>
      <c r="BD258" s="309"/>
      <c r="BE258" s="309"/>
      <c r="BF258" s="309"/>
      <c r="BG258" s="309"/>
      <c r="BH258" s="309"/>
      <c r="BI258" s="309"/>
      <c r="BJ258" s="309"/>
      <c r="BK258" s="309"/>
      <c r="BL258" s="309"/>
      <c r="BM258" s="309"/>
      <c r="BN258" s="309"/>
      <c r="BO258" s="309"/>
      <c r="BP258" s="309"/>
      <c r="BQ258" s="309"/>
      <c r="BR258" s="309"/>
      <c r="BS258" s="309"/>
      <c r="BT258" s="309"/>
      <c r="BU258" s="309"/>
      <c r="BV258" s="297"/>
      <c r="BW258" s="297"/>
      <c r="BX258" s="297"/>
      <c r="BY258" s="297"/>
      <c r="BZ258" s="297"/>
      <c r="CA258" s="297"/>
      <c r="CB258" s="297"/>
      <c r="CC258" s="297"/>
      <c r="CD258" s="297"/>
      <c r="CE258" s="297"/>
      <c r="CF258" s="297"/>
      <c r="CG258" s="297"/>
      <c r="CH258" s="297"/>
      <c r="CI258" s="547"/>
      <c r="CJ258" s="547"/>
      <c r="CK258" s="547"/>
      <c r="CL258" s="547"/>
      <c r="CM258" s="547"/>
      <c r="CN258" s="547"/>
      <c r="CO258" s="547"/>
      <c r="CP258" s="547"/>
      <c r="CQ258" s="547"/>
      <c r="CR258" s="547"/>
      <c r="CS258" s="547"/>
      <c r="CT258" s="547"/>
      <c r="CU258" s="547"/>
      <c r="CV258" s="547"/>
      <c r="CW258" s="547"/>
      <c r="CX258" s="547"/>
      <c r="CY258" s="547"/>
      <c r="CZ258" s="547"/>
      <c r="DA258" s="547"/>
      <c r="DB258" s="547"/>
      <c r="DC258" s="547"/>
      <c r="DD258" s="547"/>
      <c r="DE258" s="547"/>
      <c r="DF258" s="547"/>
      <c r="DG258" s="547"/>
      <c r="DH258" s="547"/>
      <c r="DI258" s="547"/>
      <c r="DJ258" s="547"/>
      <c r="DK258" s="547"/>
      <c r="DL258" s="547"/>
      <c r="DM258" s="547"/>
      <c r="DN258" s="547"/>
      <c r="DO258" s="547"/>
      <c r="DP258" s="547"/>
      <c r="DQ258" s="547"/>
      <c r="DR258" s="547"/>
      <c r="DS258" s="547"/>
      <c r="DT258" s="547"/>
      <c r="DU258" s="547"/>
      <c r="DV258" s="547"/>
      <c r="DW258" s="547"/>
      <c r="DX258" s="547"/>
      <c r="DY258" s="547"/>
      <c r="DZ258" s="547"/>
      <c r="EA258" s="547"/>
      <c r="EB258" s="547"/>
      <c r="EC258" s="547"/>
      <c r="ED258" s="547"/>
      <c r="EE258" s="222"/>
      <c r="EF258" s="309"/>
      <c r="EG258" s="309"/>
      <c r="EH258" s="309"/>
      <c r="EI258" s="309"/>
      <c r="EJ258" s="309"/>
      <c r="EK258" s="309"/>
      <c r="EL258" s="309"/>
      <c r="EM258" s="309"/>
      <c r="EN258" s="309"/>
      <c r="EO258" s="309"/>
      <c r="EP258" s="309"/>
      <c r="EQ258" s="309"/>
      <c r="ER258" s="309"/>
      <c r="ES258" s="309"/>
      <c r="ET258" s="309"/>
      <c r="EU258" s="309"/>
      <c r="EV258" s="309"/>
      <c r="EW258" s="309"/>
      <c r="EX258" s="309"/>
      <c r="EY258" s="309"/>
      <c r="EZ258" s="309"/>
      <c r="FA258" s="309"/>
      <c r="FB258" s="309"/>
      <c r="FC258" s="309"/>
      <c r="FE258" s="309"/>
      <c r="FF258" s="309"/>
      <c r="FG258" s="309"/>
      <c r="FH258" s="309"/>
      <c r="FI258" s="309"/>
      <c r="FJ258" s="789"/>
      <c r="FK258" s="545"/>
    </row>
    <row r="259" spans="2:167" x14ac:dyDescent="0.2">
      <c r="B259" s="307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222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E259" s="19"/>
      <c r="FF259" s="19"/>
      <c r="FG259" s="19"/>
      <c r="FH259" s="19"/>
      <c r="FI259" s="19"/>
      <c r="FJ259" s="770"/>
      <c r="FK259" s="545"/>
    </row>
    <row r="260" spans="2:167" s="30" customFormat="1" x14ac:dyDescent="0.2">
      <c r="B260" s="546" t="s">
        <v>355</v>
      </c>
      <c r="C260" s="297">
        <v>0</v>
      </c>
      <c r="D260" s="297">
        <v>0</v>
      </c>
      <c r="E260" s="297">
        <v>0</v>
      </c>
      <c r="F260" s="297">
        <v>0</v>
      </c>
      <c r="G260" s="297">
        <v>0</v>
      </c>
      <c r="H260" s="297">
        <v>0</v>
      </c>
      <c r="I260" s="297">
        <v>0</v>
      </c>
      <c r="J260" s="297">
        <v>0</v>
      </c>
      <c r="K260" s="297">
        <v>0</v>
      </c>
      <c r="L260" s="297">
        <v>0</v>
      </c>
      <c r="M260" s="297">
        <v>0</v>
      </c>
      <c r="N260" s="297">
        <v>0</v>
      </c>
      <c r="O260" s="297">
        <v>0</v>
      </c>
      <c r="P260" s="297">
        <v>0</v>
      </c>
      <c r="Q260" s="297">
        <v>0</v>
      </c>
      <c r="R260" s="297">
        <v>0</v>
      </c>
      <c r="S260" s="297">
        <v>903</v>
      </c>
      <c r="T260" s="297">
        <v>869</v>
      </c>
      <c r="U260" s="297">
        <v>888</v>
      </c>
      <c r="V260" s="297">
        <v>896</v>
      </c>
      <c r="W260" s="297">
        <v>904</v>
      </c>
      <c r="X260" s="297">
        <v>891</v>
      </c>
      <c r="Y260" s="297">
        <v>926</v>
      </c>
      <c r="Z260" s="297">
        <v>921</v>
      </c>
      <c r="AA260" s="297">
        <v>782</v>
      </c>
      <c r="AB260" s="297">
        <v>773</v>
      </c>
      <c r="AC260" s="297">
        <v>763</v>
      </c>
      <c r="AD260" s="297">
        <v>718</v>
      </c>
      <c r="AE260" s="297">
        <v>704</v>
      </c>
      <c r="AF260" s="297">
        <v>718</v>
      </c>
      <c r="AG260" s="297">
        <v>748</v>
      </c>
      <c r="AH260" s="297">
        <v>771</v>
      </c>
      <c r="AI260" s="297">
        <v>787</v>
      </c>
      <c r="AJ260" s="297">
        <v>792</v>
      </c>
      <c r="AK260" s="297">
        <v>831</v>
      </c>
      <c r="AL260" s="297">
        <v>846</v>
      </c>
      <c r="AM260" s="297">
        <v>870</v>
      </c>
      <c r="AN260" s="297">
        <v>874</v>
      </c>
      <c r="AO260" s="297">
        <v>897</v>
      </c>
      <c r="AP260" s="297">
        <v>971</v>
      </c>
      <c r="AQ260" s="297">
        <v>1077</v>
      </c>
      <c r="AR260" s="297">
        <v>1198</v>
      </c>
      <c r="AS260" s="297">
        <v>1224</v>
      </c>
      <c r="AT260" s="297">
        <v>1296</v>
      </c>
      <c r="AU260" s="297">
        <v>1400</v>
      </c>
      <c r="AV260" s="297">
        <v>1439</v>
      </c>
      <c r="AW260" s="297">
        <v>1489</v>
      </c>
      <c r="AX260" s="297">
        <v>1582</v>
      </c>
      <c r="AY260" s="297">
        <v>1700</v>
      </c>
      <c r="AZ260" s="297">
        <v>1789</v>
      </c>
      <c r="BA260" s="297">
        <v>1837</v>
      </c>
      <c r="BB260" s="297">
        <v>1957</v>
      </c>
      <c r="BC260" s="297">
        <v>2104</v>
      </c>
      <c r="BD260" s="297">
        <v>2177</v>
      </c>
      <c r="BE260" s="297">
        <v>2201</v>
      </c>
      <c r="BF260" s="297">
        <v>2161</v>
      </c>
      <c r="BG260" s="297">
        <v>2120</v>
      </c>
      <c r="BH260" s="297">
        <v>2102</v>
      </c>
      <c r="BI260" s="297">
        <v>2108</v>
      </c>
      <c r="BJ260" s="297">
        <v>2038</v>
      </c>
      <c r="BK260" s="297">
        <v>1995</v>
      </c>
      <c r="BL260" s="297">
        <v>1957</v>
      </c>
      <c r="BM260" s="297">
        <v>1969.5243462948181</v>
      </c>
      <c r="BN260" s="297">
        <v>2009</v>
      </c>
      <c r="BO260" s="297">
        <v>2083.1547034376749</v>
      </c>
      <c r="BP260" s="297">
        <v>2105.1547034376754</v>
      </c>
      <c r="BQ260" s="297">
        <v>2167.809695350551</v>
      </c>
      <c r="BR260" s="297">
        <v>2150</v>
      </c>
      <c r="BS260" s="297">
        <v>2082</v>
      </c>
      <c r="BT260" s="297">
        <v>1907.2415855186869</v>
      </c>
      <c r="BU260" s="297">
        <v>1892</v>
      </c>
      <c r="BV260" s="297">
        <v>1856.4772998044014</v>
      </c>
      <c r="BW260" s="297">
        <v>1991.3312283758298</v>
      </c>
      <c r="BX260" s="297">
        <v>2051.720064738317</v>
      </c>
      <c r="BY260" s="297">
        <v>2079.1632283758299</v>
      </c>
      <c r="BZ260" s="297">
        <v>2079.1818825473247</v>
      </c>
      <c r="CA260" s="297">
        <v>2070</v>
      </c>
      <c r="CB260" s="297">
        <v>2099</v>
      </c>
      <c r="CC260" s="297">
        <v>2104</v>
      </c>
      <c r="CD260" s="297">
        <v>2153</v>
      </c>
      <c r="CE260" s="297">
        <v>2199</v>
      </c>
      <c r="CF260" s="297">
        <v>2254</v>
      </c>
      <c r="CG260" s="297">
        <v>2348</v>
      </c>
      <c r="CH260" s="297">
        <v>2336.8367520960292</v>
      </c>
      <c r="CI260" s="297">
        <v>2345.7593218669367</v>
      </c>
      <c r="CJ260" s="297">
        <v>2432.5067385453635</v>
      </c>
      <c r="CK260" s="297">
        <v>2550.950722317084</v>
      </c>
      <c r="CL260" s="297">
        <v>2663</v>
      </c>
      <c r="CM260" s="297">
        <v>2726.1532679320694</v>
      </c>
      <c r="CN260" s="297">
        <v>2840</v>
      </c>
      <c r="CO260" s="297">
        <v>2831</v>
      </c>
      <c r="CP260" s="297">
        <v>2940</v>
      </c>
      <c r="CQ260" s="297">
        <v>2975</v>
      </c>
      <c r="CR260" s="297">
        <v>3088</v>
      </c>
      <c r="CS260" s="297">
        <v>3178.1364835164832</v>
      </c>
      <c r="CT260" s="297">
        <v>3239</v>
      </c>
      <c r="CU260" s="297"/>
      <c r="CV260" s="297"/>
      <c r="CW260" s="297"/>
      <c r="CX260" s="297"/>
      <c r="CY260" s="297"/>
      <c r="CZ260" s="297"/>
      <c r="DA260" s="297"/>
      <c r="DB260" s="297"/>
      <c r="DC260" s="297"/>
      <c r="DD260" s="297"/>
      <c r="DE260" s="297"/>
      <c r="DF260" s="297"/>
      <c r="DG260" s="297"/>
      <c r="DH260" s="297"/>
      <c r="DI260" s="297"/>
      <c r="DJ260" s="297"/>
      <c r="DK260" s="297"/>
      <c r="DL260" s="297"/>
      <c r="DM260" s="297"/>
      <c r="DN260" s="297"/>
      <c r="DO260" s="297"/>
      <c r="DP260" s="297"/>
      <c r="DQ260" s="297"/>
      <c r="DR260" s="297"/>
      <c r="DS260" s="297"/>
      <c r="DT260" s="297"/>
      <c r="DU260" s="297"/>
      <c r="DV260" s="297"/>
      <c r="DW260" s="297"/>
      <c r="DX260" s="297"/>
      <c r="DY260" s="297"/>
      <c r="DZ260" s="297"/>
      <c r="EA260" s="297"/>
      <c r="EB260" s="297"/>
      <c r="EC260" s="297"/>
      <c r="ED260" s="297"/>
      <c r="EF260" s="297"/>
      <c r="EG260" s="297"/>
      <c r="EH260" s="297"/>
      <c r="EI260" s="297"/>
      <c r="EJ260" s="297"/>
      <c r="EK260" s="297"/>
      <c r="EL260" s="297"/>
      <c r="EM260" s="297"/>
      <c r="EN260" s="297"/>
      <c r="EO260" s="297"/>
      <c r="EP260" s="297"/>
      <c r="EQ260" s="297"/>
      <c r="ER260" s="297"/>
      <c r="ES260" s="297"/>
      <c r="ET260" s="297"/>
      <c r="EU260" s="297"/>
      <c r="EV260" s="297"/>
      <c r="EW260" s="297"/>
      <c r="EX260" s="297"/>
      <c r="EY260" s="297"/>
      <c r="EZ260" s="297"/>
      <c r="FA260" s="297"/>
      <c r="FB260" s="297"/>
      <c r="FC260" s="297"/>
      <c r="FE260" s="297"/>
      <c r="FF260" s="297"/>
      <c r="FG260" s="297"/>
      <c r="FH260" s="297"/>
      <c r="FI260" s="297"/>
      <c r="FJ260" s="774"/>
      <c r="FK260" s="545" t="s">
        <v>1</v>
      </c>
    </row>
    <row r="261" spans="2:167" x14ac:dyDescent="0.2">
      <c r="B261" s="313" t="s">
        <v>356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>
        <v>804</v>
      </c>
      <c r="T261" s="19">
        <v>791</v>
      </c>
      <c r="U261" s="19">
        <v>810</v>
      </c>
      <c r="V261" s="19">
        <v>816</v>
      </c>
      <c r="W261" s="19">
        <v>820</v>
      </c>
      <c r="X261" s="19">
        <v>819</v>
      </c>
      <c r="Y261" s="19">
        <v>849</v>
      </c>
      <c r="Z261" s="19">
        <v>845</v>
      </c>
      <c r="AA261" s="19">
        <v>711</v>
      </c>
      <c r="AB261" s="19">
        <v>707</v>
      </c>
      <c r="AC261" s="19">
        <v>699</v>
      </c>
      <c r="AD261" s="19">
        <v>656</v>
      </c>
      <c r="AE261" s="19">
        <v>642</v>
      </c>
      <c r="AF261" s="19">
        <v>653</v>
      </c>
      <c r="AG261" s="19">
        <v>676</v>
      </c>
      <c r="AH261" s="19">
        <v>699</v>
      </c>
      <c r="AI261" s="19">
        <v>715</v>
      </c>
      <c r="AJ261" s="19">
        <v>720</v>
      </c>
      <c r="AK261" s="19">
        <v>752</v>
      </c>
      <c r="AL261" s="19">
        <v>767</v>
      </c>
      <c r="AM261" s="19">
        <v>789</v>
      </c>
      <c r="AN261" s="19">
        <v>790</v>
      </c>
      <c r="AO261" s="19">
        <v>800</v>
      </c>
      <c r="AP261" s="19">
        <v>875</v>
      </c>
      <c r="AQ261" s="19">
        <v>970</v>
      </c>
      <c r="AR261" s="19">
        <v>1090</v>
      </c>
      <c r="AS261" s="19">
        <v>1111</v>
      </c>
      <c r="AT261" s="19">
        <v>1181</v>
      </c>
      <c r="AU261" s="19">
        <v>1278</v>
      </c>
      <c r="AV261" s="19">
        <v>1314</v>
      </c>
      <c r="AW261" s="19">
        <v>1364</v>
      </c>
      <c r="AX261" s="19">
        <v>1448</v>
      </c>
      <c r="AY261" s="19">
        <v>1559</v>
      </c>
      <c r="AZ261" s="19">
        <v>1645</v>
      </c>
      <c r="BA261" s="19">
        <v>1686</v>
      </c>
      <c r="BB261" s="19">
        <v>1789</v>
      </c>
      <c r="BC261" s="19">
        <v>1934</v>
      </c>
      <c r="BD261" s="19">
        <v>1965</v>
      </c>
      <c r="BE261" s="19">
        <v>2016</v>
      </c>
      <c r="BF261" s="19">
        <v>1977</v>
      </c>
      <c r="BG261" s="19">
        <v>1955</v>
      </c>
      <c r="BH261" s="19">
        <v>1932</v>
      </c>
      <c r="BI261" s="19">
        <v>1939</v>
      </c>
      <c r="BJ261" s="19">
        <v>1875</v>
      </c>
      <c r="BK261" s="19">
        <v>1842</v>
      </c>
      <c r="BL261" s="19">
        <v>1814</v>
      </c>
      <c r="BM261" s="19">
        <v>1825.5243462948181</v>
      </c>
      <c r="BN261" s="19">
        <v>1871</v>
      </c>
      <c r="BO261" s="19">
        <v>1945.1547034376749</v>
      </c>
      <c r="BP261" s="19">
        <v>1964.1547034376754</v>
      </c>
      <c r="BQ261" s="19">
        <v>2025.809695350551</v>
      </c>
      <c r="BR261" s="19">
        <v>2002</v>
      </c>
      <c r="BS261" s="19">
        <v>1940</v>
      </c>
      <c r="BT261" s="19">
        <v>1782.2415855186869</v>
      </c>
      <c r="BU261" s="19">
        <v>1767</v>
      </c>
      <c r="BV261" s="19">
        <v>1727.4772998044014</v>
      </c>
      <c r="BW261" s="19">
        <v>1859.3312283758298</v>
      </c>
      <c r="BX261" s="19">
        <v>1912.720064738317</v>
      </c>
      <c r="BY261" s="19">
        <v>1935.1632283758299</v>
      </c>
      <c r="BZ261" s="19">
        <v>1935.1818825473247</v>
      </c>
      <c r="CA261" s="19">
        <v>1929</v>
      </c>
      <c r="CB261" s="19">
        <v>1958</v>
      </c>
      <c r="CC261" s="19">
        <v>1961</v>
      </c>
      <c r="CD261" s="19">
        <v>2002</v>
      </c>
      <c r="CE261" s="19">
        <v>2049</v>
      </c>
      <c r="CF261" s="19">
        <v>2096</v>
      </c>
      <c r="CG261" s="19">
        <v>2186</v>
      </c>
      <c r="CH261" s="19">
        <v>2173.8367520960292</v>
      </c>
      <c r="CI261" s="19">
        <v>2180.7593218669367</v>
      </c>
      <c r="CJ261" s="19">
        <v>2260.5067385453635</v>
      </c>
      <c r="CK261" s="19">
        <v>2346.950722317084</v>
      </c>
      <c r="CL261" s="19">
        <v>2452</v>
      </c>
      <c r="CM261" s="19">
        <v>2515.1532679320694</v>
      </c>
      <c r="CN261" s="19">
        <v>2607</v>
      </c>
      <c r="CO261" s="19">
        <v>2598</v>
      </c>
      <c r="CP261" s="19">
        <v>2697</v>
      </c>
      <c r="CQ261" s="19">
        <v>2732</v>
      </c>
      <c r="CR261" s="19">
        <v>2844</v>
      </c>
      <c r="CS261" s="19">
        <v>2934.1364835164832</v>
      </c>
      <c r="CT261" s="19">
        <v>2990</v>
      </c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9"/>
      <c r="DX261" s="19"/>
      <c r="DY261" s="19"/>
      <c r="DZ261" s="19"/>
      <c r="EA261" s="19"/>
      <c r="EB261" s="19"/>
      <c r="EC261" s="19"/>
      <c r="ED261" s="19"/>
      <c r="EE261" s="222"/>
      <c r="EF261" s="19"/>
      <c r="EG261" s="19"/>
      <c r="EH261" s="19"/>
      <c r="EI261" s="19"/>
      <c r="EJ261" s="19"/>
      <c r="EK261" s="19"/>
      <c r="EL261" s="19"/>
      <c r="EM261" s="19"/>
      <c r="EN261" s="19"/>
      <c r="EO261" s="19"/>
      <c r="EP261" s="19"/>
      <c r="EQ261" s="19"/>
      <c r="ER261" s="19"/>
      <c r="ES261" s="19"/>
      <c r="ET261" s="19"/>
      <c r="EU261" s="19"/>
      <c r="EV261" s="19"/>
      <c r="EW261" s="19"/>
      <c r="EX261" s="19"/>
      <c r="EY261" s="19"/>
      <c r="EZ261" s="19"/>
      <c r="FA261" s="19"/>
      <c r="FB261" s="19"/>
      <c r="FC261" s="19"/>
      <c r="FE261" s="19"/>
      <c r="FF261" s="19"/>
      <c r="FG261" s="19"/>
      <c r="FH261" s="19"/>
      <c r="FI261" s="19"/>
      <c r="FJ261" s="770"/>
      <c r="FK261" s="545" t="s">
        <v>1</v>
      </c>
    </row>
    <row r="262" spans="2:167" x14ac:dyDescent="0.2">
      <c r="B262" s="315" t="s">
        <v>357</v>
      </c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>
        <v>99</v>
      </c>
      <c r="T262" s="28">
        <v>78</v>
      </c>
      <c r="U262" s="28">
        <v>78</v>
      </c>
      <c r="V262" s="28">
        <v>80</v>
      </c>
      <c r="W262" s="28">
        <v>84</v>
      </c>
      <c r="X262" s="28">
        <v>72</v>
      </c>
      <c r="Y262" s="28">
        <v>77</v>
      </c>
      <c r="Z262" s="28">
        <v>76</v>
      </c>
      <c r="AA262" s="28">
        <v>71</v>
      </c>
      <c r="AB262" s="28">
        <v>66</v>
      </c>
      <c r="AC262" s="28">
        <v>64</v>
      </c>
      <c r="AD262" s="28">
        <v>62</v>
      </c>
      <c r="AE262" s="28">
        <v>62</v>
      </c>
      <c r="AF262" s="28">
        <v>65</v>
      </c>
      <c r="AG262" s="28">
        <v>72</v>
      </c>
      <c r="AH262" s="28">
        <v>72</v>
      </c>
      <c r="AI262" s="28">
        <v>72</v>
      </c>
      <c r="AJ262" s="28">
        <v>72</v>
      </c>
      <c r="AK262" s="28">
        <v>79</v>
      </c>
      <c r="AL262" s="28">
        <v>79</v>
      </c>
      <c r="AM262" s="28">
        <v>81</v>
      </c>
      <c r="AN262" s="28">
        <v>84</v>
      </c>
      <c r="AO262" s="28">
        <v>97</v>
      </c>
      <c r="AP262" s="28">
        <v>96</v>
      </c>
      <c r="AQ262" s="28">
        <v>107</v>
      </c>
      <c r="AR262" s="28">
        <v>108</v>
      </c>
      <c r="AS262" s="28">
        <v>113</v>
      </c>
      <c r="AT262" s="28">
        <v>115</v>
      </c>
      <c r="AU262" s="28">
        <v>122</v>
      </c>
      <c r="AV262" s="28">
        <v>125</v>
      </c>
      <c r="AW262" s="28">
        <v>125</v>
      </c>
      <c r="AX262" s="28">
        <v>134</v>
      </c>
      <c r="AY262" s="28">
        <v>141</v>
      </c>
      <c r="AZ262" s="28">
        <v>144</v>
      </c>
      <c r="BA262" s="28">
        <v>151</v>
      </c>
      <c r="BB262" s="28">
        <v>168</v>
      </c>
      <c r="BC262" s="28">
        <v>170</v>
      </c>
      <c r="BD262" s="28">
        <v>212</v>
      </c>
      <c r="BE262" s="28">
        <v>185</v>
      </c>
      <c r="BF262" s="28">
        <v>184</v>
      </c>
      <c r="BG262" s="28">
        <v>165</v>
      </c>
      <c r="BH262" s="28">
        <v>170</v>
      </c>
      <c r="BI262" s="28">
        <v>169</v>
      </c>
      <c r="BJ262" s="28">
        <v>163</v>
      </c>
      <c r="BK262" s="28">
        <v>153</v>
      </c>
      <c r="BL262" s="28">
        <v>143</v>
      </c>
      <c r="BM262" s="28">
        <v>144</v>
      </c>
      <c r="BN262" s="28">
        <v>138</v>
      </c>
      <c r="BO262" s="28">
        <v>138</v>
      </c>
      <c r="BP262" s="28">
        <v>141</v>
      </c>
      <c r="BQ262" s="28">
        <v>142</v>
      </c>
      <c r="BR262" s="28">
        <v>148</v>
      </c>
      <c r="BS262" s="28">
        <v>142</v>
      </c>
      <c r="BT262" s="28">
        <v>125</v>
      </c>
      <c r="BU262" s="28">
        <v>125</v>
      </c>
      <c r="BV262" s="28">
        <v>129</v>
      </c>
      <c r="BW262" s="28">
        <v>132</v>
      </c>
      <c r="BX262" s="28">
        <v>139</v>
      </c>
      <c r="BY262" s="28">
        <v>144</v>
      </c>
      <c r="BZ262" s="28">
        <v>144</v>
      </c>
      <c r="CA262" s="28">
        <v>141</v>
      </c>
      <c r="CB262" s="28">
        <v>141</v>
      </c>
      <c r="CC262" s="28">
        <v>143</v>
      </c>
      <c r="CD262" s="28">
        <v>151</v>
      </c>
      <c r="CE262" s="28">
        <v>150</v>
      </c>
      <c r="CF262" s="28">
        <v>158</v>
      </c>
      <c r="CG262" s="28">
        <v>162</v>
      </c>
      <c r="CH262" s="28">
        <v>163</v>
      </c>
      <c r="CI262" s="28">
        <v>165</v>
      </c>
      <c r="CJ262" s="28">
        <v>172</v>
      </c>
      <c r="CK262" s="28">
        <v>204</v>
      </c>
      <c r="CL262" s="28">
        <v>211</v>
      </c>
      <c r="CM262" s="28">
        <v>211</v>
      </c>
      <c r="CN262" s="28">
        <v>233</v>
      </c>
      <c r="CO262" s="28">
        <v>233</v>
      </c>
      <c r="CP262" s="28">
        <v>243</v>
      </c>
      <c r="CQ262" s="28">
        <v>243</v>
      </c>
      <c r="CR262" s="28">
        <v>244</v>
      </c>
      <c r="CS262" s="28">
        <v>244</v>
      </c>
      <c r="CT262" s="28">
        <v>249</v>
      </c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22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E262" s="28"/>
      <c r="FF262" s="28"/>
      <c r="FG262" s="28"/>
      <c r="FH262" s="28"/>
      <c r="FI262" s="28"/>
      <c r="FJ262" s="775"/>
      <c r="FK262" s="545" t="s">
        <v>1</v>
      </c>
    </row>
  </sheetData>
  <pageMargins left="0.7" right="0.7" top="0.75" bottom="0.75" header="0.3" footer="0.3"/>
  <ignoredErrors>
    <ignoredError sqref="EF18:EY21 EF23:EY3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EFCA-2542-4CD2-BC3D-3D6EAF93AD1F}">
  <sheetPr>
    <tabColor rgb="FF002060"/>
  </sheetPr>
  <dimension ref="A1"/>
  <sheetViews>
    <sheetView zoomScaleNormal="100" workbookViewId="0"/>
  </sheetViews>
  <sheetFormatPr baseColWidth="10" defaultColWidth="8.6640625" defaultRowHeight="15" x14ac:dyDescent="0.2"/>
  <cols>
    <col min="1" max="1" width="22.5" style="33" bestFit="1" customWidth="1"/>
    <col min="2" max="16384" width="8.6640625" style="33"/>
  </cols>
  <sheetData>
    <row r="1" spans="1:1" s="34" customFormat="1" x14ac:dyDescent="0.2">
      <c r="A1" s="170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99E2-BAB8-479B-BD09-62B7F3F0AD88}">
  <sheetPr>
    <tabColor theme="7" tint="0.59999389629810485"/>
    <pageSetUpPr autoPageBreaks="0"/>
  </sheetPr>
  <dimension ref="A1:FK1000"/>
  <sheetViews>
    <sheetView showGridLines="0" zoomScale="107" zoomScaleNormal="100" workbookViewId="0">
      <pane xSplit="2" ySplit="2" topLeftCell="CR41" activePane="bottomRight" state="frozen"/>
      <selection activeCell="B3" sqref="B3"/>
      <selection pane="topRight" activeCell="B3" sqref="B3"/>
      <selection pane="bottomLeft" activeCell="B3" sqref="B3"/>
      <selection pane="bottomRight" activeCell="CV60" sqref="CV60"/>
    </sheetView>
  </sheetViews>
  <sheetFormatPr baseColWidth="10" defaultColWidth="12.5" defaultRowHeight="15" customHeight="1" x14ac:dyDescent="0.2"/>
  <cols>
    <col min="1" max="1" width="1.6640625" style="60" customWidth="1"/>
    <col min="2" max="2" width="35.1640625" style="60" bestFit="1" customWidth="1"/>
    <col min="3" max="5" width="17.5" style="60" bestFit="1" customWidth="1"/>
    <col min="6" max="8" width="18" style="60" bestFit="1" customWidth="1"/>
    <col min="9" max="9" width="18.33203125" style="60" bestFit="1" customWidth="1"/>
    <col min="10" max="10" width="18" style="60" bestFit="1" customWidth="1"/>
    <col min="11" max="20" width="18.33203125" style="60" bestFit="1" customWidth="1"/>
    <col min="21" max="21" width="18" style="60" bestFit="1" customWidth="1"/>
    <col min="22" max="25" width="18.33203125" style="60" bestFit="1" customWidth="1"/>
    <col min="26" max="26" width="18" style="60" bestFit="1" customWidth="1"/>
    <col min="27" max="27" width="17.33203125" style="60" bestFit="1" customWidth="1"/>
    <col min="28" max="29" width="18" style="60" bestFit="1" customWidth="1"/>
    <col min="30" max="30" width="17.5" style="60" bestFit="1" customWidth="1"/>
    <col min="31" max="32" width="18.33203125" style="60" bestFit="1" customWidth="1"/>
    <col min="33" max="33" width="18" style="60" bestFit="1" customWidth="1"/>
    <col min="34" max="36" width="18.33203125" style="60" bestFit="1" customWidth="1"/>
    <col min="37" max="39" width="18" style="60" bestFit="1" customWidth="1"/>
    <col min="40" max="40" width="17.5" style="60" bestFit="1" customWidth="1"/>
    <col min="41" max="49" width="18.33203125" style="60" bestFit="1" customWidth="1"/>
    <col min="50" max="50" width="18" style="60" bestFit="1" customWidth="1"/>
    <col min="51" max="63" width="18.33203125" style="60" bestFit="1" customWidth="1"/>
    <col min="64" max="64" width="18" style="60" bestFit="1" customWidth="1"/>
    <col min="65" max="70" width="18.33203125" style="60" bestFit="1" customWidth="1"/>
    <col min="71" max="71" width="18" style="60" bestFit="1" customWidth="1"/>
    <col min="72" max="78" width="18.33203125" style="60" bestFit="1" customWidth="1"/>
    <col min="79" max="79" width="18" style="60" bestFit="1" customWidth="1"/>
    <col min="80" max="83" width="18.33203125" style="60" bestFit="1" customWidth="1"/>
    <col min="84" max="84" width="18" style="60" bestFit="1" customWidth="1"/>
    <col min="85" max="112" width="18.33203125" style="60" bestFit="1" customWidth="1"/>
    <col min="113" max="117" width="20.1640625" style="60" bestFit="1" customWidth="1"/>
    <col min="118" max="118" width="19.6640625" style="60" bestFit="1" customWidth="1"/>
    <col min="119" max="119" width="20.1640625" style="60" bestFit="1" customWidth="1"/>
    <col min="120" max="120" width="19.6640625" style="60" bestFit="1" customWidth="1"/>
    <col min="121" max="121" width="20.1640625" style="60" bestFit="1" customWidth="1"/>
    <col min="122" max="134" width="20.1640625" style="60" customWidth="1"/>
    <col min="135" max="135" width="1.83203125" style="60" bestFit="1" customWidth="1"/>
    <col min="136" max="136" width="3.6640625" style="60" customWidth="1"/>
    <col min="137" max="137" width="21.1640625" style="60" bestFit="1" customWidth="1"/>
    <col min="138" max="138" width="20.1640625" style="60" bestFit="1" customWidth="1"/>
    <col min="139" max="139" width="20.6640625" style="60" bestFit="1" customWidth="1"/>
    <col min="140" max="140" width="19.1640625" style="60" bestFit="1" customWidth="1"/>
    <col min="141" max="141" width="20.1640625" style="60" bestFit="1" customWidth="1"/>
    <col min="142" max="142" width="19.1640625" style="60" bestFit="1" customWidth="1"/>
    <col min="143" max="149" width="21.1640625" style="60" bestFit="1" customWidth="1"/>
    <col min="150" max="150" width="20.6640625" style="60" bestFit="1" customWidth="1"/>
    <col min="151" max="160" width="21.1640625" style="60" bestFit="1" customWidth="1"/>
    <col min="161" max="162" width="1.6640625" style="60" customWidth="1"/>
    <col min="163" max="167" width="21.5" style="60" bestFit="1" customWidth="1"/>
    <col min="168" max="16384" width="12.5" style="60"/>
  </cols>
  <sheetData>
    <row r="1" spans="1:167" ht="18" customHeight="1" x14ac:dyDescent="0.2">
      <c r="A1" s="59"/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 t="s">
        <v>1</v>
      </c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G1" s="39"/>
      <c r="FH1" s="39"/>
      <c r="FI1" s="39">
        <v>8581624187</v>
      </c>
      <c r="FJ1" s="39"/>
      <c r="FK1" s="39"/>
    </row>
    <row r="2" spans="1:167" ht="18" customHeight="1" thickBot="1" x14ac:dyDescent="0.25">
      <c r="A2" s="59" t="s">
        <v>75</v>
      </c>
      <c r="B2" s="40" t="s">
        <v>76</v>
      </c>
      <c r="C2" s="41">
        <v>43208</v>
      </c>
      <c r="D2" s="42">
        <v>43238</v>
      </c>
      <c r="E2" s="42">
        <v>43269</v>
      </c>
      <c r="F2" s="42">
        <v>43282</v>
      </c>
      <c r="G2" s="42">
        <v>43313</v>
      </c>
      <c r="H2" s="42">
        <v>43344</v>
      </c>
      <c r="I2" s="42">
        <v>43374</v>
      </c>
      <c r="J2" s="42">
        <v>43405</v>
      </c>
      <c r="K2" s="42">
        <v>43435</v>
      </c>
      <c r="L2" s="42">
        <v>43466</v>
      </c>
      <c r="M2" s="42">
        <v>43497</v>
      </c>
      <c r="N2" s="42">
        <v>43525</v>
      </c>
      <c r="O2" s="42">
        <v>43556</v>
      </c>
      <c r="P2" s="43">
        <v>43586</v>
      </c>
      <c r="Q2" s="42">
        <v>43617</v>
      </c>
      <c r="R2" s="42">
        <v>43647</v>
      </c>
      <c r="S2" s="42">
        <f t="shared" ref="S2:BT2" si="0">R2+31</f>
        <v>43678</v>
      </c>
      <c r="T2" s="41">
        <f t="shared" si="0"/>
        <v>43709</v>
      </c>
      <c r="U2" s="42">
        <f t="shared" si="0"/>
        <v>43740</v>
      </c>
      <c r="V2" s="42">
        <f t="shared" si="0"/>
        <v>43771</v>
      </c>
      <c r="W2" s="42">
        <f t="shared" si="0"/>
        <v>43802</v>
      </c>
      <c r="X2" s="42">
        <f t="shared" si="0"/>
        <v>43833</v>
      </c>
      <c r="Y2" s="42">
        <f t="shared" si="0"/>
        <v>43864</v>
      </c>
      <c r="Z2" s="42">
        <f t="shared" si="0"/>
        <v>43895</v>
      </c>
      <c r="AA2" s="42">
        <f t="shared" si="0"/>
        <v>43926</v>
      </c>
      <c r="AB2" s="42">
        <f t="shared" si="0"/>
        <v>43957</v>
      </c>
      <c r="AC2" s="44">
        <f t="shared" si="0"/>
        <v>43988</v>
      </c>
      <c r="AD2" s="42">
        <f t="shared" si="0"/>
        <v>44019</v>
      </c>
      <c r="AE2" s="42">
        <f t="shared" si="0"/>
        <v>44050</v>
      </c>
      <c r="AF2" s="42">
        <f t="shared" si="0"/>
        <v>44081</v>
      </c>
      <c r="AG2" s="42">
        <f t="shared" si="0"/>
        <v>44112</v>
      </c>
      <c r="AH2" s="42">
        <f t="shared" si="0"/>
        <v>44143</v>
      </c>
      <c r="AI2" s="42">
        <f t="shared" si="0"/>
        <v>44174</v>
      </c>
      <c r="AJ2" s="42">
        <f t="shared" si="0"/>
        <v>44205</v>
      </c>
      <c r="AK2" s="44">
        <f t="shared" si="0"/>
        <v>44236</v>
      </c>
      <c r="AL2" s="42">
        <f t="shared" si="0"/>
        <v>44267</v>
      </c>
      <c r="AM2" s="42">
        <f t="shared" si="0"/>
        <v>44298</v>
      </c>
      <c r="AN2" s="42">
        <f t="shared" si="0"/>
        <v>44329</v>
      </c>
      <c r="AO2" s="42">
        <f t="shared" si="0"/>
        <v>44360</v>
      </c>
      <c r="AP2" s="42">
        <f t="shared" si="0"/>
        <v>44391</v>
      </c>
      <c r="AQ2" s="42">
        <f t="shared" si="0"/>
        <v>44422</v>
      </c>
      <c r="AR2" s="42">
        <f t="shared" si="0"/>
        <v>44453</v>
      </c>
      <c r="AS2" s="42">
        <f t="shared" si="0"/>
        <v>44484</v>
      </c>
      <c r="AT2" s="42">
        <f t="shared" si="0"/>
        <v>44515</v>
      </c>
      <c r="AU2" s="42">
        <f t="shared" si="0"/>
        <v>44546</v>
      </c>
      <c r="AV2" s="42">
        <f t="shared" si="0"/>
        <v>44577</v>
      </c>
      <c r="AW2" s="42">
        <f t="shared" si="0"/>
        <v>44608</v>
      </c>
      <c r="AX2" s="42">
        <f t="shared" si="0"/>
        <v>44639</v>
      </c>
      <c r="AY2" s="42">
        <f t="shared" si="0"/>
        <v>44670</v>
      </c>
      <c r="AZ2" s="42">
        <f t="shared" si="0"/>
        <v>44701</v>
      </c>
      <c r="BA2" s="42">
        <f t="shared" si="0"/>
        <v>44732</v>
      </c>
      <c r="BB2" s="42">
        <f t="shared" si="0"/>
        <v>44763</v>
      </c>
      <c r="BC2" s="42">
        <f t="shared" si="0"/>
        <v>44794</v>
      </c>
      <c r="BD2" s="42">
        <f t="shared" si="0"/>
        <v>44825</v>
      </c>
      <c r="BE2" s="42">
        <f t="shared" si="0"/>
        <v>44856</v>
      </c>
      <c r="BF2" s="42">
        <f t="shared" si="0"/>
        <v>44887</v>
      </c>
      <c r="BG2" s="42">
        <f t="shared" si="0"/>
        <v>44918</v>
      </c>
      <c r="BH2" s="42">
        <f t="shared" si="0"/>
        <v>44949</v>
      </c>
      <c r="BI2" s="42">
        <f t="shared" si="0"/>
        <v>44980</v>
      </c>
      <c r="BJ2" s="41">
        <f t="shared" si="0"/>
        <v>45011</v>
      </c>
      <c r="BK2" s="42">
        <f t="shared" si="0"/>
        <v>45042</v>
      </c>
      <c r="BL2" s="42">
        <f t="shared" si="0"/>
        <v>45073</v>
      </c>
      <c r="BM2" s="42">
        <f t="shared" si="0"/>
        <v>45104</v>
      </c>
      <c r="BN2" s="42">
        <f t="shared" si="0"/>
        <v>45135</v>
      </c>
      <c r="BO2" s="42">
        <f t="shared" si="0"/>
        <v>45166</v>
      </c>
      <c r="BP2" s="42">
        <f t="shared" si="0"/>
        <v>45197</v>
      </c>
      <c r="BQ2" s="42">
        <f t="shared" si="0"/>
        <v>45228</v>
      </c>
      <c r="BR2" s="42">
        <f t="shared" si="0"/>
        <v>45259</v>
      </c>
      <c r="BS2" s="42">
        <f t="shared" si="0"/>
        <v>45290</v>
      </c>
      <c r="BT2" s="42">
        <f t="shared" si="0"/>
        <v>45321</v>
      </c>
      <c r="BU2" s="42">
        <f t="shared" ref="BU2:CS2" si="1">BT2+30</f>
        <v>45351</v>
      </c>
      <c r="BV2" s="42">
        <f t="shared" si="1"/>
        <v>45381</v>
      </c>
      <c r="BW2" s="42">
        <f t="shared" si="1"/>
        <v>45411</v>
      </c>
      <c r="BX2" s="42">
        <f t="shared" si="1"/>
        <v>45441</v>
      </c>
      <c r="BY2" s="42">
        <f t="shared" si="1"/>
        <v>45471</v>
      </c>
      <c r="BZ2" s="42">
        <f t="shared" si="1"/>
        <v>45501</v>
      </c>
      <c r="CA2" s="42">
        <f t="shared" si="1"/>
        <v>45531</v>
      </c>
      <c r="CB2" s="42">
        <f t="shared" si="1"/>
        <v>45561</v>
      </c>
      <c r="CC2" s="42">
        <f t="shared" si="1"/>
        <v>45591</v>
      </c>
      <c r="CD2" s="42">
        <f t="shared" si="1"/>
        <v>45621</v>
      </c>
      <c r="CE2" s="42">
        <f t="shared" si="1"/>
        <v>45651</v>
      </c>
      <c r="CF2" s="42">
        <f t="shared" si="1"/>
        <v>45681</v>
      </c>
      <c r="CG2" s="42">
        <f t="shared" si="1"/>
        <v>45711</v>
      </c>
      <c r="CH2" s="42">
        <f t="shared" si="1"/>
        <v>45741</v>
      </c>
      <c r="CI2" s="42">
        <f t="shared" si="1"/>
        <v>45771</v>
      </c>
      <c r="CJ2" s="42">
        <f t="shared" si="1"/>
        <v>45801</v>
      </c>
      <c r="CK2" s="42">
        <f t="shared" si="1"/>
        <v>45831</v>
      </c>
      <c r="CL2" s="42">
        <f t="shared" si="1"/>
        <v>45861</v>
      </c>
      <c r="CM2" s="42">
        <f t="shared" si="1"/>
        <v>45891</v>
      </c>
      <c r="CN2" s="42">
        <f t="shared" si="1"/>
        <v>45921</v>
      </c>
      <c r="CO2" s="42">
        <f t="shared" si="1"/>
        <v>45951</v>
      </c>
      <c r="CP2" s="42">
        <f t="shared" si="1"/>
        <v>45981</v>
      </c>
      <c r="CQ2" s="42">
        <f t="shared" si="1"/>
        <v>46011</v>
      </c>
      <c r="CR2" s="42">
        <f t="shared" si="1"/>
        <v>46041</v>
      </c>
      <c r="CS2" s="42">
        <f t="shared" si="1"/>
        <v>46071</v>
      </c>
      <c r="CT2" s="42">
        <f t="shared" ref="CT2" si="2">CS2+30</f>
        <v>46101</v>
      </c>
      <c r="CU2" s="42">
        <f t="shared" ref="CU2" si="3">CT2+30</f>
        <v>46131</v>
      </c>
      <c r="CV2" s="42">
        <f t="shared" ref="CV2" si="4">CU2+30</f>
        <v>46161</v>
      </c>
      <c r="CW2" s="42">
        <f t="shared" ref="CW2" si="5">CV2+30</f>
        <v>46191</v>
      </c>
      <c r="CX2" s="42">
        <f t="shared" ref="CX2" si="6">CW2+30</f>
        <v>46221</v>
      </c>
      <c r="CY2" s="42">
        <f t="shared" ref="CY2" si="7">CX2+30</f>
        <v>46251</v>
      </c>
      <c r="CZ2" s="42">
        <f t="shared" ref="CZ2" si="8">CY2+30</f>
        <v>46281</v>
      </c>
      <c r="DA2" s="42">
        <f t="shared" ref="DA2" si="9">CZ2+30</f>
        <v>46311</v>
      </c>
      <c r="DB2" s="42">
        <f t="shared" ref="DB2" si="10">DA2+30</f>
        <v>46341</v>
      </c>
      <c r="DC2" s="42">
        <f t="shared" ref="DC2" si="11">DB2+30</f>
        <v>46371</v>
      </c>
      <c r="DD2" s="42">
        <f t="shared" ref="DD2" si="12">DC2+30</f>
        <v>46401</v>
      </c>
      <c r="DE2" s="42">
        <f t="shared" ref="DE2" si="13">DD2+30</f>
        <v>46431</v>
      </c>
      <c r="DF2" s="42">
        <f t="shared" ref="DF2" si="14">DE2+30</f>
        <v>46461</v>
      </c>
      <c r="DG2" s="42">
        <f t="shared" ref="DG2" si="15">DF2+30</f>
        <v>46491</v>
      </c>
      <c r="DH2" s="42">
        <f t="shared" ref="DH2" si="16">DG2+30</f>
        <v>46521</v>
      </c>
      <c r="DI2" s="42">
        <f t="shared" ref="DI2" si="17">DH2+30</f>
        <v>46551</v>
      </c>
      <c r="DJ2" s="42">
        <f t="shared" ref="DJ2" si="18">DI2+30</f>
        <v>46581</v>
      </c>
      <c r="DK2" s="42">
        <f t="shared" ref="DK2" si="19">DJ2+30</f>
        <v>46611</v>
      </c>
      <c r="DL2" s="42">
        <f t="shared" ref="DL2" si="20">DK2+30</f>
        <v>46641</v>
      </c>
      <c r="DM2" s="42">
        <f t="shared" ref="DM2" si="21">DL2+30</f>
        <v>46671</v>
      </c>
      <c r="DN2" s="42">
        <f t="shared" ref="DN2" si="22">DM2+30</f>
        <v>46701</v>
      </c>
      <c r="DO2" s="42">
        <f t="shared" ref="DO2" si="23">DN2+30</f>
        <v>46731</v>
      </c>
      <c r="DP2" s="42">
        <f t="shared" ref="DP2" si="24">DO2+30</f>
        <v>46761</v>
      </c>
      <c r="DQ2" s="42">
        <f t="shared" ref="DQ2" si="25">DP2+30</f>
        <v>46791</v>
      </c>
      <c r="DR2" s="45">
        <f t="shared" ref="DR2" si="26">DQ2+30</f>
        <v>46821</v>
      </c>
      <c r="DS2" s="615">
        <f t="shared" ref="DS2" si="27">DR2+30</f>
        <v>46851</v>
      </c>
      <c r="DT2" s="616">
        <f t="shared" ref="DT2" si="28">DS2+30</f>
        <v>46881</v>
      </c>
      <c r="DU2" s="616">
        <f t="shared" ref="DU2" si="29">DT2+30</f>
        <v>46911</v>
      </c>
      <c r="DV2" s="616">
        <f t="shared" ref="DV2" si="30">DU2+30</f>
        <v>46941</v>
      </c>
      <c r="DW2" s="616">
        <f t="shared" ref="DW2" si="31">DV2+30</f>
        <v>46971</v>
      </c>
      <c r="DX2" s="616">
        <f t="shared" ref="DX2" si="32">DW2+30</f>
        <v>47001</v>
      </c>
      <c r="DY2" s="616">
        <f t="shared" ref="DY2" si="33">DX2+30</f>
        <v>47031</v>
      </c>
      <c r="DZ2" s="616">
        <f t="shared" ref="DZ2" si="34">DY2+30</f>
        <v>47061</v>
      </c>
      <c r="EA2" s="616">
        <f t="shared" ref="EA2" si="35">DZ2+30</f>
        <v>47091</v>
      </c>
      <c r="EB2" s="616">
        <f t="shared" ref="EB2" si="36">EA2+30</f>
        <v>47121</v>
      </c>
      <c r="EC2" s="616">
        <f t="shared" ref="EC2" si="37">EB2+30</f>
        <v>47151</v>
      </c>
      <c r="ED2" s="617">
        <f t="shared" ref="ED2" si="38">EC2+30</f>
        <v>47181</v>
      </c>
      <c r="EE2" s="39" t="s">
        <v>1</v>
      </c>
      <c r="EF2" s="39"/>
      <c r="EG2" s="291" t="s">
        <v>77</v>
      </c>
      <c r="EH2" s="291" t="s">
        <v>78</v>
      </c>
      <c r="EI2" s="291" t="s">
        <v>79</v>
      </c>
      <c r="EJ2" s="291" t="s">
        <v>80</v>
      </c>
      <c r="EK2" s="291" t="s">
        <v>81</v>
      </c>
      <c r="EL2" s="291" t="s">
        <v>82</v>
      </c>
      <c r="EM2" s="291" t="s">
        <v>83</v>
      </c>
      <c r="EN2" s="291" t="s">
        <v>84</v>
      </c>
      <c r="EO2" s="291" t="s">
        <v>85</v>
      </c>
      <c r="EP2" s="291" t="s">
        <v>86</v>
      </c>
      <c r="EQ2" s="291" t="s">
        <v>87</v>
      </c>
      <c r="ER2" s="291" t="s">
        <v>88</v>
      </c>
      <c r="ES2" s="291" t="s">
        <v>117</v>
      </c>
      <c r="ET2" s="291" t="s">
        <v>118</v>
      </c>
      <c r="EU2" s="291" t="s">
        <v>119</v>
      </c>
      <c r="EV2" s="291" t="s">
        <v>120</v>
      </c>
      <c r="EW2" s="291" t="s">
        <v>121</v>
      </c>
      <c r="EX2" s="291" t="s">
        <v>122</v>
      </c>
      <c r="EY2" s="291" t="s">
        <v>123</v>
      </c>
      <c r="EZ2" s="291" t="s">
        <v>124</v>
      </c>
      <c r="FA2" s="291" t="s">
        <v>583</v>
      </c>
      <c r="FB2" s="291" t="s">
        <v>584</v>
      </c>
      <c r="FC2" s="291" t="s">
        <v>585</v>
      </c>
      <c r="FD2" s="291" t="s">
        <v>581</v>
      </c>
      <c r="FG2" s="46" t="s">
        <v>128</v>
      </c>
      <c r="FH2" s="44" t="s">
        <v>125</v>
      </c>
      <c r="FI2" s="44" t="s">
        <v>126</v>
      </c>
      <c r="FJ2" s="47" t="s">
        <v>127</v>
      </c>
      <c r="FK2" s="47" t="s">
        <v>582</v>
      </c>
    </row>
    <row r="3" spans="1:167" ht="15.75" customHeight="1" x14ac:dyDescent="0.2">
      <c r="B3" s="65" t="s">
        <v>2</v>
      </c>
      <c r="C3" s="61">
        <f>'P&amp;L - Inputs'!B7</f>
        <v>127373162</v>
      </c>
      <c r="D3" s="62">
        <f>'P&amp;L - Inputs'!C7</f>
        <v>119525214</v>
      </c>
      <c r="E3" s="62">
        <f>'P&amp;L - Inputs'!D7</f>
        <v>133618915.88573273</v>
      </c>
      <c r="F3" s="62">
        <f>'P&amp;L - Inputs'!E7</f>
        <v>155721260.4144277</v>
      </c>
      <c r="G3" s="62">
        <f>'P&amp;L - Inputs'!F7</f>
        <v>182921172.49998167</v>
      </c>
      <c r="H3" s="62">
        <f>'P&amp;L - Inputs'!G7</f>
        <v>190468885</v>
      </c>
      <c r="I3" s="62">
        <f>'P&amp;L - Inputs'!H7</f>
        <v>203496304</v>
      </c>
      <c r="J3" s="62">
        <f>'P&amp;L - Inputs'!I7</f>
        <v>191306750</v>
      </c>
      <c r="K3" s="62">
        <f>'P&amp;L - Inputs'!J7</f>
        <v>241759536</v>
      </c>
      <c r="L3" s="62">
        <f>'P&amp;L - Inputs'!K7</f>
        <v>234336044</v>
      </c>
      <c r="M3" s="62">
        <f>'P&amp;L - Inputs'!L7</f>
        <v>238581665.40440598</v>
      </c>
      <c r="N3" s="62">
        <f>'P&amp;L - Inputs'!M7</f>
        <v>208964937</v>
      </c>
      <c r="O3" s="62">
        <f>'P&amp;L - Inputs'!N7</f>
        <v>269521577.81535649</v>
      </c>
      <c r="P3" s="62">
        <f>'P&amp;L - Inputs'!O7</f>
        <v>266887280.18464351</v>
      </c>
      <c r="Q3" s="62">
        <f>'P&amp;L - Inputs'!P7</f>
        <v>286264611.91390729</v>
      </c>
      <c r="R3" s="62">
        <f>'P&amp;L - Inputs'!Q7</f>
        <v>292672912</v>
      </c>
      <c r="S3" s="62">
        <f>'P&amp;L - Inputs'!R7</f>
        <v>241502333.08609271</v>
      </c>
      <c r="T3" s="62">
        <f>'P&amp;L - Inputs'!S7</f>
        <v>214319223</v>
      </c>
      <c r="U3" s="62">
        <f>'P&amp;L - Inputs'!T7</f>
        <v>181364156</v>
      </c>
      <c r="V3" s="62">
        <f>'P&amp;L - Inputs'!U7</f>
        <v>220788768</v>
      </c>
      <c r="W3" s="62">
        <f>'P&amp;L - Inputs'!V7</f>
        <v>254495973.5</v>
      </c>
      <c r="X3" s="62">
        <f>'P&amp;L - Inputs'!W7</f>
        <v>257334479</v>
      </c>
      <c r="Y3" s="62">
        <f>'P&amp;L - Inputs'!X7</f>
        <v>293793284.5179283</v>
      </c>
      <c r="Z3" s="62">
        <f>'P&amp;L - Inputs'!Y7</f>
        <v>182610351</v>
      </c>
      <c r="AA3" s="62">
        <f>'P&amp;L - Inputs'!Z7</f>
        <v>0</v>
      </c>
      <c r="AB3" s="62">
        <f>'P&amp;L - Inputs'!AA7</f>
        <v>140900548</v>
      </c>
      <c r="AC3" s="614">
        <f>'P&amp;L - Inputs'!AB7</f>
        <v>146263086</v>
      </c>
      <c r="AD3" s="62">
        <f>'P&amp;L - Inputs'!AC7</f>
        <v>119828870</v>
      </c>
      <c r="AE3" s="62">
        <f>'P&amp;L - Inputs'!AD7</f>
        <v>200258733</v>
      </c>
      <c r="AF3" s="62">
        <f>'P&amp;L - Inputs'!AE7</f>
        <v>206503898</v>
      </c>
      <c r="AG3" s="62">
        <f>'P&amp;L - Inputs'!AF7</f>
        <v>186804306</v>
      </c>
      <c r="AH3" s="62">
        <f>'P&amp;L - Inputs'!AG7</f>
        <v>220638888.32500002</v>
      </c>
      <c r="AI3" s="62">
        <f>'P&amp;L - Inputs'!AH7</f>
        <v>354432755.13367635</v>
      </c>
      <c r="AJ3" s="62">
        <f>'P&amp;L - Inputs'!AI7</f>
        <v>305908596.7889834</v>
      </c>
      <c r="AK3" s="614">
        <f>'P&amp;L - Inputs'!AJ7</f>
        <v>382602163.1035679</v>
      </c>
      <c r="AL3" s="62">
        <f>'P&amp;L - Inputs'!AK7</f>
        <v>321577169.91072345</v>
      </c>
      <c r="AM3" s="62">
        <f>'P&amp;L - Inputs'!AL7</f>
        <v>221847142.8799791</v>
      </c>
      <c r="AN3" s="62">
        <f>'P&amp;L - Inputs'!AM7</f>
        <v>103928152.47617462</v>
      </c>
      <c r="AO3" s="62">
        <f>'P&amp;L - Inputs'!AN7</f>
        <v>229507545.94999999</v>
      </c>
      <c r="AP3" s="62">
        <f>'P&amp;L - Inputs'!AO7</f>
        <v>322690111</v>
      </c>
      <c r="AQ3" s="62">
        <f>'P&amp;L - Inputs'!AP7</f>
        <v>318471079.77997899</v>
      </c>
      <c r="AR3" s="62">
        <f>'P&amp;L - Inputs'!AQ7</f>
        <v>309777508.02931261</v>
      </c>
      <c r="AS3" s="62">
        <f>'P&amp;L - Inputs'!AR7</f>
        <v>276140051.35999995</v>
      </c>
      <c r="AT3" s="62">
        <f>'P&amp;L - Inputs'!AS7</f>
        <v>314124397.13</v>
      </c>
      <c r="AU3" s="62">
        <f>'P&amp;L - Inputs'!AT7</f>
        <v>420504821.24440998</v>
      </c>
      <c r="AV3" s="62">
        <f>'P&amp;L - Inputs'!AU7</f>
        <v>387766797.39000005</v>
      </c>
      <c r="AW3" s="62">
        <f>'P&amp;L - Inputs'!AV7</f>
        <v>406585986</v>
      </c>
      <c r="AX3" s="62">
        <f>'P&amp;L - Inputs'!AW7</f>
        <v>367317139</v>
      </c>
      <c r="AY3" s="62">
        <f>'P&amp;L - Inputs'!AX7</f>
        <v>364497378</v>
      </c>
      <c r="AZ3" s="62">
        <f>'P&amp;L - Inputs'!AY7</f>
        <v>418830243</v>
      </c>
      <c r="BA3" s="62">
        <f t="shared" ref="BA3:EK3" si="39">BA4+BA5</f>
        <v>322870975.1767897</v>
      </c>
      <c r="BB3" s="62">
        <f t="shared" si="39"/>
        <v>359628843.35487264</v>
      </c>
      <c r="BC3" s="62">
        <f t="shared" si="39"/>
        <v>376695151.4534688</v>
      </c>
      <c r="BD3" s="62">
        <f t="shared" si="39"/>
        <v>376498617.62746155</v>
      </c>
      <c r="BE3" s="62">
        <f t="shared" si="39"/>
        <v>426381068.204934</v>
      </c>
      <c r="BF3" s="62">
        <f t="shared" si="39"/>
        <v>464667093.57513422</v>
      </c>
      <c r="BG3" s="62">
        <f t="shared" si="39"/>
        <v>586468513.06378782</v>
      </c>
      <c r="BH3" s="62">
        <f t="shared" si="39"/>
        <v>529432974.80171537</v>
      </c>
      <c r="BI3" s="62">
        <f t="shared" si="39"/>
        <v>438052413.00878203</v>
      </c>
      <c r="BJ3" s="61">
        <f t="shared" si="39"/>
        <v>483097865.52214754</v>
      </c>
      <c r="BK3" s="62">
        <f t="shared" si="39"/>
        <v>465156106.77914608</v>
      </c>
      <c r="BL3" s="62">
        <f t="shared" si="39"/>
        <v>467761798.58857548</v>
      </c>
      <c r="BM3" s="62">
        <f t="shared" si="39"/>
        <v>356157796.08981013</v>
      </c>
      <c r="BN3" s="62">
        <f t="shared" si="39"/>
        <v>343848864.02146912</v>
      </c>
      <c r="BO3" s="62">
        <f t="shared" si="39"/>
        <v>357246301.53921914</v>
      </c>
      <c r="BP3" s="62">
        <f t="shared" si="39"/>
        <v>340491295.51765794</v>
      </c>
      <c r="BQ3" s="62">
        <f t="shared" si="39"/>
        <v>317041613.21641493</v>
      </c>
      <c r="BR3" s="62">
        <f t="shared" si="39"/>
        <v>367727559.82077271</v>
      </c>
      <c r="BS3" s="62">
        <f t="shared" si="39"/>
        <v>340522215.06612939</v>
      </c>
      <c r="BT3" s="62">
        <f t="shared" si="39"/>
        <v>309883181.41198385</v>
      </c>
      <c r="BU3" s="62">
        <f t="shared" si="39"/>
        <v>326926750.67292452</v>
      </c>
      <c r="BV3" s="62">
        <f t="shared" si="39"/>
        <v>331126951.70715314</v>
      </c>
      <c r="BW3" s="62">
        <f t="shared" si="39"/>
        <v>345838800.88999087</v>
      </c>
      <c r="BX3" s="62">
        <f t="shared" si="39"/>
        <v>358814442.13857877</v>
      </c>
      <c r="BY3" s="62">
        <f t="shared" si="39"/>
        <v>340489885.997253</v>
      </c>
      <c r="BZ3" s="62">
        <f t="shared" si="39"/>
        <v>324536838.66845638</v>
      </c>
      <c r="CA3" s="62">
        <f t="shared" si="39"/>
        <v>314658451.51999211</v>
      </c>
      <c r="CB3" s="62">
        <f t="shared" si="39"/>
        <v>283536612.59798515</v>
      </c>
      <c r="CC3" s="62">
        <f t="shared" si="39"/>
        <v>328752031.30583686</v>
      </c>
      <c r="CD3" s="62">
        <f t="shared" si="39"/>
        <v>332303203.63122046</v>
      </c>
      <c r="CE3" s="62">
        <f t="shared" si="39"/>
        <v>374321188.22292244</v>
      </c>
      <c r="CF3" s="62">
        <f t="shared" si="39"/>
        <v>419344448.09682226</v>
      </c>
      <c r="CG3" s="62">
        <f t="shared" si="39"/>
        <v>477025765.6203171</v>
      </c>
      <c r="CH3" s="62">
        <f t="shared" si="39"/>
        <v>592641444.29802144</v>
      </c>
      <c r="CI3" s="62">
        <f t="shared" si="39"/>
        <v>512359832.06920522</v>
      </c>
      <c r="CJ3" s="62">
        <f t="shared" si="39"/>
        <v>508880293.69166654</v>
      </c>
      <c r="CK3" s="62">
        <f t="shared" si="39"/>
        <v>519512444.67211092</v>
      </c>
      <c r="CL3" s="62">
        <f t="shared" si="39"/>
        <v>508328020.85000002</v>
      </c>
      <c r="CM3" s="62">
        <f t="shared" si="39"/>
        <v>438932744.76999933</v>
      </c>
      <c r="CN3" s="62">
        <f t="shared" si="39"/>
        <v>376466762.65999961</v>
      </c>
      <c r="CO3" s="62">
        <f t="shared" si="39"/>
        <v>479196803.51000047</v>
      </c>
      <c r="CP3" s="62">
        <f t="shared" si="39"/>
        <v>566540141.60000002</v>
      </c>
      <c r="CQ3" s="62">
        <f t="shared" si="39"/>
        <v>691432764.24999988</v>
      </c>
      <c r="CR3" s="62">
        <f t="shared" si="39"/>
        <v>739728865.04000056</v>
      </c>
      <c r="CS3" s="62">
        <f t="shared" si="39"/>
        <v>684737705.31000066</v>
      </c>
      <c r="CT3" s="62">
        <f t="shared" si="39"/>
        <v>671109110.16999948</v>
      </c>
      <c r="CU3" s="62">
        <f t="shared" si="39"/>
        <v>691094295.16928589</v>
      </c>
      <c r="CV3" s="62">
        <f t="shared" si="39"/>
        <v>716568780.09224498</v>
      </c>
      <c r="CW3" s="62">
        <f t="shared" si="39"/>
        <v>682062192.59566939</v>
      </c>
      <c r="CX3" s="62">
        <f t="shared" si="39"/>
        <v>681231502.86992085</v>
      </c>
      <c r="CY3" s="62">
        <f t="shared" si="39"/>
        <v>635161186.96887553</v>
      </c>
      <c r="CZ3" s="62">
        <f t="shared" si="39"/>
        <v>552276812.11084163</v>
      </c>
      <c r="DA3" s="62">
        <f t="shared" si="39"/>
        <v>648069841.59598577</v>
      </c>
      <c r="DB3" s="62">
        <f t="shared" si="39"/>
        <v>797567621.12834144</v>
      </c>
      <c r="DC3" s="62">
        <f t="shared" si="39"/>
        <v>888336955.60538661</v>
      </c>
      <c r="DD3" s="62">
        <f t="shared" si="39"/>
        <v>835133256.50386453</v>
      </c>
      <c r="DE3" s="62">
        <f t="shared" si="39"/>
        <v>815639264.82517195</v>
      </c>
      <c r="DF3" s="62">
        <f t="shared" si="39"/>
        <v>786021992.36650622</v>
      </c>
      <c r="DG3" s="62">
        <f t="shared" si="39"/>
        <v>863867868.9616071</v>
      </c>
      <c r="DH3" s="62">
        <f t="shared" si="39"/>
        <v>895710975.11530626</v>
      </c>
      <c r="DI3" s="62">
        <f t="shared" si="39"/>
        <v>852577740.74458647</v>
      </c>
      <c r="DJ3" s="62">
        <f t="shared" si="39"/>
        <v>851539378.58740079</v>
      </c>
      <c r="DK3" s="62">
        <f t="shared" si="39"/>
        <v>793951483.71109426</v>
      </c>
      <c r="DL3" s="62">
        <f t="shared" si="39"/>
        <v>690346015.13855171</v>
      </c>
      <c r="DM3" s="62">
        <f t="shared" si="39"/>
        <v>810087301.99498188</v>
      </c>
      <c r="DN3" s="62">
        <f t="shared" si="39"/>
        <v>996959526.41042662</v>
      </c>
      <c r="DO3" s="62">
        <f t="shared" si="39"/>
        <v>1110421194.5067329</v>
      </c>
      <c r="DP3" s="62">
        <f t="shared" si="39"/>
        <v>1043916570.6298305</v>
      </c>
      <c r="DQ3" s="62">
        <f t="shared" si="39"/>
        <v>1019549081.0314648</v>
      </c>
      <c r="DR3" s="63">
        <f t="shared" si="39"/>
        <v>982527490.45813274</v>
      </c>
      <c r="DS3" s="63">
        <f t="shared" ref="DS3:ED3" si="40">DS4+DS5</f>
        <v>1036641442.7539287</v>
      </c>
      <c r="DT3" s="63">
        <f t="shared" si="40"/>
        <v>1074853170.1383672</v>
      </c>
      <c r="DU3" s="63">
        <f t="shared" si="40"/>
        <v>1023093288.8935038</v>
      </c>
      <c r="DV3" s="63">
        <f t="shared" si="40"/>
        <v>1021847254.3048809</v>
      </c>
      <c r="DW3" s="63">
        <f t="shared" si="40"/>
        <v>952741780.45331299</v>
      </c>
      <c r="DX3" s="63">
        <f t="shared" si="40"/>
        <v>828415218.16626203</v>
      </c>
      <c r="DY3" s="63">
        <f t="shared" si="40"/>
        <v>972104762.39397836</v>
      </c>
      <c r="DZ3" s="63">
        <f t="shared" si="40"/>
        <v>1196351431.692512</v>
      </c>
      <c r="EA3" s="63">
        <f t="shared" si="40"/>
        <v>1332505433.4080799</v>
      </c>
      <c r="EB3" s="63">
        <f t="shared" si="40"/>
        <v>1252699884.7557969</v>
      </c>
      <c r="EC3" s="63">
        <f t="shared" si="40"/>
        <v>1223458897.2377577</v>
      </c>
      <c r="ED3" s="63">
        <f t="shared" si="40"/>
        <v>1179032988.5497591</v>
      </c>
      <c r="EE3" s="39" t="s">
        <v>1</v>
      </c>
      <c r="EF3" s="64"/>
      <c r="EG3" s="625">
        <f t="shared" si="39"/>
        <v>1289075701.4575317</v>
      </c>
      <c r="EH3" s="625">
        <f t="shared" si="39"/>
        <v>1041586461.0783463</v>
      </c>
      <c r="EI3" s="625">
        <f t="shared" si="39"/>
        <v>1025291388.1033171</v>
      </c>
      <c r="EJ3" s="625">
        <f t="shared" si="39"/>
        <v>967936883.79206145</v>
      </c>
      <c r="EK3" s="625">
        <f t="shared" si="39"/>
        <v>1045143129.0258226</v>
      </c>
      <c r="EL3" s="625">
        <f t="shared" ref="EL3:FD3" si="41">EL4+EL5</f>
        <v>922731902.78643358</v>
      </c>
      <c r="EM3" s="625">
        <f t="shared" si="41"/>
        <v>1035376423.1599797</v>
      </c>
      <c r="EN3" s="625">
        <f t="shared" si="41"/>
        <v>1489011658.0151608</v>
      </c>
      <c r="EO3" s="625">
        <f t="shared" si="41"/>
        <v>1540752570.4329829</v>
      </c>
      <c r="EP3" s="625">
        <f t="shared" si="41"/>
        <v>1323727528.279999</v>
      </c>
      <c r="EQ3" s="625">
        <f t="shared" si="41"/>
        <v>1737169709.3600004</v>
      </c>
      <c r="ER3" s="625">
        <f t="shared" si="41"/>
        <v>2095575680.5200005</v>
      </c>
      <c r="ES3" s="625">
        <f t="shared" si="41"/>
        <v>2089725267.8572004</v>
      </c>
      <c r="ET3" s="625">
        <f t="shared" si="41"/>
        <v>1868669501.9496379</v>
      </c>
      <c r="EU3" s="625">
        <f t="shared" si="41"/>
        <v>2333974418.3297138</v>
      </c>
      <c r="EV3" s="625">
        <f t="shared" si="41"/>
        <v>2436794513.6955423</v>
      </c>
      <c r="EW3" s="625">
        <f t="shared" si="41"/>
        <v>2612156584.8214998</v>
      </c>
      <c r="EX3" s="625">
        <f t="shared" si="41"/>
        <v>2335836877.4370465</v>
      </c>
      <c r="EY3" s="625">
        <f t="shared" si="41"/>
        <v>2917468022.9121418</v>
      </c>
      <c r="EZ3" s="625">
        <f t="shared" si="41"/>
        <v>3045993142.1194282</v>
      </c>
      <c r="FA3" s="625">
        <f t="shared" si="41"/>
        <v>3134587901.7858</v>
      </c>
      <c r="FB3" s="625">
        <f t="shared" si="41"/>
        <v>2803004252.9244561</v>
      </c>
      <c r="FC3" s="625">
        <f t="shared" si="41"/>
        <v>3500961627.4945703</v>
      </c>
      <c r="FD3" s="625">
        <f t="shared" si="41"/>
        <v>3655191770.5433135</v>
      </c>
      <c r="FG3" s="65">
        <f t="shared" ref="FG3" si="42">FG4+FG5</f>
        <v>4492263112.9873972</v>
      </c>
      <c r="FH3" s="62">
        <f t="shared" ref="FH3:FK3" si="43">FH4+FH5</f>
        <v>6697225488.5929823</v>
      </c>
      <c r="FI3" s="62">
        <f t="shared" si="43"/>
        <v>8729163701.8320942</v>
      </c>
      <c r="FJ3" s="63">
        <f t="shared" si="43"/>
        <v>10911454627.290117</v>
      </c>
      <c r="FK3" s="63">
        <f t="shared" si="43"/>
        <v>13093745552.74814</v>
      </c>
    </row>
    <row r="4" spans="1:167" ht="15.75" customHeight="1" x14ac:dyDescent="0.2">
      <c r="B4" s="48" t="s">
        <v>3</v>
      </c>
      <c r="C4" s="66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67"/>
      <c r="AE4" s="67"/>
      <c r="AF4" s="67"/>
      <c r="AG4" s="67"/>
      <c r="AH4" s="67"/>
      <c r="AI4" s="67"/>
      <c r="AJ4" s="67"/>
      <c r="AK4" s="68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>
        <f>'P&amp;L - Inputs'!AZ8</f>
        <v>57900213.295814104</v>
      </c>
      <c r="BB4" s="67">
        <f>'P&amp;L - Inputs'!BA8</f>
        <v>62484772.600000001</v>
      </c>
      <c r="BC4" s="67">
        <f>'P&amp;L - Inputs'!BB8</f>
        <v>63293292.101395138</v>
      </c>
      <c r="BD4" s="67">
        <f>'P&amp;L - Inputs'!BC8</f>
        <v>112719322.40801412</v>
      </c>
      <c r="BE4" s="67">
        <f>'P&amp;L - Inputs'!BD8</f>
        <v>101615364.11710085</v>
      </c>
      <c r="BF4" s="67">
        <f>'P&amp;L - Inputs'!BE8</f>
        <v>122469494.89015003</v>
      </c>
      <c r="BG4" s="67">
        <f>'P&amp;L - Inputs'!BF8</f>
        <v>147769886.55559939</v>
      </c>
      <c r="BH4" s="67">
        <f>'P&amp;L - Inputs'!BG8</f>
        <v>112084845.54999986</v>
      </c>
      <c r="BI4" s="67">
        <f>'P&amp;L - Inputs'!BH8</f>
        <v>59806800.499999911</v>
      </c>
      <c r="BJ4" s="66">
        <f>'P&amp;L - Inputs'!BI8</f>
        <v>64466320.749999851</v>
      </c>
      <c r="BK4" s="67">
        <f>'P&amp;L - Inputs'!BJ8</f>
        <v>39228576.649999946</v>
      </c>
      <c r="BL4" s="67">
        <f>'P&amp;L - Inputs'!BK8</f>
        <v>32647112.999999903</v>
      </c>
      <c r="BM4" s="67">
        <f>'P&amp;L - Inputs'!BL8</f>
        <v>33153913.000000041</v>
      </c>
      <c r="BN4" s="67">
        <f>'P&amp;L - Inputs'!BM8</f>
        <v>15345796.000000387</v>
      </c>
      <c r="BO4" s="67">
        <f>'P&amp;L - Inputs'!BN8</f>
        <v>12681234.999999998</v>
      </c>
      <c r="BP4" s="67">
        <f>'P&amp;L - Inputs'!BO8</f>
        <v>18397364.999999866</v>
      </c>
      <c r="BQ4" s="67">
        <f>'P&amp;L - Inputs'!BP8</f>
        <v>28562914.000000004</v>
      </c>
      <c r="BR4" s="67">
        <f>'P&amp;L - Inputs'!BQ8</f>
        <v>51819029.00000006</v>
      </c>
      <c r="BS4" s="67">
        <f>'P&amp;L - Inputs'!BR8</f>
        <v>42511548.720000289</v>
      </c>
      <c r="BT4" s="67">
        <f>'P&amp;L - Inputs'!BS8</f>
        <v>26524843.000000019</v>
      </c>
      <c r="BU4" s="67">
        <f>'P&amp;L - Inputs'!BT8</f>
        <v>18495206</v>
      </c>
      <c r="BV4" s="67">
        <f>'P&amp;L - Inputs'!BU8</f>
        <v>31427878.000000097</v>
      </c>
      <c r="BW4" s="67">
        <f>'P&amp;L - Inputs'!BV8</f>
        <v>27850812.400000036</v>
      </c>
      <c r="BX4" s="67">
        <f>'P&amp;L - Inputs'!BW8</f>
        <v>22729297.00000003</v>
      </c>
      <c r="BY4" s="67">
        <f>'P&amp;L - Inputs'!BX8</f>
        <v>10946709.999999994</v>
      </c>
      <c r="BZ4" s="67">
        <f>'P&amp;L - Inputs'!BY8</f>
        <v>21263729.999999959</v>
      </c>
      <c r="CA4" s="67">
        <f>'P&amp;L - Inputs'!BZ8</f>
        <v>29270284.000000041</v>
      </c>
      <c r="CB4" s="67">
        <f>'P&amp;L - Inputs'!CA8</f>
        <v>35801443.000000045</v>
      </c>
      <c r="CC4" s="67">
        <f>'P&amp;L - Inputs'!CB8</f>
        <v>25116075.999999996</v>
      </c>
      <c r="CD4" s="67">
        <f>'P&amp;L - Inputs'!CC8</f>
        <v>15694578.999999998</v>
      </c>
      <c r="CE4" s="67">
        <f>'P&amp;L - Inputs'!CD8</f>
        <v>35993005.999999888</v>
      </c>
      <c r="CF4" s="67">
        <f>'P&amp;L - Inputs'!CE8</f>
        <v>54975278.999999918</v>
      </c>
      <c r="CG4" s="67">
        <f>'P&amp;L - Inputs'!CF8</f>
        <v>35182058.00000003</v>
      </c>
      <c r="CH4" s="67">
        <f>'P&amp;L - Inputs'!CG8</f>
        <v>70684510.999999911</v>
      </c>
      <c r="CI4" s="67">
        <f>'P&amp;L - Inputs'!CH8</f>
        <v>57976140.191176698</v>
      </c>
      <c r="CJ4" s="67">
        <f>'P&amp;L - Inputs'!CI8</f>
        <v>56362233.000000045</v>
      </c>
      <c r="CK4" s="67">
        <f>'P&amp;L - Inputs'!CJ8</f>
        <v>25843707.000000019</v>
      </c>
      <c r="CL4" s="67">
        <f>'P&amp;L - Inputs'!CK8</f>
        <v>29562162.310000006</v>
      </c>
      <c r="CM4" s="67">
        <f>'P&amp;L - Inputs'!CL8</f>
        <v>19353126.289999995</v>
      </c>
      <c r="CN4" s="67">
        <f>'P&amp;L - Inputs'!CM8</f>
        <v>16747344.409999996</v>
      </c>
      <c r="CO4" s="67">
        <f>'P&amp;L - Inputs'!CN8</f>
        <v>22624142.569999993</v>
      </c>
      <c r="CP4" s="67">
        <f>'P&amp;L - Inputs'!CO8</f>
        <v>41629922.06999997</v>
      </c>
      <c r="CQ4" s="67">
        <f>'P&amp;L - Inputs'!CP8</f>
        <v>72883676.139999956</v>
      </c>
      <c r="CR4" s="67">
        <f>'P&amp;L - Inputs'!CQ8</f>
        <v>54851941.210000023</v>
      </c>
      <c r="CS4" s="67">
        <f>'P&amp;L - Inputs'!CR8</f>
        <v>38432466.660000041</v>
      </c>
      <c r="CT4" s="67">
        <f>'P&amp;L - Inputs'!CS8</f>
        <v>26174247.53999975</v>
      </c>
      <c r="CU4" s="67">
        <f>'P&amp;L - Inputs'!CT8</f>
        <v>26953699.303322565</v>
      </c>
      <c r="CV4" s="67">
        <f>'P&amp;L - Inputs'!CU8</f>
        <v>27947241.879668493</v>
      </c>
      <c r="CW4" s="67">
        <f>'P&amp;L - Inputs'!CV8</f>
        <v>26601433.948872786</v>
      </c>
      <c r="CX4" s="67">
        <f>'P&amp;L - Inputs'!CW8</f>
        <v>26569035.821383253</v>
      </c>
      <c r="CY4" s="67">
        <f>'P&amp;L - Inputs'!CX8</f>
        <v>24772225.385693457</v>
      </c>
      <c r="CZ4" s="67">
        <f>'P&amp;L - Inputs'!CY8</f>
        <v>21539612.220625903</v>
      </c>
      <c r="DA4" s="67">
        <f>'P&amp;L - Inputs'!CZ8</f>
        <v>25275682.001761086</v>
      </c>
      <c r="DB4" s="67">
        <f>'P&amp;L - Inputs'!DA8</f>
        <v>31106316.437894698</v>
      </c>
      <c r="DC4" s="67">
        <f>'P&amp;L - Inputs'!DB8</f>
        <v>34646454.686116949</v>
      </c>
      <c r="DD4" s="67">
        <f>'P&amp;L - Inputs'!DC8</f>
        <v>32571431.758810613</v>
      </c>
      <c r="DE4" s="67">
        <f>'P&amp;L - Inputs'!DD8</f>
        <v>31811137.261226546</v>
      </c>
      <c r="DF4" s="67">
        <f>'P&amp;L - Inputs'!DE8</f>
        <v>30656019.845823914</v>
      </c>
      <c r="DG4" s="67">
        <f>'P&amp;L - Inputs'!DF8</f>
        <v>33692124.129153199</v>
      </c>
      <c r="DH4" s="67">
        <f>'P&amp;L - Inputs'!DG8</f>
        <v>34934052.349585623</v>
      </c>
      <c r="DI4" s="67">
        <f>'P&amp;L - Inputs'!DH8</f>
        <v>33251792.436090983</v>
      </c>
      <c r="DJ4" s="67">
        <f>'P&amp;L - Inputs'!DI8</f>
        <v>33211294.776729058</v>
      </c>
      <c r="DK4" s="67">
        <f>'P&amp;L - Inputs'!DJ8</f>
        <v>30965281.732116822</v>
      </c>
      <c r="DL4" s="67">
        <f>'P&amp;L - Inputs'!DK8</f>
        <v>26924515.275782377</v>
      </c>
      <c r="DM4" s="67">
        <f>'P&amp;L - Inputs'!DL8</f>
        <v>31594602.502201356</v>
      </c>
      <c r="DN4" s="67">
        <f>'P&amp;L - Inputs'!DM8</f>
        <v>38882895.547368377</v>
      </c>
      <c r="DO4" s="67">
        <f>'P&amp;L - Inputs'!DN8</f>
        <v>43308068.35764619</v>
      </c>
      <c r="DP4" s="67">
        <f>'P&amp;L - Inputs'!DO8</f>
        <v>40714289.698513269</v>
      </c>
      <c r="DQ4" s="67">
        <f>'P&amp;L - Inputs'!DP8</f>
        <v>39763921.576533183</v>
      </c>
      <c r="DR4" s="69">
        <f>'P&amp;L - Inputs'!DQ8</f>
        <v>38320024.807279885</v>
      </c>
      <c r="DS4" s="69">
        <f>'P&amp;L - Inputs'!DR8</f>
        <v>40430548.954983845</v>
      </c>
      <c r="DT4" s="69">
        <f>'P&amp;L - Inputs'!DS8</f>
        <v>41920862.819502734</v>
      </c>
      <c r="DU4" s="69">
        <f>'P&amp;L - Inputs'!DT8</f>
        <v>39902150.923309177</v>
      </c>
      <c r="DV4" s="69">
        <f>'P&amp;L - Inputs'!DU8</f>
        <v>39853553.732074864</v>
      </c>
      <c r="DW4" s="69">
        <f>'P&amp;L - Inputs'!DV8</f>
        <v>37158338.078540176</v>
      </c>
      <c r="DX4" s="69">
        <f>'P&amp;L - Inputs'!DW8</f>
        <v>32309418.330938846</v>
      </c>
      <c r="DY4" s="69">
        <f>'P&amp;L - Inputs'!DX8</f>
        <v>37913523.002641626</v>
      </c>
      <c r="DZ4" s="69">
        <f>'P&amp;L - Inputs'!DY8</f>
        <v>46659474.656842053</v>
      </c>
      <c r="EA4" s="69">
        <f>'P&amp;L - Inputs'!DZ8</f>
        <v>51969682.029175416</v>
      </c>
      <c r="EB4" s="69">
        <f>'P&amp;L - Inputs'!EA8</f>
        <v>48857147.638215922</v>
      </c>
      <c r="EC4" s="69">
        <f>'P&amp;L - Inputs'!EB8</f>
        <v>47716705.89183981</v>
      </c>
      <c r="ED4" s="69">
        <f>'P&amp;L - Inputs'!EC8</f>
        <v>45984029.768735856</v>
      </c>
      <c r="EE4" s="39" t="s">
        <v>1</v>
      </c>
      <c r="EF4" s="68"/>
      <c r="EG4" s="629">
        <f>SUM(BK4:BM4)</f>
        <v>105029602.6499999</v>
      </c>
      <c r="EH4" s="629">
        <f>SUM(BN4:BP4)</f>
        <v>46424396.000000253</v>
      </c>
      <c r="EI4" s="629">
        <f>SUM(BQ4:BS4)</f>
        <v>122893491.72000036</v>
      </c>
      <c r="EJ4" s="629">
        <f>SUM(BT4:BV4)</f>
        <v>76447927.000000119</v>
      </c>
      <c r="EK4" s="629">
        <f>SUM(BW4:BY4)</f>
        <v>61526819.400000058</v>
      </c>
      <c r="EL4" s="629">
        <f>SUM(BZ4:CB4)</f>
        <v>86335457.000000045</v>
      </c>
      <c r="EM4" s="629">
        <f>SUM(CC4:CE4)</f>
        <v>76803660.999999881</v>
      </c>
      <c r="EN4" s="629">
        <f>SUM(CF4:CH4)</f>
        <v>160841847.99999985</v>
      </c>
      <c r="EO4" s="629">
        <f>SUM(CI4:CK4)</f>
        <v>140182080.19117677</v>
      </c>
      <c r="EP4" s="629">
        <f>SUM(CL4:CN4)</f>
        <v>65662633.009999998</v>
      </c>
      <c r="EQ4" s="629">
        <f>SUM(CO4:CQ4)</f>
        <v>137137740.77999991</v>
      </c>
      <c r="ER4" s="629">
        <f>SUM(CR4:CT4)</f>
        <v>119458655.40999982</v>
      </c>
      <c r="ES4" s="629">
        <f>SUM(CU4:CW4)</f>
        <v>81502375.131863847</v>
      </c>
      <c r="ET4" s="629">
        <f>SUM(CX4:CZ4)</f>
        <v>72880873.427702621</v>
      </c>
      <c r="EU4" s="629">
        <f>SUM(DA4:DC4)</f>
        <v>91028453.12577273</v>
      </c>
      <c r="EV4" s="629">
        <f>SUM(DD4:DF4)</f>
        <v>95038588.865861073</v>
      </c>
      <c r="EW4" s="629">
        <f>SUM(DG4:DI4)</f>
        <v>101877968.91482979</v>
      </c>
      <c r="EX4" s="629">
        <f>SUM(DJ4:DL4)</f>
        <v>91101091.784628257</v>
      </c>
      <c r="EY4" s="629">
        <f>SUM(DM4:DO4)</f>
        <v>113785566.40721592</v>
      </c>
      <c r="EZ4" s="629">
        <f>SUM(DP4:DR4)</f>
        <v>118798236.08232634</v>
      </c>
      <c r="FA4" s="629">
        <f>SUM(DS4:DU4)</f>
        <v>122253562.69779575</v>
      </c>
      <c r="FB4" s="629">
        <f>SUM(DV4:DX4)</f>
        <v>109321310.14155388</v>
      </c>
      <c r="FC4" s="629">
        <f>SUM(DY4:EA4)</f>
        <v>136542679.68865907</v>
      </c>
      <c r="FD4" s="629">
        <f>SUM(EB4:ED4)</f>
        <v>142557883.29879159</v>
      </c>
      <c r="FG4" s="70">
        <f>SUM(EK4:EN4)</f>
        <v>385507785.39999986</v>
      </c>
      <c r="FH4" s="67">
        <f>SUM(EO4:ER4)</f>
        <v>462441109.39117646</v>
      </c>
      <c r="FI4" s="67">
        <f>SUM(ES4:EV4)</f>
        <v>340450290.55120027</v>
      </c>
      <c r="FJ4" s="69">
        <f>SUM(EW4:EZ4)</f>
        <v>425562863.18900031</v>
      </c>
      <c r="FK4" s="619">
        <f>SUM(FA4:FD4)</f>
        <v>510675435.82680029</v>
      </c>
    </row>
    <row r="5" spans="1:167" ht="15.75" customHeight="1" x14ac:dyDescent="0.2">
      <c r="B5" s="48" t="s">
        <v>4</v>
      </c>
      <c r="C5" s="66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8"/>
      <c r="AD5" s="67"/>
      <c r="AE5" s="67"/>
      <c r="AF5" s="67"/>
      <c r="AG5" s="67"/>
      <c r="AH5" s="67"/>
      <c r="AI5" s="67"/>
      <c r="AJ5" s="67"/>
      <c r="AK5" s="68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>
        <f>'P&amp;L - Inputs'!AZ9</f>
        <v>264970761.88097557</v>
      </c>
      <c r="BB5" s="67">
        <f>'P&amp;L - Inputs'!BA9</f>
        <v>297144070.75487262</v>
      </c>
      <c r="BC5" s="67">
        <f>'P&amp;L - Inputs'!BB9</f>
        <v>313401859.35207367</v>
      </c>
      <c r="BD5" s="67">
        <f>'P&amp;L - Inputs'!BC9</f>
        <v>263779295.21944746</v>
      </c>
      <c r="BE5" s="67">
        <f>'P&amp;L - Inputs'!BD9</f>
        <v>324765704.08783317</v>
      </c>
      <c r="BF5" s="67">
        <f>'P&amp;L - Inputs'!BE9</f>
        <v>342197598.68498421</v>
      </c>
      <c r="BG5" s="67">
        <f>'P&amp;L - Inputs'!BF9</f>
        <v>438698626.50818843</v>
      </c>
      <c r="BH5" s="67">
        <f>'P&amp;L - Inputs'!BG9</f>
        <v>417348129.25171548</v>
      </c>
      <c r="BI5" s="67">
        <f>'P&amp;L - Inputs'!BH9</f>
        <v>378245612.50878215</v>
      </c>
      <c r="BJ5" s="66">
        <f>'P&amp;L - Inputs'!BI9</f>
        <v>418631544.77214772</v>
      </c>
      <c r="BK5" s="67">
        <f>'P&amp;L - Inputs'!BJ9</f>
        <v>425927530.1291461</v>
      </c>
      <c r="BL5" s="67">
        <f>'P&amp;L - Inputs'!BK9</f>
        <v>435114685.5885756</v>
      </c>
      <c r="BM5" s="67">
        <f>'P&amp;L - Inputs'!BL9</f>
        <v>323003883.08981007</v>
      </c>
      <c r="BN5" s="67">
        <f>'P&amp;L - Inputs'!BM9</f>
        <v>328503068.02146876</v>
      </c>
      <c r="BO5" s="67">
        <f>'P&amp;L - Inputs'!BN9</f>
        <v>344565066.53921914</v>
      </c>
      <c r="BP5" s="67">
        <f>'P&amp;L - Inputs'!BO9</f>
        <v>322093930.51765805</v>
      </c>
      <c r="BQ5" s="67">
        <f>'P&amp;L - Inputs'!BP9</f>
        <v>288478699.21641493</v>
      </c>
      <c r="BR5" s="67">
        <f>'P&amp;L - Inputs'!BQ9</f>
        <v>315908530.82077265</v>
      </c>
      <c r="BS5" s="67">
        <f>'P&amp;L - Inputs'!BR9</f>
        <v>298010666.34612912</v>
      </c>
      <c r="BT5" s="67">
        <f>'P&amp;L - Inputs'!BS9</f>
        <v>283358338.41198385</v>
      </c>
      <c r="BU5" s="67">
        <f>'P&amp;L - Inputs'!BT9</f>
        <v>308431544.67292452</v>
      </c>
      <c r="BV5" s="67">
        <f>'P&amp;L - Inputs'!BU9</f>
        <v>299699073.70715302</v>
      </c>
      <c r="BW5" s="67">
        <f>'P&amp;L - Inputs'!BV9</f>
        <v>317987988.48999083</v>
      </c>
      <c r="BX5" s="67">
        <f>'P&amp;L - Inputs'!BW9</f>
        <v>336085145.13857871</v>
      </c>
      <c r="BY5" s="67">
        <f>'P&amp;L - Inputs'!BX9</f>
        <v>329543175.997253</v>
      </c>
      <c r="BZ5" s="67">
        <f>'P&amp;L - Inputs'!BY9</f>
        <v>303273108.66845644</v>
      </c>
      <c r="CA5" s="67">
        <f>'P&amp;L - Inputs'!BZ9</f>
        <v>285388167.51999205</v>
      </c>
      <c r="CB5" s="67">
        <f>'P&amp;L - Inputs'!CA9</f>
        <v>247735169.59798512</v>
      </c>
      <c r="CC5" s="67">
        <f>'P&amp;L - Inputs'!CB9</f>
        <v>303635955.30583686</v>
      </c>
      <c r="CD5" s="67">
        <f>'P&amp;L - Inputs'!CC9</f>
        <v>316608624.63122046</v>
      </c>
      <c r="CE5" s="67">
        <f>'P&amp;L - Inputs'!CD9</f>
        <v>338328182.22292256</v>
      </c>
      <c r="CF5" s="67">
        <f>'P&amp;L - Inputs'!CE9</f>
        <v>364369169.09682232</v>
      </c>
      <c r="CG5" s="67">
        <f>'P&amp;L - Inputs'!CF9</f>
        <v>441843707.62031704</v>
      </c>
      <c r="CH5" s="67">
        <f>'P&amp;L - Inputs'!CG9</f>
        <v>521956933.29802155</v>
      </c>
      <c r="CI5" s="67">
        <f>'P&amp;L - Inputs'!CH9</f>
        <v>454383691.87802851</v>
      </c>
      <c r="CJ5" s="67">
        <f>'P&amp;L - Inputs'!CI9</f>
        <v>452518060.69166648</v>
      </c>
      <c r="CK5" s="67">
        <f>'P&amp;L - Inputs'!CJ9</f>
        <v>493668737.67211092</v>
      </c>
      <c r="CL5" s="67">
        <f>'P&amp;L - Inputs'!CK9</f>
        <v>478765858.54000002</v>
      </c>
      <c r="CM5" s="67">
        <f>'P&amp;L - Inputs'!CL9</f>
        <v>419579618.4799993</v>
      </c>
      <c r="CN5" s="67">
        <f>'P&amp;L - Inputs'!CM9</f>
        <v>359719418.24999964</v>
      </c>
      <c r="CO5" s="67">
        <f>'P&amp;L - Inputs'!CN9</f>
        <v>456572660.94000047</v>
      </c>
      <c r="CP5" s="67">
        <f>'P&amp;L - Inputs'!CO9</f>
        <v>524910219.53000003</v>
      </c>
      <c r="CQ5" s="67">
        <f>'P&amp;L - Inputs'!CP9</f>
        <v>618549088.1099999</v>
      </c>
      <c r="CR5" s="67">
        <f>'P&amp;L - Inputs'!CQ9</f>
        <v>684876923.83000052</v>
      </c>
      <c r="CS5" s="67">
        <f>'P&amp;L - Inputs'!CR9</f>
        <v>646305238.65000057</v>
      </c>
      <c r="CT5" s="67">
        <f>'P&amp;L - Inputs'!CS9</f>
        <v>644934862.62999976</v>
      </c>
      <c r="CU5" s="67">
        <f>'P&amp;L - Inputs'!CT9</f>
        <v>664140595.86596334</v>
      </c>
      <c r="CV5" s="67">
        <f>'P&amp;L - Inputs'!CU9</f>
        <v>688621538.21257651</v>
      </c>
      <c r="CW5" s="67">
        <f>'P&amp;L - Inputs'!CV9</f>
        <v>655460758.64679658</v>
      </c>
      <c r="CX5" s="67">
        <f>'P&amp;L - Inputs'!CW9</f>
        <v>654662467.04853761</v>
      </c>
      <c r="CY5" s="67">
        <f>'P&amp;L - Inputs'!CX9</f>
        <v>610388961.5831821</v>
      </c>
      <c r="CZ5" s="67">
        <f>'P&amp;L - Inputs'!CY9</f>
        <v>530737199.89021569</v>
      </c>
      <c r="DA5" s="67">
        <f>'P&amp;L - Inputs'!CZ9</f>
        <v>622794159.59422469</v>
      </c>
      <c r="DB5" s="67">
        <f>'P&amp;L - Inputs'!DA9</f>
        <v>766461304.69044673</v>
      </c>
      <c r="DC5" s="67">
        <f>'P&amp;L - Inputs'!DB9</f>
        <v>853690500.91926968</v>
      </c>
      <c r="DD5" s="67">
        <f>'P&amp;L - Inputs'!DC9</f>
        <v>802561824.74505389</v>
      </c>
      <c r="DE5" s="67">
        <f>'P&amp;L - Inputs'!DD9</f>
        <v>783828127.56394541</v>
      </c>
      <c r="DF5" s="67">
        <f>'P&amp;L - Inputs'!DE9</f>
        <v>755365972.52068233</v>
      </c>
      <c r="DG5" s="67">
        <f>'P&amp;L - Inputs'!DF9</f>
        <v>830175744.83245385</v>
      </c>
      <c r="DH5" s="67">
        <f>'P&amp;L - Inputs'!DG9</f>
        <v>860776922.76572061</v>
      </c>
      <c r="DI5" s="67">
        <f>'P&amp;L - Inputs'!DH9</f>
        <v>819325948.30849552</v>
      </c>
      <c r="DJ5" s="67">
        <f>'P&amp;L - Inputs'!DI9</f>
        <v>818328083.81067169</v>
      </c>
      <c r="DK5" s="67">
        <f>'P&amp;L - Inputs'!DJ9</f>
        <v>762986201.97897744</v>
      </c>
      <c r="DL5" s="67">
        <f>'P&amp;L - Inputs'!DK9</f>
        <v>663421499.86276937</v>
      </c>
      <c r="DM5" s="67">
        <f>'P&amp;L - Inputs'!DL9</f>
        <v>778492699.49278057</v>
      </c>
      <c r="DN5" s="67">
        <f>'P&amp;L - Inputs'!DM9</f>
        <v>958076630.86305821</v>
      </c>
      <c r="DO5" s="67">
        <f>'P&amp;L - Inputs'!DN9</f>
        <v>1067113126.1490868</v>
      </c>
      <c r="DP5" s="67">
        <f>'P&amp;L - Inputs'!DO9</f>
        <v>1003202280.9313172</v>
      </c>
      <c r="DQ5" s="67">
        <f>'P&amp;L - Inputs'!DP9</f>
        <v>979785159.45493162</v>
      </c>
      <c r="DR5" s="69">
        <f>'P&amp;L - Inputs'!DQ9</f>
        <v>944207465.6508528</v>
      </c>
      <c r="DS5" s="69">
        <f>'P&amp;L - Inputs'!DR9</f>
        <v>996210893.79894483</v>
      </c>
      <c r="DT5" s="69">
        <f>'P&amp;L - Inputs'!DS9</f>
        <v>1032932307.3188645</v>
      </c>
      <c r="DU5" s="69">
        <f>'P&amp;L - Inputs'!DT9</f>
        <v>983191137.97019458</v>
      </c>
      <c r="DV5" s="69">
        <f>'P&amp;L - Inputs'!DU9</f>
        <v>981993700.572806</v>
      </c>
      <c r="DW5" s="69">
        <f>'P&amp;L - Inputs'!DV9</f>
        <v>915583442.37477279</v>
      </c>
      <c r="DX5" s="69">
        <f>'P&amp;L - Inputs'!DW9</f>
        <v>796105799.83532321</v>
      </c>
      <c r="DY5" s="69">
        <f>'P&amp;L - Inputs'!DX9</f>
        <v>934191239.39133668</v>
      </c>
      <c r="DZ5" s="69">
        <f>'P&amp;L - Inputs'!DY9</f>
        <v>1149691957.03567</v>
      </c>
      <c r="EA5" s="69">
        <f>'P&amp;L - Inputs'!DZ9</f>
        <v>1280535751.3789043</v>
      </c>
      <c r="EB5" s="69">
        <f>'P&amp;L - Inputs'!EA9</f>
        <v>1203842737.1175809</v>
      </c>
      <c r="EC5" s="69">
        <f>'P&amp;L - Inputs'!EB9</f>
        <v>1175742191.3459179</v>
      </c>
      <c r="ED5" s="69">
        <f>'P&amp;L - Inputs'!EC9</f>
        <v>1133048958.7810233</v>
      </c>
      <c r="EE5" s="39" t="s">
        <v>1</v>
      </c>
      <c r="EF5" s="68"/>
      <c r="EG5" s="629">
        <f>SUM(BK5:BM5)</f>
        <v>1184046098.8075318</v>
      </c>
      <c r="EH5" s="629">
        <f>SUM(BN5:BP5)</f>
        <v>995162065.07834601</v>
      </c>
      <c r="EI5" s="629">
        <f>SUM(BQ5:BS5)</f>
        <v>902397896.38331676</v>
      </c>
      <c r="EJ5" s="629">
        <f>SUM(BT5:BV5)</f>
        <v>891488956.79206133</v>
      </c>
      <c r="EK5" s="629">
        <f>SUM(BW5:BY5)</f>
        <v>983616309.62582254</v>
      </c>
      <c r="EL5" s="629">
        <f>SUM(BZ5:CB5)</f>
        <v>836396445.78643358</v>
      </c>
      <c r="EM5" s="629">
        <f>SUM(CC5:CE5)</f>
        <v>958572762.15997982</v>
      </c>
      <c r="EN5" s="629">
        <f>SUM(CF5:CH5)</f>
        <v>1328169810.015161</v>
      </c>
      <c r="EO5" s="629">
        <f>SUM(CI5:CK5)</f>
        <v>1400570490.241806</v>
      </c>
      <c r="EP5" s="629">
        <f>SUM(CL5:CN5)</f>
        <v>1258064895.269999</v>
      </c>
      <c r="EQ5" s="629">
        <f>SUM(CO5:CQ5)</f>
        <v>1600031968.5800004</v>
      </c>
      <c r="ER5" s="629">
        <f>SUM(CR5:CT5)</f>
        <v>1976117025.1100006</v>
      </c>
      <c r="ES5" s="629">
        <f>SUM(CU5:CW5)</f>
        <v>2008222892.7253366</v>
      </c>
      <c r="ET5" s="629">
        <f>SUM(CX5:CZ5)</f>
        <v>1795788628.5219352</v>
      </c>
      <c r="EU5" s="629">
        <f>SUM(DA5:DC5)</f>
        <v>2242945965.2039409</v>
      </c>
      <c r="EV5" s="629">
        <f>SUM(DD5:DF5)</f>
        <v>2341755924.8296814</v>
      </c>
      <c r="EW5" s="629">
        <f>SUM(DG5:DI5)</f>
        <v>2510278615.9066701</v>
      </c>
      <c r="EX5" s="629">
        <f>SUM(DJ5:DL5)</f>
        <v>2244735785.6524181</v>
      </c>
      <c r="EY5" s="629">
        <f>SUM(DM5:DO5)</f>
        <v>2803682456.5049257</v>
      </c>
      <c r="EZ5" s="629">
        <f>SUM(DP5:DR5)</f>
        <v>2927194906.0371017</v>
      </c>
      <c r="FA5" s="629">
        <f>SUM(DS5:DU5)</f>
        <v>3012334339.0880041</v>
      </c>
      <c r="FB5" s="629">
        <f>SUM(DV5:DX5)</f>
        <v>2693682942.7829022</v>
      </c>
      <c r="FC5" s="629">
        <f>SUM(DY5:EA5)</f>
        <v>3364418947.8059111</v>
      </c>
      <c r="FD5" s="629">
        <f>SUM(EB5:ED5)</f>
        <v>3512633887.2445221</v>
      </c>
      <c r="FG5" s="70">
        <f>SUM(EK5:EN5)</f>
        <v>4106755327.5873971</v>
      </c>
      <c r="FH5" s="67">
        <f>SUM(EO5:ER5)</f>
        <v>6234784379.2018061</v>
      </c>
      <c r="FI5" s="67">
        <f>SUM(ES5:EV5)</f>
        <v>8388713411.2808933</v>
      </c>
      <c r="FJ5" s="69">
        <f>SUM(EW5:EZ5)</f>
        <v>10485891764.101116</v>
      </c>
      <c r="FK5" s="619">
        <f>SUM(FA5:FD5)</f>
        <v>12583070116.921341</v>
      </c>
    </row>
    <row r="6" spans="1:167" ht="15.75" customHeight="1" x14ac:dyDescent="0.2">
      <c r="B6" s="49"/>
      <c r="C6" s="66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8"/>
      <c r="AD6" s="67"/>
      <c r="AE6" s="67"/>
      <c r="AF6" s="67"/>
      <c r="AG6" s="67"/>
      <c r="AH6" s="67"/>
      <c r="AI6" s="67"/>
      <c r="AJ6" s="67"/>
      <c r="AK6" s="68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6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9"/>
      <c r="DS6" s="66"/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9"/>
      <c r="EE6" s="39" t="s">
        <v>1</v>
      </c>
      <c r="EF6" s="68"/>
      <c r="EG6" s="629"/>
      <c r="EH6" s="629"/>
      <c r="EI6" s="629"/>
      <c r="EJ6" s="629"/>
      <c r="EK6" s="629"/>
      <c r="EL6" s="629"/>
      <c r="EM6" s="629"/>
      <c r="EN6" s="629"/>
      <c r="EO6" s="629"/>
      <c r="EP6" s="629"/>
      <c r="EQ6" s="629"/>
      <c r="ER6" s="629"/>
      <c r="ES6" s="629"/>
      <c r="ET6" s="629"/>
      <c r="EU6" s="629"/>
      <c r="EV6" s="629"/>
      <c r="EW6" s="629"/>
      <c r="EX6" s="629"/>
      <c r="EY6" s="629"/>
      <c r="EZ6" s="629"/>
      <c r="FA6" s="629"/>
      <c r="FB6" s="629"/>
      <c r="FC6" s="629"/>
      <c r="FD6" s="629"/>
      <c r="FG6" s="70"/>
      <c r="FH6" s="67"/>
      <c r="FI6" s="67"/>
      <c r="FJ6" s="69"/>
      <c r="FK6" s="619"/>
    </row>
    <row r="7" spans="1:167" ht="15.75" customHeight="1" x14ac:dyDescent="0.2">
      <c r="B7" s="49" t="s">
        <v>5</v>
      </c>
      <c r="C7" s="71">
        <f>'P&amp;L - Inputs'!B12</f>
        <v>32077</v>
      </c>
      <c r="D7" s="72">
        <f>'P&amp;L - Inputs'!C12</f>
        <v>28685</v>
      </c>
      <c r="E7" s="72">
        <f>'P&amp;L - Inputs'!D12</f>
        <v>34758</v>
      </c>
      <c r="F7" s="72">
        <f>'P&amp;L - Inputs'!E12</f>
        <v>39298</v>
      </c>
      <c r="G7" s="72">
        <f>'P&amp;L - Inputs'!F12</f>
        <v>47222</v>
      </c>
      <c r="H7" s="72">
        <f>'P&amp;L - Inputs'!G12</f>
        <v>49152</v>
      </c>
      <c r="I7" s="72">
        <f>'P&amp;L - Inputs'!H12</f>
        <v>52716</v>
      </c>
      <c r="J7" s="72">
        <f>'P&amp;L - Inputs'!I12</f>
        <v>52798</v>
      </c>
      <c r="K7" s="72">
        <f>'P&amp;L - Inputs'!J12</f>
        <v>67323</v>
      </c>
      <c r="L7" s="72">
        <f>'P&amp;L - Inputs'!K12</f>
        <v>62990</v>
      </c>
      <c r="M7" s="72">
        <f>'P&amp;L - Inputs'!L12</f>
        <v>67278</v>
      </c>
      <c r="N7" s="72">
        <f>'P&amp;L - Inputs'!M12</f>
        <v>53088</v>
      </c>
      <c r="O7" s="72">
        <f>'P&amp;L - Inputs'!N12</f>
        <v>72396</v>
      </c>
      <c r="P7" s="72">
        <f>'P&amp;L - Inputs'!O12</f>
        <v>75630</v>
      </c>
      <c r="Q7" s="72">
        <f>'P&amp;L - Inputs'!P12</f>
        <v>76377</v>
      </c>
      <c r="R7" s="72">
        <f>'P&amp;L - Inputs'!Q12</f>
        <v>71644</v>
      </c>
      <c r="S7" s="72">
        <f>'P&amp;L - Inputs'!R12</f>
        <v>63244</v>
      </c>
      <c r="T7" s="72">
        <f>'P&amp;L - Inputs'!S12</f>
        <v>56263</v>
      </c>
      <c r="U7" s="72">
        <f>'P&amp;L - Inputs'!T12</f>
        <v>46046</v>
      </c>
      <c r="V7" s="72">
        <f>'P&amp;L - Inputs'!U12</f>
        <v>53509</v>
      </c>
      <c r="W7" s="72">
        <f>'P&amp;L - Inputs'!V12</f>
        <v>66574</v>
      </c>
      <c r="X7" s="72">
        <f>'P&amp;L - Inputs'!W12</f>
        <v>66672</v>
      </c>
      <c r="Y7" s="72">
        <f>'P&amp;L - Inputs'!X12</f>
        <v>82936</v>
      </c>
      <c r="Z7" s="72">
        <f>'P&amp;L - Inputs'!Y12</f>
        <v>53988</v>
      </c>
      <c r="AA7" s="72">
        <f>'P&amp;L - Inputs'!Z12</f>
        <v>0</v>
      </c>
      <c r="AB7" s="72">
        <f>'P&amp;L - Inputs'!AA12</f>
        <v>39616</v>
      </c>
      <c r="AC7" s="64">
        <f>'P&amp;L - Inputs'!AB12</f>
        <v>42186</v>
      </c>
      <c r="AD7" s="72">
        <f>'P&amp;L - Inputs'!AC12</f>
        <v>23110</v>
      </c>
      <c r="AE7" s="72">
        <f>'P&amp;L - Inputs'!AD12</f>
        <v>42469</v>
      </c>
      <c r="AF7" s="72">
        <f>'P&amp;L - Inputs'!AE12</f>
        <v>37673</v>
      </c>
      <c r="AG7" s="72">
        <f>'P&amp;L - Inputs'!AF12</f>
        <v>38371</v>
      </c>
      <c r="AH7" s="72">
        <f>'P&amp;L - Inputs'!AG12</f>
        <v>52592</v>
      </c>
      <c r="AI7" s="72">
        <f>'P&amp;L - Inputs'!AH12</f>
        <v>66087</v>
      </c>
      <c r="AJ7" s="72">
        <f>'P&amp;L - Inputs'!AI12</f>
        <v>50483</v>
      </c>
      <c r="AK7" s="64">
        <f>'P&amp;L - Inputs'!AJ12</f>
        <v>69399</v>
      </c>
      <c r="AL7" s="72">
        <f>'P&amp;L - Inputs'!AK12</f>
        <v>58903</v>
      </c>
      <c r="AM7" s="72">
        <f>'P&amp;L - Inputs'!AL12</f>
        <v>39902</v>
      </c>
      <c r="AN7" s="72">
        <f>'P&amp;L - Inputs'!AM12</f>
        <v>20877</v>
      </c>
      <c r="AO7" s="72">
        <f>'P&amp;L - Inputs'!AN12</f>
        <v>46075</v>
      </c>
      <c r="AP7" s="72">
        <f>'P&amp;L - Inputs'!AO12</f>
        <v>67308</v>
      </c>
      <c r="AQ7" s="72">
        <f>'P&amp;L - Inputs'!AP12</f>
        <v>70639</v>
      </c>
      <c r="AR7" s="72">
        <f>'P&amp;L - Inputs'!AQ12</f>
        <v>66964</v>
      </c>
      <c r="AS7" s="72">
        <f>'P&amp;L - Inputs'!AR12</f>
        <v>60018</v>
      </c>
      <c r="AT7" s="72">
        <f>'P&amp;L - Inputs'!AS12</f>
        <v>75086</v>
      </c>
      <c r="AU7" s="72">
        <f>'P&amp;L - Inputs'!AT12</f>
        <v>92309</v>
      </c>
      <c r="AV7" s="72">
        <f>'P&amp;L - Inputs'!AU12</f>
        <v>84249</v>
      </c>
      <c r="AW7" s="72">
        <f>'P&amp;L - Inputs'!AV12</f>
        <v>78598</v>
      </c>
      <c r="AX7" s="72">
        <f>'P&amp;L - Inputs'!AW12</f>
        <v>72738</v>
      </c>
      <c r="AY7" s="72">
        <f>'P&amp;L - Inputs'!AX12</f>
        <v>67201</v>
      </c>
      <c r="AZ7" s="72">
        <f>'P&amp;L - Inputs'!AY12</f>
        <v>75950</v>
      </c>
      <c r="BA7" s="72">
        <f t="shared" ref="BA7:ER7" si="44">SUM(BA8:BA9)</f>
        <v>55593</v>
      </c>
      <c r="BB7" s="72">
        <f t="shared" si="44"/>
        <v>62571</v>
      </c>
      <c r="BC7" s="72">
        <f t="shared" si="44"/>
        <v>65439</v>
      </c>
      <c r="BD7" s="72">
        <f t="shared" si="44"/>
        <v>69439</v>
      </c>
      <c r="BE7" s="72">
        <f t="shared" si="44"/>
        <v>64427</v>
      </c>
      <c r="BF7" s="72">
        <f t="shared" si="44"/>
        <v>69556</v>
      </c>
      <c r="BG7" s="72">
        <f t="shared" si="44"/>
        <v>86447</v>
      </c>
      <c r="BH7" s="72">
        <f t="shared" si="44"/>
        <v>76462</v>
      </c>
      <c r="BI7" s="72">
        <f t="shared" si="44"/>
        <v>61493</v>
      </c>
      <c r="BJ7" s="71">
        <f t="shared" si="44"/>
        <v>71207</v>
      </c>
      <c r="BK7" s="72">
        <f t="shared" si="44"/>
        <v>61275</v>
      </c>
      <c r="BL7" s="72">
        <f t="shared" si="44"/>
        <v>59047</v>
      </c>
      <c r="BM7" s="72">
        <f t="shared" si="44"/>
        <v>43451</v>
      </c>
      <c r="BN7" s="72">
        <f t="shared" si="44"/>
        <v>44126</v>
      </c>
      <c r="BO7" s="72">
        <f t="shared" si="44"/>
        <v>47811</v>
      </c>
      <c r="BP7" s="72">
        <f t="shared" si="44"/>
        <v>47144</v>
      </c>
      <c r="BQ7" s="72">
        <f t="shared" si="44"/>
        <v>39632</v>
      </c>
      <c r="BR7" s="72">
        <f t="shared" si="44"/>
        <v>46720</v>
      </c>
      <c r="BS7" s="72">
        <f t="shared" si="44"/>
        <v>34919</v>
      </c>
      <c r="BT7" s="72">
        <f t="shared" si="44"/>
        <v>32413</v>
      </c>
      <c r="BU7" s="72">
        <f t="shared" si="44"/>
        <v>33443</v>
      </c>
      <c r="BV7" s="72">
        <f t="shared" si="44"/>
        <v>33015</v>
      </c>
      <c r="BW7" s="72">
        <f t="shared" si="44"/>
        <v>34802</v>
      </c>
      <c r="BX7" s="72">
        <f t="shared" si="44"/>
        <v>39144</v>
      </c>
      <c r="BY7" s="72">
        <f t="shared" si="44"/>
        <v>37862</v>
      </c>
      <c r="BZ7" s="72">
        <f t="shared" si="44"/>
        <v>39777</v>
      </c>
      <c r="CA7" s="72">
        <f t="shared" si="44"/>
        <v>35273</v>
      </c>
      <c r="CB7" s="72">
        <f t="shared" si="44"/>
        <v>31845</v>
      </c>
      <c r="CC7" s="72">
        <f t="shared" si="44"/>
        <v>33500</v>
      </c>
      <c r="CD7" s="72">
        <f t="shared" si="44"/>
        <v>35897</v>
      </c>
      <c r="CE7" s="72">
        <f t="shared" si="44"/>
        <v>45824</v>
      </c>
      <c r="CF7" s="72">
        <f t="shared" si="44"/>
        <v>50862</v>
      </c>
      <c r="CG7" s="72">
        <f t="shared" si="44"/>
        <v>46925</v>
      </c>
      <c r="CH7" s="72">
        <f t="shared" si="44"/>
        <v>59210</v>
      </c>
      <c r="CI7" s="72">
        <f t="shared" si="44"/>
        <v>52413</v>
      </c>
      <c r="CJ7" s="72">
        <f t="shared" si="44"/>
        <v>54345</v>
      </c>
      <c r="CK7" s="72">
        <f t="shared" si="44"/>
        <v>51728</v>
      </c>
      <c r="CL7" s="72">
        <f t="shared" si="44"/>
        <v>51665</v>
      </c>
      <c r="CM7" s="72">
        <f t="shared" si="44"/>
        <v>48171</v>
      </c>
      <c r="CN7" s="72">
        <f t="shared" si="44"/>
        <v>41885</v>
      </c>
      <c r="CO7" s="72">
        <f t="shared" si="44"/>
        <v>49150</v>
      </c>
      <c r="CP7" s="72">
        <f t="shared" si="44"/>
        <v>60488</v>
      </c>
      <c r="CQ7" s="72">
        <f t="shared" si="44"/>
        <v>67372</v>
      </c>
      <c r="CR7" s="72">
        <f t="shared" si="44"/>
        <v>63337</v>
      </c>
      <c r="CS7" s="72">
        <f t="shared" si="44"/>
        <v>61858.564144000004</v>
      </c>
      <c r="CT7" s="72">
        <f t="shared" si="44"/>
        <v>59612.372687599993</v>
      </c>
      <c r="CU7" s="72">
        <f t="shared" si="44"/>
        <v>69709.290000000008</v>
      </c>
      <c r="CV7" s="72">
        <f t="shared" si="44"/>
        <v>72278.850000000006</v>
      </c>
      <c r="CW7" s="72">
        <f t="shared" si="44"/>
        <v>68798.240000000005</v>
      </c>
      <c r="CX7" s="72">
        <f t="shared" si="44"/>
        <v>68714.450000000012</v>
      </c>
      <c r="CY7" s="72">
        <f t="shared" si="44"/>
        <v>64067.43</v>
      </c>
      <c r="CZ7" s="72">
        <f t="shared" si="44"/>
        <v>55707.05</v>
      </c>
      <c r="DA7" s="72">
        <f t="shared" si="44"/>
        <v>65369.5</v>
      </c>
      <c r="DB7" s="72">
        <f t="shared" si="44"/>
        <v>80449.039999999994</v>
      </c>
      <c r="DC7" s="72">
        <f t="shared" si="44"/>
        <v>89604.760000000009</v>
      </c>
      <c r="DD7" s="72">
        <f t="shared" si="44"/>
        <v>84238.209999999992</v>
      </c>
      <c r="DE7" s="72">
        <f t="shared" si="44"/>
        <v>82271.890311520008</v>
      </c>
      <c r="DF7" s="72">
        <f t="shared" si="44"/>
        <v>79284.45567450799</v>
      </c>
      <c r="DG7" s="72">
        <f t="shared" si="44"/>
        <v>87136.612500000003</v>
      </c>
      <c r="DH7" s="72">
        <f t="shared" si="44"/>
        <v>90348.562500000015</v>
      </c>
      <c r="DI7" s="72">
        <f t="shared" si="44"/>
        <v>85997.8</v>
      </c>
      <c r="DJ7" s="72">
        <f t="shared" si="44"/>
        <v>85893.0625</v>
      </c>
      <c r="DK7" s="72">
        <f t="shared" si="44"/>
        <v>80084.287500000006</v>
      </c>
      <c r="DL7" s="72">
        <f t="shared" si="44"/>
        <v>69633.8125</v>
      </c>
      <c r="DM7" s="72">
        <f t="shared" si="44"/>
        <v>81711.875</v>
      </c>
      <c r="DN7" s="72">
        <f t="shared" si="44"/>
        <v>100561.3</v>
      </c>
      <c r="DO7" s="72">
        <f t="shared" si="44"/>
        <v>112005.95000000001</v>
      </c>
      <c r="DP7" s="72">
        <f t="shared" si="44"/>
        <v>105297.7625</v>
      </c>
      <c r="DQ7" s="72">
        <f t="shared" si="44"/>
        <v>102839.86288940001</v>
      </c>
      <c r="DR7" s="73">
        <f t="shared" si="44"/>
        <v>99105.569593134976</v>
      </c>
      <c r="DS7" s="73">
        <f t="shared" ref="DS7:EC7" si="45">SUM(DS8:DS9)</f>
        <v>104563.93500000001</v>
      </c>
      <c r="DT7" s="73">
        <f t="shared" si="45"/>
        <v>108418.27500000001</v>
      </c>
      <c r="DU7" s="73">
        <f t="shared" si="45"/>
        <v>103197.36</v>
      </c>
      <c r="DV7" s="73">
        <f t="shared" si="45"/>
        <v>103071.675</v>
      </c>
      <c r="DW7" s="73">
        <f t="shared" si="45"/>
        <v>96101.145000000004</v>
      </c>
      <c r="DX7" s="73">
        <f t="shared" si="45"/>
        <v>83560.574999999997</v>
      </c>
      <c r="DY7" s="73">
        <f t="shared" si="45"/>
        <v>98054.25</v>
      </c>
      <c r="DZ7" s="73">
        <f t="shared" si="45"/>
        <v>120673.56000000001</v>
      </c>
      <c r="EA7" s="73">
        <f t="shared" si="45"/>
        <v>134407.14000000001</v>
      </c>
      <c r="EB7" s="73">
        <f t="shared" si="45"/>
        <v>126357.315</v>
      </c>
      <c r="EC7" s="73">
        <f t="shared" si="45"/>
        <v>123407.83546728002</v>
      </c>
      <c r="ED7" s="73">
        <f t="shared" ref="ED7" si="46">SUM(ED8:ED9)</f>
        <v>118926.68351176198</v>
      </c>
      <c r="EE7" s="39" t="s">
        <v>1</v>
      </c>
      <c r="EF7" s="68"/>
      <c r="EG7" s="629">
        <f t="shared" si="44"/>
        <v>163773</v>
      </c>
      <c r="EH7" s="629">
        <f t="shared" si="44"/>
        <v>139081</v>
      </c>
      <c r="EI7" s="629">
        <f t="shared" si="44"/>
        <v>121271</v>
      </c>
      <c r="EJ7" s="629">
        <f t="shared" si="44"/>
        <v>98871</v>
      </c>
      <c r="EK7" s="629">
        <f t="shared" si="44"/>
        <v>111808</v>
      </c>
      <c r="EL7" s="629">
        <f t="shared" si="44"/>
        <v>106895</v>
      </c>
      <c r="EM7" s="629">
        <f t="shared" si="44"/>
        <v>115221</v>
      </c>
      <c r="EN7" s="629">
        <f t="shared" si="44"/>
        <v>156997</v>
      </c>
      <c r="EO7" s="629">
        <f t="shared" si="44"/>
        <v>158486</v>
      </c>
      <c r="EP7" s="629">
        <f t="shared" si="44"/>
        <v>141721</v>
      </c>
      <c r="EQ7" s="629">
        <f t="shared" si="44"/>
        <v>177010</v>
      </c>
      <c r="ER7" s="629">
        <f t="shared" si="44"/>
        <v>184807.9368316</v>
      </c>
      <c r="ES7" s="629">
        <f t="shared" ref="ES7:FD7" si="47">SUM(ES8:ES9)</f>
        <v>210786.38</v>
      </c>
      <c r="ET7" s="629">
        <f t="shared" si="47"/>
        <v>188488.93000000002</v>
      </c>
      <c r="EU7" s="629">
        <f t="shared" si="47"/>
        <v>235423.3</v>
      </c>
      <c r="EV7" s="629">
        <f t="shared" si="47"/>
        <v>245794.55598602799</v>
      </c>
      <c r="EW7" s="629">
        <f t="shared" si="47"/>
        <v>263482.97500000003</v>
      </c>
      <c r="EX7" s="629">
        <f t="shared" si="47"/>
        <v>235611.16250000001</v>
      </c>
      <c r="EY7" s="629">
        <f t="shared" si="47"/>
        <v>294279.125</v>
      </c>
      <c r="EZ7" s="629">
        <f t="shared" si="47"/>
        <v>307243.19498253497</v>
      </c>
      <c r="FA7" s="629">
        <f t="shared" si="47"/>
        <v>316179.57</v>
      </c>
      <c r="FB7" s="629">
        <f t="shared" si="47"/>
        <v>282733.39500000002</v>
      </c>
      <c r="FC7" s="629">
        <f t="shared" si="47"/>
        <v>353134.95000000007</v>
      </c>
      <c r="FD7" s="629">
        <f t="shared" si="47"/>
        <v>368691.83397904196</v>
      </c>
      <c r="FG7" s="70">
        <f t="shared" ref="FG7" si="48">SUM(FG8:FG9)</f>
        <v>490921</v>
      </c>
      <c r="FH7" s="67">
        <f t="shared" ref="FH7:FK7" si="49">SUM(FH8:FH9)</f>
        <v>662024.93683160003</v>
      </c>
      <c r="FI7" s="67">
        <f t="shared" si="49"/>
        <v>880493.16598602803</v>
      </c>
      <c r="FJ7" s="69">
        <f t="shared" si="49"/>
        <v>1100616.4574825349</v>
      </c>
      <c r="FK7" s="69">
        <f t="shared" si="49"/>
        <v>1320739.7489790421</v>
      </c>
    </row>
    <row r="8" spans="1:167" ht="15.75" customHeight="1" x14ac:dyDescent="0.2">
      <c r="B8" s="48" t="s">
        <v>3</v>
      </c>
      <c r="C8" s="6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8"/>
      <c r="AD8" s="67"/>
      <c r="AE8" s="67"/>
      <c r="AF8" s="67"/>
      <c r="AG8" s="67"/>
      <c r="AH8" s="67"/>
      <c r="AI8" s="67"/>
      <c r="AJ8" s="67"/>
      <c r="AK8" s="68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>
        <f>'P&amp;L - Inputs'!AZ13</f>
        <v>9439</v>
      </c>
      <c r="BB8" s="67">
        <f>'P&amp;L - Inputs'!BA13</f>
        <v>10854</v>
      </c>
      <c r="BC8" s="67">
        <f>'P&amp;L - Inputs'!BB13</f>
        <v>10760</v>
      </c>
      <c r="BD8" s="67">
        <f>'P&amp;L - Inputs'!BC13</f>
        <v>21806</v>
      </c>
      <c r="BE8" s="67">
        <f>'P&amp;L - Inputs'!BD13</f>
        <v>13898</v>
      </c>
      <c r="BF8" s="67">
        <f>'P&amp;L - Inputs'!BE13</f>
        <v>17371</v>
      </c>
      <c r="BG8" s="67">
        <f>'P&amp;L - Inputs'!BF13</f>
        <v>20911</v>
      </c>
      <c r="BH8" s="67">
        <f>'P&amp;L - Inputs'!BG13</f>
        <v>15473</v>
      </c>
      <c r="BI8" s="67">
        <f>'P&amp;L - Inputs'!BH13</f>
        <v>10466</v>
      </c>
      <c r="BJ8" s="66">
        <f>'P&amp;L - Inputs'!BI13</f>
        <v>13386</v>
      </c>
      <c r="BK8" s="67">
        <f>'P&amp;L - Inputs'!BJ13</f>
        <v>5025</v>
      </c>
      <c r="BL8" s="67">
        <f>'P&amp;L - Inputs'!BK13</f>
        <v>4403</v>
      </c>
      <c r="BM8" s="67">
        <f>'P&amp;L - Inputs'!BL13</f>
        <v>5764</v>
      </c>
      <c r="BN8" s="67">
        <f>'P&amp;L - Inputs'!BM13</f>
        <v>3408</v>
      </c>
      <c r="BO8" s="67">
        <f>'P&amp;L - Inputs'!BN13</f>
        <v>2073</v>
      </c>
      <c r="BP8" s="67">
        <f>'P&amp;L - Inputs'!BO13</f>
        <v>3244</v>
      </c>
      <c r="BQ8" s="67">
        <f>'P&amp;L - Inputs'!BP13</f>
        <v>5103</v>
      </c>
      <c r="BR8" s="67">
        <f>'P&amp;L - Inputs'!BQ13</f>
        <v>13036</v>
      </c>
      <c r="BS8" s="67">
        <f>'P&amp;L - Inputs'!BR13</f>
        <v>4139</v>
      </c>
      <c r="BT8" s="67">
        <f>'P&amp;L - Inputs'!BS13</f>
        <v>3210</v>
      </c>
      <c r="BU8" s="67">
        <f>'P&amp;L - Inputs'!BT13</f>
        <v>2867</v>
      </c>
      <c r="BV8" s="67">
        <f>'P&amp;L - Inputs'!BU13</f>
        <v>4925</v>
      </c>
      <c r="BW8" s="67">
        <f>'P&amp;L - Inputs'!BV13</f>
        <v>4229</v>
      </c>
      <c r="BX8" s="67">
        <f>'P&amp;L - Inputs'!BW13</f>
        <v>3319</v>
      </c>
      <c r="BY8" s="67">
        <f>'P&amp;L - Inputs'!BX13</f>
        <v>2009</v>
      </c>
      <c r="BZ8" s="67">
        <f>'P&amp;L - Inputs'!BY13</f>
        <v>4449</v>
      </c>
      <c r="CA8" s="67">
        <f>'P&amp;L - Inputs'!BZ13</f>
        <v>4259</v>
      </c>
      <c r="CB8" s="67">
        <f>'P&amp;L - Inputs'!CA13</f>
        <v>4375</v>
      </c>
      <c r="CC8" s="67">
        <f>'P&amp;L - Inputs'!CB13</f>
        <v>2935</v>
      </c>
      <c r="CD8" s="67">
        <f>'P&amp;L - Inputs'!CC13</f>
        <v>2537</v>
      </c>
      <c r="CE8" s="67">
        <f>'P&amp;L - Inputs'!CD13</f>
        <v>7861</v>
      </c>
      <c r="CF8" s="67">
        <f>'P&amp;L - Inputs'!CE13</f>
        <v>12311</v>
      </c>
      <c r="CG8" s="67">
        <f>'P&amp;L - Inputs'!CF13</f>
        <v>5940</v>
      </c>
      <c r="CH8" s="67">
        <f>'P&amp;L - Inputs'!CG13</f>
        <v>10233</v>
      </c>
      <c r="CI8" s="67">
        <f>'P&amp;L - Inputs'!CH13</f>
        <v>8955</v>
      </c>
      <c r="CJ8" s="67">
        <f>'P&amp;L - Inputs'!CI13</f>
        <v>9131</v>
      </c>
      <c r="CK8" s="67">
        <f>'P&amp;L - Inputs'!CJ13</f>
        <v>3136</v>
      </c>
      <c r="CL8" s="67">
        <f>'P&amp;L - Inputs'!CK13</f>
        <v>4004</v>
      </c>
      <c r="CM8" s="67">
        <f>'P&amp;L - Inputs'!CL13</f>
        <v>2650</v>
      </c>
      <c r="CN8" s="67">
        <f>'P&amp;L - Inputs'!CM13</f>
        <v>3295</v>
      </c>
      <c r="CO8" s="67">
        <f>'P&amp;L - Inputs'!CN13</f>
        <v>2653</v>
      </c>
      <c r="CP8" s="67">
        <f>'P&amp;L - Inputs'!CO13</f>
        <v>6330</v>
      </c>
      <c r="CQ8" s="67">
        <f>'P&amp;L - Inputs'!CP13</f>
        <v>7285</v>
      </c>
      <c r="CR8" s="67">
        <f>'P&amp;L - Inputs'!CQ13</f>
        <v>4480</v>
      </c>
      <c r="CS8" s="67">
        <f>'P&amp;L - Inputs'!CR13</f>
        <v>3629.5641440000018</v>
      </c>
      <c r="CT8" s="67">
        <f>'P&amp;L - Inputs'!CS13</f>
        <v>2417.3726875999901</v>
      </c>
      <c r="CU8" s="67">
        <f>'P&amp;L - Inputs'!CT13</f>
        <v>11910.150000000001</v>
      </c>
      <c r="CV8" s="67">
        <f>'P&amp;L - Inputs'!CU13</f>
        <v>12144.230000000001</v>
      </c>
      <c r="CW8" s="67">
        <f>'P&amp;L - Inputs'!CV13</f>
        <v>4170.88</v>
      </c>
      <c r="CX8" s="67">
        <f>'P&amp;L - Inputs'!CW13</f>
        <v>5325.3200000000006</v>
      </c>
      <c r="CY8" s="67">
        <f>'P&amp;L - Inputs'!CX13</f>
        <v>3524.5</v>
      </c>
      <c r="CZ8" s="67">
        <f>'P&amp;L - Inputs'!CY13</f>
        <v>4382.3500000000004</v>
      </c>
      <c r="DA8" s="67">
        <f>'P&amp;L - Inputs'!CZ13</f>
        <v>3528.4900000000002</v>
      </c>
      <c r="DB8" s="67">
        <f>'P&amp;L - Inputs'!DA13</f>
        <v>8418.9</v>
      </c>
      <c r="DC8" s="67">
        <f>'P&amp;L - Inputs'!DB13</f>
        <v>9689.0500000000011</v>
      </c>
      <c r="DD8" s="67">
        <f>'P&amp;L - Inputs'!DC13</f>
        <v>5958.4000000000005</v>
      </c>
      <c r="DE8" s="67">
        <f>'P&amp;L - Inputs'!DD13</f>
        <v>4827.3203115200022</v>
      </c>
      <c r="DF8" s="67">
        <f>'P&amp;L - Inputs'!DE13</f>
        <v>3215.1056745079868</v>
      </c>
      <c r="DG8" s="67">
        <f>'P&amp;L - Inputs'!DF13</f>
        <v>14887.687500000002</v>
      </c>
      <c r="DH8" s="67">
        <f>'P&amp;L - Inputs'!DG13</f>
        <v>15180.287500000002</v>
      </c>
      <c r="DI8" s="67">
        <f>'P&amp;L - Inputs'!DH13</f>
        <v>5213.6000000000004</v>
      </c>
      <c r="DJ8" s="67">
        <f>'P&amp;L - Inputs'!DI13</f>
        <v>6656.6500000000005</v>
      </c>
      <c r="DK8" s="67">
        <f>'P&amp;L - Inputs'!DJ13</f>
        <v>4405.625</v>
      </c>
      <c r="DL8" s="67">
        <f>'P&amp;L - Inputs'!DK13</f>
        <v>5477.9375</v>
      </c>
      <c r="DM8" s="67">
        <f>'P&amp;L - Inputs'!DL13</f>
        <v>4410.6125000000002</v>
      </c>
      <c r="DN8" s="67">
        <f>'P&amp;L - Inputs'!DM13</f>
        <v>10523.625</v>
      </c>
      <c r="DO8" s="67">
        <f>'P&amp;L - Inputs'!DN13</f>
        <v>12111.312500000002</v>
      </c>
      <c r="DP8" s="67">
        <f>'P&amp;L - Inputs'!DO13</f>
        <v>7448.0000000000009</v>
      </c>
      <c r="DQ8" s="67">
        <f>'P&amp;L - Inputs'!DP13</f>
        <v>6034.1503894000025</v>
      </c>
      <c r="DR8" s="69">
        <f>'P&amp;L - Inputs'!DQ13</f>
        <v>4018.8820931349837</v>
      </c>
      <c r="DS8" s="69">
        <f>'P&amp;L - Inputs'!DR13</f>
        <v>17865.225000000002</v>
      </c>
      <c r="DT8" s="69">
        <f>'P&amp;L - Inputs'!DS13</f>
        <v>18216.345000000001</v>
      </c>
      <c r="DU8" s="69">
        <f>'P&amp;L - Inputs'!DT13</f>
        <v>6256.3200000000006</v>
      </c>
      <c r="DV8" s="69">
        <f>'P&amp;L - Inputs'!DU13</f>
        <v>7987.9800000000005</v>
      </c>
      <c r="DW8" s="69">
        <f>'P&amp;L - Inputs'!DV13</f>
        <v>5286.75</v>
      </c>
      <c r="DX8" s="69">
        <f>'P&amp;L - Inputs'!DW13</f>
        <v>6573.5249999999996</v>
      </c>
      <c r="DY8" s="69">
        <f>'P&amp;L - Inputs'!DX13</f>
        <v>5292.7349999999997</v>
      </c>
      <c r="DZ8" s="69">
        <f>'P&amp;L - Inputs'!DY13</f>
        <v>12628.35</v>
      </c>
      <c r="EA8" s="69">
        <f>'P&amp;L - Inputs'!DZ13</f>
        <v>14533.575000000003</v>
      </c>
      <c r="EB8" s="69">
        <f>'P&amp;L - Inputs'!EA13</f>
        <v>8937.6</v>
      </c>
      <c r="EC8" s="69">
        <f>'P&amp;L - Inputs'!EB13</f>
        <v>7240.9804672800028</v>
      </c>
      <c r="ED8" s="69">
        <f>'P&amp;L - Inputs'!EC13</f>
        <v>4822.6585117619807</v>
      </c>
      <c r="EE8" s="39" t="s">
        <v>1</v>
      </c>
      <c r="EF8" s="68"/>
      <c r="EG8" s="629">
        <f>SUM(BK8:BM8)</f>
        <v>15192</v>
      </c>
      <c r="EH8" s="629">
        <f>SUM(BN8:BP8)</f>
        <v>8725</v>
      </c>
      <c r="EI8" s="629">
        <f>SUM(BQ8:BS8)</f>
        <v>22278</v>
      </c>
      <c r="EJ8" s="629">
        <f>SUM(BT8:BV8)</f>
        <v>11002</v>
      </c>
      <c r="EK8" s="629">
        <f>SUM(BW8:BY8)</f>
        <v>9557</v>
      </c>
      <c r="EL8" s="629">
        <f>SUM(BZ8:CB8)</f>
        <v>13083</v>
      </c>
      <c r="EM8" s="629">
        <f>SUM(CC8:CE8)</f>
        <v>13333</v>
      </c>
      <c r="EN8" s="629">
        <f>SUM(CF8:CH8)</f>
        <v>28484</v>
      </c>
      <c r="EO8" s="629">
        <f>SUM(CI8:CK8)</f>
        <v>21222</v>
      </c>
      <c r="EP8" s="629">
        <f>SUM(CL8:CN8)</f>
        <v>9949</v>
      </c>
      <c r="EQ8" s="629">
        <f>SUM(CO8:CQ8)</f>
        <v>16268</v>
      </c>
      <c r="ER8" s="629">
        <f t="shared" ref="ER8:ER9" si="50">SUM(CR8:CT8)</f>
        <v>10526.936831599993</v>
      </c>
      <c r="ES8" s="629">
        <f t="shared" ref="ES8:ES9" si="51">SUM(CU8:CW8)</f>
        <v>28225.260000000006</v>
      </c>
      <c r="ET8" s="629">
        <f t="shared" ref="ET8:ET9" si="52">SUM(CX8:CZ8)</f>
        <v>13232.17</v>
      </c>
      <c r="EU8" s="629">
        <f t="shared" ref="EU8:EU9" si="53">SUM(DA8:DC8)</f>
        <v>21636.440000000002</v>
      </c>
      <c r="EV8" s="629">
        <f t="shared" ref="EV8:EV9" si="54">SUM(DD8:DF8)</f>
        <v>14000.82598602799</v>
      </c>
      <c r="EW8" s="629">
        <f t="shared" ref="EW8:EW9" si="55">SUM(DG8:DI8)</f>
        <v>35281.575000000004</v>
      </c>
      <c r="EX8" s="629">
        <f t="shared" ref="EX8:EX9" si="56">SUM(DJ8:DL8)</f>
        <v>16540.212500000001</v>
      </c>
      <c r="EY8" s="629">
        <f t="shared" ref="EY8:EY9" si="57">SUM(DM8:DO8)</f>
        <v>27045.550000000003</v>
      </c>
      <c r="EZ8" s="629">
        <f t="shared" ref="EZ8:EZ9" si="58">SUM(DP8:DR8)</f>
        <v>17501.032482534989</v>
      </c>
      <c r="FA8" s="629">
        <f>SUM(DS8:DU8)</f>
        <v>42337.890000000007</v>
      </c>
      <c r="FB8" s="629">
        <f t="shared" ref="FB8:FB9" si="59">SUM(DV8:DX8)</f>
        <v>19848.254999999997</v>
      </c>
      <c r="FC8" s="629">
        <f t="shared" ref="FC8:FC9" si="60">SUM(DY8:EA8)</f>
        <v>32454.660000000003</v>
      </c>
      <c r="FD8" s="629">
        <f t="shared" ref="FD8:FD9" si="61">SUM(EB8:ED8)</f>
        <v>21001.238979041984</v>
      </c>
      <c r="FG8" s="70">
        <f>SUM(EK8:EN8)</f>
        <v>64457</v>
      </c>
      <c r="FH8" s="67">
        <f>SUM(EO8:ER8)</f>
        <v>57965.936831599989</v>
      </c>
      <c r="FI8" s="67">
        <f>SUM(ES8:EV8)</f>
        <v>77094.695986028004</v>
      </c>
      <c r="FJ8" s="69">
        <f>SUM(EW8:EZ8)</f>
        <v>96368.36998253499</v>
      </c>
      <c r="FK8" s="619">
        <f t="shared" ref="FK8:FK9" si="62">SUM(FA8:FD8)</f>
        <v>115642.04397904199</v>
      </c>
    </row>
    <row r="9" spans="1:167" ht="15.75" customHeight="1" x14ac:dyDescent="0.2">
      <c r="B9" s="48" t="s">
        <v>4</v>
      </c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8"/>
      <c r="AD9" s="67"/>
      <c r="AE9" s="67"/>
      <c r="AF9" s="67"/>
      <c r="AG9" s="67"/>
      <c r="AH9" s="67"/>
      <c r="AI9" s="67"/>
      <c r="AJ9" s="67"/>
      <c r="AK9" s="68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>
        <f>'P&amp;L - Inputs'!AZ14</f>
        <v>46154</v>
      </c>
      <c r="BB9" s="67">
        <f>'P&amp;L - Inputs'!BA14</f>
        <v>51717</v>
      </c>
      <c r="BC9" s="67">
        <f>'P&amp;L - Inputs'!BB14</f>
        <v>54679</v>
      </c>
      <c r="BD9" s="67">
        <f>'P&amp;L - Inputs'!BC14</f>
        <v>47633</v>
      </c>
      <c r="BE9" s="67">
        <f>'P&amp;L - Inputs'!BD14</f>
        <v>50529</v>
      </c>
      <c r="BF9" s="67">
        <f>'P&amp;L - Inputs'!BE14</f>
        <v>52185</v>
      </c>
      <c r="BG9" s="67">
        <f>'P&amp;L - Inputs'!BF14</f>
        <v>65536</v>
      </c>
      <c r="BH9" s="67">
        <f>'P&amp;L - Inputs'!BG14</f>
        <v>60989</v>
      </c>
      <c r="BI9" s="67">
        <f>'P&amp;L - Inputs'!BH14</f>
        <v>51027</v>
      </c>
      <c r="BJ9" s="66">
        <f>'P&amp;L - Inputs'!BI14</f>
        <v>57821</v>
      </c>
      <c r="BK9" s="67">
        <f>'P&amp;L - Inputs'!BJ14</f>
        <v>56250</v>
      </c>
      <c r="BL9" s="67">
        <f>'P&amp;L - Inputs'!BK14</f>
        <v>54644</v>
      </c>
      <c r="BM9" s="67">
        <f>'P&amp;L - Inputs'!BL14</f>
        <v>37687</v>
      </c>
      <c r="BN9" s="67">
        <f>'P&amp;L - Inputs'!BM14</f>
        <v>40718</v>
      </c>
      <c r="BO9" s="67">
        <f>'P&amp;L - Inputs'!BN14</f>
        <v>45738</v>
      </c>
      <c r="BP9" s="67">
        <f>'P&amp;L - Inputs'!BO14</f>
        <v>43900</v>
      </c>
      <c r="BQ9" s="67">
        <f>'P&amp;L - Inputs'!BP14</f>
        <v>34529</v>
      </c>
      <c r="BR9" s="67">
        <f>'P&amp;L - Inputs'!BQ14</f>
        <v>33684</v>
      </c>
      <c r="BS9" s="67">
        <f>'P&amp;L - Inputs'!BR14</f>
        <v>30780</v>
      </c>
      <c r="BT9" s="67">
        <f>'P&amp;L - Inputs'!BS14</f>
        <v>29203</v>
      </c>
      <c r="BU9" s="67">
        <f>'P&amp;L - Inputs'!BT14</f>
        <v>30576</v>
      </c>
      <c r="BV9" s="67">
        <f>'P&amp;L - Inputs'!BU14</f>
        <v>28090</v>
      </c>
      <c r="BW9" s="67">
        <f>'P&amp;L - Inputs'!BV14</f>
        <v>30573</v>
      </c>
      <c r="BX9" s="67">
        <f>'P&amp;L - Inputs'!BW14</f>
        <v>35825</v>
      </c>
      <c r="BY9" s="67">
        <f>'P&amp;L - Inputs'!BX14</f>
        <v>35853</v>
      </c>
      <c r="BZ9" s="67">
        <f>'P&amp;L - Inputs'!BY14</f>
        <v>35328</v>
      </c>
      <c r="CA9" s="67">
        <f>'P&amp;L - Inputs'!BZ14</f>
        <v>31014</v>
      </c>
      <c r="CB9" s="67">
        <f>'P&amp;L - Inputs'!CA14</f>
        <v>27470</v>
      </c>
      <c r="CC9" s="67">
        <f>'P&amp;L - Inputs'!CB14</f>
        <v>30565</v>
      </c>
      <c r="CD9" s="67">
        <f>'P&amp;L - Inputs'!CC14</f>
        <v>33360</v>
      </c>
      <c r="CE9" s="67">
        <f>'P&amp;L - Inputs'!CD14</f>
        <v>37963</v>
      </c>
      <c r="CF9" s="67">
        <f>'P&amp;L - Inputs'!CE14</f>
        <v>38551</v>
      </c>
      <c r="CG9" s="67">
        <f>'P&amp;L - Inputs'!CF14</f>
        <v>40985</v>
      </c>
      <c r="CH9" s="67">
        <f>'P&amp;L - Inputs'!CG14</f>
        <v>48977</v>
      </c>
      <c r="CI9" s="67">
        <f>'P&amp;L - Inputs'!CH14</f>
        <v>43458</v>
      </c>
      <c r="CJ9" s="67">
        <f>'P&amp;L - Inputs'!CI14</f>
        <v>45214</v>
      </c>
      <c r="CK9" s="67">
        <f>'P&amp;L - Inputs'!CJ14</f>
        <v>48592</v>
      </c>
      <c r="CL9" s="67">
        <f>'P&amp;L - Inputs'!CK14</f>
        <v>47661</v>
      </c>
      <c r="CM9" s="67">
        <f>'P&amp;L - Inputs'!CL14</f>
        <v>45521</v>
      </c>
      <c r="CN9" s="67">
        <f>'P&amp;L - Inputs'!CM14</f>
        <v>38590</v>
      </c>
      <c r="CO9" s="67">
        <f>'P&amp;L - Inputs'!CN14</f>
        <v>46497</v>
      </c>
      <c r="CP9" s="67">
        <f>'P&amp;L - Inputs'!CO14</f>
        <v>54158</v>
      </c>
      <c r="CQ9" s="67">
        <f>'P&amp;L - Inputs'!CP14</f>
        <v>60087</v>
      </c>
      <c r="CR9" s="67">
        <f>'P&amp;L - Inputs'!CQ14</f>
        <v>58857</v>
      </c>
      <c r="CS9" s="67">
        <f>'P&amp;L - Inputs'!CR14</f>
        <v>58229</v>
      </c>
      <c r="CT9" s="67">
        <f>'P&amp;L - Inputs'!CS14</f>
        <v>57195</v>
      </c>
      <c r="CU9" s="67">
        <f>'P&amp;L - Inputs'!CT14</f>
        <v>57799.140000000007</v>
      </c>
      <c r="CV9" s="67">
        <f>'P&amp;L - Inputs'!CU14</f>
        <v>60134.62</v>
      </c>
      <c r="CW9" s="67">
        <f>'P&amp;L - Inputs'!CV14</f>
        <v>64627.360000000001</v>
      </c>
      <c r="CX9" s="67">
        <f>'P&amp;L - Inputs'!CW14</f>
        <v>63389.130000000005</v>
      </c>
      <c r="CY9" s="67">
        <f>'P&amp;L - Inputs'!CX14</f>
        <v>60542.93</v>
      </c>
      <c r="CZ9" s="67">
        <f>'P&amp;L - Inputs'!CY14</f>
        <v>51324.700000000004</v>
      </c>
      <c r="DA9" s="67">
        <f>'P&amp;L - Inputs'!CZ14</f>
        <v>61841.01</v>
      </c>
      <c r="DB9" s="67">
        <f>'P&amp;L - Inputs'!DA14</f>
        <v>72030.14</v>
      </c>
      <c r="DC9" s="67">
        <f>'P&amp;L - Inputs'!DB14</f>
        <v>79915.710000000006</v>
      </c>
      <c r="DD9" s="67">
        <f>'P&amp;L - Inputs'!DC14</f>
        <v>78279.81</v>
      </c>
      <c r="DE9" s="67">
        <f>'P&amp;L - Inputs'!DD14</f>
        <v>77444.570000000007</v>
      </c>
      <c r="DF9" s="67">
        <f>'P&amp;L - Inputs'!DE14</f>
        <v>76069.350000000006</v>
      </c>
      <c r="DG9" s="67">
        <f>'P&amp;L - Inputs'!DF14</f>
        <v>72248.925000000003</v>
      </c>
      <c r="DH9" s="67">
        <f>'P&amp;L - Inputs'!DG14</f>
        <v>75168.275000000009</v>
      </c>
      <c r="DI9" s="67">
        <f>'P&amp;L - Inputs'!DH14</f>
        <v>80784.2</v>
      </c>
      <c r="DJ9" s="67">
        <f>'P&amp;L - Inputs'!DI14</f>
        <v>79236.412500000006</v>
      </c>
      <c r="DK9" s="67">
        <f>'P&amp;L - Inputs'!DJ14</f>
        <v>75678.662500000006</v>
      </c>
      <c r="DL9" s="67">
        <f>'P&amp;L - Inputs'!DK14</f>
        <v>64155.875000000007</v>
      </c>
      <c r="DM9" s="67">
        <f>'P&amp;L - Inputs'!DL14</f>
        <v>77301.262499999997</v>
      </c>
      <c r="DN9" s="67">
        <f>'P&amp;L - Inputs'!DM14</f>
        <v>90037.675000000003</v>
      </c>
      <c r="DO9" s="67">
        <f>'P&amp;L - Inputs'!DN14</f>
        <v>99894.637500000012</v>
      </c>
      <c r="DP9" s="67">
        <f>'P&amp;L - Inputs'!DO14</f>
        <v>97849.762499999997</v>
      </c>
      <c r="DQ9" s="67">
        <f>'P&amp;L - Inputs'!DP14</f>
        <v>96805.712500000009</v>
      </c>
      <c r="DR9" s="69">
        <f>'P&amp;L - Inputs'!DQ14</f>
        <v>95086.6875</v>
      </c>
      <c r="DS9" s="69">
        <f>'P&amp;L - Inputs'!DR14</f>
        <v>86698.71</v>
      </c>
      <c r="DT9" s="69">
        <f>'P&amp;L - Inputs'!DS14</f>
        <v>90201.930000000008</v>
      </c>
      <c r="DU9" s="69">
        <f>'P&amp;L - Inputs'!DT14</f>
        <v>96941.04</v>
      </c>
      <c r="DV9" s="69">
        <f>'P&amp;L - Inputs'!DU14</f>
        <v>95083.695000000007</v>
      </c>
      <c r="DW9" s="69">
        <f>'P&amp;L - Inputs'!DV14</f>
        <v>90814.395000000004</v>
      </c>
      <c r="DX9" s="69">
        <f>'P&amp;L - Inputs'!DW14</f>
        <v>76987.05</v>
      </c>
      <c r="DY9" s="69">
        <f>'P&amp;L - Inputs'!DX14</f>
        <v>92761.514999999999</v>
      </c>
      <c r="DZ9" s="69">
        <f>'P&amp;L - Inputs'!DY14</f>
        <v>108045.21</v>
      </c>
      <c r="EA9" s="69">
        <f>'P&amp;L - Inputs'!DZ14</f>
        <v>119873.565</v>
      </c>
      <c r="EB9" s="69">
        <f>'P&amp;L - Inputs'!EA14</f>
        <v>117419.715</v>
      </c>
      <c r="EC9" s="69">
        <f>'P&amp;L - Inputs'!EB14</f>
        <v>116166.85500000001</v>
      </c>
      <c r="ED9" s="69">
        <f>'P&amp;L - Inputs'!EC14</f>
        <v>114104.02499999999</v>
      </c>
      <c r="EE9" s="39" t="s">
        <v>1</v>
      </c>
      <c r="EF9" s="68"/>
      <c r="EG9" s="629">
        <f>SUM(BK9:BM9)</f>
        <v>148581</v>
      </c>
      <c r="EH9" s="629">
        <f>SUM(BN9:BP9)</f>
        <v>130356</v>
      </c>
      <c r="EI9" s="629">
        <f>SUM(BQ9:BS9)</f>
        <v>98993</v>
      </c>
      <c r="EJ9" s="629">
        <f>SUM(BT9:BV9)</f>
        <v>87869</v>
      </c>
      <c r="EK9" s="629">
        <f>SUM(BW9:BY9)</f>
        <v>102251</v>
      </c>
      <c r="EL9" s="629">
        <f>SUM(BZ9:CB9)</f>
        <v>93812</v>
      </c>
      <c r="EM9" s="629">
        <f>SUM(CC9:CE9)</f>
        <v>101888</v>
      </c>
      <c r="EN9" s="629">
        <f>SUM(CF9:CH9)</f>
        <v>128513</v>
      </c>
      <c r="EO9" s="629">
        <f>SUM(CI9:CK9)</f>
        <v>137264</v>
      </c>
      <c r="EP9" s="629">
        <f>SUM(CL9:CN9)</f>
        <v>131772</v>
      </c>
      <c r="EQ9" s="629">
        <f>SUM(CO9:CQ9)</f>
        <v>160742</v>
      </c>
      <c r="ER9" s="629">
        <f t="shared" si="50"/>
        <v>174281</v>
      </c>
      <c r="ES9" s="629">
        <f t="shared" si="51"/>
        <v>182561.12</v>
      </c>
      <c r="ET9" s="629">
        <f t="shared" si="52"/>
        <v>175256.76</v>
      </c>
      <c r="EU9" s="629">
        <f t="shared" si="53"/>
        <v>213786.86</v>
      </c>
      <c r="EV9" s="629">
        <f t="shared" si="54"/>
        <v>231793.73</v>
      </c>
      <c r="EW9" s="629">
        <f t="shared" si="55"/>
        <v>228201.40000000002</v>
      </c>
      <c r="EX9" s="629">
        <f t="shared" si="56"/>
        <v>219070.95</v>
      </c>
      <c r="EY9" s="629">
        <f t="shared" si="57"/>
        <v>267233.57500000001</v>
      </c>
      <c r="EZ9" s="629">
        <f t="shared" si="58"/>
        <v>289742.16249999998</v>
      </c>
      <c r="FA9" s="629">
        <f>SUM(DS9:DU9)</f>
        <v>273841.68</v>
      </c>
      <c r="FB9" s="629">
        <f t="shared" si="59"/>
        <v>262885.14</v>
      </c>
      <c r="FC9" s="629">
        <f t="shared" si="60"/>
        <v>320680.29000000004</v>
      </c>
      <c r="FD9" s="629">
        <f t="shared" si="61"/>
        <v>347690.59499999997</v>
      </c>
      <c r="FG9" s="70">
        <f>SUM(EK9:EN9)</f>
        <v>426464</v>
      </c>
      <c r="FH9" s="67">
        <f>SUM(EO9:ER9)</f>
        <v>604059</v>
      </c>
      <c r="FI9" s="67">
        <f>SUM(ES9:EV9)</f>
        <v>803398.47</v>
      </c>
      <c r="FJ9" s="69">
        <f>SUM(EW9:EZ9)</f>
        <v>1004248.0875</v>
      </c>
      <c r="FK9" s="619">
        <f t="shared" si="62"/>
        <v>1205097.7050000001</v>
      </c>
    </row>
    <row r="10" spans="1:167" ht="18" customHeight="1" x14ac:dyDescent="0.2">
      <c r="A10" s="59"/>
      <c r="B10" s="49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2"/>
      <c r="Q10" s="51"/>
      <c r="R10" s="51"/>
      <c r="S10" s="51"/>
      <c r="T10" s="50"/>
      <c r="U10" s="51"/>
      <c r="V10" s="51"/>
      <c r="W10" s="51"/>
      <c r="X10" s="51"/>
      <c r="Y10" s="51"/>
      <c r="Z10" s="51"/>
      <c r="AA10" s="51"/>
      <c r="AB10" s="51"/>
      <c r="AC10" s="39"/>
      <c r="AD10" s="51"/>
      <c r="AE10" s="51"/>
      <c r="AF10" s="51"/>
      <c r="AG10" s="51"/>
      <c r="AH10" s="51"/>
      <c r="AI10" s="51"/>
      <c r="AJ10" s="51"/>
      <c r="AK10" s="39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0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3"/>
      <c r="DS10" s="50"/>
      <c r="DT10" s="51"/>
      <c r="DU10" s="51"/>
      <c r="DV10" s="51"/>
      <c r="DW10" s="51"/>
      <c r="DX10" s="51"/>
      <c r="DY10" s="51"/>
      <c r="DZ10" s="51"/>
      <c r="EA10" s="51"/>
      <c r="EB10" s="51"/>
      <c r="EC10" s="51"/>
      <c r="ED10" s="53"/>
      <c r="EE10" s="39" t="s">
        <v>1</v>
      </c>
      <c r="EF10" s="39"/>
      <c r="EG10" s="630"/>
      <c r="EH10" s="630"/>
      <c r="EI10" s="630"/>
      <c r="EJ10" s="630"/>
      <c r="EK10" s="631"/>
      <c r="EL10" s="631"/>
      <c r="EM10" s="630"/>
      <c r="EN10" s="630"/>
      <c r="EO10" s="630"/>
      <c r="EP10" s="630"/>
      <c r="EQ10" s="630"/>
      <c r="ER10" s="630"/>
      <c r="ES10" s="630"/>
      <c r="ET10" s="630"/>
      <c r="EU10" s="630"/>
      <c r="EV10" s="630"/>
      <c r="EW10" s="630"/>
      <c r="EX10" s="630"/>
      <c r="EY10" s="630"/>
      <c r="EZ10" s="630"/>
      <c r="FA10" s="630"/>
      <c r="FB10" s="630"/>
      <c r="FC10" s="630"/>
      <c r="FD10" s="630"/>
      <c r="FG10" s="54"/>
      <c r="FH10" s="51"/>
      <c r="FI10" s="51"/>
      <c r="FJ10" s="53"/>
      <c r="FK10" s="620"/>
    </row>
    <row r="11" spans="1:167" ht="15.75" customHeight="1" x14ac:dyDescent="0.2">
      <c r="B11" s="65" t="s">
        <v>6</v>
      </c>
      <c r="C11" s="61">
        <f>'P&amp;L - Inputs'!B22</f>
        <v>0</v>
      </c>
      <c r="D11" s="62">
        <f>'P&amp;L - Inputs'!C22</f>
        <v>0</v>
      </c>
      <c r="E11" s="62">
        <f>'P&amp;L - Inputs'!D22</f>
        <v>0</v>
      </c>
      <c r="F11" s="62">
        <f>'P&amp;L - Inputs'!E22</f>
        <v>0</v>
      </c>
      <c r="G11" s="62">
        <f>'P&amp;L - Inputs'!F22</f>
        <v>0</v>
      </c>
      <c r="H11" s="62">
        <f>'P&amp;L - Inputs'!G22</f>
        <v>0</v>
      </c>
      <c r="I11" s="62">
        <f>'P&amp;L - Inputs'!H22</f>
        <v>0</v>
      </c>
      <c r="J11" s="62">
        <f>'P&amp;L - Inputs'!I22</f>
        <v>0</v>
      </c>
      <c r="K11" s="62">
        <f>'P&amp;L - Inputs'!J22</f>
        <v>0</v>
      </c>
      <c r="L11" s="62">
        <f>'P&amp;L - Inputs'!K22</f>
        <v>0</v>
      </c>
      <c r="M11" s="62">
        <f>'P&amp;L - Inputs'!L22</f>
        <v>0</v>
      </c>
      <c r="N11" s="62">
        <f>'P&amp;L - Inputs'!M22</f>
        <v>0</v>
      </c>
      <c r="O11" s="62">
        <f>'P&amp;L - Inputs'!N22</f>
        <v>73665.555110246292</v>
      </c>
      <c r="P11" s="62">
        <f>'P&amp;L - Inputs'!O22</f>
        <v>18545.060390213701</v>
      </c>
      <c r="Q11" s="62">
        <f>'P&amp;L - Inputs'!P22</f>
        <v>35350.413907284805</v>
      </c>
      <c r="R11" s="62">
        <f>'P&amp;L - Inputs'!Q22</f>
        <v>313486.28900606331</v>
      </c>
      <c r="S11" s="62">
        <f>'P&amp;L - Inputs'!R22</f>
        <v>1159355.2106975713</v>
      </c>
      <c r="T11" s="62">
        <f>'P&amp;L - Inputs'!S22</f>
        <v>1898625.8744481485</v>
      </c>
      <c r="U11" s="62">
        <f>'P&amp;L - Inputs'!T22</f>
        <v>1537513.1401869159</v>
      </c>
      <c r="V11" s="62">
        <f>'P&amp;L - Inputs'!U22</f>
        <v>1643258.4994020648</v>
      </c>
      <c r="W11" s="62">
        <f>'P&amp;L - Inputs'!V22</f>
        <v>3134468.3339074668</v>
      </c>
      <c r="X11" s="62">
        <f>'P&amp;L - Inputs'!W22</f>
        <v>3493815.9042770294</v>
      </c>
      <c r="Y11" s="62">
        <f>'P&amp;L - Inputs'!X22</f>
        <v>2214325.7156959665</v>
      </c>
      <c r="Z11" s="62">
        <f>'P&amp;L - Inputs'!Y22</f>
        <v>681691.8</v>
      </c>
      <c r="AA11" s="62">
        <f>'P&amp;L - Inputs'!Z22</f>
        <v>58689</v>
      </c>
      <c r="AB11" s="62">
        <f>'P&amp;L - Inputs'!AA22</f>
        <v>78042.060356272195</v>
      </c>
      <c r="AC11" s="614">
        <f>'P&amp;L - Inputs'!AB22</f>
        <v>302378.04553362168</v>
      </c>
      <c r="AD11" s="62">
        <f>'P&amp;L - Inputs'!AC22</f>
        <v>90474.929575727394</v>
      </c>
      <c r="AE11" s="62">
        <f>'P&amp;L - Inputs'!AD22</f>
        <v>203264.42760718707</v>
      </c>
      <c r="AF11" s="62">
        <f>'P&amp;L - Inputs'!AE22</f>
        <v>1361023.772482974</v>
      </c>
      <c r="AG11" s="62">
        <f>'P&amp;L - Inputs'!AF22</f>
        <v>2293737.3209034842</v>
      </c>
      <c r="AH11" s="62">
        <f>'P&amp;L - Inputs'!AG22</f>
        <v>2573237.3671421879</v>
      </c>
      <c r="AI11" s="62">
        <f>'P&amp;L - Inputs'!AH22</f>
        <v>2807816.9557540626</v>
      </c>
      <c r="AJ11" s="62">
        <f>'P&amp;L - Inputs'!AI22</f>
        <v>3084430.9328800202</v>
      </c>
      <c r="AK11" s="614">
        <f>'P&amp;L - Inputs'!AJ22</f>
        <v>3797965.7819819348</v>
      </c>
      <c r="AL11" s="62">
        <f>'P&amp;L - Inputs'!AK22</f>
        <v>4332916.3022988625</v>
      </c>
      <c r="AM11" s="62">
        <f>'P&amp;L - Inputs'!AL22</f>
        <v>3505842.2734151226</v>
      </c>
      <c r="AN11" s="62">
        <f>'P&amp;L - Inputs'!AM22</f>
        <v>4420191.4761746181</v>
      </c>
      <c r="AO11" s="62">
        <f>'P&amp;L - Inputs'!AN22</f>
        <v>8957793.5850175116</v>
      </c>
      <c r="AP11" s="62">
        <f>'P&amp;L - Inputs'!AO22</f>
        <v>13662088.430000007</v>
      </c>
      <c r="AQ11" s="62">
        <f>'P&amp;L - Inputs'!AP22</f>
        <v>16041870.883829201</v>
      </c>
      <c r="AR11" s="62">
        <f>'P&amp;L - Inputs'!AQ22</f>
        <v>25276687.029312592</v>
      </c>
      <c r="AS11" s="62">
        <f>'P&amp;L - Inputs'!AR22</f>
        <v>33122634.359999973</v>
      </c>
      <c r="AT11" s="62">
        <f>'P&amp;L - Inputs'!AS22</f>
        <v>23397431.130000014</v>
      </c>
      <c r="AU11" s="62">
        <f>'P&amp;L - Inputs'!AT22</f>
        <v>30706133.839999981</v>
      </c>
      <c r="AV11" s="62">
        <f>'P&amp;L - Inputs'!AU22</f>
        <v>32573536.390000001</v>
      </c>
      <c r="AW11" s="62">
        <f>'P&amp;L - Inputs'!AV22</f>
        <v>43288241</v>
      </c>
      <c r="AX11" s="62">
        <f>'P&amp;L - Inputs'!AW22</f>
        <v>50451902.1254289</v>
      </c>
      <c r="AY11" s="62">
        <f>'P&amp;L - Inputs'!AX22</f>
        <v>49613455.54999987</v>
      </c>
      <c r="AZ11" s="62">
        <f>'P&amp;L - Inputs'!AY22</f>
        <v>64881764</v>
      </c>
      <c r="BA11" s="62">
        <v>69152022.820000127</v>
      </c>
      <c r="BB11" s="62">
        <f t="shared" ref="BB11:ER11" si="63">BB12+BB13</f>
        <v>64276477.298501514</v>
      </c>
      <c r="BC11" s="62">
        <f t="shared" si="63"/>
        <v>61835594.384117238</v>
      </c>
      <c r="BD11" s="62">
        <f t="shared" si="63"/>
        <v>53480847.653610654</v>
      </c>
      <c r="BE11" s="62">
        <f t="shared" si="63"/>
        <v>46389583.428452604</v>
      </c>
      <c r="BF11" s="62">
        <f t="shared" si="63"/>
        <v>53529111.448092893</v>
      </c>
      <c r="BG11" s="62">
        <f t="shared" si="63"/>
        <v>62969263.536532894</v>
      </c>
      <c r="BH11" s="62">
        <f t="shared" si="63"/>
        <v>57422683.442052104</v>
      </c>
      <c r="BI11" s="62">
        <f t="shared" si="63"/>
        <v>58090116.159317449</v>
      </c>
      <c r="BJ11" s="61">
        <f t="shared" si="63"/>
        <v>62624254.548868529</v>
      </c>
      <c r="BK11" s="62">
        <f t="shared" si="63"/>
        <v>76536530.073409602</v>
      </c>
      <c r="BL11" s="62">
        <f t="shared" si="63"/>
        <v>72695280.012605667</v>
      </c>
      <c r="BM11" s="62">
        <f t="shared" si="63"/>
        <v>55695124.606233619</v>
      </c>
      <c r="BN11" s="62">
        <f t="shared" si="63"/>
        <v>60161071.245214261</v>
      </c>
      <c r="BO11" s="62">
        <f t="shared" si="63"/>
        <v>56566397.315295048</v>
      </c>
      <c r="BP11" s="62">
        <f t="shared" si="63"/>
        <v>50908459.997822702</v>
      </c>
      <c r="BQ11" s="62">
        <f t="shared" si="63"/>
        <v>44811294.506559856</v>
      </c>
      <c r="BR11" s="62">
        <f t="shared" si="63"/>
        <v>33288316.730209462</v>
      </c>
      <c r="BS11" s="62">
        <f t="shared" si="63"/>
        <v>39380551.573994622</v>
      </c>
      <c r="BT11" s="62">
        <f t="shared" si="63"/>
        <v>38596506.723087728</v>
      </c>
      <c r="BU11" s="62">
        <f t="shared" si="63"/>
        <v>41539489.946336597</v>
      </c>
      <c r="BV11" s="62">
        <f t="shared" si="63"/>
        <v>35627347</v>
      </c>
      <c r="BW11" s="62">
        <f t="shared" si="63"/>
        <v>39027835.500370227</v>
      </c>
      <c r="BX11" s="62">
        <f t="shared" si="63"/>
        <v>41180205.942910641</v>
      </c>
      <c r="BY11" s="62">
        <f t="shared" si="63"/>
        <v>37820419.208812833</v>
      </c>
      <c r="BZ11" s="62">
        <f t="shared" si="63"/>
        <v>38421604.25911478</v>
      </c>
      <c r="CA11" s="62">
        <f t="shared" si="63"/>
        <v>38540693.438424483</v>
      </c>
      <c r="CB11" s="62">
        <f t="shared" si="63"/>
        <v>41279369.345931023</v>
      </c>
      <c r="CC11" s="62">
        <f t="shared" si="63"/>
        <v>38500713.43899703</v>
      </c>
      <c r="CD11" s="62">
        <f t="shared" si="63"/>
        <v>35403929.256332912</v>
      </c>
      <c r="CE11" s="62">
        <f t="shared" si="63"/>
        <v>38563230.632933594</v>
      </c>
      <c r="CF11" s="62">
        <f t="shared" si="63"/>
        <v>34164575.13988106</v>
      </c>
      <c r="CG11" s="62">
        <f t="shared" si="63"/>
        <v>31083240.318292845</v>
      </c>
      <c r="CH11" s="62">
        <f t="shared" si="63"/>
        <v>38848188.580181628</v>
      </c>
      <c r="CI11" s="62">
        <f t="shared" si="63"/>
        <v>42290720.498826109</v>
      </c>
      <c r="CJ11" s="62">
        <f t="shared" si="63"/>
        <v>42471519.808827765</v>
      </c>
      <c r="CK11" s="62">
        <f t="shared" si="63"/>
        <v>59153816.8189587</v>
      </c>
      <c r="CL11" s="62">
        <f t="shared" si="63"/>
        <v>47173607.499999985</v>
      </c>
      <c r="CM11" s="62">
        <f t="shared" si="63"/>
        <v>50244942.010000147</v>
      </c>
      <c r="CN11" s="62">
        <f t="shared" si="63"/>
        <v>40413838.730000041</v>
      </c>
      <c r="CO11" s="62">
        <f t="shared" si="63"/>
        <v>43646244.990000002</v>
      </c>
      <c r="CP11" s="62">
        <f t="shared" si="63"/>
        <v>43697575.960000008</v>
      </c>
      <c r="CQ11" s="62">
        <f t="shared" si="63"/>
        <v>58062499.87000002</v>
      </c>
      <c r="CR11" s="62">
        <f t="shared" si="63"/>
        <v>58286668.16999989</v>
      </c>
      <c r="CS11" s="62">
        <f t="shared" si="63"/>
        <v>62612125.560000099</v>
      </c>
      <c r="CT11" s="62">
        <f t="shared" si="63"/>
        <v>66146253.839999892</v>
      </c>
      <c r="CU11" s="62">
        <f t="shared" si="63"/>
        <v>64717047.948710889</v>
      </c>
      <c r="CV11" s="62">
        <f t="shared" si="63"/>
        <v>67326439.780532792</v>
      </c>
      <c r="CW11" s="62">
        <f t="shared" si="63"/>
        <v>72154608.275245413</v>
      </c>
      <c r="CX11" s="62">
        <f t="shared" si="63"/>
        <v>70800219.985941783</v>
      </c>
      <c r="CY11" s="62">
        <f t="shared" si="63"/>
        <v>67585756.720467865</v>
      </c>
      <c r="CZ11" s="62">
        <f t="shared" si="63"/>
        <v>57326890.781868108</v>
      </c>
      <c r="DA11" s="62">
        <f t="shared" si="63"/>
        <v>69033212.371463642</v>
      </c>
      <c r="DB11" s="62">
        <f t="shared" si="63"/>
        <v>80505310.100025788</v>
      </c>
      <c r="DC11" s="62">
        <f t="shared" si="63"/>
        <v>89326629.616936371</v>
      </c>
      <c r="DD11" s="62">
        <f t="shared" si="63"/>
        <v>87417785.788540617</v>
      </c>
      <c r="DE11" s="62">
        <f t="shared" si="63"/>
        <v>86460776.89276886</v>
      </c>
      <c r="DF11" s="62">
        <f t="shared" si="63"/>
        <v>84890750.366197318</v>
      </c>
      <c r="DG11" s="62">
        <f t="shared" si="63"/>
        <v>80896309.935888618</v>
      </c>
      <c r="DH11" s="62">
        <f t="shared" si="63"/>
        <v>84158049.725666016</v>
      </c>
      <c r="DI11" s="62">
        <f t="shared" si="63"/>
        <v>90193260.34405677</v>
      </c>
      <c r="DJ11" s="62">
        <f t="shared" si="63"/>
        <v>88500274.98242721</v>
      </c>
      <c r="DK11" s="62">
        <f t="shared" si="63"/>
        <v>84482195.900584817</v>
      </c>
      <c r="DL11" s="62">
        <f t="shared" si="63"/>
        <v>71658613.47733514</v>
      </c>
      <c r="DM11" s="62">
        <f t="shared" si="63"/>
        <v>86291515.464329571</v>
      </c>
      <c r="DN11" s="62">
        <f t="shared" si="63"/>
        <v>100631637.62503223</v>
      </c>
      <c r="DO11" s="62">
        <f t="shared" si="63"/>
        <v>111658287.02117044</v>
      </c>
      <c r="DP11" s="62">
        <f t="shared" si="63"/>
        <v>109272232.23567575</v>
      </c>
      <c r="DQ11" s="62">
        <f t="shared" si="63"/>
        <v>108075971.11596105</v>
      </c>
      <c r="DR11" s="63">
        <f t="shared" si="63"/>
        <v>106113437.9577466</v>
      </c>
      <c r="DS11" s="63">
        <f t="shared" ref="DS11:ED11" si="64">DS12+DS13</f>
        <v>97075571.923066333</v>
      </c>
      <c r="DT11" s="63">
        <f t="shared" si="64"/>
        <v>100989659.67079923</v>
      </c>
      <c r="DU11" s="63">
        <f t="shared" si="64"/>
        <v>108231912.41286811</v>
      </c>
      <c r="DV11" s="63">
        <f t="shared" si="64"/>
        <v>106200329.97891265</v>
      </c>
      <c r="DW11" s="63">
        <f t="shared" si="64"/>
        <v>101378635.08070178</v>
      </c>
      <c r="DX11" s="63">
        <f t="shared" si="64"/>
        <v>85990336.172802135</v>
      </c>
      <c r="DY11" s="63">
        <f t="shared" si="64"/>
        <v>103549818.55719545</v>
      </c>
      <c r="DZ11" s="63">
        <f t="shared" si="64"/>
        <v>120757965.15003867</v>
      </c>
      <c r="EA11" s="63">
        <f t="shared" si="64"/>
        <v>133989944.42540452</v>
      </c>
      <c r="EB11" s="63">
        <f t="shared" si="64"/>
        <v>131126678.68281089</v>
      </c>
      <c r="EC11" s="63">
        <f t="shared" si="64"/>
        <v>129691165.33915325</v>
      </c>
      <c r="ED11" s="63">
        <f t="shared" si="64"/>
        <v>127336125.5492959</v>
      </c>
      <c r="EE11" s="39" t="s">
        <v>1</v>
      </c>
      <c r="EF11" s="64"/>
      <c r="EG11" s="625">
        <f t="shared" si="63"/>
        <v>204926934.69224888</v>
      </c>
      <c r="EH11" s="625">
        <f t="shared" si="63"/>
        <v>167635928.558332</v>
      </c>
      <c r="EI11" s="625">
        <f t="shared" si="63"/>
        <v>117480162.81076394</v>
      </c>
      <c r="EJ11" s="625">
        <f t="shared" si="63"/>
        <v>115763343.66942433</v>
      </c>
      <c r="EK11" s="625">
        <f t="shared" si="63"/>
        <v>118028460.65209371</v>
      </c>
      <c r="EL11" s="625">
        <f t="shared" si="63"/>
        <v>118241667.04347029</v>
      </c>
      <c r="EM11" s="625">
        <f t="shared" si="63"/>
        <v>112467873.32826354</v>
      </c>
      <c r="EN11" s="625">
        <f t="shared" si="63"/>
        <v>104096004.03835553</v>
      </c>
      <c r="EO11" s="625">
        <f t="shared" si="63"/>
        <v>143916057.12661257</v>
      </c>
      <c r="EP11" s="625">
        <f t="shared" si="63"/>
        <v>137832388.24000016</v>
      </c>
      <c r="EQ11" s="625">
        <f t="shared" si="63"/>
        <v>145406320.82000002</v>
      </c>
      <c r="ER11" s="625">
        <f t="shared" si="63"/>
        <v>187045047.56999987</v>
      </c>
      <c r="ES11" s="625">
        <f t="shared" ref="ES11:FD11" si="65">ES12+ES13</f>
        <v>204198096.00448909</v>
      </c>
      <c r="ET11" s="625">
        <f t="shared" si="65"/>
        <v>195712867.48827776</v>
      </c>
      <c r="EU11" s="625">
        <f t="shared" si="65"/>
        <v>238865152.08842579</v>
      </c>
      <c r="EV11" s="625">
        <f t="shared" si="65"/>
        <v>258769313.04750678</v>
      </c>
      <c r="EW11" s="625">
        <f t="shared" si="65"/>
        <v>255247620.00561142</v>
      </c>
      <c r="EX11" s="625">
        <f t="shared" si="65"/>
        <v>244641084.36034715</v>
      </c>
      <c r="EY11" s="625">
        <f t="shared" si="65"/>
        <v>298581440.11053222</v>
      </c>
      <c r="EZ11" s="625">
        <f t="shared" si="65"/>
        <v>323461641.30938345</v>
      </c>
      <c r="FA11" s="625">
        <f t="shared" si="65"/>
        <v>306297144.00673372</v>
      </c>
      <c r="FB11" s="625">
        <f t="shared" si="65"/>
        <v>293569301.23241657</v>
      </c>
      <c r="FC11" s="625">
        <f t="shared" si="65"/>
        <v>358297728.13263869</v>
      </c>
      <c r="FD11" s="625">
        <f t="shared" si="65"/>
        <v>388153969.57126004</v>
      </c>
      <c r="FG11" s="65">
        <f t="shared" ref="FG11" si="66">FG12+FG13</f>
        <v>452834005.06218308</v>
      </c>
      <c r="FH11" s="62">
        <f t="shared" ref="FH11:FK11" si="67">FH12+FH13</f>
        <v>614199813.75661266</v>
      </c>
      <c r="FI11" s="62">
        <f t="shared" si="67"/>
        <v>897545428.62869942</v>
      </c>
      <c r="FJ11" s="63">
        <f t="shared" si="67"/>
        <v>1121931785.7858744</v>
      </c>
      <c r="FK11" s="63">
        <f t="shared" si="67"/>
        <v>1346318142.9430492</v>
      </c>
    </row>
    <row r="12" spans="1:167" ht="15.75" customHeight="1" x14ac:dyDescent="0.2">
      <c r="B12" s="48" t="s">
        <v>3</v>
      </c>
      <c r="C12" s="66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8"/>
      <c r="AD12" s="67"/>
      <c r="AE12" s="67"/>
      <c r="AF12" s="67"/>
      <c r="AG12" s="67"/>
      <c r="AH12" s="67"/>
      <c r="AI12" s="67"/>
      <c r="AJ12" s="67"/>
      <c r="AK12" s="68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>
        <f>'P&amp;L - Inputs'!AZ23</f>
        <v>584761.33190888166</v>
      </c>
      <c r="BB12" s="67">
        <f>'P&amp;L - Inputs'!BA23</f>
        <v>130274.59213119221</v>
      </c>
      <c r="BC12" s="67">
        <f>'P&amp;L - Inputs'!BB23</f>
        <v>163329.98460604492</v>
      </c>
      <c r="BD12" s="67">
        <f>'P&amp;L - Inputs'!BC23</f>
        <v>380127.04178982408</v>
      </c>
      <c r="BE12" s="67">
        <f>'P&amp;L - Inputs'!BD23</f>
        <v>1177382.4557549432</v>
      </c>
      <c r="BF12" s="67">
        <f>'P&amp;L - Inputs'!BE23</f>
        <v>2259684.6125039151</v>
      </c>
      <c r="BG12" s="67">
        <f>'P&amp;L - Inputs'!BF23</f>
        <v>308900.99216045963</v>
      </c>
      <c r="BH12" s="67">
        <f>'P&amp;L - Inputs'!BG23</f>
        <v>249670.92670913576</v>
      </c>
      <c r="BI12" s="67">
        <f>'P&amp;L - Inputs'!BH23</f>
        <v>568887.69247748505</v>
      </c>
      <c r="BJ12" s="66">
        <f>'P&amp;L - Inputs'!BI23</f>
        <v>1351325.0294909673</v>
      </c>
      <c r="BK12" s="67">
        <f>'P&amp;L - Inputs'!BJ23</f>
        <v>489349.00310316338</v>
      </c>
      <c r="BL12" s="67">
        <f>'P&amp;L - Inputs'!BK23</f>
        <v>596455.24720914185</v>
      </c>
      <c r="BM12" s="67">
        <f>'P&amp;L - Inputs'!BL23</f>
        <v>152981.59195186739</v>
      </c>
      <c r="BN12" s="67">
        <f>'P&amp;L - Inputs'!BM23</f>
        <v>200262.42337374482</v>
      </c>
      <c r="BO12" s="67">
        <f>'P&amp;L - Inputs'!BN23</f>
        <v>27457.577147116022</v>
      </c>
      <c r="BP12" s="67">
        <f>'P&amp;L - Inputs'!BO23</f>
        <v>201581.69631271978</v>
      </c>
      <c r="BQ12" s="67">
        <f>'P&amp;L - Inputs'!BP23</f>
        <v>2088827.8603889332</v>
      </c>
      <c r="BR12" s="67">
        <f>'P&amp;L - Inputs'!BQ23</f>
        <v>270666.24268452858</v>
      </c>
      <c r="BS12" s="67">
        <f>'P&amp;L - Inputs'!BR23</f>
        <v>88826.571300075346</v>
      </c>
      <c r="BT12" s="67">
        <f>'P&amp;L - Inputs'!BS23</f>
        <v>720660.14962792175</v>
      </c>
      <c r="BU12" s="67">
        <f>'P&amp;L - Inputs'!BT23</f>
        <v>1462117.2270053183</v>
      </c>
      <c r="BV12" s="67">
        <f>'P&amp;L - Inputs'!BU23</f>
        <v>1052057</v>
      </c>
      <c r="BW12" s="67">
        <f>'P&amp;L - Inputs'!BV23</f>
        <v>645068.3505013003</v>
      </c>
      <c r="BX12" s="67">
        <f>'P&amp;L - Inputs'!BW23</f>
        <v>639875.17488929501</v>
      </c>
      <c r="BY12" s="67">
        <f>'P&amp;L - Inputs'!BX23</f>
        <v>851158.77314847638</v>
      </c>
      <c r="BZ12" s="67">
        <f>'P&amp;L - Inputs'!BY23</f>
        <v>95498.433199502222</v>
      </c>
      <c r="CA12" s="67">
        <f>'P&amp;L - Inputs'!BZ23</f>
        <v>100441.80442999859</v>
      </c>
      <c r="CB12" s="67">
        <f>'P&amp;L - Inputs'!CA23</f>
        <v>86477.184611943929</v>
      </c>
      <c r="CC12" s="67">
        <f>'P&amp;L - Inputs'!CB23</f>
        <v>313479.16603827907</v>
      </c>
      <c r="CD12" s="67">
        <f>'P&amp;L - Inputs'!CC23</f>
        <v>280926.05334463768</v>
      </c>
      <c r="CE12" s="67">
        <f>'P&amp;L - Inputs'!CD23</f>
        <v>185949.367929197</v>
      </c>
      <c r="CF12" s="67">
        <f>'P&amp;L - Inputs'!CE23</f>
        <v>12510.888355187959</v>
      </c>
      <c r="CG12" s="67">
        <f>'P&amp;L - Inputs'!CF23</f>
        <v>62892.962363716986</v>
      </c>
      <c r="CH12" s="67">
        <f>'P&amp;L - Inputs'!CG23</f>
        <v>90180.167256206929</v>
      </c>
      <c r="CI12" s="67">
        <f>'P&amp;L - Inputs'!CH23</f>
        <v>147495.14121625217</v>
      </c>
      <c r="CJ12" s="67">
        <f>'P&amp;L - Inputs'!CI23</f>
        <v>1251985.497965029</v>
      </c>
      <c r="CK12" s="67">
        <f>'P&amp;L - Inputs'!CJ23</f>
        <v>55430.528994977809</v>
      </c>
      <c r="CL12" s="67">
        <f>'P&amp;L - Inputs'!CK23</f>
        <v>246236.77999999997</v>
      </c>
      <c r="CM12" s="67">
        <f>'P&amp;L - Inputs'!CL23</f>
        <v>54944.39</v>
      </c>
      <c r="CN12" s="67">
        <f>'P&amp;L - Inputs'!CM23</f>
        <v>93690.25</v>
      </c>
      <c r="CO12" s="67">
        <f>'P&amp;L - Inputs'!CN23</f>
        <v>29481.83</v>
      </c>
      <c r="CP12" s="67">
        <f>'P&amp;L - Inputs'!CO23</f>
        <v>111605.68</v>
      </c>
      <c r="CQ12" s="67">
        <f>'P&amp;L - Inputs'!CP23</f>
        <v>311799.44999999995</v>
      </c>
      <c r="CR12" s="67">
        <f>'P&amp;L - Inputs'!CQ23</f>
        <v>120490.87</v>
      </c>
      <c r="CS12" s="67">
        <f>'P&amp;L - Inputs'!CR23</f>
        <v>29857.06</v>
      </c>
      <c r="CT12" s="67">
        <f>'P&amp;L - Inputs'!CS23</f>
        <v>112658.46</v>
      </c>
      <c r="CU12" s="67">
        <f>'P&amp;L - Inputs'!CT23</f>
        <v>270750.94694724638</v>
      </c>
      <c r="CV12" s="67">
        <f>'P&amp;L - Inputs'!CU23</f>
        <v>276072.23859020736</v>
      </c>
      <c r="CW12" s="67">
        <f>'P&amp;L - Inputs'!CV23</f>
        <v>94815.742001849751</v>
      </c>
      <c r="CX12" s="67">
        <f>'P&amp;L - Inputs'!CW23</f>
        <v>121059.38487736174</v>
      </c>
      <c r="CY12" s="67">
        <f>'P&amp;L - Inputs'!CX23</f>
        <v>80121.720760491648</v>
      </c>
      <c r="CZ12" s="67">
        <f>'P&amp;L - Inputs'!CY23</f>
        <v>99623.045247479255</v>
      </c>
      <c r="DA12" s="67">
        <f>'P&amp;L - Inputs'!CZ23</f>
        <v>80212.424595314849</v>
      </c>
      <c r="DB12" s="67">
        <f>'P&amp;L - Inputs'!DA23</f>
        <v>191385.09147694797</v>
      </c>
      <c r="DC12" s="67">
        <f>'P&amp;L - Inputs'!DB23</f>
        <v>220259.14556233273</v>
      </c>
      <c r="DD12" s="67">
        <f>'P&amp;L - Inputs'!DC23</f>
        <v>135451.06000264248</v>
      </c>
      <c r="DE12" s="67">
        <f>'P&amp;L - Inputs'!DD23</f>
        <v>109738.46219919284</v>
      </c>
      <c r="DF12" s="67">
        <f>'P&amp;L - Inputs'!DE23</f>
        <v>73088.32432072665</v>
      </c>
      <c r="DG12" s="67">
        <f>'P&amp;L - Inputs'!DF23</f>
        <v>338438.68368405791</v>
      </c>
      <c r="DH12" s="67">
        <f>'P&amp;L - Inputs'!DG23</f>
        <v>345090.2982377591</v>
      </c>
      <c r="DI12" s="67">
        <f>'P&amp;L - Inputs'!DH23</f>
        <v>118519.67750231219</v>
      </c>
      <c r="DJ12" s="67">
        <f>'P&amp;L - Inputs'!DI23</f>
        <v>151324.23109670216</v>
      </c>
      <c r="DK12" s="67">
        <f>'P&amp;L - Inputs'!DJ23</f>
        <v>100152.15095061457</v>
      </c>
      <c r="DL12" s="67">
        <f>'P&amp;L - Inputs'!DK23</f>
        <v>124528.80655934903</v>
      </c>
      <c r="DM12" s="67">
        <f>'P&amp;L - Inputs'!DL23</f>
        <v>100265.53074414356</v>
      </c>
      <c r="DN12" s="67">
        <f>'P&amp;L - Inputs'!DM23</f>
        <v>239231.36434618494</v>
      </c>
      <c r="DO12" s="67">
        <f>'P&amp;L - Inputs'!DN23</f>
        <v>275323.93195291591</v>
      </c>
      <c r="DP12" s="67">
        <f>'P&amp;L - Inputs'!DO23</f>
        <v>169313.82500330312</v>
      </c>
      <c r="DQ12" s="67">
        <f>'P&amp;L - Inputs'!DP23</f>
        <v>137173.07774899105</v>
      </c>
      <c r="DR12" s="69">
        <f>'P&amp;L - Inputs'!DQ23</f>
        <v>91360.405400908334</v>
      </c>
      <c r="DS12" s="69">
        <f>'P&amp;L - Inputs'!DR23</f>
        <v>406126.42042086954</v>
      </c>
      <c r="DT12" s="69">
        <f>'P&amp;L - Inputs'!DS23</f>
        <v>414108.35788531095</v>
      </c>
      <c r="DU12" s="69">
        <f>'P&amp;L - Inputs'!DT23</f>
        <v>142223.61300277463</v>
      </c>
      <c r="DV12" s="69">
        <f>'P&amp;L - Inputs'!DU23</f>
        <v>181589.07731604262</v>
      </c>
      <c r="DW12" s="69">
        <f>'P&amp;L - Inputs'!DV23</f>
        <v>120182.5811407375</v>
      </c>
      <c r="DX12" s="69">
        <f>'P&amp;L - Inputs'!DW23</f>
        <v>149434.56787121887</v>
      </c>
      <c r="DY12" s="69">
        <f>'P&amp;L - Inputs'!DX23</f>
        <v>120318.63689297228</v>
      </c>
      <c r="DZ12" s="69">
        <f>'P&amp;L - Inputs'!DY23</f>
        <v>287077.637215422</v>
      </c>
      <c r="EA12" s="69">
        <f>'P&amp;L - Inputs'!DZ23</f>
        <v>330388.71834349912</v>
      </c>
      <c r="EB12" s="69">
        <f>'P&amp;L - Inputs'!EA23</f>
        <v>203176.59000396376</v>
      </c>
      <c r="EC12" s="69">
        <f>'P&amp;L - Inputs'!EB23</f>
        <v>164607.69329878927</v>
      </c>
      <c r="ED12" s="69">
        <f>'P&amp;L - Inputs'!EC23</f>
        <v>109632.48648109</v>
      </c>
      <c r="EE12" s="39" t="s">
        <v>1</v>
      </c>
      <c r="EF12" s="68"/>
      <c r="EG12" s="629">
        <f>SUM(BK12:BM12)</f>
        <v>1238785.8422641726</v>
      </c>
      <c r="EH12" s="629">
        <f>SUM(BN12:BP12)</f>
        <v>429301.69683358062</v>
      </c>
      <c r="EI12" s="629">
        <f>SUM(BQ12:BS12)</f>
        <v>2448320.6743735373</v>
      </c>
      <c r="EJ12" s="629">
        <f>SUM(BT12:BV12)</f>
        <v>3234834.3766332399</v>
      </c>
      <c r="EK12" s="629">
        <f>SUM(BW12:BY12)</f>
        <v>2136102.2985390713</v>
      </c>
      <c r="EL12" s="629">
        <f>SUM(BZ12:CB12)</f>
        <v>282417.4222414447</v>
      </c>
      <c r="EM12" s="629">
        <f>SUM(CC12:CE12)</f>
        <v>780354.58731211384</v>
      </c>
      <c r="EN12" s="629">
        <f>SUM(CF12:CH12)</f>
        <v>165584.01797511187</v>
      </c>
      <c r="EO12" s="629">
        <f>SUM(CI12:CK12)</f>
        <v>1454911.1681762589</v>
      </c>
      <c r="EP12" s="629">
        <f>SUM(CL12:CN12)</f>
        <v>394871.42</v>
      </c>
      <c r="EQ12" s="629">
        <f>SUM(CO12:CQ12)</f>
        <v>452886.95999999996</v>
      </c>
      <c r="ER12" s="629">
        <f t="shared" ref="ER12:ER17" si="68">SUM(CR12:CT12)</f>
        <v>263006.39</v>
      </c>
      <c r="ES12" s="629">
        <f t="shared" ref="ES12:ES13" si="69">SUM(CU12:CW12)</f>
        <v>641638.92753930343</v>
      </c>
      <c r="ET12" s="629">
        <f t="shared" ref="ET12:ET13" si="70">SUM(CX12:CZ12)</f>
        <v>300804.15088533261</v>
      </c>
      <c r="EU12" s="629">
        <f t="shared" ref="EU12:EU13" si="71">SUM(DA12:DC12)</f>
        <v>491856.6616345956</v>
      </c>
      <c r="EV12" s="629">
        <f t="shared" ref="EV12:EV13" si="72">SUM(DD12:DF12)</f>
        <v>318277.84652256197</v>
      </c>
      <c r="EW12" s="629">
        <f t="shared" ref="EW12:EW13" si="73">SUM(DG12:DI12)</f>
        <v>802048.65942412918</v>
      </c>
      <c r="EX12" s="629">
        <f t="shared" ref="EX12:EX13" si="74">SUM(DJ12:DL12)</f>
        <v>376005.18860666576</v>
      </c>
      <c r="EY12" s="629">
        <f t="shared" ref="EY12:EY13" si="75">SUM(DM12:DO12)</f>
        <v>614820.82704324438</v>
      </c>
      <c r="EZ12" s="629">
        <f t="shared" ref="EZ12:EZ13" si="76">SUM(DP12:DR12)</f>
        <v>397847.30815320252</v>
      </c>
      <c r="FA12" s="629">
        <f>SUM(DS12:DU12)</f>
        <v>962458.39130895515</v>
      </c>
      <c r="FB12" s="629">
        <f t="shared" ref="FB12:FB13" si="77">SUM(DV12:DX12)</f>
        <v>451206.22632799903</v>
      </c>
      <c r="FC12" s="629">
        <f t="shared" ref="FC12:FC13" si="78">SUM(DY12:EA12)</f>
        <v>737784.9924518934</v>
      </c>
      <c r="FD12" s="629">
        <f t="shared" ref="FD12:FD13" si="79">SUM(EB12:ED12)</f>
        <v>477416.76978384302</v>
      </c>
      <c r="FG12" s="70">
        <f>SUM(EK12:EN12)</f>
        <v>3364458.326067742</v>
      </c>
      <c r="FH12" s="67">
        <f>SUM(EO12:ER12)</f>
        <v>2565675.9381762589</v>
      </c>
      <c r="FI12" s="67">
        <f>SUM(ES12:EV12)</f>
        <v>1752577.5865817936</v>
      </c>
      <c r="FJ12" s="69">
        <f>SUM(EW12:EZ12)</f>
        <v>2190721.9832272418</v>
      </c>
      <c r="FK12" s="619">
        <f t="shared" ref="FK12:FK13" si="80">SUM(FA12:FD12)</f>
        <v>2628866.3798726904</v>
      </c>
    </row>
    <row r="13" spans="1:167" ht="15.75" customHeight="1" x14ac:dyDescent="0.2">
      <c r="B13" s="48" t="s">
        <v>4</v>
      </c>
      <c r="C13" s="66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8"/>
      <c r="AD13" s="67"/>
      <c r="AE13" s="67"/>
      <c r="AF13" s="67"/>
      <c r="AG13" s="67"/>
      <c r="AH13" s="67"/>
      <c r="AI13" s="67"/>
      <c r="AJ13" s="67"/>
      <c r="AK13" s="68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>
        <f>'P&amp;L - Inputs'!AZ24</f>
        <v>68567261.488091245</v>
      </c>
      <c r="BB13" s="67">
        <f>'P&amp;L - Inputs'!BA24</f>
        <v>64146202.706370324</v>
      </c>
      <c r="BC13" s="67">
        <f>'P&amp;L - Inputs'!BB24</f>
        <v>61672264.399511196</v>
      </c>
      <c r="BD13" s="67">
        <f>'P&amp;L - Inputs'!BC24</f>
        <v>53100720.611820832</v>
      </c>
      <c r="BE13" s="67">
        <f>'P&amp;L - Inputs'!BD24</f>
        <v>45212200.97269766</v>
      </c>
      <c r="BF13" s="67">
        <f>'P&amp;L - Inputs'!BE24</f>
        <v>51269426.835588977</v>
      </c>
      <c r="BG13" s="67">
        <f>'P&amp;L - Inputs'!BF24</f>
        <v>62660362.544372432</v>
      </c>
      <c r="BH13" s="67">
        <f>'P&amp;L - Inputs'!BG24</f>
        <v>57173012.515342966</v>
      </c>
      <c r="BI13" s="67">
        <f>'P&amp;L - Inputs'!BH24</f>
        <v>57521228.466839962</v>
      </c>
      <c r="BJ13" s="66">
        <f>'P&amp;L - Inputs'!BI24</f>
        <v>61272929.519377559</v>
      </c>
      <c r="BK13" s="67">
        <f>'P&amp;L - Inputs'!BJ24</f>
        <v>76047181.070306435</v>
      </c>
      <c r="BL13" s="67">
        <f>'P&amp;L - Inputs'!BK24</f>
        <v>72098824.76539652</v>
      </c>
      <c r="BM13" s="67">
        <f>'P&amp;L - Inputs'!BL24</f>
        <v>55542143.01428175</v>
      </c>
      <c r="BN13" s="67">
        <f>'P&amp;L - Inputs'!BM24</f>
        <v>59960808.821840517</v>
      </c>
      <c r="BO13" s="67">
        <f>'P&amp;L - Inputs'!BN24</f>
        <v>56538939.738147929</v>
      </c>
      <c r="BP13" s="67">
        <f>'P&amp;L - Inputs'!BO24</f>
        <v>50706878.301509984</v>
      </c>
      <c r="BQ13" s="67">
        <f>'P&amp;L - Inputs'!BP24</f>
        <v>42722466.646170922</v>
      </c>
      <c r="BR13" s="67">
        <f>'P&amp;L - Inputs'!BQ24</f>
        <v>33017650.487524934</v>
      </c>
      <c r="BS13" s="67">
        <f>'P&amp;L - Inputs'!BR24</f>
        <v>39291725.002694547</v>
      </c>
      <c r="BT13" s="67">
        <f>'P&amp;L - Inputs'!BS24</f>
        <v>37875846.573459804</v>
      </c>
      <c r="BU13" s="67">
        <f>'P&amp;L - Inputs'!BT24</f>
        <v>40077372.719331279</v>
      </c>
      <c r="BV13" s="67">
        <f>'P&amp;L - Inputs'!BU24</f>
        <v>34575290</v>
      </c>
      <c r="BW13" s="67">
        <f>'P&amp;L - Inputs'!BV24</f>
        <v>38382767.149868928</v>
      </c>
      <c r="BX13" s="67">
        <f>'P&amp;L - Inputs'!BW24</f>
        <v>40540330.768021345</v>
      </c>
      <c r="BY13" s="67">
        <f>'P&amp;L - Inputs'!BX24</f>
        <v>36969260.435664356</v>
      </c>
      <c r="BZ13" s="67">
        <f>'P&amp;L - Inputs'!BY24</f>
        <v>38326105.825915277</v>
      </c>
      <c r="CA13" s="67">
        <f>'P&amp;L - Inputs'!BZ24</f>
        <v>38440251.633994482</v>
      </c>
      <c r="CB13" s="67">
        <f>'P&amp;L - Inputs'!CA24</f>
        <v>41192892.161319077</v>
      </c>
      <c r="CC13" s="67">
        <f>'P&amp;L - Inputs'!CB24</f>
        <v>38187234.272958748</v>
      </c>
      <c r="CD13" s="67">
        <f>'P&amp;L - Inputs'!CC24</f>
        <v>35123003.202988274</v>
      </c>
      <c r="CE13" s="67">
        <f>'P&amp;L - Inputs'!CD24</f>
        <v>38377281.265004396</v>
      </c>
      <c r="CF13" s="67">
        <f>'P&amp;L - Inputs'!CE24</f>
        <v>34152064.251525871</v>
      </c>
      <c r="CG13" s="67">
        <f>'P&amp;L - Inputs'!CF24</f>
        <v>31020347.355929129</v>
      </c>
      <c r="CH13" s="67">
        <f>'P&amp;L - Inputs'!CG24</f>
        <v>38758008.412925422</v>
      </c>
      <c r="CI13" s="67">
        <f>'P&amp;L - Inputs'!CH24</f>
        <v>42143225.357609853</v>
      </c>
      <c r="CJ13" s="67">
        <f>'P&amp;L - Inputs'!CI24</f>
        <v>41219534.310862735</v>
      </c>
      <c r="CK13" s="67">
        <f>'P&amp;L - Inputs'!CJ24</f>
        <v>59098386.289963722</v>
      </c>
      <c r="CL13" s="67">
        <f>'P&amp;L - Inputs'!CK24</f>
        <v>46927370.719999984</v>
      </c>
      <c r="CM13" s="67">
        <f>'P&amp;L - Inputs'!CL24</f>
        <v>50189997.620000146</v>
      </c>
      <c r="CN13" s="67">
        <f>'P&amp;L - Inputs'!CM24</f>
        <v>40320148.480000041</v>
      </c>
      <c r="CO13" s="67">
        <f>'P&amp;L - Inputs'!CN24</f>
        <v>43616763.160000004</v>
      </c>
      <c r="CP13" s="67">
        <f>'P&amp;L - Inputs'!CO24</f>
        <v>43585970.280000009</v>
      </c>
      <c r="CQ13" s="67">
        <f>'P&amp;L - Inputs'!CP24</f>
        <v>57750700.420000017</v>
      </c>
      <c r="CR13" s="67">
        <f>'P&amp;L - Inputs'!CQ24</f>
        <v>58166177.299999893</v>
      </c>
      <c r="CS13" s="67">
        <f>'P&amp;L - Inputs'!CR24</f>
        <v>62582268.500000097</v>
      </c>
      <c r="CT13" s="67">
        <f>'P&amp;L - Inputs'!CS24</f>
        <v>66033595.379999891</v>
      </c>
      <c r="CU13" s="67">
        <f>'P&amp;L - Inputs'!CT24</f>
        <v>64446297.001763642</v>
      </c>
      <c r="CV13" s="67">
        <f>'P&amp;L - Inputs'!CU24</f>
        <v>67050367.541942589</v>
      </c>
      <c r="CW13" s="67">
        <f>'P&amp;L - Inputs'!CV24</f>
        <v>72059792.533243567</v>
      </c>
      <c r="CX13" s="67">
        <f>'P&amp;L - Inputs'!CW24</f>
        <v>70679160.601064414</v>
      </c>
      <c r="CY13" s="67">
        <f>'P&amp;L - Inputs'!CX24</f>
        <v>67505634.999707371</v>
      </c>
      <c r="CZ13" s="67">
        <f>'P&amp;L - Inputs'!CY24</f>
        <v>57227267.736620627</v>
      </c>
      <c r="DA13" s="67">
        <f>'P&amp;L - Inputs'!CZ24</f>
        <v>68952999.94686833</v>
      </c>
      <c r="DB13" s="67">
        <f>'P&amp;L - Inputs'!DA24</f>
        <v>80313925.008548841</v>
      </c>
      <c r="DC13" s="67">
        <f>'P&amp;L - Inputs'!DB24</f>
        <v>89106370.471374035</v>
      </c>
      <c r="DD13" s="67">
        <f>'P&amp;L - Inputs'!DC24</f>
        <v>87282334.728537977</v>
      </c>
      <c r="DE13" s="67">
        <f>'P&amp;L - Inputs'!DD24</f>
        <v>86351038.430569664</v>
      </c>
      <c r="DF13" s="67">
        <f>'P&amp;L - Inputs'!DE24</f>
        <v>84817662.041876584</v>
      </c>
      <c r="DG13" s="67">
        <f>'P&amp;L - Inputs'!DF24</f>
        <v>80557871.252204567</v>
      </c>
      <c r="DH13" s="67">
        <f>'P&amp;L - Inputs'!DG24</f>
        <v>83812959.42742826</v>
      </c>
      <c r="DI13" s="67">
        <f>'P&amp;L - Inputs'!DH24</f>
        <v>90074740.666554451</v>
      </c>
      <c r="DJ13" s="67">
        <f>'P&amp;L - Inputs'!DI24</f>
        <v>88348950.75133051</v>
      </c>
      <c r="DK13" s="67">
        <f>'P&amp;L - Inputs'!DJ24</f>
        <v>84382043.749634206</v>
      </c>
      <c r="DL13" s="67">
        <f>'P&amp;L - Inputs'!DK24</f>
        <v>71534084.670775786</v>
      </c>
      <c r="DM13" s="67">
        <f>'P&amp;L - Inputs'!DL24</f>
        <v>86191249.93358542</v>
      </c>
      <c r="DN13" s="67">
        <f>'P&amp;L - Inputs'!DM24</f>
        <v>100392406.26068604</v>
      </c>
      <c r="DO13" s="67">
        <f>'P&amp;L - Inputs'!DN24</f>
        <v>111382963.08921753</v>
      </c>
      <c r="DP13" s="67">
        <f>'P&amp;L - Inputs'!DO24</f>
        <v>109102918.41067246</v>
      </c>
      <c r="DQ13" s="67">
        <f>'P&amp;L - Inputs'!DP24</f>
        <v>107938798.03821206</v>
      </c>
      <c r="DR13" s="69">
        <f>'P&amp;L - Inputs'!DQ24</f>
        <v>106022077.55234569</v>
      </c>
      <c r="DS13" s="69">
        <f>'P&amp;L - Inputs'!DR24</f>
        <v>96669445.502645463</v>
      </c>
      <c r="DT13" s="69">
        <f>'P&amp;L - Inputs'!DS24</f>
        <v>100575551.31291391</v>
      </c>
      <c r="DU13" s="69">
        <f>'P&amp;L - Inputs'!DT24</f>
        <v>108089688.79986534</v>
      </c>
      <c r="DV13" s="69">
        <f>'P&amp;L - Inputs'!DU24</f>
        <v>106018740.90159661</v>
      </c>
      <c r="DW13" s="69">
        <f>'P&amp;L - Inputs'!DV24</f>
        <v>101258452.49956104</v>
      </c>
      <c r="DX13" s="69">
        <f>'P&amp;L - Inputs'!DW24</f>
        <v>85840901.604930922</v>
      </c>
      <c r="DY13" s="69">
        <f>'P&amp;L - Inputs'!DX24</f>
        <v>103429499.92030248</v>
      </c>
      <c r="DZ13" s="69">
        <f>'P&amp;L - Inputs'!DY24</f>
        <v>120470887.51282325</v>
      </c>
      <c r="EA13" s="69">
        <f>'P&amp;L - Inputs'!DZ24</f>
        <v>133659555.70706102</v>
      </c>
      <c r="EB13" s="69">
        <f>'P&amp;L - Inputs'!EA24</f>
        <v>130923502.09280692</v>
      </c>
      <c r="EC13" s="69">
        <f>'P&amp;L - Inputs'!EB24</f>
        <v>129526557.64585446</v>
      </c>
      <c r="ED13" s="69">
        <f>'P&amp;L - Inputs'!EC24</f>
        <v>127226493.06281482</v>
      </c>
      <c r="EE13" s="39" t="s">
        <v>1</v>
      </c>
      <c r="EF13" s="68"/>
      <c r="EG13" s="629">
        <f>SUM(BK13:BM13)</f>
        <v>203688148.84998471</v>
      </c>
      <c r="EH13" s="629">
        <f>SUM(BN13:BP13)</f>
        <v>167206626.86149842</v>
      </c>
      <c r="EI13" s="629">
        <f>SUM(BQ13:BS13)</f>
        <v>115031842.1363904</v>
      </c>
      <c r="EJ13" s="629">
        <f>SUM(BT13:BV13)</f>
        <v>112528509.29279108</v>
      </c>
      <c r="EK13" s="629">
        <f>SUM(BW13:BY13)</f>
        <v>115892358.35355464</v>
      </c>
      <c r="EL13" s="629">
        <f>SUM(BZ13:CB13)</f>
        <v>117959249.62122884</v>
      </c>
      <c r="EM13" s="629">
        <f>SUM(CC13:CE13)</f>
        <v>111687518.74095142</v>
      </c>
      <c r="EN13" s="629">
        <f>SUM(CF13:CH13)</f>
        <v>103930420.02038042</v>
      </c>
      <c r="EO13" s="629">
        <f>SUM(CI13:CK13)</f>
        <v>142461145.95843631</v>
      </c>
      <c r="EP13" s="629">
        <f>SUM(CL13:CN13)</f>
        <v>137437516.82000017</v>
      </c>
      <c r="EQ13" s="629">
        <f>SUM(CO13:CQ13)</f>
        <v>144953433.86000001</v>
      </c>
      <c r="ER13" s="629">
        <f t="shared" si="68"/>
        <v>186782041.17999989</v>
      </c>
      <c r="ES13" s="629">
        <f t="shared" si="69"/>
        <v>203556457.07694981</v>
      </c>
      <c r="ET13" s="629">
        <f t="shared" si="70"/>
        <v>195412063.33739242</v>
      </c>
      <c r="EU13" s="629">
        <f t="shared" si="71"/>
        <v>238373295.42679119</v>
      </c>
      <c r="EV13" s="629">
        <f t="shared" si="72"/>
        <v>258451035.20098421</v>
      </c>
      <c r="EW13" s="629">
        <f t="shared" si="73"/>
        <v>254445571.34618729</v>
      </c>
      <c r="EX13" s="629">
        <f t="shared" si="74"/>
        <v>244265079.17174047</v>
      </c>
      <c r="EY13" s="629">
        <f t="shared" si="75"/>
        <v>297966619.28348899</v>
      </c>
      <c r="EZ13" s="629">
        <f t="shared" si="76"/>
        <v>323063794.00123024</v>
      </c>
      <c r="FA13" s="629">
        <f>SUM(DS13:DU13)</f>
        <v>305334685.61542475</v>
      </c>
      <c r="FB13" s="629">
        <f t="shared" si="77"/>
        <v>293118095.00608855</v>
      </c>
      <c r="FC13" s="629">
        <f t="shared" si="78"/>
        <v>357559943.14018679</v>
      </c>
      <c r="FD13" s="629">
        <f t="shared" si="79"/>
        <v>387676552.80147618</v>
      </c>
      <c r="FG13" s="70">
        <f>SUM(EK13:EN13)</f>
        <v>449469546.73611534</v>
      </c>
      <c r="FH13" s="67">
        <f>SUM(EO13:ER13)</f>
        <v>611634137.81843638</v>
      </c>
      <c r="FI13" s="67">
        <f>SUM(ES13:EV13)</f>
        <v>895792851.0421176</v>
      </c>
      <c r="FJ13" s="69">
        <f>SUM(EW13:EZ13)</f>
        <v>1119741063.8026471</v>
      </c>
      <c r="FK13" s="619">
        <f t="shared" si="80"/>
        <v>1343689276.5631764</v>
      </c>
    </row>
    <row r="14" spans="1:167" ht="15.75" customHeight="1" x14ac:dyDescent="0.2">
      <c r="B14" s="49"/>
      <c r="C14" s="66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8"/>
      <c r="AD14" s="67"/>
      <c r="AE14" s="67"/>
      <c r="AF14" s="67"/>
      <c r="AG14" s="67"/>
      <c r="AH14" s="67"/>
      <c r="AI14" s="67"/>
      <c r="AJ14" s="67"/>
      <c r="AK14" s="68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6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/>
      <c r="DA14" s="67"/>
      <c r="DB14" s="67"/>
      <c r="DC14" s="67"/>
      <c r="DD14" s="67"/>
      <c r="DE14" s="67"/>
      <c r="DF14" s="67"/>
      <c r="DG14" s="67"/>
      <c r="DH14" s="67"/>
      <c r="DI14" s="67"/>
      <c r="DJ14" s="67"/>
      <c r="DK14" s="67"/>
      <c r="DL14" s="67"/>
      <c r="DM14" s="67"/>
      <c r="DN14" s="67"/>
      <c r="DO14" s="67"/>
      <c r="DP14" s="67"/>
      <c r="DQ14" s="67"/>
      <c r="DR14" s="69"/>
      <c r="DS14" s="69"/>
      <c r="DT14" s="69"/>
      <c r="DU14" s="69"/>
      <c r="DV14" s="69"/>
      <c r="DW14" s="69"/>
      <c r="DX14" s="69"/>
      <c r="DY14" s="69"/>
      <c r="DZ14" s="69"/>
      <c r="EA14" s="69"/>
      <c r="EB14" s="69"/>
      <c r="EC14" s="69"/>
      <c r="ED14" s="69"/>
      <c r="EE14" s="39" t="s">
        <v>1</v>
      </c>
      <c r="EF14" s="68"/>
      <c r="EG14" s="629"/>
      <c r="EH14" s="629"/>
      <c r="EI14" s="629"/>
      <c r="EJ14" s="629"/>
      <c r="EK14" s="629"/>
      <c r="EL14" s="629"/>
      <c r="EM14" s="629"/>
      <c r="EN14" s="629"/>
      <c r="EO14" s="629"/>
      <c r="EP14" s="629"/>
      <c r="EQ14" s="629"/>
      <c r="ER14" s="629"/>
      <c r="ES14" s="629"/>
      <c r="ET14" s="629"/>
      <c r="EU14" s="629"/>
      <c r="EV14" s="629"/>
      <c r="EW14" s="629"/>
      <c r="EX14" s="629"/>
      <c r="EY14" s="629"/>
      <c r="EZ14" s="629"/>
      <c r="FA14" s="629"/>
      <c r="FB14" s="629"/>
      <c r="FC14" s="629"/>
      <c r="FD14" s="629"/>
      <c r="FG14" s="70"/>
      <c r="FH14" s="67"/>
      <c r="FI14" s="67"/>
      <c r="FJ14" s="69"/>
      <c r="FK14" s="619"/>
    </row>
    <row r="15" spans="1:167" ht="15.75" customHeight="1" x14ac:dyDescent="0.2">
      <c r="B15" s="49" t="s">
        <v>5</v>
      </c>
      <c r="C15" s="71">
        <f>'P&amp;L - Inputs'!B26</f>
        <v>0</v>
      </c>
      <c r="D15" s="72">
        <f>'P&amp;L - Inputs'!C26</f>
        <v>0</v>
      </c>
      <c r="E15" s="72">
        <f>'P&amp;L - Inputs'!D26</f>
        <v>0</v>
      </c>
      <c r="F15" s="72">
        <f>'P&amp;L - Inputs'!E26</f>
        <v>0</v>
      </c>
      <c r="G15" s="72">
        <f>'P&amp;L - Inputs'!F26</f>
        <v>0</v>
      </c>
      <c r="H15" s="72">
        <f>'P&amp;L - Inputs'!G26</f>
        <v>0</v>
      </c>
      <c r="I15" s="72">
        <f>'P&amp;L - Inputs'!H26</f>
        <v>0</v>
      </c>
      <c r="J15" s="72">
        <f>'P&amp;L - Inputs'!I26</f>
        <v>0</v>
      </c>
      <c r="K15" s="72">
        <f>'P&amp;L - Inputs'!J26</f>
        <v>0</v>
      </c>
      <c r="L15" s="72">
        <f>'P&amp;L - Inputs'!K26</f>
        <v>0</v>
      </c>
      <c r="M15" s="72">
        <f>'P&amp;L - Inputs'!L26</f>
        <v>0</v>
      </c>
      <c r="N15" s="72">
        <f>'P&amp;L - Inputs'!M26</f>
        <v>0</v>
      </c>
      <c r="O15" s="72">
        <f>'P&amp;L - Inputs'!N26</f>
        <v>9</v>
      </c>
      <c r="P15" s="72">
        <f>'P&amp;L - Inputs'!O26</f>
        <v>1</v>
      </c>
      <c r="Q15" s="72">
        <f>'P&amp;L - Inputs'!P26</f>
        <v>4</v>
      </c>
      <c r="R15" s="72">
        <f>'P&amp;L - Inputs'!Q26</f>
        <v>31</v>
      </c>
      <c r="S15" s="72">
        <f>'P&amp;L - Inputs'!R26</f>
        <v>137</v>
      </c>
      <c r="T15" s="72">
        <f>'P&amp;L - Inputs'!S26</f>
        <v>193</v>
      </c>
      <c r="U15" s="72">
        <f>'P&amp;L - Inputs'!T26</f>
        <v>159</v>
      </c>
      <c r="V15" s="72">
        <f>'P&amp;L - Inputs'!U26</f>
        <v>148</v>
      </c>
      <c r="W15" s="72">
        <f>'P&amp;L - Inputs'!V26</f>
        <v>325</v>
      </c>
      <c r="X15" s="72">
        <f>'P&amp;L - Inputs'!W26</f>
        <v>451</v>
      </c>
      <c r="Y15" s="72">
        <f>'P&amp;L - Inputs'!X26</f>
        <v>337</v>
      </c>
      <c r="Z15" s="72">
        <f>'P&amp;L - Inputs'!Y26</f>
        <v>109</v>
      </c>
      <c r="AA15" s="72">
        <f>'P&amp;L - Inputs'!Z26</f>
        <v>9</v>
      </c>
      <c r="AB15" s="72">
        <f>'P&amp;L - Inputs'!AA26</f>
        <v>1</v>
      </c>
      <c r="AC15" s="64">
        <f>'P&amp;L - Inputs'!AB26</f>
        <v>42</v>
      </c>
      <c r="AD15" s="72">
        <f>'P&amp;L - Inputs'!AC26</f>
        <v>9</v>
      </c>
      <c r="AE15" s="72">
        <f>'P&amp;L - Inputs'!AD26</f>
        <v>41</v>
      </c>
      <c r="AF15" s="72">
        <f>'P&amp;L - Inputs'!AE26</f>
        <v>163</v>
      </c>
      <c r="AG15" s="72">
        <f>'P&amp;L - Inputs'!AF26</f>
        <v>338</v>
      </c>
      <c r="AH15" s="72">
        <f>'P&amp;L - Inputs'!AG26</f>
        <v>440</v>
      </c>
      <c r="AI15" s="72">
        <f>'P&amp;L - Inputs'!AH26</f>
        <v>464</v>
      </c>
      <c r="AJ15" s="72">
        <f>'P&amp;L - Inputs'!AI26</f>
        <v>386</v>
      </c>
      <c r="AK15" s="64">
        <f>'P&amp;L - Inputs'!AJ26</f>
        <v>487</v>
      </c>
      <c r="AL15" s="72">
        <f>'P&amp;L - Inputs'!AK26</f>
        <v>544</v>
      </c>
      <c r="AM15" s="72">
        <f>'P&amp;L - Inputs'!AL26</f>
        <v>529</v>
      </c>
      <c r="AN15" s="72">
        <f>'P&amp;L - Inputs'!AM26</f>
        <v>751</v>
      </c>
      <c r="AO15" s="72">
        <f>'P&amp;L - Inputs'!AN26</f>
        <v>1454</v>
      </c>
      <c r="AP15" s="72">
        <f>'P&amp;L - Inputs'!AO26</f>
        <v>2406</v>
      </c>
      <c r="AQ15" s="72">
        <f>'P&amp;L - Inputs'!AP26</f>
        <v>3125</v>
      </c>
      <c r="AR15" s="72">
        <f>'P&amp;L - Inputs'!AQ26</f>
        <v>4565</v>
      </c>
      <c r="AS15" s="72">
        <f>'P&amp;L - Inputs'!AR26</f>
        <v>5997</v>
      </c>
      <c r="AT15" s="72">
        <f>'P&amp;L - Inputs'!AS26</f>
        <v>4301</v>
      </c>
      <c r="AU15" s="72">
        <f>'P&amp;L - Inputs'!AT26</f>
        <v>5405</v>
      </c>
      <c r="AV15" s="72">
        <f>'P&amp;L - Inputs'!AU26</f>
        <v>5899</v>
      </c>
      <c r="AW15" s="72">
        <f>'P&amp;L - Inputs'!AV26</f>
        <v>7326</v>
      </c>
      <c r="AX15" s="72">
        <f>'P&amp;L - Inputs'!AW26</f>
        <v>8324</v>
      </c>
      <c r="AY15" s="72">
        <f>'P&amp;L - Inputs'!AX26</f>
        <v>8454</v>
      </c>
      <c r="AZ15" s="72">
        <f>'P&amp;L - Inputs'!AY26</f>
        <v>11659</v>
      </c>
      <c r="BA15" s="72">
        <f>BA16+BA17</f>
        <v>12670</v>
      </c>
      <c r="BB15" s="72">
        <f t="shared" ref="BB15:DM15" si="81">BB16+BB17</f>
        <v>9847</v>
      </c>
      <c r="BC15" s="72">
        <f t="shared" si="81"/>
        <v>9688</v>
      </c>
      <c r="BD15" s="72">
        <f t="shared" si="81"/>
        <v>8687</v>
      </c>
      <c r="BE15" s="72">
        <f t="shared" si="81"/>
        <v>8023</v>
      </c>
      <c r="BF15" s="72">
        <f t="shared" si="81"/>
        <v>8041</v>
      </c>
      <c r="BG15" s="72">
        <f t="shared" si="81"/>
        <v>8690</v>
      </c>
      <c r="BH15" s="72">
        <f t="shared" si="81"/>
        <v>7618</v>
      </c>
      <c r="BI15" s="72">
        <f t="shared" si="81"/>
        <v>7141</v>
      </c>
      <c r="BJ15" s="72">
        <f t="shared" si="81"/>
        <v>7744</v>
      </c>
      <c r="BK15" s="72">
        <f t="shared" si="81"/>
        <v>9180</v>
      </c>
      <c r="BL15" s="72">
        <f t="shared" si="81"/>
        <v>8178</v>
      </c>
      <c r="BM15" s="72">
        <f t="shared" si="81"/>
        <v>6173</v>
      </c>
      <c r="BN15" s="72">
        <f t="shared" si="81"/>
        <v>6268</v>
      </c>
      <c r="BO15" s="72">
        <f t="shared" si="81"/>
        <v>6527</v>
      </c>
      <c r="BP15" s="72">
        <f t="shared" si="81"/>
        <v>5670</v>
      </c>
      <c r="BQ15" s="72">
        <f t="shared" si="81"/>
        <v>4802</v>
      </c>
      <c r="BR15" s="72">
        <f t="shared" si="81"/>
        <v>3435</v>
      </c>
      <c r="BS15" s="72">
        <f t="shared" si="81"/>
        <v>3697</v>
      </c>
      <c r="BT15" s="72">
        <f t="shared" si="81"/>
        <v>3372</v>
      </c>
      <c r="BU15" s="72">
        <f t="shared" si="81"/>
        <v>3426</v>
      </c>
      <c r="BV15" s="72">
        <f t="shared" si="81"/>
        <v>3074</v>
      </c>
      <c r="BW15" s="72">
        <f t="shared" si="81"/>
        <v>3350</v>
      </c>
      <c r="BX15" s="72">
        <f t="shared" si="81"/>
        <v>3878</v>
      </c>
      <c r="BY15" s="72">
        <f t="shared" si="81"/>
        <v>4021</v>
      </c>
      <c r="BZ15" s="72">
        <f t="shared" si="81"/>
        <v>4027</v>
      </c>
      <c r="CA15" s="72">
        <f t="shared" si="81"/>
        <v>3980</v>
      </c>
      <c r="CB15" s="72">
        <f t="shared" si="81"/>
        <v>4197</v>
      </c>
      <c r="CC15" s="72">
        <f t="shared" si="81"/>
        <v>3886</v>
      </c>
      <c r="CD15" s="72">
        <f t="shared" si="81"/>
        <v>3583</v>
      </c>
      <c r="CE15" s="72">
        <f t="shared" si="81"/>
        <v>3952</v>
      </c>
      <c r="CF15" s="72">
        <f t="shared" si="81"/>
        <v>3085</v>
      </c>
      <c r="CG15" s="72">
        <f t="shared" si="81"/>
        <v>2582</v>
      </c>
      <c r="CH15" s="72">
        <f t="shared" si="81"/>
        <v>3046</v>
      </c>
      <c r="CI15" s="72">
        <f t="shared" si="81"/>
        <v>3421</v>
      </c>
      <c r="CJ15" s="72">
        <f t="shared" si="81"/>
        <v>3222</v>
      </c>
      <c r="CK15" s="72">
        <f t="shared" si="81"/>
        <v>4805.6315789473683</v>
      </c>
      <c r="CL15" s="72">
        <f t="shared" si="81"/>
        <v>3820</v>
      </c>
      <c r="CM15" s="72">
        <f t="shared" si="81"/>
        <v>3997</v>
      </c>
      <c r="CN15" s="72">
        <f t="shared" si="81"/>
        <v>3313</v>
      </c>
      <c r="CO15" s="72">
        <f t="shared" si="81"/>
        <v>3863</v>
      </c>
      <c r="CP15" s="72">
        <f t="shared" si="81"/>
        <v>3942</v>
      </c>
      <c r="CQ15" s="72">
        <f t="shared" si="81"/>
        <v>4834</v>
      </c>
      <c r="CR15" s="72">
        <f t="shared" si="81"/>
        <v>4251</v>
      </c>
      <c r="CS15" s="72">
        <f t="shared" si="81"/>
        <v>4442</v>
      </c>
      <c r="CT15" s="72">
        <f t="shared" si="81"/>
        <v>4791</v>
      </c>
      <c r="CU15" s="72">
        <f t="shared" si="81"/>
        <v>4690.1084661186733</v>
      </c>
      <c r="CV15" s="72">
        <f t="shared" si="81"/>
        <v>4879.1221247476606</v>
      </c>
      <c r="CW15" s="72">
        <f t="shared" si="81"/>
        <v>5225.7281890621425</v>
      </c>
      <c r="CX15" s="72">
        <f t="shared" si="81"/>
        <v>5128.0964181075333</v>
      </c>
      <c r="CY15" s="72">
        <f t="shared" si="81"/>
        <v>4894.6913201270909</v>
      </c>
      <c r="CZ15" s="72">
        <f t="shared" si="81"/>
        <v>4152.2424409039559</v>
      </c>
      <c r="DA15" s="72">
        <f t="shared" si="81"/>
        <v>4999.4922691551265</v>
      </c>
      <c r="DB15" s="72">
        <f t="shared" si="81"/>
        <v>5831.9202103284051</v>
      </c>
      <c r="DC15" s="72">
        <f t="shared" si="81"/>
        <v>6471.0785630945711</v>
      </c>
      <c r="DD15" s="72">
        <f t="shared" si="81"/>
        <v>6331.485849908775</v>
      </c>
      <c r="DE15" s="72">
        <f t="shared" si="81"/>
        <v>6261.7752833944105</v>
      </c>
      <c r="DF15" s="72">
        <f t="shared" si="81"/>
        <v>6147.5017310112044</v>
      </c>
      <c r="DG15" s="72">
        <f t="shared" si="81"/>
        <v>5862.6355826483414</v>
      </c>
      <c r="DH15" s="72">
        <f t="shared" si="81"/>
        <v>6098.9026559345757</v>
      </c>
      <c r="DI15" s="72">
        <f t="shared" si="81"/>
        <v>6532.160236327677</v>
      </c>
      <c r="DJ15" s="72">
        <f t="shared" si="81"/>
        <v>6410.1205226344164</v>
      </c>
      <c r="DK15" s="72">
        <f t="shared" si="81"/>
        <v>6118.3641501588636</v>
      </c>
      <c r="DL15" s="72">
        <f t="shared" si="81"/>
        <v>5190.3030511299448</v>
      </c>
      <c r="DM15" s="72">
        <f t="shared" si="81"/>
        <v>6249.3653364439078</v>
      </c>
      <c r="DN15" s="72">
        <f t="shared" ref="DN15:DR15" si="82">DN16+DN17</f>
        <v>7289.9002629105062</v>
      </c>
      <c r="DO15" s="72">
        <f t="shared" si="82"/>
        <v>8088.8482038682141</v>
      </c>
      <c r="DP15" s="72">
        <f t="shared" si="82"/>
        <v>7914.3573123859687</v>
      </c>
      <c r="DQ15" s="72">
        <f t="shared" si="82"/>
        <v>7827.219104243014</v>
      </c>
      <c r="DR15" s="72">
        <f t="shared" si="82"/>
        <v>7684.3771637640039</v>
      </c>
      <c r="DS15" s="72">
        <f t="shared" ref="DS15:ED15" si="83">DS16+DS17</f>
        <v>7035.1626991780095</v>
      </c>
      <c r="DT15" s="72">
        <f t="shared" si="83"/>
        <v>7318.6831871214908</v>
      </c>
      <c r="DU15" s="72">
        <f t="shared" si="83"/>
        <v>7838.5922835932115</v>
      </c>
      <c r="DV15" s="72">
        <f t="shared" si="83"/>
        <v>7692.1446271612995</v>
      </c>
      <c r="DW15" s="72">
        <f t="shared" si="83"/>
        <v>7342.0369801906354</v>
      </c>
      <c r="DX15" s="72">
        <f t="shared" si="83"/>
        <v>6228.3636613559329</v>
      </c>
      <c r="DY15" s="72">
        <f t="shared" si="83"/>
        <v>7499.2384037326901</v>
      </c>
      <c r="DZ15" s="72">
        <f t="shared" si="83"/>
        <v>8747.8803154926081</v>
      </c>
      <c r="EA15" s="72">
        <f t="shared" si="83"/>
        <v>9706.617844641858</v>
      </c>
      <c r="EB15" s="72">
        <f t="shared" si="83"/>
        <v>9497.2287748631625</v>
      </c>
      <c r="EC15" s="72">
        <f t="shared" si="83"/>
        <v>9392.6629250916176</v>
      </c>
      <c r="ED15" s="73">
        <f t="shared" si="83"/>
        <v>9221.2525965168043</v>
      </c>
      <c r="EE15" s="55" t="s">
        <v>1</v>
      </c>
      <c r="EF15" s="68"/>
      <c r="EG15" s="632">
        <f t="shared" ref="EG15:EQ15" si="84">EG16+EG17</f>
        <v>23531</v>
      </c>
      <c r="EH15" s="632">
        <f t="shared" si="84"/>
        <v>18465</v>
      </c>
      <c r="EI15" s="632">
        <f t="shared" si="84"/>
        <v>11934</v>
      </c>
      <c r="EJ15" s="632">
        <f t="shared" si="84"/>
        <v>9872</v>
      </c>
      <c r="EK15" s="632">
        <f t="shared" si="84"/>
        <v>11249</v>
      </c>
      <c r="EL15" s="632">
        <f t="shared" si="84"/>
        <v>12204</v>
      </c>
      <c r="EM15" s="632">
        <f t="shared" si="84"/>
        <v>11421</v>
      </c>
      <c r="EN15" s="632">
        <f t="shared" si="84"/>
        <v>8713</v>
      </c>
      <c r="EO15" s="632">
        <f t="shared" si="84"/>
        <v>11448.631578947368</v>
      </c>
      <c r="EP15" s="632">
        <f t="shared" si="84"/>
        <v>11130</v>
      </c>
      <c r="EQ15" s="632">
        <f t="shared" si="84"/>
        <v>12639</v>
      </c>
      <c r="ER15" s="632">
        <f t="shared" ref="ER15:FD15" si="85">ER16+ER17</f>
        <v>13484</v>
      </c>
      <c r="ES15" s="632">
        <f t="shared" si="85"/>
        <v>14794.958779928475</v>
      </c>
      <c r="ET15" s="632">
        <f t="shared" si="85"/>
        <v>14175.030179138581</v>
      </c>
      <c r="EU15" s="632">
        <f t="shared" si="85"/>
        <v>17302.491042578105</v>
      </c>
      <c r="EV15" s="632">
        <f t="shared" si="85"/>
        <v>18740.762864314387</v>
      </c>
      <c r="EW15" s="632">
        <f t="shared" si="85"/>
        <v>18493.698474910594</v>
      </c>
      <c r="EX15" s="632">
        <f t="shared" si="85"/>
        <v>17718.787723923226</v>
      </c>
      <c r="EY15" s="632">
        <f t="shared" si="85"/>
        <v>21628.11380322263</v>
      </c>
      <c r="EZ15" s="632">
        <f t="shared" si="85"/>
        <v>23425.953580392987</v>
      </c>
      <c r="FA15" s="632">
        <f t="shared" si="85"/>
        <v>22192.438169892714</v>
      </c>
      <c r="FB15" s="632">
        <f t="shared" si="85"/>
        <v>21262.545268707869</v>
      </c>
      <c r="FC15" s="632">
        <f t="shared" si="85"/>
        <v>25953.736563867158</v>
      </c>
      <c r="FD15" s="632">
        <f t="shared" si="85"/>
        <v>28111.144296471586</v>
      </c>
      <c r="FG15" s="74">
        <f t="shared" ref="FG15" si="86">FG16+FG17</f>
        <v>43587</v>
      </c>
      <c r="FH15" s="72">
        <f t="shared" ref="FH15:FK15" si="87">FH16+FH17</f>
        <v>48701.631578947367</v>
      </c>
      <c r="FI15" s="72">
        <f t="shared" si="87"/>
        <v>65013.242865959539</v>
      </c>
      <c r="FJ15" s="73">
        <f t="shared" si="87"/>
        <v>81266.553582449429</v>
      </c>
      <c r="FK15" s="73">
        <f t="shared" si="87"/>
        <v>97519.864298939327</v>
      </c>
    </row>
    <row r="16" spans="1:167" ht="15.75" customHeight="1" x14ac:dyDescent="0.2">
      <c r="B16" s="48" t="s">
        <v>3</v>
      </c>
      <c r="C16" s="66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8"/>
      <c r="AD16" s="67"/>
      <c r="AE16" s="67"/>
      <c r="AF16" s="67"/>
      <c r="AG16" s="67"/>
      <c r="AH16" s="67"/>
      <c r="AI16" s="67"/>
      <c r="AJ16" s="67"/>
      <c r="AK16" s="68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>
        <f>'P&amp;L - Inputs'!AZ27</f>
        <v>98</v>
      </c>
      <c r="BB16" s="67">
        <f>'P&amp;L - Inputs'!BA27</f>
        <v>18</v>
      </c>
      <c r="BC16" s="67">
        <f>'P&amp;L - Inputs'!BB27</f>
        <v>19</v>
      </c>
      <c r="BD16" s="67">
        <f>'P&amp;L - Inputs'!BC27</f>
        <v>90</v>
      </c>
      <c r="BE16" s="67">
        <f>'P&amp;L - Inputs'!BD27</f>
        <v>235</v>
      </c>
      <c r="BF16" s="67">
        <f>'P&amp;L - Inputs'!BE27</f>
        <v>236</v>
      </c>
      <c r="BG16" s="67">
        <f>'P&amp;L - Inputs'!BF27</f>
        <v>39</v>
      </c>
      <c r="BH16" s="67">
        <f>'P&amp;L - Inputs'!BG27</f>
        <v>18</v>
      </c>
      <c r="BI16" s="67">
        <f>'P&amp;L - Inputs'!BH27</f>
        <v>44</v>
      </c>
      <c r="BJ16" s="66">
        <f>'P&amp;L - Inputs'!BI27</f>
        <v>301</v>
      </c>
      <c r="BK16" s="67">
        <f>'P&amp;L - Inputs'!BJ27</f>
        <v>33</v>
      </c>
      <c r="BL16" s="67">
        <f>'P&amp;L - Inputs'!BK27</f>
        <v>36</v>
      </c>
      <c r="BM16" s="67">
        <f>'P&amp;L - Inputs'!BL27</f>
        <v>13</v>
      </c>
      <c r="BN16" s="67">
        <f>'P&amp;L - Inputs'!BM27</f>
        <v>11</v>
      </c>
      <c r="BO16" s="67">
        <f>'P&amp;L - Inputs'!BN27</f>
        <v>3</v>
      </c>
      <c r="BP16" s="67">
        <f>'P&amp;L - Inputs'!BO27</f>
        <v>16</v>
      </c>
      <c r="BQ16" s="67">
        <f>'P&amp;L - Inputs'!BP27</f>
        <v>101</v>
      </c>
      <c r="BR16" s="67">
        <f>'P&amp;L - Inputs'!BQ27</f>
        <v>15</v>
      </c>
      <c r="BS16" s="67">
        <f>'P&amp;L - Inputs'!BR27</f>
        <v>6</v>
      </c>
      <c r="BT16" s="67">
        <f>'P&amp;L - Inputs'!BS27</f>
        <v>37</v>
      </c>
      <c r="BU16" s="67">
        <f>'P&amp;L - Inputs'!BT27</f>
        <v>65</v>
      </c>
      <c r="BV16" s="67">
        <f>'P&amp;L - Inputs'!BU27</f>
        <v>53</v>
      </c>
      <c r="BW16" s="67">
        <f>'P&amp;L - Inputs'!BV27</f>
        <v>32</v>
      </c>
      <c r="BX16" s="67">
        <f>'P&amp;L - Inputs'!BW27</f>
        <v>25</v>
      </c>
      <c r="BY16" s="67">
        <f>'P&amp;L - Inputs'!BX27</f>
        <v>47</v>
      </c>
      <c r="BZ16" s="67">
        <f>'P&amp;L - Inputs'!BY27</f>
        <v>7</v>
      </c>
      <c r="CA16" s="67">
        <f>'P&amp;L - Inputs'!BZ27</f>
        <v>5</v>
      </c>
      <c r="CB16" s="67">
        <f>'P&amp;L - Inputs'!CA27</f>
        <v>4</v>
      </c>
      <c r="CC16" s="67">
        <f>'P&amp;L - Inputs'!CB27</f>
        <v>20</v>
      </c>
      <c r="CD16" s="67">
        <f>'P&amp;L - Inputs'!CC27</f>
        <v>19</v>
      </c>
      <c r="CE16" s="67">
        <f>'P&amp;L - Inputs'!CD27</f>
        <v>12</v>
      </c>
      <c r="CF16" s="67">
        <f>'P&amp;L - Inputs'!CE27</f>
        <v>1</v>
      </c>
      <c r="CG16" s="67">
        <f>'P&amp;L - Inputs'!CF27</f>
        <v>4</v>
      </c>
      <c r="CH16" s="67">
        <f>'P&amp;L - Inputs'!CG27</f>
        <v>5</v>
      </c>
      <c r="CI16" s="67">
        <f>'P&amp;L - Inputs'!CH27</f>
        <v>7</v>
      </c>
      <c r="CJ16" s="67">
        <f>'P&amp;L - Inputs'!CI27</f>
        <v>38</v>
      </c>
      <c r="CK16" s="67">
        <f>'P&amp;L - Inputs'!CJ27</f>
        <v>5</v>
      </c>
      <c r="CL16" s="67">
        <f>'P&amp;L - Inputs'!CK27</f>
        <v>11</v>
      </c>
      <c r="CM16" s="67">
        <f>'P&amp;L - Inputs'!CL27</f>
        <v>3</v>
      </c>
      <c r="CN16" s="67">
        <f>'P&amp;L - Inputs'!CM27</f>
        <v>7</v>
      </c>
      <c r="CO16" s="67">
        <f>'P&amp;L - Inputs'!CN27</f>
        <v>2</v>
      </c>
      <c r="CP16" s="67">
        <f>'P&amp;L - Inputs'!CO27</f>
        <v>15</v>
      </c>
      <c r="CQ16" s="67">
        <f>'P&amp;L - Inputs'!CP27</f>
        <v>20</v>
      </c>
      <c r="CR16" s="67">
        <f>'P&amp;L - Inputs'!CQ27</f>
        <v>5</v>
      </c>
      <c r="CS16" s="67">
        <f>'P&amp;L - Inputs'!CR27</f>
        <v>2</v>
      </c>
      <c r="CT16" s="67">
        <f>'P&amp;L - Inputs'!CS27</f>
        <v>10</v>
      </c>
      <c r="CU16" s="67">
        <f>'P&amp;L - Inputs'!CT27</f>
        <v>24.032899699431923</v>
      </c>
      <c r="CV16" s="67">
        <f>'P&amp;L - Inputs'!CU27</f>
        <v>24.505238096651357</v>
      </c>
      <c r="CW16" s="67">
        <f>'P&amp;L - Inputs'!CV27</f>
        <v>8.4162114413644336</v>
      </c>
      <c r="CX16" s="67">
        <f>'P&amp;L - Inputs'!CW27</f>
        <v>10.74569853674209</v>
      </c>
      <c r="CY16" s="67">
        <f>'P&amp;L - Inputs'!CX27</f>
        <v>7.1119133672244095</v>
      </c>
      <c r="CZ16" s="67">
        <f>'P&amp;L - Inputs'!CY27</f>
        <v>8.8429262433978995</v>
      </c>
      <c r="DA16" s="67">
        <f>'P&amp;L - Inputs'!CZ27</f>
        <v>7.1199645899042867</v>
      </c>
      <c r="DB16" s="67">
        <f>'P&amp;L - Inputs'!DA27</f>
        <v>16.988079854539816</v>
      </c>
      <c r="DC16" s="67">
        <f>'P&amp;L - Inputs'!DB27</f>
        <v>19.5510524076339</v>
      </c>
      <c r="DD16" s="67">
        <f>'P&amp;L - Inputs'!DC27</f>
        <v>12.023159201949191</v>
      </c>
      <c r="DE16" s="67">
        <f>'P&amp;L - Inputs'!DD27</f>
        <v>9.7408097180800137</v>
      </c>
      <c r="DF16" s="67">
        <f>'P&amp;L - Inputs'!DE27</f>
        <v>6.4876019360398365</v>
      </c>
      <c r="DG16" s="67">
        <f>'P&amp;L - Inputs'!DF27</f>
        <v>30.041124624289903</v>
      </c>
      <c r="DH16" s="67">
        <f>'P&amp;L - Inputs'!DG27</f>
        <v>30.631547620814196</v>
      </c>
      <c r="DI16" s="67">
        <f>'P&amp;L - Inputs'!DH27</f>
        <v>10.520264301705543</v>
      </c>
      <c r="DJ16" s="67">
        <f>'P&amp;L - Inputs'!DI27</f>
        <v>13.432123170927612</v>
      </c>
      <c r="DK16" s="67">
        <f>'P&amp;L - Inputs'!DJ27</f>
        <v>8.889891709030513</v>
      </c>
      <c r="DL16" s="67">
        <f>'P&amp;L - Inputs'!DK27</f>
        <v>11.053657804247372</v>
      </c>
      <c r="DM16" s="67">
        <f>'P&amp;L - Inputs'!DL27</f>
        <v>8.8999557373803579</v>
      </c>
      <c r="DN16" s="67">
        <f>'P&amp;L - Inputs'!DM27</f>
        <v>21.235099818174771</v>
      </c>
      <c r="DO16" s="67">
        <f>'P&amp;L - Inputs'!DN27</f>
        <v>24.438815509542373</v>
      </c>
      <c r="DP16" s="67">
        <f>'P&amp;L - Inputs'!DO27</f>
        <v>15.028949002436491</v>
      </c>
      <c r="DQ16" s="67">
        <f>'P&amp;L - Inputs'!DP27</f>
        <v>12.176012147600016</v>
      </c>
      <c r="DR16" s="69">
        <f>'P&amp;L - Inputs'!DQ27</f>
        <v>8.1095024200497967</v>
      </c>
      <c r="DS16" s="69">
        <f>'P&amp;L - Inputs'!DR27</f>
        <v>36.049349549147884</v>
      </c>
      <c r="DT16" s="69">
        <f>'P&amp;L - Inputs'!DS27</f>
        <v>36.757857144977031</v>
      </c>
      <c r="DU16" s="69">
        <f>'P&amp;L - Inputs'!DT27</f>
        <v>12.624317162046651</v>
      </c>
      <c r="DV16" s="69">
        <f>'P&amp;L - Inputs'!DU27</f>
        <v>16.118547805113135</v>
      </c>
      <c r="DW16" s="69">
        <f>'P&amp;L - Inputs'!DV27</f>
        <v>10.667870050836616</v>
      </c>
      <c r="DX16" s="69">
        <f>'P&amp;L - Inputs'!DW27</f>
        <v>13.264389365096847</v>
      </c>
      <c r="DY16" s="69">
        <f>'P&amp;L - Inputs'!DX27</f>
        <v>10.679946884856429</v>
      </c>
      <c r="DZ16" s="69">
        <f>'P&amp;L - Inputs'!DY27</f>
        <v>25.482119781809725</v>
      </c>
      <c r="EA16" s="69">
        <f>'P&amp;L - Inputs'!DZ27</f>
        <v>29.326578611450849</v>
      </c>
      <c r="EB16" s="69">
        <f>'P&amp;L - Inputs'!EA27</f>
        <v>18.034738802923787</v>
      </c>
      <c r="EC16" s="69">
        <f>'P&amp;L - Inputs'!EB27</f>
        <v>14.611214577120018</v>
      </c>
      <c r="ED16" s="69">
        <f>'P&amp;L - Inputs'!EC27</f>
        <v>9.7314029040597561</v>
      </c>
      <c r="EE16" s="39" t="s">
        <v>1</v>
      </c>
      <c r="EF16" s="68"/>
      <c r="EG16" s="629">
        <f>SUM(BK16:BM16)</f>
        <v>82</v>
      </c>
      <c r="EH16" s="629">
        <f>SUM(BN16:BP16)</f>
        <v>30</v>
      </c>
      <c r="EI16" s="629">
        <f>SUM(BQ16:BS16)</f>
        <v>122</v>
      </c>
      <c r="EJ16" s="629">
        <f>SUM(BT16:BV16)</f>
        <v>155</v>
      </c>
      <c r="EK16" s="629">
        <f>SUM(BW16:BY16)</f>
        <v>104</v>
      </c>
      <c r="EL16" s="629">
        <f>SUM(BZ16:CB16)</f>
        <v>16</v>
      </c>
      <c r="EM16" s="629">
        <f>SUM(CC16:CE16)</f>
        <v>51</v>
      </c>
      <c r="EN16" s="629">
        <f>SUM(CF16:CH16)</f>
        <v>10</v>
      </c>
      <c r="EO16" s="629">
        <f>SUM(CI16:CK16)</f>
        <v>50</v>
      </c>
      <c r="EP16" s="629">
        <f>SUM(CL16:CN16)</f>
        <v>21</v>
      </c>
      <c r="EQ16" s="629">
        <f>SUM(CO16:CQ16)</f>
        <v>37</v>
      </c>
      <c r="ER16" s="629">
        <f t="shared" si="68"/>
        <v>17</v>
      </c>
      <c r="ES16" s="629">
        <f t="shared" ref="ES16:ES17" si="88">SUM(CU16:CW16)</f>
        <v>56.954349237447708</v>
      </c>
      <c r="ET16" s="629">
        <f t="shared" ref="ET16:ET17" si="89">SUM(CX16:CZ16)</f>
        <v>26.700538147364398</v>
      </c>
      <c r="EU16" s="629">
        <f t="shared" ref="EU16:EU17" si="90">SUM(DA16:DC16)</f>
        <v>43.659096852078008</v>
      </c>
      <c r="EV16" s="629">
        <f t="shared" ref="EV16:EV17" si="91">SUM(DD16:DF16)</f>
        <v>28.251570856069044</v>
      </c>
      <c r="EW16" s="629">
        <f t="shared" ref="EW16:EW17" si="92">SUM(DG16:DI16)</f>
        <v>71.192936546809634</v>
      </c>
      <c r="EX16" s="629">
        <f t="shared" ref="EX16:EX17" si="93">SUM(DJ16:DL16)</f>
        <v>33.375672684205497</v>
      </c>
      <c r="EY16" s="629">
        <f t="shared" ref="EY16:EY17" si="94">SUM(DM16:DO16)</f>
        <v>54.573871065097499</v>
      </c>
      <c r="EZ16" s="629">
        <f t="shared" ref="EZ16:EZ17" si="95">SUM(DP16:DR16)</f>
        <v>35.314463570086303</v>
      </c>
      <c r="FA16" s="629">
        <f>SUM(DS16:DU16)</f>
        <v>85.431523856171566</v>
      </c>
      <c r="FB16" s="629">
        <f t="shared" ref="FB16:FB17" si="96">SUM(DV16:DX16)</f>
        <v>40.050807221046597</v>
      </c>
      <c r="FC16" s="629">
        <f t="shared" ref="FC16:FC17" si="97">SUM(DY16:EA16)</f>
        <v>65.488645278117005</v>
      </c>
      <c r="FD16" s="629">
        <f t="shared" ref="FD16:FD17" si="98">SUM(EB16:ED16)</f>
        <v>42.377356284103563</v>
      </c>
      <c r="FG16" s="70">
        <f>SUM(EK16:EN16)</f>
        <v>181</v>
      </c>
      <c r="FH16" s="67">
        <f>SUM(EO16:ER16)</f>
        <v>125</v>
      </c>
      <c r="FI16" s="67">
        <f>SUM(ES16:EV16)</f>
        <v>155.56555509295916</v>
      </c>
      <c r="FJ16" s="69">
        <f>SUM(EW16:EZ16)</f>
        <v>194.45694386619894</v>
      </c>
      <c r="FK16" s="619">
        <f t="shared" ref="FK16:FK17" si="99">SUM(FA16:FD16)</f>
        <v>233.34833263943872</v>
      </c>
    </row>
    <row r="17" spans="1:167" ht="15.75" customHeight="1" x14ac:dyDescent="0.2">
      <c r="B17" s="48" t="s">
        <v>4</v>
      </c>
      <c r="C17" s="66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8"/>
      <c r="AD17" s="67"/>
      <c r="AE17" s="67"/>
      <c r="AF17" s="67"/>
      <c r="AG17" s="67"/>
      <c r="AH17" s="67"/>
      <c r="AI17" s="67"/>
      <c r="AJ17" s="67"/>
      <c r="AK17" s="68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>
        <f>'P&amp;L - Inputs'!AZ28</f>
        <v>12572</v>
      </c>
      <c r="BB17" s="67">
        <f>'P&amp;L - Inputs'!BA28</f>
        <v>9829</v>
      </c>
      <c r="BC17" s="67">
        <f>'P&amp;L - Inputs'!BB28</f>
        <v>9669</v>
      </c>
      <c r="BD17" s="67">
        <f>'P&amp;L - Inputs'!BC28</f>
        <v>8597</v>
      </c>
      <c r="BE17" s="67">
        <f>'P&amp;L - Inputs'!BD28</f>
        <v>7788</v>
      </c>
      <c r="BF17" s="67">
        <f>'P&amp;L - Inputs'!BE28</f>
        <v>7805</v>
      </c>
      <c r="BG17" s="67">
        <f>'P&amp;L - Inputs'!BF28</f>
        <v>8651</v>
      </c>
      <c r="BH17" s="67">
        <f>'P&amp;L - Inputs'!BG28</f>
        <v>7600</v>
      </c>
      <c r="BI17" s="67">
        <f>'P&amp;L - Inputs'!BH28</f>
        <v>7097</v>
      </c>
      <c r="BJ17" s="66">
        <f>'P&amp;L - Inputs'!BI28</f>
        <v>7443</v>
      </c>
      <c r="BK17" s="67">
        <f>'P&amp;L - Inputs'!BJ28</f>
        <v>9147</v>
      </c>
      <c r="BL17" s="67">
        <f>'P&amp;L - Inputs'!BK28</f>
        <v>8142</v>
      </c>
      <c r="BM17" s="67">
        <f>'P&amp;L - Inputs'!BL28</f>
        <v>6160</v>
      </c>
      <c r="BN17" s="67">
        <f>'P&amp;L - Inputs'!BM28</f>
        <v>6257</v>
      </c>
      <c r="BO17" s="67">
        <f>'P&amp;L - Inputs'!BN28</f>
        <v>6524</v>
      </c>
      <c r="BP17" s="67">
        <f>'P&amp;L - Inputs'!BO28</f>
        <v>5654</v>
      </c>
      <c r="BQ17" s="67">
        <f>'P&amp;L - Inputs'!BP28</f>
        <v>4701</v>
      </c>
      <c r="BR17" s="67">
        <f>'P&amp;L - Inputs'!BQ28</f>
        <v>3420</v>
      </c>
      <c r="BS17" s="67">
        <f>'P&amp;L - Inputs'!BR28</f>
        <v>3691</v>
      </c>
      <c r="BT17" s="67">
        <f>'P&amp;L - Inputs'!BS28</f>
        <v>3335</v>
      </c>
      <c r="BU17" s="67">
        <f>'P&amp;L - Inputs'!BT28</f>
        <v>3361</v>
      </c>
      <c r="BV17" s="67">
        <f>'P&amp;L - Inputs'!BU28</f>
        <v>3021</v>
      </c>
      <c r="BW17" s="67">
        <f>'P&amp;L - Inputs'!BV28</f>
        <v>3318</v>
      </c>
      <c r="BX17" s="67">
        <f>'P&amp;L - Inputs'!BW28</f>
        <v>3853</v>
      </c>
      <c r="BY17" s="67">
        <f>'P&amp;L - Inputs'!BX28</f>
        <v>3974</v>
      </c>
      <c r="BZ17" s="67">
        <f>'P&amp;L - Inputs'!BY28</f>
        <v>4020</v>
      </c>
      <c r="CA17" s="67">
        <f>'P&amp;L - Inputs'!BZ28</f>
        <v>3975</v>
      </c>
      <c r="CB17" s="67">
        <f>'P&amp;L - Inputs'!CA28</f>
        <v>4193</v>
      </c>
      <c r="CC17" s="67">
        <f>'P&amp;L - Inputs'!CB28</f>
        <v>3866</v>
      </c>
      <c r="CD17" s="67">
        <f>'P&amp;L - Inputs'!CC28</f>
        <v>3564</v>
      </c>
      <c r="CE17" s="67">
        <f>'P&amp;L - Inputs'!CD28</f>
        <v>3940</v>
      </c>
      <c r="CF17" s="67">
        <f>'P&amp;L - Inputs'!CE28</f>
        <v>3084</v>
      </c>
      <c r="CG17" s="67">
        <f>'P&amp;L - Inputs'!CF28</f>
        <v>2578</v>
      </c>
      <c r="CH17" s="67">
        <f>'P&amp;L - Inputs'!CG28</f>
        <v>3041</v>
      </c>
      <c r="CI17" s="67">
        <f>'P&amp;L - Inputs'!CH28</f>
        <v>3414</v>
      </c>
      <c r="CJ17" s="67">
        <f>'P&amp;L - Inputs'!CI28</f>
        <v>3184</v>
      </c>
      <c r="CK17" s="67">
        <f>'P&amp;L - Inputs'!CJ28</f>
        <v>4800.6315789473683</v>
      </c>
      <c r="CL17" s="67">
        <f>'P&amp;L - Inputs'!CK28</f>
        <v>3809</v>
      </c>
      <c r="CM17" s="67">
        <f>'P&amp;L - Inputs'!CL28</f>
        <v>3994</v>
      </c>
      <c r="CN17" s="67">
        <f>'P&amp;L - Inputs'!CM28</f>
        <v>3306</v>
      </c>
      <c r="CO17" s="67">
        <f>'P&amp;L - Inputs'!CN28</f>
        <v>3861</v>
      </c>
      <c r="CP17" s="67">
        <f>'P&amp;L - Inputs'!CO28</f>
        <v>3927</v>
      </c>
      <c r="CQ17" s="67">
        <f>'P&amp;L - Inputs'!CP28</f>
        <v>4814</v>
      </c>
      <c r="CR17" s="67">
        <f>'P&amp;L - Inputs'!CQ28</f>
        <v>4246</v>
      </c>
      <c r="CS17" s="67">
        <f>'P&amp;L - Inputs'!CR28</f>
        <v>4440</v>
      </c>
      <c r="CT17" s="67">
        <f>'P&amp;L - Inputs'!CS28</f>
        <v>4781</v>
      </c>
      <c r="CU17" s="67">
        <f>'P&amp;L - Inputs'!CT28</f>
        <v>4666.0755664192411</v>
      </c>
      <c r="CV17" s="67">
        <f>'P&amp;L - Inputs'!CU28</f>
        <v>4854.6168866510088</v>
      </c>
      <c r="CW17" s="67">
        <f>'P&amp;L - Inputs'!CV28</f>
        <v>5217.3119776207777</v>
      </c>
      <c r="CX17" s="67">
        <f>'P&amp;L - Inputs'!CW28</f>
        <v>5117.3507195707916</v>
      </c>
      <c r="CY17" s="67">
        <f>'P&amp;L - Inputs'!CX28</f>
        <v>4887.5794067598663</v>
      </c>
      <c r="CZ17" s="67">
        <f>'P&amp;L - Inputs'!CY28</f>
        <v>4143.3995146605575</v>
      </c>
      <c r="DA17" s="67">
        <f>'P&amp;L - Inputs'!CZ28</f>
        <v>4992.3723045652223</v>
      </c>
      <c r="DB17" s="67">
        <f>'P&amp;L - Inputs'!DA28</f>
        <v>5814.9321304738651</v>
      </c>
      <c r="DC17" s="67">
        <f>'P&amp;L - Inputs'!DB28</f>
        <v>6451.5275106869376</v>
      </c>
      <c r="DD17" s="67">
        <f>'P&amp;L - Inputs'!DC28</f>
        <v>6319.4626907068259</v>
      </c>
      <c r="DE17" s="67">
        <f>'P&amp;L - Inputs'!DD28</f>
        <v>6252.0344736763309</v>
      </c>
      <c r="DF17" s="67">
        <f>'P&amp;L - Inputs'!DE28</f>
        <v>6141.0141290751644</v>
      </c>
      <c r="DG17" s="67">
        <f>'P&amp;L - Inputs'!DF28</f>
        <v>5832.5944580240512</v>
      </c>
      <c r="DH17" s="67">
        <f>'P&amp;L - Inputs'!DG28</f>
        <v>6068.2711083137619</v>
      </c>
      <c r="DI17" s="67">
        <f>'P&amp;L - Inputs'!DH28</f>
        <v>6521.6399720259715</v>
      </c>
      <c r="DJ17" s="67">
        <f>'P&amp;L - Inputs'!DI28</f>
        <v>6396.6883994634891</v>
      </c>
      <c r="DK17" s="67">
        <f>'P&amp;L - Inputs'!DJ28</f>
        <v>6109.4742584498326</v>
      </c>
      <c r="DL17" s="67">
        <f>'P&amp;L - Inputs'!DK28</f>
        <v>5179.2493933256974</v>
      </c>
      <c r="DM17" s="67">
        <f>'P&amp;L - Inputs'!DL28</f>
        <v>6240.4653807065279</v>
      </c>
      <c r="DN17" s="67">
        <f>'P&amp;L - Inputs'!DM28</f>
        <v>7268.6651630923316</v>
      </c>
      <c r="DO17" s="67">
        <f>'P&amp;L - Inputs'!DN28</f>
        <v>8064.409388358672</v>
      </c>
      <c r="DP17" s="67">
        <f>'P&amp;L - Inputs'!DO28</f>
        <v>7899.3283633835326</v>
      </c>
      <c r="DQ17" s="67">
        <f>'P&amp;L - Inputs'!DP28</f>
        <v>7815.0430920954141</v>
      </c>
      <c r="DR17" s="69">
        <f>'P&amp;L - Inputs'!DQ28</f>
        <v>7676.2676613439544</v>
      </c>
      <c r="DS17" s="69">
        <f>'P&amp;L - Inputs'!DR28</f>
        <v>6999.1133496288612</v>
      </c>
      <c r="DT17" s="69">
        <f>'P&amp;L - Inputs'!DS28</f>
        <v>7281.9253299765141</v>
      </c>
      <c r="DU17" s="69">
        <f>'P&amp;L - Inputs'!DT28</f>
        <v>7825.9679664311652</v>
      </c>
      <c r="DV17" s="69">
        <f>'P&amp;L - Inputs'!DU28</f>
        <v>7676.0260793561865</v>
      </c>
      <c r="DW17" s="69">
        <f>'P&amp;L - Inputs'!DV28</f>
        <v>7331.369110139799</v>
      </c>
      <c r="DX17" s="69">
        <f>'P&amp;L - Inputs'!DW28</f>
        <v>6215.0992719908363</v>
      </c>
      <c r="DY17" s="69">
        <f>'P&amp;L - Inputs'!DX28</f>
        <v>7488.5584568478334</v>
      </c>
      <c r="DZ17" s="69">
        <f>'P&amp;L - Inputs'!DY28</f>
        <v>8722.398195710799</v>
      </c>
      <c r="EA17" s="69">
        <f>'P&amp;L - Inputs'!DZ28</f>
        <v>9677.2912660304064</v>
      </c>
      <c r="EB17" s="69">
        <f>'P&amp;L - Inputs'!EA28</f>
        <v>9479.1940360602384</v>
      </c>
      <c r="EC17" s="69">
        <f>'P&amp;L - Inputs'!EB28</f>
        <v>9378.0517105144972</v>
      </c>
      <c r="ED17" s="69">
        <f>'P&amp;L - Inputs'!EC28</f>
        <v>9211.5211936127453</v>
      </c>
      <c r="EE17" s="39" t="s">
        <v>1</v>
      </c>
      <c r="EF17" s="68"/>
      <c r="EG17" s="629">
        <f>SUM(BK17:BM17)</f>
        <v>23449</v>
      </c>
      <c r="EH17" s="629">
        <f>SUM(BN17:BP17)</f>
        <v>18435</v>
      </c>
      <c r="EI17" s="629">
        <f>SUM(BQ17:BS17)</f>
        <v>11812</v>
      </c>
      <c r="EJ17" s="629">
        <f>SUM(BT17:BV17)</f>
        <v>9717</v>
      </c>
      <c r="EK17" s="629">
        <f>SUM(BW17:BY17)</f>
        <v>11145</v>
      </c>
      <c r="EL17" s="629">
        <f>SUM(BZ17:CB17)</f>
        <v>12188</v>
      </c>
      <c r="EM17" s="629">
        <f>SUM(CC17:CE17)</f>
        <v>11370</v>
      </c>
      <c r="EN17" s="629">
        <f>SUM(CF17:CH17)</f>
        <v>8703</v>
      </c>
      <c r="EO17" s="629">
        <f>SUM(CI17:CK17)</f>
        <v>11398.631578947368</v>
      </c>
      <c r="EP17" s="629">
        <f>SUM(CL17:CN17)</f>
        <v>11109</v>
      </c>
      <c r="EQ17" s="629">
        <f>SUM(CO17:CQ17)</f>
        <v>12602</v>
      </c>
      <c r="ER17" s="629">
        <f t="shared" si="68"/>
        <v>13467</v>
      </c>
      <c r="ES17" s="629">
        <f t="shared" si="88"/>
        <v>14738.004430691028</v>
      </c>
      <c r="ET17" s="629">
        <f t="shared" si="89"/>
        <v>14148.329640991216</v>
      </c>
      <c r="EU17" s="629">
        <f t="shared" si="90"/>
        <v>17258.831945726026</v>
      </c>
      <c r="EV17" s="629">
        <f t="shared" si="91"/>
        <v>18712.511293458319</v>
      </c>
      <c r="EW17" s="629">
        <f t="shared" si="92"/>
        <v>18422.505538363785</v>
      </c>
      <c r="EX17" s="629">
        <f t="shared" si="93"/>
        <v>17685.412051239022</v>
      </c>
      <c r="EY17" s="629">
        <f t="shared" si="94"/>
        <v>21573.539932157531</v>
      </c>
      <c r="EZ17" s="629">
        <f t="shared" si="95"/>
        <v>23390.639116822902</v>
      </c>
      <c r="FA17" s="629">
        <f>SUM(DS17:DU17)</f>
        <v>22107.006646036541</v>
      </c>
      <c r="FB17" s="629">
        <f t="shared" si="96"/>
        <v>21222.494461486822</v>
      </c>
      <c r="FC17" s="629">
        <f t="shared" si="97"/>
        <v>25888.247918589041</v>
      </c>
      <c r="FD17" s="629">
        <f t="shared" si="98"/>
        <v>28068.766940187481</v>
      </c>
      <c r="FG17" s="70">
        <f>SUM(EK17:EN17)</f>
        <v>43406</v>
      </c>
      <c r="FH17" s="67">
        <f>SUM(EO17:ER17)</f>
        <v>48576.631578947367</v>
      </c>
      <c r="FI17" s="67">
        <f>SUM(ES17:EV17)</f>
        <v>64857.67731086658</v>
      </c>
      <c r="FJ17" s="69">
        <f>SUM(EW17:EZ17)</f>
        <v>81072.096638583229</v>
      </c>
      <c r="FK17" s="619">
        <f t="shared" si="99"/>
        <v>97286.515966299892</v>
      </c>
    </row>
    <row r="18" spans="1:167" ht="18" customHeight="1" x14ac:dyDescent="0.2">
      <c r="A18" s="59"/>
      <c r="B18" s="48" t="s">
        <v>7</v>
      </c>
      <c r="C18" s="75">
        <f>IFERROR(C15/C7,0)</f>
        <v>0</v>
      </c>
      <c r="D18" s="75">
        <f t="shared" ref="D18:BO18" si="100">IFERROR(D15/D7,0)</f>
        <v>0</v>
      </c>
      <c r="E18" s="75">
        <f t="shared" si="100"/>
        <v>0</v>
      </c>
      <c r="F18" s="75">
        <f t="shared" si="100"/>
        <v>0</v>
      </c>
      <c r="G18" s="75">
        <f t="shared" si="100"/>
        <v>0</v>
      </c>
      <c r="H18" s="75">
        <f t="shared" si="100"/>
        <v>0</v>
      </c>
      <c r="I18" s="75">
        <f t="shared" si="100"/>
        <v>0</v>
      </c>
      <c r="J18" s="75">
        <f t="shared" si="100"/>
        <v>0</v>
      </c>
      <c r="K18" s="75">
        <f t="shared" si="100"/>
        <v>0</v>
      </c>
      <c r="L18" s="75">
        <f t="shared" si="100"/>
        <v>0</v>
      </c>
      <c r="M18" s="75">
        <f t="shared" si="100"/>
        <v>0</v>
      </c>
      <c r="N18" s="75">
        <f t="shared" si="100"/>
        <v>0</v>
      </c>
      <c r="O18" s="75">
        <f t="shared" si="100"/>
        <v>1.2431626056688214E-4</v>
      </c>
      <c r="P18" s="75">
        <f t="shared" si="100"/>
        <v>1.3222266296443211E-5</v>
      </c>
      <c r="Q18" s="75">
        <f t="shared" si="100"/>
        <v>5.2371787318171701E-5</v>
      </c>
      <c r="R18" s="75">
        <f t="shared" si="100"/>
        <v>4.3269499190441626E-4</v>
      </c>
      <c r="S18" s="75">
        <f t="shared" si="100"/>
        <v>2.166213395737145E-3</v>
      </c>
      <c r="T18" s="75">
        <f t="shared" si="100"/>
        <v>3.4303183264312248E-3</v>
      </c>
      <c r="U18" s="75">
        <f t="shared" si="100"/>
        <v>3.453068670459975E-3</v>
      </c>
      <c r="V18" s="75">
        <f t="shared" si="100"/>
        <v>2.7658898503055561E-3</v>
      </c>
      <c r="W18" s="75">
        <f t="shared" si="100"/>
        <v>4.8817856820981163E-3</v>
      </c>
      <c r="X18" s="75">
        <f t="shared" si="100"/>
        <v>6.7644588432925366E-3</v>
      </c>
      <c r="Y18" s="75">
        <f t="shared" si="100"/>
        <v>4.0633741680331818E-3</v>
      </c>
      <c r="Z18" s="75">
        <f t="shared" si="100"/>
        <v>2.0189671778913835E-3</v>
      </c>
      <c r="AA18" s="75">
        <f t="shared" si="100"/>
        <v>0</v>
      </c>
      <c r="AB18" s="75">
        <f t="shared" si="100"/>
        <v>2.5242326332794832E-5</v>
      </c>
      <c r="AC18" s="75">
        <f t="shared" si="100"/>
        <v>9.9559095434504329E-4</v>
      </c>
      <c r="AD18" s="75">
        <f t="shared" si="100"/>
        <v>3.8944180008654262E-4</v>
      </c>
      <c r="AE18" s="75">
        <f t="shared" si="100"/>
        <v>9.6541006381125054E-4</v>
      </c>
      <c r="AF18" s="75">
        <f t="shared" si="100"/>
        <v>4.3267061290579462E-3</v>
      </c>
      <c r="AG18" s="75">
        <f t="shared" si="100"/>
        <v>8.8087357639884279E-3</v>
      </c>
      <c r="AH18" s="75">
        <f t="shared" si="100"/>
        <v>8.3662914511712805E-3</v>
      </c>
      <c r="AI18" s="75">
        <f t="shared" si="100"/>
        <v>7.0210480124684128E-3</v>
      </c>
      <c r="AJ18" s="75">
        <f t="shared" si="100"/>
        <v>7.6461383039835192E-3</v>
      </c>
      <c r="AK18" s="75">
        <f t="shared" si="100"/>
        <v>7.0173921814435363E-3</v>
      </c>
      <c r="AL18" s="75">
        <f t="shared" si="100"/>
        <v>9.2355228086854653E-3</v>
      </c>
      <c r="AM18" s="75">
        <f t="shared" si="100"/>
        <v>1.325748082802867E-2</v>
      </c>
      <c r="AN18" s="75">
        <f t="shared" si="100"/>
        <v>3.597260142740815E-2</v>
      </c>
      <c r="AO18" s="75">
        <f t="shared" si="100"/>
        <v>3.1557243624525229E-2</v>
      </c>
      <c r="AP18" s="75">
        <f t="shared" si="100"/>
        <v>3.5746122303440896E-2</v>
      </c>
      <c r="AQ18" s="75">
        <f t="shared" si="100"/>
        <v>4.4239018106145334E-2</v>
      </c>
      <c r="AR18" s="75">
        <f t="shared" si="100"/>
        <v>6.8170957529418791E-2</v>
      </c>
      <c r="AS18" s="75">
        <f t="shared" si="100"/>
        <v>9.9920023992802157E-2</v>
      </c>
      <c r="AT18" s="75">
        <f t="shared" si="100"/>
        <v>5.7280984471139759E-2</v>
      </c>
      <c r="AU18" s="75">
        <f t="shared" si="100"/>
        <v>5.8553337161056887E-2</v>
      </c>
      <c r="AV18" s="75">
        <f t="shared" si="100"/>
        <v>7.0018635236026541E-2</v>
      </c>
      <c r="AW18" s="75">
        <f t="shared" si="100"/>
        <v>9.3208478587241406E-2</v>
      </c>
      <c r="AX18" s="75">
        <f t="shared" si="100"/>
        <v>0.11443812037724435</v>
      </c>
      <c r="AY18" s="75">
        <f t="shared" si="100"/>
        <v>0.12580169937947352</v>
      </c>
      <c r="AZ18" s="75">
        <f t="shared" si="100"/>
        <v>0.15350888742593813</v>
      </c>
      <c r="BA18" s="75">
        <f t="shared" si="100"/>
        <v>0.22790639109240371</v>
      </c>
      <c r="BB18" s="75">
        <f t="shared" si="100"/>
        <v>0.15737322401751611</v>
      </c>
      <c r="BC18" s="75">
        <f t="shared" si="100"/>
        <v>0.14804627210073504</v>
      </c>
      <c r="BD18" s="75">
        <f t="shared" si="100"/>
        <v>0.12510260804447068</v>
      </c>
      <c r="BE18" s="75">
        <f t="shared" si="100"/>
        <v>0.12452853617272262</v>
      </c>
      <c r="BF18" s="75">
        <f t="shared" si="100"/>
        <v>0.11560469262177238</v>
      </c>
      <c r="BG18" s="75">
        <f t="shared" si="100"/>
        <v>0.10052402049810867</v>
      </c>
      <c r="BH18" s="75">
        <f t="shared" si="100"/>
        <v>9.9631189348957649E-2</v>
      </c>
      <c r="BI18" s="75">
        <f t="shared" si="100"/>
        <v>0.1161270388499504</v>
      </c>
      <c r="BJ18" s="75">
        <f t="shared" si="100"/>
        <v>0.10875335290069796</v>
      </c>
      <c r="BK18" s="75">
        <f t="shared" si="100"/>
        <v>0.14981640146878825</v>
      </c>
      <c r="BL18" s="75">
        <f t="shared" si="100"/>
        <v>0.13849983911121649</v>
      </c>
      <c r="BM18" s="75">
        <f t="shared" si="100"/>
        <v>0.14206807668408092</v>
      </c>
      <c r="BN18" s="75">
        <f t="shared" si="100"/>
        <v>0.14204777228844673</v>
      </c>
      <c r="BO18" s="75">
        <f t="shared" si="100"/>
        <v>0.1365167011775533</v>
      </c>
      <c r="BP18" s="75">
        <f t="shared" ref="BP18:DR18" si="101">IFERROR(BP15/BP7,0)</f>
        <v>0.12026981164092991</v>
      </c>
      <c r="BQ18" s="75">
        <f t="shared" si="101"/>
        <v>0.12116471538150989</v>
      </c>
      <c r="BR18" s="75">
        <f t="shared" si="101"/>
        <v>7.352311643835617E-2</v>
      </c>
      <c r="BS18" s="75">
        <f t="shared" si="101"/>
        <v>0.10587359317277127</v>
      </c>
      <c r="BT18" s="75">
        <f t="shared" si="101"/>
        <v>0.10403233270601302</v>
      </c>
      <c r="BU18" s="75">
        <f t="shared" si="101"/>
        <v>0.10244296265287205</v>
      </c>
      <c r="BV18" s="75">
        <f t="shared" si="101"/>
        <v>9.3109192791155537E-2</v>
      </c>
      <c r="BW18" s="75">
        <f t="shared" si="101"/>
        <v>9.6258835699097753E-2</v>
      </c>
      <c r="BX18" s="75">
        <f t="shared" si="101"/>
        <v>9.9070100143061515E-2</v>
      </c>
      <c r="BY18" s="75">
        <f t="shared" si="101"/>
        <v>0.10620146849083514</v>
      </c>
      <c r="BZ18" s="75">
        <f t="shared" si="101"/>
        <v>0.1012394097091284</v>
      </c>
      <c r="CA18" s="75">
        <f t="shared" si="101"/>
        <v>0.11283417911717178</v>
      </c>
      <c r="CB18" s="75">
        <f t="shared" si="101"/>
        <v>0.13179463024022608</v>
      </c>
      <c r="CC18" s="75">
        <f t="shared" si="101"/>
        <v>0.11600000000000001</v>
      </c>
      <c r="CD18" s="75">
        <f t="shared" si="101"/>
        <v>9.9813354876452071E-2</v>
      </c>
      <c r="CE18" s="75">
        <f t="shared" si="101"/>
        <v>8.6243016759776539E-2</v>
      </c>
      <c r="CF18" s="75">
        <f t="shared" si="101"/>
        <v>6.0654319531280719E-2</v>
      </c>
      <c r="CG18" s="75">
        <f t="shared" si="101"/>
        <v>5.5023974427277571E-2</v>
      </c>
      <c r="CH18" s="75">
        <f t="shared" si="101"/>
        <v>5.1444012835669649E-2</v>
      </c>
      <c r="CI18" s="75">
        <f t="shared" si="101"/>
        <v>6.5270066586533879E-2</v>
      </c>
      <c r="CJ18" s="75">
        <f t="shared" si="101"/>
        <v>5.9287882969914434E-2</v>
      </c>
      <c r="CK18" s="75">
        <f t="shared" si="101"/>
        <v>9.290194051475735E-2</v>
      </c>
      <c r="CL18" s="75">
        <f t="shared" si="101"/>
        <v>7.3937868963514952E-2</v>
      </c>
      <c r="CM18" s="75">
        <f t="shared" si="101"/>
        <v>8.2975234061987507E-2</v>
      </c>
      <c r="CN18" s="75">
        <f t="shared" si="101"/>
        <v>7.9097528948310847E-2</v>
      </c>
      <c r="CO18" s="75">
        <f t="shared" si="101"/>
        <v>7.8596134282807734E-2</v>
      </c>
      <c r="CP18" s="75">
        <f t="shared" si="101"/>
        <v>6.5169951064673978E-2</v>
      </c>
      <c r="CQ18" s="75">
        <f t="shared" si="101"/>
        <v>7.1750875734726591E-2</v>
      </c>
      <c r="CR18" s="75">
        <f t="shared" si="101"/>
        <v>6.711716690086364E-2</v>
      </c>
      <c r="CS18" s="75">
        <f t="shared" si="101"/>
        <v>7.1808973607268151E-2</v>
      </c>
      <c r="CT18" s="75">
        <f t="shared" si="101"/>
        <v>8.0369221757156786E-2</v>
      </c>
      <c r="CU18" s="75">
        <f t="shared" si="101"/>
        <v>6.7280967373483117E-2</v>
      </c>
      <c r="CV18" s="75">
        <f t="shared" si="101"/>
        <v>6.7504147129452949E-2</v>
      </c>
      <c r="CW18" s="75">
        <f t="shared" si="101"/>
        <v>7.5957294678790366E-2</v>
      </c>
      <c r="CX18" s="75">
        <f t="shared" si="101"/>
        <v>7.462908337485831E-2</v>
      </c>
      <c r="CY18" s="75">
        <f t="shared" si="101"/>
        <v>7.6399058306648018E-2</v>
      </c>
      <c r="CZ18" s="75">
        <f t="shared" si="101"/>
        <v>7.4537108694571974E-2</v>
      </c>
      <c r="DA18" s="75">
        <f t="shared" si="101"/>
        <v>7.6480503432872007E-2</v>
      </c>
      <c r="DB18" s="75">
        <f t="shared" si="101"/>
        <v>7.2492104446844924E-2</v>
      </c>
      <c r="DC18" s="75">
        <f t="shared" si="101"/>
        <v>7.2218022380670072E-2</v>
      </c>
      <c r="DD18" s="75">
        <f t="shared" si="101"/>
        <v>7.5161685533308167E-2</v>
      </c>
      <c r="DE18" s="75">
        <f t="shared" si="101"/>
        <v>7.6110750095620613E-2</v>
      </c>
      <c r="DF18" s="75">
        <f t="shared" si="101"/>
        <v>7.7537288724652056E-2</v>
      </c>
      <c r="DG18" s="75">
        <f t="shared" si="101"/>
        <v>6.7280967373483117E-2</v>
      </c>
      <c r="DH18" s="75">
        <f t="shared" si="101"/>
        <v>6.7504147129452949E-2</v>
      </c>
      <c r="DI18" s="75">
        <f t="shared" si="101"/>
        <v>7.5957294678790352E-2</v>
      </c>
      <c r="DJ18" s="75">
        <f t="shared" si="101"/>
        <v>7.4629083374858324E-2</v>
      </c>
      <c r="DK18" s="75">
        <f t="shared" si="101"/>
        <v>7.6399058306648018E-2</v>
      </c>
      <c r="DL18" s="75">
        <f t="shared" si="101"/>
        <v>7.4537108694571974E-2</v>
      </c>
      <c r="DM18" s="75">
        <f t="shared" si="101"/>
        <v>7.6480503432872007E-2</v>
      </c>
      <c r="DN18" s="75">
        <f t="shared" si="101"/>
        <v>7.2492104446844924E-2</v>
      </c>
      <c r="DO18" s="75">
        <f t="shared" si="101"/>
        <v>7.2218022380670072E-2</v>
      </c>
      <c r="DP18" s="75">
        <f t="shared" si="101"/>
        <v>7.5161685533308167E-2</v>
      </c>
      <c r="DQ18" s="75">
        <f t="shared" si="101"/>
        <v>7.6110750095620627E-2</v>
      </c>
      <c r="DR18" s="75">
        <f t="shared" si="101"/>
        <v>7.7537288724652056E-2</v>
      </c>
      <c r="DS18" s="75">
        <f t="shared" ref="DS18:ED18" si="102">IFERROR(DS15/DS7,0)</f>
        <v>6.7280967373483117E-2</v>
      </c>
      <c r="DT18" s="75">
        <f t="shared" si="102"/>
        <v>6.7504147129452949E-2</v>
      </c>
      <c r="DU18" s="75">
        <f t="shared" si="102"/>
        <v>7.5957294678790338E-2</v>
      </c>
      <c r="DV18" s="75">
        <f t="shared" si="102"/>
        <v>7.462908337485831E-2</v>
      </c>
      <c r="DW18" s="75">
        <f t="shared" si="102"/>
        <v>7.6399058306648018E-2</v>
      </c>
      <c r="DX18" s="75">
        <f t="shared" si="102"/>
        <v>7.4537108694571974E-2</v>
      </c>
      <c r="DY18" s="75">
        <f t="shared" si="102"/>
        <v>7.6480503432872007E-2</v>
      </c>
      <c r="DZ18" s="75">
        <f t="shared" si="102"/>
        <v>7.2492104446844924E-2</v>
      </c>
      <c r="EA18" s="75">
        <f t="shared" si="102"/>
        <v>7.2218022380670086E-2</v>
      </c>
      <c r="EB18" s="75">
        <f t="shared" si="102"/>
        <v>7.5161685533308167E-2</v>
      </c>
      <c r="EC18" s="75">
        <f t="shared" si="102"/>
        <v>7.6110750095620627E-2</v>
      </c>
      <c r="ED18" s="106">
        <f t="shared" si="102"/>
        <v>7.7537288724652043E-2</v>
      </c>
      <c r="EE18" s="39" t="s">
        <v>1</v>
      </c>
      <c r="EF18" s="79"/>
      <c r="EG18" s="627">
        <f t="shared" ref="EG18:ER18" si="103">EG15/EG7</f>
        <v>0.14368058226936065</v>
      </c>
      <c r="EH18" s="627">
        <f t="shared" si="103"/>
        <v>0.13276436033678216</v>
      </c>
      <c r="EI18" s="627">
        <f t="shared" si="103"/>
        <v>9.8407698460472828E-2</v>
      </c>
      <c r="EJ18" s="627">
        <f t="shared" si="103"/>
        <v>9.9847275743140049E-2</v>
      </c>
      <c r="EK18" s="627">
        <f t="shared" si="103"/>
        <v>0.10060997424155696</v>
      </c>
      <c r="EL18" s="627">
        <f t="shared" si="103"/>
        <v>0.11416810889190326</v>
      </c>
      <c r="EM18" s="627">
        <f t="shared" si="103"/>
        <v>9.9122555784101854E-2</v>
      </c>
      <c r="EN18" s="627">
        <f t="shared" si="103"/>
        <v>5.5497875755587685E-2</v>
      </c>
      <c r="EO18" s="627">
        <f t="shared" si="103"/>
        <v>7.2237494661656979E-2</v>
      </c>
      <c r="EP18" s="627">
        <f t="shared" si="103"/>
        <v>7.8534585558950334E-2</v>
      </c>
      <c r="EQ18" s="627">
        <f t="shared" si="103"/>
        <v>7.1402745607592785E-2</v>
      </c>
      <c r="ER18" s="627">
        <f t="shared" si="103"/>
        <v>7.2962234367059897E-2</v>
      </c>
      <c r="ES18" s="627">
        <f t="shared" ref="ES18:FD18" si="104">ES15/ES7</f>
        <v>7.0189348950954397E-2</v>
      </c>
      <c r="ET18" s="627">
        <f t="shared" si="104"/>
        <v>7.5203515554672515E-2</v>
      </c>
      <c r="EU18" s="627">
        <f t="shared" si="104"/>
        <v>7.3495236208897363E-2</v>
      </c>
      <c r="EV18" s="627">
        <f t="shared" si="104"/>
        <v>7.6245638513571037E-2</v>
      </c>
      <c r="EW18" s="627">
        <f t="shared" si="104"/>
        <v>7.0189348950954383E-2</v>
      </c>
      <c r="EX18" s="627">
        <f t="shared" si="104"/>
        <v>7.5203515554672529E-2</v>
      </c>
      <c r="EY18" s="627">
        <f t="shared" si="104"/>
        <v>7.3495236208897349E-2</v>
      </c>
      <c r="EZ18" s="627">
        <f t="shared" si="104"/>
        <v>7.6245638513571051E-2</v>
      </c>
      <c r="FA18" s="627">
        <f t="shared" si="104"/>
        <v>7.0189348950954397E-2</v>
      </c>
      <c r="FB18" s="627">
        <f t="shared" si="104"/>
        <v>7.5203515554672515E-2</v>
      </c>
      <c r="FC18" s="627">
        <f t="shared" si="104"/>
        <v>7.3495236208897349E-2</v>
      </c>
      <c r="FD18" s="627">
        <f t="shared" si="104"/>
        <v>7.6245638513571051E-2</v>
      </c>
      <c r="FG18" s="80">
        <f t="shared" ref="FG18" si="105">FG15/FG7</f>
        <v>8.8786179446387503E-2</v>
      </c>
      <c r="FH18" s="76">
        <f t="shared" ref="FH18:FK18" si="106">FH15/FH7</f>
        <v>7.3564648201968938E-2</v>
      </c>
      <c r="FI18" s="76">
        <f t="shared" si="106"/>
        <v>7.3837305475453502E-2</v>
      </c>
      <c r="FJ18" s="78">
        <f t="shared" si="106"/>
        <v>7.3837305475453516E-2</v>
      </c>
      <c r="FK18" s="78">
        <f t="shared" si="106"/>
        <v>7.3837305475453516E-2</v>
      </c>
    </row>
    <row r="19" spans="1:167" ht="15" customHeight="1" x14ac:dyDescent="0.2">
      <c r="A19" s="59"/>
      <c r="B19" s="48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9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9"/>
      <c r="AD19" s="75"/>
      <c r="AE19" s="75"/>
      <c r="AF19" s="75"/>
      <c r="AG19" s="75"/>
      <c r="AH19" s="75"/>
      <c r="AI19" s="75"/>
      <c r="AJ19" s="75"/>
      <c r="AK19" s="79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6"/>
      <c r="AX19" s="76"/>
      <c r="AY19" s="76"/>
      <c r="AZ19" s="76"/>
      <c r="BA19" s="76"/>
      <c r="BB19" s="76"/>
      <c r="BC19" s="76"/>
      <c r="BD19" s="76"/>
      <c r="BE19" s="76"/>
      <c r="BF19" s="77"/>
      <c r="BG19" s="76"/>
      <c r="BH19" s="76"/>
      <c r="BI19" s="76"/>
      <c r="BJ19" s="75"/>
      <c r="BK19" s="76"/>
      <c r="BL19" s="76"/>
      <c r="BM19" s="76"/>
      <c r="BN19" s="76"/>
      <c r="BO19" s="76"/>
      <c r="BP19" s="76"/>
      <c r="BQ19" s="76"/>
      <c r="BR19" s="76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7"/>
      <c r="DA19" s="77"/>
      <c r="DB19" s="77"/>
      <c r="DC19" s="77"/>
      <c r="DD19" s="77"/>
      <c r="DE19" s="77"/>
      <c r="DF19" s="77"/>
      <c r="DG19" s="77"/>
      <c r="DH19" s="77"/>
      <c r="DI19" s="77"/>
      <c r="DJ19" s="77"/>
      <c r="DK19" s="77"/>
      <c r="DL19" s="77"/>
      <c r="DM19" s="77"/>
      <c r="DN19" s="77"/>
      <c r="DO19" s="77"/>
      <c r="DP19" s="77"/>
      <c r="DQ19" s="77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39" t="s">
        <v>1</v>
      </c>
      <c r="EF19" s="83"/>
      <c r="EG19" s="633"/>
      <c r="EH19" s="633"/>
      <c r="EI19" s="633"/>
      <c r="EJ19" s="633"/>
      <c r="EK19" s="633"/>
      <c r="EL19" s="633"/>
      <c r="EM19" s="633"/>
      <c r="EN19" s="633"/>
      <c r="EO19" s="633"/>
      <c r="EP19" s="633"/>
      <c r="EQ19" s="633"/>
      <c r="ER19" s="633"/>
      <c r="ES19" s="633"/>
      <c r="ET19" s="633"/>
      <c r="EU19" s="633"/>
      <c r="EV19" s="633"/>
      <c r="EW19" s="633"/>
      <c r="EX19" s="633"/>
      <c r="EY19" s="633"/>
      <c r="EZ19" s="633"/>
      <c r="FA19" s="633"/>
      <c r="FB19" s="633"/>
      <c r="FC19" s="633"/>
      <c r="FD19" s="633"/>
      <c r="FG19" s="84"/>
      <c r="FH19" s="77"/>
      <c r="FI19" s="77"/>
      <c r="FJ19" s="81"/>
      <c r="FK19" s="621"/>
    </row>
    <row r="20" spans="1:167" ht="15.75" customHeight="1" x14ac:dyDescent="0.2">
      <c r="A20" s="59"/>
      <c r="B20" s="48" t="s">
        <v>8</v>
      </c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618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618"/>
      <c r="AD20" s="202"/>
      <c r="AE20" s="202"/>
      <c r="AF20" s="202"/>
      <c r="AG20" s="202"/>
      <c r="AH20" s="202"/>
      <c r="AI20" s="202"/>
      <c r="AJ20" s="202"/>
      <c r="AK20" s="618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3"/>
      <c r="AX20" s="203"/>
      <c r="AY20" s="203"/>
      <c r="AZ20" s="203"/>
      <c r="BA20" s="203"/>
      <c r="BB20" s="203"/>
      <c r="BC20" s="203"/>
      <c r="BD20" s="203"/>
      <c r="BE20" s="203"/>
      <c r="BF20" s="203"/>
      <c r="BG20" s="203"/>
      <c r="BH20" s="203"/>
      <c r="BI20" s="203"/>
      <c r="BJ20" s="202"/>
      <c r="BK20" s="203">
        <f>'P&amp;L - Inputs'!BJ34</f>
        <v>2808</v>
      </c>
      <c r="BL20" s="203">
        <f>'P&amp;L - Inputs'!BK34</f>
        <v>2199</v>
      </c>
      <c r="BM20" s="203">
        <f>'P&amp;L - Inputs'!BL34</f>
        <v>1827</v>
      </c>
      <c r="BN20" s="203">
        <f>'P&amp;L - Inputs'!BM34</f>
        <v>1972</v>
      </c>
      <c r="BO20" s="203">
        <f>'P&amp;L - Inputs'!BN34</f>
        <v>2125</v>
      </c>
      <c r="BP20" s="203">
        <f>'P&amp;L - Inputs'!BO34</f>
        <v>1865</v>
      </c>
      <c r="BQ20" s="203">
        <f>'P&amp;L - Inputs'!BP34</f>
        <v>2217</v>
      </c>
      <c r="BR20" s="203">
        <f>'P&amp;L - Inputs'!BQ34</f>
        <v>1759</v>
      </c>
      <c r="BS20" s="203">
        <f>'P&amp;L - Inputs'!BR34</f>
        <v>1747</v>
      </c>
      <c r="BT20" s="203">
        <f>'P&amp;L - Inputs'!BS34</f>
        <v>1552</v>
      </c>
      <c r="BU20" s="203">
        <f>'P&amp;L - Inputs'!BT34</f>
        <v>1601</v>
      </c>
      <c r="BV20" s="203">
        <f>'P&amp;L - Inputs'!BU34</f>
        <v>1548</v>
      </c>
      <c r="BW20" s="203">
        <f>'P&amp;L - Inputs'!BV34</f>
        <v>1590</v>
      </c>
      <c r="BX20" s="203">
        <f>'P&amp;L - Inputs'!BW34</f>
        <v>1999</v>
      </c>
      <c r="BY20" s="203">
        <f>'P&amp;L - Inputs'!BX34</f>
        <v>2365</v>
      </c>
      <c r="BZ20" s="203">
        <f>'P&amp;L - Inputs'!BY34</f>
        <v>2005</v>
      </c>
      <c r="CA20" s="203">
        <f>'P&amp;L - Inputs'!BZ34</f>
        <v>2244</v>
      </c>
      <c r="CB20" s="203">
        <f>'P&amp;L - Inputs'!CA34</f>
        <v>2492</v>
      </c>
      <c r="CC20" s="203">
        <f>'P&amp;L - Inputs'!CB34</f>
        <v>1813</v>
      </c>
      <c r="CD20" s="203">
        <f>'P&amp;L - Inputs'!CC34</f>
        <v>2113</v>
      </c>
      <c r="CE20" s="203">
        <f>'P&amp;L - Inputs'!CD34</f>
        <v>2171</v>
      </c>
      <c r="CF20" s="203">
        <f>'P&amp;L - Inputs'!CE34</f>
        <v>1344</v>
      </c>
      <c r="CG20" s="203">
        <f>'P&amp;L - Inputs'!CF34</f>
        <v>912</v>
      </c>
      <c r="CH20" s="203">
        <f>'P&amp;L - Inputs'!CG34</f>
        <v>1088</v>
      </c>
      <c r="CI20" s="203">
        <f>'P&amp;L - Inputs'!CH34</f>
        <v>1054</v>
      </c>
      <c r="CJ20" s="203">
        <f>'P&amp;L - Inputs'!CI34</f>
        <v>1054</v>
      </c>
      <c r="CK20" s="203">
        <f>'P&amp;L - Inputs'!CJ34</f>
        <v>1012</v>
      </c>
      <c r="CL20" s="203">
        <f>'P&amp;L - Inputs'!CK34</f>
        <v>1342</v>
      </c>
      <c r="CM20" s="203">
        <f>'P&amp;L - Inputs'!CL34</f>
        <v>1336</v>
      </c>
      <c r="CN20" s="203">
        <f>'P&amp;L - Inputs'!CM34</f>
        <v>1834</v>
      </c>
      <c r="CO20" s="203">
        <f>'P&amp;L - Inputs'!CN34</f>
        <v>1779</v>
      </c>
      <c r="CP20" s="203">
        <f>'P&amp;L - Inputs'!CO34</f>
        <v>1744</v>
      </c>
      <c r="CQ20" s="203">
        <f>'P&amp;L - Inputs'!CP34</f>
        <v>2046</v>
      </c>
      <c r="CR20" s="203">
        <f>'P&amp;L - Inputs'!CQ34</f>
        <v>1301</v>
      </c>
      <c r="CS20" s="203">
        <f>'P&amp;L - Inputs'!CR34</f>
        <v>1320</v>
      </c>
      <c r="CT20" s="203">
        <f>'P&amp;L - Inputs'!CS34</f>
        <v>1363</v>
      </c>
      <c r="CU20" s="85">
        <f>'P&amp;L - Inputs'!CT34</f>
        <v>1334.2971904236592</v>
      </c>
      <c r="CV20" s="85">
        <f>'P&amp;L - Inputs'!CU34</f>
        <v>1388.0700179568069</v>
      </c>
      <c r="CW20" s="85">
        <f>'P&amp;L - Inputs'!CV34</f>
        <v>1486.6765856171364</v>
      </c>
      <c r="CX20" s="85">
        <f>'P&amp;L - Inputs'!CW34</f>
        <v>1458.9011517179226</v>
      </c>
      <c r="CY20" s="85">
        <f>'P&amp;L - Inputs'!CX34</f>
        <v>1392.4993256800719</v>
      </c>
      <c r="CZ20" s="85">
        <f>'P&amp;L - Inputs'!CY34</f>
        <v>1181.2787407539327</v>
      </c>
      <c r="DA20" s="85">
        <f>'P&amp;L - Inputs'!CZ34</f>
        <v>1422.3143316339881</v>
      </c>
      <c r="DB20" s="85">
        <f>'P&amp;L - Inputs'!DA34</f>
        <v>1659.133217841289</v>
      </c>
      <c r="DC20" s="85">
        <f>'P&amp;L - Inputs'!DB34</f>
        <v>1840.9684995821124</v>
      </c>
      <c r="DD20" s="85">
        <f>'P&amp;L - Inputs'!DC34</f>
        <v>1801.2555235703737</v>
      </c>
      <c r="DE20" s="85">
        <f>'P&amp;L - Inputs'!DD34</f>
        <v>1781.42344213454</v>
      </c>
      <c r="DF20" s="85">
        <f>'P&amp;L - Inputs'!DE34</f>
        <v>1748.9135586241434</v>
      </c>
      <c r="DG20" s="85">
        <f>'P&amp;L - Inputs'!DF34</f>
        <v>1667.871488029574</v>
      </c>
      <c r="DH20" s="85">
        <f>'P&amp;L - Inputs'!DG34</f>
        <v>1735.0875224460085</v>
      </c>
      <c r="DI20" s="85">
        <f>'P&amp;L - Inputs'!DH34</f>
        <v>1858.34573202142</v>
      </c>
      <c r="DJ20" s="85">
        <f>'P&amp;L - Inputs'!DI34</f>
        <v>1823.6264396474032</v>
      </c>
      <c r="DK20" s="85">
        <f>'P&amp;L - Inputs'!DJ34</f>
        <v>1740.6241571000899</v>
      </c>
      <c r="DL20" s="85">
        <f>'P&amp;L - Inputs'!DK34</f>
        <v>1476.5984259424158</v>
      </c>
      <c r="DM20" s="85">
        <f>'P&amp;L - Inputs'!DL34</f>
        <v>1777.8929145424852</v>
      </c>
      <c r="DN20" s="85">
        <f>'P&amp;L - Inputs'!DM34</f>
        <v>2073.9165223016112</v>
      </c>
      <c r="DO20" s="85">
        <f>'P&amp;L - Inputs'!DN34</f>
        <v>2301.2106244776405</v>
      </c>
      <c r="DP20" s="85">
        <f>'P&amp;L - Inputs'!DO34</f>
        <v>2251.5694044629672</v>
      </c>
      <c r="DQ20" s="85">
        <f>'P&amp;L - Inputs'!DP34</f>
        <v>2226.7793026681752</v>
      </c>
      <c r="DR20" s="86">
        <f>'P&amp;L - Inputs'!DQ34</f>
        <v>2186.1419482801789</v>
      </c>
      <c r="DS20" s="86">
        <f>'P&amp;L - Inputs'!DR34</f>
        <v>2001.4457856354888</v>
      </c>
      <c r="DT20" s="86">
        <f>'P&amp;L - Inputs'!DS34</f>
        <v>2082.1050269352099</v>
      </c>
      <c r="DU20" s="86">
        <f>'P&amp;L - Inputs'!DT34</f>
        <v>2230.0148784257035</v>
      </c>
      <c r="DV20" s="86">
        <f>'P&amp;L - Inputs'!DU34</f>
        <v>2188.3517275768836</v>
      </c>
      <c r="DW20" s="86">
        <f>'P&amp;L - Inputs'!DV34</f>
        <v>2088.7489885201071</v>
      </c>
      <c r="DX20" s="86">
        <f>'P&amp;L - Inputs'!DW34</f>
        <v>1771.9181111308985</v>
      </c>
      <c r="DY20" s="86">
        <f>'P&amp;L - Inputs'!DX34</f>
        <v>2133.471497450982</v>
      </c>
      <c r="DZ20" s="86">
        <f>'P&amp;L - Inputs'!DY34</f>
        <v>2488.6998267619333</v>
      </c>
      <c r="EA20" s="86">
        <f>'P&amp;L - Inputs'!DZ34</f>
        <v>2761.4527493731684</v>
      </c>
      <c r="EB20" s="86">
        <f>'P&amp;L - Inputs'!EA34</f>
        <v>2701.88328535556</v>
      </c>
      <c r="EC20" s="86">
        <f>'P&amp;L - Inputs'!EB34</f>
        <v>2672.13516320181</v>
      </c>
      <c r="ED20" s="86">
        <f>'P&amp;L - Inputs'!EC34</f>
        <v>2623.3703379362141</v>
      </c>
      <c r="EE20" s="39" t="s">
        <v>1</v>
      </c>
      <c r="EF20" s="88"/>
      <c r="EG20" s="634">
        <f>SUM(BK20:BM20)</f>
        <v>6834</v>
      </c>
      <c r="EH20" s="634">
        <f>SUM(BN20:BP20)</f>
        <v>5962</v>
      </c>
      <c r="EI20" s="634">
        <f>SUM(BQ20:BS20)</f>
        <v>5723</v>
      </c>
      <c r="EJ20" s="634">
        <f>SUM(BT20:BV20)</f>
        <v>4701</v>
      </c>
      <c r="EK20" s="634">
        <f>SUM(BW20:BY20)</f>
        <v>5954</v>
      </c>
      <c r="EL20" s="629">
        <f>SUM(BZ20:CB20)</f>
        <v>6741</v>
      </c>
      <c r="EM20" s="629">
        <f>SUM(CC20:CE20)</f>
        <v>6097</v>
      </c>
      <c r="EN20" s="629">
        <f>SUM(CF20:CH20)</f>
        <v>3344</v>
      </c>
      <c r="EO20" s="629">
        <f>SUM(CI20:CK20)</f>
        <v>3120</v>
      </c>
      <c r="EP20" s="629">
        <f>SUM(CL20:CN20)</f>
        <v>4512</v>
      </c>
      <c r="EQ20" s="629">
        <f>SUM(CO20:CQ20)</f>
        <v>5569</v>
      </c>
      <c r="ER20" s="629">
        <v>5680.38</v>
      </c>
      <c r="ES20" s="629">
        <f t="shared" ref="ES20" si="107">SUM(CU20:CW20)</f>
        <v>4209.0437939976018</v>
      </c>
      <c r="ET20" s="629">
        <f t="shared" ref="ET20" si="108">SUM(CX20:CZ20)</f>
        <v>4032.6792181519272</v>
      </c>
      <c r="EU20" s="629">
        <f t="shared" ref="EU20" si="109">SUM(DA20:DC20)</f>
        <v>4922.4160490573895</v>
      </c>
      <c r="EV20" s="629">
        <f t="shared" ref="EV20" si="110">SUM(DD20:DF20)</f>
        <v>5331.5925243290576</v>
      </c>
      <c r="EW20" s="629">
        <f t="shared" ref="EW20" si="111">SUM(DG20:DI20)</f>
        <v>5261.3047424970027</v>
      </c>
      <c r="EX20" s="629">
        <f t="shared" ref="EX20" si="112">SUM(DJ20:DL20)</f>
        <v>5040.8490226899085</v>
      </c>
      <c r="EY20" s="629">
        <f t="shared" ref="EY20" si="113">SUM(DM20:DO20)</f>
        <v>6153.0200613217366</v>
      </c>
      <c r="EZ20" s="629">
        <f t="shared" ref="EZ20" si="114">SUM(DP20:DR20)</f>
        <v>6664.4906554113222</v>
      </c>
      <c r="FA20" s="629">
        <f>SUM(DS20:DU20)</f>
        <v>6313.5656909964018</v>
      </c>
      <c r="FB20" s="629">
        <f t="shared" ref="FB20:FB21" si="115">SUM(DV20:DX20)</f>
        <v>6049.0188272278901</v>
      </c>
      <c r="FC20" s="629">
        <f t="shared" ref="FC20:FC21" si="116">SUM(DY20:EA20)</f>
        <v>7383.6240735860838</v>
      </c>
      <c r="FD20" s="629">
        <f t="shared" ref="FD20:FD21" si="117">SUM(EB20:ED20)</f>
        <v>7997.3887864935841</v>
      </c>
      <c r="FG20" s="70">
        <f>SUM(EK20:EN20)</f>
        <v>22136</v>
      </c>
      <c r="FH20" s="67">
        <f>SUM(EO20:ER20)</f>
        <v>18881.38</v>
      </c>
      <c r="FI20" s="67">
        <f>SUM(ES20:EV20)</f>
        <v>18495.731585535978</v>
      </c>
      <c r="FJ20" s="69">
        <f>SUM(EW20:EZ20)</f>
        <v>23119.664481919968</v>
      </c>
      <c r="FK20" s="619">
        <f t="shared" ref="FK20" si="118">SUM(FA20:FD20)</f>
        <v>27743.597378303959</v>
      </c>
    </row>
    <row r="21" spans="1:167" ht="15.75" customHeight="1" x14ac:dyDescent="0.2">
      <c r="A21" s="59"/>
      <c r="B21" s="48" t="s">
        <v>9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9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9"/>
      <c r="AD21" s="75"/>
      <c r="AE21" s="75"/>
      <c r="AF21" s="75"/>
      <c r="AG21" s="75"/>
      <c r="AH21" s="75"/>
      <c r="AI21" s="75"/>
      <c r="AJ21" s="75"/>
      <c r="AK21" s="79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6"/>
      <c r="AX21" s="76"/>
      <c r="AY21" s="76"/>
      <c r="AZ21" s="76"/>
      <c r="BA21" s="76"/>
      <c r="BB21" s="76"/>
      <c r="BC21" s="76"/>
      <c r="BD21" s="76"/>
      <c r="BE21" s="76"/>
      <c r="BF21" s="77"/>
      <c r="BG21" s="76"/>
      <c r="BH21" s="76"/>
      <c r="BI21" s="76"/>
      <c r="BJ21" s="75"/>
      <c r="BK21" s="85">
        <f t="shared" ref="BK21:ER21" si="119">BK15-BK20</f>
        <v>6372</v>
      </c>
      <c r="BL21" s="85">
        <f t="shared" si="119"/>
        <v>5979</v>
      </c>
      <c r="BM21" s="85">
        <f t="shared" si="119"/>
        <v>4346</v>
      </c>
      <c r="BN21" s="85">
        <f t="shared" si="119"/>
        <v>4296</v>
      </c>
      <c r="BO21" s="85">
        <f t="shared" si="119"/>
        <v>4402</v>
      </c>
      <c r="BP21" s="85">
        <f t="shared" si="119"/>
        <v>3805</v>
      </c>
      <c r="BQ21" s="85">
        <f t="shared" si="119"/>
        <v>2585</v>
      </c>
      <c r="BR21" s="85">
        <f t="shared" si="119"/>
        <v>1676</v>
      </c>
      <c r="BS21" s="85">
        <f t="shared" si="119"/>
        <v>1950</v>
      </c>
      <c r="BT21" s="85">
        <f t="shared" si="119"/>
        <v>1820</v>
      </c>
      <c r="BU21" s="85">
        <f t="shared" si="119"/>
        <v>1825</v>
      </c>
      <c r="BV21" s="85">
        <f t="shared" si="119"/>
        <v>1526</v>
      </c>
      <c r="BW21" s="85">
        <f t="shared" si="119"/>
        <v>1760</v>
      </c>
      <c r="BX21" s="85">
        <f t="shared" si="119"/>
        <v>1879</v>
      </c>
      <c r="BY21" s="85">
        <f t="shared" si="119"/>
        <v>1656</v>
      </c>
      <c r="BZ21" s="85">
        <f t="shared" si="119"/>
        <v>2022</v>
      </c>
      <c r="CA21" s="85">
        <f t="shared" si="119"/>
        <v>1736</v>
      </c>
      <c r="CB21" s="85">
        <f t="shared" si="119"/>
        <v>1705</v>
      </c>
      <c r="CC21" s="85">
        <f t="shared" si="119"/>
        <v>2073</v>
      </c>
      <c r="CD21" s="85">
        <f t="shared" si="119"/>
        <v>1470</v>
      </c>
      <c r="CE21" s="85">
        <f t="shared" si="119"/>
        <v>1781</v>
      </c>
      <c r="CF21" s="85">
        <f t="shared" si="119"/>
        <v>1741</v>
      </c>
      <c r="CG21" s="85">
        <f t="shared" si="119"/>
        <v>1670</v>
      </c>
      <c r="CH21" s="85">
        <f t="shared" si="119"/>
        <v>1958</v>
      </c>
      <c r="CI21" s="85">
        <f t="shared" si="119"/>
        <v>2367</v>
      </c>
      <c r="CJ21" s="85">
        <f t="shared" si="119"/>
        <v>2168</v>
      </c>
      <c r="CK21" s="85">
        <f t="shared" si="119"/>
        <v>3793.6315789473683</v>
      </c>
      <c r="CL21" s="85">
        <f t="shared" si="119"/>
        <v>2478</v>
      </c>
      <c r="CM21" s="85">
        <f t="shared" si="119"/>
        <v>2661</v>
      </c>
      <c r="CN21" s="85">
        <f t="shared" si="119"/>
        <v>1479</v>
      </c>
      <c r="CO21" s="85">
        <f t="shared" si="119"/>
        <v>2084</v>
      </c>
      <c r="CP21" s="85">
        <f t="shared" si="119"/>
        <v>2198</v>
      </c>
      <c r="CQ21" s="85">
        <f t="shared" si="119"/>
        <v>2788</v>
      </c>
      <c r="CR21" s="85">
        <f t="shared" si="119"/>
        <v>2950</v>
      </c>
      <c r="CS21" s="85">
        <f t="shared" si="119"/>
        <v>3122</v>
      </c>
      <c r="CT21" s="85">
        <f t="shared" si="119"/>
        <v>3428</v>
      </c>
      <c r="CU21" s="85">
        <f t="shared" si="119"/>
        <v>3355.811275695014</v>
      </c>
      <c r="CV21" s="85">
        <f t="shared" si="119"/>
        <v>3491.0521067908539</v>
      </c>
      <c r="CW21" s="85">
        <f t="shared" si="119"/>
        <v>3739.0516034450061</v>
      </c>
      <c r="CX21" s="85">
        <f t="shared" si="119"/>
        <v>3669.1952663896109</v>
      </c>
      <c r="CY21" s="85">
        <f t="shared" si="119"/>
        <v>3502.1919944470192</v>
      </c>
      <c r="CZ21" s="85">
        <f t="shared" si="119"/>
        <v>2970.9637001500232</v>
      </c>
      <c r="DA21" s="85">
        <f t="shared" si="119"/>
        <v>3577.1779375211381</v>
      </c>
      <c r="DB21" s="85">
        <f t="shared" si="119"/>
        <v>4172.7869924871156</v>
      </c>
      <c r="DC21" s="85">
        <f t="shared" si="119"/>
        <v>4630.1100635124585</v>
      </c>
      <c r="DD21" s="85">
        <f t="shared" si="119"/>
        <v>4530.230326338401</v>
      </c>
      <c r="DE21" s="85">
        <f t="shared" si="119"/>
        <v>4480.3518412598705</v>
      </c>
      <c r="DF21" s="85">
        <f t="shared" si="119"/>
        <v>4398.5881723870607</v>
      </c>
      <c r="DG21" s="85">
        <f t="shared" si="119"/>
        <v>4194.7640946187676</v>
      </c>
      <c r="DH21" s="85">
        <f t="shared" si="119"/>
        <v>4363.815133488567</v>
      </c>
      <c r="DI21" s="85">
        <f t="shared" si="119"/>
        <v>4673.8145043062568</v>
      </c>
      <c r="DJ21" s="85">
        <f t="shared" si="119"/>
        <v>4586.4940829870129</v>
      </c>
      <c r="DK21" s="85">
        <f t="shared" si="119"/>
        <v>4377.7399930587735</v>
      </c>
      <c r="DL21" s="85">
        <f t="shared" si="119"/>
        <v>3713.704625187529</v>
      </c>
      <c r="DM21" s="85">
        <f t="shared" si="119"/>
        <v>4471.4724219014224</v>
      </c>
      <c r="DN21" s="85">
        <f t="shared" si="119"/>
        <v>5215.9837406088955</v>
      </c>
      <c r="DO21" s="85">
        <f t="shared" si="119"/>
        <v>5787.6375793905736</v>
      </c>
      <c r="DP21" s="85">
        <f t="shared" si="119"/>
        <v>5662.7879079230015</v>
      </c>
      <c r="DQ21" s="85">
        <f t="shared" si="119"/>
        <v>5600.4398015748393</v>
      </c>
      <c r="DR21" s="86">
        <f t="shared" si="119"/>
        <v>5498.2352154838245</v>
      </c>
      <c r="DS21" s="86">
        <f t="shared" ref="DS21:ED21" si="120">DS15-DS20</f>
        <v>5033.7169135425211</v>
      </c>
      <c r="DT21" s="86">
        <f t="shared" si="120"/>
        <v>5236.5781601862809</v>
      </c>
      <c r="DU21" s="86">
        <f t="shared" si="120"/>
        <v>5608.577405167508</v>
      </c>
      <c r="DV21" s="86">
        <f t="shared" si="120"/>
        <v>5503.7928995844159</v>
      </c>
      <c r="DW21" s="86">
        <f t="shared" si="120"/>
        <v>5253.2879916705278</v>
      </c>
      <c r="DX21" s="86">
        <f t="shared" si="120"/>
        <v>4456.4455502250348</v>
      </c>
      <c r="DY21" s="86">
        <f t="shared" si="120"/>
        <v>5365.7669062817076</v>
      </c>
      <c r="DZ21" s="86">
        <f t="shared" si="120"/>
        <v>6259.1804887306753</v>
      </c>
      <c r="EA21" s="86">
        <f t="shared" si="120"/>
        <v>6945.1650952686896</v>
      </c>
      <c r="EB21" s="86">
        <f t="shared" si="120"/>
        <v>6795.3454895076029</v>
      </c>
      <c r="EC21" s="86">
        <f t="shared" si="120"/>
        <v>6720.5277618898072</v>
      </c>
      <c r="ED21" s="86">
        <f t="shared" si="120"/>
        <v>6597.8822585805901</v>
      </c>
      <c r="EE21" s="39" t="s">
        <v>1</v>
      </c>
      <c r="EF21" s="88"/>
      <c r="EG21" s="634">
        <f t="shared" si="119"/>
        <v>16697</v>
      </c>
      <c r="EH21" s="634">
        <f t="shared" si="119"/>
        <v>12503</v>
      </c>
      <c r="EI21" s="634">
        <f t="shared" si="119"/>
        <v>6211</v>
      </c>
      <c r="EJ21" s="634">
        <f t="shared" si="119"/>
        <v>5171</v>
      </c>
      <c r="EK21" s="634">
        <f t="shared" si="119"/>
        <v>5295</v>
      </c>
      <c r="EL21" s="634">
        <f t="shared" si="119"/>
        <v>5463</v>
      </c>
      <c r="EM21" s="634">
        <f t="shared" si="119"/>
        <v>5324</v>
      </c>
      <c r="EN21" s="634">
        <f t="shared" si="119"/>
        <v>5369</v>
      </c>
      <c r="EO21" s="634">
        <f t="shared" si="119"/>
        <v>8328.6315789473683</v>
      </c>
      <c r="EP21" s="634">
        <f t="shared" si="119"/>
        <v>6618</v>
      </c>
      <c r="EQ21" s="634">
        <f t="shared" si="119"/>
        <v>7070</v>
      </c>
      <c r="ER21" s="634">
        <f t="shared" si="119"/>
        <v>7803.62</v>
      </c>
      <c r="ES21" s="634">
        <f t="shared" ref="ES21:EZ21" si="121">ES15-ES20</f>
        <v>10585.914985930873</v>
      </c>
      <c r="ET21" s="634">
        <f t="shared" si="121"/>
        <v>10142.350960986654</v>
      </c>
      <c r="EU21" s="634">
        <f t="shared" si="121"/>
        <v>12380.074993520717</v>
      </c>
      <c r="EV21" s="634">
        <f t="shared" si="121"/>
        <v>13409.170339985329</v>
      </c>
      <c r="EW21" s="634">
        <f t="shared" si="121"/>
        <v>13232.393732413591</v>
      </c>
      <c r="EX21" s="634">
        <f t="shared" si="121"/>
        <v>12677.938701233317</v>
      </c>
      <c r="EY21" s="634">
        <f t="shared" si="121"/>
        <v>15475.093741900893</v>
      </c>
      <c r="EZ21" s="634">
        <f t="shared" si="121"/>
        <v>16761.462924981664</v>
      </c>
      <c r="FA21" s="629">
        <f>SUM(DS21:DU21)</f>
        <v>15878.872478896308</v>
      </c>
      <c r="FB21" s="629">
        <f t="shared" si="115"/>
        <v>15213.526441479979</v>
      </c>
      <c r="FC21" s="629">
        <f t="shared" si="116"/>
        <v>18570.112490281073</v>
      </c>
      <c r="FD21" s="629">
        <f t="shared" si="117"/>
        <v>20113.755509978</v>
      </c>
      <c r="FG21" s="89">
        <f t="shared" ref="FG21" si="122">FG15-FG20</f>
        <v>21451</v>
      </c>
      <c r="FH21" s="85">
        <f t="shared" ref="FH21:FK21" si="123">FH15-FH20</f>
        <v>29820.251578947365</v>
      </c>
      <c r="FI21" s="85">
        <f t="shared" si="123"/>
        <v>46517.511280423561</v>
      </c>
      <c r="FJ21" s="86">
        <f t="shared" si="123"/>
        <v>58146.889100529457</v>
      </c>
      <c r="FK21" s="86">
        <f t="shared" si="123"/>
        <v>69776.26692063536</v>
      </c>
    </row>
    <row r="22" spans="1:167" ht="15.75" customHeight="1" x14ac:dyDescent="0.2">
      <c r="A22" s="59"/>
      <c r="B22" s="48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2"/>
      <c r="Q22" s="51"/>
      <c r="R22" s="51"/>
      <c r="S22" s="51"/>
      <c r="T22" s="50"/>
      <c r="U22" s="51"/>
      <c r="V22" s="51"/>
      <c r="W22" s="51"/>
      <c r="X22" s="51"/>
      <c r="Y22" s="51"/>
      <c r="Z22" s="51"/>
      <c r="AA22" s="51"/>
      <c r="AB22" s="51"/>
      <c r="AC22" s="39"/>
      <c r="AD22" s="51"/>
      <c r="AE22" s="51"/>
      <c r="AF22" s="51"/>
      <c r="AG22" s="51"/>
      <c r="AH22" s="51"/>
      <c r="AI22" s="51"/>
      <c r="AJ22" s="51"/>
      <c r="AK22" s="39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0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51"/>
      <c r="DQ22" s="51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39" t="s">
        <v>1</v>
      </c>
      <c r="EF22" s="39"/>
      <c r="EG22" s="630"/>
      <c r="EH22" s="630"/>
      <c r="EI22" s="630"/>
      <c r="EJ22" s="630"/>
      <c r="EK22" s="630"/>
      <c r="EL22" s="630"/>
      <c r="EM22" s="630"/>
      <c r="EN22" s="630"/>
      <c r="EO22" s="630"/>
      <c r="EP22" s="630"/>
      <c r="EQ22" s="630"/>
      <c r="ER22" s="630"/>
      <c r="ES22" s="630"/>
      <c r="ET22" s="630"/>
      <c r="EU22" s="630"/>
      <c r="EV22" s="630"/>
      <c r="EW22" s="630"/>
      <c r="EX22" s="630"/>
      <c r="EY22" s="630"/>
      <c r="EZ22" s="630"/>
      <c r="FA22" s="630"/>
      <c r="FB22" s="630"/>
      <c r="FC22" s="630"/>
      <c r="FD22" s="630"/>
      <c r="FG22" s="54"/>
      <c r="FH22" s="51"/>
      <c r="FI22" s="51"/>
      <c r="FJ22" s="53"/>
      <c r="FK22" s="620"/>
    </row>
    <row r="23" spans="1:167" x14ac:dyDescent="0.2">
      <c r="B23" s="65" t="s">
        <v>10</v>
      </c>
      <c r="C23" s="62">
        <f t="shared" ref="C23:ER25" si="124">C3-C11</f>
        <v>127373162</v>
      </c>
      <c r="D23" s="62">
        <f t="shared" si="124"/>
        <v>119525214</v>
      </c>
      <c r="E23" s="62">
        <f t="shared" si="124"/>
        <v>133618915.88573273</v>
      </c>
      <c r="F23" s="62">
        <f t="shared" si="124"/>
        <v>155721260.4144277</v>
      </c>
      <c r="G23" s="62">
        <f t="shared" si="124"/>
        <v>182921172.49998167</v>
      </c>
      <c r="H23" s="62">
        <f t="shared" si="124"/>
        <v>190468885</v>
      </c>
      <c r="I23" s="62">
        <f t="shared" si="124"/>
        <v>203496304</v>
      </c>
      <c r="J23" s="62">
        <f t="shared" si="124"/>
        <v>191306750</v>
      </c>
      <c r="K23" s="62">
        <f t="shared" si="124"/>
        <v>241759536</v>
      </c>
      <c r="L23" s="62">
        <f t="shared" si="124"/>
        <v>234336044</v>
      </c>
      <c r="M23" s="62">
        <f t="shared" si="124"/>
        <v>238581665.40440598</v>
      </c>
      <c r="N23" s="62">
        <f t="shared" si="124"/>
        <v>208964937</v>
      </c>
      <c r="O23" s="62">
        <f t="shared" si="124"/>
        <v>269447912.26024622</v>
      </c>
      <c r="P23" s="62">
        <f t="shared" si="124"/>
        <v>266868735.1242533</v>
      </c>
      <c r="Q23" s="62">
        <f t="shared" si="124"/>
        <v>286229261.5</v>
      </c>
      <c r="R23" s="62">
        <f t="shared" si="124"/>
        <v>292359425.71099395</v>
      </c>
      <c r="S23" s="62">
        <f t="shared" si="124"/>
        <v>240342977.87539515</v>
      </c>
      <c r="T23" s="62">
        <f t="shared" si="124"/>
        <v>212420597.12555185</v>
      </c>
      <c r="U23" s="62">
        <f t="shared" si="124"/>
        <v>179826642.85981309</v>
      </c>
      <c r="V23" s="62">
        <f t="shared" si="124"/>
        <v>219145509.50059792</v>
      </c>
      <c r="W23" s="62">
        <f t="shared" si="124"/>
        <v>251361505.16609254</v>
      </c>
      <c r="X23" s="62">
        <f t="shared" si="124"/>
        <v>253840663.09572297</v>
      </c>
      <c r="Y23" s="62">
        <f t="shared" si="124"/>
        <v>291578958.80223233</v>
      </c>
      <c r="Z23" s="62">
        <f t="shared" si="124"/>
        <v>181928659.19999999</v>
      </c>
      <c r="AA23" s="62">
        <f t="shared" si="124"/>
        <v>-58689</v>
      </c>
      <c r="AB23" s="62">
        <f t="shared" si="124"/>
        <v>140822505.93964374</v>
      </c>
      <c r="AC23" s="62">
        <f t="shared" si="124"/>
        <v>145960707.95446637</v>
      </c>
      <c r="AD23" s="62">
        <f t="shared" si="124"/>
        <v>119738395.07042427</v>
      </c>
      <c r="AE23" s="62">
        <f t="shared" si="124"/>
        <v>200055468.57239282</v>
      </c>
      <c r="AF23" s="62">
        <f t="shared" si="124"/>
        <v>205142874.22751704</v>
      </c>
      <c r="AG23" s="62">
        <f t="shared" si="124"/>
        <v>184510568.67909652</v>
      </c>
      <c r="AH23" s="62">
        <f t="shared" si="124"/>
        <v>218065650.95785782</v>
      </c>
      <c r="AI23" s="62">
        <f t="shared" si="124"/>
        <v>351624938.17792231</v>
      </c>
      <c r="AJ23" s="62">
        <f t="shared" si="124"/>
        <v>302824165.85610336</v>
      </c>
      <c r="AK23" s="62">
        <f t="shared" si="124"/>
        <v>378804197.32158595</v>
      </c>
      <c r="AL23" s="62">
        <f t="shared" si="124"/>
        <v>317244253.6084246</v>
      </c>
      <c r="AM23" s="62">
        <f t="shared" si="124"/>
        <v>218341300.60656399</v>
      </c>
      <c r="AN23" s="62">
        <f t="shared" si="124"/>
        <v>99507961</v>
      </c>
      <c r="AO23" s="62">
        <f t="shared" si="124"/>
        <v>220549752.36498249</v>
      </c>
      <c r="AP23" s="62">
        <f t="shared" si="124"/>
        <v>309028022.56999999</v>
      </c>
      <c r="AQ23" s="62">
        <f t="shared" si="124"/>
        <v>302429208.89614981</v>
      </c>
      <c r="AR23" s="62">
        <f t="shared" si="124"/>
        <v>284500821</v>
      </c>
      <c r="AS23" s="62">
        <f t="shared" si="124"/>
        <v>243017416.99999997</v>
      </c>
      <c r="AT23" s="62">
        <f t="shared" si="124"/>
        <v>290726966</v>
      </c>
      <c r="AU23" s="62">
        <f t="shared" si="124"/>
        <v>389798687.40441</v>
      </c>
      <c r="AV23" s="62">
        <f t="shared" si="124"/>
        <v>355193261.00000006</v>
      </c>
      <c r="AW23" s="62">
        <f t="shared" si="124"/>
        <v>363297745</v>
      </c>
      <c r="AX23" s="62">
        <f t="shared" si="124"/>
        <v>316865236.87457108</v>
      </c>
      <c r="AY23" s="62">
        <f t="shared" si="124"/>
        <v>314883922.45000011</v>
      </c>
      <c r="AZ23" s="62">
        <f t="shared" si="124"/>
        <v>353948479</v>
      </c>
      <c r="BA23" s="62">
        <f t="shared" si="124"/>
        <v>253718952.35678959</v>
      </c>
      <c r="BB23" s="62">
        <f t="shared" si="124"/>
        <v>295352366.05637115</v>
      </c>
      <c r="BC23" s="62">
        <f t="shared" si="124"/>
        <v>314859557.06935155</v>
      </c>
      <c r="BD23" s="62">
        <f t="shared" si="124"/>
        <v>323017769.97385091</v>
      </c>
      <c r="BE23" s="62">
        <f t="shared" si="124"/>
        <v>379991484.77648139</v>
      </c>
      <c r="BF23" s="62">
        <f t="shared" si="124"/>
        <v>411137982.12704134</v>
      </c>
      <c r="BG23" s="62">
        <f t="shared" si="124"/>
        <v>523499249.52725494</v>
      </c>
      <c r="BH23" s="62">
        <f t="shared" si="124"/>
        <v>472010291.35966325</v>
      </c>
      <c r="BI23" s="62">
        <f t="shared" si="124"/>
        <v>379962296.8494646</v>
      </c>
      <c r="BJ23" s="61">
        <f t="shared" si="124"/>
        <v>420473610.973279</v>
      </c>
      <c r="BK23" s="62">
        <f t="shared" si="124"/>
        <v>388619576.70573646</v>
      </c>
      <c r="BL23" s="62">
        <f t="shared" si="124"/>
        <v>395066518.57596982</v>
      </c>
      <c r="BM23" s="62">
        <f t="shared" si="124"/>
        <v>300462671.48357654</v>
      </c>
      <c r="BN23" s="62">
        <f t="shared" si="124"/>
        <v>283687792.77625483</v>
      </c>
      <c r="BO23" s="62">
        <f t="shared" si="124"/>
        <v>300679904.2239241</v>
      </c>
      <c r="BP23" s="62">
        <f t="shared" si="124"/>
        <v>289582835.51983523</v>
      </c>
      <c r="BQ23" s="62">
        <f t="shared" si="124"/>
        <v>272230318.70985508</v>
      </c>
      <c r="BR23" s="62">
        <f t="shared" si="124"/>
        <v>334439243.09056324</v>
      </c>
      <c r="BS23" s="62">
        <f t="shared" si="124"/>
        <v>301141663.49213475</v>
      </c>
      <c r="BT23" s="62">
        <f t="shared" si="124"/>
        <v>271286674.68889612</v>
      </c>
      <c r="BU23" s="62">
        <f t="shared" si="124"/>
        <v>285387260.72658789</v>
      </c>
      <c r="BV23" s="62">
        <f t="shared" si="124"/>
        <v>295499604.70715314</v>
      </c>
      <c r="BW23" s="62">
        <f t="shared" si="124"/>
        <v>306810965.38962066</v>
      </c>
      <c r="BX23" s="62">
        <f t="shared" si="124"/>
        <v>317634236.1956681</v>
      </c>
      <c r="BY23" s="62">
        <f t="shared" si="124"/>
        <v>302669466.78844017</v>
      </c>
      <c r="BZ23" s="62">
        <f t="shared" si="124"/>
        <v>286115234.40934157</v>
      </c>
      <c r="CA23" s="62">
        <f t="shared" si="124"/>
        <v>276117758.08156765</v>
      </c>
      <c r="CB23" s="62">
        <f t="shared" si="124"/>
        <v>242257243.25205413</v>
      </c>
      <c r="CC23" s="62">
        <f t="shared" si="124"/>
        <v>290251317.86683983</v>
      </c>
      <c r="CD23" s="62">
        <f t="shared" si="124"/>
        <v>296899274.37488753</v>
      </c>
      <c r="CE23" s="62">
        <f t="shared" si="124"/>
        <v>335757957.58998883</v>
      </c>
      <c r="CF23" s="62">
        <f t="shared" si="124"/>
        <v>385179872.95694119</v>
      </c>
      <c r="CG23" s="62">
        <f t="shared" si="124"/>
        <v>445942525.30202425</v>
      </c>
      <c r="CH23" s="62">
        <f t="shared" si="124"/>
        <v>553793255.71783984</v>
      </c>
      <c r="CI23" s="62">
        <f t="shared" si="124"/>
        <v>470069111.57037914</v>
      </c>
      <c r="CJ23" s="62">
        <f t="shared" si="124"/>
        <v>466408773.88283879</v>
      </c>
      <c r="CK23" s="62">
        <f t="shared" si="124"/>
        <v>460358627.85315222</v>
      </c>
      <c r="CL23" s="62">
        <f t="shared" si="124"/>
        <v>461154413.35000002</v>
      </c>
      <c r="CM23" s="62">
        <f t="shared" si="124"/>
        <v>388687802.75999916</v>
      </c>
      <c r="CN23" s="62">
        <f t="shared" si="124"/>
        <v>336052923.92999959</v>
      </c>
      <c r="CO23" s="62">
        <f t="shared" si="124"/>
        <v>435550558.52000046</v>
      </c>
      <c r="CP23" s="62">
        <f t="shared" si="124"/>
        <v>522842565.63999999</v>
      </c>
      <c r="CQ23" s="62">
        <f t="shared" si="124"/>
        <v>633370264.37999988</v>
      </c>
      <c r="CR23" s="62">
        <f t="shared" si="124"/>
        <v>681442196.87000072</v>
      </c>
      <c r="CS23" s="62">
        <f t="shared" si="124"/>
        <v>622125579.7500006</v>
      </c>
      <c r="CT23" s="62">
        <f t="shared" si="124"/>
        <v>604962856.32999957</v>
      </c>
      <c r="CU23" s="62">
        <f t="shared" si="124"/>
        <v>626377247.22057498</v>
      </c>
      <c r="CV23" s="62">
        <f t="shared" si="124"/>
        <v>649242340.31171215</v>
      </c>
      <c r="CW23" s="62">
        <f t="shared" si="124"/>
        <v>609907584.32042396</v>
      </c>
      <c r="CX23" s="62">
        <f t="shared" si="124"/>
        <v>610431282.88397908</v>
      </c>
      <c r="CY23" s="62">
        <f t="shared" si="124"/>
        <v>567575430.2484076</v>
      </c>
      <c r="CZ23" s="62">
        <f t="shared" si="124"/>
        <v>494949921.32897353</v>
      </c>
      <c r="DA23" s="62">
        <f t="shared" si="124"/>
        <v>579036629.22452211</v>
      </c>
      <c r="DB23" s="62">
        <f t="shared" si="124"/>
        <v>717062311.02831566</v>
      </c>
      <c r="DC23" s="62">
        <f t="shared" si="124"/>
        <v>799010325.98845029</v>
      </c>
      <c r="DD23" s="62">
        <f t="shared" si="124"/>
        <v>747715470.71532393</v>
      </c>
      <c r="DE23" s="62">
        <f t="shared" si="124"/>
        <v>729178487.93240309</v>
      </c>
      <c r="DF23" s="62">
        <f t="shared" si="124"/>
        <v>701131242.00030887</v>
      </c>
      <c r="DG23" s="62">
        <f t="shared" si="124"/>
        <v>782971559.02571845</v>
      </c>
      <c r="DH23" s="62">
        <f t="shared" si="124"/>
        <v>811552925.38964021</v>
      </c>
      <c r="DI23" s="62">
        <f t="shared" si="124"/>
        <v>762384480.40052974</v>
      </c>
      <c r="DJ23" s="62">
        <f t="shared" si="124"/>
        <v>763039103.60497355</v>
      </c>
      <c r="DK23" s="62">
        <f t="shared" si="124"/>
        <v>709469287.81050944</v>
      </c>
      <c r="DL23" s="62">
        <f t="shared" si="124"/>
        <v>618687401.66121662</v>
      </c>
      <c r="DM23" s="62">
        <f t="shared" si="124"/>
        <v>723795786.53065228</v>
      </c>
      <c r="DN23" s="62">
        <f t="shared" si="124"/>
        <v>896327888.78539443</v>
      </c>
      <c r="DO23" s="62">
        <f t="shared" si="124"/>
        <v>998762907.48556256</v>
      </c>
      <c r="DP23" s="62">
        <f t="shared" si="124"/>
        <v>934644338.39415479</v>
      </c>
      <c r="DQ23" s="62">
        <f t="shared" ref="DQ23:DR23" si="125">DQ3-DQ11</f>
        <v>911473109.91550374</v>
      </c>
      <c r="DR23" s="63">
        <f t="shared" si="125"/>
        <v>876414052.50038612</v>
      </c>
      <c r="DS23" s="63">
        <f t="shared" ref="DS23:ED23" si="126">DS3-DS11</f>
        <v>939565870.83086228</v>
      </c>
      <c r="DT23" s="63">
        <f t="shared" si="126"/>
        <v>973863510.46756792</v>
      </c>
      <c r="DU23" s="63">
        <f t="shared" si="126"/>
        <v>914861376.48063564</v>
      </c>
      <c r="DV23" s="63">
        <f t="shared" si="126"/>
        <v>915646924.32596827</v>
      </c>
      <c r="DW23" s="63">
        <f t="shared" si="126"/>
        <v>851363145.37261117</v>
      </c>
      <c r="DX23" s="63">
        <f t="shared" si="126"/>
        <v>742424881.99345994</v>
      </c>
      <c r="DY23" s="63">
        <f t="shared" si="126"/>
        <v>868554943.83678293</v>
      </c>
      <c r="DZ23" s="63">
        <f t="shared" si="126"/>
        <v>1075593466.5424733</v>
      </c>
      <c r="EA23" s="63">
        <f t="shared" si="126"/>
        <v>1198515488.9826753</v>
      </c>
      <c r="EB23" s="63">
        <f t="shared" si="126"/>
        <v>1121573206.0729861</v>
      </c>
      <c r="EC23" s="63">
        <f t="shared" si="126"/>
        <v>1093767731.8986044</v>
      </c>
      <c r="ED23" s="63">
        <f t="shared" si="126"/>
        <v>1051696863.0004632</v>
      </c>
      <c r="EE23" s="39" t="s">
        <v>1</v>
      </c>
      <c r="EF23" s="64"/>
      <c r="EG23" s="625">
        <f t="shared" si="124"/>
        <v>1084148766.7652829</v>
      </c>
      <c r="EH23" s="625">
        <f t="shared" si="124"/>
        <v>873950532.52001429</v>
      </c>
      <c r="EI23" s="625">
        <f t="shared" si="124"/>
        <v>907811225.29255319</v>
      </c>
      <c r="EJ23" s="625">
        <f t="shared" si="124"/>
        <v>852173540.12263715</v>
      </c>
      <c r="EK23" s="625">
        <f t="shared" si="124"/>
        <v>927114668.37372899</v>
      </c>
      <c r="EL23" s="625">
        <f t="shared" si="124"/>
        <v>804490235.74296331</v>
      </c>
      <c r="EM23" s="625">
        <f t="shared" si="124"/>
        <v>922908549.83171618</v>
      </c>
      <c r="EN23" s="625">
        <f t="shared" si="124"/>
        <v>1384915653.9768052</v>
      </c>
      <c r="EO23" s="625">
        <f t="shared" si="124"/>
        <v>1396836513.3063703</v>
      </c>
      <c r="EP23" s="625">
        <f t="shared" si="124"/>
        <v>1185895140.0399988</v>
      </c>
      <c r="EQ23" s="625">
        <f t="shared" si="124"/>
        <v>1591763388.5400004</v>
      </c>
      <c r="ER23" s="625">
        <f t="shared" si="124"/>
        <v>1908530632.9500005</v>
      </c>
      <c r="ES23" s="625">
        <f t="shared" ref="ES23:EZ23" si="127">ES3-ES11</f>
        <v>1885527171.8527112</v>
      </c>
      <c r="ET23" s="625">
        <f t="shared" si="127"/>
        <v>1672956634.4613602</v>
      </c>
      <c r="EU23" s="625">
        <f t="shared" si="127"/>
        <v>2095109266.2412879</v>
      </c>
      <c r="EV23" s="625">
        <f t="shared" si="127"/>
        <v>2178025200.6480355</v>
      </c>
      <c r="EW23" s="625">
        <f t="shared" si="127"/>
        <v>2356908964.8158884</v>
      </c>
      <c r="EX23" s="625">
        <f t="shared" si="127"/>
        <v>2091195793.0766993</v>
      </c>
      <c r="EY23" s="625">
        <f t="shared" si="127"/>
        <v>2618886582.8016095</v>
      </c>
      <c r="EZ23" s="625">
        <f t="shared" si="127"/>
        <v>2722531500.8100448</v>
      </c>
      <c r="FA23" s="625">
        <f t="shared" ref="FA23:FD23" si="128">FA3-FA11</f>
        <v>2828290757.7790661</v>
      </c>
      <c r="FB23" s="625">
        <f t="shared" si="128"/>
        <v>2509434951.6920395</v>
      </c>
      <c r="FC23" s="625">
        <f t="shared" si="128"/>
        <v>3142663899.3619318</v>
      </c>
      <c r="FD23" s="625">
        <f t="shared" si="128"/>
        <v>3267037800.9720535</v>
      </c>
      <c r="FG23" s="65">
        <f t="shared" ref="FG23" si="129">FG3-FG11</f>
        <v>4039429107.9252143</v>
      </c>
      <c r="FH23" s="62">
        <f t="shared" ref="FH23:FK23" si="130">FH3-FH11</f>
        <v>6083025674.8363695</v>
      </c>
      <c r="FI23" s="62">
        <f t="shared" si="130"/>
        <v>7831618273.2033949</v>
      </c>
      <c r="FJ23" s="63">
        <f t="shared" si="130"/>
        <v>9789522841.5042419</v>
      </c>
      <c r="FK23" s="63">
        <f t="shared" si="130"/>
        <v>11747427409.805092</v>
      </c>
    </row>
    <row r="24" spans="1:167" x14ac:dyDescent="0.2">
      <c r="B24" s="48" t="s">
        <v>3</v>
      </c>
      <c r="C24" s="66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8"/>
      <c r="AD24" s="67"/>
      <c r="AE24" s="67"/>
      <c r="AF24" s="67"/>
      <c r="AG24" s="67"/>
      <c r="AH24" s="67"/>
      <c r="AI24" s="67"/>
      <c r="AJ24" s="67"/>
      <c r="AK24" s="68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>
        <f>BA4-BA12</f>
        <v>57315451.963905223</v>
      </c>
      <c r="BB24" s="67">
        <f t="shared" ref="BB24:DM24" si="131">BB4-BB12</f>
        <v>62354498.007868811</v>
      </c>
      <c r="BC24" s="67">
        <f t="shared" si="131"/>
        <v>63129962.116789095</v>
      </c>
      <c r="BD24" s="67">
        <f t="shared" si="131"/>
        <v>112339195.36622429</v>
      </c>
      <c r="BE24" s="67">
        <f t="shared" si="131"/>
        <v>100437981.6613459</v>
      </c>
      <c r="BF24" s="67">
        <f t="shared" si="131"/>
        <v>120209810.27764611</v>
      </c>
      <c r="BG24" s="67">
        <f t="shared" si="131"/>
        <v>147460985.56343892</v>
      </c>
      <c r="BH24" s="67">
        <f t="shared" si="131"/>
        <v>111835174.62329073</v>
      </c>
      <c r="BI24" s="67">
        <f t="shared" si="131"/>
        <v>59237912.807522424</v>
      </c>
      <c r="BJ24" s="67">
        <f t="shared" si="131"/>
        <v>63114995.720508881</v>
      </c>
      <c r="BK24" s="67">
        <f t="shared" si="131"/>
        <v>38739227.64689678</v>
      </c>
      <c r="BL24" s="67">
        <f t="shared" si="131"/>
        <v>32050657.75279076</v>
      </c>
      <c r="BM24" s="67">
        <f t="shared" si="131"/>
        <v>33000931.408048175</v>
      </c>
      <c r="BN24" s="67">
        <f t="shared" si="131"/>
        <v>15145533.576626644</v>
      </c>
      <c r="BO24" s="67">
        <f t="shared" si="131"/>
        <v>12653777.422852881</v>
      </c>
      <c r="BP24" s="67">
        <f t="shared" si="131"/>
        <v>18195783.303687148</v>
      </c>
      <c r="BQ24" s="67">
        <f t="shared" si="131"/>
        <v>26474086.139611069</v>
      </c>
      <c r="BR24" s="67">
        <f t="shared" si="131"/>
        <v>51548362.757315531</v>
      </c>
      <c r="BS24" s="67">
        <f t="shared" si="131"/>
        <v>42422722.148700215</v>
      </c>
      <c r="BT24" s="67">
        <f t="shared" si="131"/>
        <v>25804182.850372098</v>
      </c>
      <c r="BU24" s="67">
        <f t="shared" si="131"/>
        <v>17033088.772994682</v>
      </c>
      <c r="BV24" s="67">
        <f t="shared" si="131"/>
        <v>30375821.000000097</v>
      </c>
      <c r="BW24" s="67">
        <f t="shared" si="131"/>
        <v>27205744.049498737</v>
      </c>
      <c r="BX24" s="67">
        <f t="shared" si="131"/>
        <v>22089421.825110734</v>
      </c>
      <c r="BY24" s="67">
        <f t="shared" si="131"/>
        <v>10095551.226851517</v>
      </c>
      <c r="BZ24" s="67">
        <f t="shared" si="131"/>
        <v>21168231.566800456</v>
      </c>
      <c r="CA24" s="67">
        <f t="shared" si="131"/>
        <v>29169842.195570044</v>
      </c>
      <c r="CB24" s="67">
        <f t="shared" si="131"/>
        <v>35714965.815388098</v>
      </c>
      <c r="CC24" s="67">
        <f t="shared" si="131"/>
        <v>24802596.833961718</v>
      </c>
      <c r="CD24" s="67">
        <f t="shared" si="131"/>
        <v>15413652.946655361</v>
      </c>
      <c r="CE24" s="67">
        <f t="shared" si="131"/>
        <v>35807056.63207069</v>
      </c>
      <c r="CF24" s="67">
        <f t="shared" si="131"/>
        <v>54962768.11164473</v>
      </c>
      <c r="CG24" s="67">
        <f t="shared" si="131"/>
        <v>35119165.03763631</v>
      </c>
      <c r="CH24" s="67">
        <f t="shared" si="131"/>
        <v>70594330.832743704</v>
      </c>
      <c r="CI24" s="67">
        <f t="shared" si="131"/>
        <v>57828645.049960442</v>
      </c>
      <c r="CJ24" s="67">
        <f t="shared" si="131"/>
        <v>55110247.502035014</v>
      </c>
      <c r="CK24" s="67">
        <f t="shared" si="131"/>
        <v>25788276.471005041</v>
      </c>
      <c r="CL24" s="67">
        <f t="shared" si="131"/>
        <v>29315925.530000005</v>
      </c>
      <c r="CM24" s="67">
        <f t="shared" si="131"/>
        <v>19298181.899999995</v>
      </c>
      <c r="CN24" s="67">
        <f t="shared" si="131"/>
        <v>16653654.159999996</v>
      </c>
      <c r="CO24" s="67">
        <f t="shared" si="131"/>
        <v>22594660.739999995</v>
      </c>
      <c r="CP24" s="67">
        <f t="shared" si="131"/>
        <v>41518316.389999971</v>
      </c>
      <c r="CQ24" s="67">
        <f t="shared" si="131"/>
        <v>72571876.689999953</v>
      </c>
      <c r="CR24" s="67">
        <f t="shared" si="131"/>
        <v>54731450.340000026</v>
      </c>
      <c r="CS24" s="67">
        <f t="shared" si="131"/>
        <v>38402609.600000039</v>
      </c>
      <c r="CT24" s="67">
        <f t="shared" si="131"/>
        <v>26061589.079999749</v>
      </c>
      <c r="CU24" s="67">
        <f t="shared" si="131"/>
        <v>26682948.356375318</v>
      </c>
      <c r="CV24" s="67">
        <f t="shared" si="131"/>
        <v>27671169.641078286</v>
      </c>
      <c r="CW24" s="67">
        <f t="shared" si="131"/>
        <v>26506618.206870936</v>
      </c>
      <c r="CX24" s="67">
        <f t="shared" si="131"/>
        <v>26447976.436505891</v>
      </c>
      <c r="CY24" s="67">
        <f t="shared" si="131"/>
        <v>24692103.664932966</v>
      </c>
      <c r="CZ24" s="67">
        <f t="shared" si="131"/>
        <v>21439989.175378423</v>
      </c>
      <c r="DA24" s="67">
        <f t="shared" si="131"/>
        <v>25195469.577165771</v>
      </c>
      <c r="DB24" s="67">
        <f t="shared" si="131"/>
        <v>30914931.346417751</v>
      </c>
      <c r="DC24" s="67">
        <f t="shared" si="131"/>
        <v>34426195.540554613</v>
      </c>
      <c r="DD24" s="67">
        <f t="shared" si="131"/>
        <v>32435980.69880797</v>
      </c>
      <c r="DE24" s="67">
        <f t="shared" si="131"/>
        <v>31701398.799027354</v>
      </c>
      <c r="DF24" s="67">
        <f t="shared" si="131"/>
        <v>30582931.521503188</v>
      </c>
      <c r="DG24" s="67">
        <f t="shared" si="131"/>
        <v>33353685.445469141</v>
      </c>
      <c r="DH24" s="67">
        <f t="shared" si="131"/>
        <v>34588962.051347867</v>
      </c>
      <c r="DI24" s="67">
        <f t="shared" si="131"/>
        <v>33133272.758588672</v>
      </c>
      <c r="DJ24" s="67">
        <f t="shared" si="131"/>
        <v>33059970.545632355</v>
      </c>
      <c r="DK24" s="67">
        <f t="shared" si="131"/>
        <v>30865129.581166208</v>
      </c>
      <c r="DL24" s="67">
        <f t="shared" si="131"/>
        <v>26799986.469223026</v>
      </c>
      <c r="DM24" s="67">
        <f t="shared" si="131"/>
        <v>31494336.971457213</v>
      </c>
      <c r="DN24" s="67">
        <f t="shared" ref="DN24:DR24" si="132">DN4-DN12</f>
        <v>38643664.183022194</v>
      </c>
      <c r="DO24" s="67">
        <f t="shared" si="132"/>
        <v>43032744.425693274</v>
      </c>
      <c r="DP24" s="67">
        <f t="shared" si="132"/>
        <v>40544975.873509966</v>
      </c>
      <c r="DQ24" s="67">
        <f t="shared" si="132"/>
        <v>39626748.498784192</v>
      </c>
      <c r="DR24" s="69">
        <f t="shared" si="132"/>
        <v>38228664.401878975</v>
      </c>
      <c r="DS24" s="69">
        <f t="shared" ref="DS24:ED24" si="133">DS4-DS12</f>
        <v>40024422.534562975</v>
      </c>
      <c r="DT24" s="69">
        <f t="shared" si="133"/>
        <v>41506754.461617425</v>
      </c>
      <c r="DU24" s="69">
        <f t="shared" si="133"/>
        <v>39759927.3103064</v>
      </c>
      <c r="DV24" s="69">
        <f t="shared" si="133"/>
        <v>39671964.654758818</v>
      </c>
      <c r="DW24" s="69">
        <f t="shared" si="133"/>
        <v>37038155.497399442</v>
      </c>
      <c r="DX24" s="69">
        <f t="shared" si="133"/>
        <v>32159983.763067625</v>
      </c>
      <c r="DY24" s="69">
        <f t="shared" si="133"/>
        <v>37793204.365748651</v>
      </c>
      <c r="DZ24" s="69">
        <f t="shared" si="133"/>
        <v>46372397.019626632</v>
      </c>
      <c r="EA24" s="69">
        <f t="shared" si="133"/>
        <v>51639293.310831919</v>
      </c>
      <c r="EB24" s="69">
        <f t="shared" si="133"/>
        <v>48653971.048211955</v>
      </c>
      <c r="EC24" s="69">
        <f t="shared" si="133"/>
        <v>47552098.198541023</v>
      </c>
      <c r="ED24" s="69">
        <f t="shared" si="133"/>
        <v>45874397.282254763</v>
      </c>
      <c r="EE24" s="39" t="s">
        <v>1</v>
      </c>
      <c r="EF24" s="68"/>
      <c r="EG24" s="629">
        <f t="shared" si="124"/>
        <v>103790816.80773573</v>
      </c>
      <c r="EH24" s="629">
        <f t="shared" ref="EH24:EZ24" si="134">EH4-EH12</f>
        <v>45995094.303166673</v>
      </c>
      <c r="EI24" s="629">
        <f t="shared" si="134"/>
        <v>120445171.04562682</v>
      </c>
      <c r="EJ24" s="629">
        <f t="shared" si="134"/>
        <v>73213092.623366877</v>
      </c>
      <c r="EK24" s="629">
        <f t="shared" si="134"/>
        <v>59390717.101460986</v>
      </c>
      <c r="EL24" s="629">
        <f t="shared" si="134"/>
        <v>86053039.577758595</v>
      </c>
      <c r="EM24" s="629">
        <f t="shared" si="134"/>
        <v>76023306.412687764</v>
      </c>
      <c r="EN24" s="629">
        <f t="shared" si="134"/>
        <v>160676263.98202473</v>
      </c>
      <c r="EO24" s="629">
        <f t="shared" si="134"/>
        <v>138727169.02300051</v>
      </c>
      <c r="EP24" s="629">
        <f t="shared" si="134"/>
        <v>65267761.589999996</v>
      </c>
      <c r="EQ24" s="629">
        <f t="shared" si="134"/>
        <v>136684853.8199999</v>
      </c>
      <c r="ER24" s="629">
        <f t="shared" si="134"/>
        <v>119195649.01999982</v>
      </c>
      <c r="ES24" s="629">
        <f t="shared" si="134"/>
        <v>80860736.204324543</v>
      </c>
      <c r="ET24" s="629">
        <f t="shared" si="134"/>
        <v>72580069.276817292</v>
      </c>
      <c r="EU24" s="629">
        <f t="shared" si="134"/>
        <v>90536596.464138135</v>
      </c>
      <c r="EV24" s="629">
        <f t="shared" si="134"/>
        <v>94720311.019338518</v>
      </c>
      <c r="EW24" s="629">
        <f t="shared" si="134"/>
        <v>101075920.25540566</v>
      </c>
      <c r="EX24" s="629">
        <f t="shared" si="134"/>
        <v>90725086.596021593</v>
      </c>
      <c r="EY24" s="629">
        <f t="shared" si="134"/>
        <v>113170745.58017267</v>
      </c>
      <c r="EZ24" s="629">
        <f t="shared" si="134"/>
        <v>118400388.77417314</v>
      </c>
      <c r="FA24" s="629">
        <f t="shared" ref="FA24:FD24" si="135">FA4-FA12</f>
        <v>121291104.3064868</v>
      </c>
      <c r="FB24" s="629">
        <f t="shared" si="135"/>
        <v>108870103.91522588</v>
      </c>
      <c r="FC24" s="629">
        <f t="shared" si="135"/>
        <v>135804894.69620717</v>
      </c>
      <c r="FD24" s="629">
        <f t="shared" si="135"/>
        <v>142080466.52900773</v>
      </c>
      <c r="FG24" s="70">
        <f t="shared" ref="FG24" si="136">FG4-FG12</f>
        <v>382143327.07393211</v>
      </c>
      <c r="FH24" s="67">
        <f t="shared" ref="FH24:FJ24" si="137">FH4-FH12</f>
        <v>459875433.45300019</v>
      </c>
      <c r="FI24" s="67">
        <f t="shared" si="137"/>
        <v>338697712.9646185</v>
      </c>
      <c r="FJ24" s="69">
        <f t="shared" si="137"/>
        <v>423372141.20577306</v>
      </c>
      <c r="FK24" s="69">
        <f t="shared" ref="FK24" si="138">FK4-FK12</f>
        <v>508046569.44692761</v>
      </c>
    </row>
    <row r="25" spans="1:167" x14ac:dyDescent="0.2">
      <c r="B25" s="48" t="s">
        <v>4</v>
      </c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8"/>
      <c r="AD25" s="67"/>
      <c r="AE25" s="67"/>
      <c r="AF25" s="67"/>
      <c r="AG25" s="67"/>
      <c r="AH25" s="67"/>
      <c r="AI25" s="67"/>
      <c r="AJ25" s="67"/>
      <c r="AK25" s="68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>
        <f>BA5-BA13</f>
        <v>196403500.39288431</v>
      </c>
      <c r="BB25" s="67">
        <f t="shared" ref="BB25:DM25" si="139">BB5-BB13</f>
        <v>232997868.0485023</v>
      </c>
      <c r="BC25" s="67">
        <f t="shared" si="139"/>
        <v>251729594.95256248</v>
      </c>
      <c r="BD25" s="67">
        <f t="shared" si="139"/>
        <v>210678574.60762662</v>
      </c>
      <c r="BE25" s="67">
        <f t="shared" si="139"/>
        <v>279553503.11513549</v>
      </c>
      <c r="BF25" s="67">
        <f t="shared" si="139"/>
        <v>290928171.84939522</v>
      </c>
      <c r="BG25" s="67">
        <f t="shared" si="139"/>
        <v>376038263.96381599</v>
      </c>
      <c r="BH25" s="67">
        <f t="shared" si="139"/>
        <v>360175116.73637253</v>
      </c>
      <c r="BI25" s="67">
        <f t="shared" si="139"/>
        <v>320724384.04194218</v>
      </c>
      <c r="BJ25" s="67">
        <f t="shared" si="139"/>
        <v>357358615.25277019</v>
      </c>
      <c r="BK25" s="67">
        <f t="shared" si="139"/>
        <v>349880349.05883968</v>
      </c>
      <c r="BL25" s="67">
        <f t="shared" si="139"/>
        <v>363015860.82317907</v>
      </c>
      <c r="BM25" s="67">
        <f t="shared" si="139"/>
        <v>267461740.07552832</v>
      </c>
      <c r="BN25" s="67">
        <f t="shared" si="139"/>
        <v>268542259.19962823</v>
      </c>
      <c r="BO25" s="67">
        <f t="shared" si="139"/>
        <v>288026126.80107123</v>
      </c>
      <c r="BP25" s="67">
        <f t="shared" si="139"/>
        <v>271387052.21614808</v>
      </c>
      <c r="BQ25" s="67">
        <f t="shared" si="139"/>
        <v>245756232.57024401</v>
      </c>
      <c r="BR25" s="67">
        <f t="shared" si="139"/>
        <v>282890880.33324772</v>
      </c>
      <c r="BS25" s="67">
        <f t="shared" si="139"/>
        <v>258718941.34343457</v>
      </c>
      <c r="BT25" s="67">
        <f t="shared" si="139"/>
        <v>245482491.83852404</v>
      </c>
      <c r="BU25" s="67">
        <f t="shared" si="139"/>
        <v>268354171.95359325</v>
      </c>
      <c r="BV25" s="67">
        <f t="shared" si="139"/>
        <v>265123783.70715302</v>
      </c>
      <c r="BW25" s="67">
        <f t="shared" si="139"/>
        <v>279605221.34012192</v>
      </c>
      <c r="BX25" s="67">
        <f t="shared" si="139"/>
        <v>295544814.37055737</v>
      </c>
      <c r="BY25" s="67">
        <f t="shared" si="139"/>
        <v>292573915.56158864</v>
      </c>
      <c r="BZ25" s="67">
        <f t="shared" si="139"/>
        <v>264947002.84254116</v>
      </c>
      <c r="CA25" s="67">
        <f t="shared" si="139"/>
        <v>246947915.88599756</v>
      </c>
      <c r="CB25" s="67">
        <f t="shared" si="139"/>
        <v>206542277.43666604</v>
      </c>
      <c r="CC25" s="67">
        <f t="shared" si="139"/>
        <v>265448721.0328781</v>
      </c>
      <c r="CD25" s="67">
        <f t="shared" si="139"/>
        <v>281485621.42823219</v>
      </c>
      <c r="CE25" s="67">
        <f t="shared" si="139"/>
        <v>299950900.95791817</v>
      </c>
      <c r="CF25" s="67">
        <f t="shared" si="139"/>
        <v>330217104.84529644</v>
      </c>
      <c r="CG25" s="67">
        <f t="shared" si="139"/>
        <v>410823360.26438791</v>
      </c>
      <c r="CH25" s="67">
        <f t="shared" si="139"/>
        <v>483198924.88509613</v>
      </c>
      <c r="CI25" s="67">
        <f t="shared" si="139"/>
        <v>412240466.52041864</v>
      </c>
      <c r="CJ25" s="67">
        <f t="shared" si="139"/>
        <v>411298526.38080376</v>
      </c>
      <c r="CK25" s="67">
        <f t="shared" si="139"/>
        <v>434570351.38214719</v>
      </c>
      <c r="CL25" s="67">
        <f t="shared" si="139"/>
        <v>431838487.82000005</v>
      </c>
      <c r="CM25" s="67">
        <f t="shared" si="139"/>
        <v>369389620.85999918</v>
      </c>
      <c r="CN25" s="67">
        <f t="shared" si="139"/>
        <v>319399269.76999962</v>
      </c>
      <c r="CO25" s="67">
        <f t="shared" si="139"/>
        <v>412955897.78000045</v>
      </c>
      <c r="CP25" s="67">
        <f t="shared" si="139"/>
        <v>481324249.25</v>
      </c>
      <c r="CQ25" s="67">
        <f t="shared" si="139"/>
        <v>560798387.68999982</v>
      </c>
      <c r="CR25" s="67">
        <f t="shared" si="139"/>
        <v>626710746.53000069</v>
      </c>
      <c r="CS25" s="67">
        <f t="shared" si="139"/>
        <v>583722970.15000045</v>
      </c>
      <c r="CT25" s="67">
        <f t="shared" si="139"/>
        <v>578901267.24999988</v>
      </c>
      <c r="CU25" s="67">
        <f t="shared" si="139"/>
        <v>599694298.86419964</v>
      </c>
      <c r="CV25" s="67">
        <f t="shared" si="139"/>
        <v>621571170.67063391</v>
      </c>
      <c r="CW25" s="67">
        <f t="shared" si="139"/>
        <v>583400966.11355305</v>
      </c>
      <c r="CX25" s="67">
        <f t="shared" si="139"/>
        <v>583983306.44747317</v>
      </c>
      <c r="CY25" s="67">
        <f t="shared" si="139"/>
        <v>542883326.58347476</v>
      </c>
      <c r="CZ25" s="67">
        <f t="shared" si="139"/>
        <v>473509932.15359509</v>
      </c>
      <c r="DA25" s="67">
        <f t="shared" si="139"/>
        <v>553841159.64735639</v>
      </c>
      <c r="DB25" s="67">
        <f t="shared" si="139"/>
        <v>686147379.68189788</v>
      </c>
      <c r="DC25" s="67">
        <f t="shared" si="139"/>
        <v>764584130.44789565</v>
      </c>
      <c r="DD25" s="67">
        <f t="shared" si="139"/>
        <v>715279490.01651597</v>
      </c>
      <c r="DE25" s="67">
        <f t="shared" si="139"/>
        <v>697477089.13337576</v>
      </c>
      <c r="DF25" s="67">
        <f t="shared" si="139"/>
        <v>670548310.47880578</v>
      </c>
      <c r="DG25" s="67">
        <f t="shared" si="139"/>
        <v>749617873.58024931</v>
      </c>
      <c r="DH25" s="67">
        <f t="shared" si="139"/>
        <v>776963963.33829236</v>
      </c>
      <c r="DI25" s="67">
        <f t="shared" si="139"/>
        <v>729251207.64194107</v>
      </c>
      <c r="DJ25" s="67">
        <f t="shared" si="139"/>
        <v>729979133.05934119</v>
      </c>
      <c r="DK25" s="67">
        <f t="shared" si="139"/>
        <v>678604158.22934318</v>
      </c>
      <c r="DL25" s="67">
        <f t="shared" si="139"/>
        <v>591887415.19199359</v>
      </c>
      <c r="DM25" s="67">
        <f t="shared" si="139"/>
        <v>692301449.55919516</v>
      </c>
      <c r="DN25" s="67">
        <f t="shared" ref="DN25:DR25" si="140">DN5-DN13</f>
        <v>857684224.60237217</v>
      </c>
      <c r="DO25" s="67">
        <f t="shared" si="140"/>
        <v>955730163.05986929</v>
      </c>
      <c r="DP25" s="67">
        <f t="shared" si="140"/>
        <v>894099362.52064478</v>
      </c>
      <c r="DQ25" s="67">
        <f t="shared" si="140"/>
        <v>871846361.41671956</v>
      </c>
      <c r="DR25" s="69">
        <f t="shared" si="140"/>
        <v>838185388.09850717</v>
      </c>
      <c r="DS25" s="69">
        <f t="shared" ref="DS25:ED25" si="141">DS5-DS13</f>
        <v>899541448.29629934</v>
      </c>
      <c r="DT25" s="69">
        <f t="shared" si="141"/>
        <v>932356756.00595057</v>
      </c>
      <c r="DU25" s="69">
        <f t="shared" si="141"/>
        <v>875101449.17032921</v>
      </c>
      <c r="DV25" s="69">
        <f t="shared" si="141"/>
        <v>875974959.67120934</v>
      </c>
      <c r="DW25" s="69">
        <f t="shared" si="141"/>
        <v>814324989.87521172</v>
      </c>
      <c r="DX25" s="69">
        <f t="shared" si="141"/>
        <v>710264898.23039234</v>
      </c>
      <c r="DY25" s="69">
        <f t="shared" si="141"/>
        <v>830761739.47103417</v>
      </c>
      <c r="DZ25" s="69">
        <f t="shared" si="141"/>
        <v>1029221069.5228468</v>
      </c>
      <c r="EA25" s="69">
        <f t="shared" si="141"/>
        <v>1146876195.6718433</v>
      </c>
      <c r="EB25" s="69">
        <f t="shared" si="141"/>
        <v>1072919235.024774</v>
      </c>
      <c r="EC25" s="69">
        <f t="shared" si="141"/>
        <v>1046215633.7000635</v>
      </c>
      <c r="ED25" s="69">
        <f t="shared" si="141"/>
        <v>1005822465.7182084</v>
      </c>
      <c r="EE25" s="39" t="s">
        <v>1</v>
      </c>
      <c r="EF25" s="68"/>
      <c r="EG25" s="629">
        <f t="shared" si="124"/>
        <v>980357949.95754719</v>
      </c>
      <c r="EH25" s="629">
        <f t="shared" ref="EH25:EZ25" si="142">EH5-EH13</f>
        <v>827955438.21684766</v>
      </c>
      <c r="EI25" s="629">
        <f t="shared" si="142"/>
        <v>787366054.24692631</v>
      </c>
      <c r="EJ25" s="629">
        <f t="shared" si="142"/>
        <v>778960447.4992702</v>
      </c>
      <c r="EK25" s="629">
        <f t="shared" si="142"/>
        <v>867723951.27226794</v>
      </c>
      <c r="EL25" s="629">
        <f t="shared" si="142"/>
        <v>718437196.16520476</v>
      </c>
      <c r="EM25" s="629">
        <f t="shared" si="142"/>
        <v>846885243.4190284</v>
      </c>
      <c r="EN25" s="629">
        <f t="shared" si="142"/>
        <v>1224239389.9947805</v>
      </c>
      <c r="EO25" s="629">
        <f t="shared" si="142"/>
        <v>1258109344.2833698</v>
      </c>
      <c r="EP25" s="629">
        <f t="shared" si="142"/>
        <v>1120627378.4499989</v>
      </c>
      <c r="EQ25" s="629">
        <f t="shared" si="142"/>
        <v>1455078534.7200003</v>
      </c>
      <c r="ER25" s="629">
        <f t="shared" si="142"/>
        <v>1789334983.9300008</v>
      </c>
      <c r="ES25" s="629">
        <f t="shared" si="142"/>
        <v>1804666435.6483867</v>
      </c>
      <c r="ET25" s="629">
        <f t="shared" si="142"/>
        <v>1600376565.1845429</v>
      </c>
      <c r="EU25" s="629">
        <f t="shared" si="142"/>
        <v>2004572669.7771497</v>
      </c>
      <c r="EV25" s="629">
        <f t="shared" si="142"/>
        <v>2083304889.6286972</v>
      </c>
      <c r="EW25" s="629">
        <f t="shared" si="142"/>
        <v>2255833044.560483</v>
      </c>
      <c r="EX25" s="629">
        <f t="shared" si="142"/>
        <v>2000470706.4806776</v>
      </c>
      <c r="EY25" s="629">
        <f t="shared" si="142"/>
        <v>2505715837.2214365</v>
      </c>
      <c r="EZ25" s="629">
        <f t="shared" si="142"/>
        <v>2604131112.0358715</v>
      </c>
      <c r="FA25" s="629">
        <f t="shared" ref="FA25:FD25" si="143">FA5-FA13</f>
        <v>2706999653.4725795</v>
      </c>
      <c r="FB25" s="629">
        <f t="shared" si="143"/>
        <v>2400564847.7768135</v>
      </c>
      <c r="FC25" s="629">
        <f t="shared" si="143"/>
        <v>3006859004.6657243</v>
      </c>
      <c r="FD25" s="629">
        <f t="shared" si="143"/>
        <v>3124957334.4430461</v>
      </c>
      <c r="FG25" s="70">
        <f t="shared" ref="FG25" si="144">FG5-FG13</f>
        <v>3657285780.8512816</v>
      </c>
      <c r="FH25" s="67">
        <f t="shared" ref="FH25:FJ25" si="145">FH5-FH13</f>
        <v>5623150241.3833694</v>
      </c>
      <c r="FI25" s="67">
        <f t="shared" si="145"/>
        <v>7492920560.2387753</v>
      </c>
      <c r="FJ25" s="69">
        <f t="shared" si="145"/>
        <v>9366150700.2984695</v>
      </c>
      <c r="FK25" s="69">
        <f t="shared" ref="FK25" si="146">FK5-FK13</f>
        <v>11239380840.358164</v>
      </c>
    </row>
    <row r="26" spans="1:167" x14ac:dyDescent="0.2">
      <c r="B26" s="49"/>
      <c r="C26" s="66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8"/>
      <c r="AD26" s="67"/>
      <c r="AE26" s="67"/>
      <c r="AF26" s="67"/>
      <c r="AG26" s="67"/>
      <c r="AH26" s="67"/>
      <c r="AI26" s="67"/>
      <c r="AJ26" s="67"/>
      <c r="AK26" s="68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6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  <c r="DD26" s="67"/>
      <c r="DE26" s="67"/>
      <c r="DF26" s="67"/>
      <c r="DG26" s="67"/>
      <c r="DH26" s="67"/>
      <c r="DI26" s="67"/>
      <c r="DJ26" s="67"/>
      <c r="DK26" s="67"/>
      <c r="DL26" s="67"/>
      <c r="DM26" s="67"/>
      <c r="DN26" s="67"/>
      <c r="DO26" s="67"/>
      <c r="DP26" s="67"/>
      <c r="DQ26" s="67"/>
      <c r="DR26" s="69"/>
      <c r="DS26" s="69"/>
      <c r="DT26" s="69"/>
      <c r="DU26" s="69"/>
      <c r="DV26" s="69"/>
      <c r="DW26" s="69"/>
      <c r="DX26" s="69"/>
      <c r="DY26" s="69"/>
      <c r="DZ26" s="69"/>
      <c r="EA26" s="69"/>
      <c r="EB26" s="69"/>
      <c r="EC26" s="69"/>
      <c r="ED26" s="69"/>
      <c r="EE26" s="39" t="s">
        <v>1</v>
      </c>
      <c r="EF26" s="68"/>
      <c r="EG26" s="629"/>
      <c r="EH26" s="629"/>
      <c r="EI26" s="629"/>
      <c r="EJ26" s="629"/>
      <c r="EK26" s="629"/>
      <c r="EL26" s="629"/>
      <c r="EM26" s="629"/>
      <c r="EN26" s="629"/>
      <c r="EO26" s="629"/>
      <c r="EP26" s="629"/>
      <c r="EQ26" s="629"/>
      <c r="ER26" s="629"/>
      <c r="ES26" s="629"/>
      <c r="ET26" s="629"/>
      <c r="EU26" s="629"/>
      <c r="EV26" s="629"/>
      <c r="EW26" s="629"/>
      <c r="EX26" s="629"/>
      <c r="EY26" s="629"/>
      <c r="EZ26" s="629"/>
      <c r="FA26" s="629"/>
      <c r="FB26" s="629"/>
      <c r="FC26" s="629"/>
      <c r="FD26" s="629"/>
      <c r="FG26" s="70"/>
      <c r="FH26" s="67"/>
      <c r="FI26" s="67"/>
      <c r="FJ26" s="69"/>
      <c r="FK26" s="619"/>
    </row>
    <row r="27" spans="1:167" ht="15.75" customHeight="1" x14ac:dyDescent="0.2">
      <c r="B27" s="49" t="s">
        <v>11</v>
      </c>
      <c r="C27" s="71">
        <f>'P&amp;L - Inputs'!B42</f>
        <v>1571885</v>
      </c>
      <c r="D27" s="72">
        <f>'P&amp;L - Inputs'!C42</f>
        <v>1933225.857142857</v>
      </c>
      <c r="E27" s="72">
        <f>'P&amp;L - Inputs'!D42</f>
        <v>2144810.8091856497</v>
      </c>
      <c r="F27" s="72">
        <f>'P&amp;L - Inputs'!E42</f>
        <v>2670744.5190276657</v>
      </c>
      <c r="G27" s="72">
        <f>'P&amp;L - Inputs'!F42</f>
        <v>3520739.1602093042</v>
      </c>
      <c r="H27" s="72">
        <f>'P&amp;L - Inputs'!G42</f>
        <v>3375803</v>
      </c>
      <c r="I27" s="72">
        <f>'P&amp;L - Inputs'!H42</f>
        <v>2640496</v>
      </c>
      <c r="J27" s="72">
        <f>'P&amp;L - Inputs'!I42</f>
        <v>3233060</v>
      </c>
      <c r="K27" s="72">
        <f>'P&amp;L - Inputs'!J42</f>
        <v>3701309</v>
      </c>
      <c r="L27" s="72">
        <f>'P&amp;L - Inputs'!K42</f>
        <v>2919247</v>
      </c>
      <c r="M27" s="72">
        <f>'P&amp;L - Inputs'!L42</f>
        <v>2007686</v>
      </c>
      <c r="N27" s="72">
        <f>'P&amp;L - Inputs'!M42</f>
        <v>2008229</v>
      </c>
      <c r="O27" s="72">
        <f>'P&amp;L - Inputs'!N42</f>
        <v>2074638.8850263832</v>
      </c>
      <c r="P27" s="72">
        <f>'P&amp;L - Inputs'!O42</f>
        <v>2149446.9775985675</v>
      </c>
      <c r="Q27" s="72">
        <f>'P&amp;L - Inputs'!P42</f>
        <v>2794451.4107142859</v>
      </c>
      <c r="R27" s="72">
        <f>'P&amp;L - Inputs'!Q42</f>
        <v>3291671.1060011913</v>
      </c>
      <c r="S27" s="72">
        <f>'P&amp;L - Inputs'!R42</f>
        <v>3107952.9509351938</v>
      </c>
      <c r="T27" s="72">
        <f>'P&amp;L - Inputs'!S42</f>
        <v>2375814.5848805555</v>
      </c>
      <c r="U27" s="72">
        <f>'P&amp;L - Inputs'!T42</f>
        <v>2358981.5742656877</v>
      </c>
      <c r="V27" s="72">
        <f>'P&amp;L - Inputs'!U42</f>
        <v>2789918.7972108242</v>
      </c>
      <c r="W27" s="72">
        <f>'P&amp;L - Inputs'!V42</f>
        <v>2858485.1095155482</v>
      </c>
      <c r="X27" s="72">
        <f>'P&amp;L - Inputs'!W42</f>
        <v>2908758.4798988895</v>
      </c>
      <c r="Y27" s="72">
        <f>'P&amp;L - Inputs'!X42</f>
        <v>3984937.7029611464</v>
      </c>
      <c r="Z27" s="72">
        <f>'P&amp;L - Inputs'!Y42</f>
        <v>2321371.5514285713</v>
      </c>
      <c r="AA27" s="72">
        <f>'P&amp;L - Inputs'!Z42</f>
        <v>-1030.5642857142857</v>
      </c>
      <c r="AB27" s="72">
        <f>'P&amp;L - Inputs'!AA42</f>
        <v>3900614</v>
      </c>
      <c r="AC27" s="64">
        <f>'P&amp;L - Inputs'!AB42</f>
        <v>3270039.6696492299</v>
      </c>
      <c r="AD27" s="72">
        <f>'P&amp;L - Inputs'!AC42</f>
        <v>2663850.7524969731</v>
      </c>
      <c r="AE27" s="72">
        <f>'P&amp;L - Inputs'!AD42</f>
        <v>4690032.1283731069</v>
      </c>
      <c r="AF27" s="72">
        <f>'P&amp;L - Inputs'!AE42</f>
        <v>4140394.5922888326</v>
      </c>
      <c r="AG27" s="72">
        <f>'P&amp;L - Inputs'!AF42</f>
        <v>3479215.8310084632</v>
      </c>
      <c r="AH27" s="72">
        <f>'P&amp;L - Inputs'!AG42</f>
        <v>4885138.599654723</v>
      </c>
      <c r="AI27" s="72">
        <f>'P&amp;L - Inputs'!AH42</f>
        <v>5677808.8600000003</v>
      </c>
      <c r="AJ27" s="72">
        <f>'P&amp;L - Inputs'!AI42</f>
        <v>4311081.9400000004</v>
      </c>
      <c r="AK27" s="64">
        <f>'P&amp;L - Inputs'!AJ42</f>
        <v>5245946.8049999997</v>
      </c>
      <c r="AL27" s="72">
        <f>'P&amp;L - Inputs'!AK42</f>
        <v>3879587.5550000002</v>
      </c>
      <c r="AM27" s="72">
        <f>'P&amp;L - Inputs'!AL42</f>
        <v>2963721.9840000002</v>
      </c>
      <c r="AN27" s="72">
        <f>'P&amp;L - Inputs'!AM42</f>
        <v>2025289</v>
      </c>
      <c r="AO27" s="72">
        <f>'P&amp;L - Inputs'!AN42</f>
        <v>4833429.6950000003</v>
      </c>
      <c r="AP27" s="72">
        <f>'P&amp;L - Inputs'!AO42</f>
        <v>6484924.1200000001</v>
      </c>
      <c r="AQ27" s="72">
        <f>'P&amp;L - Inputs'!AP42</f>
        <v>6968696.4699999997</v>
      </c>
      <c r="AR27" s="72">
        <f>'P&amp;L - Inputs'!AQ42</f>
        <v>6104232</v>
      </c>
      <c r="AS27" s="72">
        <f>'P&amp;L - Inputs'!AR42</f>
        <v>5760470</v>
      </c>
      <c r="AT27" s="72">
        <f>'P&amp;L - Inputs'!AS42</f>
        <v>4515277</v>
      </c>
      <c r="AU27" s="72">
        <f>'P&amp;L - Inputs'!AT42</f>
        <v>5958902.2499999898</v>
      </c>
      <c r="AV27" s="72">
        <f>'P&amp;L - Inputs'!AU42</f>
        <v>5855167</v>
      </c>
      <c r="AW27" s="72">
        <f>'P&amp;L - Inputs'!AV42</f>
        <v>5581986</v>
      </c>
      <c r="AX27" s="72">
        <f>'P&amp;L - Inputs'!AW42</f>
        <v>5571264.4000000004</v>
      </c>
      <c r="AY27" s="72">
        <f>'P&amp;L - Inputs'!AX42</f>
        <v>4708314</v>
      </c>
      <c r="AZ27" s="72">
        <f>'P&amp;L - Inputs'!AY42</f>
        <v>6279353</v>
      </c>
      <c r="BA27" s="72">
        <v>4093538</v>
      </c>
      <c r="BB27" s="72">
        <f t="shared" ref="BB27:ER27" si="147">SUM(BB28:BB29)</f>
        <v>5519187.2144797016</v>
      </c>
      <c r="BC27" s="72">
        <f t="shared" si="147"/>
        <v>5516764.610474729</v>
      </c>
      <c r="BD27" s="72">
        <f t="shared" si="147"/>
        <v>4791404.7020451846</v>
      </c>
      <c r="BE27" s="72">
        <f t="shared" si="147"/>
        <v>6953816.5711733215</v>
      </c>
      <c r="BF27" s="72">
        <f t="shared" si="147"/>
        <v>7179089.4394325111</v>
      </c>
      <c r="BG27" s="72">
        <f t="shared" si="147"/>
        <v>10406552.007967513</v>
      </c>
      <c r="BH27" s="72">
        <f t="shared" si="147"/>
        <v>9057356.0492312312</v>
      </c>
      <c r="BI27" s="72">
        <f t="shared" si="147"/>
        <v>7253164.0957235033</v>
      </c>
      <c r="BJ27" s="71">
        <f t="shared" si="147"/>
        <v>8383170.7145901695</v>
      </c>
      <c r="BK27" s="72">
        <f t="shared" si="147"/>
        <v>8838599.247797424</v>
      </c>
      <c r="BL27" s="72">
        <f t="shared" si="147"/>
        <v>7354907.1775600836</v>
      </c>
      <c r="BM27" s="72">
        <f t="shared" si="147"/>
        <v>7161410.1133693503</v>
      </c>
      <c r="BN27" s="72">
        <f t="shared" si="147"/>
        <v>7953510.7387108337</v>
      </c>
      <c r="BO27" s="72">
        <f t="shared" si="147"/>
        <v>8283598.2274204753</v>
      </c>
      <c r="BP27" s="72">
        <f t="shared" si="147"/>
        <v>6200463.1806926541</v>
      </c>
      <c r="BQ27" s="72">
        <f t="shared" si="147"/>
        <v>6613959.9047642378</v>
      </c>
      <c r="BR27" s="72">
        <f t="shared" si="147"/>
        <v>7409178.8331753649</v>
      </c>
      <c r="BS27" s="72">
        <f t="shared" si="147"/>
        <v>5750049.2147189975</v>
      </c>
      <c r="BT27" s="72">
        <f t="shared" si="147"/>
        <v>5686690.9617407536</v>
      </c>
      <c r="BU27" s="72">
        <f t="shared" si="147"/>
        <v>7669766.1773037827</v>
      </c>
      <c r="BV27" s="72">
        <f t="shared" si="147"/>
        <v>8024179.4618596323</v>
      </c>
      <c r="BW27" s="72">
        <f t="shared" si="147"/>
        <v>8517831.6084843203</v>
      </c>
      <c r="BX27" s="72">
        <f t="shared" si="147"/>
        <v>8837156.0655760728</v>
      </c>
      <c r="BY27" s="72">
        <f t="shared" si="147"/>
        <v>8182294.8197127413</v>
      </c>
      <c r="BZ27" s="72">
        <f t="shared" si="147"/>
        <v>7523018.0914777583</v>
      </c>
      <c r="CA27" s="72">
        <f t="shared" si="147"/>
        <v>6510651.5996009111</v>
      </c>
      <c r="CB27" s="72">
        <f t="shared" si="147"/>
        <v>5286889.366321329</v>
      </c>
      <c r="CC27" s="72">
        <f t="shared" si="147"/>
        <v>7450617.4753430719</v>
      </c>
      <c r="CD27" s="72">
        <f t="shared" si="147"/>
        <v>8512066.8890635725</v>
      </c>
      <c r="CE27" s="72">
        <f t="shared" si="147"/>
        <v>7587145.9876836576</v>
      </c>
      <c r="CF27" s="72">
        <f t="shared" si="147"/>
        <v>8969730.0832711998</v>
      </c>
      <c r="CG27" s="72">
        <f t="shared" si="147"/>
        <v>11444978.070268853</v>
      </c>
      <c r="CH27" s="72">
        <f t="shared" si="147"/>
        <v>11677359.036198275</v>
      </c>
      <c r="CI27" s="72">
        <f t="shared" si="147"/>
        <v>10991167.98380474</v>
      </c>
      <c r="CJ27" s="72">
        <f t="shared" si="147"/>
        <v>14119814.18267357</v>
      </c>
      <c r="CK27" s="72">
        <f t="shared" si="147"/>
        <v>16502040.907416202</v>
      </c>
      <c r="CL27" s="72">
        <f t="shared" si="147"/>
        <v>13088210.209999999</v>
      </c>
      <c r="CM27" s="72">
        <f t="shared" si="147"/>
        <v>11861183.11999991</v>
      </c>
      <c r="CN27" s="72">
        <f t="shared" si="147"/>
        <v>11572655.169999989</v>
      </c>
      <c r="CO27" s="72">
        <f t="shared" si="147"/>
        <v>14095181.049999975</v>
      </c>
      <c r="CP27" s="72">
        <f t="shared" si="147"/>
        <v>15819389.059999999</v>
      </c>
      <c r="CQ27" s="72">
        <f t="shared" si="147"/>
        <v>18329819.949999966</v>
      </c>
      <c r="CR27" s="72">
        <f t="shared" si="147"/>
        <v>21185581.019999892</v>
      </c>
      <c r="CS27" s="72">
        <f t="shared" si="147"/>
        <v>21438490.849999983</v>
      </c>
      <c r="CT27" s="72">
        <f t="shared" si="147"/>
        <v>21307950.059999969</v>
      </c>
      <c r="CU27" s="72">
        <f t="shared" si="147"/>
        <v>22069034.586785167</v>
      </c>
      <c r="CV27" s="72">
        <f t="shared" si="147"/>
        <v>22874314.361866917</v>
      </c>
      <c r="CW27" s="72">
        <f t="shared" si="147"/>
        <v>21476852.161835209</v>
      </c>
      <c r="CX27" s="72">
        <f t="shared" si="147"/>
        <v>21497139.029926181</v>
      </c>
      <c r="CY27" s="72">
        <f t="shared" si="147"/>
        <v>19985625.406352729</v>
      </c>
      <c r="CZ27" s="72">
        <f t="shared" si="147"/>
        <v>17430414.674845722</v>
      </c>
      <c r="DA27" s="72">
        <f t="shared" si="147"/>
        <v>20389092.619133864</v>
      </c>
      <c r="DB27" s="72">
        <f t="shared" si="147"/>
        <v>25255760.196872897</v>
      </c>
      <c r="DC27" s="72">
        <f t="shared" si="147"/>
        <v>28142557.61991011</v>
      </c>
      <c r="DD27" s="72">
        <f t="shared" si="147"/>
        <v>26330876.49607145</v>
      </c>
      <c r="DE27" s="72">
        <f t="shared" si="147"/>
        <v>25676517.666257858</v>
      </c>
      <c r="DF27" s="72">
        <f t="shared" si="147"/>
        <v>24686603.860855408</v>
      </c>
      <c r="DG27" s="72">
        <f t="shared" si="147"/>
        <v>27586293.233481452</v>
      </c>
      <c r="DH27" s="72">
        <f t="shared" si="147"/>
        <v>28592892.952333644</v>
      </c>
      <c r="DI27" s="72">
        <f t="shared" si="147"/>
        <v>26846065.202294003</v>
      </c>
      <c r="DJ27" s="72">
        <f t="shared" si="147"/>
        <v>26871423.787407715</v>
      </c>
      <c r="DK27" s="72">
        <f t="shared" si="147"/>
        <v>24982031.7579409</v>
      </c>
      <c r="DL27" s="72">
        <f t="shared" si="147"/>
        <v>21788018.343557142</v>
      </c>
      <c r="DM27" s="72">
        <f t="shared" si="147"/>
        <v>25486365.773917314</v>
      </c>
      <c r="DN27" s="72">
        <f t="shared" si="147"/>
        <v>31569700.246091116</v>
      </c>
      <c r="DO27" s="72">
        <f t="shared" si="147"/>
        <v>35178197.024887621</v>
      </c>
      <c r="DP27" s="72">
        <f t="shared" si="147"/>
        <v>32913595.620089311</v>
      </c>
      <c r="DQ27" s="72">
        <f t="shared" si="147"/>
        <v>32095647.082822315</v>
      </c>
      <c r="DR27" s="73">
        <f t="shared" si="147"/>
        <v>30858254.826069258</v>
      </c>
      <c r="DS27" s="73">
        <f t="shared" ref="DS27:ED27" si="148">SUM(DS28:DS29)</f>
        <v>33103551.880177747</v>
      </c>
      <c r="DT27" s="73">
        <f t="shared" si="148"/>
        <v>34311471.542800359</v>
      </c>
      <c r="DU27" s="73">
        <f t="shared" si="148"/>
        <v>32215278.242752798</v>
      </c>
      <c r="DV27" s="73">
        <f t="shared" si="148"/>
        <v>32245708.544889253</v>
      </c>
      <c r="DW27" s="73">
        <f t="shared" si="148"/>
        <v>29978438.109529074</v>
      </c>
      <c r="DX27" s="73">
        <f t="shared" si="148"/>
        <v>26145622.012268566</v>
      </c>
      <c r="DY27" s="73">
        <f t="shared" si="148"/>
        <v>30583638.928700771</v>
      </c>
      <c r="DZ27" s="73">
        <f t="shared" si="148"/>
        <v>37883640.295309335</v>
      </c>
      <c r="EA27" s="73">
        <f t="shared" si="148"/>
        <v>42213836.429865152</v>
      </c>
      <c r="EB27" s="73">
        <f t="shared" si="148"/>
        <v>39496314.744107172</v>
      </c>
      <c r="EC27" s="73">
        <f t="shared" si="148"/>
        <v>38514776.499386773</v>
      </c>
      <c r="ED27" s="73">
        <f t="shared" si="148"/>
        <v>37029905.791283101</v>
      </c>
      <c r="EE27" s="39" t="s">
        <v>1</v>
      </c>
      <c r="EF27" s="68"/>
      <c r="EG27" s="629">
        <f t="shared" si="147"/>
        <v>23354916.538726859</v>
      </c>
      <c r="EH27" s="629">
        <f t="shared" si="147"/>
        <v>22437572.146823965</v>
      </c>
      <c r="EI27" s="629">
        <f t="shared" si="147"/>
        <v>19773187.952658601</v>
      </c>
      <c r="EJ27" s="629">
        <f t="shared" si="147"/>
        <v>21380636.60090417</v>
      </c>
      <c r="EK27" s="629">
        <f t="shared" si="147"/>
        <v>25537282.493773133</v>
      </c>
      <c r="EL27" s="629">
        <f t="shared" si="147"/>
        <v>19320559.057399996</v>
      </c>
      <c r="EM27" s="629">
        <f t="shared" si="147"/>
        <v>23549830.352090303</v>
      </c>
      <c r="EN27" s="629">
        <f t="shared" si="147"/>
        <v>32092067.189738326</v>
      </c>
      <c r="EO27" s="629">
        <f t="shared" si="147"/>
        <v>41613023.073894508</v>
      </c>
      <c r="EP27" s="629">
        <f t="shared" si="147"/>
        <v>36522048.499999896</v>
      </c>
      <c r="EQ27" s="629">
        <f t="shared" si="147"/>
        <v>48244390.059999935</v>
      </c>
      <c r="ER27" s="629">
        <f t="shared" si="147"/>
        <v>63932021.929999843</v>
      </c>
      <c r="ES27" s="629">
        <f t="shared" ref="ES27" si="149">SUM(CU27:CW27)</f>
        <v>66420201.110487297</v>
      </c>
      <c r="ET27" s="629">
        <f t="shared" ref="ET27" si="150">SUM(CX27:CZ27)</f>
        <v>58913179.111124635</v>
      </c>
      <c r="EU27" s="629">
        <f t="shared" ref="EU27" si="151">SUM(DA27:DC27)</f>
        <v>73787410.435916871</v>
      </c>
      <c r="EV27" s="629">
        <f t="shared" ref="EV27" si="152">SUM(DD27:DF27)</f>
        <v>76693998.023184717</v>
      </c>
      <c r="EW27" s="629">
        <f t="shared" ref="EW27" si="153">SUM(DG27:DI27)</f>
        <v>83025251.388109103</v>
      </c>
      <c r="EX27" s="629">
        <f t="shared" ref="EX27" si="154">SUM(DJ27:DL27)</f>
        <v>73641473.888905764</v>
      </c>
      <c r="EY27" s="629">
        <f t="shared" ref="EY27" si="155">SUM(DM27:DO27)</f>
        <v>92234263.044896051</v>
      </c>
      <c r="EZ27" s="629">
        <f t="shared" ref="EZ27" si="156">SUM(DP27:DR27)</f>
        <v>95867497.528980881</v>
      </c>
      <c r="FA27" s="629">
        <f>SUM(DS27:DU27)</f>
        <v>99630301.665730894</v>
      </c>
      <c r="FB27" s="629">
        <f t="shared" ref="FB27:FB29" si="157">SUM(DV27:DX27)</f>
        <v>88369768.666686893</v>
      </c>
      <c r="FC27" s="629">
        <f t="shared" ref="FC27:FC29" si="158">SUM(DY27:EA27)</f>
        <v>110681115.65387526</v>
      </c>
      <c r="FD27" s="629">
        <f t="shared" ref="FD27:FD29" si="159">SUM(EB27:ED27)</f>
        <v>115040997.03477705</v>
      </c>
      <c r="FG27" s="70">
        <f t="shared" ref="FG27" si="160">SUM(FG28:FG29)</f>
        <v>100499739.09300177</v>
      </c>
      <c r="FH27" s="67">
        <f>SUM(EO27:ER27)</f>
        <v>190311483.56389421</v>
      </c>
      <c r="FI27" s="67">
        <f>SUM(ES27:EV27)</f>
        <v>275814788.68071353</v>
      </c>
      <c r="FJ27" s="69">
        <f>SUM(EW27:EZ27)</f>
        <v>344768485.85089183</v>
      </c>
      <c r="FK27" s="619">
        <f t="shared" ref="FK27:FK29" si="161">SUM(FA27:FD27)</f>
        <v>413722183.02107012</v>
      </c>
    </row>
    <row r="28" spans="1:167" ht="15.75" customHeight="1" x14ac:dyDescent="0.2">
      <c r="B28" s="48" t="s">
        <v>3</v>
      </c>
      <c r="C28" s="66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8"/>
      <c r="AD28" s="67"/>
      <c r="AE28" s="67"/>
      <c r="AF28" s="67"/>
      <c r="AG28" s="67"/>
      <c r="AH28" s="67"/>
      <c r="AI28" s="67"/>
      <c r="AJ28" s="67"/>
      <c r="AK28" s="68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>
        <f>'P&amp;L - Inputs'!AZ43</f>
        <v>960772.07456443564</v>
      </c>
      <c r="BB28" s="67">
        <f>'P&amp;L - Inputs'!BA43</f>
        <v>1180105.7839088824</v>
      </c>
      <c r="BC28" s="67">
        <f>'P&amp;L - Inputs'!BB43</f>
        <v>1161482.7184283454</v>
      </c>
      <c r="BD28" s="67">
        <f>'P&amp;L - Inputs'!BC43</f>
        <v>1878844.9995798795</v>
      </c>
      <c r="BE28" s="67">
        <f>'P&amp;L - Inputs'!BD43</f>
        <v>1629749.5873894508</v>
      </c>
      <c r="BF28" s="67">
        <f>'P&amp;L - Inputs'!BE43</f>
        <v>2117305.144474484</v>
      </c>
      <c r="BG28" s="67">
        <f>'P&amp;L - Inputs'!BF43</f>
        <v>1382356.2454487716</v>
      </c>
      <c r="BH28" s="67">
        <f>'P&amp;L - Inputs'!BG43</f>
        <v>779964.98741522571</v>
      </c>
      <c r="BI28" s="67">
        <f>'P&amp;L - Inputs'!BH43</f>
        <v>596616.29683173238</v>
      </c>
      <c r="BJ28" s="66">
        <f>'P&amp;L - Inputs'!BI43</f>
        <v>653500.05366307858</v>
      </c>
      <c r="BK28" s="67">
        <f>'P&amp;L - Inputs'!BJ43</f>
        <v>475368.75942799874</v>
      </c>
      <c r="BL28" s="67">
        <f>'P&amp;L - Inputs'!BK43</f>
        <v>198593.29688115322</v>
      </c>
      <c r="BM28" s="67">
        <f>'P&amp;L - Inputs'!BL43</f>
        <v>139299.01975596588</v>
      </c>
      <c r="BN28" s="67">
        <f>'P&amp;L - Inputs'!BM43</f>
        <v>137603.50376397494</v>
      </c>
      <c r="BO28" s="67">
        <f>'P&amp;L - Inputs'!BN43</f>
        <v>146922.94771951952</v>
      </c>
      <c r="BP28" s="67">
        <f>'P&amp;L - Inputs'!BO43</f>
        <v>179555.22230602251</v>
      </c>
      <c r="BQ28" s="67">
        <f>'P&amp;L - Inputs'!BP43</f>
        <v>263183.63000000012</v>
      </c>
      <c r="BR28" s="67">
        <f>'P&amp;L - Inputs'!BQ43</f>
        <v>210872.92999999993</v>
      </c>
      <c r="BS28" s="67">
        <f>'P&amp;L - Inputs'!BR43</f>
        <v>198148.77532420069</v>
      </c>
      <c r="BT28" s="67">
        <f>'P&amp;L - Inputs'!BS43</f>
        <v>102098.82290222251</v>
      </c>
      <c r="BU28" s="67">
        <f>'P&amp;L - Inputs'!BT43</f>
        <v>125079.5175362695</v>
      </c>
      <c r="BV28" s="67">
        <f>'P&amp;L - Inputs'!BU43</f>
        <v>193607.99000000054</v>
      </c>
      <c r="BW28" s="67">
        <f>'P&amp;L - Inputs'!BV43</f>
        <v>256230.94233787837</v>
      </c>
      <c r="BX28" s="67">
        <f>'P&amp;L - Inputs'!BW43</f>
        <v>104389.33511070494</v>
      </c>
      <c r="BY28" s="67">
        <f>'P&amp;L - Inputs'!BX43</f>
        <v>83506.938807015642</v>
      </c>
      <c r="BZ28" s="67">
        <f>'P&amp;L - Inputs'!BY43</f>
        <v>171907.83680049784</v>
      </c>
      <c r="CA28" s="67">
        <f>'P&amp;L - Inputs'!BZ43</f>
        <v>119979.73468063772</v>
      </c>
      <c r="CB28" s="67">
        <f>'P&amp;L - Inputs'!CA43</f>
        <v>117804.39846661317</v>
      </c>
      <c r="CC28" s="67">
        <f>'P&amp;L - Inputs'!CB43</f>
        <v>73628.410232557973</v>
      </c>
      <c r="CD28" s="67">
        <f>'P&amp;L - Inputs'!CC43</f>
        <v>115456.83972332107</v>
      </c>
      <c r="CE28" s="67">
        <f>'P&amp;L - Inputs'!CD43</f>
        <v>108032.8423629677</v>
      </c>
      <c r="CF28" s="67">
        <f>'P&amp;L - Inputs'!CE43</f>
        <v>267402.99000000017</v>
      </c>
      <c r="CG28" s="67">
        <f>'P&amp;L - Inputs'!CF43</f>
        <v>403646.39355475421</v>
      </c>
      <c r="CH28" s="67">
        <f>'P&amp;L - Inputs'!CG43</f>
        <v>411033.31824536307</v>
      </c>
      <c r="CI28" s="67">
        <f>'P&amp;L - Inputs'!CH43</f>
        <v>222232.40799018124</v>
      </c>
      <c r="CJ28" s="67">
        <f>'P&amp;L - Inputs'!CI43</f>
        <v>339234.07292071957</v>
      </c>
      <c r="CK28" s="67">
        <f>'P&amp;L - Inputs'!CJ43</f>
        <v>218144.36117795028</v>
      </c>
      <c r="CL28" s="67">
        <f>'P&amp;L - Inputs'!CK43</f>
        <v>418634.84000000008</v>
      </c>
      <c r="CM28" s="67">
        <f>'P&amp;L - Inputs'!CL43</f>
        <v>236448.76000000004</v>
      </c>
      <c r="CN28" s="67">
        <f>'P&amp;L - Inputs'!CM43</f>
        <v>197511.29000000033</v>
      </c>
      <c r="CO28" s="67">
        <f>'P&amp;L - Inputs'!CN43</f>
        <v>279793.05999999982</v>
      </c>
      <c r="CP28" s="67">
        <f>'P&amp;L - Inputs'!CO43</f>
        <v>444109.39999999944</v>
      </c>
      <c r="CQ28" s="67">
        <f>'P&amp;L - Inputs'!CP43</f>
        <v>618311.15000000037</v>
      </c>
      <c r="CR28" s="67">
        <f>'P&amp;L - Inputs'!CQ43</f>
        <v>522041.16999999975</v>
      </c>
      <c r="CS28" s="67">
        <f>'P&amp;L - Inputs'!CR43</f>
        <v>550125.00999999943</v>
      </c>
      <c r="CT28" s="67">
        <f>'P&amp;L - Inputs'!CS43</f>
        <v>352470.32000000007</v>
      </c>
      <c r="CU28" s="67">
        <f>'P&amp;L - Inputs'!CT43</f>
        <v>360873.90208038589</v>
      </c>
      <c r="CV28" s="67">
        <f>'P&amp;L - Inputs'!CU43</f>
        <v>374239.11443872878</v>
      </c>
      <c r="CW28" s="67">
        <f>'P&amp;L - Inputs'!CV43</f>
        <v>358489.12254792242</v>
      </c>
      <c r="CX28" s="67">
        <f>'P&amp;L - Inputs'!CW43</f>
        <v>357696.02111797943</v>
      </c>
      <c r="CY28" s="67">
        <f>'P&amp;L - Inputs'!CX43</f>
        <v>333948.69566611171</v>
      </c>
      <c r="CZ28" s="67">
        <f>'P&amp;L - Inputs'!CY43</f>
        <v>289965.42851800052</v>
      </c>
      <c r="DA28" s="67">
        <f>'P&amp;L - Inputs'!CZ43</f>
        <v>340756.474870103</v>
      </c>
      <c r="DB28" s="67">
        <f>'P&amp;L - Inputs'!DA43</f>
        <v>418109.41424182727</v>
      </c>
      <c r="DC28" s="67">
        <f>'P&amp;L - Inputs'!DB43</f>
        <v>465597.55513426953</v>
      </c>
      <c r="DD28" s="67">
        <f>'P&amp;L - Inputs'!DC43</f>
        <v>438680.86713086878</v>
      </c>
      <c r="DE28" s="67">
        <f>'P&amp;L - Inputs'!DD43</f>
        <v>428746.00412281905</v>
      </c>
      <c r="DF28" s="67">
        <f>'P&amp;L - Inputs'!DE43</f>
        <v>413619.27804298035</v>
      </c>
      <c r="DG28" s="67">
        <f>'P&amp;L - Inputs'!DF43</f>
        <v>451092.37760048232</v>
      </c>
      <c r="DH28" s="67">
        <f>'P&amp;L - Inputs'!DG43</f>
        <v>467798.89304841112</v>
      </c>
      <c r="DI28" s="67">
        <f>'P&amp;L - Inputs'!DH43</f>
        <v>448111.40318490303</v>
      </c>
      <c r="DJ28" s="67">
        <f>'P&amp;L - Inputs'!DI43</f>
        <v>447120.02639747417</v>
      </c>
      <c r="DK28" s="67">
        <f>'P&amp;L - Inputs'!DJ43</f>
        <v>417435.86958263966</v>
      </c>
      <c r="DL28" s="67">
        <f>'P&amp;L - Inputs'!DK43</f>
        <v>362456.7856475006</v>
      </c>
      <c r="DM28" s="67">
        <f>'P&amp;L - Inputs'!DL43</f>
        <v>425945.59358762874</v>
      </c>
      <c r="DN28" s="67">
        <f>'P&amp;L - Inputs'!DM43</f>
        <v>522636.76780228416</v>
      </c>
      <c r="DO28" s="67">
        <f>'P&amp;L - Inputs'!DN43</f>
        <v>581996.94391783699</v>
      </c>
      <c r="DP28" s="67">
        <f>'P&amp;L - Inputs'!DO43</f>
        <v>548351.08391358599</v>
      </c>
      <c r="DQ28" s="67">
        <f>'P&amp;L - Inputs'!DP43</f>
        <v>535932.50515352376</v>
      </c>
      <c r="DR28" s="69">
        <f>'P&amp;L - Inputs'!DQ43</f>
        <v>517024.0975537253</v>
      </c>
      <c r="DS28" s="69">
        <f>'P&amp;L - Inputs'!DR43</f>
        <v>541310.8531205788</v>
      </c>
      <c r="DT28" s="69">
        <f>'P&amp;L - Inputs'!DS43</f>
        <v>561358.67165809311</v>
      </c>
      <c r="DU28" s="69">
        <f>'P&amp;L - Inputs'!DT43</f>
        <v>537733.68382188352</v>
      </c>
      <c r="DV28" s="69">
        <f>'P&amp;L - Inputs'!DU43</f>
        <v>536544.03167696879</v>
      </c>
      <c r="DW28" s="69">
        <f>'P&amp;L - Inputs'!DV43</f>
        <v>500923.04349916737</v>
      </c>
      <c r="DX28" s="69">
        <f>'P&amp;L - Inputs'!DW43</f>
        <v>434948.14277700055</v>
      </c>
      <c r="DY28" s="69">
        <f>'P&amp;L - Inputs'!DX43</f>
        <v>511134.7123051543</v>
      </c>
      <c r="DZ28" s="69">
        <f>'P&amp;L - Inputs'!DY43</f>
        <v>627164.12136274087</v>
      </c>
      <c r="EA28" s="69">
        <f>'P&amp;L - Inputs'!DZ43</f>
        <v>698396.33270140411</v>
      </c>
      <c r="EB28" s="69">
        <f>'P&amp;L - Inputs'!EA43</f>
        <v>658021.30069630302</v>
      </c>
      <c r="EC28" s="69">
        <f>'P&amp;L - Inputs'!EB43</f>
        <v>643119.00618422835</v>
      </c>
      <c r="ED28" s="69">
        <f>'P&amp;L - Inputs'!EC43</f>
        <v>620428.91706447012</v>
      </c>
      <c r="EE28" s="39" t="s">
        <v>1</v>
      </c>
      <c r="EF28" s="68"/>
      <c r="EG28" s="629">
        <f>SUM(BK28:BM28)</f>
        <v>813261.07606511784</v>
      </c>
      <c r="EH28" s="629">
        <f>SUM(BN28:BP28)</f>
        <v>464081.67378951702</v>
      </c>
      <c r="EI28" s="629">
        <f>SUM(BQ28:BS28)</f>
        <v>672205.3353242008</v>
      </c>
      <c r="EJ28" s="629">
        <f>SUM(BT28:BV28)</f>
        <v>420786.33043849259</v>
      </c>
      <c r="EK28" s="629">
        <f>SUM(BW28:BY28)</f>
        <v>444127.21625559893</v>
      </c>
      <c r="EL28" s="629">
        <f>SUM(BZ28:CB28)</f>
        <v>409691.9699477487</v>
      </c>
      <c r="EM28" s="629">
        <f>SUM(CC28:CE28)</f>
        <v>297118.09231884673</v>
      </c>
      <c r="EN28" s="629">
        <f>SUM(CF28:CH28)</f>
        <v>1082082.7018001173</v>
      </c>
      <c r="EO28" s="629">
        <f>SUM(CI28:CK28)</f>
        <v>779610.84208885103</v>
      </c>
      <c r="EP28" s="629">
        <f>SUM(CL28:CN28)</f>
        <v>852594.89000000036</v>
      </c>
      <c r="EQ28" s="629">
        <f>SUM(CO28:CQ28)</f>
        <v>1342213.6099999996</v>
      </c>
      <c r="ER28" s="629">
        <f t="shared" ref="ER28:ER29" si="162">SUM(CR28:CT28)</f>
        <v>1424636.4999999993</v>
      </c>
      <c r="ES28" s="629">
        <f t="shared" ref="ES28" si="163">SUM(CU28:CW28)</f>
        <v>1093602.139067037</v>
      </c>
      <c r="ET28" s="629">
        <f t="shared" ref="ET28" si="164">SUM(CX28:CZ28)</f>
        <v>981610.14530209173</v>
      </c>
      <c r="EU28" s="629">
        <f t="shared" ref="EU28" si="165">SUM(DA28:DC28)</f>
        <v>1224463.4442461999</v>
      </c>
      <c r="EV28" s="629">
        <f t="shared" ref="EV28" si="166">SUM(DD28:DF28)</f>
        <v>1281046.1492966684</v>
      </c>
      <c r="EW28" s="629">
        <f t="shared" ref="EW28" si="167">SUM(DG28:DI28)</f>
        <v>1367002.6738337965</v>
      </c>
      <c r="EX28" s="629">
        <f t="shared" ref="EX28" si="168">SUM(DJ28:DL28)</f>
        <v>1227012.6816276144</v>
      </c>
      <c r="EY28" s="629">
        <f t="shared" ref="EY28" si="169">SUM(DM28:DO28)</f>
        <v>1530579.3053077499</v>
      </c>
      <c r="EZ28" s="629">
        <f t="shared" ref="EZ28" si="170">SUM(DP28:DR28)</f>
        <v>1601307.6866208352</v>
      </c>
      <c r="FA28" s="629">
        <f>SUM(DS28:DU28)</f>
        <v>1640403.2086005555</v>
      </c>
      <c r="FB28" s="629">
        <f t="shared" si="157"/>
        <v>1472415.2179531367</v>
      </c>
      <c r="FC28" s="629">
        <f t="shared" si="158"/>
        <v>1836695.1663692994</v>
      </c>
      <c r="FD28" s="629">
        <f t="shared" si="159"/>
        <v>1921569.2239450016</v>
      </c>
      <c r="FG28" s="70">
        <f>SUM(EK28:EN28)</f>
        <v>2233019.9803223116</v>
      </c>
      <c r="FH28" s="67">
        <f>SUM(EO28:ER28)</f>
        <v>4399055.8420888502</v>
      </c>
      <c r="FI28" s="67">
        <f>SUM(ES28:EV28)</f>
        <v>4580721.877911997</v>
      </c>
      <c r="FJ28" s="69">
        <f>SUM(EW28:EZ28)</f>
        <v>5725902.3473899961</v>
      </c>
      <c r="FK28" s="619">
        <f t="shared" si="161"/>
        <v>6871082.8168679923</v>
      </c>
    </row>
    <row r="29" spans="1:167" ht="15.75" customHeight="1" x14ac:dyDescent="0.2">
      <c r="B29" s="48" t="s">
        <v>4</v>
      </c>
      <c r="C29" s="66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8"/>
      <c r="AD29" s="67"/>
      <c r="AE29" s="67"/>
      <c r="AF29" s="67"/>
      <c r="AG29" s="67"/>
      <c r="AH29" s="67"/>
      <c r="AI29" s="67"/>
      <c r="AJ29" s="67"/>
      <c r="AK29" s="68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>
        <f>'P&amp;L - Inputs'!AZ44</f>
        <v>3132765.9254355645</v>
      </c>
      <c r="BB29" s="67">
        <f>'P&amp;L - Inputs'!BA44</f>
        <v>4339081.4305708194</v>
      </c>
      <c r="BC29" s="67">
        <f>'P&amp;L - Inputs'!BB44</f>
        <v>4355281.8920463836</v>
      </c>
      <c r="BD29" s="67">
        <f>'P&amp;L - Inputs'!BC44</f>
        <v>2912559.7024653051</v>
      </c>
      <c r="BE29" s="67">
        <f>'P&amp;L - Inputs'!BD44</f>
        <v>5324066.9837838709</v>
      </c>
      <c r="BF29" s="67">
        <f>'P&amp;L - Inputs'!BE44</f>
        <v>5061784.2949580271</v>
      </c>
      <c r="BG29" s="67">
        <f>'P&amp;L - Inputs'!BF44</f>
        <v>9024195.7625187412</v>
      </c>
      <c r="BH29" s="67">
        <f>'P&amp;L - Inputs'!BG44</f>
        <v>8277391.061816005</v>
      </c>
      <c r="BI29" s="67">
        <f>'P&amp;L - Inputs'!BH44</f>
        <v>6656547.7988917707</v>
      </c>
      <c r="BJ29" s="66">
        <f>'P&amp;L - Inputs'!BI44</f>
        <v>7729670.6609270908</v>
      </c>
      <c r="BK29" s="67">
        <f>'P&amp;L - Inputs'!BJ44</f>
        <v>8363230.4883694248</v>
      </c>
      <c r="BL29" s="67">
        <f>'P&amp;L - Inputs'!BK44</f>
        <v>7156313.8806789303</v>
      </c>
      <c r="BM29" s="67">
        <f>'P&amp;L - Inputs'!BL44</f>
        <v>7022111.0936133843</v>
      </c>
      <c r="BN29" s="67">
        <f>'P&amp;L - Inputs'!BM44</f>
        <v>7815907.2349468591</v>
      </c>
      <c r="BO29" s="67">
        <f>'P&amp;L - Inputs'!BN44</f>
        <v>8136675.2797009554</v>
      </c>
      <c r="BP29" s="67">
        <f>'P&amp;L - Inputs'!BO44</f>
        <v>6020907.9583866317</v>
      </c>
      <c r="BQ29" s="67">
        <f>'P&amp;L - Inputs'!BP44</f>
        <v>6350776.2747642379</v>
      </c>
      <c r="BR29" s="67">
        <f>'P&amp;L - Inputs'!BQ44</f>
        <v>7198305.9031753652</v>
      </c>
      <c r="BS29" s="67">
        <f>'P&amp;L - Inputs'!BR44</f>
        <v>5551900.4393947972</v>
      </c>
      <c r="BT29" s="67">
        <f>'P&amp;L - Inputs'!BS44</f>
        <v>5584592.1388385314</v>
      </c>
      <c r="BU29" s="67">
        <f>'P&amp;L - Inputs'!BT44</f>
        <v>7544686.6597675132</v>
      </c>
      <c r="BV29" s="67">
        <f>'P&amp;L - Inputs'!BU44</f>
        <v>7830571.4718596321</v>
      </c>
      <c r="BW29" s="67">
        <f>'P&amp;L - Inputs'!BV44</f>
        <v>8261600.6661464414</v>
      </c>
      <c r="BX29" s="67">
        <f>'P&amp;L - Inputs'!BW44</f>
        <v>8732766.7304653674</v>
      </c>
      <c r="BY29" s="67">
        <f>'P&amp;L - Inputs'!BX44</f>
        <v>8098787.880905726</v>
      </c>
      <c r="BZ29" s="67">
        <f>'P&amp;L - Inputs'!BY44</f>
        <v>7351110.2546772603</v>
      </c>
      <c r="CA29" s="67">
        <f>'P&amp;L - Inputs'!BZ44</f>
        <v>6390671.8649202734</v>
      </c>
      <c r="CB29" s="67">
        <f>'P&amp;L - Inputs'!CA44</f>
        <v>5169084.9678547159</v>
      </c>
      <c r="CC29" s="67">
        <f>'P&amp;L - Inputs'!CB44</f>
        <v>7376989.0651105139</v>
      </c>
      <c r="CD29" s="67">
        <f>'P&amp;L - Inputs'!CC44</f>
        <v>8396610.0493402518</v>
      </c>
      <c r="CE29" s="67">
        <f>'P&amp;L - Inputs'!CD44</f>
        <v>7479113.1453206902</v>
      </c>
      <c r="CF29" s="67">
        <f>'P&amp;L - Inputs'!CE44</f>
        <v>8702327.0932711996</v>
      </c>
      <c r="CG29" s="67">
        <f>'P&amp;L - Inputs'!CF44</f>
        <v>11041331.676714098</v>
      </c>
      <c r="CH29" s="67">
        <f>'P&amp;L - Inputs'!CG44</f>
        <v>11266325.717952913</v>
      </c>
      <c r="CI29" s="67">
        <f>'P&amp;L - Inputs'!CH44</f>
        <v>10768935.575814558</v>
      </c>
      <c r="CJ29" s="67">
        <f>'P&amp;L - Inputs'!CI44</f>
        <v>13780580.109752851</v>
      </c>
      <c r="CK29" s="67">
        <f>'P&amp;L - Inputs'!CJ44</f>
        <v>16283896.546238251</v>
      </c>
      <c r="CL29" s="67">
        <f>'P&amp;L - Inputs'!CK44</f>
        <v>12669575.369999999</v>
      </c>
      <c r="CM29" s="67">
        <f>'P&amp;L - Inputs'!CL44</f>
        <v>11624734.35999991</v>
      </c>
      <c r="CN29" s="67">
        <f>'P&amp;L - Inputs'!CM44</f>
        <v>11375143.879999988</v>
      </c>
      <c r="CO29" s="67">
        <f>'P&amp;L - Inputs'!CN44</f>
        <v>13815387.989999974</v>
      </c>
      <c r="CP29" s="67">
        <f>'P&amp;L - Inputs'!CO44</f>
        <v>15375279.659999998</v>
      </c>
      <c r="CQ29" s="67">
        <f>'P&amp;L - Inputs'!CP44</f>
        <v>17711508.799999963</v>
      </c>
      <c r="CR29" s="67">
        <f>'P&amp;L - Inputs'!CQ44</f>
        <v>20663539.849999893</v>
      </c>
      <c r="CS29" s="67">
        <f>'P&amp;L - Inputs'!CR44</f>
        <v>20888365.839999985</v>
      </c>
      <c r="CT29" s="67">
        <f>'P&amp;L - Inputs'!CS44</f>
        <v>20955479.739999969</v>
      </c>
      <c r="CU29" s="67">
        <f>'P&amp;L - Inputs'!CT44</f>
        <v>21708160.684704781</v>
      </c>
      <c r="CV29" s="67">
        <f>'P&amp;L - Inputs'!CU44</f>
        <v>22500075.24742819</v>
      </c>
      <c r="CW29" s="67">
        <f>'P&amp;L - Inputs'!CV44</f>
        <v>21118363.039287288</v>
      </c>
      <c r="CX29" s="67">
        <f>'P&amp;L - Inputs'!CW44</f>
        <v>21139443.008808203</v>
      </c>
      <c r="CY29" s="67">
        <f>'P&amp;L - Inputs'!CX44</f>
        <v>19651676.710686617</v>
      </c>
      <c r="CZ29" s="67">
        <f>'P&amp;L - Inputs'!CY44</f>
        <v>17140449.246327721</v>
      </c>
      <c r="DA29" s="67">
        <f>'P&amp;L - Inputs'!CZ44</f>
        <v>20048336.144263759</v>
      </c>
      <c r="DB29" s="67">
        <f>'P&amp;L - Inputs'!DA44</f>
        <v>24837650.782631069</v>
      </c>
      <c r="DC29" s="67">
        <f>'P&amp;L - Inputs'!DB44</f>
        <v>27676960.064775839</v>
      </c>
      <c r="DD29" s="67">
        <f>'P&amp;L - Inputs'!DC44</f>
        <v>25892195.628940582</v>
      </c>
      <c r="DE29" s="67">
        <f>'P&amp;L - Inputs'!DD44</f>
        <v>25247771.662135039</v>
      </c>
      <c r="DF29" s="67">
        <f>'P&amp;L - Inputs'!DE44</f>
        <v>24272984.582812428</v>
      </c>
      <c r="DG29" s="67">
        <f>'P&amp;L - Inputs'!DF44</f>
        <v>27135200.855880968</v>
      </c>
      <c r="DH29" s="67">
        <f>'P&amp;L - Inputs'!DG44</f>
        <v>28125094.059285235</v>
      </c>
      <c r="DI29" s="67">
        <f>'P&amp;L - Inputs'!DH44</f>
        <v>26397953.799109101</v>
      </c>
      <c r="DJ29" s="67">
        <f>'P&amp;L - Inputs'!DI44</f>
        <v>26424303.761010241</v>
      </c>
      <c r="DK29" s="67">
        <f>'P&amp;L - Inputs'!DJ44</f>
        <v>24564595.888358261</v>
      </c>
      <c r="DL29" s="67">
        <f>'P&amp;L - Inputs'!DK44</f>
        <v>21425561.557909641</v>
      </c>
      <c r="DM29" s="67">
        <f>'P&amp;L - Inputs'!DL44</f>
        <v>25060420.180329684</v>
      </c>
      <c r="DN29" s="67">
        <f>'P&amp;L - Inputs'!DM44</f>
        <v>31047063.478288833</v>
      </c>
      <c r="DO29" s="67">
        <f>'P&amp;L - Inputs'!DN44</f>
        <v>34596200.080969788</v>
      </c>
      <c r="DP29" s="67">
        <f>'P&amp;L - Inputs'!DO44</f>
        <v>32365244.536175724</v>
      </c>
      <c r="DQ29" s="67">
        <f>'P&amp;L - Inputs'!DP44</f>
        <v>31559714.577668793</v>
      </c>
      <c r="DR29" s="69">
        <f>'P&amp;L - Inputs'!DQ44</f>
        <v>30341230.728515532</v>
      </c>
      <c r="DS29" s="69">
        <f>'P&amp;L - Inputs'!DR44</f>
        <v>32562241.027057167</v>
      </c>
      <c r="DT29" s="69">
        <f>'P&amp;L - Inputs'!DS44</f>
        <v>33750112.871142268</v>
      </c>
      <c r="DU29" s="69">
        <f>'P&amp;L - Inputs'!DT44</f>
        <v>31677544.558930915</v>
      </c>
      <c r="DV29" s="69">
        <f>'P&amp;L - Inputs'!DU44</f>
        <v>31709164.513212282</v>
      </c>
      <c r="DW29" s="69">
        <f>'P&amp;L - Inputs'!DV44</f>
        <v>29477515.066029906</v>
      </c>
      <c r="DX29" s="69">
        <f>'P&amp;L - Inputs'!DW44</f>
        <v>25710673.869491566</v>
      </c>
      <c r="DY29" s="69">
        <f>'P&amp;L - Inputs'!DX44</f>
        <v>30072504.216395617</v>
      </c>
      <c r="DZ29" s="69">
        <f>'P&amp;L - Inputs'!DY44</f>
        <v>37256476.173946597</v>
      </c>
      <c r="EA29" s="69">
        <f>'P&amp;L - Inputs'!DZ44</f>
        <v>41515440.097163744</v>
      </c>
      <c r="EB29" s="69">
        <f>'P&amp;L - Inputs'!EA44</f>
        <v>38838293.443410866</v>
      </c>
      <c r="EC29" s="69">
        <f>'P&amp;L - Inputs'!EB44</f>
        <v>37871657.493202545</v>
      </c>
      <c r="ED29" s="69">
        <f>'P&amp;L - Inputs'!EC44</f>
        <v>36409476.874218628</v>
      </c>
      <c r="EE29" s="39" t="s">
        <v>1</v>
      </c>
      <c r="EF29" s="68"/>
      <c r="EG29" s="629">
        <f>SUM(BK29:BM29)</f>
        <v>22541655.462661739</v>
      </c>
      <c r="EH29" s="629">
        <f>SUM(BN29:BP29)</f>
        <v>21973490.473034449</v>
      </c>
      <c r="EI29" s="629">
        <f>SUM(BQ29:BS29)</f>
        <v>19100982.617334399</v>
      </c>
      <c r="EJ29" s="629">
        <f>SUM(BT29:BV29)</f>
        <v>20959850.270465679</v>
      </c>
      <c r="EK29" s="629">
        <f>SUM(BW29:BY29)</f>
        <v>25093155.277517535</v>
      </c>
      <c r="EL29" s="629">
        <f>SUM(BZ29:CB29)</f>
        <v>18910867.087452248</v>
      </c>
      <c r="EM29" s="629">
        <f>SUM(CC29:CE29)</f>
        <v>23252712.259771455</v>
      </c>
      <c r="EN29" s="629">
        <f>SUM(CF29:CH29)</f>
        <v>31009984.48793821</v>
      </c>
      <c r="EO29" s="629">
        <f>SUM(CI29:CK29)</f>
        <v>40833412.23180566</v>
      </c>
      <c r="EP29" s="629">
        <f>SUM(CL29:CN29)</f>
        <v>35669453.609999895</v>
      </c>
      <c r="EQ29" s="629">
        <f>SUM(CO29:CQ29)</f>
        <v>46902176.449999936</v>
      </c>
      <c r="ER29" s="629">
        <f t="shared" si="162"/>
        <v>62507385.429999843</v>
      </c>
      <c r="ES29" s="629">
        <f t="shared" ref="ES29" si="171">SUM(CU29:CW29)</f>
        <v>65326598.971420258</v>
      </c>
      <c r="ET29" s="629">
        <f t="shared" ref="ET29" si="172">SUM(CX29:CZ29)</f>
        <v>57931568.96582254</v>
      </c>
      <c r="EU29" s="629">
        <f t="shared" ref="EU29" si="173">SUM(DA29:DC29)</f>
        <v>72562946.991670668</v>
      </c>
      <c r="EV29" s="629">
        <f t="shared" ref="EV29" si="174">SUM(DD29:DF29)</f>
        <v>75412951.873888046</v>
      </c>
      <c r="EW29" s="629">
        <f t="shared" ref="EW29" si="175">SUM(DG29:DI29)</f>
        <v>81658248.714275301</v>
      </c>
      <c r="EX29" s="629">
        <f t="shared" ref="EX29" si="176">SUM(DJ29:DL29)</f>
        <v>72414461.207278147</v>
      </c>
      <c r="EY29" s="629">
        <f t="shared" ref="EY29" si="177">SUM(DM29:DO29)</f>
        <v>90703683.739588305</v>
      </c>
      <c r="EZ29" s="629">
        <f t="shared" ref="EZ29" si="178">SUM(DP29:DR29)</f>
        <v>94266189.842360049</v>
      </c>
      <c r="FA29" s="629">
        <f>SUM(DS29:DU29)</f>
        <v>97989898.457130358</v>
      </c>
      <c r="FB29" s="629">
        <f t="shared" si="157"/>
        <v>86897353.448733747</v>
      </c>
      <c r="FC29" s="629">
        <f t="shared" si="158"/>
        <v>108844420.48750594</v>
      </c>
      <c r="FD29" s="629">
        <f t="shared" si="159"/>
        <v>113119427.81083204</v>
      </c>
      <c r="FG29" s="70">
        <f>SUM(EK29:EN29)</f>
        <v>98266719.112679452</v>
      </c>
      <c r="FH29" s="67">
        <f>SUM(EO29:ER29)</f>
        <v>185912427.72180533</v>
      </c>
      <c r="FI29" s="67">
        <f>SUM(ES29:EV29)</f>
        <v>271234066.80280149</v>
      </c>
      <c r="FJ29" s="69">
        <f>SUM(EW29:EZ29)</f>
        <v>339042583.50350177</v>
      </c>
      <c r="FK29" s="619">
        <f t="shared" si="161"/>
        <v>406851100.20420206</v>
      </c>
    </row>
    <row r="30" spans="1:167" ht="15.75" customHeight="1" x14ac:dyDescent="0.2">
      <c r="B30" s="48" t="s">
        <v>12</v>
      </c>
      <c r="C30" s="75">
        <f t="shared" ref="C30:Z30" si="179">C27/C23</f>
        <v>1.2340786515137309E-2</v>
      </c>
      <c r="D30" s="76">
        <f t="shared" si="179"/>
        <v>1.6174209544965609E-2</v>
      </c>
      <c r="E30" s="76">
        <f t="shared" si="179"/>
        <v>1.6051700427055057E-2</v>
      </c>
      <c r="F30" s="76">
        <f t="shared" si="179"/>
        <v>1.715080209291845E-2</v>
      </c>
      <c r="G30" s="76">
        <f t="shared" si="179"/>
        <v>1.9247302606316154E-2</v>
      </c>
      <c r="H30" s="76">
        <f t="shared" si="179"/>
        <v>1.7723645518269295E-2</v>
      </c>
      <c r="I30" s="76">
        <f t="shared" si="179"/>
        <v>1.2975645985196861E-2</v>
      </c>
      <c r="J30" s="76">
        <f t="shared" si="179"/>
        <v>1.6899874154989305E-2</v>
      </c>
      <c r="K30" s="76">
        <f t="shared" si="179"/>
        <v>1.5309877993809519E-2</v>
      </c>
      <c r="L30" s="76">
        <f t="shared" si="179"/>
        <v>1.2457524460044226E-2</v>
      </c>
      <c r="M30" s="76">
        <f t="shared" si="179"/>
        <v>8.4150892173415238E-3</v>
      </c>
      <c r="N30" s="76">
        <f t="shared" si="179"/>
        <v>9.6103634840901571E-3</v>
      </c>
      <c r="O30" s="76">
        <f t="shared" si="179"/>
        <v>7.6995916116900306E-3</v>
      </c>
      <c r="P30" s="76">
        <f t="shared" si="179"/>
        <v>8.0543229486878306E-3</v>
      </c>
      <c r="Q30" s="76">
        <f t="shared" si="179"/>
        <v>9.7629829880768008E-3</v>
      </c>
      <c r="R30" s="76">
        <f t="shared" si="179"/>
        <v>1.125898745352957E-2</v>
      </c>
      <c r="S30" s="76">
        <f t="shared" si="179"/>
        <v>1.2931324136902804E-2</v>
      </c>
      <c r="T30" s="76">
        <f t="shared" si="179"/>
        <v>1.1184483129365853E-2</v>
      </c>
      <c r="U30" s="76">
        <f t="shared" si="179"/>
        <v>1.3118087157444582E-2</v>
      </c>
      <c r="V30" s="76">
        <f t="shared" si="179"/>
        <v>1.273089648776587E-2</v>
      </c>
      <c r="W30" s="76">
        <f t="shared" si="179"/>
        <v>1.1372008246158227E-2</v>
      </c>
      <c r="X30" s="76">
        <f t="shared" si="179"/>
        <v>1.1458993387525153E-2</v>
      </c>
      <c r="Y30" s="76">
        <f t="shared" si="179"/>
        <v>1.3666753319000595E-2</v>
      </c>
      <c r="Z30" s="76">
        <f t="shared" si="179"/>
        <v>1.2759790357585241E-2</v>
      </c>
      <c r="AA30" s="76">
        <f t="shared" ref="AA30:ER30" si="180">IFERROR(AA27/AA23,0)</f>
        <v>1.7559752009989701E-2</v>
      </c>
      <c r="AB30" s="76">
        <f t="shared" si="180"/>
        <v>2.7698796964114498E-2</v>
      </c>
      <c r="AC30" s="79">
        <f t="shared" si="180"/>
        <v>2.2403561310961478E-2</v>
      </c>
      <c r="AD30" s="76">
        <f t="shared" si="180"/>
        <v>2.2247256203243967E-2</v>
      </c>
      <c r="AE30" s="76">
        <f t="shared" si="180"/>
        <v>2.3443658710463864E-2</v>
      </c>
      <c r="AF30" s="76">
        <f t="shared" si="180"/>
        <v>2.0182980314962639E-2</v>
      </c>
      <c r="AG30" s="76">
        <f t="shared" si="180"/>
        <v>1.8856458228469104E-2</v>
      </c>
      <c r="AH30" s="76">
        <f t="shared" si="180"/>
        <v>2.24021462261326E-2</v>
      </c>
      <c r="AI30" s="76">
        <f t="shared" si="180"/>
        <v>1.6147344069000667E-2</v>
      </c>
      <c r="AJ30" s="76">
        <f t="shared" si="180"/>
        <v>1.4236254652307207E-2</v>
      </c>
      <c r="AK30" s="79">
        <f t="shared" si="180"/>
        <v>1.3848702950211639E-2</v>
      </c>
      <c r="AL30" s="76">
        <f t="shared" si="180"/>
        <v>1.2229023885767795E-2</v>
      </c>
      <c r="AM30" s="76">
        <f t="shared" si="180"/>
        <v>1.3573803837233816E-2</v>
      </c>
      <c r="AN30" s="76">
        <f t="shared" si="180"/>
        <v>2.0353034869240262E-2</v>
      </c>
      <c r="AO30" s="76">
        <f t="shared" si="180"/>
        <v>2.1915371217471481E-2</v>
      </c>
      <c r="AP30" s="77">
        <f t="shared" si="180"/>
        <v>2.0984906372143182E-2</v>
      </c>
      <c r="AQ30" s="76">
        <f t="shared" si="180"/>
        <v>2.3042405511806759E-2</v>
      </c>
      <c r="AR30" s="76">
        <f t="shared" si="180"/>
        <v>2.1455938083215585E-2</v>
      </c>
      <c r="AS30" s="76">
        <f t="shared" si="180"/>
        <v>2.3703938882701565E-2</v>
      </c>
      <c r="AT30" s="76">
        <f t="shared" si="180"/>
        <v>1.5530987930441926E-2</v>
      </c>
      <c r="AU30" s="76">
        <f t="shared" si="180"/>
        <v>1.5287127541857837E-2</v>
      </c>
      <c r="AV30" s="76">
        <f t="shared" si="180"/>
        <v>1.6484454078648746E-2</v>
      </c>
      <c r="AW30" s="76">
        <f t="shared" si="180"/>
        <v>1.536476919227781E-2</v>
      </c>
      <c r="AX30" s="76">
        <f t="shared" si="180"/>
        <v>1.7582441213661273E-2</v>
      </c>
      <c r="AY30" s="76">
        <f t="shared" si="180"/>
        <v>1.4952538584270288E-2</v>
      </c>
      <c r="AZ30" s="76">
        <f t="shared" si="180"/>
        <v>1.7740867308544076E-2</v>
      </c>
      <c r="BA30" s="77">
        <f t="shared" si="180"/>
        <v>1.6134143555202395E-2</v>
      </c>
      <c r="BB30" s="77">
        <f t="shared" si="180"/>
        <v>1.8686788557591261E-2</v>
      </c>
      <c r="BC30" s="77">
        <f t="shared" si="180"/>
        <v>1.7521350350053359E-2</v>
      </c>
      <c r="BD30" s="77">
        <f t="shared" si="180"/>
        <v>1.4833254227571011E-2</v>
      </c>
      <c r="BE30" s="77">
        <f t="shared" si="180"/>
        <v>1.8299927366171628E-2</v>
      </c>
      <c r="BF30" s="77">
        <f t="shared" si="180"/>
        <v>1.7461508669890241E-2</v>
      </c>
      <c r="BG30" s="77">
        <f t="shared" si="180"/>
        <v>1.9878828894912708E-2</v>
      </c>
      <c r="BH30" s="77">
        <f t="shared" si="180"/>
        <v>1.9188895274170392E-2</v>
      </c>
      <c r="BI30" s="77">
        <f t="shared" si="180"/>
        <v>1.9089167940778869E-2</v>
      </c>
      <c r="BJ30" s="82">
        <f t="shared" si="180"/>
        <v>1.9937447905911312E-2</v>
      </c>
      <c r="BK30" s="77">
        <f t="shared" si="180"/>
        <v>2.2743576951837475E-2</v>
      </c>
      <c r="BL30" s="77">
        <f t="shared" si="180"/>
        <v>1.8616883060784517E-2</v>
      </c>
      <c r="BM30" s="77">
        <f t="shared" si="180"/>
        <v>2.3834608399136186E-2</v>
      </c>
      <c r="BN30" s="77">
        <f t="shared" si="180"/>
        <v>2.8036140226110416E-2</v>
      </c>
      <c r="BO30" s="77">
        <f t="shared" si="180"/>
        <v>2.7549557223656242E-2</v>
      </c>
      <c r="BP30" s="77">
        <f t="shared" si="180"/>
        <v>2.1411708223528145E-2</v>
      </c>
      <c r="BQ30" s="77">
        <f t="shared" si="180"/>
        <v>2.4295456641673485E-2</v>
      </c>
      <c r="BR30" s="77">
        <f t="shared" si="180"/>
        <v>2.2154035407767694E-2</v>
      </c>
      <c r="BS30" s="77">
        <f t="shared" si="180"/>
        <v>1.9094167004457614E-2</v>
      </c>
      <c r="BT30" s="77">
        <f t="shared" si="180"/>
        <v>2.0961925123163864E-2</v>
      </c>
      <c r="BU30" s="77">
        <f t="shared" si="180"/>
        <v>2.6874942342474485E-2</v>
      </c>
      <c r="BV30" s="77">
        <f t="shared" si="180"/>
        <v>2.7154619952239115E-2</v>
      </c>
      <c r="BW30" s="77">
        <f t="shared" si="180"/>
        <v>2.77624745180391E-2</v>
      </c>
      <c r="BX30" s="77">
        <f t="shared" si="180"/>
        <v>2.7821799600129482E-2</v>
      </c>
      <c r="BY30" s="77">
        <f t="shared" si="180"/>
        <v>2.703376361855489E-2</v>
      </c>
      <c r="BZ30" s="77">
        <f t="shared" si="180"/>
        <v>2.6293664882991404E-2</v>
      </c>
      <c r="CA30" s="77">
        <f t="shared" si="180"/>
        <v>2.3579257070737214E-2</v>
      </c>
      <c r="CB30" s="77">
        <f t="shared" si="180"/>
        <v>2.1823452192183321E-2</v>
      </c>
      <c r="CC30" s="77">
        <f t="shared" si="180"/>
        <v>2.5669538833106114E-2</v>
      </c>
      <c r="CD30" s="77">
        <f t="shared" si="180"/>
        <v>2.8669881079990758E-2</v>
      </c>
      <c r="CE30" s="77">
        <f t="shared" si="180"/>
        <v>2.2597069752695806E-2</v>
      </c>
      <c r="CF30" s="77">
        <f t="shared" si="180"/>
        <v>2.3287120415749023E-2</v>
      </c>
      <c r="CG30" s="77">
        <f t="shared" si="180"/>
        <v>2.5664693140707972E-2</v>
      </c>
      <c r="CH30" s="77">
        <f t="shared" si="180"/>
        <v>2.1086134429466476E-2</v>
      </c>
      <c r="CI30" s="77">
        <f t="shared" si="180"/>
        <v>2.3382025564466669E-2</v>
      </c>
      <c r="CJ30" s="77">
        <f t="shared" si="180"/>
        <v>3.0273474628546432E-2</v>
      </c>
      <c r="CK30" s="77">
        <f t="shared" si="180"/>
        <v>3.584605546413288E-2</v>
      </c>
      <c r="CL30" s="77">
        <f t="shared" si="180"/>
        <v>2.8381405080615603E-2</v>
      </c>
      <c r="CM30" s="77">
        <f t="shared" si="180"/>
        <v>3.0515964318344631E-2</v>
      </c>
      <c r="CN30" s="77">
        <f t="shared" si="180"/>
        <v>3.4437001870605929E-2</v>
      </c>
      <c r="CO30" s="77">
        <f t="shared" si="180"/>
        <v>3.2361756343271285E-2</v>
      </c>
      <c r="CP30" s="77">
        <f t="shared" si="180"/>
        <v>3.0256505685675832E-2</v>
      </c>
      <c r="CQ30" s="77">
        <f t="shared" si="180"/>
        <v>2.8940133411445912E-2</v>
      </c>
      <c r="CR30" s="77">
        <f t="shared" si="180"/>
        <v>3.1089329538601322E-2</v>
      </c>
      <c r="CS30" s="77">
        <f t="shared" si="180"/>
        <v>3.4460069715530714E-2</v>
      </c>
      <c r="CT30" s="77">
        <f t="shared" si="180"/>
        <v>3.522191459697941E-2</v>
      </c>
      <c r="CU30" s="77">
        <f t="shared" si="180"/>
        <v>3.5232816461185555E-2</v>
      </c>
      <c r="CV30" s="77">
        <f t="shared" si="180"/>
        <v>3.5232320724622755E-2</v>
      </c>
      <c r="CW30" s="77">
        <f t="shared" si="180"/>
        <v>3.5213289216210218E-2</v>
      </c>
      <c r="CX30" s="77">
        <f t="shared" si="180"/>
        <v>3.5216312847472481E-2</v>
      </c>
      <c r="CY30" s="77">
        <f t="shared" si="180"/>
        <v>3.521228076699115E-2</v>
      </c>
      <c r="CZ30" s="77">
        <f t="shared" si="180"/>
        <v>3.5216521760512452E-2</v>
      </c>
      <c r="DA30" s="77">
        <f t="shared" si="180"/>
        <v>3.521209469328402E-2</v>
      </c>
      <c r="DB30" s="77">
        <f t="shared" si="180"/>
        <v>3.5221151367800151E-2</v>
      </c>
      <c r="DC30" s="77">
        <f t="shared" si="180"/>
        <v>3.5221769612420392E-2</v>
      </c>
      <c r="DD30" s="77">
        <f t="shared" si="180"/>
        <v>3.5215101903510494E-2</v>
      </c>
      <c r="DE30" s="77">
        <f t="shared" si="180"/>
        <v>3.5212939069368357E-2</v>
      </c>
      <c r="DF30" s="77">
        <f t="shared" si="180"/>
        <v>3.5209675995075018E-2</v>
      </c>
      <c r="DG30" s="77">
        <f t="shared" si="180"/>
        <v>3.5232816461185555E-2</v>
      </c>
      <c r="DH30" s="77">
        <f t="shared" si="180"/>
        <v>3.5232320724622755E-2</v>
      </c>
      <c r="DI30" s="77">
        <f t="shared" si="180"/>
        <v>3.5213289216210218E-2</v>
      </c>
      <c r="DJ30" s="77">
        <f t="shared" si="180"/>
        <v>3.5216312847472481E-2</v>
      </c>
      <c r="DK30" s="77">
        <f t="shared" si="180"/>
        <v>3.5212280766991136E-2</v>
      </c>
      <c r="DL30" s="77">
        <f t="shared" si="180"/>
        <v>3.5216521760512452E-2</v>
      </c>
      <c r="DM30" s="77">
        <f t="shared" si="180"/>
        <v>3.521209469328402E-2</v>
      </c>
      <c r="DN30" s="77">
        <f t="shared" si="180"/>
        <v>3.5221151367800151E-2</v>
      </c>
      <c r="DO30" s="77">
        <f t="shared" si="180"/>
        <v>3.5221769612420385E-2</v>
      </c>
      <c r="DP30" s="77">
        <f t="shared" si="180"/>
        <v>3.5215101903510501E-2</v>
      </c>
      <c r="DQ30" s="77">
        <f t="shared" si="180"/>
        <v>3.521293906936835E-2</v>
      </c>
      <c r="DR30" s="81">
        <f t="shared" si="180"/>
        <v>3.5209675995075011E-2</v>
      </c>
      <c r="DS30" s="81">
        <f t="shared" ref="DS30:ED30" si="181">IFERROR(DS27/DS23,0)</f>
        <v>3.5232816461185555E-2</v>
      </c>
      <c r="DT30" s="81">
        <f t="shared" si="181"/>
        <v>3.5232320724622755E-2</v>
      </c>
      <c r="DU30" s="81">
        <f t="shared" si="181"/>
        <v>3.5213289216210211E-2</v>
      </c>
      <c r="DV30" s="81">
        <f t="shared" si="181"/>
        <v>3.5216312847472474E-2</v>
      </c>
      <c r="DW30" s="81">
        <f t="shared" si="181"/>
        <v>3.5212280766991136E-2</v>
      </c>
      <c r="DX30" s="81">
        <f t="shared" si="181"/>
        <v>3.5216521760512445E-2</v>
      </c>
      <c r="DY30" s="81">
        <f t="shared" si="181"/>
        <v>3.5212094693284006E-2</v>
      </c>
      <c r="DZ30" s="81">
        <f t="shared" si="181"/>
        <v>3.5221151367800144E-2</v>
      </c>
      <c r="EA30" s="81">
        <f t="shared" si="181"/>
        <v>3.5221769612420385E-2</v>
      </c>
      <c r="EB30" s="81">
        <f t="shared" si="181"/>
        <v>3.5215101903510487E-2</v>
      </c>
      <c r="EC30" s="81">
        <f t="shared" si="181"/>
        <v>3.521293906936835E-2</v>
      </c>
      <c r="ED30" s="81">
        <f t="shared" si="181"/>
        <v>3.5209675995075011E-2</v>
      </c>
      <c r="EE30" s="39" t="s">
        <v>1</v>
      </c>
      <c r="EF30" s="83"/>
      <c r="EG30" s="633">
        <f t="shared" si="180"/>
        <v>2.1542169538604636E-2</v>
      </c>
      <c r="EH30" s="633">
        <f t="shared" si="180"/>
        <v>2.5673732450423474E-2</v>
      </c>
      <c r="EI30" s="633">
        <f t="shared" si="180"/>
        <v>2.1781167055173228E-2</v>
      </c>
      <c r="EJ30" s="633">
        <f t="shared" si="180"/>
        <v>2.5089533521337991E-2</v>
      </c>
      <c r="EK30" s="633">
        <f t="shared" si="180"/>
        <v>2.7544901795770967E-2</v>
      </c>
      <c r="EL30" s="633">
        <f t="shared" si="180"/>
        <v>2.4015902492038405E-2</v>
      </c>
      <c r="EM30" s="633">
        <f t="shared" si="180"/>
        <v>2.5516970621178442E-2</v>
      </c>
      <c r="EN30" s="633">
        <f t="shared" si="180"/>
        <v>2.3172578848094823E-2</v>
      </c>
      <c r="EO30" s="633">
        <f t="shared" si="180"/>
        <v>2.9790904431181247E-2</v>
      </c>
      <c r="EP30" s="633">
        <f t="shared" si="180"/>
        <v>3.0797030249038758E-2</v>
      </c>
      <c r="EQ30" s="633">
        <f t="shared" si="180"/>
        <v>3.0308769762728824E-2</v>
      </c>
      <c r="ER30" s="633">
        <f t="shared" si="180"/>
        <v>3.3498032898314357E-2</v>
      </c>
      <c r="ES30" s="633">
        <f t="shared" ref="ES30:FD30" si="182">IFERROR(ES27/ES23,0)</f>
        <v>3.5226329326892215E-2</v>
      </c>
      <c r="ET30" s="633">
        <f t="shared" si="182"/>
        <v>3.5215006711810458E-2</v>
      </c>
      <c r="EU30" s="633">
        <f t="shared" si="182"/>
        <v>3.5218884105407314E-2</v>
      </c>
      <c r="EV30" s="633">
        <f t="shared" si="182"/>
        <v>3.5212631148788212E-2</v>
      </c>
      <c r="EW30" s="633">
        <f t="shared" si="182"/>
        <v>3.5226329326892215E-2</v>
      </c>
      <c r="EX30" s="633">
        <f t="shared" si="182"/>
        <v>3.5215006711810458E-2</v>
      </c>
      <c r="EY30" s="633">
        <f t="shared" si="182"/>
        <v>3.52188841054073E-2</v>
      </c>
      <c r="EZ30" s="633">
        <f t="shared" si="182"/>
        <v>3.5212631148788205E-2</v>
      </c>
      <c r="FA30" s="633">
        <f t="shared" si="182"/>
        <v>3.5226329326892208E-2</v>
      </c>
      <c r="FB30" s="633">
        <f t="shared" si="182"/>
        <v>3.5215006711810444E-2</v>
      </c>
      <c r="FC30" s="633">
        <f t="shared" si="182"/>
        <v>3.52188841054073E-2</v>
      </c>
      <c r="FD30" s="633">
        <f t="shared" si="182"/>
        <v>3.5212631148788205E-2</v>
      </c>
      <c r="FG30" s="84">
        <f t="shared" ref="FG30" si="183">IFERROR(FG27/FG23,0)</f>
        <v>2.4879688789642303E-2</v>
      </c>
      <c r="FH30" s="77">
        <f t="shared" ref="FH30:FK30" si="184">IFERROR(FH27/FH23,0)</f>
        <v>3.1285661730995978E-2</v>
      </c>
      <c r="FI30" s="77">
        <f t="shared" si="184"/>
        <v>3.5218109343306388E-2</v>
      </c>
      <c r="FJ30" s="81">
        <f t="shared" si="184"/>
        <v>3.5218109343306388E-2</v>
      </c>
      <c r="FK30" s="81">
        <f t="shared" si="184"/>
        <v>3.5218109343306374E-2</v>
      </c>
    </row>
    <row r="31" spans="1:167" ht="15.75" customHeight="1" x14ac:dyDescent="0.2">
      <c r="B31" s="48"/>
      <c r="C31" s="66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8"/>
      <c r="AD31" s="67"/>
      <c r="AE31" s="67"/>
      <c r="AF31" s="67"/>
      <c r="AG31" s="67"/>
      <c r="AH31" s="67"/>
      <c r="AI31" s="67"/>
      <c r="AJ31" s="67"/>
      <c r="AK31" s="68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6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9"/>
      <c r="DS31" s="66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9"/>
      <c r="EE31" s="39" t="s">
        <v>1</v>
      </c>
      <c r="EF31" s="68"/>
      <c r="EG31" s="629"/>
      <c r="EH31" s="629"/>
      <c r="EI31" s="629"/>
      <c r="EJ31" s="629"/>
      <c r="EK31" s="629"/>
      <c r="EL31" s="629"/>
      <c r="EM31" s="629"/>
      <c r="EN31" s="629"/>
      <c r="EO31" s="629"/>
      <c r="EP31" s="629"/>
      <c r="EQ31" s="629"/>
      <c r="ER31" s="635"/>
      <c r="ES31" s="635"/>
      <c r="ET31" s="635"/>
      <c r="EU31" s="635"/>
      <c r="EV31" s="635"/>
      <c r="EW31" s="635"/>
      <c r="EX31" s="635"/>
      <c r="EY31" s="635"/>
      <c r="EZ31" s="635"/>
      <c r="FA31" s="635"/>
      <c r="FB31" s="635"/>
      <c r="FC31" s="635"/>
      <c r="FD31" s="635"/>
      <c r="FG31" s="92"/>
      <c r="FH31" s="90"/>
      <c r="FI31" s="90"/>
      <c r="FJ31" s="91"/>
      <c r="FK31" s="623"/>
    </row>
    <row r="32" spans="1:167" ht="15.75" customHeight="1" x14ac:dyDescent="0.2">
      <c r="B32" s="65" t="s">
        <v>13</v>
      </c>
      <c r="C32" s="61">
        <f t="shared" ref="C32:EG34" si="185">C23-C27</f>
        <v>125801277</v>
      </c>
      <c r="D32" s="61">
        <f t="shared" si="185"/>
        <v>117591988.14285715</v>
      </c>
      <c r="E32" s="61">
        <f t="shared" si="185"/>
        <v>131474105.07654707</v>
      </c>
      <c r="F32" s="61">
        <f t="shared" si="185"/>
        <v>153050515.89540002</v>
      </c>
      <c r="G32" s="61">
        <f t="shared" si="185"/>
        <v>179400433.33977237</v>
      </c>
      <c r="H32" s="61">
        <f t="shared" si="185"/>
        <v>187093082</v>
      </c>
      <c r="I32" s="61">
        <f t="shared" si="185"/>
        <v>200855808</v>
      </c>
      <c r="J32" s="61">
        <f t="shared" si="185"/>
        <v>188073690</v>
      </c>
      <c r="K32" s="61">
        <f t="shared" si="185"/>
        <v>238058227</v>
      </c>
      <c r="L32" s="61">
        <f t="shared" si="185"/>
        <v>231416797</v>
      </c>
      <c r="M32" s="61">
        <f t="shared" si="185"/>
        <v>236573979.40440598</v>
      </c>
      <c r="N32" s="61">
        <f t="shared" si="185"/>
        <v>206956708</v>
      </c>
      <c r="O32" s="61">
        <f t="shared" si="185"/>
        <v>267373273.37521982</v>
      </c>
      <c r="P32" s="61">
        <f t="shared" si="185"/>
        <v>264719288.14665473</v>
      </c>
      <c r="Q32" s="61">
        <f t="shared" si="185"/>
        <v>283434810.08928573</v>
      </c>
      <c r="R32" s="61">
        <f t="shared" si="185"/>
        <v>289067754.60499275</v>
      </c>
      <c r="S32" s="61">
        <f t="shared" si="185"/>
        <v>237235024.92445996</v>
      </c>
      <c r="T32" s="61">
        <f t="shared" si="185"/>
        <v>210044782.54067129</v>
      </c>
      <c r="U32" s="61">
        <f t="shared" si="185"/>
        <v>177467661.28554741</v>
      </c>
      <c r="V32" s="61">
        <f t="shared" si="185"/>
        <v>216355590.70338711</v>
      </c>
      <c r="W32" s="61">
        <f t="shared" si="185"/>
        <v>248503020.056577</v>
      </c>
      <c r="X32" s="61">
        <f t="shared" si="185"/>
        <v>250931904.61582407</v>
      </c>
      <c r="Y32" s="61">
        <f t="shared" si="185"/>
        <v>287594021.09927118</v>
      </c>
      <c r="Z32" s="61">
        <f t="shared" si="185"/>
        <v>179607287.64857143</v>
      </c>
      <c r="AA32" s="61">
        <f t="shared" si="185"/>
        <v>-57658.435714285712</v>
      </c>
      <c r="AB32" s="61">
        <f t="shared" si="185"/>
        <v>136921891.93964374</v>
      </c>
      <c r="AC32" s="61">
        <f t="shared" si="185"/>
        <v>142690668.28481713</v>
      </c>
      <c r="AD32" s="61">
        <f t="shared" si="185"/>
        <v>117074544.3179273</v>
      </c>
      <c r="AE32" s="61">
        <f t="shared" si="185"/>
        <v>195365436.44401971</v>
      </c>
      <c r="AF32" s="61">
        <f t="shared" si="185"/>
        <v>201002479.63522822</v>
      </c>
      <c r="AG32" s="62">
        <f t="shared" si="185"/>
        <v>181031352.84808806</v>
      </c>
      <c r="AH32" s="62">
        <f t="shared" si="185"/>
        <v>213180512.35820308</v>
      </c>
      <c r="AI32" s="62">
        <f t="shared" si="185"/>
        <v>345947129.31792229</v>
      </c>
      <c r="AJ32" s="62">
        <f t="shared" si="185"/>
        <v>298513083.91610336</v>
      </c>
      <c r="AK32" s="614">
        <f t="shared" si="185"/>
        <v>373558250.51658595</v>
      </c>
      <c r="AL32" s="62">
        <f t="shared" si="185"/>
        <v>313364666.0534246</v>
      </c>
      <c r="AM32" s="62">
        <f t="shared" si="185"/>
        <v>215377578.62256399</v>
      </c>
      <c r="AN32" s="62">
        <f t="shared" si="185"/>
        <v>97482672</v>
      </c>
      <c r="AO32" s="62">
        <f t="shared" si="185"/>
        <v>215716322.66998249</v>
      </c>
      <c r="AP32" s="62">
        <f t="shared" si="185"/>
        <v>302543098.44999999</v>
      </c>
      <c r="AQ32" s="62">
        <f t="shared" si="185"/>
        <v>295460512.42614979</v>
      </c>
      <c r="AR32" s="62">
        <f t="shared" si="185"/>
        <v>278396589</v>
      </c>
      <c r="AS32" s="62">
        <f t="shared" si="185"/>
        <v>237256946.99999997</v>
      </c>
      <c r="AT32" s="62">
        <f t="shared" si="185"/>
        <v>286211689</v>
      </c>
      <c r="AU32" s="62">
        <f t="shared" si="185"/>
        <v>383839785.15441</v>
      </c>
      <c r="AV32" s="62">
        <f t="shared" si="185"/>
        <v>349338094.00000006</v>
      </c>
      <c r="AW32" s="62">
        <f t="shared" si="185"/>
        <v>357715759</v>
      </c>
      <c r="AX32" s="62">
        <f t="shared" si="185"/>
        <v>311293972.47457111</v>
      </c>
      <c r="AY32" s="62">
        <f t="shared" si="185"/>
        <v>310175608.45000011</v>
      </c>
      <c r="AZ32" s="62">
        <f t="shared" si="185"/>
        <v>347669126</v>
      </c>
      <c r="BA32" s="62">
        <f t="shared" si="185"/>
        <v>249625414.35678959</v>
      </c>
      <c r="BB32" s="62">
        <f t="shared" si="185"/>
        <v>289833178.84189147</v>
      </c>
      <c r="BC32" s="62">
        <f t="shared" si="185"/>
        <v>309342792.45887685</v>
      </c>
      <c r="BD32" s="62">
        <f t="shared" si="185"/>
        <v>318226365.2718057</v>
      </c>
      <c r="BE32" s="62">
        <f t="shared" si="185"/>
        <v>373037668.20530808</v>
      </c>
      <c r="BF32" s="62">
        <f t="shared" si="185"/>
        <v>403958892.68760884</v>
      </c>
      <c r="BG32" s="62">
        <f t="shared" si="185"/>
        <v>513092697.51928741</v>
      </c>
      <c r="BH32" s="62">
        <f t="shared" si="185"/>
        <v>462952935.31043202</v>
      </c>
      <c r="BI32" s="62">
        <f t="shared" si="185"/>
        <v>372709132.75374109</v>
      </c>
      <c r="BJ32" s="61">
        <f t="shared" si="185"/>
        <v>412090440.25868881</v>
      </c>
      <c r="BK32" s="62">
        <f t="shared" si="185"/>
        <v>379780977.45793903</v>
      </c>
      <c r="BL32" s="62">
        <f t="shared" si="185"/>
        <v>387711611.39840972</v>
      </c>
      <c r="BM32" s="62">
        <f t="shared" si="185"/>
        <v>293301261.37020719</v>
      </c>
      <c r="BN32" s="62">
        <f t="shared" si="185"/>
        <v>275734282.03754401</v>
      </c>
      <c r="BO32" s="62">
        <f t="shared" si="185"/>
        <v>292396305.99650365</v>
      </c>
      <c r="BP32" s="62">
        <f t="shared" si="185"/>
        <v>283382372.33914256</v>
      </c>
      <c r="BQ32" s="62">
        <f t="shared" si="185"/>
        <v>265616358.80509084</v>
      </c>
      <c r="BR32" s="62">
        <f t="shared" si="185"/>
        <v>327030064.25738788</v>
      </c>
      <c r="BS32" s="62">
        <f t="shared" si="185"/>
        <v>295391614.27741575</v>
      </c>
      <c r="BT32" s="62">
        <f t="shared" si="185"/>
        <v>265599983.72715536</v>
      </c>
      <c r="BU32" s="62">
        <f t="shared" si="185"/>
        <v>277717494.5492841</v>
      </c>
      <c r="BV32" s="62">
        <f t="shared" si="185"/>
        <v>287475425.2452935</v>
      </c>
      <c r="BW32" s="62">
        <f t="shared" si="185"/>
        <v>298293133.78113633</v>
      </c>
      <c r="BX32" s="62">
        <f t="shared" si="185"/>
        <v>308797080.13009202</v>
      </c>
      <c r="BY32" s="62">
        <f t="shared" si="185"/>
        <v>294487171.96872741</v>
      </c>
      <c r="BZ32" s="62">
        <f t="shared" si="185"/>
        <v>278592216.31786382</v>
      </c>
      <c r="CA32" s="62">
        <f t="shared" si="185"/>
        <v>269607106.48196673</v>
      </c>
      <c r="CB32" s="62">
        <f t="shared" si="185"/>
        <v>236970353.8857328</v>
      </c>
      <c r="CC32" s="62">
        <f t="shared" si="185"/>
        <v>282800700.39149678</v>
      </c>
      <c r="CD32" s="62">
        <f t="shared" si="185"/>
        <v>288387207.48582393</v>
      </c>
      <c r="CE32" s="62">
        <f t="shared" si="185"/>
        <v>328170811.60230517</v>
      </c>
      <c r="CF32" s="62">
        <f t="shared" si="185"/>
        <v>376210142.87366998</v>
      </c>
      <c r="CG32" s="62">
        <f t="shared" si="185"/>
        <v>434497547.23175538</v>
      </c>
      <c r="CH32" s="62">
        <f t="shared" si="185"/>
        <v>542115896.68164158</v>
      </c>
      <c r="CI32" s="62">
        <f t="shared" si="185"/>
        <v>459077943.58657438</v>
      </c>
      <c r="CJ32" s="62">
        <f t="shared" si="185"/>
        <v>452288959.70016521</v>
      </c>
      <c r="CK32" s="62">
        <f t="shared" si="185"/>
        <v>443856586.94573599</v>
      </c>
      <c r="CL32" s="62">
        <f t="shared" si="185"/>
        <v>448066203.14000005</v>
      </c>
      <c r="CM32" s="62">
        <f t="shared" si="185"/>
        <v>376826619.63999927</v>
      </c>
      <c r="CN32" s="62">
        <f t="shared" si="185"/>
        <v>324480268.75999957</v>
      </c>
      <c r="CO32" s="62">
        <f t="shared" si="185"/>
        <v>421455377.47000051</v>
      </c>
      <c r="CP32" s="62">
        <f t="shared" si="185"/>
        <v>507023176.57999998</v>
      </c>
      <c r="CQ32" s="62">
        <f t="shared" si="185"/>
        <v>615040444.42999995</v>
      </c>
      <c r="CR32" s="62">
        <f t="shared" si="185"/>
        <v>660256615.85000086</v>
      </c>
      <c r="CS32" s="62">
        <f t="shared" si="185"/>
        <v>600687088.90000057</v>
      </c>
      <c r="CT32" s="62">
        <f t="shared" si="185"/>
        <v>583654906.26999962</v>
      </c>
      <c r="CU32" s="62">
        <f t="shared" si="185"/>
        <v>604308212.63378978</v>
      </c>
      <c r="CV32" s="62">
        <f t="shared" si="185"/>
        <v>626368025.94984519</v>
      </c>
      <c r="CW32" s="62">
        <f t="shared" si="185"/>
        <v>588430732.15858877</v>
      </c>
      <c r="CX32" s="62">
        <f t="shared" si="185"/>
        <v>588934143.8540529</v>
      </c>
      <c r="CY32" s="62">
        <f t="shared" si="185"/>
        <v>547589804.84205484</v>
      </c>
      <c r="CZ32" s="62">
        <f t="shared" si="185"/>
        <v>477519506.65412784</v>
      </c>
      <c r="DA32" s="62">
        <f t="shared" si="185"/>
        <v>558647536.60538828</v>
      </c>
      <c r="DB32" s="62">
        <f t="shared" si="185"/>
        <v>691806550.83144271</v>
      </c>
      <c r="DC32" s="62">
        <f t="shared" si="185"/>
        <v>770867768.36854017</v>
      </c>
      <c r="DD32" s="62">
        <f t="shared" si="185"/>
        <v>721384594.21925247</v>
      </c>
      <c r="DE32" s="62">
        <f t="shared" si="185"/>
        <v>703501970.26614523</v>
      </c>
      <c r="DF32" s="62">
        <f t="shared" si="185"/>
        <v>676444638.13945341</v>
      </c>
      <c r="DG32" s="62">
        <f t="shared" si="185"/>
        <v>755385265.79223704</v>
      </c>
      <c r="DH32" s="62">
        <f t="shared" si="185"/>
        <v>782960032.43730652</v>
      </c>
      <c r="DI32" s="62">
        <f t="shared" si="185"/>
        <v>735538415.19823575</v>
      </c>
      <c r="DJ32" s="62">
        <f t="shared" si="185"/>
        <v>736167679.8175658</v>
      </c>
      <c r="DK32" s="62">
        <f t="shared" si="185"/>
        <v>684487256.05256855</v>
      </c>
      <c r="DL32" s="62">
        <f t="shared" si="185"/>
        <v>596899383.3176595</v>
      </c>
      <c r="DM32" s="62">
        <f t="shared" si="185"/>
        <v>698309420.75673497</v>
      </c>
      <c r="DN32" s="62">
        <f t="shared" si="185"/>
        <v>864758188.5393033</v>
      </c>
      <c r="DO32" s="62">
        <f t="shared" si="185"/>
        <v>963584710.460675</v>
      </c>
      <c r="DP32" s="62">
        <f t="shared" si="185"/>
        <v>901730742.77406549</v>
      </c>
      <c r="DQ32" s="62">
        <f t="shared" si="185"/>
        <v>879377462.83268142</v>
      </c>
      <c r="DR32" s="63">
        <f t="shared" si="185"/>
        <v>845555797.67431688</v>
      </c>
      <c r="DS32" s="63">
        <f t="shared" ref="DS32:ED32" si="186">DS23-DS27</f>
        <v>906462318.95068455</v>
      </c>
      <c r="DT32" s="63">
        <f t="shared" si="186"/>
        <v>939552038.92476761</v>
      </c>
      <c r="DU32" s="63">
        <f t="shared" si="186"/>
        <v>882646098.23788285</v>
      </c>
      <c r="DV32" s="63">
        <f t="shared" si="186"/>
        <v>883401215.78107905</v>
      </c>
      <c r="DW32" s="63">
        <f t="shared" si="186"/>
        <v>821384707.26308215</v>
      </c>
      <c r="DX32" s="63">
        <f t="shared" si="186"/>
        <v>716279259.9811914</v>
      </c>
      <c r="DY32" s="63">
        <f t="shared" si="186"/>
        <v>837971304.90808213</v>
      </c>
      <c r="DZ32" s="63">
        <f t="shared" si="186"/>
        <v>1037709826.247164</v>
      </c>
      <c r="EA32" s="63">
        <f t="shared" si="186"/>
        <v>1156301652.5528102</v>
      </c>
      <c r="EB32" s="63">
        <f t="shared" si="186"/>
        <v>1082076891.3288789</v>
      </c>
      <c r="EC32" s="63">
        <f t="shared" si="186"/>
        <v>1055252955.3992176</v>
      </c>
      <c r="ED32" s="63">
        <f t="shared" si="186"/>
        <v>1014666957.2091801</v>
      </c>
      <c r="EE32" s="39" t="s">
        <v>1</v>
      </c>
      <c r="EF32" s="64"/>
      <c r="EG32" s="625">
        <f t="shared" si="185"/>
        <v>1060793850.2265561</v>
      </c>
      <c r="EH32" s="625">
        <f t="shared" ref="EH32:EZ32" si="187">EH23-EH27</f>
        <v>851512960.37319028</v>
      </c>
      <c r="EI32" s="625">
        <f t="shared" si="187"/>
        <v>888038037.33989453</v>
      </c>
      <c r="EJ32" s="625">
        <f t="shared" si="187"/>
        <v>830792903.52173293</v>
      </c>
      <c r="EK32" s="625">
        <f t="shared" si="187"/>
        <v>901577385.87995589</v>
      </c>
      <c r="EL32" s="625">
        <f t="shared" si="187"/>
        <v>785169676.68556333</v>
      </c>
      <c r="EM32" s="625">
        <f t="shared" si="187"/>
        <v>899358719.47962582</v>
      </c>
      <c r="EN32" s="625">
        <f t="shared" si="187"/>
        <v>1352823586.7870669</v>
      </c>
      <c r="EO32" s="625">
        <f t="shared" si="187"/>
        <v>1355223490.2324758</v>
      </c>
      <c r="EP32" s="625">
        <f t="shared" si="187"/>
        <v>1149373091.5399988</v>
      </c>
      <c r="EQ32" s="625">
        <f t="shared" si="187"/>
        <v>1543518998.4800005</v>
      </c>
      <c r="ER32" s="625">
        <f t="shared" si="187"/>
        <v>1844598611.0200007</v>
      </c>
      <c r="ES32" s="625">
        <f t="shared" si="187"/>
        <v>1819106970.742224</v>
      </c>
      <c r="ET32" s="625">
        <f t="shared" si="187"/>
        <v>1614043455.3502355</v>
      </c>
      <c r="EU32" s="625">
        <f t="shared" si="187"/>
        <v>2021321855.805371</v>
      </c>
      <c r="EV32" s="625">
        <f t="shared" si="187"/>
        <v>2101331202.6248507</v>
      </c>
      <c r="EW32" s="625">
        <f t="shared" si="187"/>
        <v>2273883713.4277792</v>
      </c>
      <c r="EX32" s="625">
        <f t="shared" si="187"/>
        <v>2017554319.1877935</v>
      </c>
      <c r="EY32" s="625">
        <f t="shared" si="187"/>
        <v>2526652319.7567134</v>
      </c>
      <c r="EZ32" s="625">
        <f t="shared" si="187"/>
        <v>2626664003.281064</v>
      </c>
      <c r="FA32" s="625">
        <f t="shared" ref="FA32:FD32" si="188">FA23-FA27</f>
        <v>2728660456.1133351</v>
      </c>
      <c r="FB32" s="625">
        <f t="shared" si="188"/>
        <v>2421065183.0253525</v>
      </c>
      <c r="FC32" s="625">
        <f t="shared" si="188"/>
        <v>3031982783.7080564</v>
      </c>
      <c r="FD32" s="625">
        <f t="shared" si="188"/>
        <v>3151996803.9372764</v>
      </c>
      <c r="FG32" s="65">
        <f t="shared" ref="FG32" si="189">FG23-FG27</f>
        <v>3938929368.8322124</v>
      </c>
      <c r="FH32" s="62">
        <f t="shared" ref="FH32:FK32" si="190">FH23-FH27</f>
        <v>5892714191.2724752</v>
      </c>
      <c r="FI32" s="62">
        <f t="shared" si="190"/>
        <v>7555803484.5226812</v>
      </c>
      <c r="FJ32" s="63">
        <f t="shared" si="190"/>
        <v>9444754355.6533508</v>
      </c>
      <c r="FK32" s="63">
        <f t="shared" si="190"/>
        <v>11333705226.784021</v>
      </c>
    </row>
    <row r="33" spans="2:167" ht="15" customHeight="1" x14ac:dyDescent="0.2">
      <c r="B33" s="48" t="s">
        <v>3</v>
      </c>
      <c r="C33" s="66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8"/>
      <c r="AD33" s="67"/>
      <c r="AE33" s="67"/>
      <c r="AF33" s="67"/>
      <c r="AG33" s="67"/>
      <c r="AH33" s="67"/>
      <c r="AI33" s="67"/>
      <c r="AJ33" s="67"/>
      <c r="AK33" s="68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>
        <f t="shared" si="185"/>
        <v>56354679.889340788</v>
      </c>
      <c r="BB33" s="67">
        <f t="shared" si="185"/>
        <v>61174392.22395993</v>
      </c>
      <c r="BC33" s="67">
        <f t="shared" si="185"/>
        <v>61968479.398360752</v>
      </c>
      <c r="BD33" s="67">
        <f t="shared" si="185"/>
        <v>110460350.36664441</v>
      </c>
      <c r="BE33" s="67">
        <f t="shared" si="185"/>
        <v>98808232.073956445</v>
      </c>
      <c r="BF33" s="67">
        <f t="shared" si="185"/>
        <v>118092505.13317162</v>
      </c>
      <c r="BG33" s="67">
        <f t="shared" si="185"/>
        <v>146078629.31799015</v>
      </c>
      <c r="BH33" s="67">
        <f t="shared" si="185"/>
        <v>111055209.63587551</v>
      </c>
      <c r="BI33" s="67">
        <f t="shared" si="185"/>
        <v>58641296.510690689</v>
      </c>
      <c r="BJ33" s="66">
        <f t="shared" si="185"/>
        <v>62461495.666845806</v>
      </c>
      <c r="BK33" s="67">
        <f t="shared" si="185"/>
        <v>38263858.887468778</v>
      </c>
      <c r="BL33" s="67">
        <f t="shared" si="185"/>
        <v>31852064.455909606</v>
      </c>
      <c r="BM33" s="67">
        <f t="shared" si="185"/>
        <v>32861632.388292208</v>
      </c>
      <c r="BN33" s="67">
        <f t="shared" si="185"/>
        <v>15007930.072862668</v>
      </c>
      <c r="BO33" s="67">
        <f t="shared" si="185"/>
        <v>12506854.475133361</v>
      </c>
      <c r="BP33" s="67">
        <f t="shared" si="185"/>
        <v>18016228.081381124</v>
      </c>
      <c r="BQ33" s="67">
        <f t="shared" si="185"/>
        <v>26210902.50961107</v>
      </c>
      <c r="BR33" s="67">
        <f t="shared" si="185"/>
        <v>51337489.827315532</v>
      </c>
      <c r="BS33" s="67">
        <f t="shared" si="185"/>
        <v>42224573.373376012</v>
      </c>
      <c r="BT33" s="67">
        <f t="shared" si="185"/>
        <v>25702084.027469877</v>
      </c>
      <c r="BU33" s="67">
        <f t="shared" si="185"/>
        <v>16908009.255458415</v>
      </c>
      <c r="BV33" s="67">
        <f t="shared" si="185"/>
        <v>30182213.010000095</v>
      </c>
      <c r="BW33" s="67">
        <f t="shared" si="185"/>
        <v>26949513.107160859</v>
      </c>
      <c r="BX33" s="67">
        <f t="shared" si="185"/>
        <v>21985032.490000028</v>
      </c>
      <c r="BY33" s="67">
        <f t="shared" si="185"/>
        <v>10012044.288044501</v>
      </c>
      <c r="BZ33" s="67">
        <f t="shared" si="185"/>
        <v>20996323.729999959</v>
      </c>
      <c r="CA33" s="67">
        <f t="shared" si="185"/>
        <v>29049862.460889407</v>
      </c>
      <c r="CB33" s="67">
        <f t="shared" si="185"/>
        <v>35597161.416921481</v>
      </c>
      <c r="CC33" s="67">
        <f t="shared" si="185"/>
        <v>24728968.423729159</v>
      </c>
      <c r="CD33" s="67">
        <f t="shared" si="185"/>
        <v>15298196.10693204</v>
      </c>
      <c r="CE33" s="67">
        <f t="shared" si="185"/>
        <v>35699023.78970772</v>
      </c>
      <c r="CF33" s="67">
        <f t="shared" si="185"/>
        <v>54695365.121644728</v>
      </c>
      <c r="CG33" s="67">
        <f t="shared" si="185"/>
        <v>34715518.644081555</v>
      </c>
      <c r="CH33" s="67">
        <f t="shared" si="185"/>
        <v>70183297.514498338</v>
      </c>
      <c r="CI33" s="67">
        <f t="shared" si="185"/>
        <v>57606412.641970262</v>
      </c>
      <c r="CJ33" s="67">
        <f t="shared" si="185"/>
        <v>54771013.429114297</v>
      </c>
      <c r="CK33" s="67">
        <f t="shared" si="185"/>
        <v>25570132.10982709</v>
      </c>
      <c r="CL33" s="67">
        <f t="shared" si="185"/>
        <v>28897290.690000005</v>
      </c>
      <c r="CM33" s="67">
        <f t="shared" si="185"/>
        <v>19061733.139999993</v>
      </c>
      <c r="CN33" s="67">
        <f t="shared" si="185"/>
        <v>16456142.869999995</v>
      </c>
      <c r="CO33" s="67">
        <f t="shared" si="185"/>
        <v>22314867.679999996</v>
      </c>
      <c r="CP33" s="67">
        <f t="shared" si="185"/>
        <v>41074206.989999972</v>
      </c>
      <c r="CQ33" s="67">
        <f t="shared" si="185"/>
        <v>71953565.539999947</v>
      </c>
      <c r="CR33" s="67">
        <f t="shared" si="185"/>
        <v>54209409.170000024</v>
      </c>
      <c r="CS33" s="67">
        <f t="shared" si="185"/>
        <v>37852484.590000041</v>
      </c>
      <c r="CT33" s="67">
        <f t="shared" ref="CT33:DR33" si="191">CT24-CT28</f>
        <v>25709118.759999748</v>
      </c>
      <c r="CU33" s="67">
        <f t="shared" si="191"/>
        <v>26322074.454294931</v>
      </c>
      <c r="CV33" s="67">
        <f t="shared" si="191"/>
        <v>27296930.526639558</v>
      </c>
      <c r="CW33" s="67">
        <f t="shared" si="191"/>
        <v>26148129.084323015</v>
      </c>
      <c r="CX33" s="67">
        <f t="shared" si="191"/>
        <v>26090280.415387914</v>
      </c>
      <c r="CY33" s="67">
        <f t="shared" si="191"/>
        <v>24358154.969266854</v>
      </c>
      <c r="CZ33" s="67">
        <f t="shared" si="191"/>
        <v>21150023.746860422</v>
      </c>
      <c r="DA33" s="67">
        <f t="shared" si="191"/>
        <v>24854713.102295667</v>
      </c>
      <c r="DB33" s="67">
        <f t="shared" si="191"/>
        <v>30496821.932175923</v>
      </c>
      <c r="DC33" s="67">
        <f t="shared" si="191"/>
        <v>33960597.985420346</v>
      </c>
      <c r="DD33" s="67">
        <f t="shared" si="191"/>
        <v>31997299.831677102</v>
      </c>
      <c r="DE33" s="67">
        <f t="shared" si="191"/>
        <v>31272652.794904534</v>
      </c>
      <c r="DF33" s="67">
        <f t="shared" si="191"/>
        <v>30169312.243460208</v>
      </c>
      <c r="DG33" s="67">
        <f t="shared" si="191"/>
        <v>32902593.067868657</v>
      </c>
      <c r="DH33" s="67">
        <f t="shared" si="191"/>
        <v>34121163.158299454</v>
      </c>
      <c r="DI33" s="67">
        <f t="shared" si="191"/>
        <v>32685161.35540377</v>
      </c>
      <c r="DJ33" s="67">
        <f t="shared" si="191"/>
        <v>32612850.519234881</v>
      </c>
      <c r="DK33" s="67">
        <f t="shared" si="191"/>
        <v>30447693.71158357</v>
      </c>
      <c r="DL33" s="67">
        <f t="shared" si="191"/>
        <v>26437529.683575526</v>
      </c>
      <c r="DM33" s="67">
        <f t="shared" si="191"/>
        <v>31068391.377869584</v>
      </c>
      <c r="DN33" s="67">
        <f t="shared" si="191"/>
        <v>38121027.41521991</v>
      </c>
      <c r="DO33" s="67">
        <f t="shared" si="191"/>
        <v>42450747.481775433</v>
      </c>
      <c r="DP33" s="67">
        <f t="shared" si="191"/>
        <v>39996624.789596379</v>
      </c>
      <c r="DQ33" s="67">
        <f t="shared" si="191"/>
        <v>39090815.99363067</v>
      </c>
      <c r="DR33" s="69">
        <f t="shared" si="191"/>
        <v>37711640.304325253</v>
      </c>
      <c r="DS33" s="69">
        <f t="shared" ref="DS33:ED33" si="192">DS24-DS28</f>
        <v>39483111.681442395</v>
      </c>
      <c r="DT33" s="69">
        <f t="shared" si="192"/>
        <v>40945395.789959334</v>
      </c>
      <c r="DU33" s="69">
        <f t="shared" si="192"/>
        <v>39222193.626484513</v>
      </c>
      <c r="DV33" s="69">
        <f t="shared" si="192"/>
        <v>39135420.623081848</v>
      </c>
      <c r="DW33" s="69">
        <f t="shared" si="192"/>
        <v>36537232.453900278</v>
      </c>
      <c r="DX33" s="69">
        <f t="shared" si="192"/>
        <v>31725035.620290626</v>
      </c>
      <c r="DY33" s="69">
        <f t="shared" si="192"/>
        <v>37282069.6534435</v>
      </c>
      <c r="DZ33" s="69">
        <f t="shared" si="192"/>
        <v>45745232.898263894</v>
      </c>
      <c r="EA33" s="69">
        <f t="shared" si="192"/>
        <v>50940896.978130512</v>
      </c>
      <c r="EB33" s="69">
        <f t="shared" si="192"/>
        <v>47995949.747515649</v>
      </c>
      <c r="EC33" s="69">
        <f t="shared" si="192"/>
        <v>46908979.192356795</v>
      </c>
      <c r="ED33" s="69">
        <f t="shared" si="192"/>
        <v>45253968.36519029</v>
      </c>
      <c r="EE33" s="39" t="s">
        <v>1</v>
      </c>
      <c r="EF33" s="68"/>
      <c r="EG33" s="629">
        <f t="shared" si="185"/>
        <v>102977555.7316706</v>
      </c>
      <c r="EH33" s="629">
        <f t="shared" ref="EH33:EZ33" si="193">EH24-EH28</f>
        <v>45531012.629377156</v>
      </c>
      <c r="EI33" s="629">
        <f t="shared" si="193"/>
        <v>119772965.71030262</v>
      </c>
      <c r="EJ33" s="629">
        <f t="shared" si="193"/>
        <v>72792306.292928383</v>
      </c>
      <c r="EK33" s="629">
        <f t="shared" si="193"/>
        <v>58946589.885205388</v>
      </c>
      <c r="EL33" s="629">
        <f t="shared" si="193"/>
        <v>85643347.60781084</v>
      </c>
      <c r="EM33" s="629">
        <f t="shared" si="193"/>
        <v>75726188.320368916</v>
      </c>
      <c r="EN33" s="629">
        <f t="shared" si="193"/>
        <v>159594181.28022462</v>
      </c>
      <c r="EO33" s="629">
        <f t="shared" si="193"/>
        <v>137947558.18091166</v>
      </c>
      <c r="EP33" s="629">
        <f t="shared" si="193"/>
        <v>64415166.699999996</v>
      </c>
      <c r="EQ33" s="629">
        <f t="shared" si="193"/>
        <v>135342640.20999989</v>
      </c>
      <c r="ER33" s="629">
        <f t="shared" si="193"/>
        <v>117771012.51999982</v>
      </c>
      <c r="ES33" s="629">
        <f t="shared" si="193"/>
        <v>79767134.065257505</v>
      </c>
      <c r="ET33" s="629">
        <f t="shared" si="193"/>
        <v>71598459.131515205</v>
      </c>
      <c r="EU33" s="629">
        <f t="shared" si="193"/>
        <v>89312133.019891933</v>
      </c>
      <c r="EV33" s="629">
        <f t="shared" si="193"/>
        <v>93439264.870041847</v>
      </c>
      <c r="EW33" s="629">
        <f t="shared" si="193"/>
        <v>99708917.581571862</v>
      </c>
      <c r="EX33" s="629">
        <f t="shared" si="193"/>
        <v>89498073.914393976</v>
      </c>
      <c r="EY33" s="629">
        <f t="shared" si="193"/>
        <v>111640166.27486493</v>
      </c>
      <c r="EZ33" s="629">
        <f t="shared" si="193"/>
        <v>116799081.08755231</v>
      </c>
      <c r="FA33" s="629">
        <f t="shared" ref="FA33:FD33" si="194">FA24-FA28</f>
        <v>119650701.09788625</v>
      </c>
      <c r="FB33" s="629">
        <f t="shared" si="194"/>
        <v>107397688.69727275</v>
      </c>
      <c r="FC33" s="629">
        <f t="shared" si="194"/>
        <v>133968199.52983786</v>
      </c>
      <c r="FD33" s="629">
        <f t="shared" si="194"/>
        <v>140158897.30506274</v>
      </c>
      <c r="FG33" s="70">
        <f t="shared" ref="FG33:FG39" si="195">SUM(EK33:EN33)</f>
        <v>379910307.09360981</v>
      </c>
      <c r="FH33" s="67">
        <f t="shared" ref="FH33:FJ33" si="196">FH24-FH28</f>
        <v>455476377.61091131</v>
      </c>
      <c r="FI33" s="67">
        <f t="shared" si="196"/>
        <v>334116991.08670652</v>
      </c>
      <c r="FJ33" s="69">
        <f t="shared" si="196"/>
        <v>417646238.85838306</v>
      </c>
      <c r="FK33" s="69">
        <f t="shared" ref="FK33" si="197">FK24-FK28</f>
        <v>501175486.6300596</v>
      </c>
    </row>
    <row r="34" spans="2:167" ht="15" customHeight="1" x14ac:dyDescent="0.2">
      <c r="B34" s="48" t="s">
        <v>4</v>
      </c>
      <c r="C34" s="66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8"/>
      <c r="AD34" s="67"/>
      <c r="AE34" s="67"/>
      <c r="AF34" s="67"/>
      <c r="AG34" s="67"/>
      <c r="AH34" s="67"/>
      <c r="AI34" s="67"/>
      <c r="AJ34" s="67"/>
      <c r="AK34" s="68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>
        <f t="shared" si="185"/>
        <v>193270734.46744874</v>
      </c>
      <c r="BB34" s="67">
        <f t="shared" si="185"/>
        <v>228658786.61793149</v>
      </c>
      <c r="BC34" s="67">
        <f t="shared" si="185"/>
        <v>247374313.06051609</v>
      </c>
      <c r="BD34" s="67">
        <f t="shared" si="185"/>
        <v>207766014.90516132</v>
      </c>
      <c r="BE34" s="67">
        <f t="shared" si="185"/>
        <v>274229436.13135159</v>
      </c>
      <c r="BF34" s="67">
        <f t="shared" si="185"/>
        <v>285866387.55443716</v>
      </c>
      <c r="BG34" s="67">
        <f t="shared" si="185"/>
        <v>367014068.20129722</v>
      </c>
      <c r="BH34" s="67">
        <f t="shared" si="185"/>
        <v>351897725.67455655</v>
      </c>
      <c r="BI34" s="67">
        <f t="shared" si="185"/>
        <v>314067836.2430504</v>
      </c>
      <c r="BJ34" s="66">
        <f t="shared" si="185"/>
        <v>349628944.59184307</v>
      </c>
      <c r="BK34" s="67">
        <f t="shared" si="185"/>
        <v>341517118.57047027</v>
      </c>
      <c r="BL34" s="67">
        <f t="shared" si="185"/>
        <v>355859546.94250011</v>
      </c>
      <c r="BM34" s="67">
        <f t="shared" si="185"/>
        <v>260439628.98191494</v>
      </c>
      <c r="BN34" s="67">
        <f t="shared" si="185"/>
        <v>260726351.96468139</v>
      </c>
      <c r="BO34" s="67">
        <f t="shared" si="185"/>
        <v>279889451.52137029</v>
      </c>
      <c r="BP34" s="67">
        <f t="shared" si="185"/>
        <v>265366144.25776145</v>
      </c>
      <c r="BQ34" s="67">
        <f t="shared" si="185"/>
        <v>239405456.29547977</v>
      </c>
      <c r="BR34" s="67">
        <f t="shared" si="185"/>
        <v>275692574.43007237</v>
      </c>
      <c r="BS34" s="67">
        <f t="shared" si="185"/>
        <v>253167040.90403977</v>
      </c>
      <c r="BT34" s="67">
        <f t="shared" si="185"/>
        <v>239897899.69968551</v>
      </c>
      <c r="BU34" s="67">
        <f t="shared" si="185"/>
        <v>260809485.29382575</v>
      </c>
      <c r="BV34" s="67">
        <f t="shared" si="185"/>
        <v>257293212.23529339</v>
      </c>
      <c r="BW34" s="67">
        <f t="shared" si="185"/>
        <v>271343620.67397547</v>
      </c>
      <c r="BX34" s="67">
        <f t="shared" si="185"/>
        <v>286812047.64009202</v>
      </c>
      <c r="BY34" s="67">
        <f t="shared" si="185"/>
        <v>284475127.6806829</v>
      </c>
      <c r="BZ34" s="67">
        <f t="shared" si="185"/>
        <v>257595892.58786389</v>
      </c>
      <c r="CA34" s="67">
        <f t="shared" si="185"/>
        <v>240557244.02107728</v>
      </c>
      <c r="CB34" s="67">
        <f t="shared" si="185"/>
        <v>201373192.46881133</v>
      </c>
      <c r="CC34" s="67">
        <f t="shared" si="185"/>
        <v>258071731.9677676</v>
      </c>
      <c r="CD34" s="67">
        <f t="shared" si="185"/>
        <v>273089011.37889194</v>
      </c>
      <c r="CE34" s="67">
        <f t="shared" si="185"/>
        <v>292471787.81259745</v>
      </c>
      <c r="CF34" s="67">
        <f t="shared" si="185"/>
        <v>321514777.75202525</v>
      </c>
      <c r="CG34" s="67">
        <f t="shared" si="185"/>
        <v>399782028.58767378</v>
      </c>
      <c r="CH34" s="67">
        <f t="shared" si="185"/>
        <v>471932599.16714323</v>
      </c>
      <c r="CI34" s="67">
        <f t="shared" si="185"/>
        <v>401471530.9446041</v>
      </c>
      <c r="CJ34" s="67">
        <f t="shared" si="185"/>
        <v>397517946.27105093</v>
      </c>
      <c r="CK34" s="67">
        <f t="shared" si="185"/>
        <v>418286454.83590895</v>
      </c>
      <c r="CL34" s="67">
        <f t="shared" si="185"/>
        <v>419168912.45000005</v>
      </c>
      <c r="CM34" s="67">
        <f t="shared" si="185"/>
        <v>357764886.49999928</v>
      </c>
      <c r="CN34" s="67">
        <f t="shared" si="185"/>
        <v>308024125.88999963</v>
      </c>
      <c r="CO34" s="67">
        <f t="shared" si="185"/>
        <v>399140509.7900005</v>
      </c>
      <c r="CP34" s="67">
        <f t="shared" si="185"/>
        <v>465948969.58999997</v>
      </c>
      <c r="CQ34" s="67">
        <f t="shared" si="185"/>
        <v>543086878.88999987</v>
      </c>
      <c r="CR34" s="67">
        <f t="shared" si="185"/>
        <v>606047206.68000078</v>
      </c>
      <c r="CS34" s="67">
        <f t="shared" si="185"/>
        <v>562834604.31000042</v>
      </c>
      <c r="CT34" s="67">
        <f t="shared" ref="CT34:DR34" si="198">CT25-CT29</f>
        <v>557945787.50999987</v>
      </c>
      <c r="CU34" s="67">
        <f t="shared" si="198"/>
        <v>577986138.17949486</v>
      </c>
      <c r="CV34" s="67">
        <f t="shared" si="198"/>
        <v>599071095.42320573</v>
      </c>
      <c r="CW34" s="67">
        <f t="shared" si="198"/>
        <v>562282603.07426572</v>
      </c>
      <c r="CX34" s="67">
        <f t="shared" si="198"/>
        <v>562843863.43866491</v>
      </c>
      <c r="CY34" s="67">
        <f t="shared" si="198"/>
        <v>523231649.87278813</v>
      </c>
      <c r="CZ34" s="67">
        <f t="shared" si="198"/>
        <v>456369482.90726739</v>
      </c>
      <c r="DA34" s="67">
        <f t="shared" si="198"/>
        <v>533792823.50309265</v>
      </c>
      <c r="DB34" s="67">
        <f t="shared" si="198"/>
        <v>661309728.89926684</v>
      </c>
      <c r="DC34" s="67">
        <f t="shared" si="198"/>
        <v>736907170.38311982</v>
      </c>
      <c r="DD34" s="67">
        <f t="shared" si="198"/>
        <v>689387294.38757539</v>
      </c>
      <c r="DE34" s="67">
        <f t="shared" si="198"/>
        <v>672229317.47124076</v>
      </c>
      <c r="DF34" s="67">
        <f t="shared" si="198"/>
        <v>646275325.89599335</v>
      </c>
      <c r="DG34" s="67">
        <f t="shared" si="198"/>
        <v>722482672.72436833</v>
      </c>
      <c r="DH34" s="67">
        <f t="shared" si="198"/>
        <v>748838869.27900708</v>
      </c>
      <c r="DI34" s="67">
        <f t="shared" si="198"/>
        <v>702853253.84283197</v>
      </c>
      <c r="DJ34" s="67">
        <f t="shared" si="198"/>
        <v>703554829.2983309</v>
      </c>
      <c r="DK34" s="67">
        <f t="shared" si="198"/>
        <v>654039562.34098494</v>
      </c>
      <c r="DL34" s="67">
        <f t="shared" si="198"/>
        <v>570461853.63408399</v>
      </c>
      <c r="DM34" s="67">
        <f t="shared" si="198"/>
        <v>667241029.37886548</v>
      </c>
      <c r="DN34" s="67">
        <f t="shared" si="198"/>
        <v>826637161.12408328</v>
      </c>
      <c r="DO34" s="67">
        <f t="shared" si="198"/>
        <v>921133962.97889948</v>
      </c>
      <c r="DP34" s="67">
        <f t="shared" si="198"/>
        <v>861734117.98446906</v>
      </c>
      <c r="DQ34" s="67">
        <f t="shared" si="198"/>
        <v>840286646.83905077</v>
      </c>
      <c r="DR34" s="69">
        <f t="shared" si="198"/>
        <v>807844157.36999166</v>
      </c>
      <c r="DS34" s="69">
        <f t="shared" ref="DS34:ED34" si="199">DS25-DS29</f>
        <v>866979207.26924217</v>
      </c>
      <c r="DT34" s="69">
        <f t="shared" si="199"/>
        <v>898606643.1348083</v>
      </c>
      <c r="DU34" s="69">
        <f t="shared" si="199"/>
        <v>843423904.61139834</v>
      </c>
      <c r="DV34" s="69">
        <f t="shared" si="199"/>
        <v>844265795.15799701</v>
      </c>
      <c r="DW34" s="69">
        <f t="shared" si="199"/>
        <v>784847474.80918181</v>
      </c>
      <c r="DX34" s="69">
        <f t="shared" si="199"/>
        <v>684554224.36090076</v>
      </c>
      <c r="DY34" s="69">
        <f t="shared" si="199"/>
        <v>800689235.25463855</v>
      </c>
      <c r="DZ34" s="69">
        <f t="shared" si="199"/>
        <v>991964593.3489002</v>
      </c>
      <c r="EA34" s="69">
        <f t="shared" si="199"/>
        <v>1105360755.5746796</v>
      </c>
      <c r="EB34" s="69">
        <f t="shared" si="199"/>
        <v>1034080941.5813631</v>
      </c>
      <c r="EC34" s="69">
        <f t="shared" si="199"/>
        <v>1008343976.2068609</v>
      </c>
      <c r="ED34" s="69">
        <f t="shared" si="199"/>
        <v>969412988.84398985</v>
      </c>
      <c r="EE34" s="39" t="s">
        <v>1</v>
      </c>
      <c r="EF34" s="68"/>
      <c r="EG34" s="629">
        <f t="shared" si="185"/>
        <v>957816294.49488544</v>
      </c>
      <c r="EH34" s="629">
        <f t="shared" ref="EH34:EZ34" si="200">EH25-EH29</f>
        <v>805981947.74381316</v>
      </c>
      <c r="EI34" s="629">
        <f t="shared" si="200"/>
        <v>768265071.62959194</v>
      </c>
      <c r="EJ34" s="629">
        <f t="shared" si="200"/>
        <v>758000597.22880447</v>
      </c>
      <c r="EK34" s="629">
        <f t="shared" si="200"/>
        <v>842630795.99475038</v>
      </c>
      <c r="EL34" s="629">
        <f t="shared" si="200"/>
        <v>699526329.07775247</v>
      </c>
      <c r="EM34" s="629">
        <f t="shared" si="200"/>
        <v>823632531.15925694</v>
      </c>
      <c r="EN34" s="629">
        <f t="shared" si="200"/>
        <v>1193229405.5068424</v>
      </c>
      <c r="EO34" s="629">
        <f t="shared" si="200"/>
        <v>1217275932.0515642</v>
      </c>
      <c r="EP34" s="629">
        <f t="shared" si="200"/>
        <v>1084957924.839999</v>
      </c>
      <c r="EQ34" s="629">
        <f t="shared" si="200"/>
        <v>1408176358.2700002</v>
      </c>
      <c r="ER34" s="629">
        <f t="shared" si="200"/>
        <v>1726827598.500001</v>
      </c>
      <c r="ES34" s="629">
        <f t="shared" si="200"/>
        <v>1739339836.6769664</v>
      </c>
      <c r="ET34" s="629">
        <f t="shared" si="200"/>
        <v>1542444996.2187204</v>
      </c>
      <c r="EU34" s="629">
        <f t="shared" si="200"/>
        <v>1932009722.7854791</v>
      </c>
      <c r="EV34" s="629">
        <f t="shared" si="200"/>
        <v>2007891937.7548091</v>
      </c>
      <c r="EW34" s="629">
        <f t="shared" si="200"/>
        <v>2174174795.8462076</v>
      </c>
      <c r="EX34" s="629">
        <f t="shared" si="200"/>
        <v>1928056245.2733994</v>
      </c>
      <c r="EY34" s="629">
        <f t="shared" si="200"/>
        <v>2415012153.4818482</v>
      </c>
      <c r="EZ34" s="629">
        <f t="shared" si="200"/>
        <v>2509864922.1935115</v>
      </c>
      <c r="FA34" s="629">
        <f t="shared" ref="FA34:FD34" si="201">FA25-FA29</f>
        <v>2609009755.015449</v>
      </c>
      <c r="FB34" s="629">
        <f t="shared" si="201"/>
        <v>2313667494.3280797</v>
      </c>
      <c r="FC34" s="629">
        <f t="shared" si="201"/>
        <v>2898014584.1782184</v>
      </c>
      <c r="FD34" s="629">
        <f t="shared" si="201"/>
        <v>3011837906.6322141</v>
      </c>
      <c r="FG34" s="70">
        <f t="shared" si="195"/>
        <v>3559019061.7386026</v>
      </c>
      <c r="FH34" s="67">
        <f t="shared" ref="FH34:FJ34" si="202">FH25-FH29</f>
        <v>5437237813.6615639</v>
      </c>
      <c r="FI34" s="67">
        <f t="shared" si="202"/>
        <v>7221686493.4359741</v>
      </c>
      <c r="FJ34" s="69">
        <f t="shared" si="202"/>
        <v>9027108116.7949677</v>
      </c>
      <c r="FK34" s="69">
        <f t="shared" ref="FK34" si="203">FK25-FK29</f>
        <v>10832529740.153961</v>
      </c>
    </row>
    <row r="35" spans="2:167" ht="15" customHeight="1" x14ac:dyDescent="0.2">
      <c r="B35" s="48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8"/>
      <c r="AD35" s="67"/>
      <c r="AE35" s="67"/>
      <c r="AF35" s="67"/>
      <c r="AG35" s="67"/>
      <c r="AH35" s="67"/>
      <c r="AI35" s="67"/>
      <c r="AJ35" s="67"/>
      <c r="AK35" s="68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6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9"/>
      <c r="DS35" s="69"/>
      <c r="DT35" s="69"/>
      <c r="DU35" s="69"/>
      <c r="DV35" s="69"/>
      <c r="DW35" s="69"/>
      <c r="DX35" s="69"/>
      <c r="DY35" s="69"/>
      <c r="DZ35" s="69"/>
      <c r="EA35" s="69"/>
      <c r="EB35" s="69"/>
      <c r="EC35" s="69"/>
      <c r="ED35" s="69"/>
      <c r="EE35" s="39" t="s">
        <v>1</v>
      </c>
      <c r="EF35" s="68"/>
      <c r="EG35" s="629"/>
      <c r="EH35" s="629"/>
      <c r="EI35" s="629"/>
      <c r="EJ35" s="629"/>
      <c r="EK35" s="629"/>
      <c r="EL35" s="629"/>
      <c r="EM35" s="629"/>
      <c r="EN35" s="629"/>
      <c r="EO35" s="629"/>
      <c r="EP35" s="629"/>
      <c r="EQ35" s="629"/>
      <c r="ER35" s="629"/>
      <c r="ES35" s="629"/>
      <c r="ET35" s="629"/>
      <c r="EU35" s="629"/>
      <c r="EV35" s="629"/>
      <c r="EW35" s="629"/>
      <c r="EX35" s="629"/>
      <c r="EY35" s="629"/>
      <c r="EZ35" s="629"/>
      <c r="FA35" s="629"/>
      <c r="FB35" s="629"/>
      <c r="FC35" s="629"/>
      <c r="FD35" s="629"/>
      <c r="FG35" s="70">
        <f t="shared" si="195"/>
        <v>0</v>
      </c>
      <c r="FH35" s="67"/>
      <c r="FI35" s="67"/>
      <c r="FJ35" s="69"/>
      <c r="FK35" s="619"/>
    </row>
    <row r="36" spans="2:167" ht="15.75" customHeight="1" x14ac:dyDescent="0.2">
      <c r="B36" s="48" t="s">
        <v>5</v>
      </c>
      <c r="C36" s="66">
        <f t="shared" ref="C36:EG38" si="204">C7-C15</f>
        <v>32077</v>
      </c>
      <c r="D36" s="67">
        <f t="shared" si="204"/>
        <v>28685</v>
      </c>
      <c r="E36" s="67">
        <f t="shared" si="204"/>
        <v>34758</v>
      </c>
      <c r="F36" s="67">
        <f t="shared" si="204"/>
        <v>39298</v>
      </c>
      <c r="G36" s="67">
        <f t="shared" si="204"/>
        <v>47222</v>
      </c>
      <c r="H36" s="67">
        <f t="shared" si="204"/>
        <v>49152</v>
      </c>
      <c r="I36" s="67">
        <f t="shared" si="204"/>
        <v>52716</v>
      </c>
      <c r="J36" s="67">
        <f t="shared" si="204"/>
        <v>52798</v>
      </c>
      <c r="K36" s="67">
        <f t="shared" si="204"/>
        <v>67323</v>
      </c>
      <c r="L36" s="67">
        <f t="shared" si="204"/>
        <v>62990</v>
      </c>
      <c r="M36" s="67">
        <f t="shared" si="204"/>
        <v>67278</v>
      </c>
      <c r="N36" s="67">
        <f t="shared" si="204"/>
        <v>53088</v>
      </c>
      <c r="O36" s="67">
        <f t="shared" si="204"/>
        <v>72387</v>
      </c>
      <c r="P36" s="67">
        <f t="shared" si="204"/>
        <v>75629</v>
      </c>
      <c r="Q36" s="67">
        <f t="shared" si="204"/>
        <v>76373</v>
      </c>
      <c r="R36" s="67">
        <f t="shared" si="204"/>
        <v>71613</v>
      </c>
      <c r="S36" s="67">
        <f t="shared" si="204"/>
        <v>63107</v>
      </c>
      <c r="T36" s="67">
        <f t="shared" si="204"/>
        <v>56070</v>
      </c>
      <c r="U36" s="67">
        <f t="shared" si="204"/>
        <v>45887</v>
      </c>
      <c r="V36" s="67">
        <f t="shared" si="204"/>
        <v>53361</v>
      </c>
      <c r="W36" s="67">
        <f t="shared" si="204"/>
        <v>66249</v>
      </c>
      <c r="X36" s="67">
        <f t="shared" si="204"/>
        <v>66221</v>
      </c>
      <c r="Y36" s="67">
        <f t="shared" si="204"/>
        <v>82599</v>
      </c>
      <c r="Z36" s="67">
        <f t="shared" si="204"/>
        <v>53879</v>
      </c>
      <c r="AA36" s="67">
        <f t="shared" si="204"/>
        <v>-9</v>
      </c>
      <c r="AB36" s="67">
        <f t="shared" si="204"/>
        <v>39615</v>
      </c>
      <c r="AC36" s="68">
        <f t="shared" si="204"/>
        <v>42144</v>
      </c>
      <c r="AD36" s="67">
        <f t="shared" si="204"/>
        <v>23101</v>
      </c>
      <c r="AE36" s="67">
        <f t="shared" si="204"/>
        <v>42428</v>
      </c>
      <c r="AF36" s="67">
        <f t="shared" si="204"/>
        <v>37510</v>
      </c>
      <c r="AG36" s="67">
        <f t="shared" si="204"/>
        <v>38033</v>
      </c>
      <c r="AH36" s="67">
        <f t="shared" si="204"/>
        <v>52152</v>
      </c>
      <c r="AI36" s="67">
        <f t="shared" si="204"/>
        <v>65623</v>
      </c>
      <c r="AJ36" s="67">
        <f t="shared" si="204"/>
        <v>50097</v>
      </c>
      <c r="AK36" s="68">
        <f t="shared" si="204"/>
        <v>68912</v>
      </c>
      <c r="AL36" s="67">
        <f t="shared" si="204"/>
        <v>58359</v>
      </c>
      <c r="AM36" s="67">
        <f t="shared" si="204"/>
        <v>39373</v>
      </c>
      <c r="AN36" s="67">
        <f t="shared" si="204"/>
        <v>20126</v>
      </c>
      <c r="AO36" s="67">
        <f t="shared" si="204"/>
        <v>44621</v>
      </c>
      <c r="AP36" s="67">
        <f t="shared" si="204"/>
        <v>64902</v>
      </c>
      <c r="AQ36" s="67">
        <f t="shared" si="204"/>
        <v>67514</v>
      </c>
      <c r="AR36" s="67">
        <f t="shared" si="204"/>
        <v>62399</v>
      </c>
      <c r="AS36" s="67">
        <f t="shared" si="204"/>
        <v>54021</v>
      </c>
      <c r="AT36" s="67">
        <f t="shared" si="204"/>
        <v>70785</v>
      </c>
      <c r="AU36" s="67">
        <f t="shared" si="204"/>
        <v>86904</v>
      </c>
      <c r="AV36" s="67">
        <f t="shared" si="204"/>
        <v>78350</v>
      </c>
      <c r="AW36" s="67">
        <f t="shared" si="204"/>
        <v>71272</v>
      </c>
      <c r="AX36" s="67">
        <f t="shared" si="204"/>
        <v>64414</v>
      </c>
      <c r="AY36" s="67">
        <f t="shared" si="204"/>
        <v>58747</v>
      </c>
      <c r="AZ36" s="67">
        <f t="shared" si="204"/>
        <v>64291</v>
      </c>
      <c r="BA36" s="67">
        <f t="shared" si="204"/>
        <v>42923</v>
      </c>
      <c r="BB36" s="67">
        <f t="shared" si="204"/>
        <v>52724</v>
      </c>
      <c r="BC36" s="67">
        <f t="shared" si="204"/>
        <v>55751</v>
      </c>
      <c r="BD36" s="67">
        <f t="shared" si="204"/>
        <v>60752</v>
      </c>
      <c r="BE36" s="67">
        <f t="shared" si="204"/>
        <v>56404</v>
      </c>
      <c r="BF36" s="67">
        <f t="shared" si="204"/>
        <v>61515</v>
      </c>
      <c r="BG36" s="67">
        <f t="shared" si="204"/>
        <v>77757</v>
      </c>
      <c r="BH36" s="67">
        <f t="shared" si="204"/>
        <v>68844</v>
      </c>
      <c r="BI36" s="67">
        <f t="shared" si="204"/>
        <v>54352</v>
      </c>
      <c r="BJ36" s="66">
        <f t="shared" si="204"/>
        <v>63463</v>
      </c>
      <c r="BK36" s="67">
        <f t="shared" si="204"/>
        <v>52095</v>
      </c>
      <c r="BL36" s="67">
        <f t="shared" si="204"/>
        <v>50869</v>
      </c>
      <c r="BM36" s="67">
        <f t="shared" si="204"/>
        <v>37278</v>
      </c>
      <c r="BN36" s="67">
        <f t="shared" si="204"/>
        <v>37858</v>
      </c>
      <c r="BO36" s="67">
        <f t="shared" si="204"/>
        <v>41284</v>
      </c>
      <c r="BP36" s="67">
        <f t="shared" si="204"/>
        <v>41474</v>
      </c>
      <c r="BQ36" s="67">
        <f t="shared" si="204"/>
        <v>34830</v>
      </c>
      <c r="BR36" s="67">
        <f t="shared" si="204"/>
        <v>43285</v>
      </c>
      <c r="BS36" s="67">
        <f t="shared" si="204"/>
        <v>31222</v>
      </c>
      <c r="BT36" s="67">
        <f t="shared" si="204"/>
        <v>29041</v>
      </c>
      <c r="BU36" s="67">
        <f t="shared" si="204"/>
        <v>30017</v>
      </c>
      <c r="BV36" s="67">
        <f t="shared" si="204"/>
        <v>29941</v>
      </c>
      <c r="BW36" s="67">
        <f t="shared" si="204"/>
        <v>31452</v>
      </c>
      <c r="BX36" s="67">
        <f t="shared" si="204"/>
        <v>35266</v>
      </c>
      <c r="BY36" s="67">
        <f t="shared" si="204"/>
        <v>33841</v>
      </c>
      <c r="BZ36" s="67">
        <f t="shared" si="204"/>
        <v>35750</v>
      </c>
      <c r="CA36" s="67">
        <f t="shared" si="204"/>
        <v>31293</v>
      </c>
      <c r="CB36" s="67">
        <f t="shared" si="204"/>
        <v>27648</v>
      </c>
      <c r="CC36" s="67">
        <f t="shared" si="204"/>
        <v>29614</v>
      </c>
      <c r="CD36" s="67">
        <f t="shared" si="204"/>
        <v>32314</v>
      </c>
      <c r="CE36" s="67">
        <f t="shared" si="204"/>
        <v>41872</v>
      </c>
      <c r="CF36" s="67">
        <f t="shared" si="204"/>
        <v>47777</v>
      </c>
      <c r="CG36" s="67">
        <f t="shared" si="204"/>
        <v>44343</v>
      </c>
      <c r="CH36" s="67">
        <f t="shared" si="204"/>
        <v>56164</v>
      </c>
      <c r="CI36" s="67">
        <f t="shared" si="204"/>
        <v>48992</v>
      </c>
      <c r="CJ36" s="67">
        <f t="shared" si="204"/>
        <v>51123</v>
      </c>
      <c r="CK36" s="67">
        <f t="shared" si="204"/>
        <v>46922.368421052633</v>
      </c>
      <c r="CL36" s="67">
        <f t="shared" si="204"/>
        <v>47845</v>
      </c>
      <c r="CM36" s="67">
        <f t="shared" si="204"/>
        <v>44174</v>
      </c>
      <c r="CN36" s="67">
        <f t="shared" si="204"/>
        <v>38572</v>
      </c>
      <c r="CO36" s="67">
        <f t="shared" si="204"/>
        <v>45287</v>
      </c>
      <c r="CP36" s="67">
        <f t="shared" si="204"/>
        <v>56546</v>
      </c>
      <c r="CQ36" s="67">
        <f t="shared" si="204"/>
        <v>62538</v>
      </c>
      <c r="CR36" s="67">
        <f t="shared" si="204"/>
        <v>59086</v>
      </c>
      <c r="CS36" s="67">
        <f t="shared" si="204"/>
        <v>57416.564144000004</v>
      </c>
      <c r="CT36" s="67">
        <f t="shared" ref="CT36:DR36" si="205">CT7-CT15</f>
        <v>54821.372687599993</v>
      </c>
      <c r="CU36" s="67">
        <f t="shared" si="205"/>
        <v>65019.181533881332</v>
      </c>
      <c r="CV36" s="67">
        <f t="shared" si="205"/>
        <v>67399.727875252342</v>
      </c>
      <c r="CW36" s="67">
        <f t="shared" si="205"/>
        <v>63572.51181093786</v>
      </c>
      <c r="CX36" s="67">
        <f t="shared" si="205"/>
        <v>63586.353581892479</v>
      </c>
      <c r="CY36" s="67">
        <f t="shared" si="205"/>
        <v>59172.738679872913</v>
      </c>
      <c r="CZ36" s="67">
        <f t="shared" si="205"/>
        <v>51554.807559096051</v>
      </c>
      <c r="DA36" s="67">
        <f t="shared" si="205"/>
        <v>60370.007730844874</v>
      </c>
      <c r="DB36" s="67">
        <f t="shared" si="205"/>
        <v>74617.119789671589</v>
      </c>
      <c r="DC36" s="67">
        <f t="shared" si="205"/>
        <v>83133.681436905434</v>
      </c>
      <c r="DD36" s="67">
        <f t="shared" si="205"/>
        <v>77906.724150091221</v>
      </c>
      <c r="DE36" s="67">
        <f t="shared" si="205"/>
        <v>76010.115028125598</v>
      </c>
      <c r="DF36" s="67">
        <f t="shared" si="205"/>
        <v>73136.953943496788</v>
      </c>
      <c r="DG36" s="67">
        <f t="shared" si="205"/>
        <v>81273.976917351654</v>
      </c>
      <c r="DH36" s="67">
        <f t="shared" si="205"/>
        <v>84249.659844065434</v>
      </c>
      <c r="DI36" s="67">
        <f t="shared" si="205"/>
        <v>79465.639763672327</v>
      </c>
      <c r="DJ36" s="67">
        <f t="shared" si="205"/>
        <v>79482.941977365583</v>
      </c>
      <c r="DK36" s="67">
        <f t="shared" si="205"/>
        <v>73965.923349841149</v>
      </c>
      <c r="DL36" s="67">
        <f t="shared" si="205"/>
        <v>64443.509448870056</v>
      </c>
      <c r="DM36" s="67">
        <f t="shared" si="205"/>
        <v>75462.509663556091</v>
      </c>
      <c r="DN36" s="67">
        <f t="shared" si="205"/>
        <v>93271.399737089494</v>
      </c>
      <c r="DO36" s="67">
        <f t="shared" si="205"/>
        <v>103917.1017961318</v>
      </c>
      <c r="DP36" s="67">
        <f t="shared" si="205"/>
        <v>97383.405187614029</v>
      </c>
      <c r="DQ36" s="67">
        <f t="shared" si="205"/>
        <v>95012.643785156994</v>
      </c>
      <c r="DR36" s="69">
        <f t="shared" si="205"/>
        <v>91421.192429370974</v>
      </c>
      <c r="DS36" s="69">
        <f t="shared" ref="DS36:ED36" si="206">DS7-DS15</f>
        <v>97528.772300822005</v>
      </c>
      <c r="DT36" s="69">
        <f t="shared" si="206"/>
        <v>101099.59181287851</v>
      </c>
      <c r="DU36" s="69">
        <f t="shared" si="206"/>
        <v>95358.767716406786</v>
      </c>
      <c r="DV36" s="69">
        <f t="shared" si="206"/>
        <v>95379.530372838708</v>
      </c>
      <c r="DW36" s="69">
        <f t="shared" si="206"/>
        <v>88759.10801980937</v>
      </c>
      <c r="DX36" s="69">
        <f t="shared" si="206"/>
        <v>77332.211338644061</v>
      </c>
      <c r="DY36" s="69">
        <f t="shared" si="206"/>
        <v>90555.011596267315</v>
      </c>
      <c r="DZ36" s="69">
        <f t="shared" si="206"/>
        <v>111925.6796845074</v>
      </c>
      <c r="EA36" s="69">
        <f t="shared" si="206"/>
        <v>124700.52215535815</v>
      </c>
      <c r="EB36" s="69">
        <f t="shared" si="206"/>
        <v>116860.08622513684</v>
      </c>
      <c r="EC36" s="69">
        <f t="shared" si="206"/>
        <v>114015.1725421884</v>
      </c>
      <c r="ED36" s="69">
        <f t="shared" si="206"/>
        <v>109705.43091524518</v>
      </c>
      <c r="EE36" s="39" t="s">
        <v>1</v>
      </c>
      <c r="EF36" s="68"/>
      <c r="EG36" s="629">
        <f t="shared" si="204"/>
        <v>140242</v>
      </c>
      <c r="EH36" s="629">
        <f t="shared" ref="EH36:EZ36" si="207">EH7-EH15</f>
        <v>120616</v>
      </c>
      <c r="EI36" s="629">
        <f t="shared" si="207"/>
        <v>109337</v>
      </c>
      <c r="EJ36" s="629">
        <f t="shared" si="207"/>
        <v>88999</v>
      </c>
      <c r="EK36" s="629">
        <f t="shared" si="207"/>
        <v>100559</v>
      </c>
      <c r="EL36" s="629">
        <f t="shared" si="207"/>
        <v>94691</v>
      </c>
      <c r="EM36" s="629">
        <f t="shared" si="207"/>
        <v>103800</v>
      </c>
      <c r="EN36" s="629">
        <f t="shared" si="207"/>
        <v>148284</v>
      </c>
      <c r="EO36" s="629">
        <f t="shared" si="207"/>
        <v>147037.36842105264</v>
      </c>
      <c r="EP36" s="629">
        <f t="shared" si="207"/>
        <v>130591</v>
      </c>
      <c r="EQ36" s="629">
        <f t="shared" si="207"/>
        <v>164371</v>
      </c>
      <c r="ER36" s="629">
        <f t="shared" si="207"/>
        <v>171323.9368316</v>
      </c>
      <c r="ES36" s="629">
        <f t="shared" si="207"/>
        <v>195991.42122007153</v>
      </c>
      <c r="ET36" s="629">
        <f t="shared" si="207"/>
        <v>174313.89982086144</v>
      </c>
      <c r="EU36" s="629">
        <f t="shared" si="207"/>
        <v>218120.80895742189</v>
      </c>
      <c r="EV36" s="629">
        <f t="shared" si="207"/>
        <v>227053.79312171359</v>
      </c>
      <c r="EW36" s="629">
        <f t="shared" si="207"/>
        <v>244989.27652508943</v>
      </c>
      <c r="EX36" s="629">
        <f t="shared" si="207"/>
        <v>217892.37477607679</v>
      </c>
      <c r="EY36" s="629">
        <f t="shared" si="207"/>
        <v>272651.01119677734</v>
      </c>
      <c r="EZ36" s="629">
        <f t="shared" si="207"/>
        <v>283817.24140214198</v>
      </c>
      <c r="FA36" s="629">
        <f t="shared" ref="FA36:FD36" si="208">FA7-FA15</f>
        <v>293987.1318301073</v>
      </c>
      <c r="FB36" s="629">
        <f t="shared" si="208"/>
        <v>261470.84973129214</v>
      </c>
      <c r="FC36" s="629">
        <f t="shared" si="208"/>
        <v>327181.21343613294</v>
      </c>
      <c r="FD36" s="629">
        <f t="shared" si="208"/>
        <v>340580.68968257034</v>
      </c>
      <c r="FG36" s="70">
        <f t="shared" si="195"/>
        <v>447334</v>
      </c>
      <c r="FH36" s="67">
        <f t="shared" ref="FH36:FJ36" si="209">FH7-FH15</f>
        <v>613323.30525265262</v>
      </c>
      <c r="FI36" s="67">
        <f t="shared" si="209"/>
        <v>815479.9231200685</v>
      </c>
      <c r="FJ36" s="69">
        <f t="shared" si="209"/>
        <v>1019349.9039000855</v>
      </c>
      <c r="FK36" s="69">
        <f t="shared" ref="FK36" si="210">FK7-FK15</f>
        <v>1223219.8846801028</v>
      </c>
    </row>
    <row r="37" spans="2:167" ht="15" customHeight="1" x14ac:dyDescent="0.2">
      <c r="B37" s="48" t="s">
        <v>3</v>
      </c>
      <c r="C37" s="66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8"/>
      <c r="AD37" s="67"/>
      <c r="AE37" s="67"/>
      <c r="AF37" s="67"/>
      <c r="AG37" s="67"/>
      <c r="AH37" s="67"/>
      <c r="AI37" s="67"/>
      <c r="AJ37" s="67"/>
      <c r="AK37" s="68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>
        <f t="shared" si="204"/>
        <v>9341</v>
      </c>
      <c r="BB37" s="67">
        <f t="shared" si="204"/>
        <v>10836</v>
      </c>
      <c r="BC37" s="67">
        <f t="shared" si="204"/>
        <v>10741</v>
      </c>
      <c r="BD37" s="67">
        <f t="shared" si="204"/>
        <v>21716</v>
      </c>
      <c r="BE37" s="67">
        <f t="shared" si="204"/>
        <v>13663</v>
      </c>
      <c r="BF37" s="67">
        <f t="shared" si="204"/>
        <v>17135</v>
      </c>
      <c r="BG37" s="67">
        <f t="shared" si="204"/>
        <v>20872</v>
      </c>
      <c r="BH37" s="67">
        <f t="shared" si="204"/>
        <v>15455</v>
      </c>
      <c r="BI37" s="67">
        <f t="shared" si="204"/>
        <v>10422</v>
      </c>
      <c r="BJ37" s="66">
        <f t="shared" si="204"/>
        <v>13085</v>
      </c>
      <c r="BK37" s="67">
        <f t="shared" si="204"/>
        <v>4992</v>
      </c>
      <c r="BL37" s="67">
        <f t="shared" si="204"/>
        <v>4367</v>
      </c>
      <c r="BM37" s="67">
        <f t="shared" si="204"/>
        <v>5751</v>
      </c>
      <c r="BN37" s="67">
        <f t="shared" si="204"/>
        <v>3397</v>
      </c>
      <c r="BO37" s="67">
        <f t="shared" si="204"/>
        <v>2070</v>
      </c>
      <c r="BP37" s="67">
        <f t="shared" si="204"/>
        <v>3228</v>
      </c>
      <c r="BQ37" s="67">
        <f t="shared" si="204"/>
        <v>5002</v>
      </c>
      <c r="BR37" s="67">
        <f t="shared" si="204"/>
        <v>13021</v>
      </c>
      <c r="BS37" s="67">
        <f t="shared" si="204"/>
        <v>4133</v>
      </c>
      <c r="BT37" s="67">
        <f t="shared" si="204"/>
        <v>3173</v>
      </c>
      <c r="BU37" s="67">
        <f t="shared" si="204"/>
        <v>2802</v>
      </c>
      <c r="BV37" s="67">
        <f t="shared" si="204"/>
        <v>4872</v>
      </c>
      <c r="BW37" s="67">
        <f t="shared" si="204"/>
        <v>4197</v>
      </c>
      <c r="BX37" s="67">
        <f t="shared" si="204"/>
        <v>3294</v>
      </c>
      <c r="BY37" s="67">
        <f t="shared" si="204"/>
        <v>1962</v>
      </c>
      <c r="BZ37" s="67">
        <f t="shared" si="204"/>
        <v>4442</v>
      </c>
      <c r="CA37" s="67">
        <f t="shared" si="204"/>
        <v>4254</v>
      </c>
      <c r="CB37" s="67">
        <f t="shared" si="204"/>
        <v>4371</v>
      </c>
      <c r="CC37" s="67">
        <f t="shared" si="204"/>
        <v>2915</v>
      </c>
      <c r="CD37" s="67">
        <f t="shared" si="204"/>
        <v>2518</v>
      </c>
      <c r="CE37" s="67">
        <f t="shared" si="204"/>
        <v>7849</v>
      </c>
      <c r="CF37" s="67">
        <f t="shared" si="204"/>
        <v>12310</v>
      </c>
      <c r="CG37" s="67">
        <f t="shared" si="204"/>
        <v>5936</v>
      </c>
      <c r="CH37" s="67">
        <f t="shared" si="204"/>
        <v>10228</v>
      </c>
      <c r="CI37" s="67">
        <f t="shared" si="204"/>
        <v>8948</v>
      </c>
      <c r="CJ37" s="67">
        <f t="shared" si="204"/>
        <v>9093</v>
      </c>
      <c r="CK37" s="67">
        <f t="shared" si="204"/>
        <v>3131</v>
      </c>
      <c r="CL37" s="67">
        <f t="shared" si="204"/>
        <v>3993</v>
      </c>
      <c r="CM37" s="67">
        <f t="shared" si="204"/>
        <v>2647</v>
      </c>
      <c r="CN37" s="67">
        <f t="shared" si="204"/>
        <v>3288</v>
      </c>
      <c r="CO37" s="67">
        <f t="shared" si="204"/>
        <v>2651</v>
      </c>
      <c r="CP37" s="67">
        <f t="shared" si="204"/>
        <v>6315</v>
      </c>
      <c r="CQ37" s="67">
        <f t="shared" si="204"/>
        <v>7265</v>
      </c>
      <c r="CR37" s="67">
        <f t="shared" si="204"/>
        <v>4475</v>
      </c>
      <c r="CS37" s="67">
        <f t="shared" si="204"/>
        <v>3627.5641440000018</v>
      </c>
      <c r="CT37" s="67">
        <f t="shared" ref="CT37:DR37" si="211">CT8-CT16</f>
        <v>2407.3726875999901</v>
      </c>
      <c r="CU37" s="67">
        <f t="shared" si="211"/>
        <v>11886.117100300569</v>
      </c>
      <c r="CV37" s="67">
        <f t="shared" si="211"/>
        <v>12119.72476190335</v>
      </c>
      <c r="CW37" s="67">
        <f t="shared" si="211"/>
        <v>4162.4637885586353</v>
      </c>
      <c r="CX37" s="67">
        <f t="shared" si="211"/>
        <v>5314.574301463259</v>
      </c>
      <c r="CY37" s="67">
        <f t="shared" si="211"/>
        <v>3517.3880866327754</v>
      </c>
      <c r="CZ37" s="67">
        <f t="shared" si="211"/>
        <v>4373.507073756602</v>
      </c>
      <c r="DA37" s="67">
        <f t="shared" si="211"/>
        <v>3521.3700354100961</v>
      </c>
      <c r="DB37" s="67">
        <f t="shared" si="211"/>
        <v>8401.9119201454596</v>
      </c>
      <c r="DC37" s="67">
        <f t="shared" si="211"/>
        <v>9669.4989475923667</v>
      </c>
      <c r="DD37" s="67">
        <f t="shared" si="211"/>
        <v>5946.3768407980515</v>
      </c>
      <c r="DE37" s="67">
        <f t="shared" si="211"/>
        <v>4817.5795018019226</v>
      </c>
      <c r="DF37" s="67">
        <f t="shared" si="211"/>
        <v>3208.6180725719469</v>
      </c>
      <c r="DG37" s="67">
        <f t="shared" si="211"/>
        <v>14857.646375375713</v>
      </c>
      <c r="DH37" s="67">
        <f t="shared" si="211"/>
        <v>15149.655952379188</v>
      </c>
      <c r="DI37" s="67">
        <f t="shared" si="211"/>
        <v>5203.0797356982948</v>
      </c>
      <c r="DJ37" s="67">
        <f t="shared" si="211"/>
        <v>6643.2178768290732</v>
      </c>
      <c r="DK37" s="67">
        <f t="shared" si="211"/>
        <v>4396.735108290969</v>
      </c>
      <c r="DL37" s="67">
        <f t="shared" si="211"/>
        <v>5466.8838421957525</v>
      </c>
      <c r="DM37" s="67">
        <f t="shared" si="211"/>
        <v>4401.7125442626202</v>
      </c>
      <c r="DN37" s="67">
        <f t="shared" si="211"/>
        <v>10502.389900181824</v>
      </c>
      <c r="DO37" s="67">
        <f t="shared" si="211"/>
        <v>12086.87368449046</v>
      </c>
      <c r="DP37" s="67">
        <f t="shared" si="211"/>
        <v>7432.9710509975648</v>
      </c>
      <c r="DQ37" s="67">
        <f t="shared" si="211"/>
        <v>6021.9743772524025</v>
      </c>
      <c r="DR37" s="69">
        <f t="shared" si="211"/>
        <v>4010.7725907149338</v>
      </c>
      <c r="DS37" s="69">
        <f t="shared" ref="DS37:ED37" si="212">DS8-DS16</f>
        <v>17829.175650450856</v>
      </c>
      <c r="DT37" s="69">
        <f t="shared" si="212"/>
        <v>18179.587142855024</v>
      </c>
      <c r="DU37" s="69">
        <f t="shared" si="212"/>
        <v>6243.6956828379543</v>
      </c>
      <c r="DV37" s="69">
        <f t="shared" si="212"/>
        <v>7971.8614521948875</v>
      </c>
      <c r="DW37" s="69">
        <f t="shared" si="212"/>
        <v>5276.0821299491636</v>
      </c>
      <c r="DX37" s="69">
        <f t="shared" si="212"/>
        <v>6560.2606106349031</v>
      </c>
      <c r="DY37" s="69">
        <f t="shared" si="212"/>
        <v>5282.055053115143</v>
      </c>
      <c r="DZ37" s="69">
        <f t="shared" si="212"/>
        <v>12602.867880218191</v>
      </c>
      <c r="EA37" s="69">
        <f t="shared" si="212"/>
        <v>14504.248421388551</v>
      </c>
      <c r="EB37" s="69">
        <f t="shared" si="212"/>
        <v>8919.5652611970763</v>
      </c>
      <c r="EC37" s="69">
        <f t="shared" si="212"/>
        <v>7226.3692527028825</v>
      </c>
      <c r="ED37" s="69">
        <f t="shared" si="212"/>
        <v>4812.9271088579208</v>
      </c>
      <c r="EE37" s="39" t="s">
        <v>1</v>
      </c>
      <c r="EF37" s="68"/>
      <c r="EG37" s="629">
        <f t="shared" si="204"/>
        <v>15110</v>
      </c>
      <c r="EH37" s="629">
        <f t="shared" ref="EH37:EZ37" si="213">EH8-EH16</f>
        <v>8695</v>
      </c>
      <c r="EI37" s="629">
        <f t="shared" si="213"/>
        <v>22156</v>
      </c>
      <c r="EJ37" s="629">
        <f t="shared" si="213"/>
        <v>10847</v>
      </c>
      <c r="EK37" s="629">
        <f t="shared" si="213"/>
        <v>9453</v>
      </c>
      <c r="EL37" s="629">
        <f t="shared" si="213"/>
        <v>13067</v>
      </c>
      <c r="EM37" s="629">
        <f t="shared" si="213"/>
        <v>13282</v>
      </c>
      <c r="EN37" s="629">
        <f t="shared" si="213"/>
        <v>28474</v>
      </c>
      <c r="EO37" s="629">
        <f t="shared" si="213"/>
        <v>21172</v>
      </c>
      <c r="EP37" s="629">
        <f t="shared" si="213"/>
        <v>9928</v>
      </c>
      <c r="EQ37" s="629">
        <f t="shared" si="213"/>
        <v>16231</v>
      </c>
      <c r="ER37" s="629">
        <f t="shared" si="213"/>
        <v>10509.936831599993</v>
      </c>
      <c r="ES37" s="629">
        <f t="shared" si="213"/>
        <v>28168.305650762559</v>
      </c>
      <c r="ET37" s="629">
        <f t="shared" si="213"/>
        <v>13205.469461852636</v>
      </c>
      <c r="EU37" s="629">
        <f t="shared" si="213"/>
        <v>21592.780903147923</v>
      </c>
      <c r="EV37" s="629">
        <f t="shared" si="213"/>
        <v>13972.574415171921</v>
      </c>
      <c r="EW37" s="629">
        <f t="shared" si="213"/>
        <v>35210.382063453195</v>
      </c>
      <c r="EX37" s="629">
        <f t="shared" si="213"/>
        <v>16506.836827315798</v>
      </c>
      <c r="EY37" s="629">
        <f t="shared" si="213"/>
        <v>26990.976128934904</v>
      </c>
      <c r="EZ37" s="629">
        <f t="shared" si="213"/>
        <v>17465.718018964904</v>
      </c>
      <c r="FA37" s="629">
        <f t="shared" ref="FA37:FD37" si="214">FA8-FA16</f>
        <v>42252.458476143838</v>
      </c>
      <c r="FB37" s="629">
        <f t="shared" si="214"/>
        <v>19808.204192778951</v>
      </c>
      <c r="FC37" s="629">
        <f t="shared" si="214"/>
        <v>32389.171354721886</v>
      </c>
      <c r="FD37" s="629">
        <f t="shared" si="214"/>
        <v>20958.861622757879</v>
      </c>
      <c r="FG37" s="70">
        <f t="shared" si="195"/>
        <v>64276</v>
      </c>
      <c r="FH37" s="67">
        <f t="shared" ref="FH37:FJ37" si="215">FH8-FH16</f>
        <v>57840.936831599989</v>
      </c>
      <c r="FI37" s="67">
        <f t="shared" si="215"/>
        <v>76939.130430935038</v>
      </c>
      <c r="FJ37" s="69">
        <f t="shared" si="215"/>
        <v>96173.91303866879</v>
      </c>
      <c r="FK37" s="69">
        <f t="shared" ref="FK37" si="216">FK8-FK16</f>
        <v>115408.69564640256</v>
      </c>
    </row>
    <row r="38" spans="2:167" ht="15" customHeight="1" x14ac:dyDescent="0.2">
      <c r="B38" s="48" t="s">
        <v>4</v>
      </c>
      <c r="C38" s="66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8"/>
      <c r="AD38" s="67"/>
      <c r="AE38" s="67"/>
      <c r="AF38" s="67"/>
      <c r="AG38" s="67"/>
      <c r="AH38" s="67"/>
      <c r="AI38" s="67"/>
      <c r="AJ38" s="67"/>
      <c r="AK38" s="68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>
        <f t="shared" si="204"/>
        <v>33582</v>
      </c>
      <c r="BB38" s="67">
        <f t="shared" si="204"/>
        <v>41888</v>
      </c>
      <c r="BC38" s="67">
        <f t="shared" si="204"/>
        <v>45010</v>
      </c>
      <c r="BD38" s="67">
        <f t="shared" si="204"/>
        <v>39036</v>
      </c>
      <c r="BE38" s="67">
        <f t="shared" si="204"/>
        <v>42741</v>
      </c>
      <c r="BF38" s="67">
        <f t="shared" si="204"/>
        <v>44380</v>
      </c>
      <c r="BG38" s="67">
        <f t="shared" si="204"/>
        <v>56885</v>
      </c>
      <c r="BH38" s="67">
        <f t="shared" si="204"/>
        <v>53389</v>
      </c>
      <c r="BI38" s="67">
        <f t="shared" si="204"/>
        <v>43930</v>
      </c>
      <c r="BJ38" s="66">
        <f t="shared" si="204"/>
        <v>50378</v>
      </c>
      <c r="BK38" s="67">
        <f t="shared" si="204"/>
        <v>47103</v>
      </c>
      <c r="BL38" s="67">
        <f t="shared" si="204"/>
        <v>46502</v>
      </c>
      <c r="BM38" s="67">
        <f t="shared" si="204"/>
        <v>31527</v>
      </c>
      <c r="BN38" s="67">
        <f t="shared" si="204"/>
        <v>34461</v>
      </c>
      <c r="BO38" s="67">
        <f t="shared" si="204"/>
        <v>39214</v>
      </c>
      <c r="BP38" s="67">
        <f t="shared" si="204"/>
        <v>38246</v>
      </c>
      <c r="BQ38" s="67">
        <f t="shared" si="204"/>
        <v>29828</v>
      </c>
      <c r="BR38" s="67">
        <f t="shared" si="204"/>
        <v>30264</v>
      </c>
      <c r="BS38" s="67">
        <f t="shared" si="204"/>
        <v>27089</v>
      </c>
      <c r="BT38" s="67">
        <f t="shared" si="204"/>
        <v>25868</v>
      </c>
      <c r="BU38" s="67">
        <f t="shared" si="204"/>
        <v>27215</v>
      </c>
      <c r="BV38" s="67">
        <f t="shared" si="204"/>
        <v>25069</v>
      </c>
      <c r="BW38" s="67">
        <f t="shared" si="204"/>
        <v>27255</v>
      </c>
      <c r="BX38" s="67">
        <f t="shared" si="204"/>
        <v>31972</v>
      </c>
      <c r="BY38" s="67">
        <f t="shared" si="204"/>
        <v>31879</v>
      </c>
      <c r="BZ38" s="67">
        <f t="shared" si="204"/>
        <v>31308</v>
      </c>
      <c r="CA38" s="67">
        <f t="shared" si="204"/>
        <v>27039</v>
      </c>
      <c r="CB38" s="67">
        <f t="shared" si="204"/>
        <v>23277</v>
      </c>
      <c r="CC38" s="67">
        <f t="shared" si="204"/>
        <v>26699</v>
      </c>
      <c r="CD38" s="67">
        <f t="shared" si="204"/>
        <v>29796</v>
      </c>
      <c r="CE38" s="67">
        <f t="shared" si="204"/>
        <v>34023</v>
      </c>
      <c r="CF38" s="67">
        <f t="shared" si="204"/>
        <v>35467</v>
      </c>
      <c r="CG38" s="67">
        <f t="shared" si="204"/>
        <v>38407</v>
      </c>
      <c r="CH38" s="67">
        <f t="shared" si="204"/>
        <v>45936</v>
      </c>
      <c r="CI38" s="67">
        <f t="shared" si="204"/>
        <v>40044</v>
      </c>
      <c r="CJ38" s="67">
        <f t="shared" si="204"/>
        <v>42030</v>
      </c>
      <c r="CK38" s="67">
        <f t="shared" si="204"/>
        <v>43791.368421052633</v>
      </c>
      <c r="CL38" s="67">
        <f t="shared" si="204"/>
        <v>43852</v>
      </c>
      <c r="CM38" s="67">
        <f t="shared" si="204"/>
        <v>41527</v>
      </c>
      <c r="CN38" s="67">
        <f t="shared" si="204"/>
        <v>35284</v>
      </c>
      <c r="CO38" s="67">
        <f t="shared" si="204"/>
        <v>42636</v>
      </c>
      <c r="CP38" s="67">
        <f t="shared" si="204"/>
        <v>50231</v>
      </c>
      <c r="CQ38" s="67">
        <f t="shared" si="204"/>
        <v>55273</v>
      </c>
      <c r="CR38" s="67">
        <f t="shared" si="204"/>
        <v>54611</v>
      </c>
      <c r="CS38" s="67">
        <f t="shared" si="204"/>
        <v>53789</v>
      </c>
      <c r="CT38" s="67">
        <f t="shared" ref="CT38:DR38" si="217">CT9-CT17</f>
        <v>52414</v>
      </c>
      <c r="CU38" s="67">
        <f t="shared" si="217"/>
        <v>53133.064433580766</v>
      </c>
      <c r="CV38" s="67">
        <f t="shared" si="217"/>
        <v>55280.003113348997</v>
      </c>
      <c r="CW38" s="67">
        <f t="shared" si="217"/>
        <v>59410.048022379226</v>
      </c>
      <c r="CX38" s="67">
        <f t="shared" si="217"/>
        <v>58271.779280429211</v>
      </c>
      <c r="CY38" s="67">
        <f t="shared" si="217"/>
        <v>55655.350593240131</v>
      </c>
      <c r="CZ38" s="67">
        <f t="shared" si="217"/>
        <v>47181.300485339445</v>
      </c>
      <c r="DA38" s="67">
        <f t="shared" si="217"/>
        <v>56848.63769543478</v>
      </c>
      <c r="DB38" s="67">
        <f t="shared" si="217"/>
        <v>66215.20786952613</v>
      </c>
      <c r="DC38" s="67">
        <f t="shared" si="217"/>
        <v>73464.182489313069</v>
      </c>
      <c r="DD38" s="67">
        <f t="shared" si="217"/>
        <v>71960.347309293167</v>
      </c>
      <c r="DE38" s="67">
        <f t="shared" si="217"/>
        <v>71192.535526323671</v>
      </c>
      <c r="DF38" s="67">
        <f t="shared" si="217"/>
        <v>69928.335870924842</v>
      </c>
      <c r="DG38" s="67">
        <f t="shared" si="217"/>
        <v>66416.330541975956</v>
      </c>
      <c r="DH38" s="67">
        <f t="shared" si="217"/>
        <v>69100.00389168624</v>
      </c>
      <c r="DI38" s="67">
        <f t="shared" si="217"/>
        <v>74262.560027974032</v>
      </c>
      <c r="DJ38" s="67">
        <f t="shared" si="217"/>
        <v>72839.724100536521</v>
      </c>
      <c r="DK38" s="67">
        <f t="shared" si="217"/>
        <v>69569.188241550175</v>
      </c>
      <c r="DL38" s="67">
        <f t="shared" si="217"/>
        <v>58976.625606674308</v>
      </c>
      <c r="DM38" s="67">
        <f t="shared" si="217"/>
        <v>71060.797119293464</v>
      </c>
      <c r="DN38" s="67">
        <f t="shared" si="217"/>
        <v>82769.009836907673</v>
      </c>
      <c r="DO38" s="67">
        <f t="shared" si="217"/>
        <v>91830.228111641336</v>
      </c>
      <c r="DP38" s="67">
        <f t="shared" si="217"/>
        <v>89950.434136616459</v>
      </c>
      <c r="DQ38" s="67">
        <f t="shared" si="217"/>
        <v>88990.669407904599</v>
      </c>
      <c r="DR38" s="69">
        <f t="shared" si="217"/>
        <v>87410.419838656046</v>
      </c>
      <c r="DS38" s="69">
        <f t="shared" ref="DS38:ED38" si="218">DS9-DS17</f>
        <v>79699.596650371139</v>
      </c>
      <c r="DT38" s="69">
        <f t="shared" si="218"/>
        <v>82920.004670023496</v>
      </c>
      <c r="DU38" s="69">
        <f t="shared" si="218"/>
        <v>89115.072033568824</v>
      </c>
      <c r="DV38" s="69">
        <f t="shared" si="218"/>
        <v>87407.668920643817</v>
      </c>
      <c r="DW38" s="69">
        <f t="shared" si="218"/>
        <v>83483.025889860204</v>
      </c>
      <c r="DX38" s="69">
        <f t="shared" si="218"/>
        <v>70771.950728009164</v>
      </c>
      <c r="DY38" s="69">
        <f t="shared" si="218"/>
        <v>85272.956543152162</v>
      </c>
      <c r="DZ38" s="69">
        <f t="shared" si="218"/>
        <v>99322.811804289202</v>
      </c>
      <c r="EA38" s="69">
        <f t="shared" si="218"/>
        <v>110196.2737339696</v>
      </c>
      <c r="EB38" s="69">
        <f t="shared" si="218"/>
        <v>107940.52096393975</v>
      </c>
      <c r="EC38" s="69">
        <f t="shared" si="218"/>
        <v>106788.80328948551</v>
      </c>
      <c r="ED38" s="69">
        <f t="shared" si="218"/>
        <v>104892.50380638725</v>
      </c>
      <c r="EE38" s="39" t="s">
        <v>1</v>
      </c>
      <c r="EF38" s="68"/>
      <c r="EG38" s="629">
        <f t="shared" si="204"/>
        <v>125132</v>
      </c>
      <c r="EH38" s="629">
        <f t="shared" ref="EH38:EZ38" si="219">EH9-EH17</f>
        <v>111921</v>
      </c>
      <c r="EI38" s="629">
        <f t="shared" si="219"/>
        <v>87181</v>
      </c>
      <c r="EJ38" s="629">
        <f t="shared" si="219"/>
        <v>78152</v>
      </c>
      <c r="EK38" s="629">
        <f t="shared" si="219"/>
        <v>91106</v>
      </c>
      <c r="EL38" s="629">
        <f t="shared" si="219"/>
        <v>81624</v>
      </c>
      <c r="EM38" s="629">
        <f t="shared" si="219"/>
        <v>90518</v>
      </c>
      <c r="EN38" s="629">
        <f t="shared" si="219"/>
        <v>119810</v>
      </c>
      <c r="EO38" s="629">
        <f t="shared" si="219"/>
        <v>125865.36842105263</v>
      </c>
      <c r="EP38" s="629">
        <f t="shared" si="219"/>
        <v>120663</v>
      </c>
      <c r="EQ38" s="629">
        <f t="shared" si="219"/>
        <v>148140</v>
      </c>
      <c r="ER38" s="629">
        <f t="shared" si="219"/>
        <v>160814</v>
      </c>
      <c r="ES38" s="629">
        <f t="shared" si="219"/>
        <v>167823.11556930898</v>
      </c>
      <c r="ET38" s="629">
        <f t="shared" si="219"/>
        <v>161108.43035900878</v>
      </c>
      <c r="EU38" s="629">
        <f t="shared" si="219"/>
        <v>196528.02805427395</v>
      </c>
      <c r="EV38" s="629">
        <f t="shared" si="219"/>
        <v>213081.21870654169</v>
      </c>
      <c r="EW38" s="629">
        <f t="shared" si="219"/>
        <v>209778.89446163623</v>
      </c>
      <c r="EX38" s="629">
        <f t="shared" si="219"/>
        <v>201385.53794876099</v>
      </c>
      <c r="EY38" s="629">
        <f t="shared" si="219"/>
        <v>245660.03506784249</v>
      </c>
      <c r="EZ38" s="629">
        <f t="shared" si="219"/>
        <v>266351.52338317706</v>
      </c>
      <c r="FA38" s="629">
        <f t="shared" ref="FA38:FD38" si="220">FA9-FA17</f>
        <v>251734.67335396344</v>
      </c>
      <c r="FB38" s="629">
        <f t="shared" si="220"/>
        <v>241662.6455385132</v>
      </c>
      <c r="FC38" s="629">
        <f t="shared" si="220"/>
        <v>294792.042081411</v>
      </c>
      <c r="FD38" s="629">
        <f t="shared" si="220"/>
        <v>319621.82805981248</v>
      </c>
      <c r="FG38" s="70">
        <f t="shared" si="195"/>
        <v>383058</v>
      </c>
      <c r="FH38" s="67">
        <f t="shared" ref="FH38:FJ38" si="221">FH9-FH17</f>
        <v>555482.36842105258</v>
      </c>
      <c r="FI38" s="67">
        <f t="shared" si="221"/>
        <v>738540.79268913344</v>
      </c>
      <c r="FJ38" s="69">
        <f t="shared" si="221"/>
        <v>923175.99086141679</v>
      </c>
      <c r="FK38" s="69">
        <f t="shared" ref="FK38" si="222">FK9-FK17</f>
        <v>1107811.1890337002</v>
      </c>
    </row>
    <row r="39" spans="2:167" ht="15.75" customHeight="1" x14ac:dyDescent="0.2">
      <c r="B39" s="48" t="s">
        <v>14</v>
      </c>
      <c r="C39" s="66">
        <f t="shared" ref="C39:Z39" si="223">C32/C36</f>
        <v>3921.8529475948499</v>
      </c>
      <c r="D39" s="67">
        <f t="shared" si="223"/>
        <v>4099.4243731168608</v>
      </c>
      <c r="E39" s="67">
        <f t="shared" si="223"/>
        <v>3782.556679801688</v>
      </c>
      <c r="F39" s="67">
        <f t="shared" si="223"/>
        <v>3894.6133618861013</v>
      </c>
      <c r="G39" s="67">
        <f t="shared" si="223"/>
        <v>3799.0858781875477</v>
      </c>
      <c r="H39" s="67">
        <f t="shared" si="223"/>
        <v>3806.418497721354</v>
      </c>
      <c r="I39" s="67">
        <f t="shared" si="223"/>
        <v>3810.1488732073753</v>
      </c>
      <c r="J39" s="67">
        <f t="shared" si="223"/>
        <v>3562.1366339634078</v>
      </c>
      <c r="K39" s="67">
        <f t="shared" si="223"/>
        <v>3536.0608855814507</v>
      </c>
      <c r="L39" s="67">
        <f t="shared" si="223"/>
        <v>3673.8656453405301</v>
      </c>
      <c r="M39" s="67">
        <f t="shared" si="223"/>
        <v>3516.3646274325333</v>
      </c>
      <c r="N39" s="67">
        <f t="shared" si="223"/>
        <v>3898.3707805907175</v>
      </c>
      <c r="O39" s="67">
        <f t="shared" si="223"/>
        <v>3693.664240474392</v>
      </c>
      <c r="P39" s="67">
        <f t="shared" si="223"/>
        <v>3500.2352027219022</v>
      </c>
      <c r="Q39" s="67">
        <f t="shared" si="223"/>
        <v>3711.1912598599733</v>
      </c>
      <c r="R39" s="67">
        <f t="shared" si="223"/>
        <v>4036.5262536828891</v>
      </c>
      <c r="S39" s="67">
        <f t="shared" si="223"/>
        <v>3759.2505573781032</v>
      </c>
      <c r="T39" s="67">
        <f t="shared" si="223"/>
        <v>3746.1170419238683</v>
      </c>
      <c r="U39" s="67">
        <f t="shared" si="223"/>
        <v>3867.4932178078193</v>
      </c>
      <c r="V39" s="67">
        <f t="shared" si="223"/>
        <v>4054.5640206028206</v>
      </c>
      <c r="W39" s="67">
        <f t="shared" si="223"/>
        <v>3751.0456015423174</v>
      </c>
      <c r="X39" s="67">
        <f t="shared" si="223"/>
        <v>3789.3101073046928</v>
      </c>
      <c r="Y39" s="67">
        <f t="shared" si="223"/>
        <v>3481.8099625815225</v>
      </c>
      <c r="Z39" s="67">
        <f t="shared" si="223"/>
        <v>3333.5304598929347</v>
      </c>
      <c r="AA39" s="67">
        <f t="shared" ref="AA39:EG39" si="224">IFERROR(AA32/AA36,0)</f>
        <v>6406.4928571428572</v>
      </c>
      <c r="AB39" s="67">
        <f t="shared" si="224"/>
        <v>3456.3143238582288</v>
      </c>
      <c r="AC39" s="68">
        <f t="shared" si="224"/>
        <v>3385.7884463937244</v>
      </c>
      <c r="AD39" s="67">
        <f t="shared" si="224"/>
        <v>5067.9427002262801</v>
      </c>
      <c r="AE39" s="67">
        <f t="shared" si="224"/>
        <v>4604.6345914023686</v>
      </c>
      <c r="AF39" s="67">
        <f t="shared" si="224"/>
        <v>5358.6371536984325</v>
      </c>
      <c r="AG39" s="67">
        <f t="shared" si="224"/>
        <v>4759.8494162461038</v>
      </c>
      <c r="AH39" s="67">
        <f t="shared" si="224"/>
        <v>4087.6766443895362</v>
      </c>
      <c r="AI39" s="67">
        <f t="shared" si="224"/>
        <v>5271.7359663215993</v>
      </c>
      <c r="AJ39" s="67">
        <f t="shared" si="224"/>
        <v>5958.7017968362052</v>
      </c>
      <c r="AK39" s="68">
        <f t="shared" si="224"/>
        <v>5420.801174201677</v>
      </c>
      <c r="AL39" s="67">
        <f t="shared" si="224"/>
        <v>5369.6030784184886</v>
      </c>
      <c r="AM39" s="67">
        <f t="shared" si="224"/>
        <v>5470.1846093151144</v>
      </c>
      <c r="AN39" s="67">
        <f t="shared" si="224"/>
        <v>4843.6188015502339</v>
      </c>
      <c r="AO39" s="67">
        <f t="shared" si="224"/>
        <v>4834.4125561951214</v>
      </c>
      <c r="AP39" s="67">
        <f t="shared" si="224"/>
        <v>4661.5373709592923</v>
      </c>
      <c r="AQ39" s="67">
        <f t="shared" si="224"/>
        <v>4376.2851027364659</v>
      </c>
      <c r="AR39" s="67">
        <f t="shared" si="224"/>
        <v>4461.5552973605345</v>
      </c>
      <c r="AS39" s="67">
        <f t="shared" si="224"/>
        <v>4391.9391903148771</v>
      </c>
      <c r="AT39" s="67">
        <f t="shared" si="224"/>
        <v>4043.3946316309953</v>
      </c>
      <c r="AU39" s="67">
        <f t="shared" si="224"/>
        <v>4416.825291751933</v>
      </c>
      <c r="AV39" s="67">
        <f t="shared" si="224"/>
        <v>4458.6865858328019</v>
      </c>
      <c r="AW39" s="67">
        <f t="shared" si="224"/>
        <v>5019.0223229318663</v>
      </c>
      <c r="AX39" s="67">
        <f t="shared" si="224"/>
        <v>4832.7067481381546</v>
      </c>
      <c r="AY39" s="67">
        <f t="shared" si="224"/>
        <v>5279.8544342689856</v>
      </c>
      <c r="AZ39" s="67">
        <f t="shared" si="224"/>
        <v>5407.7417678990842</v>
      </c>
      <c r="BA39" s="67">
        <f t="shared" si="224"/>
        <v>5815.656276513515</v>
      </c>
      <c r="BB39" s="67">
        <f t="shared" si="224"/>
        <v>5497.1773545613278</v>
      </c>
      <c r="BC39" s="67">
        <f t="shared" si="224"/>
        <v>5548.6501131616806</v>
      </c>
      <c r="BD39" s="67">
        <f t="shared" si="224"/>
        <v>5238.1216300995147</v>
      </c>
      <c r="BE39" s="67">
        <f t="shared" si="224"/>
        <v>6613.6739983921016</v>
      </c>
      <c r="BF39" s="67">
        <f t="shared" si="224"/>
        <v>6566.8356122508139</v>
      </c>
      <c r="BG39" s="67">
        <f t="shared" si="224"/>
        <v>6598.668898225078</v>
      </c>
      <c r="BH39" s="67">
        <f t="shared" si="224"/>
        <v>6724.6664242407769</v>
      </c>
      <c r="BI39" s="67">
        <f t="shared" si="224"/>
        <v>6857.3214003852863</v>
      </c>
      <c r="BJ39" s="66">
        <f t="shared" si="224"/>
        <v>6493.3967864533479</v>
      </c>
      <c r="BK39" s="67">
        <f t="shared" si="224"/>
        <v>7290.1617709557349</v>
      </c>
      <c r="BL39" s="67">
        <f t="shared" si="224"/>
        <v>7621.7659360005055</v>
      </c>
      <c r="BM39" s="67">
        <f t="shared" si="224"/>
        <v>7867.9452054886851</v>
      </c>
      <c r="BN39" s="67">
        <f t="shared" si="224"/>
        <v>7283.382165923821</v>
      </c>
      <c r="BO39" s="67">
        <f t="shared" si="224"/>
        <v>7082.5575524780461</v>
      </c>
      <c r="BP39" s="67">
        <f t="shared" si="224"/>
        <v>6832.771672352379</v>
      </c>
      <c r="BQ39" s="67">
        <f t="shared" si="224"/>
        <v>7626.0797819434638</v>
      </c>
      <c r="BR39" s="67">
        <f t="shared" si="224"/>
        <v>7555.2746738451633</v>
      </c>
      <c r="BS39" s="67">
        <f t="shared" si="224"/>
        <v>9461.008720691043</v>
      </c>
      <c r="BT39" s="67">
        <f t="shared" si="224"/>
        <v>9145.69001505304</v>
      </c>
      <c r="BU39" s="67">
        <f t="shared" si="224"/>
        <v>9252.0070143346802</v>
      </c>
      <c r="BV39" s="67">
        <f t="shared" si="224"/>
        <v>9601.3969221232928</v>
      </c>
      <c r="BW39" s="67">
        <f t="shared" si="224"/>
        <v>9484.0752187821545</v>
      </c>
      <c r="BX39" s="67">
        <f t="shared" si="224"/>
        <v>8756.2263973825229</v>
      </c>
      <c r="BY39" s="67">
        <f t="shared" si="224"/>
        <v>8702.0824434481074</v>
      </c>
      <c r="BZ39" s="67">
        <f t="shared" si="224"/>
        <v>7792.7892676325546</v>
      </c>
      <c r="CA39" s="67">
        <f t="shared" si="224"/>
        <v>8615.5723798282925</v>
      </c>
      <c r="CB39" s="67">
        <f t="shared" si="224"/>
        <v>8570.9763413531837</v>
      </c>
      <c r="CC39" s="67">
        <f t="shared" si="224"/>
        <v>9549.5610316572147</v>
      </c>
      <c r="CD39" s="67">
        <f t="shared" si="224"/>
        <v>8924.5282999883621</v>
      </c>
      <c r="CE39" s="67">
        <f t="shared" si="224"/>
        <v>7837.4763947818392</v>
      </c>
      <c r="CF39" s="67">
        <f t="shared" si="224"/>
        <v>7874.2939672576758</v>
      </c>
      <c r="CG39" s="67">
        <f t="shared" si="224"/>
        <v>9798.5600259737803</v>
      </c>
      <c r="CH39" s="67">
        <f t="shared" si="224"/>
        <v>9652.3733473691609</v>
      </c>
      <c r="CI39" s="67">
        <f t="shared" si="224"/>
        <v>9370.4674964601236</v>
      </c>
      <c r="CJ39" s="67">
        <f t="shared" si="224"/>
        <v>8847.073913897173</v>
      </c>
      <c r="CK39" s="67">
        <f t="shared" si="224"/>
        <v>9459.3815675039768</v>
      </c>
      <c r="CL39" s="67">
        <f t="shared" si="224"/>
        <v>9364.9535612916716</v>
      </c>
      <c r="CM39" s="67">
        <f t="shared" si="224"/>
        <v>8530.5070774663673</v>
      </c>
      <c r="CN39" s="67">
        <f t="shared" si="224"/>
        <v>8412.3267852328008</v>
      </c>
      <c r="CO39" s="67">
        <f t="shared" si="224"/>
        <v>9306.3214050389852</v>
      </c>
      <c r="CP39" s="67">
        <f t="shared" si="224"/>
        <v>8966.5613231705156</v>
      </c>
      <c r="CQ39" s="67">
        <f t="shared" si="224"/>
        <v>9834.6676329591592</v>
      </c>
      <c r="CR39" s="67">
        <f t="shared" si="224"/>
        <v>11174.501842229984</v>
      </c>
      <c r="CS39" s="67">
        <f t="shared" si="224"/>
        <v>10461.912826993359</v>
      </c>
      <c r="CT39" s="67">
        <f t="shared" ref="CT39:DR39" si="225">IFERROR(CT32/CT36,0)</f>
        <v>10646.484713105627</v>
      </c>
      <c r="CU39" s="67">
        <f t="shared" si="225"/>
        <v>9294.3066703921249</v>
      </c>
      <c r="CV39" s="67">
        <f t="shared" si="225"/>
        <v>9293.3316750056692</v>
      </c>
      <c r="CW39" s="67">
        <f t="shared" si="225"/>
        <v>9256.0560436648866</v>
      </c>
      <c r="CX39" s="67">
        <f t="shared" si="225"/>
        <v>9261.9581196076633</v>
      </c>
      <c r="CY39" s="67">
        <f t="shared" si="225"/>
        <v>9254.0892488437876</v>
      </c>
      <c r="CZ39" s="67">
        <f t="shared" si="225"/>
        <v>9262.3661936233311</v>
      </c>
      <c r="DA39" s="67">
        <f t="shared" si="225"/>
        <v>9253.7264380696488</v>
      </c>
      <c r="DB39" s="67">
        <f t="shared" si="225"/>
        <v>9271.4185803671517</v>
      </c>
      <c r="DC39" s="67">
        <f t="shared" si="225"/>
        <v>9272.6287955092266</v>
      </c>
      <c r="DD39" s="67">
        <f t="shared" si="225"/>
        <v>9259.5934701280567</v>
      </c>
      <c r="DE39" s="67">
        <f t="shared" si="225"/>
        <v>9255.3730514133858</v>
      </c>
      <c r="DF39" s="67">
        <f t="shared" si="225"/>
        <v>9249.0130045893402</v>
      </c>
      <c r="DG39" s="67">
        <f t="shared" si="225"/>
        <v>9294.3066703921249</v>
      </c>
      <c r="DH39" s="67">
        <f t="shared" si="225"/>
        <v>9293.3316750056692</v>
      </c>
      <c r="DI39" s="67">
        <f t="shared" si="225"/>
        <v>9256.056043664883</v>
      </c>
      <c r="DJ39" s="67">
        <f t="shared" si="225"/>
        <v>9261.9581196076615</v>
      </c>
      <c r="DK39" s="67">
        <f t="shared" si="225"/>
        <v>9254.0892488437858</v>
      </c>
      <c r="DL39" s="67">
        <f t="shared" si="225"/>
        <v>9262.3661936233275</v>
      </c>
      <c r="DM39" s="67">
        <f t="shared" si="225"/>
        <v>9253.7264380696433</v>
      </c>
      <c r="DN39" s="67">
        <f t="shared" si="225"/>
        <v>9271.4185803671498</v>
      </c>
      <c r="DO39" s="67">
        <f t="shared" si="225"/>
        <v>9272.628795509223</v>
      </c>
      <c r="DP39" s="67">
        <f t="shared" si="225"/>
        <v>9259.5934701280548</v>
      </c>
      <c r="DQ39" s="67">
        <f t="shared" si="225"/>
        <v>9255.373051413384</v>
      </c>
      <c r="DR39" s="69">
        <f t="shared" si="225"/>
        <v>9249.013004589342</v>
      </c>
      <c r="DS39" s="69">
        <f t="shared" ref="DS39:ED39" si="226">IFERROR(DS32/DS36,0)</f>
        <v>9294.3066703921231</v>
      </c>
      <c r="DT39" s="69">
        <f t="shared" si="226"/>
        <v>9293.3316750056674</v>
      </c>
      <c r="DU39" s="69">
        <f t="shared" si="226"/>
        <v>9256.0560436648848</v>
      </c>
      <c r="DV39" s="69">
        <f t="shared" si="226"/>
        <v>9261.9581196076615</v>
      </c>
      <c r="DW39" s="69">
        <f t="shared" si="226"/>
        <v>9254.0892488437858</v>
      </c>
      <c r="DX39" s="69">
        <f t="shared" si="226"/>
        <v>9262.3661936233293</v>
      </c>
      <c r="DY39" s="69">
        <f t="shared" si="226"/>
        <v>9253.7264380696452</v>
      </c>
      <c r="DZ39" s="69">
        <f t="shared" si="226"/>
        <v>9271.4185803671498</v>
      </c>
      <c r="EA39" s="69">
        <f t="shared" si="226"/>
        <v>9272.6287955092266</v>
      </c>
      <c r="EB39" s="69">
        <f t="shared" si="226"/>
        <v>9259.5934701280585</v>
      </c>
      <c r="EC39" s="69">
        <f t="shared" si="226"/>
        <v>9255.3730514133822</v>
      </c>
      <c r="ED39" s="69">
        <f t="shared" si="226"/>
        <v>9249.0130045893402</v>
      </c>
      <c r="EE39" s="39" t="s">
        <v>1</v>
      </c>
      <c r="EF39" s="68"/>
      <c r="EG39" s="629">
        <f t="shared" si="224"/>
        <v>7564.0239744624014</v>
      </c>
      <c r="EH39" s="629">
        <f t="shared" ref="EH39:EZ39" si="227">IFERROR(EH32/EH36,0)</f>
        <v>7059.7015352290764</v>
      </c>
      <c r="EI39" s="629">
        <f t="shared" si="227"/>
        <v>8122.0267369682224</v>
      </c>
      <c r="EJ39" s="629">
        <f t="shared" si="227"/>
        <v>9334.8566109926287</v>
      </c>
      <c r="EK39" s="629">
        <f t="shared" si="227"/>
        <v>8965.6558426392057</v>
      </c>
      <c r="EL39" s="629">
        <f t="shared" si="227"/>
        <v>8291.914508090138</v>
      </c>
      <c r="EM39" s="629">
        <f t="shared" si="227"/>
        <v>8664.3421915185536</v>
      </c>
      <c r="EN39" s="629">
        <f t="shared" si="227"/>
        <v>9123.1932426092299</v>
      </c>
      <c r="EO39" s="629">
        <f t="shared" si="227"/>
        <v>9216.8644255907147</v>
      </c>
      <c r="EP39" s="629">
        <f t="shared" si="227"/>
        <v>8801.3193216990348</v>
      </c>
      <c r="EQ39" s="629">
        <f t="shared" si="227"/>
        <v>9390.4581615978514</v>
      </c>
      <c r="ER39" s="629">
        <f t="shared" si="227"/>
        <v>10766.730237077834</v>
      </c>
      <c r="ES39" s="629">
        <f t="shared" si="227"/>
        <v>9281.5642614255848</v>
      </c>
      <c r="ET39" s="629">
        <f t="shared" si="227"/>
        <v>9259.4076376522607</v>
      </c>
      <c r="EU39" s="629">
        <f t="shared" si="227"/>
        <v>9266.9831249339513</v>
      </c>
      <c r="EV39" s="629">
        <f t="shared" si="227"/>
        <v>9254.7725089024134</v>
      </c>
      <c r="EW39" s="629">
        <f t="shared" si="227"/>
        <v>9281.5642614255812</v>
      </c>
      <c r="EX39" s="629">
        <f t="shared" si="227"/>
        <v>9259.4076376522571</v>
      </c>
      <c r="EY39" s="629">
        <f t="shared" si="227"/>
        <v>9266.9831249339513</v>
      </c>
      <c r="EZ39" s="629">
        <f t="shared" si="227"/>
        <v>9254.7725089024152</v>
      </c>
      <c r="FA39" s="629">
        <f t="shared" ref="FA39:FD39" si="228">IFERROR(FA32/FA36,0)</f>
        <v>9281.5642614255812</v>
      </c>
      <c r="FB39" s="629">
        <f t="shared" si="228"/>
        <v>9259.4076376522589</v>
      </c>
      <c r="FC39" s="629">
        <f t="shared" si="228"/>
        <v>9266.9831249339495</v>
      </c>
      <c r="FD39" s="629">
        <f t="shared" si="228"/>
        <v>9254.7725089024152</v>
      </c>
      <c r="FG39" s="70">
        <f t="shared" si="195"/>
        <v>35045.105784857129</v>
      </c>
      <c r="FH39" s="67">
        <f t="shared" ref="FH39:FJ39" si="229">IFERROR(FH32/FH36,0)</f>
        <v>9607.8432709238532</v>
      </c>
      <c r="FI39" s="67">
        <f t="shared" si="229"/>
        <v>9265.4684319066801</v>
      </c>
      <c r="FJ39" s="69">
        <f t="shared" si="229"/>
        <v>9265.4684319066801</v>
      </c>
      <c r="FK39" s="69">
        <f t="shared" ref="FK39" si="230">IFERROR(FK32/FK36,0)</f>
        <v>9265.4684319066801</v>
      </c>
    </row>
    <row r="40" spans="2:167" ht="7.5" customHeight="1" x14ac:dyDescent="0.2">
      <c r="B40" s="48"/>
      <c r="C40" s="66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8"/>
      <c r="AD40" s="67"/>
      <c r="AE40" s="67"/>
      <c r="AF40" s="67"/>
      <c r="AG40" s="67"/>
      <c r="AH40" s="67"/>
      <c r="AI40" s="67"/>
      <c r="AJ40" s="67"/>
      <c r="AK40" s="68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6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39" t="s">
        <v>1</v>
      </c>
      <c r="EF40" s="68"/>
      <c r="EG40" s="629"/>
      <c r="EH40" s="629"/>
      <c r="EI40" s="629"/>
      <c r="EJ40" s="629"/>
      <c r="EK40" s="629"/>
      <c r="EL40" s="629"/>
      <c r="EM40" s="629"/>
      <c r="EN40" s="629"/>
      <c r="EO40" s="629"/>
      <c r="EP40" s="629"/>
      <c r="EQ40" s="629"/>
      <c r="ER40" s="629"/>
      <c r="ES40" s="629"/>
      <c r="ET40" s="629"/>
      <c r="EU40" s="629"/>
      <c r="EV40" s="629"/>
      <c r="EW40" s="629"/>
      <c r="EX40" s="629"/>
      <c r="EY40" s="629"/>
      <c r="EZ40" s="629"/>
      <c r="FA40" s="629"/>
      <c r="FB40" s="629"/>
      <c r="FC40" s="629"/>
      <c r="FD40" s="629"/>
      <c r="FG40" s="70"/>
      <c r="FH40" s="67"/>
      <c r="FI40" s="67"/>
      <c r="FJ40" s="69"/>
      <c r="FK40" s="619"/>
    </row>
    <row r="41" spans="2:167" ht="7.5" customHeight="1" x14ac:dyDescent="0.2">
      <c r="B41" s="48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8"/>
      <c r="AD41" s="67"/>
      <c r="AE41" s="67"/>
      <c r="AF41" s="67"/>
      <c r="AG41" s="67"/>
      <c r="AH41" s="67"/>
      <c r="AI41" s="67"/>
      <c r="AJ41" s="67"/>
      <c r="AK41" s="68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6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  <c r="EC41" s="69"/>
      <c r="ED41" s="69"/>
      <c r="EE41" s="39" t="s">
        <v>1</v>
      </c>
      <c r="EF41" s="68"/>
      <c r="EG41" s="629"/>
      <c r="EH41" s="629"/>
      <c r="EI41" s="629"/>
      <c r="EJ41" s="629"/>
      <c r="EK41" s="629"/>
      <c r="EL41" s="629"/>
      <c r="EM41" s="629"/>
      <c r="EN41" s="629"/>
      <c r="EO41" s="629"/>
      <c r="EP41" s="629"/>
      <c r="EQ41" s="629"/>
      <c r="ER41" s="629"/>
      <c r="ES41" s="629"/>
      <c r="ET41" s="629"/>
      <c r="EU41" s="629"/>
      <c r="EV41" s="629"/>
      <c r="EW41" s="629"/>
      <c r="EX41" s="629"/>
      <c r="EY41" s="629"/>
      <c r="EZ41" s="629"/>
      <c r="FA41" s="629"/>
      <c r="FB41" s="629"/>
      <c r="FC41" s="629"/>
      <c r="FD41" s="629"/>
      <c r="FG41" s="70"/>
      <c r="FH41" s="67"/>
      <c r="FI41" s="67"/>
      <c r="FJ41" s="69"/>
      <c r="FK41" s="619"/>
    </row>
    <row r="42" spans="2:167" ht="15.75" customHeight="1" x14ac:dyDescent="0.2">
      <c r="B42" s="48" t="s">
        <v>15</v>
      </c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8"/>
      <c r="AD42" s="67"/>
      <c r="AE42" s="67"/>
      <c r="AF42" s="67"/>
      <c r="AG42" s="67"/>
      <c r="AH42" s="67"/>
      <c r="AI42" s="67"/>
      <c r="AJ42" s="67"/>
      <c r="AK42" s="68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93"/>
      <c r="BE42" s="94"/>
      <c r="BF42" s="94"/>
      <c r="BG42" s="94"/>
      <c r="BH42" s="94"/>
      <c r="BI42" s="94"/>
      <c r="BJ42" s="95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94"/>
      <c r="BV42" s="94"/>
      <c r="BW42" s="94"/>
      <c r="BX42" s="94"/>
      <c r="BY42" s="94"/>
      <c r="BZ42" s="94"/>
      <c r="CA42" s="94"/>
      <c r="CB42" s="94"/>
      <c r="CC42" s="94"/>
      <c r="CD42" s="94"/>
      <c r="CE42" s="94"/>
      <c r="CF42" s="94"/>
      <c r="CG42" s="94"/>
      <c r="CH42" s="94"/>
      <c r="CI42" s="94"/>
      <c r="CJ42" s="94"/>
      <c r="CK42" s="94"/>
      <c r="CL42" s="94"/>
      <c r="CM42" s="94"/>
      <c r="CN42" s="94"/>
      <c r="CO42" s="94"/>
      <c r="CP42" s="94"/>
      <c r="CQ42" s="94"/>
      <c r="CR42" s="94"/>
      <c r="CS42" s="94"/>
      <c r="CT42" s="94"/>
      <c r="CU42" s="94"/>
      <c r="CV42" s="94"/>
      <c r="CW42" s="94"/>
      <c r="CX42" s="94"/>
      <c r="CY42" s="94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6"/>
      <c r="DS42" s="96"/>
      <c r="DT42" s="96"/>
      <c r="DU42" s="96"/>
      <c r="DV42" s="96"/>
      <c r="DW42" s="96"/>
      <c r="DX42" s="96"/>
      <c r="DY42" s="96"/>
      <c r="DZ42" s="96"/>
      <c r="EA42" s="96"/>
      <c r="EB42" s="96"/>
      <c r="EC42" s="96"/>
      <c r="ED42" s="96"/>
      <c r="EE42" s="39" t="s">
        <v>1</v>
      </c>
      <c r="EF42" s="97"/>
      <c r="EG42" s="636"/>
      <c r="EH42" s="636"/>
      <c r="EI42" s="636"/>
      <c r="EJ42" s="636"/>
      <c r="EK42" s="636"/>
      <c r="EL42" s="636"/>
      <c r="EM42" s="636"/>
      <c r="EN42" s="636"/>
      <c r="EO42" s="636"/>
      <c r="EP42" s="636"/>
      <c r="EQ42" s="636"/>
      <c r="ER42" s="636"/>
      <c r="ES42" s="636"/>
      <c r="ET42" s="636"/>
      <c r="EU42" s="636"/>
      <c r="EV42" s="636"/>
      <c r="EW42" s="636"/>
      <c r="EX42" s="636"/>
      <c r="EY42" s="636"/>
      <c r="EZ42" s="636"/>
      <c r="FA42" s="636"/>
      <c r="FB42" s="636"/>
      <c r="FC42" s="636"/>
      <c r="FD42" s="636"/>
      <c r="FG42" s="98"/>
      <c r="FH42" s="94"/>
      <c r="FI42" s="94"/>
      <c r="FJ42" s="96"/>
      <c r="FK42" s="624"/>
    </row>
    <row r="43" spans="2:167" ht="15.75" customHeight="1" x14ac:dyDescent="0.2">
      <c r="B43" s="48" t="s">
        <v>16</v>
      </c>
      <c r="C43" s="75"/>
      <c r="D43" s="76">
        <f t="shared" ref="D43:AA43" si="231">D32/C32-1</f>
        <v>-6.5256005764892544E-2</v>
      </c>
      <c r="E43" s="76">
        <f t="shared" si="231"/>
        <v>0.11805325475767248</v>
      </c>
      <c r="F43" s="76">
        <f t="shared" si="231"/>
        <v>0.1641114864884663</v>
      </c>
      <c r="G43" s="76">
        <f t="shared" si="231"/>
        <v>0.17216483910698344</v>
      </c>
      <c r="H43" s="76">
        <f t="shared" si="231"/>
        <v>4.2879766325080615E-2</v>
      </c>
      <c r="I43" s="76">
        <f t="shared" si="231"/>
        <v>7.3560849246152138E-2</v>
      </c>
      <c r="J43" s="76">
        <f t="shared" si="231"/>
        <v>-6.3638279257525854E-2</v>
      </c>
      <c r="K43" s="76">
        <f t="shared" si="231"/>
        <v>0.26577102304952915</v>
      </c>
      <c r="L43" s="76">
        <f t="shared" si="231"/>
        <v>-2.7898342702518786E-2</v>
      </c>
      <c r="M43" s="76">
        <f t="shared" si="231"/>
        <v>2.2285255311030872E-2</v>
      </c>
      <c r="N43" s="76">
        <f t="shared" si="231"/>
        <v>-0.12519243020288984</v>
      </c>
      <c r="O43" s="76">
        <f t="shared" si="231"/>
        <v>0.29192851953955423</v>
      </c>
      <c r="P43" s="76">
        <f t="shared" si="231"/>
        <v>-9.9261425611549825E-3</v>
      </c>
      <c r="Q43" s="76">
        <f t="shared" si="231"/>
        <v>7.0699502381037727E-2</v>
      </c>
      <c r="R43" s="76">
        <f t="shared" si="231"/>
        <v>1.9873862755010796E-2</v>
      </c>
      <c r="S43" s="76">
        <f t="shared" si="231"/>
        <v>-0.17930996748966876</v>
      </c>
      <c r="T43" s="76">
        <f t="shared" si="231"/>
        <v>-0.11461310315560091</v>
      </c>
      <c r="U43" s="76">
        <f t="shared" si="231"/>
        <v>-0.15509607456598418</v>
      </c>
      <c r="V43" s="76">
        <f t="shared" si="231"/>
        <v>0.21912684900528778</v>
      </c>
      <c r="W43" s="76">
        <f t="shared" si="231"/>
        <v>0.14858608113003391</v>
      </c>
      <c r="X43" s="76">
        <f t="shared" si="231"/>
        <v>9.7740645513848534E-3</v>
      </c>
      <c r="Y43" s="76">
        <f t="shared" si="231"/>
        <v>0.14610384653787523</v>
      </c>
      <c r="Z43" s="76">
        <f t="shared" si="231"/>
        <v>-0.37548323514495141</v>
      </c>
      <c r="AA43" s="76">
        <f t="shared" si="231"/>
        <v>-1.0003210250345025</v>
      </c>
      <c r="AB43" s="76">
        <f t="shared" ref="AB43:CM43" si="232">IFERROR(AB32/AA32-1,0)</f>
        <v>-2375.7070180351661</v>
      </c>
      <c r="AC43" s="79">
        <f t="shared" si="232"/>
        <v>4.2131877258286154E-2</v>
      </c>
      <c r="AD43" s="76">
        <f t="shared" si="232"/>
        <v>-0.17952206878559762</v>
      </c>
      <c r="AE43" s="76">
        <f t="shared" si="232"/>
        <v>0.66872685759498562</v>
      </c>
      <c r="AF43" s="76">
        <f t="shared" si="232"/>
        <v>2.8853840749992532E-2</v>
      </c>
      <c r="AG43" s="76">
        <f t="shared" si="232"/>
        <v>-9.9357614012439144E-2</v>
      </c>
      <c r="AH43" s="76">
        <f t="shared" si="232"/>
        <v>0.17758890382426129</v>
      </c>
      <c r="AI43" s="76">
        <f t="shared" si="232"/>
        <v>0.62278965131969488</v>
      </c>
      <c r="AJ43" s="76">
        <f t="shared" si="232"/>
        <v>-0.13711356846735812</v>
      </c>
      <c r="AK43" s="79">
        <f t="shared" si="232"/>
        <v>0.25139657403282833</v>
      </c>
      <c r="AL43" s="76">
        <f t="shared" si="232"/>
        <v>-0.161135738214645</v>
      </c>
      <c r="AM43" s="76">
        <f t="shared" si="232"/>
        <v>-0.31269347838391925</v>
      </c>
      <c r="AN43" s="76">
        <f t="shared" si="232"/>
        <v>-0.5473870928281146</v>
      </c>
      <c r="AO43" s="76">
        <f t="shared" si="232"/>
        <v>1.2128683820852029</v>
      </c>
      <c r="AP43" s="76">
        <f t="shared" si="232"/>
        <v>0.40250443130745839</v>
      </c>
      <c r="AQ43" s="76">
        <f t="shared" si="232"/>
        <v>-2.3410172170959975E-2</v>
      </c>
      <c r="AR43" s="76">
        <f t="shared" si="232"/>
        <v>-5.7753651362853153E-2</v>
      </c>
      <c r="AS43" s="76">
        <f t="shared" si="232"/>
        <v>-0.14777351313022025</v>
      </c>
      <c r="AT43" s="76">
        <f t="shared" si="232"/>
        <v>0.20633639022590988</v>
      </c>
      <c r="AU43" s="76">
        <f t="shared" si="232"/>
        <v>0.34110450378709034</v>
      </c>
      <c r="AV43" s="76">
        <f t="shared" si="232"/>
        <v>-8.988565669535975E-2</v>
      </c>
      <c r="AW43" s="76">
        <f t="shared" si="232"/>
        <v>2.398153864090169E-2</v>
      </c>
      <c r="AX43" s="76">
        <f t="shared" si="232"/>
        <v>-0.12977283040367504</v>
      </c>
      <c r="AY43" s="76">
        <f t="shared" si="232"/>
        <v>-3.5926298722740446E-3</v>
      </c>
      <c r="AZ43" s="76">
        <f t="shared" si="232"/>
        <v>0.12087835577194905</v>
      </c>
      <c r="BA43" s="76">
        <f t="shared" si="232"/>
        <v>-0.28200292839120378</v>
      </c>
      <c r="BB43" s="76">
        <f t="shared" si="232"/>
        <v>0.1610723995739991</v>
      </c>
      <c r="BC43" s="76">
        <f t="shared" si="232"/>
        <v>6.7313251350109127E-2</v>
      </c>
      <c r="BD43" s="76">
        <f t="shared" si="232"/>
        <v>2.8717568436994689E-2</v>
      </c>
      <c r="BE43" s="76">
        <f t="shared" si="232"/>
        <v>0.17223998045129463</v>
      </c>
      <c r="BF43" s="76">
        <f t="shared" si="232"/>
        <v>8.2890354293343682E-2</v>
      </c>
      <c r="BG43" s="76">
        <f t="shared" si="232"/>
        <v>0.2701606693334373</v>
      </c>
      <c r="BH43" s="76">
        <f t="shared" si="232"/>
        <v>-9.7720670068532023E-2</v>
      </c>
      <c r="BI43" s="76">
        <f t="shared" si="232"/>
        <v>-0.19493083567161784</v>
      </c>
      <c r="BJ43" s="75">
        <f t="shared" si="232"/>
        <v>0.10566230887335948</v>
      </c>
      <c r="BK43" s="76">
        <f t="shared" si="232"/>
        <v>-7.8403815386902886E-2</v>
      </c>
      <c r="BL43" s="76">
        <f t="shared" si="232"/>
        <v>2.0882125254283013E-2</v>
      </c>
      <c r="BM43" s="76">
        <f t="shared" si="232"/>
        <v>-0.24350663548012008</v>
      </c>
      <c r="BN43" s="76">
        <f t="shared" si="232"/>
        <v>-5.9893978125412861E-2</v>
      </c>
      <c r="BO43" s="76">
        <f t="shared" si="232"/>
        <v>6.0427828690126084E-2</v>
      </c>
      <c r="BP43" s="76">
        <f t="shared" si="232"/>
        <v>-3.0827795948519476E-2</v>
      </c>
      <c r="BQ43" s="76">
        <f t="shared" si="232"/>
        <v>-6.2692726394392495E-2</v>
      </c>
      <c r="BR43" s="76">
        <f t="shared" si="232"/>
        <v>0.23121205986172844</v>
      </c>
      <c r="BS43" s="76">
        <f t="shared" si="232"/>
        <v>-9.6744774985186632E-2</v>
      </c>
      <c r="BT43" s="76">
        <f t="shared" si="232"/>
        <v>-0.10085469292395588</v>
      </c>
      <c r="BU43" s="76">
        <f t="shared" si="232"/>
        <v>4.5623161011096869E-2</v>
      </c>
      <c r="BV43" s="76">
        <f t="shared" si="232"/>
        <v>3.5136175745232867E-2</v>
      </c>
      <c r="BW43" s="76">
        <f t="shared" si="232"/>
        <v>3.763002881589772E-2</v>
      </c>
      <c r="BX43" s="76">
        <f t="shared" si="232"/>
        <v>3.5213503629160536E-2</v>
      </c>
      <c r="BY43" s="76">
        <f t="shared" si="232"/>
        <v>-4.6340814347519244E-2</v>
      </c>
      <c r="BZ43" s="76">
        <f t="shared" si="232"/>
        <v>-5.3975035804111449E-2</v>
      </c>
      <c r="CA43" s="76">
        <f t="shared" si="232"/>
        <v>-3.2251833718302425E-2</v>
      </c>
      <c r="CB43" s="76">
        <f t="shared" si="232"/>
        <v>-0.12105301311268257</v>
      </c>
      <c r="CC43" s="76">
        <f t="shared" si="232"/>
        <v>0.19340118185358901</v>
      </c>
      <c r="CD43" s="76">
        <f t="shared" si="232"/>
        <v>1.9754219443563814E-2</v>
      </c>
      <c r="CE43" s="76">
        <f t="shared" si="232"/>
        <v>0.13795204185136001</v>
      </c>
      <c r="CF43" s="76">
        <f t="shared" si="232"/>
        <v>0.14638514326368979</v>
      </c>
      <c r="CG43" s="76">
        <f t="shared" si="232"/>
        <v>0.15493310178417508</v>
      </c>
      <c r="CH43" s="76">
        <f t="shared" si="232"/>
        <v>0.24768459600183657</v>
      </c>
      <c r="CI43" s="76">
        <f t="shared" si="232"/>
        <v>-0.15317380213963983</v>
      </c>
      <c r="CJ43" s="76">
        <f t="shared" si="232"/>
        <v>-1.4788303339885678E-2</v>
      </c>
      <c r="CK43" s="76">
        <f t="shared" si="232"/>
        <v>-1.8643773131272745E-2</v>
      </c>
      <c r="CL43" s="76">
        <f t="shared" si="232"/>
        <v>9.4841809676211586E-3</v>
      </c>
      <c r="CM43" s="76">
        <f t="shared" si="232"/>
        <v>-0.15899343222220597</v>
      </c>
      <c r="CN43" s="76">
        <f t="shared" ref="CN43:CS43" si="233">IFERROR(CN32/CM32-1,0)</f>
        <v>-0.13891362274249286</v>
      </c>
      <c r="CO43" s="76">
        <f t="shared" si="233"/>
        <v>0.29886288334446665</v>
      </c>
      <c r="CP43" s="76">
        <f t="shared" si="233"/>
        <v>0.20302932097737969</v>
      </c>
      <c r="CQ43" s="76">
        <f t="shared" si="233"/>
        <v>0.21304207152541599</v>
      </c>
      <c r="CR43" s="76">
        <f t="shared" si="233"/>
        <v>7.3517395204645064E-2</v>
      </c>
      <c r="CS43" s="76">
        <f t="shared" si="233"/>
        <v>-9.0221779714106609E-2</v>
      </c>
      <c r="CT43" s="76">
        <f t="shared" ref="CT43" si="234">IFERROR(CT32/CS32-1,0)</f>
        <v>-2.8354500945227401E-2</v>
      </c>
      <c r="CU43" s="76">
        <f t="shared" ref="CU43" si="235">IFERROR(CU32/CT32-1,0)</f>
        <v>3.5386160797962862E-2</v>
      </c>
      <c r="CV43" s="76">
        <f t="shared" ref="CV43" si="236">IFERROR(CV32/CU32-1,0)</f>
        <v>3.6504242131529141E-2</v>
      </c>
      <c r="CW43" s="76">
        <f t="shared" ref="CW43" si="237">IFERROR(CW32/CV32-1,0)</f>
        <v>-6.0567098286549714E-2</v>
      </c>
      <c r="CX43" s="76">
        <f t="shared" ref="CX43" si="238">IFERROR(CX32/CW32-1,0)</f>
        <v>8.5551564177732686E-4</v>
      </c>
      <c r="CY43" s="76">
        <f t="shared" ref="CY43" si="239">IFERROR(CY32/CX32-1,0)</f>
        <v>-7.0201973248546823E-2</v>
      </c>
      <c r="CZ43" s="76">
        <f t="shared" ref="CZ43" si="240">IFERROR(CZ32/CY32-1,0)</f>
        <v>-0.12796129067475581</v>
      </c>
      <c r="DA43" s="76">
        <f t="shared" ref="DA43" si="241">IFERROR(DA32/CZ32-1,0)</f>
        <v>0.16989469293036086</v>
      </c>
      <c r="DB43" s="76">
        <f t="shared" ref="DB43" si="242">IFERROR(DB32/DA32-1,0)</f>
        <v>0.23835961943946415</v>
      </c>
      <c r="DC43" s="76">
        <f t="shared" ref="DC43" si="243">IFERROR(DC32/DB32-1,0)</f>
        <v>0.11428226206022241</v>
      </c>
      <c r="DD43" s="76">
        <f t="shared" ref="DD43" si="244">IFERROR(DD32/DC32-1,0)</f>
        <v>-6.4191520491268639E-2</v>
      </c>
      <c r="DE43" s="76">
        <f t="shared" ref="DE43" si="245">IFERROR(DE32/DD32-1,0)</f>
        <v>-2.4789306697714286E-2</v>
      </c>
      <c r="DF43" s="76">
        <f t="shared" ref="DF43" si="246">IFERROR(DF32/DE32-1,0)</f>
        <v>-3.8460918761116791E-2</v>
      </c>
      <c r="DG43" s="76">
        <f t="shared" ref="DG43" si="247">IFERROR(DG32/DF32-1,0)</f>
        <v>0.11669931758186181</v>
      </c>
      <c r="DH43" s="76">
        <f t="shared" ref="DH43" si="248">IFERROR(DH32/DG32-1,0)</f>
        <v>3.6504242131529363E-2</v>
      </c>
      <c r="DI43" s="76">
        <f t="shared" ref="DI43" si="249">IFERROR(DI32/DH32-1,0)</f>
        <v>-6.0567098286550047E-2</v>
      </c>
      <c r="DJ43" s="76">
        <f t="shared" ref="DJ43" si="250">IFERROR(DJ32/DI32-1,0)</f>
        <v>8.5551564177710482E-4</v>
      </c>
      <c r="DK43" s="76">
        <f t="shared" ref="DK43" si="251">IFERROR(DK32/DJ32-1,0)</f>
        <v>-7.0201973248546379E-2</v>
      </c>
      <c r="DL43" s="76">
        <f t="shared" ref="DL43" si="252">IFERROR(DL32/DK32-1,0)</f>
        <v>-0.12796129067475626</v>
      </c>
      <c r="DM43" s="76">
        <f t="shared" ref="DM43" si="253">IFERROR(DM32/DL32-1,0)</f>
        <v>0.16989469293036086</v>
      </c>
      <c r="DN43" s="76">
        <f t="shared" ref="DN43" si="254">IFERROR(DN32/DM32-1,0)</f>
        <v>0.2383596194394646</v>
      </c>
      <c r="DO43" s="76">
        <f t="shared" ref="DO43" si="255">IFERROR(DO32/DN32-1,0)</f>
        <v>0.11428226206022218</v>
      </c>
      <c r="DP43" s="76">
        <f t="shared" ref="DP43" si="256">IFERROR(DP32/DO32-1,0)</f>
        <v>-6.4191520491268528E-2</v>
      </c>
      <c r="DQ43" s="76">
        <f t="shared" ref="DQ43" si="257">IFERROR(DQ32/DP32-1,0)</f>
        <v>-2.4789306697714397E-2</v>
      </c>
      <c r="DR43" s="78">
        <f t="shared" ref="DR43" si="258">IFERROR(DR32/DQ32-1,0)</f>
        <v>-3.8460918761116569E-2</v>
      </c>
      <c r="DS43" s="78">
        <f t="shared" ref="DS43" si="259">IFERROR(DS32/DR32-1,0)</f>
        <v>7.20313448785872E-2</v>
      </c>
      <c r="DT43" s="78">
        <f t="shared" ref="DT43" si="260">IFERROR(DT32/DS32-1,0)</f>
        <v>3.6504242131528919E-2</v>
      </c>
      <c r="DU43" s="78">
        <f t="shared" ref="DU43" si="261">IFERROR(DU32/DT32-1,0)</f>
        <v>-6.0567098286549936E-2</v>
      </c>
      <c r="DV43" s="78">
        <f t="shared" ref="DV43" si="262">IFERROR(DV32/DU32-1,0)</f>
        <v>8.5551564177732686E-4</v>
      </c>
      <c r="DW43" s="78">
        <f t="shared" ref="DW43" si="263">IFERROR(DW32/DV32-1,0)</f>
        <v>-7.0201973248546712E-2</v>
      </c>
      <c r="DX43" s="78">
        <f t="shared" ref="DX43" si="264">IFERROR(DX32/DW32-1,0)</f>
        <v>-0.12796129067475615</v>
      </c>
      <c r="DY43" s="78">
        <f t="shared" ref="DY43" si="265">IFERROR(DY32/DX32-1,0)</f>
        <v>0.16989469293036108</v>
      </c>
      <c r="DZ43" s="78">
        <f t="shared" ref="DZ43" si="266">IFERROR(DZ32/DY32-1,0)</f>
        <v>0.23835961943946438</v>
      </c>
      <c r="EA43" s="78">
        <f t="shared" ref="EA43" si="267">IFERROR(EA32/DZ32-1,0)</f>
        <v>0.11428226206022241</v>
      </c>
      <c r="EB43" s="78">
        <f t="shared" ref="EB43" si="268">IFERROR(EB32/EA32-1,0)</f>
        <v>-6.4191520491268417E-2</v>
      </c>
      <c r="EC43" s="78">
        <f t="shared" ref="EC43" si="269">IFERROR(EC32/EB32-1,0)</f>
        <v>-2.478930669771473E-2</v>
      </c>
      <c r="ED43" s="78">
        <f t="shared" ref="ED43" si="270">IFERROR(ED32/EC32-1,0)</f>
        <v>-3.8460918761116569E-2</v>
      </c>
      <c r="EE43" s="39" t="s">
        <v>1</v>
      </c>
      <c r="EF43" s="79"/>
      <c r="EG43" s="627">
        <f>IFERROR(EG32/ED32-1,0)</f>
        <v>4.5460131218076683E-2</v>
      </c>
      <c r="EH43" s="627">
        <f t="shared" ref="EH43:EZ43" si="271">IFERROR(EH32/EE32-1,0)</f>
        <v>0</v>
      </c>
      <c r="EI43" s="627">
        <f t="shared" si="271"/>
        <v>0</v>
      </c>
      <c r="EJ43" s="627">
        <f t="shared" si="271"/>
        <v>-0.21681964564151779</v>
      </c>
      <c r="EK43" s="627">
        <f t="shared" si="271"/>
        <v>5.8794672349818278E-2</v>
      </c>
      <c r="EL43" s="627">
        <f t="shared" si="271"/>
        <v>-0.11583778659129507</v>
      </c>
      <c r="EM43" s="627">
        <f t="shared" si="271"/>
        <v>8.2530574908912024E-2</v>
      </c>
      <c r="EN43" s="627">
        <f t="shared" si="271"/>
        <v>0.50050745279806086</v>
      </c>
      <c r="EO43" s="627">
        <f t="shared" si="271"/>
        <v>0.72602627237628492</v>
      </c>
      <c r="EP43" s="627">
        <f t="shared" si="271"/>
        <v>0.27799182533642708</v>
      </c>
      <c r="EQ43" s="627">
        <f t="shared" si="271"/>
        <v>0.14096103405901728</v>
      </c>
      <c r="ER43" s="627">
        <f t="shared" si="271"/>
        <v>0.36110289137888052</v>
      </c>
      <c r="ES43" s="627">
        <f t="shared" si="271"/>
        <v>0.582694935292835</v>
      </c>
      <c r="ET43" s="627">
        <f t="shared" si="271"/>
        <v>4.5690695702278239E-2</v>
      </c>
      <c r="EU43" s="627">
        <f t="shared" si="271"/>
        <v>9.5805799554217641E-2</v>
      </c>
      <c r="EV43" s="627">
        <f t="shared" si="271"/>
        <v>0.15514438481178217</v>
      </c>
      <c r="EW43" s="627">
        <f t="shared" si="271"/>
        <v>0.40881195353836564</v>
      </c>
      <c r="EX43" s="627">
        <f t="shared" si="271"/>
        <v>-1.8638974326413704E-3</v>
      </c>
      <c r="EY43" s="627">
        <f t="shared" si="271"/>
        <v>0.20240555920008152</v>
      </c>
      <c r="EZ43" s="627">
        <f t="shared" si="271"/>
        <v>0.15514438481178261</v>
      </c>
      <c r="FA43" s="627">
        <f t="shared" ref="FA43" si="272">IFERROR(FA32/EX32-1,0)</f>
        <v>0.35245947539683176</v>
      </c>
      <c r="FB43" s="627">
        <f t="shared" ref="FB43" si="273">IFERROR(FB32/EY32-1,0)</f>
        <v>-4.1789341535335423E-2</v>
      </c>
      <c r="FC43" s="627">
        <f t="shared" ref="FC43" si="274">IFERROR(FC32/EZ32-1,0)</f>
        <v>0.15430933683207804</v>
      </c>
      <c r="FD43" s="627">
        <f t="shared" ref="FD43" si="275">IFERROR(FD32/FA32-1,0)</f>
        <v>0.15514438481178261</v>
      </c>
      <c r="FG43" s="80">
        <f>IFERROR(FG32/EX32-1,0)</f>
        <v>0.95232878310701774</v>
      </c>
      <c r="FH43" s="76">
        <f>IFERROR(FH32/EY32-1,0)</f>
        <v>1.332222025640581</v>
      </c>
      <c r="FI43" s="76">
        <f>IFERROR(FI32/EZ32-1,0)</f>
        <v>1.8765778474462076</v>
      </c>
      <c r="FJ43" s="78">
        <f>IFERROR(FJ32/FE32-1,0)</f>
        <v>0</v>
      </c>
      <c r="FK43" s="78">
        <f>IFERROR(FK32/FF32-1,0)</f>
        <v>0</v>
      </c>
    </row>
    <row r="44" spans="2:167" ht="15.75" customHeight="1" x14ac:dyDescent="0.2">
      <c r="B44" s="48" t="s">
        <v>17</v>
      </c>
      <c r="C44" s="75"/>
      <c r="D44" s="76">
        <f t="shared" ref="D44:AA44" si="276">D36/C36-1</f>
        <v>-0.10574554977086381</v>
      </c>
      <c r="E44" s="76">
        <f t="shared" si="276"/>
        <v>0.21171343907965845</v>
      </c>
      <c r="F44" s="76">
        <f t="shared" si="276"/>
        <v>0.13061741181886188</v>
      </c>
      <c r="G44" s="76">
        <f t="shared" si="276"/>
        <v>0.20163876024225158</v>
      </c>
      <c r="H44" s="76">
        <f t="shared" si="276"/>
        <v>4.0870780568379228E-2</v>
      </c>
      <c r="I44" s="76">
        <f t="shared" si="276"/>
        <v>7.2509765625E-2</v>
      </c>
      <c r="J44" s="76">
        <f t="shared" si="276"/>
        <v>1.5555049700279877E-3</v>
      </c>
      <c r="K44" s="76">
        <f t="shared" si="276"/>
        <v>0.27510511761809164</v>
      </c>
      <c r="L44" s="76">
        <f t="shared" si="276"/>
        <v>-6.4361362387297061E-2</v>
      </c>
      <c r="M44" s="76">
        <f t="shared" si="276"/>
        <v>6.8074297507540793E-2</v>
      </c>
      <c r="N44" s="76">
        <f t="shared" si="276"/>
        <v>-0.21091590118612324</v>
      </c>
      <c r="O44" s="76">
        <f t="shared" si="276"/>
        <v>0.36352848101265822</v>
      </c>
      <c r="P44" s="76">
        <f t="shared" si="276"/>
        <v>4.4787047398013424E-2</v>
      </c>
      <c r="Q44" s="76">
        <f t="shared" si="276"/>
        <v>9.8374961985481235E-3</v>
      </c>
      <c r="R44" s="76">
        <f t="shared" si="276"/>
        <v>-6.2325691016458684E-2</v>
      </c>
      <c r="S44" s="76">
        <f t="shared" si="276"/>
        <v>-0.11877731696758964</v>
      </c>
      <c r="T44" s="76">
        <f t="shared" si="276"/>
        <v>-0.11150902435545973</v>
      </c>
      <c r="U44" s="76">
        <f t="shared" si="276"/>
        <v>-0.18161227037631533</v>
      </c>
      <c r="V44" s="76">
        <f t="shared" si="276"/>
        <v>0.16287837513892822</v>
      </c>
      <c r="W44" s="76">
        <f t="shared" si="276"/>
        <v>0.2415247090571766</v>
      </c>
      <c r="X44" s="76">
        <f t="shared" si="276"/>
        <v>-4.2264788902468542E-4</v>
      </c>
      <c r="Y44" s="76">
        <f t="shared" si="276"/>
        <v>0.24732335663913263</v>
      </c>
      <c r="Z44" s="76">
        <f t="shared" si="276"/>
        <v>-0.34770396736037967</v>
      </c>
      <c r="AA44" s="76">
        <f t="shared" si="276"/>
        <v>-1.0001670409621559</v>
      </c>
      <c r="AB44" s="76">
        <f t="shared" ref="AB44:CM44" si="277">IFERROR(AB36/AA36-1,0)</f>
        <v>-4402.666666666667</v>
      </c>
      <c r="AC44" s="79">
        <f t="shared" si="277"/>
        <v>6.3839454751987823E-2</v>
      </c>
      <c r="AD44" s="76">
        <f t="shared" si="277"/>
        <v>-0.45185554290053154</v>
      </c>
      <c r="AE44" s="76">
        <f t="shared" si="277"/>
        <v>0.83663044889831606</v>
      </c>
      <c r="AF44" s="76">
        <f t="shared" si="277"/>
        <v>-0.11591401904402754</v>
      </c>
      <c r="AG44" s="76">
        <f t="shared" si="277"/>
        <v>1.3942948547054135E-2</v>
      </c>
      <c r="AH44" s="76">
        <f t="shared" si="277"/>
        <v>0.37123024741671706</v>
      </c>
      <c r="AI44" s="76">
        <f t="shared" si="277"/>
        <v>0.25830265378125472</v>
      </c>
      <c r="AJ44" s="76">
        <f t="shared" si="277"/>
        <v>-0.23659387714673208</v>
      </c>
      <c r="AK44" s="79">
        <f t="shared" si="277"/>
        <v>0.37557139150048902</v>
      </c>
      <c r="AL44" s="76">
        <f t="shared" si="277"/>
        <v>-0.15313733457162759</v>
      </c>
      <c r="AM44" s="76">
        <f t="shared" si="277"/>
        <v>-0.32533114001268015</v>
      </c>
      <c r="AN44" s="76">
        <f t="shared" si="277"/>
        <v>-0.4888375282554035</v>
      </c>
      <c r="AO44" s="76">
        <f t="shared" si="277"/>
        <v>1.217082380999702</v>
      </c>
      <c r="AP44" s="76">
        <f t="shared" si="277"/>
        <v>0.45451693148965733</v>
      </c>
      <c r="AQ44" s="76">
        <f t="shared" si="277"/>
        <v>4.0245292903146268E-2</v>
      </c>
      <c r="AR44" s="76">
        <f t="shared" si="277"/>
        <v>-7.5762064164469622E-2</v>
      </c>
      <c r="AS44" s="76">
        <f t="shared" si="277"/>
        <v>-0.13426497219506728</v>
      </c>
      <c r="AT44" s="76">
        <f t="shared" si="277"/>
        <v>0.3103237629810629</v>
      </c>
      <c r="AU44" s="76">
        <f t="shared" si="277"/>
        <v>0.22771773680864582</v>
      </c>
      <c r="AV44" s="76">
        <f t="shared" si="277"/>
        <v>-9.843045199300382E-2</v>
      </c>
      <c r="AW44" s="76">
        <f t="shared" si="277"/>
        <v>-9.0338225909381009E-2</v>
      </c>
      <c r="AX44" s="76">
        <f t="shared" si="277"/>
        <v>-9.6222920642047405E-2</v>
      </c>
      <c r="AY44" s="76">
        <f t="shared" si="277"/>
        <v>-8.7977768808023105E-2</v>
      </c>
      <c r="AZ44" s="76">
        <f t="shared" si="277"/>
        <v>9.437077638007052E-2</v>
      </c>
      <c r="BA44" s="76">
        <f t="shared" si="277"/>
        <v>-0.33236378342225192</v>
      </c>
      <c r="BB44" s="76">
        <f t="shared" si="277"/>
        <v>0.22833911888730984</v>
      </c>
      <c r="BC44" s="76">
        <f t="shared" si="277"/>
        <v>5.7412184204536754E-2</v>
      </c>
      <c r="BD44" s="76">
        <f t="shared" si="277"/>
        <v>8.9702426862298346E-2</v>
      </c>
      <c r="BE44" s="76">
        <f t="shared" si="277"/>
        <v>-7.1569660258098522E-2</v>
      </c>
      <c r="BF44" s="76">
        <f t="shared" si="277"/>
        <v>9.0614140841074997E-2</v>
      </c>
      <c r="BG44" s="76">
        <f t="shared" si="277"/>
        <v>0.26403316264325771</v>
      </c>
      <c r="BH44" s="76">
        <f t="shared" si="277"/>
        <v>-0.11462633589258842</v>
      </c>
      <c r="BI44" s="76">
        <f t="shared" si="277"/>
        <v>-0.21050490965080471</v>
      </c>
      <c r="BJ44" s="75">
        <f t="shared" si="277"/>
        <v>0.16762952605239922</v>
      </c>
      <c r="BK44" s="76">
        <f t="shared" si="277"/>
        <v>-0.17912799584009576</v>
      </c>
      <c r="BL44" s="76">
        <f t="shared" si="277"/>
        <v>-2.3533928400038429E-2</v>
      </c>
      <c r="BM44" s="76">
        <f t="shared" si="277"/>
        <v>-0.2671764729009809</v>
      </c>
      <c r="BN44" s="76">
        <f t="shared" si="277"/>
        <v>1.5558774612371984E-2</v>
      </c>
      <c r="BO44" s="76">
        <f t="shared" si="277"/>
        <v>9.0496064240054963E-2</v>
      </c>
      <c r="BP44" s="76">
        <f t="shared" si="277"/>
        <v>4.602267222168388E-3</v>
      </c>
      <c r="BQ44" s="76">
        <f t="shared" si="277"/>
        <v>-0.16019674977094078</v>
      </c>
      <c r="BR44" s="76">
        <f t="shared" si="277"/>
        <v>0.24275050244042484</v>
      </c>
      <c r="BS44" s="76">
        <f t="shared" si="277"/>
        <v>-0.27868776712487009</v>
      </c>
      <c r="BT44" s="76">
        <f t="shared" si="277"/>
        <v>-6.9854589712382342E-2</v>
      </c>
      <c r="BU44" s="76">
        <f t="shared" si="277"/>
        <v>3.3607658138493868E-2</v>
      </c>
      <c r="BV44" s="76">
        <f t="shared" si="277"/>
        <v>-2.5318985907984981E-3</v>
      </c>
      <c r="BW44" s="76">
        <f t="shared" si="277"/>
        <v>5.0465916302060654E-2</v>
      </c>
      <c r="BX44" s="76">
        <f t="shared" si="277"/>
        <v>0.12126414854381284</v>
      </c>
      <c r="BY44" s="76">
        <f t="shared" si="277"/>
        <v>-4.040719106221291E-2</v>
      </c>
      <c r="BZ44" s="76">
        <f t="shared" si="277"/>
        <v>5.6410862563162967E-2</v>
      </c>
      <c r="CA44" s="76">
        <f t="shared" si="277"/>
        <v>-0.12467132867132869</v>
      </c>
      <c r="CB44" s="76">
        <f t="shared" si="277"/>
        <v>-0.11647972389991368</v>
      </c>
      <c r="CC44" s="76">
        <f t="shared" si="277"/>
        <v>7.110821759259256E-2</v>
      </c>
      <c r="CD44" s="76">
        <f t="shared" si="277"/>
        <v>9.1173093806983241E-2</v>
      </c>
      <c r="CE44" s="76">
        <f t="shared" si="277"/>
        <v>0.29578510862165008</v>
      </c>
      <c r="CF44" s="76">
        <f t="shared" si="277"/>
        <v>0.14102502865876954</v>
      </c>
      <c r="CG44" s="76">
        <f t="shared" si="277"/>
        <v>-7.1875588672373758E-2</v>
      </c>
      <c r="CH44" s="76">
        <f t="shared" si="277"/>
        <v>0.26658097106645928</v>
      </c>
      <c r="CI44" s="76">
        <f t="shared" si="277"/>
        <v>-0.12769745744605088</v>
      </c>
      <c r="CJ44" s="76">
        <f t="shared" si="277"/>
        <v>4.3496897452645289E-2</v>
      </c>
      <c r="CK44" s="76">
        <f t="shared" si="277"/>
        <v>-8.216715722761514E-2</v>
      </c>
      <c r="CL44" s="76">
        <f t="shared" si="277"/>
        <v>1.9662937102156386E-2</v>
      </c>
      <c r="CM44" s="76">
        <f t="shared" si="277"/>
        <v>-7.6726930713763242E-2</v>
      </c>
      <c r="CN44" s="76">
        <f t="shared" ref="CN44:CS44" si="278">IFERROR(CN36/CM36-1,0)</f>
        <v>-0.12681667949472542</v>
      </c>
      <c r="CO44" s="76">
        <f t="shared" si="278"/>
        <v>0.17409001348128172</v>
      </c>
      <c r="CP44" s="76">
        <f t="shared" si="278"/>
        <v>0.24861439265131269</v>
      </c>
      <c r="CQ44" s="76">
        <f t="shared" si="278"/>
        <v>0.10596682347115616</v>
      </c>
      <c r="CR44" s="76">
        <f t="shared" si="278"/>
        <v>-5.5198439348875916E-2</v>
      </c>
      <c r="CS44" s="76">
        <f t="shared" si="278"/>
        <v>-2.8254338692752845E-2</v>
      </c>
      <c r="CT44" s="76">
        <f t="shared" ref="CT44" si="279">IFERROR(CT36/CS36-1,0)</f>
        <v>-4.5199351356018158E-2</v>
      </c>
      <c r="CU44" s="76">
        <f t="shared" ref="CU44" si="280">IFERROR(CU36/CT36-1,0)</f>
        <v>0.1860188526178217</v>
      </c>
      <c r="CV44" s="76">
        <f t="shared" ref="CV44" si="281">IFERROR(CV36/CU36-1,0)</f>
        <v>3.6612985356183181E-2</v>
      </c>
      <c r="CW44" s="76">
        <f t="shared" ref="CW44" si="282">IFERROR(CW36/CV36-1,0)</f>
        <v>-5.6783850394739432E-2</v>
      </c>
      <c r="CX44" s="76">
        <f t="shared" ref="CX44" si="283">IFERROR(CX36/CW36-1,0)</f>
        <v>2.177320127885185E-4</v>
      </c>
      <c r="CY44" s="76">
        <f t="shared" ref="CY44" si="284">IFERROR(CY36/CX36-1,0)</f>
        <v>-6.9411354062555275E-2</v>
      </c>
      <c r="CZ44" s="76">
        <f t="shared" ref="CZ44" si="285">IFERROR(CZ36/CY36-1,0)</f>
        <v>-0.12874055334822676</v>
      </c>
      <c r="DA44" s="76">
        <f t="shared" ref="DA44" si="286">IFERROR(DA36/CZ36-1,0)</f>
        <v>0.17098696686325843</v>
      </c>
      <c r="DB44" s="76">
        <f t="shared" ref="DB44" si="287">IFERROR(DB36/DA36-1,0)</f>
        <v>0.23599652533334736</v>
      </c>
      <c r="DC44" s="76">
        <f t="shared" ref="DC44" si="288">IFERROR(DC36/DB36-1,0)</f>
        <v>0.11413683175174905</v>
      </c>
      <c r="DD44" s="76">
        <f t="shared" ref="DD44" si="289">IFERROR(DD36/DC36-1,0)</f>
        <v>-6.2874122695759982E-2</v>
      </c>
      <c r="DE44" s="76">
        <f t="shared" ref="DE44" si="290">IFERROR(DE36/DD36-1,0)</f>
        <v>-2.4344613929751513E-2</v>
      </c>
      <c r="DF44" s="76">
        <f t="shared" ref="DF44" si="291">IFERROR(DF36/DE36-1,0)</f>
        <v>-3.7799720255201175E-2</v>
      </c>
      <c r="DG44" s="76">
        <f t="shared" ref="DG44" si="292">IFERROR(DG36/DF36-1,0)</f>
        <v>0.11125734030625978</v>
      </c>
      <c r="DH44" s="76">
        <f t="shared" ref="DH44" si="293">IFERROR(DH36/DG36-1,0)</f>
        <v>3.6612985356183403E-2</v>
      </c>
      <c r="DI44" s="76">
        <f t="shared" ref="DI44" si="294">IFERROR(DI36/DH36-1,0)</f>
        <v>-5.6783850394739543E-2</v>
      </c>
      <c r="DJ44" s="76">
        <f t="shared" ref="DJ44" si="295">IFERROR(DJ36/DI36-1,0)</f>
        <v>2.1773201278829646E-4</v>
      </c>
      <c r="DK44" s="76">
        <f t="shared" ref="DK44" si="296">IFERROR(DK36/DJ36-1,0)</f>
        <v>-6.9411354062554942E-2</v>
      </c>
      <c r="DL44" s="76">
        <f t="shared" ref="DL44" si="297">IFERROR(DL36/DK36-1,0)</f>
        <v>-0.12874055334822698</v>
      </c>
      <c r="DM44" s="76">
        <f t="shared" ref="DM44" si="298">IFERROR(DM36/DL36-1,0)</f>
        <v>0.17098696686325865</v>
      </c>
      <c r="DN44" s="76">
        <f t="shared" ref="DN44" si="299">IFERROR(DN36/DM36-1,0)</f>
        <v>0.23599652533334758</v>
      </c>
      <c r="DO44" s="76">
        <f t="shared" ref="DO44" si="300">IFERROR(DO36/DN36-1,0)</f>
        <v>0.11413683175174905</v>
      </c>
      <c r="DP44" s="76">
        <f t="shared" ref="DP44" si="301">IFERROR(DP36/DO36-1,0)</f>
        <v>-6.2874122695759982E-2</v>
      </c>
      <c r="DQ44" s="76">
        <f t="shared" ref="DQ44" si="302">IFERROR(DQ36/DP36-1,0)</f>
        <v>-2.4344613929751624E-2</v>
      </c>
      <c r="DR44" s="78">
        <f t="shared" ref="DR44" si="303">IFERROR(DR36/DQ36-1,0)</f>
        <v>-3.7799720255201286E-2</v>
      </c>
      <c r="DS44" s="78">
        <f t="shared" ref="DS44" si="304">IFERROR(DS36/DR36-1,0)</f>
        <v>6.6807046694009609E-2</v>
      </c>
      <c r="DT44" s="78">
        <f t="shared" ref="DT44" si="305">IFERROR(DT36/DS36-1,0)</f>
        <v>3.6612985356182959E-2</v>
      </c>
      <c r="DU44" s="78">
        <f t="shared" ref="DU44" si="306">IFERROR(DU36/DT36-1,0)</f>
        <v>-5.6783850394739543E-2</v>
      </c>
      <c r="DV44" s="78">
        <f t="shared" ref="DV44" si="307">IFERROR(DV36/DU36-1,0)</f>
        <v>2.177320127885185E-4</v>
      </c>
      <c r="DW44" s="78">
        <f t="shared" ref="DW44" si="308">IFERROR(DW36/DV36-1,0)</f>
        <v>-6.9411354062555164E-2</v>
      </c>
      <c r="DX44" s="78">
        <f t="shared" ref="DX44" si="309">IFERROR(DX36/DW36-1,0)</f>
        <v>-0.12874055334822698</v>
      </c>
      <c r="DY44" s="78">
        <f t="shared" ref="DY44" si="310">IFERROR(DY36/DX36-1,0)</f>
        <v>0.17098696686325865</v>
      </c>
      <c r="DZ44" s="78">
        <f t="shared" ref="DZ44" si="311">IFERROR(DZ36/DY36-1,0)</f>
        <v>0.23599652533334758</v>
      </c>
      <c r="EA44" s="78">
        <f t="shared" ref="EA44" si="312">IFERROR(EA36/DZ36-1,0)</f>
        <v>0.11413683175174882</v>
      </c>
      <c r="EB44" s="78">
        <f t="shared" ref="EB44" si="313">IFERROR(EB36/EA36-1,0)</f>
        <v>-6.2874122695759871E-2</v>
      </c>
      <c r="EC44" s="78">
        <f t="shared" ref="EC44" si="314">IFERROR(EC36/EB36-1,0)</f>
        <v>-2.4344613929751513E-2</v>
      </c>
      <c r="ED44" s="78">
        <f t="shared" ref="ED44" si="315">IFERROR(ED36/EC36-1,0)</f>
        <v>-3.7799720255201286E-2</v>
      </c>
      <c r="EE44" s="39" t="s">
        <v>1</v>
      </c>
      <c r="EF44" s="79"/>
      <c r="EG44" s="627">
        <f>IFERROR(EG36/ED36-1,0)</f>
        <v>0.27835056870016195</v>
      </c>
      <c r="EH44" s="627">
        <f t="shared" ref="EH44:EZ44" si="316">IFERROR(EH36/EE36-1,0)</f>
        <v>0</v>
      </c>
      <c r="EI44" s="627">
        <f t="shared" si="316"/>
        <v>0</v>
      </c>
      <c r="EJ44" s="627">
        <f t="shared" si="316"/>
        <v>-0.36538982615764182</v>
      </c>
      <c r="EK44" s="627">
        <f t="shared" si="316"/>
        <v>-0.1662880546527824</v>
      </c>
      <c r="EL44" s="627">
        <f t="shared" si="316"/>
        <v>-0.13395282475282844</v>
      </c>
      <c r="EM44" s="627">
        <f t="shared" si="316"/>
        <v>0.1663052393847122</v>
      </c>
      <c r="EN44" s="627">
        <f t="shared" si="316"/>
        <v>0.47459700275460182</v>
      </c>
      <c r="EO44" s="627">
        <f t="shared" si="316"/>
        <v>0.55281249982630487</v>
      </c>
      <c r="EP44" s="627">
        <f t="shared" si="316"/>
        <v>0.25810211946050088</v>
      </c>
      <c r="EQ44" s="627">
        <f t="shared" si="316"/>
        <v>0.1084877667179196</v>
      </c>
      <c r="ER44" s="627">
        <f t="shared" si="316"/>
        <v>0.16517276302851758</v>
      </c>
      <c r="ES44" s="627">
        <f t="shared" si="316"/>
        <v>0.5008034337746976</v>
      </c>
      <c r="ET44" s="627">
        <f t="shared" si="316"/>
        <v>6.0490596399982E-2</v>
      </c>
      <c r="EU44" s="627">
        <f t="shared" si="316"/>
        <v>0.27314847528760722</v>
      </c>
      <c r="EV44" s="627">
        <f t="shared" si="316"/>
        <v>0.15848842621924386</v>
      </c>
      <c r="EW44" s="627">
        <f t="shared" si="316"/>
        <v>0.40544888719063432</v>
      </c>
      <c r="EX44" s="627">
        <f t="shared" si="316"/>
        <v>-1.0472828449379357E-3</v>
      </c>
      <c r="EY44" s="627">
        <f t="shared" si="316"/>
        <v>0.20082121266576269</v>
      </c>
      <c r="EZ44" s="627">
        <f t="shared" si="316"/>
        <v>0.15848842621924386</v>
      </c>
      <c r="FA44" s="627">
        <f t="shared" ref="FA44" si="317">IFERROR(FA36/EX36-1,0)</f>
        <v>0.34923093170300912</v>
      </c>
      <c r="FB44" s="627">
        <f t="shared" ref="FB44" si="318">IFERROR(FB36/EY36-1,0)</f>
        <v>-4.1005391531140356E-2</v>
      </c>
      <c r="FC44" s="627">
        <f t="shared" ref="FC44" si="319">IFERROR(FC36/EZ36-1,0)</f>
        <v>0.15278836415913277</v>
      </c>
      <c r="FD44" s="627">
        <f t="shared" ref="FD44" si="320">IFERROR(FD36/FA36-1,0)</f>
        <v>0.15848842621924364</v>
      </c>
      <c r="FG44" s="80">
        <f>IFERROR(FG36/EX36-1,0)</f>
        <v>1.0530043809918328</v>
      </c>
      <c r="FH44" s="76">
        <f>IFERROR(FH36/EY36-1,0)</f>
        <v>1.2494811317974746</v>
      </c>
      <c r="FI44" s="76">
        <f>IFERROR(FI36/EZ36-1,0)</f>
        <v>1.8732571675045322</v>
      </c>
      <c r="FJ44" s="78">
        <f>IFERROR(FJ36/FE36-1,0)</f>
        <v>0</v>
      </c>
      <c r="FK44" s="78">
        <f>IFERROR(FK36/FF36-1,0)</f>
        <v>0</v>
      </c>
    </row>
    <row r="45" spans="2:167" ht="15.75" customHeight="1" x14ac:dyDescent="0.2">
      <c r="B45" s="48"/>
      <c r="C45" s="66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6"/>
      <c r="P45" s="67"/>
      <c r="Q45" s="67"/>
      <c r="R45" s="67"/>
      <c r="S45" s="94"/>
      <c r="T45" s="94"/>
      <c r="U45" s="94"/>
      <c r="V45" s="67"/>
      <c r="W45" s="67"/>
      <c r="X45" s="67"/>
      <c r="Y45" s="67"/>
      <c r="Z45" s="67"/>
      <c r="AA45" s="66"/>
      <c r="AB45" s="67"/>
      <c r="AC45" s="68"/>
      <c r="AD45" s="67"/>
      <c r="AE45" s="67"/>
      <c r="AF45" s="67"/>
      <c r="AG45" s="67"/>
      <c r="AH45" s="67"/>
      <c r="AI45" s="67"/>
      <c r="AJ45" s="67"/>
      <c r="AK45" s="68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93"/>
      <c r="BD45" s="93"/>
      <c r="BE45" s="93"/>
      <c r="BF45" s="76"/>
      <c r="BG45" s="77"/>
      <c r="BH45" s="77"/>
      <c r="BI45" s="77"/>
      <c r="BJ45" s="82"/>
      <c r="BK45" s="99"/>
      <c r="BL45" s="77"/>
      <c r="BM45" s="100"/>
      <c r="BN45" s="77"/>
      <c r="BO45" s="77"/>
      <c r="BP45" s="85"/>
      <c r="BQ45" s="85"/>
      <c r="BR45" s="85"/>
      <c r="BS45" s="85"/>
      <c r="BT45" s="85"/>
      <c r="BU45" s="85"/>
      <c r="BV45" s="85"/>
      <c r="BW45" s="85"/>
      <c r="BX45" s="85">
        <f t="shared" ref="BX45:CS45" si="321">BX48/BX38</f>
        <v>229.86445399788349</v>
      </c>
      <c r="BY45" s="85">
        <f t="shared" si="321"/>
        <v>265.71001210084108</v>
      </c>
      <c r="BZ45" s="85">
        <f t="shared" si="321"/>
        <v>282.02285723798286</v>
      </c>
      <c r="CA45" s="85">
        <f t="shared" si="321"/>
        <v>261.70830212605631</v>
      </c>
      <c r="CB45" s="85">
        <f t="shared" si="321"/>
        <v>265.02132475281087</v>
      </c>
      <c r="CC45" s="85">
        <f t="shared" si="321"/>
        <v>285.06792407637914</v>
      </c>
      <c r="CD45" s="85">
        <f t="shared" si="321"/>
        <v>256.82161658600518</v>
      </c>
      <c r="CE45" s="85">
        <f t="shared" si="321"/>
        <v>216.94321987568892</v>
      </c>
      <c r="CF45" s="85">
        <f t="shared" si="321"/>
        <v>209.48882867960805</v>
      </c>
      <c r="CG45" s="85">
        <f t="shared" si="321"/>
        <v>169.99842833519295</v>
      </c>
      <c r="CH45" s="85">
        <f t="shared" si="321"/>
        <v>240.74606581061914</v>
      </c>
      <c r="CI45" s="85">
        <f t="shared" si="321"/>
        <v>205.80372698029416</v>
      </c>
      <c r="CJ45" s="85">
        <f t="shared" si="321"/>
        <v>217.44463506369769</v>
      </c>
      <c r="CK45" s="85">
        <f t="shared" si="321"/>
        <v>234.11477814461799</v>
      </c>
      <c r="CL45" s="85">
        <f t="shared" si="321"/>
        <v>298.05942755060539</v>
      </c>
      <c r="CM45" s="85">
        <f t="shared" si="321"/>
        <v>257.31909441804908</v>
      </c>
      <c r="CN45" s="85">
        <f t="shared" si="321"/>
        <v>275.62081555187069</v>
      </c>
      <c r="CO45" s="85">
        <f t="shared" si="321"/>
        <v>267.11803544708755</v>
      </c>
      <c r="CP45" s="85">
        <f t="shared" si="321"/>
        <v>204.58018749985246</v>
      </c>
      <c r="CQ45" s="85">
        <f t="shared" si="321"/>
        <v>269.92778817131716</v>
      </c>
      <c r="CR45" s="85">
        <f t="shared" si="321"/>
        <v>328.34067777988469</v>
      </c>
      <c r="CS45" s="85">
        <f t="shared" si="321"/>
        <v>379.39299551532417</v>
      </c>
      <c r="CT45" s="85">
        <f t="shared" ref="CT45:DR45" si="322">CT48/CT38</f>
        <v>440.75191155021042</v>
      </c>
      <c r="CU45" s="85">
        <f t="shared" si="322"/>
        <v>307.15190543142387</v>
      </c>
      <c r="CV45" s="85">
        <f t="shared" si="322"/>
        <v>305.99977230655225</v>
      </c>
      <c r="CW45" s="85">
        <f t="shared" si="322"/>
        <v>267.48228534187928</v>
      </c>
      <c r="CX45" s="85">
        <f t="shared" si="322"/>
        <v>272.94053362728795</v>
      </c>
      <c r="CY45" s="85">
        <f t="shared" si="322"/>
        <v>265.71006933267569</v>
      </c>
      <c r="CZ45" s="85">
        <f t="shared" si="322"/>
        <v>273.32590303040843</v>
      </c>
      <c r="DA45" s="85">
        <f t="shared" si="322"/>
        <v>265.3856330051193</v>
      </c>
      <c r="DB45" s="85">
        <f t="shared" si="322"/>
        <v>282.15419080960044</v>
      </c>
      <c r="DC45" s="85">
        <f t="shared" si="322"/>
        <v>283.37649152017366</v>
      </c>
      <c r="DD45" s="85">
        <f t="shared" si="322"/>
        <v>270.72801216913882</v>
      </c>
      <c r="DE45" s="85">
        <f t="shared" si="322"/>
        <v>266.86427526293858</v>
      </c>
      <c r="DF45" s="85">
        <f t="shared" si="322"/>
        <v>261.23938179013254</v>
      </c>
      <c r="DG45" s="85">
        <f t="shared" si="322"/>
        <v>307.15190543142381</v>
      </c>
      <c r="DH45" s="85">
        <f t="shared" si="322"/>
        <v>305.9997723065523</v>
      </c>
      <c r="DI45" s="85">
        <f t="shared" si="322"/>
        <v>267.48228534187922</v>
      </c>
      <c r="DJ45" s="85">
        <f t="shared" si="322"/>
        <v>272.94053362728778</v>
      </c>
      <c r="DK45" s="85">
        <f t="shared" si="322"/>
        <v>265.71006933267557</v>
      </c>
      <c r="DL45" s="85">
        <f t="shared" si="322"/>
        <v>273.32590303040831</v>
      </c>
      <c r="DM45" s="85">
        <f t="shared" si="322"/>
        <v>265.38563300511919</v>
      </c>
      <c r="DN45" s="85">
        <f t="shared" si="322"/>
        <v>282.15419080960032</v>
      </c>
      <c r="DO45" s="85">
        <f t="shared" si="322"/>
        <v>283.37649152017354</v>
      </c>
      <c r="DP45" s="85">
        <f t="shared" si="322"/>
        <v>270.72801216913882</v>
      </c>
      <c r="DQ45" s="85">
        <f t="shared" si="322"/>
        <v>266.86427526293846</v>
      </c>
      <c r="DR45" s="86">
        <f t="shared" si="322"/>
        <v>261.2393817901326</v>
      </c>
      <c r="DS45" s="86">
        <f t="shared" ref="DS45:ED45" si="323">DS48/DS38</f>
        <v>307.15190543142381</v>
      </c>
      <c r="DT45" s="86">
        <f t="shared" si="323"/>
        <v>305.99977230655225</v>
      </c>
      <c r="DU45" s="86">
        <f t="shared" si="323"/>
        <v>267.48228534187928</v>
      </c>
      <c r="DV45" s="86">
        <f t="shared" si="323"/>
        <v>272.94053362728783</v>
      </c>
      <c r="DW45" s="86">
        <f t="shared" si="323"/>
        <v>265.71006933267557</v>
      </c>
      <c r="DX45" s="86">
        <f t="shared" si="323"/>
        <v>273.32590303040831</v>
      </c>
      <c r="DY45" s="86">
        <f t="shared" si="323"/>
        <v>265.38563300511919</v>
      </c>
      <c r="DZ45" s="86">
        <f t="shared" si="323"/>
        <v>282.15419080960044</v>
      </c>
      <c r="EA45" s="86">
        <f t="shared" si="323"/>
        <v>283.3764915201736</v>
      </c>
      <c r="EB45" s="86">
        <f t="shared" si="323"/>
        <v>270.72801216913882</v>
      </c>
      <c r="EC45" s="86">
        <f t="shared" si="323"/>
        <v>266.86427526293846</v>
      </c>
      <c r="ED45" s="86">
        <f t="shared" si="323"/>
        <v>261.23938179013254</v>
      </c>
      <c r="EE45" s="39" t="s">
        <v>1</v>
      </c>
      <c r="EF45" s="88"/>
      <c r="EG45" s="634"/>
      <c r="EH45" s="634"/>
      <c r="EI45" s="634"/>
      <c r="EJ45" s="634"/>
      <c r="EK45" s="634"/>
      <c r="EL45" s="634"/>
      <c r="EM45" s="634"/>
      <c r="EN45" s="634"/>
      <c r="EO45" s="634"/>
      <c r="EP45" s="634"/>
      <c r="EQ45" s="634"/>
      <c r="ER45" s="634"/>
      <c r="ES45" s="634"/>
      <c r="ET45" s="634"/>
      <c r="EU45" s="634"/>
      <c r="EV45" s="634"/>
      <c r="EW45" s="634"/>
      <c r="EX45" s="634"/>
      <c r="EY45" s="634"/>
      <c r="EZ45" s="634"/>
      <c r="FA45" s="634"/>
      <c r="FB45" s="634"/>
      <c r="FC45" s="634"/>
      <c r="FD45" s="634"/>
      <c r="FG45" s="89"/>
      <c r="FH45" s="85"/>
      <c r="FI45" s="85"/>
      <c r="FJ45" s="86"/>
      <c r="FK45" s="622"/>
    </row>
    <row r="46" spans="2:167" ht="15.75" customHeight="1" x14ac:dyDescent="0.2">
      <c r="B46" s="56" t="s">
        <v>18</v>
      </c>
      <c r="C46" s="61">
        <f t="shared" ref="C46:ER46" si="324">SUM(C47:C54)</f>
        <v>121416986</v>
      </c>
      <c r="D46" s="62">
        <f t="shared" si="324"/>
        <v>113891364.15000001</v>
      </c>
      <c r="E46" s="62">
        <f t="shared" si="324"/>
        <v>127864166.11290786</v>
      </c>
      <c r="F46" s="62">
        <f t="shared" si="324"/>
        <v>146796533.52163956</v>
      </c>
      <c r="G46" s="62">
        <f t="shared" si="324"/>
        <v>176001067.08562428</v>
      </c>
      <c r="H46" s="62">
        <f t="shared" si="324"/>
        <v>179070353.36078241</v>
      </c>
      <c r="I46" s="62">
        <f t="shared" si="324"/>
        <v>206515423.63476619</v>
      </c>
      <c r="J46" s="62">
        <f t="shared" si="324"/>
        <v>181559771.85094699</v>
      </c>
      <c r="K46" s="62">
        <f t="shared" si="324"/>
        <v>236317564.04896</v>
      </c>
      <c r="L46" s="62">
        <f t="shared" si="324"/>
        <v>237535026.09657136</v>
      </c>
      <c r="M46" s="62">
        <f t="shared" si="324"/>
        <v>235361550.33000001</v>
      </c>
      <c r="N46" s="62">
        <f t="shared" si="324"/>
        <v>204090153.28</v>
      </c>
      <c r="O46" s="62">
        <f t="shared" si="324"/>
        <v>263329564.23251396</v>
      </c>
      <c r="P46" s="62">
        <f t="shared" si="324"/>
        <v>262710994.85734957</v>
      </c>
      <c r="Q46" s="62">
        <f t="shared" si="324"/>
        <v>278655499.19406545</v>
      </c>
      <c r="R46" s="62">
        <f t="shared" si="324"/>
        <v>277761887.00624001</v>
      </c>
      <c r="S46" s="62">
        <f t="shared" si="324"/>
        <v>228422587.32104322</v>
      </c>
      <c r="T46" s="62">
        <f t="shared" si="324"/>
        <v>206629539.46676761</v>
      </c>
      <c r="U46" s="62">
        <f t="shared" si="324"/>
        <v>177669796.63337746</v>
      </c>
      <c r="V46" s="62">
        <f t="shared" si="324"/>
        <v>210652076.56234482</v>
      </c>
      <c r="W46" s="62">
        <f t="shared" si="324"/>
        <v>240873226.34043518</v>
      </c>
      <c r="X46" s="62">
        <f t="shared" si="324"/>
        <v>239639197.21116152</v>
      </c>
      <c r="Y46" s="62">
        <f t="shared" si="324"/>
        <v>267818364.35730439</v>
      </c>
      <c r="Z46" s="62">
        <f t="shared" si="324"/>
        <v>171159136.70326135</v>
      </c>
      <c r="AA46" s="62">
        <f t="shared" si="324"/>
        <v>3899965.9901791238</v>
      </c>
      <c r="AB46" s="62">
        <f t="shared" si="324"/>
        <v>127450154.90000001</v>
      </c>
      <c r="AC46" s="614">
        <f t="shared" si="324"/>
        <v>138776110.11051407</v>
      </c>
      <c r="AD46" s="62">
        <f t="shared" si="324"/>
        <v>113929939.08771838</v>
      </c>
      <c r="AE46" s="62">
        <f t="shared" si="324"/>
        <v>187256254.47</v>
      </c>
      <c r="AF46" s="62">
        <f t="shared" si="324"/>
        <v>191816653.13999999</v>
      </c>
      <c r="AG46" s="62">
        <f t="shared" si="324"/>
        <v>176096920.86000001</v>
      </c>
      <c r="AH46" s="62">
        <f t="shared" si="324"/>
        <v>200342015.88999999</v>
      </c>
      <c r="AI46" s="62">
        <f t="shared" si="324"/>
        <v>333171935.37999398</v>
      </c>
      <c r="AJ46" s="62">
        <f t="shared" si="324"/>
        <v>290929134.19999999</v>
      </c>
      <c r="AK46" s="614">
        <f t="shared" si="324"/>
        <v>360362174.80000001</v>
      </c>
      <c r="AL46" s="62">
        <f t="shared" si="324"/>
        <v>300211587.19999999</v>
      </c>
      <c r="AM46" s="62">
        <f t="shared" si="324"/>
        <v>211485201.5</v>
      </c>
      <c r="AN46" s="62">
        <f t="shared" si="324"/>
        <v>96036857.077283368</v>
      </c>
      <c r="AO46" s="62">
        <f t="shared" si="324"/>
        <v>204669639</v>
      </c>
      <c r="AP46" s="62">
        <f t="shared" si="324"/>
        <v>291473345.41000003</v>
      </c>
      <c r="AQ46" s="62">
        <f t="shared" si="324"/>
        <v>284269149.49000001</v>
      </c>
      <c r="AR46" s="62">
        <f t="shared" si="324"/>
        <v>269815352.84090894</v>
      </c>
      <c r="AS46" s="62">
        <f t="shared" si="324"/>
        <v>228860155.81</v>
      </c>
      <c r="AT46" s="62">
        <f t="shared" si="324"/>
        <v>277948724</v>
      </c>
      <c r="AU46" s="62">
        <f t="shared" si="324"/>
        <v>373585567</v>
      </c>
      <c r="AV46" s="62">
        <f t="shared" si="324"/>
        <v>351570716</v>
      </c>
      <c r="AW46" s="62">
        <f t="shared" si="324"/>
        <v>366222411.39999998</v>
      </c>
      <c r="AX46" s="62">
        <f t="shared" si="324"/>
        <v>316072904</v>
      </c>
      <c r="AY46" s="62">
        <f t="shared" si="324"/>
        <v>318060369.88623065</v>
      </c>
      <c r="AZ46" s="62">
        <f t="shared" si="324"/>
        <v>362159300.38</v>
      </c>
      <c r="BA46" s="62">
        <f t="shared" si="324"/>
        <v>256240081.07081074</v>
      </c>
      <c r="BB46" s="62">
        <f t="shared" si="324"/>
        <v>280061626.97955954</v>
      </c>
      <c r="BC46" s="62">
        <f t="shared" si="324"/>
        <v>310914548.51442248</v>
      </c>
      <c r="BD46" s="62">
        <f t="shared" si="324"/>
        <v>338658595.76397133</v>
      </c>
      <c r="BE46" s="62">
        <f t="shared" si="324"/>
        <v>386113976.83713621</v>
      </c>
      <c r="BF46" s="62">
        <f t="shared" si="324"/>
        <v>409612018.49882078</v>
      </c>
      <c r="BG46" s="62">
        <f t="shared" si="324"/>
        <v>506082343.61624014</v>
      </c>
      <c r="BH46" s="62">
        <f t="shared" si="324"/>
        <v>461518252.96013737</v>
      </c>
      <c r="BI46" s="62">
        <f t="shared" si="324"/>
        <v>374920702.67855561</v>
      </c>
      <c r="BJ46" s="61">
        <f t="shared" si="324"/>
        <v>404002973.85839206</v>
      </c>
      <c r="BK46" s="62">
        <f t="shared" si="324"/>
        <v>364268062.11962599</v>
      </c>
      <c r="BL46" s="62">
        <f t="shared" si="324"/>
        <v>374677071.14427495</v>
      </c>
      <c r="BM46" s="62">
        <f t="shared" si="324"/>
        <v>279200842.48156905</v>
      </c>
      <c r="BN46" s="62">
        <f t="shared" si="324"/>
        <v>256477667.93000045</v>
      </c>
      <c r="BO46" s="62">
        <f t="shared" si="324"/>
        <v>274980159.74575835</v>
      </c>
      <c r="BP46" s="62">
        <f t="shared" si="324"/>
        <v>272148393.8546043</v>
      </c>
      <c r="BQ46" s="62">
        <f t="shared" si="324"/>
        <v>250598286.66021693</v>
      </c>
      <c r="BR46" s="62">
        <f t="shared" si="324"/>
        <v>311185868.47622514</v>
      </c>
      <c r="BS46" s="62">
        <f t="shared" si="324"/>
        <v>292185265.29954267</v>
      </c>
      <c r="BT46" s="62">
        <f t="shared" si="324"/>
        <v>276757707.00253946</v>
      </c>
      <c r="BU46" s="62">
        <f t="shared" si="324"/>
        <v>265807282.57459417</v>
      </c>
      <c r="BV46" s="62">
        <f t="shared" si="324"/>
        <v>271595161.18193054</v>
      </c>
      <c r="BW46" s="62">
        <f t="shared" si="324"/>
        <v>275055628.85867995</v>
      </c>
      <c r="BX46" s="62">
        <f t="shared" si="324"/>
        <v>282437190.97777611</v>
      </c>
      <c r="BY46" s="62">
        <f t="shared" si="324"/>
        <v>270676268.97096658</v>
      </c>
      <c r="BZ46" s="62">
        <f t="shared" si="324"/>
        <v>265798544.46574375</v>
      </c>
      <c r="CA46" s="62">
        <f t="shared" si="324"/>
        <v>253738461.4585025</v>
      </c>
      <c r="CB46" s="62">
        <f t="shared" si="324"/>
        <v>224109733.65058213</v>
      </c>
      <c r="CC46" s="62">
        <f t="shared" si="324"/>
        <v>264393635.05155018</v>
      </c>
      <c r="CD46" s="62">
        <f t="shared" si="324"/>
        <v>268393529.83140317</v>
      </c>
      <c r="CE46" s="62">
        <f t="shared" si="324"/>
        <v>308357700.69821143</v>
      </c>
      <c r="CF46" s="62">
        <f t="shared" si="324"/>
        <v>354188723.89264339</v>
      </c>
      <c r="CG46" s="62">
        <f t="shared" si="324"/>
        <v>403068188.12642056</v>
      </c>
      <c r="CH46" s="62">
        <f t="shared" si="324"/>
        <v>518223348.04349077</v>
      </c>
      <c r="CI46" s="62">
        <f t="shared" si="324"/>
        <v>425577433.93141842</v>
      </c>
      <c r="CJ46" s="62">
        <f t="shared" si="324"/>
        <v>420392254.81617689</v>
      </c>
      <c r="CK46" s="62">
        <f t="shared" si="324"/>
        <v>412077117.72259784</v>
      </c>
      <c r="CL46" s="62">
        <f t="shared" si="324"/>
        <v>416622063.97343439</v>
      </c>
      <c r="CM46" s="62">
        <f t="shared" si="324"/>
        <v>346406207.50009173</v>
      </c>
      <c r="CN46" s="62">
        <f t="shared" si="324"/>
        <v>303508525.64065212</v>
      </c>
      <c r="CO46" s="62">
        <f t="shared" si="324"/>
        <v>387082309.26802498</v>
      </c>
      <c r="CP46" s="62">
        <f t="shared" si="324"/>
        <v>471857531.27524769</v>
      </c>
      <c r="CQ46" s="62">
        <f t="shared" si="324"/>
        <v>589968640.97073686</v>
      </c>
      <c r="CR46" s="62">
        <f t="shared" si="324"/>
        <v>626000785.15201592</v>
      </c>
      <c r="CS46" s="62">
        <f t="shared" si="324"/>
        <v>555331919.23378873</v>
      </c>
      <c r="CT46" s="62">
        <f t="shared" ref="CT46:DR46" si="325">SUM(CT47:CT54)</f>
        <v>533442727.39853609</v>
      </c>
      <c r="CU46" s="62">
        <f t="shared" si="325"/>
        <v>564127540.90510178</v>
      </c>
      <c r="CV46" s="62">
        <f t="shared" si="325"/>
        <v>584720589.25136542</v>
      </c>
      <c r="CW46" s="62">
        <f t="shared" si="325"/>
        <v>549305759.85200882</v>
      </c>
      <c r="CX46" s="62">
        <f t="shared" si="325"/>
        <v>549775699.52168059</v>
      </c>
      <c r="CY46" s="62">
        <f t="shared" si="325"/>
        <v>511180360.57115853</v>
      </c>
      <c r="CZ46" s="62">
        <f t="shared" si="325"/>
        <v>445769061.86488593</v>
      </c>
      <c r="DA46" s="62">
        <f t="shared" si="325"/>
        <v>521502859.7482757</v>
      </c>
      <c r="DB46" s="62">
        <f t="shared" si="325"/>
        <v>645808082.93446696</v>
      </c>
      <c r="DC46" s="62">
        <f t="shared" si="325"/>
        <v>719612491.50899363</v>
      </c>
      <c r="DD46" s="62">
        <f t="shared" si="325"/>
        <v>673419471.51452112</v>
      </c>
      <c r="DE46" s="62">
        <f t="shared" si="325"/>
        <v>656725869.69893503</v>
      </c>
      <c r="DF46" s="62">
        <f t="shared" si="325"/>
        <v>631467589.37612057</v>
      </c>
      <c r="DG46" s="62">
        <f t="shared" si="325"/>
        <v>698517859.36447597</v>
      </c>
      <c r="DH46" s="62">
        <f t="shared" si="325"/>
        <v>724016724.43591392</v>
      </c>
      <c r="DI46" s="62">
        <f t="shared" si="325"/>
        <v>680165132.32589793</v>
      </c>
      <c r="DJ46" s="62">
        <f t="shared" si="325"/>
        <v>680747024.23559415</v>
      </c>
      <c r="DK46" s="62">
        <f t="shared" si="325"/>
        <v>632957239.85117936</v>
      </c>
      <c r="DL46" s="62">
        <f t="shared" si="325"/>
        <v>551963214.49789131</v>
      </c>
      <c r="DM46" s="62">
        <f t="shared" si="325"/>
        <v>645738835.33386528</v>
      </c>
      <c r="DN46" s="62">
        <f t="shared" si="325"/>
        <v>799656898.38132858</v>
      </c>
      <c r="DO46" s="62">
        <f t="shared" si="325"/>
        <v>891043497.6004082</v>
      </c>
      <c r="DP46" s="62">
        <f t="shared" si="325"/>
        <v>833846060.66557992</v>
      </c>
      <c r="DQ46" s="62">
        <f t="shared" si="325"/>
        <v>813175594.9290601</v>
      </c>
      <c r="DR46" s="63">
        <f t="shared" si="325"/>
        <v>781900114.43397081</v>
      </c>
      <c r="DS46" s="63">
        <f t="shared" ref="DS46:ED46" si="326">SUM(DS47:DS54)</f>
        <v>830331249.91829228</v>
      </c>
      <c r="DT46" s="63">
        <f t="shared" si="326"/>
        <v>860641862.91468501</v>
      </c>
      <c r="DU46" s="63">
        <f t="shared" si="326"/>
        <v>808515282.61401176</v>
      </c>
      <c r="DV46" s="63">
        <f t="shared" si="326"/>
        <v>809206980.08490384</v>
      </c>
      <c r="DW46" s="63">
        <f t="shared" si="326"/>
        <v>752399053.31644642</v>
      </c>
      <c r="DX46" s="63">
        <f t="shared" si="326"/>
        <v>656121099.35160899</v>
      </c>
      <c r="DY46" s="63">
        <f t="shared" si="326"/>
        <v>767592592.05108142</v>
      </c>
      <c r="DZ46" s="63">
        <f t="shared" si="326"/>
        <v>950555670.17692983</v>
      </c>
      <c r="EA46" s="63">
        <f t="shared" si="326"/>
        <v>1059187322.3789196</v>
      </c>
      <c r="EB46" s="63">
        <f t="shared" si="326"/>
        <v>991196477.67034113</v>
      </c>
      <c r="EC46" s="63">
        <f t="shared" si="326"/>
        <v>966625404.18767679</v>
      </c>
      <c r="ED46" s="63">
        <f t="shared" si="326"/>
        <v>929448103.04478312</v>
      </c>
      <c r="EE46" s="39" t="s">
        <v>1</v>
      </c>
      <c r="EF46" s="64"/>
      <c r="EG46" s="625">
        <f t="shared" si="324"/>
        <v>1018145975.74547</v>
      </c>
      <c r="EH46" s="625">
        <f t="shared" si="324"/>
        <v>803606221.53036308</v>
      </c>
      <c r="EI46" s="625">
        <f t="shared" si="324"/>
        <v>853969420.43598461</v>
      </c>
      <c r="EJ46" s="625">
        <f t="shared" si="324"/>
        <v>814160150.7590642</v>
      </c>
      <c r="EK46" s="625">
        <f t="shared" si="324"/>
        <v>828169088.80742264</v>
      </c>
      <c r="EL46" s="625">
        <f t="shared" si="324"/>
        <v>743646739.57482851</v>
      </c>
      <c r="EM46" s="625">
        <f t="shared" si="324"/>
        <v>841144865.58116472</v>
      </c>
      <c r="EN46" s="625">
        <f t="shared" si="324"/>
        <v>1275480260.0625548</v>
      </c>
      <c r="EO46" s="625">
        <f t="shared" si="324"/>
        <v>1258046806.4701931</v>
      </c>
      <c r="EP46" s="625">
        <f t="shared" si="324"/>
        <v>1066536797.1141781</v>
      </c>
      <c r="EQ46" s="625">
        <f t="shared" si="324"/>
        <v>1448908481.5140095</v>
      </c>
      <c r="ER46" s="625">
        <f t="shared" si="324"/>
        <v>1714775431.7843406</v>
      </c>
      <c r="ES46" s="625">
        <f t="shared" ref="ES46:FD46" si="327">SUM(ES47:ES54)</f>
        <v>1698153890.0084765</v>
      </c>
      <c r="ET46" s="625">
        <f t="shared" si="327"/>
        <v>1506725121.9577246</v>
      </c>
      <c r="EU46" s="625">
        <f t="shared" si="327"/>
        <v>1886923434.1917362</v>
      </c>
      <c r="EV46" s="625">
        <f t="shared" si="327"/>
        <v>1961612930.5895762</v>
      </c>
      <c r="EW46" s="625">
        <f t="shared" si="327"/>
        <v>2102699716.1262875</v>
      </c>
      <c r="EX46" s="625">
        <f t="shared" si="327"/>
        <v>1865667478.5846648</v>
      </c>
      <c r="EY46" s="625">
        <f t="shared" si="327"/>
        <v>2336439231.3156018</v>
      </c>
      <c r="EZ46" s="625">
        <f t="shared" si="327"/>
        <v>2428921770.0286112</v>
      </c>
      <c r="FA46" s="625">
        <f t="shared" si="327"/>
        <v>2499488395.4469895</v>
      </c>
      <c r="FB46" s="625">
        <f t="shared" si="327"/>
        <v>2217727132.7529593</v>
      </c>
      <c r="FC46" s="625">
        <f t="shared" si="327"/>
        <v>2777335584.6069303</v>
      </c>
      <c r="FD46" s="625">
        <f t="shared" si="327"/>
        <v>2887269984.9028006</v>
      </c>
      <c r="FG46" s="65">
        <f t="shared" ref="FG46" si="328">SUM(FG47:FG54)</f>
        <v>3688440954.0259705</v>
      </c>
      <c r="FH46" s="62">
        <f t="shared" ref="FH46:FK46" si="329">SUM(FH47:FH54)</f>
        <v>5488267516.8827219</v>
      </c>
      <c r="FI46" s="62">
        <f t="shared" si="329"/>
        <v>7053415376.7475147</v>
      </c>
      <c r="FJ46" s="63">
        <f t="shared" si="329"/>
        <v>8733728196.0551662</v>
      </c>
      <c r="FK46" s="63">
        <f t="shared" si="329"/>
        <v>10381821097.709681</v>
      </c>
    </row>
    <row r="47" spans="2:167" ht="15.75" customHeight="1" x14ac:dyDescent="0.2">
      <c r="B47" s="49" t="s">
        <v>19</v>
      </c>
      <c r="C47" s="204">
        <f>'P&amp;L - Inputs'!B55</f>
        <v>117992804</v>
      </c>
      <c r="D47" s="205">
        <f>'P&amp;L - Inputs'!C55</f>
        <v>110975368.15000001</v>
      </c>
      <c r="E47" s="205">
        <f>'P&amp;L - Inputs'!D55</f>
        <v>124200177.11290786</v>
      </c>
      <c r="F47" s="205">
        <f>'P&amp;L - Inputs'!E55</f>
        <v>141628666.52163956</v>
      </c>
      <c r="G47" s="205">
        <f>'P&amp;L - Inputs'!F55</f>
        <v>169181175.08562428</v>
      </c>
      <c r="H47" s="205">
        <f>'P&amp;L - Inputs'!G55</f>
        <v>172383257.36078241</v>
      </c>
      <c r="I47" s="205">
        <f>'P&amp;L - Inputs'!H55</f>
        <v>198320011.63476619</v>
      </c>
      <c r="J47" s="205">
        <f>'P&amp;L - Inputs'!I55</f>
        <v>173295239.85094699</v>
      </c>
      <c r="K47" s="205">
        <f>'P&amp;L - Inputs'!J55</f>
        <v>228313919.04896</v>
      </c>
      <c r="L47" s="205">
        <f>'P&amp;L - Inputs'!K55</f>
        <v>229119154.09657136</v>
      </c>
      <c r="M47" s="205">
        <f>'P&amp;L - Inputs'!L55</f>
        <v>226487143.33000001</v>
      </c>
      <c r="N47" s="205">
        <f>'P&amp;L - Inputs'!M55</f>
        <v>195071101.28</v>
      </c>
      <c r="O47" s="205">
        <f>'P&amp;L - Inputs'!N55</f>
        <v>254131412.23251396</v>
      </c>
      <c r="P47" s="205">
        <f>'P&amp;L - Inputs'!O55</f>
        <v>252790626.85734957</v>
      </c>
      <c r="Q47" s="205">
        <f>'P&amp;L - Inputs'!P55</f>
        <v>268510585.19406545</v>
      </c>
      <c r="R47" s="205">
        <f>'P&amp;L - Inputs'!Q55</f>
        <v>267128979.00624001</v>
      </c>
      <c r="S47" s="205">
        <f>'P&amp;L - Inputs'!R55</f>
        <v>220041647.32104322</v>
      </c>
      <c r="T47" s="205">
        <f>'P&amp;L - Inputs'!S55</f>
        <v>198432297.46676761</v>
      </c>
      <c r="U47" s="205">
        <f>'P&amp;L - Inputs'!T55</f>
        <v>165273335.63337746</v>
      </c>
      <c r="V47" s="205">
        <f>'P&amp;L - Inputs'!U55</f>
        <v>199195022.56234482</v>
      </c>
      <c r="W47" s="205">
        <f>'P&amp;L - Inputs'!V55</f>
        <v>232058749.05663463</v>
      </c>
      <c r="X47" s="205">
        <f>'P&amp;L - Inputs'!W55</f>
        <v>229983768.21116152</v>
      </c>
      <c r="Y47" s="205">
        <f>'P&amp;L - Inputs'!X55</f>
        <v>258151654.35730439</v>
      </c>
      <c r="Z47" s="205">
        <f>'P&amp;L - Inputs'!Y55</f>
        <v>163649273.17160183</v>
      </c>
      <c r="AA47" s="205">
        <f>'P&amp;L - Inputs'!Z55</f>
        <v>-37759.9</v>
      </c>
      <c r="AB47" s="205">
        <f>'P&amp;L - Inputs'!AA55</f>
        <v>122404134.90000001</v>
      </c>
      <c r="AC47" s="206">
        <f>'P&amp;L - Inputs'!AB55</f>
        <v>134424220.11051407</v>
      </c>
      <c r="AD47" s="205">
        <f>'P&amp;L - Inputs'!AC55</f>
        <v>107633783.08771838</v>
      </c>
      <c r="AE47" s="205">
        <f>'P&amp;L - Inputs'!AD55</f>
        <v>174508190.47</v>
      </c>
      <c r="AF47" s="205">
        <f>'P&amp;L - Inputs'!AE55</f>
        <v>181289523.13999999</v>
      </c>
      <c r="AG47" s="205">
        <f>'P&amp;L - Inputs'!AF55</f>
        <v>167581008.86000001</v>
      </c>
      <c r="AH47" s="205">
        <f>'P&amp;L - Inputs'!AG55</f>
        <v>189904633.88999999</v>
      </c>
      <c r="AI47" s="205">
        <f>'P&amp;L - Inputs'!AH55</f>
        <v>319996659.37999398</v>
      </c>
      <c r="AJ47" s="205">
        <f>'P&amp;L - Inputs'!AI55</f>
        <v>280703240.19999999</v>
      </c>
      <c r="AK47" s="206">
        <f>'P&amp;L - Inputs'!AJ55</f>
        <v>348346161.80000001</v>
      </c>
      <c r="AL47" s="205">
        <f>'P&amp;L - Inputs'!AK55</f>
        <v>291065285.19999999</v>
      </c>
      <c r="AM47" s="205">
        <f>'P&amp;L - Inputs'!AL55</f>
        <v>203719314.5</v>
      </c>
      <c r="AN47" s="205">
        <f>'P&amp;L - Inputs'!AM55</f>
        <v>90688921.077283368</v>
      </c>
      <c r="AO47" s="205">
        <f>'P&amp;L - Inputs'!AN55</f>
        <v>196353614</v>
      </c>
      <c r="AP47" s="205">
        <f>'P&amp;L - Inputs'!AO55</f>
        <v>278939079</v>
      </c>
      <c r="AQ47" s="205">
        <f>'P&amp;L - Inputs'!AP55</f>
        <v>271579384</v>
      </c>
      <c r="AR47" s="205">
        <f>'P&amp;L - Inputs'!AQ55</f>
        <v>257417002.86437947</v>
      </c>
      <c r="AS47" s="205">
        <f>'P&amp;L - Inputs'!AR55</f>
        <v>219296725</v>
      </c>
      <c r="AT47" s="205">
        <f>'P&amp;L - Inputs'!AS55</f>
        <v>269293459</v>
      </c>
      <c r="AU47" s="205">
        <f>'P&amp;L - Inputs'!AT55</f>
        <v>363212766</v>
      </c>
      <c r="AV47" s="205">
        <f>'P&amp;L - Inputs'!AU55</f>
        <v>341916143</v>
      </c>
      <c r="AW47" s="205">
        <f>'P&amp;L - Inputs'!AV55</f>
        <v>355807422.39999998</v>
      </c>
      <c r="AX47" s="205">
        <f>'P&amp;L - Inputs'!AW55</f>
        <v>304684916</v>
      </c>
      <c r="AY47" s="205">
        <f>'P&amp;L - Inputs'!AX55</f>
        <v>307533643.88623065</v>
      </c>
      <c r="AZ47" s="205">
        <f>'P&amp;L - Inputs'!AY55</f>
        <v>350518202.38</v>
      </c>
      <c r="BA47" s="205">
        <f>'P&amp;L - Inputs'!AZ55</f>
        <v>245845971.07081074</v>
      </c>
      <c r="BB47" s="205">
        <f>'P&amp;L - Inputs'!BA55</f>
        <v>271737582.22999972</v>
      </c>
      <c r="BC47" s="205">
        <f>'P&amp;L - Inputs'!BB55</f>
        <v>300099360.85534984</v>
      </c>
      <c r="BD47" s="205">
        <f>'P&amp;L - Inputs'!BC55</f>
        <v>314897620.85500008</v>
      </c>
      <c r="BE47" s="205">
        <f>'P&amp;L - Inputs'!BD55</f>
        <v>357799284.71000004</v>
      </c>
      <c r="BF47" s="205">
        <f>'P&amp;L - Inputs'!BE55</f>
        <v>389141694.04249996</v>
      </c>
      <c r="BG47" s="205">
        <f>'P&amp;L - Inputs'!BF55</f>
        <v>482644936.49249989</v>
      </c>
      <c r="BH47" s="205">
        <f>'P&amp;L - Inputs'!BG55</f>
        <v>444620162.98600006</v>
      </c>
      <c r="BI47" s="205">
        <f>'P&amp;L - Inputs'!BH55</f>
        <v>358531377.35499996</v>
      </c>
      <c r="BJ47" s="204">
        <f>'P&amp;L - Inputs'!BI55</f>
        <v>388713022.82999992</v>
      </c>
      <c r="BK47" s="205">
        <f>'P&amp;L - Inputs'!BJ55</f>
        <v>354481417.48000008</v>
      </c>
      <c r="BL47" s="205">
        <f>'P&amp;L - Inputs'!BK55</f>
        <v>363328859.94739991</v>
      </c>
      <c r="BM47" s="205">
        <f>'P&amp;L - Inputs'!BL55</f>
        <v>268786922.40388799</v>
      </c>
      <c r="BN47" s="205">
        <f>'P&amp;L - Inputs'!BM55</f>
        <v>245524294.65000004</v>
      </c>
      <c r="BO47" s="205">
        <f>'P&amp;L - Inputs'!BN55</f>
        <v>258298685.53999999</v>
      </c>
      <c r="BP47" s="205">
        <f>'P&amp;L - Inputs'!BO55</f>
        <v>259388219.10999995</v>
      </c>
      <c r="BQ47" s="205">
        <f>'P&amp;L - Inputs'!BP55</f>
        <v>240062045.97999999</v>
      </c>
      <c r="BR47" s="205">
        <f>'P&amp;L - Inputs'!BQ55</f>
        <v>297963893.69</v>
      </c>
      <c r="BS47" s="205">
        <f>'P&amp;L - Inputs'!BR55</f>
        <v>283359769.18000001</v>
      </c>
      <c r="BT47" s="205">
        <f>'P&amp;L - Inputs'!BS55</f>
        <v>269378373.35000002</v>
      </c>
      <c r="BU47" s="205">
        <f>'P&amp;L - Inputs'!BT55</f>
        <v>256807598.62</v>
      </c>
      <c r="BV47" s="205">
        <f>'P&amp;L - Inputs'!BU55</f>
        <v>260236901.38416222</v>
      </c>
      <c r="BW47" s="205">
        <f>'P&amp;L - Inputs'!BV55</f>
        <v>262641785.47779658</v>
      </c>
      <c r="BX47" s="205">
        <f>'P&amp;L - Inputs'!BW55</f>
        <v>270746468.73095995</v>
      </c>
      <c r="BY47" s="205">
        <f>'P&amp;L - Inputs'!BX55</f>
        <v>257956175.70409769</v>
      </c>
      <c r="BZ47" s="205">
        <f>'P&amp;L - Inputs'!BY55</f>
        <v>255861043.67427799</v>
      </c>
      <c r="CA47" s="205">
        <f>'P&amp;L - Inputs'!BZ55</f>
        <v>244931866.20584536</v>
      </c>
      <c r="CB47" s="205">
        <f>'P&amp;L - Inputs'!CA55</f>
        <v>217503572.85473439</v>
      </c>
      <c r="CC47" s="205">
        <f>'P&amp;L - Inputs'!CB55</f>
        <v>254013835.96535218</v>
      </c>
      <c r="CD47" s="205">
        <f>'P&amp;L - Inputs'!CC55</f>
        <v>256443387.53793275</v>
      </c>
      <c r="CE47" s="205">
        <f>'P&amp;L - Inputs'!CD55</f>
        <v>296863337.46797419</v>
      </c>
      <c r="CF47" s="205">
        <f>'P&amp;L - Inputs'!CE55</f>
        <v>342102492.3329736</v>
      </c>
      <c r="CG47" s="205">
        <f>'P&amp;L - Inputs'!CF55</f>
        <v>389547059.1134761</v>
      </c>
      <c r="CH47" s="205">
        <f>'P&amp;L - Inputs'!CG55</f>
        <v>502434642.39285237</v>
      </c>
      <c r="CI47" s="205">
        <f>'P&amp;L - Inputs'!CH55</f>
        <v>412108438.58283293</v>
      </c>
      <c r="CJ47" s="205">
        <f>'P&amp;L - Inputs'!CI55</f>
        <v>404128237.59312814</v>
      </c>
      <c r="CK47" s="205">
        <f>'P&amp;L - Inputs'!CJ55</f>
        <v>395901774.2749005</v>
      </c>
      <c r="CL47" s="205">
        <f>'P&amp;L - Inputs'!CK55</f>
        <v>397292238.40424246</v>
      </c>
      <c r="CM47" s="205">
        <f>'P&amp;L - Inputs'!CL55</f>
        <v>329772963.19216168</v>
      </c>
      <c r="CN47" s="205">
        <f>'P&amp;L - Inputs'!CM55</f>
        <v>290767366.08455133</v>
      </c>
      <c r="CO47" s="205">
        <f>'P&amp;L - Inputs'!CN55</f>
        <v>370642278.13929504</v>
      </c>
      <c r="CP47" s="205">
        <f>'P&amp;L - Inputs'!CO55</f>
        <v>453652343.58497411</v>
      </c>
      <c r="CQ47" s="205">
        <f>'P&amp;L - Inputs'!CP55</f>
        <v>564653397.90890002</v>
      </c>
      <c r="CR47" s="205">
        <f>'P&amp;L - Inputs'!CQ55</f>
        <v>594654291.90620005</v>
      </c>
      <c r="CS47" s="205">
        <f>'P&amp;L - Inputs'!CR55</f>
        <v>520666706.11989993</v>
      </c>
      <c r="CT47" s="205">
        <f>'P&amp;L - Inputs'!CS55</f>
        <v>499139313.11479998</v>
      </c>
      <c r="CU47" s="205">
        <f>'P&amp;L - Inputs'!CT55</f>
        <v>531325341.35209507</v>
      </c>
      <c r="CV47" s="205">
        <f>'P&amp;L - Inputs'!CU55</f>
        <v>550720970.26342928</v>
      </c>
      <c r="CW47" s="205">
        <f>'P&amp;L - Inputs'!CV55</f>
        <v>517365399.12902009</v>
      </c>
      <c r="CX47" s="205">
        <f>'P&amp;L - Inputs'!CW55</f>
        <v>517808013.32048935</v>
      </c>
      <c r="CY47" s="205">
        <f>'P&amp;L - Inputs'!CX55</f>
        <v>481456869.02148128</v>
      </c>
      <c r="CZ47" s="205">
        <f>'P&amp;L - Inputs'!CY55</f>
        <v>419849026.65726554</v>
      </c>
      <c r="DA47" s="205">
        <f>'P&amp;L - Inputs'!CZ55</f>
        <v>491179148.11831254</v>
      </c>
      <c r="DB47" s="205">
        <f>'P&amp;L - Inputs'!DA55</f>
        <v>608256422.94039369</v>
      </c>
      <c r="DC47" s="205">
        <f>'P&amp;L - Inputs'!DB55</f>
        <v>677769342.86668122</v>
      </c>
      <c r="DD47" s="205">
        <f>'P&amp;L - Inputs'!DC55</f>
        <v>634262298.20570099</v>
      </c>
      <c r="DE47" s="205">
        <f>'P&amp;L - Inputs'!DD55</f>
        <v>618539375.56868267</v>
      </c>
      <c r="DF47" s="205">
        <f>'P&amp;L - Inputs'!DE55</f>
        <v>594749782.89438379</v>
      </c>
      <c r="DG47" s="205">
        <f>'P&amp;L - Inputs'!DF55</f>
        <v>657515109.92321754</v>
      </c>
      <c r="DH47" s="205">
        <f>'P&amp;L - Inputs'!DG55</f>
        <v>681517200.70099378</v>
      </c>
      <c r="DI47" s="205">
        <f>'P&amp;L - Inputs'!DH55</f>
        <v>640239681.42216218</v>
      </c>
      <c r="DJ47" s="205">
        <f>'P&amp;L - Inputs'!DI55</f>
        <v>640787416.48410523</v>
      </c>
      <c r="DK47" s="205">
        <f>'P&amp;L - Inputs'!DJ55</f>
        <v>595802875.41408288</v>
      </c>
      <c r="DL47" s="205">
        <f>'P&amp;L - Inputs'!DK55</f>
        <v>519563170.48836589</v>
      </c>
      <c r="DM47" s="205">
        <f>'P&amp;L - Inputs'!DL55</f>
        <v>607834195.79641151</v>
      </c>
      <c r="DN47" s="205">
        <f>'P&amp;L - Inputs'!DM55</f>
        <v>752717323.38873708</v>
      </c>
      <c r="DO47" s="205">
        <f>'P&amp;L - Inputs'!DN55</f>
        <v>838739561.79751778</v>
      </c>
      <c r="DP47" s="205">
        <f>'P&amp;L - Inputs'!DO55</f>
        <v>784899594.02955484</v>
      </c>
      <c r="DQ47" s="205">
        <f>'P&amp;L - Inputs'!DP55</f>
        <v>765442477.26624477</v>
      </c>
      <c r="DR47" s="207">
        <f>'P&amp;L - Inputs'!DQ55</f>
        <v>736002856.33179986</v>
      </c>
      <c r="DS47" s="207">
        <f>'P&amp;L - Inputs'!DR55</f>
        <v>781127950.58878243</v>
      </c>
      <c r="DT47" s="207">
        <f>'P&amp;L - Inputs'!DS55</f>
        <v>809642434.4327805</v>
      </c>
      <c r="DU47" s="207">
        <f>'P&amp;L - Inputs'!DT55</f>
        <v>760604741.52952862</v>
      </c>
      <c r="DV47" s="207">
        <f>'P&amp;L - Inputs'!DU55</f>
        <v>761255450.78311706</v>
      </c>
      <c r="DW47" s="207">
        <f>'P&amp;L - Inputs'!DV55</f>
        <v>707813815.99193037</v>
      </c>
      <c r="DX47" s="207">
        <f>'P&amp;L - Inputs'!DW55</f>
        <v>617241046.54017866</v>
      </c>
      <c r="DY47" s="207">
        <f>'P&amp;L - Inputs'!DX55</f>
        <v>722107024.6061368</v>
      </c>
      <c r="DZ47" s="207">
        <f>'P&amp;L - Inputs'!DY55</f>
        <v>894228180.18581998</v>
      </c>
      <c r="EA47" s="207">
        <f>'P&amp;L - Inputs'!DZ55</f>
        <v>996422599.41545129</v>
      </c>
      <c r="EB47" s="207">
        <f>'P&amp;L - Inputs'!EA55</f>
        <v>932460717.70711112</v>
      </c>
      <c r="EC47" s="207">
        <f>'P&amp;L - Inputs'!EB55</f>
        <v>909345662.9922986</v>
      </c>
      <c r="ED47" s="207">
        <f>'P&amp;L - Inputs'!EC55</f>
        <v>874371393.32217813</v>
      </c>
      <c r="EE47" s="39" t="s">
        <v>1</v>
      </c>
      <c r="EF47" s="68"/>
      <c r="EG47" s="629">
        <f>SUM(BK47:BM47)</f>
        <v>986597199.83128798</v>
      </c>
      <c r="EH47" s="629">
        <f>SUM(BN47:BP47)</f>
        <v>763211199.29999995</v>
      </c>
      <c r="EI47" s="629">
        <f>SUM(BQ47:BS47)</f>
        <v>821385708.8499999</v>
      </c>
      <c r="EJ47" s="629">
        <f>SUM(BT47:BV47)</f>
        <v>786422873.35416222</v>
      </c>
      <c r="EK47" s="629">
        <f>SUM(BW47:BY47)</f>
        <v>791344429.91285419</v>
      </c>
      <c r="EL47" s="629">
        <f t="shared" ref="EL47:EL54" si="330">SUM(BZ47:CB47)</f>
        <v>718296482.7348578</v>
      </c>
      <c r="EM47" s="629">
        <f t="shared" ref="EM47:EM54" si="331">SUM(CC47:CE47)</f>
        <v>807320560.97125912</v>
      </c>
      <c r="EN47" s="629">
        <f t="shared" ref="EN47:EN54" si="332">SUM(CF47:CH47)</f>
        <v>1234084193.8393021</v>
      </c>
      <c r="EO47" s="629">
        <f t="shared" ref="EO47:EO54" si="333">SUM(CI47:CK47)</f>
        <v>1212138450.4508615</v>
      </c>
      <c r="EP47" s="629">
        <f t="shared" ref="EP47:EP54" si="334">SUM(CL47:CN47)</f>
        <v>1017832567.6809554</v>
      </c>
      <c r="EQ47" s="629">
        <f t="shared" ref="EQ47:EQ54" si="335">SUM(CO47:CQ47)</f>
        <v>1388948019.6331692</v>
      </c>
      <c r="ER47" s="629">
        <f>SUM(CR47:CT47)</f>
        <v>1614460311.1408999</v>
      </c>
      <c r="ES47" s="629">
        <f t="shared" ref="ES47:ES54" si="336">SUM(CU47:CW47)</f>
        <v>1599411710.7445445</v>
      </c>
      <c r="ET47" s="629">
        <f t="shared" ref="ET47:ET54" si="337">SUM(CX47:CZ47)</f>
        <v>1419113908.9992361</v>
      </c>
      <c r="EU47" s="629">
        <f t="shared" ref="EU47:EU54" si="338">SUM(DA47:DC47)</f>
        <v>1777204913.9253874</v>
      </c>
      <c r="EV47" s="629">
        <f t="shared" ref="EV47:EV54" si="339">SUM(DD47:DF47)</f>
        <v>1847551456.6687675</v>
      </c>
      <c r="EW47" s="629">
        <f t="shared" ref="EW47:EW54" si="340">SUM(DG47:DI47)</f>
        <v>1979271992.0463734</v>
      </c>
      <c r="EX47" s="629">
        <f t="shared" ref="EX47:EX54" si="341">SUM(DJ47:DL47)</f>
        <v>1756153462.386554</v>
      </c>
      <c r="EY47" s="629">
        <f t="shared" ref="EY47:EY54" si="342">SUM(DM47:DO47)</f>
        <v>2199291080.9826665</v>
      </c>
      <c r="EZ47" s="629">
        <f t="shared" ref="EZ47:EZ54" si="343">SUM(DP47:DR47)</f>
        <v>2286344927.6275997</v>
      </c>
      <c r="FA47" s="629">
        <f t="shared" ref="FA47:FA57" si="344">SUM(DS47:DU47)</f>
        <v>2351375126.5510917</v>
      </c>
      <c r="FB47" s="629">
        <f t="shared" ref="FB47:FB54" si="345">SUM(DV47:DX47)</f>
        <v>2086310313.3152261</v>
      </c>
      <c r="FC47" s="629">
        <f t="shared" ref="FC47:FC54" si="346">SUM(DY47:EA47)</f>
        <v>2612757804.207408</v>
      </c>
      <c r="FD47" s="629">
        <f t="shared" ref="FD47:FD54" si="347">SUM(EB47:ED47)</f>
        <v>2716177774.0215878</v>
      </c>
      <c r="FG47" s="70">
        <f t="shared" ref="FG47:FG54" si="348">SUM(EK47:EN47)</f>
        <v>3551045667.4582729</v>
      </c>
      <c r="FH47" s="67">
        <f t="shared" ref="FH47:FH54" si="349">SUM(EO47:ER47)</f>
        <v>5233379348.9058857</v>
      </c>
      <c r="FI47" s="67">
        <f t="shared" ref="FI47:FI54" si="350">SUM(ES47:EV47)</f>
        <v>6643281990.3379364</v>
      </c>
      <c r="FJ47" s="69">
        <f t="shared" ref="FJ47:FJ54" si="351">SUM(EW47:EZ47)</f>
        <v>8221061463.0431938</v>
      </c>
      <c r="FK47" s="619">
        <f t="shared" ref="FK47:FK57" si="352">SUM(FA47:FD47)</f>
        <v>9766621018.095314</v>
      </c>
    </row>
    <row r="48" spans="2:167" ht="15.75" customHeight="1" x14ac:dyDescent="0.2">
      <c r="B48" s="49" t="s">
        <v>20</v>
      </c>
      <c r="C48" s="101">
        <f>'P&amp;L - Inputs'!B56</f>
        <v>1747</v>
      </c>
      <c r="D48" s="102">
        <f>'P&amp;L - Inputs'!C56</f>
        <v>1189</v>
      </c>
      <c r="E48" s="102">
        <f>'P&amp;L - Inputs'!D56</f>
        <v>1715</v>
      </c>
      <c r="F48" s="102">
        <f>'P&amp;L - Inputs'!E56</f>
        <v>17589</v>
      </c>
      <c r="G48" s="102">
        <f>'P&amp;L - Inputs'!F56</f>
        <v>105746</v>
      </c>
      <c r="H48" s="102">
        <f>'P&amp;L - Inputs'!G56</f>
        <v>60200</v>
      </c>
      <c r="I48" s="102">
        <f>'P&amp;L - Inputs'!H56</f>
        <v>43652</v>
      </c>
      <c r="J48" s="102">
        <f>'P&amp;L - Inputs'!I56</f>
        <v>8389</v>
      </c>
      <c r="K48" s="102">
        <f>'P&amp;L - Inputs'!J56</f>
        <v>18053</v>
      </c>
      <c r="L48" s="102">
        <f>'P&amp;L - Inputs'!K56</f>
        <v>8345</v>
      </c>
      <c r="M48" s="102">
        <f>'P&amp;L - Inputs'!L56</f>
        <v>491505</v>
      </c>
      <c r="N48" s="102">
        <f>'P&amp;L - Inputs'!M56</f>
        <v>385074</v>
      </c>
      <c r="O48" s="102">
        <f>'P&amp;L - Inputs'!N56</f>
        <v>408337</v>
      </c>
      <c r="P48" s="102">
        <f>'P&amp;L - Inputs'!O56</f>
        <v>657087</v>
      </c>
      <c r="Q48" s="102">
        <f>'P&amp;L - Inputs'!P56</f>
        <v>564676</v>
      </c>
      <c r="R48" s="102">
        <f>'P&amp;L - Inputs'!Q56</f>
        <v>1203627</v>
      </c>
      <c r="S48" s="102">
        <f>'P&amp;L - Inputs'!R56</f>
        <v>614202</v>
      </c>
      <c r="T48" s="102">
        <f>'P&amp;L - Inputs'!S56</f>
        <v>118045</v>
      </c>
      <c r="U48" s="102">
        <f>'P&amp;L - Inputs'!T56</f>
        <v>867198</v>
      </c>
      <c r="V48" s="102">
        <f>'P&amp;L - Inputs'!U56</f>
        <v>811354</v>
      </c>
      <c r="W48" s="102">
        <f>'P&amp;L - Inputs'!V56</f>
        <v>876833</v>
      </c>
      <c r="X48" s="102">
        <f>'P&amp;L - Inputs'!W56</f>
        <v>917758</v>
      </c>
      <c r="Y48" s="102">
        <f>'P&amp;L - Inputs'!X56</f>
        <v>1289927</v>
      </c>
      <c r="Z48" s="102">
        <f>'P&amp;L - Inputs'!Y56</f>
        <v>372868</v>
      </c>
      <c r="AA48" s="102">
        <f>'P&amp;L - Inputs'!Z56</f>
        <v>0</v>
      </c>
      <c r="AB48" s="102">
        <f>'P&amp;L - Inputs'!AA56</f>
        <v>250682</v>
      </c>
      <c r="AC48" s="103">
        <f>'P&amp;L - Inputs'!AB56</f>
        <v>380082</v>
      </c>
      <c r="AD48" s="102">
        <f>'P&amp;L - Inputs'!AC56</f>
        <v>377444</v>
      </c>
      <c r="AE48" s="102">
        <f>'P&amp;L - Inputs'!AD56</f>
        <v>813605</v>
      </c>
      <c r="AF48" s="102">
        <f>'P&amp;L - Inputs'!AE56</f>
        <v>862469</v>
      </c>
      <c r="AG48" s="102">
        <f>'P&amp;L - Inputs'!AF56</f>
        <v>1105888</v>
      </c>
      <c r="AH48" s="102">
        <f>'P&amp;L - Inputs'!AG56</f>
        <v>396246</v>
      </c>
      <c r="AI48" s="102">
        <f>'P&amp;L - Inputs'!AH56</f>
        <v>543353</v>
      </c>
      <c r="AJ48" s="102">
        <f>'P&amp;L - Inputs'!AI56</f>
        <v>276432</v>
      </c>
      <c r="AK48" s="103">
        <f>'P&amp;L - Inputs'!AJ56</f>
        <v>72555</v>
      </c>
      <c r="AL48" s="102">
        <f>'P&amp;L - Inputs'!AK56</f>
        <v>374651</v>
      </c>
      <c r="AM48" s="102">
        <f>'P&amp;L - Inputs'!AL56</f>
        <v>331519</v>
      </c>
      <c r="AN48" s="102">
        <f>'P&amp;L - Inputs'!AM56</f>
        <v>225597</v>
      </c>
      <c r="AO48" s="102">
        <f>'P&amp;L - Inputs'!AN56</f>
        <v>383322</v>
      </c>
      <c r="AP48" s="102">
        <f>'P&amp;L - Inputs'!AO56</f>
        <v>569787</v>
      </c>
      <c r="AQ48" s="102">
        <f>'P&amp;L - Inputs'!AP56</f>
        <v>735175</v>
      </c>
      <c r="AR48" s="102">
        <f>'P&amp;L - Inputs'!AQ56</f>
        <v>343460</v>
      </c>
      <c r="AS48" s="102">
        <f>'P&amp;L - Inputs'!AR56</f>
        <v>155241</v>
      </c>
      <c r="AT48" s="102">
        <f>'P&amp;L - Inputs'!AS56</f>
        <v>206394</v>
      </c>
      <c r="AU48" s="102">
        <f>'P&amp;L - Inputs'!AT56</f>
        <v>169838</v>
      </c>
      <c r="AV48" s="102">
        <f>'P&amp;L - Inputs'!AU56</f>
        <v>363053</v>
      </c>
      <c r="AW48" s="102">
        <f>'P&amp;L - Inputs'!AV56</f>
        <v>992001</v>
      </c>
      <c r="AX48" s="102">
        <f>'P&amp;L - Inputs'!AW56</f>
        <v>2095405</v>
      </c>
      <c r="AY48" s="102">
        <f>'P&amp;L - Inputs'!AX56</f>
        <v>1396030</v>
      </c>
      <c r="AZ48" s="102">
        <f>'P&amp;L - Inputs'!AY56</f>
        <v>2139424</v>
      </c>
      <c r="BA48" s="102">
        <f>'P&amp;L - Inputs'!AZ56</f>
        <v>1684410</v>
      </c>
      <c r="BB48" s="102">
        <f>'P&amp;L - Inputs'!BA56</f>
        <v>523143.55949152377</v>
      </c>
      <c r="BC48" s="102">
        <f>'P&amp;L - Inputs'!BB56</f>
        <v>182450.22203389602</v>
      </c>
      <c r="BD48" s="102">
        <f>'P&amp;L - Inputs'!BC56</f>
        <v>1887381.99101695</v>
      </c>
      <c r="BE48" s="102">
        <f>'P&amp;L - Inputs'!BD56</f>
        <v>3093768.6605084753</v>
      </c>
      <c r="BF48" s="102">
        <f>'P&amp;L - Inputs'!BE56</f>
        <v>2641790.1527118636</v>
      </c>
      <c r="BG48" s="102">
        <f>'P&amp;L - Inputs'!BF56</f>
        <v>5310676.6123728761</v>
      </c>
      <c r="BH48" s="102">
        <f>'P&amp;L - Inputs'!BG56</f>
        <v>3624979.1623050822</v>
      </c>
      <c r="BI48" s="102">
        <f>'P&amp;L - Inputs'!BH56</f>
        <v>1366242.4713559279</v>
      </c>
      <c r="BJ48" s="101">
        <f>'P&amp;L - Inputs'!BI56</f>
        <v>1103351.26881356</v>
      </c>
      <c r="BK48" s="102">
        <f>'P&amp;L - Inputs'!BJ56</f>
        <v>3374696.6610169476</v>
      </c>
      <c r="BL48" s="102">
        <f>'P&amp;L - Inputs'!BK56</f>
        <v>3949270.0762711866</v>
      </c>
      <c r="BM48" s="102">
        <f>'P&amp;L - Inputs'!BL56</f>
        <v>3328352.8305084743</v>
      </c>
      <c r="BN48" s="205">
        <f>'P&amp;L - Inputs'!BM56</f>
        <v>2453706.9277966046</v>
      </c>
      <c r="BO48" s="205">
        <f>'P&amp;L - Inputs'!BN56</f>
        <v>6680645.0193220358</v>
      </c>
      <c r="BP48" s="205">
        <f>'P&amp;L - Inputs'!BO56</f>
        <v>5790162.025932204</v>
      </c>
      <c r="BQ48" s="102">
        <f>'P&amp;L - Inputs'!BP56</f>
        <v>4964739.7052542288</v>
      </c>
      <c r="BR48" s="102">
        <f>'P&amp;L - Inputs'!BQ56</f>
        <v>7486193.5171186263</v>
      </c>
      <c r="BS48" s="102">
        <f>'P&amp;L - Inputs'!BR56</f>
        <v>8281888.6733898241</v>
      </c>
      <c r="BT48" s="102">
        <f>'P&amp;L - Inputs'!BS56</f>
        <v>9161005.8803389706</v>
      </c>
      <c r="BU48" s="102">
        <f>'P&amp;L - Inputs'!BT56</f>
        <v>6860135.1762711909</v>
      </c>
      <c r="BV48" s="102">
        <f>'P&amp;L - Inputs'!BU56</f>
        <v>7888648.9491525395</v>
      </c>
      <c r="BW48" s="102">
        <f>'P&amp;L - Inputs'!BV56</f>
        <v>6751637.0289830379</v>
      </c>
      <c r="BX48" s="102">
        <f>'P&amp;L - Inputs'!BW56</f>
        <v>7349226.3232203312</v>
      </c>
      <c r="BY48" s="102">
        <f>'P&amp;L - Inputs'!BX56</f>
        <v>8470569.4757627137</v>
      </c>
      <c r="BZ48" s="102">
        <f>'P&amp;L - Inputs'!BY56</f>
        <v>8829571.6144067682</v>
      </c>
      <c r="CA48" s="102">
        <f>'P&amp;L - Inputs'!BZ56</f>
        <v>7076330.7811864372</v>
      </c>
      <c r="CB48" s="102">
        <f>'P&amp;L - Inputs'!CA56</f>
        <v>6168901.376271178</v>
      </c>
      <c r="CC48" s="102">
        <f>'P&amp;L - Inputs'!CB56</f>
        <v>7611028.5049152467</v>
      </c>
      <c r="CD48" s="102">
        <f>'P&amp;L - Inputs'!CC56</f>
        <v>7652256.8877966106</v>
      </c>
      <c r="CE48" s="102">
        <f>'P&amp;L - Inputs'!CD56</f>
        <v>7381059.1698305644</v>
      </c>
      <c r="CF48" s="102">
        <f>'P&amp;L - Inputs'!CE56</f>
        <v>7429940.2867796589</v>
      </c>
      <c r="CG48" s="102">
        <f>'P&amp;L - Inputs'!CF56</f>
        <v>6529129.6370697562</v>
      </c>
      <c r="CH48" s="102">
        <f>'P&amp;L - Inputs'!CG56</f>
        <v>11058911.2790766</v>
      </c>
      <c r="CI48" s="102">
        <f>'P&amp;L - Inputs'!CH56</f>
        <v>8241204.4431988988</v>
      </c>
      <c r="CJ48" s="102">
        <f>'P&amp;L - Inputs'!CI56</f>
        <v>9139198.0117272139</v>
      </c>
      <c r="CK48" s="102">
        <f>'P&amp;L - Inputs'!CJ56</f>
        <v>10252206.502543967</v>
      </c>
      <c r="CL48" s="102">
        <f>'P&amp;L - Inputs'!CK56</f>
        <v>13070502.016949147</v>
      </c>
      <c r="CM48" s="102">
        <f>'P&amp;L - Inputs'!CL56</f>
        <v>10685690.033898324</v>
      </c>
      <c r="CN48" s="102">
        <f>'P&amp;L - Inputs'!CM56</f>
        <v>9725004.8559322059</v>
      </c>
      <c r="CO48" s="102">
        <f>'P&amp;L - Inputs'!CN56</f>
        <v>11388844.559322026</v>
      </c>
      <c r="CP48" s="102">
        <f>'P&amp;L - Inputs'!CO56</f>
        <v>10276267.398305088</v>
      </c>
      <c r="CQ48" s="102">
        <f>'P&amp;L - Inputs'!CP56</f>
        <v>14919718.635593215</v>
      </c>
      <c r="CR48" s="102">
        <f>'P&amp;L - Inputs'!CQ56</f>
        <v>17931012.754237283</v>
      </c>
      <c r="CS48" s="102">
        <f>'P&amp;L - Inputs'!CR56</f>
        <v>20407169.835773773</v>
      </c>
      <c r="CT48" s="102">
        <f>'P&amp;L - Inputs'!CS56</f>
        <v>23101570.69199273</v>
      </c>
      <c r="CU48" s="102">
        <f>'P&amp;L - Inputs'!CT56</f>
        <v>16319921.98218495</v>
      </c>
      <c r="CV48" s="102">
        <f>'P&amp;L - Inputs'!CU56</f>
        <v>16915668.365790293</v>
      </c>
      <c r="CW48" s="102">
        <f>'P&amp;L - Inputs'!CV56</f>
        <v>15891135.417296791</v>
      </c>
      <c r="CX48" s="102">
        <f>'P&amp;L - Inputs'!CW56</f>
        <v>15904730.53221189</v>
      </c>
      <c r="CY48" s="102">
        <f>'P&amp;L - Inputs'!CX56</f>
        <v>14788187.064864207</v>
      </c>
      <c r="CZ48" s="102">
        <f>'P&amp;L - Inputs'!CY56</f>
        <v>12895871.561304452</v>
      </c>
      <c r="DA48" s="102">
        <f>'P&amp;L - Inputs'!CZ56</f>
        <v>15086811.700281644</v>
      </c>
      <c r="DB48" s="102">
        <f>'P&amp;L - Inputs'!DA56</f>
        <v>18682898.395715632</v>
      </c>
      <c r="DC48" s="102">
        <f>'P&amp;L - Inputs'!DB56</f>
        <v>20818022.286219314</v>
      </c>
      <c r="DD48" s="102">
        <f>'P&amp;L - Inputs'!DC56</f>
        <v>19481681.782045778</v>
      </c>
      <c r="DE48" s="102">
        <f>'P&amp;L - Inputs'!DD56</f>
        <v>18998744.397363372</v>
      </c>
      <c r="DF48" s="102">
        <f>'P&amp;L - Inputs'!DE56</f>
        <v>18268035.232533157</v>
      </c>
      <c r="DG48" s="102">
        <f>'P&amp;L - Inputs'!DF56</f>
        <v>20399902.477731183</v>
      </c>
      <c r="DH48" s="102">
        <f>'P&amp;L - Inputs'!DG56</f>
        <v>21144585.457237866</v>
      </c>
      <c r="DI48" s="102">
        <f>'P&amp;L - Inputs'!DH56</f>
        <v>19863919.271620985</v>
      </c>
      <c r="DJ48" s="102">
        <f>'P&amp;L - Inputs'!DI56</f>
        <v>19880913.165264852</v>
      </c>
      <c r="DK48" s="102">
        <f>'P&amp;L - Inputs'!DJ56</f>
        <v>18485233.831080254</v>
      </c>
      <c r="DL48" s="102">
        <f>'P&amp;L - Inputs'!DK56</f>
        <v>16119839.451630557</v>
      </c>
      <c r="DM48" s="102">
        <f>'P&amp;L - Inputs'!DL56</f>
        <v>18858514.625352047</v>
      </c>
      <c r="DN48" s="102">
        <f>'P&amp;L - Inputs'!DM56</f>
        <v>23353622.994644534</v>
      </c>
      <c r="DO48" s="102">
        <f>'P&amp;L - Inputs'!DN56</f>
        <v>26022527.857774135</v>
      </c>
      <c r="DP48" s="102">
        <f>'P&amp;L - Inputs'!DO56</f>
        <v>24352102.22755722</v>
      </c>
      <c r="DQ48" s="102">
        <f>'P&amp;L - Inputs'!DP56</f>
        <v>23748430.49670421</v>
      </c>
      <c r="DR48" s="104">
        <f>'P&amp;L - Inputs'!DQ56</f>
        <v>22835044.040666446</v>
      </c>
      <c r="DS48" s="104">
        <f>'P&amp;L - Inputs'!DR56</f>
        <v>24479882.97327742</v>
      </c>
      <c r="DT48" s="104">
        <f>'P&amp;L - Inputs'!DS56</f>
        <v>25373502.548685439</v>
      </c>
      <c r="DU48" s="104">
        <f>'P&amp;L - Inputs'!DT56</f>
        <v>23836703.125945181</v>
      </c>
      <c r="DV48" s="104">
        <f>'P&amp;L - Inputs'!DU56</f>
        <v>23857095.798317824</v>
      </c>
      <c r="DW48" s="104">
        <f>'P&amp;L - Inputs'!DV56</f>
        <v>22182280.597296305</v>
      </c>
      <c r="DX48" s="104">
        <f>'P&amp;L - Inputs'!DW56</f>
        <v>19343807.341956668</v>
      </c>
      <c r="DY48" s="104">
        <f>'P&amp;L - Inputs'!DX56</f>
        <v>22630217.550422456</v>
      </c>
      <c r="DZ48" s="104">
        <f>'P&amp;L - Inputs'!DY56</f>
        <v>28024347.593573451</v>
      </c>
      <c r="EA48" s="104">
        <f>'P&amp;L - Inputs'!DZ56</f>
        <v>31227033.429328967</v>
      </c>
      <c r="EB48" s="104">
        <f>'P&amp;L - Inputs'!EA56</f>
        <v>29222522.673068665</v>
      </c>
      <c r="EC48" s="104">
        <f>'P&amp;L - Inputs'!EB56</f>
        <v>28498116.596045051</v>
      </c>
      <c r="ED48" s="104">
        <f>'P&amp;L - Inputs'!EC56</f>
        <v>27402052.848799732</v>
      </c>
      <c r="EE48" s="39" t="s">
        <v>1</v>
      </c>
      <c r="EF48" s="68"/>
      <c r="EG48" s="629">
        <f>SUM(BK48:BM48)</f>
        <v>10652319.567796608</v>
      </c>
      <c r="EH48" s="629">
        <f>SUM(BN48:BP48)</f>
        <v>14924513.973050844</v>
      </c>
      <c r="EI48" s="629">
        <f>SUM(BQ48:BS48)</f>
        <v>20732821.895762682</v>
      </c>
      <c r="EJ48" s="629">
        <f>SUM(BT48:BV48)</f>
        <v>23909790.0057627</v>
      </c>
      <c r="EK48" s="629">
        <f>SUM(BW48:BY48)</f>
        <v>22571432.827966083</v>
      </c>
      <c r="EL48" s="629">
        <f t="shared" si="330"/>
        <v>22074803.771864384</v>
      </c>
      <c r="EM48" s="629">
        <f t="shared" si="331"/>
        <v>22644344.562542424</v>
      </c>
      <c r="EN48" s="629">
        <f t="shared" si="332"/>
        <v>25017981.202926017</v>
      </c>
      <c r="EO48" s="629">
        <f t="shared" si="333"/>
        <v>27632608.957470078</v>
      </c>
      <c r="EP48" s="629">
        <f t="shared" si="334"/>
        <v>33481196.906779677</v>
      </c>
      <c r="EQ48" s="629">
        <f t="shared" si="335"/>
        <v>36584830.593220331</v>
      </c>
      <c r="ER48" s="629">
        <f>SUM(CR48:CT48)</f>
        <v>61439753.28200379</v>
      </c>
      <c r="ES48" s="629">
        <f t="shared" si="336"/>
        <v>49126725.765272036</v>
      </c>
      <c r="ET48" s="629">
        <f t="shared" si="337"/>
        <v>43588789.158380546</v>
      </c>
      <c r="EU48" s="629">
        <f t="shared" si="338"/>
        <v>54587732.382216588</v>
      </c>
      <c r="EV48" s="629">
        <f t="shared" si="339"/>
        <v>56748461.411942303</v>
      </c>
      <c r="EW48" s="629">
        <f t="shared" si="340"/>
        <v>61408407.206590042</v>
      </c>
      <c r="EX48" s="629">
        <f t="shared" si="341"/>
        <v>54485986.447975658</v>
      </c>
      <c r="EY48" s="629">
        <f t="shared" si="342"/>
        <v>68234665.477770716</v>
      </c>
      <c r="EZ48" s="629">
        <f t="shared" si="343"/>
        <v>70935576.764927879</v>
      </c>
      <c r="FA48" s="629">
        <f t="shared" si="344"/>
        <v>73690088.647908032</v>
      </c>
      <c r="FB48" s="629">
        <f t="shared" si="345"/>
        <v>65383183.7375708</v>
      </c>
      <c r="FC48" s="629">
        <f t="shared" si="346"/>
        <v>81881598.573324874</v>
      </c>
      <c r="FD48" s="629">
        <f t="shared" si="347"/>
        <v>85122692.117913455</v>
      </c>
      <c r="FG48" s="70">
        <f t="shared" si="348"/>
        <v>92308562.365298897</v>
      </c>
      <c r="FH48" s="67">
        <f t="shared" si="349"/>
        <v>159138389.73947388</v>
      </c>
      <c r="FI48" s="67">
        <f t="shared" si="350"/>
        <v>204051708.71781147</v>
      </c>
      <c r="FJ48" s="69">
        <f t="shared" si="351"/>
        <v>255064635.8972643</v>
      </c>
      <c r="FK48" s="619">
        <f t="shared" si="352"/>
        <v>306077563.07671714</v>
      </c>
    </row>
    <row r="49" spans="2:167" ht="15.75" customHeight="1" x14ac:dyDescent="0.2">
      <c r="B49" s="49" t="s">
        <v>21</v>
      </c>
      <c r="C49" s="101">
        <f>'P&amp;L - Inputs'!B57</f>
        <v>0</v>
      </c>
      <c r="D49" s="102">
        <f>'P&amp;L - Inputs'!C57</f>
        <v>0</v>
      </c>
      <c r="E49" s="102">
        <f>'P&amp;L - Inputs'!D57</f>
        <v>0</v>
      </c>
      <c r="F49" s="102">
        <f>'P&amp;L - Inputs'!E57</f>
        <v>0</v>
      </c>
      <c r="G49" s="102">
        <f>'P&amp;L - Inputs'!F57</f>
        <v>0</v>
      </c>
      <c r="H49" s="102">
        <f>'P&amp;L - Inputs'!G57</f>
        <v>0</v>
      </c>
      <c r="I49" s="102">
        <f>'P&amp;L - Inputs'!H57</f>
        <v>0</v>
      </c>
      <c r="J49" s="102">
        <f>'P&amp;L - Inputs'!I57</f>
        <v>0</v>
      </c>
      <c r="K49" s="102">
        <f>'P&amp;L - Inputs'!J57</f>
        <v>0</v>
      </c>
      <c r="L49" s="102">
        <f>'P&amp;L - Inputs'!K57</f>
        <v>0</v>
      </c>
      <c r="M49" s="102">
        <f>'P&amp;L - Inputs'!L57</f>
        <v>0</v>
      </c>
      <c r="N49" s="102">
        <f>'P&amp;L - Inputs'!M57</f>
        <v>0</v>
      </c>
      <c r="O49" s="102">
        <f>'P&amp;L - Inputs'!N57</f>
        <v>0</v>
      </c>
      <c r="P49" s="102">
        <f>'P&amp;L - Inputs'!O57</f>
        <v>0</v>
      </c>
      <c r="Q49" s="102">
        <f>'P&amp;L - Inputs'!P57</f>
        <v>0</v>
      </c>
      <c r="R49" s="102">
        <f>'P&amp;L - Inputs'!Q57</f>
        <v>0</v>
      </c>
      <c r="S49" s="102">
        <f>'P&amp;L - Inputs'!R57</f>
        <v>0</v>
      </c>
      <c r="T49" s="102">
        <f>'P&amp;L - Inputs'!S57</f>
        <v>0</v>
      </c>
      <c r="U49" s="102">
        <f>'P&amp;L - Inputs'!T57</f>
        <v>0</v>
      </c>
      <c r="V49" s="102">
        <f>'P&amp;L - Inputs'!U57</f>
        <v>0</v>
      </c>
      <c r="W49" s="102">
        <f>'P&amp;L - Inputs'!V57</f>
        <v>0</v>
      </c>
      <c r="X49" s="102">
        <f>'P&amp;L - Inputs'!W57</f>
        <v>0</v>
      </c>
      <c r="Y49" s="102">
        <f>'P&amp;L - Inputs'!X57</f>
        <v>0</v>
      </c>
      <c r="Z49" s="102">
        <f>'P&amp;L - Inputs'!Y57</f>
        <v>0</v>
      </c>
      <c r="AA49" s="102">
        <f>'P&amp;L - Inputs'!Z57</f>
        <v>0</v>
      </c>
      <c r="AB49" s="102">
        <f>'P&amp;L - Inputs'!AA57</f>
        <v>0</v>
      </c>
      <c r="AC49" s="103">
        <f>'P&amp;L - Inputs'!AB57</f>
        <v>0</v>
      </c>
      <c r="AD49" s="102">
        <f>'P&amp;L - Inputs'!AC57</f>
        <v>0</v>
      </c>
      <c r="AE49" s="102">
        <f>'P&amp;L - Inputs'!AD57</f>
        <v>0</v>
      </c>
      <c r="AF49" s="102">
        <f>'P&amp;L - Inputs'!AE57</f>
        <v>0</v>
      </c>
      <c r="AG49" s="102">
        <f>'P&amp;L - Inputs'!AF57</f>
        <v>0</v>
      </c>
      <c r="AH49" s="102">
        <f>'P&amp;L - Inputs'!AG57</f>
        <v>0</v>
      </c>
      <c r="AI49" s="102">
        <f>'P&amp;L - Inputs'!AH57</f>
        <v>0</v>
      </c>
      <c r="AJ49" s="102">
        <f>'P&amp;L - Inputs'!AI57</f>
        <v>0</v>
      </c>
      <c r="AK49" s="103">
        <f>'P&amp;L - Inputs'!AJ57</f>
        <v>0</v>
      </c>
      <c r="AL49" s="102">
        <f>'P&amp;L - Inputs'!AK57</f>
        <v>0</v>
      </c>
      <c r="AM49" s="102">
        <f>'P&amp;L - Inputs'!AL57</f>
        <v>0</v>
      </c>
      <c r="AN49" s="102">
        <f>'P&amp;L - Inputs'!AM57</f>
        <v>0</v>
      </c>
      <c r="AO49" s="102">
        <f>'P&amp;L - Inputs'!AN57</f>
        <v>0</v>
      </c>
      <c r="AP49" s="102">
        <f>'P&amp;L - Inputs'!AO57</f>
        <v>0</v>
      </c>
      <c r="AQ49" s="102">
        <f>'P&amp;L - Inputs'!AP57</f>
        <v>0</v>
      </c>
      <c r="AR49" s="102">
        <f>'P&amp;L - Inputs'!AQ57</f>
        <v>0</v>
      </c>
      <c r="AS49" s="102">
        <f>'P&amp;L - Inputs'!AR57</f>
        <v>0</v>
      </c>
      <c r="AT49" s="102">
        <f>'P&amp;L - Inputs'!AS57</f>
        <v>0</v>
      </c>
      <c r="AU49" s="102">
        <f>'P&amp;L - Inputs'!AT57</f>
        <v>0</v>
      </c>
      <c r="AV49" s="102">
        <f>'P&amp;L - Inputs'!AU57</f>
        <v>0</v>
      </c>
      <c r="AW49" s="102">
        <f>'P&amp;L - Inputs'!AV57</f>
        <v>0</v>
      </c>
      <c r="AX49" s="102">
        <f>'P&amp;L - Inputs'!AW57</f>
        <v>0</v>
      </c>
      <c r="AY49" s="102">
        <f>'P&amp;L - Inputs'!AX57</f>
        <v>0</v>
      </c>
      <c r="AZ49" s="102">
        <f>'P&amp;L - Inputs'!AY57</f>
        <v>0</v>
      </c>
      <c r="BA49" s="102">
        <f>'P&amp;L - Inputs'!AZ57</f>
        <v>0</v>
      </c>
      <c r="BB49" s="102">
        <f>'P&amp;L - Inputs'!BA57</f>
        <v>0</v>
      </c>
      <c r="BC49" s="102">
        <f>'P&amp;L - Inputs'!BB57</f>
        <v>0</v>
      </c>
      <c r="BD49" s="102">
        <f>'P&amp;L - Inputs'!BC57</f>
        <v>0</v>
      </c>
      <c r="BE49" s="102">
        <f>'P&amp;L - Inputs'!BD57</f>
        <v>0</v>
      </c>
      <c r="BF49" s="102">
        <f>'P&amp;L - Inputs'!BE57</f>
        <v>0</v>
      </c>
      <c r="BG49" s="102">
        <f>'P&amp;L - Inputs'!BF57</f>
        <v>0</v>
      </c>
      <c r="BH49" s="102">
        <f>'P&amp;L - Inputs'!BG57</f>
        <v>0</v>
      </c>
      <c r="BI49" s="102">
        <f>'P&amp;L - Inputs'!BH57</f>
        <v>0</v>
      </c>
      <c r="BJ49" s="101">
        <f>'P&amp;L - Inputs'!BI57</f>
        <v>0</v>
      </c>
      <c r="BK49" s="102">
        <f>'P&amp;L - Inputs'!BJ57</f>
        <v>0</v>
      </c>
      <c r="BL49" s="102">
        <f>'P&amp;L - Inputs'!BK57</f>
        <v>0</v>
      </c>
      <c r="BM49" s="102">
        <f>'P&amp;L - Inputs'!BL57</f>
        <v>0</v>
      </c>
      <c r="BN49" s="205">
        <f>'P&amp;L - Inputs'!BM57</f>
        <v>0</v>
      </c>
      <c r="BO49" s="205">
        <f>'P&amp;L - Inputs'!BN57</f>
        <v>0</v>
      </c>
      <c r="BP49" s="205">
        <f>'P&amp;L - Inputs'!BO57</f>
        <v>0</v>
      </c>
      <c r="BQ49" s="102">
        <f>'P&amp;L - Inputs'!BP57</f>
        <v>-2373549.1181329801</v>
      </c>
      <c r="BR49" s="102">
        <f>'P&amp;L - Inputs'!BQ57</f>
        <v>-3431435.3824443598</v>
      </c>
      <c r="BS49" s="102">
        <f>'P&amp;L - Inputs'!BR57</f>
        <v>-5125023.6416100953</v>
      </c>
      <c r="BT49" s="102">
        <f>'P&amp;L - Inputs'!BS57</f>
        <v>-7083550</v>
      </c>
      <c r="BU49" s="102">
        <f>'P&amp;L - Inputs'!BT57</f>
        <v>-5449308.3237917451</v>
      </c>
      <c r="BV49" s="102">
        <f>'P&amp;L - Inputs'!BU57</f>
        <v>-3157680.9159807418</v>
      </c>
      <c r="BW49" s="102">
        <f>'P&amp;L - Inputs'!BV57</f>
        <v>-2305770.3426865875</v>
      </c>
      <c r="BX49" s="102">
        <f>'P&amp;L - Inputs'!BW57</f>
        <v>-3240183</v>
      </c>
      <c r="BY49" s="102">
        <f>'P&amp;L - Inputs'!BX57</f>
        <v>-3725761.5788141801</v>
      </c>
      <c r="BZ49" s="102">
        <f>'P&amp;L - Inputs'!BY57</f>
        <v>-5584959</v>
      </c>
      <c r="CA49" s="102">
        <f>'P&amp;L - Inputs'!BZ57</f>
        <v>-4195543</v>
      </c>
      <c r="CB49" s="102">
        <f>'P&amp;L - Inputs'!CA57</f>
        <v>-4673576.7204873962</v>
      </c>
      <c r="CC49" s="102">
        <f>'P&amp;L - Inputs'!CB57</f>
        <v>-4700421</v>
      </c>
      <c r="CD49" s="102">
        <f>'P&amp;L - Inputs'!CC57</f>
        <v>-3237513.5578047899</v>
      </c>
      <c r="CE49" s="102">
        <f>'P&amp;L - Inputs'!CD57</f>
        <v>-3231083</v>
      </c>
      <c r="CF49" s="102">
        <f>'P&amp;L - Inputs'!CE57</f>
        <v>-2940546.1807626099</v>
      </c>
      <c r="CG49" s="102">
        <f>'P&amp;L - Inputs'!CF57</f>
        <v>-2373473.2746713846</v>
      </c>
      <c r="CH49" s="102">
        <f>'P&amp;L - Inputs'!CG57</f>
        <v>-4750933.3566312408</v>
      </c>
      <c r="CI49" s="102">
        <f>'P&amp;L - Inputs'!CH57</f>
        <v>-3893397.474789795</v>
      </c>
      <c r="CJ49" s="102">
        <f>'P&amp;L - Inputs'!CI57</f>
        <v>-3971325.7649152544</v>
      </c>
      <c r="CK49" s="102">
        <f>'P&amp;L - Inputs'!CJ57</f>
        <v>-4222781.1186440699</v>
      </c>
      <c r="CL49" s="102">
        <f>'P&amp;L - Inputs'!CK57</f>
        <v>-5264748</v>
      </c>
      <c r="CM49" s="102">
        <f>'P&amp;L - Inputs'!CL57</f>
        <v>-5169465</v>
      </c>
      <c r="CN49" s="102">
        <f>'P&amp;L - Inputs'!CM57</f>
        <v>-6401161</v>
      </c>
      <c r="CO49" s="102">
        <f>'P&amp;L - Inputs'!CN57</f>
        <v>-5508032</v>
      </c>
      <c r="CP49" s="102">
        <f>'P&amp;L - Inputs'!CO57</f>
        <v>-4777393</v>
      </c>
      <c r="CQ49" s="102">
        <f>'P&amp;L - Inputs'!CP57</f>
        <v>-5456838</v>
      </c>
      <c r="CR49" s="102">
        <f>'P&amp;L - Inputs'!CQ57</f>
        <v>-5140813</v>
      </c>
      <c r="CS49" s="102">
        <f>'P&amp;L - Inputs'!CR57</f>
        <v>-5008114</v>
      </c>
      <c r="CT49" s="102">
        <f>'P&amp;L - Inputs'!CS57</f>
        <v>-6917477</v>
      </c>
      <c r="CU49" s="102">
        <f>'P&amp;L - Inputs'!CT57</f>
        <v>-6330678.6359801441</v>
      </c>
      <c r="CV49" s="102">
        <f>'P&amp;L - Inputs'!CU57</f>
        <v>-6561775.2617648616</v>
      </c>
      <c r="CW49" s="102">
        <f>'P&amp;L - Inputs'!CV57</f>
        <v>-6164347.5745512983</v>
      </c>
      <c r="CX49" s="102">
        <f>'P&amp;L - Inputs'!CW57</f>
        <v>-6169621.2703226786</v>
      </c>
      <c r="CY49" s="102">
        <f>'P&amp;L - Inputs'!CX57</f>
        <v>-5736501.6829498215</v>
      </c>
      <c r="CZ49" s="102">
        <f>'P&amp;L - Inputs'!CY57</f>
        <v>-5002451.5236416524</v>
      </c>
      <c r="DA49" s="102">
        <f>'P&amp;L - Inputs'!CZ57</f>
        <v>-5852341.489149767</v>
      </c>
      <c r="DB49" s="102">
        <f>'P&amp;L - Inputs'!DA57</f>
        <v>-7247303.3793332912</v>
      </c>
      <c r="DC49" s="102">
        <f>'P&amp;L - Inputs'!DB57</f>
        <v>-8075541.6033601938</v>
      </c>
      <c r="DD49" s="102">
        <f>'P&amp;L - Inputs'!DC57</f>
        <v>-7557160.3090500049</v>
      </c>
      <c r="DE49" s="102">
        <f>'P&amp;L - Inputs'!DD57</f>
        <v>-7369823.5443851715</v>
      </c>
      <c r="DF49" s="102">
        <f>'P&amp;L - Inputs'!DE57</f>
        <v>-7086373.3597608088</v>
      </c>
      <c r="DG49" s="102">
        <f>'P&amp;L - Inputs'!DF57</f>
        <v>-7913348.2949751783</v>
      </c>
      <c r="DH49" s="102">
        <f>'P&amp;L - Inputs'!DG57</f>
        <v>-8202219.0772060771</v>
      </c>
      <c r="DI49" s="102">
        <f>'P&amp;L - Inputs'!DH57</f>
        <v>-7705434.4681891203</v>
      </c>
      <c r="DJ49" s="102">
        <f>'P&amp;L - Inputs'!DI57</f>
        <v>-7712026.587903345</v>
      </c>
      <c r="DK49" s="102">
        <f>'P&amp;L - Inputs'!DJ57</f>
        <v>-7170627.1036872761</v>
      </c>
      <c r="DL49" s="102">
        <f>'P&amp;L - Inputs'!DK57</f>
        <v>-6253064.404552062</v>
      </c>
      <c r="DM49" s="102">
        <f>'P&amp;L - Inputs'!DL57</f>
        <v>-7315426.8614372052</v>
      </c>
      <c r="DN49" s="102">
        <f>'P&amp;L - Inputs'!DM57</f>
        <v>-9059129.2241666131</v>
      </c>
      <c r="DO49" s="102">
        <f>'P&amp;L - Inputs'!DN57</f>
        <v>-10094427.004200241</v>
      </c>
      <c r="DP49" s="102">
        <f>'P&amp;L - Inputs'!DO57</f>
        <v>-9446450.3863125052</v>
      </c>
      <c r="DQ49" s="102">
        <f>'P&amp;L - Inputs'!DP57</f>
        <v>-9212279.4304814618</v>
      </c>
      <c r="DR49" s="104">
        <f>'P&amp;L - Inputs'!DQ57</f>
        <v>-8857966.6997010093</v>
      </c>
      <c r="DS49" s="104">
        <f>'P&amp;L - Inputs'!DR57</f>
        <v>-9496017.9539702144</v>
      </c>
      <c r="DT49" s="104">
        <f>'P&amp;L - Inputs'!DS57</f>
        <v>-9842662.8926472925</v>
      </c>
      <c r="DU49" s="104">
        <f>'P&amp;L - Inputs'!DT57</f>
        <v>-9246521.3618269451</v>
      </c>
      <c r="DV49" s="104">
        <f>'P&amp;L - Inputs'!DU57</f>
        <v>-9254431.9054840133</v>
      </c>
      <c r="DW49" s="104">
        <f>'P&amp;L - Inputs'!DV57</f>
        <v>-8604752.5244247299</v>
      </c>
      <c r="DX49" s="104">
        <f>'P&amp;L - Inputs'!DW57</f>
        <v>-7503677.2854624754</v>
      </c>
      <c r="DY49" s="104">
        <f>'P&amp;L - Inputs'!DX57</f>
        <v>-8778512.2337246463</v>
      </c>
      <c r="DZ49" s="104">
        <f>'P&amp;L - Inputs'!DY57</f>
        <v>-10870955.068999939</v>
      </c>
      <c r="EA49" s="104">
        <f>'P&amp;L - Inputs'!DZ57</f>
        <v>-12113312.40504029</v>
      </c>
      <c r="EB49" s="104">
        <f>'P&amp;L - Inputs'!EA57</f>
        <v>-11335740.463575007</v>
      </c>
      <c r="EC49" s="104">
        <f>'P&amp;L - Inputs'!EB57</f>
        <v>-11054735.316577755</v>
      </c>
      <c r="ED49" s="104">
        <f>'P&amp;L - Inputs'!EC57</f>
        <v>-10629560.039641211</v>
      </c>
      <c r="EE49" s="39" t="s">
        <v>1</v>
      </c>
      <c r="EF49" s="68"/>
      <c r="EG49" s="629">
        <f>SUM(BK49:BM49)</f>
        <v>0</v>
      </c>
      <c r="EH49" s="629">
        <f>SUM(BN49:BP49)</f>
        <v>0</v>
      </c>
      <c r="EI49" s="629">
        <f>SUM(BQ49:BS49)</f>
        <v>-10930008.142187435</v>
      </c>
      <c r="EJ49" s="629">
        <f>SUM(BT49:BV49)</f>
        <v>-15690539.239772487</v>
      </c>
      <c r="EK49" s="629">
        <f>SUM(BW49:BY49)</f>
        <v>-9271714.9215007685</v>
      </c>
      <c r="EL49" s="629">
        <f t="shared" si="330"/>
        <v>-14454078.720487397</v>
      </c>
      <c r="EM49" s="629">
        <f t="shared" si="331"/>
        <v>-11169017.557804789</v>
      </c>
      <c r="EN49" s="629">
        <f t="shared" si="332"/>
        <v>-10064952.812065236</v>
      </c>
      <c r="EO49" s="629">
        <f t="shared" si="333"/>
        <v>-12087504.358349118</v>
      </c>
      <c r="EP49" s="629">
        <f t="shared" si="334"/>
        <v>-16835374</v>
      </c>
      <c r="EQ49" s="629">
        <f t="shared" si="335"/>
        <v>-15742263</v>
      </c>
      <c r="ER49" s="629">
        <f>SUM(CR49:CT49)</f>
        <v>-17066404</v>
      </c>
      <c r="ES49" s="629">
        <f t="shared" si="336"/>
        <v>-19056801.472296305</v>
      </c>
      <c r="ET49" s="629">
        <f t="shared" si="337"/>
        <v>-16908574.476914153</v>
      </c>
      <c r="EU49" s="629">
        <f t="shared" si="338"/>
        <v>-21175186.471843254</v>
      </c>
      <c r="EV49" s="629">
        <f t="shared" si="339"/>
        <v>-22013357.213195987</v>
      </c>
      <c r="EW49" s="629">
        <f t="shared" si="340"/>
        <v>-23821001.840370376</v>
      </c>
      <c r="EX49" s="629">
        <f t="shared" si="341"/>
        <v>-21135718.096142683</v>
      </c>
      <c r="EY49" s="629">
        <f t="shared" si="342"/>
        <v>-26468983.089804061</v>
      </c>
      <c r="EZ49" s="629">
        <f t="shared" si="343"/>
        <v>-27516696.516494974</v>
      </c>
      <c r="FA49" s="629">
        <f t="shared" si="344"/>
        <v>-28585202.20844445</v>
      </c>
      <c r="FB49" s="629">
        <f t="shared" si="345"/>
        <v>-25362861.715371221</v>
      </c>
      <c r="FC49" s="629">
        <f t="shared" si="346"/>
        <v>-31762779.707764875</v>
      </c>
      <c r="FD49" s="629">
        <f t="shared" si="347"/>
        <v>-33020035.819793969</v>
      </c>
      <c r="FG49" s="70">
        <f t="shared" si="348"/>
        <v>-44959764.011858188</v>
      </c>
      <c r="FH49" s="67">
        <f t="shared" si="349"/>
        <v>-61731545.358349115</v>
      </c>
      <c r="FI49" s="67">
        <f t="shared" si="350"/>
        <v>-79153919.634249687</v>
      </c>
      <c r="FJ49" s="69">
        <f t="shared" si="351"/>
        <v>-98942399.542812094</v>
      </c>
      <c r="FK49" s="619">
        <f t="shared" si="352"/>
        <v>-118730879.45137452</v>
      </c>
    </row>
    <row r="50" spans="2:167" ht="15.75" customHeight="1" x14ac:dyDescent="0.2">
      <c r="B50" s="49" t="s">
        <v>22</v>
      </c>
      <c r="C50" s="101">
        <f>'P&amp;L - Inputs'!B58</f>
        <v>0</v>
      </c>
      <c r="D50" s="102">
        <f>'P&amp;L - Inputs'!C58</f>
        <v>0</v>
      </c>
      <c r="E50" s="102">
        <f>'P&amp;L - Inputs'!D58</f>
        <v>0</v>
      </c>
      <c r="F50" s="102">
        <f>'P&amp;L - Inputs'!E58</f>
        <v>0</v>
      </c>
      <c r="G50" s="102">
        <f>'P&amp;L - Inputs'!F58</f>
        <v>0</v>
      </c>
      <c r="H50" s="102">
        <f>'P&amp;L - Inputs'!G58</f>
        <v>0</v>
      </c>
      <c r="I50" s="102">
        <f>'P&amp;L - Inputs'!H58</f>
        <v>0</v>
      </c>
      <c r="J50" s="102">
        <f>'P&amp;L - Inputs'!I58</f>
        <v>0</v>
      </c>
      <c r="K50" s="102">
        <f>'P&amp;L - Inputs'!J58</f>
        <v>0</v>
      </c>
      <c r="L50" s="102">
        <f>'P&amp;L - Inputs'!K58</f>
        <v>0</v>
      </c>
      <c r="M50" s="102">
        <f>'P&amp;L - Inputs'!L58</f>
        <v>0</v>
      </c>
      <c r="N50" s="102">
        <f>'P&amp;L - Inputs'!M58</f>
        <v>0</v>
      </c>
      <c r="O50" s="102">
        <f>'P&amp;L - Inputs'!N58</f>
        <v>0</v>
      </c>
      <c r="P50" s="102">
        <f>'P&amp;L - Inputs'!O58</f>
        <v>0</v>
      </c>
      <c r="Q50" s="102">
        <f>'P&amp;L - Inputs'!P58</f>
        <v>0</v>
      </c>
      <c r="R50" s="102">
        <f>'P&amp;L - Inputs'!Q58</f>
        <v>0</v>
      </c>
      <c r="S50" s="102">
        <f>'P&amp;L - Inputs'!R58</f>
        <v>0</v>
      </c>
      <c r="T50" s="102">
        <f>'P&amp;L - Inputs'!S58</f>
        <v>0</v>
      </c>
      <c r="U50" s="102">
        <f>'P&amp;L - Inputs'!T58</f>
        <v>0</v>
      </c>
      <c r="V50" s="102">
        <f>'P&amp;L - Inputs'!U58</f>
        <v>0</v>
      </c>
      <c r="W50" s="102">
        <f>'P&amp;L - Inputs'!V58</f>
        <v>0</v>
      </c>
      <c r="X50" s="102">
        <f>'P&amp;L - Inputs'!W58</f>
        <v>0</v>
      </c>
      <c r="Y50" s="102">
        <f>'P&amp;L - Inputs'!X58</f>
        <v>0</v>
      </c>
      <c r="Z50" s="102">
        <f>'P&amp;L - Inputs'!Y58</f>
        <v>0</v>
      </c>
      <c r="AA50" s="102">
        <f>'P&amp;L - Inputs'!Z58</f>
        <v>0</v>
      </c>
      <c r="AB50" s="102">
        <f>'P&amp;L - Inputs'!AA58</f>
        <v>0</v>
      </c>
      <c r="AC50" s="103">
        <f>'P&amp;L - Inputs'!AB58</f>
        <v>0</v>
      </c>
      <c r="AD50" s="102">
        <f>'P&amp;L - Inputs'!AC58</f>
        <v>0</v>
      </c>
      <c r="AE50" s="102">
        <f>'P&amp;L - Inputs'!AD58</f>
        <v>0</v>
      </c>
      <c r="AF50" s="102">
        <f>'P&amp;L - Inputs'!AE58</f>
        <v>0</v>
      </c>
      <c r="AG50" s="102">
        <f>'P&amp;L - Inputs'!AF58</f>
        <v>0</v>
      </c>
      <c r="AH50" s="102">
        <f>'P&amp;L - Inputs'!AG58</f>
        <v>0</v>
      </c>
      <c r="AI50" s="102">
        <f>'P&amp;L - Inputs'!AH58</f>
        <v>0</v>
      </c>
      <c r="AJ50" s="102">
        <f>'P&amp;L - Inputs'!AI58</f>
        <v>0</v>
      </c>
      <c r="AK50" s="103">
        <f>'P&amp;L - Inputs'!AJ58</f>
        <v>0</v>
      </c>
      <c r="AL50" s="102">
        <f>'P&amp;L - Inputs'!AK58</f>
        <v>0</v>
      </c>
      <c r="AM50" s="102">
        <f>'P&amp;L - Inputs'!AL58</f>
        <v>0</v>
      </c>
      <c r="AN50" s="102">
        <f>'P&amp;L - Inputs'!AM58</f>
        <v>0</v>
      </c>
      <c r="AO50" s="102">
        <f>'P&amp;L - Inputs'!AN58</f>
        <v>0</v>
      </c>
      <c r="AP50" s="102">
        <f>'P&amp;L - Inputs'!AO58</f>
        <v>0</v>
      </c>
      <c r="AQ50" s="102">
        <f>'P&amp;L - Inputs'!AP58</f>
        <v>0</v>
      </c>
      <c r="AR50" s="102">
        <f>'P&amp;L - Inputs'!AQ58</f>
        <v>0</v>
      </c>
      <c r="AS50" s="102">
        <f>'P&amp;L - Inputs'!AR58</f>
        <v>0</v>
      </c>
      <c r="AT50" s="102">
        <f>'P&amp;L - Inputs'!AS58</f>
        <v>0</v>
      </c>
      <c r="AU50" s="102">
        <f>'P&amp;L - Inputs'!AT58</f>
        <v>0</v>
      </c>
      <c r="AV50" s="102">
        <f>'P&amp;L - Inputs'!AU58</f>
        <v>0</v>
      </c>
      <c r="AW50" s="102">
        <f>'P&amp;L - Inputs'!AV58</f>
        <v>0</v>
      </c>
      <c r="AX50" s="102">
        <f>'P&amp;L - Inputs'!AW58</f>
        <v>0</v>
      </c>
      <c r="AY50" s="102">
        <f>'P&amp;L - Inputs'!AX58</f>
        <v>0</v>
      </c>
      <c r="AZ50" s="102">
        <f>'P&amp;L - Inputs'!AY58</f>
        <v>0</v>
      </c>
      <c r="BA50" s="102">
        <f>'P&amp;L - Inputs'!AZ58</f>
        <v>0</v>
      </c>
      <c r="BB50" s="102">
        <f>'P&amp;L - Inputs'!BA58</f>
        <v>0</v>
      </c>
      <c r="BC50" s="102">
        <f>'P&amp;L - Inputs'!BB58</f>
        <v>0</v>
      </c>
      <c r="BD50" s="102">
        <f>'P&amp;L - Inputs'!BC58</f>
        <v>3295281.8823528499</v>
      </c>
      <c r="BE50" s="102">
        <f>'P&amp;L - Inputs'!BD58</f>
        <v>2971501.1251007193</v>
      </c>
      <c r="BF50" s="102">
        <f>'P&amp;L - Inputs'!BE58</f>
        <v>2698666.848491672</v>
      </c>
      <c r="BG50" s="102">
        <f>'P&amp;L - Inputs'!BF58</f>
        <v>2815227.8400227898</v>
      </c>
      <c r="BH50" s="102">
        <f>'P&amp;L - Inputs'!BG58</f>
        <v>1715272.9763863899</v>
      </c>
      <c r="BI50" s="102">
        <f>'P&amp;L - Inputs'!BH58</f>
        <v>3984273.8151969025</v>
      </c>
      <c r="BJ50" s="101">
        <f>'P&amp;L - Inputs'!BI58</f>
        <v>2497809.3660777207</v>
      </c>
      <c r="BK50" s="102">
        <f>'P&amp;L - Inputs'!BJ58</f>
        <v>2566333.7037311443</v>
      </c>
      <c r="BL50" s="102">
        <f>'P&amp;L - Inputs'!BK58</f>
        <v>4075332.5682627703</v>
      </c>
      <c r="BM50" s="102">
        <f>'P&amp;L - Inputs'!BL58</f>
        <v>2305229.1096425978</v>
      </c>
      <c r="BN50" s="205">
        <f>'P&amp;L - Inputs'!BM58</f>
        <v>2993850.2799678105</v>
      </c>
      <c r="BO50" s="205">
        <f>'P&amp;L - Inputs'!BN58</f>
        <v>3757036.3800429963</v>
      </c>
      <c r="BP50" s="205">
        <f>'P&amp;L - Inputs'!BO58</f>
        <v>1891493.7868168748</v>
      </c>
      <c r="BQ50" s="102">
        <f>'P&amp;L - Inputs'!BP58</f>
        <v>3332729.6942867492</v>
      </c>
      <c r="BR50" s="102">
        <f>'P&amp;L - Inputs'!BQ58</f>
        <v>3707777.396910347</v>
      </c>
      <c r="BS50" s="102">
        <f>'P&amp;L - Inputs'!BR58</f>
        <v>2056831.09636547</v>
      </c>
      <c r="BT50" s="102">
        <f>'P&amp;L - Inputs'!BS58</f>
        <v>1677305.2798144745</v>
      </c>
      <c r="BU50" s="102">
        <f>'P&amp;L - Inputs'!BT58</f>
        <v>3281099.1021147203</v>
      </c>
      <c r="BV50" s="102">
        <f>'P&amp;L - Inputs'!BU58</f>
        <v>3104364.8079942437</v>
      </c>
      <c r="BW50" s="102">
        <f>'P&amp;L - Inputs'!BV58</f>
        <v>2379589.2863892457</v>
      </c>
      <c r="BX50" s="102">
        <f>'P&amp;L - Inputs'!BW58</f>
        <v>1641649.5540106851</v>
      </c>
      <c r="BY50" s="102">
        <f>'P&amp;L - Inputs'!BX58</f>
        <v>2254110.4198794658</v>
      </c>
      <c r="BZ50" s="102">
        <f>'P&amp;L - Inputs'!BY58</f>
        <v>892409.44512477948</v>
      </c>
      <c r="CA50" s="102">
        <f>'P&amp;L - Inputs'!BZ58</f>
        <v>939165.28114004037</v>
      </c>
      <c r="CB50" s="102">
        <f>'P&amp;L - Inputs'!CA58</f>
        <v>874632.7722474878</v>
      </c>
      <c r="CC50" s="102">
        <f>'P&amp;L - Inputs'!CB58</f>
        <v>1704781.6706811269</v>
      </c>
      <c r="CD50" s="102">
        <f>'P&amp;L - Inputs'!CC58</f>
        <v>1018567.9386145994</v>
      </c>
      <c r="CE50" s="102">
        <f>'P&amp;L - Inputs'!CD58</f>
        <v>974088.90036237985</v>
      </c>
      <c r="CF50" s="102">
        <f>'P&amp;L - Inputs'!CE58</f>
        <v>1241997.5201300776</v>
      </c>
      <c r="CG50" s="102">
        <f>'P&amp;L - Inputs'!CF58</f>
        <v>2170292.1095934985</v>
      </c>
      <c r="CH50" s="102">
        <f>'P&amp;L - Inputs'!CG58</f>
        <v>2035413.6756810229</v>
      </c>
      <c r="CI50" s="102">
        <f>'P&amp;L - Inputs'!CH58</f>
        <v>1995634.9380197048</v>
      </c>
      <c r="CJ50" s="102">
        <f>'P&amp;L - Inputs'!CI58</f>
        <v>1742480.0694717774</v>
      </c>
      <c r="CK50" s="102">
        <f>'P&amp;L - Inputs'!CJ58</f>
        <v>1450440.138541386</v>
      </c>
      <c r="CL50" s="102">
        <f>'P&amp;L - Inputs'!CK58</f>
        <v>2126192.6035095309</v>
      </c>
      <c r="CM50" s="102">
        <f>'P&amp;L - Inputs'!CL58</f>
        <v>1834047.920377874</v>
      </c>
      <c r="CN50" s="102">
        <f>'P&amp;L - Inputs'!CM58</f>
        <v>1641282.1538984973</v>
      </c>
      <c r="CO50" s="102">
        <f>'P&amp;L - Inputs'!CN58</f>
        <v>883618.71499930101</v>
      </c>
      <c r="CP50" s="102">
        <f>'P&amp;L - Inputs'!CO58</f>
        <v>1387285.8644441066</v>
      </c>
      <c r="CQ50" s="102">
        <f>'P&amp;L - Inputs'!CP58</f>
        <v>1422235.6915522953</v>
      </c>
      <c r="CR50" s="102">
        <f>'P&amp;L - Inputs'!CQ58</f>
        <v>2697871.9231691756</v>
      </c>
      <c r="CS50" s="102">
        <f>'P&amp;L - Inputs'!CR58</f>
        <v>2553219.2526755724</v>
      </c>
      <c r="CT50" s="102">
        <f>'P&amp;L - Inputs'!CS58</f>
        <v>2656530.3312666621</v>
      </c>
      <c r="CU50" s="102">
        <f>'P&amp;L - Inputs'!CT58</f>
        <v>2325140.0422033817</v>
      </c>
      <c r="CV50" s="102">
        <f>'P&amp;L - Inputs'!CU58</f>
        <v>2410017.5172936879</v>
      </c>
      <c r="CW50" s="102">
        <f>'P&amp;L - Inputs'!CV58</f>
        <v>2264049.7494514543</v>
      </c>
      <c r="CX50" s="102">
        <f>'P&amp;L - Inputs'!CW58</f>
        <v>2265986.6794258719</v>
      </c>
      <c r="CY50" s="102">
        <f>'P&amp;L - Inputs'!CX58</f>
        <v>2106909.9431752539</v>
      </c>
      <c r="CZ50" s="102">
        <f>'P&amp;L - Inputs'!CY58</f>
        <v>1837307.0275110714</v>
      </c>
      <c r="DA50" s="102">
        <f>'P&amp;L - Inputs'!CZ58</f>
        <v>2149455.7407688592</v>
      </c>
      <c r="DB50" s="102">
        <f>'P&amp;L - Inputs'!DA58</f>
        <v>2661799.1931404956</v>
      </c>
      <c r="DC50" s="102">
        <f>'P&amp;L - Inputs'!DB58</f>
        <v>2965995.6260826662</v>
      </c>
      <c r="DD50" s="102">
        <f>'P&amp;L - Inputs'!DC58</f>
        <v>2775603.8570739673</v>
      </c>
      <c r="DE50" s="102">
        <f>'P&amp;L - Inputs'!DD58</f>
        <v>2706798.561789602</v>
      </c>
      <c r="DF50" s="102">
        <f>'P&amp;L - Inputs'!DE58</f>
        <v>2602692.6022019046</v>
      </c>
      <c r="DG50" s="102">
        <f>'P&amp;L - Inputs'!DF58</f>
        <v>2906425.0527542266</v>
      </c>
      <c r="DH50" s="102">
        <f>'P&amp;L - Inputs'!DG58</f>
        <v>3012521.8966171099</v>
      </c>
      <c r="DI50" s="102">
        <f>'P&amp;L - Inputs'!DH58</f>
        <v>2830062.186814317</v>
      </c>
      <c r="DJ50" s="102">
        <f>'P&amp;L - Inputs'!DI58</f>
        <v>2832483.3492823387</v>
      </c>
      <c r="DK50" s="102">
        <f>'P&amp;L - Inputs'!DJ58</f>
        <v>2633637.4289690666</v>
      </c>
      <c r="DL50" s="102">
        <f>'P&amp;L - Inputs'!DK58</f>
        <v>2296633.7843888383</v>
      </c>
      <c r="DM50" s="102">
        <f>'P&amp;L - Inputs'!DL58</f>
        <v>2686819.6759610726</v>
      </c>
      <c r="DN50" s="102">
        <f>'P&amp;L - Inputs'!DM58</f>
        <v>3327248.9914256185</v>
      </c>
      <c r="DO50" s="102">
        <f>'P&amp;L - Inputs'!DN58</f>
        <v>3707494.5326033318</v>
      </c>
      <c r="DP50" s="102">
        <f>'P&amp;L - Inputs'!DO58</f>
        <v>3469504.8213424589</v>
      </c>
      <c r="DQ50" s="102">
        <f>'P&amp;L - Inputs'!DP58</f>
        <v>3383498.2022370021</v>
      </c>
      <c r="DR50" s="104">
        <f>'P&amp;L - Inputs'!DQ58</f>
        <v>3253365.7527523809</v>
      </c>
      <c r="DS50" s="104">
        <f>'P&amp;L - Inputs'!DR58</f>
        <v>3487710.063305072</v>
      </c>
      <c r="DT50" s="104">
        <f>'P&amp;L - Inputs'!DS58</f>
        <v>3615026.2759405314</v>
      </c>
      <c r="DU50" s="104">
        <f>'P&amp;L - Inputs'!DT58</f>
        <v>3396074.6241771802</v>
      </c>
      <c r="DV50" s="104">
        <f>'P&amp;L - Inputs'!DU58</f>
        <v>3398980.0191388065</v>
      </c>
      <c r="DW50" s="104">
        <f>'P&amp;L - Inputs'!DV58</f>
        <v>3160364.9147628797</v>
      </c>
      <c r="DX50" s="104">
        <f>'P&amp;L - Inputs'!DW58</f>
        <v>2755960.5412666057</v>
      </c>
      <c r="DY50" s="104">
        <f>'P&amp;L - Inputs'!DX58</f>
        <v>3224183.6111532869</v>
      </c>
      <c r="DZ50" s="104">
        <f>'P&amp;L - Inputs'!DY58</f>
        <v>3992698.7897107443</v>
      </c>
      <c r="EA50" s="104">
        <f>'P&amp;L - Inputs'!DZ58</f>
        <v>4448993.4391239993</v>
      </c>
      <c r="EB50" s="104">
        <f>'P&amp;L - Inputs'!EA58</f>
        <v>4163405.785610951</v>
      </c>
      <c r="EC50" s="104">
        <f>'P&amp;L - Inputs'!EB58</f>
        <v>4060197.8426844021</v>
      </c>
      <c r="ED50" s="104">
        <f>'P&amp;L - Inputs'!EC58</f>
        <v>3904038.9033028563</v>
      </c>
      <c r="EE50" s="39" t="s">
        <v>1</v>
      </c>
      <c r="EF50" s="68"/>
      <c r="EG50" s="629">
        <f>SUM(BK50:BM50)</f>
        <v>8946895.3816365115</v>
      </c>
      <c r="EH50" s="629">
        <f>SUM(BN50:BP50)</f>
        <v>8642380.4468276817</v>
      </c>
      <c r="EI50" s="629">
        <f>SUM(BQ50:BS50)</f>
        <v>9097338.1875625663</v>
      </c>
      <c r="EJ50" s="629">
        <f>SUM(BT50:BV50)</f>
        <v>8062769.1899234382</v>
      </c>
      <c r="EK50" s="629">
        <f>SUM(BW50:BY50)</f>
        <v>6275349.2602793965</v>
      </c>
      <c r="EL50" s="629">
        <f t="shared" si="330"/>
        <v>2706207.4985123076</v>
      </c>
      <c r="EM50" s="629">
        <f t="shared" si="331"/>
        <v>3697438.5096581061</v>
      </c>
      <c r="EN50" s="629">
        <f t="shared" si="332"/>
        <v>5447703.3054045988</v>
      </c>
      <c r="EO50" s="629">
        <f t="shared" si="333"/>
        <v>5188555.146032868</v>
      </c>
      <c r="EP50" s="629">
        <f t="shared" si="334"/>
        <v>5601522.6777859023</v>
      </c>
      <c r="EQ50" s="629">
        <f t="shared" si="335"/>
        <v>3693140.2709957031</v>
      </c>
      <c r="ER50" s="629">
        <f>SUM(CR50:CT50)</f>
        <v>7907621.5071114097</v>
      </c>
      <c r="ES50" s="629">
        <f t="shared" si="336"/>
        <v>6999207.3089485243</v>
      </c>
      <c r="ET50" s="629">
        <f t="shared" si="337"/>
        <v>6210203.6501121968</v>
      </c>
      <c r="EU50" s="629">
        <f t="shared" si="338"/>
        <v>7777250.5599920209</v>
      </c>
      <c r="EV50" s="629">
        <f t="shared" si="339"/>
        <v>8085095.0210654736</v>
      </c>
      <c r="EW50" s="629">
        <f t="shared" si="340"/>
        <v>8749009.1361856535</v>
      </c>
      <c r="EX50" s="629">
        <f t="shared" si="341"/>
        <v>7762754.5626402441</v>
      </c>
      <c r="EY50" s="629">
        <f t="shared" si="342"/>
        <v>9721563.1999900229</v>
      </c>
      <c r="EZ50" s="629">
        <f t="shared" si="343"/>
        <v>10106368.776331842</v>
      </c>
      <c r="FA50" s="629">
        <f t="shared" si="344"/>
        <v>10498810.963422783</v>
      </c>
      <c r="FB50" s="629">
        <f t="shared" si="345"/>
        <v>9315305.4751682915</v>
      </c>
      <c r="FC50" s="629">
        <f t="shared" si="346"/>
        <v>11665875.83998803</v>
      </c>
      <c r="FD50" s="629">
        <f t="shared" si="347"/>
        <v>12127642.531598208</v>
      </c>
      <c r="FG50" s="70">
        <f t="shared" si="348"/>
        <v>18126698.573854409</v>
      </c>
      <c r="FH50" s="67">
        <f t="shared" si="349"/>
        <v>22390839.60192588</v>
      </c>
      <c r="FI50" s="67">
        <f t="shared" si="350"/>
        <v>29071756.540118217</v>
      </c>
      <c r="FJ50" s="69">
        <f t="shared" si="351"/>
        <v>36339695.675147764</v>
      </c>
      <c r="FK50" s="619">
        <f t="shared" si="352"/>
        <v>43607634.810177311</v>
      </c>
    </row>
    <row r="51" spans="2:167" ht="15.75" hidden="1" customHeight="1" x14ac:dyDescent="0.2">
      <c r="B51" s="49" t="s">
        <v>23</v>
      </c>
      <c r="C51" s="101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3"/>
      <c r="AD51" s="102"/>
      <c r="AE51" s="102"/>
      <c r="AF51" s="102"/>
      <c r="AG51" s="102"/>
      <c r="AH51" s="102"/>
      <c r="AI51" s="102"/>
      <c r="AJ51" s="102"/>
      <c r="AK51" s="103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1"/>
      <c r="BK51" s="102"/>
      <c r="BL51" s="102"/>
      <c r="BM51" s="102"/>
      <c r="BN51" s="205"/>
      <c r="BO51" s="205"/>
      <c r="BP51" s="205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  <c r="DQ51" s="102"/>
      <c r="DR51" s="104"/>
      <c r="DS51" s="104"/>
      <c r="DT51" s="104"/>
      <c r="DU51" s="104"/>
      <c r="DV51" s="104"/>
      <c r="DW51" s="104"/>
      <c r="DX51" s="104"/>
      <c r="DY51" s="104"/>
      <c r="DZ51" s="104"/>
      <c r="EA51" s="104"/>
      <c r="EB51" s="104"/>
      <c r="EC51" s="104"/>
      <c r="ED51" s="104"/>
      <c r="EE51" s="39" t="s">
        <v>1</v>
      </c>
      <c r="EF51" s="68"/>
      <c r="EG51" s="629">
        <v>0</v>
      </c>
      <c r="EH51" s="629">
        <v>0</v>
      </c>
      <c r="EI51" s="629">
        <v>0</v>
      </c>
      <c r="EJ51" s="629">
        <v>0</v>
      </c>
      <c r="EK51" s="629">
        <v>0</v>
      </c>
      <c r="EL51" s="629">
        <f t="shared" si="330"/>
        <v>0</v>
      </c>
      <c r="EM51" s="629">
        <f t="shared" si="331"/>
        <v>0</v>
      </c>
      <c r="EN51" s="629">
        <f t="shared" si="332"/>
        <v>0</v>
      </c>
      <c r="EO51" s="629">
        <f t="shared" si="333"/>
        <v>0</v>
      </c>
      <c r="EP51" s="629">
        <f t="shared" si="334"/>
        <v>0</v>
      </c>
      <c r="EQ51" s="629">
        <f t="shared" si="335"/>
        <v>0</v>
      </c>
      <c r="ER51" s="629">
        <v>0</v>
      </c>
      <c r="ES51" s="629">
        <f t="shared" si="336"/>
        <v>0</v>
      </c>
      <c r="ET51" s="629">
        <f t="shared" si="337"/>
        <v>0</v>
      </c>
      <c r="EU51" s="629">
        <f t="shared" si="338"/>
        <v>0</v>
      </c>
      <c r="EV51" s="629">
        <f t="shared" si="339"/>
        <v>0</v>
      </c>
      <c r="EW51" s="629">
        <f t="shared" si="340"/>
        <v>0</v>
      </c>
      <c r="EX51" s="629">
        <f t="shared" si="341"/>
        <v>0</v>
      </c>
      <c r="EY51" s="629">
        <f t="shared" si="342"/>
        <v>0</v>
      </c>
      <c r="EZ51" s="629">
        <f t="shared" si="343"/>
        <v>0</v>
      </c>
      <c r="FA51" s="629">
        <f t="shared" si="344"/>
        <v>0</v>
      </c>
      <c r="FB51" s="629">
        <f t="shared" si="345"/>
        <v>0</v>
      </c>
      <c r="FC51" s="629">
        <f t="shared" si="346"/>
        <v>0</v>
      </c>
      <c r="FD51" s="629">
        <f t="shared" si="347"/>
        <v>0</v>
      </c>
      <c r="FG51" s="70">
        <f t="shared" si="348"/>
        <v>0</v>
      </c>
      <c r="FH51" s="67">
        <f t="shared" si="349"/>
        <v>0</v>
      </c>
      <c r="FI51" s="67">
        <f t="shared" si="350"/>
        <v>0</v>
      </c>
      <c r="FJ51" s="69">
        <f t="shared" si="351"/>
        <v>0</v>
      </c>
      <c r="FK51" s="619">
        <f t="shared" si="352"/>
        <v>0</v>
      </c>
    </row>
    <row r="52" spans="2:167" ht="15.75" customHeight="1" x14ac:dyDescent="0.2">
      <c r="B52" s="49" t="s">
        <v>24</v>
      </c>
      <c r="C52" s="101">
        <f>'P&amp;L - Inputs'!B59</f>
        <v>3422435</v>
      </c>
      <c r="D52" s="102">
        <f>'P&amp;L - Inputs'!C59</f>
        <v>2914807</v>
      </c>
      <c r="E52" s="102">
        <f>'P&amp;L - Inputs'!D59</f>
        <v>3662274</v>
      </c>
      <c r="F52" s="102">
        <f>'P&amp;L - Inputs'!E59</f>
        <v>5150278</v>
      </c>
      <c r="G52" s="102">
        <f>'P&amp;L - Inputs'!F59</f>
        <v>6714146</v>
      </c>
      <c r="H52" s="102">
        <f>'P&amp;L - Inputs'!G59</f>
        <v>6626896</v>
      </c>
      <c r="I52" s="102">
        <f>'P&amp;L - Inputs'!H59</f>
        <v>8151760</v>
      </c>
      <c r="J52" s="102">
        <f>'P&amp;L - Inputs'!I59</f>
        <v>8256143</v>
      </c>
      <c r="K52" s="102">
        <f>'P&amp;L - Inputs'!J59</f>
        <v>7985592</v>
      </c>
      <c r="L52" s="102">
        <f>'P&amp;L - Inputs'!K59</f>
        <v>8407527</v>
      </c>
      <c r="M52" s="102">
        <f>'P&amp;L - Inputs'!L59</f>
        <v>8382902</v>
      </c>
      <c r="N52" s="102">
        <f>'P&amp;L - Inputs'!M59</f>
        <v>8633978</v>
      </c>
      <c r="O52" s="102">
        <f>'P&amp;L - Inputs'!N59</f>
        <v>8789815</v>
      </c>
      <c r="P52" s="102">
        <f>'P&amp;L - Inputs'!O59</f>
        <v>9263281</v>
      </c>
      <c r="Q52" s="102">
        <f>'P&amp;L - Inputs'!P59</f>
        <v>9580238</v>
      </c>
      <c r="R52" s="102">
        <f>'P&amp;L - Inputs'!Q59</f>
        <v>9429281</v>
      </c>
      <c r="S52" s="102">
        <f>'P&amp;L - Inputs'!R59</f>
        <v>7766738</v>
      </c>
      <c r="T52" s="102">
        <f>'P&amp;L - Inputs'!S59</f>
        <v>8079197</v>
      </c>
      <c r="U52" s="102">
        <f>'P&amp;L - Inputs'!T59</f>
        <v>11529263</v>
      </c>
      <c r="V52" s="102">
        <f>'P&amp;L - Inputs'!U59</f>
        <v>10645700</v>
      </c>
      <c r="W52" s="102">
        <f>'P&amp;L - Inputs'!V59</f>
        <v>7937644.2838005498</v>
      </c>
      <c r="X52" s="102">
        <f>'P&amp;L - Inputs'!W59</f>
        <v>8737671</v>
      </c>
      <c r="Y52" s="102">
        <f>'P&amp;L - Inputs'!X59</f>
        <v>8376783</v>
      </c>
      <c r="Z52" s="102">
        <f>'P&amp;L - Inputs'!Y59</f>
        <v>7136995.5316595007</v>
      </c>
      <c r="AA52" s="102">
        <f>'P&amp;L - Inputs'!Z59</f>
        <v>3937725.8901791237</v>
      </c>
      <c r="AB52" s="102">
        <f>'P&amp;L - Inputs'!AA59</f>
        <v>4795338</v>
      </c>
      <c r="AC52" s="103">
        <f>'P&amp;L - Inputs'!AB59</f>
        <v>3971808</v>
      </c>
      <c r="AD52" s="102">
        <f>'P&amp;L - Inputs'!AC59</f>
        <v>5918712</v>
      </c>
      <c r="AE52" s="102">
        <f>'P&amp;L - Inputs'!AD59</f>
        <v>11934459</v>
      </c>
      <c r="AF52" s="102">
        <f>'P&amp;L - Inputs'!AE59</f>
        <v>9664661</v>
      </c>
      <c r="AG52" s="102">
        <f>'P&amp;L - Inputs'!AF59</f>
        <v>7410024</v>
      </c>
      <c r="AH52" s="102">
        <f>'P&amp;L - Inputs'!AG59</f>
        <v>10041136</v>
      </c>
      <c r="AI52" s="102">
        <f>'P&amp;L - Inputs'!AH59</f>
        <v>12631923</v>
      </c>
      <c r="AJ52" s="102">
        <f>'P&amp;L - Inputs'!AI59</f>
        <v>9949462</v>
      </c>
      <c r="AK52" s="103">
        <f>'P&amp;L - Inputs'!AJ59</f>
        <v>11943458</v>
      </c>
      <c r="AL52" s="102">
        <f>'P&amp;L - Inputs'!AK59</f>
        <v>8771651</v>
      </c>
      <c r="AM52" s="102">
        <f>'P&amp;L - Inputs'!AL59</f>
        <v>7434368</v>
      </c>
      <c r="AN52" s="102">
        <f>'P&amp;L - Inputs'!AM59</f>
        <v>5122339</v>
      </c>
      <c r="AO52" s="102">
        <f>'P&amp;L - Inputs'!AN59</f>
        <v>7932703</v>
      </c>
      <c r="AP52" s="102">
        <f>'P&amp;L - Inputs'!AO59</f>
        <v>11964479.41</v>
      </c>
      <c r="AQ52" s="102">
        <f>'P&amp;L - Inputs'!AP59</f>
        <v>11954590.49</v>
      </c>
      <c r="AR52" s="102">
        <f>'P&amp;L - Inputs'!AQ59</f>
        <v>12054889.976529468</v>
      </c>
      <c r="AS52" s="102">
        <f>'P&amp;L - Inputs'!AR59</f>
        <v>9408189.8100000005</v>
      </c>
      <c r="AT52" s="102">
        <f>'P&amp;L - Inputs'!AS59</f>
        <v>8448871</v>
      </c>
      <c r="AU52" s="102">
        <f>'P&amp;L - Inputs'!AT59</f>
        <v>10202963</v>
      </c>
      <c r="AV52" s="102">
        <f>'P&amp;L - Inputs'!AU59</f>
        <v>9291520</v>
      </c>
      <c r="AW52" s="102">
        <f>'P&amp;L - Inputs'!AV59</f>
        <v>9422988</v>
      </c>
      <c r="AX52" s="102">
        <f>'P&amp;L - Inputs'!AW59</f>
        <v>9292583</v>
      </c>
      <c r="AY52" s="102">
        <f>'P&amp;L - Inputs'!AX59</f>
        <v>9130696</v>
      </c>
      <c r="AZ52" s="102">
        <f>'P&amp;L - Inputs'!AY59</f>
        <v>9501674</v>
      </c>
      <c r="BA52" s="102">
        <f>'P&amp;L - Inputs'!AZ59</f>
        <v>8709700</v>
      </c>
      <c r="BB52" s="102">
        <f>'P&amp;L - Inputs'!BA59</f>
        <v>7800901.1900682813</v>
      </c>
      <c r="BC52" s="102">
        <f>'P&amp;L - Inputs'!BB59</f>
        <v>10632737.437038708</v>
      </c>
      <c r="BD52" s="102">
        <f>'P&amp;L - Inputs'!BC59</f>
        <v>18578311.0356015</v>
      </c>
      <c r="BE52" s="102">
        <f>'P&amp;L - Inputs'!BD59</f>
        <v>22249422.341526981</v>
      </c>
      <c r="BF52" s="102">
        <f>'P&amp;L - Inputs'!BE59</f>
        <v>15129867.4551173</v>
      </c>
      <c r="BG52" s="102">
        <f>'P&amp;L - Inputs'!BF59</f>
        <v>15311502.671344608</v>
      </c>
      <c r="BH52" s="102">
        <f>'P&amp;L - Inputs'!BG59</f>
        <v>11557837.835445853</v>
      </c>
      <c r="BI52" s="102">
        <f>'P&amp;L - Inputs'!BH59</f>
        <v>11038809.037002793</v>
      </c>
      <c r="BJ52" s="101">
        <f>'P&amp;L - Inputs'!BI59</f>
        <v>11688790.393500876</v>
      </c>
      <c r="BK52" s="102">
        <f>'P&amp;L - Inputs'!BJ59</f>
        <v>3845614.2748778695</v>
      </c>
      <c r="BL52" s="102">
        <f>'P&amp;L - Inputs'!BK59</f>
        <v>3323608.5523411175</v>
      </c>
      <c r="BM52" s="102">
        <f>'P&amp;L - Inputs'!BL59</f>
        <v>4780338.1375299785</v>
      </c>
      <c r="BN52" s="205">
        <f>'P&amp;L - Inputs'!BM59</f>
        <v>5505816.072235995</v>
      </c>
      <c r="BO52" s="205">
        <f>'P&amp;L - Inputs'!BN59</f>
        <v>6243792.8063933393</v>
      </c>
      <c r="BP52" s="205">
        <f>'P&amp;L - Inputs'!BO59</f>
        <v>5078518.9318553098</v>
      </c>
      <c r="BQ52" s="102">
        <f>'P&amp;L - Inputs'!BP59</f>
        <v>4612320.3988089263</v>
      </c>
      <c r="BR52" s="102">
        <f>'P&amp;L - Inputs'!BQ59</f>
        <v>5459439.2546405261</v>
      </c>
      <c r="BS52" s="102">
        <f>'P&amp;L - Inputs'!BR59</f>
        <v>3611799.9913974488</v>
      </c>
      <c r="BT52" s="102">
        <f>'P&amp;L - Inputs'!BS59</f>
        <v>3624572.4923859863</v>
      </c>
      <c r="BU52" s="102">
        <f>'P&amp;L - Inputs'!BT59</f>
        <v>4307758</v>
      </c>
      <c r="BV52" s="102">
        <f>'P&amp;L - Inputs'!BU59</f>
        <v>3522926.9566022935</v>
      </c>
      <c r="BW52" s="102">
        <f>'P&amp;L - Inputs'!BV59</f>
        <v>4021821.9470596127</v>
      </c>
      <c r="BX52" s="102">
        <f>'P&amp;L - Inputs'!BW59</f>
        <v>4122464.0448809071</v>
      </c>
      <c r="BY52" s="102">
        <f>'P&amp;L - Inputs'!BX59</f>
        <v>4038503.0904240035</v>
      </c>
      <c r="BZ52" s="102">
        <f>'P&amp;L - Inputs'!BY59</f>
        <v>4339648.3816198772</v>
      </c>
      <c r="CA52" s="102">
        <f>'P&amp;L - Inputs'!BZ59</f>
        <v>3948798.2360908752</v>
      </c>
      <c r="CB52" s="102">
        <f>'P&amp;L - Inputs'!CA59</f>
        <v>3338100.7649191711</v>
      </c>
      <c r="CC52" s="102">
        <f>'P&amp;L - Inputs'!CB59</f>
        <v>3879857.2847148613</v>
      </c>
      <c r="CD52" s="102">
        <f>'P&amp;L - Inputs'!CC59</f>
        <v>4236585.2372152116</v>
      </c>
      <c r="CE52" s="102">
        <f>'P&amp;L - Inputs'!CD59</f>
        <v>4315045.3489897465</v>
      </c>
      <c r="CF52" s="102">
        <f>'P&amp;L - Inputs'!CE59</f>
        <v>4595317.3868097803</v>
      </c>
      <c r="CG52" s="102">
        <f>'P&amp;L - Inputs'!CF59</f>
        <v>5473914.9455419024</v>
      </c>
      <c r="CH52" s="102">
        <f>'P&amp;L - Inputs'!CG59</f>
        <v>5554063.0112679703</v>
      </c>
      <c r="CI52" s="102">
        <f>'P&amp;L - Inputs'!CH59</f>
        <v>5366407.2704677451</v>
      </c>
      <c r="CJ52" s="102">
        <f>'P&amp;L - Inputs'!CI59</f>
        <v>5955124.3177972808</v>
      </c>
      <c r="CK52" s="102">
        <f>'P&amp;L - Inputs'!CJ59</f>
        <v>5550706.2129596258</v>
      </c>
      <c r="CL52" s="102">
        <f>'P&amp;L - Inputs'!CK59</f>
        <v>5905972.5630077496</v>
      </c>
      <c r="CM52" s="102">
        <f>'P&amp;L - Inputs'!CL59</f>
        <v>6033888.6285993839</v>
      </c>
      <c r="CN52" s="102">
        <f>'P&amp;L - Inputs'!CM59</f>
        <v>5339485.102492122</v>
      </c>
      <c r="CO52" s="102">
        <f>'P&amp;L - Inputs'!CN59</f>
        <v>6063398.8994504102</v>
      </c>
      <c r="CP52" s="102">
        <f>'P&amp;L - Inputs'!CO59</f>
        <v>7280267.8578792587</v>
      </c>
      <c r="CQ52" s="102">
        <f>'P&amp;L - Inputs'!CP59</f>
        <v>10795380.171852168</v>
      </c>
      <c r="CR52" s="102">
        <f>'P&amp;L - Inputs'!CQ59</f>
        <v>12007441.040194355</v>
      </c>
      <c r="CS52" s="102">
        <f>'P&amp;L - Inputs'!CR59</f>
        <v>12389129.312202752</v>
      </c>
      <c r="CT52" s="102">
        <f>'P&amp;L - Inputs'!CS59</f>
        <v>11761423.573815908</v>
      </c>
      <c r="CU52" s="102">
        <f>'P&amp;L - Inputs'!CT59</f>
        <v>16319921.98218495</v>
      </c>
      <c r="CV52" s="102">
        <f>'P&amp;L - Inputs'!CU59</f>
        <v>16915668.365790293</v>
      </c>
      <c r="CW52" s="102">
        <f>'P&amp;L - Inputs'!CV59</f>
        <v>15891135.417296791</v>
      </c>
      <c r="CX52" s="102">
        <f>'P&amp;L - Inputs'!CW59</f>
        <v>15904730.53221189</v>
      </c>
      <c r="CY52" s="102">
        <f>'P&amp;L - Inputs'!CX59</f>
        <v>14788187.064864207</v>
      </c>
      <c r="CZ52" s="102">
        <f>'P&amp;L - Inputs'!CY59</f>
        <v>12895871.561304452</v>
      </c>
      <c r="DA52" s="102">
        <f>'P&amp;L - Inputs'!CZ59</f>
        <v>15086811.700281644</v>
      </c>
      <c r="DB52" s="102">
        <f>'P&amp;L - Inputs'!DA59</f>
        <v>18682898.395715632</v>
      </c>
      <c r="DC52" s="102">
        <f>'P&amp;L - Inputs'!DB59</f>
        <v>20818022.286219314</v>
      </c>
      <c r="DD52" s="102">
        <f>'P&amp;L - Inputs'!DC59</f>
        <v>19481681.782045778</v>
      </c>
      <c r="DE52" s="102">
        <f>'P&amp;L - Inputs'!DD59</f>
        <v>18998744.397363372</v>
      </c>
      <c r="DF52" s="102">
        <f>'P&amp;L - Inputs'!DE59</f>
        <v>18268035.232533157</v>
      </c>
      <c r="DG52" s="102">
        <f>'P&amp;L - Inputs'!DF59</f>
        <v>20399902.477731183</v>
      </c>
      <c r="DH52" s="102">
        <f>'P&amp;L - Inputs'!DG59</f>
        <v>21144585.457237866</v>
      </c>
      <c r="DI52" s="102">
        <f>'P&amp;L - Inputs'!DH59</f>
        <v>19863919.271620985</v>
      </c>
      <c r="DJ52" s="102">
        <f>'P&amp;L - Inputs'!DI59</f>
        <v>19880913.165264852</v>
      </c>
      <c r="DK52" s="102">
        <f>'P&amp;L - Inputs'!DJ59</f>
        <v>18485233.831080254</v>
      </c>
      <c r="DL52" s="102">
        <f>'P&amp;L - Inputs'!DK59</f>
        <v>16119839.451630557</v>
      </c>
      <c r="DM52" s="102">
        <f>'P&amp;L - Inputs'!DL59</f>
        <v>18858514.625352047</v>
      </c>
      <c r="DN52" s="102">
        <f>'P&amp;L - Inputs'!DM59</f>
        <v>23353622.994644534</v>
      </c>
      <c r="DO52" s="102">
        <f>'P&amp;L - Inputs'!DN59</f>
        <v>26022527.857774135</v>
      </c>
      <c r="DP52" s="102">
        <f>'P&amp;L - Inputs'!DO59</f>
        <v>24352102.22755722</v>
      </c>
      <c r="DQ52" s="102">
        <f>'P&amp;L - Inputs'!DP59</f>
        <v>23748430.49670421</v>
      </c>
      <c r="DR52" s="104">
        <f>'P&amp;L - Inputs'!DQ59</f>
        <v>22835044.040666446</v>
      </c>
      <c r="DS52" s="104">
        <f>'P&amp;L - Inputs'!DR59</f>
        <v>24479882.97327742</v>
      </c>
      <c r="DT52" s="104">
        <f>'P&amp;L - Inputs'!DS59</f>
        <v>25373502.548685439</v>
      </c>
      <c r="DU52" s="104">
        <f>'P&amp;L - Inputs'!DT59</f>
        <v>23836703.125945181</v>
      </c>
      <c r="DV52" s="104">
        <f>'P&amp;L - Inputs'!DU59</f>
        <v>23857095.798317824</v>
      </c>
      <c r="DW52" s="104">
        <f>'P&amp;L - Inputs'!DV59</f>
        <v>22182280.597296305</v>
      </c>
      <c r="DX52" s="104">
        <f>'P&amp;L - Inputs'!DW59</f>
        <v>19343807.341956668</v>
      </c>
      <c r="DY52" s="104">
        <f>'P&amp;L - Inputs'!DX59</f>
        <v>22630217.550422456</v>
      </c>
      <c r="DZ52" s="104">
        <f>'P&amp;L - Inputs'!DY59</f>
        <v>28024347.593573451</v>
      </c>
      <c r="EA52" s="104">
        <f>'P&amp;L - Inputs'!DZ59</f>
        <v>31227033.429328967</v>
      </c>
      <c r="EB52" s="104">
        <f>'P&amp;L - Inputs'!EA59</f>
        <v>29222522.673068665</v>
      </c>
      <c r="EC52" s="104">
        <f>'P&amp;L - Inputs'!EB59</f>
        <v>28498116.596045051</v>
      </c>
      <c r="ED52" s="104">
        <f>'P&amp;L - Inputs'!EC59</f>
        <v>27402052.848799732</v>
      </c>
      <c r="EE52" s="39" t="s">
        <v>1</v>
      </c>
      <c r="EF52" s="68"/>
      <c r="EG52" s="629">
        <f>SUM(BK52:BM52)</f>
        <v>11949560.964748966</v>
      </c>
      <c r="EH52" s="629">
        <f>SUM(BN52:BP52)</f>
        <v>16828127.810484644</v>
      </c>
      <c r="EI52" s="629">
        <f>SUM(BQ52:BS52)</f>
        <v>13683559.644846901</v>
      </c>
      <c r="EJ52" s="629">
        <f>SUM(BT52:BV52)</f>
        <v>11455257.448988279</v>
      </c>
      <c r="EK52" s="629">
        <f>SUM(BW52:BY52)</f>
        <v>12182789.082364524</v>
      </c>
      <c r="EL52" s="629">
        <f t="shared" si="330"/>
        <v>11626547.382629924</v>
      </c>
      <c r="EM52" s="629">
        <f t="shared" si="331"/>
        <v>12431487.87091982</v>
      </c>
      <c r="EN52" s="629">
        <f t="shared" si="332"/>
        <v>15623295.343619652</v>
      </c>
      <c r="EO52" s="629">
        <f t="shared" si="333"/>
        <v>16872237.801224653</v>
      </c>
      <c r="EP52" s="629">
        <f t="shared" si="334"/>
        <v>17279346.294099256</v>
      </c>
      <c r="EQ52" s="629">
        <f t="shared" si="335"/>
        <v>24139046.929181837</v>
      </c>
      <c r="ER52" s="629">
        <f>SUM(CR52:CT52)</f>
        <v>36157993.926213011</v>
      </c>
      <c r="ES52" s="629">
        <f t="shared" si="336"/>
        <v>49126725.765272036</v>
      </c>
      <c r="ET52" s="629">
        <f t="shared" si="337"/>
        <v>43588789.158380546</v>
      </c>
      <c r="EU52" s="629">
        <f t="shared" si="338"/>
        <v>54587732.382216588</v>
      </c>
      <c r="EV52" s="629">
        <f t="shared" si="339"/>
        <v>56748461.411942303</v>
      </c>
      <c r="EW52" s="629">
        <f t="shared" si="340"/>
        <v>61408407.206590042</v>
      </c>
      <c r="EX52" s="629">
        <f t="shared" si="341"/>
        <v>54485986.447975658</v>
      </c>
      <c r="EY52" s="629">
        <f t="shared" si="342"/>
        <v>68234665.477770716</v>
      </c>
      <c r="EZ52" s="629">
        <f t="shared" si="343"/>
        <v>70935576.764927879</v>
      </c>
      <c r="FA52" s="629">
        <f t="shared" si="344"/>
        <v>73690088.647908032</v>
      </c>
      <c r="FB52" s="629">
        <f t="shared" si="345"/>
        <v>65383183.7375708</v>
      </c>
      <c r="FC52" s="629">
        <f t="shared" si="346"/>
        <v>81881598.573324874</v>
      </c>
      <c r="FD52" s="629">
        <f t="shared" si="347"/>
        <v>85122692.117913455</v>
      </c>
      <c r="FG52" s="70">
        <f t="shared" si="348"/>
        <v>51864119.679533921</v>
      </c>
      <c r="FH52" s="67">
        <f t="shared" si="349"/>
        <v>94448624.95071876</v>
      </c>
      <c r="FI52" s="67">
        <f t="shared" si="350"/>
        <v>204051708.71781147</v>
      </c>
      <c r="FJ52" s="69">
        <f t="shared" si="351"/>
        <v>255064635.8972643</v>
      </c>
      <c r="FK52" s="619">
        <f t="shared" si="352"/>
        <v>306077563.07671714</v>
      </c>
    </row>
    <row r="53" spans="2:167" ht="15.75" customHeight="1" x14ac:dyDescent="0.2">
      <c r="B53" s="49" t="s">
        <v>25</v>
      </c>
      <c r="C53" s="101">
        <f>'P&amp;L - Inputs'!B60</f>
        <v>0</v>
      </c>
      <c r="D53" s="102">
        <f>'P&amp;L - Inputs'!C60</f>
        <v>0</v>
      </c>
      <c r="E53" s="102">
        <f>'P&amp;L - Inputs'!D60</f>
        <v>0</v>
      </c>
      <c r="F53" s="102">
        <f>'P&amp;L - Inputs'!E60</f>
        <v>0</v>
      </c>
      <c r="G53" s="102">
        <f>'P&amp;L - Inputs'!F60</f>
        <v>0</v>
      </c>
      <c r="H53" s="102">
        <f>'P&amp;L - Inputs'!G60</f>
        <v>0</v>
      </c>
      <c r="I53" s="102">
        <f>'P&amp;L - Inputs'!H60</f>
        <v>0</v>
      </c>
      <c r="J53" s="102">
        <f>'P&amp;L - Inputs'!I60</f>
        <v>0</v>
      </c>
      <c r="K53" s="102">
        <f>'P&amp;L - Inputs'!J60</f>
        <v>0</v>
      </c>
      <c r="L53" s="102">
        <f>'P&amp;L - Inputs'!K60</f>
        <v>0</v>
      </c>
      <c r="M53" s="102">
        <f>'P&amp;L - Inputs'!L60</f>
        <v>0</v>
      </c>
      <c r="N53" s="102">
        <f>'P&amp;L - Inputs'!M60</f>
        <v>0</v>
      </c>
      <c r="O53" s="102">
        <f>'P&amp;L - Inputs'!N60</f>
        <v>0</v>
      </c>
      <c r="P53" s="102">
        <f>'P&amp;L - Inputs'!O60</f>
        <v>0</v>
      </c>
      <c r="Q53" s="102">
        <f>'P&amp;L - Inputs'!P60</f>
        <v>0</v>
      </c>
      <c r="R53" s="102">
        <f>'P&amp;L - Inputs'!Q60</f>
        <v>0</v>
      </c>
      <c r="S53" s="102">
        <f>'P&amp;L - Inputs'!R60</f>
        <v>0</v>
      </c>
      <c r="T53" s="102">
        <f>'P&amp;L - Inputs'!S60</f>
        <v>0</v>
      </c>
      <c r="U53" s="102">
        <f>'P&amp;L - Inputs'!T60</f>
        <v>0</v>
      </c>
      <c r="V53" s="102">
        <f>'P&amp;L - Inputs'!U60</f>
        <v>0</v>
      </c>
      <c r="W53" s="102">
        <f>'P&amp;L - Inputs'!V60</f>
        <v>0</v>
      </c>
      <c r="X53" s="102">
        <f>'P&amp;L - Inputs'!W60</f>
        <v>0</v>
      </c>
      <c r="Y53" s="102">
        <f>'P&amp;L - Inputs'!X60</f>
        <v>0</v>
      </c>
      <c r="Z53" s="102">
        <f>'P&amp;L - Inputs'!Y60</f>
        <v>0</v>
      </c>
      <c r="AA53" s="102">
        <f>'P&amp;L - Inputs'!Z60</f>
        <v>0</v>
      </c>
      <c r="AB53" s="102">
        <f>'P&amp;L - Inputs'!AA60</f>
        <v>0</v>
      </c>
      <c r="AC53" s="103">
        <f>'P&amp;L - Inputs'!AB60</f>
        <v>0</v>
      </c>
      <c r="AD53" s="102">
        <f>'P&amp;L - Inputs'!AC60</f>
        <v>0</v>
      </c>
      <c r="AE53" s="102">
        <f>'P&amp;L - Inputs'!AD60</f>
        <v>0</v>
      </c>
      <c r="AF53" s="102">
        <f>'P&amp;L - Inputs'!AE60</f>
        <v>0</v>
      </c>
      <c r="AG53" s="102">
        <f>'P&amp;L - Inputs'!AF60</f>
        <v>0</v>
      </c>
      <c r="AH53" s="102">
        <f>'P&amp;L - Inputs'!AG60</f>
        <v>0</v>
      </c>
      <c r="AI53" s="102">
        <f>'P&amp;L - Inputs'!AH60</f>
        <v>0</v>
      </c>
      <c r="AJ53" s="102">
        <f>'P&amp;L - Inputs'!AI60</f>
        <v>0</v>
      </c>
      <c r="AK53" s="103">
        <f>'P&amp;L - Inputs'!AJ60</f>
        <v>0</v>
      </c>
      <c r="AL53" s="102">
        <f>'P&amp;L - Inputs'!AK60</f>
        <v>0</v>
      </c>
      <c r="AM53" s="102">
        <f>'P&amp;L - Inputs'!AL60</f>
        <v>0</v>
      </c>
      <c r="AN53" s="102">
        <f>'P&amp;L - Inputs'!AM60</f>
        <v>0</v>
      </c>
      <c r="AO53" s="102">
        <f>'P&amp;L - Inputs'!AN60</f>
        <v>0</v>
      </c>
      <c r="AP53" s="102">
        <f>'P&amp;L - Inputs'!AO60</f>
        <v>0</v>
      </c>
      <c r="AQ53" s="102">
        <f>'P&amp;L - Inputs'!AP60</f>
        <v>0</v>
      </c>
      <c r="AR53" s="102">
        <f>'P&amp;L - Inputs'!AQ60</f>
        <v>0</v>
      </c>
      <c r="AS53" s="102">
        <f>'P&amp;L - Inputs'!AR60</f>
        <v>0</v>
      </c>
      <c r="AT53" s="102">
        <f>'P&amp;L - Inputs'!AS60</f>
        <v>0</v>
      </c>
      <c r="AU53" s="102">
        <f>'P&amp;L - Inputs'!AT60</f>
        <v>0</v>
      </c>
      <c r="AV53" s="102">
        <f>'P&amp;L - Inputs'!AU60</f>
        <v>0</v>
      </c>
      <c r="AW53" s="102">
        <f>'P&amp;L - Inputs'!AV60</f>
        <v>0</v>
      </c>
      <c r="AX53" s="102">
        <f>'P&amp;L - Inputs'!AW60</f>
        <v>0</v>
      </c>
      <c r="AY53" s="102">
        <f>'P&amp;L - Inputs'!AX60</f>
        <v>0</v>
      </c>
      <c r="AZ53" s="102">
        <f>'P&amp;L - Inputs'!AY60</f>
        <v>0</v>
      </c>
      <c r="BA53" s="102">
        <f>'P&amp;L - Inputs'!AZ60</f>
        <v>0</v>
      </c>
      <c r="BB53" s="102">
        <f>'P&amp;L - Inputs'!BA60</f>
        <v>0</v>
      </c>
      <c r="BC53" s="102">
        <f>'P&amp;L - Inputs'!BB60</f>
        <v>0</v>
      </c>
      <c r="BD53" s="102">
        <f>'P&amp;L - Inputs'!BC60</f>
        <v>0</v>
      </c>
      <c r="BE53" s="102">
        <f>'P&amp;L - Inputs'!BD60</f>
        <v>0</v>
      </c>
      <c r="BF53" s="102">
        <f>'P&amp;L - Inputs'!BE60</f>
        <v>0</v>
      </c>
      <c r="BG53" s="102">
        <f>'P&amp;L - Inputs'!BF60</f>
        <v>0</v>
      </c>
      <c r="BH53" s="102">
        <f>'P&amp;L - Inputs'!BG60</f>
        <v>0</v>
      </c>
      <c r="BI53" s="102">
        <f>'P&amp;L - Inputs'!BH60</f>
        <v>0</v>
      </c>
      <c r="BJ53" s="101">
        <f>'P&amp;L - Inputs'!BI60</f>
        <v>0</v>
      </c>
      <c r="BK53" s="102">
        <f>'P&amp;L - Inputs'!BJ60</f>
        <v>0</v>
      </c>
      <c r="BL53" s="102">
        <f>'P&amp;L - Inputs'!BK60</f>
        <v>0</v>
      </c>
      <c r="BM53" s="102">
        <f>'P&amp;L - Inputs'!BL60</f>
        <v>0</v>
      </c>
      <c r="BN53" s="205">
        <f>'P&amp;L - Inputs'!BM60</f>
        <v>0</v>
      </c>
      <c r="BO53" s="205">
        <f>'P&amp;L - Inputs'!BN60</f>
        <v>0</v>
      </c>
      <c r="BP53" s="205">
        <f>'P&amp;L - Inputs'!BO60</f>
        <v>0</v>
      </c>
      <c r="BQ53" s="102">
        <f>'P&amp;L - Inputs'!BP60</f>
        <v>0</v>
      </c>
      <c r="BR53" s="102">
        <f>'P&amp;L - Inputs'!BQ60</f>
        <v>0</v>
      </c>
      <c r="BS53" s="102">
        <f>'P&amp;L - Inputs'!BR60</f>
        <v>0</v>
      </c>
      <c r="BT53" s="102">
        <f>'P&amp;L - Inputs'!BS60</f>
        <v>0</v>
      </c>
      <c r="BU53" s="102">
        <f>'P&amp;L - Inputs'!BT60</f>
        <v>0</v>
      </c>
      <c r="BV53" s="102">
        <f>'P&amp;L - Inputs'!BU60</f>
        <v>0</v>
      </c>
      <c r="BW53" s="102">
        <f>'P&amp;L - Inputs'!BV60</f>
        <v>926511.77730033197</v>
      </c>
      <c r="BX53" s="102">
        <f>'P&amp;L - Inputs'!BW60</f>
        <v>985447.92883990821</v>
      </c>
      <c r="BY53" s="102">
        <f>'P&amp;L - Inputs'!BX60</f>
        <v>884594.42685217515</v>
      </c>
      <c r="BZ53" s="102">
        <f>'P&amp;L - Inputs'!BY60</f>
        <v>769498.25131274527</v>
      </c>
      <c r="CA53" s="102">
        <f>'P&amp;L - Inputs'!BZ60</f>
        <v>578308.39139097638</v>
      </c>
      <c r="CB53" s="102">
        <f>'P&amp;L - Inputs'!CA60</f>
        <v>508720.83504091157</v>
      </c>
      <c r="CC53" s="102">
        <f>'P&amp;L - Inputs'!CB60</f>
        <v>1080733.8764967942</v>
      </c>
      <c r="CD53" s="102">
        <f>'P&amp;L - Inputs'!CC60</f>
        <v>1354401.4502540503</v>
      </c>
      <c r="CE53" s="102">
        <f>'P&amp;L - Inputs'!CD60</f>
        <v>1216185.4827346262</v>
      </c>
      <c r="CF53" s="102">
        <f>'P&amp;L - Inputs'!CE60</f>
        <v>1064303.578818477</v>
      </c>
      <c r="CG53" s="102">
        <f>'P&amp;L - Inputs'!CF60</f>
        <v>1047213.8846590639</v>
      </c>
      <c r="CH53" s="102">
        <f>'P&amp;L - Inputs'!CG60</f>
        <v>1150390.8070953039</v>
      </c>
      <c r="CI53" s="102">
        <f>'P&amp;L - Inputs'!CH60</f>
        <v>1064764.5795426285</v>
      </c>
      <c r="CJ53" s="102">
        <f>'P&amp;L - Inputs'!CI60</f>
        <v>2019403.0894595522</v>
      </c>
      <c r="CK53" s="102">
        <f>'P&amp;L - Inputs'!CJ60</f>
        <v>1546811.495802779</v>
      </c>
      <c r="CL53" s="102">
        <f>'P&amp;L - Inputs'!CK60</f>
        <v>2127567.3964813398</v>
      </c>
      <c r="CM53" s="102">
        <f>'P&amp;L - Inputs'!CL60</f>
        <v>2010361.3966778442</v>
      </c>
      <c r="CN53" s="102">
        <f>'P&amp;L - Inputs'!CM60</f>
        <v>1539473.6181066807</v>
      </c>
      <c r="CO53" s="102">
        <f>'P&amp;L - Inputs'!CN60</f>
        <v>2297714.9105634214</v>
      </c>
      <c r="CP53" s="102">
        <f>'P&amp;L - Inputs'!CO60</f>
        <v>2522735.3596795509</v>
      </c>
      <c r="CQ53" s="102">
        <f>'P&amp;L - Inputs'!CP60</f>
        <v>2281653.6961593525</v>
      </c>
      <c r="CR53" s="102">
        <f>'P&amp;L - Inputs'!CQ60</f>
        <v>2426025.2879234655</v>
      </c>
      <c r="CS53" s="102">
        <f>'P&amp;L - Inputs'!CR60</f>
        <v>2704205.990958855</v>
      </c>
      <c r="CT53" s="102">
        <f>'P&amp;L - Inputs'!CS60</f>
        <v>2318846.4765484338</v>
      </c>
      <c r="CU53" s="102">
        <f>'P&amp;L - Inputs'!CT60</f>
        <v>2549391.9738484425</v>
      </c>
      <c r="CV53" s="102">
        <f>'P&amp;L - Inputs'!CU60</f>
        <v>2642455.5957499831</v>
      </c>
      <c r="CW53" s="102">
        <f>'P&amp;L - Inputs'!CV60</f>
        <v>2482409.7279643505</v>
      </c>
      <c r="CX53" s="102">
        <f>'P&amp;L - Inputs'!CW60</f>
        <v>2484533.4683159241</v>
      </c>
      <c r="CY53" s="102">
        <f>'P&amp;L - Inputs'!CX60</f>
        <v>2310114.3162380909</v>
      </c>
      <c r="CZ53" s="102">
        <f>'P&amp;L - Inputs'!CY60</f>
        <v>2014509.1067260331</v>
      </c>
      <c r="DA53" s="102">
        <f>'P&amp;L - Inputs'!CZ60</f>
        <v>2356763.512818668</v>
      </c>
      <c r="DB53" s="102">
        <f>'P&amp;L - Inputs'!DA60</f>
        <v>2918520.7668429404</v>
      </c>
      <c r="DC53" s="102">
        <f>'P&amp;L - Inputs'!DB60</f>
        <v>3252055.9219474862</v>
      </c>
      <c r="DD53" s="102">
        <f>'P&amp;L - Inputs'!DC60</f>
        <v>3043301.5075950422</v>
      </c>
      <c r="DE53" s="102">
        <f>'P&amp;L - Inputs'!DD60</f>
        <v>2967860.1731496528</v>
      </c>
      <c r="DF53" s="102">
        <f>'P&amp;L - Inputs'!DE60</f>
        <v>2853713.5441357903</v>
      </c>
      <c r="DG53" s="102">
        <f>'P&amp;L - Inputs'!DF60</f>
        <v>3186739.9673105525</v>
      </c>
      <c r="DH53" s="102">
        <f>'P&amp;L - Inputs'!DG60</f>
        <v>3303069.494687479</v>
      </c>
      <c r="DI53" s="102">
        <f>'P&amp;L - Inputs'!DH60</f>
        <v>3103012.1599554373</v>
      </c>
      <c r="DJ53" s="102">
        <f>'P&amp;L - Inputs'!DI60</f>
        <v>3105666.8353949036</v>
      </c>
      <c r="DK53" s="102">
        <f>'P&amp;L - Inputs'!DJ60</f>
        <v>2887642.895297613</v>
      </c>
      <c r="DL53" s="102">
        <f>'P&amp;L - Inputs'!DK60</f>
        <v>2518136.3834075402</v>
      </c>
      <c r="DM53" s="102">
        <f>'P&amp;L - Inputs'!DL60</f>
        <v>2945954.3910233337</v>
      </c>
      <c r="DN53" s="102">
        <f>'P&amp;L - Inputs'!DM60</f>
        <v>3648150.9585536746</v>
      </c>
      <c r="DO53" s="102">
        <f>'P&amp;L - Inputs'!DN60</f>
        <v>4065069.902434357</v>
      </c>
      <c r="DP53" s="102">
        <f>'P&amp;L - Inputs'!DO60</f>
        <v>3804126.8844938027</v>
      </c>
      <c r="DQ53" s="102">
        <f>'P&amp;L - Inputs'!DP60</f>
        <v>3709825.216437065</v>
      </c>
      <c r="DR53" s="104">
        <f>'P&amp;L - Inputs'!DQ60</f>
        <v>3567141.9301697379</v>
      </c>
      <c r="DS53" s="104">
        <f>'P&amp;L - Inputs'!DR60</f>
        <v>3824087.9607726634</v>
      </c>
      <c r="DT53" s="104">
        <f>'P&amp;L - Inputs'!DS60</f>
        <v>3963683.3936249744</v>
      </c>
      <c r="DU53" s="104">
        <f>'P&amp;L - Inputs'!DT60</f>
        <v>3723614.5919465246</v>
      </c>
      <c r="DV53" s="104">
        <f>'P&amp;L - Inputs'!DU60</f>
        <v>3726800.2024738844</v>
      </c>
      <c r="DW53" s="104">
        <f>'P&amp;L - Inputs'!DV60</f>
        <v>3465171.4743571347</v>
      </c>
      <c r="DX53" s="104">
        <f>'P&amp;L - Inputs'!DW60</f>
        <v>3021763.6600890481</v>
      </c>
      <c r="DY53" s="104">
        <f>'P&amp;L - Inputs'!DX60</f>
        <v>3535145.2692280002</v>
      </c>
      <c r="DZ53" s="104">
        <f>'P&amp;L - Inputs'!DY60</f>
        <v>4377781.1502644112</v>
      </c>
      <c r="EA53" s="104">
        <f>'P&amp;L - Inputs'!DZ60</f>
        <v>4878083.8829212291</v>
      </c>
      <c r="EB53" s="104">
        <f>'P&amp;L - Inputs'!EA60</f>
        <v>4564952.2613925636</v>
      </c>
      <c r="EC53" s="104">
        <f>'P&amp;L - Inputs'!EB60</f>
        <v>4451790.2597244782</v>
      </c>
      <c r="ED53" s="104">
        <f>'P&amp;L - Inputs'!EC60</f>
        <v>4280570.3162036845</v>
      </c>
      <c r="EE53" s="39" t="s">
        <v>1</v>
      </c>
      <c r="EF53" s="68"/>
      <c r="EG53" s="629">
        <f>SUM(BK53:BM53)</f>
        <v>0</v>
      </c>
      <c r="EH53" s="629">
        <f>SUM(BN53:BP53)</f>
        <v>0</v>
      </c>
      <c r="EI53" s="629">
        <f>SUM(BQ53:BS53)</f>
        <v>0</v>
      </c>
      <c r="EJ53" s="629">
        <f>SUM(BT53:BV53)</f>
        <v>0</v>
      </c>
      <c r="EK53" s="629">
        <f>SUM(BW53:BY53)</f>
        <v>2796554.1329924152</v>
      </c>
      <c r="EL53" s="629">
        <f t="shared" si="330"/>
        <v>1856527.4777446333</v>
      </c>
      <c r="EM53" s="629">
        <f t="shared" si="331"/>
        <v>3651320.8094854709</v>
      </c>
      <c r="EN53" s="629">
        <f t="shared" si="332"/>
        <v>3261908.2705728449</v>
      </c>
      <c r="EO53" s="629">
        <f t="shared" si="333"/>
        <v>4630979.1648049597</v>
      </c>
      <c r="EP53" s="629">
        <f t="shared" si="334"/>
        <v>5677402.411265865</v>
      </c>
      <c r="EQ53" s="629">
        <f t="shared" si="335"/>
        <v>7102103.9664023248</v>
      </c>
      <c r="ER53" s="629">
        <f>SUM(CR53:CT53)</f>
        <v>7449077.7554307543</v>
      </c>
      <c r="ES53" s="629">
        <f t="shared" si="336"/>
        <v>7674257.2975627761</v>
      </c>
      <c r="ET53" s="629">
        <f t="shared" si="337"/>
        <v>6809156.8912800476</v>
      </c>
      <c r="EU53" s="629">
        <f t="shared" si="338"/>
        <v>8527340.2016090956</v>
      </c>
      <c r="EV53" s="629">
        <f t="shared" si="339"/>
        <v>8864875.2248804849</v>
      </c>
      <c r="EW53" s="629">
        <f t="shared" si="340"/>
        <v>9592821.6219534688</v>
      </c>
      <c r="EX53" s="629">
        <f t="shared" si="341"/>
        <v>8511446.1141000576</v>
      </c>
      <c r="EY53" s="629">
        <f t="shared" si="342"/>
        <v>10659175.252011364</v>
      </c>
      <c r="EZ53" s="629">
        <f t="shared" si="343"/>
        <v>11081094.031100605</v>
      </c>
      <c r="FA53" s="629">
        <f t="shared" si="344"/>
        <v>11511385.946344163</v>
      </c>
      <c r="FB53" s="629">
        <f t="shared" si="345"/>
        <v>10213735.336920068</v>
      </c>
      <c r="FC53" s="629">
        <f t="shared" si="346"/>
        <v>12791010.302413641</v>
      </c>
      <c r="FD53" s="629">
        <f t="shared" si="347"/>
        <v>13297312.837320726</v>
      </c>
      <c r="FG53" s="70">
        <f t="shared" si="348"/>
        <v>11566310.690795364</v>
      </c>
      <c r="FH53" s="67">
        <f t="shared" si="349"/>
        <v>24859563.297903903</v>
      </c>
      <c r="FI53" s="67">
        <f t="shared" si="350"/>
        <v>31875629.615332402</v>
      </c>
      <c r="FJ53" s="69">
        <f t="shared" si="351"/>
        <v>39844537.019165501</v>
      </c>
      <c r="FK53" s="619">
        <f t="shared" si="352"/>
        <v>47813444.422998592</v>
      </c>
    </row>
    <row r="54" spans="2:167" ht="15.75" customHeight="1" x14ac:dyDescent="0.2">
      <c r="B54" s="49" t="s">
        <v>26</v>
      </c>
      <c r="C54" s="101">
        <f>'P&amp;L - Inputs'!B61</f>
        <v>0</v>
      </c>
      <c r="D54" s="102">
        <f>'P&amp;L - Inputs'!C61</f>
        <v>0</v>
      </c>
      <c r="E54" s="102">
        <f>'P&amp;L - Inputs'!D61</f>
        <v>0</v>
      </c>
      <c r="F54" s="102">
        <f>'P&amp;L - Inputs'!E61</f>
        <v>0</v>
      </c>
      <c r="G54" s="102">
        <f>'P&amp;L - Inputs'!F61</f>
        <v>0</v>
      </c>
      <c r="H54" s="102">
        <f>'P&amp;L - Inputs'!G61</f>
        <v>0</v>
      </c>
      <c r="I54" s="102">
        <f>'P&amp;L - Inputs'!H61</f>
        <v>0</v>
      </c>
      <c r="J54" s="102">
        <f>'P&amp;L - Inputs'!I61</f>
        <v>0</v>
      </c>
      <c r="K54" s="102">
        <f>'P&amp;L - Inputs'!J61</f>
        <v>0</v>
      </c>
      <c r="L54" s="102">
        <f>'P&amp;L - Inputs'!K61</f>
        <v>0</v>
      </c>
      <c r="M54" s="102">
        <f>'P&amp;L - Inputs'!L61</f>
        <v>0</v>
      </c>
      <c r="N54" s="102">
        <f>'P&amp;L - Inputs'!M61</f>
        <v>0</v>
      </c>
      <c r="O54" s="102">
        <f>'P&amp;L - Inputs'!N61</f>
        <v>0</v>
      </c>
      <c r="P54" s="102">
        <f>'P&amp;L - Inputs'!O61</f>
        <v>0</v>
      </c>
      <c r="Q54" s="102">
        <f>'P&amp;L - Inputs'!P61</f>
        <v>0</v>
      </c>
      <c r="R54" s="102">
        <f>'P&amp;L - Inputs'!Q61</f>
        <v>0</v>
      </c>
      <c r="S54" s="102">
        <f>'P&amp;L - Inputs'!R61</f>
        <v>0</v>
      </c>
      <c r="T54" s="102">
        <f>'P&amp;L - Inputs'!S61</f>
        <v>0</v>
      </c>
      <c r="U54" s="102">
        <f>'P&amp;L - Inputs'!T61</f>
        <v>0</v>
      </c>
      <c r="V54" s="102">
        <f>'P&amp;L - Inputs'!U61</f>
        <v>0</v>
      </c>
      <c r="W54" s="102">
        <f>'P&amp;L - Inputs'!V61</f>
        <v>0</v>
      </c>
      <c r="X54" s="102">
        <f>'P&amp;L - Inputs'!W61</f>
        <v>0</v>
      </c>
      <c r="Y54" s="102">
        <f>'P&amp;L - Inputs'!X61</f>
        <v>0</v>
      </c>
      <c r="Z54" s="102">
        <f>'P&amp;L - Inputs'!Y61</f>
        <v>0</v>
      </c>
      <c r="AA54" s="102">
        <f>'P&amp;L - Inputs'!Z61</f>
        <v>0</v>
      </c>
      <c r="AB54" s="102">
        <f>'P&amp;L - Inputs'!AA61</f>
        <v>0</v>
      </c>
      <c r="AC54" s="103">
        <f>'P&amp;L - Inputs'!AB61</f>
        <v>0</v>
      </c>
      <c r="AD54" s="102">
        <f>'P&amp;L - Inputs'!AC61</f>
        <v>0</v>
      </c>
      <c r="AE54" s="102">
        <f>'P&amp;L - Inputs'!AD61</f>
        <v>0</v>
      </c>
      <c r="AF54" s="102">
        <f>'P&amp;L - Inputs'!AE61</f>
        <v>0</v>
      </c>
      <c r="AG54" s="102">
        <f>'P&amp;L - Inputs'!AF61</f>
        <v>0</v>
      </c>
      <c r="AH54" s="102">
        <f>'P&amp;L - Inputs'!AG61</f>
        <v>0</v>
      </c>
      <c r="AI54" s="102">
        <f>'P&amp;L - Inputs'!AH61</f>
        <v>0</v>
      </c>
      <c r="AJ54" s="102">
        <f>'P&amp;L - Inputs'!AI61</f>
        <v>0</v>
      </c>
      <c r="AK54" s="103">
        <f>'P&amp;L - Inputs'!AJ61</f>
        <v>0</v>
      </c>
      <c r="AL54" s="102">
        <f>'P&amp;L - Inputs'!AK61</f>
        <v>0</v>
      </c>
      <c r="AM54" s="102">
        <f>'P&amp;L - Inputs'!AL61</f>
        <v>0</v>
      </c>
      <c r="AN54" s="102">
        <f>'P&amp;L - Inputs'!AM61</f>
        <v>0</v>
      </c>
      <c r="AO54" s="102">
        <f>'P&amp;L - Inputs'!AN61</f>
        <v>0</v>
      </c>
      <c r="AP54" s="102">
        <f>'P&amp;L - Inputs'!AO61</f>
        <v>0</v>
      </c>
      <c r="AQ54" s="102">
        <f>'P&amp;L - Inputs'!AP61</f>
        <v>0</v>
      </c>
      <c r="AR54" s="102">
        <f>'P&amp;L - Inputs'!AQ61</f>
        <v>0</v>
      </c>
      <c r="AS54" s="102">
        <f>'P&amp;L - Inputs'!AR61</f>
        <v>0</v>
      </c>
      <c r="AT54" s="102">
        <f>'P&amp;L - Inputs'!AS61</f>
        <v>0</v>
      </c>
      <c r="AU54" s="102">
        <f>'P&amp;L - Inputs'!AT61</f>
        <v>0</v>
      </c>
      <c r="AV54" s="102">
        <f>'P&amp;L - Inputs'!AU61</f>
        <v>0</v>
      </c>
      <c r="AW54" s="102">
        <f>'P&amp;L - Inputs'!AV61</f>
        <v>0</v>
      </c>
      <c r="AX54" s="102">
        <f>'P&amp;L - Inputs'!AW61</f>
        <v>0</v>
      </c>
      <c r="AY54" s="102">
        <f>'P&amp;L - Inputs'!AX61</f>
        <v>0</v>
      </c>
      <c r="AZ54" s="102">
        <f>'P&amp;L - Inputs'!AY61</f>
        <v>0</v>
      </c>
      <c r="BA54" s="102">
        <f>'P&amp;L - Inputs'!AZ61</f>
        <v>0</v>
      </c>
      <c r="BB54" s="102">
        <f>'P&amp;L - Inputs'!BA61</f>
        <v>0</v>
      </c>
      <c r="BC54" s="102">
        <f>'P&amp;L - Inputs'!BB61</f>
        <v>0</v>
      </c>
      <c r="BD54" s="102">
        <f>'P&amp;L - Inputs'!BC61</f>
        <v>0</v>
      </c>
      <c r="BE54" s="102">
        <f>'P&amp;L - Inputs'!BD61</f>
        <v>0</v>
      </c>
      <c r="BF54" s="102">
        <f>'P&amp;L - Inputs'!BE61</f>
        <v>0</v>
      </c>
      <c r="BG54" s="102">
        <f>'P&amp;L - Inputs'!BF61</f>
        <v>0</v>
      </c>
      <c r="BH54" s="102">
        <f>'P&amp;L - Inputs'!BG61</f>
        <v>0</v>
      </c>
      <c r="BI54" s="102">
        <f>'P&amp;L - Inputs'!BH61</f>
        <v>0</v>
      </c>
      <c r="BJ54" s="101">
        <f>'P&amp;L - Inputs'!BI61</f>
        <v>0</v>
      </c>
      <c r="BK54" s="102">
        <f>'P&amp;L - Inputs'!BJ61</f>
        <v>0</v>
      </c>
      <c r="BL54" s="102">
        <f>'P&amp;L - Inputs'!BK61</f>
        <v>0</v>
      </c>
      <c r="BM54" s="102">
        <f>'P&amp;L - Inputs'!BL61</f>
        <v>0</v>
      </c>
      <c r="BN54" s="205">
        <f>'P&amp;L - Inputs'!BM61</f>
        <v>0</v>
      </c>
      <c r="BO54" s="205">
        <f>'P&amp;L - Inputs'!BN61</f>
        <v>0</v>
      </c>
      <c r="BP54" s="205">
        <f>'P&amp;L - Inputs'!BO61</f>
        <v>0</v>
      </c>
      <c r="BQ54" s="102">
        <f>'P&amp;L - Inputs'!BP61</f>
        <v>0</v>
      </c>
      <c r="BR54" s="102">
        <f>'P&amp;L - Inputs'!BQ61</f>
        <v>0</v>
      </c>
      <c r="BS54" s="102">
        <f>'P&amp;L - Inputs'!BR61</f>
        <v>0</v>
      </c>
      <c r="BT54" s="102">
        <f>'P&amp;L - Inputs'!BS61</f>
        <v>0</v>
      </c>
      <c r="BU54" s="102">
        <f>'P&amp;L - Inputs'!BT61</f>
        <v>0</v>
      </c>
      <c r="BV54" s="102">
        <f>'P&amp;L - Inputs'!BU61</f>
        <v>0</v>
      </c>
      <c r="BW54" s="102">
        <f>'P&amp;L - Inputs'!BV61</f>
        <v>640053.68383771204</v>
      </c>
      <c r="BX54" s="102">
        <f>'P&amp;L - Inputs'!BW61</f>
        <v>832117.39586432825</v>
      </c>
      <c r="BY54" s="102">
        <f>'P&amp;L - Inputs'!BX61</f>
        <v>798077.43276473368</v>
      </c>
      <c r="BZ54" s="102">
        <f>'P&amp;L - Inputs'!BY61</f>
        <v>691332.09900162823</v>
      </c>
      <c r="CA54" s="102">
        <f>'P&amp;L - Inputs'!BZ61</f>
        <v>459535.56284884963</v>
      </c>
      <c r="CB54" s="102">
        <f>'P&amp;L - Inputs'!CA61</f>
        <v>389381.76785639732</v>
      </c>
      <c r="CC54" s="102">
        <f>'P&amp;L - Inputs'!CB61</f>
        <v>803818.74939001084</v>
      </c>
      <c r="CD54" s="102">
        <f>'P&amp;L - Inputs'!CC61</f>
        <v>925844.33739471238</v>
      </c>
      <c r="CE54" s="102">
        <f>'P&amp;L - Inputs'!CD61</f>
        <v>839067.32831994921</v>
      </c>
      <c r="CF54" s="102">
        <f>'P&amp;L - Inputs'!CE61</f>
        <v>695218.96789437521</v>
      </c>
      <c r="CG54" s="102">
        <f>'P&amp;L - Inputs'!CF61</f>
        <v>674051.7107515937</v>
      </c>
      <c r="CH54" s="102">
        <f>'P&amp;L - Inputs'!CG61</f>
        <v>740860.23414878245</v>
      </c>
      <c r="CI54" s="102">
        <f>'P&amp;L - Inputs'!CH61</f>
        <v>694381.59214627137</v>
      </c>
      <c r="CJ54" s="102">
        <f>'P&amp;L - Inputs'!CI61</f>
        <v>1379137.4995081457</v>
      </c>
      <c r="CK54" s="102">
        <f>'P&amp;L - Inputs'!CJ61</f>
        <v>1597960.2164936336</v>
      </c>
      <c r="CL54" s="102">
        <f>'P&amp;L - Inputs'!CK61</f>
        <v>1364338.9892441572</v>
      </c>
      <c r="CM54" s="102">
        <f>'P&amp;L - Inputs'!CL61</f>
        <v>1238721.3283765749</v>
      </c>
      <c r="CN54" s="102">
        <f>'P&amp;L - Inputs'!CM61</f>
        <v>897074.8256713025</v>
      </c>
      <c r="CO54" s="102">
        <f>'P&amp;L - Inputs'!CN61</f>
        <v>1314486.044394813</v>
      </c>
      <c r="CP54" s="102">
        <f>'P&amp;L - Inputs'!CO61</f>
        <v>1516024.2099655271</v>
      </c>
      <c r="CQ54" s="102">
        <f>'P&amp;L - Inputs'!CP61</f>
        <v>1353092.866679912</v>
      </c>
      <c r="CR54" s="102">
        <f>'P&amp;L - Inputs'!CQ61</f>
        <v>1424955.2402915363</v>
      </c>
      <c r="CS54" s="102">
        <f>'P&amp;L - Inputs'!CR61</f>
        <v>1619602.7222779524</v>
      </c>
      <c r="CT54" s="102">
        <f>'P&amp;L - Inputs'!CS61</f>
        <v>1382520.210112412</v>
      </c>
      <c r="CU54" s="102">
        <f>'P&amp;L - Inputs'!CT61</f>
        <v>1618502.208565006</v>
      </c>
      <c r="CV54" s="102">
        <f>'P&amp;L - Inputs'!CU61</f>
        <v>1677584.4050768777</v>
      </c>
      <c r="CW54" s="102">
        <f>'P&amp;L - Inputs'!CV61</f>
        <v>1575977.9855306032</v>
      </c>
      <c r="CX54" s="102">
        <f>'P&amp;L - Inputs'!CW61</f>
        <v>1577326.2593483215</v>
      </c>
      <c r="CY54" s="102">
        <f>'P&amp;L - Inputs'!CX61</f>
        <v>1466594.8434853205</v>
      </c>
      <c r="CZ54" s="102">
        <f>'P&amp;L - Inputs'!CY61</f>
        <v>1278927.474415997</v>
      </c>
      <c r="DA54" s="102">
        <f>'P&amp;L - Inputs'!CZ61</f>
        <v>1496210.4649621048</v>
      </c>
      <c r="DB54" s="102">
        <f>'P&amp;L - Inputs'!DA61</f>
        <v>1852846.6219918155</v>
      </c>
      <c r="DC54" s="102">
        <f>'P&amp;L - Inputs'!DB61</f>
        <v>2064594.1252036819</v>
      </c>
      <c r="DD54" s="102">
        <f>'P&amp;L - Inputs'!DC61</f>
        <v>1932064.6891095168</v>
      </c>
      <c r="DE54" s="102">
        <f>'P&amp;L - Inputs'!DD61</f>
        <v>1884170.144971357</v>
      </c>
      <c r="DF54" s="102">
        <f>'P&amp;L - Inputs'!DE61</f>
        <v>1811703.2300934922</v>
      </c>
      <c r="DG54" s="102">
        <f>'P&amp;L - Inputs'!DF61</f>
        <v>2023127.7607062571</v>
      </c>
      <c r="DH54" s="102">
        <f>'P&amp;L - Inputs'!DG61</f>
        <v>2096980.5063460972</v>
      </c>
      <c r="DI54" s="102">
        <f>'P&amp;L - Inputs'!DH61</f>
        <v>1969972.4819132537</v>
      </c>
      <c r="DJ54" s="102">
        <f>'P&amp;L - Inputs'!DI61</f>
        <v>1971657.824185401</v>
      </c>
      <c r="DK54" s="102">
        <f>'P&amp;L - Inputs'!DJ61</f>
        <v>1833243.5543566502</v>
      </c>
      <c r="DL54" s="102">
        <f>'P&amp;L - Inputs'!DK61</f>
        <v>1598659.3430199954</v>
      </c>
      <c r="DM54" s="102">
        <f>'P&amp;L - Inputs'!DL61</f>
        <v>1870263.0812026302</v>
      </c>
      <c r="DN54" s="102">
        <f>'P&amp;L - Inputs'!DM61</f>
        <v>2316058.2774897688</v>
      </c>
      <c r="DO54" s="102">
        <f>'P&amp;L - Inputs'!DN61</f>
        <v>2580742.6565046017</v>
      </c>
      <c r="DP54" s="102">
        <f>'P&amp;L - Inputs'!DO61</f>
        <v>2415080.8613868956</v>
      </c>
      <c r="DQ54" s="102">
        <f>'P&amp;L - Inputs'!DP61</f>
        <v>2355212.6812141961</v>
      </c>
      <c r="DR54" s="104">
        <f>'P&amp;L - Inputs'!DQ61</f>
        <v>2264629.0376168652</v>
      </c>
      <c r="DS54" s="104">
        <f>'P&amp;L - Inputs'!DR61</f>
        <v>2427753.312847509</v>
      </c>
      <c r="DT54" s="104">
        <f>'P&amp;L - Inputs'!DS61</f>
        <v>2516376.6076153163</v>
      </c>
      <c r="DU54" s="104">
        <f>'P&amp;L - Inputs'!DT61</f>
        <v>2363966.9782959041</v>
      </c>
      <c r="DV54" s="104">
        <f>'P&amp;L - Inputs'!DU61</f>
        <v>2365989.3890224812</v>
      </c>
      <c r="DW54" s="104">
        <f>'P&amp;L - Inputs'!DV61</f>
        <v>2199892.26522798</v>
      </c>
      <c r="DX54" s="104">
        <f>'P&amp;L - Inputs'!DW61</f>
        <v>1918391.2116239946</v>
      </c>
      <c r="DY54" s="104">
        <f>'P&amp;L - Inputs'!DX61</f>
        <v>2244315.697443156</v>
      </c>
      <c r="DZ54" s="104">
        <f>'P&amp;L - Inputs'!DY61</f>
        <v>2779269.932987724</v>
      </c>
      <c r="EA54" s="104">
        <f>'P&amp;L - Inputs'!DZ61</f>
        <v>3096891.1878055227</v>
      </c>
      <c r="EB54" s="104">
        <f>'P&amp;L - Inputs'!EA61</f>
        <v>2898097.033664275</v>
      </c>
      <c r="EC54" s="104">
        <f>'P&amp;L - Inputs'!EB61</f>
        <v>2826255.2174570351</v>
      </c>
      <c r="ED54" s="104">
        <f>'P&amp;L - Inputs'!EC61</f>
        <v>2717554.8451402378</v>
      </c>
      <c r="EE54" s="39" t="s">
        <v>1</v>
      </c>
      <c r="EF54" s="68"/>
      <c r="EG54" s="629">
        <f>SUM(BK54:BM54)</f>
        <v>0</v>
      </c>
      <c r="EH54" s="629">
        <f>SUM(BN54:BP54)</f>
        <v>0</v>
      </c>
      <c r="EI54" s="629">
        <f>SUM(BQ54:BS54)</f>
        <v>0</v>
      </c>
      <c r="EJ54" s="629">
        <f>SUM(BT54:BV54)</f>
        <v>0</v>
      </c>
      <c r="EK54" s="629">
        <f>SUM(BW54:BY54)</f>
        <v>2270248.5124667739</v>
      </c>
      <c r="EL54" s="629">
        <f t="shared" si="330"/>
        <v>1540249.4297068752</v>
      </c>
      <c r="EM54" s="629">
        <f t="shared" si="331"/>
        <v>2568730.4151046723</v>
      </c>
      <c r="EN54" s="629">
        <f t="shared" si="332"/>
        <v>2110130.9127947511</v>
      </c>
      <c r="EO54" s="629">
        <f t="shared" si="333"/>
        <v>3671479.3081480507</v>
      </c>
      <c r="EP54" s="629">
        <f t="shared" si="334"/>
        <v>3500135.1432920345</v>
      </c>
      <c r="EQ54" s="629">
        <f t="shared" si="335"/>
        <v>4183603.121040252</v>
      </c>
      <c r="ER54" s="629">
        <f>SUM(CR54:CT54)</f>
        <v>4427078.1726819007</v>
      </c>
      <c r="ES54" s="629">
        <f t="shared" si="336"/>
        <v>4872064.5991724869</v>
      </c>
      <c r="ET54" s="629">
        <f t="shared" si="337"/>
        <v>4322848.5772496387</v>
      </c>
      <c r="EU54" s="629">
        <f t="shared" si="338"/>
        <v>5413651.2121576024</v>
      </c>
      <c r="EV54" s="629">
        <f t="shared" si="339"/>
        <v>5627938.0641743662</v>
      </c>
      <c r="EW54" s="629">
        <f t="shared" si="340"/>
        <v>6090080.748965608</v>
      </c>
      <c r="EX54" s="629">
        <f t="shared" si="341"/>
        <v>5403560.7215620466</v>
      </c>
      <c r="EY54" s="629">
        <f t="shared" si="342"/>
        <v>6767064.0151970014</v>
      </c>
      <c r="EZ54" s="629">
        <f t="shared" si="343"/>
        <v>7034922.5802179575</v>
      </c>
      <c r="FA54" s="629">
        <f t="shared" si="344"/>
        <v>7308096.8987587299</v>
      </c>
      <c r="FB54" s="629">
        <f t="shared" si="345"/>
        <v>6484272.8658744562</v>
      </c>
      <c r="FC54" s="629">
        <f t="shared" si="346"/>
        <v>8120476.8182364032</v>
      </c>
      <c r="FD54" s="629">
        <f t="shared" si="347"/>
        <v>8441907.0962615479</v>
      </c>
      <c r="FG54" s="70">
        <f t="shared" si="348"/>
        <v>8489359.2700730711</v>
      </c>
      <c r="FH54" s="67">
        <f t="shared" si="349"/>
        <v>15782295.745162237</v>
      </c>
      <c r="FI54" s="67">
        <f t="shared" si="350"/>
        <v>20236502.452754095</v>
      </c>
      <c r="FJ54" s="69">
        <f t="shared" si="351"/>
        <v>25295628.065942615</v>
      </c>
      <c r="FK54" s="619">
        <f t="shared" si="352"/>
        <v>30354753.679131135</v>
      </c>
    </row>
    <row r="55" spans="2:167" ht="15.75" customHeight="1" x14ac:dyDescent="0.2">
      <c r="B55" s="49"/>
      <c r="C55" s="66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8"/>
      <c r="AD55" s="67"/>
      <c r="AE55" s="67"/>
      <c r="AF55" s="67"/>
      <c r="AG55" s="67"/>
      <c r="AH55" s="67"/>
      <c r="AI55" s="67"/>
      <c r="AJ55" s="67"/>
      <c r="AK55" s="68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90"/>
      <c r="BJ55" s="66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  <c r="DG55" s="67"/>
      <c r="DH55" s="67"/>
      <c r="DI55" s="67"/>
      <c r="DJ55" s="67"/>
      <c r="DK55" s="67"/>
      <c r="DL55" s="67"/>
      <c r="DM55" s="67"/>
      <c r="DN55" s="67"/>
      <c r="DO55" s="67"/>
      <c r="DP55" s="67"/>
      <c r="DQ55" s="67"/>
      <c r="DR55" s="69"/>
      <c r="DS55" s="69"/>
      <c r="DT55" s="69"/>
      <c r="DU55" s="69"/>
      <c r="DV55" s="69"/>
      <c r="DW55" s="69"/>
      <c r="DX55" s="69"/>
      <c r="DY55" s="69"/>
      <c r="DZ55" s="69"/>
      <c r="EA55" s="69"/>
      <c r="EB55" s="69"/>
      <c r="EC55" s="69"/>
      <c r="ED55" s="69"/>
      <c r="EE55" s="39" t="s">
        <v>1</v>
      </c>
      <c r="EF55" s="68"/>
      <c r="EG55" s="629"/>
      <c r="EH55" s="629"/>
      <c r="EI55" s="629"/>
      <c r="EJ55" s="629"/>
      <c r="EK55" s="629"/>
      <c r="EL55" s="629"/>
      <c r="EM55" s="629"/>
      <c r="EN55" s="629"/>
      <c r="EO55" s="629"/>
      <c r="EP55" s="629"/>
      <c r="EQ55" s="629"/>
      <c r="ER55" s="629"/>
      <c r="ES55" s="629"/>
      <c r="ET55" s="629"/>
      <c r="EU55" s="629"/>
      <c r="EV55" s="629"/>
      <c r="EW55" s="629"/>
      <c r="EX55" s="629"/>
      <c r="EY55" s="629"/>
      <c r="EZ55" s="629"/>
      <c r="FA55" s="629"/>
      <c r="FB55" s="629"/>
      <c r="FC55" s="629"/>
      <c r="FD55" s="629"/>
      <c r="FG55" s="70"/>
      <c r="FH55" s="67"/>
      <c r="FI55" s="67"/>
      <c r="FJ55" s="69"/>
      <c r="FK55" s="619"/>
    </row>
    <row r="56" spans="2:167" ht="15" customHeight="1" x14ac:dyDescent="0.2">
      <c r="B56" s="48" t="s">
        <v>3</v>
      </c>
      <c r="C56" s="66">
        <f>'P&amp;L - Inputs'!B63</f>
        <v>0</v>
      </c>
      <c r="D56" s="67">
        <f>'P&amp;L - Inputs'!C63</f>
        <v>0</v>
      </c>
      <c r="E56" s="67">
        <f>'P&amp;L - Inputs'!D63</f>
        <v>0</v>
      </c>
      <c r="F56" s="67">
        <f>'P&amp;L - Inputs'!E63</f>
        <v>0</v>
      </c>
      <c r="G56" s="67">
        <f>'P&amp;L - Inputs'!F63</f>
        <v>0</v>
      </c>
      <c r="H56" s="67">
        <f>'P&amp;L - Inputs'!G63</f>
        <v>0</v>
      </c>
      <c r="I56" s="67">
        <f>'P&amp;L - Inputs'!H63</f>
        <v>0</v>
      </c>
      <c r="J56" s="67">
        <f>'P&amp;L - Inputs'!I63</f>
        <v>0</v>
      </c>
      <c r="K56" s="67">
        <f>'P&amp;L - Inputs'!J63</f>
        <v>0</v>
      </c>
      <c r="L56" s="67">
        <f>'P&amp;L - Inputs'!K63</f>
        <v>0</v>
      </c>
      <c r="M56" s="67">
        <f>'P&amp;L - Inputs'!L63</f>
        <v>0</v>
      </c>
      <c r="N56" s="67">
        <f>'P&amp;L - Inputs'!M63</f>
        <v>0</v>
      </c>
      <c r="O56" s="67">
        <f>'P&amp;L - Inputs'!N63</f>
        <v>0</v>
      </c>
      <c r="P56" s="67">
        <f>'P&amp;L - Inputs'!O63</f>
        <v>0</v>
      </c>
      <c r="Q56" s="67">
        <f>'P&amp;L - Inputs'!P63</f>
        <v>0</v>
      </c>
      <c r="R56" s="67">
        <f>'P&amp;L - Inputs'!Q63</f>
        <v>0</v>
      </c>
      <c r="S56" s="67">
        <f>'P&amp;L - Inputs'!R63</f>
        <v>0</v>
      </c>
      <c r="T56" s="67">
        <f>'P&amp;L - Inputs'!S63</f>
        <v>0</v>
      </c>
      <c r="U56" s="67">
        <f>'P&amp;L - Inputs'!T63</f>
        <v>0</v>
      </c>
      <c r="V56" s="67">
        <f>'P&amp;L - Inputs'!U63</f>
        <v>0</v>
      </c>
      <c r="W56" s="67">
        <f>'P&amp;L - Inputs'!V63</f>
        <v>0</v>
      </c>
      <c r="X56" s="67">
        <f>'P&amp;L - Inputs'!W63</f>
        <v>0</v>
      </c>
      <c r="Y56" s="67">
        <f>'P&amp;L - Inputs'!X63</f>
        <v>0</v>
      </c>
      <c r="Z56" s="67">
        <f>'P&amp;L - Inputs'!Y63</f>
        <v>0</v>
      </c>
      <c r="AA56" s="67">
        <f>'P&amp;L - Inputs'!Z63</f>
        <v>0</v>
      </c>
      <c r="AB56" s="67">
        <f>'P&amp;L - Inputs'!AA63</f>
        <v>0</v>
      </c>
      <c r="AC56" s="68">
        <f>'P&amp;L - Inputs'!AB63</f>
        <v>0</v>
      </c>
      <c r="AD56" s="67">
        <f>'P&amp;L - Inputs'!AC63</f>
        <v>0</v>
      </c>
      <c r="AE56" s="67">
        <f>'P&amp;L - Inputs'!AD63</f>
        <v>0</v>
      </c>
      <c r="AF56" s="67">
        <f>'P&amp;L - Inputs'!AE63</f>
        <v>0</v>
      </c>
      <c r="AG56" s="67">
        <f>'P&amp;L - Inputs'!AF63</f>
        <v>0</v>
      </c>
      <c r="AH56" s="67">
        <f>'P&amp;L - Inputs'!AG63</f>
        <v>0</v>
      </c>
      <c r="AI56" s="67">
        <f>'P&amp;L - Inputs'!AH63</f>
        <v>0</v>
      </c>
      <c r="AJ56" s="67">
        <f>'P&amp;L - Inputs'!AI63</f>
        <v>0</v>
      </c>
      <c r="AK56" s="68">
        <f>'P&amp;L - Inputs'!AJ63</f>
        <v>0</v>
      </c>
      <c r="AL56" s="67">
        <f>'P&amp;L - Inputs'!AK63</f>
        <v>0</v>
      </c>
      <c r="AM56" s="67">
        <f>'P&amp;L - Inputs'!AL63</f>
        <v>0</v>
      </c>
      <c r="AN56" s="67">
        <f>'P&amp;L - Inputs'!AM63</f>
        <v>0</v>
      </c>
      <c r="AO56" s="67">
        <f>'P&amp;L - Inputs'!AN63</f>
        <v>0</v>
      </c>
      <c r="AP56" s="67">
        <f>'P&amp;L - Inputs'!AO63</f>
        <v>0</v>
      </c>
      <c r="AQ56" s="67">
        <f>'P&amp;L - Inputs'!AP63</f>
        <v>0</v>
      </c>
      <c r="AR56" s="67">
        <f>'P&amp;L - Inputs'!AQ63</f>
        <v>0</v>
      </c>
      <c r="AS56" s="67">
        <f>'P&amp;L - Inputs'!AR63</f>
        <v>0</v>
      </c>
      <c r="AT56" s="67">
        <f>'P&amp;L - Inputs'!AS63</f>
        <v>0</v>
      </c>
      <c r="AU56" s="67">
        <f>'P&amp;L - Inputs'!AT63</f>
        <v>0</v>
      </c>
      <c r="AV56" s="67">
        <f>'P&amp;L - Inputs'!AU63</f>
        <v>0</v>
      </c>
      <c r="AW56" s="67">
        <f>'P&amp;L - Inputs'!AV63</f>
        <v>0</v>
      </c>
      <c r="AX56" s="67">
        <f>'P&amp;L - Inputs'!AW63</f>
        <v>0</v>
      </c>
      <c r="AY56" s="67">
        <f>'P&amp;L - Inputs'!AX63</f>
        <v>0</v>
      </c>
      <c r="AZ56" s="67">
        <f>'P&amp;L - Inputs'!AY63</f>
        <v>0</v>
      </c>
      <c r="BA56" s="67">
        <f>'P&amp;L - Inputs'!AZ63</f>
        <v>59968517.106313601</v>
      </c>
      <c r="BB56" s="67">
        <f>'P&amp;L - Inputs'!BA63</f>
        <v>65267957.010639675</v>
      </c>
      <c r="BC56" s="67">
        <f>'P&amp;L - Inputs'!BB63</f>
        <v>63835874.599490188</v>
      </c>
      <c r="BD56" s="67">
        <f>'P&amp;L - Inputs'!BC63</f>
        <v>123354837.18579434</v>
      </c>
      <c r="BE56" s="67">
        <f>'P&amp;L - Inputs'!BD63</f>
        <v>106359414.07842025</v>
      </c>
      <c r="BF56" s="67">
        <f>'P&amp;L - Inputs'!BE63</f>
        <v>123454705.37352313</v>
      </c>
      <c r="BG56" s="67">
        <f>'P&amp;L - Inputs'!BF63</f>
        <v>145811097.23278895</v>
      </c>
      <c r="BH56" s="67">
        <f>'P&amp;L - Inputs'!BG63</f>
        <v>114391808.56671195</v>
      </c>
      <c r="BI56" s="67">
        <f>'P&amp;L - Inputs'!BH63</f>
        <v>56626670.372501083</v>
      </c>
      <c r="BJ56" s="66">
        <f>'P&amp;L - Inputs'!BI63</f>
        <v>58500692.615247548</v>
      </c>
      <c r="BK56" s="67">
        <f>'P&amp;L - Inputs'!BJ63</f>
        <v>36169325.352342136</v>
      </c>
      <c r="BL56" s="67">
        <f>'P&amp;L - Inputs'!BK63</f>
        <v>32858151.881928664</v>
      </c>
      <c r="BM56" s="67">
        <f>'P&amp;L - Inputs'!BL63</f>
        <v>35284583.942689069</v>
      </c>
      <c r="BN56" s="67">
        <f>'P&amp;L - Inputs'!BM63</f>
        <v>15534155.017441222</v>
      </c>
      <c r="BO56" s="67">
        <f>'P&amp;L - Inputs'!BN63</f>
        <v>11801731.049404914</v>
      </c>
      <c r="BP56" s="67">
        <f>'P&amp;L - Inputs'!BO63</f>
        <v>16599595.080077916</v>
      </c>
      <c r="BQ56" s="67">
        <f>'P&amp;L - Inputs'!BP63</f>
        <v>25730803.01132343</v>
      </c>
      <c r="BR56" s="67">
        <f>'P&amp;L - Inputs'!BQ63</f>
        <v>49883983.127170503</v>
      </c>
      <c r="BS56" s="67">
        <f>'P&amp;L - Inputs'!BR63</f>
        <v>41121429.750212014</v>
      </c>
      <c r="BT56" s="67">
        <f>'P&amp;L - Inputs'!BS63</f>
        <v>29991437.542561319</v>
      </c>
      <c r="BU56" s="67">
        <f>'P&amp;L - Inputs'!BT63</f>
        <v>17478259.412907161</v>
      </c>
      <c r="BV56" s="67">
        <f>'P&amp;L - Inputs'!BU63</f>
        <v>34648196.879740648</v>
      </c>
      <c r="BW56" s="67">
        <f>'P&amp;L - Inputs'!BV63</f>
        <v>29039792.337686662</v>
      </c>
      <c r="BX56" s="67">
        <f>'P&amp;L - Inputs'!BW63</f>
        <v>24723778.753621038</v>
      </c>
      <c r="BY56" s="67">
        <f>'P&amp;L - Inputs'!BX63</f>
        <v>9679846.1363595631</v>
      </c>
      <c r="BZ56" s="67">
        <f>'P&amp;L - Inputs'!BY63</f>
        <v>25197158.072473932</v>
      </c>
      <c r="CA56" s="67">
        <f>'P&amp;L - Inputs'!BZ63</f>
        <v>32392617.209669191</v>
      </c>
      <c r="CB56" s="67">
        <f>'P&amp;L - Inputs'!CA63</f>
        <v>42532724.70223172</v>
      </c>
      <c r="CC56" s="67">
        <f>'P&amp;L - Inputs'!CB63</f>
        <v>30108076.323963448</v>
      </c>
      <c r="CD56" s="67">
        <f>'P&amp;L - Inputs'!CC63</f>
        <v>15488558.938895656</v>
      </c>
      <c r="CE56" s="67">
        <f>'P&amp;L - Inputs'!CD63</f>
        <v>46034973.73976633</v>
      </c>
      <c r="CF56" s="67">
        <f>'P&amp;L - Inputs'!CE63</f>
        <v>69436693.927038357</v>
      </c>
      <c r="CG56" s="67">
        <f>'P&amp;L - Inputs'!CF63</f>
        <v>37207840.493031323</v>
      </c>
      <c r="CH56" s="67">
        <f>'P&amp;L - Inputs'!CG63</f>
        <v>82008602.370912194</v>
      </c>
      <c r="CI56" s="67">
        <f>'P&amp;L - Inputs'!CH63</f>
        <v>60717888.313432008</v>
      </c>
      <c r="CJ56" s="67">
        <f>'P&amp;L - Inputs'!CI63</f>
        <v>59194094.348433867</v>
      </c>
      <c r="CK56" s="67">
        <f>'P&amp;L - Inputs'!CJ63</f>
        <v>32216699.122869954</v>
      </c>
      <c r="CL56" s="67">
        <f>'P&amp;L - Inputs'!CK63</f>
        <v>32877790.695712276</v>
      </c>
      <c r="CM56" s="67">
        <f>'P&amp;L - Inputs'!CL63</f>
        <v>22729120.31068664</v>
      </c>
      <c r="CN56" s="67">
        <f>'P&amp;L - Inputs'!CM63</f>
        <v>21031998.7227332</v>
      </c>
      <c r="CO56" s="67">
        <f>'P&amp;L - Inputs'!CN63</f>
        <v>26744236.714648008</v>
      </c>
      <c r="CP56" s="67">
        <f>'P&amp;L - Inputs'!CO63</f>
        <v>48055141.540408328</v>
      </c>
      <c r="CQ56" s="67">
        <f>'P&amp;L - Inputs'!CP63</f>
        <v>89051342.298351422</v>
      </c>
      <c r="CR56" s="67">
        <f>'P&amp;L - Inputs'!CQ63</f>
        <v>67800452.079890102</v>
      </c>
      <c r="CS56" s="67">
        <f>'P&amp;L - Inputs'!CR63</f>
        <v>36890915.523608893</v>
      </c>
      <c r="CT56" s="67">
        <f>'P&amp;L - Inputs'!CS63</f>
        <v>36614813.738506034</v>
      </c>
      <c r="CU56" s="67">
        <f t="shared" ref="CU56:DR56" si="353">CT56/CT46*CU46</f>
        <v>38720979.355615132</v>
      </c>
      <c r="CV56" s="67">
        <f t="shared" si="353"/>
        <v>40134459.361582421</v>
      </c>
      <c r="CW56" s="67">
        <f t="shared" si="353"/>
        <v>37703631.616751932</v>
      </c>
      <c r="CX56" s="67">
        <f t="shared" si="353"/>
        <v>37735887.663351879</v>
      </c>
      <c r="CY56" s="67">
        <f t="shared" si="353"/>
        <v>35086753.887099087</v>
      </c>
      <c r="CZ56" s="67">
        <f t="shared" si="353"/>
        <v>30597007.574118372</v>
      </c>
      <c r="DA56" s="67">
        <f t="shared" si="353"/>
        <v>35795276.780511133</v>
      </c>
      <c r="DB56" s="67">
        <f t="shared" si="353"/>
        <v>44327425.331644058</v>
      </c>
      <c r="DC56" s="67">
        <f t="shared" si="353"/>
        <v>49393263.769849949</v>
      </c>
      <c r="DD56" s="67">
        <f t="shared" si="353"/>
        <v>46222635.066436984</v>
      </c>
      <c r="DE56" s="67">
        <f t="shared" si="353"/>
        <v>45076807.989398561</v>
      </c>
      <c r="DF56" s="67">
        <f t="shared" si="353"/>
        <v>43343112.539307848</v>
      </c>
      <c r="DG56" s="67">
        <f t="shared" si="353"/>
        <v>47945355.705528788</v>
      </c>
      <c r="DH56" s="67">
        <f t="shared" si="353"/>
        <v>49695564.579285681</v>
      </c>
      <c r="DI56" s="67">
        <f t="shared" si="353"/>
        <v>46685648.435006492</v>
      </c>
      <c r="DJ56" s="67">
        <f t="shared" si="353"/>
        <v>46725588.737489149</v>
      </c>
      <c r="DK56" s="67">
        <f t="shared" si="353"/>
        <v>43445360.206917353</v>
      </c>
      <c r="DL56" s="67">
        <f t="shared" si="353"/>
        <v>37886035.841010518</v>
      </c>
      <c r="DM56" s="67">
        <f t="shared" si="353"/>
        <v>44322672.26656764</v>
      </c>
      <c r="DN56" s="67">
        <f t="shared" si="353"/>
        <v>54887407.560566813</v>
      </c>
      <c r="DO56" s="67">
        <f t="shared" si="353"/>
        <v>61160064.655209742</v>
      </c>
      <c r="DP56" s="67">
        <f t="shared" si="353"/>
        <v>57234107.111647531</v>
      </c>
      <c r="DQ56" s="67">
        <f t="shared" si="353"/>
        <v>55815313.276887082</v>
      </c>
      <c r="DR56" s="69">
        <f t="shared" si="353"/>
        <v>53668605.047318451</v>
      </c>
      <c r="DS56" s="69">
        <f t="shared" ref="DS56" si="354">DR56/DR46*DS46</f>
        <v>56992855.081714265</v>
      </c>
      <c r="DT56" s="69">
        <f t="shared" ref="DT56" si="355">DS56/DS46*DT46</f>
        <v>59073336.063384324</v>
      </c>
      <c r="DU56" s="69">
        <f t="shared" ref="DU56" si="356">DT56/DT46*DU46</f>
        <v>55495435.511918925</v>
      </c>
      <c r="DV56" s="69">
        <f t="shared" ref="DV56" si="357">DU56/DU46*DV46</f>
        <v>55542912.725046597</v>
      </c>
      <c r="DW56" s="69">
        <f t="shared" ref="DW56" si="358">DV56/DV46*DW46</f>
        <v>51643690.651776537</v>
      </c>
      <c r="DX56" s="69">
        <f t="shared" ref="DX56" si="359">DW56/DW46*DX46</f>
        <v>45035297.340767354</v>
      </c>
      <c r="DY56" s="69">
        <f t="shared" ref="DY56" si="360">DX56/DX46*DY46</f>
        <v>52686555.353504516</v>
      </c>
      <c r="DZ56" s="69">
        <f t="shared" ref="DZ56" si="361">DY56/DY46*DZ46</f>
        <v>65244902.637142174</v>
      </c>
      <c r="EA56" s="69">
        <f t="shared" ref="EA56" si="362">DZ56/DZ46*EA46</f>
        <v>72701237.698413715</v>
      </c>
      <c r="EB56" s="69">
        <f t="shared" ref="EB56" si="363">EA56/EA46*EB46</f>
        <v>68034434.708955392</v>
      </c>
      <c r="EC56" s="69">
        <f t="shared" ref="EC56" si="364">EB56/EB46*EC46</f>
        <v>66347908.240949474</v>
      </c>
      <c r="ED56" s="69">
        <f t="shared" ref="ED56" si="365">EC56/EC46*ED46</f>
        <v>63796106.732124299</v>
      </c>
      <c r="EE56" s="39" t="s">
        <v>1</v>
      </c>
      <c r="EF56" s="68"/>
      <c r="EG56" s="629">
        <f>SUM(BK56:BM56)</f>
        <v>104312061.17695987</v>
      </c>
      <c r="EH56" s="629">
        <f>SUM(BN56:BP56)</f>
        <v>43935481.146924049</v>
      </c>
      <c r="EI56" s="629">
        <f>SUM(BQ56:BS56)</f>
        <v>116736215.88870594</v>
      </c>
      <c r="EJ56" s="629">
        <f>SUM(BT56:BV56)</f>
        <v>82117893.835209131</v>
      </c>
      <c r="EK56" s="629">
        <f>SUM(BW56:BY56)</f>
        <v>63443417.227667265</v>
      </c>
      <c r="EL56" s="629">
        <f t="shared" ref="EL56:EL57" si="366">SUM(BZ56:CB56)</f>
        <v>100122499.98437485</v>
      </c>
      <c r="EM56" s="629">
        <f t="shared" ref="EM56:EM57" si="367">SUM(CC56:CE56)</f>
        <v>91631609.002625436</v>
      </c>
      <c r="EN56" s="629">
        <f t="shared" ref="EN56:EN57" si="368">SUM(CF56:CH56)</f>
        <v>188653136.79098189</v>
      </c>
      <c r="EO56" s="629">
        <f t="shared" ref="EO56:EO57" si="369">SUM(CI56:CK56)</f>
        <v>152128681.78473583</v>
      </c>
      <c r="EP56" s="629">
        <f t="shared" ref="EP56:EP57" si="370">SUM(CL56:CN56)</f>
        <v>76638909.729132116</v>
      </c>
      <c r="EQ56" s="629">
        <f t="shared" ref="EQ56:EQ57" si="371">SUM(CO56:CQ56)</f>
        <v>163850720.55340776</v>
      </c>
      <c r="ER56" s="629">
        <f>SUM(CR56:CT56)</f>
        <v>141306181.34200501</v>
      </c>
      <c r="ES56" s="629">
        <f t="shared" ref="ES56:ES57" si="372">SUM(CU56:CW56)</f>
        <v>116559070.33394948</v>
      </c>
      <c r="ET56" s="629">
        <f t="shared" ref="ET56:ET57" si="373">SUM(CX56:CZ56)</f>
        <v>103419649.12456934</v>
      </c>
      <c r="EU56" s="629">
        <f t="shared" ref="EU56:EU57" si="374">SUM(DA56:DC56)</f>
        <v>129515965.88200516</v>
      </c>
      <c r="EV56" s="629">
        <f t="shared" ref="EV56:EV57" si="375">SUM(DD56:DF56)</f>
        <v>134642555.59514338</v>
      </c>
      <c r="EW56" s="629">
        <f t="shared" ref="EW56:EW57" si="376">SUM(DG56:DI56)</f>
        <v>144326568.71982098</v>
      </c>
      <c r="EX56" s="629">
        <f t="shared" ref="EX56:EX57" si="377">SUM(DJ56:DL56)</f>
        <v>128056984.78541702</v>
      </c>
      <c r="EY56" s="629">
        <f t="shared" ref="EY56:EY57" si="378">SUM(DM56:DO56)</f>
        <v>160370144.48234421</v>
      </c>
      <c r="EZ56" s="629">
        <f t="shared" ref="EZ56:EZ57" si="379">SUM(DP56:DR56)</f>
        <v>166718025.43585306</v>
      </c>
      <c r="FA56" s="629">
        <f t="shared" si="344"/>
        <v>171561626.65701753</v>
      </c>
      <c r="FB56" s="629">
        <f t="shared" ref="FB56:FB57" si="380">SUM(DV56:DX56)</f>
        <v>152221900.71759048</v>
      </c>
      <c r="FC56" s="629">
        <f t="shared" ref="FC56:FC57" si="381">SUM(DY56:EA56)</f>
        <v>190632695.68906039</v>
      </c>
      <c r="FD56" s="629">
        <f t="shared" ref="FD56:FD57" si="382">SUM(EB56:ED56)</f>
        <v>198178449.68202916</v>
      </c>
      <c r="FG56" s="70">
        <f>SUM(EK56:EN56)</f>
        <v>443850663.00564945</v>
      </c>
      <c r="FH56" s="67">
        <f>SUM(EO56:ER56)</f>
        <v>533924493.40928072</v>
      </c>
      <c r="FI56" s="67">
        <f>SUM(ES56:EV56)</f>
        <v>484137240.93566734</v>
      </c>
      <c r="FJ56" s="69">
        <f>SUM(EW56:EZ56)</f>
        <v>599471723.42343521</v>
      </c>
      <c r="FK56" s="619">
        <f t="shared" si="352"/>
        <v>712594672.74569762</v>
      </c>
    </row>
    <row r="57" spans="2:167" ht="15" customHeight="1" x14ac:dyDescent="0.2">
      <c r="B57" s="48" t="s">
        <v>4</v>
      </c>
      <c r="C57" s="66">
        <f>'P&amp;L - Inputs'!B64</f>
        <v>0</v>
      </c>
      <c r="D57" s="67">
        <f>'P&amp;L - Inputs'!C64</f>
        <v>0</v>
      </c>
      <c r="E57" s="67">
        <f>'P&amp;L - Inputs'!D64</f>
        <v>0</v>
      </c>
      <c r="F57" s="67">
        <f>'P&amp;L - Inputs'!E64</f>
        <v>0</v>
      </c>
      <c r="G57" s="67">
        <f>'P&amp;L - Inputs'!F64</f>
        <v>0</v>
      </c>
      <c r="H57" s="67">
        <f>'P&amp;L - Inputs'!G64</f>
        <v>0</v>
      </c>
      <c r="I57" s="67">
        <f>'P&amp;L - Inputs'!H64</f>
        <v>0</v>
      </c>
      <c r="J57" s="67">
        <f>'P&amp;L - Inputs'!I64</f>
        <v>0</v>
      </c>
      <c r="K57" s="67">
        <f>'P&amp;L - Inputs'!J64</f>
        <v>0</v>
      </c>
      <c r="L57" s="67">
        <f>'P&amp;L - Inputs'!K64</f>
        <v>0</v>
      </c>
      <c r="M57" s="67">
        <f>'P&amp;L - Inputs'!L64</f>
        <v>0</v>
      </c>
      <c r="N57" s="67">
        <f>'P&amp;L - Inputs'!M64</f>
        <v>0</v>
      </c>
      <c r="O57" s="67">
        <f>'P&amp;L - Inputs'!N64</f>
        <v>0</v>
      </c>
      <c r="P57" s="67">
        <f>'P&amp;L - Inputs'!O64</f>
        <v>0</v>
      </c>
      <c r="Q57" s="67">
        <f>'P&amp;L - Inputs'!P64</f>
        <v>0</v>
      </c>
      <c r="R57" s="67">
        <f>'P&amp;L - Inputs'!Q64</f>
        <v>0</v>
      </c>
      <c r="S57" s="67">
        <f>'P&amp;L - Inputs'!R64</f>
        <v>0</v>
      </c>
      <c r="T57" s="67">
        <f>'P&amp;L - Inputs'!S64</f>
        <v>0</v>
      </c>
      <c r="U57" s="67">
        <f>'P&amp;L - Inputs'!T64</f>
        <v>0</v>
      </c>
      <c r="V57" s="67">
        <f>'P&amp;L - Inputs'!U64</f>
        <v>0</v>
      </c>
      <c r="W57" s="67">
        <f>'P&amp;L - Inputs'!V64</f>
        <v>0</v>
      </c>
      <c r="X57" s="67">
        <f>'P&amp;L - Inputs'!W64</f>
        <v>0</v>
      </c>
      <c r="Y57" s="67">
        <f>'P&amp;L - Inputs'!X64</f>
        <v>0</v>
      </c>
      <c r="Z57" s="67">
        <f>'P&amp;L - Inputs'!Y64</f>
        <v>0</v>
      </c>
      <c r="AA57" s="67">
        <f>'P&amp;L - Inputs'!Z64</f>
        <v>0</v>
      </c>
      <c r="AB57" s="67">
        <f>'P&amp;L - Inputs'!AA64</f>
        <v>0</v>
      </c>
      <c r="AC57" s="68">
        <f>'P&amp;L - Inputs'!AB64</f>
        <v>0</v>
      </c>
      <c r="AD57" s="67">
        <f>'P&amp;L - Inputs'!AC64</f>
        <v>0</v>
      </c>
      <c r="AE57" s="67">
        <f>'P&amp;L - Inputs'!AD64</f>
        <v>0</v>
      </c>
      <c r="AF57" s="67">
        <f>'P&amp;L - Inputs'!AE64</f>
        <v>0</v>
      </c>
      <c r="AG57" s="67">
        <f>'P&amp;L - Inputs'!AF64</f>
        <v>0</v>
      </c>
      <c r="AH57" s="67">
        <f>'P&amp;L - Inputs'!AG64</f>
        <v>0</v>
      </c>
      <c r="AI57" s="67">
        <f>'P&amp;L - Inputs'!AH64</f>
        <v>0</v>
      </c>
      <c r="AJ57" s="67">
        <f>'P&amp;L - Inputs'!AI64</f>
        <v>0</v>
      </c>
      <c r="AK57" s="68">
        <f>'P&amp;L - Inputs'!AJ64</f>
        <v>0</v>
      </c>
      <c r="AL57" s="67">
        <f>'P&amp;L - Inputs'!AK64</f>
        <v>0</v>
      </c>
      <c r="AM57" s="67">
        <f>'P&amp;L - Inputs'!AL64</f>
        <v>0</v>
      </c>
      <c r="AN57" s="67">
        <f>'P&amp;L - Inputs'!AM64</f>
        <v>0</v>
      </c>
      <c r="AO57" s="67">
        <f>'P&amp;L - Inputs'!AN64</f>
        <v>0</v>
      </c>
      <c r="AP57" s="67">
        <f>'P&amp;L - Inputs'!AO64</f>
        <v>0</v>
      </c>
      <c r="AQ57" s="67">
        <f>'P&amp;L - Inputs'!AP64</f>
        <v>0</v>
      </c>
      <c r="AR57" s="67">
        <f>'P&amp;L - Inputs'!AQ64</f>
        <v>0</v>
      </c>
      <c r="AS57" s="67">
        <f>'P&amp;L - Inputs'!AR64</f>
        <v>0</v>
      </c>
      <c r="AT57" s="67">
        <f>'P&amp;L - Inputs'!AS64</f>
        <v>0</v>
      </c>
      <c r="AU57" s="67">
        <f>'P&amp;L - Inputs'!AT64</f>
        <v>0</v>
      </c>
      <c r="AV57" s="67">
        <f>'P&amp;L - Inputs'!AU64</f>
        <v>0</v>
      </c>
      <c r="AW57" s="67">
        <f>'P&amp;L - Inputs'!AV64</f>
        <v>0</v>
      </c>
      <c r="AX57" s="67">
        <f>'P&amp;L - Inputs'!AW64</f>
        <v>0</v>
      </c>
      <c r="AY57" s="67">
        <f>'P&amp;L - Inputs'!AX64</f>
        <v>0</v>
      </c>
      <c r="AZ57" s="67">
        <f>'P&amp;L - Inputs'!AY64</f>
        <v>0</v>
      </c>
      <c r="BA57" s="67">
        <f>'P&amp;L - Inputs'!AZ64</f>
        <v>196271563.96449715</v>
      </c>
      <c r="BB57" s="67">
        <f>'P&amp;L - Inputs'!BA64</f>
        <v>214793669.9689199</v>
      </c>
      <c r="BC57" s="67">
        <f>'P&amp;L - Inputs'!BB64</f>
        <v>247078673.91493225</v>
      </c>
      <c r="BD57" s="67">
        <f>'P&amp;L - Inputs'!BC64</f>
        <v>215303758.57817698</v>
      </c>
      <c r="BE57" s="67">
        <f>'P&amp;L - Inputs'!BD64</f>
        <v>279754562.75871587</v>
      </c>
      <c r="BF57" s="67">
        <f>'P&amp;L - Inputs'!BE64</f>
        <v>286497546.12529761</v>
      </c>
      <c r="BG57" s="67">
        <f>'P&amp;L - Inputs'!BF64</f>
        <v>360271246.38345116</v>
      </c>
      <c r="BH57" s="67">
        <f>'P&amp;L - Inputs'!BG64</f>
        <v>347126444.39342529</v>
      </c>
      <c r="BI57" s="67">
        <f>'P&amp;L - Inputs'!BH64</f>
        <v>318294032.30605453</v>
      </c>
      <c r="BJ57" s="66">
        <f>'P&amp;L - Inputs'!BI64</f>
        <v>345502281.24314451</v>
      </c>
      <c r="BK57" s="67">
        <f>'P&amp;L - Inputs'!BJ64</f>
        <v>328098736.76728386</v>
      </c>
      <c r="BL57" s="67">
        <f>'P&amp;L - Inputs'!BK64</f>
        <v>341818919.26234627</v>
      </c>
      <c r="BM57" s="67">
        <f>'P&amp;L - Inputs'!BL64</f>
        <v>243916258.53887999</v>
      </c>
      <c r="BN57" s="67">
        <f>'P&amp;L - Inputs'!BM64</f>
        <v>240943512.91255921</v>
      </c>
      <c r="BO57" s="67">
        <f>'P&amp;L - Inputs'!BN64</f>
        <v>263178428.69635341</v>
      </c>
      <c r="BP57" s="67">
        <f>'P&amp;L - Inputs'!BO64</f>
        <v>255548798.77452642</v>
      </c>
      <c r="BQ57" s="67">
        <f>'P&amp;L - Inputs'!BP64</f>
        <v>224867483.64889351</v>
      </c>
      <c r="BR57" s="67">
        <f>'P&amp;L - Inputs'!BQ64</f>
        <v>261301885.34905466</v>
      </c>
      <c r="BS57" s="67">
        <f>'P&amp;L - Inputs'!BR64</f>
        <v>251563835.54933065</v>
      </c>
      <c r="BT57" s="67">
        <f>'P&amp;L - Inputs'!BS64</f>
        <v>246766269.4599781</v>
      </c>
      <c r="BU57" s="67">
        <f>'P&amp;L - Inputs'!BT64</f>
        <v>248329023.16168702</v>
      </c>
      <c r="BV57" s="67">
        <f>'P&amp;L - Inputs'!BU64</f>
        <v>236946964.30218992</v>
      </c>
      <c r="BW57" s="67">
        <f>'P&amp;L - Inputs'!BV64</f>
        <v>246015836.52099323</v>
      </c>
      <c r="BX57" s="67">
        <f>'P&amp;L - Inputs'!BW64</f>
        <v>257713412.22415501</v>
      </c>
      <c r="BY57" s="67">
        <f>'P&amp;L - Inputs'!BX64</f>
        <v>260996422.83460703</v>
      </c>
      <c r="BZ57" s="67">
        <f>'P&amp;L - Inputs'!BY64</f>
        <v>240601386.39326981</v>
      </c>
      <c r="CA57" s="67">
        <f>'P&amp;L - Inputs'!BZ64</f>
        <v>222345844.2488333</v>
      </c>
      <c r="CB57" s="67">
        <f>'P&amp;L - Inputs'!CA64</f>
        <v>181577008.94835043</v>
      </c>
      <c r="CC57" s="67">
        <f>'P&amp;L - Inputs'!CB64</f>
        <v>234285558.72758681</v>
      </c>
      <c r="CD57" s="67">
        <f>'P&amp;L - Inputs'!CC64</f>
        <v>252904970.89250752</v>
      </c>
      <c r="CE57" s="67">
        <f>'P&amp;L - Inputs'!CD64</f>
        <v>262322726.95844513</v>
      </c>
      <c r="CF57" s="67">
        <f>'P&amp;L - Inputs'!CE64</f>
        <v>284752029.96560496</v>
      </c>
      <c r="CG57" s="67">
        <f>'P&amp;L - Inputs'!CF64</f>
        <v>365860347.63338917</v>
      </c>
      <c r="CH57" s="67">
        <f>'P&amp;L - Inputs'!CG64</f>
        <v>436214745.67257863</v>
      </c>
      <c r="CI57" s="67">
        <f>'P&amp;L - Inputs'!CH64</f>
        <v>364859545.61798644</v>
      </c>
      <c r="CJ57" s="67">
        <f>'P&amp;L - Inputs'!CI64</f>
        <v>360453769.92801833</v>
      </c>
      <c r="CK57" s="67">
        <f>'P&amp;L - Inputs'!CJ64</f>
        <v>384313278.59972775</v>
      </c>
      <c r="CL57" s="67">
        <f>'P&amp;L - Inputs'!CK64</f>
        <v>383744273.27772212</v>
      </c>
      <c r="CM57" s="67">
        <f>'P&amp;L - Inputs'!CL64</f>
        <v>324675689.22340035</v>
      </c>
      <c r="CN57" s="67">
        <f>'P&amp;L - Inputs'!CM64</f>
        <v>283900907.76497459</v>
      </c>
      <c r="CO57" s="67">
        <f>'P&amp;L - Inputs'!CN64</f>
        <v>360338072.55337697</v>
      </c>
      <c r="CP57" s="67">
        <f>'P&amp;L - Inputs'!CO64</f>
        <v>423052389.73483932</v>
      </c>
      <c r="CQ57" s="67">
        <f>'P&amp;L - Inputs'!CP64</f>
        <v>510230624.53010958</v>
      </c>
      <c r="CR57" s="67">
        <f>'P&amp;L - Inputs'!CQ64</f>
        <v>558200333.07212567</v>
      </c>
      <c r="CS57" s="67">
        <f>'P&amp;L - Inputs'!CR64</f>
        <v>511478902.7141394</v>
      </c>
      <c r="CT57" s="67">
        <f>'P&amp;L - Inputs'!CS64</f>
        <v>496827913.66003001</v>
      </c>
      <c r="CU57" s="67">
        <f t="shared" ref="CU57:DR57" si="383">CU46-CU56</f>
        <v>525406561.54948664</v>
      </c>
      <c r="CV57" s="67">
        <f t="shared" si="383"/>
        <v>544586129.88978302</v>
      </c>
      <c r="CW57" s="67">
        <f t="shared" si="383"/>
        <v>511602128.23525691</v>
      </c>
      <c r="CX57" s="67">
        <f t="shared" si="383"/>
        <v>512039811.8583287</v>
      </c>
      <c r="CY57" s="67">
        <f t="shared" si="383"/>
        <v>476093606.68405944</v>
      </c>
      <c r="CZ57" s="67">
        <f t="shared" si="383"/>
        <v>415172054.29076755</v>
      </c>
      <c r="DA57" s="67">
        <f t="shared" si="383"/>
        <v>485707582.96776456</v>
      </c>
      <c r="DB57" s="67">
        <f t="shared" si="383"/>
        <v>601480657.6028229</v>
      </c>
      <c r="DC57" s="67">
        <f t="shared" si="383"/>
        <v>670219227.73914373</v>
      </c>
      <c r="DD57" s="67">
        <f t="shared" si="383"/>
        <v>627196836.44808412</v>
      </c>
      <c r="DE57" s="67">
        <f t="shared" si="383"/>
        <v>611649061.70953643</v>
      </c>
      <c r="DF57" s="67">
        <f t="shared" si="383"/>
        <v>588124476.83681273</v>
      </c>
      <c r="DG57" s="67">
        <f t="shared" si="383"/>
        <v>650572503.65894723</v>
      </c>
      <c r="DH57" s="67">
        <f t="shared" si="383"/>
        <v>674321159.85662818</v>
      </c>
      <c r="DI57" s="67">
        <f t="shared" si="383"/>
        <v>633479483.89089143</v>
      </c>
      <c r="DJ57" s="67">
        <f t="shared" si="383"/>
        <v>634021435.49810505</v>
      </c>
      <c r="DK57" s="67">
        <f t="shared" si="383"/>
        <v>589511879.64426196</v>
      </c>
      <c r="DL57" s="67">
        <f t="shared" si="383"/>
        <v>514077178.6568808</v>
      </c>
      <c r="DM57" s="67">
        <f t="shared" si="383"/>
        <v>601416163.0672977</v>
      </c>
      <c r="DN57" s="67">
        <f t="shared" si="383"/>
        <v>744769490.8207618</v>
      </c>
      <c r="DO57" s="67">
        <f t="shared" si="383"/>
        <v>829883432.94519842</v>
      </c>
      <c r="DP57" s="67">
        <f t="shared" si="383"/>
        <v>776611953.55393243</v>
      </c>
      <c r="DQ57" s="67">
        <f t="shared" si="383"/>
        <v>757360281.65217304</v>
      </c>
      <c r="DR57" s="69">
        <f t="shared" si="383"/>
        <v>728231509.38665235</v>
      </c>
      <c r="DS57" s="69">
        <f t="shared" ref="DS57:ED57" si="384">DS46-DS56</f>
        <v>773338394.83657801</v>
      </c>
      <c r="DT57" s="69">
        <f t="shared" si="384"/>
        <v>801568526.85130072</v>
      </c>
      <c r="DU57" s="69">
        <f t="shared" si="384"/>
        <v>753019847.10209286</v>
      </c>
      <c r="DV57" s="69">
        <f t="shared" si="384"/>
        <v>753664067.3598572</v>
      </c>
      <c r="DW57" s="69">
        <f t="shared" si="384"/>
        <v>700755362.66466987</v>
      </c>
      <c r="DX57" s="69">
        <f t="shared" si="384"/>
        <v>611085802.01084161</v>
      </c>
      <c r="DY57" s="69">
        <f t="shared" si="384"/>
        <v>714906036.69757688</v>
      </c>
      <c r="DZ57" s="69">
        <f t="shared" si="384"/>
        <v>885310767.53978765</v>
      </c>
      <c r="EA57" s="69">
        <f t="shared" si="384"/>
        <v>986486084.68050587</v>
      </c>
      <c r="EB57" s="69">
        <f t="shared" si="384"/>
        <v>923162042.96138573</v>
      </c>
      <c r="EC57" s="69">
        <f t="shared" si="384"/>
        <v>900277495.94672728</v>
      </c>
      <c r="ED57" s="69">
        <f t="shared" si="384"/>
        <v>865651996.31265879</v>
      </c>
      <c r="EE57" s="39" t="s">
        <v>1</v>
      </c>
      <c r="EF57" s="68"/>
      <c r="EG57" s="629">
        <f>SUM(BK57:BM57)</f>
        <v>913833914.56851017</v>
      </c>
      <c r="EH57" s="629">
        <f>SUM(BN57:BP57)</f>
        <v>759670740.38343906</v>
      </c>
      <c r="EI57" s="629">
        <f>SUM(BQ57:BS57)</f>
        <v>737733204.54727888</v>
      </c>
      <c r="EJ57" s="629">
        <f>SUM(BT57:BV57)</f>
        <v>732042256.92385507</v>
      </c>
      <c r="EK57" s="629">
        <f>SUM(BW57:BY57)</f>
        <v>764725671.57975531</v>
      </c>
      <c r="EL57" s="629">
        <f t="shared" si="366"/>
        <v>644524239.59045351</v>
      </c>
      <c r="EM57" s="629">
        <f t="shared" si="367"/>
        <v>749513256.57853937</v>
      </c>
      <c r="EN57" s="629">
        <f t="shared" si="368"/>
        <v>1086827123.2715728</v>
      </c>
      <c r="EO57" s="629">
        <f t="shared" si="369"/>
        <v>1109626594.1457324</v>
      </c>
      <c r="EP57" s="629">
        <f t="shared" si="370"/>
        <v>992320870.26609707</v>
      </c>
      <c r="EQ57" s="629">
        <f t="shared" si="371"/>
        <v>1293621086.818326</v>
      </c>
      <c r="ER57" s="629">
        <f>SUM(CR57:CT57)</f>
        <v>1566507149.4462953</v>
      </c>
      <c r="ES57" s="629">
        <f t="shared" si="372"/>
        <v>1581594819.6745267</v>
      </c>
      <c r="ET57" s="629">
        <f t="shared" si="373"/>
        <v>1403305472.8331556</v>
      </c>
      <c r="EU57" s="629">
        <f t="shared" si="374"/>
        <v>1757407468.309731</v>
      </c>
      <c r="EV57" s="629">
        <f t="shared" si="375"/>
        <v>1826970374.9944332</v>
      </c>
      <c r="EW57" s="629">
        <f t="shared" si="376"/>
        <v>1958373147.406467</v>
      </c>
      <c r="EX57" s="629">
        <f t="shared" si="377"/>
        <v>1737610493.7992477</v>
      </c>
      <c r="EY57" s="629">
        <f t="shared" si="378"/>
        <v>2176069086.8332582</v>
      </c>
      <c r="EZ57" s="629">
        <f t="shared" si="379"/>
        <v>2262203744.5927577</v>
      </c>
      <c r="FA57" s="629">
        <f t="shared" si="344"/>
        <v>2327926768.7899714</v>
      </c>
      <c r="FB57" s="629">
        <f t="shared" si="380"/>
        <v>2065505232.0353687</v>
      </c>
      <c r="FC57" s="629">
        <f t="shared" si="381"/>
        <v>2586702888.9178705</v>
      </c>
      <c r="FD57" s="629">
        <f t="shared" si="382"/>
        <v>2689091535.2207718</v>
      </c>
      <c r="FG57" s="70">
        <f>SUM(EK57:EN57)</f>
        <v>3245590291.0203209</v>
      </c>
      <c r="FH57" s="67">
        <f>SUM(EO57:ER57)</f>
        <v>4962075700.6764507</v>
      </c>
      <c r="FI57" s="67">
        <f>SUM(ES57:EV57)</f>
        <v>6569278135.8118467</v>
      </c>
      <c r="FJ57" s="69">
        <f>SUM(EW57:EZ57)</f>
        <v>8134256472.631731</v>
      </c>
      <c r="FK57" s="619">
        <f t="shared" si="352"/>
        <v>9669226424.9639816</v>
      </c>
    </row>
    <row r="58" spans="2:167" ht="15.75" customHeight="1" x14ac:dyDescent="0.2">
      <c r="B58" s="48" t="s">
        <v>27</v>
      </c>
      <c r="C58" s="75">
        <f t="shared" ref="C58:ER58" si="385">IFERROR(C46/C32,0)</f>
        <v>0.96514907396369276</v>
      </c>
      <c r="D58" s="76">
        <f t="shared" si="385"/>
        <v>0.96852996491256338</v>
      </c>
      <c r="E58" s="76">
        <f t="shared" si="385"/>
        <v>0.97254258576974206</v>
      </c>
      <c r="F58" s="76">
        <f t="shared" si="385"/>
        <v>0.95913778965609864</v>
      </c>
      <c r="G58" s="76">
        <f t="shared" si="385"/>
        <v>0.98105151592521556</v>
      </c>
      <c r="H58" s="76">
        <f t="shared" si="385"/>
        <v>0.95711905243392381</v>
      </c>
      <c r="I58" s="76">
        <f t="shared" si="385"/>
        <v>1.0281775055006932</v>
      </c>
      <c r="J58" s="76">
        <f t="shared" si="385"/>
        <v>0.96536507499239788</v>
      </c>
      <c r="K58" s="76">
        <f t="shared" si="385"/>
        <v>0.99268807899237188</v>
      </c>
      <c r="L58" s="76">
        <f t="shared" si="385"/>
        <v>1.0264381374899565</v>
      </c>
      <c r="M58" s="76">
        <f t="shared" si="385"/>
        <v>0.99487505313366098</v>
      </c>
      <c r="N58" s="76">
        <f t="shared" si="385"/>
        <v>0.98614901276840949</v>
      </c>
      <c r="O58" s="76">
        <f t="shared" si="385"/>
        <v>0.98487616547585477</v>
      </c>
      <c r="P58" s="76">
        <f t="shared" si="385"/>
        <v>0.99241349845201854</v>
      </c>
      <c r="Q58" s="76">
        <f t="shared" si="385"/>
        <v>0.9831378831212908</v>
      </c>
      <c r="R58" s="76">
        <f t="shared" si="385"/>
        <v>0.96088852036021088</v>
      </c>
      <c r="S58" s="76">
        <f t="shared" si="385"/>
        <v>0.96285355585153254</v>
      </c>
      <c r="T58" s="76">
        <f t="shared" si="385"/>
        <v>0.98374040510507621</v>
      </c>
      <c r="U58" s="76">
        <f t="shared" si="385"/>
        <v>1.0011389982060157</v>
      </c>
      <c r="V58" s="76">
        <f t="shared" si="385"/>
        <v>0.97363824007274424</v>
      </c>
      <c r="W58" s="76">
        <f t="shared" si="385"/>
        <v>0.96929697790230185</v>
      </c>
      <c r="X58" s="76">
        <f t="shared" si="385"/>
        <v>0.9549969246758333</v>
      </c>
      <c r="Y58" s="76">
        <f t="shared" si="385"/>
        <v>0.93123759434783016</v>
      </c>
      <c r="Z58" s="76">
        <f t="shared" si="385"/>
        <v>0.95296320624895714</v>
      </c>
      <c r="AA58" s="76">
        <f t="shared" si="385"/>
        <v>-67.639122391467353</v>
      </c>
      <c r="AB58" s="76">
        <f t="shared" si="385"/>
        <v>0.93082379373037771</v>
      </c>
      <c r="AC58" s="79">
        <f t="shared" si="385"/>
        <v>0.97256612347985216</v>
      </c>
      <c r="AD58" s="76">
        <f t="shared" si="385"/>
        <v>0.97314014546433392</v>
      </c>
      <c r="AE58" s="76">
        <f t="shared" si="385"/>
        <v>0.95849223833232489</v>
      </c>
      <c r="AF58" s="76">
        <f t="shared" si="385"/>
        <v>0.95429993444907579</v>
      </c>
      <c r="AG58" s="76">
        <f t="shared" si="385"/>
        <v>0.9727426663367601</v>
      </c>
      <c r="AH58" s="76">
        <f t="shared" si="385"/>
        <v>0.93977640673538287</v>
      </c>
      <c r="AI58" s="76">
        <f t="shared" si="385"/>
        <v>0.9630718313427945</v>
      </c>
      <c r="AJ58" s="76">
        <f t="shared" si="385"/>
        <v>0.97459424686981277</v>
      </c>
      <c r="AK58" s="79">
        <f t="shared" si="385"/>
        <v>0.9646746506111501</v>
      </c>
      <c r="AL58" s="76">
        <f t="shared" si="385"/>
        <v>0.95802628605491158</v>
      </c>
      <c r="AM58" s="76">
        <f t="shared" si="385"/>
        <v>0.98192765863811138</v>
      </c>
      <c r="AN58" s="76">
        <f t="shared" si="385"/>
        <v>0.98516849309673582</v>
      </c>
      <c r="AO58" s="76">
        <f t="shared" si="385"/>
        <v>0.94879069171375385</v>
      </c>
      <c r="AP58" s="76">
        <f t="shared" si="385"/>
        <v>0.96341098806512881</v>
      </c>
      <c r="AQ58" s="76">
        <f t="shared" si="385"/>
        <v>0.96212230580576463</v>
      </c>
      <c r="AR58" s="76">
        <f t="shared" si="385"/>
        <v>0.96917621659836117</v>
      </c>
      <c r="AS58" s="76">
        <f t="shared" si="385"/>
        <v>0.96460887111558435</v>
      </c>
      <c r="AT58" s="76">
        <f t="shared" si="385"/>
        <v>0.9711298828190067</v>
      </c>
      <c r="AU58" s="76">
        <f t="shared" si="385"/>
        <v>0.97328516075975557</v>
      </c>
      <c r="AV58" s="76">
        <f t="shared" si="385"/>
        <v>1.0063910064156929</v>
      </c>
      <c r="AW58" s="76">
        <f t="shared" si="385"/>
        <v>1.0237804798529997</v>
      </c>
      <c r="AX58" s="76">
        <f t="shared" si="385"/>
        <v>1.0153518280082319</v>
      </c>
      <c r="AY58" s="76">
        <f t="shared" si="385"/>
        <v>1.0254203142395111</v>
      </c>
      <c r="AZ58" s="76">
        <f t="shared" si="385"/>
        <v>1.0416780590980632</v>
      </c>
      <c r="BA58" s="76">
        <f t="shared" si="385"/>
        <v>1.0264983704927046</v>
      </c>
      <c r="BB58" s="76">
        <f t="shared" si="385"/>
        <v>0.96628559952529636</v>
      </c>
      <c r="BC58" s="76">
        <f t="shared" si="385"/>
        <v>1.0050809525673838</v>
      </c>
      <c r="BD58" s="76">
        <f t="shared" si="385"/>
        <v>1.0642065922938657</v>
      </c>
      <c r="BE58" s="76">
        <f t="shared" si="385"/>
        <v>1.0350535877375024</v>
      </c>
      <c r="BF58" s="76">
        <f t="shared" si="385"/>
        <v>1.0139943096031399</v>
      </c>
      <c r="BG58" s="76">
        <f t="shared" si="385"/>
        <v>0.9863370616324475</v>
      </c>
      <c r="BH58" s="76">
        <f t="shared" si="385"/>
        <v>0.9969010190002735</v>
      </c>
      <c r="BI58" s="76">
        <f t="shared" si="385"/>
        <v>1.0059337690720762</v>
      </c>
      <c r="BJ58" s="75">
        <f t="shared" si="385"/>
        <v>0.98037453527138396</v>
      </c>
      <c r="BK58" s="76">
        <f t="shared" si="385"/>
        <v>0.9591529953865815</v>
      </c>
      <c r="BL58" s="76">
        <f t="shared" si="385"/>
        <v>0.96638083598496982</v>
      </c>
      <c r="BM58" s="76">
        <f t="shared" si="385"/>
        <v>0.95192513382736366</v>
      </c>
      <c r="BN58" s="76">
        <f t="shared" si="385"/>
        <v>0.93016242316607711</v>
      </c>
      <c r="BO58" s="76">
        <f t="shared" si="385"/>
        <v>0.94043650383547062</v>
      </c>
      <c r="BP58" s="76">
        <f t="shared" si="385"/>
        <v>0.96035752544588837</v>
      </c>
      <c r="BQ58" s="76">
        <f t="shared" si="385"/>
        <v>0.94345953610525102</v>
      </c>
      <c r="BR58" s="76">
        <f t="shared" si="385"/>
        <v>0.95155125625180248</v>
      </c>
      <c r="BS58" s="76">
        <f t="shared" si="385"/>
        <v>0.98914542992116949</v>
      </c>
      <c r="BT58" s="76">
        <f t="shared" si="385"/>
        <v>1.0420095028576739</v>
      </c>
      <c r="BU58" s="76">
        <f t="shared" si="385"/>
        <v>0.95711392977234167</v>
      </c>
      <c r="BV58" s="76">
        <f t="shared" si="385"/>
        <v>0.94475957710189373</v>
      </c>
      <c r="BW58" s="76">
        <f t="shared" si="385"/>
        <v>0.92209842503613837</v>
      </c>
      <c r="BX58" s="76">
        <f t="shared" si="385"/>
        <v>0.91463685750781432</v>
      </c>
      <c r="BY58" s="76">
        <f t="shared" si="385"/>
        <v>0.91914451540086306</v>
      </c>
      <c r="BZ58" s="76">
        <f t="shared" si="385"/>
        <v>0.95407742534513973</v>
      </c>
      <c r="CA58" s="76">
        <f t="shared" si="385"/>
        <v>0.94114159218378901</v>
      </c>
      <c r="CB58" s="76">
        <f t="shared" si="385"/>
        <v>0.94572899088739149</v>
      </c>
      <c r="CC58" s="76">
        <f t="shared" si="385"/>
        <v>0.93491152845638403</v>
      </c>
      <c r="CD58" s="76">
        <f t="shared" si="385"/>
        <v>0.93067071931266721</v>
      </c>
      <c r="CE58" s="76">
        <f t="shared" si="385"/>
        <v>0.93962561506504627</v>
      </c>
      <c r="CF58" s="76">
        <f t="shared" si="385"/>
        <v>0.94146511092758789</v>
      </c>
      <c r="CG58" s="76">
        <f t="shared" si="385"/>
        <v>0.92766504827109919</v>
      </c>
      <c r="CH58" s="76">
        <f t="shared" si="385"/>
        <v>0.95592723108766953</v>
      </c>
      <c r="CI58" s="76">
        <f t="shared" si="385"/>
        <v>0.92702653193609963</v>
      </c>
      <c r="CJ58" s="76">
        <f t="shared" si="385"/>
        <v>0.92947715348804105</v>
      </c>
      <c r="CK58" s="76">
        <f t="shared" si="385"/>
        <v>0.92840149237883596</v>
      </c>
      <c r="CL58" s="76">
        <f t="shared" si="385"/>
        <v>0.92982255982216799</v>
      </c>
      <c r="CM58" s="76">
        <f t="shared" si="385"/>
        <v>0.91927212528411706</v>
      </c>
      <c r="CN58" s="76">
        <f t="shared" si="385"/>
        <v>0.93536820220381689</v>
      </c>
      <c r="CO58" s="76">
        <f t="shared" si="385"/>
        <v>0.91844197502398173</v>
      </c>
      <c r="CP58" s="76">
        <f t="shared" si="385"/>
        <v>0.93064292338280574</v>
      </c>
      <c r="CQ58" s="76">
        <f t="shared" si="385"/>
        <v>0.95923552071035123</v>
      </c>
      <c r="CR58" s="76">
        <f t="shared" si="385"/>
        <v>0.94811739878761425</v>
      </c>
      <c r="CS58" s="76">
        <f t="shared" si="385"/>
        <v>0.92449451552343531</v>
      </c>
      <c r="CT58" s="76">
        <f t="shared" si="385"/>
        <v>0.9139694049822048</v>
      </c>
      <c r="CU58" s="76">
        <f t="shared" si="385"/>
        <v>0.93350963814711974</v>
      </c>
      <c r="CV58" s="76">
        <f t="shared" si="385"/>
        <v>0.93350963814711929</v>
      </c>
      <c r="CW58" s="76">
        <f t="shared" si="385"/>
        <v>0.93350963814711951</v>
      </c>
      <c r="CX58" s="76">
        <f t="shared" si="385"/>
        <v>0.93350963814711962</v>
      </c>
      <c r="CY58" s="76">
        <f t="shared" si="385"/>
        <v>0.93350963814711974</v>
      </c>
      <c r="CZ58" s="76">
        <f t="shared" si="385"/>
        <v>0.93350963814711951</v>
      </c>
      <c r="DA58" s="76">
        <f t="shared" si="385"/>
        <v>0.93350963814711951</v>
      </c>
      <c r="DB58" s="76">
        <f t="shared" si="385"/>
        <v>0.93350963814711951</v>
      </c>
      <c r="DC58" s="76">
        <f t="shared" si="385"/>
        <v>0.93350963814711974</v>
      </c>
      <c r="DD58" s="76">
        <f t="shared" si="385"/>
        <v>0.93350963814711962</v>
      </c>
      <c r="DE58" s="76">
        <f t="shared" si="385"/>
        <v>0.93350963814711974</v>
      </c>
      <c r="DF58" s="76">
        <f t="shared" si="385"/>
        <v>0.93350963814711985</v>
      </c>
      <c r="DG58" s="76">
        <f t="shared" si="385"/>
        <v>0.92471734755360979</v>
      </c>
      <c r="DH58" s="76">
        <f t="shared" si="385"/>
        <v>0.92471734755360924</v>
      </c>
      <c r="DI58" s="76">
        <f t="shared" si="385"/>
        <v>0.92471734755360924</v>
      </c>
      <c r="DJ58" s="76">
        <f t="shared" si="385"/>
        <v>0.92471734755360924</v>
      </c>
      <c r="DK58" s="76">
        <f t="shared" si="385"/>
        <v>0.92471734755360924</v>
      </c>
      <c r="DL58" s="76">
        <f t="shared" si="385"/>
        <v>0.92471734755360946</v>
      </c>
      <c r="DM58" s="76">
        <f t="shared" si="385"/>
        <v>0.92471734755360935</v>
      </c>
      <c r="DN58" s="76">
        <f t="shared" si="385"/>
        <v>0.92471734755360935</v>
      </c>
      <c r="DO58" s="76">
        <f t="shared" si="385"/>
        <v>0.92471734755360946</v>
      </c>
      <c r="DP58" s="76">
        <f t="shared" si="385"/>
        <v>0.92471734755360946</v>
      </c>
      <c r="DQ58" s="76">
        <f t="shared" si="385"/>
        <v>0.92471734755360968</v>
      </c>
      <c r="DR58" s="78">
        <f t="shared" si="385"/>
        <v>0.92471734755360946</v>
      </c>
      <c r="DS58" s="78">
        <f t="shared" ref="DS58:ED58" si="386">IFERROR(DS46/DS32,0)</f>
        <v>0.91601297986603447</v>
      </c>
      <c r="DT58" s="78">
        <f t="shared" si="386"/>
        <v>0.91601297986603469</v>
      </c>
      <c r="DU58" s="78">
        <f t="shared" si="386"/>
        <v>0.91601297986603458</v>
      </c>
      <c r="DV58" s="78">
        <f t="shared" si="386"/>
        <v>0.91601297986603436</v>
      </c>
      <c r="DW58" s="78">
        <f t="shared" si="386"/>
        <v>0.91601297986603469</v>
      </c>
      <c r="DX58" s="78">
        <f t="shared" si="386"/>
        <v>0.91601297986603425</v>
      </c>
      <c r="DY58" s="78">
        <f t="shared" si="386"/>
        <v>0.91601297986603414</v>
      </c>
      <c r="DZ58" s="78">
        <f t="shared" si="386"/>
        <v>0.91601297986603469</v>
      </c>
      <c r="EA58" s="78">
        <f t="shared" si="386"/>
        <v>0.91601297986603436</v>
      </c>
      <c r="EB58" s="78">
        <f t="shared" si="386"/>
        <v>0.91601297986603414</v>
      </c>
      <c r="EC58" s="78">
        <f t="shared" si="386"/>
        <v>0.91601297986603436</v>
      </c>
      <c r="ED58" s="78">
        <f t="shared" si="386"/>
        <v>0.91601297986603447</v>
      </c>
      <c r="EE58" s="39" t="s">
        <v>1</v>
      </c>
      <c r="EF58" s="79"/>
      <c r="EG58" s="627">
        <f t="shared" si="385"/>
        <v>0.95979626534224571</v>
      </c>
      <c r="EH58" s="627">
        <f t="shared" si="385"/>
        <v>0.94373927224568466</v>
      </c>
      <c r="EI58" s="627">
        <f t="shared" si="385"/>
        <v>0.9616360837358251</v>
      </c>
      <c r="EJ58" s="627">
        <f t="shared" si="385"/>
        <v>0.97997966437584816</v>
      </c>
      <c r="EK58" s="627">
        <f t="shared" si="385"/>
        <v>0.91857792994565246</v>
      </c>
      <c r="EL58" s="627">
        <f t="shared" si="385"/>
        <v>0.94711596952391797</v>
      </c>
      <c r="EM58" s="627">
        <f t="shared" si="385"/>
        <v>0.93527181908889034</v>
      </c>
      <c r="EN58" s="627">
        <f t="shared" si="385"/>
        <v>0.94282822425634871</v>
      </c>
      <c r="EO58" s="627">
        <f t="shared" si="385"/>
        <v>0.92829471709820133</v>
      </c>
      <c r="EP58" s="627">
        <f t="shared" si="385"/>
        <v>0.92792915108632679</v>
      </c>
      <c r="EQ58" s="627">
        <f t="shared" si="385"/>
        <v>0.93870466313718204</v>
      </c>
      <c r="ER58" s="627">
        <f t="shared" si="385"/>
        <v>0.92961982164571177</v>
      </c>
      <c r="ES58" s="627">
        <f t="shared" ref="ES58:FD58" si="387">IFERROR(ES46/ES32,0)</f>
        <v>0.93350963814711962</v>
      </c>
      <c r="ET58" s="627">
        <f t="shared" si="387"/>
        <v>0.9335096381471194</v>
      </c>
      <c r="EU58" s="627">
        <f t="shared" si="387"/>
        <v>0.93350963814711962</v>
      </c>
      <c r="EV58" s="627">
        <f t="shared" si="387"/>
        <v>0.93350963814711962</v>
      </c>
      <c r="EW58" s="627">
        <f t="shared" si="387"/>
        <v>0.92471734755360935</v>
      </c>
      <c r="EX58" s="627">
        <f t="shared" si="387"/>
        <v>0.92471734755360946</v>
      </c>
      <c r="EY58" s="627">
        <f t="shared" si="387"/>
        <v>0.92471734755360924</v>
      </c>
      <c r="EZ58" s="627">
        <f t="shared" si="387"/>
        <v>0.92471734755360957</v>
      </c>
      <c r="FA58" s="627">
        <f t="shared" si="387"/>
        <v>0.91601297986603469</v>
      </c>
      <c r="FB58" s="627">
        <f t="shared" si="387"/>
        <v>0.91601297986603447</v>
      </c>
      <c r="FC58" s="627">
        <f t="shared" si="387"/>
        <v>0.91601297986603425</v>
      </c>
      <c r="FD58" s="627">
        <f t="shared" si="387"/>
        <v>0.91601297986603425</v>
      </c>
      <c r="FG58" s="80">
        <f t="shared" ref="FG58" si="388">IFERROR(FG46/FG32,0)</f>
        <v>0.93640697982850474</v>
      </c>
      <c r="FH58" s="76">
        <f t="shared" ref="FH58:FK58" si="389">IFERROR(FH46/FH32,0)</f>
        <v>0.93136495997230484</v>
      </c>
      <c r="FI58" s="76">
        <f t="shared" si="389"/>
        <v>0.93350963814711974</v>
      </c>
      <c r="FJ58" s="78">
        <f t="shared" si="389"/>
        <v>0.92471734755360946</v>
      </c>
      <c r="FK58" s="78">
        <f t="shared" si="389"/>
        <v>0.91601297986603436</v>
      </c>
    </row>
    <row r="59" spans="2:167" ht="15.75" customHeight="1" x14ac:dyDescent="0.2">
      <c r="B59" s="48"/>
      <c r="C59" s="75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5"/>
      <c r="U59" s="76"/>
      <c r="V59" s="76"/>
      <c r="W59" s="76"/>
      <c r="X59" s="76"/>
      <c r="Y59" s="76"/>
      <c r="Z59" s="76"/>
      <c r="AA59" s="76"/>
      <c r="AB59" s="76"/>
      <c r="AC59" s="79"/>
      <c r="AD59" s="76"/>
      <c r="AE59" s="76"/>
      <c r="AF59" s="76"/>
      <c r="AG59" s="76"/>
      <c r="AH59" s="76"/>
      <c r="AI59" s="76"/>
      <c r="AJ59" s="76"/>
      <c r="AK59" s="79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5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8"/>
      <c r="DS59" s="78"/>
      <c r="DT59" s="78"/>
      <c r="DU59" s="78"/>
      <c r="DV59" s="78"/>
      <c r="DW59" s="78"/>
      <c r="DX59" s="78"/>
      <c r="DY59" s="78"/>
      <c r="DZ59" s="78"/>
      <c r="EA59" s="78"/>
      <c r="EB59" s="78"/>
      <c r="EC59" s="78"/>
      <c r="ED59" s="78"/>
      <c r="EE59" s="39" t="s">
        <v>1</v>
      </c>
      <c r="EF59" s="79"/>
      <c r="EG59" s="637"/>
      <c r="EH59" s="637"/>
      <c r="EI59" s="637"/>
      <c r="EJ59" s="637"/>
      <c r="EK59" s="637"/>
      <c r="EL59" s="637"/>
      <c r="EM59" s="637"/>
      <c r="EN59" s="637"/>
      <c r="EO59" s="637"/>
      <c r="EP59" s="637"/>
      <c r="EQ59" s="637"/>
      <c r="ER59" s="627"/>
      <c r="ES59" s="627"/>
      <c r="ET59" s="627"/>
      <c r="EU59" s="627"/>
      <c r="EV59" s="627"/>
      <c r="EW59" s="627"/>
      <c r="EX59" s="627"/>
      <c r="EY59" s="627"/>
      <c r="EZ59" s="627"/>
      <c r="FA59" s="627"/>
      <c r="FB59" s="627"/>
      <c r="FC59" s="627"/>
      <c r="FD59" s="627"/>
      <c r="FG59" s="80"/>
      <c r="FH59" s="76"/>
      <c r="FI59" s="76"/>
      <c r="FJ59" s="78"/>
      <c r="FK59" s="106"/>
    </row>
    <row r="60" spans="2:167" ht="15.75" customHeight="1" x14ac:dyDescent="0.2">
      <c r="B60" s="56" t="s">
        <v>28</v>
      </c>
      <c r="C60" s="61">
        <f t="shared" ref="C60:BV60" si="390">C32-C46</f>
        <v>4384291</v>
      </c>
      <c r="D60" s="62">
        <f t="shared" si="390"/>
        <v>3700623.9928571433</v>
      </c>
      <c r="E60" s="62">
        <f t="shared" si="390"/>
        <v>3609938.9636392146</v>
      </c>
      <c r="F60" s="62">
        <f t="shared" si="390"/>
        <v>6253982.3737604618</v>
      </c>
      <c r="G60" s="62">
        <f t="shared" si="390"/>
        <v>3399366.2541480958</v>
      </c>
      <c r="H60" s="62">
        <f t="shared" si="390"/>
        <v>8022728.6392175853</v>
      </c>
      <c r="I60" s="62">
        <f t="shared" si="390"/>
        <v>-5659615.6347661912</v>
      </c>
      <c r="J60" s="62">
        <f t="shared" si="390"/>
        <v>6513918.1490530074</v>
      </c>
      <c r="K60" s="62">
        <f t="shared" si="390"/>
        <v>1740662.9510399997</v>
      </c>
      <c r="L60" s="62">
        <f t="shared" si="390"/>
        <v>-6118229.0965713561</v>
      </c>
      <c r="M60" s="62">
        <f t="shared" si="390"/>
        <v>1212429.0744059682</v>
      </c>
      <c r="N60" s="62">
        <f t="shared" si="390"/>
        <v>2866554.7199999988</v>
      </c>
      <c r="O60" s="62">
        <f t="shared" si="390"/>
        <v>4043709.1427058578</v>
      </c>
      <c r="P60" s="62">
        <f t="shared" si="390"/>
        <v>2008293.2893051505</v>
      </c>
      <c r="Q60" s="62">
        <f t="shared" si="390"/>
        <v>4779310.8952202797</v>
      </c>
      <c r="R60" s="62">
        <f t="shared" si="390"/>
        <v>11305867.598752737</v>
      </c>
      <c r="S60" s="62">
        <f t="shared" si="390"/>
        <v>8812437.6034167409</v>
      </c>
      <c r="T60" s="62">
        <f t="shared" si="390"/>
        <v>3415243.0739036798</v>
      </c>
      <c r="U60" s="62">
        <f t="shared" si="390"/>
        <v>-202135.34783005714</v>
      </c>
      <c r="V60" s="62">
        <f t="shared" si="390"/>
        <v>5703514.1410422921</v>
      </c>
      <c r="W60" s="62">
        <f t="shared" si="390"/>
        <v>7629793.71614182</v>
      </c>
      <c r="X60" s="62">
        <f t="shared" si="390"/>
        <v>11292707.404662549</v>
      </c>
      <c r="Y60" s="62">
        <f t="shared" si="390"/>
        <v>19775656.741966784</v>
      </c>
      <c r="Z60" s="62">
        <f t="shared" si="390"/>
        <v>8448150.945310086</v>
      </c>
      <c r="AA60" s="62">
        <f t="shared" si="390"/>
        <v>-3957624.4258934096</v>
      </c>
      <c r="AB60" s="62">
        <f t="shared" si="390"/>
        <v>9471737.0396437347</v>
      </c>
      <c r="AC60" s="614">
        <f t="shared" si="390"/>
        <v>3914558.1743030548</v>
      </c>
      <c r="AD60" s="62">
        <f t="shared" si="390"/>
        <v>3144605.2302089185</v>
      </c>
      <c r="AE60" s="62">
        <f t="shared" si="390"/>
        <v>8109181.9740197062</v>
      </c>
      <c r="AF60" s="62">
        <f t="shared" si="390"/>
        <v>9185826.495228231</v>
      </c>
      <c r="AG60" s="62">
        <f t="shared" si="390"/>
        <v>4934431.9880880415</v>
      </c>
      <c r="AH60" s="62">
        <f t="shared" si="390"/>
        <v>12838496.468203098</v>
      </c>
      <c r="AI60" s="62">
        <f t="shared" si="390"/>
        <v>12775193.937928319</v>
      </c>
      <c r="AJ60" s="62">
        <f t="shared" si="390"/>
        <v>7583949.716103375</v>
      </c>
      <c r="AK60" s="614">
        <f t="shared" si="390"/>
        <v>13196075.716585934</v>
      </c>
      <c r="AL60" s="62">
        <f t="shared" si="390"/>
        <v>13153078.853424609</v>
      </c>
      <c r="AM60" s="62">
        <f t="shared" si="390"/>
        <v>3892377.122563988</v>
      </c>
      <c r="AN60" s="62">
        <f t="shared" si="390"/>
        <v>1445814.9227166325</v>
      </c>
      <c r="AO60" s="62">
        <f t="shared" si="390"/>
        <v>11046683.669982493</v>
      </c>
      <c r="AP60" s="62">
        <f t="shared" si="390"/>
        <v>11069753.039999962</v>
      </c>
      <c r="AQ60" s="62">
        <f t="shared" si="390"/>
        <v>11191362.936149776</v>
      </c>
      <c r="AR60" s="62">
        <f t="shared" si="390"/>
        <v>8581236.1590910554</v>
      </c>
      <c r="AS60" s="62">
        <f t="shared" si="390"/>
        <v>8396791.1899999678</v>
      </c>
      <c r="AT60" s="62">
        <f t="shared" si="390"/>
        <v>8262965</v>
      </c>
      <c r="AU60" s="62">
        <f t="shared" si="390"/>
        <v>10254218.154410005</v>
      </c>
      <c r="AV60" s="62">
        <f t="shared" si="390"/>
        <v>-2232621.9999999404</v>
      </c>
      <c r="AW60" s="62">
        <f t="shared" si="390"/>
        <v>-8506652.3999999762</v>
      </c>
      <c r="AX60" s="62">
        <f t="shared" si="390"/>
        <v>-4778931.5254288912</v>
      </c>
      <c r="AY60" s="62">
        <f t="shared" si="390"/>
        <v>-7884761.4362305403</v>
      </c>
      <c r="AZ60" s="62">
        <f t="shared" si="390"/>
        <v>-14490174.379999995</v>
      </c>
      <c r="BA60" s="62">
        <f t="shared" si="390"/>
        <v>-6614666.7140211463</v>
      </c>
      <c r="BB60" s="62">
        <f t="shared" si="390"/>
        <v>9771551.8623319268</v>
      </c>
      <c r="BC60" s="62">
        <f t="shared" si="390"/>
        <v>-1571756.0555456281</v>
      </c>
      <c r="BD60" s="62">
        <f t="shared" si="390"/>
        <v>-20432230.492165625</v>
      </c>
      <c r="BE60" s="62">
        <f t="shared" si="390"/>
        <v>-13076308.631828129</v>
      </c>
      <c r="BF60" s="62">
        <f t="shared" si="390"/>
        <v>-5653125.8112119436</v>
      </c>
      <c r="BG60" s="62">
        <f t="shared" si="390"/>
        <v>7010353.9030472636</v>
      </c>
      <c r="BH60" s="62">
        <f t="shared" si="390"/>
        <v>1434682.3502946496</v>
      </c>
      <c r="BI60" s="62">
        <f t="shared" si="390"/>
        <v>-2211569.9248145223</v>
      </c>
      <c r="BJ60" s="61">
        <f t="shared" si="390"/>
        <v>8087466.4002967477</v>
      </c>
      <c r="BK60" s="62">
        <f t="shared" si="390"/>
        <v>15512915.338313043</v>
      </c>
      <c r="BL60" s="62">
        <f t="shared" si="390"/>
        <v>13034540.254134774</v>
      </c>
      <c r="BM60" s="62">
        <f t="shared" si="390"/>
        <v>14100418.888638139</v>
      </c>
      <c r="BN60" s="62">
        <f t="shared" si="390"/>
        <v>19256614.107543558</v>
      </c>
      <c r="BO60" s="62">
        <f t="shared" si="390"/>
        <v>17416146.250745296</v>
      </c>
      <c r="BP60" s="62">
        <f t="shared" si="390"/>
        <v>11233978.484538257</v>
      </c>
      <c r="BQ60" s="62">
        <f t="shared" si="390"/>
        <v>15018072.144873917</v>
      </c>
      <c r="BR60" s="62">
        <f t="shared" si="390"/>
        <v>15844195.781162739</v>
      </c>
      <c r="BS60" s="62">
        <f t="shared" si="390"/>
        <v>3206348.9778730869</v>
      </c>
      <c r="BT60" s="62">
        <f t="shared" si="390"/>
        <v>-11157723.275384098</v>
      </c>
      <c r="BU60" s="62">
        <f t="shared" si="390"/>
        <v>11910211.974689931</v>
      </c>
      <c r="BV60" s="62">
        <f t="shared" si="390"/>
        <v>15880264.063362956</v>
      </c>
      <c r="BW60" s="62">
        <f t="shared" ref="BW60:ER60" si="391">BW32-BW46+BW53+BW54</f>
        <v>24804070.383594427</v>
      </c>
      <c r="BX60" s="62">
        <f t="shared" si="391"/>
        <v>28177454.477020148</v>
      </c>
      <c r="BY60" s="62">
        <f t="shared" si="391"/>
        <v>25493574.857377741</v>
      </c>
      <c r="BZ60" s="62">
        <f t="shared" si="391"/>
        <v>14254502.202434445</v>
      </c>
      <c r="CA60" s="62">
        <f t="shared" si="391"/>
        <v>16906488.977704059</v>
      </c>
      <c r="CB60" s="62">
        <f t="shared" si="391"/>
        <v>13758722.838047974</v>
      </c>
      <c r="CC60" s="62">
        <f t="shared" si="391"/>
        <v>20291617.965833403</v>
      </c>
      <c r="CD60" s="62">
        <f t="shared" si="391"/>
        <v>22273923.442069523</v>
      </c>
      <c r="CE60" s="62">
        <f t="shared" si="391"/>
        <v>21868363.715148319</v>
      </c>
      <c r="CF60" s="62">
        <f t="shared" si="391"/>
        <v>23780941.527739443</v>
      </c>
      <c r="CG60" s="62">
        <f t="shared" si="391"/>
        <v>33150624.700745475</v>
      </c>
      <c r="CH60" s="62">
        <f t="shared" si="391"/>
        <v>25783799.679394897</v>
      </c>
      <c r="CI60" s="62">
        <f t="shared" si="391"/>
        <v>35259655.826844856</v>
      </c>
      <c r="CJ60" s="62">
        <f t="shared" si="391"/>
        <v>35295245.472956017</v>
      </c>
      <c r="CK60" s="62">
        <f t="shared" si="391"/>
        <v>34924240.935434565</v>
      </c>
      <c r="CL60" s="62">
        <f t="shared" si="391"/>
        <v>34936045.552291155</v>
      </c>
      <c r="CM60" s="62">
        <f t="shared" si="391"/>
        <v>33669494.864961959</v>
      </c>
      <c r="CN60" s="62">
        <f t="shared" si="391"/>
        <v>23408291.563125439</v>
      </c>
      <c r="CO60" s="62">
        <f t="shared" si="391"/>
        <v>37985269.156933762</v>
      </c>
      <c r="CP60" s="62">
        <f t="shared" si="391"/>
        <v>39204404.874397367</v>
      </c>
      <c r="CQ60" s="62">
        <f t="shared" si="391"/>
        <v>28706550.022102349</v>
      </c>
      <c r="CR60" s="62">
        <f t="shared" si="391"/>
        <v>38106811.226199932</v>
      </c>
      <c r="CS60" s="62">
        <f t="shared" si="391"/>
        <v>49678978.379448652</v>
      </c>
      <c r="CT60" s="62">
        <f t="shared" si="391"/>
        <v>53913545.558124386</v>
      </c>
      <c r="CU60" s="62">
        <f t="shared" si="391"/>
        <v>44348565.911101446</v>
      </c>
      <c r="CV60" s="62">
        <f t="shared" si="391"/>
        <v>45967476.69930663</v>
      </c>
      <c r="CW60" s="62">
        <f t="shared" si="391"/>
        <v>43183360.020074897</v>
      </c>
      <c r="CX60" s="62">
        <f t="shared" si="391"/>
        <v>43220304.060036547</v>
      </c>
      <c r="CY60" s="62">
        <f t="shared" si="391"/>
        <v>40186153.430619724</v>
      </c>
      <c r="CZ60" s="62">
        <f t="shared" si="391"/>
        <v>35043881.370383941</v>
      </c>
      <c r="DA60" s="62">
        <f t="shared" si="391"/>
        <v>40997650.834893353</v>
      </c>
      <c r="DB60" s="62">
        <f t="shared" si="391"/>
        <v>50769835.285810508</v>
      </c>
      <c r="DC60" s="62">
        <f t="shared" si="391"/>
        <v>56571926.906697713</v>
      </c>
      <c r="DD60" s="62">
        <f t="shared" si="391"/>
        <v>52940488.901435904</v>
      </c>
      <c r="DE60" s="62">
        <f t="shared" si="391"/>
        <v>51628130.885331206</v>
      </c>
      <c r="DF60" s="62">
        <f t="shared" si="391"/>
        <v>49642465.537562132</v>
      </c>
      <c r="DG60" s="62">
        <f t="shared" si="391"/>
        <v>62077274.155777887</v>
      </c>
      <c r="DH60" s="62">
        <f t="shared" si="391"/>
        <v>64343358.002426185</v>
      </c>
      <c r="DI60" s="62">
        <f t="shared" si="391"/>
        <v>60446267.514206506</v>
      </c>
      <c r="DJ60" s="62">
        <f t="shared" si="391"/>
        <v>60497980.241551951</v>
      </c>
      <c r="DK60" s="62">
        <f t="shared" si="391"/>
        <v>56250902.65104346</v>
      </c>
      <c r="DL60" s="62">
        <f t="shared" si="391"/>
        <v>49052964.546195723</v>
      </c>
      <c r="DM60" s="62">
        <f t="shared" si="391"/>
        <v>57386802.895095646</v>
      </c>
      <c r="DN60" s="62">
        <f t="shared" si="391"/>
        <v>71065499.394018158</v>
      </c>
      <c r="DO60" s="62">
        <f t="shared" si="391"/>
        <v>79187025.41920577</v>
      </c>
      <c r="DP60" s="62">
        <f t="shared" si="391"/>
        <v>74103889.854366273</v>
      </c>
      <c r="DQ60" s="62">
        <f t="shared" si="391"/>
        <v>72266905.801272586</v>
      </c>
      <c r="DR60" s="63">
        <f t="shared" si="391"/>
        <v>69487454.208132669</v>
      </c>
      <c r="DS60" s="63">
        <f t="shared" ref="DS60:ED60" si="392">DS32-DS46+DS53+DS54</f>
        <v>82382910.306012437</v>
      </c>
      <c r="DT60" s="63">
        <f t="shared" si="392"/>
        <v>85390236.011322901</v>
      </c>
      <c r="DU60" s="63">
        <f t="shared" si="392"/>
        <v>80218397.194113523</v>
      </c>
      <c r="DV60" s="63">
        <f t="shared" si="392"/>
        <v>80287025.287671581</v>
      </c>
      <c r="DW60" s="63">
        <f t="shared" si="392"/>
        <v>74650717.686220825</v>
      </c>
      <c r="DX60" s="63">
        <f t="shared" si="392"/>
        <v>65098315.501295447</v>
      </c>
      <c r="DY60" s="63">
        <f t="shared" si="392"/>
        <v>76158173.823671862</v>
      </c>
      <c r="DZ60" s="63">
        <f t="shared" si="392"/>
        <v>94311207.153486311</v>
      </c>
      <c r="EA60" s="63">
        <f t="shared" si="392"/>
        <v>105089305.24461734</v>
      </c>
      <c r="EB60" s="63">
        <f t="shared" si="392"/>
        <v>98343462.95359458</v>
      </c>
      <c r="EC60" s="63">
        <f t="shared" si="392"/>
        <v>95905596.688722342</v>
      </c>
      <c r="ED60" s="63">
        <f t="shared" si="392"/>
        <v>92216979.325740919</v>
      </c>
      <c r="EE60" s="39" t="s">
        <v>1</v>
      </c>
      <c r="EF60" s="64"/>
      <c r="EG60" s="625">
        <f t="shared" si="391"/>
        <v>42647874.481086016</v>
      </c>
      <c r="EH60" s="625">
        <f t="shared" si="391"/>
        <v>47906738.842827201</v>
      </c>
      <c r="EI60" s="625">
        <f t="shared" si="391"/>
        <v>34068616.903909922</v>
      </c>
      <c r="EJ60" s="625">
        <f t="shared" si="391"/>
        <v>16632752.762668729</v>
      </c>
      <c r="EK60" s="625">
        <f t="shared" si="391"/>
        <v>78475099.71799244</v>
      </c>
      <c r="EL60" s="625">
        <f t="shared" si="391"/>
        <v>44919714.018186331</v>
      </c>
      <c r="EM60" s="625">
        <f t="shared" si="391"/>
        <v>64433905.123051248</v>
      </c>
      <c r="EN60" s="625">
        <f t="shared" si="391"/>
        <v>82715365.907879695</v>
      </c>
      <c r="EO60" s="625">
        <f t="shared" si="391"/>
        <v>105479142.23523563</v>
      </c>
      <c r="EP60" s="625">
        <f t="shared" si="391"/>
        <v>92013831.980378613</v>
      </c>
      <c r="EQ60" s="625">
        <f t="shared" si="391"/>
        <v>105896224.0534336</v>
      </c>
      <c r="ER60" s="625">
        <f t="shared" si="391"/>
        <v>141699335.16377273</v>
      </c>
      <c r="ES60" s="625">
        <f t="shared" ref="ES60:FD60" si="393">ES32-ES46+ES53+ES54</f>
        <v>133499402.63048275</v>
      </c>
      <c r="ET60" s="625">
        <f t="shared" si="393"/>
        <v>118450338.86104059</v>
      </c>
      <c r="EU60" s="625">
        <f t="shared" si="393"/>
        <v>148339413.02740154</v>
      </c>
      <c r="EV60" s="625">
        <f t="shared" si="393"/>
        <v>154211085.32432935</v>
      </c>
      <c r="EW60" s="625">
        <f t="shared" si="393"/>
        <v>186866899.67241082</v>
      </c>
      <c r="EX60" s="625">
        <f t="shared" si="393"/>
        <v>165801847.4387908</v>
      </c>
      <c r="EY60" s="625">
        <f t="shared" si="393"/>
        <v>207639327.70831993</v>
      </c>
      <c r="EZ60" s="625">
        <f t="shared" si="393"/>
        <v>215858249.86377141</v>
      </c>
      <c r="FA60" s="625">
        <f t="shared" si="393"/>
        <v>247991543.5114485</v>
      </c>
      <c r="FB60" s="625">
        <f t="shared" si="393"/>
        <v>220036058.47518778</v>
      </c>
      <c r="FC60" s="625">
        <f t="shared" si="393"/>
        <v>275558686.22177625</v>
      </c>
      <c r="FD60" s="625">
        <f t="shared" si="393"/>
        <v>286466038.96805811</v>
      </c>
      <c r="FG60" s="65">
        <f t="shared" ref="FG60" si="394">FG32-FG46+FG53+FG54</f>
        <v>270544084.76711041</v>
      </c>
      <c r="FH60" s="62">
        <f t="shared" ref="FH60:FK60" si="395">FH32-FH46+FH53+FH54</f>
        <v>445088533.43281949</v>
      </c>
      <c r="FI60" s="62">
        <f t="shared" si="395"/>
        <v>554500239.84325302</v>
      </c>
      <c r="FJ60" s="63">
        <f t="shared" si="395"/>
        <v>776166324.68329275</v>
      </c>
      <c r="FK60" s="63">
        <f t="shared" si="395"/>
        <v>1030052327.1764705</v>
      </c>
    </row>
    <row r="61" spans="2:167" ht="15" customHeight="1" x14ac:dyDescent="0.2">
      <c r="B61" s="48" t="s">
        <v>3</v>
      </c>
      <c r="C61" s="66">
        <f t="shared" ref="C61:EG62" si="396">C33-C56</f>
        <v>0</v>
      </c>
      <c r="D61" s="67">
        <f t="shared" si="396"/>
        <v>0</v>
      </c>
      <c r="E61" s="67">
        <f t="shared" si="396"/>
        <v>0</v>
      </c>
      <c r="F61" s="67">
        <f t="shared" si="396"/>
        <v>0</v>
      </c>
      <c r="G61" s="67">
        <f t="shared" si="396"/>
        <v>0</v>
      </c>
      <c r="H61" s="67">
        <f t="shared" si="396"/>
        <v>0</v>
      </c>
      <c r="I61" s="67">
        <f t="shared" si="396"/>
        <v>0</v>
      </c>
      <c r="J61" s="67">
        <f t="shared" si="396"/>
        <v>0</v>
      </c>
      <c r="K61" s="67">
        <f t="shared" si="396"/>
        <v>0</v>
      </c>
      <c r="L61" s="67">
        <f t="shared" si="396"/>
        <v>0</v>
      </c>
      <c r="M61" s="67">
        <f t="shared" si="396"/>
        <v>0</v>
      </c>
      <c r="N61" s="67">
        <f t="shared" si="396"/>
        <v>0</v>
      </c>
      <c r="O61" s="67">
        <f t="shared" si="396"/>
        <v>0</v>
      </c>
      <c r="P61" s="67">
        <f t="shared" si="396"/>
        <v>0</v>
      </c>
      <c r="Q61" s="67">
        <f t="shared" si="396"/>
        <v>0</v>
      </c>
      <c r="R61" s="67">
        <f t="shared" si="396"/>
        <v>0</v>
      </c>
      <c r="S61" s="67">
        <f t="shared" si="396"/>
        <v>0</v>
      </c>
      <c r="T61" s="67">
        <f t="shared" si="396"/>
        <v>0</v>
      </c>
      <c r="U61" s="67">
        <f t="shared" si="396"/>
        <v>0</v>
      </c>
      <c r="V61" s="67">
        <f t="shared" si="396"/>
        <v>0</v>
      </c>
      <c r="W61" s="67">
        <f t="shared" si="396"/>
        <v>0</v>
      </c>
      <c r="X61" s="67">
        <f t="shared" si="396"/>
        <v>0</v>
      </c>
      <c r="Y61" s="67">
        <f t="shared" si="396"/>
        <v>0</v>
      </c>
      <c r="Z61" s="67">
        <f t="shared" si="396"/>
        <v>0</v>
      </c>
      <c r="AA61" s="67">
        <f t="shared" si="396"/>
        <v>0</v>
      </c>
      <c r="AB61" s="67">
        <f t="shared" si="396"/>
        <v>0</v>
      </c>
      <c r="AC61" s="68">
        <f t="shared" si="396"/>
        <v>0</v>
      </c>
      <c r="AD61" s="67">
        <f t="shared" si="396"/>
        <v>0</v>
      </c>
      <c r="AE61" s="67">
        <f t="shared" si="396"/>
        <v>0</v>
      </c>
      <c r="AF61" s="67">
        <f t="shared" si="396"/>
        <v>0</v>
      </c>
      <c r="AG61" s="67">
        <f t="shared" si="396"/>
        <v>0</v>
      </c>
      <c r="AH61" s="67">
        <f t="shared" si="396"/>
        <v>0</v>
      </c>
      <c r="AI61" s="67">
        <f t="shared" si="396"/>
        <v>0</v>
      </c>
      <c r="AJ61" s="67">
        <f t="shared" si="396"/>
        <v>0</v>
      </c>
      <c r="AK61" s="68">
        <f t="shared" si="396"/>
        <v>0</v>
      </c>
      <c r="AL61" s="67">
        <f t="shared" si="396"/>
        <v>0</v>
      </c>
      <c r="AM61" s="67">
        <f t="shared" si="396"/>
        <v>0</v>
      </c>
      <c r="AN61" s="67">
        <f t="shared" si="396"/>
        <v>0</v>
      </c>
      <c r="AO61" s="67">
        <f t="shared" si="396"/>
        <v>0</v>
      </c>
      <c r="AP61" s="67">
        <f t="shared" si="396"/>
        <v>0</v>
      </c>
      <c r="AQ61" s="67">
        <f t="shared" si="396"/>
        <v>0</v>
      </c>
      <c r="AR61" s="67">
        <f t="shared" si="396"/>
        <v>0</v>
      </c>
      <c r="AS61" s="67">
        <f t="shared" si="396"/>
        <v>0</v>
      </c>
      <c r="AT61" s="67">
        <f t="shared" si="396"/>
        <v>0</v>
      </c>
      <c r="AU61" s="67">
        <f t="shared" si="396"/>
        <v>0</v>
      </c>
      <c r="AV61" s="67">
        <f t="shared" si="396"/>
        <v>0</v>
      </c>
      <c r="AW61" s="67">
        <f t="shared" si="396"/>
        <v>0</v>
      </c>
      <c r="AX61" s="67">
        <f t="shared" si="396"/>
        <v>0</v>
      </c>
      <c r="AY61" s="67">
        <f t="shared" si="396"/>
        <v>0</v>
      </c>
      <c r="AZ61" s="67">
        <f t="shared" si="396"/>
        <v>0</v>
      </c>
      <c r="BA61" s="67">
        <f t="shared" si="396"/>
        <v>-3613837.216972813</v>
      </c>
      <c r="BB61" s="67">
        <f t="shared" si="396"/>
        <v>-4093564.7866797447</v>
      </c>
      <c r="BC61" s="67">
        <f t="shared" si="396"/>
        <v>-1867395.2011294365</v>
      </c>
      <c r="BD61" s="67">
        <f t="shared" si="396"/>
        <v>-12894486.819149926</v>
      </c>
      <c r="BE61" s="67">
        <f t="shared" si="396"/>
        <v>-7551182.0044638067</v>
      </c>
      <c r="BF61" s="67">
        <f t="shared" si="396"/>
        <v>-5362200.240351513</v>
      </c>
      <c r="BG61" s="67">
        <f t="shared" si="396"/>
        <v>267532.08520120382</v>
      </c>
      <c r="BH61" s="67">
        <f t="shared" si="396"/>
        <v>-3336598.9308364391</v>
      </c>
      <c r="BI61" s="67">
        <f t="shared" si="396"/>
        <v>2014626.1381896064</v>
      </c>
      <c r="BJ61" s="66">
        <f t="shared" si="396"/>
        <v>3960803.0515982583</v>
      </c>
      <c r="BK61" s="67">
        <f t="shared" si="396"/>
        <v>2094533.5351266414</v>
      </c>
      <c r="BL61" s="67">
        <f t="shared" si="396"/>
        <v>-1006087.4260190576</v>
      </c>
      <c r="BM61" s="67">
        <f t="shared" si="396"/>
        <v>-2422951.5543968603</v>
      </c>
      <c r="BN61" s="67">
        <f t="shared" si="396"/>
        <v>-526224.94457855448</v>
      </c>
      <c r="BO61" s="67">
        <f t="shared" si="396"/>
        <v>705123.42572844774</v>
      </c>
      <c r="BP61" s="67">
        <f t="shared" si="396"/>
        <v>1416633.0013032071</v>
      </c>
      <c r="BQ61" s="67">
        <f t="shared" si="396"/>
        <v>480099.49828764051</v>
      </c>
      <c r="BR61" s="67">
        <f t="shared" si="396"/>
        <v>1453506.7001450285</v>
      </c>
      <c r="BS61" s="67">
        <f t="shared" si="396"/>
        <v>1103143.6231639981</v>
      </c>
      <c r="BT61" s="67">
        <f t="shared" si="396"/>
        <v>-4289353.5150914416</v>
      </c>
      <c r="BU61" s="67">
        <f t="shared" si="396"/>
        <v>-570250.15744874626</v>
      </c>
      <c r="BV61" s="67">
        <f t="shared" si="396"/>
        <v>-4465983.8697405532</v>
      </c>
      <c r="BW61" s="67">
        <f t="shared" si="396"/>
        <v>-2090279.2305258028</v>
      </c>
      <c r="BX61" s="67">
        <f t="shared" si="396"/>
        <v>-2738746.2636210099</v>
      </c>
      <c r="BY61" s="67">
        <f t="shared" si="396"/>
        <v>332198.151684938</v>
      </c>
      <c r="BZ61" s="67">
        <f t="shared" si="396"/>
        <v>-4200834.3424739726</v>
      </c>
      <c r="CA61" s="67">
        <f t="shared" si="396"/>
        <v>-3342754.7487797849</v>
      </c>
      <c r="CB61" s="67">
        <f t="shared" si="396"/>
        <v>-6935563.2853102386</v>
      </c>
      <c r="CC61" s="67">
        <f t="shared" si="396"/>
        <v>-5379107.9002342895</v>
      </c>
      <c r="CD61" s="67">
        <f t="shared" si="396"/>
        <v>-190362.83196361549</v>
      </c>
      <c r="CE61" s="67">
        <f t="shared" si="396"/>
        <v>-10335949.950058609</v>
      </c>
      <c r="CF61" s="67">
        <f t="shared" si="396"/>
        <v>-14741328.805393629</v>
      </c>
      <c r="CG61" s="67">
        <f t="shared" si="396"/>
        <v>-2492321.8489497676</v>
      </c>
      <c r="CH61" s="67">
        <f t="shared" si="396"/>
        <v>-11825304.856413856</v>
      </c>
      <c r="CI61" s="67">
        <f t="shared" si="396"/>
        <v>-3111475.6714617461</v>
      </c>
      <c r="CJ61" s="67">
        <f t="shared" si="396"/>
        <v>-4423080.9193195701</v>
      </c>
      <c r="CK61" s="67">
        <f t="shared" si="396"/>
        <v>-6646567.0130428635</v>
      </c>
      <c r="CL61" s="67">
        <f t="shared" si="396"/>
        <v>-3980500.0057122707</v>
      </c>
      <c r="CM61" s="67">
        <f t="shared" si="396"/>
        <v>-3667387.1706866473</v>
      </c>
      <c r="CN61" s="67">
        <f t="shared" si="396"/>
        <v>-4575855.8527332041</v>
      </c>
      <c r="CO61" s="67">
        <f t="shared" si="396"/>
        <v>-4429369.0346480124</v>
      </c>
      <c r="CP61" s="67">
        <f t="shared" si="396"/>
        <v>-6980934.5504083559</v>
      </c>
      <c r="CQ61" s="67">
        <f t="shared" si="396"/>
        <v>-17097776.758351475</v>
      </c>
      <c r="CR61" s="67">
        <f t="shared" si="396"/>
        <v>-13591042.909890078</v>
      </c>
      <c r="CS61" s="67">
        <f t="shared" si="396"/>
        <v>961569.06639114767</v>
      </c>
      <c r="CT61" s="67">
        <f t="shared" ref="CT61:DR61" si="397">CT33-CT56</f>
        <v>-10905694.978506286</v>
      </c>
      <c r="CU61" s="67">
        <f t="shared" si="397"/>
        <v>-12398904.9013202</v>
      </c>
      <c r="CV61" s="67">
        <f t="shared" si="397"/>
        <v>-12837528.834942862</v>
      </c>
      <c r="CW61" s="67">
        <f t="shared" si="397"/>
        <v>-11555502.532428917</v>
      </c>
      <c r="CX61" s="67">
        <f t="shared" si="397"/>
        <v>-11645607.247963965</v>
      </c>
      <c r="CY61" s="67">
        <f t="shared" si="397"/>
        <v>-10728598.917832233</v>
      </c>
      <c r="CZ61" s="67">
        <f t="shared" si="397"/>
        <v>-9446983.8272579499</v>
      </c>
      <c r="DA61" s="67">
        <f t="shared" si="397"/>
        <v>-10940563.678215466</v>
      </c>
      <c r="DB61" s="67">
        <f t="shared" si="397"/>
        <v>-13830603.399468135</v>
      </c>
      <c r="DC61" s="67">
        <f t="shared" si="397"/>
        <v>-15432665.784429602</v>
      </c>
      <c r="DD61" s="67">
        <f t="shared" si="397"/>
        <v>-14225335.234759882</v>
      </c>
      <c r="DE61" s="67">
        <f t="shared" si="397"/>
        <v>-13804155.194494028</v>
      </c>
      <c r="DF61" s="67">
        <f t="shared" si="397"/>
        <v>-13173800.295847639</v>
      </c>
      <c r="DG61" s="67">
        <f t="shared" si="397"/>
        <v>-15042762.637660131</v>
      </c>
      <c r="DH61" s="67">
        <f t="shared" si="397"/>
        <v>-15574401.420986228</v>
      </c>
      <c r="DI61" s="67">
        <f t="shared" si="397"/>
        <v>-14000487.079602722</v>
      </c>
      <c r="DJ61" s="67">
        <f t="shared" si="397"/>
        <v>-14112738.218254268</v>
      </c>
      <c r="DK61" s="67">
        <f t="shared" si="397"/>
        <v>-12997666.495333783</v>
      </c>
      <c r="DL61" s="67">
        <f t="shared" si="397"/>
        <v>-11448506.157434992</v>
      </c>
      <c r="DM61" s="67">
        <f t="shared" si="397"/>
        <v>-13254280.888698056</v>
      </c>
      <c r="DN61" s="67">
        <f t="shared" si="397"/>
        <v>-16766380.145346902</v>
      </c>
      <c r="DO61" s="67">
        <f t="shared" si="397"/>
        <v>-18709317.17343431</v>
      </c>
      <c r="DP61" s="67">
        <f t="shared" si="397"/>
        <v>-17237482.322051153</v>
      </c>
      <c r="DQ61" s="67">
        <f t="shared" si="397"/>
        <v>-16724497.283256412</v>
      </c>
      <c r="DR61" s="69">
        <f t="shared" si="397"/>
        <v>-15956964.742993198</v>
      </c>
      <c r="DS61" s="69">
        <f t="shared" ref="DS61:ED61" si="398">DS33-DS56</f>
        <v>-17509743.40027187</v>
      </c>
      <c r="DT61" s="69">
        <f t="shared" si="398"/>
        <v>-18127940.27342499</v>
      </c>
      <c r="DU61" s="69">
        <f t="shared" si="398"/>
        <v>-16273241.885434411</v>
      </c>
      <c r="DV61" s="69">
        <f t="shared" si="398"/>
        <v>-16407492.101964749</v>
      </c>
      <c r="DW61" s="69">
        <f t="shared" si="398"/>
        <v>-15106458.19787626</v>
      </c>
      <c r="DX61" s="69">
        <f t="shared" si="398"/>
        <v>-13310261.720476728</v>
      </c>
      <c r="DY61" s="69">
        <f t="shared" si="398"/>
        <v>-15404485.700061016</v>
      </c>
      <c r="DZ61" s="69">
        <f t="shared" si="398"/>
        <v>-19499669.73887828</v>
      </c>
      <c r="EA61" s="69">
        <f t="shared" si="398"/>
        <v>-21760340.720283203</v>
      </c>
      <c r="EB61" s="69">
        <f t="shared" si="398"/>
        <v>-20038484.961439744</v>
      </c>
      <c r="EC61" s="69">
        <f t="shared" si="398"/>
        <v>-19438929.048592679</v>
      </c>
      <c r="ED61" s="69">
        <f t="shared" si="398"/>
        <v>-18542138.366934009</v>
      </c>
      <c r="EE61" s="39" t="s">
        <v>1</v>
      </c>
      <c r="EF61" s="68"/>
      <c r="EG61" s="629">
        <f t="shared" si="396"/>
        <v>-1334505.4452892691</v>
      </c>
      <c r="EH61" s="629">
        <f t="shared" ref="EH61:EZ61" si="399">EH33-EH56</f>
        <v>1595531.4824531078</v>
      </c>
      <c r="EI61" s="629">
        <f t="shared" si="399"/>
        <v>3036749.8215966821</v>
      </c>
      <c r="EJ61" s="629">
        <f t="shared" si="399"/>
        <v>-9325587.5422807485</v>
      </c>
      <c r="EK61" s="629">
        <f t="shared" si="399"/>
        <v>-4496827.3424618766</v>
      </c>
      <c r="EL61" s="629">
        <f t="shared" si="399"/>
        <v>-14479152.376564011</v>
      </c>
      <c r="EM61" s="629">
        <f t="shared" si="399"/>
        <v>-15905420.68225652</v>
      </c>
      <c r="EN61" s="629">
        <f t="shared" si="399"/>
        <v>-29058955.510757267</v>
      </c>
      <c r="EO61" s="629">
        <f t="shared" si="399"/>
        <v>-14181123.603824168</v>
      </c>
      <c r="EP61" s="629">
        <f t="shared" si="399"/>
        <v>-12223743.02913212</v>
      </c>
      <c r="EQ61" s="629">
        <f t="shared" si="399"/>
        <v>-28508080.343407869</v>
      </c>
      <c r="ER61" s="629">
        <f t="shared" si="399"/>
        <v>-23535168.822005197</v>
      </c>
      <c r="ES61" s="629">
        <f t="shared" si="399"/>
        <v>-36791936.268691972</v>
      </c>
      <c r="ET61" s="629">
        <f t="shared" si="399"/>
        <v>-31821189.993054137</v>
      </c>
      <c r="EU61" s="629">
        <f t="shared" si="399"/>
        <v>-40203832.862113222</v>
      </c>
      <c r="EV61" s="629">
        <f t="shared" si="399"/>
        <v>-41203290.725101531</v>
      </c>
      <c r="EW61" s="629">
        <f t="shared" si="399"/>
        <v>-44617651.138249114</v>
      </c>
      <c r="EX61" s="629">
        <f t="shared" si="399"/>
        <v>-38558910.871023044</v>
      </c>
      <c r="EY61" s="629">
        <f t="shared" si="399"/>
        <v>-48729978.207479283</v>
      </c>
      <c r="EZ61" s="629">
        <f t="shared" si="399"/>
        <v>-49918944.348300755</v>
      </c>
      <c r="FA61" s="629">
        <f t="shared" ref="FA61:FD61" si="400">FA33-FA56</f>
        <v>-51910925.55913128</v>
      </c>
      <c r="FB61" s="629">
        <f t="shared" si="400"/>
        <v>-44824212.020317733</v>
      </c>
      <c r="FC61" s="629">
        <f t="shared" si="400"/>
        <v>-56664496.159222528</v>
      </c>
      <c r="FD61" s="629">
        <f t="shared" si="400"/>
        <v>-58019552.376966417</v>
      </c>
      <c r="FG61" s="70">
        <f t="shared" ref="FG61" si="401">FG33-FG56</f>
        <v>-63940355.912039638</v>
      </c>
      <c r="FH61" s="67">
        <f t="shared" ref="FH61:FJ61" si="402">FH33-FH56</f>
        <v>-78448115.798369408</v>
      </c>
      <c r="FI61" s="67">
        <f t="shared" si="402"/>
        <v>-150020249.84896082</v>
      </c>
      <c r="FJ61" s="69">
        <f t="shared" si="402"/>
        <v>-181825484.56505215</v>
      </c>
      <c r="FK61" s="69">
        <f t="shared" ref="FK61" si="403">FK33-FK56</f>
        <v>-211419186.11563802</v>
      </c>
    </row>
    <row r="62" spans="2:167" ht="15" customHeight="1" x14ac:dyDescent="0.2">
      <c r="B62" s="48" t="s">
        <v>4</v>
      </c>
      <c r="C62" s="66">
        <f t="shared" si="396"/>
        <v>0</v>
      </c>
      <c r="D62" s="67">
        <f t="shared" si="396"/>
        <v>0</v>
      </c>
      <c r="E62" s="67">
        <f t="shared" si="396"/>
        <v>0</v>
      </c>
      <c r="F62" s="67">
        <f t="shared" si="396"/>
        <v>0</v>
      </c>
      <c r="G62" s="67">
        <f t="shared" si="396"/>
        <v>0</v>
      </c>
      <c r="H62" s="67">
        <f t="shared" si="396"/>
        <v>0</v>
      </c>
      <c r="I62" s="67">
        <f t="shared" si="396"/>
        <v>0</v>
      </c>
      <c r="J62" s="67">
        <f t="shared" si="396"/>
        <v>0</v>
      </c>
      <c r="K62" s="67">
        <f t="shared" si="396"/>
        <v>0</v>
      </c>
      <c r="L62" s="67">
        <f t="shared" si="396"/>
        <v>0</v>
      </c>
      <c r="M62" s="67">
        <f t="shared" si="396"/>
        <v>0</v>
      </c>
      <c r="N62" s="67">
        <f t="shared" si="396"/>
        <v>0</v>
      </c>
      <c r="O62" s="67">
        <f t="shared" si="396"/>
        <v>0</v>
      </c>
      <c r="P62" s="67">
        <f t="shared" si="396"/>
        <v>0</v>
      </c>
      <c r="Q62" s="67">
        <f t="shared" si="396"/>
        <v>0</v>
      </c>
      <c r="R62" s="67">
        <f t="shared" si="396"/>
        <v>0</v>
      </c>
      <c r="S62" s="67">
        <f t="shared" si="396"/>
        <v>0</v>
      </c>
      <c r="T62" s="67">
        <f t="shared" si="396"/>
        <v>0</v>
      </c>
      <c r="U62" s="67">
        <f t="shared" si="396"/>
        <v>0</v>
      </c>
      <c r="V62" s="67">
        <f t="shared" si="396"/>
        <v>0</v>
      </c>
      <c r="W62" s="67">
        <f t="shared" si="396"/>
        <v>0</v>
      </c>
      <c r="X62" s="67">
        <f t="shared" si="396"/>
        <v>0</v>
      </c>
      <c r="Y62" s="67">
        <f t="shared" si="396"/>
        <v>0</v>
      </c>
      <c r="Z62" s="67">
        <f t="shared" si="396"/>
        <v>0</v>
      </c>
      <c r="AA62" s="67">
        <f t="shared" si="396"/>
        <v>0</v>
      </c>
      <c r="AB62" s="67">
        <f t="shared" si="396"/>
        <v>0</v>
      </c>
      <c r="AC62" s="68">
        <f t="shared" si="396"/>
        <v>0</v>
      </c>
      <c r="AD62" s="67">
        <f t="shared" si="396"/>
        <v>0</v>
      </c>
      <c r="AE62" s="67">
        <f t="shared" si="396"/>
        <v>0</v>
      </c>
      <c r="AF62" s="67">
        <f t="shared" si="396"/>
        <v>0</v>
      </c>
      <c r="AG62" s="67">
        <f t="shared" si="396"/>
        <v>0</v>
      </c>
      <c r="AH62" s="67">
        <f t="shared" si="396"/>
        <v>0</v>
      </c>
      <c r="AI62" s="67">
        <f t="shared" si="396"/>
        <v>0</v>
      </c>
      <c r="AJ62" s="67">
        <f t="shared" si="396"/>
        <v>0</v>
      </c>
      <c r="AK62" s="68">
        <f t="shared" si="396"/>
        <v>0</v>
      </c>
      <c r="AL62" s="67">
        <f t="shared" si="396"/>
        <v>0</v>
      </c>
      <c r="AM62" s="67">
        <f t="shared" si="396"/>
        <v>0</v>
      </c>
      <c r="AN62" s="67">
        <f t="shared" si="396"/>
        <v>0</v>
      </c>
      <c r="AO62" s="67">
        <f t="shared" si="396"/>
        <v>0</v>
      </c>
      <c r="AP62" s="67">
        <f t="shared" si="396"/>
        <v>0</v>
      </c>
      <c r="AQ62" s="67">
        <f t="shared" si="396"/>
        <v>0</v>
      </c>
      <c r="AR62" s="67">
        <f t="shared" si="396"/>
        <v>0</v>
      </c>
      <c r="AS62" s="67">
        <f t="shared" si="396"/>
        <v>0</v>
      </c>
      <c r="AT62" s="67">
        <f t="shared" si="396"/>
        <v>0</v>
      </c>
      <c r="AU62" s="67">
        <f t="shared" si="396"/>
        <v>0</v>
      </c>
      <c r="AV62" s="67">
        <f t="shared" si="396"/>
        <v>0</v>
      </c>
      <c r="AW62" s="67">
        <f t="shared" si="396"/>
        <v>0</v>
      </c>
      <c r="AX62" s="67">
        <f t="shared" si="396"/>
        <v>0</v>
      </c>
      <c r="AY62" s="67">
        <f t="shared" si="396"/>
        <v>0</v>
      </c>
      <c r="AZ62" s="67">
        <f t="shared" si="396"/>
        <v>0</v>
      </c>
      <c r="BA62" s="67">
        <f t="shared" si="396"/>
        <v>-3000829.4970484078</v>
      </c>
      <c r="BB62" s="67">
        <f t="shared" si="396"/>
        <v>13865116.649011582</v>
      </c>
      <c r="BC62" s="67">
        <f t="shared" si="396"/>
        <v>295639.14558383822</v>
      </c>
      <c r="BD62" s="67">
        <f t="shared" si="396"/>
        <v>-7537743.6730156541</v>
      </c>
      <c r="BE62" s="67">
        <f t="shared" si="396"/>
        <v>-5525126.6273642778</v>
      </c>
      <c r="BF62" s="67">
        <f t="shared" si="396"/>
        <v>-631158.5708604455</v>
      </c>
      <c r="BG62" s="67">
        <f t="shared" si="396"/>
        <v>6742821.8178460598</v>
      </c>
      <c r="BH62" s="67">
        <f t="shared" si="396"/>
        <v>4771281.2811312675</v>
      </c>
      <c r="BI62" s="67">
        <f t="shared" si="396"/>
        <v>-4226196.0630041361</v>
      </c>
      <c r="BJ62" s="66">
        <f t="shared" si="396"/>
        <v>4126663.3486985564</v>
      </c>
      <c r="BK62" s="67">
        <f t="shared" si="396"/>
        <v>13418381.803186417</v>
      </c>
      <c r="BL62" s="67">
        <f t="shared" si="396"/>
        <v>14040627.680153847</v>
      </c>
      <c r="BM62" s="67">
        <f t="shared" si="396"/>
        <v>16523370.443034947</v>
      </c>
      <c r="BN62" s="67">
        <f t="shared" si="396"/>
        <v>19782839.052122176</v>
      </c>
      <c r="BO62" s="67">
        <f t="shared" si="396"/>
        <v>16711022.825016886</v>
      </c>
      <c r="BP62" s="67">
        <f t="shared" si="396"/>
        <v>9817345.4832350314</v>
      </c>
      <c r="BQ62" s="67">
        <f t="shared" si="396"/>
        <v>14537972.646586269</v>
      </c>
      <c r="BR62" s="67">
        <f t="shared" si="396"/>
        <v>14390689.081017703</v>
      </c>
      <c r="BS62" s="67">
        <f t="shared" si="396"/>
        <v>1603205.3547091186</v>
      </c>
      <c r="BT62" s="67">
        <f t="shared" si="396"/>
        <v>-6868369.7602925897</v>
      </c>
      <c r="BU62" s="67">
        <f t="shared" si="396"/>
        <v>12480462.132138729</v>
      </c>
      <c r="BV62" s="67">
        <f t="shared" si="396"/>
        <v>20346247.933103472</v>
      </c>
      <c r="BW62" s="67">
        <f t="shared" ref="BW62:EG62" si="404">BW34-BW57+BW53+BW54</f>
        <v>26894349.614120279</v>
      </c>
      <c r="BX62" s="67">
        <f t="shared" si="404"/>
        <v>30916200.74064124</v>
      </c>
      <c r="BY62" s="67">
        <f t="shared" si="404"/>
        <v>25161376.705692772</v>
      </c>
      <c r="BZ62" s="67">
        <f t="shared" si="404"/>
        <v>18455336.544908457</v>
      </c>
      <c r="CA62" s="67">
        <f t="shared" si="404"/>
        <v>19249243.726483803</v>
      </c>
      <c r="CB62" s="67">
        <f t="shared" si="404"/>
        <v>20694286.123358212</v>
      </c>
      <c r="CC62" s="67">
        <f t="shared" si="404"/>
        <v>25670725.866067596</v>
      </c>
      <c r="CD62" s="67">
        <f t="shared" si="404"/>
        <v>22464286.274033181</v>
      </c>
      <c r="CE62" s="67">
        <f t="shared" si="404"/>
        <v>32204313.665206898</v>
      </c>
      <c r="CF62" s="67">
        <f t="shared" si="404"/>
        <v>38522270.333133139</v>
      </c>
      <c r="CG62" s="67">
        <f t="shared" si="404"/>
        <v>35642946.549695268</v>
      </c>
      <c r="CH62" s="67">
        <f t="shared" si="404"/>
        <v>37609104.535808682</v>
      </c>
      <c r="CI62" s="67">
        <f t="shared" si="404"/>
        <v>38371131.498306558</v>
      </c>
      <c r="CJ62" s="67">
        <f t="shared" si="404"/>
        <v>40462716.932000294</v>
      </c>
      <c r="CK62" s="67">
        <f t="shared" si="404"/>
        <v>37117947.948477618</v>
      </c>
      <c r="CL62" s="67">
        <f t="shared" si="404"/>
        <v>38916545.558003426</v>
      </c>
      <c r="CM62" s="67">
        <f t="shared" si="404"/>
        <v>36338280.001653351</v>
      </c>
      <c r="CN62" s="67">
        <f t="shared" si="404"/>
        <v>26559766.56880302</v>
      </c>
      <c r="CO62" s="67">
        <f t="shared" si="404"/>
        <v>42414638.191581763</v>
      </c>
      <c r="CP62" s="67">
        <f t="shared" si="404"/>
        <v>46935339.424805731</v>
      </c>
      <c r="CQ62" s="67">
        <f t="shared" si="404"/>
        <v>36491000.922729552</v>
      </c>
      <c r="CR62" s="67">
        <f t="shared" si="404"/>
        <v>51697854.136090107</v>
      </c>
      <c r="CS62" s="67">
        <f t="shared" si="404"/>
        <v>55679510.309097826</v>
      </c>
      <c r="CT62" s="67">
        <f t="shared" ref="CT62:DR62" si="405">CT34-CT57+CT53+CT54</f>
        <v>64819240.536630712</v>
      </c>
      <c r="CU62" s="67">
        <f t="shared" si="405"/>
        <v>56747470.812421665</v>
      </c>
      <c r="CV62" s="67">
        <f t="shared" si="405"/>
        <v>58805005.534249566</v>
      </c>
      <c r="CW62" s="67">
        <f t="shared" si="405"/>
        <v>54738862.552503757</v>
      </c>
      <c r="CX62" s="67">
        <f t="shared" si="405"/>
        <v>54865911.308000453</v>
      </c>
      <c r="CY62" s="67">
        <f t="shared" si="405"/>
        <v>50914752.348452099</v>
      </c>
      <c r="CZ62" s="67">
        <f t="shared" si="405"/>
        <v>44490865.197641872</v>
      </c>
      <c r="DA62" s="67">
        <f t="shared" si="405"/>
        <v>51938214.513108857</v>
      </c>
      <c r="DB62" s="67">
        <f t="shared" si="405"/>
        <v>64600438.685278691</v>
      </c>
      <c r="DC62" s="67">
        <f t="shared" si="405"/>
        <v>72004592.691127256</v>
      </c>
      <c r="DD62" s="67">
        <f t="shared" si="405"/>
        <v>67165824.136195824</v>
      </c>
      <c r="DE62" s="67">
        <f t="shared" si="405"/>
        <v>65432286.079825334</v>
      </c>
      <c r="DF62" s="67">
        <f t="shared" si="405"/>
        <v>62816265.833409905</v>
      </c>
      <c r="DG62" s="67">
        <f t="shared" si="405"/>
        <v>77120036.793437913</v>
      </c>
      <c r="DH62" s="67">
        <f t="shared" si="405"/>
        <v>79917759.423412472</v>
      </c>
      <c r="DI62" s="67">
        <f t="shared" si="405"/>
        <v>74446754.593809232</v>
      </c>
      <c r="DJ62" s="67">
        <f t="shared" si="405"/>
        <v>74610718.459806159</v>
      </c>
      <c r="DK62" s="67">
        <f t="shared" si="405"/>
        <v>69248569.146377251</v>
      </c>
      <c r="DL62" s="67">
        <f t="shared" si="405"/>
        <v>60501470.703630723</v>
      </c>
      <c r="DM62" s="67">
        <f t="shared" si="405"/>
        <v>70641083.783793747</v>
      </c>
      <c r="DN62" s="67">
        <f t="shared" si="405"/>
        <v>87831879.539364919</v>
      </c>
      <c r="DO62" s="67">
        <f t="shared" si="405"/>
        <v>97896342.592640027</v>
      </c>
      <c r="DP62" s="67">
        <f t="shared" si="405"/>
        <v>91341372.176417321</v>
      </c>
      <c r="DQ62" s="67">
        <f t="shared" si="405"/>
        <v>88991403.084528998</v>
      </c>
      <c r="DR62" s="69">
        <f t="shared" si="405"/>
        <v>85444418.951125905</v>
      </c>
      <c r="DS62" s="69">
        <f t="shared" ref="DS62:ED62" si="406">DS34-DS57+DS53+DS54</f>
        <v>99892653.706284329</v>
      </c>
      <c r="DT62" s="69">
        <f t="shared" si="406"/>
        <v>103518176.28474788</v>
      </c>
      <c r="DU62" s="69">
        <f t="shared" si="406"/>
        <v>96491639.079547912</v>
      </c>
      <c r="DV62" s="69">
        <f t="shared" si="406"/>
        <v>96694517.389636174</v>
      </c>
      <c r="DW62" s="69">
        <f t="shared" si="406"/>
        <v>89757175.88409704</v>
      </c>
      <c r="DX62" s="69">
        <f t="shared" si="406"/>
        <v>78408577.221772194</v>
      </c>
      <c r="DY62" s="69">
        <f t="shared" si="406"/>
        <v>91562659.523732826</v>
      </c>
      <c r="DZ62" s="69">
        <f t="shared" si="406"/>
        <v>113810876.89236468</v>
      </c>
      <c r="EA62" s="69">
        <f t="shared" si="406"/>
        <v>126849645.96490049</v>
      </c>
      <c r="EB62" s="69">
        <f t="shared" si="406"/>
        <v>118381947.91503419</v>
      </c>
      <c r="EC62" s="69">
        <f t="shared" si="406"/>
        <v>115344525.73731515</v>
      </c>
      <c r="ED62" s="69">
        <f t="shared" si="406"/>
        <v>110759117.69267498</v>
      </c>
      <c r="EE62" s="39" t="s">
        <v>1</v>
      </c>
      <c r="EF62" s="68"/>
      <c r="EG62" s="629">
        <f t="shared" si="404"/>
        <v>43982379.92637527</v>
      </c>
      <c r="EH62" s="629">
        <f t="shared" ref="EH62:EZ62" si="407">EH34-EH57+EH53+EH54</f>
        <v>46311207.360374093</v>
      </c>
      <c r="EI62" s="629">
        <f t="shared" si="407"/>
        <v>30531867.082313061</v>
      </c>
      <c r="EJ62" s="629">
        <f t="shared" si="407"/>
        <v>25958340.304949403</v>
      </c>
      <c r="EK62" s="629">
        <f t="shared" si="407"/>
        <v>82971927.060454264</v>
      </c>
      <c r="EL62" s="629">
        <f t="shared" si="407"/>
        <v>58398866.394750476</v>
      </c>
      <c r="EM62" s="629">
        <f t="shared" si="407"/>
        <v>80339325.805307701</v>
      </c>
      <c r="EN62" s="629">
        <f t="shared" si="407"/>
        <v>111774321.41863714</v>
      </c>
      <c r="EO62" s="629">
        <f t="shared" si="407"/>
        <v>115951796.37878484</v>
      </c>
      <c r="EP62" s="629">
        <f t="shared" si="407"/>
        <v>101814592.1284598</v>
      </c>
      <c r="EQ62" s="629">
        <f t="shared" si="407"/>
        <v>125840978.5391168</v>
      </c>
      <c r="ER62" s="629">
        <f t="shared" si="407"/>
        <v>172196604.98181835</v>
      </c>
      <c r="ES62" s="629">
        <f t="shared" si="407"/>
        <v>170291338.89917499</v>
      </c>
      <c r="ET62" s="629">
        <f t="shared" si="407"/>
        <v>150271528.85409451</v>
      </c>
      <c r="EU62" s="629">
        <f t="shared" si="407"/>
        <v>188543245.88951477</v>
      </c>
      <c r="EV62" s="629">
        <f t="shared" si="407"/>
        <v>195414376.04943082</v>
      </c>
      <c r="EW62" s="629">
        <f t="shared" si="407"/>
        <v>231484550.81065974</v>
      </c>
      <c r="EX62" s="629">
        <f t="shared" si="407"/>
        <v>204360758.30981374</v>
      </c>
      <c r="EY62" s="629">
        <f t="shared" si="407"/>
        <v>256369305.91579846</v>
      </c>
      <c r="EZ62" s="629">
        <f t="shared" si="407"/>
        <v>265777194.21207234</v>
      </c>
      <c r="FA62" s="629">
        <f t="shared" ref="FA62:FD62" si="408">FA34-FA57+FA53+FA54</f>
        <v>299902469.07058054</v>
      </c>
      <c r="FB62" s="629">
        <f t="shared" si="408"/>
        <v>264860270.49550557</v>
      </c>
      <c r="FC62" s="629">
        <f t="shared" si="408"/>
        <v>332223182.3809979</v>
      </c>
      <c r="FD62" s="629">
        <f t="shared" si="408"/>
        <v>344485591.34502459</v>
      </c>
      <c r="FG62" s="70">
        <f t="shared" ref="FG62" si="409">FG34-FG57+FG53+FG54</f>
        <v>333484440.67915016</v>
      </c>
      <c r="FH62" s="67">
        <f t="shared" ref="FH62:FJ62" si="410">FH34-FH57+FH53+FH54</f>
        <v>515803972.02817929</v>
      </c>
      <c r="FI62" s="67">
        <f t="shared" si="410"/>
        <v>704520489.69221389</v>
      </c>
      <c r="FJ62" s="69">
        <f t="shared" si="410"/>
        <v>957991809.24834478</v>
      </c>
      <c r="FK62" s="69">
        <f t="shared" ref="FK62" si="411">FK34-FK57+FK53+FK54</f>
        <v>1241471513.2921093</v>
      </c>
    </row>
    <row r="63" spans="2:167" ht="15" customHeight="1" x14ac:dyDescent="0.2">
      <c r="B63" s="48"/>
      <c r="C63" s="66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8"/>
      <c r="AD63" s="67"/>
      <c r="AE63" s="67"/>
      <c r="AF63" s="67"/>
      <c r="AG63" s="67"/>
      <c r="AH63" s="67"/>
      <c r="AI63" s="67"/>
      <c r="AJ63" s="67"/>
      <c r="AK63" s="68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6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7"/>
      <c r="DA63" s="67"/>
      <c r="DB63" s="67"/>
      <c r="DC63" s="67"/>
      <c r="DD63" s="67"/>
      <c r="DE63" s="67"/>
      <c r="DF63" s="67"/>
      <c r="DG63" s="67"/>
      <c r="DH63" s="67"/>
      <c r="DI63" s="67"/>
      <c r="DJ63" s="67"/>
      <c r="DK63" s="67"/>
      <c r="DL63" s="67"/>
      <c r="DM63" s="67"/>
      <c r="DN63" s="67"/>
      <c r="DO63" s="67"/>
      <c r="DP63" s="67"/>
      <c r="DQ63" s="67"/>
      <c r="DR63" s="69"/>
      <c r="DS63" s="69"/>
      <c r="DT63" s="69"/>
      <c r="DU63" s="69"/>
      <c r="DV63" s="69"/>
      <c r="DW63" s="69"/>
      <c r="DX63" s="69"/>
      <c r="DY63" s="69"/>
      <c r="DZ63" s="69"/>
      <c r="EA63" s="69"/>
      <c r="EB63" s="69"/>
      <c r="EC63" s="69"/>
      <c r="ED63" s="69"/>
      <c r="EE63" s="39" t="s">
        <v>1</v>
      </c>
      <c r="EF63" s="68"/>
      <c r="EG63" s="629"/>
      <c r="EH63" s="629"/>
      <c r="EI63" s="629"/>
      <c r="EJ63" s="629"/>
      <c r="EK63" s="629"/>
      <c r="EL63" s="629"/>
      <c r="EM63" s="629"/>
      <c r="EN63" s="629"/>
      <c r="EO63" s="629"/>
      <c r="EP63" s="629"/>
      <c r="EQ63" s="629"/>
      <c r="ER63" s="629"/>
      <c r="ES63" s="629"/>
      <c r="ET63" s="629"/>
      <c r="EU63" s="629"/>
      <c r="EV63" s="629"/>
      <c r="EW63" s="629"/>
      <c r="EX63" s="629"/>
      <c r="EY63" s="629"/>
      <c r="EZ63" s="629"/>
      <c r="FA63" s="629"/>
      <c r="FB63" s="629"/>
      <c r="FC63" s="629"/>
      <c r="FD63" s="629"/>
      <c r="FG63" s="70"/>
      <c r="FH63" s="67"/>
      <c r="FI63" s="67"/>
      <c r="FJ63" s="69"/>
      <c r="FK63" s="619"/>
    </row>
    <row r="64" spans="2:167" ht="15.75" customHeight="1" x14ac:dyDescent="0.2">
      <c r="B64" s="48" t="s">
        <v>29</v>
      </c>
      <c r="C64" s="77">
        <f t="shared" ref="C64:BN64" si="412">IFERROR(C60/C32,0)</f>
        <v>3.4850926036307246E-2</v>
      </c>
      <c r="D64" s="77">
        <f t="shared" si="412"/>
        <v>3.14700350874366E-2</v>
      </c>
      <c r="E64" s="77">
        <f t="shared" si="412"/>
        <v>2.7457414230257965E-2</v>
      </c>
      <c r="F64" s="77">
        <f t="shared" si="412"/>
        <v>4.086221034390141E-2</v>
      </c>
      <c r="G64" s="77">
        <f t="shared" si="412"/>
        <v>1.8948484074784392E-2</v>
      </c>
      <c r="H64" s="77">
        <f t="shared" si="412"/>
        <v>4.2880947566076147E-2</v>
      </c>
      <c r="I64" s="77">
        <f t="shared" si="412"/>
        <v>-2.817750550069327E-2</v>
      </c>
      <c r="J64" s="77">
        <f t="shared" si="412"/>
        <v>3.463492500760211E-2</v>
      </c>
      <c r="K64" s="77">
        <f t="shared" si="412"/>
        <v>7.3119210076281029E-3</v>
      </c>
      <c r="L64" s="77">
        <f t="shared" si="412"/>
        <v>-2.6438137489956513E-2</v>
      </c>
      <c r="M64" s="77">
        <f t="shared" si="412"/>
        <v>5.1249468663390448E-3</v>
      </c>
      <c r="N64" s="77">
        <f t="shared" si="412"/>
        <v>1.3850987231590478E-2</v>
      </c>
      <c r="O64" s="77">
        <f t="shared" si="412"/>
        <v>1.5123834524145183E-2</v>
      </c>
      <c r="P64" s="77">
        <f t="shared" si="412"/>
        <v>7.586501547981476E-3</v>
      </c>
      <c r="Q64" s="77">
        <f t="shared" si="412"/>
        <v>1.6862116878709192E-2</v>
      </c>
      <c r="R64" s="77">
        <f t="shared" si="412"/>
        <v>3.9111479639789136E-2</v>
      </c>
      <c r="S64" s="77">
        <f t="shared" si="412"/>
        <v>3.7146444148467475E-2</v>
      </c>
      <c r="T64" s="77">
        <f t="shared" si="412"/>
        <v>1.6259594894923807E-2</v>
      </c>
      <c r="U64" s="77">
        <f t="shared" si="412"/>
        <v>-1.1389982060157945E-3</v>
      </c>
      <c r="V64" s="77">
        <f t="shared" si="412"/>
        <v>2.6361759927255726E-2</v>
      </c>
      <c r="W64" s="77">
        <f t="shared" si="412"/>
        <v>3.070302209769819E-2</v>
      </c>
      <c r="X64" s="77">
        <f t="shared" si="412"/>
        <v>4.5003075324166718E-2</v>
      </c>
      <c r="Y64" s="77">
        <f t="shared" si="412"/>
        <v>6.8762405652169872E-2</v>
      </c>
      <c r="Z64" s="77">
        <f t="shared" si="412"/>
        <v>4.7036793751042881E-2</v>
      </c>
      <c r="AA64" s="77">
        <f t="shared" si="412"/>
        <v>68.639122391467353</v>
      </c>
      <c r="AB64" s="77">
        <f t="shared" si="412"/>
        <v>6.9176206269622328E-2</v>
      </c>
      <c r="AC64" s="77">
        <f t="shared" si="412"/>
        <v>2.7433876520147882E-2</v>
      </c>
      <c r="AD64" s="77">
        <f t="shared" si="412"/>
        <v>2.6859854535666073E-2</v>
      </c>
      <c r="AE64" s="77">
        <f t="shared" si="412"/>
        <v>4.1507761667675148E-2</v>
      </c>
      <c r="AF64" s="77">
        <f t="shared" si="412"/>
        <v>4.5700065550924172E-2</v>
      </c>
      <c r="AG64" s="77">
        <f t="shared" si="412"/>
        <v>2.7257333663239847E-2</v>
      </c>
      <c r="AH64" s="77">
        <f t="shared" si="412"/>
        <v>6.0223593264617084E-2</v>
      </c>
      <c r="AI64" s="77">
        <f t="shared" si="412"/>
        <v>3.692816865720551E-2</v>
      </c>
      <c r="AJ64" s="77">
        <f t="shared" si="412"/>
        <v>2.5405753130187191E-2</v>
      </c>
      <c r="AK64" s="77">
        <f t="shared" si="412"/>
        <v>3.5325349388849944E-2</v>
      </c>
      <c r="AL64" s="77">
        <f t="shared" si="412"/>
        <v>4.1973713945088434E-2</v>
      </c>
      <c r="AM64" s="77">
        <f t="shared" si="412"/>
        <v>1.807234136188865E-2</v>
      </c>
      <c r="AN64" s="77">
        <f t="shared" si="412"/>
        <v>1.4831506903264126E-2</v>
      </c>
      <c r="AO64" s="77">
        <f t="shared" si="412"/>
        <v>5.1209308286246195E-2</v>
      </c>
      <c r="AP64" s="77">
        <f t="shared" si="412"/>
        <v>3.6589011934871199E-2</v>
      </c>
      <c r="AQ64" s="77">
        <f t="shared" si="412"/>
        <v>3.7877694194235353E-2</v>
      </c>
      <c r="AR64" s="77">
        <f t="shared" si="412"/>
        <v>3.0823783401638789E-2</v>
      </c>
      <c r="AS64" s="77">
        <f t="shared" si="412"/>
        <v>3.5391128884415632E-2</v>
      </c>
      <c r="AT64" s="77">
        <f t="shared" si="412"/>
        <v>2.8870117180993263E-2</v>
      </c>
      <c r="AU64" s="77">
        <f t="shared" si="412"/>
        <v>2.6714839240244381E-2</v>
      </c>
      <c r="AV64" s="77">
        <f t="shared" si="412"/>
        <v>-6.39100641569293E-3</v>
      </c>
      <c r="AW64" s="77">
        <f t="shared" si="412"/>
        <v>-2.3780479852999643E-2</v>
      </c>
      <c r="AX64" s="77">
        <f t="shared" si="412"/>
        <v>-1.5351828008231901E-2</v>
      </c>
      <c r="AY64" s="77">
        <f t="shared" si="412"/>
        <v>-2.5420314239511046E-2</v>
      </c>
      <c r="AZ64" s="77">
        <f t="shared" si="412"/>
        <v>-4.1678059098063241E-2</v>
      </c>
      <c r="BA64" s="77">
        <f t="shared" si="412"/>
        <v>-2.6498370492704735E-2</v>
      </c>
      <c r="BB64" s="77">
        <f t="shared" si="412"/>
        <v>3.3714400474703629E-2</v>
      </c>
      <c r="BC64" s="77">
        <f t="shared" si="412"/>
        <v>-5.0809525673838766E-3</v>
      </c>
      <c r="BD64" s="77">
        <f t="shared" si="412"/>
        <v>-6.4206592293865744E-2</v>
      </c>
      <c r="BE64" s="77">
        <f t="shared" si="412"/>
        <v>-3.5053587737502542E-2</v>
      </c>
      <c r="BF64" s="77">
        <f t="shared" si="412"/>
        <v>-1.3994309603139847E-2</v>
      </c>
      <c r="BG64" s="77">
        <f t="shared" si="412"/>
        <v>1.3662938367552465E-2</v>
      </c>
      <c r="BH64" s="77">
        <f t="shared" si="412"/>
        <v>3.0989809997265202E-3</v>
      </c>
      <c r="BI64" s="77">
        <f t="shared" si="412"/>
        <v>-5.9337690720762826E-3</v>
      </c>
      <c r="BJ64" s="77">
        <f t="shared" si="412"/>
        <v>1.9625464728616027E-2</v>
      </c>
      <c r="BK64" s="77">
        <f t="shared" si="412"/>
        <v>4.0847004613418551E-2</v>
      </c>
      <c r="BL64" s="77">
        <f t="shared" si="412"/>
        <v>3.3619164015030165E-2</v>
      </c>
      <c r="BM64" s="77">
        <f t="shared" si="412"/>
        <v>4.8074866172636323E-2</v>
      </c>
      <c r="BN64" s="77">
        <f t="shared" si="412"/>
        <v>6.9837576833922943E-2</v>
      </c>
      <c r="BO64" s="77">
        <f t="shared" ref="BO64:DQ64" si="413">IFERROR(BO60/BO32,0)</f>
        <v>5.9563496164529356E-2</v>
      </c>
      <c r="BP64" s="77">
        <f t="shared" si="413"/>
        <v>3.964247455411167E-2</v>
      </c>
      <c r="BQ64" s="77">
        <f t="shared" si="413"/>
        <v>5.6540463894748934E-2</v>
      </c>
      <c r="BR64" s="77">
        <f t="shared" si="413"/>
        <v>4.8448743748197472E-2</v>
      </c>
      <c r="BS64" s="77">
        <f t="shared" si="413"/>
        <v>1.0854570078830533E-2</v>
      </c>
      <c r="BT64" s="77">
        <f t="shared" si="413"/>
        <v>-4.2009502857673992E-2</v>
      </c>
      <c r="BU64" s="77">
        <f t="shared" si="413"/>
        <v>4.2886070227658377E-2</v>
      </c>
      <c r="BV64" s="77">
        <f t="shared" si="413"/>
        <v>5.5240422898106295E-2</v>
      </c>
      <c r="BW64" s="77">
        <f t="shared" si="413"/>
        <v>8.3153340035623052E-2</v>
      </c>
      <c r="BX64" s="77">
        <f t="shared" si="413"/>
        <v>9.1249096219269202E-2</v>
      </c>
      <c r="BY64" s="77">
        <f t="shared" si="413"/>
        <v>8.6569390058474235E-2</v>
      </c>
      <c r="BZ64" s="77">
        <f t="shared" si="413"/>
        <v>5.1166189747995555E-2</v>
      </c>
      <c r="CA64" s="77">
        <f t="shared" si="413"/>
        <v>6.2707875909921121E-2</v>
      </c>
      <c r="CB64" s="77">
        <f t="shared" si="413"/>
        <v>5.8060945651802656E-2</v>
      </c>
      <c r="CC64" s="77">
        <f t="shared" si="413"/>
        <v>7.1752361071746235E-2</v>
      </c>
      <c r="CD64" s="77">
        <f t="shared" si="413"/>
        <v>7.7236170204132329E-2</v>
      </c>
      <c r="CE64" s="77">
        <f t="shared" si="413"/>
        <v>6.6637138167088314E-2</v>
      </c>
      <c r="CF64" s="77">
        <f t="shared" si="413"/>
        <v>6.3211856400493163E-2</v>
      </c>
      <c r="CG64" s="77">
        <f t="shared" si="413"/>
        <v>7.6296459926995533E-2</v>
      </c>
      <c r="CH64" s="77">
        <f t="shared" si="413"/>
        <v>4.7561415994662251E-2</v>
      </c>
      <c r="CI64" s="77">
        <f t="shared" si="413"/>
        <v>7.6805379825867146E-2</v>
      </c>
      <c r="CJ64" s="77">
        <f t="shared" si="413"/>
        <v>7.8036937926484445E-2</v>
      </c>
      <c r="CK64" s="77">
        <f t="shared" si="413"/>
        <v>7.8683615299606338E-2</v>
      </c>
      <c r="CL64" s="77">
        <f t="shared" si="413"/>
        <v>7.7970722423300581E-2</v>
      </c>
      <c r="CM64" s="77">
        <f t="shared" si="413"/>
        <v>8.935009659648796E-2</v>
      </c>
      <c r="CN64" s="77">
        <f t="shared" si="413"/>
        <v>7.2140878249947707E-2</v>
      </c>
      <c r="CO64" s="77">
        <f t="shared" si="413"/>
        <v>9.0128804109606081E-2</v>
      </c>
      <c r="CP64" s="77">
        <f t="shared" si="413"/>
        <v>7.7322707689303341E-2</v>
      </c>
      <c r="CQ64" s="77">
        <f t="shared" si="413"/>
        <v>4.6674247656520659E-2</v>
      </c>
      <c r="CR64" s="77">
        <f t="shared" si="413"/>
        <v>5.7715152429244507E-2</v>
      </c>
      <c r="CS64" s="77">
        <f t="shared" si="413"/>
        <v>8.2703589435262459E-2</v>
      </c>
      <c r="CT64" s="77">
        <f t="shared" si="413"/>
        <v>9.2372299074247655E-2</v>
      </c>
      <c r="CU64" s="77">
        <f t="shared" si="413"/>
        <v>7.3387329485089484E-2</v>
      </c>
      <c r="CV64" s="77">
        <f t="shared" si="413"/>
        <v>7.33873294850899E-2</v>
      </c>
      <c r="CW64" s="77">
        <f t="shared" si="413"/>
        <v>7.3387329485089664E-2</v>
      </c>
      <c r="CX64" s="77">
        <f t="shared" si="413"/>
        <v>7.3387329485089622E-2</v>
      </c>
      <c r="CY64" s="77">
        <f t="shared" si="413"/>
        <v>7.3387329485089484E-2</v>
      </c>
      <c r="CZ64" s="77">
        <f t="shared" si="413"/>
        <v>7.338732948508965E-2</v>
      </c>
      <c r="DA64" s="77">
        <f t="shared" si="413"/>
        <v>7.338732948508972E-2</v>
      </c>
      <c r="DB64" s="77">
        <f t="shared" si="413"/>
        <v>7.338732948508965E-2</v>
      </c>
      <c r="DC64" s="77">
        <f t="shared" si="413"/>
        <v>7.3387329485089497E-2</v>
      </c>
      <c r="DD64" s="77">
        <f t="shared" si="413"/>
        <v>7.3387329485089539E-2</v>
      </c>
      <c r="DE64" s="77">
        <f t="shared" si="413"/>
        <v>7.3387329485089456E-2</v>
      </c>
      <c r="DF64" s="77">
        <f t="shared" si="413"/>
        <v>7.3387329485089386E-2</v>
      </c>
      <c r="DG64" s="77">
        <f t="shared" si="413"/>
        <v>8.2179620078599427E-2</v>
      </c>
      <c r="DH64" s="77">
        <f t="shared" si="413"/>
        <v>8.2179620078599996E-2</v>
      </c>
      <c r="DI64" s="77">
        <f t="shared" si="413"/>
        <v>8.2179620078599927E-2</v>
      </c>
      <c r="DJ64" s="77">
        <f t="shared" si="413"/>
        <v>8.2179620078599927E-2</v>
      </c>
      <c r="DK64" s="77">
        <f t="shared" si="413"/>
        <v>8.2179620078599969E-2</v>
      </c>
      <c r="DL64" s="77">
        <f t="shared" si="413"/>
        <v>8.2179620078599719E-2</v>
      </c>
      <c r="DM64" s="77">
        <f t="shared" si="413"/>
        <v>8.2179620078599899E-2</v>
      </c>
      <c r="DN64" s="77">
        <f t="shared" si="413"/>
        <v>8.2179620078599844E-2</v>
      </c>
      <c r="DO64" s="77">
        <f t="shared" si="413"/>
        <v>8.2179620078599705E-2</v>
      </c>
      <c r="DP64" s="77">
        <f t="shared" si="413"/>
        <v>8.217962007859976E-2</v>
      </c>
      <c r="DQ64" s="77">
        <f t="shared" si="413"/>
        <v>8.217962007859958E-2</v>
      </c>
      <c r="DR64" s="81">
        <f>IFERROR(DR60/DR32,0)</f>
        <v>8.2179620078599691E-2</v>
      </c>
      <c r="DS64" s="81">
        <f t="shared" ref="DS64:ED64" si="414">IFERROR(DS60/DS32,0)</f>
        <v>9.0883987766174776E-2</v>
      </c>
      <c r="DT64" s="81">
        <f t="shared" si="414"/>
        <v>9.0883987766174512E-2</v>
      </c>
      <c r="DU64" s="81">
        <f t="shared" si="414"/>
        <v>9.0883987766174637E-2</v>
      </c>
      <c r="DV64" s="81">
        <f t="shared" si="414"/>
        <v>9.0883987766174859E-2</v>
      </c>
      <c r="DW64" s="81">
        <f t="shared" si="414"/>
        <v>9.0883987766174554E-2</v>
      </c>
      <c r="DX64" s="81">
        <f t="shared" si="414"/>
        <v>9.0883987766174956E-2</v>
      </c>
      <c r="DY64" s="81">
        <f t="shared" si="414"/>
        <v>9.0883987766175026E-2</v>
      </c>
      <c r="DZ64" s="81">
        <f t="shared" si="414"/>
        <v>9.0883987766174498E-2</v>
      </c>
      <c r="EA64" s="81">
        <f t="shared" si="414"/>
        <v>9.0883987766174831E-2</v>
      </c>
      <c r="EB64" s="81">
        <f t="shared" si="414"/>
        <v>9.0883987766175067E-2</v>
      </c>
      <c r="EC64" s="81">
        <f t="shared" si="414"/>
        <v>9.0883987766174845E-2</v>
      </c>
      <c r="ED64" s="81">
        <f t="shared" si="414"/>
        <v>9.088398776617479E-2</v>
      </c>
      <c r="EE64" s="39" t="s">
        <v>1</v>
      </c>
      <c r="EF64" s="83"/>
      <c r="EG64" s="633">
        <f>IFERROR(EG60/EG32,0)</f>
        <v>4.02037346577543E-2</v>
      </c>
      <c r="EH64" s="633">
        <f t="shared" ref="EH64:FD64" si="415">IFERROR(EH60/EH32,0)</f>
        <v>5.6260727754315384E-2</v>
      </c>
      <c r="EI64" s="633">
        <f t="shared" si="415"/>
        <v>3.8363916264174881E-2</v>
      </c>
      <c r="EJ64" s="633">
        <f t="shared" si="415"/>
        <v>2.0020335624151883E-2</v>
      </c>
      <c r="EK64" s="633">
        <f t="shared" si="415"/>
        <v>8.70420009940681E-2</v>
      </c>
      <c r="EL64" s="633">
        <f t="shared" si="415"/>
        <v>5.7210199721168441E-2</v>
      </c>
      <c r="EM64" s="633">
        <f t="shared" si="415"/>
        <v>7.1644276891353303E-2</v>
      </c>
      <c r="EN64" s="633">
        <f t="shared" si="415"/>
        <v>6.1142758535373626E-2</v>
      </c>
      <c r="EO64" s="633">
        <f t="shared" si="415"/>
        <v>7.7831548077093679E-2</v>
      </c>
      <c r="EP64" s="633">
        <f t="shared" si="415"/>
        <v>8.0055669179702985E-2</v>
      </c>
      <c r="EQ64" s="633">
        <f t="shared" si="415"/>
        <v>6.8607010446723501E-2</v>
      </c>
      <c r="ER64" s="633">
        <f t="shared" si="415"/>
        <v>7.6818519930153151E-2</v>
      </c>
      <c r="ES64" s="633">
        <f t="shared" si="415"/>
        <v>7.3387329485089553E-2</v>
      </c>
      <c r="ET64" s="633">
        <f t="shared" si="415"/>
        <v>7.3387329485089817E-2</v>
      </c>
      <c r="EU64" s="633">
        <f t="shared" si="415"/>
        <v>7.3387329485089595E-2</v>
      </c>
      <c r="EV64" s="633">
        <f t="shared" si="415"/>
        <v>7.3387329485089525E-2</v>
      </c>
      <c r="EW64" s="633">
        <f t="shared" si="415"/>
        <v>8.2179620078599899E-2</v>
      </c>
      <c r="EX64" s="633">
        <f t="shared" si="415"/>
        <v>8.2179620078599733E-2</v>
      </c>
      <c r="EY64" s="633">
        <f t="shared" si="415"/>
        <v>8.2179620078599941E-2</v>
      </c>
      <c r="EZ64" s="633">
        <f t="shared" si="415"/>
        <v>8.2179620078599622E-2</v>
      </c>
      <c r="FA64" s="633">
        <f t="shared" si="415"/>
        <v>9.0883987766174512E-2</v>
      </c>
      <c r="FB64" s="633">
        <f t="shared" si="415"/>
        <v>9.0883987766174748E-2</v>
      </c>
      <c r="FC64" s="633">
        <f t="shared" si="415"/>
        <v>9.0883987766175012E-2</v>
      </c>
      <c r="FD64" s="633">
        <f t="shared" si="415"/>
        <v>9.0883987766174998E-2</v>
      </c>
      <c r="FG64" s="84">
        <f t="shared" ref="FG64" si="416">IFERROR(FG60/FG32,0)</f>
        <v>6.8684675309961071E-2</v>
      </c>
      <c r="FH64" s="77">
        <f t="shared" ref="FH64:FK64" si="417">IFERROR(FH60/FH32,0)</f>
        <v>7.5532007659904324E-2</v>
      </c>
      <c r="FI64" s="77">
        <f t="shared" si="417"/>
        <v>7.3387329485089456E-2</v>
      </c>
      <c r="FJ64" s="81">
        <f t="shared" si="417"/>
        <v>8.2179620078599774E-2</v>
      </c>
      <c r="FK64" s="81">
        <f t="shared" si="417"/>
        <v>9.0883987766174817E-2</v>
      </c>
    </row>
    <row r="65" spans="2:167" ht="15.75" customHeight="1" x14ac:dyDescent="0.2">
      <c r="B65" s="48"/>
      <c r="C65" s="75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9"/>
      <c r="AD65" s="76"/>
      <c r="AE65" s="77"/>
      <c r="AF65" s="77"/>
      <c r="AG65" s="77"/>
      <c r="AH65" s="77"/>
      <c r="AI65" s="77"/>
      <c r="AJ65" s="77"/>
      <c r="AK65" s="83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82"/>
      <c r="BK65" s="77"/>
      <c r="BL65" s="77"/>
      <c r="BM65" s="77"/>
      <c r="BN65" s="77"/>
      <c r="BO65" s="77"/>
      <c r="BP65" s="77"/>
      <c r="BQ65" s="77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6"/>
      <c r="DS65" s="86"/>
      <c r="DT65" s="86"/>
      <c r="DU65" s="86"/>
      <c r="DV65" s="86"/>
      <c r="DW65" s="86"/>
      <c r="DX65" s="86"/>
      <c r="DY65" s="86"/>
      <c r="DZ65" s="86"/>
      <c r="EA65" s="86"/>
      <c r="EB65" s="86"/>
      <c r="EC65" s="86"/>
      <c r="ED65" s="86"/>
      <c r="EE65" s="39" t="s">
        <v>1</v>
      </c>
      <c r="EF65" s="88"/>
      <c r="EG65" s="634"/>
      <c r="EH65" s="634"/>
      <c r="EI65" s="634"/>
      <c r="EJ65" s="634"/>
      <c r="EK65" s="634"/>
      <c r="EL65" s="634"/>
      <c r="EM65" s="634"/>
      <c r="EN65" s="634"/>
      <c r="EO65" s="634"/>
      <c r="EP65" s="634"/>
      <c r="EQ65" s="634"/>
      <c r="ER65" s="634"/>
      <c r="ES65" s="634"/>
      <c r="ET65" s="634"/>
      <c r="EU65" s="634"/>
      <c r="EV65" s="634"/>
      <c r="EW65" s="634"/>
      <c r="EX65" s="634"/>
      <c r="EY65" s="634"/>
      <c r="EZ65" s="634"/>
      <c r="FA65" s="634"/>
      <c r="FB65" s="634"/>
      <c r="FC65" s="634"/>
      <c r="FD65" s="634"/>
      <c r="FG65" s="89"/>
      <c r="FH65" s="85"/>
      <c r="FI65" s="85"/>
      <c r="FJ65" s="86"/>
      <c r="FK65" s="622"/>
    </row>
    <row r="66" spans="2:167" ht="15.75" customHeight="1" x14ac:dyDescent="0.2">
      <c r="B66" s="56" t="s">
        <v>30</v>
      </c>
      <c r="C66" s="61">
        <f t="shared" ref="C66:ES66" si="418">C32-C46</f>
        <v>4384291</v>
      </c>
      <c r="D66" s="62">
        <f t="shared" si="418"/>
        <v>3700623.9928571433</v>
      </c>
      <c r="E66" s="62">
        <f t="shared" si="418"/>
        <v>3609938.9636392146</v>
      </c>
      <c r="F66" s="62">
        <f t="shared" si="418"/>
        <v>6253982.3737604618</v>
      </c>
      <c r="G66" s="62">
        <f t="shared" si="418"/>
        <v>3399366.2541480958</v>
      </c>
      <c r="H66" s="62">
        <f t="shared" si="418"/>
        <v>8022728.6392175853</v>
      </c>
      <c r="I66" s="62">
        <f t="shared" si="418"/>
        <v>-5659615.6347661912</v>
      </c>
      <c r="J66" s="62">
        <f t="shared" si="418"/>
        <v>6513918.1490530074</v>
      </c>
      <c r="K66" s="62">
        <f t="shared" si="418"/>
        <v>1740662.9510399997</v>
      </c>
      <c r="L66" s="62">
        <f t="shared" si="418"/>
        <v>-6118229.0965713561</v>
      </c>
      <c r="M66" s="62">
        <f t="shared" si="418"/>
        <v>1212429.0744059682</v>
      </c>
      <c r="N66" s="62">
        <f t="shared" si="418"/>
        <v>2866554.7199999988</v>
      </c>
      <c r="O66" s="62">
        <f t="shared" si="418"/>
        <v>4043709.1427058578</v>
      </c>
      <c r="P66" s="62">
        <f t="shared" si="418"/>
        <v>2008293.2893051505</v>
      </c>
      <c r="Q66" s="62">
        <f t="shared" si="418"/>
        <v>4779310.8952202797</v>
      </c>
      <c r="R66" s="62">
        <f t="shared" si="418"/>
        <v>11305867.598752737</v>
      </c>
      <c r="S66" s="62">
        <f t="shared" si="418"/>
        <v>8812437.6034167409</v>
      </c>
      <c r="T66" s="62">
        <f t="shared" si="418"/>
        <v>3415243.0739036798</v>
      </c>
      <c r="U66" s="62">
        <f t="shared" si="418"/>
        <v>-202135.34783005714</v>
      </c>
      <c r="V66" s="62">
        <f t="shared" si="418"/>
        <v>5703514.1410422921</v>
      </c>
      <c r="W66" s="62">
        <f t="shared" si="418"/>
        <v>7629793.71614182</v>
      </c>
      <c r="X66" s="62">
        <f t="shared" si="418"/>
        <v>11292707.404662549</v>
      </c>
      <c r="Y66" s="62">
        <f t="shared" si="418"/>
        <v>19775656.741966784</v>
      </c>
      <c r="Z66" s="62">
        <f t="shared" si="418"/>
        <v>8448150.945310086</v>
      </c>
      <c r="AA66" s="62">
        <f t="shared" si="418"/>
        <v>-3957624.4258934096</v>
      </c>
      <c r="AB66" s="62">
        <f t="shared" si="418"/>
        <v>9471737.0396437347</v>
      </c>
      <c r="AC66" s="614">
        <f t="shared" si="418"/>
        <v>3914558.1743030548</v>
      </c>
      <c r="AD66" s="62">
        <f t="shared" si="418"/>
        <v>3144605.2302089185</v>
      </c>
      <c r="AE66" s="62">
        <f t="shared" si="418"/>
        <v>8109181.9740197062</v>
      </c>
      <c r="AF66" s="62">
        <f t="shared" si="418"/>
        <v>9185826.495228231</v>
      </c>
      <c r="AG66" s="62">
        <f t="shared" si="418"/>
        <v>4934431.9880880415</v>
      </c>
      <c r="AH66" s="62">
        <f t="shared" si="418"/>
        <v>12838496.468203098</v>
      </c>
      <c r="AI66" s="62">
        <f t="shared" si="418"/>
        <v>12775193.937928319</v>
      </c>
      <c r="AJ66" s="62">
        <f t="shared" si="418"/>
        <v>7583949.716103375</v>
      </c>
      <c r="AK66" s="614">
        <f t="shared" si="418"/>
        <v>13196075.716585934</v>
      </c>
      <c r="AL66" s="62">
        <f t="shared" si="418"/>
        <v>13153078.853424609</v>
      </c>
      <c r="AM66" s="62">
        <f t="shared" si="418"/>
        <v>3892377.122563988</v>
      </c>
      <c r="AN66" s="62">
        <f t="shared" si="418"/>
        <v>1445814.9227166325</v>
      </c>
      <c r="AO66" s="62">
        <f t="shared" si="418"/>
        <v>11046683.669982493</v>
      </c>
      <c r="AP66" s="62">
        <f t="shared" si="418"/>
        <v>11069753.039999962</v>
      </c>
      <c r="AQ66" s="62">
        <f t="shared" si="418"/>
        <v>11191362.936149776</v>
      </c>
      <c r="AR66" s="62">
        <f t="shared" si="418"/>
        <v>8581236.1590910554</v>
      </c>
      <c r="AS66" s="62">
        <f t="shared" si="418"/>
        <v>8396791.1899999678</v>
      </c>
      <c r="AT66" s="62">
        <f t="shared" si="418"/>
        <v>8262965</v>
      </c>
      <c r="AU66" s="62">
        <f t="shared" si="418"/>
        <v>10254218.154410005</v>
      </c>
      <c r="AV66" s="62">
        <f t="shared" si="418"/>
        <v>-2232621.9999999404</v>
      </c>
      <c r="AW66" s="62">
        <f t="shared" si="418"/>
        <v>-8506652.3999999762</v>
      </c>
      <c r="AX66" s="62">
        <f t="shared" si="418"/>
        <v>-4778931.5254288912</v>
      </c>
      <c r="AY66" s="62">
        <f t="shared" si="418"/>
        <v>-7884761.4362305403</v>
      </c>
      <c r="AZ66" s="62">
        <f t="shared" si="418"/>
        <v>-14490174.379999995</v>
      </c>
      <c r="BA66" s="62">
        <f t="shared" si="418"/>
        <v>-6614666.7140211463</v>
      </c>
      <c r="BB66" s="62">
        <f t="shared" si="418"/>
        <v>9771551.8623319268</v>
      </c>
      <c r="BC66" s="62">
        <f t="shared" si="418"/>
        <v>-1571756.0555456281</v>
      </c>
      <c r="BD66" s="62">
        <f t="shared" si="418"/>
        <v>-20432230.492165625</v>
      </c>
      <c r="BE66" s="62">
        <f t="shared" si="418"/>
        <v>-13076308.631828129</v>
      </c>
      <c r="BF66" s="62">
        <f t="shared" si="418"/>
        <v>-5653125.8112119436</v>
      </c>
      <c r="BG66" s="62">
        <f t="shared" si="418"/>
        <v>7010353.9030472636</v>
      </c>
      <c r="BH66" s="62">
        <f t="shared" si="418"/>
        <v>1434682.3502946496</v>
      </c>
      <c r="BI66" s="62">
        <f t="shared" si="418"/>
        <v>-2211569.9248145223</v>
      </c>
      <c r="BJ66" s="61">
        <f t="shared" si="418"/>
        <v>8087466.4002967477</v>
      </c>
      <c r="BK66" s="62">
        <f t="shared" si="418"/>
        <v>15512915.338313043</v>
      </c>
      <c r="BL66" s="62">
        <f t="shared" si="418"/>
        <v>13034540.254134774</v>
      </c>
      <c r="BM66" s="62">
        <f t="shared" si="418"/>
        <v>14100418.888638139</v>
      </c>
      <c r="BN66" s="62">
        <f t="shared" si="418"/>
        <v>19256614.107543558</v>
      </c>
      <c r="BO66" s="62">
        <f t="shared" si="418"/>
        <v>17416146.250745296</v>
      </c>
      <c r="BP66" s="62">
        <f t="shared" si="418"/>
        <v>11233978.484538257</v>
      </c>
      <c r="BQ66" s="62">
        <f t="shared" si="418"/>
        <v>15018072.144873917</v>
      </c>
      <c r="BR66" s="62">
        <f t="shared" si="418"/>
        <v>15844195.781162739</v>
      </c>
      <c r="BS66" s="62">
        <f t="shared" si="418"/>
        <v>3206348.9778730869</v>
      </c>
      <c r="BT66" s="62">
        <f t="shared" si="418"/>
        <v>-11157723.275384098</v>
      </c>
      <c r="BU66" s="62">
        <f t="shared" si="418"/>
        <v>11910211.974689931</v>
      </c>
      <c r="BV66" s="62">
        <f t="shared" si="418"/>
        <v>15880264.063362956</v>
      </c>
      <c r="BW66" s="62">
        <f t="shared" si="418"/>
        <v>23237504.922456384</v>
      </c>
      <c r="BX66" s="62">
        <f t="shared" si="418"/>
        <v>26359889.152315915</v>
      </c>
      <c r="BY66" s="62">
        <f t="shared" si="418"/>
        <v>23810902.997760832</v>
      </c>
      <c r="BZ66" s="62">
        <f t="shared" si="418"/>
        <v>12793671.852120072</v>
      </c>
      <c r="CA66" s="62">
        <f t="shared" si="418"/>
        <v>15868645.023464233</v>
      </c>
      <c r="CB66" s="62">
        <f t="shared" si="418"/>
        <v>12860620.235150665</v>
      </c>
      <c r="CC66" s="62">
        <f t="shared" si="418"/>
        <v>18407065.339946598</v>
      </c>
      <c r="CD66" s="62">
        <f t="shared" si="418"/>
        <v>19993677.654420763</v>
      </c>
      <c r="CE66" s="62">
        <f t="shared" si="418"/>
        <v>19813110.904093742</v>
      </c>
      <c r="CF66" s="62">
        <f t="shared" si="418"/>
        <v>22021418.98102659</v>
      </c>
      <c r="CG66" s="62">
        <f t="shared" si="418"/>
        <v>31429359.105334818</v>
      </c>
      <c r="CH66" s="62">
        <f t="shared" si="418"/>
        <v>23892548.638150811</v>
      </c>
      <c r="CI66" s="62">
        <f t="shared" si="418"/>
        <v>33500509.655155957</v>
      </c>
      <c r="CJ66" s="62">
        <f t="shared" si="418"/>
        <v>31896704.883988321</v>
      </c>
      <c r="CK66" s="62">
        <f t="shared" si="418"/>
        <v>31779469.223138154</v>
      </c>
      <c r="CL66" s="62">
        <f t="shared" si="418"/>
        <v>31444139.166565657</v>
      </c>
      <c r="CM66" s="62">
        <f t="shared" si="418"/>
        <v>30420412.139907539</v>
      </c>
      <c r="CN66" s="62">
        <f t="shared" si="418"/>
        <v>20971743.119347453</v>
      </c>
      <c r="CO66" s="62">
        <f t="shared" si="418"/>
        <v>34373068.201975524</v>
      </c>
      <c r="CP66" s="62">
        <f t="shared" si="418"/>
        <v>35165645.30475229</v>
      </c>
      <c r="CQ66" s="62">
        <f t="shared" si="418"/>
        <v>25071803.459263086</v>
      </c>
      <c r="CR66" s="62">
        <f t="shared" si="418"/>
        <v>34255830.697984934</v>
      </c>
      <c r="CS66" s="62">
        <f t="shared" si="418"/>
        <v>45355169.666211843</v>
      </c>
      <c r="CT66" s="62">
        <f t="shared" si="418"/>
        <v>50212178.871463537</v>
      </c>
      <c r="CU66" s="62">
        <f t="shared" si="418"/>
        <v>40180671.728688002</v>
      </c>
      <c r="CV66" s="62">
        <f t="shared" si="418"/>
        <v>41647436.698479772</v>
      </c>
      <c r="CW66" s="62">
        <f t="shared" si="418"/>
        <v>39124972.306579947</v>
      </c>
      <c r="CX66" s="62">
        <f t="shared" si="418"/>
        <v>39158444.332372308</v>
      </c>
      <c r="CY66" s="62">
        <f t="shared" si="418"/>
        <v>36409444.270896316</v>
      </c>
      <c r="CZ66" s="62">
        <f t="shared" si="418"/>
        <v>31750444.78924191</v>
      </c>
      <c r="DA66" s="62">
        <f t="shared" si="418"/>
        <v>37144676.857112586</v>
      </c>
      <c r="DB66" s="62">
        <f t="shared" si="418"/>
        <v>45998467.896975756</v>
      </c>
      <c r="DC66" s="62">
        <f t="shared" si="418"/>
        <v>51255276.859546542</v>
      </c>
      <c r="DD66" s="62">
        <f t="shared" si="418"/>
        <v>47965122.704731345</v>
      </c>
      <c r="DE66" s="62">
        <f t="shared" si="418"/>
        <v>46776100.567210197</v>
      </c>
      <c r="DF66" s="62">
        <f t="shared" si="418"/>
        <v>44977048.763332844</v>
      </c>
      <c r="DG66" s="62">
        <f t="shared" si="418"/>
        <v>56867406.427761078</v>
      </c>
      <c r="DH66" s="62">
        <f t="shared" si="418"/>
        <v>58943308.001392603</v>
      </c>
      <c r="DI66" s="62">
        <f t="shared" si="418"/>
        <v>55373282.872337818</v>
      </c>
      <c r="DJ66" s="62">
        <f t="shared" si="418"/>
        <v>55420655.581971645</v>
      </c>
      <c r="DK66" s="62">
        <f t="shared" si="418"/>
        <v>51530016.201389194</v>
      </c>
      <c r="DL66" s="62">
        <f t="shared" si="418"/>
        <v>44936168.81976819</v>
      </c>
      <c r="DM66" s="62">
        <f t="shared" si="418"/>
        <v>52570585.422869682</v>
      </c>
      <c r="DN66" s="62">
        <f t="shared" si="418"/>
        <v>65101290.15797472</v>
      </c>
      <c r="DO66" s="62">
        <f t="shared" si="418"/>
        <v>72541212.860266805</v>
      </c>
      <c r="DP66" s="62">
        <f t="shared" si="418"/>
        <v>67884682.108485579</v>
      </c>
      <c r="DQ66" s="62">
        <f t="shared" si="418"/>
        <v>66201867.903621316</v>
      </c>
      <c r="DR66" s="63">
        <f t="shared" si="418"/>
        <v>63655683.240346074</v>
      </c>
      <c r="DS66" s="63">
        <f t="shared" ref="DS66:ED66" si="419">DS32-DS46</f>
        <v>76131069.032392263</v>
      </c>
      <c r="DT66" s="63">
        <f t="shared" si="419"/>
        <v>78910176.010082603</v>
      </c>
      <c r="DU66" s="63">
        <f t="shared" si="419"/>
        <v>74130815.623871088</v>
      </c>
      <c r="DV66" s="63">
        <f t="shared" si="419"/>
        <v>74194235.696175218</v>
      </c>
      <c r="DW66" s="63">
        <f t="shared" si="419"/>
        <v>68985653.946635723</v>
      </c>
      <c r="DX66" s="63">
        <f t="shared" si="419"/>
        <v>60158160.629582405</v>
      </c>
      <c r="DY66" s="63">
        <f t="shared" si="419"/>
        <v>70378712.857000709</v>
      </c>
      <c r="DZ66" s="63">
        <f t="shared" si="419"/>
        <v>87154156.070234179</v>
      </c>
      <c r="EA66" s="63">
        <f t="shared" si="419"/>
        <v>97114330.173890591</v>
      </c>
      <c r="EB66" s="63">
        <f t="shared" si="419"/>
        <v>90880413.658537745</v>
      </c>
      <c r="EC66" s="63">
        <f t="shared" si="419"/>
        <v>88627551.211540818</v>
      </c>
      <c r="ED66" s="63">
        <f t="shared" si="419"/>
        <v>85218854.164397001</v>
      </c>
      <c r="EE66" s="39" t="s">
        <v>1</v>
      </c>
      <c r="EF66" s="64"/>
      <c r="EG66" s="625">
        <f t="shared" si="418"/>
        <v>42647874.481086016</v>
      </c>
      <c r="EH66" s="625">
        <f t="shared" si="418"/>
        <v>47906738.842827201</v>
      </c>
      <c r="EI66" s="625">
        <f t="shared" si="418"/>
        <v>34068616.903909922</v>
      </c>
      <c r="EJ66" s="625">
        <f t="shared" si="418"/>
        <v>16632752.762668729</v>
      </c>
      <c r="EK66" s="625">
        <f t="shared" si="418"/>
        <v>73408297.07253325</v>
      </c>
      <c r="EL66" s="625">
        <f t="shared" si="418"/>
        <v>41522937.11073482</v>
      </c>
      <c r="EM66" s="625">
        <f t="shared" si="418"/>
        <v>58213853.898461103</v>
      </c>
      <c r="EN66" s="625">
        <f t="shared" si="418"/>
        <v>77343326.7245121</v>
      </c>
      <c r="EO66" s="625">
        <f t="shared" si="418"/>
        <v>97176683.76228261</v>
      </c>
      <c r="EP66" s="625">
        <f t="shared" si="418"/>
        <v>82836294.425820708</v>
      </c>
      <c r="EQ66" s="625">
        <f t="shared" si="418"/>
        <v>94610516.96599102</v>
      </c>
      <c r="ER66" s="625">
        <f t="shared" si="418"/>
        <v>129823179.23566008</v>
      </c>
      <c r="ES66" s="625">
        <f t="shared" si="418"/>
        <v>120953080.73374748</v>
      </c>
      <c r="ET66" s="625">
        <f t="shared" ref="ET66:FD66" si="420">ET32-ET46</f>
        <v>107318333.39251089</v>
      </c>
      <c r="EU66" s="625">
        <f t="shared" si="420"/>
        <v>134398421.61363482</v>
      </c>
      <c r="EV66" s="625">
        <f t="shared" si="420"/>
        <v>139718272.03527451</v>
      </c>
      <c r="EW66" s="625">
        <f t="shared" si="420"/>
        <v>171183997.30149174</v>
      </c>
      <c r="EX66" s="625">
        <f t="shared" si="420"/>
        <v>151886840.60312867</v>
      </c>
      <c r="EY66" s="625">
        <f t="shared" si="420"/>
        <v>190213088.44111156</v>
      </c>
      <c r="EZ66" s="625">
        <f t="shared" si="420"/>
        <v>197742233.25245285</v>
      </c>
      <c r="FA66" s="625">
        <f t="shared" si="420"/>
        <v>229172060.6663456</v>
      </c>
      <c r="FB66" s="625">
        <f t="shared" si="420"/>
        <v>203338050.27239323</v>
      </c>
      <c r="FC66" s="625">
        <f t="shared" si="420"/>
        <v>254647199.10112619</v>
      </c>
      <c r="FD66" s="625">
        <f t="shared" si="420"/>
        <v>264726819.0344758</v>
      </c>
      <c r="FG66" s="65">
        <f t="shared" ref="FG66:FK66" si="421">FG32-FG46</f>
        <v>250488414.80624199</v>
      </c>
      <c r="FH66" s="62">
        <f t="shared" si="421"/>
        <v>404446674.38975334</v>
      </c>
      <c r="FI66" s="62">
        <f t="shared" si="421"/>
        <v>502388107.77516651</v>
      </c>
      <c r="FJ66" s="63">
        <f t="shared" si="421"/>
        <v>711026159.59818459</v>
      </c>
      <c r="FK66" s="63">
        <f t="shared" si="421"/>
        <v>951884129.07434082</v>
      </c>
    </row>
    <row r="67" spans="2:167" ht="15" customHeight="1" x14ac:dyDescent="0.2">
      <c r="B67" s="48" t="s">
        <v>3</v>
      </c>
      <c r="C67" s="66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8"/>
      <c r="AD67" s="67"/>
      <c r="AE67" s="67"/>
      <c r="AF67" s="67"/>
      <c r="AG67" s="67"/>
      <c r="AH67" s="67"/>
      <c r="AI67" s="67"/>
      <c r="AJ67" s="67"/>
      <c r="AK67" s="68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>
        <f t="shared" ref="BA67:ER68" si="422">BA33-BA56</f>
        <v>-3613837.216972813</v>
      </c>
      <c r="BB67" s="67">
        <f t="shared" si="422"/>
        <v>-4093564.7866797447</v>
      </c>
      <c r="BC67" s="67">
        <f t="shared" si="422"/>
        <v>-1867395.2011294365</v>
      </c>
      <c r="BD67" s="67">
        <f t="shared" si="422"/>
        <v>-12894486.819149926</v>
      </c>
      <c r="BE67" s="67">
        <f t="shared" si="422"/>
        <v>-7551182.0044638067</v>
      </c>
      <c r="BF67" s="67">
        <f t="shared" si="422"/>
        <v>-5362200.240351513</v>
      </c>
      <c r="BG67" s="67">
        <f t="shared" si="422"/>
        <v>267532.08520120382</v>
      </c>
      <c r="BH67" s="67">
        <f t="shared" si="422"/>
        <v>-3336598.9308364391</v>
      </c>
      <c r="BI67" s="67">
        <f t="shared" si="422"/>
        <v>2014626.1381896064</v>
      </c>
      <c r="BJ67" s="66">
        <f t="shared" si="422"/>
        <v>3960803.0515982583</v>
      </c>
      <c r="BK67" s="67">
        <f t="shared" si="422"/>
        <v>2094533.5351266414</v>
      </c>
      <c r="BL67" s="67">
        <f t="shared" si="422"/>
        <v>-1006087.4260190576</v>
      </c>
      <c r="BM67" s="67">
        <f t="shared" si="422"/>
        <v>-2422951.5543968603</v>
      </c>
      <c r="BN67" s="67">
        <f t="shared" si="422"/>
        <v>-526224.94457855448</v>
      </c>
      <c r="BO67" s="67">
        <f t="shared" si="422"/>
        <v>705123.42572844774</v>
      </c>
      <c r="BP67" s="67">
        <f t="shared" si="422"/>
        <v>1416633.0013032071</v>
      </c>
      <c r="BQ67" s="67">
        <f t="shared" si="422"/>
        <v>480099.49828764051</v>
      </c>
      <c r="BR67" s="67">
        <f t="shared" si="422"/>
        <v>1453506.7001450285</v>
      </c>
      <c r="BS67" s="67">
        <f t="shared" si="422"/>
        <v>1103143.6231639981</v>
      </c>
      <c r="BT67" s="67">
        <f t="shared" si="422"/>
        <v>-4289353.5150914416</v>
      </c>
      <c r="BU67" s="67">
        <f t="shared" si="422"/>
        <v>-570250.15744874626</v>
      </c>
      <c r="BV67" s="67">
        <f t="shared" si="422"/>
        <v>-4465983.8697405532</v>
      </c>
      <c r="BW67" s="67">
        <f t="shared" si="422"/>
        <v>-2090279.2305258028</v>
      </c>
      <c r="BX67" s="67">
        <f t="shared" si="422"/>
        <v>-2738746.2636210099</v>
      </c>
      <c r="BY67" s="67">
        <f t="shared" si="422"/>
        <v>332198.151684938</v>
      </c>
      <c r="BZ67" s="67">
        <f t="shared" si="422"/>
        <v>-4200834.3424739726</v>
      </c>
      <c r="CA67" s="67">
        <f t="shared" si="422"/>
        <v>-3342754.7487797849</v>
      </c>
      <c r="CB67" s="67">
        <f t="shared" si="422"/>
        <v>-6935563.2853102386</v>
      </c>
      <c r="CC67" s="67">
        <f t="shared" si="422"/>
        <v>-5379107.9002342895</v>
      </c>
      <c r="CD67" s="67">
        <f t="shared" si="422"/>
        <v>-190362.83196361549</v>
      </c>
      <c r="CE67" s="67">
        <f t="shared" si="422"/>
        <v>-10335949.950058609</v>
      </c>
      <c r="CF67" s="67">
        <f t="shared" si="422"/>
        <v>-14741328.805393629</v>
      </c>
      <c r="CG67" s="67">
        <f t="shared" si="422"/>
        <v>-2492321.8489497676</v>
      </c>
      <c r="CH67" s="67">
        <f t="shared" si="422"/>
        <v>-11825304.856413856</v>
      </c>
      <c r="CI67" s="67">
        <f t="shared" si="422"/>
        <v>-3111475.6714617461</v>
      </c>
      <c r="CJ67" s="67">
        <f t="shared" si="422"/>
        <v>-4423080.9193195701</v>
      </c>
      <c r="CK67" s="67">
        <f t="shared" si="422"/>
        <v>-6646567.0130428635</v>
      </c>
      <c r="CL67" s="67">
        <f t="shared" si="422"/>
        <v>-3980500.0057122707</v>
      </c>
      <c r="CM67" s="67">
        <f t="shared" si="422"/>
        <v>-3667387.1706866473</v>
      </c>
      <c r="CN67" s="67">
        <f t="shared" si="422"/>
        <v>-4575855.8527332041</v>
      </c>
      <c r="CO67" s="67">
        <f t="shared" si="422"/>
        <v>-4429369.0346480124</v>
      </c>
      <c r="CP67" s="67">
        <f t="shared" si="422"/>
        <v>-6980934.5504083559</v>
      </c>
      <c r="CQ67" s="67">
        <f t="shared" si="422"/>
        <v>-17097776.758351475</v>
      </c>
      <c r="CR67" s="67">
        <f t="shared" si="422"/>
        <v>-13591042.909890078</v>
      </c>
      <c r="CS67" s="67">
        <f t="shared" si="422"/>
        <v>961569.06639114767</v>
      </c>
      <c r="CT67" s="67">
        <f t="shared" ref="CT67:DR67" si="423">CT33-CT56</f>
        <v>-10905694.978506286</v>
      </c>
      <c r="CU67" s="67">
        <f t="shared" si="423"/>
        <v>-12398904.9013202</v>
      </c>
      <c r="CV67" s="67">
        <f t="shared" si="423"/>
        <v>-12837528.834942862</v>
      </c>
      <c r="CW67" s="67">
        <f t="shared" si="423"/>
        <v>-11555502.532428917</v>
      </c>
      <c r="CX67" s="67">
        <f t="shared" si="423"/>
        <v>-11645607.247963965</v>
      </c>
      <c r="CY67" s="67">
        <f t="shared" si="423"/>
        <v>-10728598.917832233</v>
      </c>
      <c r="CZ67" s="67">
        <f t="shared" si="423"/>
        <v>-9446983.8272579499</v>
      </c>
      <c r="DA67" s="67">
        <f t="shared" si="423"/>
        <v>-10940563.678215466</v>
      </c>
      <c r="DB67" s="67">
        <f t="shared" si="423"/>
        <v>-13830603.399468135</v>
      </c>
      <c r="DC67" s="67">
        <f t="shared" si="423"/>
        <v>-15432665.784429602</v>
      </c>
      <c r="DD67" s="67">
        <f t="shared" si="423"/>
        <v>-14225335.234759882</v>
      </c>
      <c r="DE67" s="67">
        <f t="shared" si="423"/>
        <v>-13804155.194494028</v>
      </c>
      <c r="DF67" s="67">
        <f t="shared" si="423"/>
        <v>-13173800.295847639</v>
      </c>
      <c r="DG67" s="67">
        <f t="shared" si="423"/>
        <v>-15042762.637660131</v>
      </c>
      <c r="DH67" s="67">
        <f t="shared" si="423"/>
        <v>-15574401.420986228</v>
      </c>
      <c r="DI67" s="67">
        <f t="shared" si="423"/>
        <v>-14000487.079602722</v>
      </c>
      <c r="DJ67" s="67">
        <f t="shared" si="423"/>
        <v>-14112738.218254268</v>
      </c>
      <c r="DK67" s="67">
        <f t="shared" si="423"/>
        <v>-12997666.495333783</v>
      </c>
      <c r="DL67" s="67">
        <f t="shared" si="423"/>
        <v>-11448506.157434992</v>
      </c>
      <c r="DM67" s="67">
        <f t="shared" si="423"/>
        <v>-13254280.888698056</v>
      </c>
      <c r="DN67" s="67">
        <f t="shared" si="423"/>
        <v>-16766380.145346902</v>
      </c>
      <c r="DO67" s="67">
        <f t="shared" si="423"/>
        <v>-18709317.17343431</v>
      </c>
      <c r="DP67" s="67">
        <f t="shared" si="423"/>
        <v>-17237482.322051153</v>
      </c>
      <c r="DQ67" s="67">
        <f t="shared" si="423"/>
        <v>-16724497.283256412</v>
      </c>
      <c r="DR67" s="69">
        <f t="shared" si="423"/>
        <v>-15956964.742993198</v>
      </c>
      <c r="DS67" s="69">
        <f t="shared" ref="DS67:ED67" si="424">DS33-DS56</f>
        <v>-17509743.40027187</v>
      </c>
      <c r="DT67" s="69">
        <f t="shared" si="424"/>
        <v>-18127940.27342499</v>
      </c>
      <c r="DU67" s="69">
        <f t="shared" si="424"/>
        <v>-16273241.885434411</v>
      </c>
      <c r="DV67" s="69">
        <f t="shared" si="424"/>
        <v>-16407492.101964749</v>
      </c>
      <c r="DW67" s="69">
        <f t="shared" si="424"/>
        <v>-15106458.19787626</v>
      </c>
      <c r="DX67" s="69">
        <f t="shared" si="424"/>
        <v>-13310261.720476728</v>
      </c>
      <c r="DY67" s="69">
        <f t="shared" si="424"/>
        <v>-15404485.700061016</v>
      </c>
      <c r="DZ67" s="69">
        <f t="shared" si="424"/>
        <v>-19499669.73887828</v>
      </c>
      <c r="EA67" s="69">
        <f t="shared" si="424"/>
        <v>-21760340.720283203</v>
      </c>
      <c r="EB67" s="69">
        <f t="shared" si="424"/>
        <v>-20038484.961439744</v>
      </c>
      <c r="EC67" s="69">
        <f t="shared" si="424"/>
        <v>-19438929.048592679</v>
      </c>
      <c r="ED67" s="69">
        <f t="shared" si="424"/>
        <v>-18542138.366934009</v>
      </c>
      <c r="EE67" s="39" t="s">
        <v>1</v>
      </c>
      <c r="EF67" s="68"/>
      <c r="EG67" s="629">
        <f t="shared" si="422"/>
        <v>-1334505.4452892691</v>
      </c>
      <c r="EH67" s="629">
        <f t="shared" si="422"/>
        <v>1595531.4824531078</v>
      </c>
      <c r="EI67" s="629">
        <f t="shared" si="422"/>
        <v>3036749.8215966821</v>
      </c>
      <c r="EJ67" s="629">
        <f t="shared" si="422"/>
        <v>-9325587.5422807485</v>
      </c>
      <c r="EK67" s="629">
        <f t="shared" si="422"/>
        <v>-4496827.3424618766</v>
      </c>
      <c r="EL67" s="629">
        <f t="shared" si="422"/>
        <v>-14479152.376564011</v>
      </c>
      <c r="EM67" s="629">
        <f t="shared" si="422"/>
        <v>-15905420.68225652</v>
      </c>
      <c r="EN67" s="629">
        <f t="shared" si="422"/>
        <v>-29058955.510757267</v>
      </c>
      <c r="EO67" s="629">
        <f t="shared" si="422"/>
        <v>-14181123.603824168</v>
      </c>
      <c r="EP67" s="629">
        <f t="shared" si="422"/>
        <v>-12223743.02913212</v>
      </c>
      <c r="EQ67" s="629">
        <f t="shared" si="422"/>
        <v>-28508080.343407869</v>
      </c>
      <c r="ER67" s="629">
        <f t="shared" si="422"/>
        <v>-23535168.822005197</v>
      </c>
      <c r="ES67" s="629">
        <f t="shared" ref="ES67" si="425">SUM(CU67:CW67)</f>
        <v>-36791936.268691979</v>
      </c>
      <c r="ET67" s="629">
        <f t="shared" ref="ET67" si="426">SUM(CX67:CZ67)</f>
        <v>-31821189.993054148</v>
      </c>
      <c r="EU67" s="629">
        <f t="shared" ref="EU67" si="427">SUM(DA67:DC67)</f>
        <v>-40203832.862113208</v>
      </c>
      <c r="EV67" s="629">
        <f t="shared" ref="EV67" si="428">SUM(DD67:DF67)</f>
        <v>-41203290.725101545</v>
      </c>
      <c r="EW67" s="629">
        <f t="shared" ref="EW67" si="429">SUM(DG67:DI67)</f>
        <v>-44617651.138249084</v>
      </c>
      <c r="EX67" s="629">
        <f t="shared" ref="EX67" si="430">SUM(DJ67:DL67)</f>
        <v>-38558910.871023044</v>
      </c>
      <c r="EY67" s="629">
        <f t="shared" ref="EY67" si="431">SUM(DM67:DO67)</f>
        <v>-48729978.207479268</v>
      </c>
      <c r="EZ67" s="629">
        <f t="shared" ref="EZ67" si="432">SUM(DP67:DR67)</f>
        <v>-49918944.348300762</v>
      </c>
      <c r="FA67" s="629">
        <f t="shared" ref="FA67:FA68" si="433">SUM(DS67:DU67)</f>
        <v>-51910925.559131272</v>
      </c>
      <c r="FB67" s="629">
        <f t="shared" ref="FB67" si="434">SUM(DV67:DX67)</f>
        <v>-44824212.020317733</v>
      </c>
      <c r="FC67" s="629">
        <f t="shared" ref="FC67" si="435">SUM(DY67:EA67)</f>
        <v>-56664496.159222499</v>
      </c>
      <c r="FD67" s="629">
        <f t="shared" ref="FD67" si="436">SUM(EB67:ED67)</f>
        <v>-58019552.376966432</v>
      </c>
      <c r="FG67" s="70"/>
      <c r="FH67" s="67">
        <f>SUM(EO67:ER67)</f>
        <v>-78448115.798369348</v>
      </c>
      <c r="FI67" s="67">
        <f>SUM(ES67:EV67)</f>
        <v>-150020249.84896088</v>
      </c>
      <c r="FJ67" s="69">
        <f>SUM(EW67:EZ67)</f>
        <v>-181825484.56505215</v>
      </c>
      <c r="FK67" s="619">
        <f t="shared" ref="FK67:FK68" si="437">SUM(FA67:FD67)</f>
        <v>-211419186.1156379</v>
      </c>
    </row>
    <row r="68" spans="2:167" ht="15" customHeight="1" x14ac:dyDescent="0.2">
      <c r="B68" s="48" t="s">
        <v>4</v>
      </c>
      <c r="C68" s="66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8"/>
      <c r="AD68" s="67"/>
      <c r="AE68" s="67"/>
      <c r="AF68" s="67"/>
      <c r="AG68" s="67"/>
      <c r="AH68" s="67"/>
      <c r="AI68" s="67"/>
      <c r="AJ68" s="67"/>
      <c r="AK68" s="68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>
        <f t="shared" si="422"/>
        <v>-3000829.4970484078</v>
      </c>
      <c r="BB68" s="67">
        <f t="shared" si="422"/>
        <v>13865116.649011582</v>
      </c>
      <c r="BC68" s="67">
        <f t="shared" si="422"/>
        <v>295639.14558383822</v>
      </c>
      <c r="BD68" s="67">
        <f t="shared" si="422"/>
        <v>-7537743.6730156541</v>
      </c>
      <c r="BE68" s="67">
        <f t="shared" si="422"/>
        <v>-5525126.6273642778</v>
      </c>
      <c r="BF68" s="67">
        <f t="shared" si="422"/>
        <v>-631158.5708604455</v>
      </c>
      <c r="BG68" s="67">
        <f t="shared" si="422"/>
        <v>6742821.8178460598</v>
      </c>
      <c r="BH68" s="67">
        <f t="shared" si="422"/>
        <v>4771281.2811312675</v>
      </c>
      <c r="BI68" s="67">
        <f t="shared" si="422"/>
        <v>-4226196.0630041361</v>
      </c>
      <c r="BJ68" s="66">
        <f t="shared" si="422"/>
        <v>4126663.3486985564</v>
      </c>
      <c r="BK68" s="67">
        <f t="shared" si="422"/>
        <v>13418381.803186417</v>
      </c>
      <c r="BL68" s="67">
        <f t="shared" si="422"/>
        <v>14040627.680153847</v>
      </c>
      <c r="BM68" s="67">
        <f t="shared" si="422"/>
        <v>16523370.443034947</v>
      </c>
      <c r="BN68" s="67">
        <f t="shared" si="422"/>
        <v>19782839.052122176</v>
      </c>
      <c r="BO68" s="67">
        <f t="shared" si="422"/>
        <v>16711022.825016886</v>
      </c>
      <c r="BP68" s="67">
        <f t="shared" si="422"/>
        <v>9817345.4832350314</v>
      </c>
      <c r="BQ68" s="67">
        <f t="shared" si="422"/>
        <v>14537972.646586269</v>
      </c>
      <c r="BR68" s="67">
        <f t="shared" si="422"/>
        <v>14390689.081017703</v>
      </c>
      <c r="BS68" s="67">
        <f t="shared" si="422"/>
        <v>1603205.3547091186</v>
      </c>
      <c r="BT68" s="67">
        <f t="shared" si="422"/>
        <v>-6868369.7602925897</v>
      </c>
      <c r="BU68" s="67">
        <f t="shared" si="422"/>
        <v>12480462.132138729</v>
      </c>
      <c r="BV68" s="67">
        <f t="shared" si="422"/>
        <v>20346247.933103472</v>
      </c>
      <c r="BW68" s="67">
        <f t="shared" si="422"/>
        <v>25327784.152982235</v>
      </c>
      <c r="BX68" s="67">
        <f t="shared" si="422"/>
        <v>29098635.415937006</v>
      </c>
      <c r="BY68" s="67">
        <f t="shared" si="422"/>
        <v>23478704.846075863</v>
      </c>
      <c r="BZ68" s="67">
        <f t="shared" si="422"/>
        <v>16994506.194594085</v>
      </c>
      <c r="CA68" s="67">
        <f t="shared" si="422"/>
        <v>18211399.772243977</v>
      </c>
      <c r="CB68" s="67">
        <f t="shared" si="422"/>
        <v>19796183.520460904</v>
      </c>
      <c r="CC68" s="67">
        <f t="shared" si="422"/>
        <v>23786173.24018079</v>
      </c>
      <c r="CD68" s="67">
        <f t="shared" si="422"/>
        <v>20184040.486384422</v>
      </c>
      <c r="CE68" s="67">
        <f t="shared" si="422"/>
        <v>30149060.854152322</v>
      </c>
      <c r="CF68" s="67">
        <f t="shared" si="422"/>
        <v>36762747.786420286</v>
      </c>
      <c r="CG68" s="67">
        <f t="shared" si="422"/>
        <v>33921680.954284608</v>
      </c>
      <c r="CH68" s="67">
        <f t="shared" si="422"/>
        <v>35717853.494564593</v>
      </c>
      <c r="CI68" s="67">
        <f t="shared" si="422"/>
        <v>36611985.326617658</v>
      </c>
      <c r="CJ68" s="67">
        <f t="shared" si="422"/>
        <v>37064176.343032598</v>
      </c>
      <c r="CK68" s="67">
        <f t="shared" si="422"/>
        <v>33973176.2361812</v>
      </c>
      <c r="CL68" s="67">
        <f t="shared" si="422"/>
        <v>35424639.172277927</v>
      </c>
      <c r="CM68" s="67">
        <f t="shared" si="422"/>
        <v>33089197.27659893</v>
      </c>
      <c r="CN68" s="67">
        <f t="shared" si="422"/>
        <v>24123218.125025034</v>
      </c>
      <c r="CO68" s="67">
        <f t="shared" si="422"/>
        <v>38802437.236623526</v>
      </c>
      <c r="CP68" s="67">
        <f t="shared" si="422"/>
        <v>42896579.855160654</v>
      </c>
      <c r="CQ68" s="67">
        <f t="shared" si="422"/>
        <v>32856254.359890282</v>
      </c>
      <c r="CR68" s="67">
        <f t="shared" si="422"/>
        <v>47846873.607875109</v>
      </c>
      <c r="CS68" s="67">
        <f t="shared" si="422"/>
        <v>51355701.595861018</v>
      </c>
      <c r="CT68" s="67">
        <f t="shared" ref="CT68:DR68" si="438">CT34-CT57</f>
        <v>61117873.849969864</v>
      </c>
      <c r="CU68" s="67">
        <f t="shared" si="438"/>
        <v>52579576.630008221</v>
      </c>
      <c r="CV68" s="67">
        <f t="shared" si="438"/>
        <v>54484965.533422709</v>
      </c>
      <c r="CW68" s="67">
        <f t="shared" si="438"/>
        <v>50680474.839008808</v>
      </c>
      <c r="CX68" s="67">
        <f t="shared" si="438"/>
        <v>50804051.580336213</v>
      </c>
      <c r="CY68" s="67">
        <f t="shared" si="438"/>
        <v>47138043.18872869</v>
      </c>
      <c r="CZ68" s="67">
        <f t="shared" si="438"/>
        <v>41197428.616499841</v>
      </c>
      <c r="DA68" s="67">
        <f t="shared" si="438"/>
        <v>48085240.53532809</v>
      </c>
      <c r="DB68" s="67">
        <f t="shared" si="438"/>
        <v>59829071.296443939</v>
      </c>
      <c r="DC68" s="67">
        <f t="shared" si="438"/>
        <v>66687942.643976092</v>
      </c>
      <c r="DD68" s="67">
        <f t="shared" si="438"/>
        <v>62190457.939491272</v>
      </c>
      <c r="DE68" s="67">
        <f t="shared" si="438"/>
        <v>60580255.761704326</v>
      </c>
      <c r="DF68" s="67">
        <f t="shared" si="438"/>
        <v>58150849.059180617</v>
      </c>
      <c r="DG68" s="67">
        <f t="shared" si="438"/>
        <v>71910169.065421104</v>
      </c>
      <c r="DH68" s="67">
        <f t="shared" si="438"/>
        <v>74517709.422378898</v>
      </c>
      <c r="DI68" s="67">
        <f t="shared" si="438"/>
        <v>69373769.951940536</v>
      </c>
      <c r="DJ68" s="67">
        <f t="shared" si="438"/>
        <v>69533393.800225854</v>
      </c>
      <c r="DK68" s="67">
        <f t="shared" si="438"/>
        <v>64527682.696722984</v>
      </c>
      <c r="DL68" s="67">
        <f t="shared" si="438"/>
        <v>56384674.97720319</v>
      </c>
      <c r="DM68" s="67">
        <f t="shared" si="438"/>
        <v>65824866.311567783</v>
      </c>
      <c r="DN68" s="67">
        <f t="shared" si="438"/>
        <v>81867670.303321481</v>
      </c>
      <c r="DO68" s="67">
        <f t="shared" si="438"/>
        <v>91250530.033701062</v>
      </c>
      <c r="DP68" s="67">
        <f t="shared" si="438"/>
        <v>85122164.430536628</v>
      </c>
      <c r="DQ68" s="67">
        <f t="shared" si="438"/>
        <v>82926365.186877728</v>
      </c>
      <c r="DR68" s="69">
        <f t="shared" si="438"/>
        <v>79612647.98333931</v>
      </c>
      <c r="DS68" s="69">
        <f t="shared" ref="DS68:ED68" si="439">DS34-DS57</f>
        <v>93640812.432664156</v>
      </c>
      <c r="DT68" s="69">
        <f t="shared" si="439"/>
        <v>97038116.283507586</v>
      </c>
      <c r="DU68" s="69">
        <f t="shared" si="439"/>
        <v>90404057.509305477</v>
      </c>
      <c r="DV68" s="69">
        <f t="shared" si="439"/>
        <v>90601727.798139811</v>
      </c>
      <c r="DW68" s="69">
        <f t="shared" si="439"/>
        <v>84092112.144511938</v>
      </c>
      <c r="DX68" s="69">
        <f t="shared" si="439"/>
        <v>73468422.350059152</v>
      </c>
      <c r="DY68" s="69">
        <f t="shared" si="439"/>
        <v>85783198.557061672</v>
      </c>
      <c r="DZ68" s="69">
        <f t="shared" si="439"/>
        <v>106653825.80911255</v>
      </c>
      <c r="EA68" s="69">
        <f t="shared" si="439"/>
        <v>118874670.89417374</v>
      </c>
      <c r="EB68" s="69">
        <f t="shared" si="439"/>
        <v>110918898.61997736</v>
      </c>
      <c r="EC68" s="69">
        <f t="shared" si="439"/>
        <v>108066480.26013362</v>
      </c>
      <c r="ED68" s="69">
        <f t="shared" si="439"/>
        <v>103760992.53133106</v>
      </c>
      <c r="EE68" s="39" t="s">
        <v>1</v>
      </c>
      <c r="EF68" s="68"/>
      <c r="EG68" s="629">
        <f t="shared" si="422"/>
        <v>43982379.92637527</v>
      </c>
      <c r="EH68" s="629">
        <f t="shared" si="422"/>
        <v>46311207.360374093</v>
      </c>
      <c r="EI68" s="629">
        <f t="shared" si="422"/>
        <v>30531867.082313061</v>
      </c>
      <c r="EJ68" s="629">
        <f t="shared" si="422"/>
        <v>25958340.304949403</v>
      </c>
      <c r="EK68" s="629">
        <f t="shared" si="422"/>
        <v>77905124.414995074</v>
      </c>
      <c r="EL68" s="629">
        <f t="shared" si="422"/>
        <v>55002089.487298965</v>
      </c>
      <c r="EM68" s="629">
        <f t="shared" si="422"/>
        <v>74119274.580717564</v>
      </c>
      <c r="EN68" s="629">
        <f t="shared" si="422"/>
        <v>106402282.23526955</v>
      </c>
      <c r="EO68" s="629">
        <f t="shared" si="422"/>
        <v>107649337.90583181</v>
      </c>
      <c r="EP68" s="629">
        <f t="shared" si="422"/>
        <v>92637054.573901892</v>
      </c>
      <c r="EQ68" s="629">
        <f t="shared" si="422"/>
        <v>114555271.45167422</v>
      </c>
      <c r="ER68" s="629">
        <f t="shared" si="422"/>
        <v>160320449.05370569</v>
      </c>
      <c r="ES68" s="629">
        <f t="shared" ref="ES68" si="440">SUM(CU68:CW68)</f>
        <v>157745017.00243974</v>
      </c>
      <c r="ET68" s="629">
        <f t="shared" ref="ET68" si="441">SUM(CX68:CZ68)</f>
        <v>139139523.38556474</v>
      </c>
      <c r="EU68" s="629">
        <f t="shared" ref="EU68" si="442">SUM(DA68:DC68)</f>
        <v>174602254.47574812</v>
      </c>
      <c r="EV68" s="629">
        <f t="shared" ref="EV68" si="443">SUM(DD68:DF68)</f>
        <v>180921562.76037621</v>
      </c>
      <c r="EW68" s="629">
        <f t="shared" ref="EW68" si="444">SUM(DG68:DI68)</f>
        <v>215801648.43974054</v>
      </c>
      <c r="EX68" s="629">
        <f t="shared" ref="EX68" si="445">SUM(DJ68:DL68)</f>
        <v>190445751.47415203</v>
      </c>
      <c r="EY68" s="629">
        <f t="shared" ref="EY68" si="446">SUM(DM68:DO68)</f>
        <v>238943066.64859033</v>
      </c>
      <c r="EZ68" s="629">
        <f t="shared" ref="EZ68" si="447">SUM(DP68:DR68)</f>
        <v>247661177.60075366</v>
      </c>
      <c r="FA68" s="629">
        <f t="shared" si="433"/>
        <v>281082986.22547722</v>
      </c>
      <c r="FB68" s="629">
        <f t="shared" ref="FB68" si="448">SUM(DV68:DX68)</f>
        <v>248162262.2927109</v>
      </c>
      <c r="FC68" s="629">
        <f t="shared" ref="FC68" si="449">SUM(DY68:EA68)</f>
        <v>311311695.26034796</v>
      </c>
      <c r="FD68" s="629">
        <f t="shared" ref="FD68" si="450">SUM(EB68:ED68)</f>
        <v>322746371.41144204</v>
      </c>
      <c r="FG68" s="70"/>
      <c r="FH68" s="67">
        <f>SUM(EO68:ER68)</f>
        <v>475162112.98511362</v>
      </c>
      <c r="FI68" s="67">
        <f>SUM(ES68:EV68)</f>
        <v>652408357.62412882</v>
      </c>
      <c r="FJ68" s="69">
        <f>SUM(EW68:EZ68)</f>
        <v>892851644.1632365</v>
      </c>
      <c r="FK68" s="619">
        <f t="shared" si="437"/>
        <v>1163303315.1899781</v>
      </c>
    </row>
    <row r="69" spans="2:167" ht="15" customHeight="1" x14ac:dyDescent="0.2">
      <c r="B69" s="48"/>
      <c r="C69" s="66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8"/>
      <c r="AD69" s="67"/>
      <c r="AE69" s="67"/>
      <c r="AF69" s="67"/>
      <c r="AG69" s="67"/>
      <c r="AH69" s="67"/>
      <c r="AI69" s="67"/>
      <c r="AJ69" s="67"/>
      <c r="AK69" s="68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6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9"/>
      <c r="DS69" s="69"/>
      <c r="DT69" s="69"/>
      <c r="DU69" s="69"/>
      <c r="DV69" s="69"/>
      <c r="DW69" s="69"/>
      <c r="DX69" s="69"/>
      <c r="DY69" s="69"/>
      <c r="DZ69" s="69"/>
      <c r="EA69" s="69"/>
      <c r="EB69" s="69"/>
      <c r="EC69" s="69"/>
      <c r="ED69" s="69"/>
      <c r="EE69" s="39" t="s">
        <v>1</v>
      </c>
      <c r="EF69" s="68"/>
      <c r="EG69" s="629"/>
      <c r="EH69" s="629"/>
      <c r="EI69" s="629"/>
      <c r="EJ69" s="629"/>
      <c r="EK69" s="629"/>
      <c r="EL69" s="629"/>
      <c r="EM69" s="629"/>
      <c r="EN69" s="629"/>
      <c r="EO69" s="629"/>
      <c r="EP69" s="629"/>
      <c r="EQ69" s="629"/>
      <c r="ER69" s="629"/>
      <c r="ES69" s="629"/>
      <c r="ET69" s="629"/>
      <c r="EU69" s="629"/>
      <c r="EV69" s="629"/>
      <c r="EW69" s="629"/>
      <c r="EX69" s="629"/>
      <c r="EY69" s="629"/>
      <c r="EZ69" s="629"/>
      <c r="FA69" s="629"/>
      <c r="FB69" s="629"/>
      <c r="FC69" s="629"/>
      <c r="FD69" s="629"/>
      <c r="FG69" s="70"/>
      <c r="FH69" s="67"/>
      <c r="FI69" s="67"/>
      <c r="FJ69" s="69"/>
      <c r="FK69" s="619"/>
    </row>
    <row r="70" spans="2:167" ht="15.75" customHeight="1" x14ac:dyDescent="0.2">
      <c r="B70" s="48" t="s">
        <v>31</v>
      </c>
      <c r="C70" s="75">
        <f t="shared" ref="C70:Z70" si="451">C66/C32</f>
        <v>3.4850926036307246E-2</v>
      </c>
      <c r="D70" s="76">
        <f t="shared" si="451"/>
        <v>3.14700350874366E-2</v>
      </c>
      <c r="E70" s="76">
        <f t="shared" si="451"/>
        <v>2.7457414230257965E-2</v>
      </c>
      <c r="F70" s="76">
        <f t="shared" si="451"/>
        <v>4.086221034390141E-2</v>
      </c>
      <c r="G70" s="76">
        <f t="shared" si="451"/>
        <v>1.8948484074784392E-2</v>
      </c>
      <c r="H70" s="76">
        <f t="shared" si="451"/>
        <v>4.2880947566076147E-2</v>
      </c>
      <c r="I70" s="76">
        <f t="shared" si="451"/>
        <v>-2.817750550069327E-2</v>
      </c>
      <c r="J70" s="76">
        <f t="shared" si="451"/>
        <v>3.463492500760211E-2</v>
      </c>
      <c r="K70" s="76">
        <f t="shared" si="451"/>
        <v>7.3119210076281029E-3</v>
      </c>
      <c r="L70" s="76">
        <f t="shared" si="451"/>
        <v>-2.6438137489956513E-2</v>
      </c>
      <c r="M70" s="76">
        <f t="shared" si="451"/>
        <v>5.1249468663390448E-3</v>
      </c>
      <c r="N70" s="76">
        <f t="shared" si="451"/>
        <v>1.3850987231590478E-2</v>
      </c>
      <c r="O70" s="76">
        <f t="shared" si="451"/>
        <v>1.5123834524145183E-2</v>
      </c>
      <c r="P70" s="76">
        <f t="shared" si="451"/>
        <v>7.586501547981476E-3</v>
      </c>
      <c r="Q70" s="76">
        <f t="shared" si="451"/>
        <v>1.6862116878709192E-2</v>
      </c>
      <c r="R70" s="76">
        <f t="shared" si="451"/>
        <v>3.9111479639789136E-2</v>
      </c>
      <c r="S70" s="76">
        <f t="shared" si="451"/>
        <v>3.7146444148467475E-2</v>
      </c>
      <c r="T70" s="76">
        <f t="shared" si="451"/>
        <v>1.6259594894923807E-2</v>
      </c>
      <c r="U70" s="76">
        <f t="shared" si="451"/>
        <v>-1.1389982060157945E-3</v>
      </c>
      <c r="V70" s="76">
        <f t="shared" si="451"/>
        <v>2.6361759927255726E-2</v>
      </c>
      <c r="W70" s="76">
        <f t="shared" si="451"/>
        <v>3.070302209769819E-2</v>
      </c>
      <c r="X70" s="76">
        <f t="shared" si="451"/>
        <v>4.5003075324166718E-2</v>
      </c>
      <c r="Y70" s="76">
        <f t="shared" si="451"/>
        <v>6.8762405652169872E-2</v>
      </c>
      <c r="Z70" s="76">
        <f t="shared" si="451"/>
        <v>4.7036793751042881E-2</v>
      </c>
      <c r="AA70" s="76">
        <f t="shared" ref="AA70:ES72" si="452">IFERROR(AA66/AA32,0)</f>
        <v>68.639122391467353</v>
      </c>
      <c r="AB70" s="76">
        <f t="shared" si="452"/>
        <v>6.9176206269622328E-2</v>
      </c>
      <c r="AC70" s="79">
        <f t="shared" si="452"/>
        <v>2.7433876520147882E-2</v>
      </c>
      <c r="AD70" s="76">
        <f t="shared" si="452"/>
        <v>2.6859854535666073E-2</v>
      </c>
      <c r="AE70" s="77">
        <f t="shared" si="452"/>
        <v>4.1507761667675148E-2</v>
      </c>
      <c r="AF70" s="77">
        <f t="shared" si="452"/>
        <v>4.5700065550924172E-2</v>
      </c>
      <c r="AG70" s="77">
        <f t="shared" si="452"/>
        <v>2.7257333663239847E-2</v>
      </c>
      <c r="AH70" s="77">
        <f t="shared" si="452"/>
        <v>6.0223593264617084E-2</v>
      </c>
      <c r="AI70" s="77">
        <f t="shared" si="452"/>
        <v>3.692816865720551E-2</v>
      </c>
      <c r="AJ70" s="77">
        <f t="shared" si="452"/>
        <v>2.5405753130187191E-2</v>
      </c>
      <c r="AK70" s="83">
        <f t="shared" si="452"/>
        <v>3.5325349388849944E-2</v>
      </c>
      <c r="AL70" s="77">
        <f t="shared" si="452"/>
        <v>4.1973713945088434E-2</v>
      </c>
      <c r="AM70" s="77">
        <f t="shared" si="452"/>
        <v>1.807234136188865E-2</v>
      </c>
      <c r="AN70" s="77">
        <f t="shared" si="452"/>
        <v>1.4831506903264126E-2</v>
      </c>
      <c r="AO70" s="77">
        <f t="shared" si="452"/>
        <v>5.1209308286246195E-2</v>
      </c>
      <c r="AP70" s="77">
        <f t="shared" si="452"/>
        <v>3.6589011934871199E-2</v>
      </c>
      <c r="AQ70" s="77">
        <f t="shared" si="452"/>
        <v>3.7877694194235353E-2</v>
      </c>
      <c r="AR70" s="77">
        <f t="shared" si="452"/>
        <v>3.0823783401638789E-2</v>
      </c>
      <c r="AS70" s="77">
        <f t="shared" si="452"/>
        <v>3.5391128884415632E-2</v>
      </c>
      <c r="AT70" s="77">
        <f t="shared" si="452"/>
        <v>2.8870117180993263E-2</v>
      </c>
      <c r="AU70" s="77">
        <f t="shared" si="452"/>
        <v>2.6714839240244381E-2</v>
      </c>
      <c r="AV70" s="77">
        <f t="shared" si="452"/>
        <v>-6.39100641569293E-3</v>
      </c>
      <c r="AW70" s="77">
        <f t="shared" si="452"/>
        <v>-2.3780479852999643E-2</v>
      </c>
      <c r="AX70" s="77">
        <f t="shared" si="452"/>
        <v>-1.5351828008231901E-2</v>
      </c>
      <c r="AY70" s="77">
        <f t="shared" si="452"/>
        <v>-2.5420314239511046E-2</v>
      </c>
      <c r="AZ70" s="77">
        <f t="shared" si="452"/>
        <v>-4.1678059098063241E-2</v>
      </c>
      <c r="BA70" s="77">
        <f t="shared" si="452"/>
        <v>-2.6498370492704735E-2</v>
      </c>
      <c r="BB70" s="77">
        <f t="shared" si="452"/>
        <v>3.3714400474703629E-2</v>
      </c>
      <c r="BC70" s="77">
        <f t="shared" si="452"/>
        <v>-5.0809525673838766E-3</v>
      </c>
      <c r="BD70" s="77">
        <f t="shared" si="452"/>
        <v>-6.4206592293865744E-2</v>
      </c>
      <c r="BE70" s="77">
        <f t="shared" si="452"/>
        <v>-3.5053587737502542E-2</v>
      </c>
      <c r="BF70" s="77">
        <f t="shared" si="452"/>
        <v>-1.3994309603139847E-2</v>
      </c>
      <c r="BG70" s="77">
        <f t="shared" si="452"/>
        <v>1.3662938367552465E-2</v>
      </c>
      <c r="BH70" s="77">
        <f t="shared" si="452"/>
        <v>3.0989809997265202E-3</v>
      </c>
      <c r="BI70" s="77">
        <f t="shared" si="452"/>
        <v>-5.9337690720762826E-3</v>
      </c>
      <c r="BJ70" s="82">
        <f t="shared" si="452"/>
        <v>1.9625464728616027E-2</v>
      </c>
      <c r="BK70" s="77">
        <f t="shared" si="452"/>
        <v>4.0847004613418551E-2</v>
      </c>
      <c r="BL70" s="77">
        <f t="shared" si="452"/>
        <v>3.3619164015030165E-2</v>
      </c>
      <c r="BM70" s="77">
        <f t="shared" si="452"/>
        <v>4.8074866172636323E-2</v>
      </c>
      <c r="BN70" s="77">
        <f t="shared" si="452"/>
        <v>6.9837576833922943E-2</v>
      </c>
      <c r="BO70" s="77">
        <f t="shared" si="452"/>
        <v>5.9563496164529356E-2</v>
      </c>
      <c r="BP70" s="77">
        <f t="shared" si="452"/>
        <v>3.964247455411167E-2</v>
      </c>
      <c r="BQ70" s="77">
        <f t="shared" si="452"/>
        <v>5.6540463894748934E-2</v>
      </c>
      <c r="BR70" s="77">
        <f t="shared" si="452"/>
        <v>4.8448743748197472E-2</v>
      </c>
      <c r="BS70" s="77">
        <f t="shared" si="452"/>
        <v>1.0854570078830533E-2</v>
      </c>
      <c r="BT70" s="77">
        <f t="shared" si="452"/>
        <v>-4.2009502857673992E-2</v>
      </c>
      <c r="BU70" s="77">
        <f t="shared" si="452"/>
        <v>4.2886070227658377E-2</v>
      </c>
      <c r="BV70" s="77">
        <f t="shared" si="452"/>
        <v>5.5240422898106295E-2</v>
      </c>
      <c r="BW70" s="77">
        <f t="shared" si="452"/>
        <v>7.7901574963861575E-2</v>
      </c>
      <c r="BX70" s="77">
        <f t="shared" si="452"/>
        <v>8.5363142492185642E-2</v>
      </c>
      <c r="BY70" s="77">
        <f t="shared" si="452"/>
        <v>8.085548459913694E-2</v>
      </c>
      <c r="BZ70" s="77">
        <f t="shared" si="452"/>
        <v>4.5922574654860229E-2</v>
      </c>
      <c r="CA70" s="77">
        <f t="shared" si="452"/>
        <v>5.8858407816211038E-2</v>
      </c>
      <c r="CB70" s="77">
        <f t="shared" si="452"/>
        <v>5.4271009112608494E-2</v>
      </c>
      <c r="CC70" s="77">
        <f t="shared" si="452"/>
        <v>6.5088471543615953E-2</v>
      </c>
      <c r="CD70" s="77">
        <f t="shared" si="452"/>
        <v>6.9329280687332781E-2</v>
      </c>
      <c r="CE70" s="77">
        <f t="shared" si="452"/>
        <v>6.0374384934953701E-2</v>
      </c>
      <c r="CF70" s="77">
        <f t="shared" si="452"/>
        <v>5.8534889072412125E-2</v>
      </c>
      <c r="CG70" s="77">
        <f t="shared" si="452"/>
        <v>7.2334951728900795E-2</v>
      </c>
      <c r="CH70" s="77">
        <f t="shared" si="452"/>
        <v>4.4072768912330473E-2</v>
      </c>
      <c r="CI70" s="77">
        <f t="shared" si="452"/>
        <v>7.2973468063900399E-2</v>
      </c>
      <c r="CJ70" s="77">
        <f t="shared" si="452"/>
        <v>7.0522846511958906E-2</v>
      </c>
      <c r="CK70" s="77">
        <f t="shared" si="452"/>
        <v>7.159850762116407E-2</v>
      </c>
      <c r="CL70" s="77">
        <f t="shared" si="452"/>
        <v>7.0177440177831965E-2</v>
      </c>
      <c r="CM70" s="77">
        <f t="shared" si="452"/>
        <v>8.0727874715882955E-2</v>
      </c>
      <c r="CN70" s="77">
        <f t="shared" si="452"/>
        <v>6.4631797796183138E-2</v>
      </c>
      <c r="CO70" s="77">
        <f t="shared" si="452"/>
        <v>8.1558024976018301E-2</v>
      </c>
      <c r="CP70" s="77">
        <f t="shared" si="452"/>
        <v>6.9357076617194299E-2</v>
      </c>
      <c r="CQ70" s="77">
        <f t="shared" si="452"/>
        <v>4.0764479289648735E-2</v>
      </c>
      <c r="CR70" s="77">
        <f t="shared" si="452"/>
        <v>5.18826012123857E-2</v>
      </c>
      <c r="CS70" s="77">
        <f t="shared" si="452"/>
        <v>7.5505484476564716E-2</v>
      </c>
      <c r="CT70" s="77">
        <f t="shared" ref="CT70:DR70" si="453">IFERROR(CT66/CT32,0)</f>
        <v>8.6030595017795169E-2</v>
      </c>
      <c r="CU70" s="77">
        <f t="shared" si="453"/>
        <v>6.6490361852880278E-2</v>
      </c>
      <c r="CV70" s="77">
        <f t="shared" si="453"/>
        <v>6.6490361852880694E-2</v>
      </c>
      <c r="CW70" s="77">
        <f t="shared" si="453"/>
        <v>6.6490361852880459E-2</v>
      </c>
      <c r="CX70" s="77">
        <f t="shared" si="453"/>
        <v>6.6490361852880417E-2</v>
      </c>
      <c r="CY70" s="77">
        <f t="shared" si="453"/>
        <v>6.6490361852880264E-2</v>
      </c>
      <c r="CZ70" s="77">
        <f t="shared" si="453"/>
        <v>6.6490361852880445E-2</v>
      </c>
      <c r="DA70" s="77">
        <f t="shared" si="453"/>
        <v>6.6490361852880528E-2</v>
      </c>
      <c r="DB70" s="77">
        <f t="shared" si="453"/>
        <v>6.6490361852880445E-2</v>
      </c>
      <c r="DC70" s="77">
        <f t="shared" si="453"/>
        <v>6.6490361852880292E-2</v>
      </c>
      <c r="DD70" s="77">
        <f t="shared" si="453"/>
        <v>6.6490361852880334E-2</v>
      </c>
      <c r="DE70" s="77">
        <f t="shared" si="453"/>
        <v>6.649036185288025E-2</v>
      </c>
      <c r="DF70" s="77">
        <f t="shared" si="453"/>
        <v>6.6490361852880167E-2</v>
      </c>
      <c r="DG70" s="77">
        <f t="shared" si="453"/>
        <v>7.5282652446390222E-2</v>
      </c>
      <c r="DH70" s="77">
        <f t="shared" si="453"/>
        <v>7.5282652446390791E-2</v>
      </c>
      <c r="DI70" s="77">
        <f t="shared" si="453"/>
        <v>7.5282652446390722E-2</v>
      </c>
      <c r="DJ70" s="77">
        <f t="shared" si="453"/>
        <v>7.5282652446390708E-2</v>
      </c>
      <c r="DK70" s="77">
        <f t="shared" si="453"/>
        <v>7.5282652446390749E-2</v>
      </c>
      <c r="DL70" s="77">
        <f t="shared" si="453"/>
        <v>7.5282652446390513E-2</v>
      </c>
      <c r="DM70" s="77">
        <f t="shared" si="453"/>
        <v>7.5282652446390694E-2</v>
      </c>
      <c r="DN70" s="77">
        <f t="shared" si="453"/>
        <v>7.5282652446390638E-2</v>
      </c>
      <c r="DO70" s="77">
        <f t="shared" si="453"/>
        <v>7.5282652446390486E-2</v>
      </c>
      <c r="DP70" s="77">
        <f t="shared" si="453"/>
        <v>7.5282652446390555E-2</v>
      </c>
      <c r="DQ70" s="77">
        <f t="shared" si="453"/>
        <v>7.5282652446390361E-2</v>
      </c>
      <c r="DR70" s="81">
        <f t="shared" si="453"/>
        <v>7.5282652446390486E-2</v>
      </c>
      <c r="DS70" s="81">
        <f t="shared" ref="DS70:ED70" si="454">IFERROR(DS66/DS32,0)</f>
        <v>8.398702013396557E-2</v>
      </c>
      <c r="DT70" s="81">
        <f t="shared" si="454"/>
        <v>8.3987020133965293E-2</v>
      </c>
      <c r="DU70" s="81">
        <f t="shared" si="454"/>
        <v>8.3987020133965418E-2</v>
      </c>
      <c r="DV70" s="81">
        <f t="shared" si="454"/>
        <v>8.3987020133965654E-2</v>
      </c>
      <c r="DW70" s="81">
        <f t="shared" si="454"/>
        <v>8.3987020133965362E-2</v>
      </c>
      <c r="DX70" s="81">
        <f t="shared" si="454"/>
        <v>8.3987020133965737E-2</v>
      </c>
      <c r="DY70" s="81">
        <f t="shared" si="454"/>
        <v>8.398702013396582E-2</v>
      </c>
      <c r="DZ70" s="81">
        <f t="shared" si="454"/>
        <v>8.3987020133965279E-2</v>
      </c>
      <c r="EA70" s="81">
        <f t="shared" si="454"/>
        <v>8.3987020133965626E-2</v>
      </c>
      <c r="EB70" s="81">
        <f t="shared" si="454"/>
        <v>8.3987020133965862E-2</v>
      </c>
      <c r="EC70" s="81">
        <f t="shared" si="454"/>
        <v>8.3987020133965626E-2</v>
      </c>
      <c r="ED70" s="81">
        <f t="shared" si="454"/>
        <v>8.3987020133965584E-2</v>
      </c>
      <c r="EE70" s="39" t="s">
        <v>1</v>
      </c>
      <c r="EF70" s="83"/>
      <c r="EG70" s="633">
        <f t="shared" si="452"/>
        <v>4.02037346577543E-2</v>
      </c>
      <c r="EH70" s="633">
        <f t="shared" si="452"/>
        <v>5.6260727754315384E-2</v>
      </c>
      <c r="EI70" s="633">
        <f t="shared" si="452"/>
        <v>3.8363916264174881E-2</v>
      </c>
      <c r="EJ70" s="633">
        <f t="shared" si="452"/>
        <v>2.0020335624151883E-2</v>
      </c>
      <c r="EK70" s="633">
        <f t="shared" si="452"/>
        <v>8.1422070054347498E-2</v>
      </c>
      <c r="EL70" s="633">
        <f t="shared" si="452"/>
        <v>5.2884030476082047E-2</v>
      </c>
      <c r="EM70" s="633">
        <f t="shared" si="452"/>
        <v>6.4728180911109615E-2</v>
      </c>
      <c r="EN70" s="633">
        <f t="shared" si="452"/>
        <v>5.7171775743651239E-2</v>
      </c>
      <c r="EO70" s="633">
        <f t="shared" si="452"/>
        <v>7.1705282901798631E-2</v>
      </c>
      <c r="EP70" s="633">
        <f t="shared" si="452"/>
        <v>7.2070848913673186E-2</v>
      </c>
      <c r="EQ70" s="633">
        <f t="shared" si="452"/>
        <v>6.1295336862817955E-2</v>
      </c>
      <c r="ER70" s="633">
        <f t="shared" si="452"/>
        <v>7.0380178354288281E-2</v>
      </c>
      <c r="ES70" s="633">
        <f t="shared" si="452"/>
        <v>6.6490361852880334E-2</v>
      </c>
      <c r="ET70" s="633">
        <f t="shared" ref="ET70:FD70" si="455">IFERROR(ET66/ET32,0)</f>
        <v>6.6490361852880597E-2</v>
      </c>
      <c r="EU70" s="633">
        <f t="shared" si="455"/>
        <v>6.6490361852880389E-2</v>
      </c>
      <c r="EV70" s="633">
        <f t="shared" si="455"/>
        <v>6.649036185288032E-2</v>
      </c>
      <c r="EW70" s="633">
        <f t="shared" si="455"/>
        <v>7.528265244639068E-2</v>
      </c>
      <c r="EX70" s="633">
        <f t="shared" si="455"/>
        <v>7.5282652446390499E-2</v>
      </c>
      <c r="EY70" s="633">
        <f t="shared" si="455"/>
        <v>7.5282652446390735E-2</v>
      </c>
      <c r="EZ70" s="633">
        <f t="shared" si="455"/>
        <v>7.5282652446390416E-2</v>
      </c>
      <c r="FA70" s="633">
        <f t="shared" si="455"/>
        <v>8.3987020133965293E-2</v>
      </c>
      <c r="FB70" s="633">
        <f t="shared" si="455"/>
        <v>8.3987020133965529E-2</v>
      </c>
      <c r="FC70" s="633">
        <f t="shared" si="455"/>
        <v>8.3987020133965792E-2</v>
      </c>
      <c r="FD70" s="633">
        <f t="shared" si="455"/>
        <v>8.3987020133965778E-2</v>
      </c>
      <c r="FG70" s="84">
        <f t="shared" ref="FG70:FK70" si="456">IFERROR(FG66/FG32,0)</f>
        <v>6.3593020171495263E-2</v>
      </c>
      <c r="FH70" s="77">
        <f t="shared" si="456"/>
        <v>6.8635040027695104E-2</v>
      </c>
      <c r="FI70" s="77">
        <f t="shared" si="456"/>
        <v>6.649036185288025E-2</v>
      </c>
      <c r="FJ70" s="81">
        <f t="shared" si="456"/>
        <v>7.5282652446390555E-2</v>
      </c>
      <c r="FK70" s="81">
        <f t="shared" si="456"/>
        <v>8.3987020133965612E-2</v>
      </c>
    </row>
    <row r="71" spans="2:167" ht="15.75" hidden="1" customHeight="1" x14ac:dyDescent="0.2">
      <c r="B71" s="48" t="s">
        <v>3</v>
      </c>
      <c r="C71" s="75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9"/>
      <c r="AD71" s="76"/>
      <c r="AE71" s="77"/>
      <c r="AF71" s="77"/>
      <c r="AG71" s="77"/>
      <c r="AH71" s="77"/>
      <c r="AI71" s="77"/>
      <c r="AJ71" s="77"/>
      <c r="AK71" s="83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>
        <f t="shared" si="452"/>
        <v>-6.4126656811271374E-2</v>
      </c>
      <c r="BB71" s="77">
        <f t="shared" si="452"/>
        <v>-6.691631314771665E-2</v>
      </c>
      <c r="BC71" s="77">
        <f t="shared" si="452"/>
        <v>-3.0134597770666526E-2</v>
      </c>
      <c r="BD71" s="77">
        <f t="shared" si="452"/>
        <v>-0.11673407495404486</v>
      </c>
      <c r="BE71" s="77">
        <f t="shared" si="452"/>
        <v>-7.642260008064776E-2</v>
      </c>
      <c r="BF71" s="77">
        <f t="shared" si="452"/>
        <v>-4.5406778646152175E-2</v>
      </c>
      <c r="BG71" s="77">
        <f t="shared" si="452"/>
        <v>1.8314252156544312E-3</v>
      </c>
      <c r="BH71" s="77">
        <f t="shared" si="452"/>
        <v>-3.004450616748534E-2</v>
      </c>
      <c r="BI71" s="77">
        <f t="shared" si="452"/>
        <v>3.4355074973868062E-2</v>
      </c>
      <c r="BJ71" s="82">
        <f t="shared" si="452"/>
        <v>6.3411914961566146E-2</v>
      </c>
      <c r="BK71" s="77">
        <f t="shared" si="452"/>
        <v>5.4739213347156437E-2</v>
      </c>
      <c r="BL71" s="77">
        <f t="shared" si="452"/>
        <v>-3.1586254869341614E-2</v>
      </c>
      <c r="BM71" s="77">
        <f t="shared" si="452"/>
        <v>-7.3731929253158413E-2</v>
      </c>
      <c r="BN71" s="77">
        <f t="shared" si="452"/>
        <v>-3.5063126095588239E-2</v>
      </c>
      <c r="BO71" s="77">
        <f t="shared" si="452"/>
        <v>5.6378958204910991E-2</v>
      </c>
      <c r="BP71" s="77">
        <f t="shared" si="452"/>
        <v>7.8630942886831395E-2</v>
      </c>
      <c r="BQ71" s="77">
        <f t="shared" si="452"/>
        <v>1.8316786234720328E-2</v>
      </c>
      <c r="BR71" s="77">
        <f t="shared" si="452"/>
        <v>2.8312773083261467E-2</v>
      </c>
      <c r="BS71" s="77">
        <f t="shared" si="452"/>
        <v>2.6125631001865057E-2</v>
      </c>
      <c r="BT71" s="77">
        <f t="shared" si="452"/>
        <v>-0.16688738199233438</v>
      </c>
      <c r="BU71" s="77">
        <f t="shared" si="452"/>
        <v>-3.3726629127829012E-2</v>
      </c>
      <c r="BV71" s="77">
        <f t="shared" si="452"/>
        <v>-0.14796740942292286</v>
      </c>
      <c r="BW71" s="77">
        <f t="shared" si="452"/>
        <v>-7.75627827565607E-2</v>
      </c>
      <c r="BX71" s="77">
        <f t="shared" si="452"/>
        <v>-0.12457321884180697</v>
      </c>
      <c r="BY71" s="77">
        <f t="shared" si="452"/>
        <v>3.3179852398537601E-2</v>
      </c>
      <c r="BZ71" s="77"/>
      <c r="CA71" s="77"/>
      <c r="CB71" s="77"/>
      <c r="CC71" s="77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77"/>
      <c r="CT71" s="77"/>
      <c r="CU71" s="77"/>
      <c r="CV71" s="77"/>
      <c r="CW71" s="77"/>
      <c r="CX71" s="77"/>
      <c r="CY71" s="77"/>
      <c r="CZ71" s="77"/>
      <c r="DA71" s="77"/>
      <c r="DB71" s="77"/>
      <c r="DC71" s="77"/>
      <c r="DD71" s="77"/>
      <c r="DE71" s="77"/>
      <c r="DF71" s="77"/>
      <c r="DG71" s="77"/>
      <c r="DH71" s="77"/>
      <c r="DI71" s="77"/>
      <c r="DJ71" s="77"/>
      <c r="DK71" s="77"/>
      <c r="DL71" s="77"/>
      <c r="DM71" s="77"/>
      <c r="DN71" s="77"/>
      <c r="DO71" s="77"/>
      <c r="DP71" s="77"/>
      <c r="DQ71" s="77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39" t="s">
        <v>1</v>
      </c>
      <c r="EF71" s="83"/>
      <c r="EG71" s="633">
        <f t="shared" si="452"/>
        <v>-1.2959187424943354E-2</v>
      </c>
      <c r="EH71" s="633">
        <f t="shared" si="452"/>
        <v>3.5042740987132177E-2</v>
      </c>
      <c r="EI71" s="633">
        <f t="shared" si="452"/>
        <v>2.535421748628762E-2</v>
      </c>
      <c r="EJ71" s="633">
        <f t="shared" si="452"/>
        <v>-0.12811226923835919</v>
      </c>
      <c r="EK71" s="633">
        <f t="shared" si="452"/>
        <v>-7.6286471383996135E-2</v>
      </c>
      <c r="EL71" s="633">
        <f t="shared" si="452"/>
        <v>-0.16906336313322115</v>
      </c>
      <c r="EM71" s="633">
        <f t="shared" si="452"/>
        <v>-0.21003857496387762</v>
      </c>
      <c r="EN71" s="633">
        <f t="shared" si="452"/>
        <v>-0.18208029439202353</v>
      </c>
      <c r="EO71" s="633">
        <f t="shared" si="452"/>
        <v>-0.10280083091595069</v>
      </c>
      <c r="EP71" s="633">
        <f t="shared" si="452"/>
        <v>-0.18976498323852231</v>
      </c>
      <c r="EQ71" s="633">
        <f t="shared" si="452"/>
        <v>-0.21063635450863274</v>
      </c>
      <c r="ER71" s="633">
        <f t="shared" si="452"/>
        <v>-0.19983838398271786</v>
      </c>
      <c r="ES71" s="633"/>
      <c r="ET71" s="633"/>
      <c r="EU71" s="633"/>
      <c r="EV71" s="633"/>
      <c r="EW71" s="633"/>
      <c r="EX71" s="633"/>
      <c r="EY71" s="633"/>
      <c r="EZ71" s="633"/>
      <c r="FA71" s="633"/>
      <c r="FB71" s="633"/>
      <c r="FC71" s="633"/>
      <c r="FD71" s="633"/>
      <c r="FG71" s="84"/>
      <c r="FH71" s="77"/>
      <c r="FI71" s="77"/>
      <c r="FJ71" s="81"/>
      <c r="FK71" s="621"/>
    </row>
    <row r="72" spans="2:167" ht="15.75" hidden="1" customHeight="1" x14ac:dyDescent="0.2">
      <c r="B72" s="48" t="s">
        <v>4</v>
      </c>
      <c r="C72" s="75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9"/>
      <c r="AD72" s="76"/>
      <c r="AE72" s="77"/>
      <c r="AF72" s="77"/>
      <c r="AG72" s="77"/>
      <c r="AH72" s="77"/>
      <c r="AI72" s="77"/>
      <c r="AJ72" s="77"/>
      <c r="AK72" s="83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>
        <f t="shared" si="452"/>
        <v>-1.5526559182988032E-2</v>
      </c>
      <c r="BB72" s="77">
        <f t="shared" si="452"/>
        <v>6.0636710506904598E-2</v>
      </c>
      <c r="BC72" s="77">
        <f t="shared" si="452"/>
        <v>1.1951085055121101E-3</v>
      </c>
      <c r="BD72" s="77">
        <f t="shared" si="452"/>
        <v>-3.6279964634525999E-2</v>
      </c>
      <c r="BE72" s="77">
        <f t="shared" si="452"/>
        <v>-2.0147824775155899E-2</v>
      </c>
      <c r="BF72" s="77">
        <f t="shared" si="452"/>
        <v>-2.2078796190764288E-3</v>
      </c>
      <c r="BG72" s="77">
        <f t="shared" si="452"/>
        <v>1.837210723526763E-2</v>
      </c>
      <c r="BH72" s="77">
        <f t="shared" si="452"/>
        <v>1.355871587969245E-2</v>
      </c>
      <c r="BI72" s="77">
        <f t="shared" si="452"/>
        <v>-1.3456316041651503E-2</v>
      </c>
      <c r="BJ72" s="82">
        <f t="shared" si="452"/>
        <v>1.1802979737607321E-2</v>
      </c>
      <c r="BK72" s="77">
        <f t="shared" si="452"/>
        <v>3.9290510119531837E-2</v>
      </c>
      <c r="BL72" s="77">
        <f t="shared" si="452"/>
        <v>3.945553182650046E-2</v>
      </c>
      <c r="BM72" s="77">
        <f t="shared" si="452"/>
        <v>6.344414829504437E-2</v>
      </c>
      <c r="BN72" s="77">
        <f t="shared" si="452"/>
        <v>7.5875871015914823E-2</v>
      </c>
      <c r="BO72" s="77">
        <f t="shared" si="452"/>
        <v>5.9705797178787053E-2</v>
      </c>
      <c r="BP72" s="77">
        <f t="shared" si="452"/>
        <v>3.6995470958416703E-2</v>
      </c>
      <c r="BQ72" s="77">
        <f t="shared" si="452"/>
        <v>6.0725318760668369E-2</v>
      </c>
      <c r="BR72" s="77">
        <f t="shared" si="452"/>
        <v>5.2198319489623425E-2</v>
      </c>
      <c r="BS72" s="77">
        <f t="shared" si="452"/>
        <v>6.3325990183564071E-3</v>
      </c>
      <c r="BT72" s="77">
        <f t="shared" si="452"/>
        <v>-2.8630387214272027E-2</v>
      </c>
      <c r="BU72" s="77">
        <f t="shared" si="452"/>
        <v>4.7852792309598505E-2</v>
      </c>
      <c r="BV72" s="77">
        <f t="shared" si="452"/>
        <v>7.9078059449531557E-2</v>
      </c>
      <c r="BW72" s="77">
        <f t="shared" si="452"/>
        <v>9.3342102865996798E-2</v>
      </c>
      <c r="BX72" s="77">
        <f t="shared" si="452"/>
        <v>0.10145541533336012</v>
      </c>
      <c r="BY72" s="77">
        <f t="shared" si="452"/>
        <v>8.2533418782503171E-2</v>
      </c>
      <c r="BZ72" s="77"/>
      <c r="CA72" s="77"/>
      <c r="CB72" s="77"/>
      <c r="CC72" s="77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77"/>
      <c r="CQ72" s="77"/>
      <c r="CR72" s="77"/>
      <c r="CS72" s="77"/>
      <c r="CT72" s="77"/>
      <c r="CU72" s="77"/>
      <c r="CV72" s="77"/>
      <c r="CW72" s="77"/>
      <c r="CX72" s="77"/>
      <c r="CY72" s="77"/>
      <c r="CZ72" s="77"/>
      <c r="DA72" s="77"/>
      <c r="DB72" s="77"/>
      <c r="DC72" s="77"/>
      <c r="DD72" s="77"/>
      <c r="DE72" s="77"/>
      <c r="DF72" s="77"/>
      <c r="DG72" s="77"/>
      <c r="DH72" s="77"/>
      <c r="DI72" s="77"/>
      <c r="DJ72" s="77"/>
      <c r="DK72" s="77"/>
      <c r="DL72" s="77"/>
      <c r="DM72" s="77"/>
      <c r="DN72" s="77"/>
      <c r="DO72" s="77"/>
      <c r="DP72" s="77"/>
      <c r="DQ72" s="77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39" t="s">
        <v>1</v>
      </c>
      <c r="EF72" s="83"/>
      <c r="EG72" s="633">
        <f t="shared" si="452"/>
        <v>4.5919431710618207E-2</v>
      </c>
      <c r="EH72" s="633">
        <f t="shared" si="452"/>
        <v>5.745936058495249E-2</v>
      </c>
      <c r="EI72" s="633">
        <f t="shared" si="452"/>
        <v>3.9741318732024258E-2</v>
      </c>
      <c r="EJ72" s="633">
        <f t="shared" si="452"/>
        <v>3.4245804554575848E-2</v>
      </c>
      <c r="EK72" s="633">
        <f t="shared" si="452"/>
        <v>9.2454637054922476E-2</v>
      </c>
      <c r="EL72" s="633">
        <f t="shared" si="452"/>
        <v>7.8627618719960254E-2</v>
      </c>
      <c r="EM72" s="633">
        <f t="shared" si="452"/>
        <v>8.9990707963410826E-2</v>
      </c>
      <c r="EN72" s="633">
        <f t="shared" si="452"/>
        <v>8.9171689655161951E-2</v>
      </c>
      <c r="EO72" s="633">
        <f t="shared" si="452"/>
        <v>8.8434622809310387E-2</v>
      </c>
      <c r="EP72" s="633">
        <f t="shared" si="452"/>
        <v>8.538308486715121E-2</v>
      </c>
      <c r="EQ72" s="633">
        <f t="shared" si="452"/>
        <v>8.1350088558800868E-2</v>
      </c>
      <c r="ER72" s="633">
        <f t="shared" si="452"/>
        <v>9.2841027785846797E-2</v>
      </c>
      <c r="ES72" s="633"/>
      <c r="ET72" s="633"/>
      <c r="EU72" s="633"/>
      <c r="EV72" s="633"/>
      <c r="EW72" s="633"/>
      <c r="EX72" s="633"/>
      <c r="EY72" s="633"/>
      <c r="EZ72" s="633"/>
      <c r="FA72" s="633"/>
      <c r="FB72" s="633"/>
      <c r="FC72" s="633"/>
      <c r="FD72" s="633"/>
      <c r="FG72" s="84"/>
      <c r="FH72" s="77"/>
      <c r="FI72" s="77"/>
      <c r="FJ72" s="81"/>
      <c r="FK72" s="621"/>
    </row>
    <row r="73" spans="2:167" ht="15.75" customHeight="1" x14ac:dyDescent="0.2">
      <c r="B73" s="48"/>
      <c r="C73" s="66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93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8"/>
      <c r="AD73" s="67"/>
      <c r="AE73" s="67"/>
      <c r="AF73" s="67"/>
      <c r="AG73" s="67"/>
      <c r="AH73" s="67"/>
      <c r="AI73" s="67"/>
      <c r="AJ73" s="67"/>
      <c r="AK73" s="68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6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105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  <c r="DG73" s="67"/>
      <c r="DH73" s="67"/>
      <c r="DI73" s="67"/>
      <c r="DJ73" s="67"/>
      <c r="DK73" s="67"/>
      <c r="DL73" s="67"/>
      <c r="DM73" s="67"/>
      <c r="DN73" s="67"/>
      <c r="DO73" s="67"/>
      <c r="DP73" s="67"/>
      <c r="DQ73" s="67"/>
      <c r="DR73" s="69"/>
      <c r="DS73" s="69"/>
      <c r="DT73" s="69"/>
      <c r="DU73" s="69"/>
      <c r="DV73" s="69"/>
      <c r="DW73" s="69"/>
      <c r="DX73" s="69"/>
      <c r="DY73" s="69"/>
      <c r="DZ73" s="69"/>
      <c r="EA73" s="69"/>
      <c r="EB73" s="69"/>
      <c r="EC73" s="69"/>
      <c r="ED73" s="69"/>
      <c r="EE73" s="39" t="s">
        <v>1</v>
      </c>
      <c r="EF73" s="68"/>
      <c r="EG73" s="629"/>
      <c r="EH73" s="629"/>
      <c r="EI73" s="629"/>
      <c r="EJ73" s="629"/>
      <c r="EK73" s="629"/>
      <c r="EL73" s="629"/>
      <c r="EM73" s="629"/>
      <c r="EN73" s="629"/>
      <c r="EO73" s="629"/>
      <c r="EP73" s="629"/>
      <c r="EQ73" s="629"/>
      <c r="ER73" s="629"/>
      <c r="ES73" s="629"/>
      <c r="ET73" s="629"/>
      <c r="EU73" s="629"/>
      <c r="EV73" s="629"/>
      <c r="EW73" s="629"/>
      <c r="EX73" s="629"/>
      <c r="EY73" s="629"/>
      <c r="EZ73" s="629"/>
      <c r="FA73" s="629"/>
      <c r="FB73" s="629"/>
      <c r="FC73" s="629"/>
      <c r="FD73" s="629"/>
      <c r="FG73" s="70"/>
      <c r="FH73" s="67"/>
      <c r="FI73" s="67"/>
      <c r="FJ73" s="69"/>
      <c r="FK73" s="619"/>
    </row>
    <row r="74" spans="2:167" ht="15.75" customHeight="1" x14ac:dyDescent="0.2">
      <c r="B74" s="56" t="s">
        <v>32</v>
      </c>
      <c r="C74" s="61">
        <f t="shared" ref="C74:DR74" si="457">SUM(C75:C78)</f>
        <v>1980988</v>
      </c>
      <c r="D74" s="62">
        <f t="shared" si="457"/>
        <v>2116069</v>
      </c>
      <c r="E74" s="62">
        <f t="shared" si="457"/>
        <v>2396018</v>
      </c>
      <c r="F74" s="62">
        <f t="shared" si="457"/>
        <v>2631623</v>
      </c>
      <c r="G74" s="62">
        <f t="shared" si="457"/>
        <v>2869257</v>
      </c>
      <c r="H74" s="62">
        <f t="shared" si="457"/>
        <v>3128521</v>
      </c>
      <c r="I74" s="62">
        <f t="shared" si="457"/>
        <v>3073497</v>
      </c>
      <c r="J74" s="62">
        <f t="shared" si="457"/>
        <v>3352277</v>
      </c>
      <c r="K74" s="62">
        <f t="shared" si="457"/>
        <v>4003488</v>
      </c>
      <c r="L74" s="62">
        <f t="shared" si="457"/>
        <v>2801786</v>
      </c>
      <c r="M74" s="62">
        <f t="shared" si="457"/>
        <v>3629808.25</v>
      </c>
      <c r="N74" s="62">
        <f t="shared" si="457"/>
        <v>4217512</v>
      </c>
      <c r="O74" s="62">
        <f t="shared" si="457"/>
        <v>4445375</v>
      </c>
      <c r="P74" s="62">
        <f t="shared" si="457"/>
        <v>5025716</v>
      </c>
      <c r="Q74" s="62">
        <f t="shared" si="457"/>
        <v>5206596</v>
      </c>
      <c r="R74" s="62">
        <f t="shared" si="457"/>
        <v>5239229</v>
      </c>
      <c r="S74" s="62">
        <f t="shared" si="457"/>
        <v>4869706</v>
      </c>
      <c r="T74" s="62">
        <f t="shared" si="457"/>
        <v>4625437</v>
      </c>
      <c r="U74" s="62">
        <f t="shared" si="457"/>
        <v>4687865</v>
      </c>
      <c r="V74" s="62">
        <f t="shared" si="457"/>
        <v>5330710</v>
      </c>
      <c r="W74" s="62">
        <f t="shared" si="457"/>
        <v>5370232</v>
      </c>
      <c r="X74" s="62">
        <f t="shared" si="457"/>
        <v>5572872</v>
      </c>
      <c r="Y74" s="62">
        <f t="shared" si="457"/>
        <v>5943825</v>
      </c>
      <c r="Z74" s="62">
        <f t="shared" si="457"/>
        <v>5861409.1283214195</v>
      </c>
      <c r="AA74" s="62">
        <f t="shared" si="457"/>
        <v>5194527.3597195782</v>
      </c>
      <c r="AB74" s="62">
        <f t="shared" si="457"/>
        <v>5436027</v>
      </c>
      <c r="AC74" s="614">
        <f t="shared" si="457"/>
        <v>5635612</v>
      </c>
      <c r="AD74" s="62">
        <f t="shared" si="457"/>
        <v>5472355</v>
      </c>
      <c r="AE74" s="62">
        <f t="shared" si="457"/>
        <v>6454815</v>
      </c>
      <c r="AF74" s="62">
        <f t="shared" si="457"/>
        <v>5621437</v>
      </c>
      <c r="AG74" s="62">
        <f t="shared" si="457"/>
        <v>6815341</v>
      </c>
      <c r="AH74" s="62">
        <f t="shared" si="457"/>
        <v>6206536</v>
      </c>
      <c r="AI74" s="62">
        <f t="shared" si="457"/>
        <v>6032646</v>
      </c>
      <c r="AJ74" s="62">
        <f t="shared" si="457"/>
        <v>7278789</v>
      </c>
      <c r="AK74" s="614">
        <f t="shared" si="457"/>
        <v>7597247</v>
      </c>
      <c r="AL74" s="62">
        <f t="shared" si="457"/>
        <v>7036348</v>
      </c>
      <c r="AM74" s="62">
        <f t="shared" si="457"/>
        <v>7163087</v>
      </c>
      <c r="AN74" s="62">
        <f t="shared" si="457"/>
        <v>6290841</v>
      </c>
      <c r="AO74" s="62">
        <f t="shared" si="457"/>
        <v>7265443.8600000003</v>
      </c>
      <c r="AP74" s="62">
        <f t="shared" si="457"/>
        <v>9263088.7799999993</v>
      </c>
      <c r="AQ74" s="62">
        <f t="shared" si="457"/>
        <v>10368587.106326077</v>
      </c>
      <c r="AR74" s="62">
        <f t="shared" si="457"/>
        <v>11137596.966909021</v>
      </c>
      <c r="AS74" s="62">
        <f t="shared" si="457"/>
        <v>11965347.088584751</v>
      </c>
      <c r="AT74" s="62">
        <f t="shared" si="457"/>
        <v>12225344</v>
      </c>
      <c r="AU74" s="62">
        <f t="shared" si="457"/>
        <v>11931371.563461538</v>
      </c>
      <c r="AV74" s="62">
        <f t="shared" si="457"/>
        <v>10983764.117948718</v>
      </c>
      <c r="AW74" s="62">
        <f t="shared" si="457"/>
        <v>12563472.35</v>
      </c>
      <c r="AX74" s="62">
        <f t="shared" si="457"/>
        <v>12430141</v>
      </c>
      <c r="AY74" s="62">
        <f t="shared" si="457"/>
        <v>11771588.869895713</v>
      </c>
      <c r="AZ74" s="62">
        <f t="shared" si="457"/>
        <v>12332230.969019067</v>
      </c>
      <c r="BA74" s="62">
        <f t="shared" si="457"/>
        <v>11909063.359169491</v>
      </c>
      <c r="BB74" s="62">
        <f t="shared" si="457"/>
        <v>13747654.811635247</v>
      </c>
      <c r="BC74" s="62">
        <f t="shared" si="457"/>
        <v>15081284.328141298</v>
      </c>
      <c r="BD74" s="62">
        <f t="shared" si="457"/>
        <v>14633342.336707532</v>
      </c>
      <c r="BE74" s="62">
        <f t="shared" si="457"/>
        <v>14007492.220874872</v>
      </c>
      <c r="BF74" s="62">
        <f t="shared" si="457"/>
        <v>15234584.984776143</v>
      </c>
      <c r="BG74" s="62">
        <f t="shared" si="457"/>
        <v>16163234.158494797</v>
      </c>
      <c r="BH74" s="62">
        <f t="shared" si="457"/>
        <v>15946169.979977548</v>
      </c>
      <c r="BI74" s="62">
        <f t="shared" si="457"/>
        <v>14747974.088771598</v>
      </c>
      <c r="BJ74" s="61">
        <f t="shared" si="457"/>
        <v>13876837.915013649</v>
      </c>
      <c r="BK74" s="62">
        <f t="shared" si="457"/>
        <v>11849225.840997901</v>
      </c>
      <c r="BL74" s="62">
        <f t="shared" si="457"/>
        <v>11391991.749390233</v>
      </c>
      <c r="BM74" s="62">
        <f t="shared" si="457"/>
        <v>10383235.623571785</v>
      </c>
      <c r="BN74" s="62">
        <f t="shared" si="457"/>
        <v>9326870.4554418698</v>
      </c>
      <c r="BO74" s="62">
        <f t="shared" si="457"/>
        <v>10085194.34857267</v>
      </c>
      <c r="BP74" s="62">
        <f t="shared" si="457"/>
        <v>10387540.308343828</v>
      </c>
      <c r="BQ74" s="62">
        <f t="shared" si="457"/>
        <v>8961251.5122974701</v>
      </c>
      <c r="BR74" s="62">
        <f t="shared" si="457"/>
        <v>9551776.8720383495</v>
      </c>
      <c r="BS74" s="62">
        <f t="shared" si="457"/>
        <v>9104973.0170982368</v>
      </c>
      <c r="BT74" s="62">
        <f t="shared" si="457"/>
        <v>8270980.8376579992</v>
      </c>
      <c r="BU74" s="62">
        <f t="shared" si="457"/>
        <v>7992894.3729644809</v>
      </c>
      <c r="BV74" s="62">
        <f t="shared" si="457"/>
        <v>7625733.4863872835</v>
      </c>
      <c r="BW74" s="62">
        <f t="shared" si="457"/>
        <v>6901841.2953981385</v>
      </c>
      <c r="BX74" s="62">
        <f t="shared" si="457"/>
        <v>7316153.6723409696</v>
      </c>
      <c r="BY74" s="62">
        <f t="shared" si="457"/>
        <v>7198153.6734949844</v>
      </c>
      <c r="BZ74" s="62">
        <f t="shared" si="457"/>
        <v>7783339.52752438</v>
      </c>
      <c r="CA74" s="62">
        <f t="shared" si="457"/>
        <v>6985447.9932982791</v>
      </c>
      <c r="CB74" s="62">
        <f t="shared" si="457"/>
        <v>7147934.8173326347</v>
      </c>
      <c r="CC74" s="62">
        <f t="shared" si="457"/>
        <v>7314653.9765428146</v>
      </c>
      <c r="CD74" s="62">
        <f t="shared" si="457"/>
        <v>7933928.0321638836</v>
      </c>
      <c r="CE74" s="62">
        <f t="shared" si="457"/>
        <v>8362386.2100695241</v>
      </c>
      <c r="CF74" s="62">
        <f t="shared" si="457"/>
        <v>9071399.1242741607</v>
      </c>
      <c r="CG74" s="62">
        <f t="shared" si="457"/>
        <v>9333639.5865437984</v>
      </c>
      <c r="CH74" s="62">
        <f t="shared" si="457"/>
        <v>8777968.5780643597</v>
      </c>
      <c r="CI74" s="62">
        <f t="shared" si="457"/>
        <v>8797665.8637100644</v>
      </c>
      <c r="CJ74" s="62">
        <f t="shared" si="457"/>
        <v>8336108.2172275363</v>
      </c>
      <c r="CK74" s="62">
        <f t="shared" si="457"/>
        <v>9103987.1738874279</v>
      </c>
      <c r="CL74" s="62">
        <f t="shared" si="457"/>
        <v>10168756.107149877</v>
      </c>
      <c r="CM74" s="62">
        <f t="shared" si="457"/>
        <v>9123132.7479200531</v>
      </c>
      <c r="CN74" s="62">
        <f t="shared" si="457"/>
        <v>8891814.26394183</v>
      </c>
      <c r="CO74" s="62">
        <f t="shared" si="457"/>
        <v>9689256.6399642471</v>
      </c>
      <c r="CP74" s="62">
        <f t="shared" si="457"/>
        <v>11485340.490360165</v>
      </c>
      <c r="CQ74" s="62">
        <f t="shared" si="457"/>
        <v>11145919.297739061</v>
      </c>
      <c r="CR74" s="62">
        <f t="shared" si="457"/>
        <v>10777689.339590345</v>
      </c>
      <c r="CS74" s="62">
        <f t="shared" si="457"/>
        <v>10488099.747429775</v>
      </c>
      <c r="CT74" s="62">
        <f t="shared" si="457"/>
        <v>11566286.433446035</v>
      </c>
      <c r="CU74" s="62">
        <f t="shared" si="457"/>
        <v>10927291.045953065</v>
      </c>
      <c r="CV74" s="62">
        <f t="shared" si="457"/>
        <v>11030678.505778695</v>
      </c>
      <c r="CW74" s="62">
        <f t="shared" si="457"/>
        <v>10864461.977993969</v>
      </c>
      <c r="CX74" s="62">
        <f t="shared" si="457"/>
        <v>10865063.128038231</v>
      </c>
      <c r="CY74" s="62">
        <f t="shared" si="457"/>
        <v>10673379.216896407</v>
      </c>
      <c r="CZ74" s="62">
        <f t="shared" si="457"/>
        <v>10342531.405191911</v>
      </c>
      <c r="DA74" s="62">
        <f t="shared" si="457"/>
        <v>10725376.778866382</v>
      </c>
      <c r="DB74" s="62">
        <f t="shared" si="457"/>
        <v>11344130.843853367</v>
      </c>
      <c r="DC74" s="62">
        <f t="shared" si="457"/>
        <v>11714006.304731308</v>
      </c>
      <c r="DD74" s="62">
        <f t="shared" si="457"/>
        <v>11486998.82031092</v>
      </c>
      <c r="DE74" s="62">
        <f t="shared" si="457"/>
        <v>11404628.821460482</v>
      </c>
      <c r="DF74" s="62">
        <f t="shared" si="457"/>
        <v>11279847.034587745</v>
      </c>
      <c r="DG74" s="62">
        <f t="shared" si="457"/>
        <v>12214901.031809576</v>
      </c>
      <c r="DH74" s="62">
        <f t="shared" si="457"/>
        <v>12350597.072830716</v>
      </c>
      <c r="DI74" s="62">
        <f t="shared" si="457"/>
        <v>12132437.880113263</v>
      </c>
      <c r="DJ74" s="62">
        <f t="shared" si="457"/>
        <v>12133226.889546359</v>
      </c>
      <c r="DK74" s="62">
        <f t="shared" si="457"/>
        <v>11881641.756172717</v>
      </c>
      <c r="DL74" s="62">
        <f t="shared" si="457"/>
        <v>11447404.003310565</v>
      </c>
      <c r="DM74" s="62">
        <f t="shared" si="457"/>
        <v>11949888.556258308</v>
      </c>
      <c r="DN74" s="62">
        <f t="shared" si="457"/>
        <v>12762003.266553728</v>
      </c>
      <c r="DO74" s="62">
        <f t="shared" si="457"/>
        <v>13247464.808956025</v>
      </c>
      <c r="DP74" s="62">
        <f t="shared" si="457"/>
        <v>12949517.485654265</v>
      </c>
      <c r="DQ74" s="62">
        <f t="shared" si="457"/>
        <v>12841406.862163063</v>
      </c>
      <c r="DR74" s="63">
        <f t="shared" si="457"/>
        <v>12677630.766892597</v>
      </c>
      <c r="DS74" s="63">
        <f t="shared" ref="DS74:ED74" si="458">SUM(DS75:DS78)</f>
        <v>13603953.78863686</v>
      </c>
      <c r="DT74" s="63">
        <f t="shared" si="458"/>
        <v>13774930.800323496</v>
      </c>
      <c r="DU74" s="63">
        <f t="shared" si="458"/>
        <v>13500050.217499506</v>
      </c>
      <c r="DV74" s="63">
        <f t="shared" si="458"/>
        <v>13501044.369385205</v>
      </c>
      <c r="DW74" s="63">
        <f t="shared" si="458"/>
        <v>13184047.101334415</v>
      </c>
      <c r="DX74" s="63">
        <f t="shared" si="458"/>
        <v>12636907.532728106</v>
      </c>
      <c r="DY74" s="63">
        <f t="shared" si="458"/>
        <v>13270038.069442261</v>
      </c>
      <c r="DZ74" s="63">
        <f t="shared" si="458"/>
        <v>14293302.604414489</v>
      </c>
      <c r="EA74" s="63">
        <f t="shared" si="458"/>
        <v>14904984.147841385</v>
      </c>
      <c r="EB74" s="63">
        <f t="shared" si="458"/>
        <v>14529570.520481165</v>
      </c>
      <c r="EC74" s="63">
        <f t="shared" si="458"/>
        <v>14393351.134882253</v>
      </c>
      <c r="ED74" s="63">
        <f t="shared" si="458"/>
        <v>14186993.254841467</v>
      </c>
      <c r="EE74" s="39" t="s">
        <v>1</v>
      </c>
      <c r="EF74" s="64"/>
      <c r="EG74" s="625">
        <f t="shared" ref="EG74:EY74" si="459">SUM(EG75:EG78)</f>
        <v>33624453.213959917</v>
      </c>
      <c r="EH74" s="625">
        <f t="shared" si="459"/>
        <v>29799605.112358369</v>
      </c>
      <c r="EI74" s="625">
        <f t="shared" si="459"/>
        <v>27618001.401434056</v>
      </c>
      <c r="EJ74" s="625">
        <f t="shared" si="459"/>
        <v>23889608.697009765</v>
      </c>
      <c r="EK74" s="625">
        <f t="shared" si="459"/>
        <v>21416148.641234092</v>
      </c>
      <c r="EL74" s="625">
        <f t="shared" si="459"/>
        <v>21916722.338155292</v>
      </c>
      <c r="EM74" s="625">
        <f t="shared" si="459"/>
        <v>23610968.218776226</v>
      </c>
      <c r="EN74" s="625">
        <f t="shared" si="459"/>
        <v>27183007.288882319</v>
      </c>
      <c r="EO74" s="625">
        <f t="shared" si="459"/>
        <v>26237761.25482503</v>
      </c>
      <c r="EP74" s="625">
        <f t="shared" si="459"/>
        <v>28183703.11901176</v>
      </c>
      <c r="EQ74" s="625">
        <f t="shared" si="459"/>
        <v>32320516.428063475</v>
      </c>
      <c r="ER74" s="625">
        <f t="shared" si="459"/>
        <v>32832075.520466153</v>
      </c>
      <c r="ES74" s="625">
        <f t="shared" si="459"/>
        <v>32822431.529725727</v>
      </c>
      <c r="ET74" s="625">
        <f t="shared" si="459"/>
        <v>31880973.750126548</v>
      </c>
      <c r="EU74" s="625">
        <f t="shared" si="459"/>
        <v>33783513.927451059</v>
      </c>
      <c r="EV74" s="625">
        <f t="shared" si="459"/>
        <v>34171474.676359147</v>
      </c>
      <c r="EW74" s="625">
        <f t="shared" si="459"/>
        <v>36697935.984753557</v>
      </c>
      <c r="EX74" s="625">
        <f t="shared" si="459"/>
        <v>35462272.649029635</v>
      </c>
      <c r="EY74" s="625">
        <f t="shared" si="459"/>
        <v>37959356.631768063</v>
      </c>
      <c r="EZ74" s="625">
        <f>SUM(EZ75:EZ78)</f>
        <v>38468555.114709921</v>
      </c>
      <c r="FA74" s="625">
        <f t="shared" ref="FA74:FD74" si="460">SUM(FA75:FA78)</f>
        <v>40878934.806459866</v>
      </c>
      <c r="FB74" s="625">
        <f t="shared" si="460"/>
        <v>39321999.003447726</v>
      </c>
      <c r="FC74" s="625">
        <f t="shared" si="460"/>
        <v>42468324.821698137</v>
      </c>
      <c r="FD74" s="625">
        <f t="shared" si="460"/>
        <v>43109914.910204887</v>
      </c>
      <c r="FG74" s="65">
        <f>SUM(FG75:FG78)</f>
        <v>94126846.487047926</v>
      </c>
      <c r="FH74" s="65">
        <f t="shared" ref="FH74:FK74" si="461">SUM(FH75:FH78)</f>
        <v>119574056.32236642</v>
      </c>
      <c r="FI74" s="65">
        <f t="shared" si="461"/>
        <v>132658393.88366248</v>
      </c>
      <c r="FJ74" s="65">
        <f t="shared" si="461"/>
        <v>148588120.38026118</v>
      </c>
      <c r="FK74" s="625">
        <f t="shared" si="461"/>
        <v>165779173.5418106</v>
      </c>
    </row>
    <row r="75" spans="2:167" ht="15.75" customHeight="1" x14ac:dyDescent="0.2">
      <c r="B75" s="49" t="s">
        <v>33</v>
      </c>
      <c r="C75" s="66">
        <f>'P&amp;L - Inputs'!B88</f>
        <v>100000</v>
      </c>
      <c r="D75" s="67">
        <f>'P&amp;L - Inputs'!C88</f>
        <v>100000</v>
      </c>
      <c r="E75" s="67">
        <f>'P&amp;L - Inputs'!D88</f>
        <v>100000</v>
      </c>
      <c r="F75" s="67">
        <f>'P&amp;L - Inputs'!E88</f>
        <v>100000</v>
      </c>
      <c r="G75" s="67">
        <f>'P&amp;L - Inputs'!F88</f>
        <v>100000</v>
      </c>
      <c r="H75" s="67">
        <f>'P&amp;L - Inputs'!G88</f>
        <v>100000</v>
      </c>
      <c r="I75" s="67">
        <f>'P&amp;L - Inputs'!H88</f>
        <v>100000</v>
      </c>
      <c r="J75" s="67">
        <f>'P&amp;L - Inputs'!I88</f>
        <v>100000</v>
      </c>
      <c r="K75" s="67">
        <f>'P&amp;L - Inputs'!J88</f>
        <v>1513276</v>
      </c>
      <c r="L75" s="67">
        <f>'P&amp;L - Inputs'!K88</f>
        <v>218659</v>
      </c>
      <c r="M75" s="67">
        <f>'P&amp;L - Inputs'!L88</f>
        <v>102777.25</v>
      </c>
      <c r="N75" s="67">
        <f>'P&amp;L - Inputs'!M88</f>
        <v>558721</v>
      </c>
      <c r="O75" s="67">
        <f>'P&amp;L - Inputs'!N88</f>
        <v>381848</v>
      </c>
      <c r="P75" s="67">
        <f>'P&amp;L - Inputs'!O88</f>
        <v>427406</v>
      </c>
      <c r="Q75" s="67">
        <f>'P&amp;L - Inputs'!P88</f>
        <v>324778</v>
      </c>
      <c r="R75" s="67">
        <f>'P&amp;L - Inputs'!Q88</f>
        <v>531756</v>
      </c>
      <c r="S75" s="67">
        <f>'P&amp;L - Inputs'!R88</f>
        <v>254340</v>
      </c>
      <c r="T75" s="67">
        <f>'P&amp;L - Inputs'!S88</f>
        <v>338501</v>
      </c>
      <c r="U75" s="67">
        <f>'P&amp;L - Inputs'!T88</f>
        <v>145594</v>
      </c>
      <c r="V75" s="67">
        <f>'P&amp;L - Inputs'!U88</f>
        <v>290720</v>
      </c>
      <c r="W75" s="67">
        <f>'P&amp;L - Inputs'!V88</f>
        <v>265000</v>
      </c>
      <c r="X75" s="67">
        <f>'P&amp;L - Inputs'!W88</f>
        <v>250000</v>
      </c>
      <c r="Y75" s="67">
        <f>'P&amp;L - Inputs'!X88</f>
        <v>343000</v>
      </c>
      <c r="Z75" s="67">
        <f>'P&amp;L - Inputs'!Y88</f>
        <v>343804</v>
      </c>
      <c r="AA75" s="67">
        <f>'P&amp;L - Inputs'!Z88</f>
        <v>0</v>
      </c>
      <c r="AB75" s="67">
        <f>'P&amp;L - Inputs'!AA88</f>
        <v>180000</v>
      </c>
      <c r="AC75" s="68">
        <f>'P&amp;L - Inputs'!AB88</f>
        <v>378429</v>
      </c>
      <c r="AD75" s="67">
        <f>'P&amp;L - Inputs'!AC88</f>
        <v>362477</v>
      </c>
      <c r="AE75" s="67">
        <f>'P&amp;L - Inputs'!AD88</f>
        <v>745165</v>
      </c>
      <c r="AF75" s="67">
        <f>'P&amp;L - Inputs'!AE88</f>
        <v>1025348</v>
      </c>
      <c r="AG75" s="67">
        <f>'P&amp;L - Inputs'!AF88</f>
        <v>1240275</v>
      </c>
      <c r="AH75" s="67">
        <f>'P&amp;L - Inputs'!AG88</f>
        <v>1202000</v>
      </c>
      <c r="AI75" s="67">
        <f>'P&amp;L - Inputs'!AH88</f>
        <v>1200000</v>
      </c>
      <c r="AJ75" s="67">
        <f>'P&amp;L - Inputs'!AI88</f>
        <v>955000</v>
      </c>
      <c r="AK75" s="68">
        <f>'P&amp;L - Inputs'!AJ88</f>
        <v>1240099</v>
      </c>
      <c r="AL75" s="67">
        <f>'P&amp;L - Inputs'!AK88</f>
        <v>1407488</v>
      </c>
      <c r="AM75" s="67">
        <f>'P&amp;L - Inputs'!AL88</f>
        <v>1130000</v>
      </c>
      <c r="AN75" s="67">
        <f>'P&amp;L - Inputs'!AM88</f>
        <v>1052202</v>
      </c>
      <c r="AO75" s="67">
        <f>'P&amp;L - Inputs'!AN88</f>
        <v>1322631</v>
      </c>
      <c r="AP75" s="67">
        <f>'P&amp;L - Inputs'!AO88</f>
        <v>2568354</v>
      </c>
      <c r="AQ75" s="67">
        <f>'P&amp;L - Inputs'!AP88</f>
        <v>2611158</v>
      </c>
      <c r="AR75" s="67">
        <f>'P&amp;L - Inputs'!AQ88</f>
        <v>2695387</v>
      </c>
      <c r="AS75" s="67">
        <f>'P&amp;L - Inputs'!AR88</f>
        <v>3676000</v>
      </c>
      <c r="AT75" s="67">
        <f>'P&amp;L - Inputs'!AS88</f>
        <v>3223000</v>
      </c>
      <c r="AU75" s="67">
        <f>'P&amp;L - Inputs'!AT88</f>
        <v>2124850</v>
      </c>
      <c r="AV75" s="67">
        <f>'P&amp;L - Inputs'!AU88</f>
        <v>1730254</v>
      </c>
      <c r="AW75" s="67">
        <f>'P&amp;L - Inputs'!AV88</f>
        <v>3606000</v>
      </c>
      <c r="AX75" s="67">
        <f>'P&amp;L - Inputs'!AW88</f>
        <v>3725101</v>
      </c>
      <c r="AY75" s="67">
        <f>'P&amp;L - Inputs'!AX88</f>
        <v>3643253</v>
      </c>
      <c r="AZ75" s="67">
        <f>'P&amp;L - Inputs'!AY88</f>
        <v>4094144</v>
      </c>
      <c r="BA75" s="67">
        <f>'P&amp;L - Inputs'!AZ88</f>
        <v>3776004</v>
      </c>
      <c r="BB75" s="67">
        <f>'P&amp;L - Inputs'!BA88</f>
        <v>5495656</v>
      </c>
      <c r="BC75" s="67">
        <f>'P&amp;L - Inputs'!BB88</f>
        <v>5474300.2969414806</v>
      </c>
      <c r="BD75" s="67">
        <f>'P&amp;L - Inputs'!BC88</f>
        <v>5584250</v>
      </c>
      <c r="BE75" s="67">
        <f>'P&amp;L - Inputs'!BD88</f>
        <v>4761209.7629441656</v>
      </c>
      <c r="BF75" s="67">
        <f>'P&amp;L - Inputs'!BE88</f>
        <v>5733746.8051013285</v>
      </c>
      <c r="BG75" s="67">
        <f>'P&amp;L - Inputs'!BF88</f>
        <v>6736133.1016670428</v>
      </c>
      <c r="BH75" s="67">
        <f>'P&amp;L - Inputs'!BG88</f>
        <v>6789185.906936802</v>
      </c>
      <c r="BI75" s="67">
        <f>'P&amp;L - Inputs'!BH88</f>
        <v>5909991.9398498312</v>
      </c>
      <c r="BJ75" s="66">
        <f>'P&amp;L - Inputs'!BI88</f>
        <v>5857433.1215614974</v>
      </c>
      <c r="BK75" s="67">
        <f>'P&amp;L - Inputs'!BJ88</f>
        <v>4188687.4924298571</v>
      </c>
      <c r="BL75" s="67">
        <f>'P&amp;L - Inputs'!BK88</f>
        <v>4192436.7313410034</v>
      </c>
      <c r="BM75" s="67">
        <f>'P&amp;L - Inputs'!BL88</f>
        <v>3940588.5328531116</v>
      </c>
      <c r="BN75" s="67">
        <f>'P&amp;L - Inputs'!BM88</f>
        <v>2862031.0450610686</v>
      </c>
      <c r="BO75" s="67">
        <f>'P&amp;L - Inputs'!BN88</f>
        <v>2262122.3500761166</v>
      </c>
      <c r="BP75" s="67">
        <f>'P&amp;L - Inputs'!BO88</f>
        <v>3270119.4561301693</v>
      </c>
      <c r="BQ75" s="67">
        <f>'P&amp;L - Inputs'!BP88</f>
        <v>3057698.2450411655</v>
      </c>
      <c r="BR75" s="67">
        <f>'P&amp;L - Inputs'!BQ88</f>
        <v>3163409.7446513195</v>
      </c>
      <c r="BS75" s="67">
        <f>'P&amp;L - Inputs'!BR88</f>
        <v>3496031.5191128356</v>
      </c>
      <c r="BT75" s="67">
        <f>'P&amp;L - Inputs'!BS88</f>
        <v>3566447.9230408743</v>
      </c>
      <c r="BU75" s="67">
        <f>'P&amp;L - Inputs'!BT88</f>
        <v>2598749.3198234551</v>
      </c>
      <c r="BV75" s="67">
        <f>'P&amp;L - Inputs'!BU88</f>
        <v>1941818.2315428816</v>
      </c>
      <c r="BW75" s="67">
        <f>'P&amp;L - Inputs'!BV88</f>
        <v>1577676.6174935508</v>
      </c>
      <c r="BX75" s="67">
        <f>'P&amp;L - Inputs'!BW88</f>
        <v>224944.23474963661</v>
      </c>
      <c r="BY75" s="67">
        <f>'P&amp;L - Inputs'!BX88</f>
        <v>1006398.4702045545</v>
      </c>
      <c r="BZ75" s="67">
        <f>'P&amp;L - Inputs'!BY88</f>
        <v>987651.04193101637</v>
      </c>
      <c r="CA75" s="67">
        <f>'P&amp;L - Inputs'!BZ88</f>
        <v>972251.09768187348</v>
      </c>
      <c r="CB75" s="67">
        <f>'P&amp;L - Inputs'!CA88</f>
        <v>861325.42802438932</v>
      </c>
      <c r="CC75" s="67">
        <f>'P&amp;L - Inputs'!CB88</f>
        <v>1401246.7933644578</v>
      </c>
      <c r="CD75" s="67">
        <f>'P&amp;L - Inputs'!CC88</f>
        <v>1605327.7153134001</v>
      </c>
      <c r="CE75" s="67">
        <f>'P&amp;L - Inputs'!CD88</f>
        <v>1468068.1034664353</v>
      </c>
      <c r="CF75" s="67">
        <f>'P&amp;L - Inputs'!CE88</f>
        <v>1905514.1683625169</v>
      </c>
      <c r="CG75" s="67">
        <f>'P&amp;L - Inputs'!CF88</f>
        <v>2006815.2309753848</v>
      </c>
      <c r="CH75" s="67">
        <f>'P&amp;L - Inputs'!CG88</f>
        <v>712163.72924999893</v>
      </c>
      <c r="CI75" s="67">
        <f>'P&amp;L - Inputs'!CH88</f>
        <v>981427.75478846114</v>
      </c>
      <c r="CJ75" s="67">
        <f>'P&amp;L - Inputs'!CI88</f>
        <v>630831.57478846051</v>
      </c>
      <c r="CK75" s="67">
        <f>'P&amp;L - Inputs'!CJ88</f>
        <v>1083376.6133269221</v>
      </c>
      <c r="CL75" s="67">
        <f>'P&amp;L - Inputs'!CK88</f>
        <v>1828370.3911346197</v>
      </c>
      <c r="CM75" s="67">
        <f>'P&amp;L - Inputs'!CL88</f>
        <v>1045035.3546346147</v>
      </c>
      <c r="CN75" s="67">
        <f>'P&amp;L - Inputs'!CM88</f>
        <v>939178.36311538424</v>
      </c>
      <c r="CO75" s="67">
        <f>'P&amp;L - Inputs'!CN88</f>
        <v>789412.71423325082</v>
      </c>
      <c r="CP75" s="67">
        <f>'P&amp;L - Inputs'!CO88</f>
        <v>1173780.1133870971</v>
      </c>
      <c r="CQ75" s="67">
        <f>'P&amp;L - Inputs'!CP88</f>
        <v>1239939.2534540948</v>
      </c>
      <c r="CR75" s="67">
        <f>'P&amp;L - Inputs'!CQ88</f>
        <v>1748579.8956730776</v>
      </c>
      <c r="CS75" s="67">
        <f>'P&amp;L - Inputs'!CR88</f>
        <v>1023512.7504038448</v>
      </c>
      <c r="CT75" s="67">
        <f>'P&amp;L - Inputs'!CS88</f>
        <v>2954482.825884616</v>
      </c>
      <c r="CU75" s="67">
        <f>'P&amp;L - Inputs'!CT88</f>
        <v>1718424.00132355</v>
      </c>
      <c r="CV75" s="67">
        <f>'P&amp;L - Inputs'!CU88</f>
        <v>1781340.6341197228</v>
      </c>
      <c r="CW75" s="67">
        <f>'P&amp;L - Inputs'!CV88</f>
        <v>1680189.254049798</v>
      </c>
      <c r="CX75" s="67">
        <f>'P&amp;L - Inputs'!CW88</f>
        <v>1680555.0850379479</v>
      </c>
      <c r="CY75" s="67">
        <f>'P&amp;L - Inputs'!CX88</f>
        <v>1563905.4810087513</v>
      </c>
      <c r="CZ75" s="67">
        <f>'P&amp;L - Inputs'!CY88</f>
        <v>1362567.4239993598</v>
      </c>
      <c r="DA75" s="67">
        <f>'P&amp;L - Inputs'!CZ88</f>
        <v>1595548.6949756939</v>
      </c>
      <c r="DB75" s="67">
        <f>'P&amp;L - Inputs'!DA88</f>
        <v>1972092.6429901146</v>
      </c>
      <c r="DC75" s="67">
        <f>'P&amp;L - Inputs'!DB88</f>
        <v>2197181.0491819391</v>
      </c>
      <c r="DD75" s="67">
        <f>'P&amp;L - Inputs'!DC88</f>
        <v>2059035.2183108756</v>
      </c>
      <c r="DE75" s="67">
        <f>'P&amp;L - Inputs'!DD88</f>
        <v>2008908.8008533355</v>
      </c>
      <c r="DF75" s="67">
        <f>'P&amp;L - Inputs'!DE88</f>
        <v>1932972.6101628679</v>
      </c>
      <c r="DG75" s="67">
        <f>'P&amp;L - Inputs'!DF88</f>
        <v>2255431.5017371592</v>
      </c>
      <c r="DH75" s="67">
        <f>'P&amp;L - Inputs'!DG88</f>
        <v>2338009.5822821362</v>
      </c>
      <c r="DI75" s="67">
        <f>'P&amp;L - Inputs'!DH88</f>
        <v>2205248.3959403601</v>
      </c>
      <c r="DJ75" s="67">
        <f>'P&amp;L - Inputs'!DI88</f>
        <v>2205728.5491123064</v>
      </c>
      <c r="DK75" s="67">
        <f>'P&amp;L - Inputs'!DJ88</f>
        <v>2052625.9438239865</v>
      </c>
      <c r="DL75" s="67">
        <f>'P&amp;L - Inputs'!DK88</f>
        <v>1788369.7439991597</v>
      </c>
      <c r="DM75" s="67">
        <f>'P&amp;L - Inputs'!DL88</f>
        <v>2094157.6621555984</v>
      </c>
      <c r="DN75" s="67">
        <f>'P&amp;L - Inputs'!DM88</f>
        <v>2588371.5939245261</v>
      </c>
      <c r="DO75" s="67">
        <f>'P&amp;L - Inputs'!DN88</f>
        <v>2883800.1270512957</v>
      </c>
      <c r="DP75" s="67">
        <f>'P&amp;L - Inputs'!DO88</f>
        <v>2702483.7240330246</v>
      </c>
      <c r="DQ75" s="67">
        <f>'P&amp;L - Inputs'!DP88</f>
        <v>2636692.8011200032</v>
      </c>
      <c r="DR75" s="69">
        <f>'P&amp;L - Inputs'!DQ88</f>
        <v>2537026.5508387638</v>
      </c>
      <c r="DS75" s="69">
        <f>'P&amp;L - Inputs'!DR88</f>
        <v>2841843.6921888213</v>
      </c>
      <c r="DT75" s="69">
        <f>'P&amp;L - Inputs'!DS88</f>
        <v>2945892.0736754918</v>
      </c>
      <c r="DU75" s="69">
        <f>'P&amp;L - Inputs'!DT88</f>
        <v>2778612.9788848539</v>
      </c>
      <c r="DV75" s="69">
        <f>'P&amp;L - Inputs'!DU88</f>
        <v>2779217.9718815065</v>
      </c>
      <c r="DW75" s="69">
        <f>'P&amp;L - Inputs'!DV88</f>
        <v>2586308.6892182231</v>
      </c>
      <c r="DX75" s="69">
        <f>'P&amp;L - Inputs'!DW88</f>
        <v>2253345.8774389415</v>
      </c>
      <c r="DY75" s="69">
        <f>'P&amp;L - Inputs'!DX88</f>
        <v>2638638.6543160542</v>
      </c>
      <c r="DZ75" s="69">
        <f>'P&amp;L - Inputs'!DY88</f>
        <v>3261348.2083449033</v>
      </c>
      <c r="EA75" s="69">
        <f>'P&amp;L - Inputs'!DZ88</f>
        <v>3633588.1600846327</v>
      </c>
      <c r="EB75" s="69">
        <f>'P&amp;L - Inputs'!EA88</f>
        <v>3405129.4922816111</v>
      </c>
      <c r="EC75" s="69">
        <f>'P&amp;L - Inputs'!EB88</f>
        <v>3322232.9294112045</v>
      </c>
      <c r="ED75" s="69">
        <f>'P&amp;L - Inputs'!EC88</f>
        <v>3196653.4540568432</v>
      </c>
      <c r="EE75" s="39" t="s">
        <v>1</v>
      </c>
      <c r="EF75" s="68"/>
      <c r="EG75" s="629">
        <f>SUM(BK75:BM75)</f>
        <v>12321712.756623972</v>
      </c>
      <c r="EH75" s="629">
        <f>SUM(BN75:BP75)</f>
        <v>8394272.8512673546</v>
      </c>
      <c r="EI75" s="629">
        <f>SUM(BQ75:BS75)</f>
        <v>9717139.5088053197</v>
      </c>
      <c r="EJ75" s="629">
        <f>SUM(BT75:BV75)</f>
        <v>8107015.4744072109</v>
      </c>
      <c r="EK75" s="629">
        <f>SUM(BW75:BY75)</f>
        <v>2809019.3224477419</v>
      </c>
      <c r="EL75" s="629">
        <f t="shared" ref="EL75:EL78" si="462">SUM(BZ75:CB75)</f>
        <v>2821227.5676372792</v>
      </c>
      <c r="EM75" s="629">
        <f t="shared" ref="EM75:EM78" si="463">SUM(CC75:CE75)</f>
        <v>4474642.6121442933</v>
      </c>
      <c r="EN75" s="629">
        <f t="shared" ref="EN75:EN78" si="464">SUM(CF75:CH75)</f>
        <v>4624493.1285879007</v>
      </c>
      <c r="EO75" s="629">
        <f t="shared" ref="EO75:EO78" si="465">SUM(CI75:CK75)</f>
        <v>2695635.9429038437</v>
      </c>
      <c r="EP75" s="629">
        <f t="shared" ref="EP75:EP78" si="466">SUM(CL75:CN75)</f>
        <v>3812584.1088846186</v>
      </c>
      <c r="EQ75" s="629">
        <f t="shared" ref="EQ75:EQ78" si="467">SUM(CO75:CQ75)</f>
        <v>3203132.0810744427</v>
      </c>
      <c r="ER75" s="629">
        <f>SUM(CR75:CT75)</f>
        <v>5726575.4719615383</v>
      </c>
      <c r="ES75" s="629">
        <f t="shared" ref="ES75:ES77" si="468">SUM(CU75:CW75)</f>
        <v>5179953.8894930705</v>
      </c>
      <c r="ET75" s="629">
        <f t="shared" ref="ET75:ET77" si="469">SUM(CX75:CZ75)</f>
        <v>4607027.9900460588</v>
      </c>
      <c r="EU75" s="629">
        <f t="shared" ref="EU75:EU77" si="470">SUM(DA75:DC75)</f>
        <v>5764822.3871477479</v>
      </c>
      <c r="EV75" s="629">
        <f t="shared" ref="EV75:EV77" si="471">SUM(DD75:DF75)</f>
        <v>6000916.6293270793</v>
      </c>
      <c r="EW75" s="629">
        <f t="shared" ref="EW75:EW77" si="472">SUM(DG75:DI75)</f>
        <v>6798689.4799596556</v>
      </c>
      <c r="EX75" s="629">
        <f t="shared" ref="EX75:EX77" si="473">SUM(DJ75:DL75)</f>
        <v>6046724.2369354526</v>
      </c>
      <c r="EY75" s="629">
        <f t="shared" ref="EY75:EY77" si="474">SUM(DM75:DO75)</f>
        <v>7566329.3831314202</v>
      </c>
      <c r="EZ75" s="629">
        <f t="shared" ref="EZ75:EZ77" si="475">SUM(DP75:DR75)</f>
        <v>7876203.0759917917</v>
      </c>
      <c r="FA75" s="629">
        <f t="shared" ref="FA75:FA78" si="476">SUM(DS75:DU75)</f>
        <v>8566348.7447491661</v>
      </c>
      <c r="FB75" s="629">
        <f t="shared" ref="FB75:FB76" si="477">SUM(DV75:DX75)</f>
        <v>7618872.538538672</v>
      </c>
      <c r="FC75" s="629">
        <f t="shared" ref="FC75:FC76" si="478">SUM(DY75:EA75)</f>
        <v>9533575.0227455907</v>
      </c>
      <c r="FD75" s="629">
        <f t="shared" ref="FD75:FD76" si="479">SUM(EB75:ED75)</f>
        <v>9924015.8757496588</v>
      </c>
      <c r="FG75" s="70">
        <f>SUM(EK75:EN75)</f>
        <v>14729382.630817216</v>
      </c>
      <c r="FH75" s="67">
        <f>SUM(EO75:ER75)</f>
        <v>15437927.604824442</v>
      </c>
      <c r="FI75" s="67">
        <f>SUM(ES75:EV75)</f>
        <v>21552720.896013953</v>
      </c>
      <c r="FJ75" s="69">
        <f>SUM(EW75:EZ75)</f>
        <v>28287946.176018316</v>
      </c>
      <c r="FK75" s="619">
        <f t="shared" ref="FK75:FK78" si="480">SUM(FA75:FD75)</f>
        <v>35642812.181783088</v>
      </c>
    </row>
    <row r="76" spans="2:167" ht="15.75" customHeight="1" x14ac:dyDescent="0.2">
      <c r="B76" s="49" t="s">
        <v>34</v>
      </c>
      <c r="C76" s="66">
        <f>'P&amp;L - Inputs'!B89</f>
        <v>1880988</v>
      </c>
      <c r="D76" s="67">
        <f>'P&amp;L - Inputs'!C89</f>
        <v>2016069</v>
      </c>
      <c r="E76" s="67">
        <f>'P&amp;L - Inputs'!D89</f>
        <v>2296018</v>
      </c>
      <c r="F76" s="67">
        <f>'P&amp;L - Inputs'!E89</f>
        <v>2531623</v>
      </c>
      <c r="G76" s="67">
        <f>'P&amp;L - Inputs'!F89</f>
        <v>2769257</v>
      </c>
      <c r="H76" s="67">
        <f>'P&amp;L - Inputs'!G89</f>
        <v>3028521</v>
      </c>
      <c r="I76" s="67">
        <f>'P&amp;L - Inputs'!H89</f>
        <v>2973497</v>
      </c>
      <c r="J76" s="67">
        <f>'P&amp;L - Inputs'!I89</f>
        <v>3252277</v>
      </c>
      <c r="K76" s="67">
        <f>'P&amp;L - Inputs'!J89</f>
        <v>2490212</v>
      </c>
      <c r="L76" s="67">
        <f>'P&amp;L - Inputs'!K89</f>
        <v>2583127</v>
      </c>
      <c r="M76" s="67">
        <f>'P&amp;L - Inputs'!L89</f>
        <v>3527031</v>
      </c>
      <c r="N76" s="67">
        <f>'P&amp;L - Inputs'!M89</f>
        <v>3658791</v>
      </c>
      <c r="O76" s="67">
        <f>'P&amp;L - Inputs'!N89</f>
        <v>4063527</v>
      </c>
      <c r="P76" s="67">
        <f>'P&amp;L - Inputs'!O89</f>
        <v>4598310</v>
      </c>
      <c r="Q76" s="67">
        <f>'P&amp;L - Inputs'!P89</f>
        <v>4749582</v>
      </c>
      <c r="R76" s="67">
        <f>'P&amp;L - Inputs'!Q89</f>
        <v>4461145</v>
      </c>
      <c r="S76" s="67">
        <f>'P&amp;L - Inputs'!R89</f>
        <v>4515366</v>
      </c>
      <c r="T76" s="67">
        <f>'P&amp;L - Inputs'!S89</f>
        <v>4286936</v>
      </c>
      <c r="U76" s="67">
        <f>'P&amp;L - Inputs'!T89</f>
        <v>4520071</v>
      </c>
      <c r="V76" s="67">
        <f>'P&amp;L - Inputs'!U89</f>
        <v>5039990</v>
      </c>
      <c r="W76" s="67">
        <f>'P&amp;L - Inputs'!V89</f>
        <v>5101568</v>
      </c>
      <c r="X76" s="67">
        <f>'P&amp;L - Inputs'!W89</f>
        <v>5322872</v>
      </c>
      <c r="Y76" s="67">
        <f>'P&amp;L - Inputs'!X89</f>
        <v>5585425</v>
      </c>
      <c r="Z76" s="67">
        <f>'P&amp;L - Inputs'!Y89</f>
        <v>5506825.1283214195</v>
      </c>
      <c r="AA76" s="67">
        <f>'P&amp;L - Inputs'!Z89</f>
        <v>5194527.3597195782</v>
      </c>
      <c r="AB76" s="67">
        <f>'P&amp;L - Inputs'!AA89</f>
        <v>5256027</v>
      </c>
      <c r="AC76" s="68">
        <f>'P&amp;L - Inputs'!AB89</f>
        <v>5257183</v>
      </c>
      <c r="AD76" s="67">
        <f>'P&amp;L - Inputs'!AC89</f>
        <v>5109878</v>
      </c>
      <c r="AE76" s="67">
        <f>'P&amp;L - Inputs'!AD89</f>
        <v>5709650</v>
      </c>
      <c r="AF76" s="67">
        <f>'P&amp;L - Inputs'!AE89</f>
        <v>4596089</v>
      </c>
      <c r="AG76" s="67">
        <f>'P&amp;L - Inputs'!AF89</f>
        <v>4583831</v>
      </c>
      <c r="AH76" s="67">
        <f>'P&amp;L - Inputs'!AG89</f>
        <v>4977489</v>
      </c>
      <c r="AI76" s="67">
        <f>'P&amp;L - Inputs'!AH89</f>
        <v>4195905</v>
      </c>
      <c r="AJ76" s="67">
        <f>'P&amp;L - Inputs'!AI89</f>
        <v>4988820</v>
      </c>
      <c r="AK76" s="68">
        <f>'P&amp;L - Inputs'!AJ89</f>
        <v>4545877</v>
      </c>
      <c r="AL76" s="67">
        <f>'P&amp;L - Inputs'!AK89</f>
        <v>4606685</v>
      </c>
      <c r="AM76" s="67">
        <f>'P&amp;L - Inputs'!AL89</f>
        <v>5040054</v>
      </c>
      <c r="AN76" s="67">
        <f>'P&amp;L - Inputs'!AM89</f>
        <v>4680313</v>
      </c>
      <c r="AO76" s="67">
        <f>'P&amp;L - Inputs'!AN89</f>
        <v>4735590</v>
      </c>
      <c r="AP76" s="67">
        <f>'P&amp;L - Inputs'!AO89</f>
        <v>4708142</v>
      </c>
      <c r="AQ76" s="67">
        <f>'P&amp;L - Inputs'!AP89</f>
        <v>5566490.8563260771</v>
      </c>
      <c r="AR76" s="67">
        <f>'P&amp;L - Inputs'!AQ89</f>
        <v>6070136.9669090202</v>
      </c>
      <c r="AS76" s="67">
        <f>'P&amp;L - Inputs'!AR89</f>
        <v>5878392.08858475</v>
      </c>
      <c r="AT76" s="67">
        <f>'P&amp;L - Inputs'!AS89</f>
        <v>6480425</v>
      </c>
      <c r="AU76" s="67">
        <f>'P&amp;L - Inputs'!AT89</f>
        <v>6568532.5634615393</v>
      </c>
      <c r="AV76" s="67">
        <f>'P&amp;L - Inputs'!AU89</f>
        <v>6452343.1179487184</v>
      </c>
      <c r="AW76" s="67">
        <f>'P&amp;L - Inputs'!AV89</f>
        <v>6030859</v>
      </c>
      <c r="AX76" s="67">
        <f>'P&amp;L - Inputs'!AW89</f>
        <v>6512163</v>
      </c>
      <c r="AY76" s="67">
        <f>'P&amp;L - Inputs'!AX89</f>
        <v>6305437.469895714</v>
      </c>
      <c r="AZ76" s="67">
        <f>'P&amp;L - Inputs'!AY89</f>
        <v>6310369.9690190675</v>
      </c>
      <c r="BA76" s="67">
        <f>'P&amp;L - Inputs'!AZ89</f>
        <v>6631614.3591694897</v>
      </c>
      <c r="BB76" s="67">
        <f>'P&amp;L - Inputs'!BA89</f>
        <v>6519843.0116352458</v>
      </c>
      <c r="BC76" s="67">
        <f>'P&amp;L - Inputs'!BB89</f>
        <v>7860316.0311998166</v>
      </c>
      <c r="BD76" s="67">
        <f>'P&amp;L - Inputs'!BC89</f>
        <v>7676372.3367075324</v>
      </c>
      <c r="BE76" s="67">
        <f>'P&amp;L - Inputs'!BD89</f>
        <v>7979123.4579307064</v>
      </c>
      <c r="BF76" s="67">
        <f>'P&amp;L - Inputs'!BE89</f>
        <v>7946870.1796748135</v>
      </c>
      <c r="BG76" s="67">
        <f>'P&amp;L - Inputs'!BF89</f>
        <v>7900601.5168277537</v>
      </c>
      <c r="BH76" s="67">
        <f>'P&amp;L - Inputs'!BG89</f>
        <v>7762008.0730407452</v>
      </c>
      <c r="BI76" s="67">
        <f>'P&amp;L - Inputs'!BH89</f>
        <v>7575778.3689217689</v>
      </c>
      <c r="BJ76" s="66">
        <f>'P&amp;L - Inputs'!BI89</f>
        <v>6743096.7934521511</v>
      </c>
      <c r="BK76" s="67">
        <f>'P&amp;L - Inputs'!BJ89</f>
        <v>6616688.3485680427</v>
      </c>
      <c r="BL76" s="67">
        <f>'P&amp;L - Inputs'!BK89</f>
        <v>6117904.0180492299</v>
      </c>
      <c r="BM76" s="67">
        <f>'P&amp;L - Inputs'!BL89</f>
        <v>5710275.0907186735</v>
      </c>
      <c r="BN76" s="67">
        <f>'P&amp;L - Inputs'!BM89</f>
        <v>5713954.620380803</v>
      </c>
      <c r="BO76" s="67">
        <f>'P&amp;L - Inputs'!BN89</f>
        <v>7105541.9984965529</v>
      </c>
      <c r="BP76" s="67">
        <f>'P&amp;L - Inputs'!BO89</f>
        <v>6307842.8522136584</v>
      </c>
      <c r="BQ76" s="67">
        <f>'P&amp;L - Inputs'!BP89</f>
        <v>5309073.2672563037</v>
      </c>
      <c r="BR76" s="67">
        <f>'P&amp;L - Inputs'!BQ89</f>
        <v>5687567.1273870291</v>
      </c>
      <c r="BS76" s="67">
        <f>'P&amp;L - Inputs'!BR89</f>
        <v>5085156.4979854021</v>
      </c>
      <c r="BT76" s="67">
        <f>'P&amp;L - Inputs'!BS89</f>
        <v>4218337.9146171249</v>
      </c>
      <c r="BU76" s="67">
        <f>'P&amp;L - Inputs'!BT89</f>
        <v>4892500.0531410258</v>
      </c>
      <c r="BV76" s="67">
        <f>'P&amp;L - Inputs'!BU89</f>
        <v>5188690.254844402</v>
      </c>
      <c r="BW76" s="67">
        <f>'P&amp;L - Inputs'!BV89</f>
        <v>4802134.6779045882</v>
      </c>
      <c r="BX76" s="67">
        <f>'P&amp;L - Inputs'!BW89</f>
        <v>6504049.4375913329</v>
      </c>
      <c r="BY76" s="67">
        <f>'P&amp;L - Inputs'!BX89</f>
        <v>5623825.2032904299</v>
      </c>
      <c r="BZ76" s="67">
        <f>'P&amp;L - Inputs'!BY89</f>
        <v>6199033.4855933636</v>
      </c>
      <c r="CA76" s="67">
        <f>'P&amp;L - Inputs'!BZ89</f>
        <v>5484101.8956164056</v>
      </c>
      <c r="CB76" s="67">
        <f>'P&amp;L - Inputs'!CA89</f>
        <v>5808934.3893082459</v>
      </c>
      <c r="CC76" s="67">
        <f>'P&amp;L - Inputs'!CB89</f>
        <v>5410907.1831783568</v>
      </c>
      <c r="CD76" s="67">
        <f>'P&amp;L - Inputs'!CC89</f>
        <v>5790145.3168504834</v>
      </c>
      <c r="CE76" s="67">
        <f>'P&amp;L - Inputs'!CD89</f>
        <v>6206958.1066030888</v>
      </c>
      <c r="CF76" s="67">
        <f>'P&amp;L - Inputs'!CE89</f>
        <v>6402954.9559116429</v>
      </c>
      <c r="CG76" s="67">
        <f>'P&amp;L - Inputs'!CF89</f>
        <v>6622949.3555684136</v>
      </c>
      <c r="CH76" s="67">
        <f>'P&amp;L - Inputs'!CG89</f>
        <v>7177654.8488143608</v>
      </c>
      <c r="CI76" s="67">
        <f>'P&amp;L - Inputs'!CH89</f>
        <v>7030043.1089216033</v>
      </c>
      <c r="CJ76" s="67">
        <f>'P&amp;L - Inputs'!CI89</f>
        <v>6890101.6424390757</v>
      </c>
      <c r="CK76" s="67">
        <f>'P&amp;L - Inputs'!CJ89</f>
        <v>7244690.5605605068</v>
      </c>
      <c r="CL76" s="67">
        <f>'P&amp;L - Inputs'!CK89</f>
        <v>7565410.7160152569</v>
      </c>
      <c r="CM76" s="67">
        <f>'P&amp;L - Inputs'!CL89</f>
        <v>7355532.3932854384</v>
      </c>
      <c r="CN76" s="67">
        <f>'P&amp;L - Inputs'!CM89</f>
        <v>7324360.9008264458</v>
      </c>
      <c r="CO76" s="67">
        <f>'P&amp;L - Inputs'!CN89</f>
        <v>8162593.9257309968</v>
      </c>
      <c r="CP76" s="67">
        <f>'P&amp;L - Inputs'!CO89</f>
        <v>9404240.3769730683</v>
      </c>
      <c r="CQ76" s="67">
        <f>'P&amp;L - Inputs'!CP89</f>
        <v>8895400.0442849658</v>
      </c>
      <c r="CR76" s="67">
        <f>'P&amp;L - Inputs'!CQ89</f>
        <v>8079054.443917267</v>
      </c>
      <c r="CS76" s="67">
        <f>'P&amp;L - Inputs'!CR89</f>
        <v>8536708.5348659288</v>
      </c>
      <c r="CT76" s="67">
        <f>'P&amp;L - Inputs'!CS89</f>
        <v>7717618.0172474179</v>
      </c>
      <c r="CU76" s="67">
        <f>'P&amp;L - Inputs'!CT89</f>
        <v>8103498.9181097895</v>
      </c>
      <c r="CV76" s="67">
        <f>'P&amp;L - Inputs'!CU89</f>
        <v>8103498.9181097895</v>
      </c>
      <c r="CW76" s="67">
        <f>'P&amp;L - Inputs'!CV89</f>
        <v>8103498.9181097895</v>
      </c>
      <c r="CX76" s="67">
        <f>'P&amp;L - Inputs'!CW89</f>
        <v>8103498.9181097895</v>
      </c>
      <c r="CY76" s="67">
        <f>'P&amp;L - Inputs'!CX89</f>
        <v>8103498.9181097895</v>
      </c>
      <c r="CZ76" s="67">
        <f>'P&amp;L - Inputs'!CY89</f>
        <v>8103498.9181097895</v>
      </c>
      <c r="DA76" s="67">
        <f>'P&amp;L - Inputs'!CZ89</f>
        <v>8103498.9181097895</v>
      </c>
      <c r="DB76" s="67">
        <f>'P&amp;L - Inputs'!DA89</f>
        <v>8103498.9181097895</v>
      </c>
      <c r="DC76" s="67">
        <f>'P&amp;L - Inputs'!DB89</f>
        <v>8103498.9181097895</v>
      </c>
      <c r="DD76" s="67">
        <f>'P&amp;L - Inputs'!DC89</f>
        <v>8103498.9181097895</v>
      </c>
      <c r="DE76" s="67">
        <f>'P&amp;L - Inputs'!DD89</f>
        <v>8103498.9181097895</v>
      </c>
      <c r="DF76" s="67">
        <f>'P&amp;L - Inputs'!DE89</f>
        <v>8103498.9181097895</v>
      </c>
      <c r="DG76" s="67">
        <f>'P&amp;L - Inputs'!DF89</f>
        <v>8508673.8640152793</v>
      </c>
      <c r="DH76" s="67">
        <f>'P&amp;L - Inputs'!DG89</f>
        <v>8508673.8640152793</v>
      </c>
      <c r="DI76" s="67">
        <f>'P&amp;L - Inputs'!DH89</f>
        <v>8508673.8640152793</v>
      </c>
      <c r="DJ76" s="67">
        <f>'P&amp;L - Inputs'!DI89</f>
        <v>8508673.8640152793</v>
      </c>
      <c r="DK76" s="67">
        <f>'P&amp;L - Inputs'!DJ89</f>
        <v>8508673.8640152793</v>
      </c>
      <c r="DL76" s="67">
        <f>'P&amp;L - Inputs'!DK89</f>
        <v>8508673.8640152793</v>
      </c>
      <c r="DM76" s="67">
        <f>'P&amp;L - Inputs'!DL89</f>
        <v>8508673.8640152793</v>
      </c>
      <c r="DN76" s="67">
        <f>'P&amp;L - Inputs'!DM89</f>
        <v>8508673.8640152793</v>
      </c>
      <c r="DO76" s="67">
        <f>'P&amp;L - Inputs'!DN89</f>
        <v>8508673.8640152793</v>
      </c>
      <c r="DP76" s="67">
        <f>'P&amp;L - Inputs'!DO89</f>
        <v>8508673.8640152793</v>
      </c>
      <c r="DQ76" s="67">
        <f>'P&amp;L - Inputs'!DP89</f>
        <v>8508673.8640152793</v>
      </c>
      <c r="DR76" s="69">
        <f>'P&amp;L - Inputs'!DQ89</f>
        <v>8508673.8640152793</v>
      </c>
      <c r="DS76" s="69">
        <f>'P&amp;L - Inputs'!DR89</f>
        <v>8934107.5572160445</v>
      </c>
      <c r="DT76" s="69">
        <f>'P&amp;L - Inputs'!DS89</f>
        <v>8934107.5572160445</v>
      </c>
      <c r="DU76" s="69">
        <f>'P&amp;L - Inputs'!DT89</f>
        <v>8934107.5572160445</v>
      </c>
      <c r="DV76" s="69">
        <f>'P&amp;L - Inputs'!DU89</f>
        <v>8934107.5572160445</v>
      </c>
      <c r="DW76" s="69">
        <f>'P&amp;L - Inputs'!DV89</f>
        <v>8934107.5572160445</v>
      </c>
      <c r="DX76" s="69">
        <f>'P&amp;L - Inputs'!DW89</f>
        <v>8934107.5572160445</v>
      </c>
      <c r="DY76" s="69">
        <f>'P&amp;L - Inputs'!DX89</f>
        <v>8934107.5572160445</v>
      </c>
      <c r="DZ76" s="69">
        <f>'P&amp;L - Inputs'!DY89</f>
        <v>8934107.5572160445</v>
      </c>
      <c r="EA76" s="69">
        <f>'P&amp;L - Inputs'!DZ89</f>
        <v>8934107.5572160445</v>
      </c>
      <c r="EB76" s="69">
        <f>'P&amp;L - Inputs'!EA89</f>
        <v>8934107.5572160445</v>
      </c>
      <c r="EC76" s="69">
        <f>'P&amp;L - Inputs'!EB89</f>
        <v>8934107.5572160445</v>
      </c>
      <c r="ED76" s="69">
        <f>'P&amp;L - Inputs'!EC89</f>
        <v>8934107.5572160445</v>
      </c>
      <c r="EE76" s="39" t="s">
        <v>1</v>
      </c>
      <c r="EF76" s="68"/>
      <c r="EG76" s="629">
        <f>SUM(BK76:BM76)</f>
        <v>18444867.457335949</v>
      </c>
      <c r="EH76" s="629">
        <f>SUM(BN76:BP76)</f>
        <v>19127339.471091013</v>
      </c>
      <c r="EI76" s="629">
        <f>SUM(BQ76:BS76)</f>
        <v>16081796.892628735</v>
      </c>
      <c r="EJ76" s="629">
        <f>SUM(BT76:BV76)</f>
        <v>14299528.222602554</v>
      </c>
      <c r="EK76" s="629">
        <f>SUM(BW76:BY76)</f>
        <v>16930009.318786349</v>
      </c>
      <c r="EL76" s="629">
        <f t="shared" si="462"/>
        <v>17492069.770518012</v>
      </c>
      <c r="EM76" s="629">
        <f t="shared" si="463"/>
        <v>17408010.606631931</v>
      </c>
      <c r="EN76" s="629">
        <f t="shared" si="464"/>
        <v>20203559.160294417</v>
      </c>
      <c r="EO76" s="629">
        <f t="shared" si="465"/>
        <v>21164835.311921187</v>
      </c>
      <c r="EP76" s="629">
        <f t="shared" si="466"/>
        <v>22245304.010127142</v>
      </c>
      <c r="EQ76" s="629">
        <f t="shared" si="467"/>
        <v>26462234.346989032</v>
      </c>
      <c r="ER76" s="629">
        <f>SUM(CR76:CT76)</f>
        <v>24333380.996030614</v>
      </c>
      <c r="ES76" s="629">
        <f t="shared" si="468"/>
        <v>24310496.754329368</v>
      </c>
      <c r="ET76" s="629">
        <f t="shared" si="469"/>
        <v>24310496.754329368</v>
      </c>
      <c r="EU76" s="629">
        <f t="shared" si="470"/>
        <v>24310496.754329368</v>
      </c>
      <c r="EV76" s="629">
        <f t="shared" si="471"/>
        <v>24310496.754329368</v>
      </c>
      <c r="EW76" s="629">
        <f t="shared" si="472"/>
        <v>25526021.592045836</v>
      </c>
      <c r="EX76" s="629">
        <f t="shared" si="473"/>
        <v>25526021.592045836</v>
      </c>
      <c r="EY76" s="629">
        <f t="shared" si="474"/>
        <v>25526021.592045836</v>
      </c>
      <c r="EZ76" s="629">
        <f t="shared" si="475"/>
        <v>25526021.592045836</v>
      </c>
      <c r="FA76" s="629">
        <f t="shared" si="476"/>
        <v>26802322.671648134</v>
      </c>
      <c r="FB76" s="629">
        <f t="shared" si="477"/>
        <v>26802322.671648134</v>
      </c>
      <c r="FC76" s="629">
        <f t="shared" si="478"/>
        <v>26802322.671648134</v>
      </c>
      <c r="FD76" s="629">
        <f t="shared" si="479"/>
        <v>26802322.671648134</v>
      </c>
      <c r="FG76" s="70">
        <f>SUM(EK76:EN76)</f>
        <v>72033648.856230706</v>
      </c>
      <c r="FH76" s="67">
        <f>SUM(EO76:ER76)</f>
        <v>94205754.665067971</v>
      </c>
      <c r="FI76" s="67">
        <f>SUM(ES76:EV76)</f>
        <v>97241987.017317474</v>
      </c>
      <c r="FJ76" s="69">
        <f>SUM(EW76:EZ76)</f>
        <v>102104086.36818334</v>
      </c>
      <c r="FK76" s="619">
        <f t="shared" si="480"/>
        <v>107209290.68659253</v>
      </c>
    </row>
    <row r="77" spans="2:167" ht="15.75" customHeight="1" x14ac:dyDescent="0.2">
      <c r="B77" s="49" t="s">
        <v>35</v>
      </c>
      <c r="C77" s="66">
        <f>'P&amp;L - Inputs'!B90</f>
        <v>0</v>
      </c>
      <c r="D77" s="67">
        <f>'P&amp;L - Inputs'!C90</f>
        <v>0</v>
      </c>
      <c r="E77" s="67">
        <f>'P&amp;L - Inputs'!D90</f>
        <v>0</v>
      </c>
      <c r="F77" s="67">
        <f>'P&amp;L - Inputs'!E90</f>
        <v>0</v>
      </c>
      <c r="G77" s="67">
        <f>'P&amp;L - Inputs'!F90</f>
        <v>0</v>
      </c>
      <c r="H77" s="67">
        <f>'P&amp;L - Inputs'!G90</f>
        <v>0</v>
      </c>
      <c r="I77" s="67">
        <f>'P&amp;L - Inputs'!H90</f>
        <v>0</v>
      </c>
      <c r="J77" s="67">
        <f>'P&amp;L - Inputs'!I90</f>
        <v>0</v>
      </c>
      <c r="K77" s="67">
        <f>'P&amp;L - Inputs'!J90</f>
        <v>0</v>
      </c>
      <c r="L77" s="67">
        <f>'P&amp;L - Inputs'!K90</f>
        <v>0</v>
      </c>
      <c r="M77" s="67">
        <f>'P&amp;L - Inputs'!L90</f>
        <v>0</v>
      </c>
      <c r="N77" s="67">
        <f>'P&amp;L - Inputs'!M90</f>
        <v>0</v>
      </c>
      <c r="O77" s="67">
        <f>'P&amp;L - Inputs'!N90</f>
        <v>0</v>
      </c>
      <c r="P77" s="67">
        <f>'P&amp;L - Inputs'!O90</f>
        <v>0</v>
      </c>
      <c r="Q77" s="67">
        <f>'P&amp;L - Inputs'!P90</f>
        <v>0</v>
      </c>
      <c r="R77" s="67">
        <f>'P&amp;L - Inputs'!Q90</f>
        <v>0</v>
      </c>
      <c r="S77" s="67">
        <f>'P&amp;L - Inputs'!R90</f>
        <v>0</v>
      </c>
      <c r="T77" s="67">
        <f>'P&amp;L - Inputs'!S90</f>
        <v>0</v>
      </c>
      <c r="U77" s="67">
        <f>'P&amp;L - Inputs'!T90</f>
        <v>0</v>
      </c>
      <c r="V77" s="67">
        <f>'P&amp;L - Inputs'!U90</f>
        <v>0</v>
      </c>
      <c r="W77" s="67">
        <f>'P&amp;L - Inputs'!V90</f>
        <v>0</v>
      </c>
      <c r="X77" s="67">
        <f>'P&amp;L - Inputs'!W90</f>
        <v>0</v>
      </c>
      <c r="Y77" s="67">
        <f>'P&amp;L - Inputs'!X90</f>
        <v>0</v>
      </c>
      <c r="Z77" s="67">
        <f>'P&amp;L - Inputs'!Y90</f>
        <v>0</v>
      </c>
      <c r="AA77" s="67">
        <f>'P&amp;L - Inputs'!Z90</f>
        <v>0</v>
      </c>
      <c r="AB77" s="67">
        <f>'P&amp;L - Inputs'!AA90</f>
        <v>0</v>
      </c>
      <c r="AC77" s="68">
        <f>'P&amp;L - Inputs'!AB90</f>
        <v>0</v>
      </c>
      <c r="AD77" s="67">
        <f>'P&amp;L - Inputs'!AC90</f>
        <v>0</v>
      </c>
      <c r="AE77" s="67">
        <f>'P&amp;L - Inputs'!AD90</f>
        <v>0</v>
      </c>
      <c r="AF77" s="67">
        <f>'P&amp;L - Inputs'!AE90</f>
        <v>0</v>
      </c>
      <c r="AG77" s="67">
        <f>'P&amp;L - Inputs'!AF90</f>
        <v>0</v>
      </c>
      <c r="AH77" s="67">
        <f>'P&amp;L - Inputs'!AG90</f>
        <v>0</v>
      </c>
      <c r="AI77" s="67">
        <f>'P&amp;L - Inputs'!AH90</f>
        <v>0</v>
      </c>
      <c r="AJ77" s="67">
        <f>'P&amp;L - Inputs'!AI90</f>
        <v>809552</v>
      </c>
      <c r="AK77" s="68">
        <f>'P&amp;L - Inputs'!AJ90</f>
        <v>816376</v>
      </c>
      <c r="AL77" s="67">
        <f>'P&amp;L - Inputs'!AK90</f>
        <v>497982</v>
      </c>
      <c r="AM77" s="67">
        <f>'P&amp;L - Inputs'!AL90</f>
        <v>466651</v>
      </c>
      <c r="AN77" s="67">
        <f>'P&amp;L - Inputs'!AM90</f>
        <v>374698</v>
      </c>
      <c r="AO77" s="67">
        <f>'P&amp;L - Inputs'!AN90</f>
        <v>720916.86</v>
      </c>
      <c r="AP77" s="67">
        <f>'P&amp;L - Inputs'!AO90</f>
        <v>1357513.78</v>
      </c>
      <c r="AQ77" s="67">
        <f>'P&amp;L - Inputs'!AP90</f>
        <v>1297784.25</v>
      </c>
      <c r="AR77" s="67">
        <f>'P&amp;L - Inputs'!AQ90</f>
        <v>1334624</v>
      </c>
      <c r="AS77" s="67">
        <f>'P&amp;L - Inputs'!AR90</f>
        <v>1052798</v>
      </c>
      <c r="AT77" s="67">
        <f>'P&amp;L - Inputs'!AS90</f>
        <v>1341651</v>
      </c>
      <c r="AU77" s="67">
        <f>'P&amp;L - Inputs'!AT90</f>
        <v>1806139</v>
      </c>
      <c r="AV77" s="67">
        <f>'P&amp;L - Inputs'!AU90</f>
        <v>1517439</v>
      </c>
      <c r="AW77" s="67">
        <f>'P&amp;L - Inputs'!AV90</f>
        <v>1642441.3499999999</v>
      </c>
      <c r="AX77" s="67">
        <f>'P&amp;L - Inputs'!AW90</f>
        <v>1101807</v>
      </c>
      <c r="AY77" s="67">
        <f>'P&amp;L - Inputs'!AX90</f>
        <v>1065755.3999999999</v>
      </c>
      <c r="AZ77" s="67">
        <f>'P&amp;L - Inputs'!AY90</f>
        <v>1092267</v>
      </c>
      <c r="BA77" s="67">
        <f>'P&amp;L - Inputs'!AZ90</f>
        <v>889922</v>
      </c>
      <c r="BB77" s="67">
        <f>'P&amp;L - Inputs'!BA90</f>
        <v>1043874.8</v>
      </c>
      <c r="BC77" s="67">
        <f>'P&amp;L - Inputs'!BB90</f>
        <v>961400</v>
      </c>
      <c r="BD77" s="67">
        <f>'P&amp;L - Inputs'!BC90</f>
        <v>539452</v>
      </c>
      <c r="BE77" s="67">
        <f>'P&amp;L - Inputs'!BD90</f>
        <v>494035</v>
      </c>
      <c r="BF77" s="67">
        <f>'P&amp;L - Inputs'!BE90</f>
        <v>580184</v>
      </c>
      <c r="BG77" s="67">
        <f>'P&amp;L - Inputs'!BF90</f>
        <v>316241.53999999998</v>
      </c>
      <c r="BH77" s="67">
        <f>'P&amp;L - Inputs'!BG90</f>
        <v>324508</v>
      </c>
      <c r="BI77" s="67">
        <f>'P&amp;L - Inputs'!BH90</f>
        <v>401301.78</v>
      </c>
      <c r="BJ77" s="66">
        <f>'P&amp;L - Inputs'!BI90</f>
        <v>279410</v>
      </c>
      <c r="BK77" s="67">
        <f>'P&amp;L - Inputs'!BJ90</f>
        <v>186000</v>
      </c>
      <c r="BL77" s="67">
        <f>'P&amp;L - Inputs'!BK90</f>
        <v>195946</v>
      </c>
      <c r="BM77" s="67">
        <f>'P&amp;L - Inputs'!BL90</f>
        <v>80607</v>
      </c>
      <c r="BN77" s="67">
        <f>'P&amp;L - Inputs'!BM90</f>
        <v>88994.79</v>
      </c>
      <c r="BO77" s="67">
        <f>'P&amp;L - Inputs'!BN90</f>
        <v>365</v>
      </c>
      <c r="BP77" s="67">
        <f>'P&amp;L - Inputs'!BO90</f>
        <v>102418</v>
      </c>
      <c r="BQ77" s="67">
        <f>'P&amp;L - Inputs'!BP90</f>
        <v>0</v>
      </c>
      <c r="BR77" s="67">
        <f>'P&amp;L - Inputs'!BQ90</f>
        <v>0</v>
      </c>
      <c r="BS77" s="67">
        <f>'P&amp;L - Inputs'!BR90</f>
        <v>0</v>
      </c>
      <c r="BT77" s="67">
        <f>'P&amp;L - Inputs'!BS90</f>
        <v>0</v>
      </c>
      <c r="BU77" s="67">
        <f>'P&amp;L - Inputs'!BT90</f>
        <v>0</v>
      </c>
      <c r="BV77" s="67">
        <f>'P&amp;L - Inputs'!BU90</f>
        <v>0</v>
      </c>
      <c r="BW77" s="67">
        <f>'P&amp;L - Inputs'!BV90</f>
        <v>0</v>
      </c>
      <c r="BX77" s="67">
        <f>'P&amp;L - Inputs'!BW90</f>
        <v>0</v>
      </c>
      <c r="BY77" s="67">
        <f>'P&amp;L - Inputs'!BX90</f>
        <v>0</v>
      </c>
      <c r="BZ77" s="67">
        <f>'P&amp;L - Inputs'!BY90</f>
        <v>0</v>
      </c>
      <c r="CA77" s="67">
        <f>'P&amp;L - Inputs'!BZ90</f>
        <v>0</v>
      </c>
      <c r="CB77" s="67">
        <f>'P&amp;L - Inputs'!CA90</f>
        <v>0</v>
      </c>
      <c r="CC77" s="67">
        <f>'P&amp;L - Inputs'!CB90</f>
        <v>0</v>
      </c>
      <c r="CD77" s="67">
        <f>'P&amp;L - Inputs'!CC90</f>
        <v>0</v>
      </c>
      <c r="CE77" s="67">
        <f>'P&amp;L - Inputs'!CD90</f>
        <v>0</v>
      </c>
      <c r="CF77" s="67">
        <f>'P&amp;L - Inputs'!CE90</f>
        <v>0</v>
      </c>
      <c r="CG77" s="67">
        <f>'P&amp;L - Inputs'!CF90</f>
        <v>0</v>
      </c>
      <c r="CH77" s="67">
        <f>'P&amp;L - Inputs'!CG90</f>
        <v>0</v>
      </c>
      <c r="CI77" s="67">
        <f>'P&amp;L - Inputs'!CH90</f>
        <v>0</v>
      </c>
      <c r="CJ77" s="67">
        <f>'P&amp;L - Inputs'!CI90</f>
        <v>0</v>
      </c>
      <c r="CK77" s="67">
        <f>'P&amp;L - Inputs'!CJ90</f>
        <v>0</v>
      </c>
      <c r="CL77" s="67">
        <f>'P&amp;L - Inputs'!CK90</f>
        <v>0</v>
      </c>
      <c r="CM77" s="67">
        <f>'P&amp;L - Inputs'!CL90</f>
        <v>0</v>
      </c>
      <c r="CN77" s="67">
        <f>'P&amp;L - Inputs'!CM90</f>
        <v>0</v>
      </c>
      <c r="CO77" s="67">
        <f>'P&amp;L - Inputs'!CN90</f>
        <v>0</v>
      </c>
      <c r="CP77" s="67">
        <f>'P&amp;L - Inputs'!CO90</f>
        <v>0</v>
      </c>
      <c r="CQ77" s="67">
        <f>'P&amp;L - Inputs'!CP90</f>
        <v>0</v>
      </c>
      <c r="CR77" s="67">
        <f>'P&amp;L - Inputs'!CQ90</f>
        <v>0</v>
      </c>
      <c r="CS77" s="67">
        <f>'P&amp;L - Inputs'!CR90</f>
        <v>0</v>
      </c>
      <c r="CT77" s="67">
        <f>'P&amp;L - Inputs'!CS90</f>
        <v>0</v>
      </c>
      <c r="CU77" s="67">
        <f>'P&amp;L - Inputs'!CT90</f>
        <v>0</v>
      </c>
      <c r="CV77" s="67">
        <f>'P&amp;L - Inputs'!CU90</f>
        <v>0</v>
      </c>
      <c r="CW77" s="67">
        <f>'P&amp;L - Inputs'!CV90</f>
        <v>0</v>
      </c>
      <c r="CX77" s="67">
        <f>'P&amp;L - Inputs'!CW90</f>
        <v>0</v>
      </c>
      <c r="CY77" s="67">
        <f>'P&amp;L - Inputs'!CX90</f>
        <v>0</v>
      </c>
      <c r="CZ77" s="67">
        <f>'P&amp;L - Inputs'!CY90</f>
        <v>0</v>
      </c>
      <c r="DA77" s="67">
        <f>'P&amp;L - Inputs'!CZ90</f>
        <v>0</v>
      </c>
      <c r="DB77" s="67">
        <f>'P&amp;L - Inputs'!DA90</f>
        <v>0</v>
      </c>
      <c r="DC77" s="67">
        <f>'P&amp;L - Inputs'!DB90</f>
        <v>0</v>
      </c>
      <c r="DD77" s="67">
        <f>'P&amp;L - Inputs'!DC90</f>
        <v>0</v>
      </c>
      <c r="DE77" s="67">
        <f>'P&amp;L - Inputs'!DD90</f>
        <v>0</v>
      </c>
      <c r="DF77" s="67">
        <f>'P&amp;L - Inputs'!DE90</f>
        <v>0</v>
      </c>
      <c r="DG77" s="67">
        <f>'P&amp;L - Inputs'!DF90</f>
        <v>0</v>
      </c>
      <c r="DH77" s="67">
        <f>'P&amp;L - Inputs'!DG90</f>
        <v>0</v>
      </c>
      <c r="DI77" s="67">
        <f>'P&amp;L - Inputs'!DH90</f>
        <v>0</v>
      </c>
      <c r="DJ77" s="67">
        <f>'P&amp;L - Inputs'!DI90</f>
        <v>0</v>
      </c>
      <c r="DK77" s="67">
        <f>'P&amp;L - Inputs'!DJ90</f>
        <v>0</v>
      </c>
      <c r="DL77" s="67">
        <f>'P&amp;L - Inputs'!DK90</f>
        <v>0</v>
      </c>
      <c r="DM77" s="67">
        <f>'P&amp;L - Inputs'!DL90</f>
        <v>0</v>
      </c>
      <c r="DN77" s="67">
        <f>'P&amp;L - Inputs'!DM90</f>
        <v>0</v>
      </c>
      <c r="DO77" s="67">
        <f>'P&amp;L - Inputs'!DN90</f>
        <v>0</v>
      </c>
      <c r="DP77" s="67">
        <f>'P&amp;L - Inputs'!DO90</f>
        <v>0</v>
      </c>
      <c r="DQ77" s="67">
        <f>'P&amp;L - Inputs'!DP90</f>
        <v>0</v>
      </c>
      <c r="DR77" s="69">
        <f>'P&amp;L - Inputs'!DQ90</f>
        <v>0</v>
      </c>
      <c r="DS77" s="69">
        <f>'P&amp;L - Inputs'!DR90</f>
        <v>0</v>
      </c>
      <c r="DT77" s="69">
        <f>'P&amp;L - Inputs'!DS90</f>
        <v>0</v>
      </c>
      <c r="DU77" s="69">
        <f>'P&amp;L - Inputs'!DT90</f>
        <v>0</v>
      </c>
      <c r="DV77" s="69">
        <f>'P&amp;L - Inputs'!DU90</f>
        <v>0</v>
      </c>
      <c r="DW77" s="69">
        <f>'P&amp;L - Inputs'!DV90</f>
        <v>0</v>
      </c>
      <c r="DX77" s="69">
        <f>'P&amp;L - Inputs'!DW90</f>
        <v>0</v>
      </c>
      <c r="DY77" s="69">
        <f>'P&amp;L - Inputs'!DX90</f>
        <v>0</v>
      </c>
      <c r="DZ77" s="69">
        <f>'P&amp;L - Inputs'!DY90</f>
        <v>0</v>
      </c>
      <c r="EA77" s="69">
        <f>'P&amp;L - Inputs'!DZ90</f>
        <v>0</v>
      </c>
      <c r="EB77" s="69">
        <f>'P&amp;L - Inputs'!EA90</f>
        <v>0</v>
      </c>
      <c r="EC77" s="69">
        <f>'P&amp;L - Inputs'!EB90</f>
        <v>0</v>
      </c>
      <c r="ED77" s="69">
        <f>'P&amp;L - Inputs'!EC90</f>
        <v>0</v>
      </c>
      <c r="EE77" s="39" t="s">
        <v>1</v>
      </c>
      <c r="EF77" s="68"/>
      <c r="EG77" s="629">
        <f>SUM(BK77:BM77)</f>
        <v>462553</v>
      </c>
      <c r="EH77" s="629">
        <f>SUM(BN77:BP77)</f>
        <v>191777.78999999998</v>
      </c>
      <c r="EI77" s="629">
        <f>SUM(BQ77:BS77)</f>
        <v>0</v>
      </c>
      <c r="EJ77" s="629">
        <f>SUM(BT77:BV77)</f>
        <v>0</v>
      </c>
      <c r="EK77" s="629">
        <f>SUM(BW77:BY77)</f>
        <v>0</v>
      </c>
      <c r="EL77" s="629">
        <f t="shared" si="462"/>
        <v>0</v>
      </c>
      <c r="EM77" s="629">
        <f t="shared" si="463"/>
        <v>0</v>
      </c>
      <c r="EN77" s="629">
        <f t="shared" si="464"/>
        <v>0</v>
      </c>
      <c r="EO77" s="629">
        <f t="shared" si="465"/>
        <v>0</v>
      </c>
      <c r="EP77" s="629">
        <f t="shared" si="466"/>
        <v>0</v>
      </c>
      <c r="EQ77" s="629">
        <f t="shared" si="467"/>
        <v>0</v>
      </c>
      <c r="ER77" s="629">
        <f>SUM(CR77:CT77)</f>
        <v>0</v>
      </c>
      <c r="ES77" s="629">
        <f t="shared" si="468"/>
        <v>0</v>
      </c>
      <c r="ET77" s="629">
        <f t="shared" si="469"/>
        <v>0</v>
      </c>
      <c r="EU77" s="629">
        <f t="shared" si="470"/>
        <v>0</v>
      </c>
      <c r="EV77" s="629">
        <f t="shared" si="471"/>
        <v>0</v>
      </c>
      <c r="EW77" s="629">
        <f t="shared" si="472"/>
        <v>0</v>
      </c>
      <c r="EX77" s="629">
        <f t="shared" si="473"/>
        <v>0</v>
      </c>
      <c r="EY77" s="629">
        <f t="shared" si="474"/>
        <v>0</v>
      </c>
      <c r="EZ77" s="629">
        <f t="shared" si="475"/>
        <v>0</v>
      </c>
      <c r="FA77" s="629">
        <f t="shared" si="476"/>
        <v>0</v>
      </c>
      <c r="FB77" s="629">
        <f t="shared" ref="FB77:FB78" si="481">SUM(DV77:DX77)</f>
        <v>0</v>
      </c>
      <c r="FC77" s="629">
        <f t="shared" ref="FC77:FC78" si="482">SUM(DY77:EA77)</f>
        <v>0</v>
      </c>
      <c r="FD77" s="629">
        <f t="shared" ref="FD77:FD78" si="483">SUM(EB77:ED77)</f>
        <v>0</v>
      </c>
      <c r="FG77" s="70">
        <f>SUM(EK77:EN77)</f>
        <v>0</v>
      </c>
      <c r="FH77" s="67">
        <f>SUM(EO77:ER77)</f>
        <v>0</v>
      </c>
      <c r="FI77" s="67">
        <f>SUM(ES77:EV77)</f>
        <v>0</v>
      </c>
      <c r="FJ77" s="69">
        <f>SUM(EW77:EZ77)</f>
        <v>0</v>
      </c>
      <c r="FK77" s="619">
        <f t="shared" si="480"/>
        <v>0</v>
      </c>
    </row>
    <row r="78" spans="2:167" ht="15.75" customHeight="1" x14ac:dyDescent="0.2">
      <c r="B78" s="49" t="s">
        <v>36</v>
      </c>
      <c r="C78" s="66">
        <f>'P&amp;L - Inputs'!B91</f>
        <v>0</v>
      </c>
      <c r="D78" s="67">
        <f>'P&amp;L - Inputs'!C91</f>
        <v>0</v>
      </c>
      <c r="E78" s="67">
        <f>'P&amp;L - Inputs'!D91</f>
        <v>0</v>
      </c>
      <c r="F78" s="67">
        <f>'P&amp;L - Inputs'!E91</f>
        <v>0</v>
      </c>
      <c r="G78" s="67">
        <f>'P&amp;L - Inputs'!F91</f>
        <v>0</v>
      </c>
      <c r="H78" s="67">
        <f>'P&amp;L - Inputs'!G91</f>
        <v>0</v>
      </c>
      <c r="I78" s="67">
        <f>'P&amp;L - Inputs'!H91</f>
        <v>0</v>
      </c>
      <c r="J78" s="67">
        <f>'P&amp;L - Inputs'!I91</f>
        <v>0</v>
      </c>
      <c r="K78" s="67">
        <f>'P&amp;L - Inputs'!J91</f>
        <v>0</v>
      </c>
      <c r="L78" s="67">
        <f>'P&amp;L - Inputs'!K91</f>
        <v>0</v>
      </c>
      <c r="M78" s="67">
        <f>'P&amp;L - Inputs'!L91</f>
        <v>0</v>
      </c>
      <c r="N78" s="67">
        <f>'P&amp;L - Inputs'!M91</f>
        <v>0</v>
      </c>
      <c r="O78" s="67">
        <f>'P&amp;L - Inputs'!N91</f>
        <v>0</v>
      </c>
      <c r="P78" s="67">
        <f>'P&amp;L - Inputs'!O91</f>
        <v>0</v>
      </c>
      <c r="Q78" s="67">
        <f>'P&amp;L - Inputs'!P91</f>
        <v>132236</v>
      </c>
      <c r="R78" s="67">
        <f>'P&amp;L - Inputs'!Q91</f>
        <v>246328</v>
      </c>
      <c r="S78" s="67">
        <f>'P&amp;L - Inputs'!R91</f>
        <v>100000</v>
      </c>
      <c r="T78" s="67">
        <f>'P&amp;L - Inputs'!S91</f>
        <v>0</v>
      </c>
      <c r="U78" s="67">
        <f>'P&amp;L - Inputs'!T91</f>
        <v>22200</v>
      </c>
      <c r="V78" s="67">
        <f>'P&amp;L - Inputs'!U91</f>
        <v>0</v>
      </c>
      <c r="W78" s="67">
        <f>'P&amp;L - Inputs'!V91</f>
        <v>3664</v>
      </c>
      <c r="X78" s="67">
        <f>'P&amp;L - Inputs'!W91</f>
        <v>0</v>
      </c>
      <c r="Y78" s="67">
        <f>'P&amp;L - Inputs'!X91</f>
        <v>15400</v>
      </c>
      <c r="Z78" s="67">
        <f>'P&amp;L - Inputs'!Y91</f>
        <v>10780</v>
      </c>
      <c r="AA78" s="67">
        <f>'P&amp;L - Inputs'!Z91</f>
        <v>0</v>
      </c>
      <c r="AB78" s="67">
        <f>'P&amp;L - Inputs'!AA91</f>
        <v>0</v>
      </c>
      <c r="AC78" s="68">
        <f>'P&amp;L - Inputs'!AB91</f>
        <v>0</v>
      </c>
      <c r="AD78" s="67">
        <f>'P&amp;L - Inputs'!AC91</f>
        <v>0</v>
      </c>
      <c r="AE78" s="67">
        <f>'P&amp;L - Inputs'!AD91</f>
        <v>0</v>
      </c>
      <c r="AF78" s="67">
        <f>'P&amp;L - Inputs'!AE91</f>
        <v>0</v>
      </c>
      <c r="AG78" s="67">
        <f>'P&amp;L - Inputs'!AF91</f>
        <v>991235</v>
      </c>
      <c r="AH78" s="67">
        <f>'P&amp;L - Inputs'!AG91</f>
        <v>27047</v>
      </c>
      <c r="AI78" s="67">
        <f>'P&amp;L - Inputs'!AH91</f>
        <v>636741</v>
      </c>
      <c r="AJ78" s="67">
        <f>'P&amp;L - Inputs'!AI91</f>
        <v>525417</v>
      </c>
      <c r="AK78" s="68">
        <f>'P&amp;L - Inputs'!AJ91</f>
        <v>994895</v>
      </c>
      <c r="AL78" s="67">
        <f>'P&amp;L - Inputs'!AK91</f>
        <v>524193</v>
      </c>
      <c r="AM78" s="67">
        <f>'P&amp;L - Inputs'!AL91</f>
        <v>526382</v>
      </c>
      <c r="AN78" s="67">
        <f>'P&amp;L - Inputs'!AM91</f>
        <v>183628</v>
      </c>
      <c r="AO78" s="67">
        <f>'P&amp;L - Inputs'!AN91</f>
        <v>486306</v>
      </c>
      <c r="AP78" s="67">
        <f>'P&amp;L - Inputs'!AO91</f>
        <v>629079</v>
      </c>
      <c r="AQ78" s="67">
        <f>'P&amp;L - Inputs'!AP91</f>
        <v>893154</v>
      </c>
      <c r="AR78" s="67">
        <f>'P&amp;L - Inputs'!AQ91</f>
        <v>1037449</v>
      </c>
      <c r="AS78" s="67">
        <f>'P&amp;L - Inputs'!AR91</f>
        <v>1358157</v>
      </c>
      <c r="AT78" s="67">
        <f>'P&amp;L - Inputs'!AS91</f>
        <v>1180268</v>
      </c>
      <c r="AU78" s="67">
        <f>'P&amp;L - Inputs'!AT91</f>
        <v>1431850</v>
      </c>
      <c r="AV78" s="67">
        <f>'P&amp;L - Inputs'!AU91</f>
        <v>1283728</v>
      </c>
      <c r="AW78" s="67">
        <f>'P&amp;L - Inputs'!AV91</f>
        <v>1284172</v>
      </c>
      <c r="AX78" s="67">
        <f>'P&amp;L - Inputs'!AW91</f>
        <v>1091070</v>
      </c>
      <c r="AY78" s="67">
        <f>'P&amp;L - Inputs'!AX91</f>
        <v>757143</v>
      </c>
      <c r="AZ78" s="67">
        <f>'P&amp;L - Inputs'!AY91</f>
        <v>835450</v>
      </c>
      <c r="BA78" s="67">
        <f>'P&amp;L - Inputs'!AZ91</f>
        <v>611523</v>
      </c>
      <c r="BB78" s="67">
        <f>'P&amp;L - Inputs'!BA91</f>
        <v>688281</v>
      </c>
      <c r="BC78" s="67">
        <f>'P&amp;L - Inputs'!BB91</f>
        <v>785268</v>
      </c>
      <c r="BD78" s="67">
        <f>'P&amp;L - Inputs'!BC91</f>
        <v>833268</v>
      </c>
      <c r="BE78" s="67">
        <f>'P&amp;L - Inputs'!BD91</f>
        <v>773124</v>
      </c>
      <c r="BF78" s="67">
        <f>'P&amp;L - Inputs'!BE91</f>
        <v>973784</v>
      </c>
      <c r="BG78" s="67">
        <f>'P&amp;L - Inputs'!BF91</f>
        <v>1210258</v>
      </c>
      <c r="BH78" s="67">
        <f>'P&amp;L - Inputs'!BG91</f>
        <v>1070468</v>
      </c>
      <c r="BI78" s="67">
        <f>'P&amp;L - Inputs'!BH91</f>
        <v>860902</v>
      </c>
      <c r="BJ78" s="66">
        <f>'P&amp;L - Inputs'!BI91</f>
        <v>996898</v>
      </c>
      <c r="BK78" s="67">
        <f>'P&amp;L - Inputs'!BJ91</f>
        <v>857850</v>
      </c>
      <c r="BL78" s="67">
        <f>'P&amp;L - Inputs'!BK91</f>
        <v>885705</v>
      </c>
      <c r="BM78" s="67">
        <f>'P&amp;L - Inputs'!BL91</f>
        <v>651765</v>
      </c>
      <c r="BN78" s="67">
        <f>'P&amp;L - Inputs'!BM91</f>
        <v>661890</v>
      </c>
      <c r="BO78" s="67">
        <f>'P&amp;L - Inputs'!BN91</f>
        <v>717165</v>
      </c>
      <c r="BP78" s="67">
        <f>'P&amp;L - Inputs'!BO91</f>
        <v>707160</v>
      </c>
      <c r="BQ78" s="67">
        <f>'P&amp;L - Inputs'!BP91</f>
        <v>594480</v>
      </c>
      <c r="BR78" s="67">
        <f>'P&amp;L - Inputs'!BQ91</f>
        <v>700800</v>
      </c>
      <c r="BS78" s="67">
        <f>'P&amp;L - Inputs'!BR91</f>
        <v>523785</v>
      </c>
      <c r="BT78" s="67">
        <f>'P&amp;L - Inputs'!BS91</f>
        <v>486195</v>
      </c>
      <c r="BU78" s="67">
        <f>'P&amp;L - Inputs'!BT91</f>
        <v>501645</v>
      </c>
      <c r="BV78" s="67">
        <f>'P&amp;L - Inputs'!BU91</f>
        <v>495225</v>
      </c>
      <c r="BW78" s="67">
        <f>'P&amp;L - Inputs'!BV91</f>
        <v>522030</v>
      </c>
      <c r="BX78" s="67">
        <f>'P&amp;L - Inputs'!BW91</f>
        <v>587160</v>
      </c>
      <c r="BY78" s="67">
        <f>'P&amp;L - Inputs'!BX91</f>
        <v>567930</v>
      </c>
      <c r="BZ78" s="67">
        <f>'P&amp;L - Inputs'!BY91</f>
        <v>596655</v>
      </c>
      <c r="CA78" s="67">
        <f>'P&amp;L - Inputs'!BZ91</f>
        <v>529095</v>
      </c>
      <c r="CB78" s="67">
        <f>'P&amp;L - Inputs'!CA91</f>
        <v>477675</v>
      </c>
      <c r="CC78" s="67">
        <f>'P&amp;L - Inputs'!CB91</f>
        <v>502500</v>
      </c>
      <c r="CD78" s="67">
        <f>'P&amp;L - Inputs'!CC91</f>
        <v>538455</v>
      </c>
      <c r="CE78" s="67">
        <f>'P&amp;L - Inputs'!CD91</f>
        <v>687360</v>
      </c>
      <c r="CF78" s="67">
        <f>'P&amp;L - Inputs'!CE91</f>
        <v>762930</v>
      </c>
      <c r="CG78" s="67">
        <f>'P&amp;L - Inputs'!CF91</f>
        <v>703875</v>
      </c>
      <c r="CH78" s="67">
        <f>'P&amp;L - Inputs'!CG91</f>
        <v>888150</v>
      </c>
      <c r="CI78" s="67">
        <f>'P&amp;L - Inputs'!CH91</f>
        <v>786195</v>
      </c>
      <c r="CJ78" s="67">
        <f>'P&amp;L - Inputs'!CI91</f>
        <v>815175</v>
      </c>
      <c r="CK78" s="67">
        <f>'P&amp;L - Inputs'!CJ91</f>
        <v>775920</v>
      </c>
      <c r="CL78" s="67">
        <f>'P&amp;L - Inputs'!CK91</f>
        <v>774975</v>
      </c>
      <c r="CM78" s="67">
        <f>'P&amp;L - Inputs'!CL91</f>
        <v>722565</v>
      </c>
      <c r="CN78" s="67">
        <f>'P&amp;L - Inputs'!CM91</f>
        <v>628275</v>
      </c>
      <c r="CO78" s="67">
        <f>'P&amp;L - Inputs'!CN91</f>
        <v>737250</v>
      </c>
      <c r="CP78" s="67">
        <f>'P&amp;L - Inputs'!CO91</f>
        <v>907320</v>
      </c>
      <c r="CQ78" s="67">
        <f>'P&amp;L - Inputs'!CP91</f>
        <v>1010580</v>
      </c>
      <c r="CR78" s="67">
        <f>'P&amp;L - Inputs'!CQ91</f>
        <v>950055</v>
      </c>
      <c r="CS78" s="67">
        <f>'P&amp;L - Inputs'!CR91</f>
        <v>927878.46216000011</v>
      </c>
      <c r="CT78" s="67">
        <f>'P&amp;L - Inputs'!CS91</f>
        <v>894185.59031399991</v>
      </c>
      <c r="CU78" s="67">
        <f>'P&amp;L - Inputs'!CT91</f>
        <v>1105368.126519724</v>
      </c>
      <c r="CV78" s="67">
        <f>'P&amp;L - Inputs'!CU91</f>
        <v>1145838.9535491823</v>
      </c>
      <c r="CW78" s="67">
        <f>'P&amp;L - Inputs'!CV91</f>
        <v>1080773.8058343804</v>
      </c>
      <c r="CX78" s="67">
        <f>'P&amp;L - Inputs'!CW91</f>
        <v>1081009.1248904939</v>
      </c>
      <c r="CY78" s="67">
        <f>'P&amp;L - Inputs'!CX91</f>
        <v>1005974.817777867</v>
      </c>
      <c r="CZ78" s="67">
        <f>'P&amp;L - Inputs'!CY91</f>
        <v>876465.06308276276</v>
      </c>
      <c r="DA78" s="67">
        <f>'P&amp;L - Inputs'!CZ91</f>
        <v>1026329.1657808989</v>
      </c>
      <c r="DB78" s="67">
        <f>'P&amp;L - Inputs'!DA91</f>
        <v>1268539.2827534641</v>
      </c>
      <c r="DC78" s="67">
        <f>'P&amp;L - Inputs'!DB91</f>
        <v>1413326.3374395806</v>
      </c>
      <c r="DD78" s="67">
        <f>'P&amp;L - Inputs'!DC91</f>
        <v>1324464.6838902554</v>
      </c>
      <c r="DE78" s="67">
        <f>'P&amp;L - Inputs'!DD91</f>
        <v>1292221.1024973567</v>
      </c>
      <c r="DF78" s="67">
        <f>'P&amp;L - Inputs'!DE91</f>
        <v>1243375.5063150888</v>
      </c>
      <c r="DG78" s="67">
        <f>'P&amp;L - Inputs'!DF91</f>
        <v>1450795.6660571375</v>
      </c>
      <c r="DH78" s="67">
        <f>'P&amp;L - Inputs'!DG91</f>
        <v>1503913.6265333018</v>
      </c>
      <c r="DI78" s="67">
        <f>'P&amp;L - Inputs'!DH91</f>
        <v>1418515.6201576246</v>
      </c>
      <c r="DJ78" s="67">
        <f>'P&amp;L - Inputs'!DI91</f>
        <v>1418824.4764187732</v>
      </c>
      <c r="DK78" s="67">
        <f>'P&amp;L - Inputs'!DJ91</f>
        <v>1320341.9483334506</v>
      </c>
      <c r="DL78" s="67">
        <f>'P&amp;L - Inputs'!DK91</f>
        <v>1150360.3952961261</v>
      </c>
      <c r="DM78" s="67">
        <f>'P&amp;L - Inputs'!DL91</f>
        <v>1347057.0300874298</v>
      </c>
      <c r="DN78" s="67">
        <f>'P&amp;L - Inputs'!DM91</f>
        <v>1664957.8086139217</v>
      </c>
      <c r="DO78" s="67">
        <f>'P&amp;L - Inputs'!DN91</f>
        <v>1854990.8178894497</v>
      </c>
      <c r="DP78" s="67">
        <f>'P&amp;L - Inputs'!DO91</f>
        <v>1738359.8976059603</v>
      </c>
      <c r="DQ78" s="67">
        <f>'P&amp;L - Inputs'!DP91</f>
        <v>1696040.1970277806</v>
      </c>
      <c r="DR78" s="69">
        <f>'P&amp;L - Inputs'!DQ91</f>
        <v>1631930.3520385541</v>
      </c>
      <c r="DS78" s="69">
        <f>'P&amp;L - Inputs'!DR91</f>
        <v>1828002.5392319937</v>
      </c>
      <c r="DT78" s="69">
        <f>'P&amp;L - Inputs'!DS91</f>
        <v>1894931.1694319602</v>
      </c>
      <c r="DU78" s="69">
        <f>'P&amp;L - Inputs'!DT91</f>
        <v>1787329.6813986069</v>
      </c>
      <c r="DV78" s="69">
        <f>'P&amp;L - Inputs'!DU91</f>
        <v>1787718.8402876544</v>
      </c>
      <c r="DW78" s="69">
        <f>'P&amp;L - Inputs'!DV91</f>
        <v>1663630.8549001475</v>
      </c>
      <c r="DX78" s="69">
        <f>'P&amp;L - Inputs'!DW91</f>
        <v>1449454.0980731186</v>
      </c>
      <c r="DY78" s="69">
        <f>'P&amp;L - Inputs'!DX91</f>
        <v>1697291.8579101616</v>
      </c>
      <c r="DZ78" s="69">
        <f>'P&amp;L - Inputs'!DY91</f>
        <v>2097846.8388535418</v>
      </c>
      <c r="EA78" s="69">
        <f>'P&amp;L - Inputs'!DZ91</f>
        <v>2337288.4305407065</v>
      </c>
      <c r="EB78" s="69">
        <f>'P&amp;L - Inputs'!EA91</f>
        <v>2190333.4709835099</v>
      </c>
      <c r="EC78" s="69">
        <f>'P&amp;L - Inputs'!EB91</f>
        <v>2137010.6482550036</v>
      </c>
      <c r="ED78" s="69">
        <f>'P&amp;L - Inputs'!EC91</f>
        <v>2056232.2435685783</v>
      </c>
      <c r="EE78" s="39" t="s">
        <v>1</v>
      </c>
      <c r="EF78" s="68"/>
      <c r="EG78" s="629">
        <f>SUM(BK78:BM78)</f>
        <v>2395320</v>
      </c>
      <c r="EH78" s="629">
        <f>SUM(BN78:BP78)</f>
        <v>2086215</v>
      </c>
      <c r="EI78" s="629">
        <f>SUM(BQ78:BS78)</f>
        <v>1819065</v>
      </c>
      <c r="EJ78" s="629">
        <f>SUM(BT78:BV78)</f>
        <v>1483065</v>
      </c>
      <c r="EK78" s="629">
        <f>SUM(BW78:BY78)</f>
        <v>1677120</v>
      </c>
      <c r="EL78" s="629">
        <f t="shared" si="462"/>
        <v>1603425</v>
      </c>
      <c r="EM78" s="629">
        <f t="shared" si="463"/>
        <v>1728315</v>
      </c>
      <c r="EN78" s="629">
        <f t="shared" si="464"/>
        <v>2354955</v>
      </c>
      <c r="EO78" s="629">
        <f t="shared" si="465"/>
        <v>2377290</v>
      </c>
      <c r="EP78" s="629">
        <f t="shared" si="466"/>
        <v>2125815</v>
      </c>
      <c r="EQ78" s="629">
        <f t="shared" si="467"/>
        <v>2655150</v>
      </c>
      <c r="ER78" s="629">
        <f>SUM(CR78:CT78)</f>
        <v>2772119.052474</v>
      </c>
      <c r="ES78" s="629">
        <f t="shared" ref="ES78" si="484">SUM(CU78:CW78)</f>
        <v>3331980.8859032867</v>
      </c>
      <c r="ET78" s="629">
        <f t="shared" ref="ET78" si="485">SUM(CX78:CZ78)</f>
        <v>2963449.0057511237</v>
      </c>
      <c r="EU78" s="629">
        <f t="shared" ref="EU78" si="486">SUM(DA78:DC78)</f>
        <v>3708194.7859739438</v>
      </c>
      <c r="EV78" s="629">
        <f t="shared" ref="EV78" si="487">SUM(DD78:DF78)</f>
        <v>3860061.2927027009</v>
      </c>
      <c r="EW78" s="629">
        <f t="shared" ref="EW78" si="488">SUM(DG78:DI78)</f>
        <v>4373224.9127480639</v>
      </c>
      <c r="EX78" s="629">
        <f t="shared" ref="EX78" si="489">SUM(DJ78:DL78)</f>
        <v>3889526.8200483499</v>
      </c>
      <c r="EY78" s="629">
        <f t="shared" ref="EY78" si="490">SUM(DM78:DO78)</f>
        <v>4867005.6565908007</v>
      </c>
      <c r="EZ78" s="629">
        <f t="shared" ref="EZ78" si="491">SUM(DP78:DR78)</f>
        <v>5066330.4466722952</v>
      </c>
      <c r="FA78" s="629">
        <f t="shared" si="476"/>
        <v>5510263.3900625613</v>
      </c>
      <c r="FB78" s="629">
        <f t="shared" si="481"/>
        <v>4900803.7932609208</v>
      </c>
      <c r="FC78" s="629">
        <f t="shared" si="482"/>
        <v>6132427.1273044106</v>
      </c>
      <c r="FD78" s="629">
        <f t="shared" si="483"/>
        <v>6383576.3628070913</v>
      </c>
      <c r="FG78" s="70">
        <f>SUM(EK78:EN78)</f>
        <v>7363815</v>
      </c>
      <c r="FH78" s="67">
        <f>SUM(EO78:ER78)</f>
        <v>9930374.0524739996</v>
      </c>
      <c r="FI78" s="67">
        <f>SUM(ES78:EV78)</f>
        <v>13863685.970331054</v>
      </c>
      <c r="FJ78" s="69">
        <f>SUM(EW78:EZ78)</f>
        <v>18196087.836059511</v>
      </c>
      <c r="FK78" s="619">
        <f t="shared" si="480"/>
        <v>22927070.673434984</v>
      </c>
    </row>
    <row r="79" spans="2:167" ht="15.75" customHeight="1" x14ac:dyDescent="0.2">
      <c r="B79" s="48" t="s">
        <v>37</v>
      </c>
      <c r="C79" s="75">
        <f t="shared" ref="C79:Z79" si="492">C74/C32</f>
        <v>1.5746962568591413E-2</v>
      </c>
      <c r="D79" s="76">
        <f t="shared" si="492"/>
        <v>1.7995009978309783E-2</v>
      </c>
      <c r="E79" s="76">
        <f t="shared" si="492"/>
        <v>1.8224257914552729E-2</v>
      </c>
      <c r="F79" s="76">
        <f t="shared" si="492"/>
        <v>1.7194473240446585E-2</v>
      </c>
      <c r="G79" s="76">
        <f t="shared" si="492"/>
        <v>1.5993590130107545E-2</v>
      </c>
      <c r="H79" s="76">
        <f t="shared" si="492"/>
        <v>1.6721735333859112E-2</v>
      </c>
      <c r="I79" s="76">
        <f t="shared" si="492"/>
        <v>1.5302007099540781E-2</v>
      </c>
      <c r="J79" s="76">
        <f t="shared" si="492"/>
        <v>1.7824274091713731E-2</v>
      </c>
      <c r="K79" s="76">
        <f t="shared" si="492"/>
        <v>1.681726378647691E-2</v>
      </c>
      <c r="L79" s="76">
        <f t="shared" si="492"/>
        <v>1.2107098690852592E-2</v>
      </c>
      <c r="M79" s="76">
        <f t="shared" si="492"/>
        <v>1.5343226922666365E-2</v>
      </c>
      <c r="N79" s="76">
        <f t="shared" si="492"/>
        <v>2.0378716112937012E-2</v>
      </c>
      <c r="O79" s="76">
        <f t="shared" si="492"/>
        <v>1.6626100821085274E-2</v>
      </c>
      <c r="P79" s="76">
        <f t="shared" si="492"/>
        <v>1.8985076739915334E-2</v>
      </c>
      <c r="Q79" s="76">
        <f t="shared" si="492"/>
        <v>1.8369642029360658E-2</v>
      </c>
      <c r="R79" s="76">
        <f t="shared" si="492"/>
        <v>1.8124570854190697E-2</v>
      </c>
      <c r="S79" s="76">
        <f t="shared" si="492"/>
        <v>2.0526926837850377E-2</v>
      </c>
      <c r="T79" s="76">
        <f t="shared" si="492"/>
        <v>2.2021194452208636E-2</v>
      </c>
      <c r="U79" s="76">
        <f t="shared" si="492"/>
        <v>2.6415319647770497E-2</v>
      </c>
      <c r="V79" s="76">
        <f t="shared" si="492"/>
        <v>2.4638651502692812E-2</v>
      </c>
      <c r="W79" s="76">
        <f t="shared" si="492"/>
        <v>2.1610328915831093E-2</v>
      </c>
      <c r="X79" s="76">
        <f t="shared" si="492"/>
        <v>2.2208702430773195E-2</v>
      </c>
      <c r="Y79" s="76">
        <f t="shared" si="492"/>
        <v>2.0667415050149188E-2</v>
      </c>
      <c r="Z79" s="76">
        <f t="shared" si="492"/>
        <v>3.2634584069829865E-2</v>
      </c>
      <c r="AA79" s="76">
        <f t="shared" ref="AA79:ER79" si="493">IFERROR(AA74/AA32,0)</f>
        <v>-90.091368164408223</v>
      </c>
      <c r="AB79" s="76">
        <f t="shared" si="493"/>
        <v>3.9701664379544539E-2</v>
      </c>
      <c r="AC79" s="79">
        <f t="shared" si="493"/>
        <v>3.9495308752434038E-2</v>
      </c>
      <c r="AD79" s="76">
        <f t="shared" si="493"/>
        <v>4.6742483875395563E-2</v>
      </c>
      <c r="AE79" s="76">
        <f t="shared" si="493"/>
        <v>3.303969789891454E-2</v>
      </c>
      <c r="AF79" s="76">
        <f t="shared" si="493"/>
        <v>2.7967003243947904E-2</v>
      </c>
      <c r="AG79" s="76">
        <f t="shared" si="493"/>
        <v>3.7647296409031833E-2</v>
      </c>
      <c r="AH79" s="76">
        <f t="shared" si="493"/>
        <v>2.91139932601873E-2</v>
      </c>
      <c r="AI79" s="76">
        <f t="shared" si="493"/>
        <v>1.7438057693654259E-2</v>
      </c>
      <c r="AJ79" s="76">
        <f t="shared" si="493"/>
        <v>2.4383483981712816E-2</v>
      </c>
      <c r="AK79" s="79">
        <f t="shared" si="493"/>
        <v>2.0337516276227135E-2</v>
      </c>
      <c r="AL79" s="76">
        <f t="shared" si="493"/>
        <v>2.2454184412739098E-2</v>
      </c>
      <c r="AM79" s="76">
        <f t="shared" si="493"/>
        <v>3.3258276213388352E-2</v>
      </c>
      <c r="AN79" s="76">
        <f t="shared" si="493"/>
        <v>6.4532915142088018E-2</v>
      </c>
      <c r="AO79" s="76">
        <f t="shared" si="493"/>
        <v>3.3680547536104492E-2</v>
      </c>
      <c r="AP79" s="76">
        <f t="shared" si="493"/>
        <v>3.061741889819004E-2</v>
      </c>
      <c r="AQ79" s="76">
        <f t="shared" si="493"/>
        <v>3.5092970702532374E-2</v>
      </c>
      <c r="AR79" s="76">
        <f t="shared" si="493"/>
        <v>4.0006226394207083E-2</v>
      </c>
      <c r="AS79" s="76">
        <f t="shared" si="493"/>
        <v>5.0432019967721967E-2</v>
      </c>
      <c r="AT79" s="76">
        <f t="shared" si="493"/>
        <v>4.2714342110604715E-2</v>
      </c>
      <c r="AU79" s="76">
        <f t="shared" si="493"/>
        <v>3.1084249275154786E-2</v>
      </c>
      <c r="AV79" s="76">
        <f t="shared" si="493"/>
        <v>3.1441644374314119E-2</v>
      </c>
      <c r="AW79" s="76">
        <f t="shared" si="493"/>
        <v>3.5121383483694937E-2</v>
      </c>
      <c r="AX79" s="76">
        <f t="shared" si="493"/>
        <v>3.9930554713889906E-2</v>
      </c>
      <c r="AY79" s="76">
        <f t="shared" si="493"/>
        <v>3.795136867376623E-2</v>
      </c>
      <c r="AZ79" s="76">
        <f t="shared" si="493"/>
        <v>3.5471170854035131E-2</v>
      </c>
      <c r="BA79" s="76">
        <f t="shared" si="493"/>
        <v>4.7707735968533505E-2</v>
      </c>
      <c r="BB79" s="76">
        <f t="shared" si="493"/>
        <v>4.7432991856100809E-2</v>
      </c>
      <c r="BC79" s="76">
        <f t="shared" si="493"/>
        <v>4.8752661111851059E-2</v>
      </c>
      <c r="BD79" s="76">
        <f t="shared" si="493"/>
        <v>4.5984066481131444E-2</v>
      </c>
      <c r="BE79" s="76">
        <f t="shared" si="493"/>
        <v>3.7549806399619655E-2</v>
      </c>
      <c r="BF79" s="76">
        <f t="shared" si="493"/>
        <v>3.7713206122082864E-2</v>
      </c>
      <c r="BG79" s="76">
        <f t="shared" si="493"/>
        <v>3.150158682172087E-2</v>
      </c>
      <c r="BH79" s="76">
        <f t="shared" si="493"/>
        <v>3.4444473214722965E-2</v>
      </c>
      <c r="BI79" s="76">
        <f t="shared" si="493"/>
        <v>3.9569661145158953E-2</v>
      </c>
      <c r="BJ79" s="75">
        <f t="shared" si="493"/>
        <v>3.3674253414620575E-2</v>
      </c>
      <c r="BK79" s="76">
        <f t="shared" si="493"/>
        <v>3.1200156259301347E-2</v>
      </c>
      <c r="BL79" s="76">
        <f t="shared" si="493"/>
        <v>2.9382642702655358E-2</v>
      </c>
      <c r="BM79" s="76">
        <f t="shared" si="493"/>
        <v>3.5401264812379998E-2</v>
      </c>
      <c r="BN79" s="76">
        <f t="shared" si="493"/>
        <v>3.3825574341067685E-2</v>
      </c>
      <c r="BO79" s="76">
        <f t="shared" si="493"/>
        <v>3.4491524488319845E-2</v>
      </c>
      <c r="BP79" s="76">
        <f t="shared" si="493"/>
        <v>3.6655562668211294E-2</v>
      </c>
      <c r="BQ79" s="76">
        <f t="shared" si="493"/>
        <v>3.3737573817406448E-2</v>
      </c>
      <c r="BR79" s="76">
        <f t="shared" si="493"/>
        <v>2.9207641486198824E-2</v>
      </c>
      <c r="BS79" s="76">
        <f t="shared" si="493"/>
        <v>3.082339706687591E-2</v>
      </c>
      <c r="BT79" s="76">
        <f t="shared" si="493"/>
        <v>3.1140743013578585E-2</v>
      </c>
      <c r="BU79" s="76">
        <f t="shared" si="493"/>
        <v>2.8780665711882446E-2</v>
      </c>
      <c r="BV79" s="76">
        <f t="shared" si="493"/>
        <v>2.6526557808830065E-2</v>
      </c>
      <c r="BW79" s="76">
        <f t="shared" si="493"/>
        <v>2.3137781308979637E-2</v>
      </c>
      <c r="BX79" s="76">
        <f t="shared" si="493"/>
        <v>2.3692431512819918E-2</v>
      </c>
      <c r="BY79" s="76">
        <f t="shared" si="493"/>
        <v>2.4443012662906011E-2</v>
      </c>
      <c r="BZ79" s="76">
        <f t="shared" si="493"/>
        <v>2.7938108359222304E-2</v>
      </c>
      <c r="CA79" s="76">
        <f t="shared" si="493"/>
        <v>2.590973244158724E-2</v>
      </c>
      <c r="CB79" s="76">
        <f t="shared" si="493"/>
        <v>3.0163835687139883E-2</v>
      </c>
      <c r="CC79" s="76">
        <f t="shared" si="493"/>
        <v>2.5865049013021293E-2</v>
      </c>
      <c r="CD79" s="76">
        <f t="shared" si="493"/>
        <v>2.7511372995121106E-2</v>
      </c>
      <c r="CE79" s="76">
        <f t="shared" si="493"/>
        <v>2.5481809821049861E-2</v>
      </c>
      <c r="CF79" s="76">
        <f t="shared" si="493"/>
        <v>2.4112585202999973E-2</v>
      </c>
      <c r="CG79" s="76">
        <f t="shared" si="493"/>
        <v>2.1481455179689093E-2</v>
      </c>
      <c r="CH79" s="76">
        <f t="shared" si="493"/>
        <v>1.6192051610726399E-2</v>
      </c>
      <c r="CI79" s="76">
        <f t="shared" si="493"/>
        <v>1.9163773791826644E-2</v>
      </c>
      <c r="CJ79" s="76">
        <f t="shared" si="493"/>
        <v>1.8430934557309937E-2</v>
      </c>
      <c r="CK79" s="76">
        <f t="shared" si="493"/>
        <v>2.0511100751109148E-2</v>
      </c>
      <c r="CL79" s="76">
        <f t="shared" si="493"/>
        <v>2.2694762595099387E-2</v>
      </c>
      <c r="CM79" s="76">
        <f t="shared" si="493"/>
        <v>2.4210425358579559E-2</v>
      </c>
      <c r="CN79" s="76">
        <f t="shared" si="493"/>
        <v>2.7403251044884402E-2</v>
      </c>
      <c r="CO79" s="76">
        <f t="shared" si="493"/>
        <v>2.2989994096478068E-2</v>
      </c>
      <c r="CP79" s="76">
        <f t="shared" si="493"/>
        <v>2.2652496021644812E-2</v>
      </c>
      <c r="CQ79" s="76">
        <f t="shared" si="493"/>
        <v>1.8122254233327285E-2</v>
      </c>
      <c r="CR79" s="76">
        <f t="shared" si="493"/>
        <v>1.632348556737348E-2</v>
      </c>
      <c r="CS79" s="76">
        <f t="shared" si="493"/>
        <v>1.7460171762033298E-2</v>
      </c>
      <c r="CT79" s="75">
        <f t="shared" ref="CT79:DR79" si="494">CT74/CT32</f>
        <v>1.9816995127075063E-2</v>
      </c>
      <c r="CU79" s="75">
        <f t="shared" si="494"/>
        <v>1.808231431826493E-2</v>
      </c>
      <c r="CV79" s="75">
        <f t="shared" si="494"/>
        <v>1.761053893044973E-2</v>
      </c>
      <c r="CW79" s="75">
        <f t="shared" si="494"/>
        <v>1.8463450979419399E-2</v>
      </c>
      <c r="CX79" s="75">
        <f t="shared" si="494"/>
        <v>1.8448689452671238E-2</v>
      </c>
      <c r="CY79" s="75">
        <f t="shared" si="494"/>
        <v>1.9491559416404774E-2</v>
      </c>
      <c r="CZ79" s="75">
        <f t="shared" si="494"/>
        <v>2.1658866833859231E-2</v>
      </c>
      <c r="DA79" s="75">
        <f t="shared" si="494"/>
        <v>1.9198825871566429E-2</v>
      </c>
      <c r="DB79" s="75">
        <f t="shared" si="494"/>
        <v>1.6397836693248288E-2</v>
      </c>
      <c r="DC79" s="75">
        <f t="shared" si="494"/>
        <v>1.5195869882486796E-2</v>
      </c>
      <c r="DD79" s="75">
        <f t="shared" si="494"/>
        <v>1.5923543297654129E-2</v>
      </c>
      <c r="DE79" s="75">
        <f t="shared" si="494"/>
        <v>1.6211225132952992E-2</v>
      </c>
      <c r="DF79" s="75">
        <f t="shared" si="494"/>
        <v>1.6675196163299814E-2</v>
      </c>
      <c r="DG79" s="75">
        <f t="shared" si="494"/>
        <v>1.6170425324617321E-2</v>
      </c>
      <c r="DH79" s="75">
        <f t="shared" si="494"/>
        <v>1.5774236948448143E-2</v>
      </c>
      <c r="DI79" s="75">
        <f t="shared" si="494"/>
        <v>1.6494635262311128E-2</v>
      </c>
      <c r="DJ79" s="75">
        <f t="shared" si="494"/>
        <v>1.6481607685565832E-2</v>
      </c>
      <c r="DK79" s="75">
        <f t="shared" si="494"/>
        <v>1.7358455765406108E-2</v>
      </c>
      <c r="DL79" s="75">
        <f t="shared" si="494"/>
        <v>1.9178113302252241E-2</v>
      </c>
      <c r="DM79" s="75">
        <f t="shared" si="494"/>
        <v>1.7112598228029928E-2</v>
      </c>
      <c r="DN79" s="75">
        <f t="shared" si="494"/>
        <v>1.4757886581115265E-2</v>
      </c>
      <c r="DO79" s="75">
        <f t="shared" si="494"/>
        <v>1.3748106072192259E-2</v>
      </c>
      <c r="DP79" s="75">
        <f t="shared" si="494"/>
        <v>1.4360736383254098E-2</v>
      </c>
      <c r="DQ79" s="75">
        <f t="shared" si="494"/>
        <v>1.4602838263329919E-2</v>
      </c>
      <c r="DR79" s="106">
        <f t="shared" si="494"/>
        <v>1.499325154148567E-2</v>
      </c>
      <c r="DS79" s="106">
        <f t="shared" ref="DS79:ED79" si="495">DS74/DS32</f>
        <v>1.5007743294155588E-2</v>
      </c>
      <c r="DT79" s="106">
        <f t="shared" si="495"/>
        <v>1.4661168545903705E-2</v>
      </c>
      <c r="DU79" s="106">
        <f t="shared" si="495"/>
        <v>1.529497523917122E-2</v>
      </c>
      <c r="DV79" s="106">
        <f t="shared" si="495"/>
        <v>1.5283026702026839E-2</v>
      </c>
      <c r="DW79" s="106">
        <f t="shared" si="495"/>
        <v>1.6051001418403182E-2</v>
      </c>
      <c r="DX79" s="106">
        <f t="shared" si="495"/>
        <v>1.7642431156054881E-2</v>
      </c>
      <c r="DY79" s="106">
        <f t="shared" si="495"/>
        <v>1.5835909883451037E-2</v>
      </c>
      <c r="DZ79" s="106">
        <f t="shared" si="495"/>
        <v>1.3773891547414218E-2</v>
      </c>
      <c r="EA79" s="106">
        <f t="shared" si="495"/>
        <v>1.289022126270865E-2</v>
      </c>
      <c r="EB79" s="106">
        <f t="shared" si="495"/>
        <v>1.3427484346918882E-2</v>
      </c>
      <c r="EC79" s="106">
        <f t="shared" si="495"/>
        <v>1.3639716488106909E-2</v>
      </c>
      <c r="ED79" s="106">
        <f t="shared" si="495"/>
        <v>1.3981921017574565E-2</v>
      </c>
      <c r="EE79" s="39" t="s">
        <v>1</v>
      </c>
      <c r="EF79" s="79"/>
      <c r="EG79" s="627">
        <f t="shared" si="493"/>
        <v>3.169744357659942E-2</v>
      </c>
      <c r="EH79" s="627">
        <f t="shared" si="493"/>
        <v>3.4996067586919845E-2</v>
      </c>
      <c r="EI79" s="627">
        <f t="shared" si="493"/>
        <v>3.1100020765060236E-2</v>
      </c>
      <c r="EJ79" s="627">
        <f t="shared" si="493"/>
        <v>2.8755191090031777E-2</v>
      </c>
      <c r="EK79" s="627">
        <f t="shared" si="493"/>
        <v>2.3754088086771988E-2</v>
      </c>
      <c r="EL79" s="627">
        <f t="shared" si="493"/>
        <v>2.7913358079074514E-2</v>
      </c>
      <c r="EM79" s="627">
        <f t="shared" si="493"/>
        <v>2.6253115366955768E-2</v>
      </c>
      <c r="EN79" s="627">
        <f t="shared" si="493"/>
        <v>2.0093534407868732E-2</v>
      </c>
      <c r="EO79" s="627">
        <f t="shared" si="493"/>
        <v>1.9360468176598821E-2</v>
      </c>
      <c r="EP79" s="627">
        <f t="shared" si="493"/>
        <v>2.4520935218040951E-2</v>
      </c>
      <c r="EQ79" s="627">
        <f t="shared" si="493"/>
        <v>2.0939500232839053E-2</v>
      </c>
      <c r="ER79" s="627">
        <f t="shared" si="493"/>
        <v>1.7799035152862401E-2</v>
      </c>
      <c r="ES79" s="627"/>
      <c r="ET79" s="627"/>
      <c r="EU79" s="627"/>
      <c r="EV79" s="627"/>
      <c r="EW79" s="627"/>
      <c r="EX79" s="627"/>
      <c r="EY79" s="627"/>
      <c r="EZ79" s="627"/>
      <c r="FA79" s="627"/>
      <c r="FB79" s="627"/>
      <c r="FC79" s="627"/>
      <c r="FD79" s="627"/>
      <c r="FG79" s="80"/>
      <c r="FH79" s="76"/>
      <c r="FI79" s="76"/>
      <c r="FJ79" s="78"/>
      <c r="FK79" s="106"/>
    </row>
    <row r="80" spans="2:167" ht="15.75" customHeight="1" x14ac:dyDescent="0.2">
      <c r="B80" s="57"/>
      <c r="C80" s="71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64"/>
      <c r="AD80" s="72"/>
      <c r="AE80" s="72"/>
      <c r="AF80" s="72"/>
      <c r="AG80" s="72"/>
      <c r="AH80" s="72"/>
      <c r="AI80" s="72"/>
      <c r="AJ80" s="72"/>
      <c r="AK80" s="64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1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  <c r="CI80" s="72"/>
      <c r="CJ80" s="72"/>
      <c r="CK80" s="72"/>
      <c r="CL80" s="72"/>
      <c r="CM80" s="72"/>
      <c r="CN80" s="72"/>
      <c r="CO80" s="72"/>
      <c r="CP80" s="72"/>
      <c r="CQ80" s="72"/>
      <c r="CR80" s="72"/>
      <c r="CS80" s="72"/>
      <c r="CT80" s="72"/>
      <c r="CU80" s="72"/>
      <c r="CV80" s="72"/>
      <c r="CW80" s="72"/>
      <c r="CX80" s="72"/>
      <c r="CY80" s="72"/>
      <c r="CZ80" s="72"/>
      <c r="DA80" s="72"/>
      <c r="DB80" s="72"/>
      <c r="DC80" s="72"/>
      <c r="DD80" s="72"/>
      <c r="DE80" s="72"/>
      <c r="DF80" s="72"/>
      <c r="DG80" s="72"/>
      <c r="DH80" s="72"/>
      <c r="DI80" s="72"/>
      <c r="DJ80" s="72"/>
      <c r="DK80" s="72"/>
      <c r="DL80" s="72"/>
      <c r="DM80" s="72"/>
      <c r="DN80" s="72"/>
      <c r="DO80" s="72"/>
      <c r="DP80" s="72"/>
      <c r="DQ80" s="72"/>
      <c r="DR80" s="73"/>
      <c r="DS80" s="73"/>
      <c r="DT80" s="73"/>
      <c r="DU80" s="73"/>
      <c r="DV80" s="73"/>
      <c r="DW80" s="73"/>
      <c r="DX80" s="73"/>
      <c r="DY80" s="73"/>
      <c r="DZ80" s="73"/>
      <c r="EA80" s="73"/>
      <c r="EB80" s="73"/>
      <c r="EC80" s="73"/>
      <c r="ED80" s="73"/>
      <c r="EE80" s="39" t="s">
        <v>1</v>
      </c>
      <c r="EF80" s="64"/>
      <c r="EG80" s="632"/>
      <c r="EH80" s="632"/>
      <c r="EI80" s="632"/>
      <c r="EJ80" s="632"/>
      <c r="EK80" s="632"/>
      <c r="EL80" s="632"/>
      <c r="EM80" s="632"/>
      <c r="EN80" s="632"/>
      <c r="EO80" s="632"/>
      <c r="EP80" s="632"/>
      <c r="EQ80" s="632"/>
      <c r="ER80" s="632"/>
      <c r="ES80" s="632"/>
      <c r="ET80" s="632"/>
      <c r="EU80" s="632"/>
      <c r="EV80" s="632"/>
      <c r="EW80" s="632"/>
      <c r="EX80" s="632"/>
      <c r="EY80" s="632"/>
      <c r="EZ80" s="632"/>
      <c r="FA80" s="632"/>
      <c r="FB80" s="632"/>
      <c r="FC80" s="632"/>
      <c r="FD80" s="632"/>
      <c r="FG80" s="74"/>
      <c r="FH80" s="72"/>
      <c r="FI80" s="72"/>
      <c r="FJ80" s="73"/>
      <c r="FK80" s="626"/>
    </row>
    <row r="81" spans="2:167" ht="15.75" customHeight="1" x14ac:dyDescent="0.2">
      <c r="B81" s="56" t="s">
        <v>38</v>
      </c>
      <c r="C81" s="61">
        <f t="shared" ref="C81:ES81" si="496">C66-C74</f>
        <v>2403303</v>
      </c>
      <c r="D81" s="62">
        <f t="shared" si="496"/>
        <v>1584554.9928571433</v>
      </c>
      <c r="E81" s="62">
        <f t="shared" si="496"/>
        <v>1213920.9636392146</v>
      </c>
      <c r="F81" s="62">
        <f t="shared" si="496"/>
        <v>3622359.3737604618</v>
      </c>
      <c r="G81" s="62">
        <f t="shared" si="496"/>
        <v>530109.25414809585</v>
      </c>
      <c r="H81" s="62">
        <f t="shared" si="496"/>
        <v>4894207.6392175853</v>
      </c>
      <c r="I81" s="62">
        <f t="shared" si="496"/>
        <v>-8733112.6347661912</v>
      </c>
      <c r="J81" s="62">
        <f t="shared" si="496"/>
        <v>3161641.1490530074</v>
      </c>
      <c r="K81" s="62">
        <f t="shared" si="496"/>
        <v>-2262825.0489600003</v>
      </c>
      <c r="L81" s="62">
        <f t="shared" si="496"/>
        <v>-8920015.0965713561</v>
      </c>
      <c r="M81" s="62">
        <f t="shared" si="496"/>
        <v>-2417379.1755940318</v>
      </c>
      <c r="N81" s="62">
        <f t="shared" si="496"/>
        <v>-1350957.2800000012</v>
      </c>
      <c r="O81" s="62">
        <f t="shared" si="496"/>
        <v>-401665.85729414225</v>
      </c>
      <c r="P81" s="62">
        <f t="shared" si="496"/>
        <v>-3017422.7106948495</v>
      </c>
      <c r="Q81" s="62">
        <f t="shared" si="496"/>
        <v>-427285.10477972031</v>
      </c>
      <c r="R81" s="62">
        <f t="shared" si="496"/>
        <v>6066638.598752737</v>
      </c>
      <c r="S81" s="62">
        <f t="shared" si="496"/>
        <v>3942731.6034167409</v>
      </c>
      <c r="T81" s="62">
        <f t="shared" si="496"/>
        <v>-1210193.9260963202</v>
      </c>
      <c r="U81" s="62">
        <f t="shared" si="496"/>
        <v>-4890000.3478300571</v>
      </c>
      <c r="V81" s="62">
        <f t="shared" si="496"/>
        <v>372804.14104229212</v>
      </c>
      <c r="W81" s="62">
        <f t="shared" si="496"/>
        <v>2259561.71614182</v>
      </c>
      <c r="X81" s="62">
        <f t="shared" si="496"/>
        <v>5719835.4046625495</v>
      </c>
      <c r="Y81" s="62">
        <f t="shared" si="496"/>
        <v>13831831.741966784</v>
      </c>
      <c r="Z81" s="62">
        <f t="shared" si="496"/>
        <v>2586741.8169886665</v>
      </c>
      <c r="AA81" s="62">
        <f t="shared" si="496"/>
        <v>-9152151.7856129874</v>
      </c>
      <c r="AB81" s="62">
        <f t="shared" si="496"/>
        <v>4035710.0396437347</v>
      </c>
      <c r="AC81" s="614">
        <f t="shared" si="496"/>
        <v>-1721053.8256969452</v>
      </c>
      <c r="AD81" s="62">
        <f t="shared" si="496"/>
        <v>-2327749.7697910815</v>
      </c>
      <c r="AE81" s="62">
        <f t="shared" si="496"/>
        <v>1654366.9740197062</v>
      </c>
      <c r="AF81" s="62">
        <f t="shared" si="496"/>
        <v>3564389.495228231</v>
      </c>
      <c r="AG81" s="62">
        <f t="shared" si="496"/>
        <v>-1880909.0119119585</v>
      </c>
      <c r="AH81" s="62">
        <f t="shared" si="496"/>
        <v>6631960.4682030976</v>
      </c>
      <c r="AI81" s="62">
        <f t="shared" si="496"/>
        <v>6742547.937928319</v>
      </c>
      <c r="AJ81" s="62">
        <f t="shared" si="496"/>
        <v>305160.71610337496</v>
      </c>
      <c r="AK81" s="614">
        <f t="shared" si="496"/>
        <v>5598828.7165859342</v>
      </c>
      <c r="AL81" s="62">
        <f t="shared" si="496"/>
        <v>6116730.8534246087</v>
      </c>
      <c r="AM81" s="62">
        <f t="shared" si="496"/>
        <v>-3270709.877436012</v>
      </c>
      <c r="AN81" s="62">
        <f t="shared" si="496"/>
        <v>-4845026.0772833675</v>
      </c>
      <c r="AO81" s="62">
        <f t="shared" si="496"/>
        <v>3781239.8099824926</v>
      </c>
      <c r="AP81" s="62">
        <f t="shared" si="496"/>
        <v>1806664.2599999625</v>
      </c>
      <c r="AQ81" s="62">
        <f t="shared" si="496"/>
        <v>822775.82982369885</v>
      </c>
      <c r="AR81" s="62">
        <f t="shared" si="496"/>
        <v>-2556360.8078179657</v>
      </c>
      <c r="AS81" s="62">
        <f t="shared" si="496"/>
        <v>-3568555.8985847831</v>
      </c>
      <c r="AT81" s="62">
        <f t="shared" si="496"/>
        <v>-3962379</v>
      </c>
      <c r="AU81" s="62">
        <f t="shared" si="496"/>
        <v>-1677153.4090515338</v>
      </c>
      <c r="AV81" s="62">
        <f t="shared" si="496"/>
        <v>-13216386.117948659</v>
      </c>
      <c r="AW81" s="62">
        <f t="shared" si="496"/>
        <v>-21070124.749999978</v>
      </c>
      <c r="AX81" s="62">
        <f t="shared" si="496"/>
        <v>-17209072.525428891</v>
      </c>
      <c r="AY81" s="62">
        <f t="shared" si="496"/>
        <v>-19656350.306126252</v>
      </c>
      <c r="AZ81" s="62">
        <f t="shared" si="496"/>
        <v>-26822405.349019062</v>
      </c>
      <c r="BA81" s="62">
        <f t="shared" si="496"/>
        <v>-18523730.073190637</v>
      </c>
      <c r="BB81" s="62">
        <f t="shared" si="496"/>
        <v>-3976102.9493033197</v>
      </c>
      <c r="BC81" s="62">
        <f t="shared" si="496"/>
        <v>-16653040.383686926</v>
      </c>
      <c r="BD81" s="62">
        <f t="shared" si="496"/>
        <v>-35065572.828873158</v>
      </c>
      <c r="BE81" s="62">
        <f t="shared" si="496"/>
        <v>-27083800.852703001</v>
      </c>
      <c r="BF81" s="62">
        <f t="shared" si="496"/>
        <v>-20887710.795988087</v>
      </c>
      <c r="BG81" s="62">
        <f t="shared" si="496"/>
        <v>-9152880.255447533</v>
      </c>
      <c r="BH81" s="62">
        <f t="shared" si="496"/>
        <v>-14511487.629682899</v>
      </c>
      <c r="BI81" s="62">
        <f t="shared" si="496"/>
        <v>-16959544.013586119</v>
      </c>
      <c r="BJ81" s="61">
        <f t="shared" si="496"/>
        <v>-5789371.5147169009</v>
      </c>
      <c r="BK81" s="62">
        <f t="shared" si="496"/>
        <v>3663689.4973151423</v>
      </c>
      <c r="BL81" s="62">
        <f t="shared" si="496"/>
        <v>1642548.5047445409</v>
      </c>
      <c r="BM81" s="62">
        <f t="shared" si="496"/>
        <v>3717183.2650663536</v>
      </c>
      <c r="BN81" s="62">
        <f t="shared" si="496"/>
        <v>9929743.6521016881</v>
      </c>
      <c r="BO81" s="62">
        <f t="shared" si="496"/>
        <v>7330951.9021726269</v>
      </c>
      <c r="BP81" s="62">
        <f t="shared" si="496"/>
        <v>846438.1761944294</v>
      </c>
      <c r="BQ81" s="62">
        <f t="shared" si="496"/>
        <v>6056820.632576447</v>
      </c>
      <c r="BR81" s="62">
        <f t="shared" si="496"/>
        <v>6292418.9091243893</v>
      </c>
      <c r="BS81" s="62">
        <f t="shared" si="496"/>
        <v>-5898624.0392251499</v>
      </c>
      <c r="BT81" s="62">
        <f t="shared" si="496"/>
        <v>-19428704.113042098</v>
      </c>
      <c r="BU81" s="62">
        <f t="shared" si="496"/>
        <v>3917317.6017254498</v>
      </c>
      <c r="BV81" s="62">
        <f t="shared" si="496"/>
        <v>8254530.5769756725</v>
      </c>
      <c r="BW81" s="62">
        <f t="shared" si="496"/>
        <v>16335663.627058245</v>
      </c>
      <c r="BX81" s="62">
        <f t="shared" si="496"/>
        <v>19043735.479974944</v>
      </c>
      <c r="BY81" s="62">
        <f t="shared" si="496"/>
        <v>16612749.324265849</v>
      </c>
      <c r="BZ81" s="62">
        <f t="shared" si="496"/>
        <v>5010332.3245956916</v>
      </c>
      <c r="CA81" s="62">
        <f t="shared" si="496"/>
        <v>8883197.0301659536</v>
      </c>
      <c r="CB81" s="62">
        <f t="shared" si="496"/>
        <v>5712685.4178180303</v>
      </c>
      <c r="CC81" s="62">
        <f t="shared" si="496"/>
        <v>11092411.363403782</v>
      </c>
      <c r="CD81" s="62">
        <f t="shared" si="496"/>
        <v>12059749.622256879</v>
      </c>
      <c r="CE81" s="62">
        <f t="shared" si="496"/>
        <v>11450724.694024218</v>
      </c>
      <c r="CF81" s="62">
        <f t="shared" si="496"/>
        <v>12950019.856752429</v>
      </c>
      <c r="CG81" s="62">
        <f t="shared" si="496"/>
        <v>22095719.51879102</v>
      </c>
      <c r="CH81" s="62">
        <f t="shared" si="496"/>
        <v>15114580.060086451</v>
      </c>
      <c r="CI81" s="62">
        <f t="shared" si="496"/>
        <v>24702843.791445892</v>
      </c>
      <c r="CJ81" s="62">
        <f t="shared" si="496"/>
        <v>23560596.666760784</v>
      </c>
      <c r="CK81" s="62">
        <f t="shared" si="496"/>
        <v>22675482.049250726</v>
      </c>
      <c r="CL81" s="62">
        <f t="shared" si="496"/>
        <v>21275383.05941578</v>
      </c>
      <c r="CM81" s="62">
        <f t="shared" si="496"/>
        <v>21297279.391987488</v>
      </c>
      <c r="CN81" s="62">
        <f t="shared" si="496"/>
        <v>12079928.855405623</v>
      </c>
      <c r="CO81" s="62">
        <f t="shared" si="496"/>
        <v>24683811.562011279</v>
      </c>
      <c r="CP81" s="62">
        <f t="shared" si="496"/>
        <v>23680304.814392127</v>
      </c>
      <c r="CQ81" s="62">
        <f t="shared" si="496"/>
        <v>13925884.161524026</v>
      </c>
      <c r="CR81" s="62">
        <f t="shared" si="496"/>
        <v>23478141.358394589</v>
      </c>
      <c r="CS81" s="62">
        <f t="shared" si="496"/>
        <v>34867069.91878207</v>
      </c>
      <c r="CT81" s="62">
        <f t="shared" si="496"/>
        <v>38645892.438017502</v>
      </c>
      <c r="CU81" s="62">
        <f t="shared" si="496"/>
        <v>29253380.682734936</v>
      </c>
      <c r="CV81" s="62">
        <f t="shared" si="496"/>
        <v>30616758.192701079</v>
      </c>
      <c r="CW81" s="62">
        <f t="shared" si="496"/>
        <v>28260510.328585979</v>
      </c>
      <c r="CX81" s="62">
        <f t="shared" si="496"/>
        <v>28293381.204334076</v>
      </c>
      <c r="CY81" s="62">
        <f t="shared" si="496"/>
        <v>25736065.053999908</v>
      </c>
      <c r="CZ81" s="62">
        <f t="shared" si="496"/>
        <v>21407913.384049997</v>
      </c>
      <c r="DA81" s="62">
        <f t="shared" si="496"/>
        <v>26419300.078246206</v>
      </c>
      <c r="DB81" s="62">
        <f t="shared" si="496"/>
        <v>34654337.053122386</v>
      </c>
      <c r="DC81" s="62">
        <f t="shared" si="496"/>
        <v>39541270.554815233</v>
      </c>
      <c r="DD81" s="62">
        <f t="shared" si="496"/>
        <v>36478123.884420425</v>
      </c>
      <c r="DE81" s="62">
        <f t="shared" si="496"/>
        <v>35371471.745749712</v>
      </c>
      <c r="DF81" s="62">
        <f t="shared" si="496"/>
        <v>33697201.728745103</v>
      </c>
      <c r="DG81" s="62">
        <f t="shared" si="496"/>
        <v>44652505.395951502</v>
      </c>
      <c r="DH81" s="62">
        <f t="shared" si="496"/>
        <v>46592710.928561889</v>
      </c>
      <c r="DI81" s="62">
        <f t="shared" si="496"/>
        <v>43240844.992224559</v>
      </c>
      <c r="DJ81" s="62">
        <f t="shared" si="496"/>
        <v>43287428.692425288</v>
      </c>
      <c r="DK81" s="62">
        <f t="shared" si="496"/>
        <v>39648374.445216477</v>
      </c>
      <c r="DL81" s="62">
        <f t="shared" si="496"/>
        <v>33488764.816457625</v>
      </c>
      <c r="DM81" s="62">
        <f t="shared" si="496"/>
        <v>40620696.866611376</v>
      </c>
      <c r="DN81" s="62">
        <f t="shared" si="496"/>
        <v>52339286.89142099</v>
      </c>
      <c r="DO81" s="62">
        <f t="shared" si="496"/>
        <v>59293748.051310778</v>
      </c>
      <c r="DP81" s="62">
        <f t="shared" si="496"/>
        <v>54935164.622831315</v>
      </c>
      <c r="DQ81" s="62">
        <f t="shared" si="496"/>
        <v>53360461.041458249</v>
      </c>
      <c r="DR81" s="63">
        <f t="shared" si="496"/>
        <v>50978052.473453477</v>
      </c>
      <c r="DS81" s="63">
        <f t="shared" ref="DS81:ED81" si="497">DS66-DS74</f>
        <v>62527115.2437554</v>
      </c>
      <c r="DT81" s="63">
        <f t="shared" si="497"/>
        <v>65135245.209759109</v>
      </c>
      <c r="DU81" s="63">
        <f t="shared" si="497"/>
        <v>60630765.406371579</v>
      </c>
      <c r="DV81" s="63">
        <f t="shared" si="497"/>
        <v>60693191.326790012</v>
      </c>
      <c r="DW81" s="63">
        <f t="shared" si="497"/>
        <v>55801606.845301308</v>
      </c>
      <c r="DX81" s="63">
        <f t="shared" si="497"/>
        <v>47521253.096854299</v>
      </c>
      <c r="DY81" s="63">
        <f t="shared" si="497"/>
        <v>57108674.787558451</v>
      </c>
      <c r="DZ81" s="63">
        <f t="shared" si="497"/>
        <v>72860853.465819687</v>
      </c>
      <c r="EA81" s="63">
        <f t="shared" si="497"/>
        <v>82209346.026049212</v>
      </c>
      <c r="EB81" s="63">
        <f t="shared" si="497"/>
        <v>76350843.138056576</v>
      </c>
      <c r="EC81" s="63">
        <f t="shared" si="497"/>
        <v>74234200.076658562</v>
      </c>
      <c r="ED81" s="63">
        <f t="shared" si="497"/>
        <v>71031860.909555539</v>
      </c>
      <c r="EE81" s="39" t="s">
        <v>1</v>
      </c>
      <c r="EF81" s="64"/>
      <c r="EG81" s="625">
        <f t="shared" si="496"/>
        <v>9023421.2671260983</v>
      </c>
      <c r="EH81" s="625">
        <f t="shared" si="496"/>
        <v>18107133.730468832</v>
      </c>
      <c r="EI81" s="625">
        <f t="shared" si="496"/>
        <v>6450615.5024758652</v>
      </c>
      <c r="EJ81" s="625">
        <f t="shared" si="496"/>
        <v>-7256855.9343410358</v>
      </c>
      <c r="EK81" s="625">
        <f t="shared" si="496"/>
        <v>51992148.431299157</v>
      </c>
      <c r="EL81" s="625">
        <f t="shared" si="496"/>
        <v>19606214.772579528</v>
      </c>
      <c r="EM81" s="625">
        <f t="shared" si="496"/>
        <v>34602885.679684877</v>
      </c>
      <c r="EN81" s="625">
        <f t="shared" si="496"/>
        <v>50160319.435629785</v>
      </c>
      <c r="EO81" s="625">
        <f t="shared" si="496"/>
        <v>70938922.507457584</v>
      </c>
      <c r="EP81" s="625">
        <f t="shared" si="496"/>
        <v>54652591.306808949</v>
      </c>
      <c r="EQ81" s="625">
        <f t="shared" si="496"/>
        <v>62290000.537927546</v>
      </c>
      <c r="ER81" s="625">
        <f t="shared" si="496"/>
        <v>96991103.715193927</v>
      </c>
      <c r="ES81" s="625">
        <f t="shared" si="496"/>
        <v>88130649.204021752</v>
      </c>
      <c r="ET81" s="625">
        <f t="shared" ref="ET81:EZ81" si="498">ET66-ET74</f>
        <v>75437359.64238435</v>
      </c>
      <c r="EU81" s="625">
        <f t="shared" si="498"/>
        <v>100614907.68618377</v>
      </c>
      <c r="EV81" s="625">
        <f t="shared" si="498"/>
        <v>105546797.35891536</v>
      </c>
      <c r="EW81" s="625">
        <f t="shared" si="498"/>
        <v>134486061.31673819</v>
      </c>
      <c r="EX81" s="625">
        <f t="shared" si="498"/>
        <v>116424567.95409903</v>
      </c>
      <c r="EY81" s="625">
        <f t="shared" si="498"/>
        <v>152253731.80934352</v>
      </c>
      <c r="EZ81" s="625">
        <f t="shared" si="498"/>
        <v>159273678.13774294</v>
      </c>
      <c r="FA81" s="625">
        <f t="shared" ref="FA81:FD81" si="499">FA66-FA74</f>
        <v>188293125.85988572</v>
      </c>
      <c r="FB81" s="625">
        <f t="shared" si="499"/>
        <v>164016051.26894552</v>
      </c>
      <c r="FC81" s="625">
        <f t="shared" si="499"/>
        <v>212178874.27942806</v>
      </c>
      <c r="FD81" s="625">
        <f t="shared" si="499"/>
        <v>221616904.12427092</v>
      </c>
      <c r="FG81" s="65">
        <f t="shared" ref="FG81:FK81" si="500">FG66-FG74</f>
        <v>156361568.31919408</v>
      </c>
      <c r="FH81" s="62">
        <f t="shared" si="500"/>
        <v>284872618.06738693</v>
      </c>
      <c r="FI81" s="62">
        <f t="shared" si="500"/>
        <v>369729713.89150405</v>
      </c>
      <c r="FJ81" s="63">
        <f t="shared" si="500"/>
        <v>562438039.2179234</v>
      </c>
      <c r="FK81" s="63">
        <f t="shared" si="500"/>
        <v>786104955.53253019</v>
      </c>
    </row>
    <row r="82" spans="2:167" ht="15.75" customHeight="1" x14ac:dyDescent="0.2">
      <c r="B82" s="48" t="s">
        <v>39</v>
      </c>
      <c r="C82" s="75">
        <f t="shared" ref="C82:Z82" si="501">C81/C32</f>
        <v>1.9103963467715833E-2</v>
      </c>
      <c r="D82" s="76">
        <f t="shared" si="501"/>
        <v>1.3475025109126819E-2</v>
      </c>
      <c r="E82" s="76">
        <f t="shared" si="501"/>
        <v>9.2331563157052373E-3</v>
      </c>
      <c r="F82" s="76">
        <f t="shared" si="501"/>
        <v>2.3667737103454826E-2</v>
      </c>
      <c r="G82" s="76">
        <f t="shared" si="501"/>
        <v>2.9548939446768477E-3</v>
      </c>
      <c r="H82" s="76">
        <f t="shared" si="501"/>
        <v>2.6159212232217038E-2</v>
      </c>
      <c r="I82" s="76">
        <f t="shared" si="501"/>
        <v>-4.3479512600234048E-2</v>
      </c>
      <c r="J82" s="76">
        <f t="shared" si="501"/>
        <v>1.6810650915888379E-2</v>
      </c>
      <c r="K82" s="76">
        <f t="shared" si="501"/>
        <v>-9.5053427788488083E-3</v>
      </c>
      <c r="L82" s="76">
        <f t="shared" si="501"/>
        <v>-3.8545236180809107E-2</v>
      </c>
      <c r="M82" s="76">
        <f t="shared" si="501"/>
        <v>-1.0218280056327319E-2</v>
      </c>
      <c r="N82" s="76">
        <f t="shared" si="501"/>
        <v>-6.527728881346534E-3</v>
      </c>
      <c r="O82" s="76">
        <f t="shared" si="501"/>
        <v>-1.5022662969400916E-3</v>
      </c>
      <c r="P82" s="76">
        <f t="shared" si="501"/>
        <v>-1.1398575191933859E-2</v>
      </c>
      <c r="Q82" s="76">
        <f t="shared" si="501"/>
        <v>-1.5075251506514666E-3</v>
      </c>
      <c r="R82" s="76">
        <f t="shared" si="501"/>
        <v>2.0986908785598443E-2</v>
      </c>
      <c r="S82" s="76">
        <f t="shared" si="501"/>
        <v>1.6619517310617098E-2</v>
      </c>
      <c r="T82" s="76">
        <f t="shared" si="501"/>
        <v>-5.7615995572848303E-3</v>
      </c>
      <c r="U82" s="76">
        <f t="shared" si="501"/>
        <v>-2.755431785378629E-2</v>
      </c>
      <c r="V82" s="76">
        <f t="shared" si="501"/>
        <v>1.7231084245629144E-3</v>
      </c>
      <c r="W82" s="76">
        <f t="shared" si="501"/>
        <v>9.0926931818670967E-3</v>
      </c>
      <c r="X82" s="76">
        <f t="shared" si="501"/>
        <v>2.2794372893393523E-2</v>
      </c>
      <c r="Y82" s="76">
        <f t="shared" si="501"/>
        <v>4.809499060202068E-2</v>
      </c>
      <c r="Z82" s="76">
        <f t="shared" si="501"/>
        <v>1.4402209681213017E-2</v>
      </c>
      <c r="AA82" s="76">
        <f t="shared" ref="AA82:ES82" si="502">IFERROR(AA81/AA32,0)</f>
        <v>158.73049055587558</v>
      </c>
      <c r="AB82" s="76">
        <f t="shared" si="502"/>
        <v>2.9474541890077796E-2</v>
      </c>
      <c r="AC82" s="79">
        <f t="shared" si="502"/>
        <v>-1.2061432232286156E-2</v>
      </c>
      <c r="AD82" s="76">
        <f t="shared" si="502"/>
        <v>-1.9882629339729486E-2</v>
      </c>
      <c r="AE82" s="76">
        <f t="shared" si="502"/>
        <v>8.4680637687606069E-3</v>
      </c>
      <c r="AF82" s="76">
        <f t="shared" si="502"/>
        <v>1.7733062306976272E-2</v>
      </c>
      <c r="AG82" s="76">
        <f t="shared" si="502"/>
        <v>-1.0389962745791985E-2</v>
      </c>
      <c r="AH82" s="76">
        <f t="shared" si="502"/>
        <v>3.1109600004429781E-2</v>
      </c>
      <c r="AI82" s="76">
        <f t="shared" si="502"/>
        <v>1.9490110963551247E-2</v>
      </c>
      <c r="AJ82" s="76">
        <f t="shared" si="502"/>
        <v>1.0222691484743762E-3</v>
      </c>
      <c r="AK82" s="79">
        <f t="shared" si="502"/>
        <v>1.4987833112622811E-2</v>
      </c>
      <c r="AL82" s="76">
        <f t="shared" si="502"/>
        <v>1.9519529532349335E-2</v>
      </c>
      <c r="AM82" s="76">
        <f t="shared" si="502"/>
        <v>-1.5185934851499704E-2</v>
      </c>
      <c r="AN82" s="76">
        <f t="shared" si="502"/>
        <v>-4.9701408238823894E-2</v>
      </c>
      <c r="AO82" s="76">
        <f t="shared" si="502"/>
        <v>1.7528760750141707E-2</v>
      </c>
      <c r="AP82" s="76">
        <f t="shared" si="502"/>
        <v>5.9715930366811597E-3</v>
      </c>
      <c r="AQ82" s="76">
        <f t="shared" si="502"/>
        <v>2.7847234917029776E-3</v>
      </c>
      <c r="AR82" s="76">
        <f t="shared" si="502"/>
        <v>-9.1824429925682956E-3</v>
      </c>
      <c r="AS82" s="76">
        <f t="shared" si="502"/>
        <v>-1.5040891083306335E-2</v>
      </c>
      <c r="AT82" s="76">
        <f t="shared" si="502"/>
        <v>-1.3844224929611453E-2</v>
      </c>
      <c r="AU82" s="76">
        <f t="shared" si="502"/>
        <v>-4.3694100349104068E-3</v>
      </c>
      <c r="AV82" s="76">
        <f t="shared" si="502"/>
        <v>-3.7832650790007048E-2</v>
      </c>
      <c r="AW82" s="76">
        <f t="shared" si="502"/>
        <v>-5.8901863336694588E-2</v>
      </c>
      <c r="AX82" s="76">
        <f t="shared" si="502"/>
        <v>-5.5282382722121805E-2</v>
      </c>
      <c r="AY82" s="76">
        <f t="shared" si="502"/>
        <v>-6.3371682913277272E-2</v>
      </c>
      <c r="AZ82" s="76">
        <f t="shared" si="502"/>
        <v>-7.7149229952098372E-2</v>
      </c>
      <c r="BA82" s="76">
        <f t="shared" si="502"/>
        <v>-7.4206106461238236E-2</v>
      </c>
      <c r="BB82" s="76">
        <f t="shared" si="502"/>
        <v>-1.371859138139718E-2</v>
      </c>
      <c r="BC82" s="76">
        <f t="shared" si="502"/>
        <v>-5.3833613679234935E-2</v>
      </c>
      <c r="BD82" s="76">
        <f t="shared" si="502"/>
        <v>-0.11019065877499719</v>
      </c>
      <c r="BE82" s="76">
        <f t="shared" si="502"/>
        <v>-7.2603394137122204E-2</v>
      </c>
      <c r="BF82" s="76">
        <f t="shared" si="502"/>
        <v>-5.1707515725222711E-2</v>
      </c>
      <c r="BG82" s="77">
        <f t="shared" si="502"/>
        <v>-1.7838648454168403E-2</v>
      </c>
      <c r="BH82" s="77">
        <f t="shared" si="502"/>
        <v>-3.134549221499644E-2</v>
      </c>
      <c r="BI82" s="77">
        <f t="shared" si="502"/>
        <v>-4.5503430217235227E-2</v>
      </c>
      <c r="BJ82" s="82">
        <f t="shared" si="502"/>
        <v>-1.404878868600455E-2</v>
      </c>
      <c r="BK82" s="77">
        <f t="shared" si="502"/>
        <v>9.6468483541172038E-3</v>
      </c>
      <c r="BL82" s="77">
        <f t="shared" si="502"/>
        <v>4.236521312374804E-3</v>
      </c>
      <c r="BM82" s="77">
        <f t="shared" si="502"/>
        <v>1.2673601360256324E-2</v>
      </c>
      <c r="BN82" s="77">
        <f t="shared" si="502"/>
        <v>3.6012002492855251E-2</v>
      </c>
      <c r="BO82" s="77">
        <f t="shared" si="502"/>
        <v>2.5071971676209504E-2</v>
      </c>
      <c r="BP82" s="77">
        <f t="shared" si="502"/>
        <v>2.9869118859003709E-3</v>
      </c>
      <c r="BQ82" s="77">
        <f t="shared" si="502"/>
        <v>2.2802890077342482E-2</v>
      </c>
      <c r="BR82" s="77">
        <f t="shared" si="502"/>
        <v>1.9241102261998648E-2</v>
      </c>
      <c r="BS82" s="77">
        <f t="shared" si="502"/>
        <v>-1.9968826988045377E-2</v>
      </c>
      <c r="BT82" s="77">
        <f t="shared" si="502"/>
        <v>-7.3150245871252573E-2</v>
      </c>
      <c r="BU82" s="77">
        <f t="shared" si="502"/>
        <v>1.4105404515775933E-2</v>
      </c>
      <c r="BV82" s="77">
        <f t="shared" si="502"/>
        <v>2.8713865089276234E-2</v>
      </c>
      <c r="BW82" s="77">
        <f t="shared" si="502"/>
        <v>5.4763793654881945E-2</v>
      </c>
      <c r="BX82" s="77">
        <f t="shared" si="502"/>
        <v>6.1670710979365724E-2</v>
      </c>
      <c r="BY82" s="77">
        <f t="shared" si="502"/>
        <v>5.6412471936230939E-2</v>
      </c>
      <c r="BZ82" s="77">
        <f t="shared" si="502"/>
        <v>1.7984466295637925E-2</v>
      </c>
      <c r="CA82" s="77">
        <f t="shared" si="502"/>
        <v>3.2948675374623801E-2</v>
      </c>
      <c r="CB82" s="77">
        <f t="shared" si="502"/>
        <v>2.4107173425468611E-2</v>
      </c>
      <c r="CC82" s="77">
        <f t="shared" si="502"/>
        <v>3.9223422530594652E-2</v>
      </c>
      <c r="CD82" s="77">
        <f t="shared" si="502"/>
        <v>4.1817907692211664E-2</v>
      </c>
      <c r="CE82" s="77">
        <f t="shared" si="502"/>
        <v>3.489257511390384E-2</v>
      </c>
      <c r="CF82" s="77">
        <f t="shared" si="502"/>
        <v>3.4422303869412155E-2</v>
      </c>
      <c r="CG82" s="77">
        <f t="shared" si="502"/>
        <v>5.0853496549211702E-2</v>
      </c>
      <c r="CH82" s="77">
        <f t="shared" si="502"/>
        <v>2.7880717301604074E-2</v>
      </c>
      <c r="CI82" s="77">
        <f t="shared" si="502"/>
        <v>5.3809694272073758E-2</v>
      </c>
      <c r="CJ82" s="77">
        <f t="shared" si="502"/>
        <v>5.2091911954648976E-2</v>
      </c>
      <c r="CK82" s="77">
        <f t="shared" si="502"/>
        <v>5.1087406870054926E-2</v>
      </c>
      <c r="CL82" s="77">
        <f t="shared" si="502"/>
        <v>4.7482677582732571E-2</v>
      </c>
      <c r="CM82" s="77">
        <f t="shared" si="502"/>
        <v>5.6517449357303393E-2</v>
      </c>
      <c r="CN82" s="77">
        <f t="shared" si="502"/>
        <v>3.722854675129874E-2</v>
      </c>
      <c r="CO82" s="77">
        <f t="shared" si="502"/>
        <v>5.8568030879540246E-2</v>
      </c>
      <c r="CP82" s="77">
        <f t="shared" si="502"/>
        <v>4.6704580595549487E-2</v>
      </c>
      <c r="CQ82" s="77">
        <f t="shared" si="502"/>
        <v>2.2642225056321449E-2</v>
      </c>
      <c r="CR82" s="77">
        <f t="shared" si="502"/>
        <v>3.5559115645012219E-2</v>
      </c>
      <c r="CS82" s="77">
        <f t="shared" si="502"/>
        <v>5.8045312714531422E-2</v>
      </c>
      <c r="CT82" s="77">
        <f t="shared" si="502"/>
        <v>6.6213599890720107E-2</v>
      </c>
      <c r="CU82" s="77">
        <f t="shared" si="502"/>
        <v>4.8408047534615348E-2</v>
      </c>
      <c r="CV82" s="77">
        <f t="shared" si="502"/>
        <v>4.8879822922430968E-2</v>
      </c>
      <c r="CW82" s="77">
        <f t="shared" si="502"/>
        <v>4.8026910873461059E-2</v>
      </c>
      <c r="CX82" s="77">
        <f t="shared" si="502"/>
        <v>4.8041672400209179E-2</v>
      </c>
      <c r="CY82" s="77">
        <f t="shared" si="502"/>
        <v>4.6998802436475494E-2</v>
      </c>
      <c r="CZ82" s="77">
        <f t="shared" si="502"/>
        <v>4.4831495019021207E-2</v>
      </c>
      <c r="DA82" s="77">
        <f t="shared" si="502"/>
        <v>4.7291535981314102E-2</v>
      </c>
      <c r="DB82" s="77">
        <f t="shared" si="502"/>
        <v>5.0092525159632154E-2</v>
      </c>
      <c r="DC82" s="77">
        <f t="shared" si="502"/>
        <v>5.1294491970393492E-2</v>
      </c>
      <c r="DD82" s="77">
        <f t="shared" si="502"/>
        <v>5.0566818555226212E-2</v>
      </c>
      <c r="DE82" s="77">
        <f t="shared" si="502"/>
        <v>5.0279136719927252E-2</v>
      </c>
      <c r="DF82" s="77">
        <f t="shared" si="502"/>
        <v>4.981516568958036E-2</v>
      </c>
      <c r="DG82" s="77">
        <f t="shared" si="502"/>
        <v>5.9112227121772894E-2</v>
      </c>
      <c r="DH82" s="77">
        <f t="shared" si="502"/>
        <v>5.9508415497942647E-2</v>
      </c>
      <c r="DI82" s="77">
        <f t="shared" si="502"/>
        <v>5.8788017184079604E-2</v>
      </c>
      <c r="DJ82" s="77">
        <f t="shared" si="502"/>
        <v>5.8801044760824886E-2</v>
      </c>
      <c r="DK82" s="77">
        <f t="shared" si="502"/>
        <v>5.7924196680984641E-2</v>
      </c>
      <c r="DL82" s="77">
        <f t="shared" si="502"/>
        <v>5.610453914413828E-2</v>
      </c>
      <c r="DM82" s="77">
        <f t="shared" si="502"/>
        <v>5.8170054218360773E-2</v>
      </c>
      <c r="DN82" s="77">
        <f t="shared" si="502"/>
        <v>6.0524765865275373E-2</v>
      </c>
      <c r="DO82" s="77">
        <f t="shared" si="502"/>
        <v>6.153454637419823E-2</v>
      </c>
      <c r="DP82" s="77">
        <f t="shared" si="502"/>
        <v>6.0921916063136461E-2</v>
      </c>
      <c r="DQ82" s="77">
        <f t="shared" si="502"/>
        <v>6.067981418306044E-2</v>
      </c>
      <c r="DR82" s="81">
        <f t="shared" si="502"/>
        <v>6.0289400904904818E-2</v>
      </c>
      <c r="DS82" s="81">
        <f t="shared" ref="DS82:ED82" si="503">IFERROR(DS81/DS32,0)</f>
        <v>6.8979276839809978E-2</v>
      </c>
      <c r="DT82" s="81">
        <f t="shared" si="503"/>
        <v>6.9325851588061593E-2</v>
      </c>
      <c r="DU82" s="81">
        <f t="shared" si="503"/>
        <v>6.8692044894794191E-2</v>
      </c>
      <c r="DV82" s="81">
        <f t="shared" si="503"/>
        <v>6.8703993431938809E-2</v>
      </c>
      <c r="DW82" s="81">
        <f t="shared" si="503"/>
        <v>6.793601871556218E-2</v>
      </c>
      <c r="DX82" s="81">
        <f t="shared" si="503"/>
        <v>6.6344588977910859E-2</v>
      </c>
      <c r="DY82" s="81">
        <f t="shared" si="503"/>
        <v>6.815111025051479E-2</v>
      </c>
      <c r="DZ82" s="81">
        <f t="shared" si="503"/>
        <v>7.0213128586551057E-2</v>
      </c>
      <c r="EA82" s="81">
        <f t="shared" si="503"/>
        <v>7.1096798871256972E-2</v>
      </c>
      <c r="EB82" s="81">
        <f t="shared" si="503"/>
        <v>7.0559535787046976E-2</v>
      </c>
      <c r="EC82" s="81">
        <f t="shared" si="503"/>
        <v>7.0347303645858714E-2</v>
      </c>
      <c r="ED82" s="81">
        <f t="shared" si="503"/>
        <v>7.0005099116391023E-2</v>
      </c>
      <c r="EE82" s="39" t="s">
        <v>1</v>
      </c>
      <c r="EF82" s="83"/>
      <c r="EG82" s="633">
        <f t="shared" si="502"/>
        <v>8.5062910811548788E-3</v>
      </c>
      <c r="EH82" s="633">
        <f t="shared" si="502"/>
        <v>2.1264660167395536E-2</v>
      </c>
      <c r="EI82" s="633">
        <f t="shared" si="502"/>
        <v>7.2638954991146474E-3</v>
      </c>
      <c r="EJ82" s="633">
        <f t="shared" si="502"/>
        <v>-8.7348554658798934E-3</v>
      </c>
      <c r="EK82" s="633">
        <f t="shared" si="502"/>
        <v>5.7667981967575506E-2</v>
      </c>
      <c r="EL82" s="633">
        <f t="shared" si="502"/>
        <v>2.4970672397007537E-2</v>
      </c>
      <c r="EM82" s="633">
        <f t="shared" si="502"/>
        <v>3.847506554415385E-2</v>
      </c>
      <c r="EN82" s="633">
        <f t="shared" si="502"/>
        <v>3.7078241335782511E-2</v>
      </c>
      <c r="EO82" s="633">
        <f t="shared" si="502"/>
        <v>5.2344814725199813E-2</v>
      </c>
      <c r="EP82" s="633">
        <f t="shared" si="502"/>
        <v>4.7549913695632232E-2</v>
      </c>
      <c r="EQ82" s="633">
        <f t="shared" si="502"/>
        <v>4.0355836629978895E-2</v>
      </c>
      <c r="ER82" s="633">
        <f t="shared" si="502"/>
        <v>5.258114320142588E-2</v>
      </c>
      <c r="ES82" s="633">
        <f t="shared" si="502"/>
        <v>4.844720548130442E-2</v>
      </c>
      <c r="ET82" s="633">
        <f t="shared" ref="ET82:EZ82" si="504">IFERROR(ET81/ET32,0)</f>
        <v>4.6738121822138302E-2</v>
      </c>
      <c r="EU82" s="633">
        <f t="shared" si="504"/>
        <v>4.9776787104543023E-2</v>
      </c>
      <c r="EV82" s="633">
        <f t="shared" si="504"/>
        <v>5.0228539521553262E-2</v>
      </c>
      <c r="EW82" s="633">
        <f t="shared" si="504"/>
        <v>5.9143772622394307E-2</v>
      </c>
      <c r="EX82" s="633">
        <f t="shared" si="504"/>
        <v>5.7705791039602862E-2</v>
      </c>
      <c r="EY82" s="633">
        <f t="shared" si="504"/>
        <v>6.025907506894488E-2</v>
      </c>
      <c r="EZ82" s="633">
        <f t="shared" si="504"/>
        <v>6.0637248593192063E-2</v>
      </c>
      <c r="FA82" s="633">
        <f t="shared" ref="FA82:FD82" si="505">IFERROR(FA81/FA32,0)</f>
        <v>6.9005700375079929E-2</v>
      </c>
      <c r="FB82" s="633">
        <f t="shared" si="505"/>
        <v>6.7745409094682768E-2</v>
      </c>
      <c r="FC82" s="633">
        <f t="shared" si="505"/>
        <v>6.9980237163463507E-2</v>
      </c>
      <c r="FD82" s="633">
        <f t="shared" si="505"/>
        <v>7.0310002804394034E-2</v>
      </c>
      <c r="FG82" s="84">
        <f t="shared" ref="FG82:FK82" si="506">IFERROR(FG81/FG32,0)</f>
        <v>3.9696464109370694E-2</v>
      </c>
      <c r="FH82" s="77">
        <f t="shared" si="506"/>
        <v>4.8343192766637712E-2</v>
      </c>
      <c r="FI82" s="77">
        <f t="shared" si="506"/>
        <v>4.8933209373279614E-2</v>
      </c>
      <c r="FJ82" s="81">
        <f t="shared" si="506"/>
        <v>5.9550308884557132E-2</v>
      </c>
      <c r="FK82" s="81">
        <f t="shared" si="506"/>
        <v>6.935992597326357E-2</v>
      </c>
    </row>
    <row r="83" spans="2:167" ht="15.75" customHeight="1" x14ac:dyDescent="0.2">
      <c r="B83" s="48"/>
      <c r="C83" s="66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8"/>
      <c r="AD83" s="67"/>
      <c r="AE83" s="67"/>
      <c r="AF83" s="67"/>
      <c r="AG83" s="67"/>
      <c r="AH83" s="67"/>
      <c r="AI83" s="67"/>
      <c r="AJ83" s="67"/>
      <c r="AK83" s="68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>
        <f>70/12</f>
        <v>5.833333333333333</v>
      </c>
      <c r="BJ83" s="66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  <c r="DC83" s="67"/>
      <c r="DD83" s="67"/>
      <c r="DE83" s="67"/>
      <c r="DF83" s="67"/>
      <c r="DG83" s="67"/>
      <c r="DH83" s="67"/>
      <c r="DI83" s="67"/>
      <c r="DJ83" s="67"/>
      <c r="DK83" s="67"/>
      <c r="DL83" s="67"/>
      <c r="DM83" s="67"/>
      <c r="DN83" s="67"/>
      <c r="DO83" s="67"/>
      <c r="DP83" s="67"/>
      <c r="DQ83" s="67"/>
      <c r="DR83" s="69"/>
      <c r="DS83" s="69"/>
      <c r="DT83" s="69"/>
      <c r="DU83" s="69"/>
      <c r="DV83" s="69"/>
      <c r="DW83" s="69"/>
      <c r="DX83" s="69"/>
      <c r="DY83" s="69"/>
      <c r="DZ83" s="69"/>
      <c r="EA83" s="69"/>
      <c r="EB83" s="69"/>
      <c r="EC83" s="69"/>
      <c r="ED83" s="69"/>
      <c r="EE83" s="39" t="s">
        <v>1</v>
      </c>
      <c r="EF83" s="68"/>
      <c r="EG83" s="629"/>
      <c r="EH83" s="629"/>
      <c r="EI83" s="629"/>
      <c r="EJ83" s="629"/>
      <c r="EK83" s="629"/>
      <c r="EL83" s="629"/>
      <c r="EM83" s="629"/>
      <c r="EN83" s="629"/>
      <c r="EO83" s="629"/>
      <c r="EP83" s="629"/>
      <c r="EQ83" s="629"/>
      <c r="ER83" s="629"/>
      <c r="ES83" s="629"/>
      <c r="ET83" s="629"/>
      <c r="EU83" s="629"/>
      <c r="EV83" s="629"/>
      <c r="EW83" s="629"/>
      <c r="EX83" s="629"/>
      <c r="EY83" s="629"/>
      <c r="EZ83" s="629"/>
      <c r="FA83" s="629"/>
      <c r="FB83" s="629"/>
      <c r="FC83" s="629"/>
      <c r="FD83" s="629"/>
      <c r="FG83" s="70"/>
      <c r="FH83" s="67"/>
      <c r="FI83" s="67"/>
      <c r="FJ83" s="69"/>
      <c r="FK83" s="619"/>
    </row>
    <row r="84" spans="2:167" ht="15.75" customHeight="1" x14ac:dyDescent="0.2">
      <c r="B84" s="56" t="s">
        <v>40</v>
      </c>
      <c r="C84" s="61">
        <f t="shared" ref="C84:ES84" si="507">C85+C94+C95+C96+C97</f>
        <v>1592567</v>
      </c>
      <c r="D84" s="62">
        <f t="shared" si="507"/>
        <v>1605934</v>
      </c>
      <c r="E84" s="62">
        <f t="shared" si="507"/>
        <v>1657393.2857142857</v>
      </c>
      <c r="F84" s="62">
        <f t="shared" si="507"/>
        <v>2023970.5714285714</v>
      </c>
      <c r="G84" s="62">
        <f t="shared" si="507"/>
        <v>2710513.7142857146</v>
      </c>
      <c r="H84" s="62">
        <f t="shared" si="507"/>
        <v>3001649.7142857141</v>
      </c>
      <c r="I84" s="62">
        <f t="shared" si="507"/>
        <v>3066200.8571428573</v>
      </c>
      <c r="J84" s="62">
        <f t="shared" si="507"/>
        <v>3250774.7142857141</v>
      </c>
      <c r="K84" s="62">
        <f t="shared" si="507"/>
        <v>4616982.8571428573</v>
      </c>
      <c r="L84" s="62">
        <f t="shared" si="507"/>
        <v>6162107.3771428578</v>
      </c>
      <c r="M84" s="62">
        <f t="shared" si="507"/>
        <v>5271089.4185714293</v>
      </c>
      <c r="N84" s="62">
        <f t="shared" si="507"/>
        <v>6252206.4100000001</v>
      </c>
      <c r="O84" s="62">
        <f t="shared" si="507"/>
        <v>6532142.962857143</v>
      </c>
      <c r="P84" s="62">
        <f t="shared" si="507"/>
        <v>6227877.3428571438</v>
      </c>
      <c r="Q84" s="62">
        <f t="shared" si="507"/>
        <v>6614386.6657142853</v>
      </c>
      <c r="R84" s="62">
        <f t="shared" si="507"/>
        <v>5914997.7400000002</v>
      </c>
      <c r="S84" s="62">
        <f t="shared" si="507"/>
        <v>5642505.4299999997</v>
      </c>
      <c r="T84" s="62">
        <f t="shared" si="507"/>
        <v>5491891.2200000007</v>
      </c>
      <c r="U84" s="62">
        <f t="shared" si="507"/>
        <v>5505648.6200000001</v>
      </c>
      <c r="V84" s="62">
        <f t="shared" si="507"/>
        <v>5115178.3600000003</v>
      </c>
      <c r="W84" s="62">
        <f t="shared" si="507"/>
        <v>4922499.49</v>
      </c>
      <c r="X84" s="62">
        <f t="shared" si="507"/>
        <v>5572811.4199999999</v>
      </c>
      <c r="Y84" s="62">
        <f t="shared" si="507"/>
        <v>5245512.9866666663</v>
      </c>
      <c r="Z84" s="62">
        <f t="shared" si="507"/>
        <v>4762159.9766666656</v>
      </c>
      <c r="AA84" s="62">
        <f t="shared" si="507"/>
        <v>4104075.5954159093</v>
      </c>
      <c r="AB84" s="62">
        <f t="shared" si="507"/>
        <v>4186946.6008333331</v>
      </c>
      <c r="AC84" s="614">
        <f t="shared" si="507"/>
        <v>3957060.514642857</v>
      </c>
      <c r="AD84" s="62">
        <f t="shared" si="507"/>
        <v>4056125.59154762</v>
      </c>
      <c r="AE84" s="62">
        <f t="shared" si="507"/>
        <v>4133835.9382142858</v>
      </c>
      <c r="AF84" s="62">
        <f t="shared" si="507"/>
        <v>4591502.9399999995</v>
      </c>
      <c r="AG84" s="62">
        <f t="shared" si="507"/>
        <v>4780985.5</v>
      </c>
      <c r="AH84" s="62">
        <f t="shared" si="507"/>
        <v>4398198.1399999997</v>
      </c>
      <c r="AI84" s="62">
        <f t="shared" si="507"/>
        <v>4502640.7450000001</v>
      </c>
      <c r="AJ84" s="62">
        <f t="shared" si="507"/>
        <v>6163467.25</v>
      </c>
      <c r="AK84" s="614">
        <f t="shared" si="507"/>
        <v>4699620.023846156</v>
      </c>
      <c r="AL84" s="62">
        <f t="shared" si="507"/>
        <v>5060466.0938461544</v>
      </c>
      <c r="AM84" s="62">
        <f t="shared" si="507"/>
        <v>3979520.569807692</v>
      </c>
      <c r="AN84" s="62">
        <f t="shared" si="507"/>
        <v>3597956.7628846155</v>
      </c>
      <c r="AO84" s="62">
        <f t="shared" si="507"/>
        <v>3827165.6090384615</v>
      </c>
      <c r="AP84" s="62">
        <f t="shared" si="507"/>
        <v>3978781.8077564104</v>
      </c>
      <c r="AQ84" s="62">
        <f t="shared" si="507"/>
        <v>4903797.325384615</v>
      </c>
      <c r="AR84" s="62">
        <f t="shared" si="507"/>
        <v>5146882.1995512825</v>
      </c>
      <c r="AS84" s="62">
        <f t="shared" si="507"/>
        <v>7045476.4632692309</v>
      </c>
      <c r="AT84" s="62">
        <f t="shared" si="507"/>
        <v>7165440.1805128204</v>
      </c>
      <c r="AU84" s="62">
        <f t="shared" si="507"/>
        <v>8032904.8064102558</v>
      </c>
      <c r="AV84" s="62">
        <f t="shared" si="507"/>
        <v>8965298.1179487165</v>
      </c>
      <c r="AW84" s="62">
        <f t="shared" si="507"/>
        <v>9932113.8741666675</v>
      </c>
      <c r="AX84" s="62">
        <f t="shared" si="507"/>
        <v>12292648.337564103</v>
      </c>
      <c r="AY84" s="62">
        <f t="shared" si="507"/>
        <v>13479157.082756409</v>
      </c>
      <c r="AZ84" s="62">
        <f t="shared" si="507"/>
        <v>9114050.1568528879</v>
      </c>
      <c r="BA84" s="62">
        <f t="shared" si="507"/>
        <v>10558854.361308588</v>
      </c>
      <c r="BB84" s="62">
        <f t="shared" si="507"/>
        <v>10235341.773406541</v>
      </c>
      <c r="BC84" s="62">
        <f t="shared" si="507"/>
        <v>10639148.886504382</v>
      </c>
      <c r="BD84" s="62">
        <f t="shared" si="507"/>
        <v>12837755.961961398</v>
      </c>
      <c r="BE84" s="62">
        <f t="shared" si="507"/>
        <v>12569691.495048899</v>
      </c>
      <c r="BF84" s="62">
        <f t="shared" si="507"/>
        <v>9734342.5227141939</v>
      </c>
      <c r="BG84" s="62">
        <f t="shared" si="507"/>
        <v>8796659.0404583924</v>
      </c>
      <c r="BH84" s="62">
        <f t="shared" si="507"/>
        <v>10387160.790894225</v>
      </c>
      <c r="BI84" s="62">
        <f t="shared" si="507"/>
        <v>8347642.6893383069</v>
      </c>
      <c r="BJ84" s="61">
        <f t="shared" si="507"/>
        <v>7340826.0514730215</v>
      </c>
      <c r="BK84" s="62">
        <f t="shared" si="507"/>
        <v>7544565.145051457</v>
      </c>
      <c r="BL84" s="62">
        <f t="shared" si="507"/>
        <v>7851704.7930138931</v>
      </c>
      <c r="BM84" s="62">
        <f t="shared" si="507"/>
        <v>7336509.6220799228</v>
      </c>
      <c r="BN84" s="62">
        <f t="shared" si="507"/>
        <v>7385790.8613602826</v>
      </c>
      <c r="BO84" s="62">
        <f t="shared" si="507"/>
        <v>7311306.4701936822</v>
      </c>
      <c r="BP84" s="62">
        <f t="shared" si="507"/>
        <v>6555709.2803707542</v>
      </c>
      <c r="BQ84" s="62">
        <f t="shared" si="507"/>
        <v>6575877.2729385821</v>
      </c>
      <c r="BR84" s="62">
        <f t="shared" si="507"/>
        <v>6570061.3447853895</v>
      </c>
      <c r="BS84" s="62">
        <f t="shared" si="507"/>
        <v>6252810.7126376629</v>
      </c>
      <c r="BT84" s="62">
        <f t="shared" si="507"/>
        <v>4490298.1720487271</v>
      </c>
      <c r="BU84" s="62">
        <f t="shared" si="507"/>
        <v>4324209.590320521</v>
      </c>
      <c r="BV84" s="62">
        <f t="shared" si="507"/>
        <v>4380170.5105756549</v>
      </c>
      <c r="BW84" s="62">
        <f t="shared" si="507"/>
        <v>4910660.6258357745</v>
      </c>
      <c r="BX84" s="62">
        <f t="shared" si="507"/>
        <v>5271665.7250062022</v>
      </c>
      <c r="BY84" s="62">
        <f t="shared" si="507"/>
        <v>4920121.6181872729</v>
      </c>
      <c r="BZ84" s="62">
        <f t="shared" si="507"/>
        <v>5296734.2794259153</v>
      </c>
      <c r="CA84" s="62">
        <f t="shared" si="507"/>
        <v>4898420.8242049823</v>
      </c>
      <c r="CB84" s="62">
        <f t="shared" si="507"/>
        <v>4794391.6188728167</v>
      </c>
      <c r="CC84" s="62">
        <f t="shared" si="507"/>
        <v>4976204.1434573215</v>
      </c>
      <c r="CD84" s="62">
        <f t="shared" si="507"/>
        <v>5012252.0990037769</v>
      </c>
      <c r="CE84" s="62">
        <f t="shared" si="507"/>
        <v>5161659.974254814</v>
      </c>
      <c r="CF84" s="62">
        <f t="shared" si="507"/>
        <v>5386369.9122889517</v>
      </c>
      <c r="CG84" s="62">
        <f t="shared" si="507"/>
        <v>5526884.5643401537</v>
      </c>
      <c r="CH84" s="62">
        <f t="shared" si="507"/>
        <v>10141469.266929183</v>
      </c>
      <c r="CI84" s="62">
        <f t="shared" si="507"/>
        <v>7363971.3529240675</v>
      </c>
      <c r="CJ84" s="62">
        <f t="shared" si="507"/>
        <v>6845754.1350943185</v>
      </c>
      <c r="CK84" s="62">
        <f t="shared" si="507"/>
        <v>6588553.5540378876</v>
      </c>
      <c r="CL84" s="62">
        <f t="shared" si="507"/>
        <v>8162399.2553835083</v>
      </c>
      <c r="CM84" s="62">
        <f t="shared" si="507"/>
        <v>6990049.1257390408</v>
      </c>
      <c r="CN84" s="62">
        <f t="shared" si="507"/>
        <v>7377224.7827681908</v>
      </c>
      <c r="CO84" s="62">
        <f t="shared" si="507"/>
        <v>7232962.7083851881</v>
      </c>
      <c r="CP84" s="62">
        <f t="shared" si="507"/>
        <v>7173247.6554175029</v>
      </c>
      <c r="CQ84" s="62">
        <f t="shared" si="507"/>
        <v>8208148.6204378661</v>
      </c>
      <c r="CR84" s="62">
        <f t="shared" si="507"/>
        <v>7726306.4154639151</v>
      </c>
      <c r="CS84" s="62">
        <f t="shared" si="507"/>
        <v>8756028.5324777551</v>
      </c>
      <c r="CT84" s="62">
        <f t="shared" si="507"/>
        <v>10225705.838798149</v>
      </c>
      <c r="CU84" s="62">
        <f t="shared" si="507"/>
        <v>9442927.148935115</v>
      </c>
      <c r="CV84" s="62">
        <f t="shared" si="507"/>
        <v>9442927.148935115</v>
      </c>
      <c r="CW84" s="62">
        <f t="shared" si="507"/>
        <v>9442927.148935115</v>
      </c>
      <c r="CX84" s="62">
        <f t="shared" si="507"/>
        <v>9442927.148935115</v>
      </c>
      <c r="CY84" s="62">
        <f t="shared" si="507"/>
        <v>9442927.148935115</v>
      </c>
      <c r="CZ84" s="62">
        <f t="shared" si="507"/>
        <v>9442927.148935115</v>
      </c>
      <c r="DA84" s="62">
        <f t="shared" si="507"/>
        <v>9442927.148935115</v>
      </c>
      <c r="DB84" s="62">
        <f t="shared" si="507"/>
        <v>9442927.148935115</v>
      </c>
      <c r="DC84" s="62">
        <f t="shared" si="507"/>
        <v>9442927.148935115</v>
      </c>
      <c r="DD84" s="62">
        <f t="shared" si="507"/>
        <v>9442927.148935115</v>
      </c>
      <c r="DE84" s="62">
        <f t="shared" si="507"/>
        <v>9442927.148935115</v>
      </c>
      <c r="DF84" s="62">
        <f t="shared" si="507"/>
        <v>9442927.148935115</v>
      </c>
      <c r="DG84" s="62">
        <f t="shared" si="507"/>
        <v>10584014.18614519</v>
      </c>
      <c r="DH84" s="62">
        <f t="shared" si="507"/>
        <v>10584014.18614519</v>
      </c>
      <c r="DI84" s="62">
        <f t="shared" si="507"/>
        <v>10584014.18614519</v>
      </c>
      <c r="DJ84" s="62">
        <f t="shared" si="507"/>
        <v>10584014.18614519</v>
      </c>
      <c r="DK84" s="62">
        <f t="shared" si="507"/>
        <v>10584014.18614519</v>
      </c>
      <c r="DL84" s="62">
        <f t="shared" si="507"/>
        <v>10584014.18614519</v>
      </c>
      <c r="DM84" s="62">
        <f t="shared" si="507"/>
        <v>10584014.18614519</v>
      </c>
      <c r="DN84" s="62">
        <f t="shared" si="507"/>
        <v>10584014.18614519</v>
      </c>
      <c r="DO84" s="62">
        <f t="shared" si="507"/>
        <v>10584014.18614519</v>
      </c>
      <c r="DP84" s="62">
        <f t="shared" si="507"/>
        <v>10584014.18614519</v>
      </c>
      <c r="DQ84" s="62">
        <f t="shared" si="507"/>
        <v>10584014.18614519</v>
      </c>
      <c r="DR84" s="63">
        <f t="shared" si="507"/>
        <v>10584014.18614519</v>
      </c>
      <c r="DS84" s="63">
        <f t="shared" ref="DS84:ED84" si="508">DS85+DS94+DS95+DS96+DS97</f>
        <v>11871793.626304056</v>
      </c>
      <c r="DT84" s="63">
        <f t="shared" si="508"/>
        <v>11871793.626304056</v>
      </c>
      <c r="DU84" s="63">
        <f t="shared" si="508"/>
        <v>11871793.626304056</v>
      </c>
      <c r="DV84" s="63">
        <f t="shared" si="508"/>
        <v>11871793.626304056</v>
      </c>
      <c r="DW84" s="63">
        <f t="shared" si="508"/>
        <v>11871793.626304056</v>
      </c>
      <c r="DX84" s="63">
        <f t="shared" si="508"/>
        <v>11871793.626304056</v>
      </c>
      <c r="DY84" s="63">
        <f t="shared" si="508"/>
        <v>11871793.626304056</v>
      </c>
      <c r="DZ84" s="63">
        <f t="shared" si="508"/>
        <v>11871793.626304056</v>
      </c>
      <c r="EA84" s="63">
        <f t="shared" si="508"/>
        <v>11871793.626304056</v>
      </c>
      <c r="EB84" s="63">
        <f t="shared" si="508"/>
        <v>11871793.626304056</v>
      </c>
      <c r="EC84" s="63">
        <f t="shared" si="508"/>
        <v>11871793.626304056</v>
      </c>
      <c r="ED84" s="63">
        <f t="shared" si="508"/>
        <v>11871793.626304056</v>
      </c>
      <c r="EE84" s="39" t="s">
        <v>1</v>
      </c>
      <c r="EF84" s="64"/>
      <c r="EG84" s="625">
        <f t="shared" si="507"/>
        <v>22732779.560145274</v>
      </c>
      <c r="EH84" s="625">
        <f t="shared" si="507"/>
        <v>21252806.611924719</v>
      </c>
      <c r="EI84" s="625">
        <f t="shared" si="507"/>
        <v>19398749.330361634</v>
      </c>
      <c r="EJ84" s="625">
        <f t="shared" si="507"/>
        <v>13194678.272944903</v>
      </c>
      <c r="EK84" s="625">
        <f t="shared" si="507"/>
        <v>15102447.969029251</v>
      </c>
      <c r="EL84" s="625">
        <f t="shared" si="507"/>
        <v>14989546.722503714</v>
      </c>
      <c r="EM84" s="625">
        <f t="shared" si="507"/>
        <v>15150116.216715911</v>
      </c>
      <c r="EN84" s="625">
        <f t="shared" si="507"/>
        <v>21054723.743558284</v>
      </c>
      <c r="EO84" s="625">
        <f t="shared" si="507"/>
        <v>20798279.042056274</v>
      </c>
      <c r="EP84" s="625">
        <f t="shared" si="507"/>
        <v>22529673.163890745</v>
      </c>
      <c r="EQ84" s="625">
        <f t="shared" si="507"/>
        <v>22614358.984240558</v>
      </c>
      <c r="ER84" s="625">
        <f t="shared" si="507"/>
        <v>26708040.786739819</v>
      </c>
      <c r="ES84" s="625">
        <f t="shared" si="507"/>
        <v>28328781.446805343</v>
      </c>
      <c r="ET84" s="625">
        <f t="shared" ref="ET84:FD84" si="509">ET85+ET94+ET95+ET96+ET97</f>
        <v>28328781.446805343</v>
      </c>
      <c r="EU84" s="625">
        <f t="shared" si="509"/>
        <v>28328781.446805343</v>
      </c>
      <c r="EV84" s="625">
        <f t="shared" si="509"/>
        <v>28328781.446805343</v>
      </c>
      <c r="EW84" s="625">
        <f t="shared" si="509"/>
        <v>31752042.55843557</v>
      </c>
      <c r="EX84" s="625">
        <f t="shared" si="509"/>
        <v>31752042.55843557</v>
      </c>
      <c r="EY84" s="625">
        <f t="shared" si="509"/>
        <v>31752042.55843557</v>
      </c>
      <c r="EZ84" s="625">
        <f t="shared" si="509"/>
        <v>31752042.55843557</v>
      </c>
      <c r="FA84" s="625">
        <f t="shared" si="509"/>
        <v>35615380.878912181</v>
      </c>
      <c r="FB84" s="625">
        <f t="shared" si="509"/>
        <v>35615380.878912181</v>
      </c>
      <c r="FC84" s="625">
        <f t="shared" si="509"/>
        <v>35615380.878912181</v>
      </c>
      <c r="FD84" s="625">
        <f t="shared" si="509"/>
        <v>35615380.878912181</v>
      </c>
      <c r="FG84" s="65">
        <f t="shared" ref="FG84:FK84" si="510">FG85+FG94+FG95+FG96+FG97</f>
        <v>66296834.651807152</v>
      </c>
      <c r="FH84" s="62">
        <f t="shared" si="510"/>
        <v>92650351.9769274</v>
      </c>
      <c r="FI84" s="62">
        <f t="shared" si="510"/>
        <v>113315125.78722137</v>
      </c>
      <c r="FJ84" s="63">
        <f t="shared" si="510"/>
        <v>127008170.23374228</v>
      </c>
      <c r="FK84" s="63">
        <f t="shared" si="510"/>
        <v>142461523.51564872</v>
      </c>
    </row>
    <row r="85" spans="2:167" ht="15.75" customHeight="1" x14ac:dyDescent="0.2">
      <c r="B85" s="49" t="s">
        <v>41</v>
      </c>
      <c r="C85" s="66">
        <f t="shared" ref="C85:AP85" si="511">C86+C88+C90</f>
        <v>1153397</v>
      </c>
      <c r="D85" s="67">
        <f t="shared" si="511"/>
        <v>1183074</v>
      </c>
      <c r="E85" s="67">
        <f t="shared" si="511"/>
        <v>1207526.2857142857</v>
      </c>
      <c r="F85" s="67">
        <f t="shared" si="511"/>
        <v>1384564.5714285714</v>
      </c>
      <c r="G85" s="67">
        <f t="shared" si="511"/>
        <v>1857876.7142857143</v>
      </c>
      <c r="H85" s="67">
        <f t="shared" si="511"/>
        <v>2133278.7142857141</v>
      </c>
      <c r="I85" s="67">
        <f t="shared" si="511"/>
        <v>2170812.8571428573</v>
      </c>
      <c r="J85" s="67">
        <f t="shared" si="511"/>
        <v>2369731.7142857141</v>
      </c>
      <c r="K85" s="67">
        <f t="shared" si="511"/>
        <v>2596036.8571428573</v>
      </c>
      <c r="L85" s="67">
        <f t="shared" si="511"/>
        <v>2855115.8571428573</v>
      </c>
      <c r="M85" s="67">
        <f t="shared" si="511"/>
        <v>2954373.4285714286</v>
      </c>
      <c r="N85" s="67">
        <f t="shared" si="511"/>
        <v>3191010</v>
      </c>
      <c r="O85" s="67">
        <f t="shared" si="511"/>
        <v>3369531.1428571427</v>
      </c>
      <c r="P85" s="67">
        <f t="shared" si="511"/>
        <v>3329278.1428571432</v>
      </c>
      <c r="Q85" s="67">
        <f t="shared" si="511"/>
        <v>3407703.2857142859</v>
      </c>
      <c r="R85" s="67">
        <f t="shared" si="511"/>
        <v>3144509</v>
      </c>
      <c r="S85" s="67">
        <f t="shared" si="511"/>
        <v>3091747</v>
      </c>
      <c r="T85" s="67">
        <f t="shared" si="511"/>
        <v>2884632</v>
      </c>
      <c r="U85" s="67">
        <f t="shared" si="511"/>
        <v>2772976</v>
      </c>
      <c r="V85" s="67">
        <f t="shared" si="511"/>
        <v>2604373</v>
      </c>
      <c r="W85" s="67">
        <f t="shared" si="511"/>
        <v>2578237.75</v>
      </c>
      <c r="X85" s="67">
        <f t="shared" si="511"/>
        <v>2786281</v>
      </c>
      <c r="Y85" s="67">
        <f t="shared" si="511"/>
        <v>2436471.6666666665</v>
      </c>
      <c r="Z85" s="67">
        <f t="shared" si="511"/>
        <v>2417134.6666666665</v>
      </c>
      <c r="AA85" s="67">
        <f t="shared" si="511"/>
        <v>2294372.9636904765</v>
      </c>
      <c r="AB85" s="67">
        <f t="shared" si="511"/>
        <v>2310093.7008333332</v>
      </c>
      <c r="AC85" s="68">
        <f t="shared" si="511"/>
        <v>2305977.8846428571</v>
      </c>
      <c r="AD85" s="67">
        <f t="shared" si="511"/>
        <v>2157329.6715476201</v>
      </c>
      <c r="AE85" s="67">
        <f t="shared" si="511"/>
        <v>2215711.1682142857</v>
      </c>
      <c r="AF85" s="67">
        <f t="shared" si="511"/>
        <v>2065432</v>
      </c>
      <c r="AG85" s="67">
        <f t="shared" si="511"/>
        <v>2141190.5</v>
      </c>
      <c r="AH85" s="67">
        <f t="shared" si="511"/>
        <v>2436798.15</v>
      </c>
      <c r="AI85" s="67">
        <f t="shared" si="511"/>
        <v>2246790.3050000002</v>
      </c>
      <c r="AJ85" s="67">
        <f t="shared" si="511"/>
        <v>2587544</v>
      </c>
      <c r="AK85" s="68">
        <f t="shared" si="511"/>
        <v>2237114.853846156</v>
      </c>
      <c r="AL85" s="67">
        <f t="shared" si="511"/>
        <v>2289727.153846154</v>
      </c>
      <c r="AM85" s="67">
        <f t="shared" si="511"/>
        <v>2254464.569807692</v>
      </c>
      <c r="AN85" s="67">
        <f t="shared" si="511"/>
        <v>2198562.7628846155</v>
      </c>
      <c r="AO85" s="67">
        <f t="shared" si="511"/>
        <v>2216351.6090384615</v>
      </c>
      <c r="AP85" s="67">
        <f t="shared" si="511"/>
        <v>2360464.8077564104</v>
      </c>
      <c r="AQ85" s="67">
        <f t="shared" ref="AQ85:ES85" si="512">AQ86+AQ88+AQ90+AQ92</f>
        <v>3119870.325384615</v>
      </c>
      <c r="AR85" s="67">
        <f t="shared" si="512"/>
        <v>2856591.9995512823</v>
      </c>
      <c r="AS85" s="67">
        <f t="shared" si="512"/>
        <v>3619311.7232692307</v>
      </c>
      <c r="AT85" s="67">
        <f t="shared" si="512"/>
        <v>4003390.1805128204</v>
      </c>
      <c r="AU85" s="67">
        <f t="shared" si="512"/>
        <v>4734046.0464102561</v>
      </c>
      <c r="AV85" s="67">
        <f t="shared" si="512"/>
        <v>5785160.0179487169</v>
      </c>
      <c r="AW85" s="67">
        <f t="shared" si="512"/>
        <v>6651675.1741666682</v>
      </c>
      <c r="AX85" s="67">
        <f t="shared" si="512"/>
        <v>7255091.3275641035</v>
      </c>
      <c r="AY85" s="67">
        <f t="shared" si="512"/>
        <v>6119297.0827564094</v>
      </c>
      <c r="AZ85" s="67">
        <f t="shared" si="512"/>
        <v>5988786.537051281</v>
      </c>
      <c r="BA85" s="67">
        <f t="shared" si="512"/>
        <v>6559165.4893589746</v>
      </c>
      <c r="BB85" s="67">
        <f t="shared" si="512"/>
        <v>6340108.0425640997</v>
      </c>
      <c r="BC85" s="67">
        <f t="shared" si="512"/>
        <v>6546284.8737820517</v>
      </c>
      <c r="BD85" s="67">
        <f t="shared" si="512"/>
        <v>7174500.9835897433</v>
      </c>
      <c r="BE85" s="67">
        <f t="shared" si="512"/>
        <v>7076359.5291666649</v>
      </c>
      <c r="BF85" s="67">
        <f t="shared" si="512"/>
        <v>6748551.3004487185</v>
      </c>
      <c r="BG85" s="67">
        <f t="shared" si="512"/>
        <v>5590067.5350971883</v>
      </c>
      <c r="BH85" s="67">
        <f t="shared" si="512"/>
        <v>6755534.325192309</v>
      </c>
      <c r="BI85" s="67">
        <f t="shared" si="512"/>
        <v>5182999.5973717934</v>
      </c>
      <c r="BJ85" s="66">
        <f t="shared" si="512"/>
        <v>4435109.7211910672</v>
      </c>
      <c r="BK85" s="67">
        <f t="shared" si="512"/>
        <v>5222075.2474549171</v>
      </c>
      <c r="BL85" s="67">
        <f t="shared" si="512"/>
        <v>5644993.5065574795</v>
      </c>
      <c r="BM85" s="67">
        <f t="shared" si="512"/>
        <v>5360438.5523717925</v>
      </c>
      <c r="BN85" s="67">
        <f t="shared" si="512"/>
        <v>5758614.0509615345</v>
      </c>
      <c r="BO85" s="67">
        <f t="shared" si="512"/>
        <v>5666235.3874358982</v>
      </c>
      <c r="BP85" s="67">
        <f t="shared" si="512"/>
        <v>5192071.7683974355</v>
      </c>
      <c r="BQ85" s="67">
        <f t="shared" si="512"/>
        <v>5147863.8606410194</v>
      </c>
      <c r="BR85" s="67">
        <f t="shared" si="512"/>
        <v>5231960.8494871836</v>
      </c>
      <c r="BS85" s="67">
        <f t="shared" si="512"/>
        <v>4790172.0703639397</v>
      </c>
      <c r="BT85" s="67">
        <f t="shared" si="512"/>
        <v>3226451.5446794871</v>
      </c>
      <c r="BU85" s="67">
        <f t="shared" si="512"/>
        <v>3490800.2803205219</v>
      </c>
      <c r="BV85" s="67">
        <f t="shared" si="512"/>
        <v>3495909.1678205091</v>
      </c>
      <c r="BW85" s="67">
        <f t="shared" si="512"/>
        <v>4176159.593910262</v>
      </c>
      <c r="BX85" s="67">
        <f t="shared" si="512"/>
        <v>4399828.8685256299</v>
      </c>
      <c r="BY85" s="67">
        <f t="shared" si="512"/>
        <v>3884143.5694230804</v>
      </c>
      <c r="BZ85" s="67">
        <f t="shared" si="512"/>
        <v>4308933.5362179521</v>
      </c>
      <c r="CA85" s="67">
        <f t="shared" si="512"/>
        <v>4007149.2419871823</v>
      </c>
      <c r="CB85" s="67">
        <f t="shared" si="512"/>
        <v>4064494.0237179538</v>
      </c>
      <c r="CC85" s="67">
        <f t="shared" si="512"/>
        <v>4073743.9794830494</v>
      </c>
      <c r="CD85" s="67">
        <f t="shared" si="512"/>
        <v>4038427.7039743643</v>
      </c>
      <c r="CE85" s="67">
        <f t="shared" si="512"/>
        <v>4049234.1493589748</v>
      </c>
      <c r="CF85" s="67">
        <f t="shared" si="512"/>
        <v>4333473.6923718005</v>
      </c>
      <c r="CG85" s="67">
        <f t="shared" si="512"/>
        <v>4348906.4383974383</v>
      </c>
      <c r="CH85" s="67">
        <f t="shared" si="512"/>
        <v>6015797.5984615348</v>
      </c>
      <c r="CI85" s="67">
        <f t="shared" si="512"/>
        <v>5948721.2030769195</v>
      </c>
      <c r="CJ85" s="67">
        <f t="shared" si="512"/>
        <v>5682642.4519230761</v>
      </c>
      <c r="CK85" s="67">
        <f t="shared" si="512"/>
        <v>5519668.0810897481</v>
      </c>
      <c r="CL85" s="67">
        <f t="shared" si="512"/>
        <v>6336398.5028928891</v>
      </c>
      <c r="CM85" s="67">
        <f t="shared" si="512"/>
        <v>5663181.2535897419</v>
      </c>
      <c r="CN85" s="67">
        <f t="shared" si="512"/>
        <v>6075129.1419871794</v>
      </c>
      <c r="CO85" s="67">
        <f t="shared" si="512"/>
        <v>6131680.0643589795</v>
      </c>
      <c r="CP85" s="67">
        <f t="shared" si="512"/>
        <v>5838798.6576923197</v>
      </c>
      <c r="CQ85" s="67">
        <f t="shared" si="512"/>
        <v>7079859.4482692303</v>
      </c>
      <c r="CR85" s="67">
        <f t="shared" si="512"/>
        <v>6356852.6881410293</v>
      </c>
      <c r="CS85" s="67">
        <f t="shared" si="512"/>
        <v>7774548.8469597101</v>
      </c>
      <c r="CT85" s="67">
        <f t="shared" si="512"/>
        <v>7208975.885897439</v>
      </c>
      <c r="CU85" s="67">
        <f t="shared" si="512"/>
        <v>7963579.5209919261</v>
      </c>
      <c r="CV85" s="67">
        <f t="shared" si="512"/>
        <v>7963579.5209919261</v>
      </c>
      <c r="CW85" s="67">
        <f t="shared" si="512"/>
        <v>7963579.5209919261</v>
      </c>
      <c r="CX85" s="67">
        <f t="shared" si="512"/>
        <v>7963579.5209919261</v>
      </c>
      <c r="CY85" s="67">
        <f t="shared" si="512"/>
        <v>7963579.5209919261</v>
      </c>
      <c r="CZ85" s="67">
        <f t="shared" si="512"/>
        <v>7963579.5209919261</v>
      </c>
      <c r="DA85" s="67">
        <f t="shared" si="512"/>
        <v>7963579.5209919261</v>
      </c>
      <c r="DB85" s="67">
        <f t="shared" si="512"/>
        <v>7963579.5209919261</v>
      </c>
      <c r="DC85" s="67">
        <f t="shared" si="512"/>
        <v>7963579.5209919261</v>
      </c>
      <c r="DD85" s="67">
        <f t="shared" si="512"/>
        <v>7963579.5209919261</v>
      </c>
      <c r="DE85" s="67">
        <f t="shared" si="512"/>
        <v>7963579.5209919261</v>
      </c>
      <c r="DF85" s="67">
        <f t="shared" si="512"/>
        <v>7963579.5209919261</v>
      </c>
      <c r="DG85" s="67">
        <f t="shared" si="512"/>
        <v>9030699.1768048443</v>
      </c>
      <c r="DH85" s="67">
        <f t="shared" si="512"/>
        <v>9030699.1768048443</v>
      </c>
      <c r="DI85" s="67">
        <f t="shared" si="512"/>
        <v>9030699.1768048443</v>
      </c>
      <c r="DJ85" s="67">
        <f t="shared" si="512"/>
        <v>9030699.1768048443</v>
      </c>
      <c r="DK85" s="67">
        <f t="shared" si="512"/>
        <v>9030699.1768048443</v>
      </c>
      <c r="DL85" s="67">
        <f t="shared" si="512"/>
        <v>9030699.1768048443</v>
      </c>
      <c r="DM85" s="67">
        <f t="shared" si="512"/>
        <v>9030699.1768048443</v>
      </c>
      <c r="DN85" s="67">
        <f t="shared" si="512"/>
        <v>9030699.1768048443</v>
      </c>
      <c r="DO85" s="67">
        <f t="shared" si="512"/>
        <v>9030699.1768048443</v>
      </c>
      <c r="DP85" s="67">
        <f t="shared" si="512"/>
        <v>9030699.1768048443</v>
      </c>
      <c r="DQ85" s="67">
        <f t="shared" si="512"/>
        <v>9030699.1768048443</v>
      </c>
      <c r="DR85" s="69">
        <f t="shared" si="512"/>
        <v>9030699.1768048443</v>
      </c>
      <c r="DS85" s="69">
        <f t="shared" ref="DS85:ED85" si="513">DS86+DS88+DS90+DS92</f>
        <v>10240812.866496693</v>
      </c>
      <c r="DT85" s="69">
        <f t="shared" si="513"/>
        <v>10240812.866496693</v>
      </c>
      <c r="DU85" s="69">
        <f t="shared" si="513"/>
        <v>10240812.866496693</v>
      </c>
      <c r="DV85" s="69">
        <f t="shared" si="513"/>
        <v>10240812.866496693</v>
      </c>
      <c r="DW85" s="69">
        <f t="shared" si="513"/>
        <v>10240812.866496693</v>
      </c>
      <c r="DX85" s="69">
        <f t="shared" si="513"/>
        <v>10240812.866496693</v>
      </c>
      <c r="DY85" s="69">
        <f t="shared" si="513"/>
        <v>10240812.866496693</v>
      </c>
      <c r="DZ85" s="69">
        <f t="shared" si="513"/>
        <v>10240812.866496693</v>
      </c>
      <c r="EA85" s="69">
        <f t="shared" si="513"/>
        <v>10240812.866496693</v>
      </c>
      <c r="EB85" s="69">
        <f t="shared" si="513"/>
        <v>10240812.866496693</v>
      </c>
      <c r="EC85" s="69">
        <f t="shared" si="513"/>
        <v>10240812.866496693</v>
      </c>
      <c r="ED85" s="69">
        <f t="shared" si="513"/>
        <v>10240812.866496693</v>
      </c>
      <c r="EE85" s="39" t="s">
        <v>1</v>
      </c>
      <c r="EF85" s="68"/>
      <c r="EG85" s="629">
        <f t="shared" si="512"/>
        <v>16227507.306384189</v>
      </c>
      <c r="EH85" s="629">
        <f t="shared" si="512"/>
        <v>16616921.206794869</v>
      </c>
      <c r="EI85" s="629">
        <f t="shared" si="512"/>
        <v>15169996.780492142</v>
      </c>
      <c r="EJ85" s="629">
        <f t="shared" si="512"/>
        <v>10213160.992820518</v>
      </c>
      <c r="EK85" s="629">
        <f t="shared" si="512"/>
        <v>12460132.031858973</v>
      </c>
      <c r="EL85" s="629">
        <f t="shared" si="512"/>
        <v>12380576.801923089</v>
      </c>
      <c r="EM85" s="629">
        <f t="shared" si="512"/>
        <v>12161405.832816388</v>
      </c>
      <c r="EN85" s="629">
        <f t="shared" si="512"/>
        <v>14698177.729230773</v>
      </c>
      <c r="EO85" s="629">
        <f t="shared" si="512"/>
        <v>17151031.736089744</v>
      </c>
      <c r="EP85" s="629">
        <f t="shared" si="512"/>
        <v>18074708.898469813</v>
      </c>
      <c r="EQ85" s="629">
        <f>EQ86+EQ88+EQ90+EQ92</f>
        <v>19050338.170320529</v>
      </c>
      <c r="ER85" s="629">
        <f t="shared" si="512"/>
        <v>21340377.420998178</v>
      </c>
      <c r="ES85" s="629">
        <f t="shared" si="512"/>
        <v>23890738.562975779</v>
      </c>
      <c r="ET85" s="629">
        <f t="shared" ref="ET85:FD85" si="514">ET86+ET88+ET90+ET92</f>
        <v>23890738.562975779</v>
      </c>
      <c r="EU85" s="629">
        <f t="shared" si="514"/>
        <v>23890738.562975779</v>
      </c>
      <c r="EV85" s="629">
        <f t="shared" si="514"/>
        <v>23890738.562975779</v>
      </c>
      <c r="EW85" s="629">
        <f t="shared" si="514"/>
        <v>27092097.530414533</v>
      </c>
      <c r="EX85" s="629">
        <f t="shared" si="514"/>
        <v>27092097.530414533</v>
      </c>
      <c r="EY85" s="629">
        <f t="shared" si="514"/>
        <v>27092097.530414533</v>
      </c>
      <c r="EZ85" s="629">
        <f t="shared" si="514"/>
        <v>27092097.530414533</v>
      </c>
      <c r="FA85" s="629">
        <f t="shared" si="514"/>
        <v>30722438.599490084</v>
      </c>
      <c r="FB85" s="629">
        <f t="shared" si="514"/>
        <v>30722438.599490084</v>
      </c>
      <c r="FC85" s="629">
        <f t="shared" si="514"/>
        <v>30722438.599490084</v>
      </c>
      <c r="FD85" s="629">
        <f t="shared" si="514"/>
        <v>30722438.599490084</v>
      </c>
      <c r="FG85" s="70">
        <f t="shared" ref="FG85:FK85" si="515">FG86+FG88+FG90+FG92</f>
        <v>51700292.395829216</v>
      </c>
      <c r="FH85" s="67">
        <f t="shared" si="515"/>
        <v>75616456.225878268</v>
      </c>
      <c r="FI85" s="67">
        <f t="shared" si="515"/>
        <v>95562954.251903117</v>
      </c>
      <c r="FJ85" s="69">
        <f t="shared" si="515"/>
        <v>108368390.12165813</v>
      </c>
      <c r="FK85" s="69">
        <f t="shared" si="515"/>
        <v>122889754.39796034</v>
      </c>
    </row>
    <row r="86" spans="2:167" ht="15.75" customHeight="1" x14ac:dyDescent="0.2">
      <c r="B86" s="49" t="s">
        <v>42</v>
      </c>
      <c r="C86" s="66">
        <f>'P&amp;L - Inputs'!B103</f>
        <v>1153397</v>
      </c>
      <c r="D86" s="67">
        <f>'P&amp;L - Inputs'!C103</f>
        <v>1183074</v>
      </c>
      <c r="E86" s="67">
        <f>'P&amp;L - Inputs'!D103</f>
        <v>1207526.2857142857</v>
      </c>
      <c r="F86" s="67">
        <f>'P&amp;L - Inputs'!E103</f>
        <v>1384564.5714285714</v>
      </c>
      <c r="G86" s="67">
        <f>'P&amp;L - Inputs'!F103</f>
        <v>1809860</v>
      </c>
      <c r="H86" s="67">
        <f>'P&amp;L - Inputs'!G103</f>
        <v>2066871</v>
      </c>
      <c r="I86" s="67">
        <f>'P&amp;L - Inputs'!H103</f>
        <v>2050690</v>
      </c>
      <c r="J86" s="67">
        <f>'P&amp;L - Inputs'!I103</f>
        <v>2221215</v>
      </c>
      <c r="K86" s="67">
        <f>'P&amp;L - Inputs'!J103</f>
        <v>2409673</v>
      </c>
      <c r="L86" s="67">
        <f>'P&amp;L - Inputs'!K103</f>
        <v>2656904</v>
      </c>
      <c r="M86" s="67">
        <f>'P&amp;L - Inputs'!L103</f>
        <v>2744009.5714285714</v>
      </c>
      <c r="N86" s="67">
        <f>'P&amp;L - Inputs'!M103</f>
        <v>2979938.1428571427</v>
      </c>
      <c r="O86" s="67">
        <f>'P&amp;L - Inputs'!N103</f>
        <v>3140584</v>
      </c>
      <c r="P86" s="67">
        <f>'P&amp;L - Inputs'!O103</f>
        <v>3072734.5714285718</v>
      </c>
      <c r="Q86" s="67">
        <f>'P&amp;L - Inputs'!P103</f>
        <v>3114124.5714285718</v>
      </c>
      <c r="R86" s="67">
        <f>'P&amp;L - Inputs'!Q103</f>
        <v>2879222</v>
      </c>
      <c r="S86" s="67">
        <f>'P&amp;L - Inputs'!R103</f>
        <v>2931189</v>
      </c>
      <c r="T86" s="67">
        <f>'P&amp;L - Inputs'!S103</f>
        <v>2723924</v>
      </c>
      <c r="U86" s="67">
        <f>'P&amp;L - Inputs'!T103</f>
        <v>2612268</v>
      </c>
      <c r="V86" s="67">
        <f>'P&amp;L - Inputs'!U103</f>
        <v>2443740</v>
      </c>
      <c r="W86" s="67">
        <f>'P&amp;L - Inputs'!V103</f>
        <v>2402431.75</v>
      </c>
      <c r="X86" s="67">
        <f>'P&amp;L - Inputs'!W103</f>
        <v>2642995</v>
      </c>
      <c r="Y86" s="67">
        <f>'P&amp;L - Inputs'!X103</f>
        <v>2299244.0333333332</v>
      </c>
      <c r="Z86" s="67">
        <f>'P&amp;L - Inputs'!Y103</f>
        <v>2262405.0333333332</v>
      </c>
      <c r="AA86" s="67">
        <f>'P&amp;L - Inputs'!Z103</f>
        <v>2158911.9636904765</v>
      </c>
      <c r="AB86" s="67">
        <f>'P&amp;L - Inputs'!AA103</f>
        <v>2094516.7008333332</v>
      </c>
      <c r="AC86" s="68">
        <f>'P&amp;L - Inputs'!AB103</f>
        <v>2082020.8846428571</v>
      </c>
      <c r="AD86" s="67">
        <f>'P&amp;L - Inputs'!AC103</f>
        <v>1949900.6715476201</v>
      </c>
      <c r="AE86" s="67">
        <f>'P&amp;L - Inputs'!AD103</f>
        <v>1979221.1682142857</v>
      </c>
      <c r="AF86" s="67">
        <f>'P&amp;L - Inputs'!AE103</f>
        <v>1857942</v>
      </c>
      <c r="AG86" s="67">
        <f>'P&amp;L - Inputs'!AF103</f>
        <v>1911700.5</v>
      </c>
      <c r="AH86" s="67">
        <f>'P&amp;L - Inputs'!AG103</f>
        <v>2151887.15</v>
      </c>
      <c r="AI86" s="67">
        <f>'P&amp;L - Inputs'!AH103</f>
        <v>1972375.3050000002</v>
      </c>
      <c r="AJ86" s="67">
        <f>'P&amp;L - Inputs'!AI103</f>
        <v>2257388</v>
      </c>
      <c r="AK86" s="68">
        <f>'P&amp;L - Inputs'!AJ103</f>
        <v>1972736.200000002</v>
      </c>
      <c r="AL86" s="67">
        <f>'P&amp;L - Inputs'!AK103</f>
        <v>2011963.5</v>
      </c>
      <c r="AM86" s="67">
        <f>'P&amp;L - Inputs'!AL103</f>
        <v>1946634.7621153845</v>
      </c>
      <c r="AN86" s="67">
        <f>'P&amp;L - Inputs'!AM103</f>
        <v>1918887.9551923079</v>
      </c>
      <c r="AO86" s="67">
        <f>'P&amp;L - Inputs'!AN103</f>
        <v>1934911.801346154</v>
      </c>
      <c r="AP86" s="67">
        <f>'P&amp;L - Inputs'!AO103</f>
        <v>1892420.301346154</v>
      </c>
      <c r="AQ86" s="67">
        <f>'P&amp;L - Inputs'!AP103</f>
        <v>2201143.346153846</v>
      </c>
      <c r="AR86" s="67">
        <f>'P&amp;L - Inputs'!AQ103</f>
        <v>1810231.1231410259</v>
      </c>
      <c r="AS86" s="67">
        <f>'P&amp;L - Inputs'!AR103</f>
        <v>2093125</v>
      </c>
      <c r="AT86" s="67">
        <f>'P&amp;L - Inputs'!AS103</f>
        <v>1984572</v>
      </c>
      <c r="AU86" s="67">
        <f>'P&amp;L - Inputs'!AT103</f>
        <v>2262431</v>
      </c>
      <c r="AV86" s="67">
        <f>'P&amp;L - Inputs'!AU103</f>
        <v>2336458.6694871788</v>
      </c>
      <c r="AW86" s="67">
        <f>'P&amp;L - Inputs'!AV103</f>
        <v>2945834.8608333338</v>
      </c>
      <c r="AX86" s="67">
        <f>'P&amp;L - Inputs'!AW103</f>
        <v>3128599.662564103</v>
      </c>
      <c r="AY86" s="67">
        <f>'P&amp;L - Inputs'!AX103</f>
        <v>3274392.669807693</v>
      </c>
      <c r="AZ86" s="67">
        <f>'P&amp;L - Inputs'!AY103</f>
        <v>2951223.622628205</v>
      </c>
      <c r="BA86" s="67">
        <f>'P&amp;L - Inputs'!AZ103</f>
        <v>3492318.9732692312</v>
      </c>
      <c r="BB86" s="67">
        <f>'P&amp;L - Inputs'!BA103</f>
        <v>3670987.5675641</v>
      </c>
      <c r="BC86" s="67">
        <f>'P&amp;L - Inputs'!BB103</f>
        <v>3587847.4175000009</v>
      </c>
      <c r="BD86" s="67">
        <f>'P&amp;L - Inputs'!BC103</f>
        <v>3932913.3344871807</v>
      </c>
      <c r="BE86" s="67">
        <f>'P&amp;L - Inputs'!BD103</f>
        <v>3696399.274038462</v>
      </c>
      <c r="BF86" s="67">
        <f>'P&amp;L - Inputs'!BE103</f>
        <v>3820065.2879487183</v>
      </c>
      <c r="BG86" s="67">
        <f>'P&amp;L - Inputs'!BF103</f>
        <v>3396058.2762179491</v>
      </c>
      <c r="BH86" s="67">
        <f>'P&amp;L - Inputs'!BG103</f>
        <v>4072291.325192309</v>
      </c>
      <c r="BI86" s="67">
        <f>'P&amp;L - Inputs'!BH103</f>
        <v>3270551.9140384598</v>
      </c>
      <c r="BJ86" s="66">
        <f>'P&amp;L - Inputs'!BI103</f>
        <v>2775075.5345512815</v>
      </c>
      <c r="BK86" s="67">
        <f>'P&amp;L - Inputs'!BJ103</f>
        <v>3041913.1529136128</v>
      </c>
      <c r="BL86" s="67">
        <f>'P&amp;L - Inputs'!BK103</f>
        <v>3171234.1076572002</v>
      </c>
      <c r="BM86" s="67">
        <f>'P&amp;L - Inputs'!BL103</f>
        <v>3279692.6948076901</v>
      </c>
      <c r="BN86" s="67">
        <f>'P&amp;L - Inputs'!BM103</f>
        <v>3330664.5858333297</v>
      </c>
      <c r="BO86" s="67">
        <f>'P&amp;L - Inputs'!BN103</f>
        <v>3220555.3069230798</v>
      </c>
      <c r="BP86" s="67">
        <f>'P&amp;L - Inputs'!BO103</f>
        <v>3223956.2907692301</v>
      </c>
      <c r="BQ86" s="67">
        <f>'P&amp;L - Inputs'!BP103</f>
        <v>3208915.86730769</v>
      </c>
      <c r="BR86" s="67">
        <f>'P&amp;L - Inputs'!BQ103</f>
        <v>3100829.8661538502</v>
      </c>
      <c r="BS86" s="67">
        <f>'P&amp;L - Inputs'!BR103</f>
        <v>2673035.6178639401</v>
      </c>
      <c r="BT86" s="67">
        <f>'P&amp;L - Inputs'!BS103</f>
        <v>1511371.8344230771</v>
      </c>
      <c r="BU86" s="67">
        <f>'P&amp;L - Inputs'!BT103</f>
        <v>1585299.7673718</v>
      </c>
      <c r="BV86" s="67">
        <f>'P&amp;L - Inputs'!BU103</f>
        <v>1540343.10583333</v>
      </c>
      <c r="BW86" s="67">
        <f>'P&amp;L - Inputs'!BV103</f>
        <v>2127821.7023718003</v>
      </c>
      <c r="BX86" s="67">
        <f>'P&amp;L - Inputs'!BW103</f>
        <v>2294046.4408333302</v>
      </c>
      <c r="BY86" s="67">
        <f>'P&amp;L - Inputs'!BX103</f>
        <v>2300232.5177564099</v>
      </c>
      <c r="BZ86" s="67">
        <f>'P&amp;L - Inputs'!BY103</f>
        <v>2241220.62288462</v>
      </c>
      <c r="CA86" s="67">
        <f>'P&amp;L - Inputs'!BZ103</f>
        <v>2301737.8151923101</v>
      </c>
      <c r="CB86" s="67">
        <f>'P&amp;L - Inputs'!CA103</f>
        <v>2301532.8498718003</v>
      </c>
      <c r="CC86" s="67">
        <f>'P&amp;L - Inputs'!CB103</f>
        <v>2308655.9282651003</v>
      </c>
      <c r="CD86" s="67">
        <f>'P&amp;L - Inputs'!CC103</f>
        <v>2319841.4651282099</v>
      </c>
      <c r="CE86" s="67">
        <f>'P&amp;L - Inputs'!CD103</f>
        <v>2321683.5799358976</v>
      </c>
      <c r="CF86" s="67">
        <f>'P&amp;L - Inputs'!CE103</f>
        <v>2464180.3287820499</v>
      </c>
      <c r="CG86" s="67">
        <f>'P&amp;L - Inputs'!CF103</f>
        <v>2512469.3446794897</v>
      </c>
      <c r="CH86" s="67">
        <f>'P&amp;L - Inputs'!CG103</f>
        <v>3247590.2473076899</v>
      </c>
      <c r="CI86" s="67">
        <f>'P&amp;L - Inputs'!CH103</f>
        <v>3168623.1924359002</v>
      </c>
      <c r="CJ86" s="67">
        <f>'P&amp;L - Inputs'!CI103</f>
        <v>2989374.03852564</v>
      </c>
      <c r="CK86" s="67">
        <f>'P&amp;L - Inputs'!CJ103</f>
        <v>3007540.9403846199</v>
      </c>
      <c r="CL86" s="67">
        <f>'P&amp;L - Inputs'!CK103</f>
        <v>3320995.3051923099</v>
      </c>
      <c r="CM86" s="67">
        <f>'P&amp;L - Inputs'!CL103</f>
        <v>3067761.5096153799</v>
      </c>
      <c r="CN86" s="67">
        <f>'P&amp;L - Inputs'!CM103</f>
        <v>3190422.4442307702</v>
      </c>
      <c r="CO86" s="67">
        <f>'P&amp;L - Inputs'!CN103</f>
        <v>2920215.54038462</v>
      </c>
      <c r="CP86" s="67">
        <f>'P&amp;L - Inputs'!CO103</f>
        <v>2741688.6464102599</v>
      </c>
      <c r="CQ86" s="67">
        <f>'P&amp;L - Inputs'!CP103</f>
        <v>3507446.3375641</v>
      </c>
      <c r="CR86" s="67">
        <f>'P&amp;L - Inputs'!CQ103</f>
        <v>3080076.61698718</v>
      </c>
      <c r="CS86" s="67">
        <f>'P&amp;L - Inputs'!CR103</f>
        <v>3831354.96022894</v>
      </c>
      <c r="CT86" s="67">
        <f>'P&amp;L - Inputs'!CS103</f>
        <v>3547302.4667948699</v>
      </c>
      <c r="CU86" s="67">
        <f>'P&amp;L - Inputs'!CT103</f>
        <v>3759351.7611352215</v>
      </c>
      <c r="CV86" s="67">
        <f>'P&amp;L - Inputs'!CU103</f>
        <v>3759351.7611352215</v>
      </c>
      <c r="CW86" s="67">
        <f>'P&amp;L - Inputs'!CV103</f>
        <v>3759351.7611352215</v>
      </c>
      <c r="CX86" s="67">
        <f>'P&amp;L - Inputs'!CW103</f>
        <v>3759351.7611352215</v>
      </c>
      <c r="CY86" s="67">
        <f>'P&amp;L - Inputs'!CX103</f>
        <v>3759351.7611352215</v>
      </c>
      <c r="CZ86" s="67">
        <f>'P&amp;L - Inputs'!CY103</f>
        <v>3759351.7611352215</v>
      </c>
      <c r="DA86" s="67">
        <f>'P&amp;L - Inputs'!CZ103</f>
        <v>3759351.7611352215</v>
      </c>
      <c r="DB86" s="67">
        <f>'P&amp;L - Inputs'!DA103</f>
        <v>3759351.7611352215</v>
      </c>
      <c r="DC86" s="67">
        <f>'P&amp;L - Inputs'!DB103</f>
        <v>3759351.7611352215</v>
      </c>
      <c r="DD86" s="67">
        <f>'P&amp;L - Inputs'!DC103</f>
        <v>3759351.7611352215</v>
      </c>
      <c r="DE86" s="67">
        <f>'P&amp;L - Inputs'!DD103</f>
        <v>3759351.7611352215</v>
      </c>
      <c r="DF86" s="67">
        <f>'P&amp;L - Inputs'!DE103</f>
        <v>3759351.7611352215</v>
      </c>
      <c r="DG86" s="67">
        <f>'P&amp;L - Inputs'!DF103</f>
        <v>4263104.8971273415</v>
      </c>
      <c r="DH86" s="67">
        <f>'P&amp;L - Inputs'!DG103</f>
        <v>4263104.8971273415</v>
      </c>
      <c r="DI86" s="67">
        <f>'P&amp;L - Inputs'!DH103</f>
        <v>4263104.8971273415</v>
      </c>
      <c r="DJ86" s="67">
        <f>'P&amp;L - Inputs'!DI103</f>
        <v>4263104.8971273415</v>
      </c>
      <c r="DK86" s="67">
        <f>'P&amp;L - Inputs'!DJ103</f>
        <v>4263104.8971273415</v>
      </c>
      <c r="DL86" s="67">
        <f>'P&amp;L - Inputs'!DK103</f>
        <v>4263104.8971273415</v>
      </c>
      <c r="DM86" s="67">
        <f>'P&amp;L - Inputs'!DL103</f>
        <v>4263104.8971273415</v>
      </c>
      <c r="DN86" s="67">
        <f>'P&amp;L - Inputs'!DM103</f>
        <v>4263104.8971273415</v>
      </c>
      <c r="DO86" s="67">
        <f>'P&amp;L - Inputs'!DN103</f>
        <v>4263104.8971273415</v>
      </c>
      <c r="DP86" s="67">
        <f>'P&amp;L - Inputs'!DO103</f>
        <v>4263104.8971273415</v>
      </c>
      <c r="DQ86" s="67">
        <f>'P&amp;L - Inputs'!DP103</f>
        <v>4263104.8971273415</v>
      </c>
      <c r="DR86" s="69">
        <f>'P&amp;L - Inputs'!DQ103</f>
        <v>4263104.8971273415</v>
      </c>
      <c r="DS86" s="69">
        <f>'P&amp;L - Inputs'!DR103</f>
        <v>4834360.9533424051</v>
      </c>
      <c r="DT86" s="69">
        <f>'P&amp;L - Inputs'!DS103</f>
        <v>4834360.9533424051</v>
      </c>
      <c r="DU86" s="69">
        <f>'P&amp;L - Inputs'!DT103</f>
        <v>4834360.9533424051</v>
      </c>
      <c r="DV86" s="69">
        <f>'P&amp;L - Inputs'!DU103</f>
        <v>4834360.9533424051</v>
      </c>
      <c r="DW86" s="69">
        <f>'P&amp;L - Inputs'!DV103</f>
        <v>4834360.9533424051</v>
      </c>
      <c r="DX86" s="69">
        <f>'P&amp;L - Inputs'!DW103</f>
        <v>4834360.9533424051</v>
      </c>
      <c r="DY86" s="69">
        <f>'P&amp;L - Inputs'!DX103</f>
        <v>4834360.9533424051</v>
      </c>
      <c r="DZ86" s="69">
        <f>'P&amp;L - Inputs'!DY103</f>
        <v>4834360.9533424051</v>
      </c>
      <c r="EA86" s="69">
        <f>'P&amp;L - Inputs'!DZ103</f>
        <v>4834360.9533424051</v>
      </c>
      <c r="EB86" s="69">
        <f>'P&amp;L - Inputs'!EA103</f>
        <v>4834360.9533424051</v>
      </c>
      <c r="EC86" s="69">
        <f>'P&amp;L - Inputs'!EB103</f>
        <v>4834360.9533424051</v>
      </c>
      <c r="ED86" s="69">
        <f>'P&amp;L - Inputs'!EC103</f>
        <v>4834360.9533424051</v>
      </c>
      <c r="EE86" s="39" t="s">
        <v>1</v>
      </c>
      <c r="EF86" s="68"/>
      <c r="EG86" s="629">
        <f>SUM(BK86:BM86)</f>
        <v>9492839.9553785026</v>
      </c>
      <c r="EH86" s="629">
        <f>SUM(BN86:BP86)</f>
        <v>9775176.1835256405</v>
      </c>
      <c r="EI86" s="629">
        <f>SUM(BQ86:BS86)</f>
        <v>8982781.3513254803</v>
      </c>
      <c r="EJ86" s="629">
        <f>SUM(BT86:BV86)</f>
        <v>4637014.7076282073</v>
      </c>
      <c r="EK86" s="629">
        <f>SUM(BW86:BY86)</f>
        <v>6722100.6609615404</v>
      </c>
      <c r="EL86" s="629">
        <f t="shared" ref="EL86" si="516">SUM(BZ86:CB86)</f>
        <v>6844491.2879487304</v>
      </c>
      <c r="EM86" s="629">
        <f t="shared" ref="EM86" si="517">SUM(CC86:CE86)</f>
        <v>6950180.9733292069</v>
      </c>
      <c r="EN86" s="629">
        <f t="shared" ref="EN86" si="518">SUM(CF86:CH86)</f>
        <v>8224239.9207692295</v>
      </c>
      <c r="EO86" s="629">
        <f t="shared" ref="EO86" si="519">SUM(CI86:CK86)</f>
        <v>9165538.1713461615</v>
      </c>
      <c r="EP86" s="629">
        <f t="shared" ref="EP86" si="520">SUM(CL86:CN86)</f>
        <v>9579179.2590384595</v>
      </c>
      <c r="EQ86" s="629">
        <f t="shared" ref="EQ86" si="521">SUM(CO86:CQ86)</f>
        <v>9169350.5243589804</v>
      </c>
      <c r="ER86" s="629">
        <f>SUM(CR86:CT86)</f>
        <v>10458734.044010989</v>
      </c>
      <c r="ES86" s="629">
        <f t="shared" ref="ES86:ES97" si="522">SUM(CU86:CW86)</f>
        <v>11278055.283405665</v>
      </c>
      <c r="ET86" s="629">
        <f t="shared" ref="ET86:ET97" si="523">SUM(CX86:CZ86)</f>
        <v>11278055.283405665</v>
      </c>
      <c r="EU86" s="629">
        <f t="shared" ref="EU86:EU97" si="524">SUM(DA86:DC86)</f>
        <v>11278055.283405665</v>
      </c>
      <c r="EV86" s="629">
        <f t="shared" ref="EV86:EV97" si="525">SUM(DD86:DF86)</f>
        <v>11278055.283405665</v>
      </c>
      <c r="EW86" s="629">
        <f t="shared" ref="EW86:EW97" si="526">SUM(DG86:DI86)</f>
        <v>12789314.691382024</v>
      </c>
      <c r="EX86" s="629">
        <f t="shared" ref="EX86:EX97" si="527">SUM(DJ86:DL86)</f>
        <v>12789314.691382024</v>
      </c>
      <c r="EY86" s="629">
        <f t="shared" ref="EY86:EY97" si="528">SUM(DM86:DO86)</f>
        <v>12789314.691382024</v>
      </c>
      <c r="EZ86" s="629">
        <f t="shared" ref="EZ86:EZ97" si="529">SUM(DP86:DR86)</f>
        <v>12789314.691382024</v>
      </c>
      <c r="FA86" s="629">
        <f t="shared" ref="FA86:FA97" si="530">SUM(DS86:DU86)</f>
        <v>14503082.860027216</v>
      </c>
      <c r="FB86" s="629">
        <f t="shared" ref="FB86:FB97" si="531">SUM(DV86:DX86)</f>
        <v>14503082.860027216</v>
      </c>
      <c r="FC86" s="629">
        <f t="shared" ref="FC86:FC97" si="532">SUM(DY86:EA86)</f>
        <v>14503082.860027216</v>
      </c>
      <c r="FD86" s="629">
        <f t="shared" ref="FD86:FD97" si="533">SUM(EB86:ED86)</f>
        <v>14503082.860027216</v>
      </c>
      <c r="FG86" s="70">
        <f t="shared" ref="FG86:FG97" si="534">SUM(EK86:EN86)</f>
        <v>28741012.843008704</v>
      </c>
      <c r="FH86" s="67">
        <f t="shared" ref="FH86:FH97" si="535">SUM(EO86:ER86)</f>
        <v>38372801.998754591</v>
      </c>
      <c r="FI86" s="67">
        <f t="shared" ref="FI86:FI97" si="536">SUM(ES86:EV86)</f>
        <v>45112221.133622661</v>
      </c>
      <c r="FJ86" s="69">
        <f t="shared" ref="FJ86:FJ97" si="537">SUM(EW86:EZ86)</f>
        <v>51157258.765528098</v>
      </c>
      <c r="FK86" s="619">
        <f t="shared" ref="FK86:FK97" si="538">SUM(FA86:FD86)</f>
        <v>58012331.440108865</v>
      </c>
    </row>
    <row r="87" spans="2:167" ht="15.75" customHeight="1" x14ac:dyDescent="0.2">
      <c r="B87" s="48" t="s">
        <v>43</v>
      </c>
      <c r="C87" s="87">
        <f>'P&amp;L - Inputs'!B104</f>
        <v>25</v>
      </c>
      <c r="D87" s="85">
        <f>'P&amp;L - Inputs'!C104</f>
        <v>27</v>
      </c>
      <c r="E87" s="85">
        <f>'P&amp;L - Inputs'!D104</f>
        <v>30</v>
      </c>
      <c r="F87" s="85">
        <f>'P&amp;L - Inputs'!E104</f>
        <v>38</v>
      </c>
      <c r="G87" s="85">
        <f>'P&amp;L - Inputs'!F104</f>
        <v>53</v>
      </c>
      <c r="H87" s="85">
        <f>'P&amp;L - Inputs'!G104</f>
        <v>53</v>
      </c>
      <c r="I87" s="85">
        <f>'P&amp;L - Inputs'!H104</f>
        <v>51</v>
      </c>
      <c r="J87" s="85">
        <f>'P&amp;L - Inputs'!I104</f>
        <v>52</v>
      </c>
      <c r="K87" s="85">
        <f>'P&amp;L - Inputs'!J104</f>
        <v>54</v>
      </c>
      <c r="L87" s="85">
        <f>'P&amp;L - Inputs'!K104</f>
        <v>56</v>
      </c>
      <c r="M87" s="85">
        <f>'P&amp;L - Inputs'!L104</f>
        <v>62</v>
      </c>
      <c r="N87" s="85">
        <f>'P&amp;L - Inputs'!M104</f>
        <v>62</v>
      </c>
      <c r="O87" s="85">
        <f>'P&amp;L - Inputs'!N104</f>
        <v>66</v>
      </c>
      <c r="P87" s="85">
        <f>'P&amp;L - Inputs'!O104</f>
        <v>66</v>
      </c>
      <c r="Q87" s="85">
        <f>'P&amp;L - Inputs'!P104</f>
        <v>66</v>
      </c>
      <c r="R87" s="85">
        <f>'P&amp;L - Inputs'!Q104</f>
        <v>64</v>
      </c>
      <c r="S87" s="85">
        <f>'P&amp;L - Inputs'!R104</f>
        <v>58</v>
      </c>
      <c r="T87" s="85">
        <f>'P&amp;L - Inputs'!S104</f>
        <v>63</v>
      </c>
      <c r="U87" s="85">
        <f>'P&amp;L - Inputs'!T104</f>
        <v>59</v>
      </c>
      <c r="V87" s="85">
        <f>'P&amp;L - Inputs'!U104</f>
        <v>57</v>
      </c>
      <c r="W87" s="85">
        <f>'P&amp;L - Inputs'!V104</f>
        <v>54</v>
      </c>
      <c r="X87" s="85">
        <f>'P&amp;L - Inputs'!W104</f>
        <v>57</v>
      </c>
      <c r="Y87" s="85">
        <f>'P&amp;L - Inputs'!X104</f>
        <v>58</v>
      </c>
      <c r="Z87" s="85">
        <f>'P&amp;L - Inputs'!Y104</f>
        <v>54</v>
      </c>
      <c r="AA87" s="85">
        <f>'P&amp;L - Inputs'!Z104</f>
        <v>52</v>
      </c>
      <c r="AB87" s="85">
        <f>'P&amp;L - Inputs'!AA104</f>
        <v>52</v>
      </c>
      <c r="AC87" s="88">
        <f>'P&amp;L - Inputs'!AB104</f>
        <v>52</v>
      </c>
      <c r="AD87" s="85">
        <f>'P&amp;L - Inputs'!AC104</f>
        <v>47</v>
      </c>
      <c r="AE87" s="85">
        <f>'P&amp;L - Inputs'!AD104</f>
        <v>47</v>
      </c>
      <c r="AF87" s="85">
        <f>'P&amp;L - Inputs'!AE104</f>
        <v>43</v>
      </c>
      <c r="AG87" s="85">
        <f>'P&amp;L - Inputs'!AF104</f>
        <v>42</v>
      </c>
      <c r="AH87" s="85">
        <f>'P&amp;L - Inputs'!AG104</f>
        <v>42</v>
      </c>
      <c r="AI87" s="85">
        <f>'P&amp;L - Inputs'!AH104</f>
        <v>39</v>
      </c>
      <c r="AJ87" s="85">
        <f>'P&amp;L - Inputs'!AI104</f>
        <v>39</v>
      </c>
      <c r="AK87" s="88">
        <f>'P&amp;L - Inputs'!AJ104</f>
        <v>36</v>
      </c>
      <c r="AL87" s="85">
        <f>'P&amp;L - Inputs'!AK104</f>
        <v>38</v>
      </c>
      <c r="AM87" s="85">
        <f>'P&amp;L - Inputs'!AL104</f>
        <v>36</v>
      </c>
      <c r="AN87" s="85">
        <f>'P&amp;L - Inputs'!AM104</f>
        <v>38</v>
      </c>
      <c r="AO87" s="85">
        <f>'P&amp;L - Inputs'!AN104</f>
        <v>39</v>
      </c>
      <c r="AP87" s="85">
        <f>'P&amp;L - Inputs'!AO104</f>
        <v>37</v>
      </c>
      <c r="AQ87" s="85">
        <f>'P&amp;L - Inputs'!AP104</f>
        <v>40</v>
      </c>
      <c r="AR87" s="85">
        <f>'P&amp;L - Inputs'!AQ104</f>
        <v>36</v>
      </c>
      <c r="AS87" s="85">
        <f>'P&amp;L - Inputs'!AR104</f>
        <v>40</v>
      </c>
      <c r="AT87" s="85">
        <f>'P&amp;L - Inputs'!AS104</f>
        <v>40</v>
      </c>
      <c r="AU87" s="85">
        <f>'P&amp;L - Inputs'!AT104</f>
        <v>42</v>
      </c>
      <c r="AV87" s="85">
        <f>'P&amp;L - Inputs'!AU104</f>
        <v>40</v>
      </c>
      <c r="AW87" s="85">
        <f>'P&amp;L - Inputs'!AV104</f>
        <v>45</v>
      </c>
      <c r="AX87" s="85">
        <f>'P&amp;L - Inputs'!AW104</f>
        <v>42</v>
      </c>
      <c r="AY87" s="85">
        <f>'P&amp;L - Inputs'!AX104</f>
        <v>49</v>
      </c>
      <c r="AZ87" s="85">
        <f>'P&amp;L - Inputs'!AY104</f>
        <v>45</v>
      </c>
      <c r="BA87" s="85">
        <f>'P&amp;L - Inputs'!AZ104</f>
        <v>51</v>
      </c>
      <c r="BB87" s="85">
        <f>'P&amp;L - Inputs'!BA104</f>
        <v>52</v>
      </c>
      <c r="BC87" s="85">
        <f>'P&amp;L - Inputs'!BB104</f>
        <v>54</v>
      </c>
      <c r="BD87" s="85">
        <f>'P&amp;L - Inputs'!BC104</f>
        <v>51</v>
      </c>
      <c r="BE87" s="85">
        <f>'P&amp;L - Inputs'!BD104</f>
        <v>49</v>
      </c>
      <c r="BF87" s="85">
        <f>'P&amp;L - Inputs'!BE104</f>
        <v>51</v>
      </c>
      <c r="BG87" s="85">
        <f>'P&amp;L - Inputs'!BF104</f>
        <v>47</v>
      </c>
      <c r="BH87" s="85">
        <f>'P&amp;L - Inputs'!BG104</f>
        <v>45</v>
      </c>
      <c r="BI87" s="85">
        <f>'P&amp;L - Inputs'!BH104</f>
        <v>45</v>
      </c>
      <c r="BJ87" s="87">
        <f>'P&amp;L - Inputs'!BI104</f>
        <v>41</v>
      </c>
      <c r="BK87" s="85">
        <f>'P&amp;L - Inputs'!BJ104</f>
        <v>41</v>
      </c>
      <c r="BL87" s="85">
        <f>'P&amp;L - Inputs'!BK104</f>
        <v>41</v>
      </c>
      <c r="BM87" s="85">
        <f>'P&amp;L - Inputs'!BL104</f>
        <v>39</v>
      </c>
      <c r="BN87" s="85">
        <f>'P&amp;L - Inputs'!BM104</f>
        <v>37</v>
      </c>
      <c r="BO87" s="85">
        <f>'P&amp;L - Inputs'!BN104</f>
        <v>37</v>
      </c>
      <c r="BP87" s="85">
        <f>'P&amp;L - Inputs'!BO104</f>
        <v>36</v>
      </c>
      <c r="BQ87" s="85">
        <f>'P&amp;L - Inputs'!BP104</f>
        <v>39</v>
      </c>
      <c r="BR87" s="85">
        <f>'P&amp;L - Inputs'!BQ104</f>
        <v>39</v>
      </c>
      <c r="BS87" s="85">
        <f>'P&amp;L - Inputs'!BR104</f>
        <v>36</v>
      </c>
      <c r="BT87" s="85">
        <f>'P&amp;L - Inputs'!BS104</f>
        <v>24</v>
      </c>
      <c r="BU87" s="85">
        <f>'P&amp;L - Inputs'!BT104</f>
        <v>23</v>
      </c>
      <c r="BV87" s="85">
        <f>'P&amp;L - Inputs'!BU104</f>
        <v>24</v>
      </c>
      <c r="BW87" s="85">
        <f>'P&amp;L - Inputs'!BV104</f>
        <v>25</v>
      </c>
      <c r="BX87" s="85">
        <f>'P&amp;L - Inputs'!BW104</f>
        <v>24</v>
      </c>
      <c r="BY87" s="85">
        <f>'P&amp;L - Inputs'!BX104</f>
        <v>24</v>
      </c>
      <c r="BZ87" s="85">
        <f>'P&amp;L - Inputs'!BY104</f>
        <v>24</v>
      </c>
      <c r="CA87" s="85">
        <f>'P&amp;L - Inputs'!BZ104</f>
        <v>24</v>
      </c>
      <c r="CB87" s="85">
        <f>'P&amp;L - Inputs'!CA104</f>
        <v>24</v>
      </c>
      <c r="CC87" s="85">
        <f>'P&amp;L - Inputs'!CB104</f>
        <v>24</v>
      </c>
      <c r="CD87" s="85">
        <f>'P&amp;L - Inputs'!CC104</f>
        <v>24</v>
      </c>
      <c r="CE87" s="85">
        <f>'P&amp;L - Inputs'!CD104</f>
        <v>25</v>
      </c>
      <c r="CF87" s="85">
        <f>'P&amp;L - Inputs'!CE104</f>
        <v>27</v>
      </c>
      <c r="CG87" s="85">
        <f>'P&amp;L - Inputs'!CF104</f>
        <v>31</v>
      </c>
      <c r="CH87" s="85">
        <f>'P&amp;L - Inputs'!CG104</f>
        <v>36</v>
      </c>
      <c r="CI87" s="85">
        <f>'P&amp;L - Inputs'!CH104</f>
        <v>35</v>
      </c>
      <c r="CJ87" s="85">
        <f>'P&amp;L - Inputs'!CI104</f>
        <v>34</v>
      </c>
      <c r="CK87" s="85">
        <f>'P&amp;L - Inputs'!CJ104</f>
        <v>32</v>
      </c>
      <c r="CL87" s="85">
        <f>'P&amp;L - Inputs'!CK104</f>
        <v>30</v>
      </c>
      <c r="CM87" s="85">
        <f>'P&amp;L - Inputs'!CL104</f>
        <v>28</v>
      </c>
      <c r="CN87" s="85">
        <f>'P&amp;L - Inputs'!CM104</f>
        <v>30</v>
      </c>
      <c r="CO87" s="85">
        <f>'P&amp;L - Inputs'!CN104</f>
        <v>29</v>
      </c>
      <c r="CP87" s="85">
        <f>'P&amp;L - Inputs'!CO104</f>
        <v>29</v>
      </c>
      <c r="CQ87" s="85">
        <f>'P&amp;L - Inputs'!CP104</f>
        <v>34</v>
      </c>
      <c r="CR87" s="85">
        <f>'P&amp;L - Inputs'!CQ104</f>
        <v>33</v>
      </c>
      <c r="CS87" s="85">
        <f>'P&amp;L - Inputs'!CR104</f>
        <v>32</v>
      </c>
      <c r="CT87" s="85">
        <f>'P&amp;L - Inputs'!CS104</f>
        <v>31</v>
      </c>
      <c r="CU87" s="85">
        <f>'P&amp;L - Inputs'!CT104</f>
        <v>34.1</v>
      </c>
      <c r="CV87" s="85">
        <f>'P&amp;L - Inputs'!CU104</f>
        <v>34.1</v>
      </c>
      <c r="CW87" s="85">
        <f>'P&amp;L - Inputs'!CV104</f>
        <v>34.1</v>
      </c>
      <c r="CX87" s="85">
        <f>'P&amp;L - Inputs'!CW104</f>
        <v>34.1</v>
      </c>
      <c r="CY87" s="85">
        <f>'P&amp;L - Inputs'!CX104</f>
        <v>34.1</v>
      </c>
      <c r="CZ87" s="85">
        <f>'P&amp;L - Inputs'!CY104</f>
        <v>34.1</v>
      </c>
      <c r="DA87" s="85">
        <f>'P&amp;L - Inputs'!CZ104</f>
        <v>34.1</v>
      </c>
      <c r="DB87" s="85">
        <f>'P&amp;L - Inputs'!DA104</f>
        <v>34.1</v>
      </c>
      <c r="DC87" s="85">
        <f>'P&amp;L - Inputs'!DB104</f>
        <v>34.1</v>
      </c>
      <c r="DD87" s="85">
        <f>'P&amp;L - Inputs'!DC104</f>
        <v>34.1</v>
      </c>
      <c r="DE87" s="85">
        <f>'P&amp;L - Inputs'!DD104</f>
        <v>34.1</v>
      </c>
      <c r="DF87" s="85">
        <f>'P&amp;L - Inputs'!DE104</f>
        <v>34.1</v>
      </c>
      <c r="DG87" s="85">
        <f>'P&amp;L - Inputs'!DF104</f>
        <v>35.805</v>
      </c>
      <c r="DH87" s="85">
        <f>'P&amp;L - Inputs'!DG104</f>
        <v>35.805</v>
      </c>
      <c r="DI87" s="85">
        <f>'P&amp;L - Inputs'!DH104</f>
        <v>35.805</v>
      </c>
      <c r="DJ87" s="85">
        <f>'P&amp;L - Inputs'!DI104</f>
        <v>35.805</v>
      </c>
      <c r="DK87" s="85">
        <f>'P&amp;L - Inputs'!DJ104</f>
        <v>35.805</v>
      </c>
      <c r="DL87" s="85">
        <f>'P&amp;L - Inputs'!DK104</f>
        <v>35.805</v>
      </c>
      <c r="DM87" s="85">
        <f>'P&amp;L - Inputs'!DL104</f>
        <v>35.805</v>
      </c>
      <c r="DN87" s="85">
        <f>'P&amp;L - Inputs'!DM104</f>
        <v>35.805</v>
      </c>
      <c r="DO87" s="85">
        <f>'P&amp;L - Inputs'!DN104</f>
        <v>35.805</v>
      </c>
      <c r="DP87" s="85">
        <f>'P&amp;L - Inputs'!DO104</f>
        <v>35.805</v>
      </c>
      <c r="DQ87" s="85">
        <f>'P&amp;L - Inputs'!DP104</f>
        <v>35.805</v>
      </c>
      <c r="DR87" s="86">
        <f>'P&amp;L - Inputs'!DQ104</f>
        <v>35.805</v>
      </c>
      <c r="DS87" s="86">
        <f>'P&amp;L - Inputs'!DR104</f>
        <v>37.59525</v>
      </c>
      <c r="DT87" s="86">
        <f>'P&amp;L - Inputs'!DS104</f>
        <v>37.59525</v>
      </c>
      <c r="DU87" s="86">
        <f>'P&amp;L - Inputs'!DT104</f>
        <v>37.59525</v>
      </c>
      <c r="DV87" s="86">
        <f>'P&amp;L - Inputs'!DU104</f>
        <v>37.59525</v>
      </c>
      <c r="DW87" s="86">
        <f>'P&amp;L - Inputs'!DV104</f>
        <v>37.59525</v>
      </c>
      <c r="DX87" s="86">
        <f>'P&amp;L - Inputs'!DW104</f>
        <v>37.59525</v>
      </c>
      <c r="DY87" s="86">
        <f>'P&amp;L - Inputs'!DX104</f>
        <v>37.59525</v>
      </c>
      <c r="DZ87" s="86">
        <f>'P&amp;L - Inputs'!DY104</f>
        <v>37.59525</v>
      </c>
      <c r="EA87" s="86">
        <f>'P&amp;L - Inputs'!DZ104</f>
        <v>37.59525</v>
      </c>
      <c r="EB87" s="86">
        <f>'P&amp;L - Inputs'!EA104</f>
        <v>37.59525</v>
      </c>
      <c r="EC87" s="86">
        <f>'P&amp;L - Inputs'!EB104</f>
        <v>37.59525</v>
      </c>
      <c r="ED87" s="86">
        <f>'P&amp;L - Inputs'!EC104</f>
        <v>37.59525</v>
      </c>
      <c r="EE87" s="39" t="s">
        <v>1</v>
      </c>
      <c r="EF87" s="88"/>
      <c r="EG87" s="634"/>
      <c r="EH87" s="634"/>
      <c r="EI87" s="634"/>
      <c r="EJ87" s="634"/>
      <c r="EK87" s="634"/>
      <c r="EL87" s="634"/>
      <c r="EM87" s="634"/>
      <c r="EN87" s="634"/>
      <c r="EO87" s="634"/>
      <c r="EP87" s="634"/>
      <c r="EQ87" s="634"/>
      <c r="ER87" s="634">
        <v>0</v>
      </c>
      <c r="ES87" s="629">
        <f t="shared" si="522"/>
        <v>102.30000000000001</v>
      </c>
      <c r="ET87" s="629">
        <f t="shared" si="523"/>
        <v>102.30000000000001</v>
      </c>
      <c r="EU87" s="629">
        <f t="shared" si="524"/>
        <v>102.30000000000001</v>
      </c>
      <c r="EV87" s="629">
        <f t="shared" si="525"/>
        <v>102.30000000000001</v>
      </c>
      <c r="EW87" s="629">
        <f t="shared" si="526"/>
        <v>107.41499999999999</v>
      </c>
      <c r="EX87" s="629">
        <f t="shared" si="527"/>
        <v>107.41499999999999</v>
      </c>
      <c r="EY87" s="629">
        <f t="shared" si="528"/>
        <v>107.41499999999999</v>
      </c>
      <c r="EZ87" s="629">
        <f t="shared" si="529"/>
        <v>107.41499999999999</v>
      </c>
      <c r="FA87" s="629">
        <f t="shared" si="530"/>
        <v>112.78575000000001</v>
      </c>
      <c r="FB87" s="629">
        <f t="shared" si="531"/>
        <v>112.78575000000001</v>
      </c>
      <c r="FC87" s="629">
        <f t="shared" si="532"/>
        <v>112.78575000000001</v>
      </c>
      <c r="FD87" s="629">
        <f t="shared" si="533"/>
        <v>112.78575000000001</v>
      </c>
      <c r="FG87" s="70">
        <f t="shared" si="534"/>
        <v>0</v>
      </c>
      <c r="FH87" s="67">
        <f t="shared" si="535"/>
        <v>0</v>
      </c>
      <c r="FI87" s="67">
        <f t="shared" si="536"/>
        <v>409.20000000000005</v>
      </c>
      <c r="FJ87" s="69">
        <f t="shared" si="537"/>
        <v>429.65999999999997</v>
      </c>
      <c r="FK87" s="619">
        <f t="shared" si="538"/>
        <v>451.14300000000003</v>
      </c>
    </row>
    <row r="88" spans="2:167" ht="15.75" hidden="1" customHeight="1" x14ac:dyDescent="0.2">
      <c r="B88" s="49" t="s">
        <v>44</v>
      </c>
      <c r="C88" s="66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7">
        <v>0</v>
      </c>
      <c r="M88" s="67">
        <v>0</v>
      </c>
      <c r="N88" s="67">
        <v>0</v>
      </c>
      <c r="O88" s="67">
        <v>0</v>
      </c>
      <c r="P88" s="67">
        <v>0</v>
      </c>
      <c r="Q88" s="67">
        <v>0</v>
      </c>
      <c r="R88" s="67">
        <v>0</v>
      </c>
      <c r="S88" s="67">
        <v>0</v>
      </c>
      <c r="T88" s="67">
        <v>0</v>
      </c>
      <c r="U88" s="67">
        <v>0</v>
      </c>
      <c r="V88" s="67">
        <v>0</v>
      </c>
      <c r="W88" s="67">
        <v>0</v>
      </c>
      <c r="X88" s="67">
        <v>0</v>
      </c>
      <c r="Y88" s="67">
        <v>0</v>
      </c>
      <c r="Z88" s="67">
        <v>0</v>
      </c>
      <c r="AA88" s="67">
        <v>0</v>
      </c>
      <c r="AB88" s="67">
        <v>0</v>
      </c>
      <c r="AC88" s="68">
        <v>0</v>
      </c>
      <c r="AD88" s="67">
        <v>0</v>
      </c>
      <c r="AE88" s="67">
        <v>0</v>
      </c>
      <c r="AF88" s="67">
        <v>0</v>
      </c>
      <c r="AG88" s="67">
        <v>0</v>
      </c>
      <c r="AH88" s="67">
        <v>0</v>
      </c>
      <c r="AI88" s="67">
        <v>0</v>
      </c>
      <c r="AJ88" s="67">
        <v>0</v>
      </c>
      <c r="AK88" s="68">
        <v>0</v>
      </c>
      <c r="AL88" s="67">
        <v>0</v>
      </c>
      <c r="AM88" s="67">
        <v>0</v>
      </c>
      <c r="AN88" s="67">
        <v>0</v>
      </c>
      <c r="AO88" s="67">
        <v>0</v>
      </c>
      <c r="AP88" s="67">
        <v>0</v>
      </c>
      <c r="AQ88" s="67">
        <v>0</v>
      </c>
      <c r="AR88" s="67">
        <v>0</v>
      </c>
      <c r="AS88" s="67">
        <v>0</v>
      </c>
      <c r="AT88" s="67">
        <v>0</v>
      </c>
      <c r="AU88" s="67">
        <v>0</v>
      </c>
      <c r="AV88" s="67">
        <v>0</v>
      </c>
      <c r="AW88" s="67">
        <v>0</v>
      </c>
      <c r="AX88" s="67">
        <v>0</v>
      </c>
      <c r="AY88" s="67">
        <v>0</v>
      </c>
      <c r="AZ88" s="67">
        <v>0</v>
      </c>
      <c r="BA88" s="67">
        <v>0</v>
      </c>
      <c r="BB88" s="67">
        <v>0</v>
      </c>
      <c r="BC88" s="67">
        <v>0</v>
      </c>
      <c r="BD88" s="67">
        <v>0</v>
      </c>
      <c r="BE88" s="67">
        <v>0</v>
      </c>
      <c r="BF88" s="67">
        <v>0</v>
      </c>
      <c r="BG88" s="67">
        <v>0</v>
      </c>
      <c r="BH88" s="67">
        <v>0</v>
      </c>
      <c r="BI88" s="67">
        <v>0</v>
      </c>
      <c r="BJ88" s="66">
        <v>0</v>
      </c>
      <c r="BK88" s="67">
        <v>0</v>
      </c>
      <c r="BL88" s="67">
        <v>0</v>
      </c>
      <c r="BM88" s="67">
        <v>0</v>
      </c>
      <c r="BN88" s="67">
        <v>0</v>
      </c>
      <c r="BO88" s="67">
        <v>0</v>
      </c>
      <c r="BP88" s="67">
        <v>0</v>
      </c>
      <c r="BQ88" s="67">
        <v>0</v>
      </c>
      <c r="BR88" s="67">
        <v>0</v>
      </c>
      <c r="BS88" s="67">
        <v>0</v>
      </c>
      <c r="BT88" s="67">
        <v>0</v>
      </c>
      <c r="BU88" s="67">
        <v>0</v>
      </c>
      <c r="BV88" s="67">
        <v>0</v>
      </c>
      <c r="BW88" s="67">
        <v>0</v>
      </c>
      <c r="BX88" s="67">
        <v>0</v>
      </c>
      <c r="BY88" s="67">
        <v>0</v>
      </c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  <c r="DG88" s="67"/>
      <c r="DH88" s="67"/>
      <c r="DI88" s="67"/>
      <c r="DJ88" s="67"/>
      <c r="DK88" s="67"/>
      <c r="DL88" s="67"/>
      <c r="DM88" s="67"/>
      <c r="DN88" s="67"/>
      <c r="DO88" s="67"/>
      <c r="DP88" s="67"/>
      <c r="DQ88" s="67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39" t="s">
        <v>1</v>
      </c>
      <c r="EF88" s="68"/>
      <c r="EG88" s="629">
        <v>0</v>
      </c>
      <c r="EH88" s="629">
        <v>0</v>
      </c>
      <c r="EI88" s="629">
        <v>0</v>
      </c>
      <c r="EJ88" s="629">
        <v>0</v>
      </c>
      <c r="EK88" s="629">
        <v>0</v>
      </c>
      <c r="EL88" s="629"/>
      <c r="EM88" s="629"/>
      <c r="EN88" s="629"/>
      <c r="EO88" s="629"/>
      <c r="EP88" s="629"/>
      <c r="EQ88" s="629"/>
      <c r="ER88" s="629">
        <v>0</v>
      </c>
      <c r="ES88" s="629">
        <f t="shared" si="522"/>
        <v>0</v>
      </c>
      <c r="ET88" s="629">
        <f t="shared" si="523"/>
        <v>0</v>
      </c>
      <c r="EU88" s="629">
        <f t="shared" si="524"/>
        <v>0</v>
      </c>
      <c r="EV88" s="629">
        <f t="shared" si="525"/>
        <v>0</v>
      </c>
      <c r="EW88" s="629">
        <f t="shared" si="526"/>
        <v>0</v>
      </c>
      <c r="EX88" s="629">
        <f t="shared" si="527"/>
        <v>0</v>
      </c>
      <c r="EY88" s="629">
        <f t="shared" si="528"/>
        <v>0</v>
      </c>
      <c r="EZ88" s="629">
        <f t="shared" si="529"/>
        <v>0</v>
      </c>
      <c r="FA88" s="629">
        <f t="shared" si="530"/>
        <v>0</v>
      </c>
      <c r="FB88" s="629">
        <f t="shared" si="531"/>
        <v>0</v>
      </c>
      <c r="FC88" s="629">
        <f t="shared" si="532"/>
        <v>0</v>
      </c>
      <c r="FD88" s="629">
        <f t="shared" si="533"/>
        <v>0</v>
      </c>
      <c r="FG88" s="70">
        <f t="shared" si="534"/>
        <v>0</v>
      </c>
      <c r="FH88" s="67">
        <f t="shared" si="535"/>
        <v>0</v>
      </c>
      <c r="FI88" s="67">
        <f t="shared" si="536"/>
        <v>0</v>
      </c>
      <c r="FJ88" s="69">
        <f t="shared" si="537"/>
        <v>0</v>
      </c>
      <c r="FK88" s="619">
        <f t="shared" si="538"/>
        <v>0</v>
      </c>
    </row>
    <row r="89" spans="2:167" ht="15.75" hidden="1" customHeight="1" x14ac:dyDescent="0.2">
      <c r="B89" s="48" t="s">
        <v>45</v>
      </c>
      <c r="C89" s="87">
        <v>0</v>
      </c>
      <c r="D89" s="85">
        <v>0</v>
      </c>
      <c r="E89" s="85">
        <v>0</v>
      </c>
      <c r="F89" s="85">
        <v>0</v>
      </c>
      <c r="G89" s="85">
        <v>0</v>
      </c>
      <c r="H89" s="85">
        <v>0</v>
      </c>
      <c r="I89" s="85">
        <v>0</v>
      </c>
      <c r="J89" s="85">
        <v>0</v>
      </c>
      <c r="K89" s="85">
        <v>0</v>
      </c>
      <c r="L89" s="85">
        <v>0</v>
      </c>
      <c r="M89" s="85">
        <v>0</v>
      </c>
      <c r="N89" s="85">
        <v>0</v>
      </c>
      <c r="O89" s="85">
        <v>0</v>
      </c>
      <c r="P89" s="85">
        <v>0</v>
      </c>
      <c r="Q89" s="85">
        <v>0</v>
      </c>
      <c r="R89" s="85">
        <v>0</v>
      </c>
      <c r="S89" s="85">
        <v>0</v>
      </c>
      <c r="T89" s="85">
        <v>0</v>
      </c>
      <c r="U89" s="85">
        <v>0</v>
      </c>
      <c r="V89" s="85">
        <v>0</v>
      </c>
      <c r="W89" s="85">
        <v>0</v>
      </c>
      <c r="X89" s="85">
        <v>0</v>
      </c>
      <c r="Y89" s="85">
        <v>0</v>
      </c>
      <c r="Z89" s="85">
        <v>0</v>
      </c>
      <c r="AA89" s="85">
        <v>0</v>
      </c>
      <c r="AB89" s="85">
        <v>0</v>
      </c>
      <c r="AC89" s="88">
        <v>0</v>
      </c>
      <c r="AD89" s="85">
        <v>0</v>
      </c>
      <c r="AE89" s="85">
        <v>0</v>
      </c>
      <c r="AF89" s="85">
        <v>0</v>
      </c>
      <c r="AG89" s="85">
        <v>0</v>
      </c>
      <c r="AH89" s="85">
        <v>0</v>
      </c>
      <c r="AI89" s="85">
        <v>0</v>
      </c>
      <c r="AJ89" s="85">
        <v>0</v>
      </c>
      <c r="AK89" s="88">
        <v>0</v>
      </c>
      <c r="AL89" s="85">
        <v>0</v>
      </c>
      <c r="AM89" s="85">
        <v>0</v>
      </c>
      <c r="AN89" s="85">
        <v>0</v>
      </c>
      <c r="AO89" s="85">
        <v>0</v>
      </c>
      <c r="AP89" s="85">
        <v>0</v>
      </c>
      <c r="AQ89" s="85">
        <v>0</v>
      </c>
      <c r="AR89" s="85">
        <v>0</v>
      </c>
      <c r="AS89" s="85">
        <v>0</v>
      </c>
      <c r="AT89" s="85">
        <v>0</v>
      </c>
      <c r="AU89" s="85">
        <v>0</v>
      </c>
      <c r="AV89" s="85">
        <v>0</v>
      </c>
      <c r="AW89" s="85">
        <v>0</v>
      </c>
      <c r="AX89" s="85">
        <v>0</v>
      </c>
      <c r="AY89" s="85">
        <v>0</v>
      </c>
      <c r="AZ89" s="85">
        <v>0</v>
      </c>
      <c r="BA89" s="85">
        <v>0</v>
      </c>
      <c r="BB89" s="85">
        <v>0</v>
      </c>
      <c r="BC89" s="85">
        <v>0</v>
      </c>
      <c r="BD89" s="85">
        <v>0</v>
      </c>
      <c r="BE89" s="85">
        <v>0</v>
      </c>
      <c r="BF89" s="85">
        <v>0</v>
      </c>
      <c r="BG89" s="85">
        <v>0</v>
      </c>
      <c r="BH89" s="85">
        <v>0</v>
      </c>
      <c r="BI89" s="85">
        <v>0</v>
      </c>
      <c r="BJ89" s="87">
        <v>0</v>
      </c>
      <c r="BK89" s="85">
        <v>0</v>
      </c>
      <c r="BL89" s="85">
        <v>0</v>
      </c>
      <c r="BM89" s="85">
        <v>0</v>
      </c>
      <c r="BN89" s="85">
        <v>0</v>
      </c>
      <c r="BO89" s="85">
        <v>0</v>
      </c>
      <c r="BP89" s="85">
        <v>0</v>
      </c>
      <c r="BQ89" s="85">
        <v>0</v>
      </c>
      <c r="BR89" s="85">
        <v>0</v>
      </c>
      <c r="BS89" s="85">
        <v>0</v>
      </c>
      <c r="BT89" s="85">
        <v>0</v>
      </c>
      <c r="BU89" s="85">
        <v>0</v>
      </c>
      <c r="BV89" s="85">
        <v>0</v>
      </c>
      <c r="BW89" s="85">
        <v>0</v>
      </c>
      <c r="BX89" s="85">
        <v>0</v>
      </c>
      <c r="BY89" s="85">
        <v>0</v>
      </c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6"/>
      <c r="DS89" s="86"/>
      <c r="DT89" s="86"/>
      <c r="DU89" s="86"/>
      <c r="DV89" s="86"/>
      <c r="DW89" s="86"/>
      <c r="DX89" s="86"/>
      <c r="DY89" s="86"/>
      <c r="DZ89" s="86"/>
      <c r="EA89" s="86"/>
      <c r="EB89" s="86"/>
      <c r="EC89" s="86"/>
      <c r="ED89" s="86"/>
      <c r="EE89" s="39" t="s">
        <v>1</v>
      </c>
      <c r="EF89" s="88"/>
      <c r="EG89" s="634">
        <v>0</v>
      </c>
      <c r="EH89" s="634">
        <v>0</v>
      </c>
      <c r="EI89" s="634">
        <v>0</v>
      </c>
      <c r="EJ89" s="634">
        <v>0</v>
      </c>
      <c r="EK89" s="634">
        <v>0</v>
      </c>
      <c r="EL89" s="634"/>
      <c r="EM89" s="634"/>
      <c r="EN89" s="634"/>
      <c r="EO89" s="634"/>
      <c r="EP89" s="634"/>
      <c r="EQ89" s="634"/>
      <c r="ER89" s="634">
        <v>0</v>
      </c>
      <c r="ES89" s="629">
        <f t="shared" si="522"/>
        <v>0</v>
      </c>
      <c r="ET89" s="629">
        <f t="shared" si="523"/>
        <v>0</v>
      </c>
      <c r="EU89" s="629">
        <f t="shared" si="524"/>
        <v>0</v>
      </c>
      <c r="EV89" s="629">
        <f t="shared" si="525"/>
        <v>0</v>
      </c>
      <c r="EW89" s="629">
        <f t="shared" si="526"/>
        <v>0</v>
      </c>
      <c r="EX89" s="629">
        <f t="shared" si="527"/>
        <v>0</v>
      </c>
      <c r="EY89" s="629">
        <f t="shared" si="528"/>
        <v>0</v>
      </c>
      <c r="EZ89" s="629">
        <f t="shared" si="529"/>
        <v>0</v>
      </c>
      <c r="FA89" s="629">
        <f t="shared" si="530"/>
        <v>0</v>
      </c>
      <c r="FB89" s="629">
        <f t="shared" si="531"/>
        <v>0</v>
      </c>
      <c r="FC89" s="629">
        <f t="shared" si="532"/>
        <v>0</v>
      </c>
      <c r="FD89" s="629">
        <f t="shared" si="533"/>
        <v>0</v>
      </c>
      <c r="FG89" s="70">
        <f t="shared" si="534"/>
        <v>0</v>
      </c>
      <c r="FH89" s="67">
        <f t="shared" si="535"/>
        <v>0</v>
      </c>
      <c r="FI89" s="67">
        <f t="shared" si="536"/>
        <v>0</v>
      </c>
      <c r="FJ89" s="69">
        <f t="shared" si="537"/>
        <v>0</v>
      </c>
      <c r="FK89" s="619">
        <f t="shared" si="538"/>
        <v>0</v>
      </c>
    </row>
    <row r="90" spans="2:167" ht="15.75" customHeight="1" x14ac:dyDescent="0.2">
      <c r="B90" s="49" t="s">
        <v>46</v>
      </c>
      <c r="C90" s="66">
        <f>'P&amp;L - Inputs'!B105</f>
        <v>0</v>
      </c>
      <c r="D90" s="67">
        <f>'P&amp;L - Inputs'!C105</f>
        <v>0</v>
      </c>
      <c r="E90" s="67">
        <f>'P&amp;L - Inputs'!D105</f>
        <v>0</v>
      </c>
      <c r="F90" s="67">
        <f>'P&amp;L - Inputs'!E105</f>
        <v>0</v>
      </c>
      <c r="G90" s="67">
        <f>'P&amp;L - Inputs'!F105</f>
        <v>48016.71428571429</v>
      </c>
      <c r="H90" s="67">
        <f>'P&amp;L - Inputs'!G105</f>
        <v>66407.71428571429</v>
      </c>
      <c r="I90" s="67">
        <f>'P&amp;L - Inputs'!H105</f>
        <v>120122.85714285714</v>
      </c>
      <c r="J90" s="67">
        <f>'P&amp;L - Inputs'!I105</f>
        <v>148516.71428571429</v>
      </c>
      <c r="K90" s="67">
        <f>'P&amp;L - Inputs'!J105</f>
        <v>186363.85714285713</v>
      </c>
      <c r="L90" s="67">
        <f>'P&amp;L - Inputs'!K105</f>
        <v>198211.85714285713</v>
      </c>
      <c r="M90" s="67">
        <f>'P&amp;L - Inputs'!L105</f>
        <v>210363.85714285713</v>
      </c>
      <c r="N90" s="67">
        <f>'P&amp;L - Inputs'!M105</f>
        <v>211071.85714285713</v>
      </c>
      <c r="O90" s="67">
        <f>'P&amp;L - Inputs'!N105</f>
        <v>228947.14285714284</v>
      </c>
      <c r="P90" s="67">
        <f>'P&amp;L - Inputs'!O105</f>
        <v>256543.57142857142</v>
      </c>
      <c r="Q90" s="67">
        <f>'P&amp;L - Inputs'!P105</f>
        <v>293578.71428571426</v>
      </c>
      <c r="R90" s="67">
        <f>'P&amp;L - Inputs'!Q105</f>
        <v>265287</v>
      </c>
      <c r="S90" s="67">
        <f>'P&amp;L - Inputs'!R105</f>
        <v>160558</v>
      </c>
      <c r="T90" s="67">
        <f>'P&amp;L - Inputs'!S105</f>
        <v>160708</v>
      </c>
      <c r="U90" s="67">
        <f>'P&amp;L - Inputs'!T105</f>
        <v>160708</v>
      </c>
      <c r="V90" s="67">
        <f>'P&amp;L - Inputs'!U105</f>
        <v>160633</v>
      </c>
      <c r="W90" s="67">
        <f>'P&amp;L - Inputs'!V105</f>
        <v>175806</v>
      </c>
      <c r="X90" s="67">
        <f>'P&amp;L - Inputs'!W105</f>
        <v>143286</v>
      </c>
      <c r="Y90" s="67">
        <f>'P&amp;L - Inputs'!X105</f>
        <v>137227.63333333333</v>
      </c>
      <c r="Z90" s="67">
        <f>'P&amp;L - Inputs'!Y105</f>
        <v>154729.63333333333</v>
      </c>
      <c r="AA90" s="67">
        <f>'P&amp;L - Inputs'!Z105</f>
        <v>135461</v>
      </c>
      <c r="AB90" s="67">
        <f>'P&amp;L - Inputs'!AA105</f>
        <v>215577</v>
      </c>
      <c r="AC90" s="68">
        <f>'P&amp;L - Inputs'!AB105</f>
        <v>223957</v>
      </c>
      <c r="AD90" s="67">
        <f>'P&amp;L - Inputs'!AC105</f>
        <v>207429</v>
      </c>
      <c r="AE90" s="67">
        <f>'P&amp;L - Inputs'!AD105</f>
        <v>236490</v>
      </c>
      <c r="AF90" s="67">
        <f>'P&amp;L - Inputs'!AE105</f>
        <v>207490</v>
      </c>
      <c r="AG90" s="67">
        <f>'P&amp;L - Inputs'!AF105</f>
        <v>229490</v>
      </c>
      <c r="AH90" s="67">
        <f>'P&amp;L - Inputs'!AG105</f>
        <v>284911</v>
      </c>
      <c r="AI90" s="67">
        <f>'P&amp;L - Inputs'!AH105</f>
        <v>274415</v>
      </c>
      <c r="AJ90" s="67">
        <f>'P&amp;L - Inputs'!AI105</f>
        <v>330156</v>
      </c>
      <c r="AK90" s="68">
        <f>'P&amp;L - Inputs'!AJ105</f>
        <v>264378.65384615387</v>
      </c>
      <c r="AL90" s="67">
        <f>'P&amp;L - Inputs'!AK105</f>
        <v>277763.65384615387</v>
      </c>
      <c r="AM90" s="67">
        <f>'P&amp;L - Inputs'!AL105</f>
        <v>307829.80769230769</v>
      </c>
      <c r="AN90" s="67">
        <f>'P&amp;L - Inputs'!AM105</f>
        <v>279674.80769230769</v>
      </c>
      <c r="AO90" s="67">
        <f>'P&amp;L - Inputs'!AN105</f>
        <v>281439.80769230769</v>
      </c>
      <c r="AP90" s="67">
        <f>'P&amp;L - Inputs'!AO105</f>
        <v>468044.50641025644</v>
      </c>
      <c r="AQ90" s="67">
        <f>'P&amp;L - Inputs'!AP105</f>
        <v>898037.29237179481</v>
      </c>
      <c r="AR90" s="67">
        <f>'P&amp;L - Inputs'!AQ105</f>
        <v>810022.40878205129</v>
      </c>
      <c r="AS90" s="67">
        <f>'P&amp;L - Inputs'!AR105</f>
        <v>857193.85621794872</v>
      </c>
      <c r="AT90" s="67">
        <f>'P&amp;L - Inputs'!AS105</f>
        <v>826064.62333333329</v>
      </c>
      <c r="AU90" s="67">
        <f>'P&amp;L - Inputs'!AT105</f>
        <v>719943.0464102563</v>
      </c>
      <c r="AV90" s="67">
        <f>'P&amp;L - Inputs'!AU105</f>
        <v>1341639.923076923</v>
      </c>
      <c r="AW90" s="67">
        <f>'P&amp;L - Inputs'!AV105</f>
        <v>1425144.461538462</v>
      </c>
      <c r="AX90" s="67">
        <f>'P&amp;L - Inputs'!AW105</f>
        <v>1426122.684679487</v>
      </c>
      <c r="AY90" s="67">
        <f>'P&amp;L - Inputs'!AX105</f>
        <v>744395.15384615399</v>
      </c>
      <c r="AZ90" s="67">
        <f>'P&amp;L - Inputs'!AY105</f>
        <v>704094.15384615376</v>
      </c>
      <c r="BA90" s="67">
        <f>'P&amp;L - Inputs'!AZ105</f>
        <v>706090.15384615376</v>
      </c>
      <c r="BB90" s="67">
        <f>'P&amp;L - Inputs'!BA105</f>
        <v>600150.5</v>
      </c>
      <c r="BC90" s="67">
        <f>'P&amp;L - Inputs'!BB105</f>
        <v>540888.88461538451</v>
      </c>
      <c r="BD90" s="67">
        <f>'P&amp;L - Inputs'!BC105</f>
        <v>540888.88461538451</v>
      </c>
      <c r="BE90" s="67">
        <f>'P&amp;L - Inputs'!BD105</f>
        <v>568058.92307692301</v>
      </c>
      <c r="BF90" s="67">
        <f>'P&amp;L - Inputs'!BE105</f>
        <v>572391.15384615376</v>
      </c>
      <c r="BG90" s="67">
        <f>'P&amp;L - Inputs'!BF105</f>
        <v>426612.49131513643</v>
      </c>
      <c r="BH90" s="67">
        <f>'P&amp;L - Inputs'!BG105</f>
        <v>865211</v>
      </c>
      <c r="BI90" s="67">
        <f>'P&amp;L - Inputs'!BH105</f>
        <v>374630.07692307688</v>
      </c>
      <c r="BJ90" s="66">
        <f>'P&amp;L - Inputs'!BI105</f>
        <v>309596.18734491314</v>
      </c>
      <c r="BK90" s="67">
        <f>'P&amp;L - Inputs'!BJ105</f>
        <v>777601.55650689406</v>
      </c>
      <c r="BL90" s="67">
        <f>'P&amp;L - Inputs'!BK105</f>
        <v>793521.55650689406</v>
      </c>
      <c r="BM90" s="67">
        <f>'P&amp;L - Inputs'!BL105</f>
        <v>777601.61897435889</v>
      </c>
      <c r="BN90" s="67">
        <f>'P&amp;L - Inputs'!BM105</f>
        <v>842649.61897435889</v>
      </c>
      <c r="BO90" s="67">
        <f>'P&amp;L - Inputs'!BN105</f>
        <v>777649.61897435889</v>
      </c>
      <c r="BP90" s="67">
        <f>'P&amp;L - Inputs'!BO105</f>
        <v>810982.61897435889</v>
      </c>
      <c r="BQ90" s="67">
        <f>'P&amp;L - Inputs'!BP105</f>
        <v>778138.81897435896</v>
      </c>
      <c r="BR90" s="67">
        <f>'P&amp;L - Inputs'!BQ105</f>
        <v>935067.14974358969</v>
      </c>
      <c r="BS90" s="67">
        <f>'P&amp;L - Inputs'!BR105</f>
        <v>1023394.4389102564</v>
      </c>
      <c r="BT90" s="67">
        <f>'P&amp;L - Inputs'!BS105</f>
        <v>845466.39230769232</v>
      </c>
      <c r="BU90" s="67">
        <f>'P&amp;L - Inputs'!BT105</f>
        <v>945466.39230769197</v>
      </c>
      <c r="BV90" s="67">
        <f>'P&amp;L - Inputs'!BU105</f>
        <v>945466.39230769197</v>
      </c>
      <c r="BW90" s="67">
        <f>'P&amp;L - Inputs'!BV105</f>
        <v>990756.22538461548</v>
      </c>
      <c r="BX90" s="67">
        <f>'P&amp;L - Inputs'!BW105</f>
        <v>1059485.22307692</v>
      </c>
      <c r="BY90" s="67">
        <f>'P&amp;L - Inputs'!BX105</f>
        <v>553046.07012820896</v>
      </c>
      <c r="BZ90" s="67">
        <f>'P&amp;L - Inputs'!BY105</f>
        <v>616981.84955128201</v>
      </c>
      <c r="CA90" s="67">
        <f>'P&amp;L - Inputs'!BZ105</f>
        <v>528369.70679487183</v>
      </c>
      <c r="CB90" s="67">
        <f>'P&amp;L - Inputs'!CA105</f>
        <v>590369.03025641036</v>
      </c>
      <c r="CC90" s="67">
        <f>'P&amp;L - Inputs'!CB105</f>
        <v>608238.06198717956</v>
      </c>
      <c r="CD90" s="67">
        <f>'P&amp;L - Inputs'!CC105</f>
        <v>601545.46961538482</v>
      </c>
      <c r="CE90" s="67">
        <f>'P&amp;L - Inputs'!CD105</f>
        <v>638930.10326923092</v>
      </c>
      <c r="CF90" s="67">
        <f>'P&amp;L - Inputs'!CE105</f>
        <v>840897.1974359001</v>
      </c>
      <c r="CG90" s="67">
        <f>'P&amp;L - Inputs'!CF105</f>
        <v>787151.07282051281</v>
      </c>
      <c r="CH90" s="67">
        <f>'P&amp;L - Inputs'!CG105</f>
        <v>1740551.4115384601</v>
      </c>
      <c r="CI90" s="67">
        <f>'P&amp;L - Inputs'!CH105</f>
        <v>1494747.9482692301</v>
      </c>
      <c r="CJ90" s="67">
        <f>'P&amp;L - Inputs'!CI105</f>
        <v>1525753.98051282</v>
      </c>
      <c r="CK90" s="67">
        <f>'P&amp;L - Inputs'!CJ105</f>
        <v>1364771.0432692301</v>
      </c>
      <c r="CL90" s="67">
        <f>'P&amp;L - Inputs'!CK105</f>
        <v>1521765.6057134001</v>
      </c>
      <c r="CM90" s="67">
        <f>'P&amp;L - Inputs'!CL105</f>
        <v>1357258.69442308</v>
      </c>
      <c r="CN90" s="67">
        <f>'P&amp;L - Inputs'!CM105</f>
        <v>1637191.49903846</v>
      </c>
      <c r="CO90" s="67">
        <f>'P&amp;L - Inputs'!CN105</f>
        <v>1802831.84448718</v>
      </c>
      <c r="CP90" s="67">
        <f>'P&amp;L - Inputs'!CO105</f>
        <v>1714319.11615385</v>
      </c>
      <c r="CQ90" s="67">
        <f>'P&amp;L - Inputs'!CP105</f>
        <v>1812493.56365385</v>
      </c>
      <c r="CR90" s="67">
        <f>'P&amp;L - Inputs'!CQ105</f>
        <v>1701836.8164743599</v>
      </c>
      <c r="CS90" s="67">
        <f>'P&amp;L - Inputs'!CR105</f>
        <v>1884606.6636538501</v>
      </c>
      <c r="CT90" s="67">
        <f>'P&amp;L - Inputs'!CS105</f>
        <v>1966762.8944230799</v>
      </c>
      <c r="CU90" s="67">
        <f>'P&amp;L - Inputs'!CT105</f>
        <v>2208530.0140813072</v>
      </c>
      <c r="CV90" s="67">
        <f>'P&amp;L - Inputs'!CU105</f>
        <v>2208530.0140813072</v>
      </c>
      <c r="CW90" s="67">
        <f>'P&amp;L - Inputs'!CV105</f>
        <v>2208530.0140813072</v>
      </c>
      <c r="CX90" s="67">
        <f>'P&amp;L - Inputs'!CW105</f>
        <v>2208530.0140813072</v>
      </c>
      <c r="CY90" s="67">
        <f>'P&amp;L - Inputs'!CX105</f>
        <v>2208530.0140813072</v>
      </c>
      <c r="CZ90" s="67">
        <f>'P&amp;L - Inputs'!CY105</f>
        <v>2208530.0140813072</v>
      </c>
      <c r="DA90" s="67">
        <f>'P&amp;L - Inputs'!CZ105</f>
        <v>2208530.0140813072</v>
      </c>
      <c r="DB90" s="67">
        <f>'P&amp;L - Inputs'!DA105</f>
        <v>2208530.0140813072</v>
      </c>
      <c r="DC90" s="67">
        <f>'P&amp;L - Inputs'!DB105</f>
        <v>2208530.0140813072</v>
      </c>
      <c r="DD90" s="67">
        <f>'P&amp;L - Inputs'!DC105</f>
        <v>2208530.0140813072</v>
      </c>
      <c r="DE90" s="67">
        <f>'P&amp;L - Inputs'!DD105</f>
        <v>2208530.0140813072</v>
      </c>
      <c r="DF90" s="67">
        <f>'P&amp;L - Inputs'!DE105</f>
        <v>2208530.0140813072</v>
      </c>
      <c r="DG90" s="67">
        <f>'P&amp;L - Inputs'!DF105</f>
        <v>2504473.0359682022</v>
      </c>
      <c r="DH90" s="67">
        <f>'P&amp;L - Inputs'!DG105</f>
        <v>2504473.0359682022</v>
      </c>
      <c r="DI90" s="67">
        <f>'P&amp;L - Inputs'!DH105</f>
        <v>2504473.0359682022</v>
      </c>
      <c r="DJ90" s="67">
        <f>'P&amp;L - Inputs'!DI105</f>
        <v>2504473.0359682022</v>
      </c>
      <c r="DK90" s="67">
        <f>'P&amp;L - Inputs'!DJ105</f>
        <v>2504473.0359682022</v>
      </c>
      <c r="DL90" s="67">
        <f>'P&amp;L - Inputs'!DK105</f>
        <v>2504473.0359682022</v>
      </c>
      <c r="DM90" s="67">
        <f>'P&amp;L - Inputs'!DL105</f>
        <v>2504473.0359682022</v>
      </c>
      <c r="DN90" s="67">
        <f>'P&amp;L - Inputs'!DM105</f>
        <v>2504473.0359682022</v>
      </c>
      <c r="DO90" s="67">
        <f>'P&amp;L - Inputs'!DN105</f>
        <v>2504473.0359682022</v>
      </c>
      <c r="DP90" s="67">
        <f>'P&amp;L - Inputs'!DO105</f>
        <v>2504473.0359682022</v>
      </c>
      <c r="DQ90" s="67">
        <f>'P&amp;L - Inputs'!DP105</f>
        <v>2504473.0359682022</v>
      </c>
      <c r="DR90" s="69">
        <f>'P&amp;L - Inputs'!DQ105</f>
        <v>2504473.0359682022</v>
      </c>
      <c r="DS90" s="69">
        <f>'P&amp;L - Inputs'!DR105</f>
        <v>2840072.422787942</v>
      </c>
      <c r="DT90" s="69">
        <f>'P&amp;L - Inputs'!DS105</f>
        <v>2840072.422787942</v>
      </c>
      <c r="DU90" s="69">
        <f>'P&amp;L - Inputs'!DT105</f>
        <v>2840072.422787942</v>
      </c>
      <c r="DV90" s="69">
        <f>'P&amp;L - Inputs'!DU105</f>
        <v>2840072.422787942</v>
      </c>
      <c r="DW90" s="69">
        <f>'P&amp;L - Inputs'!DV105</f>
        <v>2840072.422787942</v>
      </c>
      <c r="DX90" s="69">
        <f>'P&amp;L - Inputs'!DW105</f>
        <v>2840072.422787942</v>
      </c>
      <c r="DY90" s="69">
        <f>'P&amp;L - Inputs'!DX105</f>
        <v>2840072.422787942</v>
      </c>
      <c r="DZ90" s="69">
        <f>'P&amp;L - Inputs'!DY105</f>
        <v>2840072.422787942</v>
      </c>
      <c r="EA90" s="69">
        <f>'P&amp;L - Inputs'!DZ105</f>
        <v>2840072.422787942</v>
      </c>
      <c r="EB90" s="69">
        <f>'P&amp;L - Inputs'!EA105</f>
        <v>2840072.422787942</v>
      </c>
      <c r="EC90" s="69">
        <f>'P&amp;L - Inputs'!EB105</f>
        <v>2840072.422787942</v>
      </c>
      <c r="ED90" s="69">
        <f>'P&amp;L - Inputs'!EC105</f>
        <v>2840072.422787942</v>
      </c>
      <c r="EE90" s="39" t="s">
        <v>1</v>
      </c>
      <c r="EF90" s="68"/>
      <c r="EG90" s="629">
        <f>SUM(BK90:BM90)</f>
        <v>2348724.7319881469</v>
      </c>
      <c r="EH90" s="629">
        <f>SUM(BN90:BP90)</f>
        <v>2431281.8569230768</v>
      </c>
      <c r="EI90" s="629">
        <f>SUM(BQ90:BS90)</f>
        <v>2736600.4076282047</v>
      </c>
      <c r="EJ90" s="629">
        <f>SUM(BT90:BV90)</f>
        <v>2736399.1769230766</v>
      </c>
      <c r="EK90" s="629">
        <f>SUM(BW90:BY90)</f>
        <v>2603287.5185897443</v>
      </c>
      <c r="EL90" s="629">
        <f t="shared" ref="EL90" si="539">SUM(BZ90:CB90)</f>
        <v>1735720.5866025642</v>
      </c>
      <c r="EM90" s="629">
        <f t="shared" ref="EM90" si="540">SUM(CC90:CE90)</f>
        <v>1848713.6348717953</v>
      </c>
      <c r="EN90" s="629">
        <f t="shared" ref="EN90" si="541">SUM(CF90:CH90)</f>
        <v>3368599.681794873</v>
      </c>
      <c r="EO90" s="629">
        <f t="shared" ref="EO90" si="542">SUM(CI90:CK90)</f>
        <v>4385272.9720512796</v>
      </c>
      <c r="EP90" s="629">
        <f t="shared" ref="EP90" si="543">SUM(CL90:CN90)</f>
        <v>4516215.7991749402</v>
      </c>
      <c r="EQ90" s="629">
        <f t="shared" ref="EQ90" si="544">SUM(CO90:CQ90)</f>
        <v>5329644.5242948802</v>
      </c>
      <c r="ER90" s="629">
        <f>SUM(CR90:CT90)</f>
        <v>5553206.3745512897</v>
      </c>
      <c r="ES90" s="629">
        <f t="shared" si="522"/>
        <v>6625590.0422439221</v>
      </c>
      <c r="ET90" s="629">
        <f t="shared" si="523"/>
        <v>6625590.0422439221</v>
      </c>
      <c r="EU90" s="629">
        <f t="shared" si="524"/>
        <v>6625590.0422439221</v>
      </c>
      <c r="EV90" s="629">
        <f t="shared" si="525"/>
        <v>6625590.0422439221</v>
      </c>
      <c r="EW90" s="629">
        <f t="shared" si="526"/>
        <v>7513419.1079046065</v>
      </c>
      <c r="EX90" s="629">
        <f t="shared" si="527"/>
        <v>7513419.1079046065</v>
      </c>
      <c r="EY90" s="629">
        <f t="shared" si="528"/>
        <v>7513419.1079046065</v>
      </c>
      <c r="EZ90" s="629">
        <f t="shared" si="529"/>
        <v>7513419.1079046065</v>
      </c>
      <c r="FA90" s="629">
        <f t="shared" si="530"/>
        <v>8520217.268363826</v>
      </c>
      <c r="FB90" s="629">
        <f t="shared" si="531"/>
        <v>8520217.268363826</v>
      </c>
      <c r="FC90" s="629">
        <f t="shared" si="532"/>
        <v>8520217.268363826</v>
      </c>
      <c r="FD90" s="629">
        <f t="shared" si="533"/>
        <v>8520217.268363826</v>
      </c>
      <c r="FG90" s="70">
        <f t="shared" si="534"/>
        <v>9556321.4218589757</v>
      </c>
      <c r="FH90" s="67">
        <f t="shared" si="535"/>
        <v>19784339.670072388</v>
      </c>
      <c r="FI90" s="67">
        <f t="shared" si="536"/>
        <v>26502360.168975689</v>
      </c>
      <c r="FJ90" s="69">
        <f t="shared" si="537"/>
        <v>30053676.431618426</v>
      </c>
      <c r="FK90" s="619">
        <f t="shared" si="538"/>
        <v>34080869.073455304</v>
      </c>
    </row>
    <row r="91" spans="2:167" ht="15.75" customHeight="1" x14ac:dyDescent="0.2">
      <c r="B91" s="48" t="s">
        <v>47</v>
      </c>
      <c r="C91" s="66">
        <f>'P&amp;L - Inputs'!B106</f>
        <v>0</v>
      </c>
      <c r="D91" s="67">
        <f>'P&amp;L - Inputs'!C106</f>
        <v>0</v>
      </c>
      <c r="E91" s="67">
        <f>'P&amp;L - Inputs'!D106</f>
        <v>0</v>
      </c>
      <c r="F91" s="67">
        <f>'P&amp;L - Inputs'!E106</f>
        <v>0</v>
      </c>
      <c r="G91" s="67">
        <f>'P&amp;L - Inputs'!F106</f>
        <v>0</v>
      </c>
      <c r="H91" s="67">
        <f>'P&amp;L - Inputs'!G106</f>
        <v>0</v>
      </c>
      <c r="I91" s="67">
        <f>'P&amp;L - Inputs'!H106</f>
        <v>0</v>
      </c>
      <c r="J91" s="67">
        <f>'P&amp;L - Inputs'!I106</f>
        <v>0</v>
      </c>
      <c r="K91" s="67">
        <f>'P&amp;L - Inputs'!J106</f>
        <v>0</v>
      </c>
      <c r="L91" s="67">
        <f>'P&amp;L - Inputs'!K106</f>
        <v>0</v>
      </c>
      <c r="M91" s="67">
        <f>'P&amp;L - Inputs'!L106</f>
        <v>0</v>
      </c>
      <c r="N91" s="67">
        <f>'P&amp;L - Inputs'!M106</f>
        <v>0</v>
      </c>
      <c r="O91" s="67">
        <f>'P&amp;L - Inputs'!N106</f>
        <v>0</v>
      </c>
      <c r="P91" s="67">
        <f>'P&amp;L - Inputs'!O106</f>
        <v>0</v>
      </c>
      <c r="Q91" s="67">
        <f>'P&amp;L - Inputs'!P106</f>
        <v>0</v>
      </c>
      <c r="R91" s="67">
        <f>'P&amp;L - Inputs'!Q106</f>
        <v>0</v>
      </c>
      <c r="S91" s="67">
        <f>'P&amp;L - Inputs'!R106</f>
        <v>0</v>
      </c>
      <c r="T91" s="67">
        <f>'P&amp;L - Inputs'!S106</f>
        <v>0</v>
      </c>
      <c r="U91" s="67">
        <f>'P&amp;L - Inputs'!T106</f>
        <v>0</v>
      </c>
      <c r="V91" s="67">
        <f>'P&amp;L - Inputs'!U106</f>
        <v>0</v>
      </c>
      <c r="W91" s="67">
        <f>'P&amp;L - Inputs'!V106</f>
        <v>0</v>
      </c>
      <c r="X91" s="67">
        <f>'P&amp;L - Inputs'!W106</f>
        <v>0</v>
      </c>
      <c r="Y91" s="67">
        <f>'P&amp;L - Inputs'!X106</f>
        <v>0</v>
      </c>
      <c r="Z91" s="67">
        <f>'P&amp;L - Inputs'!Y106</f>
        <v>0</v>
      </c>
      <c r="AA91" s="67">
        <f>'P&amp;L - Inputs'!Z106</f>
        <v>0</v>
      </c>
      <c r="AB91" s="67">
        <f>'P&amp;L - Inputs'!AA106</f>
        <v>0</v>
      </c>
      <c r="AC91" s="68">
        <f>'P&amp;L - Inputs'!AB106</f>
        <v>0</v>
      </c>
      <c r="AD91" s="67">
        <f>'P&amp;L - Inputs'!AC106</f>
        <v>0</v>
      </c>
      <c r="AE91" s="67">
        <f>'P&amp;L - Inputs'!AD106</f>
        <v>0</v>
      </c>
      <c r="AF91" s="67">
        <f>'P&amp;L - Inputs'!AE106</f>
        <v>0</v>
      </c>
      <c r="AG91" s="67">
        <f>'P&amp;L - Inputs'!AF106</f>
        <v>0</v>
      </c>
      <c r="AH91" s="67">
        <f>'P&amp;L - Inputs'!AG106</f>
        <v>0</v>
      </c>
      <c r="AI91" s="67">
        <f>'P&amp;L - Inputs'!AH106</f>
        <v>0</v>
      </c>
      <c r="AJ91" s="67">
        <f>'P&amp;L - Inputs'!AI106</f>
        <v>0</v>
      </c>
      <c r="AK91" s="68">
        <f>'P&amp;L - Inputs'!AJ106</f>
        <v>0</v>
      </c>
      <c r="AL91" s="67">
        <f>'P&amp;L - Inputs'!AK106</f>
        <v>0</v>
      </c>
      <c r="AM91" s="67">
        <f>'P&amp;L - Inputs'!AL106</f>
        <v>0</v>
      </c>
      <c r="AN91" s="67">
        <f>'P&amp;L - Inputs'!AM106</f>
        <v>0</v>
      </c>
      <c r="AO91" s="67">
        <f>'P&amp;L - Inputs'!AN106</f>
        <v>0</v>
      </c>
      <c r="AP91" s="67">
        <f>'P&amp;L - Inputs'!AO106</f>
        <v>0</v>
      </c>
      <c r="AQ91" s="67">
        <f>'P&amp;L - Inputs'!AP106</f>
        <v>0</v>
      </c>
      <c r="AR91" s="67">
        <f>'P&amp;L - Inputs'!AQ106</f>
        <v>0</v>
      </c>
      <c r="AS91" s="67">
        <f>'P&amp;L - Inputs'!AR106</f>
        <v>0</v>
      </c>
      <c r="AT91" s="67">
        <f>'P&amp;L - Inputs'!AS106</f>
        <v>0</v>
      </c>
      <c r="AU91" s="67">
        <f>'P&amp;L - Inputs'!AT106</f>
        <v>0</v>
      </c>
      <c r="AV91" s="67">
        <f>'P&amp;L - Inputs'!AU106</f>
        <v>0</v>
      </c>
      <c r="AW91" s="67">
        <f>'P&amp;L - Inputs'!AV106</f>
        <v>0</v>
      </c>
      <c r="AX91" s="67">
        <f>'P&amp;L - Inputs'!AW106</f>
        <v>0</v>
      </c>
      <c r="AY91" s="67">
        <f>'P&amp;L - Inputs'!AX106</f>
        <v>0</v>
      </c>
      <c r="AZ91" s="67">
        <f>'P&amp;L - Inputs'!AY106</f>
        <v>8</v>
      </c>
      <c r="BA91" s="67">
        <f>'P&amp;L - Inputs'!AZ106</f>
        <v>8</v>
      </c>
      <c r="BB91" s="67">
        <f>'P&amp;L - Inputs'!BA106</f>
        <v>8</v>
      </c>
      <c r="BC91" s="67">
        <f>'P&amp;L - Inputs'!BB106</f>
        <v>6</v>
      </c>
      <c r="BD91" s="67">
        <f>'P&amp;L - Inputs'!BC106</f>
        <v>6</v>
      </c>
      <c r="BE91" s="67">
        <f>'P&amp;L - Inputs'!BD106</f>
        <v>6</v>
      </c>
      <c r="BF91" s="67">
        <f>'P&amp;L - Inputs'!BE106</f>
        <v>6</v>
      </c>
      <c r="BG91" s="67">
        <f>'P&amp;L - Inputs'!BF106</f>
        <v>6</v>
      </c>
      <c r="BH91" s="67">
        <f>'P&amp;L - Inputs'!BG106</f>
        <v>6</v>
      </c>
      <c r="BI91" s="67">
        <f>'P&amp;L - Inputs'!BH106</f>
        <v>5</v>
      </c>
      <c r="BJ91" s="66">
        <f>'P&amp;L - Inputs'!BI106</f>
        <v>5</v>
      </c>
      <c r="BK91" s="67">
        <f>'P&amp;L - Inputs'!BJ106</f>
        <v>4</v>
      </c>
      <c r="BL91" s="67">
        <f>'P&amp;L - Inputs'!BK106</f>
        <v>4</v>
      </c>
      <c r="BM91" s="67">
        <f>'P&amp;L - Inputs'!BL106</f>
        <v>4</v>
      </c>
      <c r="BN91" s="67">
        <f>'P&amp;L - Inputs'!BM106</f>
        <v>4</v>
      </c>
      <c r="BO91" s="67">
        <f>'P&amp;L - Inputs'!BN106</f>
        <v>4</v>
      </c>
      <c r="BP91" s="67">
        <f>'P&amp;L - Inputs'!BO106</f>
        <v>4</v>
      </c>
      <c r="BQ91" s="67">
        <f>'P&amp;L - Inputs'!BP106</f>
        <v>4</v>
      </c>
      <c r="BR91" s="67">
        <f>'P&amp;L - Inputs'!BQ106</f>
        <v>6</v>
      </c>
      <c r="BS91" s="67">
        <f>'P&amp;L - Inputs'!BR106</f>
        <v>7</v>
      </c>
      <c r="BT91" s="67">
        <f>'P&amp;L - Inputs'!BS106</f>
        <v>4</v>
      </c>
      <c r="BU91" s="67">
        <f>'P&amp;L - Inputs'!BT106</f>
        <v>4</v>
      </c>
      <c r="BV91" s="67">
        <f>'P&amp;L - Inputs'!BU106</f>
        <v>4</v>
      </c>
      <c r="BW91" s="67">
        <f>'P&amp;L - Inputs'!BV106</f>
        <v>6</v>
      </c>
      <c r="BX91" s="67">
        <f>'P&amp;L - Inputs'!BW106</f>
        <v>6</v>
      </c>
      <c r="BY91" s="67">
        <f>'P&amp;L - Inputs'!BX106</f>
        <v>7</v>
      </c>
      <c r="BZ91" s="67">
        <f>'P&amp;L - Inputs'!BY106</f>
        <v>8</v>
      </c>
      <c r="CA91" s="67">
        <f>'P&amp;L - Inputs'!BZ106</f>
        <v>7</v>
      </c>
      <c r="CB91" s="67">
        <f>'P&amp;L - Inputs'!CA106</f>
        <v>8</v>
      </c>
      <c r="CC91" s="67">
        <f>'P&amp;L - Inputs'!CB106</f>
        <v>9</v>
      </c>
      <c r="CD91" s="67">
        <f>'P&amp;L - Inputs'!CC106</f>
        <v>10</v>
      </c>
      <c r="CE91" s="67">
        <f>'P&amp;L - Inputs'!CD106</f>
        <v>10</v>
      </c>
      <c r="CF91" s="67">
        <f>'P&amp;L - Inputs'!CE106</f>
        <v>10</v>
      </c>
      <c r="CG91" s="67">
        <f>'P&amp;L - Inputs'!CF106</f>
        <v>14</v>
      </c>
      <c r="CH91" s="67">
        <f>'P&amp;L - Inputs'!CG106</f>
        <v>15</v>
      </c>
      <c r="CI91" s="67">
        <f>'P&amp;L - Inputs'!CH106</f>
        <v>15</v>
      </c>
      <c r="CJ91" s="67">
        <f>'P&amp;L - Inputs'!CI106</f>
        <v>16</v>
      </c>
      <c r="CK91" s="67">
        <f>'P&amp;L - Inputs'!CJ106</f>
        <v>15</v>
      </c>
      <c r="CL91" s="67">
        <f>'P&amp;L - Inputs'!CK106</f>
        <v>15</v>
      </c>
      <c r="CM91" s="67">
        <f>'P&amp;L - Inputs'!CL106</f>
        <v>15</v>
      </c>
      <c r="CN91" s="67">
        <f>'P&amp;L - Inputs'!CM106</f>
        <v>17</v>
      </c>
      <c r="CO91" s="67">
        <f>'P&amp;L - Inputs'!CN106</f>
        <v>18</v>
      </c>
      <c r="CP91" s="67">
        <f>'P&amp;L - Inputs'!CO106</f>
        <v>17</v>
      </c>
      <c r="CQ91" s="67">
        <f>'P&amp;L - Inputs'!CP106</f>
        <v>17</v>
      </c>
      <c r="CR91" s="67">
        <f>'P&amp;L - Inputs'!CQ106</f>
        <v>19</v>
      </c>
      <c r="CS91" s="67">
        <f>'P&amp;L - Inputs'!CR106</f>
        <v>19</v>
      </c>
      <c r="CT91" s="67">
        <f>'P&amp;L - Inputs'!CS106</f>
        <v>19</v>
      </c>
      <c r="CU91" s="67">
        <f>'P&amp;L - Inputs'!CT106</f>
        <v>20.900000000000002</v>
      </c>
      <c r="CV91" s="67">
        <f>'P&amp;L - Inputs'!CU106</f>
        <v>20.900000000000002</v>
      </c>
      <c r="CW91" s="67">
        <f>'P&amp;L - Inputs'!CV106</f>
        <v>20.900000000000002</v>
      </c>
      <c r="CX91" s="67">
        <f>'P&amp;L - Inputs'!CW106</f>
        <v>20.900000000000002</v>
      </c>
      <c r="CY91" s="67">
        <f>'P&amp;L - Inputs'!CX106</f>
        <v>20.900000000000002</v>
      </c>
      <c r="CZ91" s="67">
        <f>'P&amp;L - Inputs'!CY106</f>
        <v>20.900000000000002</v>
      </c>
      <c r="DA91" s="67">
        <f>'P&amp;L - Inputs'!CZ106</f>
        <v>20.900000000000002</v>
      </c>
      <c r="DB91" s="67">
        <f>'P&amp;L - Inputs'!DA106</f>
        <v>20.900000000000002</v>
      </c>
      <c r="DC91" s="67">
        <f>'P&amp;L - Inputs'!DB106</f>
        <v>20.900000000000002</v>
      </c>
      <c r="DD91" s="67">
        <f>'P&amp;L - Inputs'!DC106</f>
        <v>20.900000000000002</v>
      </c>
      <c r="DE91" s="67">
        <f>'P&amp;L - Inputs'!DD106</f>
        <v>20.900000000000002</v>
      </c>
      <c r="DF91" s="67">
        <f>'P&amp;L - Inputs'!DE106</f>
        <v>20.900000000000002</v>
      </c>
      <c r="DG91" s="67">
        <f>'P&amp;L - Inputs'!DF106</f>
        <v>21.945000000000004</v>
      </c>
      <c r="DH91" s="67">
        <f>'P&amp;L - Inputs'!DG106</f>
        <v>21.945000000000004</v>
      </c>
      <c r="DI91" s="67">
        <f>'P&amp;L - Inputs'!DH106</f>
        <v>21.945000000000004</v>
      </c>
      <c r="DJ91" s="67">
        <f>'P&amp;L - Inputs'!DI106</f>
        <v>21.945000000000004</v>
      </c>
      <c r="DK91" s="67">
        <f>'P&amp;L - Inputs'!DJ106</f>
        <v>21.945000000000004</v>
      </c>
      <c r="DL91" s="67">
        <f>'P&amp;L - Inputs'!DK106</f>
        <v>21.945000000000004</v>
      </c>
      <c r="DM91" s="67">
        <f>'P&amp;L - Inputs'!DL106</f>
        <v>21.945000000000004</v>
      </c>
      <c r="DN91" s="67">
        <f>'P&amp;L - Inputs'!DM106</f>
        <v>21.945000000000004</v>
      </c>
      <c r="DO91" s="67">
        <f>'P&amp;L - Inputs'!DN106</f>
        <v>21.945000000000004</v>
      </c>
      <c r="DP91" s="67">
        <f>'P&amp;L - Inputs'!DO106</f>
        <v>21.945000000000004</v>
      </c>
      <c r="DQ91" s="67">
        <f>'P&amp;L - Inputs'!DP106</f>
        <v>21.945000000000004</v>
      </c>
      <c r="DR91" s="69">
        <f>'P&amp;L - Inputs'!DQ106</f>
        <v>21.945000000000004</v>
      </c>
      <c r="DS91" s="69">
        <f>'P&amp;L - Inputs'!DR106</f>
        <v>23.042250000000006</v>
      </c>
      <c r="DT91" s="69">
        <f>'P&amp;L - Inputs'!DS106</f>
        <v>23.042250000000006</v>
      </c>
      <c r="DU91" s="69">
        <f>'P&amp;L - Inputs'!DT106</f>
        <v>23.042250000000006</v>
      </c>
      <c r="DV91" s="69">
        <f>'P&amp;L - Inputs'!DU106</f>
        <v>23.042250000000006</v>
      </c>
      <c r="DW91" s="69">
        <f>'P&amp;L - Inputs'!DV106</f>
        <v>23.042250000000006</v>
      </c>
      <c r="DX91" s="69">
        <f>'P&amp;L - Inputs'!DW106</f>
        <v>23.042250000000006</v>
      </c>
      <c r="DY91" s="69">
        <f>'P&amp;L - Inputs'!DX106</f>
        <v>23.042250000000006</v>
      </c>
      <c r="DZ91" s="69">
        <f>'P&amp;L - Inputs'!DY106</f>
        <v>23.042250000000006</v>
      </c>
      <c r="EA91" s="69">
        <f>'P&amp;L - Inputs'!DZ106</f>
        <v>23.042250000000006</v>
      </c>
      <c r="EB91" s="69">
        <f>'P&amp;L - Inputs'!EA106</f>
        <v>23.042250000000006</v>
      </c>
      <c r="EC91" s="69">
        <f>'P&amp;L - Inputs'!EB106</f>
        <v>23.042250000000006</v>
      </c>
      <c r="ED91" s="69">
        <f>'P&amp;L - Inputs'!EC106</f>
        <v>23.042250000000006</v>
      </c>
      <c r="EE91" s="39" t="s">
        <v>1</v>
      </c>
      <c r="EF91" s="68"/>
      <c r="EG91" s="629"/>
      <c r="EH91" s="629"/>
      <c r="EI91" s="629"/>
      <c r="EJ91" s="629"/>
      <c r="EK91" s="629"/>
      <c r="EL91" s="629"/>
      <c r="EM91" s="629"/>
      <c r="EN91" s="629"/>
      <c r="EO91" s="629"/>
      <c r="EP91" s="629"/>
      <c r="EQ91" s="629"/>
      <c r="ER91" s="629">
        <v>0</v>
      </c>
      <c r="ES91" s="629">
        <f t="shared" si="522"/>
        <v>62.7</v>
      </c>
      <c r="ET91" s="629">
        <f t="shared" si="523"/>
        <v>62.7</v>
      </c>
      <c r="EU91" s="629">
        <f t="shared" si="524"/>
        <v>62.7</v>
      </c>
      <c r="EV91" s="629">
        <f t="shared" si="525"/>
        <v>62.7</v>
      </c>
      <c r="EW91" s="629">
        <f t="shared" si="526"/>
        <v>65.835000000000008</v>
      </c>
      <c r="EX91" s="629">
        <f t="shared" si="527"/>
        <v>65.835000000000008</v>
      </c>
      <c r="EY91" s="629">
        <f t="shared" si="528"/>
        <v>65.835000000000008</v>
      </c>
      <c r="EZ91" s="629">
        <f t="shared" si="529"/>
        <v>65.835000000000008</v>
      </c>
      <c r="FA91" s="629">
        <f t="shared" si="530"/>
        <v>69.126750000000015</v>
      </c>
      <c r="FB91" s="629">
        <f t="shared" si="531"/>
        <v>69.126750000000015</v>
      </c>
      <c r="FC91" s="629">
        <f t="shared" si="532"/>
        <v>69.126750000000015</v>
      </c>
      <c r="FD91" s="629">
        <f t="shared" si="533"/>
        <v>69.126750000000015</v>
      </c>
      <c r="FG91" s="70">
        <f t="shared" si="534"/>
        <v>0</v>
      </c>
      <c r="FH91" s="67">
        <f t="shared" si="535"/>
        <v>0</v>
      </c>
      <c r="FI91" s="67">
        <f t="shared" si="536"/>
        <v>250.8</v>
      </c>
      <c r="FJ91" s="69">
        <f t="shared" si="537"/>
        <v>263.34000000000003</v>
      </c>
      <c r="FK91" s="619">
        <f t="shared" si="538"/>
        <v>276.50700000000006</v>
      </c>
    </row>
    <row r="92" spans="2:167" ht="15.75" customHeight="1" x14ac:dyDescent="0.2">
      <c r="B92" s="49" t="s">
        <v>48</v>
      </c>
      <c r="C92" s="66">
        <f>'P&amp;L - Inputs'!B107</f>
        <v>0</v>
      </c>
      <c r="D92" s="67">
        <f>'P&amp;L - Inputs'!C107</f>
        <v>0</v>
      </c>
      <c r="E92" s="67">
        <f>'P&amp;L - Inputs'!D107</f>
        <v>0</v>
      </c>
      <c r="F92" s="67">
        <f>'P&amp;L - Inputs'!E107</f>
        <v>0</v>
      </c>
      <c r="G92" s="67">
        <f>'P&amp;L - Inputs'!F107</f>
        <v>0</v>
      </c>
      <c r="H92" s="67">
        <f>'P&amp;L - Inputs'!G107</f>
        <v>0</v>
      </c>
      <c r="I92" s="67">
        <f>'P&amp;L - Inputs'!H107</f>
        <v>0</v>
      </c>
      <c r="J92" s="67">
        <f>'P&amp;L - Inputs'!I107</f>
        <v>0</v>
      </c>
      <c r="K92" s="67">
        <f>'P&amp;L - Inputs'!J107</f>
        <v>0</v>
      </c>
      <c r="L92" s="67">
        <f>'P&amp;L - Inputs'!K107</f>
        <v>0</v>
      </c>
      <c r="M92" s="67">
        <f>'P&amp;L - Inputs'!L107</f>
        <v>0</v>
      </c>
      <c r="N92" s="67">
        <f>'P&amp;L - Inputs'!M107</f>
        <v>0</v>
      </c>
      <c r="O92" s="67">
        <f>'P&amp;L - Inputs'!N107</f>
        <v>0</v>
      </c>
      <c r="P92" s="67">
        <f>'P&amp;L - Inputs'!O107</f>
        <v>0</v>
      </c>
      <c r="Q92" s="67">
        <f>'P&amp;L - Inputs'!P107</f>
        <v>0</v>
      </c>
      <c r="R92" s="67">
        <f>'P&amp;L - Inputs'!Q107</f>
        <v>0</v>
      </c>
      <c r="S92" s="67">
        <f>'P&amp;L - Inputs'!R107</f>
        <v>0</v>
      </c>
      <c r="T92" s="67">
        <f>'P&amp;L - Inputs'!S107</f>
        <v>0</v>
      </c>
      <c r="U92" s="67">
        <f>'P&amp;L - Inputs'!T107</f>
        <v>0</v>
      </c>
      <c r="V92" s="67">
        <f>'P&amp;L - Inputs'!U107</f>
        <v>0</v>
      </c>
      <c r="W92" s="67">
        <f>'P&amp;L - Inputs'!V107</f>
        <v>0</v>
      </c>
      <c r="X92" s="67">
        <f>'P&amp;L - Inputs'!W107</f>
        <v>0</v>
      </c>
      <c r="Y92" s="67">
        <f>'P&amp;L - Inputs'!X107</f>
        <v>0</v>
      </c>
      <c r="Z92" s="67">
        <f>'P&amp;L - Inputs'!Y107</f>
        <v>0</v>
      </c>
      <c r="AA92" s="67">
        <f>'P&amp;L - Inputs'!Z107</f>
        <v>0</v>
      </c>
      <c r="AB92" s="67">
        <f>'P&amp;L - Inputs'!AA107</f>
        <v>0</v>
      </c>
      <c r="AC92" s="68">
        <f>'P&amp;L - Inputs'!AB107</f>
        <v>0</v>
      </c>
      <c r="AD92" s="67">
        <f>'P&amp;L - Inputs'!AC107</f>
        <v>0</v>
      </c>
      <c r="AE92" s="67">
        <f>'P&amp;L - Inputs'!AD107</f>
        <v>0</v>
      </c>
      <c r="AF92" s="67">
        <f>'P&amp;L - Inputs'!AE107</f>
        <v>0</v>
      </c>
      <c r="AG92" s="67">
        <f>'P&amp;L - Inputs'!AF107</f>
        <v>0</v>
      </c>
      <c r="AH92" s="67">
        <f>'P&amp;L - Inputs'!AG107</f>
        <v>0</v>
      </c>
      <c r="AI92" s="67">
        <f>'P&amp;L - Inputs'!AH107</f>
        <v>0</v>
      </c>
      <c r="AJ92" s="67">
        <f>'P&amp;L - Inputs'!AI107</f>
        <v>0</v>
      </c>
      <c r="AK92" s="67">
        <f>'P&amp;L - Inputs'!AJ107</f>
        <v>0</v>
      </c>
      <c r="AL92" s="67">
        <f>'P&amp;L - Inputs'!AK107</f>
        <v>0</v>
      </c>
      <c r="AM92" s="67">
        <f>'P&amp;L - Inputs'!AL107</f>
        <v>0</v>
      </c>
      <c r="AN92" s="67">
        <f>'P&amp;L - Inputs'!AM107</f>
        <v>0</v>
      </c>
      <c r="AO92" s="67">
        <f>'P&amp;L - Inputs'!AN107</f>
        <v>0</v>
      </c>
      <c r="AP92" s="67">
        <f>'P&amp;L - Inputs'!AO107</f>
        <v>0</v>
      </c>
      <c r="AQ92" s="67">
        <f>'P&amp;L - Inputs'!AP107</f>
        <v>20689.686858974361</v>
      </c>
      <c r="AR92" s="67">
        <f>'P&amp;L - Inputs'!AQ107</f>
        <v>236338.46762820517</v>
      </c>
      <c r="AS92" s="67">
        <f>'P&amp;L - Inputs'!AR107</f>
        <v>668992.86705128173</v>
      </c>
      <c r="AT92" s="67">
        <f>'P&amp;L - Inputs'!AS107</f>
        <v>1192753.5571794873</v>
      </c>
      <c r="AU92" s="67">
        <f>'P&amp;L - Inputs'!AT107</f>
        <v>1751672</v>
      </c>
      <c r="AV92" s="67">
        <f>'P&amp;L - Inputs'!AU107</f>
        <v>2107061.4253846155</v>
      </c>
      <c r="AW92" s="67">
        <f>'P&amp;L - Inputs'!AV107</f>
        <v>2280695.851794872</v>
      </c>
      <c r="AX92" s="67">
        <f>'P&amp;L - Inputs'!AW107</f>
        <v>2700368.9803205132</v>
      </c>
      <c r="AY92" s="67">
        <f>'P&amp;L - Inputs'!AX107</f>
        <v>2100509.2591025629</v>
      </c>
      <c r="AZ92" s="67">
        <f>'P&amp;L - Inputs'!AY107</f>
        <v>2333468.7605769229</v>
      </c>
      <c r="BA92" s="67">
        <f>'P&amp;L - Inputs'!AZ107</f>
        <v>2360756.3622435895</v>
      </c>
      <c r="BB92" s="67">
        <f>'P&amp;L - Inputs'!BA107</f>
        <v>2068969.9749999999</v>
      </c>
      <c r="BC92" s="67">
        <f>'P&amp;L - Inputs'!BB107</f>
        <v>2417548.5716666663</v>
      </c>
      <c r="BD92" s="67">
        <f>'P&amp;L - Inputs'!BC107</f>
        <v>2700698.7644871781</v>
      </c>
      <c r="BE92" s="67">
        <f>'P&amp;L - Inputs'!BD107</f>
        <v>2811901.3320512804</v>
      </c>
      <c r="BF92" s="67">
        <f>'P&amp;L - Inputs'!BE107</f>
        <v>2356094.8586538462</v>
      </c>
      <c r="BG92" s="67">
        <f>'P&amp;L - Inputs'!BF107</f>
        <v>1767396.7675641028</v>
      </c>
      <c r="BH92" s="67">
        <f>'P&amp;L - Inputs'!BG107</f>
        <v>1818032</v>
      </c>
      <c r="BI92" s="67">
        <f>'P&amp;L - Inputs'!BH107</f>
        <v>1537817.6064102568</v>
      </c>
      <c r="BJ92" s="66">
        <f>'P&amp;L - Inputs'!BI107</f>
        <v>1350437.9992948722</v>
      </c>
      <c r="BK92" s="67">
        <f>'P&amp;L - Inputs'!BJ107</f>
        <v>1402560.5380344104</v>
      </c>
      <c r="BL92" s="67">
        <f>'P&amp;L - Inputs'!BK107</f>
        <v>1680237.8423933852</v>
      </c>
      <c r="BM92" s="67">
        <f>'P&amp;L - Inputs'!BL107</f>
        <v>1303144.2385897436</v>
      </c>
      <c r="BN92" s="67">
        <f>'P&amp;L - Inputs'!BM107</f>
        <v>1585299.846153846</v>
      </c>
      <c r="BO92" s="67">
        <f>'P&amp;L - Inputs'!BN107</f>
        <v>1668030.4615384601</v>
      </c>
      <c r="BP92" s="67">
        <f>'P&amp;L - Inputs'!BO107</f>
        <v>1157132.8586538462</v>
      </c>
      <c r="BQ92" s="67">
        <f>'P&amp;L - Inputs'!BP107</f>
        <v>1160809.17435897</v>
      </c>
      <c r="BR92" s="67">
        <f>'P&amp;L - Inputs'!BQ107</f>
        <v>1196063.8335897434</v>
      </c>
      <c r="BS92" s="67">
        <f>'P&amp;L - Inputs'!BR107</f>
        <v>1093742.0135897435</v>
      </c>
      <c r="BT92" s="67">
        <f>'P&amp;L - Inputs'!BS107</f>
        <v>869613.31794871786</v>
      </c>
      <c r="BU92" s="67">
        <f>'P&amp;L - Inputs'!BT107</f>
        <v>960034.12064102991</v>
      </c>
      <c r="BV92" s="67">
        <f>'P&amp;L - Inputs'!BU107</f>
        <v>1010099.669679487</v>
      </c>
      <c r="BW92" s="67">
        <f>'P&amp;L - Inputs'!BV107</f>
        <v>1057581.6661538463</v>
      </c>
      <c r="BX92" s="67">
        <f>'P&amp;L - Inputs'!BW107</f>
        <v>1046297.2046153799</v>
      </c>
      <c r="BY92" s="67">
        <f>'P&amp;L - Inputs'!BX107</f>
        <v>1030864.9815384618</v>
      </c>
      <c r="BZ92" s="67">
        <f>'P&amp;L - Inputs'!BY107</f>
        <v>1450731.06378205</v>
      </c>
      <c r="CA92" s="67">
        <f>'P&amp;L - Inputs'!BZ107</f>
        <v>1177041.7200000002</v>
      </c>
      <c r="CB92" s="67">
        <f>'P&amp;L - Inputs'!CA107</f>
        <v>1172592.1435897436</v>
      </c>
      <c r="CC92" s="67">
        <f>'P&amp;L - Inputs'!CB107</f>
        <v>1156849.9892307699</v>
      </c>
      <c r="CD92" s="67">
        <f>'P&amp;L - Inputs'!CC107</f>
        <v>1117040.7692307692</v>
      </c>
      <c r="CE92" s="67">
        <f>'P&amp;L - Inputs'!CD107</f>
        <v>1088620.4661538461</v>
      </c>
      <c r="CF92" s="67">
        <f>'P&amp;L - Inputs'!CE107</f>
        <v>1028396.16615385</v>
      </c>
      <c r="CG92" s="67">
        <f>'P&amp;L - Inputs'!CF107</f>
        <v>1049286.020897436</v>
      </c>
      <c r="CH92" s="67">
        <f>'P&amp;L - Inputs'!CG107</f>
        <v>1027655.9396153846</v>
      </c>
      <c r="CI92" s="67">
        <f>'P&amp;L - Inputs'!CH107</f>
        <v>1285350.0623717899</v>
      </c>
      <c r="CJ92" s="67">
        <f>'P&amp;L - Inputs'!CI107</f>
        <v>1167514.4328846156</v>
      </c>
      <c r="CK92" s="67">
        <f>'P&amp;L - Inputs'!CJ107</f>
        <v>1147356.0974358977</v>
      </c>
      <c r="CL92" s="67">
        <f>'P&amp;L - Inputs'!CK107</f>
        <v>1493637.5919871801</v>
      </c>
      <c r="CM92" s="67">
        <f>'P&amp;L - Inputs'!CL107</f>
        <v>1238161.0495512823</v>
      </c>
      <c r="CN92" s="67">
        <f>'P&amp;L - Inputs'!CM107</f>
        <v>1247515.198717949</v>
      </c>
      <c r="CO92" s="67">
        <f>'P&amp;L - Inputs'!CN107</f>
        <v>1408632.67948718</v>
      </c>
      <c r="CP92" s="67">
        <f>'P&amp;L - Inputs'!CO107</f>
        <v>1382790.8951282101</v>
      </c>
      <c r="CQ92" s="67">
        <f>'P&amp;L - Inputs'!CP107</f>
        <v>1759919.54705128</v>
      </c>
      <c r="CR92" s="67">
        <f>'P&amp;L - Inputs'!CQ107</f>
        <v>1574939.2546794901</v>
      </c>
      <c r="CS92" s="67">
        <f>'P&amp;L - Inputs'!CR107</f>
        <v>2058587.22307692</v>
      </c>
      <c r="CT92" s="67">
        <f>'P&amp;L - Inputs'!CS107</f>
        <v>1694910.5246794899</v>
      </c>
      <c r="CU92" s="67">
        <f>'P&amp;L - Inputs'!CT107</f>
        <v>1995697.7457753972</v>
      </c>
      <c r="CV92" s="67">
        <f>'P&amp;L - Inputs'!CU107</f>
        <v>1995697.7457753972</v>
      </c>
      <c r="CW92" s="67">
        <f>'P&amp;L - Inputs'!CV107</f>
        <v>1995697.7457753972</v>
      </c>
      <c r="CX92" s="67">
        <f>'P&amp;L - Inputs'!CW107</f>
        <v>1995697.7457753972</v>
      </c>
      <c r="CY92" s="67">
        <f>'P&amp;L - Inputs'!CX107</f>
        <v>1995697.7457753972</v>
      </c>
      <c r="CZ92" s="67">
        <f>'P&amp;L - Inputs'!CY107</f>
        <v>1995697.7457753972</v>
      </c>
      <c r="DA92" s="67">
        <f>'P&amp;L - Inputs'!CZ107</f>
        <v>1995697.7457753972</v>
      </c>
      <c r="DB92" s="67">
        <f>'P&amp;L - Inputs'!DA107</f>
        <v>1995697.7457753972</v>
      </c>
      <c r="DC92" s="67">
        <f>'P&amp;L - Inputs'!DB107</f>
        <v>1995697.7457753972</v>
      </c>
      <c r="DD92" s="67">
        <f>'P&amp;L - Inputs'!DC107</f>
        <v>1995697.7457753972</v>
      </c>
      <c r="DE92" s="67">
        <f>'P&amp;L - Inputs'!DD107</f>
        <v>1995697.7457753972</v>
      </c>
      <c r="DF92" s="67">
        <f>'P&amp;L - Inputs'!DE107</f>
        <v>1995697.7457753972</v>
      </c>
      <c r="DG92" s="67">
        <f>'P&amp;L - Inputs'!DF107</f>
        <v>2263121.2437093006</v>
      </c>
      <c r="DH92" s="67">
        <f>'P&amp;L - Inputs'!DG107</f>
        <v>2263121.2437093006</v>
      </c>
      <c r="DI92" s="67">
        <f>'P&amp;L - Inputs'!DH107</f>
        <v>2263121.2437093006</v>
      </c>
      <c r="DJ92" s="67">
        <f>'P&amp;L - Inputs'!DI107</f>
        <v>2263121.2437093006</v>
      </c>
      <c r="DK92" s="67">
        <f>'P&amp;L - Inputs'!DJ107</f>
        <v>2263121.2437093006</v>
      </c>
      <c r="DL92" s="67">
        <f>'P&amp;L - Inputs'!DK107</f>
        <v>2263121.2437093006</v>
      </c>
      <c r="DM92" s="67">
        <f>'P&amp;L - Inputs'!DL107</f>
        <v>2263121.2437093006</v>
      </c>
      <c r="DN92" s="67">
        <f>'P&amp;L - Inputs'!DM107</f>
        <v>2263121.2437093006</v>
      </c>
      <c r="DO92" s="67">
        <f>'P&amp;L - Inputs'!DN107</f>
        <v>2263121.2437093006</v>
      </c>
      <c r="DP92" s="67">
        <f>'P&amp;L - Inputs'!DO107</f>
        <v>2263121.2437093006</v>
      </c>
      <c r="DQ92" s="67">
        <f>'P&amp;L - Inputs'!DP107</f>
        <v>2263121.2437093006</v>
      </c>
      <c r="DR92" s="69">
        <f>'P&amp;L - Inputs'!DQ107</f>
        <v>2263121.2437093006</v>
      </c>
      <c r="DS92" s="69">
        <f>'P&amp;L - Inputs'!DR107</f>
        <v>2566379.4903663471</v>
      </c>
      <c r="DT92" s="69">
        <f>'P&amp;L - Inputs'!DS107</f>
        <v>2566379.4903663471</v>
      </c>
      <c r="DU92" s="69">
        <f>'P&amp;L - Inputs'!DT107</f>
        <v>2566379.4903663471</v>
      </c>
      <c r="DV92" s="69">
        <f>'P&amp;L - Inputs'!DU107</f>
        <v>2566379.4903663471</v>
      </c>
      <c r="DW92" s="69">
        <f>'P&amp;L - Inputs'!DV107</f>
        <v>2566379.4903663471</v>
      </c>
      <c r="DX92" s="69">
        <f>'P&amp;L - Inputs'!DW107</f>
        <v>2566379.4903663471</v>
      </c>
      <c r="DY92" s="69">
        <f>'P&amp;L - Inputs'!DX107</f>
        <v>2566379.4903663471</v>
      </c>
      <c r="DZ92" s="69">
        <f>'P&amp;L - Inputs'!DY107</f>
        <v>2566379.4903663471</v>
      </c>
      <c r="EA92" s="69">
        <f>'P&amp;L - Inputs'!DZ107</f>
        <v>2566379.4903663471</v>
      </c>
      <c r="EB92" s="69">
        <f>'P&amp;L - Inputs'!EA107</f>
        <v>2566379.4903663471</v>
      </c>
      <c r="EC92" s="69">
        <f>'P&amp;L - Inputs'!EB107</f>
        <v>2566379.4903663471</v>
      </c>
      <c r="ED92" s="69">
        <f>'P&amp;L - Inputs'!EC107</f>
        <v>2566379.4903663471</v>
      </c>
      <c r="EE92" s="39" t="s">
        <v>1</v>
      </c>
      <c r="EF92" s="68"/>
      <c r="EG92" s="629">
        <f>SUM(BK92:BM92)</f>
        <v>4385942.6190175395</v>
      </c>
      <c r="EH92" s="629">
        <f>SUM(BN92:BP92)</f>
        <v>4410463.1663461523</v>
      </c>
      <c r="EI92" s="629">
        <f>SUM(BQ92:BS92)</f>
        <v>3450615.0215384569</v>
      </c>
      <c r="EJ92" s="629">
        <f>SUM(BT92:BV92)</f>
        <v>2839747.1082692347</v>
      </c>
      <c r="EK92" s="629">
        <f>SUM(BW92:BY92)</f>
        <v>3134743.8523076875</v>
      </c>
      <c r="EL92" s="629">
        <f t="shared" ref="EL92" si="545">SUM(BZ92:CB92)</f>
        <v>3800364.9273717934</v>
      </c>
      <c r="EM92" s="629">
        <f t="shared" ref="EM92" si="546">SUM(CC92:CE92)</f>
        <v>3362511.2246153853</v>
      </c>
      <c r="EN92" s="629">
        <f t="shared" ref="EN92" si="547">SUM(CF92:CH92)</f>
        <v>3105338.1266666707</v>
      </c>
      <c r="EO92" s="629">
        <f t="shared" ref="EO92" si="548">SUM(CI92:CK92)</f>
        <v>3600220.592692303</v>
      </c>
      <c r="EP92" s="629">
        <f t="shared" ref="EP92" si="549">SUM(CL92:CN92)</f>
        <v>3979313.8402564116</v>
      </c>
      <c r="EQ92" s="629">
        <f t="shared" ref="EQ92" si="550">SUM(CO92:CQ92)</f>
        <v>4551343.1216666698</v>
      </c>
      <c r="ER92" s="629">
        <f>SUM(CR92:CT92)</f>
        <v>5328437.0024359003</v>
      </c>
      <c r="ES92" s="629">
        <f t="shared" si="522"/>
        <v>5987093.2373261917</v>
      </c>
      <c r="ET92" s="629">
        <f t="shared" si="523"/>
        <v>5987093.2373261917</v>
      </c>
      <c r="EU92" s="629">
        <f t="shared" si="524"/>
        <v>5987093.2373261917</v>
      </c>
      <c r="EV92" s="629">
        <f t="shared" si="525"/>
        <v>5987093.2373261917</v>
      </c>
      <c r="EW92" s="629">
        <f t="shared" si="526"/>
        <v>6789363.7311279019</v>
      </c>
      <c r="EX92" s="629">
        <f t="shared" si="527"/>
        <v>6789363.7311279019</v>
      </c>
      <c r="EY92" s="629">
        <f t="shared" si="528"/>
        <v>6789363.7311279019</v>
      </c>
      <c r="EZ92" s="629">
        <f t="shared" si="529"/>
        <v>6789363.7311279019</v>
      </c>
      <c r="FA92" s="629">
        <f t="shared" si="530"/>
        <v>7699138.4710990414</v>
      </c>
      <c r="FB92" s="629">
        <f t="shared" si="531"/>
        <v>7699138.4710990414</v>
      </c>
      <c r="FC92" s="629">
        <f t="shared" si="532"/>
        <v>7699138.4710990414</v>
      </c>
      <c r="FD92" s="629">
        <f t="shared" si="533"/>
        <v>7699138.4710990414</v>
      </c>
      <c r="FG92" s="70">
        <f t="shared" si="534"/>
        <v>13402958.130961537</v>
      </c>
      <c r="FH92" s="67">
        <f t="shared" si="535"/>
        <v>17459314.557051286</v>
      </c>
      <c r="FI92" s="67">
        <f t="shared" si="536"/>
        <v>23948372.949304767</v>
      </c>
      <c r="FJ92" s="69">
        <f t="shared" si="537"/>
        <v>27157454.924511608</v>
      </c>
      <c r="FK92" s="619">
        <f t="shared" si="538"/>
        <v>30796553.884396166</v>
      </c>
    </row>
    <row r="93" spans="2:167" ht="15.75" customHeight="1" x14ac:dyDescent="0.2">
      <c r="B93" s="48" t="s">
        <v>43</v>
      </c>
      <c r="C93" s="66">
        <f>'P&amp;L - Inputs'!B108</f>
        <v>0</v>
      </c>
      <c r="D93" s="67">
        <f>'P&amp;L - Inputs'!C108</f>
        <v>0</v>
      </c>
      <c r="E93" s="67">
        <f>'P&amp;L - Inputs'!D108</f>
        <v>0</v>
      </c>
      <c r="F93" s="67">
        <f>'P&amp;L - Inputs'!E108</f>
        <v>0</v>
      </c>
      <c r="G93" s="67">
        <f>'P&amp;L - Inputs'!F108</f>
        <v>0</v>
      </c>
      <c r="H93" s="67">
        <f>'P&amp;L - Inputs'!G108</f>
        <v>0</v>
      </c>
      <c r="I93" s="67">
        <f>'P&amp;L - Inputs'!H108</f>
        <v>0</v>
      </c>
      <c r="J93" s="67">
        <f>'P&amp;L - Inputs'!I108</f>
        <v>0</v>
      </c>
      <c r="K93" s="67">
        <f>'P&amp;L - Inputs'!J108</f>
        <v>0</v>
      </c>
      <c r="L93" s="67">
        <f>'P&amp;L - Inputs'!K108</f>
        <v>0</v>
      </c>
      <c r="M93" s="67">
        <f>'P&amp;L - Inputs'!L108</f>
        <v>0</v>
      </c>
      <c r="N93" s="67">
        <f>'P&amp;L - Inputs'!M108</f>
        <v>0</v>
      </c>
      <c r="O93" s="67">
        <f>'P&amp;L - Inputs'!N108</f>
        <v>0</v>
      </c>
      <c r="P93" s="67">
        <f>'P&amp;L - Inputs'!O108</f>
        <v>0</v>
      </c>
      <c r="Q93" s="67">
        <f>'P&amp;L - Inputs'!P108</f>
        <v>0</v>
      </c>
      <c r="R93" s="67">
        <f>'P&amp;L - Inputs'!Q108</f>
        <v>0</v>
      </c>
      <c r="S93" s="67">
        <f>'P&amp;L - Inputs'!R108</f>
        <v>0</v>
      </c>
      <c r="T93" s="67">
        <f>'P&amp;L - Inputs'!S108</f>
        <v>0</v>
      </c>
      <c r="U93" s="67">
        <f>'P&amp;L - Inputs'!T108</f>
        <v>0</v>
      </c>
      <c r="V93" s="67">
        <f>'P&amp;L - Inputs'!U108</f>
        <v>0</v>
      </c>
      <c r="W93" s="67">
        <f>'P&amp;L - Inputs'!V108</f>
        <v>0</v>
      </c>
      <c r="X93" s="67">
        <f>'P&amp;L - Inputs'!W108</f>
        <v>0</v>
      </c>
      <c r="Y93" s="67">
        <f>'P&amp;L - Inputs'!X108</f>
        <v>0</v>
      </c>
      <c r="Z93" s="67">
        <f>'P&amp;L - Inputs'!Y108</f>
        <v>0</v>
      </c>
      <c r="AA93" s="67">
        <f>'P&amp;L - Inputs'!Z108</f>
        <v>0</v>
      </c>
      <c r="AB93" s="67">
        <f>'P&amp;L - Inputs'!AA108</f>
        <v>0</v>
      </c>
      <c r="AC93" s="68">
        <f>'P&amp;L - Inputs'!AB108</f>
        <v>0</v>
      </c>
      <c r="AD93" s="67">
        <f>'P&amp;L - Inputs'!AC108</f>
        <v>0</v>
      </c>
      <c r="AE93" s="67">
        <f>'P&amp;L - Inputs'!AD108</f>
        <v>0</v>
      </c>
      <c r="AF93" s="67">
        <f>'P&amp;L - Inputs'!AE108</f>
        <v>0</v>
      </c>
      <c r="AG93" s="67">
        <f>'P&amp;L - Inputs'!AF108</f>
        <v>0</v>
      </c>
      <c r="AH93" s="67">
        <f>'P&amp;L - Inputs'!AG108</f>
        <v>0</v>
      </c>
      <c r="AI93" s="67">
        <f>'P&amp;L - Inputs'!AH108</f>
        <v>0</v>
      </c>
      <c r="AJ93" s="67">
        <f>'P&amp;L - Inputs'!AI108</f>
        <v>0</v>
      </c>
      <c r="AK93" s="68">
        <f>'P&amp;L - Inputs'!AJ108</f>
        <v>0</v>
      </c>
      <c r="AL93" s="67">
        <f>'P&amp;L - Inputs'!AK108</f>
        <v>0</v>
      </c>
      <c r="AM93" s="67">
        <f>'P&amp;L - Inputs'!AL108</f>
        <v>0</v>
      </c>
      <c r="AN93" s="67">
        <f>'P&amp;L - Inputs'!AM108</f>
        <v>0</v>
      </c>
      <c r="AO93" s="67">
        <f>'P&amp;L - Inputs'!AN108</f>
        <v>0</v>
      </c>
      <c r="AP93" s="67">
        <f>'P&amp;L - Inputs'!AO108</f>
        <v>0</v>
      </c>
      <c r="AQ93" s="67">
        <f>'P&amp;L - Inputs'!AP108</f>
        <v>0</v>
      </c>
      <c r="AR93" s="67">
        <f>'P&amp;L - Inputs'!AQ108</f>
        <v>0</v>
      </c>
      <c r="AS93" s="67">
        <f>'P&amp;L - Inputs'!AR108</f>
        <v>0</v>
      </c>
      <c r="AT93" s="67">
        <f>'P&amp;L - Inputs'!AS108</f>
        <v>0</v>
      </c>
      <c r="AU93" s="67">
        <f>'P&amp;L - Inputs'!AT108</f>
        <v>0</v>
      </c>
      <c r="AV93" s="67">
        <f>'P&amp;L - Inputs'!AU108</f>
        <v>0</v>
      </c>
      <c r="AW93" s="67">
        <f>'P&amp;L - Inputs'!AV108</f>
        <v>0</v>
      </c>
      <c r="AX93" s="85">
        <f>'P&amp;L - Inputs'!AW108</f>
        <v>99</v>
      </c>
      <c r="AY93" s="85">
        <f>'P&amp;L - Inputs'!AX108</f>
        <v>86</v>
      </c>
      <c r="AZ93" s="85">
        <f>'P&amp;L - Inputs'!AY108</f>
        <v>93</v>
      </c>
      <c r="BA93" s="85">
        <f>'P&amp;L - Inputs'!AZ108</f>
        <v>92</v>
      </c>
      <c r="BB93" s="85">
        <f>'P&amp;L - Inputs'!BA108</f>
        <v>84</v>
      </c>
      <c r="BC93" s="85">
        <f>'P&amp;L - Inputs'!BB108</f>
        <v>96</v>
      </c>
      <c r="BD93" s="85">
        <f>'P&amp;L - Inputs'!BC108</f>
        <v>102</v>
      </c>
      <c r="BE93" s="85">
        <f>'P&amp;L - Inputs'!BD108</f>
        <v>102</v>
      </c>
      <c r="BF93" s="85">
        <f>'P&amp;L - Inputs'!BE108</f>
        <v>95</v>
      </c>
      <c r="BG93" s="85">
        <f>'P&amp;L - Inputs'!BF108</f>
        <v>68</v>
      </c>
      <c r="BH93" s="85">
        <f>'P&amp;L - Inputs'!BG108</f>
        <v>57</v>
      </c>
      <c r="BI93" s="85">
        <f>'P&amp;L - Inputs'!BH108</f>
        <v>56</v>
      </c>
      <c r="BJ93" s="87">
        <f>'P&amp;L - Inputs'!BI108</f>
        <v>49</v>
      </c>
      <c r="BK93" s="85">
        <f>'P&amp;L - Inputs'!BJ108</f>
        <v>46</v>
      </c>
      <c r="BL93" s="85">
        <f>'P&amp;L - Inputs'!BK108</f>
        <v>46</v>
      </c>
      <c r="BM93" s="85">
        <f>'P&amp;L - Inputs'!BL108</f>
        <v>45</v>
      </c>
      <c r="BN93" s="85">
        <f>'P&amp;L - Inputs'!BM108</f>
        <v>42</v>
      </c>
      <c r="BO93" s="85">
        <f>'P&amp;L - Inputs'!BN108</f>
        <v>40</v>
      </c>
      <c r="BP93" s="85">
        <f>'P&amp;L - Inputs'!BO108</f>
        <v>40</v>
      </c>
      <c r="BQ93" s="85">
        <f>'P&amp;L - Inputs'!BP108</f>
        <v>39</v>
      </c>
      <c r="BR93" s="85">
        <f>'P&amp;L - Inputs'!BQ108</f>
        <v>38</v>
      </c>
      <c r="BS93" s="85">
        <f>'P&amp;L - Inputs'!BR108</f>
        <v>38</v>
      </c>
      <c r="BT93" s="85">
        <f>'P&amp;L - Inputs'!BS108</f>
        <v>27</v>
      </c>
      <c r="BU93" s="85">
        <f>'P&amp;L - Inputs'!BT108</f>
        <v>28</v>
      </c>
      <c r="BV93" s="85">
        <f>'P&amp;L - Inputs'!BU108</f>
        <v>29</v>
      </c>
      <c r="BW93" s="85">
        <f>'P&amp;L - Inputs'!BV108</f>
        <v>29</v>
      </c>
      <c r="BX93" s="85">
        <f>'P&amp;L - Inputs'!BW108</f>
        <v>29</v>
      </c>
      <c r="BY93" s="85">
        <f>'P&amp;L - Inputs'!BX108</f>
        <v>28</v>
      </c>
      <c r="BZ93" s="85">
        <f>'P&amp;L - Inputs'!BY108</f>
        <v>31</v>
      </c>
      <c r="CA93" s="85">
        <f>'P&amp;L - Inputs'!BZ108</f>
        <v>32</v>
      </c>
      <c r="CB93" s="85">
        <f>'P&amp;L - Inputs'!CA108</f>
        <v>33</v>
      </c>
      <c r="CC93" s="85">
        <f>'P&amp;L - Inputs'!CB108</f>
        <v>32</v>
      </c>
      <c r="CD93" s="85">
        <f>'P&amp;L - Inputs'!CC108</f>
        <v>31</v>
      </c>
      <c r="CE93" s="85">
        <f>'P&amp;L - Inputs'!CD108</f>
        <v>30</v>
      </c>
      <c r="CF93" s="85">
        <f>'P&amp;L - Inputs'!CE108</f>
        <v>29</v>
      </c>
      <c r="CG93" s="85">
        <f>'P&amp;L - Inputs'!CF108</f>
        <v>31</v>
      </c>
      <c r="CH93" s="85">
        <f>'P&amp;L - Inputs'!CG108</f>
        <v>30</v>
      </c>
      <c r="CI93" s="85">
        <f>'P&amp;L - Inputs'!CH108</f>
        <v>30</v>
      </c>
      <c r="CJ93" s="85">
        <f>'P&amp;L - Inputs'!CI108</f>
        <v>30</v>
      </c>
      <c r="CK93" s="85">
        <f>'P&amp;L - Inputs'!CJ108</f>
        <v>29</v>
      </c>
      <c r="CL93" s="85">
        <f>'P&amp;L - Inputs'!CK108</f>
        <v>30</v>
      </c>
      <c r="CM93" s="85">
        <f>'P&amp;L - Inputs'!CL108</f>
        <v>32</v>
      </c>
      <c r="CN93" s="85">
        <f>'P&amp;L - Inputs'!CM108</f>
        <v>32</v>
      </c>
      <c r="CO93" s="85">
        <f>'P&amp;L - Inputs'!CN108</f>
        <v>30</v>
      </c>
      <c r="CP93" s="85">
        <f>'P&amp;L - Inputs'!CO108</f>
        <v>30</v>
      </c>
      <c r="CQ93" s="85">
        <f>'P&amp;L - Inputs'!CP108</f>
        <v>32</v>
      </c>
      <c r="CR93" s="85">
        <f>'P&amp;L - Inputs'!CQ108</f>
        <v>35</v>
      </c>
      <c r="CS93" s="85">
        <f>'P&amp;L - Inputs'!CR108</f>
        <v>36</v>
      </c>
      <c r="CT93" s="85">
        <f>'P&amp;L - Inputs'!CS108</f>
        <v>37</v>
      </c>
      <c r="CU93" s="85">
        <f>'P&amp;L - Inputs'!CT108</f>
        <v>40.700000000000003</v>
      </c>
      <c r="CV93" s="85">
        <f>'P&amp;L - Inputs'!CU108</f>
        <v>40.700000000000003</v>
      </c>
      <c r="CW93" s="85">
        <f>'P&amp;L - Inputs'!CV108</f>
        <v>40.700000000000003</v>
      </c>
      <c r="CX93" s="85">
        <f>'P&amp;L - Inputs'!CW108</f>
        <v>40.700000000000003</v>
      </c>
      <c r="CY93" s="85">
        <f>'P&amp;L - Inputs'!CX108</f>
        <v>40.700000000000003</v>
      </c>
      <c r="CZ93" s="85">
        <f>'P&amp;L - Inputs'!CY108</f>
        <v>40.700000000000003</v>
      </c>
      <c r="DA93" s="85">
        <f>'P&amp;L - Inputs'!CZ108</f>
        <v>40.700000000000003</v>
      </c>
      <c r="DB93" s="85">
        <f>'P&amp;L - Inputs'!DA108</f>
        <v>40.700000000000003</v>
      </c>
      <c r="DC93" s="85">
        <f>'P&amp;L - Inputs'!DB108</f>
        <v>40.700000000000003</v>
      </c>
      <c r="DD93" s="85">
        <f>'P&amp;L - Inputs'!DC108</f>
        <v>40.700000000000003</v>
      </c>
      <c r="DE93" s="85">
        <f>'P&amp;L - Inputs'!DD108</f>
        <v>40.700000000000003</v>
      </c>
      <c r="DF93" s="85">
        <f>'P&amp;L - Inputs'!DE108</f>
        <v>40.700000000000003</v>
      </c>
      <c r="DG93" s="85">
        <f>'P&amp;L - Inputs'!DF108</f>
        <v>42.735000000000007</v>
      </c>
      <c r="DH93" s="85">
        <f>'P&amp;L - Inputs'!DG108</f>
        <v>42.735000000000007</v>
      </c>
      <c r="DI93" s="85">
        <f>'P&amp;L - Inputs'!DH108</f>
        <v>42.735000000000007</v>
      </c>
      <c r="DJ93" s="85">
        <f>'P&amp;L - Inputs'!DI108</f>
        <v>42.735000000000007</v>
      </c>
      <c r="DK93" s="85">
        <f>'P&amp;L - Inputs'!DJ108</f>
        <v>42.735000000000007</v>
      </c>
      <c r="DL93" s="85">
        <f>'P&amp;L - Inputs'!DK108</f>
        <v>42.735000000000007</v>
      </c>
      <c r="DM93" s="85">
        <f>'P&amp;L - Inputs'!DL108</f>
        <v>42.735000000000007</v>
      </c>
      <c r="DN93" s="85">
        <f>'P&amp;L - Inputs'!DM108</f>
        <v>42.735000000000007</v>
      </c>
      <c r="DO93" s="85">
        <f>'P&amp;L - Inputs'!DN108</f>
        <v>42.735000000000007</v>
      </c>
      <c r="DP93" s="85">
        <f>'P&amp;L - Inputs'!DO108</f>
        <v>42.735000000000007</v>
      </c>
      <c r="DQ93" s="85">
        <f>'P&amp;L - Inputs'!DP108</f>
        <v>42.735000000000007</v>
      </c>
      <c r="DR93" s="86">
        <f>'P&amp;L - Inputs'!DQ108</f>
        <v>42.735000000000007</v>
      </c>
      <c r="DS93" s="86">
        <f>'P&amp;L - Inputs'!DR108</f>
        <v>44.871750000000006</v>
      </c>
      <c r="DT93" s="86">
        <f>'P&amp;L - Inputs'!DS108</f>
        <v>44.871750000000006</v>
      </c>
      <c r="DU93" s="86">
        <f>'P&amp;L - Inputs'!DT108</f>
        <v>44.871750000000006</v>
      </c>
      <c r="DV93" s="86">
        <f>'P&amp;L - Inputs'!DU108</f>
        <v>44.871750000000006</v>
      </c>
      <c r="DW93" s="86">
        <f>'P&amp;L - Inputs'!DV108</f>
        <v>44.871750000000006</v>
      </c>
      <c r="DX93" s="86">
        <f>'P&amp;L - Inputs'!DW108</f>
        <v>44.871750000000006</v>
      </c>
      <c r="DY93" s="86">
        <f>'P&amp;L - Inputs'!DX108</f>
        <v>44.871750000000006</v>
      </c>
      <c r="DZ93" s="86">
        <f>'P&amp;L - Inputs'!DY108</f>
        <v>44.871750000000006</v>
      </c>
      <c r="EA93" s="86">
        <f>'P&amp;L - Inputs'!DZ108</f>
        <v>44.871750000000006</v>
      </c>
      <c r="EB93" s="86">
        <f>'P&amp;L - Inputs'!EA108</f>
        <v>44.871750000000006</v>
      </c>
      <c r="EC93" s="86">
        <f>'P&amp;L - Inputs'!EB108</f>
        <v>44.871750000000006</v>
      </c>
      <c r="ED93" s="86">
        <f>'P&amp;L - Inputs'!EC108</f>
        <v>44.871750000000006</v>
      </c>
      <c r="EE93" s="39" t="s">
        <v>1</v>
      </c>
      <c r="EF93" s="88"/>
      <c r="EG93" s="634"/>
      <c r="EH93" s="634"/>
      <c r="EI93" s="634"/>
      <c r="EJ93" s="634"/>
      <c r="EK93" s="634"/>
      <c r="EL93" s="634"/>
      <c r="EM93" s="634"/>
      <c r="EN93" s="634"/>
      <c r="EO93" s="634"/>
      <c r="EP93" s="634"/>
      <c r="EQ93" s="634"/>
      <c r="ER93" s="634">
        <v>0</v>
      </c>
      <c r="ES93" s="629">
        <f t="shared" si="522"/>
        <v>122.10000000000001</v>
      </c>
      <c r="ET93" s="629">
        <f t="shared" si="523"/>
        <v>122.10000000000001</v>
      </c>
      <c r="EU93" s="629">
        <f t="shared" si="524"/>
        <v>122.10000000000001</v>
      </c>
      <c r="EV93" s="629">
        <f t="shared" si="525"/>
        <v>122.10000000000001</v>
      </c>
      <c r="EW93" s="629">
        <f t="shared" si="526"/>
        <v>128.20500000000001</v>
      </c>
      <c r="EX93" s="629">
        <f t="shared" si="527"/>
        <v>128.20500000000001</v>
      </c>
      <c r="EY93" s="629">
        <f t="shared" si="528"/>
        <v>128.20500000000001</v>
      </c>
      <c r="EZ93" s="629">
        <f t="shared" si="529"/>
        <v>128.20500000000001</v>
      </c>
      <c r="FA93" s="629">
        <f t="shared" si="530"/>
        <v>134.61525</v>
      </c>
      <c r="FB93" s="629">
        <f t="shared" si="531"/>
        <v>134.61525</v>
      </c>
      <c r="FC93" s="629">
        <f t="shared" si="532"/>
        <v>134.61525</v>
      </c>
      <c r="FD93" s="629">
        <f t="shared" si="533"/>
        <v>134.61525</v>
      </c>
      <c r="FG93" s="70">
        <f t="shared" si="534"/>
        <v>0</v>
      </c>
      <c r="FH93" s="67">
        <f t="shared" si="535"/>
        <v>0</v>
      </c>
      <c r="FI93" s="67">
        <f t="shared" si="536"/>
        <v>488.40000000000003</v>
      </c>
      <c r="FJ93" s="69">
        <f t="shared" si="537"/>
        <v>512.82000000000005</v>
      </c>
      <c r="FK93" s="619">
        <f t="shared" si="538"/>
        <v>538.46100000000001</v>
      </c>
    </row>
    <row r="94" spans="2:167" ht="15.75" customHeight="1" x14ac:dyDescent="0.2">
      <c r="B94" s="49" t="s">
        <v>49</v>
      </c>
      <c r="C94" s="66">
        <f>'P&amp;L - Inputs'!B110</f>
        <v>320000</v>
      </c>
      <c r="D94" s="67">
        <f>'P&amp;L - Inputs'!C110</f>
        <v>320000</v>
      </c>
      <c r="E94" s="67">
        <f>'P&amp;L - Inputs'!D110</f>
        <v>320000</v>
      </c>
      <c r="F94" s="67">
        <f>'P&amp;L - Inputs'!E110</f>
        <v>446210</v>
      </c>
      <c r="G94" s="67">
        <f>'P&amp;L - Inputs'!F110</f>
        <v>507500</v>
      </c>
      <c r="H94" s="67">
        <f>'P&amp;L - Inputs'!G110</f>
        <v>507500</v>
      </c>
      <c r="I94" s="67">
        <f>'P&amp;L - Inputs'!H110</f>
        <v>547500</v>
      </c>
      <c r="J94" s="67">
        <f>'P&amp;L - Inputs'!I110</f>
        <v>580276</v>
      </c>
      <c r="K94" s="67">
        <f>'P&amp;L - Inputs'!J110</f>
        <v>1357440</v>
      </c>
      <c r="L94" s="67">
        <f>'P&amp;L - Inputs'!K110</f>
        <v>1221762</v>
      </c>
      <c r="M94" s="67">
        <f>'P&amp;L - Inputs'!L110</f>
        <v>1546858</v>
      </c>
      <c r="N94" s="67">
        <f>'P&amp;L - Inputs'!M110</f>
        <v>1989393</v>
      </c>
      <c r="O94" s="67">
        <f>'P&amp;L - Inputs'!N110</f>
        <v>2271585</v>
      </c>
      <c r="P94" s="67">
        <f>'P&amp;L - Inputs'!O110</f>
        <v>1948753</v>
      </c>
      <c r="Q94" s="67">
        <f>'P&amp;L - Inputs'!P110</f>
        <v>2203116</v>
      </c>
      <c r="R94" s="67">
        <f>'P&amp;L - Inputs'!Q110</f>
        <v>1963936</v>
      </c>
      <c r="S94" s="67">
        <f>'P&amp;L - Inputs'!R110</f>
        <v>1858616</v>
      </c>
      <c r="T94" s="67">
        <f>'P&amp;L - Inputs'!S110</f>
        <v>2029568</v>
      </c>
      <c r="U94" s="67">
        <f>'P&amp;L - Inputs'!T110</f>
        <v>1969242</v>
      </c>
      <c r="V94" s="67">
        <f>'P&amp;L - Inputs'!U110</f>
        <v>1922785</v>
      </c>
      <c r="W94" s="67">
        <f>'P&amp;L - Inputs'!V110</f>
        <v>1847884</v>
      </c>
      <c r="X94" s="67">
        <f>'P&amp;L - Inputs'!W110</f>
        <v>1646565.42</v>
      </c>
      <c r="Y94" s="67">
        <f>'P&amp;L - Inputs'!X110</f>
        <v>1759024</v>
      </c>
      <c r="Z94" s="67">
        <f>'P&amp;L - Inputs'!Y110</f>
        <v>1759024</v>
      </c>
      <c r="AA94" s="67">
        <f>'P&amp;L - Inputs'!Z110</f>
        <v>1338388</v>
      </c>
      <c r="AB94" s="67">
        <f>'P&amp;L - Inputs'!AA110</f>
        <v>1678513</v>
      </c>
      <c r="AC94" s="68">
        <f>'P&amp;L - Inputs'!AB110</f>
        <v>1469579</v>
      </c>
      <c r="AD94" s="67">
        <f>'P&amp;L - Inputs'!AC110</f>
        <v>1188968</v>
      </c>
      <c r="AE94" s="67">
        <f>'P&amp;L - Inputs'!AD110</f>
        <v>884423</v>
      </c>
      <c r="AF94" s="67">
        <f>'P&amp;L - Inputs'!AE110</f>
        <v>792176</v>
      </c>
      <c r="AG94" s="67">
        <f>'P&amp;L - Inputs'!AF110</f>
        <v>834854</v>
      </c>
      <c r="AH94" s="67">
        <f>'P&amp;L - Inputs'!AG110</f>
        <v>725750</v>
      </c>
      <c r="AI94" s="67">
        <f>'P&amp;L - Inputs'!AH110</f>
        <v>670132</v>
      </c>
      <c r="AJ94" s="67">
        <f>'P&amp;L - Inputs'!AI110</f>
        <v>940825</v>
      </c>
      <c r="AK94" s="68">
        <f>'P&amp;L - Inputs'!AJ110</f>
        <v>685520</v>
      </c>
      <c r="AL94" s="67">
        <f>'P&amp;L - Inputs'!AK110</f>
        <v>939634</v>
      </c>
      <c r="AM94" s="67">
        <f>'P&amp;L - Inputs'!AL110</f>
        <v>769651</v>
      </c>
      <c r="AN94" s="67">
        <f>'P&amp;L - Inputs'!AM110</f>
        <v>687987</v>
      </c>
      <c r="AO94" s="67">
        <f>'P&amp;L - Inputs'!AN110</f>
        <v>711449</v>
      </c>
      <c r="AP94" s="67">
        <f>'P&amp;L - Inputs'!AO110</f>
        <v>716783</v>
      </c>
      <c r="AQ94" s="67">
        <f>'P&amp;L - Inputs'!AP110</f>
        <v>696632</v>
      </c>
      <c r="AR94" s="67">
        <f>'P&amp;L - Inputs'!AQ110</f>
        <v>673343</v>
      </c>
      <c r="AS94" s="67">
        <f>'P&amp;L - Inputs'!AR110</f>
        <v>667766</v>
      </c>
      <c r="AT94" s="67">
        <f>'P&amp;L - Inputs'!AS110</f>
        <v>640553</v>
      </c>
      <c r="AU94" s="67">
        <f>'P&amp;L - Inputs'!AT110</f>
        <v>682629</v>
      </c>
      <c r="AV94" s="67">
        <f>'P&amp;L - Inputs'!AU110</f>
        <v>668720</v>
      </c>
      <c r="AW94" s="67">
        <f>'P&amp;L - Inputs'!AV110</f>
        <v>687703</v>
      </c>
      <c r="AX94" s="67">
        <f>'P&amp;L - Inputs'!AW110</f>
        <v>766940</v>
      </c>
      <c r="AY94" s="67">
        <f>'P&amp;L - Inputs'!AX110</f>
        <v>624180</v>
      </c>
      <c r="AZ94" s="67">
        <f>'P&amp;L - Inputs'!AY110</f>
        <v>716394</v>
      </c>
      <c r="BA94" s="67">
        <f>'P&amp;L - Inputs'!AZ110</f>
        <v>998450</v>
      </c>
      <c r="BB94" s="67">
        <f>'P&amp;L - Inputs'!BA110</f>
        <v>893303</v>
      </c>
      <c r="BC94" s="67">
        <f>'P&amp;L - Inputs'!BB110</f>
        <v>841346</v>
      </c>
      <c r="BD94" s="67">
        <f>'P&amp;L - Inputs'!BC110</f>
        <v>867407</v>
      </c>
      <c r="BE94" s="67">
        <f>'P&amp;L - Inputs'!BD110</f>
        <v>856798</v>
      </c>
      <c r="BF94" s="67">
        <f>'P&amp;L - Inputs'!BE110</f>
        <v>887008</v>
      </c>
      <c r="BG94" s="67">
        <f>'P&amp;L - Inputs'!BF110</f>
        <v>940165.5</v>
      </c>
      <c r="BH94" s="67">
        <f>'P&amp;L - Inputs'!BG110</f>
        <v>1213858.8</v>
      </c>
      <c r="BI94" s="67">
        <f>'P&amp;L - Inputs'!BH110</f>
        <v>1055313.2</v>
      </c>
      <c r="BJ94" s="66">
        <f>'P&amp;L - Inputs'!BI110</f>
        <v>1004496</v>
      </c>
      <c r="BK94" s="67">
        <f>'P&amp;L - Inputs'!BJ110</f>
        <v>1076597</v>
      </c>
      <c r="BL94" s="67">
        <f>'P&amp;L - Inputs'!BK110</f>
        <v>698785</v>
      </c>
      <c r="BM94" s="67">
        <f>'P&amp;L - Inputs'!BL110</f>
        <v>723618</v>
      </c>
      <c r="BN94" s="67">
        <f>'P&amp;L - Inputs'!BM110</f>
        <v>350087</v>
      </c>
      <c r="BO94" s="67">
        <f>'P&amp;L - Inputs'!BN110</f>
        <v>303995</v>
      </c>
      <c r="BP94" s="67">
        <f>'P&amp;L - Inputs'!BO110</f>
        <v>243061</v>
      </c>
      <c r="BQ94" s="67">
        <f>'P&amp;L - Inputs'!BP110</f>
        <v>234254</v>
      </c>
      <c r="BR94" s="67">
        <f>'P&amp;L - Inputs'!BQ110</f>
        <v>263345</v>
      </c>
      <c r="BS94" s="67">
        <f>'P&amp;L - Inputs'!BR110</f>
        <v>273364</v>
      </c>
      <c r="BT94" s="67">
        <f>'P&amp;L - Inputs'!BS110</f>
        <v>197453</v>
      </c>
      <c r="BU94" s="67">
        <f>'P&amp;L - Inputs'!BT110</f>
        <v>0</v>
      </c>
      <c r="BV94" s="67">
        <f>'P&amp;L - Inputs'!BU110</f>
        <v>0</v>
      </c>
      <c r="BW94" s="67">
        <f>'P&amp;L - Inputs'!BV110</f>
        <v>0</v>
      </c>
      <c r="BX94" s="67">
        <f>'P&amp;L - Inputs'!BW110</f>
        <v>0</v>
      </c>
      <c r="BY94" s="67">
        <f>'P&amp;L - Inputs'!BX110</f>
        <v>0</v>
      </c>
      <c r="BZ94" s="67">
        <f>'P&amp;L - Inputs'!BY110</f>
        <v>0</v>
      </c>
      <c r="CA94" s="67">
        <f>'P&amp;L - Inputs'!BZ110</f>
        <v>0</v>
      </c>
      <c r="CB94" s="67">
        <f>'P&amp;L - Inputs'!CA110</f>
        <v>0</v>
      </c>
      <c r="CC94" s="67">
        <f>'P&amp;L - Inputs'!CB110</f>
        <v>0</v>
      </c>
      <c r="CD94" s="67">
        <f>'P&amp;L - Inputs'!CC110</f>
        <v>0</v>
      </c>
      <c r="CE94" s="67">
        <f>'P&amp;L - Inputs'!CD110</f>
        <v>0</v>
      </c>
      <c r="CF94" s="67">
        <f>'P&amp;L - Inputs'!CE110</f>
        <v>0</v>
      </c>
      <c r="CG94" s="67">
        <f>'P&amp;L - Inputs'!CF110</f>
        <v>0</v>
      </c>
      <c r="CH94" s="67">
        <f>'P&amp;L - Inputs'!CG110</f>
        <v>0</v>
      </c>
      <c r="CI94" s="67">
        <f>'P&amp;L - Inputs'!CH110</f>
        <v>0</v>
      </c>
      <c r="CJ94" s="67">
        <f>'P&amp;L - Inputs'!CI110</f>
        <v>0</v>
      </c>
      <c r="CK94" s="67">
        <f>'P&amp;L - Inputs'!CJ110</f>
        <v>0</v>
      </c>
      <c r="CL94" s="67">
        <f>'P&amp;L - Inputs'!CK110</f>
        <v>0</v>
      </c>
      <c r="CM94" s="67">
        <f>'P&amp;L - Inputs'!CL110</f>
        <v>0</v>
      </c>
      <c r="CN94" s="67">
        <f>'P&amp;L - Inputs'!CM110</f>
        <v>0</v>
      </c>
      <c r="CO94" s="67">
        <f>'P&amp;L - Inputs'!CN110</f>
        <v>0</v>
      </c>
      <c r="CP94" s="67">
        <f>'P&amp;L - Inputs'!CO110</f>
        <v>0</v>
      </c>
      <c r="CQ94" s="67">
        <f>'P&amp;L - Inputs'!CP110</f>
        <v>0</v>
      </c>
      <c r="CR94" s="67">
        <f>'P&amp;L - Inputs'!CQ110</f>
        <v>0</v>
      </c>
      <c r="CS94" s="67">
        <f>'P&amp;L - Inputs'!CR110</f>
        <v>0</v>
      </c>
      <c r="CT94" s="67">
        <f>'P&amp;L - Inputs'!CS110</f>
        <v>0</v>
      </c>
      <c r="CU94" s="67">
        <f>'P&amp;L - Inputs'!CT110</f>
        <v>0</v>
      </c>
      <c r="CV94" s="67">
        <f>'P&amp;L - Inputs'!CU110</f>
        <v>0</v>
      </c>
      <c r="CW94" s="67">
        <f>'P&amp;L - Inputs'!CV110</f>
        <v>0</v>
      </c>
      <c r="CX94" s="67">
        <f>'P&amp;L - Inputs'!CW110</f>
        <v>0</v>
      </c>
      <c r="CY94" s="67">
        <f>'P&amp;L - Inputs'!CX110</f>
        <v>0</v>
      </c>
      <c r="CZ94" s="67">
        <f>'P&amp;L - Inputs'!CY110</f>
        <v>0</v>
      </c>
      <c r="DA94" s="67">
        <f>'P&amp;L - Inputs'!CZ110</f>
        <v>0</v>
      </c>
      <c r="DB94" s="67">
        <f>'P&amp;L - Inputs'!DA110</f>
        <v>0</v>
      </c>
      <c r="DC94" s="67">
        <f>'P&amp;L - Inputs'!DB110</f>
        <v>0</v>
      </c>
      <c r="DD94" s="67">
        <f>'P&amp;L - Inputs'!DC110</f>
        <v>0</v>
      </c>
      <c r="DE94" s="67">
        <f>'P&amp;L - Inputs'!DD110</f>
        <v>0</v>
      </c>
      <c r="DF94" s="67">
        <f>'P&amp;L - Inputs'!DE110</f>
        <v>0</v>
      </c>
      <c r="DG94" s="67">
        <f>'P&amp;L - Inputs'!DF110</f>
        <v>0</v>
      </c>
      <c r="DH94" s="67">
        <f>'P&amp;L - Inputs'!DG110</f>
        <v>0</v>
      </c>
      <c r="DI94" s="67">
        <f>'P&amp;L - Inputs'!DH110</f>
        <v>0</v>
      </c>
      <c r="DJ94" s="67">
        <f>'P&amp;L - Inputs'!DI110</f>
        <v>0</v>
      </c>
      <c r="DK94" s="67">
        <f>'P&amp;L - Inputs'!DJ110</f>
        <v>0</v>
      </c>
      <c r="DL94" s="67">
        <f>'P&amp;L - Inputs'!DK110</f>
        <v>0</v>
      </c>
      <c r="DM94" s="67">
        <f>'P&amp;L - Inputs'!DL110</f>
        <v>0</v>
      </c>
      <c r="DN94" s="67">
        <f>'P&amp;L - Inputs'!DM110</f>
        <v>0</v>
      </c>
      <c r="DO94" s="67">
        <f>'P&amp;L - Inputs'!DN110</f>
        <v>0</v>
      </c>
      <c r="DP94" s="67">
        <f>'P&amp;L - Inputs'!DO110</f>
        <v>0</v>
      </c>
      <c r="DQ94" s="67">
        <f>'P&amp;L - Inputs'!DP110</f>
        <v>0</v>
      </c>
      <c r="DR94" s="69">
        <f>'P&amp;L - Inputs'!DQ110</f>
        <v>0</v>
      </c>
      <c r="DS94" s="69">
        <f>'P&amp;L - Inputs'!DR110</f>
        <v>0</v>
      </c>
      <c r="DT94" s="69">
        <f>'P&amp;L - Inputs'!DS110</f>
        <v>0</v>
      </c>
      <c r="DU94" s="69">
        <f>'P&amp;L - Inputs'!DT110</f>
        <v>0</v>
      </c>
      <c r="DV94" s="69">
        <f>'P&amp;L - Inputs'!DU110</f>
        <v>0</v>
      </c>
      <c r="DW94" s="69">
        <f>'P&amp;L - Inputs'!DV110</f>
        <v>0</v>
      </c>
      <c r="DX94" s="69">
        <f>'P&amp;L - Inputs'!DW110</f>
        <v>0</v>
      </c>
      <c r="DY94" s="69">
        <f>'P&amp;L - Inputs'!DX110</f>
        <v>0</v>
      </c>
      <c r="DZ94" s="69">
        <f>'P&amp;L - Inputs'!DY110</f>
        <v>0</v>
      </c>
      <c r="EA94" s="69">
        <f>'P&amp;L - Inputs'!DZ110</f>
        <v>0</v>
      </c>
      <c r="EB94" s="69">
        <f>'P&amp;L - Inputs'!EA110</f>
        <v>0</v>
      </c>
      <c r="EC94" s="69">
        <f>'P&amp;L - Inputs'!EB110</f>
        <v>0</v>
      </c>
      <c r="ED94" s="69">
        <f>'P&amp;L - Inputs'!EC110</f>
        <v>0</v>
      </c>
      <c r="EE94" s="39" t="s">
        <v>1</v>
      </c>
      <c r="EF94" s="68"/>
      <c r="EG94" s="629">
        <f>SUM(BK94:BM94)</f>
        <v>2499000</v>
      </c>
      <c r="EH94" s="629">
        <f>SUM(BN94:BP94)</f>
        <v>897143</v>
      </c>
      <c r="EI94" s="629">
        <f>SUM(BQ94:BS94)</f>
        <v>770963</v>
      </c>
      <c r="EJ94" s="629">
        <f>SUM(BT94:BV94)</f>
        <v>197453</v>
      </c>
      <c r="EK94" s="629">
        <f>SUM(BW94:BY94)</f>
        <v>0</v>
      </c>
      <c r="EL94" s="629">
        <f t="shared" ref="EL94:EL97" si="551">SUM(BZ94:CB94)</f>
        <v>0</v>
      </c>
      <c r="EM94" s="629">
        <f t="shared" ref="EM94:EM97" si="552">SUM(CC94:CE94)</f>
        <v>0</v>
      </c>
      <c r="EN94" s="629">
        <f t="shared" ref="EN94:EN97" si="553">SUM(CF94:CH94)</f>
        <v>0</v>
      </c>
      <c r="EO94" s="629">
        <f t="shared" ref="EO94:EO97" si="554">SUM(CI94:CK94)</f>
        <v>0</v>
      </c>
      <c r="EP94" s="629">
        <f t="shared" ref="EP94:EP97" si="555">SUM(CL94:CN94)</f>
        <v>0</v>
      </c>
      <c r="EQ94" s="629">
        <f t="shared" ref="EQ94:EQ97" si="556">SUM(CO94:CQ94)</f>
        <v>0</v>
      </c>
      <c r="ER94" s="629">
        <v>0</v>
      </c>
      <c r="ES94" s="629">
        <f t="shared" si="522"/>
        <v>0</v>
      </c>
      <c r="ET94" s="629">
        <f t="shared" si="523"/>
        <v>0</v>
      </c>
      <c r="EU94" s="629">
        <f t="shared" si="524"/>
        <v>0</v>
      </c>
      <c r="EV94" s="629">
        <f t="shared" si="525"/>
        <v>0</v>
      </c>
      <c r="EW94" s="629">
        <f t="shared" si="526"/>
        <v>0</v>
      </c>
      <c r="EX94" s="629">
        <f t="shared" si="527"/>
        <v>0</v>
      </c>
      <c r="EY94" s="629">
        <f t="shared" si="528"/>
        <v>0</v>
      </c>
      <c r="EZ94" s="629">
        <f t="shared" si="529"/>
        <v>0</v>
      </c>
      <c r="FA94" s="629">
        <f t="shared" si="530"/>
        <v>0</v>
      </c>
      <c r="FB94" s="629">
        <f t="shared" si="531"/>
        <v>0</v>
      </c>
      <c r="FC94" s="629">
        <f t="shared" si="532"/>
        <v>0</v>
      </c>
      <c r="FD94" s="629">
        <f t="shared" si="533"/>
        <v>0</v>
      </c>
      <c r="FG94" s="70">
        <f t="shared" si="534"/>
        <v>0</v>
      </c>
      <c r="FH94" s="67">
        <f t="shared" si="535"/>
        <v>0</v>
      </c>
      <c r="FI94" s="67">
        <f t="shared" si="536"/>
        <v>0</v>
      </c>
      <c r="FJ94" s="69">
        <f t="shared" si="537"/>
        <v>0</v>
      </c>
      <c r="FK94" s="619">
        <f t="shared" si="538"/>
        <v>0</v>
      </c>
    </row>
    <row r="95" spans="2:167" ht="15.75" customHeight="1" x14ac:dyDescent="0.2">
      <c r="B95" s="49" t="s">
        <v>50</v>
      </c>
      <c r="C95" s="66">
        <f>'P&amp;L - Inputs'!B111</f>
        <v>119170</v>
      </c>
      <c r="D95" s="67">
        <f>'P&amp;L - Inputs'!C111</f>
        <v>102860</v>
      </c>
      <c r="E95" s="67">
        <f>'P&amp;L - Inputs'!D111</f>
        <v>129867</v>
      </c>
      <c r="F95" s="67">
        <f>'P&amp;L - Inputs'!E111</f>
        <v>193196</v>
      </c>
      <c r="G95" s="67">
        <f>'P&amp;L - Inputs'!F111</f>
        <v>345137</v>
      </c>
      <c r="H95" s="67">
        <f>'P&amp;L - Inputs'!G111</f>
        <v>360871</v>
      </c>
      <c r="I95" s="67">
        <f>'P&amp;L - Inputs'!H111</f>
        <v>347888</v>
      </c>
      <c r="J95" s="67">
        <f>'P&amp;L - Inputs'!I111</f>
        <v>300767</v>
      </c>
      <c r="K95" s="67">
        <f>'P&amp;L - Inputs'!J111</f>
        <v>281112</v>
      </c>
      <c r="L95" s="67">
        <f>'P&amp;L - Inputs'!K111</f>
        <v>321420</v>
      </c>
      <c r="M95" s="67">
        <f>'P&amp;L - Inputs'!L111</f>
        <v>375351</v>
      </c>
      <c r="N95" s="67">
        <f>'P&amp;L - Inputs'!M111</f>
        <v>511418</v>
      </c>
      <c r="O95" s="67">
        <f>'P&amp;L - Inputs'!N111</f>
        <v>488191</v>
      </c>
      <c r="P95" s="67">
        <f>'P&amp;L - Inputs'!O111</f>
        <v>580173</v>
      </c>
      <c r="Q95" s="67">
        <f>'P&amp;L - Inputs'!P111</f>
        <v>575894</v>
      </c>
      <c r="R95" s="67">
        <f>'P&amp;L - Inputs'!Q111</f>
        <v>503788</v>
      </c>
      <c r="S95" s="67">
        <f>'P&amp;L - Inputs'!R111</f>
        <v>418438</v>
      </c>
      <c r="T95" s="67">
        <f>'P&amp;L - Inputs'!S111</f>
        <v>476815</v>
      </c>
      <c r="U95" s="67">
        <f>'P&amp;L - Inputs'!T111</f>
        <v>507810</v>
      </c>
      <c r="V95" s="67">
        <f>'P&amp;L - Inputs'!U111</f>
        <v>464905</v>
      </c>
      <c r="W95" s="67">
        <f>'P&amp;L - Inputs'!V111</f>
        <v>415640</v>
      </c>
      <c r="X95" s="67">
        <f>'P&amp;L - Inputs'!W111</f>
        <v>411605</v>
      </c>
      <c r="Y95" s="67">
        <f>'P&amp;L - Inputs'!X111</f>
        <v>393867</v>
      </c>
      <c r="Z95" s="67">
        <f>'P&amp;L - Inputs'!Y111</f>
        <v>316005</v>
      </c>
      <c r="AA95" s="67">
        <f>'P&amp;L - Inputs'!Z111</f>
        <v>470553.5317254329</v>
      </c>
      <c r="AB95" s="67">
        <f>'P&amp;L - Inputs'!AA111</f>
        <v>167968</v>
      </c>
      <c r="AC95" s="68">
        <f>'P&amp;L - Inputs'!AB111</f>
        <v>111563</v>
      </c>
      <c r="AD95" s="67">
        <f>'P&amp;L - Inputs'!AC111</f>
        <v>133921</v>
      </c>
      <c r="AE95" s="67">
        <f>'P&amp;L - Inputs'!AD111</f>
        <v>181099</v>
      </c>
      <c r="AF95" s="67">
        <f>'P&amp;L - Inputs'!AE111</f>
        <v>401699</v>
      </c>
      <c r="AG95" s="67">
        <f>'P&amp;L - Inputs'!AF111</f>
        <v>635256</v>
      </c>
      <c r="AH95" s="67">
        <f>'P&amp;L - Inputs'!AG111</f>
        <v>733431</v>
      </c>
      <c r="AI95" s="67">
        <f>'P&amp;L - Inputs'!AH111</f>
        <v>688456</v>
      </c>
      <c r="AJ95" s="67">
        <f>'P&amp;L - Inputs'!AI111</f>
        <v>802236</v>
      </c>
      <c r="AK95" s="68">
        <f>'P&amp;L - Inputs'!AJ111</f>
        <v>914556</v>
      </c>
      <c r="AL95" s="67">
        <f>'P&amp;L - Inputs'!AK111</f>
        <v>861589</v>
      </c>
      <c r="AM95" s="67">
        <f>'P&amp;L - Inputs'!AL111</f>
        <v>921391</v>
      </c>
      <c r="AN95" s="67">
        <f>'P&amp;L - Inputs'!AM111</f>
        <v>638622</v>
      </c>
      <c r="AO95" s="67">
        <f>'P&amp;L - Inputs'!AN111</f>
        <v>880572</v>
      </c>
      <c r="AP95" s="67">
        <f>'P&amp;L - Inputs'!AO111</f>
        <v>639506</v>
      </c>
      <c r="AQ95" s="67">
        <f>'P&amp;L - Inputs'!AP111</f>
        <v>682309</v>
      </c>
      <c r="AR95" s="67">
        <f>'P&amp;L - Inputs'!AQ111</f>
        <v>803734</v>
      </c>
      <c r="AS95" s="67">
        <f>'P&amp;L - Inputs'!AR111</f>
        <v>2002634</v>
      </c>
      <c r="AT95" s="67">
        <f>'P&amp;L - Inputs'!AS111</f>
        <v>1877212</v>
      </c>
      <c r="AU95" s="67">
        <f>'P&amp;L - Inputs'!AT111</f>
        <v>1774777</v>
      </c>
      <c r="AV95" s="67">
        <f>'P&amp;L - Inputs'!AU111</f>
        <v>1644553</v>
      </c>
      <c r="AW95" s="67">
        <f>'P&amp;L - Inputs'!AV111</f>
        <v>1983331</v>
      </c>
      <c r="AX95" s="67">
        <f>'P&amp;L - Inputs'!AW111</f>
        <v>2552623</v>
      </c>
      <c r="AY95" s="67">
        <f>'P&amp;L - Inputs'!AX111</f>
        <v>2369337</v>
      </c>
      <c r="AZ95" s="67">
        <f>'P&amp;L - Inputs'!AY111</f>
        <v>1358909.8698016074</v>
      </c>
      <c r="BA95" s="67">
        <f>'P&amp;L - Inputs'!AZ111</f>
        <v>1563745.8719496131</v>
      </c>
      <c r="BB95" s="67">
        <f>'P&amp;L - Inputs'!BA111</f>
        <v>1703150.730842442</v>
      </c>
      <c r="BC95" s="67">
        <f>'P&amp;L - Inputs'!BB111</f>
        <v>1993670.0127223311</v>
      </c>
      <c r="BD95" s="67">
        <f>'P&amp;L - Inputs'!BC111</f>
        <v>3364599.9783716546</v>
      </c>
      <c r="BE95" s="67">
        <f>'P&amp;L - Inputs'!BD111</f>
        <v>3178769.9658822352</v>
      </c>
      <c r="BF95" s="67">
        <f>'P&amp;L - Inputs'!BE111</f>
        <v>1335971.2222654747</v>
      </c>
      <c r="BG95" s="67">
        <f>'P&amp;L - Inputs'!BF111</f>
        <v>1154484.005361205</v>
      </c>
      <c r="BH95" s="67">
        <f>'P&amp;L - Inputs'!BG111</f>
        <v>1210013.1657019169</v>
      </c>
      <c r="BI95" s="67">
        <f>'P&amp;L - Inputs'!BH111</f>
        <v>1152992.3919665134</v>
      </c>
      <c r="BJ95" s="66">
        <f>'P&amp;L - Inputs'!BI111</f>
        <v>1151979.3302819543</v>
      </c>
      <c r="BK95" s="67">
        <f>'P&amp;L - Inputs'!BJ111</f>
        <v>894992.89759653993</v>
      </c>
      <c r="BL95" s="67">
        <f>'P&amp;L - Inputs'!BK111</f>
        <v>809606.70645641349</v>
      </c>
      <c r="BM95" s="67">
        <f>'P&amp;L - Inputs'!BL111</f>
        <v>715257.06970813009</v>
      </c>
      <c r="BN95" s="67">
        <f>'P&amp;L - Inputs'!BM111</f>
        <v>628208.81039874791</v>
      </c>
      <c r="BO95" s="67">
        <f>'P&amp;L - Inputs'!BN111</f>
        <v>626620.08275778405</v>
      </c>
      <c r="BP95" s="67">
        <f>'P&amp;L - Inputs'!BO111</f>
        <v>375671.14197331824</v>
      </c>
      <c r="BQ95" s="67">
        <f>'P&amp;L - Inputs'!BP111</f>
        <v>444778.81229756272</v>
      </c>
      <c r="BR95" s="67">
        <f>'P&amp;L - Inputs'!BQ111</f>
        <v>444549.22529820644</v>
      </c>
      <c r="BS95" s="67">
        <f>'P&amp;L - Inputs'!BR111</f>
        <v>386114.64227372286</v>
      </c>
      <c r="BT95" s="67">
        <f>'P&amp;L - Inputs'!BS111</f>
        <v>397408.89736923954</v>
      </c>
      <c r="BU95" s="67">
        <f>'P&amp;L - Inputs'!BT111</f>
        <v>395985</v>
      </c>
      <c r="BV95" s="67">
        <f>'P&amp;L - Inputs'!BU111</f>
        <v>428776.98275514529</v>
      </c>
      <c r="BW95" s="67">
        <f>'P&amp;L - Inputs'!BV111</f>
        <v>492032.03192551283</v>
      </c>
      <c r="BX95" s="67">
        <f>'P&amp;L - Inputs'!BW111</f>
        <v>477779.39648057235</v>
      </c>
      <c r="BY95" s="67">
        <f>'P&amp;L - Inputs'!BX111</f>
        <v>444452.2087641923</v>
      </c>
      <c r="BZ95" s="67">
        <f>'P&amp;L - Inputs'!BY111</f>
        <v>405979.25320796296</v>
      </c>
      <c r="CA95" s="67">
        <f>'P&amp;L - Inputs'!BZ111</f>
        <v>401174.58221780002</v>
      </c>
      <c r="CB95" s="67">
        <f>'P&amp;L - Inputs'!CA111</f>
        <v>380405.59515486262</v>
      </c>
      <c r="CC95" s="67">
        <f>'P&amp;L - Inputs'!CB111</f>
        <v>442235.62397427199</v>
      </c>
      <c r="CD95" s="67">
        <f>'P&amp;L - Inputs'!CC111</f>
        <v>481871.09502941289</v>
      </c>
      <c r="CE95" s="67">
        <f>'P&amp;L - Inputs'!CD111</f>
        <v>469342.00489583873</v>
      </c>
      <c r="CF95" s="67">
        <f>'P&amp;L - Inputs'!CE111</f>
        <v>485979.21991715091</v>
      </c>
      <c r="CG95" s="67">
        <f>'P&amp;L - Inputs'!CF111</f>
        <v>708086.84594271518</v>
      </c>
      <c r="CH95" s="67">
        <f>'P&amp;L - Inputs'!CG111</f>
        <v>739058.38846764877</v>
      </c>
      <c r="CI95" s="67">
        <f>'P&amp;L - Inputs'!CH111</f>
        <v>578355.14984714834</v>
      </c>
      <c r="CJ95" s="67">
        <f>'P&amp;L - Inputs'!CI111</f>
        <v>621023.88317124231</v>
      </c>
      <c r="CK95" s="67">
        <f>'P&amp;L - Inputs'!CJ111</f>
        <v>862619.47294813907</v>
      </c>
      <c r="CL95" s="67">
        <f>'P&amp;L - Inputs'!CK111</f>
        <v>1122276.7524906197</v>
      </c>
      <c r="CM95" s="67">
        <f>'P&amp;L - Inputs'!CL111</f>
        <v>911971.87214929913</v>
      </c>
      <c r="CN95" s="67">
        <f>'P&amp;L - Inputs'!CM111</f>
        <v>561922.44644767803</v>
      </c>
      <c r="CO95" s="67">
        <f>'P&amp;L - Inputs'!CN111</f>
        <v>664171.2840262081</v>
      </c>
      <c r="CP95" s="67">
        <f>'P&amp;L - Inputs'!CO111</f>
        <v>669677.40772518329</v>
      </c>
      <c r="CQ95" s="67">
        <f>'P&amp;L - Inputs'!CP111</f>
        <v>516865.18216863566</v>
      </c>
      <c r="CR95" s="67">
        <f>'P&amp;L - Inputs'!CQ111</f>
        <v>537621.72732288623</v>
      </c>
      <c r="CS95" s="67">
        <f>'P&amp;L - Inputs'!CR111</f>
        <v>487070.68551804364</v>
      </c>
      <c r="CT95" s="67">
        <f>'P&amp;L - Inputs'!CS111</f>
        <v>499855.95290070958</v>
      </c>
      <c r="CU95" s="67">
        <f>'P&amp;L - Inputs'!CT111</f>
        <v>702925.28396263183</v>
      </c>
      <c r="CV95" s="67">
        <f>'P&amp;L - Inputs'!CU111</f>
        <v>702925.28396263183</v>
      </c>
      <c r="CW95" s="67">
        <f>'P&amp;L - Inputs'!CV111</f>
        <v>702925.28396263183</v>
      </c>
      <c r="CX95" s="67">
        <f>'P&amp;L - Inputs'!CW111</f>
        <v>702925.28396263183</v>
      </c>
      <c r="CY95" s="67">
        <f>'P&amp;L - Inputs'!CX111</f>
        <v>702925.28396263183</v>
      </c>
      <c r="CZ95" s="67">
        <f>'P&amp;L - Inputs'!CY111</f>
        <v>702925.28396263183</v>
      </c>
      <c r="DA95" s="67">
        <f>'P&amp;L - Inputs'!CZ111</f>
        <v>702925.28396263183</v>
      </c>
      <c r="DB95" s="67">
        <f>'P&amp;L - Inputs'!DA111</f>
        <v>702925.28396263183</v>
      </c>
      <c r="DC95" s="67">
        <f>'P&amp;L - Inputs'!DB111</f>
        <v>702925.28396263183</v>
      </c>
      <c r="DD95" s="67">
        <f>'P&amp;L - Inputs'!DC111</f>
        <v>702925.28396263183</v>
      </c>
      <c r="DE95" s="67">
        <f>'P&amp;L - Inputs'!DD111</f>
        <v>702925.28396263183</v>
      </c>
      <c r="DF95" s="67">
        <f>'P&amp;L - Inputs'!DE111</f>
        <v>702925.28396263183</v>
      </c>
      <c r="DG95" s="67">
        <f>'P&amp;L - Inputs'!DF111</f>
        <v>738071.54816076346</v>
      </c>
      <c r="DH95" s="67">
        <f>'P&amp;L - Inputs'!DG111</f>
        <v>738071.54816076346</v>
      </c>
      <c r="DI95" s="67">
        <f>'P&amp;L - Inputs'!DH111</f>
        <v>738071.54816076346</v>
      </c>
      <c r="DJ95" s="67">
        <f>'P&amp;L - Inputs'!DI111</f>
        <v>738071.54816076346</v>
      </c>
      <c r="DK95" s="67">
        <f>'P&amp;L - Inputs'!DJ111</f>
        <v>738071.54816076346</v>
      </c>
      <c r="DL95" s="67">
        <f>'P&amp;L - Inputs'!DK111</f>
        <v>738071.54816076346</v>
      </c>
      <c r="DM95" s="67">
        <f>'P&amp;L - Inputs'!DL111</f>
        <v>738071.54816076346</v>
      </c>
      <c r="DN95" s="67">
        <f>'P&amp;L - Inputs'!DM111</f>
        <v>738071.54816076346</v>
      </c>
      <c r="DO95" s="67">
        <f>'P&amp;L - Inputs'!DN111</f>
        <v>738071.54816076346</v>
      </c>
      <c r="DP95" s="67">
        <f>'P&amp;L - Inputs'!DO111</f>
        <v>738071.54816076346</v>
      </c>
      <c r="DQ95" s="67">
        <f>'P&amp;L - Inputs'!DP111</f>
        <v>738071.54816076346</v>
      </c>
      <c r="DR95" s="69">
        <f>'P&amp;L - Inputs'!DQ111</f>
        <v>738071.54816076346</v>
      </c>
      <c r="DS95" s="69">
        <f>'P&amp;L - Inputs'!DR111</f>
        <v>774975.12556880165</v>
      </c>
      <c r="DT95" s="69">
        <f>'P&amp;L - Inputs'!DS111</f>
        <v>774975.12556880165</v>
      </c>
      <c r="DU95" s="69">
        <f>'P&amp;L - Inputs'!DT111</f>
        <v>774975.12556880165</v>
      </c>
      <c r="DV95" s="69">
        <f>'P&amp;L - Inputs'!DU111</f>
        <v>774975.12556880165</v>
      </c>
      <c r="DW95" s="69">
        <f>'P&amp;L - Inputs'!DV111</f>
        <v>774975.12556880165</v>
      </c>
      <c r="DX95" s="69">
        <f>'P&amp;L - Inputs'!DW111</f>
        <v>774975.12556880165</v>
      </c>
      <c r="DY95" s="69">
        <f>'P&amp;L - Inputs'!DX111</f>
        <v>774975.12556880165</v>
      </c>
      <c r="DZ95" s="69">
        <f>'P&amp;L - Inputs'!DY111</f>
        <v>774975.12556880165</v>
      </c>
      <c r="EA95" s="69">
        <f>'P&amp;L - Inputs'!DZ111</f>
        <v>774975.12556880165</v>
      </c>
      <c r="EB95" s="69">
        <f>'P&amp;L - Inputs'!EA111</f>
        <v>774975.12556880165</v>
      </c>
      <c r="EC95" s="69">
        <f>'P&amp;L - Inputs'!EB111</f>
        <v>774975.12556880165</v>
      </c>
      <c r="ED95" s="69">
        <f>'P&amp;L - Inputs'!EC111</f>
        <v>774975.12556880165</v>
      </c>
      <c r="EE95" s="39" t="s">
        <v>1</v>
      </c>
      <c r="EF95" s="68"/>
      <c r="EG95" s="629">
        <f>SUM(BK95:BM95)</f>
        <v>2419856.6737610837</v>
      </c>
      <c r="EH95" s="629">
        <f>SUM(BN95:BP95)</f>
        <v>1630500.0351298503</v>
      </c>
      <c r="EI95" s="629">
        <f>SUM(BQ95:BS95)</f>
        <v>1275442.6798694921</v>
      </c>
      <c r="EJ95" s="629">
        <f>SUM(BT95:BV95)</f>
        <v>1222170.8801243848</v>
      </c>
      <c r="EK95" s="629">
        <f>SUM(BW95:BY95)</f>
        <v>1414263.6371702775</v>
      </c>
      <c r="EL95" s="629">
        <f t="shared" si="551"/>
        <v>1187559.4305806255</v>
      </c>
      <c r="EM95" s="629">
        <f t="shared" si="552"/>
        <v>1393448.7238995235</v>
      </c>
      <c r="EN95" s="629">
        <f t="shared" si="553"/>
        <v>1933124.4543275149</v>
      </c>
      <c r="EO95" s="629">
        <f t="shared" si="554"/>
        <v>2061998.5059665297</v>
      </c>
      <c r="EP95" s="629">
        <f t="shared" si="555"/>
        <v>2596171.0710875969</v>
      </c>
      <c r="EQ95" s="629">
        <f t="shared" si="556"/>
        <v>1850713.8739200272</v>
      </c>
      <c r="ER95" s="629">
        <f>SUM(CR95:CT95)</f>
        <v>1524548.3657416394</v>
      </c>
      <c r="ES95" s="629">
        <f t="shared" si="522"/>
        <v>2108775.8518878957</v>
      </c>
      <c r="ET95" s="629">
        <f t="shared" si="523"/>
        <v>2108775.8518878957</v>
      </c>
      <c r="EU95" s="629">
        <f t="shared" si="524"/>
        <v>2108775.8518878957</v>
      </c>
      <c r="EV95" s="629">
        <f t="shared" si="525"/>
        <v>2108775.8518878957</v>
      </c>
      <c r="EW95" s="629">
        <f t="shared" si="526"/>
        <v>2214214.6444822904</v>
      </c>
      <c r="EX95" s="629">
        <f t="shared" si="527"/>
        <v>2214214.6444822904</v>
      </c>
      <c r="EY95" s="629">
        <f t="shared" si="528"/>
        <v>2214214.6444822904</v>
      </c>
      <c r="EZ95" s="629">
        <f t="shared" si="529"/>
        <v>2214214.6444822904</v>
      </c>
      <c r="FA95" s="629">
        <f t="shared" si="530"/>
        <v>2324925.3767064051</v>
      </c>
      <c r="FB95" s="629">
        <f t="shared" si="531"/>
        <v>2324925.3767064051</v>
      </c>
      <c r="FC95" s="629">
        <f t="shared" si="532"/>
        <v>2324925.3767064051</v>
      </c>
      <c r="FD95" s="629">
        <f t="shared" si="533"/>
        <v>2324925.3767064051</v>
      </c>
      <c r="FG95" s="70">
        <f t="shared" si="534"/>
        <v>5928396.2459779419</v>
      </c>
      <c r="FH95" s="67">
        <f t="shared" si="535"/>
        <v>8033431.8167157928</v>
      </c>
      <c r="FI95" s="67">
        <f t="shared" si="536"/>
        <v>8435103.4075515829</v>
      </c>
      <c r="FJ95" s="69">
        <f t="shared" si="537"/>
        <v>8856858.5779291615</v>
      </c>
      <c r="FK95" s="619">
        <f t="shared" si="538"/>
        <v>9299701.5068256203</v>
      </c>
    </row>
    <row r="96" spans="2:167" ht="15.75" customHeight="1" x14ac:dyDescent="0.2">
      <c r="B96" s="49" t="s">
        <v>51</v>
      </c>
      <c r="C96" s="66">
        <f>'P&amp;L - Inputs'!B112</f>
        <v>0</v>
      </c>
      <c r="D96" s="67">
        <f>'P&amp;L - Inputs'!C112</f>
        <v>0</v>
      </c>
      <c r="E96" s="67">
        <f>'P&amp;L - Inputs'!D112</f>
        <v>0</v>
      </c>
      <c r="F96" s="67">
        <f>'P&amp;L - Inputs'!E112</f>
        <v>0</v>
      </c>
      <c r="G96" s="67">
        <f>'P&amp;L - Inputs'!F112</f>
        <v>0</v>
      </c>
      <c r="H96" s="67">
        <f>'P&amp;L - Inputs'!G112</f>
        <v>0</v>
      </c>
      <c r="I96" s="67">
        <f>'P&amp;L - Inputs'!H112</f>
        <v>0</v>
      </c>
      <c r="J96" s="67">
        <f>'P&amp;L - Inputs'!I112</f>
        <v>0</v>
      </c>
      <c r="K96" s="67">
        <f>'P&amp;L - Inputs'!J112</f>
        <v>223720</v>
      </c>
      <c r="L96" s="67">
        <f>'P&amp;L - Inputs'!K112</f>
        <v>108957.42</v>
      </c>
      <c r="M96" s="67">
        <f>'P&amp;L - Inputs'!L112</f>
        <v>201652</v>
      </c>
      <c r="N96" s="67">
        <f>'P&amp;L - Inputs'!M112</f>
        <v>194828</v>
      </c>
      <c r="O96" s="67">
        <f>'P&amp;L - Inputs'!N112</f>
        <v>175006</v>
      </c>
      <c r="P96" s="67">
        <f>'P&amp;L - Inputs'!O112</f>
        <v>142392.24</v>
      </c>
      <c r="Q96" s="67">
        <f>'P&amp;L - Inputs'!P112</f>
        <v>116776</v>
      </c>
      <c r="R96" s="67">
        <f>'P&amp;L - Inputs'!Q112</f>
        <v>140877</v>
      </c>
      <c r="S96" s="67">
        <f>'P&amp;L - Inputs'!R112</f>
        <v>46296</v>
      </c>
      <c r="T96" s="67">
        <f>'P&amp;L - Inputs'!S112</f>
        <v>39858.239999999998</v>
      </c>
      <c r="U96" s="67">
        <f>'P&amp;L - Inputs'!T112</f>
        <v>90814.05</v>
      </c>
      <c r="V96" s="67">
        <f>'P&amp;L - Inputs'!U112</f>
        <v>29802.58</v>
      </c>
      <c r="W96" s="67">
        <f>'P&amp;L - Inputs'!V112</f>
        <v>75439.570000000007</v>
      </c>
      <c r="X96" s="67">
        <f>'P&amp;L - Inputs'!W112</f>
        <v>112611</v>
      </c>
      <c r="Y96" s="67">
        <f>'P&amp;L - Inputs'!X112</f>
        <v>95791.32</v>
      </c>
      <c r="Z96" s="67">
        <f>'P&amp;L - Inputs'!Y112</f>
        <v>100979.75</v>
      </c>
      <c r="AA96" s="67">
        <f>'P&amp;L - Inputs'!Z112</f>
        <v>0</v>
      </c>
      <c r="AB96" s="67">
        <f>'P&amp;L - Inputs'!AA112</f>
        <v>0</v>
      </c>
      <c r="AC96" s="68">
        <f>'P&amp;L - Inputs'!AB112</f>
        <v>22497</v>
      </c>
      <c r="AD96" s="67">
        <f>'P&amp;L - Inputs'!AC112</f>
        <v>29680</v>
      </c>
      <c r="AE96" s="67">
        <f>'P&amp;L - Inputs'!AD112</f>
        <v>30124</v>
      </c>
      <c r="AF96" s="67">
        <f>'P&amp;L - Inputs'!AE112</f>
        <v>314508</v>
      </c>
      <c r="AG96" s="67">
        <f>'P&amp;L - Inputs'!AF112</f>
        <v>365079</v>
      </c>
      <c r="AH96" s="67">
        <f>'P&amp;L - Inputs'!AG112</f>
        <v>102558.26</v>
      </c>
      <c r="AI96" s="67">
        <f>'P&amp;L - Inputs'!AH112</f>
        <v>145448</v>
      </c>
      <c r="AJ96" s="67">
        <f>'P&amp;L - Inputs'!AI112</f>
        <v>223298</v>
      </c>
      <c r="AK96" s="68">
        <f>'P&amp;L - Inputs'!AJ112</f>
        <v>162567</v>
      </c>
      <c r="AL96" s="67">
        <f>'P&amp;L - Inputs'!AK112</f>
        <v>152324.94</v>
      </c>
      <c r="AM96" s="67">
        <f>'P&amp;L - Inputs'!AL112</f>
        <v>31014</v>
      </c>
      <c r="AN96" s="67">
        <f>'P&amp;L - Inputs'!AM112</f>
        <v>49774</v>
      </c>
      <c r="AO96" s="67">
        <f>'P&amp;L - Inputs'!AN112</f>
        <v>10190</v>
      </c>
      <c r="AP96" s="67">
        <f>'P&amp;L - Inputs'!AO112</f>
        <v>224784</v>
      </c>
      <c r="AQ96" s="67">
        <f>'P&amp;L - Inputs'!AP112</f>
        <v>368820</v>
      </c>
      <c r="AR96" s="67">
        <f>'P&amp;L - Inputs'!AQ112</f>
        <v>713891</v>
      </c>
      <c r="AS96" s="67">
        <f>'P&amp;L - Inputs'!AR112</f>
        <v>752883</v>
      </c>
      <c r="AT96" s="67">
        <f>'P&amp;L - Inputs'!AS112</f>
        <v>570663</v>
      </c>
      <c r="AU96" s="67">
        <f>'P&amp;L - Inputs'!AT112</f>
        <v>757780</v>
      </c>
      <c r="AV96" s="67">
        <f>'P&amp;L - Inputs'!AU112</f>
        <v>706812</v>
      </c>
      <c r="AW96" s="67">
        <f>'P&amp;L - Inputs'!AV112</f>
        <v>561038</v>
      </c>
      <c r="AX96" s="67">
        <f>'P&amp;L - Inputs'!AW112</f>
        <v>1495893</v>
      </c>
      <c r="AY96" s="67">
        <f>'P&amp;L - Inputs'!AX112</f>
        <v>1104824</v>
      </c>
      <c r="AZ96" s="67">
        <f>'P&amp;L - Inputs'!AY112</f>
        <v>918076</v>
      </c>
      <c r="BA96" s="67">
        <f>'P&amp;L - Inputs'!AZ112</f>
        <v>1226325</v>
      </c>
      <c r="BB96" s="67">
        <f>'P&amp;L - Inputs'!BA112</f>
        <v>1231887</v>
      </c>
      <c r="BC96" s="67">
        <f>'P&amp;L - Inputs'!BB112</f>
        <v>1151398</v>
      </c>
      <c r="BD96" s="67">
        <f>'P&amp;L - Inputs'!BC112</f>
        <v>1185646</v>
      </c>
      <c r="BE96" s="67">
        <f>'P&amp;L - Inputs'!BD112</f>
        <v>1277978</v>
      </c>
      <c r="BF96" s="67">
        <f>'P&amp;L - Inputs'!BE112</f>
        <v>709870</v>
      </c>
      <c r="BG96" s="67">
        <f>'P&amp;L - Inputs'!BF112</f>
        <v>1045439</v>
      </c>
      <c r="BH96" s="67">
        <f>'P&amp;L - Inputs'!BG112</f>
        <v>1108738.5</v>
      </c>
      <c r="BI96" s="67">
        <f>'P&amp;L - Inputs'!BH112</f>
        <v>826071.5</v>
      </c>
      <c r="BJ96" s="66">
        <f>'P&amp;L - Inputs'!BI112</f>
        <v>687174</v>
      </c>
      <c r="BK96" s="67">
        <f>'P&amp;L - Inputs'!BJ112</f>
        <v>200344</v>
      </c>
      <c r="BL96" s="67">
        <f>'P&amp;L - Inputs'!BK112</f>
        <v>554715</v>
      </c>
      <c r="BM96" s="67">
        <f>'P&amp;L - Inputs'!BL112</f>
        <v>409415</v>
      </c>
      <c r="BN96" s="67">
        <f>'P&amp;L - Inputs'!BM112</f>
        <v>538292</v>
      </c>
      <c r="BO96" s="67">
        <f>'P&amp;L - Inputs'!BN112</f>
        <v>646996</v>
      </c>
      <c r="BP96" s="67">
        <f>'P&amp;L - Inputs'!BO112</f>
        <v>635395</v>
      </c>
      <c r="BQ96" s="67">
        <f>'P&amp;L - Inputs'!BP112</f>
        <v>691652</v>
      </c>
      <c r="BR96" s="67">
        <f>'P&amp;L - Inputs'!BQ112</f>
        <v>570943</v>
      </c>
      <c r="BS96" s="67">
        <f>'P&amp;L - Inputs'!BR112</f>
        <v>723911</v>
      </c>
      <c r="BT96" s="67">
        <f>'P&amp;L - Inputs'!BS112</f>
        <v>571906</v>
      </c>
      <c r="BU96" s="67">
        <f>'P&amp;L - Inputs'!BT112</f>
        <v>368881</v>
      </c>
      <c r="BV96" s="67">
        <f>'P&amp;L - Inputs'!BU112</f>
        <v>362579</v>
      </c>
      <c r="BW96" s="67">
        <f>'P&amp;L - Inputs'!BV112</f>
        <v>242469</v>
      </c>
      <c r="BX96" s="67">
        <f>'P&amp;L - Inputs'!BW112</f>
        <v>372064</v>
      </c>
      <c r="BY96" s="67">
        <f>'P&amp;L - Inputs'!BX112</f>
        <v>561237</v>
      </c>
      <c r="BZ96" s="67">
        <f>'P&amp;L - Inputs'!BY112</f>
        <v>534976</v>
      </c>
      <c r="CA96" s="67">
        <f>'P&amp;L - Inputs'!BZ112</f>
        <v>436541</v>
      </c>
      <c r="CB96" s="67">
        <f>'P&amp;L - Inputs'!CA112</f>
        <v>310815</v>
      </c>
      <c r="CC96" s="67">
        <f>'P&amp;L - Inputs'!CB112</f>
        <v>431886</v>
      </c>
      <c r="CD96" s="67">
        <f>'P&amp;L - Inputs'!CC112</f>
        <v>353467</v>
      </c>
      <c r="CE96" s="67">
        <f>'P&amp;L - Inputs'!CD112</f>
        <v>597770</v>
      </c>
      <c r="CF96" s="67">
        <f>'P&amp;L - Inputs'!CE112</f>
        <v>459291</v>
      </c>
      <c r="CG96" s="67">
        <f>'P&amp;L - Inputs'!CF112</f>
        <v>417915</v>
      </c>
      <c r="CH96" s="67">
        <f>'P&amp;L - Inputs'!CG112</f>
        <v>773852</v>
      </c>
      <c r="CI96" s="67">
        <f>'P&amp;L - Inputs'!CH112</f>
        <v>414395</v>
      </c>
      <c r="CJ96" s="67">
        <f>'P&amp;L - Inputs'!CI112</f>
        <v>510735.8</v>
      </c>
      <c r="CK96" s="67">
        <f>'P&amp;L - Inputs'!CJ112</f>
        <v>178406</v>
      </c>
      <c r="CL96" s="67">
        <f>'P&amp;L - Inputs'!CK112</f>
        <v>674624</v>
      </c>
      <c r="CM96" s="67">
        <f>'P&amp;L - Inputs'!CL112</f>
        <v>399506</v>
      </c>
      <c r="CN96" s="67">
        <f>'P&amp;L - Inputs'!CM112</f>
        <v>735973.19433333341</v>
      </c>
      <c r="CO96" s="67">
        <f>'P&amp;L - Inputs'!CN112</f>
        <v>437111.36</v>
      </c>
      <c r="CP96" s="67">
        <f>'P&amp;L - Inputs'!CO112</f>
        <v>664771.59</v>
      </c>
      <c r="CQ96" s="67">
        <f>'P&amp;L - Inputs'!CP112</f>
        <v>611423.99</v>
      </c>
      <c r="CR96" s="67">
        <f>'P&amp;L - Inputs'!CQ112</f>
        <v>831832</v>
      </c>
      <c r="CS96" s="67">
        <f>'P&amp;L - Inputs'!CR112</f>
        <v>494409</v>
      </c>
      <c r="CT96" s="67">
        <f>'P&amp;L - Inputs'!CS112</f>
        <v>2516874</v>
      </c>
      <c r="CU96" s="67">
        <f>'P&amp;L - Inputs'!CT112</f>
        <v>776422.34398055554</v>
      </c>
      <c r="CV96" s="67">
        <f>'P&amp;L - Inputs'!CU112</f>
        <v>776422.34398055554</v>
      </c>
      <c r="CW96" s="67">
        <f>'P&amp;L - Inputs'!CV112</f>
        <v>776422.34398055554</v>
      </c>
      <c r="CX96" s="67">
        <f>'P&amp;L - Inputs'!CW112</f>
        <v>776422.34398055554</v>
      </c>
      <c r="CY96" s="67">
        <f>'P&amp;L - Inputs'!CX112</f>
        <v>776422.34398055554</v>
      </c>
      <c r="CZ96" s="67">
        <f>'P&amp;L - Inputs'!CY112</f>
        <v>776422.34398055554</v>
      </c>
      <c r="DA96" s="67">
        <f>'P&amp;L - Inputs'!CZ112</f>
        <v>776422.34398055554</v>
      </c>
      <c r="DB96" s="67">
        <f>'P&amp;L - Inputs'!DA112</f>
        <v>776422.34398055554</v>
      </c>
      <c r="DC96" s="67">
        <f>'P&amp;L - Inputs'!DB112</f>
        <v>776422.34398055554</v>
      </c>
      <c r="DD96" s="67">
        <f>'P&amp;L - Inputs'!DC112</f>
        <v>776422.34398055554</v>
      </c>
      <c r="DE96" s="67">
        <f>'P&amp;L - Inputs'!DD112</f>
        <v>776422.34398055554</v>
      </c>
      <c r="DF96" s="67">
        <f>'P&amp;L - Inputs'!DE112</f>
        <v>776422.34398055554</v>
      </c>
      <c r="DG96" s="67">
        <f>'P&amp;L - Inputs'!DF112</f>
        <v>815243.46117958333</v>
      </c>
      <c r="DH96" s="67">
        <f>'P&amp;L - Inputs'!DG112</f>
        <v>815243.46117958333</v>
      </c>
      <c r="DI96" s="67">
        <f>'P&amp;L - Inputs'!DH112</f>
        <v>815243.46117958333</v>
      </c>
      <c r="DJ96" s="67">
        <f>'P&amp;L - Inputs'!DI112</f>
        <v>815243.46117958333</v>
      </c>
      <c r="DK96" s="67">
        <f>'P&amp;L - Inputs'!DJ112</f>
        <v>815243.46117958333</v>
      </c>
      <c r="DL96" s="67">
        <f>'P&amp;L - Inputs'!DK112</f>
        <v>815243.46117958333</v>
      </c>
      <c r="DM96" s="67">
        <f>'P&amp;L - Inputs'!DL112</f>
        <v>815243.46117958333</v>
      </c>
      <c r="DN96" s="67">
        <f>'P&amp;L - Inputs'!DM112</f>
        <v>815243.46117958333</v>
      </c>
      <c r="DO96" s="67">
        <f>'P&amp;L - Inputs'!DN112</f>
        <v>815243.46117958333</v>
      </c>
      <c r="DP96" s="67">
        <f>'P&amp;L - Inputs'!DO112</f>
        <v>815243.46117958333</v>
      </c>
      <c r="DQ96" s="67">
        <f>'P&amp;L - Inputs'!DP112</f>
        <v>815243.46117958333</v>
      </c>
      <c r="DR96" s="69">
        <f>'P&amp;L - Inputs'!DQ112</f>
        <v>815243.46117958333</v>
      </c>
      <c r="DS96" s="69">
        <f>'P&amp;L - Inputs'!DR112</f>
        <v>856005.63423856255</v>
      </c>
      <c r="DT96" s="69">
        <f>'P&amp;L - Inputs'!DS112</f>
        <v>856005.63423856255</v>
      </c>
      <c r="DU96" s="69">
        <f>'P&amp;L - Inputs'!DT112</f>
        <v>856005.63423856255</v>
      </c>
      <c r="DV96" s="69">
        <f>'P&amp;L - Inputs'!DU112</f>
        <v>856005.63423856255</v>
      </c>
      <c r="DW96" s="69">
        <f>'P&amp;L - Inputs'!DV112</f>
        <v>856005.63423856255</v>
      </c>
      <c r="DX96" s="69">
        <f>'P&amp;L - Inputs'!DW112</f>
        <v>856005.63423856255</v>
      </c>
      <c r="DY96" s="69">
        <f>'P&amp;L - Inputs'!DX112</f>
        <v>856005.63423856255</v>
      </c>
      <c r="DZ96" s="69">
        <f>'P&amp;L - Inputs'!DY112</f>
        <v>856005.63423856255</v>
      </c>
      <c r="EA96" s="69">
        <f>'P&amp;L - Inputs'!DZ112</f>
        <v>856005.63423856255</v>
      </c>
      <c r="EB96" s="69">
        <f>'P&amp;L - Inputs'!EA112</f>
        <v>856005.63423856255</v>
      </c>
      <c r="EC96" s="69">
        <f>'P&amp;L - Inputs'!EB112</f>
        <v>856005.63423856255</v>
      </c>
      <c r="ED96" s="69">
        <f>'P&amp;L - Inputs'!EC112</f>
        <v>856005.63423856255</v>
      </c>
      <c r="EE96" s="39" t="s">
        <v>1</v>
      </c>
      <c r="EF96" s="68"/>
      <c r="EG96" s="629">
        <f>SUM(BK96:BM96)</f>
        <v>1164474</v>
      </c>
      <c r="EH96" s="629">
        <f>SUM(BN96:BP96)</f>
        <v>1820683</v>
      </c>
      <c r="EI96" s="629">
        <f>SUM(BQ96:BS96)</f>
        <v>1986506</v>
      </c>
      <c r="EJ96" s="629">
        <f>SUM(BT96:BV96)</f>
        <v>1303366</v>
      </c>
      <c r="EK96" s="629">
        <f>SUM(BW96:BY96)</f>
        <v>1175770</v>
      </c>
      <c r="EL96" s="629">
        <f t="shared" si="551"/>
        <v>1282332</v>
      </c>
      <c r="EM96" s="629">
        <f t="shared" si="552"/>
        <v>1383123</v>
      </c>
      <c r="EN96" s="629">
        <f t="shared" si="553"/>
        <v>1651058</v>
      </c>
      <c r="EO96" s="629">
        <f t="shared" si="554"/>
        <v>1103536.8</v>
      </c>
      <c r="EP96" s="629">
        <f t="shared" si="555"/>
        <v>1810103.1943333335</v>
      </c>
      <c r="EQ96" s="629">
        <f t="shared" si="556"/>
        <v>1713306.94</v>
      </c>
      <c r="ER96" s="629">
        <f>SUM(CR96:CT96)</f>
        <v>3843115</v>
      </c>
      <c r="ES96" s="629">
        <f t="shared" si="522"/>
        <v>2329267.0319416667</v>
      </c>
      <c r="ET96" s="629">
        <f t="shared" si="523"/>
        <v>2329267.0319416667</v>
      </c>
      <c r="EU96" s="629">
        <f t="shared" si="524"/>
        <v>2329267.0319416667</v>
      </c>
      <c r="EV96" s="629">
        <f t="shared" si="525"/>
        <v>2329267.0319416667</v>
      </c>
      <c r="EW96" s="629">
        <f t="shared" si="526"/>
        <v>2445730.38353875</v>
      </c>
      <c r="EX96" s="629">
        <f t="shared" si="527"/>
        <v>2445730.38353875</v>
      </c>
      <c r="EY96" s="629">
        <f t="shared" si="528"/>
        <v>2445730.38353875</v>
      </c>
      <c r="EZ96" s="629">
        <f t="shared" si="529"/>
        <v>2445730.38353875</v>
      </c>
      <c r="FA96" s="629">
        <f t="shared" si="530"/>
        <v>2568016.9027156876</v>
      </c>
      <c r="FB96" s="629">
        <f t="shared" si="531"/>
        <v>2568016.9027156876</v>
      </c>
      <c r="FC96" s="629">
        <f t="shared" si="532"/>
        <v>2568016.9027156876</v>
      </c>
      <c r="FD96" s="629">
        <f t="shared" si="533"/>
        <v>2568016.9027156876</v>
      </c>
      <c r="FG96" s="70">
        <f t="shared" si="534"/>
        <v>5492283</v>
      </c>
      <c r="FH96" s="67">
        <f t="shared" si="535"/>
        <v>8470061.9343333337</v>
      </c>
      <c r="FI96" s="67">
        <f t="shared" si="536"/>
        <v>9317068.1277666669</v>
      </c>
      <c r="FJ96" s="69">
        <f t="shared" si="537"/>
        <v>9782921.534155</v>
      </c>
      <c r="FK96" s="619">
        <f t="shared" si="538"/>
        <v>10272067.610862751</v>
      </c>
    </row>
    <row r="97" spans="2:167" ht="15.75" customHeight="1" x14ac:dyDescent="0.2">
      <c r="B97" s="49" t="s">
        <v>52</v>
      </c>
      <c r="C97" s="66">
        <f>'P&amp;L - Inputs'!B113</f>
        <v>0</v>
      </c>
      <c r="D97" s="67">
        <f>'P&amp;L - Inputs'!C113</f>
        <v>0</v>
      </c>
      <c r="E97" s="67">
        <f>'P&amp;L - Inputs'!D113</f>
        <v>0</v>
      </c>
      <c r="F97" s="67">
        <f>'P&amp;L - Inputs'!E113</f>
        <v>0</v>
      </c>
      <c r="G97" s="67">
        <f>'P&amp;L - Inputs'!F113</f>
        <v>0</v>
      </c>
      <c r="H97" s="67">
        <f>'P&amp;L - Inputs'!G113</f>
        <v>0</v>
      </c>
      <c r="I97" s="67">
        <f>'P&amp;L - Inputs'!H113</f>
        <v>0</v>
      </c>
      <c r="J97" s="67">
        <f>'P&amp;L - Inputs'!I113</f>
        <v>0</v>
      </c>
      <c r="K97" s="67">
        <f>'P&amp;L - Inputs'!J113</f>
        <v>158674</v>
      </c>
      <c r="L97" s="67">
        <f>'P&amp;L - Inputs'!K113</f>
        <v>1654852.1</v>
      </c>
      <c r="M97" s="67">
        <f>'P&amp;L - Inputs'!L113</f>
        <v>192854.99</v>
      </c>
      <c r="N97" s="67">
        <f>'P&amp;L - Inputs'!M113</f>
        <v>365557.41000000003</v>
      </c>
      <c r="O97" s="67">
        <f>'P&amp;L - Inputs'!N113</f>
        <v>227829.82</v>
      </c>
      <c r="P97" s="67">
        <f>'P&amp;L - Inputs'!O113</f>
        <v>227280.96</v>
      </c>
      <c r="Q97" s="67">
        <f>'P&amp;L - Inputs'!P113</f>
        <v>310897.38</v>
      </c>
      <c r="R97" s="67">
        <f>'P&amp;L - Inputs'!Q113</f>
        <v>161887.74</v>
      </c>
      <c r="S97" s="67">
        <f>'P&amp;L - Inputs'!R113</f>
        <v>227408.43</v>
      </c>
      <c r="T97" s="67">
        <f>'P&amp;L - Inputs'!S113</f>
        <v>61017.98000000001</v>
      </c>
      <c r="U97" s="67">
        <f>'P&amp;L - Inputs'!T113</f>
        <v>164806.57</v>
      </c>
      <c r="V97" s="67">
        <f>'P&amp;L - Inputs'!U113</f>
        <v>93312.78</v>
      </c>
      <c r="W97" s="67">
        <f>'P&amp;L - Inputs'!V113</f>
        <v>5298.1700000000128</v>
      </c>
      <c r="X97" s="67">
        <f>'P&amp;L - Inputs'!W113</f>
        <v>615749</v>
      </c>
      <c r="Y97" s="67">
        <f>'P&amp;L - Inputs'!X113</f>
        <v>560359</v>
      </c>
      <c r="Z97" s="67">
        <f>'P&amp;L - Inputs'!Y113</f>
        <v>169016.56</v>
      </c>
      <c r="AA97" s="67">
        <f>'P&amp;L - Inputs'!Z113</f>
        <v>761.1</v>
      </c>
      <c r="AB97" s="67">
        <f>'P&amp;L - Inputs'!AA113</f>
        <v>30371.9</v>
      </c>
      <c r="AC97" s="68">
        <f>'P&amp;L - Inputs'!AB113</f>
        <v>47443.63</v>
      </c>
      <c r="AD97" s="67">
        <f>'P&amp;L - Inputs'!AC113</f>
        <v>546226.91999999993</v>
      </c>
      <c r="AE97" s="67">
        <f>'P&amp;L - Inputs'!AD113</f>
        <v>822478.77</v>
      </c>
      <c r="AF97" s="67">
        <f>'P&amp;L - Inputs'!AE113</f>
        <v>1017687.94</v>
      </c>
      <c r="AG97" s="67">
        <f>'P&amp;L - Inputs'!AF113</f>
        <v>804606</v>
      </c>
      <c r="AH97" s="67">
        <f>'P&amp;L - Inputs'!AG113</f>
        <v>399660.73</v>
      </c>
      <c r="AI97" s="67">
        <f>'P&amp;L - Inputs'!AH113</f>
        <v>751814.44</v>
      </c>
      <c r="AJ97" s="67">
        <f>'P&amp;L - Inputs'!AI113</f>
        <v>1609564.25</v>
      </c>
      <c r="AK97" s="68">
        <f>'P&amp;L - Inputs'!AJ113</f>
        <v>699862.16999999993</v>
      </c>
      <c r="AL97" s="67">
        <f>'P&amp;L - Inputs'!AK113</f>
        <v>817191</v>
      </c>
      <c r="AM97" s="67">
        <f>'P&amp;L - Inputs'!AL113</f>
        <v>3000</v>
      </c>
      <c r="AN97" s="67">
        <f>'P&amp;L - Inputs'!AM113</f>
        <v>23011</v>
      </c>
      <c r="AO97" s="67">
        <f>'P&amp;L - Inputs'!AN113</f>
        <v>8603</v>
      </c>
      <c r="AP97" s="67">
        <f>'P&amp;L - Inputs'!AO113</f>
        <v>37244</v>
      </c>
      <c r="AQ97" s="67">
        <f>'P&amp;L - Inputs'!AP113</f>
        <v>36166</v>
      </c>
      <c r="AR97" s="67">
        <f>'P&amp;L - Inputs'!AQ113</f>
        <v>99322.2</v>
      </c>
      <c r="AS97" s="67">
        <f>'P&amp;L - Inputs'!AR113</f>
        <v>2881.7400000000002</v>
      </c>
      <c r="AT97" s="67">
        <f>'P&amp;L - Inputs'!AS113</f>
        <v>73622</v>
      </c>
      <c r="AU97" s="67">
        <f>'P&amp;L - Inputs'!AT113</f>
        <v>83672.759999999995</v>
      </c>
      <c r="AV97" s="67">
        <f>'P&amp;L - Inputs'!AU113</f>
        <v>160053.1</v>
      </c>
      <c r="AW97" s="67">
        <f>'P&amp;L - Inputs'!AV113</f>
        <v>48366.7</v>
      </c>
      <c r="AX97" s="67">
        <f>'P&amp;L - Inputs'!AW113</f>
        <v>222101.01</v>
      </c>
      <c r="AY97" s="67">
        <f>'P&amp;L - Inputs'!AX113</f>
        <v>3261519</v>
      </c>
      <c r="AZ97" s="67">
        <f>'P&amp;L - Inputs'!AY113</f>
        <v>131883.75</v>
      </c>
      <c r="BA97" s="67">
        <f>'P&amp;L - Inputs'!AZ113</f>
        <v>211168</v>
      </c>
      <c r="BB97" s="67">
        <f>'P&amp;L - Inputs'!BA113</f>
        <v>66893</v>
      </c>
      <c r="BC97" s="67">
        <f>'P&amp;L - Inputs'!BB113</f>
        <v>106450</v>
      </c>
      <c r="BD97" s="67">
        <f>'P&amp;L - Inputs'!BC113</f>
        <v>245602</v>
      </c>
      <c r="BE97" s="67">
        <f>'P&amp;L - Inputs'!BD113</f>
        <v>179786</v>
      </c>
      <c r="BF97" s="67">
        <f>'P&amp;L - Inputs'!BE113</f>
        <v>52942</v>
      </c>
      <c r="BG97" s="67">
        <f>'P&amp;L - Inputs'!BF113</f>
        <v>66503</v>
      </c>
      <c r="BH97" s="67">
        <f>'P&amp;L - Inputs'!BG113</f>
        <v>99016</v>
      </c>
      <c r="BI97" s="67">
        <f>'P&amp;L - Inputs'!BH113</f>
        <v>130266</v>
      </c>
      <c r="BJ97" s="66">
        <f>'P&amp;L - Inputs'!BI113</f>
        <v>62067</v>
      </c>
      <c r="BK97" s="67">
        <f>'P&amp;L - Inputs'!BJ113</f>
        <v>150556</v>
      </c>
      <c r="BL97" s="67">
        <f>'P&amp;L - Inputs'!BK113</f>
        <v>143604.58000000002</v>
      </c>
      <c r="BM97" s="67">
        <f>'P&amp;L - Inputs'!BL113</f>
        <v>127781</v>
      </c>
      <c r="BN97" s="67">
        <f>'P&amp;L - Inputs'!BM113</f>
        <v>110589</v>
      </c>
      <c r="BO97" s="67">
        <f>'P&amp;L - Inputs'!BN113</f>
        <v>67460</v>
      </c>
      <c r="BP97" s="67">
        <f>'P&amp;L - Inputs'!BO113</f>
        <v>109510.37</v>
      </c>
      <c r="BQ97" s="67">
        <f>'P&amp;L - Inputs'!BP113</f>
        <v>57328.6</v>
      </c>
      <c r="BR97" s="67">
        <f>'P&amp;L - Inputs'!BQ113</f>
        <v>59263.270000000004</v>
      </c>
      <c r="BS97" s="67">
        <f>'P&amp;L - Inputs'!BR113</f>
        <v>79249</v>
      </c>
      <c r="BT97" s="67">
        <f>'P&amp;L - Inputs'!BS113</f>
        <v>97078.73</v>
      </c>
      <c r="BU97" s="67">
        <f>'P&amp;L - Inputs'!BT113</f>
        <v>68543.31</v>
      </c>
      <c r="BV97" s="67">
        <f>'P&amp;L - Inputs'!BU113</f>
        <v>92905.36</v>
      </c>
      <c r="BW97" s="67">
        <f>'P&amp;L - Inputs'!BV113</f>
        <v>0</v>
      </c>
      <c r="BX97" s="67">
        <f>'P&amp;L - Inputs'!BW113</f>
        <v>21993.46</v>
      </c>
      <c r="BY97" s="67">
        <f>'P&amp;L - Inputs'!BX113</f>
        <v>30288.84</v>
      </c>
      <c r="BZ97" s="67">
        <f>'P&amp;L - Inputs'!BY113</f>
        <v>46845.490000000005</v>
      </c>
      <c r="CA97" s="67">
        <f>'P&amp;L - Inputs'!BZ113</f>
        <v>53556</v>
      </c>
      <c r="CB97" s="67">
        <f>'P&amp;L - Inputs'!CA113</f>
        <v>38677</v>
      </c>
      <c r="CC97" s="67">
        <f>'P&amp;L - Inputs'!CB113</f>
        <v>28338.54</v>
      </c>
      <c r="CD97" s="67">
        <f>'P&amp;L - Inputs'!CC113</f>
        <v>138486.29999999999</v>
      </c>
      <c r="CE97" s="67">
        <f>'P&amp;L - Inputs'!CD113</f>
        <v>45313.82</v>
      </c>
      <c r="CF97" s="67">
        <f>'P&amp;L - Inputs'!CE113</f>
        <v>107626</v>
      </c>
      <c r="CG97" s="67">
        <f>'P&amp;L - Inputs'!CF113</f>
        <v>51976.28</v>
      </c>
      <c r="CH97" s="67">
        <f>'P&amp;L - Inputs'!CG113</f>
        <v>2612761.2799999998</v>
      </c>
      <c r="CI97" s="67">
        <f>'P&amp;L - Inputs'!CH113</f>
        <v>422500</v>
      </c>
      <c r="CJ97" s="67">
        <f>'P&amp;L - Inputs'!CI113</f>
        <v>31352</v>
      </c>
      <c r="CK97" s="67">
        <f>'P&amp;L - Inputs'!CJ113</f>
        <v>27860</v>
      </c>
      <c r="CL97" s="67">
        <f>'P&amp;L - Inputs'!CK113</f>
        <v>29100</v>
      </c>
      <c r="CM97" s="67">
        <f>'P&amp;L - Inputs'!CL113</f>
        <v>15390</v>
      </c>
      <c r="CN97" s="67">
        <f>'P&amp;L - Inputs'!CM113</f>
        <v>4200</v>
      </c>
      <c r="CO97" s="67">
        <f>'P&amp;L - Inputs'!CN113</f>
        <v>0</v>
      </c>
      <c r="CP97" s="67">
        <f>'P&amp;L - Inputs'!CO113</f>
        <v>0</v>
      </c>
      <c r="CQ97" s="67">
        <f>'P&amp;L - Inputs'!CP113</f>
        <v>0</v>
      </c>
      <c r="CR97" s="67">
        <f>'P&amp;L - Inputs'!CQ113</f>
        <v>0</v>
      </c>
      <c r="CS97" s="67">
        <f>'P&amp;L - Inputs'!CR113</f>
        <v>0</v>
      </c>
      <c r="CT97" s="67">
        <f>'P&amp;L - Inputs'!CS113</f>
        <v>0</v>
      </c>
      <c r="CU97" s="67">
        <f>'P&amp;L - Inputs'!CT113</f>
        <v>0</v>
      </c>
      <c r="CV97" s="67">
        <f>'P&amp;L - Inputs'!CU113</f>
        <v>0</v>
      </c>
      <c r="CW97" s="67">
        <f>'P&amp;L - Inputs'!CV113</f>
        <v>0</v>
      </c>
      <c r="CX97" s="67">
        <f>'P&amp;L - Inputs'!CW113</f>
        <v>0</v>
      </c>
      <c r="CY97" s="67">
        <f>'P&amp;L - Inputs'!CX113</f>
        <v>0</v>
      </c>
      <c r="CZ97" s="67">
        <f>'P&amp;L - Inputs'!CY113</f>
        <v>0</v>
      </c>
      <c r="DA97" s="67">
        <f>'P&amp;L - Inputs'!CZ113</f>
        <v>0</v>
      </c>
      <c r="DB97" s="67">
        <f>'P&amp;L - Inputs'!DA113</f>
        <v>0</v>
      </c>
      <c r="DC97" s="67">
        <f>'P&amp;L - Inputs'!DB113</f>
        <v>0</v>
      </c>
      <c r="DD97" s="67">
        <f>'P&amp;L - Inputs'!DC113</f>
        <v>0</v>
      </c>
      <c r="DE97" s="67">
        <f>'P&amp;L - Inputs'!DD113</f>
        <v>0</v>
      </c>
      <c r="DF97" s="67">
        <f>'P&amp;L - Inputs'!DE113</f>
        <v>0</v>
      </c>
      <c r="DG97" s="67">
        <f>'P&amp;L - Inputs'!DF113</f>
        <v>0</v>
      </c>
      <c r="DH97" s="67">
        <f>'P&amp;L - Inputs'!DG113</f>
        <v>0</v>
      </c>
      <c r="DI97" s="67">
        <f>'P&amp;L - Inputs'!DH113</f>
        <v>0</v>
      </c>
      <c r="DJ97" s="67">
        <f>'P&amp;L - Inputs'!DI113</f>
        <v>0</v>
      </c>
      <c r="DK97" s="67">
        <f>'P&amp;L - Inputs'!DJ113</f>
        <v>0</v>
      </c>
      <c r="DL97" s="67">
        <f>'P&amp;L - Inputs'!DK113</f>
        <v>0</v>
      </c>
      <c r="DM97" s="67">
        <f>'P&amp;L - Inputs'!DL113</f>
        <v>0</v>
      </c>
      <c r="DN97" s="67">
        <f>'P&amp;L - Inputs'!DM113</f>
        <v>0</v>
      </c>
      <c r="DO97" s="67">
        <f>'P&amp;L - Inputs'!DN113</f>
        <v>0</v>
      </c>
      <c r="DP97" s="67">
        <f>'P&amp;L - Inputs'!DO113</f>
        <v>0</v>
      </c>
      <c r="DQ97" s="67">
        <f>'P&amp;L - Inputs'!DP113</f>
        <v>0</v>
      </c>
      <c r="DR97" s="69">
        <f>'P&amp;L - Inputs'!DQ113</f>
        <v>0</v>
      </c>
      <c r="DS97" s="69">
        <f>'P&amp;L - Inputs'!DR113</f>
        <v>0</v>
      </c>
      <c r="DT97" s="69">
        <f>'P&amp;L - Inputs'!DS113</f>
        <v>0</v>
      </c>
      <c r="DU97" s="69">
        <f>'P&amp;L - Inputs'!DT113</f>
        <v>0</v>
      </c>
      <c r="DV97" s="69">
        <f>'P&amp;L - Inputs'!DU113</f>
        <v>0</v>
      </c>
      <c r="DW97" s="69">
        <f>'P&amp;L - Inputs'!DV113</f>
        <v>0</v>
      </c>
      <c r="DX97" s="69">
        <f>'P&amp;L - Inputs'!DW113</f>
        <v>0</v>
      </c>
      <c r="DY97" s="69">
        <f>'P&amp;L - Inputs'!DX113</f>
        <v>0</v>
      </c>
      <c r="DZ97" s="69">
        <f>'P&amp;L - Inputs'!DY113</f>
        <v>0</v>
      </c>
      <c r="EA97" s="69">
        <f>'P&amp;L - Inputs'!DZ113</f>
        <v>0</v>
      </c>
      <c r="EB97" s="69">
        <f>'P&amp;L - Inputs'!EA113</f>
        <v>0</v>
      </c>
      <c r="EC97" s="69">
        <f>'P&amp;L - Inputs'!EB113</f>
        <v>0</v>
      </c>
      <c r="ED97" s="69">
        <f>'P&amp;L - Inputs'!EC113</f>
        <v>0</v>
      </c>
      <c r="EE97" s="39" t="s">
        <v>1</v>
      </c>
      <c r="EF97" s="68"/>
      <c r="EG97" s="629">
        <f>SUM(BK97:BM97)</f>
        <v>421941.58</v>
      </c>
      <c r="EH97" s="629">
        <f>SUM(BN97:BP97)</f>
        <v>287559.37</v>
      </c>
      <c r="EI97" s="629">
        <f>SUM(BQ97:BS97)</f>
        <v>195840.87</v>
      </c>
      <c r="EJ97" s="629">
        <f>SUM(BT97:BV97)</f>
        <v>258527.39999999997</v>
      </c>
      <c r="EK97" s="629">
        <f>SUM(BW97:BY97)</f>
        <v>52282.3</v>
      </c>
      <c r="EL97" s="629">
        <f t="shared" si="551"/>
        <v>139078.49</v>
      </c>
      <c r="EM97" s="629">
        <f t="shared" si="552"/>
        <v>212138.66</v>
      </c>
      <c r="EN97" s="629">
        <f t="shared" si="553"/>
        <v>2772363.5599999996</v>
      </c>
      <c r="EO97" s="629">
        <f t="shared" si="554"/>
        <v>481712</v>
      </c>
      <c r="EP97" s="629">
        <f t="shared" si="555"/>
        <v>48690</v>
      </c>
      <c r="EQ97" s="629">
        <f t="shared" si="556"/>
        <v>0</v>
      </c>
      <c r="ER97" s="629">
        <f>SUM(CR97:CT97)</f>
        <v>0</v>
      </c>
      <c r="ES97" s="629">
        <f t="shared" si="522"/>
        <v>0</v>
      </c>
      <c r="ET97" s="629">
        <f t="shared" si="523"/>
        <v>0</v>
      </c>
      <c r="EU97" s="629">
        <f t="shared" si="524"/>
        <v>0</v>
      </c>
      <c r="EV97" s="629">
        <f t="shared" si="525"/>
        <v>0</v>
      </c>
      <c r="EW97" s="629">
        <f t="shared" si="526"/>
        <v>0</v>
      </c>
      <c r="EX97" s="629">
        <f t="shared" si="527"/>
        <v>0</v>
      </c>
      <c r="EY97" s="629">
        <f t="shared" si="528"/>
        <v>0</v>
      </c>
      <c r="EZ97" s="629">
        <f t="shared" si="529"/>
        <v>0</v>
      </c>
      <c r="FA97" s="629">
        <f t="shared" si="530"/>
        <v>0</v>
      </c>
      <c r="FB97" s="629">
        <f t="shared" si="531"/>
        <v>0</v>
      </c>
      <c r="FC97" s="629">
        <f t="shared" si="532"/>
        <v>0</v>
      </c>
      <c r="FD97" s="629">
        <f t="shared" si="533"/>
        <v>0</v>
      </c>
      <c r="FG97" s="70">
        <f t="shared" si="534"/>
        <v>3175863.01</v>
      </c>
      <c r="FH97" s="67">
        <f t="shared" si="535"/>
        <v>530402</v>
      </c>
      <c r="FI97" s="67">
        <f t="shared" si="536"/>
        <v>0</v>
      </c>
      <c r="FJ97" s="69">
        <f t="shared" si="537"/>
        <v>0</v>
      </c>
      <c r="FK97" s="619">
        <f t="shared" si="538"/>
        <v>0</v>
      </c>
    </row>
    <row r="98" spans="2:167" ht="15.75" customHeight="1" x14ac:dyDescent="0.2">
      <c r="B98" s="48" t="s">
        <v>53</v>
      </c>
      <c r="C98" s="75">
        <f t="shared" ref="C98:Z98" si="557">C84/C32</f>
        <v>1.2659386597482631E-2</v>
      </c>
      <c r="D98" s="76">
        <f t="shared" si="557"/>
        <v>1.3656831773683629E-2</v>
      </c>
      <c r="E98" s="76">
        <f t="shared" si="557"/>
        <v>1.2606233636268643E-2</v>
      </c>
      <c r="F98" s="76">
        <f t="shared" si="557"/>
        <v>1.322419960225304E-2</v>
      </c>
      <c r="G98" s="76">
        <f t="shared" si="557"/>
        <v>1.5108735602395026E-2</v>
      </c>
      <c r="H98" s="76">
        <f t="shared" si="557"/>
        <v>1.6043616803991256E-2</v>
      </c>
      <c r="I98" s="76">
        <f t="shared" si="557"/>
        <v>1.5265681822568244E-2</v>
      </c>
      <c r="J98" s="76">
        <f t="shared" si="557"/>
        <v>1.7284579859552465E-2</v>
      </c>
      <c r="K98" s="76">
        <f t="shared" si="557"/>
        <v>1.9394342784645108E-2</v>
      </c>
      <c r="L98" s="76">
        <f t="shared" si="557"/>
        <v>2.6627744645272476E-2</v>
      </c>
      <c r="M98" s="76">
        <f t="shared" si="557"/>
        <v>2.2280934834176695E-2</v>
      </c>
      <c r="N98" s="76">
        <f t="shared" si="557"/>
        <v>3.0210213867530211E-2</v>
      </c>
      <c r="O98" s="76">
        <f t="shared" si="557"/>
        <v>2.443079998384963E-2</v>
      </c>
      <c r="P98" s="76">
        <f t="shared" si="557"/>
        <v>2.3526345157769139E-2</v>
      </c>
      <c r="Q98" s="76">
        <f t="shared" si="557"/>
        <v>2.3336536057905751E-2</v>
      </c>
      <c r="R98" s="76">
        <f t="shared" si="557"/>
        <v>2.0462322918316386E-2</v>
      </c>
      <c r="S98" s="76">
        <f t="shared" si="557"/>
        <v>2.3784453546843172E-2</v>
      </c>
      <c r="T98" s="76">
        <f t="shared" si="557"/>
        <v>2.6146287251560735E-2</v>
      </c>
      <c r="U98" s="76">
        <f t="shared" si="557"/>
        <v>3.1023390853961563E-2</v>
      </c>
      <c r="V98" s="76">
        <f t="shared" si="557"/>
        <v>2.3642459819828085E-2</v>
      </c>
      <c r="W98" s="76">
        <f t="shared" si="557"/>
        <v>1.9808610329481263E-2</v>
      </c>
      <c r="X98" s="76">
        <f t="shared" si="557"/>
        <v>2.2208461010695138E-2</v>
      </c>
      <c r="Y98" s="76">
        <f t="shared" si="557"/>
        <v>1.8239297766402558E-2</v>
      </c>
      <c r="Z98" s="76">
        <f t="shared" si="557"/>
        <v>2.6514291480112685E-2</v>
      </c>
      <c r="AA98" s="76">
        <f t="shared" ref="AA98:ES98" si="558">IFERROR(AA84/AA32,0)</f>
        <v>-71.179100587341551</v>
      </c>
      <c r="AB98" s="76">
        <f t="shared" si="558"/>
        <v>3.0579088132078779E-2</v>
      </c>
      <c r="AC98" s="79">
        <f t="shared" si="558"/>
        <v>2.7731740009405398E-2</v>
      </c>
      <c r="AD98" s="76">
        <f t="shared" si="558"/>
        <v>3.4645666273385757E-2</v>
      </c>
      <c r="AE98" s="76">
        <f t="shared" si="558"/>
        <v>2.1159505045810909E-2</v>
      </c>
      <c r="AF98" s="76">
        <f t="shared" si="558"/>
        <v>2.2843016406227861E-2</v>
      </c>
      <c r="AG98" s="76">
        <f t="shared" si="558"/>
        <v>2.6409709836350558E-2</v>
      </c>
      <c r="AH98" s="76">
        <f t="shared" si="558"/>
        <v>2.0631333002004388E-2</v>
      </c>
      <c r="AI98" s="76">
        <f t="shared" si="558"/>
        <v>1.3015401381932306E-2</v>
      </c>
      <c r="AJ98" s="76">
        <f t="shared" si="558"/>
        <v>2.0647226477122298E-2</v>
      </c>
      <c r="AK98" s="79">
        <f t="shared" si="558"/>
        <v>1.25806886003646E-2</v>
      </c>
      <c r="AL98" s="76">
        <f t="shared" si="558"/>
        <v>1.6148808854484605E-2</v>
      </c>
      <c r="AM98" s="76">
        <f t="shared" si="558"/>
        <v>1.8476949157189469E-2</v>
      </c>
      <c r="AN98" s="76">
        <f t="shared" si="558"/>
        <v>3.6908680169175249E-2</v>
      </c>
      <c r="AO98" s="76">
        <f t="shared" si="558"/>
        <v>1.7741659794996225E-2</v>
      </c>
      <c r="AP98" s="76">
        <f t="shared" si="558"/>
        <v>1.315112401552259E-2</v>
      </c>
      <c r="AQ98" s="76">
        <f t="shared" si="558"/>
        <v>1.6597132676436133E-2</v>
      </c>
      <c r="AR98" s="76">
        <f t="shared" si="558"/>
        <v>1.8487590735356611E-2</v>
      </c>
      <c r="AS98" s="76">
        <f t="shared" si="558"/>
        <v>2.9695553923102753E-2</v>
      </c>
      <c r="AT98" s="76">
        <f t="shared" si="558"/>
        <v>2.5035456118330725E-2</v>
      </c>
      <c r="AU98" s="76">
        <f t="shared" si="558"/>
        <v>2.0927754540032376E-2</v>
      </c>
      <c r="AV98" s="76">
        <f t="shared" si="558"/>
        <v>2.5663671589015755E-2</v>
      </c>
      <c r="AW98" s="76">
        <f t="shared" si="558"/>
        <v>2.7765379702398483E-2</v>
      </c>
      <c r="AX98" s="76">
        <f t="shared" si="558"/>
        <v>3.9488873619511734E-2</v>
      </c>
      <c r="AY98" s="76">
        <f t="shared" si="558"/>
        <v>4.3456534671162679E-2</v>
      </c>
      <c r="AZ98" s="76">
        <f t="shared" si="558"/>
        <v>2.6214723929362908E-2</v>
      </c>
      <c r="BA98" s="76">
        <f t="shared" si="558"/>
        <v>4.2298795531358908E-2</v>
      </c>
      <c r="BB98" s="76">
        <f t="shared" si="558"/>
        <v>3.5314596535512867E-2</v>
      </c>
      <c r="BC98" s="76">
        <f t="shared" si="558"/>
        <v>3.4392748581393635E-2</v>
      </c>
      <c r="BD98" s="76">
        <f t="shared" si="558"/>
        <v>4.0341584994053915E-2</v>
      </c>
      <c r="BE98" s="76">
        <f t="shared" si="558"/>
        <v>3.3695501999897071E-2</v>
      </c>
      <c r="BF98" s="76">
        <f t="shared" si="558"/>
        <v>2.4097359159368711E-2</v>
      </c>
      <c r="BG98" s="76">
        <f t="shared" si="558"/>
        <v>1.7144385572019805E-2</v>
      </c>
      <c r="BH98" s="76">
        <f t="shared" si="558"/>
        <v>2.2436753282337737E-2</v>
      </c>
      <c r="BI98" s="76">
        <f t="shared" si="558"/>
        <v>2.2397204564487606E-2</v>
      </c>
      <c r="BJ98" s="75">
        <f t="shared" si="558"/>
        <v>1.7813628597802063E-2</v>
      </c>
      <c r="BK98" s="76">
        <f t="shared" si="558"/>
        <v>1.9865568822195742E-2</v>
      </c>
      <c r="BL98" s="76">
        <f t="shared" si="558"/>
        <v>2.0251404812701202E-2</v>
      </c>
      <c r="BM98" s="76">
        <f t="shared" si="558"/>
        <v>2.5013563145982253E-2</v>
      </c>
      <c r="BN98" s="76">
        <f t="shared" si="558"/>
        <v>2.678589984090057E-2</v>
      </c>
      <c r="BO98" s="77">
        <f t="shared" si="558"/>
        <v>2.5004783987527899E-2</v>
      </c>
      <c r="BP98" s="77">
        <f t="shared" si="558"/>
        <v>2.3133793489896755E-2</v>
      </c>
      <c r="BQ98" s="77">
        <f t="shared" si="558"/>
        <v>2.4757049236428838E-2</v>
      </c>
      <c r="BR98" s="77">
        <f t="shared" si="558"/>
        <v>2.0090083643240962E-2</v>
      </c>
      <c r="BS98" s="77">
        <f t="shared" si="558"/>
        <v>2.1167868045046678E-2</v>
      </c>
      <c r="BT98" s="77">
        <f t="shared" si="558"/>
        <v>1.6906244153469169E-2</v>
      </c>
      <c r="BU98" s="77">
        <f t="shared" si="558"/>
        <v>1.5570533636486993E-2</v>
      </c>
      <c r="BV98" s="77">
        <f t="shared" si="558"/>
        <v>1.5236678080702714E-2</v>
      </c>
      <c r="BW98" s="77">
        <f t="shared" si="558"/>
        <v>1.646253322558482E-2</v>
      </c>
      <c r="BX98" s="77">
        <f t="shared" si="558"/>
        <v>1.7071617784680221E-2</v>
      </c>
      <c r="BY98" s="77">
        <f t="shared" si="558"/>
        <v>1.6707422551871826E-2</v>
      </c>
      <c r="BZ98" s="77">
        <f t="shared" si="558"/>
        <v>1.9012499162512603E-2</v>
      </c>
      <c r="CA98" s="77">
        <f t="shared" si="558"/>
        <v>1.8168737790791964E-2</v>
      </c>
      <c r="CB98" s="77">
        <f t="shared" si="558"/>
        <v>2.0232031307952869E-2</v>
      </c>
      <c r="CC98" s="77">
        <f t="shared" si="558"/>
        <v>1.7596152119031122E-2</v>
      </c>
      <c r="CD98" s="77">
        <f t="shared" si="558"/>
        <v>1.7380285841042935E-2</v>
      </c>
      <c r="CE98" s="77">
        <f t="shared" si="558"/>
        <v>1.5728577288921075E-2</v>
      </c>
      <c r="CF98" s="77">
        <f t="shared" si="558"/>
        <v>1.4317450005853976E-2</v>
      </c>
      <c r="CG98" s="77">
        <f t="shared" si="558"/>
        <v>1.2720174370494627E-2</v>
      </c>
      <c r="CH98" s="77">
        <f t="shared" si="558"/>
        <v>1.870719772101569E-2</v>
      </c>
      <c r="CI98" s="77">
        <f t="shared" si="558"/>
        <v>1.6040786658998673E-2</v>
      </c>
      <c r="CJ98" s="77">
        <f t="shared" si="558"/>
        <v>1.513579756541605E-2</v>
      </c>
      <c r="CK98" s="77">
        <f t="shared" si="558"/>
        <v>1.484387918939091E-2</v>
      </c>
      <c r="CL98" s="77">
        <f t="shared" si="558"/>
        <v>1.8216949187826011E-2</v>
      </c>
      <c r="CM98" s="77">
        <f t="shared" si="558"/>
        <v>1.8549775311566295E-2</v>
      </c>
      <c r="CN98" s="77">
        <f t="shared" si="558"/>
        <v>2.2735511194440988E-2</v>
      </c>
      <c r="CO98" s="77">
        <f t="shared" si="558"/>
        <v>1.7161870734227459E-2</v>
      </c>
      <c r="CP98" s="77">
        <f t="shared" si="558"/>
        <v>1.4147770726779946E-2</v>
      </c>
      <c r="CQ98" s="77">
        <f t="shared" si="558"/>
        <v>1.334570546502014E-2</v>
      </c>
      <c r="CR98" s="77">
        <f t="shared" si="558"/>
        <v>1.170197500485054E-2</v>
      </c>
      <c r="CS98" s="77">
        <f t="shared" si="558"/>
        <v>1.4576688419443314E-2</v>
      </c>
      <c r="CT98" s="77">
        <f t="shared" si="558"/>
        <v>1.7520123156589594E-2</v>
      </c>
      <c r="CU98" s="77">
        <f t="shared" si="558"/>
        <v>1.5626011613807937E-2</v>
      </c>
      <c r="CV98" s="77">
        <f t="shared" si="558"/>
        <v>1.5075685152695251E-2</v>
      </c>
      <c r="CW98" s="77">
        <f t="shared" si="558"/>
        <v>1.6047644408875197E-2</v>
      </c>
      <c r="CX98" s="77">
        <f t="shared" si="558"/>
        <v>1.6033927133413443E-2</v>
      </c>
      <c r="CY98" s="77">
        <f t="shared" si="558"/>
        <v>1.7244526953270806E-2</v>
      </c>
      <c r="CZ98" s="77">
        <f t="shared" si="558"/>
        <v>1.9774955823479524E-2</v>
      </c>
      <c r="DA98" s="77">
        <f t="shared" si="558"/>
        <v>1.6903193033508915E-2</v>
      </c>
      <c r="DB98" s="77">
        <f t="shared" si="558"/>
        <v>1.364966425597763E-2</v>
      </c>
      <c r="DC98" s="77">
        <f t="shared" si="558"/>
        <v>1.2249736642796816E-2</v>
      </c>
      <c r="DD98" s="77">
        <f t="shared" si="558"/>
        <v>1.309000389612576E-2</v>
      </c>
      <c r="DE98" s="77">
        <f t="shared" si="558"/>
        <v>1.3422744424386922E-2</v>
      </c>
      <c r="DF98" s="77">
        <f t="shared" si="558"/>
        <v>1.3959645204532458E-2</v>
      </c>
      <c r="DG98" s="77">
        <f t="shared" si="558"/>
        <v>1.4011412011121015E-2</v>
      </c>
      <c r="DH98" s="77">
        <f t="shared" si="558"/>
        <v>1.3517949509118369E-2</v>
      </c>
      <c r="DI98" s="77">
        <f t="shared" si="558"/>
        <v>1.4389478465638917E-2</v>
      </c>
      <c r="DJ98" s="77">
        <f t="shared" si="558"/>
        <v>1.437717856449237E-2</v>
      </c>
      <c r="DK98" s="77">
        <f t="shared" si="558"/>
        <v>1.5462689907746564E-2</v>
      </c>
      <c r="DL98" s="77">
        <f t="shared" si="558"/>
        <v>1.7731655421249718E-2</v>
      </c>
      <c r="DM98" s="77">
        <f t="shared" si="558"/>
        <v>1.5156625231656824E-2</v>
      </c>
      <c r="DN98" s="77">
        <f t="shared" si="558"/>
        <v>1.223927605013265E-2</v>
      </c>
      <c r="DO98" s="77">
        <f t="shared" si="558"/>
        <v>1.0983999716107093E-2</v>
      </c>
      <c r="DP98" s="77">
        <f t="shared" si="558"/>
        <v>1.1737444099537687E-2</v>
      </c>
      <c r="DQ98" s="77">
        <f t="shared" si="558"/>
        <v>1.2035803319375043E-2</v>
      </c>
      <c r="DR98" s="81">
        <f t="shared" si="558"/>
        <v>1.2517227384941709E-2</v>
      </c>
      <c r="DS98" s="81">
        <f t="shared" ref="DS98:ED98" si="559">IFERROR(DS84/DS32,0)</f>
        <v>1.3096841841199506E-2</v>
      </c>
      <c r="DT98" s="81">
        <f t="shared" si="559"/>
        <v>1.2635589232385948E-2</v>
      </c>
      <c r="DU98" s="81">
        <f t="shared" si="559"/>
        <v>1.3450230675697698E-2</v>
      </c>
      <c r="DV98" s="81">
        <f t="shared" si="559"/>
        <v>1.343873362887252E-2</v>
      </c>
      <c r="DW98" s="81">
        <f t="shared" si="559"/>
        <v>1.4453390136592387E-2</v>
      </c>
      <c r="DX98" s="81">
        <f t="shared" si="559"/>
        <v>1.6574252933996433E-2</v>
      </c>
      <c r="DY98" s="81">
        <f t="shared" si="559"/>
        <v>1.4167303291616036E-2</v>
      </c>
      <c r="DZ98" s="81">
        <f t="shared" si="559"/>
        <v>1.1440378924846383E-2</v>
      </c>
      <c r="EA98" s="81">
        <f t="shared" si="559"/>
        <v>1.0267038536262795E-2</v>
      </c>
      <c r="EB98" s="81">
        <f t="shared" si="559"/>
        <v>1.097130316841396E-2</v>
      </c>
      <c r="EC98" s="81">
        <f t="shared" si="559"/>
        <v>1.1250187517184242E-2</v>
      </c>
      <c r="ED98" s="81">
        <f t="shared" si="559"/>
        <v>1.170018747723605E-2</v>
      </c>
      <c r="EE98" s="39" t="s">
        <v>1</v>
      </c>
      <c r="EF98" s="83"/>
      <c r="EG98" s="633">
        <f t="shared" si="558"/>
        <v>2.1429969220966152E-2</v>
      </c>
      <c r="EH98" s="633">
        <f t="shared" si="558"/>
        <v>2.4958876260216062E-2</v>
      </c>
      <c r="EI98" s="633">
        <f t="shared" si="558"/>
        <v>2.1844502729264071E-2</v>
      </c>
      <c r="EJ98" s="633">
        <f t="shared" si="558"/>
        <v>1.5882030548181904E-2</v>
      </c>
      <c r="EK98" s="633">
        <f t="shared" si="558"/>
        <v>1.6751138843493715E-2</v>
      </c>
      <c r="EL98" s="633">
        <f t="shared" si="558"/>
        <v>1.90908375190686E-2</v>
      </c>
      <c r="EM98" s="633">
        <f t="shared" si="558"/>
        <v>1.6845465428390861E-2</v>
      </c>
      <c r="EN98" s="633">
        <f t="shared" si="558"/>
        <v>1.5563539806075451E-2</v>
      </c>
      <c r="EO98" s="633">
        <f t="shared" si="558"/>
        <v>1.5346752171841801E-2</v>
      </c>
      <c r="EP98" s="633">
        <f t="shared" si="558"/>
        <v>1.9601705773104661E-2</v>
      </c>
      <c r="EQ98" s="633">
        <f t="shared" si="558"/>
        <v>1.4651169831087489E-2</v>
      </c>
      <c r="ER98" s="633">
        <f t="shared" si="558"/>
        <v>1.4479052855824919E-2</v>
      </c>
      <c r="ES98" s="633">
        <f t="shared" si="558"/>
        <v>1.5572905773235952E-2</v>
      </c>
      <c r="ET98" s="633">
        <f t="shared" ref="ET98:FD98" si="560">IFERROR(ET84/ET32,0)</f>
        <v>1.7551436643729153E-2</v>
      </c>
      <c r="EU98" s="633">
        <f t="shared" si="560"/>
        <v>1.4014978052823797E-2</v>
      </c>
      <c r="EV98" s="633">
        <f t="shared" si="560"/>
        <v>1.3481350018225976E-2</v>
      </c>
      <c r="EW98" s="633">
        <f t="shared" si="560"/>
        <v>1.3963793474104605E-2</v>
      </c>
      <c r="EX98" s="633">
        <f t="shared" si="560"/>
        <v>1.5737887330447679E-2</v>
      </c>
      <c r="EY98" s="633">
        <f t="shared" si="560"/>
        <v>1.256684281812581E-2</v>
      </c>
      <c r="EZ98" s="633">
        <f t="shared" si="560"/>
        <v>1.2088353332886471E-2</v>
      </c>
      <c r="FA98" s="633">
        <f t="shared" si="560"/>
        <v>1.3052331520075686E-2</v>
      </c>
      <c r="FB98" s="633">
        <f t="shared" si="560"/>
        <v>1.4710624533622575E-2</v>
      </c>
      <c r="FC98" s="633">
        <f t="shared" si="560"/>
        <v>1.1746564350657445E-2</v>
      </c>
      <c r="FD98" s="633">
        <f t="shared" si="560"/>
        <v>1.1299307421385607E-2</v>
      </c>
      <c r="FG98" s="84"/>
      <c r="FH98" s="77"/>
      <c r="FI98" s="77"/>
      <c r="FJ98" s="81"/>
      <c r="FK98" s="621"/>
    </row>
    <row r="99" spans="2:167" ht="15.75" customHeight="1" x14ac:dyDescent="0.2">
      <c r="B99" s="49"/>
      <c r="C99" s="66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8"/>
      <c r="AD99" s="67"/>
      <c r="AE99" s="67"/>
      <c r="AF99" s="67"/>
      <c r="AG99" s="67"/>
      <c r="AH99" s="67"/>
      <c r="AI99" s="67"/>
      <c r="AJ99" s="67"/>
      <c r="AK99" s="68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6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7"/>
      <c r="DF99" s="67"/>
      <c r="DG99" s="67"/>
      <c r="DH99" s="67"/>
      <c r="DI99" s="67"/>
      <c r="DJ99" s="67"/>
      <c r="DK99" s="67"/>
      <c r="DL99" s="67"/>
      <c r="DM99" s="67"/>
      <c r="DN99" s="67"/>
      <c r="DO99" s="67"/>
      <c r="DP99" s="67"/>
      <c r="DQ99" s="67"/>
      <c r="DR99" s="69"/>
      <c r="DS99" s="69"/>
      <c r="DT99" s="69"/>
      <c r="DU99" s="69"/>
      <c r="DV99" s="69"/>
      <c r="DW99" s="69"/>
      <c r="DX99" s="69"/>
      <c r="DY99" s="69"/>
      <c r="DZ99" s="69"/>
      <c r="EA99" s="69"/>
      <c r="EB99" s="69"/>
      <c r="EC99" s="69"/>
      <c r="ED99" s="69"/>
      <c r="EE99" s="39" t="s">
        <v>1</v>
      </c>
      <c r="EF99" s="68"/>
      <c r="EG99" s="629"/>
      <c r="EH99" s="629"/>
      <c r="EI99" s="629"/>
      <c r="EJ99" s="629"/>
      <c r="EK99" s="629"/>
      <c r="EL99" s="629"/>
      <c r="EM99" s="629"/>
      <c r="EN99" s="629"/>
      <c r="EO99" s="629"/>
      <c r="EP99" s="629"/>
      <c r="EQ99" s="629"/>
      <c r="ER99" s="629"/>
      <c r="ES99" s="629"/>
      <c r="ET99" s="629"/>
      <c r="EU99" s="629"/>
      <c r="EV99" s="629"/>
      <c r="EW99" s="629"/>
      <c r="EX99" s="629"/>
      <c r="EY99" s="629"/>
      <c r="EZ99" s="629"/>
      <c r="FA99" s="629"/>
      <c r="FB99" s="629"/>
      <c r="FC99" s="629"/>
      <c r="FD99" s="629"/>
      <c r="FG99" s="70"/>
      <c r="FH99" s="67"/>
      <c r="FI99" s="67"/>
      <c r="FJ99" s="69"/>
      <c r="FK99" s="619"/>
    </row>
    <row r="100" spans="2:167" ht="15.75" customHeight="1" x14ac:dyDescent="0.2">
      <c r="B100" s="56" t="s">
        <v>54</v>
      </c>
      <c r="C100" s="61">
        <f t="shared" ref="C100:ES100" si="561">C81-C84</f>
        <v>810736</v>
      </c>
      <c r="D100" s="62">
        <f t="shared" si="561"/>
        <v>-21379.007142856717</v>
      </c>
      <c r="E100" s="62">
        <f t="shared" si="561"/>
        <v>-443472.32207507105</v>
      </c>
      <c r="F100" s="62">
        <f t="shared" si="561"/>
        <v>1598388.8023318904</v>
      </c>
      <c r="G100" s="62">
        <f t="shared" si="561"/>
        <v>-2180404.4601376187</v>
      </c>
      <c r="H100" s="62">
        <f t="shared" si="561"/>
        <v>1892557.9249318712</v>
      </c>
      <c r="I100" s="62">
        <f t="shared" si="561"/>
        <v>-11799313.491909049</v>
      </c>
      <c r="J100" s="62">
        <f t="shared" si="561"/>
        <v>-89133.565232706722</v>
      </c>
      <c r="K100" s="62">
        <f t="shared" si="561"/>
        <v>-6879807.9061028576</v>
      </c>
      <c r="L100" s="62">
        <f t="shared" si="561"/>
        <v>-15082122.473714214</v>
      </c>
      <c r="M100" s="62">
        <f t="shared" si="561"/>
        <v>-7688468.5941654611</v>
      </c>
      <c r="N100" s="62">
        <f t="shared" si="561"/>
        <v>-7603163.6900000013</v>
      </c>
      <c r="O100" s="62">
        <f t="shared" si="561"/>
        <v>-6933808.8201512853</v>
      </c>
      <c r="P100" s="62">
        <f t="shared" si="561"/>
        <v>-9245300.0535519943</v>
      </c>
      <c r="Q100" s="62">
        <f t="shared" si="561"/>
        <v>-7041671.7704940056</v>
      </c>
      <c r="R100" s="62">
        <f t="shared" si="561"/>
        <v>151640.85875273682</v>
      </c>
      <c r="S100" s="62">
        <f t="shared" si="561"/>
        <v>-1699773.8265832588</v>
      </c>
      <c r="T100" s="62">
        <f t="shared" si="561"/>
        <v>-6702085.1460963208</v>
      </c>
      <c r="U100" s="62">
        <f t="shared" si="561"/>
        <v>-10395648.967830058</v>
      </c>
      <c r="V100" s="62">
        <f t="shared" si="561"/>
        <v>-4742374.2189577082</v>
      </c>
      <c r="W100" s="62">
        <f t="shared" si="561"/>
        <v>-2662937.7738581803</v>
      </c>
      <c r="X100" s="62">
        <f t="shared" si="561"/>
        <v>147023.98466254957</v>
      </c>
      <c r="Y100" s="62">
        <f t="shared" si="561"/>
        <v>8586318.7553001177</v>
      </c>
      <c r="Z100" s="62">
        <f t="shared" si="561"/>
        <v>-2175418.1596779991</v>
      </c>
      <c r="AA100" s="62">
        <f t="shared" si="561"/>
        <v>-13256227.381028896</v>
      </c>
      <c r="AB100" s="62">
        <f t="shared" si="561"/>
        <v>-151236.5611895984</v>
      </c>
      <c r="AC100" s="614">
        <f t="shared" si="561"/>
        <v>-5678114.3403398022</v>
      </c>
      <c r="AD100" s="62">
        <f t="shared" si="561"/>
        <v>-6383875.3613387011</v>
      </c>
      <c r="AE100" s="62">
        <f t="shared" si="561"/>
        <v>-2479468.9641945795</v>
      </c>
      <c r="AF100" s="62">
        <f t="shared" si="561"/>
        <v>-1027113.4447717685</v>
      </c>
      <c r="AG100" s="62">
        <f t="shared" si="561"/>
        <v>-6661894.5119119585</v>
      </c>
      <c r="AH100" s="62">
        <f t="shared" si="561"/>
        <v>2233762.3282030979</v>
      </c>
      <c r="AI100" s="62">
        <f t="shared" si="561"/>
        <v>2239907.1929283189</v>
      </c>
      <c r="AJ100" s="62">
        <f t="shared" si="561"/>
        <v>-5858306.533896625</v>
      </c>
      <c r="AK100" s="614">
        <f t="shared" si="561"/>
        <v>899208.6927397782</v>
      </c>
      <c r="AL100" s="62">
        <f t="shared" si="561"/>
        <v>1056264.7595784543</v>
      </c>
      <c r="AM100" s="62">
        <f t="shared" si="561"/>
        <v>-7250230.4472437035</v>
      </c>
      <c r="AN100" s="62">
        <f t="shared" si="561"/>
        <v>-8442982.8401679825</v>
      </c>
      <c r="AO100" s="62">
        <f t="shared" si="561"/>
        <v>-45925.799055968877</v>
      </c>
      <c r="AP100" s="62">
        <f t="shared" si="561"/>
        <v>-2172117.5477564479</v>
      </c>
      <c r="AQ100" s="62">
        <f t="shared" si="561"/>
        <v>-4081021.4955609161</v>
      </c>
      <c r="AR100" s="62">
        <f t="shared" si="561"/>
        <v>-7703243.0073692482</v>
      </c>
      <c r="AS100" s="62">
        <f t="shared" si="561"/>
        <v>-10614032.361854013</v>
      </c>
      <c r="AT100" s="62">
        <f t="shared" si="561"/>
        <v>-11127819.180512819</v>
      </c>
      <c r="AU100" s="62">
        <f t="shared" si="561"/>
        <v>-9710058.2154617906</v>
      </c>
      <c r="AV100" s="62">
        <f t="shared" si="561"/>
        <v>-22181684.235897377</v>
      </c>
      <c r="AW100" s="62">
        <f t="shared" si="561"/>
        <v>-31002238.624166645</v>
      </c>
      <c r="AX100" s="62">
        <f t="shared" si="561"/>
        <v>-29501720.862992994</v>
      </c>
      <c r="AY100" s="62">
        <f t="shared" si="561"/>
        <v>-33135507.388882659</v>
      </c>
      <c r="AZ100" s="62">
        <f t="shared" si="561"/>
        <v>-35936455.505871952</v>
      </c>
      <c r="BA100" s="62">
        <f t="shared" si="561"/>
        <v>-29082584.434499227</v>
      </c>
      <c r="BB100" s="62">
        <f t="shared" si="561"/>
        <v>-14211444.722709861</v>
      </c>
      <c r="BC100" s="62">
        <f t="shared" si="561"/>
        <v>-27292189.270191308</v>
      </c>
      <c r="BD100" s="62">
        <f t="shared" si="561"/>
        <v>-47903328.790834554</v>
      </c>
      <c r="BE100" s="62">
        <f t="shared" si="561"/>
        <v>-39653492.347751901</v>
      </c>
      <c r="BF100" s="62">
        <f t="shared" si="561"/>
        <v>-30622053.318702281</v>
      </c>
      <c r="BG100" s="62">
        <f t="shared" si="561"/>
        <v>-17949539.295905925</v>
      </c>
      <c r="BH100" s="62">
        <f t="shared" si="561"/>
        <v>-24898648.420577124</v>
      </c>
      <c r="BI100" s="62">
        <f t="shared" si="561"/>
        <v>-25307186.702924427</v>
      </c>
      <c r="BJ100" s="61">
        <f t="shared" si="561"/>
        <v>-13130197.566189922</v>
      </c>
      <c r="BK100" s="62">
        <f t="shared" si="561"/>
        <v>-3880875.6477363147</v>
      </c>
      <c r="BL100" s="62">
        <f t="shared" si="561"/>
        <v>-6209156.2882693522</v>
      </c>
      <c r="BM100" s="62">
        <f t="shared" si="561"/>
        <v>-3619326.3570135692</v>
      </c>
      <c r="BN100" s="62">
        <f t="shared" si="561"/>
        <v>2543952.7907414054</v>
      </c>
      <c r="BO100" s="62">
        <f t="shared" si="561"/>
        <v>19645.431978944689</v>
      </c>
      <c r="BP100" s="62">
        <f t="shared" si="561"/>
        <v>-5709271.1041763248</v>
      </c>
      <c r="BQ100" s="62">
        <f t="shared" si="561"/>
        <v>-519056.64036213513</v>
      </c>
      <c r="BR100" s="62">
        <f t="shared" si="561"/>
        <v>-277642.4356610002</v>
      </c>
      <c r="BS100" s="62">
        <f t="shared" si="561"/>
        <v>-12151434.751862813</v>
      </c>
      <c r="BT100" s="62">
        <f t="shared" si="561"/>
        <v>-23919002.285090826</v>
      </c>
      <c r="BU100" s="62">
        <f t="shared" si="561"/>
        <v>-406891.98859507125</v>
      </c>
      <c r="BV100" s="62">
        <f t="shared" si="561"/>
        <v>3874360.0664000176</v>
      </c>
      <c r="BW100" s="62">
        <f t="shared" si="561"/>
        <v>11425003.001222471</v>
      </c>
      <c r="BX100" s="62">
        <f t="shared" si="561"/>
        <v>13772069.754968742</v>
      </c>
      <c r="BY100" s="62">
        <f t="shared" si="561"/>
        <v>11692627.706078576</v>
      </c>
      <c r="BZ100" s="62">
        <f t="shared" si="561"/>
        <v>-286401.95483022369</v>
      </c>
      <c r="CA100" s="62">
        <f t="shared" si="561"/>
        <v>3984776.2059609713</v>
      </c>
      <c r="CB100" s="62">
        <f t="shared" si="561"/>
        <v>918293.79894521367</v>
      </c>
      <c r="CC100" s="62">
        <f t="shared" si="561"/>
        <v>6116207.2199464608</v>
      </c>
      <c r="CD100" s="62">
        <f t="shared" si="561"/>
        <v>7047497.5232531019</v>
      </c>
      <c r="CE100" s="62">
        <f t="shared" si="561"/>
        <v>6289064.7197694043</v>
      </c>
      <c r="CF100" s="62">
        <f t="shared" si="561"/>
        <v>7563649.9444634775</v>
      </c>
      <c r="CG100" s="62">
        <f t="shared" si="561"/>
        <v>16568834.954450866</v>
      </c>
      <c r="CH100" s="62">
        <f t="shared" si="561"/>
        <v>4973110.7931572683</v>
      </c>
      <c r="CI100" s="62">
        <f t="shared" si="561"/>
        <v>17338872.438521825</v>
      </c>
      <c r="CJ100" s="62">
        <f t="shared" si="561"/>
        <v>16714842.531666465</v>
      </c>
      <c r="CK100" s="62">
        <f t="shared" si="561"/>
        <v>16086928.495212838</v>
      </c>
      <c r="CL100" s="62">
        <f t="shared" si="561"/>
        <v>13112983.804032272</v>
      </c>
      <c r="CM100" s="62">
        <f t="shared" si="561"/>
        <v>14307230.266248446</v>
      </c>
      <c r="CN100" s="62">
        <f t="shared" si="561"/>
        <v>4702704.0726374323</v>
      </c>
      <c r="CO100" s="62">
        <f t="shared" si="561"/>
        <v>17450848.853626091</v>
      </c>
      <c r="CP100" s="62">
        <f t="shared" si="561"/>
        <v>16507057.158974625</v>
      </c>
      <c r="CQ100" s="62">
        <f t="shared" si="561"/>
        <v>5717735.5410861596</v>
      </c>
      <c r="CR100" s="62">
        <f t="shared" si="561"/>
        <v>15751834.942930674</v>
      </c>
      <c r="CS100" s="62">
        <f t="shared" si="561"/>
        <v>26111041.386304315</v>
      </c>
      <c r="CT100" s="62">
        <f t="shared" ref="CT100:DR100" si="562">CT81-CT84</f>
        <v>28420186.599219352</v>
      </c>
      <c r="CU100" s="62">
        <f t="shared" si="562"/>
        <v>19810453.53379982</v>
      </c>
      <c r="CV100" s="62">
        <f t="shared" si="562"/>
        <v>21173831.043765962</v>
      </c>
      <c r="CW100" s="62">
        <f t="shared" si="562"/>
        <v>18817583.179650865</v>
      </c>
      <c r="CX100" s="62">
        <f t="shared" si="562"/>
        <v>18850454.055398963</v>
      </c>
      <c r="CY100" s="62">
        <f t="shared" si="562"/>
        <v>16293137.905064793</v>
      </c>
      <c r="CZ100" s="62">
        <f t="shared" si="562"/>
        <v>11964986.235114882</v>
      </c>
      <c r="DA100" s="62">
        <f t="shared" si="562"/>
        <v>16976372.929311089</v>
      </c>
      <c r="DB100" s="62">
        <f t="shared" si="562"/>
        <v>25211409.90418727</v>
      </c>
      <c r="DC100" s="62">
        <f t="shared" si="562"/>
        <v>30098343.405880116</v>
      </c>
      <c r="DD100" s="62">
        <f t="shared" si="562"/>
        <v>27035196.735485308</v>
      </c>
      <c r="DE100" s="62">
        <f t="shared" si="562"/>
        <v>25928544.596814595</v>
      </c>
      <c r="DF100" s="62">
        <f t="shared" si="562"/>
        <v>24254274.579809986</v>
      </c>
      <c r="DG100" s="62">
        <f t="shared" si="562"/>
        <v>34068491.209806308</v>
      </c>
      <c r="DH100" s="62">
        <f t="shared" si="562"/>
        <v>36008696.742416695</v>
      </c>
      <c r="DI100" s="62">
        <f t="shared" si="562"/>
        <v>32656830.806079369</v>
      </c>
      <c r="DJ100" s="62">
        <f t="shared" si="562"/>
        <v>32703414.506280098</v>
      </c>
      <c r="DK100" s="62">
        <f t="shared" si="562"/>
        <v>29064360.259071287</v>
      </c>
      <c r="DL100" s="62">
        <f t="shared" si="562"/>
        <v>22904750.630312435</v>
      </c>
      <c r="DM100" s="62">
        <f t="shared" si="562"/>
        <v>30036682.680466186</v>
      </c>
      <c r="DN100" s="62">
        <f t="shared" si="562"/>
        <v>41755272.705275804</v>
      </c>
      <c r="DO100" s="62">
        <f t="shared" si="562"/>
        <v>48709733.865165591</v>
      </c>
      <c r="DP100" s="62">
        <f t="shared" si="562"/>
        <v>44351150.436686128</v>
      </c>
      <c r="DQ100" s="62">
        <f t="shared" si="562"/>
        <v>42776446.855313063</v>
      </c>
      <c r="DR100" s="63">
        <f t="shared" si="562"/>
        <v>40394038.287308291</v>
      </c>
      <c r="DS100" s="63">
        <f t="shared" ref="DS100:ED100" si="563">DS81-DS84</f>
        <v>50655321.61745134</v>
      </c>
      <c r="DT100" s="63">
        <f t="shared" si="563"/>
        <v>53263451.583455056</v>
      </c>
      <c r="DU100" s="63">
        <f t="shared" si="563"/>
        <v>48758971.780067518</v>
      </c>
      <c r="DV100" s="63">
        <f t="shared" si="563"/>
        <v>48821397.70048596</v>
      </c>
      <c r="DW100" s="63">
        <f t="shared" si="563"/>
        <v>43929813.218997255</v>
      </c>
      <c r="DX100" s="63">
        <f t="shared" si="563"/>
        <v>35649459.470550239</v>
      </c>
      <c r="DY100" s="63">
        <f t="shared" si="563"/>
        <v>45236881.161254391</v>
      </c>
      <c r="DZ100" s="63">
        <f t="shared" si="563"/>
        <v>60989059.839515626</v>
      </c>
      <c r="EA100" s="63">
        <f t="shared" si="563"/>
        <v>70337552.399745151</v>
      </c>
      <c r="EB100" s="63">
        <f t="shared" si="563"/>
        <v>64479049.511752516</v>
      </c>
      <c r="EC100" s="63">
        <f t="shared" si="563"/>
        <v>62362406.450354502</v>
      </c>
      <c r="ED100" s="63">
        <f t="shared" si="563"/>
        <v>59160067.283251479</v>
      </c>
      <c r="EE100" s="39" t="s">
        <v>1</v>
      </c>
      <c r="EF100" s="64"/>
      <c r="EG100" s="625">
        <f t="shared" si="561"/>
        <v>-13709358.293019176</v>
      </c>
      <c r="EH100" s="625">
        <f t="shared" si="561"/>
        <v>-3145672.8814558871</v>
      </c>
      <c r="EI100" s="625">
        <f t="shared" si="561"/>
        <v>-12948133.827885769</v>
      </c>
      <c r="EJ100" s="625">
        <f t="shared" si="561"/>
        <v>-20451534.207285941</v>
      </c>
      <c r="EK100" s="625">
        <f t="shared" si="561"/>
        <v>36889700.462269902</v>
      </c>
      <c r="EL100" s="625">
        <f t="shared" si="561"/>
        <v>4616668.0500758141</v>
      </c>
      <c r="EM100" s="625">
        <f t="shared" si="561"/>
        <v>19452769.462968968</v>
      </c>
      <c r="EN100" s="625">
        <f t="shared" si="561"/>
        <v>29105595.692071501</v>
      </c>
      <c r="EO100" s="625">
        <f t="shared" si="561"/>
        <v>50140643.465401307</v>
      </c>
      <c r="EP100" s="625">
        <f t="shared" si="561"/>
        <v>32122918.142918203</v>
      </c>
      <c r="EQ100" s="625">
        <f t="shared" si="561"/>
        <v>39675641.553686991</v>
      </c>
      <c r="ER100" s="625">
        <f t="shared" si="561"/>
        <v>70283062.928454101</v>
      </c>
      <c r="ES100" s="625">
        <f t="shared" si="561"/>
        <v>59801867.757216409</v>
      </c>
      <c r="ET100" s="625">
        <f t="shared" ref="ET100:EZ100" si="564">ET81-ET84</f>
        <v>47108578.195579007</v>
      </c>
      <c r="EU100" s="625">
        <f t="shared" si="564"/>
        <v>72286126.239378422</v>
      </c>
      <c r="EV100" s="625">
        <f t="shared" si="564"/>
        <v>77218015.912110016</v>
      </c>
      <c r="EW100" s="625">
        <f t="shared" si="564"/>
        <v>102734018.75830261</v>
      </c>
      <c r="EX100" s="625">
        <f t="shared" si="564"/>
        <v>84672525.395663455</v>
      </c>
      <c r="EY100" s="625">
        <f t="shared" si="564"/>
        <v>120501689.25090794</v>
      </c>
      <c r="EZ100" s="625">
        <f t="shared" si="564"/>
        <v>127521635.57930736</v>
      </c>
      <c r="FA100" s="625">
        <f t="shared" ref="FA100:FD100" si="565">FA81-FA84</f>
        <v>152677744.98097354</v>
      </c>
      <c r="FB100" s="625">
        <f t="shared" si="565"/>
        <v>128400670.39003333</v>
      </c>
      <c r="FC100" s="625">
        <f t="shared" si="565"/>
        <v>176563493.40051588</v>
      </c>
      <c r="FD100" s="625">
        <f t="shared" si="565"/>
        <v>186001523.24535874</v>
      </c>
      <c r="FG100" s="65">
        <f t="shared" ref="FG100:FJ100" si="566">FG81-FG84</f>
        <v>90064733.667386919</v>
      </c>
      <c r="FH100" s="62">
        <f t="shared" si="566"/>
        <v>192222266.09045953</v>
      </c>
      <c r="FI100" s="62">
        <f t="shared" si="566"/>
        <v>256414588.10428268</v>
      </c>
      <c r="FJ100" s="63">
        <f t="shared" si="566"/>
        <v>435429868.98418111</v>
      </c>
      <c r="FK100" s="63">
        <f t="shared" ref="FK100" si="567">FK81-FK84</f>
        <v>643643432.01688147</v>
      </c>
    </row>
    <row r="101" spans="2:167" ht="15.75" customHeight="1" x14ac:dyDescent="0.2">
      <c r="B101" s="48" t="s">
        <v>55</v>
      </c>
      <c r="C101" s="75">
        <f t="shared" ref="C101:Z101" si="568">C100/C32</f>
        <v>6.4445768702332011E-3</v>
      </c>
      <c r="D101" s="76">
        <f t="shared" si="568"/>
        <v>-1.8180666455680923E-4</v>
      </c>
      <c r="E101" s="76">
        <f t="shared" si="568"/>
        <v>-3.3730773205634056E-3</v>
      </c>
      <c r="F101" s="76">
        <f t="shared" si="568"/>
        <v>1.0443537501201788E-2</v>
      </c>
      <c r="G101" s="76">
        <f t="shared" si="568"/>
        <v>-1.2153841657718179E-2</v>
      </c>
      <c r="H101" s="76">
        <f t="shared" si="568"/>
        <v>1.0115595428225781E-2</v>
      </c>
      <c r="I101" s="76">
        <f t="shared" si="568"/>
        <v>-5.8745194422802301E-2</v>
      </c>
      <c r="J101" s="76">
        <f t="shared" si="568"/>
        <v>-4.7392894366408571E-4</v>
      </c>
      <c r="K101" s="76">
        <f t="shared" si="568"/>
        <v>-2.8899685563493916E-2</v>
      </c>
      <c r="L101" s="76">
        <f t="shared" si="568"/>
        <v>-6.5172980826081583E-2</v>
      </c>
      <c r="M101" s="76">
        <f t="shared" si="568"/>
        <v>-3.2499214890504016E-2</v>
      </c>
      <c r="N101" s="76">
        <f t="shared" si="568"/>
        <v>-3.6737942748876741E-2</v>
      </c>
      <c r="O101" s="76">
        <f t="shared" si="568"/>
        <v>-2.5933066280789722E-2</v>
      </c>
      <c r="P101" s="76">
        <f t="shared" si="568"/>
        <v>-3.4924920349703001E-2</v>
      </c>
      <c r="Q101" s="76">
        <f t="shared" si="568"/>
        <v>-2.4844061208557217E-2</v>
      </c>
      <c r="R101" s="76">
        <f t="shared" si="568"/>
        <v>5.2458586728205655E-4</v>
      </c>
      <c r="S101" s="76">
        <f t="shared" si="568"/>
        <v>-7.1649362362260728E-3</v>
      </c>
      <c r="T101" s="76">
        <f t="shared" si="568"/>
        <v>-3.1907886808845563E-2</v>
      </c>
      <c r="U101" s="76">
        <f t="shared" si="568"/>
        <v>-5.8577708707747859E-2</v>
      </c>
      <c r="V101" s="76">
        <f t="shared" si="568"/>
        <v>-2.1919351395265168E-2</v>
      </c>
      <c r="W101" s="76">
        <f t="shared" si="568"/>
        <v>-1.0715917147614166E-2</v>
      </c>
      <c r="X101" s="76">
        <f t="shared" si="568"/>
        <v>5.8591188269838709E-4</v>
      </c>
      <c r="Y101" s="76">
        <f t="shared" si="568"/>
        <v>2.9855692835618123E-2</v>
      </c>
      <c r="Z101" s="76">
        <f t="shared" si="568"/>
        <v>-1.2112081798899667E-2</v>
      </c>
      <c r="AA101" s="76">
        <f t="shared" ref="AA101:ER101" si="569">IFERROR(AA100/AA32,0)</f>
        <v>229.90959114321711</v>
      </c>
      <c r="AB101" s="76">
        <f t="shared" si="569"/>
        <v>-1.1045462420009847E-3</v>
      </c>
      <c r="AC101" s="79">
        <f t="shared" si="569"/>
        <v>-3.979317224169155E-2</v>
      </c>
      <c r="AD101" s="76">
        <f t="shared" si="569"/>
        <v>-5.4528295613115244E-2</v>
      </c>
      <c r="AE101" s="76">
        <f t="shared" si="569"/>
        <v>-1.2691441277050304E-2</v>
      </c>
      <c r="AF101" s="76">
        <f t="shared" si="569"/>
        <v>-5.1099540992515895E-3</v>
      </c>
      <c r="AG101" s="76">
        <f t="shared" si="569"/>
        <v>-3.6799672582142541E-2</v>
      </c>
      <c r="AH101" s="76">
        <f t="shared" si="569"/>
        <v>1.0478267002425393E-2</v>
      </c>
      <c r="AI101" s="76">
        <f t="shared" si="569"/>
        <v>6.4747095816189426E-3</v>
      </c>
      <c r="AJ101" s="76">
        <f t="shared" si="569"/>
        <v>-1.9624957328647923E-2</v>
      </c>
      <c r="AK101" s="79">
        <f t="shared" si="569"/>
        <v>2.4071445122582119E-3</v>
      </c>
      <c r="AL101" s="76">
        <f t="shared" si="569"/>
        <v>3.3707206778647307E-3</v>
      </c>
      <c r="AM101" s="76">
        <f t="shared" si="569"/>
        <v>-3.3662884008689171E-2</v>
      </c>
      <c r="AN101" s="76">
        <f t="shared" si="569"/>
        <v>-8.6610088407999136E-2</v>
      </c>
      <c r="AO101" s="76">
        <f t="shared" si="569"/>
        <v>-2.1289904485452077E-4</v>
      </c>
      <c r="AP101" s="76">
        <f t="shared" si="569"/>
        <v>-7.1795309788414315E-3</v>
      </c>
      <c r="AQ101" s="76">
        <f t="shared" si="569"/>
        <v>-1.3812409184733157E-2</v>
      </c>
      <c r="AR101" s="76">
        <f t="shared" si="569"/>
        <v>-2.7670033727924908E-2</v>
      </c>
      <c r="AS101" s="76">
        <f t="shared" si="569"/>
        <v>-4.4736445006409081E-2</v>
      </c>
      <c r="AT101" s="76">
        <f t="shared" si="569"/>
        <v>-3.887968104794217E-2</v>
      </c>
      <c r="AU101" s="76">
        <f t="shared" si="569"/>
        <v>-2.5297164574942785E-2</v>
      </c>
      <c r="AV101" s="76">
        <f t="shared" si="569"/>
        <v>-6.3496322379022807E-2</v>
      </c>
      <c r="AW101" s="76">
        <f t="shared" si="569"/>
        <v>-8.6667243039093067E-2</v>
      </c>
      <c r="AX101" s="76">
        <f t="shared" si="569"/>
        <v>-9.4771256341633539E-2</v>
      </c>
      <c r="AY101" s="76">
        <f t="shared" si="569"/>
        <v>-0.10682821758443994</v>
      </c>
      <c r="AZ101" s="76">
        <f t="shared" si="569"/>
        <v>-0.10336395388146129</v>
      </c>
      <c r="BA101" s="76">
        <f t="shared" si="569"/>
        <v>-0.11650490199259715</v>
      </c>
      <c r="BB101" s="76">
        <f t="shared" si="569"/>
        <v>-4.9033187916910047E-2</v>
      </c>
      <c r="BC101" s="76">
        <f t="shared" si="569"/>
        <v>-8.8226362260628563E-2</v>
      </c>
      <c r="BD101" s="76">
        <f t="shared" si="569"/>
        <v>-0.15053224376905111</v>
      </c>
      <c r="BE101" s="76">
        <f t="shared" si="569"/>
        <v>-0.10629889613701927</v>
      </c>
      <c r="BF101" s="76">
        <f t="shared" si="569"/>
        <v>-7.5804874884591422E-2</v>
      </c>
      <c r="BG101" s="76">
        <f t="shared" si="569"/>
        <v>-3.4983034026188208E-2</v>
      </c>
      <c r="BH101" s="76">
        <f t="shared" si="569"/>
        <v>-5.378224549733418E-2</v>
      </c>
      <c r="BI101" s="76">
        <f t="shared" si="569"/>
        <v>-6.7900634781722841E-2</v>
      </c>
      <c r="BJ101" s="75">
        <f t="shared" si="569"/>
        <v>-3.1862417283806614E-2</v>
      </c>
      <c r="BK101" s="76">
        <f t="shared" si="569"/>
        <v>-1.0218720468078537E-2</v>
      </c>
      <c r="BL101" s="76">
        <f t="shared" si="569"/>
        <v>-1.6014883500326399E-2</v>
      </c>
      <c r="BM101" s="76">
        <f t="shared" si="569"/>
        <v>-1.2339961785725929E-2</v>
      </c>
      <c r="BN101" s="76">
        <f t="shared" si="569"/>
        <v>9.2261026519546829E-3</v>
      </c>
      <c r="BO101" s="76">
        <f t="shared" si="569"/>
        <v>6.7187688681605984E-5</v>
      </c>
      <c r="BP101" s="76">
        <f t="shared" si="569"/>
        <v>-2.0146881603996383E-2</v>
      </c>
      <c r="BQ101" s="76">
        <f t="shared" si="569"/>
        <v>-1.9541591590863522E-3</v>
      </c>
      <c r="BR101" s="76">
        <f t="shared" si="569"/>
        <v>-8.4898138124231502E-4</v>
      </c>
      <c r="BS101" s="76">
        <f t="shared" si="569"/>
        <v>-4.1136695033092058E-2</v>
      </c>
      <c r="BT101" s="76">
        <f t="shared" si="569"/>
        <v>-9.0056490024721755E-2</v>
      </c>
      <c r="BU101" s="76">
        <f t="shared" si="569"/>
        <v>-1.4651291207110602E-3</v>
      </c>
      <c r="BV101" s="76">
        <f t="shared" si="569"/>
        <v>1.347718700857352E-2</v>
      </c>
      <c r="BW101" s="76">
        <f t="shared" si="569"/>
        <v>3.8301260429297122E-2</v>
      </c>
      <c r="BX101" s="76">
        <f t="shared" si="569"/>
        <v>4.4599093194685503E-2</v>
      </c>
      <c r="BY101" s="76">
        <f t="shared" si="569"/>
        <v>3.9705049384359113E-2</v>
      </c>
      <c r="BZ101" s="76">
        <f t="shared" si="569"/>
        <v>-1.028032866874677E-3</v>
      </c>
      <c r="CA101" s="76">
        <f t="shared" si="569"/>
        <v>1.4779937583831834E-2</v>
      </c>
      <c r="CB101" s="76">
        <f t="shared" si="569"/>
        <v>3.8751421175157435E-3</v>
      </c>
      <c r="CC101" s="76">
        <f t="shared" si="569"/>
        <v>2.162727041156353E-2</v>
      </c>
      <c r="CD101" s="76">
        <f t="shared" si="569"/>
        <v>2.4437621851168732E-2</v>
      </c>
      <c r="CE101" s="76">
        <f t="shared" si="569"/>
        <v>1.9163997824982761E-2</v>
      </c>
      <c r="CF101" s="76">
        <f t="shared" si="569"/>
        <v>2.0104853863558175E-2</v>
      </c>
      <c r="CG101" s="76">
        <f t="shared" si="569"/>
        <v>3.8133322178717073E-2</v>
      </c>
      <c r="CH101" s="76">
        <f t="shared" si="569"/>
        <v>9.1735195805883844E-3</v>
      </c>
      <c r="CI101" s="76">
        <f t="shared" si="569"/>
        <v>3.7768907613075088E-2</v>
      </c>
      <c r="CJ101" s="76">
        <f t="shared" si="569"/>
        <v>3.6956114389232922E-2</v>
      </c>
      <c r="CK101" s="76">
        <f t="shared" si="569"/>
        <v>3.6243527680664016E-2</v>
      </c>
      <c r="CL101" s="76">
        <f t="shared" si="569"/>
        <v>2.9265728394906564E-2</v>
      </c>
      <c r="CM101" s="76">
        <f t="shared" si="569"/>
        <v>3.7967674045737101E-2</v>
      </c>
      <c r="CN101" s="76">
        <f t="shared" si="569"/>
        <v>1.4493035556857749E-2</v>
      </c>
      <c r="CO101" s="76">
        <f t="shared" si="569"/>
        <v>4.1406160145312787E-2</v>
      </c>
      <c r="CP101" s="76">
        <f t="shared" si="569"/>
        <v>3.2556809868769541E-2</v>
      </c>
      <c r="CQ101" s="76">
        <f t="shared" si="569"/>
        <v>9.2965195913013113E-3</v>
      </c>
      <c r="CR101" s="76">
        <f t="shared" si="569"/>
        <v>2.385714064016168E-2</v>
      </c>
      <c r="CS101" s="76">
        <f t="shared" si="569"/>
        <v>4.3468624295088111E-2</v>
      </c>
      <c r="CT101" s="76">
        <f t="shared" ref="CT101:DR101" si="570">IFERROR(CT100/CT32,0)</f>
        <v>4.8693476734130513E-2</v>
      </c>
      <c r="CU101" s="76">
        <f t="shared" si="570"/>
        <v>3.2782035920807411E-2</v>
      </c>
      <c r="CV101" s="76">
        <f t="shared" si="570"/>
        <v>3.3804137769735718E-2</v>
      </c>
      <c r="CW101" s="76">
        <f t="shared" si="570"/>
        <v>3.1979266464585869E-2</v>
      </c>
      <c r="CX101" s="76">
        <f t="shared" si="570"/>
        <v>3.2007745266795742E-2</v>
      </c>
      <c r="CY101" s="76">
        <f t="shared" si="570"/>
        <v>2.9754275483204692E-2</v>
      </c>
      <c r="CZ101" s="76">
        <f t="shared" si="570"/>
        <v>2.5056539195541683E-2</v>
      </c>
      <c r="DA101" s="76">
        <f t="shared" si="570"/>
        <v>3.0388342947805184E-2</v>
      </c>
      <c r="DB101" s="76">
        <f t="shared" si="570"/>
        <v>3.6442860903654527E-2</v>
      </c>
      <c r="DC101" s="76">
        <f t="shared" si="570"/>
        <v>3.9044755327596672E-2</v>
      </c>
      <c r="DD101" s="76">
        <f t="shared" si="570"/>
        <v>3.7476814659100445E-2</v>
      </c>
      <c r="DE101" s="76">
        <f t="shared" si="570"/>
        <v>3.685639229554033E-2</v>
      </c>
      <c r="DF101" s="76">
        <f t="shared" si="570"/>
        <v>3.58555204850479E-2</v>
      </c>
      <c r="DG101" s="76">
        <f t="shared" si="570"/>
        <v>4.5100815110651879E-2</v>
      </c>
      <c r="DH101" s="76">
        <f t="shared" si="570"/>
        <v>4.5990465988824274E-2</v>
      </c>
      <c r="DI101" s="76">
        <f t="shared" si="570"/>
        <v>4.4398538718440683E-2</v>
      </c>
      <c r="DJ101" s="76">
        <f t="shared" si="570"/>
        <v>4.4423866196332512E-2</v>
      </c>
      <c r="DK101" s="76">
        <f t="shared" si="570"/>
        <v>4.2461506773238081E-2</v>
      </c>
      <c r="DL101" s="76">
        <f t="shared" si="570"/>
        <v>3.8372883722888558E-2</v>
      </c>
      <c r="DM101" s="76">
        <f t="shared" si="570"/>
        <v>4.3013428986703947E-2</v>
      </c>
      <c r="DN101" s="76">
        <f t="shared" si="570"/>
        <v>4.8285489815142725E-2</v>
      </c>
      <c r="DO101" s="76">
        <f t="shared" si="570"/>
        <v>5.0550546658091139E-2</v>
      </c>
      <c r="DP101" s="76">
        <f t="shared" si="570"/>
        <v>4.9184471963598778E-2</v>
      </c>
      <c r="DQ101" s="76">
        <f t="shared" si="570"/>
        <v>4.8644010863685402E-2</v>
      </c>
      <c r="DR101" s="78">
        <f t="shared" si="570"/>
        <v>4.7772173519963115E-2</v>
      </c>
      <c r="DS101" s="78">
        <f t="shared" ref="DS101:ED101" si="571">IFERROR(DS100/DS32,0)</f>
        <v>5.5882434998610467E-2</v>
      </c>
      <c r="DT101" s="78">
        <f t="shared" si="571"/>
        <v>5.6690262355675647E-2</v>
      </c>
      <c r="DU101" s="78">
        <f t="shared" si="571"/>
        <v>5.5241814219096491E-2</v>
      </c>
      <c r="DV101" s="78">
        <f t="shared" si="571"/>
        <v>5.5265259803066291E-2</v>
      </c>
      <c r="DW101" s="78">
        <f t="shared" si="571"/>
        <v>5.3482628578969793E-2</v>
      </c>
      <c r="DX101" s="78">
        <f t="shared" si="571"/>
        <v>4.9770336043914419E-2</v>
      </c>
      <c r="DY101" s="78">
        <f t="shared" si="571"/>
        <v>5.3983806958898754E-2</v>
      </c>
      <c r="DZ101" s="78">
        <f t="shared" si="571"/>
        <v>5.8772749661704676E-2</v>
      </c>
      <c r="EA101" s="78">
        <f t="shared" si="571"/>
        <v>6.0829760334994175E-2</v>
      </c>
      <c r="EB101" s="78">
        <f t="shared" si="571"/>
        <v>5.9588232618633018E-2</v>
      </c>
      <c r="EC101" s="78">
        <f t="shared" si="571"/>
        <v>5.9097116128674465E-2</v>
      </c>
      <c r="ED101" s="78">
        <f t="shared" si="571"/>
        <v>5.8304911639154966E-2</v>
      </c>
      <c r="EE101" s="39" t="s">
        <v>1</v>
      </c>
      <c r="EF101" s="79"/>
      <c r="EG101" s="627">
        <f t="shared" si="569"/>
        <v>-1.2923678139811273E-2</v>
      </c>
      <c r="EH101" s="627">
        <f t="shared" si="569"/>
        <v>-3.694216092820527E-3</v>
      </c>
      <c r="EI101" s="627">
        <f t="shared" si="569"/>
        <v>-1.4580607230149423E-2</v>
      </c>
      <c r="EJ101" s="627">
        <f t="shared" si="569"/>
        <v>-2.4616886014061798E-2</v>
      </c>
      <c r="EK101" s="627">
        <f t="shared" si="569"/>
        <v>4.0916843124081781E-2</v>
      </c>
      <c r="EL101" s="627">
        <f t="shared" si="569"/>
        <v>5.8798348779389373E-3</v>
      </c>
      <c r="EM101" s="627">
        <f t="shared" si="569"/>
        <v>2.1629600115762988E-2</v>
      </c>
      <c r="EN101" s="627">
        <f t="shared" si="569"/>
        <v>2.151470152970706E-2</v>
      </c>
      <c r="EO101" s="627">
        <f t="shared" si="569"/>
        <v>3.699806255335801E-2</v>
      </c>
      <c r="EP101" s="627">
        <f t="shared" si="569"/>
        <v>2.7948207922527574E-2</v>
      </c>
      <c r="EQ101" s="627">
        <f t="shared" si="569"/>
        <v>2.5704666798891412E-2</v>
      </c>
      <c r="ER101" s="627">
        <f t="shared" si="569"/>
        <v>3.8102090345600956E-2</v>
      </c>
      <c r="ES101" s="627">
        <f t="shared" ref="ES101:EZ101" si="572">IFERROR(ES100/ES32,0)</f>
        <v>3.2874299708068468E-2</v>
      </c>
      <c r="ET101" s="627">
        <f t="shared" si="572"/>
        <v>2.9186685178409149E-2</v>
      </c>
      <c r="EU101" s="627">
        <f t="shared" si="572"/>
        <v>3.5761809051719225E-2</v>
      </c>
      <c r="EV101" s="627">
        <f t="shared" si="572"/>
        <v>3.6747189503327282E-2</v>
      </c>
      <c r="EW101" s="627">
        <f t="shared" si="572"/>
        <v>4.5179979148289702E-2</v>
      </c>
      <c r="EX101" s="627">
        <f t="shared" si="572"/>
        <v>4.196790370915518E-2</v>
      </c>
      <c r="EY101" s="627">
        <f t="shared" si="572"/>
        <v>4.7692232250819068E-2</v>
      </c>
      <c r="EZ101" s="627">
        <f t="shared" si="572"/>
        <v>4.8548895260305591E-2</v>
      </c>
      <c r="FA101" s="627">
        <f t="shared" ref="FA101:FD101" si="573">IFERROR(FA100/FA32,0)</f>
        <v>5.5953368855004237E-2</v>
      </c>
      <c r="FB101" s="627">
        <f t="shared" si="573"/>
        <v>5.3034784561060193E-2</v>
      </c>
      <c r="FC101" s="627">
        <f t="shared" si="573"/>
        <v>5.8233672812806059E-2</v>
      </c>
      <c r="FD101" s="627">
        <f t="shared" si="573"/>
        <v>5.9010695383008419E-2</v>
      </c>
      <c r="FG101" s="80">
        <f t="shared" ref="FG101:FJ101" si="574">IFERROR(FG100/FG32,0)</f>
        <v>2.2865282728867186E-2</v>
      </c>
      <c r="FH101" s="76">
        <f t="shared" si="574"/>
        <v>3.2620327382440209E-2</v>
      </c>
      <c r="FI101" s="76">
        <f t="shared" si="574"/>
        <v>3.3936111312254574E-2</v>
      </c>
      <c r="FJ101" s="78">
        <f t="shared" si="574"/>
        <v>4.610282624487165E-2</v>
      </c>
      <c r="FK101" s="78">
        <f t="shared" ref="FK101" si="575">IFERROR(FK100/FK32,0)</f>
        <v>5.6790204009877672E-2</v>
      </c>
    </row>
    <row r="102" spans="2:167" ht="15.75" customHeight="1" x14ac:dyDescent="0.2">
      <c r="B102" s="48"/>
      <c r="C102" s="66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8"/>
      <c r="AD102" s="67"/>
      <c r="AE102" s="67"/>
      <c r="AF102" s="67"/>
      <c r="AG102" s="67"/>
      <c r="AH102" s="67"/>
      <c r="AI102" s="67"/>
      <c r="AJ102" s="67"/>
      <c r="AK102" s="68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6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  <c r="DD102" s="67"/>
      <c r="DE102" s="67"/>
      <c r="DF102" s="67"/>
      <c r="DG102" s="67"/>
      <c r="DH102" s="67"/>
      <c r="DI102" s="67"/>
      <c r="DJ102" s="67"/>
      <c r="DK102" s="67"/>
      <c r="DL102" s="67"/>
      <c r="DM102" s="67"/>
      <c r="DN102" s="67"/>
      <c r="DO102" s="67"/>
      <c r="DP102" s="67"/>
      <c r="DQ102" s="67"/>
      <c r="DR102" s="69"/>
      <c r="DS102" s="69"/>
      <c r="DT102" s="69"/>
      <c r="DU102" s="69"/>
      <c r="DV102" s="69"/>
      <c r="DW102" s="69"/>
      <c r="DX102" s="69"/>
      <c r="DY102" s="69"/>
      <c r="DZ102" s="69"/>
      <c r="EA102" s="69"/>
      <c r="EB102" s="69"/>
      <c r="EC102" s="69"/>
      <c r="ED102" s="69"/>
      <c r="EE102" s="39" t="s">
        <v>1</v>
      </c>
      <c r="EF102" s="68"/>
      <c r="EG102" s="629"/>
      <c r="EH102" s="629"/>
      <c r="EI102" s="629"/>
      <c r="EJ102" s="629"/>
      <c r="EK102" s="629"/>
      <c r="EL102" s="629"/>
      <c r="EM102" s="629"/>
      <c r="EN102" s="629"/>
      <c r="EO102" s="629"/>
      <c r="EP102" s="629"/>
      <c r="EQ102" s="629"/>
      <c r="ER102" s="629"/>
      <c r="ES102" s="629"/>
      <c r="ET102" s="629"/>
      <c r="EU102" s="629"/>
      <c r="EV102" s="629"/>
      <c r="EW102" s="629"/>
      <c r="EX102" s="629"/>
      <c r="EY102" s="629"/>
      <c r="EZ102" s="629"/>
      <c r="FA102" s="629"/>
      <c r="FB102" s="629"/>
      <c r="FC102" s="629"/>
      <c r="FD102" s="629"/>
      <c r="FG102" s="70"/>
      <c r="FH102" s="67"/>
      <c r="FI102" s="67"/>
      <c r="FJ102" s="69"/>
      <c r="FK102" s="619"/>
    </row>
    <row r="103" spans="2:167" ht="15.75" customHeight="1" x14ac:dyDescent="0.2">
      <c r="B103" s="56" t="s">
        <v>56</v>
      </c>
      <c r="C103" s="61">
        <f>'P&amp;L - Inputs'!B138</f>
        <v>4480556</v>
      </c>
      <c r="D103" s="62">
        <f>'P&amp;L - Inputs'!C138</f>
        <v>6137979</v>
      </c>
      <c r="E103" s="62">
        <f>'P&amp;L - Inputs'!D138</f>
        <v>5594941</v>
      </c>
      <c r="F103" s="62">
        <f>'P&amp;L - Inputs'!E138</f>
        <v>6427801</v>
      </c>
      <c r="G103" s="62">
        <f>'P&amp;L - Inputs'!F138</f>
        <v>5604444.2599999998</v>
      </c>
      <c r="H103" s="62">
        <f>'P&amp;L - Inputs'!G138</f>
        <v>7136365.2400000002</v>
      </c>
      <c r="I103" s="62">
        <f>'P&amp;L - Inputs'!H138</f>
        <v>2943303.1799999997</v>
      </c>
      <c r="J103" s="62">
        <f>'P&amp;L - Inputs'!I138</f>
        <v>7506569.8300000001</v>
      </c>
      <c r="K103" s="62">
        <f>'P&amp;L - Inputs'!J138</f>
        <v>8817679</v>
      </c>
      <c r="L103" s="62">
        <f>'P&amp;L - Inputs'!K138</f>
        <v>6835882</v>
      </c>
      <c r="M103" s="62">
        <f>'P&amp;L - Inputs'!L138</f>
        <v>3646105</v>
      </c>
      <c r="N103" s="62">
        <f>'P&amp;L - Inputs'!M138</f>
        <v>3097880</v>
      </c>
      <c r="O103" s="62">
        <f>'P&amp;L - Inputs'!N138</f>
        <v>4852199</v>
      </c>
      <c r="P103" s="62">
        <f>'P&amp;L - Inputs'!O138</f>
        <v>5525719</v>
      </c>
      <c r="Q103" s="62">
        <f>'P&amp;L - Inputs'!P138</f>
        <v>7780014</v>
      </c>
      <c r="R103" s="62">
        <f>'P&amp;L - Inputs'!Q138</f>
        <v>4888403</v>
      </c>
      <c r="S103" s="62">
        <f>'P&amp;L - Inputs'!R138</f>
        <v>1911931</v>
      </c>
      <c r="T103" s="62">
        <f>'P&amp;L - Inputs'!S138</f>
        <v>1476526</v>
      </c>
      <c r="U103" s="62">
        <f>'P&amp;L - Inputs'!T138</f>
        <v>1024134</v>
      </c>
      <c r="V103" s="62">
        <f>'P&amp;L - Inputs'!U138</f>
        <v>686071</v>
      </c>
      <c r="W103" s="62">
        <f>'P&amp;L - Inputs'!V138</f>
        <v>878174</v>
      </c>
      <c r="X103" s="62">
        <f>'P&amp;L - Inputs'!W138</f>
        <v>868165</v>
      </c>
      <c r="Y103" s="62">
        <f>'P&amp;L - Inputs'!X138</f>
        <v>1007499</v>
      </c>
      <c r="Z103" s="62">
        <f>'P&amp;L - Inputs'!Y138</f>
        <v>739568</v>
      </c>
      <c r="AA103" s="62">
        <f>'P&amp;L - Inputs'!Z138</f>
        <v>118847.33994843056</v>
      </c>
      <c r="AB103" s="62">
        <f>'P&amp;L - Inputs'!AA138</f>
        <v>125780</v>
      </c>
      <c r="AC103" s="614">
        <f>'P&amp;L - Inputs'!AB138</f>
        <v>293889</v>
      </c>
      <c r="AD103" s="62">
        <f>'P&amp;L - Inputs'!AC138</f>
        <v>595013</v>
      </c>
      <c r="AE103" s="62">
        <f>'P&amp;L - Inputs'!AD138</f>
        <v>829021</v>
      </c>
      <c r="AF103" s="62">
        <f>'P&amp;L - Inputs'!AE138</f>
        <v>971923</v>
      </c>
      <c r="AG103" s="62">
        <f>'P&amp;L - Inputs'!AF138</f>
        <v>1162919</v>
      </c>
      <c r="AH103" s="62">
        <f>'P&amp;L - Inputs'!AG138</f>
        <v>827946</v>
      </c>
      <c r="AI103" s="62">
        <f>'P&amp;L - Inputs'!AH138</f>
        <v>1247068</v>
      </c>
      <c r="AJ103" s="62">
        <f>'P&amp;L - Inputs'!AI138</f>
        <v>1071894</v>
      </c>
      <c r="AK103" s="614">
        <f>'P&amp;L - Inputs'!AJ138</f>
        <v>1199904</v>
      </c>
      <c r="AL103" s="62">
        <f>'P&amp;L - Inputs'!AK138</f>
        <v>2048894</v>
      </c>
      <c r="AM103" s="62">
        <f>'P&amp;L - Inputs'!AL138</f>
        <v>988493</v>
      </c>
      <c r="AN103" s="62">
        <f>'P&amp;L - Inputs'!AM138</f>
        <v>145161</v>
      </c>
      <c r="AO103" s="62">
        <f>'P&amp;L - Inputs'!AN138</f>
        <v>932409</v>
      </c>
      <c r="AP103" s="62">
        <f>'P&amp;L - Inputs'!AO138</f>
        <v>1576466</v>
      </c>
      <c r="AQ103" s="62">
        <f>'P&amp;L - Inputs'!AP138</f>
        <v>2370838</v>
      </c>
      <c r="AR103" s="62">
        <f>'P&amp;L - Inputs'!AQ138</f>
        <v>3267287.5175110432</v>
      </c>
      <c r="AS103" s="62">
        <f>'P&amp;L - Inputs'!AR138</f>
        <v>3618693</v>
      </c>
      <c r="AT103" s="62">
        <f>'P&amp;L - Inputs'!AS138</f>
        <v>3155660</v>
      </c>
      <c r="AU103" s="62">
        <f>'P&amp;L - Inputs'!AT138</f>
        <v>4019162</v>
      </c>
      <c r="AV103" s="62">
        <f>'P&amp;L - Inputs'!AU138</f>
        <v>4021321</v>
      </c>
      <c r="AW103" s="62">
        <f>'P&amp;L - Inputs'!AV138</f>
        <v>5235959</v>
      </c>
      <c r="AX103" s="62">
        <f>'P&amp;L - Inputs'!AW138</f>
        <v>10033257.133917231</v>
      </c>
      <c r="AY103" s="62">
        <f>'P&amp;L - Inputs'!AX138</f>
        <v>6306556</v>
      </c>
      <c r="AZ103" s="62">
        <f>'P&amp;L - Inputs'!AY138</f>
        <v>2769247</v>
      </c>
      <c r="BA103" s="62">
        <f>'P&amp;L - Inputs'!AZ138</f>
        <v>4826736</v>
      </c>
      <c r="BB103" s="62">
        <f>'P&amp;L - Inputs'!BA138</f>
        <v>5163711.5341815669</v>
      </c>
      <c r="BC103" s="62">
        <f>'P&amp;L - Inputs'!BB138</f>
        <v>8286220.4510787716</v>
      </c>
      <c r="BD103" s="62">
        <f>'P&amp;L - Inputs'!BC138</f>
        <v>3428299.4543616418</v>
      </c>
      <c r="BE103" s="62">
        <f>'P&amp;L - Inputs'!BD138</f>
        <v>3014346.2062729048</v>
      </c>
      <c r="BF103" s="62">
        <f>'P&amp;L - Inputs'!BE138</f>
        <v>2101110.7453082642</v>
      </c>
      <c r="BG103" s="62">
        <f>'P&amp;L - Inputs'!BF138</f>
        <v>2744914.1078894567</v>
      </c>
      <c r="BH103" s="62">
        <f>'P&amp;L - Inputs'!BG138</f>
        <v>4791988.6777349534</v>
      </c>
      <c r="BI103" s="62">
        <f>'P&amp;L - Inputs'!BH138</f>
        <v>4247115.6451519579</v>
      </c>
      <c r="BJ103" s="61">
        <f>'P&amp;L - Inputs'!BI138</f>
        <v>3011019.5638672593</v>
      </c>
      <c r="BK103" s="62">
        <f>'P&amp;L - Inputs'!BJ138</f>
        <v>0</v>
      </c>
      <c r="BL103" s="62">
        <f>'P&amp;L - Inputs'!BK138</f>
        <v>0</v>
      </c>
      <c r="BM103" s="62">
        <f>'P&amp;L - Inputs'!BL138</f>
        <v>0</v>
      </c>
      <c r="BN103" s="62">
        <f>'P&amp;L - Inputs'!BM138</f>
        <v>0</v>
      </c>
      <c r="BO103" s="62">
        <f>'P&amp;L - Inputs'!BN138</f>
        <v>0</v>
      </c>
      <c r="BP103" s="62">
        <f>'P&amp;L - Inputs'!BO138</f>
        <v>0</v>
      </c>
      <c r="BQ103" s="62">
        <f>'P&amp;L - Inputs'!BP138</f>
        <v>0</v>
      </c>
      <c r="BR103" s="62">
        <f>'P&amp;L - Inputs'!BQ138</f>
        <v>0</v>
      </c>
      <c r="BS103" s="62">
        <f>'P&amp;L - Inputs'!BR138</f>
        <v>0</v>
      </c>
      <c r="BT103" s="62">
        <f>'P&amp;L - Inputs'!BS138</f>
        <v>0</v>
      </c>
      <c r="BU103" s="62">
        <f>'P&amp;L - Inputs'!BT138</f>
        <v>0</v>
      </c>
      <c r="BV103" s="62">
        <f>'P&amp;L - Inputs'!BU138</f>
        <v>0</v>
      </c>
      <c r="BW103" s="62">
        <f>'P&amp;L - Inputs'!BV138</f>
        <v>0</v>
      </c>
      <c r="BX103" s="62">
        <f>'P&amp;L - Inputs'!BW138</f>
        <v>0</v>
      </c>
      <c r="BY103" s="62">
        <f>'P&amp;L - Inputs'!BX138</f>
        <v>0</v>
      </c>
      <c r="BZ103" s="62">
        <f>'P&amp;L - Inputs'!BY138</f>
        <v>0</v>
      </c>
      <c r="CA103" s="62">
        <f>'P&amp;L - Inputs'!BZ138</f>
        <v>0</v>
      </c>
      <c r="CB103" s="62">
        <f>'P&amp;L - Inputs'!CA138</f>
        <v>0</v>
      </c>
      <c r="CC103" s="62">
        <f>'P&amp;L - Inputs'!CB138</f>
        <v>0</v>
      </c>
      <c r="CD103" s="62">
        <f>'P&amp;L - Inputs'!CC138</f>
        <v>0</v>
      </c>
      <c r="CE103" s="62">
        <f>'P&amp;L - Inputs'!CD138</f>
        <v>0</v>
      </c>
      <c r="CF103" s="62">
        <f>'P&amp;L - Inputs'!CE138</f>
        <v>0</v>
      </c>
      <c r="CG103" s="62">
        <f>'P&amp;L - Inputs'!CF138</f>
        <v>0</v>
      </c>
      <c r="CH103" s="62">
        <f>'P&amp;L - Inputs'!CG138</f>
        <v>0</v>
      </c>
      <c r="CI103" s="62">
        <f>'P&amp;L - Inputs'!CH138</f>
        <v>0</v>
      </c>
      <c r="CJ103" s="62">
        <f>'P&amp;L - Inputs'!CI138</f>
        <v>0</v>
      </c>
      <c r="CK103" s="62">
        <f>'P&amp;L - Inputs'!CJ138</f>
        <v>0</v>
      </c>
      <c r="CL103" s="62">
        <f>'P&amp;L - Inputs'!CK138</f>
        <v>0</v>
      </c>
      <c r="CM103" s="62">
        <f>'P&amp;L - Inputs'!CL138</f>
        <v>0</v>
      </c>
      <c r="CN103" s="62">
        <f>'P&amp;L - Inputs'!CM138</f>
        <v>0</v>
      </c>
      <c r="CO103" s="62">
        <f>'P&amp;L - Inputs'!CN138</f>
        <v>0</v>
      </c>
      <c r="CP103" s="62">
        <f>'P&amp;L - Inputs'!CO138</f>
        <v>0</v>
      </c>
      <c r="CQ103" s="62">
        <f>'P&amp;L - Inputs'!CP138</f>
        <v>0</v>
      </c>
      <c r="CR103" s="62">
        <f>'P&amp;L - Inputs'!CQ138</f>
        <v>0</v>
      </c>
      <c r="CS103" s="62">
        <f>'P&amp;L - Inputs'!CR138</f>
        <v>0</v>
      </c>
      <c r="CT103" s="62">
        <f>'P&amp;L - Inputs'!CS138</f>
        <v>0</v>
      </c>
      <c r="CU103" s="62">
        <f>'P&amp;L - Inputs'!CT138</f>
        <v>0</v>
      </c>
      <c r="CV103" s="62">
        <f>'P&amp;L - Inputs'!CU138</f>
        <v>0</v>
      </c>
      <c r="CW103" s="62">
        <f>'P&amp;L - Inputs'!CV138</f>
        <v>0</v>
      </c>
      <c r="CX103" s="62">
        <f>'P&amp;L - Inputs'!CW138</f>
        <v>0</v>
      </c>
      <c r="CY103" s="62">
        <f>'P&amp;L - Inputs'!CX138</f>
        <v>0</v>
      </c>
      <c r="CZ103" s="62">
        <f>'P&amp;L - Inputs'!CY138</f>
        <v>0</v>
      </c>
      <c r="DA103" s="62">
        <f>'P&amp;L - Inputs'!CZ138</f>
        <v>0</v>
      </c>
      <c r="DB103" s="62">
        <f>'P&amp;L - Inputs'!DA138</f>
        <v>0</v>
      </c>
      <c r="DC103" s="62">
        <f>'P&amp;L - Inputs'!DB138</f>
        <v>0</v>
      </c>
      <c r="DD103" s="62">
        <f>'P&amp;L - Inputs'!DC138</f>
        <v>0</v>
      </c>
      <c r="DE103" s="62">
        <f>'P&amp;L - Inputs'!DD138</f>
        <v>0</v>
      </c>
      <c r="DF103" s="62">
        <f>'P&amp;L - Inputs'!DE138</f>
        <v>0</v>
      </c>
      <c r="DG103" s="62">
        <f>'P&amp;L - Inputs'!DF138</f>
        <v>0</v>
      </c>
      <c r="DH103" s="62">
        <f>'P&amp;L - Inputs'!DG138</f>
        <v>0</v>
      </c>
      <c r="DI103" s="62">
        <f>'P&amp;L - Inputs'!DH138</f>
        <v>0</v>
      </c>
      <c r="DJ103" s="62">
        <f>'P&amp;L - Inputs'!DI138</f>
        <v>0</v>
      </c>
      <c r="DK103" s="62">
        <f>'P&amp;L - Inputs'!DJ138</f>
        <v>0</v>
      </c>
      <c r="DL103" s="62">
        <f>'P&amp;L - Inputs'!DK138</f>
        <v>0</v>
      </c>
      <c r="DM103" s="62">
        <f>'P&amp;L - Inputs'!DL138</f>
        <v>0</v>
      </c>
      <c r="DN103" s="62">
        <f>'P&amp;L - Inputs'!DM138</f>
        <v>0</v>
      </c>
      <c r="DO103" s="62">
        <f>'P&amp;L - Inputs'!DN138</f>
        <v>0</v>
      </c>
      <c r="DP103" s="62">
        <f>'P&amp;L - Inputs'!DO138</f>
        <v>0</v>
      </c>
      <c r="DQ103" s="62">
        <f>'P&amp;L - Inputs'!DP138</f>
        <v>0</v>
      </c>
      <c r="DR103" s="63">
        <f>'P&amp;L - Inputs'!DQ138</f>
        <v>0</v>
      </c>
      <c r="DS103" s="63">
        <f>'P&amp;L - Inputs'!DR138</f>
        <v>0</v>
      </c>
      <c r="DT103" s="63">
        <f>'P&amp;L - Inputs'!DS138</f>
        <v>0</v>
      </c>
      <c r="DU103" s="63">
        <f>'P&amp;L - Inputs'!DT138</f>
        <v>0</v>
      </c>
      <c r="DV103" s="63">
        <f>'P&amp;L - Inputs'!DU138</f>
        <v>0</v>
      </c>
      <c r="DW103" s="63">
        <f>'P&amp;L - Inputs'!DV138</f>
        <v>0</v>
      </c>
      <c r="DX103" s="63">
        <f>'P&amp;L - Inputs'!DW138</f>
        <v>0</v>
      </c>
      <c r="DY103" s="63">
        <f>'P&amp;L - Inputs'!DX138</f>
        <v>0</v>
      </c>
      <c r="DZ103" s="63">
        <f>'P&amp;L - Inputs'!DY138</f>
        <v>0</v>
      </c>
      <c r="EA103" s="63">
        <f>'P&amp;L - Inputs'!DZ138</f>
        <v>0</v>
      </c>
      <c r="EB103" s="63">
        <f>'P&amp;L - Inputs'!EA138</f>
        <v>0</v>
      </c>
      <c r="EC103" s="63">
        <f>'P&amp;L - Inputs'!EB138</f>
        <v>0</v>
      </c>
      <c r="ED103" s="63">
        <f>'P&amp;L - Inputs'!EC138</f>
        <v>0</v>
      </c>
      <c r="EE103" s="39" t="s">
        <v>1</v>
      </c>
      <c r="EF103" s="64"/>
      <c r="EG103" s="625">
        <f>SUM(BK103:BM103)</f>
        <v>0</v>
      </c>
      <c r="EH103" s="625">
        <f>SUM(BN103:BP103)</f>
        <v>0</v>
      </c>
      <c r="EI103" s="625">
        <f>SUM(BQ103:BS103)</f>
        <v>0</v>
      </c>
      <c r="EJ103" s="625">
        <f>SUM(BT103:BV103)</f>
        <v>0</v>
      </c>
      <c r="EK103" s="625">
        <f>SUM(BW103:BY103)</f>
        <v>0</v>
      </c>
      <c r="EL103" s="625">
        <f t="shared" ref="EL103" si="576">SUM(BZ103:CB103)</f>
        <v>0</v>
      </c>
      <c r="EM103" s="625">
        <f t="shared" ref="EM103" si="577">SUM(CC103:CE103)</f>
        <v>0</v>
      </c>
      <c r="EN103" s="625">
        <f t="shared" ref="EN103" si="578">SUM(CF103:CH103)</f>
        <v>0</v>
      </c>
      <c r="EO103" s="625">
        <f t="shared" ref="EO103" si="579">SUM(CI103:CK103)</f>
        <v>0</v>
      </c>
      <c r="EP103" s="625">
        <f t="shared" ref="EP103" si="580">SUM(CL103:CN103)</f>
        <v>0</v>
      </c>
      <c r="EQ103" s="625">
        <f t="shared" ref="EQ103" si="581">SUM(CO103:CQ103)</f>
        <v>0</v>
      </c>
      <c r="ER103" s="625">
        <f>SUM(CR103:CT103)</f>
        <v>0</v>
      </c>
      <c r="ES103" s="625">
        <f t="shared" ref="ES103:EZ103" si="582">SUM(CS103:CU103)</f>
        <v>0</v>
      </c>
      <c r="ET103" s="625">
        <f t="shared" si="582"/>
        <v>0</v>
      </c>
      <c r="EU103" s="625">
        <f t="shared" si="582"/>
        <v>0</v>
      </c>
      <c r="EV103" s="625">
        <f t="shared" si="582"/>
        <v>0</v>
      </c>
      <c r="EW103" s="625">
        <f t="shared" si="582"/>
        <v>0</v>
      </c>
      <c r="EX103" s="625">
        <f t="shared" si="582"/>
        <v>0</v>
      </c>
      <c r="EY103" s="625">
        <f t="shared" si="582"/>
        <v>0</v>
      </c>
      <c r="EZ103" s="625">
        <f t="shared" si="582"/>
        <v>0</v>
      </c>
      <c r="FA103" s="625">
        <f t="shared" ref="FA103" si="583">SUM(DA103:DC103)</f>
        <v>0</v>
      </c>
      <c r="FB103" s="625">
        <f t="shared" ref="FB103" si="584">SUM(DB103:DD103)</f>
        <v>0</v>
      </c>
      <c r="FC103" s="625">
        <f t="shared" ref="FC103" si="585">SUM(DC103:DE103)</f>
        <v>0</v>
      </c>
      <c r="FD103" s="625">
        <f t="shared" ref="FD103" si="586">SUM(DD103:DF103)</f>
        <v>0</v>
      </c>
      <c r="FG103" s="65">
        <f>SUM(DC103:DE103)</f>
        <v>0</v>
      </c>
      <c r="FH103" s="62">
        <f>SUM(DD103:DF103)</f>
        <v>0</v>
      </c>
      <c r="FI103" s="62">
        <f>SUM(DE103:DG103)</f>
        <v>0</v>
      </c>
      <c r="FJ103" s="63">
        <f>SUM(DF103:DH103)</f>
        <v>0</v>
      </c>
      <c r="FK103" s="63">
        <f>SUM(DG103:DI103)</f>
        <v>0</v>
      </c>
    </row>
    <row r="104" spans="2:167" ht="15.75" customHeight="1" x14ac:dyDescent="0.2">
      <c r="B104" s="48" t="s">
        <v>57</v>
      </c>
      <c r="C104" s="75">
        <f t="shared" ref="C104:Z104" si="587">C103/C32</f>
        <v>3.5616140844102875E-2</v>
      </c>
      <c r="D104" s="76">
        <f t="shared" si="587"/>
        <v>5.2197255076113253E-2</v>
      </c>
      <c r="E104" s="76">
        <f t="shared" si="587"/>
        <v>4.255545985076304E-2</v>
      </c>
      <c r="F104" s="76">
        <f t="shared" si="587"/>
        <v>4.1997904825051224E-2</v>
      </c>
      <c r="G104" s="76">
        <f t="shared" si="587"/>
        <v>3.1239859099925129E-2</v>
      </c>
      <c r="H104" s="76">
        <f t="shared" si="587"/>
        <v>3.8143394527008753E-2</v>
      </c>
      <c r="I104" s="76">
        <f t="shared" si="587"/>
        <v>1.4653811653781004E-2</v>
      </c>
      <c r="J104" s="76">
        <f t="shared" si="587"/>
        <v>3.9912918335360995E-2</v>
      </c>
      <c r="K104" s="76">
        <f t="shared" si="587"/>
        <v>3.7040009543547511E-2</v>
      </c>
      <c r="L104" s="76">
        <f t="shared" si="587"/>
        <v>2.9539264602301104E-2</v>
      </c>
      <c r="M104" s="76">
        <f t="shared" si="587"/>
        <v>1.5412113408158254E-2</v>
      </c>
      <c r="N104" s="76">
        <f t="shared" si="587"/>
        <v>1.496873442729868E-2</v>
      </c>
      <c r="O104" s="76">
        <f t="shared" si="587"/>
        <v>1.8147659033932829E-2</v>
      </c>
      <c r="P104" s="76">
        <f t="shared" si="587"/>
        <v>2.0873881305312165E-2</v>
      </c>
      <c r="Q104" s="76">
        <f t="shared" si="587"/>
        <v>2.7449041977409876E-2</v>
      </c>
      <c r="R104" s="76">
        <f t="shared" si="587"/>
        <v>1.6910924591640938E-2</v>
      </c>
      <c r="S104" s="76">
        <f t="shared" si="587"/>
        <v>8.0592273447345902E-3</v>
      </c>
      <c r="T104" s="76">
        <f t="shared" si="587"/>
        <v>7.0295771317913976E-3</v>
      </c>
      <c r="U104" s="76">
        <f t="shared" si="587"/>
        <v>5.7708203995101804E-3</v>
      </c>
      <c r="V104" s="76">
        <f t="shared" si="587"/>
        <v>3.1710343040803122E-3</v>
      </c>
      <c r="W104" s="76">
        <f t="shared" si="587"/>
        <v>3.5338564489078039E-3</v>
      </c>
      <c r="X104" s="76">
        <f t="shared" si="587"/>
        <v>3.459763322360932E-3</v>
      </c>
      <c r="Y104" s="76">
        <f t="shared" si="587"/>
        <v>3.5031986970696909E-3</v>
      </c>
      <c r="Z104" s="76">
        <f t="shared" si="587"/>
        <v>4.1176948312201872E-3</v>
      </c>
      <c r="AA104" s="76">
        <f t="shared" ref="AA104:ER104" si="588">IFERROR(AA103/AA32,0)</f>
        <v>-2.0612307371180449</v>
      </c>
      <c r="AB104" s="76">
        <f t="shared" si="588"/>
        <v>9.1862592765987216E-4</v>
      </c>
      <c r="AC104" s="79">
        <f t="shared" si="588"/>
        <v>2.0596231241512167E-3</v>
      </c>
      <c r="AD104" s="76">
        <f t="shared" si="588"/>
        <v>5.0823430786472628E-3</v>
      </c>
      <c r="AE104" s="76">
        <f t="shared" si="588"/>
        <v>4.2434374016693012E-3</v>
      </c>
      <c r="AF104" s="76">
        <f t="shared" si="588"/>
        <v>4.8353781593332059E-3</v>
      </c>
      <c r="AG104" s="76">
        <f t="shared" si="588"/>
        <v>6.4238541098229551E-3</v>
      </c>
      <c r="AH104" s="76">
        <f t="shared" si="588"/>
        <v>3.8837790135752108E-3</v>
      </c>
      <c r="AI104" s="76">
        <f t="shared" si="588"/>
        <v>3.6047936066379545E-3</v>
      </c>
      <c r="AJ104" s="76">
        <f t="shared" si="588"/>
        <v>3.5907772816458996E-3</v>
      </c>
      <c r="AK104" s="79">
        <f t="shared" si="588"/>
        <v>3.21209342409297E-3</v>
      </c>
      <c r="AL104" s="76">
        <f t="shared" si="588"/>
        <v>6.5383695800939161E-3</v>
      </c>
      <c r="AM104" s="76">
        <f t="shared" si="588"/>
        <v>4.5895817304747091E-3</v>
      </c>
      <c r="AN104" s="76">
        <f t="shared" si="588"/>
        <v>1.4890954158499061E-3</v>
      </c>
      <c r="AO104" s="76">
        <f t="shared" si="588"/>
        <v>4.3223850122202515E-3</v>
      </c>
      <c r="AP104" s="76">
        <f t="shared" si="588"/>
        <v>5.2107154586457562E-3</v>
      </c>
      <c r="AQ104" s="76">
        <f t="shared" si="588"/>
        <v>8.0242127130020127E-3</v>
      </c>
      <c r="AR104" s="76">
        <f t="shared" si="588"/>
        <v>1.1736090335183825E-2</v>
      </c>
      <c r="AS104" s="76">
        <f t="shared" si="588"/>
        <v>1.5252210928938576E-2</v>
      </c>
      <c r="AT104" s="76">
        <f t="shared" si="588"/>
        <v>1.1025615379391441E-2</v>
      </c>
      <c r="AU104" s="76">
        <f t="shared" si="588"/>
        <v>1.047093645694696E-2</v>
      </c>
      <c r="AV104" s="76">
        <f t="shared" si="588"/>
        <v>1.1511258202490791E-2</v>
      </c>
      <c r="AW104" s="76">
        <f t="shared" si="588"/>
        <v>1.4637205290136519E-2</v>
      </c>
      <c r="AX104" s="76">
        <f t="shared" si="588"/>
        <v>3.2230810812557013E-2</v>
      </c>
      <c r="AY104" s="76">
        <f t="shared" si="588"/>
        <v>2.033221126417685E-2</v>
      </c>
      <c r="AZ104" s="76">
        <f t="shared" si="588"/>
        <v>7.9651795138116471E-3</v>
      </c>
      <c r="BA104" s="76">
        <f t="shared" si="588"/>
        <v>1.933591582586678E-2</v>
      </c>
      <c r="BB104" s="76">
        <f t="shared" si="588"/>
        <v>1.7816150500141504E-2</v>
      </c>
      <c r="BC104" s="76">
        <f t="shared" si="588"/>
        <v>2.6786531488947874E-2</v>
      </c>
      <c r="BD104" s="76">
        <f t="shared" si="588"/>
        <v>1.0773147132021694E-2</v>
      </c>
      <c r="BE104" s="76">
        <f t="shared" si="588"/>
        <v>8.0805410905954531E-3</v>
      </c>
      <c r="BF104" s="76">
        <f t="shared" si="588"/>
        <v>5.2012984076899721E-3</v>
      </c>
      <c r="BG104" s="76">
        <f t="shared" si="588"/>
        <v>5.3497430798774403E-3</v>
      </c>
      <c r="BH104" s="76">
        <f t="shared" si="588"/>
        <v>1.0350919742028845E-2</v>
      </c>
      <c r="BI104" s="76">
        <f t="shared" si="588"/>
        <v>1.1395255098184408E-2</v>
      </c>
      <c r="BJ104" s="75">
        <f t="shared" si="588"/>
        <v>7.3066959815352639E-3</v>
      </c>
      <c r="BK104" s="76">
        <f t="shared" si="588"/>
        <v>0</v>
      </c>
      <c r="BL104" s="76">
        <f t="shared" si="588"/>
        <v>0</v>
      </c>
      <c r="BM104" s="76">
        <f t="shared" si="588"/>
        <v>0</v>
      </c>
      <c r="BN104" s="76">
        <f t="shared" si="588"/>
        <v>0</v>
      </c>
      <c r="BO104" s="76">
        <f t="shared" si="588"/>
        <v>0</v>
      </c>
      <c r="BP104" s="76">
        <f t="shared" si="588"/>
        <v>0</v>
      </c>
      <c r="BQ104" s="76">
        <f t="shared" si="588"/>
        <v>0</v>
      </c>
      <c r="BR104" s="76">
        <f t="shared" si="588"/>
        <v>0</v>
      </c>
      <c r="BS104" s="76">
        <f t="shared" si="588"/>
        <v>0</v>
      </c>
      <c r="BT104" s="76">
        <f t="shared" si="588"/>
        <v>0</v>
      </c>
      <c r="BU104" s="76">
        <f t="shared" si="588"/>
        <v>0</v>
      </c>
      <c r="BV104" s="76">
        <f t="shared" si="588"/>
        <v>0</v>
      </c>
      <c r="BW104" s="76">
        <f t="shared" si="588"/>
        <v>0</v>
      </c>
      <c r="BX104" s="76">
        <f t="shared" si="588"/>
        <v>0</v>
      </c>
      <c r="BY104" s="76">
        <f t="shared" si="588"/>
        <v>0</v>
      </c>
      <c r="BZ104" s="76">
        <f t="shared" si="588"/>
        <v>0</v>
      </c>
      <c r="CA104" s="76">
        <f t="shared" si="588"/>
        <v>0</v>
      </c>
      <c r="CB104" s="76">
        <f t="shared" si="588"/>
        <v>0</v>
      </c>
      <c r="CC104" s="76">
        <f t="shared" si="588"/>
        <v>0</v>
      </c>
      <c r="CD104" s="76">
        <f t="shared" si="588"/>
        <v>0</v>
      </c>
      <c r="CE104" s="76">
        <f t="shared" si="588"/>
        <v>0</v>
      </c>
      <c r="CF104" s="76">
        <f t="shared" si="588"/>
        <v>0</v>
      </c>
      <c r="CG104" s="76">
        <f t="shared" si="588"/>
        <v>0</v>
      </c>
      <c r="CH104" s="76">
        <f t="shared" si="588"/>
        <v>0</v>
      </c>
      <c r="CI104" s="76">
        <f t="shared" si="588"/>
        <v>0</v>
      </c>
      <c r="CJ104" s="76">
        <f t="shared" si="588"/>
        <v>0</v>
      </c>
      <c r="CK104" s="76">
        <f t="shared" si="588"/>
        <v>0</v>
      </c>
      <c r="CL104" s="76">
        <f t="shared" si="588"/>
        <v>0</v>
      </c>
      <c r="CM104" s="76">
        <f t="shared" si="588"/>
        <v>0</v>
      </c>
      <c r="CN104" s="76">
        <f t="shared" si="588"/>
        <v>0</v>
      </c>
      <c r="CO104" s="76">
        <f t="shared" si="588"/>
        <v>0</v>
      </c>
      <c r="CP104" s="76">
        <f t="shared" si="588"/>
        <v>0</v>
      </c>
      <c r="CQ104" s="76">
        <f t="shared" si="588"/>
        <v>0</v>
      </c>
      <c r="CR104" s="76">
        <f t="shared" si="588"/>
        <v>0</v>
      </c>
      <c r="CS104" s="76">
        <f t="shared" si="588"/>
        <v>0</v>
      </c>
      <c r="CT104" s="76">
        <f t="shared" ref="CT104:DR104" si="589">IFERROR(CT103/CT32,0)</f>
        <v>0</v>
      </c>
      <c r="CU104" s="76">
        <f t="shared" si="589"/>
        <v>0</v>
      </c>
      <c r="CV104" s="76">
        <f t="shared" si="589"/>
        <v>0</v>
      </c>
      <c r="CW104" s="76">
        <f t="shared" si="589"/>
        <v>0</v>
      </c>
      <c r="CX104" s="76">
        <f t="shared" si="589"/>
        <v>0</v>
      </c>
      <c r="CY104" s="76">
        <f t="shared" si="589"/>
        <v>0</v>
      </c>
      <c r="CZ104" s="76">
        <f t="shared" si="589"/>
        <v>0</v>
      </c>
      <c r="DA104" s="76">
        <f t="shared" si="589"/>
        <v>0</v>
      </c>
      <c r="DB104" s="76">
        <f t="shared" si="589"/>
        <v>0</v>
      </c>
      <c r="DC104" s="76">
        <f t="shared" si="589"/>
        <v>0</v>
      </c>
      <c r="DD104" s="76">
        <f t="shared" si="589"/>
        <v>0</v>
      </c>
      <c r="DE104" s="76">
        <f t="shared" si="589"/>
        <v>0</v>
      </c>
      <c r="DF104" s="76">
        <f t="shared" si="589"/>
        <v>0</v>
      </c>
      <c r="DG104" s="76">
        <f t="shared" si="589"/>
        <v>0</v>
      </c>
      <c r="DH104" s="76">
        <f t="shared" si="589"/>
        <v>0</v>
      </c>
      <c r="DI104" s="76">
        <f t="shared" si="589"/>
        <v>0</v>
      </c>
      <c r="DJ104" s="76">
        <f t="shared" si="589"/>
        <v>0</v>
      </c>
      <c r="DK104" s="76">
        <f t="shared" si="589"/>
        <v>0</v>
      </c>
      <c r="DL104" s="76">
        <f t="shared" si="589"/>
        <v>0</v>
      </c>
      <c r="DM104" s="76">
        <f t="shared" si="589"/>
        <v>0</v>
      </c>
      <c r="DN104" s="76">
        <f t="shared" si="589"/>
        <v>0</v>
      </c>
      <c r="DO104" s="76">
        <f t="shared" si="589"/>
        <v>0</v>
      </c>
      <c r="DP104" s="76">
        <f t="shared" si="589"/>
        <v>0</v>
      </c>
      <c r="DQ104" s="76">
        <f t="shared" si="589"/>
        <v>0</v>
      </c>
      <c r="DR104" s="78">
        <f t="shared" si="589"/>
        <v>0</v>
      </c>
      <c r="DS104" s="78">
        <f t="shared" ref="DS104:ED104" si="590">IFERROR(DS103/DS32,0)</f>
        <v>0</v>
      </c>
      <c r="DT104" s="78">
        <f t="shared" si="590"/>
        <v>0</v>
      </c>
      <c r="DU104" s="78">
        <f t="shared" si="590"/>
        <v>0</v>
      </c>
      <c r="DV104" s="78">
        <f t="shared" si="590"/>
        <v>0</v>
      </c>
      <c r="DW104" s="78">
        <f t="shared" si="590"/>
        <v>0</v>
      </c>
      <c r="DX104" s="78">
        <f t="shared" si="590"/>
        <v>0</v>
      </c>
      <c r="DY104" s="78">
        <f t="shared" si="590"/>
        <v>0</v>
      </c>
      <c r="DZ104" s="78">
        <f t="shared" si="590"/>
        <v>0</v>
      </c>
      <c r="EA104" s="78">
        <f t="shared" si="590"/>
        <v>0</v>
      </c>
      <c r="EB104" s="78">
        <f t="shared" si="590"/>
        <v>0</v>
      </c>
      <c r="EC104" s="78">
        <f t="shared" si="590"/>
        <v>0</v>
      </c>
      <c r="ED104" s="78">
        <f t="shared" si="590"/>
        <v>0</v>
      </c>
      <c r="EE104" s="39" t="s">
        <v>1</v>
      </c>
      <c r="EF104" s="79"/>
      <c r="EG104" s="627">
        <f t="shared" si="588"/>
        <v>0</v>
      </c>
      <c r="EH104" s="627">
        <f t="shared" si="588"/>
        <v>0</v>
      </c>
      <c r="EI104" s="627">
        <f t="shared" si="588"/>
        <v>0</v>
      </c>
      <c r="EJ104" s="627">
        <f t="shared" si="588"/>
        <v>0</v>
      </c>
      <c r="EK104" s="627">
        <f t="shared" si="588"/>
        <v>0</v>
      </c>
      <c r="EL104" s="627">
        <f t="shared" si="588"/>
        <v>0</v>
      </c>
      <c r="EM104" s="627">
        <f t="shared" si="588"/>
        <v>0</v>
      </c>
      <c r="EN104" s="627">
        <f t="shared" si="588"/>
        <v>0</v>
      </c>
      <c r="EO104" s="627">
        <f t="shared" si="588"/>
        <v>0</v>
      </c>
      <c r="EP104" s="627">
        <f t="shared" si="588"/>
        <v>0</v>
      </c>
      <c r="EQ104" s="627">
        <f t="shared" si="588"/>
        <v>0</v>
      </c>
      <c r="ER104" s="627">
        <f t="shared" si="588"/>
        <v>0</v>
      </c>
      <c r="ES104" s="627">
        <f t="shared" ref="ES104:EZ104" si="591">IFERROR(ES103/ES32,0)</f>
        <v>0</v>
      </c>
      <c r="ET104" s="627">
        <f t="shared" si="591"/>
        <v>0</v>
      </c>
      <c r="EU104" s="627">
        <f t="shared" si="591"/>
        <v>0</v>
      </c>
      <c r="EV104" s="627">
        <f t="shared" si="591"/>
        <v>0</v>
      </c>
      <c r="EW104" s="627">
        <f t="shared" si="591"/>
        <v>0</v>
      </c>
      <c r="EX104" s="627">
        <f t="shared" si="591"/>
        <v>0</v>
      </c>
      <c r="EY104" s="627">
        <f t="shared" si="591"/>
        <v>0</v>
      </c>
      <c r="EZ104" s="627">
        <f t="shared" si="591"/>
        <v>0</v>
      </c>
      <c r="FA104" s="627">
        <f t="shared" ref="FA104:FD104" si="592">IFERROR(FA103/FA32,0)</f>
        <v>0</v>
      </c>
      <c r="FB104" s="627">
        <f t="shared" si="592"/>
        <v>0</v>
      </c>
      <c r="FC104" s="627">
        <f t="shared" si="592"/>
        <v>0</v>
      </c>
      <c r="FD104" s="627">
        <f t="shared" si="592"/>
        <v>0</v>
      </c>
      <c r="FG104" s="80">
        <f t="shared" ref="FG104:FJ104" si="593">IFERROR(FG103/FG32,0)</f>
        <v>0</v>
      </c>
      <c r="FH104" s="76">
        <f t="shared" si="593"/>
        <v>0</v>
      </c>
      <c r="FI104" s="76">
        <f t="shared" si="593"/>
        <v>0</v>
      </c>
      <c r="FJ104" s="78">
        <f t="shared" si="593"/>
        <v>0</v>
      </c>
      <c r="FK104" s="78">
        <f t="shared" ref="FK104" si="594">IFERROR(FK103/FK32,0)</f>
        <v>0</v>
      </c>
    </row>
    <row r="105" spans="2:167" ht="15.75" customHeight="1" x14ac:dyDescent="0.2">
      <c r="B105" s="57"/>
      <c r="C105" s="66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8"/>
      <c r="AD105" s="67"/>
      <c r="AE105" s="67"/>
      <c r="AF105" s="67"/>
      <c r="AG105" s="67"/>
      <c r="AH105" s="67"/>
      <c r="AI105" s="67"/>
      <c r="AJ105" s="67"/>
      <c r="AK105" s="68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6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  <c r="DD105" s="67"/>
      <c r="DE105" s="67"/>
      <c r="DF105" s="67"/>
      <c r="DG105" s="67"/>
      <c r="DH105" s="67"/>
      <c r="DI105" s="67"/>
      <c r="DJ105" s="67"/>
      <c r="DK105" s="67"/>
      <c r="DL105" s="67"/>
      <c r="DM105" s="67"/>
      <c r="DN105" s="67"/>
      <c r="DO105" s="67"/>
      <c r="DP105" s="67"/>
      <c r="DQ105" s="67"/>
      <c r="DR105" s="69"/>
      <c r="DS105" s="69"/>
      <c r="DT105" s="69"/>
      <c r="DU105" s="69"/>
      <c r="DV105" s="69"/>
      <c r="DW105" s="69"/>
      <c r="DX105" s="69"/>
      <c r="DY105" s="69"/>
      <c r="DZ105" s="69"/>
      <c r="EA105" s="69"/>
      <c r="EB105" s="69"/>
      <c r="EC105" s="69"/>
      <c r="ED105" s="69"/>
      <c r="EE105" s="39" t="s">
        <v>1</v>
      </c>
      <c r="EF105" s="68"/>
      <c r="EG105" s="629"/>
      <c r="EH105" s="629"/>
      <c r="EI105" s="629"/>
      <c r="EJ105" s="629"/>
      <c r="EK105" s="629"/>
      <c r="EL105" s="629"/>
      <c r="EM105" s="629"/>
      <c r="EN105" s="629"/>
      <c r="EO105" s="629"/>
      <c r="EP105" s="629"/>
      <c r="EQ105" s="629"/>
      <c r="ER105" s="629"/>
      <c r="ES105" s="629"/>
      <c r="ET105" s="629"/>
      <c r="EU105" s="629"/>
      <c r="EV105" s="629"/>
      <c r="EW105" s="629"/>
      <c r="EX105" s="629"/>
      <c r="EY105" s="629"/>
      <c r="EZ105" s="629"/>
      <c r="FA105" s="629"/>
      <c r="FB105" s="629"/>
      <c r="FC105" s="629"/>
      <c r="FD105" s="629"/>
      <c r="FG105" s="70"/>
      <c r="FH105" s="67"/>
      <c r="FI105" s="67"/>
      <c r="FJ105" s="69"/>
      <c r="FK105" s="69"/>
    </row>
    <row r="106" spans="2:167" ht="15.75" customHeight="1" x14ac:dyDescent="0.2">
      <c r="B106" s="56" t="s">
        <v>58</v>
      </c>
      <c r="C106" s="61">
        <f t="shared" ref="C106:ER106" si="595">C100-C103</f>
        <v>-3669820</v>
      </c>
      <c r="D106" s="62">
        <f t="shared" si="595"/>
        <v>-6159358.0071428567</v>
      </c>
      <c r="E106" s="62">
        <f t="shared" si="595"/>
        <v>-6038413.3220750708</v>
      </c>
      <c r="F106" s="62">
        <f t="shared" si="595"/>
        <v>-4829412.1976681091</v>
      </c>
      <c r="G106" s="62">
        <f t="shared" si="595"/>
        <v>-7784848.7201376185</v>
      </c>
      <c r="H106" s="62">
        <f t="shared" si="595"/>
        <v>-5243807.3150681295</v>
      </c>
      <c r="I106" s="62">
        <f t="shared" si="595"/>
        <v>-14742616.671909049</v>
      </c>
      <c r="J106" s="62">
        <f t="shared" si="595"/>
        <v>-7595703.3952327073</v>
      </c>
      <c r="K106" s="62">
        <f t="shared" si="595"/>
        <v>-15697486.906102858</v>
      </c>
      <c r="L106" s="62">
        <f t="shared" si="595"/>
        <v>-21918004.473714214</v>
      </c>
      <c r="M106" s="62">
        <f t="shared" si="595"/>
        <v>-11334573.594165461</v>
      </c>
      <c r="N106" s="62">
        <f t="shared" si="595"/>
        <v>-10701043.690000001</v>
      </c>
      <c r="O106" s="62">
        <f t="shared" si="595"/>
        <v>-11786007.820151284</v>
      </c>
      <c r="P106" s="62">
        <f t="shared" si="595"/>
        <v>-14771019.053551994</v>
      </c>
      <c r="Q106" s="62">
        <f t="shared" si="595"/>
        <v>-14821685.770494007</v>
      </c>
      <c r="R106" s="62">
        <f t="shared" si="595"/>
        <v>-4736762.1412472632</v>
      </c>
      <c r="S106" s="62">
        <f t="shared" si="595"/>
        <v>-3611704.8265832588</v>
      </c>
      <c r="T106" s="62">
        <f t="shared" si="595"/>
        <v>-8178611.1460963208</v>
      </c>
      <c r="U106" s="62">
        <f t="shared" si="595"/>
        <v>-11419782.967830058</v>
      </c>
      <c r="V106" s="62">
        <f t="shared" si="595"/>
        <v>-5428445.2189577082</v>
      </c>
      <c r="W106" s="62">
        <f t="shared" si="595"/>
        <v>-3541111.7738581803</v>
      </c>
      <c r="X106" s="62">
        <f t="shared" si="595"/>
        <v>-721141.01533745043</v>
      </c>
      <c r="Y106" s="62">
        <f t="shared" si="595"/>
        <v>7578819.7553001177</v>
      </c>
      <c r="Z106" s="62">
        <f t="shared" si="595"/>
        <v>-2914986.1596779991</v>
      </c>
      <c r="AA106" s="62">
        <f t="shared" si="595"/>
        <v>-13375074.720977327</v>
      </c>
      <c r="AB106" s="62">
        <f t="shared" si="595"/>
        <v>-277016.5611895984</v>
      </c>
      <c r="AC106" s="614">
        <f t="shared" si="595"/>
        <v>-5972003.3403398022</v>
      </c>
      <c r="AD106" s="62">
        <f t="shared" si="595"/>
        <v>-6978888.3613387011</v>
      </c>
      <c r="AE106" s="62">
        <f t="shared" si="595"/>
        <v>-3308489.9641945795</v>
      </c>
      <c r="AF106" s="62">
        <f t="shared" si="595"/>
        <v>-1999036.4447717685</v>
      </c>
      <c r="AG106" s="62">
        <f t="shared" si="595"/>
        <v>-7824813.5119119585</v>
      </c>
      <c r="AH106" s="62">
        <f t="shared" si="595"/>
        <v>1405816.3282030979</v>
      </c>
      <c r="AI106" s="62">
        <f t="shared" si="595"/>
        <v>992839.19292831887</v>
      </c>
      <c r="AJ106" s="62">
        <f t="shared" si="595"/>
        <v>-6930200.533896625</v>
      </c>
      <c r="AK106" s="614">
        <f t="shared" si="595"/>
        <v>-300695.3072602218</v>
      </c>
      <c r="AL106" s="62">
        <f t="shared" si="595"/>
        <v>-992629.24042154569</v>
      </c>
      <c r="AM106" s="62">
        <f t="shared" si="595"/>
        <v>-8238723.4472437035</v>
      </c>
      <c r="AN106" s="62">
        <f t="shared" si="595"/>
        <v>-8588143.8401679825</v>
      </c>
      <c r="AO106" s="62">
        <f t="shared" si="595"/>
        <v>-978334.79905596888</v>
      </c>
      <c r="AP106" s="62">
        <f t="shared" si="595"/>
        <v>-3748583.5477564479</v>
      </c>
      <c r="AQ106" s="62">
        <f t="shared" si="595"/>
        <v>-6451859.4955609161</v>
      </c>
      <c r="AR106" s="62">
        <f t="shared" si="595"/>
        <v>-10970530.524880292</v>
      </c>
      <c r="AS106" s="62">
        <f t="shared" si="595"/>
        <v>-14232725.361854013</v>
      </c>
      <c r="AT106" s="62">
        <f t="shared" si="595"/>
        <v>-14283479.180512819</v>
      </c>
      <c r="AU106" s="62">
        <f t="shared" si="595"/>
        <v>-13729220.215461791</v>
      </c>
      <c r="AV106" s="62">
        <f t="shared" si="595"/>
        <v>-26203005.235897377</v>
      </c>
      <c r="AW106" s="62">
        <f t="shared" si="595"/>
        <v>-36238197.624166645</v>
      </c>
      <c r="AX106" s="62">
        <f t="shared" si="595"/>
        <v>-39534977.996910229</v>
      </c>
      <c r="AY106" s="62">
        <f t="shared" si="595"/>
        <v>-39442063.388882659</v>
      </c>
      <c r="AZ106" s="62">
        <f t="shared" si="595"/>
        <v>-38705702.505871952</v>
      </c>
      <c r="BA106" s="62">
        <f t="shared" si="595"/>
        <v>-33909320.434499227</v>
      </c>
      <c r="BB106" s="62">
        <f t="shared" si="595"/>
        <v>-19375156.256891429</v>
      </c>
      <c r="BC106" s="62">
        <f t="shared" si="595"/>
        <v>-35578409.721270077</v>
      </c>
      <c r="BD106" s="62">
        <f t="shared" si="595"/>
        <v>-51331628.245196193</v>
      </c>
      <c r="BE106" s="62">
        <f t="shared" si="595"/>
        <v>-42667838.554024808</v>
      </c>
      <c r="BF106" s="62">
        <f t="shared" si="595"/>
        <v>-32723164.064010546</v>
      </c>
      <c r="BG106" s="62">
        <f t="shared" si="595"/>
        <v>-20694453.403795384</v>
      </c>
      <c r="BH106" s="62">
        <f t="shared" si="595"/>
        <v>-29690637.098312076</v>
      </c>
      <c r="BI106" s="62">
        <f t="shared" si="595"/>
        <v>-29554302.348076385</v>
      </c>
      <c r="BJ106" s="61">
        <f t="shared" si="595"/>
        <v>-16141217.130057182</v>
      </c>
      <c r="BK106" s="62">
        <f t="shared" si="595"/>
        <v>-3880875.6477363147</v>
      </c>
      <c r="BL106" s="62">
        <f t="shared" si="595"/>
        <v>-6209156.2882693522</v>
      </c>
      <c r="BM106" s="62">
        <f t="shared" si="595"/>
        <v>-3619326.3570135692</v>
      </c>
      <c r="BN106" s="62">
        <f t="shared" si="595"/>
        <v>2543952.7907414054</v>
      </c>
      <c r="BO106" s="62">
        <f t="shared" si="595"/>
        <v>19645.431978944689</v>
      </c>
      <c r="BP106" s="62">
        <f t="shared" si="595"/>
        <v>-5709271.1041763248</v>
      </c>
      <c r="BQ106" s="62">
        <f t="shared" si="595"/>
        <v>-519056.64036213513</v>
      </c>
      <c r="BR106" s="62">
        <f t="shared" si="595"/>
        <v>-277642.4356610002</v>
      </c>
      <c r="BS106" s="62">
        <f t="shared" si="595"/>
        <v>-12151434.751862813</v>
      </c>
      <c r="BT106" s="62">
        <f t="shared" si="595"/>
        <v>-23919002.285090826</v>
      </c>
      <c r="BU106" s="62">
        <f t="shared" si="595"/>
        <v>-406891.98859507125</v>
      </c>
      <c r="BV106" s="62">
        <f t="shared" si="595"/>
        <v>3874360.0664000176</v>
      </c>
      <c r="BW106" s="62">
        <f t="shared" si="595"/>
        <v>11425003.001222471</v>
      </c>
      <c r="BX106" s="62">
        <f t="shared" si="595"/>
        <v>13772069.754968742</v>
      </c>
      <c r="BY106" s="62">
        <f t="shared" si="595"/>
        <v>11692627.706078576</v>
      </c>
      <c r="BZ106" s="62">
        <f t="shared" si="595"/>
        <v>-286401.95483022369</v>
      </c>
      <c r="CA106" s="62">
        <f t="shared" si="595"/>
        <v>3984776.2059609713</v>
      </c>
      <c r="CB106" s="62">
        <f t="shared" si="595"/>
        <v>918293.79894521367</v>
      </c>
      <c r="CC106" s="62">
        <f t="shared" si="595"/>
        <v>6116207.2199464608</v>
      </c>
      <c r="CD106" s="62">
        <f t="shared" si="595"/>
        <v>7047497.5232531019</v>
      </c>
      <c r="CE106" s="62">
        <f t="shared" si="595"/>
        <v>6289064.7197694043</v>
      </c>
      <c r="CF106" s="62">
        <f t="shared" si="595"/>
        <v>7563649.9444634775</v>
      </c>
      <c r="CG106" s="62">
        <f t="shared" si="595"/>
        <v>16568834.954450866</v>
      </c>
      <c r="CH106" s="62">
        <f t="shared" si="595"/>
        <v>4973110.7931572683</v>
      </c>
      <c r="CI106" s="62">
        <f t="shared" si="595"/>
        <v>17338872.438521825</v>
      </c>
      <c r="CJ106" s="62">
        <f t="shared" si="595"/>
        <v>16714842.531666465</v>
      </c>
      <c r="CK106" s="62">
        <f t="shared" si="595"/>
        <v>16086928.495212838</v>
      </c>
      <c r="CL106" s="62">
        <f t="shared" si="595"/>
        <v>13112983.804032272</v>
      </c>
      <c r="CM106" s="62">
        <f t="shared" si="595"/>
        <v>14307230.266248446</v>
      </c>
      <c r="CN106" s="62">
        <f t="shared" si="595"/>
        <v>4702704.0726374323</v>
      </c>
      <c r="CO106" s="62">
        <f t="shared" si="595"/>
        <v>17450848.853626091</v>
      </c>
      <c r="CP106" s="62">
        <f t="shared" si="595"/>
        <v>16507057.158974625</v>
      </c>
      <c r="CQ106" s="62">
        <f t="shared" si="595"/>
        <v>5717735.5410861596</v>
      </c>
      <c r="CR106" s="62">
        <f t="shared" si="595"/>
        <v>15751834.942930674</v>
      </c>
      <c r="CS106" s="62">
        <f t="shared" si="595"/>
        <v>26111041.386304315</v>
      </c>
      <c r="CT106" s="62">
        <f t="shared" ref="CT106:DR106" si="596">CT100-CT103</f>
        <v>28420186.599219352</v>
      </c>
      <c r="CU106" s="62">
        <f t="shared" si="596"/>
        <v>19810453.53379982</v>
      </c>
      <c r="CV106" s="62">
        <f t="shared" si="596"/>
        <v>21173831.043765962</v>
      </c>
      <c r="CW106" s="62">
        <f t="shared" si="596"/>
        <v>18817583.179650865</v>
      </c>
      <c r="CX106" s="62">
        <f t="shared" si="596"/>
        <v>18850454.055398963</v>
      </c>
      <c r="CY106" s="62">
        <f t="shared" si="596"/>
        <v>16293137.905064793</v>
      </c>
      <c r="CZ106" s="62">
        <f t="shared" si="596"/>
        <v>11964986.235114882</v>
      </c>
      <c r="DA106" s="62">
        <f t="shared" si="596"/>
        <v>16976372.929311089</v>
      </c>
      <c r="DB106" s="62">
        <f t="shared" si="596"/>
        <v>25211409.90418727</v>
      </c>
      <c r="DC106" s="62">
        <f t="shared" si="596"/>
        <v>30098343.405880116</v>
      </c>
      <c r="DD106" s="62">
        <f t="shared" si="596"/>
        <v>27035196.735485308</v>
      </c>
      <c r="DE106" s="62">
        <f t="shared" si="596"/>
        <v>25928544.596814595</v>
      </c>
      <c r="DF106" s="62">
        <f t="shared" si="596"/>
        <v>24254274.579809986</v>
      </c>
      <c r="DG106" s="62">
        <f t="shared" si="596"/>
        <v>34068491.209806308</v>
      </c>
      <c r="DH106" s="62">
        <f t="shared" si="596"/>
        <v>36008696.742416695</v>
      </c>
      <c r="DI106" s="62">
        <f t="shared" si="596"/>
        <v>32656830.806079369</v>
      </c>
      <c r="DJ106" s="62">
        <f t="shared" si="596"/>
        <v>32703414.506280098</v>
      </c>
      <c r="DK106" s="62">
        <f t="shared" si="596"/>
        <v>29064360.259071287</v>
      </c>
      <c r="DL106" s="62">
        <f t="shared" si="596"/>
        <v>22904750.630312435</v>
      </c>
      <c r="DM106" s="62">
        <f t="shared" si="596"/>
        <v>30036682.680466186</v>
      </c>
      <c r="DN106" s="62">
        <f t="shared" si="596"/>
        <v>41755272.705275804</v>
      </c>
      <c r="DO106" s="62">
        <f t="shared" si="596"/>
        <v>48709733.865165591</v>
      </c>
      <c r="DP106" s="62">
        <f t="shared" si="596"/>
        <v>44351150.436686128</v>
      </c>
      <c r="DQ106" s="62">
        <f t="shared" si="596"/>
        <v>42776446.855313063</v>
      </c>
      <c r="DR106" s="63">
        <f t="shared" si="596"/>
        <v>40394038.287308291</v>
      </c>
      <c r="DS106" s="63">
        <f t="shared" ref="DS106:ED106" si="597">DS100-DS103</f>
        <v>50655321.61745134</v>
      </c>
      <c r="DT106" s="63">
        <f t="shared" si="597"/>
        <v>53263451.583455056</v>
      </c>
      <c r="DU106" s="63">
        <f t="shared" si="597"/>
        <v>48758971.780067518</v>
      </c>
      <c r="DV106" s="63">
        <f t="shared" si="597"/>
        <v>48821397.70048596</v>
      </c>
      <c r="DW106" s="63">
        <f t="shared" si="597"/>
        <v>43929813.218997255</v>
      </c>
      <c r="DX106" s="63">
        <f t="shared" si="597"/>
        <v>35649459.470550239</v>
      </c>
      <c r="DY106" s="63">
        <f t="shared" si="597"/>
        <v>45236881.161254391</v>
      </c>
      <c r="DZ106" s="63">
        <f t="shared" si="597"/>
        <v>60989059.839515626</v>
      </c>
      <c r="EA106" s="63">
        <f t="shared" si="597"/>
        <v>70337552.399745151</v>
      </c>
      <c r="EB106" s="63">
        <f t="shared" si="597"/>
        <v>64479049.511752516</v>
      </c>
      <c r="EC106" s="63">
        <f t="shared" si="597"/>
        <v>62362406.450354502</v>
      </c>
      <c r="ED106" s="63">
        <f t="shared" si="597"/>
        <v>59160067.283251479</v>
      </c>
      <c r="EE106" s="39" t="s">
        <v>1</v>
      </c>
      <c r="EF106" s="64"/>
      <c r="EG106" s="625">
        <f t="shared" si="595"/>
        <v>-13709358.293019176</v>
      </c>
      <c r="EH106" s="625">
        <f t="shared" si="595"/>
        <v>-3145672.8814558871</v>
      </c>
      <c r="EI106" s="625">
        <f t="shared" si="595"/>
        <v>-12948133.827885769</v>
      </c>
      <c r="EJ106" s="625">
        <f t="shared" si="595"/>
        <v>-20451534.207285941</v>
      </c>
      <c r="EK106" s="625">
        <f t="shared" si="595"/>
        <v>36889700.462269902</v>
      </c>
      <c r="EL106" s="625">
        <f t="shared" ref="EL106" si="598">SUM(BZ106:CB106)</f>
        <v>4616668.0500759613</v>
      </c>
      <c r="EM106" s="625">
        <f t="shared" ref="EM106" si="599">SUM(CC106:CE106)</f>
        <v>19452769.462968968</v>
      </c>
      <c r="EN106" s="625">
        <f t="shared" ref="EN106" si="600">SUM(CF106:CH106)</f>
        <v>29105595.692071613</v>
      </c>
      <c r="EO106" s="625">
        <f t="shared" ref="EO106" si="601">SUM(CI106:CK106)</f>
        <v>50140643.465401128</v>
      </c>
      <c r="EP106" s="625">
        <f t="shared" ref="EP106" si="602">SUM(CL106:CN106)</f>
        <v>32122918.142918147</v>
      </c>
      <c r="EQ106" s="625">
        <f t="shared" ref="EQ106" si="603">SUM(CO106:CQ106)</f>
        <v>39675641.55368688</v>
      </c>
      <c r="ER106" s="625">
        <f t="shared" si="595"/>
        <v>70283062.928454101</v>
      </c>
      <c r="ES106" s="625">
        <f t="shared" ref="ES106:EZ106" si="604">ES100-ES103</f>
        <v>59801867.757216409</v>
      </c>
      <c r="ET106" s="625">
        <f t="shared" si="604"/>
        <v>47108578.195579007</v>
      </c>
      <c r="EU106" s="625">
        <f t="shared" si="604"/>
        <v>72286126.239378422</v>
      </c>
      <c r="EV106" s="625">
        <f t="shared" si="604"/>
        <v>77218015.912110016</v>
      </c>
      <c r="EW106" s="625">
        <f t="shared" si="604"/>
        <v>102734018.75830261</v>
      </c>
      <c r="EX106" s="625">
        <f t="shared" si="604"/>
        <v>84672525.395663455</v>
      </c>
      <c r="EY106" s="625">
        <f t="shared" si="604"/>
        <v>120501689.25090794</v>
      </c>
      <c r="EZ106" s="625">
        <f t="shared" si="604"/>
        <v>127521635.57930736</v>
      </c>
      <c r="FA106" s="625">
        <f t="shared" ref="FA106:FD106" si="605">FA100-FA103</f>
        <v>152677744.98097354</v>
      </c>
      <c r="FB106" s="625">
        <f t="shared" si="605"/>
        <v>128400670.39003333</v>
      </c>
      <c r="FC106" s="625">
        <f t="shared" si="605"/>
        <v>176563493.40051588</v>
      </c>
      <c r="FD106" s="625">
        <f t="shared" si="605"/>
        <v>186001523.24535874</v>
      </c>
      <c r="FG106" s="65">
        <f t="shared" ref="FG106:FJ106" si="606">FG100-FG103</f>
        <v>90064733.667386919</v>
      </c>
      <c r="FH106" s="62">
        <f t="shared" si="606"/>
        <v>192222266.09045953</v>
      </c>
      <c r="FI106" s="62">
        <f t="shared" si="606"/>
        <v>256414588.10428268</v>
      </c>
      <c r="FJ106" s="63">
        <f t="shared" si="606"/>
        <v>435429868.98418111</v>
      </c>
      <c r="FK106" s="63">
        <f t="shared" ref="FK106" si="607">FK100-FK103</f>
        <v>643643432.01688147</v>
      </c>
    </row>
    <row r="107" spans="2:167" ht="15.75" customHeight="1" x14ac:dyDescent="0.2">
      <c r="B107" s="48" t="s">
        <v>59</v>
      </c>
      <c r="C107" s="75">
        <f t="shared" ref="C107:Z107" si="608">C106/C32</f>
        <v>-2.9171563973869677E-2</v>
      </c>
      <c r="D107" s="76">
        <f t="shared" si="608"/>
        <v>-5.2379061740670065E-2</v>
      </c>
      <c r="E107" s="76">
        <f t="shared" si="608"/>
        <v>-4.5928537171326445E-2</v>
      </c>
      <c r="F107" s="76">
        <f t="shared" si="608"/>
        <v>-3.1554367323849433E-2</v>
      </c>
      <c r="G107" s="76">
        <f t="shared" si="608"/>
        <v>-4.339370075764331E-2</v>
      </c>
      <c r="H107" s="76">
        <f t="shared" si="608"/>
        <v>-2.8027799098782977E-2</v>
      </c>
      <c r="I107" s="76">
        <f t="shared" si="608"/>
        <v>-7.3399006076583298E-2</v>
      </c>
      <c r="J107" s="76">
        <f t="shared" si="608"/>
        <v>-4.0386847279025084E-2</v>
      </c>
      <c r="K107" s="76">
        <f t="shared" si="608"/>
        <v>-6.5939695107041438E-2</v>
      </c>
      <c r="L107" s="76">
        <f t="shared" si="608"/>
        <v>-9.4712245428382691E-2</v>
      </c>
      <c r="M107" s="76">
        <f t="shared" si="608"/>
        <v>-4.7911328298662272E-2</v>
      </c>
      <c r="N107" s="76">
        <f t="shared" si="608"/>
        <v>-5.1706677176175421E-2</v>
      </c>
      <c r="O107" s="76">
        <f t="shared" si="608"/>
        <v>-4.4080725314722548E-2</v>
      </c>
      <c r="P107" s="76">
        <f t="shared" si="608"/>
        <v>-5.5798801655015169E-2</v>
      </c>
      <c r="Q107" s="76">
        <f t="shared" si="608"/>
        <v>-5.2293103185967096E-2</v>
      </c>
      <c r="R107" s="76">
        <f t="shared" si="608"/>
        <v>-1.6386338724358882E-2</v>
      </c>
      <c r="S107" s="76">
        <f t="shared" si="608"/>
        <v>-1.5224163580960664E-2</v>
      </c>
      <c r="T107" s="76">
        <f t="shared" si="608"/>
        <v>-3.8937463940636963E-2</v>
      </c>
      <c r="U107" s="76">
        <f t="shared" si="608"/>
        <v>-6.4348529107258037E-2</v>
      </c>
      <c r="V107" s="76">
        <f t="shared" si="608"/>
        <v>-2.5090385699345481E-2</v>
      </c>
      <c r="W107" s="76">
        <f t="shared" si="608"/>
        <v>-1.4249773596521969E-2</v>
      </c>
      <c r="X107" s="76">
        <f t="shared" si="608"/>
        <v>-2.8738514396625448E-3</v>
      </c>
      <c r="Y107" s="76">
        <f t="shared" si="608"/>
        <v>2.635249413854843E-2</v>
      </c>
      <c r="Z107" s="76">
        <f t="shared" si="608"/>
        <v>-1.6229776630119853E-2</v>
      </c>
      <c r="AA107" s="76">
        <f t="shared" ref="AA107:ER107" si="609">IFERROR(AA106/AA32,0)</f>
        <v>231.97082188033517</v>
      </c>
      <c r="AB107" s="76">
        <f t="shared" si="609"/>
        <v>-2.0231721696608567E-3</v>
      </c>
      <c r="AC107" s="79">
        <f t="shared" si="609"/>
        <v>-4.1852795365842771E-2</v>
      </c>
      <c r="AD107" s="76">
        <f t="shared" si="609"/>
        <v>-5.9610638691762502E-2</v>
      </c>
      <c r="AE107" s="76">
        <f t="shared" si="609"/>
        <v>-1.6934878678719605E-2</v>
      </c>
      <c r="AF107" s="76">
        <f t="shared" si="609"/>
        <v>-9.9453322585847954E-3</v>
      </c>
      <c r="AG107" s="76">
        <f t="shared" si="609"/>
        <v>-4.3223526691965497E-2</v>
      </c>
      <c r="AH107" s="76">
        <f t="shared" si="609"/>
        <v>6.5944879888501819E-3</v>
      </c>
      <c r="AI107" s="76">
        <f t="shared" si="609"/>
        <v>2.8699159749809881E-3</v>
      </c>
      <c r="AJ107" s="76">
        <f t="shared" si="609"/>
        <v>-2.3215734610293824E-2</v>
      </c>
      <c r="AK107" s="79">
        <f t="shared" si="609"/>
        <v>-8.0494891183475808E-4</v>
      </c>
      <c r="AL107" s="76">
        <f t="shared" si="609"/>
        <v>-3.1676489022291854E-3</v>
      </c>
      <c r="AM107" s="76">
        <f t="shared" si="609"/>
        <v>-3.8252465739163875E-2</v>
      </c>
      <c r="AN107" s="76">
        <f t="shared" si="609"/>
        <v>-8.8099183823849042E-2</v>
      </c>
      <c r="AO107" s="76">
        <f t="shared" si="609"/>
        <v>-4.5352840570747725E-3</v>
      </c>
      <c r="AP107" s="76">
        <f t="shared" si="609"/>
        <v>-1.2390246437487188E-2</v>
      </c>
      <c r="AQ107" s="76">
        <f t="shared" si="609"/>
        <v>-2.1836621897735168E-2</v>
      </c>
      <c r="AR107" s="76">
        <f t="shared" si="609"/>
        <v>-3.9406124063108734E-2</v>
      </c>
      <c r="AS107" s="76">
        <f t="shared" si="609"/>
        <v>-5.9988655935347655E-2</v>
      </c>
      <c r="AT107" s="76">
        <f t="shared" si="609"/>
        <v>-4.9905296427333615E-2</v>
      </c>
      <c r="AU107" s="76">
        <f t="shared" si="609"/>
        <v>-3.5768101031889744E-2</v>
      </c>
      <c r="AV107" s="76">
        <f t="shared" si="609"/>
        <v>-7.5007580581513605E-2</v>
      </c>
      <c r="AW107" s="76">
        <f t="shared" si="609"/>
        <v>-0.10130444832922959</v>
      </c>
      <c r="AX107" s="76">
        <f t="shared" si="609"/>
        <v>-0.12700206715419057</v>
      </c>
      <c r="AY107" s="76">
        <f t="shared" si="609"/>
        <v>-0.12716042884861678</v>
      </c>
      <c r="AZ107" s="76">
        <f t="shared" si="609"/>
        <v>-0.11132913339527292</v>
      </c>
      <c r="BA107" s="76">
        <f t="shared" si="609"/>
        <v>-0.13584081781846394</v>
      </c>
      <c r="BB107" s="76">
        <f t="shared" si="609"/>
        <v>-6.6849338417051554E-2</v>
      </c>
      <c r="BC107" s="76">
        <f t="shared" si="609"/>
        <v>-0.11501289374957643</v>
      </c>
      <c r="BD107" s="76">
        <f t="shared" si="609"/>
        <v>-0.16130539090107279</v>
      </c>
      <c r="BE107" s="76">
        <f t="shared" si="609"/>
        <v>-0.11437943722761473</v>
      </c>
      <c r="BF107" s="76">
        <f t="shared" si="609"/>
        <v>-8.1006173292281394E-2</v>
      </c>
      <c r="BG107" s="76">
        <f t="shared" si="609"/>
        <v>-4.033277710606565E-2</v>
      </c>
      <c r="BH107" s="76">
        <f t="shared" si="609"/>
        <v>-6.4133165239363021E-2</v>
      </c>
      <c r="BI107" s="76">
        <f t="shared" si="609"/>
        <v>-7.9295889879907253E-2</v>
      </c>
      <c r="BJ107" s="75">
        <f t="shared" si="609"/>
        <v>-3.9169113265341879E-2</v>
      </c>
      <c r="BK107" s="76">
        <f t="shared" si="609"/>
        <v>-1.0218720468078537E-2</v>
      </c>
      <c r="BL107" s="76">
        <f t="shared" si="609"/>
        <v>-1.6014883500326399E-2</v>
      </c>
      <c r="BM107" s="76">
        <f t="shared" si="609"/>
        <v>-1.2339961785725929E-2</v>
      </c>
      <c r="BN107" s="76">
        <f t="shared" si="609"/>
        <v>9.2261026519546829E-3</v>
      </c>
      <c r="BO107" s="76">
        <f t="shared" si="609"/>
        <v>6.7187688681605984E-5</v>
      </c>
      <c r="BP107" s="76">
        <f t="shared" si="609"/>
        <v>-2.0146881603996383E-2</v>
      </c>
      <c r="BQ107" s="76">
        <f t="shared" si="609"/>
        <v>-1.9541591590863522E-3</v>
      </c>
      <c r="BR107" s="76">
        <f t="shared" si="609"/>
        <v>-8.4898138124231502E-4</v>
      </c>
      <c r="BS107" s="76">
        <f t="shared" si="609"/>
        <v>-4.1136695033092058E-2</v>
      </c>
      <c r="BT107" s="76">
        <f t="shared" si="609"/>
        <v>-9.0056490024721755E-2</v>
      </c>
      <c r="BU107" s="76">
        <f t="shared" si="609"/>
        <v>-1.4651291207110602E-3</v>
      </c>
      <c r="BV107" s="76">
        <f t="shared" si="609"/>
        <v>1.347718700857352E-2</v>
      </c>
      <c r="BW107" s="76">
        <f t="shared" si="609"/>
        <v>3.8301260429297122E-2</v>
      </c>
      <c r="BX107" s="76">
        <f t="shared" si="609"/>
        <v>4.4599093194685503E-2</v>
      </c>
      <c r="BY107" s="76">
        <f t="shared" si="609"/>
        <v>3.9705049384359113E-2</v>
      </c>
      <c r="BZ107" s="76">
        <f t="shared" si="609"/>
        <v>-1.028032866874677E-3</v>
      </c>
      <c r="CA107" s="76">
        <f t="shared" si="609"/>
        <v>1.4779937583831834E-2</v>
      </c>
      <c r="CB107" s="76">
        <f t="shared" si="609"/>
        <v>3.8751421175157435E-3</v>
      </c>
      <c r="CC107" s="76">
        <f t="shared" si="609"/>
        <v>2.162727041156353E-2</v>
      </c>
      <c r="CD107" s="76">
        <f t="shared" si="609"/>
        <v>2.4437621851168732E-2</v>
      </c>
      <c r="CE107" s="76">
        <f t="shared" si="609"/>
        <v>1.9163997824982761E-2</v>
      </c>
      <c r="CF107" s="76">
        <f t="shared" si="609"/>
        <v>2.0104853863558175E-2</v>
      </c>
      <c r="CG107" s="76">
        <f t="shared" si="609"/>
        <v>3.8133322178717073E-2</v>
      </c>
      <c r="CH107" s="76">
        <f t="shared" si="609"/>
        <v>9.1735195805883844E-3</v>
      </c>
      <c r="CI107" s="76">
        <f t="shared" si="609"/>
        <v>3.7768907613075088E-2</v>
      </c>
      <c r="CJ107" s="76">
        <f t="shared" si="609"/>
        <v>3.6956114389232922E-2</v>
      </c>
      <c r="CK107" s="76">
        <f t="shared" si="609"/>
        <v>3.6243527680664016E-2</v>
      </c>
      <c r="CL107" s="76">
        <f t="shared" si="609"/>
        <v>2.9265728394906564E-2</v>
      </c>
      <c r="CM107" s="76">
        <f t="shared" si="609"/>
        <v>3.7967674045737101E-2</v>
      </c>
      <c r="CN107" s="76">
        <f t="shared" si="609"/>
        <v>1.4493035556857749E-2</v>
      </c>
      <c r="CO107" s="76">
        <f t="shared" si="609"/>
        <v>4.1406160145312787E-2</v>
      </c>
      <c r="CP107" s="76">
        <f t="shared" si="609"/>
        <v>3.2556809868769541E-2</v>
      </c>
      <c r="CQ107" s="76">
        <f t="shared" si="609"/>
        <v>9.2965195913013113E-3</v>
      </c>
      <c r="CR107" s="76">
        <f t="shared" si="609"/>
        <v>2.385714064016168E-2</v>
      </c>
      <c r="CS107" s="76">
        <f t="shared" si="609"/>
        <v>4.3468624295088111E-2</v>
      </c>
      <c r="CT107" s="76">
        <f t="shared" ref="CT107:DR107" si="610">IFERROR(CT106/CT32,0)</f>
        <v>4.8693476734130513E-2</v>
      </c>
      <c r="CU107" s="76">
        <f t="shared" si="610"/>
        <v>3.2782035920807411E-2</v>
      </c>
      <c r="CV107" s="76">
        <f t="shared" si="610"/>
        <v>3.3804137769735718E-2</v>
      </c>
      <c r="CW107" s="76">
        <f t="shared" si="610"/>
        <v>3.1979266464585869E-2</v>
      </c>
      <c r="CX107" s="76">
        <f t="shared" si="610"/>
        <v>3.2007745266795742E-2</v>
      </c>
      <c r="CY107" s="76">
        <f t="shared" si="610"/>
        <v>2.9754275483204692E-2</v>
      </c>
      <c r="CZ107" s="76">
        <f t="shared" si="610"/>
        <v>2.5056539195541683E-2</v>
      </c>
      <c r="DA107" s="76">
        <f t="shared" si="610"/>
        <v>3.0388342947805184E-2</v>
      </c>
      <c r="DB107" s="76">
        <f t="shared" si="610"/>
        <v>3.6442860903654527E-2</v>
      </c>
      <c r="DC107" s="76">
        <f t="shared" si="610"/>
        <v>3.9044755327596672E-2</v>
      </c>
      <c r="DD107" s="76">
        <f t="shared" si="610"/>
        <v>3.7476814659100445E-2</v>
      </c>
      <c r="DE107" s="76">
        <f t="shared" si="610"/>
        <v>3.685639229554033E-2</v>
      </c>
      <c r="DF107" s="76">
        <f t="shared" si="610"/>
        <v>3.58555204850479E-2</v>
      </c>
      <c r="DG107" s="76">
        <f t="shared" si="610"/>
        <v>4.5100815110651879E-2</v>
      </c>
      <c r="DH107" s="76">
        <f t="shared" si="610"/>
        <v>4.5990465988824274E-2</v>
      </c>
      <c r="DI107" s="76">
        <f t="shared" si="610"/>
        <v>4.4398538718440683E-2</v>
      </c>
      <c r="DJ107" s="76">
        <f t="shared" si="610"/>
        <v>4.4423866196332512E-2</v>
      </c>
      <c r="DK107" s="76">
        <f t="shared" si="610"/>
        <v>4.2461506773238081E-2</v>
      </c>
      <c r="DL107" s="76">
        <f t="shared" si="610"/>
        <v>3.8372883722888558E-2</v>
      </c>
      <c r="DM107" s="76">
        <f t="shared" si="610"/>
        <v>4.3013428986703947E-2</v>
      </c>
      <c r="DN107" s="76">
        <f t="shared" si="610"/>
        <v>4.8285489815142725E-2</v>
      </c>
      <c r="DO107" s="76">
        <f t="shared" si="610"/>
        <v>5.0550546658091139E-2</v>
      </c>
      <c r="DP107" s="76">
        <f t="shared" si="610"/>
        <v>4.9184471963598778E-2</v>
      </c>
      <c r="DQ107" s="76">
        <f t="shared" si="610"/>
        <v>4.8644010863685402E-2</v>
      </c>
      <c r="DR107" s="78">
        <f t="shared" si="610"/>
        <v>4.7772173519963115E-2</v>
      </c>
      <c r="DS107" s="78">
        <f t="shared" ref="DS107:ED107" si="611">IFERROR(DS106/DS32,0)</f>
        <v>5.5882434998610467E-2</v>
      </c>
      <c r="DT107" s="78">
        <f t="shared" si="611"/>
        <v>5.6690262355675647E-2</v>
      </c>
      <c r="DU107" s="78">
        <f t="shared" si="611"/>
        <v>5.5241814219096491E-2</v>
      </c>
      <c r="DV107" s="78">
        <f t="shared" si="611"/>
        <v>5.5265259803066291E-2</v>
      </c>
      <c r="DW107" s="78">
        <f t="shared" si="611"/>
        <v>5.3482628578969793E-2</v>
      </c>
      <c r="DX107" s="78">
        <f t="shared" si="611"/>
        <v>4.9770336043914419E-2</v>
      </c>
      <c r="DY107" s="78">
        <f t="shared" si="611"/>
        <v>5.3983806958898754E-2</v>
      </c>
      <c r="DZ107" s="78">
        <f t="shared" si="611"/>
        <v>5.8772749661704676E-2</v>
      </c>
      <c r="EA107" s="78">
        <f t="shared" si="611"/>
        <v>6.0829760334994175E-2</v>
      </c>
      <c r="EB107" s="78">
        <f t="shared" si="611"/>
        <v>5.9588232618633018E-2</v>
      </c>
      <c r="EC107" s="78">
        <f t="shared" si="611"/>
        <v>5.9097116128674465E-2</v>
      </c>
      <c r="ED107" s="78">
        <f t="shared" si="611"/>
        <v>5.8304911639154966E-2</v>
      </c>
      <c r="EE107" s="39" t="s">
        <v>1</v>
      </c>
      <c r="EF107" s="79"/>
      <c r="EG107" s="627">
        <f t="shared" si="609"/>
        <v>-1.2923678139811273E-2</v>
      </c>
      <c r="EH107" s="627">
        <f t="shared" si="609"/>
        <v>-3.694216092820527E-3</v>
      </c>
      <c r="EI107" s="627">
        <f t="shared" si="609"/>
        <v>-1.4580607230149423E-2</v>
      </c>
      <c r="EJ107" s="627">
        <f t="shared" si="609"/>
        <v>-2.4616886014061798E-2</v>
      </c>
      <c r="EK107" s="627">
        <f t="shared" si="609"/>
        <v>4.0916843124081781E-2</v>
      </c>
      <c r="EL107" s="627">
        <f t="shared" si="609"/>
        <v>5.8798348779391246E-3</v>
      </c>
      <c r="EM107" s="627">
        <f t="shared" si="609"/>
        <v>2.1629600115762988E-2</v>
      </c>
      <c r="EN107" s="627">
        <f t="shared" si="609"/>
        <v>2.1514701529707143E-2</v>
      </c>
      <c r="EO107" s="627">
        <f t="shared" si="609"/>
        <v>3.6998062553357879E-2</v>
      </c>
      <c r="EP107" s="627">
        <f t="shared" si="609"/>
        <v>2.7948207922527526E-2</v>
      </c>
      <c r="EQ107" s="627">
        <f t="shared" si="609"/>
        <v>2.570466679889134E-2</v>
      </c>
      <c r="ER107" s="627">
        <f t="shared" si="609"/>
        <v>3.8102090345600956E-2</v>
      </c>
      <c r="ES107" s="627">
        <f t="shared" ref="ES107:EZ107" si="612">IFERROR(ES106/ES32,0)</f>
        <v>3.2874299708068468E-2</v>
      </c>
      <c r="ET107" s="627">
        <f t="shared" si="612"/>
        <v>2.9186685178409149E-2</v>
      </c>
      <c r="EU107" s="627">
        <f t="shared" si="612"/>
        <v>3.5761809051719225E-2</v>
      </c>
      <c r="EV107" s="627">
        <f t="shared" si="612"/>
        <v>3.6747189503327282E-2</v>
      </c>
      <c r="EW107" s="627">
        <f t="shared" si="612"/>
        <v>4.5179979148289702E-2</v>
      </c>
      <c r="EX107" s="627">
        <f t="shared" si="612"/>
        <v>4.196790370915518E-2</v>
      </c>
      <c r="EY107" s="627">
        <f t="shared" si="612"/>
        <v>4.7692232250819068E-2</v>
      </c>
      <c r="EZ107" s="627">
        <f t="shared" si="612"/>
        <v>4.8548895260305591E-2</v>
      </c>
      <c r="FA107" s="627">
        <f t="shared" ref="FA107:FD107" si="613">IFERROR(FA106/FA32,0)</f>
        <v>5.5953368855004237E-2</v>
      </c>
      <c r="FB107" s="627">
        <f t="shared" si="613"/>
        <v>5.3034784561060193E-2</v>
      </c>
      <c r="FC107" s="627">
        <f t="shared" si="613"/>
        <v>5.8233672812806059E-2</v>
      </c>
      <c r="FD107" s="627">
        <f t="shared" si="613"/>
        <v>5.9010695383008419E-2</v>
      </c>
      <c r="FG107" s="80">
        <f t="shared" ref="FG107:FJ107" si="614">IFERROR(FG106/FG32,0)</f>
        <v>2.2865282728867186E-2</v>
      </c>
      <c r="FH107" s="76">
        <f t="shared" si="614"/>
        <v>3.2620327382440209E-2</v>
      </c>
      <c r="FI107" s="76">
        <f t="shared" si="614"/>
        <v>3.3936111312254574E-2</v>
      </c>
      <c r="FJ107" s="78">
        <f t="shared" si="614"/>
        <v>4.610282624487165E-2</v>
      </c>
      <c r="FK107" s="78">
        <f t="shared" ref="FK107" si="615">IFERROR(FK106/FK32,0)</f>
        <v>5.6790204009877672E-2</v>
      </c>
    </row>
    <row r="108" spans="2:167" ht="15.75" customHeight="1" x14ac:dyDescent="0.2">
      <c r="B108" s="48"/>
      <c r="C108" s="75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9"/>
      <c r="AD108" s="76"/>
      <c r="AE108" s="76"/>
      <c r="AF108" s="76"/>
      <c r="AG108" s="76"/>
      <c r="AH108" s="76"/>
      <c r="AI108" s="76"/>
      <c r="AJ108" s="76"/>
      <c r="AK108" s="79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5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  <c r="CS108" s="76"/>
      <c r="CT108" s="76"/>
      <c r="CU108" s="76"/>
      <c r="CV108" s="76"/>
      <c r="CW108" s="76"/>
      <c r="CX108" s="76"/>
      <c r="CY108" s="76"/>
      <c r="CZ108" s="76"/>
      <c r="DA108" s="76"/>
      <c r="DB108" s="76"/>
      <c r="DC108" s="76"/>
      <c r="DD108" s="76"/>
      <c r="DE108" s="76"/>
      <c r="DF108" s="76"/>
      <c r="DG108" s="76"/>
      <c r="DH108" s="76"/>
      <c r="DI108" s="76"/>
      <c r="DJ108" s="76"/>
      <c r="DK108" s="76"/>
      <c r="DL108" s="76"/>
      <c r="DM108" s="76"/>
      <c r="DN108" s="76"/>
      <c r="DO108" s="76"/>
      <c r="DP108" s="76"/>
      <c r="DQ108" s="76"/>
      <c r="DR108" s="78"/>
      <c r="DS108" s="78"/>
      <c r="DT108" s="78"/>
      <c r="DU108" s="78"/>
      <c r="DV108" s="78"/>
      <c r="DW108" s="78"/>
      <c r="DX108" s="78"/>
      <c r="DY108" s="78"/>
      <c r="DZ108" s="78"/>
      <c r="EA108" s="78"/>
      <c r="EB108" s="78"/>
      <c r="EC108" s="78"/>
      <c r="ED108" s="78"/>
      <c r="EE108" s="39" t="s">
        <v>1</v>
      </c>
      <c r="EF108" s="79"/>
      <c r="EG108" s="627"/>
      <c r="EH108" s="627"/>
      <c r="EI108" s="627"/>
      <c r="EJ108" s="627"/>
      <c r="EK108" s="627"/>
      <c r="EL108" s="627"/>
      <c r="EM108" s="627"/>
      <c r="EN108" s="627"/>
      <c r="EO108" s="627"/>
      <c r="EP108" s="627"/>
      <c r="EQ108" s="627"/>
      <c r="ER108" s="627"/>
      <c r="ES108" s="627"/>
      <c r="ET108" s="627"/>
      <c r="EU108" s="627"/>
      <c r="EV108" s="627"/>
      <c r="EW108" s="627"/>
      <c r="EX108" s="627"/>
      <c r="EY108" s="627"/>
      <c r="EZ108" s="627"/>
      <c r="FA108" s="627"/>
      <c r="FB108" s="627"/>
      <c r="FC108" s="627"/>
      <c r="FD108" s="627"/>
      <c r="FG108" s="80"/>
      <c r="FH108" s="76"/>
      <c r="FI108" s="76"/>
      <c r="FJ108" s="78"/>
      <c r="FK108" s="106"/>
    </row>
    <row r="109" spans="2:167" ht="15.75" customHeight="1" x14ac:dyDescent="0.2">
      <c r="B109" s="56" t="s">
        <v>60</v>
      </c>
      <c r="C109" s="61">
        <v>0</v>
      </c>
      <c r="D109" s="62">
        <v>0</v>
      </c>
      <c r="E109" s="62">
        <v>0</v>
      </c>
      <c r="F109" s="62">
        <v>0</v>
      </c>
      <c r="G109" s="62">
        <v>0</v>
      </c>
      <c r="H109" s="62">
        <v>0</v>
      </c>
      <c r="I109" s="62">
        <v>0</v>
      </c>
      <c r="J109" s="62">
        <v>0</v>
      </c>
      <c r="K109" s="62">
        <v>0</v>
      </c>
      <c r="L109" s="62">
        <v>0</v>
      </c>
      <c r="M109" s="62">
        <v>0</v>
      </c>
      <c r="N109" s="62">
        <v>0</v>
      </c>
      <c r="O109" s="62">
        <v>0</v>
      </c>
      <c r="P109" s="62">
        <v>0</v>
      </c>
      <c r="Q109" s="62">
        <v>0</v>
      </c>
      <c r="R109" s="62">
        <v>0</v>
      </c>
      <c r="S109" s="62">
        <v>0</v>
      </c>
      <c r="T109" s="62">
        <v>0</v>
      </c>
      <c r="U109" s="62">
        <v>0</v>
      </c>
      <c r="V109" s="62">
        <v>0</v>
      </c>
      <c r="W109" s="62">
        <v>0</v>
      </c>
      <c r="X109" s="62">
        <v>0</v>
      </c>
      <c r="Y109" s="62">
        <v>0</v>
      </c>
      <c r="Z109" s="62">
        <v>0</v>
      </c>
      <c r="AA109" s="62">
        <v>0</v>
      </c>
      <c r="AB109" s="62">
        <v>0</v>
      </c>
      <c r="AC109" s="614">
        <v>0</v>
      </c>
      <c r="AD109" s="62">
        <v>0</v>
      </c>
      <c r="AE109" s="62">
        <v>0</v>
      </c>
      <c r="AF109" s="62">
        <v>0</v>
      </c>
      <c r="AG109" s="62">
        <v>0</v>
      </c>
      <c r="AH109" s="62">
        <v>0</v>
      </c>
      <c r="AI109" s="62">
        <v>0</v>
      </c>
      <c r="AJ109" s="62">
        <v>0</v>
      </c>
      <c r="AK109" s="614">
        <v>0</v>
      </c>
      <c r="AL109" s="62">
        <v>0</v>
      </c>
      <c r="AM109" s="62">
        <v>0</v>
      </c>
      <c r="AN109" s="62">
        <v>0</v>
      </c>
      <c r="AO109" s="62">
        <v>0</v>
      </c>
      <c r="AP109" s="62">
        <v>0</v>
      </c>
      <c r="AQ109" s="62">
        <v>0</v>
      </c>
      <c r="AR109" s="62">
        <v>0</v>
      </c>
      <c r="AS109" s="62">
        <v>0</v>
      </c>
      <c r="AT109" s="62">
        <v>0</v>
      </c>
      <c r="AU109" s="62">
        <v>0</v>
      </c>
      <c r="AV109" s="62">
        <v>0</v>
      </c>
      <c r="AW109" s="62">
        <v>0</v>
      </c>
      <c r="AX109" s="62">
        <v>0</v>
      </c>
      <c r="AY109" s="62">
        <v>0</v>
      </c>
      <c r="AZ109" s="62">
        <v>0</v>
      </c>
      <c r="BA109" s="62">
        <v>0</v>
      </c>
      <c r="BB109" s="62">
        <v>0</v>
      </c>
      <c r="BC109" s="62">
        <v>0</v>
      </c>
      <c r="BD109" s="62">
        <v>0</v>
      </c>
      <c r="BE109" s="62">
        <v>0</v>
      </c>
      <c r="BF109" s="62">
        <v>0</v>
      </c>
      <c r="BG109" s="62">
        <v>0</v>
      </c>
      <c r="BH109" s="62">
        <v>0</v>
      </c>
      <c r="BI109" s="62">
        <v>0</v>
      </c>
      <c r="BJ109" s="61">
        <v>0</v>
      </c>
      <c r="BK109" s="62">
        <f t="shared" ref="BK109:EQ109" si="616">BK110+BK111</f>
        <v>3065464.4640198471</v>
      </c>
      <c r="BL109" s="62">
        <f t="shared" si="616"/>
        <v>3107256.5105091059</v>
      </c>
      <c r="BM109" s="62">
        <f t="shared" si="616"/>
        <v>3076564.4508836716</v>
      </c>
      <c r="BN109" s="62">
        <f t="shared" si="616"/>
        <v>3038324.801206368</v>
      </c>
      <c r="BO109" s="62">
        <f t="shared" si="616"/>
        <v>3019629.4353246326</v>
      </c>
      <c r="BP109" s="62">
        <f t="shared" si="616"/>
        <v>3093482.8838247196</v>
      </c>
      <c r="BQ109" s="62">
        <f t="shared" si="616"/>
        <v>3254415.5737470794</v>
      </c>
      <c r="BR109" s="62">
        <f t="shared" si="616"/>
        <v>3094554.4088653852</v>
      </c>
      <c r="BS109" s="62">
        <f t="shared" si="616"/>
        <v>2917374.5199620565</v>
      </c>
      <c r="BT109" s="62">
        <f t="shared" si="616"/>
        <v>2782202.2349686725</v>
      </c>
      <c r="BU109" s="62">
        <f t="shared" si="616"/>
        <v>2629615.9607925504</v>
      </c>
      <c r="BV109" s="62">
        <f t="shared" si="616"/>
        <v>2848293.5641931333</v>
      </c>
      <c r="BW109" s="62">
        <f t="shared" si="616"/>
        <v>3010945.8167371806</v>
      </c>
      <c r="BX109" s="62">
        <f t="shared" si="616"/>
        <v>3076484.1752724354</v>
      </c>
      <c r="BY109" s="62">
        <f t="shared" si="616"/>
        <v>3109969.6301128268</v>
      </c>
      <c r="BZ109" s="62">
        <f t="shared" si="616"/>
        <v>3105900.8458301267</v>
      </c>
      <c r="CA109" s="62">
        <f t="shared" si="616"/>
        <v>3135617.3969615381</v>
      </c>
      <c r="CB109" s="62">
        <f t="shared" si="616"/>
        <v>3103019.0749615384</v>
      </c>
      <c r="CC109" s="62">
        <f t="shared" si="616"/>
        <v>3426768.1637114324</v>
      </c>
      <c r="CD109" s="62">
        <f t="shared" si="616"/>
        <v>3258686.75149359</v>
      </c>
      <c r="CE109" s="62">
        <f t="shared" si="616"/>
        <v>3376046.5980723742</v>
      </c>
      <c r="CF109" s="62">
        <f t="shared" si="616"/>
        <v>3394080.2099949317</v>
      </c>
      <c r="CG109" s="62">
        <f t="shared" si="616"/>
        <v>3275990.5314267408</v>
      </c>
      <c r="CH109" s="62">
        <f t="shared" si="616"/>
        <v>3610048.5554200779</v>
      </c>
      <c r="CI109" s="62">
        <f t="shared" si="616"/>
        <v>6562581.0852434617</v>
      </c>
      <c r="CJ109" s="62">
        <f t="shared" si="616"/>
        <v>9024240.1800612416</v>
      </c>
      <c r="CK109" s="62">
        <f t="shared" si="616"/>
        <v>9073954.1592340395</v>
      </c>
      <c r="CL109" s="62">
        <f t="shared" si="616"/>
        <v>9012150.4951320197</v>
      </c>
      <c r="CM109" s="62">
        <f t="shared" si="616"/>
        <v>8986317.5189645831</v>
      </c>
      <c r="CN109" s="62">
        <f t="shared" si="616"/>
        <v>9262556.1493976153</v>
      </c>
      <c r="CO109" s="62">
        <f t="shared" si="616"/>
        <v>9900408.0835492089</v>
      </c>
      <c r="CP109" s="62">
        <f t="shared" si="616"/>
        <v>9262385.8848317768</v>
      </c>
      <c r="CQ109" s="62">
        <f t="shared" si="616"/>
        <v>9329230.5776555724</v>
      </c>
      <c r="CR109" s="62">
        <f t="shared" si="616"/>
        <v>9800720.0475477111</v>
      </c>
      <c r="CS109" s="62">
        <f t="shared" si="616"/>
        <v>9603986.6414748896</v>
      </c>
      <c r="CT109" s="62">
        <f t="shared" si="616"/>
        <v>10062034.749782788</v>
      </c>
      <c r="CU109" s="62">
        <f t="shared" si="616"/>
        <v>10565136.487271927</v>
      </c>
      <c r="CV109" s="62">
        <f t="shared" si="616"/>
        <v>10565136.487271927</v>
      </c>
      <c r="CW109" s="62">
        <f t="shared" si="616"/>
        <v>10565136.487271927</v>
      </c>
      <c r="CX109" s="62">
        <f t="shared" si="616"/>
        <v>10565136.487271927</v>
      </c>
      <c r="CY109" s="62">
        <f t="shared" si="616"/>
        <v>10565136.487271927</v>
      </c>
      <c r="CZ109" s="62">
        <f t="shared" si="616"/>
        <v>10565136.487271927</v>
      </c>
      <c r="DA109" s="62">
        <f t="shared" si="616"/>
        <v>10565136.487271927</v>
      </c>
      <c r="DB109" s="62">
        <f t="shared" si="616"/>
        <v>10565136.487271927</v>
      </c>
      <c r="DC109" s="62">
        <f t="shared" si="616"/>
        <v>10565136.487271927</v>
      </c>
      <c r="DD109" s="62">
        <f t="shared" si="616"/>
        <v>10565136.487271927</v>
      </c>
      <c r="DE109" s="62">
        <f t="shared" si="616"/>
        <v>10565136.487271927</v>
      </c>
      <c r="DF109" s="62">
        <f t="shared" si="616"/>
        <v>10565136.487271927</v>
      </c>
      <c r="DG109" s="62">
        <f t="shared" si="616"/>
        <v>11093393.311635526</v>
      </c>
      <c r="DH109" s="62">
        <f t="shared" si="616"/>
        <v>11093393.311635526</v>
      </c>
      <c r="DI109" s="62">
        <f t="shared" si="616"/>
        <v>11093393.311635526</v>
      </c>
      <c r="DJ109" s="62">
        <f t="shared" si="616"/>
        <v>11093393.311635526</v>
      </c>
      <c r="DK109" s="62">
        <f t="shared" si="616"/>
        <v>11093393.311635526</v>
      </c>
      <c r="DL109" s="62">
        <f t="shared" si="616"/>
        <v>11093393.311635526</v>
      </c>
      <c r="DM109" s="62">
        <f t="shared" si="616"/>
        <v>11093393.311635526</v>
      </c>
      <c r="DN109" s="62">
        <f t="shared" si="616"/>
        <v>11093393.311635526</v>
      </c>
      <c r="DO109" s="62">
        <f t="shared" si="616"/>
        <v>11093393.311635526</v>
      </c>
      <c r="DP109" s="62">
        <f t="shared" si="616"/>
        <v>11093393.311635526</v>
      </c>
      <c r="DQ109" s="62">
        <f t="shared" si="616"/>
        <v>11093393.311635526</v>
      </c>
      <c r="DR109" s="63">
        <f t="shared" si="616"/>
        <v>11093393.311635526</v>
      </c>
      <c r="DS109" s="63">
        <f t="shared" ref="DS109:ED109" si="617">DS110+DS111</f>
        <v>11648062.977217302</v>
      </c>
      <c r="DT109" s="63">
        <f t="shared" si="617"/>
        <v>11648062.977217302</v>
      </c>
      <c r="DU109" s="63">
        <f t="shared" si="617"/>
        <v>11648062.977217302</v>
      </c>
      <c r="DV109" s="63">
        <f t="shared" si="617"/>
        <v>11648062.977217302</v>
      </c>
      <c r="DW109" s="63">
        <f t="shared" si="617"/>
        <v>11648062.977217302</v>
      </c>
      <c r="DX109" s="63">
        <f t="shared" si="617"/>
        <v>11648062.977217302</v>
      </c>
      <c r="DY109" s="63">
        <f t="shared" si="617"/>
        <v>11648062.977217302</v>
      </c>
      <c r="DZ109" s="63">
        <f t="shared" si="617"/>
        <v>11648062.977217302</v>
      </c>
      <c r="EA109" s="63">
        <f t="shared" si="617"/>
        <v>11648062.977217302</v>
      </c>
      <c r="EB109" s="63">
        <f t="shared" si="617"/>
        <v>11648062.977217302</v>
      </c>
      <c r="EC109" s="63">
        <f t="shared" si="617"/>
        <v>11648062.977217302</v>
      </c>
      <c r="ED109" s="63">
        <f t="shared" si="617"/>
        <v>11648062.977217302</v>
      </c>
      <c r="EE109" s="39" t="s">
        <v>1</v>
      </c>
      <c r="EF109" s="64"/>
      <c r="EG109" s="625">
        <f t="shared" si="616"/>
        <v>9249285.4254126251</v>
      </c>
      <c r="EH109" s="625">
        <f t="shared" si="616"/>
        <v>9151437.1203557216</v>
      </c>
      <c r="EI109" s="625">
        <f t="shared" si="616"/>
        <v>9266344.502574522</v>
      </c>
      <c r="EJ109" s="625">
        <f t="shared" si="616"/>
        <v>8260111.7599543566</v>
      </c>
      <c r="EK109" s="625">
        <f t="shared" si="616"/>
        <v>9197399.6221224423</v>
      </c>
      <c r="EL109" s="625">
        <f t="shared" si="616"/>
        <v>9344537.3177532032</v>
      </c>
      <c r="EM109" s="625">
        <f t="shared" si="616"/>
        <v>10061501.513277397</v>
      </c>
      <c r="EN109" s="625">
        <f t="shared" si="616"/>
        <v>10280119.296841752</v>
      </c>
      <c r="EO109" s="625">
        <f t="shared" si="616"/>
        <v>24660775.424538739</v>
      </c>
      <c r="EP109" s="625">
        <f t="shared" si="616"/>
        <v>27261024.163494222</v>
      </c>
      <c r="EQ109" s="625">
        <f t="shared" si="616"/>
        <v>28492024.546036556</v>
      </c>
      <c r="ER109" s="625">
        <f t="shared" ref="ER109:FD109" si="618">ER110+ER111</f>
        <v>29466741.438805386</v>
      </c>
      <c r="ES109" s="625">
        <f t="shared" si="618"/>
        <v>31695409.461815782</v>
      </c>
      <c r="ET109" s="625">
        <f t="shared" si="618"/>
        <v>31695409.461815782</v>
      </c>
      <c r="EU109" s="625">
        <f t="shared" si="618"/>
        <v>31695409.461815782</v>
      </c>
      <c r="EV109" s="625">
        <f t="shared" si="618"/>
        <v>31695409.461815782</v>
      </c>
      <c r="EW109" s="625">
        <f t="shared" si="618"/>
        <v>33280179.934906572</v>
      </c>
      <c r="EX109" s="625">
        <f t="shared" si="618"/>
        <v>33280179.934906572</v>
      </c>
      <c r="EY109" s="625">
        <f t="shared" si="618"/>
        <v>33280179.934906572</v>
      </c>
      <c r="EZ109" s="625">
        <f t="shared" si="618"/>
        <v>33280179.934906572</v>
      </c>
      <c r="FA109" s="625">
        <f t="shared" si="618"/>
        <v>34944188.931651905</v>
      </c>
      <c r="FB109" s="625">
        <f t="shared" si="618"/>
        <v>34944188.931651905</v>
      </c>
      <c r="FC109" s="625">
        <f t="shared" si="618"/>
        <v>34944188.931651905</v>
      </c>
      <c r="FD109" s="625">
        <f t="shared" si="618"/>
        <v>34944188.931651905</v>
      </c>
      <c r="FG109" s="65">
        <f t="shared" ref="FG109:FK109" si="619">FG110+FG111</f>
        <v>38883557.749994792</v>
      </c>
      <c r="FH109" s="62">
        <f t="shared" si="619"/>
        <v>109880565.5728749</v>
      </c>
      <c r="FI109" s="62">
        <f t="shared" si="619"/>
        <v>126781637.84726313</v>
      </c>
      <c r="FJ109" s="63">
        <f t="shared" si="619"/>
        <v>133120719.73962629</v>
      </c>
      <c r="FK109" s="63">
        <f t="shared" si="619"/>
        <v>139776755.72660762</v>
      </c>
    </row>
    <row r="110" spans="2:167" ht="15.75" customHeight="1" x14ac:dyDescent="0.2">
      <c r="B110" s="49" t="s">
        <v>61</v>
      </c>
      <c r="C110" s="67">
        <f>'P&amp;L - Inputs'!B141</f>
        <v>0</v>
      </c>
      <c r="D110" s="67">
        <f>'P&amp;L - Inputs'!C141</f>
        <v>0</v>
      </c>
      <c r="E110" s="67">
        <f>'P&amp;L - Inputs'!D141</f>
        <v>0</v>
      </c>
      <c r="F110" s="67">
        <f>'P&amp;L - Inputs'!E141</f>
        <v>0</v>
      </c>
      <c r="G110" s="67">
        <f>'P&amp;L - Inputs'!F141</f>
        <v>0</v>
      </c>
      <c r="H110" s="67">
        <f>'P&amp;L - Inputs'!G141</f>
        <v>0</v>
      </c>
      <c r="I110" s="67">
        <f>'P&amp;L - Inputs'!H141</f>
        <v>0</v>
      </c>
      <c r="J110" s="67">
        <f>'P&amp;L - Inputs'!I141</f>
        <v>0</v>
      </c>
      <c r="K110" s="67">
        <f>'P&amp;L - Inputs'!J141</f>
        <v>0</v>
      </c>
      <c r="L110" s="67">
        <f>'P&amp;L - Inputs'!K141</f>
        <v>0</v>
      </c>
      <c r="M110" s="67">
        <f>'P&amp;L - Inputs'!L141</f>
        <v>0</v>
      </c>
      <c r="N110" s="67">
        <f>'P&amp;L - Inputs'!M141</f>
        <v>0</v>
      </c>
      <c r="O110" s="67">
        <f>'P&amp;L - Inputs'!N141</f>
        <v>0</v>
      </c>
      <c r="P110" s="67">
        <f>'P&amp;L - Inputs'!O141</f>
        <v>0</v>
      </c>
      <c r="Q110" s="67">
        <f>'P&amp;L - Inputs'!P141</f>
        <v>0</v>
      </c>
      <c r="R110" s="67">
        <f>'P&amp;L - Inputs'!Q141</f>
        <v>0</v>
      </c>
      <c r="S110" s="67">
        <f>'P&amp;L - Inputs'!R141</f>
        <v>0</v>
      </c>
      <c r="T110" s="67">
        <f>'P&amp;L - Inputs'!S141</f>
        <v>0</v>
      </c>
      <c r="U110" s="67">
        <f>'P&amp;L - Inputs'!T141</f>
        <v>0</v>
      </c>
      <c r="V110" s="67">
        <f>'P&amp;L - Inputs'!U141</f>
        <v>0</v>
      </c>
      <c r="W110" s="67">
        <f>'P&amp;L - Inputs'!V141</f>
        <v>0</v>
      </c>
      <c r="X110" s="67">
        <f>'P&amp;L - Inputs'!W141</f>
        <v>0</v>
      </c>
      <c r="Y110" s="67">
        <f>'P&amp;L - Inputs'!X141</f>
        <v>0</v>
      </c>
      <c r="Z110" s="67">
        <f>'P&amp;L - Inputs'!Y141</f>
        <v>0</v>
      </c>
      <c r="AA110" s="67">
        <f>'P&amp;L - Inputs'!Z141</f>
        <v>0</v>
      </c>
      <c r="AB110" s="67">
        <f>'P&amp;L - Inputs'!AA141</f>
        <v>0</v>
      </c>
      <c r="AC110" s="67">
        <f>'P&amp;L - Inputs'!AB141</f>
        <v>0</v>
      </c>
      <c r="AD110" s="67">
        <f>'P&amp;L - Inputs'!AC141</f>
        <v>0</v>
      </c>
      <c r="AE110" s="67">
        <f>'P&amp;L - Inputs'!AD141</f>
        <v>0</v>
      </c>
      <c r="AF110" s="67">
        <f>'P&amp;L - Inputs'!AE141</f>
        <v>0</v>
      </c>
      <c r="AG110" s="67">
        <f>'P&amp;L - Inputs'!AF141</f>
        <v>0</v>
      </c>
      <c r="AH110" s="67">
        <f>'P&amp;L - Inputs'!AG141</f>
        <v>0</v>
      </c>
      <c r="AI110" s="67">
        <f>'P&amp;L - Inputs'!AH141</f>
        <v>0</v>
      </c>
      <c r="AJ110" s="67">
        <f>'P&amp;L - Inputs'!AI141</f>
        <v>0</v>
      </c>
      <c r="AK110" s="67">
        <f>'P&amp;L - Inputs'!AJ141</f>
        <v>0</v>
      </c>
      <c r="AL110" s="67">
        <f>'P&amp;L - Inputs'!AK141</f>
        <v>0</v>
      </c>
      <c r="AM110" s="67">
        <f>'P&amp;L - Inputs'!AL141</f>
        <v>0</v>
      </c>
      <c r="AN110" s="67">
        <f>'P&amp;L - Inputs'!AM141</f>
        <v>0</v>
      </c>
      <c r="AO110" s="67">
        <f>'P&amp;L - Inputs'!AN141</f>
        <v>0</v>
      </c>
      <c r="AP110" s="67">
        <f>'P&amp;L - Inputs'!AO141</f>
        <v>0</v>
      </c>
      <c r="AQ110" s="67">
        <f>'P&amp;L - Inputs'!AP141</f>
        <v>0</v>
      </c>
      <c r="AR110" s="67">
        <f>'P&amp;L - Inputs'!AQ141</f>
        <v>0</v>
      </c>
      <c r="AS110" s="67">
        <f>'P&amp;L - Inputs'!AR141</f>
        <v>0</v>
      </c>
      <c r="AT110" s="67">
        <f>'P&amp;L - Inputs'!AS141</f>
        <v>0</v>
      </c>
      <c r="AU110" s="67">
        <f>'P&amp;L - Inputs'!AT141</f>
        <v>0</v>
      </c>
      <c r="AV110" s="67">
        <f>'P&amp;L - Inputs'!AU141</f>
        <v>0</v>
      </c>
      <c r="AW110" s="67">
        <f>'P&amp;L - Inputs'!AV141</f>
        <v>0</v>
      </c>
      <c r="AX110" s="67">
        <f>'P&amp;L - Inputs'!AW141</f>
        <v>0</v>
      </c>
      <c r="AY110" s="67">
        <f>'P&amp;L - Inputs'!AX141</f>
        <v>0</v>
      </c>
      <c r="AZ110" s="67">
        <f>'P&amp;L - Inputs'!AY141</f>
        <v>0</v>
      </c>
      <c r="BA110" s="67">
        <f>'P&amp;L - Inputs'!AZ141</f>
        <v>0</v>
      </c>
      <c r="BB110" s="67">
        <f>'P&amp;L - Inputs'!BA141</f>
        <v>0</v>
      </c>
      <c r="BC110" s="67">
        <f>'P&amp;L - Inputs'!BB141</f>
        <v>0</v>
      </c>
      <c r="BD110" s="67">
        <f>'P&amp;L - Inputs'!BC141</f>
        <v>0</v>
      </c>
      <c r="BE110" s="67">
        <f>'P&amp;L - Inputs'!BD141</f>
        <v>0</v>
      </c>
      <c r="BF110" s="67">
        <f>'P&amp;L - Inputs'!BE141</f>
        <v>0</v>
      </c>
      <c r="BG110" s="67">
        <f>'P&amp;L - Inputs'!BF141</f>
        <v>0</v>
      </c>
      <c r="BH110" s="67">
        <f>'P&amp;L - Inputs'!BG141</f>
        <v>0</v>
      </c>
      <c r="BI110" s="67">
        <f>'P&amp;L - Inputs'!BH141</f>
        <v>0</v>
      </c>
      <c r="BJ110" s="67">
        <f>'P&amp;L - Inputs'!BI141</f>
        <v>0</v>
      </c>
      <c r="BK110" s="67">
        <f>'P&amp;L - Inputs'!BJ141</f>
        <v>1632952.7973137989</v>
      </c>
      <c r="BL110" s="67">
        <f>'P&amp;L - Inputs'!BK141</f>
        <v>1642960.1243753664</v>
      </c>
      <c r="BM110" s="67">
        <f>'P&amp;L - Inputs'!BL141</f>
        <v>1638139.7881159917</v>
      </c>
      <c r="BN110" s="67">
        <f>'P&amp;L - Inputs'!BM141</f>
        <v>1621592.7416552932</v>
      </c>
      <c r="BO110" s="67">
        <f>'P&amp;L - Inputs'!BN141</f>
        <v>1613685.7655239713</v>
      </c>
      <c r="BP110" s="67">
        <f>'P&amp;L - Inputs'!BO141</f>
        <v>1665251.7859461007</v>
      </c>
      <c r="BQ110" s="67">
        <f>'P&amp;L - Inputs'!BP141</f>
        <v>1712389.8525128982</v>
      </c>
      <c r="BR110" s="67">
        <f>'P&amp;L - Inputs'!BQ141</f>
        <v>1541642.9843269233</v>
      </c>
      <c r="BS110" s="67">
        <f>'P&amp;L - Inputs'!BR141</f>
        <v>1481792.8404085001</v>
      </c>
      <c r="BT110" s="67">
        <f>'P&amp;L - Inputs'!BS141</f>
        <v>1365408.7166545698</v>
      </c>
      <c r="BU110" s="67">
        <f>'P&amp;L - Inputs'!BT141</f>
        <v>1302724.6237883503</v>
      </c>
      <c r="BV110" s="67">
        <f>'P&amp;L - Inputs'!BU141</f>
        <v>1369585.0624848001</v>
      </c>
      <c r="BW110" s="67">
        <f>'P&amp;L - Inputs'!BV141</f>
        <v>1358542.3124848001</v>
      </c>
      <c r="BX110" s="67">
        <f>'P&amp;L - Inputs'!BW141</f>
        <v>1480303.9075416664</v>
      </c>
      <c r="BY110" s="67">
        <f>'P&amp;L - Inputs'!BX141</f>
        <v>1508381.0021480832</v>
      </c>
      <c r="BZ110" s="67">
        <f>'P&amp;L - Inputs'!BY141</f>
        <v>1492209.6939166652</v>
      </c>
      <c r="CA110" s="67">
        <f>'P&amp;L - Inputs'!BZ141</f>
        <v>1489336.9496474359</v>
      </c>
      <c r="CB110" s="67">
        <f>'P&amp;L - Inputs'!CA141</f>
        <v>1511912.4321378199</v>
      </c>
      <c r="CC110" s="67">
        <f>'P&amp;L - Inputs'!CB141</f>
        <v>1532547.9710698901</v>
      </c>
      <c r="CD110" s="67">
        <f>'P&amp;L - Inputs'!CC141</f>
        <v>1538100.2793750002</v>
      </c>
      <c r="CE110" s="67">
        <f>'P&amp;L - Inputs'!CD141</f>
        <v>1650550.4726783501</v>
      </c>
      <c r="CF110" s="67">
        <f>'P&amp;L - Inputs'!CE141</f>
        <v>1574547.4301586002</v>
      </c>
      <c r="CG110" s="67">
        <f>'P&amp;L - Inputs'!CF141</f>
        <v>1525384.4992587001</v>
      </c>
      <c r="CH110" s="67">
        <f>'P&amp;L - Inputs'!CG141</f>
        <v>1659869.6862797753</v>
      </c>
      <c r="CI110" s="67">
        <f>'P&amp;L - Inputs'!CH141</f>
        <v>3125111.0539986533</v>
      </c>
      <c r="CJ110" s="67">
        <f>'P&amp;L - Inputs'!CI141</f>
        <v>3280248.3255498242</v>
      </c>
      <c r="CK110" s="67">
        <f>'P&amp;L - Inputs'!CJ141</f>
        <v>3249189.4762803861</v>
      </c>
      <c r="CL110" s="67">
        <f>'P&amp;L - Inputs'!CK141</f>
        <v>3213010.4889666345</v>
      </c>
      <c r="CM110" s="67">
        <f>'P&amp;L - Inputs'!CL141</f>
        <v>3284161.2144388766</v>
      </c>
      <c r="CN110" s="67">
        <f>'P&amp;L - Inputs'!CM141</f>
        <v>3262064.1863269228</v>
      </c>
      <c r="CO110" s="67">
        <f>'P&amp;L - Inputs'!CN141</f>
        <v>3530220.4897420923</v>
      </c>
      <c r="CP110" s="67">
        <f>'P&amp;L - Inputs'!CO141</f>
        <v>3345904.9254367766</v>
      </c>
      <c r="CQ110" s="67">
        <f>'P&amp;L - Inputs'!CP141</f>
        <v>3277462.5876161661</v>
      </c>
      <c r="CR110" s="67">
        <f>'P&amp;L - Inputs'!CQ141</f>
        <v>3587141.6980884052</v>
      </c>
      <c r="CS110" s="67">
        <f>'P&amp;L - Inputs'!CR141</f>
        <v>3571025.531009505</v>
      </c>
      <c r="CT110" s="67">
        <f>'P&amp;L - Inputs'!CS141</f>
        <v>3621963.9240625952</v>
      </c>
      <c r="CU110" s="67">
        <f>'P&amp;L - Inputs'!CT141</f>
        <v>3879456.6028834907</v>
      </c>
      <c r="CV110" s="67">
        <f>'P&amp;L - Inputs'!CU141</f>
        <v>3879456.6028834907</v>
      </c>
      <c r="CW110" s="67">
        <f>'P&amp;L - Inputs'!CV141</f>
        <v>3879456.6028834907</v>
      </c>
      <c r="CX110" s="67">
        <f>'P&amp;L - Inputs'!CW141</f>
        <v>3879456.6028834907</v>
      </c>
      <c r="CY110" s="67">
        <f>'P&amp;L - Inputs'!CX141</f>
        <v>3879456.6028834907</v>
      </c>
      <c r="CZ110" s="67">
        <f>'P&amp;L - Inputs'!CY141</f>
        <v>3879456.6028834907</v>
      </c>
      <c r="DA110" s="67">
        <f>'P&amp;L - Inputs'!CZ141</f>
        <v>3879456.6028834907</v>
      </c>
      <c r="DB110" s="67">
        <f>'P&amp;L - Inputs'!DA141</f>
        <v>3879456.6028834907</v>
      </c>
      <c r="DC110" s="67">
        <f>'P&amp;L - Inputs'!DB141</f>
        <v>3879456.6028834907</v>
      </c>
      <c r="DD110" s="67">
        <f>'P&amp;L - Inputs'!DC141</f>
        <v>3879456.6028834907</v>
      </c>
      <c r="DE110" s="67">
        <f>'P&amp;L - Inputs'!DD141</f>
        <v>3879456.6028834907</v>
      </c>
      <c r="DF110" s="67">
        <f>'P&amp;L - Inputs'!DE141</f>
        <v>3879456.6028834907</v>
      </c>
      <c r="DG110" s="67">
        <f>'P&amp;L - Inputs'!DF141</f>
        <v>4073429.4330276656</v>
      </c>
      <c r="DH110" s="67">
        <f>'P&amp;L - Inputs'!DG141</f>
        <v>4073429.4330276656</v>
      </c>
      <c r="DI110" s="67">
        <f>'P&amp;L - Inputs'!DH141</f>
        <v>4073429.4330276656</v>
      </c>
      <c r="DJ110" s="67">
        <f>'P&amp;L - Inputs'!DI141</f>
        <v>4073429.4330276656</v>
      </c>
      <c r="DK110" s="67">
        <f>'P&amp;L - Inputs'!DJ141</f>
        <v>4073429.4330276656</v>
      </c>
      <c r="DL110" s="67">
        <f>'P&amp;L - Inputs'!DK141</f>
        <v>4073429.4330276656</v>
      </c>
      <c r="DM110" s="67">
        <f>'P&amp;L - Inputs'!DL141</f>
        <v>4073429.4330276656</v>
      </c>
      <c r="DN110" s="67">
        <f>'P&amp;L - Inputs'!DM141</f>
        <v>4073429.4330276656</v>
      </c>
      <c r="DO110" s="67">
        <f>'P&amp;L - Inputs'!DN141</f>
        <v>4073429.4330276656</v>
      </c>
      <c r="DP110" s="67">
        <f>'P&amp;L - Inputs'!DO141</f>
        <v>4073429.4330276656</v>
      </c>
      <c r="DQ110" s="67">
        <f>'P&amp;L - Inputs'!DP141</f>
        <v>4073429.4330276656</v>
      </c>
      <c r="DR110" s="69">
        <f>'P&amp;L - Inputs'!DQ141</f>
        <v>4073429.4330276656</v>
      </c>
      <c r="DS110" s="69">
        <f>'P&amp;L - Inputs'!DR141</f>
        <v>4277100.9046790488</v>
      </c>
      <c r="DT110" s="69">
        <f>'P&amp;L - Inputs'!DS141</f>
        <v>4277100.9046790488</v>
      </c>
      <c r="DU110" s="69">
        <f>'P&amp;L - Inputs'!DT141</f>
        <v>4277100.9046790488</v>
      </c>
      <c r="DV110" s="69">
        <f>'P&amp;L - Inputs'!DU141</f>
        <v>4277100.9046790488</v>
      </c>
      <c r="DW110" s="69">
        <f>'P&amp;L - Inputs'!DV141</f>
        <v>4277100.9046790488</v>
      </c>
      <c r="DX110" s="69">
        <f>'P&amp;L - Inputs'!DW141</f>
        <v>4277100.9046790488</v>
      </c>
      <c r="DY110" s="69">
        <f>'P&amp;L - Inputs'!DX141</f>
        <v>4277100.9046790488</v>
      </c>
      <c r="DZ110" s="69">
        <f>'P&amp;L - Inputs'!DY141</f>
        <v>4277100.9046790488</v>
      </c>
      <c r="EA110" s="69">
        <f>'P&amp;L - Inputs'!DZ141</f>
        <v>4277100.9046790488</v>
      </c>
      <c r="EB110" s="69">
        <f>'P&amp;L - Inputs'!EA141</f>
        <v>4277100.9046790488</v>
      </c>
      <c r="EC110" s="69">
        <f>'P&amp;L - Inputs'!EB141</f>
        <v>4277100.9046790488</v>
      </c>
      <c r="ED110" s="69">
        <f>'P&amp;L - Inputs'!EC141</f>
        <v>4277100.9046790488</v>
      </c>
      <c r="EE110" s="39" t="s">
        <v>1</v>
      </c>
      <c r="EF110" s="68"/>
      <c r="EG110" s="629">
        <f>SUM(BK110:BM110)</f>
        <v>4914052.709805157</v>
      </c>
      <c r="EH110" s="629">
        <f>SUM(BN110:BP110)</f>
        <v>4900530.2931253649</v>
      </c>
      <c r="EI110" s="629">
        <f>SUM(BQ110:BS110)</f>
        <v>4735825.6772483215</v>
      </c>
      <c r="EJ110" s="629">
        <f>SUM(BT110:BV110)</f>
        <v>4037718.40292772</v>
      </c>
      <c r="EK110" s="629">
        <f>SUM(BW110:BY110)</f>
        <v>4347227.2221745495</v>
      </c>
      <c r="EL110" s="629">
        <f t="shared" ref="EL110:EL111" si="620">SUM(BZ110:CB110)</f>
        <v>4493459.0757019212</v>
      </c>
      <c r="EM110" s="629">
        <f t="shared" ref="EM110:EM111" si="621">SUM(CC110:CE110)</f>
        <v>4721198.7231232403</v>
      </c>
      <c r="EN110" s="629">
        <f t="shared" ref="EN110:EN111" si="622">SUM(CF110:CH110)</f>
        <v>4759801.6156970756</v>
      </c>
      <c r="EO110" s="629">
        <f t="shared" ref="EO110:EO111" si="623">SUM(CI110:CK110)</f>
        <v>9654548.8558288626</v>
      </c>
      <c r="EP110" s="629">
        <f t="shared" ref="EP110:EP111" si="624">SUM(CL110:CN110)</f>
        <v>9759235.8897324335</v>
      </c>
      <c r="EQ110" s="629">
        <f t="shared" ref="EQ110:EQ111" si="625">SUM(CO110:CQ110)</f>
        <v>10153588.002795035</v>
      </c>
      <c r="ER110" s="629">
        <f t="shared" ref="ER110:ER111" si="626">SUM(CR110:CT110)</f>
        <v>10780131.153160505</v>
      </c>
      <c r="ES110" s="629">
        <f t="shared" ref="ES110:ES111" si="627">SUM(CU110:CW110)</f>
        <v>11638369.808650471</v>
      </c>
      <c r="ET110" s="629">
        <f t="shared" ref="ET110:ET111" si="628">SUM(CX110:CZ110)</f>
        <v>11638369.808650471</v>
      </c>
      <c r="EU110" s="629">
        <f t="shared" ref="EU110:EU111" si="629">SUM(DA110:DC110)</f>
        <v>11638369.808650471</v>
      </c>
      <c r="EV110" s="629">
        <f t="shared" ref="EV110:EV111" si="630">SUM(DD110:DF110)</f>
        <v>11638369.808650471</v>
      </c>
      <c r="EW110" s="629">
        <f t="shared" ref="EW110:EW111" si="631">SUM(DG110:DI110)</f>
        <v>12220288.299082996</v>
      </c>
      <c r="EX110" s="629">
        <f t="shared" ref="EX110:EX111" si="632">SUM(DJ110:DL110)</f>
        <v>12220288.299082996</v>
      </c>
      <c r="EY110" s="629">
        <f t="shared" ref="EY110:EY111" si="633">SUM(DM110:DO110)</f>
        <v>12220288.299082996</v>
      </c>
      <c r="EZ110" s="629">
        <f t="shared" ref="EZ110:EZ111" si="634">SUM(DP110:DR110)</f>
        <v>12220288.299082996</v>
      </c>
      <c r="FA110" s="629">
        <f t="shared" ref="FA110:FA111" si="635">SUM(DS110:DU110)</f>
        <v>12831302.714037146</v>
      </c>
      <c r="FB110" s="629">
        <f t="shared" ref="FB110:FB111" si="636">SUM(DV110:DX110)</f>
        <v>12831302.714037146</v>
      </c>
      <c r="FC110" s="629">
        <f t="shared" ref="FC110:FC111" si="637">SUM(DY110:EA110)</f>
        <v>12831302.714037146</v>
      </c>
      <c r="FD110" s="629">
        <f t="shared" ref="FD110:FD111" si="638">SUM(EB110:ED110)</f>
        <v>12831302.714037146</v>
      </c>
      <c r="FG110" s="70">
        <f>SUM(EK110:EN110)</f>
        <v>18321686.636696786</v>
      </c>
      <c r="FH110" s="67">
        <f>SUM(EO110:ER110)</f>
        <v>40347503.901516832</v>
      </c>
      <c r="FI110" s="67">
        <f>SUM(ES110:EV110)</f>
        <v>46553479.234601885</v>
      </c>
      <c r="FJ110" s="69">
        <f>SUM(EW110:EZ110)</f>
        <v>48881153.196331985</v>
      </c>
      <c r="FK110" s="619">
        <f t="shared" ref="FK110:FK111" si="639">SUM(FA110:FD110)</f>
        <v>51325210.856148586</v>
      </c>
    </row>
    <row r="111" spans="2:167" ht="15.75" customHeight="1" x14ac:dyDescent="0.2">
      <c r="B111" s="49" t="s">
        <v>52</v>
      </c>
      <c r="C111" s="67">
        <f>'P&amp;L - Inputs'!B142</f>
        <v>0</v>
      </c>
      <c r="D111" s="67">
        <f>'P&amp;L - Inputs'!C142</f>
        <v>0</v>
      </c>
      <c r="E111" s="67">
        <f>'P&amp;L - Inputs'!D142</f>
        <v>0</v>
      </c>
      <c r="F111" s="67">
        <f>'P&amp;L - Inputs'!E142</f>
        <v>0</v>
      </c>
      <c r="G111" s="67">
        <f>'P&amp;L - Inputs'!F142</f>
        <v>0</v>
      </c>
      <c r="H111" s="67">
        <f>'P&amp;L - Inputs'!G142</f>
        <v>0</v>
      </c>
      <c r="I111" s="67">
        <f>'P&amp;L - Inputs'!H142</f>
        <v>0</v>
      </c>
      <c r="J111" s="67">
        <f>'P&amp;L - Inputs'!I142</f>
        <v>0</v>
      </c>
      <c r="K111" s="67">
        <f>'P&amp;L - Inputs'!J142</f>
        <v>0</v>
      </c>
      <c r="L111" s="67">
        <f>'P&amp;L - Inputs'!K142</f>
        <v>0</v>
      </c>
      <c r="M111" s="67">
        <f>'P&amp;L - Inputs'!L142</f>
        <v>0</v>
      </c>
      <c r="N111" s="67">
        <f>'P&amp;L - Inputs'!M142</f>
        <v>0</v>
      </c>
      <c r="O111" s="67">
        <f>'P&amp;L - Inputs'!N142</f>
        <v>0</v>
      </c>
      <c r="P111" s="67">
        <f>'P&amp;L - Inputs'!O142</f>
        <v>0</v>
      </c>
      <c r="Q111" s="67">
        <f>'P&amp;L - Inputs'!P142</f>
        <v>0</v>
      </c>
      <c r="R111" s="67">
        <f>'P&amp;L - Inputs'!Q142</f>
        <v>0</v>
      </c>
      <c r="S111" s="67">
        <f>'P&amp;L - Inputs'!R142</f>
        <v>0</v>
      </c>
      <c r="T111" s="67">
        <f>'P&amp;L - Inputs'!S142</f>
        <v>0</v>
      </c>
      <c r="U111" s="67">
        <f>'P&amp;L - Inputs'!T142</f>
        <v>0</v>
      </c>
      <c r="V111" s="67">
        <f>'P&amp;L - Inputs'!U142</f>
        <v>0</v>
      </c>
      <c r="W111" s="67">
        <f>'P&amp;L - Inputs'!V142</f>
        <v>0</v>
      </c>
      <c r="X111" s="67">
        <f>'P&amp;L - Inputs'!W142</f>
        <v>0</v>
      </c>
      <c r="Y111" s="67">
        <f>'P&amp;L - Inputs'!X142</f>
        <v>0</v>
      </c>
      <c r="Z111" s="67">
        <f>'P&amp;L - Inputs'!Y142</f>
        <v>0</v>
      </c>
      <c r="AA111" s="67">
        <f>'P&amp;L - Inputs'!Z142</f>
        <v>0</v>
      </c>
      <c r="AB111" s="67">
        <f>'P&amp;L - Inputs'!AA142</f>
        <v>0</v>
      </c>
      <c r="AC111" s="67">
        <f>'P&amp;L - Inputs'!AB142</f>
        <v>0</v>
      </c>
      <c r="AD111" s="67">
        <f>'P&amp;L - Inputs'!AC142</f>
        <v>0</v>
      </c>
      <c r="AE111" s="67">
        <f>'P&amp;L - Inputs'!AD142</f>
        <v>0</v>
      </c>
      <c r="AF111" s="67">
        <f>'P&amp;L - Inputs'!AE142</f>
        <v>0</v>
      </c>
      <c r="AG111" s="67">
        <f>'P&amp;L - Inputs'!AF142</f>
        <v>0</v>
      </c>
      <c r="AH111" s="67">
        <f>'P&amp;L - Inputs'!AG142</f>
        <v>0</v>
      </c>
      <c r="AI111" s="67">
        <f>'P&amp;L - Inputs'!AH142</f>
        <v>0</v>
      </c>
      <c r="AJ111" s="67">
        <f>'P&amp;L - Inputs'!AI142</f>
        <v>0</v>
      </c>
      <c r="AK111" s="67">
        <f>'P&amp;L - Inputs'!AJ142</f>
        <v>0</v>
      </c>
      <c r="AL111" s="67">
        <f>'P&amp;L - Inputs'!AK142</f>
        <v>0</v>
      </c>
      <c r="AM111" s="67">
        <f>'P&amp;L - Inputs'!AL142</f>
        <v>0</v>
      </c>
      <c r="AN111" s="67">
        <f>'P&amp;L - Inputs'!AM142</f>
        <v>0</v>
      </c>
      <c r="AO111" s="67">
        <f>'P&amp;L - Inputs'!AN142</f>
        <v>0</v>
      </c>
      <c r="AP111" s="67">
        <f>'P&amp;L - Inputs'!AO142</f>
        <v>0</v>
      </c>
      <c r="AQ111" s="67">
        <f>'P&amp;L - Inputs'!AP142</f>
        <v>0</v>
      </c>
      <c r="AR111" s="67">
        <f>'P&amp;L - Inputs'!AQ142</f>
        <v>0</v>
      </c>
      <c r="AS111" s="67">
        <f>'P&amp;L - Inputs'!AR142</f>
        <v>0</v>
      </c>
      <c r="AT111" s="67">
        <f>'P&amp;L - Inputs'!AS142</f>
        <v>0</v>
      </c>
      <c r="AU111" s="67">
        <f>'P&amp;L - Inputs'!AT142</f>
        <v>0</v>
      </c>
      <c r="AV111" s="67">
        <f>'P&amp;L - Inputs'!AU142</f>
        <v>0</v>
      </c>
      <c r="AW111" s="67">
        <f>'P&amp;L - Inputs'!AV142</f>
        <v>0</v>
      </c>
      <c r="AX111" s="67">
        <f>'P&amp;L - Inputs'!AW142</f>
        <v>0</v>
      </c>
      <c r="AY111" s="67">
        <f>'P&amp;L - Inputs'!AX142</f>
        <v>0</v>
      </c>
      <c r="AZ111" s="67">
        <f>'P&amp;L - Inputs'!AY142</f>
        <v>0</v>
      </c>
      <c r="BA111" s="67">
        <f>'P&amp;L - Inputs'!AZ142</f>
        <v>0</v>
      </c>
      <c r="BB111" s="67">
        <f>'P&amp;L - Inputs'!BA142</f>
        <v>0</v>
      </c>
      <c r="BC111" s="67">
        <f>'P&amp;L - Inputs'!BB142</f>
        <v>0</v>
      </c>
      <c r="BD111" s="67">
        <f>'P&amp;L - Inputs'!BC142</f>
        <v>0</v>
      </c>
      <c r="BE111" s="67">
        <f>'P&amp;L - Inputs'!BD142</f>
        <v>0</v>
      </c>
      <c r="BF111" s="67">
        <f>'P&amp;L - Inputs'!BE142</f>
        <v>0</v>
      </c>
      <c r="BG111" s="67">
        <f>'P&amp;L - Inputs'!BF142</f>
        <v>0</v>
      </c>
      <c r="BH111" s="67">
        <f>'P&amp;L - Inputs'!BG142</f>
        <v>0</v>
      </c>
      <c r="BI111" s="67">
        <f>'P&amp;L - Inputs'!BH142</f>
        <v>0</v>
      </c>
      <c r="BJ111" s="67">
        <f>'P&amp;L - Inputs'!BI142</f>
        <v>0</v>
      </c>
      <c r="BK111" s="67">
        <f>'P&amp;L - Inputs'!BJ142</f>
        <v>1432511.666706048</v>
      </c>
      <c r="BL111" s="67">
        <f>'P&amp;L - Inputs'!BK142</f>
        <v>1464296.3861337395</v>
      </c>
      <c r="BM111" s="67">
        <f>'P&amp;L - Inputs'!BL142</f>
        <v>1438424.6627676801</v>
      </c>
      <c r="BN111" s="67">
        <f>'P&amp;L - Inputs'!BM142</f>
        <v>1416732.0595510751</v>
      </c>
      <c r="BO111" s="67">
        <f>'P&amp;L - Inputs'!BN142</f>
        <v>1405943.6698006615</v>
      </c>
      <c r="BP111" s="67">
        <f>'P&amp;L - Inputs'!BO142</f>
        <v>1428231.0978786189</v>
      </c>
      <c r="BQ111" s="67">
        <f>'P&amp;L - Inputs'!BP142</f>
        <v>1542025.7212341812</v>
      </c>
      <c r="BR111" s="67">
        <f>'P&amp;L - Inputs'!BQ142</f>
        <v>1552911.424538462</v>
      </c>
      <c r="BS111" s="67">
        <f>'P&amp;L - Inputs'!BR142</f>
        <v>1435581.6795535565</v>
      </c>
      <c r="BT111" s="67">
        <f>'P&amp;L - Inputs'!BS142</f>
        <v>1416793.5183141029</v>
      </c>
      <c r="BU111" s="67">
        <f>'P&amp;L - Inputs'!BT142</f>
        <v>1326891.3370042001</v>
      </c>
      <c r="BV111" s="67">
        <f>'P&amp;L - Inputs'!BU142</f>
        <v>1478708.5017083334</v>
      </c>
      <c r="BW111" s="67">
        <f>'P&amp;L - Inputs'!BV142</f>
        <v>1652403.5042523807</v>
      </c>
      <c r="BX111" s="67">
        <f>'P&amp;L - Inputs'!BW142</f>
        <v>1596180.267730769</v>
      </c>
      <c r="BY111" s="67">
        <f>'P&amp;L - Inputs'!BX142</f>
        <v>1601588.6279647439</v>
      </c>
      <c r="BZ111" s="67">
        <f>'P&amp;L - Inputs'!BY142</f>
        <v>1613691.1519134615</v>
      </c>
      <c r="CA111" s="67">
        <f>'P&amp;L - Inputs'!BZ142</f>
        <v>1646280.4473141024</v>
      </c>
      <c r="CB111" s="67">
        <f>'P&amp;L - Inputs'!CA142</f>
        <v>1591106.6428237185</v>
      </c>
      <c r="CC111" s="67">
        <f>'P&amp;L - Inputs'!CB142</f>
        <v>1894220.1926415423</v>
      </c>
      <c r="CD111" s="67">
        <f>'P&amp;L - Inputs'!CC142</f>
        <v>1720586.47211859</v>
      </c>
      <c r="CE111" s="67">
        <f>'P&amp;L - Inputs'!CD142</f>
        <v>1725496.125394024</v>
      </c>
      <c r="CF111" s="67">
        <f>'P&amp;L - Inputs'!CE142</f>
        <v>1819532.7798363315</v>
      </c>
      <c r="CG111" s="67">
        <f>'P&amp;L - Inputs'!CF142</f>
        <v>1750606.032168041</v>
      </c>
      <c r="CH111" s="67">
        <f>'P&amp;L - Inputs'!CG142</f>
        <v>1950178.8691403025</v>
      </c>
      <c r="CI111" s="67">
        <f>'P&amp;L - Inputs'!CH142</f>
        <v>3437470.0312448079</v>
      </c>
      <c r="CJ111" s="67">
        <f>'P&amp;L - Inputs'!CI142</f>
        <v>5743991.8545114174</v>
      </c>
      <c r="CK111" s="67">
        <f>'P&amp;L - Inputs'!CJ142</f>
        <v>5824764.6829536539</v>
      </c>
      <c r="CL111" s="67">
        <f>'P&amp;L - Inputs'!CK142</f>
        <v>5799140.0061653852</v>
      </c>
      <c r="CM111" s="67">
        <f>'P&amp;L - Inputs'!CL142</f>
        <v>5702156.3045257069</v>
      </c>
      <c r="CN111" s="67">
        <f>'P&amp;L - Inputs'!CM142</f>
        <v>6000491.9630706925</v>
      </c>
      <c r="CO111" s="67">
        <f>'P&amp;L - Inputs'!CN142</f>
        <v>6370187.5938071171</v>
      </c>
      <c r="CP111" s="67">
        <f>'P&amp;L - Inputs'!CO142</f>
        <v>5916480.9593950007</v>
      </c>
      <c r="CQ111" s="67">
        <f>'P&amp;L - Inputs'!CP142</f>
        <v>6051767.9900394063</v>
      </c>
      <c r="CR111" s="67">
        <f>'P&amp;L - Inputs'!CQ142</f>
        <v>6213578.3494593054</v>
      </c>
      <c r="CS111" s="67">
        <f>'P&amp;L - Inputs'!CR142</f>
        <v>6032961.110465385</v>
      </c>
      <c r="CT111" s="67">
        <f>'P&amp;L - Inputs'!CS142</f>
        <v>6440070.8257201929</v>
      </c>
      <c r="CU111" s="67">
        <f>'P&amp;L - Inputs'!CT142</f>
        <v>6685679.8843884375</v>
      </c>
      <c r="CV111" s="67">
        <f>'P&amp;L - Inputs'!CU142</f>
        <v>6685679.8843884375</v>
      </c>
      <c r="CW111" s="67">
        <f>'P&amp;L - Inputs'!CV142</f>
        <v>6685679.8843884375</v>
      </c>
      <c r="CX111" s="67">
        <f>'P&amp;L - Inputs'!CW142</f>
        <v>6685679.8843884375</v>
      </c>
      <c r="CY111" s="67">
        <f>'P&amp;L - Inputs'!CX142</f>
        <v>6685679.8843884375</v>
      </c>
      <c r="CZ111" s="67">
        <f>'P&amp;L - Inputs'!CY142</f>
        <v>6685679.8843884375</v>
      </c>
      <c r="DA111" s="67">
        <f>'P&amp;L - Inputs'!CZ142</f>
        <v>6685679.8843884375</v>
      </c>
      <c r="DB111" s="67">
        <f>'P&amp;L - Inputs'!DA142</f>
        <v>6685679.8843884375</v>
      </c>
      <c r="DC111" s="67">
        <f>'P&amp;L - Inputs'!DB142</f>
        <v>6685679.8843884375</v>
      </c>
      <c r="DD111" s="67">
        <f>'P&amp;L - Inputs'!DC142</f>
        <v>6685679.8843884375</v>
      </c>
      <c r="DE111" s="67">
        <f>'P&amp;L - Inputs'!DD142</f>
        <v>6685679.8843884375</v>
      </c>
      <c r="DF111" s="67">
        <f>'P&amp;L - Inputs'!DE142</f>
        <v>6685679.8843884375</v>
      </c>
      <c r="DG111" s="67">
        <f>'P&amp;L - Inputs'!DF142</f>
        <v>7019963.8786078598</v>
      </c>
      <c r="DH111" s="67">
        <f>'P&amp;L - Inputs'!DG142</f>
        <v>7019963.8786078598</v>
      </c>
      <c r="DI111" s="67">
        <f>'P&amp;L - Inputs'!DH142</f>
        <v>7019963.8786078598</v>
      </c>
      <c r="DJ111" s="67">
        <f>'P&amp;L - Inputs'!DI142</f>
        <v>7019963.8786078598</v>
      </c>
      <c r="DK111" s="67">
        <f>'P&amp;L - Inputs'!DJ142</f>
        <v>7019963.8786078598</v>
      </c>
      <c r="DL111" s="67">
        <f>'P&amp;L - Inputs'!DK142</f>
        <v>7019963.8786078598</v>
      </c>
      <c r="DM111" s="67">
        <f>'P&amp;L - Inputs'!DL142</f>
        <v>7019963.8786078598</v>
      </c>
      <c r="DN111" s="67">
        <f>'P&amp;L - Inputs'!DM142</f>
        <v>7019963.8786078598</v>
      </c>
      <c r="DO111" s="67">
        <f>'P&amp;L - Inputs'!DN142</f>
        <v>7019963.8786078598</v>
      </c>
      <c r="DP111" s="67">
        <f>'P&amp;L - Inputs'!DO142</f>
        <v>7019963.8786078598</v>
      </c>
      <c r="DQ111" s="67">
        <f>'P&amp;L - Inputs'!DP142</f>
        <v>7019963.8786078598</v>
      </c>
      <c r="DR111" s="69">
        <f>'P&amp;L - Inputs'!DQ142</f>
        <v>7019963.8786078598</v>
      </c>
      <c r="DS111" s="69">
        <f>'P&amp;L - Inputs'!DR142</f>
        <v>7370962.0725382529</v>
      </c>
      <c r="DT111" s="69">
        <f>'P&amp;L - Inputs'!DS142</f>
        <v>7370962.0725382529</v>
      </c>
      <c r="DU111" s="69">
        <f>'P&amp;L - Inputs'!DT142</f>
        <v>7370962.0725382529</v>
      </c>
      <c r="DV111" s="69">
        <f>'P&amp;L - Inputs'!DU142</f>
        <v>7370962.0725382529</v>
      </c>
      <c r="DW111" s="69">
        <f>'P&amp;L - Inputs'!DV142</f>
        <v>7370962.0725382529</v>
      </c>
      <c r="DX111" s="69">
        <f>'P&amp;L - Inputs'!DW142</f>
        <v>7370962.0725382529</v>
      </c>
      <c r="DY111" s="69">
        <f>'P&amp;L - Inputs'!DX142</f>
        <v>7370962.0725382529</v>
      </c>
      <c r="DZ111" s="69">
        <f>'P&amp;L - Inputs'!DY142</f>
        <v>7370962.0725382529</v>
      </c>
      <c r="EA111" s="69">
        <f>'P&amp;L - Inputs'!DZ142</f>
        <v>7370962.0725382529</v>
      </c>
      <c r="EB111" s="69">
        <f>'P&amp;L - Inputs'!EA142</f>
        <v>7370962.0725382529</v>
      </c>
      <c r="EC111" s="69">
        <f>'P&amp;L - Inputs'!EB142</f>
        <v>7370962.0725382529</v>
      </c>
      <c r="ED111" s="69">
        <f>'P&amp;L - Inputs'!EC142</f>
        <v>7370962.0725382529</v>
      </c>
      <c r="EE111" s="39" t="s">
        <v>1</v>
      </c>
      <c r="EF111" s="68"/>
      <c r="EG111" s="629">
        <f>SUM(BK111:BM111)</f>
        <v>4335232.715607468</v>
      </c>
      <c r="EH111" s="629">
        <f>SUM(BN111:BP111)</f>
        <v>4250906.8272303557</v>
      </c>
      <c r="EI111" s="629">
        <f>SUM(BQ111:BS111)</f>
        <v>4530518.8253261996</v>
      </c>
      <c r="EJ111" s="629">
        <f>SUM(BT111:BV111)</f>
        <v>4222393.3570266366</v>
      </c>
      <c r="EK111" s="629">
        <f>SUM(BW111:BY111)</f>
        <v>4850172.3999478929</v>
      </c>
      <c r="EL111" s="629">
        <f t="shared" si="620"/>
        <v>4851078.2420512829</v>
      </c>
      <c r="EM111" s="629">
        <f t="shared" si="621"/>
        <v>5340302.7901541563</v>
      </c>
      <c r="EN111" s="629">
        <f t="shared" si="622"/>
        <v>5520317.6811446752</v>
      </c>
      <c r="EO111" s="629">
        <f t="shared" si="623"/>
        <v>15006226.568709878</v>
      </c>
      <c r="EP111" s="629">
        <f t="shared" si="624"/>
        <v>17501788.273761787</v>
      </c>
      <c r="EQ111" s="629">
        <f t="shared" si="625"/>
        <v>18338436.543241523</v>
      </c>
      <c r="ER111" s="629">
        <f t="shared" si="626"/>
        <v>18686610.285644881</v>
      </c>
      <c r="ES111" s="629">
        <f t="shared" si="627"/>
        <v>20057039.653165311</v>
      </c>
      <c r="ET111" s="629">
        <f t="shared" si="628"/>
        <v>20057039.653165311</v>
      </c>
      <c r="EU111" s="629">
        <f t="shared" si="629"/>
        <v>20057039.653165311</v>
      </c>
      <c r="EV111" s="629">
        <f t="shared" si="630"/>
        <v>20057039.653165311</v>
      </c>
      <c r="EW111" s="629">
        <f t="shared" si="631"/>
        <v>21059891.635823578</v>
      </c>
      <c r="EX111" s="629">
        <f t="shared" si="632"/>
        <v>21059891.635823578</v>
      </c>
      <c r="EY111" s="629">
        <f t="shared" si="633"/>
        <v>21059891.635823578</v>
      </c>
      <c r="EZ111" s="629">
        <f t="shared" si="634"/>
        <v>21059891.635823578</v>
      </c>
      <c r="FA111" s="629">
        <f t="shared" si="635"/>
        <v>22112886.217614759</v>
      </c>
      <c r="FB111" s="629">
        <f t="shared" si="636"/>
        <v>22112886.217614759</v>
      </c>
      <c r="FC111" s="629">
        <f t="shared" si="637"/>
        <v>22112886.217614759</v>
      </c>
      <c r="FD111" s="629">
        <f t="shared" si="638"/>
        <v>22112886.217614759</v>
      </c>
      <c r="FG111" s="70">
        <f>SUM(EK111:EN111)</f>
        <v>20561871.113298006</v>
      </c>
      <c r="FH111" s="67">
        <f>SUM(EO111:ER111)</f>
        <v>69533061.671358079</v>
      </c>
      <c r="FI111" s="67">
        <f>SUM(ES111:EV111)</f>
        <v>80228158.612661242</v>
      </c>
      <c r="FJ111" s="69">
        <f>SUM(EW111:EZ111)</f>
        <v>84239566.543294311</v>
      </c>
      <c r="FK111" s="619">
        <f t="shared" si="639"/>
        <v>88451544.870459035</v>
      </c>
    </row>
    <row r="112" spans="2:167" ht="15.75" customHeight="1" x14ac:dyDescent="0.2">
      <c r="B112" s="48" t="s">
        <v>62</v>
      </c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>
        <f t="shared" ref="BK112:ES112" si="640">IFERROR(BK109/BK32,0)</f>
        <v>8.0716640536830191E-3</v>
      </c>
      <c r="BL112" s="76">
        <f t="shared" si="640"/>
        <v>8.0143498908938036E-3</v>
      </c>
      <c r="BM112" s="76">
        <f t="shared" si="640"/>
        <v>1.0489434776076218E-2</v>
      </c>
      <c r="BN112" s="76">
        <f t="shared" si="640"/>
        <v>1.1019031724146181E-2</v>
      </c>
      <c r="BO112" s="76">
        <f t="shared" si="640"/>
        <v>1.0327180519718124E-2</v>
      </c>
      <c r="BP112" s="76">
        <f t="shared" si="640"/>
        <v>1.0916285506010736E-2</v>
      </c>
      <c r="BQ112" s="76">
        <f t="shared" si="640"/>
        <v>1.225231604102806E-2</v>
      </c>
      <c r="BR112" s="76">
        <f t="shared" si="640"/>
        <v>9.4625991524431435E-3</v>
      </c>
      <c r="BS112" s="76">
        <f t="shared" si="640"/>
        <v>9.8762943122082565E-3</v>
      </c>
      <c r="BT112" s="76">
        <f t="shared" si="640"/>
        <v>1.0475159658995927E-2</v>
      </c>
      <c r="BU112" s="76">
        <f t="shared" si="640"/>
        <v>9.4686723465521368E-3</v>
      </c>
      <c r="BV112" s="76">
        <f t="shared" si="640"/>
        <v>9.9079549556723902E-3</v>
      </c>
      <c r="BW112" s="76">
        <f t="shared" si="640"/>
        <v>1.0093915936215857E-2</v>
      </c>
      <c r="BX112" s="76">
        <f t="shared" si="640"/>
        <v>9.9628020251239235E-3</v>
      </c>
      <c r="BY112" s="76">
        <f t="shared" si="640"/>
        <v>1.0560628530342521E-2</v>
      </c>
      <c r="BZ112" s="76">
        <f t="shared" si="640"/>
        <v>1.1148555716597638E-2</v>
      </c>
      <c r="CA112" s="76">
        <f t="shared" si="640"/>
        <v>1.163032175923475E-2</v>
      </c>
      <c r="CB112" s="76">
        <f t="shared" si="640"/>
        <v>1.3094545474063036E-2</v>
      </c>
      <c r="CC112" s="76">
        <f t="shared" si="640"/>
        <v>1.2117254868773544E-2</v>
      </c>
      <c r="CD112" s="76">
        <f t="shared" si="640"/>
        <v>1.1299692451350414E-2</v>
      </c>
      <c r="CE112" s="76">
        <f t="shared" si="640"/>
        <v>1.0287467619648169E-2</v>
      </c>
      <c r="CF112" s="76">
        <f t="shared" si="640"/>
        <v>9.0217668882326008E-3</v>
      </c>
      <c r="CG112" s="76">
        <f t="shared" si="640"/>
        <v>7.5397215756418754E-3</v>
      </c>
      <c r="CH112" s="76">
        <f t="shared" si="640"/>
        <v>6.6591822477769635E-3</v>
      </c>
      <c r="CI112" s="76">
        <f t="shared" si="640"/>
        <v>1.4295134795570656E-2</v>
      </c>
      <c r="CJ112" s="76">
        <f t="shared" si="640"/>
        <v>1.9952377758775404E-2</v>
      </c>
      <c r="CK112" s="76">
        <f t="shared" si="640"/>
        <v>2.0443436970652373E-2</v>
      </c>
      <c r="CL112" s="76">
        <f t="shared" si="640"/>
        <v>2.0113435095027995E-2</v>
      </c>
      <c r="CM112" s="76">
        <f t="shared" si="640"/>
        <v>2.3847353267000212E-2</v>
      </c>
      <c r="CN112" s="76">
        <f t="shared" si="640"/>
        <v>2.8545822477263248E-2</v>
      </c>
      <c r="CO112" s="76">
        <f t="shared" si="640"/>
        <v>2.3490999552506428E-2</v>
      </c>
      <c r="CP112" s="76">
        <f t="shared" si="640"/>
        <v>1.8268170593914307E-2</v>
      </c>
      <c r="CQ112" s="76">
        <f t="shared" si="640"/>
        <v>1.5168483084558137E-2</v>
      </c>
      <c r="CR112" s="76">
        <f t="shared" si="640"/>
        <v>1.4843804381922723E-2</v>
      </c>
      <c r="CS112" s="76">
        <f t="shared" si="640"/>
        <v>1.5988335389498797E-2</v>
      </c>
      <c r="CT112" s="76">
        <f t="shared" si="640"/>
        <v>1.7239698735828111E-2</v>
      </c>
      <c r="CU112" s="76">
        <f t="shared" si="640"/>
        <v>1.7483026486145723E-2</v>
      </c>
      <c r="CV112" s="76">
        <f t="shared" si="640"/>
        <v>1.6867298536272831E-2</v>
      </c>
      <c r="CW112" s="76">
        <f t="shared" si="640"/>
        <v>1.7954766652847939E-2</v>
      </c>
      <c r="CX112" s="76">
        <f t="shared" si="640"/>
        <v>1.7939419199118695E-2</v>
      </c>
      <c r="CY112" s="76">
        <f t="shared" si="640"/>
        <v>1.9293888224086463E-2</v>
      </c>
      <c r="CZ112" s="76">
        <f t="shared" si="640"/>
        <v>2.2125036443640743E-2</v>
      </c>
      <c r="DA112" s="76">
        <f t="shared" si="640"/>
        <v>1.8911989752019295E-2</v>
      </c>
      <c r="DB112" s="76">
        <f t="shared" si="640"/>
        <v>1.5271807522745042E-2</v>
      </c>
      <c r="DC112" s="76">
        <f t="shared" si="640"/>
        <v>1.3705510751385958E-2</v>
      </c>
      <c r="DD112" s="76">
        <f t="shared" si="640"/>
        <v>1.4645636421867966E-2</v>
      </c>
      <c r="DE112" s="76">
        <f t="shared" si="640"/>
        <v>1.5017920252980925E-2</v>
      </c>
      <c r="DF112" s="76">
        <f t="shared" si="640"/>
        <v>1.5618626997075637E-2</v>
      </c>
      <c r="DG112" s="76">
        <f t="shared" si="640"/>
        <v>1.4685742248362412E-2</v>
      </c>
      <c r="DH112" s="76">
        <f t="shared" si="640"/>
        <v>1.4168530770469182E-2</v>
      </c>
      <c r="DI112" s="76">
        <f t="shared" si="640"/>
        <v>1.5082003988392276E-2</v>
      </c>
      <c r="DJ112" s="76">
        <f t="shared" si="640"/>
        <v>1.5069112127259712E-2</v>
      </c>
      <c r="DK112" s="76">
        <f t="shared" si="640"/>
        <v>1.6206866108232635E-2</v>
      </c>
      <c r="DL112" s="76">
        <f t="shared" si="640"/>
        <v>1.8585030612658239E-2</v>
      </c>
      <c r="DM112" s="76">
        <f t="shared" si="640"/>
        <v>1.5886071391696219E-2</v>
      </c>
      <c r="DN112" s="76">
        <f t="shared" si="640"/>
        <v>1.2828318319105839E-2</v>
      </c>
      <c r="DO112" s="76">
        <f t="shared" si="640"/>
        <v>1.151262903116421E-2</v>
      </c>
      <c r="DP112" s="76">
        <f t="shared" si="640"/>
        <v>1.2302334594369095E-2</v>
      </c>
      <c r="DQ112" s="76">
        <f t="shared" si="640"/>
        <v>1.2615053012503982E-2</v>
      </c>
      <c r="DR112" s="78">
        <f t="shared" si="640"/>
        <v>1.3119646677543536E-2</v>
      </c>
      <c r="DS112" s="78">
        <f t="shared" ref="DS112:ED112" si="641">IFERROR(DS109/DS32,0)</f>
        <v>1.2850024467317108E-2</v>
      </c>
      <c r="DT112" s="78">
        <f t="shared" si="641"/>
        <v>1.2397464424160537E-2</v>
      </c>
      <c r="DU112" s="78">
        <f t="shared" si="641"/>
        <v>1.3196753489843243E-2</v>
      </c>
      <c r="DV112" s="78">
        <f t="shared" si="641"/>
        <v>1.3185473111352247E-2</v>
      </c>
      <c r="DW112" s="78">
        <f t="shared" si="641"/>
        <v>1.4181007844703556E-2</v>
      </c>
      <c r="DX112" s="78">
        <f t="shared" si="641"/>
        <v>1.6261901786075957E-2</v>
      </c>
      <c r="DY112" s="78">
        <f t="shared" si="641"/>
        <v>1.390031246773419E-2</v>
      </c>
      <c r="DZ112" s="78">
        <f t="shared" si="641"/>
        <v>1.1224778529217608E-2</v>
      </c>
      <c r="EA112" s="78">
        <f t="shared" si="641"/>
        <v>1.0073550402268681E-2</v>
      </c>
      <c r="EB112" s="78">
        <f t="shared" si="641"/>
        <v>1.0764542770072955E-2</v>
      </c>
      <c r="EC112" s="78">
        <f t="shared" si="641"/>
        <v>1.1038171385940985E-2</v>
      </c>
      <c r="ED112" s="78">
        <f t="shared" si="641"/>
        <v>1.1479690842850596E-2</v>
      </c>
      <c r="EE112" s="39" t="s">
        <v>1</v>
      </c>
      <c r="EF112" s="79"/>
      <c r="EG112" s="627">
        <f t="shared" si="640"/>
        <v>8.7192110167656368E-3</v>
      </c>
      <c r="EH112" s="627">
        <f t="shared" si="640"/>
        <v>1.0747266977997548E-2</v>
      </c>
      <c r="EI112" s="627">
        <f t="shared" si="640"/>
        <v>1.0434625672490028E-2</v>
      </c>
      <c r="EJ112" s="627">
        <f t="shared" si="640"/>
        <v>9.9424438087274518E-3</v>
      </c>
      <c r="EK112" s="627">
        <f t="shared" si="640"/>
        <v>1.0201453326322746E-2</v>
      </c>
      <c r="EL112" s="627">
        <f t="shared" si="640"/>
        <v>1.1901296745436347E-2</v>
      </c>
      <c r="EM112" s="627">
        <f t="shared" si="640"/>
        <v>1.1187417540243608E-2</v>
      </c>
      <c r="EN112" s="627">
        <f t="shared" si="640"/>
        <v>7.5990095066695729E-3</v>
      </c>
      <c r="EO112" s="627">
        <f t="shared" si="640"/>
        <v>1.8196832922596714E-2</v>
      </c>
      <c r="EP112" s="627">
        <f t="shared" si="640"/>
        <v>2.3718168072795469E-2</v>
      </c>
      <c r="EQ112" s="627">
        <f t="shared" si="640"/>
        <v>1.84591343378957E-2</v>
      </c>
      <c r="ER112" s="627">
        <f t="shared" si="640"/>
        <v>1.5974608927256686E-2</v>
      </c>
      <c r="ES112" s="627">
        <f t="shared" si="640"/>
        <v>1.7423609480691264E-2</v>
      </c>
      <c r="ET112" s="627">
        <f t="shared" ref="ET112:FD112" si="642">IFERROR(ET109/ET32,0)</f>
        <v>1.9637271448145806E-2</v>
      </c>
      <c r="EU112" s="627">
        <f t="shared" si="642"/>
        <v>1.5680535670647627E-2</v>
      </c>
      <c r="EV112" s="627">
        <f t="shared" si="642"/>
        <v>1.5083490609297511E-2</v>
      </c>
      <c r="EW112" s="627">
        <f t="shared" si="642"/>
        <v>1.4635831963780668E-2</v>
      </c>
      <c r="EX112" s="627">
        <f t="shared" si="642"/>
        <v>1.6495308016442486E-2</v>
      </c>
      <c r="EY112" s="627">
        <f t="shared" si="642"/>
        <v>1.3171649963344009E-2</v>
      </c>
      <c r="EZ112" s="627">
        <f t="shared" si="642"/>
        <v>1.2670132111809907E-2</v>
      </c>
      <c r="FA112" s="627">
        <f t="shared" si="642"/>
        <v>1.2806352968308087E-2</v>
      </c>
      <c r="FB112" s="627">
        <f t="shared" si="642"/>
        <v>1.4433394514387176E-2</v>
      </c>
      <c r="FC112" s="627">
        <f t="shared" si="642"/>
        <v>1.1525193717926008E-2</v>
      </c>
      <c r="FD112" s="627">
        <f t="shared" si="642"/>
        <v>1.1086365597833672E-2</v>
      </c>
      <c r="FG112" s="627">
        <f t="shared" ref="FG112:FK112" si="643">IFERROR(FG109/FG32,0)</f>
        <v>9.8716057357288254E-3</v>
      </c>
      <c r="FH112" s="78">
        <f t="shared" si="643"/>
        <v>1.8646851350030816E-2</v>
      </c>
      <c r="FI112" s="78">
        <f t="shared" si="643"/>
        <v>1.6779372055792982E-2</v>
      </c>
      <c r="FJ112" s="78">
        <f t="shared" si="643"/>
        <v>1.4094672526866107E-2</v>
      </c>
      <c r="FK112" s="78">
        <f t="shared" si="643"/>
        <v>1.2332838461007845E-2</v>
      </c>
    </row>
    <row r="113" spans="2:167" ht="15.75" customHeight="1" x14ac:dyDescent="0.2">
      <c r="B113" s="48"/>
      <c r="C113" s="75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9"/>
      <c r="AD113" s="76"/>
      <c r="AE113" s="76"/>
      <c r="AF113" s="76"/>
      <c r="AG113" s="76"/>
      <c r="AH113" s="76"/>
      <c r="AI113" s="76"/>
      <c r="AJ113" s="76"/>
      <c r="AK113" s="79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5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6"/>
      <c r="CT113" s="76"/>
      <c r="CU113" s="76"/>
      <c r="CV113" s="76"/>
      <c r="CW113" s="76"/>
      <c r="CX113" s="76"/>
      <c r="CY113" s="76"/>
      <c r="CZ113" s="76"/>
      <c r="DA113" s="76"/>
      <c r="DB113" s="76"/>
      <c r="DC113" s="76"/>
      <c r="DD113" s="76"/>
      <c r="DE113" s="76"/>
      <c r="DF113" s="76"/>
      <c r="DG113" s="76"/>
      <c r="DH113" s="76"/>
      <c r="DI113" s="76"/>
      <c r="DJ113" s="76"/>
      <c r="DK113" s="76"/>
      <c r="DL113" s="76"/>
      <c r="DM113" s="76"/>
      <c r="DN113" s="76"/>
      <c r="DO113" s="76"/>
      <c r="DP113" s="76"/>
      <c r="DQ113" s="76"/>
      <c r="DR113" s="78"/>
      <c r="DS113" s="78"/>
      <c r="DT113" s="78"/>
      <c r="DU113" s="78"/>
      <c r="DV113" s="78"/>
      <c r="DW113" s="78"/>
      <c r="DX113" s="78"/>
      <c r="DY113" s="78"/>
      <c r="DZ113" s="78"/>
      <c r="EA113" s="78"/>
      <c r="EB113" s="78"/>
      <c r="EC113" s="78"/>
      <c r="ED113" s="78"/>
      <c r="EE113" s="39" t="s">
        <v>1</v>
      </c>
      <c r="EF113" s="79"/>
      <c r="EG113" s="627"/>
      <c r="EH113" s="627"/>
      <c r="EI113" s="627"/>
      <c r="EJ113" s="627"/>
      <c r="EK113" s="627"/>
      <c r="EL113" s="627"/>
      <c r="EM113" s="627"/>
      <c r="EN113" s="627"/>
      <c r="EO113" s="627"/>
      <c r="EP113" s="627"/>
      <c r="EQ113" s="627"/>
      <c r="ER113" s="627"/>
      <c r="ES113" s="627"/>
      <c r="ET113" s="627"/>
      <c r="EU113" s="627"/>
      <c r="EV113" s="627"/>
      <c r="EW113" s="627"/>
      <c r="EX113" s="627"/>
      <c r="EY113" s="627"/>
      <c r="EZ113" s="627"/>
      <c r="FA113" s="627"/>
      <c r="FB113" s="627"/>
      <c r="FC113" s="627"/>
      <c r="FD113" s="627"/>
      <c r="FG113" s="80"/>
      <c r="FH113" s="76"/>
      <c r="FI113" s="76"/>
      <c r="FJ113" s="78"/>
      <c r="FK113" s="106"/>
    </row>
    <row r="114" spans="2:167" ht="15.75" customHeight="1" x14ac:dyDescent="0.2">
      <c r="B114" s="56" t="s">
        <v>63</v>
      </c>
      <c r="C114" s="61">
        <f t="shared" ref="C114:ER114" si="644">C106-C109</f>
        <v>-3669820</v>
      </c>
      <c r="D114" s="62">
        <f t="shared" si="644"/>
        <v>-6159358.0071428567</v>
      </c>
      <c r="E114" s="62">
        <f t="shared" si="644"/>
        <v>-6038413.3220750708</v>
      </c>
      <c r="F114" s="62">
        <f t="shared" si="644"/>
        <v>-4829412.1976681091</v>
      </c>
      <c r="G114" s="62">
        <f t="shared" si="644"/>
        <v>-7784848.7201376185</v>
      </c>
      <c r="H114" s="62">
        <f t="shared" si="644"/>
        <v>-5243807.3150681295</v>
      </c>
      <c r="I114" s="62">
        <f t="shared" si="644"/>
        <v>-14742616.671909049</v>
      </c>
      <c r="J114" s="62">
        <f t="shared" si="644"/>
        <v>-7595703.3952327073</v>
      </c>
      <c r="K114" s="62">
        <f t="shared" si="644"/>
        <v>-15697486.906102858</v>
      </c>
      <c r="L114" s="62">
        <f t="shared" si="644"/>
        <v>-21918004.473714214</v>
      </c>
      <c r="M114" s="62">
        <f t="shared" si="644"/>
        <v>-11334573.594165461</v>
      </c>
      <c r="N114" s="62">
        <f t="shared" si="644"/>
        <v>-10701043.690000001</v>
      </c>
      <c r="O114" s="62">
        <f t="shared" si="644"/>
        <v>-11786007.820151284</v>
      </c>
      <c r="P114" s="62">
        <f t="shared" si="644"/>
        <v>-14771019.053551994</v>
      </c>
      <c r="Q114" s="62">
        <f t="shared" si="644"/>
        <v>-14821685.770494007</v>
      </c>
      <c r="R114" s="62">
        <f t="shared" si="644"/>
        <v>-4736762.1412472632</v>
      </c>
      <c r="S114" s="62">
        <f t="shared" si="644"/>
        <v>-3611704.8265832588</v>
      </c>
      <c r="T114" s="62">
        <f t="shared" si="644"/>
        <v>-8178611.1460963208</v>
      </c>
      <c r="U114" s="62">
        <f t="shared" si="644"/>
        <v>-11419782.967830058</v>
      </c>
      <c r="V114" s="62">
        <f t="shared" si="644"/>
        <v>-5428445.2189577082</v>
      </c>
      <c r="W114" s="62">
        <f t="shared" si="644"/>
        <v>-3541111.7738581803</v>
      </c>
      <c r="X114" s="62">
        <f t="shared" si="644"/>
        <v>-721141.01533745043</v>
      </c>
      <c r="Y114" s="62">
        <f t="shared" si="644"/>
        <v>7578819.7553001177</v>
      </c>
      <c r="Z114" s="62">
        <f t="shared" si="644"/>
        <v>-2914986.1596779991</v>
      </c>
      <c r="AA114" s="62">
        <f t="shared" si="644"/>
        <v>-13375074.720977327</v>
      </c>
      <c r="AB114" s="62">
        <f t="shared" si="644"/>
        <v>-277016.5611895984</v>
      </c>
      <c r="AC114" s="614">
        <f t="shared" si="644"/>
        <v>-5972003.3403398022</v>
      </c>
      <c r="AD114" s="62">
        <f t="shared" si="644"/>
        <v>-6978888.3613387011</v>
      </c>
      <c r="AE114" s="62">
        <f t="shared" si="644"/>
        <v>-3308489.9641945795</v>
      </c>
      <c r="AF114" s="62">
        <f t="shared" si="644"/>
        <v>-1999036.4447717685</v>
      </c>
      <c r="AG114" s="62">
        <f t="shared" si="644"/>
        <v>-7824813.5119119585</v>
      </c>
      <c r="AH114" s="62">
        <f t="shared" si="644"/>
        <v>1405816.3282030979</v>
      </c>
      <c r="AI114" s="62">
        <f t="shared" si="644"/>
        <v>992839.19292831887</v>
      </c>
      <c r="AJ114" s="62">
        <f t="shared" si="644"/>
        <v>-6930200.533896625</v>
      </c>
      <c r="AK114" s="614">
        <f t="shared" si="644"/>
        <v>-300695.3072602218</v>
      </c>
      <c r="AL114" s="62">
        <f t="shared" si="644"/>
        <v>-992629.24042154569</v>
      </c>
      <c r="AM114" s="62">
        <f t="shared" si="644"/>
        <v>-8238723.4472437035</v>
      </c>
      <c r="AN114" s="62">
        <f t="shared" si="644"/>
        <v>-8588143.8401679825</v>
      </c>
      <c r="AO114" s="62">
        <f t="shared" si="644"/>
        <v>-978334.79905596888</v>
      </c>
      <c r="AP114" s="62">
        <f t="shared" si="644"/>
        <v>-3748583.5477564479</v>
      </c>
      <c r="AQ114" s="62">
        <f t="shared" si="644"/>
        <v>-6451859.4955609161</v>
      </c>
      <c r="AR114" s="62">
        <f t="shared" si="644"/>
        <v>-10970530.524880292</v>
      </c>
      <c r="AS114" s="62">
        <f t="shared" si="644"/>
        <v>-14232725.361854013</v>
      </c>
      <c r="AT114" s="62">
        <f t="shared" si="644"/>
        <v>-14283479.180512819</v>
      </c>
      <c r="AU114" s="62">
        <f t="shared" si="644"/>
        <v>-13729220.215461791</v>
      </c>
      <c r="AV114" s="62">
        <f t="shared" si="644"/>
        <v>-26203005.235897377</v>
      </c>
      <c r="AW114" s="62">
        <f t="shared" si="644"/>
        <v>-36238197.624166645</v>
      </c>
      <c r="AX114" s="62">
        <f t="shared" si="644"/>
        <v>-39534977.996910229</v>
      </c>
      <c r="AY114" s="62">
        <f t="shared" si="644"/>
        <v>-39442063.388882659</v>
      </c>
      <c r="AZ114" s="62">
        <f t="shared" si="644"/>
        <v>-38705702.505871952</v>
      </c>
      <c r="BA114" s="62">
        <f t="shared" si="644"/>
        <v>-33909320.434499227</v>
      </c>
      <c r="BB114" s="62">
        <f t="shared" si="644"/>
        <v>-19375156.256891429</v>
      </c>
      <c r="BC114" s="62">
        <f t="shared" si="644"/>
        <v>-35578409.721270077</v>
      </c>
      <c r="BD114" s="62">
        <f t="shared" si="644"/>
        <v>-51331628.245196193</v>
      </c>
      <c r="BE114" s="62">
        <f t="shared" si="644"/>
        <v>-42667838.554024808</v>
      </c>
      <c r="BF114" s="62">
        <f t="shared" si="644"/>
        <v>-32723164.064010546</v>
      </c>
      <c r="BG114" s="62">
        <f t="shared" si="644"/>
        <v>-20694453.403795384</v>
      </c>
      <c r="BH114" s="62">
        <f t="shared" si="644"/>
        <v>-29690637.098312076</v>
      </c>
      <c r="BI114" s="62">
        <f t="shared" si="644"/>
        <v>-29554302.348076385</v>
      </c>
      <c r="BJ114" s="61">
        <f t="shared" si="644"/>
        <v>-16141217.130057182</v>
      </c>
      <c r="BK114" s="62">
        <f t="shared" si="644"/>
        <v>-6946340.1117561618</v>
      </c>
      <c r="BL114" s="62">
        <f t="shared" si="644"/>
        <v>-9316412.7987784576</v>
      </c>
      <c r="BM114" s="62">
        <f t="shared" si="644"/>
        <v>-6695890.8078972409</v>
      </c>
      <c r="BN114" s="62">
        <f t="shared" si="644"/>
        <v>-494372.01046496257</v>
      </c>
      <c r="BO114" s="62">
        <f t="shared" si="644"/>
        <v>-2999984.0033456879</v>
      </c>
      <c r="BP114" s="62">
        <f t="shared" si="644"/>
        <v>-8802753.9880010448</v>
      </c>
      <c r="BQ114" s="62">
        <f t="shared" si="644"/>
        <v>-3773472.2141092145</v>
      </c>
      <c r="BR114" s="62">
        <f t="shared" si="644"/>
        <v>-3372196.8445263854</v>
      </c>
      <c r="BS114" s="62">
        <f t="shared" si="644"/>
        <v>-15068809.27182487</v>
      </c>
      <c r="BT114" s="62">
        <f t="shared" si="644"/>
        <v>-26701204.5200595</v>
      </c>
      <c r="BU114" s="62">
        <f t="shared" si="644"/>
        <v>-3036507.9493876216</v>
      </c>
      <c r="BV114" s="62">
        <f t="shared" si="644"/>
        <v>1026066.5022068843</v>
      </c>
      <c r="BW114" s="62">
        <f t="shared" si="644"/>
        <v>8414057.1844852902</v>
      </c>
      <c r="BX114" s="62">
        <f t="shared" si="644"/>
        <v>10695585.579696307</v>
      </c>
      <c r="BY114" s="62">
        <f t="shared" si="644"/>
        <v>8582658.0759657491</v>
      </c>
      <c r="BZ114" s="62">
        <f t="shared" si="644"/>
        <v>-3392302.8006603504</v>
      </c>
      <c r="CA114" s="62">
        <f t="shared" si="644"/>
        <v>849158.80899943318</v>
      </c>
      <c r="CB114" s="62">
        <f t="shared" si="644"/>
        <v>-2184725.2760163248</v>
      </c>
      <c r="CC114" s="62">
        <f t="shared" si="644"/>
        <v>2689439.0562350284</v>
      </c>
      <c r="CD114" s="62">
        <f t="shared" si="644"/>
        <v>3788810.7717595119</v>
      </c>
      <c r="CE114" s="62">
        <f t="shared" si="644"/>
        <v>2913018.12169703</v>
      </c>
      <c r="CF114" s="62">
        <f t="shared" si="644"/>
        <v>4169569.7344685458</v>
      </c>
      <c r="CG114" s="62">
        <f t="shared" si="644"/>
        <v>13292844.423024125</v>
      </c>
      <c r="CH114" s="62">
        <f t="shared" si="644"/>
        <v>1363062.2377371904</v>
      </c>
      <c r="CI114" s="62">
        <f t="shared" si="644"/>
        <v>10776291.353278363</v>
      </c>
      <c r="CJ114" s="62">
        <f t="shared" si="644"/>
        <v>7690602.3516052235</v>
      </c>
      <c r="CK114" s="62">
        <f t="shared" si="644"/>
        <v>7012974.3359787986</v>
      </c>
      <c r="CL114" s="62">
        <f t="shared" si="644"/>
        <v>4100833.308900252</v>
      </c>
      <c r="CM114" s="62">
        <f t="shared" si="644"/>
        <v>5320912.7472838629</v>
      </c>
      <c r="CN114" s="62">
        <f t="shared" si="644"/>
        <v>-4559852.0767601831</v>
      </c>
      <c r="CO114" s="62">
        <f t="shared" si="644"/>
        <v>7550440.7700768821</v>
      </c>
      <c r="CP114" s="62">
        <f t="shared" si="644"/>
        <v>7244671.2741428483</v>
      </c>
      <c r="CQ114" s="62">
        <f t="shared" si="644"/>
        <v>-3611495.0365694128</v>
      </c>
      <c r="CR114" s="62">
        <f t="shared" si="644"/>
        <v>5951114.8953829631</v>
      </c>
      <c r="CS114" s="62">
        <f t="shared" si="644"/>
        <v>16507054.744829426</v>
      </c>
      <c r="CT114" s="62">
        <f t="shared" ref="CT114:DR114" si="645">CT106-CT109</f>
        <v>18358151.849436566</v>
      </c>
      <c r="CU114" s="62">
        <f t="shared" si="645"/>
        <v>9245317.0465278924</v>
      </c>
      <c r="CV114" s="62">
        <f t="shared" si="645"/>
        <v>10608694.556494035</v>
      </c>
      <c r="CW114" s="62">
        <f t="shared" si="645"/>
        <v>8252446.6923789382</v>
      </c>
      <c r="CX114" s="62">
        <f t="shared" si="645"/>
        <v>8285317.5681270361</v>
      </c>
      <c r="CY114" s="62">
        <f t="shared" si="645"/>
        <v>5728001.417792866</v>
      </c>
      <c r="CZ114" s="62">
        <f t="shared" si="645"/>
        <v>1399849.7478429545</v>
      </c>
      <c r="DA114" s="62">
        <f t="shared" si="645"/>
        <v>6411236.4420391619</v>
      </c>
      <c r="DB114" s="62">
        <f t="shared" si="645"/>
        <v>14646273.416915342</v>
      </c>
      <c r="DC114" s="62">
        <f t="shared" si="645"/>
        <v>19533206.918608189</v>
      </c>
      <c r="DD114" s="62">
        <f t="shared" si="645"/>
        <v>16470060.248213381</v>
      </c>
      <c r="DE114" s="62">
        <f t="shared" si="645"/>
        <v>15363408.109542668</v>
      </c>
      <c r="DF114" s="62">
        <f t="shared" si="645"/>
        <v>13689138.092538059</v>
      </c>
      <c r="DG114" s="62">
        <f t="shared" si="645"/>
        <v>22975097.898170784</v>
      </c>
      <c r="DH114" s="62">
        <f t="shared" si="645"/>
        <v>24915303.430781171</v>
      </c>
      <c r="DI114" s="62">
        <f t="shared" si="645"/>
        <v>21563437.494443841</v>
      </c>
      <c r="DJ114" s="62">
        <f t="shared" si="645"/>
        <v>21610021.19464457</v>
      </c>
      <c r="DK114" s="62">
        <f t="shared" si="645"/>
        <v>17970966.947435759</v>
      </c>
      <c r="DL114" s="62">
        <f t="shared" si="645"/>
        <v>11811357.318676909</v>
      </c>
      <c r="DM114" s="62">
        <f t="shared" si="645"/>
        <v>18943289.368830658</v>
      </c>
      <c r="DN114" s="62">
        <f t="shared" si="645"/>
        <v>30661879.39364028</v>
      </c>
      <c r="DO114" s="62">
        <f t="shared" si="645"/>
        <v>37616340.553530067</v>
      </c>
      <c r="DP114" s="62">
        <f t="shared" si="645"/>
        <v>33257757.125050604</v>
      </c>
      <c r="DQ114" s="62">
        <f t="shared" si="645"/>
        <v>31683053.543677539</v>
      </c>
      <c r="DR114" s="63">
        <f t="shared" si="645"/>
        <v>29300644.975672767</v>
      </c>
      <c r="DS114" s="63">
        <f t="shared" ref="DS114:ED114" si="646">DS106-DS109</f>
        <v>39007258.640234038</v>
      </c>
      <c r="DT114" s="63">
        <f t="shared" si="646"/>
        <v>41615388.606237754</v>
      </c>
      <c r="DU114" s="63">
        <f t="shared" si="646"/>
        <v>37110908.802850217</v>
      </c>
      <c r="DV114" s="63">
        <f t="shared" si="646"/>
        <v>37173334.723268658</v>
      </c>
      <c r="DW114" s="63">
        <f t="shared" si="646"/>
        <v>32281750.241779953</v>
      </c>
      <c r="DX114" s="63">
        <f t="shared" si="646"/>
        <v>24001396.493332937</v>
      </c>
      <c r="DY114" s="63">
        <f t="shared" si="646"/>
        <v>33588818.184037089</v>
      </c>
      <c r="DZ114" s="63">
        <f t="shared" si="646"/>
        <v>49340996.862298325</v>
      </c>
      <c r="EA114" s="63">
        <f t="shared" si="646"/>
        <v>58689489.42252785</v>
      </c>
      <c r="EB114" s="63">
        <f t="shared" si="646"/>
        <v>52830986.534535214</v>
      </c>
      <c r="EC114" s="63">
        <f t="shared" si="646"/>
        <v>50714343.4731372</v>
      </c>
      <c r="ED114" s="63">
        <f t="shared" si="646"/>
        <v>47512004.306034178</v>
      </c>
      <c r="EE114" s="39" t="s">
        <v>1</v>
      </c>
      <c r="EF114" s="64"/>
      <c r="EG114" s="625">
        <f t="shared" si="644"/>
        <v>-22958643.718431801</v>
      </c>
      <c r="EH114" s="625">
        <f t="shared" si="644"/>
        <v>-12297110.001811609</v>
      </c>
      <c r="EI114" s="625">
        <f t="shared" si="644"/>
        <v>-22214478.330460291</v>
      </c>
      <c r="EJ114" s="625">
        <f t="shared" si="644"/>
        <v>-28711645.967240296</v>
      </c>
      <c r="EK114" s="625">
        <f t="shared" si="644"/>
        <v>27692300.840147458</v>
      </c>
      <c r="EL114" s="625">
        <f t="shared" si="644"/>
        <v>-4727869.2676772419</v>
      </c>
      <c r="EM114" s="625">
        <f t="shared" si="644"/>
        <v>9391267.9496915713</v>
      </c>
      <c r="EN114" s="625">
        <f t="shared" si="644"/>
        <v>18825476.395229861</v>
      </c>
      <c r="EO114" s="625">
        <f t="shared" si="644"/>
        <v>25479868.040862389</v>
      </c>
      <c r="EP114" s="625">
        <f t="shared" si="644"/>
        <v>4861893.9794239253</v>
      </c>
      <c r="EQ114" s="625">
        <f t="shared" si="644"/>
        <v>11183617.007650323</v>
      </c>
      <c r="ER114" s="625">
        <f t="shared" si="644"/>
        <v>40816321.489648715</v>
      </c>
      <c r="ES114" s="625">
        <f t="shared" ref="ES114:FD114" si="647">ES106-ES109</f>
        <v>28106458.295400627</v>
      </c>
      <c r="ET114" s="625">
        <f t="shared" si="647"/>
        <v>15413168.733763225</v>
      </c>
      <c r="EU114" s="625">
        <f t="shared" si="647"/>
        <v>40590716.777562641</v>
      </c>
      <c r="EV114" s="625">
        <f t="shared" si="647"/>
        <v>45522606.450294234</v>
      </c>
      <c r="EW114" s="625">
        <f t="shared" si="647"/>
        <v>69453838.823396042</v>
      </c>
      <c r="EX114" s="625">
        <f t="shared" si="647"/>
        <v>51392345.460756883</v>
      </c>
      <c r="EY114" s="625">
        <f t="shared" si="647"/>
        <v>87221509.316001371</v>
      </c>
      <c r="EZ114" s="625">
        <f t="shared" si="647"/>
        <v>94241455.64440079</v>
      </c>
      <c r="FA114" s="625">
        <f t="shared" si="647"/>
        <v>117733556.04932164</v>
      </c>
      <c r="FB114" s="625">
        <f t="shared" si="647"/>
        <v>93456481.458381429</v>
      </c>
      <c r="FC114" s="625">
        <f t="shared" si="647"/>
        <v>141619304.46886396</v>
      </c>
      <c r="FD114" s="625">
        <f t="shared" si="647"/>
        <v>151057334.31370682</v>
      </c>
      <c r="FG114" s="625">
        <f t="shared" ref="FG114:FK114" si="648">FG106-FG109</f>
        <v>51181175.917392127</v>
      </c>
      <c r="FH114" s="63">
        <f t="shared" si="648"/>
        <v>82341700.517584622</v>
      </c>
      <c r="FI114" s="63">
        <f t="shared" si="648"/>
        <v>129632950.25701955</v>
      </c>
      <c r="FJ114" s="63">
        <f t="shared" si="648"/>
        <v>302309149.24455482</v>
      </c>
      <c r="FK114" s="63">
        <f t="shared" si="648"/>
        <v>503866676.29027385</v>
      </c>
    </row>
    <row r="115" spans="2:167" ht="15.75" customHeight="1" x14ac:dyDescent="0.2">
      <c r="B115" s="58" t="s">
        <v>59</v>
      </c>
      <c r="C115" s="107">
        <f t="shared" ref="C115:ER115" si="649">IFERROR(C114/C32,0)</f>
        <v>-2.9171563973869677E-2</v>
      </c>
      <c r="D115" s="108">
        <f t="shared" si="649"/>
        <v>-5.2379061740670065E-2</v>
      </c>
      <c r="E115" s="108">
        <f t="shared" si="649"/>
        <v>-4.5928537171326445E-2</v>
      </c>
      <c r="F115" s="108">
        <f t="shared" si="649"/>
        <v>-3.1554367323849433E-2</v>
      </c>
      <c r="G115" s="108">
        <f t="shared" si="649"/>
        <v>-4.339370075764331E-2</v>
      </c>
      <c r="H115" s="108">
        <f t="shared" si="649"/>
        <v>-2.8027799098782977E-2</v>
      </c>
      <c r="I115" s="108">
        <f t="shared" si="649"/>
        <v>-7.3399006076583298E-2</v>
      </c>
      <c r="J115" s="108">
        <f t="shared" si="649"/>
        <v>-4.0386847279025084E-2</v>
      </c>
      <c r="K115" s="108">
        <f t="shared" si="649"/>
        <v>-6.5939695107041438E-2</v>
      </c>
      <c r="L115" s="108">
        <f t="shared" si="649"/>
        <v>-9.4712245428382691E-2</v>
      </c>
      <c r="M115" s="108">
        <f t="shared" si="649"/>
        <v>-4.7911328298662272E-2</v>
      </c>
      <c r="N115" s="108">
        <f t="shared" si="649"/>
        <v>-5.1706677176175421E-2</v>
      </c>
      <c r="O115" s="108">
        <f t="shared" si="649"/>
        <v>-4.4080725314722548E-2</v>
      </c>
      <c r="P115" s="108">
        <f t="shared" si="649"/>
        <v>-5.5798801655015169E-2</v>
      </c>
      <c r="Q115" s="108">
        <f t="shared" si="649"/>
        <v>-5.2293103185967096E-2</v>
      </c>
      <c r="R115" s="108">
        <f t="shared" si="649"/>
        <v>-1.6386338724358882E-2</v>
      </c>
      <c r="S115" s="108">
        <f t="shared" si="649"/>
        <v>-1.5224163580960664E-2</v>
      </c>
      <c r="T115" s="108">
        <f t="shared" si="649"/>
        <v>-3.8937463940636963E-2</v>
      </c>
      <c r="U115" s="108">
        <f t="shared" si="649"/>
        <v>-6.4348529107258037E-2</v>
      </c>
      <c r="V115" s="108">
        <f t="shared" si="649"/>
        <v>-2.5090385699345481E-2</v>
      </c>
      <c r="W115" s="108">
        <f t="shared" si="649"/>
        <v>-1.4249773596521969E-2</v>
      </c>
      <c r="X115" s="108">
        <f t="shared" si="649"/>
        <v>-2.8738514396625448E-3</v>
      </c>
      <c r="Y115" s="108">
        <f t="shared" si="649"/>
        <v>2.635249413854843E-2</v>
      </c>
      <c r="Z115" s="108">
        <f t="shared" si="649"/>
        <v>-1.6229776630119853E-2</v>
      </c>
      <c r="AA115" s="108">
        <f t="shared" si="649"/>
        <v>231.97082188033517</v>
      </c>
      <c r="AB115" s="108">
        <f t="shared" si="649"/>
        <v>-2.0231721696608567E-3</v>
      </c>
      <c r="AC115" s="109">
        <f t="shared" si="649"/>
        <v>-4.1852795365842771E-2</v>
      </c>
      <c r="AD115" s="108">
        <f t="shared" si="649"/>
        <v>-5.9610638691762502E-2</v>
      </c>
      <c r="AE115" s="108">
        <f t="shared" si="649"/>
        <v>-1.6934878678719605E-2</v>
      </c>
      <c r="AF115" s="108">
        <f t="shared" si="649"/>
        <v>-9.9453322585847954E-3</v>
      </c>
      <c r="AG115" s="108">
        <f t="shared" si="649"/>
        <v>-4.3223526691965497E-2</v>
      </c>
      <c r="AH115" s="108">
        <f t="shared" si="649"/>
        <v>6.5944879888501819E-3</v>
      </c>
      <c r="AI115" s="108">
        <f t="shared" si="649"/>
        <v>2.8699159749809881E-3</v>
      </c>
      <c r="AJ115" s="108">
        <f t="shared" si="649"/>
        <v>-2.3215734610293824E-2</v>
      </c>
      <c r="AK115" s="109">
        <f t="shared" si="649"/>
        <v>-8.0494891183475808E-4</v>
      </c>
      <c r="AL115" s="108">
        <f t="shared" si="649"/>
        <v>-3.1676489022291854E-3</v>
      </c>
      <c r="AM115" s="108">
        <f t="shared" si="649"/>
        <v>-3.8252465739163875E-2</v>
      </c>
      <c r="AN115" s="108">
        <f t="shared" si="649"/>
        <v>-8.8099183823849042E-2</v>
      </c>
      <c r="AO115" s="108">
        <f t="shared" si="649"/>
        <v>-4.5352840570747725E-3</v>
      </c>
      <c r="AP115" s="108">
        <f t="shared" si="649"/>
        <v>-1.2390246437487188E-2</v>
      </c>
      <c r="AQ115" s="108">
        <f t="shared" si="649"/>
        <v>-2.1836621897735168E-2</v>
      </c>
      <c r="AR115" s="108">
        <f t="shared" si="649"/>
        <v>-3.9406124063108734E-2</v>
      </c>
      <c r="AS115" s="108">
        <f t="shared" si="649"/>
        <v>-5.9988655935347655E-2</v>
      </c>
      <c r="AT115" s="108">
        <f t="shared" si="649"/>
        <v>-4.9905296427333615E-2</v>
      </c>
      <c r="AU115" s="108">
        <f t="shared" si="649"/>
        <v>-3.5768101031889744E-2</v>
      </c>
      <c r="AV115" s="108">
        <f t="shared" si="649"/>
        <v>-7.5007580581513605E-2</v>
      </c>
      <c r="AW115" s="108">
        <f t="shared" si="649"/>
        <v>-0.10130444832922959</v>
      </c>
      <c r="AX115" s="108">
        <f t="shared" si="649"/>
        <v>-0.12700206715419057</v>
      </c>
      <c r="AY115" s="108">
        <f t="shared" si="649"/>
        <v>-0.12716042884861678</v>
      </c>
      <c r="AZ115" s="108">
        <f t="shared" si="649"/>
        <v>-0.11132913339527292</v>
      </c>
      <c r="BA115" s="108">
        <f t="shared" si="649"/>
        <v>-0.13584081781846394</v>
      </c>
      <c r="BB115" s="108">
        <f t="shared" si="649"/>
        <v>-6.6849338417051554E-2</v>
      </c>
      <c r="BC115" s="108">
        <f t="shared" si="649"/>
        <v>-0.11501289374957643</v>
      </c>
      <c r="BD115" s="108">
        <f t="shared" si="649"/>
        <v>-0.16130539090107279</v>
      </c>
      <c r="BE115" s="108">
        <f t="shared" si="649"/>
        <v>-0.11437943722761473</v>
      </c>
      <c r="BF115" s="108">
        <f t="shared" si="649"/>
        <v>-8.1006173292281394E-2</v>
      </c>
      <c r="BG115" s="108">
        <f t="shared" si="649"/>
        <v>-4.033277710606565E-2</v>
      </c>
      <c r="BH115" s="108">
        <f t="shared" si="649"/>
        <v>-6.4133165239363021E-2</v>
      </c>
      <c r="BI115" s="108">
        <f t="shared" si="649"/>
        <v>-7.9295889879907253E-2</v>
      </c>
      <c r="BJ115" s="107">
        <f t="shared" si="649"/>
        <v>-3.9169113265341879E-2</v>
      </c>
      <c r="BK115" s="108">
        <f t="shared" si="649"/>
        <v>-1.8290384521761554E-2</v>
      </c>
      <c r="BL115" s="108">
        <f t="shared" si="649"/>
        <v>-2.4029233391220199E-2</v>
      </c>
      <c r="BM115" s="108">
        <f t="shared" si="649"/>
        <v>-2.2829396561802148E-2</v>
      </c>
      <c r="BN115" s="108">
        <f t="shared" si="649"/>
        <v>-1.7929290721914978E-3</v>
      </c>
      <c r="BO115" s="108">
        <f t="shared" si="649"/>
        <v>-1.025999283103652E-2</v>
      </c>
      <c r="BP115" s="108">
        <f t="shared" si="649"/>
        <v>-3.1063167110007121E-2</v>
      </c>
      <c r="BQ115" s="108">
        <f t="shared" si="649"/>
        <v>-1.4206475200114413E-2</v>
      </c>
      <c r="BR115" s="108">
        <f t="shared" si="649"/>
        <v>-1.0311580533685458E-2</v>
      </c>
      <c r="BS115" s="108">
        <f t="shared" si="649"/>
        <v>-5.1012989345300318E-2</v>
      </c>
      <c r="BT115" s="108">
        <f t="shared" si="649"/>
        <v>-0.10053164968371768</v>
      </c>
      <c r="BU115" s="108">
        <f t="shared" si="649"/>
        <v>-1.0933801467263197E-2</v>
      </c>
      <c r="BV115" s="108">
        <f t="shared" si="649"/>
        <v>3.5692320529011304E-3</v>
      </c>
      <c r="BW115" s="108">
        <f t="shared" si="649"/>
        <v>2.8207344493081269E-2</v>
      </c>
      <c r="BX115" s="108">
        <f t="shared" si="649"/>
        <v>3.463629116956158E-2</v>
      </c>
      <c r="BY115" s="108">
        <f t="shared" si="649"/>
        <v>2.9144420854016591E-2</v>
      </c>
      <c r="BZ115" s="108">
        <f t="shared" si="649"/>
        <v>-1.2176588583472316E-2</v>
      </c>
      <c r="CA115" s="108">
        <f t="shared" si="649"/>
        <v>3.149615824597083E-3</v>
      </c>
      <c r="CB115" s="108">
        <f t="shared" si="649"/>
        <v>-9.2194033565472927E-3</v>
      </c>
      <c r="CC115" s="108">
        <f t="shared" si="649"/>
        <v>9.5100155427899867E-3</v>
      </c>
      <c r="CD115" s="108">
        <f t="shared" si="649"/>
        <v>1.3137929399818319E-2</v>
      </c>
      <c r="CE115" s="108">
        <f t="shared" si="649"/>
        <v>8.8765302053345936E-3</v>
      </c>
      <c r="CF115" s="108">
        <f t="shared" si="649"/>
        <v>1.1083086975325576E-2</v>
      </c>
      <c r="CG115" s="108">
        <f t="shared" si="649"/>
        <v>3.0593600603075196E-2</v>
      </c>
      <c r="CH115" s="108">
        <f t="shared" si="649"/>
        <v>2.514337332811421E-3</v>
      </c>
      <c r="CI115" s="108">
        <f t="shared" si="649"/>
        <v>2.3473772817504433E-2</v>
      </c>
      <c r="CJ115" s="108">
        <f t="shared" si="649"/>
        <v>1.7003736630457518E-2</v>
      </c>
      <c r="CK115" s="108">
        <f t="shared" si="649"/>
        <v>1.5800090710011643E-2</v>
      </c>
      <c r="CL115" s="108">
        <f t="shared" si="649"/>
        <v>9.1522932998785687E-3</v>
      </c>
      <c r="CM115" s="108">
        <f t="shared" si="649"/>
        <v>1.4120320778736886E-2</v>
      </c>
      <c r="CN115" s="108">
        <f t="shared" si="649"/>
        <v>-1.4052786920405499E-2</v>
      </c>
      <c r="CO115" s="108">
        <f t="shared" si="649"/>
        <v>1.7915160592806359E-2</v>
      </c>
      <c r="CP115" s="108">
        <f t="shared" si="649"/>
        <v>1.4288639274855235E-2</v>
      </c>
      <c r="CQ115" s="108">
        <f t="shared" si="649"/>
        <v>-5.8719634932568252E-3</v>
      </c>
      <c r="CR115" s="108">
        <f t="shared" si="649"/>
        <v>9.0133362582389565E-3</v>
      </c>
      <c r="CS115" s="108">
        <f t="shared" si="649"/>
        <v>2.748028890558931E-2</v>
      </c>
      <c r="CT115" s="108">
        <f t="shared" ref="CT115:DR115" si="650">IFERROR(CT114/CT32,0)</f>
        <v>3.1453777998302401E-2</v>
      </c>
      <c r="CU115" s="108">
        <f t="shared" si="650"/>
        <v>1.5299009434661689E-2</v>
      </c>
      <c r="CV115" s="108">
        <f t="shared" si="650"/>
        <v>1.6936839233462883E-2</v>
      </c>
      <c r="CW115" s="108">
        <f t="shared" si="650"/>
        <v>1.4024499811737926E-2</v>
      </c>
      <c r="CX115" s="108">
        <f t="shared" si="650"/>
        <v>1.4068326067677047E-2</v>
      </c>
      <c r="CY115" s="108">
        <f t="shared" si="650"/>
        <v>1.0460387259118225E-2</v>
      </c>
      <c r="CZ115" s="108">
        <f t="shared" si="650"/>
        <v>2.931502751900939E-3</v>
      </c>
      <c r="DA115" s="108">
        <f t="shared" si="650"/>
        <v>1.1476353195785889E-2</v>
      </c>
      <c r="DB115" s="108">
        <f t="shared" si="650"/>
        <v>2.117105338090948E-2</v>
      </c>
      <c r="DC115" s="108">
        <f t="shared" si="650"/>
        <v>2.5339244576210715E-2</v>
      </c>
      <c r="DD115" s="108">
        <f t="shared" si="650"/>
        <v>2.2831178237232481E-2</v>
      </c>
      <c r="DE115" s="108">
        <f t="shared" si="650"/>
        <v>2.1838472042559402E-2</v>
      </c>
      <c r="DF115" s="108">
        <f t="shared" si="650"/>
        <v>2.0236893487972262E-2</v>
      </c>
      <c r="DG115" s="108">
        <f t="shared" si="650"/>
        <v>3.0415072862289467E-2</v>
      </c>
      <c r="DH115" s="108">
        <f t="shared" si="650"/>
        <v>3.1821935218355094E-2</v>
      </c>
      <c r="DI115" s="108">
        <f t="shared" si="650"/>
        <v>2.9316534730048405E-2</v>
      </c>
      <c r="DJ115" s="108">
        <f t="shared" si="650"/>
        <v>2.9354754069072796E-2</v>
      </c>
      <c r="DK115" s="108">
        <f t="shared" si="650"/>
        <v>2.6254640665005442E-2</v>
      </c>
      <c r="DL115" s="108">
        <f t="shared" si="650"/>
        <v>1.9787853110230322E-2</v>
      </c>
      <c r="DM115" s="108">
        <f t="shared" si="650"/>
        <v>2.7127357595007725E-2</v>
      </c>
      <c r="DN115" s="108">
        <f t="shared" si="650"/>
        <v>3.5457171496036888E-2</v>
      </c>
      <c r="DO115" s="108">
        <f t="shared" si="650"/>
        <v>3.9037917626926932E-2</v>
      </c>
      <c r="DP115" s="108">
        <f t="shared" si="650"/>
        <v>3.6882137369229691E-2</v>
      </c>
      <c r="DQ115" s="108">
        <f t="shared" si="650"/>
        <v>3.6028957851181424E-2</v>
      </c>
      <c r="DR115" s="110">
        <f t="shared" si="650"/>
        <v>3.4652526842419581E-2</v>
      </c>
      <c r="DS115" s="110">
        <f t="shared" ref="DS115:ED115" si="651">IFERROR(DS114/DS32,0)</f>
        <v>4.3032410531293357E-2</v>
      </c>
      <c r="DT115" s="110">
        <f t="shared" si="651"/>
        <v>4.429279793151511E-2</v>
      </c>
      <c r="DU115" s="110">
        <f t="shared" si="651"/>
        <v>4.204506072925325E-2</v>
      </c>
      <c r="DV115" s="110">
        <f t="shared" si="651"/>
        <v>4.2079786691714048E-2</v>
      </c>
      <c r="DW115" s="110">
        <f t="shared" si="651"/>
        <v>3.930162073426624E-2</v>
      </c>
      <c r="DX115" s="110">
        <f t="shared" si="651"/>
        <v>3.3508434257838463E-2</v>
      </c>
      <c r="DY115" s="110">
        <f t="shared" si="651"/>
        <v>4.0083494491164565E-2</v>
      </c>
      <c r="DZ115" s="110">
        <f t="shared" si="651"/>
        <v>4.7547971132487064E-2</v>
      </c>
      <c r="EA115" s="110">
        <f t="shared" si="651"/>
        <v>5.0756209932725498E-2</v>
      </c>
      <c r="EB115" s="110">
        <f t="shared" si="651"/>
        <v>4.8823689848560066E-2</v>
      </c>
      <c r="EC115" s="110">
        <f t="shared" si="651"/>
        <v>4.8058944742733485E-2</v>
      </c>
      <c r="ED115" s="110">
        <f t="shared" si="651"/>
        <v>4.682522079630437E-2</v>
      </c>
      <c r="EE115" s="39" t="s">
        <v>1</v>
      </c>
      <c r="EF115" s="79"/>
      <c r="EG115" s="628">
        <f t="shared" si="649"/>
        <v>-2.164288915657691E-2</v>
      </c>
      <c r="EH115" s="628">
        <f t="shared" si="649"/>
        <v>-1.4441483070818073E-2</v>
      </c>
      <c r="EI115" s="628">
        <f t="shared" si="649"/>
        <v>-2.5015232902639451E-2</v>
      </c>
      <c r="EJ115" s="628">
        <f t="shared" si="649"/>
        <v>-3.4559329822789246E-2</v>
      </c>
      <c r="EK115" s="628">
        <f t="shared" si="649"/>
        <v>3.0715389797759035E-2</v>
      </c>
      <c r="EL115" s="628">
        <f t="shared" si="649"/>
        <v>-6.0214618674972221E-3</v>
      </c>
      <c r="EM115" s="628">
        <f t="shared" si="649"/>
        <v>1.044218257551938E-2</v>
      </c>
      <c r="EN115" s="628">
        <f t="shared" si="649"/>
        <v>1.391569202303757E-2</v>
      </c>
      <c r="EO115" s="628">
        <f t="shared" si="649"/>
        <v>1.8801229630761165E-2</v>
      </c>
      <c r="EP115" s="628">
        <f t="shared" si="649"/>
        <v>4.2300398497320561E-3</v>
      </c>
      <c r="EQ115" s="628">
        <f t="shared" si="649"/>
        <v>7.2455324609956399E-3</v>
      </c>
      <c r="ER115" s="628">
        <f t="shared" si="649"/>
        <v>2.212748141834427E-2</v>
      </c>
      <c r="ES115" s="628">
        <f t="shared" ref="ES115:FD115" si="652">IFERROR(ES114/ES32,0)</f>
        <v>1.5450690227377203E-2</v>
      </c>
      <c r="ET115" s="628">
        <f t="shared" si="652"/>
        <v>9.5494137302633425E-3</v>
      </c>
      <c r="EU115" s="628">
        <f t="shared" si="652"/>
        <v>2.0081273381071598E-2</v>
      </c>
      <c r="EV115" s="628">
        <f t="shared" si="652"/>
        <v>2.1663698894029772E-2</v>
      </c>
      <c r="EW115" s="628">
        <f t="shared" si="652"/>
        <v>3.054414718450903E-2</v>
      </c>
      <c r="EX115" s="628">
        <f t="shared" si="652"/>
        <v>2.5472595692712697E-2</v>
      </c>
      <c r="EY115" s="628">
        <f t="shared" si="652"/>
        <v>3.4520582287475059E-2</v>
      </c>
      <c r="EZ115" s="628">
        <f t="shared" si="652"/>
        <v>3.5878763148495682E-2</v>
      </c>
      <c r="FA115" s="628">
        <f t="shared" si="652"/>
        <v>4.3147015886696151E-2</v>
      </c>
      <c r="FB115" s="628">
        <f t="shared" si="652"/>
        <v>3.8601390046673019E-2</v>
      </c>
      <c r="FC115" s="628">
        <f t="shared" si="652"/>
        <v>4.6708479094880045E-2</v>
      </c>
      <c r="FD115" s="628">
        <f t="shared" si="652"/>
        <v>4.7924329785174746E-2</v>
      </c>
      <c r="FG115" s="628">
        <f t="shared" ref="FG115:FK115" si="653">IFERROR(FG114/FG32,0)</f>
        <v>1.2993676993138362E-2</v>
      </c>
      <c r="FH115" s="110">
        <f t="shared" si="653"/>
        <v>1.3973476032409391E-2</v>
      </c>
      <c r="FI115" s="110">
        <f t="shared" si="653"/>
        <v>1.7156739256461589E-2</v>
      </c>
      <c r="FJ115" s="110">
        <f t="shared" si="653"/>
        <v>3.2008153718005541E-2</v>
      </c>
      <c r="FK115" s="110">
        <f t="shared" si="653"/>
        <v>4.445736554886983E-2</v>
      </c>
    </row>
    <row r="116" spans="2:167" ht="15.75" customHeight="1" x14ac:dyDescent="0.2">
      <c r="BR116" s="68"/>
      <c r="BS116" s="68"/>
      <c r="BT116" s="68"/>
      <c r="BU116" s="68"/>
      <c r="BV116" s="68"/>
      <c r="BW116" s="68"/>
      <c r="BX116" s="68"/>
      <c r="BY116" s="68"/>
      <c r="BZ116" s="68"/>
      <c r="CA116" s="68"/>
      <c r="CB116" s="68"/>
      <c r="CC116" s="68"/>
      <c r="CD116" s="68"/>
      <c r="CE116" s="68"/>
      <c r="CF116" s="68"/>
      <c r="CG116" s="68"/>
      <c r="CH116" s="68"/>
      <c r="CI116" s="68"/>
      <c r="CJ116" s="68"/>
      <c r="CK116" s="68"/>
      <c r="CL116" s="68"/>
      <c r="CM116" s="68"/>
      <c r="CN116" s="68"/>
      <c r="CO116" s="68"/>
      <c r="CP116" s="68"/>
      <c r="CQ116" s="68"/>
      <c r="CR116" s="68"/>
      <c r="CS116" s="68"/>
      <c r="CT116" s="68"/>
      <c r="CU116" s="68"/>
      <c r="CV116" s="68"/>
      <c r="CW116" s="68"/>
      <c r="CX116" s="68"/>
      <c r="CY116" s="68"/>
      <c r="CZ116" s="68"/>
      <c r="DA116" s="68"/>
      <c r="DB116" s="68"/>
      <c r="DC116" s="68"/>
      <c r="DD116" s="68"/>
      <c r="DE116" s="68"/>
      <c r="DF116" s="68"/>
      <c r="DG116" s="68"/>
      <c r="DH116" s="68"/>
      <c r="DI116" s="68"/>
      <c r="DJ116" s="68"/>
      <c r="DK116" s="68"/>
      <c r="DL116" s="68"/>
      <c r="DM116" s="68"/>
      <c r="DN116" s="68"/>
      <c r="DO116" s="68"/>
      <c r="DP116" s="68"/>
      <c r="DQ116" s="68"/>
      <c r="DR116" s="68"/>
      <c r="DS116" s="68"/>
      <c r="DT116" s="68"/>
      <c r="DU116" s="68"/>
      <c r="DV116" s="68"/>
      <c r="DW116" s="68"/>
      <c r="DX116" s="68"/>
      <c r="DY116" s="68"/>
      <c r="DZ116" s="68"/>
      <c r="EA116" s="68"/>
      <c r="EB116" s="68"/>
      <c r="EC116" s="68"/>
      <c r="ED116" s="68"/>
      <c r="EE116" s="68"/>
      <c r="EF116" s="68"/>
      <c r="EG116" s="68"/>
      <c r="EH116" s="68"/>
      <c r="EI116" s="68"/>
      <c r="EJ116" s="68"/>
      <c r="EK116" s="68"/>
      <c r="EL116" s="68"/>
      <c r="EM116" s="68"/>
      <c r="EN116" s="68"/>
      <c r="EO116" s="68"/>
      <c r="EP116" s="68"/>
      <c r="EQ116" s="68"/>
      <c r="ER116" s="68"/>
    </row>
    <row r="117" spans="2:167" ht="15.75" customHeight="1" x14ac:dyDescent="0.2"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  <c r="BW117" s="68"/>
      <c r="BX117" s="68"/>
      <c r="BY117" s="68"/>
      <c r="BZ117" s="68"/>
      <c r="CA117" s="68"/>
      <c r="CB117" s="68"/>
      <c r="CC117" s="68"/>
      <c r="CD117" s="68"/>
      <c r="CE117" s="68"/>
      <c r="CF117" s="68"/>
      <c r="CG117" s="68"/>
      <c r="CH117" s="68"/>
      <c r="CI117" s="68"/>
      <c r="CJ117" s="68"/>
      <c r="CK117" s="68"/>
      <c r="CL117" s="68"/>
      <c r="CM117" s="68"/>
      <c r="CN117" s="68"/>
      <c r="CO117" s="68"/>
      <c r="CP117" s="68"/>
      <c r="CQ117" s="68"/>
      <c r="CR117" s="68"/>
      <c r="CS117" s="68"/>
      <c r="CT117" s="68"/>
      <c r="CU117" s="68"/>
      <c r="CV117" s="68"/>
      <c r="CW117" s="68"/>
      <c r="CX117" s="68"/>
      <c r="CY117" s="68"/>
      <c r="CZ117" s="68"/>
      <c r="DA117" s="68"/>
      <c r="DB117" s="68"/>
      <c r="DC117" s="68"/>
      <c r="DD117" s="68"/>
      <c r="DE117" s="68"/>
      <c r="DF117" s="68"/>
      <c r="DG117" s="68"/>
      <c r="DH117" s="68"/>
      <c r="DI117" s="68"/>
      <c r="DJ117" s="68"/>
      <c r="DK117" s="68"/>
      <c r="DL117" s="68"/>
      <c r="DM117" s="68"/>
      <c r="DN117" s="68"/>
      <c r="DO117" s="68"/>
      <c r="DP117" s="68"/>
      <c r="DQ117" s="68"/>
      <c r="DR117" s="68"/>
      <c r="DS117" s="68"/>
      <c r="DT117" s="68"/>
      <c r="DU117" s="68"/>
      <c r="DV117" s="68"/>
      <c r="DW117" s="68"/>
      <c r="DX117" s="68"/>
      <c r="DY117" s="68"/>
      <c r="DZ117" s="68"/>
      <c r="EA117" s="68"/>
      <c r="EB117" s="68"/>
      <c r="EC117" s="68"/>
      <c r="ED117" s="68"/>
      <c r="EE117" s="68"/>
      <c r="EF117" s="68"/>
      <c r="EG117" s="68"/>
      <c r="EH117" s="68"/>
      <c r="EI117" s="68"/>
      <c r="EJ117" s="68"/>
      <c r="EK117" s="68"/>
      <c r="EL117" s="68"/>
      <c r="EM117" s="68"/>
      <c r="EN117" s="68"/>
      <c r="EO117" s="68"/>
      <c r="EP117" s="68"/>
      <c r="EQ117" s="68"/>
      <c r="ER117" s="68"/>
      <c r="FH117" s="59"/>
      <c r="FI117" s="59"/>
      <c r="FJ117" s="59"/>
      <c r="FK117" s="59"/>
    </row>
    <row r="118" spans="2:167" ht="15.75" customHeight="1" x14ac:dyDescent="0.2">
      <c r="FH118" s="59"/>
      <c r="FI118" s="59"/>
      <c r="FJ118" s="59"/>
      <c r="FK118" s="59"/>
    </row>
    <row r="119" spans="2:167" ht="15.75" customHeight="1" x14ac:dyDescent="0.2"/>
    <row r="120" spans="2:167" ht="15.75" customHeight="1" x14ac:dyDescent="0.2"/>
    <row r="121" spans="2:167" ht="15.75" customHeight="1" x14ac:dyDescent="0.2"/>
    <row r="122" spans="2:167" ht="15.75" customHeight="1" x14ac:dyDescent="0.2"/>
    <row r="123" spans="2:167" ht="15.75" customHeight="1" x14ac:dyDescent="0.2"/>
    <row r="124" spans="2:167" ht="15.75" customHeight="1" x14ac:dyDescent="0.2"/>
    <row r="125" spans="2:167" ht="15.75" customHeight="1" x14ac:dyDescent="0.2"/>
    <row r="126" spans="2:167" ht="15.75" customHeight="1" x14ac:dyDescent="0.2"/>
    <row r="127" spans="2:167" ht="15.75" customHeight="1" x14ac:dyDescent="0.2"/>
    <row r="128" spans="2:16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21F2-69C5-421F-9A82-9D8CF9685AA9}">
  <sheetPr>
    <tabColor theme="7" tint="0.59999389629810485"/>
  </sheetPr>
  <dimension ref="B1:FJ145"/>
  <sheetViews>
    <sheetView showGridLines="0" zoomScaleNormal="100" workbookViewId="0">
      <pane xSplit="2" ySplit="2" topLeftCell="CR3" activePane="bottomRight" state="frozen"/>
      <selection activeCell="B3" sqref="B3"/>
      <selection pane="topRight" activeCell="B3" sqref="B3"/>
      <selection pane="bottomLeft" activeCell="B3" sqref="B3"/>
      <selection pane="bottomRight" activeCell="CU6" sqref="CU6"/>
    </sheetView>
  </sheetViews>
  <sheetFormatPr baseColWidth="10" defaultColWidth="8.6640625" defaultRowHeight="15" x14ac:dyDescent="0.2"/>
  <cols>
    <col min="1" max="1" width="2.6640625" customWidth="1"/>
    <col min="2" max="2" width="33.6640625" bestFit="1" customWidth="1"/>
    <col min="3" max="134" width="15.6640625" customWidth="1"/>
    <col min="136" max="159" width="15.6640625" customWidth="1"/>
    <col min="161" max="165" width="15" bestFit="1" customWidth="1"/>
    <col min="166" max="166" width="15" customWidth="1"/>
  </cols>
  <sheetData>
    <row r="1" spans="2:166" x14ac:dyDescent="0.2">
      <c r="BZ1" s="201"/>
      <c r="CA1" s="201"/>
      <c r="CB1" s="201"/>
      <c r="CC1" s="201"/>
      <c r="CD1" s="201"/>
      <c r="CE1" s="201"/>
      <c r="CF1" s="201"/>
      <c r="CG1" s="201"/>
      <c r="CH1" s="201"/>
      <c r="CI1" s="201"/>
      <c r="CJ1" s="201"/>
      <c r="CK1" s="201"/>
      <c r="CL1" s="201"/>
      <c r="CM1" s="201"/>
      <c r="CN1" s="201"/>
      <c r="CO1" s="201"/>
      <c r="CP1" s="201"/>
      <c r="CQ1" s="201"/>
      <c r="CR1" s="201"/>
      <c r="CS1" s="201"/>
      <c r="CT1" s="201"/>
      <c r="CU1" s="201"/>
      <c r="CV1" s="201"/>
      <c r="CW1" s="201"/>
      <c r="CX1" s="201"/>
      <c r="CY1" s="201"/>
      <c r="CZ1" s="201"/>
      <c r="DA1" s="201"/>
      <c r="DB1" s="201"/>
      <c r="DC1" s="201"/>
      <c r="DD1" s="201"/>
      <c r="DE1" s="201"/>
      <c r="DF1" s="201"/>
    </row>
    <row r="2" spans="2:166" x14ac:dyDescent="0.2">
      <c r="B2" s="136" t="s">
        <v>226</v>
      </c>
      <c r="C2" s="2">
        <v>43208</v>
      </c>
      <c r="D2" s="2">
        <v>43238</v>
      </c>
      <c r="E2" s="2">
        <v>43269</v>
      </c>
      <c r="F2" s="2">
        <v>43282</v>
      </c>
      <c r="G2" s="2">
        <v>43313</v>
      </c>
      <c r="H2" s="2">
        <v>43344</v>
      </c>
      <c r="I2" s="2">
        <v>43374</v>
      </c>
      <c r="J2" s="2">
        <v>43405</v>
      </c>
      <c r="K2" s="2">
        <v>43435</v>
      </c>
      <c r="L2" s="2">
        <v>43466</v>
      </c>
      <c r="M2" s="2">
        <v>43497</v>
      </c>
      <c r="N2" s="2">
        <v>43525</v>
      </c>
      <c r="O2" s="2">
        <v>43556</v>
      </c>
      <c r="P2" s="2">
        <v>43586</v>
      </c>
      <c r="Q2" s="2">
        <v>43617</v>
      </c>
      <c r="R2" s="2">
        <v>43647</v>
      </c>
      <c r="S2" s="2">
        <v>43678</v>
      </c>
      <c r="T2" s="2">
        <v>43709</v>
      </c>
      <c r="U2" s="2">
        <v>43740</v>
      </c>
      <c r="V2" s="2">
        <v>43771</v>
      </c>
      <c r="W2" s="2">
        <v>43802</v>
      </c>
      <c r="X2" s="2">
        <v>43833</v>
      </c>
      <c r="Y2" s="2">
        <v>43864</v>
      </c>
      <c r="Z2" s="2">
        <v>43895</v>
      </c>
      <c r="AA2" s="2">
        <v>43926</v>
      </c>
      <c r="AB2" s="2">
        <v>43957</v>
      </c>
      <c r="AC2" s="2">
        <v>43988</v>
      </c>
      <c r="AD2" s="2">
        <v>44019</v>
      </c>
      <c r="AE2" s="2">
        <v>44050</v>
      </c>
      <c r="AF2" s="2">
        <v>44081</v>
      </c>
      <c r="AG2" s="2">
        <v>44112</v>
      </c>
      <c r="AH2" s="2">
        <v>44143</v>
      </c>
      <c r="AI2" s="2">
        <v>44174</v>
      </c>
      <c r="AJ2" s="2">
        <v>44205</v>
      </c>
      <c r="AK2" s="2">
        <v>44236</v>
      </c>
      <c r="AL2" s="2">
        <v>44267</v>
      </c>
      <c r="AM2" s="2">
        <v>44298</v>
      </c>
      <c r="AN2" s="2">
        <v>44329</v>
      </c>
      <c r="AO2" s="2">
        <v>44360</v>
      </c>
      <c r="AP2" s="2">
        <v>44391</v>
      </c>
      <c r="AQ2" s="2">
        <v>44422</v>
      </c>
      <c r="AR2" s="2">
        <v>44453</v>
      </c>
      <c r="AS2" s="2">
        <v>44484</v>
      </c>
      <c r="AT2" s="2">
        <v>44515</v>
      </c>
      <c r="AU2" s="2">
        <v>44546</v>
      </c>
      <c r="AV2" s="2">
        <v>44577</v>
      </c>
      <c r="AW2" s="2">
        <v>44608</v>
      </c>
      <c r="AX2" s="2">
        <v>44639</v>
      </c>
      <c r="AY2" s="2">
        <v>44670</v>
      </c>
      <c r="AZ2" s="2">
        <v>44701</v>
      </c>
      <c r="BA2" s="2">
        <v>44732</v>
      </c>
      <c r="BB2" s="2">
        <v>44763</v>
      </c>
      <c r="BC2" s="2">
        <v>44794</v>
      </c>
      <c r="BD2" s="2">
        <v>44825</v>
      </c>
      <c r="BE2" s="2">
        <v>44856</v>
      </c>
      <c r="BF2" s="2">
        <v>44887</v>
      </c>
      <c r="BG2" s="2">
        <v>44918</v>
      </c>
      <c r="BH2" s="2">
        <v>44949</v>
      </c>
      <c r="BI2" s="2">
        <v>44980</v>
      </c>
      <c r="BJ2" s="2">
        <v>45011</v>
      </c>
      <c r="BK2" s="2">
        <v>45042</v>
      </c>
      <c r="BL2" s="2">
        <v>45073</v>
      </c>
      <c r="BM2" s="2">
        <v>45104</v>
      </c>
      <c r="BN2" s="2">
        <v>45135</v>
      </c>
      <c r="BO2" s="2">
        <v>45166</v>
      </c>
      <c r="BP2" s="2">
        <v>45197</v>
      </c>
      <c r="BQ2" s="2">
        <v>45228</v>
      </c>
      <c r="BR2" s="2">
        <v>45259</v>
      </c>
      <c r="BS2" s="2">
        <v>45290</v>
      </c>
      <c r="BT2" s="2">
        <v>45321</v>
      </c>
      <c r="BU2" s="2">
        <v>45351</v>
      </c>
      <c r="BV2" s="2">
        <v>45381</v>
      </c>
      <c r="BW2" s="2">
        <v>45411</v>
      </c>
      <c r="BX2" s="2">
        <v>45441</v>
      </c>
      <c r="BY2" s="2">
        <v>45471</v>
      </c>
      <c r="BZ2" s="2">
        <v>45501</v>
      </c>
      <c r="CA2" s="2">
        <v>45531</v>
      </c>
      <c r="CB2" s="2">
        <v>45561</v>
      </c>
      <c r="CC2" s="2">
        <v>45591</v>
      </c>
      <c r="CD2" s="2">
        <v>45621</v>
      </c>
      <c r="CE2" s="2">
        <v>45651</v>
      </c>
      <c r="CF2" s="2">
        <v>45681</v>
      </c>
      <c r="CG2" s="2">
        <v>45711</v>
      </c>
      <c r="CH2" s="2">
        <v>45741</v>
      </c>
      <c r="CI2" s="2">
        <v>45771</v>
      </c>
      <c r="CJ2" s="2">
        <v>45801</v>
      </c>
      <c r="CK2" s="2">
        <v>45831</v>
      </c>
      <c r="CL2" s="2">
        <v>45861</v>
      </c>
      <c r="CM2" s="2">
        <v>45891</v>
      </c>
      <c r="CN2" s="2">
        <v>45921</v>
      </c>
      <c r="CO2" s="2">
        <v>45951</v>
      </c>
      <c r="CP2" s="2">
        <v>45981</v>
      </c>
      <c r="CQ2" s="2">
        <v>46011</v>
      </c>
      <c r="CR2" s="2">
        <f>CQ2+30</f>
        <v>46041</v>
      </c>
      <c r="CS2" s="2">
        <f t="shared" ref="CS2:DR2" si="0">CR2+30</f>
        <v>46071</v>
      </c>
      <c r="CT2" s="2">
        <f t="shared" si="0"/>
        <v>46101</v>
      </c>
      <c r="CU2" s="2">
        <f t="shared" si="0"/>
        <v>46131</v>
      </c>
      <c r="CV2" s="2">
        <f t="shared" si="0"/>
        <v>46161</v>
      </c>
      <c r="CW2" s="2">
        <f t="shared" si="0"/>
        <v>46191</v>
      </c>
      <c r="CX2" s="2">
        <f t="shared" si="0"/>
        <v>46221</v>
      </c>
      <c r="CY2" s="2">
        <f t="shared" si="0"/>
        <v>46251</v>
      </c>
      <c r="CZ2" s="2">
        <f t="shared" si="0"/>
        <v>46281</v>
      </c>
      <c r="DA2" s="2">
        <f t="shared" si="0"/>
        <v>46311</v>
      </c>
      <c r="DB2" s="2">
        <f t="shared" si="0"/>
        <v>46341</v>
      </c>
      <c r="DC2" s="2">
        <f t="shared" si="0"/>
        <v>46371</v>
      </c>
      <c r="DD2" s="2">
        <f t="shared" si="0"/>
        <v>46401</v>
      </c>
      <c r="DE2" s="2">
        <f t="shared" si="0"/>
        <v>46431</v>
      </c>
      <c r="DF2" s="2">
        <f t="shared" si="0"/>
        <v>46461</v>
      </c>
      <c r="DG2" s="2">
        <f t="shared" si="0"/>
        <v>46491</v>
      </c>
      <c r="DH2" s="2">
        <f t="shared" si="0"/>
        <v>46521</v>
      </c>
      <c r="DI2" s="2">
        <f t="shared" si="0"/>
        <v>46551</v>
      </c>
      <c r="DJ2" s="2">
        <f t="shared" si="0"/>
        <v>46581</v>
      </c>
      <c r="DK2" s="2">
        <f t="shared" si="0"/>
        <v>46611</v>
      </c>
      <c r="DL2" s="2">
        <f t="shared" si="0"/>
        <v>46641</v>
      </c>
      <c r="DM2" s="2">
        <f t="shared" si="0"/>
        <v>46671</v>
      </c>
      <c r="DN2" s="2">
        <f t="shared" si="0"/>
        <v>46701</v>
      </c>
      <c r="DO2" s="2">
        <f t="shared" si="0"/>
        <v>46731</v>
      </c>
      <c r="DP2" s="2">
        <f t="shared" si="0"/>
        <v>46761</v>
      </c>
      <c r="DQ2" s="2">
        <f t="shared" si="0"/>
        <v>46791</v>
      </c>
      <c r="DR2" s="2">
        <f t="shared" si="0"/>
        <v>46821</v>
      </c>
      <c r="DS2" s="2">
        <v>46851</v>
      </c>
      <c r="DT2" s="2">
        <v>46881</v>
      </c>
      <c r="DU2" s="2">
        <v>46911</v>
      </c>
      <c r="DV2" s="2">
        <v>46941</v>
      </c>
      <c r="DW2" s="2">
        <v>46971</v>
      </c>
      <c r="DX2" s="2">
        <v>47001</v>
      </c>
      <c r="DY2" s="2">
        <v>47031</v>
      </c>
      <c r="DZ2" s="2">
        <v>47061</v>
      </c>
      <c r="EA2" s="2">
        <v>47091</v>
      </c>
      <c r="EB2" s="2">
        <v>47121</v>
      </c>
      <c r="EC2" s="2">
        <v>47151</v>
      </c>
      <c r="ED2" s="2">
        <v>47181</v>
      </c>
      <c r="EE2" s="168"/>
      <c r="EF2" s="291" t="s">
        <v>77</v>
      </c>
      <c r="EG2" s="291" t="s">
        <v>78</v>
      </c>
      <c r="EH2" s="291" t="s">
        <v>79</v>
      </c>
      <c r="EI2" s="291" t="s">
        <v>80</v>
      </c>
      <c r="EJ2" s="291" t="s">
        <v>81</v>
      </c>
      <c r="EK2" s="291" t="s">
        <v>82</v>
      </c>
      <c r="EL2" s="291" t="s">
        <v>83</v>
      </c>
      <c r="EM2" s="291" t="s">
        <v>84</v>
      </c>
      <c r="EN2" s="291" t="s">
        <v>85</v>
      </c>
      <c r="EO2" s="291" t="s">
        <v>86</v>
      </c>
      <c r="EP2" s="291" t="s">
        <v>87</v>
      </c>
      <c r="EQ2" s="291" t="s">
        <v>88</v>
      </c>
      <c r="ER2" s="291" t="s">
        <v>117</v>
      </c>
      <c r="ES2" s="291" t="s">
        <v>118</v>
      </c>
      <c r="ET2" s="291" t="s">
        <v>119</v>
      </c>
      <c r="EU2" s="291" t="s">
        <v>120</v>
      </c>
      <c r="EV2" s="291" t="s">
        <v>121</v>
      </c>
      <c r="EW2" s="291" t="s">
        <v>122</v>
      </c>
      <c r="EX2" s="291" t="s">
        <v>123</v>
      </c>
      <c r="EY2" s="291" t="s">
        <v>124</v>
      </c>
      <c r="EZ2" s="291" t="s">
        <v>583</v>
      </c>
      <c r="FA2" s="291" t="s">
        <v>584</v>
      </c>
      <c r="FB2" s="291" t="s">
        <v>585</v>
      </c>
      <c r="FC2" s="291" t="s">
        <v>581</v>
      </c>
      <c r="FE2" s="291" t="s">
        <v>486</v>
      </c>
      <c r="FF2" s="291" t="s">
        <v>128</v>
      </c>
      <c r="FG2" s="291" t="s">
        <v>125</v>
      </c>
      <c r="FH2" s="291" t="s">
        <v>126</v>
      </c>
      <c r="FI2" s="291" t="s">
        <v>127</v>
      </c>
      <c r="FJ2" s="291" t="s">
        <v>582</v>
      </c>
    </row>
    <row r="3" spans="2:166" s="30" customFormat="1" x14ac:dyDescent="0.2">
      <c r="B3" s="183" t="s">
        <v>2</v>
      </c>
      <c r="C3" s="182">
        <f>SUM(C4:C6)</f>
        <v>6493223.7199999997</v>
      </c>
      <c r="D3" s="182">
        <f t="shared" ref="D3:BJ3" si="1">SUM(D4:D6)</f>
        <v>6995016</v>
      </c>
      <c r="E3" s="182">
        <f t="shared" si="1"/>
        <v>6266782.9689844027</v>
      </c>
      <c r="F3" s="182">
        <f t="shared" si="1"/>
        <v>9975111.8193185106</v>
      </c>
      <c r="G3" s="182">
        <f t="shared" si="1"/>
        <v>8792729.1163709052</v>
      </c>
      <c r="H3" s="182">
        <f t="shared" si="1"/>
        <v>7349297.6943097655</v>
      </c>
      <c r="I3" s="182">
        <f t="shared" si="1"/>
        <v>8404052.8000000007</v>
      </c>
      <c r="J3" s="182">
        <f t="shared" si="1"/>
        <v>10228739.060000001</v>
      </c>
      <c r="K3" s="182">
        <f t="shared" si="1"/>
        <v>12234584.41</v>
      </c>
      <c r="L3" s="182">
        <f t="shared" si="1"/>
        <v>14201546.980714288</v>
      </c>
      <c r="M3" s="182">
        <f t="shared" si="1"/>
        <v>21663404.160714284</v>
      </c>
      <c r="N3" s="182">
        <f t="shared" si="1"/>
        <v>34791790.419285715</v>
      </c>
      <c r="O3" s="182">
        <f t="shared" si="1"/>
        <v>45045998.531428576</v>
      </c>
      <c r="P3" s="182">
        <f t="shared" si="1"/>
        <v>48761101.704642862</v>
      </c>
      <c r="Q3" s="182">
        <f t="shared" si="1"/>
        <v>43939602.975000001</v>
      </c>
      <c r="R3" s="182">
        <f t="shared" si="1"/>
        <v>60027306.579642855</v>
      </c>
      <c r="S3" s="182">
        <f t="shared" si="1"/>
        <v>38468123</v>
      </c>
      <c r="T3" s="182">
        <f t="shared" si="1"/>
        <v>51134201</v>
      </c>
      <c r="U3" s="182">
        <f t="shared" si="1"/>
        <v>41541394</v>
      </c>
      <c r="V3" s="182">
        <f t="shared" si="1"/>
        <v>23007666</v>
      </c>
      <c r="W3" s="182">
        <f t="shared" si="1"/>
        <v>32006778</v>
      </c>
      <c r="X3" s="182">
        <f t="shared" si="1"/>
        <v>40725896.785471424</v>
      </c>
      <c r="Y3" s="182">
        <f t="shared" si="1"/>
        <v>46884419.623240829</v>
      </c>
      <c r="Z3" s="182">
        <f t="shared" si="1"/>
        <v>31837763.863357142</v>
      </c>
      <c r="AA3" s="182">
        <f t="shared" si="1"/>
        <v>2797892</v>
      </c>
      <c r="AB3" s="182">
        <f t="shared" si="1"/>
        <v>37808589.104352541</v>
      </c>
      <c r="AC3" s="182">
        <f t="shared" si="1"/>
        <v>39145018.93576429</v>
      </c>
      <c r="AD3" s="182">
        <f t="shared" si="1"/>
        <v>36295307.018399999</v>
      </c>
      <c r="AE3" s="182">
        <f t="shared" si="1"/>
        <v>39746074.399999999</v>
      </c>
      <c r="AF3" s="182">
        <f t="shared" si="1"/>
        <v>44830032.425999992</v>
      </c>
      <c r="AG3" s="182">
        <f t="shared" si="1"/>
        <v>56552071.056000002</v>
      </c>
      <c r="AH3" s="182">
        <f t="shared" si="1"/>
        <v>63320564</v>
      </c>
      <c r="AI3" s="182">
        <f t="shared" si="1"/>
        <v>108550376.05000001</v>
      </c>
      <c r="AJ3" s="182">
        <f t="shared" si="1"/>
        <v>131304554.43000001</v>
      </c>
      <c r="AK3" s="182">
        <f t="shared" si="1"/>
        <v>108410208.77999999</v>
      </c>
      <c r="AL3" s="182">
        <f t="shared" si="1"/>
        <v>108683003.06000009</v>
      </c>
      <c r="AM3" s="182">
        <f t="shared" si="1"/>
        <v>72449138.329999968</v>
      </c>
      <c r="AN3" s="182">
        <f t="shared" si="1"/>
        <v>30767809.959999997</v>
      </c>
      <c r="AO3" s="182">
        <f t="shared" si="1"/>
        <v>68607548.359999985</v>
      </c>
      <c r="AP3" s="182">
        <f t="shared" si="1"/>
        <v>86665480.179999948</v>
      </c>
      <c r="AQ3" s="182">
        <f t="shared" si="1"/>
        <v>98333154.790000051</v>
      </c>
      <c r="AR3" s="182">
        <f t="shared" si="1"/>
        <v>122696462.07000017</v>
      </c>
      <c r="AS3" s="182">
        <f t="shared" si="1"/>
        <v>141176640.10000035</v>
      </c>
      <c r="AT3" s="182">
        <f t="shared" si="1"/>
        <v>186419952.91000026</v>
      </c>
      <c r="AU3" s="182">
        <f t="shared" si="1"/>
        <v>229473469.39000115</v>
      </c>
      <c r="AV3" s="182">
        <f t="shared" si="1"/>
        <v>245304164.34000292</v>
      </c>
      <c r="AW3" s="182">
        <f t="shared" si="1"/>
        <v>245158391.2199963</v>
      </c>
      <c r="AX3" s="182">
        <f t="shared" si="1"/>
        <v>250380243.56999502</v>
      </c>
      <c r="AY3" s="182">
        <f t="shared" si="1"/>
        <v>187381291.81999594</v>
      </c>
      <c r="AZ3" s="182">
        <f t="shared" si="1"/>
        <v>226632342.57000482</v>
      </c>
      <c r="BA3" s="182">
        <f t="shared" si="1"/>
        <v>269175211.93999016</v>
      </c>
      <c r="BB3" s="182">
        <f t="shared" si="1"/>
        <v>258983602.39999861</v>
      </c>
      <c r="BC3" s="182">
        <f t="shared" si="1"/>
        <v>247407699.40000543</v>
      </c>
      <c r="BD3" s="182">
        <f t="shared" si="1"/>
        <v>244314832.55999985</v>
      </c>
      <c r="BE3" s="182">
        <f t="shared" si="1"/>
        <v>284660267.03999579</v>
      </c>
      <c r="BF3" s="182">
        <f t="shared" si="1"/>
        <v>299284058.72718781</v>
      </c>
      <c r="BG3" s="182">
        <f t="shared" si="1"/>
        <v>349982741.39332902</v>
      </c>
      <c r="BH3" s="182">
        <f t="shared" si="1"/>
        <v>376022494.09651744</v>
      </c>
      <c r="BI3" s="182">
        <f t="shared" si="1"/>
        <v>401089329.28452063</v>
      </c>
      <c r="BJ3" s="182">
        <f t="shared" si="1"/>
        <v>584164775.08443785</v>
      </c>
      <c r="BK3" s="182">
        <f t="shared" ref="BK3" si="2">SUM(BK4:BK6)</f>
        <v>583422305.55232835</v>
      </c>
      <c r="BL3" s="182">
        <f t="shared" ref="BL3" si="3">SUM(BL4:BL6)</f>
        <v>576823505.3879863</v>
      </c>
      <c r="BM3" s="182">
        <f t="shared" ref="BM3" si="4">SUM(BM4:BM6)</f>
        <v>601904853.95322061</v>
      </c>
      <c r="BN3" s="182">
        <f t="shared" ref="BN3" si="5">SUM(BN4:BN6)</f>
        <v>524306731.93909264</v>
      </c>
      <c r="BO3" s="182">
        <f t="shared" ref="BO3" si="6">SUM(BO4:BO6)</f>
        <v>525501354.34422129</v>
      </c>
      <c r="BP3" s="182">
        <f t="shared" ref="BP3" si="7">SUM(BP4:BP6)</f>
        <v>542445355.49881947</v>
      </c>
      <c r="BQ3" s="182">
        <f t="shared" ref="BQ3" si="8">SUM(BQ4:BQ6)</f>
        <v>793601432.31469703</v>
      </c>
      <c r="BR3" s="182">
        <f t="shared" ref="BR3" si="9">SUM(BR4:BR6)</f>
        <v>659791779.89382625</v>
      </c>
      <c r="BS3" s="182">
        <f t="shared" ref="BS3" si="10">SUM(BS4:BS6)</f>
        <v>581704416.75916505</v>
      </c>
      <c r="BT3" s="182">
        <f t="shared" ref="BT3" si="11">SUM(BT4:BT6)</f>
        <v>556591042.66082335</v>
      </c>
      <c r="BU3" s="182">
        <f t="shared" ref="BU3" si="12">SUM(BU4:BU6)</f>
        <v>488566128.98305082</v>
      </c>
      <c r="BV3" s="182">
        <f t="shared" ref="BV3" si="13">SUM(BV4:BV6)</f>
        <v>590058410.66021729</v>
      </c>
      <c r="BW3" s="182">
        <f t="shared" ref="BW3" si="14">SUM(BW4:BW6)</f>
        <v>603345232.87076771</v>
      </c>
      <c r="BX3" s="182">
        <f t="shared" ref="BX3" si="15">SUM(BX4:BX6)</f>
        <v>624023257.86366093</v>
      </c>
      <c r="BY3" s="182">
        <f t="shared" ref="BY3" si="16">SUM(BY4:BY6)</f>
        <v>650978990.64704883</v>
      </c>
      <c r="BZ3" s="182">
        <f t="shared" ref="BZ3" si="17">SUM(BZ4:BZ6)</f>
        <v>652854059.39690232</v>
      </c>
      <c r="CA3" s="182">
        <f t="shared" ref="CA3" si="18">SUM(CA4:CA6)</f>
        <v>590986769.38424909</v>
      </c>
      <c r="CB3" s="182">
        <f t="shared" ref="CB3" si="19">SUM(CB4:CB6)</f>
        <v>566321721.95117998</v>
      </c>
      <c r="CC3" s="182">
        <f t="shared" ref="CC3" si="20">SUM(CC4:CC6)</f>
        <v>659925165.28428674</v>
      </c>
      <c r="CD3" s="182">
        <f t="shared" ref="CD3" si="21">SUM(CD4:CD6)</f>
        <v>636483199.71225905</v>
      </c>
      <c r="CE3" s="182">
        <f t="shared" ref="CE3" si="22">SUM(CE4:CE6)</f>
        <v>738638897.54805088</v>
      </c>
      <c r="CF3" s="182">
        <f t="shared" ref="CF3" si="23">SUM(CF4:CF6)</f>
        <v>805734218.00191855</v>
      </c>
      <c r="CG3" s="182">
        <f t="shared" ref="CG3" si="24">SUM(CG4:CG6)</f>
        <v>773151446.13182259</v>
      </c>
      <c r="CH3" s="182">
        <f t="shared" ref="CH3" si="25">SUM(CH4:CH6)</f>
        <v>1000874252.1862799</v>
      </c>
      <c r="CI3" s="182">
        <f t="shared" ref="CI3" si="26">SUM(CI4:CI6)</f>
        <v>945775314.40778399</v>
      </c>
      <c r="CJ3" s="182">
        <f t="shared" ref="CJ3" si="27">SUM(CJ4:CJ6)</f>
        <v>927142659.97934294</v>
      </c>
      <c r="CK3" s="182">
        <f t="shared" ref="CK3" si="28">SUM(CK4:CK6)</f>
        <v>929708983.47481823</v>
      </c>
      <c r="CL3" s="182">
        <f t="shared" ref="CL3" si="29">SUM(CL4:CL6)</f>
        <v>983854039.47745824</v>
      </c>
      <c r="CM3" s="182">
        <f t="shared" ref="CM3" si="30">SUM(CM4:CM6)</f>
        <v>854180854.13000178</v>
      </c>
      <c r="CN3" s="182">
        <f t="shared" ref="CN3" si="31">SUM(CN4:CN6)</f>
        <v>859635281.33670187</v>
      </c>
      <c r="CO3" s="182">
        <f t="shared" ref="CO3" si="32">SUM(CO4:CO6)</f>
        <v>1047081431.3074878</v>
      </c>
      <c r="CP3" s="182">
        <f t="shared" ref="CP3" si="33">SUM(CP4:CP6)</f>
        <v>971320272.9605999</v>
      </c>
      <c r="CQ3" s="182">
        <f t="shared" ref="CQ3" si="34">SUM(CQ4:CQ6)</f>
        <v>1173599657.4649954</v>
      </c>
      <c r="CR3" s="182">
        <f t="shared" ref="CR3" si="35">SUM(CR4:CR6)</f>
        <v>1274812397.3806381</v>
      </c>
      <c r="CS3" s="182">
        <f t="shared" ref="CS3" si="36">SUM(CS4:CS6)</f>
        <v>1150481581.4577537</v>
      </c>
      <c r="CT3" s="182">
        <f t="shared" ref="CT3" si="37">SUM(CT4:CT6)</f>
        <v>1338560712.5214486</v>
      </c>
      <c r="CU3" s="182">
        <f t="shared" ref="CU3" si="38">SUM(CU4:CU6)</f>
        <v>1204070897.7334597</v>
      </c>
      <c r="CV3" s="182">
        <f t="shared" ref="CV3" si="39">SUM(CV4:CV6)</f>
        <v>1193493325.219964</v>
      </c>
      <c r="CW3" s="182">
        <f t="shared" ref="CW3" si="40">SUM(CW4:CW6)</f>
        <v>1190879418.8241432</v>
      </c>
      <c r="CX3" s="182">
        <f t="shared" ref="CX3" si="41">SUM(CX4:CX6)</f>
        <v>1258451372.7264748</v>
      </c>
      <c r="CY3" s="182">
        <f t="shared" ref="CY3" si="42">SUM(CY4:CY6)</f>
        <v>1143303484.3245347</v>
      </c>
      <c r="CZ3" s="182">
        <f t="shared" ref="CZ3" si="43">SUM(CZ4:CZ6)</f>
        <v>1139227251.7070184</v>
      </c>
      <c r="DA3" s="182">
        <f t="shared" ref="DA3" si="44">SUM(DA4:DA6)</f>
        <v>1285171311.6480923</v>
      </c>
      <c r="DB3" s="182">
        <f t="shared" ref="DB3" si="45">SUM(DB4:DB6)</f>
        <v>1221358997.4525406</v>
      </c>
      <c r="DC3" s="182">
        <f t="shared" ref="DC3" si="46">SUM(DC4:DC6)</f>
        <v>1484442668.9466646</v>
      </c>
      <c r="DD3" s="182">
        <f t="shared" ref="DD3" si="47">SUM(DD4:DD6)</f>
        <v>1556643416.8440394</v>
      </c>
      <c r="DE3" s="182">
        <f t="shared" ref="DE3" si="48">SUM(DE4:DE6)</f>
        <v>1391132252.3442254</v>
      </c>
      <c r="DF3" s="182">
        <f t="shared" ref="DF3" si="49">SUM(DF4:DF6)</f>
        <v>1577621169.3226919</v>
      </c>
      <c r="DG3" s="182">
        <f t="shared" ref="DG3" si="50">SUM(DG4:DG6)</f>
        <v>1455274457.3707795</v>
      </c>
      <c r="DH3" s="182">
        <f t="shared" ref="DH3" si="51">SUM(DH4:DH6)</f>
        <v>1444278582.3384347</v>
      </c>
      <c r="DI3" s="182">
        <f t="shared" ref="DI3" si="52">SUM(DI4:DI6)</f>
        <v>1436884653.1432908</v>
      </c>
      <c r="DJ3" s="182">
        <f t="shared" ref="DJ3" si="53">SUM(DJ4:DJ6)</f>
        <v>1518430432.6898024</v>
      </c>
      <c r="DK3" s="182">
        <f t="shared" ref="DK3" si="54">SUM(DK4:DK6)</f>
        <v>1377707766.722887</v>
      </c>
      <c r="DL3" s="182">
        <f t="shared" ref="DL3" si="55">SUM(DL4:DL6)</f>
        <v>1369701037.7743316</v>
      </c>
      <c r="DM3" s="182">
        <f t="shared" ref="DM3" si="56">SUM(DM4:DM6)</f>
        <v>1544084658.6149368</v>
      </c>
      <c r="DN3" s="182">
        <f t="shared" ref="DN3" si="57">SUM(DN4:DN6)</f>
        <v>1462660265.9747</v>
      </c>
      <c r="DO3" s="182">
        <f t="shared" ref="DO3" si="58">SUM(DO4:DO6)</f>
        <v>1773304539.001683</v>
      </c>
      <c r="DP3" s="182">
        <f t="shared" ref="DP3" si="59">SUM(DP4:DP6)</f>
        <v>1854900406.1409693</v>
      </c>
      <c r="DQ3" s="182">
        <f t="shared" ref="DQ3" si="60">SUM(DQ4:DQ6)</f>
        <v>1653754222.2706499</v>
      </c>
      <c r="DR3" s="182">
        <f t="shared" ref="DR3" si="61">SUM(DR4:DR6)</f>
        <v>1862993942.8759494</v>
      </c>
      <c r="DS3" s="182">
        <f t="shared" ref="DS3:ED3" si="62">SUM(DS4:DS6)</f>
        <v>1689140824.5077848</v>
      </c>
      <c r="DT3" s="182">
        <f t="shared" si="62"/>
        <v>1675981302.4347477</v>
      </c>
      <c r="DU3" s="182">
        <f t="shared" si="62"/>
        <v>1666968030.1671319</v>
      </c>
      <c r="DV3" s="182">
        <f t="shared" si="62"/>
        <v>1759876616.5470459</v>
      </c>
      <c r="DW3" s="182">
        <f t="shared" si="62"/>
        <v>1596969490.7966971</v>
      </c>
      <c r="DX3" s="182">
        <f t="shared" si="62"/>
        <v>1589407268.0282893</v>
      </c>
      <c r="DY3" s="182">
        <f t="shared" si="62"/>
        <v>1786877994.0522974</v>
      </c>
      <c r="DZ3" s="182">
        <f t="shared" si="62"/>
        <v>1693739275.1858854</v>
      </c>
      <c r="EA3" s="182">
        <f t="shared" si="62"/>
        <v>2053606166.7497425</v>
      </c>
      <c r="EB3" s="182">
        <f t="shared" si="62"/>
        <v>2148940357.0126853</v>
      </c>
      <c r="EC3" s="182">
        <f t="shared" si="62"/>
        <v>1913990544.0313387</v>
      </c>
      <c r="ED3" s="182">
        <f t="shared" si="62"/>
        <v>2154257371.991241</v>
      </c>
      <c r="EE3" s="333"/>
      <c r="EF3" s="224">
        <f t="shared" ref="EF3:EF10" si="63">SUM(BK3:BM3)</f>
        <v>1762150664.8935354</v>
      </c>
      <c r="EG3" s="224">
        <f t="shared" ref="EG3:EG10" si="64">SUM(BN3:BP3)</f>
        <v>1592253441.7821336</v>
      </c>
      <c r="EH3" s="224">
        <f t="shared" ref="EH3:EH10" si="65">SUM(BQ3:BS3)</f>
        <v>2035097628.9676883</v>
      </c>
      <c r="EI3" s="224">
        <f t="shared" ref="EI3:EI10" si="66">SUM(BT3:BV3)</f>
        <v>1635215582.3040915</v>
      </c>
      <c r="EJ3" s="224">
        <f t="shared" ref="EJ3:EJ10" si="67">SUM(BW3:BY3)</f>
        <v>1878347481.3814774</v>
      </c>
      <c r="EK3" s="224">
        <f t="shared" ref="EK3:EK10" si="68">SUM(CL3:CN3)</f>
        <v>2697670174.9441619</v>
      </c>
      <c r="EL3" s="224">
        <f t="shared" ref="EL3:EL10" si="69">SUM(CC3:CE3)</f>
        <v>2035047262.5445967</v>
      </c>
      <c r="EM3" s="224">
        <f t="shared" ref="EM3:EM10" si="70">SUM(CF3:CH3)</f>
        <v>2579759916.3200212</v>
      </c>
      <c r="EN3" s="224">
        <f t="shared" ref="EN3:EN10" si="71">SUM(CI3:CK3)</f>
        <v>2802626957.8619452</v>
      </c>
      <c r="EO3" s="224">
        <f t="shared" ref="EO3:EO10" si="72">SUM(CL3:CN3)</f>
        <v>2697670174.9441619</v>
      </c>
      <c r="EP3" s="224">
        <f t="shared" ref="EP3:EP10" si="73">SUM(CO3:CQ3)</f>
        <v>3192001361.7330832</v>
      </c>
      <c r="EQ3" s="224">
        <f t="shared" ref="EQ3:EQ10" si="74">SUM(CR3:CT3)</f>
        <v>3763854691.3598404</v>
      </c>
      <c r="ER3" s="224">
        <f t="shared" ref="ER3:ER10" si="75">SUM(CU3:CW3)</f>
        <v>3588443641.7775669</v>
      </c>
      <c r="ES3" s="224">
        <f t="shared" ref="ES3:ES10" si="76">SUM(CX3:CZ3)</f>
        <v>3540982108.7580276</v>
      </c>
      <c r="ET3" s="224">
        <f t="shared" ref="ET3:ET10" si="77">SUM(DA3:DC3)</f>
        <v>3990972978.0472975</v>
      </c>
      <c r="EU3" s="224">
        <f t="shared" ref="EU3:EU10" si="78">SUM(DD3:DF3)</f>
        <v>4525396838.5109568</v>
      </c>
      <c r="EV3" s="224">
        <f t="shared" ref="EV3:EV10" si="79">SUM(DG3:DI3)</f>
        <v>4336437692.8525047</v>
      </c>
      <c r="EW3" s="224">
        <f t="shared" ref="EW3:EW10" si="80">SUM(DJ3:DL3)</f>
        <v>4265839237.1870208</v>
      </c>
      <c r="EX3" s="224">
        <f t="shared" ref="EX3:EX10" si="81">SUM(DM3:DO3)</f>
        <v>4780049463.59132</v>
      </c>
      <c r="EY3" s="224">
        <f t="shared" ref="EY3:EY10" si="82">SUM(DP3:DR3)</f>
        <v>5371648571.287569</v>
      </c>
      <c r="EZ3" s="224">
        <f>SUM(DS3:DU3)</f>
        <v>5032090157.1096649</v>
      </c>
      <c r="FA3" s="224">
        <f>SUM(DV3:DX3)</f>
        <v>4946253375.3720322</v>
      </c>
      <c r="FB3" s="224">
        <f>SUM(DY3:EA3)</f>
        <v>5534223435.9879255</v>
      </c>
      <c r="FC3" s="224">
        <f>SUM(EB3:ED3)</f>
        <v>6217188273.035265</v>
      </c>
      <c r="FE3" s="224">
        <f>SUM(EF3:EI3)</f>
        <v>7024717317.9474487</v>
      </c>
      <c r="FF3" s="224">
        <f>SUM(EJ3:EM3)</f>
        <v>9190824835.190258</v>
      </c>
      <c r="FG3" s="224">
        <f>SUM(EN3:EQ3)</f>
        <v>12456153185.899031</v>
      </c>
      <c r="FH3" s="224">
        <f>SUM(ER3:EU3)</f>
        <v>15645795567.093849</v>
      </c>
      <c r="FI3" s="224">
        <f>SUM(EV3:EY3)</f>
        <v>18753974964.918415</v>
      </c>
      <c r="FJ3" s="224">
        <f>SUM(EZ3:FC3)</f>
        <v>21729755241.50489</v>
      </c>
    </row>
    <row r="4" spans="2:166" x14ac:dyDescent="0.2">
      <c r="B4" s="155" t="s">
        <v>227</v>
      </c>
      <c r="C4" s="19">
        <f>'P&amp;L - Inputs'!B679</f>
        <v>6493223.7199999997</v>
      </c>
      <c r="D4" s="19">
        <f>'P&amp;L - Inputs'!C679</f>
        <v>6995016</v>
      </c>
      <c r="E4" s="19">
        <f>'P&amp;L - Inputs'!D679</f>
        <v>6266782.9689844027</v>
      </c>
      <c r="F4" s="19">
        <f>'P&amp;L - Inputs'!E679</f>
        <v>9975111.8193185106</v>
      </c>
      <c r="G4" s="19">
        <f>'P&amp;L - Inputs'!F679</f>
        <v>8792729.1163709052</v>
      </c>
      <c r="H4" s="19">
        <f>'P&amp;L - Inputs'!G679</f>
        <v>7349297.6943097655</v>
      </c>
      <c r="I4" s="19">
        <f>'P&amp;L - Inputs'!H679</f>
        <v>8404052.8000000007</v>
      </c>
      <c r="J4" s="19">
        <f>'P&amp;L - Inputs'!I679</f>
        <v>10228739.060000001</v>
      </c>
      <c r="K4" s="19">
        <f>'P&amp;L - Inputs'!J679</f>
        <v>12234584.41</v>
      </c>
      <c r="L4" s="19">
        <f>'P&amp;L - Inputs'!K679</f>
        <v>13610742.350000001</v>
      </c>
      <c r="M4" s="19">
        <f>'P&amp;L - Inputs'!L679</f>
        <v>17897923.789999999</v>
      </c>
      <c r="N4" s="19">
        <f>'P&amp;L - Inputs'!M679</f>
        <v>14418973.220000003</v>
      </c>
      <c r="O4" s="19">
        <f>'P&amp;L - Inputs'!N679</f>
        <v>18714235.899999999</v>
      </c>
      <c r="P4" s="19">
        <f>'P&amp;L - Inputs'!O679</f>
        <v>19781350.84</v>
      </c>
      <c r="Q4" s="19">
        <f>'P&amp;L - Inputs'!P679</f>
        <v>23902174</v>
      </c>
      <c r="R4" s="19">
        <f>'P&amp;L - Inputs'!Q679</f>
        <v>20183750</v>
      </c>
      <c r="S4" s="19">
        <f>'P&amp;L - Inputs'!R679</f>
        <v>11938886.534285715</v>
      </c>
      <c r="T4" s="19">
        <f>'P&amp;L - Inputs'!S679</f>
        <v>9402642.0871428568</v>
      </c>
      <c r="U4" s="19">
        <f>'P&amp;L - Inputs'!T679</f>
        <v>6961926.599642857</v>
      </c>
      <c r="V4" s="19">
        <f>'P&amp;L - Inputs'!U679</f>
        <v>8697026.6571428571</v>
      </c>
      <c r="W4" s="19">
        <f>'P&amp;L - Inputs'!V679</f>
        <v>12812303.094642857</v>
      </c>
      <c r="X4" s="19">
        <f>'P&amp;L - Inputs'!W679</f>
        <v>13166349.6644</v>
      </c>
      <c r="Y4" s="19">
        <f>'P&amp;L - Inputs'!X679</f>
        <v>22810554.246812254</v>
      </c>
      <c r="Z4" s="19">
        <f>'P&amp;L - Inputs'!Y679</f>
        <v>9938850.0580000002</v>
      </c>
      <c r="AA4" s="19">
        <f>'P&amp;L - Inputs'!Z679</f>
        <v>2797892</v>
      </c>
      <c r="AB4" s="19">
        <f>'P&amp;L - Inputs'!AA679</f>
        <v>11360423.3652</v>
      </c>
      <c r="AC4" s="19">
        <f>'P&amp;L - Inputs'!AB679</f>
        <v>12728670.46976429</v>
      </c>
      <c r="AD4" s="19">
        <f>'P&amp;L - Inputs'!AC679</f>
        <v>17725715.018400002</v>
      </c>
      <c r="AE4" s="19">
        <f>'P&amp;L - Inputs'!AD679</f>
        <v>18950307.23</v>
      </c>
      <c r="AF4" s="19">
        <f>'P&amp;L - Inputs'!AE679</f>
        <v>17728045</v>
      </c>
      <c r="AG4" s="19">
        <f>'P&amp;L - Inputs'!AF679</f>
        <v>16018491</v>
      </c>
      <c r="AH4" s="19">
        <f>'P&amp;L - Inputs'!AG679</f>
        <v>23641091</v>
      </c>
      <c r="AI4" s="19">
        <f>'P&amp;L - Inputs'!AH679</f>
        <v>31077302</v>
      </c>
      <c r="AJ4" s="19">
        <f>'P&amp;L - Inputs'!AI679</f>
        <v>39517512</v>
      </c>
      <c r="AK4" s="19">
        <f>'P&amp;L - Inputs'!AJ679</f>
        <v>31816231</v>
      </c>
      <c r="AL4" s="19">
        <f>'P&amp;L - Inputs'!AK679</f>
        <v>24484407</v>
      </c>
      <c r="AM4" s="19">
        <f>'P&amp;L - Inputs'!AL679</f>
        <v>18383577</v>
      </c>
      <c r="AN4" s="19">
        <f>'P&amp;L - Inputs'!AM679</f>
        <v>14623536</v>
      </c>
      <c r="AO4" s="19">
        <f>'P&amp;L - Inputs'!AN679</f>
        <v>28521965</v>
      </c>
      <c r="AP4" s="19">
        <f>'P&amp;L - Inputs'!AO679</f>
        <v>39561819</v>
      </c>
      <c r="AQ4" s="19">
        <f>'P&amp;L - Inputs'!AP679</f>
        <v>51609864</v>
      </c>
      <c r="AR4" s="19">
        <f>'P&amp;L - Inputs'!AQ679</f>
        <v>60595201</v>
      </c>
      <c r="AS4" s="19">
        <f>'P&amp;L - Inputs'!AR679</f>
        <v>60517807</v>
      </c>
      <c r="AT4" s="19">
        <f>'P&amp;L - Inputs'!AS679</f>
        <v>54147450</v>
      </c>
      <c r="AU4" s="19">
        <f>'P&amp;L - Inputs'!AT679</f>
        <v>64450744.490000002</v>
      </c>
      <c r="AV4" s="19">
        <f>'P&amp;L - Inputs'!AU679</f>
        <v>75792539.609999999</v>
      </c>
      <c r="AW4" s="19">
        <f>'P&amp;L - Inputs'!AV679</f>
        <v>77594057</v>
      </c>
      <c r="AX4" s="19">
        <f>'P&amp;L - Inputs'!AW679</f>
        <v>87830548</v>
      </c>
      <c r="AY4" s="19">
        <f>'P&amp;L - Inputs'!AX679</f>
        <v>52056539</v>
      </c>
      <c r="AZ4" s="19">
        <f>'P&amp;L - Inputs'!AY679</f>
        <v>54622563</v>
      </c>
      <c r="BA4" s="19">
        <f>'P&amp;L - Inputs'!AZ679</f>
        <v>51017601</v>
      </c>
      <c r="BB4" s="19">
        <f>'P&amp;L - Inputs'!BA679</f>
        <v>40157370</v>
      </c>
      <c r="BC4" s="19">
        <f>'P&amp;L - Inputs'!BB679</f>
        <v>37071431.389999993</v>
      </c>
      <c r="BD4" s="19">
        <f>'P&amp;L - Inputs'!BC679</f>
        <v>24729092.040000007</v>
      </c>
      <c r="BE4" s="19">
        <f>'P&amp;L - Inputs'!BD679</f>
        <v>14859194.84</v>
      </c>
      <c r="BF4" s="19">
        <f>'P&amp;L - Inputs'!BE679</f>
        <v>29701075.367189877</v>
      </c>
      <c r="BG4" s="19">
        <f>'P&amp;L - Inputs'!BF679</f>
        <v>39769727.153314941</v>
      </c>
      <c r="BH4" s="19">
        <f>'P&amp;L - Inputs'!BG679</f>
        <v>47138126.25651826</v>
      </c>
      <c r="BI4" s="19">
        <f>'P&amp;L - Inputs'!BH679</f>
        <v>40772023.234515883</v>
      </c>
      <c r="BJ4" s="19">
        <f>'P&amp;L - Inputs'!BI679</f>
        <v>48257190.86445643</v>
      </c>
      <c r="BK4" s="19">
        <f>'P&amp;L - Inputs'!BJ679</f>
        <v>0</v>
      </c>
      <c r="BL4" s="19">
        <f>'P&amp;L - Inputs'!BK679</f>
        <v>0</v>
      </c>
      <c r="BM4" s="19">
        <f>'P&amp;L - Inputs'!BL679</f>
        <v>0</v>
      </c>
      <c r="BN4" s="19">
        <f>'P&amp;L - Inputs'!BM679</f>
        <v>0</v>
      </c>
      <c r="BO4" s="19">
        <f>'P&amp;L - Inputs'!BN679</f>
        <v>0</v>
      </c>
      <c r="BP4" s="19">
        <f>'P&amp;L - Inputs'!BO679</f>
        <v>0</v>
      </c>
      <c r="BQ4" s="19">
        <f>'P&amp;L - Inputs'!BP679</f>
        <v>0</v>
      </c>
      <c r="BR4" s="19">
        <f>'P&amp;L - Inputs'!BQ679</f>
        <v>0</v>
      </c>
      <c r="BS4" s="19">
        <f>'P&amp;L - Inputs'!BR679</f>
        <v>0</v>
      </c>
      <c r="BT4" s="19">
        <f>'P&amp;L - Inputs'!BS679</f>
        <v>0</v>
      </c>
      <c r="BU4" s="19">
        <f>'P&amp;L - Inputs'!BT679</f>
        <v>0</v>
      </c>
      <c r="BV4" s="19">
        <f>'P&amp;L - Inputs'!BU679</f>
        <v>0</v>
      </c>
      <c r="BW4" s="19">
        <f>'P&amp;L - Inputs'!BV679</f>
        <v>0</v>
      </c>
      <c r="BX4" s="19">
        <f>'P&amp;L - Inputs'!BW679</f>
        <v>0</v>
      </c>
      <c r="BY4" s="19">
        <f>'P&amp;L - Inputs'!BX679</f>
        <v>0</v>
      </c>
      <c r="BZ4" s="19">
        <f>'P&amp;L - Inputs'!BY679</f>
        <v>0</v>
      </c>
      <c r="CA4" s="19">
        <f>'P&amp;L - Inputs'!BZ679</f>
        <v>0</v>
      </c>
      <c r="CB4" s="19">
        <f>'P&amp;L - Inputs'!CA679</f>
        <v>0</v>
      </c>
      <c r="CC4" s="19">
        <f>'P&amp;L - Inputs'!CB679</f>
        <v>0</v>
      </c>
      <c r="CD4" s="19">
        <f>'P&amp;L - Inputs'!CC679</f>
        <v>0</v>
      </c>
      <c r="CE4" s="19">
        <f>'P&amp;L - Inputs'!CD679</f>
        <v>0</v>
      </c>
      <c r="CF4" s="19">
        <f>'P&amp;L - Inputs'!CE679</f>
        <v>0</v>
      </c>
      <c r="CG4" s="19">
        <f>'P&amp;L - Inputs'!CF679</f>
        <v>0</v>
      </c>
      <c r="CH4" s="19">
        <f>'P&amp;L - Inputs'!CG679</f>
        <v>0</v>
      </c>
      <c r="CI4" s="19">
        <f>'P&amp;L - Inputs'!CH679</f>
        <v>0</v>
      </c>
      <c r="CJ4" s="19">
        <f>'P&amp;L - Inputs'!CI679</f>
        <v>0</v>
      </c>
      <c r="CK4" s="19">
        <f>'P&amp;L - Inputs'!CJ679</f>
        <v>0</v>
      </c>
      <c r="CL4" s="19">
        <f>'P&amp;L - Inputs'!CK679</f>
        <v>0</v>
      </c>
      <c r="CM4" s="19">
        <f>'P&amp;L - Inputs'!CL679</f>
        <v>0</v>
      </c>
      <c r="CN4" s="19">
        <f>'P&amp;L - Inputs'!CM679</f>
        <v>0</v>
      </c>
      <c r="CO4" s="19">
        <f>'P&amp;L - Inputs'!CN679</f>
        <v>0</v>
      </c>
      <c r="CP4" s="19">
        <f>'P&amp;L - Inputs'!CO679</f>
        <v>0</v>
      </c>
      <c r="CQ4" s="19">
        <f>'P&amp;L - Inputs'!CP679</f>
        <v>0</v>
      </c>
      <c r="CR4" s="19">
        <f>'P&amp;L - Inputs'!CQ679</f>
        <v>0</v>
      </c>
      <c r="CS4" s="19">
        <f>'P&amp;L - Inputs'!CR679</f>
        <v>0</v>
      </c>
      <c r="CT4" s="19">
        <f>'P&amp;L - Inputs'!CS679</f>
        <v>0</v>
      </c>
      <c r="CU4" s="19">
        <f>'P&amp;L - Inputs'!CT679</f>
        <v>0</v>
      </c>
      <c r="CV4" s="19">
        <f>'P&amp;L - Inputs'!CU679</f>
        <v>0</v>
      </c>
      <c r="CW4" s="19">
        <f>'P&amp;L - Inputs'!CV679</f>
        <v>0</v>
      </c>
      <c r="CX4" s="19">
        <f>'P&amp;L - Inputs'!CW679</f>
        <v>0</v>
      </c>
      <c r="CY4" s="19">
        <f>'P&amp;L - Inputs'!CX679</f>
        <v>0</v>
      </c>
      <c r="CZ4" s="19">
        <f>'P&amp;L - Inputs'!CY679</f>
        <v>0</v>
      </c>
      <c r="DA4" s="19">
        <f>'P&amp;L - Inputs'!CZ679</f>
        <v>0</v>
      </c>
      <c r="DB4" s="19">
        <f>'P&amp;L - Inputs'!DA679</f>
        <v>0</v>
      </c>
      <c r="DC4" s="19">
        <f>'P&amp;L - Inputs'!DB679</f>
        <v>0</v>
      </c>
      <c r="DD4" s="19">
        <f>'P&amp;L - Inputs'!DC679</f>
        <v>0</v>
      </c>
      <c r="DE4" s="19">
        <f>'P&amp;L - Inputs'!DD679</f>
        <v>0</v>
      </c>
      <c r="DF4" s="19">
        <f>'P&amp;L - Inputs'!DE679</f>
        <v>0</v>
      </c>
      <c r="DG4" s="19">
        <f>'P&amp;L - Inputs'!DF679</f>
        <v>0</v>
      </c>
      <c r="DH4" s="19">
        <f>'P&amp;L - Inputs'!DG679</f>
        <v>0</v>
      </c>
      <c r="DI4" s="19">
        <f>'P&amp;L - Inputs'!DH679</f>
        <v>0</v>
      </c>
      <c r="DJ4" s="19">
        <f>'P&amp;L - Inputs'!DI679</f>
        <v>0</v>
      </c>
      <c r="DK4" s="19">
        <f>'P&amp;L - Inputs'!DJ679</f>
        <v>0</v>
      </c>
      <c r="DL4" s="19">
        <f>'P&amp;L - Inputs'!DK679</f>
        <v>0</v>
      </c>
      <c r="DM4" s="19">
        <f>'P&amp;L - Inputs'!DL679</f>
        <v>0</v>
      </c>
      <c r="DN4" s="19">
        <f>'P&amp;L - Inputs'!DM679</f>
        <v>0</v>
      </c>
      <c r="DO4" s="19">
        <f>'P&amp;L - Inputs'!DN679</f>
        <v>0</v>
      </c>
      <c r="DP4" s="19">
        <f>'P&amp;L - Inputs'!DO679</f>
        <v>0</v>
      </c>
      <c r="DQ4" s="19">
        <f>'P&amp;L - Inputs'!DP679</f>
        <v>0</v>
      </c>
      <c r="DR4" s="19">
        <f>'P&amp;L - Inputs'!DQ679</f>
        <v>0</v>
      </c>
      <c r="DS4" s="19">
        <f>'P&amp;L - Inputs'!DR679</f>
        <v>0</v>
      </c>
      <c r="DT4" s="19">
        <f>'P&amp;L - Inputs'!DS679</f>
        <v>0</v>
      </c>
      <c r="DU4" s="19">
        <f>'P&amp;L - Inputs'!DT679</f>
        <v>0</v>
      </c>
      <c r="DV4" s="19">
        <f>'P&amp;L - Inputs'!DU679</f>
        <v>0</v>
      </c>
      <c r="DW4" s="19">
        <f>'P&amp;L - Inputs'!DV679</f>
        <v>0</v>
      </c>
      <c r="DX4" s="19">
        <f>'P&amp;L - Inputs'!DW679</f>
        <v>0</v>
      </c>
      <c r="DY4" s="19">
        <f>'P&amp;L - Inputs'!DX679</f>
        <v>0</v>
      </c>
      <c r="DZ4" s="19">
        <f>'P&amp;L - Inputs'!DY679</f>
        <v>0</v>
      </c>
      <c r="EA4" s="19">
        <f>'P&amp;L - Inputs'!DZ679</f>
        <v>0</v>
      </c>
      <c r="EB4" s="19">
        <f>'P&amp;L - Inputs'!EA679</f>
        <v>0</v>
      </c>
      <c r="EC4" s="19">
        <f>'P&amp;L - Inputs'!EB679</f>
        <v>0</v>
      </c>
      <c r="ED4" s="19">
        <f>'P&amp;L - Inputs'!EC679</f>
        <v>0</v>
      </c>
      <c r="EE4" s="168"/>
      <c r="EF4" s="165">
        <f t="shared" si="63"/>
        <v>0</v>
      </c>
      <c r="EG4" s="165">
        <f t="shared" si="64"/>
        <v>0</v>
      </c>
      <c r="EH4" s="165">
        <f t="shared" si="65"/>
        <v>0</v>
      </c>
      <c r="EI4" s="165">
        <f t="shared" si="66"/>
        <v>0</v>
      </c>
      <c r="EJ4" s="165">
        <f t="shared" si="67"/>
        <v>0</v>
      </c>
      <c r="EK4" s="165">
        <f t="shared" si="68"/>
        <v>0</v>
      </c>
      <c r="EL4" s="165">
        <f t="shared" si="69"/>
        <v>0</v>
      </c>
      <c r="EM4" s="165">
        <f t="shared" si="70"/>
        <v>0</v>
      </c>
      <c r="EN4" s="165">
        <f t="shared" si="71"/>
        <v>0</v>
      </c>
      <c r="EO4" s="165">
        <f t="shared" si="72"/>
        <v>0</v>
      </c>
      <c r="EP4" s="165">
        <f t="shared" si="73"/>
        <v>0</v>
      </c>
      <c r="EQ4" s="165">
        <f t="shared" si="74"/>
        <v>0</v>
      </c>
      <c r="ER4" s="165">
        <f t="shared" si="75"/>
        <v>0</v>
      </c>
      <c r="ES4" s="165">
        <f t="shared" si="76"/>
        <v>0</v>
      </c>
      <c r="ET4" s="165">
        <f t="shared" si="77"/>
        <v>0</v>
      </c>
      <c r="EU4" s="165">
        <f t="shared" si="78"/>
        <v>0</v>
      </c>
      <c r="EV4" s="165">
        <f t="shared" si="79"/>
        <v>0</v>
      </c>
      <c r="EW4" s="165">
        <f t="shared" si="80"/>
        <v>0</v>
      </c>
      <c r="EX4" s="165">
        <f t="shared" si="81"/>
        <v>0</v>
      </c>
      <c r="EY4" s="165">
        <f t="shared" si="82"/>
        <v>0</v>
      </c>
      <c r="EZ4" s="165">
        <f t="shared" ref="EZ4:EZ67" si="83">SUM(DS4:DU4)</f>
        <v>0</v>
      </c>
      <c r="FA4" s="165">
        <f t="shared" ref="FA4:FA67" si="84">SUM(DV4:DX4)</f>
        <v>0</v>
      </c>
      <c r="FB4" s="165">
        <f t="shared" ref="FB4:FB67" si="85">SUM(DY4:EA4)</f>
        <v>0</v>
      </c>
      <c r="FC4" s="165">
        <f t="shared" ref="FC4:FC67" si="86">SUM(EB4:ED4)</f>
        <v>0</v>
      </c>
      <c r="FE4" s="165">
        <f t="shared" ref="FE4:FE67" si="87">SUM(EF4:EI4)</f>
        <v>0</v>
      </c>
      <c r="FF4" s="165">
        <f t="shared" ref="FF4:FF67" si="88">SUM(EJ4:EM4)</f>
        <v>0</v>
      </c>
      <c r="FG4" s="165">
        <f t="shared" ref="FG4:FG67" si="89">SUM(EN4:EQ4)</f>
        <v>0</v>
      </c>
      <c r="FH4" s="165">
        <f t="shared" ref="FH4:FH67" si="90">SUM(ER4:EU4)</f>
        <v>0</v>
      </c>
      <c r="FI4" s="165">
        <f t="shared" ref="FI4:FI67" si="91">SUM(EV4:EY4)</f>
        <v>0</v>
      </c>
      <c r="FJ4" s="165">
        <f t="shared" ref="FJ4:FJ67" si="92">SUM(EZ4:FC4)</f>
        <v>0</v>
      </c>
    </row>
    <row r="5" spans="2:166" x14ac:dyDescent="0.2">
      <c r="B5" s="155" t="s">
        <v>228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f>'D2C Online'!C3</f>
        <v>590804.63071428565</v>
      </c>
      <c r="M5" s="19">
        <f>'D2C Online'!D3</f>
        <v>3765480.3707142859</v>
      </c>
      <c r="N5" s="19">
        <f>'D2C Online'!E3</f>
        <v>20372817.199285716</v>
      </c>
      <c r="O5" s="19">
        <f>'D2C Online'!F3</f>
        <v>26331762.631428573</v>
      </c>
      <c r="P5" s="19">
        <f>'D2C Online'!G3</f>
        <v>28979750.864642859</v>
      </c>
      <c r="Q5" s="19">
        <f>'D2C Online'!H3</f>
        <v>20037428.975000001</v>
      </c>
      <c r="R5" s="19">
        <f>'D2C Online'!I3</f>
        <v>39843556.579642855</v>
      </c>
      <c r="S5" s="19">
        <f>'D2C Online'!J3</f>
        <v>26529236.465714287</v>
      </c>
      <c r="T5" s="19">
        <f>'D2C Online'!K3</f>
        <v>41731558.912857145</v>
      </c>
      <c r="U5" s="19">
        <f>'D2C Online'!L3</f>
        <v>34579467.400357142</v>
      </c>
      <c r="V5" s="19">
        <f>'D2C Online'!M3</f>
        <v>14310639.342857143</v>
      </c>
      <c r="W5" s="19">
        <f>'D2C Online'!N3</f>
        <v>19194474.905357141</v>
      </c>
      <c r="X5" s="19">
        <f>'D2C Online'!O3</f>
        <v>27559547.121071428</v>
      </c>
      <c r="Y5" s="19">
        <f>'D2C Online'!P3</f>
        <v>24073865.376428571</v>
      </c>
      <c r="Z5" s="19">
        <f>'D2C Online'!Q3</f>
        <v>21898913.805357143</v>
      </c>
      <c r="AA5" s="19">
        <f>'D2C Online'!R3</f>
        <v>0</v>
      </c>
      <c r="AB5" s="19">
        <f>'D2C Online'!S3</f>
        <v>26448165.739152543</v>
      </c>
      <c r="AC5" s="19">
        <f>'D2C Online'!T3</f>
        <v>21427418.026000001</v>
      </c>
      <c r="AD5" s="19">
        <f>'D2C Online'!U3</f>
        <v>14451598</v>
      </c>
      <c r="AE5" s="19">
        <f>'D2C Online'!V3</f>
        <v>13976624.02</v>
      </c>
      <c r="AF5" s="19">
        <f>'D2C Online'!W3</f>
        <v>17198803.025999997</v>
      </c>
      <c r="AG5" s="19">
        <f>'D2C Online'!X3</f>
        <v>29977510.026000001</v>
      </c>
      <c r="AH5" s="19">
        <f>'D2C Online'!Y3</f>
        <v>23482672</v>
      </c>
      <c r="AI5" s="19">
        <f>'D2C Online'!Z3</f>
        <v>37602094.950000003</v>
      </c>
      <c r="AJ5" s="19">
        <f>'D2C Online'!AA3</f>
        <v>51027456.450000003</v>
      </c>
      <c r="AK5" s="19">
        <f>'D2C Online'!AB3</f>
        <v>34941666</v>
      </c>
      <c r="AL5" s="19">
        <f>'D2C Online'!AC3</f>
        <v>39703152</v>
      </c>
      <c r="AM5" s="19">
        <f>'D2C Online'!AD3</f>
        <v>27181836.079999998</v>
      </c>
      <c r="AN5" s="19">
        <f>'D2C Online'!AE3</f>
        <v>15422768.899999997</v>
      </c>
      <c r="AO5" s="19">
        <f>'D2C Online'!AF3</f>
        <v>22663955.899999991</v>
      </c>
      <c r="AP5" s="19">
        <f>'D2C Online'!AG3</f>
        <v>21224141</v>
      </c>
      <c r="AQ5" s="19">
        <f>'D2C Online'!AH3</f>
        <v>12739590</v>
      </c>
      <c r="AR5" s="19">
        <f>'D2C Online'!AI3</f>
        <v>15609635</v>
      </c>
      <c r="AS5" s="19">
        <f>'D2C Online'!AJ3</f>
        <v>23186713</v>
      </c>
      <c r="AT5" s="19">
        <f>'D2C Online'!AK3</f>
        <v>47294129</v>
      </c>
      <c r="AU5" s="19">
        <f>'D2C Online'!AL3</f>
        <v>63914193</v>
      </c>
      <c r="AV5" s="19">
        <f>'D2C Online'!AM3</f>
        <v>69656889</v>
      </c>
      <c r="AW5" s="19">
        <f>'D2C Online'!AN3</f>
        <v>58890647</v>
      </c>
      <c r="AX5" s="19">
        <f>'D2C Online'!AO3</f>
        <v>39800955.399999999</v>
      </c>
      <c r="AY5" s="19">
        <f>'D2C Online'!AP3</f>
        <v>28946004.209999993</v>
      </c>
      <c r="AZ5" s="19">
        <f>'D2C Online'!AQ3</f>
        <v>41128733.179999992</v>
      </c>
      <c r="BA5" s="19">
        <f>'D2C Online'!AR3</f>
        <v>61224145.060000002</v>
      </c>
      <c r="BB5" s="19">
        <f>'D2C Online'!AS3</f>
        <v>62155013.400000401</v>
      </c>
      <c r="BC5" s="19">
        <f>'D2C Online'!AT3</f>
        <v>49288291.220000073</v>
      </c>
      <c r="BD5" s="19">
        <f>'D2C Online'!AU3</f>
        <v>66069308.580000088</v>
      </c>
      <c r="BE5" s="19">
        <f>'D2C Online'!AV3</f>
        <v>98030780.550000161</v>
      </c>
      <c r="BF5" s="19">
        <f>'D2C Online'!AW3</f>
        <v>93276680.109999999</v>
      </c>
      <c r="BG5" s="19">
        <f>'D2C Online'!AX3</f>
        <v>91650372.090000212</v>
      </c>
      <c r="BH5" s="19">
        <f>'D2C Online'!AY3</f>
        <v>89341205.750000358</v>
      </c>
      <c r="BI5" s="19">
        <f>'D2C Online'!AZ3</f>
        <v>122456019.92000024</v>
      </c>
      <c r="BJ5" s="19">
        <f>'D2C Online'!BA3</f>
        <v>228795374.60000095</v>
      </c>
      <c r="BK5" s="19">
        <f>'D2C Online'!BB3</f>
        <v>252174853.04230279</v>
      </c>
      <c r="BL5" s="19">
        <f>'D2C Online'!BC3</f>
        <v>223961114.9779605</v>
      </c>
      <c r="BM5" s="19">
        <f>'D2C Online'!BD3</f>
        <v>254596340.13318229</v>
      </c>
      <c r="BN5" s="19">
        <f>'D2C Online'!BE3</f>
        <v>218694752.89905122</v>
      </c>
      <c r="BO5" s="19">
        <f>'D2C Online'!BF3</f>
        <v>222556498.25425178</v>
      </c>
      <c r="BP5" s="19">
        <f>'D2C Online'!BG3</f>
        <v>255759965.27878931</v>
      </c>
      <c r="BQ5" s="19">
        <f>'D2C Online'!BH3</f>
        <v>387371877.53215408</v>
      </c>
      <c r="BR5" s="19">
        <f>'D2C Online'!BI3</f>
        <v>302891530.21127993</v>
      </c>
      <c r="BS5" s="19">
        <f>'D2C Online'!BJ3</f>
        <v>272757893.06306797</v>
      </c>
      <c r="BT5" s="19">
        <f>'D2C Online'!BK3</f>
        <v>278091728.85167193</v>
      </c>
      <c r="BU5" s="19">
        <f>'D2C Online'!BL3</f>
        <v>231852458</v>
      </c>
      <c r="BV5" s="19">
        <f>'D2C Online'!BM3</f>
        <v>278533560.31716239</v>
      </c>
      <c r="BW5" s="19">
        <f>'D2C Online'!BN3</f>
        <v>275363218.8877117</v>
      </c>
      <c r="BX5" s="19">
        <f>'D2C Online'!BO3</f>
        <v>298185179.29365683</v>
      </c>
      <c r="BY5" s="19">
        <f>'D2C Online'!BP3</f>
        <v>305543953.87704253</v>
      </c>
      <c r="BZ5" s="19">
        <f>'D2C Online'!BQ3</f>
        <v>321805524.56689703</v>
      </c>
      <c r="CA5" s="19">
        <f>'D2C Online'!BR3</f>
        <v>312831578.98424667</v>
      </c>
      <c r="CB5" s="19">
        <f>'D2C Online'!BS3</f>
        <v>322902748.88117516</v>
      </c>
      <c r="CC5" s="19">
        <f>'D2C Online'!BT3</f>
        <v>328284149.9342829</v>
      </c>
      <c r="CD5" s="19">
        <f>'D2C Online'!BU3</f>
        <v>301372361.33225411</v>
      </c>
      <c r="CE5" s="19">
        <f>'D2C Online'!BV3</f>
        <v>340051005.91368407</v>
      </c>
      <c r="CF5" s="19">
        <f>'D2C Online'!BW3</f>
        <v>389801836.33157235</v>
      </c>
      <c r="CG5" s="19">
        <f>'D2C Online'!BX3</f>
        <v>377296304.1417616</v>
      </c>
      <c r="CH5" s="19">
        <f>'D2C Online'!BY3</f>
        <v>511408792.90617436</v>
      </c>
      <c r="CI5" s="19">
        <f>'D2C Online'!BZ3</f>
        <v>463859744.50764561</v>
      </c>
      <c r="CJ5" s="19">
        <f>'D2C Online'!CA3</f>
        <v>463692851.46933931</v>
      </c>
      <c r="CK5" s="19">
        <f>'D2C Online'!CB3</f>
        <v>457837690.40383381</v>
      </c>
      <c r="CL5" s="19">
        <f>'D2C Online'!CC3</f>
        <v>465130672.15745705</v>
      </c>
      <c r="CM5" s="19">
        <f>'D2C Online'!CD3</f>
        <v>422840430</v>
      </c>
      <c r="CN5" s="19">
        <f>'D2C Online'!CE3</f>
        <v>451918104.03670436</v>
      </c>
      <c r="CO5" s="19">
        <f>'D2C Online'!CF3</f>
        <v>464918845.62749183</v>
      </c>
      <c r="CP5" s="19">
        <f>'D2C Online'!CG3</f>
        <v>448242146.97059989</v>
      </c>
      <c r="CQ5" s="19">
        <f>'D2C Online'!CH3</f>
        <v>527734280.64499974</v>
      </c>
      <c r="CR5" s="19">
        <f>'D2C Online'!CI3</f>
        <v>577401974.45063937</v>
      </c>
      <c r="CS5" s="19">
        <f>'D2C Online'!CJ3</f>
        <v>476815410.4677586</v>
      </c>
      <c r="CT5" s="19">
        <f>'D2C Online'!CK3</f>
        <v>548884954.49144971</v>
      </c>
      <c r="CU5" s="19">
        <f>'D2C Online'!CL3</f>
        <v>518628007.2790212</v>
      </c>
      <c r="CV5" s="19">
        <f>'D2C Online'!CM3</f>
        <v>523906425.41995186</v>
      </c>
      <c r="CW5" s="19">
        <f>'D2C Online'!CN3</f>
        <v>523531626.49870235</v>
      </c>
      <c r="CX5" s="19">
        <f>'D2C Online'!CO3</f>
        <v>531433637.08837974</v>
      </c>
      <c r="CY5" s="19">
        <f>'D2C Online'!CP3</f>
        <v>500762592.03279406</v>
      </c>
      <c r="CZ5" s="19">
        <f>'D2C Online'!CQ3</f>
        <v>547799856.64960861</v>
      </c>
      <c r="DA5" s="19">
        <f>'D2C Online'!CR3</f>
        <v>532651733.58244061</v>
      </c>
      <c r="DB5" s="19">
        <f>'D2C Online'!CS3</f>
        <v>533901063.31993902</v>
      </c>
      <c r="DC5" s="19">
        <f>'D2C Online'!CT3</f>
        <v>655367147.0482204</v>
      </c>
      <c r="DD5" s="19">
        <f>'D2C Online'!CU3</f>
        <v>706152400.87753022</v>
      </c>
      <c r="DE5" s="19">
        <f>'D2C Online'!CV3</f>
        <v>605393957.54828465</v>
      </c>
      <c r="DF5" s="19">
        <f>'D2C Online'!CW3</f>
        <v>654180283.79759693</v>
      </c>
      <c r="DG5" s="19">
        <f>'D2C Online'!CX3</f>
        <v>614314874.62200058</v>
      </c>
      <c r="DH5" s="19">
        <f>'D2C Online'!CY3</f>
        <v>620567160.90993297</v>
      </c>
      <c r="DI5" s="19">
        <f>'D2C Online'!CZ3</f>
        <v>620123211.587713</v>
      </c>
      <c r="DJ5" s="19">
        <f>'D2C Online'!DA3</f>
        <v>629483143.13118577</v>
      </c>
      <c r="DK5" s="19">
        <f>'D2C Online'!DB3</f>
        <v>593153290.26284456</v>
      </c>
      <c r="DL5" s="19">
        <f>'D2C Online'!DC3</f>
        <v>648868930.20146143</v>
      </c>
      <c r="DM5" s="19">
        <f>'D2C Online'!DD3</f>
        <v>630925978.42840087</v>
      </c>
      <c r="DN5" s="19">
        <f>'D2C Online'!DE3</f>
        <v>632405809.50246775</v>
      </c>
      <c r="DO5" s="19">
        <f>'D2C Online'!DF3</f>
        <v>776282385.67861712</v>
      </c>
      <c r="DP5" s="19">
        <f>'D2C Online'!DG3</f>
        <v>836437518.8394345</v>
      </c>
      <c r="DQ5" s="19">
        <f>'D2C Online'!DH3</f>
        <v>717089142.7159431</v>
      </c>
      <c r="DR5" s="19">
        <f>'D2C Online'!DI3</f>
        <v>774876546.15825355</v>
      </c>
      <c r="DS5" s="19">
        <f>'D2C Online'!DJ3</f>
        <v>727655968.98975968</v>
      </c>
      <c r="DT5" s="19">
        <f>'D2C Online'!DK3</f>
        <v>735061802.09781563</v>
      </c>
      <c r="DU5" s="19">
        <f>'D2C Online'!DL3</f>
        <v>734535944.125646</v>
      </c>
      <c r="DV5" s="19">
        <f>'D2C Online'!DM3</f>
        <v>745622783.03888953</v>
      </c>
      <c r="DW5" s="19">
        <f>'D2C Online'!DN3</f>
        <v>702590072.31633937</v>
      </c>
      <c r="DX5" s="19">
        <f>'D2C Online'!DO3</f>
        <v>768585247.82363105</v>
      </c>
      <c r="DY5" s="19">
        <f>'D2C Online'!DP3</f>
        <v>747331821.44844079</v>
      </c>
      <c r="DZ5" s="19">
        <f>'D2C Online'!DQ3</f>
        <v>749084681.35567296</v>
      </c>
      <c r="EA5" s="19">
        <f>'D2C Online'!DR3</f>
        <v>919506485.83632195</v>
      </c>
      <c r="EB5" s="19">
        <f>'D2C Online'!DS3</f>
        <v>990760241.06531012</v>
      </c>
      <c r="EC5" s="19">
        <f>'D2C Online'!DT3</f>
        <v>849392089.5470345</v>
      </c>
      <c r="ED5" s="19">
        <f>'D2C Online'!DU3</f>
        <v>917841268.92445123</v>
      </c>
      <c r="EE5" s="168"/>
      <c r="EF5" s="165">
        <f t="shared" si="63"/>
        <v>730732308.1534456</v>
      </c>
      <c r="EG5" s="165">
        <f t="shared" si="64"/>
        <v>697011216.43209231</v>
      </c>
      <c r="EH5" s="165">
        <f t="shared" si="65"/>
        <v>963021300.80650187</v>
      </c>
      <c r="EI5" s="165">
        <f t="shared" si="66"/>
        <v>788477747.16883433</v>
      </c>
      <c r="EJ5" s="165">
        <f t="shared" si="67"/>
        <v>879092352.05841112</v>
      </c>
      <c r="EK5" s="165">
        <f t="shared" si="68"/>
        <v>1339889206.1941614</v>
      </c>
      <c r="EL5" s="165">
        <f t="shared" si="69"/>
        <v>969707517.18022108</v>
      </c>
      <c r="EM5" s="165">
        <f t="shared" si="70"/>
        <v>1278506933.3795083</v>
      </c>
      <c r="EN5" s="165">
        <f t="shared" si="71"/>
        <v>1385390286.3808188</v>
      </c>
      <c r="EO5" s="165">
        <f t="shared" si="72"/>
        <v>1339889206.1941614</v>
      </c>
      <c r="EP5" s="165">
        <f t="shared" si="73"/>
        <v>1440895273.2430916</v>
      </c>
      <c r="EQ5" s="165">
        <f t="shared" si="74"/>
        <v>1603102339.4098477</v>
      </c>
      <c r="ER5" s="165">
        <f t="shared" si="75"/>
        <v>1566066059.1976755</v>
      </c>
      <c r="ES5" s="165">
        <f t="shared" si="76"/>
        <v>1579996085.7707825</v>
      </c>
      <c r="ET5" s="165">
        <f t="shared" si="77"/>
        <v>1721919943.9506001</v>
      </c>
      <c r="EU5" s="165">
        <f t="shared" si="78"/>
        <v>1965726642.2234118</v>
      </c>
      <c r="EV5" s="165">
        <f t="shared" si="79"/>
        <v>1855005247.1196465</v>
      </c>
      <c r="EW5" s="165">
        <f t="shared" si="80"/>
        <v>1871505363.5954919</v>
      </c>
      <c r="EX5" s="165">
        <f t="shared" si="81"/>
        <v>2039614173.6094856</v>
      </c>
      <c r="EY5" s="165">
        <f t="shared" si="82"/>
        <v>2328403207.7136312</v>
      </c>
      <c r="EZ5" s="165">
        <f t="shared" si="83"/>
        <v>2197253715.2132215</v>
      </c>
      <c r="FA5" s="165">
        <f t="shared" si="84"/>
        <v>2216798103.1788597</v>
      </c>
      <c r="FB5" s="165">
        <f t="shared" si="85"/>
        <v>2415922988.6404357</v>
      </c>
      <c r="FC5" s="165">
        <f t="shared" si="86"/>
        <v>2757993599.5367961</v>
      </c>
      <c r="FE5" s="165">
        <f t="shared" si="87"/>
        <v>3179242572.560874</v>
      </c>
      <c r="FF5" s="165">
        <f t="shared" si="88"/>
        <v>4467196008.8123016</v>
      </c>
      <c r="FG5" s="165">
        <f t="shared" si="89"/>
        <v>5769277105.2279196</v>
      </c>
      <c r="FH5" s="165">
        <f t="shared" si="90"/>
        <v>6833708731.1424694</v>
      </c>
      <c r="FI5" s="165">
        <f t="shared" si="91"/>
        <v>8094527992.0382557</v>
      </c>
      <c r="FJ5" s="165">
        <f t="shared" si="92"/>
        <v>9587968406.569313</v>
      </c>
    </row>
    <row r="6" spans="2:166" x14ac:dyDescent="0.2">
      <c r="B6" s="155" t="s">
        <v>229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f>'D2C - Retail'!C4+'D2C - Retail'!C7</f>
        <v>4988930.4400000004</v>
      </c>
      <c r="AD6" s="19">
        <f>'D2C - Retail'!D4+'D2C - Retail'!D7</f>
        <v>4117994</v>
      </c>
      <c r="AE6" s="19">
        <f>'D2C - Retail'!E4+'D2C - Retail'!E7</f>
        <v>6819143.1500000004</v>
      </c>
      <c r="AF6" s="19">
        <f>'D2C - Retail'!F4+'D2C - Retail'!F7</f>
        <v>9903184.4000000004</v>
      </c>
      <c r="AG6" s="19">
        <f>'D2C - Retail'!G4+'D2C - Retail'!G7</f>
        <v>10556070.029999999</v>
      </c>
      <c r="AH6" s="19">
        <f>'D2C - Retail'!H4+'D2C - Retail'!H7</f>
        <v>16196801</v>
      </c>
      <c r="AI6" s="19">
        <f>'D2C - Retail'!I4+'D2C - Retail'!I7</f>
        <v>39870979.100000001</v>
      </c>
      <c r="AJ6" s="19">
        <f>'D2C - Retail'!J4+'D2C - Retail'!J7</f>
        <v>40759585.979999997</v>
      </c>
      <c r="AK6" s="19">
        <f>'D2C - Retail'!K4+'D2C - Retail'!K7</f>
        <v>41652311.779999986</v>
      </c>
      <c r="AL6" s="19">
        <f>'D2C - Retail'!L4+'D2C - Retail'!L7</f>
        <v>44495444.060000099</v>
      </c>
      <c r="AM6" s="19">
        <f>'D2C - Retail'!M4+'D2C - Retail'!M7</f>
        <v>26883725.249999974</v>
      </c>
      <c r="AN6" s="19">
        <f>'D2C - Retail'!N4+'D2C - Retail'!N7</f>
        <v>721505.06000000029</v>
      </c>
      <c r="AO6" s="19">
        <f>'D2C - Retail'!O4+'D2C - Retail'!O7</f>
        <v>17421627.459999997</v>
      </c>
      <c r="AP6" s="19">
        <f>'D2C - Retail'!P4+'D2C - Retail'!P7</f>
        <v>25879520.179999951</v>
      </c>
      <c r="AQ6" s="19">
        <f>'D2C - Retail'!Q4+'D2C - Retail'!Q7</f>
        <v>33983700.790000051</v>
      </c>
      <c r="AR6" s="19">
        <f>'D2C - Retail'!R4+'D2C - Retail'!R7</f>
        <v>46491626.070000172</v>
      </c>
      <c r="AS6" s="19">
        <f>'D2C - Retail'!S4+'D2C - Retail'!S7</f>
        <v>57472120.100000344</v>
      </c>
      <c r="AT6" s="19">
        <f>'D2C - Retail'!T4+'D2C - Retail'!T7</f>
        <v>84978373.91000028</v>
      </c>
      <c r="AU6" s="19">
        <f>'D2C - Retail'!U4+'D2C - Retail'!U7</f>
        <v>101108531.90000114</v>
      </c>
      <c r="AV6" s="19">
        <f>'D2C - Retail'!V4+'D2C - Retail'!V7</f>
        <v>99854735.73000291</v>
      </c>
      <c r="AW6" s="19">
        <f>'D2C - Retail'!W4+'D2C - Retail'!W7</f>
        <v>108673687.2199963</v>
      </c>
      <c r="AX6" s="19">
        <f>'D2C - Retail'!X4+'D2C - Retail'!X7</f>
        <v>122748740.16999501</v>
      </c>
      <c r="AY6" s="19">
        <f>'D2C - Retail'!Y4+'D2C - Retail'!Y7</f>
        <v>106378748.60999593</v>
      </c>
      <c r="AZ6" s="19">
        <f>'D2C - Retail'!Z4+'D2C - Retail'!Z7</f>
        <v>130881046.39000481</v>
      </c>
      <c r="BA6" s="19">
        <f>'D2C - Retail'!AA4+'D2C - Retail'!AA7</f>
        <v>156933465.87999016</v>
      </c>
      <c r="BB6" s="19">
        <f>'D2C - Retail'!AB4+'D2C - Retail'!AB7</f>
        <v>156671218.99999821</v>
      </c>
      <c r="BC6" s="19">
        <f>'D2C - Retail'!AC4+'D2C - Retail'!AC7</f>
        <v>161047976.79000536</v>
      </c>
      <c r="BD6" s="19">
        <f>'D2C - Retail'!AD4+'D2C - Retail'!AD7</f>
        <v>153516431.93999976</v>
      </c>
      <c r="BE6" s="19">
        <f>'D2C - Retail'!AE4+'D2C - Retail'!AE7</f>
        <v>171770291.64999565</v>
      </c>
      <c r="BF6" s="19">
        <f>'D2C - Retail'!AF4+'D2C - Retail'!AF7</f>
        <v>176306303.24999794</v>
      </c>
      <c r="BG6" s="19">
        <f>'D2C - Retail'!AG4+'D2C - Retail'!AG7</f>
        <v>218562642.15001383</v>
      </c>
      <c r="BH6" s="19">
        <f>'D2C - Retail'!AH4+'D2C - Retail'!AH7</f>
        <v>239543162.08999884</v>
      </c>
      <c r="BI6" s="19">
        <f>'D2C - Retail'!AI4+'D2C - Retail'!AI7</f>
        <v>237861286.1300045</v>
      </c>
      <c r="BJ6" s="19">
        <f>'D2C - Retail'!AJ4+'D2C - Retail'!AJ7</f>
        <v>307112209.61998051</v>
      </c>
      <c r="BK6" s="19">
        <f>'D2C - Retail'!AK4+'D2C - Retail'!AK7</f>
        <v>331247452.51002562</v>
      </c>
      <c r="BL6" s="19">
        <f>'D2C - Retail'!AL4+'D2C - Retail'!AL7</f>
        <v>352862390.41002584</v>
      </c>
      <c r="BM6" s="19">
        <f>'D2C - Retail'!AM4+'D2C - Retail'!AM7</f>
        <v>347308513.82003832</v>
      </c>
      <c r="BN6" s="19">
        <f>'D2C - Retail'!AN4+'D2C - Retail'!AN7</f>
        <v>305611979.04004145</v>
      </c>
      <c r="BO6" s="19">
        <f>'D2C - Retail'!AO4+'D2C - Retail'!AO7</f>
        <v>302944856.08996952</v>
      </c>
      <c r="BP6" s="19">
        <f>'D2C - Retail'!AP4+'D2C - Retail'!AP7</f>
        <v>286685390.22003019</v>
      </c>
      <c r="BQ6" s="19">
        <f>'D2C - Retail'!AQ4+'D2C - Retail'!AQ7</f>
        <v>406229554.78254288</v>
      </c>
      <c r="BR6" s="19">
        <f>'D2C - Retail'!AR4+'D2C - Retail'!AR7</f>
        <v>356900249.68254626</v>
      </c>
      <c r="BS6" s="19">
        <f>'D2C - Retail'!AS4+'D2C - Retail'!AS7</f>
        <v>308946523.69609708</v>
      </c>
      <c r="BT6" s="19">
        <f>'D2C - Retail'!AT4+'D2C - Retail'!AT7</f>
        <v>278499313.80915147</v>
      </c>
      <c r="BU6" s="19">
        <f>'D2C - Retail'!AU4+'D2C - Retail'!AU7</f>
        <v>256713670.98305085</v>
      </c>
      <c r="BV6" s="19">
        <f>'D2C - Retail'!AV4+'D2C - Retail'!AV7</f>
        <v>311524850.34305489</v>
      </c>
      <c r="BW6" s="19">
        <f>'D2C - Retail'!AW4+'D2C - Retail'!AW7</f>
        <v>327982013.98305601</v>
      </c>
      <c r="BX6" s="19">
        <f>'D2C - Retail'!AX4+'D2C - Retail'!AX7</f>
        <v>325838078.57000411</v>
      </c>
      <c r="BY6" s="19">
        <f>'D2C - Retail'!AY4+'D2C - Retail'!AY7</f>
        <v>345435036.7700063</v>
      </c>
      <c r="BZ6" s="19">
        <f>'D2C - Retail'!AZ4+'D2C - Retail'!AZ7</f>
        <v>331048534.83000529</v>
      </c>
      <c r="CA6" s="19">
        <f>'D2C - Retail'!BA4+'D2C - Retail'!BA7</f>
        <v>278155190.40000242</v>
      </c>
      <c r="CB6" s="19">
        <f>'D2C - Retail'!BB4+'D2C - Retail'!BB7</f>
        <v>243418973.07000488</v>
      </c>
      <c r="CC6" s="19">
        <f>'D2C - Retail'!BC4+'D2C - Retail'!BC7</f>
        <v>331641015.35000378</v>
      </c>
      <c r="CD6" s="19">
        <f>'D2C - Retail'!BD4+'D2C - Retail'!BD7</f>
        <v>335110838.380005</v>
      </c>
      <c r="CE6" s="19">
        <f>'D2C - Retail'!BE4+'D2C - Retail'!BE7</f>
        <v>398587891.63436681</v>
      </c>
      <c r="CF6" s="19">
        <f>'D2C - Retail'!BF4+'D2C - Retail'!BF7</f>
        <v>415932381.67034614</v>
      </c>
      <c r="CG6" s="19">
        <f>'D2C - Retail'!BG4+'D2C - Retail'!BG7</f>
        <v>395855141.99006104</v>
      </c>
      <c r="CH6" s="19">
        <f>'D2C - Retail'!BH4+'D2C - Retail'!BH7</f>
        <v>489465459.28010553</v>
      </c>
      <c r="CI6" s="19">
        <f>'D2C - Retail'!BI4+'D2C - Retail'!BI7</f>
        <v>481915569.90013832</v>
      </c>
      <c r="CJ6" s="19">
        <f>'D2C - Retail'!BJ4+'D2C - Retail'!BJ7</f>
        <v>463449808.51000363</v>
      </c>
      <c r="CK6" s="19">
        <f>'D2C - Retail'!BK4+'D2C - Retail'!BK7</f>
        <v>471871293.07098442</v>
      </c>
      <c r="CL6" s="19">
        <f>'D2C - Retail'!BL4+'D2C - Retail'!BL7</f>
        <v>518723367.32000118</v>
      </c>
      <c r="CM6" s="19">
        <f>'D2C - Retail'!BM4+'D2C - Retail'!BM7</f>
        <v>431340424.13000178</v>
      </c>
      <c r="CN6" s="19">
        <f>'D2C - Retail'!BN4+'D2C - Retail'!BN7</f>
        <v>407717177.29999751</v>
      </c>
      <c r="CO6" s="19">
        <f>'D2C - Retail'!BO4+'D2C - Retail'!BO7</f>
        <v>582162585.67999601</v>
      </c>
      <c r="CP6" s="19">
        <f>'D2C - Retail'!BP4+'D2C - Retail'!BP7</f>
        <v>523078125.99000001</v>
      </c>
      <c r="CQ6" s="19">
        <f>'D2C - Retail'!BQ4+'D2C - Retail'!BQ7</f>
        <v>645865376.81999576</v>
      </c>
      <c r="CR6" s="19">
        <f>'D2C - Retail'!BR4+'D2C - Retail'!BR7</f>
        <v>697410422.92999864</v>
      </c>
      <c r="CS6" s="19">
        <f>'D2C - Retail'!BS4+'D2C - Retail'!BS7</f>
        <v>673666170.98999512</v>
      </c>
      <c r="CT6" s="19">
        <f>'D2C - Retail'!BT4+'D2C - Retail'!BT7</f>
        <v>789675758.02999902</v>
      </c>
      <c r="CU6" s="19">
        <f>'D2C - Retail'!BU4+'D2C - Retail'!BU7</f>
        <v>685442890.45443857</v>
      </c>
      <c r="CV6" s="19">
        <f>'D2C - Retail'!BV4+'D2C - Retail'!BV7</f>
        <v>669586899.80001223</v>
      </c>
      <c r="CW6" s="19">
        <f>'D2C - Retail'!BW4+'D2C - Retail'!BW7</f>
        <v>667347792.32544088</v>
      </c>
      <c r="CX6" s="19">
        <f>'D2C - Retail'!BX4+'D2C - Retail'!BX7</f>
        <v>727017735.63809502</v>
      </c>
      <c r="CY6" s="19">
        <f>'D2C - Retail'!BY4+'D2C - Retail'!BY7</f>
        <v>642540892.29174066</v>
      </c>
      <c r="CZ6" s="19">
        <f>'D2C - Retail'!BZ4+'D2C - Retail'!BZ7</f>
        <v>591427395.05740976</v>
      </c>
      <c r="DA6" s="19">
        <f>'D2C - Retail'!CA4+'D2C - Retail'!CA7</f>
        <v>752519578.06565154</v>
      </c>
      <c r="DB6" s="19">
        <f>'D2C - Retail'!CB4+'D2C - Retail'!CB7</f>
        <v>687457934.13260162</v>
      </c>
      <c r="DC6" s="19">
        <f>'D2C - Retail'!CC4+'D2C - Retail'!CC7</f>
        <v>829075521.89844418</v>
      </c>
      <c r="DD6" s="19">
        <f>'D2C - Retail'!CD4+'D2C - Retail'!CD7</f>
        <v>850491015.96650934</v>
      </c>
      <c r="DE6" s="19">
        <f>'D2C - Retail'!CE4+'D2C - Retail'!CE7</f>
        <v>785738294.79594076</v>
      </c>
      <c r="DF6" s="19">
        <f>'D2C - Retail'!CF4+'D2C - Retail'!CF7</f>
        <v>923440885.52509487</v>
      </c>
      <c r="DG6" s="19">
        <f>'D2C - Retail'!CG4+'D2C - Retail'!CG7</f>
        <v>840959582.74877894</v>
      </c>
      <c r="DH6" s="19">
        <f>'D2C - Retail'!CH4+'D2C - Retail'!CH7</f>
        <v>823711421.42850184</v>
      </c>
      <c r="DI6" s="19">
        <f>'D2C - Retail'!CI4+'D2C - Retail'!CI7</f>
        <v>816761441.55557775</v>
      </c>
      <c r="DJ6" s="19">
        <f>'D2C - Retail'!CJ4+'D2C - Retail'!CJ7</f>
        <v>888947289.55861664</v>
      </c>
      <c r="DK6" s="19">
        <f>'D2C - Retail'!CK4+'D2C - Retail'!CK7</f>
        <v>784554476.46004248</v>
      </c>
      <c r="DL6" s="19">
        <f>'D2C - Retail'!CL4+'D2C - Retail'!CL7</f>
        <v>720832107.57287025</v>
      </c>
      <c r="DM6" s="19">
        <f>'D2C - Retail'!CM4+'D2C - Retail'!CM7</f>
        <v>913158680.18653595</v>
      </c>
      <c r="DN6" s="19">
        <f>'D2C - Retail'!CN4+'D2C - Retail'!CN7</f>
        <v>830254456.47223234</v>
      </c>
      <c r="DO6" s="19">
        <f>'D2C - Retail'!CO4+'D2C - Retail'!CO7</f>
        <v>997022153.32306588</v>
      </c>
      <c r="DP6" s="19">
        <f>'D2C - Retail'!CP4+'D2C - Retail'!CP7</f>
        <v>1018462887.3015347</v>
      </c>
      <c r="DQ6" s="19">
        <f>'D2C - Retail'!CQ4+'D2C - Retail'!CQ7</f>
        <v>936665079.55470681</v>
      </c>
      <c r="DR6" s="19">
        <f>'D2C - Retail'!CR4+'D2C - Retail'!CR7</f>
        <v>1088117396.717696</v>
      </c>
      <c r="DS6" s="19">
        <f>'D2C - Retail'!CS4+'D2C - Retail'!CS7</f>
        <v>961484855.51802516</v>
      </c>
      <c r="DT6" s="19">
        <f>'D2C - Retail'!CT4+'D2C - Retail'!CT7</f>
        <v>940919500.33693194</v>
      </c>
      <c r="DU6" s="19">
        <f>'D2C - Retail'!CU4+'D2C - Retail'!CU7</f>
        <v>932432086.04148591</v>
      </c>
      <c r="DV6" s="19">
        <f>'D2C - Retail'!CV4+'D2C - Retail'!CV7</f>
        <v>1014253833.5081564</v>
      </c>
      <c r="DW6" s="19">
        <f>'D2C - Retail'!CW4+'D2C - Retail'!CW7</f>
        <v>894379418.48035789</v>
      </c>
      <c r="DX6" s="19">
        <f>'D2C - Retail'!CX4+'D2C - Retail'!CX7</f>
        <v>820822020.20465815</v>
      </c>
      <c r="DY6" s="19">
        <f>'D2C - Retail'!CY4+'D2C - Retail'!CY7</f>
        <v>1039546172.6038566</v>
      </c>
      <c r="DZ6" s="19">
        <f>'D2C - Retail'!CZ4+'D2C - Retail'!CZ7</f>
        <v>944654593.83021259</v>
      </c>
      <c r="EA6" s="19">
        <f>'D2C - Retail'!DA4+'D2C - Retail'!DA7</f>
        <v>1134099680.9134207</v>
      </c>
      <c r="EB6" s="19">
        <f>'D2C - Retail'!DB4+'D2C - Retail'!DB7</f>
        <v>1158180115.9473753</v>
      </c>
      <c r="EC6" s="19">
        <f>'D2C - Retail'!DC4+'D2C - Retail'!DC7</f>
        <v>1064598454.4843043</v>
      </c>
      <c r="ED6" s="19">
        <f>'D2C - Retail'!DD4+'D2C - Retail'!DD7</f>
        <v>1236416103.0667899</v>
      </c>
      <c r="EE6" s="168"/>
      <c r="EF6" s="165">
        <f t="shared" si="63"/>
        <v>1031418356.7400898</v>
      </c>
      <c r="EG6" s="165">
        <f t="shared" si="64"/>
        <v>895242225.35004115</v>
      </c>
      <c r="EH6" s="165">
        <f t="shared" si="65"/>
        <v>1072076328.1611862</v>
      </c>
      <c r="EI6" s="165">
        <f t="shared" si="66"/>
        <v>846737835.13525724</v>
      </c>
      <c r="EJ6" s="165">
        <f t="shared" si="67"/>
        <v>999255129.32306635</v>
      </c>
      <c r="EK6" s="165">
        <f t="shared" si="68"/>
        <v>1357780968.7500005</v>
      </c>
      <c r="EL6" s="165">
        <f t="shared" si="69"/>
        <v>1065339745.3643756</v>
      </c>
      <c r="EM6" s="165">
        <f t="shared" si="70"/>
        <v>1301252982.9405127</v>
      </c>
      <c r="EN6" s="165">
        <f t="shared" si="71"/>
        <v>1417236671.4811263</v>
      </c>
      <c r="EO6" s="165">
        <f t="shared" si="72"/>
        <v>1357780968.7500005</v>
      </c>
      <c r="EP6" s="165">
        <f t="shared" si="73"/>
        <v>1751106088.4899917</v>
      </c>
      <c r="EQ6" s="165">
        <f t="shared" si="74"/>
        <v>2160752351.9499931</v>
      </c>
      <c r="ER6" s="165">
        <f t="shared" si="75"/>
        <v>2022377582.5798917</v>
      </c>
      <c r="ES6" s="165">
        <f t="shared" si="76"/>
        <v>1960986022.9872456</v>
      </c>
      <c r="ET6" s="165">
        <f t="shared" si="77"/>
        <v>2269053034.0966973</v>
      </c>
      <c r="EU6" s="165">
        <f t="shared" si="78"/>
        <v>2559670196.2875452</v>
      </c>
      <c r="EV6" s="165">
        <f t="shared" si="79"/>
        <v>2481432445.7328587</v>
      </c>
      <c r="EW6" s="165">
        <f t="shared" si="80"/>
        <v>2394333873.5915294</v>
      </c>
      <c r="EX6" s="165">
        <f t="shared" si="81"/>
        <v>2740435289.9818339</v>
      </c>
      <c r="EY6" s="165">
        <f t="shared" si="82"/>
        <v>3043245363.5739374</v>
      </c>
      <c r="EZ6" s="165">
        <f t="shared" si="83"/>
        <v>2834836441.8964429</v>
      </c>
      <c r="FA6" s="165">
        <f t="shared" si="84"/>
        <v>2729455272.1931725</v>
      </c>
      <c r="FB6" s="165">
        <f t="shared" si="85"/>
        <v>3118300447.3474898</v>
      </c>
      <c r="FC6" s="165">
        <f t="shared" si="86"/>
        <v>3459194673.4984694</v>
      </c>
      <c r="FE6" s="165">
        <f t="shared" si="87"/>
        <v>3845474745.3865743</v>
      </c>
      <c r="FF6" s="165">
        <f t="shared" si="88"/>
        <v>4723628826.3779545</v>
      </c>
      <c r="FG6" s="165">
        <f t="shared" si="89"/>
        <v>6686876080.6711121</v>
      </c>
      <c r="FH6" s="165">
        <f t="shared" si="90"/>
        <v>8812086835.9513798</v>
      </c>
      <c r="FI6" s="165">
        <f t="shared" si="91"/>
        <v>10659446972.880161</v>
      </c>
      <c r="FJ6" s="165">
        <f t="shared" si="92"/>
        <v>12141786834.935574</v>
      </c>
    </row>
    <row r="7" spans="2:166" x14ac:dyDescent="0.2">
      <c r="B7" s="155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68"/>
      <c r="EF7" s="165"/>
      <c r="EG7" s="165"/>
      <c r="EH7" s="165"/>
      <c r="EI7" s="165"/>
      <c r="EJ7" s="165"/>
      <c r="EK7" s="165"/>
      <c r="EL7" s="165"/>
      <c r="EM7" s="165"/>
      <c r="EN7" s="165"/>
      <c r="EO7" s="165"/>
      <c r="EP7" s="165"/>
      <c r="EQ7" s="165"/>
      <c r="ER7" s="165"/>
      <c r="ES7" s="165"/>
      <c r="ET7" s="165"/>
      <c r="EU7" s="165"/>
      <c r="EV7" s="165"/>
      <c r="EW7" s="165"/>
      <c r="EX7" s="165"/>
      <c r="EY7" s="165"/>
      <c r="EZ7" s="165">
        <f t="shared" si="83"/>
        <v>0</v>
      </c>
      <c r="FA7" s="165">
        <f t="shared" si="84"/>
        <v>0</v>
      </c>
      <c r="FB7" s="165">
        <f t="shared" si="85"/>
        <v>0</v>
      </c>
      <c r="FC7" s="165">
        <f t="shared" si="86"/>
        <v>0</v>
      </c>
      <c r="FE7" s="165"/>
      <c r="FF7" s="165"/>
      <c r="FG7" s="165"/>
      <c r="FH7" s="165"/>
      <c r="FI7" s="165"/>
      <c r="FJ7" s="165"/>
    </row>
    <row r="8" spans="2:166" x14ac:dyDescent="0.2">
      <c r="B8" s="155" t="s">
        <v>227</v>
      </c>
      <c r="C8" s="10">
        <f>'P&amp;L - Inputs'!B680</f>
        <v>957</v>
      </c>
      <c r="D8" s="10">
        <f>'P&amp;L - Inputs'!C680</f>
        <v>1008</v>
      </c>
      <c r="E8" s="10">
        <f>'P&amp;L - Inputs'!D680</f>
        <v>894</v>
      </c>
      <c r="F8" s="10">
        <f>'P&amp;L - Inputs'!E680</f>
        <v>1508</v>
      </c>
      <c r="G8" s="10">
        <f>'P&amp;L - Inputs'!F680</f>
        <v>1514</v>
      </c>
      <c r="H8" s="10">
        <f>'P&amp;L - Inputs'!G680</f>
        <v>1391</v>
      </c>
      <c r="I8" s="10">
        <f>'P&amp;L - Inputs'!H680</f>
        <v>1527</v>
      </c>
      <c r="J8" s="10">
        <f>'P&amp;L - Inputs'!I680</f>
        <v>1783</v>
      </c>
      <c r="K8" s="10">
        <f>'P&amp;L - Inputs'!J680</f>
        <v>2276</v>
      </c>
      <c r="L8" s="10">
        <f>'P&amp;L - Inputs'!K680</f>
        <v>2302</v>
      </c>
      <c r="M8" s="10">
        <f>'P&amp;L - Inputs'!L680</f>
        <v>3169</v>
      </c>
      <c r="N8" s="10">
        <f>'P&amp;L - Inputs'!M680</f>
        <v>2503</v>
      </c>
      <c r="O8" s="10">
        <f>'P&amp;L - Inputs'!N680</f>
        <v>3435</v>
      </c>
      <c r="P8" s="10">
        <f>'P&amp;L - Inputs'!O680</f>
        <v>3539</v>
      </c>
      <c r="Q8" s="10">
        <f>'P&amp;L - Inputs'!P680</f>
        <v>4220</v>
      </c>
      <c r="R8" s="10">
        <f>'P&amp;L - Inputs'!Q680</f>
        <v>3491</v>
      </c>
      <c r="S8" s="10">
        <f>'P&amp;L - Inputs'!R680</f>
        <v>2247</v>
      </c>
      <c r="T8" s="10">
        <f>'P&amp;L - Inputs'!S680</f>
        <v>1749</v>
      </c>
      <c r="U8" s="10">
        <f>'P&amp;L - Inputs'!T680</f>
        <v>1375</v>
      </c>
      <c r="V8" s="10">
        <f>'P&amp;L - Inputs'!U680</f>
        <v>1548</v>
      </c>
      <c r="W8" s="10">
        <f>'P&amp;L - Inputs'!V680</f>
        <v>3943</v>
      </c>
      <c r="X8" s="10">
        <f>'P&amp;L - Inputs'!W680</f>
        <v>2697</v>
      </c>
      <c r="Y8" s="10">
        <f>'P&amp;L - Inputs'!X680</f>
        <v>2654</v>
      </c>
      <c r="Z8" s="10">
        <f>'P&amp;L - Inputs'!Y680</f>
        <v>1322</v>
      </c>
      <c r="AA8" s="10">
        <f>'P&amp;L - Inputs'!Z680</f>
        <v>219</v>
      </c>
      <c r="AB8" s="10">
        <f>'P&amp;L - Inputs'!AA680</f>
        <v>1725</v>
      </c>
      <c r="AC8" s="10">
        <f>'P&amp;L - Inputs'!AB680</f>
        <v>1807</v>
      </c>
      <c r="AD8" s="10">
        <f>'P&amp;L - Inputs'!AC680</f>
        <v>2282</v>
      </c>
      <c r="AE8" s="10">
        <f>'P&amp;L - Inputs'!AD680</f>
        <v>2417</v>
      </c>
      <c r="AF8" s="10">
        <f>'P&amp;L - Inputs'!AE680</f>
        <v>2598</v>
      </c>
      <c r="AG8" s="10">
        <f>'P&amp;L - Inputs'!AF680</f>
        <v>2701</v>
      </c>
      <c r="AH8" s="10">
        <f>'P&amp;L - Inputs'!AG680</f>
        <v>4317</v>
      </c>
      <c r="AI8" s="10">
        <f>'P&amp;L - Inputs'!AH680</f>
        <v>5996</v>
      </c>
      <c r="AJ8" s="10">
        <f>'P&amp;L - Inputs'!AI680</f>
        <v>7633</v>
      </c>
      <c r="AK8" s="10">
        <f>'P&amp;L - Inputs'!AJ680</f>
        <v>6140</v>
      </c>
      <c r="AL8" s="10">
        <f>'P&amp;L - Inputs'!AK680</f>
        <v>4565</v>
      </c>
      <c r="AM8" s="10">
        <f>'P&amp;L - Inputs'!AL680</f>
        <v>3496</v>
      </c>
      <c r="AN8" s="10">
        <f>'P&amp;L - Inputs'!AM680</f>
        <v>2680</v>
      </c>
      <c r="AO8" s="10">
        <f>'P&amp;L - Inputs'!AN680</f>
        <v>5319</v>
      </c>
      <c r="AP8" s="10">
        <f>'P&amp;L - Inputs'!AO680</f>
        <v>6983</v>
      </c>
      <c r="AQ8" s="10">
        <f>'P&amp;L - Inputs'!AP680</f>
        <v>8332</v>
      </c>
      <c r="AR8" s="10">
        <f>'P&amp;L - Inputs'!AQ680</f>
        <v>9742</v>
      </c>
      <c r="AS8" s="10">
        <f>'P&amp;L - Inputs'!AR680</f>
        <v>10550</v>
      </c>
      <c r="AT8" s="10">
        <f>'P&amp;L - Inputs'!AS680</f>
        <v>10220</v>
      </c>
      <c r="AU8" s="10">
        <f>'P&amp;L - Inputs'!AT680</f>
        <v>11472</v>
      </c>
      <c r="AV8" s="10">
        <f>'P&amp;L - Inputs'!AU680</f>
        <v>12940</v>
      </c>
      <c r="AW8" s="10">
        <f>'P&amp;L - Inputs'!AV680</f>
        <v>12717</v>
      </c>
      <c r="AX8" s="10">
        <f>'P&amp;L - Inputs'!AW680</f>
        <v>15011</v>
      </c>
      <c r="AY8" s="10">
        <f>'P&amp;L - Inputs'!AX680</f>
        <v>10170</v>
      </c>
      <c r="AZ8" s="10">
        <f>'P&amp;L - Inputs'!AY680</f>
        <v>8989</v>
      </c>
      <c r="BA8" s="10">
        <f>'P&amp;L - Inputs'!AZ680</f>
        <v>7521</v>
      </c>
      <c r="BB8" s="10">
        <f>'P&amp;L - Inputs'!BA680</f>
        <v>7152</v>
      </c>
      <c r="BC8" s="10">
        <f>'P&amp;L - Inputs'!BB680</f>
        <v>6225</v>
      </c>
      <c r="BD8" s="10">
        <f>'P&amp;L - Inputs'!BC680</f>
        <v>4170</v>
      </c>
      <c r="BE8" s="10">
        <f>'P&amp;L - Inputs'!BD680</f>
        <v>2423</v>
      </c>
      <c r="BF8" s="10">
        <f>'P&amp;L - Inputs'!BE680</f>
        <v>3369</v>
      </c>
      <c r="BG8" s="10">
        <f>'P&amp;L - Inputs'!BF680</f>
        <v>4732</v>
      </c>
      <c r="BH8" s="10">
        <f>'P&amp;L - Inputs'!BG680</f>
        <v>5172</v>
      </c>
      <c r="BI8" s="10">
        <f>'P&amp;L - Inputs'!BH680</f>
        <v>4577</v>
      </c>
      <c r="BJ8" s="10">
        <f>'P&amp;L - Inputs'!BI680</f>
        <v>4934</v>
      </c>
      <c r="BK8" s="10">
        <f>'P&amp;L - Inputs'!BJ680</f>
        <v>0</v>
      </c>
      <c r="BL8" s="10">
        <f>'P&amp;L - Inputs'!BK680</f>
        <v>0</v>
      </c>
      <c r="BM8" s="10">
        <f>'P&amp;L - Inputs'!BL680</f>
        <v>0</v>
      </c>
      <c r="BN8" s="10">
        <f>'P&amp;L - Inputs'!BM680</f>
        <v>0</v>
      </c>
      <c r="BO8" s="10">
        <f>'P&amp;L - Inputs'!BN680</f>
        <v>0</v>
      </c>
      <c r="BP8" s="10">
        <f>'P&amp;L - Inputs'!BO680</f>
        <v>0</v>
      </c>
      <c r="BQ8" s="10">
        <f>'P&amp;L - Inputs'!BP680</f>
        <v>0</v>
      </c>
      <c r="BR8" s="10">
        <f>'P&amp;L - Inputs'!BQ680</f>
        <v>0</v>
      </c>
      <c r="BS8" s="10">
        <f>'P&amp;L - Inputs'!BR680</f>
        <v>0</v>
      </c>
      <c r="BT8" s="10">
        <f>'P&amp;L - Inputs'!BS680</f>
        <v>0</v>
      </c>
      <c r="BU8" s="10">
        <f>'P&amp;L - Inputs'!BT680</f>
        <v>0</v>
      </c>
      <c r="BV8" s="10">
        <f>'P&amp;L - Inputs'!BU680</f>
        <v>0</v>
      </c>
      <c r="BW8" s="10">
        <f>'P&amp;L - Inputs'!BV680</f>
        <v>0</v>
      </c>
      <c r="BX8" s="10">
        <f>'P&amp;L - Inputs'!BW680</f>
        <v>0</v>
      </c>
      <c r="BY8" s="10">
        <f>'P&amp;L - Inputs'!BX680</f>
        <v>0</v>
      </c>
      <c r="BZ8" s="10">
        <f>'P&amp;L - Inputs'!BY680</f>
        <v>0</v>
      </c>
      <c r="CA8" s="10">
        <f>'P&amp;L - Inputs'!BZ680</f>
        <v>0</v>
      </c>
      <c r="CB8" s="10">
        <f>'P&amp;L - Inputs'!CA680</f>
        <v>0</v>
      </c>
      <c r="CC8" s="10">
        <f>'P&amp;L - Inputs'!CB680</f>
        <v>0</v>
      </c>
      <c r="CD8" s="10">
        <f>'P&amp;L - Inputs'!CC680</f>
        <v>0</v>
      </c>
      <c r="CE8" s="10">
        <f>'P&amp;L - Inputs'!CD680</f>
        <v>0</v>
      </c>
      <c r="CF8" s="10">
        <f>'P&amp;L - Inputs'!CE680</f>
        <v>0</v>
      </c>
      <c r="CG8" s="10">
        <f>'P&amp;L - Inputs'!CF680</f>
        <v>0</v>
      </c>
      <c r="CH8" s="10">
        <f>'P&amp;L - Inputs'!CG680</f>
        <v>0</v>
      </c>
      <c r="CI8" s="10">
        <f>'P&amp;L - Inputs'!CH680</f>
        <v>0</v>
      </c>
      <c r="CJ8" s="10">
        <f>'P&amp;L - Inputs'!CI680</f>
        <v>0</v>
      </c>
      <c r="CK8" s="10">
        <f>'P&amp;L - Inputs'!CJ680</f>
        <v>0</v>
      </c>
      <c r="CL8" s="10">
        <f>'P&amp;L - Inputs'!CK680</f>
        <v>0</v>
      </c>
      <c r="CM8" s="10">
        <f>'P&amp;L - Inputs'!CL680</f>
        <v>0</v>
      </c>
      <c r="CN8" s="10">
        <f>'P&amp;L - Inputs'!CM680</f>
        <v>0</v>
      </c>
      <c r="CO8" s="10">
        <f>'P&amp;L - Inputs'!CN680</f>
        <v>0</v>
      </c>
      <c r="CP8" s="10">
        <f>'P&amp;L - Inputs'!CO680</f>
        <v>0</v>
      </c>
      <c r="CQ8" s="10">
        <f>'P&amp;L - Inputs'!CP680</f>
        <v>0</v>
      </c>
      <c r="CR8" s="10">
        <f>'P&amp;L - Inputs'!CQ680</f>
        <v>0</v>
      </c>
      <c r="CS8" s="10">
        <f>'P&amp;L - Inputs'!CR680</f>
        <v>0</v>
      </c>
      <c r="CT8" s="10">
        <f>'P&amp;L - Inputs'!CS680</f>
        <v>0</v>
      </c>
      <c r="CU8" s="10">
        <f>'P&amp;L - Inputs'!CT680</f>
        <v>0</v>
      </c>
      <c r="CV8" s="10">
        <f>'P&amp;L - Inputs'!CU680</f>
        <v>0</v>
      </c>
      <c r="CW8" s="10">
        <f>'P&amp;L - Inputs'!CV680</f>
        <v>0</v>
      </c>
      <c r="CX8" s="10">
        <f>'P&amp;L - Inputs'!CW680</f>
        <v>0</v>
      </c>
      <c r="CY8" s="10">
        <f>'P&amp;L - Inputs'!CX680</f>
        <v>0</v>
      </c>
      <c r="CZ8" s="10">
        <f>'P&amp;L - Inputs'!CY680</f>
        <v>0</v>
      </c>
      <c r="DA8" s="10">
        <f>'P&amp;L - Inputs'!CZ680</f>
        <v>0</v>
      </c>
      <c r="DB8" s="10">
        <f>'P&amp;L - Inputs'!DA680</f>
        <v>0</v>
      </c>
      <c r="DC8" s="10">
        <f>'P&amp;L - Inputs'!DB680</f>
        <v>0</v>
      </c>
      <c r="DD8" s="10">
        <f>'P&amp;L - Inputs'!DC680</f>
        <v>0</v>
      </c>
      <c r="DE8" s="10">
        <f>'P&amp;L - Inputs'!DD680</f>
        <v>0</v>
      </c>
      <c r="DF8" s="10">
        <f>'P&amp;L - Inputs'!DE680</f>
        <v>0</v>
      </c>
      <c r="DG8" s="10">
        <f>'P&amp;L - Inputs'!DF680</f>
        <v>0</v>
      </c>
      <c r="DH8" s="10">
        <f>'P&amp;L - Inputs'!DG680</f>
        <v>0</v>
      </c>
      <c r="DI8" s="10">
        <f>'P&amp;L - Inputs'!DH680</f>
        <v>0</v>
      </c>
      <c r="DJ8" s="10">
        <f>'P&amp;L - Inputs'!DI680</f>
        <v>0</v>
      </c>
      <c r="DK8" s="10">
        <f>'P&amp;L - Inputs'!DJ680</f>
        <v>0</v>
      </c>
      <c r="DL8" s="10">
        <f>'P&amp;L - Inputs'!DK680</f>
        <v>0</v>
      </c>
      <c r="DM8" s="10">
        <f>'P&amp;L - Inputs'!DL680</f>
        <v>0</v>
      </c>
      <c r="DN8" s="10">
        <f>'P&amp;L - Inputs'!DM680</f>
        <v>0</v>
      </c>
      <c r="DO8" s="10">
        <f>'P&amp;L - Inputs'!DN680</f>
        <v>0</v>
      </c>
      <c r="DP8" s="10">
        <f>'P&amp;L - Inputs'!DO680</f>
        <v>0</v>
      </c>
      <c r="DQ8" s="10">
        <f>'P&amp;L - Inputs'!DP680</f>
        <v>0</v>
      </c>
      <c r="DR8" s="10">
        <f>'P&amp;L - Inputs'!DQ680</f>
        <v>0</v>
      </c>
      <c r="DS8" s="10">
        <f>'P&amp;L - Inputs'!DR680</f>
        <v>0</v>
      </c>
      <c r="DT8" s="10">
        <f>'P&amp;L - Inputs'!DS680</f>
        <v>0</v>
      </c>
      <c r="DU8" s="10">
        <f>'P&amp;L - Inputs'!DT680</f>
        <v>0</v>
      </c>
      <c r="DV8" s="10">
        <f>'P&amp;L - Inputs'!DU680</f>
        <v>0</v>
      </c>
      <c r="DW8" s="10">
        <f>'P&amp;L - Inputs'!DV680</f>
        <v>0</v>
      </c>
      <c r="DX8" s="10">
        <f>'P&amp;L - Inputs'!DW680</f>
        <v>0</v>
      </c>
      <c r="DY8" s="10">
        <f>'P&amp;L - Inputs'!DX680</f>
        <v>0</v>
      </c>
      <c r="DZ8" s="10">
        <f>'P&amp;L - Inputs'!DY680</f>
        <v>0</v>
      </c>
      <c r="EA8" s="10">
        <f>'P&amp;L - Inputs'!DZ680</f>
        <v>0</v>
      </c>
      <c r="EB8" s="10">
        <f>'P&amp;L - Inputs'!EA680</f>
        <v>0</v>
      </c>
      <c r="EC8" s="10">
        <f>'P&amp;L - Inputs'!EB680</f>
        <v>0</v>
      </c>
      <c r="ED8" s="10">
        <f>'P&amp;L - Inputs'!EC680</f>
        <v>0</v>
      </c>
      <c r="EE8" s="168"/>
      <c r="EF8" s="165">
        <f t="shared" si="63"/>
        <v>0</v>
      </c>
      <c r="EG8" s="165">
        <f t="shared" si="64"/>
        <v>0</v>
      </c>
      <c r="EH8" s="165">
        <f t="shared" si="65"/>
        <v>0</v>
      </c>
      <c r="EI8" s="165">
        <f t="shared" si="66"/>
        <v>0</v>
      </c>
      <c r="EJ8" s="165">
        <f t="shared" si="67"/>
        <v>0</v>
      </c>
      <c r="EK8" s="165">
        <f t="shared" si="68"/>
        <v>0</v>
      </c>
      <c r="EL8" s="165">
        <f t="shared" si="69"/>
        <v>0</v>
      </c>
      <c r="EM8" s="165">
        <f t="shared" si="70"/>
        <v>0</v>
      </c>
      <c r="EN8" s="165">
        <f t="shared" si="71"/>
        <v>0</v>
      </c>
      <c r="EO8" s="165">
        <f t="shared" si="72"/>
        <v>0</v>
      </c>
      <c r="EP8" s="165">
        <f t="shared" si="73"/>
        <v>0</v>
      </c>
      <c r="EQ8" s="165">
        <f t="shared" si="74"/>
        <v>0</v>
      </c>
      <c r="ER8" s="165">
        <f t="shared" si="75"/>
        <v>0</v>
      </c>
      <c r="ES8" s="165">
        <f t="shared" si="76"/>
        <v>0</v>
      </c>
      <c r="ET8" s="165">
        <f t="shared" si="77"/>
        <v>0</v>
      </c>
      <c r="EU8" s="165">
        <f t="shared" si="78"/>
        <v>0</v>
      </c>
      <c r="EV8" s="165">
        <f t="shared" si="79"/>
        <v>0</v>
      </c>
      <c r="EW8" s="165">
        <f t="shared" si="80"/>
        <v>0</v>
      </c>
      <c r="EX8" s="165">
        <f t="shared" si="81"/>
        <v>0</v>
      </c>
      <c r="EY8" s="165">
        <f t="shared" si="82"/>
        <v>0</v>
      </c>
      <c r="EZ8" s="165">
        <f t="shared" si="83"/>
        <v>0</v>
      </c>
      <c r="FA8" s="165">
        <f t="shared" si="84"/>
        <v>0</v>
      </c>
      <c r="FB8" s="165">
        <f t="shared" si="85"/>
        <v>0</v>
      </c>
      <c r="FC8" s="165">
        <f t="shared" si="86"/>
        <v>0</v>
      </c>
      <c r="FE8" s="165">
        <f t="shared" si="87"/>
        <v>0</v>
      </c>
      <c r="FF8" s="165">
        <f t="shared" si="88"/>
        <v>0</v>
      </c>
      <c r="FG8" s="165">
        <f t="shared" si="89"/>
        <v>0</v>
      </c>
      <c r="FH8" s="165">
        <f t="shared" si="90"/>
        <v>0</v>
      </c>
      <c r="FI8" s="165">
        <f t="shared" si="91"/>
        <v>0</v>
      </c>
      <c r="FJ8" s="165">
        <f t="shared" si="92"/>
        <v>0</v>
      </c>
    </row>
    <row r="9" spans="2:166" x14ac:dyDescent="0.2">
      <c r="B9" s="155" t="s">
        <v>228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f>'D2C Online'!C11</f>
        <v>80</v>
      </c>
      <c r="M9" s="19">
        <f>'D2C Online'!D11</f>
        <v>442</v>
      </c>
      <c r="N9" s="19">
        <f>'D2C Online'!E11</f>
        <v>1709</v>
      </c>
      <c r="O9" s="19">
        <f>'D2C Online'!F11</f>
        <v>2055</v>
      </c>
      <c r="P9" s="19">
        <f>'D2C Online'!G11</f>
        <v>2304</v>
      </c>
      <c r="Q9" s="19">
        <f>'D2C Online'!H11</f>
        <v>1690</v>
      </c>
      <c r="R9" s="19">
        <f>'D2C Online'!I11</f>
        <v>3162</v>
      </c>
      <c r="S9" s="19">
        <f>'D2C Online'!J11</f>
        <v>2897</v>
      </c>
      <c r="T9" s="19">
        <f>'D2C Online'!K11</f>
        <v>3977</v>
      </c>
      <c r="U9" s="19">
        <f>'D2C Online'!L11</f>
        <v>3289</v>
      </c>
      <c r="V9" s="19">
        <f>'D2C Online'!M11</f>
        <v>1594</v>
      </c>
      <c r="W9" s="19">
        <f>'D2C Online'!N11</f>
        <v>1817</v>
      </c>
      <c r="X9" s="19">
        <f>'D2C Online'!O11</f>
        <v>2698</v>
      </c>
      <c r="Y9" s="19">
        <f>'D2C Online'!P11</f>
        <v>2270</v>
      </c>
      <c r="Z9" s="19">
        <f>'D2C Online'!Q11</f>
        <v>2101</v>
      </c>
      <c r="AA9" s="19">
        <f>'D2C Online'!R11</f>
        <v>0</v>
      </c>
      <c r="AB9" s="19">
        <f>'D2C Online'!S11</f>
        <v>2255</v>
      </c>
      <c r="AC9" s="19">
        <f>'D2C Online'!T11</f>
        <v>1355</v>
      </c>
      <c r="AD9" s="19">
        <f>'D2C Online'!U11</f>
        <v>800</v>
      </c>
      <c r="AE9" s="19">
        <f>'D2C Online'!V11</f>
        <v>1025</v>
      </c>
      <c r="AF9" s="19">
        <f>'D2C Online'!W11</f>
        <v>1502</v>
      </c>
      <c r="AG9" s="19">
        <f>'D2C Online'!X11</f>
        <v>2425</v>
      </c>
      <c r="AH9" s="19">
        <f>'D2C Online'!Y11</f>
        <v>2053</v>
      </c>
      <c r="AI9" s="19">
        <f>'D2C Online'!Z11</f>
        <v>3492</v>
      </c>
      <c r="AJ9" s="19">
        <f>'D2C Online'!AA11</f>
        <v>4670</v>
      </c>
      <c r="AK9" s="19">
        <f>'D2C Online'!AB11</f>
        <v>2828</v>
      </c>
      <c r="AL9" s="19">
        <f>'D2C Online'!AC11</f>
        <v>4144</v>
      </c>
      <c r="AM9" s="19">
        <f>'D2C Online'!AD11</f>
        <v>2940</v>
      </c>
      <c r="AN9" s="19">
        <f>'D2C Online'!AE11</f>
        <v>1664</v>
      </c>
      <c r="AO9" s="19">
        <f>'D2C Online'!AF11</f>
        <v>2395</v>
      </c>
      <c r="AP9" s="19">
        <f>'D2C Online'!AG11</f>
        <v>2228</v>
      </c>
      <c r="AQ9" s="19">
        <f>'D2C Online'!AH11</f>
        <v>1355</v>
      </c>
      <c r="AR9" s="19">
        <f>'D2C Online'!AI11</f>
        <v>1493</v>
      </c>
      <c r="AS9" s="19">
        <f>'D2C Online'!AJ11</f>
        <v>2040</v>
      </c>
      <c r="AT9" s="19">
        <f>'D2C Online'!AK11</f>
        <v>4101</v>
      </c>
      <c r="AU9" s="19">
        <f>'D2C Online'!AL11</f>
        <v>5784</v>
      </c>
      <c r="AV9" s="19">
        <f>'D2C Online'!AM11</f>
        <v>5877</v>
      </c>
      <c r="AW9" s="19">
        <f>'D2C Online'!AN11</f>
        <v>4430</v>
      </c>
      <c r="AX9" s="19">
        <f>'D2C Online'!AO11</f>
        <v>2939</v>
      </c>
      <c r="AY9" s="19">
        <f>'D2C Online'!AP11</f>
        <v>2090</v>
      </c>
      <c r="AZ9" s="19">
        <f>'D2C Online'!AQ11</f>
        <v>3709</v>
      </c>
      <c r="BA9" s="19">
        <f>'D2C Online'!AR11</f>
        <v>3398</v>
      </c>
      <c r="BB9" s="19">
        <f>'D2C Online'!AS11</f>
        <v>4040</v>
      </c>
      <c r="BC9" s="19">
        <f>'D2C Online'!AT11</f>
        <v>3641</v>
      </c>
      <c r="BD9" s="19">
        <f>'D2C Online'!AU11</f>
        <v>4900</v>
      </c>
      <c r="BE9" s="19">
        <f>'D2C Online'!AV11</f>
        <v>5781</v>
      </c>
      <c r="BF9" s="19">
        <f>'D2C Online'!AW11</f>
        <v>4698</v>
      </c>
      <c r="BG9" s="19">
        <f>'D2C Online'!AX11</f>
        <v>4629</v>
      </c>
      <c r="BH9" s="19">
        <f>'D2C Online'!AY11</f>
        <v>3826</v>
      </c>
      <c r="BI9" s="19">
        <f>'D2C Online'!AZ11</f>
        <v>5850</v>
      </c>
      <c r="BJ9" s="19">
        <f>'D2C Online'!BA11</f>
        <v>10532</v>
      </c>
      <c r="BK9" s="19">
        <f>'D2C Online'!BB11</f>
        <v>11792</v>
      </c>
      <c r="BL9" s="19">
        <f>'D2C Online'!BC11</f>
        <v>10366</v>
      </c>
      <c r="BM9" s="19">
        <f>'D2C Online'!BD11</f>
        <v>12586</v>
      </c>
      <c r="BN9" s="19">
        <f>'D2C Online'!BE11</f>
        <v>10529</v>
      </c>
      <c r="BO9" s="19">
        <f>'D2C Online'!BF11</f>
        <v>10882</v>
      </c>
      <c r="BP9" s="19">
        <f>'D2C Online'!BG11</f>
        <v>11887</v>
      </c>
      <c r="BQ9" s="19">
        <f>'D2C Online'!BH11</f>
        <v>15079</v>
      </c>
      <c r="BR9" s="19">
        <f>'D2C Online'!BI11</f>
        <v>13046</v>
      </c>
      <c r="BS9" s="19">
        <f>'D2C Online'!BJ11</f>
        <v>11437</v>
      </c>
      <c r="BT9" s="19">
        <f>'D2C Online'!BK11</f>
        <v>11818</v>
      </c>
      <c r="BU9" s="19">
        <f>'D2C Online'!BL11</f>
        <v>9377</v>
      </c>
      <c r="BV9" s="19">
        <f>'D2C Online'!BM11</f>
        <v>11795</v>
      </c>
      <c r="BW9" s="19">
        <f>'D2C Online'!BN11</f>
        <v>11537</v>
      </c>
      <c r="BX9" s="19">
        <f>'D2C Online'!BO11</f>
        <v>12102</v>
      </c>
      <c r="BY9" s="19">
        <f>'D2C Online'!BP11</f>
        <v>12357</v>
      </c>
      <c r="BZ9" s="19">
        <f>'D2C Online'!BQ11</f>
        <v>13037</v>
      </c>
      <c r="CA9" s="19">
        <f>'D2C Online'!BR11</f>
        <v>12269</v>
      </c>
      <c r="CB9" s="19">
        <f>'D2C Online'!BS11</f>
        <v>12369</v>
      </c>
      <c r="CC9" s="19">
        <f>'D2C Online'!BT11</f>
        <v>11980</v>
      </c>
      <c r="CD9" s="19">
        <f>'D2C Online'!BU11</f>
        <v>10940</v>
      </c>
      <c r="CE9" s="19">
        <f>'D2C Online'!BV11</f>
        <v>12666</v>
      </c>
      <c r="CF9" s="19">
        <f>'D2C Online'!BW11</f>
        <v>14543</v>
      </c>
      <c r="CG9" s="19">
        <f>'D2C Online'!BX11</f>
        <v>14445</v>
      </c>
      <c r="CH9" s="19">
        <f>'D2C Online'!BY11</f>
        <v>18923</v>
      </c>
      <c r="CI9" s="19">
        <f>'D2C Online'!BZ11</f>
        <v>16605</v>
      </c>
      <c r="CJ9" s="19">
        <f>'D2C Online'!CA11</f>
        <v>16774</v>
      </c>
      <c r="CK9" s="19">
        <f>'D2C Online'!CB11</f>
        <v>16762</v>
      </c>
      <c r="CL9" s="19">
        <f>'D2C Online'!CC11</f>
        <v>17015</v>
      </c>
      <c r="CM9" s="19">
        <f>'D2C Online'!CD11</f>
        <v>16033</v>
      </c>
      <c r="CN9" s="19">
        <f>'D2C Online'!CE11</f>
        <v>17539</v>
      </c>
      <c r="CO9" s="19">
        <f>'D2C Online'!CF11</f>
        <v>17054</v>
      </c>
      <c r="CP9" s="19">
        <f>'D2C Online'!CG11</f>
        <v>17094</v>
      </c>
      <c r="CQ9" s="19">
        <f>'D2C Online'!CH11</f>
        <v>20983</v>
      </c>
      <c r="CR9" s="19">
        <f>'D2C Online'!CI11</f>
        <v>22609</v>
      </c>
      <c r="CS9" s="19">
        <f>'D2C Online'!CJ11</f>
        <v>19383</v>
      </c>
      <c r="CT9" s="19">
        <f>'D2C Online'!CK11</f>
        <v>20945</v>
      </c>
      <c r="CU9" s="19">
        <f>'D2C Online'!CL11</f>
        <v>19095.75</v>
      </c>
      <c r="CV9" s="19">
        <f>'D2C Online'!CM11</f>
        <v>19290.099999999999</v>
      </c>
      <c r="CW9" s="19">
        <f>'D2C Online'!CN11</f>
        <v>19276.3</v>
      </c>
      <c r="CX9" s="19">
        <f>'D2C Online'!CO11</f>
        <v>19567.25</v>
      </c>
      <c r="CY9" s="19">
        <f>'D2C Online'!CP11</f>
        <v>18437.949999999997</v>
      </c>
      <c r="CZ9" s="19">
        <f>'D2C Online'!CQ11</f>
        <v>20169.849999999999</v>
      </c>
      <c r="DA9" s="19">
        <f>'D2C Online'!CR11</f>
        <v>19612.099999999999</v>
      </c>
      <c r="DB9" s="19">
        <f>'D2C Online'!CS11</f>
        <v>19658.099999999999</v>
      </c>
      <c r="DC9" s="19">
        <f>'D2C Online'!CT11</f>
        <v>24130.449999999997</v>
      </c>
      <c r="DD9" s="19">
        <f>'D2C Online'!CU11</f>
        <v>26000.35</v>
      </c>
      <c r="DE9" s="19">
        <f>'D2C Online'!CV11</f>
        <v>22290.449999999997</v>
      </c>
      <c r="DF9" s="19">
        <f>'D2C Online'!CW11</f>
        <v>24086.749999999996</v>
      </c>
      <c r="DG9" s="19">
        <f>'D2C Online'!CX11</f>
        <v>21960.112499999999</v>
      </c>
      <c r="DH9" s="19">
        <f>'D2C Online'!CY11</f>
        <v>22183.614999999998</v>
      </c>
      <c r="DI9" s="19">
        <f>'D2C Online'!CZ11</f>
        <v>22167.744999999999</v>
      </c>
      <c r="DJ9" s="19">
        <f>'D2C Online'!DA11</f>
        <v>22502.337499999998</v>
      </c>
      <c r="DK9" s="19">
        <f>'D2C Online'!DB11</f>
        <v>21203.642499999994</v>
      </c>
      <c r="DL9" s="19">
        <f>'D2C Online'!DC11</f>
        <v>23195.327499999996</v>
      </c>
      <c r="DM9" s="19">
        <f>'D2C Online'!DD11</f>
        <v>22553.914999999997</v>
      </c>
      <c r="DN9" s="19">
        <f>'D2C Online'!DE11</f>
        <v>22606.814999999995</v>
      </c>
      <c r="DO9" s="19">
        <f>'D2C Online'!DF11</f>
        <v>27750.017499999994</v>
      </c>
      <c r="DP9" s="19">
        <f>'D2C Online'!DG11</f>
        <v>29900.402499999997</v>
      </c>
      <c r="DQ9" s="19">
        <f>'D2C Online'!DH11</f>
        <v>25634.017499999994</v>
      </c>
      <c r="DR9" s="19">
        <f>'D2C Online'!DI11</f>
        <v>27699.762499999993</v>
      </c>
      <c r="DS9" s="19">
        <f>'D2C Online'!DJ11</f>
        <v>25254.129374999997</v>
      </c>
      <c r="DT9" s="19">
        <f>'D2C Online'!DK11</f>
        <v>25511.157249999997</v>
      </c>
      <c r="DU9" s="19">
        <f>'D2C Online'!DL11</f>
        <v>25492.906749999998</v>
      </c>
      <c r="DV9" s="19">
        <f>'D2C Online'!DM11</f>
        <v>25877.688124999997</v>
      </c>
      <c r="DW9" s="19">
        <f>'D2C Online'!DN11</f>
        <v>24384.188874999993</v>
      </c>
      <c r="DX9" s="19">
        <f>'D2C Online'!DO11</f>
        <v>26674.626624999994</v>
      </c>
      <c r="DY9" s="19">
        <f>'D2C Online'!DP11</f>
        <v>25937.002249999994</v>
      </c>
      <c r="DZ9" s="19">
        <f>'D2C Online'!DQ11</f>
        <v>25997.837249999993</v>
      </c>
      <c r="EA9" s="19">
        <f>'D2C Online'!DR11</f>
        <v>31912.520124999992</v>
      </c>
      <c r="EB9" s="19">
        <f>'D2C Online'!DS11</f>
        <v>34385.46287499999</v>
      </c>
      <c r="EC9" s="19">
        <f>'D2C Online'!DT11</f>
        <v>29479.12012499999</v>
      </c>
      <c r="ED9" s="19">
        <f>'D2C Online'!DU11</f>
        <v>31854.726874999989</v>
      </c>
      <c r="EE9" s="168"/>
      <c r="EF9" s="165">
        <f t="shared" si="63"/>
        <v>34744</v>
      </c>
      <c r="EG9" s="165">
        <f t="shared" si="64"/>
        <v>33298</v>
      </c>
      <c r="EH9" s="165">
        <f t="shared" si="65"/>
        <v>39562</v>
      </c>
      <c r="EI9" s="165">
        <f t="shared" si="66"/>
        <v>32990</v>
      </c>
      <c r="EJ9" s="165">
        <f t="shared" si="67"/>
        <v>35996</v>
      </c>
      <c r="EK9" s="165">
        <f t="shared" si="68"/>
        <v>50587</v>
      </c>
      <c r="EL9" s="165">
        <f t="shared" si="69"/>
        <v>35586</v>
      </c>
      <c r="EM9" s="165">
        <f t="shared" si="70"/>
        <v>47911</v>
      </c>
      <c r="EN9" s="165">
        <f t="shared" si="71"/>
        <v>50141</v>
      </c>
      <c r="EO9" s="165">
        <f t="shared" si="72"/>
        <v>50587</v>
      </c>
      <c r="EP9" s="165">
        <f t="shared" si="73"/>
        <v>55131</v>
      </c>
      <c r="EQ9" s="165">
        <f t="shared" si="74"/>
        <v>62937</v>
      </c>
      <c r="ER9" s="165">
        <f t="shared" si="75"/>
        <v>57662.149999999994</v>
      </c>
      <c r="ES9" s="165">
        <f t="shared" si="76"/>
        <v>58175.049999999996</v>
      </c>
      <c r="ET9" s="165">
        <f t="shared" si="77"/>
        <v>63400.649999999994</v>
      </c>
      <c r="EU9" s="165">
        <f t="shared" si="78"/>
        <v>72377.549999999988</v>
      </c>
      <c r="EV9" s="165">
        <f t="shared" si="79"/>
        <v>66311.472499999989</v>
      </c>
      <c r="EW9" s="165">
        <f t="shared" si="80"/>
        <v>66901.307499999995</v>
      </c>
      <c r="EX9" s="165">
        <f t="shared" si="81"/>
        <v>72910.747499999998</v>
      </c>
      <c r="EY9" s="165">
        <f t="shared" si="82"/>
        <v>83234.182499999981</v>
      </c>
      <c r="EZ9" s="165">
        <f t="shared" si="83"/>
        <v>76258.193374999988</v>
      </c>
      <c r="FA9" s="165">
        <f t="shared" si="84"/>
        <v>76936.503624999983</v>
      </c>
      <c r="FB9" s="165">
        <f t="shared" si="85"/>
        <v>83847.359624999983</v>
      </c>
      <c r="FC9" s="165">
        <f t="shared" si="86"/>
        <v>95719.309874999977</v>
      </c>
      <c r="FE9" s="165">
        <f t="shared" si="87"/>
        <v>140594</v>
      </c>
      <c r="FF9" s="165">
        <f t="shared" si="88"/>
        <v>170080</v>
      </c>
      <c r="FG9" s="165">
        <f t="shared" si="89"/>
        <v>218796</v>
      </c>
      <c r="FH9" s="165">
        <f t="shared" si="90"/>
        <v>251615.39999999997</v>
      </c>
      <c r="FI9" s="165">
        <f t="shared" si="91"/>
        <v>289357.70999999996</v>
      </c>
      <c r="FJ9" s="165">
        <f t="shared" si="92"/>
        <v>332761.36649999995</v>
      </c>
    </row>
    <row r="10" spans="2:166" x14ac:dyDescent="0.2">
      <c r="B10" s="155" t="s">
        <v>229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f>'D2C - Retail'!C13</f>
        <v>365</v>
      </c>
      <c r="AD10" s="19">
        <f>'D2C - Retail'!D13</f>
        <v>278</v>
      </c>
      <c r="AE10" s="19">
        <f>'D2C - Retail'!E13</f>
        <v>536</v>
      </c>
      <c r="AF10" s="19">
        <f>'D2C - Retail'!F13</f>
        <v>926</v>
      </c>
      <c r="AG10" s="19">
        <f>'D2C - Retail'!G13</f>
        <v>827</v>
      </c>
      <c r="AH10" s="19">
        <f>'D2C - Retail'!H13</f>
        <v>1258</v>
      </c>
      <c r="AI10" s="19">
        <f>'D2C - Retail'!I13</f>
        <v>2110</v>
      </c>
      <c r="AJ10" s="19">
        <f>'D2C - Retail'!J13</f>
        <v>2095</v>
      </c>
      <c r="AK10" s="19">
        <f>'D2C - Retail'!K13</f>
        <v>2427</v>
      </c>
      <c r="AL10" s="19">
        <f>'D2C - Retail'!L13</f>
        <v>3136</v>
      </c>
      <c r="AM10" s="19">
        <f>'D2C - Retail'!M13</f>
        <v>1808</v>
      </c>
      <c r="AN10" s="19">
        <f>'D2C - Retail'!N13</f>
        <v>52</v>
      </c>
      <c r="AO10" s="19">
        <f>'D2C - Retail'!O13</f>
        <v>1290</v>
      </c>
      <c r="AP10" s="19">
        <f>'D2C - Retail'!P13</f>
        <v>1959</v>
      </c>
      <c r="AQ10" s="19">
        <f>'D2C - Retail'!Q13</f>
        <v>2540</v>
      </c>
      <c r="AR10" s="19">
        <f>'D2C - Retail'!R13</f>
        <v>3673</v>
      </c>
      <c r="AS10" s="19">
        <f>'D2C - Retail'!S13</f>
        <v>4009</v>
      </c>
      <c r="AT10" s="19">
        <f>'D2C - Retail'!T13</f>
        <v>5579</v>
      </c>
      <c r="AU10" s="19">
        <f>'D2C - Retail'!U13</f>
        <v>6925</v>
      </c>
      <c r="AV10" s="19">
        <f>'D2C - Retail'!V13</f>
        <v>6865</v>
      </c>
      <c r="AW10" s="19">
        <f>'D2C - Retail'!W13</f>
        <v>6978</v>
      </c>
      <c r="AX10" s="19">
        <f>'D2C - Retail'!X13</f>
        <v>7566</v>
      </c>
      <c r="AY10" s="19">
        <f>'D2C - Retail'!Y13</f>
        <v>6552</v>
      </c>
      <c r="AZ10" s="19">
        <f>'D2C - Retail'!Z13</f>
        <v>8769</v>
      </c>
      <c r="BA10" s="19">
        <f>'D2C - Retail'!AA13</f>
        <v>9095</v>
      </c>
      <c r="BB10" s="19">
        <f>'D2C - Retail'!AB13</f>
        <v>9732</v>
      </c>
      <c r="BC10" s="19">
        <f>'D2C - Retail'!AC13</f>
        <v>10287</v>
      </c>
      <c r="BD10" s="19">
        <f>'D2C - Retail'!AD13</f>
        <v>10390</v>
      </c>
      <c r="BE10" s="19">
        <f>'D2C - Retail'!AE13</f>
        <v>10594</v>
      </c>
      <c r="BF10" s="19">
        <f>'D2C - Retail'!AF13</f>
        <v>10187</v>
      </c>
      <c r="BG10" s="19">
        <f>'D2C - Retail'!AG13</f>
        <v>11572</v>
      </c>
      <c r="BH10" s="19">
        <f>'D2C - Retail'!AH13</f>
        <v>11976</v>
      </c>
      <c r="BI10" s="19">
        <f>'D2C - Retail'!AI13</f>
        <v>11023</v>
      </c>
      <c r="BJ10" s="19">
        <f>'D2C - Retail'!AJ13</f>
        <v>12932</v>
      </c>
      <c r="BK10" s="19">
        <f>'D2C - Retail'!AK13</f>
        <v>13201</v>
      </c>
      <c r="BL10" s="19">
        <f>'D2C - Retail'!AL13</f>
        <v>14628</v>
      </c>
      <c r="BM10" s="19">
        <f>'D2C - Retail'!AM13</f>
        <v>14693</v>
      </c>
      <c r="BN10" s="19">
        <f>'D2C - Retail'!AN13</f>
        <v>13222</v>
      </c>
      <c r="BO10" s="19">
        <f>'D2C - Retail'!AO13</f>
        <v>13379</v>
      </c>
      <c r="BP10" s="19">
        <f>'D2C - Retail'!AP13</f>
        <v>12636</v>
      </c>
      <c r="BQ10" s="19">
        <f>'D2C - Retail'!AQ13</f>
        <v>15254</v>
      </c>
      <c r="BR10" s="19">
        <f>'D2C - Retail'!AR13</f>
        <v>13790</v>
      </c>
      <c r="BS10" s="19">
        <f>'D2C - Retail'!AS13</f>
        <v>12255</v>
      </c>
      <c r="BT10" s="19">
        <f>'D2C - Retail'!AT13</f>
        <v>11040</v>
      </c>
      <c r="BU10" s="19">
        <f>'D2C - Retail'!AU13</f>
        <v>9729</v>
      </c>
      <c r="BV10" s="19">
        <f>'D2C - Retail'!AV13</f>
        <v>12176</v>
      </c>
      <c r="BW10" s="19">
        <f>'D2C - Retail'!AW13</f>
        <v>12948</v>
      </c>
      <c r="BX10" s="19">
        <f>'D2C - Retail'!AX13</f>
        <v>12532</v>
      </c>
      <c r="BY10" s="19">
        <f>'D2C - Retail'!AY13</f>
        <v>13565</v>
      </c>
      <c r="BZ10" s="19">
        <f>'D2C - Retail'!AZ13</f>
        <v>12910</v>
      </c>
      <c r="CA10" s="19">
        <f>'D2C - Retail'!BA13</f>
        <v>10609</v>
      </c>
      <c r="CB10" s="19">
        <f>'D2C - Retail'!BB13</f>
        <v>9299</v>
      </c>
      <c r="CC10" s="19">
        <f>'D2C - Retail'!BC13</f>
        <v>11327</v>
      </c>
      <c r="CD10" s="19">
        <f>'D2C - Retail'!BD13</f>
        <v>11093</v>
      </c>
      <c r="CE10" s="19">
        <f>'D2C - Retail'!BE13</f>
        <v>13078</v>
      </c>
      <c r="CF10" s="19">
        <f>'D2C - Retail'!BF13</f>
        <v>13361</v>
      </c>
      <c r="CG10" s="19">
        <f>'D2C - Retail'!BG13</f>
        <v>12631</v>
      </c>
      <c r="CH10" s="19">
        <f>'D2C - Retail'!BH13</f>
        <v>15511</v>
      </c>
      <c r="CI10" s="19">
        <f>'D2C - Retail'!BI13</f>
        <v>15328</v>
      </c>
      <c r="CJ10" s="19">
        <f>'D2C - Retail'!BJ13</f>
        <v>15252</v>
      </c>
      <c r="CK10" s="19">
        <f>'D2C - Retail'!BK13</f>
        <v>15331</v>
      </c>
      <c r="CL10" s="19">
        <f>'D2C - Retail'!BL13</f>
        <v>16995</v>
      </c>
      <c r="CM10" s="19">
        <f>'D2C - Retail'!BM13</f>
        <v>14763</v>
      </c>
      <c r="CN10" s="19">
        <f>'D2C - Retail'!BN13</f>
        <v>13644</v>
      </c>
      <c r="CO10" s="19">
        <f>'D2C - Retail'!BO13</f>
        <v>17482</v>
      </c>
      <c r="CP10" s="19">
        <f>'D2C - Retail'!BP13</f>
        <v>15861</v>
      </c>
      <c r="CQ10" s="19">
        <f>'D2C - Retail'!BQ13</f>
        <v>19815</v>
      </c>
      <c r="CR10" s="19">
        <f>'D2C - Retail'!BR13</f>
        <v>21208</v>
      </c>
      <c r="CS10" s="19">
        <f>'D2C - Retail'!BS13</f>
        <v>20145</v>
      </c>
      <c r="CT10" s="19">
        <f>'D2C - Retail'!BT13</f>
        <v>23622</v>
      </c>
      <c r="CU10" s="19">
        <f>'D2C - Retail'!BU13</f>
        <v>20817.756521739131</v>
      </c>
      <c r="CV10" s="19">
        <f>'D2C - Retail'!BV13</f>
        <v>20336</v>
      </c>
      <c r="CW10" s="19">
        <f>'D2C - Retail'!BW13</f>
        <v>20267.89974093264</v>
      </c>
      <c r="CX10" s="19">
        <f>'D2C - Retail'!BX13</f>
        <v>22080.624999999996</v>
      </c>
      <c r="CY10" s="19">
        <f>'D2C - Retail'!BY13</f>
        <v>19514.138071065987</v>
      </c>
      <c r="CZ10" s="19">
        <f>'D2C - Retail'!BZ13</f>
        <v>17961.205970149251</v>
      </c>
      <c r="DA10" s="19">
        <f>'D2C - Retail'!CA13</f>
        <v>22855.144117647058</v>
      </c>
      <c r="DB10" s="19">
        <f>'D2C - Retail'!CB13</f>
        <v>20878.491951219512</v>
      </c>
      <c r="DC10" s="19">
        <f>'D2C - Retail'!CC13</f>
        <v>25180.790887850464</v>
      </c>
      <c r="DD10" s="19">
        <f>'D2C - Retail'!CD13</f>
        <v>25831.343999999997</v>
      </c>
      <c r="DE10" s="19">
        <f>'D2C - Retail'!CE13</f>
        <v>23864.076923076922</v>
      </c>
      <c r="DF10" s="19">
        <f>'D2C - Retail'!CF13</f>
        <v>28047.387341772155</v>
      </c>
      <c r="DG10" s="19">
        <f>'D2C - Retail'!CG13</f>
        <v>24797.621739130434</v>
      </c>
      <c r="DH10" s="19">
        <f>'D2C - Retail'!CH13</f>
        <v>24288.809999999998</v>
      </c>
      <c r="DI10" s="19">
        <f>'D2C - Retail'!CI13</f>
        <v>24083.769753886008</v>
      </c>
      <c r="DJ10" s="19">
        <f>'D2C - Retail'!CJ13</f>
        <v>26212.856250000001</v>
      </c>
      <c r="DK10" s="19">
        <f>'D2C - Retail'!CK13</f>
        <v>23133.695939086298</v>
      </c>
      <c r="DL10" s="19">
        <f>'D2C - Retail'!CL13</f>
        <v>21254.093731343288</v>
      </c>
      <c r="DM10" s="19">
        <f>'D2C - Retail'!CM13</f>
        <v>26926.779044117648</v>
      </c>
      <c r="DN10" s="19">
        <f>'D2C - Retail'!CN13</f>
        <v>24481.453500000003</v>
      </c>
      <c r="DO10" s="19">
        <f>'D2C - Retail'!CO13</f>
        <v>29400.274766355145</v>
      </c>
      <c r="DP10" s="19">
        <f>'D2C - Retail'!CP13</f>
        <v>30032.648800000006</v>
      </c>
      <c r="DQ10" s="19">
        <f>'D2C - Retail'!CQ13</f>
        <v>27619.957211538462</v>
      </c>
      <c r="DR10" s="19">
        <f>'D2C - Retail'!CR13</f>
        <v>32087.048354430382</v>
      </c>
      <c r="DS10" s="19">
        <f>'D2C - Retail'!CS13</f>
        <v>28351.947521739137</v>
      </c>
      <c r="DT10" s="19">
        <f>'D2C - Retail'!CT13</f>
        <v>27745.294500000004</v>
      </c>
      <c r="DU10" s="19">
        <f>'D2C - Retail'!CU13</f>
        <v>27494.907324481868</v>
      </c>
      <c r="DV10" s="19">
        <f>'D2C - Retail'!CV13</f>
        <v>29908.206562500007</v>
      </c>
      <c r="DW10" s="19">
        <f>'D2C - Retail'!CW13</f>
        <v>26372.413370558381</v>
      </c>
      <c r="DX10" s="19">
        <f>'D2C - Retail'!CX13</f>
        <v>24202.725044776125</v>
      </c>
      <c r="DY10" s="19">
        <f>'D2C - Retail'!CY13</f>
        <v>30654.012143382359</v>
      </c>
      <c r="DZ10" s="19">
        <f>'D2C - Retail'!CZ13</f>
        <v>27855.117214024394</v>
      </c>
      <c r="EA10" s="19">
        <f>'D2C - Retail'!DA13</f>
        <v>33442.812546728979</v>
      </c>
      <c r="EB10" s="19">
        <f>'D2C - Retail'!DB13</f>
        <v>34153.045080000004</v>
      </c>
      <c r="EC10" s="19">
        <f>'D2C - Retail'!DC13</f>
        <v>31392.786418269228</v>
      </c>
      <c r="ED10" s="19">
        <f>'D2C - Retail'!DD13</f>
        <v>36460.557000000008</v>
      </c>
      <c r="EE10" s="168"/>
      <c r="EF10" s="165">
        <f t="shared" si="63"/>
        <v>42522</v>
      </c>
      <c r="EG10" s="165">
        <f t="shared" si="64"/>
        <v>39237</v>
      </c>
      <c r="EH10" s="165">
        <f t="shared" si="65"/>
        <v>41299</v>
      </c>
      <c r="EI10" s="165">
        <f t="shared" si="66"/>
        <v>32945</v>
      </c>
      <c r="EJ10" s="165">
        <f t="shared" si="67"/>
        <v>39045</v>
      </c>
      <c r="EK10" s="165">
        <f t="shared" si="68"/>
        <v>45402</v>
      </c>
      <c r="EL10" s="165">
        <f t="shared" si="69"/>
        <v>35498</v>
      </c>
      <c r="EM10" s="165">
        <f t="shared" si="70"/>
        <v>41503</v>
      </c>
      <c r="EN10" s="165">
        <f t="shared" si="71"/>
        <v>45911</v>
      </c>
      <c r="EO10" s="165">
        <f t="shared" si="72"/>
        <v>45402</v>
      </c>
      <c r="EP10" s="165">
        <f t="shared" si="73"/>
        <v>53158</v>
      </c>
      <c r="EQ10" s="165">
        <f t="shared" si="74"/>
        <v>64975</v>
      </c>
      <c r="ER10" s="165">
        <f t="shared" si="75"/>
        <v>61421.656262671771</v>
      </c>
      <c r="ES10" s="165">
        <f t="shared" si="76"/>
        <v>59555.969041215241</v>
      </c>
      <c r="ET10" s="165">
        <f t="shared" si="77"/>
        <v>68914.426956717041</v>
      </c>
      <c r="EU10" s="165">
        <f t="shared" si="78"/>
        <v>77742.808264849067</v>
      </c>
      <c r="EV10" s="165">
        <f t="shared" si="79"/>
        <v>73170.201493016444</v>
      </c>
      <c r="EW10" s="165">
        <f t="shared" si="80"/>
        <v>70600.645920429582</v>
      </c>
      <c r="EX10" s="165">
        <f t="shared" si="81"/>
        <v>80808.507310472793</v>
      </c>
      <c r="EY10" s="165">
        <f t="shared" si="82"/>
        <v>89739.654365968847</v>
      </c>
      <c r="EZ10" s="165">
        <f t="shared" si="83"/>
        <v>83592.149346221006</v>
      </c>
      <c r="FA10" s="165">
        <f t="shared" si="84"/>
        <v>80483.344977834524</v>
      </c>
      <c r="FB10" s="165">
        <f t="shared" si="85"/>
        <v>91951.941904135732</v>
      </c>
      <c r="FC10" s="165">
        <f t="shared" si="86"/>
        <v>102006.38849826923</v>
      </c>
      <c r="FE10" s="165">
        <f t="shared" si="87"/>
        <v>156003</v>
      </c>
      <c r="FF10" s="165">
        <f t="shared" si="88"/>
        <v>161448</v>
      </c>
      <c r="FG10" s="165">
        <f t="shared" si="89"/>
        <v>209446</v>
      </c>
      <c r="FH10" s="165">
        <f t="shared" si="90"/>
        <v>267634.86052545311</v>
      </c>
      <c r="FI10" s="165">
        <f t="shared" si="91"/>
        <v>314319.00908988767</v>
      </c>
      <c r="FJ10" s="165">
        <f t="shared" si="92"/>
        <v>358033.8247264605</v>
      </c>
    </row>
    <row r="11" spans="2:166" x14ac:dyDescent="0.2">
      <c r="B11" s="155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68"/>
      <c r="EF11" s="165"/>
      <c r="EG11" s="165"/>
      <c r="EH11" s="165"/>
      <c r="EI11" s="165"/>
      <c r="EJ11" s="165"/>
      <c r="EK11" s="165"/>
      <c r="EL11" s="165"/>
      <c r="EM11" s="165"/>
      <c r="EN11" s="165"/>
      <c r="EO11" s="165"/>
      <c r="EP11" s="165"/>
      <c r="EQ11" s="165"/>
      <c r="ER11" s="165"/>
      <c r="ES11" s="165"/>
      <c r="ET11" s="165"/>
      <c r="EU11" s="165"/>
      <c r="EV11" s="165"/>
      <c r="EW11" s="165"/>
      <c r="EX11" s="165"/>
      <c r="EY11" s="165"/>
      <c r="EZ11" s="165">
        <f t="shared" si="83"/>
        <v>0</v>
      </c>
      <c r="FA11" s="165">
        <f t="shared" si="84"/>
        <v>0</v>
      </c>
      <c r="FB11" s="165">
        <f t="shared" si="85"/>
        <v>0</v>
      </c>
      <c r="FC11" s="165">
        <f t="shared" si="86"/>
        <v>0</v>
      </c>
      <c r="FE11" s="165"/>
      <c r="FF11" s="165"/>
      <c r="FG11" s="165"/>
      <c r="FH11" s="165"/>
      <c r="FI11" s="165"/>
      <c r="FJ11" s="165"/>
    </row>
    <row r="12" spans="2:166" s="30" customFormat="1" x14ac:dyDescent="0.2">
      <c r="B12" s="183" t="s">
        <v>6</v>
      </c>
      <c r="C12" s="182">
        <f>SUM(C13:C15)</f>
        <v>300576.72000000003</v>
      </c>
      <c r="D12" s="182">
        <f t="shared" ref="D12:BO12" si="93">SUM(D13:D15)</f>
        <v>227209</v>
      </c>
      <c r="E12" s="182">
        <f t="shared" si="93"/>
        <v>519222.19999999995</v>
      </c>
      <c r="F12" s="182">
        <f t="shared" si="93"/>
        <v>643912.92000000016</v>
      </c>
      <c r="G12" s="182">
        <f t="shared" si="93"/>
        <v>1657311.1800000002</v>
      </c>
      <c r="H12" s="182">
        <f t="shared" si="93"/>
        <v>1519172.1300000004</v>
      </c>
      <c r="I12" s="182">
        <f t="shared" si="93"/>
        <v>1077853.7999999998</v>
      </c>
      <c r="J12" s="182">
        <f t="shared" si="93"/>
        <v>692513.06000000041</v>
      </c>
      <c r="K12" s="182">
        <f t="shared" si="93"/>
        <v>829728.4099999998</v>
      </c>
      <c r="L12" s="182">
        <f t="shared" si="93"/>
        <v>904574.21000000008</v>
      </c>
      <c r="M12" s="182">
        <f t="shared" si="93"/>
        <v>1280125.8499999999</v>
      </c>
      <c r="N12" s="182">
        <f t="shared" si="93"/>
        <v>996177.82</v>
      </c>
      <c r="O12" s="182">
        <f t="shared" si="93"/>
        <v>1443258</v>
      </c>
      <c r="P12" s="182">
        <f t="shared" si="93"/>
        <v>1207263</v>
      </c>
      <c r="Q12" s="182">
        <f t="shared" si="93"/>
        <v>2026646.5</v>
      </c>
      <c r="R12" s="182">
        <f t="shared" si="93"/>
        <v>1431281.5</v>
      </c>
      <c r="S12" s="182">
        <f t="shared" si="93"/>
        <v>815796</v>
      </c>
      <c r="T12" s="182">
        <f t="shared" si="93"/>
        <v>5805574.7999999989</v>
      </c>
      <c r="U12" s="182">
        <f t="shared" si="93"/>
        <v>1450066</v>
      </c>
      <c r="V12" s="182">
        <f t="shared" si="93"/>
        <v>5062418</v>
      </c>
      <c r="W12" s="182">
        <f t="shared" si="93"/>
        <v>1787770</v>
      </c>
      <c r="X12" s="182">
        <f t="shared" si="93"/>
        <v>3545242</v>
      </c>
      <c r="Y12" s="182">
        <f t="shared" si="93"/>
        <v>23604350</v>
      </c>
      <c r="Z12" s="182">
        <f t="shared" si="93"/>
        <v>7592792</v>
      </c>
      <c r="AA12" s="182">
        <f t="shared" si="93"/>
        <v>5897380</v>
      </c>
      <c r="AB12" s="182">
        <f t="shared" si="93"/>
        <v>8064195</v>
      </c>
      <c r="AC12" s="182">
        <f t="shared" si="93"/>
        <v>10301083.465</v>
      </c>
      <c r="AD12" s="182">
        <f t="shared" si="93"/>
        <v>8495079</v>
      </c>
      <c r="AE12" s="182">
        <f t="shared" si="93"/>
        <v>8502326.1400000006</v>
      </c>
      <c r="AF12" s="182">
        <f t="shared" si="93"/>
        <v>7594498.0249999985</v>
      </c>
      <c r="AG12" s="182">
        <f t="shared" si="93"/>
        <v>10484657.025</v>
      </c>
      <c r="AH12" s="182">
        <f t="shared" si="93"/>
        <v>7652836</v>
      </c>
      <c r="AI12" s="182">
        <f t="shared" si="93"/>
        <v>13206909.000000004</v>
      </c>
      <c r="AJ12" s="182">
        <f t="shared" si="93"/>
        <v>21109025.720000003</v>
      </c>
      <c r="AK12" s="182">
        <f t="shared" si="93"/>
        <v>20300262.829999998</v>
      </c>
      <c r="AL12" s="182">
        <f t="shared" si="93"/>
        <v>18597254.580000002</v>
      </c>
      <c r="AM12" s="182">
        <f t="shared" si="93"/>
        <v>12049062.439999959</v>
      </c>
      <c r="AN12" s="182">
        <f t="shared" si="93"/>
        <v>3754085.1599999974</v>
      </c>
      <c r="AO12" s="182">
        <f t="shared" si="93"/>
        <v>7044600.4699999541</v>
      </c>
      <c r="AP12" s="182">
        <f t="shared" si="93"/>
        <v>9549069.5299998708</v>
      </c>
      <c r="AQ12" s="182">
        <f t="shared" si="93"/>
        <v>8199274.8299999163</v>
      </c>
      <c r="AR12" s="182">
        <f t="shared" si="93"/>
        <v>10303217.93000003</v>
      </c>
      <c r="AS12" s="182">
        <f t="shared" si="93"/>
        <v>14615323.16</v>
      </c>
      <c r="AT12" s="182">
        <f t="shared" si="93"/>
        <v>21436206.550000433</v>
      </c>
      <c r="AU12" s="182">
        <f t="shared" si="93"/>
        <v>38525061.250001684</v>
      </c>
      <c r="AV12" s="182">
        <f t="shared" si="93"/>
        <v>39249082.410000712</v>
      </c>
      <c r="AW12" s="182">
        <f t="shared" si="93"/>
        <v>36812270.539999999</v>
      </c>
      <c r="AX12" s="182">
        <f t="shared" si="93"/>
        <v>42344557.010000005</v>
      </c>
      <c r="AY12" s="182">
        <f t="shared" si="93"/>
        <v>29238657.259999957</v>
      </c>
      <c r="AZ12" s="182">
        <f t="shared" si="93"/>
        <v>34868176.810000002</v>
      </c>
      <c r="BA12" s="182">
        <f t="shared" si="93"/>
        <v>44668827.500000075</v>
      </c>
      <c r="BB12" s="182">
        <f t="shared" si="93"/>
        <v>40869335.090000011</v>
      </c>
      <c r="BC12" s="182">
        <f t="shared" si="93"/>
        <v>41472809.060000017</v>
      </c>
      <c r="BD12" s="182">
        <f t="shared" si="93"/>
        <v>47483967.630516075</v>
      </c>
      <c r="BE12" s="182">
        <f t="shared" si="93"/>
        <v>45827726.752288297</v>
      </c>
      <c r="BF12" s="182">
        <f t="shared" si="93"/>
        <v>51805074.385155916</v>
      </c>
      <c r="BG12" s="182">
        <f t="shared" si="93"/>
        <v>59551320.649179906</v>
      </c>
      <c r="BH12" s="182">
        <f t="shared" si="93"/>
        <v>48278165.917646259</v>
      </c>
      <c r="BI12" s="182">
        <f t="shared" si="93"/>
        <v>51279622.490072533</v>
      </c>
      <c r="BJ12" s="182">
        <f t="shared" si="93"/>
        <v>99330587.275814652</v>
      </c>
      <c r="BK12" s="182">
        <f t="shared" si="93"/>
        <v>95376349.992900372</v>
      </c>
      <c r="BL12" s="182">
        <f t="shared" si="93"/>
        <v>90082947.678300813</v>
      </c>
      <c r="BM12" s="182">
        <f t="shared" si="93"/>
        <v>87611730.276797026</v>
      </c>
      <c r="BN12" s="182">
        <f t="shared" si="93"/>
        <v>109568631.17595091</v>
      </c>
      <c r="BO12" s="182">
        <f t="shared" si="93"/>
        <v>89133345.269313782</v>
      </c>
      <c r="BP12" s="182">
        <f t="shared" ref="BP12:DR12" si="94">SUM(BP13:BP15)</f>
        <v>104317748.9918319</v>
      </c>
      <c r="BQ12" s="182">
        <f t="shared" si="94"/>
        <v>138460963.86354882</v>
      </c>
      <c r="BR12" s="182">
        <f t="shared" si="94"/>
        <v>109312897.50675723</v>
      </c>
      <c r="BS12" s="182">
        <f t="shared" si="94"/>
        <v>89267196.428047895</v>
      </c>
      <c r="BT12" s="182">
        <f t="shared" si="94"/>
        <v>88093876.119170815</v>
      </c>
      <c r="BU12" s="182">
        <f t="shared" si="94"/>
        <v>97479133.107285291</v>
      </c>
      <c r="BV12" s="182">
        <f t="shared" si="94"/>
        <v>85441354</v>
      </c>
      <c r="BW12" s="182">
        <f t="shared" si="94"/>
        <v>91940677.751354694</v>
      </c>
      <c r="BX12" s="182">
        <f t="shared" si="94"/>
        <v>95640491.405642226</v>
      </c>
      <c r="BY12" s="182">
        <f t="shared" si="94"/>
        <v>93063873.205165997</v>
      </c>
      <c r="BZ12" s="182">
        <f t="shared" si="94"/>
        <v>103681103.13813129</v>
      </c>
      <c r="CA12" s="182">
        <f t="shared" si="94"/>
        <v>104504801.55564009</v>
      </c>
      <c r="CB12" s="182">
        <f t="shared" si="94"/>
        <v>108210443.88452756</v>
      </c>
      <c r="CC12" s="182">
        <f t="shared" si="94"/>
        <v>88093876.11917071</v>
      </c>
      <c r="CD12" s="182">
        <f t="shared" si="94"/>
        <v>101930644.89918889</v>
      </c>
      <c r="CE12" s="182">
        <f t="shared" si="94"/>
        <v>102235813.80282018</v>
      </c>
      <c r="CF12" s="182">
        <f t="shared" si="94"/>
        <v>124656022.08114298</v>
      </c>
      <c r="CG12" s="182">
        <f t="shared" si="94"/>
        <v>123344675.2089007</v>
      </c>
      <c r="CH12" s="182">
        <f t="shared" si="94"/>
        <v>161946818.61658451</v>
      </c>
      <c r="CI12" s="182">
        <f t="shared" si="94"/>
        <v>172770802.51456568</v>
      </c>
      <c r="CJ12" s="182">
        <f t="shared" si="94"/>
        <v>171567935.1510244</v>
      </c>
      <c r="CK12" s="182">
        <f t="shared" si="94"/>
        <v>165895860.36024129</v>
      </c>
      <c r="CL12" s="182">
        <f t="shared" si="94"/>
        <v>163462349.83000067</v>
      </c>
      <c r="CM12" s="182">
        <f t="shared" si="94"/>
        <v>152734386.86000088</v>
      </c>
      <c r="CN12" s="182">
        <f t="shared" si="94"/>
        <v>101338885.56000051</v>
      </c>
      <c r="CO12" s="182">
        <f t="shared" si="94"/>
        <v>165170311.65999991</v>
      </c>
      <c r="CP12" s="182">
        <f t="shared" si="94"/>
        <v>153469309.62999991</v>
      </c>
      <c r="CQ12" s="182">
        <f t="shared" si="94"/>
        <v>167364159.0000003</v>
      </c>
      <c r="CR12" s="182">
        <f t="shared" si="94"/>
        <v>181777791.78999978</v>
      </c>
      <c r="CS12" s="182">
        <f t="shared" si="94"/>
        <v>165015783.07999915</v>
      </c>
      <c r="CT12" s="182">
        <f t="shared" si="94"/>
        <v>177105199.03999996</v>
      </c>
      <c r="CU12" s="182">
        <f t="shared" si="94"/>
        <v>176459546.16177529</v>
      </c>
      <c r="CV12" s="182">
        <f t="shared" si="94"/>
        <v>176278068.77614531</v>
      </c>
      <c r="CW12" s="182">
        <f t="shared" si="94"/>
        <v>175999293.44860607</v>
      </c>
      <c r="CX12" s="182">
        <f t="shared" si="94"/>
        <v>182951408.77043414</v>
      </c>
      <c r="CY12" s="182">
        <f t="shared" si="94"/>
        <v>168708958.06444505</v>
      </c>
      <c r="CZ12" s="182">
        <f t="shared" si="94"/>
        <v>174903352.70607361</v>
      </c>
      <c r="DA12" s="182">
        <f t="shared" si="94"/>
        <v>185434483.62590382</v>
      </c>
      <c r="DB12" s="182">
        <f t="shared" si="94"/>
        <v>180081514.24923909</v>
      </c>
      <c r="DC12" s="182">
        <f t="shared" si="94"/>
        <v>219774962.09189212</v>
      </c>
      <c r="DD12" s="182">
        <f t="shared" si="94"/>
        <v>233097435.53345221</v>
      </c>
      <c r="DE12" s="182">
        <f t="shared" si="94"/>
        <v>204736756.22377938</v>
      </c>
      <c r="DF12" s="182">
        <f t="shared" si="94"/>
        <v>227679108.99869496</v>
      </c>
      <c r="DG12" s="182">
        <f t="shared" si="94"/>
        <v>209412565.59367102</v>
      </c>
      <c r="DH12" s="182">
        <f t="shared" si="94"/>
        <v>209373868.64912128</v>
      </c>
      <c r="DI12" s="182">
        <f t="shared" si="94"/>
        <v>208689087.00946009</v>
      </c>
      <c r="DJ12" s="182">
        <f t="shared" si="94"/>
        <v>216872306.02422389</v>
      </c>
      <c r="DK12" s="182">
        <f t="shared" si="94"/>
        <v>199890494.86384347</v>
      </c>
      <c r="DL12" s="182">
        <f t="shared" si="94"/>
        <v>207113283.06537876</v>
      </c>
      <c r="DM12" s="182">
        <f t="shared" si="94"/>
        <v>219233380.07159263</v>
      </c>
      <c r="DN12" s="182">
        <f t="shared" si="94"/>
        <v>212596356.46916717</v>
      </c>
      <c r="DO12" s="182">
        <f t="shared" si="94"/>
        <v>259107932.20563453</v>
      </c>
      <c r="DP12" s="182">
        <f t="shared" si="94"/>
        <v>274494401.05760163</v>
      </c>
      <c r="DQ12" s="182">
        <f t="shared" si="94"/>
        <v>240666087.06039596</v>
      </c>
      <c r="DR12" s="182">
        <f t="shared" si="94"/>
        <v>266449989.07480702</v>
      </c>
      <c r="DS12" s="182">
        <f t="shared" ref="DS12:ED12" si="95">SUM(DS13:DS15)</f>
        <v>245138964.80726022</v>
      </c>
      <c r="DT12" s="182">
        <f t="shared" si="95"/>
        <v>245081823.29780442</v>
      </c>
      <c r="DU12" s="182">
        <f t="shared" si="95"/>
        <v>244249269.81231987</v>
      </c>
      <c r="DV12" s="182">
        <f t="shared" si="95"/>
        <v>253632682.97266656</v>
      </c>
      <c r="DW12" s="182">
        <f t="shared" si="95"/>
        <v>233835514.93819737</v>
      </c>
      <c r="DX12" s="182">
        <f t="shared" si="95"/>
        <v>242552550.51193663</v>
      </c>
      <c r="DY12" s="182">
        <f t="shared" si="95"/>
        <v>256144760.69944212</v>
      </c>
      <c r="DZ12" s="182">
        <f t="shared" si="95"/>
        <v>248561426.92859727</v>
      </c>
      <c r="EA12" s="182">
        <f t="shared" si="95"/>
        <v>302974044.34027684</v>
      </c>
      <c r="EB12" s="182">
        <f t="shared" si="95"/>
        <v>321088663.47405481</v>
      </c>
      <c r="EC12" s="182">
        <f t="shared" si="95"/>
        <v>281297193.05466247</v>
      </c>
      <c r="ED12" s="182">
        <f t="shared" si="95"/>
        <v>311201069.68505692</v>
      </c>
      <c r="EE12" s="333"/>
      <c r="EF12" s="224">
        <f t="shared" ref="EF12:EF19" si="96">SUM(BK12:BM12)</f>
        <v>273071027.94799817</v>
      </c>
      <c r="EG12" s="224">
        <f t="shared" ref="EG12:EG19" si="97">SUM(BN12:BP12)</f>
        <v>303019725.4370966</v>
      </c>
      <c r="EH12" s="224">
        <f t="shared" ref="EH12:EH19" si="98">SUM(BQ12:BS12)</f>
        <v>337041057.79835391</v>
      </c>
      <c r="EI12" s="224">
        <f t="shared" ref="EI12:EI19" si="99">SUM(BT12:BV12)</f>
        <v>271014363.22645611</v>
      </c>
      <c r="EJ12" s="224">
        <f t="shared" ref="EJ12:EJ19" si="100">SUM(BW12:BY12)</f>
        <v>280645042.36216289</v>
      </c>
      <c r="EK12" s="224">
        <f t="shared" ref="EK12:EK19" si="101">SUM(CL12:CN12)</f>
        <v>417535622.25000203</v>
      </c>
      <c r="EL12" s="224">
        <f t="shared" ref="EL12:EL19" si="102">SUM(CC12:CE12)</f>
        <v>292260334.82117975</v>
      </c>
      <c r="EM12" s="224">
        <f t="shared" ref="EM12:EM19" si="103">SUM(CF12:CH12)</f>
        <v>409947515.90662819</v>
      </c>
      <c r="EN12" s="224">
        <f t="shared" ref="EN12:EN19" si="104">SUM(CI12:CK12)</f>
        <v>510234598.02583134</v>
      </c>
      <c r="EO12" s="224">
        <f t="shared" ref="EO12:EO19" si="105">SUM(CL12:CN12)</f>
        <v>417535622.25000203</v>
      </c>
      <c r="EP12" s="224">
        <f t="shared" ref="EP12:EP19" si="106">SUM(CO12:CQ12)</f>
        <v>486003780.29000014</v>
      </c>
      <c r="EQ12" s="224">
        <f t="shared" ref="EQ12:EQ19" si="107">SUM(CR12:CT12)</f>
        <v>523898773.90999889</v>
      </c>
      <c r="ER12" s="224">
        <f t="shared" ref="ER12:ER19" si="108">SUM(CU12:CW12)</f>
        <v>528736908.38652664</v>
      </c>
      <c r="ES12" s="224">
        <f t="shared" ref="ES12:ES19" si="109">SUM(CX12:CZ12)</f>
        <v>526563719.5409528</v>
      </c>
      <c r="ET12" s="224">
        <f t="shared" ref="ET12:ET19" si="110">SUM(DA12:DC12)</f>
        <v>585290959.96703506</v>
      </c>
      <c r="EU12" s="224">
        <f t="shared" ref="EU12:EU19" si="111">SUM(DD12:DF12)</f>
        <v>665513300.75592661</v>
      </c>
      <c r="EV12" s="224">
        <f t="shared" ref="EV12:EV19" si="112">SUM(DG12:DI12)</f>
        <v>627475521.25225234</v>
      </c>
      <c r="EW12" s="224">
        <f t="shared" ref="EW12:EW19" si="113">SUM(DJ12:DL12)</f>
        <v>623876083.95344615</v>
      </c>
      <c r="EX12" s="224">
        <f t="shared" ref="EX12:EX19" si="114">SUM(DM12:DO12)</f>
        <v>690937668.7463944</v>
      </c>
      <c r="EY12" s="224">
        <f t="shared" ref="EY12:EY19" si="115">SUM(DP12:DR12)</f>
        <v>781610477.19280457</v>
      </c>
      <c r="EZ12" s="224">
        <f t="shared" si="83"/>
        <v>734470057.91738451</v>
      </c>
      <c r="FA12" s="224">
        <f t="shared" si="84"/>
        <v>730020748.42280054</v>
      </c>
      <c r="FB12" s="224">
        <f t="shared" si="85"/>
        <v>807680231.9683162</v>
      </c>
      <c r="FC12" s="224">
        <f t="shared" si="86"/>
        <v>913586926.2137742</v>
      </c>
      <c r="FE12" s="224">
        <f t="shared" si="87"/>
        <v>1184146174.4099047</v>
      </c>
      <c r="FF12" s="224">
        <f t="shared" si="88"/>
        <v>1400388515.339973</v>
      </c>
      <c r="FG12" s="224">
        <f t="shared" si="89"/>
        <v>1937672774.4758325</v>
      </c>
      <c r="FH12" s="224">
        <f t="shared" si="90"/>
        <v>2306104888.6504412</v>
      </c>
      <c r="FI12" s="224">
        <f t="shared" si="91"/>
        <v>2723899751.1448975</v>
      </c>
      <c r="FJ12" s="224">
        <f t="shared" si="92"/>
        <v>3185757964.5222754</v>
      </c>
    </row>
    <row r="13" spans="2:166" x14ac:dyDescent="0.2">
      <c r="B13" s="155" t="s">
        <v>227</v>
      </c>
      <c r="C13" s="19">
        <f>'P&amp;L - Inputs'!B684</f>
        <v>300576.72000000003</v>
      </c>
      <c r="D13" s="19">
        <f>'P&amp;L - Inputs'!C684</f>
        <v>227209</v>
      </c>
      <c r="E13" s="19">
        <f>'P&amp;L - Inputs'!D684</f>
        <v>519222.19999999995</v>
      </c>
      <c r="F13" s="19">
        <f>'P&amp;L - Inputs'!E684</f>
        <v>643912.92000000016</v>
      </c>
      <c r="G13" s="19">
        <f>'P&amp;L - Inputs'!F684</f>
        <v>1657311.1800000002</v>
      </c>
      <c r="H13" s="19">
        <f>'P&amp;L - Inputs'!G684</f>
        <v>1519172.1300000004</v>
      </c>
      <c r="I13" s="19">
        <f>'P&amp;L - Inputs'!H684</f>
        <v>1077853.7999999998</v>
      </c>
      <c r="J13" s="19">
        <f>'P&amp;L - Inputs'!I684</f>
        <v>692513.06000000041</v>
      </c>
      <c r="K13" s="19">
        <f>'P&amp;L - Inputs'!J684</f>
        <v>829728.4099999998</v>
      </c>
      <c r="L13" s="19">
        <f>'P&amp;L - Inputs'!K684</f>
        <v>904574.21000000008</v>
      </c>
      <c r="M13" s="19">
        <f>'P&amp;L - Inputs'!L684</f>
        <v>1234937.1299999999</v>
      </c>
      <c r="N13" s="19">
        <f>'P&amp;L - Inputs'!M684</f>
        <v>981776.48</v>
      </c>
      <c r="O13" s="19">
        <f>'P&amp;L - Inputs'!N684</f>
        <v>1443258</v>
      </c>
      <c r="P13" s="19">
        <f>'P&amp;L - Inputs'!O684</f>
        <v>1177639</v>
      </c>
      <c r="Q13" s="19">
        <f>'P&amp;L - Inputs'!P684</f>
        <v>859873.5</v>
      </c>
      <c r="R13" s="19">
        <f>'P&amp;L - Inputs'!Q684</f>
        <v>1018009.5</v>
      </c>
      <c r="S13" s="19">
        <f>'P&amp;L - Inputs'!R684</f>
        <v>659257</v>
      </c>
      <c r="T13" s="19">
        <f>'P&amp;L - Inputs'!S684</f>
        <v>1799517</v>
      </c>
      <c r="U13" s="19">
        <f>'P&amp;L - Inputs'!T684</f>
        <v>1168836</v>
      </c>
      <c r="V13" s="19">
        <f>'P&amp;L - Inputs'!U684</f>
        <v>566718</v>
      </c>
      <c r="W13" s="19">
        <f>'P&amp;L - Inputs'!V684</f>
        <v>396475</v>
      </c>
      <c r="X13" s="19">
        <f>'P&amp;L - Inputs'!W684</f>
        <v>297452</v>
      </c>
      <c r="Y13" s="19">
        <f>'P&amp;L - Inputs'!X684</f>
        <v>438871</v>
      </c>
      <c r="Z13" s="19">
        <f>'P&amp;L - Inputs'!Y684</f>
        <v>221743</v>
      </c>
      <c r="AA13" s="19">
        <f>'P&amp;L - Inputs'!Z684</f>
        <v>2557192</v>
      </c>
      <c r="AB13" s="19">
        <f>'P&amp;L - Inputs'!AA684</f>
        <v>2282396</v>
      </c>
      <c r="AC13" s="19">
        <f>'P&amp;L - Inputs'!AB684</f>
        <v>2783482</v>
      </c>
      <c r="AD13" s="19">
        <f>'P&amp;L - Inputs'!AC684</f>
        <v>3829671</v>
      </c>
      <c r="AE13" s="19">
        <f>'P&amp;L - Inputs'!AD684</f>
        <v>2691068</v>
      </c>
      <c r="AF13" s="19">
        <f>'P&amp;L - Inputs'!AE684</f>
        <v>914089</v>
      </c>
      <c r="AG13" s="19">
        <f>'P&amp;L - Inputs'!AF684</f>
        <v>476148</v>
      </c>
      <c r="AH13" s="19">
        <f>'P&amp;L - Inputs'!AG684</f>
        <v>562400</v>
      </c>
      <c r="AI13" s="19">
        <f>'P&amp;L - Inputs'!AH684</f>
        <v>814317</v>
      </c>
      <c r="AJ13" s="19">
        <f>'P&amp;L - Inputs'!AI684</f>
        <v>532766</v>
      </c>
      <c r="AK13" s="19">
        <f>'P&amp;L - Inputs'!AJ684</f>
        <v>776426</v>
      </c>
      <c r="AL13" s="19">
        <f>'P&amp;L - Inputs'!AK684</f>
        <v>974211</v>
      </c>
      <c r="AM13" s="19">
        <f>'P&amp;L - Inputs'!AL684</f>
        <v>477322</v>
      </c>
      <c r="AN13" s="19">
        <f>'P&amp;L - Inputs'!AM684</f>
        <v>124788</v>
      </c>
      <c r="AO13" s="19">
        <f>'P&amp;L - Inputs'!AN684</f>
        <v>177041</v>
      </c>
      <c r="AP13" s="19">
        <f>'P&amp;L - Inputs'!AO684</f>
        <v>902531</v>
      </c>
      <c r="AQ13" s="19">
        <f>'P&amp;L - Inputs'!AP684</f>
        <v>1486257</v>
      </c>
      <c r="AR13" s="19">
        <f>'P&amp;L - Inputs'!AQ684</f>
        <v>1868859</v>
      </c>
      <c r="AS13" s="19">
        <f>'P&amp;L - Inputs'!AR684</f>
        <v>1902443</v>
      </c>
      <c r="AT13" s="19">
        <f>'P&amp;L - Inputs'!AS684</f>
        <v>2175314</v>
      </c>
      <c r="AU13" s="19">
        <f>'P&amp;L - Inputs'!AT684</f>
        <v>6050090.0200000005</v>
      </c>
      <c r="AV13" s="19">
        <f>'P&amp;L - Inputs'!AU684</f>
        <v>7076750.6100000003</v>
      </c>
      <c r="AW13" s="19">
        <f>'P&amp;L - Inputs'!AV684</f>
        <v>8509365</v>
      </c>
      <c r="AX13" s="19">
        <f>'P&amp;L - Inputs'!AW684</f>
        <v>12171890.260000002</v>
      </c>
      <c r="AY13" s="19">
        <f>'P&amp;L - Inputs'!AX684</f>
        <v>10791843.950000001</v>
      </c>
      <c r="AZ13" s="19">
        <f>'P&amp;L - Inputs'!AY684</f>
        <v>10900312</v>
      </c>
      <c r="BA13" s="19">
        <f>'P&amp;L - Inputs'!AZ684</f>
        <v>11807616.829999994</v>
      </c>
      <c r="BB13" s="19">
        <f>'P&amp;L - Inputs'!BA684</f>
        <v>6774514</v>
      </c>
      <c r="BC13" s="19">
        <f>'P&amp;L - Inputs'!BB684</f>
        <v>9698430.7100000028</v>
      </c>
      <c r="BD13" s="19">
        <f>'P&amp;L - Inputs'!BC684</f>
        <v>11263196.090516085</v>
      </c>
      <c r="BE13" s="19">
        <f>'P&amp;L - Inputs'!BD684</f>
        <v>7405202.6222883072</v>
      </c>
      <c r="BF13" s="19">
        <f>'P&amp;L - Inputs'!BE684</f>
        <v>9109551.3051559236</v>
      </c>
      <c r="BG13" s="19">
        <f>'P&amp;L - Inputs'!BF684</f>
        <v>6339990.7191799264</v>
      </c>
      <c r="BH13" s="19">
        <f>'P&amp;L - Inputs'!BG684</f>
        <v>6956895.7676462643</v>
      </c>
      <c r="BI13" s="19">
        <f>'P&amp;L - Inputs'!BH684</f>
        <v>5969801.7500725407</v>
      </c>
      <c r="BJ13" s="19">
        <f>'P&amp;L - Inputs'!BI684</f>
        <v>6976898.0358145181</v>
      </c>
      <c r="BK13" s="19">
        <f>'P&amp;L - Inputs'!BJ684</f>
        <v>0</v>
      </c>
      <c r="BL13" s="19">
        <f>'P&amp;L - Inputs'!BK684</f>
        <v>0</v>
      </c>
      <c r="BM13" s="19">
        <f>'P&amp;L - Inputs'!BL684</f>
        <v>0</v>
      </c>
      <c r="BN13" s="19">
        <f>'P&amp;L - Inputs'!BM684</f>
        <v>0</v>
      </c>
      <c r="BO13" s="19">
        <f>'P&amp;L - Inputs'!BN684</f>
        <v>0</v>
      </c>
      <c r="BP13" s="19">
        <f>'P&amp;L - Inputs'!BO684</f>
        <v>0</v>
      </c>
      <c r="BQ13" s="19">
        <f>'P&amp;L - Inputs'!BP684</f>
        <v>0</v>
      </c>
      <c r="BR13" s="19">
        <f>'P&amp;L - Inputs'!BQ684</f>
        <v>0</v>
      </c>
      <c r="BS13" s="19">
        <f>'P&amp;L - Inputs'!BR684</f>
        <v>0</v>
      </c>
      <c r="BT13" s="19">
        <f>'P&amp;L - Inputs'!BS684</f>
        <v>0</v>
      </c>
      <c r="BU13" s="19">
        <f>'P&amp;L - Inputs'!BT684</f>
        <v>0</v>
      </c>
      <c r="BV13" s="19">
        <f>'P&amp;L - Inputs'!BU684</f>
        <v>0</v>
      </c>
      <c r="BW13" s="19">
        <f>'P&amp;L - Inputs'!BV684</f>
        <v>0</v>
      </c>
      <c r="BX13" s="19">
        <f>'P&amp;L - Inputs'!BW684</f>
        <v>0</v>
      </c>
      <c r="BY13" s="19">
        <f>'P&amp;L - Inputs'!BX684</f>
        <v>0</v>
      </c>
      <c r="BZ13" s="19">
        <f>'P&amp;L - Inputs'!BY684</f>
        <v>0</v>
      </c>
      <c r="CA13" s="19">
        <f>'P&amp;L - Inputs'!BZ684</f>
        <v>0</v>
      </c>
      <c r="CB13" s="19">
        <f>'P&amp;L - Inputs'!CA684</f>
        <v>0</v>
      </c>
      <c r="CC13" s="19">
        <f>'P&amp;L - Inputs'!CB684</f>
        <v>0</v>
      </c>
      <c r="CD13" s="19">
        <f>'P&amp;L - Inputs'!CC684</f>
        <v>0</v>
      </c>
      <c r="CE13" s="19">
        <f>'P&amp;L - Inputs'!CD684</f>
        <v>0</v>
      </c>
      <c r="CF13" s="19">
        <f>'P&amp;L - Inputs'!CE684</f>
        <v>0</v>
      </c>
      <c r="CG13" s="19">
        <f>'P&amp;L - Inputs'!CF684</f>
        <v>0</v>
      </c>
      <c r="CH13" s="19">
        <f>'P&amp;L - Inputs'!CG684</f>
        <v>0</v>
      </c>
      <c r="CI13" s="19">
        <f>'P&amp;L - Inputs'!CH684</f>
        <v>0</v>
      </c>
      <c r="CJ13" s="19">
        <f>'P&amp;L - Inputs'!CI684</f>
        <v>0</v>
      </c>
      <c r="CK13" s="19">
        <f>'P&amp;L - Inputs'!CJ684</f>
        <v>0</v>
      </c>
      <c r="CL13" s="19">
        <f>'P&amp;L - Inputs'!CK684</f>
        <v>0</v>
      </c>
      <c r="CM13" s="19">
        <f>'P&amp;L - Inputs'!CL684</f>
        <v>0</v>
      </c>
      <c r="CN13" s="19">
        <f>'P&amp;L - Inputs'!CM684</f>
        <v>0</v>
      </c>
      <c r="CO13" s="19">
        <f>'P&amp;L - Inputs'!CN684</f>
        <v>0</v>
      </c>
      <c r="CP13" s="19">
        <f>'P&amp;L - Inputs'!CO684</f>
        <v>0</v>
      </c>
      <c r="CQ13" s="19">
        <f>'P&amp;L - Inputs'!CP684</f>
        <v>0</v>
      </c>
      <c r="CR13" s="19">
        <f>'P&amp;L - Inputs'!CQ684</f>
        <v>0</v>
      </c>
      <c r="CS13" s="19">
        <f>'P&amp;L - Inputs'!CR684</f>
        <v>0</v>
      </c>
      <c r="CT13" s="19">
        <f>'P&amp;L - Inputs'!CS684</f>
        <v>0</v>
      </c>
      <c r="CU13" s="19">
        <f>'P&amp;L - Inputs'!CT684</f>
        <v>0</v>
      </c>
      <c r="CV13" s="19">
        <f>'P&amp;L - Inputs'!CU684</f>
        <v>0</v>
      </c>
      <c r="CW13" s="19">
        <f>'P&amp;L - Inputs'!CV684</f>
        <v>0</v>
      </c>
      <c r="CX13" s="19">
        <f>'P&amp;L - Inputs'!CW684</f>
        <v>0</v>
      </c>
      <c r="CY13" s="19">
        <f>'P&amp;L - Inputs'!CX684</f>
        <v>0</v>
      </c>
      <c r="CZ13" s="19">
        <f>'P&amp;L - Inputs'!CY684</f>
        <v>0</v>
      </c>
      <c r="DA13" s="19">
        <f>'P&amp;L - Inputs'!CZ684</f>
        <v>0</v>
      </c>
      <c r="DB13" s="19">
        <f>'P&amp;L - Inputs'!DA684</f>
        <v>0</v>
      </c>
      <c r="DC13" s="19">
        <f>'P&amp;L - Inputs'!DB684</f>
        <v>0</v>
      </c>
      <c r="DD13" s="19">
        <f>'P&amp;L - Inputs'!DC684</f>
        <v>0</v>
      </c>
      <c r="DE13" s="19">
        <f>'P&amp;L - Inputs'!DD684</f>
        <v>0</v>
      </c>
      <c r="DF13" s="19">
        <f>'P&amp;L - Inputs'!DE684</f>
        <v>0</v>
      </c>
      <c r="DG13" s="19">
        <f>'P&amp;L - Inputs'!DF684</f>
        <v>0</v>
      </c>
      <c r="DH13" s="19">
        <f>'P&amp;L - Inputs'!DG684</f>
        <v>0</v>
      </c>
      <c r="DI13" s="19">
        <f>'P&amp;L - Inputs'!DH684</f>
        <v>0</v>
      </c>
      <c r="DJ13" s="19">
        <f>'P&amp;L - Inputs'!DI684</f>
        <v>0</v>
      </c>
      <c r="DK13" s="19">
        <f>'P&amp;L - Inputs'!DJ684</f>
        <v>0</v>
      </c>
      <c r="DL13" s="19">
        <f>'P&amp;L - Inputs'!DK684</f>
        <v>0</v>
      </c>
      <c r="DM13" s="19">
        <f>'P&amp;L - Inputs'!DL684</f>
        <v>0</v>
      </c>
      <c r="DN13" s="19">
        <f>'P&amp;L - Inputs'!DM684</f>
        <v>0</v>
      </c>
      <c r="DO13" s="19">
        <f>'P&amp;L - Inputs'!DN684</f>
        <v>0</v>
      </c>
      <c r="DP13" s="19">
        <f>'P&amp;L - Inputs'!DO684</f>
        <v>0</v>
      </c>
      <c r="DQ13" s="19">
        <f>'P&amp;L - Inputs'!DP684</f>
        <v>0</v>
      </c>
      <c r="DR13" s="19">
        <f>'P&amp;L - Inputs'!DQ684</f>
        <v>0</v>
      </c>
      <c r="DS13" s="19">
        <f>'P&amp;L - Inputs'!DR684</f>
        <v>0</v>
      </c>
      <c r="DT13" s="19">
        <f>'P&amp;L - Inputs'!DS684</f>
        <v>0</v>
      </c>
      <c r="DU13" s="19">
        <f>'P&amp;L - Inputs'!DT684</f>
        <v>0</v>
      </c>
      <c r="DV13" s="19">
        <f>'P&amp;L - Inputs'!DU684</f>
        <v>0</v>
      </c>
      <c r="DW13" s="19">
        <f>'P&amp;L - Inputs'!DV684</f>
        <v>0</v>
      </c>
      <c r="DX13" s="19">
        <f>'P&amp;L - Inputs'!DW684</f>
        <v>0</v>
      </c>
      <c r="DY13" s="19">
        <f>'P&amp;L - Inputs'!DX684</f>
        <v>0</v>
      </c>
      <c r="DZ13" s="19">
        <f>'P&amp;L - Inputs'!DY684</f>
        <v>0</v>
      </c>
      <c r="EA13" s="19">
        <f>'P&amp;L - Inputs'!DZ684</f>
        <v>0</v>
      </c>
      <c r="EB13" s="19">
        <f>'P&amp;L - Inputs'!EA684</f>
        <v>0</v>
      </c>
      <c r="EC13" s="19">
        <f>'P&amp;L - Inputs'!EB684</f>
        <v>0</v>
      </c>
      <c r="ED13" s="19">
        <f>'P&amp;L - Inputs'!EC684</f>
        <v>0</v>
      </c>
      <c r="EE13" s="168"/>
      <c r="EF13" s="165">
        <f t="shared" si="96"/>
        <v>0</v>
      </c>
      <c r="EG13" s="165">
        <f t="shared" si="97"/>
        <v>0</v>
      </c>
      <c r="EH13" s="165">
        <f t="shared" si="98"/>
        <v>0</v>
      </c>
      <c r="EI13" s="165">
        <f t="shared" si="99"/>
        <v>0</v>
      </c>
      <c r="EJ13" s="165">
        <f t="shared" si="100"/>
        <v>0</v>
      </c>
      <c r="EK13" s="165">
        <f t="shared" si="101"/>
        <v>0</v>
      </c>
      <c r="EL13" s="165">
        <f t="shared" si="102"/>
        <v>0</v>
      </c>
      <c r="EM13" s="165">
        <f t="shared" si="103"/>
        <v>0</v>
      </c>
      <c r="EN13" s="165">
        <f t="shared" si="104"/>
        <v>0</v>
      </c>
      <c r="EO13" s="165">
        <f t="shared" si="105"/>
        <v>0</v>
      </c>
      <c r="EP13" s="165">
        <f t="shared" si="106"/>
        <v>0</v>
      </c>
      <c r="EQ13" s="165">
        <f t="shared" si="107"/>
        <v>0</v>
      </c>
      <c r="ER13" s="165">
        <f t="shared" si="108"/>
        <v>0</v>
      </c>
      <c r="ES13" s="165">
        <f t="shared" si="109"/>
        <v>0</v>
      </c>
      <c r="ET13" s="165">
        <f t="shared" si="110"/>
        <v>0</v>
      </c>
      <c r="EU13" s="165">
        <f t="shared" si="111"/>
        <v>0</v>
      </c>
      <c r="EV13" s="165">
        <f t="shared" si="112"/>
        <v>0</v>
      </c>
      <c r="EW13" s="165">
        <f t="shared" si="113"/>
        <v>0</v>
      </c>
      <c r="EX13" s="165">
        <f t="shared" si="114"/>
        <v>0</v>
      </c>
      <c r="EY13" s="165">
        <f t="shared" si="115"/>
        <v>0</v>
      </c>
      <c r="EZ13" s="165">
        <f t="shared" si="83"/>
        <v>0</v>
      </c>
      <c r="FA13" s="165">
        <f t="shared" si="84"/>
        <v>0</v>
      </c>
      <c r="FB13" s="165">
        <f t="shared" si="85"/>
        <v>0</v>
      </c>
      <c r="FC13" s="165">
        <f t="shared" si="86"/>
        <v>0</v>
      </c>
      <c r="FE13" s="165">
        <f t="shared" si="87"/>
        <v>0</v>
      </c>
      <c r="FF13" s="165">
        <f t="shared" si="88"/>
        <v>0</v>
      </c>
      <c r="FG13" s="165">
        <f t="shared" si="89"/>
        <v>0</v>
      </c>
      <c r="FH13" s="165">
        <f t="shared" si="90"/>
        <v>0</v>
      </c>
      <c r="FI13" s="165">
        <f t="shared" si="91"/>
        <v>0</v>
      </c>
      <c r="FJ13" s="165">
        <f t="shared" si="92"/>
        <v>0</v>
      </c>
    </row>
    <row r="14" spans="2:166" x14ac:dyDescent="0.2">
      <c r="B14" s="155" t="s">
        <v>228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f>'D2C Online'!C15</f>
        <v>0</v>
      </c>
      <c r="M14" s="19">
        <f>'D2C Online'!D15</f>
        <v>45188.72</v>
      </c>
      <c r="N14" s="19">
        <f>'D2C Online'!E15</f>
        <v>14401.34</v>
      </c>
      <c r="O14" s="19">
        <f>'D2C Online'!F15</f>
        <v>0</v>
      </c>
      <c r="P14" s="19">
        <f>'D2C Online'!G15</f>
        <v>29624</v>
      </c>
      <c r="Q14" s="19">
        <f>'D2C Online'!H15</f>
        <v>1166773</v>
      </c>
      <c r="R14" s="19">
        <f>'D2C Online'!I15</f>
        <v>413272</v>
      </c>
      <c r="S14" s="19">
        <f>'D2C Online'!J15</f>
        <v>156539</v>
      </c>
      <c r="T14" s="19">
        <f>'D2C Online'!K15</f>
        <v>4006057.7999999993</v>
      </c>
      <c r="U14" s="19">
        <f>'D2C Online'!L15</f>
        <v>281230</v>
      </c>
      <c r="V14" s="19">
        <f>'D2C Online'!M15</f>
        <v>4495700</v>
      </c>
      <c r="W14" s="19">
        <f>'D2C Online'!N15</f>
        <v>1391295</v>
      </c>
      <c r="X14" s="19">
        <f>'D2C Online'!O15</f>
        <v>3247790</v>
      </c>
      <c r="Y14" s="19">
        <f>'D2C Online'!P15</f>
        <v>23165479</v>
      </c>
      <c r="Z14" s="19">
        <f>'D2C Online'!Q15</f>
        <v>7371049</v>
      </c>
      <c r="AA14" s="19">
        <f>'D2C Online'!R15</f>
        <v>3340188</v>
      </c>
      <c r="AB14" s="19">
        <f>'D2C Online'!S15</f>
        <v>5781799</v>
      </c>
      <c r="AC14" s="19">
        <f>'D2C Online'!T15</f>
        <v>7483437.0250000004</v>
      </c>
      <c r="AD14" s="19">
        <f>'D2C Online'!U15</f>
        <v>4584859</v>
      </c>
      <c r="AE14" s="19">
        <f>'D2C Online'!V15</f>
        <v>4787254.0199999996</v>
      </c>
      <c r="AF14" s="19">
        <f>'D2C Online'!W15</f>
        <v>5457613.0249999985</v>
      </c>
      <c r="AG14" s="19">
        <f>'D2C Online'!X15</f>
        <v>8695469.0250000004</v>
      </c>
      <c r="AH14" s="19">
        <f>'D2C Online'!Y15</f>
        <v>5657017</v>
      </c>
      <c r="AI14" s="19">
        <f>'D2C Online'!Z15</f>
        <v>10141958.000000004</v>
      </c>
      <c r="AJ14" s="19">
        <f>'D2C Online'!AA15</f>
        <v>18507303.100000001</v>
      </c>
      <c r="AK14" s="19">
        <f>'D2C Online'!AB15</f>
        <v>15155991</v>
      </c>
      <c r="AL14" s="19">
        <f>'D2C Online'!AC15</f>
        <v>14631315</v>
      </c>
      <c r="AM14" s="19">
        <f>'D2C Online'!AD15</f>
        <v>8298740.0800000001</v>
      </c>
      <c r="AN14" s="19">
        <f>'D2C Online'!AE15</f>
        <v>3561271.0999999973</v>
      </c>
      <c r="AO14" s="19">
        <f>'D2C Online'!AF15</f>
        <v>4606447.0499999467</v>
      </c>
      <c r="AP14" s="19">
        <f>'D2C Online'!AG15</f>
        <v>5710635</v>
      </c>
      <c r="AQ14" s="19">
        <f>'D2C Online'!AH15</f>
        <v>2880500</v>
      </c>
      <c r="AR14" s="19">
        <f>'D2C Online'!AI15</f>
        <v>3210812</v>
      </c>
      <c r="AS14" s="19">
        <f>'D2C Online'!AJ15</f>
        <v>7701886.0499999998</v>
      </c>
      <c r="AT14" s="19">
        <f>'D2C Online'!AK15</f>
        <v>10390569.050000001</v>
      </c>
      <c r="AU14" s="19">
        <f>'D2C Online'!AL15</f>
        <v>21431296</v>
      </c>
      <c r="AV14" s="19">
        <f>'D2C Online'!AM15</f>
        <v>20628347.169999998</v>
      </c>
      <c r="AW14" s="19">
        <f>'D2C Online'!AN15</f>
        <v>15745518</v>
      </c>
      <c r="AX14" s="19">
        <f>'D2C Online'!AO15</f>
        <v>16029261.199999999</v>
      </c>
      <c r="AY14" s="19">
        <f>'D2C Online'!AP15</f>
        <v>7448353.9900000002</v>
      </c>
      <c r="AZ14" s="19">
        <f>'D2C Online'!AQ15</f>
        <v>10536815.060000001</v>
      </c>
      <c r="BA14" s="19">
        <f>'D2C Online'!AR15</f>
        <v>17815995.359999999</v>
      </c>
      <c r="BB14" s="19">
        <f>'D2C Online'!AS15</f>
        <v>21967094.319999982</v>
      </c>
      <c r="BC14" s="19">
        <f>'D2C Online'!AT15</f>
        <v>21013238.759999979</v>
      </c>
      <c r="BD14" s="19">
        <f>'D2C Online'!AU15</f>
        <v>26811307.949999984</v>
      </c>
      <c r="BE14" s="19">
        <f>'D2C Online'!AV15</f>
        <v>29604812.639999986</v>
      </c>
      <c r="BF14" s="19">
        <f>'D2C Online'!AW15</f>
        <v>35587355.25</v>
      </c>
      <c r="BG14" s="19">
        <f>'D2C Online'!AX15</f>
        <v>42634668.859999985</v>
      </c>
      <c r="BH14" s="19">
        <f>'D2C Online'!AY15</f>
        <v>30266807.07</v>
      </c>
      <c r="BI14" s="19">
        <f>'D2C Online'!AZ15</f>
        <v>34270896.709999993</v>
      </c>
      <c r="BJ14" s="19">
        <f>'D2C Online'!BA15</f>
        <v>75821838.350000113</v>
      </c>
      <c r="BK14" s="19">
        <f>'D2C Online'!BB15</f>
        <v>75000837.702900261</v>
      </c>
      <c r="BL14" s="19">
        <f>'D2C Online'!BC15</f>
        <v>66242323.428300701</v>
      </c>
      <c r="BM14" s="19">
        <f>'D2C Online'!BD15</f>
        <v>61992288.316796906</v>
      </c>
      <c r="BN14" s="19">
        <f>'D2C Online'!BE15</f>
        <v>83797824.555950761</v>
      </c>
      <c r="BO14" s="19">
        <f>'D2C Online'!BF15</f>
        <v>64337075.079313576</v>
      </c>
      <c r="BP14" s="19">
        <f>'D2C Online'!BG15</f>
        <v>80094705.911831737</v>
      </c>
      <c r="BQ14" s="19">
        <f>'D2C Online'!BH15</f>
        <v>110750679.92354873</v>
      </c>
      <c r="BR14" s="19">
        <f>'D2C Online'!BI15</f>
        <v>86969746.886757255</v>
      </c>
      <c r="BS14" s="19">
        <f>'D2C Online'!BJ15</f>
        <v>68662283.398047894</v>
      </c>
      <c r="BT14" s="19">
        <f>'D2C Online'!BK15</f>
        <v>69485129.439170867</v>
      </c>
      <c r="BU14" s="19">
        <f>'D2C Online'!BL15</f>
        <v>78284819.977285311</v>
      </c>
      <c r="BV14" s="19">
        <f>'D2C Online'!BM15</f>
        <v>61100254</v>
      </c>
      <c r="BW14" s="19">
        <f>'D2C Online'!BN15</f>
        <v>67336287.00135459</v>
      </c>
      <c r="BX14" s="19">
        <f>'D2C Online'!BO15</f>
        <v>72663141.375642285</v>
      </c>
      <c r="BY14" s="19">
        <f>'D2C Online'!BP15</f>
        <v>70978356.135166034</v>
      </c>
      <c r="BZ14" s="19">
        <f>'D2C Online'!BQ15</f>
        <v>76374290.018131271</v>
      </c>
      <c r="CA14" s="19">
        <f>'D2C Online'!BR15</f>
        <v>81213938.385640159</v>
      </c>
      <c r="CB14" s="19">
        <f>'D2C Online'!BS15</f>
        <v>82608537.574527636</v>
      </c>
      <c r="CC14" s="19">
        <f>'D2C Online'!BT15</f>
        <v>70181602.439170733</v>
      </c>
      <c r="CD14" s="19">
        <f>'D2C Online'!BU15</f>
        <v>76134056.059188887</v>
      </c>
      <c r="CE14" s="19">
        <f>'D2C Online'!BV15</f>
        <v>71718804.892820045</v>
      </c>
      <c r="CF14" s="19">
        <f>'D2C Online'!BW15</f>
        <v>88276103.901116952</v>
      </c>
      <c r="CG14" s="19">
        <f>'D2C Online'!BX15</f>
        <v>87900977.298842773</v>
      </c>
      <c r="CH14" s="19">
        <f>'D2C Online'!BY15</f>
        <v>122481478.46658428</v>
      </c>
      <c r="CI14" s="19">
        <f>'D2C Online'!BZ15</f>
        <v>130288537.13456243</v>
      </c>
      <c r="CJ14" s="19">
        <f>'D2C Online'!CA15</f>
        <v>126101952.34102412</v>
      </c>
      <c r="CK14" s="19">
        <f>'D2C Online'!CB15</f>
        <v>125553900.74023493</v>
      </c>
      <c r="CL14" s="19">
        <f>'D2C Online'!CC15</f>
        <v>116592179.83000053</v>
      </c>
      <c r="CM14" s="19">
        <f>'D2C Online'!CD15</f>
        <v>113948660.62000078</v>
      </c>
      <c r="CN14" s="19">
        <f>'D2C Online'!CE15</f>
        <v>61477975.21000044</v>
      </c>
      <c r="CO14" s="19">
        <f>'D2C Online'!CF15</f>
        <v>127727227.58999993</v>
      </c>
      <c r="CP14" s="19">
        <f>'D2C Online'!CG15</f>
        <v>114688809.56999992</v>
      </c>
      <c r="CQ14" s="19">
        <f>'D2C Online'!CH15</f>
        <v>127168565.17000028</v>
      </c>
      <c r="CR14" s="19">
        <f>'D2C Online'!CI15</f>
        <v>131547257.53999972</v>
      </c>
      <c r="CS14" s="19">
        <f>'D2C Online'!CJ15</f>
        <v>117221203.89999908</v>
      </c>
      <c r="CT14" s="19">
        <f>'D2C Online'!CK15</f>
        <v>123944195.34999995</v>
      </c>
      <c r="CU14" s="19">
        <f>'D2C Online'!CL15</f>
        <v>117111847.43208978</v>
      </c>
      <c r="CV14" s="19">
        <f>'D2C Online'!CM15</f>
        <v>118303771.68478613</v>
      </c>
      <c r="CW14" s="19">
        <f>'D2C Online'!CN15</f>
        <v>118219138.01003847</v>
      </c>
      <c r="CX14" s="19">
        <f>'D2C Online'!CO15</f>
        <v>120003497.98596853</v>
      </c>
      <c r="CY14" s="19">
        <f>'D2C Online'!CP15</f>
        <v>113077642.26911744</v>
      </c>
      <c r="CZ14" s="19">
        <f>'D2C Online'!CQ15</f>
        <v>123699168.44995016</v>
      </c>
      <c r="DA14" s="19">
        <f>'D2C Online'!CR15</f>
        <v>120278557.42889847</v>
      </c>
      <c r="DB14" s="19">
        <f>'D2C Online'!CS15</f>
        <v>120560669.67805737</v>
      </c>
      <c r="DC14" s="19">
        <f>'D2C Online'!CT15</f>
        <v>147989033.10253173</v>
      </c>
      <c r="DD14" s="19">
        <f>'D2C Online'!CU15</f>
        <v>159456896.03084117</v>
      </c>
      <c r="DE14" s="19">
        <f>'D2C Online'!CV15</f>
        <v>136704543.1361756</v>
      </c>
      <c r="DF14" s="19">
        <f>'D2C Online'!CW15</f>
        <v>147721026.46583077</v>
      </c>
      <c r="DG14" s="19">
        <f>'D2C Online'!CX15</f>
        <v>138718983.28331032</v>
      </c>
      <c r="DH14" s="19">
        <f>'D2C Online'!CY15</f>
        <v>140130817.56062916</v>
      </c>
      <c r="DI14" s="19">
        <f>'D2C Online'!CZ15</f>
        <v>140030568.97289056</v>
      </c>
      <c r="DJ14" s="19">
        <f>'D2C Online'!DA15</f>
        <v>142144143.3643797</v>
      </c>
      <c r="DK14" s="19">
        <f>'D2C Online'!DB15</f>
        <v>133940467.26776959</v>
      </c>
      <c r="DL14" s="19">
        <f>'D2C Online'!DC15</f>
        <v>146521665.02896595</v>
      </c>
      <c r="DM14" s="19">
        <f>'D2C Online'!DD15</f>
        <v>142469951.2745302</v>
      </c>
      <c r="DN14" s="19">
        <f>'D2C Online'!DE15</f>
        <v>142804113.23365894</v>
      </c>
      <c r="DO14" s="19">
        <f>'D2C Online'!DF15</f>
        <v>175293009.70994884</v>
      </c>
      <c r="DP14" s="19">
        <f>'D2C Online'!DG15</f>
        <v>188876693.34853137</v>
      </c>
      <c r="DQ14" s="19">
        <f>'D2C Online'!DH15</f>
        <v>161926531.3448</v>
      </c>
      <c r="DR14" s="19">
        <f>'D2C Online'!DI15</f>
        <v>174975555.84877658</v>
      </c>
      <c r="DS14" s="19">
        <f>'D2C Online'!DJ15</f>
        <v>164312635.69908112</v>
      </c>
      <c r="DT14" s="19">
        <f>'D2C Online'!DK15</f>
        <v>165984953.4005653</v>
      </c>
      <c r="DU14" s="19">
        <f>'D2C Online'!DL15</f>
        <v>165866208.9483889</v>
      </c>
      <c r="DV14" s="19">
        <f>'D2C Online'!DM15</f>
        <v>168369737.81510782</v>
      </c>
      <c r="DW14" s="19">
        <f>'D2C Online'!DN15</f>
        <v>158652483.47867313</v>
      </c>
      <c r="DX14" s="19">
        <f>'D2C Online'!DO15</f>
        <v>173554912.22681022</v>
      </c>
      <c r="DY14" s="19">
        <f>'D2C Online'!DP15</f>
        <v>168755657.28468105</v>
      </c>
      <c r="DZ14" s="19">
        <f>'D2C Online'!DQ15</f>
        <v>169151472.125269</v>
      </c>
      <c r="EA14" s="19">
        <f>'D2C Online'!DR15</f>
        <v>207634570.00143439</v>
      </c>
      <c r="EB14" s="19">
        <f>'D2C Online'!DS15</f>
        <v>223724443.27133533</v>
      </c>
      <c r="EC14" s="19">
        <f>'D2C Online'!DT15</f>
        <v>191801976.37791553</v>
      </c>
      <c r="ED14" s="19">
        <f>'D2C Online'!DU15</f>
        <v>207258545.90287578</v>
      </c>
      <c r="EE14" s="168"/>
      <c r="EF14" s="165">
        <f t="shared" si="96"/>
        <v>203235449.44799787</v>
      </c>
      <c r="EG14" s="165">
        <f t="shared" si="97"/>
        <v>228229605.54709607</v>
      </c>
      <c r="EH14" s="165">
        <f t="shared" si="98"/>
        <v>266382710.20835388</v>
      </c>
      <c r="EI14" s="165">
        <f t="shared" si="99"/>
        <v>208870203.41645616</v>
      </c>
      <c r="EJ14" s="165">
        <f t="shared" si="100"/>
        <v>210977784.51216292</v>
      </c>
      <c r="EK14" s="165">
        <f t="shared" si="101"/>
        <v>292018815.66000175</v>
      </c>
      <c r="EL14" s="165">
        <f t="shared" si="102"/>
        <v>218034463.39117968</v>
      </c>
      <c r="EM14" s="165">
        <f t="shared" si="103"/>
        <v>298658559.66654402</v>
      </c>
      <c r="EN14" s="165">
        <f t="shared" si="104"/>
        <v>381944390.21582144</v>
      </c>
      <c r="EO14" s="165">
        <f t="shared" si="105"/>
        <v>292018815.66000175</v>
      </c>
      <c r="EP14" s="165">
        <f t="shared" si="106"/>
        <v>369584602.33000016</v>
      </c>
      <c r="EQ14" s="165">
        <f t="shared" si="107"/>
        <v>372712656.78999877</v>
      </c>
      <c r="ER14" s="165">
        <f t="shared" si="108"/>
        <v>353634757.12691438</v>
      </c>
      <c r="ES14" s="165">
        <f t="shared" si="109"/>
        <v>356780308.70503616</v>
      </c>
      <c r="ET14" s="165">
        <f t="shared" si="110"/>
        <v>388828260.20948756</v>
      </c>
      <c r="EU14" s="165">
        <f t="shared" si="111"/>
        <v>443882465.63284755</v>
      </c>
      <c r="EV14" s="165">
        <f t="shared" si="112"/>
        <v>418880369.81683004</v>
      </c>
      <c r="EW14" s="165">
        <f t="shared" si="113"/>
        <v>422606275.66111523</v>
      </c>
      <c r="EX14" s="165">
        <f t="shared" si="114"/>
        <v>460567074.21813798</v>
      </c>
      <c r="EY14" s="165">
        <f t="shared" si="115"/>
        <v>525778780.54210794</v>
      </c>
      <c r="EZ14" s="165">
        <f t="shared" si="83"/>
        <v>496163798.04803538</v>
      </c>
      <c r="FA14" s="165">
        <f t="shared" si="84"/>
        <v>500577133.52059114</v>
      </c>
      <c r="FB14" s="165">
        <f t="shared" si="85"/>
        <v>545541699.41138434</v>
      </c>
      <c r="FC14" s="165">
        <f t="shared" si="86"/>
        <v>622784965.55212665</v>
      </c>
      <c r="FE14" s="165">
        <f t="shared" si="87"/>
        <v>906717968.61990404</v>
      </c>
      <c r="FF14" s="165">
        <f t="shared" si="88"/>
        <v>1019689623.2298884</v>
      </c>
      <c r="FG14" s="165">
        <f t="shared" si="89"/>
        <v>1416260464.9958222</v>
      </c>
      <c r="FH14" s="165">
        <f t="shared" si="90"/>
        <v>1543125791.6742857</v>
      </c>
      <c r="FI14" s="165">
        <f t="shared" si="91"/>
        <v>1827832500.2381911</v>
      </c>
      <c r="FJ14" s="165">
        <f t="shared" si="92"/>
        <v>2165067596.5321379</v>
      </c>
    </row>
    <row r="15" spans="2:166" x14ac:dyDescent="0.2">
      <c r="B15" s="155" t="s">
        <v>229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f>'D2C - Retail'!C18</f>
        <v>34164.439999999995</v>
      </c>
      <c r="AD15" s="19">
        <f>'D2C - Retail'!D18</f>
        <v>80549</v>
      </c>
      <c r="AE15" s="19">
        <f>'D2C - Retail'!E18</f>
        <v>1024004.1200000001</v>
      </c>
      <c r="AF15" s="19">
        <f>'D2C - Retail'!F18</f>
        <v>1222796</v>
      </c>
      <c r="AG15" s="19">
        <f>'D2C - Retail'!G18</f>
        <v>1313040</v>
      </c>
      <c r="AH15" s="19">
        <f>'D2C - Retail'!H18</f>
        <v>1433419</v>
      </c>
      <c r="AI15" s="19">
        <f>'D2C - Retail'!I18</f>
        <v>2250634</v>
      </c>
      <c r="AJ15" s="19">
        <f>'D2C - Retail'!J18</f>
        <v>2068956.62</v>
      </c>
      <c r="AK15" s="19">
        <f>'D2C - Retail'!K18</f>
        <v>4367845.8299999973</v>
      </c>
      <c r="AL15" s="19">
        <f>'D2C - Retail'!L18</f>
        <v>2991728.5800000005</v>
      </c>
      <c r="AM15" s="19">
        <f>'D2C - Retail'!M18</f>
        <v>3273000.3599999584</v>
      </c>
      <c r="AN15" s="19">
        <f>'D2C - Retail'!N18</f>
        <v>68026.060000000056</v>
      </c>
      <c r="AO15" s="19">
        <f>'D2C - Retail'!O18</f>
        <v>2261112.4200000074</v>
      </c>
      <c r="AP15" s="19">
        <f>'D2C - Retail'!P18</f>
        <v>2935903.5299998708</v>
      </c>
      <c r="AQ15" s="19">
        <f>'D2C - Retail'!Q18</f>
        <v>3832517.8299999163</v>
      </c>
      <c r="AR15" s="19">
        <f>'D2C - Retail'!R18</f>
        <v>5223546.9300000295</v>
      </c>
      <c r="AS15" s="19">
        <f>'D2C - Retail'!S18</f>
        <v>5010994.1099999994</v>
      </c>
      <c r="AT15" s="19">
        <f>'D2C - Retail'!T18</f>
        <v>8870323.5000004321</v>
      </c>
      <c r="AU15" s="19">
        <f>'D2C - Retail'!U18</f>
        <v>11043675.230001688</v>
      </c>
      <c r="AV15" s="19">
        <f>'D2C - Retail'!V18</f>
        <v>11543984.63000071</v>
      </c>
      <c r="AW15" s="19">
        <f>'D2C - Retail'!W18</f>
        <v>12557387.539999999</v>
      </c>
      <c r="AX15" s="19">
        <f>'D2C - Retail'!X18</f>
        <v>14143405.550000001</v>
      </c>
      <c r="AY15" s="19">
        <f>'D2C - Retail'!Y18</f>
        <v>10998459.319999956</v>
      </c>
      <c r="AZ15" s="19">
        <f>'D2C - Retail'!Z18</f>
        <v>13431049.749999998</v>
      </c>
      <c r="BA15" s="19">
        <f>'D2C - Retail'!AA18</f>
        <v>15045215.310000077</v>
      </c>
      <c r="BB15" s="19">
        <f>'D2C - Retail'!AB18</f>
        <v>12127726.770000031</v>
      </c>
      <c r="BC15" s="19">
        <f>'D2C - Retail'!AC18</f>
        <v>10761139.590000037</v>
      </c>
      <c r="BD15" s="19">
        <f>'D2C - Retail'!AD18</f>
        <v>9409463.5900000054</v>
      </c>
      <c r="BE15" s="19">
        <f>'D2C - Retail'!AE18</f>
        <v>8817711.4900000021</v>
      </c>
      <c r="BF15" s="19">
        <f>'D2C - Retail'!AF18</f>
        <v>7108167.8299999889</v>
      </c>
      <c r="BG15" s="19">
        <f>'D2C - Retail'!AG18</f>
        <v>10576661.069999991</v>
      </c>
      <c r="BH15" s="19">
        <f>'D2C - Retail'!AH18</f>
        <v>11054463.079999998</v>
      </c>
      <c r="BI15" s="19">
        <f>'D2C - Retail'!AI18</f>
        <v>11038924.030000005</v>
      </c>
      <c r="BJ15" s="19">
        <f>'D2C - Retail'!AJ18</f>
        <v>16531850.890000023</v>
      </c>
      <c r="BK15" s="19">
        <f>'D2C - Retail'!AK18</f>
        <v>20375512.290000118</v>
      </c>
      <c r="BL15" s="19">
        <f>'D2C - Retail'!AL18</f>
        <v>23840624.250000108</v>
      </c>
      <c r="BM15" s="19">
        <f>'D2C - Retail'!AM18</f>
        <v>25619441.960000113</v>
      </c>
      <c r="BN15" s="19">
        <f>'D2C - Retail'!AN18</f>
        <v>25770806.62000015</v>
      </c>
      <c r="BO15" s="19">
        <f>'D2C - Retail'!AO18</f>
        <v>24796270.190000203</v>
      </c>
      <c r="BP15" s="19">
        <f>'D2C - Retail'!AP18</f>
        <v>24223043.080000162</v>
      </c>
      <c r="BQ15" s="19">
        <f>'D2C - Retail'!AQ18</f>
        <v>27710283.940000098</v>
      </c>
      <c r="BR15" s="19">
        <f>'D2C - Retail'!AR18</f>
        <v>22343150.619999979</v>
      </c>
      <c r="BS15" s="19">
        <f>'D2C - Retail'!AS18</f>
        <v>20604913.030000005</v>
      </c>
      <c r="BT15" s="19">
        <f>'D2C - Retail'!AT18</f>
        <v>18608746.679999955</v>
      </c>
      <c r="BU15" s="19">
        <f>'D2C - Retail'!AU18</f>
        <v>19194313.129999984</v>
      </c>
      <c r="BV15" s="19">
        <f>'D2C - Retail'!AV18</f>
        <v>24341100</v>
      </c>
      <c r="BW15" s="19">
        <f>'D2C - Retail'!AW18</f>
        <v>24604390.750000104</v>
      </c>
      <c r="BX15" s="19">
        <f>'D2C - Retail'!AX18</f>
        <v>22977350.029999942</v>
      </c>
      <c r="BY15" s="19">
        <f>'D2C - Retail'!AY18</f>
        <v>22085517.069999963</v>
      </c>
      <c r="BZ15" s="19">
        <f>'D2C - Retail'!AZ18</f>
        <v>27306813.12000002</v>
      </c>
      <c r="CA15" s="19">
        <f>'D2C - Retail'!BA18</f>
        <v>23290863.169999931</v>
      </c>
      <c r="CB15" s="19">
        <f>'D2C - Retail'!BB18</f>
        <v>25601906.309999935</v>
      </c>
      <c r="CC15" s="19">
        <f>'D2C - Retail'!BC18</f>
        <v>17912273.679999981</v>
      </c>
      <c r="CD15" s="19">
        <f>'D2C - Retail'!BD18</f>
        <v>25796588.840000004</v>
      </c>
      <c r="CE15" s="19">
        <f>'D2C - Retail'!BE18</f>
        <v>30517008.910000134</v>
      </c>
      <c r="CF15" s="19">
        <f>'D2C - Retail'!BF18</f>
        <v>36379918.180026025</v>
      </c>
      <c r="CG15" s="19">
        <f>'D2C - Retail'!BG18</f>
        <v>35443697.910057932</v>
      </c>
      <c r="CH15" s="19">
        <f>'D2C - Retail'!BH18</f>
        <v>39465340.150000237</v>
      </c>
      <c r="CI15" s="19">
        <f>'D2C - Retail'!BI18</f>
        <v>42482265.380003251</v>
      </c>
      <c r="CJ15" s="19">
        <f>'D2C - Retail'!BJ18</f>
        <v>45465982.810000286</v>
      </c>
      <c r="CK15" s="19">
        <f>'D2C - Retail'!BK18</f>
        <v>40341959.620006375</v>
      </c>
      <c r="CL15" s="19">
        <f>'D2C - Retail'!BL18</f>
        <v>46870170.000000142</v>
      </c>
      <c r="CM15" s="19">
        <f>'D2C - Retail'!BM18</f>
        <v>38785726.240000106</v>
      </c>
      <c r="CN15" s="19">
        <f>'D2C - Retail'!BN18</f>
        <v>39860910.350000069</v>
      </c>
      <c r="CO15" s="19">
        <f>'D2C - Retail'!BO18</f>
        <v>37443084.069999993</v>
      </c>
      <c r="CP15" s="19">
        <f>'D2C - Retail'!BP18</f>
        <v>38780500.059999987</v>
      </c>
      <c r="CQ15" s="19">
        <f>'D2C - Retail'!BQ18</f>
        <v>40195593.830000013</v>
      </c>
      <c r="CR15" s="19">
        <f>'D2C - Retail'!BR18</f>
        <v>50230534.250000067</v>
      </c>
      <c r="CS15" s="19">
        <f>'D2C - Retail'!BS18</f>
        <v>47794579.180000052</v>
      </c>
      <c r="CT15" s="19">
        <f>'D2C - Retail'!BT18</f>
        <v>53161003.69000002</v>
      </c>
      <c r="CU15" s="19">
        <f>'D2C - Retail'!BU18</f>
        <v>59347698.7296855</v>
      </c>
      <c r="CV15" s="19">
        <f>'D2C - Retail'!BV18</f>
        <v>57974297.091359176</v>
      </c>
      <c r="CW15" s="19">
        <f>'D2C - Retail'!BW18</f>
        <v>57780155.438567594</v>
      </c>
      <c r="CX15" s="19">
        <f>'D2C - Retail'!BX18</f>
        <v>62947910.784465604</v>
      </c>
      <c r="CY15" s="19">
        <f>'D2C - Retail'!BY18</f>
        <v>55631315.795327604</v>
      </c>
      <c r="CZ15" s="19">
        <f>'D2C - Retail'!BZ18</f>
        <v>51204184.256123461</v>
      </c>
      <c r="DA15" s="19">
        <f>'D2C - Retail'!CA18</f>
        <v>65155926.197005339</v>
      </c>
      <c r="DB15" s="19">
        <f>'D2C - Retail'!CB18</f>
        <v>59520844.571181715</v>
      </c>
      <c r="DC15" s="19">
        <f>'D2C - Retail'!CC18</f>
        <v>71785928.989360392</v>
      </c>
      <c r="DD15" s="19">
        <f>'D2C - Retail'!CD18</f>
        <v>73640539.502611056</v>
      </c>
      <c r="DE15" s="19">
        <f>'D2C - Retail'!CE18</f>
        <v>68032213.087603778</v>
      </c>
      <c r="DF15" s="19">
        <f>'D2C - Retail'!CF18</f>
        <v>79958082.532864183</v>
      </c>
      <c r="DG15" s="19">
        <f>'D2C - Retail'!CG18</f>
        <v>70693582.3103607</v>
      </c>
      <c r="DH15" s="19">
        <f>'D2C - Retail'!CH18</f>
        <v>69243051.088492125</v>
      </c>
      <c r="DI15" s="19">
        <f>'D2C - Retail'!CI18</f>
        <v>68658518.036569536</v>
      </c>
      <c r="DJ15" s="19">
        <f>'D2C - Retail'!CJ18</f>
        <v>74728162.65984419</v>
      </c>
      <c r="DK15" s="19">
        <f>'D2C - Retail'!CK18</f>
        <v>65950027.596073888</v>
      </c>
      <c r="DL15" s="19">
        <f>'D2C - Retail'!CL18</f>
        <v>60591618.036412805</v>
      </c>
      <c r="DM15" s="19">
        <f>'D2C - Retail'!CM18</f>
        <v>76763428.797062412</v>
      </c>
      <c r="DN15" s="19">
        <f>'D2C - Retail'!CN18</f>
        <v>69792243.235508233</v>
      </c>
      <c r="DO15" s="19">
        <f>'D2C - Retail'!CO18</f>
        <v>83814922.495685697</v>
      </c>
      <c r="DP15" s="19">
        <f>'D2C - Retail'!CP18</f>
        <v>85617707.70907025</v>
      </c>
      <c r="DQ15" s="19">
        <f>'D2C - Retail'!CQ18</f>
        <v>78739555.715595976</v>
      </c>
      <c r="DR15" s="19">
        <f>'D2C - Retail'!CR18</f>
        <v>91474433.226030439</v>
      </c>
      <c r="DS15" s="19">
        <f>'D2C - Retail'!CS18</f>
        <v>80826329.108179078</v>
      </c>
      <c r="DT15" s="19">
        <f>'D2C - Retail'!CT18</f>
        <v>79096869.897239104</v>
      </c>
      <c r="DU15" s="19">
        <f>'D2C - Retail'!CU18</f>
        <v>78383060.863930956</v>
      </c>
      <c r="DV15" s="19">
        <f>'D2C - Retail'!CV18</f>
        <v>85262945.157558724</v>
      </c>
      <c r="DW15" s="19">
        <f>'D2C - Retail'!CW18</f>
        <v>75183031.459524244</v>
      </c>
      <c r="DX15" s="19">
        <f>'D2C - Retail'!CX18</f>
        <v>68997638.285126418</v>
      </c>
      <c r="DY15" s="19">
        <f>'D2C - Retail'!CY18</f>
        <v>87389103.414761066</v>
      </c>
      <c r="DZ15" s="19">
        <f>'D2C - Retail'!CZ18</f>
        <v>79409954.803328276</v>
      </c>
      <c r="EA15" s="19">
        <f>'D2C - Retail'!DA18</f>
        <v>95339474.338842466</v>
      </c>
      <c r="EB15" s="19">
        <f>'D2C - Retail'!DB18</f>
        <v>97364220.20271948</v>
      </c>
      <c r="EC15" s="19">
        <f>'D2C - Retail'!DC18</f>
        <v>89495216.67674695</v>
      </c>
      <c r="ED15" s="19">
        <f>'D2C - Retail'!DD18</f>
        <v>103942523.78218117</v>
      </c>
      <c r="EE15" s="168"/>
      <c r="EF15" s="165">
        <f t="shared" si="96"/>
        <v>69835578.500000343</v>
      </c>
      <c r="EG15" s="165">
        <f t="shared" si="97"/>
        <v>74790119.890000522</v>
      </c>
      <c r="EH15" s="165">
        <f t="shared" si="98"/>
        <v>70658347.590000078</v>
      </c>
      <c r="EI15" s="165">
        <f t="shared" si="99"/>
        <v>62144159.809999943</v>
      </c>
      <c r="EJ15" s="165">
        <f t="shared" si="100"/>
        <v>69667257.850000009</v>
      </c>
      <c r="EK15" s="165">
        <f t="shared" si="101"/>
        <v>125516806.59000032</v>
      </c>
      <c r="EL15" s="165">
        <f t="shared" si="102"/>
        <v>74225871.430000111</v>
      </c>
      <c r="EM15" s="165">
        <f t="shared" si="103"/>
        <v>111288956.2400842</v>
      </c>
      <c r="EN15" s="165">
        <f t="shared" si="104"/>
        <v>128290207.81000993</v>
      </c>
      <c r="EO15" s="165">
        <f t="shared" si="105"/>
        <v>125516806.59000032</v>
      </c>
      <c r="EP15" s="165">
        <f t="shared" si="106"/>
        <v>116419177.95999999</v>
      </c>
      <c r="EQ15" s="165">
        <f t="shared" si="107"/>
        <v>151186117.12000015</v>
      </c>
      <c r="ER15" s="165">
        <f t="shared" si="108"/>
        <v>175102151.25961226</v>
      </c>
      <c r="ES15" s="165">
        <f t="shared" si="109"/>
        <v>169783410.83591667</v>
      </c>
      <c r="ET15" s="165">
        <f t="shared" si="110"/>
        <v>196462699.75754744</v>
      </c>
      <c r="EU15" s="165">
        <f t="shared" si="111"/>
        <v>221630835.12307903</v>
      </c>
      <c r="EV15" s="165">
        <f t="shared" si="112"/>
        <v>208595151.43542236</v>
      </c>
      <c r="EW15" s="165">
        <f t="shared" si="113"/>
        <v>201269808.29233089</v>
      </c>
      <c r="EX15" s="165">
        <f t="shared" si="114"/>
        <v>230370594.52825636</v>
      </c>
      <c r="EY15" s="165">
        <f t="shared" si="115"/>
        <v>255831696.65069667</v>
      </c>
      <c r="EZ15" s="165">
        <f t="shared" si="83"/>
        <v>238306259.86934912</v>
      </c>
      <c r="FA15" s="165">
        <f t="shared" si="84"/>
        <v>229443614.90220937</v>
      </c>
      <c r="FB15" s="165">
        <f t="shared" si="85"/>
        <v>262138532.55693179</v>
      </c>
      <c r="FC15" s="165">
        <f t="shared" si="86"/>
        <v>290801960.66164756</v>
      </c>
      <c r="FE15" s="165">
        <f t="shared" si="87"/>
        <v>277428205.79000092</v>
      </c>
      <c r="FF15" s="165">
        <f t="shared" si="88"/>
        <v>380698892.11008465</v>
      </c>
      <c r="FG15" s="165">
        <f t="shared" si="89"/>
        <v>521412309.48001039</v>
      </c>
      <c r="FH15" s="165">
        <f t="shared" si="90"/>
        <v>762979096.97615552</v>
      </c>
      <c r="FI15" s="165">
        <f t="shared" si="91"/>
        <v>896067250.90670621</v>
      </c>
      <c r="FJ15" s="165">
        <f t="shared" si="92"/>
        <v>1020690367.9901378</v>
      </c>
    </row>
    <row r="16" spans="2:166" x14ac:dyDescent="0.2">
      <c r="B16" s="15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68"/>
      <c r="EF16" s="165"/>
      <c r="EG16" s="165"/>
      <c r="EH16" s="165"/>
      <c r="EI16" s="165"/>
      <c r="EJ16" s="165"/>
      <c r="EK16" s="165"/>
      <c r="EL16" s="165"/>
      <c r="EM16" s="165"/>
      <c r="EN16" s="165"/>
      <c r="EO16" s="165"/>
      <c r="EP16" s="165"/>
      <c r="EQ16" s="165"/>
      <c r="ER16" s="165"/>
      <c r="ES16" s="165"/>
      <c r="ET16" s="165"/>
      <c r="EU16" s="165"/>
      <c r="EV16" s="165"/>
      <c r="EW16" s="165"/>
      <c r="EX16" s="165"/>
      <c r="EY16" s="165"/>
      <c r="EZ16" s="165">
        <f t="shared" si="83"/>
        <v>0</v>
      </c>
      <c r="FA16" s="165">
        <f t="shared" si="84"/>
        <v>0</v>
      </c>
      <c r="FB16" s="165">
        <f t="shared" si="85"/>
        <v>0</v>
      </c>
      <c r="FC16" s="165">
        <f t="shared" si="86"/>
        <v>0</v>
      </c>
      <c r="FE16" s="165"/>
      <c r="FF16" s="165"/>
      <c r="FG16" s="165"/>
      <c r="FH16" s="165"/>
      <c r="FI16" s="165"/>
      <c r="FJ16" s="165"/>
    </row>
    <row r="17" spans="2:166" x14ac:dyDescent="0.2">
      <c r="B17" s="155" t="s">
        <v>227</v>
      </c>
      <c r="C17" s="19">
        <f>'P&amp;L - Inputs'!B685</f>
        <v>41</v>
      </c>
      <c r="D17" s="19">
        <f>'P&amp;L - Inputs'!C685</f>
        <v>39</v>
      </c>
      <c r="E17" s="19">
        <f>'P&amp;L - Inputs'!D685</f>
        <v>77</v>
      </c>
      <c r="F17" s="19">
        <f>'P&amp;L - Inputs'!E685</f>
        <v>89</v>
      </c>
      <c r="G17" s="19">
        <f>'P&amp;L - Inputs'!F685</f>
        <v>176</v>
      </c>
      <c r="H17" s="19">
        <f>'P&amp;L - Inputs'!G685</f>
        <v>214</v>
      </c>
      <c r="I17" s="19">
        <f>'P&amp;L - Inputs'!H685</f>
        <v>161</v>
      </c>
      <c r="J17" s="19">
        <f>'P&amp;L - Inputs'!I685</f>
        <v>94</v>
      </c>
      <c r="K17" s="19">
        <f>'P&amp;L - Inputs'!J685</f>
        <v>118</v>
      </c>
      <c r="L17" s="19">
        <f>'P&amp;L - Inputs'!K685</f>
        <v>139</v>
      </c>
      <c r="M17" s="19">
        <f>'P&amp;L - Inputs'!L685</f>
        <v>194</v>
      </c>
      <c r="N17" s="19">
        <f>'P&amp;L - Inputs'!M685</f>
        <v>168</v>
      </c>
      <c r="O17" s="19">
        <f>'P&amp;L - Inputs'!N685</f>
        <v>202</v>
      </c>
      <c r="P17" s="19">
        <f>'P&amp;L - Inputs'!O685</f>
        <v>165</v>
      </c>
      <c r="Q17" s="19">
        <f>'P&amp;L - Inputs'!P685</f>
        <v>122</v>
      </c>
      <c r="R17" s="19">
        <f>'P&amp;L - Inputs'!Q685</f>
        <v>179</v>
      </c>
      <c r="S17" s="19">
        <f>'P&amp;L - Inputs'!R685</f>
        <v>111</v>
      </c>
      <c r="T17" s="19">
        <f>'P&amp;L - Inputs'!S685</f>
        <v>243</v>
      </c>
      <c r="U17" s="19">
        <f>'P&amp;L - Inputs'!T685</f>
        <v>191</v>
      </c>
      <c r="V17" s="19">
        <f>'P&amp;L - Inputs'!U685</f>
        <v>83</v>
      </c>
      <c r="W17" s="19">
        <f>'P&amp;L - Inputs'!V685</f>
        <v>52</v>
      </c>
      <c r="X17" s="19">
        <f>'P&amp;L - Inputs'!W685</f>
        <v>55</v>
      </c>
      <c r="Y17" s="19">
        <f>'P&amp;L - Inputs'!X685</f>
        <v>54</v>
      </c>
      <c r="Z17" s="19">
        <f>'P&amp;L - Inputs'!Y685</f>
        <v>37</v>
      </c>
      <c r="AA17" s="19">
        <f>'P&amp;L - Inputs'!Z685</f>
        <v>266</v>
      </c>
      <c r="AB17" s="19">
        <f>'P&amp;L - Inputs'!AA685</f>
        <v>198</v>
      </c>
      <c r="AC17" s="19">
        <f>'P&amp;L - Inputs'!AB685</f>
        <v>250</v>
      </c>
      <c r="AD17" s="19">
        <f>'P&amp;L - Inputs'!AC685</f>
        <v>347</v>
      </c>
      <c r="AE17" s="19">
        <f>'P&amp;L - Inputs'!AD685</f>
        <v>216</v>
      </c>
      <c r="AF17" s="19">
        <f>'P&amp;L - Inputs'!AE685</f>
        <v>109</v>
      </c>
      <c r="AG17" s="19">
        <f>'P&amp;L - Inputs'!AF685</f>
        <v>59</v>
      </c>
      <c r="AH17" s="19">
        <f>'P&amp;L - Inputs'!AG685</f>
        <v>84</v>
      </c>
      <c r="AI17" s="19">
        <f>'P&amp;L - Inputs'!AH685</f>
        <v>111</v>
      </c>
      <c r="AJ17" s="19">
        <f>'P&amp;L - Inputs'!AI685</f>
        <v>84</v>
      </c>
      <c r="AK17" s="19">
        <f>'P&amp;L - Inputs'!AJ685</f>
        <v>111</v>
      </c>
      <c r="AL17" s="19">
        <f>'P&amp;L - Inputs'!AK685</f>
        <v>151</v>
      </c>
      <c r="AM17" s="19">
        <f>'P&amp;L - Inputs'!AL685</f>
        <v>73</v>
      </c>
      <c r="AN17" s="19">
        <f>'P&amp;L - Inputs'!AM685</f>
        <v>17</v>
      </c>
      <c r="AO17" s="19">
        <f>'P&amp;L - Inputs'!AN685</f>
        <v>30</v>
      </c>
      <c r="AP17" s="19">
        <f>'P&amp;L - Inputs'!AO685</f>
        <v>129</v>
      </c>
      <c r="AQ17" s="19">
        <f>'P&amp;L - Inputs'!AP685</f>
        <v>210</v>
      </c>
      <c r="AR17" s="19">
        <f>'P&amp;L - Inputs'!AQ685</f>
        <v>261</v>
      </c>
      <c r="AS17" s="19">
        <f>'P&amp;L - Inputs'!AR685</f>
        <v>248</v>
      </c>
      <c r="AT17" s="19">
        <f>'P&amp;L - Inputs'!AS685</f>
        <v>338</v>
      </c>
      <c r="AU17" s="19">
        <f>'P&amp;L - Inputs'!AT685</f>
        <v>990</v>
      </c>
      <c r="AV17" s="19">
        <f>'P&amp;L - Inputs'!AU685</f>
        <v>1194</v>
      </c>
      <c r="AW17" s="19">
        <f>'P&amp;L - Inputs'!AV685</f>
        <v>1395</v>
      </c>
      <c r="AX17" s="19">
        <f>'P&amp;L - Inputs'!AW685</f>
        <v>1972</v>
      </c>
      <c r="AY17" s="19">
        <f>'P&amp;L - Inputs'!AX685</f>
        <v>1764</v>
      </c>
      <c r="AZ17" s="19">
        <f>'P&amp;L - Inputs'!AY685</f>
        <v>1725</v>
      </c>
      <c r="BA17" s="19">
        <f>'P&amp;L - Inputs'!AZ685</f>
        <v>1873</v>
      </c>
      <c r="BB17" s="19">
        <f>'P&amp;L - Inputs'!BA685</f>
        <v>1137</v>
      </c>
      <c r="BC17" s="19">
        <f>'P&amp;L - Inputs'!BB685</f>
        <v>1527</v>
      </c>
      <c r="BD17" s="19">
        <f>'P&amp;L - Inputs'!BC685</f>
        <v>1761</v>
      </c>
      <c r="BE17" s="19">
        <f>'P&amp;L - Inputs'!BD685</f>
        <v>1332</v>
      </c>
      <c r="BF17" s="19">
        <f>'P&amp;L - Inputs'!BE685</f>
        <v>1366</v>
      </c>
      <c r="BG17" s="19">
        <f>'P&amp;L - Inputs'!BF685</f>
        <v>891</v>
      </c>
      <c r="BH17" s="19">
        <f>'P&amp;L - Inputs'!BG685</f>
        <v>876</v>
      </c>
      <c r="BI17" s="19">
        <f>'P&amp;L - Inputs'!BH685</f>
        <v>723</v>
      </c>
      <c r="BJ17" s="19">
        <f>'P&amp;L - Inputs'!BI685</f>
        <v>750</v>
      </c>
      <c r="BK17" s="19">
        <f>'P&amp;L - Inputs'!BJ685</f>
        <v>0</v>
      </c>
      <c r="BL17" s="19">
        <f>'P&amp;L - Inputs'!BK685</f>
        <v>0</v>
      </c>
      <c r="BM17" s="19">
        <f>'P&amp;L - Inputs'!BL685</f>
        <v>0</v>
      </c>
      <c r="BN17" s="19">
        <f>'P&amp;L - Inputs'!BM685</f>
        <v>0</v>
      </c>
      <c r="BO17" s="19">
        <f>'P&amp;L - Inputs'!BN685</f>
        <v>0</v>
      </c>
      <c r="BP17" s="19">
        <f>'P&amp;L - Inputs'!BO685</f>
        <v>0</v>
      </c>
      <c r="BQ17" s="19">
        <f>'P&amp;L - Inputs'!BP685</f>
        <v>0</v>
      </c>
      <c r="BR17" s="19">
        <f>'P&amp;L - Inputs'!BQ685</f>
        <v>0</v>
      </c>
      <c r="BS17" s="19">
        <f>'P&amp;L - Inputs'!BR685</f>
        <v>0</v>
      </c>
      <c r="BT17" s="19">
        <f>'P&amp;L - Inputs'!BS685</f>
        <v>0</v>
      </c>
      <c r="BU17" s="19">
        <f>'P&amp;L - Inputs'!BT685</f>
        <v>0</v>
      </c>
      <c r="BV17" s="19">
        <f>'P&amp;L - Inputs'!BU685</f>
        <v>0</v>
      </c>
      <c r="BW17" s="19">
        <f>'P&amp;L - Inputs'!BV685</f>
        <v>0</v>
      </c>
      <c r="BX17" s="19">
        <f>'P&amp;L - Inputs'!BW685</f>
        <v>0</v>
      </c>
      <c r="BY17" s="19">
        <f>'P&amp;L - Inputs'!BX685</f>
        <v>0</v>
      </c>
      <c r="BZ17" s="19">
        <f>'P&amp;L - Inputs'!BY685</f>
        <v>0</v>
      </c>
      <c r="CA17" s="19">
        <f>'P&amp;L - Inputs'!BZ685</f>
        <v>0</v>
      </c>
      <c r="CB17" s="19">
        <f>'P&amp;L - Inputs'!CA685</f>
        <v>0</v>
      </c>
      <c r="CC17" s="19">
        <f>'P&amp;L - Inputs'!CB685</f>
        <v>0</v>
      </c>
      <c r="CD17" s="19">
        <f>'P&amp;L - Inputs'!CC685</f>
        <v>0</v>
      </c>
      <c r="CE17" s="19">
        <f>'P&amp;L - Inputs'!CD685</f>
        <v>0</v>
      </c>
      <c r="CF17" s="19">
        <f>'P&amp;L - Inputs'!CE685</f>
        <v>0</v>
      </c>
      <c r="CG17" s="19">
        <f>'P&amp;L - Inputs'!CF685</f>
        <v>0</v>
      </c>
      <c r="CH17" s="19">
        <f>'P&amp;L - Inputs'!CG685</f>
        <v>0</v>
      </c>
      <c r="CI17" s="19">
        <f>'P&amp;L - Inputs'!CH685</f>
        <v>0</v>
      </c>
      <c r="CJ17" s="19">
        <f>'P&amp;L - Inputs'!CI685</f>
        <v>0</v>
      </c>
      <c r="CK17" s="19">
        <f>'P&amp;L - Inputs'!CJ685</f>
        <v>0</v>
      </c>
      <c r="CL17" s="19">
        <f>'P&amp;L - Inputs'!CK685</f>
        <v>0</v>
      </c>
      <c r="CM17" s="19">
        <f>'P&amp;L - Inputs'!CL685</f>
        <v>0</v>
      </c>
      <c r="CN17" s="19">
        <f>'P&amp;L - Inputs'!CM685</f>
        <v>0</v>
      </c>
      <c r="CO17" s="19">
        <f>'P&amp;L - Inputs'!CN685</f>
        <v>0</v>
      </c>
      <c r="CP17" s="19">
        <f>'P&amp;L - Inputs'!CO685</f>
        <v>0</v>
      </c>
      <c r="CQ17" s="19">
        <f>'P&amp;L - Inputs'!CP685</f>
        <v>0</v>
      </c>
      <c r="CR17" s="19">
        <f>'P&amp;L - Inputs'!CQ685</f>
        <v>0</v>
      </c>
      <c r="CS17" s="19">
        <f>'P&amp;L - Inputs'!CR685</f>
        <v>0</v>
      </c>
      <c r="CT17" s="19">
        <f>'P&amp;L - Inputs'!CS685</f>
        <v>0</v>
      </c>
      <c r="CU17" s="19">
        <f>'P&amp;L - Inputs'!CT685</f>
        <v>0</v>
      </c>
      <c r="CV17" s="19">
        <f>'P&amp;L - Inputs'!CU685</f>
        <v>0</v>
      </c>
      <c r="CW17" s="19">
        <f>'P&amp;L - Inputs'!CV685</f>
        <v>0</v>
      </c>
      <c r="CX17" s="19">
        <f>'P&amp;L - Inputs'!CW685</f>
        <v>0</v>
      </c>
      <c r="CY17" s="19">
        <f>'P&amp;L - Inputs'!CX685</f>
        <v>0</v>
      </c>
      <c r="CZ17" s="19">
        <f>'P&amp;L - Inputs'!CY685</f>
        <v>0</v>
      </c>
      <c r="DA17" s="19">
        <f>'P&amp;L - Inputs'!CZ685</f>
        <v>0</v>
      </c>
      <c r="DB17" s="19">
        <f>'P&amp;L - Inputs'!DA685</f>
        <v>0</v>
      </c>
      <c r="DC17" s="19">
        <f>'P&amp;L - Inputs'!DB685</f>
        <v>0</v>
      </c>
      <c r="DD17" s="19">
        <f>'P&amp;L - Inputs'!DC685</f>
        <v>0</v>
      </c>
      <c r="DE17" s="19">
        <f>'P&amp;L - Inputs'!DD685</f>
        <v>0</v>
      </c>
      <c r="DF17" s="19">
        <f>'P&amp;L - Inputs'!DE685</f>
        <v>0</v>
      </c>
      <c r="DG17" s="19">
        <f>'P&amp;L - Inputs'!DF685</f>
        <v>0</v>
      </c>
      <c r="DH17" s="19">
        <f>'P&amp;L - Inputs'!DG685</f>
        <v>0</v>
      </c>
      <c r="DI17" s="19">
        <f>'P&amp;L - Inputs'!DH685</f>
        <v>0</v>
      </c>
      <c r="DJ17" s="19">
        <f>'P&amp;L - Inputs'!DI685</f>
        <v>0</v>
      </c>
      <c r="DK17" s="19">
        <f>'P&amp;L - Inputs'!DJ685</f>
        <v>0</v>
      </c>
      <c r="DL17" s="19">
        <f>'P&amp;L - Inputs'!DK685</f>
        <v>0</v>
      </c>
      <c r="DM17" s="19">
        <f>'P&amp;L - Inputs'!DL685</f>
        <v>0</v>
      </c>
      <c r="DN17" s="19">
        <f>'P&amp;L - Inputs'!DM685</f>
        <v>0</v>
      </c>
      <c r="DO17" s="19">
        <f>'P&amp;L - Inputs'!DN685</f>
        <v>0</v>
      </c>
      <c r="DP17" s="19">
        <f>'P&amp;L - Inputs'!DO685</f>
        <v>0</v>
      </c>
      <c r="DQ17" s="19">
        <f>'P&amp;L - Inputs'!DP685</f>
        <v>0</v>
      </c>
      <c r="DR17" s="19">
        <f>'P&amp;L - Inputs'!DQ685</f>
        <v>0</v>
      </c>
      <c r="DS17" s="19">
        <f>'P&amp;L - Inputs'!DR685</f>
        <v>0</v>
      </c>
      <c r="DT17" s="19">
        <f>'P&amp;L - Inputs'!DS685</f>
        <v>0</v>
      </c>
      <c r="DU17" s="19">
        <f>'P&amp;L - Inputs'!DT685</f>
        <v>0</v>
      </c>
      <c r="DV17" s="19">
        <f>'P&amp;L - Inputs'!DU685</f>
        <v>0</v>
      </c>
      <c r="DW17" s="19">
        <f>'P&amp;L - Inputs'!DV685</f>
        <v>0</v>
      </c>
      <c r="DX17" s="19">
        <f>'P&amp;L - Inputs'!DW685</f>
        <v>0</v>
      </c>
      <c r="DY17" s="19">
        <f>'P&amp;L - Inputs'!DX685</f>
        <v>0</v>
      </c>
      <c r="DZ17" s="19">
        <f>'P&amp;L - Inputs'!DY685</f>
        <v>0</v>
      </c>
      <c r="EA17" s="19">
        <f>'P&amp;L - Inputs'!DZ685</f>
        <v>0</v>
      </c>
      <c r="EB17" s="19">
        <f>'P&amp;L - Inputs'!EA685</f>
        <v>0</v>
      </c>
      <c r="EC17" s="19">
        <f>'P&amp;L - Inputs'!EB685</f>
        <v>0</v>
      </c>
      <c r="ED17" s="19">
        <f>'P&amp;L - Inputs'!EC685</f>
        <v>0</v>
      </c>
      <c r="EE17" s="168"/>
      <c r="EF17" s="165">
        <f t="shared" si="96"/>
        <v>0</v>
      </c>
      <c r="EG17" s="165">
        <f t="shared" si="97"/>
        <v>0</v>
      </c>
      <c r="EH17" s="165">
        <f t="shared" si="98"/>
        <v>0</v>
      </c>
      <c r="EI17" s="165">
        <f t="shared" si="99"/>
        <v>0</v>
      </c>
      <c r="EJ17" s="165">
        <f t="shared" si="100"/>
        <v>0</v>
      </c>
      <c r="EK17" s="165">
        <f t="shared" si="101"/>
        <v>0</v>
      </c>
      <c r="EL17" s="165">
        <f t="shared" si="102"/>
        <v>0</v>
      </c>
      <c r="EM17" s="165">
        <f t="shared" si="103"/>
        <v>0</v>
      </c>
      <c r="EN17" s="165">
        <f t="shared" si="104"/>
        <v>0</v>
      </c>
      <c r="EO17" s="165">
        <f t="shared" si="105"/>
        <v>0</v>
      </c>
      <c r="EP17" s="165">
        <f t="shared" si="106"/>
        <v>0</v>
      </c>
      <c r="EQ17" s="165">
        <f t="shared" si="107"/>
        <v>0</v>
      </c>
      <c r="ER17" s="165">
        <f t="shared" si="108"/>
        <v>0</v>
      </c>
      <c r="ES17" s="165">
        <f t="shared" si="109"/>
        <v>0</v>
      </c>
      <c r="ET17" s="165">
        <f t="shared" si="110"/>
        <v>0</v>
      </c>
      <c r="EU17" s="165">
        <f t="shared" si="111"/>
        <v>0</v>
      </c>
      <c r="EV17" s="165">
        <f t="shared" si="112"/>
        <v>0</v>
      </c>
      <c r="EW17" s="165">
        <f t="shared" si="113"/>
        <v>0</v>
      </c>
      <c r="EX17" s="165">
        <f t="shared" si="114"/>
        <v>0</v>
      </c>
      <c r="EY17" s="165">
        <f t="shared" si="115"/>
        <v>0</v>
      </c>
      <c r="EZ17" s="165">
        <f t="shared" si="83"/>
        <v>0</v>
      </c>
      <c r="FA17" s="165">
        <f t="shared" si="84"/>
        <v>0</v>
      </c>
      <c r="FB17" s="165">
        <f t="shared" si="85"/>
        <v>0</v>
      </c>
      <c r="FC17" s="165">
        <f t="shared" si="86"/>
        <v>0</v>
      </c>
      <c r="FE17" s="165">
        <f t="shared" si="87"/>
        <v>0</v>
      </c>
      <c r="FF17" s="165">
        <f t="shared" si="88"/>
        <v>0</v>
      </c>
      <c r="FG17" s="165">
        <f t="shared" si="89"/>
        <v>0</v>
      </c>
      <c r="FH17" s="165">
        <f t="shared" si="90"/>
        <v>0</v>
      </c>
      <c r="FI17" s="165">
        <f t="shared" si="91"/>
        <v>0</v>
      </c>
      <c r="FJ17" s="165">
        <f t="shared" si="92"/>
        <v>0</v>
      </c>
    </row>
    <row r="18" spans="2:166" x14ac:dyDescent="0.2">
      <c r="B18" s="155" t="s">
        <v>228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f>'D2C Online'!C22</f>
        <v>0</v>
      </c>
      <c r="M18" s="19">
        <f>'D2C Online'!D22</f>
        <v>10</v>
      </c>
      <c r="N18" s="19">
        <f>'D2C Online'!E22</f>
        <v>4</v>
      </c>
      <c r="O18" s="19">
        <f>'D2C Online'!F22</f>
        <v>0</v>
      </c>
      <c r="P18" s="19">
        <f>'D2C Online'!G22</f>
        <v>3</v>
      </c>
      <c r="Q18" s="19">
        <f>'D2C Online'!H22</f>
        <v>69</v>
      </c>
      <c r="R18" s="19">
        <f>'D2C Online'!I22</f>
        <v>31</v>
      </c>
      <c r="S18" s="19">
        <f>'D2C Online'!J22</f>
        <v>14</v>
      </c>
      <c r="T18" s="19">
        <f>'D2C Online'!K22</f>
        <v>321</v>
      </c>
      <c r="U18" s="19">
        <f>'D2C Online'!L22</f>
        <v>28</v>
      </c>
      <c r="V18" s="19">
        <f>'D2C Online'!M22</f>
        <v>354</v>
      </c>
      <c r="W18" s="19">
        <f>'D2C Online'!N22</f>
        <v>129</v>
      </c>
      <c r="X18" s="19">
        <f>'D2C Online'!O22</f>
        <v>228</v>
      </c>
      <c r="Y18" s="19">
        <f>'D2C Online'!P22</f>
        <v>2025</v>
      </c>
      <c r="Z18" s="19">
        <f>'D2C Online'!Q22</f>
        <v>702</v>
      </c>
      <c r="AA18" s="19">
        <f>'D2C Online'!R22</f>
        <v>233</v>
      </c>
      <c r="AB18" s="19">
        <f>'D2C Online'!S22</f>
        <v>498</v>
      </c>
      <c r="AC18" s="19">
        <f>'D2C Online'!T22</f>
        <v>486</v>
      </c>
      <c r="AD18" s="19">
        <f>'D2C Online'!U22</f>
        <v>271</v>
      </c>
      <c r="AE18" s="19">
        <f>'D2C Online'!V22</f>
        <v>363</v>
      </c>
      <c r="AF18" s="19">
        <f>'D2C Online'!W22</f>
        <v>457</v>
      </c>
      <c r="AG18" s="19">
        <f>'D2C Online'!X22</f>
        <v>732</v>
      </c>
      <c r="AH18" s="19">
        <f>'D2C Online'!Y22</f>
        <v>499</v>
      </c>
      <c r="AI18" s="19">
        <f>'D2C Online'!Z22</f>
        <v>940</v>
      </c>
      <c r="AJ18" s="19">
        <f>'D2C Online'!AA22</f>
        <v>1546</v>
      </c>
      <c r="AK18" s="19">
        <f>'D2C Online'!AB22</f>
        <v>1107</v>
      </c>
      <c r="AL18" s="19">
        <f>'D2C Online'!AC22</f>
        <v>1782</v>
      </c>
      <c r="AM18" s="19">
        <f>'D2C Online'!AD22</f>
        <v>866</v>
      </c>
      <c r="AN18" s="19">
        <f>'D2C Online'!AE22</f>
        <v>399</v>
      </c>
      <c r="AO18" s="19">
        <f>'D2C Online'!AF22</f>
        <v>547</v>
      </c>
      <c r="AP18" s="19">
        <f>'D2C Online'!AG22</f>
        <v>676</v>
      </c>
      <c r="AQ18" s="19">
        <f>'D2C Online'!AH22</f>
        <v>371</v>
      </c>
      <c r="AR18" s="19">
        <f>'D2C Online'!AI22</f>
        <v>398</v>
      </c>
      <c r="AS18" s="19">
        <f>'D2C Online'!AJ22</f>
        <v>734</v>
      </c>
      <c r="AT18" s="19">
        <f>'D2C Online'!AK22</f>
        <v>1102</v>
      </c>
      <c r="AU18" s="19">
        <f>'D2C Online'!AL22</f>
        <v>2111</v>
      </c>
      <c r="AV18" s="19">
        <f>'D2C Online'!AM22</f>
        <v>2018</v>
      </c>
      <c r="AW18" s="19">
        <f>'D2C Online'!AN22</f>
        <v>1448</v>
      </c>
      <c r="AX18" s="19">
        <f>'D2C Online'!AO22</f>
        <v>1422</v>
      </c>
      <c r="AY18" s="19">
        <f>'D2C Online'!AP22</f>
        <v>660</v>
      </c>
      <c r="AZ18" s="19">
        <f>'D2C Online'!AQ22</f>
        <v>1486</v>
      </c>
      <c r="BA18" s="19">
        <f>'D2C Online'!AR22</f>
        <v>1178</v>
      </c>
      <c r="BB18" s="19">
        <f>'D2C Online'!AS22</f>
        <v>1399</v>
      </c>
      <c r="BC18" s="19">
        <f>'D2C Online'!AT22</f>
        <v>1548</v>
      </c>
      <c r="BD18" s="19">
        <f>'D2C Online'!AU22</f>
        <v>1833</v>
      </c>
      <c r="BE18" s="19">
        <f>'D2C Online'!AV22</f>
        <v>1731</v>
      </c>
      <c r="BF18" s="19">
        <f>'D2C Online'!AW22</f>
        <v>1776</v>
      </c>
      <c r="BG18" s="19">
        <f>'D2C Online'!AX22</f>
        <v>1999</v>
      </c>
      <c r="BH18" s="19">
        <f>'D2C Online'!AY22</f>
        <v>1283</v>
      </c>
      <c r="BI18" s="19">
        <f>'D2C Online'!AZ22</f>
        <v>1505</v>
      </c>
      <c r="BJ18" s="19">
        <f>'D2C Online'!BA22</f>
        <v>3507</v>
      </c>
      <c r="BK18" s="19">
        <f>'D2C Online'!BB22</f>
        <v>3436</v>
      </c>
      <c r="BL18" s="19">
        <f>'D2C Online'!BC22</f>
        <v>3186</v>
      </c>
      <c r="BM18" s="19">
        <f>'D2C Online'!BD22</f>
        <v>3037</v>
      </c>
      <c r="BN18" s="19">
        <f>'D2C Online'!BE22</f>
        <v>4278</v>
      </c>
      <c r="BO18" s="19">
        <f>'D2C Online'!BF22</f>
        <v>3263</v>
      </c>
      <c r="BP18" s="19">
        <f>'D2C Online'!BG22</f>
        <v>4017</v>
      </c>
      <c r="BQ18" s="19">
        <f>'D2C Online'!BH22</f>
        <v>4821</v>
      </c>
      <c r="BR18" s="19">
        <f>'D2C Online'!BI22</f>
        <v>3884</v>
      </c>
      <c r="BS18" s="19">
        <f>'D2C Online'!BJ22</f>
        <v>3125</v>
      </c>
      <c r="BT18" s="19">
        <f>'D2C Online'!BK22</f>
        <v>3088</v>
      </c>
      <c r="BU18" s="19">
        <f>'D2C Online'!BL22</f>
        <v>3463</v>
      </c>
      <c r="BV18" s="19">
        <f>'D2C Online'!BM22</f>
        <v>2665</v>
      </c>
      <c r="BW18" s="19">
        <f>'D2C Online'!BN22</f>
        <v>3125</v>
      </c>
      <c r="BX18" s="19">
        <f>'D2C Online'!BO22</f>
        <v>3252</v>
      </c>
      <c r="BY18" s="19">
        <f>'D2C Online'!BP22</f>
        <v>3104</v>
      </c>
      <c r="BZ18" s="19">
        <f>'D2C Online'!BQ22</f>
        <v>3405</v>
      </c>
      <c r="CA18" s="19">
        <f>'D2C Online'!BR22</f>
        <v>3475</v>
      </c>
      <c r="CB18" s="19">
        <f>'D2C Online'!BS22</f>
        <v>3502</v>
      </c>
      <c r="CC18" s="19">
        <f>'D2C Online'!BT22</f>
        <v>3115</v>
      </c>
      <c r="CD18" s="19">
        <f>'D2C Online'!BU22</f>
        <v>3002</v>
      </c>
      <c r="CE18" s="19">
        <f>'D2C Online'!BV22</f>
        <v>2802</v>
      </c>
      <c r="CF18" s="19">
        <f>'D2C Online'!BW22</f>
        <v>3487</v>
      </c>
      <c r="CG18" s="19">
        <f>'D2C Online'!BX22</f>
        <v>3516</v>
      </c>
      <c r="CH18" s="19">
        <f>'D2C Online'!BY22</f>
        <v>4589</v>
      </c>
      <c r="CI18" s="19">
        <f>'D2C Online'!BZ22</f>
        <v>4992</v>
      </c>
      <c r="CJ18" s="19">
        <f>'D2C Online'!CA22</f>
        <v>4733</v>
      </c>
      <c r="CK18" s="19">
        <f>'D2C Online'!CB22</f>
        <v>4569.7142857142853</v>
      </c>
      <c r="CL18" s="19">
        <f>'D2C Online'!CC22</f>
        <v>4262</v>
      </c>
      <c r="CM18" s="19">
        <f>'D2C Online'!CD22</f>
        <v>4271</v>
      </c>
      <c r="CN18" s="19">
        <f>'D2C Online'!CE22</f>
        <v>2442</v>
      </c>
      <c r="CO18" s="19">
        <f>'D2C Online'!CF22</f>
        <v>4688</v>
      </c>
      <c r="CP18" s="19">
        <f>'D2C Online'!CG22</f>
        <v>4369</v>
      </c>
      <c r="CQ18" s="19">
        <f>'D2C Online'!CH22</f>
        <v>5001</v>
      </c>
      <c r="CR18" s="19">
        <f>'D2C Online'!CI22</f>
        <v>5033</v>
      </c>
      <c r="CS18" s="19">
        <f>'D2C Online'!CJ22</f>
        <v>4576</v>
      </c>
      <c r="CT18" s="19">
        <f>'D2C Online'!CK22</f>
        <v>4758</v>
      </c>
      <c r="CU18" s="19">
        <f>'D2C Online'!CL22</f>
        <v>4337.9125566961093</v>
      </c>
      <c r="CV18" s="19">
        <f>'D2C Online'!CM22</f>
        <v>4382.0623442349006</v>
      </c>
      <c r="CW18" s="19">
        <f>'D2C Online'!CN22</f>
        <v>4378.9274480783006</v>
      </c>
      <c r="CX18" s="19">
        <f>'D2C Online'!CO22</f>
        <v>4445.0215087132965</v>
      </c>
      <c r="CY18" s="19">
        <f>'D2C Online'!CP22</f>
        <v>4188.482506564812</v>
      </c>
      <c r="CZ18" s="19">
        <f>'D2C Online'!CQ22</f>
        <v>4581.9119742181902</v>
      </c>
      <c r="DA18" s="19">
        <f>'D2C Online'!CR22</f>
        <v>4455.2099212222483</v>
      </c>
      <c r="DB18" s="19">
        <f>'D2C Online'!CS22</f>
        <v>4465.6595750775841</v>
      </c>
      <c r="DC18" s="19">
        <f>'D2C Online'!CT22</f>
        <v>5481.6271711625677</v>
      </c>
      <c r="DD18" s="19">
        <f>'D2C Online'!CU22</f>
        <v>5906.4056003819524</v>
      </c>
      <c r="DE18" s="19">
        <f>'D2C Online'!CV22</f>
        <v>5063.6410169491519</v>
      </c>
      <c r="DF18" s="19">
        <f>'D2C Online'!CW22</f>
        <v>5471.6999999999989</v>
      </c>
      <c r="DG18" s="19">
        <f>'D2C Online'!CX22</f>
        <v>4988.5994402005254</v>
      </c>
      <c r="DH18" s="19">
        <f>'D2C Online'!CY22</f>
        <v>5039.3716958701361</v>
      </c>
      <c r="DI18" s="19">
        <f>'D2C Online'!CZ22</f>
        <v>5035.7665652900459</v>
      </c>
      <c r="DJ18" s="19">
        <f>'D2C Online'!DA22</f>
        <v>5111.7747350202917</v>
      </c>
      <c r="DK18" s="19">
        <f>'D2C Online'!DB22</f>
        <v>4816.7548825495342</v>
      </c>
      <c r="DL18" s="19">
        <f>'D2C Online'!DC22</f>
        <v>5269.1987703509185</v>
      </c>
      <c r="DM18" s="19">
        <f>'D2C Online'!DD22</f>
        <v>5123.4914094055857</v>
      </c>
      <c r="DN18" s="19">
        <f>'D2C Online'!DE22</f>
        <v>5135.5085113392215</v>
      </c>
      <c r="DO18" s="19">
        <f>'D2C Online'!DF22</f>
        <v>6303.871246836954</v>
      </c>
      <c r="DP18" s="19">
        <f>'D2C Online'!DG22</f>
        <v>6792.3664404392457</v>
      </c>
      <c r="DQ18" s="19">
        <f>'D2C Online'!DH22</f>
        <v>5823.1871694915253</v>
      </c>
      <c r="DR18" s="19">
        <f>'D2C Online'!DI22</f>
        <v>6292.454999999999</v>
      </c>
      <c r="DS18" s="19">
        <f>'D2C Online'!DJ22</f>
        <v>5736.8893562306039</v>
      </c>
      <c r="DT18" s="19">
        <f>'D2C Online'!DK22</f>
        <v>5795.2774502506563</v>
      </c>
      <c r="DU18" s="19">
        <f>'D2C Online'!DL22</f>
        <v>5791.1315500835526</v>
      </c>
      <c r="DV18" s="19">
        <f>'D2C Online'!DM22</f>
        <v>5878.5409452733347</v>
      </c>
      <c r="DW18" s="19">
        <f>'D2C Online'!DN22</f>
        <v>5539.2681149319642</v>
      </c>
      <c r="DX18" s="19">
        <f>'D2C Online'!DO22</f>
        <v>6059.5785859035559</v>
      </c>
      <c r="DY18" s="19">
        <f>'D2C Online'!DP22</f>
        <v>5892.0151208164234</v>
      </c>
      <c r="DZ18" s="19">
        <f>'D2C Online'!DQ22</f>
        <v>5905.8347880401043</v>
      </c>
      <c r="EA18" s="19">
        <f>'D2C Online'!DR22</f>
        <v>7249.4519338624959</v>
      </c>
      <c r="EB18" s="19">
        <f>'D2C Online'!DS22</f>
        <v>7811.2214065051312</v>
      </c>
      <c r="EC18" s="19">
        <f>'D2C Online'!DT22</f>
        <v>6696.6652449152534</v>
      </c>
      <c r="ED18" s="19">
        <f>'D2C Online'!DU22</f>
        <v>7236.3232499999986</v>
      </c>
      <c r="EE18" s="168"/>
      <c r="EF18" s="165">
        <f t="shared" si="96"/>
        <v>9659</v>
      </c>
      <c r="EG18" s="165">
        <f t="shared" si="97"/>
        <v>11558</v>
      </c>
      <c r="EH18" s="165">
        <f t="shared" si="98"/>
        <v>11830</v>
      </c>
      <c r="EI18" s="165">
        <f t="shared" si="99"/>
        <v>9216</v>
      </c>
      <c r="EJ18" s="165">
        <f t="shared" si="100"/>
        <v>9481</v>
      </c>
      <c r="EK18" s="165">
        <f t="shared" si="101"/>
        <v>10975</v>
      </c>
      <c r="EL18" s="165">
        <f t="shared" si="102"/>
        <v>8919</v>
      </c>
      <c r="EM18" s="165">
        <f t="shared" si="103"/>
        <v>11592</v>
      </c>
      <c r="EN18" s="165">
        <f t="shared" si="104"/>
        <v>14294.714285714286</v>
      </c>
      <c r="EO18" s="165">
        <f t="shared" si="105"/>
        <v>10975</v>
      </c>
      <c r="EP18" s="165">
        <f t="shared" si="106"/>
        <v>14058</v>
      </c>
      <c r="EQ18" s="165">
        <f t="shared" si="107"/>
        <v>14367</v>
      </c>
      <c r="ER18" s="165">
        <f t="shared" si="108"/>
        <v>13098.902349009311</v>
      </c>
      <c r="ES18" s="165">
        <f t="shared" si="109"/>
        <v>13215.415989496298</v>
      </c>
      <c r="ET18" s="165">
        <f t="shared" si="110"/>
        <v>14402.496667462401</v>
      </c>
      <c r="EU18" s="165">
        <f t="shared" si="111"/>
        <v>16441.746617331104</v>
      </c>
      <c r="EV18" s="165">
        <f t="shared" si="112"/>
        <v>15063.737701360707</v>
      </c>
      <c r="EW18" s="165">
        <f t="shared" si="113"/>
        <v>15197.728387920744</v>
      </c>
      <c r="EX18" s="165">
        <f t="shared" si="114"/>
        <v>16562.871167581761</v>
      </c>
      <c r="EY18" s="165">
        <f t="shared" si="115"/>
        <v>18908.00860993077</v>
      </c>
      <c r="EZ18" s="165">
        <f t="shared" si="83"/>
        <v>17323.298356564814</v>
      </c>
      <c r="FA18" s="165">
        <f t="shared" si="84"/>
        <v>17477.387646108855</v>
      </c>
      <c r="FB18" s="165">
        <f t="shared" si="85"/>
        <v>19047.301842719025</v>
      </c>
      <c r="FC18" s="165">
        <f t="shared" si="86"/>
        <v>21744.209901420381</v>
      </c>
      <c r="FE18" s="165">
        <f t="shared" si="87"/>
        <v>42263</v>
      </c>
      <c r="FF18" s="165">
        <f t="shared" si="88"/>
        <v>40967</v>
      </c>
      <c r="FG18" s="165">
        <f t="shared" si="89"/>
        <v>53694.71428571429</v>
      </c>
      <c r="FH18" s="165">
        <f t="shared" si="90"/>
        <v>57158.561623299116</v>
      </c>
      <c r="FI18" s="165">
        <f t="shared" si="91"/>
        <v>65732.345866793985</v>
      </c>
      <c r="FJ18" s="165">
        <f t="shared" si="92"/>
        <v>75592.197746813079</v>
      </c>
    </row>
    <row r="19" spans="2:166" x14ac:dyDescent="0.2">
      <c r="B19" s="155" t="s">
        <v>229</v>
      </c>
      <c r="C19" s="174">
        <v>0</v>
      </c>
      <c r="D19" s="174">
        <v>0</v>
      </c>
      <c r="E19" s="174">
        <v>0</v>
      </c>
      <c r="F19" s="174">
        <v>0</v>
      </c>
      <c r="G19" s="174">
        <v>0</v>
      </c>
      <c r="H19" s="174">
        <v>0</v>
      </c>
      <c r="I19" s="174">
        <v>0</v>
      </c>
      <c r="J19" s="174">
        <v>0</v>
      </c>
      <c r="K19" s="174">
        <v>0</v>
      </c>
      <c r="L19" s="174">
        <v>0</v>
      </c>
      <c r="M19" s="174">
        <v>0</v>
      </c>
      <c r="N19" s="174">
        <v>0</v>
      </c>
      <c r="O19" s="174">
        <v>0</v>
      </c>
      <c r="P19" s="174">
        <v>0</v>
      </c>
      <c r="Q19" s="174">
        <v>0</v>
      </c>
      <c r="R19" s="174">
        <v>0</v>
      </c>
      <c r="S19" s="174">
        <v>0</v>
      </c>
      <c r="T19" s="174">
        <v>0</v>
      </c>
      <c r="U19" s="174">
        <v>0</v>
      </c>
      <c r="V19" s="174">
        <v>0</v>
      </c>
      <c r="W19" s="174">
        <v>0</v>
      </c>
      <c r="X19" s="174">
        <v>0</v>
      </c>
      <c r="Y19" s="174">
        <v>0</v>
      </c>
      <c r="Z19" s="174">
        <v>0</v>
      </c>
      <c r="AA19" s="174">
        <v>0</v>
      </c>
      <c r="AB19" s="174">
        <v>0</v>
      </c>
      <c r="AC19" s="19">
        <f>'D2C - Retail'!C25</f>
        <v>4</v>
      </c>
      <c r="AD19" s="19">
        <f>'D2C - Retail'!D25</f>
        <v>4</v>
      </c>
      <c r="AE19" s="19">
        <f>'D2C - Retail'!E25</f>
        <v>73</v>
      </c>
      <c r="AF19" s="19">
        <f>'D2C - Retail'!F25</f>
        <v>156</v>
      </c>
      <c r="AG19" s="19">
        <f>'D2C - Retail'!G25</f>
        <v>97</v>
      </c>
      <c r="AH19" s="19">
        <f>'D2C - Retail'!H25</f>
        <v>99</v>
      </c>
      <c r="AI19" s="19">
        <f>'D2C - Retail'!I25</f>
        <v>116</v>
      </c>
      <c r="AJ19" s="19">
        <f>'D2C - Retail'!J25</f>
        <v>131</v>
      </c>
      <c r="AK19" s="19">
        <f>'D2C - Retail'!K25</f>
        <v>255</v>
      </c>
      <c r="AL19" s="19">
        <f>'D2C - Retail'!L25</f>
        <v>175</v>
      </c>
      <c r="AM19" s="19">
        <f>'D2C - Retail'!M25</f>
        <v>184</v>
      </c>
      <c r="AN19" s="19">
        <f>'D2C - Retail'!N25</f>
        <v>4</v>
      </c>
      <c r="AO19" s="19">
        <f>'D2C - Retail'!O25</f>
        <v>156</v>
      </c>
      <c r="AP19" s="19">
        <f>'D2C - Retail'!P25</f>
        <v>207</v>
      </c>
      <c r="AQ19" s="19">
        <f>'D2C - Retail'!Q25</f>
        <v>270</v>
      </c>
      <c r="AR19" s="19">
        <f>'D2C - Retail'!R25</f>
        <v>386</v>
      </c>
      <c r="AS19" s="19">
        <f>'D2C - Retail'!S25</f>
        <v>356</v>
      </c>
      <c r="AT19" s="19">
        <f>'D2C - Retail'!T25</f>
        <v>642</v>
      </c>
      <c r="AU19" s="19">
        <f>'D2C - Retail'!U25</f>
        <v>851</v>
      </c>
      <c r="AV19" s="19">
        <f>'D2C - Retail'!V25</f>
        <v>875</v>
      </c>
      <c r="AW19" s="19">
        <f>'D2C - Retail'!W25</f>
        <v>880</v>
      </c>
      <c r="AX19" s="19">
        <f>'D2C - Retail'!X25</f>
        <v>876</v>
      </c>
      <c r="AY19" s="19">
        <f>'D2C - Retail'!Y25</f>
        <v>703</v>
      </c>
      <c r="AZ19" s="19">
        <f>'D2C - Retail'!Z25</f>
        <v>819</v>
      </c>
      <c r="BA19" s="19">
        <f>'D2C - Retail'!AA25</f>
        <v>887</v>
      </c>
      <c r="BB19" s="19">
        <f>'D2C - Retail'!AB25</f>
        <v>646</v>
      </c>
      <c r="BC19" s="19">
        <f>'D2C - Retail'!AC25</f>
        <v>590</v>
      </c>
      <c r="BD19" s="19">
        <f>'D2C - Retail'!AD25</f>
        <v>545</v>
      </c>
      <c r="BE19" s="19">
        <f>'D2C - Retail'!AE25</f>
        <v>534</v>
      </c>
      <c r="BF19" s="19">
        <f>'D2C - Retail'!AF25</f>
        <v>438</v>
      </c>
      <c r="BG19" s="19">
        <f>'D2C - Retail'!AG25</f>
        <v>592</v>
      </c>
      <c r="BH19" s="19">
        <f>'D2C - Retail'!AH25</f>
        <v>529</v>
      </c>
      <c r="BI19" s="19">
        <f>'D2C - Retail'!AI25</f>
        <v>546</v>
      </c>
      <c r="BJ19" s="19">
        <f>'D2C - Retail'!AJ25</f>
        <v>721</v>
      </c>
      <c r="BK19" s="19">
        <f>'D2C - Retail'!AK25</f>
        <v>816</v>
      </c>
      <c r="BL19" s="19">
        <f>'D2C - Retail'!AL25</f>
        <v>899</v>
      </c>
      <c r="BM19" s="19">
        <f>'D2C - Retail'!AM25</f>
        <v>1006</v>
      </c>
      <c r="BN19" s="19">
        <f>'D2C - Retail'!AN25</f>
        <v>1008</v>
      </c>
      <c r="BO19" s="19">
        <f>'D2C - Retail'!AO25</f>
        <v>1012</v>
      </c>
      <c r="BP19" s="19">
        <f>'D2C - Retail'!AP25</f>
        <v>993</v>
      </c>
      <c r="BQ19" s="19">
        <f>'D2C - Retail'!AQ25</f>
        <v>1106</v>
      </c>
      <c r="BR19" s="19">
        <f>'D2C - Retail'!AR25</f>
        <v>865</v>
      </c>
      <c r="BS19" s="19">
        <f>'D2C - Retail'!AS25</f>
        <v>832</v>
      </c>
      <c r="BT19" s="19">
        <f>'D2C - Retail'!AT25</f>
        <v>753</v>
      </c>
      <c r="BU19" s="19">
        <f>'D2C - Retail'!AU25</f>
        <v>739</v>
      </c>
      <c r="BV19" s="19">
        <f>'D2C - Retail'!AV25</f>
        <v>933</v>
      </c>
      <c r="BW19" s="19">
        <f>'D2C - Retail'!AW25</f>
        <v>919</v>
      </c>
      <c r="BX19" s="19">
        <f>'D2C - Retail'!AX25</f>
        <v>887</v>
      </c>
      <c r="BY19" s="19">
        <f>'D2C - Retail'!AY25</f>
        <v>876</v>
      </c>
      <c r="BZ19" s="19">
        <f>'D2C - Retail'!AZ25</f>
        <v>1074</v>
      </c>
      <c r="CA19" s="19">
        <f>'D2C - Retail'!BA25</f>
        <v>861</v>
      </c>
      <c r="CB19" s="19">
        <f>'D2C - Retail'!BB25</f>
        <v>925</v>
      </c>
      <c r="CC19" s="19">
        <f>'D2C - Retail'!BC25</f>
        <v>726</v>
      </c>
      <c r="CD19" s="19">
        <f>'D2C - Retail'!BD25</f>
        <v>859</v>
      </c>
      <c r="CE19" s="19">
        <f>'D2C - Retail'!BE25</f>
        <v>991</v>
      </c>
      <c r="CF19" s="19">
        <f>'D2C - Retail'!BF25</f>
        <v>1172</v>
      </c>
      <c r="CG19" s="19">
        <f>'D2C - Retail'!BG25</f>
        <v>1164</v>
      </c>
      <c r="CH19" s="19">
        <f>'D2C - Retail'!BH25</f>
        <v>1227</v>
      </c>
      <c r="CI19" s="19">
        <f>'D2C - Retail'!BI25</f>
        <v>1315</v>
      </c>
      <c r="CJ19" s="19">
        <f>'D2C - Retail'!BJ25</f>
        <v>1411</v>
      </c>
      <c r="CK19" s="19">
        <f>'D2C - Retail'!BK25</f>
        <v>1249</v>
      </c>
      <c r="CL19" s="19">
        <f>'D2C - Retail'!BL25</f>
        <v>1428</v>
      </c>
      <c r="CM19" s="19">
        <f>'D2C - Retail'!BM25</f>
        <v>1207</v>
      </c>
      <c r="CN19" s="19">
        <f>'D2C - Retail'!BN25</f>
        <v>1239</v>
      </c>
      <c r="CO19" s="19">
        <f>'D2C - Retail'!BO25</f>
        <v>1097</v>
      </c>
      <c r="CP19" s="19">
        <f>'D2C - Retail'!BP25</f>
        <v>1109</v>
      </c>
      <c r="CQ19" s="19">
        <f>'D2C - Retail'!BQ25</f>
        <v>1205</v>
      </c>
      <c r="CR19" s="19">
        <f>'D2C - Retail'!BR25</f>
        <v>1429</v>
      </c>
      <c r="CS19" s="19">
        <f>'D2C - Retail'!BS25</f>
        <v>1319</v>
      </c>
      <c r="CT19" s="19">
        <f>'D2C - Retail'!BT25</f>
        <v>1446</v>
      </c>
      <c r="CU19" s="19">
        <f>'D2C - Retail'!BU25</f>
        <v>1569.1135056323556</v>
      </c>
      <c r="CV19" s="19">
        <f>'D2C - Retail'!BV25</f>
        <v>1532.8016838518506</v>
      </c>
      <c r="CW19" s="19">
        <f>'D2C - Retail'!BW25</f>
        <v>1527.6687082534438</v>
      </c>
      <c r="CX19" s="19">
        <f>'D2C - Retail'!BX25</f>
        <v>1664.3007071450268</v>
      </c>
      <c r="CY19" s="19">
        <f>'D2C - Retail'!BY25</f>
        <v>1470.8548236746385</v>
      </c>
      <c r="CZ19" s="19">
        <f>'D2C - Retail'!BZ25</f>
        <v>1353.8044234389597</v>
      </c>
      <c r="DA19" s="19">
        <f>'D2C - Retail'!CA25</f>
        <v>1722.6791595301991</v>
      </c>
      <c r="DB19" s="19">
        <f>'D2C - Retail'!CB25</f>
        <v>1573.6913660069126</v>
      </c>
      <c r="DC19" s="19">
        <f>'D2C - Retail'!CC25</f>
        <v>1897.9720040134996</v>
      </c>
      <c r="DD19" s="19">
        <f>'D2C - Retail'!CD25</f>
        <v>1947.0066669628441</v>
      </c>
      <c r="DE19" s="19">
        <f>'D2C - Retail'!CE25</f>
        <v>1798.7262633390244</v>
      </c>
      <c r="DF19" s="19">
        <f>'D2C - Retail'!CF25</f>
        <v>2114.0382840830766</v>
      </c>
      <c r="DG19" s="19">
        <f>'D2C - Retail'!CG25</f>
        <v>1869.0910875914826</v>
      </c>
      <c r="DH19" s="19">
        <f>'D2C - Retail'!CH25</f>
        <v>1830.740011150554</v>
      </c>
      <c r="DI19" s="19">
        <f>'D2C - Retail'!CI25</f>
        <v>1815.2853477702963</v>
      </c>
      <c r="DJ19" s="19">
        <f>'D2C - Retail'!CJ25</f>
        <v>1975.762696625025</v>
      </c>
      <c r="DK19" s="19">
        <f>'D2C - Retail'!CK25</f>
        <v>1743.6746700013864</v>
      </c>
      <c r="DL19" s="19">
        <f>'D2C - Retail'!CL25</f>
        <v>1602.0019010694361</v>
      </c>
      <c r="DM19" s="19">
        <f>'D2C - Retail'!CM25</f>
        <v>2029.5737735803627</v>
      </c>
      <c r="DN19" s="19">
        <f>'D2C - Retail'!CN25</f>
        <v>1845.2602846154991</v>
      </c>
      <c r="DO19" s="19">
        <f>'D2C - Retail'!CO25</f>
        <v>2216.010556037384</v>
      </c>
      <c r="DP19" s="19">
        <f>'D2C - Retail'!CP25</f>
        <v>2263.6749926815141</v>
      </c>
      <c r="DQ19" s="19">
        <f>'D2C - Retail'!CQ25</f>
        <v>2081.8212491031777</v>
      </c>
      <c r="DR19" s="19">
        <f>'D2C - Retail'!CR25</f>
        <v>2418.5229026114598</v>
      </c>
      <c r="DS19" s="19">
        <f>'D2C - Retail'!CS25</f>
        <v>2136.9941434795951</v>
      </c>
      <c r="DT19" s="19">
        <f>'D2C - Retail'!CT25</f>
        <v>2091.2683973527487</v>
      </c>
      <c r="DU19" s="19">
        <f>'D2C - Retail'!CU25</f>
        <v>2072.3957633908531</v>
      </c>
      <c r="DV19" s="19">
        <f>'D2C - Retail'!CV25</f>
        <v>2254.2953078279397</v>
      </c>
      <c r="DW19" s="19">
        <f>'D2C - Retail'!CW25</f>
        <v>1987.7891238015809</v>
      </c>
      <c r="DX19" s="19">
        <f>'D2C - Retail'!CX25</f>
        <v>1824.2514605839988</v>
      </c>
      <c r="DY19" s="19">
        <f>'D2C - Retail'!CY25</f>
        <v>2310.5095117128026</v>
      </c>
      <c r="DZ19" s="19">
        <f>'D2C - Retail'!CZ25</f>
        <v>2099.5461531051956</v>
      </c>
      <c r="EA19" s="19">
        <f>'D2C - Retail'!DA25</f>
        <v>2520.7120074925242</v>
      </c>
      <c r="EB19" s="19">
        <f>'D2C - Retail'!DB25</f>
        <v>2574.2449354490641</v>
      </c>
      <c r="EC19" s="19">
        <f>'D2C - Retail'!DC25</f>
        <v>2366.193739315725</v>
      </c>
      <c r="ED19" s="19">
        <f>'D2C - Retail'!DD25</f>
        <v>2748.1708872824743</v>
      </c>
      <c r="EE19" s="168"/>
      <c r="EF19" s="165">
        <f t="shared" si="96"/>
        <v>2721</v>
      </c>
      <c r="EG19" s="165">
        <f t="shared" si="97"/>
        <v>3013</v>
      </c>
      <c r="EH19" s="165">
        <f t="shared" si="98"/>
        <v>2803</v>
      </c>
      <c r="EI19" s="165">
        <f t="shared" si="99"/>
        <v>2425</v>
      </c>
      <c r="EJ19" s="165">
        <f t="shared" si="100"/>
        <v>2682</v>
      </c>
      <c r="EK19" s="165">
        <f t="shared" si="101"/>
        <v>3874</v>
      </c>
      <c r="EL19" s="165">
        <f t="shared" si="102"/>
        <v>2576</v>
      </c>
      <c r="EM19" s="165">
        <f t="shared" si="103"/>
        <v>3563</v>
      </c>
      <c r="EN19" s="165">
        <f t="shared" si="104"/>
        <v>3975</v>
      </c>
      <c r="EO19" s="165">
        <f t="shared" si="105"/>
        <v>3874</v>
      </c>
      <c r="EP19" s="165">
        <f t="shared" si="106"/>
        <v>3411</v>
      </c>
      <c r="EQ19" s="165">
        <f t="shared" si="107"/>
        <v>4194</v>
      </c>
      <c r="ER19" s="165">
        <f t="shared" si="108"/>
        <v>4629.5838977376497</v>
      </c>
      <c r="ES19" s="165">
        <f t="shared" si="109"/>
        <v>4488.9599542586247</v>
      </c>
      <c r="ET19" s="165">
        <f t="shared" si="110"/>
        <v>5194.3425295506113</v>
      </c>
      <c r="EU19" s="165">
        <f t="shared" si="111"/>
        <v>5859.7712143849458</v>
      </c>
      <c r="EV19" s="165">
        <f t="shared" si="112"/>
        <v>5515.1164465123329</v>
      </c>
      <c r="EW19" s="165">
        <f t="shared" si="113"/>
        <v>5321.4392676958478</v>
      </c>
      <c r="EX19" s="165">
        <f t="shared" si="114"/>
        <v>6090.8446142332459</v>
      </c>
      <c r="EY19" s="165">
        <f t="shared" si="115"/>
        <v>6764.0191443961521</v>
      </c>
      <c r="EZ19" s="165">
        <f t="shared" si="83"/>
        <v>6300.6583042231969</v>
      </c>
      <c r="FA19" s="165">
        <f t="shared" si="84"/>
        <v>6066.3358922135194</v>
      </c>
      <c r="FB19" s="165">
        <f t="shared" si="85"/>
        <v>6930.7676723105224</v>
      </c>
      <c r="FC19" s="165">
        <f t="shared" si="86"/>
        <v>7688.6095620472643</v>
      </c>
      <c r="FE19" s="165">
        <f t="shared" si="87"/>
        <v>10962</v>
      </c>
      <c r="FF19" s="165">
        <f t="shared" si="88"/>
        <v>12695</v>
      </c>
      <c r="FG19" s="165">
        <f t="shared" si="89"/>
        <v>15454</v>
      </c>
      <c r="FH19" s="165">
        <f t="shared" si="90"/>
        <v>20172.657595931829</v>
      </c>
      <c r="FI19" s="165">
        <f t="shared" si="91"/>
        <v>23691.419472837581</v>
      </c>
      <c r="FJ19" s="165">
        <f t="shared" si="92"/>
        <v>26986.371430794505</v>
      </c>
    </row>
    <row r="20" spans="2:166" x14ac:dyDescent="0.2">
      <c r="B20" s="15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68"/>
      <c r="EF20" s="165"/>
      <c r="EG20" s="165"/>
      <c r="EH20" s="165"/>
      <c r="EI20" s="165"/>
      <c r="EJ20" s="165"/>
      <c r="EK20" s="165"/>
      <c r="EL20" s="165"/>
      <c r="EM20" s="165"/>
      <c r="EN20" s="165"/>
      <c r="EO20" s="165"/>
      <c r="EP20" s="165"/>
      <c r="EQ20" s="165"/>
      <c r="ER20" s="165"/>
      <c r="ES20" s="165"/>
      <c r="ET20" s="165"/>
      <c r="EU20" s="165"/>
      <c r="EV20" s="165"/>
      <c r="EW20" s="165"/>
      <c r="EX20" s="165"/>
      <c r="EY20" s="165"/>
      <c r="EZ20" s="165">
        <f t="shared" si="83"/>
        <v>0</v>
      </c>
      <c r="FA20" s="165">
        <f t="shared" si="84"/>
        <v>0</v>
      </c>
      <c r="FB20" s="165">
        <f t="shared" si="85"/>
        <v>0</v>
      </c>
      <c r="FC20" s="165">
        <f t="shared" si="86"/>
        <v>0</v>
      </c>
      <c r="FE20" s="165"/>
      <c r="FF20" s="165"/>
      <c r="FG20" s="165"/>
      <c r="FH20" s="165"/>
      <c r="FI20" s="165"/>
      <c r="FJ20" s="165"/>
    </row>
    <row r="21" spans="2:166" s="30" customFormat="1" x14ac:dyDescent="0.2">
      <c r="B21" s="181" t="s">
        <v>10</v>
      </c>
      <c r="C21" s="182">
        <f>SUM(C22:C24)</f>
        <v>6192647</v>
      </c>
      <c r="D21" s="182">
        <f t="shared" ref="D21:BO21" si="116">SUM(D22:D24)</f>
        <v>6767807</v>
      </c>
      <c r="E21" s="182">
        <f t="shared" si="116"/>
        <v>5747560.7689844025</v>
      </c>
      <c r="F21" s="182">
        <f t="shared" si="116"/>
        <v>9331198.8993185107</v>
      </c>
      <c r="G21" s="182">
        <f t="shared" si="116"/>
        <v>7135417.9363709055</v>
      </c>
      <c r="H21" s="182">
        <f t="shared" si="116"/>
        <v>5830125.5643097647</v>
      </c>
      <c r="I21" s="182">
        <f t="shared" si="116"/>
        <v>7326199.0000000009</v>
      </c>
      <c r="J21" s="182">
        <f t="shared" si="116"/>
        <v>9536226</v>
      </c>
      <c r="K21" s="182">
        <f t="shared" si="116"/>
        <v>11404856</v>
      </c>
      <c r="L21" s="182">
        <f t="shared" si="116"/>
        <v>13296972.770714287</v>
      </c>
      <c r="M21" s="182">
        <f t="shared" si="116"/>
        <v>20383278.310714286</v>
      </c>
      <c r="N21" s="182">
        <f t="shared" si="116"/>
        <v>33795612.599285722</v>
      </c>
      <c r="O21" s="182">
        <f t="shared" si="116"/>
        <v>43602740.531428576</v>
      </c>
      <c r="P21" s="182">
        <f t="shared" si="116"/>
        <v>47553838.704642862</v>
      </c>
      <c r="Q21" s="182">
        <f t="shared" si="116"/>
        <v>41912956.475000001</v>
      </c>
      <c r="R21" s="182">
        <f t="shared" si="116"/>
        <v>58596025.079642855</v>
      </c>
      <c r="S21" s="182">
        <f t="shared" si="116"/>
        <v>37652327</v>
      </c>
      <c r="T21" s="182">
        <f t="shared" si="116"/>
        <v>45328626.200000003</v>
      </c>
      <c r="U21" s="182">
        <f t="shared" si="116"/>
        <v>40091328</v>
      </c>
      <c r="V21" s="182">
        <f t="shared" si="116"/>
        <v>17945248</v>
      </c>
      <c r="W21" s="182">
        <f t="shared" si="116"/>
        <v>30219008</v>
      </c>
      <c r="X21" s="182">
        <f t="shared" si="116"/>
        <v>37180654.785471424</v>
      </c>
      <c r="Y21" s="182">
        <f t="shared" si="116"/>
        <v>23280069.623240825</v>
      </c>
      <c r="Z21" s="182">
        <f t="shared" si="116"/>
        <v>24244971.863357142</v>
      </c>
      <c r="AA21" s="182">
        <f t="shared" si="116"/>
        <v>-3099488</v>
      </c>
      <c r="AB21" s="182">
        <f t="shared" si="116"/>
        <v>29744394.104352541</v>
      </c>
      <c r="AC21" s="182">
        <f t="shared" si="116"/>
        <v>28843935.470764291</v>
      </c>
      <c r="AD21" s="182">
        <f t="shared" si="116"/>
        <v>27800228.018400002</v>
      </c>
      <c r="AE21" s="182">
        <f t="shared" si="116"/>
        <v>31243748.260000002</v>
      </c>
      <c r="AF21" s="182">
        <f t="shared" si="116"/>
        <v>37235534.401000001</v>
      </c>
      <c r="AG21" s="182">
        <f t="shared" si="116"/>
        <v>46067414.031000003</v>
      </c>
      <c r="AH21" s="182">
        <f t="shared" si="116"/>
        <v>55667728</v>
      </c>
      <c r="AI21" s="182">
        <f t="shared" si="116"/>
        <v>95343467.050000012</v>
      </c>
      <c r="AJ21" s="182">
        <f t="shared" si="116"/>
        <v>110195528.70999999</v>
      </c>
      <c r="AK21" s="182">
        <f t="shared" si="116"/>
        <v>88109945.949999988</v>
      </c>
      <c r="AL21" s="182">
        <f t="shared" si="116"/>
        <v>90085748.480000108</v>
      </c>
      <c r="AM21" s="182">
        <f t="shared" si="116"/>
        <v>60400075.890000015</v>
      </c>
      <c r="AN21" s="182">
        <f t="shared" si="116"/>
        <v>27013724.799999997</v>
      </c>
      <c r="AO21" s="182">
        <f t="shared" si="116"/>
        <v>61562947.890000038</v>
      </c>
      <c r="AP21" s="182">
        <f t="shared" si="116"/>
        <v>77116410.65000008</v>
      </c>
      <c r="AQ21" s="182">
        <f t="shared" si="116"/>
        <v>90133879.960000128</v>
      </c>
      <c r="AR21" s="182">
        <f t="shared" si="116"/>
        <v>112393244.14000013</v>
      </c>
      <c r="AS21" s="182">
        <f t="shared" si="116"/>
        <v>126561316.94000036</v>
      </c>
      <c r="AT21" s="182">
        <f t="shared" si="116"/>
        <v>164983746.35999984</v>
      </c>
      <c r="AU21" s="182">
        <f t="shared" si="116"/>
        <v>190948408.13999945</v>
      </c>
      <c r="AV21" s="182">
        <f t="shared" si="116"/>
        <v>206055081.93000221</v>
      </c>
      <c r="AW21" s="182">
        <f t="shared" si="116"/>
        <v>208346120.67999631</v>
      </c>
      <c r="AX21" s="182">
        <f t="shared" si="116"/>
        <v>208035686.559995</v>
      </c>
      <c r="AY21" s="182">
        <f t="shared" si="116"/>
        <v>158142634.55999595</v>
      </c>
      <c r="AZ21" s="182">
        <f t="shared" si="116"/>
        <v>191764165.76000482</v>
      </c>
      <c r="BA21" s="182">
        <f t="shared" si="116"/>
        <v>224506384.4399901</v>
      </c>
      <c r="BB21" s="182">
        <f t="shared" si="116"/>
        <v>218114267.30999857</v>
      </c>
      <c r="BC21" s="182">
        <f t="shared" si="116"/>
        <v>205934890.3400054</v>
      </c>
      <c r="BD21" s="182">
        <f t="shared" si="116"/>
        <v>196830864.92948377</v>
      </c>
      <c r="BE21" s="182">
        <f t="shared" si="116"/>
        <v>238832540.28770751</v>
      </c>
      <c r="BF21" s="182">
        <f t="shared" si="116"/>
        <v>247478984.3420319</v>
      </c>
      <c r="BG21" s="182">
        <f t="shared" si="116"/>
        <v>290431420.74414909</v>
      </c>
      <c r="BH21" s="182">
        <f t="shared" si="116"/>
        <v>327744328.17887121</v>
      </c>
      <c r="BI21" s="182">
        <f t="shared" si="116"/>
        <v>349809706.79444808</v>
      </c>
      <c r="BJ21" s="182">
        <f t="shared" si="116"/>
        <v>484834187.80862319</v>
      </c>
      <c r="BK21" s="182">
        <f t="shared" si="116"/>
        <v>488045955.55942798</v>
      </c>
      <c r="BL21" s="182">
        <f t="shared" si="116"/>
        <v>486740557.7096855</v>
      </c>
      <c r="BM21" s="182">
        <f t="shared" si="116"/>
        <v>514293123.67642361</v>
      </c>
      <c r="BN21" s="182">
        <f t="shared" si="116"/>
        <v>414738100.76314175</v>
      </c>
      <c r="BO21" s="182">
        <f t="shared" si="116"/>
        <v>436368009.07490754</v>
      </c>
      <c r="BP21" s="182">
        <f t="shared" ref="BP21:DR21" si="117">SUM(BP22:BP24)</f>
        <v>438127606.50698757</v>
      </c>
      <c r="BQ21" s="182">
        <f t="shared" si="117"/>
        <v>655140468.45114815</v>
      </c>
      <c r="BR21" s="182">
        <f t="shared" si="117"/>
        <v>550478882.38706899</v>
      </c>
      <c r="BS21" s="182">
        <f t="shared" si="117"/>
        <v>492437220.33111715</v>
      </c>
      <c r="BT21" s="182">
        <f t="shared" si="117"/>
        <v>468497166.54165256</v>
      </c>
      <c r="BU21" s="182">
        <f t="shared" si="117"/>
        <v>391086995.87576556</v>
      </c>
      <c r="BV21" s="182">
        <f t="shared" si="117"/>
        <v>504617056.66021729</v>
      </c>
      <c r="BW21" s="182">
        <f t="shared" si="117"/>
        <v>511404555.11941302</v>
      </c>
      <c r="BX21" s="182">
        <f t="shared" si="117"/>
        <v>528382766.45801866</v>
      </c>
      <c r="BY21" s="182">
        <f t="shared" si="117"/>
        <v>557915117.44188285</v>
      </c>
      <c r="BZ21" s="182">
        <f t="shared" si="117"/>
        <v>549172956.25877106</v>
      </c>
      <c r="CA21" s="182">
        <f t="shared" si="117"/>
        <v>486481967.82860899</v>
      </c>
      <c r="CB21" s="182">
        <f t="shared" si="117"/>
        <v>458111278.06665248</v>
      </c>
      <c r="CC21" s="182">
        <f t="shared" si="117"/>
        <v>571831289.16511595</v>
      </c>
      <c r="CD21" s="182">
        <f t="shared" si="117"/>
        <v>534552554.81307018</v>
      </c>
      <c r="CE21" s="182">
        <f t="shared" si="117"/>
        <v>636403083.74523067</v>
      </c>
      <c r="CF21" s="182">
        <f t="shared" si="117"/>
        <v>681078195.92077541</v>
      </c>
      <c r="CG21" s="182">
        <f t="shared" si="117"/>
        <v>649806770.9229219</v>
      </c>
      <c r="CH21" s="182">
        <f t="shared" si="117"/>
        <v>838927433.56969547</v>
      </c>
      <c r="CI21" s="182">
        <f t="shared" si="117"/>
        <v>773004511.89321828</v>
      </c>
      <c r="CJ21" s="182">
        <f t="shared" si="117"/>
        <v>755574724.8283186</v>
      </c>
      <c r="CK21" s="182">
        <f t="shared" si="117"/>
        <v>763813123.11457694</v>
      </c>
      <c r="CL21" s="182">
        <f t="shared" si="117"/>
        <v>820391689.6474576</v>
      </c>
      <c r="CM21" s="182">
        <f t="shared" si="117"/>
        <v>701446467.27000093</v>
      </c>
      <c r="CN21" s="182">
        <f t="shared" si="117"/>
        <v>758296395.77670133</v>
      </c>
      <c r="CO21" s="182">
        <f t="shared" si="117"/>
        <v>881911119.647488</v>
      </c>
      <c r="CP21" s="182">
        <f t="shared" si="117"/>
        <v>817850963.33060002</v>
      </c>
      <c r="CQ21" s="182">
        <f t="shared" si="117"/>
        <v>1006235498.4649951</v>
      </c>
      <c r="CR21" s="182">
        <f t="shared" si="117"/>
        <v>1093034605.5906382</v>
      </c>
      <c r="CS21" s="182">
        <f t="shared" si="117"/>
        <v>985465798.37775457</v>
      </c>
      <c r="CT21" s="182">
        <f t="shared" si="117"/>
        <v>1161455513.4814487</v>
      </c>
      <c r="CU21" s="182">
        <f t="shared" si="117"/>
        <v>1027611351.5716845</v>
      </c>
      <c r="CV21" s="182">
        <f t="shared" si="117"/>
        <v>1017215256.4438188</v>
      </c>
      <c r="CW21" s="182">
        <f t="shared" si="117"/>
        <v>1014880125.3755372</v>
      </c>
      <c r="CX21" s="182">
        <f t="shared" si="117"/>
        <v>1075499963.9560406</v>
      </c>
      <c r="CY21" s="182">
        <f t="shared" si="117"/>
        <v>974594526.26008964</v>
      </c>
      <c r="CZ21" s="182">
        <f t="shared" si="117"/>
        <v>964323899.00094485</v>
      </c>
      <c r="DA21" s="182">
        <f t="shared" si="117"/>
        <v>1099736828.0221882</v>
      </c>
      <c r="DB21" s="182">
        <f t="shared" si="117"/>
        <v>1041277483.2033017</v>
      </c>
      <c r="DC21" s="182">
        <f t="shared" si="117"/>
        <v>1264667706.8547726</v>
      </c>
      <c r="DD21" s="182">
        <f t="shared" si="117"/>
        <v>1323545981.3105874</v>
      </c>
      <c r="DE21" s="182">
        <f t="shared" si="117"/>
        <v>1186395496.120446</v>
      </c>
      <c r="DF21" s="182">
        <f t="shared" si="117"/>
        <v>1349942060.3239968</v>
      </c>
      <c r="DG21" s="182">
        <f t="shared" si="117"/>
        <v>1245861891.7771087</v>
      </c>
      <c r="DH21" s="182">
        <f t="shared" si="117"/>
        <v>1234904713.6893134</v>
      </c>
      <c r="DI21" s="182">
        <f t="shared" si="117"/>
        <v>1228195566.1338305</v>
      </c>
      <c r="DJ21" s="182">
        <f t="shared" si="117"/>
        <v>1301558126.6655786</v>
      </c>
      <c r="DK21" s="182">
        <f t="shared" si="117"/>
        <v>1177817271.8590436</v>
      </c>
      <c r="DL21" s="182">
        <f t="shared" si="117"/>
        <v>1162587754.7089529</v>
      </c>
      <c r="DM21" s="182">
        <f t="shared" si="117"/>
        <v>1324851278.5433443</v>
      </c>
      <c r="DN21" s="182">
        <f t="shared" si="117"/>
        <v>1250063909.505533</v>
      </c>
      <c r="DO21" s="182">
        <f t="shared" si="117"/>
        <v>1514196606.7960484</v>
      </c>
      <c r="DP21" s="182">
        <f t="shared" si="117"/>
        <v>1580406005.0833676</v>
      </c>
      <c r="DQ21" s="182">
        <f t="shared" si="117"/>
        <v>1413088135.210254</v>
      </c>
      <c r="DR21" s="182">
        <f t="shared" si="117"/>
        <v>1596543953.8011425</v>
      </c>
      <c r="DS21" s="182">
        <f t="shared" ref="DS21:ED21" si="118">SUM(DS22:DS24)</f>
        <v>1444001859.7005246</v>
      </c>
      <c r="DT21" s="182">
        <f t="shared" si="118"/>
        <v>1430899479.1369433</v>
      </c>
      <c r="DU21" s="182">
        <f t="shared" si="118"/>
        <v>1422718760.3548121</v>
      </c>
      <c r="DV21" s="182">
        <f t="shared" si="118"/>
        <v>1506243933.5743794</v>
      </c>
      <c r="DW21" s="182">
        <f t="shared" si="118"/>
        <v>1363133975.8585</v>
      </c>
      <c r="DX21" s="182">
        <f t="shared" si="118"/>
        <v>1346854717.5163527</v>
      </c>
      <c r="DY21" s="182">
        <f t="shared" si="118"/>
        <v>1530733233.3528552</v>
      </c>
      <c r="DZ21" s="182">
        <f t="shared" si="118"/>
        <v>1445177848.2572882</v>
      </c>
      <c r="EA21" s="182">
        <f t="shared" si="118"/>
        <v>1750632122.4094658</v>
      </c>
      <c r="EB21" s="182">
        <f t="shared" si="118"/>
        <v>1827851693.5386305</v>
      </c>
      <c r="EC21" s="182">
        <f t="shared" si="118"/>
        <v>1632693350.9766765</v>
      </c>
      <c r="ED21" s="182">
        <f t="shared" si="118"/>
        <v>1843056302.3061841</v>
      </c>
      <c r="EE21" s="333"/>
      <c r="EF21" s="224">
        <f t="shared" ref="EF21:EF28" si="119">SUM(BK21:BM21)</f>
        <v>1489079636.9455371</v>
      </c>
      <c r="EG21" s="224">
        <f t="shared" ref="EG21:EG28" si="120">SUM(BN21:BP21)</f>
        <v>1289233716.345037</v>
      </c>
      <c r="EH21" s="224">
        <f t="shared" ref="EH21:EH28" si="121">SUM(BQ21:BS21)</f>
        <v>1698056571.1693344</v>
      </c>
      <c r="EI21" s="224">
        <f t="shared" ref="EI21:EI28" si="122">SUM(BT21:BV21)</f>
        <v>1364201219.0776353</v>
      </c>
      <c r="EJ21" s="224">
        <f t="shared" ref="EJ21:EJ28" si="123">SUM(BW21:BY21)</f>
        <v>1597702439.0193145</v>
      </c>
      <c r="EK21" s="224">
        <f t="shared" ref="EK21:EK28" si="124">SUM(CL21:CN21)</f>
        <v>2280134552.69416</v>
      </c>
      <c r="EL21" s="224">
        <f t="shared" ref="EL21:EL28" si="125">SUM(CC21:CE21)</f>
        <v>1742786927.7234168</v>
      </c>
      <c r="EM21" s="224">
        <f t="shared" ref="EM21:EM28" si="126">SUM(CF21:CH21)</f>
        <v>2169812400.413393</v>
      </c>
      <c r="EN21" s="224">
        <f t="shared" ref="EN21:EN28" si="127">SUM(CI21:CK21)</f>
        <v>2292392359.8361139</v>
      </c>
      <c r="EO21" s="224">
        <f t="shared" ref="EO21:EO28" si="128">SUM(CL21:CN21)</f>
        <v>2280134552.69416</v>
      </c>
      <c r="EP21" s="224">
        <f t="shared" ref="EP21:EP28" si="129">SUM(CO21:CQ21)</f>
        <v>2705997581.4430828</v>
      </c>
      <c r="EQ21" s="224">
        <f t="shared" ref="EQ21:EQ28" si="130">SUM(CR21:CT21)</f>
        <v>3239955917.4498415</v>
      </c>
      <c r="ER21" s="224">
        <f t="shared" ref="ER21:ER28" si="131">SUM(CU21:CW21)</f>
        <v>3059706733.3910408</v>
      </c>
      <c r="ES21" s="224">
        <f t="shared" ref="ES21:ES28" si="132">SUM(CX21:CZ21)</f>
        <v>3014418389.2170753</v>
      </c>
      <c r="ET21" s="224">
        <f t="shared" ref="ET21:ET28" si="133">SUM(DA21:DC21)</f>
        <v>3405682018.0802622</v>
      </c>
      <c r="EU21" s="224">
        <f t="shared" ref="EU21:EU28" si="134">SUM(DD21:DF21)</f>
        <v>3859883537.7550297</v>
      </c>
      <c r="EV21" s="224">
        <f t="shared" ref="EV21:EV28" si="135">SUM(DG21:DI21)</f>
        <v>3708962171.6002526</v>
      </c>
      <c r="EW21" s="224">
        <f t="shared" ref="EW21:EW28" si="136">SUM(DJ21:DL21)</f>
        <v>3641963153.2335749</v>
      </c>
      <c r="EX21" s="224">
        <f t="shared" ref="EX21:EX28" si="137">SUM(DM21:DO21)</f>
        <v>4089111794.8449259</v>
      </c>
      <c r="EY21" s="224">
        <f t="shared" ref="EY21:EY28" si="138">SUM(DP21:DR21)</f>
        <v>4590038094.0947638</v>
      </c>
      <c r="EZ21" s="224">
        <f t="shared" si="83"/>
        <v>4297620099.1922798</v>
      </c>
      <c r="FA21" s="224">
        <f t="shared" si="84"/>
        <v>4216232626.9492321</v>
      </c>
      <c r="FB21" s="224">
        <f t="shared" si="85"/>
        <v>4726543204.0196095</v>
      </c>
      <c r="FC21" s="224">
        <f t="shared" si="86"/>
        <v>5303601346.8214912</v>
      </c>
      <c r="FE21" s="224">
        <f t="shared" si="87"/>
        <v>5840571143.5375443</v>
      </c>
      <c r="FF21" s="224">
        <f t="shared" si="88"/>
        <v>7790436319.8502846</v>
      </c>
      <c r="FG21" s="224">
        <f t="shared" si="89"/>
        <v>10518480411.423199</v>
      </c>
      <c r="FH21" s="224">
        <f t="shared" si="90"/>
        <v>13339690678.443407</v>
      </c>
      <c r="FI21" s="224">
        <f t="shared" si="91"/>
        <v>16030075213.773518</v>
      </c>
      <c r="FJ21" s="224">
        <f t="shared" si="92"/>
        <v>18543997276.982613</v>
      </c>
    </row>
    <row r="22" spans="2:166" x14ac:dyDescent="0.2">
      <c r="B22" s="155" t="s">
        <v>227</v>
      </c>
      <c r="C22" s="19">
        <f>C4-C13</f>
        <v>6192647</v>
      </c>
      <c r="D22" s="19">
        <f t="shared" ref="D22:BO22" si="139">D4-D13</f>
        <v>6767807</v>
      </c>
      <c r="E22" s="19">
        <f t="shared" si="139"/>
        <v>5747560.7689844025</v>
      </c>
      <c r="F22" s="19">
        <f t="shared" si="139"/>
        <v>9331198.8993185107</v>
      </c>
      <c r="G22" s="19">
        <f t="shared" si="139"/>
        <v>7135417.9363709055</v>
      </c>
      <c r="H22" s="19">
        <f t="shared" si="139"/>
        <v>5830125.5643097647</v>
      </c>
      <c r="I22" s="19">
        <f t="shared" si="139"/>
        <v>7326199.0000000009</v>
      </c>
      <c r="J22" s="19">
        <f t="shared" si="139"/>
        <v>9536226</v>
      </c>
      <c r="K22" s="19">
        <f t="shared" si="139"/>
        <v>11404856</v>
      </c>
      <c r="L22" s="19">
        <f t="shared" si="139"/>
        <v>12706168.140000001</v>
      </c>
      <c r="M22" s="19">
        <f t="shared" si="139"/>
        <v>16662986.66</v>
      </c>
      <c r="N22" s="19">
        <f t="shared" si="139"/>
        <v>13437196.740000002</v>
      </c>
      <c r="O22" s="19">
        <f t="shared" si="139"/>
        <v>17270977.899999999</v>
      </c>
      <c r="P22" s="19">
        <f t="shared" si="139"/>
        <v>18603711.84</v>
      </c>
      <c r="Q22" s="19">
        <f t="shared" si="139"/>
        <v>23042300.5</v>
      </c>
      <c r="R22" s="19">
        <f t="shared" si="139"/>
        <v>19165740.5</v>
      </c>
      <c r="S22" s="19">
        <f t="shared" si="139"/>
        <v>11279629.534285715</v>
      </c>
      <c r="T22" s="19">
        <f t="shared" si="139"/>
        <v>7603125.0871428568</v>
      </c>
      <c r="U22" s="19">
        <f t="shared" si="139"/>
        <v>5793090.599642857</v>
      </c>
      <c r="V22" s="19">
        <f t="shared" si="139"/>
        <v>8130308.6571428571</v>
      </c>
      <c r="W22" s="19">
        <f t="shared" si="139"/>
        <v>12415828.094642857</v>
      </c>
      <c r="X22" s="19">
        <f t="shared" si="139"/>
        <v>12868897.6644</v>
      </c>
      <c r="Y22" s="19">
        <f t="shared" si="139"/>
        <v>22371683.246812254</v>
      </c>
      <c r="Z22" s="19">
        <f t="shared" si="139"/>
        <v>9717107.0580000002</v>
      </c>
      <c r="AA22" s="19">
        <f t="shared" si="139"/>
        <v>240700</v>
      </c>
      <c r="AB22" s="19">
        <f t="shared" si="139"/>
        <v>9078027.3651999999</v>
      </c>
      <c r="AC22" s="19">
        <f t="shared" si="139"/>
        <v>9945188.4697642904</v>
      </c>
      <c r="AD22" s="19">
        <f t="shared" si="139"/>
        <v>13896044.018400002</v>
      </c>
      <c r="AE22" s="19">
        <f t="shared" si="139"/>
        <v>16259239.23</v>
      </c>
      <c r="AF22" s="19">
        <f t="shared" si="139"/>
        <v>16813956</v>
      </c>
      <c r="AG22" s="19">
        <f t="shared" si="139"/>
        <v>15542343</v>
      </c>
      <c r="AH22" s="19">
        <f t="shared" si="139"/>
        <v>23078691</v>
      </c>
      <c r="AI22" s="19">
        <f t="shared" si="139"/>
        <v>30262985</v>
      </c>
      <c r="AJ22" s="19">
        <f t="shared" si="139"/>
        <v>38984746</v>
      </c>
      <c r="AK22" s="19">
        <f t="shared" si="139"/>
        <v>31039805</v>
      </c>
      <c r="AL22" s="19">
        <f t="shared" si="139"/>
        <v>23510196</v>
      </c>
      <c r="AM22" s="19">
        <f t="shared" si="139"/>
        <v>17906255</v>
      </c>
      <c r="AN22" s="19">
        <f t="shared" si="139"/>
        <v>14498748</v>
      </c>
      <c r="AO22" s="19">
        <f t="shared" si="139"/>
        <v>28344924</v>
      </c>
      <c r="AP22" s="19">
        <f t="shared" si="139"/>
        <v>38659288</v>
      </c>
      <c r="AQ22" s="19">
        <f t="shared" si="139"/>
        <v>50123607</v>
      </c>
      <c r="AR22" s="19">
        <f t="shared" si="139"/>
        <v>58726342</v>
      </c>
      <c r="AS22" s="19">
        <f t="shared" si="139"/>
        <v>58615364</v>
      </c>
      <c r="AT22" s="19">
        <f t="shared" si="139"/>
        <v>51972136</v>
      </c>
      <c r="AU22" s="19">
        <f t="shared" si="139"/>
        <v>58400654.469999999</v>
      </c>
      <c r="AV22" s="19">
        <f t="shared" si="139"/>
        <v>68715789</v>
      </c>
      <c r="AW22" s="19">
        <f t="shared" si="139"/>
        <v>69084692</v>
      </c>
      <c r="AX22" s="19">
        <f t="shared" si="139"/>
        <v>75658657.739999995</v>
      </c>
      <c r="AY22" s="19">
        <f t="shared" si="139"/>
        <v>41264695.049999997</v>
      </c>
      <c r="AZ22" s="19">
        <f t="shared" si="139"/>
        <v>43722251</v>
      </c>
      <c r="BA22" s="19">
        <f t="shared" si="139"/>
        <v>39209984.170000002</v>
      </c>
      <c r="BB22" s="19">
        <f t="shared" si="139"/>
        <v>33382856</v>
      </c>
      <c r="BC22" s="19">
        <f t="shared" si="139"/>
        <v>27373000.679999992</v>
      </c>
      <c r="BD22" s="19">
        <f t="shared" si="139"/>
        <v>13465895.949483922</v>
      </c>
      <c r="BE22" s="19">
        <f t="shared" si="139"/>
        <v>7453992.2177116927</v>
      </c>
      <c r="BF22" s="19">
        <f t="shared" si="139"/>
        <v>20591524.062033951</v>
      </c>
      <c r="BG22" s="19">
        <f t="shared" si="139"/>
        <v>33429736.434135012</v>
      </c>
      <c r="BH22" s="19">
        <f t="shared" si="139"/>
        <v>40181230.488871992</v>
      </c>
      <c r="BI22" s="19">
        <f t="shared" si="139"/>
        <v>34802221.484443344</v>
      </c>
      <c r="BJ22" s="19">
        <f t="shared" si="139"/>
        <v>41280292.828641914</v>
      </c>
      <c r="BK22" s="19">
        <f t="shared" si="139"/>
        <v>0</v>
      </c>
      <c r="BL22" s="19">
        <f t="shared" si="139"/>
        <v>0</v>
      </c>
      <c r="BM22" s="19">
        <f t="shared" si="139"/>
        <v>0</v>
      </c>
      <c r="BN22" s="19">
        <f t="shared" si="139"/>
        <v>0</v>
      </c>
      <c r="BO22" s="19">
        <f t="shared" si="139"/>
        <v>0</v>
      </c>
      <c r="BP22" s="19">
        <f t="shared" ref="BP22:DR22" si="140">BP4-BP13</f>
        <v>0</v>
      </c>
      <c r="BQ22" s="19">
        <f t="shared" si="140"/>
        <v>0</v>
      </c>
      <c r="BR22" s="19">
        <f t="shared" si="140"/>
        <v>0</v>
      </c>
      <c r="BS22" s="19">
        <f t="shared" si="140"/>
        <v>0</v>
      </c>
      <c r="BT22" s="19">
        <f t="shared" si="140"/>
        <v>0</v>
      </c>
      <c r="BU22" s="19">
        <f t="shared" si="140"/>
        <v>0</v>
      </c>
      <c r="BV22" s="19">
        <f t="shared" si="140"/>
        <v>0</v>
      </c>
      <c r="BW22" s="19">
        <f t="shared" si="140"/>
        <v>0</v>
      </c>
      <c r="BX22" s="19">
        <f t="shared" si="140"/>
        <v>0</v>
      </c>
      <c r="BY22" s="19">
        <f t="shared" si="140"/>
        <v>0</v>
      </c>
      <c r="BZ22" s="19">
        <f t="shared" si="140"/>
        <v>0</v>
      </c>
      <c r="CA22" s="19">
        <f t="shared" si="140"/>
        <v>0</v>
      </c>
      <c r="CB22" s="19">
        <f t="shared" si="140"/>
        <v>0</v>
      </c>
      <c r="CC22" s="19">
        <f t="shared" si="140"/>
        <v>0</v>
      </c>
      <c r="CD22" s="19">
        <f t="shared" si="140"/>
        <v>0</v>
      </c>
      <c r="CE22" s="19">
        <f t="shared" si="140"/>
        <v>0</v>
      </c>
      <c r="CF22" s="19">
        <f t="shared" si="140"/>
        <v>0</v>
      </c>
      <c r="CG22" s="19">
        <f t="shared" si="140"/>
        <v>0</v>
      </c>
      <c r="CH22" s="19">
        <f t="shared" si="140"/>
        <v>0</v>
      </c>
      <c r="CI22" s="19">
        <f t="shared" si="140"/>
        <v>0</v>
      </c>
      <c r="CJ22" s="19">
        <f t="shared" si="140"/>
        <v>0</v>
      </c>
      <c r="CK22" s="19">
        <f t="shared" si="140"/>
        <v>0</v>
      </c>
      <c r="CL22" s="19">
        <f t="shared" si="140"/>
        <v>0</v>
      </c>
      <c r="CM22" s="19">
        <f t="shared" si="140"/>
        <v>0</v>
      </c>
      <c r="CN22" s="19">
        <f t="shared" si="140"/>
        <v>0</v>
      </c>
      <c r="CO22" s="19">
        <f t="shared" si="140"/>
        <v>0</v>
      </c>
      <c r="CP22" s="19">
        <f t="shared" si="140"/>
        <v>0</v>
      </c>
      <c r="CQ22" s="19">
        <f t="shared" si="140"/>
        <v>0</v>
      </c>
      <c r="CR22" s="19">
        <f t="shared" si="140"/>
        <v>0</v>
      </c>
      <c r="CS22" s="19">
        <f t="shared" si="140"/>
        <v>0</v>
      </c>
      <c r="CT22" s="19">
        <f t="shared" si="140"/>
        <v>0</v>
      </c>
      <c r="CU22" s="19">
        <f t="shared" si="140"/>
        <v>0</v>
      </c>
      <c r="CV22" s="19">
        <f t="shared" si="140"/>
        <v>0</v>
      </c>
      <c r="CW22" s="19">
        <f t="shared" si="140"/>
        <v>0</v>
      </c>
      <c r="CX22" s="19">
        <f t="shared" si="140"/>
        <v>0</v>
      </c>
      <c r="CY22" s="19">
        <f t="shared" si="140"/>
        <v>0</v>
      </c>
      <c r="CZ22" s="19">
        <f t="shared" si="140"/>
        <v>0</v>
      </c>
      <c r="DA22" s="19">
        <f t="shared" si="140"/>
        <v>0</v>
      </c>
      <c r="DB22" s="19">
        <f t="shared" si="140"/>
        <v>0</v>
      </c>
      <c r="DC22" s="19">
        <f t="shared" si="140"/>
        <v>0</v>
      </c>
      <c r="DD22" s="19">
        <f t="shared" si="140"/>
        <v>0</v>
      </c>
      <c r="DE22" s="19">
        <f t="shared" si="140"/>
        <v>0</v>
      </c>
      <c r="DF22" s="19">
        <f t="shared" si="140"/>
        <v>0</v>
      </c>
      <c r="DG22" s="19">
        <f t="shared" si="140"/>
        <v>0</v>
      </c>
      <c r="DH22" s="19">
        <f t="shared" si="140"/>
        <v>0</v>
      </c>
      <c r="DI22" s="19">
        <f t="shared" si="140"/>
        <v>0</v>
      </c>
      <c r="DJ22" s="19">
        <f t="shared" si="140"/>
        <v>0</v>
      </c>
      <c r="DK22" s="19">
        <f t="shared" si="140"/>
        <v>0</v>
      </c>
      <c r="DL22" s="19">
        <f t="shared" si="140"/>
        <v>0</v>
      </c>
      <c r="DM22" s="19">
        <f t="shared" si="140"/>
        <v>0</v>
      </c>
      <c r="DN22" s="19">
        <f t="shared" si="140"/>
        <v>0</v>
      </c>
      <c r="DO22" s="19">
        <f t="shared" si="140"/>
        <v>0</v>
      </c>
      <c r="DP22" s="19">
        <f t="shared" si="140"/>
        <v>0</v>
      </c>
      <c r="DQ22" s="19">
        <f t="shared" si="140"/>
        <v>0</v>
      </c>
      <c r="DR22" s="19">
        <f t="shared" si="140"/>
        <v>0</v>
      </c>
      <c r="DS22" s="19">
        <f t="shared" ref="DS22:ED22" si="141">DS4-DS13</f>
        <v>0</v>
      </c>
      <c r="DT22" s="19">
        <f t="shared" si="141"/>
        <v>0</v>
      </c>
      <c r="DU22" s="19">
        <f t="shared" si="141"/>
        <v>0</v>
      </c>
      <c r="DV22" s="19">
        <f t="shared" si="141"/>
        <v>0</v>
      </c>
      <c r="DW22" s="19">
        <f t="shared" si="141"/>
        <v>0</v>
      </c>
      <c r="DX22" s="19">
        <f t="shared" si="141"/>
        <v>0</v>
      </c>
      <c r="DY22" s="19">
        <f t="shared" si="141"/>
        <v>0</v>
      </c>
      <c r="DZ22" s="19">
        <f t="shared" si="141"/>
        <v>0</v>
      </c>
      <c r="EA22" s="19">
        <f t="shared" si="141"/>
        <v>0</v>
      </c>
      <c r="EB22" s="19">
        <f t="shared" si="141"/>
        <v>0</v>
      </c>
      <c r="EC22" s="19">
        <f t="shared" si="141"/>
        <v>0</v>
      </c>
      <c r="ED22" s="19">
        <f t="shared" si="141"/>
        <v>0</v>
      </c>
      <c r="EE22" s="168"/>
      <c r="EF22" s="165">
        <f t="shared" si="119"/>
        <v>0</v>
      </c>
      <c r="EG22" s="165">
        <f t="shared" si="120"/>
        <v>0</v>
      </c>
      <c r="EH22" s="165">
        <f t="shared" si="121"/>
        <v>0</v>
      </c>
      <c r="EI22" s="165">
        <f t="shared" si="122"/>
        <v>0</v>
      </c>
      <c r="EJ22" s="165">
        <f t="shared" si="123"/>
        <v>0</v>
      </c>
      <c r="EK22" s="165">
        <f t="shared" si="124"/>
        <v>0</v>
      </c>
      <c r="EL22" s="165">
        <f t="shared" si="125"/>
        <v>0</v>
      </c>
      <c r="EM22" s="165">
        <f t="shared" si="126"/>
        <v>0</v>
      </c>
      <c r="EN22" s="165">
        <f t="shared" si="127"/>
        <v>0</v>
      </c>
      <c r="EO22" s="165">
        <f t="shared" si="128"/>
        <v>0</v>
      </c>
      <c r="EP22" s="165">
        <f t="shared" si="129"/>
        <v>0</v>
      </c>
      <c r="EQ22" s="165">
        <f t="shared" si="130"/>
        <v>0</v>
      </c>
      <c r="ER22" s="165">
        <f t="shared" si="131"/>
        <v>0</v>
      </c>
      <c r="ES22" s="165">
        <f t="shared" si="132"/>
        <v>0</v>
      </c>
      <c r="ET22" s="165">
        <f t="shared" si="133"/>
        <v>0</v>
      </c>
      <c r="EU22" s="165">
        <f t="shared" si="134"/>
        <v>0</v>
      </c>
      <c r="EV22" s="165">
        <f t="shared" si="135"/>
        <v>0</v>
      </c>
      <c r="EW22" s="165">
        <f t="shared" si="136"/>
        <v>0</v>
      </c>
      <c r="EX22" s="165">
        <f t="shared" si="137"/>
        <v>0</v>
      </c>
      <c r="EY22" s="165">
        <f t="shared" si="138"/>
        <v>0</v>
      </c>
      <c r="EZ22" s="165">
        <f t="shared" si="83"/>
        <v>0</v>
      </c>
      <c r="FA22" s="165">
        <f t="shared" si="84"/>
        <v>0</v>
      </c>
      <c r="FB22" s="165">
        <f t="shared" si="85"/>
        <v>0</v>
      </c>
      <c r="FC22" s="165">
        <f t="shared" si="86"/>
        <v>0</v>
      </c>
      <c r="FE22" s="165">
        <f t="shared" si="87"/>
        <v>0</v>
      </c>
      <c r="FF22" s="165">
        <f t="shared" si="88"/>
        <v>0</v>
      </c>
      <c r="FG22" s="165">
        <f t="shared" si="89"/>
        <v>0</v>
      </c>
      <c r="FH22" s="165">
        <f t="shared" si="90"/>
        <v>0</v>
      </c>
      <c r="FI22" s="165">
        <f t="shared" si="91"/>
        <v>0</v>
      </c>
      <c r="FJ22" s="165">
        <f t="shared" si="92"/>
        <v>0</v>
      </c>
    </row>
    <row r="23" spans="2:166" x14ac:dyDescent="0.2">
      <c r="B23" s="155" t="s">
        <v>228</v>
      </c>
      <c r="C23" s="19">
        <f>C5-C14</f>
        <v>0</v>
      </c>
      <c r="D23" s="19">
        <f t="shared" ref="D23:BO23" si="142">D5-D14</f>
        <v>0</v>
      </c>
      <c r="E23" s="19">
        <f t="shared" si="142"/>
        <v>0</v>
      </c>
      <c r="F23" s="19">
        <f t="shared" si="142"/>
        <v>0</v>
      </c>
      <c r="G23" s="19">
        <f t="shared" si="142"/>
        <v>0</v>
      </c>
      <c r="H23" s="19">
        <f t="shared" si="142"/>
        <v>0</v>
      </c>
      <c r="I23" s="19">
        <f t="shared" si="142"/>
        <v>0</v>
      </c>
      <c r="J23" s="19">
        <f t="shared" si="142"/>
        <v>0</v>
      </c>
      <c r="K23" s="19">
        <f t="shared" si="142"/>
        <v>0</v>
      </c>
      <c r="L23" s="19">
        <f t="shared" si="142"/>
        <v>590804.63071428565</v>
      </c>
      <c r="M23" s="19">
        <f t="shared" si="142"/>
        <v>3720291.6507142857</v>
      </c>
      <c r="N23" s="19">
        <f t="shared" si="142"/>
        <v>20358415.859285716</v>
      </c>
      <c r="O23" s="19">
        <f t="shared" si="142"/>
        <v>26331762.631428573</v>
      </c>
      <c r="P23" s="19">
        <f t="shared" si="142"/>
        <v>28950126.864642859</v>
      </c>
      <c r="Q23" s="19">
        <f t="shared" si="142"/>
        <v>18870655.975000001</v>
      </c>
      <c r="R23" s="19">
        <f t="shared" si="142"/>
        <v>39430284.579642855</v>
      </c>
      <c r="S23" s="19">
        <f t="shared" si="142"/>
        <v>26372697.465714287</v>
      </c>
      <c r="T23" s="19">
        <f t="shared" si="142"/>
        <v>37725501.112857148</v>
      </c>
      <c r="U23" s="19">
        <f t="shared" si="142"/>
        <v>34298237.400357142</v>
      </c>
      <c r="V23" s="19">
        <f t="shared" si="142"/>
        <v>9814939.3428571429</v>
      </c>
      <c r="W23" s="19">
        <f t="shared" si="142"/>
        <v>17803179.905357141</v>
      </c>
      <c r="X23" s="19">
        <f t="shared" si="142"/>
        <v>24311757.121071428</v>
      </c>
      <c r="Y23" s="19">
        <f t="shared" si="142"/>
        <v>908386.3764285706</v>
      </c>
      <c r="Z23" s="19">
        <f t="shared" si="142"/>
        <v>14527864.805357143</v>
      </c>
      <c r="AA23" s="19">
        <f t="shared" si="142"/>
        <v>-3340188</v>
      </c>
      <c r="AB23" s="19">
        <f t="shared" si="142"/>
        <v>20666366.739152543</v>
      </c>
      <c r="AC23" s="19">
        <f t="shared" si="142"/>
        <v>13943981.001</v>
      </c>
      <c r="AD23" s="19">
        <f t="shared" si="142"/>
        <v>9866739</v>
      </c>
      <c r="AE23" s="19">
        <f t="shared" si="142"/>
        <v>9189370</v>
      </c>
      <c r="AF23" s="19">
        <f t="shared" si="142"/>
        <v>11741190.000999998</v>
      </c>
      <c r="AG23" s="19">
        <f t="shared" si="142"/>
        <v>21282041.001000002</v>
      </c>
      <c r="AH23" s="19">
        <f t="shared" si="142"/>
        <v>17825655</v>
      </c>
      <c r="AI23" s="19">
        <f t="shared" si="142"/>
        <v>27460136.949999999</v>
      </c>
      <c r="AJ23" s="19">
        <f t="shared" si="142"/>
        <v>32520153.350000001</v>
      </c>
      <c r="AK23" s="19">
        <f t="shared" si="142"/>
        <v>19785675</v>
      </c>
      <c r="AL23" s="19">
        <f t="shared" si="142"/>
        <v>25071837</v>
      </c>
      <c r="AM23" s="19">
        <f t="shared" si="142"/>
        <v>18883096</v>
      </c>
      <c r="AN23" s="19">
        <f t="shared" si="142"/>
        <v>11861497.799999999</v>
      </c>
      <c r="AO23" s="19">
        <f t="shared" si="142"/>
        <v>18057508.850000046</v>
      </c>
      <c r="AP23" s="19">
        <f t="shared" si="142"/>
        <v>15513506</v>
      </c>
      <c r="AQ23" s="19">
        <f t="shared" si="142"/>
        <v>9859090</v>
      </c>
      <c r="AR23" s="19">
        <f t="shared" si="142"/>
        <v>12398823</v>
      </c>
      <c r="AS23" s="19">
        <f t="shared" si="142"/>
        <v>15484826.949999999</v>
      </c>
      <c r="AT23" s="19">
        <f t="shared" si="142"/>
        <v>36903559.950000003</v>
      </c>
      <c r="AU23" s="19">
        <f t="shared" si="142"/>
        <v>42482897</v>
      </c>
      <c r="AV23" s="19">
        <f t="shared" si="142"/>
        <v>49028541.829999998</v>
      </c>
      <c r="AW23" s="19">
        <f t="shared" si="142"/>
        <v>43145129</v>
      </c>
      <c r="AX23" s="19">
        <f t="shared" si="142"/>
        <v>23771694.199999999</v>
      </c>
      <c r="AY23" s="19">
        <f t="shared" si="142"/>
        <v>21497650.219999991</v>
      </c>
      <c r="AZ23" s="19">
        <f t="shared" si="142"/>
        <v>30591918.11999999</v>
      </c>
      <c r="BA23" s="19">
        <f t="shared" si="142"/>
        <v>43408149.700000003</v>
      </c>
      <c r="BB23" s="19">
        <f t="shared" si="142"/>
        <v>40187919.080000415</v>
      </c>
      <c r="BC23" s="19">
        <f t="shared" si="142"/>
        <v>28275052.460000094</v>
      </c>
      <c r="BD23" s="19">
        <f t="shared" si="142"/>
        <v>39258000.6300001</v>
      </c>
      <c r="BE23" s="19">
        <f t="shared" si="142"/>
        <v>68425967.910000175</v>
      </c>
      <c r="BF23" s="19">
        <f t="shared" si="142"/>
        <v>57689324.859999999</v>
      </c>
      <c r="BG23" s="19">
        <f t="shared" si="142"/>
        <v>49015703.230000228</v>
      </c>
      <c r="BH23" s="19">
        <f t="shared" si="142"/>
        <v>59074398.680000357</v>
      </c>
      <c r="BI23" s="19">
        <f t="shared" si="142"/>
        <v>88185123.210000247</v>
      </c>
      <c r="BJ23" s="19">
        <f t="shared" si="142"/>
        <v>152973536.25000083</v>
      </c>
      <c r="BK23" s="19">
        <f t="shared" si="142"/>
        <v>177174015.33940253</v>
      </c>
      <c r="BL23" s="19">
        <f t="shared" si="142"/>
        <v>157718791.54965979</v>
      </c>
      <c r="BM23" s="19">
        <f t="shared" si="142"/>
        <v>192604051.81638539</v>
      </c>
      <c r="BN23" s="19">
        <f t="shared" si="142"/>
        <v>134896928.34310046</v>
      </c>
      <c r="BO23" s="19">
        <f t="shared" si="142"/>
        <v>158219423.1749382</v>
      </c>
      <c r="BP23" s="19">
        <f t="shared" ref="BP23:DR23" si="143">BP5-BP14</f>
        <v>175665259.36695758</v>
      </c>
      <c r="BQ23" s="19">
        <f t="shared" si="143"/>
        <v>276621197.60860538</v>
      </c>
      <c r="BR23" s="19">
        <f t="shared" si="143"/>
        <v>215921783.32452267</v>
      </c>
      <c r="BS23" s="19">
        <f t="shared" si="143"/>
        <v>204095609.66502008</v>
      </c>
      <c r="BT23" s="19">
        <f t="shared" si="143"/>
        <v>208606599.41250107</v>
      </c>
      <c r="BU23" s="19">
        <f t="shared" si="143"/>
        <v>153567638.02271467</v>
      </c>
      <c r="BV23" s="19">
        <f t="shared" si="143"/>
        <v>217433306.31716239</v>
      </c>
      <c r="BW23" s="19">
        <f t="shared" si="143"/>
        <v>208026931.88635713</v>
      </c>
      <c r="BX23" s="19">
        <f t="shared" si="143"/>
        <v>225522037.91801453</v>
      </c>
      <c r="BY23" s="19">
        <f t="shared" si="143"/>
        <v>234565597.74187648</v>
      </c>
      <c r="BZ23" s="19">
        <f t="shared" si="143"/>
        <v>245431234.54876578</v>
      </c>
      <c r="CA23" s="19">
        <f t="shared" si="143"/>
        <v>231617640.59860653</v>
      </c>
      <c r="CB23" s="19">
        <f t="shared" si="143"/>
        <v>240294211.30664754</v>
      </c>
      <c r="CC23" s="19">
        <f t="shared" si="143"/>
        <v>258102547.49511218</v>
      </c>
      <c r="CD23" s="19">
        <f t="shared" si="143"/>
        <v>225238305.27306521</v>
      </c>
      <c r="CE23" s="19">
        <f t="shared" si="143"/>
        <v>268332201.02086401</v>
      </c>
      <c r="CF23" s="19">
        <f t="shared" si="143"/>
        <v>301525732.43045539</v>
      </c>
      <c r="CG23" s="19">
        <f t="shared" si="143"/>
        <v>289395326.84291881</v>
      </c>
      <c r="CH23" s="19">
        <f t="shared" si="143"/>
        <v>388927314.4395901</v>
      </c>
      <c r="CI23" s="19">
        <f t="shared" si="143"/>
        <v>333571207.37308317</v>
      </c>
      <c r="CJ23" s="19">
        <f t="shared" si="143"/>
        <v>337590899.12831521</v>
      </c>
      <c r="CK23" s="19">
        <f t="shared" si="143"/>
        <v>332283789.6635989</v>
      </c>
      <c r="CL23" s="19">
        <f t="shared" si="143"/>
        <v>348538492.32745653</v>
      </c>
      <c r="CM23" s="19">
        <f t="shared" si="143"/>
        <v>308891769.37999922</v>
      </c>
      <c r="CN23" s="19">
        <f t="shared" si="143"/>
        <v>390440128.82670391</v>
      </c>
      <c r="CO23" s="19">
        <f t="shared" si="143"/>
        <v>337191618.03749192</v>
      </c>
      <c r="CP23" s="19">
        <f t="shared" si="143"/>
        <v>333553337.40059996</v>
      </c>
      <c r="CQ23" s="19">
        <f t="shared" si="143"/>
        <v>400565715.47499943</v>
      </c>
      <c r="CR23" s="19">
        <f t="shared" si="143"/>
        <v>445854716.91063964</v>
      </c>
      <c r="CS23" s="19">
        <f t="shared" si="143"/>
        <v>359594206.56775951</v>
      </c>
      <c r="CT23" s="19">
        <f t="shared" si="143"/>
        <v>424940759.14144975</v>
      </c>
      <c r="CU23" s="19">
        <f t="shared" si="143"/>
        <v>401516159.84693146</v>
      </c>
      <c r="CV23" s="19">
        <f t="shared" si="143"/>
        <v>405602653.73516572</v>
      </c>
      <c r="CW23" s="19">
        <f t="shared" si="143"/>
        <v>405312488.48866391</v>
      </c>
      <c r="CX23" s="19">
        <f t="shared" si="143"/>
        <v>411430139.10241121</v>
      </c>
      <c r="CY23" s="19">
        <f t="shared" si="143"/>
        <v>387684949.76367664</v>
      </c>
      <c r="CZ23" s="19">
        <f t="shared" si="143"/>
        <v>424100688.19965845</v>
      </c>
      <c r="DA23" s="19">
        <f t="shared" si="143"/>
        <v>412373176.15354216</v>
      </c>
      <c r="DB23" s="19">
        <f t="shared" si="143"/>
        <v>413340393.64188164</v>
      </c>
      <c r="DC23" s="19">
        <f t="shared" si="143"/>
        <v>507378113.94568866</v>
      </c>
      <c r="DD23" s="19">
        <f t="shared" si="143"/>
        <v>546695504.84668899</v>
      </c>
      <c r="DE23" s="19">
        <f t="shared" si="143"/>
        <v>468689414.41210902</v>
      </c>
      <c r="DF23" s="19">
        <f t="shared" si="143"/>
        <v>506459257.33176613</v>
      </c>
      <c r="DG23" s="19">
        <f t="shared" si="143"/>
        <v>475595891.33869028</v>
      </c>
      <c r="DH23" s="19">
        <f t="shared" si="143"/>
        <v>480436343.34930384</v>
      </c>
      <c r="DI23" s="19">
        <f t="shared" si="143"/>
        <v>480092642.61482245</v>
      </c>
      <c r="DJ23" s="19">
        <f t="shared" si="143"/>
        <v>487338999.76680607</v>
      </c>
      <c r="DK23" s="19">
        <f t="shared" si="143"/>
        <v>459212822.99507499</v>
      </c>
      <c r="DL23" s="19">
        <f t="shared" si="143"/>
        <v>502347265.17249548</v>
      </c>
      <c r="DM23" s="19">
        <f t="shared" si="143"/>
        <v>488456027.1538707</v>
      </c>
      <c r="DN23" s="19">
        <f t="shared" si="143"/>
        <v>489601696.26880884</v>
      </c>
      <c r="DO23" s="19">
        <f t="shared" si="143"/>
        <v>600989375.96866822</v>
      </c>
      <c r="DP23" s="19">
        <f t="shared" si="143"/>
        <v>647560825.49090314</v>
      </c>
      <c r="DQ23" s="19">
        <f t="shared" si="143"/>
        <v>555162611.3711431</v>
      </c>
      <c r="DR23" s="19">
        <f t="shared" si="143"/>
        <v>599900990.30947697</v>
      </c>
      <c r="DS23" s="19">
        <f t="shared" ref="DS23:ED23" si="144">DS5-DS14</f>
        <v>563343333.2906785</v>
      </c>
      <c r="DT23" s="19">
        <f t="shared" si="144"/>
        <v>569076848.69725037</v>
      </c>
      <c r="DU23" s="19">
        <f t="shared" si="144"/>
        <v>568669735.17725706</v>
      </c>
      <c r="DV23" s="19">
        <f t="shared" si="144"/>
        <v>577253045.2237817</v>
      </c>
      <c r="DW23" s="19">
        <f t="shared" si="144"/>
        <v>543937588.83766627</v>
      </c>
      <c r="DX23" s="19">
        <f t="shared" si="144"/>
        <v>595030335.59682083</v>
      </c>
      <c r="DY23" s="19">
        <f t="shared" si="144"/>
        <v>578576164.16375971</v>
      </c>
      <c r="DZ23" s="19">
        <f t="shared" si="144"/>
        <v>579933209.2304039</v>
      </c>
      <c r="EA23" s="19">
        <f t="shared" si="144"/>
        <v>711871915.8348875</v>
      </c>
      <c r="EB23" s="19">
        <f t="shared" si="144"/>
        <v>767035797.79397476</v>
      </c>
      <c r="EC23" s="19">
        <f t="shared" si="144"/>
        <v>657590113.169119</v>
      </c>
      <c r="ED23" s="19">
        <f t="shared" si="144"/>
        <v>710582723.02157545</v>
      </c>
      <c r="EE23" s="168"/>
      <c r="EF23" s="165">
        <f t="shared" si="119"/>
        <v>527496858.70544767</v>
      </c>
      <c r="EG23" s="165">
        <f t="shared" si="120"/>
        <v>468781610.88499618</v>
      </c>
      <c r="EH23" s="165">
        <f t="shared" si="121"/>
        <v>696638590.59814811</v>
      </c>
      <c r="EI23" s="165">
        <f t="shared" si="122"/>
        <v>579607543.75237811</v>
      </c>
      <c r="EJ23" s="165">
        <f t="shared" si="123"/>
        <v>668114567.5462482</v>
      </c>
      <c r="EK23" s="165">
        <f t="shared" si="124"/>
        <v>1047870390.5341597</v>
      </c>
      <c r="EL23" s="165">
        <f t="shared" si="125"/>
        <v>751673053.7890414</v>
      </c>
      <c r="EM23" s="165">
        <f t="shared" si="126"/>
        <v>979848373.7129643</v>
      </c>
      <c r="EN23" s="165">
        <f t="shared" si="127"/>
        <v>1003445896.1649972</v>
      </c>
      <c r="EO23" s="165">
        <f t="shared" si="128"/>
        <v>1047870390.5341597</v>
      </c>
      <c r="EP23" s="165">
        <f t="shared" si="129"/>
        <v>1071310670.9130913</v>
      </c>
      <c r="EQ23" s="165">
        <f t="shared" si="130"/>
        <v>1230389682.619849</v>
      </c>
      <c r="ER23" s="165">
        <f t="shared" si="131"/>
        <v>1212431302.0707612</v>
      </c>
      <c r="ES23" s="165">
        <f t="shared" si="132"/>
        <v>1223215777.0657463</v>
      </c>
      <c r="ET23" s="165">
        <f t="shared" si="133"/>
        <v>1333091683.7411125</v>
      </c>
      <c r="EU23" s="165">
        <f t="shared" si="134"/>
        <v>1521844176.5905643</v>
      </c>
      <c r="EV23" s="165">
        <f t="shared" si="135"/>
        <v>1436124877.3028166</v>
      </c>
      <c r="EW23" s="165">
        <f t="shared" si="136"/>
        <v>1448899087.9343767</v>
      </c>
      <c r="EX23" s="165">
        <f t="shared" si="137"/>
        <v>1579047099.3913479</v>
      </c>
      <c r="EY23" s="165">
        <f t="shared" si="138"/>
        <v>1802624427.1715231</v>
      </c>
      <c r="EZ23" s="165">
        <f t="shared" si="83"/>
        <v>1701089917.1651859</v>
      </c>
      <c r="FA23" s="165">
        <f t="shared" si="84"/>
        <v>1716220969.6582689</v>
      </c>
      <c r="FB23" s="165">
        <f t="shared" si="85"/>
        <v>1870381289.2290511</v>
      </c>
      <c r="FC23" s="165">
        <f t="shared" si="86"/>
        <v>2135208633.9846692</v>
      </c>
      <c r="FE23" s="165">
        <f t="shared" si="87"/>
        <v>2272524603.9409699</v>
      </c>
      <c r="FF23" s="165">
        <f t="shared" si="88"/>
        <v>3447506385.5824137</v>
      </c>
      <c r="FG23" s="165">
        <f t="shared" si="89"/>
        <v>4353016640.2320967</v>
      </c>
      <c r="FH23" s="165">
        <f t="shared" si="90"/>
        <v>5290582939.4681835</v>
      </c>
      <c r="FI23" s="165">
        <f t="shared" si="91"/>
        <v>6266695491.8000641</v>
      </c>
      <c r="FJ23" s="165">
        <f t="shared" si="92"/>
        <v>7422900810.0371742</v>
      </c>
    </row>
    <row r="24" spans="2:166" x14ac:dyDescent="0.2">
      <c r="B24" s="155" t="s">
        <v>229</v>
      </c>
      <c r="C24" s="19">
        <f>C6-C15</f>
        <v>0</v>
      </c>
      <c r="D24" s="19">
        <f t="shared" ref="D24:BO24" si="145">D6-D15</f>
        <v>0</v>
      </c>
      <c r="E24" s="19">
        <f t="shared" si="145"/>
        <v>0</v>
      </c>
      <c r="F24" s="19">
        <f t="shared" si="145"/>
        <v>0</v>
      </c>
      <c r="G24" s="19">
        <f t="shared" si="145"/>
        <v>0</v>
      </c>
      <c r="H24" s="19">
        <f t="shared" si="145"/>
        <v>0</v>
      </c>
      <c r="I24" s="19">
        <f t="shared" si="145"/>
        <v>0</v>
      </c>
      <c r="J24" s="19">
        <f t="shared" si="145"/>
        <v>0</v>
      </c>
      <c r="K24" s="19">
        <f t="shared" si="145"/>
        <v>0</v>
      </c>
      <c r="L24" s="19">
        <f t="shared" si="145"/>
        <v>0</v>
      </c>
      <c r="M24" s="19">
        <f t="shared" si="145"/>
        <v>0</v>
      </c>
      <c r="N24" s="19">
        <f t="shared" si="145"/>
        <v>0</v>
      </c>
      <c r="O24" s="19">
        <f t="shared" si="145"/>
        <v>0</v>
      </c>
      <c r="P24" s="19">
        <f t="shared" si="145"/>
        <v>0</v>
      </c>
      <c r="Q24" s="19">
        <f t="shared" si="145"/>
        <v>0</v>
      </c>
      <c r="R24" s="19">
        <f t="shared" si="145"/>
        <v>0</v>
      </c>
      <c r="S24" s="19">
        <f t="shared" si="145"/>
        <v>0</v>
      </c>
      <c r="T24" s="19">
        <f t="shared" si="145"/>
        <v>0</v>
      </c>
      <c r="U24" s="19">
        <f t="shared" si="145"/>
        <v>0</v>
      </c>
      <c r="V24" s="19">
        <f t="shared" si="145"/>
        <v>0</v>
      </c>
      <c r="W24" s="19">
        <f t="shared" si="145"/>
        <v>0</v>
      </c>
      <c r="X24" s="19">
        <f t="shared" si="145"/>
        <v>0</v>
      </c>
      <c r="Y24" s="19">
        <f t="shared" si="145"/>
        <v>0</v>
      </c>
      <c r="Z24" s="19">
        <f t="shared" si="145"/>
        <v>0</v>
      </c>
      <c r="AA24" s="19">
        <f t="shared" si="145"/>
        <v>0</v>
      </c>
      <c r="AB24" s="19">
        <f t="shared" si="145"/>
        <v>0</v>
      </c>
      <c r="AC24" s="19">
        <f t="shared" si="145"/>
        <v>4954766</v>
      </c>
      <c r="AD24" s="19">
        <f t="shared" si="145"/>
        <v>4037445</v>
      </c>
      <c r="AE24" s="19">
        <f t="shared" si="145"/>
        <v>5795139.0300000003</v>
      </c>
      <c r="AF24" s="19">
        <f t="shared" si="145"/>
        <v>8680388.4000000004</v>
      </c>
      <c r="AG24" s="19">
        <f t="shared" si="145"/>
        <v>9243030.0299999993</v>
      </c>
      <c r="AH24" s="19">
        <f t="shared" si="145"/>
        <v>14763382</v>
      </c>
      <c r="AI24" s="19">
        <f t="shared" si="145"/>
        <v>37620345.100000001</v>
      </c>
      <c r="AJ24" s="19">
        <f t="shared" si="145"/>
        <v>38690629.359999999</v>
      </c>
      <c r="AK24" s="19">
        <f t="shared" si="145"/>
        <v>37284465.949999988</v>
      </c>
      <c r="AL24" s="19">
        <f t="shared" si="145"/>
        <v>41503715.480000101</v>
      </c>
      <c r="AM24" s="19">
        <f t="shared" si="145"/>
        <v>23610724.890000015</v>
      </c>
      <c r="AN24" s="19">
        <f t="shared" si="145"/>
        <v>653479.00000000023</v>
      </c>
      <c r="AO24" s="19">
        <f t="shared" si="145"/>
        <v>15160515.03999999</v>
      </c>
      <c r="AP24" s="19">
        <f t="shared" si="145"/>
        <v>22943616.65000008</v>
      </c>
      <c r="AQ24" s="19">
        <f t="shared" si="145"/>
        <v>30151182.960000135</v>
      </c>
      <c r="AR24" s="19">
        <f t="shared" si="145"/>
        <v>41268079.140000142</v>
      </c>
      <c r="AS24" s="19">
        <f t="shared" si="145"/>
        <v>52461125.990000345</v>
      </c>
      <c r="AT24" s="19">
        <f t="shared" si="145"/>
        <v>76108050.409999847</v>
      </c>
      <c r="AU24" s="19">
        <f t="shared" si="145"/>
        <v>90064856.66999945</v>
      </c>
      <c r="AV24" s="19">
        <f t="shared" si="145"/>
        <v>88310751.100002199</v>
      </c>
      <c r="AW24" s="19">
        <f t="shared" si="145"/>
        <v>96116299.679996312</v>
      </c>
      <c r="AX24" s="19">
        <f t="shared" si="145"/>
        <v>108605334.61999501</v>
      </c>
      <c r="AY24" s="19">
        <f t="shared" si="145"/>
        <v>95380289.289995968</v>
      </c>
      <c r="AZ24" s="19">
        <f t="shared" si="145"/>
        <v>117449996.64000481</v>
      </c>
      <c r="BA24" s="19">
        <f t="shared" si="145"/>
        <v>141888250.5699901</v>
      </c>
      <c r="BB24" s="19">
        <f t="shared" si="145"/>
        <v>144543492.22999817</v>
      </c>
      <c r="BC24" s="19">
        <f t="shared" si="145"/>
        <v>150286837.20000532</v>
      </c>
      <c r="BD24" s="19">
        <f t="shared" si="145"/>
        <v>144106968.34999976</v>
      </c>
      <c r="BE24" s="19">
        <f t="shared" si="145"/>
        <v>162952580.15999565</v>
      </c>
      <c r="BF24" s="19">
        <f t="shared" si="145"/>
        <v>169198135.41999796</v>
      </c>
      <c r="BG24" s="19">
        <f t="shared" si="145"/>
        <v>207985981.08001384</v>
      </c>
      <c r="BH24" s="19">
        <f t="shared" si="145"/>
        <v>228488699.00999886</v>
      </c>
      <c r="BI24" s="19">
        <f t="shared" si="145"/>
        <v>226822362.10000449</v>
      </c>
      <c r="BJ24" s="19">
        <f t="shared" si="145"/>
        <v>290580358.72998047</v>
      </c>
      <c r="BK24" s="19">
        <f t="shared" si="145"/>
        <v>310871940.22002548</v>
      </c>
      <c r="BL24" s="19">
        <f t="shared" si="145"/>
        <v>329021766.16002572</v>
      </c>
      <c r="BM24" s="19">
        <f t="shared" si="145"/>
        <v>321689071.86003822</v>
      </c>
      <c r="BN24" s="19">
        <f t="shared" si="145"/>
        <v>279841172.42004132</v>
      </c>
      <c r="BO24" s="19">
        <f t="shared" si="145"/>
        <v>278148585.89996934</v>
      </c>
      <c r="BP24" s="19">
        <f t="shared" ref="BP24:DR24" si="146">BP6-BP15</f>
        <v>262462347.14003003</v>
      </c>
      <c r="BQ24" s="19">
        <f t="shared" si="146"/>
        <v>378519270.84254277</v>
      </c>
      <c r="BR24" s="19">
        <f t="shared" si="146"/>
        <v>334557099.06254625</v>
      </c>
      <c r="BS24" s="19">
        <f t="shared" si="146"/>
        <v>288341610.66609704</v>
      </c>
      <c r="BT24" s="19">
        <f t="shared" si="146"/>
        <v>259890567.12915152</v>
      </c>
      <c r="BU24" s="19">
        <f t="shared" si="146"/>
        <v>237519357.85305086</v>
      </c>
      <c r="BV24" s="19">
        <f t="shared" si="146"/>
        <v>287183750.34305489</v>
      </c>
      <c r="BW24" s="19">
        <f t="shared" si="146"/>
        <v>303377623.23305589</v>
      </c>
      <c r="BX24" s="19">
        <f t="shared" si="146"/>
        <v>302860728.54000413</v>
      </c>
      <c r="BY24" s="19">
        <f t="shared" si="146"/>
        <v>323349519.70000637</v>
      </c>
      <c r="BZ24" s="19">
        <f t="shared" si="146"/>
        <v>303741721.71000528</v>
      </c>
      <c r="CA24" s="19">
        <f t="shared" si="146"/>
        <v>254864327.23000249</v>
      </c>
      <c r="CB24" s="19">
        <f t="shared" si="146"/>
        <v>217817066.76000494</v>
      </c>
      <c r="CC24" s="19">
        <f t="shared" si="146"/>
        <v>313728741.67000377</v>
      </c>
      <c r="CD24" s="19">
        <f t="shared" si="146"/>
        <v>309314249.54000497</v>
      </c>
      <c r="CE24" s="19">
        <f t="shared" si="146"/>
        <v>368070882.72436666</v>
      </c>
      <c r="CF24" s="19">
        <f t="shared" si="146"/>
        <v>379552463.49032009</v>
      </c>
      <c r="CG24" s="19">
        <f t="shared" si="146"/>
        <v>360411444.08000314</v>
      </c>
      <c r="CH24" s="19">
        <f t="shared" si="146"/>
        <v>450000119.13010532</v>
      </c>
      <c r="CI24" s="19">
        <f t="shared" si="146"/>
        <v>439433304.52013505</v>
      </c>
      <c r="CJ24" s="19">
        <f t="shared" si="146"/>
        <v>417983825.70000333</v>
      </c>
      <c r="CK24" s="19">
        <f t="shared" si="146"/>
        <v>431529333.45097804</v>
      </c>
      <c r="CL24" s="19">
        <f t="shared" si="146"/>
        <v>471853197.32000107</v>
      </c>
      <c r="CM24" s="19">
        <f t="shared" si="146"/>
        <v>392554697.89000165</v>
      </c>
      <c r="CN24" s="19">
        <f t="shared" si="146"/>
        <v>367856266.94999743</v>
      </c>
      <c r="CO24" s="19">
        <f t="shared" si="146"/>
        <v>544719501.60999608</v>
      </c>
      <c r="CP24" s="19">
        <f t="shared" si="146"/>
        <v>484297625.93000001</v>
      </c>
      <c r="CQ24" s="19">
        <f t="shared" si="146"/>
        <v>605669782.98999572</v>
      </c>
      <c r="CR24" s="19">
        <f t="shared" si="146"/>
        <v>647179888.67999852</v>
      </c>
      <c r="CS24" s="19">
        <f t="shared" si="146"/>
        <v>625871591.80999506</v>
      </c>
      <c r="CT24" s="19">
        <f t="shared" si="146"/>
        <v>736514754.33999896</v>
      </c>
      <c r="CU24" s="19">
        <f t="shared" si="146"/>
        <v>626095191.72475302</v>
      </c>
      <c r="CV24" s="19">
        <f t="shared" si="146"/>
        <v>611612602.70865309</v>
      </c>
      <c r="CW24" s="19">
        <f t="shared" si="146"/>
        <v>609567636.88687325</v>
      </c>
      <c r="CX24" s="19">
        <f t="shared" si="146"/>
        <v>664069824.85362947</v>
      </c>
      <c r="CY24" s="19">
        <f t="shared" si="146"/>
        <v>586909576.49641299</v>
      </c>
      <c r="CZ24" s="19">
        <f t="shared" si="146"/>
        <v>540223210.80128634</v>
      </c>
      <c r="DA24" s="19">
        <f t="shared" si="146"/>
        <v>687363651.86864614</v>
      </c>
      <c r="DB24" s="19">
        <f t="shared" si="146"/>
        <v>627937089.56141996</v>
      </c>
      <c r="DC24" s="19">
        <f t="shared" si="146"/>
        <v>757289592.90908384</v>
      </c>
      <c r="DD24" s="19">
        <f t="shared" si="146"/>
        <v>776850476.4638983</v>
      </c>
      <c r="DE24" s="19">
        <f t="shared" si="146"/>
        <v>717706081.70833695</v>
      </c>
      <c r="DF24" s="19">
        <f t="shared" si="146"/>
        <v>843482802.99223065</v>
      </c>
      <c r="DG24" s="19">
        <f t="shared" si="146"/>
        <v>770266000.43841827</v>
      </c>
      <c r="DH24" s="19">
        <f t="shared" si="146"/>
        <v>754468370.34000969</v>
      </c>
      <c r="DI24" s="19">
        <f t="shared" si="146"/>
        <v>748102923.51900816</v>
      </c>
      <c r="DJ24" s="19">
        <f t="shared" si="146"/>
        <v>814219126.89877248</v>
      </c>
      <c r="DK24" s="19">
        <f t="shared" si="146"/>
        <v>718604448.86396861</v>
      </c>
      <c r="DL24" s="19">
        <f t="shared" si="146"/>
        <v>660240489.53645742</v>
      </c>
      <c r="DM24" s="19">
        <f t="shared" si="146"/>
        <v>836395251.38947356</v>
      </c>
      <c r="DN24" s="19">
        <f t="shared" si="146"/>
        <v>760462213.23672414</v>
      </c>
      <c r="DO24" s="19">
        <f t="shared" si="146"/>
        <v>913207230.82738018</v>
      </c>
      <c r="DP24" s="19">
        <f t="shared" si="146"/>
        <v>932845179.59246445</v>
      </c>
      <c r="DQ24" s="19">
        <f t="shared" si="146"/>
        <v>857925523.83911085</v>
      </c>
      <c r="DR24" s="19">
        <f t="shared" si="146"/>
        <v>996642963.49166548</v>
      </c>
      <c r="DS24" s="19">
        <f t="shared" ref="DS24:ED24" si="147">DS6-DS15</f>
        <v>880658526.40984607</v>
      </c>
      <c r="DT24" s="19">
        <f t="shared" si="147"/>
        <v>861822630.43969285</v>
      </c>
      <c r="DU24" s="19">
        <f t="shared" si="147"/>
        <v>854049025.17755497</v>
      </c>
      <c r="DV24" s="19">
        <f t="shared" si="147"/>
        <v>928990888.35059774</v>
      </c>
      <c r="DW24" s="19">
        <f t="shared" si="147"/>
        <v>819196387.02083361</v>
      </c>
      <c r="DX24" s="19">
        <f t="shared" si="147"/>
        <v>751824381.9195317</v>
      </c>
      <c r="DY24" s="19">
        <f t="shared" si="147"/>
        <v>952157069.1890955</v>
      </c>
      <c r="DZ24" s="19">
        <f t="shared" si="147"/>
        <v>865244639.02688432</v>
      </c>
      <c r="EA24" s="19">
        <f t="shared" si="147"/>
        <v>1038760206.5745782</v>
      </c>
      <c r="EB24" s="19">
        <f t="shared" si="147"/>
        <v>1060815895.7446558</v>
      </c>
      <c r="EC24" s="19">
        <f t="shared" si="147"/>
        <v>975103237.80755734</v>
      </c>
      <c r="ED24" s="19">
        <f t="shared" si="147"/>
        <v>1132473579.2846086</v>
      </c>
      <c r="EE24" s="168"/>
      <c r="EF24" s="165">
        <f t="shared" si="119"/>
        <v>961582778.24008942</v>
      </c>
      <c r="EG24" s="165">
        <f t="shared" si="120"/>
        <v>820452105.46004069</v>
      </c>
      <c r="EH24" s="165">
        <f t="shared" si="121"/>
        <v>1001417980.5711861</v>
      </c>
      <c r="EI24" s="165">
        <f t="shared" si="122"/>
        <v>784593675.3252573</v>
      </c>
      <c r="EJ24" s="165">
        <f t="shared" si="123"/>
        <v>929587871.47306645</v>
      </c>
      <c r="EK24" s="165">
        <f t="shared" si="124"/>
        <v>1232264162.1600001</v>
      </c>
      <c r="EL24" s="165">
        <f t="shared" si="125"/>
        <v>991113873.93437541</v>
      </c>
      <c r="EM24" s="165">
        <f t="shared" si="126"/>
        <v>1189964026.7004285</v>
      </c>
      <c r="EN24" s="165">
        <f t="shared" si="127"/>
        <v>1288946463.6711164</v>
      </c>
      <c r="EO24" s="165">
        <f t="shared" si="128"/>
        <v>1232264162.1600001</v>
      </c>
      <c r="EP24" s="165">
        <f t="shared" si="129"/>
        <v>1634686910.5299919</v>
      </c>
      <c r="EQ24" s="165">
        <f t="shared" si="130"/>
        <v>2009566234.8299925</v>
      </c>
      <c r="ER24" s="165">
        <f t="shared" si="131"/>
        <v>1847275431.3202794</v>
      </c>
      <c r="ES24" s="165">
        <f t="shared" si="132"/>
        <v>1791202612.1513286</v>
      </c>
      <c r="ET24" s="165">
        <f t="shared" si="133"/>
        <v>2072590334.33915</v>
      </c>
      <c r="EU24" s="165">
        <f t="shared" si="134"/>
        <v>2338039361.1644659</v>
      </c>
      <c r="EV24" s="165">
        <f t="shared" si="135"/>
        <v>2272837294.2974362</v>
      </c>
      <c r="EW24" s="165">
        <f t="shared" si="136"/>
        <v>2193064065.2991986</v>
      </c>
      <c r="EX24" s="165">
        <f t="shared" si="137"/>
        <v>2510064695.453578</v>
      </c>
      <c r="EY24" s="165">
        <f t="shared" si="138"/>
        <v>2787413666.9232407</v>
      </c>
      <c r="EZ24" s="165">
        <f t="shared" si="83"/>
        <v>2596530182.0270939</v>
      </c>
      <c r="FA24" s="165">
        <f t="shared" si="84"/>
        <v>2500011657.2909632</v>
      </c>
      <c r="FB24" s="165">
        <f t="shared" si="85"/>
        <v>2856161914.7905579</v>
      </c>
      <c r="FC24" s="165">
        <f t="shared" si="86"/>
        <v>3168392712.8368216</v>
      </c>
      <c r="FE24" s="165">
        <f t="shared" si="87"/>
        <v>3568046539.5965734</v>
      </c>
      <c r="FF24" s="165">
        <f t="shared" si="88"/>
        <v>4342929934.2678699</v>
      </c>
      <c r="FG24" s="165">
        <f t="shared" si="89"/>
        <v>6165463771.1911011</v>
      </c>
      <c r="FH24" s="165">
        <f t="shared" si="90"/>
        <v>8049107738.9752245</v>
      </c>
      <c r="FI24" s="165">
        <f t="shared" si="91"/>
        <v>9763379721.9734535</v>
      </c>
      <c r="FJ24" s="165">
        <f t="shared" si="92"/>
        <v>11121096466.945436</v>
      </c>
    </row>
    <row r="25" spans="2:166" x14ac:dyDescent="0.2">
      <c r="B25" s="26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68"/>
      <c r="EF25" s="165"/>
      <c r="EG25" s="165"/>
      <c r="EH25" s="165"/>
      <c r="EI25" s="165"/>
      <c r="EJ25" s="165"/>
      <c r="EK25" s="165"/>
      <c r="EL25" s="165"/>
      <c r="EM25" s="165"/>
      <c r="EN25" s="165"/>
      <c r="EO25" s="165"/>
      <c r="EP25" s="165"/>
      <c r="EQ25" s="165"/>
      <c r="ER25" s="165"/>
      <c r="ES25" s="165"/>
      <c r="ET25" s="165"/>
      <c r="EU25" s="165"/>
      <c r="EV25" s="165"/>
      <c r="EW25" s="165"/>
      <c r="EX25" s="165"/>
      <c r="EY25" s="165"/>
      <c r="EZ25" s="165">
        <f t="shared" si="83"/>
        <v>0</v>
      </c>
      <c r="FA25" s="165">
        <f t="shared" si="84"/>
        <v>0</v>
      </c>
      <c r="FB25" s="165">
        <f t="shared" si="85"/>
        <v>0</v>
      </c>
      <c r="FC25" s="165">
        <f t="shared" si="86"/>
        <v>0</v>
      </c>
      <c r="FE25" s="165"/>
      <c r="FF25" s="165"/>
      <c r="FG25" s="165"/>
      <c r="FH25" s="165"/>
      <c r="FI25" s="165"/>
      <c r="FJ25" s="165"/>
    </row>
    <row r="26" spans="2:166" x14ac:dyDescent="0.2">
      <c r="B26" s="155" t="s">
        <v>227</v>
      </c>
      <c r="C26" s="19">
        <f>C8-C17</f>
        <v>916</v>
      </c>
      <c r="D26" s="19">
        <f t="shared" ref="D26:BO26" si="148">D8-D17</f>
        <v>969</v>
      </c>
      <c r="E26" s="19">
        <f t="shared" si="148"/>
        <v>817</v>
      </c>
      <c r="F26" s="19">
        <f t="shared" si="148"/>
        <v>1419</v>
      </c>
      <c r="G26" s="19">
        <f t="shared" si="148"/>
        <v>1338</v>
      </c>
      <c r="H26" s="19">
        <f t="shared" si="148"/>
        <v>1177</v>
      </c>
      <c r="I26" s="19">
        <f t="shared" si="148"/>
        <v>1366</v>
      </c>
      <c r="J26" s="19">
        <f t="shared" si="148"/>
        <v>1689</v>
      </c>
      <c r="K26" s="19">
        <f t="shared" si="148"/>
        <v>2158</v>
      </c>
      <c r="L26" s="19">
        <f t="shared" si="148"/>
        <v>2163</v>
      </c>
      <c r="M26" s="19">
        <f t="shared" si="148"/>
        <v>2975</v>
      </c>
      <c r="N26" s="19">
        <f t="shared" si="148"/>
        <v>2335</v>
      </c>
      <c r="O26" s="19">
        <f t="shared" si="148"/>
        <v>3233</v>
      </c>
      <c r="P26" s="19">
        <f t="shared" si="148"/>
        <v>3374</v>
      </c>
      <c r="Q26" s="19">
        <f t="shared" si="148"/>
        <v>4098</v>
      </c>
      <c r="R26" s="19">
        <f t="shared" si="148"/>
        <v>3312</v>
      </c>
      <c r="S26" s="19">
        <f t="shared" si="148"/>
        <v>2136</v>
      </c>
      <c r="T26" s="19">
        <f t="shared" si="148"/>
        <v>1506</v>
      </c>
      <c r="U26" s="19">
        <f t="shared" si="148"/>
        <v>1184</v>
      </c>
      <c r="V26" s="19">
        <f t="shared" si="148"/>
        <v>1465</v>
      </c>
      <c r="W26" s="19">
        <f t="shared" si="148"/>
        <v>3891</v>
      </c>
      <c r="X26" s="19">
        <f t="shared" si="148"/>
        <v>2642</v>
      </c>
      <c r="Y26" s="19">
        <f t="shared" si="148"/>
        <v>2600</v>
      </c>
      <c r="Z26" s="19">
        <f t="shared" si="148"/>
        <v>1285</v>
      </c>
      <c r="AA26" s="19">
        <f t="shared" si="148"/>
        <v>-47</v>
      </c>
      <c r="AB26" s="19">
        <f t="shared" si="148"/>
        <v>1527</v>
      </c>
      <c r="AC26" s="19">
        <f t="shared" si="148"/>
        <v>1557</v>
      </c>
      <c r="AD26" s="19">
        <f t="shared" si="148"/>
        <v>1935</v>
      </c>
      <c r="AE26" s="19">
        <f t="shared" si="148"/>
        <v>2201</v>
      </c>
      <c r="AF26" s="19">
        <f t="shared" si="148"/>
        <v>2489</v>
      </c>
      <c r="AG26" s="19">
        <f t="shared" si="148"/>
        <v>2642</v>
      </c>
      <c r="AH26" s="19">
        <f t="shared" si="148"/>
        <v>4233</v>
      </c>
      <c r="AI26" s="19">
        <f t="shared" si="148"/>
        <v>5885</v>
      </c>
      <c r="AJ26" s="19">
        <f t="shared" si="148"/>
        <v>7549</v>
      </c>
      <c r="AK26" s="19">
        <f t="shared" si="148"/>
        <v>6029</v>
      </c>
      <c r="AL26" s="19">
        <f t="shared" si="148"/>
        <v>4414</v>
      </c>
      <c r="AM26" s="19">
        <f t="shared" si="148"/>
        <v>3423</v>
      </c>
      <c r="AN26" s="19">
        <f t="shared" si="148"/>
        <v>2663</v>
      </c>
      <c r="AO26" s="19">
        <f t="shared" si="148"/>
        <v>5289</v>
      </c>
      <c r="AP26" s="19">
        <f t="shared" si="148"/>
        <v>6854</v>
      </c>
      <c r="AQ26" s="19">
        <f t="shared" si="148"/>
        <v>8122</v>
      </c>
      <c r="AR26" s="19">
        <f t="shared" si="148"/>
        <v>9481</v>
      </c>
      <c r="AS26" s="19">
        <f t="shared" si="148"/>
        <v>10302</v>
      </c>
      <c r="AT26" s="19">
        <f t="shared" si="148"/>
        <v>9882</v>
      </c>
      <c r="AU26" s="19">
        <f t="shared" si="148"/>
        <v>10482</v>
      </c>
      <c r="AV26" s="19">
        <f t="shared" si="148"/>
        <v>11746</v>
      </c>
      <c r="AW26" s="19">
        <f t="shared" si="148"/>
        <v>11322</v>
      </c>
      <c r="AX26" s="19">
        <f t="shared" si="148"/>
        <v>13039</v>
      </c>
      <c r="AY26" s="19">
        <f t="shared" si="148"/>
        <v>8406</v>
      </c>
      <c r="AZ26" s="19">
        <f t="shared" si="148"/>
        <v>7264</v>
      </c>
      <c r="BA26" s="19">
        <f t="shared" si="148"/>
        <v>5648</v>
      </c>
      <c r="BB26" s="19">
        <f t="shared" si="148"/>
        <v>6015</v>
      </c>
      <c r="BC26" s="19">
        <f t="shared" si="148"/>
        <v>4698</v>
      </c>
      <c r="BD26" s="19">
        <f t="shared" si="148"/>
        <v>2409</v>
      </c>
      <c r="BE26" s="19">
        <f t="shared" si="148"/>
        <v>1091</v>
      </c>
      <c r="BF26" s="19">
        <f t="shared" si="148"/>
        <v>2003</v>
      </c>
      <c r="BG26" s="19">
        <f t="shared" si="148"/>
        <v>3841</v>
      </c>
      <c r="BH26" s="19">
        <f t="shared" si="148"/>
        <v>4296</v>
      </c>
      <c r="BI26" s="19">
        <f t="shared" si="148"/>
        <v>3854</v>
      </c>
      <c r="BJ26" s="19">
        <f t="shared" si="148"/>
        <v>4184</v>
      </c>
      <c r="BK26" s="19">
        <f t="shared" si="148"/>
        <v>0</v>
      </c>
      <c r="BL26" s="19">
        <f t="shared" si="148"/>
        <v>0</v>
      </c>
      <c r="BM26" s="19">
        <f t="shared" si="148"/>
        <v>0</v>
      </c>
      <c r="BN26" s="19">
        <f t="shared" si="148"/>
        <v>0</v>
      </c>
      <c r="BO26" s="19">
        <f t="shared" si="148"/>
        <v>0</v>
      </c>
      <c r="BP26" s="19">
        <f t="shared" ref="BP26:DR26" si="149">BP8-BP17</f>
        <v>0</v>
      </c>
      <c r="BQ26" s="19">
        <f t="shared" si="149"/>
        <v>0</v>
      </c>
      <c r="BR26" s="19">
        <f t="shared" si="149"/>
        <v>0</v>
      </c>
      <c r="BS26" s="19">
        <f t="shared" si="149"/>
        <v>0</v>
      </c>
      <c r="BT26" s="19">
        <f t="shared" si="149"/>
        <v>0</v>
      </c>
      <c r="BU26" s="19">
        <f t="shared" si="149"/>
        <v>0</v>
      </c>
      <c r="BV26" s="19">
        <f t="shared" si="149"/>
        <v>0</v>
      </c>
      <c r="BW26" s="19">
        <f t="shared" si="149"/>
        <v>0</v>
      </c>
      <c r="BX26" s="19">
        <f t="shared" si="149"/>
        <v>0</v>
      </c>
      <c r="BY26" s="19">
        <f t="shared" si="149"/>
        <v>0</v>
      </c>
      <c r="BZ26" s="19">
        <f t="shared" si="149"/>
        <v>0</v>
      </c>
      <c r="CA26" s="19">
        <f t="shared" si="149"/>
        <v>0</v>
      </c>
      <c r="CB26" s="19">
        <f t="shared" si="149"/>
        <v>0</v>
      </c>
      <c r="CC26" s="19">
        <f t="shared" si="149"/>
        <v>0</v>
      </c>
      <c r="CD26" s="19">
        <f t="shared" si="149"/>
        <v>0</v>
      </c>
      <c r="CE26" s="19">
        <f t="shared" si="149"/>
        <v>0</v>
      </c>
      <c r="CF26" s="19">
        <f t="shared" si="149"/>
        <v>0</v>
      </c>
      <c r="CG26" s="19">
        <f t="shared" si="149"/>
        <v>0</v>
      </c>
      <c r="CH26" s="19">
        <f t="shared" si="149"/>
        <v>0</v>
      </c>
      <c r="CI26" s="19">
        <f t="shared" si="149"/>
        <v>0</v>
      </c>
      <c r="CJ26" s="19">
        <f t="shared" si="149"/>
        <v>0</v>
      </c>
      <c r="CK26" s="19">
        <f t="shared" si="149"/>
        <v>0</v>
      </c>
      <c r="CL26" s="19">
        <f t="shared" si="149"/>
        <v>0</v>
      </c>
      <c r="CM26" s="19">
        <f t="shared" si="149"/>
        <v>0</v>
      </c>
      <c r="CN26" s="19">
        <f t="shared" si="149"/>
        <v>0</v>
      </c>
      <c r="CO26" s="19">
        <f t="shared" si="149"/>
        <v>0</v>
      </c>
      <c r="CP26" s="19">
        <f t="shared" si="149"/>
        <v>0</v>
      </c>
      <c r="CQ26" s="19">
        <f t="shared" si="149"/>
        <v>0</v>
      </c>
      <c r="CR26" s="19">
        <f t="shared" si="149"/>
        <v>0</v>
      </c>
      <c r="CS26" s="19">
        <f t="shared" si="149"/>
        <v>0</v>
      </c>
      <c r="CT26" s="19">
        <f t="shared" si="149"/>
        <v>0</v>
      </c>
      <c r="CU26" s="19">
        <f t="shared" si="149"/>
        <v>0</v>
      </c>
      <c r="CV26" s="19">
        <f t="shared" si="149"/>
        <v>0</v>
      </c>
      <c r="CW26" s="19">
        <f t="shared" si="149"/>
        <v>0</v>
      </c>
      <c r="CX26" s="19">
        <f t="shared" si="149"/>
        <v>0</v>
      </c>
      <c r="CY26" s="19">
        <f t="shared" si="149"/>
        <v>0</v>
      </c>
      <c r="CZ26" s="19">
        <f t="shared" si="149"/>
        <v>0</v>
      </c>
      <c r="DA26" s="19">
        <f t="shared" si="149"/>
        <v>0</v>
      </c>
      <c r="DB26" s="19">
        <f t="shared" si="149"/>
        <v>0</v>
      </c>
      <c r="DC26" s="19">
        <f t="shared" si="149"/>
        <v>0</v>
      </c>
      <c r="DD26" s="19">
        <f t="shared" si="149"/>
        <v>0</v>
      </c>
      <c r="DE26" s="19">
        <f t="shared" si="149"/>
        <v>0</v>
      </c>
      <c r="DF26" s="19">
        <f t="shared" si="149"/>
        <v>0</v>
      </c>
      <c r="DG26" s="19">
        <f t="shared" si="149"/>
        <v>0</v>
      </c>
      <c r="DH26" s="19">
        <f t="shared" si="149"/>
        <v>0</v>
      </c>
      <c r="DI26" s="19">
        <f t="shared" si="149"/>
        <v>0</v>
      </c>
      <c r="DJ26" s="19">
        <f t="shared" si="149"/>
        <v>0</v>
      </c>
      <c r="DK26" s="19">
        <f t="shared" si="149"/>
        <v>0</v>
      </c>
      <c r="DL26" s="19">
        <f t="shared" si="149"/>
        <v>0</v>
      </c>
      <c r="DM26" s="19">
        <f t="shared" si="149"/>
        <v>0</v>
      </c>
      <c r="DN26" s="19">
        <f t="shared" si="149"/>
        <v>0</v>
      </c>
      <c r="DO26" s="19">
        <f t="shared" si="149"/>
        <v>0</v>
      </c>
      <c r="DP26" s="19">
        <f t="shared" si="149"/>
        <v>0</v>
      </c>
      <c r="DQ26" s="19">
        <f t="shared" si="149"/>
        <v>0</v>
      </c>
      <c r="DR26" s="19">
        <f t="shared" si="149"/>
        <v>0</v>
      </c>
      <c r="DS26" s="19">
        <f t="shared" ref="DS26:ED26" si="150">DS8-DS17</f>
        <v>0</v>
      </c>
      <c r="DT26" s="19">
        <f t="shared" si="150"/>
        <v>0</v>
      </c>
      <c r="DU26" s="19">
        <f t="shared" si="150"/>
        <v>0</v>
      </c>
      <c r="DV26" s="19">
        <f t="shared" si="150"/>
        <v>0</v>
      </c>
      <c r="DW26" s="19">
        <f t="shared" si="150"/>
        <v>0</v>
      </c>
      <c r="DX26" s="19">
        <f t="shared" si="150"/>
        <v>0</v>
      </c>
      <c r="DY26" s="19">
        <f t="shared" si="150"/>
        <v>0</v>
      </c>
      <c r="DZ26" s="19">
        <f t="shared" si="150"/>
        <v>0</v>
      </c>
      <c r="EA26" s="19">
        <f t="shared" si="150"/>
        <v>0</v>
      </c>
      <c r="EB26" s="19">
        <f t="shared" si="150"/>
        <v>0</v>
      </c>
      <c r="EC26" s="19">
        <f t="shared" si="150"/>
        <v>0</v>
      </c>
      <c r="ED26" s="19">
        <f t="shared" si="150"/>
        <v>0</v>
      </c>
      <c r="EE26" s="168"/>
      <c r="EF26" s="165">
        <f t="shared" si="119"/>
        <v>0</v>
      </c>
      <c r="EG26" s="165">
        <f t="shared" si="120"/>
        <v>0</v>
      </c>
      <c r="EH26" s="165">
        <f t="shared" si="121"/>
        <v>0</v>
      </c>
      <c r="EI26" s="165">
        <f t="shared" si="122"/>
        <v>0</v>
      </c>
      <c r="EJ26" s="165">
        <f t="shared" si="123"/>
        <v>0</v>
      </c>
      <c r="EK26" s="165">
        <f t="shared" si="124"/>
        <v>0</v>
      </c>
      <c r="EL26" s="165">
        <f t="shared" si="125"/>
        <v>0</v>
      </c>
      <c r="EM26" s="165">
        <f t="shared" si="126"/>
        <v>0</v>
      </c>
      <c r="EN26" s="165">
        <f t="shared" si="127"/>
        <v>0</v>
      </c>
      <c r="EO26" s="165">
        <f t="shared" si="128"/>
        <v>0</v>
      </c>
      <c r="EP26" s="165">
        <f t="shared" si="129"/>
        <v>0</v>
      </c>
      <c r="EQ26" s="165">
        <f t="shared" si="130"/>
        <v>0</v>
      </c>
      <c r="ER26" s="165">
        <f t="shared" si="131"/>
        <v>0</v>
      </c>
      <c r="ES26" s="165">
        <f t="shared" si="132"/>
        <v>0</v>
      </c>
      <c r="ET26" s="165">
        <f t="shared" si="133"/>
        <v>0</v>
      </c>
      <c r="EU26" s="165">
        <f t="shared" si="134"/>
        <v>0</v>
      </c>
      <c r="EV26" s="165">
        <f t="shared" si="135"/>
        <v>0</v>
      </c>
      <c r="EW26" s="165">
        <f t="shared" si="136"/>
        <v>0</v>
      </c>
      <c r="EX26" s="165">
        <f t="shared" si="137"/>
        <v>0</v>
      </c>
      <c r="EY26" s="165">
        <f t="shared" si="138"/>
        <v>0</v>
      </c>
      <c r="EZ26" s="165">
        <f t="shared" si="83"/>
        <v>0</v>
      </c>
      <c r="FA26" s="165">
        <f t="shared" si="84"/>
        <v>0</v>
      </c>
      <c r="FB26" s="165">
        <f t="shared" si="85"/>
        <v>0</v>
      </c>
      <c r="FC26" s="165">
        <f t="shared" si="86"/>
        <v>0</v>
      </c>
      <c r="FE26" s="165">
        <f t="shared" si="87"/>
        <v>0</v>
      </c>
      <c r="FF26" s="165">
        <f t="shared" si="88"/>
        <v>0</v>
      </c>
      <c r="FG26" s="165">
        <f t="shared" si="89"/>
        <v>0</v>
      </c>
      <c r="FH26" s="165">
        <f t="shared" si="90"/>
        <v>0</v>
      </c>
      <c r="FI26" s="165">
        <f t="shared" si="91"/>
        <v>0</v>
      </c>
      <c r="FJ26" s="165">
        <f t="shared" si="92"/>
        <v>0</v>
      </c>
    </row>
    <row r="27" spans="2:166" x14ac:dyDescent="0.2">
      <c r="B27" s="155" t="s">
        <v>228</v>
      </c>
      <c r="C27" s="19">
        <f>C9-C18</f>
        <v>0</v>
      </c>
      <c r="D27" s="19">
        <f t="shared" ref="D27:BO27" si="151">D9-D18</f>
        <v>0</v>
      </c>
      <c r="E27" s="19">
        <f t="shared" si="151"/>
        <v>0</v>
      </c>
      <c r="F27" s="19">
        <f t="shared" si="151"/>
        <v>0</v>
      </c>
      <c r="G27" s="19">
        <f t="shared" si="151"/>
        <v>0</v>
      </c>
      <c r="H27" s="19">
        <f t="shared" si="151"/>
        <v>0</v>
      </c>
      <c r="I27" s="19">
        <f t="shared" si="151"/>
        <v>0</v>
      </c>
      <c r="J27" s="19">
        <f t="shared" si="151"/>
        <v>0</v>
      </c>
      <c r="K27" s="19">
        <f t="shared" si="151"/>
        <v>0</v>
      </c>
      <c r="L27" s="19">
        <f t="shared" si="151"/>
        <v>80</v>
      </c>
      <c r="M27" s="19">
        <f t="shared" si="151"/>
        <v>432</v>
      </c>
      <c r="N27" s="19">
        <f t="shared" si="151"/>
        <v>1705</v>
      </c>
      <c r="O27" s="19">
        <f t="shared" si="151"/>
        <v>2055</v>
      </c>
      <c r="P27" s="19">
        <f t="shared" si="151"/>
        <v>2301</v>
      </c>
      <c r="Q27" s="19">
        <f t="shared" si="151"/>
        <v>1621</v>
      </c>
      <c r="R27" s="19">
        <f t="shared" si="151"/>
        <v>3131</v>
      </c>
      <c r="S27" s="19">
        <f t="shared" si="151"/>
        <v>2883</v>
      </c>
      <c r="T27" s="19">
        <f t="shared" si="151"/>
        <v>3656</v>
      </c>
      <c r="U27" s="19">
        <f t="shared" si="151"/>
        <v>3261</v>
      </c>
      <c r="V27" s="19">
        <f t="shared" si="151"/>
        <v>1240</v>
      </c>
      <c r="W27" s="19">
        <f t="shared" si="151"/>
        <v>1688</v>
      </c>
      <c r="X27" s="19">
        <f t="shared" si="151"/>
        <v>2470</v>
      </c>
      <c r="Y27" s="19">
        <f t="shared" si="151"/>
        <v>245</v>
      </c>
      <c r="Z27" s="19">
        <f t="shared" si="151"/>
        <v>1399</v>
      </c>
      <c r="AA27" s="19">
        <f t="shared" si="151"/>
        <v>-233</v>
      </c>
      <c r="AB27" s="19">
        <f t="shared" si="151"/>
        <v>1757</v>
      </c>
      <c r="AC27" s="19">
        <f t="shared" si="151"/>
        <v>869</v>
      </c>
      <c r="AD27" s="19">
        <f t="shared" si="151"/>
        <v>529</v>
      </c>
      <c r="AE27" s="19">
        <f t="shared" si="151"/>
        <v>662</v>
      </c>
      <c r="AF27" s="19">
        <f t="shared" si="151"/>
        <v>1045</v>
      </c>
      <c r="AG27" s="19">
        <f t="shared" si="151"/>
        <v>1693</v>
      </c>
      <c r="AH27" s="19">
        <f t="shared" si="151"/>
        <v>1554</v>
      </c>
      <c r="AI27" s="19">
        <f t="shared" si="151"/>
        <v>2552</v>
      </c>
      <c r="AJ27" s="19">
        <f t="shared" si="151"/>
        <v>3124</v>
      </c>
      <c r="AK27" s="19">
        <f t="shared" si="151"/>
        <v>1721</v>
      </c>
      <c r="AL27" s="19">
        <f t="shared" si="151"/>
        <v>2362</v>
      </c>
      <c r="AM27" s="19">
        <f t="shared" si="151"/>
        <v>2074</v>
      </c>
      <c r="AN27" s="19">
        <f t="shared" si="151"/>
        <v>1265</v>
      </c>
      <c r="AO27" s="19">
        <f t="shared" si="151"/>
        <v>1848</v>
      </c>
      <c r="AP27" s="19">
        <f t="shared" si="151"/>
        <v>1552</v>
      </c>
      <c r="AQ27" s="19">
        <f t="shared" si="151"/>
        <v>984</v>
      </c>
      <c r="AR27" s="19">
        <f t="shared" si="151"/>
        <v>1095</v>
      </c>
      <c r="AS27" s="19">
        <f t="shared" si="151"/>
        <v>1306</v>
      </c>
      <c r="AT27" s="19">
        <f t="shared" si="151"/>
        <v>2999</v>
      </c>
      <c r="AU27" s="19">
        <f t="shared" si="151"/>
        <v>3673</v>
      </c>
      <c r="AV27" s="19">
        <f t="shared" si="151"/>
        <v>3859</v>
      </c>
      <c r="AW27" s="19">
        <f t="shared" si="151"/>
        <v>2982</v>
      </c>
      <c r="AX27" s="19">
        <f t="shared" si="151"/>
        <v>1517</v>
      </c>
      <c r="AY27" s="19">
        <f t="shared" si="151"/>
        <v>1430</v>
      </c>
      <c r="AZ27" s="19">
        <f t="shared" si="151"/>
        <v>2223</v>
      </c>
      <c r="BA27" s="19">
        <f t="shared" si="151"/>
        <v>2220</v>
      </c>
      <c r="BB27" s="19">
        <f t="shared" si="151"/>
        <v>2641</v>
      </c>
      <c r="BC27" s="19">
        <f t="shared" si="151"/>
        <v>2093</v>
      </c>
      <c r="BD27" s="19">
        <f t="shared" si="151"/>
        <v>3067</v>
      </c>
      <c r="BE27" s="19">
        <f t="shared" si="151"/>
        <v>4050</v>
      </c>
      <c r="BF27" s="19">
        <f t="shared" si="151"/>
        <v>2922</v>
      </c>
      <c r="BG27" s="19">
        <f t="shared" si="151"/>
        <v>2630</v>
      </c>
      <c r="BH27" s="19">
        <f t="shared" si="151"/>
        <v>2543</v>
      </c>
      <c r="BI27" s="19">
        <f t="shared" si="151"/>
        <v>4345</v>
      </c>
      <c r="BJ27" s="19">
        <f t="shared" si="151"/>
        <v>7025</v>
      </c>
      <c r="BK27" s="19">
        <f t="shared" si="151"/>
        <v>8356</v>
      </c>
      <c r="BL27" s="19">
        <f t="shared" si="151"/>
        <v>7180</v>
      </c>
      <c r="BM27" s="19">
        <f t="shared" si="151"/>
        <v>9549</v>
      </c>
      <c r="BN27" s="19">
        <f t="shared" si="151"/>
        <v>6251</v>
      </c>
      <c r="BO27" s="19">
        <f t="shared" si="151"/>
        <v>7619</v>
      </c>
      <c r="BP27" s="19">
        <f t="shared" ref="BP27:DR27" si="152">BP9-BP18</f>
        <v>7870</v>
      </c>
      <c r="BQ27" s="19">
        <f t="shared" si="152"/>
        <v>10258</v>
      </c>
      <c r="BR27" s="19">
        <f t="shared" si="152"/>
        <v>9162</v>
      </c>
      <c r="BS27" s="19">
        <f t="shared" si="152"/>
        <v>8312</v>
      </c>
      <c r="BT27" s="19">
        <f t="shared" si="152"/>
        <v>8730</v>
      </c>
      <c r="BU27" s="19">
        <f t="shared" si="152"/>
        <v>5914</v>
      </c>
      <c r="BV27" s="19">
        <f t="shared" si="152"/>
        <v>9130</v>
      </c>
      <c r="BW27" s="19">
        <f t="shared" si="152"/>
        <v>8412</v>
      </c>
      <c r="BX27" s="19">
        <f t="shared" si="152"/>
        <v>8850</v>
      </c>
      <c r="BY27" s="19">
        <f t="shared" si="152"/>
        <v>9253</v>
      </c>
      <c r="BZ27" s="19">
        <f t="shared" si="152"/>
        <v>9632</v>
      </c>
      <c r="CA27" s="19">
        <f t="shared" si="152"/>
        <v>8794</v>
      </c>
      <c r="CB27" s="19">
        <f t="shared" si="152"/>
        <v>8867</v>
      </c>
      <c r="CC27" s="19">
        <f t="shared" si="152"/>
        <v>8865</v>
      </c>
      <c r="CD27" s="19">
        <f t="shared" si="152"/>
        <v>7938</v>
      </c>
      <c r="CE27" s="19">
        <f t="shared" si="152"/>
        <v>9864</v>
      </c>
      <c r="CF27" s="19">
        <f t="shared" si="152"/>
        <v>11056</v>
      </c>
      <c r="CG27" s="19">
        <f t="shared" si="152"/>
        <v>10929</v>
      </c>
      <c r="CH27" s="19">
        <f t="shared" si="152"/>
        <v>14334</v>
      </c>
      <c r="CI27" s="19">
        <f t="shared" si="152"/>
        <v>11613</v>
      </c>
      <c r="CJ27" s="19">
        <f t="shared" si="152"/>
        <v>12041</v>
      </c>
      <c r="CK27" s="19">
        <f t="shared" si="152"/>
        <v>12192.285714285714</v>
      </c>
      <c r="CL27" s="19">
        <f t="shared" si="152"/>
        <v>12753</v>
      </c>
      <c r="CM27" s="19">
        <f t="shared" si="152"/>
        <v>11762</v>
      </c>
      <c r="CN27" s="19">
        <f t="shared" si="152"/>
        <v>15097</v>
      </c>
      <c r="CO27" s="19">
        <f t="shared" si="152"/>
        <v>12366</v>
      </c>
      <c r="CP27" s="19">
        <f t="shared" si="152"/>
        <v>12725</v>
      </c>
      <c r="CQ27" s="19">
        <f t="shared" si="152"/>
        <v>15982</v>
      </c>
      <c r="CR27" s="19">
        <f t="shared" si="152"/>
        <v>17576</v>
      </c>
      <c r="CS27" s="19">
        <f t="shared" si="152"/>
        <v>14807</v>
      </c>
      <c r="CT27" s="19">
        <f t="shared" si="152"/>
        <v>16187</v>
      </c>
      <c r="CU27" s="19">
        <f t="shared" si="152"/>
        <v>14757.837443303892</v>
      </c>
      <c r="CV27" s="19">
        <f t="shared" si="152"/>
        <v>14908.037655765098</v>
      </c>
      <c r="CW27" s="19">
        <f t="shared" si="152"/>
        <v>14897.372551921699</v>
      </c>
      <c r="CX27" s="19">
        <f t="shared" si="152"/>
        <v>15122.228491286704</v>
      </c>
      <c r="CY27" s="19">
        <f t="shared" si="152"/>
        <v>14249.467493435186</v>
      </c>
      <c r="CZ27" s="19">
        <f t="shared" si="152"/>
        <v>15587.938025781808</v>
      </c>
      <c r="DA27" s="19">
        <f t="shared" si="152"/>
        <v>15156.890078777749</v>
      </c>
      <c r="DB27" s="19">
        <f t="shared" si="152"/>
        <v>15192.440424922414</v>
      </c>
      <c r="DC27" s="19">
        <f t="shared" si="152"/>
        <v>18648.82282883743</v>
      </c>
      <c r="DD27" s="19">
        <f t="shared" si="152"/>
        <v>20093.944399618045</v>
      </c>
      <c r="DE27" s="19">
        <f t="shared" si="152"/>
        <v>17226.808983050847</v>
      </c>
      <c r="DF27" s="19">
        <f t="shared" si="152"/>
        <v>18615.049999999996</v>
      </c>
      <c r="DG27" s="19">
        <f t="shared" si="152"/>
        <v>16971.513059799472</v>
      </c>
      <c r="DH27" s="19">
        <f t="shared" si="152"/>
        <v>17144.243304129861</v>
      </c>
      <c r="DI27" s="19">
        <f t="shared" si="152"/>
        <v>17131.978434709952</v>
      </c>
      <c r="DJ27" s="19">
        <f t="shared" si="152"/>
        <v>17390.562764979706</v>
      </c>
      <c r="DK27" s="19">
        <f t="shared" si="152"/>
        <v>16386.887617450462</v>
      </c>
      <c r="DL27" s="19">
        <f t="shared" si="152"/>
        <v>17926.128729649077</v>
      </c>
      <c r="DM27" s="19">
        <f t="shared" si="152"/>
        <v>17430.423590594412</v>
      </c>
      <c r="DN27" s="19">
        <f t="shared" si="152"/>
        <v>17471.306488660775</v>
      </c>
      <c r="DO27" s="19">
        <f t="shared" si="152"/>
        <v>21446.146253163039</v>
      </c>
      <c r="DP27" s="19">
        <f t="shared" si="152"/>
        <v>23108.036059560749</v>
      </c>
      <c r="DQ27" s="19">
        <f t="shared" si="152"/>
        <v>19810.83033050847</v>
      </c>
      <c r="DR27" s="19">
        <f t="shared" si="152"/>
        <v>21407.307499999995</v>
      </c>
      <c r="DS27" s="19">
        <f t="shared" ref="DS27:ED27" si="153">DS9-DS18</f>
        <v>19517.240018769393</v>
      </c>
      <c r="DT27" s="19">
        <f t="shared" si="153"/>
        <v>19715.879799749338</v>
      </c>
      <c r="DU27" s="19">
        <f t="shared" si="153"/>
        <v>19701.775199916447</v>
      </c>
      <c r="DV27" s="19">
        <f t="shared" si="153"/>
        <v>19999.147179726664</v>
      </c>
      <c r="DW27" s="19">
        <f t="shared" si="153"/>
        <v>18844.920760068027</v>
      </c>
      <c r="DX27" s="19">
        <f t="shared" si="153"/>
        <v>20615.048039096437</v>
      </c>
      <c r="DY27" s="19">
        <f t="shared" si="153"/>
        <v>20044.98712918357</v>
      </c>
      <c r="DZ27" s="19">
        <f t="shared" si="153"/>
        <v>20092.002461959888</v>
      </c>
      <c r="EA27" s="19">
        <f t="shared" si="153"/>
        <v>24663.068191137496</v>
      </c>
      <c r="EB27" s="19">
        <f t="shared" si="153"/>
        <v>26574.24146849486</v>
      </c>
      <c r="EC27" s="19">
        <f t="shared" si="153"/>
        <v>22782.454880084737</v>
      </c>
      <c r="ED27" s="19">
        <f t="shared" si="153"/>
        <v>24618.403624999992</v>
      </c>
      <c r="EE27" s="168"/>
      <c r="EF27" s="165">
        <f t="shared" si="119"/>
        <v>25085</v>
      </c>
      <c r="EG27" s="165">
        <f t="shared" si="120"/>
        <v>21740</v>
      </c>
      <c r="EH27" s="165">
        <f t="shared" si="121"/>
        <v>27732</v>
      </c>
      <c r="EI27" s="165">
        <f t="shared" si="122"/>
        <v>23774</v>
      </c>
      <c r="EJ27" s="165">
        <f t="shared" si="123"/>
        <v>26515</v>
      </c>
      <c r="EK27" s="165">
        <f t="shared" si="124"/>
        <v>39612</v>
      </c>
      <c r="EL27" s="165">
        <f t="shared" si="125"/>
        <v>26667</v>
      </c>
      <c r="EM27" s="165">
        <f t="shared" si="126"/>
        <v>36319</v>
      </c>
      <c r="EN27" s="165">
        <f t="shared" si="127"/>
        <v>35846.28571428571</v>
      </c>
      <c r="EO27" s="165">
        <f t="shared" si="128"/>
        <v>39612</v>
      </c>
      <c r="EP27" s="165">
        <f t="shared" si="129"/>
        <v>41073</v>
      </c>
      <c r="EQ27" s="165">
        <f t="shared" si="130"/>
        <v>48570</v>
      </c>
      <c r="ER27" s="165">
        <f t="shared" si="131"/>
        <v>44563.247650990685</v>
      </c>
      <c r="ES27" s="165">
        <f t="shared" si="132"/>
        <v>44959.634010503694</v>
      </c>
      <c r="ET27" s="165">
        <f t="shared" si="133"/>
        <v>48998.153332537593</v>
      </c>
      <c r="EU27" s="165">
        <f t="shared" si="134"/>
        <v>55935.803382668884</v>
      </c>
      <c r="EV27" s="165">
        <f t="shared" si="135"/>
        <v>51247.734798639285</v>
      </c>
      <c r="EW27" s="165">
        <f t="shared" si="136"/>
        <v>51703.579112079242</v>
      </c>
      <c r="EX27" s="165">
        <f t="shared" si="137"/>
        <v>56347.876332418222</v>
      </c>
      <c r="EY27" s="165">
        <f t="shared" si="138"/>
        <v>64326.173890069214</v>
      </c>
      <c r="EZ27" s="165">
        <f t="shared" si="83"/>
        <v>58934.895018435178</v>
      </c>
      <c r="FA27" s="165">
        <f t="shared" si="84"/>
        <v>59459.115978891132</v>
      </c>
      <c r="FB27" s="165">
        <f t="shared" si="85"/>
        <v>64800.057782280957</v>
      </c>
      <c r="FC27" s="165">
        <f t="shared" si="86"/>
        <v>73975.099973579592</v>
      </c>
      <c r="FE27" s="165">
        <f t="shared" si="87"/>
        <v>98331</v>
      </c>
      <c r="FF27" s="165">
        <f t="shared" si="88"/>
        <v>129113</v>
      </c>
      <c r="FG27" s="165">
        <f t="shared" si="89"/>
        <v>165101.28571428571</v>
      </c>
      <c r="FH27" s="165">
        <f t="shared" si="90"/>
        <v>194456.83837670085</v>
      </c>
      <c r="FI27" s="165">
        <f t="shared" si="91"/>
        <v>223625.36413320596</v>
      </c>
      <c r="FJ27" s="165">
        <f t="shared" si="92"/>
        <v>257169.16875318688</v>
      </c>
    </row>
    <row r="28" spans="2:166" x14ac:dyDescent="0.2">
      <c r="B28" s="155" t="s">
        <v>229</v>
      </c>
      <c r="C28" s="19">
        <f>C10-C19</f>
        <v>0</v>
      </c>
      <c r="D28" s="19">
        <f t="shared" ref="D28:BO28" si="154">D10-D19</f>
        <v>0</v>
      </c>
      <c r="E28" s="19">
        <f t="shared" si="154"/>
        <v>0</v>
      </c>
      <c r="F28" s="19">
        <f t="shared" si="154"/>
        <v>0</v>
      </c>
      <c r="G28" s="19">
        <f t="shared" si="154"/>
        <v>0</v>
      </c>
      <c r="H28" s="19">
        <f t="shared" si="154"/>
        <v>0</v>
      </c>
      <c r="I28" s="19">
        <f t="shared" si="154"/>
        <v>0</v>
      </c>
      <c r="J28" s="19">
        <f t="shared" si="154"/>
        <v>0</v>
      </c>
      <c r="K28" s="19">
        <f t="shared" si="154"/>
        <v>0</v>
      </c>
      <c r="L28" s="19">
        <f t="shared" si="154"/>
        <v>0</v>
      </c>
      <c r="M28" s="19">
        <f t="shared" si="154"/>
        <v>0</v>
      </c>
      <c r="N28" s="19">
        <f t="shared" si="154"/>
        <v>0</v>
      </c>
      <c r="O28" s="19">
        <f t="shared" si="154"/>
        <v>0</v>
      </c>
      <c r="P28" s="19">
        <f t="shared" si="154"/>
        <v>0</v>
      </c>
      <c r="Q28" s="19">
        <f t="shared" si="154"/>
        <v>0</v>
      </c>
      <c r="R28" s="19">
        <f t="shared" si="154"/>
        <v>0</v>
      </c>
      <c r="S28" s="19">
        <f t="shared" si="154"/>
        <v>0</v>
      </c>
      <c r="T28" s="19">
        <f t="shared" si="154"/>
        <v>0</v>
      </c>
      <c r="U28" s="19">
        <f t="shared" si="154"/>
        <v>0</v>
      </c>
      <c r="V28" s="19">
        <f t="shared" si="154"/>
        <v>0</v>
      </c>
      <c r="W28" s="19">
        <f t="shared" si="154"/>
        <v>0</v>
      </c>
      <c r="X28" s="19">
        <f t="shared" si="154"/>
        <v>0</v>
      </c>
      <c r="Y28" s="19">
        <f t="shared" si="154"/>
        <v>0</v>
      </c>
      <c r="Z28" s="19">
        <f t="shared" si="154"/>
        <v>0</v>
      </c>
      <c r="AA28" s="19">
        <f t="shared" si="154"/>
        <v>0</v>
      </c>
      <c r="AB28" s="19">
        <f t="shared" si="154"/>
        <v>0</v>
      </c>
      <c r="AC28" s="19">
        <f t="shared" si="154"/>
        <v>361</v>
      </c>
      <c r="AD28" s="19">
        <f t="shared" si="154"/>
        <v>274</v>
      </c>
      <c r="AE28" s="19">
        <f t="shared" si="154"/>
        <v>463</v>
      </c>
      <c r="AF28" s="19">
        <f t="shared" si="154"/>
        <v>770</v>
      </c>
      <c r="AG28" s="19">
        <f t="shared" si="154"/>
        <v>730</v>
      </c>
      <c r="AH28" s="19">
        <f t="shared" si="154"/>
        <v>1159</v>
      </c>
      <c r="AI28" s="19">
        <f t="shared" si="154"/>
        <v>1994</v>
      </c>
      <c r="AJ28" s="19">
        <f t="shared" si="154"/>
        <v>1964</v>
      </c>
      <c r="AK28" s="19">
        <f t="shared" si="154"/>
        <v>2172</v>
      </c>
      <c r="AL28" s="19">
        <f t="shared" si="154"/>
        <v>2961</v>
      </c>
      <c r="AM28" s="19">
        <f t="shared" si="154"/>
        <v>1624</v>
      </c>
      <c r="AN28" s="19">
        <f t="shared" si="154"/>
        <v>48</v>
      </c>
      <c r="AO28" s="19">
        <f t="shared" si="154"/>
        <v>1134</v>
      </c>
      <c r="AP28" s="19">
        <f t="shared" si="154"/>
        <v>1752</v>
      </c>
      <c r="AQ28" s="19">
        <f t="shared" si="154"/>
        <v>2270</v>
      </c>
      <c r="AR28" s="19">
        <f t="shared" si="154"/>
        <v>3287</v>
      </c>
      <c r="AS28" s="19">
        <f t="shared" si="154"/>
        <v>3653</v>
      </c>
      <c r="AT28" s="19">
        <f t="shared" si="154"/>
        <v>4937</v>
      </c>
      <c r="AU28" s="19">
        <f t="shared" si="154"/>
        <v>6074</v>
      </c>
      <c r="AV28" s="19">
        <f t="shared" si="154"/>
        <v>5990</v>
      </c>
      <c r="AW28" s="19">
        <f t="shared" si="154"/>
        <v>6098</v>
      </c>
      <c r="AX28" s="19">
        <f t="shared" si="154"/>
        <v>6690</v>
      </c>
      <c r="AY28" s="19">
        <f t="shared" si="154"/>
        <v>5849</v>
      </c>
      <c r="AZ28" s="19">
        <f t="shared" si="154"/>
        <v>7950</v>
      </c>
      <c r="BA28" s="19">
        <f t="shared" si="154"/>
        <v>8208</v>
      </c>
      <c r="BB28" s="19">
        <f t="shared" si="154"/>
        <v>9086</v>
      </c>
      <c r="BC28" s="19">
        <f t="shared" si="154"/>
        <v>9697</v>
      </c>
      <c r="BD28" s="19">
        <f t="shared" si="154"/>
        <v>9845</v>
      </c>
      <c r="BE28" s="19">
        <f t="shared" si="154"/>
        <v>10060</v>
      </c>
      <c r="BF28" s="19">
        <f t="shared" si="154"/>
        <v>9749</v>
      </c>
      <c r="BG28" s="19">
        <f t="shared" si="154"/>
        <v>10980</v>
      </c>
      <c r="BH28" s="19">
        <f t="shared" si="154"/>
        <v>11447</v>
      </c>
      <c r="BI28" s="19">
        <f t="shared" si="154"/>
        <v>10477</v>
      </c>
      <c r="BJ28" s="19">
        <f t="shared" si="154"/>
        <v>12211</v>
      </c>
      <c r="BK28" s="19">
        <f t="shared" si="154"/>
        <v>12385</v>
      </c>
      <c r="BL28" s="19">
        <f t="shared" si="154"/>
        <v>13729</v>
      </c>
      <c r="BM28" s="19">
        <f t="shared" si="154"/>
        <v>13687</v>
      </c>
      <c r="BN28" s="19">
        <f t="shared" si="154"/>
        <v>12214</v>
      </c>
      <c r="BO28" s="19">
        <f t="shared" si="154"/>
        <v>12367</v>
      </c>
      <c r="BP28" s="19">
        <f t="shared" ref="BP28:DR28" si="155">BP10-BP19</f>
        <v>11643</v>
      </c>
      <c r="BQ28" s="19">
        <f t="shared" si="155"/>
        <v>14148</v>
      </c>
      <c r="BR28" s="19">
        <f t="shared" si="155"/>
        <v>12925</v>
      </c>
      <c r="BS28" s="19">
        <f t="shared" si="155"/>
        <v>11423</v>
      </c>
      <c r="BT28" s="19">
        <f t="shared" si="155"/>
        <v>10287</v>
      </c>
      <c r="BU28" s="19">
        <f t="shared" si="155"/>
        <v>8990</v>
      </c>
      <c r="BV28" s="19">
        <f t="shared" si="155"/>
        <v>11243</v>
      </c>
      <c r="BW28" s="19">
        <f t="shared" si="155"/>
        <v>12029</v>
      </c>
      <c r="BX28" s="19">
        <f t="shared" si="155"/>
        <v>11645</v>
      </c>
      <c r="BY28" s="19">
        <f t="shared" si="155"/>
        <v>12689</v>
      </c>
      <c r="BZ28" s="19">
        <f t="shared" si="155"/>
        <v>11836</v>
      </c>
      <c r="CA28" s="19">
        <f t="shared" si="155"/>
        <v>9748</v>
      </c>
      <c r="CB28" s="19">
        <f t="shared" si="155"/>
        <v>8374</v>
      </c>
      <c r="CC28" s="19">
        <f t="shared" si="155"/>
        <v>10601</v>
      </c>
      <c r="CD28" s="19">
        <f t="shared" si="155"/>
        <v>10234</v>
      </c>
      <c r="CE28" s="19">
        <f t="shared" si="155"/>
        <v>12087</v>
      </c>
      <c r="CF28" s="19">
        <f t="shared" si="155"/>
        <v>12189</v>
      </c>
      <c r="CG28" s="19">
        <f t="shared" si="155"/>
        <v>11467</v>
      </c>
      <c r="CH28" s="19">
        <f t="shared" si="155"/>
        <v>14284</v>
      </c>
      <c r="CI28" s="19">
        <f t="shared" si="155"/>
        <v>14013</v>
      </c>
      <c r="CJ28" s="19">
        <f t="shared" si="155"/>
        <v>13841</v>
      </c>
      <c r="CK28" s="19">
        <f t="shared" si="155"/>
        <v>14082</v>
      </c>
      <c r="CL28" s="19">
        <f t="shared" si="155"/>
        <v>15567</v>
      </c>
      <c r="CM28" s="19">
        <f t="shared" si="155"/>
        <v>13556</v>
      </c>
      <c r="CN28" s="19">
        <f t="shared" si="155"/>
        <v>12405</v>
      </c>
      <c r="CO28" s="19">
        <f t="shared" si="155"/>
        <v>16385</v>
      </c>
      <c r="CP28" s="19">
        <f t="shared" si="155"/>
        <v>14752</v>
      </c>
      <c r="CQ28" s="19">
        <f t="shared" si="155"/>
        <v>18610</v>
      </c>
      <c r="CR28" s="19">
        <f t="shared" si="155"/>
        <v>19779</v>
      </c>
      <c r="CS28" s="19">
        <f t="shared" si="155"/>
        <v>18826</v>
      </c>
      <c r="CT28" s="19">
        <f t="shared" si="155"/>
        <v>22176</v>
      </c>
      <c r="CU28" s="19">
        <f t="shared" si="155"/>
        <v>19248.643016106776</v>
      </c>
      <c r="CV28" s="19">
        <f t="shared" si="155"/>
        <v>18803.198316148148</v>
      </c>
      <c r="CW28" s="19">
        <f t="shared" si="155"/>
        <v>18740.231032679196</v>
      </c>
      <c r="CX28" s="19">
        <f t="shared" si="155"/>
        <v>20416.32429285497</v>
      </c>
      <c r="CY28" s="19">
        <f t="shared" si="155"/>
        <v>18043.283247391348</v>
      </c>
      <c r="CZ28" s="19">
        <f t="shared" si="155"/>
        <v>16607.401546710291</v>
      </c>
      <c r="DA28" s="19">
        <f t="shared" si="155"/>
        <v>21132.46495811686</v>
      </c>
      <c r="DB28" s="19">
        <f t="shared" si="155"/>
        <v>19304.800585212601</v>
      </c>
      <c r="DC28" s="19">
        <f t="shared" si="155"/>
        <v>23282.818883836964</v>
      </c>
      <c r="DD28" s="19">
        <f t="shared" si="155"/>
        <v>23884.337333037154</v>
      </c>
      <c r="DE28" s="19">
        <f t="shared" si="155"/>
        <v>22065.350659737898</v>
      </c>
      <c r="DF28" s="19">
        <f t="shared" si="155"/>
        <v>25933.34905768908</v>
      </c>
      <c r="DG28" s="19">
        <f t="shared" si="155"/>
        <v>22928.530651538953</v>
      </c>
      <c r="DH28" s="19">
        <f t="shared" si="155"/>
        <v>22458.069988849442</v>
      </c>
      <c r="DI28" s="19">
        <f t="shared" si="155"/>
        <v>22268.484406115713</v>
      </c>
      <c r="DJ28" s="19">
        <f t="shared" si="155"/>
        <v>24237.093553374976</v>
      </c>
      <c r="DK28" s="19">
        <f t="shared" si="155"/>
        <v>21390.021269084911</v>
      </c>
      <c r="DL28" s="19">
        <f t="shared" si="155"/>
        <v>19652.09183027385</v>
      </c>
      <c r="DM28" s="19">
        <f t="shared" si="155"/>
        <v>24897.205270537284</v>
      </c>
      <c r="DN28" s="19">
        <f t="shared" si="155"/>
        <v>22636.193215384505</v>
      </c>
      <c r="DO28" s="19">
        <f t="shared" si="155"/>
        <v>27184.26421031776</v>
      </c>
      <c r="DP28" s="19">
        <f t="shared" si="155"/>
        <v>27768.973807318493</v>
      </c>
      <c r="DQ28" s="19">
        <f t="shared" si="155"/>
        <v>25538.135962435284</v>
      </c>
      <c r="DR28" s="19">
        <f t="shared" si="155"/>
        <v>29668.525451818921</v>
      </c>
      <c r="DS28" s="19">
        <f t="shared" ref="DS28:ED28" si="156">DS10-DS19</f>
        <v>26214.953378259543</v>
      </c>
      <c r="DT28" s="19">
        <f t="shared" si="156"/>
        <v>25654.026102647254</v>
      </c>
      <c r="DU28" s="19">
        <f t="shared" si="156"/>
        <v>25422.511561091014</v>
      </c>
      <c r="DV28" s="19">
        <f t="shared" si="156"/>
        <v>27653.911254672068</v>
      </c>
      <c r="DW28" s="19">
        <f t="shared" si="156"/>
        <v>24384.624246756801</v>
      </c>
      <c r="DX28" s="19">
        <f t="shared" si="156"/>
        <v>22378.473584192128</v>
      </c>
      <c r="DY28" s="19">
        <f t="shared" si="156"/>
        <v>28343.502631669555</v>
      </c>
      <c r="DZ28" s="19">
        <f t="shared" si="156"/>
        <v>25755.571060919199</v>
      </c>
      <c r="EA28" s="19">
        <f t="shared" si="156"/>
        <v>30922.100539236453</v>
      </c>
      <c r="EB28" s="19">
        <f t="shared" si="156"/>
        <v>31578.80014455094</v>
      </c>
      <c r="EC28" s="19">
        <f t="shared" si="156"/>
        <v>29026.592678953504</v>
      </c>
      <c r="ED28" s="19">
        <f t="shared" si="156"/>
        <v>33712.386112717533</v>
      </c>
      <c r="EE28" s="168"/>
      <c r="EF28" s="165">
        <f t="shared" si="119"/>
        <v>39801</v>
      </c>
      <c r="EG28" s="165">
        <f t="shared" si="120"/>
        <v>36224</v>
      </c>
      <c r="EH28" s="165">
        <f t="shared" si="121"/>
        <v>38496</v>
      </c>
      <c r="EI28" s="165">
        <f t="shared" si="122"/>
        <v>30520</v>
      </c>
      <c r="EJ28" s="165">
        <f t="shared" si="123"/>
        <v>36363</v>
      </c>
      <c r="EK28" s="165">
        <f t="shared" si="124"/>
        <v>41528</v>
      </c>
      <c r="EL28" s="165">
        <f t="shared" si="125"/>
        <v>32922</v>
      </c>
      <c r="EM28" s="165">
        <f t="shared" si="126"/>
        <v>37940</v>
      </c>
      <c r="EN28" s="165">
        <f t="shared" si="127"/>
        <v>41936</v>
      </c>
      <c r="EO28" s="165">
        <f t="shared" si="128"/>
        <v>41528</v>
      </c>
      <c r="EP28" s="165">
        <f t="shared" si="129"/>
        <v>49747</v>
      </c>
      <c r="EQ28" s="165">
        <f t="shared" si="130"/>
        <v>60781</v>
      </c>
      <c r="ER28" s="165">
        <f t="shared" si="131"/>
        <v>56792.072364934123</v>
      </c>
      <c r="ES28" s="165">
        <f t="shared" si="132"/>
        <v>55067.009086956605</v>
      </c>
      <c r="ET28" s="165">
        <f t="shared" si="133"/>
        <v>63720.084427166425</v>
      </c>
      <c r="EU28" s="165">
        <f t="shared" si="134"/>
        <v>71883.037050464132</v>
      </c>
      <c r="EV28" s="165">
        <f t="shared" si="135"/>
        <v>67655.0850465041</v>
      </c>
      <c r="EW28" s="165">
        <f t="shared" si="136"/>
        <v>65279.206652733737</v>
      </c>
      <c r="EX28" s="165">
        <f t="shared" si="137"/>
        <v>74717.662696239553</v>
      </c>
      <c r="EY28" s="165">
        <f t="shared" si="138"/>
        <v>82975.635221572695</v>
      </c>
      <c r="EZ28" s="165">
        <f t="shared" si="83"/>
        <v>77291.491041997811</v>
      </c>
      <c r="FA28" s="165">
        <f t="shared" si="84"/>
        <v>74417.009085620986</v>
      </c>
      <c r="FB28" s="165">
        <f t="shared" si="85"/>
        <v>85021.174231825207</v>
      </c>
      <c r="FC28" s="165">
        <f t="shared" si="86"/>
        <v>94317.778936221977</v>
      </c>
      <c r="FE28" s="165">
        <f t="shared" si="87"/>
        <v>145041</v>
      </c>
      <c r="FF28" s="165">
        <f t="shared" si="88"/>
        <v>148753</v>
      </c>
      <c r="FG28" s="165">
        <f t="shared" si="89"/>
        <v>193992</v>
      </c>
      <c r="FH28" s="165">
        <f t="shared" si="90"/>
        <v>247462.20292952127</v>
      </c>
      <c r="FI28" s="165">
        <f t="shared" si="91"/>
        <v>290627.58961705008</v>
      </c>
      <c r="FJ28" s="165">
        <f t="shared" si="92"/>
        <v>331047.45329566597</v>
      </c>
    </row>
    <row r="29" spans="2:166" x14ac:dyDescent="0.2">
      <c r="B29" s="26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68"/>
      <c r="EF29" s="165"/>
      <c r="EG29" s="165"/>
      <c r="EH29" s="165"/>
      <c r="EI29" s="165"/>
      <c r="EJ29" s="165"/>
      <c r="EK29" s="165"/>
      <c r="EL29" s="165"/>
      <c r="EM29" s="165"/>
      <c r="EN29" s="165"/>
      <c r="EO29" s="165"/>
      <c r="EP29" s="165"/>
      <c r="EQ29" s="165"/>
      <c r="ER29" s="165"/>
      <c r="ES29" s="165"/>
      <c r="ET29" s="165"/>
      <c r="EU29" s="165"/>
      <c r="EV29" s="165"/>
      <c r="EW29" s="165"/>
      <c r="EX29" s="165"/>
      <c r="EY29" s="165"/>
      <c r="EZ29" s="165">
        <f t="shared" si="83"/>
        <v>0</v>
      </c>
      <c r="FA29" s="165">
        <f t="shared" si="84"/>
        <v>0</v>
      </c>
      <c r="FB29" s="165">
        <f t="shared" si="85"/>
        <v>0</v>
      </c>
      <c r="FC29" s="165">
        <f t="shared" si="86"/>
        <v>0</v>
      </c>
      <c r="FE29" s="165"/>
      <c r="FF29" s="165"/>
      <c r="FG29" s="165"/>
      <c r="FH29" s="165"/>
      <c r="FI29" s="165"/>
      <c r="FJ29" s="165"/>
    </row>
    <row r="30" spans="2:166" s="30" customFormat="1" x14ac:dyDescent="0.2">
      <c r="B30" s="181" t="s">
        <v>11</v>
      </c>
      <c r="C30" s="180">
        <f>SUM(C31:C33)</f>
        <v>148437.03571428571</v>
      </c>
      <c r="D30" s="180">
        <f t="shared" ref="D30:BO30" si="157">SUM(D31:D33)</f>
        <v>181862.96612203572</v>
      </c>
      <c r="E30" s="180">
        <f t="shared" si="157"/>
        <v>152245.41916668598</v>
      </c>
      <c r="F30" s="180">
        <f t="shared" si="157"/>
        <v>198155.38593951135</v>
      </c>
      <c r="G30" s="180">
        <f t="shared" si="157"/>
        <v>189099.35581218151</v>
      </c>
      <c r="H30" s="180">
        <f t="shared" si="157"/>
        <v>181161.42060316404</v>
      </c>
      <c r="I30" s="180">
        <f t="shared" si="157"/>
        <v>246219.82886114286</v>
      </c>
      <c r="J30" s="180">
        <f t="shared" si="157"/>
        <v>370723.31821428571</v>
      </c>
      <c r="K30" s="180">
        <f t="shared" si="157"/>
        <v>429065.23714285716</v>
      </c>
      <c r="L30" s="180">
        <f t="shared" si="157"/>
        <v>495508.53963264287</v>
      </c>
      <c r="M30" s="180">
        <f t="shared" si="157"/>
        <v>938385.56035714282</v>
      </c>
      <c r="N30" s="180">
        <f t="shared" si="157"/>
        <v>1963868.6257142858</v>
      </c>
      <c r="O30" s="180">
        <f t="shared" si="157"/>
        <v>2116392.4664285714</v>
      </c>
      <c r="P30" s="180">
        <f t="shared" si="157"/>
        <v>2191684.1357142855</v>
      </c>
      <c r="Q30" s="180">
        <f t="shared" si="157"/>
        <v>1600247.2203571426</v>
      </c>
      <c r="R30" s="180">
        <f t="shared" si="157"/>
        <v>2976284.0135714281</v>
      </c>
      <c r="S30" s="180">
        <f t="shared" si="157"/>
        <v>1463912.2517857142</v>
      </c>
      <c r="T30" s="180">
        <f t="shared" si="157"/>
        <v>1184358.5064285719</v>
      </c>
      <c r="U30" s="180">
        <f t="shared" si="157"/>
        <v>1568087.6921428572</v>
      </c>
      <c r="V30" s="180">
        <f t="shared" si="157"/>
        <v>568826.30285714287</v>
      </c>
      <c r="W30" s="180">
        <f t="shared" si="157"/>
        <v>980141.95142857148</v>
      </c>
      <c r="X30" s="180">
        <f t="shared" si="157"/>
        <v>953329.15971428575</v>
      </c>
      <c r="Y30" s="180">
        <f t="shared" si="157"/>
        <v>404898.99390131026</v>
      </c>
      <c r="Z30" s="180">
        <f t="shared" si="157"/>
        <v>556050.5968696354</v>
      </c>
      <c r="AA30" s="180">
        <f t="shared" si="157"/>
        <v>-120053.67428571433</v>
      </c>
      <c r="AB30" s="180">
        <f t="shared" si="157"/>
        <v>1079382.8285684017</v>
      </c>
      <c r="AC30" s="180">
        <f t="shared" si="157"/>
        <v>1563528.2599497295</v>
      </c>
      <c r="AD30" s="180">
        <f t="shared" si="157"/>
        <v>1871665.7251082934</v>
      </c>
      <c r="AE30" s="180">
        <f t="shared" si="157"/>
        <v>1782279.1223336766</v>
      </c>
      <c r="AF30" s="180">
        <f t="shared" si="157"/>
        <v>2013951.6354915262</v>
      </c>
      <c r="AG30" s="180">
        <f t="shared" si="157"/>
        <v>2520620.0870702174</v>
      </c>
      <c r="AH30" s="180">
        <f t="shared" si="157"/>
        <v>3005414.9150983049</v>
      </c>
      <c r="AI30" s="180">
        <f t="shared" si="157"/>
        <v>4659384.9227559324</v>
      </c>
      <c r="AJ30" s="180">
        <f t="shared" si="157"/>
        <v>5469617.3483033562</v>
      </c>
      <c r="AK30" s="180">
        <f t="shared" si="157"/>
        <v>4462025.829139797</v>
      </c>
      <c r="AL30" s="180">
        <f t="shared" si="157"/>
        <v>4701082.3483124096</v>
      </c>
      <c r="AM30" s="180">
        <f t="shared" si="157"/>
        <v>3118221.0048337933</v>
      </c>
      <c r="AN30" s="180">
        <f t="shared" si="157"/>
        <v>1408989.2037712384</v>
      </c>
      <c r="AO30" s="180">
        <f t="shared" si="157"/>
        <v>3336071.4989344757</v>
      </c>
      <c r="AP30" s="180">
        <f t="shared" si="157"/>
        <v>4294165.4307521842</v>
      </c>
      <c r="AQ30" s="180">
        <f t="shared" si="157"/>
        <v>4498607.6129889823</v>
      </c>
      <c r="AR30" s="180">
        <f t="shared" si="157"/>
        <v>5767691.8795787608</v>
      </c>
      <c r="AS30" s="180">
        <f t="shared" si="157"/>
        <v>6988675.0801322013</v>
      </c>
      <c r="AT30" s="180">
        <f t="shared" si="157"/>
        <v>9185424.0981748141</v>
      </c>
      <c r="AU30" s="180">
        <f t="shared" si="157"/>
        <v>10414533.043989811</v>
      </c>
      <c r="AV30" s="180">
        <f t="shared" si="157"/>
        <v>10958436.767910993</v>
      </c>
      <c r="AW30" s="180">
        <f t="shared" si="157"/>
        <v>10970023.078772888</v>
      </c>
      <c r="AX30" s="180">
        <f t="shared" si="157"/>
        <v>9642429.2163193524</v>
      </c>
      <c r="AY30" s="180">
        <f t="shared" si="157"/>
        <v>7945873.877420526</v>
      </c>
      <c r="AZ30" s="180">
        <f t="shared" si="157"/>
        <v>9425259.4984452426</v>
      </c>
      <c r="BA30" s="180">
        <f t="shared" si="157"/>
        <v>10596116.152006466</v>
      </c>
      <c r="BB30" s="180">
        <f t="shared" si="157"/>
        <v>10756486.603716273</v>
      </c>
      <c r="BC30" s="180">
        <f t="shared" si="157"/>
        <v>9410529.3048218396</v>
      </c>
      <c r="BD30" s="180">
        <f t="shared" si="157"/>
        <v>8496062.862540083</v>
      </c>
      <c r="BE30" s="180">
        <f t="shared" si="157"/>
        <v>10363776.422266062</v>
      </c>
      <c r="BF30" s="180">
        <f t="shared" si="157"/>
        <v>10486471.152554518</v>
      </c>
      <c r="BG30" s="180">
        <f t="shared" si="157"/>
        <v>11719710.732999783</v>
      </c>
      <c r="BH30" s="180">
        <f t="shared" si="157"/>
        <v>12938730.734573226</v>
      </c>
      <c r="BI30" s="180">
        <f t="shared" si="157"/>
        <v>14422912.954099635</v>
      </c>
      <c r="BJ30" s="180">
        <f t="shared" si="157"/>
        <v>18932476.747978516</v>
      </c>
      <c r="BK30" s="180">
        <f t="shared" si="157"/>
        <v>18458425.932177883</v>
      </c>
      <c r="BL30" s="180">
        <f t="shared" si="157"/>
        <v>19724567.662094884</v>
      </c>
      <c r="BM30" s="180">
        <f t="shared" si="157"/>
        <v>22343212.580173668</v>
      </c>
      <c r="BN30" s="180">
        <f t="shared" si="157"/>
        <v>17694731.164647099</v>
      </c>
      <c r="BO30" s="180">
        <f t="shared" si="157"/>
        <v>19734605.462384965</v>
      </c>
      <c r="BP30" s="180">
        <f t="shared" ref="BP30:EA30" si="158">SUM(BP31:BP33)</f>
        <v>16586995.553095397</v>
      </c>
      <c r="BQ30" s="180">
        <f t="shared" si="158"/>
        <v>24732683.68017685</v>
      </c>
      <c r="BR30" s="180">
        <f t="shared" si="158"/>
        <v>23330217.489053469</v>
      </c>
      <c r="BS30" s="180">
        <f t="shared" si="158"/>
        <v>21397898.09684585</v>
      </c>
      <c r="BT30" s="180">
        <f t="shared" si="158"/>
        <v>22328257.28366892</v>
      </c>
      <c r="BU30" s="180">
        <f t="shared" si="158"/>
        <v>21894864.49768718</v>
      </c>
      <c r="BV30" s="180">
        <f t="shared" si="158"/>
        <v>28200495.997717824</v>
      </c>
      <c r="BW30" s="180">
        <f t="shared" si="158"/>
        <v>25957744.644494068</v>
      </c>
      <c r="BX30" s="180">
        <f t="shared" si="158"/>
        <v>26088764.737206545</v>
      </c>
      <c r="BY30" s="180">
        <f t="shared" si="158"/>
        <v>27727390.056626402</v>
      </c>
      <c r="BZ30" s="180">
        <f t="shared" si="158"/>
        <v>27157988.162033014</v>
      </c>
      <c r="CA30" s="180">
        <f t="shared" si="158"/>
        <v>24790499.766618803</v>
      </c>
      <c r="CB30" s="180">
        <f t="shared" si="158"/>
        <v>22673042.590487391</v>
      </c>
      <c r="CC30" s="180">
        <f t="shared" si="158"/>
        <v>29006281.612469085</v>
      </c>
      <c r="CD30" s="180">
        <f t="shared" si="158"/>
        <v>26143062.739556443</v>
      </c>
      <c r="CE30" s="180">
        <f t="shared" si="158"/>
        <v>30456861.078521766</v>
      </c>
      <c r="CF30" s="180">
        <f t="shared" si="158"/>
        <v>32654149.16062782</v>
      </c>
      <c r="CG30" s="180">
        <f t="shared" si="158"/>
        <v>31247879.321702242</v>
      </c>
      <c r="CH30" s="180">
        <f t="shared" si="158"/>
        <v>43184053.563524619</v>
      </c>
      <c r="CI30" s="180">
        <f t="shared" si="158"/>
        <v>42077720.384058274</v>
      </c>
      <c r="CJ30" s="180">
        <f t="shared" si="158"/>
        <v>42457540.057749078</v>
      </c>
      <c r="CK30" s="180">
        <f t="shared" si="158"/>
        <v>40848095.235953011</v>
      </c>
      <c r="CL30" s="180">
        <f t="shared" si="158"/>
        <v>43640507.400000036</v>
      </c>
      <c r="CM30" s="180">
        <f t="shared" si="158"/>
        <v>39179687.410000004</v>
      </c>
      <c r="CN30" s="180">
        <f t="shared" si="158"/>
        <v>37703778.260000065</v>
      </c>
      <c r="CO30" s="180">
        <f t="shared" si="158"/>
        <v>45312474.730000004</v>
      </c>
      <c r="CP30" s="180">
        <f t="shared" si="158"/>
        <v>41749660.700000063</v>
      </c>
      <c r="CQ30" s="180">
        <f t="shared" si="158"/>
        <v>50047139.010000125</v>
      </c>
      <c r="CR30" s="180">
        <f t="shared" si="158"/>
        <v>54783514.14000006</v>
      </c>
      <c r="CS30" s="180">
        <f t="shared" si="158"/>
        <v>48261603.740000032</v>
      </c>
      <c r="CT30" s="180">
        <f t="shared" si="158"/>
        <v>54814242.080000043</v>
      </c>
      <c r="CU30" s="180">
        <f t="shared" si="158"/>
        <v>51344887.045872375</v>
      </c>
      <c r="CV30" s="180">
        <f t="shared" si="158"/>
        <v>50972502.340090111</v>
      </c>
      <c r="CW30" s="180">
        <f t="shared" si="158"/>
        <v>50897174.122561514</v>
      </c>
      <c r="CX30" s="180">
        <f t="shared" si="158"/>
        <v>53585159.562206365</v>
      </c>
      <c r="CY30" s="180">
        <f t="shared" si="158"/>
        <v>48994528.98697336</v>
      </c>
      <c r="CZ30" s="180">
        <f t="shared" si="158"/>
        <v>49065385.465726942</v>
      </c>
      <c r="DA30" s="180">
        <f t="shared" si="158"/>
        <v>54717458.310679287</v>
      </c>
      <c r="DB30" s="180">
        <f t="shared" si="158"/>
        <v>52260613.639642015</v>
      </c>
      <c r="DC30" s="180">
        <f t="shared" si="158"/>
        <v>63042402.274359308</v>
      </c>
      <c r="DD30" s="180">
        <f t="shared" si="158"/>
        <v>66086348.605633594</v>
      </c>
      <c r="DE30" s="180">
        <f t="shared" si="158"/>
        <v>59243826.224401653</v>
      </c>
      <c r="DF30" s="180">
        <f t="shared" si="158"/>
        <v>66758292.953387</v>
      </c>
      <c r="DG30" s="180">
        <f t="shared" si="158"/>
        <v>61930355.346325308</v>
      </c>
      <c r="DH30" s="180">
        <f t="shared" si="158"/>
        <v>61553172.086365014</v>
      </c>
      <c r="DI30" s="180">
        <f t="shared" si="158"/>
        <v>61280877.857896253</v>
      </c>
      <c r="DJ30" s="180">
        <f t="shared" si="158"/>
        <v>64527906.747362778</v>
      </c>
      <c r="DK30" s="180">
        <f t="shared" si="158"/>
        <v>58904879.58472041</v>
      </c>
      <c r="DL30" s="180">
        <f t="shared" si="158"/>
        <v>58850969.733955108</v>
      </c>
      <c r="DM30" s="180">
        <f t="shared" si="158"/>
        <v>65612743.066763759</v>
      </c>
      <c r="DN30" s="180">
        <f t="shared" si="158"/>
        <v>62451224.064639203</v>
      </c>
      <c r="DO30" s="180">
        <f t="shared" si="158"/>
        <v>75189175.956462651</v>
      </c>
      <c r="DP30" s="180">
        <f t="shared" si="158"/>
        <v>78630967.31366241</v>
      </c>
      <c r="DQ30" s="180">
        <f t="shared" si="158"/>
        <v>70303628.854825199</v>
      </c>
      <c r="DR30" s="180">
        <f t="shared" si="158"/>
        <v>78730821.013199657</v>
      </c>
      <c r="DS30" s="180">
        <f t="shared" si="158"/>
        <v>71758611.604591325</v>
      </c>
      <c r="DT30" s="180">
        <f t="shared" si="158"/>
        <v>71301354.785789669</v>
      </c>
      <c r="DU30" s="180">
        <f t="shared" si="158"/>
        <v>70965368.051408201</v>
      </c>
      <c r="DV30" s="180">
        <f t="shared" si="158"/>
        <v>74663908.900793746</v>
      </c>
      <c r="DW30" s="180">
        <f t="shared" si="158"/>
        <v>68146099.945919111</v>
      </c>
      <c r="DX30" s="180">
        <f t="shared" si="158"/>
        <v>68150504.668633133</v>
      </c>
      <c r="DY30" s="180">
        <f t="shared" si="158"/>
        <v>75802520.248978674</v>
      </c>
      <c r="DZ30" s="180">
        <f t="shared" si="158"/>
        <v>72183695.312495619</v>
      </c>
      <c r="EA30" s="180">
        <f t="shared" si="158"/>
        <v>86953446.252231464</v>
      </c>
      <c r="EB30" s="180">
        <f t="shared" ref="EB30:ED30" si="159">SUM(EB31:EB33)</f>
        <v>90977012.577967212</v>
      </c>
      <c r="EC30" s="180">
        <f t="shared" si="159"/>
        <v>81239249.748476833</v>
      </c>
      <c r="ED30" s="180">
        <f t="shared" si="159"/>
        <v>90923004.568396091</v>
      </c>
      <c r="EE30" s="333"/>
      <c r="EF30" s="224">
        <f>SUM(BK30:BM30)</f>
        <v>60526206.174446434</v>
      </c>
      <c r="EG30" s="224">
        <f>SUM(BN30:BP30)</f>
        <v>54016332.180127457</v>
      </c>
      <c r="EH30" s="224">
        <f>SUM(BQ30:BS30)</f>
        <v>69460799.266076177</v>
      </c>
      <c r="EI30" s="224">
        <f>SUM(BT30:BV30)</f>
        <v>72423617.779073924</v>
      </c>
      <c r="EJ30" s="224">
        <f>SUM(BW30:BY30)</f>
        <v>79773899.438327014</v>
      </c>
      <c r="EK30" s="224">
        <f>SUM(CL30:CN30)</f>
        <v>120523973.0700001</v>
      </c>
      <c r="EL30" s="224">
        <f>SUM(CC30:CE30)</f>
        <v>85606205.430547297</v>
      </c>
      <c r="EM30" s="224">
        <f>SUM(CF30:CH30)</f>
        <v>107086082.04585469</v>
      </c>
      <c r="EN30" s="224">
        <f>SUM(CI30:CK30)</f>
        <v>125383355.67776036</v>
      </c>
      <c r="EO30" s="224">
        <f>SUM(CL30:CN30)</f>
        <v>120523973.0700001</v>
      </c>
      <c r="EP30" s="224">
        <f>SUM(CO30:CQ30)</f>
        <v>137109274.44000018</v>
      </c>
      <c r="EQ30" s="224">
        <f>SUM(CR30:CT30)</f>
        <v>157859359.96000013</v>
      </c>
      <c r="ER30" s="224">
        <f>SUM(CU30:CW30)</f>
        <v>153214563.508524</v>
      </c>
      <c r="ES30" s="224">
        <f>SUM(CX30:CZ30)</f>
        <v>151645074.01490667</v>
      </c>
      <c r="ET30" s="224">
        <f>SUM(DA30:DC30)</f>
        <v>170020474.2246806</v>
      </c>
      <c r="EU30" s="224">
        <f>SUM(DD30:DF30)</f>
        <v>192088467.78342223</v>
      </c>
      <c r="EV30" s="224">
        <f>SUM(DG30:DI30)</f>
        <v>184764405.29058659</v>
      </c>
      <c r="EW30" s="224">
        <f>SUM(DJ30:DL30)</f>
        <v>182283756.06603831</v>
      </c>
      <c r="EX30" s="224">
        <f>SUM(DM30:DO30)</f>
        <v>203253143.08786562</v>
      </c>
      <c r="EY30" s="224">
        <f>SUM(DP30:DR30)</f>
        <v>227665417.18168727</v>
      </c>
      <c r="EZ30" s="224">
        <f t="shared" si="83"/>
        <v>214025334.44178918</v>
      </c>
      <c r="FA30" s="224">
        <f t="shared" si="84"/>
        <v>210960513.51534599</v>
      </c>
      <c r="FB30" s="224">
        <f t="shared" si="85"/>
        <v>234939661.81370574</v>
      </c>
      <c r="FC30" s="224">
        <f t="shared" si="86"/>
        <v>263139266.89484012</v>
      </c>
      <c r="FE30" s="224">
        <f t="shared" si="87"/>
        <v>256426955.39972398</v>
      </c>
      <c r="FF30" s="224">
        <f t="shared" si="88"/>
        <v>392990159.98472911</v>
      </c>
      <c r="FG30" s="224">
        <f t="shared" si="89"/>
        <v>540875963.14776075</v>
      </c>
      <c r="FH30" s="224">
        <f t="shared" si="90"/>
        <v>666968579.53153348</v>
      </c>
      <c r="FI30" s="224">
        <f t="shared" si="91"/>
        <v>797966721.62617779</v>
      </c>
      <c r="FJ30" s="224">
        <f t="shared" si="92"/>
        <v>923064776.665681</v>
      </c>
    </row>
    <row r="31" spans="2:166" x14ac:dyDescent="0.2">
      <c r="B31" s="155" t="s">
        <v>227</v>
      </c>
      <c r="C31" s="19">
        <f>'P&amp;L - Inputs'!B694</f>
        <v>148437.03571428571</v>
      </c>
      <c r="D31" s="19">
        <f>'P&amp;L - Inputs'!C694</f>
        <v>181862.96612203572</v>
      </c>
      <c r="E31" s="19">
        <f>'P&amp;L - Inputs'!D694</f>
        <v>152245.41916668598</v>
      </c>
      <c r="F31" s="19">
        <f>'P&amp;L - Inputs'!E694</f>
        <v>198155.38593951135</v>
      </c>
      <c r="G31" s="19">
        <f>'P&amp;L - Inputs'!F694</f>
        <v>189099.35581218151</v>
      </c>
      <c r="H31" s="19">
        <f>'P&amp;L - Inputs'!G694</f>
        <v>181161.42060316404</v>
      </c>
      <c r="I31" s="19">
        <f>'P&amp;L - Inputs'!H694</f>
        <v>246219.82886114286</v>
      </c>
      <c r="J31" s="19">
        <f>'P&amp;L - Inputs'!I694</f>
        <v>370723.31821428571</v>
      </c>
      <c r="K31" s="19">
        <f>'P&amp;L - Inputs'!J694</f>
        <v>429065.23714285716</v>
      </c>
      <c r="L31" s="19">
        <f>'P&amp;L - Inputs'!K694</f>
        <v>472258.76891835715</v>
      </c>
      <c r="M31" s="19">
        <f>'P&amp;L - Inputs'!L694</f>
        <v>786612.24964285712</v>
      </c>
      <c r="N31" s="19">
        <f>'P&amp;L - Inputs'!M694</f>
        <v>1233450.0264285714</v>
      </c>
      <c r="O31" s="19">
        <f>'P&amp;L - Inputs'!N694</f>
        <v>1359110.9350000001</v>
      </c>
      <c r="P31" s="19">
        <f>'P&amp;L - Inputs'!O694</f>
        <v>1435127.3253087166</v>
      </c>
      <c r="Q31" s="19">
        <f>'P&amp;L - Inputs'!P694</f>
        <v>1153023.1719673122</v>
      </c>
      <c r="R31" s="19">
        <f>'P&amp;L - Inputs'!Q694</f>
        <v>1896283.2040980631</v>
      </c>
      <c r="S31" s="19">
        <f>'P&amp;L - Inputs'!R694</f>
        <v>558558.91319007275</v>
      </c>
      <c r="T31" s="19">
        <f>'P&amp;L - Inputs'!S694</f>
        <v>484183.61308716761</v>
      </c>
      <c r="U31" s="19">
        <f>'P&amp;L - Inputs'!T694</f>
        <v>378576.1668946732</v>
      </c>
      <c r="V31" s="19">
        <f>'P&amp;L - Inputs'!U694</f>
        <v>389874.98198547238</v>
      </c>
      <c r="W31" s="19">
        <f>'P&amp;L - Inputs'!V694</f>
        <v>446928.57799636811</v>
      </c>
      <c r="X31" s="19">
        <f>'P&amp;L - Inputs'!W694</f>
        <v>523465.50588305091</v>
      </c>
      <c r="Y31" s="19">
        <f>'P&amp;L - Inputs'!X694</f>
        <v>946281.27076166193</v>
      </c>
      <c r="Z31" s="19">
        <f>'P&amp;L - Inputs'!Y694</f>
        <v>445470.97858565359</v>
      </c>
      <c r="AA31" s="19">
        <f>'P&amp;L - Inputs'!Z694</f>
        <v>38629.57808716681</v>
      </c>
      <c r="AB31" s="19">
        <f>'P&amp;L - Inputs'!AA694</f>
        <v>331601.55007590813</v>
      </c>
      <c r="AC31" s="19">
        <f>'P&amp;L - Inputs'!AB694</f>
        <v>441971.45697256655</v>
      </c>
      <c r="AD31" s="19">
        <f>'P&amp;L - Inputs'!AC694</f>
        <v>591664.04053202202</v>
      </c>
      <c r="AE31" s="19">
        <f>'P&amp;L - Inputs'!AD694</f>
        <v>804343.58940072625</v>
      </c>
      <c r="AF31" s="19">
        <f>'P&amp;L - Inputs'!AE694</f>
        <v>754215.76783898321</v>
      </c>
      <c r="AG31" s="19">
        <f>'P&amp;L - Inputs'!AF694</f>
        <v>749983.98368038738</v>
      </c>
      <c r="AH31" s="19">
        <f>'P&amp;L - Inputs'!AG694</f>
        <v>1291997.321398305</v>
      </c>
      <c r="AI31" s="19">
        <f>'P&amp;L - Inputs'!AH694</f>
        <v>1777932.8</v>
      </c>
      <c r="AJ31" s="19">
        <f>'P&amp;L - Inputs'!AI694</f>
        <v>2108088.46</v>
      </c>
      <c r="AK31" s="19">
        <f>'P&amp;L - Inputs'!AJ694</f>
        <v>1600378.96</v>
      </c>
      <c r="AL31" s="19">
        <f>'P&amp;L - Inputs'!AK694</f>
        <v>1231275.3399999999</v>
      </c>
      <c r="AM31" s="19">
        <f>'P&amp;L - Inputs'!AL694</f>
        <v>874019</v>
      </c>
      <c r="AN31" s="19">
        <f>'P&amp;L - Inputs'!AM694</f>
        <v>660392.52</v>
      </c>
      <c r="AO31" s="19">
        <f>'P&amp;L - Inputs'!AN694</f>
        <v>1465915.9</v>
      </c>
      <c r="AP31" s="19">
        <f>'P&amp;L - Inputs'!AO694</f>
        <v>1965952.4569491525</v>
      </c>
      <c r="AQ31" s="19">
        <f>'P&amp;L - Inputs'!AP694</f>
        <v>2535409.5932203392</v>
      </c>
      <c r="AR31" s="19">
        <f>'P&amp;L - Inputs'!AQ694</f>
        <v>3011972.92</v>
      </c>
      <c r="AS31" s="19">
        <f>'P&amp;L - Inputs'!AR694</f>
        <v>3398986</v>
      </c>
      <c r="AT31" s="19">
        <f>'P&amp;L - Inputs'!AS694</f>
        <v>2926853.209999999</v>
      </c>
      <c r="AU31" s="19">
        <f>'P&amp;L - Inputs'!AT694</f>
        <v>3286097.91</v>
      </c>
      <c r="AV31" s="19">
        <f>'P&amp;L - Inputs'!AU694</f>
        <v>3772057.83</v>
      </c>
      <c r="AW31" s="19">
        <f>'P&amp;L - Inputs'!AV694</f>
        <v>3633313</v>
      </c>
      <c r="AX31" s="19">
        <f>'P&amp;L - Inputs'!AW694</f>
        <v>2960412</v>
      </c>
      <c r="AY31" s="19">
        <f>'P&amp;L - Inputs'!AX694</f>
        <v>2338736</v>
      </c>
      <c r="AZ31" s="19">
        <f>'P&amp;L - Inputs'!AY694</f>
        <v>2579729</v>
      </c>
      <c r="BA31" s="19">
        <f>'P&amp;L - Inputs'!AZ694</f>
        <v>2171552.0000000009</v>
      </c>
      <c r="BB31" s="19">
        <f>'P&amp;L - Inputs'!BA694</f>
        <v>2263770.3724613413</v>
      </c>
      <c r="BC31" s="19">
        <f>'P&amp;L - Inputs'!BB694</f>
        <v>1658399.683170995</v>
      </c>
      <c r="BD31" s="19">
        <f>'P&amp;L - Inputs'!BC694</f>
        <v>895798.49784005084</v>
      </c>
      <c r="BE31" s="19">
        <f>'P&amp;L - Inputs'!BD694</f>
        <v>691348.32833217899</v>
      </c>
      <c r="BF31" s="19">
        <f>'P&amp;L - Inputs'!BE694</f>
        <v>1178567.3106673989</v>
      </c>
      <c r="BG31" s="19">
        <f>'P&amp;L - Inputs'!BF694</f>
        <v>1310184.3838772709</v>
      </c>
      <c r="BH31" s="19">
        <f>'P&amp;L - Inputs'!BG694</f>
        <v>1500357.6083393174</v>
      </c>
      <c r="BI31" s="19">
        <f>'P&amp;L - Inputs'!BH694</f>
        <v>1337231.7751945276</v>
      </c>
      <c r="BJ31" s="19">
        <f>'P&amp;L - Inputs'!BI694</f>
        <v>1484451.5827785125</v>
      </c>
      <c r="BK31" s="19">
        <f>'P&amp;L - Inputs'!BJ694</f>
        <v>0</v>
      </c>
      <c r="BL31" s="19">
        <f>'P&amp;L - Inputs'!BK694</f>
        <v>0</v>
      </c>
      <c r="BM31" s="19">
        <f>'P&amp;L - Inputs'!BL694</f>
        <v>0</v>
      </c>
      <c r="BN31" s="19">
        <f>'P&amp;L - Inputs'!BM694</f>
        <v>0</v>
      </c>
      <c r="BO31" s="19">
        <f>'P&amp;L - Inputs'!BN694</f>
        <v>0</v>
      </c>
      <c r="BP31" s="19">
        <f>'P&amp;L - Inputs'!BO694</f>
        <v>0</v>
      </c>
      <c r="BQ31" s="19">
        <f>'P&amp;L - Inputs'!BP694</f>
        <v>0</v>
      </c>
      <c r="BR31" s="19">
        <f>'P&amp;L - Inputs'!BQ694</f>
        <v>0</v>
      </c>
      <c r="BS31" s="19">
        <f>'P&amp;L - Inputs'!BR694</f>
        <v>0</v>
      </c>
      <c r="BT31" s="19">
        <f>'P&amp;L - Inputs'!BS694</f>
        <v>0</v>
      </c>
      <c r="BU31" s="19">
        <f>'P&amp;L - Inputs'!BT694</f>
        <v>0</v>
      </c>
      <c r="BV31" s="19">
        <f>'P&amp;L - Inputs'!BU694</f>
        <v>0</v>
      </c>
      <c r="BW31" s="19">
        <f>'P&amp;L - Inputs'!BV694</f>
        <v>0</v>
      </c>
      <c r="BX31" s="19">
        <f>'P&amp;L - Inputs'!BW694</f>
        <v>0</v>
      </c>
      <c r="BY31" s="19">
        <f>'P&amp;L - Inputs'!BX694</f>
        <v>0</v>
      </c>
      <c r="BZ31" s="19">
        <f>'P&amp;L - Inputs'!BY694</f>
        <v>0</v>
      </c>
      <c r="CA31" s="19">
        <f>'P&amp;L - Inputs'!BZ694</f>
        <v>0</v>
      </c>
      <c r="CB31" s="19">
        <f>'P&amp;L - Inputs'!CA694</f>
        <v>0</v>
      </c>
      <c r="CC31" s="19">
        <f>'P&amp;L - Inputs'!CB694</f>
        <v>0</v>
      </c>
      <c r="CD31" s="19">
        <f>'P&amp;L - Inputs'!CC694</f>
        <v>0</v>
      </c>
      <c r="CE31" s="19">
        <f>'P&amp;L - Inputs'!CD694</f>
        <v>0</v>
      </c>
      <c r="CF31" s="19">
        <f>'P&amp;L - Inputs'!CE694</f>
        <v>0</v>
      </c>
      <c r="CG31" s="19">
        <f>'P&amp;L - Inputs'!CF694</f>
        <v>0</v>
      </c>
      <c r="CH31" s="19">
        <f>'P&amp;L - Inputs'!CG694</f>
        <v>0</v>
      </c>
      <c r="CI31" s="19">
        <f>'P&amp;L - Inputs'!CH694</f>
        <v>0</v>
      </c>
      <c r="CJ31" s="19">
        <f>'P&amp;L - Inputs'!CI694</f>
        <v>0</v>
      </c>
      <c r="CK31" s="19">
        <f>'P&amp;L - Inputs'!CJ694</f>
        <v>0</v>
      </c>
      <c r="CL31" s="19">
        <f>'P&amp;L - Inputs'!CK694</f>
        <v>0</v>
      </c>
      <c r="CM31" s="19">
        <f>'P&amp;L - Inputs'!CL694</f>
        <v>0</v>
      </c>
      <c r="CN31" s="19">
        <f>'P&amp;L - Inputs'!CM694</f>
        <v>0</v>
      </c>
      <c r="CO31" s="19">
        <f>'P&amp;L - Inputs'!CN694</f>
        <v>0</v>
      </c>
      <c r="CP31" s="19">
        <f>'P&amp;L - Inputs'!CO694</f>
        <v>0</v>
      </c>
      <c r="CQ31" s="19">
        <f>'P&amp;L - Inputs'!CP694</f>
        <v>0</v>
      </c>
      <c r="CR31" s="19">
        <f>'P&amp;L - Inputs'!CQ694</f>
        <v>0</v>
      </c>
      <c r="CS31" s="19">
        <f>'P&amp;L - Inputs'!CR694</f>
        <v>0</v>
      </c>
      <c r="CT31" s="19">
        <f>'P&amp;L - Inputs'!CS694</f>
        <v>0</v>
      </c>
      <c r="CU31" s="19">
        <f>'P&amp;L - Inputs'!CT694</f>
        <v>0</v>
      </c>
      <c r="CV31" s="19">
        <f>'P&amp;L - Inputs'!CU694</f>
        <v>0</v>
      </c>
      <c r="CW31" s="19">
        <f>'P&amp;L - Inputs'!CV694</f>
        <v>0</v>
      </c>
      <c r="CX31" s="19">
        <f>'P&amp;L - Inputs'!CW694</f>
        <v>0</v>
      </c>
      <c r="CY31" s="19">
        <f>'P&amp;L - Inputs'!CX694</f>
        <v>0</v>
      </c>
      <c r="CZ31" s="19">
        <f>'P&amp;L - Inputs'!CY694</f>
        <v>0</v>
      </c>
      <c r="DA31" s="19">
        <f>'P&amp;L - Inputs'!CZ694</f>
        <v>0</v>
      </c>
      <c r="DB31" s="19">
        <f>'P&amp;L - Inputs'!DA694</f>
        <v>0</v>
      </c>
      <c r="DC31" s="19">
        <f>'P&amp;L - Inputs'!DB694</f>
        <v>0</v>
      </c>
      <c r="DD31" s="19">
        <f>'P&amp;L - Inputs'!DC694</f>
        <v>0</v>
      </c>
      <c r="DE31" s="19">
        <f>'P&amp;L - Inputs'!DD694</f>
        <v>0</v>
      </c>
      <c r="DF31" s="19">
        <f>'P&amp;L - Inputs'!DE694</f>
        <v>0</v>
      </c>
      <c r="DG31" s="19">
        <f>'P&amp;L - Inputs'!DF694</f>
        <v>0</v>
      </c>
      <c r="DH31" s="19">
        <f>'P&amp;L - Inputs'!DG694</f>
        <v>0</v>
      </c>
      <c r="DI31" s="19">
        <f>'P&amp;L - Inputs'!DH694</f>
        <v>0</v>
      </c>
      <c r="DJ31" s="19">
        <f>'P&amp;L - Inputs'!DI694</f>
        <v>0</v>
      </c>
      <c r="DK31" s="19">
        <f>'P&amp;L - Inputs'!DJ694</f>
        <v>0</v>
      </c>
      <c r="DL31" s="19">
        <f>'P&amp;L - Inputs'!DK694</f>
        <v>0</v>
      </c>
      <c r="DM31" s="19">
        <f>'P&amp;L - Inputs'!DL694</f>
        <v>0</v>
      </c>
      <c r="DN31" s="19">
        <f>'P&amp;L - Inputs'!DM694</f>
        <v>0</v>
      </c>
      <c r="DO31" s="19">
        <f>'P&amp;L - Inputs'!DN694</f>
        <v>0</v>
      </c>
      <c r="DP31" s="19">
        <f>'P&amp;L - Inputs'!DO694</f>
        <v>0</v>
      </c>
      <c r="DQ31" s="19">
        <f>'P&amp;L - Inputs'!DP694</f>
        <v>0</v>
      </c>
      <c r="DR31" s="19">
        <f>'P&amp;L - Inputs'!DQ694</f>
        <v>0</v>
      </c>
      <c r="DS31" s="19">
        <f>'P&amp;L - Inputs'!DR694</f>
        <v>0</v>
      </c>
      <c r="DT31" s="19">
        <f>'P&amp;L - Inputs'!DS694</f>
        <v>0</v>
      </c>
      <c r="DU31" s="19">
        <f>'P&amp;L - Inputs'!DT694</f>
        <v>0</v>
      </c>
      <c r="DV31" s="19">
        <f>'P&amp;L - Inputs'!DU694</f>
        <v>0</v>
      </c>
      <c r="DW31" s="19">
        <f>'P&amp;L - Inputs'!DV694</f>
        <v>0</v>
      </c>
      <c r="DX31" s="19">
        <f>'P&amp;L - Inputs'!DW694</f>
        <v>0</v>
      </c>
      <c r="DY31" s="19">
        <f>'P&amp;L - Inputs'!DX694</f>
        <v>0</v>
      </c>
      <c r="DZ31" s="19">
        <f>'P&amp;L - Inputs'!DY694</f>
        <v>0</v>
      </c>
      <c r="EA31" s="19">
        <f>'P&amp;L - Inputs'!DZ694</f>
        <v>0</v>
      </c>
      <c r="EB31" s="19">
        <f>'P&amp;L - Inputs'!EA694</f>
        <v>0</v>
      </c>
      <c r="EC31" s="19">
        <f>'P&amp;L - Inputs'!EB694</f>
        <v>0</v>
      </c>
      <c r="ED31" s="19">
        <f>'P&amp;L - Inputs'!EC694</f>
        <v>0</v>
      </c>
      <c r="EE31" s="168"/>
      <c r="EF31" s="165">
        <f>SUM(BK31:BM31)</f>
        <v>0</v>
      </c>
      <c r="EG31" s="165">
        <f>SUM(BN31:BP31)</f>
        <v>0</v>
      </c>
      <c r="EH31" s="165">
        <f>SUM(BQ31:BS31)</f>
        <v>0</v>
      </c>
      <c r="EI31" s="165">
        <f>SUM(BT31:BV31)</f>
        <v>0</v>
      </c>
      <c r="EJ31" s="165">
        <f>SUM(BW31:BY31)</f>
        <v>0</v>
      </c>
      <c r="EK31" s="165">
        <f>SUM(CL31:CN31)</f>
        <v>0</v>
      </c>
      <c r="EL31" s="165">
        <f>SUM(CC31:CE31)</f>
        <v>0</v>
      </c>
      <c r="EM31" s="165">
        <f>SUM(CF31:CH31)</f>
        <v>0</v>
      </c>
      <c r="EN31" s="165">
        <f>SUM(CI31:CK31)</f>
        <v>0</v>
      </c>
      <c r="EO31" s="165">
        <f>SUM(CL31:CN31)</f>
        <v>0</v>
      </c>
      <c r="EP31" s="165">
        <f>SUM(CO31:CQ31)</f>
        <v>0</v>
      </c>
      <c r="EQ31" s="165">
        <f>SUM(CR31:CT31)</f>
        <v>0</v>
      </c>
      <c r="ER31" s="165">
        <f>SUM(CU31:CW31)</f>
        <v>0</v>
      </c>
      <c r="ES31" s="165">
        <f>SUM(CX31:CZ31)</f>
        <v>0</v>
      </c>
      <c r="ET31" s="165">
        <f>SUM(DA31:DC31)</f>
        <v>0</v>
      </c>
      <c r="EU31" s="165">
        <f>SUM(DD31:DF31)</f>
        <v>0</v>
      </c>
      <c r="EV31" s="165">
        <f>SUM(DG31:DI31)</f>
        <v>0</v>
      </c>
      <c r="EW31" s="165">
        <f>SUM(DJ31:DL31)</f>
        <v>0</v>
      </c>
      <c r="EX31" s="165">
        <f>SUM(DM31:DO31)</f>
        <v>0</v>
      </c>
      <c r="EY31" s="165">
        <f>SUM(DP31:DR31)</f>
        <v>0</v>
      </c>
      <c r="EZ31" s="165">
        <f t="shared" si="83"/>
        <v>0</v>
      </c>
      <c r="FA31" s="165">
        <f t="shared" si="84"/>
        <v>0</v>
      </c>
      <c r="FB31" s="165">
        <f t="shared" si="85"/>
        <v>0</v>
      </c>
      <c r="FC31" s="165">
        <f t="shared" si="86"/>
        <v>0</v>
      </c>
      <c r="FE31" s="165">
        <f t="shared" si="87"/>
        <v>0</v>
      </c>
      <c r="FF31" s="165">
        <f t="shared" si="88"/>
        <v>0</v>
      </c>
      <c r="FG31" s="165">
        <f t="shared" si="89"/>
        <v>0</v>
      </c>
      <c r="FH31" s="165">
        <f t="shared" si="90"/>
        <v>0</v>
      </c>
      <c r="FI31" s="165">
        <f t="shared" si="91"/>
        <v>0</v>
      </c>
      <c r="FJ31" s="165">
        <f t="shared" si="92"/>
        <v>0</v>
      </c>
    </row>
    <row r="32" spans="2:166" x14ac:dyDescent="0.2">
      <c r="B32" s="155" t="s">
        <v>228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f>'D2C Online'!C54+'D2C Online'!C55</f>
        <v>23249.770714285711</v>
      </c>
      <c r="M32" s="19">
        <f>'D2C Online'!D54+'D2C Online'!D55</f>
        <v>151773.31071428568</v>
      </c>
      <c r="N32" s="19">
        <f>'D2C Online'!E54+'D2C Online'!E55</f>
        <v>730418.59928571433</v>
      </c>
      <c r="O32" s="19">
        <f>'D2C Online'!F54+'D2C Online'!F55</f>
        <v>757281.53142857144</v>
      </c>
      <c r="P32" s="19">
        <f>'D2C Online'!G54+'D2C Online'!G55</f>
        <v>756556.81040556892</v>
      </c>
      <c r="Q32" s="19">
        <f>'D2C Online'!H54+'D2C Online'!H55</f>
        <v>447224.04838983039</v>
      </c>
      <c r="R32" s="19">
        <f>'D2C Online'!I54+'D2C Online'!I55</f>
        <v>1080000.8094733653</v>
      </c>
      <c r="S32" s="19">
        <f>'D2C Online'!J54+'D2C Online'!J55</f>
        <v>905353.33859564154</v>
      </c>
      <c r="T32" s="19">
        <f>'D2C Online'!K54+'D2C Online'!K55</f>
        <v>700174.89334140427</v>
      </c>
      <c r="U32" s="19">
        <f>'D2C Online'!L54+'D2C Online'!L55</f>
        <v>1189511.5252481841</v>
      </c>
      <c r="V32" s="19">
        <f>'D2C Online'!M54+'D2C Online'!M55</f>
        <v>178951.32087167056</v>
      </c>
      <c r="W32" s="19">
        <f>'D2C Online'!N54+'D2C Online'!N55</f>
        <v>533213.37343220331</v>
      </c>
      <c r="X32" s="19">
        <f>'D2C Online'!O54+'D2C Online'!O55</f>
        <v>429863.65383123478</v>
      </c>
      <c r="Y32" s="19">
        <f>'D2C Online'!P54+'D2C Online'!P55</f>
        <v>-541382.27686035167</v>
      </c>
      <c r="Z32" s="19">
        <f>'D2C Online'!Q54+'D2C Online'!Q55</f>
        <v>110579.61828398175</v>
      </c>
      <c r="AA32" s="19">
        <f>'D2C Online'!R54+'D2C Online'!R55</f>
        <v>-158683.25237288114</v>
      </c>
      <c r="AB32" s="19">
        <f>'D2C Online'!S54+'D2C Online'!S55</f>
        <v>747781.27849249367</v>
      </c>
      <c r="AC32" s="19">
        <f>'D2C Online'!T54</f>
        <v>812366.31968055281</v>
      </c>
      <c r="AD32" s="19">
        <f>'D2C Online'!U54+'D2C Online'!U55</f>
        <v>1056468.9423576272</v>
      </c>
      <c r="AE32" s="19">
        <f>'D2C Online'!V54+'D2C Online'!V55</f>
        <v>670348.56583728816</v>
      </c>
      <c r="AF32" s="19">
        <f>'D2C Online'!W54+'D2C Online'!W55</f>
        <v>840213.88844576292</v>
      </c>
      <c r="AG32" s="19">
        <f>'D2C Online'!X54+'D2C Online'!X55</f>
        <v>1384635.1033898299</v>
      </c>
      <c r="AH32" s="19">
        <f>'D2C Online'!Y54+'D2C Online'!Y55</f>
        <v>1084944.6374000001</v>
      </c>
      <c r="AI32" s="19">
        <f>'D2C Online'!Z54+'D2C Online'!Z55</f>
        <v>1553170.172755932</v>
      </c>
      <c r="AJ32" s="19">
        <f>'D2C Online'!AA54+'D2C Online'!AA55</f>
        <v>1927510.123036406</v>
      </c>
      <c r="AK32" s="19">
        <f>'D2C Online'!AB54+'D2C Online'!AB55</f>
        <v>1373930.835072</v>
      </c>
      <c r="AL32" s="19">
        <f>'D2C Online'!AC54+'D2C Online'!AC55</f>
        <v>1657000.501888677</v>
      </c>
      <c r="AM32" s="19">
        <f>'D2C Online'!AD54+'D2C Online'!AD55</f>
        <v>1164956.7958473037</v>
      </c>
      <c r="AN32" s="19">
        <f>'D2C Online'!AE54+'D2C Online'!AE55</f>
        <v>716963.30072039086</v>
      </c>
      <c r="AO32" s="19">
        <f>'D2C Online'!AF54+'D2C Online'!AF55</f>
        <v>1092481.7094915272</v>
      </c>
      <c r="AP32" s="19">
        <f>'D2C Online'!AG54+'D2C Online'!AG55</f>
        <v>1046079.4968341684</v>
      </c>
      <c r="AQ32" s="19">
        <f>'D2C Online'!AH54+'D2C Online'!AH55</f>
        <v>641482.12525423756</v>
      </c>
      <c r="AR32" s="19">
        <f>'D2C Online'!AI54+'D2C Online'!AI55</f>
        <v>790338.5954446278</v>
      </c>
      <c r="AS32" s="19">
        <f>'D2C Online'!AJ54+'D2C Online'!AJ55</f>
        <v>1021890.0355169473</v>
      </c>
      <c r="AT32" s="19">
        <f>'D2C Online'!AK54+'D2C Online'!AK55</f>
        <v>2293739.6112739751</v>
      </c>
      <c r="AU32" s="19">
        <f>'D2C Online'!AL54+'D2C Online'!AL55</f>
        <v>2657087.4906614665</v>
      </c>
      <c r="AV32" s="19">
        <f>'D2C Online'!AM54+'D2C Online'!AM55</f>
        <v>2993067.3670627032</v>
      </c>
      <c r="AW32" s="19">
        <f>'D2C Online'!AN54+'D2C Online'!AN55</f>
        <v>2574965.1119491514</v>
      </c>
      <c r="AX32" s="19">
        <f>'D2C Online'!AO54+'D2C Online'!AO55</f>
        <v>1337071.8836928832</v>
      </c>
      <c r="AY32" s="19">
        <f>'D2C Online'!AP54+'D2C Online'!AP55</f>
        <v>1213980.5972135607</v>
      </c>
      <c r="AZ32" s="19">
        <f>'D2C Online'!AQ54+'D2C Online'!AQ55</f>
        <v>1652729</v>
      </c>
      <c r="BA32" s="19">
        <f>'D2C Online'!AR54+'D2C Online'!AR55</f>
        <v>2126091.4886440691</v>
      </c>
      <c r="BB32" s="19">
        <f>'D2C Online'!AS54+'D2C Online'!AS55</f>
        <v>2101871.2657423578</v>
      </c>
      <c r="BC32" s="19">
        <f>'D2C Online'!AT54+'D2C Online'!AT55</f>
        <v>1644629.6611220364</v>
      </c>
      <c r="BD32" s="19">
        <f>'D2C Online'!AU54+'D2C Online'!AU55</f>
        <v>2188754.5927118654</v>
      </c>
      <c r="BE32" s="19">
        <f>'D2C Online'!AV54+'D2C Online'!AV55</f>
        <v>3467761.5694576185</v>
      </c>
      <c r="BF32" s="19">
        <f>'D2C Online'!AW54+'D2C Online'!AW55</f>
        <v>2843056.2790464344</v>
      </c>
      <c r="BG32" s="19">
        <f>'D2C Online'!AX54+'D2C Online'!AX55</f>
        <v>2331055.4126796662</v>
      </c>
      <c r="BH32" s="19">
        <f>'D2C Online'!AY54+'D2C Online'!AY55</f>
        <v>2660431.2799118692</v>
      </c>
      <c r="BI32" s="19">
        <f>'D2C Online'!AZ54+'D2C Online'!AZ55</f>
        <v>4174519.0588779431</v>
      </c>
      <c r="BJ32" s="19">
        <f>'D2C Online'!BA54+'D2C Online'!BA55</f>
        <v>6364031.3191525415</v>
      </c>
      <c r="BK32" s="19">
        <f>'D2C Online'!BB54+'D2C Online'!BB55</f>
        <v>6971324.3708644081</v>
      </c>
      <c r="BL32" s="19">
        <f>'D2C Online'!BC54+'D2C Online'!BC55</f>
        <v>6524973.1861287449</v>
      </c>
      <c r="BM32" s="19">
        <f>'D2C Online'!BD54+'D2C Online'!BD55</f>
        <v>8219570.5434075082</v>
      </c>
      <c r="BN32" s="19">
        <f>'D2C Online'!BE54+'D2C Online'!BE55</f>
        <v>5580815.1694878386</v>
      </c>
      <c r="BO32" s="19">
        <f>'D2C Online'!BF54+'D2C Online'!BF55</f>
        <v>7172450.5368256224</v>
      </c>
      <c r="BP32" s="19">
        <f>'D2C Online'!BG54+'D2C Online'!BG55</f>
        <v>6527556.6579259653</v>
      </c>
      <c r="BQ32" s="19">
        <f>'D2C Online'!BH54+'D2C Online'!BH55</f>
        <v>10595798.164963771</v>
      </c>
      <c r="BR32" s="19">
        <f>'D2C Online'!BI54+'D2C Online'!BI55</f>
        <v>9395502.2333211899</v>
      </c>
      <c r="BS32" s="19">
        <f>'D2C Online'!BJ54+'D2C Online'!BJ55</f>
        <v>9005456.6848356742</v>
      </c>
      <c r="BT32" s="19">
        <f>'D2C Online'!BK54+'D2C Online'!BK55</f>
        <v>10023072.933221292</v>
      </c>
      <c r="BU32" s="19">
        <f>'D2C Online'!BL54+'D2C Online'!BL55</f>
        <v>8822484.8565103933</v>
      </c>
      <c r="BV32" s="19">
        <f>'D2C Online'!BM54+'D2C Online'!BM55</f>
        <v>12397647.47121332</v>
      </c>
      <c r="BW32" s="19">
        <f>'D2C Online'!BN54+'D2C Online'!BN55</f>
        <v>10476443.635275342</v>
      </c>
      <c r="BX32" s="19">
        <f>'D2C Online'!BO54+'D2C Online'!BO55</f>
        <v>10872420.455322813</v>
      </c>
      <c r="BY32" s="19">
        <f>'D2C Online'!BP49</f>
        <v>11729305.877416171</v>
      </c>
      <c r="BZ32" s="19">
        <f>'D2C Online'!BQ49</f>
        <v>12067966.926290344</v>
      </c>
      <c r="CA32" s="19">
        <f>'D2C Online'!BR49</f>
        <v>12155838.629640646</v>
      </c>
      <c r="CB32" s="19">
        <f>'D2C Online'!BS49</f>
        <v>12222698.71987989</v>
      </c>
      <c r="CC32" s="19">
        <f>'D2C Online'!BT49</f>
        <v>14380827.164690362</v>
      </c>
      <c r="CD32" s="19">
        <f>'D2C Online'!BU49</f>
        <v>11664817.411626155</v>
      </c>
      <c r="CE32" s="19">
        <f>'D2C Online'!BV49</f>
        <v>13601462.690532621</v>
      </c>
      <c r="CF32" s="19">
        <f>'D2C Online'!BW49</f>
        <v>15549033.111793833</v>
      </c>
      <c r="CG32" s="19">
        <f>'D2C Online'!BX49</f>
        <v>14910790.514405008</v>
      </c>
      <c r="CH32" s="19">
        <f>'D2C Online'!BY49</f>
        <v>21065291.637704343</v>
      </c>
      <c r="CI32" s="19">
        <f>'D2C Online'!BZ49</f>
        <v>18984566.854446828</v>
      </c>
      <c r="CJ32" s="19">
        <f>'D2C Online'!CA49</f>
        <v>20218927.597169138</v>
      </c>
      <c r="CK32" s="19">
        <f>'D2C Online'!CB49</f>
        <v>19107011.746712036</v>
      </c>
      <c r="CL32" s="19">
        <f>'D2C Online'!CC49</f>
        <v>20396822.040000036</v>
      </c>
      <c r="CM32" s="19">
        <f>'D2C Online'!CD49</f>
        <v>18556943.960000001</v>
      </c>
      <c r="CN32" s="19">
        <f>'D2C Online'!CE49</f>
        <v>19046366.440000057</v>
      </c>
      <c r="CO32" s="19">
        <f>'D2C Online'!CF49</f>
        <v>19696949.650000017</v>
      </c>
      <c r="CP32" s="19">
        <f>'D2C Online'!CG49</f>
        <v>18803466.70000004</v>
      </c>
      <c r="CQ32" s="19">
        <f>'D2C Online'!CH49</f>
        <v>21632722.57000012</v>
      </c>
      <c r="CR32" s="19">
        <f>'D2C Online'!CI49</f>
        <v>23962521.420000069</v>
      </c>
      <c r="CS32" s="19">
        <f>'D2C Online'!CJ49</f>
        <v>19122657.230000034</v>
      </c>
      <c r="CT32" s="19">
        <f>'D2C Online'!CK49</f>
        <v>21896498.280000038</v>
      </c>
      <c r="CU32" s="19">
        <f>'D2C Online'!CL54+'D2C Online'!CL55</f>
        <v>22358957.178817868</v>
      </c>
      <c r="CV32" s="19">
        <f>'D2C Online'!CM54+'D2C Online'!CM55</f>
        <v>22586518.983287614</v>
      </c>
      <c r="CW32" s="19">
        <f>'D2C Online'!CN54+'D2C Online'!CN55</f>
        <v>22570360.748650711</v>
      </c>
      <c r="CX32" s="19">
        <f>'D2C Online'!CO54+'D2C Online'!CO55</f>
        <v>22911030.195578799</v>
      </c>
      <c r="CY32" s="19">
        <f>'D2C Online'!CP54+'D2C Online'!CP55</f>
        <v>21588747.994458705</v>
      </c>
      <c r="CZ32" s="19">
        <f>'D2C Online'!CQ54+'D2C Online'!CQ55</f>
        <v>23616606.441390332</v>
      </c>
      <c r="DA32" s="19">
        <f>'D2C Online'!CR54+'D2C Online'!CR55</f>
        <v>22963544.45814874</v>
      </c>
      <c r="DB32" s="19">
        <f>'D2C Online'!CS54+'D2C Online'!CS55</f>
        <v>23017405.240271758</v>
      </c>
      <c r="DC32" s="19">
        <f>'D2C Online'!CT54+'D2C Online'!CT55</f>
        <v>28254019.782182187</v>
      </c>
      <c r="DD32" s="19">
        <f>'D2C Online'!CU54+'D2C Online'!CU55</f>
        <v>30443460.575482875</v>
      </c>
      <c r="DE32" s="19">
        <f>'D2C Online'!CV54+'D2C Online'!CV55</f>
        <v>26099588.497261465</v>
      </c>
      <c r="DF32" s="19">
        <f>'D2C Online'!CW54+'D2C Online'!CW55</f>
        <v>28202852.039165318</v>
      </c>
      <c r="DG32" s="19">
        <f>'D2C Online'!CX54+'D2C Online'!CX55</f>
        <v>26484184.778309759</v>
      </c>
      <c r="DH32" s="19">
        <f>'D2C Online'!CY54+'D2C Online'!CY55</f>
        <v>26753731.73570418</v>
      </c>
      <c r="DI32" s="19">
        <f>'D2C Online'!CZ54+'D2C Online'!CZ55</f>
        <v>26734592.306776762</v>
      </c>
      <c r="DJ32" s="19">
        <f>'D2C Online'!DA54+'D2C Online'!DA55</f>
        <v>27138115.266663089</v>
      </c>
      <c r="DK32" s="19">
        <f>'D2C Online'!DB54+'D2C Online'!DB55</f>
        <v>25571871.999436334</v>
      </c>
      <c r="DL32" s="19">
        <f>'D2C Online'!DC54+'D2C Online'!DC55</f>
        <v>27973870.32982685</v>
      </c>
      <c r="DM32" s="19">
        <f>'D2C Online'!DD54+'D2C Online'!DD55</f>
        <v>27200318.410677176</v>
      </c>
      <c r="DN32" s="19">
        <f>'D2C Online'!DE54+'D2C Online'!DE55</f>
        <v>27264116.507101893</v>
      </c>
      <c r="DO32" s="19">
        <f>'D2C Online'!DF54+'D2C Online'!DF55</f>
        <v>33466886.431994796</v>
      </c>
      <c r="DP32" s="19">
        <f>'D2C Online'!DG54+'D2C Online'!DG55</f>
        <v>36060279.051659457</v>
      </c>
      <c r="DQ32" s="19">
        <f>'D2C Online'!DH54+'D2C Online'!DH55</f>
        <v>30914962.575006202</v>
      </c>
      <c r="DR32" s="19">
        <f>'D2C Online'!DI54+'D2C Online'!DI55</f>
        <v>33406278.240391314</v>
      </c>
      <c r="DS32" s="19">
        <f>'D2C Online'!DJ54+'D2C Online'!DJ55</f>
        <v>31370516.869907908</v>
      </c>
      <c r="DT32" s="19">
        <f>'D2C Online'!DK54+'D2C Online'!DK55</f>
        <v>31689795.240941603</v>
      </c>
      <c r="DU32" s="19">
        <f>'D2C Online'!DL54+'D2C Online'!DL55</f>
        <v>31667124.587377079</v>
      </c>
      <c r="DV32" s="19">
        <f>'D2C Online'!DM54+'D2C Online'!DM55</f>
        <v>32145097.533362422</v>
      </c>
      <c r="DW32" s="19">
        <f>'D2C Online'!DN54+'D2C Online'!DN55</f>
        <v>30289882.383332338</v>
      </c>
      <c r="DX32" s="19">
        <f>'D2C Online'!DO54+'D2C Online'!DO55</f>
        <v>33135049.405679896</v>
      </c>
      <c r="DY32" s="19">
        <f>'D2C Online'!DP54+'D2C Online'!DP55</f>
        <v>32218777.157447118</v>
      </c>
      <c r="DZ32" s="19">
        <f>'D2C Online'!DQ54+'D2C Online'!DQ55</f>
        <v>32294346.002662189</v>
      </c>
      <c r="EA32" s="19">
        <f>'D2C Online'!DR54+'D2C Online'!DR55</f>
        <v>39641526.978697844</v>
      </c>
      <c r="EB32" s="19">
        <f>'D2C Online'!DS54+'D2C Online'!DS55</f>
        <v>42713400.536690623</v>
      </c>
      <c r="EC32" s="19">
        <f>'D2C Online'!DT54+'D2C Online'!DT55</f>
        <v>36618773.170094848</v>
      </c>
      <c r="ED32" s="19">
        <f>'D2C Online'!DU54+'D2C Online'!DU55</f>
        <v>39569736.575743511</v>
      </c>
      <c r="EE32" s="168"/>
      <c r="EF32" s="165">
        <f>SUM(BK32:BM32)</f>
        <v>21715868.10040066</v>
      </c>
      <c r="EG32" s="165">
        <f>SUM(BN32:BP32)</f>
        <v>19280822.364239424</v>
      </c>
      <c r="EH32" s="165">
        <f>SUM(BQ32:BS32)</f>
        <v>28996757.083120637</v>
      </c>
      <c r="EI32" s="165">
        <f>SUM(BT32:BV32)</f>
        <v>31243205.260945007</v>
      </c>
      <c r="EJ32" s="165">
        <f>SUM(BW32:BY32)</f>
        <v>33078169.968014326</v>
      </c>
      <c r="EK32" s="165">
        <f>SUM(CL32:CN32)</f>
        <v>58000132.440000094</v>
      </c>
      <c r="EL32" s="165">
        <f>SUM(CC32:CE32)</f>
        <v>39647107.266849138</v>
      </c>
      <c r="EM32" s="165">
        <f>SUM(CF32:CH32)</f>
        <v>51525115.263903186</v>
      </c>
      <c r="EN32" s="165">
        <f>SUM(CI32:CK32)</f>
        <v>58310506.198328003</v>
      </c>
      <c r="EO32" s="165">
        <f>SUM(CL32:CN32)</f>
        <v>58000132.440000094</v>
      </c>
      <c r="EP32" s="165">
        <f>SUM(CO32:CQ32)</f>
        <v>60133138.920000173</v>
      </c>
      <c r="EQ32" s="165">
        <f>SUM(CR32:CT32)</f>
        <v>64981676.930000141</v>
      </c>
      <c r="ER32" s="165">
        <f>SUM(CU32:CW32)</f>
        <v>67515836.910756201</v>
      </c>
      <c r="ES32" s="165">
        <f>SUM(CX32:CZ32)</f>
        <v>68116384.631427839</v>
      </c>
      <c r="ET32" s="165">
        <f>SUM(DA32:DC32)</f>
        <v>74234969.480602682</v>
      </c>
      <c r="EU32" s="165">
        <f>SUM(DD32:DF32)</f>
        <v>84745901.111909658</v>
      </c>
      <c r="EV32" s="165">
        <f>SUM(DG32:DI32)</f>
        <v>79972508.820790708</v>
      </c>
      <c r="EW32" s="165">
        <f>SUM(DJ32:DL32)</f>
        <v>80683857.59592627</v>
      </c>
      <c r="EX32" s="165">
        <f>SUM(DM32:DO32)</f>
        <v>87931321.349773869</v>
      </c>
      <c r="EY32" s="165">
        <f>SUM(DP32:DR32)</f>
        <v>100381519.86705697</v>
      </c>
      <c r="EZ32" s="165">
        <f t="shared" si="83"/>
        <v>94727436.698226601</v>
      </c>
      <c r="FA32" s="165">
        <f t="shared" si="84"/>
        <v>95570029.322374657</v>
      </c>
      <c r="FB32" s="165">
        <f t="shared" si="85"/>
        <v>104154650.13880715</v>
      </c>
      <c r="FC32" s="165">
        <f t="shared" si="86"/>
        <v>118901910.28252898</v>
      </c>
      <c r="FE32" s="165">
        <f t="shared" si="87"/>
        <v>101236652.80870573</v>
      </c>
      <c r="FF32" s="165">
        <f t="shared" si="88"/>
        <v>182250524.93876672</v>
      </c>
      <c r="FG32" s="165">
        <f t="shared" si="89"/>
        <v>241425454.4883284</v>
      </c>
      <c r="FH32" s="165">
        <f t="shared" si="90"/>
        <v>294613092.13469636</v>
      </c>
      <c r="FI32" s="165">
        <f t="shared" si="91"/>
        <v>348969207.63354784</v>
      </c>
      <c r="FJ32" s="165">
        <f t="shared" si="92"/>
        <v>413354026.44193745</v>
      </c>
    </row>
    <row r="33" spans="2:166" x14ac:dyDescent="0.2">
      <c r="B33" s="155" t="s">
        <v>229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f>'D2C - Retail'!C57+'D2C - Retail'!C60</f>
        <v>309190.48329661018</v>
      </c>
      <c r="AD33" s="19">
        <f>'D2C - Retail'!D57+'D2C - Retail'!D60</f>
        <v>223532.74221864401</v>
      </c>
      <c r="AE33" s="19">
        <f>'D2C - Retail'!E57+'D2C - Retail'!E60</f>
        <v>307586.96709566202</v>
      </c>
      <c r="AF33" s="19">
        <f>'D2C - Retail'!F57+'D2C - Retail'!F60</f>
        <v>419521.97920677997</v>
      </c>
      <c r="AG33" s="19">
        <f>'D2C - Retail'!G57+'D2C - Retail'!G60</f>
        <v>386001</v>
      </c>
      <c r="AH33" s="19">
        <f>'D2C - Retail'!H57+'D2C - Retail'!H60</f>
        <v>628472.95629999996</v>
      </c>
      <c r="AI33" s="19">
        <f>'D2C - Retail'!I57+'D2C - Retail'!I60</f>
        <v>1328281.95</v>
      </c>
      <c r="AJ33" s="19">
        <f>'D2C - Retail'!J57+'D2C - Retail'!J60</f>
        <v>1434018.76526695</v>
      </c>
      <c r="AK33" s="19">
        <f>'D2C - Retail'!K57+'D2C - Retail'!K60</f>
        <v>1487716.034067797</v>
      </c>
      <c r="AL33" s="19">
        <f>'D2C - Retail'!L57+'D2C - Retail'!L60</f>
        <v>1812806.5064237323</v>
      </c>
      <c r="AM33" s="19">
        <f>'D2C - Retail'!M57+'D2C - Retail'!M60</f>
        <v>1079245.2089864896</v>
      </c>
      <c r="AN33" s="19">
        <f>'D2C - Retail'!N57+'D2C - Retail'!N60</f>
        <v>31633.38305084746</v>
      </c>
      <c r="AO33" s="19">
        <f>'D2C - Retail'!O57+'D2C - Retail'!O60</f>
        <v>777673.88944294839</v>
      </c>
      <c r="AP33" s="19">
        <f>'D2C - Retail'!P57+'D2C - Retail'!P60</f>
        <v>1282133.4769688635</v>
      </c>
      <c r="AQ33" s="19">
        <f>'D2C - Retail'!Q57+'D2C - Retail'!Q60</f>
        <v>1321715.8945144059</v>
      </c>
      <c r="AR33" s="19">
        <f>'D2C - Retail'!R57+'D2C - Retail'!R60</f>
        <v>1965380.3641341326</v>
      </c>
      <c r="AS33" s="19">
        <f>'D2C - Retail'!S57+'D2C - Retail'!S60</f>
        <v>2567799.0446152533</v>
      </c>
      <c r="AT33" s="19">
        <f>'D2C - Retail'!T57+'D2C - Retail'!T60</f>
        <v>3964831.2769008409</v>
      </c>
      <c r="AU33" s="19">
        <f>'D2C - Retail'!U57+'D2C - Retail'!U60</f>
        <v>4471347.6433283444</v>
      </c>
      <c r="AV33" s="19">
        <f>'D2C - Retail'!V57+'D2C - Retail'!V60</f>
        <v>4193311.5708482899</v>
      </c>
      <c r="AW33" s="19">
        <f>'D2C - Retail'!W57+'D2C - Retail'!W60</f>
        <v>4761744.9668237353</v>
      </c>
      <c r="AX33" s="19">
        <f>'D2C - Retail'!X57+'D2C - Retail'!X60</f>
        <v>5344945.3326264685</v>
      </c>
      <c r="AY33" s="19">
        <f>'D2C - Retail'!Y57+'D2C - Retail'!Y60</f>
        <v>4393157.2802069653</v>
      </c>
      <c r="AZ33" s="19">
        <f>'D2C - Retail'!Z57+'D2C - Retail'!Z60</f>
        <v>5192801.4984452417</v>
      </c>
      <c r="BA33" s="19">
        <f>'D2C - Retail'!AA57+'D2C - Retail'!AA60</f>
        <v>6298472.6633623969</v>
      </c>
      <c r="BB33" s="19">
        <f>'D2C - Retail'!AB57+'D2C - Retail'!AB60</f>
        <v>6390844.9655125728</v>
      </c>
      <c r="BC33" s="19">
        <f>'D2C - Retail'!AC57+'D2C - Retail'!AC60</f>
        <v>6107499.9605288077</v>
      </c>
      <c r="BD33" s="19">
        <f>'D2C - Retail'!AD57+'D2C - Retail'!AD60</f>
        <v>5411509.7719881665</v>
      </c>
      <c r="BE33" s="19">
        <f>'D2C - Retail'!AE57+'D2C - Retail'!AE60</f>
        <v>6204666.5244762637</v>
      </c>
      <c r="BF33" s="19">
        <f>'D2C - Retail'!AF57+'D2C - Retail'!AF60</f>
        <v>6464847.5628406843</v>
      </c>
      <c r="BG33" s="19">
        <f>'D2C - Retail'!AG57+'D2C - Retail'!AG60</f>
        <v>8078470.9364428455</v>
      </c>
      <c r="BH33" s="19">
        <f>'D2C - Retail'!AH57+'D2C - Retail'!AH60</f>
        <v>8777941.846322041</v>
      </c>
      <c r="BI33" s="19">
        <f>'D2C - Retail'!AI57+'D2C - Retail'!AI60</f>
        <v>8911162.120027164</v>
      </c>
      <c r="BJ33" s="19">
        <f>'D2C - Retail'!AJ57+'D2C - Retail'!AJ60</f>
        <v>11083993.846047461</v>
      </c>
      <c r="BK33" s="19">
        <f>'D2C - Retail'!AK57+'D2C - Retail'!AK60</f>
        <v>11487101.561313475</v>
      </c>
      <c r="BL33" s="19">
        <f>'D2C - Retail'!AL57+'D2C - Retail'!AL60</f>
        <v>13199594.475966137</v>
      </c>
      <c r="BM33" s="19">
        <f>'D2C - Retail'!AM57+'D2C - Retail'!AM60</f>
        <v>14123642.03676616</v>
      </c>
      <c r="BN33" s="19">
        <f>'D2C - Retail'!AN57+'D2C - Retail'!AN60</f>
        <v>12113915.995159259</v>
      </c>
      <c r="BO33" s="19">
        <f>'D2C - Retail'!AO57+'D2C - Retail'!AO60</f>
        <v>12562154.925559344</v>
      </c>
      <c r="BP33" s="19">
        <f>'D2C - Retail'!AP57+'D2C - Retail'!AP60</f>
        <v>10059438.895169431</v>
      </c>
      <c r="BQ33" s="19">
        <f>'D2C - Retail'!AQ57+'D2C - Retail'!AQ60</f>
        <v>14136885.51521308</v>
      </c>
      <c r="BR33" s="19">
        <f>'D2C - Retail'!AR57+'D2C - Retail'!AR60</f>
        <v>13934715.255732279</v>
      </c>
      <c r="BS33" s="19">
        <f>'D2C - Retail'!AS57+'D2C - Retail'!AS60</f>
        <v>12392441.412010174</v>
      </c>
      <c r="BT33" s="19">
        <f>'D2C - Retail'!AT57+'D2C - Retail'!AT60</f>
        <v>12305184.350447627</v>
      </c>
      <c r="BU33" s="19">
        <f>'D2C - Retail'!AU57+'D2C - Retail'!AU60</f>
        <v>13072379.641176786</v>
      </c>
      <c r="BV33" s="19">
        <f>'D2C - Retail'!AV57+'D2C - Retail'!AV60</f>
        <v>15802848.526504504</v>
      </c>
      <c r="BW33" s="19">
        <f>'D2C - Retail'!AW57+'D2C - Retail'!AW60</f>
        <v>15481301.009218726</v>
      </c>
      <c r="BX33" s="19">
        <f>'D2C - Retail'!AX57+'D2C - Retail'!AX60</f>
        <v>15216344.281883731</v>
      </c>
      <c r="BY33" s="19">
        <f>'D2C - Retail'!AY57+'D2C - Retail'!AY60</f>
        <v>15998084.179210229</v>
      </c>
      <c r="BZ33" s="19">
        <f>'D2C - Retail'!AZ57+'D2C - Retail'!AZ60</f>
        <v>15090021.235742671</v>
      </c>
      <c r="CA33" s="19">
        <f>'D2C - Retail'!BA57+'D2C - Retail'!BA60</f>
        <v>12634661.136978159</v>
      </c>
      <c r="CB33" s="19">
        <f>'D2C - Retail'!BB57+'D2C - Retail'!BB60</f>
        <v>10450343.870607503</v>
      </c>
      <c r="CC33" s="19">
        <f>'D2C - Retail'!BC57+'D2C - Retail'!BC60</f>
        <v>14625454.447778724</v>
      </c>
      <c r="CD33" s="19">
        <f>'D2C - Retail'!BD57+'D2C - Retail'!BD60</f>
        <v>14478245.327930288</v>
      </c>
      <c r="CE33" s="19">
        <f>'D2C - Retail'!BE57+'D2C - Retail'!BE60</f>
        <v>16855398.387989145</v>
      </c>
      <c r="CF33" s="19">
        <f>'D2C - Retail'!BF57+'D2C - Retail'!BF60</f>
        <v>17105116.048833985</v>
      </c>
      <c r="CG33" s="19">
        <f>'D2C - Retail'!BG57+'D2C - Retail'!BG60</f>
        <v>16337088.807297232</v>
      </c>
      <c r="CH33" s="19">
        <f>'D2C - Retail'!BH57+'D2C - Retail'!BH60</f>
        <v>22118761.925820276</v>
      </c>
      <c r="CI33" s="19">
        <f>'D2C - Retail'!BI57+'D2C - Retail'!BI60</f>
        <v>23093153.529611446</v>
      </c>
      <c r="CJ33" s="19">
        <f>'D2C - Retail'!BJ57+'D2C - Retail'!BJ60</f>
        <v>22238612.460579943</v>
      </c>
      <c r="CK33" s="19">
        <f>'D2C - Retail'!BK57+'D2C - Retail'!BK60</f>
        <v>21741083.489240974</v>
      </c>
      <c r="CL33" s="19">
        <f>'D2C - Retail'!BL57+'D2C - Retail'!BL60</f>
        <v>23243685.359999999</v>
      </c>
      <c r="CM33" s="19">
        <f>'D2C - Retail'!BM57+'D2C - Retail'!BM60</f>
        <v>20622743.450000003</v>
      </c>
      <c r="CN33" s="19">
        <f>'D2C - Retail'!BN57+'D2C - Retail'!BN60</f>
        <v>18657411.820000008</v>
      </c>
      <c r="CO33" s="19">
        <f>'D2C - Retail'!BO57+'D2C - Retail'!BO60</f>
        <v>25615525.079999991</v>
      </c>
      <c r="CP33" s="19">
        <f>'D2C - Retail'!BP57+'D2C - Retail'!BP60</f>
        <v>22946194.000000022</v>
      </c>
      <c r="CQ33" s="19">
        <f>'D2C - Retail'!BQ57+'D2C - Retail'!BQ60</f>
        <v>28414416.440000009</v>
      </c>
      <c r="CR33" s="19">
        <f>'D2C - Retail'!BR57+'D2C - Retail'!BR60</f>
        <v>30820992.719999991</v>
      </c>
      <c r="CS33" s="19">
        <f>'D2C - Retail'!BS57+'D2C - Retail'!BS60</f>
        <v>29138946.509999998</v>
      </c>
      <c r="CT33" s="19">
        <f>'D2C - Retail'!BT57+'D2C - Retail'!BT60</f>
        <v>32917743.800000008</v>
      </c>
      <c r="CU33" s="19">
        <f>'D2C - Retail'!BU57+'D2C - Retail'!BU60</f>
        <v>28985929.867054503</v>
      </c>
      <c r="CV33" s="19">
        <f>'D2C - Retail'!BV57+'D2C - Retail'!BV60</f>
        <v>28385983.356802493</v>
      </c>
      <c r="CW33" s="19">
        <f>'D2C - Retail'!BW57+'D2C - Retail'!BW60</f>
        <v>28326813.373910803</v>
      </c>
      <c r="CX33" s="19">
        <f>'D2C - Retail'!BX57+'D2C - Retail'!BX60</f>
        <v>30674129.366627567</v>
      </c>
      <c r="CY33" s="19">
        <f>'D2C - Retail'!BY57+'D2C - Retail'!BY60</f>
        <v>27405780.992514655</v>
      </c>
      <c r="CZ33" s="19">
        <f>'D2C - Retail'!BZ57+'D2C - Retail'!BZ60</f>
        <v>25448779.02433661</v>
      </c>
      <c r="DA33" s="19">
        <f>'D2C - Retail'!CA57+'D2C - Retail'!CA60</f>
        <v>31753913.852530546</v>
      </c>
      <c r="DB33" s="19">
        <f>'D2C - Retail'!CB57+'D2C - Retail'!CB60</f>
        <v>29243208.399370253</v>
      </c>
      <c r="DC33" s="19">
        <f>'D2C - Retail'!CC57+'D2C - Retail'!CC60</f>
        <v>34788382.492177121</v>
      </c>
      <c r="DD33" s="19">
        <f>'D2C - Retail'!CD57+'D2C - Retail'!CD60</f>
        <v>35642888.030150719</v>
      </c>
      <c r="DE33" s="19">
        <f>'D2C - Retail'!CE57+'D2C - Retail'!CE60</f>
        <v>33144237.727140192</v>
      </c>
      <c r="DF33" s="19">
        <f>'D2C - Retail'!CF57+'D2C - Retail'!CF60</f>
        <v>38555440.914221682</v>
      </c>
      <c r="DG33" s="19">
        <f>'D2C - Retail'!CG57+'D2C - Retail'!CG60</f>
        <v>35446170.568015546</v>
      </c>
      <c r="DH33" s="19">
        <f>'D2C - Retail'!CH57+'D2C - Retail'!CH60</f>
        <v>34799440.350660831</v>
      </c>
      <c r="DI33" s="19">
        <f>'D2C - Retail'!CI57+'D2C - Retail'!CI60</f>
        <v>34546285.551119491</v>
      </c>
      <c r="DJ33" s="19">
        <f>'D2C - Retail'!CJ57+'D2C - Retail'!CJ60</f>
        <v>37389791.480699688</v>
      </c>
      <c r="DK33" s="19">
        <f>'D2C - Retail'!CK57+'D2C - Retail'!CK60</f>
        <v>33333007.585284077</v>
      </c>
      <c r="DL33" s="19">
        <f>'D2C - Retail'!CL57+'D2C - Retail'!CL60</f>
        <v>30877099.404128257</v>
      </c>
      <c r="DM33" s="19">
        <f>'D2C - Retail'!CM57+'D2C - Retail'!CM60</f>
        <v>38412424.656086579</v>
      </c>
      <c r="DN33" s="19">
        <f>'D2C - Retail'!CN57+'D2C - Retail'!CN60</f>
        <v>35187107.55753731</v>
      </c>
      <c r="DO33" s="19">
        <f>'D2C - Retail'!CO57+'D2C - Retail'!CO60</f>
        <v>41722289.524467856</v>
      </c>
      <c r="DP33" s="19">
        <f>'D2C - Retail'!CP57+'D2C - Retail'!CP60</f>
        <v>42570688.26200296</v>
      </c>
      <c r="DQ33" s="19">
        <f>'D2C - Retail'!CQ57+'D2C - Retail'!CQ60</f>
        <v>39388666.279819004</v>
      </c>
      <c r="DR33" s="19">
        <f>'D2C - Retail'!CR57+'D2C - Retail'!CR60</f>
        <v>45324542.772808351</v>
      </c>
      <c r="DS33" s="19">
        <f>'D2C - Retail'!CS57+'D2C - Retail'!CS60</f>
        <v>40388094.734683417</v>
      </c>
      <c r="DT33" s="19">
        <f>'D2C - Retail'!CT57+'D2C - Retail'!CT60</f>
        <v>39611559.54484807</v>
      </c>
      <c r="DU33" s="19">
        <f>'D2C - Retail'!CU57+'D2C - Retail'!CU60</f>
        <v>39298243.46403113</v>
      </c>
      <c r="DV33" s="19">
        <f>'D2C - Retail'!CV57+'D2C - Retail'!CV60</f>
        <v>42518811.36743132</v>
      </c>
      <c r="DW33" s="19">
        <f>'D2C - Retail'!CW57+'D2C - Retail'!CW60</f>
        <v>37856217.562586777</v>
      </c>
      <c r="DX33" s="19">
        <f>'D2C - Retail'!CX57+'D2C - Retail'!CX60</f>
        <v>35015455.262953237</v>
      </c>
      <c r="DY33" s="19">
        <f>'D2C - Retail'!CY57+'D2C - Retail'!CY60</f>
        <v>43583743.09153156</v>
      </c>
      <c r="DZ33" s="19">
        <f>'D2C - Retail'!CZ57+'D2C - Retail'!CZ60</f>
        <v>39889349.309833422</v>
      </c>
      <c r="EA33" s="19">
        <f>'D2C - Retail'!DA57+'D2C - Retail'!DA60</f>
        <v>47311919.27353362</v>
      </c>
      <c r="EB33" s="19">
        <f>'D2C - Retail'!DB57+'D2C - Retail'!DB60</f>
        <v>48263612.041276589</v>
      </c>
      <c r="EC33" s="19">
        <f>'D2C - Retail'!DC57+'D2C - Retail'!DC60</f>
        <v>44620476.578381985</v>
      </c>
      <c r="ED33" s="19">
        <f>'D2C - Retail'!DD57+'D2C - Retail'!DD60</f>
        <v>51353267.992652588</v>
      </c>
      <c r="EE33" s="168"/>
      <c r="EF33" s="165">
        <f>SUM(BK33:BM33)</f>
        <v>38810338.074045777</v>
      </c>
      <c r="EG33" s="165">
        <f>SUM(BN33:BP33)</f>
        <v>34735509.815888032</v>
      </c>
      <c r="EH33" s="165">
        <f>SUM(BQ33:BS33)</f>
        <v>40464042.182955533</v>
      </c>
      <c r="EI33" s="165">
        <f>SUM(BT33:BV33)</f>
        <v>41180412.518128917</v>
      </c>
      <c r="EJ33" s="165">
        <f>SUM(BW33:BY33)</f>
        <v>46695729.470312685</v>
      </c>
      <c r="EK33" s="165">
        <f>SUM(CL33:CN33)</f>
        <v>62523840.63000001</v>
      </c>
      <c r="EL33" s="165">
        <f>SUM(CC33:CE33)</f>
        <v>45959098.163698152</v>
      </c>
      <c r="EM33" s="165">
        <f>SUM(CF33:CH33)</f>
        <v>55560966.781951495</v>
      </c>
      <c r="EN33" s="165">
        <f>SUM(CI33:CK33)</f>
        <v>67072849.479432359</v>
      </c>
      <c r="EO33" s="165">
        <f>SUM(CL33:CN33)</f>
        <v>62523840.63000001</v>
      </c>
      <c r="EP33" s="165">
        <f>SUM(CO33:CQ33)</f>
        <v>76976135.520000026</v>
      </c>
      <c r="EQ33" s="165">
        <f>SUM(CR33:CT33)</f>
        <v>92877683.030000001</v>
      </c>
      <c r="ER33" s="165">
        <f>SUM(CU33:CW33)</f>
        <v>85698726.5977678</v>
      </c>
      <c r="ES33" s="165">
        <f>SUM(CX33:CZ33)</f>
        <v>83528689.383478835</v>
      </c>
      <c r="ET33" s="165">
        <f>SUM(DA33:DC33)</f>
        <v>95785504.744077921</v>
      </c>
      <c r="EU33" s="165">
        <f>SUM(DD33:DF33)</f>
        <v>107342566.6715126</v>
      </c>
      <c r="EV33" s="165">
        <f>SUM(DG33:DI33)</f>
        <v>104791896.46979587</v>
      </c>
      <c r="EW33" s="165">
        <f>SUM(DJ33:DL33)</f>
        <v>101599898.47011203</v>
      </c>
      <c r="EX33" s="165">
        <f>SUM(DM33:DO33)</f>
        <v>115321821.73809174</v>
      </c>
      <c r="EY33" s="165">
        <f>SUM(DP33:DR33)</f>
        <v>127283897.3146303</v>
      </c>
      <c r="EZ33" s="165">
        <f t="shared" si="83"/>
        <v>119297897.74356261</v>
      </c>
      <c r="FA33" s="165">
        <f t="shared" si="84"/>
        <v>115390484.19297133</v>
      </c>
      <c r="FB33" s="165">
        <f t="shared" si="85"/>
        <v>130785011.67489859</v>
      </c>
      <c r="FC33" s="165">
        <f t="shared" si="86"/>
        <v>144237356.61231115</v>
      </c>
      <c r="FE33" s="165">
        <f t="shared" si="87"/>
        <v>155190302.59101826</v>
      </c>
      <c r="FF33" s="165">
        <f t="shared" si="88"/>
        <v>210739635.04596233</v>
      </c>
      <c r="FG33" s="165">
        <f t="shared" si="89"/>
        <v>299450508.65943241</v>
      </c>
      <c r="FH33" s="165">
        <f t="shared" si="90"/>
        <v>372355487.39683717</v>
      </c>
      <c r="FI33" s="165">
        <f t="shared" si="91"/>
        <v>448997513.99262989</v>
      </c>
      <c r="FJ33" s="165">
        <f t="shared" si="92"/>
        <v>509710750.22374368</v>
      </c>
    </row>
    <row r="34" spans="2:166" x14ac:dyDescent="0.2">
      <c r="B34" s="22" t="s">
        <v>12</v>
      </c>
      <c r="C34" s="161">
        <f>C30/C21</f>
        <v>2.3969884883521652E-2</v>
      </c>
      <c r="D34" s="161">
        <f t="shared" ref="D34:BO34" si="160">D30/D21</f>
        <v>2.6871771922874828E-2</v>
      </c>
      <c r="E34" s="161">
        <f t="shared" si="160"/>
        <v>2.6488701083118404E-2</v>
      </c>
      <c r="F34" s="161">
        <f t="shared" si="160"/>
        <v>2.123579060714088E-2</v>
      </c>
      <c r="G34" s="161">
        <f t="shared" si="160"/>
        <v>2.6501510843295887E-2</v>
      </c>
      <c r="H34" s="161">
        <f t="shared" si="160"/>
        <v>3.1073330857945586E-2</v>
      </c>
      <c r="I34" s="161">
        <f t="shared" si="160"/>
        <v>3.3608127333306509E-2</v>
      </c>
      <c r="J34" s="161">
        <f t="shared" si="160"/>
        <v>3.8875265562528162E-2</v>
      </c>
      <c r="K34" s="161">
        <f t="shared" si="160"/>
        <v>3.762127616015995E-2</v>
      </c>
      <c r="L34" s="161">
        <f t="shared" si="160"/>
        <v>3.7264763053735661E-2</v>
      </c>
      <c r="M34" s="161">
        <f t="shared" si="160"/>
        <v>4.6037028296075852E-2</v>
      </c>
      <c r="N34" s="161">
        <f t="shared" si="160"/>
        <v>5.8110165038280516E-2</v>
      </c>
      <c r="O34" s="161">
        <f t="shared" si="160"/>
        <v>4.8538060696049351E-2</v>
      </c>
      <c r="P34" s="161">
        <f t="shared" si="160"/>
        <v>4.6088479824454277E-2</v>
      </c>
      <c r="Q34" s="161">
        <f t="shared" si="160"/>
        <v>3.8180251524648441E-2</v>
      </c>
      <c r="R34" s="161">
        <f t="shared" si="160"/>
        <v>5.0793274962356347E-2</v>
      </c>
      <c r="S34" s="161">
        <f t="shared" si="160"/>
        <v>3.8879728516798287E-2</v>
      </c>
      <c r="T34" s="161">
        <f t="shared" si="160"/>
        <v>2.6128268286863984E-2</v>
      </c>
      <c r="U34" s="161">
        <f t="shared" si="160"/>
        <v>3.9112889753685813E-2</v>
      </c>
      <c r="V34" s="161">
        <f t="shared" si="160"/>
        <v>3.1697879174316393E-2</v>
      </c>
      <c r="W34" s="161">
        <f t="shared" si="160"/>
        <v>3.2434617027421002E-2</v>
      </c>
      <c r="X34" s="161">
        <f t="shared" si="160"/>
        <v>2.5640461826584214E-2</v>
      </c>
      <c r="Y34" s="161">
        <f t="shared" si="160"/>
        <v>1.7392516450942818E-2</v>
      </c>
      <c r="Z34" s="161">
        <f t="shared" si="160"/>
        <v>2.293467693027219E-2</v>
      </c>
      <c r="AA34" s="161">
        <f t="shared" si="160"/>
        <v>3.8733388961568596E-2</v>
      </c>
      <c r="AB34" s="161">
        <f t="shared" si="160"/>
        <v>3.6288613739503067E-2</v>
      </c>
      <c r="AC34" s="161">
        <f t="shared" si="160"/>
        <v>5.4206481689521684E-2</v>
      </c>
      <c r="AD34" s="161">
        <f t="shared" si="160"/>
        <v>6.7325553008756006E-2</v>
      </c>
      <c r="AE34" s="161">
        <f t="shared" si="160"/>
        <v>5.7044343959698658E-2</v>
      </c>
      <c r="AF34" s="161">
        <f t="shared" si="160"/>
        <v>5.4086819697623016E-2</v>
      </c>
      <c r="AG34" s="161">
        <f t="shared" si="160"/>
        <v>5.4715901469399267E-2</v>
      </c>
      <c r="AH34" s="161">
        <f t="shared" si="160"/>
        <v>5.3988460155914839E-2</v>
      </c>
      <c r="AI34" s="161">
        <f t="shared" si="160"/>
        <v>4.8869472308076006E-2</v>
      </c>
      <c r="AJ34" s="161">
        <f t="shared" si="160"/>
        <v>4.9635565184297729E-2</v>
      </c>
      <c r="AK34" s="161">
        <f t="shared" si="160"/>
        <v>5.0641568111639473E-2</v>
      </c>
      <c r="AL34" s="161">
        <f t="shared" si="160"/>
        <v>5.2184528936406564E-2</v>
      </c>
      <c r="AM34" s="161">
        <f t="shared" si="160"/>
        <v>5.1626110710732628E-2</v>
      </c>
      <c r="AN34" s="161">
        <f t="shared" si="160"/>
        <v>5.2158271922990739E-2</v>
      </c>
      <c r="AO34" s="161">
        <f t="shared" si="160"/>
        <v>5.4189599641903598E-2</v>
      </c>
      <c r="AP34" s="161">
        <f t="shared" si="160"/>
        <v>5.5684197365482281E-2</v>
      </c>
      <c r="AQ34" s="161">
        <f t="shared" si="160"/>
        <v>4.9910284734057689E-2</v>
      </c>
      <c r="AR34" s="161">
        <f t="shared" si="160"/>
        <v>5.1317069132681713E-2</v>
      </c>
      <c r="AS34" s="161">
        <f t="shared" si="160"/>
        <v>5.5219677300334682E-2</v>
      </c>
      <c r="AT34" s="161">
        <f t="shared" si="160"/>
        <v>5.567472130334538E-2</v>
      </c>
      <c r="AU34" s="161">
        <f t="shared" si="160"/>
        <v>5.4541083350399491E-2</v>
      </c>
      <c r="AV34" s="161">
        <f t="shared" si="160"/>
        <v>5.3182074740741506E-2</v>
      </c>
      <c r="AW34" s="161">
        <f t="shared" si="160"/>
        <v>5.2652878983151324E-2</v>
      </c>
      <c r="AX34" s="161">
        <f t="shared" si="160"/>
        <v>4.6349880521766113E-2</v>
      </c>
      <c r="AY34" s="161">
        <f t="shared" si="160"/>
        <v>5.0244982319464462E-2</v>
      </c>
      <c r="AZ34" s="161">
        <f t="shared" si="160"/>
        <v>4.9150264654977661E-2</v>
      </c>
      <c r="BA34" s="161">
        <f t="shared" si="160"/>
        <v>4.7197393421293893E-2</v>
      </c>
      <c r="BB34" s="161">
        <f t="shared" si="160"/>
        <v>4.9315832184551392E-2</v>
      </c>
      <c r="BC34" s="161">
        <f t="shared" si="160"/>
        <v>4.5696624254805682E-2</v>
      </c>
      <c r="BD34" s="161">
        <f t="shared" si="160"/>
        <v>4.316428150424409E-2</v>
      </c>
      <c r="BE34" s="161">
        <f t="shared" si="160"/>
        <v>4.3393485702498624E-2</v>
      </c>
      <c r="BF34" s="161">
        <f t="shared" si="160"/>
        <v>4.2373178395065415E-2</v>
      </c>
      <c r="BG34" s="161">
        <f t="shared" si="160"/>
        <v>4.0352764528615089E-2</v>
      </c>
      <c r="BH34" s="161">
        <f t="shared" si="160"/>
        <v>3.9478122494042756E-2</v>
      </c>
      <c r="BI34" s="161">
        <f t="shared" si="160"/>
        <v>4.1230739667766546E-2</v>
      </c>
      <c r="BJ34" s="161">
        <f t="shared" si="160"/>
        <v>3.904938476709003E-2</v>
      </c>
      <c r="BK34" s="161">
        <f t="shared" si="160"/>
        <v>3.7821081645927609E-2</v>
      </c>
      <c r="BL34" s="161">
        <f t="shared" si="160"/>
        <v>4.0523780789723143E-2</v>
      </c>
      <c r="BM34" s="161">
        <f t="shared" si="160"/>
        <v>4.3444509661053302E-2</v>
      </c>
      <c r="BN34" s="161">
        <f t="shared" si="160"/>
        <v>4.2664831449263488E-2</v>
      </c>
      <c r="BO34" s="161">
        <f t="shared" si="160"/>
        <v>4.5224684330599715E-2</v>
      </c>
      <c r="BP34" s="161">
        <f t="shared" ref="BP34:EM34" si="161">BP30/BP21</f>
        <v>3.7858823107123372E-2</v>
      </c>
      <c r="BQ34" s="161">
        <f t="shared" si="161"/>
        <v>3.7751726341449618E-2</v>
      </c>
      <c r="BR34" s="161">
        <f t="shared" si="161"/>
        <v>4.2381675729113326E-2</v>
      </c>
      <c r="BS34" s="161">
        <f t="shared" si="161"/>
        <v>4.3453047847313006E-2</v>
      </c>
      <c r="BT34" s="161">
        <f t="shared" si="161"/>
        <v>4.7659321930357476E-2</v>
      </c>
      <c r="BU34" s="161">
        <f t="shared" si="161"/>
        <v>5.5984639552275985E-2</v>
      </c>
      <c r="BV34" s="161">
        <f t="shared" si="161"/>
        <v>5.5884944088813393E-2</v>
      </c>
      <c r="BW34" s="161">
        <f t="shared" si="161"/>
        <v>5.0757750169888365E-2</v>
      </c>
      <c r="BX34" s="161">
        <f t="shared" si="161"/>
        <v>4.9374745720968477E-2</v>
      </c>
      <c r="BY34" s="161">
        <f t="shared" si="161"/>
        <v>4.9698223241844169E-2</v>
      </c>
      <c r="BZ34" s="161">
        <f t="shared" si="161"/>
        <v>4.9452522839154758E-2</v>
      </c>
      <c r="CA34" s="161">
        <f t="shared" si="161"/>
        <v>5.0958722842842696E-2</v>
      </c>
      <c r="CB34" s="161">
        <f t="shared" si="161"/>
        <v>4.9492434864676256E-2</v>
      </c>
      <c r="CC34" s="161">
        <f t="shared" si="161"/>
        <v>5.0725243899855117E-2</v>
      </c>
      <c r="CD34" s="161">
        <f t="shared" si="161"/>
        <v>4.890644054390221E-2</v>
      </c>
      <c r="CE34" s="161">
        <f t="shared" si="161"/>
        <v>4.7857815049045974E-2</v>
      </c>
      <c r="CF34" s="161">
        <f t="shared" si="161"/>
        <v>4.7944787186266387E-2</v>
      </c>
      <c r="CG34" s="161">
        <f t="shared" si="161"/>
        <v>4.8087955866204374E-2</v>
      </c>
      <c r="CH34" s="161">
        <f t="shared" si="161"/>
        <v>5.1475314592793114E-2</v>
      </c>
      <c r="CI34" s="161">
        <f t="shared" si="161"/>
        <v>5.4433990664560089E-2</v>
      </c>
      <c r="CJ34" s="161">
        <f t="shared" si="161"/>
        <v>5.6192377355391634E-2</v>
      </c>
      <c r="CK34" s="161">
        <f t="shared" si="161"/>
        <v>5.3479174420816455E-2</v>
      </c>
      <c r="CL34" s="161">
        <f t="shared" si="161"/>
        <v>5.3194721436968032E-2</v>
      </c>
      <c r="CM34" s="161">
        <f t="shared" si="161"/>
        <v>5.5855563094480525E-2</v>
      </c>
      <c r="CN34" s="161">
        <f t="shared" si="161"/>
        <v>4.972168992229109E-2</v>
      </c>
      <c r="CO34" s="161">
        <f t="shared" si="161"/>
        <v>5.1379865522176459E-2</v>
      </c>
      <c r="CP34" s="161">
        <f t="shared" si="161"/>
        <v>5.1048005775990744E-2</v>
      </c>
      <c r="CQ34" s="161">
        <f t="shared" si="161"/>
        <v>4.9737003997917653E-2</v>
      </c>
      <c r="CR34" s="161">
        <f t="shared" si="161"/>
        <v>5.0120566960820914E-2</v>
      </c>
      <c r="CS34" s="161">
        <f t="shared" si="161"/>
        <v>4.8973392906630442E-2</v>
      </c>
      <c r="CT34" s="161">
        <f t="shared" si="161"/>
        <v>4.7194439600785933E-2</v>
      </c>
      <c r="CU34" s="161">
        <f t="shared" si="161"/>
        <v>4.9965278183568843E-2</v>
      </c>
      <c r="CV34" s="161">
        <f t="shared" si="161"/>
        <v>5.0109848448685101E-2</v>
      </c>
      <c r="CW34" s="161">
        <f t="shared" si="161"/>
        <v>5.0150922113809233E-2</v>
      </c>
      <c r="CX34" s="161">
        <f t="shared" si="161"/>
        <v>4.9823488013056388E-2</v>
      </c>
      <c r="CY34" s="161">
        <f t="shared" si="161"/>
        <v>5.0271705480416595E-2</v>
      </c>
      <c r="CZ34" s="161">
        <f t="shared" si="161"/>
        <v>5.088060714512984E-2</v>
      </c>
      <c r="DA34" s="161">
        <f t="shared" si="161"/>
        <v>4.9755047677256935E-2</v>
      </c>
      <c r="DB34" s="161">
        <f t="shared" si="161"/>
        <v>5.0188940491512117E-2</v>
      </c>
      <c r="DC34" s="161">
        <f t="shared" si="161"/>
        <v>4.9848985573566755E-2</v>
      </c>
      <c r="DD34" s="161">
        <f t="shared" si="161"/>
        <v>4.9931282735031453E-2</v>
      </c>
      <c r="DE34" s="161">
        <f t="shared" si="161"/>
        <v>4.9935983757634785E-2</v>
      </c>
      <c r="DF34" s="161">
        <f t="shared" si="161"/>
        <v>4.9452709798051983E-2</v>
      </c>
      <c r="DG34" s="161">
        <f t="shared" si="161"/>
        <v>4.9708844740396781E-2</v>
      </c>
      <c r="DH34" s="161">
        <f t="shared" si="161"/>
        <v>4.984447091668566E-2</v>
      </c>
      <c r="DI34" s="161">
        <f t="shared" si="161"/>
        <v>4.9895048921890318E-2</v>
      </c>
      <c r="DJ34" s="161">
        <f t="shared" si="161"/>
        <v>4.9577429870669563E-2</v>
      </c>
      <c r="DK34" s="161">
        <f t="shared" si="161"/>
        <v>5.0011899971330959E-2</v>
      </c>
      <c r="DL34" s="161">
        <f t="shared" si="161"/>
        <v>5.0620668844639692E-2</v>
      </c>
      <c r="DM34" s="161">
        <f t="shared" si="161"/>
        <v>4.9524610142584503E-2</v>
      </c>
      <c r="DN34" s="161">
        <f t="shared" si="161"/>
        <v>4.9958424997120346E-2</v>
      </c>
      <c r="DO34" s="161">
        <f t="shared" si="161"/>
        <v>4.9656151400021005E-2</v>
      </c>
      <c r="DP34" s="161">
        <f t="shared" si="161"/>
        <v>4.9753650049889915E-2</v>
      </c>
      <c r="DQ34" s="161">
        <f t="shared" si="161"/>
        <v>4.9751765019500849E-2</v>
      </c>
      <c r="DR34" s="161">
        <f t="shared" si="161"/>
        <v>4.931328124462396E-2</v>
      </c>
      <c r="DS34" s="161">
        <f t="shared" ref="DS34:ED34" si="162">DS30/DS21</f>
        <v>4.9694265365747892E-2</v>
      </c>
      <c r="DT34" s="161">
        <f t="shared" si="162"/>
        <v>4.9829744035406007E-2</v>
      </c>
      <c r="DU34" s="161">
        <f t="shared" si="162"/>
        <v>4.9880109849475898E-2</v>
      </c>
      <c r="DV34" s="161">
        <f t="shared" si="162"/>
        <v>4.9569599741798254E-2</v>
      </c>
      <c r="DW34" s="161">
        <f t="shared" si="162"/>
        <v>4.9992224647618211E-2</v>
      </c>
      <c r="DX34" s="161">
        <f t="shared" si="162"/>
        <v>5.0599744562134404E-2</v>
      </c>
      <c r="DY34" s="161">
        <f t="shared" si="162"/>
        <v>4.9520398850258149E-2</v>
      </c>
      <c r="DZ34" s="161">
        <f t="shared" si="162"/>
        <v>4.9947966888324875E-2</v>
      </c>
      <c r="EA34" s="161">
        <f t="shared" si="162"/>
        <v>4.9669742225770377E-2</v>
      </c>
      <c r="EB34" s="161">
        <f t="shared" si="162"/>
        <v>4.9772644520103389E-2</v>
      </c>
      <c r="EC34" s="161">
        <f t="shared" si="162"/>
        <v>4.9757812573855066E-2</v>
      </c>
      <c r="ED34" s="161">
        <f t="shared" si="162"/>
        <v>4.9332733055754037E-2</v>
      </c>
      <c r="EE34" s="168"/>
      <c r="EF34" s="161">
        <f t="shared" si="161"/>
        <v>4.0646722091103427E-2</v>
      </c>
      <c r="EG34" s="161">
        <f t="shared" si="161"/>
        <v>4.1898013909582775E-2</v>
      </c>
      <c r="EH34" s="161">
        <f t="shared" si="161"/>
        <v>4.0906057221782262E-2</v>
      </c>
      <c r="EI34" s="161">
        <f t="shared" si="161"/>
        <v>5.3088662263504671E-2</v>
      </c>
      <c r="EJ34" s="161">
        <f t="shared" si="161"/>
        <v>4.9930385965545013E-2</v>
      </c>
      <c r="EK34" s="161">
        <f t="shared" si="161"/>
        <v>5.2858272301339174E-2</v>
      </c>
      <c r="EL34" s="161">
        <f t="shared" si="161"/>
        <v>4.912029351882604E-2</v>
      </c>
      <c r="EM34" s="161">
        <f t="shared" si="161"/>
        <v>4.9352691516304649E-2</v>
      </c>
      <c r="EN34" s="161">
        <f t="shared" ref="EN34:FJ34" si="163">EN30/EN21</f>
        <v>5.4695416838121104E-2</v>
      </c>
      <c r="EO34" s="161">
        <f t="shared" si="163"/>
        <v>5.2858272301339174E-2</v>
      </c>
      <c r="EP34" s="161">
        <f t="shared" si="163"/>
        <v>5.0668661117901331E-2</v>
      </c>
      <c r="EQ34" s="161">
        <f t="shared" si="163"/>
        <v>4.8722687586518369E-2</v>
      </c>
      <c r="ER34" s="161">
        <f t="shared" si="163"/>
        <v>5.0074917911730028E-2</v>
      </c>
      <c r="ES34" s="161">
        <f t="shared" si="163"/>
        <v>5.030657806406659E-2</v>
      </c>
      <c r="ET34" s="161">
        <f t="shared" si="163"/>
        <v>4.9922592104038793E-2</v>
      </c>
      <c r="EU34" s="161">
        <f t="shared" si="163"/>
        <v>4.9765353256006263E-2</v>
      </c>
      <c r="EV34" s="161">
        <f t="shared" si="163"/>
        <v>4.9815661832665427E-2</v>
      </c>
      <c r="EW34" s="161">
        <f t="shared" si="163"/>
        <v>5.0050961087894252E-2</v>
      </c>
      <c r="EX34" s="161">
        <f t="shared" si="163"/>
        <v>4.9705939403296193E-2</v>
      </c>
      <c r="EY34" s="161">
        <f t="shared" si="163"/>
        <v>4.959989710642846E-2</v>
      </c>
      <c r="EZ34" s="161">
        <f t="shared" si="163"/>
        <v>4.9800896659528929E-2</v>
      </c>
      <c r="FA34" s="161">
        <f t="shared" si="163"/>
        <v>5.0035311658785803E-2</v>
      </c>
      <c r="FB34" s="161">
        <f t="shared" si="163"/>
        <v>4.970644542377297E-2</v>
      </c>
      <c r="FC34" s="161">
        <f t="shared" si="163"/>
        <v>4.9615204780152355E-2</v>
      </c>
      <c r="FE34" s="161">
        <f t="shared" si="163"/>
        <v>4.3904431449902706E-2</v>
      </c>
      <c r="FF34" s="161">
        <f t="shared" si="163"/>
        <v>5.0445205358187375E-2</v>
      </c>
      <c r="FG34" s="161">
        <f t="shared" si="163"/>
        <v>5.1421492648345175E-2</v>
      </c>
      <c r="FH34" s="161">
        <f t="shared" si="163"/>
        <v>4.9998803990960398E-2</v>
      </c>
      <c r="FI34" s="161">
        <f t="shared" si="163"/>
        <v>4.9779349814936681E-2</v>
      </c>
      <c r="FJ34" s="161">
        <f t="shared" si="163"/>
        <v>4.9777012090668163E-2</v>
      </c>
    </row>
    <row r="35" spans="2:166" x14ac:dyDescent="0.2">
      <c r="B35" s="22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68"/>
      <c r="EF35" s="165"/>
      <c r="EG35" s="165"/>
      <c r="EH35" s="165"/>
      <c r="EI35" s="165"/>
      <c r="EJ35" s="165"/>
      <c r="EK35" s="165"/>
      <c r="EL35" s="165"/>
      <c r="EM35" s="165"/>
      <c r="EN35" s="165"/>
      <c r="EO35" s="165"/>
      <c r="EP35" s="165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>
        <f t="shared" si="83"/>
        <v>0</v>
      </c>
      <c r="FA35" s="165">
        <f t="shared" si="84"/>
        <v>0</v>
      </c>
      <c r="FB35" s="165">
        <f t="shared" si="85"/>
        <v>0</v>
      </c>
      <c r="FC35" s="165">
        <f t="shared" si="86"/>
        <v>0</v>
      </c>
      <c r="FE35" s="165"/>
      <c r="FF35" s="165"/>
      <c r="FG35" s="165"/>
      <c r="FH35" s="165"/>
      <c r="FI35" s="165"/>
      <c r="FJ35" s="165"/>
    </row>
    <row r="36" spans="2:166" s="30" customFormat="1" x14ac:dyDescent="0.2">
      <c r="B36" s="181" t="s">
        <v>13</v>
      </c>
      <c r="C36" s="180">
        <f>SUM(C37:C39)</f>
        <v>6044209.9642857146</v>
      </c>
      <c r="D36" s="180">
        <f t="shared" ref="D36:BO36" si="164">SUM(D37:D39)</f>
        <v>6585944.0338779641</v>
      </c>
      <c r="E36" s="180">
        <f t="shared" si="164"/>
        <v>5595315.3498177165</v>
      </c>
      <c r="F36" s="180">
        <f t="shared" si="164"/>
        <v>9133043.5133790001</v>
      </c>
      <c r="G36" s="180">
        <f t="shared" si="164"/>
        <v>6946318.5805587238</v>
      </c>
      <c r="H36" s="180">
        <f t="shared" si="164"/>
        <v>5648964.1437066002</v>
      </c>
      <c r="I36" s="180">
        <f t="shared" si="164"/>
        <v>7079979.1711388584</v>
      </c>
      <c r="J36" s="180">
        <f t="shared" si="164"/>
        <v>9165502.6817857139</v>
      </c>
      <c r="K36" s="180">
        <f t="shared" si="164"/>
        <v>10975790.762857143</v>
      </c>
      <c r="L36" s="180">
        <f t="shared" si="164"/>
        <v>12801464.231081642</v>
      </c>
      <c r="M36" s="180">
        <f t="shared" si="164"/>
        <v>19444892.750357144</v>
      </c>
      <c r="N36" s="180">
        <f t="shared" si="164"/>
        <v>31831743.973571435</v>
      </c>
      <c r="O36" s="180">
        <f t="shared" si="164"/>
        <v>41486348.064999998</v>
      </c>
      <c r="P36" s="180">
        <f t="shared" si="164"/>
        <v>45362154.56892857</v>
      </c>
      <c r="Q36" s="180">
        <f t="shared" si="164"/>
        <v>40312709.254642859</v>
      </c>
      <c r="R36" s="180">
        <f t="shared" si="164"/>
        <v>55619741.066071421</v>
      </c>
      <c r="S36" s="180">
        <f t="shared" si="164"/>
        <v>36188414.74821429</v>
      </c>
      <c r="T36" s="180">
        <f t="shared" si="164"/>
        <v>44144267.693571433</v>
      </c>
      <c r="U36" s="180">
        <f t="shared" si="164"/>
        <v>38523240.307857141</v>
      </c>
      <c r="V36" s="180">
        <f t="shared" si="164"/>
        <v>17376421.697142858</v>
      </c>
      <c r="W36" s="180">
        <f t="shared" si="164"/>
        <v>29238866.048571426</v>
      </c>
      <c r="X36" s="180">
        <f t="shared" si="164"/>
        <v>36227325.625757143</v>
      </c>
      <c r="Y36" s="180">
        <f t="shared" si="164"/>
        <v>22875170.629339516</v>
      </c>
      <c r="Z36" s="180">
        <f t="shared" si="164"/>
        <v>23688921.266487509</v>
      </c>
      <c r="AA36" s="180">
        <f t="shared" si="164"/>
        <v>-2979434.325714286</v>
      </c>
      <c r="AB36" s="180">
        <f t="shared" si="164"/>
        <v>28665011.275784142</v>
      </c>
      <c r="AC36" s="180">
        <f t="shared" si="164"/>
        <v>27280407.210814558</v>
      </c>
      <c r="AD36" s="180">
        <f t="shared" si="164"/>
        <v>25928562.29329171</v>
      </c>
      <c r="AE36" s="180">
        <f t="shared" si="164"/>
        <v>29461469.137666326</v>
      </c>
      <c r="AF36" s="180">
        <f t="shared" si="164"/>
        <v>35221582.765508473</v>
      </c>
      <c r="AG36" s="180">
        <f t="shared" si="164"/>
        <v>43546793.943929784</v>
      </c>
      <c r="AH36" s="180">
        <f t="shared" si="164"/>
        <v>52662313.084901698</v>
      </c>
      <c r="AI36" s="180">
        <f t="shared" si="164"/>
        <v>90684082.127244055</v>
      </c>
      <c r="AJ36" s="180">
        <f t="shared" si="164"/>
        <v>104725911.36169666</v>
      </c>
      <c r="AK36" s="180">
        <f t="shared" si="164"/>
        <v>83647920.120860189</v>
      </c>
      <c r="AL36" s="180">
        <f t="shared" si="164"/>
        <v>85384666.131687686</v>
      </c>
      <c r="AM36" s="180">
        <f t="shared" si="164"/>
        <v>57281854.88516622</v>
      </c>
      <c r="AN36" s="180">
        <f t="shared" si="164"/>
        <v>25604735.59622876</v>
      </c>
      <c r="AO36" s="180">
        <f t="shared" si="164"/>
        <v>58226876.39106556</v>
      </c>
      <c r="AP36" s="180">
        <f t="shared" si="164"/>
        <v>72822245.219247907</v>
      </c>
      <c r="AQ36" s="180">
        <f t="shared" si="164"/>
        <v>85635272.347011149</v>
      </c>
      <c r="AR36" s="180">
        <f t="shared" si="164"/>
        <v>106625552.26042137</v>
      </c>
      <c r="AS36" s="180">
        <f t="shared" si="164"/>
        <v>119572641.85986814</v>
      </c>
      <c r="AT36" s="180">
        <f t="shared" si="164"/>
        <v>155798322.26182503</v>
      </c>
      <c r="AU36" s="180">
        <f t="shared" si="164"/>
        <v>180533875.09600964</v>
      </c>
      <c r="AV36" s="180">
        <f t="shared" si="164"/>
        <v>195096645.1620912</v>
      </c>
      <c r="AW36" s="180">
        <f t="shared" si="164"/>
        <v>197376097.60122341</v>
      </c>
      <c r="AX36" s="180">
        <f t="shared" si="164"/>
        <v>198393257.34367567</v>
      </c>
      <c r="AY36" s="180">
        <f t="shared" si="164"/>
        <v>150196760.68257543</v>
      </c>
      <c r="AZ36" s="180">
        <f t="shared" si="164"/>
        <v>182338906.26155955</v>
      </c>
      <c r="BA36" s="180">
        <f t="shared" si="164"/>
        <v>213910268.28798366</v>
      </c>
      <c r="BB36" s="180">
        <f t="shared" si="164"/>
        <v>207357780.70628232</v>
      </c>
      <c r="BC36" s="180">
        <f t="shared" si="164"/>
        <v>196524361.03518355</v>
      </c>
      <c r="BD36" s="180">
        <f t="shared" si="164"/>
        <v>188334802.06694371</v>
      </c>
      <c r="BE36" s="180">
        <f t="shared" si="164"/>
        <v>228468763.86544144</v>
      </c>
      <c r="BF36" s="180">
        <f t="shared" si="164"/>
        <v>236992513.18947741</v>
      </c>
      <c r="BG36" s="180">
        <f t="shared" si="164"/>
        <v>278711710.01114929</v>
      </c>
      <c r="BH36" s="180">
        <f t="shared" si="164"/>
        <v>314805597.44429803</v>
      </c>
      <c r="BI36" s="180">
        <f t="shared" si="164"/>
        <v>335386793.84034848</v>
      </c>
      <c r="BJ36" s="180">
        <f t="shared" si="164"/>
        <v>465901711.06064475</v>
      </c>
      <c r="BK36" s="180">
        <f t="shared" si="164"/>
        <v>469587529.62725013</v>
      </c>
      <c r="BL36" s="180">
        <f t="shared" si="164"/>
        <v>467015990.04759061</v>
      </c>
      <c r="BM36" s="180">
        <f t="shared" si="164"/>
        <v>491949911.09624994</v>
      </c>
      <c r="BN36" s="180">
        <f t="shared" si="164"/>
        <v>397043369.59849465</v>
      </c>
      <c r="BO36" s="180">
        <f t="shared" si="164"/>
        <v>416633403.6125226</v>
      </c>
      <c r="BP36" s="180">
        <f t="shared" ref="BP36:EA36" si="165">SUM(BP37:BP39)</f>
        <v>421540610.95389223</v>
      </c>
      <c r="BQ36" s="180">
        <f t="shared" si="165"/>
        <v>630407784.7709713</v>
      </c>
      <c r="BR36" s="180">
        <f t="shared" si="165"/>
        <v>527148664.89801544</v>
      </c>
      <c r="BS36" s="180">
        <f t="shared" si="165"/>
        <v>471039322.23427129</v>
      </c>
      <c r="BT36" s="180">
        <f t="shared" si="165"/>
        <v>446168909.25798368</v>
      </c>
      <c r="BU36" s="180">
        <f t="shared" si="165"/>
        <v>369192131.37807834</v>
      </c>
      <c r="BV36" s="180">
        <f t="shared" si="165"/>
        <v>476416560.66249943</v>
      </c>
      <c r="BW36" s="180">
        <f t="shared" si="165"/>
        <v>485446810.47491896</v>
      </c>
      <c r="BX36" s="180">
        <f t="shared" si="165"/>
        <v>502294001.72081214</v>
      </c>
      <c r="BY36" s="180">
        <f t="shared" si="165"/>
        <v>530187727.38525641</v>
      </c>
      <c r="BZ36" s="180">
        <f t="shared" si="165"/>
        <v>522014968.09673804</v>
      </c>
      <c r="CA36" s="180">
        <f t="shared" si="165"/>
        <v>461691468.06199026</v>
      </c>
      <c r="CB36" s="180">
        <f t="shared" si="165"/>
        <v>435438235.47616506</v>
      </c>
      <c r="CC36" s="180">
        <f t="shared" si="165"/>
        <v>542825007.55264688</v>
      </c>
      <c r="CD36" s="180">
        <f t="shared" si="165"/>
        <v>508409492.07351375</v>
      </c>
      <c r="CE36" s="180">
        <f t="shared" si="165"/>
        <v>605946222.66670895</v>
      </c>
      <c r="CF36" s="180">
        <f t="shared" si="165"/>
        <v>648424046.76014769</v>
      </c>
      <c r="CG36" s="180">
        <f t="shared" si="165"/>
        <v>618558891.60121965</v>
      </c>
      <c r="CH36" s="180">
        <f t="shared" si="165"/>
        <v>795743380.00617075</v>
      </c>
      <c r="CI36" s="180">
        <f t="shared" si="165"/>
        <v>730926791.50915992</v>
      </c>
      <c r="CJ36" s="180">
        <f t="shared" si="165"/>
        <v>713117184.77056944</v>
      </c>
      <c r="CK36" s="180">
        <f t="shared" si="165"/>
        <v>722965027.87862396</v>
      </c>
      <c r="CL36" s="180">
        <f t="shared" si="165"/>
        <v>776751182.2474575</v>
      </c>
      <c r="CM36" s="180">
        <f t="shared" si="165"/>
        <v>662266779.86000085</v>
      </c>
      <c r="CN36" s="180">
        <f t="shared" si="165"/>
        <v>720592617.51670122</v>
      </c>
      <c r="CO36" s="180">
        <f t="shared" si="165"/>
        <v>836598644.91748798</v>
      </c>
      <c r="CP36" s="180">
        <f t="shared" si="165"/>
        <v>776101302.63059998</v>
      </c>
      <c r="CQ36" s="180">
        <f t="shared" si="165"/>
        <v>956188359.45499492</v>
      </c>
      <c r="CR36" s="180">
        <f t="shared" si="165"/>
        <v>1038251091.4506381</v>
      </c>
      <c r="CS36" s="180">
        <f t="shared" si="165"/>
        <v>937204194.63775456</v>
      </c>
      <c r="CT36" s="180">
        <f t="shared" si="165"/>
        <v>1106641271.4014487</v>
      </c>
      <c r="CU36" s="180">
        <f t="shared" si="165"/>
        <v>976266464.52581215</v>
      </c>
      <c r="CV36" s="180">
        <f t="shared" si="165"/>
        <v>966242754.10372877</v>
      </c>
      <c r="CW36" s="180">
        <f t="shared" si="165"/>
        <v>963982951.2529757</v>
      </c>
      <c r="CX36" s="180">
        <f t="shared" si="165"/>
        <v>1021914804.3938344</v>
      </c>
      <c r="CY36" s="180">
        <f t="shared" si="165"/>
        <v>925599997.27311635</v>
      </c>
      <c r="CZ36" s="180">
        <f t="shared" si="165"/>
        <v>915258513.53521776</v>
      </c>
      <c r="DA36" s="180">
        <f t="shared" si="165"/>
        <v>1045019369.711509</v>
      </c>
      <c r="DB36" s="180">
        <f t="shared" si="165"/>
        <v>989016869.56365967</v>
      </c>
      <c r="DC36" s="180">
        <f t="shared" si="165"/>
        <v>1201625304.5804133</v>
      </c>
      <c r="DD36" s="180">
        <f t="shared" si="165"/>
        <v>1257459632.7049537</v>
      </c>
      <c r="DE36" s="180">
        <f t="shared" si="165"/>
        <v>1127151669.8960443</v>
      </c>
      <c r="DF36" s="180">
        <f t="shared" si="165"/>
        <v>1283183767.3706098</v>
      </c>
      <c r="DG36" s="180">
        <f t="shared" si="165"/>
        <v>1183931536.4307833</v>
      </c>
      <c r="DH36" s="180">
        <f t="shared" si="165"/>
        <v>1173351541.6029487</v>
      </c>
      <c r="DI36" s="180">
        <f t="shared" si="165"/>
        <v>1166914688.2759345</v>
      </c>
      <c r="DJ36" s="180">
        <f t="shared" si="165"/>
        <v>1237030219.9182158</v>
      </c>
      <c r="DK36" s="180">
        <f t="shared" si="165"/>
        <v>1118912392.2743232</v>
      </c>
      <c r="DL36" s="180">
        <f t="shared" si="165"/>
        <v>1103736784.9749978</v>
      </c>
      <c r="DM36" s="180">
        <f t="shared" si="165"/>
        <v>1259238535.4765806</v>
      </c>
      <c r="DN36" s="180">
        <f t="shared" si="165"/>
        <v>1187612685.4408937</v>
      </c>
      <c r="DO36" s="180">
        <f t="shared" si="165"/>
        <v>1439007430.8395858</v>
      </c>
      <c r="DP36" s="180">
        <f t="shared" si="165"/>
        <v>1501775037.7697053</v>
      </c>
      <c r="DQ36" s="180">
        <f t="shared" si="165"/>
        <v>1342784506.3554287</v>
      </c>
      <c r="DR36" s="180">
        <f t="shared" si="165"/>
        <v>1517813132.7879429</v>
      </c>
      <c r="DS36" s="180">
        <f t="shared" si="165"/>
        <v>1372243248.0959332</v>
      </c>
      <c r="DT36" s="180">
        <f t="shared" si="165"/>
        <v>1359598124.3511534</v>
      </c>
      <c r="DU36" s="180">
        <f t="shared" si="165"/>
        <v>1351753392.3034039</v>
      </c>
      <c r="DV36" s="180">
        <f t="shared" si="165"/>
        <v>1431580024.6735859</v>
      </c>
      <c r="DW36" s="180">
        <f t="shared" si="165"/>
        <v>1294987875.9125807</v>
      </c>
      <c r="DX36" s="180">
        <f t="shared" si="165"/>
        <v>1278704212.8477192</v>
      </c>
      <c r="DY36" s="180">
        <f t="shared" si="165"/>
        <v>1454930713.1038766</v>
      </c>
      <c r="DZ36" s="180">
        <f t="shared" si="165"/>
        <v>1372994152.9447927</v>
      </c>
      <c r="EA36" s="180">
        <f t="shared" si="165"/>
        <v>1663678676.1572342</v>
      </c>
      <c r="EB36" s="180">
        <f t="shared" ref="EB36:ED36" si="166">SUM(EB37:EB39)</f>
        <v>1736874680.9606633</v>
      </c>
      <c r="EC36" s="180">
        <f t="shared" si="166"/>
        <v>1551454101.2281995</v>
      </c>
      <c r="ED36" s="180">
        <f t="shared" si="166"/>
        <v>1752133297.7377877</v>
      </c>
      <c r="EE36" s="333"/>
      <c r="EF36" s="224">
        <f>SUM(BK36:BM36)</f>
        <v>1428553430.7710905</v>
      </c>
      <c r="EG36" s="224">
        <f>SUM(BN36:BP36)</f>
        <v>1235217384.1649094</v>
      </c>
      <c r="EH36" s="224">
        <f>SUM(BQ36:BS36)</f>
        <v>1628595771.9032581</v>
      </c>
      <c r="EI36" s="224">
        <f>SUM(BT36:BV36)</f>
        <v>1291777601.2985616</v>
      </c>
      <c r="EJ36" s="224">
        <f>SUM(BW36:BY36)</f>
        <v>1517928539.5809875</v>
      </c>
      <c r="EK36" s="224">
        <f>SUM(CL36:CN36)</f>
        <v>2159610579.6241598</v>
      </c>
      <c r="EL36" s="224">
        <f>SUM(CC36:CE36)</f>
        <v>1657180722.2928696</v>
      </c>
      <c r="EM36" s="224">
        <f>SUM(CF36:CH36)</f>
        <v>2062726318.367538</v>
      </c>
      <c r="EN36" s="224">
        <f>SUM(CI36:CK36)</f>
        <v>2167009004.1583533</v>
      </c>
      <c r="EO36" s="224">
        <f>SUM(CL36:CN36)</f>
        <v>2159610579.6241598</v>
      </c>
      <c r="EP36" s="224">
        <f>SUM(CO36:CQ36)</f>
        <v>2568888307.0030832</v>
      </c>
      <c r="EQ36" s="224">
        <f>SUM(CR36:CT36)</f>
        <v>3082096557.4898415</v>
      </c>
      <c r="ER36" s="224">
        <f>SUM(CU36:CW36)</f>
        <v>2906492169.8825169</v>
      </c>
      <c r="ES36" s="224">
        <f>SUM(CX36:CZ36)</f>
        <v>2862773315.2021685</v>
      </c>
      <c r="ET36" s="224">
        <f>SUM(DA36:DC36)</f>
        <v>3235661543.8555822</v>
      </c>
      <c r="EU36" s="224">
        <f>SUM(DD36:DF36)</f>
        <v>3667795069.9716077</v>
      </c>
      <c r="EV36" s="224">
        <f>SUM(DG36:DI36)</f>
        <v>3524197766.3096666</v>
      </c>
      <c r="EW36" s="224">
        <f>SUM(DJ36:DL36)</f>
        <v>3459679397.1675367</v>
      </c>
      <c r="EX36" s="224">
        <f>SUM(DM36:DO36)</f>
        <v>3885858651.7570601</v>
      </c>
      <c r="EY36" s="224">
        <f>SUM(DP36:DR36)</f>
        <v>4362372676.9130764</v>
      </c>
      <c r="EZ36" s="224">
        <f t="shared" si="83"/>
        <v>4083594764.7504902</v>
      </c>
      <c r="FA36" s="224">
        <f t="shared" si="84"/>
        <v>4005272113.4338856</v>
      </c>
      <c r="FB36" s="224">
        <f t="shared" si="85"/>
        <v>4491603542.205904</v>
      </c>
      <c r="FC36" s="224">
        <f t="shared" si="86"/>
        <v>5040462079.926651</v>
      </c>
      <c r="FE36" s="224">
        <f t="shared" si="87"/>
        <v>5584144188.1378193</v>
      </c>
      <c r="FF36" s="224">
        <f t="shared" si="88"/>
        <v>7397446159.8655548</v>
      </c>
      <c r="FG36" s="224">
        <f t="shared" si="89"/>
        <v>9977604448.2754364</v>
      </c>
      <c r="FH36" s="224">
        <f t="shared" si="90"/>
        <v>12672722098.911875</v>
      </c>
      <c r="FI36" s="224">
        <f t="shared" si="91"/>
        <v>15232108492.147341</v>
      </c>
      <c r="FJ36" s="224">
        <f t="shared" si="92"/>
        <v>17620932500.316933</v>
      </c>
    </row>
    <row r="37" spans="2:166" x14ac:dyDescent="0.2">
      <c r="B37" s="155" t="s">
        <v>227</v>
      </c>
      <c r="C37" s="19">
        <f>C22-C31</f>
        <v>6044209.9642857146</v>
      </c>
      <c r="D37" s="19">
        <f t="shared" ref="D37:BO38" si="167">D22-D31</f>
        <v>6585944.0338779641</v>
      </c>
      <c r="E37" s="19">
        <f t="shared" si="167"/>
        <v>5595315.3498177165</v>
      </c>
      <c r="F37" s="19">
        <f t="shared" si="167"/>
        <v>9133043.5133790001</v>
      </c>
      <c r="G37" s="19">
        <f t="shared" si="167"/>
        <v>6946318.5805587238</v>
      </c>
      <c r="H37" s="19">
        <f t="shared" si="167"/>
        <v>5648964.1437066002</v>
      </c>
      <c r="I37" s="19">
        <f t="shared" si="167"/>
        <v>7079979.1711388584</v>
      </c>
      <c r="J37" s="19">
        <f t="shared" si="167"/>
        <v>9165502.6817857139</v>
      </c>
      <c r="K37" s="19">
        <f t="shared" si="167"/>
        <v>10975790.762857143</v>
      </c>
      <c r="L37" s="19">
        <f t="shared" si="167"/>
        <v>12233909.371081643</v>
      </c>
      <c r="M37" s="19">
        <f t="shared" si="167"/>
        <v>15876374.410357144</v>
      </c>
      <c r="N37" s="19">
        <f t="shared" si="167"/>
        <v>12203746.713571431</v>
      </c>
      <c r="O37" s="19">
        <f t="shared" si="167"/>
        <v>15911866.964999998</v>
      </c>
      <c r="P37" s="19">
        <f t="shared" si="167"/>
        <v>17168584.514691282</v>
      </c>
      <c r="Q37" s="19">
        <f t="shared" si="167"/>
        <v>21889277.328032687</v>
      </c>
      <c r="R37" s="19">
        <f t="shared" si="167"/>
        <v>17269457.295901936</v>
      </c>
      <c r="S37" s="19">
        <f t="shared" si="167"/>
        <v>10721070.621095642</v>
      </c>
      <c r="T37" s="19">
        <f t="shared" si="167"/>
        <v>7118941.4740556888</v>
      </c>
      <c r="U37" s="19">
        <f t="shared" si="167"/>
        <v>5414514.4327481836</v>
      </c>
      <c r="V37" s="19">
        <f t="shared" si="167"/>
        <v>7740433.6751573849</v>
      </c>
      <c r="W37" s="19">
        <f t="shared" si="167"/>
        <v>11968899.51664649</v>
      </c>
      <c r="X37" s="19">
        <f t="shared" si="167"/>
        <v>12345432.158516949</v>
      </c>
      <c r="Y37" s="19">
        <f t="shared" si="167"/>
        <v>21425401.976050593</v>
      </c>
      <c r="Z37" s="19">
        <f t="shared" si="167"/>
        <v>9271636.0794143472</v>
      </c>
      <c r="AA37" s="19">
        <f t="shared" si="167"/>
        <v>202070.42191283318</v>
      </c>
      <c r="AB37" s="19">
        <f t="shared" si="167"/>
        <v>8746425.8151240926</v>
      </c>
      <c r="AC37" s="19">
        <f t="shared" si="167"/>
        <v>9503217.012791723</v>
      </c>
      <c r="AD37" s="19">
        <f t="shared" si="167"/>
        <v>13304379.97786798</v>
      </c>
      <c r="AE37" s="19">
        <f t="shared" si="167"/>
        <v>15454895.640599275</v>
      </c>
      <c r="AF37" s="19">
        <f t="shared" si="167"/>
        <v>16059740.232161017</v>
      </c>
      <c r="AG37" s="19">
        <f t="shared" si="167"/>
        <v>14792359.016319612</v>
      </c>
      <c r="AH37" s="19">
        <f t="shared" si="167"/>
        <v>21786693.678601693</v>
      </c>
      <c r="AI37" s="19">
        <f t="shared" si="167"/>
        <v>28485052.199999999</v>
      </c>
      <c r="AJ37" s="19">
        <f t="shared" si="167"/>
        <v>36876657.539999999</v>
      </c>
      <c r="AK37" s="19">
        <f t="shared" si="167"/>
        <v>29439426.039999999</v>
      </c>
      <c r="AL37" s="19">
        <f t="shared" si="167"/>
        <v>22278920.66</v>
      </c>
      <c r="AM37" s="19">
        <f t="shared" si="167"/>
        <v>17032236</v>
      </c>
      <c r="AN37" s="19">
        <f t="shared" si="167"/>
        <v>13838355.48</v>
      </c>
      <c r="AO37" s="19">
        <f t="shared" si="167"/>
        <v>26879008.100000001</v>
      </c>
      <c r="AP37" s="19">
        <f t="shared" si="167"/>
        <v>36693335.543050848</v>
      </c>
      <c r="AQ37" s="19">
        <f t="shared" si="167"/>
        <v>47588197.406779662</v>
      </c>
      <c r="AR37" s="19">
        <f t="shared" si="167"/>
        <v>55714369.079999998</v>
      </c>
      <c r="AS37" s="19">
        <f t="shared" si="167"/>
        <v>55216378</v>
      </c>
      <c r="AT37" s="19">
        <f t="shared" si="167"/>
        <v>49045282.789999999</v>
      </c>
      <c r="AU37" s="19">
        <f t="shared" si="167"/>
        <v>55114556.560000002</v>
      </c>
      <c r="AV37" s="19">
        <f t="shared" si="167"/>
        <v>64943731.170000002</v>
      </c>
      <c r="AW37" s="19">
        <f t="shared" si="167"/>
        <v>65451379</v>
      </c>
      <c r="AX37" s="19">
        <f t="shared" si="167"/>
        <v>72698245.739999995</v>
      </c>
      <c r="AY37" s="19">
        <f t="shared" si="167"/>
        <v>38925959.049999997</v>
      </c>
      <c r="AZ37" s="19">
        <f t="shared" si="167"/>
        <v>41142522</v>
      </c>
      <c r="BA37" s="19">
        <f t="shared" si="167"/>
        <v>37038432.170000002</v>
      </c>
      <c r="BB37" s="19">
        <f t="shared" si="167"/>
        <v>31119085.627538659</v>
      </c>
      <c r="BC37" s="19">
        <f t="shared" si="167"/>
        <v>25714600.996828996</v>
      </c>
      <c r="BD37" s="19">
        <f t="shared" si="167"/>
        <v>12570097.451643871</v>
      </c>
      <c r="BE37" s="19">
        <f t="shared" si="167"/>
        <v>6762643.8893795134</v>
      </c>
      <c r="BF37" s="19">
        <f t="shared" si="167"/>
        <v>19412956.751366552</v>
      </c>
      <c r="BG37" s="19">
        <f t="shared" si="167"/>
        <v>32119552.050257742</v>
      </c>
      <c r="BH37" s="19">
        <f t="shared" si="167"/>
        <v>38680872.880532674</v>
      </c>
      <c r="BI37" s="19">
        <f t="shared" si="167"/>
        <v>33464989.709248818</v>
      </c>
      <c r="BJ37" s="19">
        <f t="shared" si="167"/>
        <v>39795841.2458634</v>
      </c>
      <c r="BK37" s="19">
        <f t="shared" si="167"/>
        <v>0</v>
      </c>
      <c r="BL37" s="19">
        <f t="shared" si="167"/>
        <v>0</v>
      </c>
      <c r="BM37" s="19">
        <f t="shared" si="167"/>
        <v>0</v>
      </c>
      <c r="BN37" s="19">
        <f t="shared" si="167"/>
        <v>0</v>
      </c>
      <c r="BO37" s="19">
        <f t="shared" si="167"/>
        <v>0</v>
      </c>
      <c r="BP37" s="19">
        <f t="shared" ref="BP37:DR39" si="168">BP22-BP31</f>
        <v>0</v>
      </c>
      <c r="BQ37" s="19">
        <f t="shared" si="168"/>
        <v>0</v>
      </c>
      <c r="BR37" s="19">
        <f t="shared" si="168"/>
        <v>0</v>
      </c>
      <c r="BS37" s="19">
        <f t="shared" si="168"/>
        <v>0</v>
      </c>
      <c r="BT37" s="19">
        <f t="shared" si="168"/>
        <v>0</v>
      </c>
      <c r="BU37" s="19">
        <f t="shared" si="168"/>
        <v>0</v>
      </c>
      <c r="BV37" s="19">
        <f t="shared" si="168"/>
        <v>0</v>
      </c>
      <c r="BW37" s="19">
        <f t="shared" si="168"/>
        <v>0</v>
      </c>
      <c r="BX37" s="19">
        <f t="shared" si="168"/>
        <v>0</v>
      </c>
      <c r="BY37" s="19">
        <f t="shared" si="168"/>
        <v>0</v>
      </c>
      <c r="BZ37" s="19">
        <f t="shared" si="168"/>
        <v>0</v>
      </c>
      <c r="CA37" s="19">
        <f t="shared" si="168"/>
        <v>0</v>
      </c>
      <c r="CB37" s="19">
        <f t="shared" si="168"/>
        <v>0</v>
      </c>
      <c r="CC37" s="19">
        <f t="shared" si="168"/>
        <v>0</v>
      </c>
      <c r="CD37" s="19">
        <f t="shared" si="168"/>
        <v>0</v>
      </c>
      <c r="CE37" s="19">
        <f t="shared" si="168"/>
        <v>0</v>
      </c>
      <c r="CF37" s="19">
        <f t="shared" si="168"/>
        <v>0</v>
      </c>
      <c r="CG37" s="19">
        <f t="shared" si="168"/>
        <v>0</v>
      </c>
      <c r="CH37" s="19">
        <f t="shared" si="168"/>
        <v>0</v>
      </c>
      <c r="CI37" s="19">
        <f t="shared" si="168"/>
        <v>0</v>
      </c>
      <c r="CJ37" s="19">
        <f t="shared" si="168"/>
        <v>0</v>
      </c>
      <c r="CK37" s="19">
        <f t="shared" si="168"/>
        <v>0</v>
      </c>
      <c r="CL37" s="19">
        <f t="shared" si="168"/>
        <v>0</v>
      </c>
      <c r="CM37" s="19">
        <f t="shared" si="168"/>
        <v>0</v>
      </c>
      <c r="CN37" s="19">
        <f t="shared" si="168"/>
        <v>0</v>
      </c>
      <c r="CO37" s="19">
        <f t="shared" si="168"/>
        <v>0</v>
      </c>
      <c r="CP37" s="19">
        <f t="shared" si="168"/>
        <v>0</v>
      </c>
      <c r="CQ37" s="19">
        <f t="shared" si="168"/>
        <v>0</v>
      </c>
      <c r="CR37" s="19">
        <f t="shared" si="168"/>
        <v>0</v>
      </c>
      <c r="CS37" s="19">
        <f t="shared" si="168"/>
        <v>0</v>
      </c>
      <c r="CT37" s="19">
        <f t="shared" si="168"/>
        <v>0</v>
      </c>
      <c r="CU37" s="19">
        <f t="shared" si="168"/>
        <v>0</v>
      </c>
      <c r="CV37" s="19">
        <f t="shared" si="168"/>
        <v>0</v>
      </c>
      <c r="CW37" s="19">
        <f t="shared" si="168"/>
        <v>0</v>
      </c>
      <c r="CX37" s="19">
        <f t="shared" si="168"/>
        <v>0</v>
      </c>
      <c r="CY37" s="19">
        <f t="shared" si="168"/>
        <v>0</v>
      </c>
      <c r="CZ37" s="19">
        <f t="shared" si="168"/>
        <v>0</v>
      </c>
      <c r="DA37" s="19">
        <f t="shared" si="168"/>
        <v>0</v>
      </c>
      <c r="DB37" s="19">
        <f t="shared" si="168"/>
        <v>0</v>
      </c>
      <c r="DC37" s="19">
        <f t="shared" si="168"/>
        <v>0</v>
      </c>
      <c r="DD37" s="19">
        <f t="shared" si="168"/>
        <v>0</v>
      </c>
      <c r="DE37" s="19">
        <f t="shared" si="168"/>
        <v>0</v>
      </c>
      <c r="DF37" s="19">
        <f t="shared" si="168"/>
        <v>0</v>
      </c>
      <c r="DG37" s="19">
        <f t="shared" si="168"/>
        <v>0</v>
      </c>
      <c r="DH37" s="19">
        <f t="shared" si="168"/>
        <v>0</v>
      </c>
      <c r="DI37" s="19">
        <f t="shared" si="168"/>
        <v>0</v>
      </c>
      <c r="DJ37" s="19">
        <f t="shared" si="168"/>
        <v>0</v>
      </c>
      <c r="DK37" s="19">
        <f t="shared" si="168"/>
        <v>0</v>
      </c>
      <c r="DL37" s="19">
        <f t="shared" si="168"/>
        <v>0</v>
      </c>
      <c r="DM37" s="19">
        <f t="shared" si="168"/>
        <v>0</v>
      </c>
      <c r="DN37" s="19">
        <f t="shared" si="168"/>
        <v>0</v>
      </c>
      <c r="DO37" s="19">
        <f t="shared" si="168"/>
        <v>0</v>
      </c>
      <c r="DP37" s="19">
        <f t="shared" si="168"/>
        <v>0</v>
      </c>
      <c r="DQ37" s="19">
        <f t="shared" si="168"/>
        <v>0</v>
      </c>
      <c r="DR37" s="19">
        <f t="shared" si="168"/>
        <v>0</v>
      </c>
      <c r="DS37" s="19">
        <f t="shared" ref="DS37:ED37" si="169">DS22-DS31</f>
        <v>0</v>
      </c>
      <c r="DT37" s="19">
        <f t="shared" si="169"/>
        <v>0</v>
      </c>
      <c r="DU37" s="19">
        <f t="shared" si="169"/>
        <v>0</v>
      </c>
      <c r="DV37" s="19">
        <f t="shared" si="169"/>
        <v>0</v>
      </c>
      <c r="DW37" s="19">
        <f t="shared" si="169"/>
        <v>0</v>
      </c>
      <c r="DX37" s="19">
        <f t="shared" si="169"/>
        <v>0</v>
      </c>
      <c r="DY37" s="19">
        <f t="shared" si="169"/>
        <v>0</v>
      </c>
      <c r="DZ37" s="19">
        <f t="shared" si="169"/>
        <v>0</v>
      </c>
      <c r="EA37" s="19">
        <f t="shared" si="169"/>
        <v>0</v>
      </c>
      <c r="EB37" s="19">
        <f t="shared" si="169"/>
        <v>0</v>
      </c>
      <c r="EC37" s="19">
        <f t="shared" si="169"/>
        <v>0</v>
      </c>
      <c r="ED37" s="19">
        <f t="shared" si="169"/>
        <v>0</v>
      </c>
      <c r="EE37" s="168"/>
      <c r="EF37" s="165">
        <f>SUM(BK37:BM37)</f>
        <v>0</v>
      </c>
      <c r="EG37" s="165">
        <f>SUM(BN37:BP37)</f>
        <v>0</v>
      </c>
      <c r="EH37" s="165">
        <f>SUM(BQ37:BS37)</f>
        <v>0</v>
      </c>
      <c r="EI37" s="165">
        <f>SUM(BT37:BV37)</f>
        <v>0</v>
      </c>
      <c r="EJ37" s="165">
        <f>SUM(BW37:BY37)</f>
        <v>0</v>
      </c>
      <c r="EK37" s="165">
        <f>SUM(CL37:CN37)</f>
        <v>0</v>
      </c>
      <c r="EL37" s="165">
        <f>SUM(CC37:CE37)</f>
        <v>0</v>
      </c>
      <c r="EM37" s="165">
        <f>SUM(CF37:CH37)</f>
        <v>0</v>
      </c>
      <c r="EN37" s="165">
        <f>SUM(CI37:CK37)</f>
        <v>0</v>
      </c>
      <c r="EO37" s="165">
        <f>SUM(CL37:CN37)</f>
        <v>0</v>
      </c>
      <c r="EP37" s="165">
        <f>SUM(CO37:CQ37)</f>
        <v>0</v>
      </c>
      <c r="EQ37" s="165">
        <f>SUM(CR37:CT37)</f>
        <v>0</v>
      </c>
      <c r="ER37" s="165">
        <f>SUM(CU37:CW37)</f>
        <v>0</v>
      </c>
      <c r="ES37" s="165">
        <f>SUM(CX37:CZ37)</f>
        <v>0</v>
      </c>
      <c r="ET37" s="165">
        <f>SUM(DA37:DC37)</f>
        <v>0</v>
      </c>
      <c r="EU37" s="165">
        <f>SUM(DD37:DF37)</f>
        <v>0</v>
      </c>
      <c r="EV37" s="165">
        <f>SUM(DG37:DI37)</f>
        <v>0</v>
      </c>
      <c r="EW37" s="165">
        <f>SUM(DJ37:DL37)</f>
        <v>0</v>
      </c>
      <c r="EX37" s="165">
        <f>SUM(DM37:DO37)</f>
        <v>0</v>
      </c>
      <c r="EY37" s="165">
        <f>SUM(DP37:DR37)</f>
        <v>0</v>
      </c>
      <c r="EZ37" s="165">
        <f t="shared" si="83"/>
        <v>0</v>
      </c>
      <c r="FA37" s="165">
        <f t="shared" si="84"/>
        <v>0</v>
      </c>
      <c r="FB37" s="165">
        <f t="shared" si="85"/>
        <v>0</v>
      </c>
      <c r="FC37" s="165">
        <f t="shared" si="86"/>
        <v>0</v>
      </c>
      <c r="FE37" s="165">
        <f t="shared" si="87"/>
        <v>0</v>
      </c>
      <c r="FF37" s="165">
        <f t="shared" si="88"/>
        <v>0</v>
      </c>
      <c r="FG37" s="165">
        <f t="shared" si="89"/>
        <v>0</v>
      </c>
      <c r="FH37" s="165">
        <f t="shared" si="90"/>
        <v>0</v>
      </c>
      <c r="FI37" s="165">
        <f t="shared" si="91"/>
        <v>0</v>
      </c>
      <c r="FJ37" s="165">
        <f t="shared" si="92"/>
        <v>0</v>
      </c>
    </row>
    <row r="38" spans="2:166" x14ac:dyDescent="0.2">
      <c r="B38" s="155" t="s">
        <v>228</v>
      </c>
      <c r="C38" s="19">
        <f t="shared" ref="C38:R39" si="170">C23-C32</f>
        <v>0</v>
      </c>
      <c r="D38" s="19">
        <f t="shared" si="170"/>
        <v>0</v>
      </c>
      <c r="E38" s="19">
        <f t="shared" si="170"/>
        <v>0</v>
      </c>
      <c r="F38" s="19">
        <f t="shared" si="170"/>
        <v>0</v>
      </c>
      <c r="G38" s="19">
        <f t="shared" si="170"/>
        <v>0</v>
      </c>
      <c r="H38" s="19">
        <f t="shared" si="170"/>
        <v>0</v>
      </c>
      <c r="I38" s="19">
        <f t="shared" si="170"/>
        <v>0</v>
      </c>
      <c r="J38" s="19">
        <f t="shared" si="170"/>
        <v>0</v>
      </c>
      <c r="K38" s="19">
        <f t="shared" si="170"/>
        <v>0</v>
      </c>
      <c r="L38" s="19">
        <f t="shared" si="170"/>
        <v>567554.86</v>
      </c>
      <c r="M38" s="19">
        <f t="shared" si="170"/>
        <v>3568518.34</v>
      </c>
      <c r="N38" s="19">
        <f t="shared" si="170"/>
        <v>19627997.260000002</v>
      </c>
      <c r="O38" s="19">
        <f t="shared" si="170"/>
        <v>25574481.100000001</v>
      </c>
      <c r="P38" s="19">
        <f t="shared" si="170"/>
        <v>28193570.054237291</v>
      </c>
      <c r="Q38" s="19">
        <f t="shared" si="170"/>
        <v>18423431.926610172</v>
      </c>
      <c r="R38" s="19">
        <f t="shared" si="170"/>
        <v>38350283.770169489</v>
      </c>
      <c r="S38" s="19">
        <f t="shared" si="167"/>
        <v>25467344.127118647</v>
      </c>
      <c r="T38" s="19">
        <f t="shared" si="167"/>
        <v>37025326.219515741</v>
      </c>
      <c r="U38" s="19">
        <f t="shared" si="167"/>
        <v>33108725.875108957</v>
      </c>
      <c r="V38" s="19">
        <f t="shared" si="167"/>
        <v>9635988.0219854731</v>
      </c>
      <c r="W38" s="19">
        <f t="shared" si="167"/>
        <v>17269966.531924937</v>
      </c>
      <c r="X38" s="19">
        <f t="shared" si="167"/>
        <v>23881893.467240192</v>
      </c>
      <c r="Y38" s="19">
        <f t="shared" si="167"/>
        <v>1449768.6532889223</v>
      </c>
      <c r="Z38" s="19">
        <f t="shared" si="167"/>
        <v>14417285.187073162</v>
      </c>
      <c r="AA38" s="19">
        <f t="shared" si="167"/>
        <v>-3181504.7476271191</v>
      </c>
      <c r="AB38" s="19">
        <f t="shared" si="167"/>
        <v>19918585.460660048</v>
      </c>
      <c r="AC38" s="19">
        <f t="shared" si="167"/>
        <v>13131614.681319447</v>
      </c>
      <c r="AD38" s="19">
        <f t="shared" si="167"/>
        <v>8810270.0576423723</v>
      </c>
      <c r="AE38" s="19">
        <f t="shared" si="167"/>
        <v>8519021.4341627117</v>
      </c>
      <c r="AF38" s="19">
        <f t="shared" si="167"/>
        <v>10900976.112554235</v>
      </c>
      <c r="AG38" s="19">
        <f t="shared" si="167"/>
        <v>19897405.897610173</v>
      </c>
      <c r="AH38" s="19">
        <f t="shared" si="167"/>
        <v>16740710.362600001</v>
      </c>
      <c r="AI38" s="19">
        <f t="shared" si="167"/>
        <v>25906966.777244069</v>
      </c>
      <c r="AJ38" s="19">
        <f t="shared" si="167"/>
        <v>30592643.226963595</v>
      </c>
      <c r="AK38" s="19">
        <f t="shared" si="167"/>
        <v>18411744.164928</v>
      </c>
      <c r="AL38" s="19">
        <f t="shared" si="167"/>
        <v>23414836.498111323</v>
      </c>
      <c r="AM38" s="19">
        <f t="shared" si="167"/>
        <v>17718139.204152696</v>
      </c>
      <c r="AN38" s="19">
        <f t="shared" si="167"/>
        <v>11144534.499279607</v>
      </c>
      <c r="AO38" s="19">
        <f t="shared" si="167"/>
        <v>16965027.140508518</v>
      </c>
      <c r="AP38" s="19">
        <f t="shared" si="167"/>
        <v>14467426.503165832</v>
      </c>
      <c r="AQ38" s="19">
        <f t="shared" si="167"/>
        <v>9217607.874745762</v>
      </c>
      <c r="AR38" s="19">
        <f t="shared" si="167"/>
        <v>11608484.404555373</v>
      </c>
      <c r="AS38" s="19">
        <f t="shared" si="167"/>
        <v>14462936.914483052</v>
      </c>
      <c r="AT38" s="19">
        <f t="shared" si="167"/>
        <v>34609820.338726029</v>
      </c>
      <c r="AU38" s="19">
        <f t="shared" si="167"/>
        <v>39825809.509338535</v>
      </c>
      <c r="AV38" s="19">
        <f t="shared" si="167"/>
        <v>46035474.462937295</v>
      </c>
      <c r="AW38" s="19">
        <f t="shared" si="167"/>
        <v>40570163.888050847</v>
      </c>
      <c r="AX38" s="19">
        <f t="shared" si="167"/>
        <v>22434622.316307116</v>
      </c>
      <c r="AY38" s="19">
        <f t="shared" si="167"/>
        <v>20283669.622786433</v>
      </c>
      <c r="AZ38" s="19">
        <f t="shared" si="167"/>
        <v>28939189.11999999</v>
      </c>
      <c r="BA38" s="19">
        <f t="shared" si="167"/>
        <v>41282058.211355932</v>
      </c>
      <c r="BB38" s="19">
        <f t="shared" si="167"/>
        <v>38086047.814258054</v>
      </c>
      <c r="BC38" s="19">
        <f t="shared" si="167"/>
        <v>26630422.798878059</v>
      </c>
      <c r="BD38" s="19">
        <f t="shared" si="167"/>
        <v>37069246.037288234</v>
      </c>
      <c r="BE38" s="19">
        <f t="shared" si="167"/>
        <v>64958206.340542555</v>
      </c>
      <c r="BF38" s="19">
        <f t="shared" si="167"/>
        <v>54846268.580953568</v>
      </c>
      <c r="BG38" s="19">
        <f t="shared" si="167"/>
        <v>46684647.817320563</v>
      </c>
      <c r="BH38" s="19">
        <f t="shared" si="167"/>
        <v>56413967.400088489</v>
      </c>
      <c r="BI38" s="19">
        <f t="shared" si="167"/>
        <v>84010604.151122302</v>
      </c>
      <c r="BJ38" s="19">
        <f t="shared" si="167"/>
        <v>146609504.9308483</v>
      </c>
      <c r="BK38" s="19">
        <f t="shared" si="167"/>
        <v>170202690.96853811</v>
      </c>
      <c r="BL38" s="19">
        <f t="shared" si="167"/>
        <v>151193818.36353105</v>
      </c>
      <c r="BM38" s="19">
        <f t="shared" si="167"/>
        <v>184384481.27297789</v>
      </c>
      <c r="BN38" s="19">
        <f t="shared" si="167"/>
        <v>129316113.17361262</v>
      </c>
      <c r="BO38" s="19">
        <f t="shared" si="167"/>
        <v>151046972.63811257</v>
      </c>
      <c r="BP38" s="19">
        <f t="shared" si="168"/>
        <v>169137702.70903161</v>
      </c>
      <c r="BQ38" s="19">
        <f t="shared" si="168"/>
        <v>266025399.4436416</v>
      </c>
      <c r="BR38" s="19">
        <f t="shared" si="168"/>
        <v>206526281.09120148</v>
      </c>
      <c r="BS38" s="19">
        <f t="shared" si="168"/>
        <v>195090152.98018441</v>
      </c>
      <c r="BT38" s="19">
        <f t="shared" si="168"/>
        <v>198583526.47927979</v>
      </c>
      <c r="BU38" s="19">
        <f t="shared" si="168"/>
        <v>144745153.16620427</v>
      </c>
      <c r="BV38" s="19">
        <f t="shared" si="168"/>
        <v>205035658.84594908</v>
      </c>
      <c r="BW38" s="19">
        <f t="shared" si="168"/>
        <v>197550488.25108179</v>
      </c>
      <c r="BX38" s="19">
        <f t="shared" si="168"/>
        <v>214649617.46269172</v>
      </c>
      <c r="BY38" s="19">
        <f t="shared" si="168"/>
        <v>222836291.86446032</v>
      </c>
      <c r="BZ38" s="19">
        <f t="shared" si="168"/>
        <v>233363267.62247545</v>
      </c>
      <c r="CA38" s="19">
        <f t="shared" si="168"/>
        <v>219461801.96896589</v>
      </c>
      <c r="CB38" s="19">
        <f t="shared" si="168"/>
        <v>228071512.58676764</v>
      </c>
      <c r="CC38" s="19">
        <f t="shared" si="168"/>
        <v>243721720.33042181</v>
      </c>
      <c r="CD38" s="19">
        <f t="shared" si="168"/>
        <v>213573487.86143905</v>
      </c>
      <c r="CE38" s="19">
        <f t="shared" si="168"/>
        <v>254730738.33033139</v>
      </c>
      <c r="CF38" s="19">
        <f t="shared" si="168"/>
        <v>285976699.31866157</v>
      </c>
      <c r="CG38" s="19">
        <f t="shared" si="168"/>
        <v>274484536.3285138</v>
      </c>
      <c r="CH38" s="19">
        <f t="shared" si="168"/>
        <v>367862022.80188572</v>
      </c>
      <c r="CI38" s="19">
        <f t="shared" si="168"/>
        <v>314586640.51863635</v>
      </c>
      <c r="CJ38" s="19">
        <f t="shared" si="168"/>
        <v>317371971.53114605</v>
      </c>
      <c r="CK38" s="19">
        <f t="shared" si="168"/>
        <v>313176777.91688687</v>
      </c>
      <c r="CL38" s="19">
        <f t="shared" si="168"/>
        <v>328141670.28745651</v>
      </c>
      <c r="CM38" s="19">
        <f t="shared" si="168"/>
        <v>290334825.41999924</v>
      </c>
      <c r="CN38" s="19">
        <f t="shared" si="168"/>
        <v>371393762.38670385</v>
      </c>
      <c r="CO38" s="19">
        <f t="shared" si="168"/>
        <v>317494668.38749188</v>
      </c>
      <c r="CP38" s="19">
        <f t="shared" si="168"/>
        <v>314749870.70059991</v>
      </c>
      <c r="CQ38" s="19">
        <f t="shared" si="168"/>
        <v>378932992.90499932</v>
      </c>
      <c r="CR38" s="19">
        <f t="shared" si="168"/>
        <v>421892195.49063957</v>
      </c>
      <c r="CS38" s="19">
        <f t="shared" si="168"/>
        <v>340471549.33775949</v>
      </c>
      <c r="CT38" s="19">
        <f t="shared" si="168"/>
        <v>403044260.86144972</v>
      </c>
      <c r="CU38" s="19">
        <f t="shared" si="168"/>
        <v>379157202.66811359</v>
      </c>
      <c r="CV38" s="19">
        <f t="shared" si="168"/>
        <v>383016134.75187808</v>
      </c>
      <c r="CW38" s="19">
        <f t="shared" si="168"/>
        <v>382742127.74001318</v>
      </c>
      <c r="CX38" s="19">
        <f t="shared" si="168"/>
        <v>388519108.9068324</v>
      </c>
      <c r="CY38" s="19">
        <f t="shared" si="168"/>
        <v>366096201.76921797</v>
      </c>
      <c r="CZ38" s="19">
        <f t="shared" si="168"/>
        <v>400484081.75826812</v>
      </c>
      <c r="DA38" s="19">
        <f t="shared" si="168"/>
        <v>389409631.69539344</v>
      </c>
      <c r="DB38" s="19">
        <f t="shared" si="168"/>
        <v>390322988.4016099</v>
      </c>
      <c r="DC38" s="19">
        <f t="shared" si="168"/>
        <v>479124094.16350651</v>
      </c>
      <c r="DD38" s="19">
        <f t="shared" si="168"/>
        <v>516252044.27120614</v>
      </c>
      <c r="DE38" s="19">
        <f t="shared" si="168"/>
        <v>442589825.91484755</v>
      </c>
      <c r="DF38" s="19">
        <f t="shared" si="168"/>
        <v>478256405.29260081</v>
      </c>
      <c r="DG38" s="19">
        <f t="shared" si="168"/>
        <v>449111706.56038052</v>
      </c>
      <c r="DH38" s="19">
        <f t="shared" si="168"/>
        <v>453682611.61359966</v>
      </c>
      <c r="DI38" s="19">
        <f t="shared" si="168"/>
        <v>453358050.30804569</v>
      </c>
      <c r="DJ38" s="19">
        <f t="shared" si="168"/>
        <v>460200884.50014299</v>
      </c>
      <c r="DK38" s="19">
        <f t="shared" si="168"/>
        <v>433640950.99563867</v>
      </c>
      <c r="DL38" s="19">
        <f t="shared" si="168"/>
        <v>474373394.84266865</v>
      </c>
      <c r="DM38" s="19">
        <f t="shared" si="168"/>
        <v>461255708.74319351</v>
      </c>
      <c r="DN38" s="19">
        <f t="shared" si="168"/>
        <v>462337579.76170695</v>
      </c>
      <c r="DO38" s="19">
        <f t="shared" si="168"/>
        <v>567522489.53667343</v>
      </c>
      <c r="DP38" s="19">
        <f t="shared" si="168"/>
        <v>611500546.43924367</v>
      </c>
      <c r="DQ38" s="19">
        <f t="shared" si="168"/>
        <v>524247648.79613692</v>
      </c>
      <c r="DR38" s="19">
        <f t="shared" si="168"/>
        <v>566494712.0690856</v>
      </c>
      <c r="DS38" s="19">
        <f t="shared" ref="DS38:ED38" si="171">DS23-DS32</f>
        <v>531972816.42077059</v>
      </c>
      <c r="DT38" s="19">
        <f t="shared" si="171"/>
        <v>537387053.45630872</v>
      </c>
      <c r="DU38" s="19">
        <f t="shared" si="171"/>
        <v>537002610.58987999</v>
      </c>
      <c r="DV38" s="19">
        <f t="shared" si="171"/>
        <v>545107947.69041932</v>
      </c>
      <c r="DW38" s="19">
        <f t="shared" si="171"/>
        <v>513647706.45433396</v>
      </c>
      <c r="DX38" s="19">
        <f t="shared" si="171"/>
        <v>561895286.19114089</v>
      </c>
      <c r="DY38" s="19">
        <f t="shared" si="171"/>
        <v>546357387.00631261</v>
      </c>
      <c r="DZ38" s="19">
        <f t="shared" si="171"/>
        <v>547638863.22774172</v>
      </c>
      <c r="EA38" s="19">
        <f t="shared" si="171"/>
        <v>672230388.85618961</v>
      </c>
      <c r="EB38" s="19">
        <f t="shared" si="171"/>
        <v>724322397.25728416</v>
      </c>
      <c r="EC38" s="19">
        <f t="shared" si="171"/>
        <v>620971339.99902415</v>
      </c>
      <c r="ED38" s="19">
        <f t="shared" si="171"/>
        <v>671012986.44583189</v>
      </c>
      <c r="EE38" s="168"/>
      <c r="EF38" s="165">
        <f>SUM(BK38:BM38)</f>
        <v>505780990.60504705</v>
      </c>
      <c r="EG38" s="165">
        <f>SUM(BN38:BP38)</f>
        <v>449500788.52075684</v>
      </c>
      <c r="EH38" s="165">
        <f>SUM(BQ38:BS38)</f>
        <v>667641833.51502752</v>
      </c>
      <c r="EI38" s="165">
        <f>SUM(BT38:BV38)</f>
        <v>548364338.49143314</v>
      </c>
      <c r="EJ38" s="165">
        <f>SUM(BW38:BY38)</f>
        <v>635036397.57823384</v>
      </c>
      <c r="EK38" s="165">
        <f>SUM(CL38:CN38)</f>
        <v>989870258.0941596</v>
      </c>
      <c r="EL38" s="165">
        <f>SUM(CC38:CE38)</f>
        <v>712025946.52219224</v>
      </c>
      <c r="EM38" s="165">
        <f>SUM(CF38:CH38)</f>
        <v>928323258.44906104</v>
      </c>
      <c r="EN38" s="165">
        <f>SUM(CI38:CK38)</f>
        <v>945135389.96666932</v>
      </c>
      <c r="EO38" s="165">
        <f>SUM(CL38:CN38)</f>
        <v>989870258.0941596</v>
      </c>
      <c r="EP38" s="165">
        <f>SUM(CO38:CQ38)</f>
        <v>1011177531.9930911</v>
      </c>
      <c r="EQ38" s="165">
        <f>SUM(CR38:CT38)</f>
        <v>1165408005.6898489</v>
      </c>
      <c r="ER38" s="165">
        <f>SUM(CU38:CW38)</f>
        <v>1144915465.1600049</v>
      </c>
      <c r="ES38" s="165">
        <f>SUM(CX38:CZ38)</f>
        <v>1155099392.4343185</v>
      </c>
      <c r="ET38" s="165">
        <f>SUM(DA38:DC38)</f>
        <v>1258856714.26051</v>
      </c>
      <c r="EU38" s="165">
        <f>SUM(DD38:DF38)</f>
        <v>1437098275.4786546</v>
      </c>
      <c r="EV38" s="165">
        <f>SUM(DG38:DI38)</f>
        <v>1356152368.4820259</v>
      </c>
      <c r="EW38" s="165">
        <f>SUM(DJ38:DL38)</f>
        <v>1368215230.3384504</v>
      </c>
      <c r="EX38" s="165">
        <f>SUM(DM38:DO38)</f>
        <v>1491115778.041574</v>
      </c>
      <c r="EY38" s="165">
        <f>SUM(DP38:DR38)</f>
        <v>1702242907.3044662</v>
      </c>
      <c r="EZ38" s="165">
        <f t="shared" si="83"/>
        <v>1606362480.4669592</v>
      </c>
      <c r="FA38" s="165">
        <f t="shared" si="84"/>
        <v>1620650940.3358941</v>
      </c>
      <c r="FB38" s="165">
        <f t="shared" si="85"/>
        <v>1766226639.0902438</v>
      </c>
      <c r="FC38" s="165">
        <f t="shared" si="86"/>
        <v>2016306723.7021403</v>
      </c>
      <c r="FE38" s="165">
        <f t="shared" si="87"/>
        <v>2171287951.1322646</v>
      </c>
      <c r="FF38" s="165">
        <f t="shared" si="88"/>
        <v>3265255860.6436467</v>
      </c>
      <c r="FG38" s="165">
        <f t="shared" si="89"/>
        <v>4111591185.7437687</v>
      </c>
      <c r="FH38" s="165">
        <f t="shared" si="90"/>
        <v>4995969847.3334875</v>
      </c>
      <c r="FI38" s="165">
        <f t="shared" si="91"/>
        <v>5917726284.1665173</v>
      </c>
      <c r="FJ38" s="165">
        <f t="shared" si="92"/>
        <v>7009546783.5952377</v>
      </c>
    </row>
    <row r="39" spans="2:166" x14ac:dyDescent="0.2">
      <c r="B39" s="155" t="s">
        <v>229</v>
      </c>
      <c r="C39" s="19">
        <f t="shared" si="170"/>
        <v>0</v>
      </c>
      <c r="D39" s="19">
        <f t="shared" ref="D39:BO39" si="172">D24-D33</f>
        <v>0</v>
      </c>
      <c r="E39" s="19">
        <f t="shared" si="172"/>
        <v>0</v>
      </c>
      <c r="F39" s="19">
        <f t="shared" si="172"/>
        <v>0</v>
      </c>
      <c r="G39" s="19">
        <f t="shared" si="172"/>
        <v>0</v>
      </c>
      <c r="H39" s="19">
        <f t="shared" si="172"/>
        <v>0</v>
      </c>
      <c r="I39" s="19">
        <f t="shared" si="172"/>
        <v>0</v>
      </c>
      <c r="J39" s="19">
        <f t="shared" si="172"/>
        <v>0</v>
      </c>
      <c r="K39" s="19">
        <f t="shared" si="172"/>
        <v>0</v>
      </c>
      <c r="L39" s="19">
        <f t="shared" si="172"/>
        <v>0</v>
      </c>
      <c r="M39" s="19">
        <f t="shared" si="172"/>
        <v>0</v>
      </c>
      <c r="N39" s="19">
        <f t="shared" si="172"/>
        <v>0</v>
      </c>
      <c r="O39" s="19">
        <f t="shared" si="172"/>
        <v>0</v>
      </c>
      <c r="P39" s="19">
        <f t="shared" si="172"/>
        <v>0</v>
      </c>
      <c r="Q39" s="19">
        <f t="shared" si="172"/>
        <v>0</v>
      </c>
      <c r="R39" s="19">
        <f t="shared" si="172"/>
        <v>0</v>
      </c>
      <c r="S39" s="19">
        <f t="shared" si="172"/>
        <v>0</v>
      </c>
      <c r="T39" s="19">
        <f t="shared" si="172"/>
        <v>0</v>
      </c>
      <c r="U39" s="19">
        <f t="shared" si="172"/>
        <v>0</v>
      </c>
      <c r="V39" s="19">
        <f t="shared" si="172"/>
        <v>0</v>
      </c>
      <c r="W39" s="19">
        <f t="shared" si="172"/>
        <v>0</v>
      </c>
      <c r="X39" s="19">
        <f t="shared" si="172"/>
        <v>0</v>
      </c>
      <c r="Y39" s="19">
        <f t="shared" si="172"/>
        <v>0</v>
      </c>
      <c r="Z39" s="19">
        <f t="shared" si="172"/>
        <v>0</v>
      </c>
      <c r="AA39" s="19">
        <f t="shared" si="172"/>
        <v>0</v>
      </c>
      <c r="AB39" s="19">
        <f t="shared" si="172"/>
        <v>0</v>
      </c>
      <c r="AC39" s="19">
        <f t="shared" si="172"/>
        <v>4645575.5167033896</v>
      </c>
      <c r="AD39" s="19">
        <f t="shared" si="172"/>
        <v>3813912.2577813561</v>
      </c>
      <c r="AE39" s="19">
        <f t="shared" si="172"/>
        <v>5487552.0629043384</v>
      </c>
      <c r="AF39" s="19">
        <f t="shared" si="172"/>
        <v>8260866.4207932204</v>
      </c>
      <c r="AG39" s="19">
        <f t="shared" si="172"/>
        <v>8857029.0299999993</v>
      </c>
      <c r="AH39" s="19">
        <f t="shared" si="172"/>
        <v>14134909.0437</v>
      </c>
      <c r="AI39" s="19">
        <f t="shared" si="172"/>
        <v>36292063.149999999</v>
      </c>
      <c r="AJ39" s="19">
        <f t="shared" si="172"/>
        <v>37256610.594733052</v>
      </c>
      <c r="AK39" s="19">
        <f t="shared" si="172"/>
        <v>35796749.915932193</v>
      </c>
      <c r="AL39" s="19">
        <f t="shared" si="172"/>
        <v>39690908.973576367</v>
      </c>
      <c r="AM39" s="19">
        <f t="shared" si="172"/>
        <v>22531479.681013525</v>
      </c>
      <c r="AN39" s="19">
        <f t="shared" si="172"/>
        <v>621845.61694915278</v>
      </c>
      <c r="AO39" s="19">
        <f t="shared" si="172"/>
        <v>14382841.150557041</v>
      </c>
      <c r="AP39" s="19">
        <f t="shared" si="172"/>
        <v>21661483.173031218</v>
      </c>
      <c r="AQ39" s="19">
        <f t="shared" si="172"/>
        <v>28829467.065485731</v>
      </c>
      <c r="AR39" s="19">
        <f t="shared" si="172"/>
        <v>39302698.775866009</v>
      </c>
      <c r="AS39" s="19">
        <f t="shared" si="172"/>
        <v>49893326.945385091</v>
      </c>
      <c r="AT39" s="19">
        <f t="shared" si="172"/>
        <v>72143219.133099005</v>
      </c>
      <c r="AU39" s="19">
        <f t="shared" si="172"/>
        <v>85593509.026671112</v>
      </c>
      <c r="AV39" s="19">
        <f t="shared" si="172"/>
        <v>84117439.529153913</v>
      </c>
      <c r="AW39" s="19">
        <f t="shared" si="172"/>
        <v>91354554.71317257</v>
      </c>
      <c r="AX39" s="19">
        <f t="shared" si="172"/>
        <v>103260389.28736855</v>
      </c>
      <c r="AY39" s="19">
        <f t="shared" si="172"/>
        <v>90987132.009789005</v>
      </c>
      <c r="AZ39" s="19">
        <f t="shared" si="172"/>
        <v>112257195.14155957</v>
      </c>
      <c r="BA39" s="19">
        <f t="shared" si="172"/>
        <v>135589777.90662771</v>
      </c>
      <c r="BB39" s="19">
        <f t="shared" si="172"/>
        <v>138152647.2644856</v>
      </c>
      <c r="BC39" s="19">
        <f t="shared" si="172"/>
        <v>144179337.2394765</v>
      </c>
      <c r="BD39" s="19">
        <f t="shared" si="172"/>
        <v>138695458.5780116</v>
      </c>
      <c r="BE39" s="19">
        <f t="shared" si="172"/>
        <v>156747913.63551939</v>
      </c>
      <c r="BF39" s="19">
        <f t="shared" si="172"/>
        <v>162733287.85715729</v>
      </c>
      <c r="BG39" s="19">
        <f t="shared" si="172"/>
        <v>199907510.14357099</v>
      </c>
      <c r="BH39" s="19">
        <f t="shared" si="172"/>
        <v>219710757.16367683</v>
      </c>
      <c r="BI39" s="19">
        <f t="shared" si="172"/>
        <v>217911199.97997734</v>
      </c>
      <c r="BJ39" s="19">
        <f t="shared" si="172"/>
        <v>279496364.88393301</v>
      </c>
      <c r="BK39" s="19">
        <f t="shared" si="172"/>
        <v>299384838.65871203</v>
      </c>
      <c r="BL39" s="19">
        <f t="shared" si="172"/>
        <v>315822171.68405956</v>
      </c>
      <c r="BM39" s="19">
        <f t="shared" si="172"/>
        <v>307565429.82327205</v>
      </c>
      <c r="BN39" s="19">
        <f t="shared" si="172"/>
        <v>267727256.42488205</v>
      </c>
      <c r="BO39" s="19">
        <f t="shared" si="172"/>
        <v>265586430.97441</v>
      </c>
      <c r="BP39" s="19">
        <f t="shared" si="168"/>
        <v>252402908.24486059</v>
      </c>
      <c r="BQ39" s="19">
        <f t="shared" si="168"/>
        <v>364382385.3273297</v>
      </c>
      <c r="BR39" s="19">
        <f t="shared" si="168"/>
        <v>320622383.80681396</v>
      </c>
      <c r="BS39" s="19">
        <f t="shared" si="168"/>
        <v>275949169.25408685</v>
      </c>
      <c r="BT39" s="19">
        <f t="shared" si="168"/>
        <v>247585382.7787039</v>
      </c>
      <c r="BU39" s="19">
        <f t="shared" si="168"/>
        <v>224446978.21187407</v>
      </c>
      <c r="BV39" s="19">
        <f t="shared" si="168"/>
        <v>271380901.81655037</v>
      </c>
      <c r="BW39" s="19">
        <f t="shared" si="168"/>
        <v>287896322.22383714</v>
      </c>
      <c r="BX39" s="19">
        <f t="shared" si="168"/>
        <v>287644384.25812042</v>
      </c>
      <c r="BY39" s="19">
        <f t="shared" si="168"/>
        <v>307351435.52079612</v>
      </c>
      <c r="BZ39" s="19">
        <f t="shared" si="168"/>
        <v>288651700.4742626</v>
      </c>
      <c r="CA39" s="19">
        <f t="shared" si="168"/>
        <v>242229666.09302434</v>
      </c>
      <c r="CB39" s="19">
        <f t="shared" si="168"/>
        <v>207366722.88939744</v>
      </c>
      <c r="CC39" s="19">
        <f t="shared" si="168"/>
        <v>299103287.22222507</v>
      </c>
      <c r="CD39" s="19">
        <f t="shared" si="168"/>
        <v>294836004.2120747</v>
      </c>
      <c r="CE39" s="19">
        <f t="shared" si="168"/>
        <v>351215484.3363775</v>
      </c>
      <c r="CF39" s="19">
        <f t="shared" si="168"/>
        <v>362447347.44148612</v>
      </c>
      <c r="CG39" s="19">
        <f t="shared" si="168"/>
        <v>344074355.27270591</v>
      </c>
      <c r="CH39" s="19">
        <f t="shared" si="168"/>
        <v>427881357.20428503</v>
      </c>
      <c r="CI39" s="19">
        <f t="shared" si="168"/>
        <v>416340150.99052358</v>
      </c>
      <c r="CJ39" s="19">
        <f t="shared" si="168"/>
        <v>395745213.23942339</v>
      </c>
      <c r="CK39" s="19">
        <f t="shared" si="168"/>
        <v>409788249.96173704</v>
      </c>
      <c r="CL39" s="19">
        <f t="shared" si="168"/>
        <v>448609511.96000105</v>
      </c>
      <c r="CM39" s="19">
        <f t="shared" si="168"/>
        <v>371931954.44000167</v>
      </c>
      <c r="CN39" s="19">
        <f t="shared" si="168"/>
        <v>349198855.12999743</v>
      </c>
      <c r="CO39" s="19">
        <f t="shared" si="168"/>
        <v>519103976.5299961</v>
      </c>
      <c r="CP39" s="19">
        <f t="shared" si="168"/>
        <v>461351431.93000001</v>
      </c>
      <c r="CQ39" s="19">
        <f t="shared" si="168"/>
        <v>577255366.54999566</v>
      </c>
      <c r="CR39" s="19">
        <f t="shared" si="168"/>
        <v>616358895.95999849</v>
      </c>
      <c r="CS39" s="19">
        <f t="shared" si="168"/>
        <v>596732645.29999506</v>
      </c>
      <c r="CT39" s="19">
        <f t="shared" si="168"/>
        <v>703597010.53999901</v>
      </c>
      <c r="CU39" s="19">
        <f t="shared" si="168"/>
        <v>597109261.85769856</v>
      </c>
      <c r="CV39" s="19">
        <f t="shared" si="168"/>
        <v>583226619.35185063</v>
      </c>
      <c r="CW39" s="19">
        <f t="shared" si="168"/>
        <v>581240823.51296246</v>
      </c>
      <c r="CX39" s="19">
        <f t="shared" si="168"/>
        <v>633395695.4870019</v>
      </c>
      <c r="CY39" s="19">
        <f t="shared" si="168"/>
        <v>559503795.50389838</v>
      </c>
      <c r="CZ39" s="19">
        <f t="shared" si="168"/>
        <v>514774431.7769497</v>
      </c>
      <c r="DA39" s="19">
        <f t="shared" si="168"/>
        <v>655609738.01611555</v>
      </c>
      <c r="DB39" s="19">
        <f t="shared" si="168"/>
        <v>598693881.16204977</v>
      </c>
      <c r="DC39" s="19">
        <f t="shared" si="168"/>
        <v>722501210.41690671</v>
      </c>
      <c r="DD39" s="19">
        <f t="shared" si="168"/>
        <v>741207588.43374753</v>
      </c>
      <c r="DE39" s="19">
        <f t="shared" si="168"/>
        <v>684561843.98119676</v>
      </c>
      <c r="DF39" s="19">
        <f t="shared" si="168"/>
        <v>804927362.07800901</v>
      </c>
      <c r="DG39" s="19">
        <f t="shared" si="168"/>
        <v>734819829.87040269</v>
      </c>
      <c r="DH39" s="19">
        <f t="shared" si="168"/>
        <v>719668929.98934889</v>
      </c>
      <c r="DI39" s="19">
        <f t="shared" si="168"/>
        <v>713556637.96788871</v>
      </c>
      <c r="DJ39" s="19">
        <f t="shared" si="168"/>
        <v>776829335.41807282</v>
      </c>
      <c r="DK39" s="19">
        <f t="shared" si="168"/>
        <v>685271441.2786845</v>
      </c>
      <c r="DL39" s="19">
        <f t="shared" si="168"/>
        <v>629363390.13232911</v>
      </c>
      <c r="DM39" s="19">
        <f t="shared" si="168"/>
        <v>797982826.73338699</v>
      </c>
      <c r="DN39" s="19">
        <f t="shared" si="168"/>
        <v>725275105.67918682</v>
      </c>
      <c r="DO39" s="19">
        <f t="shared" si="168"/>
        <v>871484941.30291235</v>
      </c>
      <c r="DP39" s="19">
        <f t="shared" si="168"/>
        <v>890274491.3304615</v>
      </c>
      <c r="DQ39" s="19">
        <f t="shared" si="168"/>
        <v>818536857.55929184</v>
      </c>
      <c r="DR39" s="19">
        <f t="shared" si="168"/>
        <v>951318420.71885717</v>
      </c>
      <c r="DS39" s="19">
        <f t="shared" ref="DS39:ED39" si="173">DS24-DS33</f>
        <v>840270431.67516267</v>
      </c>
      <c r="DT39" s="19">
        <f t="shared" si="173"/>
        <v>822211070.89484477</v>
      </c>
      <c r="DU39" s="19">
        <f t="shared" si="173"/>
        <v>814750781.71352386</v>
      </c>
      <c r="DV39" s="19">
        <f t="shared" si="173"/>
        <v>886472076.98316646</v>
      </c>
      <c r="DW39" s="19">
        <f t="shared" si="173"/>
        <v>781340169.45824683</v>
      </c>
      <c r="DX39" s="19">
        <f t="shared" si="173"/>
        <v>716808926.65657842</v>
      </c>
      <c r="DY39" s="19">
        <f t="shared" si="173"/>
        <v>908573326.09756398</v>
      </c>
      <c r="DZ39" s="19">
        <f t="shared" si="173"/>
        <v>825355289.71705091</v>
      </c>
      <c r="EA39" s="19">
        <f t="shared" si="173"/>
        <v>991448287.30104458</v>
      </c>
      <c r="EB39" s="19">
        <f t="shared" si="173"/>
        <v>1012552283.7033793</v>
      </c>
      <c r="EC39" s="19">
        <f t="shared" si="173"/>
        <v>930482761.22917533</v>
      </c>
      <c r="ED39" s="19">
        <f t="shared" si="173"/>
        <v>1081120311.2919559</v>
      </c>
      <c r="EE39" s="168"/>
      <c r="EF39" s="165">
        <f>SUM(BK39:BM39)</f>
        <v>922772440.16604352</v>
      </c>
      <c r="EG39" s="165">
        <f>SUM(BN39:BP39)</f>
        <v>785716595.64415264</v>
      </c>
      <c r="EH39" s="165">
        <f>SUM(BQ39:BS39)</f>
        <v>960953938.38823044</v>
      </c>
      <c r="EI39" s="165">
        <f>SUM(BT39:BV39)</f>
        <v>743413262.80712831</v>
      </c>
      <c r="EJ39" s="165">
        <f>SUM(BW39:BY39)</f>
        <v>882892142.00275373</v>
      </c>
      <c r="EK39" s="165">
        <f>SUM(CL39:CN39)</f>
        <v>1169740321.5300002</v>
      </c>
      <c r="EL39" s="165">
        <f>SUM(CC39:CE39)</f>
        <v>945154775.77067721</v>
      </c>
      <c r="EM39" s="165">
        <f>SUM(CF39:CH39)</f>
        <v>1134403059.9184771</v>
      </c>
      <c r="EN39" s="165">
        <f>SUM(CI39:CK39)</f>
        <v>1221873614.191684</v>
      </c>
      <c r="EO39" s="165">
        <f>SUM(CL39:CN39)</f>
        <v>1169740321.5300002</v>
      </c>
      <c r="EP39" s="165">
        <f>SUM(CO39:CQ39)</f>
        <v>1557710775.0099916</v>
      </c>
      <c r="EQ39" s="165">
        <f>SUM(CR39:CT39)</f>
        <v>1916688551.7999926</v>
      </c>
      <c r="ER39" s="165">
        <f>SUM(CU39:CW39)</f>
        <v>1761576704.7225118</v>
      </c>
      <c r="ES39" s="165">
        <f>SUM(CX39:CZ39)</f>
        <v>1707673922.7678499</v>
      </c>
      <c r="ET39" s="165">
        <f>SUM(DA39:DC39)</f>
        <v>1976804829.5950723</v>
      </c>
      <c r="EU39" s="165">
        <f>SUM(DD39:DF39)</f>
        <v>2230696794.4929533</v>
      </c>
      <c r="EV39" s="165">
        <f>SUM(DG39:DI39)</f>
        <v>2168045397.8276405</v>
      </c>
      <c r="EW39" s="165">
        <f>SUM(DJ39:DL39)</f>
        <v>2091464166.8290863</v>
      </c>
      <c r="EX39" s="165">
        <f>SUM(DM39:DO39)</f>
        <v>2394742873.715486</v>
      </c>
      <c r="EY39" s="165">
        <f>SUM(DP39:DR39)</f>
        <v>2660129769.6086106</v>
      </c>
      <c r="EZ39" s="165">
        <f t="shared" si="83"/>
        <v>2477232284.2835312</v>
      </c>
      <c r="FA39" s="165">
        <f t="shared" si="84"/>
        <v>2384621173.0979919</v>
      </c>
      <c r="FB39" s="165">
        <f t="shared" si="85"/>
        <v>2725376903.1156592</v>
      </c>
      <c r="FC39" s="165">
        <f t="shared" si="86"/>
        <v>3024155356.2245107</v>
      </c>
      <c r="FE39" s="165">
        <f t="shared" si="87"/>
        <v>3412856237.0055552</v>
      </c>
      <c r="FF39" s="165">
        <f t="shared" si="88"/>
        <v>4132190299.2219081</v>
      </c>
      <c r="FG39" s="165">
        <f t="shared" si="89"/>
        <v>5866013262.5316687</v>
      </c>
      <c r="FH39" s="165">
        <f t="shared" si="90"/>
        <v>7676752251.5783873</v>
      </c>
      <c r="FI39" s="165">
        <f t="shared" si="91"/>
        <v>9314382207.9808235</v>
      </c>
      <c r="FJ39" s="165">
        <f t="shared" si="92"/>
        <v>10611385716.721693</v>
      </c>
    </row>
    <row r="40" spans="2:166" x14ac:dyDescent="0.2">
      <c r="B40" s="15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68"/>
      <c r="EF40" s="165"/>
      <c r="EG40" s="165"/>
      <c r="EH40" s="165"/>
      <c r="EI40" s="165"/>
      <c r="EJ40" s="165"/>
      <c r="EK40" s="165"/>
      <c r="EL40" s="165"/>
      <c r="EM40" s="165"/>
      <c r="EN40" s="165"/>
      <c r="EO40" s="165"/>
      <c r="EP40" s="165"/>
      <c r="EQ40" s="165"/>
      <c r="ER40" s="165"/>
      <c r="ES40" s="165"/>
      <c r="ET40" s="165"/>
      <c r="EU40" s="165"/>
      <c r="EV40" s="165"/>
      <c r="EW40" s="165"/>
      <c r="EX40" s="165"/>
      <c r="EY40" s="165"/>
      <c r="EZ40" s="165">
        <f t="shared" si="83"/>
        <v>0</v>
      </c>
      <c r="FA40" s="165">
        <f t="shared" si="84"/>
        <v>0</v>
      </c>
      <c r="FB40" s="165">
        <f t="shared" si="85"/>
        <v>0</v>
      </c>
      <c r="FC40" s="165">
        <f t="shared" si="86"/>
        <v>0</v>
      </c>
      <c r="FE40" s="165"/>
      <c r="FF40" s="165"/>
      <c r="FG40" s="165"/>
      <c r="FH40" s="165"/>
      <c r="FI40" s="165"/>
      <c r="FJ40" s="165"/>
    </row>
    <row r="41" spans="2:166" x14ac:dyDescent="0.2">
      <c r="B41" s="22" t="s">
        <v>15</v>
      </c>
      <c r="C41" s="10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161"/>
      <c r="BB41" s="161"/>
      <c r="BC41" s="161"/>
      <c r="BD41" s="161"/>
      <c r="BE41" s="161"/>
      <c r="BF41" s="161"/>
      <c r="BG41" s="161"/>
      <c r="BH41" s="161"/>
      <c r="BI41" s="161"/>
      <c r="BJ41" s="161"/>
      <c r="BK41" s="161"/>
      <c r="BL41" s="161"/>
      <c r="BM41" s="161"/>
      <c r="BN41" s="161"/>
      <c r="BO41" s="161"/>
      <c r="BP41" s="161"/>
      <c r="BQ41" s="161"/>
      <c r="BR41" s="161"/>
      <c r="BS41" s="161"/>
      <c r="BT41" s="161"/>
      <c r="BU41" s="161"/>
      <c r="BV41" s="161"/>
      <c r="BW41" s="161"/>
      <c r="BX41" s="161"/>
      <c r="BY41" s="161"/>
      <c r="BZ41" s="161"/>
      <c r="CA41" s="161"/>
      <c r="CB41" s="161"/>
      <c r="CC41" s="161"/>
      <c r="CD41" s="161"/>
      <c r="CE41" s="161"/>
      <c r="CF41" s="161"/>
      <c r="CG41" s="161"/>
      <c r="CH41" s="161"/>
      <c r="CI41" s="161"/>
      <c r="CJ41" s="161"/>
      <c r="CK41" s="161"/>
      <c r="CL41" s="161"/>
      <c r="CM41" s="161"/>
      <c r="CN41" s="161"/>
      <c r="CO41" s="161"/>
      <c r="CP41" s="161"/>
      <c r="CQ41" s="161"/>
      <c r="CR41" s="161"/>
      <c r="CS41" s="161"/>
      <c r="CT41" s="161"/>
      <c r="CU41" s="161"/>
      <c r="CV41" s="161"/>
      <c r="CW41" s="161"/>
      <c r="CX41" s="161"/>
      <c r="CY41" s="161"/>
      <c r="CZ41" s="161"/>
      <c r="DA41" s="161"/>
      <c r="DB41" s="161"/>
      <c r="DC41" s="161"/>
      <c r="DD41" s="161"/>
      <c r="DE41" s="161"/>
      <c r="DF41" s="161"/>
      <c r="DG41" s="161"/>
      <c r="DH41" s="161"/>
      <c r="DI41" s="161"/>
      <c r="DJ41" s="161"/>
      <c r="DK41" s="161"/>
      <c r="DL41" s="161"/>
      <c r="DM41" s="161"/>
      <c r="DN41" s="161"/>
      <c r="DO41" s="161"/>
      <c r="DP41" s="161"/>
      <c r="DQ41" s="161"/>
      <c r="DR41" s="161"/>
      <c r="DS41" s="161"/>
      <c r="DT41" s="161"/>
      <c r="DU41" s="161"/>
      <c r="DV41" s="161"/>
      <c r="DW41" s="161"/>
      <c r="DX41" s="161"/>
      <c r="DY41" s="161"/>
      <c r="DZ41" s="161"/>
      <c r="EA41" s="161"/>
      <c r="EB41" s="161"/>
      <c r="EC41" s="161"/>
      <c r="ED41" s="161"/>
      <c r="EE41" s="168"/>
      <c r="EF41" s="165"/>
      <c r="EG41" s="165"/>
      <c r="EH41" s="165"/>
      <c r="EI41" s="165"/>
      <c r="EJ41" s="165"/>
      <c r="EK41" s="165"/>
      <c r="EL41" s="165"/>
      <c r="EM41" s="165"/>
      <c r="EN41" s="165"/>
      <c r="EO41" s="165"/>
      <c r="EP41" s="165"/>
      <c r="EQ41" s="165"/>
      <c r="ER41" s="165"/>
      <c r="ES41" s="165"/>
      <c r="ET41" s="165"/>
      <c r="EU41" s="165"/>
      <c r="EV41" s="165"/>
      <c r="EW41" s="165"/>
      <c r="EX41" s="165"/>
      <c r="EY41" s="165"/>
      <c r="EZ41" s="165">
        <f t="shared" si="83"/>
        <v>0</v>
      </c>
      <c r="FA41" s="165">
        <f t="shared" si="84"/>
        <v>0</v>
      </c>
      <c r="FB41" s="165">
        <f t="shared" si="85"/>
        <v>0</v>
      </c>
      <c r="FC41" s="165">
        <f t="shared" si="86"/>
        <v>0</v>
      </c>
      <c r="FE41" s="165">
        <f t="shared" si="87"/>
        <v>0</v>
      </c>
      <c r="FF41" s="165">
        <f t="shared" si="88"/>
        <v>0</v>
      </c>
      <c r="FG41" s="165">
        <f t="shared" si="89"/>
        <v>0</v>
      </c>
      <c r="FH41" s="165">
        <f t="shared" si="90"/>
        <v>0</v>
      </c>
      <c r="FI41" s="165">
        <f t="shared" si="91"/>
        <v>0</v>
      </c>
      <c r="FJ41" s="165">
        <f t="shared" si="92"/>
        <v>0</v>
      </c>
    </row>
    <row r="42" spans="2:166" x14ac:dyDescent="0.2">
      <c r="B42" s="22" t="s">
        <v>16</v>
      </c>
      <c r="C42" s="10"/>
      <c r="D42" s="161">
        <f>D36/C36-1</f>
        <v>8.9628598740492338E-2</v>
      </c>
      <c r="E42" s="161">
        <f t="shared" ref="E42:BP42" si="174">E36/D36-1</f>
        <v>-0.15041559402334326</v>
      </c>
      <c r="F42" s="161">
        <f t="shared" si="174"/>
        <v>0.63226609089629515</v>
      </c>
      <c r="G42" s="161">
        <f t="shared" si="174"/>
        <v>-0.23943003552068287</v>
      </c>
      <c r="H42" s="161">
        <f t="shared" si="174"/>
        <v>-0.18676863460929427</v>
      </c>
      <c r="I42" s="161">
        <f t="shared" si="174"/>
        <v>0.25332343966575244</v>
      </c>
      <c r="J42" s="161">
        <f t="shared" si="174"/>
        <v>0.294566334198888</v>
      </c>
      <c r="K42" s="161">
        <f t="shared" si="174"/>
        <v>0.19751105246730782</v>
      </c>
      <c r="L42" s="161">
        <f t="shared" si="174"/>
        <v>0.16633639504159548</v>
      </c>
      <c r="M42" s="161">
        <f t="shared" si="174"/>
        <v>0.5189584878224649</v>
      </c>
      <c r="N42" s="161">
        <f t="shared" si="174"/>
        <v>0.63702337586751567</v>
      </c>
      <c r="O42" s="161">
        <f t="shared" si="174"/>
        <v>0.30330113547797999</v>
      </c>
      <c r="P42" s="161">
        <f t="shared" si="174"/>
        <v>9.3423660666782204E-2</v>
      </c>
      <c r="Q42" s="161">
        <f t="shared" si="174"/>
        <v>-0.11131405380255899</v>
      </c>
      <c r="R42" s="161">
        <f t="shared" si="174"/>
        <v>0.37970734526272598</v>
      </c>
      <c r="S42" s="161">
        <f t="shared" si="174"/>
        <v>-0.34936024414019484</v>
      </c>
      <c r="T42" s="161">
        <f t="shared" si="174"/>
        <v>0.21984530134052704</v>
      </c>
      <c r="U42" s="161">
        <f t="shared" si="174"/>
        <v>-0.12733312113665129</v>
      </c>
      <c r="V42" s="161">
        <f t="shared" si="174"/>
        <v>-0.54893665334795871</v>
      </c>
      <c r="W42" s="161">
        <f t="shared" si="174"/>
        <v>0.68267475077328887</v>
      </c>
      <c r="X42" s="161">
        <f t="shared" si="174"/>
        <v>0.23901267462207776</v>
      </c>
      <c r="Y42" s="161">
        <f t="shared" si="174"/>
        <v>-0.36856584817633964</v>
      </c>
      <c r="Z42" s="161">
        <f t="shared" si="174"/>
        <v>3.5573532994953139E-2</v>
      </c>
      <c r="AA42" s="161">
        <f t="shared" si="174"/>
        <v>-1.1257733221448654</v>
      </c>
      <c r="AB42" s="161">
        <f t="shared" si="174"/>
        <v>-10.620957585266467</v>
      </c>
      <c r="AC42" s="161">
        <f t="shared" si="174"/>
        <v>-4.8302931111674829E-2</v>
      </c>
      <c r="AD42" s="161">
        <f t="shared" si="174"/>
        <v>-4.9553692768447566E-2</v>
      </c>
      <c r="AE42" s="161">
        <f t="shared" si="174"/>
        <v>0.13625540839526828</v>
      </c>
      <c r="AF42" s="161">
        <f t="shared" si="174"/>
        <v>0.1955134552498563</v>
      </c>
      <c r="AG42" s="161">
        <f t="shared" si="174"/>
        <v>0.2363667536989269</v>
      </c>
      <c r="AH42" s="161">
        <f t="shared" si="174"/>
        <v>0.20932698633816593</v>
      </c>
      <c r="AI42" s="161">
        <f t="shared" si="174"/>
        <v>0.7219920055741571</v>
      </c>
      <c r="AJ42" s="161">
        <f t="shared" si="174"/>
        <v>0.15484337388726832</v>
      </c>
      <c r="AK42" s="161">
        <f t="shared" si="174"/>
        <v>-0.20126815767721939</v>
      </c>
      <c r="AL42" s="161">
        <f t="shared" si="174"/>
        <v>2.0762572557908587E-2</v>
      </c>
      <c r="AM42" s="161">
        <f t="shared" si="174"/>
        <v>-0.32913182799331742</v>
      </c>
      <c r="AN42" s="161">
        <f t="shared" si="174"/>
        <v>-0.55300442613880163</v>
      </c>
      <c r="AO42" s="161">
        <f t="shared" si="174"/>
        <v>1.27406669255517</v>
      </c>
      <c r="AP42" s="161">
        <f t="shared" si="174"/>
        <v>0.25066377818649199</v>
      </c>
      <c r="AQ42" s="161">
        <f t="shared" si="174"/>
        <v>0.17594935571111159</v>
      </c>
      <c r="AR42" s="161">
        <f t="shared" si="174"/>
        <v>0.24511254928171922</v>
      </c>
      <c r="AS42" s="161">
        <f t="shared" si="174"/>
        <v>0.1214257682607347</v>
      </c>
      <c r="AT42" s="161">
        <f t="shared" si="174"/>
        <v>0.3029596054623529</v>
      </c>
      <c r="AU42" s="161">
        <f t="shared" si="174"/>
        <v>0.15876649039015689</v>
      </c>
      <c r="AV42" s="161">
        <f t="shared" si="174"/>
        <v>8.0665027869905037E-2</v>
      </c>
      <c r="AW42" s="161">
        <f t="shared" si="174"/>
        <v>1.1683709052189961E-2</v>
      </c>
      <c r="AX42" s="161">
        <f t="shared" si="174"/>
        <v>5.1534089224285484E-3</v>
      </c>
      <c r="AY42" s="161">
        <f t="shared" si="174"/>
        <v>-0.2429341465854844</v>
      </c>
      <c r="AZ42" s="161">
        <f t="shared" si="174"/>
        <v>0.2140002582806233</v>
      </c>
      <c r="BA42" s="161">
        <f t="shared" si="174"/>
        <v>0.17314660197169318</v>
      </c>
      <c r="BB42" s="161">
        <f t="shared" si="174"/>
        <v>-3.063194504005684E-2</v>
      </c>
      <c r="BC42" s="161">
        <f t="shared" si="174"/>
        <v>-5.2245059887306877E-2</v>
      </c>
      <c r="BD42" s="161">
        <f t="shared" si="174"/>
        <v>-4.1671978604086002E-2</v>
      </c>
      <c r="BE42" s="161">
        <f t="shared" si="174"/>
        <v>0.21309902024497895</v>
      </c>
      <c r="BF42" s="161">
        <f t="shared" si="174"/>
        <v>3.7308160554744729E-2</v>
      </c>
      <c r="BG42" s="161">
        <f t="shared" si="174"/>
        <v>0.1760359272966443</v>
      </c>
      <c r="BH42" s="161">
        <f t="shared" si="174"/>
        <v>0.12950258685472837</v>
      </c>
      <c r="BI42" s="161">
        <f t="shared" si="174"/>
        <v>6.5377479190763532E-2</v>
      </c>
      <c r="BJ42" s="161">
        <f t="shared" si="174"/>
        <v>0.38914745487093994</v>
      </c>
      <c r="BK42" s="161">
        <f t="shared" si="174"/>
        <v>7.9111505261795223E-3</v>
      </c>
      <c r="BL42" s="161">
        <f t="shared" si="174"/>
        <v>-5.476166672698457E-3</v>
      </c>
      <c r="BM42" s="161">
        <f t="shared" si="174"/>
        <v>5.3389865829044592E-2</v>
      </c>
      <c r="BN42" s="161">
        <f t="shared" si="174"/>
        <v>-0.19291911505028581</v>
      </c>
      <c r="BO42" s="161">
        <f t="shared" si="174"/>
        <v>4.9339783797014869E-2</v>
      </c>
      <c r="BP42" s="161">
        <f t="shared" si="174"/>
        <v>1.1778237891682419E-2</v>
      </c>
      <c r="BQ42" s="161">
        <f t="shared" ref="BQ42:DR42" si="175">BQ36/BP36-1</f>
        <v>0.49548529463018887</v>
      </c>
      <c r="BR42" s="161">
        <f t="shared" si="175"/>
        <v>-0.16379734255735778</v>
      </c>
      <c r="BS42" s="161">
        <f t="shared" si="175"/>
        <v>-0.10643931475117996</v>
      </c>
      <c r="BT42" s="161">
        <f t="shared" si="175"/>
        <v>-5.2799016562609435E-2</v>
      </c>
      <c r="BU42" s="161">
        <f t="shared" si="175"/>
        <v>-0.17252833239304854</v>
      </c>
      <c r="BV42" s="161">
        <f t="shared" si="175"/>
        <v>0.29042988777736389</v>
      </c>
      <c r="BW42" s="161">
        <f t="shared" si="175"/>
        <v>1.8954525425946889E-2</v>
      </c>
      <c r="BX42" s="161">
        <f t="shared" si="175"/>
        <v>3.4704504968137151E-2</v>
      </c>
      <c r="BY42" s="161">
        <f t="shared" si="175"/>
        <v>5.5532667260375312E-2</v>
      </c>
      <c r="BZ42" s="161">
        <f t="shared" si="175"/>
        <v>-1.5414840567555599E-2</v>
      </c>
      <c r="CA42" s="161">
        <f t="shared" si="175"/>
        <v>-0.11555894700622615</v>
      </c>
      <c r="CB42" s="161">
        <f t="shared" si="175"/>
        <v>-5.6863152997014499E-2</v>
      </c>
      <c r="CC42" s="161">
        <f t="shared" si="175"/>
        <v>0.24661769070199147</v>
      </c>
      <c r="CD42" s="161">
        <f t="shared" si="175"/>
        <v>-6.3400755308413603E-2</v>
      </c>
      <c r="CE42" s="161">
        <f t="shared" si="175"/>
        <v>0.19184679301599639</v>
      </c>
      <c r="CF42" s="161">
        <f t="shared" si="175"/>
        <v>7.010164021899179E-2</v>
      </c>
      <c r="CG42" s="161">
        <f t="shared" si="175"/>
        <v>-4.6058062325339932E-2</v>
      </c>
      <c r="CH42" s="161">
        <f t="shared" si="175"/>
        <v>0.28644724182411507</v>
      </c>
      <c r="CI42" s="161">
        <f t="shared" si="175"/>
        <v>-8.1454134744430085E-2</v>
      </c>
      <c r="CJ42" s="161">
        <f t="shared" si="175"/>
        <v>-2.4365787306576348E-2</v>
      </c>
      <c r="CK42" s="161">
        <f t="shared" si="175"/>
        <v>1.3809572000740511E-2</v>
      </c>
      <c r="CL42" s="161">
        <f t="shared" si="175"/>
        <v>7.4396619884445458E-2</v>
      </c>
      <c r="CM42" s="161">
        <f t="shared" si="175"/>
        <v>-0.14738877133885608</v>
      </c>
      <c r="CN42" s="161">
        <f t="shared" si="175"/>
        <v>8.80700035551083E-2</v>
      </c>
      <c r="CO42" s="161">
        <f t="shared" si="175"/>
        <v>0.16098697735839362</v>
      </c>
      <c r="CP42" s="161">
        <f t="shared" si="175"/>
        <v>-7.2313459571590299E-2</v>
      </c>
      <c r="CQ42" s="161">
        <f t="shared" si="175"/>
        <v>0.23204065785482997</v>
      </c>
      <c r="CR42" s="161">
        <f t="shared" si="175"/>
        <v>8.5822768269650407E-2</v>
      </c>
      <c r="CS42" s="161">
        <f t="shared" si="175"/>
        <v>-9.732414215110663E-2</v>
      </c>
      <c r="CT42" s="161">
        <f t="shared" si="175"/>
        <v>0.18078992575271657</v>
      </c>
      <c r="CU42" s="161">
        <f t="shared" si="175"/>
        <v>-0.1178112639071649</v>
      </c>
      <c r="CV42" s="161">
        <f t="shared" si="175"/>
        <v>-1.0267391932746617E-2</v>
      </c>
      <c r="CW42" s="161">
        <f t="shared" si="175"/>
        <v>-2.3387527007633357E-3</v>
      </c>
      <c r="CX42" s="161">
        <f t="shared" si="175"/>
        <v>6.0096346170395831E-2</v>
      </c>
      <c r="CY42" s="161">
        <f t="shared" si="175"/>
        <v>-9.4249351028678707E-2</v>
      </c>
      <c r="CZ42" s="161">
        <f t="shared" si="175"/>
        <v>-1.1172735272650502E-2</v>
      </c>
      <c r="DA42" s="161">
        <f t="shared" si="175"/>
        <v>0.14177508786570625</v>
      </c>
      <c r="DB42" s="161">
        <f t="shared" si="175"/>
        <v>-5.3589915910658648E-2</v>
      </c>
      <c r="DC42" s="161">
        <f t="shared" si="175"/>
        <v>0.21496947277608469</v>
      </c>
      <c r="DD42" s="161">
        <f t="shared" si="175"/>
        <v>4.6465672711541783E-2</v>
      </c>
      <c r="DE42" s="161">
        <f t="shared" si="175"/>
        <v>-0.10362794909654527</v>
      </c>
      <c r="DF42" s="161">
        <f t="shared" si="175"/>
        <v>0.13843043633068142</v>
      </c>
      <c r="DG42" s="161">
        <f t="shared" si="175"/>
        <v>-7.7348415296123685E-2</v>
      </c>
      <c r="DH42" s="161">
        <f t="shared" si="175"/>
        <v>-8.9363231760261064E-3</v>
      </c>
      <c r="DI42" s="161">
        <f t="shared" si="175"/>
        <v>-5.4858694080894832E-3</v>
      </c>
      <c r="DJ42" s="161">
        <f t="shared" si="175"/>
        <v>6.0086253388303756E-2</v>
      </c>
      <c r="DK42" s="161">
        <f t="shared" si="175"/>
        <v>-9.5484997651635095E-2</v>
      </c>
      <c r="DL42" s="161">
        <f t="shared" si="175"/>
        <v>-1.3562819934882731E-2</v>
      </c>
      <c r="DM42" s="161">
        <f t="shared" si="175"/>
        <v>0.14088662498016258</v>
      </c>
      <c r="DN42" s="161">
        <f t="shared" si="175"/>
        <v>-5.6880287584733846E-2</v>
      </c>
      <c r="DO42" s="161">
        <f t="shared" si="175"/>
        <v>0.21168075120834828</v>
      </c>
      <c r="DP42" s="161">
        <f t="shared" si="175"/>
        <v>4.3618681589085329E-2</v>
      </c>
      <c r="DQ42" s="161">
        <f t="shared" si="175"/>
        <v>-0.10586840732843339</v>
      </c>
      <c r="DR42" s="161">
        <f t="shared" si="175"/>
        <v>0.13034751712139947</v>
      </c>
      <c r="DS42" s="161">
        <f t="shared" ref="DS42" si="176">DS36/DR36-1</f>
        <v>-9.5907646038497885E-2</v>
      </c>
      <c r="DT42" s="161">
        <f t="shared" ref="DT42" si="177">DT36/DS36-1</f>
        <v>-9.2149287397300661E-3</v>
      </c>
      <c r="DU42" s="161">
        <f t="shared" ref="DU42" si="178">DU36/DT36-1</f>
        <v>-5.7698903133551749E-3</v>
      </c>
      <c r="DV42" s="161">
        <f t="shared" ref="DV42" si="179">DV36/DU36-1</f>
        <v>5.9054138739135231E-2</v>
      </c>
      <c r="DW42" s="161">
        <f t="shared" ref="DW42" si="180">DW36/DV36-1</f>
        <v>-9.5413561524197332E-2</v>
      </c>
      <c r="DX42" s="161">
        <f t="shared" ref="DX42" si="181">DX36/DW36-1</f>
        <v>-1.2574374917129205E-2</v>
      </c>
      <c r="DY42" s="161">
        <f t="shared" ref="DY42" si="182">DY36/DX36-1</f>
        <v>0.13781646958345029</v>
      </c>
      <c r="DZ42" s="161">
        <f t="shared" ref="DZ42" si="183">DZ36/DY36-1</f>
        <v>-5.631646883327146E-2</v>
      </c>
      <c r="EA42" s="161">
        <f t="shared" ref="EA42" si="184">EA36/DZ36-1</f>
        <v>0.21171577649400941</v>
      </c>
      <c r="EB42" s="161">
        <f t="shared" ref="EB42" si="185">EB36/EA36-1</f>
        <v>4.3996479520010068E-2</v>
      </c>
      <c r="EC42" s="161">
        <f t="shared" ref="EC42" si="186">EC36/EB36-1</f>
        <v>-0.10675530121143106</v>
      </c>
      <c r="ED42" s="161">
        <f t="shared" ref="ED42" si="187">ED36/EC36-1</f>
        <v>0.12934910310960657</v>
      </c>
      <c r="EE42" s="168"/>
      <c r="EF42" s="165"/>
      <c r="EG42" s="161">
        <f t="shared" ref="EG42" si="188">EG36/EF36-1</f>
        <v>-0.13533693766135446</v>
      </c>
      <c r="EH42" s="161">
        <f t="shared" ref="EH42" si="189">EH36/EG36-1</f>
        <v>0.3184689535472327</v>
      </c>
      <c r="EI42" s="161">
        <f t="shared" ref="EI42" si="190">EI36/EH36-1</f>
        <v>-0.2068150835311785</v>
      </c>
      <c r="EJ42" s="161">
        <f t="shared" ref="EJ42" si="191">EJ36/EI36-1</f>
        <v>0.17506956155230369</v>
      </c>
      <c r="EK42" s="161">
        <f t="shared" ref="EK42" si="192">EK36/EJ36-1</f>
        <v>0.42273534182334016</v>
      </c>
      <c r="EL42" s="161">
        <f t="shared" ref="EL42" si="193">EL36/EK36-1</f>
        <v>-0.23264835895494129</v>
      </c>
      <c r="EM42" s="161">
        <f t="shared" ref="EM42" si="194">EM36/EL36-1</f>
        <v>0.2447201989614971</v>
      </c>
      <c r="EN42" s="161">
        <f t="shared" ref="EN42" si="195">EN36/EM36-1</f>
        <v>5.0555754712697798E-2</v>
      </c>
      <c r="EO42" s="161">
        <f t="shared" ref="EO42" si="196">EO36/EN36-1</f>
        <v>-3.4141180401172644E-3</v>
      </c>
      <c r="EP42" s="161">
        <f t="shared" ref="EP42" si="197">EP36/EO36-1</f>
        <v>0.18951459640012991</v>
      </c>
      <c r="EQ42" s="161">
        <f t="shared" ref="EQ42" si="198">EQ36/EP36-1</f>
        <v>0.19977834345218271</v>
      </c>
      <c r="ER42" s="161">
        <f t="shared" ref="ER42" si="199">ER36/EQ36-1</f>
        <v>-5.6975628223128294E-2</v>
      </c>
      <c r="ES42" s="161">
        <f t="shared" ref="ES42" si="200">ES36/ER36-1</f>
        <v>-1.504179338013345E-2</v>
      </c>
      <c r="ET42" s="161">
        <f t="shared" ref="ET42" si="201">ET36/ES36-1</f>
        <v>0.13025419325842802</v>
      </c>
      <c r="EU42" s="161">
        <f t="shared" ref="EU42" si="202">EU36/ET36-1</f>
        <v>0.13355337703247527</v>
      </c>
      <c r="EV42" s="161">
        <f t="shared" ref="EV42" si="203">EV36/EU36-1</f>
        <v>-3.9150852466534491E-2</v>
      </c>
      <c r="EW42" s="161">
        <f t="shared" ref="EW42" si="204">EW36/EV36-1</f>
        <v>-1.8307249882202226E-2</v>
      </c>
      <c r="EX42" s="161">
        <f t="shared" ref="EX42" si="205">EX36/EW36-1</f>
        <v>0.1231846092266351</v>
      </c>
      <c r="EY42" s="161">
        <f t="shared" ref="EY42" si="206">EY36/EX36-1</f>
        <v>0.12262772989453752</v>
      </c>
      <c r="EZ42" s="161">
        <f t="shared" ref="EZ42" si="207">EZ36/EY36-1</f>
        <v>-6.3905111463300357E-2</v>
      </c>
      <c r="FA42" s="161">
        <f t="shared" ref="FA42" si="208">FA36/EZ36-1</f>
        <v>-1.9179829495493572E-2</v>
      </c>
      <c r="FB42" s="161">
        <f t="shared" ref="FB42" si="209">FB36/FA36-1</f>
        <v>0.12142281847488912</v>
      </c>
      <c r="FC42" s="161">
        <f t="shared" ref="FC42" si="210">FC36/FB36-1</f>
        <v>0.12219656801036205</v>
      </c>
      <c r="FE42" s="161"/>
      <c r="FF42" s="161">
        <f t="shared" ref="FF42" si="211">FF36/FE36-1</f>
        <v>0.32472334356617494</v>
      </c>
      <c r="FG42" s="161">
        <f t="shared" ref="FG42" si="212">FG36/FF36-1</f>
        <v>0.34879041126495669</v>
      </c>
      <c r="FH42" s="161">
        <f t="shared" ref="FH42" si="213">FH36/FG36-1</f>
        <v>0.27011670633047302</v>
      </c>
      <c r="FI42" s="161">
        <f t="shared" ref="FI42:FJ42" si="214">FI36/FH36-1</f>
        <v>0.20196027130234517</v>
      </c>
      <c r="FJ42" s="161">
        <f t="shared" si="214"/>
        <v>0.15682819022731564</v>
      </c>
    </row>
    <row r="43" spans="2:166" x14ac:dyDescent="0.2">
      <c r="B43" s="22" t="s">
        <v>17</v>
      </c>
      <c r="C43" s="10"/>
      <c r="D43" s="161">
        <f>D45/C45-1</f>
        <v>5.7860262008733621E-2</v>
      </c>
      <c r="E43" s="161">
        <f t="shared" ref="E43:BP43" si="215">E45/D45-1</f>
        <v>-0.15686274509803921</v>
      </c>
      <c r="F43" s="161">
        <f t="shared" si="215"/>
        <v>0.73684210526315796</v>
      </c>
      <c r="G43" s="161">
        <f t="shared" si="215"/>
        <v>-5.7082452431289621E-2</v>
      </c>
      <c r="H43" s="161">
        <f t="shared" si="215"/>
        <v>-0.12032884902840058</v>
      </c>
      <c r="I43" s="161">
        <f t="shared" si="215"/>
        <v>0.16057774001699232</v>
      </c>
      <c r="J43" s="161">
        <f t="shared" si="215"/>
        <v>0.23645680819912163</v>
      </c>
      <c r="K43" s="161">
        <f t="shared" si="215"/>
        <v>0.27767910005920671</v>
      </c>
      <c r="L43" s="161">
        <f t="shared" si="215"/>
        <v>3.938832252085267E-2</v>
      </c>
      <c r="M43" s="161">
        <f t="shared" si="215"/>
        <v>0.51894783771734287</v>
      </c>
      <c r="N43" s="161">
        <f t="shared" si="215"/>
        <v>0.18579395362489004</v>
      </c>
      <c r="O43" s="161">
        <f t="shared" si="215"/>
        <v>0.30891089108910896</v>
      </c>
      <c r="P43" s="161">
        <f t="shared" si="215"/>
        <v>7.3184568835098274E-2</v>
      </c>
      <c r="Q43" s="161">
        <f t="shared" si="215"/>
        <v>7.7533039647577073E-3</v>
      </c>
      <c r="R43" s="161">
        <f t="shared" si="215"/>
        <v>0.1265955586641021</v>
      </c>
      <c r="S43" s="161">
        <f t="shared" si="215"/>
        <v>-0.22101505509855657</v>
      </c>
      <c r="T43" s="161">
        <f t="shared" si="215"/>
        <v>2.8491731420601685E-2</v>
      </c>
      <c r="U43" s="161">
        <f t="shared" si="215"/>
        <v>-0.13889965129794657</v>
      </c>
      <c r="V43" s="161">
        <f t="shared" si="215"/>
        <v>-0.39145106861642298</v>
      </c>
      <c r="W43" s="161">
        <f t="shared" si="215"/>
        <v>1.0624768946395564</v>
      </c>
      <c r="X43" s="161">
        <f t="shared" si="215"/>
        <v>-8.3706757483419936E-2</v>
      </c>
      <c r="Y43" s="161">
        <f t="shared" si="215"/>
        <v>-0.44346635367762133</v>
      </c>
      <c r="Z43" s="161">
        <f t="shared" si="215"/>
        <v>-5.6590509666080813E-2</v>
      </c>
      <c r="AA43" s="161">
        <f t="shared" si="215"/>
        <v>-1.1043219076005961</v>
      </c>
      <c r="AB43" s="161">
        <f t="shared" si="215"/>
        <v>-12.728571428571428</v>
      </c>
      <c r="AC43" s="161">
        <f t="shared" si="215"/>
        <v>-0.15133982947624847</v>
      </c>
      <c r="AD43" s="161">
        <f t="shared" si="215"/>
        <v>-1.7581628991747422E-2</v>
      </c>
      <c r="AE43" s="161">
        <f t="shared" si="215"/>
        <v>0.21475529583637698</v>
      </c>
      <c r="AF43" s="161">
        <f t="shared" si="215"/>
        <v>0.29404690318701143</v>
      </c>
      <c r="AG43" s="161">
        <f t="shared" si="215"/>
        <v>0.17681226765799263</v>
      </c>
      <c r="AH43" s="161">
        <f t="shared" si="215"/>
        <v>0.37137216189536026</v>
      </c>
      <c r="AI43" s="161">
        <f t="shared" si="215"/>
        <v>0.5017276130146846</v>
      </c>
      <c r="AJ43" s="161">
        <f t="shared" si="215"/>
        <v>0.21148499664461706</v>
      </c>
      <c r="AK43" s="161">
        <f t="shared" si="215"/>
        <v>-0.21484529556065524</v>
      </c>
      <c r="AL43" s="161">
        <f t="shared" si="215"/>
        <v>-1.8645434388228188E-2</v>
      </c>
      <c r="AM43" s="161">
        <f t="shared" si="215"/>
        <v>-0.26866591352572666</v>
      </c>
      <c r="AN43" s="161">
        <f t="shared" si="215"/>
        <v>-0.44165145344754952</v>
      </c>
      <c r="AO43" s="161">
        <f t="shared" si="215"/>
        <v>1.0802313883299797</v>
      </c>
      <c r="AP43" s="161">
        <f t="shared" si="215"/>
        <v>0.22814653608995283</v>
      </c>
      <c r="AQ43" s="161">
        <f t="shared" si="215"/>
        <v>0.11990549320732424</v>
      </c>
      <c r="AR43" s="161">
        <f t="shared" si="215"/>
        <v>0.2186181434599157</v>
      </c>
      <c r="AS43" s="161">
        <f t="shared" si="215"/>
        <v>0.10084397316598137</v>
      </c>
      <c r="AT43" s="161">
        <f t="shared" si="215"/>
        <v>0.16755127449053142</v>
      </c>
      <c r="AU43" s="161">
        <f t="shared" si="215"/>
        <v>0.13531260523066568</v>
      </c>
      <c r="AV43" s="161">
        <f t="shared" si="215"/>
        <v>6.7526817934648209E-2</v>
      </c>
      <c r="AW43" s="161">
        <f t="shared" si="215"/>
        <v>-5.5244269506830257E-2</v>
      </c>
      <c r="AX43" s="161">
        <f t="shared" si="215"/>
        <v>4.1368493284972052E-2</v>
      </c>
      <c r="AY43" s="161">
        <f t="shared" si="215"/>
        <v>-0.26174338699049238</v>
      </c>
      <c r="AZ43" s="161">
        <f t="shared" si="215"/>
        <v>0.11169907554988834</v>
      </c>
      <c r="BA43" s="161">
        <f t="shared" si="215"/>
        <v>-7.8052417273613561E-2</v>
      </c>
      <c r="BB43" s="161">
        <f t="shared" si="215"/>
        <v>0.103632744463797</v>
      </c>
      <c r="BC43" s="161">
        <f t="shared" si="215"/>
        <v>-7.0679742982752813E-2</v>
      </c>
      <c r="BD43" s="161">
        <f t="shared" si="215"/>
        <v>-7.0778748180494899E-2</v>
      </c>
      <c r="BE43" s="161">
        <f t="shared" si="215"/>
        <v>-7.8323869199138363E-3</v>
      </c>
      <c r="BF43" s="161">
        <f t="shared" si="215"/>
        <v>-3.4668771791329545E-2</v>
      </c>
      <c r="BG43" s="161">
        <f t="shared" si="215"/>
        <v>0.18924628594793513</v>
      </c>
      <c r="BH43" s="161">
        <f t="shared" si="215"/>
        <v>4.7848260844650659E-2</v>
      </c>
      <c r="BI43" s="161">
        <f t="shared" si="215"/>
        <v>2.1327791753253944E-2</v>
      </c>
      <c r="BJ43" s="161">
        <f t="shared" si="215"/>
        <v>0.25401584921824805</v>
      </c>
      <c r="BK43" s="161">
        <f t="shared" si="215"/>
        <v>-0.11438941076003417</v>
      </c>
      <c r="BL43" s="161">
        <f t="shared" si="215"/>
        <v>8.0998987512657106E-3</v>
      </c>
      <c r="BM43" s="161">
        <f t="shared" si="215"/>
        <v>0.11129178822516628</v>
      </c>
      <c r="BN43" s="161">
        <f t="shared" si="215"/>
        <v>-0.20532793940437255</v>
      </c>
      <c r="BO43" s="161">
        <f t="shared" si="215"/>
        <v>8.2372055239642528E-2</v>
      </c>
      <c r="BP43" s="161">
        <f t="shared" si="215"/>
        <v>-2.3666566596617589E-2</v>
      </c>
      <c r="BQ43" s="161">
        <f t="shared" ref="BQ43:DR43" si="216">BQ45/BP45-1</f>
        <v>0.25075590631886424</v>
      </c>
      <c r="BR43" s="161">
        <f t="shared" si="216"/>
        <v>-9.5017618618372546E-2</v>
      </c>
      <c r="BS43" s="161">
        <f t="shared" si="216"/>
        <v>-0.10648797935437138</v>
      </c>
      <c r="BT43" s="161">
        <f t="shared" si="216"/>
        <v>-3.6382062325817088E-2</v>
      </c>
      <c r="BU43" s="161">
        <f t="shared" si="216"/>
        <v>-0.21628017037387604</v>
      </c>
      <c r="BV43" s="161">
        <f t="shared" si="216"/>
        <v>0.36694847020933974</v>
      </c>
      <c r="BW43" s="161">
        <f t="shared" si="216"/>
        <v>3.3377509448779819E-3</v>
      </c>
      <c r="BX43" s="161">
        <f t="shared" si="216"/>
        <v>2.6417494251749218E-3</v>
      </c>
      <c r="BY43" s="161">
        <f t="shared" si="216"/>
        <v>7.0602585996584644E-2</v>
      </c>
      <c r="BZ43" s="161">
        <f t="shared" si="216"/>
        <v>-2.1602406343997793E-2</v>
      </c>
      <c r="CA43" s="161">
        <f t="shared" si="216"/>
        <v>-0.13629588224333888</v>
      </c>
      <c r="CB43" s="161">
        <f t="shared" si="216"/>
        <v>-7.0165030741020429E-2</v>
      </c>
      <c r="CC43" s="161">
        <f t="shared" si="216"/>
        <v>0.12905283916246146</v>
      </c>
      <c r="CD43" s="161">
        <f t="shared" si="216"/>
        <v>-6.6474879276687604E-2</v>
      </c>
      <c r="CE43" s="161">
        <f t="shared" si="216"/>
        <v>0.20795729694034781</v>
      </c>
      <c r="CF43" s="161">
        <f t="shared" si="216"/>
        <v>5.8949478383672815E-2</v>
      </c>
      <c r="CG43" s="161">
        <f t="shared" si="216"/>
        <v>-3.6523983652398395E-2</v>
      </c>
      <c r="CH43" s="161">
        <f t="shared" si="216"/>
        <v>0.27781746740489366</v>
      </c>
      <c r="CI43" s="161">
        <f t="shared" si="216"/>
        <v>-0.10454958417779026</v>
      </c>
      <c r="CJ43" s="161">
        <f t="shared" si="216"/>
        <v>9.989854054475833E-3</v>
      </c>
      <c r="CK43" s="161">
        <f t="shared" si="216"/>
        <v>1.515670018876869E-2</v>
      </c>
      <c r="CL43" s="161">
        <f t="shared" si="216"/>
        <v>7.7859939103958276E-2</v>
      </c>
      <c r="CM43" s="161">
        <f t="shared" si="216"/>
        <v>-0.10600282485875712</v>
      </c>
      <c r="CN43" s="161">
        <f t="shared" si="216"/>
        <v>8.6262737972983672E-2</v>
      </c>
      <c r="CO43" s="161">
        <f t="shared" si="216"/>
        <v>4.5414878917896973E-2</v>
      </c>
      <c r="CP43" s="161">
        <f t="shared" si="216"/>
        <v>-4.4311502208618792E-2</v>
      </c>
      <c r="CQ43" s="161">
        <f t="shared" si="216"/>
        <v>0.25894384394220626</v>
      </c>
      <c r="CR43" s="161">
        <f t="shared" si="216"/>
        <v>7.9873959296947294E-2</v>
      </c>
      <c r="CS43" s="161">
        <f t="shared" si="216"/>
        <v>-9.9638602596707315E-2</v>
      </c>
      <c r="CT43" s="161">
        <f t="shared" si="216"/>
        <v>0.14063568519014069</v>
      </c>
      <c r="CU43" s="161">
        <f t="shared" si="216"/>
        <v>-0.11356044992803827</v>
      </c>
      <c r="CV43" s="161">
        <f t="shared" si="216"/>
        <v>-8.6820065913560951E-3</v>
      </c>
      <c r="CW43" s="161">
        <f t="shared" si="216"/>
        <v>-2.1842090682672177E-3</v>
      </c>
      <c r="CX43" s="161">
        <f t="shared" si="216"/>
        <v>5.6512622689061764E-2</v>
      </c>
      <c r="CY43" s="161">
        <f t="shared" si="216"/>
        <v>-9.1331857631622881E-2</v>
      </c>
      <c r="CZ43" s="161">
        <f t="shared" si="216"/>
        <v>-3.0165026546122853E-3</v>
      </c>
      <c r="DA43" s="161">
        <f t="shared" si="216"/>
        <v>0.12716174200257435</v>
      </c>
      <c r="DB43" s="161">
        <f t="shared" si="216"/>
        <v>-4.9384014263620712E-2</v>
      </c>
      <c r="DC43" s="161">
        <f t="shared" si="216"/>
        <v>0.21550710969480757</v>
      </c>
      <c r="DD43" s="161">
        <f t="shared" si="216"/>
        <v>4.8808964695560508E-2</v>
      </c>
      <c r="DE43" s="161">
        <f t="shared" si="216"/>
        <v>-0.10655537017915995</v>
      </c>
      <c r="DF43" s="161">
        <f t="shared" si="216"/>
        <v>0.13377323778294814</v>
      </c>
      <c r="DG43" s="161">
        <f t="shared" si="216"/>
        <v>-0.10434393703646117</v>
      </c>
      <c r="DH43" s="161">
        <f t="shared" si="216"/>
        <v>-7.4619070724103453E-3</v>
      </c>
      <c r="DI43" s="161">
        <f t="shared" si="216"/>
        <v>-5.0969358951418187E-3</v>
      </c>
      <c r="DJ43" s="161">
        <f t="shared" si="216"/>
        <v>5.6527089200111069E-2</v>
      </c>
      <c r="DK43" s="161">
        <f t="shared" si="216"/>
        <v>-9.2504545592719811E-2</v>
      </c>
      <c r="DL43" s="161">
        <f t="shared" si="216"/>
        <v>-5.2595178501557704E-3</v>
      </c>
      <c r="DM43" s="161">
        <f t="shared" si="216"/>
        <v>0.12638725917410798</v>
      </c>
      <c r="DN43" s="161">
        <f t="shared" si="216"/>
        <v>-5.2451063686326682E-2</v>
      </c>
      <c r="DO43" s="161">
        <f t="shared" si="216"/>
        <v>0.21250167231381645</v>
      </c>
      <c r="DP43" s="161">
        <f t="shared" si="216"/>
        <v>4.6197418076195929E-2</v>
      </c>
      <c r="DQ43" s="161">
        <f t="shared" si="216"/>
        <v>-0.10865504062443387</v>
      </c>
      <c r="DR43" s="161">
        <f t="shared" si="216"/>
        <v>0.1262843925014947</v>
      </c>
      <c r="DS43" s="161">
        <f t="shared" ref="DS43" si="217">DS45/DR45-1</f>
        <v>-0.1046216820356265</v>
      </c>
      <c r="DT43" s="161">
        <f t="shared" ref="DT43" si="218">DT45/DS45-1</f>
        <v>-7.9219356807819219E-3</v>
      </c>
      <c r="DU43" s="161">
        <f t="shared" ref="DU43" si="219">DU45/DT45-1</f>
        <v>-5.4137018030747663E-3</v>
      </c>
      <c r="DV43" s="161">
        <f t="shared" ref="DV43" si="220">DV45/DU45-1</f>
        <v>5.6040147222369274E-2</v>
      </c>
      <c r="DW43" s="161">
        <f t="shared" ref="DW43" si="221">DW45/DV45-1</f>
        <v>-9.2827482073653211E-2</v>
      </c>
      <c r="DX43" s="161">
        <f t="shared" ref="DX43" si="222">DX45/DW45-1</f>
        <v>-5.4597702450720487E-3</v>
      </c>
      <c r="DY43" s="161">
        <f t="shared" ref="DY43" si="223">DY45/DX45-1</f>
        <v>0.12548328059365654</v>
      </c>
      <c r="DZ43" s="161">
        <f t="shared" ref="DZ43" si="224">DZ45/DY45-1</f>
        <v>-5.2510757217921422E-2</v>
      </c>
      <c r="EA43" s="161">
        <f t="shared" ref="EA43" si="225">EA45/DZ45-1</f>
        <v>0.21239063399147073</v>
      </c>
      <c r="EB43" s="161">
        <f t="shared" ref="EB43" si="226">EB45/EA45-1</f>
        <v>4.6197087124585368E-2</v>
      </c>
      <c r="EC43" s="161">
        <f t="shared" ref="EC43" si="227">EC45/EB45-1</f>
        <v>-0.10909135408979842</v>
      </c>
      <c r="ED43" s="161">
        <f t="shared" ref="ED43" si="228">ED45/EC45-1</f>
        <v>0.12588037198034829</v>
      </c>
      <c r="EE43" s="168"/>
      <c r="EF43" s="165"/>
      <c r="EG43" s="161">
        <f t="shared" ref="EG43" si="229">EG45/EF45-1</f>
        <v>-0.10667940695989886</v>
      </c>
      <c r="EH43" s="161">
        <f t="shared" ref="EH43" si="230">EH45/EG45-1</f>
        <v>0.14257125112138569</v>
      </c>
      <c r="EI43" s="161">
        <f t="shared" ref="EI43" si="231">EI45/EH45-1</f>
        <v>-0.18019568762456972</v>
      </c>
      <c r="EJ43" s="161">
        <f t="shared" ref="EJ43" si="232">EJ45/EI45-1</f>
        <v>0.15810218440343315</v>
      </c>
      <c r="EK43" s="161">
        <f t="shared" ref="EK43" si="233">EK45/EJ45-1</f>
        <v>0.29043544642005159</v>
      </c>
      <c r="EL43" s="161">
        <f t="shared" ref="EL43" si="234">EL45/EK45-1</f>
        <v>-0.26560266206556571</v>
      </c>
      <c r="EM43" s="161">
        <f t="shared" ref="EM43" si="235">EM45/EL45-1</f>
        <v>0.24618637668025989</v>
      </c>
      <c r="EN43" s="161">
        <f t="shared" ref="EN43" si="236">EN45/EM45-1</f>
        <v>4.7445908432455441E-2</v>
      </c>
      <c r="EO43" s="161">
        <f t="shared" ref="EO43" si="237">EO45/EN45-1</f>
        <v>4.3168110256466719E-2</v>
      </c>
      <c r="EP43" s="161">
        <f t="shared" ref="EP43" si="238">EP45/EO45-1</f>
        <v>0.1192999753512447</v>
      </c>
      <c r="EQ43" s="161">
        <f t="shared" ref="EQ43" si="239">EQ45/EP45-1</f>
        <v>0.20404096014093809</v>
      </c>
      <c r="ER43" s="161">
        <f t="shared" ref="ER43" si="240">ER45/EQ45-1</f>
        <v>-7.3119404340839966E-2</v>
      </c>
      <c r="ES43" s="161">
        <f t="shared" ref="ES43" si="241">ES45/ER45-1</f>
        <v>-1.310909894276624E-2</v>
      </c>
      <c r="ET43" s="161">
        <f t="shared" ref="ET43" si="242">ET45/ES45-1</f>
        <v>0.12688214128987352</v>
      </c>
      <c r="EU43" s="161">
        <f t="shared" ref="EU43" si="243">EU45/ET45-1</f>
        <v>0.13396769656407259</v>
      </c>
      <c r="EV43" s="161">
        <f t="shared" ref="EV43" si="244">EV45/EU45-1</f>
        <v>-6.9755135923439515E-2</v>
      </c>
      <c r="EW43" s="161">
        <f t="shared" ref="EW43" si="245">EW45/EV45-1</f>
        <v>-1.6147927213425395E-2</v>
      </c>
      <c r="EX43" s="161">
        <f t="shared" ref="EX43" si="246">EX45/EW45-1</f>
        <v>0.12038312450651789</v>
      </c>
      <c r="EY43" s="161">
        <f t="shared" ref="EY43" si="247">EY45/EX45-1</f>
        <v>0.12387901658447409</v>
      </c>
      <c r="EZ43" s="161">
        <f t="shared" ref="EZ43" si="248">EZ45/EY45-1</f>
        <v>-7.5188642407064354E-2</v>
      </c>
      <c r="FA43" s="161">
        <f t="shared" ref="FA43" si="249">FA45/EZ45-1</f>
        <v>-1.7252612095855158E-2</v>
      </c>
      <c r="FB43" s="161">
        <f t="shared" ref="FB43" si="250">FB45/FA45-1</f>
        <v>0.11910343940646939</v>
      </c>
      <c r="FC43" s="161">
        <f t="shared" ref="FC43" si="251">FC45/FB45-1</f>
        <v>0.12329124949363801</v>
      </c>
      <c r="FE43" s="161"/>
      <c r="FF43" s="161">
        <f t="shared" ref="FF43" si="252">FF45/FE45-1</f>
        <v>0.14173364232532903</v>
      </c>
      <c r="FG43" s="161">
        <f t="shared" ref="FG43" si="253">FG45/FF45-1</f>
        <v>0.29232538602882574</v>
      </c>
      <c r="FH43" s="161">
        <f t="shared" ref="FH43" si="254">FH45/FG45-1</f>
        <v>0.23065247635356001</v>
      </c>
      <c r="FI43" s="161">
        <f t="shared" ref="FI43:FJ43" si="255">FI45/FH45-1</f>
        <v>0.16368136622995388</v>
      </c>
      <c r="FJ43" s="161">
        <f t="shared" si="255"/>
        <v>0.14382740586944065</v>
      </c>
    </row>
    <row r="44" spans="2:166" x14ac:dyDescent="0.2">
      <c r="B44" s="22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68"/>
      <c r="EF44" s="165"/>
      <c r="EG44" s="165"/>
      <c r="EH44" s="165"/>
      <c r="EI44" s="165"/>
      <c r="EJ44" s="165"/>
      <c r="EK44" s="165"/>
      <c r="EL44" s="165"/>
      <c r="EM44" s="165"/>
      <c r="EN44" s="165"/>
      <c r="EO44" s="165"/>
      <c r="EP44" s="165"/>
      <c r="EQ44" s="165"/>
      <c r="ER44" s="165"/>
      <c r="ES44" s="165"/>
      <c r="ET44" s="165"/>
      <c r="EU44" s="165"/>
      <c r="EV44" s="165"/>
      <c r="EW44" s="165"/>
      <c r="EX44" s="165"/>
      <c r="EY44" s="165"/>
      <c r="EZ44" s="165">
        <f t="shared" si="83"/>
        <v>0</v>
      </c>
      <c r="FA44" s="165">
        <f t="shared" si="84"/>
        <v>0</v>
      </c>
      <c r="FB44" s="165">
        <f t="shared" si="85"/>
        <v>0</v>
      </c>
      <c r="FC44" s="165">
        <f t="shared" si="86"/>
        <v>0</v>
      </c>
      <c r="FE44" s="165"/>
      <c r="FF44" s="165"/>
      <c r="FG44" s="165"/>
      <c r="FH44" s="165"/>
      <c r="FI44" s="165"/>
      <c r="FJ44" s="165"/>
    </row>
    <row r="45" spans="2:166" x14ac:dyDescent="0.2">
      <c r="B45" s="22" t="s">
        <v>230</v>
      </c>
      <c r="C45" s="169">
        <f>SUM(C46:C48)</f>
        <v>916</v>
      </c>
      <c r="D45" s="169">
        <f t="shared" ref="D45:BO45" si="256">SUM(D46:D48)</f>
        <v>969</v>
      </c>
      <c r="E45" s="169">
        <f t="shared" si="256"/>
        <v>817</v>
      </c>
      <c r="F45" s="169">
        <f t="shared" si="256"/>
        <v>1419</v>
      </c>
      <c r="G45" s="169">
        <f t="shared" si="256"/>
        <v>1338</v>
      </c>
      <c r="H45" s="169">
        <f t="shared" si="256"/>
        <v>1177</v>
      </c>
      <c r="I45" s="169">
        <f t="shared" si="256"/>
        <v>1366</v>
      </c>
      <c r="J45" s="169">
        <f t="shared" si="256"/>
        <v>1689</v>
      </c>
      <c r="K45" s="169">
        <f t="shared" si="256"/>
        <v>2158</v>
      </c>
      <c r="L45" s="169">
        <f t="shared" si="256"/>
        <v>2243</v>
      </c>
      <c r="M45" s="169">
        <f t="shared" si="256"/>
        <v>3407</v>
      </c>
      <c r="N45" s="169">
        <f t="shared" si="256"/>
        <v>4040</v>
      </c>
      <c r="O45" s="169">
        <f t="shared" si="256"/>
        <v>5288</v>
      </c>
      <c r="P45" s="169">
        <f t="shared" si="256"/>
        <v>5675</v>
      </c>
      <c r="Q45" s="169">
        <f t="shared" si="256"/>
        <v>5719</v>
      </c>
      <c r="R45" s="169">
        <f t="shared" si="256"/>
        <v>6443</v>
      </c>
      <c r="S45" s="169">
        <f t="shared" si="256"/>
        <v>5019</v>
      </c>
      <c r="T45" s="169">
        <f t="shared" si="256"/>
        <v>5162</v>
      </c>
      <c r="U45" s="169">
        <f t="shared" si="256"/>
        <v>4445</v>
      </c>
      <c r="V45" s="169">
        <f t="shared" si="256"/>
        <v>2705</v>
      </c>
      <c r="W45" s="169">
        <f t="shared" si="256"/>
        <v>5579</v>
      </c>
      <c r="X45" s="169">
        <f t="shared" si="256"/>
        <v>5112</v>
      </c>
      <c r="Y45" s="169">
        <f t="shared" si="256"/>
        <v>2845</v>
      </c>
      <c r="Z45" s="169">
        <f t="shared" si="256"/>
        <v>2684</v>
      </c>
      <c r="AA45" s="169">
        <f t="shared" si="256"/>
        <v>-280</v>
      </c>
      <c r="AB45" s="169">
        <f t="shared" si="256"/>
        <v>3284</v>
      </c>
      <c r="AC45" s="169">
        <f t="shared" si="256"/>
        <v>2787</v>
      </c>
      <c r="AD45" s="169">
        <f t="shared" si="256"/>
        <v>2738</v>
      </c>
      <c r="AE45" s="169">
        <f t="shared" si="256"/>
        <v>3326</v>
      </c>
      <c r="AF45" s="169">
        <f t="shared" si="256"/>
        <v>4304</v>
      </c>
      <c r="AG45" s="169">
        <f t="shared" si="256"/>
        <v>5065</v>
      </c>
      <c r="AH45" s="169">
        <f t="shared" si="256"/>
        <v>6946</v>
      </c>
      <c r="AI45" s="169">
        <f t="shared" si="256"/>
        <v>10431</v>
      </c>
      <c r="AJ45" s="169">
        <f t="shared" si="256"/>
        <v>12637</v>
      </c>
      <c r="AK45" s="169">
        <f t="shared" si="256"/>
        <v>9922</v>
      </c>
      <c r="AL45" s="169">
        <f t="shared" si="256"/>
        <v>9737</v>
      </c>
      <c r="AM45" s="169">
        <f t="shared" si="256"/>
        <v>7121</v>
      </c>
      <c r="AN45" s="169">
        <f t="shared" si="256"/>
        <v>3976</v>
      </c>
      <c r="AO45" s="169">
        <f t="shared" si="256"/>
        <v>8271</v>
      </c>
      <c r="AP45" s="169">
        <f t="shared" si="256"/>
        <v>10158</v>
      </c>
      <c r="AQ45" s="169">
        <f t="shared" si="256"/>
        <v>11376</v>
      </c>
      <c r="AR45" s="169">
        <f t="shared" si="256"/>
        <v>13863</v>
      </c>
      <c r="AS45" s="169">
        <f t="shared" si="256"/>
        <v>15261</v>
      </c>
      <c r="AT45" s="169">
        <f t="shared" si="256"/>
        <v>17818</v>
      </c>
      <c r="AU45" s="169">
        <f t="shared" si="256"/>
        <v>20229</v>
      </c>
      <c r="AV45" s="169">
        <f t="shared" si="256"/>
        <v>21595</v>
      </c>
      <c r="AW45" s="169">
        <f t="shared" si="256"/>
        <v>20402</v>
      </c>
      <c r="AX45" s="169">
        <f t="shared" si="256"/>
        <v>21246</v>
      </c>
      <c r="AY45" s="169">
        <f t="shared" si="256"/>
        <v>15685</v>
      </c>
      <c r="AZ45" s="169">
        <f t="shared" si="256"/>
        <v>17437</v>
      </c>
      <c r="BA45" s="169">
        <f t="shared" si="256"/>
        <v>16076</v>
      </c>
      <c r="BB45" s="169">
        <f t="shared" si="256"/>
        <v>17742</v>
      </c>
      <c r="BC45" s="169">
        <f t="shared" si="256"/>
        <v>16488</v>
      </c>
      <c r="BD45" s="169">
        <f t="shared" si="256"/>
        <v>15321</v>
      </c>
      <c r="BE45" s="169">
        <f t="shared" si="256"/>
        <v>15201</v>
      </c>
      <c r="BF45" s="169">
        <f t="shared" si="256"/>
        <v>14674</v>
      </c>
      <c r="BG45" s="169">
        <f t="shared" si="256"/>
        <v>17451</v>
      </c>
      <c r="BH45" s="169">
        <f t="shared" si="256"/>
        <v>18286</v>
      </c>
      <c r="BI45" s="169">
        <f t="shared" si="256"/>
        <v>18676</v>
      </c>
      <c r="BJ45" s="169">
        <f t="shared" si="256"/>
        <v>23420</v>
      </c>
      <c r="BK45" s="169">
        <f t="shared" si="256"/>
        <v>20741</v>
      </c>
      <c r="BL45" s="169">
        <f t="shared" si="256"/>
        <v>20909</v>
      </c>
      <c r="BM45" s="169">
        <f t="shared" si="256"/>
        <v>23236</v>
      </c>
      <c r="BN45" s="169">
        <f t="shared" si="256"/>
        <v>18465</v>
      </c>
      <c r="BO45" s="169">
        <f t="shared" si="256"/>
        <v>19986</v>
      </c>
      <c r="BP45" s="169">
        <f t="shared" ref="BP45:DR45" si="257">SUM(BP46:BP48)</f>
        <v>19513</v>
      </c>
      <c r="BQ45" s="169">
        <f t="shared" si="257"/>
        <v>24406</v>
      </c>
      <c r="BR45" s="169">
        <f t="shared" si="257"/>
        <v>22087</v>
      </c>
      <c r="BS45" s="169">
        <f t="shared" si="257"/>
        <v>19735</v>
      </c>
      <c r="BT45" s="169">
        <f t="shared" si="257"/>
        <v>19017</v>
      </c>
      <c r="BU45" s="169">
        <f t="shared" si="257"/>
        <v>14904</v>
      </c>
      <c r="BV45" s="169">
        <f t="shared" si="257"/>
        <v>20373</v>
      </c>
      <c r="BW45" s="169">
        <f t="shared" si="257"/>
        <v>20441</v>
      </c>
      <c r="BX45" s="169">
        <f t="shared" si="257"/>
        <v>20495</v>
      </c>
      <c r="BY45" s="169">
        <f t="shared" si="257"/>
        <v>21942</v>
      </c>
      <c r="BZ45" s="169">
        <f t="shared" si="257"/>
        <v>21468</v>
      </c>
      <c r="CA45" s="169">
        <f t="shared" si="257"/>
        <v>18542</v>
      </c>
      <c r="CB45" s="169">
        <f t="shared" si="257"/>
        <v>17241</v>
      </c>
      <c r="CC45" s="169">
        <f t="shared" si="257"/>
        <v>19466</v>
      </c>
      <c r="CD45" s="169">
        <f t="shared" si="257"/>
        <v>18172</v>
      </c>
      <c r="CE45" s="169">
        <f t="shared" si="257"/>
        <v>21951</v>
      </c>
      <c r="CF45" s="169">
        <f t="shared" si="257"/>
        <v>23245</v>
      </c>
      <c r="CG45" s="169">
        <f t="shared" si="257"/>
        <v>22396</v>
      </c>
      <c r="CH45" s="169">
        <f t="shared" si="257"/>
        <v>28618</v>
      </c>
      <c r="CI45" s="169">
        <f t="shared" si="257"/>
        <v>25626</v>
      </c>
      <c r="CJ45" s="169">
        <f t="shared" si="257"/>
        <v>25882</v>
      </c>
      <c r="CK45" s="169">
        <f t="shared" si="257"/>
        <v>26274.285714285714</v>
      </c>
      <c r="CL45" s="169">
        <f t="shared" si="257"/>
        <v>28320</v>
      </c>
      <c r="CM45" s="169">
        <f t="shared" si="257"/>
        <v>25318</v>
      </c>
      <c r="CN45" s="169">
        <f t="shared" si="257"/>
        <v>27502</v>
      </c>
      <c r="CO45" s="169">
        <f t="shared" si="257"/>
        <v>28751</v>
      </c>
      <c r="CP45" s="169">
        <f t="shared" si="257"/>
        <v>27477</v>
      </c>
      <c r="CQ45" s="169">
        <f t="shared" si="257"/>
        <v>34592</v>
      </c>
      <c r="CR45" s="169">
        <f t="shared" si="257"/>
        <v>37355</v>
      </c>
      <c r="CS45" s="169">
        <f t="shared" si="257"/>
        <v>33633</v>
      </c>
      <c r="CT45" s="169">
        <f t="shared" si="257"/>
        <v>38363</v>
      </c>
      <c r="CU45" s="169">
        <f t="shared" si="257"/>
        <v>34006.480459410668</v>
      </c>
      <c r="CV45" s="169">
        <f t="shared" si="257"/>
        <v>33711.235971913244</v>
      </c>
      <c r="CW45" s="169">
        <f t="shared" si="257"/>
        <v>33637.603584600896</v>
      </c>
      <c r="CX45" s="169">
        <f t="shared" si="257"/>
        <v>35538.552784141677</v>
      </c>
      <c r="CY45" s="169">
        <f t="shared" si="257"/>
        <v>32292.750740826534</v>
      </c>
      <c r="CZ45" s="169">
        <f t="shared" si="257"/>
        <v>32195.339572492099</v>
      </c>
      <c r="DA45" s="169">
        <f t="shared" si="257"/>
        <v>36289.355036894609</v>
      </c>
      <c r="DB45" s="169">
        <f t="shared" si="257"/>
        <v>34497.241010135011</v>
      </c>
      <c r="DC45" s="169">
        <f t="shared" si="257"/>
        <v>41931.641712674391</v>
      </c>
      <c r="DD45" s="169">
        <f t="shared" si="257"/>
        <v>43978.281732655203</v>
      </c>
      <c r="DE45" s="169">
        <f t="shared" si="257"/>
        <v>39292.159642788742</v>
      </c>
      <c r="DF45" s="169">
        <f t="shared" si="257"/>
        <v>44548.399057689079</v>
      </c>
      <c r="DG45" s="169">
        <f t="shared" si="257"/>
        <v>39900.043711338425</v>
      </c>
      <c r="DH45" s="169">
        <f t="shared" si="257"/>
        <v>39602.313292979306</v>
      </c>
      <c r="DI45" s="169">
        <f t="shared" si="257"/>
        <v>39400.462840825669</v>
      </c>
      <c r="DJ45" s="169">
        <f t="shared" si="257"/>
        <v>41627.656318354682</v>
      </c>
      <c r="DK45" s="169">
        <f t="shared" si="257"/>
        <v>37776.90888653537</v>
      </c>
      <c r="DL45" s="169">
        <f t="shared" si="257"/>
        <v>37578.220559922927</v>
      </c>
      <c r="DM45" s="169">
        <f t="shared" si="257"/>
        <v>42327.6288611317</v>
      </c>
      <c r="DN45" s="169">
        <f t="shared" si="257"/>
        <v>40107.49970404528</v>
      </c>
      <c r="DO45" s="169">
        <f t="shared" si="257"/>
        <v>48630.410463480803</v>
      </c>
      <c r="DP45" s="169">
        <f t="shared" si="257"/>
        <v>50877.009866879242</v>
      </c>
      <c r="DQ45" s="169">
        <f t="shared" si="257"/>
        <v>45348.966292943755</v>
      </c>
      <c r="DR45" s="169">
        <f t="shared" si="257"/>
        <v>51075.832951818913</v>
      </c>
      <c r="DS45" s="169">
        <f t="shared" ref="DS45:ED45" si="258">SUM(DS46:DS48)</f>
        <v>45732.193397028939</v>
      </c>
      <c r="DT45" s="169">
        <f t="shared" si="258"/>
        <v>45369.905902396597</v>
      </c>
      <c r="DU45" s="169">
        <f t="shared" si="258"/>
        <v>45124.286761007461</v>
      </c>
      <c r="DV45" s="169">
        <f t="shared" si="258"/>
        <v>47653.058434398728</v>
      </c>
      <c r="DW45" s="169">
        <f t="shared" si="258"/>
        <v>43229.545006824832</v>
      </c>
      <c r="DX45" s="169">
        <f t="shared" si="258"/>
        <v>42993.521623288565</v>
      </c>
      <c r="DY45" s="169">
        <f t="shared" si="258"/>
        <v>48388.489760853125</v>
      </c>
      <c r="DZ45" s="169">
        <f t="shared" si="258"/>
        <v>45847.573522879087</v>
      </c>
      <c r="EA45" s="169">
        <f t="shared" si="258"/>
        <v>55585.168730373945</v>
      </c>
      <c r="EB45" s="169">
        <f t="shared" si="258"/>
        <v>58153.041613045803</v>
      </c>
      <c r="EC45" s="169">
        <f t="shared" si="258"/>
        <v>51809.047559038241</v>
      </c>
      <c r="ED45" s="169">
        <f t="shared" si="258"/>
        <v>58330.789737717525</v>
      </c>
      <c r="EE45" s="168"/>
      <c r="EF45" s="165">
        <f>SUM(BK45:BM45)</f>
        <v>64886</v>
      </c>
      <c r="EG45" s="165">
        <f>SUM(BN45:BP45)</f>
        <v>57964</v>
      </c>
      <c r="EH45" s="165">
        <f>SUM(BQ45:BS45)</f>
        <v>66228</v>
      </c>
      <c r="EI45" s="165">
        <f>SUM(BT45:BV45)</f>
        <v>54294</v>
      </c>
      <c r="EJ45" s="165">
        <f>SUM(BW45:BY45)</f>
        <v>62878</v>
      </c>
      <c r="EK45" s="165">
        <f>SUM(CL45:CN45)</f>
        <v>81140</v>
      </c>
      <c r="EL45" s="165">
        <f>SUM(CC45:CE45)</f>
        <v>59589</v>
      </c>
      <c r="EM45" s="165">
        <f>SUM(CF45:CH45)</f>
        <v>74259</v>
      </c>
      <c r="EN45" s="165">
        <f>SUM(CI45:CK45)</f>
        <v>77782.28571428571</v>
      </c>
      <c r="EO45" s="165">
        <f>SUM(CL45:CN45)</f>
        <v>81140</v>
      </c>
      <c r="EP45" s="165">
        <f>SUM(CO45:CQ45)</f>
        <v>90820</v>
      </c>
      <c r="EQ45" s="165">
        <f>SUM(CR45:CT45)</f>
        <v>109351</v>
      </c>
      <c r="ER45" s="165">
        <f>SUM(CU45:CW45)</f>
        <v>101355.32001592481</v>
      </c>
      <c r="ES45" s="165">
        <f>SUM(CX45:CZ45)</f>
        <v>100026.64309746031</v>
      </c>
      <c r="ET45" s="165">
        <f>SUM(DA45:DC45)</f>
        <v>112718.23775970402</v>
      </c>
      <c r="EU45" s="165">
        <f>SUM(DD45:DF45)</f>
        <v>127818.84043313302</v>
      </c>
      <c r="EV45" s="165">
        <f>SUM(DG45:DI45)</f>
        <v>118902.8198451434</v>
      </c>
      <c r="EW45" s="165">
        <f>SUM(DJ45:DL45)</f>
        <v>116982.78576481299</v>
      </c>
      <c r="EX45" s="165">
        <f>SUM(DM45:DO45)</f>
        <v>131065.53902865777</v>
      </c>
      <c r="EY45" s="165">
        <f>SUM(DP45:DR45)</f>
        <v>147301.80911164189</v>
      </c>
      <c r="EZ45" s="165">
        <f t="shared" si="83"/>
        <v>136226.386060433</v>
      </c>
      <c r="FA45" s="165">
        <f t="shared" si="84"/>
        <v>133876.12506451213</v>
      </c>
      <c r="FB45" s="165">
        <f t="shared" si="85"/>
        <v>149821.23201410618</v>
      </c>
      <c r="FC45" s="165">
        <f t="shared" si="86"/>
        <v>168292.87890980157</v>
      </c>
      <c r="FE45" s="165">
        <f t="shared" si="87"/>
        <v>243372</v>
      </c>
      <c r="FF45" s="165">
        <f t="shared" si="88"/>
        <v>277866</v>
      </c>
      <c r="FG45" s="165">
        <f t="shared" si="89"/>
        <v>359093.28571428568</v>
      </c>
      <c r="FH45" s="165">
        <f t="shared" si="90"/>
        <v>441919.04130622215</v>
      </c>
      <c r="FI45" s="165">
        <f t="shared" si="91"/>
        <v>514252.95375025604</v>
      </c>
      <c r="FJ45" s="165">
        <f t="shared" si="92"/>
        <v>588216.62204885285</v>
      </c>
    </row>
    <row r="46" spans="2:166" x14ac:dyDescent="0.2">
      <c r="B46" s="22" t="s">
        <v>231</v>
      </c>
      <c r="C46" s="165">
        <f>C26</f>
        <v>916</v>
      </c>
      <c r="D46" s="165">
        <f t="shared" ref="D46:BO46" si="259">D26</f>
        <v>969</v>
      </c>
      <c r="E46" s="165">
        <f t="shared" si="259"/>
        <v>817</v>
      </c>
      <c r="F46" s="165">
        <f t="shared" si="259"/>
        <v>1419</v>
      </c>
      <c r="G46" s="165">
        <f t="shared" si="259"/>
        <v>1338</v>
      </c>
      <c r="H46" s="165">
        <f t="shared" si="259"/>
        <v>1177</v>
      </c>
      <c r="I46" s="165">
        <f t="shared" si="259"/>
        <v>1366</v>
      </c>
      <c r="J46" s="165">
        <f t="shared" si="259"/>
        <v>1689</v>
      </c>
      <c r="K46" s="165">
        <f t="shared" si="259"/>
        <v>2158</v>
      </c>
      <c r="L46" s="165">
        <f t="shared" si="259"/>
        <v>2163</v>
      </c>
      <c r="M46" s="165">
        <f t="shared" si="259"/>
        <v>2975</v>
      </c>
      <c r="N46" s="165">
        <f t="shared" si="259"/>
        <v>2335</v>
      </c>
      <c r="O46" s="165">
        <f t="shared" si="259"/>
        <v>3233</v>
      </c>
      <c r="P46" s="165">
        <f t="shared" si="259"/>
        <v>3374</v>
      </c>
      <c r="Q46" s="165">
        <f t="shared" si="259"/>
        <v>4098</v>
      </c>
      <c r="R46" s="165">
        <f t="shared" si="259"/>
        <v>3312</v>
      </c>
      <c r="S46" s="165">
        <f t="shared" si="259"/>
        <v>2136</v>
      </c>
      <c r="T46" s="165">
        <f t="shared" si="259"/>
        <v>1506</v>
      </c>
      <c r="U46" s="165">
        <f t="shared" si="259"/>
        <v>1184</v>
      </c>
      <c r="V46" s="165">
        <f t="shared" si="259"/>
        <v>1465</v>
      </c>
      <c r="W46" s="165">
        <f t="shared" si="259"/>
        <v>3891</v>
      </c>
      <c r="X46" s="165">
        <f t="shared" si="259"/>
        <v>2642</v>
      </c>
      <c r="Y46" s="165">
        <f t="shared" si="259"/>
        <v>2600</v>
      </c>
      <c r="Z46" s="165">
        <f t="shared" si="259"/>
        <v>1285</v>
      </c>
      <c r="AA46" s="165">
        <f t="shared" si="259"/>
        <v>-47</v>
      </c>
      <c r="AB46" s="165">
        <f t="shared" si="259"/>
        <v>1527</v>
      </c>
      <c r="AC46" s="165">
        <f t="shared" si="259"/>
        <v>1557</v>
      </c>
      <c r="AD46" s="165">
        <f t="shared" si="259"/>
        <v>1935</v>
      </c>
      <c r="AE46" s="165">
        <f t="shared" si="259"/>
        <v>2201</v>
      </c>
      <c r="AF46" s="165">
        <f t="shared" si="259"/>
        <v>2489</v>
      </c>
      <c r="AG46" s="165">
        <f t="shared" si="259"/>
        <v>2642</v>
      </c>
      <c r="AH46" s="165">
        <f t="shared" si="259"/>
        <v>4233</v>
      </c>
      <c r="AI46" s="165">
        <f t="shared" si="259"/>
        <v>5885</v>
      </c>
      <c r="AJ46" s="165">
        <f t="shared" si="259"/>
        <v>7549</v>
      </c>
      <c r="AK46" s="165">
        <f t="shared" si="259"/>
        <v>6029</v>
      </c>
      <c r="AL46" s="165">
        <f t="shared" si="259"/>
        <v>4414</v>
      </c>
      <c r="AM46" s="165">
        <f t="shared" si="259"/>
        <v>3423</v>
      </c>
      <c r="AN46" s="165">
        <f t="shared" si="259"/>
        <v>2663</v>
      </c>
      <c r="AO46" s="165">
        <f t="shared" si="259"/>
        <v>5289</v>
      </c>
      <c r="AP46" s="165">
        <f t="shared" si="259"/>
        <v>6854</v>
      </c>
      <c r="AQ46" s="165">
        <f t="shared" si="259"/>
        <v>8122</v>
      </c>
      <c r="AR46" s="165">
        <f t="shared" si="259"/>
        <v>9481</v>
      </c>
      <c r="AS46" s="165">
        <f t="shared" si="259"/>
        <v>10302</v>
      </c>
      <c r="AT46" s="165">
        <f t="shared" si="259"/>
        <v>9882</v>
      </c>
      <c r="AU46" s="165">
        <f t="shared" si="259"/>
        <v>10482</v>
      </c>
      <c r="AV46" s="165">
        <f t="shared" si="259"/>
        <v>11746</v>
      </c>
      <c r="AW46" s="165">
        <f t="shared" si="259"/>
        <v>11322</v>
      </c>
      <c r="AX46" s="165">
        <f t="shared" si="259"/>
        <v>13039</v>
      </c>
      <c r="AY46" s="165">
        <f t="shared" si="259"/>
        <v>8406</v>
      </c>
      <c r="AZ46" s="165">
        <f t="shared" si="259"/>
        <v>7264</v>
      </c>
      <c r="BA46" s="165">
        <f t="shared" si="259"/>
        <v>5648</v>
      </c>
      <c r="BB46" s="165">
        <f t="shared" si="259"/>
        <v>6015</v>
      </c>
      <c r="BC46" s="165">
        <f t="shared" si="259"/>
        <v>4698</v>
      </c>
      <c r="BD46" s="165">
        <f t="shared" si="259"/>
        <v>2409</v>
      </c>
      <c r="BE46" s="165">
        <f t="shared" si="259"/>
        <v>1091</v>
      </c>
      <c r="BF46" s="165">
        <f t="shared" si="259"/>
        <v>2003</v>
      </c>
      <c r="BG46" s="165">
        <f t="shared" si="259"/>
        <v>3841</v>
      </c>
      <c r="BH46" s="165">
        <f t="shared" si="259"/>
        <v>4296</v>
      </c>
      <c r="BI46" s="165">
        <f t="shared" si="259"/>
        <v>3854</v>
      </c>
      <c r="BJ46" s="165">
        <f t="shared" si="259"/>
        <v>4184</v>
      </c>
      <c r="BK46" s="165">
        <f t="shared" si="259"/>
        <v>0</v>
      </c>
      <c r="BL46" s="165">
        <f t="shared" si="259"/>
        <v>0</v>
      </c>
      <c r="BM46" s="165">
        <f t="shared" si="259"/>
        <v>0</v>
      </c>
      <c r="BN46" s="165">
        <f t="shared" si="259"/>
        <v>0</v>
      </c>
      <c r="BO46" s="165">
        <f t="shared" si="259"/>
        <v>0</v>
      </c>
      <c r="BP46" s="165">
        <f t="shared" ref="BP46:DR46" si="260">BP26</f>
        <v>0</v>
      </c>
      <c r="BQ46" s="165">
        <f t="shared" si="260"/>
        <v>0</v>
      </c>
      <c r="BR46" s="165">
        <f t="shared" si="260"/>
        <v>0</v>
      </c>
      <c r="BS46" s="165">
        <f t="shared" si="260"/>
        <v>0</v>
      </c>
      <c r="BT46" s="165">
        <f t="shared" si="260"/>
        <v>0</v>
      </c>
      <c r="BU46" s="165">
        <f t="shared" si="260"/>
        <v>0</v>
      </c>
      <c r="BV46" s="165">
        <f t="shared" si="260"/>
        <v>0</v>
      </c>
      <c r="BW46" s="165">
        <f t="shared" si="260"/>
        <v>0</v>
      </c>
      <c r="BX46" s="165">
        <f t="shared" si="260"/>
        <v>0</v>
      </c>
      <c r="BY46" s="165">
        <f t="shared" si="260"/>
        <v>0</v>
      </c>
      <c r="BZ46" s="165">
        <f t="shared" si="260"/>
        <v>0</v>
      </c>
      <c r="CA46" s="165">
        <f t="shared" si="260"/>
        <v>0</v>
      </c>
      <c r="CB46" s="165">
        <f t="shared" si="260"/>
        <v>0</v>
      </c>
      <c r="CC46" s="165">
        <f t="shared" si="260"/>
        <v>0</v>
      </c>
      <c r="CD46" s="165">
        <f t="shared" si="260"/>
        <v>0</v>
      </c>
      <c r="CE46" s="165">
        <f t="shared" si="260"/>
        <v>0</v>
      </c>
      <c r="CF46" s="165">
        <f t="shared" si="260"/>
        <v>0</v>
      </c>
      <c r="CG46" s="165">
        <f t="shared" si="260"/>
        <v>0</v>
      </c>
      <c r="CH46" s="165">
        <f t="shared" si="260"/>
        <v>0</v>
      </c>
      <c r="CI46" s="165">
        <f t="shared" si="260"/>
        <v>0</v>
      </c>
      <c r="CJ46" s="165">
        <f t="shared" si="260"/>
        <v>0</v>
      </c>
      <c r="CK46" s="165">
        <f t="shared" si="260"/>
        <v>0</v>
      </c>
      <c r="CL46" s="165">
        <f t="shared" si="260"/>
        <v>0</v>
      </c>
      <c r="CM46" s="165">
        <f t="shared" si="260"/>
        <v>0</v>
      </c>
      <c r="CN46" s="165">
        <f t="shared" si="260"/>
        <v>0</v>
      </c>
      <c r="CO46" s="165">
        <f t="shared" si="260"/>
        <v>0</v>
      </c>
      <c r="CP46" s="165">
        <f t="shared" si="260"/>
        <v>0</v>
      </c>
      <c r="CQ46" s="165">
        <f t="shared" si="260"/>
        <v>0</v>
      </c>
      <c r="CR46" s="165">
        <f t="shared" si="260"/>
        <v>0</v>
      </c>
      <c r="CS46" s="165">
        <f t="shared" si="260"/>
        <v>0</v>
      </c>
      <c r="CT46" s="165">
        <f t="shared" si="260"/>
        <v>0</v>
      </c>
      <c r="CU46" s="165">
        <f t="shared" si="260"/>
        <v>0</v>
      </c>
      <c r="CV46" s="165">
        <f t="shared" si="260"/>
        <v>0</v>
      </c>
      <c r="CW46" s="165">
        <f t="shared" si="260"/>
        <v>0</v>
      </c>
      <c r="CX46" s="165">
        <f t="shared" si="260"/>
        <v>0</v>
      </c>
      <c r="CY46" s="165">
        <f t="shared" si="260"/>
        <v>0</v>
      </c>
      <c r="CZ46" s="165">
        <f t="shared" si="260"/>
        <v>0</v>
      </c>
      <c r="DA46" s="165">
        <f t="shared" si="260"/>
        <v>0</v>
      </c>
      <c r="DB46" s="165">
        <f t="shared" si="260"/>
        <v>0</v>
      </c>
      <c r="DC46" s="165">
        <f t="shared" si="260"/>
        <v>0</v>
      </c>
      <c r="DD46" s="165">
        <f t="shared" si="260"/>
        <v>0</v>
      </c>
      <c r="DE46" s="165">
        <f t="shared" si="260"/>
        <v>0</v>
      </c>
      <c r="DF46" s="165">
        <f t="shared" si="260"/>
        <v>0</v>
      </c>
      <c r="DG46" s="165">
        <f t="shared" si="260"/>
        <v>0</v>
      </c>
      <c r="DH46" s="165">
        <f t="shared" si="260"/>
        <v>0</v>
      </c>
      <c r="DI46" s="165">
        <f t="shared" si="260"/>
        <v>0</v>
      </c>
      <c r="DJ46" s="165">
        <f t="shared" si="260"/>
        <v>0</v>
      </c>
      <c r="DK46" s="165">
        <f t="shared" si="260"/>
        <v>0</v>
      </c>
      <c r="DL46" s="165">
        <f t="shared" si="260"/>
        <v>0</v>
      </c>
      <c r="DM46" s="165">
        <f t="shared" si="260"/>
        <v>0</v>
      </c>
      <c r="DN46" s="165">
        <f t="shared" si="260"/>
        <v>0</v>
      </c>
      <c r="DO46" s="165">
        <f t="shared" si="260"/>
        <v>0</v>
      </c>
      <c r="DP46" s="165">
        <f t="shared" si="260"/>
        <v>0</v>
      </c>
      <c r="DQ46" s="165">
        <f t="shared" si="260"/>
        <v>0</v>
      </c>
      <c r="DR46" s="165">
        <f t="shared" si="260"/>
        <v>0</v>
      </c>
      <c r="DS46" s="165">
        <f t="shared" ref="DS46:ED46" si="261">DS26</f>
        <v>0</v>
      </c>
      <c r="DT46" s="165">
        <f t="shared" si="261"/>
        <v>0</v>
      </c>
      <c r="DU46" s="165">
        <f t="shared" si="261"/>
        <v>0</v>
      </c>
      <c r="DV46" s="165">
        <f t="shared" si="261"/>
        <v>0</v>
      </c>
      <c r="DW46" s="165">
        <f t="shared" si="261"/>
        <v>0</v>
      </c>
      <c r="DX46" s="165">
        <f t="shared" si="261"/>
        <v>0</v>
      </c>
      <c r="DY46" s="165">
        <f t="shared" si="261"/>
        <v>0</v>
      </c>
      <c r="DZ46" s="165">
        <f t="shared" si="261"/>
        <v>0</v>
      </c>
      <c r="EA46" s="165">
        <f t="shared" si="261"/>
        <v>0</v>
      </c>
      <c r="EB46" s="165">
        <f t="shared" si="261"/>
        <v>0</v>
      </c>
      <c r="EC46" s="165">
        <f t="shared" si="261"/>
        <v>0</v>
      </c>
      <c r="ED46" s="165">
        <f t="shared" si="261"/>
        <v>0</v>
      </c>
      <c r="EE46" s="168"/>
      <c r="EF46" s="165">
        <f>SUM(BK46:BM46)</f>
        <v>0</v>
      </c>
      <c r="EG46" s="165">
        <f>SUM(BN46:BP46)</f>
        <v>0</v>
      </c>
      <c r="EH46" s="165">
        <f>SUM(BQ46:BS46)</f>
        <v>0</v>
      </c>
      <c r="EI46" s="165">
        <f>SUM(BT46:BV46)</f>
        <v>0</v>
      </c>
      <c r="EJ46" s="165">
        <f>SUM(BW46:BY46)</f>
        <v>0</v>
      </c>
      <c r="EK46" s="165">
        <f>SUM(CL46:CN46)</f>
        <v>0</v>
      </c>
      <c r="EL46" s="165">
        <f>SUM(CC46:CE46)</f>
        <v>0</v>
      </c>
      <c r="EM46" s="165">
        <f>SUM(CF46:CH46)</f>
        <v>0</v>
      </c>
      <c r="EN46" s="165">
        <f>SUM(CI46:CK46)</f>
        <v>0</v>
      </c>
      <c r="EO46" s="165">
        <f>SUM(CL46:CN46)</f>
        <v>0</v>
      </c>
      <c r="EP46" s="165">
        <f>SUM(CO46:CQ46)</f>
        <v>0</v>
      </c>
      <c r="EQ46" s="165">
        <f>SUM(CR46:CT46)</f>
        <v>0</v>
      </c>
      <c r="ER46" s="165">
        <f>SUM(CU46:CW46)</f>
        <v>0</v>
      </c>
      <c r="ES46" s="165">
        <f>SUM(CX46:CZ46)</f>
        <v>0</v>
      </c>
      <c r="ET46" s="165">
        <f>SUM(DA46:DC46)</f>
        <v>0</v>
      </c>
      <c r="EU46" s="165">
        <f>SUM(DD46:DF46)</f>
        <v>0</v>
      </c>
      <c r="EV46" s="165">
        <f>SUM(DG46:DI46)</f>
        <v>0</v>
      </c>
      <c r="EW46" s="165">
        <f>SUM(DJ46:DL46)</f>
        <v>0</v>
      </c>
      <c r="EX46" s="165">
        <f>SUM(DM46:DO46)</f>
        <v>0</v>
      </c>
      <c r="EY46" s="165">
        <f>SUM(DP46:DR46)</f>
        <v>0</v>
      </c>
      <c r="EZ46" s="165">
        <f t="shared" si="83"/>
        <v>0</v>
      </c>
      <c r="FA46" s="165">
        <f t="shared" si="84"/>
        <v>0</v>
      </c>
      <c r="FB46" s="165">
        <f t="shared" si="85"/>
        <v>0</v>
      </c>
      <c r="FC46" s="165">
        <f t="shared" si="86"/>
        <v>0</v>
      </c>
      <c r="FE46" s="165">
        <f t="shared" si="87"/>
        <v>0</v>
      </c>
      <c r="FF46" s="165">
        <f t="shared" si="88"/>
        <v>0</v>
      </c>
      <c r="FG46" s="165">
        <f t="shared" si="89"/>
        <v>0</v>
      </c>
      <c r="FH46" s="165">
        <f t="shared" si="90"/>
        <v>0</v>
      </c>
      <c r="FI46" s="165">
        <f t="shared" si="91"/>
        <v>0</v>
      </c>
      <c r="FJ46" s="165">
        <f t="shared" si="92"/>
        <v>0</v>
      </c>
    </row>
    <row r="47" spans="2:166" x14ac:dyDescent="0.2">
      <c r="B47" s="22" t="s">
        <v>232</v>
      </c>
      <c r="C47" s="165">
        <f>C27</f>
        <v>0</v>
      </c>
      <c r="D47" s="165">
        <f t="shared" ref="D47:BO47" si="262">D27</f>
        <v>0</v>
      </c>
      <c r="E47" s="165">
        <f t="shared" si="262"/>
        <v>0</v>
      </c>
      <c r="F47" s="165">
        <f t="shared" si="262"/>
        <v>0</v>
      </c>
      <c r="G47" s="165">
        <f t="shared" si="262"/>
        <v>0</v>
      </c>
      <c r="H47" s="165">
        <f t="shared" si="262"/>
        <v>0</v>
      </c>
      <c r="I47" s="165">
        <f t="shared" si="262"/>
        <v>0</v>
      </c>
      <c r="J47" s="165">
        <f t="shared" si="262"/>
        <v>0</v>
      </c>
      <c r="K47" s="165">
        <f t="shared" si="262"/>
        <v>0</v>
      </c>
      <c r="L47" s="165">
        <f t="shared" si="262"/>
        <v>80</v>
      </c>
      <c r="M47" s="165">
        <f t="shared" si="262"/>
        <v>432</v>
      </c>
      <c r="N47" s="165">
        <f t="shared" si="262"/>
        <v>1705</v>
      </c>
      <c r="O47" s="165">
        <f t="shared" si="262"/>
        <v>2055</v>
      </c>
      <c r="P47" s="165">
        <f t="shared" si="262"/>
        <v>2301</v>
      </c>
      <c r="Q47" s="165">
        <f t="shared" si="262"/>
        <v>1621</v>
      </c>
      <c r="R47" s="165">
        <f t="shared" si="262"/>
        <v>3131</v>
      </c>
      <c r="S47" s="165">
        <f t="shared" si="262"/>
        <v>2883</v>
      </c>
      <c r="T47" s="165">
        <f t="shared" si="262"/>
        <v>3656</v>
      </c>
      <c r="U47" s="165">
        <f t="shared" si="262"/>
        <v>3261</v>
      </c>
      <c r="V47" s="165">
        <f t="shared" si="262"/>
        <v>1240</v>
      </c>
      <c r="W47" s="165">
        <f t="shared" si="262"/>
        <v>1688</v>
      </c>
      <c r="X47" s="165">
        <f t="shared" si="262"/>
        <v>2470</v>
      </c>
      <c r="Y47" s="165">
        <f t="shared" si="262"/>
        <v>245</v>
      </c>
      <c r="Z47" s="165">
        <f t="shared" si="262"/>
        <v>1399</v>
      </c>
      <c r="AA47" s="165">
        <f t="shared" si="262"/>
        <v>-233</v>
      </c>
      <c r="AB47" s="165">
        <f t="shared" si="262"/>
        <v>1757</v>
      </c>
      <c r="AC47" s="165">
        <f t="shared" si="262"/>
        <v>869</v>
      </c>
      <c r="AD47" s="165">
        <f t="shared" si="262"/>
        <v>529</v>
      </c>
      <c r="AE47" s="165">
        <f t="shared" si="262"/>
        <v>662</v>
      </c>
      <c r="AF47" s="165">
        <f t="shared" si="262"/>
        <v>1045</v>
      </c>
      <c r="AG47" s="165">
        <f t="shared" si="262"/>
        <v>1693</v>
      </c>
      <c r="AH47" s="165">
        <f t="shared" si="262"/>
        <v>1554</v>
      </c>
      <c r="AI47" s="165">
        <f t="shared" si="262"/>
        <v>2552</v>
      </c>
      <c r="AJ47" s="165">
        <f t="shared" si="262"/>
        <v>3124</v>
      </c>
      <c r="AK47" s="165">
        <f t="shared" si="262"/>
        <v>1721</v>
      </c>
      <c r="AL47" s="165">
        <f t="shared" si="262"/>
        <v>2362</v>
      </c>
      <c r="AM47" s="165">
        <f t="shared" si="262"/>
        <v>2074</v>
      </c>
      <c r="AN47" s="165">
        <f t="shared" si="262"/>
        <v>1265</v>
      </c>
      <c r="AO47" s="165">
        <f t="shared" si="262"/>
        <v>1848</v>
      </c>
      <c r="AP47" s="165">
        <f t="shared" si="262"/>
        <v>1552</v>
      </c>
      <c r="AQ47" s="165">
        <f t="shared" si="262"/>
        <v>984</v>
      </c>
      <c r="AR47" s="165">
        <f t="shared" si="262"/>
        <v>1095</v>
      </c>
      <c r="AS47" s="165">
        <f t="shared" si="262"/>
        <v>1306</v>
      </c>
      <c r="AT47" s="165">
        <f t="shared" si="262"/>
        <v>2999</v>
      </c>
      <c r="AU47" s="165">
        <f t="shared" si="262"/>
        <v>3673</v>
      </c>
      <c r="AV47" s="165">
        <f t="shared" si="262"/>
        <v>3859</v>
      </c>
      <c r="AW47" s="165">
        <f t="shared" si="262"/>
        <v>2982</v>
      </c>
      <c r="AX47" s="165">
        <f t="shared" si="262"/>
        <v>1517</v>
      </c>
      <c r="AY47" s="165">
        <f t="shared" si="262"/>
        <v>1430</v>
      </c>
      <c r="AZ47" s="165">
        <f t="shared" si="262"/>
        <v>2223</v>
      </c>
      <c r="BA47" s="165">
        <f t="shared" si="262"/>
        <v>2220</v>
      </c>
      <c r="BB47" s="165">
        <f t="shared" si="262"/>
        <v>2641</v>
      </c>
      <c r="BC47" s="165">
        <f t="shared" si="262"/>
        <v>2093</v>
      </c>
      <c r="BD47" s="165">
        <f t="shared" si="262"/>
        <v>3067</v>
      </c>
      <c r="BE47" s="165">
        <f t="shared" si="262"/>
        <v>4050</v>
      </c>
      <c r="BF47" s="165">
        <f t="shared" si="262"/>
        <v>2922</v>
      </c>
      <c r="BG47" s="165">
        <f t="shared" si="262"/>
        <v>2630</v>
      </c>
      <c r="BH47" s="165">
        <f t="shared" si="262"/>
        <v>2543</v>
      </c>
      <c r="BI47" s="165">
        <f t="shared" si="262"/>
        <v>4345</v>
      </c>
      <c r="BJ47" s="165">
        <f t="shared" si="262"/>
        <v>7025</v>
      </c>
      <c r="BK47" s="165">
        <f t="shared" si="262"/>
        <v>8356</v>
      </c>
      <c r="BL47" s="165">
        <f t="shared" si="262"/>
        <v>7180</v>
      </c>
      <c r="BM47" s="165">
        <f t="shared" si="262"/>
        <v>9549</v>
      </c>
      <c r="BN47" s="165">
        <f t="shared" si="262"/>
        <v>6251</v>
      </c>
      <c r="BO47" s="165">
        <f t="shared" si="262"/>
        <v>7619</v>
      </c>
      <c r="BP47" s="165">
        <f t="shared" ref="BP47:DR47" si="263">BP27</f>
        <v>7870</v>
      </c>
      <c r="BQ47" s="165">
        <f t="shared" si="263"/>
        <v>10258</v>
      </c>
      <c r="BR47" s="165">
        <f t="shared" si="263"/>
        <v>9162</v>
      </c>
      <c r="BS47" s="165">
        <f t="shared" si="263"/>
        <v>8312</v>
      </c>
      <c r="BT47" s="165">
        <f t="shared" si="263"/>
        <v>8730</v>
      </c>
      <c r="BU47" s="165">
        <f t="shared" si="263"/>
        <v>5914</v>
      </c>
      <c r="BV47" s="165">
        <f t="shared" si="263"/>
        <v>9130</v>
      </c>
      <c r="BW47" s="165">
        <f t="shared" si="263"/>
        <v>8412</v>
      </c>
      <c r="BX47" s="165">
        <f t="shared" si="263"/>
        <v>8850</v>
      </c>
      <c r="BY47" s="165">
        <f t="shared" si="263"/>
        <v>9253</v>
      </c>
      <c r="BZ47" s="165">
        <f t="shared" si="263"/>
        <v>9632</v>
      </c>
      <c r="CA47" s="165">
        <f t="shared" si="263"/>
        <v>8794</v>
      </c>
      <c r="CB47" s="165">
        <f t="shared" si="263"/>
        <v>8867</v>
      </c>
      <c r="CC47" s="165">
        <f t="shared" si="263"/>
        <v>8865</v>
      </c>
      <c r="CD47" s="165">
        <f t="shared" si="263"/>
        <v>7938</v>
      </c>
      <c r="CE47" s="165">
        <f t="shared" si="263"/>
        <v>9864</v>
      </c>
      <c r="CF47" s="165">
        <f t="shared" si="263"/>
        <v>11056</v>
      </c>
      <c r="CG47" s="165">
        <f t="shared" si="263"/>
        <v>10929</v>
      </c>
      <c r="CH47" s="165">
        <f t="shared" si="263"/>
        <v>14334</v>
      </c>
      <c r="CI47" s="165">
        <f t="shared" si="263"/>
        <v>11613</v>
      </c>
      <c r="CJ47" s="165">
        <f t="shared" si="263"/>
        <v>12041</v>
      </c>
      <c r="CK47" s="165">
        <f t="shared" si="263"/>
        <v>12192.285714285714</v>
      </c>
      <c r="CL47" s="165">
        <f t="shared" si="263"/>
        <v>12753</v>
      </c>
      <c r="CM47" s="165">
        <f t="shared" si="263"/>
        <v>11762</v>
      </c>
      <c r="CN47" s="165">
        <f t="shared" si="263"/>
        <v>15097</v>
      </c>
      <c r="CO47" s="165">
        <f t="shared" si="263"/>
        <v>12366</v>
      </c>
      <c r="CP47" s="165">
        <f t="shared" si="263"/>
        <v>12725</v>
      </c>
      <c r="CQ47" s="165">
        <f t="shared" si="263"/>
        <v>15982</v>
      </c>
      <c r="CR47" s="165">
        <f t="shared" si="263"/>
        <v>17576</v>
      </c>
      <c r="CS47" s="165">
        <f t="shared" si="263"/>
        <v>14807</v>
      </c>
      <c r="CT47" s="165">
        <f t="shared" si="263"/>
        <v>16187</v>
      </c>
      <c r="CU47" s="165">
        <f t="shared" si="263"/>
        <v>14757.837443303892</v>
      </c>
      <c r="CV47" s="165">
        <f t="shared" si="263"/>
        <v>14908.037655765098</v>
      </c>
      <c r="CW47" s="165">
        <f t="shared" si="263"/>
        <v>14897.372551921699</v>
      </c>
      <c r="CX47" s="165">
        <f t="shared" si="263"/>
        <v>15122.228491286704</v>
      </c>
      <c r="CY47" s="165">
        <f t="shared" si="263"/>
        <v>14249.467493435186</v>
      </c>
      <c r="CZ47" s="165">
        <f t="shared" si="263"/>
        <v>15587.938025781808</v>
      </c>
      <c r="DA47" s="165">
        <f t="shared" si="263"/>
        <v>15156.890078777749</v>
      </c>
      <c r="DB47" s="165">
        <f t="shared" si="263"/>
        <v>15192.440424922414</v>
      </c>
      <c r="DC47" s="165">
        <f t="shared" si="263"/>
        <v>18648.82282883743</v>
      </c>
      <c r="DD47" s="165">
        <f t="shared" si="263"/>
        <v>20093.944399618045</v>
      </c>
      <c r="DE47" s="165">
        <f t="shared" si="263"/>
        <v>17226.808983050847</v>
      </c>
      <c r="DF47" s="165">
        <f t="shared" si="263"/>
        <v>18615.049999999996</v>
      </c>
      <c r="DG47" s="165">
        <f t="shared" si="263"/>
        <v>16971.513059799472</v>
      </c>
      <c r="DH47" s="165">
        <f t="shared" si="263"/>
        <v>17144.243304129861</v>
      </c>
      <c r="DI47" s="165">
        <f t="shared" si="263"/>
        <v>17131.978434709952</v>
      </c>
      <c r="DJ47" s="165">
        <f t="shared" si="263"/>
        <v>17390.562764979706</v>
      </c>
      <c r="DK47" s="165">
        <f t="shared" si="263"/>
        <v>16386.887617450462</v>
      </c>
      <c r="DL47" s="165">
        <f t="shared" si="263"/>
        <v>17926.128729649077</v>
      </c>
      <c r="DM47" s="165">
        <f t="shared" si="263"/>
        <v>17430.423590594412</v>
      </c>
      <c r="DN47" s="165">
        <f t="shared" si="263"/>
        <v>17471.306488660775</v>
      </c>
      <c r="DO47" s="165">
        <f t="shared" si="263"/>
        <v>21446.146253163039</v>
      </c>
      <c r="DP47" s="165">
        <f t="shared" si="263"/>
        <v>23108.036059560749</v>
      </c>
      <c r="DQ47" s="165">
        <f t="shared" si="263"/>
        <v>19810.83033050847</v>
      </c>
      <c r="DR47" s="165">
        <f t="shared" si="263"/>
        <v>21407.307499999995</v>
      </c>
      <c r="DS47" s="165">
        <f t="shared" ref="DS47:ED47" si="264">DS27</f>
        <v>19517.240018769393</v>
      </c>
      <c r="DT47" s="165">
        <f t="shared" si="264"/>
        <v>19715.879799749338</v>
      </c>
      <c r="DU47" s="165">
        <f t="shared" si="264"/>
        <v>19701.775199916447</v>
      </c>
      <c r="DV47" s="165">
        <f t="shared" si="264"/>
        <v>19999.147179726664</v>
      </c>
      <c r="DW47" s="165">
        <f t="shared" si="264"/>
        <v>18844.920760068027</v>
      </c>
      <c r="DX47" s="165">
        <f t="shared" si="264"/>
        <v>20615.048039096437</v>
      </c>
      <c r="DY47" s="165">
        <f t="shared" si="264"/>
        <v>20044.98712918357</v>
      </c>
      <c r="DZ47" s="165">
        <f t="shared" si="264"/>
        <v>20092.002461959888</v>
      </c>
      <c r="EA47" s="165">
        <f t="shared" si="264"/>
        <v>24663.068191137496</v>
      </c>
      <c r="EB47" s="165">
        <f t="shared" si="264"/>
        <v>26574.24146849486</v>
      </c>
      <c r="EC47" s="165">
        <f t="shared" si="264"/>
        <v>22782.454880084737</v>
      </c>
      <c r="ED47" s="165">
        <f t="shared" si="264"/>
        <v>24618.403624999992</v>
      </c>
      <c r="EE47" s="168"/>
      <c r="EF47" s="165">
        <f>SUM(BK47:BM47)</f>
        <v>25085</v>
      </c>
      <c r="EG47" s="165">
        <f>SUM(BN47:BP47)</f>
        <v>21740</v>
      </c>
      <c r="EH47" s="165">
        <f>SUM(BQ47:BS47)</f>
        <v>27732</v>
      </c>
      <c r="EI47" s="165">
        <f>SUM(BT47:BV47)</f>
        <v>23774</v>
      </c>
      <c r="EJ47" s="165">
        <f>SUM(BW47:BY47)</f>
        <v>26515</v>
      </c>
      <c r="EK47" s="165">
        <f>SUM(CL47:CN47)</f>
        <v>39612</v>
      </c>
      <c r="EL47" s="165">
        <f>SUM(CC47:CE47)</f>
        <v>26667</v>
      </c>
      <c r="EM47" s="165">
        <f>SUM(CF47:CH47)</f>
        <v>36319</v>
      </c>
      <c r="EN47" s="165">
        <f>SUM(CI47:CK47)</f>
        <v>35846.28571428571</v>
      </c>
      <c r="EO47" s="165">
        <f>SUM(CL47:CN47)</f>
        <v>39612</v>
      </c>
      <c r="EP47" s="165">
        <f>SUM(CO47:CQ47)</f>
        <v>41073</v>
      </c>
      <c r="EQ47" s="165">
        <f>SUM(CR47:CT47)</f>
        <v>48570</v>
      </c>
      <c r="ER47" s="165">
        <f>SUM(CU47:CW47)</f>
        <v>44563.247650990685</v>
      </c>
      <c r="ES47" s="165">
        <f>SUM(CX47:CZ47)</f>
        <v>44959.634010503694</v>
      </c>
      <c r="ET47" s="165">
        <f>SUM(DA47:DC47)</f>
        <v>48998.153332537593</v>
      </c>
      <c r="EU47" s="165">
        <f>SUM(DD47:DF47)</f>
        <v>55935.803382668884</v>
      </c>
      <c r="EV47" s="165">
        <f>SUM(DG47:DI47)</f>
        <v>51247.734798639285</v>
      </c>
      <c r="EW47" s="165">
        <f>SUM(DJ47:DL47)</f>
        <v>51703.579112079242</v>
      </c>
      <c r="EX47" s="165">
        <f>SUM(DM47:DO47)</f>
        <v>56347.876332418222</v>
      </c>
      <c r="EY47" s="165">
        <f>SUM(DP47:DR47)</f>
        <v>64326.173890069214</v>
      </c>
      <c r="EZ47" s="165">
        <f t="shared" si="83"/>
        <v>58934.895018435178</v>
      </c>
      <c r="FA47" s="165">
        <f t="shared" si="84"/>
        <v>59459.115978891132</v>
      </c>
      <c r="FB47" s="165">
        <f t="shared" si="85"/>
        <v>64800.057782280957</v>
      </c>
      <c r="FC47" s="165">
        <f t="shared" si="86"/>
        <v>73975.099973579592</v>
      </c>
      <c r="FE47" s="165">
        <f t="shared" si="87"/>
        <v>98331</v>
      </c>
      <c r="FF47" s="165">
        <f t="shared" si="88"/>
        <v>129113</v>
      </c>
      <c r="FG47" s="165">
        <f t="shared" si="89"/>
        <v>165101.28571428571</v>
      </c>
      <c r="FH47" s="165">
        <f t="shared" si="90"/>
        <v>194456.83837670085</v>
      </c>
      <c r="FI47" s="165">
        <f t="shared" si="91"/>
        <v>223625.36413320596</v>
      </c>
      <c r="FJ47" s="165">
        <f t="shared" si="92"/>
        <v>257169.16875318688</v>
      </c>
    </row>
    <row r="48" spans="2:166" x14ac:dyDescent="0.2">
      <c r="B48" s="22" t="s">
        <v>233</v>
      </c>
      <c r="C48" s="165">
        <f>C28</f>
        <v>0</v>
      </c>
      <c r="D48" s="165">
        <f t="shared" ref="D48:BO48" si="265">D28</f>
        <v>0</v>
      </c>
      <c r="E48" s="165">
        <f t="shared" si="265"/>
        <v>0</v>
      </c>
      <c r="F48" s="165">
        <f t="shared" si="265"/>
        <v>0</v>
      </c>
      <c r="G48" s="165">
        <f t="shared" si="265"/>
        <v>0</v>
      </c>
      <c r="H48" s="165">
        <f t="shared" si="265"/>
        <v>0</v>
      </c>
      <c r="I48" s="165">
        <f t="shared" si="265"/>
        <v>0</v>
      </c>
      <c r="J48" s="165">
        <f t="shared" si="265"/>
        <v>0</v>
      </c>
      <c r="K48" s="165">
        <f t="shared" si="265"/>
        <v>0</v>
      </c>
      <c r="L48" s="165">
        <f t="shared" si="265"/>
        <v>0</v>
      </c>
      <c r="M48" s="165">
        <f t="shared" si="265"/>
        <v>0</v>
      </c>
      <c r="N48" s="165">
        <f t="shared" si="265"/>
        <v>0</v>
      </c>
      <c r="O48" s="165">
        <f t="shared" si="265"/>
        <v>0</v>
      </c>
      <c r="P48" s="165">
        <f t="shared" si="265"/>
        <v>0</v>
      </c>
      <c r="Q48" s="165">
        <f t="shared" si="265"/>
        <v>0</v>
      </c>
      <c r="R48" s="165">
        <f t="shared" si="265"/>
        <v>0</v>
      </c>
      <c r="S48" s="165">
        <f t="shared" si="265"/>
        <v>0</v>
      </c>
      <c r="T48" s="165">
        <f t="shared" si="265"/>
        <v>0</v>
      </c>
      <c r="U48" s="165">
        <f t="shared" si="265"/>
        <v>0</v>
      </c>
      <c r="V48" s="165">
        <f t="shared" si="265"/>
        <v>0</v>
      </c>
      <c r="W48" s="165">
        <f t="shared" si="265"/>
        <v>0</v>
      </c>
      <c r="X48" s="165">
        <f t="shared" si="265"/>
        <v>0</v>
      </c>
      <c r="Y48" s="165">
        <f t="shared" si="265"/>
        <v>0</v>
      </c>
      <c r="Z48" s="165">
        <f t="shared" si="265"/>
        <v>0</v>
      </c>
      <c r="AA48" s="165">
        <f t="shared" si="265"/>
        <v>0</v>
      </c>
      <c r="AB48" s="165">
        <f t="shared" si="265"/>
        <v>0</v>
      </c>
      <c r="AC48" s="165">
        <f t="shared" si="265"/>
        <v>361</v>
      </c>
      <c r="AD48" s="165">
        <f t="shared" si="265"/>
        <v>274</v>
      </c>
      <c r="AE48" s="165">
        <f t="shared" si="265"/>
        <v>463</v>
      </c>
      <c r="AF48" s="165">
        <f t="shared" si="265"/>
        <v>770</v>
      </c>
      <c r="AG48" s="165">
        <f t="shared" si="265"/>
        <v>730</v>
      </c>
      <c r="AH48" s="165">
        <f t="shared" si="265"/>
        <v>1159</v>
      </c>
      <c r="AI48" s="165">
        <f t="shared" si="265"/>
        <v>1994</v>
      </c>
      <c r="AJ48" s="165">
        <f t="shared" si="265"/>
        <v>1964</v>
      </c>
      <c r="AK48" s="165">
        <f t="shared" si="265"/>
        <v>2172</v>
      </c>
      <c r="AL48" s="165">
        <f t="shared" si="265"/>
        <v>2961</v>
      </c>
      <c r="AM48" s="165">
        <f t="shared" si="265"/>
        <v>1624</v>
      </c>
      <c r="AN48" s="165">
        <f t="shared" si="265"/>
        <v>48</v>
      </c>
      <c r="AO48" s="165">
        <f t="shared" si="265"/>
        <v>1134</v>
      </c>
      <c r="AP48" s="165">
        <f t="shared" si="265"/>
        <v>1752</v>
      </c>
      <c r="AQ48" s="165">
        <f t="shared" si="265"/>
        <v>2270</v>
      </c>
      <c r="AR48" s="165">
        <f t="shared" si="265"/>
        <v>3287</v>
      </c>
      <c r="AS48" s="165">
        <f t="shared" si="265"/>
        <v>3653</v>
      </c>
      <c r="AT48" s="165">
        <f t="shared" si="265"/>
        <v>4937</v>
      </c>
      <c r="AU48" s="165">
        <f t="shared" si="265"/>
        <v>6074</v>
      </c>
      <c r="AV48" s="165">
        <f t="shared" si="265"/>
        <v>5990</v>
      </c>
      <c r="AW48" s="165">
        <f t="shared" si="265"/>
        <v>6098</v>
      </c>
      <c r="AX48" s="165">
        <f t="shared" si="265"/>
        <v>6690</v>
      </c>
      <c r="AY48" s="165">
        <f t="shared" si="265"/>
        <v>5849</v>
      </c>
      <c r="AZ48" s="165">
        <f t="shared" si="265"/>
        <v>7950</v>
      </c>
      <c r="BA48" s="165">
        <f t="shared" si="265"/>
        <v>8208</v>
      </c>
      <c r="BB48" s="165">
        <f t="shared" si="265"/>
        <v>9086</v>
      </c>
      <c r="BC48" s="165">
        <f t="shared" si="265"/>
        <v>9697</v>
      </c>
      <c r="BD48" s="165">
        <f t="shared" si="265"/>
        <v>9845</v>
      </c>
      <c r="BE48" s="165">
        <f t="shared" si="265"/>
        <v>10060</v>
      </c>
      <c r="BF48" s="165">
        <f t="shared" si="265"/>
        <v>9749</v>
      </c>
      <c r="BG48" s="165">
        <f t="shared" si="265"/>
        <v>10980</v>
      </c>
      <c r="BH48" s="165">
        <f t="shared" si="265"/>
        <v>11447</v>
      </c>
      <c r="BI48" s="165">
        <f t="shared" si="265"/>
        <v>10477</v>
      </c>
      <c r="BJ48" s="165">
        <f t="shared" si="265"/>
        <v>12211</v>
      </c>
      <c r="BK48" s="165">
        <f t="shared" si="265"/>
        <v>12385</v>
      </c>
      <c r="BL48" s="165">
        <f t="shared" si="265"/>
        <v>13729</v>
      </c>
      <c r="BM48" s="165">
        <f t="shared" si="265"/>
        <v>13687</v>
      </c>
      <c r="BN48" s="165">
        <f t="shared" si="265"/>
        <v>12214</v>
      </c>
      <c r="BO48" s="165">
        <f t="shared" si="265"/>
        <v>12367</v>
      </c>
      <c r="BP48" s="165">
        <f t="shared" ref="BP48:DR48" si="266">BP28</f>
        <v>11643</v>
      </c>
      <c r="BQ48" s="165">
        <f t="shared" si="266"/>
        <v>14148</v>
      </c>
      <c r="BR48" s="165">
        <f t="shared" si="266"/>
        <v>12925</v>
      </c>
      <c r="BS48" s="165">
        <f t="shared" si="266"/>
        <v>11423</v>
      </c>
      <c r="BT48" s="165">
        <f t="shared" si="266"/>
        <v>10287</v>
      </c>
      <c r="BU48" s="165">
        <f t="shared" si="266"/>
        <v>8990</v>
      </c>
      <c r="BV48" s="165">
        <f t="shared" si="266"/>
        <v>11243</v>
      </c>
      <c r="BW48" s="165">
        <f t="shared" si="266"/>
        <v>12029</v>
      </c>
      <c r="BX48" s="165">
        <f t="shared" si="266"/>
        <v>11645</v>
      </c>
      <c r="BY48" s="165">
        <f t="shared" si="266"/>
        <v>12689</v>
      </c>
      <c r="BZ48" s="165">
        <f t="shared" si="266"/>
        <v>11836</v>
      </c>
      <c r="CA48" s="165">
        <f t="shared" si="266"/>
        <v>9748</v>
      </c>
      <c r="CB48" s="165">
        <f t="shared" si="266"/>
        <v>8374</v>
      </c>
      <c r="CC48" s="165">
        <f t="shared" si="266"/>
        <v>10601</v>
      </c>
      <c r="CD48" s="165">
        <f t="shared" si="266"/>
        <v>10234</v>
      </c>
      <c r="CE48" s="165">
        <f t="shared" si="266"/>
        <v>12087</v>
      </c>
      <c r="CF48" s="165">
        <f t="shared" si="266"/>
        <v>12189</v>
      </c>
      <c r="CG48" s="165">
        <f t="shared" si="266"/>
        <v>11467</v>
      </c>
      <c r="CH48" s="165">
        <f t="shared" si="266"/>
        <v>14284</v>
      </c>
      <c r="CI48" s="165">
        <f t="shared" si="266"/>
        <v>14013</v>
      </c>
      <c r="CJ48" s="165">
        <f t="shared" si="266"/>
        <v>13841</v>
      </c>
      <c r="CK48" s="165">
        <f t="shared" si="266"/>
        <v>14082</v>
      </c>
      <c r="CL48" s="165">
        <f t="shared" si="266"/>
        <v>15567</v>
      </c>
      <c r="CM48" s="165">
        <f t="shared" si="266"/>
        <v>13556</v>
      </c>
      <c r="CN48" s="165">
        <f t="shared" si="266"/>
        <v>12405</v>
      </c>
      <c r="CO48" s="165">
        <f t="shared" si="266"/>
        <v>16385</v>
      </c>
      <c r="CP48" s="165">
        <f t="shared" si="266"/>
        <v>14752</v>
      </c>
      <c r="CQ48" s="165">
        <f t="shared" si="266"/>
        <v>18610</v>
      </c>
      <c r="CR48" s="165">
        <f t="shared" si="266"/>
        <v>19779</v>
      </c>
      <c r="CS48" s="165">
        <f t="shared" si="266"/>
        <v>18826</v>
      </c>
      <c r="CT48" s="165">
        <f t="shared" si="266"/>
        <v>22176</v>
      </c>
      <c r="CU48" s="165">
        <f t="shared" si="266"/>
        <v>19248.643016106776</v>
      </c>
      <c r="CV48" s="165">
        <f t="shared" si="266"/>
        <v>18803.198316148148</v>
      </c>
      <c r="CW48" s="165">
        <f t="shared" si="266"/>
        <v>18740.231032679196</v>
      </c>
      <c r="CX48" s="165">
        <f t="shared" si="266"/>
        <v>20416.32429285497</v>
      </c>
      <c r="CY48" s="165">
        <f t="shared" si="266"/>
        <v>18043.283247391348</v>
      </c>
      <c r="CZ48" s="165">
        <f t="shared" si="266"/>
        <v>16607.401546710291</v>
      </c>
      <c r="DA48" s="165">
        <f t="shared" si="266"/>
        <v>21132.46495811686</v>
      </c>
      <c r="DB48" s="165">
        <f t="shared" si="266"/>
        <v>19304.800585212601</v>
      </c>
      <c r="DC48" s="165">
        <f t="shared" si="266"/>
        <v>23282.818883836964</v>
      </c>
      <c r="DD48" s="165">
        <f t="shared" si="266"/>
        <v>23884.337333037154</v>
      </c>
      <c r="DE48" s="165">
        <f t="shared" si="266"/>
        <v>22065.350659737898</v>
      </c>
      <c r="DF48" s="165">
        <f t="shared" si="266"/>
        <v>25933.34905768908</v>
      </c>
      <c r="DG48" s="165">
        <f t="shared" si="266"/>
        <v>22928.530651538953</v>
      </c>
      <c r="DH48" s="165">
        <f t="shared" si="266"/>
        <v>22458.069988849442</v>
      </c>
      <c r="DI48" s="165">
        <f t="shared" si="266"/>
        <v>22268.484406115713</v>
      </c>
      <c r="DJ48" s="165">
        <f t="shared" si="266"/>
        <v>24237.093553374976</v>
      </c>
      <c r="DK48" s="165">
        <f t="shared" si="266"/>
        <v>21390.021269084911</v>
      </c>
      <c r="DL48" s="165">
        <f t="shared" si="266"/>
        <v>19652.09183027385</v>
      </c>
      <c r="DM48" s="165">
        <f t="shared" si="266"/>
        <v>24897.205270537284</v>
      </c>
      <c r="DN48" s="165">
        <f t="shared" si="266"/>
        <v>22636.193215384505</v>
      </c>
      <c r="DO48" s="165">
        <f t="shared" si="266"/>
        <v>27184.26421031776</v>
      </c>
      <c r="DP48" s="165">
        <f t="shared" si="266"/>
        <v>27768.973807318493</v>
      </c>
      <c r="DQ48" s="165">
        <f t="shared" si="266"/>
        <v>25538.135962435284</v>
      </c>
      <c r="DR48" s="165">
        <f t="shared" si="266"/>
        <v>29668.525451818921</v>
      </c>
      <c r="DS48" s="165">
        <f t="shared" ref="DS48:ED48" si="267">DS28</f>
        <v>26214.953378259543</v>
      </c>
      <c r="DT48" s="165">
        <f t="shared" si="267"/>
        <v>25654.026102647254</v>
      </c>
      <c r="DU48" s="165">
        <f t="shared" si="267"/>
        <v>25422.511561091014</v>
      </c>
      <c r="DV48" s="165">
        <f t="shared" si="267"/>
        <v>27653.911254672068</v>
      </c>
      <c r="DW48" s="165">
        <f t="shared" si="267"/>
        <v>24384.624246756801</v>
      </c>
      <c r="DX48" s="165">
        <f t="shared" si="267"/>
        <v>22378.473584192128</v>
      </c>
      <c r="DY48" s="165">
        <f t="shared" si="267"/>
        <v>28343.502631669555</v>
      </c>
      <c r="DZ48" s="165">
        <f t="shared" si="267"/>
        <v>25755.571060919199</v>
      </c>
      <c r="EA48" s="165">
        <f t="shared" si="267"/>
        <v>30922.100539236453</v>
      </c>
      <c r="EB48" s="165">
        <f t="shared" si="267"/>
        <v>31578.80014455094</v>
      </c>
      <c r="EC48" s="165">
        <f t="shared" si="267"/>
        <v>29026.592678953504</v>
      </c>
      <c r="ED48" s="165">
        <f t="shared" si="267"/>
        <v>33712.386112717533</v>
      </c>
      <c r="EE48" s="168"/>
      <c r="EF48" s="165">
        <f>SUM(BK48:BM48)</f>
        <v>39801</v>
      </c>
      <c r="EG48" s="165">
        <f>SUM(BN48:BP48)</f>
        <v>36224</v>
      </c>
      <c r="EH48" s="165">
        <f>SUM(BQ48:BS48)</f>
        <v>38496</v>
      </c>
      <c r="EI48" s="165">
        <f>SUM(BT48:BV48)</f>
        <v>30520</v>
      </c>
      <c r="EJ48" s="165">
        <f>SUM(BW48:BY48)</f>
        <v>36363</v>
      </c>
      <c r="EK48" s="165">
        <f>SUM(CL48:CN48)</f>
        <v>41528</v>
      </c>
      <c r="EL48" s="165">
        <f>SUM(CC48:CE48)</f>
        <v>32922</v>
      </c>
      <c r="EM48" s="165">
        <f>SUM(CF48:CH48)</f>
        <v>37940</v>
      </c>
      <c r="EN48" s="165">
        <f>SUM(CI48:CK48)</f>
        <v>41936</v>
      </c>
      <c r="EO48" s="165">
        <f>SUM(CL48:CN48)</f>
        <v>41528</v>
      </c>
      <c r="EP48" s="165">
        <f>SUM(CO48:CQ48)</f>
        <v>49747</v>
      </c>
      <c r="EQ48" s="165">
        <f>SUM(CR48:CT48)</f>
        <v>60781</v>
      </c>
      <c r="ER48" s="165">
        <f>SUM(CU48:CW48)</f>
        <v>56792.072364934123</v>
      </c>
      <c r="ES48" s="165">
        <f>SUM(CX48:CZ48)</f>
        <v>55067.009086956605</v>
      </c>
      <c r="ET48" s="165">
        <f>SUM(DA48:DC48)</f>
        <v>63720.084427166425</v>
      </c>
      <c r="EU48" s="165">
        <f>SUM(DD48:DF48)</f>
        <v>71883.037050464132</v>
      </c>
      <c r="EV48" s="165">
        <f>SUM(DG48:DI48)</f>
        <v>67655.0850465041</v>
      </c>
      <c r="EW48" s="165">
        <f>SUM(DJ48:DL48)</f>
        <v>65279.206652733737</v>
      </c>
      <c r="EX48" s="165">
        <f>SUM(DM48:DO48)</f>
        <v>74717.662696239553</v>
      </c>
      <c r="EY48" s="165">
        <f>SUM(DP48:DR48)</f>
        <v>82975.635221572695</v>
      </c>
      <c r="EZ48" s="165">
        <f t="shared" si="83"/>
        <v>77291.491041997811</v>
      </c>
      <c r="FA48" s="165">
        <f t="shared" si="84"/>
        <v>74417.009085620986</v>
      </c>
      <c r="FB48" s="165">
        <f t="shared" si="85"/>
        <v>85021.174231825207</v>
      </c>
      <c r="FC48" s="165">
        <f t="shared" si="86"/>
        <v>94317.778936221977</v>
      </c>
      <c r="FE48" s="165">
        <f t="shared" si="87"/>
        <v>145041</v>
      </c>
      <c r="FF48" s="165">
        <f t="shared" si="88"/>
        <v>148753</v>
      </c>
      <c r="FG48" s="165">
        <f t="shared" si="89"/>
        <v>193992</v>
      </c>
      <c r="FH48" s="165">
        <f t="shared" si="90"/>
        <v>247462.20292952127</v>
      </c>
      <c r="FI48" s="165">
        <f t="shared" si="91"/>
        <v>290627.58961705008</v>
      </c>
      <c r="FJ48" s="165">
        <f t="shared" si="92"/>
        <v>331047.45329566597</v>
      </c>
    </row>
    <row r="49" spans="2:166" x14ac:dyDescent="0.2">
      <c r="B49" s="22" t="s">
        <v>14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68"/>
      <c r="EF49" s="165">
        <f>SUM(BK49:BM49)</f>
        <v>0</v>
      </c>
      <c r="EG49" s="165">
        <f>SUM(BN49:BP49)</f>
        <v>0</v>
      </c>
      <c r="EH49" s="165">
        <f>SUM(BQ49:BS49)</f>
        <v>0</v>
      </c>
      <c r="EI49" s="165">
        <f>SUM(BT49:BV49)</f>
        <v>0</v>
      </c>
      <c r="EJ49" s="165">
        <f>SUM(BW49:BY49)</f>
        <v>0</v>
      </c>
      <c r="EK49" s="165">
        <f>SUM(CL49:CN49)</f>
        <v>0</v>
      </c>
      <c r="EL49" s="165">
        <f>SUM(CC49:CE49)</f>
        <v>0</v>
      </c>
      <c r="EM49" s="165">
        <f>SUM(CF49:CH49)</f>
        <v>0</v>
      </c>
      <c r="EN49" s="165">
        <f>SUM(CI49:CK49)</f>
        <v>0</v>
      </c>
      <c r="EO49" s="165">
        <f>SUM(CL49:CN49)</f>
        <v>0</v>
      </c>
      <c r="EP49" s="165">
        <f>SUM(CO49:CQ49)</f>
        <v>0</v>
      </c>
      <c r="EQ49" s="165">
        <f>SUM(CR49:CT49)</f>
        <v>0</v>
      </c>
      <c r="ER49" s="165">
        <f>SUM(CU49:CW49)</f>
        <v>0</v>
      </c>
      <c r="ES49" s="165">
        <f>SUM(CX49:CZ49)</f>
        <v>0</v>
      </c>
      <c r="ET49" s="165">
        <f>SUM(DA49:DC49)</f>
        <v>0</v>
      </c>
      <c r="EU49" s="165">
        <f>SUM(DD49:DF49)</f>
        <v>0</v>
      </c>
      <c r="EV49" s="165">
        <f>SUM(DG49:DI49)</f>
        <v>0</v>
      </c>
      <c r="EW49" s="165">
        <f>SUM(DJ49:DL49)</f>
        <v>0</v>
      </c>
      <c r="EX49" s="165">
        <f>SUM(DM49:DO49)</f>
        <v>0</v>
      </c>
      <c r="EY49" s="165">
        <f>SUM(DP49:DR49)</f>
        <v>0</v>
      </c>
      <c r="EZ49" s="165">
        <f t="shared" si="83"/>
        <v>0</v>
      </c>
      <c r="FA49" s="165">
        <f t="shared" si="84"/>
        <v>0</v>
      </c>
      <c r="FB49" s="165">
        <f t="shared" si="85"/>
        <v>0</v>
      </c>
      <c r="FC49" s="165">
        <f t="shared" si="86"/>
        <v>0</v>
      </c>
      <c r="FE49" s="165">
        <f t="shared" si="87"/>
        <v>0</v>
      </c>
      <c r="FF49" s="165">
        <f t="shared" si="88"/>
        <v>0</v>
      </c>
      <c r="FG49" s="165">
        <f t="shared" si="89"/>
        <v>0</v>
      </c>
      <c r="FH49" s="165">
        <f t="shared" si="90"/>
        <v>0</v>
      </c>
      <c r="FI49" s="165">
        <f t="shared" si="91"/>
        <v>0</v>
      </c>
      <c r="FJ49" s="165">
        <f t="shared" si="92"/>
        <v>0</v>
      </c>
    </row>
    <row r="50" spans="2:166" x14ac:dyDescent="0.2">
      <c r="B50" s="22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68"/>
      <c r="EF50" s="165"/>
      <c r="EG50" s="165"/>
      <c r="EH50" s="165"/>
      <c r="EI50" s="165"/>
      <c r="EJ50" s="165"/>
      <c r="EK50" s="165"/>
      <c r="EL50" s="165"/>
      <c r="EM50" s="165"/>
      <c r="EN50" s="165"/>
      <c r="EO50" s="165"/>
      <c r="EP50" s="165"/>
      <c r="EQ50" s="165"/>
      <c r="ER50" s="165"/>
      <c r="ES50" s="165"/>
      <c r="ET50" s="165"/>
      <c r="EU50" s="165"/>
      <c r="EV50" s="165"/>
      <c r="EW50" s="165"/>
      <c r="EX50" s="165"/>
      <c r="EY50" s="165"/>
      <c r="EZ50" s="165">
        <f t="shared" si="83"/>
        <v>0</v>
      </c>
      <c r="FA50" s="165">
        <f t="shared" si="84"/>
        <v>0</v>
      </c>
      <c r="FB50" s="165">
        <f t="shared" si="85"/>
        <v>0</v>
      </c>
      <c r="FC50" s="165">
        <f t="shared" si="86"/>
        <v>0</v>
      </c>
      <c r="FE50" s="165"/>
      <c r="FF50" s="165"/>
      <c r="FG50" s="165"/>
      <c r="FH50" s="165"/>
      <c r="FI50" s="165"/>
      <c r="FJ50" s="165"/>
    </row>
    <row r="51" spans="2:166" s="30" customFormat="1" x14ac:dyDescent="0.2">
      <c r="B51" s="23" t="s">
        <v>18</v>
      </c>
      <c r="C51" s="180">
        <f>SUM(C52:C54)</f>
        <v>5337303</v>
      </c>
      <c r="D51" s="180">
        <f t="shared" ref="D51:BO51" si="268">SUM(D52:D54)</f>
        <v>5928574.727146714</v>
      </c>
      <c r="E51" s="180">
        <f t="shared" si="268"/>
        <v>5220342.011460687</v>
      </c>
      <c r="F51" s="180">
        <f t="shared" si="268"/>
        <v>8931326.3157385718</v>
      </c>
      <c r="G51" s="180">
        <f t="shared" si="268"/>
        <v>6794675.8106614156</v>
      </c>
      <c r="H51" s="180">
        <f t="shared" si="268"/>
        <v>5307917.5767754726</v>
      </c>
      <c r="I51" s="180">
        <f t="shared" si="268"/>
        <v>5965095.5015817136</v>
      </c>
      <c r="J51" s="180">
        <f t="shared" si="268"/>
        <v>6879744.2414285708</v>
      </c>
      <c r="K51" s="180">
        <f t="shared" si="268"/>
        <v>8919662.0542857144</v>
      </c>
      <c r="L51" s="180">
        <f t="shared" si="268"/>
        <v>10700994.701921871</v>
      </c>
      <c r="M51" s="180">
        <f t="shared" si="268"/>
        <v>16502031.839440562</v>
      </c>
      <c r="N51" s="180">
        <f t="shared" si="268"/>
        <v>25050957.036921158</v>
      </c>
      <c r="O51" s="180">
        <f t="shared" si="268"/>
        <v>35237894.403804846</v>
      </c>
      <c r="P51" s="180">
        <f t="shared" si="268"/>
        <v>39814409.540327623</v>
      </c>
      <c r="Q51" s="180">
        <f t="shared" si="268"/>
        <v>37617973.160096698</v>
      </c>
      <c r="R51" s="180">
        <f t="shared" si="268"/>
        <v>48055441.946787909</v>
      </c>
      <c r="S51" s="180">
        <f t="shared" si="268"/>
        <v>30946016.001158632</v>
      </c>
      <c r="T51" s="180">
        <f t="shared" si="268"/>
        <v>40144216.549231574</v>
      </c>
      <c r="U51" s="180">
        <f t="shared" si="268"/>
        <v>31969082.880094338</v>
      </c>
      <c r="V51" s="180">
        <f t="shared" si="268"/>
        <v>17944523.58752675</v>
      </c>
      <c r="W51" s="180">
        <f t="shared" si="268"/>
        <v>27250867.171467986</v>
      </c>
      <c r="X51" s="180">
        <f t="shared" si="268"/>
        <v>34168421.502363987</v>
      </c>
      <c r="Y51" s="180">
        <f t="shared" si="268"/>
        <v>24335434.209405072</v>
      </c>
      <c r="Z51" s="180">
        <f t="shared" si="268"/>
        <v>23158547.046240967</v>
      </c>
      <c r="AA51" s="180">
        <f t="shared" si="268"/>
        <v>2453417.0939875464</v>
      </c>
      <c r="AB51" s="180">
        <f t="shared" si="268"/>
        <v>26297901.207948342</v>
      </c>
      <c r="AC51" s="180">
        <f t="shared" si="268"/>
        <v>22811619.396097142</v>
      </c>
      <c r="AD51" s="180">
        <f t="shared" si="268"/>
        <v>20928343.830875341</v>
      </c>
      <c r="AE51" s="180">
        <f t="shared" si="268"/>
        <v>25126308.336289678</v>
      </c>
      <c r="AF51" s="180">
        <f t="shared" si="268"/>
        <v>31605876.215155281</v>
      </c>
      <c r="AG51" s="180">
        <f t="shared" si="268"/>
        <v>38332045.441324607</v>
      </c>
      <c r="AH51" s="180">
        <f t="shared" si="268"/>
        <v>46073891.355910569</v>
      </c>
      <c r="AI51" s="180">
        <f t="shared" si="268"/>
        <v>74470484.242938355</v>
      </c>
      <c r="AJ51" s="180">
        <f t="shared" si="268"/>
        <v>88441486.339048073</v>
      </c>
      <c r="AK51" s="180">
        <f t="shared" si="268"/>
        <v>70104499.302923247</v>
      </c>
      <c r="AL51" s="180">
        <f t="shared" si="268"/>
        <v>70035734.889950305</v>
      </c>
      <c r="AM51" s="180">
        <f t="shared" si="268"/>
        <v>50163433.661040343</v>
      </c>
      <c r="AN51" s="180">
        <f t="shared" si="268"/>
        <v>25227935.659447063</v>
      </c>
      <c r="AO51" s="180">
        <f t="shared" si="268"/>
        <v>53211918.833733499</v>
      </c>
      <c r="AP51" s="180">
        <f t="shared" si="268"/>
        <v>65006990.489865392</v>
      </c>
      <c r="AQ51" s="180">
        <f t="shared" si="268"/>
        <v>76889180.824935928</v>
      </c>
      <c r="AR51" s="180">
        <f t="shared" si="268"/>
        <v>96168679.243745193</v>
      </c>
      <c r="AS51" s="180">
        <f t="shared" si="268"/>
        <v>103731360.17049861</v>
      </c>
      <c r="AT51" s="180">
        <f t="shared" si="268"/>
        <v>127413089.55733055</v>
      </c>
      <c r="AU51" s="180">
        <f t="shared" si="268"/>
        <v>150879535.58318937</v>
      </c>
      <c r="AV51" s="180">
        <f t="shared" si="268"/>
        <v>163999636.54160613</v>
      </c>
      <c r="AW51" s="180">
        <f t="shared" si="268"/>
        <v>167871292.30114055</v>
      </c>
      <c r="AX51" s="180">
        <f t="shared" si="268"/>
        <v>172662870.36348608</v>
      </c>
      <c r="AY51" s="180">
        <f t="shared" si="268"/>
        <v>130141624.47506633</v>
      </c>
      <c r="AZ51" s="180">
        <f t="shared" si="268"/>
        <v>157716764.64714915</v>
      </c>
      <c r="BA51" s="180">
        <f t="shared" si="268"/>
        <v>183391576.11602139</v>
      </c>
      <c r="BB51" s="180">
        <f t="shared" si="268"/>
        <v>178919005.64810747</v>
      </c>
      <c r="BC51" s="180">
        <f t="shared" si="268"/>
        <v>172434663.1032491</v>
      </c>
      <c r="BD51" s="180">
        <f t="shared" si="268"/>
        <v>168706188.0497191</v>
      </c>
      <c r="BE51" s="180">
        <f t="shared" si="268"/>
        <v>198160809.56189251</v>
      </c>
      <c r="BF51" s="180">
        <f t="shared" si="268"/>
        <v>207791391.1999886</v>
      </c>
      <c r="BG51" s="180">
        <f t="shared" si="268"/>
        <v>241865777.8122794</v>
      </c>
      <c r="BH51" s="180">
        <f t="shared" si="268"/>
        <v>269166374.48054087</v>
      </c>
      <c r="BI51" s="180">
        <f t="shared" si="268"/>
        <v>284875391.9856143</v>
      </c>
      <c r="BJ51" s="180">
        <f t="shared" si="268"/>
        <v>398228873.14707512</v>
      </c>
      <c r="BK51" s="180">
        <f t="shared" si="268"/>
        <v>409423791.19018304</v>
      </c>
      <c r="BL51" s="180">
        <f t="shared" si="268"/>
        <v>401263460.53543919</v>
      </c>
      <c r="BM51" s="180">
        <f t="shared" si="268"/>
        <v>416042061.23908472</v>
      </c>
      <c r="BN51" s="180">
        <f t="shared" si="268"/>
        <v>336168798.52579916</v>
      </c>
      <c r="BO51" s="180">
        <f t="shared" si="268"/>
        <v>351298972.19095707</v>
      </c>
      <c r="BP51" s="180">
        <f t="shared" ref="BP51:EA51" si="269">SUM(BP52:BP54)</f>
        <v>367589249.76997113</v>
      </c>
      <c r="BQ51" s="180">
        <f t="shared" si="269"/>
        <v>548021455.48509908</v>
      </c>
      <c r="BR51" s="180">
        <f t="shared" si="269"/>
        <v>449659365.56172836</v>
      </c>
      <c r="BS51" s="180">
        <f t="shared" si="269"/>
        <v>397053164.24299866</v>
      </c>
      <c r="BT51" s="180">
        <f t="shared" si="269"/>
        <v>370362077.83198321</v>
      </c>
      <c r="BU51" s="180">
        <f t="shared" si="269"/>
        <v>291790179.85301352</v>
      </c>
      <c r="BV51" s="180">
        <f t="shared" si="269"/>
        <v>381061935.0377866</v>
      </c>
      <c r="BW51" s="180">
        <f t="shared" si="269"/>
        <v>395899308.49220383</v>
      </c>
      <c r="BX51" s="180">
        <f t="shared" si="269"/>
        <v>404938706.44998717</v>
      </c>
      <c r="BY51" s="180">
        <f t="shared" si="269"/>
        <v>424475084.58372176</v>
      </c>
      <c r="BZ51" s="180">
        <f t="shared" si="269"/>
        <v>420145527.30259562</v>
      </c>
      <c r="CA51" s="180">
        <f t="shared" si="269"/>
        <v>371883170.95367169</v>
      </c>
      <c r="CB51" s="180">
        <f t="shared" si="269"/>
        <v>354937305.25207663</v>
      </c>
      <c r="CC51" s="180">
        <f t="shared" si="269"/>
        <v>437939186.67802858</v>
      </c>
      <c r="CD51" s="180">
        <f t="shared" si="269"/>
        <v>407868136.61477065</v>
      </c>
      <c r="CE51" s="180">
        <f t="shared" si="269"/>
        <v>491930316.7031399</v>
      </c>
      <c r="CF51" s="180">
        <f t="shared" si="269"/>
        <v>530770991.83800894</v>
      </c>
      <c r="CG51" s="180">
        <f t="shared" si="269"/>
        <v>509454236.81146634</v>
      </c>
      <c r="CH51" s="180">
        <f t="shared" si="269"/>
        <v>649735037.99656105</v>
      </c>
      <c r="CI51" s="180">
        <f t="shared" si="269"/>
        <v>596924924.62660801</v>
      </c>
      <c r="CJ51" s="180">
        <f t="shared" si="269"/>
        <v>583098635.83854461</v>
      </c>
      <c r="CK51" s="180">
        <f t="shared" si="269"/>
        <v>582347597.91407835</v>
      </c>
      <c r="CL51" s="180">
        <f t="shared" si="269"/>
        <v>628978862.46461165</v>
      </c>
      <c r="CM51" s="180">
        <f t="shared" si="269"/>
        <v>526215807.92329311</v>
      </c>
      <c r="CN51" s="180">
        <f t="shared" si="269"/>
        <v>589147058.72333133</v>
      </c>
      <c r="CO51" s="180">
        <f t="shared" si="269"/>
        <v>672137697.81227028</v>
      </c>
      <c r="CP51" s="180">
        <f t="shared" si="269"/>
        <v>627340580.04329991</v>
      </c>
      <c r="CQ51" s="180">
        <f t="shared" si="269"/>
        <v>789931761.28103566</v>
      </c>
      <c r="CR51" s="180">
        <f t="shared" si="269"/>
        <v>858720120.63236332</v>
      </c>
      <c r="CS51" s="180">
        <f t="shared" si="269"/>
        <v>781605365.05866933</v>
      </c>
      <c r="CT51" s="180">
        <f t="shared" si="269"/>
        <v>936309700.31027019</v>
      </c>
      <c r="CU51" s="180">
        <f t="shared" si="269"/>
        <v>798570335.41382194</v>
      </c>
      <c r="CV51" s="180">
        <f t="shared" si="269"/>
        <v>790572336.50994897</v>
      </c>
      <c r="CW51" s="180">
        <f t="shared" si="269"/>
        <v>788750853.64402151</v>
      </c>
      <c r="CX51" s="180">
        <f t="shared" si="269"/>
        <v>835695109.35207248</v>
      </c>
      <c r="CY51" s="180">
        <f t="shared" si="269"/>
        <v>757363346.3898195</v>
      </c>
      <c r="CZ51" s="180">
        <f t="shared" si="269"/>
        <v>749846366.35771298</v>
      </c>
      <c r="DA51" s="180">
        <f t="shared" si="269"/>
        <v>854412732.97098446</v>
      </c>
      <c r="DB51" s="180">
        <f t="shared" si="269"/>
        <v>809204857.21275139</v>
      </c>
      <c r="DC51" s="180">
        <f t="shared" si="269"/>
        <v>983088087.13833857</v>
      </c>
      <c r="DD51" s="180">
        <f t="shared" si="269"/>
        <v>1029088233.4724253</v>
      </c>
      <c r="DE51" s="180">
        <f t="shared" si="269"/>
        <v>922069556.73705924</v>
      </c>
      <c r="DF51" s="180">
        <f t="shared" si="269"/>
        <v>1048984276.8806651</v>
      </c>
      <c r="DG51" s="180">
        <f t="shared" si="269"/>
        <v>969555645.69249749</v>
      </c>
      <c r="DH51" s="180">
        <f t="shared" si="269"/>
        <v>961122982.67583656</v>
      </c>
      <c r="DI51" s="180">
        <f t="shared" si="269"/>
        <v>955916335.26392281</v>
      </c>
      <c r="DJ51" s="180">
        <f t="shared" si="269"/>
        <v>1012797559.1918211</v>
      </c>
      <c r="DK51" s="180">
        <f t="shared" si="269"/>
        <v>916625055.17680788</v>
      </c>
      <c r="DL51" s="180">
        <f t="shared" si="269"/>
        <v>905374141.79701304</v>
      </c>
      <c r="DM51" s="180">
        <f t="shared" si="269"/>
        <v>1030812622.1754589</v>
      </c>
      <c r="DN51" s="180">
        <f t="shared" si="269"/>
        <v>972920224.46291876</v>
      </c>
      <c r="DO51" s="180">
        <f t="shared" si="269"/>
        <v>1178838077.0553339</v>
      </c>
      <c r="DP51" s="180">
        <f t="shared" si="269"/>
        <v>1230692170.9484966</v>
      </c>
      <c r="DQ51" s="180">
        <f t="shared" si="269"/>
        <v>1099959105.6513071</v>
      </c>
      <c r="DR51" s="180">
        <f t="shared" si="269"/>
        <v>1242559660.1464374</v>
      </c>
      <c r="DS51" s="180">
        <f t="shared" si="269"/>
        <v>1127267828.4274118</v>
      </c>
      <c r="DT51" s="180">
        <f t="shared" si="269"/>
        <v>1117145090.5421042</v>
      </c>
      <c r="DU51" s="180">
        <f t="shared" si="269"/>
        <v>1110776931.0944781</v>
      </c>
      <c r="DV51" s="180">
        <f t="shared" si="269"/>
        <v>1175757360.9207573</v>
      </c>
      <c r="DW51" s="180">
        <f t="shared" si="269"/>
        <v>1064174534.5240687</v>
      </c>
      <c r="DX51" s="180">
        <f t="shared" si="269"/>
        <v>1052118147.4877584</v>
      </c>
      <c r="DY51" s="180">
        <f t="shared" si="269"/>
        <v>1194765132.7261348</v>
      </c>
      <c r="DZ51" s="180">
        <f t="shared" si="269"/>
        <v>1128309269.0242639</v>
      </c>
      <c r="EA51" s="180">
        <f t="shared" si="269"/>
        <v>1367163887.1265697</v>
      </c>
      <c r="EB51" s="180">
        <f t="shared" ref="EB51:ED51" si="270">SUM(EB52:EB54)</f>
        <v>1427802730.9998741</v>
      </c>
      <c r="EC51" s="180">
        <f t="shared" si="270"/>
        <v>1274886487.9511812</v>
      </c>
      <c r="ED51" s="180">
        <f t="shared" si="270"/>
        <v>1438932225.7877011</v>
      </c>
      <c r="EE51" s="333"/>
      <c r="EF51" s="224">
        <f>SUM(BK51:BM51)</f>
        <v>1226729312.9647069</v>
      </c>
      <c r="EG51" s="224">
        <f>SUM(BN51:BP51)</f>
        <v>1055057020.4867274</v>
      </c>
      <c r="EH51" s="224">
        <f>SUM(BQ51:BS51)</f>
        <v>1394733985.2898262</v>
      </c>
      <c r="EI51" s="224">
        <f>SUM(BT51:BV51)</f>
        <v>1043214192.7227833</v>
      </c>
      <c r="EJ51" s="224">
        <f>SUM(BW51:BY51)</f>
        <v>1225313099.5259128</v>
      </c>
      <c r="EK51" s="224">
        <f>SUM(CL51:CN51)</f>
        <v>1744341729.1112361</v>
      </c>
      <c r="EL51" s="224">
        <f>SUM(CC51:CE51)</f>
        <v>1337737639.9959393</v>
      </c>
      <c r="EM51" s="224">
        <f>SUM(CF51:CH51)</f>
        <v>1689960266.6460364</v>
      </c>
      <c r="EN51" s="224">
        <f>SUM(CI51:CK51)</f>
        <v>1762371158.379231</v>
      </c>
      <c r="EO51" s="224">
        <f>SUM(CL51:CN51)</f>
        <v>1744341729.1112361</v>
      </c>
      <c r="EP51" s="224">
        <f>SUM(CO51:CQ51)</f>
        <v>2089410039.136606</v>
      </c>
      <c r="EQ51" s="224">
        <f>SUM(CR51:CT51)</f>
        <v>2576635186.0013027</v>
      </c>
      <c r="ER51" s="224">
        <f>SUM(CU51:CW51)</f>
        <v>2377893525.5677924</v>
      </c>
      <c r="ES51" s="224">
        <f>SUM(CX51:CZ51)</f>
        <v>2342904822.0996046</v>
      </c>
      <c r="ET51" s="224">
        <f>SUM(DA51:DC51)</f>
        <v>2646705677.3220744</v>
      </c>
      <c r="EU51" s="224">
        <f>SUM(DD51:DF51)</f>
        <v>3000142067.0901499</v>
      </c>
      <c r="EV51" s="224">
        <f>SUM(DG51:DI51)</f>
        <v>2886594963.632257</v>
      </c>
      <c r="EW51" s="224">
        <f>SUM(DJ51:DL51)</f>
        <v>2834796756.1656418</v>
      </c>
      <c r="EX51" s="224">
        <f>SUM(DM51:DO51)</f>
        <v>3182570923.6937113</v>
      </c>
      <c r="EY51" s="224">
        <f>SUM(DP51:DR51)</f>
        <v>3573210936.7462416</v>
      </c>
      <c r="EZ51" s="224">
        <f t="shared" si="83"/>
        <v>3355189850.0639939</v>
      </c>
      <c r="FA51" s="224">
        <f t="shared" si="84"/>
        <v>3292050042.9325848</v>
      </c>
      <c r="FB51" s="224">
        <f t="shared" si="85"/>
        <v>3690238288.8769684</v>
      </c>
      <c r="FC51" s="224">
        <f t="shared" si="86"/>
        <v>4141621444.7387567</v>
      </c>
      <c r="FE51" s="224">
        <f t="shared" si="87"/>
        <v>4719734511.4640436</v>
      </c>
      <c r="FF51" s="224">
        <f t="shared" si="88"/>
        <v>5997352735.2791243</v>
      </c>
      <c r="FG51" s="224">
        <f t="shared" si="89"/>
        <v>8172758112.628376</v>
      </c>
      <c r="FH51" s="224">
        <f t="shared" si="90"/>
        <v>10367646092.07962</v>
      </c>
      <c r="FI51" s="224">
        <f t="shared" si="91"/>
        <v>12477173580.237854</v>
      </c>
      <c r="FJ51" s="224">
        <f t="shared" si="92"/>
        <v>14479099626.612303</v>
      </c>
    </row>
    <row r="52" spans="2:166" x14ac:dyDescent="0.2">
      <c r="B52" s="155" t="s">
        <v>227</v>
      </c>
      <c r="C52" s="19">
        <f>'P&amp;L - Inputs'!B698</f>
        <v>5337303</v>
      </c>
      <c r="D52" s="19">
        <f>'P&amp;L - Inputs'!C698</f>
        <v>5928574.727146714</v>
      </c>
      <c r="E52" s="19">
        <f>'P&amp;L - Inputs'!D698</f>
        <v>5220342.011460687</v>
      </c>
      <c r="F52" s="19">
        <f>'P&amp;L - Inputs'!E698</f>
        <v>8931326.3157385718</v>
      </c>
      <c r="G52" s="19">
        <f>'P&amp;L - Inputs'!F698</f>
        <v>6794675.8106614156</v>
      </c>
      <c r="H52" s="19">
        <f>'P&amp;L - Inputs'!G698</f>
        <v>5307917.5767754726</v>
      </c>
      <c r="I52" s="19">
        <f>'P&amp;L - Inputs'!H698</f>
        <v>5965095.5015817136</v>
      </c>
      <c r="J52" s="19">
        <f>'P&amp;L - Inputs'!I698</f>
        <v>6879744.2414285708</v>
      </c>
      <c r="K52" s="19">
        <f>'P&amp;L - Inputs'!J698</f>
        <v>8919662.0542857144</v>
      </c>
      <c r="L52" s="19">
        <f>'P&amp;L - Inputs'!K698</f>
        <v>10306459.287137477</v>
      </c>
      <c r="M52" s="19">
        <f>'P&amp;L - Inputs'!L698</f>
        <v>14068185.789090911</v>
      </c>
      <c r="N52" s="19">
        <f>'P&amp;L - Inputs'!M698</f>
        <v>11240365.022662601</v>
      </c>
      <c r="O52" s="19">
        <f>'P&amp;L - Inputs'!N698</f>
        <v>15132435.035363087</v>
      </c>
      <c r="P52" s="19">
        <f>'P&amp;L - Inputs'!O698</f>
        <v>16866183.354075696</v>
      </c>
      <c r="Q52" s="19">
        <f>'P&amp;L - Inputs'!P698</f>
        <v>22455851.905629691</v>
      </c>
      <c r="R52" s="19">
        <f>'P&amp;L - Inputs'!Q698</f>
        <v>16856095.559604689</v>
      </c>
      <c r="S52" s="19">
        <f>'P&amp;L - Inputs'!R698</f>
        <v>11080417.401609642</v>
      </c>
      <c r="T52" s="19">
        <f>'P&amp;L - Inputs'!S698</f>
        <v>7662319.3236500174</v>
      </c>
      <c r="U52" s="19">
        <f>'P&amp;L - Inputs'!T698</f>
        <v>6399778.4638679251</v>
      </c>
      <c r="V52" s="19">
        <f>'P&amp;L - Inputs'!U698</f>
        <v>9965065.9585753586</v>
      </c>
      <c r="W52" s="19">
        <f>'P&amp;L - Inputs'!V698</f>
        <v>13759703.734462716</v>
      </c>
      <c r="X52" s="19">
        <f>'P&amp;L - Inputs'!W698</f>
        <v>12695137.866419384</v>
      </c>
      <c r="Y52" s="19">
        <f>'P&amp;L - Inputs'!X698</f>
        <v>22773300.773799684</v>
      </c>
      <c r="Z52" s="19">
        <f>'P&amp;L - Inputs'!Y698</f>
        <v>10260136.529428639</v>
      </c>
      <c r="AA52" s="19">
        <f>'P&amp;L - Inputs'!Z698</f>
        <v>4670376.633987546</v>
      </c>
      <c r="AB52" s="19">
        <f>'P&amp;L - Inputs'!AA698</f>
        <v>9538891.3959602639</v>
      </c>
      <c r="AC52" s="19">
        <f>'P&amp;L - Inputs'!AB698</f>
        <v>9607592.5629407912</v>
      </c>
      <c r="AD52" s="19">
        <f>'P&amp;L - Inputs'!AC698</f>
        <v>13158335.633498894</v>
      </c>
      <c r="AE52" s="19">
        <f>'P&amp;L - Inputs'!AD698</f>
        <v>15181147.295739416</v>
      </c>
      <c r="AF52" s="19">
        <f>'P&amp;L - Inputs'!AE698</f>
        <v>16967895.909264099</v>
      </c>
      <c r="AG52" s="19">
        <f>'P&amp;L - Inputs'!AF698</f>
        <v>15324532.598110583</v>
      </c>
      <c r="AH52" s="19">
        <f>'P&amp;L - Inputs'!AG698</f>
        <v>20445361.097537849</v>
      </c>
      <c r="AI52" s="19">
        <f>'P&amp;L - Inputs'!AH698</f>
        <v>23184790.000057917</v>
      </c>
      <c r="AJ52" s="19">
        <f>'P&amp;L - Inputs'!AI698</f>
        <v>33802620.784833528</v>
      </c>
      <c r="AK52" s="19">
        <f>'P&amp;L - Inputs'!AJ698</f>
        <v>27440277.834669031</v>
      </c>
      <c r="AL52" s="19">
        <f>'P&amp;L - Inputs'!AK698</f>
        <v>20901426.622294001</v>
      </c>
      <c r="AM52" s="19">
        <f>'P&amp;L - Inputs'!AL698</f>
        <v>17423884.703904081</v>
      </c>
      <c r="AN52" s="19">
        <f>'P&amp;L - Inputs'!AM698</f>
        <v>14706730.264181044</v>
      </c>
      <c r="AO52" s="19">
        <f>'P&amp;L - Inputs'!AN698</f>
        <v>27063634.189431388</v>
      </c>
      <c r="AP52" s="19">
        <f>'P&amp;L - Inputs'!AO698</f>
        <v>36675106.605863512</v>
      </c>
      <c r="AQ52" s="19">
        <f>'P&amp;L - Inputs'!AP698</f>
        <v>46994134.556269594</v>
      </c>
      <c r="AR52" s="19">
        <f>'P&amp;L - Inputs'!AQ698</f>
        <v>54991095.433349028</v>
      </c>
      <c r="AS52" s="19">
        <f>'P&amp;L - Inputs'!AR698</f>
        <v>52098426.261857599</v>
      </c>
      <c r="AT52" s="19">
        <f>'P&amp;L - Inputs'!AS698</f>
        <v>44383264.739341162</v>
      </c>
      <c r="AU52" s="19">
        <f>'P&amp;L - Inputs'!AT698</f>
        <v>51736960.289862394</v>
      </c>
      <c r="AV52" s="19">
        <f>'P&amp;L - Inputs'!AU698</f>
        <v>59141151.778395787</v>
      </c>
      <c r="AW52" s="19">
        <f>'P&amp;L - Inputs'!AV698</f>
        <v>63316519.591568999</v>
      </c>
      <c r="AX52" s="19">
        <f>'P&amp;L - Inputs'!AW698</f>
        <v>71132821.557473883</v>
      </c>
      <c r="AY52" s="19">
        <f>'P&amp;L - Inputs'!AX698</f>
        <v>40558021.809097186</v>
      </c>
      <c r="AZ52" s="19">
        <f>'P&amp;L - Inputs'!AY698</f>
        <v>40382868.374712646</v>
      </c>
      <c r="BA52" s="19">
        <f>'P&amp;L - Inputs'!AZ698</f>
        <v>34994119.303183272</v>
      </c>
      <c r="BB52" s="19">
        <f>'P&amp;L - Inputs'!BA698</f>
        <v>32395390.870149881</v>
      </c>
      <c r="BC52" s="19">
        <f>'P&amp;L - Inputs'!BB698</f>
        <v>27668216.830732856</v>
      </c>
      <c r="BD52" s="19">
        <f>'P&amp;L - Inputs'!BC698</f>
        <v>15128262.127808513</v>
      </c>
      <c r="BE52" s="19">
        <f>'P&amp;L - Inputs'!BD698</f>
        <v>7716858.0434657698</v>
      </c>
      <c r="BF52" s="19">
        <f>'P&amp;L - Inputs'!BE698</f>
        <v>21455546.95643191</v>
      </c>
      <c r="BG52" s="19">
        <f>'P&amp;L - Inputs'!BF698</f>
        <v>32043913.678336289</v>
      </c>
      <c r="BH52" s="19">
        <f>'P&amp;L - Inputs'!BG698</f>
        <v>36803690.364186428</v>
      </c>
      <c r="BI52" s="19">
        <f>'P&amp;L - Inputs'!BH698</f>
        <v>32717935.642737795</v>
      </c>
      <c r="BJ52" s="19">
        <f>'P&amp;L - Inputs'!BI698</f>
        <v>38659573.562137306</v>
      </c>
      <c r="BK52" s="19">
        <f>'P&amp;L - Inputs'!BJ698</f>
        <v>0</v>
      </c>
      <c r="BL52" s="19">
        <f>'P&amp;L - Inputs'!BK698</f>
        <v>0</v>
      </c>
      <c r="BM52" s="19">
        <f>'P&amp;L - Inputs'!BL698</f>
        <v>0</v>
      </c>
      <c r="BN52" s="19">
        <f>'P&amp;L - Inputs'!BM698</f>
        <v>0</v>
      </c>
      <c r="BO52" s="19">
        <f>'P&amp;L - Inputs'!BN698</f>
        <v>0</v>
      </c>
      <c r="BP52" s="19">
        <f>'P&amp;L - Inputs'!BO698</f>
        <v>0</v>
      </c>
      <c r="BQ52" s="19">
        <f>'P&amp;L - Inputs'!BP698</f>
        <v>0</v>
      </c>
      <c r="BR52" s="19">
        <f>'P&amp;L - Inputs'!BQ698</f>
        <v>0</v>
      </c>
      <c r="BS52" s="19">
        <f>'P&amp;L - Inputs'!BR698</f>
        <v>0</v>
      </c>
      <c r="BT52" s="19">
        <f>'P&amp;L - Inputs'!BS698</f>
        <v>0</v>
      </c>
      <c r="BU52" s="19">
        <f>'P&amp;L - Inputs'!BT698</f>
        <v>0</v>
      </c>
      <c r="BV52" s="19">
        <f>'P&amp;L - Inputs'!BU698</f>
        <v>0</v>
      </c>
      <c r="BW52" s="19">
        <f>'P&amp;L - Inputs'!BV698</f>
        <v>0</v>
      </c>
      <c r="BX52" s="19">
        <f>'P&amp;L - Inputs'!BW698</f>
        <v>0</v>
      </c>
      <c r="BY52" s="19">
        <f>'P&amp;L - Inputs'!BX698</f>
        <v>0</v>
      </c>
      <c r="BZ52" s="19">
        <f>'P&amp;L - Inputs'!BY698</f>
        <v>0</v>
      </c>
      <c r="CA52" s="19">
        <f>'P&amp;L - Inputs'!BZ698</f>
        <v>0</v>
      </c>
      <c r="CB52" s="19">
        <f>'P&amp;L - Inputs'!CA698</f>
        <v>0</v>
      </c>
      <c r="CC52" s="19">
        <f>'P&amp;L - Inputs'!CB698</f>
        <v>0</v>
      </c>
      <c r="CD52" s="19">
        <f>'P&amp;L - Inputs'!CC698</f>
        <v>0</v>
      </c>
      <c r="CE52" s="19">
        <f>'P&amp;L - Inputs'!CD698</f>
        <v>0</v>
      </c>
      <c r="CF52" s="19">
        <f>'P&amp;L - Inputs'!CE698</f>
        <v>0</v>
      </c>
      <c r="CG52" s="19">
        <f>'P&amp;L - Inputs'!CF698</f>
        <v>0</v>
      </c>
      <c r="CH52" s="19">
        <f>'P&amp;L - Inputs'!CG698</f>
        <v>0</v>
      </c>
      <c r="CI52" s="19">
        <f>'P&amp;L - Inputs'!CH698</f>
        <v>0</v>
      </c>
      <c r="CJ52" s="19">
        <f>'P&amp;L - Inputs'!CI698</f>
        <v>0</v>
      </c>
      <c r="CK52" s="19">
        <f>'P&amp;L - Inputs'!CJ698</f>
        <v>0</v>
      </c>
      <c r="CL52" s="19">
        <f>'P&amp;L - Inputs'!CK698</f>
        <v>0</v>
      </c>
      <c r="CM52" s="19">
        <f>'P&amp;L - Inputs'!CL698</f>
        <v>0</v>
      </c>
      <c r="CN52" s="19">
        <f>'P&amp;L - Inputs'!CM698</f>
        <v>0</v>
      </c>
      <c r="CO52" s="19">
        <f>'P&amp;L - Inputs'!CN698</f>
        <v>0</v>
      </c>
      <c r="CP52" s="19">
        <f>'P&amp;L - Inputs'!CO698</f>
        <v>0</v>
      </c>
      <c r="CQ52" s="19">
        <f>'P&amp;L - Inputs'!CP698</f>
        <v>0</v>
      </c>
      <c r="CR52" s="19">
        <f>'P&amp;L - Inputs'!CQ698</f>
        <v>0</v>
      </c>
      <c r="CS52" s="19">
        <f>'P&amp;L - Inputs'!CR698</f>
        <v>0</v>
      </c>
      <c r="CT52" s="19">
        <f>'P&amp;L - Inputs'!CS698</f>
        <v>0</v>
      </c>
      <c r="CU52" s="19">
        <f>'P&amp;L - Inputs'!CT698</f>
        <v>0</v>
      </c>
      <c r="CV52" s="19">
        <f>'P&amp;L - Inputs'!CU698</f>
        <v>0</v>
      </c>
      <c r="CW52" s="19">
        <f>'P&amp;L - Inputs'!CV698</f>
        <v>0</v>
      </c>
      <c r="CX52" s="19">
        <f>'P&amp;L - Inputs'!CW698</f>
        <v>0</v>
      </c>
      <c r="CY52" s="19">
        <f>'P&amp;L - Inputs'!CX698</f>
        <v>0</v>
      </c>
      <c r="CZ52" s="19">
        <f>'P&amp;L - Inputs'!CY698</f>
        <v>0</v>
      </c>
      <c r="DA52" s="19">
        <f>'P&amp;L - Inputs'!CZ698</f>
        <v>0</v>
      </c>
      <c r="DB52" s="19">
        <f>'P&amp;L - Inputs'!DA698</f>
        <v>0</v>
      </c>
      <c r="DC52" s="19">
        <f>'P&amp;L - Inputs'!DB698</f>
        <v>0</v>
      </c>
      <c r="DD52" s="19">
        <f>'P&amp;L - Inputs'!DC698</f>
        <v>0</v>
      </c>
      <c r="DE52" s="19">
        <f>'P&amp;L - Inputs'!DD698</f>
        <v>0</v>
      </c>
      <c r="DF52" s="19">
        <f>'P&amp;L - Inputs'!DE698</f>
        <v>0</v>
      </c>
      <c r="DG52" s="19">
        <f>'P&amp;L - Inputs'!DF698</f>
        <v>0</v>
      </c>
      <c r="DH52" s="19">
        <f>'P&amp;L - Inputs'!DG698</f>
        <v>0</v>
      </c>
      <c r="DI52" s="19">
        <f>'P&amp;L - Inputs'!DH698</f>
        <v>0</v>
      </c>
      <c r="DJ52" s="19">
        <f>'P&amp;L - Inputs'!DI698</f>
        <v>0</v>
      </c>
      <c r="DK52" s="19">
        <f>'P&amp;L - Inputs'!DJ698</f>
        <v>0</v>
      </c>
      <c r="DL52" s="19">
        <f>'P&amp;L - Inputs'!DK698</f>
        <v>0</v>
      </c>
      <c r="DM52" s="19">
        <f>'P&amp;L - Inputs'!DL698</f>
        <v>0</v>
      </c>
      <c r="DN52" s="19">
        <f>'P&amp;L - Inputs'!DM698</f>
        <v>0</v>
      </c>
      <c r="DO52" s="19">
        <f>'P&amp;L - Inputs'!DN698</f>
        <v>0</v>
      </c>
      <c r="DP52" s="19">
        <f>'P&amp;L - Inputs'!DO698</f>
        <v>0</v>
      </c>
      <c r="DQ52" s="19">
        <f>'P&amp;L - Inputs'!DP698</f>
        <v>0</v>
      </c>
      <c r="DR52" s="19">
        <f>'P&amp;L - Inputs'!DQ698</f>
        <v>0</v>
      </c>
      <c r="DS52" s="19">
        <f>'P&amp;L - Inputs'!DR698</f>
        <v>0</v>
      </c>
      <c r="DT52" s="19">
        <f>'P&amp;L - Inputs'!DS698</f>
        <v>0</v>
      </c>
      <c r="DU52" s="19">
        <f>'P&amp;L - Inputs'!DT698</f>
        <v>0</v>
      </c>
      <c r="DV52" s="19">
        <f>'P&amp;L - Inputs'!DU698</f>
        <v>0</v>
      </c>
      <c r="DW52" s="19">
        <f>'P&amp;L - Inputs'!DV698</f>
        <v>0</v>
      </c>
      <c r="DX52" s="19">
        <f>'P&amp;L - Inputs'!DW698</f>
        <v>0</v>
      </c>
      <c r="DY52" s="19">
        <f>'P&amp;L - Inputs'!DX698</f>
        <v>0</v>
      </c>
      <c r="DZ52" s="19">
        <f>'P&amp;L - Inputs'!DY698</f>
        <v>0</v>
      </c>
      <c r="EA52" s="19">
        <f>'P&amp;L - Inputs'!DZ698</f>
        <v>0</v>
      </c>
      <c r="EB52" s="19">
        <f>'P&amp;L - Inputs'!EA698</f>
        <v>0</v>
      </c>
      <c r="EC52" s="19">
        <f>'P&amp;L - Inputs'!EB698</f>
        <v>0</v>
      </c>
      <c r="ED52" s="19">
        <f>'P&amp;L - Inputs'!EC698</f>
        <v>0</v>
      </c>
      <c r="EE52" s="168"/>
      <c r="EF52" s="165">
        <f>SUM(BK52:BM52)</f>
        <v>0</v>
      </c>
      <c r="EG52" s="165">
        <f>SUM(BN52:BP52)</f>
        <v>0</v>
      </c>
      <c r="EH52" s="165">
        <f>SUM(BQ52:BS52)</f>
        <v>0</v>
      </c>
      <c r="EI52" s="165">
        <f>SUM(BT52:BV52)</f>
        <v>0</v>
      </c>
      <c r="EJ52" s="165">
        <f>SUM(BW52:BY52)</f>
        <v>0</v>
      </c>
      <c r="EK52" s="165">
        <f>SUM(CL52:CN52)</f>
        <v>0</v>
      </c>
      <c r="EL52" s="165">
        <f>SUM(CC52:CE52)</f>
        <v>0</v>
      </c>
      <c r="EM52" s="165">
        <f>SUM(CF52:CH52)</f>
        <v>0</v>
      </c>
      <c r="EN52" s="165">
        <f>SUM(CI52:CK52)</f>
        <v>0</v>
      </c>
      <c r="EO52" s="165">
        <f>SUM(CL52:CN52)</f>
        <v>0</v>
      </c>
      <c r="EP52" s="165">
        <f>SUM(CO52:CQ52)</f>
        <v>0</v>
      </c>
      <c r="EQ52" s="165">
        <f>SUM(CR52:CT52)</f>
        <v>0</v>
      </c>
      <c r="ER52" s="165">
        <f>SUM(CU52:CW52)</f>
        <v>0</v>
      </c>
      <c r="ES52" s="165">
        <f>SUM(CX52:CZ52)</f>
        <v>0</v>
      </c>
      <c r="ET52" s="165">
        <f>SUM(DA52:DC52)</f>
        <v>0</v>
      </c>
      <c r="EU52" s="165">
        <f>SUM(DD52:DF52)</f>
        <v>0</v>
      </c>
      <c r="EV52" s="165">
        <f>SUM(DG52:DI52)</f>
        <v>0</v>
      </c>
      <c r="EW52" s="165">
        <f>SUM(DJ52:DL52)</f>
        <v>0</v>
      </c>
      <c r="EX52" s="165">
        <f>SUM(DM52:DO52)</f>
        <v>0</v>
      </c>
      <c r="EY52" s="165">
        <f>SUM(DP52:DR52)</f>
        <v>0</v>
      </c>
      <c r="EZ52" s="165">
        <f t="shared" si="83"/>
        <v>0</v>
      </c>
      <c r="FA52" s="165">
        <f t="shared" si="84"/>
        <v>0</v>
      </c>
      <c r="FB52" s="165">
        <f t="shared" si="85"/>
        <v>0</v>
      </c>
      <c r="FC52" s="165">
        <f t="shared" si="86"/>
        <v>0</v>
      </c>
      <c r="FE52" s="165">
        <f t="shared" si="87"/>
        <v>0</v>
      </c>
      <c r="FF52" s="165">
        <f t="shared" si="88"/>
        <v>0</v>
      </c>
      <c r="FG52" s="165">
        <f t="shared" si="89"/>
        <v>0</v>
      </c>
      <c r="FH52" s="165">
        <f t="shared" si="90"/>
        <v>0</v>
      </c>
      <c r="FI52" s="165">
        <f t="shared" si="91"/>
        <v>0</v>
      </c>
      <c r="FJ52" s="165">
        <f t="shared" si="92"/>
        <v>0</v>
      </c>
    </row>
    <row r="53" spans="2:166" x14ac:dyDescent="0.2">
      <c r="B53" s="155" t="s">
        <v>228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f>'D2C Online'!C70+'D2C Online'!C72+'D2C Online'!C75</f>
        <v>394535.4147843942</v>
      </c>
      <c r="M53" s="19">
        <f>'D2C Online'!D70+'D2C Online'!D72+'D2C Online'!D75</f>
        <v>2433846.05034965</v>
      </c>
      <c r="N53" s="19">
        <f>'D2C Online'!E70+'D2C Online'!E72+'D2C Online'!E75</f>
        <v>13810592.014258556</v>
      </c>
      <c r="O53" s="19">
        <f>'D2C Online'!F70+'D2C Online'!F72+'D2C Online'!F75</f>
        <v>20105459.368441757</v>
      </c>
      <c r="P53" s="19">
        <f>'D2C Online'!G70+'D2C Online'!G72+'D2C Online'!G75</f>
        <v>22948226.186251927</v>
      </c>
      <c r="Q53" s="19">
        <f>'D2C Online'!H70+'D2C Online'!H72+'D2C Online'!H75</f>
        <v>15162121.254467007</v>
      </c>
      <c r="R53" s="19">
        <f>'D2C Online'!I70+'D2C Online'!I72+'D2C Online'!I75</f>
        <v>31199346.387183223</v>
      </c>
      <c r="S53" s="19">
        <f>'D2C Online'!J70+'D2C Online'!J72+'D2C Online'!J75</f>
        <v>19865598.599548992</v>
      </c>
      <c r="T53" s="19">
        <f>'D2C Online'!K70+'D2C Online'!K72+'D2C Online'!K75</f>
        <v>32481897.22558156</v>
      </c>
      <c r="U53" s="19">
        <f>'D2C Online'!L70+'D2C Online'!L72+'D2C Online'!L75</f>
        <v>25569304.416226413</v>
      </c>
      <c r="V53" s="19">
        <f>'D2C Online'!M70+'D2C Online'!M72+'D2C Online'!M75</f>
        <v>7979457.6289513912</v>
      </c>
      <c r="W53" s="19">
        <f>'D2C Online'!N70+'D2C Online'!N72+'D2C Online'!N75</f>
        <v>13491163.43700527</v>
      </c>
      <c r="X53" s="19">
        <f>'D2C Online'!O70+'D2C Online'!O72+'D2C Online'!O75</f>
        <v>21473283.635944605</v>
      </c>
      <c r="Y53" s="19">
        <f>'D2C Online'!P70+'D2C Online'!P72+'D2C Online'!P75</f>
        <v>1562133.4356053874</v>
      </c>
      <c r="Z53" s="19">
        <f>'D2C Online'!Q70+'D2C Online'!Q72+'D2C Online'!Q75</f>
        <v>12898410.516812328</v>
      </c>
      <c r="AA53" s="19">
        <f>'D2C Online'!R70+'D2C Online'!R72+'D2C Online'!R75</f>
        <v>-2216959.5399999996</v>
      </c>
      <c r="AB53" s="19">
        <f>'D2C Online'!S70+'D2C Online'!S72+'D2C Online'!S75</f>
        <v>16759009.81198808</v>
      </c>
      <c r="AC53" s="19">
        <f>'D2C Online'!T70+'D2C Online'!T72+'D2C Online'!T75</f>
        <v>9429011.9384508263</v>
      </c>
      <c r="AD53" s="19">
        <f>'D2C Online'!U70+'D2C Online'!U72+'D2C Online'!U75</f>
        <v>4625751.9766092654</v>
      </c>
      <c r="AE53" s="19">
        <f>'D2C Online'!V70+'D2C Online'!V72+'D2C Online'!V75</f>
        <v>5307425.3214533124</v>
      </c>
      <c r="AF53" s="19">
        <f>'D2C Online'!W70+'D2C Online'!W72+'D2C Online'!W75</f>
        <v>7569961.1190647054</v>
      </c>
      <c r="AG53" s="19">
        <f>'D2C Online'!X70+'D2C Online'!X72+'D2C Online'!X75</f>
        <v>15219841.850097561</v>
      </c>
      <c r="AH53" s="19">
        <f>'D2C Online'!Y70+'D2C Online'!Y72+'D2C Online'!Y75</f>
        <v>13276746.974270133</v>
      </c>
      <c r="AI53" s="19">
        <f>'D2C Online'!Z70+'D2C Online'!Z72+'D2C Online'!Z75</f>
        <v>19813975.35255225</v>
      </c>
      <c r="AJ53" s="19">
        <f>'D2C Online'!AA70+'D2C Online'!AA72+'D2C Online'!AA75</f>
        <v>23386397.733196452</v>
      </c>
      <c r="AK53" s="19">
        <f>'D2C Online'!AB70+'D2C Online'!AB72+'D2C Online'!AB75</f>
        <v>13095272.558795912</v>
      </c>
      <c r="AL53" s="19">
        <f>'D2C Online'!AC70+'D2C Online'!AC72+'D2C Online'!AC75</f>
        <v>17555755.402354401</v>
      </c>
      <c r="AM53" s="19">
        <f>'D2C Online'!AD70+'D2C Online'!AD72+'D2C Online'!AD75+'D2C Online'!AD76+'D2C Online'!AD77+'D2C Online'!AD78</f>
        <v>14861225.158906134</v>
      </c>
      <c r="AN53" s="19">
        <f>'D2C Online'!AE70+'D2C Online'!AE72+'D2C Online'!AE75+'D2C Online'!AE76+'D2C Online'!AE77+'D2C Online'!AE78</f>
        <v>10020539.42200179</v>
      </c>
      <c r="AO53" s="19">
        <f>'D2C Online'!AF70+'D2C Online'!AF72+'D2C Online'!AF75+'D2C Online'!AF76+'D2C Online'!AF77+'D2C Online'!AF78</f>
        <v>14992047.379407533</v>
      </c>
      <c r="AP53" s="19">
        <f>'D2C Online'!AG70+'D2C Online'!AG72+'D2C Online'!AG75+'D2C Online'!AG76+'D2C Online'!AG77+'D2C Online'!AG78</f>
        <v>11885126.69729656</v>
      </c>
      <c r="AQ53" s="19">
        <f>'D2C Online'!AH70+'D2C Online'!AH72+'D2C Online'!AH75+'D2C Online'!AH76+'D2C Online'!AH77+'D2C Online'!AH78</f>
        <v>7720646.7826341614</v>
      </c>
      <c r="AR53" s="19">
        <f>'D2C Online'!AI70+'D2C Online'!AI72+'D2C Online'!AI75+'D2C Online'!AI76+'D2C Online'!AI77+'D2C Online'!AI78</f>
        <v>9233276.1266593821</v>
      </c>
      <c r="AS53" s="19">
        <f>'D2C Online'!AJ70+'D2C Online'!AJ72+'D2C Online'!AJ75+'D2C Online'!AJ76+'D2C Online'!AJ77+'D2C Online'!AJ78</f>
        <v>10830604.87410596</v>
      </c>
      <c r="AT53" s="19">
        <f>'D2C Online'!AK70+'D2C Online'!AK72+'D2C Online'!AK75+'D2C Online'!AK76+'D2C Online'!AK77+'D2C Online'!AK78</f>
        <v>26865229.4747102</v>
      </c>
      <c r="AU53" s="19">
        <f>'D2C Online'!AL70+'D2C Online'!AL72+'D2C Online'!AL75+'D2C Online'!AL76+'D2C Online'!AL77+'D2C Online'!AL78</f>
        <v>31176828.180481832</v>
      </c>
      <c r="AV53" s="19">
        <f>'D2C Online'!AM70+'D2C Online'!AM72+'D2C Online'!AM75+'D2C Online'!AM76+'D2C Online'!AM77+'D2C Online'!AM78</f>
        <v>35991949.332048185</v>
      </c>
      <c r="AW53" s="19">
        <f>'D2C Online'!AN70+'D2C Online'!AN72+'D2C Online'!AN75+'D2C Online'!AN76+'D2C Online'!AN77+'D2C Online'!AN78</f>
        <v>31226957.376008883</v>
      </c>
      <c r="AX53" s="19">
        <f>'D2C Online'!AO70+'D2C Online'!AO72+'D2C Online'!AO75+'D2C Online'!AO76+'D2C Online'!AO77+'D2C Online'!AO78</f>
        <v>18253091.6961063</v>
      </c>
      <c r="AY53" s="19">
        <f>'D2C Online'!AP70+'D2C Online'!AP72+'D2C Online'!AP75+'D2C Online'!AP76+'D2C Online'!AP77+'D2C Online'!AP78</f>
        <v>16764759.914544636</v>
      </c>
      <c r="AZ53" s="19">
        <f>'D2C Online'!AQ70+'D2C Online'!AQ72+'D2C Online'!AQ75+'D2C Online'!AQ76+'D2C Online'!AQ77+'D2C Online'!AQ78</f>
        <v>24949476.494950686</v>
      </c>
      <c r="BA53" s="19">
        <f>'D2C Online'!AR70+'D2C Online'!AR72+'D2C Online'!AR75+'D2C Online'!AR76+'D2C Online'!AR77+'D2C Online'!AR78</f>
        <v>35551723.258408248</v>
      </c>
      <c r="BB53" s="19">
        <f>'D2C Online'!AS70+'D2C Online'!AS72+'D2C Online'!AS75+'D2C Online'!AS76+'D2C Online'!AS77+'D2C Online'!AS78</f>
        <v>33836471.421072647</v>
      </c>
      <c r="BC53" s="19">
        <f>'D2C Online'!AT70+'D2C Online'!AT72+'D2C Online'!AT75+'D2C Online'!AT76+'D2C Online'!AT77+'D2C Online'!AT78</f>
        <v>24047095.372728806</v>
      </c>
      <c r="BD53" s="19">
        <f>'D2C Online'!AU70+'D2C Online'!AU72+'D2C Online'!AU75+'D2C Online'!AU76+'D2C Online'!AU77+'D2C Online'!AU78+'D2C Online'!AU73</f>
        <v>32802580.047635853</v>
      </c>
      <c r="BE53" s="19">
        <f>'D2C Online'!AV70+'D2C Online'!AV72+'D2C Online'!AV75+'D2C Online'!AV76+'D2C Online'!AV77+'D2C Online'!AV78+'D2C Online'!AV73</f>
        <v>55923078.489722617</v>
      </c>
      <c r="BF53" s="19">
        <f>'D2C Online'!AW70+'D2C Online'!AW72+'D2C Online'!AW75+'D2C Online'!AW76+'D2C Online'!AW77+'D2C Online'!AW78+'D2C Online'!AW73</f>
        <v>46605522.138639025</v>
      </c>
      <c r="BG53" s="19">
        <f>'D2C Online'!AX70+'D2C Online'!AX72+'D2C Online'!AX75+'D2C Online'!AX76+'D2C Online'!AX77+'D2C Online'!AX78+'D2C Online'!AX73</f>
        <v>39858438.049138077</v>
      </c>
      <c r="BH53" s="19">
        <f>'D2C Online'!AY70+'D2C Online'!AY72+'D2C Online'!AY75+'D2C Online'!AY76+'D2C Online'!AY77+'D2C Online'!AY78+'D2C Online'!AY73</f>
        <v>47248737.457172602</v>
      </c>
      <c r="BI53" s="19">
        <f>'D2C Online'!AZ70+'D2C Online'!AZ72+'D2C Online'!AZ75+'D2C Online'!AZ76+'D2C Online'!AZ77+'D2C Online'!AZ78+'D2C Online'!AZ73</f>
        <v>70594063.933746725</v>
      </c>
      <c r="BJ53" s="19">
        <f>'D2C Online'!BA70+'D2C Online'!BA72+'D2C Online'!BA75+'D2C Online'!BA76+'D2C Online'!BA77+'D2C Online'!BA78+'D2C Online'!BA73</f>
        <v>124408083.02721524</v>
      </c>
      <c r="BK53" s="19">
        <f>'D2C Online'!BB70+'D2C Online'!BB72+'D2C Online'!BB75+'D2C Online'!BB76+'D2C Online'!BB77+'D2C Online'!BB78+'D2C Online'!BB73</f>
        <v>150339921.26334244</v>
      </c>
      <c r="BL53" s="19">
        <f>'D2C Online'!BC70+'D2C Online'!BC72+'D2C Online'!BC75+'D2C Online'!BC76+'D2C Online'!BC77+'D2C Online'!BC78+'D2C Online'!BC73</f>
        <v>131221500.17714185</v>
      </c>
      <c r="BM53" s="19">
        <f>'D2C Online'!BD70+'D2C Online'!BD72+'D2C Online'!BD75+'D2C Online'!BD76+'D2C Online'!BD77+'D2C Online'!BD78+'D2C Online'!BD73</f>
        <v>157856500.91275519</v>
      </c>
      <c r="BN53" s="19">
        <f>'D2C Online'!BE70+'D2C Online'!BE72+'D2C Online'!BE75+'D2C Online'!BE76+'D2C Online'!BE77+'D2C Online'!BE78+'D2C Online'!BE73</f>
        <v>110547543.72282162</v>
      </c>
      <c r="BO53" s="19">
        <f>'D2C Online'!BF70+'D2C Online'!BF72+'D2C Online'!BF75+'D2C Online'!BF76+'D2C Online'!BF77+'D2C Online'!BF78+'D2C Online'!BF73</f>
        <v>128707808.59583162</v>
      </c>
      <c r="BP53" s="19">
        <f>'D2C Online'!BG70+'D2C Online'!BG72+'D2C Online'!BG75+'D2C Online'!BG76+'D2C Online'!BG77+'D2C Online'!BG78+'D2C Online'!BG73</f>
        <v>151817520.86237288</v>
      </c>
      <c r="BQ53" s="19">
        <f>'D2C Online'!BH70+'D2C Online'!BH72+'D2C Online'!BH75+'D2C Online'!BH76+'D2C Online'!BH77+'D2C Online'!BH78+'D2C Online'!BH73</f>
        <v>232860935.46962333</v>
      </c>
      <c r="BR53" s="19">
        <f>'D2C Online'!BI70+'D2C Online'!BI72+'D2C Online'!BI75+'D2C Online'!BI76+'D2C Online'!BI77+'D2C Online'!BI78+'D2C Online'!BI73</f>
        <v>177318284.89842957</v>
      </c>
      <c r="BS53" s="19">
        <f>'D2C Online'!BJ70+'D2C Online'!BJ72+'D2C Online'!BJ75+'D2C Online'!BJ76+'D2C Online'!BJ77+'D2C Online'!BJ78+'D2C Online'!BJ73</f>
        <v>164670494.35322011</v>
      </c>
      <c r="BT53" s="19">
        <f>'D2C Online'!BK70+'D2C Online'!BK72+'D2C Online'!BK75+'D2C Online'!BK76+'D2C Online'!BK77+'D2C Online'!BK78+'D2C Online'!BK73</f>
        <v>165153290.56198257</v>
      </c>
      <c r="BU53" s="19">
        <f>'D2C Online'!BL70+'D2C Online'!BL72+'D2C Online'!BL75+'D2C Online'!BL76+'D2C Online'!BL77+'D2C Online'!BL78+'D2C Online'!BL73</f>
        <v>115097944.43632841</v>
      </c>
      <c r="BV53" s="19">
        <f>'D2C Online'!BM70+'D2C Online'!BM72+'D2C Online'!BM75+'D2C Online'!BM76+'D2C Online'!BM77+'D2C Online'!BM78+'D2C Online'!BM73</f>
        <v>164575828.32015568</v>
      </c>
      <c r="BW53" s="19">
        <f>'D2C Online'!BN70+'D2C Online'!BN72+'D2C Online'!BN75+'D2C Online'!BN76+'D2C Online'!BN77+'D2C Online'!BN78+'D2C Online'!BN73</f>
        <v>160812154.48014563</v>
      </c>
      <c r="BX53" s="19">
        <f>'D2C Online'!BO70+'D2C Online'!BO72+'D2C Online'!BO75+'D2C Online'!BO76+'D2C Online'!BO77+'D2C Online'!BO78+'D2C Online'!BO73</f>
        <v>175208151.43928212</v>
      </c>
      <c r="BY53" s="19">
        <f>'D2C Online'!BP70+'D2C Online'!BP72+'D2C Online'!BP75+'D2C Online'!BP76+'D2C Online'!BP77+'D2C Online'!BP78+'D2C Online'!BP73</f>
        <v>177332883.53145739</v>
      </c>
      <c r="BZ53" s="19">
        <f>'D2C Online'!BQ70+'D2C Online'!BQ72+'D2C Online'!BQ75+'D2C Online'!BQ76+'D2C Online'!BQ77+'D2C Online'!BQ78+'D2C Online'!BQ73</f>
        <v>189284447.78650746</v>
      </c>
      <c r="CA53" s="19">
        <f>'D2C Online'!BR70+'D2C Online'!BR72+'D2C Online'!BR75+'D2C Online'!BR76+'D2C Online'!BR77+'D2C Online'!BR78+'D2C Online'!BR73</f>
        <v>178427754.07474685</v>
      </c>
      <c r="CB53" s="19">
        <f>'D2C Online'!BS70+'D2C Online'!BS72+'D2C Online'!BS75+'D2C Online'!BS76+'D2C Online'!BS77+'D2C Online'!BS78+'D2C Online'!BS73</f>
        <v>186531531.99537244</v>
      </c>
      <c r="CC53" s="19">
        <f>'D2C Online'!BT70+'D2C Online'!BT72+'D2C Online'!BT75+'D2C Online'!BT76+'D2C Online'!BT77+'D2C Online'!BT78+'D2C Online'!BT73</f>
        <v>196458278.56011313</v>
      </c>
      <c r="CD53" s="19">
        <f>'D2C Online'!BU70+'D2C Online'!BU72+'D2C Online'!BU75+'D2C Online'!BU76+'D2C Online'!BU77+'D2C Online'!BU78+'D2C Online'!BU73</f>
        <v>171942474.66347858</v>
      </c>
      <c r="CE53" s="19">
        <f>'D2C Online'!BV70+'D2C Online'!BV72+'D2C Online'!BV75+'D2C Online'!BV76+'D2C Online'!BV77+'D2C Online'!BV78+'D2C Online'!BV73</f>
        <v>208573773.43765733</v>
      </c>
      <c r="CF53" s="19">
        <f>'D2C Online'!BW70+'D2C Online'!BW72+'D2C Online'!BW75+'D2C Online'!BW76+'D2C Online'!BW77+'D2C Online'!BW78+'D2C Online'!BW73</f>
        <v>234867690.71546042</v>
      </c>
      <c r="CG53" s="19">
        <f>'D2C Online'!BX70+'D2C Online'!BX72+'D2C Online'!BX75+'D2C Online'!BX76+'D2C Online'!BX77+'D2C Online'!BX78+'D2C Online'!BX73</f>
        <v>229507798.19632638</v>
      </c>
      <c r="CH53" s="19">
        <f>'D2C Online'!BY70+'D2C Online'!BY72+'D2C Online'!BY75+'D2C Online'!BY76+'D2C Online'!BY77+'D2C Online'!BY78+'D2C Online'!BY73</f>
        <v>302843122.38202989</v>
      </c>
      <c r="CI53" s="19">
        <f>'D2C Online'!BZ70+'D2C Online'!BZ72+'D2C Online'!BZ75+'D2C Online'!BZ76+'D2C Online'!BZ77+'D2C Online'!BZ78+'D2C Online'!BZ73</f>
        <v>259767230.3377943</v>
      </c>
      <c r="CJ53" s="19">
        <f>'D2C Online'!CA70+'D2C Online'!CA72+'D2C Online'!CA75+'D2C Online'!CA76+'D2C Online'!CA77+'D2C Online'!CA78+'D2C Online'!CA73</f>
        <v>260255175.69516674</v>
      </c>
      <c r="CK53" s="19">
        <f>'D2C Online'!CB70+'D2C Online'!CB72+'D2C Online'!CB75+'D2C Online'!CB76+'D2C Online'!CB77+'D2C Online'!CB78+'D2C Online'!CB73</f>
        <v>254434949.39085126</v>
      </c>
      <c r="CL53" s="19">
        <f>'D2C Online'!CC70+'D2C Online'!CC72+'D2C Online'!CC75+'D2C Online'!CC76+'D2C Online'!CC77+'D2C Online'!CC78+'D2C Online'!CC73</f>
        <v>265391433.30693322</v>
      </c>
      <c r="CM53" s="19">
        <f>'D2C Online'!CD70+'D2C Online'!CD72+'D2C Online'!CD75+'D2C Online'!CD76+'D2C Online'!CD77+'D2C Online'!CD78+'D2C Online'!CD73</f>
        <v>234260606.72014678</v>
      </c>
      <c r="CN53" s="19">
        <f>'D2C Online'!CE70+'D2C Online'!CE72+'D2C Online'!CE75+'D2C Online'!CE76+'D2C Online'!CE77+'D2C Online'!CE78+'D2C Online'!CE73</f>
        <v>312043610.02490067</v>
      </c>
      <c r="CO53" s="19">
        <f>'D2C Online'!CF70+'D2C Online'!CF72+'D2C Online'!CF75+'D2C Online'!CF76+'D2C Online'!CF77+'D2C Online'!CF78+'D2C Online'!CF73</f>
        <v>263546040.46228582</v>
      </c>
      <c r="CP53" s="19">
        <f>'D2C Online'!CG70+'D2C Online'!CG72+'D2C Online'!CG75+'D2C Online'!CG76+'D2C Online'!CG77+'D2C Online'!CG78+'D2C Online'!CG73</f>
        <v>263410413.94391373</v>
      </c>
      <c r="CQ53" s="19">
        <f>'D2C Online'!CH70+'D2C Online'!CH72+'D2C Online'!CH75+'D2C Online'!CH76+'D2C Online'!CH77+'D2C Online'!CH78+'D2C Online'!CH73</f>
        <v>319992910.12266129</v>
      </c>
      <c r="CR53" s="19">
        <f>'D2C Online'!CI70+'D2C Online'!CI72+'D2C Online'!CI75+'D2C Online'!CI76+'D2C Online'!CI77+'D2C Online'!CI78+'D2C Online'!CI73</f>
        <v>359201561.73007691</v>
      </c>
      <c r="CS53" s="19">
        <f>'D2C Online'!CJ70+'D2C Online'!CJ72+'D2C Online'!CJ75+'D2C Online'!CJ76+'D2C Online'!CJ77+'D2C Online'!CJ78+'D2C Online'!CJ73</f>
        <v>292532273.13527018</v>
      </c>
      <c r="CT53" s="19">
        <f>'D2C Online'!CK70+'D2C Online'!CK72+'D2C Online'!CK75+'D2C Online'!CK76+'D2C Online'!CK77+'D2C Online'!CK78+'D2C Online'!CK73</f>
        <v>346889334.59157753</v>
      </c>
      <c r="CU53" s="19">
        <f>'D2C Online'!CL70+'D2C Online'!CL72+'D2C Online'!CL75+'D2C Online'!CL76+'D2C Online'!CL77+'D2C Online'!CL78+'D2C Online'!CL73</f>
        <v>315367920.95921332</v>
      </c>
      <c r="CV53" s="19">
        <f>'D2C Online'!CM70+'D2C Online'!CM72+'D2C Online'!CM75+'D2C Online'!CM76+'D2C Online'!CM77+'D2C Online'!CM78+'D2C Online'!CM73</f>
        <v>318577627.592282</v>
      </c>
      <c r="CW53" s="19">
        <f>'D2C Online'!CN70+'D2C Online'!CN72+'D2C Online'!CN75+'D2C Online'!CN76+'D2C Online'!CN77+'D2C Online'!CN78+'D2C Online'!CN73</f>
        <v>318349719.42898721</v>
      </c>
      <c r="CX53" s="19">
        <f>'D2C Online'!CO70+'D2C Online'!CO72+'D2C Online'!CO75+'D2C Online'!CO76+'D2C Online'!CO77+'D2C Online'!CO78+'D2C Online'!CO73</f>
        <v>323154783.20511979</v>
      </c>
      <c r="CY53" s="19">
        <f>'D2C Online'!CP70+'D2C Online'!CP72+'D2C Online'!CP75+'D2C Online'!CP76+'D2C Online'!CP77+'D2C Online'!CP78+'D2C Online'!CP73</f>
        <v>304504298.50882661</v>
      </c>
      <c r="CZ53" s="19">
        <f>'D2C Online'!CQ70+'D2C Online'!CQ72+'D2C Online'!CQ75+'D2C Online'!CQ76+'D2C Online'!CQ77+'D2C Online'!CQ78+'D2C Online'!CQ73</f>
        <v>333106773.00232708</v>
      </c>
      <c r="DA53" s="19">
        <f>'D2C Online'!CR70+'D2C Online'!CR72+'D2C Online'!CR75+'D2C Online'!CR76+'D2C Online'!CR77+'D2C Online'!CR78+'D2C Online'!CR73</f>
        <v>323895484.73582804</v>
      </c>
      <c r="DB53" s="19">
        <f>'D2C Online'!CS70+'D2C Online'!CS72+'D2C Online'!CS75+'D2C Online'!CS76+'D2C Online'!CS77+'D2C Online'!CS78+'D2C Online'!CS73</f>
        <v>324655178.61347729</v>
      </c>
      <c r="DC53" s="19">
        <f>'D2C Online'!CT70+'D2C Online'!CT72+'D2C Online'!CT75+'D2C Online'!CT76+'D2C Online'!CT77+'D2C Online'!CT78+'D2C Online'!CT73</f>
        <v>398516415.86794168</v>
      </c>
      <c r="DD53" s="19">
        <f>'D2C Online'!CU70+'D2C Online'!CU72+'D2C Online'!CU75+'D2C Online'!CU76+'D2C Online'!CU77+'D2C Online'!CU78+'D2C Online'!CU73</f>
        <v>429397971.99439037</v>
      </c>
      <c r="DE53" s="19">
        <f>'D2C Online'!CV70+'D2C Online'!CV72+'D2C Online'!CV75+'D2C Online'!CV76+'D2C Online'!CV77+'D2C Online'!CV78+'D2C Online'!CV73</f>
        <v>368128660.76196504</v>
      </c>
      <c r="DF53" s="19">
        <f>'D2C Online'!CW70+'D2C Online'!CW72+'D2C Online'!CW75+'D2C Online'!CW76+'D2C Online'!CW77+'D2C Online'!CW78+'D2C Online'!CW73</f>
        <v>397794706.6841746</v>
      </c>
      <c r="DG53" s="19">
        <f>'D2C Online'!CX70+'D2C Online'!CX72+'D2C Online'!CX75+'D2C Online'!CX76+'D2C Online'!CX77+'D2C Online'!CX78+'D2C Online'!CX73</f>
        <v>374325356.20949632</v>
      </c>
      <c r="DH53" s="19">
        <f>'D2C Online'!CY70+'D2C Online'!CY72+'D2C Online'!CY75+'D2C Online'!CY76+'D2C Online'!CY77+'D2C Online'!CY78+'D2C Online'!CY73</f>
        <v>378135111.41572368</v>
      </c>
      <c r="DI53" s="19">
        <f>'D2C Online'!CZ70+'D2C Online'!CZ72+'D2C Online'!CZ75+'D2C Online'!CZ76+'D2C Online'!CZ77+'D2C Online'!CZ78+'D2C Online'!CZ73</f>
        <v>377864596.2531513</v>
      </c>
      <c r="DJ53" s="19">
        <f>'D2C Online'!DA70+'D2C Online'!DA72+'D2C Online'!DA75+'D2C Online'!DA76+'D2C Online'!DA77+'D2C Online'!DA78+'D2C Online'!DA73</f>
        <v>383567957.59738511</v>
      </c>
      <c r="DK53" s="19">
        <f>'D2C Online'!DB70+'D2C Online'!DB72+'D2C Online'!DB75+'D2C Online'!DB76+'D2C Online'!DB77+'D2C Online'!DB78+'D2C Online'!DB73</f>
        <v>361430800.12688071</v>
      </c>
      <c r="DL53" s="19">
        <f>'D2C Online'!DC70+'D2C Online'!DC72+'D2C Online'!DC75+'D2C Online'!DC76+'D2C Online'!DC77+'D2C Online'!DC78+'D2C Online'!DC73</f>
        <v>395380453.02971119</v>
      </c>
      <c r="DM53" s="19">
        <f>'D2C Online'!DD70+'D2C Online'!DD72+'D2C Online'!DD75+'D2C Online'!DD76+'D2C Online'!DD77+'D2C Online'!DD78+'D2C Online'!DD73</f>
        <v>384447131.87574524</v>
      </c>
      <c r="DN53" s="19">
        <f>'D2C Online'!DE70+'D2C Online'!DE72+'D2C Online'!DE75+'D2C Online'!DE76+'D2C Online'!DE77+'D2C Online'!DE78+'D2C Online'!DE73</f>
        <v>385348849.08431977</v>
      </c>
      <c r="DO53" s="19">
        <f>'D2C Online'!DF70+'D2C Online'!DF72+'D2C Online'!DF75+'D2C Online'!DF76+'D2C Online'!DF77+'D2C Online'!DF78+'D2C Online'!DF73</f>
        <v>473018304.68797702</v>
      </c>
      <c r="DP53" s="19">
        <f>'D2C Online'!DG70+'D2C Online'!DG72+'D2C Online'!DG75+'D2C Online'!DG76+'D2C Online'!DG77+'D2C Online'!DG78+'D2C Online'!DG73</f>
        <v>509673109.21653128</v>
      </c>
      <c r="DQ53" s="19">
        <f>'D2C Online'!DH70+'D2C Online'!DH72+'D2C Online'!DH75+'D2C Online'!DH76+'D2C Online'!DH77+'D2C Online'!DH78+'D2C Online'!DH73</f>
        <v>436949616.34499645</v>
      </c>
      <c r="DR53" s="19">
        <f>'D2C Online'!DI70+'D2C Online'!DI72+'D2C Online'!DI75+'D2C Online'!DI76+'D2C Online'!DI77+'D2C Online'!DI78+'D2C Online'!DI73</f>
        <v>472161673.33983129</v>
      </c>
      <c r="DS53" s="19">
        <f>'D2C Online'!DJ70+'D2C Online'!DJ72+'D2C Online'!DJ75+'D2C Online'!DJ76+'D2C Online'!DJ77+'D2C Online'!DJ78+'D2C Online'!DJ73</f>
        <v>444320639.43386781</v>
      </c>
      <c r="DT53" s="19">
        <f>'D2C Online'!DK70+'D2C Online'!DK72+'D2C Online'!DK75+'D2C Online'!DK76+'D2C Online'!DK77+'D2C Online'!DK78+'D2C Online'!DK73</f>
        <v>448842782.64761817</v>
      </c>
      <c r="DU53" s="19">
        <f>'D2C Online'!DL70+'D2C Online'!DL72+'D2C Online'!DL75+'D2C Online'!DL76+'D2C Online'!DL77+'D2C Online'!DL78+'D2C Online'!DL73</f>
        <v>448521683.7211979</v>
      </c>
      <c r="DV53" s="19">
        <f>'D2C Online'!DM70+'D2C Online'!DM72+'D2C Online'!DM75+'D2C Online'!DM76+'D2C Online'!DM77+'D2C Online'!DM78+'D2C Online'!DM73</f>
        <v>455291519.41988921</v>
      </c>
      <c r="DW53" s="19">
        <f>'D2C Online'!DN70+'D2C Online'!DN72+'D2C Online'!DN75+'D2C Online'!DN76+'D2C Online'!DN77+'D2C Online'!DN78+'D2C Online'!DN73</f>
        <v>429014923.94117451</v>
      </c>
      <c r="DX53" s="19">
        <f>'D2C Online'!DO70+'D2C Online'!DO72+'D2C Online'!DO75+'D2C Online'!DO76+'D2C Online'!DO77+'D2C Online'!DO78+'D2C Online'!DO73</f>
        <v>469312839.20690197</v>
      </c>
      <c r="DY53" s="19">
        <f>'D2C Online'!DP70+'D2C Online'!DP72+'D2C Online'!DP75+'D2C Online'!DP76+'D2C Online'!DP77+'D2C Online'!DP78+'D2C Online'!DP73</f>
        <v>456335090.9307546</v>
      </c>
      <c r="DZ53" s="19">
        <f>'D2C Online'!DQ70+'D2C Online'!DQ72+'D2C Online'!DQ75+'D2C Online'!DQ76+'D2C Online'!DQ77+'D2C Online'!DQ78+'D2C Online'!DQ73</f>
        <v>457405420.6854884</v>
      </c>
      <c r="EA53" s="19">
        <f>'D2C Online'!DR70+'D2C Online'!DR72+'D2C Online'!DR75+'D2C Online'!DR76+'D2C Online'!DR77+'D2C Online'!DR78+'D2C Online'!DR73</f>
        <v>561468231.08948195</v>
      </c>
      <c r="EB53" s="19">
        <f>'D2C Online'!DS70+'D2C Online'!DS72+'D2C Online'!DS75+'D2C Online'!DS76+'D2C Online'!DS77+'D2C Online'!DS78+'D2C Online'!DS73</f>
        <v>604977135.61941111</v>
      </c>
      <c r="EC53" s="19">
        <f>'D2C Online'!DT70+'D2C Online'!DT72+'D2C Online'!DT75+'D2C Online'!DT76+'D2C Online'!DT77+'D2C Online'!DT78+'D2C Online'!DT73</f>
        <v>518655040.90012997</v>
      </c>
      <c r="ED53" s="19">
        <f>'D2C Online'!DU70+'D2C Online'!DU72+'D2C Online'!DU75+'D2C Online'!DU76+'D2C Online'!DU77+'D2C Online'!DU78+'D2C Online'!DU73</f>
        <v>560451417.82248473</v>
      </c>
      <c r="EE53" s="168"/>
      <c r="EF53" s="165">
        <f>SUM(BK53:BM53)</f>
        <v>439417922.35323948</v>
      </c>
      <c r="EG53" s="165">
        <f>SUM(BN53:BP53)</f>
        <v>391072873.1810261</v>
      </c>
      <c r="EH53" s="165">
        <f>SUM(BQ53:BS53)</f>
        <v>574849714.72127295</v>
      </c>
      <c r="EI53" s="165">
        <f>SUM(BT53:BV53)</f>
        <v>444827063.31846666</v>
      </c>
      <c r="EJ53" s="165">
        <f>SUM(BW53:BY53)</f>
        <v>513353189.45088518</v>
      </c>
      <c r="EK53" s="165">
        <f>SUM(CL53:CN53)</f>
        <v>811695650.05198073</v>
      </c>
      <c r="EL53" s="165">
        <f>SUM(CC53:CE53)</f>
        <v>576974526.66124904</v>
      </c>
      <c r="EM53" s="165">
        <f>SUM(CF53:CH53)</f>
        <v>767218611.29381669</v>
      </c>
      <c r="EN53" s="165">
        <f>SUM(CI53:CK53)</f>
        <v>774457355.42381227</v>
      </c>
      <c r="EO53" s="165">
        <f>SUM(CL53:CN53)</f>
        <v>811695650.05198073</v>
      </c>
      <c r="EP53" s="165">
        <f>SUM(CO53:CQ53)</f>
        <v>846949364.52886081</v>
      </c>
      <c r="EQ53" s="165">
        <f>SUM(CR53:CT53)</f>
        <v>998623169.45692468</v>
      </c>
      <c r="ER53" s="165">
        <f>SUM(CU53:CW53)</f>
        <v>952295267.98048258</v>
      </c>
      <c r="ES53" s="165">
        <f>SUM(CX53:CZ53)</f>
        <v>960765854.71627343</v>
      </c>
      <c r="ET53" s="165">
        <f>SUM(DA53:DC53)</f>
        <v>1047067079.217247</v>
      </c>
      <c r="EU53" s="165">
        <f>SUM(DD53:DF53)</f>
        <v>1195321339.4405301</v>
      </c>
      <c r="EV53" s="165">
        <f>SUM(DG53:DI53)</f>
        <v>1130325063.8783712</v>
      </c>
      <c r="EW53" s="165">
        <f>SUM(DJ53:DL53)</f>
        <v>1140379210.7539771</v>
      </c>
      <c r="EX53" s="165">
        <f>SUM(DM53:DO53)</f>
        <v>1242814285.648042</v>
      </c>
      <c r="EY53" s="165">
        <f>SUM(DP53:DR53)</f>
        <v>1418784398.9013591</v>
      </c>
      <c r="EZ53" s="165">
        <f t="shared" si="83"/>
        <v>1341685105.8026838</v>
      </c>
      <c r="FA53" s="165">
        <f t="shared" si="84"/>
        <v>1353619282.5679657</v>
      </c>
      <c r="FB53" s="165">
        <f t="shared" si="85"/>
        <v>1475208742.705725</v>
      </c>
      <c r="FC53" s="165">
        <f t="shared" si="86"/>
        <v>1684083594.3420258</v>
      </c>
      <c r="FE53" s="165">
        <f t="shared" si="87"/>
        <v>1850167573.5740051</v>
      </c>
      <c r="FF53" s="165">
        <f t="shared" si="88"/>
        <v>2669241977.4579315</v>
      </c>
      <c r="FG53" s="165">
        <f t="shared" si="89"/>
        <v>3431725539.4615784</v>
      </c>
      <c r="FH53" s="165">
        <f t="shared" si="90"/>
        <v>4155449541.3545332</v>
      </c>
      <c r="FI53" s="165">
        <f t="shared" si="91"/>
        <v>4932302959.1817493</v>
      </c>
      <c r="FJ53" s="165">
        <f t="shared" si="92"/>
        <v>5854596725.4183998</v>
      </c>
    </row>
    <row r="54" spans="2:166" x14ac:dyDescent="0.2">
      <c r="B54" s="155" t="s">
        <v>229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f>'D2C - Retail'!C104+'D2C - Retail'!C107+'D2C - Retail'!C112+'D2C - Retail'!C113+'D2C - Retail'!C114+'D2C - Retail'!C115+'D2C - Retail'!C110</f>
        <v>3775014.8947055237</v>
      </c>
      <c r="AD54" s="19">
        <f>'D2C - Retail'!D104+'D2C - Retail'!D107+'D2C - Retail'!D112+'D2C - Retail'!D113+'D2C - Retail'!D114+'D2C - Retail'!D115+'D2C - Retail'!D110</f>
        <v>3144256.2207671818</v>
      </c>
      <c r="AE54" s="19">
        <f>'D2C - Retail'!E104+'D2C - Retail'!E107+'D2C - Retail'!E112+'D2C - Retail'!E113+'D2C - Retail'!E114+'D2C - Retail'!E115+'D2C - Retail'!E110</f>
        <v>4637735.7190969484</v>
      </c>
      <c r="AF54" s="19">
        <f>'D2C - Retail'!F104+'D2C - Retail'!F107+'D2C - Retail'!F112+'D2C - Retail'!F113+'D2C - Retail'!F114+'D2C - Retail'!F115+'D2C - Retail'!F110</f>
        <v>7068019.186826474</v>
      </c>
      <c r="AG54" s="19">
        <f>'D2C - Retail'!G104+'D2C - Retail'!G107+'D2C - Retail'!G112+'D2C - Retail'!G113+'D2C - Retail'!G114+'D2C - Retail'!G115+'D2C - Retail'!G110</f>
        <v>7787670.9931164607</v>
      </c>
      <c r="AH54" s="19">
        <f>'D2C - Retail'!H104+'D2C - Retail'!H107+'D2C - Retail'!H112+'D2C - Retail'!H113+'D2C - Retail'!H114+'D2C - Retail'!H115+'D2C - Retail'!H110</f>
        <v>12351783.284102591</v>
      </c>
      <c r="AI54" s="19">
        <f>'D2C - Retail'!I104+'D2C - Retail'!I107+'D2C - Retail'!I112+'D2C - Retail'!I113+'D2C - Retail'!I114+'D2C - Retail'!I115+'D2C - Retail'!I110</f>
        <v>31471718.890328184</v>
      </c>
      <c r="AJ54" s="19">
        <f>'D2C - Retail'!J104+'D2C - Retail'!J107+'D2C - Retail'!J112+'D2C - Retail'!J113+'D2C - Retail'!J114+'D2C - Retail'!J115+'D2C - Retail'!J110</f>
        <v>31252467.821018092</v>
      </c>
      <c r="AK54" s="19">
        <f>'D2C - Retail'!K104+'D2C - Retail'!K107+'D2C - Retail'!K112+'D2C - Retail'!K113+'D2C - Retail'!K114+'D2C - Retail'!K115+'D2C - Retail'!K110</f>
        <v>29568948.909458306</v>
      </c>
      <c r="AL54" s="19">
        <f>'D2C - Retail'!L104+'D2C - Retail'!L107+'D2C - Retail'!L112+'D2C - Retail'!L113+'D2C - Retail'!L114+'D2C - Retail'!L115+'D2C - Retail'!L110</f>
        <v>31578552.8653019</v>
      </c>
      <c r="AM54" s="19">
        <f>'D2C - Retail'!M104+'D2C - Retail'!M107+'D2C - Retail'!M112+'D2C - Retail'!M113+'D2C - Retail'!M114+'D2C - Retail'!M115+'D2C - Retail'!M110</f>
        <v>17878323.798230127</v>
      </c>
      <c r="AN54" s="19">
        <f>'D2C - Retail'!N104+'D2C - Retail'!N107+'D2C - Retail'!N112+'D2C - Retail'!N113+'D2C - Retail'!N114+'D2C - Retail'!N115+'D2C - Retail'!N110</f>
        <v>500665.97326422721</v>
      </c>
      <c r="AO54" s="19">
        <f>'D2C - Retail'!O104+'D2C - Retail'!O107+'D2C - Retail'!O112+'D2C - Retail'!O113+'D2C - Retail'!O114+'D2C - Retail'!O115+'D2C - Retail'!O110</f>
        <v>11156237.264894575</v>
      </c>
      <c r="AP54" s="19">
        <f>'D2C - Retail'!P104+'D2C - Retail'!P107+'D2C - Retail'!P112+'D2C - Retail'!P113+'D2C - Retail'!P114+'D2C - Retail'!P115+'D2C - Retail'!P110</f>
        <v>16446757.186705317</v>
      </c>
      <c r="AQ54" s="19">
        <f>'D2C - Retail'!Q104+'D2C - Retail'!Q107+'D2C - Retail'!Q112+'D2C - Retail'!Q113+'D2C - Retail'!Q114+'D2C - Retail'!Q115+'D2C - Retail'!Q110</f>
        <v>22174399.486032177</v>
      </c>
      <c r="AR54" s="19">
        <f>'D2C - Retail'!R104+'D2C - Retail'!R107+'D2C - Retail'!R112+'D2C - Retail'!R113+'D2C - Retail'!R114+'D2C - Retail'!R115+'D2C - Retail'!R110</f>
        <v>31944307.68373679</v>
      </c>
      <c r="AS54" s="19">
        <f>'D2C - Retail'!S104+'D2C - Retail'!S107+'D2C - Retail'!S112+'D2C - Retail'!S113+'D2C - Retail'!S114+'D2C - Retail'!S115+'D2C - Retail'!S110</f>
        <v>40802329.03453505</v>
      </c>
      <c r="AT54" s="19">
        <f>'D2C - Retail'!T104+'D2C - Retail'!T107+'D2C - Retail'!T112+'D2C - Retail'!T113+'D2C - Retail'!T114+'D2C - Retail'!T115+'D2C - Retail'!T110</f>
        <v>56164595.343279175</v>
      </c>
      <c r="AU54" s="19">
        <f>'D2C - Retail'!U104+'D2C - Retail'!U107+'D2C - Retail'!U112+'D2C - Retail'!U113+'D2C - Retail'!U114+'D2C - Retail'!U115+'D2C - Retail'!U110</f>
        <v>67965747.112845153</v>
      </c>
      <c r="AV54" s="19">
        <f>'D2C - Retail'!V104+'D2C - Retail'!V107+'D2C - Retail'!V112+'D2C - Retail'!V113+'D2C - Retail'!V114+'D2C - Retail'!V115+'D2C - Retail'!V110</f>
        <v>68866535.431162134</v>
      </c>
      <c r="AW54" s="19">
        <f>'D2C - Retail'!W104+'D2C - Retail'!W107+'D2C - Retail'!W112+'D2C - Retail'!W113+'D2C - Retail'!W114+'D2C - Retail'!W115+'D2C - Retail'!W110</f>
        <v>73327815.333562657</v>
      </c>
      <c r="AX54" s="19">
        <f>'D2C - Retail'!X104+'D2C - Retail'!X107+'D2C - Retail'!X112+'D2C - Retail'!X113+'D2C - Retail'!X114+'D2C - Retail'!X115+'D2C - Retail'!X110</f>
        <v>83276957.109905899</v>
      </c>
      <c r="AY54" s="19">
        <f>'D2C - Retail'!Y104+'D2C - Retail'!Y107+'D2C - Retail'!Y112+'D2C - Retail'!Y113+'D2C - Retail'!Y114+'D2C - Retail'!Y115+'D2C - Retail'!Y110</f>
        <v>72818842.751424506</v>
      </c>
      <c r="AZ54" s="19">
        <f>'D2C - Retail'!Z104+'D2C - Retail'!Z107+'D2C - Retail'!Z112+'D2C - Retail'!Z113+'D2C - Retail'!Z114+'D2C - Retail'!Z115+'D2C - Retail'!Z110</f>
        <v>92384419.777485803</v>
      </c>
      <c r="BA54" s="19">
        <f>'D2C - Retail'!AA104+'D2C - Retail'!AA107+'D2C - Retail'!AA112+'D2C - Retail'!AA113+'D2C - Retail'!AA114+'D2C - Retail'!AA115+'D2C - Retail'!AA110</f>
        <v>112845733.55442989</v>
      </c>
      <c r="BB54" s="19">
        <f>'D2C - Retail'!AB104+'D2C - Retail'!AB107+'D2C - Retail'!AB112+'D2C - Retail'!AB113+'D2C - Retail'!AB114+'D2C - Retail'!AB115+'D2C - Retail'!AB110</f>
        <v>112687143.35688494</v>
      </c>
      <c r="BC54" s="19">
        <f>'D2C - Retail'!AC104+'D2C - Retail'!AC107+'D2C - Retail'!AC112+'D2C - Retail'!AC113+'D2C - Retail'!AC114+'D2C - Retail'!AC115+'D2C - Retail'!AC110</f>
        <v>120719350.89978744</v>
      </c>
      <c r="BD54" s="19">
        <f>'D2C - Retail'!AD104+'D2C - Retail'!AD107+'D2C - Retail'!AD112+'D2C - Retail'!AD113+'D2C - Retail'!AD114+'D2C - Retail'!AD115+'D2C - Retail'!AD110</f>
        <v>120775345.87427473</v>
      </c>
      <c r="BE54" s="19">
        <f>'D2C - Retail'!AE104+'D2C - Retail'!AE107+'D2C - Retail'!AE112+'D2C - Retail'!AE113+'D2C - Retail'!AE114+'D2C - Retail'!AE115+'D2C - Retail'!AE110</f>
        <v>134520873.02870411</v>
      </c>
      <c r="BF54" s="19">
        <f>'D2C - Retail'!AF104+'D2C - Retail'!AF107+'D2C - Retail'!AF112+'D2C - Retail'!AF113+'D2C - Retail'!AF114+'D2C - Retail'!AF115+'D2C - Retail'!AF110</f>
        <v>139730322.10491768</v>
      </c>
      <c r="BG54" s="19">
        <f>'D2C - Retail'!AG104+'D2C - Retail'!AG107+'D2C - Retail'!AG112+'D2C - Retail'!AG113+'D2C - Retail'!AG114+'D2C - Retail'!AG115+'D2C - Retail'!AG110</f>
        <v>169963426.08480504</v>
      </c>
      <c r="BH54" s="19">
        <f>'D2C - Retail'!AH104+'D2C - Retail'!AH107+'D2C - Retail'!AH112+'D2C - Retail'!AH113+'D2C - Retail'!AH114+'D2C - Retail'!AH115+'D2C - Retail'!AH110</f>
        <v>185113946.65918183</v>
      </c>
      <c r="BI54" s="19">
        <f>'D2C - Retail'!AI104+'D2C - Retail'!AI107+'D2C - Retail'!AI112+'D2C - Retail'!AI113+'D2C - Retail'!AI114+'D2C - Retail'!AI115+'D2C - Retail'!AI110</f>
        <v>181563392.40912977</v>
      </c>
      <c r="BJ54" s="19">
        <f>'D2C - Retail'!AJ104+'D2C - Retail'!AJ107+'D2C - Retail'!AJ112+'D2C - Retail'!AJ113+'D2C - Retail'!AJ114+'D2C - Retail'!AJ115+'D2C - Retail'!AJ110</f>
        <v>235161216.55772257</v>
      </c>
      <c r="BK54" s="19">
        <f>'D2C - Retail'!AK104+'D2C - Retail'!AK107+'D2C - Retail'!AK112+'D2C - Retail'!AK113+'D2C - Retail'!AK114+'D2C - Retail'!AK115+'D2C - Retail'!AK110</f>
        <v>259083869.9268406</v>
      </c>
      <c r="BL54" s="19">
        <f>'D2C - Retail'!AL104+'D2C - Retail'!AL107+'D2C - Retail'!AL112+'D2C - Retail'!AL113+'D2C - Retail'!AL114+'D2C - Retail'!AL115+'D2C - Retail'!AL110</f>
        <v>270041960.35829735</v>
      </c>
      <c r="BM54" s="19">
        <f>'D2C - Retail'!AM104+'D2C - Retail'!AM107+'D2C - Retail'!AM112+'D2C - Retail'!AM113+'D2C - Retail'!AM114+'D2C - Retail'!AM115+'D2C - Retail'!AM110</f>
        <v>258185560.32632956</v>
      </c>
      <c r="BN54" s="19">
        <f>'D2C - Retail'!AN104+'D2C - Retail'!AN107+'D2C - Retail'!AN112+'D2C - Retail'!AN113+'D2C - Retail'!AN114+'D2C - Retail'!AN115+'D2C - Retail'!AN110</f>
        <v>225621254.80297756</v>
      </c>
      <c r="BO54" s="19">
        <f>'D2C - Retail'!AO104+'D2C - Retail'!AO107+'D2C - Retail'!AO112+'D2C - Retail'!AO113+'D2C - Retail'!AO114+'D2C - Retail'!AO115+'D2C - Retail'!AO110</f>
        <v>222591163.59512544</v>
      </c>
      <c r="BP54" s="19">
        <f>'D2C - Retail'!AP104+'D2C - Retail'!AP107+'D2C - Retail'!AP112+'D2C - Retail'!AP113+'D2C - Retail'!AP114+'D2C - Retail'!AP115+'D2C - Retail'!AP110</f>
        <v>215771728.90759826</v>
      </c>
      <c r="BQ54" s="19">
        <f>'D2C - Retail'!AQ104+'D2C - Retail'!AQ107+'D2C - Retail'!AQ112+'D2C - Retail'!AQ113+'D2C - Retail'!AQ114+'D2C - Retail'!AQ115+'D2C - Retail'!AQ110</f>
        <v>315160520.01547581</v>
      </c>
      <c r="BR54" s="19">
        <f>'D2C - Retail'!AR104+'D2C - Retail'!AR107+'D2C - Retail'!AR112+'D2C - Retail'!AR113+'D2C - Retail'!AR114+'D2C - Retail'!AR115+'D2C - Retail'!AR110</f>
        <v>272341080.66329879</v>
      </c>
      <c r="BS54" s="19">
        <f>'D2C - Retail'!AS104+'D2C - Retail'!AS107+'D2C - Retail'!AS112+'D2C - Retail'!AS113+'D2C - Retail'!AS114+'D2C - Retail'!AS115+'D2C - Retail'!AS110</f>
        <v>232382669.88977855</v>
      </c>
      <c r="BT54" s="19">
        <f>'D2C - Retail'!AT104+'D2C - Retail'!AT107+'D2C - Retail'!AT112+'D2C - Retail'!AT113+'D2C - Retail'!AT114+'D2C - Retail'!AT115+'D2C - Retail'!AT110</f>
        <v>205208787.27000064</v>
      </c>
      <c r="BU54" s="19">
        <f>'D2C - Retail'!AU104+'D2C - Retail'!AU107+'D2C - Retail'!AU112+'D2C - Retail'!AU113+'D2C - Retail'!AU114+'D2C - Retail'!AU115+'D2C - Retail'!AU110</f>
        <v>176692235.41668507</v>
      </c>
      <c r="BV54" s="19">
        <f>'D2C - Retail'!AV104+'D2C - Retail'!AV107+'D2C - Retail'!AV112+'D2C - Retail'!AV113+'D2C - Retail'!AV114+'D2C - Retail'!AV115+'D2C - Retail'!AV110</f>
        <v>216486106.71763092</v>
      </c>
      <c r="BW54" s="19">
        <f>'D2C - Retail'!AW104+'D2C - Retail'!AW107+'D2C - Retail'!AW112+'D2C - Retail'!AW113+'D2C - Retail'!AW114+'D2C - Retail'!AW115+'D2C - Retail'!AW110</f>
        <v>235087154.01205823</v>
      </c>
      <c r="BX54" s="19">
        <f>'D2C - Retail'!AX104+'D2C - Retail'!AX107+'D2C - Retail'!AX112+'D2C - Retail'!AX113+'D2C - Retail'!AX114+'D2C - Retail'!AX115+'D2C - Retail'!AX110</f>
        <v>229730555.01070505</v>
      </c>
      <c r="BY54" s="19">
        <f>'D2C - Retail'!AY104+'D2C - Retail'!AY107+'D2C - Retail'!AY112+'D2C - Retail'!AY113+'D2C - Retail'!AY114+'D2C - Retail'!AY115+'D2C - Retail'!AY110</f>
        <v>247142201.05226439</v>
      </c>
      <c r="BZ54" s="19">
        <f>'D2C - Retail'!AZ104+'D2C - Retail'!AZ107+'D2C - Retail'!AZ112+'D2C - Retail'!AZ113+'D2C - Retail'!AZ114+'D2C - Retail'!AZ115+'D2C - Retail'!AZ110</f>
        <v>230861079.51608816</v>
      </c>
      <c r="CA54" s="19">
        <f>'D2C - Retail'!BA104+'D2C - Retail'!BA107+'D2C - Retail'!BA112+'D2C - Retail'!BA113+'D2C - Retail'!BA114+'D2C - Retail'!BA115+'D2C - Retail'!BA110</f>
        <v>193455416.87892488</v>
      </c>
      <c r="CB54" s="19">
        <f>'D2C - Retail'!BB104+'D2C - Retail'!BB107+'D2C - Retail'!BB112+'D2C - Retail'!BB113+'D2C - Retail'!BB114+'D2C - Retail'!BB115+'D2C - Retail'!BB110</f>
        <v>168405773.25670418</v>
      </c>
      <c r="CC54" s="19">
        <f>'D2C - Retail'!BC104+'D2C - Retail'!BC107+'D2C - Retail'!BC112+'D2C - Retail'!BC113+'D2C - Retail'!BC114+'D2C - Retail'!BC115+'D2C - Retail'!BC110</f>
        <v>241480908.11791542</v>
      </c>
      <c r="CD54" s="19">
        <f>'D2C - Retail'!BD104+'D2C - Retail'!BD107+'D2C - Retail'!BD112+'D2C - Retail'!BD113+'D2C - Retail'!BD114+'D2C - Retail'!BD115+'D2C - Retail'!BD110</f>
        <v>235925661.9512921</v>
      </c>
      <c r="CE54" s="19">
        <f>'D2C - Retail'!BE104+'D2C - Retail'!BE107+'D2C - Retail'!BE112+'D2C - Retail'!BE113+'D2C - Retail'!BE114+'D2C - Retail'!BE115+'D2C - Retail'!BE110</f>
        <v>283356543.26548254</v>
      </c>
      <c r="CF54" s="19">
        <f>'D2C - Retail'!BF104+'D2C - Retail'!BF107+'D2C - Retail'!BF112+'D2C - Retail'!BF113+'D2C - Retail'!BF114+'D2C - Retail'!BF115+'D2C - Retail'!BF110</f>
        <v>295903301.12254852</v>
      </c>
      <c r="CG54" s="19">
        <f>'D2C - Retail'!BG104+'D2C - Retail'!BG107+'D2C - Retail'!BG112+'D2C - Retail'!BG113+'D2C - Retail'!BG114+'D2C - Retail'!BG115+'D2C - Retail'!BG110</f>
        <v>279946438.61513996</v>
      </c>
      <c r="CH54" s="19">
        <f>'D2C - Retail'!BH104+'D2C - Retail'!BH107+'D2C - Retail'!BH112+'D2C - Retail'!BH113+'D2C - Retail'!BH114+'D2C - Retail'!BH115+'D2C - Retail'!BH110</f>
        <v>346891915.61453116</v>
      </c>
      <c r="CI54" s="19">
        <f>'D2C - Retail'!BI104+'D2C - Retail'!BI107+'D2C - Retail'!BI112+'D2C - Retail'!BI113+'D2C - Retail'!BI114+'D2C - Retail'!BI115+'D2C - Retail'!BI110</f>
        <v>337157694.28881371</v>
      </c>
      <c r="CJ54" s="19">
        <f>'D2C - Retail'!BJ104+'D2C - Retail'!BJ107+'D2C - Retail'!BJ112+'D2C - Retail'!BJ113+'D2C - Retail'!BJ114+'D2C - Retail'!BJ115+'D2C - Retail'!BJ110</f>
        <v>322843460.1433779</v>
      </c>
      <c r="CK54" s="19">
        <f>'D2C - Retail'!BK104+'D2C - Retail'!BK107+'D2C - Retail'!BK112+'D2C - Retail'!BK113+'D2C - Retail'!BK114+'D2C - Retail'!BK115+'D2C - Retail'!BK110</f>
        <v>327912648.5232271</v>
      </c>
      <c r="CL54" s="19">
        <f>'D2C - Retail'!BL104+'D2C - Retail'!BL107+'D2C - Retail'!BL112+'D2C - Retail'!BL113+'D2C - Retail'!BL114+'D2C - Retail'!BL115+'D2C - Retail'!BL110</f>
        <v>363587429.15767843</v>
      </c>
      <c r="CM54" s="19">
        <f>'D2C - Retail'!BM104+'D2C - Retail'!BM107+'D2C - Retail'!BM112+'D2C - Retail'!BM113+'D2C - Retail'!BM114+'D2C - Retail'!BM115+'D2C - Retail'!BM110</f>
        <v>291955201.20314634</v>
      </c>
      <c r="CN54" s="19">
        <f>'D2C - Retail'!BN104+'D2C - Retail'!BN107+'D2C - Retail'!BN112+'D2C - Retail'!BN113+'D2C - Retail'!BN114+'D2C - Retail'!BN115+'D2C - Retail'!BN110</f>
        <v>277103448.69843066</v>
      </c>
      <c r="CO54" s="19">
        <f>'D2C - Retail'!BO104+'D2C - Retail'!BO107+'D2C - Retail'!BO112+'D2C - Retail'!BO113+'D2C - Retail'!BO114+'D2C - Retail'!BO115+'D2C - Retail'!BO110</f>
        <v>408591657.34998447</v>
      </c>
      <c r="CP54" s="19">
        <f>'D2C - Retail'!BP104+'D2C - Retail'!BP107+'D2C - Retail'!BP112+'D2C - Retail'!BP113+'D2C - Retail'!BP114+'D2C - Retail'!BP115+'D2C - Retail'!BP110</f>
        <v>363930166.09938622</v>
      </c>
      <c r="CQ54" s="19">
        <f>'D2C - Retail'!BQ104+'D2C - Retail'!BQ107+'D2C - Retail'!BQ112+'D2C - Retail'!BQ113+'D2C - Retail'!BQ114+'D2C - Retail'!BQ115+'D2C - Retail'!BQ110</f>
        <v>469938851.15837443</v>
      </c>
      <c r="CR54" s="19">
        <f>'D2C - Retail'!BR104+'D2C - Retail'!BR107+'D2C - Retail'!BR112+'D2C - Retail'!BR113+'D2C - Retail'!BR114+'D2C - Retail'!BR115+'D2C - Retail'!BR110</f>
        <v>499518558.90228647</v>
      </c>
      <c r="CS54" s="19">
        <f>'D2C - Retail'!BS104+'D2C - Retail'!BS107+'D2C - Retail'!BS112+'D2C - Retail'!BS113+'D2C - Retail'!BS114+'D2C - Retail'!BS115+'D2C - Retail'!BS110</f>
        <v>489073091.92339915</v>
      </c>
      <c r="CT54" s="19">
        <f>'D2C - Retail'!BT104+'D2C - Retail'!BT107+'D2C - Retail'!BT112+'D2C - Retail'!BT113+'D2C - Retail'!BT114+'D2C - Retail'!BT115+'D2C - Retail'!BT110</f>
        <v>589420365.71869266</v>
      </c>
      <c r="CU54" s="19">
        <f>'D2C - Retail'!BU104+'D2C - Retail'!BU107+'D2C - Retail'!BU112+'D2C - Retail'!BU113+'D2C - Retail'!BU114+'D2C - Retail'!BU115+'D2C - Retail'!BU110</f>
        <v>483202414.45460862</v>
      </c>
      <c r="CV54" s="19">
        <f>'D2C - Retail'!BV104+'D2C - Retail'!BV107+'D2C - Retail'!BV112+'D2C - Retail'!BV113+'D2C - Retail'!BV114+'D2C - Retail'!BV115+'D2C - Retail'!BV110</f>
        <v>471994708.91766703</v>
      </c>
      <c r="CW54" s="19">
        <f>'D2C - Retail'!BW104+'D2C - Retail'!BW107+'D2C - Retail'!BW112+'D2C - Retail'!BW113+'D2C - Retail'!BW114+'D2C - Retail'!BW115+'D2C - Retail'!BW110</f>
        <v>470401134.21503425</v>
      </c>
      <c r="CX54" s="19">
        <f>'D2C - Retail'!BX104+'D2C - Retail'!BX107+'D2C - Retail'!BX112+'D2C - Retail'!BX113+'D2C - Retail'!BX114+'D2C - Retail'!BX115+'D2C - Retail'!BX110</f>
        <v>512540326.14695275</v>
      </c>
      <c r="CY54" s="19">
        <f>'D2C - Retail'!BY104+'D2C - Retail'!BY107+'D2C - Retail'!BY112+'D2C - Retail'!BY113+'D2C - Retail'!BY114+'D2C - Retail'!BY115+'D2C - Retail'!BY110</f>
        <v>452859047.88099289</v>
      </c>
      <c r="CZ54" s="19">
        <f>'D2C - Retail'!BZ104+'D2C - Retail'!BZ107+'D2C - Retail'!BZ112+'D2C - Retail'!BZ113+'D2C - Retail'!BZ114+'D2C - Retail'!BZ115+'D2C - Retail'!BZ110</f>
        <v>416739593.35538584</v>
      </c>
      <c r="DA54" s="19">
        <f>'D2C - Retail'!CA104+'D2C - Retail'!CA107+'D2C - Retail'!CA112+'D2C - Retail'!CA113+'D2C - Retail'!CA114+'D2C - Retail'!CA115+'D2C - Retail'!CA110</f>
        <v>530517248.23515648</v>
      </c>
      <c r="DB54" s="19">
        <f>'D2C - Retail'!CB104+'D2C - Retail'!CB107+'D2C - Retail'!CB112+'D2C - Retail'!CB113+'D2C - Retail'!CB114+'D2C - Retail'!CB115+'D2C - Retail'!CB110</f>
        <v>484549678.59927416</v>
      </c>
      <c r="DC54" s="19">
        <f>'D2C - Retail'!CC104+'D2C - Retail'!CC107+'D2C - Retail'!CC112+'D2C - Retail'!CC113+'D2C - Retail'!CC114+'D2C - Retail'!CC115+'D2C - Retail'!CC110</f>
        <v>584571671.27039683</v>
      </c>
      <c r="DD54" s="19">
        <f>'D2C - Retail'!CD104+'D2C - Retail'!CD107+'D2C - Retail'!CD112+'D2C - Retail'!CD113+'D2C - Retail'!CD114+'D2C - Retail'!CD115+'D2C - Retail'!CD110</f>
        <v>599690261.47803497</v>
      </c>
      <c r="DE54" s="19">
        <f>'D2C - Retail'!CE104+'D2C - Retail'!CE107+'D2C - Retail'!CE112+'D2C - Retail'!CE113+'D2C - Retail'!CE114+'D2C - Retail'!CE115+'D2C - Retail'!CE110</f>
        <v>553940895.9750942</v>
      </c>
      <c r="DF54" s="19">
        <f>'D2C - Retail'!CF104+'D2C - Retail'!CF107+'D2C - Retail'!CF112+'D2C - Retail'!CF113+'D2C - Retail'!CF114+'D2C - Retail'!CF115+'D2C - Retail'!CF110</f>
        <v>651189570.19649041</v>
      </c>
      <c r="DG54" s="19">
        <f>'D2C - Retail'!CG104+'D2C - Retail'!CG107+'D2C - Retail'!CG112+'D2C - Retail'!CG113+'D2C - Retail'!CG114+'D2C - Retail'!CG115+'D2C - Retail'!CG110</f>
        <v>595230289.48300123</v>
      </c>
      <c r="DH54" s="19">
        <f>'D2C - Retail'!CH104+'D2C - Retail'!CH107+'D2C - Retail'!CH112+'D2C - Retail'!CH113+'D2C - Retail'!CH114+'D2C - Retail'!CH115+'D2C - Retail'!CH110</f>
        <v>582987871.26011288</v>
      </c>
      <c r="DI54" s="19">
        <f>'D2C - Retail'!CI104+'D2C - Retail'!CI107+'D2C - Retail'!CI112+'D2C - Retail'!CI113+'D2C - Retail'!CI114+'D2C - Retail'!CI115+'D2C - Retail'!CI110</f>
        <v>578051739.01077151</v>
      </c>
      <c r="DJ54" s="19">
        <f>'D2C - Retail'!CJ104+'D2C - Retail'!CJ107+'D2C - Retail'!CJ112+'D2C - Retail'!CJ113+'D2C - Retail'!CJ114+'D2C - Retail'!CJ115+'D2C - Retail'!CJ110</f>
        <v>629229601.59443605</v>
      </c>
      <c r="DK54" s="19">
        <f>'D2C - Retail'!CK104+'D2C - Retail'!CK107+'D2C - Retail'!CK112+'D2C - Retail'!CK113+'D2C - Retail'!CK114+'D2C - Retail'!CK115+'D2C - Retail'!CK110</f>
        <v>555194255.04992723</v>
      </c>
      <c r="DL54" s="19">
        <f>'D2C - Retail'!CL104+'D2C - Retail'!CL107+'D2C - Retail'!CL112+'D2C - Retail'!CL113+'D2C - Retail'!CL114+'D2C - Retail'!CL115+'D2C - Retail'!CL110</f>
        <v>509993688.76730186</v>
      </c>
      <c r="DM54" s="19">
        <f>'D2C - Retail'!CM104+'D2C - Retail'!CM107+'D2C - Retail'!CM112+'D2C - Retail'!CM113+'D2C - Retail'!CM114+'D2C - Retail'!CM115+'D2C - Retail'!CM110</f>
        <v>646365490.29971361</v>
      </c>
      <c r="DN54" s="19">
        <f>'D2C - Retail'!CN104+'D2C - Retail'!CN107+'D2C - Retail'!CN112+'D2C - Retail'!CN113+'D2C - Retail'!CN114+'D2C - Retail'!CN115+'D2C - Retail'!CN110</f>
        <v>587571375.37859893</v>
      </c>
      <c r="DO54" s="19">
        <f>'D2C - Retail'!CO104+'D2C - Retail'!CO107+'D2C - Retail'!CO112+'D2C - Retail'!CO113+'D2C - Retail'!CO114+'D2C - Retail'!CO115+'D2C - Retail'!CO110</f>
        <v>705819772.3673569</v>
      </c>
      <c r="DP54" s="19">
        <f>'D2C - Retail'!CP104+'D2C - Retail'!CP107+'D2C - Retail'!CP112+'D2C - Retail'!CP113+'D2C - Retail'!CP114+'D2C - Retail'!CP115+'D2C - Retail'!CP110</f>
        <v>721019061.7319653</v>
      </c>
      <c r="DQ54" s="19">
        <f>'D2C - Retail'!CQ104+'D2C - Retail'!CQ107+'D2C - Retail'!CQ112+'D2C - Retail'!CQ113+'D2C - Retail'!CQ114+'D2C - Retail'!CQ115+'D2C - Retail'!CQ110</f>
        <v>663009489.30631053</v>
      </c>
      <c r="DR54" s="19">
        <f>'D2C - Retail'!CR104+'D2C - Retail'!CR107+'D2C - Retail'!CR112+'D2C - Retail'!CR113+'D2C - Retail'!CR114+'D2C - Retail'!CR115+'D2C - Retail'!CR110</f>
        <v>770397986.80660605</v>
      </c>
      <c r="DS54" s="19">
        <f>'D2C - Retail'!CS104+'D2C - Retail'!CS107+'D2C - Retail'!CS112+'D2C - Retail'!CS113+'D2C - Retail'!CS114+'D2C - Retail'!CS115+'D2C - Retail'!CS110</f>
        <v>682947188.99354398</v>
      </c>
      <c r="DT54" s="19">
        <f>'D2C - Retail'!CT104+'D2C - Retail'!CT107+'D2C - Retail'!CT112+'D2C - Retail'!CT113+'D2C - Retail'!CT114+'D2C - Retail'!CT115+'D2C - Retail'!CT110</f>
        <v>668302307.89448607</v>
      </c>
      <c r="DU54" s="19">
        <f>'D2C - Retail'!CU104+'D2C - Retail'!CU107+'D2C - Retail'!CU112+'D2C - Retail'!CU113+'D2C - Retail'!CU114+'D2C - Retail'!CU115+'D2C - Retail'!CU110</f>
        <v>662255247.37328029</v>
      </c>
      <c r="DV54" s="19">
        <f>'D2C - Retail'!CV104+'D2C - Retail'!CV107+'D2C - Retail'!CV112+'D2C - Retail'!CV113+'D2C - Retail'!CV114+'D2C - Retail'!CV115+'D2C - Retail'!CV110</f>
        <v>720465841.5008682</v>
      </c>
      <c r="DW54" s="19">
        <f>'D2C - Retail'!CW104+'D2C - Retail'!CW107+'D2C - Retail'!CW112+'D2C - Retail'!CW113+'D2C - Retail'!CW114+'D2C - Retail'!CW115+'D2C - Retail'!CW110</f>
        <v>635159610.58289421</v>
      </c>
      <c r="DX54" s="19">
        <f>'D2C - Retail'!CX104+'D2C - Retail'!CX107+'D2C - Retail'!CX112+'D2C - Retail'!CX113+'D2C - Retail'!CX114+'D2C - Retail'!CX115+'D2C - Retail'!CX110</f>
        <v>582805308.28085649</v>
      </c>
      <c r="DY54" s="19">
        <f>'D2C - Retail'!CY104+'D2C - Retail'!CY107+'D2C - Retail'!CY112+'D2C - Retail'!CY113+'D2C - Retail'!CY114+'D2C - Retail'!CY115+'D2C - Retail'!CY110</f>
        <v>738430041.79538012</v>
      </c>
      <c r="DZ54" s="19">
        <f>'D2C - Retail'!CZ104+'D2C - Retail'!CZ107+'D2C - Retail'!CZ112+'D2C - Retail'!CZ113+'D2C - Retail'!CZ114+'D2C - Retail'!CZ115+'D2C - Retail'!CZ110</f>
        <v>670903848.3387754</v>
      </c>
      <c r="EA54" s="19">
        <f>'D2C - Retail'!DA104+'D2C - Retail'!DA107+'D2C - Retail'!DA112+'D2C - Retail'!DA113+'D2C - Retail'!DA114+'D2C - Retail'!DA115+'D2C - Retail'!DA110</f>
        <v>805695656.03708768</v>
      </c>
      <c r="EB54" s="19">
        <f>'D2C - Retail'!DB104+'D2C - Retail'!DB107+'D2C - Retail'!DB112+'D2C - Retail'!DB113+'D2C - Retail'!DB114+'D2C - Retail'!DB115+'D2C - Retail'!DB110</f>
        <v>822825595.38046312</v>
      </c>
      <c r="EC54" s="19">
        <f>'D2C - Retail'!DC104+'D2C - Retail'!DC107+'D2C - Retail'!DC112+'D2C - Retail'!DC113+'D2C - Retail'!DC114+'D2C - Retail'!DC115+'D2C - Retail'!DC110</f>
        <v>756231447.05105126</v>
      </c>
      <c r="ED54" s="19">
        <f>'D2C - Retail'!DD104+'D2C - Retail'!DD107+'D2C - Retail'!DD112+'D2C - Retail'!DD113+'D2C - Retail'!DD114+'D2C - Retail'!DD115+'D2C - Retail'!DD110</f>
        <v>878480807.96521652</v>
      </c>
      <c r="EE54" s="168"/>
      <c r="EF54" s="165">
        <f>SUM(BK54:BM54)</f>
        <v>787311390.61146748</v>
      </c>
      <c r="EG54" s="165">
        <f>SUM(BN54:BP54)</f>
        <v>663984147.30570126</v>
      </c>
      <c r="EH54" s="165">
        <f>SUM(BQ54:BS54)</f>
        <v>819884270.56855321</v>
      </c>
      <c r="EI54" s="165">
        <f>SUM(BT54:BV54)</f>
        <v>598387129.40431666</v>
      </c>
      <c r="EJ54" s="165">
        <f>SUM(BW54:BY54)</f>
        <v>711959910.0750277</v>
      </c>
      <c r="EK54" s="165">
        <f>SUM(CL54:CN54)</f>
        <v>932646079.05925548</v>
      </c>
      <c r="EL54" s="165">
        <f>SUM(CC54:CE54)</f>
        <v>760763113.33469009</v>
      </c>
      <c r="EM54" s="165">
        <f>SUM(CF54:CH54)</f>
        <v>922741655.3522197</v>
      </c>
      <c r="EN54" s="165">
        <f>SUM(CI54:CK54)</f>
        <v>987913802.95541871</v>
      </c>
      <c r="EO54" s="165">
        <f>SUM(CL54:CN54)</f>
        <v>932646079.05925548</v>
      </c>
      <c r="EP54" s="165">
        <f>SUM(CO54:CQ54)</f>
        <v>1242460674.6077452</v>
      </c>
      <c r="EQ54" s="165">
        <f>SUM(CR54:CT54)</f>
        <v>1578012016.5443783</v>
      </c>
      <c r="ER54" s="165">
        <f>SUM(CU54:CW54)</f>
        <v>1425598257.5873098</v>
      </c>
      <c r="ES54" s="165">
        <f>SUM(CX54:CZ54)</f>
        <v>1382138967.3833315</v>
      </c>
      <c r="ET54" s="165">
        <f>SUM(DA54:DC54)</f>
        <v>1599638598.1048274</v>
      </c>
      <c r="EU54" s="165">
        <f>SUM(DD54:DF54)</f>
        <v>1804820727.6496196</v>
      </c>
      <c r="EV54" s="165">
        <f>SUM(DG54:DI54)</f>
        <v>1756269899.7538855</v>
      </c>
      <c r="EW54" s="165">
        <f>SUM(DJ54:DL54)</f>
        <v>1694417545.4116652</v>
      </c>
      <c r="EX54" s="165">
        <f>SUM(DM54:DO54)</f>
        <v>1939756638.0456696</v>
      </c>
      <c r="EY54" s="165">
        <f>SUM(DP54:DR54)</f>
        <v>2154426537.844882</v>
      </c>
      <c r="EZ54" s="165">
        <f t="shared" si="83"/>
        <v>2013504744.2613103</v>
      </c>
      <c r="FA54" s="165">
        <f t="shared" si="84"/>
        <v>1938430760.3646188</v>
      </c>
      <c r="FB54" s="165">
        <f t="shared" si="85"/>
        <v>2215029546.1712432</v>
      </c>
      <c r="FC54" s="165">
        <f t="shared" si="86"/>
        <v>2457537850.3967309</v>
      </c>
      <c r="FE54" s="165">
        <f t="shared" si="87"/>
        <v>2869566937.8900385</v>
      </c>
      <c r="FF54" s="165">
        <f t="shared" si="88"/>
        <v>3328110757.8211927</v>
      </c>
      <c r="FG54" s="165">
        <f t="shared" si="89"/>
        <v>4741032573.1667976</v>
      </c>
      <c r="FH54" s="165">
        <f t="shared" si="90"/>
        <v>6212196550.7250881</v>
      </c>
      <c r="FI54" s="165">
        <f t="shared" si="91"/>
        <v>7544870621.0561018</v>
      </c>
      <c r="FJ54" s="165">
        <f t="shared" si="92"/>
        <v>8624502901.193903</v>
      </c>
    </row>
    <row r="55" spans="2:166" x14ac:dyDescent="0.2">
      <c r="B55" s="155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68"/>
      <c r="EF55" s="165"/>
      <c r="EG55" s="165"/>
      <c r="EH55" s="165"/>
      <c r="EI55" s="165"/>
      <c r="EJ55" s="165"/>
      <c r="EK55" s="165"/>
      <c r="EL55" s="165"/>
      <c r="EM55" s="165"/>
      <c r="EN55" s="165"/>
      <c r="EO55" s="165"/>
      <c r="EP55" s="165"/>
      <c r="EQ55" s="165"/>
      <c r="ER55" s="165"/>
      <c r="ES55" s="165"/>
      <c r="ET55" s="165"/>
      <c r="EU55" s="165"/>
      <c r="EV55" s="165"/>
      <c r="EW55" s="165"/>
      <c r="EX55" s="165"/>
      <c r="EY55" s="165"/>
      <c r="EZ55" s="165">
        <f t="shared" si="83"/>
        <v>0</v>
      </c>
      <c r="FA55" s="165">
        <f t="shared" si="84"/>
        <v>0</v>
      </c>
      <c r="FB55" s="165">
        <f t="shared" si="85"/>
        <v>0</v>
      </c>
      <c r="FC55" s="165">
        <f t="shared" si="86"/>
        <v>0</v>
      </c>
      <c r="FE55" s="165"/>
      <c r="FF55" s="165"/>
      <c r="FG55" s="165"/>
      <c r="FH55" s="165"/>
      <c r="FI55" s="165"/>
      <c r="FJ55" s="165">
        <f t="shared" si="92"/>
        <v>0</v>
      </c>
    </row>
    <row r="56" spans="2:166" x14ac:dyDescent="0.2">
      <c r="B56" s="155" t="s">
        <v>19</v>
      </c>
      <c r="C56" s="19">
        <f>'P&amp;L - Inputs'!B700</f>
        <v>4433468</v>
      </c>
      <c r="D56" s="19">
        <f>'P&amp;L - Inputs'!C700</f>
        <v>4778197.0128610004</v>
      </c>
      <c r="E56" s="19">
        <f>'P&amp;L - Inputs'!D700</f>
        <v>4094665.7257464025</v>
      </c>
      <c r="F56" s="19">
        <f>'P&amp;L - Inputs'!E700</f>
        <v>7338617.74431</v>
      </c>
      <c r="G56" s="19">
        <f>'P&amp;L - Inputs'!F700</f>
        <v>5203386.5249471301</v>
      </c>
      <c r="H56" s="19">
        <f>'P&amp;L - Inputs'!G700</f>
        <v>3970987.0053468994</v>
      </c>
      <c r="I56" s="19">
        <f>'P&amp;L - Inputs'!H700</f>
        <v>4667509.7872959999</v>
      </c>
      <c r="J56" s="19">
        <f>'P&amp;L - Inputs'!I700</f>
        <v>5575253.6699999999</v>
      </c>
      <c r="K56" s="19">
        <f>'P&amp;L - Inputs'!J700</f>
        <v>6924003.3399999999</v>
      </c>
      <c r="L56" s="19">
        <f>'P&amp;L - Inputs'!K700</f>
        <v>8221755.2067620009</v>
      </c>
      <c r="M56" s="19">
        <f>'P&amp;L - Inputs'!L700</f>
        <v>12808208.76</v>
      </c>
      <c r="N56" s="19">
        <f>'P&amp;L - Inputs'!M700</f>
        <v>21405014.850000001</v>
      </c>
      <c r="O56" s="19">
        <f>'P&amp;L - Inputs'!N700</f>
        <v>29616526.640000001</v>
      </c>
      <c r="P56" s="19">
        <f>'P&amp;L - Inputs'!O700</f>
        <v>33177658.939999998</v>
      </c>
      <c r="Q56" s="19">
        <f>'P&amp;L - Inputs'!P700</f>
        <v>30848217.359999999</v>
      </c>
      <c r="R56" s="19">
        <f>'P&amp;L - Inputs'!Q700</f>
        <v>39528959.659999996</v>
      </c>
      <c r="S56" s="19">
        <f>'P&amp;L - Inputs'!R700</f>
        <v>23959877.34</v>
      </c>
      <c r="T56" s="19">
        <f>'P&amp;L - Inputs'!S700</f>
        <v>33367554.650000002</v>
      </c>
      <c r="U56" s="19">
        <f>'P&amp;L - Inputs'!T700</f>
        <v>25337149.84</v>
      </c>
      <c r="V56" s="19">
        <f>'P&amp;L - Inputs'!U700</f>
        <v>12111449.299999999</v>
      </c>
      <c r="W56" s="19">
        <f>'P&amp;L - Inputs'!V700</f>
        <v>20612095.087116737</v>
      </c>
      <c r="X56" s="19">
        <f>'P&amp;L - Inputs'!W700</f>
        <v>26886974.789999995</v>
      </c>
      <c r="Y56" s="19">
        <f>'P&amp;L - Inputs'!X700</f>
        <v>15360738.810199983</v>
      </c>
      <c r="Z56" s="19">
        <f>'P&amp;L - Inputs'!Y700</f>
        <v>16947057.980688505</v>
      </c>
      <c r="AA56" s="19">
        <f>'P&amp;L - Inputs'!Z700</f>
        <v>-1975529.5399999996</v>
      </c>
      <c r="AB56" s="19">
        <f>'P&amp;L - Inputs'!AA700</f>
        <v>20768164.170199998</v>
      </c>
      <c r="AC56" s="19">
        <f>'P&amp;L - Inputs'!AB700</f>
        <v>17514016.959171943</v>
      </c>
      <c r="AD56" s="19">
        <f>'P&amp;L - Inputs'!AC700</f>
        <v>15160189.0601</v>
      </c>
      <c r="AE56" s="19">
        <f>'P&amp;L - Inputs'!AD700</f>
        <v>18086610.080772884</v>
      </c>
      <c r="AF56" s="19">
        <f>'P&amp;L - Inputs'!AE700</f>
        <v>24038704.756500103</v>
      </c>
      <c r="AG56" s="19">
        <f>'P&amp;L - Inputs'!AF700</f>
        <v>30165686.034059554</v>
      </c>
      <c r="AH56" s="19">
        <f>'P&amp;L - Inputs'!AG700</f>
        <v>36774244.077100001</v>
      </c>
      <c r="AI56" s="19">
        <f>'P&amp;L - Inputs'!AH700</f>
        <v>62793486.4586</v>
      </c>
      <c r="AJ56" s="19">
        <f>'P&amp;L - Inputs'!AI700</f>
        <v>73999058.826678008</v>
      </c>
      <c r="AK56" s="19">
        <f>'P&amp;L - Inputs'!AJ700</f>
        <v>58638559.067065999</v>
      </c>
      <c r="AL56" s="19">
        <f>'P&amp;L - Inputs'!AK700</f>
        <v>58697569.640785202</v>
      </c>
      <c r="AM56" s="19">
        <f>'P&amp;L - Inputs'!AL700</f>
        <v>39635468.322201103</v>
      </c>
      <c r="AN56" s="19">
        <f>'P&amp;L - Inputs'!AM700</f>
        <v>17475628.143549629</v>
      </c>
      <c r="AO56" s="19">
        <f>'P&amp;L - Inputs'!AN700</f>
        <v>39361623.50632377</v>
      </c>
      <c r="AP56" s="19">
        <f>'P&amp;L - Inputs'!AO700</f>
        <v>48438354.567945883</v>
      </c>
      <c r="AQ56" s="19">
        <f>'P&amp;L - Inputs'!AP700</f>
        <v>57713364.591474384</v>
      </c>
      <c r="AR56" s="19">
        <f>'P&amp;L - Inputs'!AQ700</f>
        <v>75223113.217205897</v>
      </c>
      <c r="AS56" s="19">
        <f>'P&amp;L - Inputs'!AR700</f>
        <v>80426413.441136509</v>
      </c>
      <c r="AT56" s="19">
        <f>'P&amp;L - Inputs'!AS700</f>
        <v>103565743.34786069</v>
      </c>
      <c r="AU56" s="19">
        <f>'P&amp;L - Inputs'!AT700</f>
        <v>121849466.1349557</v>
      </c>
      <c r="AV56" s="19">
        <f>'P&amp;L - Inputs'!AU700</f>
        <v>131797711.2717509</v>
      </c>
      <c r="AW56" s="19">
        <f>'P&amp;L - Inputs'!AV700</f>
        <v>132354354.68684545</v>
      </c>
      <c r="AX56" s="19">
        <f>'P&amp;L - Inputs'!AW700</f>
        <v>139665625.82201678</v>
      </c>
      <c r="AY56" s="19">
        <f>'P&amp;L - Inputs'!AX700</f>
        <v>105425265.69421454</v>
      </c>
      <c r="AZ56" s="19">
        <f>'P&amp;L - Inputs'!AY700</f>
        <v>128581227.43097231</v>
      </c>
      <c r="BA56" s="19">
        <f>'P&amp;L - Inputs'!AZ700</f>
        <v>150161413.79118687</v>
      </c>
      <c r="BB56" s="19">
        <f>'P&amp;L - Inputs'!BA700</f>
        <v>148987092.92343998</v>
      </c>
      <c r="BC56" s="19">
        <f>'P&amp;L - Inputs'!BB700</f>
        <v>145848250.23640007</v>
      </c>
      <c r="BD56" s="19">
        <f>'P&amp;L - Inputs'!BC700</f>
        <v>143019722.90529999</v>
      </c>
      <c r="BE56" s="19">
        <f>'P&amp;L - Inputs'!BD700</f>
        <v>172837550.93060002</v>
      </c>
      <c r="BF56" s="19">
        <f>'P&amp;L - Inputs'!BE700</f>
        <v>183096704.13874027</v>
      </c>
      <c r="BG56" s="19">
        <f>'P&amp;L - Inputs'!BF700</f>
        <v>214056563.23130798</v>
      </c>
      <c r="BH56" s="19">
        <f>'P&amp;L - Inputs'!BG700</f>
        <v>243410287.26579988</v>
      </c>
      <c r="BI56" s="19">
        <f>'P&amp;L - Inputs'!BH700</f>
        <v>256721886.17340007</v>
      </c>
      <c r="BJ56" s="19">
        <f>'P&amp;L - Inputs'!BI700</f>
        <v>360985968.8348</v>
      </c>
      <c r="BK56" s="19">
        <f>'P&amp;L - Inputs'!BJ700</f>
        <v>367971727.6573</v>
      </c>
      <c r="BL56" s="19">
        <f>'P&amp;L - Inputs'!BK700</f>
        <v>358241321.53200006</v>
      </c>
      <c r="BM56" s="19">
        <f>'P&amp;L - Inputs'!BL700</f>
        <v>371795256.33626997</v>
      </c>
      <c r="BN56" s="19">
        <f>'P&amp;L - Inputs'!BM700</f>
        <v>299732064.90023077</v>
      </c>
      <c r="BO56" s="19">
        <f>'P&amp;L - Inputs'!BN700</f>
        <v>307809481.16316479</v>
      </c>
      <c r="BP56" s="19">
        <f>'P&amp;L - Inputs'!BO700</f>
        <v>326029121.71422672</v>
      </c>
      <c r="BQ56" s="19">
        <f>'P&amp;L - Inputs'!BP700</f>
        <v>491090009.86796999</v>
      </c>
      <c r="BR56" s="19">
        <f>'P&amp;L - Inputs'!BQ700</f>
        <v>396374322.61050999</v>
      </c>
      <c r="BS56" s="19">
        <f>'P&amp;L - Inputs'!BR700</f>
        <v>350218275.90948999</v>
      </c>
      <c r="BT56" s="19">
        <f>'P&amp;L - Inputs'!BS700</f>
        <v>321197281.53999996</v>
      </c>
      <c r="BU56" s="19">
        <f>'P&amp;L - Inputs'!BT700</f>
        <v>249670018.48000002</v>
      </c>
      <c r="BV56" s="19">
        <f>'P&amp;L - Inputs'!BU700</f>
        <v>329431947.07583773</v>
      </c>
      <c r="BW56" s="19">
        <f>'D2C - Retail'!AW104+'D2C Online'!BN70</f>
        <v>347536900.60220337</v>
      </c>
      <c r="BX56" s="19">
        <f>'D2C - Retail'!AX104+'D2C Online'!BO70</f>
        <v>356835489.74465203</v>
      </c>
      <c r="BY56" s="19">
        <f>'D2C - Retail'!AY104+'D2C Online'!BP70</f>
        <v>370195507.39256978</v>
      </c>
      <c r="BZ56" s="19">
        <f>'D2C - Retail'!AZ104+'D2C Online'!BQ70</f>
        <v>365088845.04286402</v>
      </c>
      <c r="CA56" s="19">
        <f>'D2C - Retail'!BA104+'D2C Online'!BR70</f>
        <v>321527134.40126562</v>
      </c>
      <c r="CB56" s="19">
        <f>'D2C - Retail'!BB104+'D2C Online'!BS70</f>
        <v>304818673.51926565</v>
      </c>
      <c r="CC56" s="19">
        <f>'D2C - Retail'!BC104+'D2C Online'!BT70</f>
        <v>389371477.56064773</v>
      </c>
      <c r="CD56" s="19">
        <f>'D2C - Retail'!BD104+'D2C Online'!BU70</f>
        <v>364085809.26759523</v>
      </c>
      <c r="CE56" s="19">
        <f>'D2C - Retail'!BE104+'D2C Online'!BV70</f>
        <v>438229373.79605389</v>
      </c>
      <c r="CF56" s="19">
        <f>'D2C - Retail'!BF104+'D2C Online'!BW70</f>
        <v>474016859.69854021</v>
      </c>
      <c r="CG56" s="19">
        <f>'D2C - Retail'!BG104+'D2C Online'!BX70</f>
        <v>455194634.19102395</v>
      </c>
      <c r="CH56" s="19">
        <f>'D2C - Retail'!BH104+'D2C Online'!BY70</f>
        <v>582071170.33330357</v>
      </c>
      <c r="CI56" s="19">
        <f>'D2C - Retail'!BI104+'D2C Online'!BZ70</f>
        <v>534115083.08716714</v>
      </c>
      <c r="CJ56" s="19">
        <f>'D2C - Retail'!BJ104+'D2C Online'!CA70</f>
        <v>526004239.23421979</v>
      </c>
      <c r="CK56" s="19">
        <f>'D2C - Retail'!BK104+'D2C Online'!CB70</f>
        <v>523162418.08242071</v>
      </c>
      <c r="CL56" s="19">
        <f>'D2C - Retail'!BL104+'D2C Online'!CC70</f>
        <v>563533451.79375768</v>
      </c>
      <c r="CM56" s="19">
        <f>'D2C - Retail'!BM104+'D2C Online'!CD70</f>
        <v>460217608.3826381</v>
      </c>
      <c r="CN56" s="19">
        <f>'D2C - Retail'!BN104+'D2C Online'!CE70</f>
        <v>514718206.18054843</v>
      </c>
      <c r="CO56" s="19">
        <f>'D2C - Retail'!BO104+'D2C Online'!CF70</f>
        <v>597722332.81700516</v>
      </c>
      <c r="CP56" s="19">
        <f>'D2C - Retail'!BP104+'D2C Online'!CG70</f>
        <v>558619659.56715345</v>
      </c>
      <c r="CQ56" s="19">
        <f>'D2C - Retail'!BQ104+'D2C Online'!CH70</f>
        <v>696158129.1006</v>
      </c>
      <c r="CR56" s="19">
        <f>'D2C - Retail'!BR104+'D2C Online'!CI70</f>
        <v>750764573.40810001</v>
      </c>
      <c r="CS56" s="19">
        <f>'D2C - Retail'!BS104+'D2C Online'!CJ70</f>
        <v>681573264.949</v>
      </c>
      <c r="CT56" s="19">
        <f>'D2C - Retail'!BT104+'D2C Online'!CK70</f>
        <v>823178590.24980009</v>
      </c>
      <c r="CU56" s="19">
        <f>'D2C - Retail'!BU104+'D2C Online'!CL70</f>
        <v>711123321.08350146</v>
      </c>
      <c r="CV56" s="19">
        <f>'D2C - Retail'!BV104+'D2C Online'!CM70</f>
        <v>703629541.24111176</v>
      </c>
      <c r="CW56" s="19">
        <f>'D2C - Retail'!BW104+'D2C Online'!CN70</f>
        <v>701967859.20499253</v>
      </c>
      <c r="CX56" s="19">
        <f>'D2C - Retail'!BX104+'D2C Online'!CO70</f>
        <v>744581604.65672791</v>
      </c>
      <c r="CY56" s="19">
        <f>'D2C - Retail'!BY104+'D2C Online'!CP70</f>
        <v>674049410.31246078</v>
      </c>
      <c r="CZ56" s="19">
        <f>'D2C - Retail'!BZ104+'D2C Online'!CQ70</f>
        <v>665566451.62235451</v>
      </c>
      <c r="DA56" s="19">
        <f>'D2C - Retail'!CA104+'D2C Online'!CR70</f>
        <v>761610251.1886816</v>
      </c>
      <c r="DB56" s="19">
        <f>'D2C - Retail'!CB104+'D2C Online'!CS70</f>
        <v>720254192.02783549</v>
      </c>
      <c r="DC56" s="19">
        <f>'D2C - Retail'!CC104+'D2C Online'!CT70</f>
        <v>874976496.08798361</v>
      </c>
      <c r="DD56" s="19">
        <f>'D2C - Retail'!CD104+'D2C Online'!CU70</f>
        <v>915267595.91451335</v>
      </c>
      <c r="DE56" s="19">
        <f>'D2C - Retail'!CE104+'D2C Online'!CV70</f>
        <v>820912518.04522026</v>
      </c>
      <c r="DF56" s="19">
        <f>'D2C - Retail'!CF104+'D2C Online'!CW70</f>
        <v>935190745.8365463</v>
      </c>
      <c r="DG56" s="19">
        <f>'D2C - Retail'!CG104+'D2C Online'!CX70</f>
        <v>862718629.32864583</v>
      </c>
      <c r="DH56" s="19">
        <f>'D2C - Retail'!CH104+'D2C Online'!CY70</f>
        <v>854795225.42197847</v>
      </c>
      <c r="DI56" s="19">
        <f>'D2C - Retail'!CI104+'D2C Online'!CZ70</f>
        <v>850051588.33488083</v>
      </c>
      <c r="DJ56" s="19">
        <f>'D2C - Retail'!CJ104+'D2C Online'!DA70</f>
        <v>901636525.31921792</v>
      </c>
      <c r="DK56" s="19">
        <f>'D2C - Retail'!CK104+'D2C Online'!DB70</f>
        <v>815107049.43359351</v>
      </c>
      <c r="DL56" s="19">
        <f>'D2C - Retail'!CL104+'D2C Online'!DC70</f>
        <v>802894811.38175476</v>
      </c>
      <c r="DM56" s="19">
        <f>'D2C - Retail'!CM104+'D2C Online'!DD70</f>
        <v>918001608.30594301</v>
      </c>
      <c r="DN56" s="19">
        <f>'D2C - Retail'!CN104+'D2C Online'!DE70</f>
        <v>865104606.16579342</v>
      </c>
      <c r="DO56" s="19">
        <f>'D2C - Retail'!CO104+'D2C Online'!DF70</f>
        <v>1048060998.886718</v>
      </c>
      <c r="DP56" s="19">
        <f>'D2C - Retail'!CP104+'D2C Online'!DG70</f>
        <v>1093301771.4637208</v>
      </c>
      <c r="DQ56" s="19">
        <f>'D2C - Retail'!CQ104+'D2C Online'!DH70</f>
        <v>978107351.13072681</v>
      </c>
      <c r="DR56" s="19">
        <f>'D2C - Retail'!CR104+'D2C Online'!DI70</f>
        <v>1106255200.7914634</v>
      </c>
      <c r="DS56" s="19">
        <f>'D2C - Retail'!CS104+'D2C Online'!DJ70</f>
        <v>999659881.31000721</v>
      </c>
      <c r="DT56" s="19">
        <f>'D2C - Retail'!CT104+'D2C Online'!DK70</f>
        <v>990191220.43900728</v>
      </c>
      <c r="DU56" s="19">
        <f>'D2C - Retail'!CU104+'D2C Online'!DL70</f>
        <v>984409858.5016973</v>
      </c>
      <c r="DV56" s="19">
        <f>'D2C - Retail'!CV104+'D2C Online'!DM70</f>
        <v>1043131634.3005588</v>
      </c>
      <c r="DW56" s="19">
        <f>'D2C - Retail'!CW104+'D2C Online'!DN70</f>
        <v>943087031.00478554</v>
      </c>
      <c r="DX56" s="19">
        <f>'D2C - Retail'!CX104+'D2C Online'!DO70</f>
        <v>929870595.40948808</v>
      </c>
      <c r="DY56" s="19">
        <f>'D2C - Retail'!CY104+'D2C Online'!DP70</f>
        <v>1060335122.0597737</v>
      </c>
      <c r="DZ56" s="19">
        <f>'D2C - Retail'!CZ104+'D2C Online'!DQ70</f>
        <v>999822440.96706712</v>
      </c>
      <c r="EA56" s="19">
        <f>'D2C - Retail'!DA104+'D2C Online'!DR70</f>
        <v>1211299039.2338486</v>
      </c>
      <c r="EB56" s="19">
        <f>'D2C - Retail'!DB104+'D2C Online'!DS70</f>
        <v>1264036268.8117411</v>
      </c>
      <c r="EC56" s="19">
        <f>'D2C - Retail'!DC104+'D2C Online'!DT70</f>
        <v>1129731886.5863218</v>
      </c>
      <c r="ED56" s="19">
        <f>'D2C - Retail'!DD104+'D2C Online'!DU70</f>
        <v>1276620179.7271805</v>
      </c>
      <c r="EE56" s="168"/>
      <c r="EF56" s="165">
        <f t="shared" ref="EF56:EF62" si="271">SUM(BK56:BM56)</f>
        <v>1098008305.5255699</v>
      </c>
      <c r="EG56" s="165">
        <f t="shared" ref="EG56:EG62" si="272">SUM(BN56:BP56)</f>
        <v>933570667.77762222</v>
      </c>
      <c r="EH56" s="165">
        <f t="shared" ref="EH56:EH62" si="273">SUM(BQ56:BS56)</f>
        <v>1237682608.38797</v>
      </c>
      <c r="EI56" s="165">
        <f t="shared" ref="EI56:EI62" si="274">SUM(BT56:BV56)</f>
        <v>900299247.09583771</v>
      </c>
      <c r="EJ56" s="165">
        <f t="shared" ref="EJ56:EJ62" si="275">SUM(BW56:BY56)</f>
        <v>1074567897.7394252</v>
      </c>
      <c r="EK56" s="165">
        <f t="shared" ref="EK56:EK62" si="276">SUM(CL56:CN56)</f>
        <v>1538469266.3569441</v>
      </c>
      <c r="EL56" s="165">
        <f t="shared" ref="EL56:EL62" si="277">SUM(CC56:CE56)</f>
        <v>1191686660.6242969</v>
      </c>
      <c r="EM56" s="165">
        <f t="shared" ref="EM56:EM62" si="278">SUM(CF56:CH56)</f>
        <v>1511282664.2228677</v>
      </c>
      <c r="EN56" s="165">
        <f t="shared" ref="EN56:EN62" si="279">SUM(CI56:CK56)</f>
        <v>1583281740.4038076</v>
      </c>
      <c r="EO56" s="165">
        <f t="shared" ref="EO56:EO62" si="280">SUM(CL56:CN56)</f>
        <v>1538469266.3569441</v>
      </c>
      <c r="EP56" s="165">
        <f t="shared" ref="EP56:EP62" si="281">SUM(CO56:CQ56)</f>
        <v>1852500121.4847586</v>
      </c>
      <c r="EQ56" s="165">
        <f t="shared" ref="EQ56:EQ62" si="282">SUM(CR56:CT56)</f>
        <v>2255516428.6069002</v>
      </c>
      <c r="ER56" s="165">
        <f t="shared" ref="ER56:ER62" si="283">SUM(CU56:CW56)</f>
        <v>2116720721.5296056</v>
      </c>
      <c r="ES56" s="165">
        <f t="shared" ref="ES56:ES62" si="284">SUM(CX56:CZ56)</f>
        <v>2084197466.5915432</v>
      </c>
      <c r="ET56" s="165">
        <f t="shared" ref="ET56:ET62" si="285">SUM(DA56:DC56)</f>
        <v>2356840939.3045006</v>
      </c>
      <c r="EU56" s="165">
        <f t="shared" ref="EU56:EU62" si="286">SUM(DD56:DF56)</f>
        <v>2671370859.7962799</v>
      </c>
      <c r="EV56" s="165">
        <f t="shared" ref="EV56:EV62" si="287">SUM(DG56:DI56)</f>
        <v>2567565443.085505</v>
      </c>
      <c r="EW56" s="165">
        <f t="shared" ref="EW56:EW62" si="288">SUM(DJ56:DL56)</f>
        <v>2519638386.1345663</v>
      </c>
      <c r="EX56" s="165">
        <f t="shared" ref="EX56:EX62" si="289">SUM(DM56:DO56)</f>
        <v>2831167213.3584547</v>
      </c>
      <c r="EY56" s="165">
        <f t="shared" ref="EY56:EY62" si="290">SUM(DP56:DR56)</f>
        <v>3177664323.385911</v>
      </c>
      <c r="EZ56" s="165">
        <f t="shared" si="83"/>
        <v>2974260960.2507114</v>
      </c>
      <c r="FA56" s="165">
        <f t="shared" si="84"/>
        <v>2916089260.7148323</v>
      </c>
      <c r="FB56" s="165">
        <f t="shared" si="85"/>
        <v>3271456602.2606893</v>
      </c>
      <c r="FC56" s="165">
        <f t="shared" si="86"/>
        <v>3670388335.1252432</v>
      </c>
      <c r="FE56" s="165">
        <f t="shared" si="87"/>
        <v>4169560828.7869997</v>
      </c>
      <c r="FF56" s="165">
        <f t="shared" si="88"/>
        <v>5316006488.9435339</v>
      </c>
      <c r="FG56" s="165">
        <f t="shared" si="89"/>
        <v>7229767556.8524103</v>
      </c>
      <c r="FH56" s="165">
        <f t="shared" si="90"/>
        <v>9229129987.2219296</v>
      </c>
      <c r="FI56" s="165">
        <f t="shared" si="91"/>
        <v>11096035365.964437</v>
      </c>
      <c r="FJ56" s="165">
        <f t="shared" si="92"/>
        <v>12832195158.351475</v>
      </c>
    </row>
    <row r="57" spans="2:166" x14ac:dyDescent="0.2">
      <c r="B57" s="155" t="s">
        <v>142</v>
      </c>
      <c r="C57" s="19">
        <f>'P&amp;L - Inputs'!B701</f>
        <v>377851</v>
      </c>
      <c r="D57" s="19">
        <f>'P&amp;L - Inputs'!C701</f>
        <v>538764</v>
      </c>
      <c r="E57" s="19">
        <f>'P&amp;L - Inputs'!D701</f>
        <v>465203</v>
      </c>
      <c r="F57" s="19">
        <f>'P&amp;L - Inputs'!E701</f>
        <v>725484</v>
      </c>
      <c r="G57" s="19">
        <f>'P&amp;L - Inputs'!F701</f>
        <v>677591</v>
      </c>
      <c r="H57" s="19">
        <f>'P&amp;L - Inputs'!G701</f>
        <v>569051</v>
      </c>
      <c r="I57" s="19">
        <f>'P&amp;L - Inputs'!H701</f>
        <v>470156</v>
      </c>
      <c r="J57" s="19">
        <f>'P&amp;L - Inputs'!I701</f>
        <v>387114</v>
      </c>
      <c r="K57" s="19">
        <f>'P&amp;L - Inputs'!J701</f>
        <v>765273</v>
      </c>
      <c r="L57" s="19">
        <f>'P&amp;L - Inputs'!K701</f>
        <v>1177636</v>
      </c>
      <c r="M57" s="19">
        <f>'P&amp;L - Inputs'!L701</f>
        <v>2105218</v>
      </c>
      <c r="N57" s="19">
        <f>'P&amp;L - Inputs'!M701</f>
        <v>2208084</v>
      </c>
      <c r="O57" s="19">
        <f>'P&amp;L - Inputs'!N701</f>
        <v>3780550</v>
      </c>
      <c r="P57" s="19">
        <f>'P&amp;L - Inputs'!O701</f>
        <v>4234273</v>
      </c>
      <c r="Q57" s="19">
        <f>'P&amp;L - Inputs'!P701</f>
        <v>3421876.9999999995</v>
      </c>
      <c r="R57" s="19">
        <f>'P&amp;L - Inputs'!Q701</f>
        <v>6015878</v>
      </c>
      <c r="S57" s="19">
        <f>'P&amp;L - Inputs'!R701</f>
        <v>4773111</v>
      </c>
      <c r="T57" s="19">
        <f>'P&amp;L - Inputs'!S701</f>
        <v>5047044</v>
      </c>
      <c r="U57" s="19">
        <f>'P&amp;L - Inputs'!T701</f>
        <v>4720310</v>
      </c>
      <c r="V57" s="19">
        <f>'P&amp;L - Inputs'!U701</f>
        <v>3129408.5</v>
      </c>
      <c r="W57" s="19">
        <f>'P&amp;L - Inputs'!V701</f>
        <v>3747918</v>
      </c>
      <c r="X57" s="19">
        <f>'P&amp;L - Inputs'!W701</f>
        <v>4635342</v>
      </c>
      <c r="Y57" s="19">
        <f>'P&amp;L - Inputs'!X701</f>
        <v>5529029</v>
      </c>
      <c r="Z57" s="19">
        <f>'P&amp;L - Inputs'!Y701</f>
        <v>3743657</v>
      </c>
      <c r="AA57" s="19">
        <f>'P&amp;L - Inputs'!Z701</f>
        <v>12250</v>
      </c>
      <c r="AB57" s="19">
        <f>'P&amp;L - Inputs'!AA701</f>
        <v>3319131</v>
      </c>
      <c r="AC57" s="19">
        <f>'P&amp;L - Inputs'!AB701</f>
        <v>2419845.5180000011</v>
      </c>
      <c r="AD57" s="19">
        <f>'P&amp;L - Inputs'!AC701</f>
        <v>2006835.45</v>
      </c>
      <c r="AE57" s="19">
        <f>'P&amp;L - Inputs'!AD701</f>
        <v>2835144.6879999996</v>
      </c>
      <c r="AF57" s="19">
        <f>'P&amp;L - Inputs'!AE701</f>
        <v>3490111.16599999</v>
      </c>
      <c r="AG57" s="19">
        <f>'P&amp;L - Inputs'!AF701</f>
        <v>4637374.2320000101</v>
      </c>
      <c r="AH57" s="19">
        <f>'P&amp;L - Inputs'!AG701</f>
        <v>5064458.4591399999</v>
      </c>
      <c r="AI57" s="19">
        <f>'P&amp;L - Inputs'!AH701</f>
        <v>6446932.0291259987</v>
      </c>
      <c r="AJ57" s="19">
        <f>'P&amp;L - Inputs'!AI701</f>
        <v>8378565.6785779893</v>
      </c>
      <c r="AK57" s="19">
        <f>'P&amp;L - Inputs'!AJ701</f>
        <v>6517863.7772064349</v>
      </c>
      <c r="AL57" s="19">
        <f>'P&amp;L - Inputs'!AK701</f>
        <v>6945722.9657719787</v>
      </c>
      <c r="AM57" s="19">
        <f>'P&amp;L - Inputs'!AL701</f>
        <v>4999094.0483905207</v>
      </c>
      <c r="AN57" s="19">
        <f>'P&amp;L - Inputs'!AM701</f>
        <v>2972348.7499999986</v>
      </c>
      <c r="AO57" s="19">
        <f>'P&amp;L - Inputs'!AN701</f>
        <v>7389283.3088199869</v>
      </c>
      <c r="AP57" s="19">
        <f>'P&amp;L - Inputs'!AO701</f>
        <v>9570299.3824964296</v>
      </c>
      <c r="AQ57" s="19">
        <f>'P&amp;L - Inputs'!AP701</f>
        <v>11712436</v>
      </c>
      <c r="AR57" s="19">
        <f>'P&amp;L - Inputs'!AQ701</f>
        <v>12437316.583389269</v>
      </c>
      <c r="AS57" s="19">
        <f>'P&amp;L - Inputs'!AR701</f>
        <v>13505652.776477478</v>
      </c>
      <c r="AT57" s="19">
        <f>'P&amp;L - Inputs'!AS701</f>
        <v>14022094.919115119</v>
      </c>
      <c r="AU57" s="19">
        <f>'P&amp;L - Inputs'!AT701</f>
        <v>18500809.964234572</v>
      </c>
      <c r="AV57" s="19">
        <f>'P&amp;L - Inputs'!AU701</f>
        <v>22862051.64481011</v>
      </c>
      <c r="AW57" s="19">
        <f>'P&amp;L - Inputs'!AV701</f>
        <v>25270854.475474488</v>
      </c>
      <c r="AX57" s="19">
        <f>'P&amp;L - Inputs'!AW701</f>
        <v>22253159</v>
      </c>
      <c r="AY57" s="19">
        <f>'P&amp;L - Inputs'!AX701</f>
        <v>14391748.21804028</v>
      </c>
      <c r="AZ57" s="19">
        <f>'P&amp;L - Inputs'!AY701</f>
        <v>17744161.64410999</v>
      </c>
      <c r="BA57" s="19">
        <f>'P&amp;L - Inputs'!AZ701</f>
        <v>21571435.088930853</v>
      </c>
      <c r="BB57" s="19">
        <f>'P&amp;L - Inputs'!BA701</f>
        <v>18152163.436742038</v>
      </c>
      <c r="BC57" s="19">
        <f>'P&amp;L - Inputs'!BB701</f>
        <v>14627472.312272875</v>
      </c>
      <c r="BD57" s="19">
        <f>'P&amp;L - Inputs'!BC701</f>
        <v>11470159.570298307</v>
      </c>
      <c r="BE57" s="19">
        <f>'P&amp;L - Inputs'!BD701</f>
        <v>10772853.030825397</v>
      </c>
      <c r="BF57" s="19">
        <f>'P&amp;L - Inputs'!BE701</f>
        <v>10341103.521090515</v>
      </c>
      <c r="BG57" s="19">
        <f>'P&amp;L - Inputs'!BF701</f>
        <v>13243167.486074643</v>
      </c>
      <c r="BH57" s="19">
        <f>'P&amp;L - Inputs'!BG701</f>
        <v>11601829.809111852</v>
      </c>
      <c r="BI57" s="19">
        <f>'P&amp;L - Inputs'!BH701</f>
        <v>12065815.858716924</v>
      </c>
      <c r="BJ57" s="19">
        <f>'P&amp;L - Inputs'!BI701</f>
        <v>19320037.15510004</v>
      </c>
      <c r="BK57" s="19">
        <f>'P&amp;L - Inputs'!BJ701</f>
        <v>17292959.059576381</v>
      </c>
      <c r="BL57" s="19">
        <f>'P&amp;L - Inputs'!BK701</f>
        <v>17471180.760339089</v>
      </c>
      <c r="BM57" s="19">
        <f>'P&amp;L - Inputs'!BL701</f>
        <v>18559100.170794554</v>
      </c>
      <c r="BN57" s="19">
        <f>'P&amp;L - Inputs'!BM701</f>
        <v>12771418.813390527</v>
      </c>
      <c r="BO57" s="19">
        <f>'P&amp;L - Inputs'!BN701</f>
        <v>17515529.09314356</v>
      </c>
      <c r="BP57" s="19">
        <f>'P&amp;L - Inputs'!BO701</f>
        <v>18896997.472311616</v>
      </c>
      <c r="BQ57" s="19">
        <f>'P&amp;L - Inputs'!BP701</f>
        <v>26290364.851186283</v>
      </c>
      <c r="BR57" s="19">
        <f>'P&amp;L - Inputs'!BQ701</f>
        <v>23533322.439152658</v>
      </c>
      <c r="BS57" s="19">
        <f>'P&amp;L - Inputs'!BR701</f>
        <v>22946479.806102492</v>
      </c>
      <c r="BT57" s="19">
        <f>'P&amp;L - Inputs'!BS701</f>
        <v>25679931.70915268</v>
      </c>
      <c r="BU57" s="19">
        <f>'P&amp;L - Inputs'!BT701</f>
        <v>21456790.949999988</v>
      </c>
      <c r="BV57" s="19">
        <f>'P&amp;L - Inputs'!BU701</f>
        <v>30067777.906779662</v>
      </c>
      <c r="BW57" s="19">
        <f>'D2C - Retail'!AW107+'D2C Online'!BN72</f>
        <v>27897990.31830528</v>
      </c>
      <c r="BX57" s="19">
        <f>'D2C - Retail'!AX107+'D2C Online'!BO72</f>
        <v>28310220.405084766</v>
      </c>
      <c r="BY57" s="19">
        <f>'D2C - Retail'!AY107+'D2C Online'!BP72</f>
        <v>32434045.452033937</v>
      </c>
      <c r="BZ57" s="19">
        <f>'D2C - Retail'!AZ107+'D2C Online'!BQ72</f>
        <v>34786191.690508544</v>
      </c>
      <c r="CA57" s="19">
        <f>'D2C - Retail'!BA107+'D2C Online'!BR72</f>
        <v>30651712.482915256</v>
      </c>
      <c r="CB57" s="19">
        <f>'D2C - Retail'!BB107+'D2C Online'!BS72</f>
        <v>29747706.088644255</v>
      </c>
      <c r="CC57" s="19">
        <f>'D2C - Retail'!BC107+'D2C Online'!BT72</f>
        <v>25081242.031355884</v>
      </c>
      <c r="CD57" s="19">
        <f>'D2C - Retail'!BD107+'D2C Online'!BU72</f>
        <v>21939280.608474523</v>
      </c>
      <c r="CE57" s="19">
        <f>'D2C - Retail'!BE107+'D2C Online'!BV72</f>
        <v>29777728.703390129</v>
      </c>
      <c r="CF57" s="19">
        <f>'D2C - Retail'!BF107+'D2C Online'!BW72</f>
        <v>32652781.287288114</v>
      </c>
      <c r="CG57" s="19">
        <f>'D2C - Retail'!BG107+'D2C Online'!BX72</f>
        <v>30273373.649561316</v>
      </c>
      <c r="CH57" s="19">
        <f>'D2C - Retail'!BH107+'D2C Online'!BY72</f>
        <v>41670035.591386408</v>
      </c>
      <c r="CI57" s="19">
        <f>'D2C - Retail'!BI107+'D2C Online'!BZ72</f>
        <v>35649952.824313968</v>
      </c>
      <c r="CJ57" s="19">
        <f>'D2C - Retail'!BJ107+'D2C Online'!CA72</f>
        <v>32071671.440886982</v>
      </c>
      <c r="CK57" s="19">
        <f>'D2C - Retail'!BK107+'D2C Online'!CB72</f>
        <v>33480658.055562995</v>
      </c>
      <c r="CL57" s="19">
        <f>'D2C - Retail'!BL107+'D2C Online'!CC72</f>
        <v>38233508.19491525</v>
      </c>
      <c r="CM57" s="19">
        <f>'D2C - Retail'!BM107+'D2C Online'!CD72</f>
        <v>38259536.161017008</v>
      </c>
      <c r="CN57" s="19">
        <f>'D2C - Retail'!BN107+'D2C Online'!CE72</f>
        <v>43588479.483050793</v>
      </c>
      <c r="CO57" s="19">
        <f>'D2C - Retail'!BO107+'D2C Online'!CF72</f>
        <v>42950905.228813522</v>
      </c>
      <c r="CP57" s="19">
        <f>'D2C - Retail'!BP107+'D2C Online'!CG72</f>
        <v>37133228.483050868</v>
      </c>
      <c r="CQ57" s="19">
        <f>'D2C - Retail'!BQ107+'D2C Online'!CH72</f>
        <v>57429440.915254265</v>
      </c>
      <c r="CR57" s="19">
        <f>'D2C - Retail'!BR107+'D2C Online'!CI72</f>
        <v>67350975.74576278</v>
      </c>
      <c r="CS57" s="19">
        <f>'D2C - Retail'!BS107+'D2C Online'!CJ72</f>
        <v>60607141.537674695</v>
      </c>
      <c r="CT57" s="19">
        <f>'D2C - Retail'!BT107+'D2C Online'!CK72</f>
        <v>71269603.966207922</v>
      </c>
      <c r="CU57" s="19">
        <f>'D2C - Retail'!BU107+'D2C Online'!CL72</f>
        <v>52940211.173115514</v>
      </c>
      <c r="CV57" s="19">
        <f>'D2C - Retail'!BV107+'D2C Online'!CM72</f>
        <v>52621514.305700406</v>
      </c>
      <c r="CW57" s="19">
        <f>'D2C - Retail'!BW107+'D2C Online'!CN72</f>
        <v>52517665.47565721</v>
      </c>
      <c r="CX57" s="19">
        <f>'D2C - Retail'!BX107+'D2C Online'!CO72</f>
        <v>55173143.524726622</v>
      </c>
      <c r="CY57" s="19">
        <f>'D2C - Retail'!BY107+'D2C Online'!CP72</f>
        <v>50391494.490802601</v>
      </c>
      <c r="CZ57" s="19">
        <f>'D2C - Retail'!BZ107+'D2C Online'!CQ72</f>
        <v>50938983.154516838</v>
      </c>
      <c r="DA57" s="19">
        <f>'D2C - Retail'!CA107+'D2C Online'!CR72</f>
        <v>56194538.207227893</v>
      </c>
      <c r="DB57" s="19">
        <f>'D2C - Retail'!CB107+'D2C Online'!CS72</f>
        <v>53816431.737656675</v>
      </c>
      <c r="DC57" s="19">
        <f>'D2C - Retail'!CC107+'D2C Online'!CT72</f>
        <v>65506564.163219512</v>
      </c>
      <c r="DD57" s="19">
        <f>'D2C - Retail'!CD107+'D2C Online'!CU72</f>
        <v>68974712.464991271</v>
      </c>
      <c r="DE57" s="19">
        <f>'D2C - Retail'!CE107+'D2C Online'!CV72</f>
        <v>61257469.750877917</v>
      </c>
      <c r="DF57" s="19">
        <f>'D2C - Retail'!CF107+'D2C Online'!CW72</f>
        <v>68988142.172757506</v>
      </c>
      <c r="DG57" s="19">
        <f>'D2C - Retail'!CG107+'D2C Online'!CX72</f>
        <v>65038007.722087361</v>
      </c>
      <c r="DH57" s="19">
        <f>'D2C - Retail'!CH107+'D2C Online'!CY72</f>
        <v>64711864.47126694</v>
      </c>
      <c r="DI57" s="19">
        <f>'D2C - Retail'!CI107+'D2C Online'!CZ72</f>
        <v>64421969.914036334</v>
      </c>
      <c r="DJ57" s="19">
        <f>'D2C - Retail'!CJ107+'D2C Online'!DA72</f>
        <v>67686161.781625584</v>
      </c>
      <c r="DK57" s="19">
        <f>'D2C - Retail'!CK107+'D2C Online'!DB72</f>
        <v>61746557.35376963</v>
      </c>
      <c r="DL57" s="19">
        <f>'D2C - Retail'!CL107+'D2C Online'!DC72</f>
        <v>62285981.996514663</v>
      </c>
      <c r="DM57" s="19">
        <f>'D2C - Retail'!CM107+'D2C Online'!DD72</f>
        <v>68690031.644524813</v>
      </c>
      <c r="DN57" s="19">
        <f>'D2C - Retail'!CN107+'D2C Online'!DE72</f>
        <v>65594973.193383843</v>
      </c>
      <c r="DO57" s="19">
        <f>'D2C - Retail'!CO107+'D2C Online'!DF72</f>
        <v>79673394.633218408</v>
      </c>
      <c r="DP57" s="19">
        <f>'D2C - Retail'!CP107+'D2C Online'!DG72</f>
        <v>83710917.1623483</v>
      </c>
      <c r="DQ57" s="19">
        <f>'D2C - Retail'!CQ107+'D2C Online'!DH72</f>
        <v>74197202.845403627</v>
      </c>
      <c r="DR57" s="19">
        <f>'D2C - Retail'!CR107+'D2C Online'!DI72</f>
        <v>83085824.633585855</v>
      </c>
      <c r="DS57" s="19">
        <f>'D2C - Retail'!CS107+'D2C Online'!DJ72</f>
        <v>78308072.021484047</v>
      </c>
      <c r="DT57" s="19">
        <f>'D2C - Retail'!CT107+'D2C Online'!DK72</f>
        <v>77884923.643505424</v>
      </c>
      <c r="DU57" s="19">
        <f>'D2C - Retail'!CU107+'D2C Online'!DL72</f>
        <v>77514989.05755201</v>
      </c>
      <c r="DV57" s="19">
        <f>'D2C - Retail'!CV107+'D2C Online'!DM72</f>
        <v>81408592.123151153</v>
      </c>
      <c r="DW57" s="19">
        <f>'D2C - Retail'!CW107+'D2C Online'!DN72</f>
        <v>74243663.313408732</v>
      </c>
      <c r="DX57" s="19">
        <f>'D2C - Retail'!CX107+'D2C Online'!DO72</f>
        <v>74883916.129068524</v>
      </c>
      <c r="DY57" s="19">
        <f>'D2C - Retail'!CY107+'D2C Online'!DP72</f>
        <v>82518262.171321377</v>
      </c>
      <c r="DZ57" s="19">
        <f>'D2C - Retail'!CZ107+'D2C Online'!DQ72</f>
        <v>78799010.393253565</v>
      </c>
      <c r="EA57" s="19">
        <f>'D2C - Retail'!DA107+'D2C Online'!DR72</f>
        <v>95704728.886878639</v>
      </c>
      <c r="EB57" s="19">
        <f>'D2C - Retail'!DB107+'D2C Online'!DS72</f>
        <v>100556870.16188121</v>
      </c>
      <c r="EC57" s="19">
        <f>'D2C - Retail'!DC107+'D2C Online'!DT72</f>
        <v>89088600.528537989</v>
      </c>
      <c r="ED57" s="19">
        <f>'D2C - Retail'!DD107+'D2C Online'!DU72</f>
        <v>99727042.903503045</v>
      </c>
      <c r="EE57" s="168"/>
      <c r="EF57" s="165">
        <f t="shared" si="271"/>
        <v>53323239.990710028</v>
      </c>
      <c r="EG57" s="165">
        <f t="shared" si="272"/>
        <v>49183945.378845707</v>
      </c>
      <c r="EH57" s="165">
        <f t="shared" si="273"/>
        <v>72770167.096441433</v>
      </c>
      <c r="EI57" s="165">
        <f t="shared" si="274"/>
        <v>77204500.565932333</v>
      </c>
      <c r="EJ57" s="165">
        <f t="shared" si="275"/>
        <v>88642256.17542398</v>
      </c>
      <c r="EK57" s="165">
        <f t="shared" si="276"/>
        <v>120081523.83898306</v>
      </c>
      <c r="EL57" s="165">
        <f t="shared" si="277"/>
        <v>76798251.343220532</v>
      </c>
      <c r="EM57" s="165">
        <f t="shared" si="278"/>
        <v>104596190.52823584</v>
      </c>
      <c r="EN57" s="165">
        <f t="shared" si="279"/>
        <v>101202282.32076395</v>
      </c>
      <c r="EO57" s="165">
        <f t="shared" si="280"/>
        <v>120081523.83898306</v>
      </c>
      <c r="EP57" s="165">
        <f t="shared" si="281"/>
        <v>137513574.62711865</v>
      </c>
      <c r="EQ57" s="165">
        <f t="shared" si="282"/>
        <v>199227721.24964541</v>
      </c>
      <c r="ER57" s="165">
        <f t="shared" si="283"/>
        <v>158079390.95447314</v>
      </c>
      <c r="ES57" s="165">
        <f t="shared" si="284"/>
        <v>156503621.17004606</v>
      </c>
      <c r="ET57" s="165">
        <f t="shared" si="285"/>
        <v>175517534.10810408</v>
      </c>
      <c r="EU57" s="165">
        <f t="shared" si="286"/>
        <v>199220324.38862669</v>
      </c>
      <c r="EV57" s="165">
        <f t="shared" si="287"/>
        <v>194171842.10739064</v>
      </c>
      <c r="EW57" s="165">
        <f t="shared" si="288"/>
        <v>191718701.13190988</v>
      </c>
      <c r="EX57" s="165">
        <f t="shared" si="289"/>
        <v>213958399.47112706</v>
      </c>
      <c r="EY57" s="165">
        <f t="shared" si="290"/>
        <v>240993944.64133781</v>
      </c>
      <c r="EZ57" s="165">
        <f t="shared" si="83"/>
        <v>233707984.72254148</v>
      </c>
      <c r="FA57" s="165">
        <f t="shared" si="84"/>
        <v>230536171.56562841</v>
      </c>
      <c r="FB57" s="165">
        <f t="shared" si="85"/>
        <v>257022001.4514536</v>
      </c>
      <c r="FC57" s="165">
        <f t="shared" si="86"/>
        <v>289372513.59392226</v>
      </c>
      <c r="FE57" s="165">
        <f t="shared" si="87"/>
        <v>252481853.03192949</v>
      </c>
      <c r="FF57" s="165">
        <f t="shared" si="88"/>
        <v>390118221.88586342</v>
      </c>
      <c r="FG57" s="165">
        <f t="shared" si="89"/>
        <v>558025102.03651106</v>
      </c>
      <c r="FH57" s="165">
        <f t="shared" si="90"/>
        <v>689320870.62125003</v>
      </c>
      <c r="FI57" s="165">
        <f t="shared" si="91"/>
        <v>840842887.35176539</v>
      </c>
      <c r="FJ57" s="165">
        <f t="shared" si="92"/>
        <v>1010638671.3335457</v>
      </c>
    </row>
    <row r="58" spans="2:166" x14ac:dyDescent="0.2">
      <c r="B58" s="167" t="s">
        <v>22</v>
      </c>
      <c r="C58" s="19">
        <f>'P&amp;L - Inputs'!B702</f>
        <v>0</v>
      </c>
      <c r="D58" s="19">
        <f>'P&amp;L - Inputs'!C702</f>
        <v>0</v>
      </c>
      <c r="E58" s="19">
        <f>'P&amp;L - Inputs'!D702</f>
        <v>0</v>
      </c>
      <c r="F58" s="19">
        <f>'P&amp;L - Inputs'!E702</f>
        <v>0</v>
      </c>
      <c r="G58" s="19">
        <f>'P&amp;L - Inputs'!F702</f>
        <v>0</v>
      </c>
      <c r="H58" s="19">
        <f>'P&amp;L - Inputs'!G702</f>
        <v>0</v>
      </c>
      <c r="I58" s="19">
        <f>'P&amp;L - Inputs'!H702</f>
        <v>0</v>
      </c>
      <c r="J58" s="19">
        <f>'P&amp;L - Inputs'!I702</f>
        <v>0</v>
      </c>
      <c r="K58" s="19">
        <f>'P&amp;L - Inputs'!J702</f>
        <v>0</v>
      </c>
      <c r="L58" s="19">
        <f>'P&amp;L - Inputs'!K702</f>
        <v>0</v>
      </c>
      <c r="M58" s="19">
        <f>'P&amp;L - Inputs'!L702</f>
        <v>0</v>
      </c>
      <c r="N58" s="19">
        <f>'P&amp;L - Inputs'!M702</f>
        <v>0</v>
      </c>
      <c r="O58" s="19">
        <f>'P&amp;L - Inputs'!N702</f>
        <v>0</v>
      </c>
      <c r="P58" s="19">
        <f>'P&amp;L - Inputs'!O702</f>
        <v>0</v>
      </c>
      <c r="Q58" s="19">
        <f>'P&amp;L - Inputs'!P702</f>
        <v>0</v>
      </c>
      <c r="R58" s="19">
        <f>'P&amp;L - Inputs'!Q702</f>
        <v>0</v>
      </c>
      <c r="S58" s="19">
        <f>'P&amp;L - Inputs'!R702</f>
        <v>0</v>
      </c>
      <c r="T58" s="19">
        <f>'P&amp;L - Inputs'!S702</f>
        <v>0</v>
      </c>
      <c r="U58" s="19">
        <f>'P&amp;L - Inputs'!T702</f>
        <v>0</v>
      </c>
      <c r="V58" s="19">
        <f>'P&amp;L - Inputs'!U702</f>
        <v>0</v>
      </c>
      <c r="W58" s="19">
        <f>'P&amp;L - Inputs'!V702</f>
        <v>0</v>
      </c>
      <c r="X58" s="19">
        <f>'P&amp;L - Inputs'!W702</f>
        <v>0</v>
      </c>
      <c r="Y58" s="19">
        <f>'P&amp;L - Inputs'!X702</f>
        <v>0</v>
      </c>
      <c r="Z58" s="19">
        <f>'P&amp;L - Inputs'!Y702</f>
        <v>0</v>
      </c>
      <c r="AA58" s="19">
        <f>'P&amp;L - Inputs'!Z702</f>
        <v>0</v>
      </c>
      <c r="AB58" s="19">
        <f>'P&amp;L - Inputs'!AA702</f>
        <v>0</v>
      </c>
      <c r="AC58" s="19">
        <f>'P&amp;L - Inputs'!AB702</f>
        <v>0</v>
      </c>
      <c r="AD58" s="19">
        <f>'P&amp;L - Inputs'!AC702</f>
        <v>0</v>
      </c>
      <c r="AE58" s="19">
        <f>'P&amp;L - Inputs'!AD702</f>
        <v>0</v>
      </c>
      <c r="AF58" s="19">
        <f>'P&amp;L - Inputs'!AE702</f>
        <v>0</v>
      </c>
      <c r="AG58" s="19">
        <f>'P&amp;L - Inputs'!AF702</f>
        <v>0</v>
      </c>
      <c r="AH58" s="19">
        <f>'P&amp;L - Inputs'!AG702</f>
        <v>0</v>
      </c>
      <c r="AI58" s="19">
        <f>'P&amp;L - Inputs'!AH702</f>
        <v>0</v>
      </c>
      <c r="AJ58" s="19">
        <f>'P&amp;L - Inputs'!AI702</f>
        <v>0</v>
      </c>
      <c r="AK58" s="19">
        <f>'P&amp;L - Inputs'!AJ702</f>
        <v>0</v>
      </c>
      <c r="AL58" s="19">
        <f>'P&amp;L - Inputs'!AK702</f>
        <v>0</v>
      </c>
      <c r="AM58" s="19">
        <f>'P&amp;L - Inputs'!AL702</f>
        <v>0</v>
      </c>
      <c r="AN58" s="19">
        <f>'P&amp;L - Inputs'!AM702</f>
        <v>0</v>
      </c>
      <c r="AO58" s="19">
        <f>'P&amp;L - Inputs'!AN702</f>
        <v>0</v>
      </c>
      <c r="AP58" s="19">
        <f>'P&amp;L - Inputs'!AO702</f>
        <v>0</v>
      </c>
      <c r="AQ58" s="19">
        <f>'P&amp;L - Inputs'!AP702</f>
        <v>0</v>
      </c>
      <c r="AR58" s="19">
        <f>'P&amp;L - Inputs'!AQ702</f>
        <v>0</v>
      </c>
      <c r="AS58" s="19">
        <f>'P&amp;L - Inputs'!AR702</f>
        <v>0</v>
      </c>
      <c r="AT58" s="19">
        <f>'P&amp;L - Inputs'!AS702</f>
        <v>0</v>
      </c>
      <c r="AU58" s="19">
        <f>'P&amp;L - Inputs'!AT702</f>
        <v>0</v>
      </c>
      <c r="AV58" s="19">
        <f>'P&amp;L - Inputs'!AU702</f>
        <v>0</v>
      </c>
      <c r="AW58" s="19">
        <f>'P&amp;L - Inputs'!AV702</f>
        <v>0</v>
      </c>
      <c r="AX58" s="19">
        <f>'P&amp;L - Inputs'!AW702</f>
        <v>0</v>
      </c>
      <c r="AY58" s="19">
        <f>'P&amp;L - Inputs'!AX702</f>
        <v>0</v>
      </c>
      <c r="AZ58" s="19">
        <f>'P&amp;L - Inputs'!AY702</f>
        <v>0</v>
      </c>
      <c r="BA58" s="19">
        <f>'P&amp;L - Inputs'!AZ702</f>
        <v>0</v>
      </c>
      <c r="BB58" s="19">
        <f>'P&amp;L - Inputs'!BA702</f>
        <v>0</v>
      </c>
      <c r="BC58" s="19">
        <f>'P&amp;L - Inputs'!BB702</f>
        <v>0</v>
      </c>
      <c r="BD58" s="19">
        <f>'P&amp;L - Inputs'!BC702</f>
        <v>1496646.1176471498</v>
      </c>
      <c r="BE58" s="19">
        <f>'P&amp;L - Inputs'!BD702</f>
        <v>1435405.2648992809</v>
      </c>
      <c r="BF58" s="19">
        <f>'P&amp;L - Inputs'!BE702</f>
        <v>1269761.151508328</v>
      </c>
      <c r="BG58" s="19">
        <f>'P&amp;L - Inputs'!BF702</f>
        <v>1748574.1599772102</v>
      </c>
      <c r="BH58" s="19">
        <f>'P&amp;L - Inputs'!BG702</f>
        <v>1348529.0236136098</v>
      </c>
      <c r="BI58" s="19">
        <f>'P&amp;L - Inputs'!BH702</f>
        <v>2852889.1848030975</v>
      </c>
      <c r="BJ58" s="19">
        <f>'P&amp;L - Inputs'!BI702</f>
        <v>3119639.6339222793</v>
      </c>
      <c r="BK58" s="19">
        <f>'P&amp;L - Inputs'!BJ702</f>
        <v>4263510.2962688562</v>
      </c>
      <c r="BL58" s="19">
        <f>'P&amp;L - Inputs'!BK702</f>
        <v>6046784.4317372302</v>
      </c>
      <c r="BM58" s="19">
        <f>'P&amp;L - Inputs'!BL702</f>
        <v>6866565.8903574022</v>
      </c>
      <c r="BN58" s="19">
        <f>'P&amp;L - Inputs'!BM702</f>
        <v>5924113.720032189</v>
      </c>
      <c r="BO58" s="19">
        <f>'P&amp;L - Inputs'!BN702</f>
        <v>6253429.6199570037</v>
      </c>
      <c r="BP58" s="19">
        <f>'P&amp;L - Inputs'!BO702</f>
        <v>3018612.2131831255</v>
      </c>
      <c r="BQ58" s="19">
        <f>'P&amp;L - Inputs'!BP702</f>
        <v>7044450.8657132518</v>
      </c>
      <c r="BR58" s="19">
        <f>'P&amp;L - Inputs'!BQ702</f>
        <v>4932368.603089652</v>
      </c>
      <c r="BS58" s="19">
        <f>'P&amp;L - Inputs'!BR702</f>
        <v>3778087.903634531</v>
      </c>
      <c r="BT58" s="19">
        <f>'P&amp;L - Inputs'!BS702</f>
        <v>4527050.7201855257</v>
      </c>
      <c r="BU58" s="19">
        <f>'P&amp;L - Inputs'!BT702</f>
        <v>3189905.8978852797</v>
      </c>
      <c r="BV58" s="19">
        <f>'P&amp;L - Inputs'!BU702</f>
        <v>3929792.1920057572</v>
      </c>
      <c r="BW58" s="19">
        <f>'D2C - Retail'!AW110+'D2C Online'!BN73</f>
        <v>3148756.7136107539</v>
      </c>
      <c r="BX58" s="19">
        <f>'D2C - Retail'!AX110+'D2C Online'!BO73</f>
        <v>2163643.4459893145</v>
      </c>
      <c r="BY58" s="19">
        <f>'D2C - Retail'!AY110+'D2C Online'!BP73</f>
        <v>3234896.5801205346</v>
      </c>
      <c r="BZ58" s="19">
        <f>'D2C - Retail'!AZ110+'D2C Online'!BQ73</f>
        <v>1273381.5548752206</v>
      </c>
      <c r="CA58" s="19">
        <f>'D2C - Retail'!BA110+'D2C Online'!BR73</f>
        <v>1232861.7188599594</v>
      </c>
      <c r="CB58" s="19">
        <f>'D2C - Retail'!BB110+'D2C Online'!BS73</f>
        <v>1225747.2277525119</v>
      </c>
      <c r="CC58" s="19">
        <f>'D2C - Retail'!BC110+'D2C Online'!BT73</f>
        <v>2613217.3293188736</v>
      </c>
      <c r="CD58" s="19">
        <f>'D2C - Retail'!BD110+'D2C Online'!BU73</f>
        <v>1446113.0613854008</v>
      </c>
      <c r="CE58" s="19">
        <f>'D2C - Retail'!BE110+'D2C Online'!BV73</f>
        <v>2437949.0996376202</v>
      </c>
      <c r="CF58" s="19">
        <f>'D2C - Retail'!BF110+'D2C Online'!BW73</f>
        <v>2320910.4798699222</v>
      </c>
      <c r="CG58" s="19">
        <f>'D2C - Retail'!BG110+'D2C Online'!BX73</f>
        <v>2536035.8904065015</v>
      </c>
      <c r="CH58" s="19">
        <f>'D2C - Retail'!BH110+'D2C Online'!BY73</f>
        <v>2358029.3243189761</v>
      </c>
      <c r="CI58" s="19">
        <f>'D2C - Retail'!BI110+'D2C Online'!BZ73</f>
        <v>2586452.0619802959</v>
      </c>
      <c r="CJ58" s="19">
        <f>'D2C - Retail'!BJ110+'D2C Online'!CA73</f>
        <v>2267972.9305282226</v>
      </c>
      <c r="CK58" s="19">
        <f>'D2C - Retail'!BK110+'D2C Online'!CB73</f>
        <v>1916676.8614586138</v>
      </c>
      <c r="CL58" s="19">
        <f>'D2C - Retail'!BL110+'D2C Online'!CC73</f>
        <v>3015867.2664904692</v>
      </c>
      <c r="CM58" s="19">
        <f>'D2C - Retail'!BM110+'D2C Online'!CD73</f>
        <v>2559521.9796221266</v>
      </c>
      <c r="CN58" s="19">
        <f>'D2C - Retail'!BN110+'D2C Online'!CE73</f>
        <v>2905407.9124035025</v>
      </c>
      <c r="CO58" s="19">
        <f>'D2C - Retail'!BO110+'D2C Online'!CF73</f>
        <v>1424982.175000699</v>
      </c>
      <c r="CP58" s="19">
        <f>'D2C - Retail'!BP110+'D2C Online'!CG73</f>
        <v>1711305.7855558936</v>
      </c>
      <c r="CQ58" s="19">
        <f>'D2C - Retail'!BQ110+'D2C Online'!CH73</f>
        <v>1757045.3336585565</v>
      </c>
      <c r="CR58" s="19">
        <f>'D2C - Retail'!BR110+'D2C Online'!CI73</f>
        <v>3410115.7672281191</v>
      </c>
      <c r="CS58" s="19">
        <f>'D2C - Retail'!BS110+'D2C Online'!CJ73</f>
        <v>3342264.7573244264</v>
      </c>
      <c r="CT58" s="19">
        <f>'D2C - Retail'!BT110+'D2C Online'!CK73</f>
        <v>4381139.3644823376</v>
      </c>
      <c r="CU58" s="19">
        <f>'D2C - Retail'!BU110+'D2C Online'!CL73</f>
        <v>3349479.619683722</v>
      </c>
      <c r="CV58" s="19">
        <f>'D2C - Retail'!BV110+'D2C Online'!CM73</f>
        <v>3325608.2820411786</v>
      </c>
      <c r="CW58" s="19">
        <f>'D2C - Retail'!BW110+'D2C Online'!CN73</f>
        <v>3320712.2385997716</v>
      </c>
      <c r="CX58" s="19">
        <f>'D2C - Retail'!BX110+'D2C Online'!CO73</f>
        <v>3495165.9801089847</v>
      </c>
      <c r="CY58" s="19">
        <f>'D2C - Retail'!BY110+'D2C Online'!CP73</f>
        <v>3196427.9156839689</v>
      </c>
      <c r="CZ58" s="19">
        <f>'D2C - Retail'!BZ110+'D2C Online'!CQ73</f>
        <v>3203208.2686981894</v>
      </c>
      <c r="DA58" s="19">
        <f>'D2C - Retail'!CA110+'D2C Online'!CR73</f>
        <v>3568555.3094405597</v>
      </c>
      <c r="DB58" s="19">
        <f>'D2C - Retail'!CB110+'D2C Online'!CS73</f>
        <v>3409497.5912970267</v>
      </c>
      <c r="DC58" s="19">
        <f>'D2C - Retail'!CC110+'D2C Online'!CT73</f>
        <v>4113431.892057199</v>
      </c>
      <c r="DD58" s="19">
        <f>'D2C - Retail'!CD110+'D2C Online'!CU73</f>
        <v>4312937.0572955692</v>
      </c>
      <c r="DE58" s="19">
        <f>'D2C - Retail'!CE110+'D2C Online'!CV73</f>
        <v>3865091.46418628</v>
      </c>
      <c r="DF58" s="19">
        <f>'D2C - Retail'!CF110+'D2C Online'!CW73</f>
        <v>4354033.8033809979</v>
      </c>
      <c r="DG58" s="19">
        <f>'D2C - Retail'!CG110+'D2C Online'!CX73</f>
        <v>4039498.3572265459</v>
      </c>
      <c r="DH58" s="19">
        <f>'D2C - Retail'!CH110+'D2C Online'!CY73</f>
        <v>4015361.6151252114</v>
      </c>
      <c r="DI58" s="19">
        <f>'D2C - Retail'!CI110+'D2C Online'!CZ73</f>
        <v>3997705.9765106263</v>
      </c>
      <c r="DJ58" s="19">
        <f>'D2C - Retail'!CJ110+'D2C Online'!DA73</f>
        <v>4208433.719609159</v>
      </c>
      <c r="DK58" s="19">
        <f>'D2C - Retail'!CK110+'D2C Online'!DB73</f>
        <v>3842569.5387144852</v>
      </c>
      <c r="DL58" s="19">
        <f>'D2C - Retail'!CL110+'D2C Online'!DC73</f>
        <v>3841673.7924236059</v>
      </c>
      <c r="DM58" s="19">
        <f>'D2C - Retail'!CM110+'D2C Online'!DD73</f>
        <v>4278759.6462446619</v>
      </c>
      <c r="DN58" s="19">
        <f>'D2C - Retail'!CN110+'D2C Online'!DE73</f>
        <v>4074074.8991914056</v>
      </c>
      <c r="DO58" s="19">
        <f>'D2C - Retail'!CO110+'D2C Online'!DF73</f>
        <v>4905742.8848377056</v>
      </c>
      <c r="DP58" s="19">
        <f>'D2C - Retail'!CP110+'D2C Online'!DG73</f>
        <v>5131450.745873834</v>
      </c>
      <c r="DQ58" s="19">
        <f>'D2C - Retail'!CQ110+'D2C Online'!DH73</f>
        <v>4586575.9494607449</v>
      </c>
      <c r="DR58" s="19">
        <f>'D2C - Retail'!CR110+'D2C Online'!DI73</f>
        <v>5135049.6918373983</v>
      </c>
      <c r="DS58" s="19">
        <f>'D2C - Retail'!CS110+'D2C Online'!DJ73</f>
        <v>4681299.235162314</v>
      </c>
      <c r="DT58" s="19">
        <f>'D2C - Retail'!CT110+'D2C Online'!DK73</f>
        <v>4652030.3235520413</v>
      </c>
      <c r="DU58" s="19">
        <f>'D2C - Retail'!CU110+'D2C Online'!DL73</f>
        <v>4630245.8658933938</v>
      </c>
      <c r="DV58" s="19">
        <f>'D2C - Retail'!CV110+'D2C Online'!DM73</f>
        <v>4870295.9362573354</v>
      </c>
      <c r="DW58" s="19">
        <f>'D2C - Retail'!CW110+'D2C Online'!DN73</f>
        <v>4446169.5298157511</v>
      </c>
      <c r="DX58" s="19">
        <f>'D2C - Retail'!CX110+'D2C Online'!DO73</f>
        <v>4449529.3930813298</v>
      </c>
      <c r="DY58" s="19">
        <f>'D2C - Retail'!CY110+'D2C Online'!DP73</f>
        <v>4944116.9690234773</v>
      </c>
      <c r="DZ58" s="19">
        <f>'D2C - Retail'!CZ110+'D2C Online'!DQ73</f>
        <v>4709827.8251411021</v>
      </c>
      <c r="EA58" s="19">
        <f>'D2C - Retail'!DA110+'D2C Online'!DR73</f>
        <v>5674320.6274678446</v>
      </c>
      <c r="EB58" s="19">
        <f>'D2C - Retail'!DB110+'D2C Online'!DS73</f>
        <v>5938223.8244873453</v>
      </c>
      <c r="EC58" s="19">
        <f>'D2C - Retail'!DC110+'D2C Online'!DT73</f>
        <v>5300977.9644455034</v>
      </c>
      <c r="ED58" s="19">
        <f>'D2C - Retail'!DD110+'D2C Online'!DU73</f>
        <v>5931328.8701172275</v>
      </c>
      <c r="EE58" s="168"/>
      <c r="EF58" s="165">
        <f t="shared" si="271"/>
        <v>17176860.618363488</v>
      </c>
      <c r="EG58" s="165">
        <f t="shared" si="272"/>
        <v>15196155.553172318</v>
      </c>
      <c r="EH58" s="165">
        <f t="shared" si="273"/>
        <v>15754907.372437434</v>
      </c>
      <c r="EI58" s="165">
        <f t="shared" si="274"/>
        <v>11646748.810076563</v>
      </c>
      <c r="EJ58" s="165">
        <f t="shared" si="275"/>
        <v>8547296.7397206016</v>
      </c>
      <c r="EK58" s="165">
        <f t="shared" si="276"/>
        <v>8480797.1585160978</v>
      </c>
      <c r="EL58" s="165">
        <f t="shared" si="277"/>
        <v>6497279.4903418943</v>
      </c>
      <c r="EM58" s="165">
        <f t="shared" si="278"/>
        <v>7214975.6945953993</v>
      </c>
      <c r="EN58" s="165">
        <f t="shared" si="279"/>
        <v>6771101.853967132</v>
      </c>
      <c r="EO58" s="165">
        <f t="shared" si="280"/>
        <v>8480797.1585160978</v>
      </c>
      <c r="EP58" s="165">
        <f t="shared" si="281"/>
        <v>4893333.2942151492</v>
      </c>
      <c r="EQ58" s="165">
        <f t="shared" si="282"/>
        <v>11133519.889034882</v>
      </c>
      <c r="ER58" s="165">
        <f t="shared" si="283"/>
        <v>9995800.1403246727</v>
      </c>
      <c r="ES58" s="165">
        <f t="shared" si="284"/>
        <v>9894802.1644911431</v>
      </c>
      <c r="ET58" s="165">
        <f t="shared" si="285"/>
        <v>11091484.792794786</v>
      </c>
      <c r="EU58" s="165">
        <f t="shared" si="286"/>
        <v>12532062.324862847</v>
      </c>
      <c r="EV58" s="165">
        <f t="shared" si="287"/>
        <v>12052565.948862385</v>
      </c>
      <c r="EW58" s="165">
        <f t="shared" si="288"/>
        <v>11892677.050747249</v>
      </c>
      <c r="EX58" s="165">
        <f t="shared" si="289"/>
        <v>13258577.430273773</v>
      </c>
      <c r="EY58" s="165">
        <f t="shared" si="290"/>
        <v>14853076.387171978</v>
      </c>
      <c r="EZ58" s="165">
        <f t="shared" si="83"/>
        <v>13963575.42460775</v>
      </c>
      <c r="FA58" s="165">
        <f t="shared" si="84"/>
        <v>13765994.859154416</v>
      </c>
      <c r="FB58" s="165">
        <f t="shared" si="85"/>
        <v>15328265.421632424</v>
      </c>
      <c r="FC58" s="165">
        <f t="shared" si="86"/>
        <v>17170530.659050077</v>
      </c>
      <c r="FE58" s="165">
        <f t="shared" si="87"/>
        <v>59774672.354049802</v>
      </c>
      <c r="FF58" s="165">
        <f t="shared" si="88"/>
        <v>30740349.083173994</v>
      </c>
      <c r="FG58" s="165">
        <f t="shared" si="89"/>
        <v>31278752.19573326</v>
      </c>
      <c r="FH58" s="165">
        <f t="shared" si="90"/>
        <v>43514149.422473446</v>
      </c>
      <c r="FI58" s="165">
        <f t="shared" si="91"/>
        <v>52056896.817055382</v>
      </c>
      <c r="FJ58" s="165">
        <f t="shared" si="92"/>
        <v>60228366.364444666</v>
      </c>
    </row>
    <row r="59" spans="2:166" x14ac:dyDescent="0.2">
      <c r="B59" s="155" t="s">
        <v>36</v>
      </c>
      <c r="C59" s="19">
        <f>'P&amp;L - Inputs'!B703</f>
        <v>58190</v>
      </c>
      <c r="D59" s="19">
        <f>'P&amp;L - Inputs'!C703</f>
        <v>60575</v>
      </c>
      <c r="E59" s="19">
        <f>'P&amp;L - Inputs'!D703</f>
        <v>53735</v>
      </c>
      <c r="F59" s="19">
        <f>'P&amp;L - Inputs'!E703</f>
        <v>81575</v>
      </c>
      <c r="G59" s="19">
        <f>'P&amp;L - Inputs'!F703</f>
        <v>108086</v>
      </c>
      <c r="H59" s="19">
        <f>'P&amp;L - Inputs'!G703</f>
        <v>106167</v>
      </c>
      <c r="I59" s="19">
        <f>'P&amp;L - Inputs'!H703</f>
        <v>112852</v>
      </c>
      <c r="J59" s="19">
        <f>'P&amp;L - Inputs'!I703</f>
        <v>127342</v>
      </c>
      <c r="K59" s="19">
        <f>'P&amp;L - Inputs'!J703</f>
        <v>153802</v>
      </c>
      <c r="L59" s="19">
        <f>'P&amp;L - Inputs'!K703</f>
        <v>160957</v>
      </c>
      <c r="M59" s="19">
        <f>'P&amp;L - Inputs'!L703</f>
        <v>227457.99999999997</v>
      </c>
      <c r="N59" s="19">
        <f>'P&amp;L - Inputs'!M703</f>
        <v>259544</v>
      </c>
      <c r="O59" s="19">
        <f>'P&amp;L - Inputs'!N703</f>
        <v>333898</v>
      </c>
      <c r="P59" s="19">
        <f>'P&amp;L - Inputs'!O703</f>
        <v>389283</v>
      </c>
      <c r="Q59" s="19">
        <f>'P&amp;L - Inputs'!P703</f>
        <v>420658</v>
      </c>
      <c r="R59" s="19">
        <f>'P&amp;L - Inputs'!Q703</f>
        <v>463514.00000000006</v>
      </c>
      <c r="S59" s="19">
        <f>'P&amp;L - Inputs'!R703</f>
        <v>361563</v>
      </c>
      <c r="T59" s="19">
        <f>'P&amp;L - Inputs'!S703</f>
        <v>443576</v>
      </c>
      <c r="U59" s="19">
        <f>'P&amp;L - Inputs'!T703</f>
        <v>455756</v>
      </c>
      <c r="V59" s="19">
        <f>'P&amp;L - Inputs'!U703</f>
        <v>370240</v>
      </c>
      <c r="W59" s="19">
        <f>'P&amp;L - Inputs'!V703</f>
        <v>379569</v>
      </c>
      <c r="X59" s="19">
        <f>'P&amp;L - Inputs'!W703</f>
        <v>411644</v>
      </c>
      <c r="Y59" s="19">
        <f>'P&amp;L - Inputs'!X703</f>
        <v>399976</v>
      </c>
      <c r="Z59" s="19">
        <f>'P&amp;L - Inputs'!Y703</f>
        <v>358662</v>
      </c>
      <c r="AA59" s="19">
        <f>'P&amp;L - Inputs'!Z703</f>
        <v>144106</v>
      </c>
      <c r="AB59" s="19">
        <f>'P&amp;L - Inputs'!AA703</f>
        <v>313337</v>
      </c>
      <c r="AC59" s="19">
        <f>'P&amp;L - Inputs'!AB703</f>
        <v>258983</v>
      </c>
      <c r="AD59" s="19">
        <f>'P&amp;L - Inputs'!AC703</f>
        <v>276740</v>
      </c>
      <c r="AE59" s="19">
        <f>'P&amp;L - Inputs'!AD703</f>
        <v>308016</v>
      </c>
      <c r="AF59" s="19">
        <f>'P&amp;L - Inputs'!AE703</f>
        <v>356265</v>
      </c>
      <c r="AG59" s="19">
        <f>'P&amp;L - Inputs'!AF703</f>
        <v>336926.99999999994</v>
      </c>
      <c r="AH59" s="19">
        <f>'P&amp;L - Inputs'!AG703</f>
        <v>423757</v>
      </c>
      <c r="AI59" s="19">
        <f>'P&amp;L - Inputs'!AH703</f>
        <v>623807</v>
      </c>
      <c r="AJ59" s="19">
        <f>'P&amp;L - Inputs'!AI703</f>
        <v>648195</v>
      </c>
      <c r="AK59" s="19">
        <f>'P&amp;L - Inputs'!AJ703</f>
        <v>552009</v>
      </c>
      <c r="AL59" s="19">
        <f>'P&amp;L - Inputs'!AK703</f>
        <v>591759</v>
      </c>
      <c r="AM59" s="19">
        <f>'P&amp;L - Inputs'!AL703</f>
        <v>398344</v>
      </c>
      <c r="AN59" s="19">
        <f>'P&amp;L - Inputs'!AM703</f>
        <v>263151</v>
      </c>
      <c r="AO59" s="19">
        <f>'P&amp;L - Inputs'!AN703</f>
        <v>529384</v>
      </c>
      <c r="AP59" s="19">
        <f>'P&amp;L - Inputs'!AO703</f>
        <v>574609</v>
      </c>
      <c r="AQ59" s="19">
        <f>'P&amp;L - Inputs'!AP703</f>
        <v>646444</v>
      </c>
      <c r="AR59" s="19">
        <f>'P&amp;L - Inputs'!AQ703</f>
        <v>791709.24</v>
      </c>
      <c r="AS59" s="19">
        <f>'P&amp;L - Inputs'!AR703</f>
        <v>1005699</v>
      </c>
      <c r="AT59" s="19">
        <f>'P&amp;L - Inputs'!AS703</f>
        <v>1148985</v>
      </c>
      <c r="AU59" s="19">
        <f>'P&amp;L - Inputs'!AT703</f>
        <v>1153609</v>
      </c>
      <c r="AV59" s="19">
        <f>'P&amp;L - Inputs'!AU703</f>
        <v>1124235</v>
      </c>
      <c r="AW59" s="19">
        <f>'P&amp;L - Inputs'!AV703</f>
        <v>1058445</v>
      </c>
      <c r="AX59" s="19">
        <f>'P&amp;L - Inputs'!AW703</f>
        <v>1161675</v>
      </c>
      <c r="AY59" s="19">
        <f>'P&amp;L - Inputs'!AX703</f>
        <v>877263.47839593329</v>
      </c>
      <c r="AZ59" s="19">
        <f>'P&amp;L - Inputs'!AY703</f>
        <v>1186695</v>
      </c>
      <c r="BA59" s="19">
        <f>'P&amp;L - Inputs'!AZ703</f>
        <v>859556</v>
      </c>
      <c r="BB59" s="19">
        <f>'P&amp;L - Inputs'!BA703</f>
        <v>939567</v>
      </c>
      <c r="BC59" s="19">
        <f>'P&amp;L - Inputs'!BB703</f>
        <v>899484</v>
      </c>
      <c r="BD59" s="19">
        <f>'P&amp;L - Inputs'!BC703</f>
        <v>868275</v>
      </c>
      <c r="BE59" s="19">
        <f>'P&amp;L - Inputs'!BD703</f>
        <v>854905</v>
      </c>
      <c r="BF59" s="19">
        <f>'P&amp;L - Inputs'!BE703</f>
        <v>819263</v>
      </c>
      <c r="BG59" s="19">
        <f>'P&amp;L - Inputs'!BF703</f>
        <v>928550</v>
      </c>
      <c r="BH59" s="19">
        <f>'P&amp;L - Inputs'!BG703</f>
        <v>967849</v>
      </c>
      <c r="BI59" s="19">
        <f>'P&amp;L - Inputs'!BH703</f>
        <v>989744</v>
      </c>
      <c r="BJ59" s="19">
        <f>'P&amp;L - Inputs'!BI703</f>
        <v>1243377</v>
      </c>
      <c r="BK59" s="19">
        <f>'P&amp;L - Inputs'!BJ703</f>
        <v>1103600</v>
      </c>
      <c r="BL59" s="19">
        <f>'P&amp;L - Inputs'!BK703</f>
        <v>1185895</v>
      </c>
      <c r="BM59" s="19">
        <f>'P&amp;L - Inputs'!BL703</f>
        <v>1325725</v>
      </c>
      <c r="BN59" s="19">
        <f>'P&amp;L - Inputs'!BM703</f>
        <v>1046830</v>
      </c>
      <c r="BO59" s="19">
        <f>'P&amp;L - Inputs'!BN703</f>
        <v>1137325</v>
      </c>
      <c r="BP59" s="19">
        <f>'P&amp;L - Inputs'!BO703</f>
        <v>1112565</v>
      </c>
      <c r="BQ59" s="19">
        <f>'P&amp;L - Inputs'!BP703</f>
        <v>1393620</v>
      </c>
      <c r="BR59" s="19">
        <f>'P&amp;L - Inputs'!BQ703</f>
        <v>1260595</v>
      </c>
      <c r="BS59" s="19">
        <f>'P&amp;L - Inputs'!BR703</f>
        <v>1126985</v>
      </c>
      <c r="BT59" s="19">
        <f>'P&amp;L - Inputs'!BS703</f>
        <v>1089585</v>
      </c>
      <c r="BU59" s="19">
        <f>'P&amp;L - Inputs'!BT703</f>
        <v>849290</v>
      </c>
      <c r="BV59" s="19">
        <f>'P&amp;L - Inputs'!BU703</f>
        <v>1166165</v>
      </c>
      <c r="BW59" s="19">
        <f>'D2C - Retail'!AW112+'D2C Online'!BN75</f>
        <v>1166315</v>
      </c>
      <c r="BX59" s="19">
        <f>'D2C - Retail'!AX112+'D2C Online'!BO75</f>
        <v>1171475</v>
      </c>
      <c r="BY59" s="19">
        <f>'D2C - Retail'!AY112+'D2C Online'!BP75</f>
        <v>1253075</v>
      </c>
      <c r="BZ59" s="19">
        <f>'D2C - Retail'!AZ112+'D2C Online'!BQ75</f>
        <v>1228900</v>
      </c>
      <c r="CA59" s="19">
        <f>'D2C - Retail'!BA112+'D2C Online'!BR75</f>
        <v>1063780</v>
      </c>
      <c r="CB59" s="19">
        <f>'D2C - Retail'!BB112+'D2C Online'!BS75</f>
        <v>993250</v>
      </c>
      <c r="CC59" s="19">
        <f>'D2C - Retail'!BC112+'D2C Online'!BT75</f>
        <v>1114955</v>
      </c>
      <c r="CD59" s="19">
        <f>'D2C - Retail'!BD112+'D2C Online'!BU75</f>
        <v>1039150</v>
      </c>
      <c r="CE59" s="19">
        <f>'D2C - Retail'!BE112+'D2C Online'!BV75</f>
        <v>1256625</v>
      </c>
      <c r="CF59" s="19">
        <f>'D2C - Retail'!BF112+'D2C Online'!BW75</f>
        <v>1333755</v>
      </c>
      <c r="CG59" s="19">
        <f>'D2C - Retail'!BG112+'D2C Online'!BX75</f>
        <v>1286425</v>
      </c>
      <c r="CH59" s="19">
        <f>'D2C - Retail'!BH112+'D2C Online'!BY75</f>
        <v>1645660</v>
      </c>
      <c r="CI59" s="19">
        <f>'D2C - Retail'!BI112+'D2C Online'!BZ75</f>
        <v>1467495</v>
      </c>
      <c r="CJ59" s="19">
        <f>'D2C - Retail'!BJ112+'D2C Online'!CA75</f>
        <v>1483715</v>
      </c>
      <c r="CK59" s="19">
        <f>'D2C - Retail'!BK112+'D2C Online'!CB75</f>
        <v>1506047.1428571427</v>
      </c>
      <c r="CL59" s="19">
        <f>'D2C - Retail'!BL112+'D2C Online'!CC75</f>
        <v>1621365</v>
      </c>
      <c r="CM59" s="19">
        <f>'D2C - Retail'!BM112+'D2C Online'!CD75</f>
        <v>1451300</v>
      </c>
      <c r="CN59" s="19">
        <f>'D2C - Retail'!BN112+'D2C Online'!CE75</f>
        <v>1588095</v>
      </c>
      <c r="CO59" s="19">
        <f>'D2C - Retail'!BO112+'D2C Online'!CF75</f>
        <v>1643135</v>
      </c>
      <c r="CP59" s="19">
        <f>'D2C - Retail'!BP112+'D2C Online'!CG75</f>
        <v>1574860</v>
      </c>
      <c r="CQ59" s="19">
        <f>'D2C - Retail'!BQ112+'D2C Online'!CH75</f>
        <v>1982470</v>
      </c>
      <c r="CR59" s="19">
        <f>'D2C - Retail'!BR112+'D2C Online'!CI75</f>
        <v>2142405</v>
      </c>
      <c r="CS59" s="19">
        <f>'D2C - Retail'!BS112+'D2C Online'!CJ75</f>
        <v>1923850</v>
      </c>
      <c r="CT59" s="19">
        <f>'D2C - Retail'!BT112+'D2C Online'!CK75</f>
        <v>2190900</v>
      </c>
      <c r="CU59" s="19">
        <f>'D2C - Retail'!BU112+'D2C Online'!CL75</f>
        <v>2041352.8931083111</v>
      </c>
      <c r="CV59" s="19">
        <f>'D2C - Retail'!BV112+'D2C Online'!CM75</f>
        <v>2025091.075070757</v>
      </c>
      <c r="CW59" s="19">
        <f>'D2C - Retail'!BW112+'D2C Online'!CN75</f>
        <v>2020782.8129082904</v>
      </c>
      <c r="CX59" s="19">
        <f>'D2C - Retail'!BX112+'D2C Online'!CO75</f>
        <v>2131743.122863437</v>
      </c>
      <c r="CY59" s="19">
        <f>'D2C - Retail'!BY112+'D2C Online'!CP75</f>
        <v>1939716.059623267</v>
      </c>
      <c r="CZ59" s="19">
        <f>'D2C - Retail'!BZ112+'D2C Online'!CQ75</f>
        <v>1941117.5349467732</v>
      </c>
      <c r="DA59" s="19">
        <f>'D2C - Retail'!CA112+'D2C Online'!CR75</f>
        <v>2175283.9262942467</v>
      </c>
      <c r="DB59" s="19">
        <f>'D2C - Retail'!CB112+'D2C Online'!CS75</f>
        <v>2071975.9805661398</v>
      </c>
      <c r="DC59" s="19">
        <f>'D2C - Retail'!CC112+'D2C Online'!CT75</f>
        <v>2519458.6287583429</v>
      </c>
      <c r="DD59" s="19">
        <f>'D2C - Retail'!CD112+'D2C Online'!CU75</f>
        <v>2645238.9781588325</v>
      </c>
      <c r="DE59" s="19">
        <f>'D2C - Retail'!CE112+'D2C Online'!CV75</f>
        <v>2359562.9665320674</v>
      </c>
      <c r="DF59" s="19">
        <f>'D2C - Retail'!CF112+'D2C Online'!CW75</f>
        <v>2670399.058081544</v>
      </c>
      <c r="DG59" s="19">
        <f>'D2C - Retail'!CG112+'D2C Online'!CX75</f>
        <v>2446788.2340321094</v>
      </c>
      <c r="DH59" s="19">
        <f>'D2C - Retail'!CH112+'D2C Online'!CY75</f>
        <v>2431045.2364242459</v>
      </c>
      <c r="DI59" s="19">
        <f>'D2C - Retail'!CI112+'D2C Online'!CZ75</f>
        <v>2419285.3479092461</v>
      </c>
      <c r="DJ59" s="19">
        <f>'D2C - Retail'!CJ112+'D2C Online'!DA75</f>
        <v>2550077.8796108123</v>
      </c>
      <c r="DK59" s="19">
        <f>'D2C - Retail'!CK112+'D2C Online'!DB75</f>
        <v>2319266.3441840019</v>
      </c>
      <c r="DL59" s="19">
        <f>'D2C - Retail'!CL112+'D2C Online'!DC75</f>
        <v>2320721.7186646014</v>
      </c>
      <c r="DM59" s="19">
        <f>'D2C - Retail'!CM112+'D2C Online'!DD75</f>
        <v>2590836.1248913491</v>
      </c>
      <c r="DN59" s="19">
        <f>'D2C - Retail'!CN112+'D2C Online'!DE75</f>
        <v>2462967.0824133651</v>
      </c>
      <c r="DO59" s="19">
        <f>'D2C - Retail'!CO112+'D2C Online'!DF75</f>
        <v>2988553.8327925857</v>
      </c>
      <c r="DP59" s="19">
        <f>'D2C - Retail'!CP112+'D2C Online'!DG75</f>
        <v>3132254.8227125863</v>
      </c>
      <c r="DQ59" s="19">
        <f>'D2C - Retail'!CQ112+'D2C Online'!DH75</f>
        <v>2785313.7781937732</v>
      </c>
      <c r="DR59" s="19">
        <f>'D2C - Retail'!CR112+'D2C Online'!DI75</f>
        <v>3129450.7359675425</v>
      </c>
      <c r="DS59" s="19">
        <f>'D2C - Retail'!CS112+'D2C Online'!DJ75</f>
        <v>2945227.9340778883</v>
      </c>
      <c r="DT59" s="19">
        <f>'D2C - Retail'!CT112+'D2C Online'!DK75</f>
        <v>2925011.728990363</v>
      </c>
      <c r="DU59" s="19">
        <f>'D2C - Retail'!CU112+'D2C Online'!DL75</f>
        <v>2909993.5957338531</v>
      </c>
      <c r="DV59" s="19">
        <f>'D2C - Retail'!CV112+'D2C Online'!DM75</f>
        <v>3065954.8089410425</v>
      </c>
      <c r="DW59" s="19">
        <f>'D2C - Retail'!CW112+'D2C Online'!DN75</f>
        <v>2787543.7364551406</v>
      </c>
      <c r="DX59" s="19">
        <f>'D2C - Retail'!CX112+'D2C Online'!DO75</f>
        <v>2788844.3911369913</v>
      </c>
      <c r="DY59" s="19">
        <f>'D2C - Retail'!CY112+'D2C Online'!DP75</f>
        <v>3110953.8343531308</v>
      </c>
      <c r="DZ59" s="19">
        <f>'D2C - Retail'!CZ112+'D2C Online'!DQ75</f>
        <v>2957293.7012080671</v>
      </c>
      <c r="EA59" s="19">
        <f>'D2C - Retail'!DA112+'D2C Online'!DR75</f>
        <v>3588073.9303338835</v>
      </c>
      <c r="EB59" s="19">
        <f>'D2C - Retail'!DB112+'D2C Online'!DS75</f>
        <v>3760639.8705631895</v>
      </c>
      <c r="EC59" s="19">
        <f>'D2C - Retail'!DC112+'D2C Online'!DT75</f>
        <v>3342512.3734035296</v>
      </c>
      <c r="ED59" s="19">
        <f>'D2C - Retail'!DD112+'D2C Online'!DU75</f>
        <v>3754167.5826933468</v>
      </c>
      <c r="EE59" s="168"/>
      <c r="EF59" s="165">
        <f t="shared" si="271"/>
        <v>3615220</v>
      </c>
      <c r="EG59" s="165">
        <f t="shared" si="272"/>
        <v>3296720</v>
      </c>
      <c r="EH59" s="165">
        <f t="shared" si="273"/>
        <v>3781200</v>
      </c>
      <c r="EI59" s="165">
        <f t="shared" si="274"/>
        <v>3105040</v>
      </c>
      <c r="EJ59" s="165">
        <f t="shared" si="275"/>
        <v>3590865</v>
      </c>
      <c r="EK59" s="165">
        <f t="shared" si="276"/>
        <v>4660760</v>
      </c>
      <c r="EL59" s="165">
        <f t="shared" si="277"/>
        <v>3410730</v>
      </c>
      <c r="EM59" s="165">
        <f t="shared" si="278"/>
        <v>4265840</v>
      </c>
      <c r="EN59" s="165">
        <f t="shared" si="279"/>
        <v>4457257.1428571427</v>
      </c>
      <c r="EO59" s="165">
        <f t="shared" si="280"/>
        <v>4660760</v>
      </c>
      <c r="EP59" s="165">
        <f t="shared" si="281"/>
        <v>5200465</v>
      </c>
      <c r="EQ59" s="165">
        <f t="shared" si="282"/>
        <v>6257155</v>
      </c>
      <c r="ER59" s="165">
        <f t="shared" si="283"/>
        <v>6087226.7810873585</v>
      </c>
      <c r="ES59" s="165">
        <f t="shared" si="284"/>
        <v>6012576.7174334768</v>
      </c>
      <c r="ET59" s="165">
        <f t="shared" si="285"/>
        <v>6766718.5356187299</v>
      </c>
      <c r="EU59" s="165">
        <f t="shared" si="286"/>
        <v>7675201.0027724439</v>
      </c>
      <c r="EV59" s="165">
        <f t="shared" si="287"/>
        <v>7297118.8183656018</v>
      </c>
      <c r="EW59" s="165">
        <f t="shared" si="288"/>
        <v>7190065.9424594156</v>
      </c>
      <c r="EX59" s="165">
        <f t="shared" si="289"/>
        <v>8042357.0400973</v>
      </c>
      <c r="EY59" s="165">
        <f t="shared" si="290"/>
        <v>9047019.336873902</v>
      </c>
      <c r="EZ59" s="165">
        <f t="shared" si="83"/>
        <v>8780233.2588021047</v>
      </c>
      <c r="FA59" s="165">
        <f t="shared" si="84"/>
        <v>8642342.9365331735</v>
      </c>
      <c r="FB59" s="165">
        <f t="shared" si="85"/>
        <v>9656321.4658950828</v>
      </c>
      <c r="FC59" s="165">
        <f t="shared" si="86"/>
        <v>10857319.826660067</v>
      </c>
      <c r="FE59" s="165">
        <f t="shared" si="87"/>
        <v>13798180</v>
      </c>
      <c r="FF59" s="165">
        <f t="shared" si="88"/>
        <v>15928195</v>
      </c>
      <c r="FG59" s="165">
        <f t="shared" si="89"/>
        <v>20575637.142857142</v>
      </c>
      <c r="FH59" s="165">
        <f t="shared" si="90"/>
        <v>26541723.036912009</v>
      </c>
      <c r="FI59" s="165">
        <f t="shared" si="91"/>
        <v>31576561.137796223</v>
      </c>
      <c r="FJ59" s="165">
        <f t="shared" si="92"/>
        <v>37936217.487890422</v>
      </c>
    </row>
    <row r="60" spans="2:166" x14ac:dyDescent="0.2">
      <c r="B60" s="167" t="s">
        <v>24</v>
      </c>
      <c r="C60" s="19">
        <f>'P&amp;L - Inputs'!B704</f>
        <v>67915</v>
      </c>
      <c r="D60" s="19">
        <f>'P&amp;L - Inputs'!C704</f>
        <v>122434</v>
      </c>
      <c r="E60" s="19">
        <f>'P&amp;L - Inputs'!D704</f>
        <v>165989</v>
      </c>
      <c r="F60" s="19">
        <f>'P&amp;L - Inputs'!E704</f>
        <v>263384</v>
      </c>
      <c r="G60" s="19">
        <f>'P&amp;L - Inputs'!F704</f>
        <v>274412</v>
      </c>
      <c r="H60" s="19">
        <f>'P&amp;L - Inputs'!G704</f>
        <v>147481</v>
      </c>
      <c r="I60" s="19">
        <f>'P&amp;L - Inputs'!H704</f>
        <v>236750</v>
      </c>
      <c r="J60" s="19">
        <f>'P&amp;L - Inputs'!I704</f>
        <v>280324</v>
      </c>
      <c r="K60" s="19">
        <f>'P&amp;L - Inputs'!J704</f>
        <v>213596</v>
      </c>
      <c r="L60" s="19">
        <f>'P&amp;L - Inputs'!K704</f>
        <v>241100</v>
      </c>
      <c r="M60" s="19">
        <f>'P&amp;L - Inputs'!L704</f>
        <v>328789</v>
      </c>
      <c r="N60" s="19">
        <f>'P&amp;L - Inputs'!M704</f>
        <v>419146</v>
      </c>
      <c r="O60" s="19">
        <f>'P&amp;L - Inputs'!N704</f>
        <v>562291</v>
      </c>
      <c r="P60" s="19">
        <f>'P&amp;L - Inputs'!O704</f>
        <v>643403</v>
      </c>
      <c r="Q60" s="19">
        <f>'P&amp;L - Inputs'!P704</f>
        <v>903742</v>
      </c>
      <c r="R60" s="19">
        <f>'P&amp;L - Inputs'!Q704</f>
        <v>1024730</v>
      </c>
      <c r="S60" s="19">
        <f>'P&amp;L - Inputs'!R704</f>
        <v>598109</v>
      </c>
      <c r="T60" s="19">
        <f>'P&amp;L - Inputs'!S704</f>
        <v>673985</v>
      </c>
      <c r="U60" s="19">
        <f>'P&amp;L - Inputs'!T704</f>
        <v>1159677</v>
      </c>
      <c r="V60" s="19">
        <f>'P&amp;L - Inputs'!U704</f>
        <v>574055</v>
      </c>
      <c r="W60" s="19">
        <f>'P&amp;L - Inputs'!V704</f>
        <v>554242.71619945392</v>
      </c>
      <c r="X60" s="19">
        <f>'P&amp;L - Inputs'!W704</f>
        <v>636335</v>
      </c>
      <c r="Y60" s="19">
        <f>'P&amp;L - Inputs'!X704</f>
        <v>613319</v>
      </c>
      <c r="Z60" s="19">
        <f>'P&amp;L - Inputs'!Y704</f>
        <v>664582.96834049909</v>
      </c>
      <c r="AA60" s="19">
        <f>'P&amp;L - Inputs'!Z704</f>
        <v>373926.10982087604</v>
      </c>
      <c r="AB60" s="19">
        <f>'P&amp;L - Inputs'!AA704</f>
        <v>519653</v>
      </c>
      <c r="AC60" s="19">
        <f>'P&amp;L - Inputs'!AB704</f>
        <v>348842.99999999988</v>
      </c>
      <c r="AD60" s="19">
        <f>'P&amp;L - Inputs'!AC704</f>
        <v>935817</v>
      </c>
      <c r="AE60" s="19">
        <f>'P&amp;L - Inputs'!AD704</f>
        <v>1439255</v>
      </c>
      <c r="AF60" s="19">
        <f>'P&amp;L - Inputs'!AE704</f>
        <v>1534895</v>
      </c>
      <c r="AG60" s="19">
        <f>'P&amp;L - Inputs'!AF704</f>
        <v>1407817.0000000002</v>
      </c>
      <c r="AH60" s="19">
        <f>'P&amp;L - Inputs'!AG704</f>
        <v>1622168</v>
      </c>
      <c r="AI60" s="19">
        <f>'P&amp;L - Inputs'!AH704</f>
        <v>2863501</v>
      </c>
      <c r="AJ60" s="19">
        <f>'P&amp;L - Inputs'!AI704</f>
        <v>2623373</v>
      </c>
      <c r="AK60" s="19">
        <f>'P&amp;L - Inputs'!AJ704</f>
        <v>1723566</v>
      </c>
      <c r="AL60" s="19">
        <f>'P&amp;L - Inputs'!AK704</f>
        <v>1770088</v>
      </c>
      <c r="AM60" s="19">
        <f>'P&amp;L - Inputs'!AL704</f>
        <v>1076266</v>
      </c>
      <c r="AN60" s="19">
        <f>'P&amp;L - Inputs'!AM704</f>
        <v>425353</v>
      </c>
      <c r="AO60" s="19">
        <f>'P&amp;L - Inputs'!AN704</f>
        <v>1127387</v>
      </c>
      <c r="AP60" s="19">
        <f>'P&amp;L - Inputs'!AO704</f>
        <v>1707849.59</v>
      </c>
      <c r="AQ60" s="19">
        <f>'P&amp;L - Inputs'!AP704</f>
        <v>1980440.5100000002</v>
      </c>
      <c r="AR60" s="19">
        <f>'P&amp;L - Inputs'!AQ704</f>
        <v>2746506.0334705329</v>
      </c>
      <c r="AS60" s="19">
        <f>'P&amp;L - Inputs'!AR704</f>
        <v>3001655.0000000005</v>
      </c>
      <c r="AT60" s="19">
        <f>'P&amp;L - Inputs'!AS704</f>
        <v>2893783.4402906364</v>
      </c>
      <c r="AU60" s="19">
        <f>'P&amp;L - Inputs'!AT704</f>
        <v>3544029.6339350073</v>
      </c>
      <c r="AV60" s="19">
        <f>'P&amp;L - Inputs'!AU704</f>
        <v>3721044.5640194491</v>
      </c>
      <c r="AW60" s="19">
        <f>'P&amp;L - Inputs'!AV704</f>
        <v>3798842.2913846849</v>
      </c>
      <c r="AX60" s="19">
        <f>'P&amp;L - Inputs'!AW704</f>
        <v>3682291.6224308219</v>
      </c>
      <c r="AY60" s="19">
        <f>'P&amp;L - Inputs'!AX704</f>
        <v>3488841.0844155867</v>
      </c>
      <c r="AZ60" s="19">
        <f>'P&amp;L - Inputs'!AY704</f>
        <v>3971164.5720668253</v>
      </c>
      <c r="BA60" s="19">
        <f>'P&amp;L - Inputs'!AZ704</f>
        <v>3715498.535967797</v>
      </c>
      <c r="BB60" s="19">
        <f>'P&amp;L - Inputs'!BA704</f>
        <v>3892262.9031666359</v>
      </c>
      <c r="BC60" s="19">
        <f>'P&amp;L - Inputs'!BB704</f>
        <v>3875840.031627466</v>
      </c>
      <c r="BD60" s="19">
        <f>'P&amp;L - Inputs'!BC704</f>
        <v>4446721.1192941526</v>
      </c>
      <c r="BE60" s="19">
        <f>'P&amp;L - Inputs'!BD704</f>
        <v>4425700.1161447242</v>
      </c>
      <c r="BF60" s="19">
        <f>'P&amp;L - Inputs'!BE704</f>
        <v>4165948.5409571859</v>
      </c>
      <c r="BG60" s="19">
        <f>'P&amp;L - Inputs'!BF704</f>
        <v>3861197.8204323938</v>
      </c>
      <c r="BH60" s="19">
        <f>'P&amp;L - Inputs'!BG704</f>
        <v>3798023.0618872792</v>
      </c>
      <c r="BI60" s="19">
        <f>'P&amp;L - Inputs'!BH704</f>
        <v>4104681.800424967</v>
      </c>
      <c r="BJ60" s="19">
        <f>'P&amp;L - Inputs'!BI704</f>
        <v>5425350.5088297017</v>
      </c>
      <c r="BK60" s="19">
        <f>'P&amp;L - Inputs'!BJ704</f>
        <v>10779807.881495288</v>
      </c>
      <c r="BL60" s="19">
        <f>'P&amp;L - Inputs'!BK704</f>
        <v>9996999.8092921749</v>
      </c>
      <c r="BM60" s="19">
        <f>'P&amp;L - Inputs'!BL704</f>
        <v>8656648.0830730349</v>
      </c>
      <c r="BN60" s="19">
        <f>'P&amp;L - Inputs'!BM704</f>
        <v>7121986.5190046923</v>
      </c>
      <c r="BO60" s="19">
        <f>'P&amp;L - Inputs'!BN704</f>
        <v>7540523.1792429909</v>
      </c>
      <c r="BP60" s="19">
        <f>'P&amp;L - Inputs'!BO704</f>
        <v>7522225.5584548078</v>
      </c>
      <c r="BQ60" s="19">
        <f>'P&amp;L - Inputs'!BP704</f>
        <v>8453527.0511910655</v>
      </c>
      <c r="BR60" s="19">
        <f>'P&amp;L - Inputs'!BQ704</f>
        <v>9167762.9297452588</v>
      </c>
      <c r="BS60" s="19">
        <f>'P&amp;L - Inputs'!BR704</f>
        <v>7043824.4586025495</v>
      </c>
      <c r="BT60" s="19">
        <f>'P&amp;L - Inputs'!BS704</f>
        <v>6264547.3782219719</v>
      </c>
      <c r="BU60" s="19">
        <f>'P&amp;L - Inputs'!BT704</f>
        <v>6075968</v>
      </c>
      <c r="BV60" s="19">
        <f>'P&amp;L - Inputs'!BU704</f>
        <v>6210361.3433977067</v>
      </c>
      <c r="BW60" s="19">
        <f>'D2C - Retail'!AW113 'D2C - Retail'!AW113+'D2C Online'!BN76</f>
        <v>6777580.0529403808</v>
      </c>
      <c r="BX60" s="19">
        <f>'D2C - Retail'!AX113 'D2C - Retail'!AX113+'D2C Online'!BO76</f>
        <v>6684050.2601190871</v>
      </c>
      <c r="BY60" s="19">
        <f>'D2C - Retail'!AY113 'D2C - Retail'!AY113+'D2C Online'!BP76</f>
        <v>6713777.8395759966</v>
      </c>
      <c r="BZ60" s="19">
        <f>'D2C - Retail'!AZ113 'D2C - Retail'!AZ113+'D2C Online'!BQ76</f>
        <v>7111991.6683801161</v>
      </c>
      <c r="CA60" s="19">
        <f>'D2C - Retail'!BA113 'D2C - Retail'!BA113+'D2C Online'!BR76</f>
        <v>6399896.5439091232</v>
      </c>
      <c r="CB60" s="19">
        <f>'D2C - Retail'!BB113 'D2C - Retail'!BB113+'D2C Online'!BS76</f>
        <v>6664273.6350808293</v>
      </c>
      <c r="CC60" s="19">
        <f>'D2C - Retail'!BC113 'D2C - Retail'!BC113+'D2C Online'!BT76</f>
        <v>8165983.3152851406</v>
      </c>
      <c r="CD60" s="19">
        <f>'D2C - Retail'!BD113 'D2C - Retail'!BD113+'D2C Online'!BU76</f>
        <v>8103156.5627847891</v>
      </c>
      <c r="CE60" s="19">
        <f>'D2C - Retail'!BE113 'D2C - Retail'!BE113+'D2C Online'!BV76</f>
        <v>7336235.5310102552</v>
      </c>
      <c r="CF60" s="19">
        <f>'D2C - Retail'!BF113 'D2C - Retail'!BF113+'D2C Online'!BW76</f>
        <v>7457871.313190219</v>
      </c>
      <c r="CG60" s="19">
        <f>'D2C - Retail'!BG113 'D2C - Retail'!BG113+'D2C Online'!BX76</f>
        <v>7506248.4549071779</v>
      </c>
      <c r="CH60" s="19">
        <f>'D2C - Retail'!BH113 'D2C - Retail'!BH113+'D2C Online'!BY76</f>
        <v>8582002.2587320246</v>
      </c>
      <c r="CI60" s="19">
        <f>'D2C - Retail'!BI113 'D2C - Retail'!BI113+'D2C Online'!BZ76</f>
        <v>8790239.6397568751</v>
      </c>
      <c r="CJ60" s="19">
        <f>'D2C - Retail'!BJ113 'D2C - Retail'!BJ113+'D2C Online'!CA76</f>
        <v>8042931.8309139134</v>
      </c>
      <c r="CK60" s="19">
        <f>'D2C - Retail'!BK113 'D2C - Retail'!BK113+'D2C Online'!CB76</f>
        <v>6603273.0433098963</v>
      </c>
      <c r="CL60" s="19">
        <f>'D2C - Retail'!BL113 'D2C - Retail'!BL113+'D2C Online'!CC76</f>
        <v>6489102.39253587</v>
      </c>
      <c r="CM60" s="19">
        <f>'D2C - Retail'!BM113 'D2C - Retail'!BM113+'D2C Online'!CD76</f>
        <v>6465802.8714006161</v>
      </c>
      <c r="CN60" s="19">
        <f>'D2C - Retail'!BN113 'D2C - Retail'!BN113+'D2C Online'!CE76</f>
        <v>7084439.397507878</v>
      </c>
      <c r="CO60" s="19">
        <f>'D2C - Retail'!BO113 'D2C - Retail'!BO113+'D2C Online'!CF76</f>
        <v>8480103.6005495936</v>
      </c>
      <c r="CP60" s="19">
        <f>'D2C - Retail'!BP113 'D2C - Retail'!BP113+'D2C Online'!CG76</f>
        <v>8326918.7421207391</v>
      </c>
      <c r="CQ60" s="19">
        <f>'D2C - Retail'!BQ113 'D2C - Retail'!BQ113+'D2C Online'!CH76</f>
        <v>12829441.127097659</v>
      </c>
      <c r="CR60" s="19">
        <f>'D2C - Retail'!BR113 'D2C - Retail'!BR113+'D2C Online'!CI76</f>
        <v>15050269.159805648</v>
      </c>
      <c r="CS60" s="19">
        <f>'D2C - Retail'!BS113 'D2C - Retail'!BS113+'D2C Online'!CJ76</f>
        <v>15341371.300819322</v>
      </c>
      <c r="CT60" s="19">
        <f>'D2C - Retail'!BT113 'D2C - Retail'!BT113+'D2C Online'!CK76</f>
        <v>15578996.32618409</v>
      </c>
      <c r="CU60" s="19">
        <f>'D2C - Retail'!BU113 'D2C - Retail'!BU113+'D2C Online'!CL76</f>
        <v>11511381.070923772</v>
      </c>
      <c r="CV60" s="19">
        <f>'D2C - Retail'!BV113 'D2C - Retail'!BV113+'D2C Online'!CM76</f>
        <v>11426032.201360501</v>
      </c>
      <c r="CW60" s="19">
        <f>'D2C - Retail'!BW113 'D2C - Retail'!BW113+'D2C Online'!CN76</f>
        <v>11402223.449295972</v>
      </c>
      <c r="CX60" s="19">
        <f>'D2C - Retail'!BX113 'D2C - Retail'!BX113+'D2C Online'!CO76</f>
        <v>12014241.289321579</v>
      </c>
      <c r="CY60" s="19">
        <f>'D2C - Retail'!BY113 'D2C - Retail'!BY113+'D2C Online'!CP76</f>
        <v>10943613.214244917</v>
      </c>
      <c r="CZ60" s="19">
        <f>'D2C - Retail'!BZ113 'D2C - Retail'!BZ113+'D2C Online'!CQ76</f>
        <v>10983032.840111375</v>
      </c>
      <c r="DA60" s="19">
        <f>'D2C - Retail'!CA113 'D2C - Retail'!CA113+'D2C Online'!CR76</f>
        <v>12253125.905285452</v>
      </c>
      <c r="DB60" s="19">
        <f>'D2C - Retail'!CB113 'D2C - Retail'!CB113+'D2C Online'!CS76</f>
        <v>11689126.35338027</v>
      </c>
      <c r="DC60" s="19">
        <f>'D2C - Retail'!CC113 'D2C - Retail'!CC113+'D2C Online'!CT76</f>
        <v>14217774.548265871</v>
      </c>
      <c r="DD60" s="19">
        <f>'D2C - Retail'!CD113 'D2C - Retail'!CD113+'D2C Online'!CU76</f>
        <v>14939774.335443644</v>
      </c>
      <c r="DE60" s="19">
        <f>'D2C - Retail'!CE113 'D2C - Retail'!CE113+'D2C Online'!CV76</f>
        <v>13309795.291425757</v>
      </c>
      <c r="DF60" s="19">
        <f>'D2C - Retail'!CF113 'D2C - Retail'!CF113+'D2C Online'!CW76</f>
        <v>15042250.030587068</v>
      </c>
      <c r="DG60" s="19">
        <f>'D2C - Retail'!CG113 'D2C - Retail'!CG113+'D2C Online'!CX76</f>
        <v>14162767.96284252</v>
      </c>
      <c r="DH60" s="19">
        <f>'D2C - Retail'!CH113 'D2C - Retail'!CH113+'D2C Online'!CY76</f>
        <v>14073567.80188974</v>
      </c>
      <c r="DI60" s="19">
        <f>'D2C - Retail'!CI113 'D2C - Retail'!CI113+'D2C Online'!CZ76</f>
        <v>14005971.182193447</v>
      </c>
      <c r="DJ60" s="19">
        <f>'D2C - Retail'!CJ113 'D2C - Retail'!CJ113+'D2C Online'!DA76</f>
        <v>14758609.628579652</v>
      </c>
      <c r="DK60" s="19">
        <f>'D2C - Retail'!CK113 'D2C - Retail'!CK113+'D2C Online'!DB76</f>
        <v>13426679.6690326</v>
      </c>
      <c r="DL60" s="19">
        <f>'D2C - Retail'!CL113 'D2C - Retail'!CL113+'D2C Online'!DC76</f>
        <v>13445545.832509246</v>
      </c>
      <c r="DM60" s="19">
        <f>'D2C - Retail'!CM113 'D2C - Retail'!CM113+'D2C Online'!DD76</f>
        <v>14992872.647948978</v>
      </c>
      <c r="DN60" s="19">
        <f>'D2C - Retail'!CN113 'D2C - Retail'!CN113+'D2C Online'!DE76</f>
        <v>14259062.747912442</v>
      </c>
      <c r="DO60" s="19">
        <f>'D2C - Retail'!CO113 'D2C - Retail'!CO113+'D2C Online'!DF76</f>
        <v>17303569.898304284</v>
      </c>
      <c r="DP60" s="19">
        <f>'D2C - Retail'!CP113 'D2C - Retail'!CP113+'D2C Online'!DG76</f>
        <v>18139897.769233368</v>
      </c>
      <c r="DQ60" s="19">
        <f>'D2C - Retail'!CQ113 'D2C - Retail'!CQ113+'D2C Online'!DH76</f>
        <v>16125613.025736377</v>
      </c>
      <c r="DR60" s="19">
        <f>'D2C - Retail'!CR113 'D2C - Retail'!CR113+'D2C Online'!DI76</f>
        <v>18112185.982196532</v>
      </c>
      <c r="DS60" s="19">
        <f>'D2C - Retail'!CS113 'D2C - Retail'!CS113+'D2C Online'!DJ76</f>
        <v>17048330.312892675</v>
      </c>
      <c r="DT60" s="19">
        <f>'D2C - Retail'!CT113 'D2C - Retail'!CT113+'D2C Online'!DK76</f>
        <v>16933694.46534723</v>
      </c>
      <c r="DU60" s="19">
        <f>'D2C - Retail'!CU113 'D2C - Retail'!CU113+'D2C Online'!DL76</f>
        <v>16847375.064805292</v>
      </c>
      <c r="DV60" s="19">
        <f>'D2C - Retail'!CV113 'D2C - Retail'!CV113+'D2C Online'!DM76</f>
        <v>17744871.91440127</v>
      </c>
      <c r="DW60" s="19">
        <f>'D2C - Retail'!CW113 'D2C - Retail'!CW113+'D2C Online'!DN76</f>
        <v>16138253.502344143</v>
      </c>
      <c r="DX60" s="19">
        <f>'D2C - Retail'!CX113 'D2C - Retail'!CX113+'D2C Online'!DO76</f>
        <v>16158412.447963517</v>
      </c>
      <c r="DY60" s="19">
        <f>'D2C - Retail'!CY113 'D2C - Retail'!CY113+'D2C Online'!DP76</f>
        <v>18003537.497702193</v>
      </c>
      <c r="DZ60" s="19">
        <f>'D2C - Retail'!CZ113 'D2C - Retail'!CZ113+'D2C Online'!DQ76</f>
        <v>17121720.306585483</v>
      </c>
      <c r="EA60" s="19">
        <f>'D2C - Retail'!DA113 'D2C - Retail'!DA113+'D2C Online'!DR76</f>
        <v>20775769.508460999</v>
      </c>
      <c r="EB60" s="19">
        <f>'D2C - Retail'!DB113 'D2C - Retail'!DB113+'D2C Online'!DS76</f>
        <v>21780164.263233811</v>
      </c>
      <c r="EC60" s="19">
        <f>'D2C - Retail'!DC113 'D2C - Retail'!DC113+'D2C Online'!DT76</f>
        <v>19352530.087572478</v>
      </c>
      <c r="ED60" s="19">
        <f>'D2C - Retail'!DD113 'D2C - Retail'!DD113+'D2C Online'!DU76</f>
        <v>21728983.698413737</v>
      </c>
      <c r="EE60" s="168"/>
      <c r="EF60" s="165">
        <f t="shared" si="271"/>
        <v>29433455.773860499</v>
      </c>
      <c r="EG60" s="165">
        <f t="shared" si="272"/>
        <v>22184735.25670249</v>
      </c>
      <c r="EH60" s="165">
        <f t="shared" si="273"/>
        <v>24665114.439538874</v>
      </c>
      <c r="EI60" s="165">
        <f t="shared" si="274"/>
        <v>18550876.721619681</v>
      </c>
      <c r="EJ60" s="165">
        <f t="shared" si="275"/>
        <v>20175408.152635463</v>
      </c>
      <c r="EK60" s="165">
        <f t="shared" si="276"/>
        <v>20039344.661444366</v>
      </c>
      <c r="EL60" s="165">
        <f t="shared" si="277"/>
        <v>23605375.409080185</v>
      </c>
      <c r="EM60" s="165">
        <f t="shared" si="278"/>
        <v>23546122.026829422</v>
      </c>
      <c r="EN60" s="165">
        <f t="shared" si="279"/>
        <v>23436444.513980687</v>
      </c>
      <c r="EO60" s="165">
        <f t="shared" si="280"/>
        <v>20039344.661444366</v>
      </c>
      <c r="EP60" s="165">
        <f t="shared" si="281"/>
        <v>29636463.469767991</v>
      </c>
      <c r="EQ60" s="165">
        <f t="shared" si="282"/>
        <v>45970636.786809057</v>
      </c>
      <c r="ER60" s="165">
        <f t="shared" si="283"/>
        <v>34339636.721580245</v>
      </c>
      <c r="ES60" s="165">
        <f t="shared" si="284"/>
        <v>33940887.343677871</v>
      </c>
      <c r="ET60" s="165">
        <f t="shared" si="285"/>
        <v>38160026.806931593</v>
      </c>
      <c r="EU60" s="165">
        <f t="shared" si="286"/>
        <v>43291819.657456473</v>
      </c>
      <c r="EV60" s="165">
        <f t="shared" si="287"/>
        <v>42242306.946925707</v>
      </c>
      <c r="EW60" s="165">
        <f t="shared" si="288"/>
        <v>41630835.130121499</v>
      </c>
      <c r="EX60" s="165">
        <f t="shared" si="289"/>
        <v>46555505.294165701</v>
      </c>
      <c r="EY60" s="165">
        <f t="shared" si="290"/>
        <v>52377696.777166277</v>
      </c>
      <c r="EZ60" s="165">
        <f t="shared" si="83"/>
        <v>50829399.843045197</v>
      </c>
      <c r="FA60" s="165">
        <f t="shared" si="84"/>
        <v>50041537.86470893</v>
      </c>
      <c r="FB60" s="165">
        <f t="shared" si="85"/>
        <v>55901027.312748671</v>
      </c>
      <c r="FC60" s="165">
        <f t="shared" si="86"/>
        <v>62861678.049220026</v>
      </c>
      <c r="FE60" s="165">
        <f t="shared" si="87"/>
        <v>94834182.191721544</v>
      </c>
      <c r="FF60" s="165">
        <f t="shared" si="88"/>
        <v>87366250.249989435</v>
      </c>
      <c r="FG60" s="165">
        <f t="shared" si="89"/>
        <v>119082889.4320021</v>
      </c>
      <c r="FH60" s="165">
        <f t="shared" si="90"/>
        <v>149732370.52964616</v>
      </c>
      <c r="FI60" s="165">
        <f t="shared" si="91"/>
        <v>182806344.14837918</v>
      </c>
      <c r="FJ60" s="165">
        <f t="shared" si="92"/>
        <v>219633643.06972283</v>
      </c>
    </row>
    <row r="61" spans="2:166" x14ac:dyDescent="0.2">
      <c r="B61" s="167" t="s">
        <v>25</v>
      </c>
      <c r="C61" s="19">
        <f>'P&amp;L - Inputs'!B705</f>
        <v>244948.285714286</v>
      </c>
      <c r="D61" s="19">
        <f>'P&amp;L - Inputs'!C705</f>
        <v>272924</v>
      </c>
      <c r="E61" s="19">
        <f>'P&amp;L - Inputs'!D705</f>
        <v>284318.57142857101</v>
      </c>
      <c r="F61" s="19">
        <f>'P&amp;L - Inputs'!E705</f>
        <v>364083.85714285698</v>
      </c>
      <c r="G61" s="19">
        <f>'P&amp;L - Inputs'!F705</f>
        <v>375896.14285714302</v>
      </c>
      <c r="H61" s="19">
        <f>'P&amp;L - Inputs'!G705</f>
        <v>363984.28571428597</v>
      </c>
      <c r="I61" s="19">
        <f>'P&amp;L - Inputs'!H705</f>
        <v>317753.71428571403</v>
      </c>
      <c r="J61" s="19">
        <f>'P&amp;L - Inputs'!I705</f>
        <v>333520.57142857101</v>
      </c>
      <c r="K61" s="19">
        <f>'P&amp;L - Inputs'!J705</f>
        <v>368816.28571428597</v>
      </c>
      <c r="L61" s="19">
        <f>'P&amp;L - Inputs'!K705</f>
        <v>473870.14285714302</v>
      </c>
      <c r="M61" s="19">
        <f>'P&amp;L - Inputs'!L705</f>
        <v>708903</v>
      </c>
      <c r="N61" s="19">
        <f>'P&amp;L - Inputs'!M705</f>
        <v>943631.00000000012</v>
      </c>
      <c r="O61" s="19">
        <f>'P&amp;L - Inputs'!N705</f>
        <v>1384453.8571428601</v>
      </c>
      <c r="P61" s="19">
        <f>'P&amp;L - Inputs'!O705</f>
        <v>1430399.42857143</v>
      </c>
      <c r="Q61" s="19">
        <f>'P&amp;L - Inputs'!P705</f>
        <v>1560151.1428571427</v>
      </c>
      <c r="R61" s="19">
        <f>'P&amp;L - Inputs'!Q705</f>
        <v>1577662</v>
      </c>
      <c r="S61" s="19">
        <f>'P&amp;L - Inputs'!R705</f>
        <v>1756505</v>
      </c>
      <c r="T61" s="19">
        <f>'P&amp;L - Inputs'!S705</f>
        <v>1848126</v>
      </c>
      <c r="U61" s="19">
        <f>'P&amp;L - Inputs'!T705</f>
        <v>1943839</v>
      </c>
      <c r="V61" s="19">
        <f>'P&amp;L - Inputs'!U705</f>
        <v>2151267</v>
      </c>
      <c r="W61" s="19">
        <f>'P&amp;L - Inputs'!V705</f>
        <v>2051888</v>
      </c>
      <c r="X61" s="19">
        <f>'P&amp;L - Inputs'!W705</f>
        <v>2301126</v>
      </c>
      <c r="Y61" s="19">
        <f>'P&amp;L - Inputs'!X705</f>
        <v>2341940.5499999998</v>
      </c>
      <c r="Z61" s="19">
        <f>'P&amp;L - Inputs'!Y705</f>
        <v>2383112.5</v>
      </c>
      <c r="AA61" s="19">
        <f>'P&amp;L - Inputs'!Z705</f>
        <v>2570486.5241666702</v>
      </c>
      <c r="AB61" s="19">
        <f>'P&amp;L - Inputs'!AA705</f>
        <v>2430116.7450000001</v>
      </c>
      <c r="AC61" s="19">
        <f>'P&amp;L - Inputs'!AB705</f>
        <v>1717686.252261905</v>
      </c>
      <c r="AD61" s="19">
        <f>'P&amp;L - Inputs'!AC705</f>
        <v>1660481.276190477</v>
      </c>
      <c r="AE61" s="19">
        <f>'P&amp;L - Inputs'!AD705</f>
        <v>1644514.2711904761</v>
      </c>
      <c r="AF61" s="19">
        <f>'P&amp;L - Inputs'!AE705</f>
        <v>1681564.1833333301</v>
      </c>
      <c r="AG61" s="19">
        <f>'P&amp;L - Inputs'!AF705</f>
        <v>1631780.5666666699</v>
      </c>
      <c r="AH61" s="19">
        <f>'P&amp;L - Inputs'!AG705</f>
        <v>1654958.7066666665</v>
      </c>
      <c r="AI61" s="19">
        <f>'P&amp;L - Inputs'!AH705</f>
        <v>1651991</v>
      </c>
      <c r="AJ61" s="19">
        <f>'P&amp;L - Inputs'!AI705</f>
        <v>1873493.3983333332</v>
      </c>
      <c r="AK61" s="19">
        <f>'P&amp;L - Inputs'!AJ705</f>
        <v>1864890.8325</v>
      </c>
      <c r="AL61" s="19">
        <f>'P&amp;L - Inputs'!AK705</f>
        <v>1839973.0194871784</v>
      </c>
      <c r="AM61" s="19">
        <f>'P&amp;L - Inputs'!AL705</f>
        <v>2047449.2904487182</v>
      </c>
      <c r="AN61" s="19">
        <f>'P&amp;L - Inputs'!AM705</f>
        <v>2074483.7658974354</v>
      </c>
      <c r="AO61" s="19">
        <f>'P&amp;L - Inputs'!AN705</f>
        <v>2875493.0185897397</v>
      </c>
      <c r="AP61" s="19">
        <f>'P&amp;L - Inputs'!AO705</f>
        <v>2866992.9494230798</v>
      </c>
      <c r="AQ61" s="19">
        <f>'P&amp;L - Inputs'!AP705</f>
        <v>2817083.72346154</v>
      </c>
      <c r="AR61" s="19">
        <f>'P&amp;L - Inputs'!AQ705</f>
        <v>2807216.1696794867</v>
      </c>
      <c r="AS61" s="19">
        <f>'P&amp;L - Inputs'!AR705</f>
        <v>3789933.9528846098</v>
      </c>
      <c r="AT61" s="19">
        <f>'P&amp;L - Inputs'!AS705</f>
        <v>3788696.8500641002</v>
      </c>
      <c r="AU61" s="19">
        <f>'P&amp;L - Inputs'!AT705</f>
        <v>3788696.8500641007</v>
      </c>
      <c r="AV61" s="19">
        <f>'P&amp;L - Inputs'!AU705</f>
        <v>2574621.0610256405</v>
      </c>
      <c r="AW61" s="19">
        <f>'P&amp;L - Inputs'!AV705</f>
        <v>3439027.8474359</v>
      </c>
      <c r="AX61" s="19">
        <f>'P&amp;L - Inputs'!AW705</f>
        <v>3832313.9190384601</v>
      </c>
      <c r="AY61" s="19">
        <f>'P&amp;L - Inputs'!AX705</f>
        <v>3750916</v>
      </c>
      <c r="AZ61" s="19">
        <f>'P&amp;L - Inputs'!AY705</f>
        <v>3856465</v>
      </c>
      <c r="BA61" s="19">
        <f>'P&amp;L - Inputs'!AZ705</f>
        <v>3675218.6999359</v>
      </c>
      <c r="BB61" s="19">
        <f>'P&amp;L - Inputs'!BA705</f>
        <v>3610831.5469670594</v>
      </c>
      <c r="BC61" s="19">
        <f>'P&amp;L - Inputs'!BB705</f>
        <v>3878382.0477564102</v>
      </c>
      <c r="BD61" s="19">
        <f>'P&amp;L - Inputs'!BC705</f>
        <v>4159916.71833333</v>
      </c>
      <c r="BE61" s="19">
        <f>'P&amp;L - Inputs'!BD705</f>
        <v>4263393.5333333351</v>
      </c>
      <c r="BF61" s="19">
        <f>'P&amp;L - Inputs'!BE705</f>
        <v>4350714.31544872</v>
      </c>
      <c r="BG61" s="19">
        <f>'P&amp;L - Inputs'!BF705</f>
        <v>4226782.75980769</v>
      </c>
      <c r="BH61" s="19">
        <f>'P&amp;L - Inputs'!BG705</f>
        <v>4255866.9654487204</v>
      </c>
      <c r="BI61" s="19">
        <f>'P&amp;L - Inputs'!BH705</f>
        <v>4154109.6678205193</v>
      </c>
      <c r="BJ61" s="19">
        <f>'P&amp;L - Inputs'!BI705</f>
        <v>4008410.4289743612</v>
      </c>
      <c r="BK61" s="19">
        <f>'P&amp;L - Inputs'!BJ705</f>
        <v>3841665.6708600996</v>
      </c>
      <c r="BL61" s="19">
        <f>'P&amp;L - Inputs'!BK705</f>
        <v>3795257.3405534327</v>
      </c>
      <c r="BM61" s="19">
        <f>'P&amp;L - Inputs'!BL705</f>
        <v>4345647.280576922</v>
      </c>
      <c r="BN61" s="19">
        <f>'P&amp;L - Inputs'!BM705</f>
        <v>4322220.0951282047</v>
      </c>
      <c r="BO61" s="19">
        <f>'P&amp;L - Inputs'!BN705</f>
        <v>5385776.3660256397</v>
      </c>
      <c r="BP61" s="19">
        <f>'P&amp;L - Inputs'!BO705</f>
        <v>5317021.6030128207</v>
      </c>
      <c r="BQ61" s="19">
        <f>'P&amp;L - Inputs'!BP705</f>
        <v>7765348.2626923099</v>
      </c>
      <c r="BR61" s="19">
        <f>'P&amp;L - Inputs'!BQ705</f>
        <v>7325918.51955128</v>
      </c>
      <c r="BS61" s="19">
        <f>'P&amp;L - Inputs'!BR705</f>
        <v>6528208.6888461523</v>
      </c>
      <c r="BT61" s="19">
        <f>'P&amp;L - Inputs'!BS705</f>
        <v>6557592.1728846151</v>
      </c>
      <c r="BU61" s="19">
        <f>'P&amp;L - Inputs'!BT705</f>
        <v>5971041.4852564102</v>
      </c>
      <c r="BV61" s="19">
        <f>'P&amp;L - Inputs'!BU705</f>
        <v>5912933.8114743587</v>
      </c>
      <c r="BW61" s="19">
        <f>'D2C - Retail'!AW115+'D2C Online'!BN77</f>
        <v>5542731.2857124917</v>
      </c>
      <c r="BX61" s="19">
        <f>'D2C - Retail'!AX115+'D2C Online'!BO77</f>
        <v>5299175.7867370229</v>
      </c>
      <c r="BY61" s="19">
        <f>'D2C - Retail'!AY115+'D2C Online'!BP77</f>
        <v>5595523.848917054</v>
      </c>
      <c r="BZ61" s="19">
        <f>'D2C - Retail'!AZ115+'D2C Online'!BQ77</f>
        <v>5613205.2647770038</v>
      </c>
      <c r="CA61" s="19">
        <f>'D2C - Retail'!BA115+'D2C Online'!BR77</f>
        <v>6133768.8355321083</v>
      </c>
      <c r="CB61" s="19">
        <f>'D2C - Retail'!BB115+'D2C Online'!BS77</f>
        <v>6507062.0151514001</v>
      </c>
      <c r="CC61" s="19">
        <f>'D2C - Retail'!BC115+'D2C Online'!BT77</f>
        <v>6647839.6567724422</v>
      </c>
      <c r="CD61" s="19">
        <f>'D2C - Retail'!BD115+'D2C Online'!BU77</f>
        <v>6684929.9178869827</v>
      </c>
      <c r="CE61" s="19">
        <f>'D2C - Retail'!BE115+'D2C Online'!BV77</f>
        <v>7629015.3673294876</v>
      </c>
      <c r="CF61" s="19">
        <f>'D2C - Retail'!BF115+'D2C Online'!BW77</f>
        <v>7856700.2813097313</v>
      </c>
      <c r="CG61" s="19">
        <f>'D2C - Retail'!BG115+'D2C Online'!BX77</f>
        <v>7700804.7639947888</v>
      </c>
      <c r="CH61" s="19">
        <f>'D2C - Retail'!BH115+'D2C Online'!BY77</f>
        <v>8155766.3272636812</v>
      </c>
      <c r="CI61" s="19">
        <f>'D2C - Retail'!BI115+'D2C Online'!BZ77</f>
        <v>8664915.2187907118</v>
      </c>
      <c r="CJ61" s="19">
        <f>'D2C - Retail'!BJ115+'D2C Online'!CA77</f>
        <v>7984391.687886117</v>
      </c>
      <c r="CK61" s="19">
        <f>'D2C - Retail'!BK115+'D2C Online'!CB77</f>
        <v>9894722.2114408165</v>
      </c>
      <c r="CL61" s="19">
        <f>'D2C - Retail'!BL115+'D2C Online'!CC77</f>
        <v>9800700.7808263581</v>
      </c>
      <c r="CM61" s="19">
        <f>'D2C - Retail'!BM115+'D2C Online'!CD77</f>
        <v>10680840.970373441</v>
      </c>
      <c r="CN61" s="19">
        <f>'D2C - Retail'!BN115+'D2C Online'!CE77</f>
        <v>12170496.357534319</v>
      </c>
      <c r="CO61" s="19">
        <f>'D2C - Retail'!BO115+'D2C Online'!CF77</f>
        <v>12668685.896039147</v>
      </c>
      <c r="CP61" s="19">
        <f>'D2C - Retail'!BP115+'D2C Online'!CG77</f>
        <v>12476763.639871728</v>
      </c>
      <c r="CQ61" s="19">
        <f>'D2C - Retail'!BQ115+'D2C Online'!CH77</f>
        <v>12413585.597750906</v>
      </c>
      <c r="CR61" s="19">
        <f>'D2C - Retail'!BR115+'D2C Online'!CI77</f>
        <v>12600642.223935502</v>
      </c>
      <c r="CS61" s="19">
        <f>'D2C - Retail'!BS115+'D2C Online'!CJ77</f>
        <v>11768865.202310378</v>
      </c>
      <c r="CT61" s="19">
        <f>'D2C - Retail'!BT115+'D2C Online'!CK77</f>
        <v>12348291.513836179</v>
      </c>
      <c r="CU61" s="19">
        <f>'D2C - Retail'!BU115+'D2C Online'!CL77</f>
        <v>11020785.292806083</v>
      </c>
      <c r="CV61" s="19">
        <f>'D2C - Retail'!BV115+'D2C Online'!CM77</f>
        <v>10983087.579685349</v>
      </c>
      <c r="CW61" s="19">
        <f>'D2C - Retail'!BW115+'D2C Online'!CN77</f>
        <v>10968722.632947329</v>
      </c>
      <c r="CX61" s="19">
        <f>'D2C - Retail'!BX115+'D2C Online'!CO77</f>
        <v>11455751.6498389</v>
      </c>
      <c r="CY61" s="19">
        <f>'D2C - Retail'!BY115+'D2C Online'!CP77</f>
        <v>10543746.671063608</v>
      </c>
      <c r="CZ61" s="19">
        <f>'D2C - Retail'!BZ115+'D2C Online'!CQ77</f>
        <v>10775358.117296487</v>
      </c>
      <c r="DA61" s="19">
        <f>'D2C - Retail'!CA115+'D2C Online'!CR77</f>
        <v>11651049.780101378</v>
      </c>
      <c r="DB61" s="19">
        <f>'D2C - Retail'!CB115+'D2C Online'!CS77</f>
        <v>11245478.875813555</v>
      </c>
      <c r="DC61" s="19">
        <f>'D2C - Retail'!CC115+'D2C Online'!CT77</f>
        <v>13618387.087766759</v>
      </c>
      <c r="DD61" s="19">
        <f>'D2C - Retail'!CD115+'D2C Online'!CU77</f>
        <v>14365362.764675122</v>
      </c>
      <c r="DE61" s="19">
        <f>'D2C - Retail'!CE115+'D2C Online'!CV77</f>
        <v>12748839.716192702</v>
      </c>
      <c r="DF61" s="19">
        <f>'D2C - Retail'!CF115+'D2C Online'!CW77</f>
        <v>14235081.593014095</v>
      </c>
      <c r="DG61" s="19">
        <f>'D2C - Retail'!CG115+'D2C Online'!CX77</f>
        <v>13240384.942382194</v>
      </c>
      <c r="DH61" s="19">
        <f>'D2C - Retail'!CH115+'D2C Online'!CY77</f>
        <v>13206433.361280683</v>
      </c>
      <c r="DI61" s="19">
        <f>'D2C - Retail'!CI115+'D2C Online'!CZ77</f>
        <v>13158762.695736011</v>
      </c>
      <c r="DJ61" s="19">
        <f>'D2C - Retail'!CJ115+'D2C Online'!DA77</f>
        <v>13746216.585078483</v>
      </c>
      <c r="DK61" s="19">
        <f>'D2C - Retail'!CK115+'D2C Online'!DB77</f>
        <v>12634896.564667329</v>
      </c>
      <c r="DL61" s="19">
        <f>'D2C - Retail'!CL115+'D2C Online'!DC77</f>
        <v>12886158.628839605</v>
      </c>
      <c r="DM61" s="19">
        <f>'D2C - Retail'!CM115+'D2C Online'!DD77</f>
        <v>13934616.884418178</v>
      </c>
      <c r="DN61" s="19">
        <f>'D2C - Retail'!CN115+'D2C Online'!DE77</f>
        <v>13412122.578336503</v>
      </c>
      <c r="DO61" s="19">
        <f>'D2C - Retail'!CO115+'D2C Online'!DF77</f>
        <v>16217293.535552362</v>
      </c>
      <c r="DP61" s="19">
        <f>'D2C - Retail'!CP115+'D2C Online'!DG77</f>
        <v>17074663.510602765</v>
      </c>
      <c r="DQ61" s="19">
        <f>'D2C - Retail'!CQ115+'D2C Online'!DH77</f>
        <v>15122655.188076515</v>
      </c>
      <c r="DR61" s="19">
        <f>'D2C - Retail'!CR115+'D2C Online'!DI77</f>
        <v>16803786.983833801</v>
      </c>
      <c r="DS61" s="19">
        <f>'D2C - Retail'!CS115+'D2C Online'!DJ77</f>
        <v>15415662.827736054</v>
      </c>
      <c r="DT61" s="19">
        <f>'D2C - Retail'!CT115+'D2C Online'!DK77</f>
        <v>15373691.722519351</v>
      </c>
      <c r="DU61" s="19">
        <f>'D2C - Retail'!CU115+'D2C Online'!DL77</f>
        <v>15314972.861623023</v>
      </c>
      <c r="DV61" s="19">
        <f>'D2C - Retail'!CV115+'D2C Online'!DM77</f>
        <v>15986101.726369282</v>
      </c>
      <c r="DW61" s="19">
        <f>'D2C - Retail'!CW115+'D2C Online'!DN77</f>
        <v>14693633.216420559</v>
      </c>
      <c r="DX61" s="19">
        <f>'D2C - Retail'!CX115+'D2C Online'!DO77</f>
        <v>15002683.671008684</v>
      </c>
      <c r="DY61" s="19">
        <f>'D2C - Retail'!CY115+'D2C Online'!DP77</f>
        <v>16184750.48131213</v>
      </c>
      <c r="DZ61" s="19">
        <f>'D2C - Retail'!CZ115+'D2C Online'!DQ77</f>
        <v>15586954.177141175</v>
      </c>
      <c r="EA61" s="19">
        <f>'D2C - Retail'!DA115+'D2C Online'!DR77</f>
        <v>18856369.810674094</v>
      </c>
      <c r="EB61" s="19">
        <f>'D2C - Retail'!DB115+'D2C Online'!DS77</f>
        <v>19863010.064390063</v>
      </c>
      <c r="EC61" s="19">
        <f>'D2C - Retail'!DC115+'D2C Online'!DT77</f>
        <v>17571950.263845045</v>
      </c>
      <c r="ED61" s="19">
        <f>'D2C - Retail'!DD115+'D2C Online'!DU77</f>
        <v>19513307.124229319</v>
      </c>
      <c r="EE61" s="168"/>
      <c r="EF61" s="165">
        <f t="shared" si="271"/>
        <v>11982570.291990455</v>
      </c>
      <c r="EG61" s="165">
        <f t="shared" si="272"/>
        <v>15025018.064166665</v>
      </c>
      <c r="EH61" s="165">
        <f t="shared" si="273"/>
        <v>21619475.471089743</v>
      </c>
      <c r="EI61" s="165">
        <f t="shared" si="274"/>
        <v>18441567.469615385</v>
      </c>
      <c r="EJ61" s="165">
        <f t="shared" si="275"/>
        <v>16437430.921366569</v>
      </c>
      <c r="EK61" s="165">
        <f t="shared" si="276"/>
        <v>32652038.108734116</v>
      </c>
      <c r="EL61" s="165">
        <f t="shared" si="277"/>
        <v>20961784.941988915</v>
      </c>
      <c r="EM61" s="165">
        <f t="shared" si="278"/>
        <v>23713271.372568201</v>
      </c>
      <c r="EN61" s="165">
        <f t="shared" si="279"/>
        <v>26544029.118117645</v>
      </c>
      <c r="EO61" s="165">
        <f t="shared" si="280"/>
        <v>32652038.108734116</v>
      </c>
      <c r="EP61" s="165">
        <f t="shared" si="281"/>
        <v>37559035.133661777</v>
      </c>
      <c r="EQ61" s="165">
        <f t="shared" si="282"/>
        <v>36717798.940082058</v>
      </c>
      <c r="ER61" s="165">
        <f t="shared" si="283"/>
        <v>32972595.505438764</v>
      </c>
      <c r="ES61" s="165">
        <f t="shared" si="284"/>
        <v>32774856.438198995</v>
      </c>
      <c r="ET61" s="165">
        <f t="shared" si="285"/>
        <v>36514915.743681692</v>
      </c>
      <c r="EU61" s="165">
        <f t="shared" si="286"/>
        <v>41349284.073881924</v>
      </c>
      <c r="EV61" s="165">
        <f t="shared" si="287"/>
        <v>39605580.999398887</v>
      </c>
      <c r="EW61" s="165">
        <f t="shared" si="288"/>
        <v>39267271.778585419</v>
      </c>
      <c r="EX61" s="165">
        <f t="shared" si="289"/>
        <v>43564032.998307042</v>
      </c>
      <c r="EY61" s="165">
        <f t="shared" si="290"/>
        <v>49001105.682513081</v>
      </c>
      <c r="EZ61" s="165">
        <f t="shared" si="83"/>
        <v>46104327.411878422</v>
      </c>
      <c r="FA61" s="165">
        <f t="shared" si="84"/>
        <v>45682418.613798529</v>
      </c>
      <c r="FB61" s="165">
        <f t="shared" si="85"/>
        <v>50628074.469127402</v>
      </c>
      <c r="FC61" s="165">
        <f t="shared" si="86"/>
        <v>56948267.452464424</v>
      </c>
      <c r="FE61" s="165">
        <f t="shared" si="87"/>
        <v>67068631.296862245</v>
      </c>
      <c r="FF61" s="165">
        <f t="shared" si="88"/>
        <v>93764525.344657809</v>
      </c>
      <c r="FG61" s="165">
        <f t="shared" si="89"/>
        <v>133472901.3005956</v>
      </c>
      <c r="FH61" s="165">
        <f t="shared" si="90"/>
        <v>143611651.76120138</v>
      </c>
      <c r="FI61" s="165">
        <f t="shared" si="91"/>
        <v>171437991.45880443</v>
      </c>
      <c r="FJ61" s="165">
        <f t="shared" si="92"/>
        <v>199363087.94726878</v>
      </c>
    </row>
    <row r="62" spans="2:166" x14ac:dyDescent="0.2">
      <c r="B62" s="167" t="s">
        <v>26</v>
      </c>
      <c r="C62" s="19">
        <f>'P&amp;L - Inputs'!B706</f>
        <v>154930.714285714</v>
      </c>
      <c r="D62" s="19">
        <f>'P&amp;L - Inputs'!C706</f>
        <v>155680.714285714</v>
      </c>
      <c r="E62" s="19">
        <f>'P&amp;L - Inputs'!D706</f>
        <v>156430.714285714</v>
      </c>
      <c r="F62" s="19">
        <f>'P&amp;L - Inputs'!E706</f>
        <v>158181.714285714</v>
      </c>
      <c r="G62" s="19">
        <f>'P&amp;L - Inputs'!F706</f>
        <v>155304.14285714299</v>
      </c>
      <c r="H62" s="19">
        <f>'P&amp;L - Inputs'!G706</f>
        <v>150247.285714286</v>
      </c>
      <c r="I62" s="19">
        <f>'P&amp;L - Inputs'!H706</f>
        <v>160074</v>
      </c>
      <c r="J62" s="19">
        <f>'P&amp;L - Inputs'!I706</f>
        <v>176190</v>
      </c>
      <c r="K62" s="19">
        <f>'P&amp;L - Inputs'!J706</f>
        <v>494171.42857142899</v>
      </c>
      <c r="L62" s="19">
        <f>'P&amp;L - Inputs'!K706</f>
        <v>464424.42857142899</v>
      </c>
      <c r="M62" s="19">
        <f>'P&amp;L - Inputs'!L706</f>
        <v>510542.42857142905</v>
      </c>
      <c r="N62" s="19">
        <f>'P&amp;L - Inputs'!M706</f>
        <v>618184.28571428603</v>
      </c>
      <c r="O62" s="19">
        <f>'P&amp;L - Inputs'!N706</f>
        <v>518022.14285714302</v>
      </c>
      <c r="P62" s="19">
        <f>'P&amp;L - Inputs'!O706</f>
        <v>1250045</v>
      </c>
      <c r="Q62" s="19">
        <f>'P&amp;L - Inputs'!P706</f>
        <v>1635603.2857142901</v>
      </c>
      <c r="R62" s="19">
        <f>'P&amp;L - Inputs'!Q706</f>
        <v>1298866</v>
      </c>
      <c r="S62" s="19">
        <f>'P&amp;L - Inputs'!R706</f>
        <v>1883897</v>
      </c>
      <c r="T62" s="19">
        <f>'P&amp;L - Inputs'!S706</f>
        <v>1688224.0000000002</v>
      </c>
      <c r="U62" s="19">
        <f>'P&amp;L - Inputs'!T706</f>
        <v>1834785</v>
      </c>
      <c r="V62" s="19">
        <f>'P&amp;L - Inputs'!U706</f>
        <v>1826041</v>
      </c>
      <c r="W62" s="19">
        <f>'P&amp;L - Inputs'!V706</f>
        <v>1841092</v>
      </c>
      <c r="X62" s="19">
        <f>'P&amp;L - Inputs'!W706</f>
        <v>1854732</v>
      </c>
      <c r="Y62" s="19">
        <f>'P&amp;L - Inputs'!X706</f>
        <v>1810261</v>
      </c>
      <c r="Z62" s="19">
        <f>'P&amp;L - Inputs'!Y706</f>
        <v>1675850</v>
      </c>
      <c r="AA62" s="19">
        <f>'P&amp;L - Inputs'!Z706</f>
        <v>1328178</v>
      </c>
      <c r="AB62" s="19">
        <f>'P&amp;L - Inputs'!AA706</f>
        <v>1825024</v>
      </c>
      <c r="AC62" s="19">
        <f>'P&amp;L - Inputs'!AB706</f>
        <v>1994027.9999999998</v>
      </c>
      <c r="AD62" s="19">
        <f>'P&amp;L - Inputs'!AC706</f>
        <v>2008521</v>
      </c>
      <c r="AE62" s="19">
        <f>'P&amp;L - Inputs'!AD706</f>
        <v>1942886</v>
      </c>
      <c r="AF62" s="19">
        <f>'P&amp;L - Inputs'!AE706</f>
        <v>1685313</v>
      </c>
      <c r="AG62" s="19">
        <f>'P&amp;L - Inputs'!AF706</f>
        <v>1728487</v>
      </c>
      <c r="AH62" s="19">
        <f>'P&amp;L - Inputs'!AG706</f>
        <v>1619689</v>
      </c>
      <c r="AI62" s="19">
        <f>'P&amp;L - Inputs'!AH706</f>
        <v>1596295.9999999998</v>
      </c>
      <c r="AJ62" s="19">
        <f>'P&amp;L - Inputs'!AI706</f>
        <v>1880766.2258789861</v>
      </c>
      <c r="AK62" s="19">
        <f>'P&amp;L - Inputs'!AJ706</f>
        <v>1875209</v>
      </c>
      <c r="AL62" s="19">
        <f>'P&amp;L - Inputs'!AK706</f>
        <v>1911691.9999999998</v>
      </c>
      <c r="AM62" s="19">
        <f>'P&amp;L - Inputs'!AL706</f>
        <v>2006811.9999999998</v>
      </c>
      <c r="AN62" s="19">
        <f>'P&amp;L - Inputs'!AM706</f>
        <v>2016971</v>
      </c>
      <c r="AO62" s="19">
        <f>'P&amp;L - Inputs'!AN706</f>
        <v>1928748.0000000002</v>
      </c>
      <c r="AP62" s="19">
        <f>'P&amp;L - Inputs'!AO706</f>
        <v>1848884.9999999998</v>
      </c>
      <c r="AQ62" s="19">
        <f>'P&amp;L - Inputs'!AP706</f>
        <v>2019412</v>
      </c>
      <c r="AR62" s="19">
        <f>'P&amp;L - Inputs'!AQ706</f>
        <v>2162818</v>
      </c>
      <c r="AS62" s="19">
        <f>'P&amp;L - Inputs'!AR706</f>
        <v>2002004.9999999998</v>
      </c>
      <c r="AT62" s="19">
        <f>'P&amp;L - Inputs'!AS706</f>
        <v>1993786</v>
      </c>
      <c r="AU62" s="19">
        <f>'P&amp;L - Inputs'!AT706</f>
        <v>2042924</v>
      </c>
      <c r="AV62" s="19">
        <f>'P&amp;L - Inputs'!AU706</f>
        <v>1919973</v>
      </c>
      <c r="AW62" s="19">
        <f>'P&amp;L - Inputs'!AV706</f>
        <v>1949768</v>
      </c>
      <c r="AX62" s="19">
        <f>'P&amp;L - Inputs'!AW706</f>
        <v>2067805.0000000002</v>
      </c>
      <c r="AY62" s="19">
        <f>'P&amp;L - Inputs'!AX706</f>
        <v>2207590</v>
      </c>
      <c r="AZ62" s="19">
        <f>'P&amp;L - Inputs'!AY706</f>
        <v>2377051</v>
      </c>
      <c r="BA62" s="19">
        <f>'P&amp;L - Inputs'!AZ706</f>
        <v>3408454</v>
      </c>
      <c r="BB62" s="19">
        <f>'P&amp;L - Inputs'!BA706</f>
        <v>3337087.8377917651</v>
      </c>
      <c r="BC62" s="19">
        <f>'P&amp;L - Inputs'!BB706</f>
        <v>3305234.4751923075</v>
      </c>
      <c r="BD62" s="19">
        <f>'P&amp;L - Inputs'!BC706</f>
        <v>3244746.6188461529</v>
      </c>
      <c r="BE62" s="19">
        <f>'P&amp;L - Inputs'!BD706</f>
        <v>3571001.6860897439</v>
      </c>
      <c r="BF62" s="19">
        <f>'P&amp;L - Inputs'!BE706</f>
        <v>3747896.5322435899</v>
      </c>
      <c r="BG62" s="19">
        <f>'P&amp;L - Inputs'!BF706</f>
        <v>3800942.3546794867</v>
      </c>
      <c r="BH62" s="19">
        <f>'P&amp;L - Inputs'!BG706</f>
        <v>3783989.3546794895</v>
      </c>
      <c r="BI62" s="19">
        <f>'P&amp;L - Inputs'!BH706</f>
        <v>3986265.3004487203</v>
      </c>
      <c r="BJ62" s="19">
        <f>'P&amp;L - Inputs'!BI706</f>
        <v>4126089.5854487182</v>
      </c>
      <c r="BK62" s="19">
        <f>'P&amp;L - Inputs'!BJ706</f>
        <v>4170520.6246823901</v>
      </c>
      <c r="BL62" s="19">
        <f>'P&amp;L - Inputs'!BK706</f>
        <v>4526021.6615172056</v>
      </c>
      <c r="BM62" s="19">
        <f>'P&amp;L - Inputs'!BL706</f>
        <v>4493118.4780128207</v>
      </c>
      <c r="BN62" s="19">
        <f>'P&amp;L - Inputs'!BM706</f>
        <v>5250164.4780128207</v>
      </c>
      <c r="BO62" s="19">
        <f>'P&amp;L - Inputs'!BN706</f>
        <v>5656907.7694230769</v>
      </c>
      <c r="BP62" s="19">
        <f>'P&amp;L - Inputs'!BO706</f>
        <v>5692706.2087820508</v>
      </c>
      <c r="BQ62" s="19">
        <f>'P&amp;L - Inputs'!BP706</f>
        <v>5984134.5863461532</v>
      </c>
      <c r="BR62" s="19">
        <f>'P&amp;L - Inputs'!BQ706</f>
        <v>7065075.4596794881</v>
      </c>
      <c r="BS62" s="19">
        <f>'P&amp;L - Inputs'!BR706</f>
        <v>5411302.4763229918</v>
      </c>
      <c r="BT62" s="19">
        <f>'P&amp;L - Inputs'!BS706</f>
        <v>5046089.3115384616</v>
      </c>
      <c r="BU62" s="19">
        <f>'P&amp;L - Inputs'!BT706</f>
        <v>4577165.0398717951</v>
      </c>
      <c r="BV62" s="19">
        <f>'P&amp;L - Inputs'!BU706</f>
        <v>4342957.7082913928</v>
      </c>
      <c r="BW62" s="19">
        <f>'D2C - Retail'!AW114+'D2C Online'!BN78</f>
        <v>3829034.5194315184</v>
      </c>
      <c r="BX62" s="19">
        <f>'D2C - Retail'!AX114+'D2C Online'!BO78</f>
        <v>4474651.8074049037</v>
      </c>
      <c r="BY62" s="19">
        <f>'D2C - Retail'!AY114+'D2C Online'!BP78</f>
        <v>5048258.4705044962</v>
      </c>
      <c r="BZ62" s="19">
        <f>'D2C - Retail'!AZ114+'D2C Online'!BQ78</f>
        <v>5043012.0811906792</v>
      </c>
      <c r="CA62" s="19">
        <f>'D2C - Retail'!BA114+'D2C Online'!BR78</f>
        <v>4874016.9711896069</v>
      </c>
      <c r="CB62" s="19">
        <f>'D2C - Retail'!BB114+'D2C Online'!BS78</f>
        <v>4980592.766182065</v>
      </c>
      <c r="CC62" s="19">
        <f>'D2C - Retail'!BC114+'D2C Online'!BT78</f>
        <v>4944471.784648452</v>
      </c>
      <c r="CD62" s="19">
        <f>'D2C - Retail'!BD114+'D2C Online'!BU78</f>
        <v>4569697.1966437493</v>
      </c>
      <c r="CE62" s="19">
        <f>'D2C - Retail'!BE114+'D2C Online'!BV78</f>
        <v>5263389.2057185117</v>
      </c>
      <c r="CF62" s="19">
        <f>'D2C - Retail'!BF114+'D2C Online'!BW78</f>
        <v>5132113.7778107524</v>
      </c>
      <c r="CG62" s="19">
        <f>'D2C - Retail'!BG114+'D2C Online'!BX78</f>
        <v>4956714.8615725562</v>
      </c>
      <c r="CH62" s="19">
        <f>'D2C - Retail'!BH114+'D2C Online'!BY78</f>
        <v>5252374.1615563463</v>
      </c>
      <c r="CI62" s="19">
        <f>'D2C - Retail'!BI114+'D2C Online'!BZ78</f>
        <v>5650786.7945991047</v>
      </c>
      <c r="CJ62" s="19">
        <f>'D2C - Retail'!BJ114+'D2C Online'!CA78</f>
        <v>5243713.7141095735</v>
      </c>
      <c r="CK62" s="19">
        <f>'D2C - Retail'!BK114+'D2C Online'!CB78</f>
        <v>5783802.5170281399</v>
      </c>
      <c r="CL62" s="19">
        <f>'D2C - Retail'!BL114+'D2C Online'!CC78</f>
        <v>6284867.0360860797</v>
      </c>
      <c r="CM62" s="19">
        <f>'D2C - Retail'!BM114+'D2C Online'!CD78</f>
        <v>6581197.5582418647</v>
      </c>
      <c r="CN62" s="19">
        <f>'D2C - Retail'!BN114+'D2C Online'!CE78</f>
        <v>7091934.3922863817</v>
      </c>
      <c r="CO62" s="19">
        <f>'D2C - Retail'!BO114+'D2C Online'!CF78</f>
        <v>7247553.0948621593</v>
      </c>
      <c r="CP62" s="19">
        <f>'D2C - Retail'!BP114+'D2C Online'!CG78</f>
        <v>7497843.8255472938</v>
      </c>
      <c r="CQ62" s="19">
        <f>'D2C - Retail'!BQ114+'D2C Online'!CH78</f>
        <v>7361649.2066744138</v>
      </c>
      <c r="CR62" s="19">
        <f>'D2C - Retail'!BR114+'D2C Online'!CI78</f>
        <v>7401139.327531253</v>
      </c>
      <c r="CS62" s="19">
        <f>'D2C - Retail'!BS114+'D2C Online'!CJ78</f>
        <v>7048607.3115404788</v>
      </c>
      <c r="CT62" s="19">
        <f>'D2C - Retail'!BT114+'D2C Online'!CK78</f>
        <v>7362178.8897595126</v>
      </c>
      <c r="CU62" s="19">
        <f>'D2C - Retail'!BU114+'D2C Online'!CL78</f>
        <v>6583804.2806829941</v>
      </c>
      <c r="CV62" s="19">
        <f>'D2C - Retail'!BV114+'D2C Online'!CM78</f>
        <v>6561461.8249792438</v>
      </c>
      <c r="CW62" s="19">
        <f>'D2C - Retail'!BW114+'D2C Online'!CN78</f>
        <v>6552887.8296204386</v>
      </c>
      <c r="CX62" s="19">
        <f>'D2C - Retail'!BX114+'D2C Online'!CO78</f>
        <v>6843459.1284851711</v>
      </c>
      <c r="CY62" s="19">
        <f>'D2C - Retail'!BY114+'D2C Online'!CP78</f>
        <v>6298937.7259403765</v>
      </c>
      <c r="CZ62" s="19">
        <f>'D2C - Retail'!BZ114+'D2C Online'!CQ78</f>
        <v>6438214.8197886525</v>
      </c>
      <c r="DA62" s="19">
        <f>'D2C - Retail'!CA114+'D2C Online'!CR78</f>
        <v>6959928.653953271</v>
      </c>
      <c r="DB62" s="19">
        <f>'D2C - Retail'!CB114+'D2C Online'!CS78</f>
        <v>6718154.646202391</v>
      </c>
      <c r="DC62" s="19">
        <f>'D2C - Retail'!CC114+'D2C Online'!CT78</f>
        <v>8135974.7302873395</v>
      </c>
      <c r="DD62" s="19">
        <f>'D2C - Retail'!CD114+'D2C Online'!CU78</f>
        <v>8582611.9573475625</v>
      </c>
      <c r="DE62" s="19">
        <f>'D2C - Retail'!CE114+'D2C Online'!CV78</f>
        <v>7616279.5026241932</v>
      </c>
      <c r="DF62" s="19">
        <f>'D2C - Retail'!CF114+'D2C Online'!CW78</f>
        <v>8503624.3862974234</v>
      </c>
      <c r="DG62" s="19">
        <f>'D2C - Retail'!CG114+'D2C Online'!CX78</f>
        <v>7909569.1452810429</v>
      </c>
      <c r="DH62" s="19">
        <f>'D2C - Retail'!CH114+'D2C Online'!CY78</f>
        <v>7889484.7678711712</v>
      </c>
      <c r="DI62" s="19">
        <f>'D2C - Retail'!CI114+'D2C Online'!CZ78</f>
        <v>7861051.8126561483</v>
      </c>
      <c r="DJ62" s="19">
        <f>'D2C - Retail'!CJ114+'D2C Online'!DA78</f>
        <v>8211534.2780993879</v>
      </c>
      <c r="DK62" s="19">
        <f>'D2C - Retail'!CK114+'D2C Online'!DB78</f>
        <v>7548036.2728464119</v>
      </c>
      <c r="DL62" s="19">
        <f>'D2C - Retail'!CL114+'D2C Online'!DC78</f>
        <v>7699248.4463065453</v>
      </c>
      <c r="DM62" s="19">
        <f>'D2C - Retail'!CM114+'D2C Online'!DD78</f>
        <v>8323896.9214875288</v>
      </c>
      <c r="DN62" s="19">
        <f>'D2C - Retail'!CN114+'D2C Online'!DE78</f>
        <v>8012417.7958875429</v>
      </c>
      <c r="DO62" s="19">
        <f>'D2C - Retail'!CO114+'D2C Online'!DF78</f>
        <v>9688523.383910723</v>
      </c>
      <c r="DP62" s="19">
        <f>'D2C - Retail'!CP114+'D2C Online'!DG78</f>
        <v>10201215.474004962</v>
      </c>
      <c r="DQ62" s="19">
        <f>'D2C - Retail'!CQ114+'D2C Online'!DH78</f>
        <v>9034393.7337090522</v>
      </c>
      <c r="DR62" s="19">
        <f>'D2C - Retail'!CR114+'D2C Online'!DI78</f>
        <v>10038161.327552974</v>
      </c>
      <c r="DS62" s="19">
        <f>'D2C - Retail'!CS114+'D2C Online'!DJ78</f>
        <v>9209354.7860516347</v>
      </c>
      <c r="DT62" s="19">
        <f>'D2C - Retail'!CT114+'D2C Online'!DK78</f>
        <v>9184518.2191824745</v>
      </c>
      <c r="DU62" s="19">
        <f>'D2C - Retail'!CU114+'D2C Online'!DL78</f>
        <v>9149496.1471732743</v>
      </c>
      <c r="DV62" s="19">
        <f>'D2C - Retail'!CV114+'D2C Online'!DM78</f>
        <v>9549910.1110784337</v>
      </c>
      <c r="DW62" s="19">
        <f>'D2C - Retail'!CW114+'D2C Online'!DN78</f>
        <v>8778240.2208386511</v>
      </c>
      <c r="DX62" s="19">
        <f>'D2C - Retail'!CX114+'D2C Online'!DO78</f>
        <v>8964166.0460113622</v>
      </c>
      <c r="DY62" s="19">
        <f>'D2C - Retail'!CY114+'D2C Online'!DP78</f>
        <v>9668389.71264874</v>
      </c>
      <c r="DZ62" s="19">
        <f>'D2C - Retail'!CZ114+'D2C Online'!DQ78</f>
        <v>9312021.6538671181</v>
      </c>
      <c r="EA62" s="19">
        <f>'D2C - Retail'!DA114+'D2C Online'!DR78</f>
        <v>11265585.128905701</v>
      </c>
      <c r="EB62" s="19">
        <f>'D2C - Retail'!DB114+'D2C Online'!DS78</f>
        <v>11867554.003577124</v>
      </c>
      <c r="EC62" s="19">
        <f>'D2C - Retail'!DC114+'D2C Online'!DT78</f>
        <v>10498030.14705492</v>
      </c>
      <c r="ED62" s="19">
        <f>'D2C - Retail'!DD114+'D2C Online'!DU78</f>
        <v>11657215.881563999</v>
      </c>
      <c r="EE62" s="168"/>
      <c r="EF62" s="165">
        <f t="shared" si="271"/>
        <v>13189660.764212416</v>
      </c>
      <c r="EG62" s="165">
        <f t="shared" si="272"/>
        <v>16599778.456217948</v>
      </c>
      <c r="EH62" s="165">
        <f t="shared" si="273"/>
        <v>18460512.522348635</v>
      </c>
      <c r="EI62" s="165">
        <f t="shared" si="274"/>
        <v>13966212.059701649</v>
      </c>
      <c r="EJ62" s="165">
        <f t="shared" si="275"/>
        <v>13351944.797340918</v>
      </c>
      <c r="EK62" s="165">
        <f t="shared" si="276"/>
        <v>19957998.986614328</v>
      </c>
      <c r="EL62" s="165">
        <f t="shared" si="277"/>
        <v>14777558.187010713</v>
      </c>
      <c r="EM62" s="165">
        <f t="shared" si="278"/>
        <v>15341202.800939655</v>
      </c>
      <c r="EN62" s="165">
        <f t="shared" si="279"/>
        <v>16678303.025736818</v>
      </c>
      <c r="EO62" s="165">
        <f t="shared" si="280"/>
        <v>19957998.986614328</v>
      </c>
      <c r="EP62" s="165">
        <f t="shared" si="281"/>
        <v>22107046.127083868</v>
      </c>
      <c r="EQ62" s="165">
        <f t="shared" si="282"/>
        <v>21811925.528831244</v>
      </c>
      <c r="ER62" s="165">
        <f t="shared" si="283"/>
        <v>19698153.935282677</v>
      </c>
      <c r="ES62" s="165">
        <f t="shared" si="284"/>
        <v>19580611.674214199</v>
      </c>
      <c r="ET62" s="165">
        <f t="shared" si="285"/>
        <v>21814058.030443002</v>
      </c>
      <c r="EU62" s="165">
        <f t="shared" si="286"/>
        <v>24702515.846269179</v>
      </c>
      <c r="EV62" s="165">
        <f t="shared" si="287"/>
        <v>23660105.725808363</v>
      </c>
      <c r="EW62" s="165">
        <f t="shared" si="288"/>
        <v>23458818.997252345</v>
      </c>
      <c r="EX62" s="165">
        <f t="shared" si="289"/>
        <v>26024838.101285793</v>
      </c>
      <c r="EY62" s="165">
        <f t="shared" si="290"/>
        <v>29273770.535266988</v>
      </c>
      <c r="EZ62" s="165">
        <f t="shared" si="83"/>
        <v>27543369.152407382</v>
      </c>
      <c r="FA62" s="165">
        <f t="shared" si="84"/>
        <v>27292316.377928447</v>
      </c>
      <c r="FB62" s="165">
        <f t="shared" si="85"/>
        <v>30245996.495421559</v>
      </c>
      <c r="FC62" s="165">
        <f t="shared" si="86"/>
        <v>34022800.032196045</v>
      </c>
      <c r="FE62" s="165">
        <f t="shared" si="87"/>
        <v>62216163.802480653</v>
      </c>
      <c r="FF62" s="165">
        <f t="shared" si="88"/>
        <v>63428704.771905616</v>
      </c>
      <c r="FG62" s="165">
        <f t="shared" si="89"/>
        <v>80555273.668266267</v>
      </c>
      <c r="FH62" s="165">
        <f t="shared" si="90"/>
        <v>85795339.48620905</v>
      </c>
      <c r="FI62" s="165">
        <f t="shared" si="91"/>
        <v>102417533.35961351</v>
      </c>
      <c r="FJ62" s="165">
        <f t="shared" si="92"/>
        <v>119104482.05795343</v>
      </c>
    </row>
    <row r="63" spans="2:166" x14ac:dyDescent="0.2">
      <c r="B63" s="22" t="s">
        <v>27</v>
      </c>
      <c r="C63" s="20">
        <f>C51/C36</f>
        <v>0.88304394313521262</v>
      </c>
      <c r="D63" s="20">
        <f t="shared" ref="D63:BO63" si="291">D51/D36</f>
        <v>0.90018601686413435</v>
      </c>
      <c r="E63" s="20">
        <f t="shared" si="291"/>
        <v>0.9329844137615505</v>
      </c>
      <c r="F63" s="20">
        <f t="shared" si="291"/>
        <v>0.97791347458873568</v>
      </c>
      <c r="G63" s="20">
        <f t="shared" si="291"/>
        <v>0.97816933269923378</v>
      </c>
      <c r="H63" s="20">
        <f t="shared" si="291"/>
        <v>0.93962670708202656</v>
      </c>
      <c r="I63" s="20">
        <f t="shared" si="291"/>
        <v>0.84253009188192163</v>
      </c>
      <c r="J63" s="20">
        <f t="shared" si="291"/>
        <v>0.75061286655891213</v>
      </c>
      <c r="K63" s="20">
        <f t="shared" si="291"/>
        <v>0.81266691822064296</v>
      </c>
      <c r="L63" s="20">
        <f t="shared" si="291"/>
        <v>0.83591958769373564</v>
      </c>
      <c r="M63" s="20">
        <f t="shared" si="291"/>
        <v>0.84865635677715268</v>
      </c>
      <c r="N63" s="20">
        <f t="shared" si="291"/>
        <v>0.78698035073792749</v>
      </c>
      <c r="O63" s="20">
        <f t="shared" si="291"/>
        <v>0.84938530498261267</v>
      </c>
      <c r="P63" s="20">
        <f t="shared" si="291"/>
        <v>0.87770102453641052</v>
      </c>
      <c r="Q63" s="20">
        <f t="shared" si="291"/>
        <v>0.93315418029772323</v>
      </c>
      <c r="R63" s="20">
        <f t="shared" si="291"/>
        <v>0.86399974228039322</v>
      </c>
      <c r="S63" s="20">
        <f t="shared" si="291"/>
        <v>0.85513599356229486</v>
      </c>
      <c r="T63" s="20">
        <f t="shared" si="291"/>
        <v>0.90938685013179243</v>
      </c>
      <c r="U63" s="20">
        <f t="shared" si="291"/>
        <v>0.82986484585965559</v>
      </c>
      <c r="V63" s="20">
        <f t="shared" si="291"/>
        <v>1.0326938365266136</v>
      </c>
      <c r="W63" s="20">
        <f t="shared" si="291"/>
        <v>0.93200834554250533</v>
      </c>
      <c r="X63" s="20">
        <f t="shared" si="291"/>
        <v>0.94316709589158021</v>
      </c>
      <c r="Y63" s="20">
        <f t="shared" si="291"/>
        <v>1.0638361830705925</v>
      </c>
      <c r="Z63" s="20">
        <f t="shared" si="291"/>
        <v>0.97761087496217658</v>
      </c>
      <c r="AA63" s="20">
        <f t="shared" si="291"/>
        <v>-0.82345063719414835</v>
      </c>
      <c r="AB63" s="20">
        <f t="shared" si="291"/>
        <v>0.91742162439560915</v>
      </c>
      <c r="AC63" s="20">
        <f t="shared" si="291"/>
        <v>0.8361905751558617</v>
      </c>
      <c r="AD63" s="20">
        <f t="shared" si="291"/>
        <v>0.80715404094310172</v>
      </c>
      <c r="AE63" s="20">
        <f t="shared" si="291"/>
        <v>0.85285320358195682</v>
      </c>
      <c r="AF63" s="20">
        <f t="shared" si="291"/>
        <v>0.89734400709856932</v>
      </c>
      <c r="AG63" s="20">
        <f t="shared" si="291"/>
        <v>0.88024954238147568</v>
      </c>
      <c r="AH63" s="20">
        <f t="shared" si="291"/>
        <v>0.87489304318309502</v>
      </c>
      <c r="AI63" s="20">
        <f t="shared" si="291"/>
        <v>0.82120789554273188</v>
      </c>
      <c r="AJ63" s="20">
        <f t="shared" si="291"/>
        <v>0.8445043369791615</v>
      </c>
      <c r="AK63" s="20">
        <f t="shared" si="291"/>
        <v>0.83809016651736845</v>
      </c>
      <c r="AL63" s="20">
        <f t="shared" si="291"/>
        <v>0.82023784905283903</v>
      </c>
      <c r="AM63" s="20">
        <f t="shared" si="291"/>
        <v>0.87572991066025563</v>
      </c>
      <c r="AN63" s="20">
        <f t="shared" si="291"/>
        <v>0.98528397470203932</v>
      </c>
      <c r="AO63" s="20">
        <f t="shared" si="291"/>
        <v>0.913872117685819</v>
      </c>
      <c r="AP63" s="20">
        <f t="shared" si="291"/>
        <v>0.89268039311541525</v>
      </c>
      <c r="AQ63" s="20">
        <f t="shared" si="291"/>
        <v>0.89786811809701128</v>
      </c>
      <c r="AR63" s="20">
        <f t="shared" si="291"/>
        <v>0.90192901424663774</v>
      </c>
      <c r="AS63" s="20">
        <f t="shared" si="291"/>
        <v>0.86751750699014785</v>
      </c>
      <c r="AT63" s="20">
        <f t="shared" si="291"/>
        <v>0.81780784098052095</v>
      </c>
      <c r="AU63" s="20">
        <f t="shared" si="291"/>
        <v>0.83574085751469185</v>
      </c>
      <c r="AV63" s="20">
        <f t="shared" si="291"/>
        <v>0.84060715859747925</v>
      </c>
      <c r="AW63" s="20">
        <f t="shared" si="291"/>
        <v>0.85051480063359008</v>
      </c>
      <c r="AX63" s="20">
        <f t="shared" si="291"/>
        <v>0.87030614182811183</v>
      </c>
      <c r="AY63" s="20">
        <f t="shared" si="291"/>
        <v>0.86647424274419971</v>
      </c>
      <c r="AZ63" s="20">
        <f t="shared" si="291"/>
        <v>0.86496495937575335</v>
      </c>
      <c r="BA63" s="20">
        <f t="shared" si="291"/>
        <v>0.85732946615318406</v>
      </c>
      <c r="BB63" s="20">
        <f t="shared" si="291"/>
        <v>0.86285166169646776</v>
      </c>
      <c r="BC63" s="20">
        <f t="shared" si="291"/>
        <v>0.87742131405469015</v>
      </c>
      <c r="BD63" s="20">
        <f t="shared" si="291"/>
        <v>0.89577808348853327</v>
      </c>
      <c r="BE63" s="20">
        <f t="shared" si="291"/>
        <v>0.8673431160095082</v>
      </c>
      <c r="BF63" s="20">
        <f t="shared" si="291"/>
        <v>0.87678462244863287</v>
      </c>
      <c r="BG63" s="20">
        <f t="shared" si="291"/>
        <v>0.86779912405762949</v>
      </c>
      <c r="BH63" s="20">
        <f t="shared" si="291"/>
        <v>0.85502410587908118</v>
      </c>
      <c r="BI63" s="20">
        <f t="shared" si="291"/>
        <v>0.84939358739694826</v>
      </c>
      <c r="BJ63" s="20">
        <f t="shared" si="291"/>
        <v>0.85474868130552772</v>
      </c>
      <c r="BK63" s="20">
        <f t="shared" si="291"/>
        <v>0.8718796078660267</v>
      </c>
      <c r="BL63" s="20">
        <f t="shared" si="291"/>
        <v>0.8592071130038802</v>
      </c>
      <c r="BM63" s="20">
        <f t="shared" si="291"/>
        <v>0.84570004355115358</v>
      </c>
      <c r="BN63" s="20">
        <f t="shared" si="291"/>
        <v>0.84668029808870959</v>
      </c>
      <c r="BO63" s="20">
        <f t="shared" si="291"/>
        <v>0.84318484582592934</v>
      </c>
      <c r="BP63" s="20">
        <f t="shared" ref="BP63:EM63" si="292">BP51/BP36</f>
        <v>0.87201384687032624</v>
      </c>
      <c r="BQ63" s="20">
        <f t="shared" si="292"/>
        <v>0.86931263972921369</v>
      </c>
      <c r="BR63" s="20">
        <f t="shared" si="292"/>
        <v>0.85300294870085935</v>
      </c>
      <c r="BS63" s="20">
        <f t="shared" si="292"/>
        <v>0.84292997527184022</v>
      </c>
      <c r="BT63" s="20">
        <f t="shared" si="292"/>
        <v>0.83009387285171077</v>
      </c>
      <c r="BU63" s="20">
        <f t="shared" si="292"/>
        <v>0.79034777573360615</v>
      </c>
      <c r="BV63" s="20">
        <f t="shared" si="292"/>
        <v>0.79985031273448226</v>
      </c>
      <c r="BW63" s="20">
        <f t="shared" si="292"/>
        <v>0.81553591443909246</v>
      </c>
      <c r="BX63" s="20">
        <f t="shared" si="292"/>
        <v>0.80617866242221714</v>
      </c>
      <c r="BY63" s="20">
        <f t="shared" si="292"/>
        <v>0.80061280685827818</v>
      </c>
      <c r="BZ63" s="20">
        <f t="shared" si="292"/>
        <v>0.8048534103043874</v>
      </c>
      <c r="CA63" s="20">
        <f t="shared" si="292"/>
        <v>0.80547984244694726</v>
      </c>
      <c r="CB63" s="20">
        <f t="shared" si="292"/>
        <v>0.81512663871591751</v>
      </c>
      <c r="CC63" s="20">
        <f t="shared" si="292"/>
        <v>0.80677783923865054</v>
      </c>
      <c r="CD63" s="20">
        <f t="shared" si="292"/>
        <v>0.80224335496040411</v>
      </c>
      <c r="CE63" s="20">
        <f t="shared" si="292"/>
        <v>0.81183824290248663</v>
      </c>
      <c r="CF63" s="20">
        <f t="shared" si="292"/>
        <v>0.81855537975497283</v>
      </c>
      <c r="CG63" s="20">
        <f t="shared" si="292"/>
        <v>0.82361476607777506</v>
      </c>
      <c r="CH63" s="20">
        <f t="shared" si="292"/>
        <v>0.81651328094180631</v>
      </c>
      <c r="CI63" s="20">
        <f t="shared" si="292"/>
        <v>0.81666855225558854</v>
      </c>
      <c r="CJ63" s="20">
        <f t="shared" si="292"/>
        <v>0.81767575973666151</v>
      </c>
      <c r="CK63" s="20">
        <f t="shared" si="292"/>
        <v>0.80549898744458581</v>
      </c>
      <c r="CL63" s="20">
        <f t="shared" si="292"/>
        <v>0.80975591262664015</v>
      </c>
      <c r="CM63" s="20">
        <f t="shared" si="292"/>
        <v>0.79456772395337705</v>
      </c>
      <c r="CN63" s="20">
        <f t="shared" si="292"/>
        <v>0.81758686448057682</v>
      </c>
      <c r="CO63" s="20">
        <f t="shared" si="292"/>
        <v>0.80341714858809254</v>
      </c>
      <c r="CP63" s="20">
        <f t="shared" si="292"/>
        <v>0.80832306029757361</v>
      </c>
      <c r="CQ63" s="20">
        <f t="shared" si="292"/>
        <v>0.82612568273815667</v>
      </c>
      <c r="CR63" s="20">
        <f t="shared" si="292"/>
        <v>0.82708328236146123</v>
      </c>
      <c r="CS63" s="20">
        <f t="shared" si="292"/>
        <v>0.83397553012529269</v>
      </c>
      <c r="CT63" s="20">
        <f t="shared" si="292"/>
        <v>0.84608239770827365</v>
      </c>
      <c r="CU63" s="20">
        <f t="shared" si="292"/>
        <v>0.81798398739600264</v>
      </c>
      <c r="CV63" s="20">
        <f t="shared" si="292"/>
        <v>0.81819225360532832</v>
      </c>
      <c r="CW63" s="20">
        <f t="shared" si="292"/>
        <v>0.818220750293157</v>
      </c>
      <c r="CX63" s="20">
        <f t="shared" si="292"/>
        <v>0.81777375741980651</v>
      </c>
      <c r="CY63" s="20">
        <f t="shared" si="292"/>
        <v>0.81824043714462613</v>
      </c>
      <c r="CZ63" s="20">
        <f t="shared" si="292"/>
        <v>0.81927275766210073</v>
      </c>
      <c r="DA63" s="20">
        <f t="shared" si="292"/>
        <v>0.81760468536277564</v>
      </c>
      <c r="DB63" s="20">
        <f t="shared" si="292"/>
        <v>0.81819115741651727</v>
      </c>
      <c r="DC63" s="20">
        <f t="shared" si="292"/>
        <v>0.81813197790605441</v>
      </c>
      <c r="DD63" s="20">
        <f t="shared" si="292"/>
        <v>0.81838669545099207</v>
      </c>
      <c r="DE63" s="20">
        <f t="shared" si="292"/>
        <v>0.81805277973114343</v>
      </c>
      <c r="DF63" s="20">
        <f t="shared" si="292"/>
        <v>0.81748561940598252</v>
      </c>
      <c r="DG63" s="20">
        <f t="shared" si="292"/>
        <v>0.81892881121777694</v>
      </c>
      <c r="DH63" s="20">
        <f t="shared" si="292"/>
        <v>0.81912619415219701</v>
      </c>
      <c r="DI63" s="20">
        <f t="shared" si="292"/>
        <v>0.81918270878589028</v>
      </c>
      <c r="DJ63" s="20">
        <f t="shared" si="292"/>
        <v>0.8187330777244719</v>
      </c>
      <c r="DK63" s="20">
        <f t="shared" si="292"/>
        <v>0.81921074563635665</v>
      </c>
      <c r="DL63" s="20">
        <f t="shared" si="292"/>
        <v>0.82028084423907455</v>
      </c>
      <c r="DM63" s="20">
        <f t="shared" si="292"/>
        <v>0.81859996587964168</v>
      </c>
      <c r="DN63" s="20">
        <f t="shared" si="292"/>
        <v>0.81922350307476577</v>
      </c>
      <c r="DO63" s="20">
        <f t="shared" si="292"/>
        <v>0.81920221660533288</v>
      </c>
      <c r="DP63" s="20">
        <f t="shared" si="292"/>
        <v>0.81949169482548101</v>
      </c>
      <c r="DQ63" s="20">
        <f t="shared" si="292"/>
        <v>0.81916279227618161</v>
      </c>
      <c r="DR63" s="20">
        <f t="shared" si="292"/>
        <v>0.81865127748900446</v>
      </c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168"/>
      <c r="EF63" s="20">
        <f t="shared" si="292"/>
        <v>0.85872133764192149</v>
      </c>
      <c r="EG63" s="20">
        <f t="shared" si="292"/>
        <v>0.85414683602434671</v>
      </c>
      <c r="EH63" s="20">
        <f t="shared" si="292"/>
        <v>0.85640280378468048</v>
      </c>
      <c r="EI63" s="20">
        <f t="shared" si="292"/>
        <v>0.80758033865433998</v>
      </c>
      <c r="EJ63" s="20">
        <f t="shared" si="292"/>
        <v>0.80722713064223106</v>
      </c>
      <c r="EK63" s="20">
        <f t="shared" si="292"/>
        <v>0.80771123533521794</v>
      </c>
      <c r="EL63" s="20">
        <f t="shared" si="292"/>
        <v>0.80723702732014047</v>
      </c>
      <c r="EM63" s="20">
        <f t="shared" si="292"/>
        <v>0.81928477452282067</v>
      </c>
      <c r="EN63" s="20">
        <f t="shared" ref="EN63:FJ63" si="293">EN51/EN36</f>
        <v>0.81327357431249803</v>
      </c>
      <c r="EO63" s="20">
        <f t="shared" si="293"/>
        <v>0.80771123533521794</v>
      </c>
      <c r="EP63" s="20">
        <f t="shared" si="293"/>
        <v>0.81335184306792763</v>
      </c>
      <c r="EQ63" s="20">
        <f t="shared" si="293"/>
        <v>0.83600079943627637</v>
      </c>
      <c r="ER63" s="20">
        <f t="shared" si="293"/>
        <v>0.8181317500896309</v>
      </c>
      <c r="ES63" s="20">
        <f t="shared" si="293"/>
        <v>0.81840389165921412</v>
      </c>
      <c r="ET63" s="20">
        <f t="shared" si="293"/>
        <v>0.81797976749085011</v>
      </c>
      <c r="EU63" s="20">
        <f t="shared" si="293"/>
        <v>0.81796883682309274</v>
      </c>
      <c r="EV63" s="20">
        <f t="shared" si="293"/>
        <v>0.81907859746898659</v>
      </c>
      <c r="EW63" s="20">
        <f t="shared" si="293"/>
        <v>0.81938134455074341</v>
      </c>
      <c r="EX63" s="20">
        <f t="shared" si="293"/>
        <v>0.81901355888348004</v>
      </c>
      <c r="EY63" s="20">
        <f t="shared" si="293"/>
        <v>0.81909804626658689</v>
      </c>
      <c r="EZ63" s="20">
        <f t="shared" si="293"/>
        <v>0.82162654311978423</v>
      </c>
      <c r="FA63" s="20">
        <f t="shared" si="293"/>
        <v>0.82192918475897858</v>
      </c>
      <c r="FB63" s="20">
        <f t="shared" si="293"/>
        <v>0.82158593344252029</v>
      </c>
      <c r="FC63" s="20">
        <f t="shared" si="293"/>
        <v>0.82167495341995023</v>
      </c>
      <c r="FE63" s="20">
        <f t="shared" si="293"/>
        <v>0.84520283725660106</v>
      </c>
      <c r="FF63" s="20">
        <f t="shared" si="293"/>
        <v>0.81073286721807292</v>
      </c>
      <c r="FG63" s="20">
        <f t="shared" si="293"/>
        <v>0.81911025386870129</v>
      </c>
      <c r="FH63" s="20">
        <f t="shared" si="293"/>
        <v>0.81810727096823366</v>
      </c>
      <c r="FI63" s="20">
        <f t="shared" si="293"/>
        <v>0.81913633865398561</v>
      </c>
      <c r="FJ63" s="20">
        <f t="shared" si="293"/>
        <v>0.82169883043090253</v>
      </c>
    </row>
    <row r="64" spans="2:166" x14ac:dyDescent="0.2">
      <c r="B64" s="22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68"/>
      <c r="EF64" s="165"/>
      <c r="EG64" s="165"/>
      <c r="EH64" s="165"/>
      <c r="EI64" s="165"/>
      <c r="EJ64" s="165"/>
      <c r="EK64" s="165"/>
      <c r="EL64" s="165"/>
      <c r="EM64" s="165"/>
      <c r="EN64" s="165"/>
      <c r="EO64" s="165"/>
      <c r="EP64" s="165"/>
      <c r="EQ64" s="165"/>
      <c r="ER64" s="165"/>
      <c r="ES64" s="165"/>
      <c r="ET64" s="165"/>
      <c r="EU64" s="165"/>
      <c r="EV64" s="165"/>
      <c r="EW64" s="165"/>
      <c r="EX64" s="165"/>
      <c r="EY64" s="165"/>
      <c r="EZ64" s="165">
        <f t="shared" si="83"/>
        <v>0</v>
      </c>
      <c r="FA64" s="165">
        <f t="shared" si="84"/>
        <v>0</v>
      </c>
      <c r="FB64" s="165">
        <f t="shared" si="85"/>
        <v>0</v>
      </c>
      <c r="FC64" s="165">
        <f t="shared" si="86"/>
        <v>0</v>
      </c>
      <c r="FE64" s="165"/>
      <c r="FF64" s="165"/>
      <c r="FG64" s="165"/>
      <c r="FH64" s="165"/>
      <c r="FI64" s="165"/>
      <c r="FJ64" s="165"/>
    </row>
    <row r="65" spans="2:166" s="30" customFormat="1" x14ac:dyDescent="0.2">
      <c r="B65" s="193" t="s">
        <v>28</v>
      </c>
      <c r="C65" s="197">
        <f t="shared" ref="C65:AH65" si="294">C36-SUM(C56:C60)</f>
        <v>1106785.9642857146</v>
      </c>
      <c r="D65" s="197">
        <f t="shared" si="294"/>
        <v>1085974.0210169638</v>
      </c>
      <c r="E65" s="197">
        <f t="shared" si="294"/>
        <v>815722.624071314</v>
      </c>
      <c r="F65" s="197">
        <f t="shared" si="294"/>
        <v>723982.76906900108</v>
      </c>
      <c r="G65" s="197">
        <f t="shared" si="294"/>
        <v>682843.05561159365</v>
      </c>
      <c r="H65" s="197">
        <f t="shared" si="294"/>
        <v>855278.13835970033</v>
      </c>
      <c r="I65" s="197">
        <f t="shared" si="294"/>
        <v>1592711.3838428585</v>
      </c>
      <c r="J65" s="197">
        <f t="shared" si="294"/>
        <v>2795469.011785714</v>
      </c>
      <c r="K65" s="197">
        <f t="shared" si="294"/>
        <v>2919116.422857143</v>
      </c>
      <c r="L65" s="197">
        <f t="shared" si="294"/>
        <v>3000016.0243196413</v>
      </c>
      <c r="M65" s="197">
        <f t="shared" si="294"/>
        <v>3975218.9903571438</v>
      </c>
      <c r="N65" s="197">
        <f t="shared" si="294"/>
        <v>7539955.1235714331</v>
      </c>
      <c r="O65" s="197">
        <f t="shared" si="294"/>
        <v>7193082.424999997</v>
      </c>
      <c r="P65" s="197">
        <f t="shared" si="294"/>
        <v>6917536.6289285719</v>
      </c>
      <c r="Q65" s="197">
        <f t="shared" si="294"/>
        <v>4718214.8946428597</v>
      </c>
      <c r="R65" s="197">
        <f t="shared" si="294"/>
        <v>8586659.4060714245</v>
      </c>
      <c r="S65" s="197">
        <f t="shared" si="294"/>
        <v>6495754.4082142897</v>
      </c>
      <c r="T65" s="197">
        <f t="shared" si="294"/>
        <v>4612108.0435714275</v>
      </c>
      <c r="U65" s="197">
        <f t="shared" si="294"/>
        <v>6850347.467857141</v>
      </c>
      <c r="V65" s="197">
        <f t="shared" si="294"/>
        <v>1191268.8971428592</v>
      </c>
      <c r="W65" s="197">
        <f t="shared" si="294"/>
        <v>3945041.2452552356</v>
      </c>
      <c r="X65" s="197">
        <f t="shared" si="294"/>
        <v>3657029.8357571475</v>
      </c>
      <c r="Y65" s="197">
        <f t="shared" si="294"/>
        <v>972107.81913953274</v>
      </c>
      <c r="Z65" s="197">
        <f t="shared" si="294"/>
        <v>1974961.3174585067</v>
      </c>
      <c r="AA65" s="197">
        <f t="shared" si="294"/>
        <v>-1534186.8955351624</v>
      </c>
      <c r="AB65" s="197">
        <f t="shared" si="294"/>
        <v>3744726.1055841446</v>
      </c>
      <c r="AC65" s="197">
        <f t="shared" si="294"/>
        <v>6738718.7336426154</v>
      </c>
      <c r="AD65" s="197">
        <f t="shared" si="294"/>
        <v>7548980.7831917107</v>
      </c>
      <c r="AE65" s="197">
        <f t="shared" si="294"/>
        <v>6792443.3688934408</v>
      </c>
      <c r="AF65" s="197">
        <f t="shared" si="294"/>
        <v>5801606.8430083804</v>
      </c>
      <c r="AG65" s="197">
        <f t="shared" si="294"/>
        <v>6998989.6778702214</v>
      </c>
      <c r="AH65" s="197">
        <f t="shared" si="294"/>
        <v>8777685.5486616939</v>
      </c>
      <c r="AI65" s="197">
        <f t="shared" ref="AI65:BN65" si="295">AI36-SUM(AI56:AI60)</f>
        <v>17956355.639518052</v>
      </c>
      <c r="AJ65" s="197">
        <f t="shared" si="295"/>
        <v>19076718.856440663</v>
      </c>
      <c r="AK65" s="197">
        <f t="shared" si="295"/>
        <v>16215922.276587754</v>
      </c>
      <c r="AL65" s="197">
        <f t="shared" si="295"/>
        <v>17379526.525130495</v>
      </c>
      <c r="AM65" s="197">
        <f t="shared" si="295"/>
        <v>11172682.514574595</v>
      </c>
      <c r="AN65" s="197">
        <f t="shared" si="295"/>
        <v>4468254.7026791312</v>
      </c>
      <c r="AO65" s="197">
        <f t="shared" si="295"/>
        <v>9819198.5759218037</v>
      </c>
      <c r="AP65" s="197">
        <f t="shared" si="295"/>
        <v>12531132.67880559</v>
      </c>
      <c r="AQ65" s="197">
        <f t="shared" si="295"/>
        <v>13582587.245536759</v>
      </c>
      <c r="AR65" s="197">
        <f t="shared" si="295"/>
        <v>15426907.18635568</v>
      </c>
      <c r="AS65" s="197">
        <f t="shared" si="295"/>
        <v>21633221.642254144</v>
      </c>
      <c r="AT65" s="197">
        <f t="shared" si="295"/>
        <v>34167715.554558575</v>
      </c>
      <c r="AU65" s="197">
        <f t="shared" si="295"/>
        <v>35485960.362884372</v>
      </c>
      <c r="AV65" s="197">
        <f t="shared" si="295"/>
        <v>35591602.681510746</v>
      </c>
      <c r="AW65" s="197">
        <f t="shared" si="295"/>
        <v>34893601.147518784</v>
      </c>
      <c r="AX65" s="197">
        <f t="shared" si="295"/>
        <v>31630505.899228066</v>
      </c>
      <c r="AY65" s="197">
        <f t="shared" si="295"/>
        <v>26013642.2075091</v>
      </c>
      <c r="AZ65" s="197">
        <f t="shared" si="295"/>
        <v>30855657.61441043</v>
      </c>
      <c r="BA65" s="197">
        <f t="shared" si="295"/>
        <v>37602364.871898144</v>
      </c>
      <c r="BB65" s="197">
        <f t="shared" si="295"/>
        <v>35386694.442933679</v>
      </c>
      <c r="BC65" s="197">
        <f t="shared" si="295"/>
        <v>31273314.454883128</v>
      </c>
      <c r="BD65" s="197">
        <f t="shared" si="295"/>
        <v>27033277.354404092</v>
      </c>
      <c r="BE65" s="197">
        <f t="shared" si="295"/>
        <v>38142349.522972018</v>
      </c>
      <c r="BF65" s="197">
        <f t="shared" si="295"/>
        <v>37299732.837181121</v>
      </c>
      <c r="BG65" s="197">
        <f t="shared" si="295"/>
        <v>44873657.313357055</v>
      </c>
      <c r="BH65" s="197">
        <f t="shared" si="295"/>
        <v>53679079.283885419</v>
      </c>
      <c r="BI65" s="197">
        <f t="shared" si="295"/>
        <v>58651776.823003411</v>
      </c>
      <c r="BJ65" s="197">
        <f t="shared" si="295"/>
        <v>75807337.927992702</v>
      </c>
      <c r="BK65" s="197">
        <f t="shared" si="295"/>
        <v>68175924.73260957</v>
      </c>
      <c r="BL65" s="197">
        <f t="shared" si="295"/>
        <v>74073808.514222026</v>
      </c>
      <c r="BM65" s="197">
        <f t="shared" si="295"/>
        <v>84746615.615755022</v>
      </c>
      <c r="BN65" s="197">
        <f t="shared" si="295"/>
        <v>70446955.645836413</v>
      </c>
      <c r="BO65" s="197">
        <f t="shared" ref="BO65:BV65" si="296">BO36-SUM(BO56:BO60)</f>
        <v>76377115.557014227</v>
      </c>
      <c r="BP65" s="197">
        <f t="shared" si="296"/>
        <v>64961088.995715976</v>
      </c>
      <c r="BQ65" s="197">
        <f t="shared" si="296"/>
        <v>96135812.134910703</v>
      </c>
      <c r="BR65" s="197">
        <f t="shared" si="296"/>
        <v>91880293.315517902</v>
      </c>
      <c r="BS65" s="197">
        <f t="shared" si="296"/>
        <v>85925669.156441689</v>
      </c>
      <c r="BT65" s="197">
        <f t="shared" si="296"/>
        <v>87410512.910423517</v>
      </c>
      <c r="BU65" s="197">
        <f t="shared" si="296"/>
        <v>87950158.050193071</v>
      </c>
      <c r="BV65" s="197">
        <f t="shared" si="296"/>
        <v>105610517.14447856</v>
      </c>
      <c r="BW65" s="197">
        <f t="shared" ref="BW65:DR65" si="297">BW36-SUM(BW56:BW60)</f>
        <v>98919267.787859201</v>
      </c>
      <c r="BX65" s="197">
        <f t="shared" si="297"/>
        <v>107129122.86496693</v>
      </c>
      <c r="BY65" s="197">
        <f t="shared" si="297"/>
        <v>116356425.12095612</v>
      </c>
      <c r="BZ65" s="197">
        <f t="shared" si="297"/>
        <v>112525658.14011014</v>
      </c>
      <c r="CA65" s="197">
        <f t="shared" si="297"/>
        <v>100816082.91504025</v>
      </c>
      <c r="CB65" s="197">
        <f t="shared" si="297"/>
        <v>91988585.005421817</v>
      </c>
      <c r="CC65" s="197">
        <f t="shared" si="297"/>
        <v>116478132.31603926</v>
      </c>
      <c r="CD65" s="197">
        <f t="shared" si="297"/>
        <v>111795982.57327378</v>
      </c>
      <c r="CE65" s="197">
        <f t="shared" si="297"/>
        <v>126908310.53661704</v>
      </c>
      <c r="CF65" s="197">
        <f t="shared" si="297"/>
        <v>130641868.98125923</v>
      </c>
      <c r="CG65" s="197">
        <f t="shared" si="297"/>
        <v>121762174.41532075</v>
      </c>
      <c r="CH65" s="197">
        <f t="shared" si="297"/>
        <v>159416482.49842966</v>
      </c>
      <c r="CI65" s="197">
        <f t="shared" si="297"/>
        <v>148317568.89594162</v>
      </c>
      <c r="CJ65" s="197">
        <f t="shared" si="297"/>
        <v>143246654.33402061</v>
      </c>
      <c r="CK65" s="197">
        <f t="shared" si="297"/>
        <v>156295954.6930145</v>
      </c>
      <c r="CL65" s="197">
        <f t="shared" si="297"/>
        <v>163857887.59975815</v>
      </c>
      <c r="CM65" s="197">
        <f t="shared" si="297"/>
        <v>153313010.46532303</v>
      </c>
      <c r="CN65" s="197">
        <f t="shared" si="297"/>
        <v>150707989.5431906</v>
      </c>
      <c r="CO65" s="197">
        <f t="shared" si="297"/>
        <v>184377186.09611905</v>
      </c>
      <c r="CP65" s="197">
        <f t="shared" si="297"/>
        <v>168735330.05271912</v>
      </c>
      <c r="CQ65" s="197">
        <f t="shared" si="297"/>
        <v>186031832.97838449</v>
      </c>
      <c r="CR65" s="197">
        <f t="shared" si="297"/>
        <v>199532752.36974144</v>
      </c>
      <c r="CS65" s="197">
        <f t="shared" si="297"/>
        <v>174416302.09293616</v>
      </c>
      <c r="CT65" s="197">
        <f t="shared" si="297"/>
        <v>190042041.49477446</v>
      </c>
      <c r="CU65" s="197">
        <f t="shared" si="297"/>
        <v>195300718.68547928</v>
      </c>
      <c r="CV65" s="197">
        <f t="shared" si="297"/>
        <v>193214966.9984442</v>
      </c>
      <c r="CW65" s="197">
        <f t="shared" si="297"/>
        <v>192753708.07152188</v>
      </c>
      <c r="CX65" s="197">
        <f t="shared" si="297"/>
        <v>204518905.82008588</v>
      </c>
      <c r="CY65" s="197">
        <f t="shared" si="297"/>
        <v>185079335.28030074</v>
      </c>
      <c r="CZ65" s="197">
        <f t="shared" si="297"/>
        <v>182625720.11459005</v>
      </c>
      <c r="DA65" s="197">
        <f t="shared" si="297"/>
        <v>209217615.17457914</v>
      </c>
      <c r="DB65" s="197">
        <f t="shared" si="297"/>
        <v>197775645.87292397</v>
      </c>
      <c r="DC65" s="197">
        <f t="shared" si="297"/>
        <v>240291579.26012897</v>
      </c>
      <c r="DD65" s="197">
        <f t="shared" si="297"/>
        <v>251319373.95455098</v>
      </c>
      <c r="DE65" s="197">
        <f t="shared" si="297"/>
        <v>225447232.3778019</v>
      </c>
      <c r="DF65" s="197">
        <f t="shared" si="297"/>
        <v>256938196.4692564</v>
      </c>
      <c r="DG65" s="197">
        <f t="shared" si="297"/>
        <v>235525844.82594895</v>
      </c>
      <c r="DH65" s="197">
        <f t="shared" si="297"/>
        <v>233324477.05626404</v>
      </c>
      <c r="DI65" s="197">
        <f t="shared" si="297"/>
        <v>232018167.5204041</v>
      </c>
      <c r="DJ65" s="197">
        <f t="shared" si="297"/>
        <v>246190411.58957267</v>
      </c>
      <c r="DK65" s="197">
        <f t="shared" si="297"/>
        <v>222470269.93502891</v>
      </c>
      <c r="DL65" s="197">
        <f t="shared" si="297"/>
        <v>218948050.25313079</v>
      </c>
      <c r="DM65" s="197">
        <f t="shared" si="297"/>
        <v>250684427.10702777</v>
      </c>
      <c r="DN65" s="197">
        <f t="shared" si="297"/>
        <v>236117001.35219932</v>
      </c>
      <c r="DO65" s="197">
        <f t="shared" si="297"/>
        <v>286075170.70371485</v>
      </c>
      <c r="DP65" s="197">
        <f t="shared" si="297"/>
        <v>298358745.80581617</v>
      </c>
      <c r="DQ65" s="197">
        <f t="shared" si="297"/>
        <v>266982449.62590718</v>
      </c>
      <c r="DR65" s="197">
        <f t="shared" si="297"/>
        <v>302095420.95289207</v>
      </c>
      <c r="DS65" s="197">
        <f t="shared" ref="DS65:ED65" si="298">DS36-SUM(DS56:DS60)</f>
        <v>269600437.28230906</v>
      </c>
      <c r="DT65" s="197">
        <f t="shared" si="298"/>
        <v>267011243.75075102</v>
      </c>
      <c r="DU65" s="197">
        <f t="shared" si="298"/>
        <v>265440930.21772194</v>
      </c>
      <c r="DV65" s="197">
        <f t="shared" si="298"/>
        <v>281358675.59027624</v>
      </c>
      <c r="DW65" s="197">
        <f t="shared" si="298"/>
        <v>254285214.82577145</v>
      </c>
      <c r="DX65" s="197">
        <f t="shared" si="298"/>
        <v>250552915.07698083</v>
      </c>
      <c r="DY65" s="197">
        <f t="shared" si="298"/>
        <v>286018720.57170272</v>
      </c>
      <c r="DZ65" s="197">
        <f t="shared" si="298"/>
        <v>269583859.75153732</v>
      </c>
      <c r="EA65" s="197">
        <f t="shared" si="298"/>
        <v>326636743.97024417</v>
      </c>
      <c r="EB65" s="197">
        <f t="shared" si="298"/>
        <v>340802514.02875638</v>
      </c>
      <c r="EC65" s="197">
        <f t="shared" si="298"/>
        <v>304637593.68791795</v>
      </c>
      <c r="ED65" s="197">
        <f t="shared" si="298"/>
        <v>344371594.95587993</v>
      </c>
      <c r="EE65" s="333"/>
      <c r="EF65" s="224">
        <f>SUM(BK65:BM65)</f>
        <v>226996348.86258662</v>
      </c>
      <c r="EG65" s="224">
        <f>SUM(BN65:BP65)</f>
        <v>211785160.19856662</v>
      </c>
      <c r="EH65" s="224">
        <f>SUM(BQ65:BS65)</f>
        <v>273941774.60687029</v>
      </c>
      <c r="EI65" s="224">
        <f>SUM(BT65:BV65)</f>
        <v>280971188.10509515</v>
      </c>
      <c r="EJ65" s="224">
        <f>SUM(BW65:BY65)</f>
        <v>322404815.77378225</v>
      </c>
      <c r="EK65" s="224">
        <f>SUM(CL65:CN65)</f>
        <v>467878887.60827178</v>
      </c>
      <c r="EL65" s="224">
        <f>SUM(CC65:CE65)</f>
        <v>355182425.42593008</v>
      </c>
      <c r="EM65" s="224">
        <f>SUM(CF65:CH65)</f>
        <v>411820525.89500964</v>
      </c>
      <c r="EN65" s="224">
        <f>SUM(CI65:CK65)</f>
        <v>447860177.92297673</v>
      </c>
      <c r="EO65" s="224">
        <f>SUM(CL65:CN65)</f>
        <v>467878887.60827178</v>
      </c>
      <c r="EP65" s="224">
        <f>SUM(CO65:CQ65)</f>
        <v>539144349.12722266</v>
      </c>
      <c r="EQ65" s="224">
        <f>SUM(CR65:CT65)</f>
        <v>563991095.95745206</v>
      </c>
      <c r="ER65" s="224">
        <f>SUM(CU65:CW65)</f>
        <v>581269393.75544536</v>
      </c>
      <c r="ES65" s="224">
        <f>SUM(CX65:CZ65)</f>
        <v>572223961.21497667</v>
      </c>
      <c r="ET65" s="224">
        <f>SUM(DA65:DC65)</f>
        <v>647284840.30763209</v>
      </c>
      <c r="EU65" s="224">
        <f>SUM(DD65:DF65)</f>
        <v>733704802.80160928</v>
      </c>
      <c r="EV65" s="224">
        <f>SUM(DG65:DI65)</f>
        <v>700868489.4026171</v>
      </c>
      <c r="EW65" s="224">
        <f>SUM(DJ65:DL65)</f>
        <v>687608731.77773237</v>
      </c>
      <c r="EX65" s="224">
        <f>SUM(DM65:DO65)</f>
        <v>772876599.16294193</v>
      </c>
      <c r="EY65" s="224">
        <f>SUM(DP65:DR65)</f>
        <v>867436616.38461542</v>
      </c>
      <c r="EZ65" s="224">
        <f t="shared" si="83"/>
        <v>802052611.25078201</v>
      </c>
      <c r="FA65" s="224">
        <f t="shared" si="84"/>
        <v>786196805.49302852</v>
      </c>
      <c r="FB65" s="224">
        <f t="shared" si="85"/>
        <v>882239324.29348421</v>
      </c>
      <c r="FC65" s="224">
        <f t="shared" si="86"/>
        <v>989811702.67255425</v>
      </c>
      <c r="FE65" s="224">
        <f t="shared" si="87"/>
        <v>993694471.77311873</v>
      </c>
      <c r="FF65" s="224">
        <f t="shared" si="88"/>
        <v>1557286654.7029939</v>
      </c>
      <c r="FG65" s="224">
        <f t="shared" si="89"/>
        <v>2018874510.6159232</v>
      </c>
      <c r="FH65" s="224">
        <f t="shared" si="90"/>
        <v>2534482998.0796633</v>
      </c>
      <c r="FI65" s="224">
        <f t="shared" si="91"/>
        <v>3028790436.7279067</v>
      </c>
      <c r="FJ65" s="224">
        <f t="shared" si="92"/>
        <v>3460300443.7098494</v>
      </c>
    </row>
    <row r="66" spans="2:166" x14ac:dyDescent="0.2">
      <c r="B66" s="155" t="s">
        <v>227</v>
      </c>
      <c r="C66" s="165">
        <f>C37-C52</f>
        <v>706906.96428571455</v>
      </c>
      <c r="D66" s="165">
        <f t="shared" ref="D66:BO66" si="299">D37-D52</f>
        <v>657369.30673125014</v>
      </c>
      <c r="E66" s="165">
        <f t="shared" si="299"/>
        <v>374973.33835702948</v>
      </c>
      <c r="F66" s="165">
        <f t="shared" si="299"/>
        <v>201717.19764042832</v>
      </c>
      <c r="G66" s="165">
        <f t="shared" si="299"/>
        <v>151642.7698973082</v>
      </c>
      <c r="H66" s="165">
        <f t="shared" si="299"/>
        <v>341046.56693112757</v>
      </c>
      <c r="I66" s="165">
        <f t="shared" si="299"/>
        <v>1114883.6695571449</v>
      </c>
      <c r="J66" s="165">
        <f t="shared" si="299"/>
        <v>2285758.4403571431</v>
      </c>
      <c r="K66" s="165">
        <f t="shared" si="299"/>
        <v>2056128.7085714284</v>
      </c>
      <c r="L66" s="165">
        <f t="shared" si="299"/>
        <v>1927450.0839441661</v>
      </c>
      <c r="M66" s="165">
        <f t="shared" si="299"/>
        <v>1808188.6212662328</v>
      </c>
      <c r="N66" s="165">
        <f t="shared" si="299"/>
        <v>963381.69090883061</v>
      </c>
      <c r="O66" s="165">
        <f t="shared" si="299"/>
        <v>779431.92963691056</v>
      </c>
      <c r="P66" s="165">
        <f t="shared" si="299"/>
        <v>302401.16061558574</v>
      </c>
      <c r="Q66" s="165">
        <f t="shared" si="299"/>
        <v>-566574.57759700343</v>
      </c>
      <c r="R66" s="165">
        <f t="shared" si="299"/>
        <v>413361.73629724607</v>
      </c>
      <c r="S66" s="165">
        <f t="shared" si="299"/>
        <v>-359346.78051399998</v>
      </c>
      <c r="T66" s="165">
        <f t="shared" si="299"/>
        <v>-543377.84959432855</v>
      </c>
      <c r="U66" s="165">
        <f t="shared" si="299"/>
        <v>-985264.0311197415</v>
      </c>
      <c r="V66" s="165">
        <f t="shared" si="299"/>
        <v>-2224632.2834179737</v>
      </c>
      <c r="W66" s="165">
        <f t="shared" si="299"/>
        <v>-1790804.2178162262</v>
      </c>
      <c r="X66" s="165">
        <f t="shared" si="299"/>
        <v>-349705.70790243521</v>
      </c>
      <c r="Y66" s="165">
        <f t="shared" si="299"/>
        <v>-1347898.7977490909</v>
      </c>
      <c r="Z66" s="165">
        <f t="shared" si="299"/>
        <v>-988500.45001429133</v>
      </c>
      <c r="AA66" s="165">
        <f t="shared" si="299"/>
        <v>-4468306.2120747129</v>
      </c>
      <c r="AB66" s="165">
        <f t="shared" si="299"/>
        <v>-792465.58083617128</v>
      </c>
      <c r="AC66" s="165">
        <f t="shared" si="299"/>
        <v>-104375.55014906824</v>
      </c>
      <c r="AD66" s="165">
        <f t="shared" si="299"/>
        <v>146044.34436908551</v>
      </c>
      <c r="AE66" s="165">
        <f t="shared" si="299"/>
        <v>273748.34485985897</v>
      </c>
      <c r="AF66" s="165">
        <f t="shared" si="299"/>
        <v>-908155.67710308172</v>
      </c>
      <c r="AG66" s="165">
        <f t="shared" si="299"/>
        <v>-532173.58179097064</v>
      </c>
      <c r="AH66" s="165">
        <f t="shared" si="299"/>
        <v>1341332.5810638443</v>
      </c>
      <c r="AI66" s="165">
        <f t="shared" si="299"/>
        <v>5300262.1999420822</v>
      </c>
      <c r="AJ66" s="165">
        <f t="shared" si="299"/>
        <v>3074036.755166471</v>
      </c>
      <c r="AK66" s="165">
        <f t="shared" si="299"/>
        <v>1999148.2053309679</v>
      </c>
      <c r="AL66" s="165">
        <f t="shared" si="299"/>
        <v>1377494.0377059989</v>
      </c>
      <c r="AM66" s="165">
        <f t="shared" si="299"/>
        <v>-391648.70390408114</v>
      </c>
      <c r="AN66" s="165">
        <f t="shared" si="299"/>
        <v>-868374.78418104351</v>
      </c>
      <c r="AO66" s="165">
        <f t="shared" si="299"/>
        <v>-184626.08943138644</v>
      </c>
      <c r="AP66" s="165">
        <f t="shared" si="299"/>
        <v>18228.937187336385</v>
      </c>
      <c r="AQ66" s="165">
        <f t="shared" si="299"/>
        <v>594062.85051006824</v>
      </c>
      <c r="AR66" s="165">
        <f t="shared" si="299"/>
        <v>723273.64665096998</v>
      </c>
      <c r="AS66" s="165">
        <f t="shared" si="299"/>
        <v>3117951.738142401</v>
      </c>
      <c r="AT66" s="165">
        <f t="shared" si="299"/>
        <v>4662018.050658837</v>
      </c>
      <c r="AU66" s="165">
        <f t="shared" si="299"/>
        <v>3377596.2701376081</v>
      </c>
      <c r="AV66" s="165">
        <f t="shared" si="299"/>
        <v>5802579.3916042149</v>
      </c>
      <c r="AW66" s="165">
        <f t="shared" si="299"/>
        <v>2134859.408431001</v>
      </c>
      <c r="AX66" s="165">
        <f t="shared" si="299"/>
        <v>1565424.1825261116</v>
      </c>
      <c r="AY66" s="165">
        <f t="shared" si="299"/>
        <v>-1632062.7590971887</v>
      </c>
      <c r="AZ66" s="165">
        <f t="shared" si="299"/>
        <v>759653.62528735399</v>
      </c>
      <c r="BA66" s="165">
        <f t="shared" si="299"/>
        <v>2044312.8668167293</v>
      </c>
      <c r="BB66" s="165">
        <f t="shared" si="299"/>
        <v>-1276305.242611222</v>
      </c>
      <c r="BC66" s="165">
        <f t="shared" si="299"/>
        <v>-1953615.8339038603</v>
      </c>
      <c r="BD66" s="165">
        <f t="shared" si="299"/>
        <v>-2558164.676164642</v>
      </c>
      <c r="BE66" s="165">
        <f t="shared" si="299"/>
        <v>-954214.1540862564</v>
      </c>
      <c r="BF66" s="165">
        <f t="shared" si="299"/>
        <v>-2042590.2050653584</v>
      </c>
      <c r="BG66" s="165">
        <f t="shared" si="299"/>
        <v>75638.371921453625</v>
      </c>
      <c r="BH66" s="165">
        <f t="shared" si="299"/>
        <v>1877182.516346246</v>
      </c>
      <c r="BI66" s="165">
        <f t="shared" si="299"/>
        <v>747054.06651102379</v>
      </c>
      <c r="BJ66" s="165">
        <f t="shared" si="299"/>
        <v>1136267.6837260947</v>
      </c>
      <c r="BK66" s="165">
        <f t="shared" si="299"/>
        <v>0</v>
      </c>
      <c r="BL66" s="165">
        <f t="shared" si="299"/>
        <v>0</v>
      </c>
      <c r="BM66" s="165">
        <f t="shared" si="299"/>
        <v>0</v>
      </c>
      <c r="BN66" s="165">
        <f t="shared" si="299"/>
        <v>0</v>
      </c>
      <c r="BO66" s="165">
        <f t="shared" si="299"/>
        <v>0</v>
      </c>
      <c r="BP66" s="165">
        <f t="shared" ref="BP66:DR66" si="300">BP37-BP52</f>
        <v>0</v>
      </c>
      <c r="BQ66" s="165">
        <f t="shared" si="300"/>
        <v>0</v>
      </c>
      <c r="BR66" s="165">
        <f t="shared" si="300"/>
        <v>0</v>
      </c>
      <c r="BS66" s="165">
        <f t="shared" si="300"/>
        <v>0</v>
      </c>
      <c r="BT66" s="165">
        <f t="shared" si="300"/>
        <v>0</v>
      </c>
      <c r="BU66" s="165">
        <f t="shared" si="300"/>
        <v>0</v>
      </c>
      <c r="BV66" s="165">
        <f t="shared" si="300"/>
        <v>0</v>
      </c>
      <c r="BW66" s="165">
        <f t="shared" si="300"/>
        <v>0</v>
      </c>
      <c r="BX66" s="165">
        <f t="shared" si="300"/>
        <v>0</v>
      </c>
      <c r="BY66" s="165">
        <f t="shared" si="300"/>
        <v>0</v>
      </c>
      <c r="BZ66" s="165">
        <f t="shared" si="300"/>
        <v>0</v>
      </c>
      <c r="CA66" s="165">
        <f t="shared" si="300"/>
        <v>0</v>
      </c>
      <c r="CB66" s="165">
        <f t="shared" si="300"/>
        <v>0</v>
      </c>
      <c r="CC66" s="165">
        <f t="shared" si="300"/>
        <v>0</v>
      </c>
      <c r="CD66" s="165">
        <f t="shared" si="300"/>
        <v>0</v>
      </c>
      <c r="CE66" s="165">
        <f t="shared" si="300"/>
        <v>0</v>
      </c>
      <c r="CF66" s="165">
        <f t="shared" si="300"/>
        <v>0</v>
      </c>
      <c r="CG66" s="165">
        <f t="shared" si="300"/>
        <v>0</v>
      </c>
      <c r="CH66" s="165">
        <f t="shared" si="300"/>
        <v>0</v>
      </c>
      <c r="CI66" s="165">
        <f t="shared" si="300"/>
        <v>0</v>
      </c>
      <c r="CJ66" s="165">
        <f t="shared" si="300"/>
        <v>0</v>
      </c>
      <c r="CK66" s="165">
        <f t="shared" si="300"/>
        <v>0</v>
      </c>
      <c r="CL66" s="165">
        <f t="shared" si="300"/>
        <v>0</v>
      </c>
      <c r="CM66" s="165">
        <f t="shared" si="300"/>
        <v>0</v>
      </c>
      <c r="CN66" s="165">
        <f t="shared" si="300"/>
        <v>0</v>
      </c>
      <c r="CO66" s="165">
        <f t="shared" si="300"/>
        <v>0</v>
      </c>
      <c r="CP66" s="165">
        <f t="shared" si="300"/>
        <v>0</v>
      </c>
      <c r="CQ66" s="165">
        <f t="shared" si="300"/>
        <v>0</v>
      </c>
      <c r="CR66" s="165">
        <f t="shared" si="300"/>
        <v>0</v>
      </c>
      <c r="CS66" s="165">
        <f t="shared" si="300"/>
        <v>0</v>
      </c>
      <c r="CT66" s="165">
        <f t="shared" si="300"/>
        <v>0</v>
      </c>
      <c r="CU66" s="165">
        <f t="shared" si="300"/>
        <v>0</v>
      </c>
      <c r="CV66" s="165">
        <f t="shared" si="300"/>
        <v>0</v>
      </c>
      <c r="CW66" s="165">
        <f t="shared" si="300"/>
        <v>0</v>
      </c>
      <c r="CX66" s="165">
        <f t="shared" si="300"/>
        <v>0</v>
      </c>
      <c r="CY66" s="165">
        <f t="shared" si="300"/>
        <v>0</v>
      </c>
      <c r="CZ66" s="165">
        <f t="shared" si="300"/>
        <v>0</v>
      </c>
      <c r="DA66" s="165">
        <f t="shared" si="300"/>
        <v>0</v>
      </c>
      <c r="DB66" s="165">
        <f t="shared" si="300"/>
        <v>0</v>
      </c>
      <c r="DC66" s="165">
        <f t="shared" si="300"/>
        <v>0</v>
      </c>
      <c r="DD66" s="165">
        <f t="shared" si="300"/>
        <v>0</v>
      </c>
      <c r="DE66" s="165">
        <f t="shared" si="300"/>
        <v>0</v>
      </c>
      <c r="DF66" s="165">
        <f t="shared" si="300"/>
        <v>0</v>
      </c>
      <c r="DG66" s="165">
        <f t="shared" si="300"/>
        <v>0</v>
      </c>
      <c r="DH66" s="165">
        <f t="shared" si="300"/>
        <v>0</v>
      </c>
      <c r="DI66" s="165">
        <f t="shared" si="300"/>
        <v>0</v>
      </c>
      <c r="DJ66" s="165">
        <f t="shared" si="300"/>
        <v>0</v>
      </c>
      <c r="DK66" s="165">
        <f t="shared" si="300"/>
        <v>0</v>
      </c>
      <c r="DL66" s="165">
        <f t="shared" si="300"/>
        <v>0</v>
      </c>
      <c r="DM66" s="165">
        <f t="shared" si="300"/>
        <v>0</v>
      </c>
      <c r="DN66" s="165">
        <f t="shared" si="300"/>
        <v>0</v>
      </c>
      <c r="DO66" s="165">
        <f t="shared" si="300"/>
        <v>0</v>
      </c>
      <c r="DP66" s="165">
        <f t="shared" si="300"/>
        <v>0</v>
      </c>
      <c r="DQ66" s="165">
        <f t="shared" si="300"/>
        <v>0</v>
      </c>
      <c r="DR66" s="165">
        <f t="shared" si="300"/>
        <v>0</v>
      </c>
      <c r="DS66" s="165">
        <f t="shared" ref="DS66:ED66" si="301">DS37-DS52</f>
        <v>0</v>
      </c>
      <c r="DT66" s="165">
        <f t="shared" si="301"/>
        <v>0</v>
      </c>
      <c r="DU66" s="165">
        <f t="shared" si="301"/>
        <v>0</v>
      </c>
      <c r="DV66" s="165">
        <f t="shared" si="301"/>
        <v>0</v>
      </c>
      <c r="DW66" s="165">
        <f t="shared" si="301"/>
        <v>0</v>
      </c>
      <c r="DX66" s="165">
        <f t="shared" si="301"/>
        <v>0</v>
      </c>
      <c r="DY66" s="165">
        <f t="shared" si="301"/>
        <v>0</v>
      </c>
      <c r="DZ66" s="165">
        <f t="shared" si="301"/>
        <v>0</v>
      </c>
      <c r="EA66" s="165">
        <f t="shared" si="301"/>
        <v>0</v>
      </c>
      <c r="EB66" s="165">
        <f t="shared" si="301"/>
        <v>0</v>
      </c>
      <c r="EC66" s="165">
        <f t="shared" si="301"/>
        <v>0</v>
      </c>
      <c r="ED66" s="165">
        <f t="shared" si="301"/>
        <v>0</v>
      </c>
      <c r="EE66" s="168"/>
      <c r="EF66" s="165">
        <f>SUM(BK66:BM66)</f>
        <v>0</v>
      </c>
      <c r="EG66" s="165">
        <f>SUM(BN66:BP66)</f>
        <v>0</v>
      </c>
      <c r="EH66" s="165">
        <f>SUM(BQ66:BS66)</f>
        <v>0</v>
      </c>
      <c r="EI66" s="165">
        <f>SUM(BT66:BV66)</f>
        <v>0</v>
      </c>
      <c r="EJ66" s="165">
        <f>SUM(BW66:BY66)</f>
        <v>0</v>
      </c>
      <c r="EK66" s="165">
        <f>SUM(CL66:CN66)</f>
        <v>0</v>
      </c>
      <c r="EL66" s="165">
        <f>SUM(CC66:CE66)</f>
        <v>0</v>
      </c>
      <c r="EM66" s="165">
        <f>SUM(CF66:CH66)</f>
        <v>0</v>
      </c>
      <c r="EN66" s="165">
        <f>SUM(CI66:CK66)</f>
        <v>0</v>
      </c>
      <c r="EO66" s="165">
        <f>SUM(CL66:CN66)</f>
        <v>0</v>
      </c>
      <c r="EP66" s="165">
        <f>SUM(CO66:CQ66)</f>
        <v>0</v>
      </c>
      <c r="EQ66" s="165">
        <f>SUM(CR66:CT66)</f>
        <v>0</v>
      </c>
      <c r="ER66" s="165">
        <f>SUM(CU66:CW66)</f>
        <v>0</v>
      </c>
      <c r="ES66" s="165">
        <f>SUM(CX66:CZ66)</f>
        <v>0</v>
      </c>
      <c r="ET66" s="165">
        <f>SUM(DA66:DC66)</f>
        <v>0</v>
      </c>
      <c r="EU66" s="165">
        <f>SUM(DD66:DF66)</f>
        <v>0</v>
      </c>
      <c r="EV66" s="165">
        <f>SUM(DG66:DI66)</f>
        <v>0</v>
      </c>
      <c r="EW66" s="165">
        <f>SUM(DJ66:DL66)</f>
        <v>0</v>
      </c>
      <c r="EX66" s="165">
        <f>SUM(DM66:DO66)</f>
        <v>0</v>
      </c>
      <c r="EY66" s="165">
        <f>SUM(DP66:DR66)</f>
        <v>0</v>
      </c>
      <c r="EZ66" s="165">
        <f t="shared" si="83"/>
        <v>0</v>
      </c>
      <c r="FA66" s="165">
        <f t="shared" si="84"/>
        <v>0</v>
      </c>
      <c r="FB66" s="165">
        <f t="shared" si="85"/>
        <v>0</v>
      </c>
      <c r="FC66" s="165">
        <f t="shared" si="86"/>
        <v>0</v>
      </c>
      <c r="FE66" s="165">
        <f t="shared" si="87"/>
        <v>0</v>
      </c>
      <c r="FF66" s="165">
        <f t="shared" si="88"/>
        <v>0</v>
      </c>
      <c r="FG66" s="165">
        <f t="shared" si="89"/>
        <v>0</v>
      </c>
      <c r="FH66" s="165">
        <f t="shared" si="90"/>
        <v>0</v>
      </c>
      <c r="FI66" s="165">
        <f t="shared" si="91"/>
        <v>0</v>
      </c>
      <c r="FJ66" s="165">
        <f t="shared" si="92"/>
        <v>0</v>
      </c>
    </row>
    <row r="67" spans="2:166" x14ac:dyDescent="0.2">
      <c r="B67" s="155" t="s">
        <v>228</v>
      </c>
      <c r="C67" s="165">
        <v>0</v>
      </c>
      <c r="D67" s="165">
        <v>0</v>
      </c>
      <c r="E67" s="165">
        <v>0</v>
      </c>
      <c r="F67" s="165">
        <v>0</v>
      </c>
      <c r="G67" s="165">
        <v>0</v>
      </c>
      <c r="H67" s="165">
        <v>0</v>
      </c>
      <c r="I67" s="165">
        <v>0</v>
      </c>
      <c r="J67" s="165">
        <v>0</v>
      </c>
      <c r="K67" s="165">
        <v>0</v>
      </c>
      <c r="L67" s="165">
        <f>L38-'D2C Online'!C70-SUM('D2C Online'!C72:C76)</f>
        <v>165098.29531827514</v>
      </c>
      <c r="M67" s="165">
        <f>M38-'D2C Online'!D70-SUM('D2C Online'!D72:D76)</f>
        <v>1094941.7027972026</v>
      </c>
      <c r="N67" s="165">
        <f>N38-'D2C Online'!E70-SUM('D2C Online'!E72:E76)</f>
        <v>5647575.4144676821</v>
      </c>
      <c r="O67" s="165">
        <f>O38-'D2C Online'!F70-SUM('D2C Online'!F72:F76)</f>
        <v>5250506.6020196676</v>
      </c>
      <c r="P67" s="165">
        <f>P38-'D2C Online'!G70-SUM('D2C Online'!G72:G76)</f>
        <v>4991638.4919798886</v>
      </c>
      <c r="Q67" s="165">
        <f>Q38-'D2C Online'!H70-SUM('D2C Online'!H72:H76)</f>
        <v>3002880.2186744688</v>
      </c>
      <c r="R67" s="165">
        <f>R38-'D2C Online'!I70-SUM('D2C Online'!I72:I76)</f>
        <v>6663909.5369017916</v>
      </c>
      <c r="S67" s="165">
        <f>S38-'D2C Online'!J70-SUM('D2C Online'!J72:J76)</f>
        <v>5264902.2591015399</v>
      </c>
      <c r="T67" s="165">
        <f>T38-'D2C Online'!K70-SUM('D2C Online'!K72:K76)</f>
        <v>4075311.9235534603</v>
      </c>
      <c r="U67" s="165">
        <f>U38-'D2C Online'!L70-SUM('D2C Online'!L72:L76)</f>
        <v>6721630.3669014107</v>
      </c>
      <c r="V67" s="165">
        <f>V38-'D2C Online'!M70-SUM('D2C Online'!M72:M76)</f>
        <v>1376786.0732541974</v>
      </c>
      <c r="W67" s="165">
        <f>W38-'D2C Online'!N70-SUM('D2C Online'!N72:N76)</f>
        <v>3537533.5656109918</v>
      </c>
      <c r="X67" s="165">
        <f>X38-'D2C Online'!O70-SUM('D2C Online'!O72:O76)</f>
        <v>2068979.4000394032</v>
      </c>
      <c r="Y67" s="165">
        <f>Y38-'D2C Online'!P70-SUM('D2C Online'!P72:P76)</f>
        <v>-333705.66148975631</v>
      </c>
      <c r="Z67" s="165">
        <f>Z38-'D2C Online'!Q70-SUM('D2C Online'!Q72:Q76)</f>
        <v>1151043.0536951367</v>
      </c>
      <c r="AA67" s="165">
        <f>AA38-'D2C Online'!R70-SUM('D2C Online'!R72:R76)</f>
        <v>-964545.2076271195</v>
      </c>
      <c r="AB67" s="165">
        <f>AB38-'D2C Online'!S70-SUM('D2C Online'!S72:S76)</f>
        <v>2846407.2844335581</v>
      </c>
      <c r="AC67" s="165">
        <f>AC38-'D2C Online'!T70-SUM('D2C Online'!T72:T76)</f>
        <v>3558951.5453458056</v>
      </c>
      <c r="AD67" s="165">
        <f>AD38-'D2C Online'!U70-SUM('D2C Online'!U72:U76)</f>
        <v>3956856.6829458391</v>
      </c>
      <c r="AE67" s="165">
        <f>AE38-'D2C Online'!V70-SUM('D2C Online'!V72:V76)</f>
        <v>2888015.6267104764</v>
      </c>
      <c r="AF67" s="165">
        <f>AF38-'D2C Online'!W70-SUM('D2C Online'!W72:W76)</f>
        <v>2961214.958556016</v>
      </c>
      <c r="AG67" s="165">
        <f>AG38-'D2C Online'!X70-SUM('D2C Online'!X72:X76)</f>
        <v>4212229.0235126112</v>
      </c>
      <c r="AH67" s="165">
        <f>AH38-'D2C Online'!Y70-SUM('D2C Online'!Y72:Y76)</f>
        <v>3104408.2989268391</v>
      </c>
      <c r="AI67" s="165">
        <f>AI38-'D2C Online'!Z70-SUM('D2C Online'!Z72:Z76)</f>
        <v>5387619.3636879558</v>
      </c>
      <c r="AJ67" s="165">
        <f>AJ38-'D2C Online'!AA70-SUM('D2C Online'!AA72:AA76)</f>
        <v>6829352.5863947412</v>
      </c>
      <c r="AK67" s="165">
        <f>AK38-'D2C Online'!AB70-SUM('D2C Online'!AB72:AB76)</f>
        <v>5013328.3168117013</v>
      </c>
      <c r="AL67" s="165">
        <f>AL38-'D2C Online'!AC70-SUM('D2C Online'!AC72:AC76)</f>
        <v>5365695.6985419132</v>
      </c>
      <c r="AM67" s="165">
        <f>AM38-'D2C Online'!AD70-SUM('D2C Online'!AD72:AD76)</f>
        <v>4263024.0647098804</v>
      </c>
      <c r="AN67" s="165">
        <f>AN38-'D2C Online'!AE70-SUM('D2C Online'!AE72:AE76)</f>
        <v>2435624.6461729654</v>
      </c>
      <c r="AO67" s="165">
        <f>AO38-'D2C Online'!AF70-SUM('D2C Online'!AF72:AF76)</f>
        <v>3164529.5399701083</v>
      </c>
      <c r="AP67" s="165">
        <f>AP38-'D2C Online'!AG70-SUM('D2C Online'!AG72:AG76)</f>
        <v>3370649.932700878</v>
      </c>
      <c r="AQ67" s="165">
        <f>AQ38-'D2C Online'!AH70-SUM('D2C Online'!AH72:AH76)</f>
        <v>1983428.6165812057</v>
      </c>
      <c r="AR67" s="165">
        <f>AR38-'D2C Online'!AI70-SUM('D2C Online'!AI72:AI76)</f>
        <v>2839400.312679261</v>
      </c>
      <c r="AS67" s="165">
        <f>AS38-'D2C Online'!AJ70-SUM('D2C Online'!AJ72:AJ76)</f>
        <v>4235447.3547182903</v>
      </c>
      <c r="AT67" s="165">
        <f>AT38-'D2C Online'!AK70-SUM('D2C Online'!AK72:AK76)</f>
        <v>8889255.2909031026</v>
      </c>
      <c r="AU67" s="165">
        <f>AU38-'D2C Online'!AL70-SUM('D2C Online'!AL72:AL76)</f>
        <v>9905480.6180152334</v>
      </c>
      <c r="AV67" s="165">
        <f>AV38-'D2C Online'!AM70-SUM('D2C Online'!AM72:AM76)</f>
        <v>10970946.715826437</v>
      </c>
      <c r="AW67" s="165">
        <f>AW38-'D2C Online'!AN70-SUM('D2C Online'!AN72:AN76)</f>
        <v>10343901.440708883</v>
      </c>
      <c r="AX67" s="165">
        <f>AX38-'D2C Online'!AO70-SUM('D2C Online'!AO72:AO76)</f>
        <v>4677594.4898556005</v>
      </c>
      <c r="AY67" s="165">
        <f>AY38-'D2C Online'!AP70-SUM('D2C Online'!AP72:AP76)</f>
        <v>4360916.3032384142</v>
      </c>
      <c r="AZ67" s="165">
        <f>AZ38-'D2C Online'!AQ70-SUM('D2C Online'!AQ72:AQ76)</f>
        <v>5498464.3115541283</v>
      </c>
      <c r="BA67" s="165">
        <f>BA38-'D2C Online'!AR70-SUM('D2C Online'!AR72:AR76)</f>
        <v>7308509.607706544</v>
      </c>
      <c r="BB67" s="165">
        <f>BB38-'D2C Online'!AS70-SUM('D2C Online'!AS72:AS76)</f>
        <v>6137623.3639546009</v>
      </c>
      <c r="BC67" s="165">
        <f>BC38-'D2C Online'!AT70-SUM('D2C Online'!AT72:AT76)</f>
        <v>4652104.4379388839</v>
      </c>
      <c r="BD67" s="165">
        <f>BD38-'D2C Online'!AU70-SUM('D2C Online'!AU72:AU76)</f>
        <v>7227564.500520627</v>
      </c>
      <c r="BE67" s="165">
        <f>BE38-'D2C Online'!AV70-SUM('D2C Online'!AV72:AV76)</f>
        <v>12883100.557997916</v>
      </c>
      <c r="BF67" s="165">
        <f>BF38-'D2C Online'!AW70-SUM('D2C Online'!AW72:AW76)</f>
        <v>11413467.736715693</v>
      </c>
      <c r="BG67" s="165">
        <f>BG38-'D2C Online'!AX70-SUM('D2C Online'!AX72:AX76)</f>
        <v>9356878.4929823503</v>
      </c>
      <c r="BH67" s="165">
        <f>BH38-'D2C Online'!AY70-SUM('D2C Online'!AY72:AY76)</f>
        <v>11183634.816984819</v>
      </c>
      <c r="BI67" s="165">
        <f>BI38-'D2C Online'!AZ70-SUM('D2C Online'!AZ72:AZ76)</f>
        <v>16447420.663173378</v>
      </c>
      <c r="BJ67" s="165">
        <f>BJ38-'D2C Online'!BA70-SUM('D2C Online'!BA72:BA76)</f>
        <v>26039969.9636673</v>
      </c>
      <c r="BK67" s="165">
        <f>BK38-'D2C Online'!BB70-SUM('D2C Online'!BB72:BB76)</f>
        <v>24589354.366611306</v>
      </c>
      <c r="BL67" s="165">
        <f>BL38-'D2C Online'!BC70-SUM('D2C Online'!BC72:BC76)</f>
        <v>24362727.823253069</v>
      </c>
      <c r="BM67" s="165">
        <f>BM38-'D2C Online'!BD70-SUM('D2C Online'!BD72:BD76)</f>
        <v>31549861.266579293</v>
      </c>
      <c r="BN67" s="165">
        <f>BN38-'D2C Online'!BE70-SUM('D2C Online'!BE72:BE76)</f>
        <v>21846790.545924719</v>
      </c>
      <c r="BO67" s="165">
        <f>BO38-'D2C Online'!BF70-SUM('D2C Online'!BF72:BF76)</f>
        <v>27468637.262703501</v>
      </c>
      <c r="BP67" s="165">
        <f>BP38-'D2C Online'!BG70-SUM('D2C Online'!BG72:BG76)</f>
        <v>22789506.183174472</v>
      </c>
      <c r="BQ67" s="165">
        <f>BQ38-'D2C Online'!BH70-SUM('D2C Online'!BH72:BH76)</f>
        <v>40214609.865467973</v>
      </c>
      <c r="BR67" s="165">
        <f>BR38-'D2C Online'!BI70-SUM('D2C Online'!BI72:BI76)</f>
        <v>36204005.562761635</v>
      </c>
      <c r="BS67" s="165">
        <f>BS38-'D2C Online'!BJ70-SUM('D2C Online'!BJ72:BJ76)</f>
        <v>36183299.906553999</v>
      </c>
      <c r="BT67" s="165">
        <f>BT38-'D2C Online'!BK70-SUM('D2C Online'!BK72:BK76)</f>
        <v>39429549.408543684</v>
      </c>
      <c r="BU67" s="165">
        <f>BU38-'D2C Online'!BL70-SUM('D2C Online'!BL72:BL76)</f>
        <v>34824144.382871121</v>
      </c>
      <c r="BV67" s="165">
        <f>BV38-'D2C Online'!BM70-SUM('D2C Online'!BM72:BM76)</f>
        <v>45506271.661984481</v>
      </c>
      <c r="BW67" s="165">
        <f>BW38-'D2C Online'!BN70-SUM('D2C Online'!BN72:BN76)</f>
        <v>41227520.488559052</v>
      </c>
      <c r="BX67" s="165">
        <f>BX38-'D2C Online'!BO70-SUM('D2C Online'!BO72:BO76)</f>
        <v>44243076.056059837</v>
      </c>
      <c r="BY67" s="165">
        <f>BY38-'D2C Online'!BP70-SUM('D2C Online'!BP72:BP76)</f>
        <v>50577292.220090784</v>
      </c>
      <c r="BZ67" s="165">
        <f>BZ38-'D2C Online'!BQ70-SUM('D2C Online'!BQ72:BQ76)</f>
        <v>49433007.43142724</v>
      </c>
      <c r="CA67" s="165">
        <f>CA38-'D2C Online'!BR70-SUM('D2C Online'!BR72:BR76)</f>
        <v>46937296.607509963</v>
      </c>
      <c r="CB67" s="165">
        <f>CB38-'D2C Online'!BS70-SUM('D2C Online'!BS72:BS76)</f>
        <v>48097614.059657767</v>
      </c>
      <c r="CC67" s="165">
        <f>CC38-'D2C Online'!BT70-SUM('D2C Online'!BT72:BT76)</f>
        <v>53221990.320882432</v>
      </c>
      <c r="CD67" s="165">
        <f>CD38-'D2C Online'!BU70-SUM('D2C Online'!BU72:BU76)</f>
        <v>47219249.962493934</v>
      </c>
      <c r="CE67" s="165">
        <f>CE38-'D2C Online'!BV70-SUM('D2C Online'!BV72:BV76)</f>
        <v>52500003.904569097</v>
      </c>
      <c r="CF67" s="165">
        <f>CF38-'D2C Online'!BW70-SUM('D2C Online'!BW72:BW76)</f>
        <v>57878515.586493477</v>
      </c>
      <c r="CG67" s="165">
        <f>CG38-'D2C Online'!BX70-SUM('D2C Online'!BX72:BX76)</f>
        <v>51729503.348294683</v>
      </c>
      <c r="CH67" s="165">
        <f>CH38-'D2C Online'!BY70-SUM('D2C Online'!BY72:BY76)</f>
        <v>72387264.318036184</v>
      </c>
      <c r="CI67" s="165">
        <f>CI38-'D2C Online'!BZ70-SUM('D2C Online'!BZ72:BZ76)</f>
        <v>62263503.499112695</v>
      </c>
      <c r="CJ67" s="165">
        <f>CJ38-'D2C Online'!CA70-SUM('D2C Online'!CA72:CA76)</f>
        <v>64059431.195158623</v>
      </c>
      <c r="CK67" s="165">
        <f>CK38-'D2C Online'!CB70-SUM('D2C Online'!CB72:CB76)</f>
        <v>66944013.784459457</v>
      </c>
      <c r="CL67" s="165">
        <f>CL38-'D2C Online'!CC70-SUM('D2C Online'!CC72:CC76)</f>
        <v>71789764.392868966</v>
      </c>
      <c r="CM67" s="165">
        <f>CM38-'D2C Online'!CD70-SUM('D2C Online'!CD72:CD76)</f>
        <v>66322143.019444697</v>
      </c>
      <c r="CN67" s="165">
        <f>CN38-'D2C Online'!CE70-SUM('D2C Online'!CE72:CE76)</f>
        <v>71071561.493464559</v>
      </c>
      <c r="CO67" s="165">
        <f>CO38-'D2C Online'!CF70-SUM('D2C Online'!CF72:CF76)</f>
        <v>65544887.17458865</v>
      </c>
      <c r="CP67" s="165">
        <f>CP38-'D2C Online'!CG70-SUM('D2C Online'!CG72:CG76)</f>
        <v>63137555.877676696</v>
      </c>
      <c r="CQ67" s="165">
        <f>CQ38-'D2C Online'!CH70-SUM('D2C Online'!CH72:CH76)</f>
        <v>69833364.537292838</v>
      </c>
      <c r="CR67" s="165">
        <f>CR38-'D2C Online'!CI70-SUM('D2C Online'!CI72:CI76)</f>
        <v>74336219.558482796</v>
      </c>
      <c r="CS67" s="165">
        <f>CS38-'D2C Online'!CJ70-SUM('D2C Online'!CJ72:CJ76)</f>
        <v>58388104.87081708</v>
      </c>
      <c r="CT67" s="165">
        <f>CT38-'D2C Online'!CK70-SUM('D2C Online'!CK72:CK76)</f>
        <v>66573026.457994446</v>
      </c>
      <c r="CU67" s="165">
        <f>CU38-'D2C Online'!CL70-SUM('D2C Online'!CL72:CL76)</f>
        <v>73646188.805431575</v>
      </c>
      <c r="CV67" s="165">
        <f>CV38-'D2C Online'!CM70-SUM('D2C Online'!CM72:CM76)</f>
        <v>74395734.478910446</v>
      </c>
      <c r="CW67" s="165">
        <f>CW38-'D2C Online'!CN70-SUM('D2C Online'!CN72:CN76)</f>
        <v>74342512.300911948</v>
      </c>
      <c r="CX67" s="165">
        <f>CX38-'D2C Online'!CO70-SUM('D2C Online'!CO72:CO76)</f>
        <v>75464613.220380425</v>
      </c>
      <c r="CY67" s="165">
        <f>CY38-'D2C Online'!CP70-SUM('D2C Online'!CP72:CP76)</f>
        <v>71109264.987502813</v>
      </c>
      <c r="CZ67" s="165">
        <f>CZ38-'D2C Online'!CQ70-SUM('D2C Online'!CQ72:CQ76)</f>
        <v>77788648.326315194</v>
      </c>
      <c r="DA67" s="165">
        <f>DA38-'D2C Online'!CR70-SUM('D2C Online'!CR72:CR76)</f>
        <v>75637585.2988756</v>
      </c>
      <c r="DB67" s="165">
        <f>DB38-'D2C Online'!CS70-SUM('D2C Online'!CS72:CS76)</f>
        <v>75814992.558870643</v>
      </c>
      <c r="DC67" s="165">
        <f>DC38-'D2C Online'!CT70-SUM('D2C Online'!CT72:CT76)</f>
        <v>93063413.411886215</v>
      </c>
      <c r="DD67" s="165">
        <f>DD38-'D2C Online'!CU70-SUM('D2C Online'!CU72:CU76)</f>
        <v>100275018.53068364</v>
      </c>
      <c r="DE67" s="165">
        <f>DE38-'D2C Online'!CV70-SUM('D2C Online'!CV72:CV76)</f>
        <v>85967123.012085482</v>
      </c>
      <c r="DF67" s="165">
        <f>DF38-'D2C Online'!CW70-SUM('D2C Online'!CW72:CW76)</f>
        <v>92894876.514890939</v>
      </c>
      <c r="DG67" s="165">
        <f>DG38-'D2C Online'!CX70-SUM('D2C Online'!CX72:CX76)</f>
        <v>86461856.806725562</v>
      </c>
      <c r="DH67" s="165">
        <f>DH38-'D2C Online'!CY70-SUM('D2C Online'!CY72:CY76)</f>
        <v>87341835.957604006</v>
      </c>
      <c r="DI67" s="165">
        <f>DI38-'D2C Online'!CZ70-SUM('D2C Online'!CZ72:CZ76)</f>
        <v>87279352.230914444</v>
      </c>
      <c r="DJ67" s="165">
        <f>DJ38-'D2C Online'!DA70-SUM('D2C Online'!DA72:DA76)</f>
        <v>88596717.468620032</v>
      </c>
      <c r="DK67" s="165">
        <f>DK38-'D2C Online'!DB70-SUM('D2C Online'!DB72:DB76)</f>
        <v>83483465.834521562</v>
      </c>
      <c r="DL67" s="165">
        <f>DL38-'D2C Online'!DC70-SUM('D2C Online'!DC72:DC76)</f>
        <v>91325173.534065664</v>
      </c>
      <c r="DM67" s="165">
        <f>DM38-'D2C Online'!DD70-SUM('D2C Online'!DD72:DD76)</f>
        <v>88799789.580361187</v>
      </c>
      <c r="DN67" s="165">
        <f>DN38-'D2C Online'!DE70-SUM('D2C Online'!DE72:DE76)</f>
        <v>89008068.669326484</v>
      </c>
      <c r="DO67" s="165">
        <f>DO38-'D2C Online'!DF70-SUM('D2C Online'!DF72:DF76)</f>
        <v>109258003.093979</v>
      </c>
      <c r="DP67" s="165">
        <f>DP38-'D2C Online'!DG70-SUM('D2C Online'!DG72:DG76)</f>
        <v>117724548.06041896</v>
      </c>
      <c r="DQ67" s="165">
        <f>DQ38-'D2C Online'!DH70-SUM('D2C Online'!DH72:DH76)</f>
        <v>100926839.53536651</v>
      </c>
      <c r="DR67" s="165">
        <f>DR38-'D2C Online'!DI70-SUM('D2C Online'!DI72:DI76)</f>
        <v>109060137.95946191</v>
      </c>
      <c r="DS67" s="165">
        <f>DS38-'D2C Online'!DJ70-SUM('D2C Online'!DJ72:DJ76)</f>
        <v>101481814.38384685</v>
      </c>
      <c r="DT67" s="165">
        <f>DT38-'D2C Online'!DK70-SUM('D2C Online'!DK72:DK76)</f>
        <v>102514661.51608834</v>
      </c>
      <c r="DU67" s="165">
        <f>DU38-'D2C Online'!DL70-SUM('D2C Online'!DL72:DL76)</f>
        <v>102441323.25817773</v>
      </c>
      <c r="DV67" s="165">
        <f>DV38-'D2C Online'!DM70-SUM('D2C Online'!DM72:DM76)</f>
        <v>103987538.19579372</v>
      </c>
      <c r="DW67" s="165">
        <f>DW38-'D2C Online'!DN70-SUM('D2C Online'!DN72:DN76)</f>
        <v>97986024.090106398</v>
      </c>
      <c r="DX67" s="165">
        <f>DX38-'D2C Online'!DO70-SUM('D2C Online'!DO72:DO76)</f>
        <v>107189975.45789154</v>
      </c>
      <c r="DY67" s="165">
        <f>DY38-'D2C Online'!DP70-SUM('D2C Online'!DP72:DP76)</f>
        <v>104225887.53400332</v>
      </c>
      <c r="DZ67" s="165">
        <f>DZ38-'D2C Online'!DQ70-SUM('D2C Online'!DQ72:DQ76)</f>
        <v>104470348.3937054</v>
      </c>
      <c r="EA67" s="165">
        <f>EA38-'D2C Online'!DR70-SUM('D2C Online'!DR72:DR76)</f>
        <v>128238055.47824502</v>
      </c>
      <c r="EB67" s="165">
        <f>EB38-'D2C Online'!DS70-SUM('D2C Online'!DS72:DS76)</f>
        <v>138175389.42513666</v>
      </c>
      <c r="EC67" s="165">
        <f>EC38-'D2C Online'!DT70-SUM('D2C Online'!DT72:DT76)</f>
        <v>118459621.09015982</v>
      </c>
      <c r="ED67" s="165">
        <f>ED38-'D2C Online'!DU70-SUM('D2C Online'!DU72:DU76)</f>
        <v>128005817.66152793</v>
      </c>
      <c r="EE67" s="168"/>
      <c r="EF67" s="165">
        <f>SUM(BK67:BM67)</f>
        <v>80501943.456443667</v>
      </c>
      <c r="EG67" s="165">
        <f>SUM(BN67:BP67)</f>
        <v>72104933.991802692</v>
      </c>
      <c r="EH67" s="165">
        <f>SUM(BQ67:BS67)</f>
        <v>112601915.3347836</v>
      </c>
      <c r="EI67" s="165">
        <f>SUM(BT67:BV67)</f>
        <v>119759965.45339927</v>
      </c>
      <c r="EJ67" s="165">
        <f>SUM(BW67:BY67)</f>
        <v>136047888.76470968</v>
      </c>
      <c r="EK67" s="165">
        <f>SUM(CL67:CN67)</f>
        <v>209183468.90577823</v>
      </c>
      <c r="EL67" s="165">
        <f>SUM(CC67:CE67)</f>
        <v>152941244.18794546</v>
      </c>
      <c r="EM67" s="165">
        <f>SUM(CF67:CH67)</f>
        <v>181995283.25282437</v>
      </c>
      <c r="EN67" s="165">
        <f>SUM(CI67:CK67)</f>
        <v>193266948.4787308</v>
      </c>
      <c r="EO67" s="165">
        <f>SUM(CL67:CN67)</f>
        <v>209183468.90577823</v>
      </c>
      <c r="EP67" s="165">
        <f>SUM(CO67:CQ67)</f>
        <v>198515807.58955818</v>
      </c>
      <c r="EQ67" s="165">
        <f>SUM(CR67:CT67)</f>
        <v>199297350.88729432</v>
      </c>
      <c r="ER67" s="165">
        <f>SUM(CU67:CW67)</f>
        <v>222384435.58525395</v>
      </c>
      <c r="ES67" s="165">
        <f>SUM(CX67:CZ67)</f>
        <v>224362526.53419843</v>
      </c>
      <c r="ET67" s="165">
        <f>SUM(DA67:DC67)</f>
        <v>244515991.26963246</v>
      </c>
      <c r="EU67" s="165">
        <f>SUM(DD67:DF67)</f>
        <v>279137018.0576601</v>
      </c>
      <c r="EV67" s="165">
        <f>SUM(DG67:DI67)</f>
        <v>261083044.995244</v>
      </c>
      <c r="EW67" s="165">
        <f>SUM(DJ67:DL67)</f>
        <v>263405356.83720726</v>
      </c>
      <c r="EX67" s="165">
        <f>SUM(DM67:DO67)</f>
        <v>287065861.34366667</v>
      </c>
      <c r="EY67" s="165">
        <f>SUM(DP67:DR67)</f>
        <v>327711525.55524737</v>
      </c>
      <c r="EZ67" s="165">
        <f t="shared" si="83"/>
        <v>306437799.15811288</v>
      </c>
      <c r="FA67" s="165">
        <f t="shared" si="84"/>
        <v>309163537.74379164</v>
      </c>
      <c r="FB67" s="165">
        <f t="shared" si="85"/>
        <v>336934291.40595376</v>
      </c>
      <c r="FC67" s="165">
        <f t="shared" si="86"/>
        <v>384640828.17682439</v>
      </c>
      <c r="FE67" s="165">
        <f t="shared" si="87"/>
        <v>384968758.23642921</v>
      </c>
      <c r="FF67" s="165">
        <f t="shared" si="88"/>
        <v>680167885.11125779</v>
      </c>
      <c r="FG67" s="165">
        <f t="shared" si="89"/>
        <v>800263575.8613615</v>
      </c>
      <c r="FH67" s="165">
        <f t="shared" si="90"/>
        <v>970399971.44674492</v>
      </c>
      <c r="FI67" s="165">
        <f t="shared" si="91"/>
        <v>1139265788.7313652</v>
      </c>
      <c r="FJ67" s="165">
        <f t="shared" si="92"/>
        <v>1337176456.4846828</v>
      </c>
    </row>
    <row r="68" spans="2:166" x14ac:dyDescent="0.2">
      <c r="B68" s="155" t="s">
        <v>229</v>
      </c>
      <c r="C68" s="165">
        <f t="shared" ref="C68" si="302">C39-C54</f>
        <v>0</v>
      </c>
      <c r="D68" s="165">
        <f t="shared" ref="D68:AA68" si="303">D39-D54</f>
        <v>0</v>
      </c>
      <c r="E68" s="165">
        <f t="shared" si="303"/>
        <v>0</v>
      </c>
      <c r="F68" s="165">
        <f t="shared" si="303"/>
        <v>0</v>
      </c>
      <c r="G68" s="165">
        <f t="shared" si="303"/>
        <v>0</v>
      </c>
      <c r="H68" s="165">
        <f t="shared" si="303"/>
        <v>0</v>
      </c>
      <c r="I68" s="165">
        <f t="shared" si="303"/>
        <v>0</v>
      </c>
      <c r="J68" s="165">
        <f t="shared" si="303"/>
        <v>0</v>
      </c>
      <c r="K68" s="165">
        <f t="shared" si="303"/>
        <v>0</v>
      </c>
      <c r="L68" s="165">
        <f t="shared" si="303"/>
        <v>0</v>
      </c>
      <c r="M68" s="165">
        <f t="shared" si="303"/>
        <v>0</v>
      </c>
      <c r="N68" s="165">
        <f t="shared" si="303"/>
        <v>0</v>
      </c>
      <c r="O68" s="165">
        <f t="shared" si="303"/>
        <v>0</v>
      </c>
      <c r="P68" s="165">
        <f t="shared" si="303"/>
        <v>0</v>
      </c>
      <c r="Q68" s="165">
        <f t="shared" si="303"/>
        <v>0</v>
      </c>
      <c r="R68" s="165">
        <f t="shared" si="303"/>
        <v>0</v>
      </c>
      <c r="S68" s="165">
        <f t="shared" si="303"/>
        <v>0</v>
      </c>
      <c r="T68" s="165">
        <f t="shared" si="303"/>
        <v>0</v>
      </c>
      <c r="U68" s="165">
        <f t="shared" si="303"/>
        <v>0</v>
      </c>
      <c r="V68" s="165">
        <f t="shared" si="303"/>
        <v>0</v>
      </c>
      <c r="W68" s="165">
        <f t="shared" si="303"/>
        <v>0</v>
      </c>
      <c r="X68" s="165">
        <f t="shared" si="303"/>
        <v>0</v>
      </c>
      <c r="Y68" s="165">
        <f t="shared" si="303"/>
        <v>0</v>
      </c>
      <c r="Z68" s="165">
        <f t="shared" si="303"/>
        <v>0</v>
      </c>
      <c r="AA68" s="165">
        <f t="shared" si="303"/>
        <v>0</v>
      </c>
      <c r="AB68" s="165">
        <v>0</v>
      </c>
      <c r="AC68" s="165">
        <v>0</v>
      </c>
      <c r="AD68" s="165">
        <v>0</v>
      </c>
      <c r="AE68" s="165">
        <v>0</v>
      </c>
      <c r="AF68" s="165">
        <v>0</v>
      </c>
      <c r="AG68" s="165">
        <v>0</v>
      </c>
      <c r="AH68" s="165">
        <v>0</v>
      </c>
      <c r="AI68" s="165">
        <v>0</v>
      </c>
      <c r="AJ68" s="165">
        <f>'D2C - Refurbished'!C58</f>
        <v>6405964.1050247522</v>
      </c>
      <c r="AK68" s="165">
        <f>'D2C - Refurbished'!D58</f>
        <v>6586264.2564534014</v>
      </c>
      <c r="AL68" s="165">
        <f>'D2C - Refurbished'!E58</f>
        <v>8513614.8219131622</v>
      </c>
      <c r="AM68" s="165">
        <f>'D2C - Refurbished'!F58</f>
        <v>4980615.4485504096</v>
      </c>
      <c r="AN68" s="165">
        <f>'D2C - Refurbished'!G58</f>
        <v>139843.14743205017</v>
      </c>
      <c r="AO68" s="165">
        <f>'D2C - Refurbished'!H58</f>
        <v>3429064.1835872</v>
      </c>
      <c r="AP68" s="165">
        <f>'D2C - Refurbished'!I58</f>
        <v>5660712.7204484195</v>
      </c>
      <c r="AQ68" s="165">
        <f>'D2C - Refurbished'!J58</f>
        <v>6989761.191309168</v>
      </c>
      <c r="AR68" s="165">
        <f>'D2C - Refurbished'!K58</f>
        <v>7845050.8692353284</v>
      </c>
      <c r="AS68" s="165">
        <f>'D2C - Refurbished'!L58</f>
        <v>9522322.3393298872</v>
      </c>
      <c r="AT68" s="165">
        <f>'D2C - Refurbished'!M58</f>
        <v>16844660.330202356</v>
      </c>
      <c r="AU68" s="165">
        <f>'D2C - Refurbished'!N58</f>
        <v>18617088.3348024</v>
      </c>
      <c r="AV68" s="165">
        <f>'D2C - Refurbished'!O58</f>
        <v>15995196.569759313</v>
      </c>
      <c r="AW68" s="165">
        <f>'D2C - Refurbished'!P58</f>
        <v>18617967.650132634</v>
      </c>
      <c r="AX68" s="165">
        <f>'D2C - Refurbished'!Q58</f>
        <v>21123692.370927565</v>
      </c>
      <c r="AY68" s="165">
        <f>'D2C - Refurbished'!R58</f>
        <v>19187560.399676189</v>
      </c>
      <c r="AZ68" s="165">
        <f>'D2C - Refurbished'!S58</f>
        <v>20940982.947994426</v>
      </c>
      <c r="BA68" s="165">
        <f>'D2C - Refurbished'!T58</f>
        <v>24756472.480234958</v>
      </c>
      <c r="BB68" s="165">
        <f>'D2C - Refurbished'!U58</f>
        <v>27078755.923218295</v>
      </c>
      <c r="BC68" s="165">
        <f>'D2C - Refurbished'!V58</f>
        <v>25037847.850740906</v>
      </c>
      <c r="BD68" s="165">
        <f>'D2C - Refurbished'!W58</f>
        <v>19844092.470799014</v>
      </c>
      <c r="BE68" s="165">
        <f>'D2C - Refurbished'!X58</f>
        <v>24600656.01484099</v>
      </c>
      <c r="BF68" s="165">
        <f>'D2C - Refurbished'!Y58</f>
        <v>25653653.508843362</v>
      </c>
      <c r="BG68" s="165">
        <f>'D2C - Refurbished'!Z58</f>
        <v>32854161.747707322</v>
      </c>
      <c r="BH68" s="165">
        <f>'D2C - Refurbished'!AA58</f>
        <v>37889775.278132826</v>
      </c>
      <c r="BI68" s="165">
        <f>'D2C - Refurbished'!AB58</f>
        <v>39085961.956495665</v>
      </c>
      <c r="BJ68" s="165">
        <f>'D2C - Refurbished'!AC58</f>
        <v>46832828.715064816</v>
      </c>
      <c r="BK68" s="165">
        <f>'D2C - Refurbished'!AD58</f>
        <v>43586570.365998298</v>
      </c>
      <c r="BL68" s="165">
        <f>'D2C - Refurbished'!AE58</f>
        <v>49711080.690968998</v>
      </c>
      <c r="BM68" s="165">
        <f>'D2C - Refurbished'!AF58</f>
        <v>53196754.349175639</v>
      </c>
      <c r="BN68" s="165">
        <f>'D2C - Refurbished'!AG58</f>
        <v>48600165.099911816</v>
      </c>
      <c r="BO68" s="165">
        <f>'D2C - Refurbished'!AH58</f>
        <v>48908478.294310734</v>
      </c>
      <c r="BP68" s="165">
        <f>'D2C - Refurbished'!AI58</f>
        <v>42171582.812541492</v>
      </c>
      <c r="BQ68" s="165">
        <f>'D2C - Refurbished'!AJ58</f>
        <v>55921202.269442737</v>
      </c>
      <c r="BR68" s="165">
        <f>'D2C - Refurbished'!AK58</f>
        <v>55676287.752756208</v>
      </c>
      <c r="BS68" s="165">
        <f>'D2C - Refurbished'!AL58</f>
        <v>49742369.249887727</v>
      </c>
      <c r="BT68" s="165">
        <f>'D2C - Refurbished'!AM58</f>
        <v>47980963.501879826</v>
      </c>
      <c r="BU68" s="165">
        <f>'D2C - Refurbished'!AN58</f>
        <v>53126013.667321935</v>
      </c>
      <c r="BV68" s="165">
        <f>'D2C - Refurbished'!AO58</f>
        <v>60104245.482494093</v>
      </c>
      <c r="BW68" s="165">
        <f>'D2C - Refurbished'!AP58</f>
        <v>57691747.29930006</v>
      </c>
      <c r="BX68" s="165">
        <f>'D2C - Refurbished'!AQ58</f>
        <v>62886046.808907084</v>
      </c>
      <c r="BY68" s="165">
        <f>'D2C - Refurbished'!AR58</f>
        <v>65779132.900865451</v>
      </c>
      <c r="BZ68" s="165">
        <f>'D2C - Refurbished'!AS58</f>
        <v>63092650.708682902</v>
      </c>
      <c r="CA68" s="165">
        <f>'D2C - Refurbished'!AT58</f>
        <v>53878786.307530306</v>
      </c>
      <c r="CB68" s="165">
        <f>'D2C - Refurbished'!AU58</f>
        <v>43890970.945764095</v>
      </c>
      <c r="CC68" s="165">
        <f>'D2C - Refurbished'!AV58</f>
        <v>63256141.995156802</v>
      </c>
      <c r="CD68" s="165">
        <f>'D2C - Refurbished'!AW58</f>
        <v>64576732.610779859</v>
      </c>
      <c r="CE68" s="165">
        <f>'D2C - Refurbished'!AX58</f>
        <v>74408306.632047921</v>
      </c>
      <c r="CF68" s="165">
        <f>'D2C - Refurbished'!AY58</f>
        <v>72763353.394765705</v>
      </c>
      <c r="CG68" s="165">
        <f>'D2C - Refurbished'!AZ58</f>
        <v>70032671.067026064</v>
      </c>
      <c r="CH68" s="165">
        <f>'D2C - Refurbished'!BA58</f>
        <v>87029218.180393592</v>
      </c>
      <c r="CI68" s="165">
        <f>'D2C - Refurbished'!BB58</f>
        <v>86054065.396828935</v>
      </c>
      <c r="CJ68" s="165">
        <f>'D2C - Refurbished'!BC58</f>
        <v>79187223.138861939</v>
      </c>
      <c r="CK68" s="165">
        <f>'D2C - Refurbished'!BD58</f>
        <v>89351940.908555061</v>
      </c>
      <c r="CL68" s="165">
        <f>'D2C - Refurbished'!BE58</f>
        <v>92068123.206889316</v>
      </c>
      <c r="CM68" s="165">
        <f>'D2C - Refurbished'!BF58</f>
        <v>86990867.445878372</v>
      </c>
      <c r="CN68" s="165">
        <f>'D2C - Refurbished'!BG58</f>
        <v>79636428.049726114</v>
      </c>
      <c r="CO68" s="165">
        <f>'D2C - Refurbished'!BH58</f>
        <v>118832298.92153031</v>
      </c>
      <c r="CP68" s="165">
        <f>'D2C - Refurbished'!BI58</f>
        <v>105597774.1750423</v>
      </c>
      <c r="CQ68" s="165">
        <f>'D2C - Refurbished'!BJ58</f>
        <v>116198468.44109172</v>
      </c>
      <c r="CR68" s="165">
        <f>'D2C - Refurbished'!BK58</f>
        <v>125196532.81125872</v>
      </c>
      <c r="CS68" s="165">
        <f>'D2C - Refurbished'!BL58</f>
        <v>116028197.22211903</v>
      </c>
      <c r="CT68" s="165">
        <f>'D2C - Refurbished'!BM58</f>
        <v>123469015.03677982</v>
      </c>
      <c r="CU68" s="165">
        <f>'D2C - Refurbished'!BN58</f>
        <v>121654529.88004778</v>
      </c>
      <c r="CV68" s="165">
        <f>'D2C - Refurbished'!BO58</f>
        <v>118819232.51953366</v>
      </c>
      <c r="CW68" s="165">
        <f>'D2C - Refurbished'!BP58</f>
        <v>118411195.77060993</v>
      </c>
      <c r="CX68" s="165">
        <f>'D2C - Refurbished'!BQ58</f>
        <v>129054292.59970534</v>
      </c>
      <c r="CY68" s="165">
        <f>'D2C - Refurbished'!BR58</f>
        <v>113970070.29279795</v>
      </c>
      <c r="CZ68" s="165">
        <f>'D2C - Refurbished'!BS58</f>
        <v>104837071.78827488</v>
      </c>
      <c r="DA68" s="165">
        <f>'D2C - Refurbished'!BT58</f>
        <v>133580029.8757036</v>
      </c>
      <c r="DB68" s="165">
        <f>'D2C - Refurbished'!BU58</f>
        <v>121960653.31405343</v>
      </c>
      <c r="DC68" s="165">
        <f>'D2C - Refurbished'!BV58</f>
        <v>147228165.84824249</v>
      </c>
      <c r="DD68" s="165">
        <f>'D2C - Refurbished'!BW58</f>
        <v>151044355.42386734</v>
      </c>
      <c r="DE68" s="165">
        <f>'D2C - Refurbished'!BX58</f>
        <v>139480109.36571655</v>
      </c>
      <c r="DF68" s="165">
        <f>'D2C - Refurbished'!BY58</f>
        <v>164043319.95436549</v>
      </c>
      <c r="DG68" s="165">
        <f>'D2C - Refurbished'!BZ58</f>
        <v>149063988.01922327</v>
      </c>
      <c r="DH68" s="165">
        <f>'D2C - Refurbished'!CA58</f>
        <v>145982641.09865996</v>
      </c>
      <c r="DI68" s="165">
        <f>'D2C - Refurbished'!CB58</f>
        <v>144738815.28948939</v>
      </c>
      <c r="DJ68" s="165">
        <f>'D2C - Refurbished'!CC58</f>
        <v>157593694.1209527</v>
      </c>
      <c r="DK68" s="165">
        <f>'D2C - Refurbished'!CD58</f>
        <v>138986804.10050744</v>
      </c>
      <c r="DL68" s="165">
        <f>'D2C - Refurbished'!CE58</f>
        <v>127622876.71906525</v>
      </c>
      <c r="DM68" s="165">
        <f>'D2C - Refurbished'!CF58</f>
        <v>161884637.52666643</v>
      </c>
      <c r="DN68" s="165">
        <f>'D2C - Refurbished'!CG58</f>
        <v>147108932.68287274</v>
      </c>
      <c r="DO68" s="165">
        <f>'D2C - Refurbished'!CH58</f>
        <v>176817167.60973585</v>
      </c>
      <c r="DP68" s="165">
        <f>'D2C - Refurbished'!CI58</f>
        <v>180634197.74539745</v>
      </c>
      <c r="DQ68" s="165">
        <f>'D2C - Refurbished'!CJ58</f>
        <v>166055610.09054095</v>
      </c>
      <c r="DR68" s="165">
        <f>'D2C - Refurbished'!CK58</f>
        <v>193035282.99343026</v>
      </c>
      <c r="DS68" s="165">
        <f>'D2C - Refurbished'!CL58</f>
        <v>168118622.89846224</v>
      </c>
      <c r="DT68" s="165">
        <f>'D2C - Refurbished'!CM58</f>
        <v>164496582.23466274</v>
      </c>
      <c r="DU68" s="165">
        <f>'D2C - Refurbished'!CN58</f>
        <v>162999606.95954424</v>
      </c>
      <c r="DV68" s="165">
        <f>'D2C - Refurbished'!CO58</f>
        <v>177371137.39448249</v>
      </c>
      <c r="DW68" s="165">
        <f>'D2C - Refurbished'!CP58</f>
        <v>156299190.73566505</v>
      </c>
      <c r="DX68" s="165">
        <f>'D2C - Refurbished'!CQ58</f>
        <v>143362939.61908934</v>
      </c>
      <c r="DY68" s="165">
        <f>'D2C - Refurbished'!CR58</f>
        <v>181792833.03769946</v>
      </c>
      <c r="DZ68" s="165">
        <f>'D2C - Refurbished'!CS58</f>
        <v>165113511.3578319</v>
      </c>
      <c r="EA68" s="165">
        <f>'D2C - Refurbished'!CT58</f>
        <v>198398688.49199927</v>
      </c>
      <c r="EB68" s="165">
        <f>'D2C - Refurbished'!CU58</f>
        <v>202627124.60362005</v>
      </c>
      <c r="EC68" s="165">
        <f>'D2C - Refurbished'!CV58</f>
        <v>186177972.59775838</v>
      </c>
      <c r="ED68" s="165">
        <f>'D2C - Refurbished'!CW58</f>
        <v>216365777.29435197</v>
      </c>
      <c r="EE68" s="168"/>
      <c r="EF68" s="165">
        <f>SUM(BK68:BM68)</f>
        <v>146494405.40614292</v>
      </c>
      <c r="EG68" s="165">
        <f>SUM(BN68:BP68)</f>
        <v>139680226.20676404</v>
      </c>
      <c r="EH68" s="165">
        <f>SUM(BQ68:BS68)</f>
        <v>161339859.27208668</v>
      </c>
      <c r="EI68" s="165">
        <f>SUM(BT68:BV68)</f>
        <v>161211222.65169585</v>
      </c>
      <c r="EJ68" s="165">
        <f>SUM(BW68:BY68)</f>
        <v>186356927.0090726</v>
      </c>
      <c r="EK68" s="165">
        <f>SUM(CL68:CN68)</f>
        <v>258695418.70249379</v>
      </c>
      <c r="EL68" s="165">
        <f>SUM(CC68:CE68)</f>
        <v>202241181.2379846</v>
      </c>
      <c r="EM68" s="165">
        <f>SUM(CF68:CH68)</f>
        <v>229825242.64218533</v>
      </c>
      <c r="EN68" s="165">
        <f>SUM(CI68:CK68)</f>
        <v>254593229.44424593</v>
      </c>
      <c r="EO68" s="165">
        <f>SUM(CL68:CN68)</f>
        <v>258695418.70249379</v>
      </c>
      <c r="EP68" s="165">
        <f>SUM(CO68:CQ68)</f>
        <v>340628541.53766429</v>
      </c>
      <c r="EQ68" s="165">
        <f>SUM(CR68:CT68)</f>
        <v>364693745.07015759</v>
      </c>
      <c r="ER68" s="165">
        <f>SUM(CU68:CW68)</f>
        <v>358884958.17019135</v>
      </c>
      <c r="ES68" s="165">
        <f>SUM(CX68:CZ68)</f>
        <v>347861434.68077815</v>
      </c>
      <c r="ET68" s="165">
        <f>SUM(DA68:DC68)</f>
        <v>402768849.03799951</v>
      </c>
      <c r="EU68" s="165">
        <f>SUM(DD68:DF68)</f>
        <v>454567784.74394941</v>
      </c>
      <c r="EV68" s="165">
        <f>SUM(DG68:DI68)</f>
        <v>439785444.40737259</v>
      </c>
      <c r="EW68" s="165">
        <f>SUM(DJ68:DL68)</f>
        <v>424203374.94052535</v>
      </c>
      <c r="EX68" s="165">
        <f>SUM(DM68:DO68)</f>
        <v>485810737.81927502</v>
      </c>
      <c r="EY68" s="165">
        <f>SUM(DP68:DR68)</f>
        <v>539725090.82936859</v>
      </c>
      <c r="EZ68" s="165">
        <f t="shared" ref="EZ68:EZ131" si="304">SUM(DS68:DU68)</f>
        <v>495614812.09266919</v>
      </c>
      <c r="FA68" s="165">
        <f t="shared" ref="FA68:FA131" si="305">SUM(DV68:DX68)</f>
        <v>477033267.74923694</v>
      </c>
      <c r="FB68" s="165">
        <f t="shared" ref="FB68:FB131" si="306">SUM(DY68:EA68)</f>
        <v>545305032.88753057</v>
      </c>
      <c r="FC68" s="165">
        <f t="shared" ref="FC68:FC131" si="307">SUM(EB68:ED68)</f>
        <v>605170874.4957304</v>
      </c>
      <c r="FE68" s="165">
        <f t="shared" ref="FE68:FE132" si="308">SUM(EF68:EI68)</f>
        <v>608725713.53668952</v>
      </c>
      <c r="FF68" s="165">
        <f t="shared" ref="FF68:FF132" si="309">SUM(EJ68:EM68)</f>
        <v>877118769.59173632</v>
      </c>
      <c r="FG68" s="165">
        <f t="shared" ref="FG68:FG132" si="310">SUM(EN68:EQ68)</f>
        <v>1218610934.7545617</v>
      </c>
      <c r="FH68" s="165">
        <f t="shared" ref="FH68:FH132" si="311">SUM(ER68:EU68)</f>
        <v>1564083026.6329184</v>
      </c>
      <c r="FI68" s="165">
        <f t="shared" ref="FI68:FI132" si="312">SUM(EV68:EY68)</f>
        <v>1889524647.9965415</v>
      </c>
      <c r="FJ68" s="165">
        <f t="shared" ref="FJ68:FJ131" si="313">SUM(EZ68:FC68)</f>
        <v>2123123987.225167</v>
      </c>
    </row>
    <row r="69" spans="2:166" x14ac:dyDescent="0.2">
      <c r="B69" s="22" t="s">
        <v>29</v>
      </c>
      <c r="C69" s="161">
        <f t="shared" ref="C69:AH69" si="314">C65/C36</f>
        <v>0.18311507555586895</v>
      </c>
      <c r="D69" s="161">
        <f t="shared" si="314"/>
        <v>0.16489268894948622</v>
      </c>
      <c r="E69" s="161">
        <f t="shared" si="314"/>
        <v>0.14578671139561214</v>
      </c>
      <c r="F69" s="161">
        <f t="shared" si="314"/>
        <v>7.9270701821187908E-2</v>
      </c>
      <c r="G69" s="161">
        <f t="shared" si="314"/>
        <v>9.8302870461877009E-2</v>
      </c>
      <c r="H69" s="161">
        <f t="shared" si="314"/>
        <v>0.15140441974880453</v>
      </c>
      <c r="I69" s="161">
        <f t="shared" si="314"/>
        <v>0.22495989682221917</v>
      </c>
      <c r="J69" s="161">
        <f t="shared" si="314"/>
        <v>0.30499898465373348</v>
      </c>
      <c r="K69" s="161">
        <f t="shared" si="314"/>
        <v>0.26595955461684279</v>
      </c>
      <c r="L69" s="161">
        <f t="shared" si="314"/>
        <v>0.23434944395155013</v>
      </c>
      <c r="M69" s="161">
        <f t="shared" si="314"/>
        <v>0.20443512038831538</v>
      </c>
      <c r="N69" s="161">
        <f t="shared" si="314"/>
        <v>0.23686905530000313</v>
      </c>
      <c r="O69" s="161">
        <f t="shared" si="314"/>
        <v>0.17338432425360786</v>
      </c>
      <c r="P69" s="161">
        <f t="shared" si="314"/>
        <v>0.15249576865704773</v>
      </c>
      <c r="Q69" s="161">
        <f t="shared" si="314"/>
        <v>0.11704038209983264</v>
      </c>
      <c r="R69" s="161">
        <f t="shared" si="314"/>
        <v>0.15438150630495059</v>
      </c>
      <c r="S69" s="161">
        <f t="shared" si="314"/>
        <v>0.17949817513172006</v>
      </c>
      <c r="T69" s="161">
        <f t="shared" si="314"/>
        <v>0.10447807347460136</v>
      </c>
      <c r="U69" s="161">
        <f t="shared" si="314"/>
        <v>0.17782376075098633</v>
      </c>
      <c r="V69" s="161">
        <f t="shared" si="314"/>
        <v>6.8556629086570522E-2</v>
      </c>
      <c r="W69" s="161">
        <f t="shared" si="314"/>
        <v>0.13492456371946016</v>
      </c>
      <c r="X69" s="161">
        <f t="shared" si="314"/>
        <v>0.1009467238497188</v>
      </c>
      <c r="Y69" s="161">
        <f t="shared" si="314"/>
        <v>4.2496199695783464E-2</v>
      </c>
      <c r="Z69" s="161">
        <f t="shared" si="314"/>
        <v>8.337067337263962E-2</v>
      </c>
      <c r="AA69" s="161">
        <f t="shared" si="314"/>
        <v>0.5149255623103417</v>
      </c>
      <c r="AB69" s="161">
        <f t="shared" si="314"/>
        <v>0.13063752424711739</v>
      </c>
      <c r="AC69" s="161">
        <f t="shared" si="314"/>
        <v>0.24701679419841058</v>
      </c>
      <c r="AD69" s="161">
        <f t="shared" si="314"/>
        <v>0.29114536694326465</v>
      </c>
      <c r="AE69" s="161">
        <f t="shared" si="314"/>
        <v>0.23055345058163917</v>
      </c>
      <c r="AF69" s="161">
        <f t="shared" si="314"/>
        <v>0.16471738029586036</v>
      </c>
      <c r="AG69" s="161">
        <f t="shared" si="314"/>
        <v>0.16072342057791944</v>
      </c>
      <c r="AH69" s="161">
        <f t="shared" si="314"/>
        <v>0.16667869363258675</v>
      </c>
      <c r="AI69" s="161">
        <f t="shared" ref="AI69:BN69" si="315">AI65/AI36</f>
        <v>0.19801000592719742</v>
      </c>
      <c r="AJ69" s="161">
        <f t="shared" si="315"/>
        <v>0.18215853754239034</v>
      </c>
      <c r="AK69" s="161">
        <f t="shared" si="315"/>
        <v>0.19385924065007104</v>
      </c>
      <c r="AL69" s="161">
        <f t="shared" si="315"/>
        <v>0.20354388337510476</v>
      </c>
      <c r="AM69" s="161">
        <f t="shared" si="315"/>
        <v>0.19504749867078564</v>
      </c>
      <c r="AN69" s="161">
        <f t="shared" si="315"/>
        <v>0.17450891792599671</v>
      </c>
      <c r="AO69" s="161">
        <f t="shared" si="315"/>
        <v>0.16863687672293684</v>
      </c>
      <c r="AP69" s="161">
        <f t="shared" si="315"/>
        <v>0.17207836205925495</v>
      </c>
      <c r="AQ69" s="161">
        <f t="shared" si="315"/>
        <v>0.1586097278992401</v>
      </c>
      <c r="AR69" s="161">
        <f t="shared" si="315"/>
        <v>0.14468302258990537</v>
      </c>
      <c r="AS69" s="161">
        <f t="shared" si="315"/>
        <v>0.1809211647895759</v>
      </c>
      <c r="AT69" s="161">
        <f t="shared" si="315"/>
        <v>0.21930733950484027</v>
      </c>
      <c r="AU69" s="161">
        <f t="shared" si="315"/>
        <v>0.19656122898825829</v>
      </c>
      <c r="AV69" s="161">
        <f t="shared" si="315"/>
        <v>0.18243062381693109</v>
      </c>
      <c r="AW69" s="161">
        <f t="shared" si="315"/>
        <v>0.1767873697554678</v>
      </c>
      <c r="AX69" s="161">
        <f t="shared" si="315"/>
        <v>0.159433371490215</v>
      </c>
      <c r="AY69" s="161">
        <f t="shared" si="315"/>
        <v>0.17319709219618998</v>
      </c>
      <c r="AZ69" s="161">
        <f t="shared" si="315"/>
        <v>0.16922146922472453</v>
      </c>
      <c r="BA69" s="161">
        <f t="shared" si="315"/>
        <v>0.17578569356602713</v>
      </c>
      <c r="BB69" s="161">
        <f t="shared" si="315"/>
        <v>0.170655252590006</v>
      </c>
      <c r="BC69" s="161">
        <f t="shared" si="315"/>
        <v>0.15913199915853843</v>
      </c>
      <c r="BD69" s="161">
        <f t="shared" si="315"/>
        <v>0.14353840637905627</v>
      </c>
      <c r="BE69" s="161">
        <f t="shared" si="315"/>
        <v>0.1669477651020875</v>
      </c>
      <c r="BF69" s="161">
        <f t="shared" si="315"/>
        <v>0.15738781084345768</v>
      </c>
      <c r="BG69" s="161">
        <f t="shared" si="315"/>
        <v>0.16100384627385042</v>
      </c>
      <c r="BH69" s="161">
        <f t="shared" si="315"/>
        <v>0.17051500900768907</v>
      </c>
      <c r="BI69" s="161">
        <f t="shared" si="315"/>
        <v>0.17487801517588361</v>
      </c>
      <c r="BJ69" s="161">
        <f t="shared" si="315"/>
        <v>0.16271100991540496</v>
      </c>
      <c r="BK69" s="161">
        <f t="shared" si="315"/>
        <v>0.14518257072696619</v>
      </c>
      <c r="BL69" s="161">
        <f t="shared" si="315"/>
        <v>0.15861086149678438</v>
      </c>
      <c r="BM69" s="161">
        <f t="shared" si="315"/>
        <v>0.17226675664379651</v>
      </c>
      <c r="BN69" s="161">
        <f t="shared" si="315"/>
        <v>0.17742886807825314</v>
      </c>
      <c r="BO69" s="161">
        <f t="shared" ref="BO69:CT69" si="316">BO65/BO36</f>
        <v>0.18331971199324784</v>
      </c>
      <c r="BP69" s="161">
        <f t="shared" si="316"/>
        <v>0.15410398739214562</v>
      </c>
      <c r="BQ69" s="161">
        <f t="shared" si="316"/>
        <v>0.15249781880443797</v>
      </c>
      <c r="BR69" s="161">
        <f t="shared" si="316"/>
        <v>0.17429673910545421</v>
      </c>
      <c r="BS69" s="161">
        <f t="shared" si="316"/>
        <v>0.18241718918257652</v>
      </c>
      <c r="BT69" s="161">
        <f t="shared" si="316"/>
        <v>0.19591350068698093</v>
      </c>
      <c r="BU69" s="161">
        <f t="shared" si="316"/>
        <v>0.23822327339941601</v>
      </c>
      <c r="BV69" s="161">
        <f t="shared" si="316"/>
        <v>0.22167683885215447</v>
      </c>
      <c r="BW69" s="161">
        <f t="shared" si="316"/>
        <v>0.20376952871744114</v>
      </c>
      <c r="BX69" s="161">
        <f t="shared" si="316"/>
        <v>0.21327971765132095</v>
      </c>
      <c r="BY69" s="161">
        <f t="shared" si="316"/>
        <v>0.21946269049793887</v>
      </c>
      <c r="BZ69" s="161">
        <f t="shared" si="316"/>
        <v>0.21556021381987894</v>
      </c>
      <c r="CA69" s="161">
        <f t="shared" si="316"/>
        <v>0.21836245607532845</v>
      </c>
      <c r="CB69" s="161">
        <f t="shared" si="316"/>
        <v>0.21125518503176341</v>
      </c>
      <c r="CC69" s="161">
        <f t="shared" si="316"/>
        <v>0.21457768285434495</v>
      </c>
      <c r="CD69" s="161">
        <f t="shared" si="316"/>
        <v>0.21989357853513203</v>
      </c>
      <c r="CE69" s="161">
        <f t="shared" si="316"/>
        <v>0.20943824020901758</v>
      </c>
      <c r="CF69" s="161">
        <f t="shared" si="316"/>
        <v>0.20147597800237613</v>
      </c>
      <c r="CG69" s="161">
        <f t="shared" si="316"/>
        <v>0.19684815151573301</v>
      </c>
      <c r="CH69" s="161">
        <f t="shared" si="316"/>
        <v>0.20033654882205043</v>
      </c>
      <c r="CI69" s="161">
        <f t="shared" si="316"/>
        <v>0.20291713290425051</v>
      </c>
      <c r="CJ69" s="161">
        <f t="shared" si="316"/>
        <v>0.200873934036672</v>
      </c>
      <c r="CK69" s="161">
        <f t="shared" si="316"/>
        <v>0.21618743461440915</v>
      </c>
      <c r="CL69" s="161">
        <f t="shared" si="316"/>
        <v>0.21095286540234229</v>
      </c>
      <c r="CM69" s="161">
        <f t="shared" si="316"/>
        <v>0.23149735896119153</v>
      </c>
      <c r="CN69" s="161">
        <f t="shared" si="316"/>
        <v>0.2091445095046337</v>
      </c>
      <c r="CO69" s="161">
        <f t="shared" si="316"/>
        <v>0.2203890565879458</v>
      </c>
      <c r="CP69" s="161">
        <f t="shared" si="316"/>
        <v>0.21741405339842843</v>
      </c>
      <c r="CQ69" s="179">
        <f t="shared" si="316"/>
        <v>0.19455563450324609</v>
      </c>
      <c r="CR69" s="161">
        <f t="shared" si="316"/>
        <v>0.19218159654516279</v>
      </c>
      <c r="CS69" s="161">
        <f t="shared" si="316"/>
        <v>0.18610277577806941</v>
      </c>
      <c r="CT69" s="161">
        <f t="shared" si="316"/>
        <v>0.17172867703922295</v>
      </c>
      <c r="CU69" s="161">
        <f t="shared" ref="CU69:FJ69" si="317">CU65/CU36</f>
        <v>0.20004857872521503</v>
      </c>
      <c r="CV69" s="161">
        <f t="shared" si="317"/>
        <v>0.19996524287280923</v>
      </c>
      <c r="CW69" s="161">
        <f t="shared" si="317"/>
        <v>0.19995551562502478</v>
      </c>
      <c r="CX69" s="161">
        <f t="shared" si="317"/>
        <v>0.20013302962314911</v>
      </c>
      <c r="CY69" s="161">
        <f t="shared" si="317"/>
        <v>0.19995606722726628</v>
      </c>
      <c r="CZ69" s="161">
        <f t="shared" si="317"/>
        <v>0.19953457674946051</v>
      </c>
      <c r="DA69" s="161">
        <f t="shared" si="317"/>
        <v>0.20020453327323143</v>
      </c>
      <c r="DB69" s="161">
        <f t="shared" si="317"/>
        <v>0.19997196403755965</v>
      </c>
      <c r="DC69" s="161">
        <f t="shared" si="317"/>
        <v>0.19997213635912453</v>
      </c>
      <c r="DD69" s="161">
        <f t="shared" si="317"/>
        <v>0.19986277683835579</v>
      </c>
      <c r="DE69" s="161">
        <f t="shared" si="317"/>
        <v>0.20001499212487933</v>
      </c>
      <c r="DF69" s="161">
        <f t="shared" si="317"/>
        <v>0.20023491802405835</v>
      </c>
      <c r="DG69" s="161">
        <f t="shared" si="317"/>
        <v>0.19893535865764025</v>
      </c>
      <c r="DH69" s="161">
        <f t="shared" si="317"/>
        <v>0.19885300251748328</v>
      </c>
      <c r="DI69" s="161">
        <f t="shared" si="317"/>
        <v>0.19883044566282804</v>
      </c>
      <c r="DJ69" s="161">
        <f t="shared" si="317"/>
        <v>0.1990172977389745</v>
      </c>
      <c r="DK69" s="161">
        <f t="shared" si="317"/>
        <v>0.19882724641455751</v>
      </c>
      <c r="DL69" s="161">
        <f t="shared" si="317"/>
        <v>0.19836980449835281</v>
      </c>
      <c r="DM69" s="161">
        <f t="shared" si="317"/>
        <v>0.19907620362980069</v>
      </c>
      <c r="DN69" s="161">
        <f t="shared" si="317"/>
        <v>0.19881650326473432</v>
      </c>
      <c r="DO69" s="161">
        <f t="shared" si="317"/>
        <v>0.19880034291192292</v>
      </c>
      <c r="DP69" s="161">
        <f t="shared" si="317"/>
        <v>0.19867073183538225</v>
      </c>
      <c r="DQ69" s="161">
        <f t="shared" si="317"/>
        <v>0.19882747258571526</v>
      </c>
      <c r="DR69" s="161">
        <f t="shared" si="317"/>
        <v>0.19903334239703044</v>
      </c>
      <c r="DS69" s="161">
        <f t="shared" ref="DS69:ED69" si="318">DS65/DS36</f>
        <v>0.19646694393023631</v>
      </c>
      <c r="DT69" s="161">
        <f t="shared" si="318"/>
        <v>0.19638982944182709</v>
      </c>
      <c r="DU69" s="161">
        <f t="shared" si="318"/>
        <v>0.19636786689723593</v>
      </c>
      <c r="DV69" s="161">
        <f t="shared" si="318"/>
        <v>0.19653716225499077</v>
      </c>
      <c r="DW69" s="161">
        <f t="shared" si="318"/>
        <v>0.19636107762520644</v>
      </c>
      <c r="DX69" s="161">
        <f t="shared" si="318"/>
        <v>0.19594282443082806</v>
      </c>
      <c r="DY69" s="161">
        <f t="shared" si="318"/>
        <v>0.19658580164379419</v>
      </c>
      <c r="DZ69" s="161">
        <f t="shared" si="318"/>
        <v>0.19634742010614895</v>
      </c>
      <c r="EA69" s="161">
        <f t="shared" si="318"/>
        <v>0.19633403291836971</v>
      </c>
      <c r="EB69" s="161">
        <f t="shared" si="318"/>
        <v>0.19621594912089968</v>
      </c>
      <c r="EC69" s="161">
        <f t="shared" si="318"/>
        <v>0.1963561754400297</v>
      </c>
      <c r="ED69" s="161">
        <f t="shared" si="318"/>
        <v>0.19654417583439832</v>
      </c>
      <c r="EE69" s="168"/>
      <c r="EF69" s="161">
        <f t="shared" si="317"/>
        <v>0.15889944609216386</v>
      </c>
      <c r="EG69" s="161">
        <f t="shared" si="317"/>
        <v>0.17145578010282597</v>
      </c>
      <c r="EH69" s="161">
        <f t="shared" si="317"/>
        <v>0.16820734729449058</v>
      </c>
      <c r="EI69" s="161">
        <f t="shared" si="317"/>
        <v>0.21750740051743303</v>
      </c>
      <c r="EJ69" s="161">
        <f t="shared" si="317"/>
        <v>0.21239788788922806</v>
      </c>
      <c r="EK69" s="161">
        <f t="shared" si="317"/>
        <v>0.2166496552770627</v>
      </c>
      <c r="EL69" s="161">
        <f t="shared" si="317"/>
        <v>0.21432932488769293</v>
      </c>
      <c r="EM69" s="161">
        <f t="shared" si="317"/>
        <v>0.19964865053980038</v>
      </c>
      <c r="EN69" s="161">
        <f t="shared" si="317"/>
        <v>0.20667204292347718</v>
      </c>
      <c r="EO69" s="161">
        <f t="shared" si="317"/>
        <v>0.2166496552770627</v>
      </c>
      <c r="EP69" s="161">
        <f t="shared" si="317"/>
        <v>0.20987457790883843</v>
      </c>
      <c r="EQ69" s="161">
        <f t="shared" si="317"/>
        <v>0.18298943119964564</v>
      </c>
      <c r="ER69" s="161">
        <f t="shared" si="317"/>
        <v>0.19999000849843707</v>
      </c>
      <c r="ES69" s="161">
        <f t="shared" si="317"/>
        <v>0.19988448200781359</v>
      </c>
      <c r="ET69" s="161">
        <f t="shared" si="317"/>
        <v>0.20004714075760033</v>
      </c>
      <c r="EU69" s="161">
        <f t="shared" si="317"/>
        <v>0.20003974835139546</v>
      </c>
      <c r="EV69" s="161">
        <f t="shared" si="317"/>
        <v>0.19887320061964783</v>
      </c>
      <c r="EW69" s="161">
        <f t="shared" si="317"/>
        <v>0.19874926339726229</v>
      </c>
      <c r="EX69" s="161">
        <f t="shared" si="317"/>
        <v>0.19889467642202374</v>
      </c>
      <c r="EY69" s="161">
        <f t="shared" si="317"/>
        <v>0.1988451424554665</v>
      </c>
      <c r="EZ69" s="161">
        <f t="shared" si="317"/>
        <v>0.19640847279315871</v>
      </c>
      <c r="FA69" s="161">
        <f t="shared" si="317"/>
        <v>0.1962904849475981</v>
      </c>
      <c r="FB69" s="161">
        <f t="shared" si="317"/>
        <v>0.19641967863000689</v>
      </c>
      <c r="FC69" s="161">
        <f t="shared" si="317"/>
        <v>0.19637320685625673</v>
      </c>
      <c r="FE69" s="161">
        <f t="shared" si="317"/>
        <v>0.17794928610260197</v>
      </c>
      <c r="FF69" s="161">
        <f t="shared" si="317"/>
        <v>0.21051679472193641</v>
      </c>
      <c r="FG69" s="161">
        <f t="shared" si="317"/>
        <v>0.20234060400789614</v>
      </c>
      <c r="FH69" s="161">
        <f t="shared" si="317"/>
        <v>0.19999515323525346</v>
      </c>
      <c r="FI69" s="161">
        <f t="shared" si="317"/>
        <v>0.19884249368952098</v>
      </c>
      <c r="FJ69" s="161">
        <f t="shared" si="317"/>
        <v>0.19637442250275983</v>
      </c>
    </row>
    <row r="70" spans="2:166" x14ac:dyDescent="0.2">
      <c r="B70" s="22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68"/>
      <c r="EF70" s="165"/>
      <c r="EG70" s="165"/>
      <c r="EH70" s="165"/>
      <c r="EI70" s="165"/>
      <c r="EJ70" s="165"/>
      <c r="EK70" s="165"/>
      <c r="EL70" s="165"/>
      <c r="EM70" s="165"/>
      <c r="EN70" s="165"/>
      <c r="EO70" s="165"/>
      <c r="EP70" s="165"/>
      <c r="EQ70" s="165"/>
      <c r="ER70" s="165"/>
      <c r="ES70" s="165"/>
      <c r="ET70" s="165"/>
      <c r="EU70" s="165"/>
      <c r="EV70" s="165"/>
      <c r="EW70" s="165"/>
      <c r="EX70" s="165"/>
      <c r="EY70" s="165"/>
      <c r="EZ70" s="165">
        <f t="shared" si="304"/>
        <v>0</v>
      </c>
      <c r="FA70" s="165">
        <f t="shared" si="305"/>
        <v>0</v>
      </c>
      <c r="FB70" s="165">
        <f t="shared" si="306"/>
        <v>0</v>
      </c>
      <c r="FC70" s="165">
        <f t="shared" si="307"/>
        <v>0</v>
      </c>
      <c r="FE70" s="165"/>
      <c r="FF70" s="165"/>
      <c r="FG70" s="165"/>
      <c r="FH70" s="165"/>
      <c r="FI70" s="165"/>
      <c r="FJ70" s="165"/>
    </row>
    <row r="71" spans="2:166" s="30" customFormat="1" x14ac:dyDescent="0.2">
      <c r="B71" s="23" t="s">
        <v>30</v>
      </c>
      <c r="C71" s="180">
        <f>C36-C51</f>
        <v>706906.96428571455</v>
      </c>
      <c r="D71" s="180">
        <f t="shared" ref="D71:BO71" si="319">D36-D51</f>
        <v>657369.30673125014</v>
      </c>
      <c r="E71" s="180">
        <f t="shared" si="319"/>
        <v>374973.33835702948</v>
      </c>
      <c r="F71" s="180">
        <f t="shared" si="319"/>
        <v>201717.19764042832</v>
      </c>
      <c r="G71" s="180">
        <f t="shared" si="319"/>
        <v>151642.7698973082</v>
      </c>
      <c r="H71" s="180">
        <f t="shared" si="319"/>
        <v>341046.56693112757</v>
      </c>
      <c r="I71" s="180">
        <f t="shared" si="319"/>
        <v>1114883.6695571449</v>
      </c>
      <c r="J71" s="180">
        <f t="shared" si="319"/>
        <v>2285758.4403571431</v>
      </c>
      <c r="K71" s="180">
        <f t="shared" si="319"/>
        <v>2056128.7085714284</v>
      </c>
      <c r="L71" s="180">
        <f t="shared" si="319"/>
        <v>2100469.5291597713</v>
      </c>
      <c r="M71" s="180">
        <f t="shared" si="319"/>
        <v>2942860.9109165817</v>
      </c>
      <c r="N71" s="180">
        <f t="shared" si="319"/>
        <v>6780786.9366502762</v>
      </c>
      <c r="O71" s="180">
        <f t="shared" si="319"/>
        <v>6248453.6611951515</v>
      </c>
      <c r="P71" s="180">
        <f t="shared" si="319"/>
        <v>5547745.0286009461</v>
      </c>
      <c r="Q71" s="180">
        <f t="shared" si="319"/>
        <v>2694736.0945461616</v>
      </c>
      <c r="R71" s="180">
        <f t="shared" si="319"/>
        <v>7564299.1192835122</v>
      </c>
      <c r="S71" s="180">
        <f t="shared" si="319"/>
        <v>5242398.7470556572</v>
      </c>
      <c r="T71" s="180">
        <f t="shared" si="319"/>
        <v>4000051.1443398595</v>
      </c>
      <c r="U71" s="180">
        <f t="shared" si="319"/>
        <v>6554157.4277628027</v>
      </c>
      <c r="V71" s="180">
        <f t="shared" si="319"/>
        <v>-568101.89038389176</v>
      </c>
      <c r="W71" s="180">
        <f t="shared" si="319"/>
        <v>1987998.8771034405</v>
      </c>
      <c r="X71" s="180">
        <f t="shared" si="319"/>
        <v>2058904.1233931556</v>
      </c>
      <c r="Y71" s="180">
        <f t="shared" si="319"/>
        <v>-1460263.5800655559</v>
      </c>
      <c r="Z71" s="180">
        <f t="shared" si="319"/>
        <v>530374.22024654225</v>
      </c>
      <c r="AA71" s="180">
        <f t="shared" si="319"/>
        <v>-5432851.4197018323</v>
      </c>
      <c r="AB71" s="180">
        <f t="shared" si="319"/>
        <v>2367110.0678358003</v>
      </c>
      <c r="AC71" s="180">
        <f t="shared" si="319"/>
        <v>4468787.8147174157</v>
      </c>
      <c r="AD71" s="180">
        <f t="shared" si="319"/>
        <v>5000218.4624163695</v>
      </c>
      <c r="AE71" s="180">
        <f t="shared" si="319"/>
        <v>4335160.8013766482</v>
      </c>
      <c r="AF71" s="180">
        <f t="shared" si="319"/>
        <v>3615706.5503531918</v>
      </c>
      <c r="AG71" s="180">
        <f t="shared" si="319"/>
        <v>5214748.5026051775</v>
      </c>
      <c r="AH71" s="180">
        <f t="shared" si="319"/>
        <v>6588421.7289911285</v>
      </c>
      <c r="AI71" s="180">
        <f t="shared" si="319"/>
        <v>16213597.884305701</v>
      </c>
      <c r="AJ71" s="180">
        <f t="shared" si="319"/>
        <v>16284425.022648588</v>
      </c>
      <c r="AK71" s="180">
        <f t="shared" si="319"/>
        <v>13543420.817936942</v>
      </c>
      <c r="AL71" s="180">
        <f t="shared" si="319"/>
        <v>15348931.241737381</v>
      </c>
      <c r="AM71" s="180">
        <f t="shared" si="319"/>
        <v>7118421.224125877</v>
      </c>
      <c r="AN71" s="180">
        <f t="shared" si="319"/>
        <v>376799.93678169698</v>
      </c>
      <c r="AO71" s="180">
        <f t="shared" si="319"/>
        <v>5014957.5573320612</v>
      </c>
      <c r="AP71" s="180">
        <f t="shared" si="319"/>
        <v>7815254.729382515</v>
      </c>
      <c r="AQ71" s="180">
        <f t="shared" si="319"/>
        <v>8746091.5220752209</v>
      </c>
      <c r="AR71" s="180">
        <f t="shared" si="319"/>
        <v>10456873.016676173</v>
      </c>
      <c r="AS71" s="180">
        <f t="shared" si="319"/>
        <v>15841281.689369529</v>
      </c>
      <c r="AT71" s="180">
        <f t="shared" si="319"/>
        <v>28385232.704494476</v>
      </c>
      <c r="AU71" s="180">
        <f t="shared" si="319"/>
        <v>29654339.512820274</v>
      </c>
      <c r="AV71" s="180">
        <f t="shared" si="319"/>
        <v>31097008.620485067</v>
      </c>
      <c r="AW71" s="180">
        <f t="shared" si="319"/>
        <v>29504805.300082862</v>
      </c>
      <c r="AX71" s="180">
        <f t="shared" si="319"/>
        <v>25730386.980189592</v>
      </c>
      <c r="AY71" s="180">
        <f t="shared" si="319"/>
        <v>20055136.2075091</v>
      </c>
      <c r="AZ71" s="180">
        <f t="shared" si="319"/>
        <v>24622141.6144104</v>
      </c>
      <c r="BA71" s="180">
        <f t="shared" si="319"/>
        <v>30518692.171962261</v>
      </c>
      <c r="BB71" s="180">
        <f t="shared" si="319"/>
        <v>28438775.058174849</v>
      </c>
      <c r="BC71" s="180">
        <f t="shared" si="319"/>
        <v>24089697.931934446</v>
      </c>
      <c r="BD71" s="180">
        <f t="shared" si="319"/>
        <v>19628614.01722461</v>
      </c>
      <c r="BE71" s="180">
        <f t="shared" si="319"/>
        <v>30307954.303548932</v>
      </c>
      <c r="BF71" s="180">
        <f t="shared" si="319"/>
        <v>29201121.98948881</v>
      </c>
      <c r="BG71" s="180">
        <f t="shared" si="319"/>
        <v>36845932.198869884</v>
      </c>
      <c r="BH71" s="180">
        <f t="shared" si="319"/>
        <v>45639222.963757157</v>
      </c>
      <c r="BI71" s="180">
        <f t="shared" si="319"/>
        <v>50511401.854734182</v>
      </c>
      <c r="BJ71" s="180">
        <f t="shared" si="319"/>
        <v>67672837.913569629</v>
      </c>
      <c r="BK71" s="180">
        <f t="shared" si="319"/>
        <v>60163738.437067091</v>
      </c>
      <c r="BL71" s="180">
        <f t="shared" si="319"/>
        <v>65752529.51215142</v>
      </c>
      <c r="BM71" s="180">
        <f t="shared" si="319"/>
        <v>75907849.857165217</v>
      </c>
      <c r="BN71" s="180">
        <f t="shared" si="319"/>
        <v>60874571.072695494</v>
      </c>
      <c r="BO71" s="180">
        <f t="shared" si="319"/>
        <v>65334431.421565533</v>
      </c>
      <c r="BP71" s="180">
        <f t="shared" ref="BP71:DR71" si="320">BP36-BP51</f>
        <v>53951361.183921099</v>
      </c>
      <c r="BQ71" s="180">
        <f t="shared" si="320"/>
        <v>82386329.285872221</v>
      </c>
      <c r="BR71" s="180">
        <f t="shared" si="320"/>
        <v>77489299.336287081</v>
      </c>
      <c r="BS71" s="180">
        <f t="shared" si="320"/>
        <v>73986157.991272628</v>
      </c>
      <c r="BT71" s="180">
        <f t="shared" si="320"/>
        <v>75806831.426000476</v>
      </c>
      <c r="BU71" s="180">
        <f t="shared" si="320"/>
        <v>77401951.525064826</v>
      </c>
      <c r="BV71" s="180">
        <f t="shared" si="320"/>
        <v>95354625.624712825</v>
      </c>
      <c r="BW71" s="180">
        <f t="shared" si="320"/>
        <v>89547501.98271513</v>
      </c>
      <c r="BX71" s="180">
        <f t="shared" si="320"/>
        <v>97355295.270824969</v>
      </c>
      <c r="BY71" s="180">
        <f t="shared" si="320"/>
        <v>105712642.80153465</v>
      </c>
      <c r="BZ71" s="180">
        <f t="shared" si="320"/>
        <v>101869440.79414243</v>
      </c>
      <c r="CA71" s="180">
        <f t="shared" si="320"/>
        <v>89808297.108318567</v>
      </c>
      <c r="CB71" s="180">
        <f t="shared" si="320"/>
        <v>80500930.22408843</v>
      </c>
      <c r="CC71" s="180">
        <f t="shared" si="320"/>
        <v>104885820.87461829</v>
      </c>
      <c r="CD71" s="180">
        <f t="shared" si="320"/>
        <v>100541355.4587431</v>
      </c>
      <c r="CE71" s="180">
        <f t="shared" si="320"/>
        <v>114015905.96356905</v>
      </c>
      <c r="CF71" s="180">
        <f t="shared" si="320"/>
        <v>117653054.92213875</v>
      </c>
      <c r="CG71" s="180">
        <f t="shared" si="320"/>
        <v>109104654.78975332</v>
      </c>
      <c r="CH71" s="180">
        <f t="shared" si="320"/>
        <v>146008342.0096097</v>
      </c>
      <c r="CI71" s="180">
        <f t="shared" si="320"/>
        <v>134001866.88255191</v>
      </c>
      <c r="CJ71" s="180">
        <f t="shared" si="320"/>
        <v>130018548.93202484</v>
      </c>
      <c r="CK71" s="180">
        <f t="shared" si="320"/>
        <v>140617429.96454561</v>
      </c>
      <c r="CL71" s="180">
        <f t="shared" si="320"/>
        <v>147772319.78284585</v>
      </c>
      <c r="CM71" s="180">
        <f t="shared" si="320"/>
        <v>136050971.93670774</v>
      </c>
      <c r="CN71" s="180">
        <f t="shared" si="320"/>
        <v>131445558.79336989</v>
      </c>
      <c r="CO71" s="180">
        <f t="shared" si="320"/>
        <v>164460947.1052177</v>
      </c>
      <c r="CP71" s="180">
        <f t="shared" si="320"/>
        <v>148760722.58730006</v>
      </c>
      <c r="CQ71" s="180">
        <f t="shared" si="320"/>
        <v>166256598.17395926</v>
      </c>
      <c r="CR71" s="180">
        <f t="shared" si="320"/>
        <v>179530970.81827474</v>
      </c>
      <c r="CS71" s="180">
        <f t="shared" si="320"/>
        <v>155598829.57908523</v>
      </c>
      <c r="CT71" s="180">
        <f t="shared" si="320"/>
        <v>170331571.09117854</v>
      </c>
      <c r="CU71" s="180">
        <f t="shared" si="320"/>
        <v>177696129.11199021</v>
      </c>
      <c r="CV71" s="180">
        <f t="shared" si="320"/>
        <v>175670417.5937798</v>
      </c>
      <c r="CW71" s="180">
        <f t="shared" si="320"/>
        <v>175232097.60895419</v>
      </c>
      <c r="CX71" s="180">
        <f t="shared" si="320"/>
        <v>186219695.04176188</v>
      </c>
      <c r="CY71" s="180">
        <f t="shared" si="320"/>
        <v>168236650.88329685</v>
      </c>
      <c r="CZ71" s="180">
        <f t="shared" si="320"/>
        <v>165412147.17750478</v>
      </c>
      <c r="DA71" s="180">
        <f t="shared" si="320"/>
        <v>190606636.74052453</v>
      </c>
      <c r="DB71" s="180">
        <f t="shared" si="320"/>
        <v>179812012.35090828</v>
      </c>
      <c r="DC71" s="180">
        <f t="shared" si="320"/>
        <v>218537217.44207478</v>
      </c>
      <c r="DD71" s="180">
        <f t="shared" si="320"/>
        <v>228371399.23252833</v>
      </c>
      <c r="DE71" s="180">
        <f t="shared" si="320"/>
        <v>205082113.15898502</v>
      </c>
      <c r="DF71" s="180">
        <f t="shared" si="320"/>
        <v>234199490.4899447</v>
      </c>
      <c r="DG71" s="180">
        <f t="shared" si="320"/>
        <v>214375890.73828578</v>
      </c>
      <c r="DH71" s="180">
        <f t="shared" si="320"/>
        <v>212228558.9271121</v>
      </c>
      <c r="DI71" s="180">
        <f t="shared" si="320"/>
        <v>210998353.01201165</v>
      </c>
      <c r="DJ71" s="180">
        <f t="shared" si="320"/>
        <v>224232660.72639465</v>
      </c>
      <c r="DK71" s="180">
        <f t="shared" si="320"/>
        <v>202287337.09751534</v>
      </c>
      <c r="DL71" s="180">
        <f t="shared" si="320"/>
        <v>198362643.17798471</v>
      </c>
      <c r="DM71" s="180">
        <f t="shared" si="320"/>
        <v>228425913.30112171</v>
      </c>
      <c r="DN71" s="180">
        <f t="shared" si="320"/>
        <v>214692460.97797489</v>
      </c>
      <c r="DO71" s="180">
        <f t="shared" si="320"/>
        <v>260169353.78425193</v>
      </c>
      <c r="DP71" s="180">
        <f t="shared" si="320"/>
        <v>271082866.82120872</v>
      </c>
      <c r="DQ71" s="180">
        <f t="shared" si="320"/>
        <v>242825400.70412159</v>
      </c>
      <c r="DR71" s="180">
        <f t="shared" si="320"/>
        <v>275253472.64150548</v>
      </c>
      <c r="DS71" s="180">
        <f t="shared" ref="DS71:ED71" si="321">DS36-DS51</f>
        <v>244975419.6685214</v>
      </c>
      <c r="DT71" s="180">
        <f t="shared" si="321"/>
        <v>242453033.80904913</v>
      </c>
      <c r="DU71" s="180">
        <f t="shared" si="321"/>
        <v>240976461.20892572</v>
      </c>
      <c r="DV71" s="180">
        <f t="shared" si="321"/>
        <v>255822663.7528286</v>
      </c>
      <c r="DW71" s="180">
        <f t="shared" si="321"/>
        <v>230813341.38851202</v>
      </c>
      <c r="DX71" s="180">
        <f t="shared" si="321"/>
        <v>226586065.35996079</v>
      </c>
      <c r="DY71" s="180">
        <f t="shared" si="321"/>
        <v>260165580.37774181</v>
      </c>
      <c r="DZ71" s="180">
        <f t="shared" si="321"/>
        <v>244684883.92052889</v>
      </c>
      <c r="EA71" s="180">
        <f t="shared" si="321"/>
        <v>296514789.03066444</v>
      </c>
      <c r="EB71" s="180">
        <f t="shared" si="321"/>
        <v>309071949.9607892</v>
      </c>
      <c r="EC71" s="180">
        <f t="shared" si="321"/>
        <v>276567613.27701831</v>
      </c>
      <c r="ED71" s="180">
        <f t="shared" si="321"/>
        <v>313201071.95008659</v>
      </c>
      <c r="EE71" s="333"/>
      <c r="EF71" s="224">
        <f>SUM(BK71:BM71)</f>
        <v>201824117.80638373</v>
      </c>
      <c r="EG71" s="224">
        <f>SUM(BN71:BP71)</f>
        <v>180160363.67818213</v>
      </c>
      <c r="EH71" s="224">
        <f>SUM(BQ71:BS71)</f>
        <v>233861786.61343193</v>
      </c>
      <c r="EI71" s="224">
        <f>SUM(BT71:BV71)</f>
        <v>248563408.57577813</v>
      </c>
      <c r="EJ71" s="224">
        <f>SUM(BW71:BY71)</f>
        <v>292615440.05507475</v>
      </c>
      <c r="EK71" s="224">
        <f>SUM(CL71:CN71)</f>
        <v>415268850.51292348</v>
      </c>
      <c r="EL71" s="224">
        <f>SUM(CC71:CE71)</f>
        <v>319443082.29693043</v>
      </c>
      <c r="EM71" s="224">
        <f>SUM(CF71:CH71)</f>
        <v>372766051.72150177</v>
      </c>
      <c r="EN71" s="224">
        <f>SUM(CI71:CK71)</f>
        <v>404637845.77912235</v>
      </c>
      <c r="EO71" s="224">
        <f>SUM(CL71:CN71)</f>
        <v>415268850.51292348</v>
      </c>
      <c r="EP71" s="224">
        <f>SUM(CO71:CQ71)</f>
        <v>479478267.86647701</v>
      </c>
      <c r="EQ71" s="224">
        <f>SUM(CR71:CT71)</f>
        <v>505461371.4885385</v>
      </c>
      <c r="ER71" s="224">
        <f>SUM(CU71:CW71)</f>
        <v>528598644.31472421</v>
      </c>
      <c r="ES71" s="224">
        <f>SUM(CX71:CZ71)</f>
        <v>519868493.1025635</v>
      </c>
      <c r="ET71" s="224">
        <f>SUM(DA71:DC71)</f>
        <v>588955866.53350759</v>
      </c>
      <c r="EU71" s="224">
        <f>SUM(DD71:DF71)</f>
        <v>667653002.88145804</v>
      </c>
      <c r="EV71" s="224">
        <f>SUM(DG71:DI71)</f>
        <v>637602802.67740953</v>
      </c>
      <c r="EW71" s="224">
        <f>SUM(DJ71:DL71)</f>
        <v>624882641.00189471</v>
      </c>
      <c r="EX71" s="224">
        <f>SUM(DM71:DO71)</f>
        <v>703287728.06334853</v>
      </c>
      <c r="EY71" s="224">
        <f>SUM(DP71:DR71)</f>
        <v>789161740.16683578</v>
      </c>
      <c r="EZ71" s="224">
        <f t="shared" si="304"/>
        <v>728404914.68649626</v>
      </c>
      <c r="FA71" s="224">
        <f t="shared" si="305"/>
        <v>713222070.50130141</v>
      </c>
      <c r="FB71" s="224">
        <f t="shared" si="306"/>
        <v>801365253.32893515</v>
      </c>
      <c r="FC71" s="224">
        <f t="shared" si="307"/>
        <v>898840635.18789411</v>
      </c>
      <c r="FE71" s="224">
        <f t="shared" si="308"/>
        <v>864409676.67377591</v>
      </c>
      <c r="FF71" s="224">
        <f t="shared" si="309"/>
        <v>1400093424.5864303</v>
      </c>
      <c r="FG71" s="224">
        <f t="shared" si="310"/>
        <v>1804846335.6470613</v>
      </c>
      <c r="FH71" s="224">
        <f t="shared" si="311"/>
        <v>2305076006.8322535</v>
      </c>
      <c r="FI71" s="224">
        <f t="shared" si="312"/>
        <v>2754934911.9094887</v>
      </c>
      <c r="FJ71" s="224">
        <f t="shared" si="313"/>
        <v>3141832873.704627</v>
      </c>
    </row>
    <row r="72" spans="2:166" x14ac:dyDescent="0.2">
      <c r="B72" s="155" t="s">
        <v>227</v>
      </c>
      <c r="C72" s="165">
        <f>C37-C52</f>
        <v>706906.96428571455</v>
      </c>
      <c r="D72" s="165">
        <f t="shared" ref="D72:BO73" si="322">D37-D52</f>
        <v>657369.30673125014</v>
      </c>
      <c r="E72" s="165">
        <f t="shared" si="322"/>
        <v>374973.33835702948</v>
      </c>
      <c r="F72" s="165">
        <f t="shared" si="322"/>
        <v>201717.19764042832</v>
      </c>
      <c r="G72" s="165">
        <f t="shared" si="322"/>
        <v>151642.7698973082</v>
      </c>
      <c r="H72" s="165">
        <f t="shared" si="322"/>
        <v>341046.56693112757</v>
      </c>
      <c r="I72" s="165">
        <f t="shared" si="322"/>
        <v>1114883.6695571449</v>
      </c>
      <c r="J72" s="165">
        <f t="shared" si="322"/>
        <v>2285758.4403571431</v>
      </c>
      <c r="K72" s="165">
        <f t="shared" si="322"/>
        <v>2056128.7085714284</v>
      </c>
      <c r="L72" s="165">
        <f t="shared" si="322"/>
        <v>1927450.0839441661</v>
      </c>
      <c r="M72" s="165">
        <f t="shared" si="322"/>
        <v>1808188.6212662328</v>
      </c>
      <c r="N72" s="165">
        <f t="shared" si="322"/>
        <v>963381.69090883061</v>
      </c>
      <c r="O72" s="165">
        <f t="shared" si="322"/>
        <v>779431.92963691056</v>
      </c>
      <c r="P72" s="165">
        <f t="shared" si="322"/>
        <v>302401.16061558574</v>
      </c>
      <c r="Q72" s="165">
        <f t="shared" si="322"/>
        <v>-566574.57759700343</v>
      </c>
      <c r="R72" s="165">
        <f t="shared" si="322"/>
        <v>413361.73629724607</v>
      </c>
      <c r="S72" s="165">
        <f t="shared" si="322"/>
        <v>-359346.78051399998</v>
      </c>
      <c r="T72" s="165">
        <f t="shared" si="322"/>
        <v>-543377.84959432855</v>
      </c>
      <c r="U72" s="165">
        <f t="shared" si="322"/>
        <v>-985264.0311197415</v>
      </c>
      <c r="V72" s="165">
        <f t="shared" si="322"/>
        <v>-2224632.2834179737</v>
      </c>
      <c r="W72" s="165">
        <f t="shared" si="322"/>
        <v>-1790804.2178162262</v>
      </c>
      <c r="X72" s="165">
        <f t="shared" si="322"/>
        <v>-349705.70790243521</v>
      </c>
      <c r="Y72" s="165">
        <f t="shared" si="322"/>
        <v>-1347898.7977490909</v>
      </c>
      <c r="Z72" s="165">
        <f t="shared" si="322"/>
        <v>-988500.45001429133</v>
      </c>
      <c r="AA72" s="165">
        <f t="shared" si="322"/>
        <v>-4468306.2120747129</v>
      </c>
      <c r="AB72" s="165">
        <f t="shared" si="322"/>
        <v>-792465.58083617128</v>
      </c>
      <c r="AC72" s="165">
        <f t="shared" si="322"/>
        <v>-104375.55014906824</v>
      </c>
      <c r="AD72" s="165">
        <f t="shared" si="322"/>
        <v>146044.34436908551</v>
      </c>
      <c r="AE72" s="165">
        <f t="shared" si="322"/>
        <v>273748.34485985897</v>
      </c>
      <c r="AF72" s="165">
        <f t="shared" si="322"/>
        <v>-908155.67710308172</v>
      </c>
      <c r="AG72" s="165">
        <f t="shared" si="322"/>
        <v>-532173.58179097064</v>
      </c>
      <c r="AH72" s="165">
        <f t="shared" si="322"/>
        <v>1341332.5810638443</v>
      </c>
      <c r="AI72" s="165">
        <f t="shared" si="322"/>
        <v>5300262.1999420822</v>
      </c>
      <c r="AJ72" s="165">
        <f t="shared" si="322"/>
        <v>3074036.755166471</v>
      </c>
      <c r="AK72" s="165">
        <f t="shared" si="322"/>
        <v>1999148.2053309679</v>
      </c>
      <c r="AL72" s="165">
        <f t="shared" si="322"/>
        <v>1377494.0377059989</v>
      </c>
      <c r="AM72" s="165">
        <f t="shared" si="322"/>
        <v>-391648.70390408114</v>
      </c>
      <c r="AN72" s="165">
        <f t="shared" si="322"/>
        <v>-868374.78418104351</v>
      </c>
      <c r="AO72" s="165">
        <f t="shared" si="322"/>
        <v>-184626.08943138644</v>
      </c>
      <c r="AP72" s="165">
        <f t="shared" si="322"/>
        <v>18228.937187336385</v>
      </c>
      <c r="AQ72" s="165">
        <f t="shared" si="322"/>
        <v>594062.85051006824</v>
      </c>
      <c r="AR72" s="165">
        <f t="shared" si="322"/>
        <v>723273.64665096998</v>
      </c>
      <c r="AS72" s="165">
        <f t="shared" si="322"/>
        <v>3117951.738142401</v>
      </c>
      <c r="AT72" s="165">
        <f t="shared" si="322"/>
        <v>4662018.050658837</v>
      </c>
      <c r="AU72" s="165">
        <f t="shared" si="322"/>
        <v>3377596.2701376081</v>
      </c>
      <c r="AV72" s="165">
        <f t="shared" si="322"/>
        <v>5802579.3916042149</v>
      </c>
      <c r="AW72" s="165">
        <f t="shared" si="322"/>
        <v>2134859.408431001</v>
      </c>
      <c r="AX72" s="165">
        <f t="shared" si="322"/>
        <v>1565424.1825261116</v>
      </c>
      <c r="AY72" s="165">
        <f t="shared" si="322"/>
        <v>-1632062.7590971887</v>
      </c>
      <c r="AZ72" s="165">
        <f t="shared" si="322"/>
        <v>759653.62528735399</v>
      </c>
      <c r="BA72" s="165">
        <f t="shared" si="322"/>
        <v>2044312.8668167293</v>
      </c>
      <c r="BB72" s="165">
        <f t="shared" si="322"/>
        <v>-1276305.242611222</v>
      </c>
      <c r="BC72" s="165">
        <f t="shared" si="322"/>
        <v>-1953615.8339038603</v>
      </c>
      <c r="BD72" s="165">
        <f t="shared" si="322"/>
        <v>-2558164.676164642</v>
      </c>
      <c r="BE72" s="165">
        <f t="shared" si="322"/>
        <v>-954214.1540862564</v>
      </c>
      <c r="BF72" s="165">
        <f t="shared" si="322"/>
        <v>-2042590.2050653584</v>
      </c>
      <c r="BG72" s="165">
        <f t="shared" si="322"/>
        <v>75638.371921453625</v>
      </c>
      <c r="BH72" s="165">
        <f t="shared" si="322"/>
        <v>1877182.516346246</v>
      </c>
      <c r="BI72" s="165">
        <f t="shared" si="322"/>
        <v>747054.06651102379</v>
      </c>
      <c r="BJ72" s="165">
        <f t="shared" si="322"/>
        <v>1136267.6837260947</v>
      </c>
      <c r="BK72" s="165">
        <f t="shared" si="322"/>
        <v>0</v>
      </c>
      <c r="BL72" s="165">
        <f t="shared" si="322"/>
        <v>0</v>
      </c>
      <c r="BM72" s="165">
        <f t="shared" si="322"/>
        <v>0</v>
      </c>
      <c r="BN72" s="165">
        <f t="shared" si="322"/>
        <v>0</v>
      </c>
      <c r="BO72" s="165">
        <f t="shared" si="322"/>
        <v>0</v>
      </c>
      <c r="BP72" s="165">
        <f t="shared" ref="BP72:DR74" si="323">BP37-BP52</f>
        <v>0</v>
      </c>
      <c r="BQ72" s="165">
        <f t="shared" si="323"/>
        <v>0</v>
      </c>
      <c r="BR72" s="165">
        <f t="shared" si="323"/>
        <v>0</v>
      </c>
      <c r="BS72" s="165">
        <f t="shared" si="323"/>
        <v>0</v>
      </c>
      <c r="BT72" s="165">
        <f t="shared" si="323"/>
        <v>0</v>
      </c>
      <c r="BU72" s="165">
        <f t="shared" si="323"/>
        <v>0</v>
      </c>
      <c r="BV72" s="165">
        <f t="shared" si="323"/>
        <v>0</v>
      </c>
      <c r="BW72" s="165">
        <f t="shared" si="323"/>
        <v>0</v>
      </c>
      <c r="BX72" s="165">
        <f t="shared" si="323"/>
        <v>0</v>
      </c>
      <c r="BY72" s="165">
        <f t="shared" si="323"/>
        <v>0</v>
      </c>
      <c r="BZ72" s="165">
        <f t="shared" si="323"/>
        <v>0</v>
      </c>
      <c r="CA72" s="165">
        <f t="shared" si="323"/>
        <v>0</v>
      </c>
      <c r="CB72" s="165">
        <f t="shared" si="323"/>
        <v>0</v>
      </c>
      <c r="CC72" s="165">
        <f t="shared" si="323"/>
        <v>0</v>
      </c>
      <c r="CD72" s="165">
        <f t="shared" si="323"/>
        <v>0</v>
      </c>
      <c r="CE72" s="165">
        <f t="shared" si="323"/>
        <v>0</v>
      </c>
      <c r="CF72" s="165">
        <f t="shared" si="323"/>
        <v>0</v>
      </c>
      <c r="CG72" s="165">
        <f t="shared" si="323"/>
        <v>0</v>
      </c>
      <c r="CH72" s="165">
        <f t="shared" si="323"/>
        <v>0</v>
      </c>
      <c r="CI72" s="165">
        <f t="shared" si="323"/>
        <v>0</v>
      </c>
      <c r="CJ72" s="165">
        <f t="shared" si="323"/>
        <v>0</v>
      </c>
      <c r="CK72" s="165">
        <f t="shared" si="323"/>
        <v>0</v>
      </c>
      <c r="CL72" s="165">
        <f t="shared" si="323"/>
        <v>0</v>
      </c>
      <c r="CM72" s="165">
        <f t="shared" si="323"/>
        <v>0</v>
      </c>
      <c r="CN72" s="165">
        <f t="shared" si="323"/>
        <v>0</v>
      </c>
      <c r="CO72" s="165">
        <f t="shared" si="323"/>
        <v>0</v>
      </c>
      <c r="CP72" s="165">
        <f t="shared" si="323"/>
        <v>0</v>
      </c>
      <c r="CQ72" s="165">
        <f t="shared" si="323"/>
        <v>0</v>
      </c>
      <c r="CR72" s="165">
        <f t="shared" si="323"/>
        <v>0</v>
      </c>
      <c r="CS72" s="165">
        <f t="shared" si="323"/>
        <v>0</v>
      </c>
      <c r="CT72" s="165">
        <f t="shared" si="323"/>
        <v>0</v>
      </c>
      <c r="CU72" s="165">
        <f t="shared" si="323"/>
        <v>0</v>
      </c>
      <c r="CV72" s="165">
        <f t="shared" si="323"/>
        <v>0</v>
      </c>
      <c r="CW72" s="165">
        <f t="shared" si="323"/>
        <v>0</v>
      </c>
      <c r="CX72" s="165">
        <f t="shared" si="323"/>
        <v>0</v>
      </c>
      <c r="CY72" s="165">
        <f t="shared" si="323"/>
        <v>0</v>
      </c>
      <c r="CZ72" s="165">
        <f t="shared" si="323"/>
        <v>0</v>
      </c>
      <c r="DA72" s="165">
        <f t="shared" si="323"/>
        <v>0</v>
      </c>
      <c r="DB72" s="165">
        <f t="shared" si="323"/>
        <v>0</v>
      </c>
      <c r="DC72" s="165">
        <f t="shared" si="323"/>
        <v>0</v>
      </c>
      <c r="DD72" s="165">
        <f t="shared" si="323"/>
        <v>0</v>
      </c>
      <c r="DE72" s="165">
        <f t="shared" si="323"/>
        <v>0</v>
      </c>
      <c r="DF72" s="165">
        <f t="shared" si="323"/>
        <v>0</v>
      </c>
      <c r="DG72" s="165">
        <f t="shared" si="323"/>
        <v>0</v>
      </c>
      <c r="DH72" s="165">
        <f t="shared" si="323"/>
        <v>0</v>
      </c>
      <c r="DI72" s="165">
        <f t="shared" si="323"/>
        <v>0</v>
      </c>
      <c r="DJ72" s="165">
        <f t="shared" si="323"/>
        <v>0</v>
      </c>
      <c r="DK72" s="165">
        <f t="shared" si="323"/>
        <v>0</v>
      </c>
      <c r="DL72" s="165">
        <f t="shared" si="323"/>
        <v>0</v>
      </c>
      <c r="DM72" s="165">
        <f t="shared" si="323"/>
        <v>0</v>
      </c>
      <c r="DN72" s="165">
        <f t="shared" si="323"/>
        <v>0</v>
      </c>
      <c r="DO72" s="165">
        <f t="shared" si="323"/>
        <v>0</v>
      </c>
      <c r="DP72" s="165">
        <f t="shared" si="323"/>
        <v>0</v>
      </c>
      <c r="DQ72" s="165">
        <f t="shared" si="323"/>
        <v>0</v>
      </c>
      <c r="DR72" s="165">
        <f t="shared" si="323"/>
        <v>0</v>
      </c>
      <c r="DS72" s="165">
        <f t="shared" ref="DS72:ED72" si="324">DS37-DS52</f>
        <v>0</v>
      </c>
      <c r="DT72" s="165">
        <f t="shared" si="324"/>
        <v>0</v>
      </c>
      <c r="DU72" s="165">
        <f t="shared" si="324"/>
        <v>0</v>
      </c>
      <c r="DV72" s="165">
        <f t="shared" si="324"/>
        <v>0</v>
      </c>
      <c r="DW72" s="165">
        <f t="shared" si="324"/>
        <v>0</v>
      </c>
      <c r="DX72" s="165">
        <f t="shared" si="324"/>
        <v>0</v>
      </c>
      <c r="DY72" s="165">
        <f t="shared" si="324"/>
        <v>0</v>
      </c>
      <c r="DZ72" s="165">
        <f t="shared" si="324"/>
        <v>0</v>
      </c>
      <c r="EA72" s="165">
        <f t="shared" si="324"/>
        <v>0</v>
      </c>
      <c r="EB72" s="165">
        <f t="shared" si="324"/>
        <v>0</v>
      </c>
      <c r="EC72" s="165">
        <f t="shared" si="324"/>
        <v>0</v>
      </c>
      <c r="ED72" s="165">
        <f t="shared" si="324"/>
        <v>0</v>
      </c>
      <c r="EE72" s="168"/>
      <c r="EF72" s="165">
        <f>SUM(BK72:BM72)</f>
        <v>0</v>
      </c>
      <c r="EG72" s="165">
        <f>SUM(BN72:BP72)</f>
        <v>0</v>
      </c>
      <c r="EH72" s="165">
        <f>SUM(BQ72:BS72)</f>
        <v>0</v>
      </c>
      <c r="EI72" s="165">
        <f>SUM(BT72:BV72)</f>
        <v>0</v>
      </c>
      <c r="EJ72" s="165">
        <f>SUM(BW72:BY72)</f>
        <v>0</v>
      </c>
      <c r="EK72" s="165">
        <f>SUM(CL72:CN72)</f>
        <v>0</v>
      </c>
      <c r="EL72" s="165">
        <f>SUM(CC72:CE72)</f>
        <v>0</v>
      </c>
      <c r="EM72" s="165">
        <f>SUM(CF72:CH72)</f>
        <v>0</v>
      </c>
      <c r="EN72" s="165">
        <f>SUM(CI72:CK72)</f>
        <v>0</v>
      </c>
      <c r="EO72" s="165">
        <f>SUM(CL72:CN72)</f>
        <v>0</v>
      </c>
      <c r="EP72" s="165">
        <f>SUM(CO72:CQ72)</f>
        <v>0</v>
      </c>
      <c r="EQ72" s="165">
        <f>SUM(CR72:CT72)</f>
        <v>0</v>
      </c>
      <c r="ER72" s="165">
        <f>SUM(CU72:CW72)</f>
        <v>0</v>
      </c>
      <c r="ES72" s="165">
        <f>SUM(CX72:CZ72)</f>
        <v>0</v>
      </c>
      <c r="ET72" s="165">
        <f>SUM(DA72:DC72)</f>
        <v>0</v>
      </c>
      <c r="EU72" s="165">
        <f>SUM(DD72:DF72)</f>
        <v>0</v>
      </c>
      <c r="EV72" s="165">
        <f>SUM(DG72:DI72)</f>
        <v>0</v>
      </c>
      <c r="EW72" s="165">
        <f>SUM(DJ72:DL72)</f>
        <v>0</v>
      </c>
      <c r="EX72" s="165">
        <f>SUM(DM72:DO72)</f>
        <v>0</v>
      </c>
      <c r="EY72" s="165">
        <f>SUM(DP72:DR72)</f>
        <v>0</v>
      </c>
      <c r="EZ72" s="165">
        <f t="shared" si="304"/>
        <v>0</v>
      </c>
      <c r="FA72" s="165">
        <f t="shared" si="305"/>
        <v>0</v>
      </c>
      <c r="FB72" s="165">
        <f t="shared" si="306"/>
        <v>0</v>
      </c>
      <c r="FC72" s="165">
        <f t="shared" si="307"/>
        <v>0</v>
      </c>
      <c r="FE72" s="165">
        <f t="shared" si="308"/>
        <v>0</v>
      </c>
      <c r="FF72" s="165">
        <f t="shared" si="309"/>
        <v>0</v>
      </c>
      <c r="FG72" s="165">
        <f t="shared" si="310"/>
        <v>0</v>
      </c>
      <c r="FH72" s="165">
        <f t="shared" si="311"/>
        <v>0</v>
      </c>
      <c r="FI72" s="165">
        <f t="shared" si="312"/>
        <v>0</v>
      </c>
      <c r="FJ72" s="165">
        <f t="shared" si="313"/>
        <v>0</v>
      </c>
    </row>
    <row r="73" spans="2:166" x14ac:dyDescent="0.2">
      <c r="B73" s="155" t="s">
        <v>228</v>
      </c>
      <c r="C73" s="165">
        <f t="shared" ref="C73:R74" si="325">C38-C53</f>
        <v>0</v>
      </c>
      <c r="D73" s="165">
        <f t="shared" si="325"/>
        <v>0</v>
      </c>
      <c r="E73" s="165">
        <f t="shared" si="325"/>
        <v>0</v>
      </c>
      <c r="F73" s="165">
        <f t="shared" si="325"/>
        <v>0</v>
      </c>
      <c r="G73" s="165">
        <f t="shared" si="325"/>
        <v>0</v>
      </c>
      <c r="H73" s="165">
        <f t="shared" si="325"/>
        <v>0</v>
      </c>
      <c r="I73" s="165">
        <f t="shared" si="325"/>
        <v>0</v>
      </c>
      <c r="J73" s="165">
        <f t="shared" si="325"/>
        <v>0</v>
      </c>
      <c r="K73" s="165">
        <f t="shared" si="325"/>
        <v>0</v>
      </c>
      <c r="L73" s="165">
        <f t="shared" si="325"/>
        <v>173019.44521560578</v>
      </c>
      <c r="M73" s="165">
        <f t="shared" si="325"/>
        <v>1134672.2896503499</v>
      </c>
      <c r="N73" s="165">
        <f t="shared" si="325"/>
        <v>5817405.2457414456</v>
      </c>
      <c r="O73" s="165">
        <f t="shared" si="325"/>
        <v>5469021.7315582447</v>
      </c>
      <c r="P73" s="165">
        <f t="shared" si="325"/>
        <v>5245343.867985364</v>
      </c>
      <c r="Q73" s="165">
        <f t="shared" si="325"/>
        <v>3261310.672143165</v>
      </c>
      <c r="R73" s="165">
        <f t="shared" si="325"/>
        <v>7150937.3829862662</v>
      </c>
      <c r="S73" s="165">
        <f t="shared" si="322"/>
        <v>5601745.5275696553</v>
      </c>
      <c r="T73" s="165">
        <f t="shared" si="322"/>
        <v>4543428.9939341806</v>
      </c>
      <c r="U73" s="165">
        <f t="shared" si="322"/>
        <v>7539421.4588825442</v>
      </c>
      <c r="V73" s="165">
        <f t="shared" si="322"/>
        <v>1656530.3930340819</v>
      </c>
      <c r="W73" s="165">
        <f t="shared" si="322"/>
        <v>3778803.0949196666</v>
      </c>
      <c r="X73" s="165">
        <f t="shared" si="322"/>
        <v>2408609.8312955871</v>
      </c>
      <c r="Y73" s="165">
        <f t="shared" si="322"/>
        <v>-112364.78231646516</v>
      </c>
      <c r="Z73" s="165">
        <f t="shared" si="322"/>
        <v>1518874.6702608336</v>
      </c>
      <c r="AA73" s="165">
        <f t="shared" si="322"/>
        <v>-964545.2076271195</v>
      </c>
      <c r="AB73" s="165">
        <f t="shared" si="322"/>
        <v>3159575.6486719679</v>
      </c>
      <c r="AC73" s="165">
        <f t="shared" si="322"/>
        <v>3702602.7428686209</v>
      </c>
      <c r="AD73" s="165">
        <f t="shared" si="322"/>
        <v>4184518.0810331069</v>
      </c>
      <c r="AE73" s="165">
        <f t="shared" si="322"/>
        <v>3211596.1127093993</v>
      </c>
      <c r="AF73" s="165">
        <f t="shared" si="322"/>
        <v>3331014.9934895299</v>
      </c>
      <c r="AG73" s="165">
        <f t="shared" si="322"/>
        <v>4677564.0475126114</v>
      </c>
      <c r="AH73" s="165">
        <f t="shared" si="322"/>
        <v>3463963.3883298673</v>
      </c>
      <c r="AI73" s="165">
        <f t="shared" si="322"/>
        <v>6092991.4246918187</v>
      </c>
      <c r="AJ73" s="165">
        <f t="shared" si="322"/>
        <v>7206245.4937671423</v>
      </c>
      <c r="AK73" s="165">
        <f t="shared" si="322"/>
        <v>5316471.6061320882</v>
      </c>
      <c r="AL73" s="165">
        <f t="shared" si="322"/>
        <v>5859081.0957569219</v>
      </c>
      <c r="AM73" s="165">
        <f t="shared" si="322"/>
        <v>2856914.045246562</v>
      </c>
      <c r="AN73" s="165">
        <f t="shared" si="322"/>
        <v>1123995.0772778168</v>
      </c>
      <c r="AO73" s="165">
        <f t="shared" si="322"/>
        <v>1972979.7611009851</v>
      </c>
      <c r="AP73" s="165">
        <f t="shared" si="322"/>
        <v>2582299.805869272</v>
      </c>
      <c r="AQ73" s="165">
        <f t="shared" si="322"/>
        <v>1496961.0921116006</v>
      </c>
      <c r="AR73" s="165">
        <f t="shared" si="322"/>
        <v>2375208.2778959908</v>
      </c>
      <c r="AS73" s="165">
        <f t="shared" si="322"/>
        <v>3632332.0403770916</v>
      </c>
      <c r="AT73" s="165">
        <f t="shared" si="322"/>
        <v>7744590.8640158288</v>
      </c>
      <c r="AU73" s="165">
        <f t="shared" si="322"/>
        <v>8648981.3288567029</v>
      </c>
      <c r="AV73" s="165">
        <f t="shared" si="322"/>
        <v>10043525.13088911</v>
      </c>
      <c r="AW73" s="165">
        <f t="shared" si="322"/>
        <v>9343206.5120419636</v>
      </c>
      <c r="AX73" s="165">
        <f t="shared" si="322"/>
        <v>4181530.6202008165</v>
      </c>
      <c r="AY73" s="165">
        <f t="shared" si="322"/>
        <v>3518909.7082417961</v>
      </c>
      <c r="AZ73" s="165">
        <f t="shared" si="322"/>
        <v>3989712.6250493042</v>
      </c>
      <c r="BA73" s="165">
        <f t="shared" si="322"/>
        <v>5730334.9529476836</v>
      </c>
      <c r="BB73" s="165">
        <f t="shared" si="322"/>
        <v>4249576.3931854069</v>
      </c>
      <c r="BC73" s="165">
        <f t="shared" si="322"/>
        <v>2583327.4261492528</v>
      </c>
      <c r="BD73" s="165">
        <f t="shared" si="322"/>
        <v>4266665.9896523803</v>
      </c>
      <c r="BE73" s="165">
        <f t="shared" si="322"/>
        <v>9035127.8508199379</v>
      </c>
      <c r="BF73" s="165">
        <f t="shared" si="322"/>
        <v>8240746.4423145428</v>
      </c>
      <c r="BG73" s="165">
        <f t="shared" si="322"/>
        <v>6826209.7681824863</v>
      </c>
      <c r="BH73" s="165">
        <f t="shared" si="322"/>
        <v>9165229.9429158866</v>
      </c>
      <c r="BI73" s="165">
        <f t="shared" si="322"/>
        <v>13416540.217375576</v>
      </c>
      <c r="BJ73" s="165">
        <f t="shared" si="322"/>
        <v>22201421.903633058</v>
      </c>
      <c r="BK73" s="165">
        <f t="shared" si="322"/>
        <v>19862769.705195665</v>
      </c>
      <c r="BL73" s="165">
        <f t="shared" si="322"/>
        <v>19972318.186389208</v>
      </c>
      <c r="BM73" s="165">
        <f t="shared" si="322"/>
        <v>26527980.360222697</v>
      </c>
      <c r="BN73" s="165">
        <f t="shared" si="322"/>
        <v>18768569.450791001</v>
      </c>
      <c r="BO73" s="165">
        <f t="shared" si="322"/>
        <v>22339164.042280957</v>
      </c>
      <c r="BP73" s="165">
        <f t="shared" si="323"/>
        <v>17320181.846658736</v>
      </c>
      <c r="BQ73" s="165">
        <f t="shared" si="323"/>
        <v>33164463.974018276</v>
      </c>
      <c r="BR73" s="165">
        <f t="shared" si="323"/>
        <v>29207996.192771912</v>
      </c>
      <c r="BS73" s="165">
        <f t="shared" si="323"/>
        <v>30419658.626964301</v>
      </c>
      <c r="BT73" s="165">
        <f t="shared" si="323"/>
        <v>33430235.917297214</v>
      </c>
      <c r="BU73" s="165">
        <f t="shared" si="323"/>
        <v>29647208.729875863</v>
      </c>
      <c r="BV73" s="165">
        <f t="shared" si="323"/>
        <v>40459830.525793403</v>
      </c>
      <c r="BW73" s="165">
        <f t="shared" si="323"/>
        <v>36738333.770936161</v>
      </c>
      <c r="BX73" s="165">
        <f t="shared" si="323"/>
        <v>39441466.023409605</v>
      </c>
      <c r="BY73" s="165">
        <f t="shared" si="323"/>
        <v>45503408.333002925</v>
      </c>
      <c r="BZ73" s="165">
        <f t="shared" si="323"/>
        <v>44078819.835967988</v>
      </c>
      <c r="CA73" s="165">
        <f t="shared" si="323"/>
        <v>41034047.894219041</v>
      </c>
      <c r="CB73" s="165">
        <f t="shared" si="323"/>
        <v>41539980.591395199</v>
      </c>
      <c r="CC73" s="165">
        <f t="shared" si="323"/>
        <v>47263441.770308673</v>
      </c>
      <c r="CD73" s="165">
        <f t="shared" si="323"/>
        <v>41631013.197960466</v>
      </c>
      <c r="CE73" s="165">
        <f t="shared" si="323"/>
        <v>46156964.892674059</v>
      </c>
      <c r="CF73" s="165">
        <f t="shared" si="323"/>
        <v>51109008.603201151</v>
      </c>
      <c r="CG73" s="165">
        <f t="shared" si="323"/>
        <v>44976738.132187426</v>
      </c>
      <c r="CH73" s="165">
        <f t="shared" si="323"/>
        <v>65018900.419855833</v>
      </c>
      <c r="CI73" s="165">
        <f t="shared" si="323"/>
        <v>54819410.180842042</v>
      </c>
      <c r="CJ73" s="165">
        <f t="shared" si="323"/>
        <v>57116795.835979313</v>
      </c>
      <c r="CK73" s="165">
        <f t="shared" si="323"/>
        <v>58741828.526035607</v>
      </c>
      <c r="CL73" s="165">
        <f t="shared" si="323"/>
        <v>62750236.980523288</v>
      </c>
      <c r="CM73" s="165">
        <f t="shared" si="323"/>
        <v>56074218.699852467</v>
      </c>
      <c r="CN73" s="165">
        <f t="shared" si="323"/>
        <v>59350152.361803174</v>
      </c>
      <c r="CO73" s="165">
        <f t="shared" si="323"/>
        <v>53948627.925206065</v>
      </c>
      <c r="CP73" s="165">
        <f t="shared" si="323"/>
        <v>51339456.756686181</v>
      </c>
      <c r="CQ73" s="165">
        <f t="shared" si="323"/>
        <v>58940082.782338023</v>
      </c>
      <c r="CR73" s="165">
        <f t="shared" si="323"/>
        <v>62690633.760562658</v>
      </c>
      <c r="CS73" s="165">
        <f t="shared" si="323"/>
        <v>47939276.202489316</v>
      </c>
      <c r="CT73" s="165">
        <f t="shared" si="323"/>
        <v>56154926.269872189</v>
      </c>
      <c r="CU73" s="165">
        <f t="shared" si="323"/>
        <v>63789281.708900273</v>
      </c>
      <c r="CV73" s="165">
        <f t="shared" si="323"/>
        <v>64438507.159596086</v>
      </c>
      <c r="CW73" s="165">
        <f t="shared" si="323"/>
        <v>64392408.311025977</v>
      </c>
      <c r="CX73" s="165">
        <f t="shared" si="323"/>
        <v>65364325.701712608</v>
      </c>
      <c r="CY73" s="165">
        <f t="shared" si="323"/>
        <v>61591903.260391355</v>
      </c>
      <c r="CZ73" s="165">
        <f t="shared" si="323"/>
        <v>67377308.755941033</v>
      </c>
      <c r="DA73" s="165">
        <f t="shared" si="323"/>
        <v>65514146.959565401</v>
      </c>
      <c r="DB73" s="165">
        <f t="shared" si="323"/>
        <v>65667809.788132608</v>
      </c>
      <c r="DC73" s="165">
        <f t="shared" si="323"/>
        <v>80607678.29556483</v>
      </c>
      <c r="DD73" s="165">
        <f t="shared" si="323"/>
        <v>86854072.276815772</v>
      </c>
      <c r="DE73" s="165">
        <f t="shared" si="323"/>
        <v>74461165.152882516</v>
      </c>
      <c r="DF73" s="165">
        <f t="shared" si="323"/>
        <v>80461698.608426213</v>
      </c>
      <c r="DG73" s="165">
        <f t="shared" si="323"/>
        <v>74786350.350884199</v>
      </c>
      <c r="DH73" s="165">
        <f t="shared" si="323"/>
        <v>75547500.197875977</v>
      </c>
      <c r="DI73" s="165">
        <f t="shared" si="323"/>
        <v>75493454.054894388</v>
      </c>
      <c r="DJ73" s="165">
        <f t="shared" si="323"/>
        <v>76632926.902757883</v>
      </c>
      <c r="DK73" s="165">
        <f t="shared" si="323"/>
        <v>72210150.868757963</v>
      </c>
      <c r="DL73" s="165">
        <f t="shared" si="323"/>
        <v>78992941.812957466</v>
      </c>
      <c r="DM73" s="165">
        <f t="shared" si="323"/>
        <v>76808576.86744827</v>
      </c>
      <c r="DN73" s="165">
        <f t="shared" si="323"/>
        <v>76988730.677387178</v>
      </c>
      <c r="DO73" s="165">
        <f t="shared" si="323"/>
        <v>94504184.848696411</v>
      </c>
      <c r="DP73" s="165">
        <f t="shared" si="323"/>
        <v>101827437.2227124</v>
      </c>
      <c r="DQ73" s="165">
        <f t="shared" si="323"/>
        <v>87298032.451140463</v>
      </c>
      <c r="DR73" s="165">
        <f t="shared" si="323"/>
        <v>94333038.729254305</v>
      </c>
      <c r="DS73" s="165">
        <f t="shared" ref="DS73:ED73" si="326">DS38-DS53</f>
        <v>87652176.986902773</v>
      </c>
      <c r="DT73" s="165">
        <f t="shared" si="326"/>
        <v>88544270.808690548</v>
      </c>
      <c r="DU73" s="165">
        <f t="shared" si="326"/>
        <v>88480926.868682086</v>
      </c>
      <c r="DV73" s="165">
        <f t="shared" si="326"/>
        <v>89816428.270530105</v>
      </c>
      <c r="DW73" s="165">
        <f t="shared" si="326"/>
        <v>84632782.513159454</v>
      </c>
      <c r="DX73" s="165">
        <f t="shared" si="326"/>
        <v>92582446.984238923</v>
      </c>
      <c r="DY73" s="165">
        <f t="shared" si="326"/>
        <v>90022296.075558007</v>
      </c>
      <c r="DZ73" s="165">
        <f t="shared" si="326"/>
        <v>90233442.542253315</v>
      </c>
      <c r="EA73" s="165">
        <f t="shared" si="326"/>
        <v>110762157.76670766</v>
      </c>
      <c r="EB73" s="165">
        <f t="shared" si="326"/>
        <v>119345261.63787305</v>
      </c>
      <c r="EC73" s="165">
        <f t="shared" si="326"/>
        <v>102316299.09889418</v>
      </c>
      <c r="ED73" s="165">
        <f t="shared" si="326"/>
        <v>110561568.62334716</v>
      </c>
      <c r="EE73" s="168"/>
      <c r="EF73" s="165">
        <f>SUM(BK73:BM73)</f>
        <v>66363068.25180757</v>
      </c>
      <c r="EG73" s="165">
        <f>SUM(BN73:BP73)</f>
        <v>58427915.339730695</v>
      </c>
      <c r="EH73" s="165">
        <f>SUM(BQ73:BS73)</f>
        <v>92792118.793754488</v>
      </c>
      <c r="EI73" s="165">
        <f>SUM(BT73:BV73)</f>
        <v>103537275.17296648</v>
      </c>
      <c r="EJ73" s="165">
        <f>SUM(BW73:BY73)</f>
        <v>121683208.12734869</v>
      </c>
      <c r="EK73" s="165">
        <f>SUM(CL73:CN73)</f>
        <v>178174608.04217893</v>
      </c>
      <c r="EL73" s="165">
        <f>SUM(CC73:CE73)</f>
        <v>135051419.8609432</v>
      </c>
      <c r="EM73" s="165">
        <f>SUM(CF73:CH73)</f>
        <v>161104647.15524441</v>
      </c>
      <c r="EN73" s="165">
        <f>SUM(CI73:CK73)</f>
        <v>170678034.54285696</v>
      </c>
      <c r="EO73" s="165">
        <f>SUM(CL73:CN73)</f>
        <v>178174608.04217893</v>
      </c>
      <c r="EP73" s="165">
        <f>SUM(CO73:CQ73)</f>
        <v>164228167.46423027</v>
      </c>
      <c r="EQ73" s="165">
        <f>SUM(CR73:CT73)</f>
        <v>166784836.23292416</v>
      </c>
      <c r="ER73" s="165">
        <f>SUM(CU73:CW73)</f>
        <v>192620197.17952234</v>
      </c>
      <c r="ES73" s="165">
        <f>SUM(CX73:CZ73)</f>
        <v>194333537.718045</v>
      </c>
      <c r="ET73" s="165">
        <f>SUM(DA73:DC73)</f>
        <v>211789635.04326284</v>
      </c>
      <c r="EU73" s="165">
        <f>SUM(DD73:DF73)</f>
        <v>241776936.0381245</v>
      </c>
      <c r="EV73" s="165">
        <f>SUM(DG73:DI73)</f>
        <v>225827304.60365456</v>
      </c>
      <c r="EW73" s="165">
        <f>SUM(DJ73:DL73)</f>
        <v>227836019.58447331</v>
      </c>
      <c r="EX73" s="165">
        <f>SUM(DM73:DO73)</f>
        <v>248301492.39353186</v>
      </c>
      <c r="EY73" s="165">
        <f>SUM(DP73:DR73)</f>
        <v>283458508.40310717</v>
      </c>
      <c r="EZ73" s="165">
        <f t="shared" si="304"/>
        <v>264677374.66427541</v>
      </c>
      <c r="FA73" s="165">
        <f t="shared" si="305"/>
        <v>267031657.76792848</v>
      </c>
      <c r="FB73" s="165">
        <f t="shared" si="306"/>
        <v>291017896.38451898</v>
      </c>
      <c r="FC73" s="165">
        <f t="shared" si="307"/>
        <v>332223129.3601144</v>
      </c>
      <c r="FE73" s="165">
        <f t="shared" si="308"/>
        <v>321120377.55825925</v>
      </c>
      <c r="FF73" s="165">
        <f t="shared" si="309"/>
        <v>596013883.1857152</v>
      </c>
      <c r="FG73" s="165">
        <f t="shared" si="310"/>
        <v>679865646.28219032</v>
      </c>
      <c r="FH73" s="165">
        <f t="shared" si="311"/>
        <v>840520305.97895479</v>
      </c>
      <c r="FI73" s="165">
        <f t="shared" si="312"/>
        <v>985423324.98476696</v>
      </c>
      <c r="FJ73" s="165">
        <f t="shared" si="313"/>
        <v>1154950058.1768372</v>
      </c>
    </row>
    <row r="74" spans="2:166" x14ac:dyDescent="0.2">
      <c r="B74" s="155" t="s">
        <v>229</v>
      </c>
      <c r="C74" s="165">
        <f t="shared" si="325"/>
        <v>0</v>
      </c>
      <c r="D74" s="165">
        <f t="shared" ref="D74:BO74" si="327">D39-D54</f>
        <v>0</v>
      </c>
      <c r="E74" s="165">
        <f t="shared" si="327"/>
        <v>0</v>
      </c>
      <c r="F74" s="165">
        <f t="shared" si="327"/>
        <v>0</v>
      </c>
      <c r="G74" s="165">
        <f t="shared" si="327"/>
        <v>0</v>
      </c>
      <c r="H74" s="165">
        <f t="shared" si="327"/>
        <v>0</v>
      </c>
      <c r="I74" s="165">
        <f t="shared" si="327"/>
        <v>0</v>
      </c>
      <c r="J74" s="165">
        <f t="shared" si="327"/>
        <v>0</v>
      </c>
      <c r="K74" s="165">
        <f t="shared" si="327"/>
        <v>0</v>
      </c>
      <c r="L74" s="165">
        <f t="shared" si="327"/>
        <v>0</v>
      </c>
      <c r="M74" s="165">
        <f t="shared" si="327"/>
        <v>0</v>
      </c>
      <c r="N74" s="165">
        <f t="shared" si="327"/>
        <v>0</v>
      </c>
      <c r="O74" s="165">
        <f t="shared" si="327"/>
        <v>0</v>
      </c>
      <c r="P74" s="165">
        <f t="shared" si="327"/>
        <v>0</v>
      </c>
      <c r="Q74" s="165">
        <f t="shared" si="327"/>
        <v>0</v>
      </c>
      <c r="R74" s="165">
        <f t="shared" si="327"/>
        <v>0</v>
      </c>
      <c r="S74" s="165">
        <f t="shared" si="327"/>
        <v>0</v>
      </c>
      <c r="T74" s="165">
        <f t="shared" si="327"/>
        <v>0</v>
      </c>
      <c r="U74" s="165">
        <f t="shared" si="327"/>
        <v>0</v>
      </c>
      <c r="V74" s="165">
        <f t="shared" si="327"/>
        <v>0</v>
      </c>
      <c r="W74" s="165">
        <f t="shared" si="327"/>
        <v>0</v>
      </c>
      <c r="X74" s="165">
        <f t="shared" si="327"/>
        <v>0</v>
      </c>
      <c r="Y74" s="165">
        <f t="shared" si="327"/>
        <v>0</v>
      </c>
      <c r="Z74" s="165">
        <f t="shared" si="327"/>
        <v>0</v>
      </c>
      <c r="AA74" s="165">
        <f t="shared" si="327"/>
        <v>0</v>
      </c>
      <c r="AB74" s="165">
        <f t="shared" si="327"/>
        <v>0</v>
      </c>
      <c r="AC74" s="165">
        <f t="shared" si="327"/>
        <v>870560.62199786585</v>
      </c>
      <c r="AD74" s="165">
        <f t="shared" si="327"/>
        <v>669656.03701417428</v>
      </c>
      <c r="AE74" s="165">
        <f t="shared" si="327"/>
        <v>849816.34380738996</v>
      </c>
      <c r="AF74" s="165">
        <f t="shared" si="327"/>
        <v>1192847.2339667464</v>
      </c>
      <c r="AG74" s="165">
        <f t="shared" si="327"/>
        <v>1069358.0368835386</v>
      </c>
      <c r="AH74" s="165">
        <f t="shared" si="327"/>
        <v>1783125.7595974095</v>
      </c>
      <c r="AI74" s="165">
        <f t="shared" si="327"/>
        <v>4820344.2596718147</v>
      </c>
      <c r="AJ74" s="165">
        <f t="shared" si="327"/>
        <v>6004142.7737149596</v>
      </c>
      <c r="AK74" s="165">
        <f t="shared" si="327"/>
        <v>6227801.0064738877</v>
      </c>
      <c r="AL74" s="165">
        <f t="shared" si="327"/>
        <v>8112356.1082744673</v>
      </c>
      <c r="AM74" s="165">
        <f t="shared" si="327"/>
        <v>4653155.882783398</v>
      </c>
      <c r="AN74" s="165">
        <f t="shared" si="327"/>
        <v>121179.64368492557</v>
      </c>
      <c r="AO74" s="165">
        <f t="shared" si="327"/>
        <v>3226603.8856624663</v>
      </c>
      <c r="AP74" s="165">
        <f t="shared" si="327"/>
        <v>5214725.986325901</v>
      </c>
      <c r="AQ74" s="165">
        <f t="shared" si="327"/>
        <v>6655067.579453554</v>
      </c>
      <c r="AR74" s="165">
        <f t="shared" si="327"/>
        <v>7358391.0921292193</v>
      </c>
      <c r="AS74" s="165">
        <f t="shared" si="327"/>
        <v>9090997.9108500406</v>
      </c>
      <c r="AT74" s="165">
        <f t="shared" si="327"/>
        <v>15978623.789819829</v>
      </c>
      <c r="AU74" s="165">
        <f t="shared" si="327"/>
        <v>17627761.913825959</v>
      </c>
      <c r="AV74" s="165">
        <f t="shared" si="327"/>
        <v>15250904.097991779</v>
      </c>
      <c r="AW74" s="165">
        <f t="shared" si="327"/>
        <v>18026739.379609913</v>
      </c>
      <c r="AX74" s="165">
        <f t="shared" si="327"/>
        <v>19983432.177462652</v>
      </c>
      <c r="AY74" s="165">
        <f t="shared" si="327"/>
        <v>18168289.258364499</v>
      </c>
      <c r="AZ74" s="165">
        <f t="shared" si="327"/>
        <v>19872775.364073768</v>
      </c>
      <c r="BA74" s="165">
        <f t="shared" si="327"/>
        <v>22744044.352197826</v>
      </c>
      <c r="BB74" s="165">
        <f t="shared" si="327"/>
        <v>25465503.907600656</v>
      </c>
      <c r="BC74" s="165">
        <f t="shared" si="327"/>
        <v>23459986.339689061</v>
      </c>
      <c r="BD74" s="165">
        <f t="shared" si="327"/>
        <v>17920112.703736871</v>
      </c>
      <c r="BE74" s="165">
        <f t="shared" si="327"/>
        <v>22227040.606815279</v>
      </c>
      <c r="BF74" s="165">
        <f t="shared" si="327"/>
        <v>23002965.752239615</v>
      </c>
      <c r="BG74" s="165">
        <f t="shared" si="327"/>
        <v>29944084.058765948</v>
      </c>
      <c r="BH74" s="165">
        <f t="shared" si="327"/>
        <v>34596810.504494995</v>
      </c>
      <c r="BI74" s="165">
        <f t="shared" si="327"/>
        <v>36347807.570847571</v>
      </c>
      <c r="BJ74" s="165">
        <f t="shared" si="327"/>
        <v>44335148.326210439</v>
      </c>
      <c r="BK74" s="165">
        <f t="shared" si="327"/>
        <v>40300968.731871426</v>
      </c>
      <c r="BL74" s="165">
        <f t="shared" si="327"/>
        <v>45780211.325762212</v>
      </c>
      <c r="BM74" s="165">
        <f t="shared" si="327"/>
        <v>49379869.49694249</v>
      </c>
      <c r="BN74" s="165">
        <f t="shared" si="327"/>
        <v>42106001.621904492</v>
      </c>
      <c r="BO74" s="165">
        <f t="shared" si="327"/>
        <v>42995267.379284561</v>
      </c>
      <c r="BP74" s="165">
        <f t="shared" si="323"/>
        <v>36631179.337262332</v>
      </c>
      <c r="BQ74" s="165">
        <f t="shared" si="323"/>
        <v>49221865.311853886</v>
      </c>
      <c r="BR74" s="165">
        <f t="shared" si="323"/>
        <v>48281303.14351517</v>
      </c>
      <c r="BS74" s="165">
        <f t="shared" si="323"/>
        <v>43566499.364308298</v>
      </c>
      <c r="BT74" s="165">
        <f t="shared" si="323"/>
        <v>42376595.508703262</v>
      </c>
      <c r="BU74" s="165">
        <f t="shared" si="323"/>
        <v>47754742.795188993</v>
      </c>
      <c r="BV74" s="165">
        <f t="shared" si="323"/>
        <v>54894795.098919451</v>
      </c>
      <c r="BW74" s="165">
        <f t="shared" si="323"/>
        <v>52809168.211778909</v>
      </c>
      <c r="BX74" s="165">
        <f t="shared" si="323"/>
        <v>57913829.247415364</v>
      </c>
      <c r="BY74" s="165">
        <f t="shared" si="323"/>
        <v>60209234.468531728</v>
      </c>
      <c r="BZ74" s="165">
        <f t="shared" si="323"/>
        <v>57790620.958174437</v>
      </c>
      <c r="CA74" s="165">
        <f t="shared" si="323"/>
        <v>48774249.214099467</v>
      </c>
      <c r="CB74" s="165">
        <f t="shared" si="323"/>
        <v>38960949.632693261</v>
      </c>
      <c r="CC74" s="165">
        <f t="shared" si="323"/>
        <v>57622379.104309648</v>
      </c>
      <c r="CD74" s="165">
        <f t="shared" si="323"/>
        <v>58910342.260782599</v>
      </c>
      <c r="CE74" s="165">
        <f t="shared" si="323"/>
        <v>67858941.070894957</v>
      </c>
      <c r="CF74" s="165">
        <f t="shared" si="323"/>
        <v>66544046.3189376</v>
      </c>
      <c r="CG74" s="165">
        <f t="shared" si="323"/>
        <v>64127916.657565951</v>
      </c>
      <c r="CH74" s="165">
        <f t="shared" si="323"/>
        <v>80989441.589753866</v>
      </c>
      <c r="CI74" s="165">
        <f t="shared" si="323"/>
        <v>79182456.701709867</v>
      </c>
      <c r="CJ74" s="165">
        <f t="shared" si="323"/>
        <v>72901753.096045494</v>
      </c>
      <c r="CK74" s="165">
        <f t="shared" si="323"/>
        <v>81875601.438509941</v>
      </c>
      <c r="CL74" s="165">
        <f t="shared" si="323"/>
        <v>85022082.802322626</v>
      </c>
      <c r="CM74" s="165">
        <f t="shared" si="323"/>
        <v>79976753.236855328</v>
      </c>
      <c r="CN74" s="165">
        <f t="shared" si="323"/>
        <v>72095406.431566775</v>
      </c>
      <c r="CO74" s="165">
        <f t="shared" si="323"/>
        <v>110512319.18001163</v>
      </c>
      <c r="CP74" s="165">
        <f t="shared" si="323"/>
        <v>97421265.830613792</v>
      </c>
      <c r="CQ74" s="165">
        <f t="shared" si="323"/>
        <v>107316515.39162123</v>
      </c>
      <c r="CR74" s="165">
        <f t="shared" si="323"/>
        <v>116840337.05771202</v>
      </c>
      <c r="CS74" s="165">
        <f t="shared" si="323"/>
        <v>107659553.37659591</v>
      </c>
      <c r="CT74" s="165">
        <f t="shared" si="323"/>
        <v>114176644.82130635</v>
      </c>
      <c r="CU74" s="165">
        <f t="shared" si="323"/>
        <v>113906847.40308994</v>
      </c>
      <c r="CV74" s="165">
        <f t="shared" si="323"/>
        <v>111231910.4341836</v>
      </c>
      <c r="CW74" s="165">
        <f t="shared" si="323"/>
        <v>110839689.29792821</v>
      </c>
      <c r="CX74" s="165">
        <f t="shared" si="323"/>
        <v>120855369.34004915</v>
      </c>
      <c r="CY74" s="165">
        <f t="shared" si="323"/>
        <v>106644747.62290549</v>
      </c>
      <c r="CZ74" s="165">
        <f t="shared" si="323"/>
        <v>98034838.421563864</v>
      </c>
      <c r="DA74" s="165">
        <f t="shared" si="323"/>
        <v>125092489.78095907</v>
      </c>
      <c r="DB74" s="165">
        <f t="shared" si="323"/>
        <v>114144202.56277561</v>
      </c>
      <c r="DC74" s="165">
        <f t="shared" si="323"/>
        <v>137929539.14650989</v>
      </c>
      <c r="DD74" s="165">
        <f t="shared" si="323"/>
        <v>141517326.95571256</v>
      </c>
      <c r="DE74" s="165">
        <f t="shared" si="323"/>
        <v>130620948.00610256</v>
      </c>
      <c r="DF74" s="165">
        <f t="shared" si="323"/>
        <v>153737791.8815186</v>
      </c>
      <c r="DG74" s="165">
        <f t="shared" si="323"/>
        <v>139589540.38740146</v>
      </c>
      <c r="DH74" s="165">
        <f t="shared" si="323"/>
        <v>136681058.72923601</v>
      </c>
      <c r="DI74" s="165">
        <f t="shared" si="323"/>
        <v>135504898.9571172</v>
      </c>
      <c r="DJ74" s="165">
        <f t="shared" si="323"/>
        <v>147599733.82363677</v>
      </c>
      <c r="DK74" s="165">
        <f t="shared" si="323"/>
        <v>130077186.22875726</v>
      </c>
      <c r="DL74" s="165">
        <f t="shared" si="323"/>
        <v>119369701.36502725</v>
      </c>
      <c r="DM74" s="165">
        <f t="shared" si="323"/>
        <v>151617336.43367338</v>
      </c>
      <c r="DN74" s="165">
        <f t="shared" si="323"/>
        <v>137703730.30058789</v>
      </c>
      <c r="DO74" s="165">
        <f t="shared" si="323"/>
        <v>165665168.93555546</v>
      </c>
      <c r="DP74" s="165">
        <f t="shared" si="323"/>
        <v>169255429.5984962</v>
      </c>
      <c r="DQ74" s="165">
        <f t="shared" si="323"/>
        <v>155527368.25298131</v>
      </c>
      <c r="DR74" s="165">
        <f t="shared" si="323"/>
        <v>180920433.91225111</v>
      </c>
      <c r="DS74" s="165">
        <f t="shared" ref="DS74:ED74" si="328">DS39-DS54</f>
        <v>157323242.68161869</v>
      </c>
      <c r="DT74" s="165">
        <f t="shared" si="328"/>
        <v>153908763.0003587</v>
      </c>
      <c r="DU74" s="165">
        <f t="shared" si="328"/>
        <v>152495534.34024358</v>
      </c>
      <c r="DV74" s="165">
        <f t="shared" si="328"/>
        <v>166006235.48229825</v>
      </c>
      <c r="DW74" s="165">
        <f t="shared" si="328"/>
        <v>146180558.87535262</v>
      </c>
      <c r="DX74" s="165">
        <f t="shared" si="328"/>
        <v>134003618.37572193</v>
      </c>
      <c r="DY74" s="165">
        <f t="shared" si="328"/>
        <v>170143284.30218387</v>
      </c>
      <c r="DZ74" s="165">
        <f t="shared" si="328"/>
        <v>154451441.37827551</v>
      </c>
      <c r="EA74" s="165">
        <f t="shared" si="328"/>
        <v>185752631.2639569</v>
      </c>
      <c r="EB74" s="165">
        <f t="shared" si="328"/>
        <v>189726688.32291615</v>
      </c>
      <c r="EC74" s="165">
        <f t="shared" si="328"/>
        <v>174251314.17812407</v>
      </c>
      <c r="ED74" s="165">
        <f t="shared" si="328"/>
        <v>202639503.32673943</v>
      </c>
      <c r="EE74" s="168"/>
      <c r="EF74" s="165">
        <f>SUM(BK74:BM74)</f>
        <v>135461049.55457613</v>
      </c>
      <c r="EG74" s="165">
        <f>SUM(BN74:BP74)</f>
        <v>121732448.33845139</v>
      </c>
      <c r="EH74" s="165">
        <f>SUM(BQ74:BS74)</f>
        <v>141069667.81967735</v>
      </c>
      <c r="EI74" s="165">
        <f>SUM(BT74:BV74)</f>
        <v>145026133.40281171</v>
      </c>
      <c r="EJ74" s="165">
        <f>SUM(BW74:BY74)</f>
        <v>170932231.927726</v>
      </c>
      <c r="EK74" s="165">
        <f>SUM(CL74:CN74)</f>
        <v>237094242.47074473</v>
      </c>
      <c r="EL74" s="165">
        <f>SUM(CC74:CE74)</f>
        <v>184391662.4359872</v>
      </c>
      <c r="EM74" s="165">
        <f>SUM(CF74:CH74)</f>
        <v>211661404.56625742</v>
      </c>
      <c r="EN74" s="165">
        <f>SUM(CI74:CK74)</f>
        <v>233959811.2362653</v>
      </c>
      <c r="EO74" s="165">
        <f>SUM(CL74:CN74)</f>
        <v>237094242.47074473</v>
      </c>
      <c r="EP74" s="165">
        <f>SUM(CO74:CQ74)</f>
        <v>315250100.40224665</v>
      </c>
      <c r="EQ74" s="165">
        <f>SUM(CR74:CT74)</f>
        <v>338676535.25561428</v>
      </c>
      <c r="ER74" s="165">
        <f>SUM(CU74:CW74)</f>
        <v>335978447.13520175</v>
      </c>
      <c r="ES74" s="165">
        <f>SUM(CX74:CZ74)</f>
        <v>325534955.3845185</v>
      </c>
      <c r="ET74" s="165">
        <f>SUM(DA74:DC74)</f>
        <v>377166231.49024457</v>
      </c>
      <c r="EU74" s="165">
        <f>SUM(DD74:DF74)</f>
        <v>425876066.84333372</v>
      </c>
      <c r="EV74" s="165">
        <f>SUM(DG74:DI74)</f>
        <v>411775498.07375467</v>
      </c>
      <c r="EW74" s="165">
        <f>SUM(DJ74:DL74)</f>
        <v>397046621.41742128</v>
      </c>
      <c r="EX74" s="165">
        <f>SUM(DM74:DO74)</f>
        <v>454986235.66981673</v>
      </c>
      <c r="EY74" s="165">
        <f>SUM(DP74:DR74)</f>
        <v>505703231.76372862</v>
      </c>
      <c r="EZ74" s="165">
        <f t="shared" si="304"/>
        <v>463727540.02222097</v>
      </c>
      <c r="FA74" s="165">
        <f t="shared" si="305"/>
        <v>446190412.73337281</v>
      </c>
      <c r="FB74" s="165">
        <f t="shared" si="306"/>
        <v>510347356.94441628</v>
      </c>
      <c r="FC74" s="165">
        <f t="shared" si="307"/>
        <v>566617505.82777965</v>
      </c>
      <c r="FE74" s="165">
        <f t="shared" si="308"/>
        <v>543289299.11551666</v>
      </c>
      <c r="FF74" s="165">
        <f t="shared" si="309"/>
        <v>804079541.40071535</v>
      </c>
      <c r="FG74" s="165">
        <f t="shared" si="310"/>
        <v>1124980689.364871</v>
      </c>
      <c r="FH74" s="165">
        <f t="shared" si="311"/>
        <v>1464555700.8532987</v>
      </c>
      <c r="FI74" s="165">
        <f t="shared" si="312"/>
        <v>1769511586.9247212</v>
      </c>
      <c r="FJ74" s="165">
        <f t="shared" si="313"/>
        <v>1986882815.5277896</v>
      </c>
    </row>
    <row r="75" spans="2:166" x14ac:dyDescent="0.2">
      <c r="B75" s="22" t="s">
        <v>31</v>
      </c>
      <c r="C75" s="161">
        <f>C71/C36</f>
        <v>0.11695605686478738</v>
      </c>
      <c r="D75" s="161">
        <f t="shared" ref="D75:BO75" si="329">D71/D36</f>
        <v>9.9813983135865661E-2</v>
      </c>
      <c r="E75" s="161">
        <f t="shared" si="329"/>
        <v>6.7015586238449512E-2</v>
      </c>
      <c r="F75" s="161">
        <f t="shared" si="329"/>
        <v>2.2086525411264348E-2</v>
      </c>
      <c r="G75" s="161">
        <f t="shared" si="329"/>
        <v>2.1830667300766226E-2</v>
      </c>
      <c r="H75" s="161">
        <f t="shared" si="329"/>
        <v>6.0373292917973435E-2</v>
      </c>
      <c r="I75" s="161">
        <f t="shared" si="329"/>
        <v>0.1574699081180784</v>
      </c>
      <c r="J75" s="161">
        <f t="shared" si="329"/>
        <v>0.24938713344108793</v>
      </c>
      <c r="K75" s="161">
        <f t="shared" si="329"/>
        <v>0.18733308177935701</v>
      </c>
      <c r="L75" s="161">
        <f t="shared" si="329"/>
        <v>0.16408041230626436</v>
      </c>
      <c r="M75" s="161">
        <f t="shared" si="329"/>
        <v>0.15134364322284732</v>
      </c>
      <c r="N75" s="161">
        <f t="shared" si="329"/>
        <v>0.21301964926207248</v>
      </c>
      <c r="O75" s="161">
        <f t="shared" si="329"/>
        <v>0.15061469501738733</v>
      </c>
      <c r="P75" s="161">
        <f t="shared" si="329"/>
        <v>0.12229897546358942</v>
      </c>
      <c r="Q75" s="161">
        <f t="shared" si="329"/>
        <v>6.6845819702276793E-2</v>
      </c>
      <c r="R75" s="161">
        <f t="shared" si="329"/>
        <v>0.13600025771960683</v>
      </c>
      <c r="S75" s="161">
        <f t="shared" si="329"/>
        <v>0.14486400643770511</v>
      </c>
      <c r="T75" s="161">
        <f t="shared" si="329"/>
        <v>9.061314986820751E-2</v>
      </c>
      <c r="U75" s="161">
        <f t="shared" si="329"/>
        <v>0.17013515414034439</v>
      </c>
      <c r="V75" s="161">
        <f t="shared" si="329"/>
        <v>-3.2693836526613687E-2</v>
      </c>
      <c r="W75" s="161">
        <f t="shared" si="329"/>
        <v>6.7991654457494652E-2</v>
      </c>
      <c r="X75" s="161">
        <f t="shared" si="329"/>
        <v>5.6832904108419818E-2</v>
      </c>
      <c r="Y75" s="161">
        <f t="shared" si="329"/>
        <v>-6.3836183070592412E-2</v>
      </c>
      <c r="Z75" s="161">
        <f t="shared" si="329"/>
        <v>2.2389125037823383E-2</v>
      </c>
      <c r="AA75" s="161">
        <f t="shared" si="329"/>
        <v>1.8234506371941483</v>
      </c>
      <c r="AB75" s="161">
        <f t="shared" si="329"/>
        <v>8.2578375604390797E-2</v>
      </c>
      <c r="AC75" s="161">
        <f t="shared" si="329"/>
        <v>0.1638094248441383</v>
      </c>
      <c r="AD75" s="161">
        <f t="shared" si="329"/>
        <v>0.19284595905689828</v>
      </c>
      <c r="AE75" s="161">
        <f t="shared" si="329"/>
        <v>0.14714679641804315</v>
      </c>
      <c r="AF75" s="161">
        <f t="shared" si="329"/>
        <v>0.10265599290143071</v>
      </c>
      <c r="AG75" s="161">
        <f t="shared" si="329"/>
        <v>0.11975045761852438</v>
      </c>
      <c r="AH75" s="161">
        <f t="shared" si="329"/>
        <v>0.12510695681690501</v>
      </c>
      <c r="AI75" s="161">
        <f t="shared" si="329"/>
        <v>0.17879210445726812</v>
      </c>
      <c r="AJ75" s="161">
        <f t="shared" si="329"/>
        <v>0.15549566302083853</v>
      </c>
      <c r="AK75" s="161">
        <f t="shared" si="329"/>
        <v>0.1619098334826316</v>
      </c>
      <c r="AL75" s="161">
        <f t="shared" si="329"/>
        <v>0.17976215094716091</v>
      </c>
      <c r="AM75" s="161">
        <f t="shared" si="329"/>
        <v>0.12427008933974434</v>
      </c>
      <c r="AN75" s="161">
        <f t="shared" si="329"/>
        <v>1.4716025297960688E-2</v>
      </c>
      <c r="AO75" s="161">
        <f t="shared" si="329"/>
        <v>8.6127882314181045E-2</v>
      </c>
      <c r="AP75" s="161">
        <f t="shared" si="329"/>
        <v>0.10731960688458472</v>
      </c>
      <c r="AQ75" s="161">
        <f t="shared" si="329"/>
        <v>0.10213188190298875</v>
      </c>
      <c r="AR75" s="161">
        <f t="shared" si="329"/>
        <v>9.8070985753362316E-2</v>
      </c>
      <c r="AS75" s="161">
        <f t="shared" si="329"/>
        <v>0.1324824930098521</v>
      </c>
      <c r="AT75" s="161">
        <f t="shared" si="329"/>
        <v>0.18219215901947911</v>
      </c>
      <c r="AU75" s="161">
        <f t="shared" si="329"/>
        <v>0.16425914248530815</v>
      </c>
      <c r="AV75" s="161">
        <f t="shared" si="329"/>
        <v>0.15939284140252075</v>
      </c>
      <c r="AW75" s="161">
        <f t="shared" si="329"/>
        <v>0.14948519936640992</v>
      </c>
      <c r="AX75" s="161">
        <f t="shared" si="329"/>
        <v>0.12969385817188822</v>
      </c>
      <c r="AY75" s="161">
        <f t="shared" si="329"/>
        <v>0.13352575725580032</v>
      </c>
      <c r="AZ75" s="161">
        <f t="shared" si="329"/>
        <v>0.13503504062424668</v>
      </c>
      <c r="BA75" s="161">
        <f t="shared" si="329"/>
        <v>0.14267053384681599</v>
      </c>
      <c r="BB75" s="161">
        <f t="shared" si="329"/>
        <v>0.13714833830353221</v>
      </c>
      <c r="BC75" s="161">
        <f t="shared" si="329"/>
        <v>0.12257868594530982</v>
      </c>
      <c r="BD75" s="161">
        <f t="shared" si="329"/>
        <v>0.10422191651146669</v>
      </c>
      <c r="BE75" s="161">
        <f t="shared" si="329"/>
        <v>0.1326568839904918</v>
      </c>
      <c r="BF75" s="161">
        <f t="shared" si="329"/>
        <v>0.12321537755136712</v>
      </c>
      <c r="BG75" s="161">
        <f t="shared" si="329"/>
        <v>0.13220087594237048</v>
      </c>
      <c r="BH75" s="161">
        <f t="shared" si="329"/>
        <v>0.14497589412091885</v>
      </c>
      <c r="BI75" s="161">
        <f t="shared" si="329"/>
        <v>0.15060641260305177</v>
      </c>
      <c r="BJ75" s="161">
        <f t="shared" si="329"/>
        <v>0.14525131869447222</v>
      </c>
      <c r="BK75" s="161">
        <f t="shared" si="329"/>
        <v>0.1281203921339733</v>
      </c>
      <c r="BL75" s="161">
        <f t="shared" si="329"/>
        <v>0.14079288699611978</v>
      </c>
      <c r="BM75" s="161">
        <f t="shared" si="329"/>
        <v>0.15429995644884639</v>
      </c>
      <c r="BN75" s="161">
        <f t="shared" si="329"/>
        <v>0.15331970191129038</v>
      </c>
      <c r="BO75" s="161">
        <f t="shared" si="329"/>
        <v>0.15681515417407063</v>
      </c>
      <c r="BP75" s="161">
        <f t="shared" ref="BP75:EM75" si="330">BP71/BP36</f>
        <v>0.12798615312967379</v>
      </c>
      <c r="BQ75" s="161">
        <f t="shared" si="330"/>
        <v>0.13068736027078628</v>
      </c>
      <c r="BR75" s="161">
        <f t="shared" si="330"/>
        <v>0.14699705129914065</v>
      </c>
      <c r="BS75" s="161">
        <f t="shared" si="330"/>
        <v>0.15707002472815981</v>
      </c>
      <c r="BT75" s="161">
        <f t="shared" si="330"/>
        <v>0.16990612714828918</v>
      </c>
      <c r="BU75" s="161">
        <f t="shared" si="330"/>
        <v>0.20965222426639385</v>
      </c>
      <c r="BV75" s="161">
        <f t="shared" si="330"/>
        <v>0.20014968726551774</v>
      </c>
      <c r="BW75" s="161">
        <f t="shared" si="330"/>
        <v>0.18446408556090757</v>
      </c>
      <c r="BX75" s="161">
        <f t="shared" si="330"/>
        <v>0.19382133757778286</v>
      </c>
      <c r="BY75" s="161">
        <f t="shared" si="330"/>
        <v>0.19938719314172179</v>
      </c>
      <c r="BZ75" s="161">
        <f t="shared" si="330"/>
        <v>0.19514658969561258</v>
      </c>
      <c r="CA75" s="161">
        <f t="shared" si="330"/>
        <v>0.19452015755305274</v>
      </c>
      <c r="CB75" s="161">
        <f t="shared" si="330"/>
        <v>0.18487336128408244</v>
      </c>
      <c r="CC75" s="161">
        <f t="shared" si="330"/>
        <v>0.19322216076134952</v>
      </c>
      <c r="CD75" s="161">
        <f t="shared" si="330"/>
        <v>0.19775664503959589</v>
      </c>
      <c r="CE75" s="161">
        <f t="shared" si="330"/>
        <v>0.18816175709751337</v>
      </c>
      <c r="CF75" s="161">
        <f t="shared" si="330"/>
        <v>0.18144462024502719</v>
      </c>
      <c r="CG75" s="161">
        <f t="shared" si="330"/>
        <v>0.17638523392222497</v>
      </c>
      <c r="CH75" s="161">
        <f t="shared" si="330"/>
        <v>0.18348671905819366</v>
      </c>
      <c r="CI75" s="161">
        <f t="shared" si="330"/>
        <v>0.18333144774441149</v>
      </c>
      <c r="CJ75" s="161">
        <f t="shared" si="330"/>
        <v>0.18232424026333846</v>
      </c>
      <c r="CK75" s="161">
        <f t="shared" si="330"/>
        <v>0.19450101255541419</v>
      </c>
      <c r="CL75" s="161">
        <f t="shared" si="330"/>
        <v>0.19024408737335985</v>
      </c>
      <c r="CM75" s="161">
        <f t="shared" si="330"/>
        <v>0.2054322760466229</v>
      </c>
      <c r="CN75" s="161">
        <f t="shared" si="330"/>
        <v>0.18241313551942318</v>
      </c>
      <c r="CO75" s="161">
        <f t="shared" si="330"/>
        <v>0.19658285141190748</v>
      </c>
      <c r="CP75" s="161">
        <f t="shared" si="330"/>
        <v>0.19167693970242636</v>
      </c>
      <c r="CQ75" s="161">
        <f t="shared" si="330"/>
        <v>0.1738743172618433</v>
      </c>
      <c r="CR75" s="161">
        <f t="shared" si="330"/>
        <v>0.17291671763853883</v>
      </c>
      <c r="CS75" s="161">
        <f t="shared" si="330"/>
        <v>0.16602446987470734</v>
      </c>
      <c r="CT75" s="161">
        <f t="shared" si="330"/>
        <v>0.1539176022917263</v>
      </c>
      <c r="CU75" s="161">
        <f t="shared" si="330"/>
        <v>0.18201601260399741</v>
      </c>
      <c r="CV75" s="161">
        <f t="shared" si="330"/>
        <v>0.18180774639467165</v>
      </c>
      <c r="CW75" s="161">
        <f t="shared" si="330"/>
        <v>0.18177924970684306</v>
      </c>
      <c r="CX75" s="161">
        <f t="shared" si="330"/>
        <v>0.18222624258019351</v>
      </c>
      <c r="CY75" s="161">
        <f t="shared" si="330"/>
        <v>0.18175956285537384</v>
      </c>
      <c r="CZ75" s="161">
        <f t="shared" si="330"/>
        <v>0.1807272423378993</v>
      </c>
      <c r="DA75" s="161">
        <f t="shared" si="330"/>
        <v>0.18239531463722433</v>
      </c>
      <c r="DB75" s="161">
        <f t="shared" si="330"/>
        <v>0.18180884258348273</v>
      </c>
      <c r="DC75" s="161">
        <f t="shared" si="330"/>
        <v>0.18186802209394565</v>
      </c>
      <c r="DD75" s="161">
        <f t="shared" si="330"/>
        <v>0.18161330454900787</v>
      </c>
      <c r="DE75" s="161">
        <f t="shared" si="330"/>
        <v>0.18194722026885651</v>
      </c>
      <c r="DF75" s="161">
        <f t="shared" si="330"/>
        <v>0.18251438059401751</v>
      </c>
      <c r="DG75" s="161">
        <f t="shared" si="330"/>
        <v>0.18107118878222309</v>
      </c>
      <c r="DH75" s="161">
        <f t="shared" si="330"/>
        <v>0.18087380584780302</v>
      </c>
      <c r="DI75" s="161">
        <f t="shared" si="330"/>
        <v>0.18081729121410967</v>
      </c>
      <c r="DJ75" s="161">
        <f t="shared" si="330"/>
        <v>0.1812669222755281</v>
      </c>
      <c r="DK75" s="161">
        <f t="shared" si="330"/>
        <v>0.18078925436364338</v>
      </c>
      <c r="DL75" s="161">
        <f t="shared" si="330"/>
        <v>0.17971915576092545</v>
      </c>
      <c r="DM75" s="161">
        <f t="shared" si="330"/>
        <v>0.18140003412035827</v>
      </c>
      <c r="DN75" s="161">
        <f t="shared" si="330"/>
        <v>0.18077649692523423</v>
      </c>
      <c r="DO75" s="161">
        <f t="shared" si="330"/>
        <v>0.18079778339466718</v>
      </c>
      <c r="DP75" s="161">
        <f t="shared" si="330"/>
        <v>0.18050830517451896</v>
      </c>
      <c r="DQ75" s="161">
        <f t="shared" si="330"/>
        <v>0.18083720772381839</v>
      </c>
      <c r="DR75" s="161">
        <f t="shared" si="330"/>
        <v>0.18134872251099554</v>
      </c>
      <c r="DS75" s="161">
        <f t="shared" ref="DS75:ED75" si="331">DS71/DS36</f>
        <v>0.17852186192822517</v>
      </c>
      <c r="DT75" s="161">
        <f t="shared" si="331"/>
        <v>0.17832698461889684</v>
      </c>
      <c r="DU75" s="161">
        <f t="shared" si="331"/>
        <v>0.17826954426820338</v>
      </c>
      <c r="DV75" s="161">
        <f t="shared" si="331"/>
        <v>0.17869952035071085</v>
      </c>
      <c r="DW75" s="161">
        <f t="shared" si="331"/>
        <v>0.17823590913996579</v>
      </c>
      <c r="DX75" s="161">
        <f t="shared" si="331"/>
        <v>0.17719974884210765</v>
      </c>
      <c r="DY75" s="161">
        <f t="shared" si="331"/>
        <v>0.17881647423795016</v>
      </c>
      <c r="DZ75" s="161">
        <f t="shared" si="331"/>
        <v>0.17821261903827459</v>
      </c>
      <c r="EA75" s="161">
        <f t="shared" si="331"/>
        <v>0.17822840027952661</v>
      </c>
      <c r="EB75" s="161">
        <f t="shared" si="331"/>
        <v>0.17794717911936045</v>
      </c>
      <c r="EC75" s="161">
        <f t="shared" si="331"/>
        <v>0.17826348395229688</v>
      </c>
      <c r="ED75" s="161">
        <f t="shared" si="331"/>
        <v>0.17875413494764719</v>
      </c>
      <c r="EE75" s="168"/>
      <c r="EF75" s="161">
        <f t="shared" si="330"/>
        <v>0.14127866235807862</v>
      </c>
      <c r="EG75" s="161">
        <f t="shared" si="330"/>
        <v>0.14585316397565334</v>
      </c>
      <c r="EH75" s="161">
        <f t="shared" si="330"/>
        <v>0.14359719621531952</v>
      </c>
      <c r="EI75" s="161">
        <f t="shared" si="330"/>
        <v>0.19241966134565994</v>
      </c>
      <c r="EJ75" s="161">
        <f t="shared" si="330"/>
        <v>0.19277286935776897</v>
      </c>
      <c r="EK75" s="161">
        <f t="shared" si="330"/>
        <v>0.19228876466478198</v>
      </c>
      <c r="EL75" s="161">
        <f t="shared" si="330"/>
        <v>0.19276297267985962</v>
      </c>
      <c r="EM75" s="161">
        <f t="shared" si="330"/>
        <v>0.18071522547717941</v>
      </c>
      <c r="EN75" s="161">
        <f t="shared" ref="EN75:FJ75" si="332">EN71/EN36</f>
        <v>0.18672642568750195</v>
      </c>
      <c r="EO75" s="161">
        <f t="shared" si="332"/>
        <v>0.19228876466478198</v>
      </c>
      <c r="EP75" s="161">
        <f t="shared" si="332"/>
        <v>0.18664815693207229</v>
      </c>
      <c r="EQ75" s="161">
        <f t="shared" si="332"/>
        <v>0.16399920056372358</v>
      </c>
      <c r="ER75" s="161">
        <f t="shared" si="332"/>
        <v>0.18186824991036898</v>
      </c>
      <c r="ES75" s="161">
        <f t="shared" si="332"/>
        <v>0.18159610834078579</v>
      </c>
      <c r="ET75" s="161">
        <f t="shared" si="332"/>
        <v>0.18202023250914978</v>
      </c>
      <c r="EU75" s="161">
        <f t="shared" si="332"/>
        <v>0.18203116317690735</v>
      </c>
      <c r="EV75" s="161">
        <f t="shared" si="332"/>
        <v>0.18092140253101341</v>
      </c>
      <c r="EW75" s="161">
        <f t="shared" si="332"/>
        <v>0.18061865544925648</v>
      </c>
      <c r="EX75" s="161">
        <f t="shared" si="332"/>
        <v>0.1809864411165199</v>
      </c>
      <c r="EY75" s="161">
        <f t="shared" si="332"/>
        <v>0.18090195373341333</v>
      </c>
      <c r="EZ75" s="161">
        <f t="shared" si="332"/>
        <v>0.17837345688021572</v>
      </c>
      <c r="FA75" s="161">
        <f t="shared" si="332"/>
        <v>0.17807081524102156</v>
      </c>
      <c r="FB75" s="161">
        <f t="shared" si="332"/>
        <v>0.17841406655747957</v>
      </c>
      <c r="FC75" s="161">
        <f t="shared" si="332"/>
        <v>0.17832504658004966</v>
      </c>
      <c r="FE75" s="161">
        <f t="shared" si="332"/>
        <v>0.15479716274339902</v>
      </c>
      <c r="FF75" s="161">
        <f t="shared" si="332"/>
        <v>0.18926713278192706</v>
      </c>
      <c r="FG75" s="161">
        <f t="shared" si="332"/>
        <v>0.1808897461312988</v>
      </c>
      <c r="FH75" s="161">
        <f t="shared" si="332"/>
        <v>0.18189272903176623</v>
      </c>
      <c r="FI75" s="161">
        <f t="shared" si="332"/>
        <v>0.18086366134601453</v>
      </c>
      <c r="FJ75" s="161">
        <f t="shared" si="332"/>
        <v>0.17830116956909731</v>
      </c>
    </row>
    <row r="76" spans="2:166" x14ac:dyDescent="0.2">
      <c r="B76" s="22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68"/>
      <c r="EF76" s="165"/>
      <c r="EG76" s="165"/>
      <c r="EH76" s="165"/>
      <c r="EI76" s="165"/>
      <c r="EJ76" s="165"/>
      <c r="EK76" s="165"/>
      <c r="EL76" s="165"/>
      <c r="EM76" s="165"/>
      <c r="EN76" s="165"/>
      <c r="EO76" s="165"/>
      <c r="EP76" s="165"/>
      <c r="EQ76" s="165"/>
      <c r="ER76" s="165"/>
      <c r="ES76" s="165"/>
      <c r="ET76" s="165"/>
      <c r="EU76" s="165"/>
      <c r="EV76" s="165"/>
      <c r="EW76" s="165"/>
      <c r="EX76" s="165"/>
      <c r="EY76" s="165"/>
      <c r="EZ76" s="165">
        <f t="shared" si="304"/>
        <v>0</v>
      </c>
      <c r="FA76" s="165">
        <f t="shared" si="305"/>
        <v>0</v>
      </c>
      <c r="FB76" s="165">
        <f t="shared" si="306"/>
        <v>0</v>
      </c>
      <c r="FC76" s="165">
        <f t="shared" si="307"/>
        <v>0</v>
      </c>
      <c r="FE76" s="165"/>
      <c r="FF76" s="165"/>
      <c r="FG76" s="165"/>
      <c r="FH76" s="165"/>
      <c r="FI76" s="165"/>
      <c r="FJ76" s="165"/>
    </row>
    <row r="77" spans="2:166" s="30" customFormat="1" x14ac:dyDescent="0.2">
      <c r="B77" s="184" t="s">
        <v>32</v>
      </c>
      <c r="C77" s="182">
        <f>SUM(C78:C80)</f>
        <v>259742</v>
      </c>
      <c r="D77" s="182">
        <f t="shared" ref="D77:BO77" si="333">SUM(D78:D80)</f>
        <v>300887</v>
      </c>
      <c r="E77" s="182">
        <f t="shared" si="333"/>
        <v>343726</v>
      </c>
      <c r="F77" s="182">
        <f t="shared" si="333"/>
        <v>481425</v>
      </c>
      <c r="G77" s="182">
        <f t="shared" si="333"/>
        <v>484377</v>
      </c>
      <c r="H77" s="182">
        <f t="shared" si="333"/>
        <v>515353</v>
      </c>
      <c r="I77" s="182">
        <f t="shared" si="333"/>
        <v>500586</v>
      </c>
      <c r="J77" s="182">
        <f t="shared" si="333"/>
        <v>637103</v>
      </c>
      <c r="K77" s="182">
        <f t="shared" si="333"/>
        <v>634462</v>
      </c>
      <c r="L77" s="182">
        <f t="shared" si="333"/>
        <v>587868</v>
      </c>
      <c r="M77" s="182">
        <f t="shared" si="333"/>
        <v>987758.00000000012</v>
      </c>
      <c r="N77" s="182">
        <f t="shared" si="333"/>
        <v>1054562</v>
      </c>
      <c r="O77" s="182">
        <f t="shared" si="333"/>
        <v>1190999</v>
      </c>
      <c r="P77" s="182">
        <f t="shared" si="333"/>
        <v>1752771</v>
      </c>
      <c r="Q77" s="182">
        <f t="shared" si="333"/>
        <v>1161288</v>
      </c>
      <c r="R77" s="182">
        <f t="shared" si="333"/>
        <v>1682294</v>
      </c>
      <c r="S77" s="182">
        <f t="shared" si="333"/>
        <v>1321050</v>
      </c>
      <c r="T77" s="182">
        <f t="shared" si="333"/>
        <v>1123104</v>
      </c>
      <c r="U77" s="182">
        <f t="shared" si="333"/>
        <v>924172.99999999988</v>
      </c>
      <c r="V77" s="182">
        <f t="shared" si="333"/>
        <v>811257.74</v>
      </c>
      <c r="W77" s="182">
        <f t="shared" si="333"/>
        <v>1005673.21</v>
      </c>
      <c r="X77" s="182">
        <f t="shared" si="333"/>
        <v>1253148.49</v>
      </c>
      <c r="Y77" s="182">
        <f t="shared" si="333"/>
        <v>1286061.3</v>
      </c>
      <c r="Z77" s="182">
        <f t="shared" si="333"/>
        <v>1057744.145</v>
      </c>
      <c r="AA77" s="182">
        <f t="shared" si="333"/>
        <v>405825.14028042229</v>
      </c>
      <c r="AB77" s="182">
        <f t="shared" si="333"/>
        <v>1062513.125</v>
      </c>
      <c r="AC77" s="182">
        <f t="shared" si="333"/>
        <v>2004392.1081472184</v>
      </c>
      <c r="AD77" s="182">
        <f t="shared" si="333"/>
        <v>2039043.5777892061</v>
      </c>
      <c r="AE77" s="182">
        <f t="shared" si="333"/>
        <v>1946761.6962844231</v>
      </c>
      <c r="AF77" s="182">
        <f t="shared" si="333"/>
        <v>2287501.343774756</v>
      </c>
      <c r="AG77" s="182">
        <f t="shared" si="333"/>
        <v>3199825.5423716963</v>
      </c>
      <c r="AH77" s="182">
        <f t="shared" si="333"/>
        <v>3089237.8634821256</v>
      </c>
      <c r="AI77" s="182">
        <f t="shared" si="333"/>
        <v>5168331.1871461933</v>
      </c>
      <c r="AJ77" s="182">
        <f t="shared" si="333"/>
        <v>6372401.3377324315</v>
      </c>
      <c r="AK77" s="182">
        <f t="shared" si="333"/>
        <v>4285151.2777369712</v>
      </c>
      <c r="AL77" s="182">
        <f t="shared" si="333"/>
        <v>5288933.0203280449</v>
      </c>
      <c r="AM77" s="182">
        <f t="shared" si="333"/>
        <v>3874868.0238685994</v>
      </c>
      <c r="AN77" s="182">
        <f t="shared" si="333"/>
        <v>2622749.8669968774</v>
      </c>
      <c r="AO77" s="182">
        <f t="shared" si="333"/>
        <v>3844301.1103624334</v>
      </c>
      <c r="AP77" s="182">
        <f t="shared" si="333"/>
        <v>4273779.4598000012</v>
      </c>
      <c r="AQ77" s="182">
        <f t="shared" si="333"/>
        <v>4567653.0572746126</v>
      </c>
      <c r="AR77" s="182">
        <f t="shared" si="333"/>
        <v>5151161.8950874945</v>
      </c>
      <c r="AS77" s="182">
        <f t="shared" si="333"/>
        <v>6721509.8675856935</v>
      </c>
      <c r="AT77" s="182">
        <f t="shared" si="333"/>
        <v>8316279.6539191194</v>
      </c>
      <c r="AU77" s="182">
        <f t="shared" si="333"/>
        <v>9331240.3771983739</v>
      </c>
      <c r="AV77" s="182">
        <f t="shared" si="333"/>
        <v>9297101.3204239905</v>
      </c>
      <c r="AW77" s="182">
        <f t="shared" si="333"/>
        <v>8953531.7857470736</v>
      </c>
      <c r="AX77" s="182">
        <f t="shared" si="333"/>
        <v>8647953.3099220563</v>
      </c>
      <c r="AY77" s="182">
        <f t="shared" si="333"/>
        <v>7247642.7740784176</v>
      </c>
      <c r="AZ77" s="182">
        <f t="shared" si="333"/>
        <v>7834562.6383850798</v>
      </c>
      <c r="BA77" s="182">
        <f t="shared" si="333"/>
        <v>8553250.7169470415</v>
      </c>
      <c r="BB77" s="182">
        <f t="shared" si="333"/>
        <v>9269940.5866863225</v>
      </c>
      <c r="BC77" s="182">
        <f t="shared" si="333"/>
        <v>8036698.6208766317</v>
      </c>
      <c r="BD77" s="182">
        <f t="shared" si="333"/>
        <v>9028353.2293284349</v>
      </c>
      <c r="BE77" s="182">
        <f t="shared" si="333"/>
        <v>10784669.380432151</v>
      </c>
      <c r="BF77" s="182">
        <f t="shared" si="333"/>
        <v>10767489.368687917</v>
      </c>
      <c r="BG77" s="182">
        <f t="shared" si="333"/>
        <v>10273099.843354173</v>
      </c>
      <c r="BH77" s="182">
        <f t="shared" si="333"/>
        <v>10371995.149134673</v>
      </c>
      <c r="BI77" s="182">
        <f t="shared" si="333"/>
        <v>13530656.93392111</v>
      </c>
      <c r="BJ77" s="182">
        <f t="shared" si="333"/>
        <v>24596486.359927692</v>
      </c>
      <c r="BK77" s="182">
        <f t="shared" si="333"/>
        <v>24652955.42536132</v>
      </c>
      <c r="BL77" s="182">
        <f t="shared" si="333"/>
        <v>22093981.074309364</v>
      </c>
      <c r="BM77" s="182">
        <f t="shared" si="333"/>
        <v>23799440.775466677</v>
      </c>
      <c r="BN77" s="182">
        <f t="shared" si="333"/>
        <v>20434946.65309681</v>
      </c>
      <c r="BO77" s="182">
        <f t="shared" si="333"/>
        <v>21389426.56514528</v>
      </c>
      <c r="BP77" s="182">
        <f t="shared" ref="BP77:DR77" si="334">SUM(BP78:BP80)</f>
        <v>21851677.278707456</v>
      </c>
      <c r="BQ77" s="182">
        <f t="shared" si="334"/>
        <v>35062193.082518063</v>
      </c>
      <c r="BR77" s="182">
        <f t="shared" si="334"/>
        <v>25546594.537649602</v>
      </c>
      <c r="BS77" s="182">
        <f t="shared" si="334"/>
        <v>23623470.02596521</v>
      </c>
      <c r="BT77" s="182">
        <f t="shared" si="334"/>
        <v>23797227.034203131</v>
      </c>
      <c r="BU77" s="182">
        <f t="shared" si="334"/>
        <v>25645704.072109316</v>
      </c>
      <c r="BV77" s="182">
        <f t="shared" si="334"/>
        <v>28698572.702786423</v>
      </c>
      <c r="BW77" s="182">
        <f t="shared" si="334"/>
        <v>25303219.867993578</v>
      </c>
      <c r="BX77" s="182">
        <f t="shared" si="334"/>
        <v>27305226.264646206</v>
      </c>
      <c r="BY77" s="182">
        <f t="shared" si="334"/>
        <v>29171125.808588423</v>
      </c>
      <c r="BZ77" s="182">
        <f t="shared" si="334"/>
        <v>30366182.903693564</v>
      </c>
      <c r="CA77" s="182">
        <f t="shared" si="334"/>
        <v>25848113.428560697</v>
      </c>
      <c r="CB77" s="182">
        <f t="shared" si="334"/>
        <v>25109935.068123266</v>
      </c>
      <c r="CC77" s="182">
        <f t="shared" si="334"/>
        <v>29919406.035890166</v>
      </c>
      <c r="CD77" s="182">
        <f t="shared" si="334"/>
        <v>27904452.693207178</v>
      </c>
      <c r="CE77" s="182">
        <f t="shared" si="334"/>
        <v>29003690.955443293</v>
      </c>
      <c r="CF77" s="182">
        <f t="shared" si="334"/>
        <v>31042545.03414268</v>
      </c>
      <c r="CG77" s="182">
        <f t="shared" si="334"/>
        <v>27166423.912037559</v>
      </c>
      <c r="CH77" s="182">
        <f t="shared" si="334"/>
        <v>40990218.789946713</v>
      </c>
      <c r="CI77" s="182">
        <f t="shared" si="334"/>
        <v>39635056.733587444</v>
      </c>
      <c r="CJ77" s="182">
        <f t="shared" si="334"/>
        <v>39064855.649196118</v>
      </c>
      <c r="CK77" s="182">
        <f t="shared" si="334"/>
        <v>42303201.216431662</v>
      </c>
      <c r="CL77" s="182">
        <f t="shared" si="334"/>
        <v>44875004.818586975</v>
      </c>
      <c r="CM77" s="182">
        <f t="shared" si="334"/>
        <v>36589226.049496628</v>
      </c>
      <c r="CN77" s="182">
        <f t="shared" si="334"/>
        <v>40453321.323905982</v>
      </c>
      <c r="CO77" s="182">
        <f t="shared" si="334"/>
        <v>53362034.811345682</v>
      </c>
      <c r="CP77" s="182">
        <f t="shared" si="334"/>
        <v>38680694.957107082</v>
      </c>
      <c r="CQ77" s="182">
        <f t="shared" si="334"/>
        <v>40385535.223520942</v>
      </c>
      <c r="CR77" s="182">
        <f t="shared" si="334"/>
        <v>44864827.078801945</v>
      </c>
      <c r="CS77" s="182">
        <f t="shared" si="334"/>
        <v>39667198.708331183</v>
      </c>
      <c r="CT77" s="182">
        <f t="shared" si="334"/>
        <v>48208678.204250678</v>
      </c>
      <c r="CU77" s="182">
        <f t="shared" si="334"/>
        <v>43802828.520379215</v>
      </c>
      <c r="CV77" s="182">
        <f t="shared" si="334"/>
        <v>43651335.965722509</v>
      </c>
      <c r="CW77" s="182">
        <f t="shared" si="334"/>
        <v>43588311.19620505</v>
      </c>
      <c r="CX77" s="182">
        <f t="shared" si="334"/>
        <v>45418388.23012349</v>
      </c>
      <c r="CY77" s="182">
        <f t="shared" si="334"/>
        <v>41980462.746965706</v>
      </c>
      <c r="CZ77" s="182">
        <f t="shared" si="334"/>
        <v>42816633.90408691</v>
      </c>
      <c r="DA77" s="182">
        <f t="shared" si="334"/>
        <v>46128911.592322797</v>
      </c>
      <c r="DB77" s="182">
        <f t="shared" si="334"/>
        <v>44586471.457573682</v>
      </c>
      <c r="DC77" s="182">
        <f t="shared" si="334"/>
        <v>53478099.56339623</v>
      </c>
      <c r="DD77" s="182">
        <f t="shared" si="334"/>
        <v>56265774.59687379</v>
      </c>
      <c r="DE77" s="182">
        <f t="shared" si="334"/>
        <v>50205833.083047032</v>
      </c>
      <c r="DF77" s="182">
        <f t="shared" si="334"/>
        <v>55782588.029854521</v>
      </c>
      <c r="DG77" s="182">
        <f t="shared" si="334"/>
        <v>52544764.615516067</v>
      </c>
      <c r="DH77" s="182">
        <f t="shared" si="334"/>
        <v>52402100.074989125</v>
      </c>
      <c r="DI77" s="182">
        <f t="shared" si="334"/>
        <v>52214673.591336116</v>
      </c>
      <c r="DJ77" s="182">
        <f t="shared" si="334"/>
        <v>54440920.998586938</v>
      </c>
      <c r="DK77" s="182">
        <f t="shared" si="334"/>
        <v>50221290.095540166</v>
      </c>
      <c r="DL77" s="182">
        <f t="shared" si="334"/>
        <v>51129326.81130226</v>
      </c>
      <c r="DM77" s="182">
        <f t="shared" si="334"/>
        <v>55133612.725997373</v>
      </c>
      <c r="DN77" s="182">
        <f t="shared" si="334"/>
        <v>53135511.668033689</v>
      </c>
      <c r="DO77" s="182">
        <f t="shared" si="334"/>
        <v>63725680.942332208</v>
      </c>
      <c r="DP77" s="182">
        <f t="shared" si="334"/>
        <v>66949511.805395573</v>
      </c>
      <c r="DQ77" s="182">
        <f t="shared" si="334"/>
        <v>59584924.464030877</v>
      </c>
      <c r="DR77" s="182">
        <f t="shared" si="334"/>
        <v>65949408.35316164</v>
      </c>
      <c r="DS77" s="182">
        <f t="shared" ref="DS77:ED77" si="335">SUM(DS78:DS80)</f>
        <v>60371315.853714734</v>
      </c>
      <c r="DT77" s="182">
        <f t="shared" si="335"/>
        <v>60194123.838070795</v>
      </c>
      <c r="DU77" s="182">
        <f t="shared" si="335"/>
        <v>59964878.292653427</v>
      </c>
      <c r="DV77" s="182">
        <f t="shared" si="335"/>
        <v>62504041.66091691</v>
      </c>
      <c r="DW77" s="182">
        <f t="shared" si="335"/>
        <v>57617173.229505807</v>
      </c>
      <c r="DX77" s="182">
        <f t="shared" si="335"/>
        <v>58710062.560120098</v>
      </c>
      <c r="DY77" s="182">
        <f t="shared" si="335"/>
        <v>63234871.000823453</v>
      </c>
      <c r="DZ77" s="182">
        <f t="shared" si="335"/>
        <v>60948881.249344677</v>
      </c>
      <c r="EA77" s="182">
        <f t="shared" si="335"/>
        <v>73216816.337179422</v>
      </c>
      <c r="EB77" s="182">
        <f t="shared" si="335"/>
        <v>76971287.836008415</v>
      </c>
      <c r="EC77" s="182">
        <f t="shared" si="335"/>
        <v>68390435.844893068</v>
      </c>
      <c r="ED77" s="182">
        <f t="shared" si="335"/>
        <v>75709872.84109965</v>
      </c>
      <c r="EE77" s="333"/>
      <c r="EF77" s="224">
        <f>SUM(BK77:BM77)</f>
        <v>70546377.275137365</v>
      </c>
      <c r="EG77" s="224">
        <f>SUM(BN77:BP77)</f>
        <v>63676050.496949553</v>
      </c>
      <c r="EH77" s="224">
        <f>SUM(BQ77:BS77)</f>
        <v>84232257.646132872</v>
      </c>
      <c r="EI77" s="224">
        <f>SUM(BT77:BV77)</f>
        <v>78141503.80909887</v>
      </c>
      <c r="EJ77" s="224">
        <f>SUM(BW77:BY77)</f>
        <v>81779571.941228211</v>
      </c>
      <c r="EK77" s="224">
        <f>SUM(CL77:CN77)</f>
        <v>121917552.19198957</v>
      </c>
      <c r="EL77" s="224">
        <f>SUM(CC77:CE77)</f>
        <v>86827549.684540629</v>
      </c>
      <c r="EM77" s="224">
        <f>SUM(CF77:CH77)</f>
        <v>99199187.736126959</v>
      </c>
      <c r="EN77" s="224">
        <f>SUM(CI77:CK77)</f>
        <v>121003113.59921522</v>
      </c>
      <c r="EO77" s="224">
        <f>SUM(CL77:CN77)</f>
        <v>121917552.19198957</v>
      </c>
      <c r="EP77" s="224">
        <f>SUM(CO77:CQ77)</f>
        <v>132428264.9919737</v>
      </c>
      <c r="EQ77" s="224">
        <f>SUM(CR77:CT77)</f>
        <v>132740703.99138381</v>
      </c>
      <c r="ER77" s="224">
        <f>SUM(CU77:CW77)</f>
        <v>131042475.68230677</v>
      </c>
      <c r="ES77" s="224">
        <f>SUM(CX77:CZ77)</f>
        <v>130215484.88117611</v>
      </c>
      <c r="ET77" s="224">
        <f>SUM(DA77:DC77)</f>
        <v>144193482.61329269</v>
      </c>
      <c r="EU77" s="224">
        <f>SUM(DD77:DF77)</f>
        <v>162254195.70977533</v>
      </c>
      <c r="EV77" s="224">
        <f>SUM(DG77:DI77)</f>
        <v>157161538.28184131</v>
      </c>
      <c r="EW77" s="224">
        <f>SUM(DJ77:DL77)</f>
        <v>155791537.90542936</v>
      </c>
      <c r="EX77" s="224">
        <f>SUM(DM77:DO77)</f>
        <v>171994805.33636326</v>
      </c>
      <c r="EY77" s="224">
        <f>SUM(DP77:DR77)</f>
        <v>192483844.6225881</v>
      </c>
      <c r="EZ77" s="224">
        <f t="shared" si="304"/>
        <v>180530317.98443896</v>
      </c>
      <c r="FA77" s="224">
        <f t="shared" si="305"/>
        <v>178831277.45054281</v>
      </c>
      <c r="FB77" s="224">
        <f t="shared" si="306"/>
        <v>197400568.58734757</v>
      </c>
      <c r="FC77" s="224">
        <f t="shared" si="307"/>
        <v>221071596.52200112</v>
      </c>
      <c r="FE77" s="224">
        <f t="shared" si="308"/>
        <v>296596189.22731864</v>
      </c>
      <c r="FF77" s="224">
        <f t="shared" si="309"/>
        <v>389723861.5538854</v>
      </c>
      <c r="FG77" s="224">
        <f t="shared" si="310"/>
        <v>508089634.7745623</v>
      </c>
      <c r="FH77" s="224">
        <f t="shared" si="311"/>
        <v>567705638.8865509</v>
      </c>
      <c r="FI77" s="224">
        <f t="shared" si="312"/>
        <v>677431726.146222</v>
      </c>
      <c r="FJ77" s="224">
        <f t="shared" si="313"/>
        <v>777833760.54433048</v>
      </c>
    </row>
    <row r="78" spans="2:166" x14ac:dyDescent="0.2">
      <c r="B78" s="155" t="s">
        <v>227</v>
      </c>
      <c r="C78" s="19">
        <f>'P&amp;L - Inputs'!B709</f>
        <v>259742</v>
      </c>
      <c r="D78" s="19">
        <f>'P&amp;L - Inputs'!C709</f>
        <v>300887</v>
      </c>
      <c r="E78" s="19">
        <f>'P&amp;L - Inputs'!D709</f>
        <v>343726</v>
      </c>
      <c r="F78" s="19">
        <f>'P&amp;L - Inputs'!E709</f>
        <v>481425</v>
      </c>
      <c r="G78" s="19">
        <f>'P&amp;L - Inputs'!F709</f>
        <v>484377</v>
      </c>
      <c r="H78" s="19">
        <f>'P&amp;L - Inputs'!G709</f>
        <v>515353</v>
      </c>
      <c r="I78" s="19">
        <f>'P&amp;L - Inputs'!H709</f>
        <v>500586</v>
      </c>
      <c r="J78" s="19">
        <f>'P&amp;L - Inputs'!I709</f>
        <v>637103</v>
      </c>
      <c r="K78" s="19">
        <f>'P&amp;L - Inputs'!J709</f>
        <v>634462</v>
      </c>
      <c r="L78" s="19">
        <f>'P&amp;L - Inputs'!K709</f>
        <v>568554.06160164275</v>
      </c>
      <c r="M78" s="19">
        <f>'P&amp;L - Inputs'!L709</f>
        <v>868398.15216783225</v>
      </c>
      <c r="N78" s="19">
        <f>'P&amp;L - Inputs'!M709</f>
        <v>627273.92728136876</v>
      </c>
      <c r="O78" s="19">
        <f>'P&amp;L - Inputs'!N709</f>
        <v>728158.0497352496</v>
      </c>
      <c r="P78" s="19">
        <f>'P&amp;L - Inputs'!O709</f>
        <v>1061621.8670203662</v>
      </c>
      <c r="Q78" s="19">
        <f>'P&amp;L - Inputs'!P709</f>
        <v>829210.72081218264</v>
      </c>
      <c r="R78" s="19">
        <f>'P&amp;L - Inputs'!Q709</f>
        <v>882742.8759957914</v>
      </c>
      <c r="S78" s="19">
        <f>'P&amp;L - Inputs'!R709</f>
        <v>577060.52682737168</v>
      </c>
      <c r="T78" s="19">
        <f>'P&amp;L - Inputs'!S709</f>
        <v>343050.80265455809</v>
      </c>
      <c r="U78" s="19">
        <f>'P&amp;L - Inputs'!T709</f>
        <v>272456.66273584904</v>
      </c>
      <c r="V78" s="19">
        <f>'P&amp;L - Inputs'!U709</f>
        <v>415921.50106389477</v>
      </c>
      <c r="W78" s="19">
        <f>'P&amp;L - Inputs'!V709</f>
        <v>567889.73549832287</v>
      </c>
      <c r="X78" s="19">
        <f>'P&amp;L - Inputs'!W709</f>
        <v>584306.8231315529</v>
      </c>
      <c r="Y78" s="19">
        <f>'P&amp;L - Inputs'!X709</f>
        <v>821934.24896661367</v>
      </c>
      <c r="Z78" s="19">
        <f>'P&amp;L - Inputs'!Y709</f>
        <v>472306.72438751318</v>
      </c>
      <c r="AA78" s="19">
        <f>'P&amp;L - Inputs'!Z709</f>
        <v>405825.14028042229</v>
      </c>
      <c r="AB78" s="19">
        <f>'P&amp;L - Inputs'!AA709</f>
        <v>422190.64569536422</v>
      </c>
      <c r="AC78" s="19">
        <f>'P&amp;L - Inputs'!AB709</f>
        <v>416457.35819057201</v>
      </c>
      <c r="AD78" s="19">
        <f>'P&amp;L - Inputs'!AC709</f>
        <v>713042.05292564072</v>
      </c>
      <c r="AE78" s="19">
        <f>'P&amp;L - Inputs'!AD709</f>
        <v>681658.69578292558</v>
      </c>
      <c r="AF78" s="19">
        <f>'P&amp;L - Inputs'!AE709</f>
        <v>661343.49496314547</v>
      </c>
      <c r="AG78" s="19">
        <f>'P&amp;L - Inputs'!AF709</f>
        <v>557686.65082926827</v>
      </c>
      <c r="AH78" s="19">
        <f>'P&amp;L - Inputs'!AG709</f>
        <v>761389.12918937451</v>
      </c>
      <c r="AI78" s="19">
        <f>'P&amp;L - Inputs'!AH709</f>
        <v>1387447.3040154441</v>
      </c>
      <c r="AJ78" s="19">
        <f>'P&amp;L - Inputs'!AI709</f>
        <v>2043019.5294053471</v>
      </c>
      <c r="AK78" s="19">
        <f>'P&amp;L - Inputs'!AJ709</f>
        <v>1407204.2262698007</v>
      </c>
      <c r="AL78" s="19">
        <f>'P&amp;L - Inputs'!AK709</f>
        <v>1378971.7917753127</v>
      </c>
      <c r="AM78" s="19">
        <f>'P&amp;L - Inputs'!AL709</f>
        <v>1027305.2426948464</v>
      </c>
      <c r="AN78" s="19">
        <f>'P&amp;L - Inputs'!AM709</f>
        <v>1041700.8752897384</v>
      </c>
      <c r="AO78" s="19">
        <f>'P&amp;L - Inputs'!AN709</f>
        <v>1369576.6449880304</v>
      </c>
      <c r="AP78" s="19">
        <f>'P&amp;L - Inputs'!AO709</f>
        <v>2226093.7136863586</v>
      </c>
      <c r="AQ78" s="19">
        <f>'P&amp;L - Inputs'!AP709</f>
        <v>2896220.3629931957</v>
      </c>
      <c r="AR78" s="19">
        <f>'P&amp;L - Inputs'!AQ709</f>
        <v>2921907.1771656135</v>
      </c>
      <c r="AS78" s="19">
        <f>'P&amp;L - Inputs'!AR709</f>
        <v>3525722.6241154536</v>
      </c>
      <c r="AT78" s="19">
        <f>'P&amp;L - Inputs'!AS709</f>
        <v>3026600.5693522794</v>
      </c>
      <c r="AU78" s="19">
        <f>'P&amp;L - Inputs'!AT709</f>
        <v>3171355.8177957311</v>
      </c>
      <c r="AV78" s="19">
        <f>'P&amp;L - Inputs'!AU709</f>
        <v>3340400.3942431519</v>
      </c>
      <c r="AW78" s="19">
        <f>'P&amp;L - Inputs'!AV709</f>
        <v>3443466.0821036976</v>
      </c>
      <c r="AX78" s="19">
        <f>'P&amp;L - Inputs'!AW709</f>
        <v>4200834.5214186888</v>
      </c>
      <c r="AY78" s="19">
        <f>'P&amp;L - Inputs'!AX709</f>
        <v>3266059.9147547539</v>
      </c>
      <c r="AZ78" s="19">
        <f>'P&amp;L - Inputs'!AY709</f>
        <v>2674960.803370506</v>
      </c>
      <c r="BA78" s="19">
        <f>'P&amp;L - Inputs'!AZ709</f>
        <v>2451095.0905472441</v>
      </c>
      <c r="BB78" s="19">
        <f>'P&amp;L - Inputs'!BA709</f>
        <v>2303363.4558377634</v>
      </c>
      <c r="BC78" s="19">
        <f>'P&amp;L - Inputs'!BB709</f>
        <v>2190684.1393192234</v>
      </c>
      <c r="BD78" s="19">
        <f>'P&amp;L - Inputs'!BC709</f>
        <v>1572610.1663397253</v>
      </c>
      <c r="BE78" s="19">
        <f>'P&amp;L - Inputs'!BD709</f>
        <v>1234780.3916312032</v>
      </c>
      <c r="BF78" s="19">
        <f>'P&amp;L - Inputs'!BE709</f>
        <v>1804722.0365653406</v>
      </c>
      <c r="BG78" s="19">
        <f>'P&amp;L - Inputs'!BF709</f>
        <v>1766341.7789845909</v>
      </c>
      <c r="BH78" s="19">
        <f>'P&amp;L - Inputs'!BG709</f>
        <v>1484794.6551199965</v>
      </c>
      <c r="BI78" s="19">
        <f>'P&amp;L - Inputs'!BH709</f>
        <v>1487987.3014713726</v>
      </c>
      <c r="BJ78" s="19">
        <f>'P&amp;L - Inputs'!BI709</f>
        <v>1703905.1722025285</v>
      </c>
      <c r="BK78" s="19">
        <f>'P&amp;L - Inputs'!BJ709</f>
        <v>0</v>
      </c>
      <c r="BL78" s="19">
        <f>'P&amp;L - Inputs'!BK709</f>
        <v>0</v>
      </c>
      <c r="BM78" s="19">
        <f>'P&amp;L - Inputs'!BL709</f>
        <v>0</v>
      </c>
      <c r="BN78" s="19">
        <f>'P&amp;L - Inputs'!BM709</f>
        <v>0</v>
      </c>
      <c r="BO78" s="19">
        <f>'P&amp;L - Inputs'!BN709</f>
        <v>0</v>
      </c>
      <c r="BP78" s="19">
        <f>'P&amp;L - Inputs'!BO709</f>
        <v>0</v>
      </c>
      <c r="BQ78" s="19">
        <f>'P&amp;L - Inputs'!BP709</f>
        <v>0</v>
      </c>
      <c r="BR78" s="19">
        <f>'P&amp;L - Inputs'!BQ709</f>
        <v>0</v>
      </c>
      <c r="BS78" s="19">
        <f>'P&amp;L - Inputs'!BR709</f>
        <v>0</v>
      </c>
      <c r="BT78" s="19">
        <f>'P&amp;L - Inputs'!BS709</f>
        <v>0</v>
      </c>
      <c r="BU78" s="19">
        <f>'P&amp;L - Inputs'!BT709</f>
        <v>0</v>
      </c>
      <c r="BV78" s="19">
        <f>'P&amp;L - Inputs'!BU709</f>
        <v>0</v>
      </c>
      <c r="BW78" s="19">
        <f>'P&amp;L - Inputs'!BV709</f>
        <v>0</v>
      </c>
      <c r="BX78" s="19">
        <f>'P&amp;L - Inputs'!BW709</f>
        <v>0</v>
      </c>
      <c r="BY78" s="19">
        <f>'P&amp;L - Inputs'!BX709</f>
        <v>0</v>
      </c>
      <c r="BZ78" s="19">
        <f>'P&amp;L - Inputs'!BY709</f>
        <v>0</v>
      </c>
      <c r="CA78" s="19">
        <f>'P&amp;L - Inputs'!BZ709</f>
        <v>0</v>
      </c>
      <c r="CB78" s="19">
        <f>'P&amp;L - Inputs'!CA709</f>
        <v>0</v>
      </c>
      <c r="CC78" s="19">
        <f>'P&amp;L - Inputs'!CB709</f>
        <v>0</v>
      </c>
      <c r="CD78" s="19">
        <f>'P&amp;L - Inputs'!CC709</f>
        <v>0</v>
      </c>
      <c r="CE78" s="19">
        <f>'P&amp;L - Inputs'!CD709</f>
        <v>0</v>
      </c>
      <c r="CF78" s="19">
        <f>'P&amp;L - Inputs'!CE709</f>
        <v>0</v>
      </c>
      <c r="CG78" s="19">
        <f>'P&amp;L - Inputs'!CF709</f>
        <v>0</v>
      </c>
      <c r="CH78" s="19">
        <f>'P&amp;L - Inputs'!CG709</f>
        <v>0</v>
      </c>
      <c r="CI78" s="19">
        <f>'P&amp;L - Inputs'!CH709</f>
        <v>0</v>
      </c>
      <c r="CJ78" s="19">
        <f>'P&amp;L - Inputs'!CI709</f>
        <v>0</v>
      </c>
      <c r="CK78" s="19">
        <f>'P&amp;L - Inputs'!CJ709</f>
        <v>0</v>
      </c>
      <c r="CL78" s="19">
        <f>'P&amp;L - Inputs'!CK709</f>
        <v>0</v>
      </c>
      <c r="CM78" s="19">
        <f>'P&amp;L - Inputs'!CL709</f>
        <v>0</v>
      </c>
      <c r="CN78" s="19">
        <f>'P&amp;L - Inputs'!CM709</f>
        <v>0</v>
      </c>
      <c r="CO78" s="19">
        <f>'P&amp;L - Inputs'!CN709</f>
        <v>0</v>
      </c>
      <c r="CP78" s="19">
        <f>'P&amp;L - Inputs'!CO709</f>
        <v>0</v>
      </c>
      <c r="CQ78" s="19">
        <f>'P&amp;L - Inputs'!CP709</f>
        <v>0</v>
      </c>
      <c r="CR78" s="19">
        <f>'P&amp;L - Inputs'!CQ709</f>
        <v>0</v>
      </c>
      <c r="CS78" s="19">
        <f>'P&amp;L - Inputs'!CR709</f>
        <v>0</v>
      </c>
      <c r="CT78" s="19">
        <f>'P&amp;L - Inputs'!CS709</f>
        <v>0</v>
      </c>
      <c r="CU78" s="19">
        <f>'P&amp;L - Inputs'!CT709</f>
        <v>0</v>
      </c>
      <c r="CV78" s="19">
        <f>'P&amp;L - Inputs'!CU709</f>
        <v>0</v>
      </c>
      <c r="CW78" s="19">
        <f>'P&amp;L - Inputs'!CV709</f>
        <v>0</v>
      </c>
      <c r="CX78" s="19">
        <f>'P&amp;L - Inputs'!CW709</f>
        <v>0</v>
      </c>
      <c r="CY78" s="19">
        <f>'P&amp;L - Inputs'!CX709</f>
        <v>0</v>
      </c>
      <c r="CZ78" s="19">
        <f>'P&amp;L - Inputs'!CY709</f>
        <v>0</v>
      </c>
      <c r="DA78" s="19">
        <f>'P&amp;L - Inputs'!CZ709</f>
        <v>0</v>
      </c>
      <c r="DB78" s="19">
        <f>'P&amp;L - Inputs'!DA709</f>
        <v>0</v>
      </c>
      <c r="DC78" s="19">
        <f>'P&amp;L - Inputs'!DB709</f>
        <v>0</v>
      </c>
      <c r="DD78" s="19">
        <f>'P&amp;L - Inputs'!DC709</f>
        <v>0</v>
      </c>
      <c r="DE78" s="19">
        <f>'P&amp;L - Inputs'!DD709</f>
        <v>0</v>
      </c>
      <c r="DF78" s="19">
        <f>'P&amp;L - Inputs'!DE709</f>
        <v>0</v>
      </c>
      <c r="DG78" s="19">
        <f>'P&amp;L - Inputs'!DF709</f>
        <v>0</v>
      </c>
      <c r="DH78" s="19">
        <f>'P&amp;L - Inputs'!DG709</f>
        <v>0</v>
      </c>
      <c r="DI78" s="19">
        <f>'P&amp;L - Inputs'!DH709</f>
        <v>0</v>
      </c>
      <c r="DJ78" s="19">
        <f>'P&amp;L - Inputs'!DI709</f>
        <v>0</v>
      </c>
      <c r="DK78" s="19">
        <f>'P&amp;L - Inputs'!DJ709</f>
        <v>0</v>
      </c>
      <c r="DL78" s="19">
        <f>'P&amp;L - Inputs'!DK709</f>
        <v>0</v>
      </c>
      <c r="DM78" s="19">
        <f>'P&amp;L - Inputs'!DL709</f>
        <v>0</v>
      </c>
      <c r="DN78" s="19">
        <f>'P&amp;L - Inputs'!DM709</f>
        <v>0</v>
      </c>
      <c r="DO78" s="19">
        <f>'P&amp;L - Inputs'!DN709</f>
        <v>0</v>
      </c>
      <c r="DP78" s="19">
        <f>'P&amp;L - Inputs'!DO709</f>
        <v>0</v>
      </c>
      <c r="DQ78" s="19">
        <f>'P&amp;L - Inputs'!DP709</f>
        <v>0</v>
      </c>
      <c r="DR78" s="19">
        <f>'P&amp;L - Inputs'!DQ709</f>
        <v>0</v>
      </c>
      <c r="DS78" s="19">
        <f>'P&amp;L - Inputs'!DR709</f>
        <v>0</v>
      </c>
      <c r="DT78" s="19">
        <f>'P&amp;L - Inputs'!DS709</f>
        <v>0</v>
      </c>
      <c r="DU78" s="19">
        <f>'P&amp;L - Inputs'!DT709</f>
        <v>0</v>
      </c>
      <c r="DV78" s="19">
        <f>'P&amp;L - Inputs'!DU709</f>
        <v>0</v>
      </c>
      <c r="DW78" s="19">
        <f>'P&amp;L - Inputs'!DV709</f>
        <v>0</v>
      </c>
      <c r="DX78" s="19">
        <f>'P&amp;L - Inputs'!DW709</f>
        <v>0</v>
      </c>
      <c r="DY78" s="19">
        <f>'P&amp;L - Inputs'!DX709</f>
        <v>0</v>
      </c>
      <c r="DZ78" s="19">
        <f>'P&amp;L - Inputs'!DY709</f>
        <v>0</v>
      </c>
      <c r="EA78" s="19">
        <f>'P&amp;L - Inputs'!DZ709</f>
        <v>0</v>
      </c>
      <c r="EB78" s="19">
        <f>'P&amp;L - Inputs'!EA709</f>
        <v>0</v>
      </c>
      <c r="EC78" s="19">
        <f>'P&amp;L - Inputs'!EB709</f>
        <v>0</v>
      </c>
      <c r="ED78" s="19">
        <f>'P&amp;L - Inputs'!EC709</f>
        <v>0</v>
      </c>
      <c r="EE78" s="168"/>
      <c r="EF78" s="165">
        <f>SUM(BK78:BM78)</f>
        <v>0</v>
      </c>
      <c r="EG78" s="165">
        <f>SUM(BN78:BP78)</f>
        <v>0</v>
      </c>
      <c r="EH78" s="165">
        <f>SUM(BQ78:BS78)</f>
        <v>0</v>
      </c>
      <c r="EI78" s="165">
        <f>SUM(BT78:BV78)</f>
        <v>0</v>
      </c>
      <c r="EJ78" s="165">
        <f>SUM(BW78:BY78)</f>
        <v>0</v>
      </c>
      <c r="EK78" s="165">
        <f>SUM(CL78:CN78)</f>
        <v>0</v>
      </c>
      <c r="EL78" s="165">
        <f>SUM(CC78:CE78)</f>
        <v>0</v>
      </c>
      <c r="EM78" s="165">
        <f>SUM(CF78:CH78)</f>
        <v>0</v>
      </c>
      <c r="EN78" s="165">
        <f>SUM(CI78:CK78)</f>
        <v>0</v>
      </c>
      <c r="EO78" s="165">
        <f>SUM(CL78:CN78)</f>
        <v>0</v>
      </c>
      <c r="EP78" s="165">
        <f>SUM(CO78:CQ78)</f>
        <v>0</v>
      </c>
      <c r="EQ78" s="165">
        <f>SUM(CR78:CT78)</f>
        <v>0</v>
      </c>
      <c r="ER78" s="165">
        <f>SUM(CU78:CW78)</f>
        <v>0</v>
      </c>
      <c r="ES78" s="165">
        <f>SUM(CX78:CZ78)</f>
        <v>0</v>
      </c>
      <c r="ET78" s="165">
        <f>SUM(DA78:DC78)</f>
        <v>0</v>
      </c>
      <c r="EU78" s="165">
        <f>SUM(DD78:DF78)</f>
        <v>0</v>
      </c>
      <c r="EV78" s="165">
        <f>SUM(DG78:DI78)</f>
        <v>0</v>
      </c>
      <c r="EW78" s="165">
        <f>SUM(DJ78:DL78)</f>
        <v>0</v>
      </c>
      <c r="EX78" s="165">
        <f>SUM(DM78:DO78)</f>
        <v>0</v>
      </c>
      <c r="EY78" s="165">
        <f>SUM(DP78:DR78)</f>
        <v>0</v>
      </c>
      <c r="EZ78" s="165">
        <f t="shared" si="304"/>
        <v>0</v>
      </c>
      <c r="FA78" s="165">
        <f t="shared" si="305"/>
        <v>0</v>
      </c>
      <c r="FB78" s="165">
        <f t="shared" si="306"/>
        <v>0</v>
      </c>
      <c r="FC78" s="165">
        <f t="shared" si="307"/>
        <v>0</v>
      </c>
      <c r="FE78" s="165">
        <f t="shared" si="308"/>
        <v>0</v>
      </c>
      <c r="FF78" s="165">
        <f t="shared" si="309"/>
        <v>0</v>
      </c>
      <c r="FG78" s="165">
        <f t="shared" si="310"/>
        <v>0</v>
      </c>
      <c r="FH78" s="165">
        <f t="shared" si="311"/>
        <v>0</v>
      </c>
      <c r="FI78" s="165">
        <f t="shared" si="312"/>
        <v>0</v>
      </c>
      <c r="FJ78" s="165">
        <f t="shared" si="313"/>
        <v>0</v>
      </c>
    </row>
    <row r="79" spans="2:166" x14ac:dyDescent="0.2">
      <c r="B79" s="155" t="s">
        <v>228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f>'D2C Online'!C105</f>
        <v>19313.938398357292</v>
      </c>
      <c r="M79" s="19">
        <f>'D2C Online'!D105</f>
        <v>119359.84783216783</v>
      </c>
      <c r="N79" s="19">
        <f>'D2C Online'!E105</f>
        <v>427288.07271863119</v>
      </c>
      <c r="O79" s="19">
        <f>'D2C Online'!F105</f>
        <v>462840.9502647504</v>
      </c>
      <c r="P79" s="19">
        <f>'D2C Online'!G105</f>
        <v>691149.13297963375</v>
      </c>
      <c r="Q79" s="19">
        <f>'D2C Online'!H105</f>
        <v>332077.27918781724</v>
      </c>
      <c r="R79" s="19">
        <f>'D2C Online'!I105</f>
        <v>799551.1240042086</v>
      </c>
      <c r="S79" s="19">
        <f>'D2C Online'!J105</f>
        <v>743989.47317262832</v>
      </c>
      <c r="T79" s="19">
        <f>'D2C Online'!K105</f>
        <v>780053.19734544179</v>
      </c>
      <c r="U79" s="19">
        <f>'D2C Online'!L105</f>
        <v>651716.33726415085</v>
      </c>
      <c r="V79" s="19">
        <f>'D2C Online'!M105</f>
        <v>395336.23893610516</v>
      </c>
      <c r="W79" s="19">
        <f>'D2C Online'!N105</f>
        <v>437783.47450167703</v>
      </c>
      <c r="X79" s="19">
        <f>'D2C Online'!O105</f>
        <v>668841.66686844709</v>
      </c>
      <c r="Y79" s="19">
        <f>'D2C Online'!P105</f>
        <v>464127.05103338632</v>
      </c>
      <c r="Z79" s="19">
        <f>'D2C Online'!Q105</f>
        <v>585437.42061248678</v>
      </c>
      <c r="AA79" s="19">
        <f>'D2C Online'!R105</f>
        <v>0</v>
      </c>
      <c r="AB79" s="19">
        <f>'D2C Online'!S105</f>
        <v>640322.47930463566</v>
      </c>
      <c r="AC79" s="19">
        <f>'D2C Online'!T105</f>
        <v>1457736.3153808021</v>
      </c>
      <c r="AD79" s="19">
        <f>'D2C Online'!U105</f>
        <v>1206484.3729753268</v>
      </c>
      <c r="AE79" s="19">
        <f>'D2C Online'!V105</f>
        <v>1096583.7071723645</v>
      </c>
      <c r="AF79" s="19">
        <f>'D2C Online'!W105</f>
        <v>1377631.8842779407</v>
      </c>
      <c r="AG79" s="19">
        <f>'D2C Online'!X105</f>
        <v>2430904.0082555991</v>
      </c>
      <c r="AH79" s="19">
        <f>'D2C Online'!Y105</f>
        <v>2023545.2268423084</v>
      </c>
      <c r="AI79" s="19">
        <f>'D2C Online'!Z105</f>
        <v>3122450.7425099006</v>
      </c>
      <c r="AJ79" s="19">
        <f>'D2C Online'!AA105</f>
        <v>3597274.2419644166</v>
      </c>
      <c r="AK79" s="19">
        <f>'D2C Online'!AB105</f>
        <v>2209289.7887334968</v>
      </c>
      <c r="AL79" s="19">
        <f>'D2C Online'!AC105</f>
        <v>3030695.0024811896</v>
      </c>
      <c r="AM79" s="19">
        <f>'D2C Online'!AD105</f>
        <v>2297722.2498859731</v>
      </c>
      <c r="AN79" s="19">
        <f>'D2C Online'!AE105</f>
        <v>1560702.8936065354</v>
      </c>
      <c r="AO79" s="19">
        <f>'D2C Online'!AF105</f>
        <v>2115007.6885940768</v>
      </c>
      <c r="AP79" s="19">
        <f>'D2C Online'!AG105</f>
        <v>1473887.3917950355</v>
      </c>
      <c r="AQ79" s="19">
        <f>'D2C Online'!AH105</f>
        <v>833667.7698461723</v>
      </c>
      <c r="AR79" s="19">
        <f>'D2C Online'!AI105</f>
        <v>1056303.2353233153</v>
      </c>
      <c r="AS79" s="19">
        <f>'D2C Online'!AJ105</f>
        <v>1679115.8434499665</v>
      </c>
      <c r="AT79" s="19">
        <f>'D2C Online'!AK105</f>
        <v>3502941.6820963286</v>
      </c>
      <c r="AU79" s="19">
        <f>'D2C Online'!AL105</f>
        <v>4019061.7463563071</v>
      </c>
      <c r="AV79" s="19">
        <f>'D2C Online'!AM105</f>
        <v>4154059.3665580298</v>
      </c>
      <c r="AW79" s="19">
        <f>'D2C Online'!AN105</f>
        <v>3311165.563169145</v>
      </c>
      <c r="AX79" s="19">
        <f>'D2C Online'!AO105</f>
        <v>1549840.7298089268</v>
      </c>
      <c r="AY79" s="19">
        <f>'D2C Online'!AP105</f>
        <v>1494214.9942529139</v>
      </c>
      <c r="AZ79" s="19">
        <f>'D2C Online'!AQ105</f>
        <v>2176777.5862549148</v>
      </c>
      <c r="BA79" s="19">
        <f>'D2C Online'!AR105</f>
        <v>2621581.4142428092</v>
      </c>
      <c r="BB79" s="19">
        <f>'D2C Online'!AS105</f>
        <v>2912134.9531102432</v>
      </c>
      <c r="BC79" s="19">
        <f>'D2C Online'!AT105</f>
        <v>2326944.2766092573</v>
      </c>
      <c r="BD79" s="19">
        <f>'D2C Online'!AU105</f>
        <v>3863668.0608779779</v>
      </c>
      <c r="BE79" s="19">
        <f>'D2C Online'!AV105</f>
        <v>5617530.7989462316</v>
      </c>
      <c r="BF79" s="19">
        <f>'D2C Online'!AW105</f>
        <v>5075536.1741855135</v>
      </c>
      <c r="BG79" s="19">
        <f>'D2C Online'!AX105</f>
        <v>4153230.8451653617</v>
      </c>
      <c r="BH79" s="19">
        <f>'D2C Online'!AY105</f>
        <v>4274295.5515142297</v>
      </c>
      <c r="BI79" s="19">
        <f>'D2C Online'!AZ105</f>
        <v>6522802.2546098093</v>
      </c>
      <c r="BJ79" s="19">
        <f>'D2C Online'!BA105</f>
        <v>15154540.666125644</v>
      </c>
      <c r="BK79" s="19">
        <f>'D2C Online'!BB105</f>
        <v>14023056.199479993</v>
      </c>
      <c r="BL79" s="19">
        <f>'D2C Online'!BC105</f>
        <v>10943168.526432095</v>
      </c>
      <c r="BM79" s="19">
        <f>'D2C Online'!BD105</f>
        <v>11907531.575548051</v>
      </c>
      <c r="BN79" s="19">
        <f>'D2C Online'!BE105</f>
        <v>10488339.789743049</v>
      </c>
      <c r="BO79" s="19">
        <f>'D2C Online'!BF105</f>
        <v>10994651.32871994</v>
      </c>
      <c r="BP79" s="19">
        <f>'D2C Online'!BG105</f>
        <v>11772223.866211524</v>
      </c>
      <c r="BQ79" s="19">
        <f>'D2C Online'!BH105</f>
        <v>20107040.246410076</v>
      </c>
      <c r="BR79" s="19">
        <f>'D2C Online'!BI105</f>
        <v>11786702.792447269</v>
      </c>
      <c r="BS79" s="19">
        <f>'D2C Online'!BJ105</f>
        <v>10149850.625315748</v>
      </c>
      <c r="BT79" s="19">
        <f>'D2C Online'!BK105</f>
        <v>11306341.52876357</v>
      </c>
      <c r="BU79" s="19">
        <f>'D2C Online'!BL105</f>
        <v>11232315.787155248</v>
      </c>
      <c r="BV79" s="19">
        <f>'D2C Online'!BM105</f>
        <v>12997162.39157404</v>
      </c>
      <c r="BW79" s="19">
        <f>'D2C Online'!BN105</f>
        <v>11432232.901747197</v>
      </c>
      <c r="BX79" s="19">
        <f>'D2C Online'!BO105</f>
        <v>13429312.186326377</v>
      </c>
      <c r="BY79" s="19">
        <f>'D2C Online'!BP105</f>
        <v>15240229.108804077</v>
      </c>
      <c r="BZ79" s="19">
        <f>'D2C Online'!BQ105</f>
        <v>16114170.745189702</v>
      </c>
      <c r="CA79" s="19">
        <f>'D2C Online'!BR105</f>
        <v>14022331.569350606</v>
      </c>
      <c r="CB79" s="19">
        <f>'D2C Online'!BS105</f>
        <v>13746262.962236155</v>
      </c>
      <c r="CC79" s="19">
        <f>'D2C Online'!BT105</f>
        <v>15082367.858397357</v>
      </c>
      <c r="CD79" s="19">
        <f>'D2C Online'!BU105</f>
        <v>14137362.734426841</v>
      </c>
      <c r="CE79" s="19">
        <f>'D2C Online'!BV105</f>
        <v>14155408.826992447</v>
      </c>
      <c r="CF79" s="19">
        <f>'D2C Online'!BW105</f>
        <v>15054042.84350035</v>
      </c>
      <c r="CG79" s="19">
        <f>'D2C Online'!BX105</f>
        <v>11276306.266790459</v>
      </c>
      <c r="CH79" s="19">
        <f>'D2C Online'!BY105</f>
        <v>20837775.747474745</v>
      </c>
      <c r="CI79" s="19">
        <f>'D2C Online'!BZ105</f>
        <v>19312000.767726883</v>
      </c>
      <c r="CJ79" s="19">
        <f>'D2C Online'!CA105</f>
        <v>19595218.730950698</v>
      </c>
      <c r="CK79" s="19">
        <f>'D2C Online'!CB105</f>
        <v>21263255.100793973</v>
      </c>
      <c r="CL79" s="19">
        <f>'D2C Online'!CC105</f>
        <v>19516269.745977808</v>
      </c>
      <c r="CM79" s="19">
        <f>'D2C Online'!CD105</f>
        <v>15892174.303431101</v>
      </c>
      <c r="CN79" s="19">
        <f>'D2C Online'!CE105</f>
        <v>19135784.938886411</v>
      </c>
      <c r="CO79" s="19">
        <f>'D2C Online'!CF105</f>
        <v>20730624.578885205</v>
      </c>
      <c r="CP79" s="19">
        <f>'D2C Online'!CG105</f>
        <v>18848804.375661843</v>
      </c>
      <c r="CQ79" s="19">
        <f>'D2C Online'!CH105</f>
        <v>22348042.969460003</v>
      </c>
      <c r="CR79" s="19">
        <f>'D2C Online'!CI105</f>
        <v>24981016.869870305</v>
      </c>
      <c r="CS79" s="19">
        <f>'D2C Online'!CJ105</f>
        <v>21301249.22925378</v>
      </c>
      <c r="CT79" s="19">
        <f>'D2C Online'!CK105</f>
        <v>24811155.322419528</v>
      </c>
      <c r="CU79" s="19">
        <f>'D2C Online'!CL105</f>
        <v>23006672.48363005</v>
      </c>
      <c r="CV79" s="19">
        <f>'D2C Online'!CM105</f>
        <v>23240826.512520947</v>
      </c>
      <c r="CW79" s="19">
        <f>'D2C Online'!CN105</f>
        <v>23224200.190942898</v>
      </c>
      <c r="CX79" s="19">
        <f>'D2C Online'!CO105</f>
        <v>23574738.470880173</v>
      </c>
      <c r="CY79" s="19">
        <f>'D2C Online'!CP105</f>
        <v>22214151.155076213</v>
      </c>
      <c r="CZ79" s="19">
        <f>'D2C Online'!CQ105</f>
        <v>24300754.513121791</v>
      </c>
      <c r="DA79" s="19">
        <f>'D2C Online'!CR105</f>
        <v>23628774.016008839</v>
      </c>
      <c r="DB79" s="19">
        <f>'D2C Online'!CS105</f>
        <v>23684195.087935679</v>
      </c>
      <c r="DC79" s="19">
        <f>'D2C Online'!CT105</f>
        <v>29072508.806022834</v>
      </c>
      <c r="DD79" s="19">
        <f>'D2C Online'!CU105</f>
        <v>31325375.379848935</v>
      </c>
      <c r="DE79" s="19">
        <f>'D2C Online'!CV105</f>
        <v>26855665.928949177</v>
      </c>
      <c r="DF79" s="19">
        <f>'D2C Online'!CW105</f>
        <v>29019858.787692335</v>
      </c>
      <c r="DG79" s="19">
        <f>'D2C Online'!CX105</f>
        <v>27424754.9576739</v>
      </c>
      <c r="DH79" s="19">
        <f>'D2C Online'!CY105</f>
        <v>27703874.716050707</v>
      </c>
      <c r="DI79" s="19">
        <f>'D2C Online'!CZ105</f>
        <v>27684055.561609749</v>
      </c>
      <c r="DJ79" s="19">
        <f>'D2C Online'!DA105</f>
        <v>28101909.401073255</v>
      </c>
      <c r="DK79" s="19">
        <f>'D2C Online'!DB105</f>
        <v>26480041.929321624</v>
      </c>
      <c r="DL79" s="19">
        <f>'D2C Online'!DC105</f>
        <v>28967345.811661698</v>
      </c>
      <c r="DM79" s="19">
        <f>'D2C Online'!DD105</f>
        <v>28166321.65300636</v>
      </c>
      <c r="DN79" s="19">
        <f>'D2C Online'!DE105</f>
        <v>28232385.501142886</v>
      </c>
      <c r="DO79" s="19">
        <f>'D2C Online'!DF105</f>
        <v>34655443.136216283</v>
      </c>
      <c r="DP79" s="19">
        <f>'D2C Online'!DG105</f>
        <v>37340938.562965922</v>
      </c>
      <c r="DQ79" s="19">
        <f>'D2C Online'!DH105</f>
        <v>32012889.210755378</v>
      </c>
      <c r="DR79" s="19">
        <f>'D2C Online'!DI105</f>
        <v>34592682.480486587</v>
      </c>
      <c r="DS79" s="19">
        <f>'D2C Online'!DJ105</f>
        <v>32170639.522640169</v>
      </c>
      <c r="DT79" s="19">
        <f>'D2C Online'!DK105</f>
        <v>32498061.267857041</v>
      </c>
      <c r="DU79" s="19">
        <f>'D2C Online'!DL105</f>
        <v>32474812.386539869</v>
      </c>
      <c r="DV79" s="19">
        <f>'D2C Online'!DM105</f>
        <v>32964976.300976966</v>
      </c>
      <c r="DW79" s="19">
        <f>'D2C Online'!DN105</f>
        <v>31062442.846521515</v>
      </c>
      <c r="DX79" s="19">
        <f>'D2C Online'!DO105</f>
        <v>33980177.451826915</v>
      </c>
      <c r="DY79" s="19">
        <f>'D2C Online'!DP105</f>
        <v>33040535.165257774</v>
      </c>
      <c r="DZ79" s="19">
        <f>'D2C Online'!DQ105</f>
        <v>33118031.436315022</v>
      </c>
      <c r="EA79" s="19">
        <f>'D2C Online'!DR105</f>
        <v>40652606.389855988</v>
      </c>
      <c r="EB79" s="19">
        <f>'D2C Online'!DS105</f>
        <v>43802829.808333129</v>
      </c>
      <c r="EC79" s="19">
        <f>'D2C Online'!DT105</f>
        <v>37552755.547566056</v>
      </c>
      <c r="ED79" s="19">
        <f>'D2C Online'!DU105</f>
        <v>40578984.932351604</v>
      </c>
      <c r="EE79" s="168"/>
      <c r="EF79" s="165">
        <f>SUM(BK79:BM79)</f>
        <v>36873756.301460139</v>
      </c>
      <c r="EG79" s="165">
        <f>SUM(BN79:BP79)</f>
        <v>33255214.984674513</v>
      </c>
      <c r="EH79" s="165">
        <f>SUM(BQ79:BS79)</f>
        <v>42043593.664173096</v>
      </c>
      <c r="EI79" s="165">
        <f>SUM(BT79:BV79)</f>
        <v>35535819.707492858</v>
      </c>
      <c r="EJ79" s="165">
        <f>SUM(BW79:BY79)</f>
        <v>40101774.196877651</v>
      </c>
      <c r="EK79" s="165">
        <f>SUM(CL79:CN79)</f>
        <v>54544228.988295324</v>
      </c>
      <c r="EL79" s="165">
        <f>SUM(CC79:CE79)</f>
        <v>43375139.419816643</v>
      </c>
      <c r="EM79" s="165">
        <f>SUM(CF79:CH79)</f>
        <v>47168124.857765555</v>
      </c>
      <c r="EN79" s="165">
        <f>SUM(CI79:CK79)</f>
        <v>60170474.599471554</v>
      </c>
      <c r="EO79" s="165">
        <f>SUM(CL79:CN79)</f>
        <v>54544228.988295324</v>
      </c>
      <c r="EP79" s="165">
        <f>SUM(CO79:CQ79)</f>
        <v>61927471.924007051</v>
      </c>
      <c r="EQ79" s="165">
        <f>SUM(CR79:CT79)</f>
        <v>71093421.421543613</v>
      </c>
      <c r="ER79" s="165">
        <f>SUM(CU79:CW79)</f>
        <v>69471699.187093899</v>
      </c>
      <c r="ES79" s="165">
        <f>SUM(CX79:CZ79)</f>
        <v>70089644.13907817</v>
      </c>
      <c r="ET79" s="165">
        <f>SUM(DA79:DC79)</f>
        <v>76385477.909967348</v>
      </c>
      <c r="EU79" s="165">
        <f>SUM(DD79:DF79)</f>
        <v>87200900.096490443</v>
      </c>
      <c r="EV79" s="165">
        <f>SUM(DG79:DI79)</f>
        <v>82812685.235334352</v>
      </c>
      <c r="EW79" s="165">
        <f>SUM(DJ79:DL79)</f>
        <v>83549297.142056584</v>
      </c>
      <c r="EX79" s="165">
        <f>SUM(DM79:DO79)</f>
        <v>91054150.290365532</v>
      </c>
      <c r="EY79" s="165">
        <f>SUM(DP79:DR79)</f>
        <v>103946510.25420789</v>
      </c>
      <c r="EZ79" s="165">
        <f t="shared" si="304"/>
        <v>97143513.17703709</v>
      </c>
      <c r="FA79" s="165">
        <f t="shared" si="305"/>
        <v>98007596.599325389</v>
      </c>
      <c r="FB79" s="165">
        <f t="shared" si="306"/>
        <v>106811172.99142879</v>
      </c>
      <c r="FC79" s="165">
        <f t="shared" si="307"/>
        <v>121934570.28825079</v>
      </c>
      <c r="FE79" s="165">
        <f t="shared" si="308"/>
        <v>147708384.65780061</v>
      </c>
      <c r="FF79" s="165">
        <f t="shared" si="309"/>
        <v>185189267.46275517</v>
      </c>
      <c r="FG79" s="165">
        <f t="shared" si="310"/>
        <v>247735596.93331754</v>
      </c>
      <c r="FH79" s="165">
        <f t="shared" si="311"/>
        <v>303147721.33262986</v>
      </c>
      <c r="FI79" s="165">
        <f t="shared" si="312"/>
        <v>361362642.92196435</v>
      </c>
      <c r="FJ79" s="165">
        <f t="shared" si="313"/>
        <v>423896853.05604208</v>
      </c>
    </row>
    <row r="80" spans="2:166" x14ac:dyDescent="0.2">
      <c r="B80" s="155" t="s">
        <v>229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f>'D2C - Retail'!C133</f>
        <v>130198.43457584418</v>
      </c>
      <c r="AD80" s="19">
        <f>'D2C - Retail'!D133</f>
        <v>119517.15188823857</v>
      </c>
      <c r="AE80" s="19">
        <f>'D2C - Retail'!E133</f>
        <v>168519.29332913319</v>
      </c>
      <c r="AF80" s="19">
        <f>'D2C - Retail'!F133</f>
        <v>248525.96453366976</v>
      </c>
      <c r="AG80" s="19">
        <f>'D2C - Retail'!G133</f>
        <v>211234.88328682928</v>
      </c>
      <c r="AH80" s="19">
        <f>'D2C - Retail'!H133</f>
        <v>304303.50745044276</v>
      </c>
      <c r="AI80" s="19">
        <f>'D2C - Retail'!I133</f>
        <v>658433.14062084944</v>
      </c>
      <c r="AJ80" s="19">
        <f>'D2C - Retail'!J133</f>
        <v>732107.56636266806</v>
      </c>
      <c r="AK80" s="19">
        <f>'D2C - Retail'!K133</f>
        <v>668657.26273367391</v>
      </c>
      <c r="AL80" s="19">
        <f>'D2C - Retail'!L133</f>
        <v>879266.22607154236</v>
      </c>
      <c r="AM80" s="19">
        <f>'D2C - Retail'!M133</f>
        <v>549840.53128778003</v>
      </c>
      <c r="AN80" s="19">
        <f>'D2C - Retail'!N133</f>
        <v>20346.098100603627</v>
      </c>
      <c r="AO80" s="19">
        <f>'D2C - Retail'!O133</f>
        <v>359716.77678032639</v>
      </c>
      <c r="AP80" s="19">
        <f>'D2C - Retail'!P133</f>
        <v>573798.3543186069</v>
      </c>
      <c r="AQ80" s="19">
        <f>'D2C - Retail'!Q133</f>
        <v>837764.92443524487</v>
      </c>
      <c r="AR80" s="19">
        <f>'D2C - Retail'!R133</f>
        <v>1172951.4825985655</v>
      </c>
      <c r="AS80" s="19">
        <f>'D2C - Retail'!S133</f>
        <v>1516671.4000202734</v>
      </c>
      <c r="AT80" s="19">
        <f>'D2C - Retail'!T133</f>
        <v>1786737.4024705118</v>
      </c>
      <c r="AU80" s="19">
        <f>'D2C - Retail'!U133</f>
        <v>2140822.8130463362</v>
      </c>
      <c r="AV80" s="19">
        <f>'D2C - Retail'!V133</f>
        <v>1802641.5596228095</v>
      </c>
      <c r="AW80" s="19">
        <f>'D2C - Retail'!W133</f>
        <v>2198900.1404742305</v>
      </c>
      <c r="AX80" s="19">
        <f>'D2C - Retail'!X133</f>
        <v>2897278.0586944404</v>
      </c>
      <c r="AY80" s="19">
        <f>'D2C - Retail'!Y133</f>
        <v>2487367.86507075</v>
      </c>
      <c r="AZ80" s="19">
        <f>'D2C - Retail'!Z133</f>
        <v>2982824.248759659</v>
      </c>
      <c r="BA80" s="19">
        <f>'D2C - Retail'!AA133</f>
        <v>3480574.2121569877</v>
      </c>
      <c r="BB80" s="19">
        <f>'D2C - Retail'!AB133</f>
        <v>4054442.1777383164</v>
      </c>
      <c r="BC80" s="19">
        <f>'D2C - Retail'!AC133</f>
        <v>3519070.2049481506</v>
      </c>
      <c r="BD80" s="19">
        <f>'D2C - Retail'!AD133</f>
        <v>3592075.0021107318</v>
      </c>
      <c r="BE80" s="19">
        <f>'D2C - Retail'!AE133</f>
        <v>3932358.1898547178</v>
      </c>
      <c r="BF80" s="19">
        <f>'D2C - Retail'!AF133</f>
        <v>3887231.1579370624</v>
      </c>
      <c r="BG80" s="19">
        <f>'D2C - Retail'!AG133</f>
        <v>4353527.2192042209</v>
      </c>
      <c r="BH80" s="19">
        <f>'D2C - Retail'!AH133</f>
        <v>4612904.942500446</v>
      </c>
      <c r="BI80" s="19">
        <f>'D2C - Retail'!AI133</f>
        <v>5519867.3778399294</v>
      </c>
      <c r="BJ80" s="19">
        <f>'D2C - Retail'!AJ133</f>
        <v>7738040.5215995191</v>
      </c>
      <c r="BK80" s="19">
        <f>'D2C - Retail'!AK133</f>
        <v>10629899.225881325</v>
      </c>
      <c r="BL80" s="19">
        <f>'D2C - Retail'!AL133</f>
        <v>11150812.547877267</v>
      </c>
      <c r="BM80" s="19">
        <f>'D2C - Retail'!AM133</f>
        <v>11891909.199918626</v>
      </c>
      <c r="BN80" s="19">
        <f>'D2C - Retail'!AN133</f>
        <v>9946606.8633537591</v>
      </c>
      <c r="BO80" s="19">
        <f>'D2C - Retail'!AO133</f>
        <v>10394775.23642534</v>
      </c>
      <c r="BP80" s="19">
        <f>'D2C - Retail'!AP133</f>
        <v>10079453.412495932</v>
      </c>
      <c r="BQ80" s="19">
        <f>'D2C - Retail'!AQ133</f>
        <v>14955152.836107988</v>
      </c>
      <c r="BR80" s="19">
        <f>'D2C - Retail'!AR133</f>
        <v>13759891.745202333</v>
      </c>
      <c r="BS80" s="19">
        <f>'D2C - Retail'!AS133</f>
        <v>13473619.400649462</v>
      </c>
      <c r="BT80" s="19">
        <f>'D2C - Retail'!AT133</f>
        <v>12490885.505439561</v>
      </c>
      <c r="BU80" s="19">
        <f>'D2C - Retail'!AU133</f>
        <v>14413388.284954067</v>
      </c>
      <c r="BV80" s="19">
        <f>'D2C - Retail'!AV133</f>
        <v>15701410.311212385</v>
      </c>
      <c r="BW80" s="19">
        <f>'D2C - Retail'!AW133</f>
        <v>13870986.96624638</v>
      </c>
      <c r="BX80" s="19">
        <f>'D2C - Retail'!AX133</f>
        <v>13875914.078319829</v>
      </c>
      <c r="BY80" s="19">
        <f>'D2C - Retail'!AY133</f>
        <v>13930896.699784346</v>
      </c>
      <c r="BZ80" s="19">
        <f>'D2C - Retail'!AZ133</f>
        <v>14252012.158503862</v>
      </c>
      <c r="CA80" s="19">
        <f>'D2C - Retail'!BA133</f>
        <v>11825781.859210091</v>
      </c>
      <c r="CB80" s="19">
        <f>'D2C - Retail'!BB133</f>
        <v>11363672.105887113</v>
      </c>
      <c r="CC80" s="19">
        <f>'D2C - Retail'!BC133</f>
        <v>14837038.177492809</v>
      </c>
      <c r="CD80" s="19">
        <f>'D2C - Retail'!BD133</f>
        <v>13767089.958780337</v>
      </c>
      <c r="CE80" s="19">
        <f>'D2C - Retail'!BE133</f>
        <v>14848282.128450846</v>
      </c>
      <c r="CF80" s="19">
        <f>'D2C - Retail'!BF133</f>
        <v>15988502.190642331</v>
      </c>
      <c r="CG80" s="19">
        <f>'D2C - Retail'!BG133</f>
        <v>15890117.645247098</v>
      </c>
      <c r="CH80" s="19">
        <f>'D2C - Retail'!BH133</f>
        <v>20152443.042471968</v>
      </c>
      <c r="CI80" s="19">
        <f>'D2C - Retail'!BI133</f>
        <v>20323055.965860557</v>
      </c>
      <c r="CJ80" s="19">
        <f>'D2C - Retail'!BJ133</f>
        <v>19469636.918245416</v>
      </c>
      <c r="CK80" s="19">
        <f>'D2C - Retail'!BK133</f>
        <v>21039946.11563769</v>
      </c>
      <c r="CL80" s="19">
        <f>'D2C - Retail'!BL133</f>
        <v>25358735.072609171</v>
      </c>
      <c r="CM80" s="19">
        <f>'D2C - Retail'!BM133</f>
        <v>20697051.746065527</v>
      </c>
      <c r="CN80" s="19">
        <f>'D2C - Retail'!BN133</f>
        <v>21317536.385019571</v>
      </c>
      <c r="CO80" s="19">
        <f>'D2C - Retail'!BO133</f>
        <v>32631410.232460476</v>
      </c>
      <c r="CP80" s="19">
        <f>'D2C - Retail'!BP133</f>
        <v>19831890.581445239</v>
      </c>
      <c r="CQ80" s="19">
        <f>'D2C - Retail'!BQ133</f>
        <v>18037492.254060939</v>
      </c>
      <c r="CR80" s="19">
        <f>'D2C - Retail'!BR133</f>
        <v>19883810.208931644</v>
      </c>
      <c r="CS80" s="19">
        <f>'D2C - Retail'!BS133</f>
        <v>18365949.479077406</v>
      </c>
      <c r="CT80" s="19">
        <f>'D2C - Retail'!BT133</f>
        <v>23397522.881831151</v>
      </c>
      <c r="CU80" s="19">
        <f>'D2C - Retail'!BU133</f>
        <v>20796156.036749162</v>
      </c>
      <c r="CV80" s="19">
        <f>'D2C - Retail'!BV133</f>
        <v>20410509.453201562</v>
      </c>
      <c r="CW80" s="19">
        <f>'D2C - Retail'!BW133</f>
        <v>20364111.005262148</v>
      </c>
      <c r="CX80" s="19">
        <f>'D2C - Retail'!BX133</f>
        <v>21843649.759243317</v>
      </c>
      <c r="CY80" s="19">
        <f>'D2C - Retail'!BY133</f>
        <v>19766311.591889493</v>
      </c>
      <c r="CZ80" s="19">
        <f>'D2C - Retail'!BZ133</f>
        <v>18515879.390965119</v>
      </c>
      <c r="DA80" s="19">
        <f>'D2C - Retail'!CA133</f>
        <v>22500137.576313961</v>
      </c>
      <c r="DB80" s="19">
        <f>'D2C - Retail'!CB133</f>
        <v>20902276.369638007</v>
      </c>
      <c r="DC80" s="19">
        <f>'D2C - Retail'!CC133</f>
        <v>24405590.757373396</v>
      </c>
      <c r="DD80" s="19">
        <f>'D2C - Retail'!CD133</f>
        <v>24940399.217024859</v>
      </c>
      <c r="DE80" s="19">
        <f>'D2C - Retail'!CE133</f>
        <v>23350167.154097859</v>
      </c>
      <c r="DF80" s="19">
        <f>'D2C - Retail'!CF133</f>
        <v>26762729.24216219</v>
      </c>
      <c r="DG80" s="19">
        <f>'D2C - Retail'!CG133</f>
        <v>25120009.657842167</v>
      </c>
      <c r="DH80" s="19">
        <f>'D2C - Retail'!CH133</f>
        <v>24698225.358938418</v>
      </c>
      <c r="DI80" s="19">
        <f>'D2C - Retail'!CI133</f>
        <v>24530618.029726364</v>
      </c>
      <c r="DJ80" s="19">
        <f>'D2C - Retail'!CJ133</f>
        <v>26339011.597513683</v>
      </c>
      <c r="DK80" s="19">
        <f>'D2C - Retail'!CK133</f>
        <v>23741248.166218542</v>
      </c>
      <c r="DL80" s="19">
        <f>'D2C - Retail'!CL133</f>
        <v>22161980.999640558</v>
      </c>
      <c r="DM80" s="19">
        <f>'D2C - Retail'!CM133</f>
        <v>26967291.072991014</v>
      </c>
      <c r="DN80" s="19">
        <f>'D2C - Retail'!CN133</f>
        <v>24903126.166890807</v>
      </c>
      <c r="DO80" s="19">
        <f>'D2C - Retail'!CO133</f>
        <v>29070237.806115925</v>
      </c>
      <c r="DP80" s="19">
        <f>'D2C - Retail'!CP133</f>
        <v>29608573.242429651</v>
      </c>
      <c r="DQ80" s="19">
        <f>'D2C - Retail'!CQ133</f>
        <v>27572035.253275502</v>
      </c>
      <c r="DR80" s="19">
        <f>'D2C - Retail'!CR133</f>
        <v>31356725.872675054</v>
      </c>
      <c r="DS80" s="19">
        <f>'D2C - Retail'!CS133</f>
        <v>28200676.331074566</v>
      </c>
      <c r="DT80" s="19">
        <f>'D2C - Retail'!CT133</f>
        <v>27696062.57021375</v>
      </c>
      <c r="DU80" s="19">
        <f>'D2C - Retail'!CU133</f>
        <v>27490065.906113558</v>
      </c>
      <c r="DV80" s="19">
        <f>'D2C - Retail'!CV133</f>
        <v>29539065.35993994</v>
      </c>
      <c r="DW80" s="19">
        <f>'D2C - Retail'!CW133</f>
        <v>26554730.382984288</v>
      </c>
      <c r="DX80" s="19">
        <f>'D2C - Retail'!CX133</f>
        <v>24729885.108293183</v>
      </c>
      <c r="DY80" s="19">
        <f>'D2C - Retail'!CY133</f>
        <v>30194335.835565683</v>
      </c>
      <c r="DZ80" s="19">
        <f>'D2C - Retail'!CZ133</f>
        <v>27830849.813029654</v>
      </c>
      <c r="EA80" s="19">
        <f>'D2C - Retail'!DA133</f>
        <v>32564209.947323438</v>
      </c>
      <c r="EB80" s="19">
        <f>'D2C - Retail'!DB133</f>
        <v>33168458.027675282</v>
      </c>
      <c r="EC80" s="19">
        <f>'D2C - Retail'!DC133</f>
        <v>30837680.297327012</v>
      </c>
      <c r="ED80" s="19">
        <f>'D2C - Retail'!DD133</f>
        <v>35130887.908748046</v>
      </c>
      <c r="EE80" s="168"/>
      <c r="EF80" s="165">
        <f>SUM(BK80:BM80)</f>
        <v>33672620.973677218</v>
      </c>
      <c r="EG80" s="165">
        <f>SUM(BN80:BP80)</f>
        <v>30420835.512275033</v>
      </c>
      <c r="EH80" s="165">
        <f>SUM(BQ80:BS80)</f>
        <v>42188663.981959783</v>
      </c>
      <c r="EI80" s="165">
        <f>SUM(BT80:BV80)</f>
        <v>42605684.101606011</v>
      </c>
      <c r="EJ80" s="165">
        <f>SUM(BW80:BY80)</f>
        <v>41677797.744350553</v>
      </c>
      <c r="EK80" s="165">
        <f>SUM(CL80:CN80)</f>
        <v>67373323.203694269</v>
      </c>
      <c r="EL80" s="165">
        <f>SUM(CC80:CE80)</f>
        <v>43452410.264723994</v>
      </c>
      <c r="EM80" s="165">
        <f>SUM(CF80:CH80)</f>
        <v>52031062.878361396</v>
      </c>
      <c r="EN80" s="165">
        <f>SUM(CI80:CK80)</f>
        <v>60832638.999743663</v>
      </c>
      <c r="EO80" s="165">
        <f>SUM(CL80:CN80)</f>
        <v>67373323.203694269</v>
      </c>
      <c r="EP80" s="165">
        <f>SUM(CO80:CQ80)</f>
        <v>70500793.067966655</v>
      </c>
      <c r="EQ80" s="165">
        <f>SUM(CR80:CT80)</f>
        <v>61647282.569840208</v>
      </c>
      <c r="ER80" s="165">
        <f>SUM(CU80:CW80)</f>
        <v>61570776.495212868</v>
      </c>
      <c r="ES80" s="165">
        <f>SUM(CX80:CZ80)</f>
        <v>60125840.742097929</v>
      </c>
      <c r="ET80" s="165">
        <f>SUM(DA80:DC80)</f>
        <v>67808004.703325361</v>
      </c>
      <c r="EU80" s="165">
        <f>SUM(DD80:DF80)</f>
        <v>75053295.613284916</v>
      </c>
      <c r="EV80" s="165">
        <f>SUM(DG80:DI80)</f>
        <v>74348853.046506941</v>
      </c>
      <c r="EW80" s="165">
        <f>SUM(DJ80:DL80)</f>
        <v>72242240.763372779</v>
      </c>
      <c r="EX80" s="165">
        <f>SUM(DM80:DO80)</f>
        <v>80940655.045997739</v>
      </c>
      <c r="EY80" s="165">
        <f>SUM(DP80:DR80)</f>
        <v>88537334.368380219</v>
      </c>
      <c r="EZ80" s="165">
        <f t="shared" si="304"/>
        <v>83386804.807401866</v>
      </c>
      <c r="FA80" s="165">
        <f t="shared" si="305"/>
        <v>80823680.851217419</v>
      </c>
      <c r="FB80" s="165">
        <f t="shared" si="306"/>
        <v>90589395.595918775</v>
      </c>
      <c r="FC80" s="165">
        <f t="shared" si="307"/>
        <v>99137026.233750343</v>
      </c>
      <c r="FE80" s="165">
        <f t="shared" si="308"/>
        <v>148887804.56951803</v>
      </c>
      <c r="FF80" s="165">
        <f t="shared" si="309"/>
        <v>204534594.09113023</v>
      </c>
      <c r="FG80" s="165">
        <f t="shared" si="310"/>
        <v>260354037.84124476</v>
      </c>
      <c r="FH80" s="165">
        <f t="shared" si="311"/>
        <v>264557917.55392107</v>
      </c>
      <c r="FI80" s="165">
        <f t="shared" si="312"/>
        <v>316069083.22425771</v>
      </c>
      <c r="FJ80" s="165">
        <f t="shared" si="313"/>
        <v>353936907.4882884</v>
      </c>
    </row>
    <row r="81" spans="2:166" x14ac:dyDescent="0.2">
      <c r="B81" s="155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68"/>
      <c r="EF81" s="165"/>
      <c r="EG81" s="165"/>
      <c r="EH81" s="165"/>
      <c r="EI81" s="165"/>
      <c r="EJ81" s="165"/>
      <c r="EK81" s="165"/>
      <c r="EL81" s="165"/>
      <c r="EM81" s="165"/>
      <c r="EN81" s="165"/>
      <c r="EO81" s="165"/>
      <c r="EP81" s="165"/>
      <c r="EQ81" s="165"/>
      <c r="ER81" s="165"/>
      <c r="ES81" s="165"/>
      <c r="ET81" s="165"/>
      <c r="EU81" s="165"/>
      <c r="EV81" s="165"/>
      <c r="EW81" s="165"/>
      <c r="EX81" s="165"/>
      <c r="EY81" s="165"/>
      <c r="EZ81" s="165">
        <f t="shared" si="304"/>
        <v>0</v>
      </c>
      <c r="FA81" s="165">
        <f t="shared" si="305"/>
        <v>0</v>
      </c>
      <c r="FB81" s="165">
        <f t="shared" si="306"/>
        <v>0</v>
      </c>
      <c r="FC81" s="165">
        <f t="shared" si="307"/>
        <v>0</v>
      </c>
      <c r="FE81" s="165"/>
      <c r="FF81" s="165"/>
      <c r="FG81" s="165"/>
      <c r="FH81" s="165"/>
      <c r="FI81" s="165"/>
      <c r="FJ81" s="165">
        <f t="shared" si="313"/>
        <v>0</v>
      </c>
    </row>
    <row r="82" spans="2:166" x14ac:dyDescent="0.2">
      <c r="B82" s="167" t="s">
        <v>33</v>
      </c>
      <c r="C82" s="19">
        <f>'P&amp;L - Inputs'!B711</f>
        <v>0</v>
      </c>
      <c r="D82" s="19">
        <f>'P&amp;L - Inputs'!C711</f>
        <v>0</v>
      </c>
      <c r="E82" s="19">
        <f>'P&amp;L - Inputs'!D711</f>
        <v>0</v>
      </c>
      <c r="F82" s="19">
        <f>'P&amp;L - Inputs'!E711</f>
        <v>0</v>
      </c>
      <c r="G82" s="19">
        <f>'P&amp;L - Inputs'!F711</f>
        <v>0</v>
      </c>
      <c r="H82" s="19">
        <f>'P&amp;L - Inputs'!G711</f>
        <v>0</v>
      </c>
      <c r="I82" s="19">
        <f>'P&amp;L - Inputs'!H711</f>
        <v>0</v>
      </c>
      <c r="J82" s="19">
        <f>'P&amp;L - Inputs'!I711</f>
        <v>0</v>
      </c>
      <c r="K82" s="19">
        <f>'P&amp;L - Inputs'!J711</f>
        <v>0</v>
      </c>
      <c r="L82" s="19">
        <f>'P&amp;L - Inputs'!K711</f>
        <v>1326.9999999999998</v>
      </c>
      <c r="M82" s="19">
        <f>'P&amp;L - Inputs'!L711</f>
        <v>167093</v>
      </c>
      <c r="N82" s="19">
        <f>'P&amp;L - Inputs'!M711</f>
        <v>313709</v>
      </c>
      <c r="O82" s="19">
        <f>'P&amp;L - Inputs'!N711</f>
        <v>298983</v>
      </c>
      <c r="P82" s="19">
        <f>'P&amp;L - Inputs'!O711</f>
        <v>281800</v>
      </c>
      <c r="Q82" s="19">
        <f>'P&amp;L - Inputs'!P711</f>
        <v>280967</v>
      </c>
      <c r="R82" s="19">
        <f>'P&amp;L - Inputs'!Q711</f>
        <v>614541</v>
      </c>
      <c r="S82" s="19">
        <f>'P&amp;L - Inputs'!R711</f>
        <v>490272</v>
      </c>
      <c r="T82" s="19">
        <f>'P&amp;L - Inputs'!S711</f>
        <v>217826</v>
      </c>
      <c r="U82" s="19">
        <f>'P&amp;L - Inputs'!T711</f>
        <v>77461</v>
      </c>
      <c r="V82" s="19">
        <f>'P&amp;L - Inputs'!U711</f>
        <v>264620.74</v>
      </c>
      <c r="W82" s="19">
        <f>'P&amp;L - Inputs'!V711</f>
        <v>160376</v>
      </c>
      <c r="X82" s="19">
        <f>'P&amp;L - Inputs'!W711</f>
        <v>223868.47999999998</v>
      </c>
      <c r="Y82" s="19">
        <f>'P&amp;L - Inputs'!X711</f>
        <v>196032</v>
      </c>
      <c r="Z82" s="19">
        <f>'P&amp;L - Inputs'!Y711</f>
        <v>166127</v>
      </c>
      <c r="AA82" s="19">
        <f>'P&amp;L - Inputs'!Z711</f>
        <v>0</v>
      </c>
      <c r="AB82" s="19">
        <f>'P&amp;L - Inputs'!AA711</f>
        <v>112156</v>
      </c>
      <c r="AC82" s="19">
        <f>'P&amp;L - Inputs'!AB711</f>
        <v>157960</v>
      </c>
      <c r="AD82" s="19">
        <f>'P&amp;L - Inputs'!AC711</f>
        <v>186367</v>
      </c>
      <c r="AE82" s="19">
        <f>'P&amp;L - Inputs'!AD711</f>
        <v>130516.00000000001</v>
      </c>
      <c r="AF82" s="19">
        <f>'P&amp;L - Inputs'!AE711</f>
        <v>149129</v>
      </c>
      <c r="AG82" s="19">
        <f>'P&amp;L - Inputs'!AF711</f>
        <v>179194</v>
      </c>
      <c r="AH82" s="19">
        <f>'P&amp;L - Inputs'!AG711</f>
        <v>198000</v>
      </c>
      <c r="AI82" s="19">
        <f>'P&amp;L - Inputs'!AH711</f>
        <v>426508</v>
      </c>
      <c r="AJ82" s="19">
        <f>'P&amp;L - Inputs'!AI711</f>
        <v>605465</v>
      </c>
      <c r="AK82" s="19">
        <f>'P&amp;L - Inputs'!AJ711</f>
        <v>412363</v>
      </c>
      <c r="AL82" s="19">
        <f>'P&amp;L - Inputs'!AK711</f>
        <v>844039.99999999988</v>
      </c>
      <c r="AM82" s="19">
        <f>'P&amp;L - Inputs'!AL711</f>
        <v>458200</v>
      </c>
      <c r="AN82" s="19">
        <f>'P&amp;L - Inputs'!AM711</f>
        <v>339458</v>
      </c>
      <c r="AO82" s="19">
        <f>'P&amp;L - Inputs'!AN711</f>
        <v>390132</v>
      </c>
      <c r="AP82" s="19">
        <f>'P&amp;L - Inputs'!AO711</f>
        <v>955212.00000000012</v>
      </c>
      <c r="AQ82" s="19">
        <f>'P&amp;L - Inputs'!AP711</f>
        <v>1233722</v>
      </c>
      <c r="AR82" s="19">
        <f>'P&amp;L - Inputs'!AQ711</f>
        <v>661526</v>
      </c>
      <c r="AS82" s="19">
        <f>'P&amp;L - Inputs'!AR711</f>
        <v>897365</v>
      </c>
      <c r="AT82" s="19">
        <f>'P&amp;L - Inputs'!AS711</f>
        <v>693381</v>
      </c>
      <c r="AU82" s="19">
        <f>'P&amp;L - Inputs'!AT711</f>
        <v>1097567</v>
      </c>
      <c r="AV82" s="19">
        <f>'P&amp;L - Inputs'!AU711</f>
        <v>1077445</v>
      </c>
      <c r="AW82" s="19">
        <f>'P&amp;L - Inputs'!AV711</f>
        <v>1411820</v>
      </c>
      <c r="AX82" s="19">
        <f>'P&amp;L - Inputs'!AW711</f>
        <v>1993928</v>
      </c>
      <c r="AY82" s="19">
        <f>'P&amp;L - Inputs'!AX711</f>
        <v>1156568.0000000002</v>
      </c>
      <c r="AZ82" s="19">
        <f>'P&amp;L - Inputs'!AY711</f>
        <v>1155484</v>
      </c>
      <c r="BA82" s="19">
        <f>'P&amp;L - Inputs'!AZ711</f>
        <v>1074883.3408511509</v>
      </c>
      <c r="BB82" s="19">
        <f>'P&amp;L - Inputs'!BA711</f>
        <v>1096178.4759239603</v>
      </c>
      <c r="BC82" s="19">
        <f>'P&amp;L - Inputs'!BB711</f>
        <v>1394119.7144046738</v>
      </c>
      <c r="BD82" s="19">
        <f>'P&amp;L - Inputs'!BC711</f>
        <v>1701188.1457012191</v>
      </c>
      <c r="BE82" s="19">
        <f>'P&amp;L - Inputs'!BD711</f>
        <v>2028556.6141071166</v>
      </c>
      <c r="BF82" s="19">
        <f>'P&amp;L - Inputs'!BE711</f>
        <v>2040403.1086166196</v>
      </c>
      <c r="BG82" s="19">
        <f>'P&amp;L - Inputs'!BF711</f>
        <v>1653261.9692944949</v>
      </c>
      <c r="BH82" s="19">
        <f>'P&amp;L - Inputs'!BG711</f>
        <v>1505168.2849862748</v>
      </c>
      <c r="BI82" s="19">
        <f>'P&amp;L - Inputs'!BH711</f>
        <v>2135066.2905347836</v>
      </c>
      <c r="BJ82" s="19">
        <f>'P&amp;L - Inputs'!BI711</f>
        <v>2660588.05561799</v>
      </c>
      <c r="BK82" s="19">
        <f>'P&amp;L - Inputs'!BJ711</f>
        <v>2404542.2224048995</v>
      </c>
      <c r="BL82" s="19">
        <f>'P&amp;L - Inputs'!BK711</f>
        <v>2391833.4403285664</v>
      </c>
      <c r="BM82" s="19">
        <f>'P&amp;L - Inputs'!BL711</f>
        <v>3014718.6781084267</v>
      </c>
      <c r="BN82" s="19">
        <f>'P&amp;L - Inputs'!BM711</f>
        <v>3074649.0993620083</v>
      </c>
      <c r="BO82" s="19">
        <f>'P&amp;L - Inputs'!BN711</f>
        <v>2937129.2424238836</v>
      </c>
      <c r="BP82" s="19">
        <f>'P&amp;L - Inputs'!BO711</f>
        <v>2698734.13636983</v>
      </c>
      <c r="BQ82" s="19">
        <f>'P&amp;L - Inputs'!BP711</f>
        <v>4483462.4083562708</v>
      </c>
      <c r="BR82" s="19">
        <f>'P&amp;L - Inputs'!BQ711</f>
        <v>3224590.5699640652</v>
      </c>
      <c r="BS82" s="19">
        <f>'P&amp;L - Inputs'!BR711</f>
        <v>2868569.0555026499</v>
      </c>
      <c r="BT82" s="19">
        <f>'P&amp;L - Inputs'!BS711</f>
        <v>2952268.4809334851</v>
      </c>
      <c r="BU82" s="19">
        <f>'P&amp;L - Inputs'!BT711</f>
        <v>3182193.7483175714</v>
      </c>
      <c r="BV82" s="19">
        <f>'P&amp;L - Inputs'!BU711</f>
        <v>2838746.5411494258</v>
      </c>
      <c r="BW82" s="19">
        <f>'P&amp;L - Inputs'!BV711</f>
        <v>3465440.2070577294</v>
      </c>
      <c r="BX82" s="19">
        <f>'P&amp;L - Inputs'!BW711</f>
        <v>3619924.7060836935</v>
      </c>
      <c r="BY82" s="19">
        <f>'D2C Online'!BP106+'D2C - Retail'!AY134</f>
        <v>4106958.4369108258</v>
      </c>
      <c r="BZ82" s="19">
        <f>'D2C Online'!BQ106+'D2C - Retail'!AZ134</f>
        <v>2943226.3931330834</v>
      </c>
      <c r="CA82" s="19">
        <f>'D2C Online'!BR106+'D2C - Retail'!BA134</f>
        <v>3671889.4441771014</v>
      </c>
      <c r="CB82" s="19">
        <f>'D2C Online'!BS106+'D2C - Retail'!BB134</f>
        <v>3473539.6396038206</v>
      </c>
      <c r="CC82" s="19">
        <f>'D2C Online'!BT106+'D2C - Retail'!BC134</f>
        <v>3503028.7908807821</v>
      </c>
      <c r="CD82" s="19">
        <f>'D2C Online'!BU106+'D2C - Retail'!BD134</f>
        <v>3529627.2101994203</v>
      </c>
      <c r="CE82" s="19">
        <f>'D2C Online'!BV106+'D2C - Retail'!BE134</f>
        <v>3481846.5197386928</v>
      </c>
      <c r="CF82" s="19">
        <f>'D2C Online'!BW106+'D2C - Retail'!BF134</f>
        <v>4199490.2600349197</v>
      </c>
      <c r="CG82" s="19">
        <f>'D2C Online'!BX106+'D2C - Retail'!BG134</f>
        <v>4668857.3129989747</v>
      </c>
      <c r="CH82" s="19">
        <f>'D2C Online'!BY106+'D2C - Retail'!BH134</f>
        <v>6629508.7015833305</v>
      </c>
      <c r="CI82" s="19">
        <f>'D2C Online'!BZ106+'D2C - Retail'!BI134</f>
        <v>5984480.0345064085</v>
      </c>
      <c r="CJ82" s="19">
        <f>'D2C Online'!CA106+'D2C - Retail'!BJ134</f>
        <v>6374599.6945064086</v>
      </c>
      <c r="CK82" s="19">
        <f>'D2C Online'!CB106+'D2C - Retail'!BK134</f>
        <v>6329082.327762818</v>
      </c>
      <c r="CL82" s="19">
        <f>'D2C Online'!CC106+'D2C - Retail'!BL134</f>
        <v>7873206.6726474352</v>
      </c>
      <c r="CM82" s="19">
        <f>'D2C Online'!CD106+'D2C - Retail'!BM134</f>
        <v>6786470.4941474358</v>
      </c>
      <c r="CN82" s="19">
        <f>'D2C Online'!CE106+'D2C - Retail'!BN134</f>
        <v>6258268.7239358956</v>
      </c>
      <c r="CO82" s="19">
        <f>'D2C Online'!CF106+'D2C - Retail'!BO134</f>
        <v>7620787.9532109192</v>
      </c>
      <c r="CP82" s="19">
        <f>'D2C Online'!CG106+'D2C - Retail'!BP134</f>
        <v>7085121.5812365599</v>
      </c>
      <c r="CQ82" s="19">
        <f>'D2C Online'!CH106+'D2C - Retail'!BQ134</f>
        <v>7041530.4447262203</v>
      </c>
      <c r="CR82" s="19">
        <f>'D2C Online'!CI106+'D2C - Retail'!BR134</f>
        <v>9805527.1332371794</v>
      </c>
      <c r="CS82" s="19">
        <f>'D2C Online'!CJ106+'D2C - Retail'!BS134</f>
        <v>7858240.0176089741</v>
      </c>
      <c r="CT82" s="19">
        <f>'D2C Online'!CK106+'D2C - Retail'!BT134</f>
        <v>7784230.7003974356</v>
      </c>
      <c r="CU82" s="19">
        <f>'D2C Online'!CL106+'D2C - Retail'!BU134</f>
        <v>8686213.3753846735</v>
      </c>
      <c r="CV82" s="19">
        <f>'D2C Online'!CM106+'D2C - Retail'!BV134</f>
        <v>8626789.7085318603</v>
      </c>
      <c r="CW82" s="19">
        <f>'D2C Online'!CN106+'D2C - Retail'!BW134</f>
        <v>8609205.0010392088</v>
      </c>
      <c r="CX82" s="19">
        <f>'D2C Online'!CO106+'D2C - Retail'!BX134</f>
        <v>9060284.8174306042</v>
      </c>
      <c r="CY82" s="19">
        <f>'D2C Online'!CP106+'D2C - Retail'!BY134</f>
        <v>8261998.9098065952</v>
      </c>
      <c r="CZ82" s="19">
        <f>'D2C Online'!CQ106+'D2C - Retail'!BZ134</f>
        <v>8316441.8981738584</v>
      </c>
      <c r="DA82" s="19">
        <f>'D2C Online'!CR106+'D2C - Retail'!CA134</f>
        <v>9235333.2697013244</v>
      </c>
      <c r="DB82" s="19">
        <f>'D2C Online'!CS106+'D2C - Retail'!CB134</f>
        <v>8824300.0459757335</v>
      </c>
      <c r="DC82" s="19">
        <f>'D2C Online'!CT106+'D2C - Retail'!CC134</f>
        <v>10736472.883412872</v>
      </c>
      <c r="DD82" s="19">
        <f>'D2C Online'!CU106+'D2C - Retail'!CD134</f>
        <v>11291238.852188777</v>
      </c>
      <c r="DE82" s="19">
        <f>'D2C Online'!CV106+'D2C - Retail'!CE134</f>
        <v>10046386.581217732</v>
      </c>
      <c r="DF82" s="19">
        <f>'D2C Online'!CW106+'D2C - Retail'!CF134</f>
        <v>11337685.44141363</v>
      </c>
      <c r="DG82" s="19">
        <f>'D2C Online'!CX106+'D2C - Retail'!CG134</f>
        <v>10680426.433665562</v>
      </c>
      <c r="DH82" s="19">
        <f>'D2C Online'!CY106+'D2C - Retail'!CH134</f>
        <v>10618789.01719093</v>
      </c>
      <c r="DI82" s="19">
        <f>'D2C Online'!CZ106+'D2C - Retail'!CI134</f>
        <v>10569197.095552722</v>
      </c>
      <c r="DJ82" s="19">
        <f>'D2C Online'!DA106+'D2C - Retail'!CJ134</f>
        <v>11123823.500058295</v>
      </c>
      <c r="DK82" s="19">
        <f>'D2C Online'!DB106+'D2C - Retail'!CK134</f>
        <v>10131316.606426436</v>
      </c>
      <c r="DL82" s="19">
        <f>'D2C Online'!DC106+'D2C - Retail'!CL134</f>
        <v>10176081.640119122</v>
      </c>
      <c r="DM82" s="19">
        <f>'D2C Online'!DD106+'D2C - Retail'!CM134</f>
        <v>11295636.147249162</v>
      </c>
      <c r="DN82" s="19">
        <f>'D2C Online'!DE106+'D2C - Retail'!CN134</f>
        <v>10760784.249575567</v>
      </c>
      <c r="DO82" s="19">
        <f>'D2C Online'!DF106+'D2C - Retail'!CO134</f>
        <v>13063283.076969471</v>
      </c>
      <c r="DP82" s="19">
        <f>'D2C Online'!DG106+'D2C - Retail'!CP134</f>
        <v>13707257.864810966</v>
      </c>
      <c r="DQ82" s="19">
        <f>'D2C Online'!DH106+'D2C - Retail'!CQ134</f>
        <v>12170457.048604829</v>
      </c>
      <c r="DR82" s="19">
        <f>'D2C Online'!DI106+'D2C - Retail'!CR134</f>
        <v>13652784.021646515</v>
      </c>
      <c r="DS82" s="19">
        <f>'D2C Online'!DJ106+'D2C - Retail'!CS134</f>
        <v>12245495.812015461</v>
      </c>
      <c r="DT82" s="19">
        <f>'D2C Online'!DK106+'D2C - Retail'!CT134</f>
        <v>12169797.165138034</v>
      </c>
      <c r="DU82" s="19">
        <f>'D2C Online'!DL106+'D2C - Retail'!CU134</f>
        <v>12109501.319330053</v>
      </c>
      <c r="DV82" s="19">
        <f>'D2C Online'!DM106+'D2C - Retail'!CV134</f>
        <v>12739455.799198529</v>
      </c>
      <c r="DW82" s="19">
        <f>'D2C Online'!DN106+'D2C - Retail'!CW134</f>
        <v>11599245.734534172</v>
      </c>
      <c r="DX82" s="19">
        <f>'D2C Online'!DO106+'D2C - Retail'!CX134</f>
        <v>11648902.666907316</v>
      </c>
      <c r="DY82" s="19">
        <f>'D2C Online'!DP106+'D2C - Retail'!CY134</f>
        <v>12920210.899203127</v>
      </c>
      <c r="DZ82" s="19">
        <f>'D2C Online'!DQ106+'D2C - Retail'!CZ134</f>
        <v>12308091.689698106</v>
      </c>
      <c r="EA82" s="19">
        <f>'D2C Online'!DR106+'D2C - Retail'!DA134</f>
        <v>14940535.972462354</v>
      </c>
      <c r="EB82" s="19">
        <f>'D2C Online'!DS106+'D2C - Retail'!DB134</f>
        <v>15677303.270644469</v>
      </c>
      <c r="EC82" s="19">
        <f>'D2C Online'!DT106+'D2C - Retail'!DC134</f>
        <v>13913190.577148277</v>
      </c>
      <c r="ED82" s="19">
        <f>'D2C Online'!DU106+'D2C - Retail'!DD134</f>
        <v>15602339.859134831</v>
      </c>
      <c r="EE82" s="168"/>
      <c r="EF82" s="165">
        <f t="shared" ref="EF82:EF87" si="336">SUM(BK82:BM82)</f>
        <v>7811094.3408418922</v>
      </c>
      <c r="EG82" s="165">
        <f t="shared" ref="EG82:EG87" si="337">SUM(BN82:BP82)</f>
        <v>8710512.478155721</v>
      </c>
      <c r="EH82" s="165">
        <f t="shared" ref="EH82:EH87" si="338">SUM(BQ82:BS82)</f>
        <v>10576622.033822985</v>
      </c>
      <c r="EI82" s="165">
        <f t="shared" ref="EI82:EI87" si="339">SUM(BT82:BV82)</f>
        <v>8973208.7704004832</v>
      </c>
      <c r="EJ82" s="165">
        <f t="shared" ref="EJ82:EJ87" si="340">SUM(BW82:BY82)</f>
        <v>11192323.350052249</v>
      </c>
      <c r="EK82" s="165">
        <f t="shared" ref="EK82:EK87" si="341">SUM(CL82:CN82)</f>
        <v>20917945.890730765</v>
      </c>
      <c r="EL82" s="165">
        <f t="shared" ref="EL82:EL87" si="342">SUM(CC82:CE82)</f>
        <v>10514502.520818895</v>
      </c>
      <c r="EM82" s="165">
        <f t="shared" ref="EM82:EM87" si="343">SUM(CF82:CH82)</f>
        <v>15497856.274617225</v>
      </c>
      <c r="EN82" s="165">
        <f t="shared" ref="EN82:EN87" si="344">SUM(CI82:CK82)</f>
        <v>18688162.056775637</v>
      </c>
      <c r="EO82" s="165">
        <f t="shared" ref="EO82:EO87" si="345">SUM(CL82:CN82)</f>
        <v>20917945.890730765</v>
      </c>
      <c r="EP82" s="165">
        <f t="shared" ref="EP82:EP87" si="346">SUM(CO82:CQ82)</f>
        <v>21747439.979173701</v>
      </c>
      <c r="EQ82" s="165">
        <f t="shared" ref="EQ82:EQ87" si="347">SUM(CR82:CT82)</f>
        <v>25447997.851243589</v>
      </c>
      <c r="ER82" s="165">
        <f t="shared" ref="ER82:ER87" si="348">SUM(CU82:CW82)</f>
        <v>25922208.084955744</v>
      </c>
      <c r="ES82" s="165">
        <f t="shared" ref="ES82:ES87" si="349">SUM(CX82:CZ82)</f>
        <v>25638725.625411056</v>
      </c>
      <c r="ET82" s="165">
        <f t="shared" ref="ET82:ET87" si="350">SUM(DA82:DC82)</f>
        <v>28796106.199089929</v>
      </c>
      <c r="EU82" s="165">
        <f t="shared" ref="EU82:EU87" si="351">SUM(DD82:DF82)</f>
        <v>32675310.874820139</v>
      </c>
      <c r="EV82" s="165">
        <f t="shared" ref="EV82:EV87" si="352">SUM(DG82:DI82)</f>
        <v>31868412.546409212</v>
      </c>
      <c r="EW82" s="165">
        <f t="shared" ref="EW82:EW87" si="353">SUM(DJ82:DL82)</f>
        <v>31431221.746603854</v>
      </c>
      <c r="EX82" s="165">
        <f t="shared" ref="EX82:EX87" si="354">SUM(DM82:DO82)</f>
        <v>35119703.4737942</v>
      </c>
      <c r="EY82" s="165">
        <f t="shared" ref="EY82:EY87" si="355">SUM(DP82:DR82)</f>
        <v>39530498.935062312</v>
      </c>
      <c r="EZ82" s="165">
        <f t="shared" si="304"/>
        <v>36524794.296483546</v>
      </c>
      <c r="FA82" s="165">
        <f t="shared" si="305"/>
        <v>35987604.200640015</v>
      </c>
      <c r="FB82" s="165">
        <f t="shared" si="306"/>
        <v>40168838.561363585</v>
      </c>
      <c r="FC82" s="165">
        <f t="shared" si="307"/>
        <v>45192833.706927575</v>
      </c>
      <c r="FE82" s="165">
        <f t="shared" si="308"/>
        <v>36071437.623221084</v>
      </c>
      <c r="FF82" s="165">
        <f t="shared" si="309"/>
        <v>58122628.036219135</v>
      </c>
      <c r="FG82" s="165">
        <f t="shared" si="310"/>
        <v>86801545.777923688</v>
      </c>
      <c r="FH82" s="165">
        <f t="shared" si="311"/>
        <v>113032350.78427687</v>
      </c>
      <c r="FI82" s="165">
        <f t="shared" si="312"/>
        <v>137949836.70186958</v>
      </c>
      <c r="FJ82" s="165">
        <f t="shared" si="313"/>
        <v>157874070.76541471</v>
      </c>
    </row>
    <row r="83" spans="2:166" x14ac:dyDescent="0.2">
      <c r="B83" s="167" t="s">
        <v>34</v>
      </c>
      <c r="C83" s="19">
        <f>'P&amp;L - Inputs'!B712</f>
        <v>199231</v>
      </c>
      <c r="D83" s="19">
        <f>'P&amp;L - Inputs'!C712</f>
        <v>232753</v>
      </c>
      <c r="E83" s="19">
        <f>'P&amp;L - Inputs'!D712</f>
        <v>282710</v>
      </c>
      <c r="F83" s="19">
        <f>'P&amp;L - Inputs'!E712</f>
        <v>384727</v>
      </c>
      <c r="G83" s="19">
        <f>'P&amp;L - Inputs'!F712</f>
        <v>403857</v>
      </c>
      <c r="H83" s="19">
        <f>'P&amp;L - Inputs'!G712</f>
        <v>444318</v>
      </c>
      <c r="I83" s="19">
        <f>'P&amp;L - Inputs'!H712</f>
        <v>419269</v>
      </c>
      <c r="J83" s="19">
        <f>'P&amp;L - Inputs'!I712</f>
        <v>539374</v>
      </c>
      <c r="K83" s="19">
        <f>'P&amp;L - Inputs'!J712</f>
        <v>516297</v>
      </c>
      <c r="L83" s="19">
        <f>'P&amp;L - Inputs'!K712</f>
        <v>448153</v>
      </c>
      <c r="M83" s="19">
        <f>'P&amp;L - Inputs'!L712</f>
        <v>613296</v>
      </c>
      <c r="N83" s="19">
        <f>'P&amp;L - Inputs'!M712</f>
        <v>412634</v>
      </c>
      <c r="O83" s="19">
        <f>'P&amp;L - Inputs'!N712</f>
        <v>464477</v>
      </c>
      <c r="P83" s="19">
        <f>'P&amp;L - Inputs'!O712</f>
        <v>1005837</v>
      </c>
      <c r="Q83" s="19">
        <f>'P&amp;L - Inputs'!P712</f>
        <v>457562</v>
      </c>
      <c r="R83" s="19">
        <f>'P&amp;L - Inputs'!Q712</f>
        <v>497734</v>
      </c>
      <c r="S83" s="19">
        <f>'P&amp;L - Inputs'!R712</f>
        <v>461026</v>
      </c>
      <c r="T83" s="19">
        <f>'P&amp;L - Inputs'!S712</f>
        <v>407822</v>
      </c>
      <c r="U83" s="19">
        <f>'P&amp;L - Inputs'!T712</f>
        <v>447520</v>
      </c>
      <c r="V83" s="19">
        <f>'P&amp;L - Inputs'!U712</f>
        <v>323773</v>
      </c>
      <c r="W83" s="19">
        <f>'P&amp;L - Inputs'!V712</f>
        <v>380921</v>
      </c>
      <c r="X83" s="19">
        <f>'P&amp;L - Inputs'!W712</f>
        <v>434150</v>
      </c>
      <c r="Y83" s="19">
        <f>'P&amp;L - Inputs'!X712</f>
        <v>404310</v>
      </c>
      <c r="Z83" s="19">
        <f>'P&amp;L - Inputs'!Y712</f>
        <v>426396</v>
      </c>
      <c r="AA83" s="19">
        <f>'P&amp;L - Inputs'!Z712</f>
        <v>402214.64028042229</v>
      </c>
      <c r="AB83" s="19">
        <f>'P&amp;L - Inputs'!AA712</f>
        <v>449983</v>
      </c>
      <c r="AC83" s="19">
        <f>'P&amp;L - Inputs'!AB712</f>
        <v>399472</v>
      </c>
      <c r="AD83" s="19">
        <f>'P&amp;L - Inputs'!AC712</f>
        <v>622645</v>
      </c>
      <c r="AE83" s="19">
        <f>'P&amp;L - Inputs'!AD712</f>
        <v>560994</v>
      </c>
      <c r="AF83" s="19">
        <f>'P&amp;L - Inputs'!AE712</f>
        <v>568933</v>
      </c>
      <c r="AG83" s="19">
        <f>'P&amp;L - Inputs'!AF712</f>
        <v>526097</v>
      </c>
      <c r="AH83" s="19">
        <f>'P&amp;L - Inputs'!AG712</f>
        <v>587750</v>
      </c>
      <c r="AI83" s="19">
        <f>'P&amp;L - Inputs'!AH712</f>
        <v>642642</v>
      </c>
      <c r="AJ83" s="19">
        <f>'P&amp;L - Inputs'!AI712</f>
        <v>909409</v>
      </c>
      <c r="AK83" s="19">
        <f>'P&amp;L - Inputs'!AJ712</f>
        <v>584354</v>
      </c>
      <c r="AL83" s="19">
        <f>'P&amp;L - Inputs'!AK712</f>
        <v>748895</v>
      </c>
      <c r="AM83" s="19">
        <f>'P&amp;L - Inputs'!AL712</f>
        <v>710415.00000000012</v>
      </c>
      <c r="AN83" s="19">
        <f>'P&amp;L - Inputs'!AM712</f>
        <v>696319</v>
      </c>
      <c r="AO83" s="19">
        <f>'P&amp;L - Inputs'!AN712</f>
        <v>717801.00000000012</v>
      </c>
      <c r="AP83" s="19">
        <f>'P&amp;L - Inputs'!AO712</f>
        <v>722731</v>
      </c>
      <c r="AQ83" s="19">
        <f>'P&amp;L - Inputs'!AP712</f>
        <v>953177.14367392345</v>
      </c>
      <c r="AR83" s="19">
        <f>'P&amp;L - Inputs'!AQ712</f>
        <v>1372974.8730909796</v>
      </c>
      <c r="AS83" s="19">
        <f>'P&amp;L - Inputs'!AR712</f>
        <v>1965809.9114152601</v>
      </c>
      <c r="AT83" s="19">
        <f>'P&amp;L - Inputs'!AS712</f>
        <v>1926503</v>
      </c>
      <c r="AU83" s="19">
        <f>'P&amp;L - Inputs'!AT712</f>
        <v>1618714.76526935</v>
      </c>
      <c r="AV83" s="19">
        <f>'P&amp;L - Inputs'!AU712</f>
        <v>1190813</v>
      </c>
      <c r="AW83" s="19">
        <f>'P&amp;L - Inputs'!AV712</f>
        <v>1239631</v>
      </c>
      <c r="AX83" s="19">
        <f>'P&amp;L - Inputs'!AW712</f>
        <v>1591545</v>
      </c>
      <c r="AY83" s="19">
        <f>'P&amp;L - Inputs'!AX712</f>
        <v>2378976.530104286</v>
      </c>
      <c r="AZ83" s="19">
        <f>'P&amp;L - Inputs'!AY712</f>
        <v>1952687.03098093</v>
      </c>
      <c r="BA83" s="19">
        <f>'P&amp;L - Inputs'!AZ712</f>
        <v>1955834.196215126</v>
      </c>
      <c r="BB83" s="19">
        <f>'P&amp;L - Inputs'!BA712</f>
        <v>2395366.2094805702</v>
      </c>
      <c r="BC83" s="19">
        <f>'P&amp;L - Inputs'!BB712</f>
        <v>1423533.9688001834</v>
      </c>
      <c r="BD83" s="19">
        <f>'P&amp;L - Inputs'!BC712</f>
        <v>1531594.339959135</v>
      </c>
      <c r="BE83" s="19">
        <f>'P&amp;L - Inputs'!BD712</f>
        <v>1556970.4130308321</v>
      </c>
      <c r="BF83" s="19">
        <f>'P&amp;L - Inputs'!BE712</f>
        <v>1498694.9039790325</v>
      </c>
      <c r="BG83" s="19">
        <f>'P&amp;L - Inputs'!BF712</f>
        <v>1294528.2210568618</v>
      </c>
      <c r="BH83" s="19">
        <f>'P&amp;L - Inputs'!BG712</f>
        <v>1181553.7815996772</v>
      </c>
      <c r="BI83" s="19">
        <f>'P&amp;L - Inputs'!BH712</f>
        <v>1820793.0917418632</v>
      </c>
      <c r="BJ83" s="19">
        <f>'P&amp;L - Inputs'!BI712</f>
        <v>2213179.1536433836</v>
      </c>
      <c r="BK83" s="19">
        <f>'P&amp;L - Inputs'!BJ712</f>
        <v>2282977.64736214</v>
      </c>
      <c r="BL83" s="19">
        <f>'P&amp;L - Inputs'!BK712</f>
        <v>2119633.6339807957</v>
      </c>
      <c r="BM83" s="19">
        <f>'P&amp;L - Inputs'!BL712</f>
        <v>2948205.0973582598</v>
      </c>
      <c r="BN83" s="19">
        <f>'P&amp;L - Inputs'!BM712</f>
        <v>2412039.0452602236</v>
      </c>
      <c r="BO83" s="19">
        <f>'P&amp;L - Inputs'!BN712</f>
        <v>2786041.3227213966</v>
      </c>
      <c r="BP83" s="19">
        <f>'P&amp;L - Inputs'!BO712</f>
        <v>2496323.8023376241</v>
      </c>
      <c r="BQ83" s="19">
        <f>'P&amp;L - Inputs'!BP712</f>
        <v>3711318.5560288145</v>
      </c>
      <c r="BR83" s="19">
        <f>'P&amp;L - Inputs'!BQ712</f>
        <v>2963871.5852411771</v>
      </c>
      <c r="BS83" s="19">
        <f>'P&amp;L - Inputs'!BR712</f>
        <v>3092211.2488526599</v>
      </c>
      <c r="BT83" s="19">
        <f>'P&amp;L - Inputs'!BS712</f>
        <v>2695593.4132696446</v>
      </c>
      <c r="BU83" s="19">
        <f>'P&amp;L - Inputs'!BT712</f>
        <v>2675975</v>
      </c>
      <c r="BV83" s="19">
        <f>'P&amp;L - Inputs'!BU712</f>
        <v>3603417.4463669057</v>
      </c>
      <c r="BW83" s="19">
        <f>'P&amp;L - Inputs'!BV712</f>
        <v>3077232.3182492582</v>
      </c>
      <c r="BX83" s="19">
        <f>'P&amp;L - Inputs'!BW712</f>
        <v>3810239.5585626098</v>
      </c>
      <c r="BY83" s="19">
        <f>'D2C Online'!BP107+'D2C - Retail'!AY135</f>
        <v>3369904.7928634165</v>
      </c>
      <c r="BZ83" s="19">
        <f>'D2C Online'!BQ107+'D2C - Retail'!AZ135</f>
        <v>3735843.5105604827</v>
      </c>
      <c r="CA83" s="19">
        <f>'D2C Online'!BR107+'D2C - Retail'!BA135</f>
        <v>3549515.1043835948</v>
      </c>
      <c r="CB83" s="19">
        <f>'D2C Online'!BS107+'D2C - Retail'!BB135</f>
        <v>3633047.6068455996</v>
      </c>
      <c r="CC83" s="19">
        <f>'D2C Online'!BT107+'D2C - Retail'!BC135</f>
        <v>3825794.8129754858</v>
      </c>
      <c r="CD83" s="19">
        <f>'D2C Online'!BU107+'D2C - Retail'!BD135</f>
        <v>3324107.2254572082</v>
      </c>
      <c r="CE83" s="19">
        <f>'D2C Online'!BV107+'D2C - Retail'!BE135</f>
        <v>3301837.4357045996</v>
      </c>
      <c r="CF83" s="19">
        <f>'D2C Online'!BW107+'D2C - Retail'!BF135</f>
        <v>3299789.5863960502</v>
      </c>
      <c r="CG83" s="19">
        <f>'D2C Online'!BX107+'D2C - Retail'!BG135</f>
        <v>3216200.8886044882</v>
      </c>
      <c r="CH83" s="19">
        <f>'D2C Online'!BY107+'D2C - Retail'!BH135</f>
        <v>3925705.9481728193</v>
      </c>
      <c r="CI83" s="19">
        <f>'D2C Online'!BZ107+'D2C - Retail'!BI135</f>
        <v>4119562.7909014076</v>
      </c>
      <c r="CJ83" s="19">
        <f>'D2C Online'!CA107+'D2C - Retail'!BJ135</f>
        <v>4039542.8322807308</v>
      </c>
      <c r="CK83" s="19">
        <f>'D2C Online'!CB107+'D2C - Retail'!BK135</f>
        <v>4547561.7700247727</v>
      </c>
      <c r="CL83" s="19">
        <f>'D2C Online'!CC107+'D2C - Retail'!BL135</f>
        <v>4694936.1459395476</v>
      </c>
      <c r="CM83" s="19">
        <f>'D2C Online'!CD107+'D2C - Retail'!BM135</f>
        <v>4369034.5553491917</v>
      </c>
      <c r="CN83" s="19">
        <f>'D2C Online'!CE107+'D2C - Retail'!BN135</f>
        <v>5236185.3717400841</v>
      </c>
      <c r="CO83" s="19">
        <f>'D2C Online'!CF107+'D2C - Retail'!BO135</f>
        <v>5512665.5501347641</v>
      </c>
      <c r="CP83" s="19">
        <f>'D2C Online'!CG107+'D2C - Retail'!BP135</f>
        <v>5126359.8052705228</v>
      </c>
      <c r="CQ83" s="19">
        <f>'D2C Online'!CH107+'D2C - Retail'!BQ135</f>
        <v>5335841.2037947197</v>
      </c>
      <c r="CR83" s="19">
        <f>'D2C Online'!CI107+'D2C - Retail'!BR135</f>
        <v>5503536.7249247693</v>
      </c>
      <c r="CS83" s="19">
        <f>'D2C Online'!CJ107+'D2C - Retail'!BS135</f>
        <v>5493721.3559622131</v>
      </c>
      <c r="CT83" s="19">
        <f>'D2C Online'!CK107+'D2C - Retail'!BT135</f>
        <v>5643889.7449032422</v>
      </c>
      <c r="CU83" s="19">
        <f>'D2C Online'!CL107+'D2C - Retail'!BU135</f>
        <v>5985192.942615686</v>
      </c>
      <c r="CV83" s="19">
        <f>'D2C Online'!CM107+'D2C - Retail'!BV135</f>
        <v>6013920.9115583375</v>
      </c>
      <c r="CW83" s="19">
        <f>'D2C Online'!CN107+'D2C - Retail'!BW135</f>
        <v>6011881.0557754273</v>
      </c>
      <c r="CX83" s="19">
        <f>'D2C Online'!CO107+'D2C - Retail'!BX135</f>
        <v>6054888.0151984515</v>
      </c>
      <c r="CY83" s="19">
        <f>'D2C Online'!CP107+'D2C - Retail'!BY135</f>
        <v>5887959.8169636307</v>
      </c>
      <c r="CZ83" s="19">
        <f>'D2C Online'!CQ107+'D2C - Retail'!BZ135</f>
        <v>6143961.7177188639</v>
      </c>
      <c r="DA83" s="19">
        <f>'D2C Online'!CR107+'D2C - Retail'!CA135</f>
        <v>6061517.5464929091</v>
      </c>
      <c r="DB83" s="19">
        <f>'D2C Online'!CS107+'D2C - Retail'!CB135</f>
        <v>6068317.0657692757</v>
      </c>
      <c r="DC83" s="19">
        <f>'D2C Online'!CT107+'D2C - Retail'!CC135</f>
        <v>6729400.3274140991</v>
      </c>
      <c r="DD83" s="19">
        <f>'D2C Online'!CU107+'D2C - Retail'!CD135</f>
        <v>7005800.7859984348</v>
      </c>
      <c r="DE83" s="19">
        <f>'D2C Online'!CV107+'D2C - Retail'!CE135</f>
        <v>6457419.5563594019</v>
      </c>
      <c r="DF83" s="19">
        <f>'D2C Online'!CW107+'D2C - Retail'!CF135</f>
        <v>6722940.7841015495</v>
      </c>
      <c r="DG83" s="19">
        <f>'D2C Online'!CX107+'D2C - Retail'!CG135</f>
        <v>6664099.0738729425</v>
      </c>
      <c r="DH83" s="19">
        <f>'D2C Online'!CY107+'D2C - Retail'!CH135</f>
        <v>6698127.3530855132</v>
      </c>
      <c r="DI83" s="19">
        <f>'D2C Online'!CZ107+'D2C - Retail'!CI135</f>
        <v>6695711.1439106567</v>
      </c>
      <c r="DJ83" s="19">
        <f>'D2C Online'!DA107+'D2C - Retail'!CJ135</f>
        <v>6746652.8873472288</v>
      </c>
      <c r="DK83" s="19">
        <f>'D2C Online'!DB107+'D2C - Retail'!CK135</f>
        <v>6548926.4365380835</v>
      </c>
      <c r="DL83" s="19">
        <f>'D2C Online'!DC107+'D2C - Retail'!CL135</f>
        <v>6852160.6879826579</v>
      </c>
      <c r="DM83" s="19">
        <f>'D2C Online'!DD107+'D2C - Retail'!CM135</f>
        <v>6754505.5671655135</v>
      </c>
      <c r="DN83" s="19">
        <f>'D2C Online'!DE107+'D2C - Retail'!CN135</f>
        <v>6762559.5977483708</v>
      </c>
      <c r="DO83" s="19">
        <f>'D2C Online'!DF107+'D2C - Retail'!CO135</f>
        <v>7545612.7211666629</v>
      </c>
      <c r="DP83" s="19">
        <f>'D2C Online'!DG107+'D2C - Retail'!CP135</f>
        <v>7873009.0643598102</v>
      </c>
      <c r="DQ83" s="19">
        <f>'D2C Online'!DH107+'D2C - Retail'!CQ135</f>
        <v>7223451.4978523748</v>
      </c>
      <c r="DR83" s="19">
        <f>'D2C Online'!DI107+'D2C - Retail'!CR135</f>
        <v>7537961.392112948</v>
      </c>
      <c r="DS83" s="19">
        <f>'D2C Online'!DJ107+'D2C - Retail'!CS135</f>
        <v>7280961.8066061772</v>
      </c>
      <c r="DT83" s="19">
        <f>'D2C Online'!DK107+'D2C - Retail'!CT135</f>
        <v>7321268.3033334697</v>
      </c>
      <c r="DU83" s="19">
        <f>'D2C Online'!DL107+'D2C - Retail'!CU135</f>
        <v>7318406.3035658505</v>
      </c>
      <c r="DV83" s="19">
        <f>'D2C Online'!DM107+'D2C - Retail'!CV135</f>
        <v>7378746.7986664707</v>
      </c>
      <c r="DW83" s="19">
        <f>'D2C Online'!DN107+'D2C - Retail'!CW135</f>
        <v>7144539.8176830392</v>
      </c>
      <c r="DX83" s="19">
        <f>'D2C Online'!DO107+'D2C - Retail'!CX135</f>
        <v>7503720.7885191366</v>
      </c>
      <c r="DY83" s="19">
        <f>'D2C Online'!DP107+'D2C - Retail'!CY135</f>
        <v>7388048.2979112286</v>
      </c>
      <c r="DZ83" s="19">
        <f>'D2C Online'!DQ107+'D2C - Retail'!CZ135</f>
        <v>7397588.2971366234</v>
      </c>
      <c r="EA83" s="19">
        <f>'D2C Online'!DR107+'D2C - Retail'!DA135</f>
        <v>8325114.7218255904</v>
      </c>
      <c r="EB83" s="19">
        <f>'D2C Online'!DS107+'D2C - Retail'!DB135</f>
        <v>8712915.6903378721</v>
      </c>
      <c r="EC83" s="19">
        <f>'D2C Online'!DT107+'D2C - Retail'!DC135</f>
        <v>7943514.752809817</v>
      </c>
      <c r="ED83" s="19">
        <f>'D2C Online'!DU107+'D2C - Retail'!DD135</f>
        <v>8316051.7225614674</v>
      </c>
      <c r="EE83" s="168"/>
      <c r="EF83" s="165">
        <f t="shared" si="336"/>
        <v>7350816.3787011951</v>
      </c>
      <c r="EG83" s="165">
        <f t="shared" si="337"/>
        <v>7694404.1703192443</v>
      </c>
      <c r="EH83" s="165">
        <f t="shared" si="338"/>
        <v>9767401.3901226521</v>
      </c>
      <c r="EI83" s="165">
        <f t="shared" si="339"/>
        <v>8974985.8596365508</v>
      </c>
      <c r="EJ83" s="165">
        <f t="shared" si="340"/>
        <v>10257376.669675283</v>
      </c>
      <c r="EK83" s="165">
        <f t="shared" si="341"/>
        <v>14300156.073028823</v>
      </c>
      <c r="EL83" s="165">
        <f t="shared" si="342"/>
        <v>10451739.474137293</v>
      </c>
      <c r="EM83" s="165">
        <f t="shared" si="343"/>
        <v>10441696.423173357</v>
      </c>
      <c r="EN83" s="165">
        <f t="shared" si="344"/>
        <v>12706667.393206911</v>
      </c>
      <c r="EO83" s="165">
        <f t="shared" si="345"/>
        <v>14300156.073028823</v>
      </c>
      <c r="EP83" s="165">
        <f t="shared" si="346"/>
        <v>15974866.559200006</v>
      </c>
      <c r="EQ83" s="165">
        <f t="shared" si="347"/>
        <v>16641147.825790225</v>
      </c>
      <c r="ER83" s="165">
        <f t="shared" si="348"/>
        <v>18010994.909949452</v>
      </c>
      <c r="ES83" s="165">
        <f t="shared" si="349"/>
        <v>18086809.549880944</v>
      </c>
      <c r="ET83" s="165">
        <f t="shared" si="350"/>
        <v>18859234.939676285</v>
      </c>
      <c r="EU83" s="165">
        <f t="shared" si="351"/>
        <v>20186161.126459386</v>
      </c>
      <c r="EV83" s="165">
        <f t="shared" si="352"/>
        <v>20057937.570869114</v>
      </c>
      <c r="EW83" s="165">
        <f t="shared" si="353"/>
        <v>20147740.01186797</v>
      </c>
      <c r="EX83" s="165">
        <f t="shared" si="354"/>
        <v>21062677.886080548</v>
      </c>
      <c r="EY83" s="165">
        <f t="shared" si="355"/>
        <v>22634421.954325132</v>
      </c>
      <c r="EZ83" s="165">
        <f t="shared" si="304"/>
        <v>21920636.413505495</v>
      </c>
      <c r="FA83" s="165">
        <f t="shared" si="305"/>
        <v>22027007.404868647</v>
      </c>
      <c r="FB83" s="165">
        <f t="shared" si="306"/>
        <v>23110751.316873442</v>
      </c>
      <c r="FC83" s="165">
        <f t="shared" si="307"/>
        <v>24972482.165709157</v>
      </c>
      <c r="FE83" s="165">
        <f t="shared" si="308"/>
        <v>33787607.798779644</v>
      </c>
      <c r="FF83" s="165">
        <f t="shared" si="309"/>
        <v>45450968.640014753</v>
      </c>
      <c r="FG83" s="165">
        <f t="shared" si="310"/>
        <v>59622837.851225965</v>
      </c>
      <c r="FH83" s="165">
        <f t="shared" si="311"/>
        <v>75143200.525966063</v>
      </c>
      <c r="FI83" s="165">
        <f t="shared" si="312"/>
        <v>83902777.423142761</v>
      </c>
      <c r="FJ83" s="165">
        <f t="shared" si="313"/>
        <v>92030877.300956741</v>
      </c>
    </row>
    <row r="84" spans="2:166" x14ac:dyDescent="0.2">
      <c r="B84" s="167" t="s">
        <v>234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f>'D2C Online'!C108</f>
        <v>0</v>
      </c>
      <c r="M84" s="19">
        <f>'D2C Online'!D108</f>
        <v>0</v>
      </c>
      <c r="N84" s="19">
        <f>'D2C Online'!E108</f>
        <v>0</v>
      </c>
      <c r="O84" s="19">
        <f>'D2C Online'!F108</f>
        <v>0</v>
      </c>
      <c r="P84" s="19">
        <f>'D2C Online'!G108</f>
        <v>0</v>
      </c>
      <c r="Q84" s="19">
        <f>'D2C Online'!H108</f>
        <v>0</v>
      </c>
      <c r="R84" s="19">
        <f>'D2C Online'!I108</f>
        <v>0</v>
      </c>
      <c r="S84" s="19">
        <f>'D2C Online'!J108</f>
        <v>0</v>
      </c>
      <c r="T84" s="19">
        <f>'D2C Online'!K108</f>
        <v>0</v>
      </c>
      <c r="U84" s="19">
        <f>'D2C Online'!L108</f>
        <v>0</v>
      </c>
      <c r="V84" s="19">
        <f>'D2C Online'!M108</f>
        <v>0</v>
      </c>
      <c r="W84" s="19">
        <f>'D2C Online'!N108</f>
        <v>0</v>
      </c>
      <c r="X84" s="19">
        <f>'D2C Online'!O108</f>
        <v>0</v>
      </c>
      <c r="Y84" s="19">
        <f>'D2C Online'!P108</f>
        <v>0</v>
      </c>
      <c r="Z84" s="19">
        <f>'D2C Online'!Q108</f>
        <v>0</v>
      </c>
      <c r="AA84" s="19">
        <f>'D2C Online'!R108</f>
        <v>0</v>
      </c>
      <c r="AB84" s="19">
        <f>'D2C Online'!S108</f>
        <v>0</v>
      </c>
      <c r="AC84" s="19">
        <f>'D2C Online'!T108+'D2C - Retail'!C136</f>
        <v>0</v>
      </c>
      <c r="AD84" s="19">
        <f>'D2C Online'!U108+'D2C - Retail'!D136</f>
        <v>0</v>
      </c>
      <c r="AE84" s="19">
        <f>'D2C Online'!V108+'D2C - Retail'!E136</f>
        <v>0</v>
      </c>
      <c r="AF84" s="19">
        <f>'D2C Online'!W108+'D2C - Retail'!F136</f>
        <v>0</v>
      </c>
      <c r="AG84" s="19">
        <f>'D2C Online'!X108+'D2C - Retail'!G136</f>
        <v>0</v>
      </c>
      <c r="AH84" s="19">
        <f>'D2C Online'!Y108+'D2C - Retail'!H136</f>
        <v>0</v>
      </c>
      <c r="AI84" s="19">
        <f>'D2C Online'!Z108+'D2C - Retail'!I136</f>
        <v>0</v>
      </c>
      <c r="AJ84" s="19">
        <f>'D2C Online'!AA108+'D2C - Retail'!J136</f>
        <v>0</v>
      </c>
      <c r="AK84" s="19">
        <f>'D2C Online'!AB108+'D2C - Retail'!K136</f>
        <v>0</v>
      </c>
      <c r="AL84" s="19">
        <f>'D2C Online'!AC108+'D2C - Retail'!L136</f>
        <v>0</v>
      </c>
      <c r="AM84" s="19">
        <f>'D2C Online'!AD108+'D2C - Retail'!M136</f>
        <v>0</v>
      </c>
      <c r="AN84" s="19">
        <f>'D2C Online'!AE108+'D2C - Retail'!N136</f>
        <v>0</v>
      </c>
      <c r="AO84" s="19">
        <f>'D2C Online'!AF108+'D2C - Retail'!O136</f>
        <v>0</v>
      </c>
      <c r="AP84" s="19">
        <f>'D2C Online'!AG108+'D2C - Retail'!P136</f>
        <v>162422</v>
      </c>
      <c r="AQ84" s="19">
        <f>'D2C Online'!AH108+'D2C - Retail'!Q136</f>
        <v>199501</v>
      </c>
      <c r="AR84" s="19">
        <f>'D2C Online'!AI108+'D2C - Retail'!R136</f>
        <v>301715</v>
      </c>
      <c r="AS84" s="19">
        <f>'D2C Online'!AJ108+'D2C - Retail'!S136</f>
        <v>284100</v>
      </c>
      <c r="AT84" s="19">
        <f>'D2C Online'!AK108+'D2C - Retail'!T136</f>
        <v>507635</v>
      </c>
      <c r="AU84" s="19">
        <f>'D2C Online'!AL108+'D2C - Retail'!U136</f>
        <v>584182</v>
      </c>
      <c r="AV84" s="19">
        <f>'D2C Online'!AM108+'D2C - Retail'!V136</f>
        <v>726395</v>
      </c>
      <c r="AW84" s="19">
        <f>'D2C Online'!AN108+'D2C - Retail'!W136</f>
        <v>702542</v>
      </c>
      <c r="AX84" s="19">
        <f>'D2C Online'!AO108+'D2C - Retail'!X136</f>
        <v>784079.17000000062</v>
      </c>
      <c r="AY84" s="19">
        <f>'D2C Online'!AP108+'D2C - Retail'!Y136</f>
        <v>707885.63890000037</v>
      </c>
      <c r="AZ84" s="19">
        <f>'D2C Online'!AQ108+'D2C - Retail'!Z136</f>
        <v>813830</v>
      </c>
      <c r="BA84" s="19">
        <f>'D2C Online'!AR108+'D2C - Retail'!AA136</f>
        <v>1319492.76</v>
      </c>
      <c r="BB84" s="19">
        <f>'D2C Online'!AS108+'D2C - Retail'!AB136</f>
        <v>1493819</v>
      </c>
      <c r="BC84" s="19">
        <f>'D2C Online'!AT108+'D2C - Retail'!AC136</f>
        <v>1520200</v>
      </c>
      <c r="BD84" s="19">
        <f>'D2C Online'!AU108+'D2C - Retail'!AD136</f>
        <v>1451597</v>
      </c>
      <c r="BE84" s="19">
        <f>'D2C Online'!AV108+'D2C - Retail'!AE136</f>
        <v>2786331</v>
      </c>
      <c r="BF84" s="19">
        <f>'D2C Online'!AW108+'D2C - Retail'!AF136</f>
        <v>2745862</v>
      </c>
      <c r="BG84" s="19">
        <f>'D2C Online'!AX108+'D2C - Retail'!AG136</f>
        <v>2958346.8200000003</v>
      </c>
      <c r="BH84" s="19">
        <f>'D2C Online'!AY108+'D2C - Retail'!AH136</f>
        <v>3874102.9</v>
      </c>
      <c r="BI84" s="19">
        <f>'D2C Online'!AZ108+'D2C - Retail'!AI136</f>
        <v>3304385</v>
      </c>
      <c r="BJ84" s="19">
        <f>'D2C Online'!BA108+'D2C - Retail'!AJ136</f>
        <v>3952787.3448275859</v>
      </c>
      <c r="BK84" s="19">
        <f>'D2C Online'!BB108+'D2C - Retail'!AK136</f>
        <v>4658033</v>
      </c>
      <c r="BL84" s="19">
        <f>'D2C Online'!BC108+'D2C - Retail'!AL136</f>
        <v>4628200</v>
      </c>
      <c r="BM84" s="19">
        <f>'D2C Online'!BD108+'D2C - Retail'!AM136</f>
        <v>4932235</v>
      </c>
      <c r="BN84" s="19">
        <f>'D2C Online'!BE108+'D2C - Retail'!AN136</f>
        <v>3824198</v>
      </c>
      <c r="BO84" s="19">
        <f>'D2C Online'!BF108+'D2C - Retail'!AO136</f>
        <v>4321941</v>
      </c>
      <c r="BP84" s="19">
        <f>'D2C Online'!BG108+'D2C - Retail'!AP136</f>
        <v>4642905.6765617393</v>
      </c>
      <c r="BQ84" s="19">
        <f>'D2C Online'!BH108+'D2C - Retail'!AQ136</f>
        <v>6156270.3535000002</v>
      </c>
      <c r="BR84" s="19">
        <f>'D2C Online'!BI108+'D2C - Retail'!AR136</f>
        <v>4712966</v>
      </c>
      <c r="BS84" s="19">
        <f>'D2C Online'!BJ108+'D2C - Retail'!AS136</f>
        <v>5171693.08</v>
      </c>
      <c r="BT84" s="19">
        <f>'D2C Online'!BK108+'D2C - Retail'!AT136</f>
        <v>3380851.1399999997</v>
      </c>
      <c r="BU84" s="19">
        <f>'D2C Online'!BL108+'D2C - Retail'!AU136</f>
        <v>4865695.2259999989</v>
      </c>
      <c r="BV84" s="19">
        <f>'D2C Online'!BM108+'D2C - Retail'!AV136</f>
        <v>5063958.7992893495</v>
      </c>
      <c r="BW84" s="19">
        <f>'D2C Online'!BN108+'D2C - Retail'!AW136</f>
        <v>4551434</v>
      </c>
      <c r="BX84" s="19">
        <f>'D2C Online'!BO108+'D2C - Retail'!AX136</f>
        <v>4423347.9210932199</v>
      </c>
      <c r="BY84" s="19">
        <f>'D2C Online'!BP108+'D2C - Retail'!AY136</f>
        <v>4187581.2542372914</v>
      </c>
      <c r="BZ84" s="19">
        <f>'D2C Online'!BQ108+'D2C - Retail'!AZ136</f>
        <v>3794477</v>
      </c>
      <c r="CA84" s="19">
        <f>'D2C Online'!BR108+'D2C - Retail'!BA136</f>
        <v>3715162.88</v>
      </c>
      <c r="CB84" s="19">
        <f>'D2C Online'!BS108+'D2C - Retail'!BB136</f>
        <v>3561658.8299999991</v>
      </c>
      <c r="CC84" s="19">
        <f>'D2C Online'!BT108+'D2C - Retail'!BC136</f>
        <v>3816728.9111863999</v>
      </c>
      <c r="CD84" s="19">
        <f>'D2C Online'!BU108+'D2C - Retail'!BD136</f>
        <v>3699571.6150000002</v>
      </c>
      <c r="CE84" s="19">
        <f>'D2C Online'!BV108+'D2C - Retail'!BE136</f>
        <v>4656854</v>
      </c>
      <c r="CF84" s="19">
        <f>'D2C Online'!BW108+'D2C - Retail'!BF136</f>
        <v>5678660.0069491006</v>
      </c>
      <c r="CG84" s="19">
        <f>'D2C Online'!BX108+'D2C - Retail'!BG136</f>
        <v>4306761.4357627099</v>
      </c>
      <c r="CH84" s="19">
        <f>'D2C Online'!BY108+'D2C - Retail'!BH136</f>
        <v>5879984.03779661</v>
      </c>
      <c r="CI84" s="19">
        <f>'D2C Online'!BZ108+'D2C - Retail'!BI136</f>
        <v>5404328.0266101696</v>
      </c>
      <c r="CJ84" s="19">
        <f>'D2C Online'!CA108+'D2C - Retail'!BJ136</f>
        <v>5302926</v>
      </c>
      <c r="CK84" s="19">
        <f>'D2C Online'!CB108+'D2C - Retail'!BK136</f>
        <v>5192795.4745762702</v>
      </c>
      <c r="CL84" s="19">
        <f>'D2C Online'!CC108+'D2C - Retail'!BL136</f>
        <v>5314910</v>
      </c>
      <c r="CM84" s="19">
        <f>'D2C Online'!CD108+'D2C - Retail'!BM136</f>
        <v>5383136</v>
      </c>
      <c r="CN84" s="19">
        <f>'D2C Online'!CE108+'D2C - Retail'!BN136</f>
        <v>4632473</v>
      </c>
      <c r="CO84" s="19">
        <f>'D2C Online'!CF108+'D2C - Retail'!BO136</f>
        <v>6193078</v>
      </c>
      <c r="CP84" s="19">
        <f>'D2C Online'!CG108+'D2C - Retail'!BP136</f>
        <v>5817265.2400000002</v>
      </c>
      <c r="CQ84" s="19">
        <f>'D2C Online'!CH108+'D2C - Retail'!BQ136</f>
        <v>7211182.71</v>
      </c>
      <c r="CR84" s="19">
        <f>'D2C Online'!CI108+'D2C - Retail'!BR136</f>
        <v>7939742.9900000002</v>
      </c>
      <c r="CS84" s="19">
        <f>'D2C Online'!CJ108+'D2C - Retail'!BS136</f>
        <v>7021485</v>
      </c>
      <c r="CT84" s="19">
        <f>'D2C Online'!CK108+'D2C - Retail'!BT136</f>
        <v>8218698</v>
      </c>
      <c r="CU84" s="19">
        <f>'D2C Online'!CL108+'D2C - Retail'!BU136</f>
        <v>7308517.3066780251</v>
      </c>
      <c r="CV84" s="19">
        <f>'D2C Online'!CM108+'D2C - Retail'!BV136</f>
        <v>7248925.0041153254</v>
      </c>
      <c r="CW84" s="19">
        <f>'D2C Online'!CN108+'D2C - Retail'!BW136</f>
        <v>7233395.5410890151</v>
      </c>
      <c r="CX84" s="19">
        <f>'D2C Online'!CO108+'D2C - Retail'!BX136</f>
        <v>7633615.6910530105</v>
      </c>
      <c r="CY84" s="19">
        <f>'D2C Online'!CP108+'D2C - Retail'!BY136</f>
        <v>6943474.414126996</v>
      </c>
      <c r="CZ84" s="19">
        <f>'D2C Online'!CQ108+'D2C - Retail'!BZ136</f>
        <v>6941689.6051569022</v>
      </c>
      <c r="DA84" s="19">
        <f>'D2C Online'!CR108+'D2C - Retail'!CA136</f>
        <v>7790936.3389744628</v>
      </c>
      <c r="DB84" s="19">
        <f>'D2C Online'!CS108+'D2C - Retail'!CB136</f>
        <v>7417063.1955200341</v>
      </c>
      <c r="DC84" s="19">
        <f>'D2C Online'!CT108+'D2C - Retail'!CC136</f>
        <v>9018021.5214804076</v>
      </c>
      <c r="DD84" s="19">
        <f>'D2C Online'!CU108+'D2C - Retail'!CD136</f>
        <v>9465600.5453110691</v>
      </c>
      <c r="DE84" s="19">
        <f>'D2C Online'!CV108+'D2C - Retail'!CE136</f>
        <v>8446920.4078896306</v>
      </c>
      <c r="DF84" s="19">
        <f>'D2C Online'!CW108+'D2C - Retail'!CF136</f>
        <v>9564184.3588779196</v>
      </c>
      <c r="DG84" s="19">
        <f>'D2C Online'!CX108+'D2C - Retail'!CG136</f>
        <v>8998882.5850834511</v>
      </c>
      <c r="DH84" s="19">
        <f>'D2C Online'!CY108+'D2C - Retail'!CH136</f>
        <v>8936093.5066105332</v>
      </c>
      <c r="DI84" s="19">
        <f>'D2C Online'!CZ108+'D2C - Retail'!CI136</f>
        <v>8891640.7628975455</v>
      </c>
      <c r="DJ84" s="19">
        <f>'D2C Online'!DA108+'D2C - Retail'!CJ136</f>
        <v>9383921.9354920909</v>
      </c>
      <c r="DK84" s="19">
        <f>'D2C Online'!DB108+'D2C - Retail'!CK136</f>
        <v>8524677.6080518384</v>
      </c>
      <c r="DL84" s="19">
        <f>'D2C Online'!DC108+'D2C - Retail'!CL136</f>
        <v>8503513.1362296622</v>
      </c>
      <c r="DM84" s="19">
        <f>'D2C Online'!DD108+'D2C - Retail'!CM136</f>
        <v>9538035.2807732467</v>
      </c>
      <c r="DN84" s="19">
        <f>'D2C Online'!DE108+'D2C - Retail'!CN136</f>
        <v>9051664.7666764706</v>
      </c>
      <c r="DO84" s="19">
        <f>'D2C Online'!DF108+'D2C - Retail'!CO136</f>
        <v>10978976.490445845</v>
      </c>
      <c r="DP84" s="19">
        <f>'D2C Online'!DG108+'D2C - Retail'!CP136</f>
        <v>11495950.616266718</v>
      </c>
      <c r="DQ84" s="19">
        <f>'D2C Online'!DH108+'D2C - Retail'!CQ136</f>
        <v>10235405.221762307</v>
      </c>
      <c r="DR84" s="19">
        <f>'D2C Online'!DI108+'D2C - Retail'!CR136</f>
        <v>11514792.893447898</v>
      </c>
      <c r="DS84" s="19">
        <f>'D2C Online'!DJ108+'D2C - Retail'!CS136</f>
        <v>10315187.156372521</v>
      </c>
      <c r="DT84" s="19">
        <f>'D2C Online'!DK108+'D2C - Retail'!CT136</f>
        <v>10238615.370730609</v>
      </c>
      <c r="DU84" s="19">
        <f>'D2C Online'!DL108+'D2C - Retail'!CU136</f>
        <v>10184535.556086626</v>
      </c>
      <c r="DV84" s="19">
        <f>'D2C Online'!DM108+'D2C - Retail'!CV136</f>
        <v>10743530.13296622</v>
      </c>
      <c r="DW84" s="19">
        <f>'D2C Online'!DN108+'D2C - Retail'!CW136</f>
        <v>9756462.110191334</v>
      </c>
      <c r="DX84" s="19">
        <f>'D2C Online'!DO108+'D2C - Retail'!CX136</f>
        <v>9730470.931463033</v>
      </c>
      <c r="DY84" s="19">
        <f>'D2C Online'!DP108+'D2C - Retail'!CY136</f>
        <v>10905508.126411695</v>
      </c>
      <c r="DZ84" s="19">
        <f>'D2C Online'!DQ108+'D2C - Retail'!CZ136</f>
        <v>10348865.08151136</v>
      </c>
      <c r="EA84" s="19">
        <f>'D2C Online'!DR108+'D2C - Retail'!DA136</f>
        <v>12551290.084382791</v>
      </c>
      <c r="EB84" s="19">
        <f>'D2C Online'!DS108+'D2C - Retail'!DB136</f>
        <v>13142363.067474306</v>
      </c>
      <c r="EC84" s="19">
        <f>'D2C Online'!DT108+'D2C - Retail'!DC136</f>
        <v>11695643.463631939</v>
      </c>
      <c r="ED84" s="19">
        <f>'D2C Online'!DU108+'D2C - Retail'!DD136</f>
        <v>13152867.562734963</v>
      </c>
      <c r="EE84" s="168"/>
      <c r="EF84" s="165">
        <f t="shared" si="336"/>
        <v>14218468</v>
      </c>
      <c r="EG84" s="165">
        <f t="shared" si="337"/>
        <v>12789044.676561739</v>
      </c>
      <c r="EH84" s="165">
        <f t="shared" si="338"/>
        <v>16040929.433500001</v>
      </c>
      <c r="EI84" s="165">
        <f t="shared" si="339"/>
        <v>13310505.165289348</v>
      </c>
      <c r="EJ84" s="165">
        <f t="shared" si="340"/>
        <v>13162363.175330512</v>
      </c>
      <c r="EK84" s="165">
        <f t="shared" si="341"/>
        <v>15330519</v>
      </c>
      <c r="EL84" s="165">
        <f t="shared" si="342"/>
        <v>12173154.526186399</v>
      </c>
      <c r="EM84" s="165">
        <f t="shared" si="343"/>
        <v>15865405.480508421</v>
      </c>
      <c r="EN84" s="165">
        <f t="shared" si="344"/>
        <v>15900049.50118644</v>
      </c>
      <c r="EO84" s="165">
        <f t="shared" si="345"/>
        <v>15330519</v>
      </c>
      <c r="EP84" s="165">
        <f t="shared" si="346"/>
        <v>19221525.949999999</v>
      </c>
      <c r="EQ84" s="165">
        <f t="shared" si="347"/>
        <v>23179925.990000002</v>
      </c>
      <c r="ER84" s="165">
        <f t="shared" si="348"/>
        <v>21790837.851882368</v>
      </c>
      <c r="ES84" s="165">
        <f t="shared" si="349"/>
        <v>21518779.710336909</v>
      </c>
      <c r="ET84" s="165">
        <f t="shared" si="350"/>
        <v>24226021.055974904</v>
      </c>
      <c r="EU84" s="165">
        <f t="shared" si="351"/>
        <v>27476705.312078618</v>
      </c>
      <c r="EV84" s="165">
        <f t="shared" si="352"/>
        <v>26826616.854591526</v>
      </c>
      <c r="EW84" s="165">
        <f t="shared" si="353"/>
        <v>26412112.679773591</v>
      </c>
      <c r="EX84" s="165">
        <f t="shared" si="354"/>
        <v>29568676.53789556</v>
      </c>
      <c r="EY84" s="165">
        <f t="shared" si="355"/>
        <v>33246148.731476925</v>
      </c>
      <c r="EZ84" s="165">
        <f t="shared" si="304"/>
        <v>30738338.083189756</v>
      </c>
      <c r="FA84" s="165">
        <f t="shared" si="305"/>
        <v>30230463.174620587</v>
      </c>
      <c r="FB84" s="165">
        <f t="shared" si="306"/>
        <v>33805663.292305842</v>
      </c>
      <c r="FC84" s="165">
        <f t="shared" si="307"/>
        <v>37990874.09384121</v>
      </c>
      <c r="FE84" s="165">
        <f t="shared" si="308"/>
        <v>56358947.275351092</v>
      </c>
      <c r="FF84" s="165">
        <f t="shared" si="309"/>
        <v>56531442.182025328</v>
      </c>
      <c r="FG84" s="165">
        <f t="shared" si="310"/>
        <v>73632020.441186428</v>
      </c>
      <c r="FH84" s="165">
        <f t="shared" si="311"/>
        <v>95012343.930272788</v>
      </c>
      <c r="FI84" s="165">
        <f t="shared" si="312"/>
        <v>116053554.80373761</v>
      </c>
      <c r="FJ84" s="165">
        <f t="shared" si="313"/>
        <v>132765338.64395739</v>
      </c>
    </row>
    <row r="85" spans="2:166" x14ac:dyDescent="0.2">
      <c r="B85" s="167" t="s">
        <v>148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f>'D2C Online'!C109</f>
        <v>0</v>
      </c>
      <c r="M85" s="19">
        <f>'D2C Online'!D109</f>
        <v>0</v>
      </c>
      <c r="N85" s="19">
        <f>'D2C Online'!E109</f>
        <v>0</v>
      </c>
      <c r="O85" s="19">
        <f>'D2C Online'!F109</f>
        <v>0</v>
      </c>
      <c r="P85" s="19">
        <f>'D2C Online'!G109</f>
        <v>0</v>
      </c>
      <c r="Q85" s="19">
        <f>'D2C Online'!H109</f>
        <v>0</v>
      </c>
      <c r="R85" s="19">
        <f>'D2C Online'!I109</f>
        <v>0</v>
      </c>
      <c r="S85" s="19">
        <f>'D2C Online'!J109</f>
        <v>0</v>
      </c>
      <c r="T85" s="19">
        <f>'D2C Online'!K109</f>
        <v>0</v>
      </c>
      <c r="U85" s="19">
        <f>'D2C Online'!L109</f>
        <v>0</v>
      </c>
      <c r="V85" s="19">
        <f>'D2C Online'!M109</f>
        <v>0</v>
      </c>
      <c r="W85" s="19">
        <f>'D2C Online'!N109</f>
        <v>0</v>
      </c>
      <c r="X85" s="19">
        <f>'D2C Online'!O109</f>
        <v>0</v>
      </c>
      <c r="Y85" s="19">
        <f>'D2C Online'!P109</f>
        <v>0</v>
      </c>
      <c r="Z85" s="19">
        <f>'D2C Online'!Q109</f>
        <v>0</v>
      </c>
      <c r="AA85" s="19">
        <f>'D2C Online'!R109</f>
        <v>0</v>
      </c>
      <c r="AB85" s="19">
        <f>'D2C Online'!S109</f>
        <v>0</v>
      </c>
      <c r="AC85" s="19">
        <f>'D2C Online'!T109+'D2C - Retail'!C137</f>
        <v>0</v>
      </c>
      <c r="AD85" s="19">
        <f>'D2C Online'!U109+'D2C - Retail'!D137</f>
        <v>0</v>
      </c>
      <c r="AE85" s="19">
        <f>'D2C Online'!V109+'D2C - Retail'!E137</f>
        <v>0</v>
      </c>
      <c r="AF85" s="19">
        <f>'D2C Online'!W109+'D2C - Retail'!F137</f>
        <v>0</v>
      </c>
      <c r="AG85" s="19">
        <f>'D2C Online'!X109+'D2C - Retail'!G137</f>
        <v>0</v>
      </c>
      <c r="AH85" s="19">
        <f>'D2C Online'!Y109+'D2C - Retail'!H137</f>
        <v>0</v>
      </c>
      <c r="AI85" s="19">
        <f>'D2C Online'!Z109+'D2C - Retail'!I137</f>
        <v>0</v>
      </c>
      <c r="AJ85" s="19">
        <f>'D2C Online'!AA109+'D2C - Retail'!J137</f>
        <v>0</v>
      </c>
      <c r="AK85" s="19">
        <f>'D2C Online'!AB109+'D2C - Retail'!K137</f>
        <v>0</v>
      </c>
      <c r="AL85" s="19">
        <f>'D2C Online'!AC109+'D2C - Retail'!L137</f>
        <v>0</v>
      </c>
      <c r="AM85" s="19">
        <f>'D2C Online'!AD109+'D2C - Retail'!M137</f>
        <v>0</v>
      </c>
      <c r="AN85" s="19">
        <f>'D2C Online'!AE109+'D2C - Retail'!N137</f>
        <v>0</v>
      </c>
      <c r="AO85" s="19">
        <f>'D2C Online'!AF109+'D2C - Retail'!O137</f>
        <v>0</v>
      </c>
      <c r="AP85" s="19">
        <f>'D2C Online'!AG109+'D2C - Retail'!P137</f>
        <v>0</v>
      </c>
      <c r="AQ85" s="19">
        <f>'D2C Online'!AH109+'D2C - Retail'!Q137</f>
        <v>0</v>
      </c>
      <c r="AR85" s="19">
        <f>'D2C Online'!AI109+'D2C - Retail'!R137</f>
        <v>0</v>
      </c>
      <c r="AS85" s="19">
        <f>'D2C Online'!AJ109+'D2C - Retail'!S137</f>
        <v>0</v>
      </c>
      <c r="AT85" s="19">
        <f>'D2C Online'!AK109+'D2C - Retail'!T137</f>
        <v>0</v>
      </c>
      <c r="AU85" s="19">
        <f>'D2C Online'!AL109+'D2C - Retail'!U137</f>
        <v>0</v>
      </c>
      <c r="AV85" s="19">
        <f>'D2C Online'!AM109+'D2C - Retail'!V137</f>
        <v>0</v>
      </c>
      <c r="AW85" s="19">
        <f>'D2C Online'!AN109+'D2C - Retail'!W137</f>
        <v>0</v>
      </c>
      <c r="AX85" s="19">
        <f>'D2C Online'!AO109+'D2C - Retail'!X137</f>
        <v>0</v>
      </c>
      <c r="AY85" s="19">
        <f>'D2C Online'!AP109+'D2C - Retail'!Y137</f>
        <v>0</v>
      </c>
      <c r="AZ85" s="19">
        <f>'D2C Online'!AQ109+'D2C - Retail'!Z137</f>
        <v>0</v>
      </c>
      <c r="BA85" s="19">
        <f>'D2C Online'!AR109+'D2C - Retail'!AA137</f>
        <v>0</v>
      </c>
      <c r="BB85" s="19">
        <f>'D2C Online'!AS109+'D2C - Retail'!AB137</f>
        <v>0</v>
      </c>
      <c r="BC85" s="19">
        <f>'D2C Online'!AT109+'D2C - Retail'!AC137</f>
        <v>0</v>
      </c>
      <c r="BD85" s="19">
        <f>'D2C Online'!AU109+'D2C - Retail'!AD137</f>
        <v>0</v>
      </c>
      <c r="BE85" s="19">
        <f>'D2C Online'!AV109+'D2C - Retail'!AE137</f>
        <v>0</v>
      </c>
      <c r="BF85" s="19">
        <f>'D2C Online'!AW109+'D2C - Retail'!AF137</f>
        <v>0</v>
      </c>
      <c r="BG85" s="19">
        <f>'D2C Online'!AX109+'D2C - Retail'!AG137</f>
        <v>0</v>
      </c>
      <c r="BH85" s="19">
        <f>'D2C Online'!AY109+'D2C - Retail'!AH137</f>
        <v>0</v>
      </c>
      <c r="BI85" s="19">
        <f>'D2C Online'!AZ109+'D2C - Retail'!AI137</f>
        <v>1946063</v>
      </c>
      <c r="BJ85" s="19">
        <f>'D2C Online'!BA109+'D2C - Retail'!AJ137</f>
        <v>9167497.6551724151</v>
      </c>
      <c r="BK85" s="19">
        <f>'D2C Online'!BB109+'D2C - Retail'!AK137</f>
        <v>9539631</v>
      </c>
      <c r="BL85" s="19">
        <f>'D2C Online'!BC109+'D2C - Retail'!AL137</f>
        <v>7547098</v>
      </c>
      <c r="BM85" s="19">
        <f>'D2C Online'!BD109+'D2C - Retail'!AM137</f>
        <v>7900727</v>
      </c>
      <c r="BN85" s="19">
        <f>'D2C Online'!BE109+'D2C - Retail'!AN137</f>
        <v>6722614</v>
      </c>
      <c r="BO85" s="19">
        <f>'D2C Online'!BF109+'D2C - Retail'!AO137</f>
        <v>6929976</v>
      </c>
      <c r="BP85" s="19">
        <f>'D2C Online'!BG109+'D2C - Retail'!AP137</f>
        <v>7280096.6634382606</v>
      </c>
      <c r="BQ85" s="19">
        <f>'D2C Online'!BH109+'D2C - Retail'!AQ137</f>
        <v>12903975.646499999</v>
      </c>
      <c r="BR85" s="19">
        <f>'D2C Online'!BI109+'D2C - Retail'!AR137</f>
        <v>8280114</v>
      </c>
      <c r="BS85" s="19">
        <f>'D2C Online'!BJ109+'D2C - Retail'!AS137</f>
        <v>4932356</v>
      </c>
      <c r="BT85" s="19">
        <f>'D2C Online'!BK109+'D2C - Retail'!AT137</f>
        <v>5451347</v>
      </c>
      <c r="BU85" s="19">
        <f>'D2C Online'!BL109+'D2C - Retail'!AU137</f>
        <v>4738914.7740000011</v>
      </c>
      <c r="BV85" s="19">
        <f>'D2C Online'!BM109+'D2C - Retail'!AV137</f>
        <v>6468526</v>
      </c>
      <c r="BW85" s="19">
        <f>'D2C Online'!BN109+'D2C - Retail'!AW137</f>
        <v>6337100</v>
      </c>
      <c r="BX85" s="19">
        <f>'D2C Online'!BO109+'D2C - Retail'!AX137</f>
        <v>8677914.0789067801</v>
      </c>
      <c r="BY85" s="19">
        <f>'D2C Online'!BP109+'D2C - Retail'!AY137</f>
        <v>11647302.74576271</v>
      </c>
      <c r="BZ85" s="19">
        <f>'D2C Online'!BQ109+'D2C - Retail'!AZ137</f>
        <v>12674060</v>
      </c>
      <c r="CA85" s="19">
        <f>'D2C Online'!BR109+'D2C - Retail'!BA137</f>
        <v>9882386</v>
      </c>
      <c r="CB85" s="19">
        <f>'D2C Online'!BS109+'D2C - Retail'!BB137</f>
        <v>8934495.2711864505</v>
      </c>
      <c r="CC85" s="19">
        <f>'D2C Online'!BT109+'D2C - Retail'!BC137</f>
        <v>11939815.520847499</v>
      </c>
      <c r="CD85" s="19">
        <f>'D2C Online'!BU109+'D2C - Retail'!BD137</f>
        <v>12580016.084745759</v>
      </c>
      <c r="CE85" s="19">
        <f>'D2C Online'!BV109+'D2C - Retail'!BE137</f>
        <v>12798453</v>
      </c>
      <c r="CF85" s="19">
        <f>'D2C Online'!BW109+'D2C - Retail'!BF137</f>
        <v>12390442</v>
      </c>
      <c r="CG85" s="19">
        <f>'D2C Online'!BX109+'D2C - Retail'!BG137</f>
        <v>10067514</v>
      </c>
      <c r="CH85" s="19">
        <f>'D2C Online'!BY109+'D2C - Retail'!BH137</f>
        <v>16270469.74576271</v>
      </c>
      <c r="CI85" s="19">
        <f>'D2C Online'!BZ109+'D2C - Retail'!BI137</f>
        <v>15699671.40677966</v>
      </c>
      <c r="CJ85" s="19">
        <f>'D2C Online'!CA109+'D2C - Retail'!BJ137</f>
        <v>15342844.357493721</v>
      </c>
      <c r="CK85" s="19">
        <f>'D2C Online'!CB109+'D2C - Retail'!BK137</f>
        <v>17577363.525423728</v>
      </c>
      <c r="CL85" s="19">
        <f>'D2C Online'!CC109+'D2C - Retail'!BL137</f>
        <v>16948041</v>
      </c>
      <c r="CM85" s="19">
        <f>'D2C Online'!CD109+'D2C - Retail'!BM137</f>
        <v>12723547</v>
      </c>
      <c r="CN85" s="19">
        <f>'D2C Online'!CE109+'D2C - Retail'!BN137</f>
        <v>13930642.22823</v>
      </c>
      <c r="CO85" s="19">
        <f>'D2C Online'!CF109+'D2C - Retail'!BO137</f>
        <v>17915499.447999999</v>
      </c>
      <c r="CP85" s="19">
        <f>'D2C Online'!CG109+'D2C - Retail'!BP137</f>
        <v>10823161.3706</v>
      </c>
      <c r="CQ85" s="19">
        <f>'D2C Online'!CH109+'D2C - Retail'!BQ137</f>
        <v>9115835.8649999984</v>
      </c>
      <c r="CR85" s="19">
        <f>'D2C Online'!CI109+'D2C - Retail'!BR137</f>
        <v>11393843.230640002</v>
      </c>
      <c r="CS85" s="19">
        <f>'D2C Online'!CJ109+'D2C - Retail'!BS137</f>
        <v>9873136.2377599999</v>
      </c>
      <c r="CT85" s="19">
        <f>'D2C Online'!CK109+'D2C - Retail'!BT137</f>
        <v>11583400.591449998</v>
      </c>
      <c r="CU85" s="19">
        <f>'D2C Online'!CL109+'D2C - Retail'!BU137</f>
        <v>10444205.308564749</v>
      </c>
      <c r="CV85" s="19">
        <f>'D2C Online'!CM109+'D2C - Retail'!BV137</f>
        <v>10449171.690254575</v>
      </c>
      <c r="CW85" s="19">
        <f>'D2C Online'!CN109+'D2C - Retail'!BW137</f>
        <v>10437296.187811887</v>
      </c>
      <c r="CX85" s="19">
        <f>'D2C Online'!CO109+'D2C - Retail'!BX137</f>
        <v>10812197.77879907</v>
      </c>
      <c r="CY85" s="19">
        <f>'D2C Online'!CP109+'D2C - Retail'!BY137</f>
        <v>10018570.962024374</v>
      </c>
      <c r="CZ85" s="19">
        <f>'D2C Online'!CQ109+'D2C - Retail'!BZ137</f>
        <v>10446576.733232431</v>
      </c>
      <c r="DA85" s="19">
        <f>'D2C Online'!CR109+'D2C - Retail'!CA137</f>
        <v>10951278.156295773</v>
      </c>
      <c r="DB85" s="19">
        <f>'D2C Online'!CS109+'D2C - Retail'!CB137</f>
        <v>10684257.2887493</v>
      </c>
      <c r="DC85" s="19">
        <f>'D2C Online'!CT109+'D2C - Retail'!CC137</f>
        <v>12989561.294379715</v>
      </c>
      <c r="DD85" s="19">
        <f>'D2C Online'!CU109+'D2C - Retail'!CD137</f>
        <v>13787659.415092701</v>
      </c>
      <c r="DE85" s="19">
        <f>'D2C Online'!CV109+'D2C - Retail'!CE137</f>
        <v>12113271.063014377</v>
      </c>
      <c r="DF85" s="19">
        <f>'D2C Online'!CW109+'D2C - Retail'!CF137</f>
        <v>13399695.166199466</v>
      </c>
      <c r="DG85" s="19">
        <f>'D2C Online'!CX109+'D2C - Retail'!CG137</f>
        <v>12497105.304088458</v>
      </c>
      <c r="DH85" s="19">
        <f>'D2C Online'!CY109+'D2C - Retail'!CH137</f>
        <v>12510223.776569879</v>
      </c>
      <c r="DI85" s="19">
        <f>'D2C Online'!CZ109+'D2C - Retail'!CI137</f>
        <v>12475429.407663781</v>
      </c>
      <c r="DJ85" s="19">
        <f>'D2C Online'!DA109+'D2C - Retail'!CJ137</f>
        <v>12926645.976011377</v>
      </c>
      <c r="DK85" s="19">
        <f>'D2C Online'!DB109+'D2C - Retail'!CK137</f>
        <v>11965600.271375915</v>
      </c>
      <c r="DL85" s="19">
        <f>'D2C Online'!DC109+'D2C - Retail'!CL137</f>
        <v>12456966.271772176</v>
      </c>
      <c r="DM85" s="19">
        <f>'D2C Online'!DD109+'D2C - Retail'!CM137</f>
        <v>13062359.060717225</v>
      </c>
      <c r="DN85" s="19">
        <f>'D2C Online'!DE109+'D2C - Retail'!CN137</f>
        <v>12717609.653065173</v>
      </c>
      <c r="DO85" s="19">
        <f>'D2C Online'!DF109+'D2C - Retail'!CO137</f>
        <v>15444497.139116663</v>
      </c>
      <c r="DP85" s="19">
        <f>'D2C Online'!DG109+'D2C - Retail'!CP137</f>
        <v>16371302.318700649</v>
      </c>
      <c r="DQ85" s="19">
        <f>'D2C Online'!DH109+'D2C - Retail'!CQ137</f>
        <v>14362811.433340281</v>
      </c>
      <c r="DR85" s="19">
        <f>'D2C Online'!DI109+'D2C - Retail'!CR137</f>
        <v>15832946.901588224</v>
      </c>
      <c r="DS85" s="19">
        <f>'D2C Online'!DJ109+'D2C - Retail'!CS137</f>
        <v>14621899.937562069</v>
      </c>
      <c r="DT85" s="19">
        <f>'D2C Online'!DK109+'D2C - Retail'!CT137</f>
        <v>14636251.804417014</v>
      </c>
      <c r="DU85" s="19">
        <f>'D2C Online'!DL109+'D2C - Retail'!CU137</f>
        <v>14593514.52272157</v>
      </c>
      <c r="DV85" s="19">
        <f>'D2C Online'!DM109+'D2C - Retail'!CV137</f>
        <v>15111272.542038161</v>
      </c>
      <c r="DW85" s="19">
        <f>'D2C Online'!DN109+'D2C - Retail'!CW137</f>
        <v>13989067.318532359</v>
      </c>
      <c r="DX85" s="19">
        <f>'D2C Online'!DO109+'D2C - Retail'!CX137</f>
        <v>14578819.178765267</v>
      </c>
      <c r="DY85" s="19">
        <f>'D2C Online'!DP109+'D2C - Retail'!CY137</f>
        <v>15255451.150555849</v>
      </c>
      <c r="DZ85" s="19">
        <f>'D2C Online'!DQ109+'D2C - Retail'!CZ137</f>
        <v>14861361.161590692</v>
      </c>
      <c r="EA85" s="19">
        <f>'D2C Online'!DR109+'D2C - Retail'!DA137</f>
        <v>18055313.919021808</v>
      </c>
      <c r="EB85" s="19">
        <f>'D2C Online'!DS109+'D2C - Retail'!DB137</f>
        <v>19147087.070150312</v>
      </c>
      <c r="EC85" s="19">
        <f>'D2C Online'!DT109+'D2C - Retail'!DC137</f>
        <v>16782292.49891812</v>
      </c>
      <c r="ED85" s="19">
        <f>'D2C Online'!DU109+'D2C - Retail'!DD137</f>
        <v>18489898.172516443</v>
      </c>
      <c r="EE85" s="168"/>
      <c r="EF85" s="165">
        <f t="shared" si="336"/>
        <v>24987456</v>
      </c>
      <c r="EG85" s="165">
        <f t="shared" si="337"/>
        <v>20932686.663438261</v>
      </c>
      <c r="EH85" s="165">
        <f t="shared" si="338"/>
        <v>26116445.646499999</v>
      </c>
      <c r="EI85" s="165">
        <f t="shared" si="339"/>
        <v>16658787.774</v>
      </c>
      <c r="EJ85" s="165">
        <f t="shared" si="340"/>
        <v>26662316.824669488</v>
      </c>
      <c r="EK85" s="165">
        <f t="shared" si="341"/>
        <v>43602230.22823</v>
      </c>
      <c r="EL85" s="165">
        <f t="shared" si="342"/>
        <v>37318284.605593257</v>
      </c>
      <c r="EM85" s="165">
        <f t="shared" si="343"/>
        <v>38728425.745762706</v>
      </c>
      <c r="EN85" s="165">
        <f t="shared" si="344"/>
        <v>48619879.289697111</v>
      </c>
      <c r="EO85" s="165">
        <f t="shared" si="345"/>
        <v>43602230.22823</v>
      </c>
      <c r="EP85" s="165">
        <f t="shared" si="346"/>
        <v>37854496.683599994</v>
      </c>
      <c r="EQ85" s="165">
        <f t="shared" si="347"/>
        <v>32850380.05985</v>
      </c>
      <c r="ER85" s="165">
        <f t="shared" si="348"/>
        <v>31330673.18663121</v>
      </c>
      <c r="ES85" s="165">
        <f t="shared" si="349"/>
        <v>31277345.474055875</v>
      </c>
      <c r="ET85" s="165">
        <f t="shared" si="350"/>
        <v>34625096.739424787</v>
      </c>
      <c r="EU85" s="165">
        <f t="shared" si="351"/>
        <v>39300625.644306548</v>
      </c>
      <c r="EV85" s="165">
        <f t="shared" si="352"/>
        <v>37482758.488322124</v>
      </c>
      <c r="EW85" s="165">
        <f t="shared" si="353"/>
        <v>37349212.519159466</v>
      </c>
      <c r="EX85" s="165">
        <f t="shared" si="354"/>
        <v>41224465.85289906</v>
      </c>
      <c r="EY85" s="165">
        <f t="shared" si="355"/>
        <v>46567060.653629154</v>
      </c>
      <c r="EZ85" s="165">
        <f t="shared" si="304"/>
        <v>43851666.264700651</v>
      </c>
      <c r="FA85" s="165">
        <f t="shared" si="305"/>
        <v>43679159.039335787</v>
      </c>
      <c r="FB85" s="165">
        <f t="shared" si="306"/>
        <v>48172126.231168345</v>
      </c>
      <c r="FC85" s="165">
        <f t="shared" si="307"/>
        <v>54419277.741584875</v>
      </c>
      <c r="FE85" s="165">
        <f t="shared" si="308"/>
        <v>88695376.083938256</v>
      </c>
      <c r="FF85" s="165">
        <f t="shared" si="309"/>
        <v>146311257.40425545</v>
      </c>
      <c r="FG85" s="165">
        <f t="shared" si="310"/>
        <v>162926986.2613771</v>
      </c>
      <c r="FH85" s="165">
        <f t="shared" si="311"/>
        <v>136533741.04441842</v>
      </c>
      <c r="FI85" s="165">
        <f t="shared" si="312"/>
        <v>162623497.5140098</v>
      </c>
      <c r="FJ85" s="165">
        <f t="shared" si="313"/>
        <v>190122229.27678964</v>
      </c>
    </row>
    <row r="86" spans="2:166" x14ac:dyDescent="0.2">
      <c r="B86" s="167" t="s">
        <v>149</v>
      </c>
      <c r="C86" s="19">
        <f>'P&amp;L - Inputs'!B713</f>
        <v>60511</v>
      </c>
      <c r="D86" s="19">
        <f>'P&amp;L - Inputs'!C713</f>
        <v>68134</v>
      </c>
      <c r="E86" s="19">
        <f>'P&amp;L - Inputs'!D713</f>
        <v>61016</v>
      </c>
      <c r="F86" s="19">
        <f>'P&amp;L - Inputs'!E713</f>
        <v>96698</v>
      </c>
      <c r="G86" s="19">
        <f>'P&amp;L - Inputs'!F713</f>
        <v>80520</v>
      </c>
      <c r="H86" s="19">
        <f>'P&amp;L - Inputs'!G713</f>
        <v>71035</v>
      </c>
      <c r="I86" s="19">
        <f>'P&amp;L - Inputs'!H713</f>
        <v>81327</v>
      </c>
      <c r="J86" s="19">
        <f>'P&amp;L - Inputs'!I713</f>
        <v>97729</v>
      </c>
      <c r="K86" s="19">
        <f>'P&amp;L - Inputs'!J713</f>
        <v>118165</v>
      </c>
      <c r="L86" s="19">
        <f>'P&amp;L - Inputs'!K713</f>
        <v>138388</v>
      </c>
      <c r="M86" s="19">
        <f>'P&amp;L - Inputs'!L713</f>
        <v>207369</v>
      </c>
      <c r="N86" s="19">
        <f>'P&amp;L - Inputs'!M713</f>
        <v>328219</v>
      </c>
      <c r="O86" s="19">
        <f>'P&amp;L - Inputs'!N713</f>
        <v>427539</v>
      </c>
      <c r="P86" s="19">
        <f>'P&amp;L - Inputs'!O713</f>
        <v>465134</v>
      </c>
      <c r="Q86" s="19">
        <f>'P&amp;L - Inputs'!P713</f>
        <v>422759</v>
      </c>
      <c r="R86" s="19">
        <f>'P&amp;L - Inputs'!Q713</f>
        <v>570019</v>
      </c>
      <c r="S86" s="19">
        <f>'P&amp;L - Inputs'!R713</f>
        <v>369752</v>
      </c>
      <c r="T86" s="19">
        <f>'P&amp;L - Inputs'!S713</f>
        <v>497457</v>
      </c>
      <c r="U86" s="19">
        <f>'P&amp;L - Inputs'!T713</f>
        <v>399192</v>
      </c>
      <c r="V86" s="19">
        <f>'P&amp;L - Inputs'!U713</f>
        <v>222864</v>
      </c>
      <c r="W86" s="19">
        <f>'P&amp;L - Inputs'!V713</f>
        <v>464376.20999999996</v>
      </c>
      <c r="X86" s="19">
        <f>'P&amp;L - Inputs'!W713</f>
        <v>595130.01</v>
      </c>
      <c r="Y86" s="19">
        <f>'P&amp;L - Inputs'!X713</f>
        <v>685719.29999999993</v>
      </c>
      <c r="Z86" s="19">
        <f>'P&amp;L - Inputs'!Y713</f>
        <v>465221.14499999996</v>
      </c>
      <c r="AA86" s="19">
        <f>'P&amp;L - Inputs'!Z713</f>
        <v>3610.5</v>
      </c>
      <c r="AB86" s="19">
        <f>'P&amp;L - Inputs'!AA713</f>
        <v>500374.12599999999</v>
      </c>
      <c r="AC86" s="19">
        <f>'P&amp;L - Inputs'!AB713</f>
        <v>409206.10814721836</v>
      </c>
      <c r="AD86" s="19">
        <f>'P&amp;L - Inputs'!AC713</f>
        <v>388937.57778920612</v>
      </c>
      <c r="AE86" s="19">
        <f>'P&amp;L - Inputs'!AD713</f>
        <v>441922.03706499486</v>
      </c>
      <c r="AF86" s="19">
        <f>'P&amp;L - Inputs'!AE713</f>
        <v>528374.72799305082</v>
      </c>
      <c r="AG86" s="19">
        <f>'P&amp;L - Inputs'!AF713</f>
        <v>595885.56480915262</v>
      </c>
      <c r="AH86" s="19">
        <f>'P&amp;L - Inputs'!AG713</f>
        <v>705215.53143900004</v>
      </c>
      <c r="AI86" s="19">
        <f>'P&amp;L - Inputs'!AH713</f>
        <v>1626886.26285866</v>
      </c>
      <c r="AJ86" s="19">
        <f>'P&amp;L - Inputs'!AI713</f>
        <v>1936780.5967244541</v>
      </c>
      <c r="AK86" s="19">
        <f>'P&amp;L - Inputs'!AJ713</f>
        <v>1530624.6838739198</v>
      </c>
      <c r="AL86" s="19">
        <f>'P&amp;L - Inputs'!AK713</f>
        <v>1460532.229231671</v>
      </c>
      <c r="AM86" s="19">
        <f>'P&amp;L - Inputs'!AL713</f>
        <v>1014663.4167422906</v>
      </c>
      <c r="AN86" s="19">
        <f>'P&amp;L - Inputs'!AM713</f>
        <v>522979.71748919412</v>
      </c>
      <c r="AO86" s="19">
        <f>'P&amp;L - Inputs'!AN713</f>
        <v>1116679.7635876276</v>
      </c>
      <c r="AP86" s="19">
        <f>'P&amp;L - Inputs'!AO713</f>
        <v>1555514.459800001</v>
      </c>
      <c r="AQ86" s="19">
        <f>'P&amp;L - Inputs'!AP713</f>
        <v>1792663.1535199999</v>
      </c>
      <c r="AR86" s="19">
        <f>'P&amp;L - Inputs'!AQ713</f>
        <v>2322033.9276800016</v>
      </c>
      <c r="AS86" s="19">
        <f>'P&amp;L - Inputs'!AR713</f>
        <v>2607389.5365800001</v>
      </c>
      <c r="AT86" s="19">
        <f>'P&amp;L - Inputs'!AS713</f>
        <v>3130380.635619998</v>
      </c>
      <c r="AU86" s="19">
        <f>'P&amp;L - Inputs'!AT713</f>
        <v>3592750.7942699902</v>
      </c>
      <c r="AV86" s="19">
        <f>'P&amp;L - Inputs'!AU713</f>
        <v>4016958.5267800265</v>
      </c>
      <c r="AW86" s="19">
        <f>'P&amp;L - Inputs'!AV713</f>
        <v>3998482.1021599555</v>
      </c>
      <c r="AX86" s="19">
        <f>'P&amp;L - Inputs'!AW713</f>
        <v>3869605.6858799402</v>
      </c>
      <c r="AY86" s="19">
        <f>'P&amp;L - Inputs'!AX713</f>
        <v>2765483.6404999518</v>
      </c>
      <c r="AZ86" s="19">
        <f>'P&amp;L - Inputs'!AY713</f>
        <v>3314277.4528000578</v>
      </c>
      <c r="BA86" s="19">
        <f>'P&amp;L - Inputs'!AZ713</f>
        <v>3834142.4394598813</v>
      </c>
      <c r="BB86" s="19">
        <f>'P&amp;L - Inputs'!BA713</f>
        <v>3617152.698839989</v>
      </c>
      <c r="BC86" s="19">
        <f>'P&amp;L - Inputs'!BB713</f>
        <v>3228930.1880400665</v>
      </c>
      <c r="BD86" s="19">
        <f>'P&amp;L - Inputs'!BC713</f>
        <v>3040914.3545465819</v>
      </c>
      <c r="BE86" s="19">
        <f>'P&amp;L - Inputs'!BD713</f>
        <v>3114311.353294204</v>
      </c>
      <c r="BF86" s="19">
        <f>'P&amp;L - Inputs'!BE713</f>
        <v>3146177.1469606627</v>
      </c>
      <c r="BG86" s="19">
        <f>'P&amp;L - Inputs'!BF713</f>
        <v>3526462.8330028201</v>
      </c>
      <c r="BH86" s="19">
        <f>'P&amp;L - Inputs'!BG713</f>
        <v>3094210.1826487202</v>
      </c>
      <c r="BI86" s="19">
        <f>'P&amp;L - Inputs'!BH713</f>
        <v>3370499.551644465</v>
      </c>
      <c r="BJ86" s="19">
        <f>'P&amp;L - Inputs'!BI713</f>
        <v>5075081.1506663188</v>
      </c>
      <c r="BK86" s="19">
        <f>'P&amp;L - Inputs'!BJ713</f>
        <v>4880459.5555942804</v>
      </c>
      <c r="BL86" s="19">
        <f>'P&amp;L - Inputs'!BK713</f>
        <v>5407216</v>
      </c>
      <c r="BM86" s="19">
        <f>'P&amp;L - Inputs'!BL713</f>
        <v>5003555</v>
      </c>
      <c r="BN86" s="19">
        <f>'P&amp;L - Inputs'!BM713</f>
        <v>4401446.5084745763</v>
      </c>
      <c r="BO86" s="19">
        <f>'P&amp;L - Inputs'!BN713</f>
        <v>4414339</v>
      </c>
      <c r="BP86" s="19">
        <f>'P&amp;L - Inputs'!BO713</f>
        <v>4833617</v>
      </c>
      <c r="BQ86" s="19">
        <f>'P&amp;L - Inputs'!BP713</f>
        <v>7807166.1181329805</v>
      </c>
      <c r="BR86" s="19">
        <f>'P&amp;L - Inputs'!BQ713</f>
        <v>6365052.3824443594</v>
      </c>
      <c r="BS86" s="19">
        <f>'P&amp;L - Inputs'!BR713</f>
        <v>7558640.6416100953</v>
      </c>
      <c r="BT86" s="19">
        <f>'P&amp;L - Inputs'!BS713</f>
        <v>9317167</v>
      </c>
      <c r="BU86" s="19">
        <f>'P&amp;L - Inputs'!BT713</f>
        <v>10282926.323791699</v>
      </c>
      <c r="BV86" s="19">
        <f>'P&amp;L - Inputs'!BU713</f>
        <v>10723923.915980741</v>
      </c>
      <c r="BW86" s="19">
        <f>'P&amp;L - Inputs'!BV713</f>
        <v>7872013.342686587</v>
      </c>
      <c r="BX86" s="19">
        <f>'P&amp;L - Inputs'!BW713</f>
        <v>6773800</v>
      </c>
      <c r="BY86" s="19">
        <f>'D2C Online'!BP110+'D2C - Retail'!AY138</f>
        <v>5859378.5788141806</v>
      </c>
      <c r="BZ86" s="19">
        <f>'D2C Online'!BQ110+'D2C - Retail'!AZ138</f>
        <v>7218576</v>
      </c>
      <c r="CA86" s="19">
        <f>'D2C Online'!BR110+'D2C - Retail'!BA138</f>
        <v>5029160</v>
      </c>
      <c r="CB86" s="19">
        <f>'D2C Online'!BS110+'D2C - Retail'!BB138</f>
        <v>5507193.7204873962</v>
      </c>
      <c r="CC86" s="19">
        <f>'D2C Online'!BT110+'D2C - Retail'!BC138</f>
        <v>6834038</v>
      </c>
      <c r="CD86" s="19">
        <f>'D2C Online'!BU110+'D2C - Retail'!BD138</f>
        <v>4771130.5578047894</v>
      </c>
      <c r="CE86" s="19">
        <f>'D2C Online'!BV110+'D2C - Retail'!BE138</f>
        <v>4764700</v>
      </c>
      <c r="CF86" s="19">
        <f>'D2C Online'!BW110+'D2C - Retail'!BF138</f>
        <v>5474163.1807626095</v>
      </c>
      <c r="CG86" s="19">
        <f>'D2C Online'!BX110+'D2C - Retail'!BG138</f>
        <v>4907090.2746713851</v>
      </c>
      <c r="CH86" s="19">
        <f>'D2C Online'!BY110+'D2C - Retail'!BH138</f>
        <v>8284550.3566312417</v>
      </c>
      <c r="CI86" s="19">
        <f>'D2C Online'!BZ110+'D2C - Retail'!BI138</f>
        <v>8427014.4747897945</v>
      </c>
      <c r="CJ86" s="19">
        <f>'D2C Online'!CA110+'D2C - Retail'!BJ138</f>
        <v>8004942.7649152549</v>
      </c>
      <c r="CK86" s="19">
        <f>'D2C Online'!CB110+'D2C - Retail'!BK138</f>
        <v>8656398.1186440699</v>
      </c>
      <c r="CL86" s="19">
        <f>'D2C Online'!CC110+'D2C - Retail'!BL138</f>
        <v>10043911</v>
      </c>
      <c r="CM86" s="19">
        <f>'D2C Online'!CD110+'D2C - Retail'!BM138</f>
        <v>7327038.0000000009</v>
      </c>
      <c r="CN86" s="19">
        <f>'D2C Online'!CE110+'D2C - Retail'!BN138</f>
        <v>10395752</v>
      </c>
      <c r="CO86" s="19">
        <f>'D2C Online'!CF110+'D2C - Retail'!BO138</f>
        <v>16120003.859999999</v>
      </c>
      <c r="CP86" s="19">
        <f>'D2C Online'!CG110+'D2C - Retail'!BP138</f>
        <v>9828786.9600000009</v>
      </c>
      <c r="CQ86" s="19">
        <f>'D2C Online'!CH110+'D2C - Retail'!BQ138</f>
        <v>11681145</v>
      </c>
      <c r="CR86" s="19">
        <f>'D2C Online'!CI110+'D2C - Retail'!BR138</f>
        <v>10222177</v>
      </c>
      <c r="CS86" s="19">
        <f>'D2C Online'!CJ110+'D2C - Retail'!BS138</f>
        <v>9420616.0969999991</v>
      </c>
      <c r="CT86" s="19">
        <f>'D2C Online'!CK110+'D2C - Retail'!BT138</f>
        <v>14978459.1675</v>
      </c>
      <c r="CU86" s="19">
        <f>'D2C Online'!CL110+'D2C - Retail'!BU138</f>
        <v>11378699.587136077</v>
      </c>
      <c r="CV86" s="19">
        <f>'D2C Online'!CM110+'D2C - Retail'!BV138</f>
        <v>11312528.651262414</v>
      </c>
      <c r="CW86" s="19">
        <f>'D2C Online'!CN110+'D2C - Retail'!BW138</f>
        <v>11296533.410489507</v>
      </c>
      <c r="CX86" s="19">
        <f>'D2C Online'!CO110+'D2C - Retail'!BX138</f>
        <v>11857401.927642349</v>
      </c>
      <c r="CY86" s="19">
        <f>'D2C Online'!CP110+'D2C - Retail'!BY138</f>
        <v>10868458.644044111</v>
      </c>
      <c r="CZ86" s="19">
        <f>'D2C Online'!CQ110+'D2C - Retail'!BZ138</f>
        <v>10967963.949804846</v>
      </c>
      <c r="DA86" s="19">
        <f>'D2C Online'!CR110+'D2C - Retail'!CA138</f>
        <v>12089846.28085833</v>
      </c>
      <c r="DB86" s="19">
        <f>'D2C Online'!CS110+'D2C - Retail'!CB138</f>
        <v>11592533.861559335</v>
      </c>
      <c r="DC86" s="19">
        <f>'D2C Online'!CT110+'D2C - Retail'!CC138</f>
        <v>14004643.536709137</v>
      </c>
      <c r="DD86" s="19">
        <f>'D2C Online'!CU110+'D2C - Retail'!CD138</f>
        <v>14715474.998282813</v>
      </c>
      <c r="DE86" s="19">
        <f>'D2C Online'!CV110+'D2C - Retail'!CE138</f>
        <v>13141835.474565893</v>
      </c>
      <c r="DF86" s="19">
        <f>'D2C Online'!CW110+'D2C - Retail'!CF138</f>
        <v>14758082.279261958</v>
      </c>
      <c r="DG86" s="19">
        <f>'D2C Online'!CX110+'D2C - Retail'!CG138</f>
        <v>13704251.218805656</v>
      </c>
      <c r="DH86" s="19">
        <f>'D2C Online'!CY110+'D2C - Retail'!CH138</f>
        <v>13638866.421532266</v>
      </c>
      <c r="DI86" s="19">
        <f>'D2C Online'!CZ110+'D2C - Retail'!CI138</f>
        <v>13582695.18131141</v>
      </c>
      <c r="DJ86" s="19">
        <f>'D2C Online'!DA110+'D2C - Retail'!CJ138</f>
        <v>14259876.699677946</v>
      </c>
      <c r="DK86" s="19">
        <f>'D2C Online'!DB110+'D2C - Retail'!CK138</f>
        <v>13050769.173147889</v>
      </c>
      <c r="DL86" s="19">
        <f>'D2C Online'!DC110+'D2C - Retail'!CL138</f>
        <v>13140605.075198635</v>
      </c>
      <c r="DM86" s="19">
        <f>'D2C Online'!DD110+'D2C - Retail'!CM138</f>
        <v>14483076.670092225</v>
      </c>
      <c r="DN86" s="19">
        <f>'D2C Online'!DE110+'D2C - Retail'!CN138</f>
        <v>13842893.400968112</v>
      </c>
      <c r="DO86" s="19">
        <f>'D2C Online'!DF110+'D2C - Retail'!CO138</f>
        <v>16693311.514633562</v>
      </c>
      <c r="DP86" s="19">
        <f>'D2C Online'!DG110+'D2C - Retail'!CP138</f>
        <v>17501991.941257432</v>
      </c>
      <c r="DQ86" s="19">
        <f>'D2C Online'!DH110+'D2C - Retail'!CQ138</f>
        <v>15592799.262471089</v>
      </c>
      <c r="DR86" s="19">
        <f>'D2C Online'!DI110+'D2C - Retail'!CR138</f>
        <v>17410923.144366048</v>
      </c>
      <c r="DS86" s="19">
        <f>'D2C Online'!DJ110+'D2C - Retail'!CS138</f>
        <v>15907771.141158508</v>
      </c>
      <c r="DT86" s="19">
        <f>'D2C Online'!DK110+'D2C - Retail'!CT138</f>
        <v>15828191.194451666</v>
      </c>
      <c r="DU86" s="19">
        <f>'D2C Online'!DL110+'D2C - Retail'!CU138</f>
        <v>15758920.590949323</v>
      </c>
      <c r="DV86" s="19">
        <f>'D2C Online'!DM110+'D2C - Retail'!CV138</f>
        <v>16531036.388047524</v>
      </c>
      <c r="DW86" s="19">
        <f>'D2C Online'!DN110+'D2C - Retail'!CW138</f>
        <v>15127858.248564906</v>
      </c>
      <c r="DX86" s="19">
        <f>'D2C Online'!DO110+'D2C - Retail'!CX138</f>
        <v>15248148.994465346</v>
      </c>
      <c r="DY86" s="19">
        <f>'D2C Online'!DP110+'D2C - Retail'!CY138</f>
        <v>16765652.526741557</v>
      </c>
      <c r="DZ86" s="19">
        <f>'D2C Online'!DQ110+'D2C - Retail'!CZ138</f>
        <v>16032975.019407894</v>
      </c>
      <c r="EA86" s="19">
        <f>'D2C Online'!DR110+'D2C - Retail'!DA138</f>
        <v>19344561.639486879</v>
      </c>
      <c r="EB86" s="19">
        <f>'D2C Online'!DS110+'D2C - Retail'!DB138</f>
        <v>20291618.737401456</v>
      </c>
      <c r="EC86" s="19">
        <f>'D2C Online'!DT110+'D2C - Retail'!DC138</f>
        <v>18055794.552384913</v>
      </c>
      <c r="ED86" s="19">
        <f>'D2C Online'!DU110+'D2C - Retail'!DD138</f>
        <v>20148715.524151936</v>
      </c>
      <c r="EE86" s="168"/>
      <c r="EF86" s="165">
        <f t="shared" si="336"/>
        <v>15291230.55559428</v>
      </c>
      <c r="EG86" s="165">
        <f t="shared" si="337"/>
        <v>13649402.508474577</v>
      </c>
      <c r="EH86" s="165">
        <f t="shared" si="338"/>
        <v>21730859.142187435</v>
      </c>
      <c r="EI86" s="165">
        <f t="shared" si="339"/>
        <v>30324017.239772439</v>
      </c>
      <c r="EJ86" s="165">
        <f t="shared" si="340"/>
        <v>20505191.921500765</v>
      </c>
      <c r="EK86" s="165">
        <f t="shared" si="341"/>
        <v>27766701</v>
      </c>
      <c r="EL86" s="165">
        <f t="shared" si="342"/>
        <v>16369868.557804789</v>
      </c>
      <c r="EM86" s="165">
        <f t="shared" si="343"/>
        <v>18665803.812065236</v>
      </c>
      <c r="EN86" s="165">
        <f t="shared" si="344"/>
        <v>25088355.358349118</v>
      </c>
      <c r="EO86" s="165">
        <f t="shared" si="345"/>
        <v>27766701</v>
      </c>
      <c r="EP86" s="165">
        <f t="shared" si="346"/>
        <v>37629935.82</v>
      </c>
      <c r="EQ86" s="165">
        <f t="shared" si="347"/>
        <v>34621252.2645</v>
      </c>
      <c r="ER86" s="165">
        <f t="shared" si="348"/>
        <v>33987761.648887999</v>
      </c>
      <c r="ES86" s="165">
        <f t="shared" si="349"/>
        <v>33693824.521491304</v>
      </c>
      <c r="ET86" s="165">
        <f t="shared" si="350"/>
        <v>37687023.679126799</v>
      </c>
      <c r="EU86" s="165">
        <f t="shared" si="351"/>
        <v>42615392.75211066</v>
      </c>
      <c r="EV86" s="165">
        <f t="shared" si="352"/>
        <v>40925812.821649328</v>
      </c>
      <c r="EW86" s="165">
        <f t="shared" si="353"/>
        <v>40451250.948024467</v>
      </c>
      <c r="EX86" s="165">
        <f t="shared" si="354"/>
        <v>45019281.585693896</v>
      </c>
      <c r="EY86" s="165">
        <f t="shared" si="355"/>
        <v>50505714.348094568</v>
      </c>
      <c r="EZ86" s="165">
        <f t="shared" si="304"/>
        <v>47494882.926559493</v>
      </c>
      <c r="FA86" s="165">
        <f t="shared" si="305"/>
        <v>46907043.631077774</v>
      </c>
      <c r="FB86" s="165">
        <f t="shared" si="306"/>
        <v>52143189.185636327</v>
      </c>
      <c r="FC86" s="165">
        <f t="shared" si="307"/>
        <v>58496128.813938305</v>
      </c>
      <c r="FE86" s="165">
        <f t="shared" si="308"/>
        <v>80995509.446028739</v>
      </c>
      <c r="FF86" s="165">
        <f t="shared" si="309"/>
        <v>83307565.291370779</v>
      </c>
      <c r="FG86" s="165">
        <f t="shared" si="310"/>
        <v>125106244.4428491</v>
      </c>
      <c r="FH86" s="165">
        <f t="shared" si="311"/>
        <v>147984002.60161677</v>
      </c>
      <c r="FI86" s="165">
        <f t="shared" si="312"/>
        <v>176902059.70346224</v>
      </c>
      <c r="FJ86" s="165">
        <f t="shared" si="313"/>
        <v>205041244.55721194</v>
      </c>
    </row>
    <row r="87" spans="2:166" x14ac:dyDescent="0.2">
      <c r="B87" s="167" t="s">
        <v>150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f>'D2C Online'!C111</f>
        <v>0</v>
      </c>
      <c r="M87" s="19">
        <f>'D2C Online'!D111</f>
        <v>0</v>
      </c>
      <c r="N87" s="19">
        <f>'D2C Online'!E111</f>
        <v>0</v>
      </c>
      <c r="O87" s="19">
        <f>'D2C Online'!F111</f>
        <v>0</v>
      </c>
      <c r="P87" s="19">
        <f>'D2C Online'!G111</f>
        <v>0</v>
      </c>
      <c r="Q87" s="19">
        <f>'D2C Online'!H111</f>
        <v>0</v>
      </c>
      <c r="R87" s="19">
        <f>'D2C Online'!I111</f>
        <v>0</v>
      </c>
      <c r="S87" s="19">
        <f>'D2C Online'!J111</f>
        <v>0</v>
      </c>
      <c r="T87" s="19">
        <f>'D2C Online'!K111</f>
        <v>0</v>
      </c>
      <c r="U87" s="19">
        <f>'D2C Online'!L111</f>
        <v>0</v>
      </c>
      <c r="V87" s="19">
        <f>'D2C Online'!M111</f>
        <v>0</v>
      </c>
      <c r="W87" s="19">
        <f>'D2C Online'!N111</f>
        <v>0</v>
      </c>
      <c r="X87" s="19">
        <f>'D2C Online'!O111</f>
        <v>0</v>
      </c>
      <c r="Y87" s="19">
        <f>'D2C Online'!P111</f>
        <v>0</v>
      </c>
      <c r="Z87" s="19">
        <f>'D2C Online'!Q111</f>
        <v>0</v>
      </c>
      <c r="AA87" s="19">
        <f>'D2C Online'!R111</f>
        <v>0</v>
      </c>
      <c r="AB87" s="19">
        <f>'D2C Online'!S111</f>
        <v>0</v>
      </c>
      <c r="AC87" s="19">
        <f>'D2C Online'!T111</f>
        <v>1037754</v>
      </c>
      <c r="AD87" s="19">
        <f>'D2C Online'!U111</f>
        <v>841194</v>
      </c>
      <c r="AE87" s="19">
        <f>'D2C Online'!V111</f>
        <v>813329.65921942831</v>
      </c>
      <c r="AF87" s="19">
        <f>'D2C Online'!W111</f>
        <v>1041064.6157817051</v>
      </c>
      <c r="AG87" s="19">
        <f>'D2C Online'!X111</f>
        <v>1899648.9775625439</v>
      </c>
      <c r="AH87" s="19">
        <f>'D2C Online'!Y111</f>
        <v>1598272.3320431258</v>
      </c>
      <c r="AI87" s="19">
        <f>'D2C Online'!Z111</f>
        <v>2473394.9342875332</v>
      </c>
      <c r="AJ87" s="19">
        <f>'D2C Online'!AA111</f>
        <v>2920746.7410079776</v>
      </c>
      <c r="AK87" s="19">
        <f>'D2C Online'!AB111</f>
        <v>1757809.5938630514</v>
      </c>
      <c r="AL87" s="19">
        <f>'D2C Online'!AC111</f>
        <v>2235465.7910963739</v>
      </c>
      <c r="AM87" s="19">
        <f>'D2C Online'!AD111</f>
        <v>1691589.6071263086</v>
      </c>
      <c r="AN87" s="19">
        <f>'D2C Online'!AE111</f>
        <v>1063993.1495076832</v>
      </c>
      <c r="AO87" s="19">
        <f>'D2C Online'!AF111</f>
        <v>1619688.3467748063</v>
      </c>
      <c r="AP87" s="19">
        <f>'D2C Online'!AG111</f>
        <v>877900</v>
      </c>
      <c r="AQ87" s="19">
        <f>'D2C Online'!AH111</f>
        <v>388689.76008068753</v>
      </c>
      <c r="AR87" s="19">
        <f>'D2C Online'!AI111</f>
        <v>492912.09431651281</v>
      </c>
      <c r="AS87" s="19">
        <f>'D2C Online'!AJ111</f>
        <v>1066845.4195904422</v>
      </c>
      <c r="AT87" s="19">
        <f>'D2C Online'!AK111</f>
        <v>2059380.0182991216</v>
      </c>
      <c r="AU87" s="19">
        <f>'D2C Online'!AL111</f>
        <v>2438025.817679028</v>
      </c>
      <c r="AV87" s="19">
        <f>'D2C Online'!AM111</f>
        <v>2285489.793643964</v>
      </c>
      <c r="AW87" s="19">
        <f>'D2C Online'!AN111</f>
        <v>1601056.6835871171</v>
      </c>
      <c r="AX87" s="19">
        <f>'D2C Online'!AO111</f>
        <v>408795.45404211478</v>
      </c>
      <c r="AY87" s="19">
        <f>'D2C Online'!AP111</f>
        <v>238728.96457417944</v>
      </c>
      <c r="AZ87" s="19">
        <f>'D2C Online'!AQ111</f>
        <v>598384.15460408933</v>
      </c>
      <c r="BA87" s="19">
        <f>'D2C Online'!AR111</f>
        <v>368897.9804208827</v>
      </c>
      <c r="BB87" s="19">
        <f>'D2C Online'!AS111</f>
        <v>667424.20244180295</v>
      </c>
      <c r="BC87" s="19">
        <f>'D2C Online'!AT111</f>
        <v>469914.74963170785</v>
      </c>
      <c r="BD87" s="19">
        <f>'D2C Online'!AU111</f>
        <v>1303059.3891214989</v>
      </c>
      <c r="BE87" s="19">
        <f>'D2C Online'!AV111</f>
        <v>1298500</v>
      </c>
      <c r="BF87" s="19">
        <f>'D2C Online'!AW111</f>
        <v>1336352.209131601</v>
      </c>
      <c r="BG87" s="19">
        <f>'D2C Online'!AX111</f>
        <v>841500</v>
      </c>
      <c r="BH87" s="19">
        <f>'D2C Online'!AY111</f>
        <v>716960</v>
      </c>
      <c r="BI87" s="19">
        <f>'D2C Online'!AZ111</f>
        <v>953850</v>
      </c>
      <c r="BJ87" s="19">
        <f>'D2C Online'!BA111</f>
        <v>1627353</v>
      </c>
      <c r="BK87" s="19">
        <f>'D2C Online'!BB111</f>
        <v>887312</v>
      </c>
      <c r="BL87" s="19">
        <f>'D2C Online'!BC111</f>
        <v>0</v>
      </c>
      <c r="BM87" s="19">
        <f>'D2C Online'!BD111</f>
        <v>0</v>
      </c>
      <c r="BN87" s="19">
        <f>'D2C Online'!BE111</f>
        <v>0</v>
      </c>
      <c r="BO87" s="19">
        <f>'D2C Online'!BF111</f>
        <v>0</v>
      </c>
      <c r="BP87" s="19">
        <f>'D2C Online'!BG111</f>
        <v>0</v>
      </c>
      <c r="BQ87" s="19">
        <f>'D2C Online'!BH111</f>
        <v>0</v>
      </c>
      <c r="BR87" s="19">
        <f>'D2C Online'!BI111</f>
        <v>0</v>
      </c>
      <c r="BS87" s="19">
        <f>'D2C Online'!BJ111</f>
        <v>0</v>
      </c>
      <c r="BT87" s="19">
        <f>'D2C Online'!BK111</f>
        <v>0</v>
      </c>
      <c r="BU87" s="19">
        <f>'D2C Online'!BL111</f>
        <v>0</v>
      </c>
      <c r="BV87" s="19">
        <f>'D2C Online'!BM111</f>
        <v>0</v>
      </c>
      <c r="BW87" s="19">
        <f>'D2C Online'!BN111</f>
        <v>0</v>
      </c>
      <c r="BX87" s="19">
        <f>'D2C Online'!BO111</f>
        <v>0</v>
      </c>
      <c r="BY87" s="19">
        <f>'D2C Online'!BP111</f>
        <v>0</v>
      </c>
      <c r="BZ87" s="19">
        <f>'D2C Online'!BQ111</f>
        <v>0</v>
      </c>
      <c r="CA87" s="19">
        <f>'D2C Online'!BR111</f>
        <v>0</v>
      </c>
      <c r="CB87" s="19">
        <f>'D2C Online'!BS111</f>
        <v>0</v>
      </c>
      <c r="CC87" s="19">
        <f>'D2C Online'!BT111</f>
        <v>0</v>
      </c>
      <c r="CD87" s="19">
        <f>'D2C Online'!BU111</f>
        <v>0</v>
      </c>
      <c r="CE87" s="19">
        <f>'D2C Online'!BV111</f>
        <v>0</v>
      </c>
      <c r="CF87" s="19">
        <f>'D2C Online'!BW111</f>
        <v>0</v>
      </c>
      <c r="CG87" s="19">
        <f>'D2C Online'!BX111</f>
        <v>0</v>
      </c>
      <c r="CH87" s="19">
        <f>'D2C Online'!BY111</f>
        <v>0</v>
      </c>
      <c r="CI87" s="19">
        <f>'D2C Online'!BZ111</f>
        <v>0</v>
      </c>
      <c r="CJ87" s="19">
        <f>'D2C Online'!CA111</f>
        <v>0</v>
      </c>
      <c r="CK87" s="19">
        <f>'D2C Online'!CB111</f>
        <v>0</v>
      </c>
      <c r="CL87" s="19">
        <f>'D2C Online'!CC111</f>
        <v>0</v>
      </c>
      <c r="CM87" s="19">
        <f>'D2C Online'!CD111</f>
        <v>0</v>
      </c>
      <c r="CN87" s="19">
        <f>'D2C Online'!CE111</f>
        <v>0</v>
      </c>
      <c r="CO87" s="19">
        <f>'D2C Online'!CF111</f>
        <v>0</v>
      </c>
      <c r="CP87" s="19">
        <f>'D2C Online'!CG111</f>
        <v>0</v>
      </c>
      <c r="CQ87" s="19">
        <f>'D2C Online'!CH111</f>
        <v>0</v>
      </c>
      <c r="CR87" s="19">
        <f>'D2C Online'!CI111</f>
        <v>0</v>
      </c>
      <c r="CS87" s="19">
        <f>'D2C Online'!CJ111</f>
        <v>0</v>
      </c>
      <c r="CT87" s="19">
        <f>'D2C Online'!CK111</f>
        <v>0</v>
      </c>
      <c r="CU87" s="19">
        <f>'D2C Online'!CL111</f>
        <v>0</v>
      </c>
      <c r="CV87" s="19">
        <f>'D2C Online'!CM111</f>
        <v>0</v>
      </c>
      <c r="CW87" s="19">
        <f>'D2C Online'!CN111</f>
        <v>0</v>
      </c>
      <c r="CX87" s="19">
        <f>'D2C Online'!CO111</f>
        <v>0</v>
      </c>
      <c r="CY87" s="19">
        <f>'D2C Online'!CP111</f>
        <v>0</v>
      </c>
      <c r="CZ87" s="19">
        <f>'D2C Online'!CQ111</f>
        <v>0</v>
      </c>
      <c r="DA87" s="19">
        <f>'D2C Online'!CR111</f>
        <v>0</v>
      </c>
      <c r="DB87" s="19">
        <f>'D2C Online'!CS111</f>
        <v>0</v>
      </c>
      <c r="DC87" s="19">
        <f>'D2C Online'!CT111</f>
        <v>0</v>
      </c>
      <c r="DD87" s="19">
        <f>'D2C Online'!CU111</f>
        <v>0</v>
      </c>
      <c r="DE87" s="19">
        <f>'D2C Online'!CV111</f>
        <v>0</v>
      </c>
      <c r="DF87" s="19">
        <f>'D2C Online'!CW111</f>
        <v>0</v>
      </c>
      <c r="DG87" s="19">
        <f>'D2C Online'!CX111</f>
        <v>0</v>
      </c>
      <c r="DH87" s="19">
        <f>'D2C Online'!CY111</f>
        <v>0</v>
      </c>
      <c r="DI87" s="19">
        <f>'D2C Online'!CZ111</f>
        <v>0</v>
      </c>
      <c r="DJ87" s="19">
        <f>'D2C Online'!DA111</f>
        <v>0</v>
      </c>
      <c r="DK87" s="19">
        <f>'D2C Online'!DB111</f>
        <v>0</v>
      </c>
      <c r="DL87" s="19">
        <f>'D2C Online'!DC111</f>
        <v>0</v>
      </c>
      <c r="DM87" s="19">
        <f>'D2C Online'!DD111</f>
        <v>0</v>
      </c>
      <c r="DN87" s="19">
        <f>'D2C Online'!DE111</f>
        <v>0</v>
      </c>
      <c r="DO87" s="19">
        <f>'D2C Online'!DF111</f>
        <v>0</v>
      </c>
      <c r="DP87" s="19">
        <f>'D2C Online'!DG111</f>
        <v>0</v>
      </c>
      <c r="DQ87" s="19">
        <f>'D2C Online'!DH111</f>
        <v>0</v>
      </c>
      <c r="DR87" s="19">
        <f>'D2C Online'!DI111</f>
        <v>0</v>
      </c>
      <c r="DS87" s="19">
        <f>'D2C Online'!DJ111</f>
        <v>0</v>
      </c>
      <c r="DT87" s="19">
        <f>'D2C Online'!DK111</f>
        <v>0</v>
      </c>
      <c r="DU87" s="19">
        <f>'D2C Online'!DL111</f>
        <v>0</v>
      </c>
      <c r="DV87" s="19">
        <f>'D2C Online'!DM111</f>
        <v>0</v>
      </c>
      <c r="DW87" s="19">
        <f>'D2C Online'!DN111</f>
        <v>0</v>
      </c>
      <c r="DX87" s="19">
        <f>'D2C Online'!DO111</f>
        <v>0</v>
      </c>
      <c r="DY87" s="19">
        <f>'D2C Online'!DP111</f>
        <v>0</v>
      </c>
      <c r="DZ87" s="19">
        <f>'D2C Online'!DQ111</f>
        <v>0</v>
      </c>
      <c r="EA87" s="19">
        <f>'D2C Online'!DR111</f>
        <v>0</v>
      </c>
      <c r="EB87" s="19">
        <f>'D2C Online'!DS111</f>
        <v>0</v>
      </c>
      <c r="EC87" s="19">
        <f>'D2C Online'!DT111</f>
        <v>0</v>
      </c>
      <c r="ED87" s="19">
        <f>'D2C Online'!DU111</f>
        <v>0</v>
      </c>
      <c r="EE87" s="168"/>
      <c r="EF87" s="165">
        <f t="shared" si="336"/>
        <v>887312</v>
      </c>
      <c r="EG87" s="165">
        <f t="shared" si="337"/>
        <v>0</v>
      </c>
      <c r="EH87" s="165">
        <f t="shared" si="338"/>
        <v>0</v>
      </c>
      <c r="EI87" s="165">
        <f t="shared" si="339"/>
        <v>0</v>
      </c>
      <c r="EJ87" s="165">
        <f t="shared" si="340"/>
        <v>0</v>
      </c>
      <c r="EK87" s="165">
        <f t="shared" si="341"/>
        <v>0</v>
      </c>
      <c r="EL87" s="165">
        <f t="shared" si="342"/>
        <v>0</v>
      </c>
      <c r="EM87" s="165">
        <f t="shared" si="343"/>
        <v>0</v>
      </c>
      <c r="EN87" s="165">
        <f t="shared" si="344"/>
        <v>0</v>
      </c>
      <c r="EO87" s="165">
        <f t="shared" si="345"/>
        <v>0</v>
      </c>
      <c r="EP87" s="165">
        <f t="shared" si="346"/>
        <v>0</v>
      </c>
      <c r="EQ87" s="165">
        <f t="shared" si="347"/>
        <v>0</v>
      </c>
      <c r="ER87" s="165">
        <f t="shared" si="348"/>
        <v>0</v>
      </c>
      <c r="ES87" s="165">
        <f t="shared" si="349"/>
        <v>0</v>
      </c>
      <c r="ET87" s="165">
        <f t="shared" si="350"/>
        <v>0</v>
      </c>
      <c r="EU87" s="165">
        <f t="shared" si="351"/>
        <v>0</v>
      </c>
      <c r="EV87" s="165">
        <f t="shared" si="352"/>
        <v>0</v>
      </c>
      <c r="EW87" s="165">
        <f t="shared" si="353"/>
        <v>0</v>
      </c>
      <c r="EX87" s="165">
        <f t="shared" si="354"/>
        <v>0</v>
      </c>
      <c r="EY87" s="165">
        <f t="shared" si="355"/>
        <v>0</v>
      </c>
      <c r="EZ87" s="165">
        <f t="shared" si="304"/>
        <v>0</v>
      </c>
      <c r="FA87" s="165">
        <f t="shared" si="305"/>
        <v>0</v>
      </c>
      <c r="FB87" s="165">
        <f t="shared" si="306"/>
        <v>0</v>
      </c>
      <c r="FC87" s="165">
        <f t="shared" si="307"/>
        <v>0</v>
      </c>
      <c r="FE87" s="165">
        <f t="shared" si="308"/>
        <v>887312</v>
      </c>
      <c r="FF87" s="165">
        <f t="shared" si="309"/>
        <v>0</v>
      </c>
      <c r="FG87" s="165">
        <f t="shared" si="310"/>
        <v>0</v>
      </c>
      <c r="FH87" s="165">
        <f t="shared" si="311"/>
        <v>0</v>
      </c>
      <c r="FI87" s="165">
        <f t="shared" si="312"/>
        <v>0</v>
      </c>
      <c r="FJ87" s="165">
        <f t="shared" si="313"/>
        <v>0</v>
      </c>
    </row>
    <row r="88" spans="2:166" x14ac:dyDescent="0.2">
      <c r="B88" s="22" t="s">
        <v>37</v>
      </c>
      <c r="C88" s="161">
        <f>C77/C36</f>
        <v>4.2973689123107006E-2</v>
      </c>
      <c r="D88" s="161">
        <f t="shared" ref="D88:BO88" si="356">D77/D36</f>
        <v>4.5686236999926404E-2</v>
      </c>
      <c r="E88" s="161">
        <f t="shared" si="356"/>
        <v>6.1431032660419729E-2</v>
      </c>
      <c r="F88" s="161">
        <f t="shared" si="356"/>
        <v>5.2712439100367832E-2</v>
      </c>
      <c r="G88" s="161">
        <f t="shared" si="356"/>
        <v>6.9731469177884919E-2</v>
      </c>
      <c r="H88" s="161">
        <f t="shared" si="356"/>
        <v>9.1229646159844122E-2</v>
      </c>
      <c r="I88" s="161">
        <f t="shared" si="356"/>
        <v>7.0704445295631801E-2</v>
      </c>
      <c r="J88" s="161">
        <f t="shared" si="356"/>
        <v>6.9510971969501761E-2</v>
      </c>
      <c r="K88" s="161">
        <f t="shared" si="356"/>
        <v>5.7805584463860644E-2</v>
      </c>
      <c r="L88" s="161">
        <f t="shared" si="356"/>
        <v>4.5921934349718439E-2</v>
      </c>
      <c r="M88" s="161">
        <f t="shared" si="356"/>
        <v>5.0797811676377487E-2</v>
      </c>
      <c r="N88" s="161">
        <f t="shared" si="356"/>
        <v>3.312925615623067E-2</v>
      </c>
      <c r="O88" s="161">
        <f t="shared" si="356"/>
        <v>2.8708215004462821E-2</v>
      </c>
      <c r="P88" s="161">
        <f t="shared" si="356"/>
        <v>3.8639500629024014E-2</v>
      </c>
      <c r="Q88" s="161">
        <f t="shared" si="356"/>
        <v>2.8806994654328601E-2</v>
      </c>
      <c r="R88" s="161">
        <f t="shared" si="356"/>
        <v>3.0246347209735854E-2</v>
      </c>
      <c r="S88" s="161">
        <f t="shared" si="356"/>
        <v>3.6504776713525061E-2</v>
      </c>
      <c r="T88" s="161">
        <f t="shared" si="356"/>
        <v>2.5441672468010008E-2</v>
      </c>
      <c r="U88" s="161">
        <f t="shared" si="356"/>
        <v>2.3990012071012288E-2</v>
      </c>
      <c r="V88" s="161">
        <f t="shared" si="356"/>
        <v>4.6687272796411945E-2</v>
      </c>
      <c r="W88" s="161">
        <f t="shared" si="356"/>
        <v>3.4395082501810489E-2</v>
      </c>
      <c r="X88" s="161">
        <f t="shared" si="356"/>
        <v>3.4591250343608812E-2</v>
      </c>
      <c r="Y88" s="161">
        <f t="shared" si="356"/>
        <v>5.6220839653563406E-2</v>
      </c>
      <c r="Z88" s="161">
        <f t="shared" si="356"/>
        <v>4.4651427268508868E-2</v>
      </c>
      <c r="AA88" s="161">
        <f t="shared" si="356"/>
        <v>-0.13620878862068231</v>
      </c>
      <c r="AB88" s="161">
        <f t="shared" si="356"/>
        <v>3.7066551789484148E-2</v>
      </c>
      <c r="AC88" s="161">
        <f t="shared" si="356"/>
        <v>7.3473687275189672E-2</v>
      </c>
      <c r="AD88" s="161">
        <f t="shared" si="356"/>
        <v>7.8640826850501902E-2</v>
      </c>
      <c r="AE88" s="161">
        <f t="shared" si="356"/>
        <v>6.60782287260583E-2</v>
      </c>
      <c r="AF88" s="161">
        <f t="shared" si="356"/>
        <v>6.4946012193831421E-2</v>
      </c>
      <c r="AG88" s="161">
        <f t="shared" si="356"/>
        <v>7.348016357970566E-2</v>
      </c>
      <c r="AH88" s="161">
        <f t="shared" si="356"/>
        <v>5.8661264242261535E-2</v>
      </c>
      <c r="AI88" s="161">
        <f t="shared" si="356"/>
        <v>5.6992705510259346E-2</v>
      </c>
      <c r="AJ88" s="161">
        <f t="shared" si="356"/>
        <v>6.0848373195089969E-2</v>
      </c>
      <c r="AK88" s="161">
        <f t="shared" si="356"/>
        <v>5.1228425901630237E-2</v>
      </c>
      <c r="AL88" s="161">
        <f t="shared" si="356"/>
        <v>6.1942421982080373E-2</v>
      </c>
      <c r="AM88" s="161">
        <f t="shared" si="356"/>
        <v>6.7645645058746873E-2</v>
      </c>
      <c r="AN88" s="161">
        <f t="shared" si="356"/>
        <v>0.10243221833476671</v>
      </c>
      <c r="AO88" s="161">
        <f t="shared" si="356"/>
        <v>6.6022794775099938E-2</v>
      </c>
      <c r="AP88" s="161">
        <f t="shared" si="356"/>
        <v>5.8687828793699201E-2</v>
      </c>
      <c r="AQ88" s="161">
        <f t="shared" si="356"/>
        <v>5.3338454261762307E-2</v>
      </c>
      <c r="AR88" s="161">
        <f t="shared" si="356"/>
        <v>4.8310764032493257E-2</v>
      </c>
      <c r="AS88" s="161">
        <f t="shared" si="356"/>
        <v>5.6212773783679497E-2</v>
      </c>
      <c r="AT88" s="161">
        <f t="shared" si="356"/>
        <v>5.3378492997782696E-2</v>
      </c>
      <c r="AU88" s="161">
        <f t="shared" si="356"/>
        <v>5.168692231436306E-2</v>
      </c>
      <c r="AV88" s="161">
        <f t="shared" si="356"/>
        <v>4.7653824660591808E-2</v>
      </c>
      <c r="AW88" s="161">
        <f t="shared" si="356"/>
        <v>4.5362796683905943E-2</v>
      </c>
      <c r="AX88" s="161">
        <f t="shared" si="356"/>
        <v>4.358995575611347E-2</v>
      </c>
      <c r="AY88" s="161">
        <f t="shared" si="356"/>
        <v>4.8254321472322059E-2</v>
      </c>
      <c r="AZ88" s="161">
        <f t="shared" si="356"/>
        <v>4.2967037584105285E-2</v>
      </c>
      <c r="BA88" s="161">
        <f t="shared" si="356"/>
        <v>3.9985227382502035E-2</v>
      </c>
      <c r="BB88" s="161">
        <f t="shared" si="356"/>
        <v>4.4705053049429511E-2</v>
      </c>
      <c r="BC88" s="161">
        <f t="shared" si="356"/>
        <v>4.0894159780210812E-2</v>
      </c>
      <c r="BD88" s="161">
        <f t="shared" si="356"/>
        <v>4.7937784892880829E-2</v>
      </c>
      <c r="BE88" s="161">
        <f t="shared" si="356"/>
        <v>4.7204130656494779E-2</v>
      </c>
      <c r="BF88" s="161">
        <f t="shared" si="356"/>
        <v>4.5433879846150341E-2</v>
      </c>
      <c r="BG88" s="161">
        <f t="shared" si="356"/>
        <v>3.6859232943399538E-2</v>
      </c>
      <c r="BH88" s="161">
        <f t="shared" si="356"/>
        <v>3.2947302186931107E-2</v>
      </c>
      <c r="BI88" s="161">
        <f t="shared" si="356"/>
        <v>4.0343439820597113E-2</v>
      </c>
      <c r="BJ88" s="161">
        <f t="shared" si="356"/>
        <v>5.2793294757241309E-2</v>
      </c>
      <c r="BK88" s="161">
        <f t="shared" si="356"/>
        <v>5.2499169739303721E-2</v>
      </c>
      <c r="BL88" s="161">
        <f t="shared" si="356"/>
        <v>4.7308832128120294E-2</v>
      </c>
      <c r="BM88" s="161">
        <f t="shared" si="356"/>
        <v>4.8377772286679645E-2</v>
      </c>
      <c r="BN88" s="161">
        <f t="shared" si="356"/>
        <v>5.1467794749378147E-2</v>
      </c>
      <c r="BO88" s="161">
        <f t="shared" si="356"/>
        <v>5.1338722194819199E-2</v>
      </c>
      <c r="BP88" s="161">
        <f t="shared" ref="BP88:EM88" si="357">BP77/BP36</f>
        <v>5.1837656232598603E-2</v>
      </c>
      <c r="BQ88" s="161">
        <f t="shared" si="357"/>
        <v>5.5618274281394299E-2</v>
      </c>
      <c r="BR88" s="161">
        <f t="shared" si="357"/>
        <v>4.8461840537131894E-2</v>
      </c>
      <c r="BS88" s="161">
        <f t="shared" si="357"/>
        <v>5.0151800308119679E-2</v>
      </c>
      <c r="BT88" s="161">
        <f t="shared" si="357"/>
        <v>5.333681155367799E-2</v>
      </c>
      <c r="BU88" s="161">
        <f t="shared" si="357"/>
        <v>6.9464384239127611E-2</v>
      </c>
      <c r="BV88" s="161">
        <f t="shared" si="357"/>
        <v>6.0238402844096171E-2</v>
      </c>
      <c r="BW88" s="161">
        <f t="shared" si="357"/>
        <v>5.2123568065549977E-2</v>
      </c>
      <c r="BX88" s="161">
        <f t="shared" si="357"/>
        <v>5.4361043872913198E-2</v>
      </c>
      <c r="BY88" s="161">
        <f t="shared" si="357"/>
        <v>5.502037165675748E-2</v>
      </c>
      <c r="BZ88" s="161">
        <f t="shared" si="357"/>
        <v>5.8171096155361979E-2</v>
      </c>
      <c r="CA88" s="161">
        <f t="shared" si="357"/>
        <v>5.598568571574758E-2</v>
      </c>
      <c r="CB88" s="161">
        <f t="shared" si="357"/>
        <v>5.7665893856713758E-2</v>
      </c>
      <c r="CC88" s="161">
        <f t="shared" si="357"/>
        <v>5.5117958125737929E-2</v>
      </c>
      <c r="CD88" s="161">
        <f t="shared" si="357"/>
        <v>5.4885782284277887E-2</v>
      </c>
      <c r="CE88" s="161">
        <f t="shared" si="357"/>
        <v>4.7865123785739497E-2</v>
      </c>
      <c r="CF88" s="161">
        <f t="shared" si="357"/>
        <v>4.7873833780913637E-2</v>
      </c>
      <c r="CG88" s="161">
        <f t="shared" si="357"/>
        <v>4.3918896455782501E-2</v>
      </c>
      <c r="CH88" s="161">
        <f t="shared" si="357"/>
        <v>5.1511856485226236E-2</v>
      </c>
      <c r="CI88" s="161">
        <f t="shared" si="357"/>
        <v>5.4225754472280473E-2</v>
      </c>
      <c r="CJ88" s="161">
        <f t="shared" si="357"/>
        <v>5.4780415454108597E-2</v>
      </c>
      <c r="CK88" s="161">
        <f t="shared" si="357"/>
        <v>5.8513482098243065E-2</v>
      </c>
      <c r="CL88" s="161">
        <f t="shared" si="357"/>
        <v>5.7772689432857134E-2</v>
      </c>
      <c r="CM88" s="161">
        <f t="shared" si="357"/>
        <v>5.5248469592920492E-2</v>
      </c>
      <c r="CN88" s="161">
        <f t="shared" si="357"/>
        <v>5.6138961655360552E-2</v>
      </c>
      <c r="CO88" s="161">
        <f t="shared" si="357"/>
        <v>6.3784510213507062E-2</v>
      </c>
      <c r="CP88" s="161">
        <f t="shared" si="357"/>
        <v>4.9839750076438004E-2</v>
      </c>
      <c r="CQ88" s="161">
        <f t="shared" si="357"/>
        <v>4.2235962009137776E-2</v>
      </c>
      <c r="CR88" s="161">
        <f t="shared" si="357"/>
        <v>4.3211923828673351E-2</v>
      </c>
      <c r="CS88" s="161">
        <f t="shared" si="357"/>
        <v>4.2325033258801444E-2</v>
      </c>
      <c r="CT88" s="161">
        <f t="shared" si="357"/>
        <v>4.3563058282833862E-2</v>
      </c>
      <c r="CU88" s="161">
        <f t="shared" si="357"/>
        <v>4.4867697613330322E-2</v>
      </c>
      <c r="CV88" s="161">
        <f t="shared" si="357"/>
        <v>4.5176365649657872E-2</v>
      </c>
      <c r="CW88" s="161">
        <f t="shared" si="357"/>
        <v>4.521689013228853E-2</v>
      </c>
      <c r="CX88" s="161">
        <f t="shared" si="357"/>
        <v>4.4444397942805178E-2</v>
      </c>
      <c r="CY88" s="161">
        <f t="shared" si="357"/>
        <v>4.5354864812708673E-2</v>
      </c>
      <c r="CZ88" s="161">
        <f t="shared" si="357"/>
        <v>4.6780918473739379E-2</v>
      </c>
      <c r="DA88" s="161">
        <f t="shared" si="357"/>
        <v>4.4141680938466502E-2</v>
      </c>
      <c r="DB88" s="161">
        <f t="shared" si="357"/>
        <v>4.5081608645608451E-2</v>
      </c>
      <c r="DC88" s="161">
        <f t="shared" si="357"/>
        <v>4.4504804750320946E-2</v>
      </c>
      <c r="DD88" s="161">
        <f t="shared" si="357"/>
        <v>4.4745591137457859E-2</v>
      </c>
      <c r="DE88" s="161">
        <f t="shared" si="357"/>
        <v>4.4542215944796008E-2</v>
      </c>
      <c r="DF88" s="161">
        <f t="shared" si="357"/>
        <v>4.3472018153845118E-2</v>
      </c>
      <c r="DG88" s="161">
        <f t="shared" si="357"/>
        <v>4.4381590487844916E-2</v>
      </c>
      <c r="DH88" s="161">
        <f t="shared" si="357"/>
        <v>4.4660187690554472E-2</v>
      </c>
      <c r="DI88" s="161">
        <f t="shared" si="357"/>
        <v>4.4745921973508636E-2</v>
      </c>
      <c r="DJ88" s="161">
        <f t="shared" si="357"/>
        <v>4.400937028214736E-2</v>
      </c>
      <c r="DK88" s="161">
        <f t="shared" si="357"/>
        <v>4.4884023487718631E-2</v>
      </c>
      <c r="DL88" s="161">
        <f t="shared" si="357"/>
        <v>4.6323840527305121E-2</v>
      </c>
      <c r="DM88" s="161">
        <f t="shared" si="357"/>
        <v>4.3783295358834538E-2</v>
      </c>
      <c r="DN88" s="161">
        <f t="shared" si="357"/>
        <v>4.4741448385849356E-2</v>
      </c>
      <c r="DO88" s="161">
        <f t="shared" si="357"/>
        <v>4.428446968140505E-2</v>
      </c>
      <c r="DP88" s="161">
        <f t="shared" si="357"/>
        <v>4.4580253447828427E-2</v>
      </c>
      <c r="DQ88" s="161">
        <f t="shared" si="357"/>
        <v>4.4374152503260288E-2</v>
      </c>
      <c r="DR88" s="161">
        <f t="shared" si="357"/>
        <v>4.3450281809081948E-2</v>
      </c>
      <c r="DS88" s="161">
        <f t="shared" ref="DS88:ED88" si="358">DS77/DS36</f>
        <v>4.3994616798066544E-2</v>
      </c>
      <c r="DT88" s="161">
        <f t="shared" si="358"/>
        <v>4.427346784315217E-2</v>
      </c>
      <c r="DU88" s="161">
        <f t="shared" si="358"/>
        <v>4.4360812137835708E-2</v>
      </c>
      <c r="DV88" s="161">
        <f t="shared" si="358"/>
        <v>4.3660878598224671E-2</v>
      </c>
      <c r="DW88" s="161">
        <f t="shared" si="358"/>
        <v>4.4492442208312465E-2</v>
      </c>
      <c r="DX88" s="161">
        <f t="shared" si="358"/>
        <v>4.591371637805957E-2</v>
      </c>
      <c r="DY88" s="161">
        <f t="shared" si="358"/>
        <v>4.3462462116784471E-2</v>
      </c>
      <c r="DZ88" s="161">
        <f t="shared" si="358"/>
        <v>4.4391216902578752E-2</v>
      </c>
      <c r="EA88" s="161">
        <f t="shared" si="358"/>
        <v>4.4008988866946146E-2</v>
      </c>
      <c r="EB88" s="161">
        <f t="shared" si="358"/>
        <v>4.4315970910138253E-2</v>
      </c>
      <c r="EC88" s="161">
        <f t="shared" si="358"/>
        <v>4.4081507658365264E-2</v>
      </c>
      <c r="ED88" s="161">
        <f t="shared" si="358"/>
        <v>4.3210110177604691E-2</v>
      </c>
      <c r="EE88" s="168"/>
      <c r="EF88" s="161">
        <f t="shared" si="357"/>
        <v>4.9383086243444556E-2</v>
      </c>
      <c r="EG88" s="161">
        <f t="shared" si="357"/>
        <v>5.1550481164899471E-2</v>
      </c>
      <c r="EH88" s="161">
        <f t="shared" si="357"/>
        <v>5.1720788607780101E-2</v>
      </c>
      <c r="EI88" s="161">
        <f t="shared" si="357"/>
        <v>6.0491452809328008E-2</v>
      </c>
      <c r="EJ88" s="161">
        <f t="shared" si="357"/>
        <v>5.3875772020073383E-2</v>
      </c>
      <c r="EK88" s="161">
        <f t="shared" si="357"/>
        <v>5.6453489042087884E-2</v>
      </c>
      <c r="EL88" s="161">
        <f t="shared" si="357"/>
        <v>5.2394737952542875E-2</v>
      </c>
      <c r="EM88" s="161">
        <f t="shared" si="357"/>
        <v>4.8091298808188077E-2</v>
      </c>
      <c r="EN88" s="161">
        <f t="shared" ref="EN88:FJ88" si="359">EN77/EN36</f>
        <v>5.5838768259392504E-2</v>
      </c>
      <c r="EO88" s="161">
        <f t="shared" si="359"/>
        <v>5.6453489042087884E-2</v>
      </c>
      <c r="EP88" s="161">
        <f t="shared" si="359"/>
        <v>5.15508068727469E-2</v>
      </c>
      <c r="EQ88" s="161">
        <f t="shared" si="359"/>
        <v>4.3068314543491172E-2</v>
      </c>
      <c r="ER88" s="161">
        <f t="shared" si="359"/>
        <v>4.5086127201782081E-2</v>
      </c>
      <c r="ES88" s="161">
        <f t="shared" si="359"/>
        <v>4.5485782681322889E-2</v>
      </c>
      <c r="ET88" s="161">
        <f t="shared" si="359"/>
        <v>4.4563833595980241E-2</v>
      </c>
      <c r="EU88" s="161">
        <f t="shared" si="359"/>
        <v>4.4237530345726576E-2</v>
      </c>
      <c r="EV88" s="161">
        <f t="shared" si="359"/>
        <v>4.4594982660808975E-2</v>
      </c>
      <c r="EW88" s="161">
        <f t="shared" si="359"/>
        <v>4.5030628570085704E-2</v>
      </c>
      <c r="EX88" s="161">
        <f t="shared" si="359"/>
        <v>4.4261724563396755E-2</v>
      </c>
      <c r="EY88" s="161">
        <f t="shared" si="359"/>
        <v>4.4123659044828435E-2</v>
      </c>
      <c r="EZ88" s="161">
        <f t="shared" si="359"/>
        <v>4.4208676027987184E-2</v>
      </c>
      <c r="FA88" s="161">
        <f t="shared" si="359"/>
        <v>4.4648970753006681E-2</v>
      </c>
      <c r="FB88" s="161">
        <f t="shared" si="359"/>
        <v>4.3948796177678842E-2</v>
      </c>
      <c r="FC88" s="161">
        <f t="shared" si="359"/>
        <v>4.3859390868628091E-2</v>
      </c>
      <c r="FE88" s="161">
        <f t="shared" si="359"/>
        <v>5.3113991908977996E-2</v>
      </c>
      <c r="FF88" s="161">
        <f t="shared" si="359"/>
        <v>5.268356850886069E-2</v>
      </c>
      <c r="FG88" s="161">
        <f t="shared" si="359"/>
        <v>5.0923008364235391E-2</v>
      </c>
      <c r="FH88" s="161">
        <f t="shared" si="359"/>
        <v>4.4797450339047216E-2</v>
      </c>
      <c r="FI88" s="161">
        <f t="shared" si="359"/>
        <v>4.4473929954967205E-2</v>
      </c>
      <c r="FJ88" s="161">
        <f t="shared" si="359"/>
        <v>4.4142599180284028E-2</v>
      </c>
    </row>
    <row r="89" spans="2:166" x14ac:dyDescent="0.2">
      <c r="B89" s="2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68"/>
      <c r="EF89" s="165"/>
      <c r="EG89" s="165"/>
      <c r="EH89" s="165"/>
      <c r="EI89" s="165"/>
      <c r="EJ89" s="165"/>
      <c r="EK89" s="165"/>
      <c r="EL89" s="165"/>
      <c r="EM89" s="165"/>
      <c r="EN89" s="165"/>
      <c r="EO89" s="165"/>
      <c r="EP89" s="165"/>
      <c r="EQ89" s="165"/>
      <c r="ER89" s="165"/>
      <c r="ES89" s="165"/>
      <c r="ET89" s="165"/>
      <c r="EU89" s="165"/>
      <c r="EV89" s="165"/>
      <c r="EW89" s="165"/>
      <c r="EX89" s="165"/>
      <c r="EY89" s="165"/>
      <c r="EZ89" s="165">
        <f t="shared" si="304"/>
        <v>0</v>
      </c>
      <c r="FA89" s="165">
        <f t="shared" si="305"/>
        <v>0</v>
      </c>
      <c r="FB89" s="165">
        <f t="shared" si="306"/>
        <v>0</v>
      </c>
      <c r="FC89" s="165">
        <f t="shared" si="307"/>
        <v>0</v>
      </c>
      <c r="FE89" s="165"/>
      <c r="FF89" s="165"/>
      <c r="FG89" s="165"/>
      <c r="FH89" s="165"/>
      <c r="FI89" s="165"/>
      <c r="FJ89" s="165"/>
    </row>
    <row r="90" spans="2:166" s="30" customFormat="1" x14ac:dyDescent="0.2">
      <c r="B90" s="23" t="s">
        <v>38</v>
      </c>
      <c r="C90" s="23">
        <f>C71-C77</f>
        <v>447164.96428571455</v>
      </c>
      <c r="D90" s="23">
        <f t="shared" ref="D90:BO90" si="360">D71-D77</f>
        <v>356482.30673125014</v>
      </c>
      <c r="E90" s="23">
        <f t="shared" si="360"/>
        <v>31247.338357029483</v>
      </c>
      <c r="F90" s="23">
        <f t="shared" si="360"/>
        <v>-279707.80235957168</v>
      </c>
      <c r="G90" s="23">
        <f t="shared" si="360"/>
        <v>-332734.2301026918</v>
      </c>
      <c r="H90" s="23">
        <f t="shared" si="360"/>
        <v>-174306.43306887243</v>
      </c>
      <c r="I90" s="23">
        <f t="shared" si="360"/>
        <v>614297.66955714487</v>
      </c>
      <c r="J90" s="23">
        <f t="shared" si="360"/>
        <v>1648655.4403571431</v>
      </c>
      <c r="K90" s="23">
        <f t="shared" si="360"/>
        <v>1421666.7085714284</v>
      </c>
      <c r="L90" s="23">
        <f t="shared" si="360"/>
        <v>1512601.5291597713</v>
      </c>
      <c r="M90" s="23">
        <f t="shared" si="360"/>
        <v>1955102.9109165817</v>
      </c>
      <c r="N90" s="23">
        <f t="shared" si="360"/>
        <v>5726224.9366502762</v>
      </c>
      <c r="O90" s="23">
        <f t="shared" si="360"/>
        <v>5057454.6611951515</v>
      </c>
      <c r="P90" s="23">
        <f t="shared" si="360"/>
        <v>3794974.0286009461</v>
      </c>
      <c r="Q90" s="23">
        <f t="shared" si="360"/>
        <v>1533448.0945461616</v>
      </c>
      <c r="R90" s="23">
        <f t="shared" si="360"/>
        <v>5882005.1192835122</v>
      </c>
      <c r="S90" s="23">
        <f t="shared" si="360"/>
        <v>3921348.7470556572</v>
      </c>
      <c r="T90" s="23">
        <f t="shared" si="360"/>
        <v>2876947.1443398595</v>
      </c>
      <c r="U90" s="23">
        <f t="shared" si="360"/>
        <v>5629984.4277628027</v>
      </c>
      <c r="V90" s="23">
        <f t="shared" si="360"/>
        <v>-1379359.6303838918</v>
      </c>
      <c r="W90" s="23">
        <f t="shared" si="360"/>
        <v>982325.6671034405</v>
      </c>
      <c r="X90" s="23">
        <f t="shared" si="360"/>
        <v>805755.63339315564</v>
      </c>
      <c r="Y90" s="23">
        <f t="shared" si="360"/>
        <v>-2746324.8800655557</v>
      </c>
      <c r="Z90" s="23">
        <f t="shared" si="360"/>
        <v>-527369.92475345777</v>
      </c>
      <c r="AA90" s="23">
        <f t="shared" si="360"/>
        <v>-5838676.5599822551</v>
      </c>
      <c r="AB90" s="23">
        <f t="shared" si="360"/>
        <v>1304596.9428358003</v>
      </c>
      <c r="AC90" s="23">
        <f t="shared" si="360"/>
        <v>2464395.7065701974</v>
      </c>
      <c r="AD90" s="23">
        <f t="shared" si="360"/>
        <v>2961174.8846271634</v>
      </c>
      <c r="AE90" s="23">
        <f t="shared" si="360"/>
        <v>2388399.1050922251</v>
      </c>
      <c r="AF90" s="23">
        <f t="shared" si="360"/>
        <v>1328205.2065784358</v>
      </c>
      <c r="AG90" s="23">
        <f t="shared" si="360"/>
        <v>2014922.9602334811</v>
      </c>
      <c r="AH90" s="23">
        <f t="shared" si="360"/>
        <v>3499183.8655090029</v>
      </c>
      <c r="AI90" s="23">
        <f t="shared" si="360"/>
        <v>11045266.697159506</v>
      </c>
      <c r="AJ90" s="23">
        <f t="shared" si="360"/>
        <v>9912023.6849161573</v>
      </c>
      <c r="AK90" s="23">
        <f t="shared" si="360"/>
        <v>9258269.5401999708</v>
      </c>
      <c r="AL90" s="23">
        <f t="shared" si="360"/>
        <v>10059998.221409336</v>
      </c>
      <c r="AM90" s="23">
        <f t="shared" si="360"/>
        <v>3243553.2002572776</v>
      </c>
      <c r="AN90" s="23">
        <f t="shared" si="360"/>
        <v>-2245949.9302151804</v>
      </c>
      <c r="AO90" s="23">
        <f t="shared" si="360"/>
        <v>1170656.4469696279</v>
      </c>
      <c r="AP90" s="23">
        <f t="shared" si="360"/>
        <v>3541475.2695825137</v>
      </c>
      <c r="AQ90" s="23">
        <f t="shared" si="360"/>
        <v>4178438.4648006083</v>
      </c>
      <c r="AR90" s="23">
        <f t="shared" si="360"/>
        <v>5305711.1215886781</v>
      </c>
      <c r="AS90" s="23">
        <f t="shared" si="360"/>
        <v>9119771.8217838369</v>
      </c>
      <c r="AT90" s="23">
        <f t="shared" si="360"/>
        <v>20068953.050575357</v>
      </c>
      <c r="AU90" s="23">
        <f t="shared" si="360"/>
        <v>20323099.135621898</v>
      </c>
      <c r="AV90" s="23">
        <f t="shared" si="360"/>
        <v>21799907.300061077</v>
      </c>
      <c r="AW90" s="23">
        <f t="shared" si="360"/>
        <v>20551273.514335789</v>
      </c>
      <c r="AX90" s="23">
        <f t="shared" si="360"/>
        <v>17082433.670267537</v>
      </c>
      <c r="AY90" s="23">
        <f t="shared" si="360"/>
        <v>12807493.433430683</v>
      </c>
      <c r="AZ90" s="23">
        <f t="shared" si="360"/>
        <v>16787578.976025321</v>
      </c>
      <c r="BA90" s="23">
        <f t="shared" si="360"/>
        <v>21965441.45501522</v>
      </c>
      <c r="BB90" s="23">
        <f t="shared" si="360"/>
        <v>19168834.471488528</v>
      </c>
      <c r="BC90" s="23">
        <f t="shared" si="360"/>
        <v>16052999.311057813</v>
      </c>
      <c r="BD90" s="23">
        <f t="shared" si="360"/>
        <v>10600260.787896175</v>
      </c>
      <c r="BE90" s="23">
        <f t="shared" si="360"/>
        <v>19523284.923116781</v>
      </c>
      <c r="BF90" s="23">
        <f t="shared" si="360"/>
        <v>18433632.620800894</v>
      </c>
      <c r="BG90" s="23">
        <f t="shared" si="360"/>
        <v>26572832.355515711</v>
      </c>
      <c r="BH90" s="23">
        <f t="shared" si="360"/>
        <v>35267227.814622484</v>
      </c>
      <c r="BI90" s="23">
        <f t="shared" si="360"/>
        <v>36980744.920813069</v>
      </c>
      <c r="BJ90" s="23">
        <f t="shared" si="360"/>
        <v>43076351.553641938</v>
      </c>
      <c r="BK90" s="23">
        <f t="shared" si="360"/>
        <v>35510783.011705771</v>
      </c>
      <c r="BL90" s="23">
        <f t="shared" si="360"/>
        <v>43658548.437842056</v>
      </c>
      <c r="BM90" s="23">
        <f t="shared" si="360"/>
        <v>52108409.081698537</v>
      </c>
      <c r="BN90" s="23">
        <f t="shared" si="360"/>
        <v>40439624.419598684</v>
      </c>
      <c r="BO90" s="23">
        <f t="shared" si="360"/>
        <v>43945004.856420249</v>
      </c>
      <c r="BP90" s="23">
        <f t="shared" ref="BP90:DR90" si="361">BP71-BP77</f>
        <v>32099683.905213643</v>
      </c>
      <c r="BQ90" s="23">
        <f t="shared" si="361"/>
        <v>47324136.203354158</v>
      </c>
      <c r="BR90" s="23">
        <f t="shared" si="361"/>
        <v>51942704.79863748</v>
      </c>
      <c r="BS90" s="23">
        <f t="shared" si="361"/>
        <v>50362687.965307415</v>
      </c>
      <c r="BT90" s="23">
        <f t="shared" si="361"/>
        <v>52009604.391797349</v>
      </c>
      <c r="BU90" s="23">
        <f t="shared" si="361"/>
        <v>51756247.452955514</v>
      </c>
      <c r="BV90" s="23">
        <f t="shared" si="361"/>
        <v>66656052.921926402</v>
      </c>
      <c r="BW90" s="23">
        <f t="shared" si="361"/>
        <v>64244282.114721552</v>
      </c>
      <c r="BX90" s="23">
        <f t="shared" si="361"/>
        <v>70050069.006178766</v>
      </c>
      <c r="BY90" s="23">
        <f t="shared" si="361"/>
        <v>76541516.992946237</v>
      </c>
      <c r="BZ90" s="23">
        <f t="shared" si="361"/>
        <v>71503257.890448868</v>
      </c>
      <c r="CA90" s="23">
        <f t="shared" si="361"/>
        <v>63960183.679757871</v>
      </c>
      <c r="CB90" s="23">
        <f t="shared" si="361"/>
        <v>55390995.155965164</v>
      </c>
      <c r="CC90" s="23">
        <f t="shared" si="361"/>
        <v>74966414.83872813</v>
      </c>
      <c r="CD90" s="23">
        <f t="shared" si="361"/>
        <v>72636902.765535921</v>
      </c>
      <c r="CE90" s="23">
        <f t="shared" si="361"/>
        <v>85012215.008125752</v>
      </c>
      <c r="CF90" s="23">
        <f t="shared" si="361"/>
        <v>86610509.887996078</v>
      </c>
      <c r="CG90" s="23">
        <f t="shared" si="361"/>
        <v>81938230.877715766</v>
      </c>
      <c r="CH90" s="23">
        <f t="shared" si="361"/>
        <v>105018123.21966299</v>
      </c>
      <c r="CI90" s="23">
        <f t="shared" si="361"/>
        <v>94366810.148964465</v>
      </c>
      <c r="CJ90" s="23">
        <f t="shared" si="361"/>
        <v>90953693.282828718</v>
      </c>
      <c r="CK90" s="23">
        <f t="shared" si="361"/>
        <v>98314228.748113945</v>
      </c>
      <c r="CL90" s="23">
        <f t="shared" si="361"/>
        <v>102897314.96425888</v>
      </c>
      <c r="CM90" s="23">
        <f t="shared" si="361"/>
        <v>99461745.887211114</v>
      </c>
      <c r="CN90" s="23">
        <f t="shared" si="361"/>
        <v>90992237.469463915</v>
      </c>
      <c r="CO90" s="23">
        <f t="shared" si="361"/>
        <v>111098912.29387201</v>
      </c>
      <c r="CP90" s="23">
        <f t="shared" si="361"/>
        <v>110080027.63019298</v>
      </c>
      <c r="CQ90" s="23">
        <f t="shared" si="361"/>
        <v>125871062.95043832</v>
      </c>
      <c r="CR90" s="23">
        <f t="shared" si="361"/>
        <v>134666143.73947281</v>
      </c>
      <c r="CS90" s="23">
        <f t="shared" si="361"/>
        <v>115931630.87075405</v>
      </c>
      <c r="CT90" s="23">
        <f t="shared" si="361"/>
        <v>122122892.88692786</v>
      </c>
      <c r="CU90" s="23">
        <f t="shared" si="361"/>
        <v>133893300.591611</v>
      </c>
      <c r="CV90" s="23">
        <f t="shared" si="361"/>
        <v>132019081.6280573</v>
      </c>
      <c r="CW90" s="23">
        <f t="shared" si="361"/>
        <v>131643786.41274914</v>
      </c>
      <c r="CX90" s="23">
        <f t="shared" si="361"/>
        <v>140801306.81163839</v>
      </c>
      <c r="CY90" s="23">
        <f t="shared" si="361"/>
        <v>126256188.13633114</v>
      </c>
      <c r="CZ90" s="23">
        <f t="shared" si="361"/>
        <v>122595513.27341786</v>
      </c>
      <c r="DA90" s="23">
        <f t="shared" si="361"/>
        <v>144477725.14820173</v>
      </c>
      <c r="DB90" s="23">
        <f t="shared" si="361"/>
        <v>135225540.8933346</v>
      </c>
      <c r="DC90" s="23">
        <f t="shared" si="361"/>
        <v>165059117.87867856</v>
      </c>
      <c r="DD90" s="23">
        <f t="shared" si="361"/>
        <v>172105624.63565454</v>
      </c>
      <c r="DE90" s="23">
        <f t="shared" si="361"/>
        <v>154876280.07593799</v>
      </c>
      <c r="DF90" s="23">
        <f t="shared" si="361"/>
        <v>178416902.46009016</v>
      </c>
      <c r="DG90" s="23">
        <f t="shared" si="361"/>
        <v>161831126.12276971</v>
      </c>
      <c r="DH90" s="23">
        <f t="shared" si="361"/>
        <v>159826458.85212296</v>
      </c>
      <c r="DI90" s="23">
        <f t="shared" si="361"/>
        <v>158783679.42067552</v>
      </c>
      <c r="DJ90" s="23">
        <f t="shared" si="361"/>
        <v>169791739.7278077</v>
      </c>
      <c r="DK90" s="23">
        <f t="shared" si="361"/>
        <v>152066047.00197518</v>
      </c>
      <c r="DL90" s="23">
        <f t="shared" si="361"/>
        <v>147233316.36668247</v>
      </c>
      <c r="DM90" s="23">
        <f t="shared" si="361"/>
        <v>173292300.57512432</v>
      </c>
      <c r="DN90" s="23">
        <f t="shared" si="361"/>
        <v>161556949.3099412</v>
      </c>
      <c r="DO90" s="23">
        <f t="shared" si="361"/>
        <v>196443672.84191972</v>
      </c>
      <c r="DP90" s="23">
        <f t="shared" si="361"/>
        <v>204133355.01581314</v>
      </c>
      <c r="DQ90" s="23">
        <f t="shared" si="361"/>
        <v>183240476.24009073</v>
      </c>
      <c r="DR90" s="23">
        <f t="shared" si="361"/>
        <v>209304064.28834385</v>
      </c>
      <c r="DS90" s="23">
        <f t="shared" ref="DS90:ED90" si="362">DS71-DS77</f>
        <v>184604103.81480667</v>
      </c>
      <c r="DT90" s="23">
        <f t="shared" si="362"/>
        <v>182258909.97097832</v>
      </c>
      <c r="DU90" s="23">
        <f t="shared" si="362"/>
        <v>181011582.91627228</v>
      </c>
      <c r="DV90" s="23">
        <f t="shared" si="362"/>
        <v>193318622.09191167</v>
      </c>
      <c r="DW90" s="23">
        <f t="shared" si="362"/>
        <v>173196168.15900621</v>
      </c>
      <c r="DX90" s="23">
        <f t="shared" si="362"/>
        <v>167876002.79984069</v>
      </c>
      <c r="DY90" s="23">
        <f t="shared" si="362"/>
        <v>196930709.37691838</v>
      </c>
      <c r="DZ90" s="23">
        <f t="shared" si="362"/>
        <v>183736002.67118421</v>
      </c>
      <c r="EA90" s="23">
        <f t="shared" si="362"/>
        <v>223297972.69348502</v>
      </c>
      <c r="EB90" s="23">
        <f t="shared" si="362"/>
        <v>232100662.12478077</v>
      </c>
      <c r="EC90" s="23">
        <f t="shared" si="362"/>
        <v>208177177.43212524</v>
      </c>
      <c r="ED90" s="23">
        <f t="shared" si="362"/>
        <v>237491199.10898694</v>
      </c>
      <c r="EE90" s="333"/>
      <c r="EF90" s="224">
        <f>SUM(BK90:BM90)</f>
        <v>131277740.53124636</v>
      </c>
      <c r="EG90" s="224">
        <f>SUM(BN90:BP90)</f>
        <v>116484313.18123257</v>
      </c>
      <c r="EH90" s="224">
        <f>SUM(BQ90:BS90)</f>
        <v>149629528.96729904</v>
      </c>
      <c r="EI90" s="224">
        <f>SUM(BT90:BV90)</f>
        <v>170421904.76667926</v>
      </c>
      <c r="EJ90" s="224">
        <f>SUM(BW90:BY90)</f>
        <v>210835868.11384657</v>
      </c>
      <c r="EK90" s="224">
        <f>SUM(CL90:CN90)</f>
        <v>293351298.32093394</v>
      </c>
      <c r="EL90" s="224">
        <f>SUM(CC90:CE90)</f>
        <v>232615532.6123898</v>
      </c>
      <c r="EM90" s="224">
        <f>SUM(CF90:CH90)</f>
        <v>273566863.98537481</v>
      </c>
      <c r="EN90" s="224">
        <f>SUM(CI90:CK90)</f>
        <v>283634732.17990714</v>
      </c>
      <c r="EO90" s="224">
        <f>SUM(CL90:CN90)</f>
        <v>293351298.32093394</v>
      </c>
      <c r="EP90" s="224">
        <f>SUM(CO90:CQ90)</f>
        <v>347050002.87450331</v>
      </c>
      <c r="EQ90" s="224">
        <f>SUM(CR90:CT90)</f>
        <v>372720667.49715471</v>
      </c>
      <c r="ER90" s="224">
        <f>SUM(CU90:CW90)</f>
        <v>397556168.63241744</v>
      </c>
      <c r="ES90" s="224">
        <f>SUM(CX90:CZ90)</f>
        <v>389653008.22138739</v>
      </c>
      <c r="ET90" s="224">
        <f>SUM(DA90:DC90)</f>
        <v>444762383.92021489</v>
      </c>
      <c r="EU90" s="224">
        <f>SUM(DD90:DF90)</f>
        <v>505398807.17168272</v>
      </c>
      <c r="EV90" s="224">
        <f>SUM(DG90:DI90)</f>
        <v>480441264.39556819</v>
      </c>
      <c r="EW90" s="224">
        <f>SUM(DJ90:DL90)</f>
        <v>469091103.09646535</v>
      </c>
      <c r="EX90" s="224">
        <f>SUM(DM90:DO90)</f>
        <v>531292922.72698528</v>
      </c>
      <c r="EY90" s="224">
        <f>SUM(DP90:DR90)</f>
        <v>596677895.54424763</v>
      </c>
      <c r="EZ90" s="224">
        <f t="shared" si="304"/>
        <v>547874596.70205724</v>
      </c>
      <c r="FA90" s="224">
        <f t="shared" si="305"/>
        <v>534390793.0507586</v>
      </c>
      <c r="FB90" s="224">
        <f t="shared" si="306"/>
        <v>603964684.74158764</v>
      </c>
      <c r="FC90" s="224">
        <f t="shared" si="307"/>
        <v>677769038.66589296</v>
      </c>
      <c r="FE90" s="224">
        <f t="shared" si="308"/>
        <v>567813487.44645727</v>
      </c>
      <c r="FF90" s="224">
        <f t="shared" si="309"/>
        <v>1010369563.0325451</v>
      </c>
      <c r="FG90" s="224">
        <f t="shared" si="310"/>
        <v>1296756700.8724992</v>
      </c>
      <c r="FH90" s="224">
        <f t="shared" si="311"/>
        <v>1737370367.9457026</v>
      </c>
      <c r="FI90" s="224">
        <f t="shared" si="312"/>
        <v>2077503185.7632663</v>
      </c>
      <c r="FJ90" s="224">
        <f t="shared" si="313"/>
        <v>2363999113.1602964</v>
      </c>
    </row>
    <row r="91" spans="2:166" x14ac:dyDescent="0.2">
      <c r="B91" s="155" t="s">
        <v>227</v>
      </c>
      <c r="C91" s="165">
        <f>C72-C78</f>
        <v>447164.96428571455</v>
      </c>
      <c r="D91" s="165">
        <f t="shared" ref="D91:BO92" si="363">D72-D78</f>
        <v>356482.30673125014</v>
      </c>
      <c r="E91" s="165">
        <f t="shared" si="363"/>
        <v>31247.338357029483</v>
      </c>
      <c r="F91" s="165">
        <f t="shared" si="363"/>
        <v>-279707.80235957168</v>
      </c>
      <c r="G91" s="165">
        <f t="shared" si="363"/>
        <v>-332734.2301026918</v>
      </c>
      <c r="H91" s="165">
        <f t="shared" si="363"/>
        <v>-174306.43306887243</v>
      </c>
      <c r="I91" s="165">
        <f t="shared" si="363"/>
        <v>614297.66955714487</v>
      </c>
      <c r="J91" s="165">
        <f t="shared" si="363"/>
        <v>1648655.4403571431</v>
      </c>
      <c r="K91" s="165">
        <f t="shared" si="363"/>
        <v>1421666.7085714284</v>
      </c>
      <c r="L91" s="165">
        <f t="shared" si="363"/>
        <v>1358896.0223425233</v>
      </c>
      <c r="M91" s="165">
        <f t="shared" si="363"/>
        <v>939790.46909840056</v>
      </c>
      <c r="N91" s="165">
        <f t="shared" si="363"/>
        <v>336107.76362746186</v>
      </c>
      <c r="O91" s="165">
        <f t="shared" si="363"/>
        <v>51273.879901660956</v>
      </c>
      <c r="P91" s="165">
        <f t="shared" si="363"/>
        <v>-759220.7064047805</v>
      </c>
      <c r="Q91" s="165">
        <f t="shared" si="363"/>
        <v>-1395785.2984091861</v>
      </c>
      <c r="R91" s="165">
        <f t="shared" si="363"/>
        <v>-469381.13969854533</v>
      </c>
      <c r="S91" s="165">
        <f t="shared" si="363"/>
        <v>-936407.30734137166</v>
      </c>
      <c r="T91" s="165">
        <f t="shared" si="363"/>
        <v>-886428.65224888665</v>
      </c>
      <c r="U91" s="165">
        <f t="shared" si="363"/>
        <v>-1257720.6938555907</v>
      </c>
      <c r="V91" s="165">
        <f t="shared" si="363"/>
        <v>-2640553.7844818686</v>
      </c>
      <c r="W91" s="165">
        <f t="shared" si="363"/>
        <v>-2358693.9533145493</v>
      </c>
      <c r="X91" s="165">
        <f t="shared" si="363"/>
        <v>-934012.53103398811</v>
      </c>
      <c r="Y91" s="165">
        <f t="shared" si="363"/>
        <v>-2169833.0467157047</v>
      </c>
      <c r="Z91" s="165">
        <f t="shared" si="363"/>
        <v>-1460807.1744018046</v>
      </c>
      <c r="AA91" s="165">
        <f t="shared" si="363"/>
        <v>-4874131.3523551356</v>
      </c>
      <c r="AB91" s="165">
        <f t="shared" si="363"/>
        <v>-1214656.2265315354</v>
      </c>
      <c r="AC91" s="165">
        <f t="shared" si="363"/>
        <v>-520832.90833964024</v>
      </c>
      <c r="AD91" s="165">
        <f t="shared" si="363"/>
        <v>-566997.70855655521</v>
      </c>
      <c r="AE91" s="165">
        <f t="shared" si="363"/>
        <v>-407910.35092306661</v>
      </c>
      <c r="AF91" s="165">
        <f t="shared" si="363"/>
        <v>-1569499.1720662271</v>
      </c>
      <c r="AG91" s="165">
        <f t="shared" si="363"/>
        <v>-1089860.2326202388</v>
      </c>
      <c r="AH91" s="165">
        <f t="shared" si="363"/>
        <v>579943.45187446976</v>
      </c>
      <c r="AI91" s="165">
        <f t="shared" si="363"/>
        <v>3912814.895926638</v>
      </c>
      <c r="AJ91" s="165">
        <f t="shared" si="363"/>
        <v>1031017.2257611239</v>
      </c>
      <c r="AK91" s="165">
        <f t="shared" si="363"/>
        <v>591943.97906116722</v>
      </c>
      <c r="AL91" s="165">
        <f t="shared" si="363"/>
        <v>-1477.7540693138726</v>
      </c>
      <c r="AM91" s="165">
        <f t="shared" si="363"/>
        <v>-1418953.9465989275</v>
      </c>
      <c r="AN91" s="165">
        <f t="shared" si="363"/>
        <v>-1910075.6594707819</v>
      </c>
      <c r="AO91" s="165">
        <f t="shared" si="363"/>
        <v>-1554202.7344194169</v>
      </c>
      <c r="AP91" s="165">
        <f t="shared" si="363"/>
        <v>-2207864.7764990223</v>
      </c>
      <c r="AQ91" s="165">
        <f t="shared" si="363"/>
        <v>-2302157.5124831274</v>
      </c>
      <c r="AR91" s="165">
        <f t="shared" si="363"/>
        <v>-2198633.5305146435</v>
      </c>
      <c r="AS91" s="165">
        <f t="shared" si="363"/>
        <v>-407770.88597305259</v>
      </c>
      <c r="AT91" s="165">
        <f t="shared" si="363"/>
        <v>1635417.4813065575</v>
      </c>
      <c r="AU91" s="165">
        <f t="shared" si="363"/>
        <v>206240.45234187692</v>
      </c>
      <c r="AV91" s="165">
        <f t="shared" si="363"/>
        <v>2462178.997361063</v>
      </c>
      <c r="AW91" s="165">
        <f t="shared" si="363"/>
        <v>-1308606.6736726966</v>
      </c>
      <c r="AX91" s="165">
        <f t="shared" si="363"/>
        <v>-2635410.3388925772</v>
      </c>
      <c r="AY91" s="165">
        <f t="shared" si="363"/>
        <v>-4898122.6738519426</v>
      </c>
      <c r="AZ91" s="165">
        <f t="shared" si="363"/>
        <v>-1915307.178083152</v>
      </c>
      <c r="BA91" s="165">
        <f t="shared" si="363"/>
        <v>-406782.22373051476</v>
      </c>
      <c r="BB91" s="165">
        <f t="shared" si="363"/>
        <v>-3579668.6984489853</v>
      </c>
      <c r="BC91" s="165">
        <f t="shared" si="363"/>
        <v>-4144299.9732230837</v>
      </c>
      <c r="BD91" s="165">
        <f t="shared" si="363"/>
        <v>-4130774.8425043672</v>
      </c>
      <c r="BE91" s="165">
        <f t="shared" si="363"/>
        <v>-2188994.5457174596</v>
      </c>
      <c r="BF91" s="165">
        <f t="shared" si="363"/>
        <v>-3847312.241630699</v>
      </c>
      <c r="BG91" s="165">
        <f t="shared" si="363"/>
        <v>-1690703.4070631373</v>
      </c>
      <c r="BH91" s="165">
        <f t="shared" si="363"/>
        <v>392387.86122624949</v>
      </c>
      <c r="BI91" s="165">
        <f t="shared" si="363"/>
        <v>-740933.23496034881</v>
      </c>
      <c r="BJ91" s="165">
        <f t="shared" si="363"/>
        <v>-567637.48847643379</v>
      </c>
      <c r="BK91" s="165">
        <f t="shared" si="363"/>
        <v>0</v>
      </c>
      <c r="BL91" s="165">
        <f t="shared" si="363"/>
        <v>0</v>
      </c>
      <c r="BM91" s="165">
        <f t="shared" si="363"/>
        <v>0</v>
      </c>
      <c r="BN91" s="165">
        <f t="shared" si="363"/>
        <v>0</v>
      </c>
      <c r="BO91" s="165">
        <f t="shared" si="363"/>
        <v>0</v>
      </c>
      <c r="BP91" s="165">
        <f t="shared" ref="BP91:DR93" si="364">BP72-BP78</f>
        <v>0</v>
      </c>
      <c r="BQ91" s="165">
        <f t="shared" si="364"/>
        <v>0</v>
      </c>
      <c r="BR91" s="165">
        <f t="shared" si="364"/>
        <v>0</v>
      </c>
      <c r="BS91" s="165">
        <f t="shared" si="364"/>
        <v>0</v>
      </c>
      <c r="BT91" s="165">
        <f t="shared" si="364"/>
        <v>0</v>
      </c>
      <c r="BU91" s="165">
        <f t="shared" si="364"/>
        <v>0</v>
      </c>
      <c r="BV91" s="165">
        <f t="shared" si="364"/>
        <v>0</v>
      </c>
      <c r="BW91" s="165">
        <f t="shared" si="364"/>
        <v>0</v>
      </c>
      <c r="BX91" s="165">
        <f t="shared" si="364"/>
        <v>0</v>
      </c>
      <c r="BY91" s="165">
        <f t="shared" si="364"/>
        <v>0</v>
      </c>
      <c r="BZ91" s="165">
        <f t="shared" si="364"/>
        <v>0</v>
      </c>
      <c r="CA91" s="165">
        <f t="shared" si="364"/>
        <v>0</v>
      </c>
      <c r="CB91" s="165">
        <f t="shared" si="364"/>
        <v>0</v>
      </c>
      <c r="CC91" s="165">
        <f t="shared" si="364"/>
        <v>0</v>
      </c>
      <c r="CD91" s="165">
        <f t="shared" si="364"/>
        <v>0</v>
      </c>
      <c r="CE91" s="165">
        <f t="shared" si="364"/>
        <v>0</v>
      </c>
      <c r="CF91" s="165">
        <f t="shared" si="364"/>
        <v>0</v>
      </c>
      <c r="CG91" s="165">
        <f t="shared" si="364"/>
        <v>0</v>
      </c>
      <c r="CH91" s="165">
        <f t="shared" si="364"/>
        <v>0</v>
      </c>
      <c r="CI91" s="165">
        <f t="shared" si="364"/>
        <v>0</v>
      </c>
      <c r="CJ91" s="165">
        <f t="shared" si="364"/>
        <v>0</v>
      </c>
      <c r="CK91" s="165">
        <f t="shared" si="364"/>
        <v>0</v>
      </c>
      <c r="CL91" s="165">
        <f t="shared" si="364"/>
        <v>0</v>
      </c>
      <c r="CM91" s="165">
        <f t="shared" si="364"/>
        <v>0</v>
      </c>
      <c r="CN91" s="165">
        <f t="shared" si="364"/>
        <v>0</v>
      </c>
      <c r="CO91" s="165">
        <f t="shared" si="364"/>
        <v>0</v>
      </c>
      <c r="CP91" s="165">
        <f t="shared" si="364"/>
        <v>0</v>
      </c>
      <c r="CQ91" s="165">
        <f t="shared" si="364"/>
        <v>0</v>
      </c>
      <c r="CR91" s="165">
        <f t="shared" si="364"/>
        <v>0</v>
      </c>
      <c r="CS91" s="165">
        <f t="shared" si="364"/>
        <v>0</v>
      </c>
      <c r="CT91" s="165">
        <f t="shared" si="364"/>
        <v>0</v>
      </c>
      <c r="CU91" s="165">
        <f t="shared" si="364"/>
        <v>0</v>
      </c>
      <c r="CV91" s="165">
        <f t="shared" si="364"/>
        <v>0</v>
      </c>
      <c r="CW91" s="165">
        <f t="shared" si="364"/>
        <v>0</v>
      </c>
      <c r="CX91" s="165">
        <f t="shared" si="364"/>
        <v>0</v>
      </c>
      <c r="CY91" s="165">
        <f t="shared" si="364"/>
        <v>0</v>
      </c>
      <c r="CZ91" s="165">
        <f t="shared" si="364"/>
        <v>0</v>
      </c>
      <c r="DA91" s="165">
        <f t="shared" si="364"/>
        <v>0</v>
      </c>
      <c r="DB91" s="165">
        <f t="shared" si="364"/>
        <v>0</v>
      </c>
      <c r="DC91" s="165">
        <f t="shared" si="364"/>
        <v>0</v>
      </c>
      <c r="DD91" s="165">
        <f t="shared" si="364"/>
        <v>0</v>
      </c>
      <c r="DE91" s="165">
        <f t="shared" si="364"/>
        <v>0</v>
      </c>
      <c r="DF91" s="165">
        <f t="shared" si="364"/>
        <v>0</v>
      </c>
      <c r="DG91" s="165">
        <f t="shared" si="364"/>
        <v>0</v>
      </c>
      <c r="DH91" s="165">
        <f t="shared" si="364"/>
        <v>0</v>
      </c>
      <c r="DI91" s="165">
        <f t="shared" si="364"/>
        <v>0</v>
      </c>
      <c r="DJ91" s="165">
        <f t="shared" si="364"/>
        <v>0</v>
      </c>
      <c r="DK91" s="165">
        <f t="shared" si="364"/>
        <v>0</v>
      </c>
      <c r="DL91" s="165">
        <f t="shared" si="364"/>
        <v>0</v>
      </c>
      <c r="DM91" s="165">
        <f t="shared" si="364"/>
        <v>0</v>
      </c>
      <c r="DN91" s="165">
        <f t="shared" si="364"/>
        <v>0</v>
      </c>
      <c r="DO91" s="165">
        <f t="shared" si="364"/>
        <v>0</v>
      </c>
      <c r="DP91" s="165">
        <f t="shared" si="364"/>
        <v>0</v>
      </c>
      <c r="DQ91" s="165">
        <f t="shared" si="364"/>
        <v>0</v>
      </c>
      <c r="DR91" s="165">
        <f t="shared" si="364"/>
        <v>0</v>
      </c>
      <c r="DS91" s="165">
        <f t="shared" ref="DS91:ED91" si="365">DS72-DS78</f>
        <v>0</v>
      </c>
      <c r="DT91" s="165">
        <f t="shared" si="365"/>
        <v>0</v>
      </c>
      <c r="DU91" s="165">
        <f t="shared" si="365"/>
        <v>0</v>
      </c>
      <c r="DV91" s="165">
        <f t="shared" si="365"/>
        <v>0</v>
      </c>
      <c r="DW91" s="165">
        <f t="shared" si="365"/>
        <v>0</v>
      </c>
      <c r="DX91" s="165">
        <f t="shared" si="365"/>
        <v>0</v>
      </c>
      <c r="DY91" s="165">
        <f t="shared" si="365"/>
        <v>0</v>
      </c>
      <c r="DZ91" s="165">
        <f t="shared" si="365"/>
        <v>0</v>
      </c>
      <c r="EA91" s="165">
        <f t="shared" si="365"/>
        <v>0</v>
      </c>
      <c r="EB91" s="165">
        <f t="shared" si="365"/>
        <v>0</v>
      </c>
      <c r="EC91" s="165">
        <f t="shared" si="365"/>
        <v>0</v>
      </c>
      <c r="ED91" s="165">
        <f t="shared" si="365"/>
        <v>0</v>
      </c>
      <c r="EE91" s="168"/>
      <c r="EF91" s="165">
        <f>SUM(BK91:BM91)</f>
        <v>0</v>
      </c>
      <c r="EG91" s="165">
        <f>SUM(BN91:BP91)</f>
        <v>0</v>
      </c>
      <c r="EH91" s="165">
        <f>SUM(BQ91:BS91)</f>
        <v>0</v>
      </c>
      <c r="EI91" s="165">
        <f>SUM(BT91:BV91)</f>
        <v>0</v>
      </c>
      <c r="EJ91" s="165">
        <f>SUM(BW91:BY91)</f>
        <v>0</v>
      </c>
      <c r="EK91" s="165">
        <f>SUM(CL91:CN91)</f>
        <v>0</v>
      </c>
      <c r="EL91" s="165">
        <f>SUM(CC91:CE91)</f>
        <v>0</v>
      </c>
      <c r="EM91" s="165">
        <f>SUM(CF91:CH91)</f>
        <v>0</v>
      </c>
      <c r="EN91" s="165">
        <f>SUM(CI91:CK91)</f>
        <v>0</v>
      </c>
      <c r="EO91" s="165">
        <f>SUM(CL91:CN91)</f>
        <v>0</v>
      </c>
      <c r="EP91" s="165">
        <f>SUM(CO91:CQ91)</f>
        <v>0</v>
      </c>
      <c r="EQ91" s="165">
        <f>SUM(CR91:CT91)</f>
        <v>0</v>
      </c>
      <c r="ER91" s="165">
        <f>SUM(CU91:CW91)</f>
        <v>0</v>
      </c>
      <c r="ES91" s="165">
        <f>SUM(CX91:CZ91)</f>
        <v>0</v>
      </c>
      <c r="ET91" s="165">
        <f>SUM(DA91:DC91)</f>
        <v>0</v>
      </c>
      <c r="EU91" s="165">
        <f>SUM(DD91:DF91)</f>
        <v>0</v>
      </c>
      <c r="EV91" s="165">
        <f>SUM(DG91:DI91)</f>
        <v>0</v>
      </c>
      <c r="EW91" s="165">
        <f>SUM(DJ91:DL91)</f>
        <v>0</v>
      </c>
      <c r="EX91" s="165">
        <f>SUM(DM91:DO91)</f>
        <v>0</v>
      </c>
      <c r="EY91" s="165">
        <f>SUM(DP91:DR91)</f>
        <v>0</v>
      </c>
      <c r="EZ91" s="165">
        <f t="shared" si="304"/>
        <v>0</v>
      </c>
      <c r="FA91" s="165">
        <f t="shared" si="305"/>
        <v>0</v>
      </c>
      <c r="FB91" s="165">
        <f t="shared" si="306"/>
        <v>0</v>
      </c>
      <c r="FC91" s="165">
        <f t="shared" si="307"/>
        <v>0</v>
      </c>
      <c r="FE91" s="165">
        <f t="shared" si="308"/>
        <v>0</v>
      </c>
      <c r="FF91" s="165">
        <f t="shared" si="309"/>
        <v>0</v>
      </c>
      <c r="FG91" s="165">
        <f t="shared" si="310"/>
        <v>0</v>
      </c>
      <c r="FH91" s="165">
        <f t="shared" si="311"/>
        <v>0</v>
      </c>
      <c r="FI91" s="165">
        <f t="shared" si="312"/>
        <v>0</v>
      </c>
      <c r="FJ91" s="165">
        <f t="shared" si="313"/>
        <v>0</v>
      </c>
    </row>
    <row r="92" spans="2:166" x14ac:dyDescent="0.2">
      <c r="B92" s="155" t="s">
        <v>228</v>
      </c>
      <c r="C92" s="165">
        <f t="shared" ref="C92:R93" si="366">C73-C79</f>
        <v>0</v>
      </c>
      <c r="D92" s="165">
        <f t="shared" si="366"/>
        <v>0</v>
      </c>
      <c r="E92" s="165">
        <f t="shared" si="366"/>
        <v>0</v>
      </c>
      <c r="F92" s="165">
        <f t="shared" si="366"/>
        <v>0</v>
      </c>
      <c r="G92" s="165">
        <f t="shared" si="366"/>
        <v>0</v>
      </c>
      <c r="H92" s="165">
        <f t="shared" si="366"/>
        <v>0</v>
      </c>
      <c r="I92" s="165">
        <f t="shared" si="366"/>
        <v>0</v>
      </c>
      <c r="J92" s="165">
        <f t="shared" si="366"/>
        <v>0</v>
      </c>
      <c r="K92" s="165">
        <f t="shared" si="366"/>
        <v>0</v>
      </c>
      <c r="L92" s="165">
        <f t="shared" si="366"/>
        <v>153705.50681724848</v>
      </c>
      <c r="M92" s="165">
        <f t="shared" si="366"/>
        <v>1015312.441818182</v>
      </c>
      <c r="N92" s="165">
        <f t="shared" si="366"/>
        <v>5390117.1730228141</v>
      </c>
      <c r="O92" s="165">
        <f t="shared" si="366"/>
        <v>5006180.7812934946</v>
      </c>
      <c r="P92" s="165">
        <f t="shared" si="366"/>
        <v>4554194.7350057308</v>
      </c>
      <c r="Q92" s="165">
        <f t="shared" si="366"/>
        <v>2929233.3929553479</v>
      </c>
      <c r="R92" s="165">
        <f t="shared" si="366"/>
        <v>6351386.2589820577</v>
      </c>
      <c r="S92" s="165">
        <f t="shared" si="363"/>
        <v>4857756.054397027</v>
      </c>
      <c r="T92" s="165">
        <f t="shared" si="363"/>
        <v>3763375.7965887389</v>
      </c>
      <c r="U92" s="165">
        <f t="shared" si="363"/>
        <v>6887705.1216183938</v>
      </c>
      <c r="V92" s="165">
        <f t="shared" si="363"/>
        <v>1261194.1540979766</v>
      </c>
      <c r="W92" s="165">
        <f t="shared" si="363"/>
        <v>3341019.6204179898</v>
      </c>
      <c r="X92" s="165">
        <f t="shared" si="363"/>
        <v>1739768.16442714</v>
      </c>
      <c r="Y92" s="165">
        <f t="shared" si="363"/>
        <v>-576491.83334985143</v>
      </c>
      <c r="Z92" s="165">
        <f t="shared" si="363"/>
        <v>933437.2496483468</v>
      </c>
      <c r="AA92" s="165">
        <f t="shared" si="363"/>
        <v>-964545.2076271195</v>
      </c>
      <c r="AB92" s="165">
        <f t="shared" si="363"/>
        <v>2519253.169367332</v>
      </c>
      <c r="AC92" s="165">
        <f t="shared" si="363"/>
        <v>2244866.4274878185</v>
      </c>
      <c r="AD92" s="165">
        <f t="shared" si="363"/>
        <v>2978033.7080577798</v>
      </c>
      <c r="AE92" s="165">
        <f t="shared" si="363"/>
        <v>2115012.4055370349</v>
      </c>
      <c r="AF92" s="165">
        <f t="shared" si="363"/>
        <v>1953383.1092115892</v>
      </c>
      <c r="AG92" s="165">
        <f t="shared" si="363"/>
        <v>2246660.0392570123</v>
      </c>
      <c r="AH92" s="165">
        <f t="shared" si="363"/>
        <v>1440418.1614875589</v>
      </c>
      <c r="AI92" s="165">
        <f t="shared" si="363"/>
        <v>2970540.6821819181</v>
      </c>
      <c r="AJ92" s="165">
        <f t="shared" si="363"/>
        <v>3608971.2518027257</v>
      </c>
      <c r="AK92" s="165">
        <f t="shared" si="363"/>
        <v>3107181.8173985914</v>
      </c>
      <c r="AL92" s="165">
        <f t="shared" si="363"/>
        <v>2828386.0932757324</v>
      </c>
      <c r="AM92" s="165">
        <f t="shared" si="363"/>
        <v>559191.79536058893</v>
      </c>
      <c r="AN92" s="165">
        <f t="shared" si="363"/>
        <v>-436707.81632871856</v>
      </c>
      <c r="AO92" s="165">
        <f t="shared" si="363"/>
        <v>-142027.92749309167</v>
      </c>
      <c r="AP92" s="165">
        <f t="shared" si="363"/>
        <v>1108412.4140742365</v>
      </c>
      <c r="AQ92" s="165">
        <f t="shared" si="363"/>
        <v>663293.32226542826</v>
      </c>
      <c r="AR92" s="165">
        <f t="shared" si="363"/>
        <v>1318905.0425726755</v>
      </c>
      <c r="AS92" s="165">
        <f t="shared" si="363"/>
        <v>1953216.1969271251</v>
      </c>
      <c r="AT92" s="165">
        <f t="shared" si="363"/>
        <v>4241649.1819195002</v>
      </c>
      <c r="AU92" s="165">
        <f t="shared" si="363"/>
        <v>4629919.5825003963</v>
      </c>
      <c r="AV92" s="165">
        <f t="shared" si="363"/>
        <v>5889465.76433108</v>
      </c>
      <c r="AW92" s="165">
        <f t="shared" si="363"/>
        <v>6032040.9488728186</v>
      </c>
      <c r="AX92" s="165">
        <f t="shared" si="363"/>
        <v>2631689.89039189</v>
      </c>
      <c r="AY92" s="165">
        <f t="shared" si="363"/>
        <v>2024694.7139888823</v>
      </c>
      <c r="AZ92" s="165">
        <f t="shared" si="363"/>
        <v>1812935.0387943895</v>
      </c>
      <c r="BA92" s="165">
        <f t="shared" si="363"/>
        <v>3108753.5387048745</v>
      </c>
      <c r="BB92" s="165">
        <f t="shared" si="363"/>
        <v>1337441.4400751637</v>
      </c>
      <c r="BC92" s="165">
        <f t="shared" si="363"/>
        <v>256383.14953999547</v>
      </c>
      <c r="BD92" s="165">
        <f t="shared" si="363"/>
        <v>402997.92877440248</v>
      </c>
      <c r="BE92" s="165">
        <f t="shared" si="363"/>
        <v>3417597.0518737063</v>
      </c>
      <c r="BF92" s="165">
        <f t="shared" si="363"/>
        <v>3165210.2681290293</v>
      </c>
      <c r="BG92" s="165">
        <f t="shared" si="363"/>
        <v>2672978.9230171246</v>
      </c>
      <c r="BH92" s="165">
        <f t="shared" si="363"/>
        <v>4890934.3914016569</v>
      </c>
      <c r="BI92" s="165">
        <f t="shared" si="363"/>
        <v>6893737.9627657672</v>
      </c>
      <c r="BJ92" s="165">
        <f t="shared" si="363"/>
        <v>7046881.2375074141</v>
      </c>
      <c r="BK92" s="165">
        <f t="shared" si="363"/>
        <v>5839713.5057156719</v>
      </c>
      <c r="BL92" s="165">
        <f t="shared" si="363"/>
        <v>9029149.6599571127</v>
      </c>
      <c r="BM92" s="165">
        <f t="shared" si="363"/>
        <v>14620448.784674646</v>
      </c>
      <c r="BN92" s="165">
        <f t="shared" si="363"/>
        <v>8280229.6610479522</v>
      </c>
      <c r="BO92" s="165">
        <f t="shared" si="363"/>
        <v>11344512.713561017</v>
      </c>
      <c r="BP92" s="165">
        <f t="shared" si="364"/>
        <v>5547957.9804472122</v>
      </c>
      <c r="BQ92" s="165">
        <f t="shared" si="364"/>
        <v>13057423.7276082</v>
      </c>
      <c r="BR92" s="165">
        <f t="shared" si="364"/>
        <v>17421293.400324643</v>
      </c>
      <c r="BS92" s="165">
        <f t="shared" si="364"/>
        <v>20269808.001648553</v>
      </c>
      <c r="BT92" s="165">
        <f t="shared" si="364"/>
        <v>22123894.388533644</v>
      </c>
      <c r="BU92" s="165">
        <f t="shared" si="364"/>
        <v>18414892.942720614</v>
      </c>
      <c r="BV92" s="165">
        <f t="shared" si="364"/>
        <v>27462668.134219363</v>
      </c>
      <c r="BW92" s="165">
        <f t="shared" si="364"/>
        <v>25306100.869188964</v>
      </c>
      <c r="BX92" s="165">
        <f t="shared" si="364"/>
        <v>26012153.837083228</v>
      </c>
      <c r="BY92" s="165">
        <f t="shared" si="364"/>
        <v>30263179.224198848</v>
      </c>
      <c r="BZ92" s="165">
        <f t="shared" si="364"/>
        <v>27964649.090778284</v>
      </c>
      <c r="CA92" s="165">
        <f t="shared" si="364"/>
        <v>27011716.324868433</v>
      </c>
      <c r="CB92" s="165">
        <f t="shared" si="364"/>
        <v>27793717.629159044</v>
      </c>
      <c r="CC92" s="165">
        <f t="shared" si="364"/>
        <v>32181073.911911316</v>
      </c>
      <c r="CD92" s="165">
        <f t="shared" si="364"/>
        <v>27493650.463533625</v>
      </c>
      <c r="CE92" s="165">
        <f t="shared" si="364"/>
        <v>32001556.065681614</v>
      </c>
      <c r="CF92" s="165">
        <f t="shared" si="364"/>
        <v>36054965.759700805</v>
      </c>
      <c r="CG92" s="165">
        <f t="shared" si="364"/>
        <v>33700431.865396969</v>
      </c>
      <c r="CH92" s="165">
        <f t="shared" si="364"/>
        <v>44181124.672381088</v>
      </c>
      <c r="CI92" s="165">
        <f t="shared" si="364"/>
        <v>35507409.413115159</v>
      </c>
      <c r="CJ92" s="165">
        <f t="shared" si="364"/>
        <v>37521577.105028614</v>
      </c>
      <c r="CK92" s="165">
        <f t="shared" si="364"/>
        <v>37478573.425241634</v>
      </c>
      <c r="CL92" s="165">
        <f t="shared" si="364"/>
        <v>43233967.234545484</v>
      </c>
      <c r="CM92" s="165">
        <f t="shared" si="364"/>
        <v>40182044.396421365</v>
      </c>
      <c r="CN92" s="165">
        <f t="shared" si="364"/>
        <v>40214367.422916763</v>
      </c>
      <c r="CO92" s="165">
        <f t="shared" si="364"/>
        <v>33218003.34632086</v>
      </c>
      <c r="CP92" s="165">
        <f t="shared" si="364"/>
        <v>32490652.381024338</v>
      </c>
      <c r="CQ92" s="165">
        <f t="shared" si="364"/>
        <v>36592039.81287802</v>
      </c>
      <c r="CR92" s="165">
        <f t="shared" si="364"/>
        <v>37709616.890692353</v>
      </c>
      <c r="CS92" s="165">
        <f t="shared" si="364"/>
        <v>26638026.973235536</v>
      </c>
      <c r="CT92" s="165">
        <f t="shared" si="364"/>
        <v>31343770.947452661</v>
      </c>
      <c r="CU92" s="165">
        <f t="shared" si="364"/>
        <v>40782609.225270227</v>
      </c>
      <c r="CV92" s="165">
        <f t="shared" si="364"/>
        <v>41197680.647075139</v>
      </c>
      <c r="CW92" s="165">
        <f t="shared" si="364"/>
        <v>41168208.120083079</v>
      </c>
      <c r="CX92" s="165">
        <f t="shared" si="364"/>
        <v>41789587.230832435</v>
      </c>
      <c r="CY92" s="165">
        <f t="shared" si="364"/>
        <v>39377752.105315141</v>
      </c>
      <c r="CZ92" s="165">
        <f t="shared" si="364"/>
        <v>43076554.242819242</v>
      </c>
      <c r="DA92" s="165">
        <f t="shared" si="364"/>
        <v>41885372.943556562</v>
      </c>
      <c r="DB92" s="165">
        <f t="shared" si="364"/>
        <v>41983614.700196929</v>
      </c>
      <c r="DC92" s="165">
        <f t="shared" si="364"/>
        <v>51535169.489541993</v>
      </c>
      <c r="DD92" s="165">
        <f t="shared" si="364"/>
        <v>55528696.896966837</v>
      </c>
      <c r="DE92" s="165">
        <f t="shared" si="364"/>
        <v>47605499.223933339</v>
      </c>
      <c r="DF92" s="165">
        <f t="shared" si="364"/>
        <v>51441839.820733875</v>
      </c>
      <c r="DG92" s="165">
        <f t="shared" si="364"/>
        <v>47361595.393210299</v>
      </c>
      <c r="DH92" s="165">
        <f t="shared" si="364"/>
        <v>47843625.48182527</v>
      </c>
      <c r="DI92" s="165">
        <f t="shared" si="364"/>
        <v>47809398.493284643</v>
      </c>
      <c r="DJ92" s="165">
        <f t="shared" si="364"/>
        <v>48531017.501684628</v>
      </c>
      <c r="DK92" s="165">
        <f t="shared" si="364"/>
        <v>45730108.939436339</v>
      </c>
      <c r="DL92" s="165">
        <f t="shared" si="364"/>
        <v>50025596.001295768</v>
      </c>
      <c r="DM92" s="165">
        <f t="shared" si="364"/>
        <v>48642255.21444191</v>
      </c>
      <c r="DN92" s="165">
        <f t="shared" si="364"/>
        <v>48756345.176244289</v>
      </c>
      <c r="DO92" s="165">
        <f t="shared" si="364"/>
        <v>59848741.712480128</v>
      </c>
      <c r="DP92" s="165">
        <f t="shared" si="364"/>
        <v>64486498.659746476</v>
      </c>
      <c r="DQ92" s="165">
        <f t="shared" si="364"/>
        <v>55285143.240385085</v>
      </c>
      <c r="DR92" s="165">
        <f t="shared" si="364"/>
        <v>59740356.248767719</v>
      </c>
      <c r="DS92" s="165">
        <f t="shared" ref="DS92:ED92" si="367">DS73-DS79</f>
        <v>55481537.464262605</v>
      </c>
      <c r="DT92" s="165">
        <f t="shared" si="367"/>
        <v>56046209.540833503</v>
      </c>
      <c r="DU92" s="165">
        <f t="shared" si="367"/>
        <v>56006114.482142217</v>
      </c>
      <c r="DV92" s="165">
        <f t="shared" si="367"/>
        <v>56851451.969553143</v>
      </c>
      <c r="DW92" s="165">
        <f t="shared" si="367"/>
        <v>53570339.666637942</v>
      </c>
      <c r="DX92" s="165">
        <f t="shared" si="367"/>
        <v>58602269.532412007</v>
      </c>
      <c r="DY92" s="165">
        <f t="shared" si="367"/>
        <v>56981760.910300232</v>
      </c>
      <c r="DZ92" s="165">
        <f t="shared" si="367"/>
        <v>57115411.105938293</v>
      </c>
      <c r="EA92" s="165">
        <f t="shared" si="367"/>
        <v>70109551.376851678</v>
      </c>
      <c r="EB92" s="165">
        <f t="shared" si="367"/>
        <v>75542431.829539925</v>
      </c>
      <c r="EC92" s="165">
        <f t="shared" si="367"/>
        <v>64763543.551328123</v>
      </c>
      <c r="ED92" s="165">
        <f t="shared" si="367"/>
        <v>69982583.690995559</v>
      </c>
      <c r="EE92" s="168"/>
      <c r="EF92" s="165">
        <f>SUM(BK92:BM92)</f>
        <v>29489311.950347431</v>
      </c>
      <c r="EG92" s="165">
        <f>SUM(BN92:BP92)</f>
        <v>25172700.355056182</v>
      </c>
      <c r="EH92" s="165">
        <f>SUM(BQ92:BS92)</f>
        <v>50748525.129581392</v>
      </c>
      <c r="EI92" s="165">
        <f>SUM(BT92:BV92)</f>
        <v>68001455.465473622</v>
      </c>
      <c r="EJ92" s="165">
        <f>SUM(BW92:BY92)</f>
        <v>81581433.930471033</v>
      </c>
      <c r="EK92" s="165">
        <f>SUM(CL92:CN92)</f>
        <v>123630379.05388361</v>
      </c>
      <c r="EL92" s="165">
        <f>SUM(CC92:CE92)</f>
        <v>91676280.441126555</v>
      </c>
      <c r="EM92" s="165">
        <f>SUM(CF92:CH92)</f>
        <v>113936522.29747887</v>
      </c>
      <c r="EN92" s="165">
        <f>SUM(CI92:CK92)</f>
        <v>110507559.94338541</v>
      </c>
      <c r="EO92" s="165">
        <f>SUM(CL92:CN92)</f>
        <v>123630379.05388361</v>
      </c>
      <c r="EP92" s="165">
        <f>SUM(CO92:CQ92)</f>
        <v>102300695.54022321</v>
      </c>
      <c r="EQ92" s="165">
        <f>SUM(CR92:CT92)</f>
        <v>95691414.81138055</v>
      </c>
      <c r="ER92" s="165">
        <f>SUM(CU92:CW92)</f>
        <v>123148497.99242844</v>
      </c>
      <c r="ES92" s="165">
        <f>SUM(CX92:CZ92)</f>
        <v>124243893.57896683</v>
      </c>
      <c r="ET92" s="165">
        <f>SUM(DA92:DC92)</f>
        <v>135404157.13329548</v>
      </c>
      <c r="EU92" s="165">
        <f>SUM(DD92:DF92)</f>
        <v>154576035.94163406</v>
      </c>
      <c r="EV92" s="165">
        <f>SUM(DG92:DI92)</f>
        <v>143014619.36832023</v>
      </c>
      <c r="EW92" s="165">
        <f>SUM(DJ92:DL92)</f>
        <v>144286722.44241673</v>
      </c>
      <c r="EX92" s="165">
        <f>SUM(DM92:DO92)</f>
        <v>157247342.10316634</v>
      </c>
      <c r="EY92" s="165">
        <f>SUM(DP92:DR92)</f>
        <v>179511998.14889926</v>
      </c>
      <c r="EZ92" s="165">
        <f t="shared" si="304"/>
        <v>167533861.48723832</v>
      </c>
      <c r="FA92" s="165">
        <f t="shared" si="305"/>
        <v>169024061.16860309</v>
      </c>
      <c r="FB92" s="165">
        <f t="shared" si="306"/>
        <v>184206723.39309019</v>
      </c>
      <c r="FC92" s="165">
        <f t="shared" si="307"/>
        <v>210288559.07186359</v>
      </c>
      <c r="FE92" s="165">
        <f t="shared" si="308"/>
        <v>173411992.90045863</v>
      </c>
      <c r="FF92" s="165">
        <f t="shared" si="309"/>
        <v>410824615.72296005</v>
      </c>
      <c r="FG92" s="165">
        <f t="shared" si="310"/>
        <v>432130049.34887284</v>
      </c>
      <c r="FH92" s="165">
        <f t="shared" si="311"/>
        <v>537372584.64632487</v>
      </c>
      <c r="FI92" s="165">
        <f t="shared" si="312"/>
        <v>624060682.06280255</v>
      </c>
      <c r="FJ92" s="165">
        <f t="shared" si="313"/>
        <v>731053205.12079525</v>
      </c>
    </row>
    <row r="93" spans="2:166" x14ac:dyDescent="0.2">
      <c r="B93" s="155" t="s">
        <v>229</v>
      </c>
      <c r="C93" s="165">
        <f t="shared" si="366"/>
        <v>0</v>
      </c>
      <c r="D93" s="165">
        <f t="shared" ref="D93:BO93" si="368">D74-D80</f>
        <v>0</v>
      </c>
      <c r="E93" s="165">
        <f t="shared" si="368"/>
        <v>0</v>
      </c>
      <c r="F93" s="165">
        <f t="shared" si="368"/>
        <v>0</v>
      </c>
      <c r="G93" s="165">
        <f t="shared" si="368"/>
        <v>0</v>
      </c>
      <c r="H93" s="165">
        <f t="shared" si="368"/>
        <v>0</v>
      </c>
      <c r="I93" s="165">
        <f t="shared" si="368"/>
        <v>0</v>
      </c>
      <c r="J93" s="165">
        <f t="shared" si="368"/>
        <v>0</v>
      </c>
      <c r="K93" s="165">
        <f t="shared" si="368"/>
        <v>0</v>
      </c>
      <c r="L93" s="165">
        <f t="shared" si="368"/>
        <v>0</v>
      </c>
      <c r="M93" s="165">
        <f t="shared" si="368"/>
        <v>0</v>
      </c>
      <c r="N93" s="165">
        <f t="shared" si="368"/>
        <v>0</v>
      </c>
      <c r="O93" s="165">
        <f t="shared" si="368"/>
        <v>0</v>
      </c>
      <c r="P93" s="165">
        <f t="shared" si="368"/>
        <v>0</v>
      </c>
      <c r="Q93" s="165">
        <f t="shared" si="368"/>
        <v>0</v>
      </c>
      <c r="R93" s="165">
        <f t="shared" si="368"/>
        <v>0</v>
      </c>
      <c r="S93" s="165">
        <f t="shared" si="368"/>
        <v>0</v>
      </c>
      <c r="T93" s="165">
        <f t="shared" si="368"/>
        <v>0</v>
      </c>
      <c r="U93" s="165">
        <f t="shared" si="368"/>
        <v>0</v>
      </c>
      <c r="V93" s="165">
        <f t="shared" si="368"/>
        <v>0</v>
      </c>
      <c r="W93" s="165">
        <f t="shared" si="368"/>
        <v>0</v>
      </c>
      <c r="X93" s="165">
        <f t="shared" si="368"/>
        <v>0</v>
      </c>
      <c r="Y93" s="165">
        <f t="shared" si="368"/>
        <v>0</v>
      </c>
      <c r="Z93" s="165">
        <f t="shared" si="368"/>
        <v>0</v>
      </c>
      <c r="AA93" s="165">
        <f t="shared" si="368"/>
        <v>0</v>
      </c>
      <c r="AB93" s="165">
        <f t="shared" si="368"/>
        <v>0</v>
      </c>
      <c r="AC93" s="165">
        <f t="shared" si="368"/>
        <v>740362.18742202164</v>
      </c>
      <c r="AD93" s="165">
        <f t="shared" si="368"/>
        <v>550138.88512593566</v>
      </c>
      <c r="AE93" s="165">
        <f t="shared" si="368"/>
        <v>681297.05047825677</v>
      </c>
      <c r="AF93" s="165">
        <f t="shared" si="368"/>
        <v>944321.26943307661</v>
      </c>
      <c r="AG93" s="165">
        <f t="shared" si="368"/>
        <v>858123.15359670925</v>
      </c>
      <c r="AH93" s="165">
        <f t="shared" si="368"/>
        <v>1478822.2521469668</v>
      </c>
      <c r="AI93" s="165">
        <f t="shared" si="368"/>
        <v>4161911.1190509652</v>
      </c>
      <c r="AJ93" s="165">
        <f t="shared" si="368"/>
        <v>5272035.2073522918</v>
      </c>
      <c r="AK93" s="165">
        <f t="shared" si="368"/>
        <v>5559143.743740214</v>
      </c>
      <c r="AL93" s="165">
        <f t="shared" si="368"/>
        <v>7233089.8822029252</v>
      </c>
      <c r="AM93" s="165">
        <f t="shared" si="368"/>
        <v>4103315.351495618</v>
      </c>
      <c r="AN93" s="165">
        <f t="shared" si="368"/>
        <v>100833.54558432194</v>
      </c>
      <c r="AO93" s="165">
        <f t="shared" si="368"/>
        <v>2866887.1088821399</v>
      </c>
      <c r="AP93" s="165">
        <f t="shared" si="368"/>
        <v>4640927.6320072943</v>
      </c>
      <c r="AQ93" s="165">
        <f t="shared" si="368"/>
        <v>5817302.6550183091</v>
      </c>
      <c r="AR93" s="165">
        <f t="shared" si="368"/>
        <v>6185439.6095306538</v>
      </c>
      <c r="AS93" s="165">
        <f t="shared" si="368"/>
        <v>7574326.5108297672</v>
      </c>
      <c r="AT93" s="165">
        <f t="shared" si="368"/>
        <v>14191886.387349317</v>
      </c>
      <c r="AU93" s="165">
        <f t="shared" si="368"/>
        <v>15486939.100779623</v>
      </c>
      <c r="AV93" s="165">
        <f t="shared" si="368"/>
        <v>13448262.53836897</v>
      </c>
      <c r="AW93" s="165">
        <f t="shared" si="368"/>
        <v>15827839.239135683</v>
      </c>
      <c r="AX93" s="165">
        <f t="shared" si="368"/>
        <v>17086154.118768211</v>
      </c>
      <c r="AY93" s="165">
        <f t="shared" si="368"/>
        <v>15680921.39329375</v>
      </c>
      <c r="AZ93" s="165">
        <f t="shared" si="368"/>
        <v>16889951.115314111</v>
      </c>
      <c r="BA93" s="165">
        <f t="shared" si="368"/>
        <v>19263470.140040837</v>
      </c>
      <c r="BB93" s="165">
        <f t="shared" si="368"/>
        <v>21411061.72986234</v>
      </c>
      <c r="BC93" s="165">
        <f t="shared" si="368"/>
        <v>19940916.134740911</v>
      </c>
      <c r="BD93" s="165">
        <f t="shared" si="368"/>
        <v>14328037.701626141</v>
      </c>
      <c r="BE93" s="165">
        <f t="shared" si="368"/>
        <v>18294682.41696056</v>
      </c>
      <c r="BF93" s="165">
        <f t="shared" si="368"/>
        <v>19115734.594302554</v>
      </c>
      <c r="BG93" s="165">
        <f t="shared" si="368"/>
        <v>25590556.839561727</v>
      </c>
      <c r="BH93" s="165">
        <f t="shared" si="368"/>
        <v>29983905.561994549</v>
      </c>
      <c r="BI93" s="165">
        <f t="shared" si="368"/>
        <v>30827940.193007641</v>
      </c>
      <c r="BJ93" s="165">
        <f t="shared" si="368"/>
        <v>36597107.804610923</v>
      </c>
      <c r="BK93" s="165">
        <f t="shared" si="368"/>
        <v>29671069.505990103</v>
      </c>
      <c r="BL93" s="165">
        <f t="shared" si="368"/>
        <v>34629398.777884945</v>
      </c>
      <c r="BM93" s="165">
        <f t="shared" si="368"/>
        <v>37487960.297023863</v>
      </c>
      <c r="BN93" s="165">
        <f t="shared" si="368"/>
        <v>32159394.758550733</v>
      </c>
      <c r="BO93" s="165">
        <f t="shared" si="368"/>
        <v>32600492.142859221</v>
      </c>
      <c r="BP93" s="165">
        <f t="shared" si="364"/>
        <v>26551725.924766399</v>
      </c>
      <c r="BQ93" s="165">
        <f t="shared" si="364"/>
        <v>34266712.475745901</v>
      </c>
      <c r="BR93" s="165">
        <f t="shared" si="364"/>
        <v>34521411.398312837</v>
      </c>
      <c r="BS93" s="165">
        <f t="shared" si="364"/>
        <v>30092879.963658836</v>
      </c>
      <c r="BT93" s="165">
        <f t="shared" si="364"/>
        <v>29885710.003263701</v>
      </c>
      <c r="BU93" s="165">
        <f t="shared" si="364"/>
        <v>33341354.510234926</v>
      </c>
      <c r="BV93" s="165">
        <f t="shared" si="364"/>
        <v>39193384.787707068</v>
      </c>
      <c r="BW93" s="165">
        <f t="shared" si="364"/>
        <v>38938181.245532528</v>
      </c>
      <c r="BX93" s="165">
        <f t="shared" si="364"/>
        <v>44037915.169095531</v>
      </c>
      <c r="BY93" s="165">
        <f t="shared" si="364"/>
        <v>46278337.768747382</v>
      </c>
      <c r="BZ93" s="165">
        <f t="shared" si="364"/>
        <v>43538608.799670577</v>
      </c>
      <c r="CA93" s="165">
        <f t="shared" si="364"/>
        <v>36948467.354889378</v>
      </c>
      <c r="CB93" s="165">
        <f t="shared" si="364"/>
        <v>27597277.526806146</v>
      </c>
      <c r="CC93" s="165">
        <f t="shared" si="364"/>
        <v>42785340.926816836</v>
      </c>
      <c r="CD93" s="165">
        <f t="shared" si="364"/>
        <v>45143252.302002266</v>
      </c>
      <c r="CE93" s="165">
        <f t="shared" si="364"/>
        <v>53010658.942444108</v>
      </c>
      <c r="CF93" s="165">
        <f t="shared" si="364"/>
        <v>50555544.128295273</v>
      </c>
      <c r="CG93" s="165">
        <f t="shared" si="364"/>
        <v>48237799.01231885</v>
      </c>
      <c r="CH93" s="165">
        <f t="shared" si="364"/>
        <v>60836998.547281899</v>
      </c>
      <c r="CI93" s="165">
        <f t="shared" si="364"/>
        <v>58859400.735849306</v>
      </c>
      <c r="CJ93" s="165">
        <f t="shared" si="364"/>
        <v>53432116.177800074</v>
      </c>
      <c r="CK93" s="165">
        <f t="shared" si="364"/>
        <v>60835655.322872251</v>
      </c>
      <c r="CL93" s="165">
        <f t="shared" si="364"/>
        <v>59663347.729713455</v>
      </c>
      <c r="CM93" s="165">
        <f t="shared" si="364"/>
        <v>59279701.490789801</v>
      </c>
      <c r="CN93" s="165">
        <f t="shared" si="364"/>
        <v>50777870.046547204</v>
      </c>
      <c r="CO93" s="165">
        <f t="shared" si="364"/>
        <v>77880908.947551161</v>
      </c>
      <c r="CP93" s="165">
        <f t="shared" si="364"/>
        <v>77589375.249168545</v>
      </c>
      <c r="CQ93" s="165">
        <f t="shared" si="364"/>
        <v>89279023.137560293</v>
      </c>
      <c r="CR93" s="165">
        <f t="shared" si="364"/>
        <v>96956526.848780379</v>
      </c>
      <c r="CS93" s="165">
        <f t="shared" si="364"/>
        <v>89293603.897518516</v>
      </c>
      <c r="CT93" s="165">
        <f t="shared" si="364"/>
        <v>90779121.939475194</v>
      </c>
      <c r="CU93" s="165">
        <f t="shared" si="364"/>
        <v>93110691.366340786</v>
      </c>
      <c r="CV93" s="165">
        <f t="shared" si="364"/>
        <v>90821400.980982035</v>
      </c>
      <c r="CW93" s="165">
        <f t="shared" si="364"/>
        <v>90475578.292666063</v>
      </c>
      <c r="CX93" s="165">
        <f t="shared" si="364"/>
        <v>99011719.580805838</v>
      </c>
      <c r="CY93" s="165">
        <f t="shared" si="364"/>
        <v>86878436.031015992</v>
      </c>
      <c r="CZ93" s="165">
        <f t="shared" si="364"/>
        <v>79518959.030598745</v>
      </c>
      <c r="DA93" s="165">
        <f t="shared" si="364"/>
        <v>102592352.20464511</v>
      </c>
      <c r="DB93" s="165">
        <f t="shared" si="364"/>
        <v>93241926.193137601</v>
      </c>
      <c r="DC93" s="165">
        <f t="shared" si="364"/>
        <v>113523948.38913649</v>
      </c>
      <c r="DD93" s="165">
        <f t="shared" si="364"/>
        <v>116576927.73868769</v>
      </c>
      <c r="DE93" s="165">
        <f t="shared" si="364"/>
        <v>107270780.85200471</v>
      </c>
      <c r="DF93" s="165">
        <f t="shared" si="364"/>
        <v>126975062.6393564</v>
      </c>
      <c r="DG93" s="165">
        <f t="shared" si="364"/>
        <v>114469530.7295593</v>
      </c>
      <c r="DH93" s="165">
        <f t="shared" si="364"/>
        <v>111982833.37029758</v>
      </c>
      <c r="DI93" s="165">
        <f t="shared" si="364"/>
        <v>110974280.92739084</v>
      </c>
      <c r="DJ93" s="165">
        <f t="shared" si="364"/>
        <v>121260722.22612309</v>
      </c>
      <c r="DK93" s="165">
        <f t="shared" si="364"/>
        <v>106335938.06253871</v>
      </c>
      <c r="DL93" s="165">
        <f t="shared" si="364"/>
        <v>97207720.365386695</v>
      </c>
      <c r="DM93" s="165">
        <f t="shared" si="364"/>
        <v>124650045.36068237</v>
      </c>
      <c r="DN93" s="165">
        <f t="shared" si="364"/>
        <v>112800604.13369709</v>
      </c>
      <c r="DO93" s="165">
        <f t="shared" si="364"/>
        <v>136594931.12943953</v>
      </c>
      <c r="DP93" s="165">
        <f t="shared" si="364"/>
        <v>139646856.35606655</v>
      </c>
      <c r="DQ93" s="165">
        <f t="shared" si="364"/>
        <v>127955332.99970581</v>
      </c>
      <c r="DR93" s="165">
        <f t="shared" si="364"/>
        <v>149563708.03957605</v>
      </c>
      <c r="DS93" s="165">
        <f t="shared" ref="DS93:ED93" si="369">DS74-DS80</f>
        <v>129122566.35054412</v>
      </c>
      <c r="DT93" s="165">
        <f t="shared" si="369"/>
        <v>126212700.43014495</v>
      </c>
      <c r="DU93" s="165">
        <f t="shared" si="369"/>
        <v>125005468.43413001</v>
      </c>
      <c r="DV93" s="165">
        <f t="shared" si="369"/>
        <v>136467170.12235832</v>
      </c>
      <c r="DW93" s="165">
        <f t="shared" si="369"/>
        <v>119625828.49236834</v>
      </c>
      <c r="DX93" s="165">
        <f t="shared" si="369"/>
        <v>109273733.26742876</v>
      </c>
      <c r="DY93" s="165">
        <f t="shared" si="369"/>
        <v>139948948.46661818</v>
      </c>
      <c r="DZ93" s="165">
        <f t="shared" si="369"/>
        <v>126620591.56524587</v>
      </c>
      <c r="EA93" s="165">
        <f t="shared" si="369"/>
        <v>153188421.31663346</v>
      </c>
      <c r="EB93" s="165">
        <f t="shared" si="369"/>
        <v>156558230.29524088</v>
      </c>
      <c r="EC93" s="165">
        <f t="shared" si="369"/>
        <v>143413633.88079706</v>
      </c>
      <c r="ED93" s="165">
        <f t="shared" si="369"/>
        <v>167508615.4179914</v>
      </c>
      <c r="EE93" s="168"/>
      <c r="EF93" s="165">
        <f>SUM(BK93:BM93)</f>
        <v>101788428.58089891</v>
      </c>
      <c r="EG93" s="165">
        <f>SUM(BN93:BP93)</f>
        <v>91311612.826176345</v>
      </c>
      <c r="EH93" s="165">
        <f>SUM(BQ93:BS93)</f>
        <v>98881003.837717578</v>
      </c>
      <c r="EI93" s="165">
        <f>SUM(BT93:BV93)</f>
        <v>102420449.30120569</v>
      </c>
      <c r="EJ93" s="165">
        <f>SUM(BW93:BY93)</f>
        <v>129254434.18337545</v>
      </c>
      <c r="EK93" s="165">
        <f>SUM(CL93:CN93)</f>
        <v>169720919.26705045</v>
      </c>
      <c r="EL93" s="165">
        <f>SUM(CC93:CE93)</f>
        <v>140939252.17126322</v>
      </c>
      <c r="EM93" s="165">
        <f>SUM(CF93:CH93)</f>
        <v>159630341.68789601</v>
      </c>
      <c r="EN93" s="165">
        <f>SUM(CI93:CK93)</f>
        <v>173127172.23652163</v>
      </c>
      <c r="EO93" s="165">
        <f>SUM(CL93:CN93)</f>
        <v>169720919.26705045</v>
      </c>
      <c r="EP93" s="165">
        <f>SUM(CO93:CQ93)</f>
        <v>244749307.33428001</v>
      </c>
      <c r="EQ93" s="165">
        <f>SUM(CR93:CT93)</f>
        <v>277029252.68577409</v>
      </c>
      <c r="ER93" s="165">
        <f>SUM(CU93:CW93)</f>
        <v>274407670.6399889</v>
      </c>
      <c r="ES93" s="165">
        <f>SUM(CX93:CZ93)</f>
        <v>265409114.64242059</v>
      </c>
      <c r="ET93" s="165">
        <f>SUM(DA93:DC93)</f>
        <v>309358226.78691924</v>
      </c>
      <c r="EU93" s="165">
        <f>SUM(DD93:DF93)</f>
        <v>350822771.23004878</v>
      </c>
      <c r="EV93" s="165">
        <f>SUM(DG93:DI93)</f>
        <v>337426645.02724773</v>
      </c>
      <c r="EW93" s="165">
        <f>SUM(DJ93:DL93)</f>
        <v>324804380.6540485</v>
      </c>
      <c r="EX93" s="165">
        <f>SUM(DM93:DO93)</f>
        <v>374045580.62381899</v>
      </c>
      <c r="EY93" s="165">
        <f>SUM(DP93:DR93)</f>
        <v>417165897.39534843</v>
      </c>
      <c r="EZ93" s="165">
        <f t="shared" si="304"/>
        <v>380340735.21481907</v>
      </c>
      <c r="FA93" s="165">
        <f t="shared" si="305"/>
        <v>365366731.88215542</v>
      </c>
      <c r="FB93" s="165">
        <f t="shared" si="306"/>
        <v>419757961.34849751</v>
      </c>
      <c r="FC93" s="165">
        <f t="shared" si="307"/>
        <v>467480479.59402931</v>
      </c>
      <c r="FE93" s="165">
        <f t="shared" si="308"/>
        <v>394401494.54599851</v>
      </c>
      <c r="FF93" s="165">
        <f t="shared" si="309"/>
        <v>599544947.30958509</v>
      </c>
      <c r="FG93" s="165">
        <f t="shared" si="310"/>
        <v>864626651.52362621</v>
      </c>
      <c r="FH93" s="165">
        <f t="shared" si="311"/>
        <v>1199997783.2993774</v>
      </c>
      <c r="FI93" s="165">
        <f t="shared" si="312"/>
        <v>1453442503.7004638</v>
      </c>
      <c r="FJ93" s="165">
        <f t="shared" si="313"/>
        <v>1632945908.0395012</v>
      </c>
    </row>
    <row r="94" spans="2:166" x14ac:dyDescent="0.2">
      <c r="B94" s="22" t="s">
        <v>39</v>
      </c>
      <c r="C94" s="161">
        <f>C90/C36</f>
        <v>7.3982367741680377E-2</v>
      </c>
      <c r="D94" s="161">
        <f t="shared" ref="D94:BO94" si="370">D90/D36</f>
        <v>5.412774613593925E-2</v>
      </c>
      <c r="E94" s="161">
        <f t="shared" si="370"/>
        <v>5.5845535780297811E-3</v>
      </c>
      <c r="F94" s="161">
        <f t="shared" si="370"/>
        <v>-3.0625913689103484E-2</v>
      </c>
      <c r="G94" s="161">
        <f t="shared" si="370"/>
        <v>-4.7900801877118697E-2</v>
      </c>
      <c r="H94" s="161">
        <f t="shared" si="370"/>
        <v>-3.085635324187069E-2</v>
      </c>
      <c r="I94" s="161">
        <f t="shared" si="370"/>
        <v>8.6765462822446598E-2</v>
      </c>
      <c r="J94" s="161">
        <f t="shared" si="370"/>
        <v>0.17987616147158617</v>
      </c>
      <c r="K94" s="161">
        <f t="shared" si="370"/>
        <v>0.12952749731549637</v>
      </c>
      <c r="L94" s="161">
        <f t="shared" si="370"/>
        <v>0.11815847795654592</v>
      </c>
      <c r="M94" s="161">
        <f t="shared" si="370"/>
        <v>0.10054583154646983</v>
      </c>
      <c r="N94" s="161">
        <f t="shared" si="370"/>
        <v>0.17989039310584182</v>
      </c>
      <c r="O94" s="161">
        <f t="shared" si="370"/>
        <v>0.12190648001292451</v>
      </c>
      <c r="P94" s="161">
        <f t="shared" si="370"/>
        <v>8.3659474834565414E-2</v>
      </c>
      <c r="Q94" s="161">
        <f t="shared" si="370"/>
        <v>3.8038825047948192E-2</v>
      </c>
      <c r="R94" s="161">
        <f t="shared" si="370"/>
        <v>0.10575391050987097</v>
      </c>
      <c r="S94" s="161">
        <f t="shared" si="370"/>
        <v>0.10835922972418004</v>
      </c>
      <c r="T94" s="161">
        <f t="shared" si="370"/>
        <v>6.5171477400197506E-2</v>
      </c>
      <c r="U94" s="161">
        <f t="shared" si="370"/>
        <v>0.1461451420693321</v>
      </c>
      <c r="V94" s="161">
        <f t="shared" si="370"/>
        <v>-7.9381109323025625E-2</v>
      </c>
      <c r="W94" s="161">
        <f t="shared" si="370"/>
        <v>3.3596571955684162E-2</v>
      </c>
      <c r="X94" s="161">
        <f t="shared" si="370"/>
        <v>2.2241653764811006E-2</v>
      </c>
      <c r="Y94" s="161">
        <f t="shared" si="370"/>
        <v>-0.1200570227241558</v>
      </c>
      <c r="Z94" s="161">
        <f t="shared" si="370"/>
        <v>-2.2262302230685489E-2</v>
      </c>
      <c r="AA94" s="161">
        <f t="shared" si="370"/>
        <v>1.9596594258148308</v>
      </c>
      <c r="AB94" s="161">
        <f t="shared" si="370"/>
        <v>4.5511823814906649E-2</v>
      </c>
      <c r="AC94" s="161">
        <f t="shared" si="370"/>
        <v>9.033573756894861E-2</v>
      </c>
      <c r="AD94" s="161">
        <f t="shared" si="370"/>
        <v>0.11420513220639636</v>
      </c>
      <c r="AE94" s="161">
        <f t="shared" si="370"/>
        <v>8.1068567691984852E-2</v>
      </c>
      <c r="AF94" s="161">
        <f t="shared" si="370"/>
        <v>3.7709980707599282E-2</v>
      </c>
      <c r="AG94" s="161">
        <f t="shared" si="370"/>
        <v>4.6270294038818716E-2</v>
      </c>
      <c r="AH94" s="161">
        <f t="shared" si="370"/>
        <v>6.6445692574643486E-2</v>
      </c>
      <c r="AI94" s="161">
        <f t="shared" si="370"/>
        <v>0.12179939894700877</v>
      </c>
      <c r="AJ94" s="161">
        <f t="shared" si="370"/>
        <v>9.4647289825748548E-2</v>
      </c>
      <c r="AK94" s="161">
        <f t="shared" si="370"/>
        <v>0.11068140758100135</v>
      </c>
      <c r="AL94" s="161">
        <f t="shared" si="370"/>
        <v>0.11781972896508054</v>
      </c>
      <c r="AM94" s="161">
        <f t="shared" si="370"/>
        <v>5.6624444280997471E-2</v>
      </c>
      <c r="AN94" s="161">
        <f t="shared" si="370"/>
        <v>-8.7716193036806014E-2</v>
      </c>
      <c r="AO94" s="161">
        <f t="shared" si="370"/>
        <v>2.0105087539081103E-2</v>
      </c>
      <c r="AP94" s="161">
        <f t="shared" si="370"/>
        <v>4.8631778090885529E-2</v>
      </c>
      <c r="AQ94" s="161">
        <f t="shared" si="370"/>
        <v>4.8793427641226447E-2</v>
      </c>
      <c r="AR94" s="161">
        <f t="shared" si="370"/>
        <v>4.9760221720869059E-2</v>
      </c>
      <c r="AS94" s="161">
        <f t="shared" si="370"/>
        <v>7.6269719226172608E-2</v>
      </c>
      <c r="AT94" s="161">
        <f t="shared" si="370"/>
        <v>0.12881366602169642</v>
      </c>
      <c r="AU94" s="161">
        <f t="shared" si="370"/>
        <v>0.11257222017094509</v>
      </c>
      <c r="AV94" s="161">
        <f t="shared" si="370"/>
        <v>0.11173901674192893</v>
      </c>
      <c r="AW94" s="161">
        <f t="shared" si="370"/>
        <v>0.10412240268250396</v>
      </c>
      <c r="AX94" s="161">
        <f t="shared" si="370"/>
        <v>8.6103902415774744E-2</v>
      </c>
      <c r="AY94" s="161">
        <f t="shared" si="370"/>
        <v>8.5271435783478261E-2</v>
      </c>
      <c r="AZ94" s="161">
        <f t="shared" si="370"/>
        <v>9.2068003040141386E-2</v>
      </c>
      <c r="BA94" s="161">
        <f t="shared" si="370"/>
        <v>0.10268530646431395</v>
      </c>
      <c r="BB94" s="161">
        <f t="shared" si="370"/>
        <v>9.2443285254102697E-2</v>
      </c>
      <c r="BC94" s="161">
        <f t="shared" si="370"/>
        <v>8.1684526165098997E-2</v>
      </c>
      <c r="BD94" s="161">
        <f t="shared" si="370"/>
        <v>5.6284131618585857E-2</v>
      </c>
      <c r="BE94" s="161">
        <f t="shared" si="370"/>
        <v>8.5452753333997031E-2</v>
      </c>
      <c r="BF94" s="161">
        <f t="shared" si="370"/>
        <v>7.7781497705216779E-2</v>
      </c>
      <c r="BG94" s="161">
        <f t="shared" si="370"/>
        <v>9.5341642998970938E-2</v>
      </c>
      <c r="BH94" s="161">
        <f t="shared" si="370"/>
        <v>0.11202859193398776</v>
      </c>
      <c r="BI94" s="161">
        <f t="shared" si="370"/>
        <v>0.11026297278245463</v>
      </c>
      <c r="BJ94" s="161">
        <f t="shared" si="370"/>
        <v>9.2458023937230918E-2</v>
      </c>
      <c r="BK94" s="161">
        <f t="shared" si="370"/>
        <v>7.5621222394669577E-2</v>
      </c>
      <c r="BL94" s="161">
        <f t="shared" si="370"/>
        <v>9.3484054867999475E-2</v>
      </c>
      <c r="BM94" s="161">
        <f t="shared" si="370"/>
        <v>0.10592218416216673</v>
      </c>
      <c r="BN94" s="161">
        <f t="shared" si="370"/>
        <v>0.10185190716191224</v>
      </c>
      <c r="BO94" s="161">
        <f t="shared" si="370"/>
        <v>0.10547643197925144</v>
      </c>
      <c r="BP94" s="161">
        <f t="shared" ref="BP94:EM94" si="371">BP90/BP36</f>
        <v>7.6148496897075188E-2</v>
      </c>
      <c r="BQ94" s="161">
        <f t="shared" si="371"/>
        <v>7.5069085989391979E-2</v>
      </c>
      <c r="BR94" s="161">
        <f t="shared" si="371"/>
        <v>9.853521076200876E-2</v>
      </c>
      <c r="BS94" s="161">
        <f t="shared" si="371"/>
        <v>0.10691822442004012</v>
      </c>
      <c r="BT94" s="161">
        <f t="shared" si="371"/>
        <v>0.1165693155946112</v>
      </c>
      <c r="BU94" s="161">
        <f t="shared" si="371"/>
        <v>0.14018784002726625</v>
      </c>
      <c r="BV94" s="161">
        <f t="shared" si="371"/>
        <v>0.13991128442142156</v>
      </c>
      <c r="BW94" s="161">
        <f t="shared" si="371"/>
        <v>0.13234051749535758</v>
      </c>
      <c r="BX94" s="161">
        <f t="shared" si="371"/>
        <v>0.13946029370486965</v>
      </c>
      <c r="BY94" s="161">
        <f t="shared" si="371"/>
        <v>0.14436682148496432</v>
      </c>
      <c r="BZ94" s="161">
        <f t="shared" si="371"/>
        <v>0.1369754935402506</v>
      </c>
      <c r="CA94" s="161">
        <f t="shared" si="371"/>
        <v>0.13853447183730516</v>
      </c>
      <c r="CB94" s="161">
        <f t="shared" si="371"/>
        <v>0.12720746742736869</v>
      </c>
      <c r="CC94" s="161">
        <f t="shared" si="371"/>
        <v>0.13810420263561157</v>
      </c>
      <c r="CD94" s="161">
        <f t="shared" si="371"/>
        <v>0.14287086275531802</v>
      </c>
      <c r="CE94" s="161">
        <f t="shared" si="371"/>
        <v>0.14029663331177389</v>
      </c>
      <c r="CF94" s="161">
        <f t="shared" si="371"/>
        <v>0.13357078646411358</v>
      </c>
      <c r="CG94" s="161">
        <f t="shared" si="371"/>
        <v>0.13246633746644246</v>
      </c>
      <c r="CH94" s="161">
        <f t="shared" si="371"/>
        <v>0.13197486257296745</v>
      </c>
      <c r="CI94" s="161">
        <f t="shared" si="371"/>
        <v>0.12910569327213103</v>
      </c>
      <c r="CJ94" s="161">
        <f t="shared" si="371"/>
        <v>0.12754382480922988</v>
      </c>
      <c r="CK94" s="161">
        <f t="shared" si="371"/>
        <v>0.13598753045717113</v>
      </c>
      <c r="CL94" s="161">
        <f t="shared" si="371"/>
        <v>0.13247139794050269</v>
      </c>
      <c r="CM94" s="161">
        <f t="shared" si="371"/>
        <v>0.15018380645370241</v>
      </c>
      <c r="CN94" s="161">
        <f t="shared" si="371"/>
        <v>0.12627417386406264</v>
      </c>
      <c r="CO94" s="161">
        <f t="shared" si="371"/>
        <v>0.13279834119840042</v>
      </c>
      <c r="CP94" s="161">
        <f t="shared" si="371"/>
        <v>0.14183718962598835</v>
      </c>
      <c r="CQ94" s="161">
        <f t="shared" si="371"/>
        <v>0.13163835525270554</v>
      </c>
      <c r="CR94" s="161">
        <f t="shared" si="371"/>
        <v>0.12970479380986549</v>
      </c>
      <c r="CS94" s="161">
        <f t="shared" si="371"/>
        <v>0.12369943661590589</v>
      </c>
      <c r="CT94" s="161">
        <f t="shared" si="371"/>
        <v>0.11035454400889244</v>
      </c>
      <c r="CU94" s="161">
        <f t="shared" si="371"/>
        <v>0.1371483149906671</v>
      </c>
      <c r="CV94" s="161">
        <f t="shared" si="371"/>
        <v>0.1366313807450138</v>
      </c>
      <c r="CW94" s="161">
        <f t="shared" si="371"/>
        <v>0.13656235957455454</v>
      </c>
      <c r="CX94" s="161">
        <f t="shared" si="371"/>
        <v>0.13778184463738835</v>
      </c>
      <c r="CY94" s="161">
        <f t="shared" si="371"/>
        <v>0.13640469804266517</v>
      </c>
      <c r="CZ94" s="161">
        <f t="shared" si="371"/>
        <v>0.13394632386415992</v>
      </c>
      <c r="DA94" s="161">
        <f t="shared" si="371"/>
        <v>0.13825363369875782</v>
      </c>
      <c r="DB94" s="161">
        <f t="shared" si="371"/>
        <v>0.13672723393787428</v>
      </c>
      <c r="DC94" s="161">
        <f t="shared" si="371"/>
        <v>0.13736321734362472</v>
      </c>
      <c r="DD94" s="161">
        <f t="shared" si="371"/>
        <v>0.13686771341155002</v>
      </c>
      <c r="DE94" s="161">
        <f t="shared" si="371"/>
        <v>0.1374050043240605</v>
      </c>
      <c r="DF94" s="161">
        <f t="shared" si="371"/>
        <v>0.13904236244017237</v>
      </c>
      <c r="DG94" s="161">
        <f t="shared" si="371"/>
        <v>0.13668959829437816</v>
      </c>
      <c r="DH94" s="161">
        <f t="shared" si="371"/>
        <v>0.13621361815724853</v>
      </c>
      <c r="DI94" s="161">
        <f t="shared" si="371"/>
        <v>0.13607136924060101</v>
      </c>
      <c r="DJ94" s="161">
        <f t="shared" si="371"/>
        <v>0.13725755199338074</v>
      </c>
      <c r="DK94" s="161">
        <f t="shared" si="371"/>
        <v>0.13590523087592474</v>
      </c>
      <c r="DL94" s="161">
        <f t="shared" si="371"/>
        <v>0.13339531523362036</v>
      </c>
      <c r="DM94" s="161">
        <f t="shared" si="371"/>
        <v>0.13761673876152372</v>
      </c>
      <c r="DN94" s="161">
        <f t="shared" si="371"/>
        <v>0.13603504853938489</v>
      </c>
      <c r="DO94" s="161">
        <f t="shared" si="371"/>
        <v>0.13651331371326211</v>
      </c>
      <c r="DP94" s="161">
        <f t="shared" si="371"/>
        <v>0.13592805172669054</v>
      </c>
      <c r="DQ94" s="161">
        <f t="shared" si="371"/>
        <v>0.1364630552205581</v>
      </c>
      <c r="DR94" s="161">
        <f t="shared" si="371"/>
        <v>0.13789844070191359</v>
      </c>
      <c r="DS94" s="161">
        <f t="shared" ref="DS94:ED94" si="372">DS90/DS36</f>
        <v>0.13452724513015862</v>
      </c>
      <c r="DT94" s="161">
        <f t="shared" si="372"/>
        <v>0.13405351677574467</v>
      </c>
      <c r="DU94" s="161">
        <f t="shared" si="372"/>
        <v>0.13390873213036766</v>
      </c>
      <c r="DV94" s="161">
        <f t="shared" si="372"/>
        <v>0.13503864175248617</v>
      </c>
      <c r="DW94" s="161">
        <f t="shared" si="372"/>
        <v>0.13374346693165332</v>
      </c>
      <c r="DX94" s="161">
        <f t="shared" si="372"/>
        <v>0.13128603246404807</v>
      </c>
      <c r="DY94" s="161">
        <f t="shared" si="372"/>
        <v>0.13535401212116571</v>
      </c>
      <c r="DZ94" s="161">
        <f t="shared" si="372"/>
        <v>0.13382140213569585</v>
      </c>
      <c r="EA94" s="161">
        <f t="shared" si="372"/>
        <v>0.13421941141258045</v>
      </c>
      <c r="EB94" s="161">
        <f t="shared" si="372"/>
        <v>0.1336312082092222</v>
      </c>
      <c r="EC94" s="161">
        <f t="shared" si="372"/>
        <v>0.13418197629393161</v>
      </c>
      <c r="ED94" s="161">
        <f t="shared" si="372"/>
        <v>0.13554402477004249</v>
      </c>
      <c r="EE94" s="168"/>
      <c r="EF94" s="161">
        <f t="shared" si="371"/>
        <v>9.1895576114634059E-2</v>
      </c>
      <c r="EG94" s="161">
        <f t="shared" si="371"/>
        <v>9.4302682810753879E-2</v>
      </c>
      <c r="EH94" s="161">
        <f t="shared" si="371"/>
        <v>9.1876407607539429E-2</v>
      </c>
      <c r="EI94" s="161">
        <f t="shared" si="371"/>
        <v>0.13192820853633191</v>
      </c>
      <c r="EJ94" s="161">
        <f t="shared" si="371"/>
        <v>0.13889709733769562</v>
      </c>
      <c r="EK94" s="161">
        <f t="shared" si="371"/>
        <v>0.13583527562269412</v>
      </c>
      <c r="EL94" s="161">
        <f t="shared" si="371"/>
        <v>0.14036823472731674</v>
      </c>
      <c r="EM94" s="161">
        <f t="shared" si="371"/>
        <v>0.13262392666899134</v>
      </c>
      <c r="EN94" s="161">
        <f t="shared" ref="EN94:FJ94" si="373">EN90/EN36</f>
        <v>0.13088765742810946</v>
      </c>
      <c r="EO94" s="161">
        <f t="shared" si="373"/>
        <v>0.13583527562269412</v>
      </c>
      <c r="EP94" s="161">
        <f t="shared" si="373"/>
        <v>0.13509735005932541</v>
      </c>
      <c r="EQ94" s="161">
        <f t="shared" si="373"/>
        <v>0.12093088602023241</v>
      </c>
      <c r="ER94" s="161">
        <f t="shared" si="373"/>
        <v>0.13678212270858692</v>
      </c>
      <c r="ES94" s="161">
        <f t="shared" si="373"/>
        <v>0.13611032565946291</v>
      </c>
      <c r="ET94" s="161">
        <f t="shared" si="373"/>
        <v>0.13745639891316952</v>
      </c>
      <c r="EU94" s="161">
        <f t="shared" si="373"/>
        <v>0.13779363283118079</v>
      </c>
      <c r="EV94" s="161">
        <f t="shared" si="373"/>
        <v>0.13632641987020441</v>
      </c>
      <c r="EW94" s="161">
        <f t="shared" si="373"/>
        <v>0.13558802687917079</v>
      </c>
      <c r="EX94" s="161">
        <f t="shared" si="373"/>
        <v>0.13672471655312313</v>
      </c>
      <c r="EY94" s="161">
        <f t="shared" si="373"/>
        <v>0.13677829468858488</v>
      </c>
      <c r="EZ94" s="161">
        <f t="shared" si="373"/>
        <v>0.13416478085222852</v>
      </c>
      <c r="FA94" s="161">
        <f t="shared" si="373"/>
        <v>0.13342184448801489</v>
      </c>
      <c r="FB94" s="161">
        <f t="shared" si="373"/>
        <v>0.13446527037980074</v>
      </c>
      <c r="FC94" s="161">
        <f t="shared" si="373"/>
        <v>0.13446565571142158</v>
      </c>
      <c r="FE94" s="161">
        <f t="shared" si="373"/>
        <v>0.10168317083442104</v>
      </c>
      <c r="FF94" s="161">
        <f t="shared" si="373"/>
        <v>0.13658356427306639</v>
      </c>
      <c r="FG94" s="161">
        <f t="shared" si="373"/>
        <v>0.12996673776706344</v>
      </c>
      <c r="FH94" s="161">
        <f t="shared" si="373"/>
        <v>0.13709527869271901</v>
      </c>
      <c r="FI94" s="161">
        <f t="shared" si="373"/>
        <v>0.13638973139104729</v>
      </c>
      <c r="FJ94" s="161">
        <f t="shared" si="373"/>
        <v>0.13415857038881326</v>
      </c>
    </row>
    <row r="95" spans="2:166" x14ac:dyDescent="0.2">
      <c r="B95" s="22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68"/>
      <c r="EF95" s="165"/>
      <c r="EG95" s="165"/>
      <c r="EH95" s="165"/>
      <c r="EI95" s="165"/>
      <c r="EJ95" s="165"/>
      <c r="EK95" s="165"/>
      <c r="EL95" s="165"/>
      <c r="EM95" s="165"/>
      <c r="EN95" s="165"/>
      <c r="EO95" s="165"/>
      <c r="EP95" s="165"/>
      <c r="EQ95" s="165"/>
      <c r="ER95" s="165"/>
      <c r="ES95" s="165"/>
      <c r="ET95" s="165"/>
      <c r="EU95" s="165"/>
      <c r="EV95" s="165"/>
      <c r="EW95" s="165"/>
      <c r="EX95" s="165"/>
      <c r="EY95" s="165"/>
      <c r="EZ95" s="165">
        <f t="shared" si="304"/>
        <v>0</v>
      </c>
      <c r="FA95" s="165">
        <f t="shared" si="305"/>
        <v>0</v>
      </c>
      <c r="FB95" s="165">
        <f t="shared" si="306"/>
        <v>0</v>
      </c>
      <c r="FC95" s="165">
        <f t="shared" si="307"/>
        <v>0</v>
      </c>
      <c r="FE95" s="165"/>
      <c r="FF95" s="165"/>
      <c r="FG95" s="165"/>
      <c r="FH95" s="165"/>
      <c r="FI95" s="165"/>
      <c r="FJ95" s="165"/>
    </row>
    <row r="96" spans="2:166" s="30" customFormat="1" x14ac:dyDescent="0.2">
      <c r="B96" s="184" t="s">
        <v>40</v>
      </c>
      <c r="C96" s="182">
        <f>SUM(C97:C99)</f>
        <v>490698.28571428498</v>
      </c>
      <c r="D96" s="182">
        <f t="shared" ref="D96:BO96" si="374">SUM(D97:D99)</f>
        <v>527346.71428571397</v>
      </c>
      <c r="E96" s="182">
        <f t="shared" si="374"/>
        <v>492922.71428571397</v>
      </c>
      <c r="F96" s="182">
        <f t="shared" si="374"/>
        <v>514260.71428571397</v>
      </c>
      <c r="G96" s="182">
        <f t="shared" si="374"/>
        <v>544897.14285714296</v>
      </c>
      <c r="H96" s="182">
        <f t="shared" si="374"/>
        <v>651666.28571428603</v>
      </c>
      <c r="I96" s="182">
        <f t="shared" si="374"/>
        <v>569034</v>
      </c>
      <c r="J96" s="182">
        <f t="shared" si="374"/>
        <v>597510</v>
      </c>
      <c r="K96" s="182">
        <f t="shared" si="374"/>
        <v>1086277.768571429</v>
      </c>
      <c r="L96" s="182">
        <f t="shared" si="374"/>
        <v>1065059.1311234972</v>
      </c>
      <c r="M96" s="182">
        <f t="shared" si="374"/>
        <v>1230167.9099300704</v>
      </c>
      <c r="N96" s="182">
        <f t="shared" si="374"/>
        <v>1379633.0007468769</v>
      </c>
      <c r="O96" s="182">
        <f t="shared" si="374"/>
        <v>1205221.5877188244</v>
      </c>
      <c r="P96" s="182">
        <f t="shared" si="374"/>
        <v>1719063.7715214784</v>
      </c>
      <c r="Q96" s="182">
        <f t="shared" si="374"/>
        <v>2250600.7014745013</v>
      </c>
      <c r="R96" s="182">
        <f t="shared" si="374"/>
        <v>1978289.3550278069</v>
      </c>
      <c r="S96" s="182">
        <f t="shared" si="374"/>
        <v>2116570.125777605</v>
      </c>
      <c r="T96" s="182">
        <f t="shared" si="374"/>
        <v>1829822.615406916</v>
      </c>
      <c r="U96" s="182">
        <f t="shared" si="374"/>
        <v>1762607.7291509435</v>
      </c>
      <c r="V96" s="182">
        <f t="shared" si="374"/>
        <v>2453481.871608071</v>
      </c>
      <c r="W96" s="182">
        <f t="shared" si="374"/>
        <v>2525453.8076425493</v>
      </c>
      <c r="X96" s="182">
        <f t="shared" si="374"/>
        <v>2950997.7792284866</v>
      </c>
      <c r="Y96" s="182">
        <f t="shared" si="374"/>
        <v>2831552.5275569689</v>
      </c>
      <c r="Z96" s="182">
        <f t="shared" si="374"/>
        <v>2421067.0120969443</v>
      </c>
      <c r="AA96" s="182">
        <f t="shared" si="374"/>
        <v>2719351.8876621462</v>
      </c>
      <c r="AB96" s="182">
        <f t="shared" si="374"/>
        <v>2450650.2580282241</v>
      </c>
      <c r="AC96" s="182">
        <f t="shared" si="374"/>
        <v>2436892.2406303161</v>
      </c>
      <c r="AD96" s="182">
        <f t="shared" si="374"/>
        <v>4691606.1597363045</v>
      </c>
      <c r="AE96" s="182">
        <f t="shared" si="374"/>
        <v>5099394.6980991801</v>
      </c>
      <c r="AF96" s="182">
        <f t="shared" si="374"/>
        <v>4945122.9716704004</v>
      </c>
      <c r="AG96" s="182">
        <f t="shared" si="374"/>
        <v>5412294.8649296816</v>
      </c>
      <c r="AH96" s="182">
        <f t="shared" si="374"/>
        <v>5512191.2567806635</v>
      </c>
      <c r="AI96" s="182">
        <f t="shared" si="374"/>
        <v>6069603.7727316711</v>
      </c>
      <c r="AJ96" s="182">
        <f t="shared" si="374"/>
        <v>7825027.3001343738</v>
      </c>
      <c r="AK96" s="182">
        <f t="shared" si="374"/>
        <v>7699265.5860465486</v>
      </c>
      <c r="AL96" s="182">
        <f t="shared" si="374"/>
        <v>8780254.6538495868</v>
      </c>
      <c r="AM96" s="182">
        <f t="shared" si="374"/>
        <v>7662518.9870738126</v>
      </c>
      <c r="AN96" s="182">
        <f t="shared" si="374"/>
        <v>7166002.0035062563</v>
      </c>
      <c r="AO96" s="182">
        <f t="shared" si="374"/>
        <v>6320895.6052511586</v>
      </c>
      <c r="AP96" s="182">
        <f t="shared" si="374"/>
        <v>8740630.1134251468</v>
      </c>
      <c r="AQ96" s="182">
        <f t="shared" si="374"/>
        <v>10311638.343461031</v>
      </c>
      <c r="AR96" s="182">
        <f t="shared" si="374"/>
        <v>12123512.282062532</v>
      </c>
      <c r="AS96" s="182">
        <f t="shared" si="374"/>
        <v>15036008.468639493</v>
      </c>
      <c r="AT96" s="182">
        <f t="shared" si="374"/>
        <v>15255949.383047819</v>
      </c>
      <c r="AU96" s="182">
        <f t="shared" si="374"/>
        <v>16876051.191667166</v>
      </c>
      <c r="AV96" s="182">
        <f t="shared" si="374"/>
        <v>17338060.473478485</v>
      </c>
      <c r="AW96" s="182">
        <f t="shared" si="374"/>
        <v>17845580.133180406</v>
      </c>
      <c r="AX96" s="182">
        <f t="shared" si="374"/>
        <v>21903505.075555265</v>
      </c>
      <c r="AY96" s="182">
        <f t="shared" si="374"/>
        <v>22807176.636981707</v>
      </c>
      <c r="AZ96" s="182">
        <f t="shared" si="374"/>
        <v>24706506.198028147</v>
      </c>
      <c r="BA96" s="182">
        <f t="shared" si="374"/>
        <v>25855557.453659996</v>
      </c>
      <c r="BB96" s="182">
        <f t="shared" si="374"/>
        <v>27434670.191282004</v>
      </c>
      <c r="BC96" s="182">
        <f t="shared" si="374"/>
        <v>29833243.962256275</v>
      </c>
      <c r="BD96" s="182">
        <f t="shared" si="374"/>
        <v>32180118.186895091</v>
      </c>
      <c r="BE96" s="182">
        <f t="shared" si="374"/>
        <v>32774011.825485013</v>
      </c>
      <c r="BF96" s="182">
        <f t="shared" si="374"/>
        <v>34408241.537116967</v>
      </c>
      <c r="BG96" s="182">
        <f t="shared" si="374"/>
        <v>37517810.029989965</v>
      </c>
      <c r="BH96" s="182">
        <f t="shared" si="374"/>
        <v>39867656.937494129</v>
      </c>
      <c r="BI96" s="182">
        <f t="shared" si="374"/>
        <v>39284108.342832565</v>
      </c>
      <c r="BJ96" s="182">
        <f t="shared" si="374"/>
        <v>40201560.139961652</v>
      </c>
      <c r="BK96" s="182">
        <f t="shared" si="374"/>
        <v>41229810.069595516</v>
      </c>
      <c r="BL96" s="182">
        <f t="shared" si="374"/>
        <v>40944881.611584306</v>
      </c>
      <c r="BM96" s="182">
        <f t="shared" si="374"/>
        <v>43146189.813233897</v>
      </c>
      <c r="BN96" s="182">
        <f t="shared" si="374"/>
        <v>40901161.224612594</v>
      </c>
      <c r="BO96" s="182">
        <f t="shared" si="374"/>
        <v>40556599.402128868</v>
      </c>
      <c r="BP96" s="182">
        <f t="shared" ref="BP96:DR96" si="375">SUM(BP97:BP99)</f>
        <v>39666422.922983363</v>
      </c>
      <c r="BQ96" s="182">
        <f t="shared" si="375"/>
        <v>41249140.391345389</v>
      </c>
      <c r="BR96" s="182">
        <f t="shared" si="375"/>
        <v>41997939.064145744</v>
      </c>
      <c r="BS96" s="182">
        <f t="shared" si="375"/>
        <v>41942065.922505036</v>
      </c>
      <c r="BT96" s="182">
        <f t="shared" si="375"/>
        <v>40176193.21436432</v>
      </c>
      <c r="BU96" s="182">
        <f t="shared" si="375"/>
        <v>36667484.807361409</v>
      </c>
      <c r="BV96" s="182">
        <f t="shared" si="375"/>
        <v>37620876.564093038</v>
      </c>
      <c r="BW96" s="182">
        <f t="shared" si="375"/>
        <v>40013492.008101061</v>
      </c>
      <c r="BX96" s="182">
        <f t="shared" si="375"/>
        <v>41170666.761608519</v>
      </c>
      <c r="BY96" s="182">
        <f t="shared" si="375"/>
        <v>40752455.779164582</v>
      </c>
      <c r="BZ96" s="182">
        <f t="shared" si="375"/>
        <v>40629700.483477533</v>
      </c>
      <c r="CA96" s="182">
        <f t="shared" si="375"/>
        <v>40456894.703057408</v>
      </c>
      <c r="CB96" s="182">
        <f t="shared" si="375"/>
        <v>39090204.941205487</v>
      </c>
      <c r="CC96" s="182">
        <f t="shared" si="375"/>
        <v>40079213.319060832</v>
      </c>
      <c r="CD96" s="182">
        <f t="shared" si="375"/>
        <v>40852515.029706016</v>
      </c>
      <c r="CE96" s="182">
        <f t="shared" si="375"/>
        <v>42084929.893786117</v>
      </c>
      <c r="CF96" s="182">
        <f t="shared" si="375"/>
        <v>42684678.511083111</v>
      </c>
      <c r="CG96" s="182">
        <f t="shared" si="375"/>
        <v>43885393.880015194</v>
      </c>
      <c r="CH96" s="182">
        <f t="shared" si="375"/>
        <v>49537630.576941565</v>
      </c>
      <c r="CI96" s="182">
        <f t="shared" si="375"/>
        <v>52263259.884330705</v>
      </c>
      <c r="CJ96" s="182">
        <f t="shared" si="375"/>
        <v>51624330.255842417</v>
      </c>
      <c r="CK96" s="182">
        <f t="shared" si="375"/>
        <v>54553084.744503498</v>
      </c>
      <c r="CL96" s="182">
        <f t="shared" si="375"/>
        <v>58872570.47164306</v>
      </c>
      <c r="CM96" s="182">
        <f t="shared" si="375"/>
        <v>59294682.343570136</v>
      </c>
      <c r="CN96" s="182">
        <f t="shared" si="375"/>
        <v>60057906.342861906</v>
      </c>
      <c r="CO96" s="182">
        <f t="shared" si="375"/>
        <v>66172909.326547474</v>
      </c>
      <c r="CP96" s="182">
        <f t="shared" si="375"/>
        <v>64399478.430268504</v>
      </c>
      <c r="CQ96" s="182">
        <f t="shared" si="375"/>
        <v>70280674.586278006</v>
      </c>
      <c r="CR96" s="182">
        <f t="shared" si="375"/>
        <v>74032113.496049747</v>
      </c>
      <c r="CS96" s="182">
        <f t="shared" si="375"/>
        <v>72394782.049494028</v>
      </c>
      <c r="CT96" s="182">
        <f t="shared" si="375"/>
        <v>75882675.839217842</v>
      </c>
      <c r="CU96" s="182">
        <f t="shared" si="375"/>
        <v>81932285.215512127</v>
      </c>
      <c r="CV96" s="182">
        <f t="shared" si="375"/>
        <v>81717695.45996359</v>
      </c>
      <c r="CW96" s="182">
        <f t="shared" si="375"/>
        <v>81656097.750741243</v>
      </c>
      <c r="CX96" s="182">
        <f t="shared" si="375"/>
        <v>82365985.588163733</v>
      </c>
      <c r="CY96" s="182">
        <f t="shared" si="375"/>
        <v>81270650.670677349</v>
      </c>
      <c r="CZ96" s="182">
        <f t="shared" si="375"/>
        <v>80564567.669962138</v>
      </c>
      <c r="DA96" s="182">
        <f t="shared" si="375"/>
        <v>82577288.847054854</v>
      </c>
      <c r="DB96" s="182">
        <f t="shared" si="375"/>
        <v>81760488.12705566</v>
      </c>
      <c r="DC96" s="182">
        <f t="shared" si="375"/>
        <v>83474081.135645211</v>
      </c>
      <c r="DD96" s="182">
        <f t="shared" si="375"/>
        <v>83722282.018893749</v>
      </c>
      <c r="DE96" s="182">
        <f t="shared" si="375"/>
        <v>82909218.884241089</v>
      </c>
      <c r="DF96" s="182">
        <f t="shared" si="375"/>
        <v>84422973.026271939</v>
      </c>
      <c r="DG96" s="182">
        <f t="shared" si="375"/>
        <v>91430925.141917571</v>
      </c>
      <c r="DH96" s="182">
        <f t="shared" si="375"/>
        <v>91206024.082912624</v>
      </c>
      <c r="DI96" s="182">
        <f t="shared" si="375"/>
        <v>91104908.756880522</v>
      </c>
      <c r="DJ96" s="182">
        <f t="shared" si="375"/>
        <v>91918273.691287458</v>
      </c>
      <c r="DK96" s="182">
        <f t="shared" si="375"/>
        <v>90655714.13870883</v>
      </c>
      <c r="DL96" s="182">
        <f t="shared" si="375"/>
        <v>89849085.209841445</v>
      </c>
      <c r="DM96" s="182">
        <f t="shared" si="375"/>
        <v>92118233.293717936</v>
      </c>
      <c r="DN96" s="182">
        <f t="shared" si="375"/>
        <v>91154055.513140291</v>
      </c>
      <c r="DO96" s="182">
        <f t="shared" si="375"/>
        <v>93086001.991661862</v>
      </c>
      <c r="DP96" s="182">
        <f t="shared" si="375"/>
        <v>93338970.805270806</v>
      </c>
      <c r="DQ96" s="182">
        <f t="shared" si="375"/>
        <v>92375355.094431877</v>
      </c>
      <c r="DR96" s="182">
        <f t="shared" si="375"/>
        <v>94004660.052752286</v>
      </c>
      <c r="DS96" s="182">
        <f t="shared" ref="DS96:ED96" si="376">SUM(DS97:DS99)</f>
        <v>101506177.1653025</v>
      </c>
      <c r="DT96" s="182">
        <f t="shared" si="376"/>
        <v>101251566.93511969</v>
      </c>
      <c r="DU96" s="182">
        <f t="shared" si="376"/>
        <v>101136133.36811915</v>
      </c>
      <c r="DV96" s="182">
        <f t="shared" si="376"/>
        <v>102036499.90817901</v>
      </c>
      <c r="DW96" s="182">
        <f t="shared" si="376"/>
        <v>100629793.83645028</v>
      </c>
      <c r="DX96" s="182">
        <f t="shared" si="376"/>
        <v>99736200.289736122</v>
      </c>
      <c r="DY96" s="182">
        <f t="shared" si="376"/>
        <v>102244830.99163049</v>
      </c>
      <c r="DZ96" s="182">
        <f t="shared" si="376"/>
        <v>101172768.52294834</v>
      </c>
      <c r="EA96" s="182">
        <f t="shared" si="376"/>
        <v>103321188.86421476</v>
      </c>
      <c r="EB96" s="182">
        <f t="shared" si="376"/>
        <v>103603221.4416393</v>
      </c>
      <c r="EC96" s="182">
        <f t="shared" si="376"/>
        <v>102523605.69289806</v>
      </c>
      <c r="ED96" s="182">
        <f t="shared" si="376"/>
        <v>104336113.51287855</v>
      </c>
      <c r="EE96" s="333"/>
      <c r="EF96" s="224">
        <f>SUM(BK96:BM96)</f>
        <v>125320881.49441372</v>
      </c>
      <c r="EG96" s="224">
        <f>SUM(BN96:BP96)</f>
        <v>121124183.54972483</v>
      </c>
      <c r="EH96" s="224">
        <f>SUM(BQ96:BS96)</f>
        <v>125189145.37799616</v>
      </c>
      <c r="EI96" s="224">
        <f>SUM(BT96:BV96)</f>
        <v>114464554.58581877</v>
      </c>
      <c r="EJ96" s="224">
        <f>SUM(BW96:BY96)</f>
        <v>121936614.54887417</v>
      </c>
      <c r="EK96" s="224">
        <f>SUM(CL96:CN96)</f>
        <v>178225159.15807509</v>
      </c>
      <c r="EL96" s="224">
        <f>SUM(CC96:CE96)</f>
        <v>123016658.24255297</v>
      </c>
      <c r="EM96" s="224">
        <f>SUM(CF96:CH96)</f>
        <v>136107702.96803987</v>
      </c>
      <c r="EN96" s="224">
        <f>SUM(CI96:CK96)</f>
        <v>158440674.88467664</v>
      </c>
      <c r="EO96" s="224">
        <f>SUM(CL96:CN96)</f>
        <v>178225159.15807509</v>
      </c>
      <c r="EP96" s="224">
        <f>SUM(CO96:CQ96)</f>
        <v>200853062.34309399</v>
      </c>
      <c r="EQ96" s="224">
        <f>SUM(CR96:CT96)</f>
        <v>222309571.38476163</v>
      </c>
      <c r="ER96" s="224">
        <f>SUM(CU96:CW96)</f>
        <v>245306078.42621696</v>
      </c>
      <c r="ES96" s="224">
        <f>SUM(CX96:CZ96)</f>
        <v>244201203.92880324</v>
      </c>
      <c r="ET96" s="224">
        <f>SUM(DA96:DC96)</f>
        <v>247811858.10975572</v>
      </c>
      <c r="EU96" s="224">
        <f>SUM(DD96:DF96)</f>
        <v>251054473.92940676</v>
      </c>
      <c r="EV96" s="224">
        <f>SUM(DG96:DI96)</f>
        <v>273741857.98171073</v>
      </c>
      <c r="EW96" s="224">
        <f>SUM(DJ96:DL96)</f>
        <v>272423073.03983772</v>
      </c>
      <c r="EX96" s="224">
        <f>SUM(DM96:DO96)</f>
        <v>276358290.79852009</v>
      </c>
      <c r="EY96" s="224">
        <f>SUM(DP96:DR96)</f>
        <v>279718985.95245492</v>
      </c>
      <c r="EZ96" s="224">
        <f t="shared" si="304"/>
        <v>303893877.46854138</v>
      </c>
      <c r="FA96" s="224">
        <f t="shared" si="305"/>
        <v>302402494.03436542</v>
      </c>
      <c r="FB96" s="224">
        <f t="shared" si="306"/>
        <v>306738788.3787936</v>
      </c>
      <c r="FC96" s="224">
        <f t="shared" si="307"/>
        <v>310462940.64741594</v>
      </c>
      <c r="FE96" s="224">
        <f t="shared" si="308"/>
        <v>486098765.00795346</v>
      </c>
      <c r="FF96" s="224">
        <f t="shared" si="309"/>
        <v>559286134.9175421</v>
      </c>
      <c r="FG96" s="224">
        <f t="shared" si="310"/>
        <v>759828467.77060723</v>
      </c>
      <c r="FH96" s="224">
        <f t="shared" si="311"/>
        <v>988373614.39418268</v>
      </c>
      <c r="FI96" s="224">
        <f t="shared" si="312"/>
        <v>1102242207.7725234</v>
      </c>
      <c r="FJ96" s="224">
        <f t="shared" si="313"/>
        <v>1223498100.5291164</v>
      </c>
    </row>
    <row r="97" spans="2:166" x14ac:dyDescent="0.2">
      <c r="B97" s="155" t="s">
        <v>227</v>
      </c>
      <c r="C97" s="213">
        <f>'Offline Distribution'!B53</f>
        <v>490698.28571428498</v>
      </c>
      <c r="D97" s="213">
        <f>'Offline Distribution'!C53</f>
        <v>527346.71428571397</v>
      </c>
      <c r="E97" s="213">
        <f>'Offline Distribution'!D53</f>
        <v>492922.71428571397</v>
      </c>
      <c r="F97" s="213">
        <f>'Offline Distribution'!E53</f>
        <v>514260.71428571397</v>
      </c>
      <c r="G97" s="213">
        <f>'Offline Distribution'!F53</f>
        <v>544897.14285714296</v>
      </c>
      <c r="H97" s="213">
        <f>'Offline Distribution'!G53</f>
        <v>651666.28571428603</v>
      </c>
      <c r="I97" s="213">
        <f>'Offline Distribution'!H53</f>
        <v>569034</v>
      </c>
      <c r="J97" s="213">
        <f>'Offline Distribution'!I53</f>
        <v>597510</v>
      </c>
      <c r="K97" s="213">
        <f>'Offline Distribution'!J53</f>
        <v>1086277.768571429</v>
      </c>
      <c r="L97" s="213">
        <f>'Offline Distribution'!K53</f>
        <v>850515.39026107406</v>
      </c>
      <c r="M97" s="213">
        <f>'Offline Distribution'!L53</f>
        <v>977189.39804195845</v>
      </c>
      <c r="N97" s="213">
        <f>'Offline Distribution'!M53</f>
        <v>956411.93178299849</v>
      </c>
      <c r="O97" s="213">
        <f>'Offline Distribution'!N53</f>
        <v>801318.02043440682</v>
      </c>
      <c r="P97" s="213">
        <f>'Offline Distribution'!O53</f>
        <v>1320464.8938045523</v>
      </c>
      <c r="Q97" s="213">
        <f>'Offline Distribution'!P53</f>
        <v>1939177.3404338923</v>
      </c>
      <c r="R97" s="213">
        <f>'Offline Distribution'!Q53</f>
        <v>1573304.1128313041</v>
      </c>
      <c r="S97" s="213">
        <f>'Offline Distribution'!R53</f>
        <v>1699705.291718507</v>
      </c>
      <c r="T97" s="213">
        <f>'Offline Distribution'!S53</f>
        <v>1330533.0466932335</v>
      </c>
      <c r="U97" s="213">
        <f>'Offline Distribution'!T53</f>
        <v>1287703.1268782162</v>
      </c>
      <c r="V97" s="213">
        <f>'Offline Distribution'!U53</f>
        <v>1955594.6484347295</v>
      </c>
      <c r="W97" s="213">
        <f>'Offline Distribution'!V53</f>
        <v>2135933.8086260813</v>
      </c>
      <c r="X97" s="213">
        <f>'Offline Distribution'!W53</f>
        <v>2431175.1526706233</v>
      </c>
      <c r="Y97" s="213">
        <f>'Offline Distribution'!X53</f>
        <v>2462765.1070482247</v>
      </c>
      <c r="Z97" s="213">
        <f>'Offline Distribution'!Y53</f>
        <v>1942249.8419178082</v>
      </c>
      <c r="AA97" s="213">
        <f>'Offline Distribution'!Z53</f>
        <v>2580204.3767246464</v>
      </c>
      <c r="AB97" s="213">
        <f>'Offline Distribution'!AA53</f>
        <v>1828703.772851279</v>
      </c>
      <c r="AC97" s="213">
        <f>'Offline Distribution'!AB53</f>
        <v>1954209.0007295688</v>
      </c>
      <c r="AD97" s="213">
        <f>'Offline Distribution'!AC53</f>
        <v>2612445.6349083534</v>
      </c>
      <c r="AE97" s="213">
        <f>'Offline Distribution'!AD53</f>
        <v>2513736.5537111498</v>
      </c>
      <c r="AF97" s="213">
        <f>'Offline Distribution'!AE53</f>
        <v>1909840.5612438212</v>
      </c>
      <c r="AG97" s="213">
        <f>'Offline Distribution'!AF53</f>
        <v>1854879.108632315</v>
      </c>
      <c r="AH97" s="213">
        <f>'Offline Distribution'!AG53</f>
        <v>1914885.9991386868</v>
      </c>
      <c r="AI97" s="213">
        <f>'Offline Distribution'!AH53</f>
        <v>1916921.9579367037</v>
      </c>
      <c r="AJ97" s="213">
        <f>'Offline Distribution'!AI53</f>
        <v>2569519.8230690882</v>
      </c>
      <c r="AK97" s="213">
        <f>'Offline Distribution'!AJ53</f>
        <v>2731221.7017118135</v>
      </c>
      <c r="AL97" s="213">
        <f>'Offline Distribution'!AK53</f>
        <v>2097367.8272438515</v>
      </c>
      <c r="AM97" s="213">
        <f>'Offline Distribution'!AL53</f>
        <v>928909.97184044181</v>
      </c>
      <c r="AN97" s="213">
        <f>'Offline Distribution'!AM53</f>
        <v>1331265.6090894281</v>
      </c>
      <c r="AO97" s="213">
        <f>'Offline Distribution'!AN53</f>
        <v>1343530.5114143116</v>
      </c>
      <c r="AP97" s="213">
        <f>'Offline Distribution'!AO53</f>
        <v>1777810.3496144032</v>
      </c>
      <c r="AQ97" s="213">
        <f>'Offline Distribution'!AP53</f>
        <v>2105753.6585737341</v>
      </c>
      <c r="AR97" s="213">
        <f>'Offline Distribution'!AQ53</f>
        <v>2940147.1518503325</v>
      </c>
      <c r="AS97" s="213">
        <f>'Offline Distribution'!AR53</f>
        <v>3443267.6197614768</v>
      </c>
      <c r="AT97" s="213">
        <f>'Offline Distribution'!AS53</f>
        <v>2897664.2038411782</v>
      </c>
      <c r="AU97" s="213">
        <f>'Offline Distribution'!AT53</f>
        <v>2794549.6836031419</v>
      </c>
      <c r="AV97" s="213">
        <f>'Offline Distribution'!AU53</f>
        <v>2721820.4337430727</v>
      </c>
      <c r="AW97" s="213">
        <f>'Offline Distribution'!AV53</f>
        <v>2974043.4642445259</v>
      </c>
      <c r="AX97" s="213">
        <f>'Offline Distribution'!AW53</f>
        <v>4329145.4762027049</v>
      </c>
      <c r="AY97" s="213">
        <f>'Offline Distribution'!AX53</f>
        <v>3462549.9029636947</v>
      </c>
      <c r="AZ97" s="213">
        <f>'Offline Distribution'!AY53</f>
        <v>3506119.6110700136</v>
      </c>
      <c r="BA97" s="213">
        <f>'Offline Distribution'!AZ53</f>
        <v>2881340.097530758</v>
      </c>
      <c r="BB97" s="213">
        <f>'Offline Distribution'!BA53</f>
        <v>3001305.9495205162</v>
      </c>
      <c r="BC97" s="213">
        <f>'Offline Distribution'!BB53</f>
        <v>3042160.1227695374</v>
      </c>
      <c r="BD97" s="213">
        <f>'Offline Distribution'!BC53</f>
        <v>2622500.3375936691</v>
      </c>
      <c r="BE97" s="213">
        <f>'Offline Distribution'!BD53</f>
        <v>2088747.9422027697</v>
      </c>
      <c r="BF97" s="213">
        <f>'Offline Distribution'!BE53</f>
        <v>2100556.2866362217</v>
      </c>
      <c r="BG97" s="213">
        <f>'Offline Distribution'!BF53</f>
        <v>2229844.3032932845</v>
      </c>
      <c r="BH97" s="213">
        <f>'Offline Distribution'!BG53</f>
        <v>2398655.8778699739</v>
      </c>
      <c r="BI97" s="213">
        <f>'Offline Distribution'!BH53</f>
        <v>2671883.7266247575</v>
      </c>
      <c r="BJ97" s="213">
        <f>'Offline Distribution'!BI53</f>
        <v>2128807.0226115403</v>
      </c>
      <c r="BK97" s="213">
        <f>'Offline Distribution'!BJ53</f>
        <v>0</v>
      </c>
      <c r="BL97" s="213">
        <f>'Offline Distribution'!BK53</f>
        <v>0</v>
      </c>
      <c r="BM97" s="213">
        <f>'Offline Distribution'!BL53</f>
        <v>0</v>
      </c>
      <c r="BN97" s="213">
        <f>'Offline Distribution'!BM53</f>
        <v>0</v>
      </c>
      <c r="BO97" s="213">
        <f>'Offline Distribution'!BN53</f>
        <v>0</v>
      </c>
      <c r="BP97" s="213">
        <f>'Offline Distribution'!BO53</f>
        <v>0</v>
      </c>
      <c r="BQ97" s="213">
        <f>'Offline Distribution'!BP53</f>
        <v>0</v>
      </c>
      <c r="BR97" s="213">
        <f>'Offline Distribution'!BQ53</f>
        <v>0</v>
      </c>
      <c r="BS97" s="213">
        <f>'Offline Distribution'!BR53</f>
        <v>0</v>
      </c>
      <c r="BT97" s="213">
        <f>'Offline Distribution'!BS53</f>
        <v>0</v>
      </c>
      <c r="BU97" s="213">
        <f>'Offline Distribution'!BT53</f>
        <v>0</v>
      </c>
      <c r="BV97" s="213">
        <f>'Offline Distribution'!BU53</f>
        <v>0</v>
      </c>
      <c r="BW97" s="213">
        <f>'Offline Distribution'!BV53</f>
        <v>0</v>
      </c>
      <c r="BX97" s="213">
        <f>'Offline Distribution'!BW53</f>
        <v>0</v>
      </c>
      <c r="BY97" s="213">
        <f>'Offline Distribution'!BX53</f>
        <v>0</v>
      </c>
      <c r="BZ97" s="213">
        <f>'Offline Distribution'!BY53</f>
        <v>0</v>
      </c>
      <c r="CA97" s="213">
        <f>'Offline Distribution'!BZ53</f>
        <v>0</v>
      </c>
      <c r="CB97" s="213">
        <f>'Offline Distribution'!CA53</f>
        <v>0</v>
      </c>
      <c r="CC97" s="213">
        <f>'Offline Distribution'!CB53</f>
        <v>0</v>
      </c>
      <c r="CD97" s="213">
        <f>'Offline Distribution'!CC53</f>
        <v>0</v>
      </c>
      <c r="CE97" s="213">
        <f>'Offline Distribution'!CD53</f>
        <v>0</v>
      </c>
      <c r="CF97" s="213">
        <f>'Offline Distribution'!CE53</f>
        <v>0</v>
      </c>
      <c r="CG97" s="213">
        <f>'Offline Distribution'!CF53</f>
        <v>0</v>
      </c>
      <c r="CH97" s="213">
        <f>'Offline Distribution'!CG53</f>
        <v>0</v>
      </c>
      <c r="CI97" s="213">
        <f>'Offline Distribution'!CH53</f>
        <v>0</v>
      </c>
      <c r="CJ97" s="213">
        <f>'Offline Distribution'!CI53</f>
        <v>0</v>
      </c>
      <c r="CK97" s="213">
        <f>'Offline Distribution'!CJ53</f>
        <v>0</v>
      </c>
      <c r="CL97" s="213">
        <f>'Offline Distribution'!CK53</f>
        <v>0</v>
      </c>
      <c r="CM97" s="213">
        <f>'Offline Distribution'!CL53</f>
        <v>0</v>
      </c>
      <c r="CN97" s="213">
        <f>'Offline Distribution'!CM53</f>
        <v>0</v>
      </c>
      <c r="CO97" s="213">
        <f>'Offline Distribution'!CN53</f>
        <v>0</v>
      </c>
      <c r="CP97" s="213">
        <f>'Offline Distribution'!CO53</f>
        <v>0</v>
      </c>
      <c r="CQ97" s="213">
        <f>'Offline Distribution'!CP53</f>
        <v>0</v>
      </c>
      <c r="CR97" s="213">
        <f>'Offline Distribution'!CQ53</f>
        <v>0</v>
      </c>
      <c r="CS97" s="213">
        <f>'Offline Distribution'!CR53</f>
        <v>0</v>
      </c>
      <c r="CT97" s="213">
        <f>'Offline Distribution'!CS53</f>
        <v>0</v>
      </c>
      <c r="CU97" s="213">
        <f>'Offline Distribution'!CT53</f>
        <v>0</v>
      </c>
      <c r="CV97" s="213">
        <f>'Offline Distribution'!CU53</f>
        <v>0</v>
      </c>
      <c r="CW97" s="213">
        <f>'Offline Distribution'!CV53</f>
        <v>0</v>
      </c>
      <c r="CX97" s="213">
        <f>'Offline Distribution'!CW53</f>
        <v>0</v>
      </c>
      <c r="CY97" s="213">
        <f>'Offline Distribution'!CX53</f>
        <v>0</v>
      </c>
      <c r="CZ97" s="213">
        <f>'Offline Distribution'!CY53</f>
        <v>0</v>
      </c>
      <c r="DA97" s="213">
        <f>'Offline Distribution'!CZ53</f>
        <v>0</v>
      </c>
      <c r="DB97" s="213">
        <f>'Offline Distribution'!DA53</f>
        <v>0</v>
      </c>
      <c r="DC97" s="213">
        <f>'Offline Distribution'!DB53</f>
        <v>0</v>
      </c>
      <c r="DD97" s="213">
        <f>'Offline Distribution'!DC53</f>
        <v>0</v>
      </c>
      <c r="DE97" s="213">
        <f>'Offline Distribution'!DD53</f>
        <v>0</v>
      </c>
      <c r="DF97" s="213">
        <f>'Offline Distribution'!DE53</f>
        <v>0</v>
      </c>
      <c r="DG97" s="213">
        <f>'Offline Distribution'!DF53</f>
        <v>0</v>
      </c>
      <c r="DH97" s="213">
        <f>'Offline Distribution'!DG53</f>
        <v>0</v>
      </c>
      <c r="DI97" s="213">
        <f>'Offline Distribution'!DH53</f>
        <v>0</v>
      </c>
      <c r="DJ97" s="213">
        <f>'Offline Distribution'!DI53</f>
        <v>0</v>
      </c>
      <c r="DK97" s="213">
        <f>'Offline Distribution'!DJ53</f>
        <v>0</v>
      </c>
      <c r="DL97" s="213">
        <f>'Offline Distribution'!DK53</f>
        <v>0</v>
      </c>
      <c r="DM97" s="213">
        <f>'Offline Distribution'!DL53</f>
        <v>0</v>
      </c>
      <c r="DN97" s="213">
        <f>'Offline Distribution'!DM53</f>
        <v>0</v>
      </c>
      <c r="DO97" s="213">
        <f>'Offline Distribution'!DN53</f>
        <v>0</v>
      </c>
      <c r="DP97" s="213">
        <f>'Offline Distribution'!DO53</f>
        <v>0</v>
      </c>
      <c r="DQ97" s="213">
        <f>'Offline Distribution'!DP53</f>
        <v>0</v>
      </c>
      <c r="DR97" s="213">
        <f>'Offline Distribution'!DQ53</f>
        <v>0</v>
      </c>
      <c r="DS97" s="213">
        <f>'Offline Distribution'!DR53</f>
        <v>0</v>
      </c>
      <c r="DT97" s="213">
        <f>'Offline Distribution'!DS53</f>
        <v>0</v>
      </c>
      <c r="DU97" s="213">
        <f>'Offline Distribution'!DT53</f>
        <v>0</v>
      </c>
      <c r="DV97" s="213">
        <f>'Offline Distribution'!DU53</f>
        <v>0</v>
      </c>
      <c r="DW97" s="213">
        <f>'Offline Distribution'!DV53</f>
        <v>0</v>
      </c>
      <c r="DX97" s="213">
        <f>'Offline Distribution'!DW53</f>
        <v>0</v>
      </c>
      <c r="DY97" s="213">
        <f>'Offline Distribution'!DX53</f>
        <v>0</v>
      </c>
      <c r="DZ97" s="213">
        <f>'Offline Distribution'!DY53</f>
        <v>0</v>
      </c>
      <c r="EA97" s="213">
        <f>'Offline Distribution'!DZ53</f>
        <v>0</v>
      </c>
      <c r="EB97" s="213">
        <f>'Offline Distribution'!EA53</f>
        <v>0</v>
      </c>
      <c r="EC97" s="213">
        <f>'Offline Distribution'!EB53</f>
        <v>0</v>
      </c>
      <c r="ED97" s="213">
        <f>'Offline Distribution'!EC53</f>
        <v>0</v>
      </c>
      <c r="EE97" s="168"/>
      <c r="EF97" s="165">
        <f>SUM(BK97:BM97)</f>
        <v>0</v>
      </c>
      <c r="EG97" s="165">
        <f>SUM(BN97:BP97)</f>
        <v>0</v>
      </c>
      <c r="EH97" s="165">
        <f>SUM(BQ97:BS97)</f>
        <v>0</v>
      </c>
      <c r="EI97" s="165">
        <f>SUM(BT97:BV97)</f>
        <v>0</v>
      </c>
      <c r="EJ97" s="165">
        <f>SUM(BW97:BY97)</f>
        <v>0</v>
      </c>
      <c r="EK97" s="165">
        <f>SUM(CL97:CN97)</f>
        <v>0</v>
      </c>
      <c r="EL97" s="165">
        <f>SUM(CC97:CE97)</f>
        <v>0</v>
      </c>
      <c r="EM97" s="165">
        <f>SUM(CF97:CH97)</f>
        <v>0</v>
      </c>
      <c r="EN97" s="165">
        <f>SUM(CI97:CK97)</f>
        <v>0</v>
      </c>
      <c r="EO97" s="165">
        <f>SUM(CL97:CN97)</f>
        <v>0</v>
      </c>
      <c r="EP97" s="165">
        <f>SUM(CO97:CQ97)</f>
        <v>0</v>
      </c>
      <c r="EQ97" s="165">
        <f>SUM(CR97:CT97)</f>
        <v>0</v>
      </c>
      <c r="ER97" s="165">
        <f>SUM(CU97:CW97)</f>
        <v>0</v>
      </c>
      <c r="ES97" s="165">
        <f>SUM(CX97:CZ97)</f>
        <v>0</v>
      </c>
      <c r="ET97" s="165">
        <f>SUM(DA97:DC97)</f>
        <v>0</v>
      </c>
      <c r="EU97" s="165">
        <f>SUM(DD97:DF97)</f>
        <v>0</v>
      </c>
      <c r="EV97" s="165">
        <f>SUM(DG97:DI97)</f>
        <v>0</v>
      </c>
      <c r="EW97" s="165">
        <f>SUM(DJ97:DL97)</f>
        <v>0</v>
      </c>
      <c r="EX97" s="165">
        <f>SUM(DM97:DO97)</f>
        <v>0</v>
      </c>
      <c r="EY97" s="165">
        <f>SUM(DP97:DR97)</f>
        <v>0</v>
      </c>
      <c r="EZ97" s="165">
        <f t="shared" si="304"/>
        <v>0</v>
      </c>
      <c r="FA97" s="165">
        <f t="shared" si="305"/>
        <v>0</v>
      </c>
      <c r="FB97" s="165">
        <f t="shared" si="306"/>
        <v>0</v>
      </c>
      <c r="FC97" s="165">
        <f t="shared" si="307"/>
        <v>0</v>
      </c>
      <c r="FE97" s="165">
        <f t="shared" si="308"/>
        <v>0</v>
      </c>
      <c r="FF97" s="165">
        <f t="shared" si="309"/>
        <v>0</v>
      </c>
      <c r="FG97" s="165">
        <f t="shared" si="310"/>
        <v>0</v>
      </c>
      <c r="FH97" s="165">
        <f t="shared" si="311"/>
        <v>0</v>
      </c>
      <c r="FI97" s="165">
        <f t="shared" si="312"/>
        <v>0</v>
      </c>
      <c r="FJ97" s="165">
        <f t="shared" si="313"/>
        <v>0</v>
      </c>
    </row>
    <row r="98" spans="2:166" x14ac:dyDescent="0.2">
      <c r="B98" s="155" t="s">
        <v>228</v>
      </c>
      <c r="C98" s="220">
        <v>0</v>
      </c>
      <c r="D98" s="174">
        <v>0</v>
      </c>
      <c r="E98" s="174">
        <v>0</v>
      </c>
      <c r="F98" s="174">
        <v>0</v>
      </c>
      <c r="G98" s="174">
        <v>0</v>
      </c>
      <c r="H98" s="174">
        <v>0</v>
      </c>
      <c r="I98" s="174">
        <v>0</v>
      </c>
      <c r="J98" s="174">
        <v>0</v>
      </c>
      <c r="K98" s="174">
        <v>0</v>
      </c>
      <c r="L98" s="19">
        <f>'D2C Online'!C134</f>
        <v>214543.74086242303</v>
      </c>
      <c r="M98" s="19">
        <f>'D2C Online'!D134</f>
        <v>252978.51188811188</v>
      </c>
      <c r="N98" s="19">
        <f>'D2C Online'!E134</f>
        <v>423221.06896387838</v>
      </c>
      <c r="O98" s="19">
        <f>'D2C Online'!F134</f>
        <v>403903.56728441751</v>
      </c>
      <c r="P98" s="19">
        <f>'D2C Online'!G134</f>
        <v>398598.87771692628</v>
      </c>
      <c r="Q98" s="19">
        <f>'D2C Online'!H134</f>
        <v>311423.36104060913</v>
      </c>
      <c r="R98" s="19">
        <f>'D2C Online'!I134</f>
        <v>404985.24219650286</v>
      </c>
      <c r="S98" s="19">
        <f>'D2C Online'!J134</f>
        <v>416864.83405909792</v>
      </c>
      <c r="T98" s="19">
        <f>'D2C Online'!K134</f>
        <v>499289.56871368235</v>
      </c>
      <c r="U98" s="19">
        <f>'D2C Online'!L134</f>
        <v>474904.60227272724</v>
      </c>
      <c r="V98" s="19">
        <f>'D2C Online'!M134</f>
        <v>497887.22317334148</v>
      </c>
      <c r="W98" s="19">
        <f>'D2C Online'!N134</f>
        <v>389519.99901646789</v>
      </c>
      <c r="X98" s="19">
        <f>'D2C Online'!O134</f>
        <v>519822.62655786349</v>
      </c>
      <c r="Y98" s="19">
        <f>'D2C Online'!P134</f>
        <v>368787.42050874402</v>
      </c>
      <c r="Z98" s="19">
        <f>'D2C Online'!Q134</f>
        <v>478817.17017913586</v>
      </c>
      <c r="AA98" s="19">
        <f>'D2C Online'!R134</f>
        <v>139147.51093749999</v>
      </c>
      <c r="AB98" s="19">
        <f>'D2C Online'!S134</f>
        <v>621946.48517694522</v>
      </c>
      <c r="AC98" s="19">
        <f>'D2C Online'!T134</f>
        <v>482683.23990074714</v>
      </c>
      <c r="AD98" s="19">
        <f>'D2C Online'!U134</f>
        <v>367445.64951135137</v>
      </c>
      <c r="AE98" s="19">
        <f>'D2C Online'!V134</f>
        <v>373431.33573803882</v>
      </c>
      <c r="AF98" s="19">
        <f>'D2C Online'!W134</f>
        <v>347149.0004904588</v>
      </c>
      <c r="AG98" s="19">
        <f>'D2C Online'!X134</f>
        <v>435422.21273353865</v>
      </c>
      <c r="AH98" s="19">
        <f>'D2C Online'!Y134</f>
        <v>354897.69126976794</v>
      </c>
      <c r="AI98" s="19">
        <f>'D2C Online'!Z134</f>
        <v>392925.96638762066</v>
      </c>
      <c r="AJ98" s="19">
        <f>'D2C Online'!AA134</f>
        <v>346762.253289318</v>
      </c>
      <c r="AK98" s="19">
        <f>'D2C Online'!AB134</f>
        <v>245668.42700150507</v>
      </c>
      <c r="AL98" s="19">
        <f>'D2C Online'!AC134</f>
        <v>308201.97306525422</v>
      </c>
      <c r="AM98" s="19">
        <f>'D2C Online'!AD134</f>
        <v>362071.79454965505</v>
      </c>
      <c r="AN98" s="19">
        <f>'D2C Online'!AE134</f>
        <v>311187.31508626702</v>
      </c>
      <c r="AO98" s="19">
        <f>'D2C Online'!AF134</f>
        <v>270730.30862628418</v>
      </c>
      <c r="AP98" s="19">
        <f>'D2C Online'!AG134</f>
        <v>316414.53515993134</v>
      </c>
      <c r="AQ98" s="19">
        <f>'D2C Online'!AH134</f>
        <v>271128.45802260912</v>
      </c>
      <c r="AR98" s="19">
        <f>'D2C Online'!AI134</f>
        <v>308329.96415981342</v>
      </c>
      <c r="AS98" s="19">
        <f>'D2C Online'!AJ134</f>
        <v>389212.69714503048</v>
      </c>
      <c r="AT98" s="19">
        <f>'D2C Online'!AK134</f>
        <v>535432.21654927649</v>
      </c>
      <c r="AU98" s="19">
        <f>'D2C Online'!AL134</f>
        <v>474043.02762674761</v>
      </c>
      <c r="AV98" s="19">
        <f>'D2C Online'!AM134</f>
        <v>630635.32118296949</v>
      </c>
      <c r="AW98" s="19">
        <f>'D2C Online'!AN134</f>
        <v>640553.16399803117</v>
      </c>
      <c r="AX98" s="19">
        <f>'D2C Online'!AO134</f>
        <v>578536.17905740114</v>
      </c>
      <c r="AY98" s="19">
        <f>'D2C Online'!AP134</f>
        <v>709318.52002381487</v>
      </c>
      <c r="AZ98" s="19">
        <f>'D2C Online'!AQ134</f>
        <v>1158234.2118266444</v>
      </c>
      <c r="BA98" s="19">
        <f>'D2C Online'!AR134</f>
        <v>896822.43212682276</v>
      </c>
      <c r="BB98" s="19">
        <f>'D2C Online'!AS134</f>
        <v>949398.99515301082</v>
      </c>
      <c r="BC98" s="19">
        <f>'D2C Online'!AT134</f>
        <v>1361774.0577951805</v>
      </c>
      <c r="BD98" s="19">
        <f>'D2C Online'!AU134</f>
        <v>1600377.1263299575</v>
      </c>
      <c r="BE98" s="19">
        <f>'D2C Online'!AV134</f>
        <v>1644791.6195541818</v>
      </c>
      <c r="BF98" s="19">
        <f>'D2C Online'!AW134</f>
        <v>1254266.9149934249</v>
      </c>
      <c r="BG98" s="19">
        <f>'D2C Online'!AX134</f>
        <v>2138192.511109313</v>
      </c>
      <c r="BH98" s="19">
        <f>'D2C Online'!AY134</f>
        <v>1986689.0909876414</v>
      </c>
      <c r="BI98" s="19">
        <f>'D2C Online'!AZ134</f>
        <v>1745251.0520016593</v>
      </c>
      <c r="BJ98" s="19">
        <f>'D2C Online'!BA134</f>
        <v>1602491.2439195565</v>
      </c>
      <c r="BK98" s="19">
        <f>'D2C Online'!BB134</f>
        <v>8714673.8345939089</v>
      </c>
      <c r="BL98" s="19">
        <f>'D2C Online'!BC134</f>
        <v>8387934.3310181526</v>
      </c>
      <c r="BM98" s="19">
        <f>'D2C Online'!BD134</f>
        <v>8735396.1732494812</v>
      </c>
      <c r="BN98" s="19">
        <f>'D2C Online'!BE134</f>
        <v>8545863.803497497</v>
      </c>
      <c r="BO98" s="19">
        <f>'D2C Online'!BF134</f>
        <v>8307038.9739374351</v>
      </c>
      <c r="BP98" s="19">
        <f>'D2C Online'!BG134</f>
        <v>8099330.1557859201</v>
      </c>
      <c r="BQ98" s="19">
        <f>'D2C Online'!BH134</f>
        <v>8114653.693603361</v>
      </c>
      <c r="BR98" s="19">
        <f>'D2C Online'!BI134</f>
        <v>8878632.0866131596</v>
      </c>
      <c r="BS98" s="19">
        <f>'D2C Online'!BJ134</f>
        <v>8995375.6372000221</v>
      </c>
      <c r="BT98" s="19">
        <f>'D2C Online'!BK134</f>
        <v>8564917.642701555</v>
      </c>
      <c r="BU98" s="19">
        <f>'D2C Online'!BL134</f>
        <v>8188431.4224315658</v>
      </c>
      <c r="BV98" s="19">
        <f>'D2C Online'!BM134</f>
        <v>8251314.8234345606</v>
      </c>
      <c r="BW98" s="19">
        <f>'D2C Online'!BN134</f>
        <v>9249081.4455334209</v>
      </c>
      <c r="BX98" s="19">
        <f>'D2C Online'!BO134</f>
        <v>9073936.8769987635</v>
      </c>
      <c r="BY98" s="19">
        <f>'D2C Online'!BP134</f>
        <v>9006360.3346385956</v>
      </c>
      <c r="BZ98" s="19">
        <f>'D2C Online'!BQ134</f>
        <v>9190877.8964193687</v>
      </c>
      <c r="CA98" s="19">
        <f>'D2C Online'!BR134</f>
        <v>8750218.7652838882</v>
      </c>
      <c r="CB98" s="19">
        <f>'D2C Online'!BS134</f>
        <v>8658025.8681800198</v>
      </c>
      <c r="CC98" s="19">
        <f>'D2C Online'!BT134</f>
        <v>5820379.8844252666</v>
      </c>
      <c r="CD98" s="19">
        <f>'D2C Online'!BU134</f>
        <v>6778391.9709212817</v>
      </c>
      <c r="CE98" s="19">
        <f>'D2C Online'!BV134</f>
        <v>5812094.3977090679</v>
      </c>
      <c r="CF98" s="19">
        <f>'D2C Online'!BW134</f>
        <v>6020942.4705372863</v>
      </c>
      <c r="CG98" s="19">
        <f>'D2C Online'!BX134</f>
        <v>6100083.5904015219</v>
      </c>
      <c r="CH98" s="19">
        <f>'D2C Online'!BY134</f>
        <v>7965224.1090434529</v>
      </c>
      <c r="CI98" s="19">
        <f>'D2C Online'!BZ134</f>
        <v>6167028.4623858444</v>
      </c>
      <c r="CJ98" s="19">
        <f>'D2C Online'!CA134</f>
        <v>7509026.2065696586</v>
      </c>
      <c r="CK98" s="19">
        <f>'D2C Online'!CB134</f>
        <v>7629130.2045053942</v>
      </c>
      <c r="CL98" s="19">
        <f>'D2C Online'!CC134</f>
        <v>9534408.79947621</v>
      </c>
      <c r="CM98" s="19">
        <f>'D2C Online'!CD134</f>
        <v>8407527.8967166711</v>
      </c>
      <c r="CN98" s="19">
        <f>'D2C Online'!CE134</f>
        <v>8777124.8611775246</v>
      </c>
      <c r="CO98" s="19">
        <f>'D2C Online'!CF134</f>
        <v>8517352.5401461981</v>
      </c>
      <c r="CP98" s="19">
        <f>'D2C Online'!CG134</f>
        <v>7710994.4627630487</v>
      </c>
      <c r="CQ98" s="19">
        <f>'D2C Online'!CH134</f>
        <v>8100928.0383353913</v>
      </c>
      <c r="CR98" s="19">
        <f>'D2C Online'!CI134</f>
        <v>7882409.5874094702</v>
      </c>
      <c r="CS98" s="19">
        <f>'D2C Online'!CJ134</f>
        <v>7597391.1613454018</v>
      </c>
      <c r="CT98" s="19">
        <f>'D2C Online'!CK134</f>
        <v>7243720.1672302261</v>
      </c>
      <c r="CU98" s="19">
        <f>'D2C Online'!CL134</f>
        <v>8401586.7499249615</v>
      </c>
      <c r="CV98" s="19">
        <f>'D2C Online'!CM134</f>
        <v>8404565.9783921912</v>
      </c>
      <c r="CW98" s="19">
        <f>'D2C Online'!CN134</f>
        <v>8404354.4355424456</v>
      </c>
      <c r="CX98" s="19">
        <f>'D2C Online'!CO134</f>
        <v>8408814.4639578834</v>
      </c>
      <c r="CY98" s="19">
        <f>'D2C Online'!CP134</f>
        <v>8391503.2074204944</v>
      </c>
      <c r="CZ98" s="19">
        <f>'D2C Online'!CQ134</f>
        <v>8418051.8350633737</v>
      </c>
      <c r="DA98" s="19">
        <f>'D2C Online'!CR134</f>
        <v>8409501.978219552</v>
      </c>
      <c r="DB98" s="19">
        <f>'D2C Online'!CS134</f>
        <v>8410207.1210520323</v>
      </c>
      <c r="DC98" s="19">
        <f>'D2C Online'!CT134</f>
        <v>8478764.632939918</v>
      </c>
      <c r="DD98" s="19">
        <f>'D2C Online'!CU134</f>
        <v>8507428.6890802365</v>
      </c>
      <c r="DE98" s="19">
        <f>'D2C Online'!CV134</f>
        <v>8450558.9196407106</v>
      </c>
      <c r="DF98" s="19">
        <f>'D2C Online'!CW134</f>
        <v>8478094.7472490612</v>
      </c>
      <c r="DG98" s="19">
        <f>'D2C Online'!CX134</f>
        <v>9065845.8257537819</v>
      </c>
      <c r="DH98" s="19">
        <f>'D2C Online'!CY134</f>
        <v>9069374.7218732145</v>
      </c>
      <c r="DI98" s="19">
        <f>'D2C Online'!CZ134</f>
        <v>9069124.1493676919</v>
      </c>
      <c r="DJ98" s="19">
        <f>'D2C Online'!DA134</f>
        <v>9074407.0530257784</v>
      </c>
      <c r="DK98" s="19">
        <f>'D2C Online'!DB134</f>
        <v>9053901.8696572408</v>
      </c>
      <c r="DL98" s="19">
        <f>'D2C Online'!DC134</f>
        <v>9085348.7191002313</v>
      </c>
      <c r="DM98" s="19">
        <f>'D2C Online'!DD134</f>
        <v>9075221.4136687238</v>
      </c>
      <c r="DN98" s="19">
        <f>'D2C Online'!DE134</f>
        <v>9076056.6553537957</v>
      </c>
      <c r="DO98" s="19">
        <f>'D2C Online'!DF134</f>
        <v>9157263.0281849969</v>
      </c>
      <c r="DP98" s="19">
        <f>'D2C Online'!DG134</f>
        <v>9191215.6026832052</v>
      </c>
      <c r="DQ98" s="19">
        <f>'D2C Online'!DH134</f>
        <v>9123853.360782085</v>
      </c>
      <c r="DR98" s="19">
        <f>'D2C Online'!DI134</f>
        <v>9156469.5485841781</v>
      </c>
      <c r="DS98" s="19">
        <f>'D2C Online'!DJ134</f>
        <v>9798026.1841565315</v>
      </c>
      <c r="DT98" s="19">
        <f>'D2C Online'!DK134</f>
        <v>9802206.1616099998</v>
      </c>
      <c r="DU98" s="19">
        <f>'D2C Online'!DL134</f>
        <v>9801909.3584772088</v>
      </c>
      <c r="DV98" s="19">
        <f>'D2C Online'!DM134</f>
        <v>9808166.9578602109</v>
      </c>
      <c r="DW98" s="19">
        <f>'D2C Online'!DN134</f>
        <v>9783878.56816018</v>
      </c>
      <c r="DX98" s="19">
        <f>'D2C Online'!DO134</f>
        <v>9821127.3613254</v>
      </c>
      <c r="DY98" s="19">
        <f>'D2C Online'!DP134</f>
        <v>9809131.568041781</v>
      </c>
      <c r="DZ98" s="19">
        <f>'D2C Online'!DQ134</f>
        <v>9810120.9118177481</v>
      </c>
      <c r="EA98" s="19">
        <f>'D2C Online'!DR134</f>
        <v>9906309.8604363054</v>
      </c>
      <c r="EB98" s="19">
        <f>'D2C Online'!DS134</f>
        <v>9946526.6849294323</v>
      </c>
      <c r="EC98" s="19">
        <f>'D2C Online'!DT134</f>
        <v>9866736.1093975566</v>
      </c>
      <c r="ED98" s="19">
        <f>'D2C Online'!DU134</f>
        <v>9905369.9838491343</v>
      </c>
      <c r="EE98" s="168"/>
      <c r="EF98" s="165">
        <f>SUM(BK98:BM98)</f>
        <v>25838004.33886154</v>
      </c>
      <c r="EG98" s="165">
        <f>SUM(BN98:BP98)</f>
        <v>24952232.933220848</v>
      </c>
      <c r="EH98" s="165">
        <f>SUM(BQ98:BS98)</f>
        <v>25988661.417416543</v>
      </c>
      <c r="EI98" s="165">
        <f>SUM(BT98:BV98)</f>
        <v>25004663.888567682</v>
      </c>
      <c r="EJ98" s="165">
        <f>SUM(BW98:BY98)</f>
        <v>27329378.65717078</v>
      </c>
      <c r="EK98" s="165">
        <f>SUM(CL98:CN98)</f>
        <v>26719061.557370409</v>
      </c>
      <c r="EL98" s="165">
        <f>SUM(CC98:CE98)</f>
        <v>18410866.253055617</v>
      </c>
      <c r="EM98" s="165">
        <f>SUM(CF98:CH98)</f>
        <v>20086250.169982262</v>
      </c>
      <c r="EN98" s="165">
        <f>SUM(CI98:CK98)</f>
        <v>21305184.873460896</v>
      </c>
      <c r="EO98" s="165">
        <f>SUM(CL98:CN98)</f>
        <v>26719061.557370409</v>
      </c>
      <c r="EP98" s="165">
        <f>SUM(CO98:CQ98)</f>
        <v>24329275.041244637</v>
      </c>
      <c r="EQ98" s="165">
        <f>SUM(CR98:CT98)</f>
        <v>22723520.9159851</v>
      </c>
      <c r="ER98" s="165">
        <f>SUM(CU98:CW98)</f>
        <v>25210507.163859598</v>
      </c>
      <c r="ES98" s="165">
        <f>SUM(CX98:CZ98)</f>
        <v>25218369.50644175</v>
      </c>
      <c r="ET98" s="165">
        <f>SUM(DA98:DC98)</f>
        <v>25298473.7322115</v>
      </c>
      <c r="EU98" s="165">
        <f>SUM(DD98:DF98)</f>
        <v>25436082.35597001</v>
      </c>
      <c r="EV98" s="165">
        <f>SUM(DG98:DI98)</f>
        <v>27204344.696994685</v>
      </c>
      <c r="EW98" s="165">
        <f>SUM(DJ98:DL98)</f>
        <v>27213657.641783252</v>
      </c>
      <c r="EX98" s="165">
        <f>SUM(DM98:DO98)</f>
        <v>27308541.097207516</v>
      </c>
      <c r="EY98" s="165">
        <f>SUM(DP98:DR98)</f>
        <v>27471538.512049466</v>
      </c>
      <c r="EZ98" s="165">
        <f t="shared" si="304"/>
        <v>29402141.704243738</v>
      </c>
      <c r="FA98" s="165">
        <f t="shared" si="305"/>
        <v>29413172.887345791</v>
      </c>
      <c r="FB98" s="165">
        <f t="shared" si="306"/>
        <v>29525562.340295836</v>
      </c>
      <c r="FC98" s="165">
        <f t="shared" si="307"/>
        <v>29718632.778176125</v>
      </c>
      <c r="FE98" s="165">
        <f t="shared" si="308"/>
        <v>101783562.57806662</v>
      </c>
      <c r="FF98" s="165">
        <f t="shared" si="309"/>
        <v>92545556.637579054</v>
      </c>
      <c r="FG98" s="165">
        <f t="shared" si="310"/>
        <v>95077042.388061047</v>
      </c>
      <c r="FH98" s="165">
        <f t="shared" si="311"/>
        <v>101163432.75848286</v>
      </c>
      <c r="FI98" s="165">
        <f t="shared" si="312"/>
        <v>109198081.94803491</v>
      </c>
      <c r="FJ98" s="165">
        <f t="shared" si="313"/>
        <v>118059509.71006149</v>
      </c>
    </row>
    <row r="99" spans="2:166" x14ac:dyDescent="0.2">
      <c r="B99" s="155" t="s">
        <v>229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1711714.8753165998</v>
      </c>
      <c r="AE99" s="19">
        <v>2212226.8086499916</v>
      </c>
      <c r="AF99" s="19">
        <v>2688133.4099361203</v>
      </c>
      <c r="AG99" s="19">
        <v>3121993.5435638274</v>
      </c>
      <c r="AH99" s="19">
        <v>3242407.5663722092</v>
      </c>
      <c r="AI99" s="19">
        <v>3759755.8484073472</v>
      </c>
      <c r="AJ99" s="19">
        <v>4908745.223775968</v>
      </c>
      <c r="AK99" s="19">
        <v>4722375.4573332295</v>
      </c>
      <c r="AL99" s="544">
        <f>('D2C - Retail'!L146)+'D2C - Retail'!L152+(SUM('D2C - Retail'!L148,'D2C - Retail'!L151,'D2C - Retail'!L153,'D2C - Retail'!L154)*'D2C - Retail'!L75/SUM('D2C - Retail'!L75:L77))</f>
        <v>6374684.8535404801</v>
      </c>
      <c r="AM99" s="544">
        <f>('D2C - Retail'!M146)+'D2C - Retail'!M152+(SUM('D2C - Retail'!M148,'D2C - Retail'!M151,'D2C - Retail'!M153,'D2C - Retail'!M154)*'D2C - Retail'!M75/SUM('D2C - Retail'!M75:M77))</f>
        <v>6371537.2206837153</v>
      </c>
      <c r="AN99" s="544">
        <f>('D2C - Retail'!N146)+'D2C - Retail'!N152+(SUM('D2C - Retail'!N148,'D2C - Retail'!N151,'D2C - Retail'!N153,'D2C - Retail'!N154)*'D2C - Retail'!N75/SUM('D2C - Retail'!N75:N77))</f>
        <v>5523549.0793305617</v>
      </c>
      <c r="AO99" s="544">
        <f>('D2C - Retail'!O146)+'D2C - Retail'!O152+(SUM('D2C - Retail'!O148,'D2C - Retail'!O151,'D2C - Retail'!O153,'D2C - Retail'!O154)*'D2C - Retail'!O75/SUM('D2C - Retail'!O75:O77))</f>
        <v>4706634.7852105629</v>
      </c>
      <c r="AP99" s="544">
        <f>('D2C - Retail'!P146)+'D2C - Retail'!P152+(SUM('D2C - Retail'!P148,'D2C - Retail'!P151,'D2C - Retail'!P153,'D2C - Retail'!P154)*'D2C - Retail'!P75/SUM('D2C - Retail'!P75:P77))</f>
        <v>6646405.228650813</v>
      </c>
      <c r="AQ99" s="544">
        <f>('D2C - Retail'!Q146)+'D2C - Retail'!Q152+(SUM('D2C - Retail'!Q148,'D2C - Retail'!Q151,'D2C - Retail'!Q153,'D2C - Retail'!Q154)*'D2C - Retail'!Q75/SUM('D2C - Retail'!Q75:Q77))</f>
        <v>7934756.2268646881</v>
      </c>
      <c r="AR99" s="544">
        <f>('D2C - Retail'!R146)+'D2C - Retail'!R152+(SUM('D2C - Retail'!R148,'D2C - Retail'!R151,'D2C - Retail'!R153,'D2C - Retail'!R154)*'D2C - Retail'!R75/SUM('D2C - Retail'!R75:R77))</f>
        <v>8875035.1660523862</v>
      </c>
      <c r="AS99" s="544">
        <f>('D2C - Retail'!S146)+'D2C - Retail'!S152+(SUM('D2C - Retail'!S148,'D2C - Retail'!S151,'D2C - Retail'!S153,'D2C - Retail'!S154)*'D2C - Retail'!S75/SUM('D2C - Retail'!S75:S77))</f>
        <v>11203528.151732987</v>
      </c>
      <c r="AT99" s="544">
        <f>('D2C - Retail'!T146)+'D2C - Retail'!T152+(SUM('D2C - Retail'!T148,'D2C - Retail'!T151,'D2C - Retail'!T153,'D2C - Retail'!T154)*'D2C - Retail'!T75/SUM('D2C - Retail'!T75:T77))</f>
        <v>11822852.962657364</v>
      </c>
      <c r="AU99" s="544">
        <f>('D2C - Retail'!U146)+'D2C - Retail'!U152+(SUM('D2C - Retail'!U148,'D2C - Retail'!U151,'D2C - Retail'!U153,'D2C - Retail'!U154)*'D2C - Retail'!U75/SUM('D2C - Retail'!U75:U77))</f>
        <v>13607458.480437275</v>
      </c>
      <c r="AV99" s="544">
        <f>('D2C - Retail'!V146)+'D2C - Retail'!V152+(SUM('D2C - Retail'!V148,'D2C - Retail'!V151,'D2C - Retail'!V153,'D2C - Retail'!V154)*'D2C - Retail'!V75/SUM('D2C - Retail'!V75:V77))</f>
        <v>13985604.718552444</v>
      </c>
      <c r="AW99" s="544">
        <f>('D2C - Retail'!W146)+'D2C - Retail'!W152+(SUM('D2C - Retail'!W148,'D2C - Retail'!W151,'D2C - Retail'!W153,'D2C - Retail'!W154)*'D2C - Retail'!W75/SUM('D2C - Retail'!W75:W77))</f>
        <v>14230983.50493785</v>
      </c>
      <c r="AX99" s="544">
        <f>('D2C - Retail'!X146)+'D2C - Retail'!X152+(SUM('D2C - Retail'!X148,'D2C - Retail'!X151,'D2C - Retail'!X153,'D2C - Retail'!X154)*'D2C - Retail'!X75/SUM('D2C - Retail'!X75:X77))</f>
        <v>16995823.42029516</v>
      </c>
      <c r="AY99" s="544">
        <f>('D2C - Retail'!Y146)+'D2C - Retail'!Y152+(SUM('D2C - Retail'!Y148,'D2C - Retail'!Y151,'D2C - Retail'!Y153,'D2C - Retail'!Y154)*'D2C - Retail'!Y75/SUM('D2C - Retail'!Y75:Y77))</f>
        <v>18635308.213994198</v>
      </c>
      <c r="AZ99" s="544">
        <f>('D2C - Retail'!Z146)+'D2C - Retail'!Z152+(SUM('D2C - Retail'!Z148,'D2C - Retail'!Z151,'D2C - Retail'!Z153,'D2C - Retail'!Z154)*'D2C - Retail'!Z75/SUM('D2C - Retail'!Z75:Z77))</f>
        <v>20042152.375131488</v>
      </c>
      <c r="BA99" s="544">
        <f>('D2C - Retail'!AA146)+'D2C - Retail'!AA152+(SUM('D2C - Retail'!AA148,'D2C - Retail'!AA151,'D2C - Retail'!AA153,'D2C - Retail'!AA154)*'D2C - Retail'!AA75/SUM('D2C - Retail'!AA75:AA77))</f>
        <v>22077394.924002416</v>
      </c>
      <c r="BB99" s="544">
        <f>('D2C - Retail'!AB146)+'D2C - Retail'!AB152+(SUM('D2C - Retail'!AB148,'D2C - Retail'!AB151,'D2C - Retail'!AB153,'D2C - Retail'!AB154)*'D2C - Retail'!AB75/SUM('D2C - Retail'!AB75:AB77))</f>
        <v>23483965.246608477</v>
      </c>
      <c r="BC99" s="544">
        <f>('D2C - Retail'!AC146)+'D2C - Retail'!AC152+(SUM('D2C - Retail'!AC148,'D2C - Retail'!AC151,'D2C - Retail'!AC153,'D2C - Retail'!AC154)*'D2C - Retail'!AC75/SUM('D2C - Retail'!AC75:AC77))</f>
        <v>25429309.781691555</v>
      </c>
      <c r="BD99" s="544">
        <f>('D2C - Retail'!AD146)+'D2C - Retail'!AD152+(SUM('D2C - Retail'!AD148,'D2C - Retail'!AD151,'D2C - Retail'!AD153,'D2C - Retail'!AD154)*'D2C - Retail'!AD75/SUM('D2C - Retail'!AD75:AD77))</f>
        <v>27957240.722971465</v>
      </c>
      <c r="BE99" s="544">
        <f>('D2C - Retail'!AE146)+'D2C - Retail'!AE152+(SUM('D2C - Retail'!AE148,'D2C - Retail'!AE151,'D2C - Retail'!AE153,'D2C - Retail'!AE154)*'D2C - Retail'!AE75/SUM('D2C - Retail'!AE75:AE77))</f>
        <v>29040472.26372806</v>
      </c>
      <c r="BF99" s="544">
        <f>('D2C - Retail'!AF146)+'D2C - Retail'!AF152+(SUM('D2C - Retail'!AF148,'D2C - Retail'!AF151,'D2C - Retail'!AF153,'D2C - Retail'!AF154)*'D2C - Retail'!AF75/SUM('D2C - Retail'!AF75:AF77))</f>
        <v>31053418.335487321</v>
      </c>
      <c r="BG99" s="544">
        <f>('D2C - Retail'!AG146)+'D2C - Retail'!AG152+(SUM('D2C - Retail'!AG148,'D2C - Retail'!AG151,'D2C - Retail'!AG153,'D2C - Retail'!AG154)*'D2C - Retail'!AG75/SUM('D2C - Retail'!AG75:AG77))</f>
        <v>33149773.215587366</v>
      </c>
      <c r="BH99" s="544">
        <f>('D2C - Retail'!AH146)+'D2C - Retail'!AH152+(SUM('D2C - Retail'!AH148,'D2C - Retail'!AH151,'D2C - Retail'!AH153,'D2C - Retail'!AH154)*'D2C - Retail'!AH75/SUM('D2C - Retail'!AH75:AH77))</f>
        <v>35482311.968636513</v>
      </c>
      <c r="BI99" s="544">
        <f>('D2C - Retail'!AI146)+'D2C - Retail'!AI152+(SUM('D2C - Retail'!AI148,'D2C - Retail'!AI151,'D2C - Retail'!AI153,'D2C - Retail'!AI154)*'D2C - Retail'!AI75/SUM('D2C - Retail'!AI75:AI77))</f>
        <v>34866973.564206146</v>
      </c>
      <c r="BJ99" s="544">
        <f>('D2C - Retail'!AJ146)+'D2C - Retail'!AJ152+(SUM('D2C - Retail'!AJ148,'D2C - Retail'!AJ151,'D2C - Retail'!AJ153,'D2C - Retail'!AJ154)*'D2C - Retail'!AJ75/SUM('D2C - Retail'!AJ75:AJ77))</f>
        <v>36470261.873430558</v>
      </c>
      <c r="BK99" s="544">
        <f>('D2C - Retail'!AK146)+'D2C - Retail'!AK152+(SUM('D2C - Retail'!AK148,'D2C - Retail'!AK151,'D2C - Retail'!AK153,'D2C - Retail'!AK154)*'D2C - Retail'!AK75/SUM('D2C - Retail'!AK75:AK77))</f>
        <v>32515136.235001609</v>
      </c>
      <c r="BL99" s="544">
        <f>('D2C - Retail'!AL146)+'D2C - Retail'!AL152+(SUM('D2C - Retail'!AL148,'D2C - Retail'!AL151,'D2C - Retail'!AL153,'D2C - Retail'!AL154)*'D2C - Retail'!AL75/SUM('D2C - Retail'!AL75:AL77))</f>
        <v>32556947.280566156</v>
      </c>
      <c r="BM99" s="544">
        <f>('D2C - Retail'!AM146)+'D2C - Retail'!AM152+(SUM('D2C - Retail'!AM148,'D2C - Retail'!AM151,'D2C - Retail'!AM153,'D2C - Retail'!AM154)*'D2C - Retail'!AM75/SUM('D2C - Retail'!AM75:AM77))</f>
        <v>34410793.639984414</v>
      </c>
      <c r="BN99" s="544">
        <f>('D2C - Retail'!AN146)+'D2C - Retail'!AN152+(SUM('D2C - Retail'!AN148,'D2C - Retail'!AN151,'D2C - Retail'!AN153,'D2C - Retail'!AN154)*'D2C - Retail'!AN75/SUM('D2C - Retail'!AN75:AN77))</f>
        <v>32355297.4211151</v>
      </c>
      <c r="BO99" s="544">
        <f>('D2C - Retail'!AO146)+('D2C - Retail'!AO148*'D2C - Retail'!AO75/SUM('D2C - Retail'!AO75,'D2C - Retail'!AO76,'D2C - Retail'!AO77))+('D2C - Retail'!AO151*'D2C - Retail'!AO75/SUM('D2C - Retail'!AO75,'D2C - Retail'!AO76,'D2C - Retail'!AO77))+'D2C - Retail'!AO152+('D2C - Retail'!AO154*'D2C - Retail'!AO75/SUM('D2C - Retail'!AO75,'D2C - Retail'!AO76,'D2C - Retail'!AO77))+('D2C - Retail'!AO153*'D2C - Retail'!AO75/SUM('D2C - Retail'!AO75,'D2C - Retail'!AO76,'D2C - Retail'!AO77))+'D2C - Retail'!AO155</f>
        <v>32249560.428191435</v>
      </c>
      <c r="BP99" s="544">
        <f>('D2C - Retail'!AP146)+('D2C - Retail'!AP148*'D2C - Retail'!AP75/SUM('D2C - Retail'!AP75,'D2C - Retail'!AP76,'D2C - Retail'!AP77))+('D2C - Retail'!AP151*'D2C - Retail'!AP75/SUM('D2C - Retail'!AP75,'D2C - Retail'!AP76,'D2C - Retail'!AP77))+'D2C - Retail'!AP152+('D2C - Retail'!AP154*'D2C - Retail'!AP75/SUM('D2C - Retail'!AP75,'D2C - Retail'!AP76,'D2C - Retail'!AP77))+('D2C - Retail'!AP153*'D2C - Retail'!AP75/SUM('D2C - Retail'!AP75,'D2C - Retail'!AP76,'D2C - Retail'!AP77))+'D2C - Retail'!AP155</f>
        <v>31567092.767197445</v>
      </c>
      <c r="BQ99" s="544">
        <f>('D2C - Retail'!AQ146)+('D2C - Retail'!AQ148*'D2C - Retail'!AQ75/SUM('D2C - Retail'!AQ75,'D2C - Retail'!AQ76,'D2C - Retail'!AQ77))+('D2C - Retail'!AQ151*'D2C - Retail'!AQ75/SUM('D2C - Retail'!AQ75,'D2C - Retail'!AQ76,'D2C - Retail'!AQ77))+'D2C - Retail'!AQ152+('D2C - Retail'!AQ154*'D2C - Retail'!AQ75/SUM('D2C - Retail'!AQ75,'D2C - Retail'!AQ76,'D2C - Retail'!AQ77))+('D2C - Retail'!AQ153*'D2C - Retail'!AQ75/SUM('D2C - Retail'!AQ75,'D2C - Retail'!AQ76,'D2C - Retail'!AQ77))+'D2C - Retail'!AQ155</f>
        <v>33134486.697742026</v>
      </c>
      <c r="BR99" s="544">
        <f>('D2C - Retail'!AR146)+('D2C - Retail'!AR148*'D2C - Retail'!AR75/SUM('D2C - Retail'!AR75,'D2C - Retail'!AR76,'D2C - Retail'!AR77))+('D2C - Retail'!AR151*'D2C - Retail'!AR75/SUM('D2C - Retail'!AR75,'D2C - Retail'!AR76,'D2C - Retail'!AR77))+'D2C - Retail'!AR152+('D2C - Retail'!AR154*'D2C - Retail'!AR75/SUM('D2C - Retail'!AR75,'D2C - Retail'!AR76,'D2C - Retail'!AR77))+('D2C - Retail'!AR153*'D2C - Retail'!AR75/SUM('D2C - Retail'!AR75,'D2C - Retail'!AR76,'D2C - Retail'!AR77))+'D2C - Retail'!AR155</f>
        <v>33119306.97753258</v>
      </c>
      <c r="BS99" s="544">
        <f>('D2C - Retail'!AS146)+('D2C - Retail'!AS148*'D2C - Retail'!AS75/SUM('D2C - Retail'!AS75,'D2C - Retail'!AS76,'D2C - Retail'!AS77))+('D2C - Retail'!AS151*'D2C - Retail'!AS75/SUM('D2C - Retail'!AS75,'D2C - Retail'!AS76,'D2C - Retail'!AS77))+'D2C - Retail'!AS152+('D2C - Retail'!AS154*'D2C - Retail'!AS75/SUM('D2C - Retail'!AS75,'D2C - Retail'!AS76,'D2C - Retail'!AS77))+('D2C - Retail'!AS153*'D2C - Retail'!AS75/SUM('D2C - Retail'!AS75,'D2C - Retail'!AS76,'D2C - Retail'!AS77))+'D2C - Retail'!AS155</f>
        <v>32946690.285305016</v>
      </c>
      <c r="BT99" s="544">
        <f>('D2C - Retail'!AT146)+('D2C - Retail'!AT148*'D2C - Retail'!AT75/SUM('D2C - Retail'!AT75,'D2C - Retail'!AT76,'D2C - Retail'!AT77))+('D2C - Retail'!AT151*'D2C - Retail'!AT75/SUM('D2C - Retail'!AT75,'D2C - Retail'!AT76,'D2C - Retail'!AT77))+'D2C - Retail'!AT152+('D2C - Retail'!AT154*'D2C - Retail'!AT75/SUM('D2C - Retail'!AT75,'D2C - Retail'!AT76,'D2C - Retail'!AT77))+('D2C - Retail'!AT153*'D2C - Retail'!AT75/SUM('D2C - Retail'!AT75,'D2C - Retail'!AT76,'D2C - Retail'!AT77))+'D2C - Retail'!AT155</f>
        <v>31611275.571662769</v>
      </c>
      <c r="BU99" s="544">
        <f>('D2C - Retail'!AU146)+('D2C - Retail'!AU148*'D2C - Retail'!AU75/SUM('D2C - Retail'!AU75,'D2C - Retail'!AU76,'D2C - Retail'!AU77))+('D2C - Retail'!AU151*'D2C - Retail'!AU75/SUM('D2C - Retail'!AU75,'D2C - Retail'!AU76,'D2C - Retail'!AU77))+'D2C - Retail'!AU152+('D2C - Retail'!AU154*'D2C - Retail'!AU75/SUM('D2C - Retail'!AU75,'D2C - Retail'!AU76,'D2C - Retail'!AU77))+('D2C - Retail'!AU153*'D2C - Retail'!AU75/SUM('D2C - Retail'!AU75,'D2C - Retail'!AU76,'D2C - Retail'!AU77))+'D2C - Retail'!AU155</f>
        <v>28479053.384929847</v>
      </c>
      <c r="BV99" s="544">
        <f>('D2C - Retail'!AV146)+('D2C - Retail'!AV148*'D2C - Retail'!AV75/SUM('D2C - Retail'!AV75,'D2C - Retail'!AV76,'D2C - Retail'!AV77))+('D2C - Retail'!AV151*'D2C - Retail'!AV75/SUM('D2C - Retail'!AV75,'D2C - Retail'!AV76,'D2C - Retail'!AV77))+'D2C - Retail'!AV152+('D2C - Retail'!AV154*'D2C - Retail'!AV75/SUM('D2C - Retail'!AV75,'D2C - Retail'!AV76,'D2C - Retail'!AV77))+('D2C - Retail'!AV153*'D2C - Retail'!AV75/SUM('D2C - Retail'!AV75,'D2C - Retail'!AV76,'D2C - Retail'!AV77))+'D2C - Retail'!AV155</f>
        <v>29369561.740658477</v>
      </c>
      <c r="BW99" s="544">
        <f>('D2C - Retail'!AW146)+('D2C - Retail'!AW148*'D2C - Retail'!AW75/SUM('D2C - Retail'!AW75,'D2C - Retail'!AW76,'D2C - Retail'!AW77))+('D2C - Retail'!AW151*'D2C - Retail'!AW75/SUM('D2C - Retail'!AW75,'D2C - Retail'!AW76,'D2C - Retail'!AW77))+'D2C - Retail'!AW152+('D2C - Retail'!AW154*'D2C - Retail'!AW75/SUM('D2C - Retail'!AW75,'D2C - Retail'!AW76,'D2C - Retail'!AW77))+('D2C - Retail'!AW153*'D2C - Retail'!AW75/SUM('D2C - Retail'!AW75,'D2C - Retail'!AW76,'D2C - Retail'!AW77))+'D2C - Retail'!AW155</f>
        <v>30764410.56256764</v>
      </c>
      <c r="BX99" s="544">
        <f>('D2C - Retail'!AX146)+('D2C - Retail'!AX148*'D2C - Retail'!AX75/SUM('D2C - Retail'!AX75,'D2C - Retail'!AX76,'D2C - Retail'!AX77))+('D2C - Retail'!AX151*'D2C - Retail'!AX75/SUM('D2C - Retail'!AX75,'D2C - Retail'!AX76,'D2C - Retail'!AX77))+'D2C - Retail'!AX152+('D2C - Retail'!AX154*'D2C - Retail'!AX75/SUM('D2C - Retail'!AX75,'D2C - Retail'!AX76,'D2C - Retail'!AX77))+('D2C - Retail'!AX153*'D2C - Retail'!AX75/SUM('D2C - Retail'!AX75,'D2C - Retail'!AX76,'D2C - Retail'!AX77))+'D2C - Retail'!AX155</f>
        <v>32096729.884609755</v>
      </c>
      <c r="BY99" s="544">
        <f>('D2C - Retail'!AY146)+('D2C - Retail'!AY148*'D2C - Retail'!AY75/SUM('D2C - Retail'!AY75,'D2C - Retail'!AY76,'D2C - Retail'!AY77))+('D2C - Retail'!AY151*'D2C - Retail'!AY75/SUM('D2C - Retail'!AY75,'D2C - Retail'!AY76,'D2C - Retail'!AY77))+'D2C - Retail'!AY152+('D2C - Retail'!AY154*'D2C - Retail'!AY75/SUM('D2C - Retail'!AY75,'D2C - Retail'!AY76,'D2C - Retail'!AY77))+('D2C - Retail'!AY153*'D2C - Retail'!AY75/SUM('D2C - Retail'!AY75,'D2C - Retail'!AY76,'D2C - Retail'!AY77))+'D2C - Retail'!AY155</f>
        <v>31746095.444525991</v>
      </c>
      <c r="BZ99" s="544">
        <f>('D2C - Retail'!AZ146)+('D2C - Retail'!AZ148*'D2C - Retail'!AZ75/SUM('D2C - Retail'!AZ75,'D2C - Retail'!AZ76,'D2C - Retail'!AZ77))+('D2C - Retail'!AZ151*'D2C - Retail'!AZ75/SUM('D2C - Retail'!AZ75,'D2C - Retail'!AZ76,'D2C - Retail'!AZ77))+'D2C - Retail'!AZ152+('D2C - Retail'!AZ154*'D2C - Retail'!AZ75/SUM('D2C - Retail'!AZ75,'D2C - Retail'!AZ76,'D2C - Retail'!AZ77))+('D2C - Retail'!AZ153*'D2C - Retail'!AZ75/SUM('D2C - Retail'!AZ75,'D2C - Retail'!AZ76,'D2C - Retail'!AZ77))+'D2C - Retail'!AZ155</f>
        <v>31438822.587058168</v>
      </c>
      <c r="CA99" s="544">
        <f>('D2C - Retail'!BA146)+('D2C - Retail'!BA148*'D2C - Retail'!BA75/SUM('D2C - Retail'!BA75,'D2C - Retail'!BA76,'D2C - Retail'!BA77))+('D2C - Retail'!BA151*'D2C - Retail'!BA75/SUM('D2C - Retail'!BA75,'D2C - Retail'!BA76,'D2C - Retail'!BA77))+'D2C - Retail'!BA152+('D2C - Retail'!BA154*'D2C - Retail'!BA75/SUM('D2C - Retail'!BA75,'D2C - Retail'!BA76,'D2C - Retail'!BA77))+('D2C - Retail'!BA153*'D2C - Retail'!BA75/SUM('D2C - Retail'!BA75,'D2C - Retail'!BA76,'D2C - Retail'!BA77))+'D2C - Retail'!BA155</f>
        <v>31706675.937773518</v>
      </c>
      <c r="CB99" s="544">
        <f>('D2C - Retail'!BB146)+('D2C - Retail'!BB148*'D2C - Retail'!BB75/SUM('D2C - Retail'!BB75,'D2C - Retail'!BB76,'D2C - Retail'!BB77))+('D2C - Retail'!BB151*'D2C - Retail'!BB75/SUM('D2C - Retail'!BB75,'D2C - Retail'!BB76,'D2C - Retail'!BB77))+'D2C - Retail'!BB152+('D2C - Retail'!BB154*'D2C - Retail'!BB75/SUM('D2C - Retail'!BB75,'D2C - Retail'!BB76,'D2C - Retail'!BB77))+('D2C - Retail'!BB153*'D2C - Retail'!BB75/SUM('D2C - Retail'!BB75,'D2C - Retail'!BB76,'D2C - Retail'!BB77))+'D2C - Retail'!BB155</f>
        <v>30432179.073025469</v>
      </c>
      <c r="CC99" s="544">
        <f>('D2C - Retail'!BC146)+('D2C - Retail'!BC148*'D2C - Retail'!BC75/SUM('D2C - Retail'!BC75,'D2C - Retail'!BC76,'D2C - Retail'!BC77))+('D2C - Retail'!BC151*'D2C - Retail'!BC75/SUM('D2C - Retail'!BC75,'D2C - Retail'!BC76,'D2C - Retail'!BC77))+'D2C - Retail'!BC152+('D2C - Retail'!BC154*'D2C - Retail'!BC75/SUM('D2C - Retail'!BC75,'D2C - Retail'!BC76,'D2C - Retail'!BC77))+('D2C - Retail'!BC153*'D2C - Retail'!BC75/SUM('D2C - Retail'!BC75,'D2C - Retail'!BC76,'D2C - Retail'!BC77))+'D2C - Retail'!BC155</f>
        <v>34258833.434635565</v>
      </c>
      <c r="CD99" s="544">
        <f>('D2C - Retail'!BD146)+('D2C - Retail'!BD148*'D2C - Retail'!BD75/SUM('D2C - Retail'!BD75,'D2C - Retail'!BD76,'D2C - Retail'!BD77))+('D2C - Retail'!BD151*'D2C - Retail'!BD75/SUM('D2C - Retail'!BD75,'D2C - Retail'!BD76,'D2C - Retail'!BD77))+'D2C - Retail'!BD152+('D2C - Retail'!BD154*'D2C - Retail'!BD75/SUM('D2C - Retail'!BD75,'D2C - Retail'!BD76,'D2C - Retail'!BD77))+('D2C - Retail'!BD153*'D2C - Retail'!BD75/SUM('D2C - Retail'!BD75,'D2C - Retail'!BD76,'D2C - Retail'!BD77))+'D2C - Retail'!BD155</f>
        <v>34074123.058784731</v>
      </c>
      <c r="CE99" s="544">
        <f>('D2C - Retail'!BE146)+('D2C - Retail'!BE148*'D2C - Retail'!BE75/SUM('D2C - Retail'!BE75,'D2C - Retail'!BE76,'D2C - Retail'!BE77))+('D2C - Retail'!BE151*'D2C - Retail'!BE75/SUM('D2C - Retail'!BE75,'D2C - Retail'!BE76,'D2C - Retail'!BE77))+'D2C - Retail'!BE152+('D2C - Retail'!BE154*'D2C - Retail'!BE75/SUM('D2C - Retail'!BE75,'D2C - Retail'!BE76,'D2C - Retail'!BE77))+('D2C - Retail'!BE153*'D2C - Retail'!BE75/SUM('D2C - Retail'!BE75,'D2C - Retail'!BE76,'D2C - Retail'!BE77))+'D2C - Retail'!BE155</f>
        <v>36272835.496077053</v>
      </c>
      <c r="CF99" s="544">
        <f>('D2C - Retail'!BF146)+('D2C - Retail'!BF148*'D2C - Retail'!BF75/SUM('D2C - Retail'!BF75,'D2C - Retail'!BF76,'D2C - Retail'!BF77))+('D2C - Retail'!BF151*'D2C - Retail'!BF75/SUM('D2C - Retail'!BF75,'D2C - Retail'!BF76,'D2C - Retail'!BF77))+'D2C - Retail'!BF152+('D2C - Retail'!BF154*'D2C - Retail'!BF75/SUM('D2C - Retail'!BF75,'D2C - Retail'!BF76,'D2C - Retail'!BF77))+('D2C - Retail'!BF153*'D2C - Retail'!BF75/SUM('D2C - Retail'!BF75,'D2C - Retail'!BF76,'D2C - Retail'!BF77))+'D2C - Retail'!BF155</f>
        <v>36663736.040545829</v>
      </c>
      <c r="CG99" s="544">
        <f>('D2C - Retail'!BG146)+('D2C - Retail'!BG148*'D2C - Retail'!BG75/SUM('D2C - Retail'!BG75,'D2C - Retail'!BG76,'D2C - Retail'!BG77))+('D2C - Retail'!BG151*'D2C - Retail'!BG75/SUM('D2C - Retail'!BG75,'D2C - Retail'!BG76,'D2C - Retail'!BG77))+'D2C - Retail'!BG152+('D2C - Retail'!BG154*'D2C - Retail'!BG75/SUM('D2C - Retail'!BG75,'D2C - Retail'!BG76,'D2C - Retail'!BG77))+('D2C - Retail'!BG153*'D2C - Retail'!BG75/SUM('D2C - Retail'!BG75,'D2C - Retail'!BG76,'D2C - Retail'!BG77))+'D2C - Retail'!BG155</f>
        <v>37785310.289613672</v>
      </c>
      <c r="CH99" s="544">
        <f>('D2C - Retail'!BH146)+('D2C - Retail'!BH148*'D2C - Retail'!BH75/SUM('D2C - Retail'!BH75,'D2C - Retail'!BH76,'D2C - Retail'!BH77))+('D2C - Retail'!BH151*'D2C - Retail'!BH75/SUM('D2C - Retail'!BH75,'D2C - Retail'!BH76,'D2C - Retail'!BH77))+'D2C - Retail'!BH152+('D2C - Retail'!BH154*'D2C - Retail'!BH75/SUM('D2C - Retail'!BH75,'D2C - Retail'!BH76,'D2C - Retail'!BH77))+('D2C - Retail'!BH153*'D2C - Retail'!BH75/SUM('D2C - Retail'!BH75,'D2C - Retail'!BH76,'D2C - Retail'!BH77))+'D2C - Retail'!BH155</f>
        <v>41572406.467898108</v>
      </c>
      <c r="CI99" s="544">
        <f>('D2C - Retail'!BI146)+('D2C - Retail'!BI148*'D2C - Retail'!BI75/SUM('D2C - Retail'!BI75,'D2C - Retail'!BI76,'D2C - Retail'!BI77))+('D2C - Retail'!BI151*'D2C - Retail'!BI75/SUM('D2C - Retail'!BI75,'D2C - Retail'!BI76,'D2C - Retail'!BI77))+'D2C - Retail'!BI152+('D2C - Retail'!BI154*'D2C - Retail'!BI75/SUM('D2C - Retail'!BI75,'D2C - Retail'!BI76,'D2C - Retail'!BI77))+('D2C - Retail'!BI153*'D2C - Retail'!BI75/SUM('D2C - Retail'!BI75,'D2C - Retail'!BI76,'D2C - Retail'!BI77))+'D2C - Retail'!BI155</f>
        <v>46096231.421944864</v>
      </c>
      <c r="CJ99" s="544">
        <f>('D2C - Retail'!BJ146)+('D2C - Retail'!BJ148*'D2C - Retail'!BJ75/SUM('D2C - Retail'!BJ75,'D2C - Retail'!BJ76,'D2C - Retail'!BJ77))+('D2C - Retail'!BJ151*'D2C - Retail'!BJ75/SUM('D2C - Retail'!BJ75,'D2C - Retail'!BJ76,'D2C - Retail'!BJ77))+'D2C - Retail'!BJ152+('D2C - Retail'!BJ154*'D2C - Retail'!BJ75/SUM('D2C - Retail'!BJ75,'D2C - Retail'!BJ76,'D2C - Retail'!BJ77))+('D2C - Retail'!BJ153*'D2C - Retail'!BJ75/SUM('D2C - Retail'!BJ75,'D2C - Retail'!BJ76,'D2C - Retail'!BJ77))+'D2C - Retail'!BJ155</f>
        <v>44115304.049272761</v>
      </c>
      <c r="CK99" s="544">
        <f>('D2C - Retail'!BK146)+('D2C - Retail'!BK148*'D2C - Retail'!BK75/SUM('D2C - Retail'!BK75,'D2C - Retail'!BK76,'D2C - Retail'!BK77))+('D2C - Retail'!BK151*'D2C - Retail'!BK75/SUM('D2C - Retail'!BK75,'D2C - Retail'!BK76,'D2C - Retail'!BK77))+'D2C - Retail'!BK152+('D2C - Retail'!BK154*'D2C - Retail'!BK75/SUM('D2C - Retail'!BK75,'D2C - Retail'!BK76,'D2C - Retail'!BK77))+('D2C - Retail'!BK153*'D2C - Retail'!BK75/SUM('D2C - Retail'!BK75,'D2C - Retail'!BK76,'D2C - Retail'!BK77))+'D2C - Retail'!BK155</f>
        <v>46923954.539998107</v>
      </c>
      <c r="CL99" s="544">
        <f>('D2C - Retail'!BL146)+('D2C - Retail'!BL148*'D2C - Retail'!BL75/SUM('D2C - Retail'!BL75,'D2C - Retail'!BL76,'D2C - Retail'!BL77))+('D2C - Retail'!BL151*'D2C - Retail'!BL75/SUM('D2C - Retail'!BL75,'D2C - Retail'!BL76,'D2C - Retail'!BL77))+'D2C - Retail'!BL152+('D2C - Retail'!BL154*'D2C - Retail'!BL75/SUM('D2C - Retail'!BL75,'D2C - Retail'!BL76,'D2C - Retail'!BL77))+('D2C - Retail'!BL153*'D2C - Retail'!BL75/SUM('D2C - Retail'!BL75,'D2C - Retail'!BL76,'D2C - Retail'!BL77))+'D2C - Retail'!BL155</f>
        <v>49338161.672166854</v>
      </c>
      <c r="CM99" s="544">
        <f>('D2C - Retail'!BM146)+('D2C - Retail'!BM148*'D2C - Retail'!BM75/SUM('D2C - Retail'!BM75,'D2C - Retail'!BM76,'D2C - Retail'!BM77))+('D2C - Retail'!BM151*'D2C - Retail'!BM75/SUM('D2C - Retail'!BM75,'D2C - Retail'!BM76,'D2C - Retail'!BM77))+'D2C - Retail'!BM152+('D2C - Retail'!BM154*'D2C - Retail'!BM75/SUM('D2C - Retail'!BM75,'D2C - Retail'!BM76,'D2C - Retail'!BM77))+('D2C - Retail'!BM153*'D2C - Retail'!BM75/SUM('D2C - Retail'!BM75,'D2C - Retail'!BM76,'D2C - Retail'!BM77))+'D2C - Retail'!BM155</f>
        <v>50887154.446853466</v>
      </c>
      <c r="CN99" s="544">
        <f>('D2C - Retail'!BN146)+('D2C - Retail'!BN148*'D2C - Retail'!BN75/SUM('D2C - Retail'!BN75,'D2C - Retail'!BN76,'D2C - Retail'!BN77))+('D2C - Retail'!BN151*'D2C - Retail'!BN75/SUM('D2C - Retail'!BN75,'D2C - Retail'!BN76,'D2C - Retail'!BN77))+'D2C - Retail'!BN152+('D2C - Retail'!BN154*'D2C - Retail'!BN75/SUM('D2C - Retail'!BN75,'D2C - Retail'!BN76,'D2C - Retail'!BN77))+('D2C - Retail'!BN153*'D2C - Retail'!BN75/SUM('D2C - Retail'!BN75,'D2C - Retail'!BN76,'D2C - Retail'!BN77))+'D2C - Retail'!BN155</f>
        <v>51280781.481684379</v>
      </c>
      <c r="CO99" s="544">
        <f>('D2C - Retail'!BO146)+('D2C - Retail'!BO148*'D2C - Retail'!BO75/SUM('D2C - Retail'!BO75,'D2C - Retail'!BO76,'D2C - Retail'!BO77))+('D2C - Retail'!BO151*'D2C - Retail'!BO75/SUM('D2C - Retail'!BO75,'D2C - Retail'!BO76,'D2C - Retail'!BO77))+'D2C - Retail'!BO152+('D2C - Retail'!BO154*'D2C - Retail'!BO75/SUM('D2C - Retail'!BO75,'D2C - Retail'!BO76,'D2C - Retail'!BO77))+('D2C - Retail'!BO153*'D2C - Retail'!BO75/SUM('D2C - Retail'!BO75,'D2C - Retail'!BO76,'D2C - Retail'!BO77))+'D2C - Retail'!BO155</f>
        <v>57655556.786401279</v>
      </c>
      <c r="CP99" s="544">
        <f>('D2C - Retail'!BP146)+('D2C - Retail'!BP148*'D2C - Retail'!BP75/SUM('D2C - Retail'!BP75,'D2C - Retail'!BP76,'D2C - Retail'!BP77))+('D2C - Retail'!BP151*'D2C - Retail'!BP75/SUM('D2C - Retail'!BP75,'D2C - Retail'!BP76,'D2C - Retail'!BP77))+'D2C - Retail'!BP152+('D2C - Retail'!BP154*'D2C - Retail'!BP75/SUM('D2C - Retail'!BP75,'D2C - Retail'!BP76,'D2C - Retail'!BP77))+('D2C - Retail'!BP153*'D2C - Retail'!BP75/SUM('D2C - Retail'!BP75,'D2C - Retail'!BP76,'D2C - Retail'!BP77))+'D2C - Retail'!BP155</f>
        <v>56688483.967505455</v>
      </c>
      <c r="CQ99" s="544">
        <f>('D2C - Retail'!BQ146)+('D2C - Retail'!BQ148*'D2C - Retail'!BQ75/SUM('D2C - Retail'!BQ75,'D2C - Retail'!BQ76,'D2C - Retail'!BQ77))+('D2C - Retail'!BQ151*'D2C - Retail'!BQ75/SUM('D2C - Retail'!BQ75,'D2C - Retail'!BQ76,'D2C - Retail'!BQ77))+'D2C - Retail'!BQ152+('D2C - Retail'!BQ154*'D2C - Retail'!BQ75/SUM('D2C - Retail'!BQ75,'D2C - Retail'!BQ76,'D2C - Retail'!BQ77))+('D2C - Retail'!BQ153*'D2C - Retail'!BQ75/SUM('D2C - Retail'!BQ75,'D2C - Retail'!BQ76,'D2C - Retail'!BQ77))+'D2C - Retail'!BQ155</f>
        <v>62179746.547942616</v>
      </c>
      <c r="CR99" s="544">
        <f>('D2C - Retail'!BR146)+('D2C - Retail'!BR148*'D2C - Retail'!BR75/SUM('D2C - Retail'!BR75,'D2C - Retail'!BR76,'D2C - Retail'!BR77))+('D2C - Retail'!BR151*'D2C - Retail'!BR75/SUM('D2C - Retail'!BR75,'D2C - Retail'!BR76,'D2C - Retail'!BR77))+'D2C - Retail'!BR152+('D2C - Retail'!BR154*'D2C - Retail'!BR75/SUM('D2C - Retail'!BR75,'D2C - Retail'!BR76,'D2C - Retail'!BR77))+('D2C - Retail'!BR153*'D2C - Retail'!BR75/SUM('D2C - Retail'!BR75,'D2C - Retail'!BR76,'D2C - Retail'!BR77))+'D2C - Retail'!BR155</f>
        <v>66149703.90864028</v>
      </c>
      <c r="CS99" s="544">
        <f>('D2C - Retail'!BS146)+('D2C - Retail'!BS148*'D2C - Retail'!BS75/SUM('D2C - Retail'!BS75,'D2C - Retail'!BS76,'D2C - Retail'!BS77))+('D2C - Retail'!BS151*'D2C - Retail'!BS75/SUM('D2C - Retail'!BS75,'D2C - Retail'!BS76,'D2C - Retail'!BS77))+'D2C - Retail'!BS152+('D2C - Retail'!BS154*'D2C - Retail'!BS75/SUM('D2C - Retail'!BS75,'D2C - Retail'!BS76,'D2C - Retail'!BS77))+('D2C - Retail'!BS153*'D2C - Retail'!BS75/SUM('D2C - Retail'!BS75,'D2C - Retail'!BS76,'D2C - Retail'!BS77))+'D2C - Retail'!BS155</f>
        <v>64797390.888148628</v>
      </c>
      <c r="CT99" s="544">
        <f>('D2C - Retail'!BT146)+('D2C - Retail'!BT148*'D2C - Retail'!BT75/SUM('D2C - Retail'!BT75,'D2C - Retail'!BT76,'D2C - Retail'!BT77))+('D2C - Retail'!BT151*'D2C - Retail'!BT75/SUM('D2C - Retail'!BT75,'D2C - Retail'!BT76,'D2C - Retail'!BT77))+'D2C - Retail'!BT152+('D2C - Retail'!BT154*'D2C - Retail'!BT75/SUM('D2C - Retail'!BT75,'D2C - Retail'!BT76,'D2C - Retail'!BT77))+('D2C - Retail'!BT153*'D2C - Retail'!BT75/SUM('D2C - Retail'!BT75,'D2C - Retail'!BT76,'D2C - Retail'!BT77))+'D2C - Retail'!BT155</f>
        <v>68638955.671987623</v>
      </c>
      <c r="CU99" s="544">
        <f>('D2C - Retail'!BU146)+('D2C - Retail'!BU148*'D2C - Retail'!BU75/SUM('D2C - Retail'!BU75,'D2C - Retail'!BU76,'D2C - Retail'!BU77))+('D2C - Retail'!BU151*'D2C - Retail'!BU75/SUM('D2C - Retail'!BU75,'D2C - Retail'!BU76,'D2C - Retail'!BU77))+'D2C - Retail'!BU152+('D2C - Retail'!BU154*'D2C - Retail'!BU75/SUM('D2C - Retail'!BU75,'D2C - Retail'!BU76,'D2C - Retail'!BU77))+('D2C - Retail'!BU153*'D2C - Retail'!BU75/SUM('D2C - Retail'!BU75,'D2C - Retail'!BU76,'D2C - Retail'!BU77))+'D2C - Retail'!BU155</f>
        <v>73530698.465587169</v>
      </c>
      <c r="CV99" s="544">
        <f>('D2C - Retail'!BV146)+('D2C - Retail'!BV148*'D2C - Retail'!BV75/SUM('D2C - Retail'!BV75,'D2C - Retail'!BV76,'D2C - Retail'!BV77))+('D2C - Retail'!BV151*'D2C - Retail'!BV75/SUM('D2C - Retail'!BV75,'D2C - Retail'!BV76,'D2C - Retail'!BV77))+'D2C - Retail'!BV152+('D2C - Retail'!BV154*'D2C - Retail'!BV75/SUM('D2C - Retail'!BV75,'D2C - Retail'!BV76,'D2C - Retail'!BV77))+('D2C - Retail'!BV153*'D2C - Retail'!BV75/SUM('D2C - Retail'!BV75,'D2C - Retail'!BV76,'D2C - Retail'!BV77))+'D2C - Retail'!BV155</f>
        <v>73313129.481571391</v>
      </c>
      <c r="CW99" s="544">
        <f>('D2C - Retail'!BW146)+('D2C - Retail'!BW148*'D2C - Retail'!BW75/SUM('D2C - Retail'!BW75,'D2C - Retail'!BW76,'D2C - Retail'!BW77))+('D2C - Retail'!BW151*'D2C - Retail'!BW75/SUM('D2C - Retail'!BW75,'D2C - Retail'!BW76,'D2C - Retail'!BW77))+'D2C - Retail'!BW152+('D2C - Retail'!BW154*'D2C - Retail'!BW75/SUM('D2C - Retail'!BW75,'D2C - Retail'!BW76,'D2C - Retail'!BW77))+('D2C - Retail'!BW153*'D2C - Retail'!BW75/SUM('D2C - Retail'!BW75,'D2C - Retail'!BW76,'D2C - Retail'!BW77))+'D2C - Retail'!BW155</f>
        <v>73251743.315198794</v>
      </c>
      <c r="CX99" s="544">
        <f>('D2C - Retail'!BX146)+('D2C - Retail'!BX148*'D2C - Retail'!BX75/SUM('D2C - Retail'!BX75,'D2C - Retail'!BX76,'D2C - Retail'!BX77))+('D2C - Retail'!BX151*'D2C - Retail'!BX75/SUM('D2C - Retail'!BX75,'D2C - Retail'!BX76,'D2C - Retail'!BX77))+'D2C - Retail'!BX152+('D2C - Retail'!BX154*'D2C - Retail'!BX75/SUM('D2C - Retail'!BX75,'D2C - Retail'!BX76,'D2C - Retail'!BX77))+('D2C - Retail'!BX153*'D2C - Retail'!BX75/SUM('D2C - Retail'!BX75,'D2C - Retail'!BX76,'D2C - Retail'!BX77))+'D2C - Retail'!BX155</f>
        <v>73957171.124205858</v>
      </c>
      <c r="CY99" s="544">
        <f>('D2C - Retail'!BY146)+('D2C - Retail'!BY148*'D2C - Retail'!BY75/SUM('D2C - Retail'!BY75,'D2C - Retail'!BY76,'D2C - Retail'!BY77))+('D2C - Retail'!BY151*'D2C - Retail'!BY75/SUM('D2C - Retail'!BY75,'D2C - Retail'!BY76,'D2C - Retail'!BY77))+'D2C - Retail'!BY152+('D2C - Retail'!BY154*'D2C - Retail'!BY75/SUM('D2C - Retail'!BY75,'D2C - Retail'!BY76,'D2C - Retail'!BY77))+('D2C - Retail'!BY153*'D2C - Retail'!BY75/SUM('D2C - Retail'!BY75,'D2C - Retail'!BY76,'D2C - Retail'!BY77))+'D2C - Retail'!BY155</f>
        <v>72879147.463256851</v>
      </c>
      <c r="CZ99" s="544">
        <f>('D2C - Retail'!BZ146)+('D2C - Retail'!BZ148*'D2C - Retail'!BZ75/SUM('D2C - Retail'!BZ75,'D2C - Retail'!BZ76,'D2C - Retail'!BZ77))+('D2C - Retail'!BZ151*'D2C - Retail'!BZ75/SUM('D2C - Retail'!BZ75,'D2C - Retail'!BZ76,'D2C - Retail'!BZ77))+'D2C - Retail'!BZ152+('D2C - Retail'!BZ154*'D2C - Retail'!BZ75/SUM('D2C - Retail'!BZ75,'D2C - Retail'!BZ76,'D2C - Retail'!BZ77))+('D2C - Retail'!BZ153*'D2C - Retail'!BZ75/SUM('D2C - Retail'!BZ75,'D2C - Retail'!BZ76,'D2C - Retail'!BZ77))+'D2C - Retail'!BZ155</f>
        <v>72146515.83489877</v>
      </c>
      <c r="DA99" s="544">
        <f>('D2C - Retail'!CA146)+('D2C - Retail'!CA148*'D2C - Retail'!CA75/SUM('D2C - Retail'!CA75,'D2C - Retail'!CA76,'D2C - Retail'!CA77))+('D2C - Retail'!CA151*'D2C - Retail'!CA75/SUM('D2C - Retail'!CA75,'D2C - Retail'!CA76,'D2C - Retail'!CA77))+'D2C - Retail'!CA152+('D2C - Retail'!CA154*'D2C - Retail'!CA75/SUM('D2C - Retail'!CA75,'D2C - Retail'!CA76,'D2C - Retail'!CA77))+('D2C - Retail'!CA153*'D2C - Retail'!CA75/SUM('D2C - Retail'!CA75,'D2C - Retail'!CA76,'D2C - Retail'!CA77))+'D2C - Retail'!CA155</f>
        <v>74167786.8688353</v>
      </c>
      <c r="DB99" s="544">
        <f>('D2C - Retail'!CB146)+('D2C - Retail'!CB148*'D2C - Retail'!CB75/SUM('D2C - Retail'!CB75,'D2C - Retail'!CB76,'D2C - Retail'!CB77))+('D2C - Retail'!CB151*'D2C - Retail'!CB75/SUM('D2C - Retail'!CB75,'D2C - Retail'!CB76,'D2C - Retail'!CB77))+'D2C - Retail'!CB152+('D2C - Retail'!CB154*'D2C - Retail'!CB75/SUM('D2C - Retail'!CB75,'D2C - Retail'!CB76,'D2C - Retail'!CB77))+('D2C - Retail'!CB153*'D2C - Retail'!CB75/SUM('D2C - Retail'!CB75,'D2C - Retail'!CB76,'D2C - Retail'!CB77))+'D2C - Retail'!CB155</f>
        <v>73350281.006003633</v>
      </c>
      <c r="DC99" s="544">
        <f>('D2C - Retail'!CC146)+('D2C - Retail'!CC148*'D2C - Retail'!CC75/SUM('D2C - Retail'!CC75,'D2C - Retail'!CC76,'D2C - Retail'!CC77))+('D2C - Retail'!CC151*'D2C - Retail'!CC75/SUM('D2C - Retail'!CC75,'D2C - Retail'!CC76,'D2C - Retail'!CC77))+'D2C - Retail'!CC152+('D2C - Retail'!CC154*'D2C - Retail'!CC75/SUM('D2C - Retail'!CC75,'D2C - Retail'!CC76,'D2C - Retail'!CC77))+('D2C - Retail'!CC153*'D2C - Retail'!CC75/SUM('D2C - Retail'!CC75,'D2C - Retail'!CC76,'D2C - Retail'!CC77))+'D2C - Retail'!CC155</f>
        <v>74995316.502705291</v>
      </c>
      <c r="DD99" s="544">
        <f>('D2C - Retail'!CD146)+('D2C - Retail'!CD148*'D2C - Retail'!CD75/SUM('D2C - Retail'!CD75,'D2C - Retail'!CD76,'D2C - Retail'!CD77))+('D2C - Retail'!CD151*'D2C - Retail'!CD75/SUM('D2C - Retail'!CD75,'D2C - Retail'!CD76,'D2C - Retail'!CD77))+'D2C - Retail'!CD152+('D2C - Retail'!CD154*'D2C - Retail'!CD75/SUM('D2C - Retail'!CD75,'D2C - Retail'!CD76,'D2C - Retail'!CD77))+('D2C - Retail'!CD153*'D2C - Retail'!CD75/SUM('D2C - Retail'!CD75,'D2C - Retail'!CD76,'D2C - Retail'!CD77))+'D2C - Retail'!CD155</f>
        <v>75214853.32981351</v>
      </c>
      <c r="DE99" s="544">
        <f>('D2C - Retail'!CE146)+('D2C - Retail'!CE148*'D2C - Retail'!CE75/SUM('D2C - Retail'!CE75,'D2C - Retail'!CE76,'D2C - Retail'!CE77))+('D2C - Retail'!CE151*'D2C - Retail'!CE75/SUM('D2C - Retail'!CE75,'D2C - Retail'!CE76,'D2C - Retail'!CE77))+'D2C - Retail'!CE152+('D2C - Retail'!CE154*'D2C - Retail'!CE75/SUM('D2C - Retail'!CE75,'D2C - Retail'!CE76,'D2C - Retail'!CE77))+('D2C - Retail'!CE153*'D2C - Retail'!CE75/SUM('D2C - Retail'!CE75,'D2C - Retail'!CE76,'D2C - Retail'!CE77))+'D2C - Retail'!CE155</f>
        <v>74458659.964600384</v>
      </c>
      <c r="DF99" s="544">
        <f>('D2C - Retail'!CF146)+('D2C - Retail'!CF148*'D2C - Retail'!CF75/SUM('D2C - Retail'!CF75,'D2C - Retail'!CF76,'D2C - Retail'!CF77))+('D2C - Retail'!CF151*'D2C - Retail'!CF75/SUM('D2C - Retail'!CF75,'D2C - Retail'!CF76,'D2C - Retail'!CF77))+'D2C - Retail'!CF152+('D2C - Retail'!CF154*'D2C - Retail'!CF75/SUM('D2C - Retail'!CF75,'D2C - Retail'!CF76,'D2C - Retail'!CF77))+('D2C - Retail'!CF153*'D2C - Retail'!CF75/SUM('D2C - Retail'!CF75,'D2C - Retail'!CF76,'D2C - Retail'!CF77))+'D2C - Retail'!CF155</f>
        <v>75944878.279022872</v>
      </c>
      <c r="DG99" s="544">
        <f>('D2C - Retail'!CG146)+('D2C - Retail'!CG148*'D2C - Retail'!CG75/SUM('D2C - Retail'!CG75,'D2C - Retail'!CG76,'D2C - Retail'!CG77))+('D2C - Retail'!CG151*'D2C - Retail'!CG75/SUM('D2C - Retail'!CG75,'D2C - Retail'!CG76,'D2C - Retail'!CG77))+'D2C - Retail'!CG152+('D2C - Retail'!CG154*'D2C - Retail'!CG75/SUM('D2C - Retail'!CG75,'D2C - Retail'!CG76,'D2C - Retail'!CG77))+('D2C - Retail'!CG153*'D2C - Retail'!CG75/SUM('D2C - Retail'!CG75,'D2C - Retail'!CG76,'D2C - Retail'!CG77))+'D2C - Retail'!CG155</f>
        <v>82365079.316163793</v>
      </c>
      <c r="DH99" s="544">
        <f>('D2C - Retail'!CH146)+('D2C - Retail'!CH148*'D2C - Retail'!CH75/SUM('D2C - Retail'!CH75,'D2C - Retail'!CH76,'D2C - Retail'!CH77))+('D2C - Retail'!CH151*'D2C - Retail'!CH75/SUM('D2C - Retail'!CH75,'D2C - Retail'!CH76,'D2C - Retail'!CH77))+'D2C - Retail'!CH152+('D2C - Retail'!CH154*'D2C - Retail'!CH75/SUM('D2C - Retail'!CH75,'D2C - Retail'!CH76,'D2C - Retail'!CH77))+('D2C - Retail'!CH153*'D2C - Retail'!CH75/SUM('D2C - Retail'!CH75,'D2C - Retail'!CH76,'D2C - Retail'!CH77))+'D2C - Retail'!CH155</f>
        <v>82136649.361039415</v>
      </c>
      <c r="DI99" s="544">
        <f>('D2C - Retail'!CI146)+('D2C - Retail'!CI148*'D2C - Retail'!CI75/SUM('D2C - Retail'!CI75,'D2C - Retail'!CI76,'D2C - Retail'!CI77))+('D2C - Retail'!CI151*'D2C - Retail'!CI75/SUM('D2C - Retail'!CI75,'D2C - Retail'!CI76,'D2C - Retail'!CI77))+'D2C - Retail'!CI152+('D2C - Retail'!CI154*'D2C - Retail'!CI75/SUM('D2C - Retail'!CI75,'D2C - Retail'!CI76,'D2C - Retail'!CI77))+('D2C - Retail'!CI153*'D2C - Retail'!CI75/SUM('D2C - Retail'!CI75,'D2C - Retail'!CI76,'D2C - Retail'!CI77))+'D2C - Retail'!CI155</f>
        <v>82035784.607512832</v>
      </c>
      <c r="DJ99" s="544">
        <f>('D2C - Retail'!CJ146)+('D2C - Retail'!CJ148*'D2C - Retail'!CJ75/SUM('D2C - Retail'!CJ75,'D2C - Retail'!CJ76,'D2C - Retail'!CJ77))+('D2C - Retail'!CJ151*'D2C - Retail'!CJ75/SUM('D2C - Retail'!CJ75,'D2C - Retail'!CJ76,'D2C - Retail'!CJ77))+'D2C - Retail'!CJ152+('D2C - Retail'!CJ154*'D2C - Retail'!CJ75/SUM('D2C - Retail'!CJ75,'D2C - Retail'!CJ76,'D2C - Retail'!CJ77))+('D2C - Retail'!CJ153*'D2C - Retail'!CJ75/SUM('D2C - Retail'!CJ75,'D2C - Retail'!CJ76,'D2C - Retail'!CJ77))+'D2C - Retail'!CJ155</f>
        <v>82843866.638261676</v>
      </c>
      <c r="DK99" s="544">
        <f>('D2C - Retail'!CK146)+('D2C - Retail'!CK148*'D2C - Retail'!CK75/SUM('D2C - Retail'!CK75,'D2C - Retail'!CK76,'D2C - Retail'!CK77))+('D2C - Retail'!CK151*'D2C - Retail'!CK75/SUM('D2C - Retail'!CK75,'D2C - Retail'!CK76,'D2C - Retail'!CK77))+'D2C - Retail'!CK152+('D2C - Retail'!CK154*'D2C - Retail'!CK75/SUM('D2C - Retail'!CK75,'D2C - Retail'!CK76,'D2C - Retail'!CK77))+('D2C - Retail'!CK153*'D2C - Retail'!CK75/SUM('D2C - Retail'!CK75,'D2C - Retail'!CK76,'D2C - Retail'!CK77))+'D2C - Retail'!CK155</f>
        <v>81601812.269051582</v>
      </c>
      <c r="DL99" s="544">
        <f>('D2C - Retail'!CL146)+('D2C - Retail'!CL148*'D2C - Retail'!CL75/SUM('D2C - Retail'!CL75,'D2C - Retail'!CL76,'D2C - Retail'!CL77))+('D2C - Retail'!CL151*'D2C - Retail'!CL75/SUM('D2C - Retail'!CL75,'D2C - Retail'!CL76,'D2C - Retail'!CL77))+'D2C - Retail'!CL152+('D2C - Retail'!CL154*'D2C - Retail'!CL75/SUM('D2C - Retail'!CL75,'D2C - Retail'!CL76,'D2C - Retail'!CL77))+('D2C - Retail'!CL153*'D2C - Retail'!CL75/SUM('D2C - Retail'!CL75,'D2C - Retail'!CL76,'D2C - Retail'!CL77))+'D2C - Retail'!CL155</f>
        <v>80763736.490741208</v>
      </c>
      <c r="DM99" s="544">
        <f>('D2C - Retail'!CM146)+('D2C - Retail'!CM148*'D2C - Retail'!CM75/SUM('D2C - Retail'!CM75,'D2C - Retail'!CM76,'D2C - Retail'!CM77))+('D2C - Retail'!CM151*'D2C - Retail'!CM75/SUM('D2C - Retail'!CM75,'D2C - Retail'!CM76,'D2C - Retail'!CM77))+'D2C - Retail'!CM152+('D2C - Retail'!CM154*'D2C - Retail'!CM75/SUM('D2C - Retail'!CM75,'D2C - Retail'!CM76,'D2C - Retail'!CM77))+('D2C - Retail'!CM153*'D2C - Retail'!CM75/SUM('D2C - Retail'!CM75,'D2C - Retail'!CM76,'D2C - Retail'!CM77))+'D2C - Retail'!CM155</f>
        <v>83043011.880049214</v>
      </c>
      <c r="DN99" s="544">
        <f>('D2C - Retail'!CN146)+('D2C - Retail'!CN148*'D2C - Retail'!CN75/SUM('D2C - Retail'!CN75,'D2C - Retail'!CN76,'D2C - Retail'!CN77))+('D2C - Retail'!CN151*'D2C - Retail'!CN75/SUM('D2C - Retail'!CN75,'D2C - Retail'!CN76,'D2C - Retail'!CN77))+'D2C - Retail'!CN152+('D2C - Retail'!CN154*'D2C - Retail'!CN75/SUM('D2C - Retail'!CN75,'D2C - Retail'!CN76,'D2C - Retail'!CN77))+('D2C - Retail'!CN153*'D2C - Retail'!CN75/SUM('D2C - Retail'!CN75,'D2C - Retail'!CN76,'D2C - Retail'!CN77))+'D2C - Retail'!CN155</f>
        <v>82077998.857786492</v>
      </c>
      <c r="DO99" s="544">
        <f>('D2C - Retail'!CO146)+('D2C - Retail'!CO148*'D2C - Retail'!CO75/SUM('D2C - Retail'!CO75,'D2C - Retail'!CO76,'D2C - Retail'!CO77))+('D2C - Retail'!CO151*'D2C - Retail'!CO75/SUM('D2C - Retail'!CO75,'D2C - Retail'!CO76,'D2C - Retail'!CO77))+'D2C - Retail'!CO152+('D2C - Retail'!CO154*'D2C - Retail'!CO75/SUM('D2C - Retail'!CO75,'D2C - Retail'!CO76,'D2C - Retail'!CO77))+('D2C - Retail'!CO153*'D2C - Retail'!CO75/SUM('D2C - Retail'!CO75,'D2C - Retail'!CO76,'D2C - Retail'!CO77))+'D2C - Retail'!CO155</f>
        <v>83928738.963476866</v>
      </c>
      <c r="DP99" s="544">
        <f>('D2C - Retail'!CP146)+('D2C - Retail'!CP148*'D2C - Retail'!CP75/SUM('D2C - Retail'!CP75,'D2C - Retail'!CP76,'D2C - Retail'!CP77))+('D2C - Retail'!CP151*'D2C - Retail'!CP75/SUM('D2C - Retail'!CP75,'D2C - Retail'!CP76,'D2C - Retail'!CP77))+'D2C - Retail'!CP152+('D2C - Retail'!CP154*'D2C - Retail'!CP75/SUM('D2C - Retail'!CP75,'D2C - Retail'!CP76,'D2C - Retail'!CP77))+('D2C - Retail'!CP153*'D2C - Retail'!CP75/SUM('D2C - Retail'!CP75,'D2C - Retail'!CP76,'D2C - Retail'!CP77))+'D2C - Retail'!CP155</f>
        <v>84147755.202587605</v>
      </c>
      <c r="DQ99" s="544">
        <f>('D2C - Retail'!CQ146)+('D2C - Retail'!CQ148*'D2C - Retail'!CQ75/SUM('D2C - Retail'!CQ75,'D2C - Retail'!CQ76,'D2C - Retail'!CQ77))+('D2C - Retail'!CQ151*'D2C - Retail'!CQ75/SUM('D2C - Retail'!CQ75,'D2C - Retail'!CQ76,'D2C - Retail'!CQ77))+'D2C - Retail'!CQ152+('D2C - Retail'!CQ154*'D2C - Retail'!CQ75/SUM('D2C - Retail'!CQ75,'D2C - Retail'!CQ76,'D2C - Retail'!CQ77))+('D2C - Retail'!CQ153*'D2C - Retail'!CQ75/SUM('D2C - Retail'!CQ75,'D2C - Retail'!CQ76,'D2C - Retail'!CQ77))+'D2C - Retail'!CQ155</f>
        <v>83251501.73364979</v>
      </c>
      <c r="DR99" s="544">
        <f>('D2C - Retail'!CR146)+('D2C - Retail'!CR148*'D2C - Retail'!CR75/SUM('D2C - Retail'!CR75,'D2C - Retail'!CR76,'D2C - Retail'!CR77))+('D2C - Retail'!CR151*'D2C - Retail'!CR75/SUM('D2C - Retail'!CR75,'D2C - Retail'!CR76,'D2C - Retail'!CR77))+'D2C - Retail'!CR152+('D2C - Retail'!CR154*'D2C - Retail'!CR75/SUM('D2C - Retail'!CR75,'D2C - Retail'!CR76,'D2C - Retail'!CR77))+('D2C - Retail'!CR153*'D2C - Retail'!CR75/SUM('D2C - Retail'!CR75,'D2C - Retail'!CR76,'D2C - Retail'!CR77))+'D2C - Retail'!CR155</f>
        <v>84848190.504168108</v>
      </c>
      <c r="DS99" s="544">
        <f>('D2C - Retail'!CS146)+('D2C - Retail'!CS148*'D2C - Retail'!CS75/SUM('D2C - Retail'!CS75,'D2C - Retail'!CS76,'D2C - Retail'!CS77))+('D2C - Retail'!CS151*'D2C - Retail'!CS75/SUM('D2C - Retail'!CS75,'D2C - Retail'!CS76,'D2C - Retail'!CS77))+'D2C - Retail'!CS152+('D2C - Retail'!CS154*'D2C - Retail'!CS75/SUM('D2C - Retail'!CS75,'D2C - Retail'!CS76,'D2C - Retail'!CS77))+('D2C - Retail'!CS153*'D2C - Retail'!CS75/SUM('D2C - Retail'!CS75,'D2C - Retail'!CS76,'D2C - Retail'!CS77))+'D2C - Retail'!CS155</f>
        <v>91708150.981145963</v>
      </c>
      <c r="DT99" s="544">
        <f>('D2C - Retail'!CT146)+('D2C - Retail'!CT148*'D2C - Retail'!CT75/SUM('D2C - Retail'!CT75,'D2C - Retail'!CT76,'D2C - Retail'!CT77))+('D2C - Retail'!CT151*'D2C - Retail'!CT75/SUM('D2C - Retail'!CT75,'D2C - Retail'!CT76,'D2C - Retail'!CT77))+'D2C - Retail'!CT152+('D2C - Retail'!CT154*'D2C - Retail'!CT75/SUM('D2C - Retail'!CT75,'D2C - Retail'!CT76,'D2C - Retail'!CT77))+('D2C - Retail'!CT153*'D2C - Retail'!CT75/SUM('D2C - Retail'!CT75,'D2C - Retail'!CT76,'D2C - Retail'!CT77))+'D2C - Retail'!CT155</f>
        <v>91449360.773509681</v>
      </c>
      <c r="DU99" s="544">
        <f>('D2C - Retail'!CU146)+('D2C - Retail'!CU148*'D2C - Retail'!CU75/SUM('D2C - Retail'!CU75,'D2C - Retail'!CU76,'D2C - Retail'!CU77))+('D2C - Retail'!CU151*'D2C - Retail'!CU75/SUM('D2C - Retail'!CU75,'D2C - Retail'!CU76,'D2C - Retail'!CU77))+'D2C - Retail'!CU152+('D2C - Retail'!CU154*'D2C - Retail'!CU75/SUM('D2C - Retail'!CU75,'D2C - Retail'!CU76,'D2C - Retail'!CU77))+('D2C - Retail'!CU153*'D2C - Retail'!CU75/SUM('D2C - Retail'!CU75,'D2C - Retail'!CU76,'D2C - Retail'!CU77))+'D2C - Retail'!CU155</f>
        <v>91334224.009641945</v>
      </c>
      <c r="DV99" s="544">
        <f>('D2C - Retail'!CV146)+('D2C - Retail'!CV148*'D2C - Retail'!CV75/SUM('D2C - Retail'!CV75,'D2C - Retail'!CV76,'D2C - Retail'!CV77))+('D2C - Retail'!CV151*'D2C - Retail'!CV75/SUM('D2C - Retail'!CV75,'D2C - Retail'!CV76,'D2C - Retail'!CV77))+'D2C - Retail'!CV152+('D2C - Retail'!CV154*'D2C - Retail'!CV75/SUM('D2C - Retail'!CV75,'D2C - Retail'!CV76,'D2C - Retail'!CV77))+('D2C - Retail'!CV153*'D2C - Retail'!CV75/SUM('D2C - Retail'!CV75,'D2C - Retail'!CV76,'D2C - Retail'!CV77))+'D2C - Retail'!CV155</f>
        <v>92228332.950318798</v>
      </c>
      <c r="DW99" s="544">
        <f>('D2C - Retail'!CW146)+('D2C - Retail'!CW148*'D2C - Retail'!CW75/SUM('D2C - Retail'!CW75,'D2C - Retail'!CW76,'D2C - Retail'!CW77))+('D2C - Retail'!CW151*'D2C - Retail'!CW75/SUM('D2C - Retail'!CW75,'D2C - Retail'!CW76,'D2C - Retail'!CW77))+'D2C - Retail'!CW152+('D2C - Retail'!CW154*'D2C - Retail'!CW75/SUM('D2C - Retail'!CW75,'D2C - Retail'!CW76,'D2C - Retail'!CW77))+('D2C - Retail'!CW153*'D2C - Retail'!CW75/SUM('D2C - Retail'!CW75,'D2C - Retail'!CW76,'D2C - Retail'!CW77))+'D2C - Retail'!CW155</f>
        <v>90845915.268290102</v>
      </c>
      <c r="DX99" s="544">
        <f>('D2C - Retail'!CX146)+('D2C - Retail'!CX148*'D2C - Retail'!CX75/SUM('D2C - Retail'!CX75,'D2C - Retail'!CX76,'D2C - Retail'!CX77))+('D2C - Retail'!CX151*'D2C - Retail'!CX75/SUM('D2C - Retail'!CX75,'D2C - Retail'!CX76,'D2C - Retail'!CX77))+'D2C - Retail'!CX152+('D2C - Retail'!CX154*'D2C - Retail'!CX75/SUM('D2C - Retail'!CX75,'D2C - Retail'!CX76,'D2C - Retail'!CX77))+('D2C - Retail'!CX153*'D2C - Retail'!CX75/SUM('D2C - Retail'!CX75,'D2C - Retail'!CX76,'D2C - Retail'!CX77))+'D2C - Retail'!CX155</f>
        <v>89915072.928410724</v>
      </c>
      <c r="DY99" s="544">
        <f>('D2C - Retail'!CY146)+('D2C - Retail'!CY148*'D2C - Retail'!CY75/SUM('D2C - Retail'!CY75,'D2C - Retail'!CY76,'D2C - Retail'!CY77))+('D2C - Retail'!CY151*'D2C - Retail'!CY75/SUM('D2C - Retail'!CY75,'D2C - Retail'!CY76,'D2C - Retail'!CY77))+'D2C - Retail'!CY152+('D2C - Retail'!CY154*'D2C - Retail'!CY75/SUM('D2C - Retail'!CY75,'D2C - Retail'!CY76,'D2C - Retail'!CY77))+('D2C - Retail'!CY153*'D2C - Retail'!CY75/SUM('D2C - Retail'!CY75,'D2C - Retail'!CY76,'D2C - Retail'!CY77))+'D2C - Retail'!CY155</f>
        <v>92435699.423588708</v>
      </c>
      <c r="DZ99" s="544">
        <f>('D2C - Retail'!CZ146)+('D2C - Retail'!CZ148*'D2C - Retail'!CZ75/SUM('D2C - Retail'!CZ75,'D2C - Retail'!CZ76,'D2C - Retail'!CZ77))+('D2C - Retail'!CZ151*'D2C - Retail'!CZ75/SUM('D2C - Retail'!CZ75,'D2C - Retail'!CZ76,'D2C - Retail'!CZ77))+'D2C - Retail'!CZ152+('D2C - Retail'!CZ154*'D2C - Retail'!CZ75/SUM('D2C - Retail'!CZ75,'D2C - Retail'!CZ76,'D2C - Retail'!CZ77))+('D2C - Retail'!CZ153*'D2C - Retail'!CZ75/SUM('D2C - Retail'!CZ75,'D2C - Retail'!CZ76,'D2C - Retail'!CZ77))+'D2C - Retail'!CZ155</f>
        <v>91362647.611130595</v>
      </c>
      <c r="EA99" s="544">
        <f>('D2C - Retail'!DA146)+('D2C - Retail'!DA148*'D2C - Retail'!DA75/SUM('D2C - Retail'!DA75,'D2C - Retail'!DA76,'D2C - Retail'!DA77))+('D2C - Retail'!DA151*'D2C - Retail'!DA75/SUM('D2C - Retail'!DA75,'D2C - Retail'!DA76,'D2C - Retail'!DA77))+'D2C - Retail'!DA152+('D2C - Retail'!DA154*'D2C - Retail'!DA75/SUM('D2C - Retail'!DA75,'D2C - Retail'!DA76,'D2C - Retail'!DA77))+('D2C - Retail'!DA153*'D2C - Retail'!DA75/SUM('D2C - Retail'!DA75,'D2C - Retail'!DA76,'D2C - Retail'!DA77))+'D2C - Retail'!DA155</f>
        <v>93414879.003778458</v>
      </c>
      <c r="EB99" s="544">
        <f>('D2C - Retail'!DB146)+('D2C - Retail'!DB148*'D2C - Retail'!DB75/SUM('D2C - Retail'!DB75,'D2C - Retail'!DB76,'D2C - Retail'!DB77))+('D2C - Retail'!DB151*'D2C - Retail'!DB75/SUM('D2C - Retail'!DB75,'D2C - Retail'!DB76,'D2C - Retail'!DB77))+'D2C - Retail'!DB152+('D2C - Retail'!DB154*'D2C - Retail'!DB75/SUM('D2C - Retail'!DB75,'D2C - Retail'!DB76,'D2C - Retail'!DB77))+('D2C - Retail'!DB153*'D2C - Retail'!DB75/SUM('D2C - Retail'!DB75,'D2C - Retail'!DB76,'D2C - Retail'!DB77))+'D2C - Retail'!DB155</f>
        <v>93656694.756709874</v>
      </c>
      <c r="EC99" s="544">
        <f>('D2C - Retail'!DC146)+('D2C - Retail'!DC148*'D2C - Retail'!DC75/SUM('D2C - Retail'!DC75,'D2C - Retail'!DC76,'D2C - Retail'!DC77))+('D2C - Retail'!DC151*'D2C - Retail'!DC75/SUM('D2C - Retail'!DC75,'D2C - Retail'!DC76,'D2C - Retail'!DC77))+'D2C - Retail'!DC152+('D2C - Retail'!DC154*'D2C - Retail'!DC75/SUM('D2C - Retail'!DC75,'D2C - Retail'!DC76,'D2C - Retail'!DC77))+('D2C - Retail'!DC153*'D2C - Retail'!DC75/SUM('D2C - Retail'!DC75,'D2C - Retail'!DC76,'D2C - Retail'!DC77))+'D2C - Retail'!DC155</f>
        <v>92656869.583500504</v>
      </c>
      <c r="ED99" s="544">
        <f>('D2C - Retail'!DD146)+('D2C - Retail'!DD148*'D2C - Retail'!DD75/SUM('D2C - Retail'!DD75,'D2C - Retail'!DD76,'D2C - Retail'!DD77))+('D2C - Retail'!DD151*'D2C - Retail'!DD75/SUM('D2C - Retail'!DD75,'D2C - Retail'!DD76,'D2C - Retail'!DD77))+'D2C - Retail'!DD152+('D2C - Retail'!DD154*'D2C - Retail'!DD75/SUM('D2C - Retail'!DD75,'D2C - Retail'!DD76,'D2C - Retail'!DD77))+('D2C - Retail'!DD153*'D2C - Retail'!DD75/SUM('D2C - Retail'!DD75,'D2C - Retail'!DD76,'D2C - Retail'!DD77))+'D2C - Retail'!DD155</f>
        <v>94430743.529029414</v>
      </c>
      <c r="EE99" s="168"/>
      <c r="EF99" s="165">
        <f>SUM(BK99:BM99)</f>
        <v>99482877.155552179</v>
      </c>
      <c r="EG99" s="165">
        <f>SUM(BN99:BP99)</f>
        <v>96171950.616503984</v>
      </c>
      <c r="EH99" s="165">
        <f>SUM(BQ99:BS99)</f>
        <v>99200483.960579634</v>
      </c>
      <c r="EI99" s="165">
        <f>SUM(BT99:BV99)</f>
        <v>89459890.697251096</v>
      </c>
      <c r="EJ99" s="165">
        <f>SUM(BW99:BY99)</f>
        <v>94607235.891703382</v>
      </c>
      <c r="EK99" s="165">
        <f>SUM(CL99:CN99)</f>
        <v>151506097.6007047</v>
      </c>
      <c r="EL99" s="165">
        <f>SUM(CC99:CE99)</f>
        <v>104605791.98949736</v>
      </c>
      <c r="EM99" s="165">
        <f>SUM(CF99:CH99)</f>
        <v>116021452.79805762</v>
      </c>
      <c r="EN99" s="165">
        <f>SUM(CI99:CK99)</f>
        <v>137135490.01121575</v>
      </c>
      <c r="EO99" s="165">
        <f>SUM(CL99:CN99)</f>
        <v>151506097.6007047</v>
      </c>
      <c r="EP99" s="165">
        <f>SUM(CO99:CQ99)</f>
        <v>176523787.30184934</v>
      </c>
      <c r="EQ99" s="165">
        <f>SUM(CR99:CT99)</f>
        <v>199586050.46877652</v>
      </c>
      <c r="ER99" s="165">
        <f>SUM(CU99:CW99)</f>
        <v>220095571.26235735</v>
      </c>
      <c r="ES99" s="165">
        <f>SUM(CX99:CZ99)</f>
        <v>218982834.42236149</v>
      </c>
      <c r="ET99" s="165">
        <f>SUM(DA99:DC99)</f>
        <v>222513384.37754422</v>
      </c>
      <c r="EU99" s="165">
        <f>SUM(DD99:DF99)</f>
        <v>225618391.57343677</v>
      </c>
      <c r="EV99" s="165">
        <f>SUM(DG99:DI99)</f>
        <v>246537513.28471604</v>
      </c>
      <c r="EW99" s="165">
        <f>SUM(DJ99:DL99)</f>
        <v>245209415.39805448</v>
      </c>
      <c r="EX99" s="165">
        <f>SUM(DM99:DO99)</f>
        <v>249049749.70131257</v>
      </c>
      <c r="EY99" s="165">
        <f>SUM(DP99:DR99)</f>
        <v>252247447.44040549</v>
      </c>
      <c r="EZ99" s="165">
        <f t="shared" si="304"/>
        <v>274491735.7642976</v>
      </c>
      <c r="FA99" s="165">
        <f t="shared" si="305"/>
        <v>272989321.14701962</v>
      </c>
      <c r="FB99" s="165">
        <f t="shared" si="306"/>
        <v>277213226.03849775</v>
      </c>
      <c r="FC99" s="165">
        <f t="shared" si="307"/>
        <v>280744307.86923981</v>
      </c>
      <c r="FE99" s="165">
        <f t="shared" si="308"/>
        <v>384315202.42988688</v>
      </c>
      <c r="FF99" s="165">
        <f t="shared" si="309"/>
        <v>466740578.27996308</v>
      </c>
      <c r="FG99" s="165">
        <f t="shared" si="310"/>
        <v>664751425.38254642</v>
      </c>
      <c r="FH99" s="165">
        <f t="shared" si="311"/>
        <v>887210181.63569975</v>
      </c>
      <c r="FI99" s="165">
        <f t="shared" si="312"/>
        <v>993044125.82448852</v>
      </c>
      <c r="FJ99" s="165">
        <f t="shared" si="313"/>
        <v>1105438590.8190548</v>
      </c>
    </row>
    <row r="100" spans="2:166" x14ac:dyDescent="0.2">
      <c r="B100" s="155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68"/>
      <c r="EF100" s="165"/>
      <c r="EG100" s="165"/>
      <c r="EH100" s="165"/>
      <c r="EI100" s="165"/>
      <c r="EJ100" s="165"/>
      <c r="EK100" s="165"/>
      <c r="EL100" s="165"/>
      <c r="EM100" s="165"/>
      <c r="EN100" s="165"/>
      <c r="EO100" s="165"/>
      <c r="EP100" s="165"/>
      <c r="EQ100" s="165"/>
      <c r="ER100" s="165"/>
      <c r="ES100" s="165"/>
      <c r="ET100" s="165"/>
      <c r="EU100" s="165"/>
      <c r="EV100" s="165"/>
      <c r="EW100" s="165"/>
      <c r="EX100" s="165"/>
      <c r="EY100" s="165"/>
      <c r="EZ100" s="165">
        <f t="shared" si="304"/>
        <v>0</v>
      </c>
      <c r="FA100" s="165">
        <f t="shared" si="305"/>
        <v>0</v>
      </c>
      <c r="FB100" s="165">
        <f t="shared" si="306"/>
        <v>0</v>
      </c>
      <c r="FC100" s="165">
        <f t="shared" si="307"/>
        <v>0</v>
      </c>
      <c r="FE100" s="165"/>
      <c r="FF100" s="165"/>
      <c r="FG100" s="165"/>
      <c r="FH100" s="165"/>
      <c r="FI100" s="165"/>
      <c r="FJ100" s="165"/>
    </row>
    <row r="101" spans="2:166" x14ac:dyDescent="0.2">
      <c r="B101" s="24" t="s">
        <v>235</v>
      </c>
      <c r="C101" s="169">
        <f>C102+C103</f>
        <v>332255.57142857101</v>
      </c>
      <c r="D101" s="169">
        <f t="shared" ref="D101:BO101" si="377">D102+D103</f>
        <v>364777</v>
      </c>
      <c r="E101" s="169">
        <f t="shared" si="377"/>
        <v>326310</v>
      </c>
      <c r="F101" s="169">
        <f t="shared" si="377"/>
        <v>339634</v>
      </c>
      <c r="G101" s="169">
        <f t="shared" si="377"/>
        <v>371073</v>
      </c>
      <c r="H101" s="169">
        <f t="shared" si="377"/>
        <v>490675</v>
      </c>
      <c r="I101" s="169">
        <f t="shared" si="377"/>
        <v>398017</v>
      </c>
      <c r="J101" s="169">
        <f t="shared" si="377"/>
        <v>413772</v>
      </c>
      <c r="K101" s="169">
        <f t="shared" si="377"/>
        <v>475206</v>
      </c>
      <c r="L101" s="169">
        <f t="shared" si="377"/>
        <v>564463</v>
      </c>
      <c r="M101" s="169">
        <f t="shared" si="377"/>
        <v>699573</v>
      </c>
      <c r="N101" s="169">
        <f t="shared" si="377"/>
        <v>818274</v>
      </c>
      <c r="O101" s="169">
        <f t="shared" si="377"/>
        <v>810109</v>
      </c>
      <c r="P101" s="169">
        <f t="shared" si="377"/>
        <v>855460</v>
      </c>
      <c r="Q101" s="169">
        <f t="shared" si="377"/>
        <v>891417</v>
      </c>
      <c r="R101" s="169">
        <f t="shared" si="377"/>
        <v>938553</v>
      </c>
      <c r="S101" s="169">
        <f t="shared" si="377"/>
        <v>935096</v>
      </c>
      <c r="T101" s="169">
        <f t="shared" si="377"/>
        <v>977597</v>
      </c>
      <c r="U101" s="169">
        <f t="shared" si="377"/>
        <v>896595</v>
      </c>
      <c r="V101" s="169">
        <f t="shared" si="377"/>
        <v>1247085</v>
      </c>
      <c r="W101" s="169">
        <f t="shared" si="377"/>
        <v>1335209</v>
      </c>
      <c r="X101" s="169">
        <f t="shared" si="377"/>
        <v>1707537</v>
      </c>
      <c r="Y101" s="169">
        <f t="shared" si="377"/>
        <v>1381816.1666666665</v>
      </c>
      <c r="Z101" s="169">
        <f t="shared" si="377"/>
        <v>1332413.5</v>
      </c>
      <c r="AA101" s="169">
        <f t="shared" si="377"/>
        <v>1340077.9433333334</v>
      </c>
      <c r="AB101" s="169">
        <f t="shared" si="377"/>
        <v>1509036.1586904759</v>
      </c>
      <c r="AC101" s="169">
        <f t="shared" si="377"/>
        <v>2665877.6126356004</v>
      </c>
      <c r="AD101" s="169">
        <f t="shared" si="377"/>
        <v>2371099.1311917026</v>
      </c>
      <c r="AE101" s="169">
        <f t="shared" si="377"/>
        <v>2720018.9956861883</v>
      </c>
      <c r="AF101" s="169">
        <f t="shared" si="377"/>
        <v>2577497.6428061649</v>
      </c>
      <c r="AG101" s="169">
        <f t="shared" si="377"/>
        <v>3032693.3473946261</v>
      </c>
      <c r="AH101" s="169">
        <f t="shared" si="377"/>
        <v>2942402.0395399434</v>
      </c>
      <c r="AI101" s="169">
        <f t="shared" si="377"/>
        <v>3248637.9214127199</v>
      </c>
      <c r="AJ101" s="169">
        <f t="shared" si="377"/>
        <v>4330843.0214770669</v>
      </c>
      <c r="AK101" s="169">
        <f t="shared" si="377"/>
        <v>4133592.1368244877</v>
      </c>
      <c r="AL101" s="169">
        <f t="shared" si="377"/>
        <v>4748522.6444712412</v>
      </c>
      <c r="AM101" s="169">
        <f t="shared" si="377"/>
        <v>5238323.7513232781</v>
      </c>
      <c r="AN101" s="169">
        <f t="shared" si="377"/>
        <v>4919399.2748063225</v>
      </c>
      <c r="AO101" s="169">
        <f t="shared" si="377"/>
        <v>4277659.062901021</v>
      </c>
      <c r="AP101" s="169">
        <f t="shared" si="377"/>
        <v>6041852.6344546042</v>
      </c>
      <c r="AQ101" s="169">
        <f t="shared" si="377"/>
        <v>6877309.2834510822</v>
      </c>
      <c r="AR101" s="169">
        <f t="shared" si="377"/>
        <v>7926400.6623841505</v>
      </c>
      <c r="AS101" s="169">
        <f t="shared" si="377"/>
        <v>9530499.2892743796</v>
      </c>
      <c r="AT101" s="169">
        <f t="shared" si="377"/>
        <v>9854827.1479927879</v>
      </c>
      <c r="AU101" s="169">
        <f t="shared" si="377"/>
        <v>10634996.60321622</v>
      </c>
      <c r="AV101" s="169">
        <f t="shared" si="377"/>
        <v>11285770.89894532</v>
      </c>
      <c r="AW101" s="169">
        <f t="shared" si="377"/>
        <v>11703593.703126127</v>
      </c>
      <c r="AX101" s="169">
        <f t="shared" si="377"/>
        <v>14572623.621790767</v>
      </c>
      <c r="AY101" s="169">
        <f t="shared" si="377"/>
        <v>16553356.074682107</v>
      </c>
      <c r="AZ101" s="169">
        <f t="shared" si="377"/>
        <v>15230186.552016957</v>
      </c>
      <c r="BA101" s="169">
        <f t="shared" si="377"/>
        <v>15668035.688666061</v>
      </c>
      <c r="BB101" s="169">
        <f t="shared" si="377"/>
        <v>16941601.295672234</v>
      </c>
      <c r="BC101" s="169">
        <f t="shared" si="377"/>
        <v>18426500.129586093</v>
      </c>
      <c r="BD101" s="169">
        <f t="shared" si="377"/>
        <v>18834706.724077258</v>
      </c>
      <c r="BE101" s="169">
        <f t="shared" si="377"/>
        <v>19765288.429201704</v>
      </c>
      <c r="BF101" s="169">
        <f t="shared" si="377"/>
        <v>19710935.741547223</v>
      </c>
      <c r="BG101" s="169">
        <f t="shared" si="377"/>
        <v>21337736.753426392</v>
      </c>
      <c r="BH101" s="169">
        <f t="shared" si="377"/>
        <v>23115078.312533449</v>
      </c>
      <c r="BI101" s="169">
        <f t="shared" si="377"/>
        <v>24040866.189576276</v>
      </c>
      <c r="BJ101" s="169">
        <f t="shared" si="377"/>
        <v>24054571.356704507</v>
      </c>
      <c r="BK101" s="169">
        <f t="shared" si="377"/>
        <v>28408020.196151759</v>
      </c>
      <c r="BL101" s="169">
        <f t="shared" si="377"/>
        <v>27810308.753370479</v>
      </c>
      <c r="BM101" s="169">
        <f t="shared" si="377"/>
        <v>27892724.889318805</v>
      </c>
      <c r="BN101" s="169">
        <f t="shared" si="377"/>
        <v>27467205.2353114</v>
      </c>
      <c r="BO101" s="169">
        <f t="shared" si="377"/>
        <v>25827129.94403648</v>
      </c>
      <c r="BP101" s="169">
        <f t="shared" ref="BP101:CQ101" si="378">BP102+BP103</f>
        <v>25922664.065267149</v>
      </c>
      <c r="BQ101" s="169">
        <f t="shared" si="378"/>
        <v>27351114.544207819</v>
      </c>
      <c r="BR101" s="169">
        <f t="shared" si="378"/>
        <v>26591032.699061442</v>
      </c>
      <c r="BS101" s="169">
        <f t="shared" si="378"/>
        <v>26011751.12176165</v>
      </c>
      <c r="BT101" s="169">
        <f t="shared" si="378"/>
        <v>23383547.990403362</v>
      </c>
      <c r="BU101" s="169">
        <f t="shared" si="378"/>
        <v>22621774.116312202</v>
      </c>
      <c r="BV101" s="169">
        <f t="shared" si="378"/>
        <v>23278145.533664696</v>
      </c>
      <c r="BW101" s="169">
        <f t="shared" si="378"/>
        <v>26220981.470957831</v>
      </c>
      <c r="BX101" s="169">
        <f t="shared" si="378"/>
        <v>26970235.797902741</v>
      </c>
      <c r="BY101" s="169">
        <f t="shared" si="378"/>
        <v>27011208.327050809</v>
      </c>
      <c r="BZ101" s="169">
        <f t="shared" si="378"/>
        <v>27158642.142319184</v>
      </c>
      <c r="CA101" s="169">
        <f t="shared" si="378"/>
        <v>26376385.998150468</v>
      </c>
      <c r="CB101" s="169">
        <f t="shared" si="378"/>
        <v>24747473.595810436</v>
      </c>
      <c r="CC101" s="169">
        <f t="shared" si="378"/>
        <v>23413826.454161432</v>
      </c>
      <c r="CD101" s="169">
        <f t="shared" si="378"/>
        <v>24430482.886025671</v>
      </c>
      <c r="CE101" s="169">
        <f t="shared" si="378"/>
        <v>24675127.570577443</v>
      </c>
      <c r="CF101" s="169">
        <f t="shared" si="378"/>
        <v>24875576.034483522</v>
      </c>
      <c r="CG101" s="169">
        <f t="shared" si="378"/>
        <v>25654556.682382114</v>
      </c>
      <c r="CH101" s="169">
        <f t="shared" si="378"/>
        <v>29660829.79627879</v>
      </c>
      <c r="CI101" s="169">
        <f t="shared" si="378"/>
        <v>31640404.09050785</v>
      </c>
      <c r="CJ101" s="169">
        <f t="shared" si="378"/>
        <v>31384313.015069883</v>
      </c>
      <c r="CK101" s="169">
        <f t="shared" si="378"/>
        <v>31387932.673712611</v>
      </c>
      <c r="CL101" s="169">
        <f t="shared" si="378"/>
        <v>32742789.199820682</v>
      </c>
      <c r="CM101" s="169">
        <f t="shared" si="378"/>
        <v>34032284.414593011</v>
      </c>
      <c r="CN101" s="169">
        <f t="shared" si="378"/>
        <v>33155042.306263126</v>
      </c>
      <c r="CO101" s="169">
        <f t="shared" si="378"/>
        <v>34521328.082347736</v>
      </c>
      <c r="CP101" s="169">
        <f t="shared" si="378"/>
        <v>37074892.485485964</v>
      </c>
      <c r="CQ101" s="169">
        <f t="shared" si="378"/>
        <v>36586833.946860552</v>
      </c>
      <c r="CR101" s="169">
        <f t="shared" ref="CR101" si="379">CR102+CR103</f>
        <v>41986565.564034581</v>
      </c>
      <c r="CS101" s="169">
        <f t="shared" ref="CS101" si="380">CS102+CS103</f>
        <v>42910612.053976715</v>
      </c>
      <c r="CT101" s="169">
        <f t="shared" ref="CT101" si="381">CT102+CT103</f>
        <v>40885367.514064789</v>
      </c>
      <c r="CU101" s="169">
        <f t="shared" ref="CU101" si="382">CU102+CU103</f>
        <v>44156196.915189974</v>
      </c>
      <c r="CV101" s="169">
        <f t="shared" ref="CV101" si="383">CV102+CV103</f>
        <v>44156196.915189974</v>
      </c>
      <c r="CW101" s="169">
        <f t="shared" ref="CW101" si="384">CW102+CW103</f>
        <v>44156196.915189974</v>
      </c>
      <c r="CX101" s="169">
        <f t="shared" ref="CX101" si="385">CX102+CX103</f>
        <v>44156196.915189974</v>
      </c>
      <c r="CY101" s="169">
        <f t="shared" ref="CY101" si="386">CY102+CY103</f>
        <v>44156196.915189974</v>
      </c>
      <c r="CZ101" s="169">
        <f t="shared" ref="CZ101" si="387">CZ102+CZ103</f>
        <v>44156196.915189974</v>
      </c>
      <c r="DA101" s="169">
        <f t="shared" ref="DA101" si="388">DA102+DA103</f>
        <v>44156196.915189974</v>
      </c>
      <c r="DB101" s="169">
        <f t="shared" ref="DB101" si="389">DB102+DB103</f>
        <v>44156196.915189974</v>
      </c>
      <c r="DC101" s="169">
        <f t="shared" ref="DC101" si="390">DC102+DC103</f>
        <v>44156196.915189974</v>
      </c>
      <c r="DD101" s="169">
        <f t="shared" ref="DD101" si="391">DD102+DD103</f>
        <v>44156196.915189974</v>
      </c>
      <c r="DE101" s="169">
        <f t="shared" ref="DE101" si="392">DE102+DE103</f>
        <v>44156196.915189974</v>
      </c>
      <c r="DF101" s="169">
        <f t="shared" ref="DF101" si="393">DF102+DF103</f>
        <v>44156196.915189974</v>
      </c>
      <c r="DG101" s="169">
        <f t="shared" ref="DG101" si="394">DG102+DG103</f>
        <v>47688692.668405175</v>
      </c>
      <c r="DH101" s="169">
        <f t="shared" ref="DH101" si="395">DH102+DH103</f>
        <v>47688692.668405175</v>
      </c>
      <c r="DI101" s="169">
        <f t="shared" ref="DI101" si="396">DI102+DI103</f>
        <v>47688692.668405175</v>
      </c>
      <c r="DJ101" s="169">
        <f t="shared" ref="DJ101" si="397">DJ102+DJ103</f>
        <v>47688692.668405175</v>
      </c>
      <c r="DK101" s="169">
        <f t="shared" ref="DK101" si="398">DK102+DK103</f>
        <v>47688692.668405175</v>
      </c>
      <c r="DL101" s="169">
        <f t="shared" ref="DL101" si="399">DL102+DL103</f>
        <v>47688692.668405175</v>
      </c>
      <c r="DM101" s="169">
        <f t="shared" ref="DM101" si="400">DM102+DM103</f>
        <v>47688692.668405175</v>
      </c>
      <c r="DN101" s="169">
        <f t="shared" ref="DN101" si="401">DN102+DN103</f>
        <v>47688692.668405175</v>
      </c>
      <c r="DO101" s="169">
        <f t="shared" ref="DO101" si="402">DO102+DO103</f>
        <v>47688692.668405175</v>
      </c>
      <c r="DP101" s="169">
        <f t="shared" ref="DP101" si="403">DP102+DP103</f>
        <v>47688692.668405175</v>
      </c>
      <c r="DQ101" s="169">
        <f t="shared" ref="DQ101" si="404">DQ102+DQ103</f>
        <v>47688692.668405175</v>
      </c>
      <c r="DR101" s="169">
        <f t="shared" ref="DR101" si="405">DR102+DR103</f>
        <v>47688692.668405175</v>
      </c>
      <c r="DS101" s="169">
        <f t="shared" ref="DS101:ED101" si="406">DS102+DS103</f>
        <v>51503788.081877589</v>
      </c>
      <c r="DT101" s="169">
        <f t="shared" si="406"/>
        <v>51503788.081877589</v>
      </c>
      <c r="DU101" s="169">
        <f t="shared" si="406"/>
        <v>51503788.081877589</v>
      </c>
      <c r="DV101" s="169">
        <f t="shared" si="406"/>
        <v>51503788.081877589</v>
      </c>
      <c r="DW101" s="169">
        <f t="shared" si="406"/>
        <v>51503788.081877589</v>
      </c>
      <c r="DX101" s="169">
        <f t="shared" si="406"/>
        <v>51503788.081877589</v>
      </c>
      <c r="DY101" s="169">
        <f t="shared" si="406"/>
        <v>51503788.081877589</v>
      </c>
      <c r="DZ101" s="169">
        <f t="shared" si="406"/>
        <v>51503788.081877589</v>
      </c>
      <c r="EA101" s="169">
        <f t="shared" si="406"/>
        <v>51503788.081877589</v>
      </c>
      <c r="EB101" s="169">
        <f t="shared" si="406"/>
        <v>51503788.081877589</v>
      </c>
      <c r="EC101" s="169">
        <f t="shared" si="406"/>
        <v>51503788.081877589</v>
      </c>
      <c r="ED101" s="169">
        <f t="shared" si="406"/>
        <v>51503788.081877589</v>
      </c>
      <c r="EE101" s="168"/>
      <c r="EF101" s="165">
        <f t="shared" ref="EF101:EF107" si="407">SUM(BK101:BM101)</f>
        <v>84111053.838841051</v>
      </c>
      <c r="EG101" s="165">
        <f t="shared" ref="EG101:EG107" si="408">SUM(BN101:BP101)</f>
        <v>79216999.244615033</v>
      </c>
      <c r="EH101" s="165">
        <f t="shared" ref="EH101:EH107" si="409">SUM(BQ101:BS101)</f>
        <v>79953898.365030915</v>
      </c>
      <c r="EI101" s="165">
        <f t="shared" ref="EI101:EI107" si="410">SUM(BT101:BV101)</f>
        <v>69283467.640380263</v>
      </c>
      <c r="EJ101" s="165">
        <f t="shared" ref="EJ101:EJ107" si="411">SUM(BW101:BY101)</f>
        <v>80202425.595911384</v>
      </c>
      <c r="EK101" s="165">
        <f t="shared" ref="EK101:EK107" si="412">SUM(CL101:CN101)</f>
        <v>99930115.920676827</v>
      </c>
      <c r="EL101" s="165">
        <f t="shared" ref="EL101:EL107" si="413">SUM(CC101:CE101)</f>
        <v>72519436.910764545</v>
      </c>
      <c r="EM101" s="165">
        <f t="shared" ref="EM101:EM107" si="414">SUM(CF101:CH101)</f>
        <v>80190962.513144433</v>
      </c>
      <c r="EN101" s="165">
        <f t="shared" ref="EN101:EN107" si="415">SUM(CI101:CK101)</f>
        <v>94412649.779290348</v>
      </c>
      <c r="EO101" s="165">
        <f t="shared" ref="EO101:EO107" si="416">SUM(CL101:CN101)</f>
        <v>99930115.920676827</v>
      </c>
      <c r="EP101" s="165">
        <f t="shared" ref="EP101:EP107" si="417">SUM(CO101:CQ101)</f>
        <v>108183054.51469424</v>
      </c>
      <c r="EQ101" s="165">
        <f t="shared" ref="EQ101:EQ107" si="418">SUM(CR101:CT101)</f>
        <v>125782545.13207608</v>
      </c>
      <c r="ER101" s="165">
        <f t="shared" ref="ER101:ER107" si="419">SUM(CU101:CW101)</f>
        <v>132468590.74556991</v>
      </c>
      <c r="ES101" s="165">
        <f t="shared" ref="ES101:ES107" si="420">SUM(CX101:CZ101)</f>
        <v>132468590.74556991</v>
      </c>
      <c r="ET101" s="165">
        <f t="shared" ref="ET101:ET107" si="421">SUM(DA101:DC101)</f>
        <v>132468590.74556991</v>
      </c>
      <c r="EU101" s="165">
        <f t="shared" ref="EU101:EU107" si="422">SUM(DD101:DF101)</f>
        <v>132468590.74556991</v>
      </c>
      <c r="EV101" s="165">
        <f t="shared" ref="EV101:EV107" si="423">SUM(DG101:DI101)</f>
        <v>143066078.00521553</v>
      </c>
      <c r="EW101" s="165">
        <f t="shared" ref="EW101:EW107" si="424">SUM(DJ101:DL101)</f>
        <v>143066078.00521553</v>
      </c>
      <c r="EX101" s="165">
        <f t="shared" ref="EX101:EX107" si="425">SUM(DM101:DO101)</f>
        <v>143066078.00521553</v>
      </c>
      <c r="EY101" s="165">
        <f t="shared" ref="EY101:EY107" si="426">SUM(DP101:DR101)</f>
        <v>143066078.00521553</v>
      </c>
      <c r="EZ101" s="165">
        <f t="shared" si="304"/>
        <v>154511364.24563277</v>
      </c>
      <c r="FA101" s="165">
        <f t="shared" si="305"/>
        <v>154511364.24563277</v>
      </c>
      <c r="FB101" s="165">
        <f t="shared" si="306"/>
        <v>154511364.24563277</v>
      </c>
      <c r="FC101" s="165">
        <f t="shared" si="307"/>
        <v>154511364.24563277</v>
      </c>
      <c r="FE101" s="165">
        <f t="shared" si="308"/>
        <v>312565419.08886731</v>
      </c>
      <c r="FF101" s="165">
        <f t="shared" si="309"/>
        <v>332842940.94049716</v>
      </c>
      <c r="FG101" s="165">
        <f t="shared" si="310"/>
        <v>428308365.3467375</v>
      </c>
      <c r="FH101" s="165">
        <f t="shared" si="311"/>
        <v>529874362.98227966</v>
      </c>
      <c r="FI101" s="165">
        <f t="shared" si="312"/>
        <v>572264312.0208621</v>
      </c>
      <c r="FJ101" s="165">
        <f t="shared" si="313"/>
        <v>618045456.98253107</v>
      </c>
    </row>
    <row r="102" spans="2:166" x14ac:dyDescent="0.2">
      <c r="B102" s="24" t="s">
        <v>188</v>
      </c>
      <c r="C102" s="213">
        <f>'P&amp;L - Inputs'!B720</f>
        <v>110960</v>
      </c>
      <c r="D102" s="19">
        <f>'P&amp;L - Inputs'!C720</f>
        <v>126320</v>
      </c>
      <c r="E102" s="19">
        <f>'P&amp;L - Inputs'!D720</f>
        <v>110960</v>
      </c>
      <c r="F102" s="19">
        <f>'P&amp;L - Inputs'!E720</f>
        <v>126360</v>
      </c>
      <c r="G102" s="19">
        <f>'P&amp;L - Inputs'!F720</f>
        <v>158799</v>
      </c>
      <c r="H102" s="19">
        <f>'P&amp;L - Inputs'!G720</f>
        <v>177626</v>
      </c>
      <c r="I102" s="19">
        <f>'P&amp;L - Inputs'!H720</f>
        <v>213143</v>
      </c>
      <c r="J102" s="19">
        <f>'P&amp;L - Inputs'!I720</f>
        <v>215126</v>
      </c>
      <c r="K102" s="19">
        <f>'P&amp;L - Inputs'!J720</f>
        <v>255932</v>
      </c>
      <c r="L102" s="19">
        <f>'P&amp;L - Inputs'!K720</f>
        <v>345189</v>
      </c>
      <c r="M102" s="19">
        <f>'P&amp;L - Inputs'!L720</f>
        <v>348356</v>
      </c>
      <c r="N102" s="19">
        <f>'P&amp;L - Inputs'!M720</f>
        <v>434984</v>
      </c>
      <c r="O102" s="19">
        <f>'P&amp;L - Inputs'!N720</f>
        <v>366821</v>
      </c>
      <c r="P102" s="19">
        <f>'P&amp;L - Inputs'!O720</f>
        <v>416535</v>
      </c>
      <c r="Q102" s="19">
        <f>'P&amp;L - Inputs'!P720</f>
        <v>448679</v>
      </c>
      <c r="R102" s="19">
        <f>'P&amp;L - Inputs'!Q720</f>
        <v>498695</v>
      </c>
      <c r="S102" s="19">
        <f>'P&amp;L - Inputs'!R720</f>
        <v>495661.99999999994</v>
      </c>
      <c r="T102" s="19">
        <f>'P&amp;L - Inputs'!S720</f>
        <v>496613</v>
      </c>
      <c r="U102" s="19">
        <f>'P&amp;L - Inputs'!T720</f>
        <v>478752</v>
      </c>
      <c r="V102" s="19">
        <f>'P&amp;L - Inputs'!U720</f>
        <v>525180</v>
      </c>
      <c r="W102" s="19">
        <f>'P&amp;L - Inputs'!V720</f>
        <v>741207</v>
      </c>
      <c r="X102" s="19">
        <f>'P&amp;L - Inputs'!W720</f>
        <v>1067173</v>
      </c>
      <c r="Y102" s="19">
        <f>'P&amp;L - Inputs'!X720</f>
        <v>775750.66666666651</v>
      </c>
      <c r="Z102" s="19">
        <f>'P&amp;L - Inputs'!Y720</f>
        <v>758614</v>
      </c>
      <c r="AA102" s="19">
        <f>'P&amp;L - Inputs'!Z720</f>
        <v>742120.05833333335</v>
      </c>
      <c r="AB102" s="19">
        <f>'P&amp;L - Inputs'!AA720</f>
        <v>721128.01083333301</v>
      </c>
      <c r="AC102" s="19">
        <f>'P&amp;L - Inputs'!AB720</f>
        <v>1797584.1150161389</v>
      </c>
      <c r="AD102" s="19">
        <f>'P&amp;L - Inputs'!AC720</f>
        <v>1593326.1191648855</v>
      </c>
      <c r="AE102" s="19">
        <f>'P&amp;L - Inputs'!AD720</f>
        <v>1873651.8111714476</v>
      </c>
      <c r="AF102" s="19">
        <f>'P&amp;L - Inputs'!AE720</f>
        <v>1911845.6363756643</v>
      </c>
      <c r="AG102" s="19">
        <f>'P&amp;L - Inputs'!AF720</f>
        <v>2361496.2065220415</v>
      </c>
      <c r="AH102" s="19">
        <f>'P&amp;L - Inputs'!AG720</f>
        <v>2254639.5685634143</v>
      </c>
      <c r="AI102" s="19">
        <f>'P&amp;L - Inputs'!AH720</f>
        <v>2476979.8220768748</v>
      </c>
      <c r="AJ102" s="19">
        <f>'P&amp;L - Inputs'!AI720</f>
        <v>3405091.9418454128</v>
      </c>
      <c r="AK102" s="19">
        <f>'P&amp;L - Inputs'!AJ720</f>
        <v>3271467.9586946587</v>
      </c>
      <c r="AL102" s="19">
        <f>'P&amp;L - Inputs'!AK720</f>
        <v>4008180.366370704</v>
      </c>
      <c r="AM102" s="19">
        <f>'P&amp;L - Inputs'!AL720</f>
        <v>4534823.9221463464</v>
      </c>
      <c r="AN102" s="19">
        <f>'P&amp;L - Inputs'!AM720</f>
        <v>4063044.3455448714</v>
      </c>
      <c r="AO102" s="19">
        <f>'P&amp;L - Inputs'!AN720</f>
        <v>3450339.6585839852</v>
      </c>
      <c r="AP102" s="19">
        <f>'P&amp;L - Inputs'!AO720</f>
        <v>4618862.6583401319</v>
      </c>
      <c r="AQ102" s="19">
        <f>'P&amp;L - Inputs'!AP720</f>
        <v>5274364.6332843322</v>
      </c>
      <c r="AR102" s="19">
        <f>'P&amp;L - Inputs'!AQ720</f>
        <v>6132122.9181990996</v>
      </c>
      <c r="AS102" s="19">
        <f>'P&amp;L - Inputs'!AR720</f>
        <v>7590569.8025222719</v>
      </c>
      <c r="AT102" s="19">
        <f>'P&amp;L - Inputs'!AS720</f>
        <v>7808303.3883367032</v>
      </c>
      <c r="AU102" s="19">
        <f>'P&amp;L - Inputs'!AT720</f>
        <v>8454758.8146454804</v>
      </c>
      <c r="AV102" s="19">
        <f>'P&amp;L - Inputs'!AU720</f>
        <v>9009073.0222763903</v>
      </c>
      <c r="AW102" s="19">
        <f>'P&amp;L - Inputs'!AV720</f>
        <v>9369089.4003605489</v>
      </c>
      <c r="AX102" s="19">
        <f>'P&amp;L - Inputs'!AW720</f>
        <v>11188702.284748098</v>
      </c>
      <c r="AY102" s="19">
        <f>'P&amp;L - Inputs'!AX720</f>
        <v>13341080.438094471</v>
      </c>
      <c r="AZ102" s="19">
        <f>'P&amp;L - Inputs'!AY720</f>
        <v>11742265.383763574</v>
      </c>
      <c r="BA102" s="19">
        <f>'P&amp;L - Inputs'!AZ720</f>
        <v>12940833.921818776</v>
      </c>
      <c r="BB102" s="19">
        <f>'P&amp;L - Inputs'!BA720</f>
        <v>13932461.383077281</v>
      </c>
      <c r="BC102" s="19">
        <f>'P&amp;L - Inputs'!BB720</f>
        <v>15402524.727812907</v>
      </c>
      <c r="BD102" s="19">
        <f>'P&amp;L - Inputs'!BC720</f>
        <v>15025169.494612131</v>
      </c>
      <c r="BE102" s="19">
        <f>'P&amp;L - Inputs'!BD720</f>
        <v>15977105.905225076</v>
      </c>
      <c r="BF102" s="19">
        <f>'P&amp;L - Inputs'!BE720</f>
        <v>15594488.704846799</v>
      </c>
      <c r="BG102" s="19">
        <f>'P&amp;L - Inputs'!BF720</f>
        <v>17214010.422119729</v>
      </c>
      <c r="BH102" s="19">
        <f>'P&amp;L - Inputs'!BG720</f>
        <v>18694433.809787061</v>
      </c>
      <c r="BI102" s="19">
        <f>'P&amp;L - Inputs'!BH720</f>
        <v>19609331.115823559</v>
      </c>
      <c r="BJ102" s="19">
        <f>'P&amp;L - Inputs'!BI720</f>
        <v>18421027.225259602</v>
      </c>
      <c r="BK102" s="19">
        <f>'P&amp;L - Inputs'!BJ720</f>
        <v>18114584.155481126</v>
      </c>
      <c r="BL102" s="19">
        <f>'P&amp;L - Inputs'!BK720</f>
        <v>17325053.958066553</v>
      </c>
      <c r="BM102" s="19">
        <f>'P&amp;L - Inputs'!BL720</f>
        <v>17345638.365077417</v>
      </c>
      <c r="BN102" s="19">
        <f>'P&amp;L - Inputs'!BM720</f>
        <v>17109518.710709631</v>
      </c>
      <c r="BO102" s="19">
        <f>'P&amp;L - Inputs'!BN720</f>
        <v>16029638.969796877</v>
      </c>
      <c r="BP102" s="19">
        <f>'P&amp;L - Inputs'!BO720</f>
        <v>16474438.169228528</v>
      </c>
      <c r="BQ102" s="19">
        <f>'P&amp;L - Inputs'!BP720</f>
        <v>18163281.938638382</v>
      </c>
      <c r="BR102" s="19">
        <f>'P&amp;L - Inputs'!BQ720</f>
        <v>16760064.358283237</v>
      </c>
      <c r="BS102" s="19">
        <f>'P&amp;L - Inputs'!BR720</f>
        <v>16173981.699542066</v>
      </c>
      <c r="BT102" s="19">
        <f>'P&amp;L - Inputs'!BS720</f>
        <v>14171721.738624126</v>
      </c>
      <c r="BU102" s="19">
        <f>'P&amp;L - Inputs'!BT720</f>
        <v>13939491.558407735</v>
      </c>
      <c r="BV102" s="19">
        <f>'P&amp;L - Inputs'!BU720</f>
        <v>14167941.533852343</v>
      </c>
      <c r="BW102" s="19">
        <f>'P&amp;L - Inputs'!BV720</f>
        <v>16254143.867937969</v>
      </c>
      <c r="BX102" s="19">
        <f>'P&amp;L - Inputs'!BW720</f>
        <v>16415147.978328232</v>
      </c>
      <c r="BY102" s="19">
        <f>'P&amp;L - Inputs'!BX720</f>
        <v>15864676.058838796</v>
      </c>
      <c r="BZ102" s="19">
        <f>'P&amp;L - Inputs'!BY720</f>
        <v>15938825.212245319</v>
      </c>
      <c r="CA102" s="19">
        <f>'P&amp;L - Inputs'!BZ720</f>
        <v>15556973.196027217</v>
      </c>
      <c r="CB102" s="19">
        <f>'P&amp;L - Inputs'!CA720</f>
        <v>14504868.76171279</v>
      </c>
      <c r="CC102" s="19">
        <f>'P&amp;L - Inputs'!CB720</f>
        <v>17057628.106575374</v>
      </c>
      <c r="CD102" s="19">
        <f>'P&amp;L - Inputs'!CC720</f>
        <v>17983568.876556892</v>
      </c>
      <c r="CE102" s="19">
        <f>'P&amp;L - Inputs'!CD720</f>
        <v>18150449.68829095</v>
      </c>
      <c r="CF102" s="19">
        <f>'P&amp;L - Inputs'!CE720</f>
        <v>17918612.277669493</v>
      </c>
      <c r="CG102" s="19">
        <f>'P&amp;L - Inputs'!CF720</f>
        <v>18575150.410773523</v>
      </c>
      <c r="CH102" s="19">
        <f>'P&amp;L - Inputs'!CG720</f>
        <v>21446587.604450215</v>
      </c>
      <c r="CI102" s="19">
        <f>'P&amp;L - Inputs'!CH720</f>
        <v>20657592.35004231</v>
      </c>
      <c r="CJ102" s="19">
        <f>'P&amp;L - Inputs'!CI720</f>
        <v>20480035.53212795</v>
      </c>
      <c r="CK102" s="19">
        <f>'P&amp;L - Inputs'!CJ720</f>
        <v>20280914.027277052</v>
      </c>
      <c r="CL102" s="19">
        <f>'P&amp;L - Inputs'!CK720</f>
        <v>21732660.04463201</v>
      </c>
      <c r="CM102" s="19">
        <f>'P&amp;L - Inputs'!CL720</f>
        <v>22660853.967915911</v>
      </c>
      <c r="CN102" s="19">
        <f>'P&amp;L - Inputs'!CM720</f>
        <v>21549895.410087578</v>
      </c>
      <c r="CO102" s="19">
        <f>'P&amp;L - Inputs'!CN720</f>
        <v>23263485.018828973</v>
      </c>
      <c r="CP102" s="19">
        <f>'P&amp;L - Inputs'!CO720</f>
        <v>24604608.31774186</v>
      </c>
      <c r="CQ102" s="19">
        <f>'P&amp;L - Inputs'!CP720</f>
        <v>24180924.628740732</v>
      </c>
      <c r="CR102" s="19">
        <f>'P&amp;L - Inputs'!CQ720</f>
        <v>28102943.7892607</v>
      </c>
      <c r="CS102" s="19">
        <f>'P&amp;L - Inputs'!CR720</f>
        <v>28800442.542883001</v>
      </c>
      <c r="CT102" s="19">
        <f>'P&amp;L - Inputs'!CS720</f>
        <v>26877472.464568667</v>
      </c>
      <c r="CU102" s="19">
        <f>'P&amp;L - Inputs'!CT720</f>
        <v>29027670.261734162</v>
      </c>
      <c r="CV102" s="19">
        <f>'P&amp;L - Inputs'!CU720</f>
        <v>29027670.261734162</v>
      </c>
      <c r="CW102" s="19">
        <f>'P&amp;L - Inputs'!CV720</f>
        <v>29027670.261734162</v>
      </c>
      <c r="CX102" s="19">
        <f>'P&amp;L - Inputs'!CW720</f>
        <v>29027670.261734162</v>
      </c>
      <c r="CY102" s="19">
        <f>'P&amp;L - Inputs'!CX720</f>
        <v>29027670.261734162</v>
      </c>
      <c r="CZ102" s="19">
        <f>'P&amp;L - Inputs'!CY720</f>
        <v>29027670.261734162</v>
      </c>
      <c r="DA102" s="19">
        <f>'P&amp;L - Inputs'!CZ720</f>
        <v>29027670.261734162</v>
      </c>
      <c r="DB102" s="19">
        <f>'P&amp;L - Inputs'!DA720</f>
        <v>29027670.261734162</v>
      </c>
      <c r="DC102" s="19">
        <f>'P&amp;L - Inputs'!DB720</f>
        <v>29027670.261734162</v>
      </c>
      <c r="DD102" s="19">
        <f>'P&amp;L - Inputs'!DC720</f>
        <v>29027670.261734162</v>
      </c>
      <c r="DE102" s="19">
        <f>'P&amp;L - Inputs'!DD720</f>
        <v>29027670.261734162</v>
      </c>
      <c r="DF102" s="19">
        <f>'P&amp;L - Inputs'!DE720</f>
        <v>29027670.261734162</v>
      </c>
      <c r="DG102" s="19">
        <f>'P&amp;L - Inputs'!DF720</f>
        <v>31349883.882672895</v>
      </c>
      <c r="DH102" s="19">
        <f>'P&amp;L - Inputs'!DG720</f>
        <v>31349883.882672895</v>
      </c>
      <c r="DI102" s="19">
        <f>'P&amp;L - Inputs'!DH720</f>
        <v>31349883.882672895</v>
      </c>
      <c r="DJ102" s="19">
        <f>'P&amp;L - Inputs'!DI720</f>
        <v>31349883.882672895</v>
      </c>
      <c r="DK102" s="19">
        <f>'P&amp;L - Inputs'!DJ720</f>
        <v>31349883.882672895</v>
      </c>
      <c r="DL102" s="19">
        <f>'P&amp;L - Inputs'!DK720</f>
        <v>31349883.882672895</v>
      </c>
      <c r="DM102" s="19">
        <f>'P&amp;L - Inputs'!DL720</f>
        <v>31349883.882672895</v>
      </c>
      <c r="DN102" s="19">
        <f>'P&amp;L - Inputs'!DM720</f>
        <v>31349883.882672895</v>
      </c>
      <c r="DO102" s="19">
        <f>'P&amp;L - Inputs'!DN720</f>
        <v>31349883.882672895</v>
      </c>
      <c r="DP102" s="19">
        <f>'P&amp;L - Inputs'!DO720</f>
        <v>31349883.882672895</v>
      </c>
      <c r="DQ102" s="19">
        <f>'P&amp;L - Inputs'!DP720</f>
        <v>31349883.882672895</v>
      </c>
      <c r="DR102" s="19">
        <f>'P&amp;L - Inputs'!DQ720</f>
        <v>31349883.882672895</v>
      </c>
      <c r="DS102" s="19">
        <f>'P&amp;L - Inputs'!DR720</f>
        <v>33857874.59328673</v>
      </c>
      <c r="DT102" s="19">
        <f>'P&amp;L - Inputs'!DS720</f>
        <v>33857874.59328673</v>
      </c>
      <c r="DU102" s="19">
        <f>'P&amp;L - Inputs'!DT720</f>
        <v>33857874.59328673</v>
      </c>
      <c r="DV102" s="19">
        <f>'P&amp;L - Inputs'!DU720</f>
        <v>33857874.59328673</v>
      </c>
      <c r="DW102" s="19">
        <f>'P&amp;L - Inputs'!DV720</f>
        <v>33857874.59328673</v>
      </c>
      <c r="DX102" s="19">
        <f>'P&amp;L - Inputs'!DW720</f>
        <v>33857874.59328673</v>
      </c>
      <c r="DY102" s="19">
        <f>'P&amp;L - Inputs'!DX720</f>
        <v>33857874.59328673</v>
      </c>
      <c r="DZ102" s="19">
        <f>'P&amp;L - Inputs'!DY720</f>
        <v>33857874.59328673</v>
      </c>
      <c r="EA102" s="19">
        <f>'P&amp;L - Inputs'!DZ720</f>
        <v>33857874.59328673</v>
      </c>
      <c r="EB102" s="19">
        <f>'P&amp;L - Inputs'!EA720</f>
        <v>33857874.59328673</v>
      </c>
      <c r="EC102" s="19">
        <f>'P&amp;L - Inputs'!EB720</f>
        <v>33857874.59328673</v>
      </c>
      <c r="ED102" s="19">
        <f>'P&amp;L - Inputs'!EC720</f>
        <v>33857874.59328673</v>
      </c>
      <c r="EE102" s="168"/>
      <c r="EF102" s="165">
        <f t="shared" si="407"/>
        <v>52785276.478625104</v>
      </c>
      <c r="EG102" s="165">
        <f t="shared" si="408"/>
        <v>49613595.849735036</v>
      </c>
      <c r="EH102" s="165">
        <f t="shared" si="409"/>
        <v>51097327.996463686</v>
      </c>
      <c r="EI102" s="165">
        <f t="shared" si="410"/>
        <v>42279154.830884203</v>
      </c>
      <c r="EJ102" s="165">
        <f t="shared" si="411"/>
        <v>48533967.905104995</v>
      </c>
      <c r="EK102" s="165">
        <f t="shared" si="412"/>
        <v>65943409.422635503</v>
      </c>
      <c r="EL102" s="165">
        <f t="shared" si="413"/>
        <v>53191646.671423212</v>
      </c>
      <c r="EM102" s="165">
        <f t="shared" si="414"/>
        <v>57940350.292893231</v>
      </c>
      <c r="EN102" s="165">
        <f t="shared" si="415"/>
        <v>61418541.909447312</v>
      </c>
      <c r="EO102" s="165">
        <f t="shared" si="416"/>
        <v>65943409.422635503</v>
      </c>
      <c r="EP102" s="165">
        <f t="shared" si="417"/>
        <v>72049017.965311557</v>
      </c>
      <c r="EQ102" s="165">
        <f t="shared" si="418"/>
        <v>83780858.796712369</v>
      </c>
      <c r="ER102" s="165">
        <f t="shared" si="419"/>
        <v>87083010.785202488</v>
      </c>
      <c r="ES102" s="165">
        <f t="shared" si="420"/>
        <v>87083010.785202488</v>
      </c>
      <c r="ET102" s="165">
        <f t="shared" si="421"/>
        <v>87083010.785202488</v>
      </c>
      <c r="EU102" s="165">
        <f t="shared" si="422"/>
        <v>87083010.785202488</v>
      </c>
      <c r="EV102" s="165">
        <f t="shared" si="423"/>
        <v>94049651.648018688</v>
      </c>
      <c r="EW102" s="165">
        <f t="shared" si="424"/>
        <v>94049651.648018688</v>
      </c>
      <c r="EX102" s="165">
        <f t="shared" si="425"/>
        <v>94049651.648018688</v>
      </c>
      <c r="EY102" s="165">
        <f t="shared" si="426"/>
        <v>94049651.648018688</v>
      </c>
      <c r="EZ102" s="165">
        <f t="shared" si="304"/>
        <v>101573623.7798602</v>
      </c>
      <c r="FA102" s="165">
        <f t="shared" si="305"/>
        <v>101573623.7798602</v>
      </c>
      <c r="FB102" s="165">
        <f t="shared" si="306"/>
        <v>101573623.7798602</v>
      </c>
      <c r="FC102" s="165">
        <f t="shared" si="307"/>
        <v>101573623.7798602</v>
      </c>
      <c r="FE102" s="165">
        <f t="shared" si="308"/>
        <v>195775355.15570801</v>
      </c>
      <c r="FF102" s="165">
        <f t="shared" si="309"/>
        <v>225609374.29205692</v>
      </c>
      <c r="FG102" s="165">
        <f t="shared" si="310"/>
        <v>283191828.09410673</v>
      </c>
      <c r="FH102" s="165">
        <f t="shared" si="311"/>
        <v>348332043.14080995</v>
      </c>
      <c r="FI102" s="165">
        <f t="shared" si="312"/>
        <v>376198606.59207475</v>
      </c>
      <c r="FJ102" s="165">
        <f t="shared" si="313"/>
        <v>406294495.11944079</v>
      </c>
    </row>
    <row r="103" spans="2:166" x14ac:dyDescent="0.2">
      <c r="B103" s="24" t="s">
        <v>46</v>
      </c>
      <c r="C103" s="213">
        <f>'P&amp;L - Inputs'!B721</f>
        <v>221295.57142857101</v>
      </c>
      <c r="D103" s="19">
        <f>'P&amp;L - Inputs'!C721</f>
        <v>238457</v>
      </c>
      <c r="E103" s="19">
        <f>'P&amp;L - Inputs'!D721</f>
        <v>215350</v>
      </c>
      <c r="F103" s="19">
        <f>'P&amp;L - Inputs'!E721</f>
        <v>213274</v>
      </c>
      <c r="G103" s="19">
        <f>'P&amp;L - Inputs'!F721</f>
        <v>212274</v>
      </c>
      <c r="H103" s="19">
        <f>'P&amp;L - Inputs'!G721</f>
        <v>313049</v>
      </c>
      <c r="I103" s="19">
        <f>'P&amp;L - Inputs'!H721</f>
        <v>184874</v>
      </c>
      <c r="J103" s="19">
        <f>'P&amp;L - Inputs'!I721</f>
        <v>198646</v>
      </c>
      <c r="K103" s="19">
        <f>'P&amp;L - Inputs'!J721</f>
        <v>219274</v>
      </c>
      <c r="L103" s="19">
        <f>'P&amp;L - Inputs'!K721</f>
        <v>219274</v>
      </c>
      <c r="M103" s="19">
        <f>'P&amp;L - Inputs'!L721</f>
        <v>351217</v>
      </c>
      <c r="N103" s="19">
        <f>'P&amp;L - Inputs'!M721</f>
        <v>383290</v>
      </c>
      <c r="O103" s="19">
        <f>'P&amp;L - Inputs'!N721</f>
        <v>443288</v>
      </c>
      <c r="P103" s="19">
        <f>'P&amp;L - Inputs'!O721</f>
        <v>438925</v>
      </c>
      <c r="Q103" s="19">
        <f>'P&amp;L - Inputs'!P721</f>
        <v>442738</v>
      </c>
      <c r="R103" s="19">
        <f>'P&amp;L - Inputs'!Q721</f>
        <v>439858</v>
      </c>
      <c r="S103" s="19">
        <f>'P&amp;L - Inputs'!R721</f>
        <v>439434</v>
      </c>
      <c r="T103" s="19">
        <f>'P&amp;L - Inputs'!S721</f>
        <v>480984</v>
      </c>
      <c r="U103" s="19">
        <f>'P&amp;L - Inputs'!T721</f>
        <v>417843</v>
      </c>
      <c r="V103" s="19">
        <f>'P&amp;L - Inputs'!U721</f>
        <v>721905</v>
      </c>
      <c r="W103" s="19">
        <f>'P&amp;L - Inputs'!V721</f>
        <v>594002</v>
      </c>
      <c r="X103" s="19">
        <f>'P&amp;L - Inputs'!W721</f>
        <v>640364</v>
      </c>
      <c r="Y103" s="19">
        <f>'P&amp;L - Inputs'!X721</f>
        <v>606065.5</v>
      </c>
      <c r="Z103" s="19">
        <f>'P&amp;L - Inputs'!Y721</f>
        <v>573799.5</v>
      </c>
      <c r="AA103" s="19">
        <f>'P&amp;L - Inputs'!Z721</f>
        <v>597957.88500000001</v>
      </c>
      <c r="AB103" s="19">
        <f>'P&amp;L - Inputs'!AA721</f>
        <v>787908.14785714285</v>
      </c>
      <c r="AC103" s="19">
        <f>'P&amp;L - Inputs'!AB721</f>
        <v>868293.4976194615</v>
      </c>
      <c r="AD103" s="19">
        <f>'P&amp;L - Inputs'!AC721</f>
        <v>777773.01202681684</v>
      </c>
      <c r="AE103" s="19">
        <f>'P&amp;L - Inputs'!AD721</f>
        <v>846367.18451474095</v>
      </c>
      <c r="AF103" s="19">
        <f>'P&amp;L - Inputs'!AE721</f>
        <v>665652.00643050089</v>
      </c>
      <c r="AG103" s="19">
        <f>'P&amp;L - Inputs'!AF721</f>
        <v>671197.14087258454</v>
      </c>
      <c r="AH103" s="19">
        <f>'P&amp;L - Inputs'!AG721</f>
        <v>687762.47097652918</v>
      </c>
      <c r="AI103" s="19">
        <f>'P&amp;L - Inputs'!AH721</f>
        <v>771658.09933584498</v>
      </c>
      <c r="AJ103" s="19">
        <f>'P&amp;L - Inputs'!AI721</f>
        <v>925751.07963165385</v>
      </c>
      <c r="AK103" s="19">
        <f>'P&amp;L - Inputs'!AJ721</f>
        <v>862124.17812982923</v>
      </c>
      <c r="AL103" s="19">
        <f>'P&amp;L - Inputs'!AK721</f>
        <v>740342.27810053702</v>
      </c>
      <c r="AM103" s="19">
        <f>'P&amp;L - Inputs'!AL721</f>
        <v>703499.82917693129</v>
      </c>
      <c r="AN103" s="19">
        <f>'P&amp;L - Inputs'!AM721</f>
        <v>856354.92926145112</v>
      </c>
      <c r="AO103" s="19">
        <f>'P&amp;L - Inputs'!AN721</f>
        <v>827319.40431703604</v>
      </c>
      <c r="AP103" s="19">
        <f>'P&amp;L - Inputs'!AO721</f>
        <v>1422989.9761144728</v>
      </c>
      <c r="AQ103" s="19">
        <f>'P&amp;L - Inputs'!AP721</f>
        <v>1602944.65016675</v>
      </c>
      <c r="AR103" s="19">
        <f>'P&amp;L - Inputs'!AQ721</f>
        <v>1794277.7441850509</v>
      </c>
      <c r="AS103" s="19">
        <f>'P&amp;L - Inputs'!AR721</f>
        <v>1939929.4867521068</v>
      </c>
      <c r="AT103" s="19">
        <f>'P&amp;L - Inputs'!AS721</f>
        <v>2046523.7596560842</v>
      </c>
      <c r="AU103" s="19">
        <f>'P&amp;L - Inputs'!AT721</f>
        <v>2180237.7885707393</v>
      </c>
      <c r="AV103" s="19">
        <f>'P&amp;L - Inputs'!AU721</f>
        <v>2276697.8766689301</v>
      </c>
      <c r="AW103" s="19">
        <f>'P&amp;L - Inputs'!AV721</f>
        <v>2334504.3027655776</v>
      </c>
      <c r="AX103" s="19">
        <f>'P&amp;L - Inputs'!AW721</f>
        <v>3383921.3370426698</v>
      </c>
      <c r="AY103" s="19">
        <f>'P&amp;L - Inputs'!AX721</f>
        <v>3212275.6365876365</v>
      </c>
      <c r="AZ103" s="19">
        <f>'P&amp;L - Inputs'!AY721</f>
        <v>3487921.1682533827</v>
      </c>
      <c r="BA103" s="19">
        <f>'P&amp;L - Inputs'!AZ721</f>
        <v>2727201.766847285</v>
      </c>
      <c r="BB103" s="19">
        <f>'P&amp;L - Inputs'!BA721</f>
        <v>3009139.9125949522</v>
      </c>
      <c r="BC103" s="19">
        <f>'P&amp;L - Inputs'!BB721</f>
        <v>3023975.4017731869</v>
      </c>
      <c r="BD103" s="19">
        <f>'P&amp;L - Inputs'!BC721</f>
        <v>3809537.2294651261</v>
      </c>
      <c r="BE103" s="19">
        <f>'P&amp;L - Inputs'!BD721</f>
        <v>3788182.5239766273</v>
      </c>
      <c r="BF103" s="19">
        <f>'P&amp;L - Inputs'!BE721</f>
        <v>4116447.0367004224</v>
      </c>
      <c r="BG103" s="19">
        <f>'P&amp;L - Inputs'!BF721</f>
        <v>4123726.3313066624</v>
      </c>
      <c r="BH103" s="19">
        <f>'P&amp;L - Inputs'!BG721</f>
        <v>4420644.5027463883</v>
      </c>
      <c r="BI103" s="19">
        <f>'P&amp;L - Inputs'!BH721</f>
        <v>4431535.0737527171</v>
      </c>
      <c r="BJ103" s="19">
        <f>'P&amp;L - Inputs'!BI721</f>
        <v>5633544.131444904</v>
      </c>
      <c r="BK103" s="19">
        <f>'P&amp;L - Inputs'!BJ721</f>
        <v>10293436.040670633</v>
      </c>
      <c r="BL103" s="19">
        <f>'P&amp;L - Inputs'!BK721</f>
        <v>10485254.795303926</v>
      </c>
      <c r="BM103" s="19">
        <f>'P&amp;L - Inputs'!BL721</f>
        <v>10547086.524241388</v>
      </c>
      <c r="BN103" s="19">
        <f>'P&amp;L - Inputs'!BM721</f>
        <v>10357686.524601769</v>
      </c>
      <c r="BO103" s="19">
        <f>'P&amp;L - Inputs'!BN721</f>
        <v>9797490.9742396027</v>
      </c>
      <c r="BP103" s="19">
        <f>'P&amp;L - Inputs'!BO721</f>
        <v>9448225.8960386217</v>
      </c>
      <c r="BQ103" s="19">
        <f>'P&amp;L - Inputs'!BP721</f>
        <v>9187832.6055694371</v>
      </c>
      <c r="BR103" s="19">
        <f>'P&amp;L - Inputs'!BQ721</f>
        <v>9830968.3407782055</v>
      </c>
      <c r="BS103" s="19">
        <f>'P&amp;L - Inputs'!BR721</f>
        <v>9837769.4222195838</v>
      </c>
      <c r="BT103" s="19">
        <f>'P&amp;L - Inputs'!BS721</f>
        <v>9211826.2517792359</v>
      </c>
      <c r="BU103" s="19">
        <f>'P&amp;L - Inputs'!BT721</f>
        <v>8682282.557904467</v>
      </c>
      <c r="BV103" s="19">
        <f>'P&amp;L - Inputs'!BU721</f>
        <v>9110203.9998123534</v>
      </c>
      <c r="BW103" s="19">
        <f>'P&amp;L - Inputs'!BV721</f>
        <v>9966837.6030198596</v>
      </c>
      <c r="BX103" s="19">
        <f>'P&amp;L - Inputs'!BW721</f>
        <v>10555087.819574511</v>
      </c>
      <c r="BY103" s="19">
        <f>'P&amp;L - Inputs'!BX721</f>
        <v>11146532.268212013</v>
      </c>
      <c r="BZ103" s="19">
        <f>'P&amp;L - Inputs'!BY721</f>
        <v>11219816.930073865</v>
      </c>
      <c r="CA103" s="19">
        <f>'P&amp;L - Inputs'!BZ721</f>
        <v>10819412.802123249</v>
      </c>
      <c r="CB103" s="19">
        <f>'P&amp;L - Inputs'!CA721</f>
        <v>10242604.834097644</v>
      </c>
      <c r="CC103" s="19">
        <f>'P&amp;L - Inputs'!CB721</f>
        <v>6356198.3475860581</v>
      </c>
      <c r="CD103" s="19">
        <f>'P&amp;L - Inputs'!CC721</f>
        <v>6446914.009468779</v>
      </c>
      <c r="CE103" s="19">
        <f>'P&amp;L - Inputs'!CD721</f>
        <v>6524677.8822864909</v>
      </c>
      <c r="CF103" s="19">
        <f>'P&amp;L - Inputs'!CE721</f>
        <v>6956963.7568140281</v>
      </c>
      <c r="CG103" s="19">
        <f>'P&amp;L - Inputs'!CF721</f>
        <v>7079406.2716085892</v>
      </c>
      <c r="CH103" s="19">
        <f>'P&amp;L - Inputs'!CG721</f>
        <v>8214242.1918285731</v>
      </c>
      <c r="CI103" s="19">
        <f>'P&amp;L - Inputs'!CH721</f>
        <v>10982811.740465542</v>
      </c>
      <c r="CJ103" s="19">
        <f>'P&amp;L - Inputs'!CI721</f>
        <v>10904277.482941933</v>
      </c>
      <c r="CK103" s="19">
        <f>'P&amp;L - Inputs'!CJ721</f>
        <v>11107018.646435557</v>
      </c>
      <c r="CL103" s="19">
        <f>'P&amp;L - Inputs'!CK721</f>
        <v>11010129.155188672</v>
      </c>
      <c r="CM103" s="19">
        <f>'P&amp;L - Inputs'!CL721</f>
        <v>11371430.446677104</v>
      </c>
      <c r="CN103" s="19">
        <f>'P&amp;L - Inputs'!CM721</f>
        <v>11605146.89617555</v>
      </c>
      <c r="CO103" s="19">
        <f>'P&amp;L - Inputs'!CN721</f>
        <v>11257843.063518764</v>
      </c>
      <c r="CP103" s="19">
        <f>'P&amp;L - Inputs'!CO721</f>
        <v>12470284.167744102</v>
      </c>
      <c r="CQ103" s="19">
        <f>'P&amp;L - Inputs'!CP721</f>
        <v>12405909.318119824</v>
      </c>
      <c r="CR103" s="19">
        <f>'P&amp;L - Inputs'!CQ721</f>
        <v>13883621.774773885</v>
      </c>
      <c r="CS103" s="19">
        <f>'P&amp;L - Inputs'!CR721</f>
        <v>14110169.511093715</v>
      </c>
      <c r="CT103" s="19">
        <f>'P&amp;L - Inputs'!CS721</f>
        <v>14007895.04949612</v>
      </c>
      <c r="CU103" s="19">
        <f>'P&amp;L - Inputs'!CT721</f>
        <v>15128526.653455811</v>
      </c>
      <c r="CV103" s="19">
        <f>'P&amp;L - Inputs'!CU721</f>
        <v>15128526.653455811</v>
      </c>
      <c r="CW103" s="19">
        <f>'P&amp;L - Inputs'!CV721</f>
        <v>15128526.653455811</v>
      </c>
      <c r="CX103" s="19">
        <f>'P&amp;L - Inputs'!CW721</f>
        <v>15128526.653455811</v>
      </c>
      <c r="CY103" s="19">
        <f>'P&amp;L - Inputs'!CX721</f>
        <v>15128526.653455811</v>
      </c>
      <c r="CZ103" s="19">
        <f>'P&amp;L - Inputs'!CY721</f>
        <v>15128526.653455811</v>
      </c>
      <c r="DA103" s="19">
        <f>'P&amp;L - Inputs'!CZ721</f>
        <v>15128526.653455811</v>
      </c>
      <c r="DB103" s="19">
        <f>'P&amp;L - Inputs'!DA721</f>
        <v>15128526.653455811</v>
      </c>
      <c r="DC103" s="19">
        <f>'P&amp;L - Inputs'!DB721</f>
        <v>15128526.653455811</v>
      </c>
      <c r="DD103" s="19">
        <f>'P&amp;L - Inputs'!DC721</f>
        <v>15128526.653455811</v>
      </c>
      <c r="DE103" s="19">
        <f>'P&amp;L - Inputs'!DD721</f>
        <v>15128526.653455811</v>
      </c>
      <c r="DF103" s="19">
        <f>'P&amp;L - Inputs'!DE721</f>
        <v>15128526.653455811</v>
      </c>
      <c r="DG103" s="19">
        <f>'P&amp;L - Inputs'!DF721</f>
        <v>16338808.785732277</v>
      </c>
      <c r="DH103" s="19">
        <f>'P&amp;L - Inputs'!DG721</f>
        <v>16338808.785732277</v>
      </c>
      <c r="DI103" s="19">
        <f>'P&amp;L - Inputs'!DH721</f>
        <v>16338808.785732277</v>
      </c>
      <c r="DJ103" s="19">
        <f>'P&amp;L - Inputs'!DI721</f>
        <v>16338808.785732277</v>
      </c>
      <c r="DK103" s="19">
        <f>'P&amp;L - Inputs'!DJ721</f>
        <v>16338808.785732277</v>
      </c>
      <c r="DL103" s="19">
        <f>'P&amp;L - Inputs'!DK721</f>
        <v>16338808.785732277</v>
      </c>
      <c r="DM103" s="19">
        <f>'P&amp;L - Inputs'!DL721</f>
        <v>16338808.785732277</v>
      </c>
      <c r="DN103" s="19">
        <f>'P&amp;L - Inputs'!DM721</f>
        <v>16338808.785732277</v>
      </c>
      <c r="DO103" s="19">
        <f>'P&amp;L - Inputs'!DN721</f>
        <v>16338808.785732277</v>
      </c>
      <c r="DP103" s="19">
        <f>'P&amp;L - Inputs'!DO721</f>
        <v>16338808.785732277</v>
      </c>
      <c r="DQ103" s="19">
        <f>'P&amp;L - Inputs'!DP721</f>
        <v>16338808.785732277</v>
      </c>
      <c r="DR103" s="19">
        <f>'P&amp;L - Inputs'!DQ721</f>
        <v>16338808.785732277</v>
      </c>
      <c r="DS103" s="19">
        <f>'P&amp;L - Inputs'!DR721</f>
        <v>17645913.488590859</v>
      </c>
      <c r="DT103" s="19">
        <f>'P&amp;L - Inputs'!DS721</f>
        <v>17645913.488590859</v>
      </c>
      <c r="DU103" s="19">
        <f>'P&amp;L - Inputs'!DT721</f>
        <v>17645913.488590859</v>
      </c>
      <c r="DV103" s="19">
        <f>'P&amp;L - Inputs'!DU721</f>
        <v>17645913.488590859</v>
      </c>
      <c r="DW103" s="19">
        <f>'P&amp;L - Inputs'!DV721</f>
        <v>17645913.488590859</v>
      </c>
      <c r="DX103" s="19">
        <f>'P&amp;L - Inputs'!DW721</f>
        <v>17645913.488590859</v>
      </c>
      <c r="DY103" s="19">
        <f>'P&amp;L - Inputs'!DX721</f>
        <v>17645913.488590859</v>
      </c>
      <c r="DZ103" s="19">
        <f>'P&amp;L - Inputs'!DY721</f>
        <v>17645913.488590859</v>
      </c>
      <c r="EA103" s="19">
        <f>'P&amp;L - Inputs'!DZ721</f>
        <v>17645913.488590859</v>
      </c>
      <c r="EB103" s="19">
        <f>'P&amp;L - Inputs'!EA721</f>
        <v>17645913.488590859</v>
      </c>
      <c r="EC103" s="19">
        <f>'P&amp;L - Inputs'!EB721</f>
        <v>17645913.488590859</v>
      </c>
      <c r="ED103" s="19">
        <f>'P&amp;L - Inputs'!EC721</f>
        <v>17645913.488590859</v>
      </c>
      <c r="EE103" s="168"/>
      <c r="EF103" s="165">
        <f t="shared" si="407"/>
        <v>31325777.360215947</v>
      </c>
      <c r="EG103" s="165">
        <f t="shared" si="408"/>
        <v>29603403.394879993</v>
      </c>
      <c r="EH103" s="165">
        <f t="shared" si="409"/>
        <v>28856570.368567228</v>
      </c>
      <c r="EI103" s="165">
        <f t="shared" si="410"/>
        <v>27004312.809496056</v>
      </c>
      <c r="EJ103" s="165">
        <f t="shared" si="411"/>
        <v>31668457.690806381</v>
      </c>
      <c r="EK103" s="165">
        <f t="shared" si="412"/>
        <v>33986706.498041324</v>
      </c>
      <c r="EL103" s="165">
        <f t="shared" si="413"/>
        <v>19327790.239341326</v>
      </c>
      <c r="EM103" s="165">
        <f t="shared" si="414"/>
        <v>22250612.220251188</v>
      </c>
      <c r="EN103" s="165">
        <f t="shared" si="415"/>
        <v>32994107.869843036</v>
      </c>
      <c r="EO103" s="165">
        <f t="shared" si="416"/>
        <v>33986706.498041324</v>
      </c>
      <c r="EP103" s="165">
        <f t="shared" si="417"/>
        <v>36134036.549382687</v>
      </c>
      <c r="EQ103" s="165">
        <f t="shared" si="418"/>
        <v>42001686.335363723</v>
      </c>
      <c r="ER103" s="165">
        <f t="shared" si="419"/>
        <v>45385579.960367434</v>
      </c>
      <c r="ES103" s="165">
        <f t="shared" si="420"/>
        <v>45385579.960367434</v>
      </c>
      <c r="ET103" s="165">
        <f t="shared" si="421"/>
        <v>45385579.960367434</v>
      </c>
      <c r="EU103" s="165">
        <f t="shared" si="422"/>
        <v>45385579.960367434</v>
      </c>
      <c r="EV103" s="165">
        <f t="shared" si="423"/>
        <v>49016426.35719683</v>
      </c>
      <c r="EW103" s="165">
        <f t="shared" si="424"/>
        <v>49016426.35719683</v>
      </c>
      <c r="EX103" s="165">
        <f t="shared" si="425"/>
        <v>49016426.35719683</v>
      </c>
      <c r="EY103" s="165">
        <f t="shared" si="426"/>
        <v>49016426.35719683</v>
      </c>
      <c r="EZ103" s="165">
        <f t="shared" si="304"/>
        <v>52937740.465772577</v>
      </c>
      <c r="FA103" s="165">
        <f t="shared" si="305"/>
        <v>52937740.465772577</v>
      </c>
      <c r="FB103" s="165">
        <f t="shared" si="306"/>
        <v>52937740.465772577</v>
      </c>
      <c r="FC103" s="165">
        <f t="shared" si="307"/>
        <v>52937740.465772577</v>
      </c>
      <c r="FE103" s="165">
        <f t="shared" si="308"/>
        <v>116790063.93315923</v>
      </c>
      <c r="FF103" s="165">
        <f t="shared" si="309"/>
        <v>107233566.64844023</v>
      </c>
      <c r="FG103" s="165">
        <f t="shared" si="310"/>
        <v>145116537.25263077</v>
      </c>
      <c r="FH103" s="165">
        <f t="shared" si="311"/>
        <v>181542319.84146973</v>
      </c>
      <c r="FI103" s="165">
        <f t="shared" si="312"/>
        <v>196065705.42878732</v>
      </c>
      <c r="FJ103" s="165">
        <f t="shared" si="313"/>
        <v>211750961.86309031</v>
      </c>
    </row>
    <row r="104" spans="2:166" x14ac:dyDescent="0.2">
      <c r="B104" s="167" t="s">
        <v>189</v>
      </c>
      <c r="C104" s="213">
        <f>'P&amp;L - Inputs'!B722</f>
        <v>0</v>
      </c>
      <c r="D104" s="19">
        <f>'P&amp;L - Inputs'!C722</f>
        <v>0</v>
      </c>
      <c r="E104" s="19">
        <f>'P&amp;L - Inputs'!D722</f>
        <v>0</v>
      </c>
      <c r="F104" s="19">
        <f>'P&amp;L - Inputs'!E722</f>
        <v>0</v>
      </c>
      <c r="G104" s="19">
        <f>'P&amp;L - Inputs'!F722</f>
        <v>0</v>
      </c>
      <c r="H104" s="19">
        <f>'P&amp;L - Inputs'!G722</f>
        <v>0</v>
      </c>
      <c r="I104" s="19">
        <f>'P&amp;L - Inputs'!H722</f>
        <v>0</v>
      </c>
      <c r="J104" s="19">
        <f>'P&amp;L - Inputs'!I722</f>
        <v>0</v>
      </c>
      <c r="K104" s="19">
        <f>'P&amp;L - Inputs'!J722</f>
        <v>0</v>
      </c>
      <c r="L104" s="19">
        <f>'P&amp;L - Inputs'!K722</f>
        <v>0</v>
      </c>
      <c r="M104" s="19">
        <f>'P&amp;L - Inputs'!L722</f>
        <v>0</v>
      </c>
      <c r="N104" s="19">
        <f>'P&amp;L - Inputs'!M722</f>
        <v>0</v>
      </c>
      <c r="O104" s="19">
        <f>'P&amp;L - Inputs'!N722</f>
        <v>0</v>
      </c>
      <c r="P104" s="19">
        <f>'P&amp;L - Inputs'!O722</f>
        <v>0</v>
      </c>
      <c r="Q104" s="19">
        <f>'P&amp;L - Inputs'!P722</f>
        <v>0</v>
      </c>
      <c r="R104" s="19">
        <f>'P&amp;L - Inputs'!Q722</f>
        <v>0</v>
      </c>
      <c r="S104" s="19">
        <f>'P&amp;L - Inputs'!R722</f>
        <v>0</v>
      </c>
      <c r="T104" s="19">
        <f>'P&amp;L - Inputs'!S722</f>
        <v>0</v>
      </c>
      <c r="U104" s="19">
        <f>'P&amp;L - Inputs'!T722</f>
        <v>0</v>
      </c>
      <c r="V104" s="19">
        <f>'P&amp;L - Inputs'!U722</f>
        <v>0</v>
      </c>
      <c r="W104" s="19">
        <f>'P&amp;L - Inputs'!V722</f>
        <v>0</v>
      </c>
      <c r="X104" s="19">
        <f>'P&amp;L - Inputs'!W722</f>
        <v>0</v>
      </c>
      <c r="Y104" s="19">
        <f>'P&amp;L - Inputs'!X722</f>
        <v>0</v>
      </c>
      <c r="Z104" s="19">
        <f>'P&amp;L - Inputs'!Y722</f>
        <v>0</v>
      </c>
      <c r="AA104" s="19">
        <f>'P&amp;L - Inputs'!Z722</f>
        <v>0</v>
      </c>
      <c r="AB104" s="19">
        <f>'P&amp;L - Inputs'!AA722</f>
        <v>0</v>
      </c>
      <c r="AC104" s="19">
        <f>'P&amp;L - Inputs'!AB722</f>
        <v>351065.37417816039</v>
      </c>
      <c r="AD104" s="19">
        <f>'P&amp;L - Inputs'!AC722</f>
        <v>393015.03052741411</v>
      </c>
      <c r="AE104" s="19">
        <f>'P&amp;L - Inputs'!AD722</f>
        <v>456174.11404696427</v>
      </c>
      <c r="AF104" s="19">
        <f>'P&amp;L - Inputs'!AE722</f>
        <v>707947.49671383668</v>
      </c>
      <c r="AG104" s="19">
        <f>'P&amp;L - Inputs'!AF722</f>
        <v>850343.40745446552</v>
      </c>
      <c r="AH104" s="19">
        <f>'P&amp;L - Inputs'!AG722</f>
        <v>965854.73908512143</v>
      </c>
      <c r="AI104" s="19">
        <f>'P&amp;L - Inputs'!AH722</f>
        <v>1247652.3703429301</v>
      </c>
      <c r="AJ104" s="19">
        <f>'P&amp;L - Inputs'!AI722</f>
        <v>1420063.1369288964</v>
      </c>
      <c r="AK104" s="19">
        <f>'P&amp;L - Inputs'!AJ722</f>
        <v>1325735.8342791391</v>
      </c>
      <c r="AL104" s="19">
        <f>'P&amp;L - Inputs'!AK722</f>
        <v>1919250.0070853976</v>
      </c>
      <c r="AM104" s="19">
        <f>'P&amp;L - Inputs'!AL722</f>
        <v>1893830.9749979733</v>
      </c>
      <c r="AN104" s="19">
        <f>'P&amp;L - Inputs'!AM722</f>
        <v>1879361.0090290238</v>
      </c>
      <c r="AO104" s="19">
        <f>'P&amp;L - Inputs'!AN722</f>
        <v>1666516.783621134</v>
      </c>
      <c r="AP104" s="19">
        <f>'P&amp;L - Inputs'!AO722</f>
        <v>1681025.7440592402</v>
      </c>
      <c r="AQ104" s="19">
        <f>'P&amp;L - Inputs'!AP722</f>
        <v>1922371.9979837013</v>
      </c>
      <c r="AR104" s="19">
        <f>'P&amp;L - Inputs'!AQ722</f>
        <v>2246014.777142223</v>
      </c>
      <c r="AS104" s="19">
        <f>'P&amp;L - Inputs'!AR722</f>
        <v>2821640.8948595389</v>
      </c>
      <c r="AT104" s="19">
        <f>'P&amp;L - Inputs'!AS722</f>
        <v>3130465.6069077621</v>
      </c>
      <c r="AU104" s="19">
        <f>'P&amp;L - Inputs'!AT722</f>
        <v>3640258.5222548568</v>
      </c>
      <c r="AV104" s="19">
        <f>'P&amp;L - Inputs'!AU722</f>
        <v>3611980.3740099487</v>
      </c>
      <c r="AW104" s="19">
        <f>'P&amp;L - Inputs'!AV722</f>
        <v>3654127.7322874409</v>
      </c>
      <c r="AX104" s="19">
        <f>'P&amp;L - Inputs'!AW722</f>
        <v>3932775.4045890542</v>
      </c>
      <c r="AY104" s="19">
        <f>'P&amp;L - Inputs'!AX722</f>
        <v>4528646.0095781283</v>
      </c>
      <c r="AZ104" s="19">
        <f>'P&amp;L - Inputs'!AY722</f>
        <v>6121305.1818040255</v>
      </c>
      <c r="BA104" s="19">
        <f>'P&amp;L - Inputs'!AZ722</f>
        <v>6796615.3824791629</v>
      </c>
      <c r="BB104" s="19">
        <f>'P&amp;L - Inputs'!BA722</f>
        <v>6780412.6894074557</v>
      </c>
      <c r="BC104" s="19">
        <f>'P&amp;L - Inputs'!BB722</f>
        <v>7321822.6861445541</v>
      </c>
      <c r="BD104" s="19">
        <f>'P&amp;L - Inputs'!BC722</f>
        <v>8293339.0864575626</v>
      </c>
      <c r="BE104" s="19">
        <f>'P&amp;L - Inputs'!BD722</f>
        <v>8267793.3707113368</v>
      </c>
      <c r="BF104" s="19">
        <f>'P&amp;L - Inputs'!BE722</f>
        <v>10308319.107559506</v>
      </c>
      <c r="BG104" s="19">
        <f>'P&amp;L - Inputs'!BF722</f>
        <v>10603112.585172495</v>
      </c>
      <c r="BH104" s="19">
        <f>'P&amp;L - Inputs'!BG722</f>
        <v>11299052.726450017</v>
      </c>
      <c r="BI104" s="19">
        <f>'P&amp;L - Inputs'!BH722</f>
        <v>10445102.194824217</v>
      </c>
      <c r="BJ104" s="19">
        <f>'P&amp;L - Inputs'!BI722</f>
        <v>11384678.299386485</v>
      </c>
      <c r="BK104" s="19">
        <f>'P&amp;L - Inputs'!BJ722</f>
        <v>9113866.8524707928</v>
      </c>
      <c r="BL104" s="19">
        <f>'P&amp;L - Inputs'!BK722</f>
        <v>9116609.8921314944</v>
      </c>
      <c r="BM104" s="19">
        <f>'P&amp;L - Inputs'!BL722</f>
        <v>9357943.4522107225</v>
      </c>
      <c r="BN104" s="19">
        <f>'P&amp;L - Inputs'!BM722</f>
        <v>9253579.2951924372</v>
      </c>
      <c r="BO104" s="19">
        <f>'P&amp;L - Inputs'!BN722</f>
        <v>9236477.794182498</v>
      </c>
      <c r="BP104" s="19">
        <f>'P&amp;L - Inputs'!BO722</f>
        <v>9392466.6639532857</v>
      </c>
      <c r="BQ104" s="19">
        <f>'P&amp;L - Inputs'!BP722</f>
        <v>9590798.4613099471</v>
      </c>
      <c r="BR104" s="19">
        <f>'P&amp;L - Inputs'!BQ722</f>
        <v>10522578.171634121</v>
      </c>
      <c r="BS104" s="19">
        <f>'P&amp;L - Inputs'!BR722</f>
        <v>10863558.364276672</v>
      </c>
      <c r="BT104" s="19">
        <f>'P&amp;L - Inputs'!BS722</f>
        <v>11756860.867453018</v>
      </c>
      <c r="BU104" s="19">
        <f>'P&amp;L - Inputs'!BT722</f>
        <v>9475229.3616921939</v>
      </c>
      <c r="BV104" s="19">
        <f>'P&amp;L - Inputs'!BU722</f>
        <v>10071563.159876259</v>
      </c>
      <c r="BW104" s="19">
        <f>'P&amp;L - Inputs'!BV722</f>
        <v>9563278.2079370804</v>
      </c>
      <c r="BX104" s="19">
        <f>'P&amp;L - Inputs'!BW722</f>
        <v>9923662.3520295061</v>
      </c>
      <c r="BY104" s="19">
        <f>'P&amp;L - Inputs'!BX722</f>
        <v>9172349.1858095191</v>
      </c>
      <c r="BZ104" s="19">
        <f>'P&amp;L - Inputs'!BY722</f>
        <v>9205403.0429750048</v>
      </c>
      <c r="CA104" s="19">
        <f>'P&amp;L - Inputs'!BZ722</f>
        <v>9351918.765878981</v>
      </c>
      <c r="CB104" s="19">
        <f>'P&amp;L - Inputs'!CA722</f>
        <v>9499005.6930072121</v>
      </c>
      <c r="CC104" s="19">
        <f>'P&amp;L - Inputs'!CB722</f>
        <v>11929213.745495206</v>
      </c>
      <c r="CD104" s="19">
        <f>'P&amp;L - Inputs'!CC722</f>
        <v>11289048.649555659</v>
      </c>
      <c r="CE104" s="19">
        <f>'P&amp;L - Inputs'!CD722</f>
        <v>12209250.448861465</v>
      </c>
      <c r="CF104" s="19">
        <f>'P&amp;L - Inputs'!CE722</f>
        <v>11967007.620375257</v>
      </c>
      <c r="CG104" s="19">
        <f>'P&amp;L - Inputs'!CF722</f>
        <v>12055477.575814795</v>
      </c>
      <c r="CH104" s="19">
        <f>'P&amp;L - Inputs'!CG722</f>
        <v>12251483.969595758</v>
      </c>
      <c r="CI104" s="19">
        <f>'P&amp;L - Inputs'!CH722</f>
        <v>12932798.701344021</v>
      </c>
      <c r="CJ104" s="19">
        <f>'P&amp;L - Inputs'!CI722</f>
        <v>13262419.857096529</v>
      </c>
      <c r="CK104" s="19">
        <f>'P&amp;L - Inputs'!CJ722</f>
        <v>14678517.032718986</v>
      </c>
      <c r="CL104" s="19">
        <f>'P&amp;L - Inputs'!CK722</f>
        <v>16678802.725044021</v>
      </c>
      <c r="CM104" s="19">
        <f>'P&amp;L - Inputs'!CL722</f>
        <v>16578157.092826637</v>
      </c>
      <c r="CN104" s="19">
        <f>'P&amp;L - Inputs'!CM722</f>
        <v>17804444.347767875</v>
      </c>
      <c r="CO104" s="19">
        <f>'P&amp;L - Inputs'!CN722</f>
        <v>19240146.887018684</v>
      </c>
      <c r="CP104" s="19">
        <f>'P&amp;L - Inputs'!CO722</f>
        <v>16555675.408235732</v>
      </c>
      <c r="CQ104" s="19">
        <f>'P&amp;L - Inputs'!CP722</f>
        <v>19915430.070980348</v>
      </c>
      <c r="CR104" s="19">
        <f>'P&amp;L - Inputs'!CQ722</f>
        <v>19572919.841513425</v>
      </c>
      <c r="CS104" s="19">
        <f>'P&amp;L - Inputs'!CR722</f>
        <v>18550237.605888255</v>
      </c>
      <c r="CT104" s="19">
        <f>'P&amp;L - Inputs'!CS722</f>
        <v>19492917.430245589</v>
      </c>
      <c r="CU104" s="19">
        <f>'P&amp;L - Inputs'!CT722</f>
        <v>20467563.301757868</v>
      </c>
      <c r="CV104" s="19">
        <f>'P&amp;L - Inputs'!CU722</f>
        <v>20467563.301757868</v>
      </c>
      <c r="CW104" s="19">
        <f>'P&amp;L - Inputs'!CV722</f>
        <v>20467563.301757868</v>
      </c>
      <c r="CX104" s="19">
        <f>'P&amp;L - Inputs'!CW722</f>
        <v>20467563.301757868</v>
      </c>
      <c r="CY104" s="19">
        <f>'P&amp;L - Inputs'!CX722</f>
        <v>20467563.301757868</v>
      </c>
      <c r="CZ104" s="19">
        <f>'P&amp;L - Inputs'!CY722</f>
        <v>20467563.301757868</v>
      </c>
      <c r="DA104" s="19">
        <f>'P&amp;L - Inputs'!CZ722</f>
        <v>20467563.301757868</v>
      </c>
      <c r="DB104" s="19">
        <f>'P&amp;L - Inputs'!DA722</f>
        <v>20467563.301757868</v>
      </c>
      <c r="DC104" s="19">
        <f>'P&amp;L - Inputs'!DB722</f>
        <v>20467563.301757868</v>
      </c>
      <c r="DD104" s="19">
        <f>'P&amp;L - Inputs'!DC722</f>
        <v>20467563.301757868</v>
      </c>
      <c r="DE104" s="19">
        <f>'P&amp;L - Inputs'!DD722</f>
        <v>20467563.301757868</v>
      </c>
      <c r="DF104" s="19">
        <f>'P&amp;L - Inputs'!DE722</f>
        <v>20467563.301757868</v>
      </c>
      <c r="DG104" s="19">
        <f>'P&amp;L - Inputs'!DF722</f>
        <v>21490941.466845762</v>
      </c>
      <c r="DH104" s="19">
        <f>'P&amp;L - Inputs'!DG722</f>
        <v>21490941.466845762</v>
      </c>
      <c r="DI104" s="19">
        <f>'P&amp;L - Inputs'!DH722</f>
        <v>21490941.466845762</v>
      </c>
      <c r="DJ104" s="19">
        <f>'P&amp;L - Inputs'!DI722</f>
        <v>21490941.466845762</v>
      </c>
      <c r="DK104" s="19">
        <f>'P&amp;L - Inputs'!DJ722</f>
        <v>21490941.466845762</v>
      </c>
      <c r="DL104" s="19">
        <f>'P&amp;L - Inputs'!DK722</f>
        <v>21490941.466845762</v>
      </c>
      <c r="DM104" s="19">
        <f>'P&amp;L - Inputs'!DL722</f>
        <v>21490941.466845762</v>
      </c>
      <c r="DN104" s="19">
        <f>'P&amp;L - Inputs'!DM722</f>
        <v>21490941.466845762</v>
      </c>
      <c r="DO104" s="19">
        <f>'P&amp;L - Inputs'!DN722</f>
        <v>21490941.466845762</v>
      </c>
      <c r="DP104" s="19">
        <f>'P&amp;L - Inputs'!DO722</f>
        <v>21490941.466845762</v>
      </c>
      <c r="DQ104" s="19">
        <f>'P&amp;L - Inputs'!DP722</f>
        <v>21490941.466845762</v>
      </c>
      <c r="DR104" s="19">
        <f>'P&amp;L - Inputs'!DQ722</f>
        <v>21490941.466845762</v>
      </c>
      <c r="DS104" s="19">
        <f>'P&amp;L - Inputs'!DR722</f>
        <v>22565488.540188052</v>
      </c>
      <c r="DT104" s="19">
        <f>'P&amp;L - Inputs'!DS722</f>
        <v>22565488.540188052</v>
      </c>
      <c r="DU104" s="19">
        <f>'P&amp;L - Inputs'!DT722</f>
        <v>22565488.540188052</v>
      </c>
      <c r="DV104" s="19">
        <f>'P&amp;L - Inputs'!DU722</f>
        <v>22565488.540188052</v>
      </c>
      <c r="DW104" s="19">
        <f>'P&amp;L - Inputs'!DV722</f>
        <v>22565488.540188052</v>
      </c>
      <c r="DX104" s="19">
        <f>'P&amp;L - Inputs'!DW722</f>
        <v>22565488.540188052</v>
      </c>
      <c r="DY104" s="19">
        <f>'P&amp;L - Inputs'!DX722</f>
        <v>22565488.540188052</v>
      </c>
      <c r="DZ104" s="19">
        <f>'P&amp;L - Inputs'!DY722</f>
        <v>22565488.540188052</v>
      </c>
      <c r="EA104" s="19">
        <f>'P&amp;L - Inputs'!DZ722</f>
        <v>22565488.540188052</v>
      </c>
      <c r="EB104" s="19">
        <f>'P&amp;L - Inputs'!EA722</f>
        <v>22565488.540188052</v>
      </c>
      <c r="EC104" s="19">
        <f>'P&amp;L - Inputs'!EB722</f>
        <v>22565488.540188052</v>
      </c>
      <c r="ED104" s="19">
        <f>'P&amp;L - Inputs'!EC722</f>
        <v>22565488.540188052</v>
      </c>
      <c r="EE104" s="168"/>
      <c r="EF104" s="165">
        <f t="shared" si="407"/>
        <v>27588420.19681301</v>
      </c>
      <c r="EG104" s="165">
        <f t="shared" si="408"/>
        <v>27882523.753328223</v>
      </c>
      <c r="EH104" s="165">
        <f t="shared" si="409"/>
        <v>30976934.99722074</v>
      </c>
      <c r="EI104" s="165">
        <f t="shared" si="410"/>
        <v>31303653.389021471</v>
      </c>
      <c r="EJ104" s="165">
        <f t="shared" si="411"/>
        <v>28659289.745776106</v>
      </c>
      <c r="EK104" s="165">
        <f t="shared" si="412"/>
        <v>51061404.165638536</v>
      </c>
      <c r="EL104" s="165">
        <f t="shared" si="413"/>
        <v>35427512.843912333</v>
      </c>
      <c r="EM104" s="165">
        <f t="shared" si="414"/>
        <v>36273969.165785812</v>
      </c>
      <c r="EN104" s="165">
        <f t="shared" si="415"/>
        <v>40873735.591159537</v>
      </c>
      <c r="EO104" s="165">
        <f t="shared" si="416"/>
        <v>51061404.165638536</v>
      </c>
      <c r="EP104" s="165">
        <f t="shared" si="417"/>
        <v>55711252.366234764</v>
      </c>
      <c r="EQ104" s="165">
        <f t="shared" si="418"/>
        <v>57616074.877647266</v>
      </c>
      <c r="ER104" s="165">
        <f t="shared" si="419"/>
        <v>61402689.905273601</v>
      </c>
      <c r="ES104" s="165">
        <f t="shared" si="420"/>
        <v>61402689.905273601</v>
      </c>
      <c r="ET104" s="165">
        <f t="shared" si="421"/>
        <v>61402689.905273601</v>
      </c>
      <c r="EU104" s="165">
        <f t="shared" si="422"/>
        <v>61402689.905273601</v>
      </c>
      <c r="EV104" s="165">
        <f t="shared" si="423"/>
        <v>64472824.400537282</v>
      </c>
      <c r="EW104" s="165">
        <f t="shared" si="424"/>
        <v>64472824.400537282</v>
      </c>
      <c r="EX104" s="165">
        <f t="shared" si="425"/>
        <v>64472824.400537282</v>
      </c>
      <c r="EY104" s="165">
        <f t="shared" si="426"/>
        <v>64472824.400537282</v>
      </c>
      <c r="EZ104" s="165">
        <f t="shared" si="304"/>
        <v>67696465.620564163</v>
      </c>
      <c r="FA104" s="165">
        <f t="shared" si="305"/>
        <v>67696465.620564163</v>
      </c>
      <c r="FB104" s="165">
        <f t="shared" si="306"/>
        <v>67696465.620564163</v>
      </c>
      <c r="FC104" s="165">
        <f t="shared" si="307"/>
        <v>67696465.620564163</v>
      </c>
      <c r="FE104" s="165">
        <f t="shared" si="308"/>
        <v>117751532.33638345</v>
      </c>
      <c r="FF104" s="165">
        <f t="shared" si="309"/>
        <v>151422175.92111278</v>
      </c>
      <c r="FG104" s="165">
        <f t="shared" si="310"/>
        <v>205262467.00068009</v>
      </c>
      <c r="FH104" s="165">
        <f t="shared" si="311"/>
        <v>245610759.62109441</v>
      </c>
      <c r="FI104" s="165">
        <f t="shared" si="312"/>
        <v>257891297.60214913</v>
      </c>
      <c r="FJ104" s="165">
        <f t="shared" si="313"/>
        <v>270785862.48225665</v>
      </c>
    </row>
    <row r="105" spans="2:166" x14ac:dyDescent="0.2">
      <c r="B105" s="167" t="s">
        <v>152</v>
      </c>
      <c r="C105" s="213">
        <f>'P&amp;L - Inputs'!B723</f>
        <v>3512</v>
      </c>
      <c r="D105" s="19">
        <f>'P&amp;L - Inputs'!C723</f>
        <v>6889</v>
      </c>
      <c r="E105" s="19">
        <f>'P&amp;L - Inputs'!D723</f>
        <v>10182</v>
      </c>
      <c r="F105" s="19">
        <f>'P&amp;L - Inputs'!E723</f>
        <v>16445</v>
      </c>
      <c r="G105" s="19">
        <f>'P&amp;L - Inputs'!F723</f>
        <v>18520</v>
      </c>
      <c r="H105" s="19">
        <f>'P&amp;L - Inputs'!G723</f>
        <v>10744</v>
      </c>
      <c r="I105" s="19">
        <f>'P&amp;L - Inputs'!H723</f>
        <v>10943</v>
      </c>
      <c r="J105" s="19">
        <f>'P&amp;L - Inputs'!I723</f>
        <v>7548</v>
      </c>
      <c r="K105" s="19">
        <f>'P&amp;L - Inputs'!J723</f>
        <v>4338</v>
      </c>
      <c r="L105" s="19">
        <f>'P&amp;L - Inputs'!K723</f>
        <v>6887</v>
      </c>
      <c r="M105" s="19">
        <f>'P&amp;L - Inputs'!L723</f>
        <v>12613</v>
      </c>
      <c r="N105" s="19">
        <f>'P&amp;L - Inputs'!M723</f>
        <v>17101.000000000004</v>
      </c>
      <c r="O105" s="19">
        <f>'P&amp;L - Inputs'!N723</f>
        <v>29701</v>
      </c>
      <c r="P105" s="19">
        <f>'P&amp;L - Inputs'!O723</f>
        <v>43760</v>
      </c>
      <c r="Q105" s="19">
        <f>'P&amp;L - Inputs'!P723</f>
        <v>57929.000000000007</v>
      </c>
      <c r="R105" s="19">
        <f>'P&amp;L - Inputs'!Q723</f>
        <v>62490.999999999993</v>
      </c>
      <c r="S105" s="19">
        <f>'P&amp;L - Inputs'!R723</f>
        <v>36730</v>
      </c>
      <c r="T105" s="19">
        <f>'P&amp;L - Inputs'!S723</f>
        <v>42879</v>
      </c>
      <c r="U105" s="19">
        <f>'P&amp;L - Inputs'!T723</f>
        <v>70446</v>
      </c>
      <c r="V105" s="19">
        <f>'P&amp;L - Inputs'!U723</f>
        <v>30368</v>
      </c>
      <c r="W105" s="19">
        <f>'P&amp;L - Inputs'!V723</f>
        <v>31954</v>
      </c>
      <c r="X105" s="19">
        <f>'P&amp;L - Inputs'!W723</f>
        <v>33661</v>
      </c>
      <c r="Y105" s="19">
        <f>'P&amp;L - Inputs'!X723</f>
        <v>36485</v>
      </c>
      <c r="Z105" s="19">
        <f>'P&amp;L - Inputs'!Y723</f>
        <v>34314</v>
      </c>
      <c r="AA105" s="19">
        <f>'P&amp;L - Inputs'!Z723</f>
        <v>51095.944328812853</v>
      </c>
      <c r="AB105" s="19">
        <f>'P&amp;L - Inputs'!AA723</f>
        <v>19751</v>
      </c>
      <c r="AC105" s="19">
        <f>'P&amp;L - Inputs'!AB723</f>
        <v>196377</v>
      </c>
      <c r="AD105" s="19">
        <f>'P&amp;L - Inputs'!AC723</f>
        <v>108665</v>
      </c>
      <c r="AE105" s="19">
        <f>'P&amp;L - Inputs'!AD723</f>
        <v>82475</v>
      </c>
      <c r="AF105" s="19">
        <f>'P&amp;L - Inputs'!AE723</f>
        <v>108809</v>
      </c>
      <c r="AG105" s="19">
        <f>'P&amp;L - Inputs'!AF723</f>
        <v>165735.27250000002</v>
      </c>
      <c r="AH105" s="19">
        <f>'P&amp;L - Inputs'!AG723</f>
        <v>170377</v>
      </c>
      <c r="AI105" s="19">
        <f>'P&amp;L - Inputs'!AH723</f>
        <v>166522.27250000002</v>
      </c>
      <c r="AJ105" s="19">
        <f>'P&amp;L - Inputs'!AI723</f>
        <v>196499.85921325051</v>
      </c>
      <c r="AK105" s="19">
        <f>'P&amp;L - Inputs'!AJ723</f>
        <v>139658</v>
      </c>
      <c r="AL105" s="19">
        <f>'P&amp;L - Inputs'!AK723</f>
        <v>143980</v>
      </c>
      <c r="AM105" s="19">
        <f>'P&amp;L - Inputs'!AL723</f>
        <v>139551</v>
      </c>
      <c r="AN105" s="19">
        <f>'P&amp;L - Inputs'!AM723</f>
        <v>76456.559038461506</v>
      </c>
      <c r="AO105" s="19">
        <f>'P&amp;L - Inputs'!AN723</f>
        <v>101088</v>
      </c>
      <c r="AP105" s="19">
        <f>'P&amp;L - Inputs'!AO723</f>
        <v>455516</v>
      </c>
      <c r="AQ105" s="19">
        <f>'P&amp;L - Inputs'!AP723</f>
        <v>487248</v>
      </c>
      <c r="AR105" s="19">
        <f>'P&amp;L - Inputs'!AQ723</f>
        <v>682813.83164236136</v>
      </c>
      <c r="AS105" s="19">
        <f>'P&amp;L - Inputs'!AR723</f>
        <v>1654401</v>
      </c>
      <c r="AT105" s="19">
        <f>'P&amp;L - Inputs'!AS723</f>
        <v>1159995</v>
      </c>
      <c r="AU105" s="19">
        <f>'P&amp;L - Inputs'!AT723</f>
        <v>844257</v>
      </c>
      <c r="AV105" s="19">
        <f>'P&amp;L - Inputs'!AU723</f>
        <v>1111225</v>
      </c>
      <c r="AW105" s="19">
        <f>'P&amp;L - Inputs'!AV723</f>
        <v>1139464</v>
      </c>
      <c r="AX105" s="19">
        <f>'P&amp;L - Inputs'!AW723</f>
        <v>999487.00000000012</v>
      </c>
      <c r="AY105" s="19">
        <f>'P&amp;L - Inputs'!AX723</f>
        <v>909290</v>
      </c>
      <c r="AZ105" s="19">
        <f>'P&amp;L - Inputs'!AY723</f>
        <v>1595459</v>
      </c>
      <c r="BA105" s="19">
        <f>'P&amp;L - Inputs'!AZ723</f>
        <v>1578623.0785208857</v>
      </c>
      <c r="BB105" s="19">
        <f>'P&amp;L - Inputs'!BA723</f>
        <v>1893687.992835029</v>
      </c>
      <c r="BC105" s="19">
        <f>'P&amp;L - Inputs'!BB723</f>
        <v>2020803.9166310302</v>
      </c>
      <c r="BD105" s="19">
        <f>'P&amp;L - Inputs'!BC723</f>
        <v>2599249.2917501116</v>
      </c>
      <c r="BE105" s="19">
        <f>'P&amp;L - Inputs'!BD723</f>
        <v>2380512.7032533898</v>
      </c>
      <c r="BF105" s="19">
        <f>'P&amp;L - Inputs'!BE723</f>
        <v>1509780.4148064132</v>
      </c>
      <c r="BG105" s="19">
        <f>'P&amp;L - Inputs'!BF723</f>
        <v>1448896.268070743</v>
      </c>
      <c r="BH105" s="19">
        <f>'P&amp;L - Inputs'!BG723</f>
        <v>1487402.8259842859</v>
      </c>
      <c r="BI105" s="19">
        <f>'P&amp;L - Inputs'!BH723</f>
        <v>1695033.7675347757</v>
      </c>
      <c r="BJ105" s="19">
        <f>'P&amp;L - Inputs'!BI723</f>
        <v>1556005.5861401833</v>
      </c>
      <c r="BK105" s="19">
        <f>'P&amp;L - Inputs'!BJ723</f>
        <v>1886246.3043461964</v>
      </c>
      <c r="BL105" s="19">
        <f>'P&amp;L - Inputs'!BK723</f>
        <v>1833575.7601034092</v>
      </c>
      <c r="BM105" s="19">
        <f>'P&amp;L - Inputs'!BL723</f>
        <v>1700599.8491029188</v>
      </c>
      <c r="BN105" s="19">
        <f>'P&amp;L - Inputs'!BM723</f>
        <v>1882660.3177757431</v>
      </c>
      <c r="BO105" s="19">
        <f>'P&amp;L - Inputs'!BN723</f>
        <v>2009765.7327930171</v>
      </c>
      <c r="BP105" s="19">
        <f>'P&amp;L - Inputs'!BO723</f>
        <v>1790757.2994911559</v>
      </c>
      <c r="BQ105" s="19">
        <f>'P&amp;L - Inputs'!BP723</f>
        <v>2080699.4544735481</v>
      </c>
      <c r="BR105" s="19">
        <f>'P&amp;L - Inputs'!BQ723</f>
        <v>2014429.9448120869</v>
      </c>
      <c r="BS105" s="19">
        <f>'P&amp;L - Inputs'!BR723</f>
        <v>2194873.3922429858</v>
      </c>
      <c r="BT105" s="19">
        <f>'P&amp;L - Inputs'!BS723</f>
        <v>2146146.845110937</v>
      </c>
      <c r="BU105" s="19">
        <f>'P&amp;L - Inputs'!BT723</f>
        <v>2039102.2561614646</v>
      </c>
      <c r="BV105" s="19">
        <f>'P&amp;L - Inputs'!BU723</f>
        <v>2063355.7610430326</v>
      </c>
      <c r="BW105" s="19">
        <f>'P&amp;L - Inputs'!BV723</f>
        <v>2126612.0716057294</v>
      </c>
      <c r="BX105" s="19">
        <f>'P&amp;L - Inputs'!BW723</f>
        <v>2124414.2187563516</v>
      </c>
      <c r="BY105" s="19">
        <f>'P&amp;L - Inputs'!BX723</f>
        <v>2195350.2846812569</v>
      </c>
      <c r="BZ105" s="19">
        <f>'P&amp;L - Inputs'!BY723</f>
        <v>2169027.6017505592</v>
      </c>
      <c r="CA105" s="19">
        <f>'P&amp;L - Inputs'!BZ723</f>
        <v>2117919.9417659962</v>
      </c>
      <c r="CB105" s="19">
        <f>'P&amp;L - Inputs'!CA723</f>
        <v>2176877.0851302263</v>
      </c>
      <c r="CC105" s="19">
        <f>'P&amp;L - Inputs'!CB723</f>
        <v>2250785.269250928</v>
      </c>
      <c r="CD105" s="19">
        <f>'P&amp;L - Inputs'!CC723</f>
        <v>2356757.5473573375</v>
      </c>
      <c r="CE105" s="19">
        <f>'P&amp;L - Inputs'!CD723</f>
        <v>2363654.5791914919</v>
      </c>
      <c r="CF105" s="19">
        <f>'P&amp;L - Inputs'!CE723</f>
        <v>2322176.562730697</v>
      </c>
      <c r="CG105" s="19">
        <f>'P&amp;L - Inputs'!CF723</f>
        <v>2437629.791662287</v>
      </c>
      <c r="CH105" s="19">
        <f>'P&amp;L - Inputs'!CG723</f>
        <v>2554271.2354343939</v>
      </c>
      <c r="CI105" s="19">
        <f>'P&amp;L - Inputs'!CH723</f>
        <v>2501061.8356437813</v>
      </c>
      <c r="CJ105" s="19">
        <f>'P&amp;L - Inputs'!CI723</f>
        <v>3276365.3163396167</v>
      </c>
      <c r="CK105" s="19">
        <f>'P&amp;L - Inputs'!CJ723</f>
        <v>4140714.3787278607</v>
      </c>
      <c r="CL105" s="19">
        <f>'P&amp;L - Inputs'!CK723</f>
        <v>4968390.2292234506</v>
      </c>
      <c r="CM105" s="19">
        <f>'P&amp;L - Inputs'!CL723</f>
        <v>4601026.8987068702</v>
      </c>
      <c r="CN105" s="19">
        <f>'P&amp;L - Inputs'!CM723</f>
        <v>4416278.081313665</v>
      </c>
      <c r="CO105" s="19">
        <f>'P&amp;L - Inputs'!CN723</f>
        <v>4400317.556584971</v>
      </c>
      <c r="CP105" s="19">
        <f>'P&amp;L - Inputs'!CO723</f>
        <v>4294684.6914952854</v>
      </c>
      <c r="CQ105" s="19">
        <f>'P&amp;L - Inputs'!CP723</f>
        <v>4331752.1233869921</v>
      </c>
      <c r="CR105" s="19">
        <f>'P&amp;L - Inputs'!CQ723</f>
        <v>3888917.2178691411</v>
      </c>
      <c r="CS105" s="19">
        <f>'P&amp;L - Inputs'!CR723</f>
        <v>3405826.8575907671</v>
      </c>
      <c r="CT105" s="19">
        <f>'P&amp;L - Inputs'!CS723</f>
        <v>3220193.9435393885</v>
      </c>
      <c r="CU105" s="19">
        <f>'P&amp;L - Inputs'!CT723</f>
        <v>3381203.6407163581</v>
      </c>
      <c r="CV105" s="19">
        <f>'P&amp;L - Inputs'!CU723</f>
        <v>3381203.6407163581</v>
      </c>
      <c r="CW105" s="19">
        <f>'P&amp;L - Inputs'!CV723</f>
        <v>3381203.6407163581</v>
      </c>
      <c r="CX105" s="19">
        <f>'P&amp;L - Inputs'!CW723</f>
        <v>3381203.6407163581</v>
      </c>
      <c r="CY105" s="19">
        <f>'P&amp;L - Inputs'!CX723</f>
        <v>3381203.6407163581</v>
      </c>
      <c r="CZ105" s="19">
        <f>'P&amp;L - Inputs'!CY723</f>
        <v>3381203.6407163581</v>
      </c>
      <c r="DA105" s="19">
        <f>'P&amp;L - Inputs'!CZ723</f>
        <v>3381203.6407163581</v>
      </c>
      <c r="DB105" s="19">
        <f>'P&amp;L - Inputs'!DA723</f>
        <v>3381203.6407163581</v>
      </c>
      <c r="DC105" s="19">
        <f>'P&amp;L - Inputs'!DB723</f>
        <v>3381203.6407163581</v>
      </c>
      <c r="DD105" s="19">
        <f>'P&amp;L - Inputs'!DC723</f>
        <v>3381203.6407163581</v>
      </c>
      <c r="DE105" s="19">
        <f>'P&amp;L - Inputs'!DD723</f>
        <v>3381203.6407163581</v>
      </c>
      <c r="DF105" s="19">
        <f>'P&amp;L - Inputs'!DE723</f>
        <v>3381203.6407163581</v>
      </c>
      <c r="DG105" s="19">
        <f>'P&amp;L - Inputs'!DF723</f>
        <v>3550263.8227521763</v>
      </c>
      <c r="DH105" s="19">
        <f>'P&amp;L - Inputs'!DG723</f>
        <v>3550263.8227521763</v>
      </c>
      <c r="DI105" s="19">
        <f>'P&amp;L - Inputs'!DH723</f>
        <v>3550263.8227521763</v>
      </c>
      <c r="DJ105" s="19">
        <f>'P&amp;L - Inputs'!DI723</f>
        <v>3550263.8227521763</v>
      </c>
      <c r="DK105" s="19">
        <f>'P&amp;L - Inputs'!DJ723</f>
        <v>3550263.8227521763</v>
      </c>
      <c r="DL105" s="19">
        <f>'P&amp;L - Inputs'!DK723</f>
        <v>3550263.8227521763</v>
      </c>
      <c r="DM105" s="19">
        <f>'P&amp;L - Inputs'!DL723</f>
        <v>3550263.8227521763</v>
      </c>
      <c r="DN105" s="19">
        <f>'P&amp;L - Inputs'!DM723</f>
        <v>3550263.8227521763</v>
      </c>
      <c r="DO105" s="19">
        <f>'P&amp;L - Inputs'!DN723</f>
        <v>3550263.8227521763</v>
      </c>
      <c r="DP105" s="19">
        <f>'P&amp;L - Inputs'!DO723</f>
        <v>3550263.8227521763</v>
      </c>
      <c r="DQ105" s="19">
        <f>'P&amp;L - Inputs'!DP723</f>
        <v>3550263.8227521763</v>
      </c>
      <c r="DR105" s="19">
        <f>'P&amp;L - Inputs'!DQ723</f>
        <v>3550263.8227521763</v>
      </c>
      <c r="DS105" s="19">
        <f>'P&amp;L - Inputs'!DR723</f>
        <v>3727777.0138897854</v>
      </c>
      <c r="DT105" s="19">
        <f>'P&amp;L - Inputs'!DS723</f>
        <v>3727777.0138897854</v>
      </c>
      <c r="DU105" s="19">
        <f>'P&amp;L - Inputs'!DT723</f>
        <v>3727777.0138897854</v>
      </c>
      <c r="DV105" s="19">
        <f>'P&amp;L - Inputs'!DU723</f>
        <v>3727777.0138897854</v>
      </c>
      <c r="DW105" s="19">
        <f>'P&amp;L - Inputs'!DV723</f>
        <v>3727777.0138897854</v>
      </c>
      <c r="DX105" s="19">
        <f>'P&amp;L - Inputs'!DW723</f>
        <v>3727777.0138897854</v>
      </c>
      <c r="DY105" s="19">
        <f>'P&amp;L - Inputs'!DX723</f>
        <v>3727777.0138897854</v>
      </c>
      <c r="DZ105" s="19">
        <f>'P&amp;L - Inputs'!DY723</f>
        <v>3727777.0138897854</v>
      </c>
      <c r="EA105" s="19">
        <f>'P&amp;L - Inputs'!DZ723</f>
        <v>3727777.0138897854</v>
      </c>
      <c r="EB105" s="19">
        <f>'P&amp;L - Inputs'!EA723</f>
        <v>3727777.0138897854</v>
      </c>
      <c r="EC105" s="19">
        <f>'P&amp;L - Inputs'!EB723</f>
        <v>3727777.0138897854</v>
      </c>
      <c r="ED105" s="19">
        <f>'P&amp;L - Inputs'!EC723</f>
        <v>3727777.0138897854</v>
      </c>
      <c r="EE105" s="168"/>
      <c r="EF105" s="165">
        <f t="shared" si="407"/>
        <v>5420421.9135525245</v>
      </c>
      <c r="EG105" s="165">
        <f t="shared" si="408"/>
        <v>5683183.3500599163</v>
      </c>
      <c r="EH105" s="165">
        <f t="shared" si="409"/>
        <v>6290002.7915286208</v>
      </c>
      <c r="EI105" s="165">
        <f t="shared" si="410"/>
        <v>6248604.862315434</v>
      </c>
      <c r="EJ105" s="165">
        <f t="shared" si="411"/>
        <v>6446376.5750433374</v>
      </c>
      <c r="EK105" s="165">
        <f t="shared" si="412"/>
        <v>13985695.209243987</v>
      </c>
      <c r="EL105" s="165">
        <f t="shared" si="413"/>
        <v>6971197.395799757</v>
      </c>
      <c r="EM105" s="165">
        <f t="shared" si="414"/>
        <v>7314077.5898273773</v>
      </c>
      <c r="EN105" s="165">
        <f t="shared" si="415"/>
        <v>9918141.5307112597</v>
      </c>
      <c r="EO105" s="165">
        <f t="shared" si="416"/>
        <v>13985695.209243987</v>
      </c>
      <c r="EP105" s="165">
        <f t="shared" si="417"/>
        <v>13026754.371467249</v>
      </c>
      <c r="EQ105" s="165">
        <f t="shared" si="418"/>
        <v>10514938.018999297</v>
      </c>
      <c r="ER105" s="165">
        <f t="shared" si="419"/>
        <v>10143610.922149073</v>
      </c>
      <c r="ES105" s="165">
        <f t="shared" si="420"/>
        <v>10143610.922149073</v>
      </c>
      <c r="ET105" s="165">
        <f t="shared" si="421"/>
        <v>10143610.922149073</v>
      </c>
      <c r="EU105" s="165">
        <f t="shared" si="422"/>
        <v>10143610.922149073</v>
      </c>
      <c r="EV105" s="165">
        <f t="shared" si="423"/>
        <v>10650791.468256529</v>
      </c>
      <c r="EW105" s="165">
        <f t="shared" si="424"/>
        <v>10650791.468256529</v>
      </c>
      <c r="EX105" s="165">
        <f t="shared" si="425"/>
        <v>10650791.468256529</v>
      </c>
      <c r="EY105" s="165">
        <f t="shared" si="426"/>
        <v>10650791.468256529</v>
      </c>
      <c r="EZ105" s="165">
        <f t="shared" si="304"/>
        <v>11183331.041669356</v>
      </c>
      <c r="FA105" s="165">
        <f t="shared" si="305"/>
        <v>11183331.041669356</v>
      </c>
      <c r="FB105" s="165">
        <f t="shared" si="306"/>
        <v>11183331.041669356</v>
      </c>
      <c r="FC105" s="165">
        <f t="shared" si="307"/>
        <v>11183331.041669356</v>
      </c>
      <c r="FE105" s="165">
        <f t="shared" si="308"/>
        <v>23642212.917456497</v>
      </c>
      <c r="FF105" s="165">
        <f t="shared" si="309"/>
        <v>34717346.769914463</v>
      </c>
      <c r="FG105" s="165">
        <f t="shared" si="310"/>
        <v>47445529.130421788</v>
      </c>
      <c r="FH105" s="165">
        <f t="shared" si="311"/>
        <v>40574443.688596293</v>
      </c>
      <c r="FI105" s="165">
        <f t="shared" si="312"/>
        <v>42603165.873026118</v>
      </c>
      <c r="FJ105" s="165">
        <f t="shared" si="313"/>
        <v>44733324.166677423</v>
      </c>
    </row>
    <row r="106" spans="2:166" x14ac:dyDescent="0.2">
      <c r="B106" s="167" t="s">
        <v>51</v>
      </c>
      <c r="C106" s="213">
        <f>'P&amp;L - Inputs'!B724</f>
        <v>0</v>
      </c>
      <c r="D106" s="19">
        <f>'P&amp;L - Inputs'!C724</f>
        <v>0</v>
      </c>
      <c r="E106" s="19">
        <f>'P&amp;L - Inputs'!D724</f>
        <v>0</v>
      </c>
      <c r="F106" s="19">
        <f>'P&amp;L - Inputs'!E724</f>
        <v>0</v>
      </c>
      <c r="G106" s="19">
        <f>'P&amp;L - Inputs'!F724</f>
        <v>0</v>
      </c>
      <c r="H106" s="19">
        <f>'P&amp;L - Inputs'!G724</f>
        <v>0</v>
      </c>
      <c r="I106" s="19">
        <f>'P&amp;L - Inputs'!H724</f>
        <v>0</v>
      </c>
      <c r="J106" s="19">
        <f>'P&amp;L - Inputs'!I724</f>
        <v>0</v>
      </c>
      <c r="K106" s="19">
        <f>'P&amp;L - Inputs'!J724</f>
        <v>35198</v>
      </c>
      <c r="L106" s="19">
        <f>'P&amp;L - Inputs'!K724</f>
        <v>19159</v>
      </c>
      <c r="M106" s="19">
        <f>'P&amp;L - Inputs'!L724</f>
        <v>43462</v>
      </c>
      <c r="N106" s="19">
        <f>'P&amp;L - Inputs'!M724</f>
        <v>140008</v>
      </c>
      <c r="O106" s="19">
        <f>'P&amp;L - Inputs'!N724</f>
        <v>37213</v>
      </c>
      <c r="P106" s="19">
        <f>'P&amp;L - Inputs'!O724</f>
        <v>38956</v>
      </c>
      <c r="Q106" s="19">
        <f>'P&amp;L - Inputs'!P724</f>
        <v>94635</v>
      </c>
      <c r="R106" s="19">
        <f>'P&amp;L - Inputs'!Q724</f>
        <v>107993</v>
      </c>
      <c r="S106" s="19">
        <f>'P&amp;L - Inputs'!R724</f>
        <v>26852</v>
      </c>
      <c r="T106" s="19">
        <f>'P&amp;L - Inputs'!S724</f>
        <v>122827.57</v>
      </c>
      <c r="U106" s="19">
        <f>'P&amp;L - Inputs'!T724</f>
        <v>107450.34</v>
      </c>
      <c r="V106" s="19">
        <f>'P&amp;L - Inputs'!U724</f>
        <v>82270</v>
      </c>
      <c r="W106" s="19">
        <f>'P&amp;L - Inputs'!V724</f>
        <v>41701.65</v>
      </c>
      <c r="X106" s="19">
        <f>'P&amp;L - Inputs'!W724</f>
        <v>131127</v>
      </c>
      <c r="Y106" s="19">
        <f>'P&amp;L - Inputs'!X724</f>
        <v>88176</v>
      </c>
      <c r="Z106" s="19">
        <f>'P&amp;L - Inputs'!Y724</f>
        <v>139591.51999999999</v>
      </c>
      <c r="AA106" s="19">
        <f>'P&amp;L - Inputs'!Z724</f>
        <v>0</v>
      </c>
      <c r="AB106" s="19">
        <f>'P&amp;L - Inputs'!AA724</f>
        <v>24355</v>
      </c>
      <c r="AC106" s="19">
        <f>'P&amp;L - Inputs'!AB724</f>
        <v>12920</v>
      </c>
      <c r="AD106" s="19">
        <f>'P&amp;L - Inputs'!AC724</f>
        <v>125008</v>
      </c>
      <c r="AE106" s="19">
        <f>'P&amp;L - Inputs'!AD724</f>
        <v>100142</v>
      </c>
      <c r="AF106" s="19">
        <f>'P&amp;L - Inputs'!AE724</f>
        <v>80884</v>
      </c>
      <c r="AG106" s="19">
        <f>'P&amp;L - Inputs'!AF724</f>
        <v>54017</v>
      </c>
      <c r="AH106" s="19">
        <f>'P&amp;L - Inputs'!AG724</f>
        <v>48896.62</v>
      </c>
      <c r="AI106" s="19">
        <f>'P&amp;L - Inputs'!AH724</f>
        <v>52826</v>
      </c>
      <c r="AJ106" s="19">
        <f>'P&amp;L - Inputs'!AI724</f>
        <v>69246</v>
      </c>
      <c r="AK106" s="19">
        <f>'P&amp;L - Inputs'!AJ724</f>
        <v>64135.42</v>
      </c>
      <c r="AL106" s="19">
        <f>'P&amp;L - Inputs'!AK724</f>
        <v>51493.57</v>
      </c>
      <c r="AM106" s="19">
        <f>'P&amp;L - Inputs'!AL724</f>
        <v>24564.890100308054</v>
      </c>
      <c r="AN106" s="19">
        <f>'P&amp;L - Inputs'!AM724</f>
        <v>73883.546988922637</v>
      </c>
      <c r="AO106" s="19">
        <f>'P&amp;L - Inputs'!AN724</f>
        <v>38316.344959679649</v>
      </c>
      <c r="AP106" s="19">
        <f>'P&amp;L - Inputs'!AO724</f>
        <v>302826.73811987159</v>
      </c>
      <c r="AQ106" s="19">
        <f>'P&amp;L - Inputs'!AP724</f>
        <v>355828.41724045156</v>
      </c>
      <c r="AR106" s="19">
        <f>'P&amp;L - Inputs'!AQ724</f>
        <v>776403.84948923741</v>
      </c>
      <c r="AS106" s="19">
        <f>'P&amp;L - Inputs'!AR724</f>
        <v>693195.59566703788</v>
      </c>
      <c r="AT106" s="19">
        <f>'P&amp;L - Inputs'!AS724</f>
        <v>663395.40097459452</v>
      </c>
      <c r="AU106" s="19">
        <f>'P&amp;L - Inputs'!AT724</f>
        <v>1104824.8136772958</v>
      </c>
      <c r="AV106" s="19">
        <f>'P&amp;L - Inputs'!AU724</f>
        <v>772110.33856370626</v>
      </c>
      <c r="AW106" s="19">
        <f>'P&amp;L - Inputs'!AV724</f>
        <v>995252.34216982208</v>
      </c>
      <c r="AX106" s="19">
        <f>'P&amp;L - Inputs'!AW724</f>
        <v>1918527.1504141456</v>
      </c>
      <c r="AY106" s="19">
        <f>'P&amp;L - Inputs'!AX724</f>
        <v>611641.4125090898</v>
      </c>
      <c r="AZ106" s="19">
        <f>'P&amp;L - Inputs'!AY724</f>
        <v>1100498.7661225693</v>
      </c>
      <c r="BA106" s="19">
        <f>'P&amp;L - Inputs'!AZ724</f>
        <v>844582.41721233679</v>
      </c>
      <c r="BB106" s="19">
        <f>'P&amp;L - Inputs'!BA724</f>
        <v>931948.87243157811</v>
      </c>
      <c r="BC106" s="19">
        <f>'P&amp;L - Inputs'!BB724</f>
        <v>650793.80548843229</v>
      </c>
      <c r="BD106" s="19">
        <f>'P&amp;L - Inputs'!BC724</f>
        <v>892947.97262800881</v>
      </c>
      <c r="BE106" s="19">
        <f>'P&amp;L - Inputs'!BD724</f>
        <v>1007052.5590305508</v>
      </c>
      <c r="BF106" s="19">
        <f>'P&amp;L - Inputs'!BE724</f>
        <v>971347.08943883039</v>
      </c>
      <c r="BG106" s="19">
        <f>'P&amp;L - Inputs'!BF724</f>
        <v>1543611.0382527495</v>
      </c>
      <c r="BH106" s="19">
        <f>'P&amp;L - Inputs'!BG724</f>
        <v>1822885.2541522325</v>
      </c>
      <c r="BI106" s="19">
        <f>'P&amp;L - Inputs'!BH724</f>
        <v>1447307.2596603849</v>
      </c>
      <c r="BJ106" s="19">
        <f>'P&amp;L - Inputs'!BI724</f>
        <v>1415641.6984613845</v>
      </c>
      <c r="BK106" s="19">
        <f>'P&amp;L - Inputs'!BJ724</f>
        <v>517457.23014002707</v>
      </c>
      <c r="BL106" s="19">
        <f>'P&amp;L - Inputs'!BK724</f>
        <v>788654.27409558592</v>
      </c>
      <c r="BM106" s="19">
        <f>'P&amp;L - Inputs'!BL724</f>
        <v>673488.53191735607</v>
      </c>
      <c r="BN106" s="19">
        <f>'P&amp;L - Inputs'!BM724</f>
        <v>705615.67914124043</v>
      </c>
      <c r="BO106" s="19">
        <f>'P&amp;L - Inputs'!BN724</f>
        <v>795300.08883056394</v>
      </c>
      <c r="BP106" s="19">
        <f>'P&amp;L - Inputs'!BO724</f>
        <v>724939.70408732677</v>
      </c>
      <c r="BQ106" s="19">
        <f>'P&amp;L - Inputs'!BP724</f>
        <v>628373.9661379715</v>
      </c>
      <c r="BR106" s="19">
        <f>'P&amp;L - Inputs'!BQ724</f>
        <v>829952.22739212133</v>
      </c>
      <c r="BS106" s="19">
        <f>'P&amp;L - Inputs'!BR724</f>
        <v>931483.0715058808</v>
      </c>
      <c r="BT106" s="19">
        <f>'P&amp;L - Inputs'!BS724</f>
        <v>1247715.6227497216</v>
      </c>
      <c r="BU106" s="19">
        <f>'P&amp;L - Inputs'!BT724</f>
        <v>909172.42210722936</v>
      </c>
      <c r="BV106" s="19">
        <f>'P&amp;L - Inputs'!BU724</f>
        <v>729091.35344385775</v>
      </c>
      <c r="BW106" s="19">
        <f>'P&amp;L - Inputs'!BV724</f>
        <v>712418.74328416062</v>
      </c>
      <c r="BX106" s="19">
        <f>'P&amp;L - Inputs'!BW724</f>
        <v>1024261.939743723</v>
      </c>
      <c r="BY106" s="19">
        <f>'P&amp;L - Inputs'!BX724</f>
        <v>668880.48939694907</v>
      </c>
      <c r="BZ106" s="19">
        <f>'P&amp;L - Inputs'!BY724</f>
        <v>912231.7026258012</v>
      </c>
      <c r="CA106" s="19">
        <f>'P&amp;L - Inputs'!BZ724</f>
        <v>897634.71357157722</v>
      </c>
      <c r="CB106" s="19">
        <f>'P&amp;L - Inputs'!CA724</f>
        <v>975024.02954586106</v>
      </c>
      <c r="CC106" s="19">
        <f>'P&amp;L - Inputs'!CB724</f>
        <v>939388.00127482309</v>
      </c>
      <c r="CD106" s="19">
        <f>'P&amp;L - Inputs'!CC724</f>
        <v>1004121.4825463375</v>
      </c>
      <c r="CE106" s="19">
        <f>'P&amp;L - Inputs'!CD724</f>
        <v>1156540.4976548683</v>
      </c>
      <c r="CF106" s="19">
        <f>'P&amp;L - Inputs'!CE724</f>
        <v>1126805.9274535368</v>
      </c>
      <c r="CG106" s="19">
        <f>'P&amp;L - Inputs'!CF724</f>
        <v>906501.426272779</v>
      </c>
      <c r="CH106" s="19">
        <f>'P&amp;L - Inputs'!CG724</f>
        <v>1723580.4945051146</v>
      </c>
      <c r="CI106" s="19">
        <f>'P&amp;L - Inputs'!CH724</f>
        <v>1269029.6058778763</v>
      </c>
      <c r="CJ106" s="19">
        <f>'P&amp;L - Inputs'!CI724</f>
        <v>1550432.9697904533</v>
      </c>
      <c r="CK106" s="19">
        <f>'P&amp;L - Inputs'!CJ724</f>
        <v>1775720.6947851134</v>
      </c>
      <c r="CL106" s="19">
        <f>'P&amp;L - Inputs'!CK724</f>
        <v>1879533.7178637974</v>
      </c>
      <c r="CM106" s="19">
        <f>'P&amp;L - Inputs'!CL724</f>
        <v>1958897.4622535459</v>
      </c>
      <c r="CN106" s="19">
        <f>'P&amp;L - Inputs'!CM724</f>
        <v>1720433.1407450875</v>
      </c>
      <c r="CO106" s="19">
        <f>'P&amp;L - Inputs'!CN724</f>
        <v>1921112.2154735669</v>
      </c>
      <c r="CP106" s="19">
        <f>'P&amp;L - Inputs'!CO724</f>
        <v>2176676.4706224971</v>
      </c>
      <c r="CQ106" s="19">
        <f>'P&amp;L - Inputs'!CP724</f>
        <v>2416400.6610239209</v>
      </c>
      <c r="CR106" s="19">
        <f>'P&amp;L - Inputs'!CQ724</f>
        <v>2343323.8813189249</v>
      </c>
      <c r="CS106" s="19">
        <f>'P&amp;L - Inputs'!CR724</f>
        <v>2550470.36678096</v>
      </c>
      <c r="CT106" s="19">
        <f>'P&amp;L - Inputs'!CS724</f>
        <v>2266592.4604522744</v>
      </c>
      <c r="CU106" s="19">
        <f>'P&amp;L - Inputs'!CT724</f>
        <v>2493251.706497502</v>
      </c>
      <c r="CV106" s="19">
        <f>'P&amp;L - Inputs'!CU724</f>
        <v>2493251.706497502</v>
      </c>
      <c r="CW106" s="19">
        <f>'P&amp;L - Inputs'!CV724</f>
        <v>2493251.706497502</v>
      </c>
      <c r="CX106" s="19">
        <f>'P&amp;L - Inputs'!CW724</f>
        <v>2493251.706497502</v>
      </c>
      <c r="CY106" s="19">
        <f>'P&amp;L - Inputs'!CX724</f>
        <v>2493251.706497502</v>
      </c>
      <c r="CZ106" s="19">
        <f>'P&amp;L - Inputs'!CY724</f>
        <v>2493251.706497502</v>
      </c>
      <c r="DA106" s="19">
        <f>'P&amp;L - Inputs'!CZ724</f>
        <v>2493251.706497502</v>
      </c>
      <c r="DB106" s="19">
        <f>'P&amp;L - Inputs'!DA724</f>
        <v>2493251.706497502</v>
      </c>
      <c r="DC106" s="19">
        <f>'P&amp;L - Inputs'!DB724</f>
        <v>2493251.706497502</v>
      </c>
      <c r="DD106" s="19">
        <f>'P&amp;L - Inputs'!DC724</f>
        <v>2493251.706497502</v>
      </c>
      <c r="DE106" s="19">
        <f>'P&amp;L - Inputs'!DD724</f>
        <v>2493251.706497502</v>
      </c>
      <c r="DF106" s="19">
        <f>'P&amp;L - Inputs'!DE724</f>
        <v>2493251.706497502</v>
      </c>
      <c r="DG106" s="19">
        <f>'P&amp;L - Inputs'!DF724</f>
        <v>2617914.2918223771</v>
      </c>
      <c r="DH106" s="19">
        <f>'P&amp;L - Inputs'!DG724</f>
        <v>2617914.2918223771</v>
      </c>
      <c r="DI106" s="19">
        <f>'P&amp;L - Inputs'!DH724</f>
        <v>2617914.2918223771</v>
      </c>
      <c r="DJ106" s="19">
        <f>'P&amp;L - Inputs'!DI724</f>
        <v>2617914.2918223771</v>
      </c>
      <c r="DK106" s="19">
        <f>'P&amp;L - Inputs'!DJ724</f>
        <v>2617914.2918223771</v>
      </c>
      <c r="DL106" s="19">
        <f>'P&amp;L - Inputs'!DK724</f>
        <v>2617914.2918223771</v>
      </c>
      <c r="DM106" s="19">
        <f>'P&amp;L - Inputs'!DL724</f>
        <v>2617914.2918223771</v>
      </c>
      <c r="DN106" s="19">
        <f>'P&amp;L - Inputs'!DM724</f>
        <v>2617914.2918223771</v>
      </c>
      <c r="DO106" s="19">
        <f>'P&amp;L - Inputs'!DN724</f>
        <v>2617914.2918223771</v>
      </c>
      <c r="DP106" s="19">
        <f>'P&amp;L - Inputs'!DO724</f>
        <v>2617914.2918223771</v>
      </c>
      <c r="DQ106" s="19">
        <f>'P&amp;L - Inputs'!DP724</f>
        <v>2617914.2918223771</v>
      </c>
      <c r="DR106" s="19">
        <f>'P&amp;L - Inputs'!DQ724</f>
        <v>2617914.2918223771</v>
      </c>
      <c r="DS106" s="19">
        <f>'P&amp;L - Inputs'!DR724</f>
        <v>2748810.0064134961</v>
      </c>
      <c r="DT106" s="19">
        <f>'P&amp;L - Inputs'!DS724</f>
        <v>2748810.0064134961</v>
      </c>
      <c r="DU106" s="19">
        <f>'P&amp;L - Inputs'!DT724</f>
        <v>2748810.0064134961</v>
      </c>
      <c r="DV106" s="19">
        <f>'P&amp;L - Inputs'!DU724</f>
        <v>2748810.0064134961</v>
      </c>
      <c r="DW106" s="19">
        <f>'P&amp;L - Inputs'!DV724</f>
        <v>2748810.0064134961</v>
      </c>
      <c r="DX106" s="19">
        <f>'P&amp;L - Inputs'!DW724</f>
        <v>2748810.0064134961</v>
      </c>
      <c r="DY106" s="19">
        <f>'P&amp;L - Inputs'!DX724</f>
        <v>2748810.0064134961</v>
      </c>
      <c r="DZ106" s="19">
        <f>'P&amp;L - Inputs'!DY724</f>
        <v>2748810.0064134961</v>
      </c>
      <c r="EA106" s="19">
        <f>'P&amp;L - Inputs'!DZ724</f>
        <v>2748810.0064134961</v>
      </c>
      <c r="EB106" s="19">
        <f>'P&amp;L - Inputs'!EA724</f>
        <v>2748810.0064134961</v>
      </c>
      <c r="EC106" s="19">
        <f>'P&amp;L - Inputs'!EB724</f>
        <v>2748810.0064134961</v>
      </c>
      <c r="ED106" s="19">
        <f>'P&amp;L - Inputs'!EC724</f>
        <v>2748810.0064134961</v>
      </c>
      <c r="EE106" s="168"/>
      <c r="EF106" s="165">
        <f t="shared" si="407"/>
        <v>1979600.0361529691</v>
      </c>
      <c r="EG106" s="165">
        <f t="shared" si="408"/>
        <v>2225855.4720591311</v>
      </c>
      <c r="EH106" s="165">
        <f t="shared" si="409"/>
        <v>2389809.2650359739</v>
      </c>
      <c r="EI106" s="165">
        <f t="shared" si="410"/>
        <v>2885979.3983008089</v>
      </c>
      <c r="EJ106" s="165">
        <f t="shared" si="411"/>
        <v>2405561.1724248324</v>
      </c>
      <c r="EK106" s="165">
        <f t="shared" si="412"/>
        <v>5558864.3208624311</v>
      </c>
      <c r="EL106" s="165">
        <f t="shared" si="413"/>
        <v>3100049.9814760289</v>
      </c>
      <c r="EM106" s="165">
        <f t="shared" si="414"/>
        <v>3756887.8482314302</v>
      </c>
      <c r="EN106" s="165">
        <f t="shared" si="415"/>
        <v>4595183.2704534428</v>
      </c>
      <c r="EO106" s="165">
        <f t="shared" si="416"/>
        <v>5558864.3208624311</v>
      </c>
      <c r="EP106" s="165">
        <f t="shared" si="417"/>
        <v>6514189.3471199851</v>
      </c>
      <c r="EQ106" s="165">
        <f t="shared" si="418"/>
        <v>7160386.7085521594</v>
      </c>
      <c r="ER106" s="165">
        <f t="shared" si="419"/>
        <v>7479755.1194925066</v>
      </c>
      <c r="ES106" s="165">
        <f t="shared" si="420"/>
        <v>7479755.1194925066</v>
      </c>
      <c r="ET106" s="165">
        <f t="shared" si="421"/>
        <v>7479755.1194925066</v>
      </c>
      <c r="EU106" s="165">
        <f t="shared" si="422"/>
        <v>7479755.1194925066</v>
      </c>
      <c r="EV106" s="165">
        <f t="shared" si="423"/>
        <v>7853742.8754671309</v>
      </c>
      <c r="EW106" s="165">
        <f t="shared" si="424"/>
        <v>7853742.8754671309</v>
      </c>
      <c r="EX106" s="165">
        <f t="shared" si="425"/>
        <v>7853742.8754671309</v>
      </c>
      <c r="EY106" s="165">
        <f t="shared" si="426"/>
        <v>7853742.8754671309</v>
      </c>
      <c r="EZ106" s="165">
        <f t="shared" si="304"/>
        <v>8246430.0192404883</v>
      </c>
      <c r="FA106" s="165">
        <f t="shared" si="305"/>
        <v>8246430.0192404883</v>
      </c>
      <c r="FB106" s="165">
        <f t="shared" si="306"/>
        <v>8246430.0192404883</v>
      </c>
      <c r="FC106" s="165">
        <f t="shared" si="307"/>
        <v>8246430.0192404883</v>
      </c>
      <c r="FE106" s="165">
        <f t="shared" si="308"/>
        <v>9481244.1715488844</v>
      </c>
      <c r="FF106" s="165">
        <f t="shared" si="309"/>
        <v>14821363.322994724</v>
      </c>
      <c r="FG106" s="165">
        <f t="shared" si="310"/>
        <v>23828623.646988019</v>
      </c>
      <c r="FH106" s="165">
        <f t="shared" si="311"/>
        <v>29919020.477970026</v>
      </c>
      <c r="FI106" s="165">
        <f t="shared" si="312"/>
        <v>31414971.501868524</v>
      </c>
      <c r="FJ106" s="165">
        <f t="shared" si="313"/>
        <v>32985720.076961953</v>
      </c>
    </row>
    <row r="107" spans="2:166" x14ac:dyDescent="0.2">
      <c r="B107" s="167" t="s">
        <v>52</v>
      </c>
      <c r="C107" s="213">
        <f>'P&amp;L - Inputs'!B725</f>
        <v>0</v>
      </c>
      <c r="D107" s="19">
        <f>'P&amp;L - Inputs'!C725</f>
        <v>0</v>
      </c>
      <c r="E107" s="19">
        <f>'P&amp;L - Inputs'!D725</f>
        <v>0</v>
      </c>
      <c r="F107" s="19">
        <f>'P&amp;L - Inputs'!E725</f>
        <v>0</v>
      </c>
      <c r="G107" s="19">
        <f>'P&amp;L - Inputs'!F725</f>
        <v>0</v>
      </c>
      <c r="H107" s="19">
        <f>'P&amp;L - Inputs'!G725</f>
        <v>0</v>
      </c>
      <c r="I107" s="19">
        <f>'P&amp;L - Inputs'!H725</f>
        <v>0</v>
      </c>
      <c r="J107" s="19">
        <f>'P&amp;L - Inputs'!I725</f>
        <v>0</v>
      </c>
      <c r="K107" s="19">
        <f>'P&amp;L - Inputs'!J725</f>
        <v>77364.34</v>
      </c>
      <c r="L107" s="19">
        <f>'P&amp;L - Inputs'!K725</f>
        <v>25384</v>
      </c>
      <c r="M107" s="19">
        <f>'P&amp;L - Inputs'!L725</f>
        <v>25671</v>
      </c>
      <c r="N107" s="19">
        <f>'P&amp;L - Inputs'!M725</f>
        <v>36542</v>
      </c>
      <c r="O107" s="19">
        <f>'P&amp;L - Inputs'!N725</f>
        <v>11488</v>
      </c>
      <c r="P107" s="19">
        <f>'P&amp;L - Inputs'!O725</f>
        <v>23758</v>
      </c>
      <c r="Q107" s="19">
        <f>'P&amp;L - Inputs'!P725</f>
        <v>38727</v>
      </c>
      <c r="R107" s="19">
        <f>'P&amp;L - Inputs'!Q725</f>
        <v>187704</v>
      </c>
      <c r="S107" s="19">
        <f>'P&amp;L - Inputs'!R725</f>
        <v>294969</v>
      </c>
      <c r="T107" s="19">
        <f>'P&amp;L - Inputs'!S725</f>
        <v>170853</v>
      </c>
      <c r="U107" s="19">
        <f>'P&amp;L - Inputs'!T725</f>
        <v>147201</v>
      </c>
      <c r="V107" s="19">
        <f>'P&amp;L - Inputs'!U725</f>
        <v>157570.93</v>
      </c>
      <c r="W107" s="19">
        <f>'P&amp;L - Inputs'!V725</f>
        <v>76950</v>
      </c>
      <c r="X107" s="19">
        <f>'P&amp;L - Inputs'!W725</f>
        <v>213865</v>
      </c>
      <c r="Y107" s="19">
        <f>'P&amp;L - Inputs'!X725</f>
        <v>168120</v>
      </c>
      <c r="Z107" s="19">
        <f>'P&amp;L - Inputs'!Y725</f>
        <v>166443</v>
      </c>
      <c r="AA107" s="19">
        <f>'P&amp;L - Inputs'!Z725</f>
        <v>0</v>
      </c>
      <c r="AB107" s="19">
        <f>'P&amp;L - Inputs'!AA725</f>
        <v>172333</v>
      </c>
      <c r="AC107" s="19">
        <f>'P&amp;L - Inputs'!AB725</f>
        <v>43934.6</v>
      </c>
      <c r="AD107" s="19">
        <f>'P&amp;L - Inputs'!AC725</f>
        <v>173922.0495707209</v>
      </c>
      <c r="AE107" s="19">
        <f>'P&amp;L - Inputs'!AD725</f>
        <v>234514.93791510566</v>
      </c>
      <c r="AF107" s="19">
        <f>'P&amp;L - Inputs'!AE725</f>
        <v>190711.85851956625</v>
      </c>
      <c r="AG107" s="19">
        <f>'P&amp;L - Inputs'!AF725</f>
        <v>152346.99436826154</v>
      </c>
      <c r="AH107" s="19">
        <f>'P&amp;L - Inputs'!AG725</f>
        <v>123977.47483654653</v>
      </c>
      <c r="AI107" s="19">
        <f>'P&amp;L - Inputs'!AH725</f>
        <v>150888.06870768228</v>
      </c>
      <c r="AJ107" s="19">
        <f>'P&amp;L - Inputs'!AI725</f>
        <v>197818.02151526677</v>
      </c>
      <c r="AK107" s="19">
        <f>'P&amp;L - Inputs'!AJ725</f>
        <v>544217.22451536718</v>
      </c>
      <c r="AL107" s="19">
        <f>'P&amp;L - Inputs'!AK725</f>
        <v>631706.67762694159</v>
      </c>
      <c r="AM107" s="19">
        <f>'P&amp;L - Inputs'!AL725</f>
        <v>366248.37065225351</v>
      </c>
      <c r="AN107" s="19">
        <f>'P&amp;L - Inputs'!AM725</f>
        <v>216901.61364352578</v>
      </c>
      <c r="AO107" s="19">
        <f>'P&amp;L - Inputs'!AN725</f>
        <v>237315.41376932414</v>
      </c>
      <c r="AP107" s="19">
        <f>'P&amp;L - Inputs'!AO725</f>
        <v>259408.99679143156</v>
      </c>
      <c r="AQ107" s="19">
        <f>'P&amp;L - Inputs'!AP725</f>
        <v>668880.64478579641</v>
      </c>
      <c r="AR107" s="19">
        <f>'P&amp;L - Inputs'!AQ725</f>
        <v>491879.16140455898</v>
      </c>
      <c r="AS107" s="19">
        <f>'P&amp;L - Inputs'!AR725</f>
        <v>336271.68883853848</v>
      </c>
      <c r="AT107" s="19">
        <f>'P&amp;L - Inputs'!AS725</f>
        <v>447266.22717267502</v>
      </c>
      <c r="AU107" s="19">
        <f>'P&amp;L - Inputs'!AT725</f>
        <v>651714.25251879275</v>
      </c>
      <c r="AV107" s="19">
        <f>'P&amp;L - Inputs'!AU725</f>
        <v>556973.86195950885</v>
      </c>
      <c r="AW107" s="19">
        <f>'P&amp;L - Inputs'!AV725</f>
        <v>353142.35559701506</v>
      </c>
      <c r="AX107" s="19">
        <f>'P&amp;L - Inputs'!AW725</f>
        <v>480091.89876130247</v>
      </c>
      <c r="AY107" s="19">
        <f>'P&amp;L - Inputs'!AX725</f>
        <v>204243.14021238132</v>
      </c>
      <c r="AZ107" s="19">
        <f>'P&amp;L - Inputs'!AY725</f>
        <v>659056.69808459294</v>
      </c>
      <c r="BA107" s="19">
        <f>'P&amp;L - Inputs'!AZ725</f>
        <v>967700.88678155176</v>
      </c>
      <c r="BB107" s="19">
        <f>'P&amp;L - Inputs'!BA725</f>
        <v>887019.34093571024</v>
      </c>
      <c r="BC107" s="19">
        <f>'P&amp;L - Inputs'!BB725</f>
        <v>1413323.4244061613</v>
      </c>
      <c r="BD107" s="19">
        <f>'P&amp;L - Inputs'!BC725</f>
        <v>1559875.1119821519</v>
      </c>
      <c r="BE107" s="19">
        <f>'P&amp;L - Inputs'!BD725</f>
        <v>1353364.7632880332</v>
      </c>
      <c r="BF107" s="19">
        <f>'P&amp;L - Inputs'!BE725</f>
        <v>1907859.1837649995</v>
      </c>
      <c r="BG107" s="19">
        <f>'P&amp;L - Inputs'!BF725</f>
        <v>2584453.3850675845</v>
      </c>
      <c r="BH107" s="19">
        <f>'P&amp;L - Inputs'!BG725</f>
        <v>2143237.8183741402</v>
      </c>
      <c r="BI107" s="19">
        <f>'P&amp;L - Inputs'!BH725</f>
        <v>1655798.9312369088</v>
      </c>
      <c r="BJ107" s="19">
        <f>'P&amp;L - Inputs'!BI725</f>
        <v>1790663.1992690959</v>
      </c>
      <c r="BK107" s="19">
        <f>'P&amp;L - Inputs'!BJ725</f>
        <v>1304219.4864867413</v>
      </c>
      <c r="BL107" s="19">
        <f>'P&amp;L - Inputs'!BK725</f>
        <v>1395732.9318833374</v>
      </c>
      <c r="BM107" s="19">
        <f>'P&amp;L - Inputs'!BL725</f>
        <v>3521433.0906840963</v>
      </c>
      <c r="BN107" s="19">
        <f>'P&amp;L - Inputs'!BM725</f>
        <v>1592100.6971917818</v>
      </c>
      <c r="BO107" s="19">
        <f>'P&amp;L - Inputs'!BN725</f>
        <v>2687925.8422863097</v>
      </c>
      <c r="BP107" s="19">
        <f>'P&amp;L - Inputs'!BO725</f>
        <v>1835595.1901844442</v>
      </c>
      <c r="BQ107" s="19">
        <f>'P&amp;L - Inputs'!BP725</f>
        <v>1598153.9652160986</v>
      </c>
      <c r="BR107" s="19">
        <f>'P&amp;L - Inputs'!BQ725</f>
        <v>2039946.0212459634</v>
      </c>
      <c r="BS107" s="19">
        <f>'P&amp;L - Inputs'!BR725</f>
        <v>1940399.9727178514</v>
      </c>
      <c r="BT107" s="19">
        <f>'P&amp;L - Inputs'!BS725</f>
        <v>1641921.8886472788</v>
      </c>
      <c r="BU107" s="19">
        <f>'P&amp;L - Inputs'!BT725</f>
        <v>1622206.6510883179</v>
      </c>
      <c r="BV107" s="19">
        <f>'P&amp;L - Inputs'!BU725</f>
        <v>1478720.7560651903</v>
      </c>
      <c r="BW107" s="19">
        <f>'P&amp;L - Inputs'!BV725</f>
        <v>1390201.5143162606</v>
      </c>
      <c r="BX107" s="19">
        <f>'P&amp;L - Inputs'!BW725</f>
        <v>1128092.4531761985</v>
      </c>
      <c r="BY107" s="19">
        <f>'P&amp;L - Inputs'!BX725</f>
        <v>1704667.4922260582</v>
      </c>
      <c r="BZ107" s="19">
        <f>'P&amp;L - Inputs'!BY725</f>
        <v>1184395.9938069936</v>
      </c>
      <c r="CA107" s="19">
        <f>'P&amp;L - Inputs'!BZ725</f>
        <v>1713035.2836903867</v>
      </c>
      <c r="CB107" s="19">
        <f>'P&amp;L - Inputs'!CA725</f>
        <v>1691824.5377117526</v>
      </c>
      <c r="CC107" s="19">
        <f>'P&amp;L - Inputs'!CB725</f>
        <v>1545999.8488784435</v>
      </c>
      <c r="CD107" s="19">
        <f>'P&amp;L - Inputs'!CC725</f>
        <v>1772104.4642210074</v>
      </c>
      <c r="CE107" s="19">
        <f>'P&amp;L - Inputs'!CD725</f>
        <v>1680356.7975008481</v>
      </c>
      <c r="CF107" s="19">
        <f>'P&amp;L - Inputs'!CE725</f>
        <v>2393112.3660401027</v>
      </c>
      <c r="CG107" s="19">
        <f>'P&amp;L - Inputs'!CF725</f>
        <v>2831228.4038832211</v>
      </c>
      <c r="CH107" s="19">
        <f>'P&amp;L - Inputs'!CG725</f>
        <v>3347465.0811275081</v>
      </c>
      <c r="CI107" s="19">
        <f>'P&amp;L - Inputs'!CH725</f>
        <v>3544732.6509571751</v>
      </c>
      <c r="CJ107" s="19">
        <f>'P&amp;L - Inputs'!CI725</f>
        <v>2150799.0975459395</v>
      </c>
      <c r="CK107" s="19">
        <f>'P&amp;L - Inputs'!CJ725</f>
        <v>2570199.9645589371</v>
      </c>
      <c r="CL107" s="19">
        <f>'P&amp;L - Inputs'!CK725</f>
        <v>2603054.5996911083</v>
      </c>
      <c r="CM107" s="19">
        <f>'P&amp;L - Inputs'!CL725</f>
        <v>2124316.4751900551</v>
      </c>
      <c r="CN107" s="19">
        <f>'P&amp;L - Inputs'!CM725</f>
        <v>2961708.4667721493</v>
      </c>
      <c r="CO107" s="19">
        <f>'P&amp;L - Inputs'!CN725</f>
        <v>4343004.5851225182</v>
      </c>
      <c r="CP107" s="19">
        <f>'P&amp;L - Inputs'!CO725</f>
        <v>3308046.8320561429</v>
      </c>
      <c r="CQ107" s="19">
        <f>'P&amp;L - Inputs'!CP725</f>
        <v>4009480.7840261878</v>
      </c>
      <c r="CR107" s="19">
        <f>'P&amp;L - Inputs'!CQ725</f>
        <v>3889980.6813136754</v>
      </c>
      <c r="CS107" s="19">
        <f>'P&amp;L - Inputs'!CR725</f>
        <v>2277367.1652573352</v>
      </c>
      <c r="CT107" s="19">
        <f>'P&amp;L - Inputs'!CS725</f>
        <v>3089019.8637971627</v>
      </c>
      <c r="CU107" s="19">
        <f>'P&amp;L - Inputs'!CT725</f>
        <v>3243470.8569870209</v>
      </c>
      <c r="CV107" s="19">
        <f>'P&amp;L - Inputs'!CU725</f>
        <v>3243470.8569870209</v>
      </c>
      <c r="CW107" s="19">
        <f>'P&amp;L - Inputs'!CV725</f>
        <v>3243470.8569870209</v>
      </c>
      <c r="CX107" s="19">
        <f>'P&amp;L - Inputs'!CW725</f>
        <v>3243470.8569870209</v>
      </c>
      <c r="CY107" s="19">
        <f>'P&amp;L - Inputs'!CX725</f>
        <v>3243470.8569870209</v>
      </c>
      <c r="CZ107" s="19">
        <f>'P&amp;L - Inputs'!CY725</f>
        <v>3243470.8569870209</v>
      </c>
      <c r="DA107" s="19">
        <f>'P&amp;L - Inputs'!CZ725</f>
        <v>3243470.8569870209</v>
      </c>
      <c r="DB107" s="19">
        <f>'P&amp;L - Inputs'!DA725</f>
        <v>3243470.8569870209</v>
      </c>
      <c r="DC107" s="19">
        <f>'P&amp;L - Inputs'!DB725</f>
        <v>3243470.8569870209</v>
      </c>
      <c r="DD107" s="19">
        <f>'P&amp;L - Inputs'!DC725</f>
        <v>3243470.8569870209</v>
      </c>
      <c r="DE107" s="19">
        <f>'P&amp;L - Inputs'!DD725</f>
        <v>3243470.8569870209</v>
      </c>
      <c r="DF107" s="19">
        <f>'P&amp;L - Inputs'!DE725</f>
        <v>3243470.8569870209</v>
      </c>
      <c r="DG107" s="19">
        <f>'P&amp;L - Inputs'!DF725</f>
        <v>3405644.3998363721</v>
      </c>
      <c r="DH107" s="19">
        <f>'P&amp;L - Inputs'!DG725</f>
        <v>3405644.3998363721</v>
      </c>
      <c r="DI107" s="19">
        <f>'P&amp;L - Inputs'!DH725</f>
        <v>3405644.3998363721</v>
      </c>
      <c r="DJ107" s="19">
        <f>'P&amp;L - Inputs'!DI725</f>
        <v>3405644.3998363721</v>
      </c>
      <c r="DK107" s="19">
        <f>'P&amp;L - Inputs'!DJ725</f>
        <v>3405644.3998363721</v>
      </c>
      <c r="DL107" s="19">
        <f>'P&amp;L - Inputs'!DK725</f>
        <v>3405644.3998363721</v>
      </c>
      <c r="DM107" s="19">
        <f>'P&amp;L - Inputs'!DL725</f>
        <v>3405644.3998363721</v>
      </c>
      <c r="DN107" s="19">
        <f>'P&amp;L - Inputs'!DM725</f>
        <v>3405644.3998363721</v>
      </c>
      <c r="DO107" s="19">
        <f>'P&amp;L - Inputs'!DN725</f>
        <v>3405644.3998363721</v>
      </c>
      <c r="DP107" s="19">
        <f>'P&amp;L - Inputs'!DO725</f>
        <v>3405644.3998363721</v>
      </c>
      <c r="DQ107" s="19">
        <f>'P&amp;L - Inputs'!DP725</f>
        <v>3405644.3998363721</v>
      </c>
      <c r="DR107" s="19">
        <f>'P&amp;L - Inputs'!DQ725</f>
        <v>3405644.3998363721</v>
      </c>
      <c r="DS107" s="19">
        <f>'P&amp;L - Inputs'!DR725</f>
        <v>3575926.6198281907</v>
      </c>
      <c r="DT107" s="19">
        <f>'P&amp;L - Inputs'!DS725</f>
        <v>3575926.6198281907</v>
      </c>
      <c r="DU107" s="19">
        <f>'P&amp;L - Inputs'!DT725</f>
        <v>3575926.6198281907</v>
      </c>
      <c r="DV107" s="19">
        <f>'P&amp;L - Inputs'!DU725</f>
        <v>3575926.6198281907</v>
      </c>
      <c r="DW107" s="19">
        <f>'P&amp;L - Inputs'!DV725</f>
        <v>3575926.6198281907</v>
      </c>
      <c r="DX107" s="19">
        <f>'P&amp;L - Inputs'!DW725</f>
        <v>3575926.6198281907</v>
      </c>
      <c r="DY107" s="19">
        <f>'P&amp;L - Inputs'!DX725</f>
        <v>3575926.6198281907</v>
      </c>
      <c r="DZ107" s="19">
        <f>'P&amp;L - Inputs'!DY725</f>
        <v>3575926.6198281907</v>
      </c>
      <c r="EA107" s="19">
        <f>'P&amp;L - Inputs'!DZ725</f>
        <v>3575926.6198281907</v>
      </c>
      <c r="EB107" s="19">
        <f>'P&amp;L - Inputs'!EA725</f>
        <v>3575926.6198281907</v>
      </c>
      <c r="EC107" s="19">
        <f>'P&amp;L - Inputs'!EB725</f>
        <v>3575926.6198281907</v>
      </c>
      <c r="ED107" s="19">
        <f>'P&amp;L - Inputs'!EC725</f>
        <v>3575926.6198281907</v>
      </c>
      <c r="EE107" s="168"/>
      <c r="EF107" s="165">
        <f t="shared" si="407"/>
        <v>6221385.5090541746</v>
      </c>
      <c r="EG107" s="165">
        <f t="shared" si="408"/>
        <v>6115621.7296625357</v>
      </c>
      <c r="EH107" s="165">
        <f t="shared" si="409"/>
        <v>5578499.9591799136</v>
      </c>
      <c r="EI107" s="165">
        <f t="shared" si="410"/>
        <v>4742849.2958007865</v>
      </c>
      <c r="EJ107" s="165">
        <f t="shared" si="411"/>
        <v>4222961.459718518</v>
      </c>
      <c r="EK107" s="165">
        <f t="shared" si="412"/>
        <v>7689079.5416533127</v>
      </c>
      <c r="EL107" s="165">
        <f t="shared" si="413"/>
        <v>4998461.1106002992</v>
      </c>
      <c r="EM107" s="165">
        <f t="shared" si="414"/>
        <v>8571805.8510508314</v>
      </c>
      <c r="EN107" s="165">
        <f t="shared" si="415"/>
        <v>8265731.7130620517</v>
      </c>
      <c r="EO107" s="165">
        <f t="shared" si="416"/>
        <v>7689079.5416533127</v>
      </c>
      <c r="EP107" s="165">
        <f t="shared" si="417"/>
        <v>11660532.201204848</v>
      </c>
      <c r="EQ107" s="165">
        <f t="shared" si="418"/>
        <v>9256367.7103681732</v>
      </c>
      <c r="ER107" s="165">
        <f t="shared" si="419"/>
        <v>9730412.5709610619</v>
      </c>
      <c r="ES107" s="165">
        <f t="shared" si="420"/>
        <v>9730412.5709610619</v>
      </c>
      <c r="ET107" s="165">
        <f t="shared" si="421"/>
        <v>9730412.5709610619</v>
      </c>
      <c r="EU107" s="165">
        <f t="shared" si="422"/>
        <v>9730412.5709610619</v>
      </c>
      <c r="EV107" s="165">
        <f t="shared" si="423"/>
        <v>10216933.199509116</v>
      </c>
      <c r="EW107" s="165">
        <f t="shared" si="424"/>
        <v>10216933.199509116</v>
      </c>
      <c r="EX107" s="165">
        <f t="shared" si="425"/>
        <v>10216933.199509116</v>
      </c>
      <c r="EY107" s="165">
        <f t="shared" si="426"/>
        <v>10216933.199509116</v>
      </c>
      <c r="EZ107" s="165">
        <f t="shared" si="304"/>
        <v>10727779.859484572</v>
      </c>
      <c r="FA107" s="165">
        <f t="shared" si="305"/>
        <v>10727779.859484572</v>
      </c>
      <c r="FB107" s="165">
        <f t="shared" si="306"/>
        <v>10727779.859484572</v>
      </c>
      <c r="FC107" s="165">
        <f t="shared" si="307"/>
        <v>10727779.859484572</v>
      </c>
      <c r="FE107" s="165">
        <f t="shared" si="308"/>
        <v>22658356.493697409</v>
      </c>
      <c r="FF107" s="165">
        <f t="shared" si="309"/>
        <v>25482307.963022962</v>
      </c>
      <c r="FG107" s="165">
        <f t="shared" si="310"/>
        <v>36871711.166288383</v>
      </c>
      <c r="FH107" s="165">
        <f t="shared" si="311"/>
        <v>38921650.283844247</v>
      </c>
      <c r="FI107" s="165">
        <f t="shared" si="312"/>
        <v>40867732.798036464</v>
      </c>
      <c r="FJ107" s="165">
        <f t="shared" si="313"/>
        <v>42911119.437938288</v>
      </c>
    </row>
    <row r="108" spans="2:166" x14ac:dyDescent="0.2">
      <c r="B108" s="167" t="s">
        <v>283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f>'D2C - Retail'!C155</f>
        <v>0</v>
      </c>
      <c r="AD108" s="19">
        <f>'D2C - Retail'!D155</f>
        <v>0</v>
      </c>
      <c r="AE108" s="19">
        <f>'D2C - Retail'!E155</f>
        <v>0</v>
      </c>
      <c r="AF108" s="19">
        <f>'D2C - Retail'!F155</f>
        <v>0</v>
      </c>
      <c r="AG108" s="19">
        <f>'D2C - Retail'!G155</f>
        <v>0</v>
      </c>
      <c r="AH108" s="19">
        <f>'D2C - Retail'!H155</f>
        <v>0</v>
      </c>
      <c r="AI108" s="19">
        <f>'D2C - Retail'!I155</f>
        <v>0</v>
      </c>
      <c r="AJ108" s="19">
        <f>'D2C - Retail'!J155</f>
        <v>0</v>
      </c>
      <c r="AK108" s="19">
        <f>'D2C - Retail'!K155</f>
        <v>0</v>
      </c>
      <c r="AL108" s="19">
        <f>'D2C - Retail'!L155</f>
        <v>0</v>
      </c>
      <c r="AM108" s="19">
        <f>'D2C - Retail'!M155</f>
        <v>0</v>
      </c>
      <c r="AN108" s="19">
        <f>'D2C - Retail'!N155</f>
        <v>0</v>
      </c>
      <c r="AO108" s="19">
        <f>'D2C - Retail'!O155</f>
        <v>0</v>
      </c>
      <c r="AP108" s="19">
        <f>'D2C - Retail'!P155</f>
        <v>0</v>
      </c>
      <c r="AQ108" s="19">
        <f>'D2C - Retail'!Q155</f>
        <v>0</v>
      </c>
      <c r="AR108" s="19">
        <f>'D2C - Retail'!R155</f>
        <v>0</v>
      </c>
      <c r="AS108" s="19">
        <f>'D2C - Retail'!S155</f>
        <v>0</v>
      </c>
      <c r="AT108" s="19">
        <f>'D2C - Retail'!T155</f>
        <v>0</v>
      </c>
      <c r="AU108" s="19">
        <f>'D2C - Retail'!U155</f>
        <v>0</v>
      </c>
      <c r="AV108" s="19">
        <f>'D2C - Retail'!V155</f>
        <v>0</v>
      </c>
      <c r="AW108" s="19">
        <f>'D2C - Retail'!W155</f>
        <v>0</v>
      </c>
      <c r="AX108" s="19">
        <f>'D2C - Retail'!X155</f>
        <v>0</v>
      </c>
      <c r="AY108" s="19">
        <f>'D2C - Retail'!Y155</f>
        <v>0</v>
      </c>
      <c r="AZ108" s="19">
        <f>'D2C - Retail'!Z155</f>
        <v>0</v>
      </c>
      <c r="BA108" s="19">
        <f>'D2C - Retail'!AA155</f>
        <v>0</v>
      </c>
      <c r="BB108" s="19">
        <f>'D2C - Retail'!AB155</f>
        <v>0</v>
      </c>
      <c r="BC108" s="19">
        <f>'D2C - Retail'!AC155</f>
        <v>0</v>
      </c>
      <c r="BD108" s="19">
        <f>'D2C - Retail'!AD155</f>
        <v>0</v>
      </c>
      <c r="BE108" s="19">
        <f>'D2C - Retail'!AE155</f>
        <v>0</v>
      </c>
      <c r="BF108" s="19">
        <f>'D2C - Retail'!AF155</f>
        <v>0</v>
      </c>
      <c r="BG108" s="19">
        <f>'D2C - Retail'!AG155</f>
        <v>0</v>
      </c>
      <c r="BH108" s="19">
        <f>'D2C - Retail'!AH155</f>
        <v>0</v>
      </c>
      <c r="BI108" s="19">
        <f>'D2C - Retail'!AI155</f>
        <v>0</v>
      </c>
      <c r="BJ108" s="19">
        <f>'D2C - Retail'!AJ155</f>
        <v>0</v>
      </c>
      <c r="BK108" s="19">
        <f>'D2C - Retail'!AK155</f>
        <v>0</v>
      </c>
      <c r="BL108" s="19">
        <f>'D2C - Retail'!AL155</f>
        <v>0</v>
      </c>
      <c r="BM108" s="19">
        <f>'D2C - Retail'!AM155</f>
        <v>0</v>
      </c>
      <c r="BN108" s="19">
        <f>'D2C - Retail'!AN155</f>
        <v>0</v>
      </c>
      <c r="BO108" s="19">
        <f>'D2C - Retail'!AO155</f>
        <v>0</v>
      </c>
      <c r="BP108" s="19">
        <f>'D2C - Retail'!AP155</f>
        <v>0</v>
      </c>
      <c r="BQ108" s="19">
        <f>'D2C - Retail'!AQ155</f>
        <v>0</v>
      </c>
      <c r="BR108" s="19">
        <f>'D2C - Retail'!AR155</f>
        <v>0</v>
      </c>
      <c r="BS108" s="19">
        <f>'D2C - Retail'!AS155</f>
        <v>0</v>
      </c>
      <c r="BT108" s="19">
        <f>'D2C - Retail'!AT155</f>
        <v>0</v>
      </c>
      <c r="BU108" s="19">
        <f>'D2C - Retail'!AU155</f>
        <v>0</v>
      </c>
      <c r="BV108" s="19">
        <f>'D2C - Retail'!AV155</f>
        <v>0</v>
      </c>
      <c r="BW108" s="19">
        <f>'D2C - Retail'!AW155</f>
        <v>0</v>
      </c>
      <c r="BX108" s="19">
        <f>'D2C - Retail'!AX155</f>
        <v>0</v>
      </c>
      <c r="BY108" s="19">
        <f>'D2C - Retail'!AY155</f>
        <v>0</v>
      </c>
      <c r="BZ108" s="19">
        <f>'D2C - Retail'!AZ155</f>
        <v>0</v>
      </c>
      <c r="CA108" s="19">
        <f>'D2C - Retail'!BA155</f>
        <v>0</v>
      </c>
      <c r="CB108" s="19">
        <f>'D2C - Retail'!BB155</f>
        <v>0</v>
      </c>
      <c r="CC108" s="19">
        <f>'D2C - Retail'!BC155</f>
        <v>0</v>
      </c>
      <c r="CD108" s="19">
        <f>'D2C - Retail'!BD155</f>
        <v>0</v>
      </c>
      <c r="CE108" s="19">
        <f>'D2C - Retail'!BE155</f>
        <v>0</v>
      </c>
      <c r="CF108" s="19">
        <f>'D2C - Retail'!BF155</f>
        <v>0</v>
      </c>
      <c r="CG108" s="19">
        <f>'D2C - Retail'!BG155</f>
        <v>0</v>
      </c>
      <c r="CH108" s="19">
        <f>'D2C - Retail'!BH155</f>
        <v>0</v>
      </c>
      <c r="CI108" s="19">
        <f>'D2C - Retail'!BI155</f>
        <v>375233</v>
      </c>
      <c r="CJ108" s="19">
        <f>'D2C - Retail'!BJ155</f>
        <v>0</v>
      </c>
      <c r="CK108" s="19">
        <f>'D2C - Retail'!BK155</f>
        <v>0</v>
      </c>
      <c r="CL108" s="19">
        <f>'D2C - Retail'!BL155</f>
        <v>0</v>
      </c>
      <c r="CM108" s="19">
        <f>'D2C - Retail'!BM155</f>
        <v>0</v>
      </c>
      <c r="CN108" s="19">
        <f>'D2C - Retail'!BN155</f>
        <v>0</v>
      </c>
      <c r="CO108" s="19">
        <f>'D2C - Retail'!BO155</f>
        <v>1747000</v>
      </c>
      <c r="CP108" s="19">
        <f>'D2C - Retail'!BP155</f>
        <v>989502.54237288143</v>
      </c>
      <c r="CQ108" s="19">
        <f>'D2C - Retail'!BQ155</f>
        <v>3020777</v>
      </c>
      <c r="CR108" s="19">
        <f>'D2C - Retail'!BR155</f>
        <v>2350406.31</v>
      </c>
      <c r="CS108" s="19">
        <f>'D2C - Retail'!BS155</f>
        <v>2700268</v>
      </c>
      <c r="CT108" s="19">
        <f>'D2C - Retail'!BT155</f>
        <v>6928584.6271186443</v>
      </c>
      <c r="CU108" s="19">
        <f>'D2C - Retail'!BU155</f>
        <v>5781209.4383778051</v>
      </c>
      <c r="CV108" s="19">
        <f>'D2C - Retail'!BV155</f>
        <v>5661550.8162980992</v>
      </c>
      <c r="CW108" s="19">
        <f>'D2C - Retail'!BW155</f>
        <v>5649749.4331742506</v>
      </c>
      <c r="CX108" s="19">
        <f>'D2C - Retail'!BX155</f>
        <v>6117918.8324031308</v>
      </c>
      <c r="CY108" s="19">
        <f>'D2C - Retail'!BY155</f>
        <v>5466050.6137538999</v>
      </c>
      <c r="CZ108" s="19">
        <f>'D2C - Retail'!BZ155</f>
        <v>5075728.8852033094</v>
      </c>
      <c r="DA108" s="19">
        <f>'D2C - Retail'!CA155</f>
        <v>6333280.5713553587</v>
      </c>
      <c r="DB108" s="19">
        <f>'D2C - Retail'!CB155</f>
        <v>5832523.3374363389</v>
      </c>
      <c r="DC108" s="19">
        <f>'D2C - Retail'!CC155</f>
        <v>6938501.7535098642</v>
      </c>
      <c r="DD108" s="19">
        <f>'D2C - Retail'!CD155</f>
        <v>7108931.8726724023</v>
      </c>
      <c r="DE108" s="19">
        <f>'D2C - Retail'!CE155</f>
        <v>6610579.0241964757</v>
      </c>
      <c r="DF108" s="19">
        <f>'D2C - Retail'!CF155</f>
        <v>7689837.1015332406</v>
      </c>
      <c r="DG108" s="19">
        <f>'D2C - Retail'!CG155</f>
        <v>7069696.8074526303</v>
      </c>
      <c r="DH108" s="19">
        <f>'D2C - Retail'!CH155</f>
        <v>6940707.2303093811</v>
      </c>
      <c r="DI108" s="19">
        <f>'D2C - Retail'!CI155</f>
        <v>6890215.8048767122</v>
      </c>
      <c r="DJ108" s="19">
        <f>'D2C - Retail'!CJ155</f>
        <v>7457349.7003070153</v>
      </c>
      <c r="DK108" s="19">
        <f>'D2C - Retail'!CK155</f>
        <v>6648228.9491976043</v>
      </c>
      <c r="DL108" s="19">
        <f>'D2C - Retail'!CL155</f>
        <v>6158400.9663863694</v>
      </c>
      <c r="DM108" s="19">
        <f>'D2C - Retail'!CM155</f>
        <v>7661312.6779537899</v>
      </c>
      <c r="DN108" s="19">
        <f>'D2C - Retail'!CN155</f>
        <v>7018026.9963345928</v>
      </c>
      <c r="DO108" s="19">
        <f>'D2C - Retail'!CO155</f>
        <v>8321461.3122948203</v>
      </c>
      <c r="DP108" s="19">
        <f>'D2C - Retail'!CP155</f>
        <v>8490673.4373307154</v>
      </c>
      <c r="DQ108" s="19">
        <f>'D2C - Retail'!CQ155</f>
        <v>7856022.9154774714</v>
      </c>
      <c r="DR108" s="19">
        <f>'D2C - Retail'!CR155</f>
        <v>9039926.4632922094</v>
      </c>
      <c r="DS108" s="19">
        <f>'D2C - Retail'!CS155</f>
        <v>8055357.7390538156</v>
      </c>
      <c r="DT108" s="19">
        <f>'D2C - Retail'!CT155</f>
        <v>7900478.7136335829</v>
      </c>
      <c r="DU108" s="19">
        <f>'D2C - Retail'!CU155</f>
        <v>7837988.1917865276</v>
      </c>
      <c r="DV108" s="19">
        <f>'D2C - Retail'!CV155</f>
        <v>8480326.6520487908</v>
      </c>
      <c r="DW108" s="19">
        <f>'D2C - Retail'!CW155</f>
        <v>7550377.8308268506</v>
      </c>
      <c r="DX108" s="19">
        <f>'D2C - Retail'!CX155</f>
        <v>6983791.1491452754</v>
      </c>
      <c r="DY108" s="19">
        <f>'D2C - Retail'!CY155</f>
        <v>8692726.0252216961</v>
      </c>
      <c r="DZ108" s="19">
        <f>'D2C - Retail'!CZ155</f>
        <v>7955883.5537951319</v>
      </c>
      <c r="EA108" s="19">
        <f>'D2C - Retail'!DA155</f>
        <v>9436306.3564438205</v>
      </c>
      <c r="EB108" s="19">
        <f>'D2C - Retail'!DB155</f>
        <v>9626120.3536675218</v>
      </c>
      <c r="EC108" s="19">
        <f>'D2C - Retail'!DC155</f>
        <v>8899501.2933173496</v>
      </c>
      <c r="ED108" s="19">
        <f>'D2C - Retail'!DD155</f>
        <v>10242348.579891756</v>
      </c>
      <c r="EE108" s="168"/>
      <c r="EF108" s="165">
        <f t="shared" ref="EF108" si="427">SUM(BK108:BM108)</f>
        <v>0</v>
      </c>
      <c r="EG108" s="165">
        <f t="shared" ref="EG108" si="428">SUM(BN108:BP108)</f>
        <v>0</v>
      </c>
      <c r="EH108" s="165">
        <f t="shared" ref="EH108" si="429">SUM(BQ108:BS108)</f>
        <v>0</v>
      </c>
      <c r="EI108" s="165">
        <f t="shared" ref="EI108" si="430">SUM(BT108:BV108)</f>
        <v>0</v>
      </c>
      <c r="EJ108" s="165">
        <f t="shared" ref="EJ108" si="431">SUM(BW108:BY108)</f>
        <v>0</v>
      </c>
      <c r="EK108" s="165">
        <f t="shared" ref="EK108" si="432">SUM(CL108:CN108)</f>
        <v>0</v>
      </c>
      <c r="EL108" s="165">
        <f t="shared" ref="EL108" si="433">SUM(CC108:CE108)</f>
        <v>0</v>
      </c>
      <c r="EM108" s="165">
        <f t="shared" ref="EM108" si="434">SUM(CF108:CH108)</f>
        <v>0</v>
      </c>
      <c r="EN108" s="165">
        <f t="shared" ref="EN108" si="435">SUM(CI108:CK108)</f>
        <v>375233</v>
      </c>
      <c r="EO108" s="165">
        <f t="shared" ref="EO108" si="436">SUM(CL108:CN108)</f>
        <v>0</v>
      </c>
      <c r="EP108" s="165">
        <f t="shared" ref="EP108" si="437">SUM(CO108:CQ108)</f>
        <v>5757279.5423728814</v>
      </c>
      <c r="EQ108" s="165">
        <f t="shared" ref="EQ108" si="438">SUM(CR108:CT108)</f>
        <v>11979258.937118646</v>
      </c>
      <c r="ER108" s="165">
        <f t="shared" ref="ER108" si="439">SUM(CU108:CW108)</f>
        <v>17092509.687850155</v>
      </c>
      <c r="ES108" s="165">
        <f t="shared" ref="ES108" si="440">SUM(CX108:CZ108)</f>
        <v>16659698.33136034</v>
      </c>
      <c r="ET108" s="165">
        <f t="shared" ref="ET108" si="441">SUM(DA108:DC108)</f>
        <v>19104305.662301563</v>
      </c>
      <c r="EU108" s="165">
        <f t="shared" ref="EU108" si="442">SUM(DD108:DF108)</f>
        <v>21409347.998402119</v>
      </c>
      <c r="EV108" s="165">
        <f t="shared" ref="EV108" si="443">SUM(DG108:DI108)</f>
        <v>20900619.842638724</v>
      </c>
      <c r="EW108" s="165">
        <f t="shared" ref="EW108" si="444">SUM(DJ108:DL108)</f>
        <v>20263979.615890991</v>
      </c>
      <c r="EX108" s="165">
        <f t="shared" ref="EX108" si="445">SUM(DM108:DO108)</f>
        <v>23000800.986583203</v>
      </c>
      <c r="EY108" s="165">
        <f t="shared" ref="EY108" si="446">SUM(DP108:DR108)</f>
        <v>25386622.816100396</v>
      </c>
      <c r="EZ108" s="165">
        <f t="shared" si="304"/>
        <v>23793824.644473925</v>
      </c>
      <c r="FA108" s="165">
        <f t="shared" si="305"/>
        <v>23014495.632020917</v>
      </c>
      <c r="FB108" s="165">
        <f t="shared" si="306"/>
        <v>26084915.935460649</v>
      </c>
      <c r="FC108" s="165">
        <f t="shared" si="307"/>
        <v>28767970.226876628</v>
      </c>
      <c r="FE108" s="165"/>
      <c r="FF108" s="165"/>
      <c r="FG108" s="165"/>
      <c r="FH108" s="165"/>
      <c r="FI108" s="165"/>
      <c r="FJ108" s="165">
        <f t="shared" si="313"/>
        <v>101661206.43883212</v>
      </c>
    </row>
    <row r="109" spans="2:166" x14ac:dyDescent="0.2">
      <c r="B109" s="22" t="s">
        <v>53</v>
      </c>
      <c r="C109" s="161">
        <f>C96/C36</f>
        <v>8.1184851058077712E-2</v>
      </c>
      <c r="D109" s="161">
        <f t="shared" ref="D109:BO109" si="447">D96/D36</f>
        <v>8.0071545031821262E-2</v>
      </c>
      <c r="E109" s="161">
        <f t="shared" si="447"/>
        <v>8.8095609178090797E-2</v>
      </c>
      <c r="F109" s="161">
        <f t="shared" si="447"/>
        <v>5.6307704384893513E-2</v>
      </c>
      <c r="G109" s="161">
        <f t="shared" si="447"/>
        <v>7.8444018444848579E-2</v>
      </c>
      <c r="H109" s="161">
        <f t="shared" si="447"/>
        <v>0.11536031547311106</v>
      </c>
      <c r="I109" s="161">
        <f t="shared" si="447"/>
        <v>8.0372270347861402E-2</v>
      </c>
      <c r="J109" s="161">
        <f t="shared" si="447"/>
        <v>6.5191187078850674E-2</v>
      </c>
      <c r="K109" s="161">
        <f t="shared" si="447"/>
        <v>9.8970342277976936E-2</v>
      </c>
      <c r="L109" s="161">
        <f t="shared" si="447"/>
        <v>8.3198227319774845E-2</v>
      </c>
      <c r="M109" s="161">
        <f t="shared" si="447"/>
        <v>6.3264319619735415E-2</v>
      </c>
      <c r="N109" s="161">
        <f t="shared" si="447"/>
        <v>4.3341420498114354E-2</v>
      </c>
      <c r="O109" s="161">
        <f t="shared" si="447"/>
        <v>2.9051040738281103E-2</v>
      </c>
      <c r="P109" s="161">
        <f t="shared" si="447"/>
        <v>3.7896431240040232E-2</v>
      </c>
      <c r="Q109" s="161">
        <f t="shared" si="447"/>
        <v>5.5828564814588769E-2</v>
      </c>
      <c r="R109" s="161">
        <f t="shared" si="447"/>
        <v>3.5568115153175039E-2</v>
      </c>
      <c r="S109" s="161">
        <f t="shared" si="447"/>
        <v>5.8487506029316932E-2</v>
      </c>
      <c r="T109" s="161">
        <f t="shared" si="447"/>
        <v>4.1450967724930371E-2</v>
      </c>
      <c r="U109" s="161">
        <f t="shared" si="447"/>
        <v>4.5754399553753135E-2</v>
      </c>
      <c r="V109" s="161">
        <f t="shared" si="447"/>
        <v>0.1411960364665579</v>
      </c>
      <c r="W109" s="161">
        <f t="shared" si="447"/>
        <v>8.6373178886188021E-2</v>
      </c>
      <c r="X109" s="161">
        <f t="shared" si="447"/>
        <v>8.1457787133212139E-2</v>
      </c>
      <c r="Y109" s="161">
        <f t="shared" si="447"/>
        <v>0.12378279373030082</v>
      </c>
      <c r="Z109" s="161">
        <f t="shared" si="447"/>
        <v>0.10220250153484214</v>
      </c>
      <c r="AA109" s="161">
        <f t="shared" si="447"/>
        <v>-0.91270744389044789</v>
      </c>
      <c r="AB109" s="161">
        <f t="shared" si="447"/>
        <v>8.5492736578774833E-2</v>
      </c>
      <c r="AC109" s="161">
        <f t="shared" si="447"/>
        <v>8.9327561051371629E-2</v>
      </c>
      <c r="AD109" s="161">
        <f t="shared" si="447"/>
        <v>0.18094355200520032</v>
      </c>
      <c r="AE109" s="161">
        <f t="shared" si="447"/>
        <v>0.1730869113916533</v>
      </c>
      <c r="AF109" s="161">
        <f t="shared" si="447"/>
        <v>0.14040036203350359</v>
      </c>
      <c r="AG109" s="161">
        <f t="shared" si="447"/>
        <v>0.12428687337806024</v>
      </c>
      <c r="AH109" s="161">
        <f t="shared" si="447"/>
        <v>0.10467051167870199</v>
      </c>
      <c r="AI109" s="161">
        <f t="shared" si="447"/>
        <v>6.6931302940410872E-2</v>
      </c>
      <c r="AJ109" s="161">
        <f t="shared" si="447"/>
        <v>7.4719113907815229E-2</v>
      </c>
      <c r="AK109" s="161">
        <f t="shared" si="447"/>
        <v>9.2043718181182829E-2</v>
      </c>
      <c r="AL109" s="161">
        <f t="shared" si="447"/>
        <v>0.10283175014478492</v>
      </c>
      <c r="AM109" s="161">
        <f t="shared" si="447"/>
        <v>0.1337686952078451</v>
      </c>
      <c r="AN109" s="161">
        <f t="shared" si="447"/>
        <v>0.2798701816925504</v>
      </c>
      <c r="AO109" s="161">
        <f t="shared" si="447"/>
        <v>0.10855632307662391</v>
      </c>
      <c r="AP109" s="161">
        <f t="shared" si="447"/>
        <v>0.12002692428816902</v>
      </c>
      <c r="AQ109" s="161">
        <f t="shared" si="447"/>
        <v>0.12041344717952461</v>
      </c>
      <c r="AR109" s="161">
        <f t="shared" si="447"/>
        <v>0.1137017537077057</v>
      </c>
      <c r="AS109" s="161">
        <f t="shared" si="447"/>
        <v>0.12574789880665829</v>
      </c>
      <c r="AT109" s="161">
        <f t="shared" si="447"/>
        <v>9.7921140366387355E-2</v>
      </c>
      <c r="AU109" s="161">
        <f t="shared" si="447"/>
        <v>9.3478585017312238E-2</v>
      </c>
      <c r="AV109" s="161">
        <f t="shared" si="447"/>
        <v>8.8869085673275353E-2</v>
      </c>
      <c r="AW109" s="161">
        <f t="shared" si="447"/>
        <v>9.0414089396150837E-2</v>
      </c>
      <c r="AX109" s="161">
        <f t="shared" si="447"/>
        <v>0.11040448334195113</v>
      </c>
      <c r="AY109" s="161">
        <f t="shared" si="447"/>
        <v>0.1518486586084383</v>
      </c>
      <c r="AZ109" s="161">
        <f t="shared" si="447"/>
        <v>0.13549772072553415</v>
      </c>
      <c r="BA109" s="161">
        <f t="shared" si="447"/>
        <v>0.12087104401576043</v>
      </c>
      <c r="BB109" s="161">
        <f t="shared" si="447"/>
        <v>0.13230595976594967</v>
      </c>
      <c r="BC109" s="161">
        <f t="shared" si="447"/>
        <v>0.15180430459160868</v>
      </c>
      <c r="BD109" s="161">
        <f t="shared" si="447"/>
        <v>0.17086655166078465</v>
      </c>
      <c r="BE109" s="161">
        <f t="shared" si="447"/>
        <v>0.14345073379390952</v>
      </c>
      <c r="BF109" s="161">
        <f t="shared" si="447"/>
        <v>0.14518704018977724</v>
      </c>
      <c r="BG109" s="161">
        <f t="shared" si="447"/>
        <v>0.13461153113548455</v>
      </c>
      <c r="BH109" s="161">
        <f t="shared" si="447"/>
        <v>0.12664214760205572</v>
      </c>
      <c r="BI109" s="161">
        <f t="shared" si="447"/>
        <v>0.11713075489052401</v>
      </c>
      <c r="BJ109" s="161">
        <f t="shared" si="447"/>
        <v>8.6287642190540831E-2</v>
      </c>
      <c r="BK109" s="161">
        <f t="shared" si="447"/>
        <v>8.7800053170753858E-2</v>
      </c>
      <c r="BL109" s="161">
        <f t="shared" si="447"/>
        <v>8.7673404089251575E-2</v>
      </c>
      <c r="BM109" s="161">
        <f t="shared" si="447"/>
        <v>8.7704436651056428E-2</v>
      </c>
      <c r="BN109" s="161">
        <f t="shared" si="447"/>
        <v>0.10301434139543346</v>
      </c>
      <c r="BO109" s="161">
        <f t="shared" si="447"/>
        <v>9.7343609634928163E-2</v>
      </c>
      <c r="BP109" s="161">
        <f t="shared" ref="BP109:EM109" si="448">BP96/BP36</f>
        <v>9.4098698659717137E-2</v>
      </c>
      <c r="BQ109" s="161">
        <f t="shared" si="448"/>
        <v>6.5432473056041496E-2</v>
      </c>
      <c r="BR109" s="161">
        <f t="shared" si="448"/>
        <v>7.9670009355464949E-2</v>
      </c>
      <c r="BS109" s="161">
        <f t="shared" si="448"/>
        <v>8.904153845067983E-2</v>
      </c>
      <c r="BT109" s="161">
        <f t="shared" si="448"/>
        <v>9.0047048058953055E-2</v>
      </c>
      <c r="BU109" s="161">
        <f t="shared" si="448"/>
        <v>9.9318164421579619E-2</v>
      </c>
      <c r="BV109" s="161">
        <f t="shared" si="448"/>
        <v>7.8966349347255854E-2</v>
      </c>
      <c r="BW109" s="161">
        <f t="shared" si="448"/>
        <v>8.2426109606025297E-2</v>
      </c>
      <c r="BX109" s="161">
        <f t="shared" si="448"/>
        <v>8.1965276552301389E-2</v>
      </c>
      <c r="BY109" s="161">
        <f t="shared" si="448"/>
        <v>7.686420049770816E-2</v>
      </c>
      <c r="BZ109" s="161">
        <f t="shared" si="448"/>
        <v>7.7832443448150657E-2</v>
      </c>
      <c r="CA109" s="161">
        <f t="shared" si="448"/>
        <v>8.7627555416781827E-2</v>
      </c>
      <c r="CB109" s="161">
        <f t="shared" si="448"/>
        <v>8.9772100280672756E-2</v>
      </c>
      <c r="CC109" s="161">
        <f t="shared" si="448"/>
        <v>7.3834500550665358E-2</v>
      </c>
      <c r="CD109" s="161">
        <f t="shared" si="448"/>
        <v>8.0353564728093088E-2</v>
      </c>
      <c r="CE109" s="161">
        <f t="shared" si="448"/>
        <v>6.9453242415761812E-2</v>
      </c>
      <c r="CF109" s="161">
        <f t="shared" si="448"/>
        <v>6.5828339840814376E-2</v>
      </c>
      <c r="CG109" s="161">
        <f t="shared" si="448"/>
        <v>7.0947802183252404E-2</v>
      </c>
      <c r="CH109" s="161">
        <f t="shared" si="448"/>
        <v>6.225327388404716E-2</v>
      </c>
      <c r="CI109" s="161">
        <f t="shared" si="448"/>
        <v>7.1502728442094252E-2</v>
      </c>
      <c r="CJ109" s="161">
        <f t="shared" si="448"/>
        <v>7.2392492227559294E-2</v>
      </c>
      <c r="CK109" s="161">
        <f t="shared" si="448"/>
        <v>7.5457432435669936E-2</v>
      </c>
      <c r="CL109" s="161">
        <f t="shared" si="448"/>
        <v>7.5793345175607887E-2</v>
      </c>
      <c r="CM109" s="161">
        <f t="shared" si="448"/>
        <v>8.9532925622669263E-2</v>
      </c>
      <c r="CN109" s="161">
        <f t="shared" si="448"/>
        <v>8.3345159085632656E-2</v>
      </c>
      <c r="CO109" s="161">
        <f t="shared" si="448"/>
        <v>7.909755738735863E-2</v>
      </c>
      <c r="CP109" s="161">
        <f t="shared" si="448"/>
        <v>8.2978186239329954E-2</v>
      </c>
      <c r="CQ109" s="161">
        <f t="shared" si="448"/>
        <v>7.350086820376725E-2</v>
      </c>
      <c r="CR109" s="161">
        <f t="shared" si="448"/>
        <v>7.1304633441427484E-2</v>
      </c>
      <c r="CS109" s="161">
        <f t="shared" si="448"/>
        <v>7.7245473786505883E-2</v>
      </c>
      <c r="CT109" s="161">
        <f t="shared" si="448"/>
        <v>6.8570256505181795E-2</v>
      </c>
      <c r="CU109" s="161">
        <f t="shared" si="448"/>
        <v>8.3924100839936067E-2</v>
      </c>
      <c r="CV109" s="161">
        <f t="shared" si="448"/>
        <v>8.4572634685124867E-2</v>
      </c>
      <c r="CW109" s="161">
        <f t="shared" si="448"/>
        <v>8.4706993671003664E-2</v>
      </c>
      <c r="CX109" s="161">
        <f t="shared" si="448"/>
        <v>8.0599659809234767E-2</v>
      </c>
      <c r="CY109" s="161">
        <f t="shared" si="448"/>
        <v>8.7803209712733893E-2</v>
      </c>
      <c r="CZ109" s="161">
        <f t="shared" si="448"/>
        <v>8.8023838597008727E-2</v>
      </c>
      <c r="DA109" s="161">
        <f t="shared" si="448"/>
        <v>7.9019864358927022E-2</v>
      </c>
      <c r="DB109" s="161">
        <f t="shared" si="448"/>
        <v>8.266844645746764E-2</v>
      </c>
      <c r="DC109" s="161">
        <f t="shared" si="448"/>
        <v>6.9467645877175424E-2</v>
      </c>
      <c r="DD109" s="161">
        <f t="shared" si="448"/>
        <v>6.65804927978456E-2</v>
      </c>
      <c r="DE109" s="161">
        <f t="shared" si="448"/>
        <v>7.3556399816084819E-2</v>
      </c>
      <c r="DF109" s="161">
        <f t="shared" si="448"/>
        <v>6.5791802525108509E-2</v>
      </c>
      <c r="DG109" s="161">
        <f t="shared" si="448"/>
        <v>7.7226530697506207E-2</v>
      </c>
      <c r="DH109" s="161">
        <f t="shared" si="448"/>
        <v>7.7731200624080232E-2</v>
      </c>
      <c r="DI109" s="161">
        <f t="shared" si="448"/>
        <v>7.8073324187463988E-2</v>
      </c>
      <c r="DJ109" s="161">
        <f t="shared" si="448"/>
        <v>7.4305600793943813E-2</v>
      </c>
      <c r="DK109" s="161">
        <f t="shared" si="448"/>
        <v>8.1021279918475339E-2</v>
      </c>
      <c r="DL109" s="161">
        <f t="shared" si="448"/>
        <v>8.140444935146085E-2</v>
      </c>
      <c r="DM109" s="161">
        <f t="shared" si="448"/>
        <v>7.3153918577352137E-2</v>
      </c>
      <c r="DN109" s="161">
        <f t="shared" si="448"/>
        <v>7.6754026485747695E-2</v>
      </c>
      <c r="DO109" s="161">
        <f t="shared" si="448"/>
        <v>6.4687645106426606E-2</v>
      </c>
      <c r="DP109" s="161">
        <f t="shared" si="448"/>
        <v>6.2152431927413737E-2</v>
      </c>
      <c r="DQ109" s="161">
        <f t="shared" si="448"/>
        <v>6.8793879179583378E-2</v>
      </c>
      <c r="DR109" s="161">
        <f t="shared" si="448"/>
        <v>6.1934277693383145E-2</v>
      </c>
      <c r="DS109" s="161">
        <f t="shared" ref="DS109:ED109" si="449">DS96/DS36</f>
        <v>7.397097949372182E-2</v>
      </c>
      <c r="DT109" s="161">
        <f t="shared" si="449"/>
        <v>7.4471687715397805E-2</v>
      </c>
      <c r="DU109" s="161">
        <f t="shared" si="449"/>
        <v>7.481847942381116E-2</v>
      </c>
      <c r="DV109" s="161">
        <f t="shared" si="449"/>
        <v>7.1275442622527732E-2</v>
      </c>
      <c r="DW109" s="161">
        <f t="shared" si="449"/>
        <v>7.7707132018928163E-2</v>
      </c>
      <c r="DX109" s="161">
        <f t="shared" si="449"/>
        <v>7.7997866345978564E-2</v>
      </c>
      <c r="DY109" s="161">
        <f t="shared" si="449"/>
        <v>7.0274707978022183E-2</v>
      </c>
      <c r="DZ109" s="161">
        <f t="shared" si="449"/>
        <v>7.3687690734846434E-2</v>
      </c>
      <c r="EA109" s="161">
        <f t="shared" si="449"/>
        <v>6.210405311130518E-2</v>
      </c>
      <c r="EB109" s="161">
        <f t="shared" si="449"/>
        <v>5.9649220854746117E-2</v>
      </c>
      <c r="EC109" s="161">
        <f t="shared" si="449"/>
        <v>6.6082267990871177E-2</v>
      </c>
      <c r="ED109" s="161">
        <f t="shared" si="449"/>
        <v>5.9548045601090324E-2</v>
      </c>
      <c r="EE109" s="168"/>
      <c r="EF109" s="161">
        <f t="shared" si="448"/>
        <v>8.7725722255113159E-2</v>
      </c>
      <c r="EG109" s="161">
        <f t="shared" si="448"/>
        <v>9.8059001680593241E-2</v>
      </c>
      <c r="EH109" s="161">
        <f t="shared" si="448"/>
        <v>7.6869378846350492E-2</v>
      </c>
      <c r="EI109" s="161">
        <f t="shared" si="448"/>
        <v>8.8610109411057361E-2</v>
      </c>
      <c r="EJ109" s="161">
        <f t="shared" si="448"/>
        <v>8.0330932167948982E-2</v>
      </c>
      <c r="EK109" s="161">
        <f t="shared" si="448"/>
        <v>8.2526526235619707E-2</v>
      </c>
      <c r="EL109" s="161">
        <f t="shared" si="448"/>
        <v>7.4232494131567947E-2</v>
      </c>
      <c r="EM109" s="161">
        <f t="shared" si="448"/>
        <v>6.5984373087243517E-2</v>
      </c>
      <c r="EN109" s="161">
        <f t="shared" ref="EN109:FJ109" si="450">EN96/EN36</f>
        <v>7.3114913034804649E-2</v>
      </c>
      <c r="EO109" s="161">
        <f t="shared" si="450"/>
        <v>8.2526526235619707E-2</v>
      </c>
      <c r="EP109" s="161">
        <f t="shared" si="450"/>
        <v>7.818676343208289E-2</v>
      </c>
      <c r="EQ109" s="161">
        <f t="shared" si="450"/>
        <v>7.2129333795375214E-2</v>
      </c>
      <c r="ER109" s="161">
        <f t="shared" si="450"/>
        <v>8.4399359808401769E-2</v>
      </c>
      <c r="ES109" s="161">
        <f t="shared" si="450"/>
        <v>8.530231947881553E-2</v>
      </c>
      <c r="ET109" s="161">
        <f t="shared" si="450"/>
        <v>7.6587694587631552E-2</v>
      </c>
      <c r="EU109" s="161">
        <f t="shared" si="450"/>
        <v>6.8448337254390326E-2</v>
      </c>
      <c r="EV109" s="161">
        <f t="shared" si="450"/>
        <v>7.7674942251710566E-2</v>
      </c>
      <c r="EW109" s="161">
        <f t="shared" si="450"/>
        <v>7.8742288451025946E-2</v>
      </c>
      <c r="EX109" s="161">
        <f t="shared" si="450"/>
        <v>7.1118976670332512E-2</v>
      </c>
      <c r="EY109" s="161">
        <f t="shared" si="450"/>
        <v>6.4120836679728857E-2</v>
      </c>
      <c r="EZ109" s="161">
        <f t="shared" si="450"/>
        <v>7.4418225846439853E-2</v>
      </c>
      <c r="FA109" s="161">
        <f t="shared" si="450"/>
        <v>7.5501110903324675E-2</v>
      </c>
      <c r="FB109" s="161">
        <f t="shared" si="450"/>
        <v>6.8291599090722258E-2</v>
      </c>
      <c r="FC109" s="161">
        <f t="shared" si="450"/>
        <v>6.1594142704458912E-2</v>
      </c>
      <c r="FE109" s="161">
        <f t="shared" si="450"/>
        <v>8.7049823326653022E-2</v>
      </c>
      <c r="FF109" s="161">
        <f t="shared" si="450"/>
        <v>7.560529983332881E-2</v>
      </c>
      <c r="FG109" s="161">
        <f t="shared" si="450"/>
        <v>7.6153396510115073E-2</v>
      </c>
      <c r="FH109" s="161">
        <f t="shared" si="450"/>
        <v>7.7992210882541796E-2</v>
      </c>
      <c r="FI109" s="161">
        <f t="shared" si="450"/>
        <v>7.2363074904617838E-2</v>
      </c>
      <c r="FJ109" s="161">
        <f t="shared" si="450"/>
        <v>6.9434356014195633E-2</v>
      </c>
    </row>
    <row r="110" spans="2:166" x14ac:dyDescent="0.2">
      <c r="B110" s="2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68"/>
      <c r="EF110" s="165"/>
      <c r="EG110" s="165"/>
      <c r="EH110" s="165"/>
      <c r="EI110" s="165"/>
      <c r="EJ110" s="165"/>
      <c r="EK110" s="165"/>
      <c r="EL110" s="165"/>
      <c r="EM110" s="165"/>
      <c r="EN110" s="165"/>
      <c r="EO110" s="165"/>
      <c r="EP110" s="165"/>
      <c r="EQ110" s="165"/>
      <c r="ER110" s="165"/>
      <c r="ES110" s="165"/>
      <c r="ET110" s="165"/>
      <c r="EU110" s="165"/>
      <c r="EV110" s="165"/>
      <c r="EW110" s="165"/>
      <c r="EX110" s="165"/>
      <c r="EY110" s="165"/>
      <c r="EZ110" s="165">
        <f t="shared" si="304"/>
        <v>0</v>
      </c>
      <c r="FA110" s="165">
        <f t="shared" si="305"/>
        <v>0</v>
      </c>
      <c r="FB110" s="165">
        <f t="shared" si="306"/>
        <v>0</v>
      </c>
      <c r="FC110" s="165">
        <f t="shared" si="307"/>
        <v>0</v>
      </c>
      <c r="FE110" s="165"/>
      <c r="FF110" s="165"/>
      <c r="FG110" s="165"/>
      <c r="FH110" s="165"/>
      <c r="FI110" s="165"/>
      <c r="FJ110" s="165"/>
    </row>
    <row r="111" spans="2:166" s="30" customFormat="1" x14ac:dyDescent="0.2">
      <c r="B111" s="184" t="s">
        <v>54</v>
      </c>
      <c r="C111" s="200">
        <f>C90-C96</f>
        <v>-43533.321428570431</v>
      </c>
      <c r="D111" s="200">
        <f t="shared" ref="D111:BO111" si="451">D90-D96</f>
        <v>-170864.40755446383</v>
      </c>
      <c r="E111" s="200">
        <f t="shared" si="451"/>
        <v>-461675.37592868449</v>
      </c>
      <c r="F111" s="200">
        <f t="shared" si="451"/>
        <v>-793968.51664528565</v>
      </c>
      <c r="G111" s="200">
        <f t="shared" si="451"/>
        <v>-877631.37295983476</v>
      </c>
      <c r="H111" s="200">
        <f t="shared" si="451"/>
        <v>-825972.71878315846</v>
      </c>
      <c r="I111" s="200">
        <f t="shared" si="451"/>
        <v>45263.669557144865</v>
      </c>
      <c r="J111" s="200">
        <f t="shared" si="451"/>
        <v>1051145.4403571431</v>
      </c>
      <c r="K111" s="200">
        <f t="shared" si="451"/>
        <v>335388.93999999948</v>
      </c>
      <c r="L111" s="200">
        <f t="shared" si="451"/>
        <v>447542.39803627413</v>
      </c>
      <c r="M111" s="200">
        <f t="shared" si="451"/>
        <v>724935.00098651135</v>
      </c>
      <c r="N111" s="200">
        <f t="shared" si="451"/>
        <v>4346591.9359033993</v>
      </c>
      <c r="O111" s="200">
        <f t="shared" si="451"/>
        <v>3852233.0734763271</v>
      </c>
      <c r="P111" s="200">
        <f t="shared" si="451"/>
        <v>2075910.2570794676</v>
      </c>
      <c r="Q111" s="200">
        <f t="shared" si="451"/>
        <v>-717152.60692833969</v>
      </c>
      <c r="R111" s="200">
        <f t="shared" si="451"/>
        <v>3903715.7642557053</v>
      </c>
      <c r="S111" s="200">
        <f t="shared" si="451"/>
        <v>1804778.6212780522</v>
      </c>
      <c r="T111" s="200">
        <f t="shared" si="451"/>
        <v>1047124.5289329435</v>
      </c>
      <c r="U111" s="200">
        <f t="shared" si="451"/>
        <v>3867376.6986118592</v>
      </c>
      <c r="V111" s="200">
        <f t="shared" si="451"/>
        <v>-3832841.501991963</v>
      </c>
      <c r="W111" s="200">
        <f t="shared" si="451"/>
        <v>-1543128.1405391088</v>
      </c>
      <c r="X111" s="200">
        <f t="shared" si="451"/>
        <v>-2145242.1458353307</v>
      </c>
      <c r="Y111" s="200">
        <f t="shared" si="451"/>
        <v>-5577877.4076225245</v>
      </c>
      <c r="Z111" s="200">
        <f t="shared" si="451"/>
        <v>-2948436.936850402</v>
      </c>
      <c r="AA111" s="200">
        <f t="shared" si="451"/>
        <v>-8558028.4476444013</v>
      </c>
      <c r="AB111" s="200">
        <f t="shared" si="451"/>
        <v>-1146053.3151924238</v>
      </c>
      <c r="AC111" s="200">
        <f t="shared" si="451"/>
        <v>27503.46593988128</v>
      </c>
      <c r="AD111" s="200">
        <f t="shared" si="451"/>
        <v>-1730431.2751091411</v>
      </c>
      <c r="AE111" s="200">
        <f t="shared" si="451"/>
        <v>-2710995.593006955</v>
      </c>
      <c r="AF111" s="200">
        <f t="shared" si="451"/>
        <v>-3616917.7650919645</v>
      </c>
      <c r="AG111" s="200">
        <f t="shared" si="451"/>
        <v>-3397371.9046962005</v>
      </c>
      <c r="AH111" s="200">
        <f t="shared" si="451"/>
        <v>-2013007.3912716606</v>
      </c>
      <c r="AI111" s="200">
        <f t="shared" si="451"/>
        <v>4975662.9244278353</v>
      </c>
      <c r="AJ111" s="200">
        <f t="shared" si="451"/>
        <v>2086996.3847817834</v>
      </c>
      <c r="AK111" s="200">
        <f t="shared" si="451"/>
        <v>1559003.9541534223</v>
      </c>
      <c r="AL111" s="200">
        <f t="shared" si="451"/>
        <v>1279743.5675597489</v>
      </c>
      <c r="AM111" s="200">
        <f t="shared" si="451"/>
        <v>-4418965.7868165355</v>
      </c>
      <c r="AN111" s="200">
        <f t="shared" si="451"/>
        <v>-9411951.9337214362</v>
      </c>
      <c r="AO111" s="200">
        <f t="shared" si="451"/>
        <v>-5150239.1582815312</v>
      </c>
      <c r="AP111" s="200">
        <f t="shared" si="451"/>
        <v>-5199154.8438426331</v>
      </c>
      <c r="AQ111" s="200">
        <f t="shared" si="451"/>
        <v>-6133199.8786604227</v>
      </c>
      <c r="AR111" s="200">
        <f t="shared" si="451"/>
        <v>-6817801.1604738543</v>
      </c>
      <c r="AS111" s="200">
        <f t="shared" si="451"/>
        <v>-5916236.6468556561</v>
      </c>
      <c r="AT111" s="200">
        <f t="shared" si="451"/>
        <v>4813003.6675275378</v>
      </c>
      <c r="AU111" s="200">
        <f t="shared" si="451"/>
        <v>3447047.9439547323</v>
      </c>
      <c r="AV111" s="200">
        <f t="shared" si="451"/>
        <v>4461846.826582592</v>
      </c>
      <c r="AW111" s="200">
        <f t="shared" si="451"/>
        <v>2705693.3811553828</v>
      </c>
      <c r="AX111" s="200">
        <f t="shared" si="451"/>
        <v>-4821071.4052877277</v>
      </c>
      <c r="AY111" s="200">
        <f t="shared" si="451"/>
        <v>-9999683.2035510242</v>
      </c>
      <c r="AZ111" s="200">
        <f t="shared" si="451"/>
        <v>-7918927.2220028266</v>
      </c>
      <c r="BA111" s="200">
        <f t="shared" si="451"/>
        <v>-3890115.9986447766</v>
      </c>
      <c r="BB111" s="200">
        <f t="shared" si="451"/>
        <v>-8265835.7197934762</v>
      </c>
      <c r="BC111" s="200">
        <f t="shared" si="451"/>
        <v>-13780244.651198462</v>
      </c>
      <c r="BD111" s="200">
        <f t="shared" si="451"/>
        <v>-21579857.398998916</v>
      </c>
      <c r="BE111" s="200">
        <f t="shared" si="451"/>
        <v>-13250726.902368233</v>
      </c>
      <c r="BF111" s="200">
        <f t="shared" si="451"/>
        <v>-15974608.916316073</v>
      </c>
      <c r="BG111" s="200">
        <f t="shared" si="451"/>
        <v>-10944977.674474254</v>
      </c>
      <c r="BH111" s="200">
        <f t="shared" si="451"/>
        <v>-4600429.1228716448</v>
      </c>
      <c r="BI111" s="200">
        <f t="shared" si="451"/>
        <v>-2303363.4220194966</v>
      </c>
      <c r="BJ111" s="200">
        <f t="shared" si="451"/>
        <v>2874791.4136802852</v>
      </c>
      <c r="BK111" s="200">
        <f t="shared" si="451"/>
        <v>-5719027.0578897446</v>
      </c>
      <c r="BL111" s="200">
        <f t="shared" si="451"/>
        <v>2713666.8262577504</v>
      </c>
      <c r="BM111" s="200">
        <f t="shared" si="451"/>
        <v>8962219.2684646398</v>
      </c>
      <c r="BN111" s="200">
        <f t="shared" si="451"/>
        <v>-461536.80501390994</v>
      </c>
      <c r="BO111" s="200">
        <f t="shared" si="451"/>
        <v>3388405.4542913809</v>
      </c>
      <c r="BP111" s="200">
        <f t="shared" ref="BP111:DR111" si="452">BP90-BP96</f>
        <v>-7566739.0177697204</v>
      </c>
      <c r="BQ111" s="200">
        <f t="shared" si="452"/>
        <v>6074995.8120087683</v>
      </c>
      <c r="BR111" s="200">
        <f t="shared" si="452"/>
        <v>9944765.7344917357</v>
      </c>
      <c r="BS111" s="200">
        <f t="shared" si="452"/>
        <v>8420622.0428023785</v>
      </c>
      <c r="BT111" s="200">
        <f t="shared" si="452"/>
        <v>11833411.177433029</v>
      </c>
      <c r="BU111" s="200">
        <f t="shared" si="452"/>
        <v>15088762.645594105</v>
      </c>
      <c r="BV111" s="200">
        <f t="shared" si="452"/>
        <v>29035176.357833363</v>
      </c>
      <c r="BW111" s="200">
        <f t="shared" si="452"/>
        <v>24230790.106620491</v>
      </c>
      <c r="BX111" s="200">
        <f t="shared" si="452"/>
        <v>28879402.244570248</v>
      </c>
      <c r="BY111" s="200">
        <f t="shared" si="452"/>
        <v>35789061.213781655</v>
      </c>
      <c r="BZ111" s="200">
        <f t="shared" si="452"/>
        <v>30873557.406971335</v>
      </c>
      <c r="CA111" s="200">
        <f t="shared" si="452"/>
        <v>23503288.976700462</v>
      </c>
      <c r="CB111" s="200">
        <f t="shared" si="452"/>
        <v>16300790.214759678</v>
      </c>
      <c r="CC111" s="200">
        <f t="shared" si="452"/>
        <v>34887201.519667298</v>
      </c>
      <c r="CD111" s="200">
        <f t="shared" si="452"/>
        <v>31784387.735829905</v>
      </c>
      <c r="CE111" s="200">
        <f t="shared" si="452"/>
        <v>42927285.114339635</v>
      </c>
      <c r="CF111" s="200">
        <f t="shared" si="452"/>
        <v>43925831.376912966</v>
      </c>
      <c r="CG111" s="200">
        <f t="shared" si="452"/>
        <v>38052836.997700572</v>
      </c>
      <c r="CH111" s="200">
        <f t="shared" si="452"/>
        <v>55480492.642721429</v>
      </c>
      <c r="CI111" s="200">
        <f t="shared" si="452"/>
        <v>42103550.26463376</v>
      </c>
      <c r="CJ111" s="200">
        <f t="shared" si="452"/>
        <v>39329363.026986301</v>
      </c>
      <c r="CK111" s="200">
        <f t="shared" si="452"/>
        <v>43761144.003610447</v>
      </c>
      <c r="CL111" s="200">
        <f t="shared" si="452"/>
        <v>44024744.492615819</v>
      </c>
      <c r="CM111" s="200">
        <f t="shared" si="452"/>
        <v>40167063.543640979</v>
      </c>
      <c r="CN111" s="200">
        <f t="shared" si="452"/>
        <v>30934331.126602009</v>
      </c>
      <c r="CO111" s="200">
        <f t="shared" si="452"/>
        <v>44926002.96732454</v>
      </c>
      <c r="CP111" s="200">
        <f t="shared" si="452"/>
        <v>45680549.199924476</v>
      </c>
      <c r="CQ111" s="200">
        <f t="shared" si="452"/>
        <v>55590388.364160314</v>
      </c>
      <c r="CR111" s="200">
        <f t="shared" si="452"/>
        <v>60634030.24342306</v>
      </c>
      <c r="CS111" s="200">
        <f t="shared" si="452"/>
        <v>43536848.82126002</v>
      </c>
      <c r="CT111" s="200">
        <f t="shared" si="452"/>
        <v>46240217.047710016</v>
      </c>
      <c r="CU111" s="200">
        <f t="shared" si="452"/>
        <v>51961015.376098871</v>
      </c>
      <c r="CV111" s="200">
        <f t="shared" si="452"/>
        <v>50301386.168093711</v>
      </c>
      <c r="CW111" s="200">
        <f t="shared" si="452"/>
        <v>49987688.662007898</v>
      </c>
      <c r="CX111" s="200">
        <f t="shared" si="452"/>
        <v>58435321.223474652</v>
      </c>
      <c r="CY111" s="200">
        <f t="shared" si="452"/>
        <v>44985537.465653792</v>
      </c>
      <c r="CZ111" s="200">
        <f t="shared" si="452"/>
        <v>42030945.603455722</v>
      </c>
      <c r="DA111" s="200">
        <f t="shared" si="452"/>
        <v>61900436.30114688</v>
      </c>
      <c r="DB111" s="200">
        <f t="shared" si="452"/>
        <v>53465052.766278937</v>
      </c>
      <c r="DC111" s="200">
        <f t="shared" si="452"/>
        <v>81585036.74303335</v>
      </c>
      <c r="DD111" s="200">
        <f t="shared" si="452"/>
        <v>88383342.61676079</v>
      </c>
      <c r="DE111" s="200">
        <f t="shared" si="452"/>
        <v>71967061.191696897</v>
      </c>
      <c r="DF111" s="200">
        <f t="shared" si="452"/>
        <v>93993929.433818221</v>
      </c>
      <c r="DG111" s="200">
        <f t="shared" si="452"/>
        <v>70400200.980852142</v>
      </c>
      <c r="DH111" s="200">
        <f t="shared" si="452"/>
        <v>68620434.769210339</v>
      </c>
      <c r="DI111" s="200">
        <f t="shared" si="452"/>
        <v>67678770.663794994</v>
      </c>
      <c r="DJ111" s="200">
        <f t="shared" si="452"/>
        <v>77873466.036520243</v>
      </c>
      <c r="DK111" s="200">
        <f t="shared" si="452"/>
        <v>61410332.863266349</v>
      </c>
      <c r="DL111" s="200">
        <f t="shared" si="452"/>
        <v>57384231.156841025</v>
      </c>
      <c r="DM111" s="200">
        <f t="shared" si="452"/>
        <v>81174067.281406388</v>
      </c>
      <c r="DN111" s="200">
        <f t="shared" si="452"/>
        <v>70402893.796800911</v>
      </c>
      <c r="DO111" s="200">
        <f t="shared" si="452"/>
        <v>103357670.85025786</v>
      </c>
      <c r="DP111" s="200">
        <f t="shared" si="452"/>
        <v>110794384.21054234</v>
      </c>
      <c r="DQ111" s="200">
        <f t="shared" si="452"/>
        <v>90865121.145658851</v>
      </c>
      <c r="DR111" s="200">
        <f t="shared" si="452"/>
        <v>115299404.23559156</v>
      </c>
      <c r="DS111" s="200">
        <f t="shared" ref="DS111:ED111" si="453">DS90-DS96</f>
        <v>83097926.64950417</v>
      </c>
      <c r="DT111" s="200">
        <f t="shared" si="453"/>
        <v>81007343.035858631</v>
      </c>
      <c r="DU111" s="200">
        <f t="shared" si="453"/>
        <v>79875449.548153132</v>
      </c>
      <c r="DV111" s="200">
        <f t="shared" si="453"/>
        <v>91282122.183732659</v>
      </c>
      <c r="DW111" s="200">
        <f t="shared" si="453"/>
        <v>72566374.322555929</v>
      </c>
      <c r="DX111" s="200">
        <f t="shared" si="453"/>
        <v>68139802.510104567</v>
      </c>
      <c r="DY111" s="200">
        <f t="shared" si="453"/>
        <v>94685878.385287881</v>
      </c>
      <c r="DZ111" s="200">
        <f t="shared" si="453"/>
        <v>82563234.148235872</v>
      </c>
      <c r="EA111" s="200">
        <f t="shared" si="453"/>
        <v>119976783.82927026</v>
      </c>
      <c r="EB111" s="200">
        <f t="shared" si="453"/>
        <v>128497440.68314147</v>
      </c>
      <c r="EC111" s="200">
        <f t="shared" si="453"/>
        <v>105653571.73922718</v>
      </c>
      <c r="ED111" s="200">
        <f t="shared" si="453"/>
        <v>133155085.59610839</v>
      </c>
      <c r="EE111" s="333"/>
      <c r="EF111" s="224">
        <f>SUM(BK111:BM111)</f>
        <v>5956859.0368326455</v>
      </c>
      <c r="EG111" s="224">
        <f>SUM(BN111:BP111)</f>
        <v>-4639870.3684922494</v>
      </c>
      <c r="EH111" s="224">
        <f>SUM(BQ111:BS111)</f>
        <v>24440383.589302883</v>
      </c>
      <c r="EI111" s="224">
        <f>SUM(BT111:BV111)</f>
        <v>55957350.180860497</v>
      </c>
      <c r="EJ111" s="224">
        <f>SUM(BW111:BY111)</f>
        <v>88899253.564972401</v>
      </c>
      <c r="EK111" s="224">
        <f>SUM(CL111:CN111)</f>
        <v>115126139.1628588</v>
      </c>
      <c r="EL111" s="224">
        <f>SUM(CC111:CE111)</f>
        <v>109598874.36983684</v>
      </c>
      <c r="EM111" s="224">
        <f>SUM(CF111:CH111)</f>
        <v>137459161.01733497</v>
      </c>
      <c r="EN111" s="224">
        <f>SUM(CI111:CK111)</f>
        <v>125194057.29523051</v>
      </c>
      <c r="EO111" s="224">
        <f>SUM(CL111:CN111)</f>
        <v>115126139.1628588</v>
      </c>
      <c r="EP111" s="224">
        <f>SUM(CO111:CQ111)</f>
        <v>146196940.53140932</v>
      </c>
      <c r="EQ111" s="224">
        <f>SUM(CR111:CT111)</f>
        <v>150411096.11239308</v>
      </c>
      <c r="ER111" s="224">
        <f>SUM(CU111:CW111)</f>
        <v>152250090.20620048</v>
      </c>
      <c r="ES111" s="224">
        <f>SUM(CX111:CZ111)</f>
        <v>145451804.29258418</v>
      </c>
      <c r="ET111" s="224">
        <f>SUM(DA111:DC111)</f>
        <v>196950525.81045917</v>
      </c>
      <c r="EU111" s="224">
        <f>SUM(DD111:DF111)</f>
        <v>254344333.24227589</v>
      </c>
      <c r="EV111" s="224">
        <f>SUM(DG111:DI111)</f>
        <v>206699406.41385746</v>
      </c>
      <c r="EW111" s="224">
        <f>SUM(DJ111:DL111)</f>
        <v>196668030.05662763</v>
      </c>
      <c r="EX111" s="224">
        <f>SUM(DM111:DO111)</f>
        <v>254934631.92846519</v>
      </c>
      <c r="EY111" s="224">
        <f>SUM(DP111:DR111)</f>
        <v>316958909.5917927</v>
      </c>
      <c r="EZ111" s="224">
        <f t="shared" si="304"/>
        <v>243980719.23351595</v>
      </c>
      <c r="FA111" s="224">
        <f t="shared" si="305"/>
        <v>231988299.01639315</v>
      </c>
      <c r="FB111" s="224">
        <f t="shared" si="306"/>
        <v>297225896.36279398</v>
      </c>
      <c r="FC111" s="224">
        <f t="shared" si="307"/>
        <v>367306098.01847702</v>
      </c>
      <c r="FE111" s="224">
        <f t="shared" si="308"/>
        <v>81714722.438503772</v>
      </c>
      <c r="FF111" s="224">
        <f t="shared" si="309"/>
        <v>451083428.11500299</v>
      </c>
      <c r="FG111" s="224">
        <f t="shared" si="310"/>
        <v>536928233.10189176</v>
      </c>
      <c r="FH111" s="224">
        <f t="shared" si="311"/>
        <v>748996753.55151963</v>
      </c>
      <c r="FI111" s="224">
        <f t="shared" si="312"/>
        <v>975260977.99074304</v>
      </c>
      <c r="FJ111" s="224">
        <f t="shared" si="313"/>
        <v>1140501012.63118</v>
      </c>
    </row>
    <row r="112" spans="2:166" x14ac:dyDescent="0.2">
      <c r="B112" s="155" t="s">
        <v>227</v>
      </c>
      <c r="C112" s="165">
        <f>C91-C97</f>
        <v>-43533.321428570431</v>
      </c>
      <c r="D112" s="165">
        <f t="shared" ref="D112:BO113" si="454">D91-D97</f>
        <v>-170864.40755446383</v>
      </c>
      <c r="E112" s="165">
        <f t="shared" si="454"/>
        <v>-461675.37592868449</v>
      </c>
      <c r="F112" s="165">
        <f t="shared" si="454"/>
        <v>-793968.51664528565</v>
      </c>
      <c r="G112" s="165">
        <f t="shared" si="454"/>
        <v>-877631.37295983476</v>
      </c>
      <c r="H112" s="165">
        <f t="shared" si="454"/>
        <v>-825972.71878315846</v>
      </c>
      <c r="I112" s="165">
        <f t="shared" si="454"/>
        <v>45263.669557144865</v>
      </c>
      <c r="J112" s="165">
        <f t="shared" si="454"/>
        <v>1051145.4403571431</v>
      </c>
      <c r="K112" s="165">
        <f t="shared" si="454"/>
        <v>335388.93999999948</v>
      </c>
      <c r="L112" s="165">
        <f t="shared" si="454"/>
        <v>508380.63208144926</v>
      </c>
      <c r="M112" s="165">
        <f t="shared" si="454"/>
        <v>-37398.928943557898</v>
      </c>
      <c r="N112" s="165">
        <f t="shared" si="454"/>
        <v>-620304.16815553664</v>
      </c>
      <c r="O112" s="165">
        <f t="shared" si="454"/>
        <v>-750044.14053274586</v>
      </c>
      <c r="P112" s="165">
        <f t="shared" si="454"/>
        <v>-2079685.6002093328</v>
      </c>
      <c r="Q112" s="165">
        <f t="shared" si="454"/>
        <v>-3334962.6388430782</v>
      </c>
      <c r="R112" s="165">
        <f t="shared" si="454"/>
        <v>-2042685.2525298493</v>
      </c>
      <c r="S112" s="165">
        <f t="shared" si="454"/>
        <v>-2636112.5990598788</v>
      </c>
      <c r="T112" s="165">
        <f t="shared" si="454"/>
        <v>-2216961.6989421202</v>
      </c>
      <c r="U112" s="165">
        <f t="shared" si="454"/>
        <v>-2545423.820733807</v>
      </c>
      <c r="V112" s="165">
        <f t="shared" si="454"/>
        <v>-4596148.4329165984</v>
      </c>
      <c r="W112" s="165">
        <f t="shared" si="454"/>
        <v>-4494627.7619406302</v>
      </c>
      <c r="X112" s="165">
        <f t="shared" si="454"/>
        <v>-3365187.6837046114</v>
      </c>
      <c r="Y112" s="165">
        <f t="shared" si="454"/>
        <v>-4632598.1537639294</v>
      </c>
      <c r="Z112" s="165">
        <f t="shared" si="454"/>
        <v>-3403057.016319613</v>
      </c>
      <c r="AA112" s="165">
        <f t="shared" si="454"/>
        <v>-7454335.729079782</v>
      </c>
      <c r="AB112" s="165">
        <f t="shared" si="454"/>
        <v>-3043359.9993828144</v>
      </c>
      <c r="AC112" s="165">
        <f t="shared" si="454"/>
        <v>-2475041.9090692089</v>
      </c>
      <c r="AD112" s="165">
        <f t="shared" si="454"/>
        <v>-3179443.3434649087</v>
      </c>
      <c r="AE112" s="165">
        <f t="shared" si="454"/>
        <v>-2921646.9046342163</v>
      </c>
      <c r="AF112" s="165">
        <f t="shared" si="454"/>
        <v>-3479339.7333100485</v>
      </c>
      <c r="AG112" s="165">
        <f t="shared" si="454"/>
        <v>-2944739.3412525537</v>
      </c>
      <c r="AH112" s="165">
        <f t="shared" si="454"/>
        <v>-1334942.5472642169</v>
      </c>
      <c r="AI112" s="165">
        <f t="shared" si="454"/>
        <v>1995892.9379899343</v>
      </c>
      <c r="AJ112" s="165">
        <f t="shared" si="454"/>
        <v>-1538502.5973079642</v>
      </c>
      <c r="AK112" s="165">
        <f t="shared" si="454"/>
        <v>-2139277.7226506462</v>
      </c>
      <c r="AL112" s="165">
        <f t="shared" si="454"/>
        <v>-2098845.5813131654</v>
      </c>
      <c r="AM112" s="165">
        <f t="shared" si="454"/>
        <v>-2347863.9184393692</v>
      </c>
      <c r="AN112" s="165">
        <f t="shared" si="454"/>
        <v>-3241341.2685602102</v>
      </c>
      <c r="AO112" s="165">
        <f t="shared" si="454"/>
        <v>-2897733.2458337285</v>
      </c>
      <c r="AP112" s="165">
        <f t="shared" si="454"/>
        <v>-3985675.1261134255</v>
      </c>
      <c r="AQ112" s="165">
        <f t="shared" si="454"/>
        <v>-4407911.1710568611</v>
      </c>
      <c r="AR112" s="165">
        <f t="shared" si="454"/>
        <v>-5138780.682364976</v>
      </c>
      <c r="AS112" s="165">
        <f t="shared" si="454"/>
        <v>-3851038.5057345293</v>
      </c>
      <c r="AT112" s="165">
        <f t="shared" si="454"/>
        <v>-1262246.7225346207</v>
      </c>
      <c r="AU112" s="165">
        <f t="shared" si="454"/>
        <v>-2588309.231261265</v>
      </c>
      <c r="AV112" s="165">
        <f t="shared" si="454"/>
        <v>-259641.43638200965</v>
      </c>
      <c r="AW112" s="165">
        <f t="shared" si="454"/>
        <v>-4282650.1379172225</v>
      </c>
      <c r="AX112" s="165">
        <f t="shared" si="454"/>
        <v>-6964555.8150952822</v>
      </c>
      <c r="AY112" s="165">
        <f t="shared" si="454"/>
        <v>-8360672.5768156368</v>
      </c>
      <c r="AZ112" s="165">
        <f t="shared" si="454"/>
        <v>-5421426.7891531661</v>
      </c>
      <c r="BA112" s="165">
        <f t="shared" si="454"/>
        <v>-3288122.3212612728</v>
      </c>
      <c r="BB112" s="165">
        <f t="shared" si="454"/>
        <v>-6580974.6479695011</v>
      </c>
      <c r="BC112" s="165">
        <f t="shared" si="454"/>
        <v>-7186460.095992621</v>
      </c>
      <c r="BD112" s="165">
        <f t="shared" si="454"/>
        <v>-6753275.1800980363</v>
      </c>
      <c r="BE112" s="165">
        <f t="shared" si="454"/>
        <v>-4277742.4879202293</v>
      </c>
      <c r="BF112" s="165">
        <f t="shared" si="454"/>
        <v>-5947868.5282669207</v>
      </c>
      <c r="BG112" s="165">
        <f t="shared" si="454"/>
        <v>-3920547.7103564218</v>
      </c>
      <c r="BH112" s="165">
        <f t="shared" si="454"/>
        <v>-2006268.0166437244</v>
      </c>
      <c r="BI112" s="165">
        <f t="shared" si="454"/>
        <v>-3412816.9615851063</v>
      </c>
      <c r="BJ112" s="165">
        <f t="shared" si="454"/>
        <v>-2696444.5110879741</v>
      </c>
      <c r="BK112" s="165">
        <f t="shared" si="454"/>
        <v>0</v>
      </c>
      <c r="BL112" s="165">
        <f t="shared" si="454"/>
        <v>0</v>
      </c>
      <c r="BM112" s="165">
        <f t="shared" si="454"/>
        <v>0</v>
      </c>
      <c r="BN112" s="165">
        <f t="shared" si="454"/>
        <v>0</v>
      </c>
      <c r="BO112" s="165">
        <f t="shared" si="454"/>
        <v>0</v>
      </c>
      <c r="BP112" s="165">
        <f t="shared" ref="BP112:DR114" si="455">BP91-BP97</f>
        <v>0</v>
      </c>
      <c r="BQ112" s="165">
        <f t="shared" si="455"/>
        <v>0</v>
      </c>
      <c r="BR112" s="165">
        <f t="shared" si="455"/>
        <v>0</v>
      </c>
      <c r="BS112" s="165">
        <f t="shared" si="455"/>
        <v>0</v>
      </c>
      <c r="BT112" s="165">
        <f t="shared" si="455"/>
        <v>0</v>
      </c>
      <c r="BU112" s="165">
        <f t="shared" si="455"/>
        <v>0</v>
      </c>
      <c r="BV112" s="165">
        <f t="shared" si="455"/>
        <v>0</v>
      </c>
      <c r="BW112" s="165">
        <f t="shared" si="455"/>
        <v>0</v>
      </c>
      <c r="BX112" s="165">
        <f t="shared" si="455"/>
        <v>0</v>
      </c>
      <c r="BY112" s="165">
        <f t="shared" si="455"/>
        <v>0</v>
      </c>
      <c r="BZ112" s="165">
        <f t="shared" si="455"/>
        <v>0</v>
      </c>
      <c r="CA112" s="165">
        <f t="shared" si="455"/>
        <v>0</v>
      </c>
      <c r="CB112" s="165">
        <f t="shared" si="455"/>
        <v>0</v>
      </c>
      <c r="CC112" s="165">
        <f t="shared" si="455"/>
        <v>0</v>
      </c>
      <c r="CD112" s="165">
        <f t="shared" si="455"/>
        <v>0</v>
      </c>
      <c r="CE112" s="165">
        <f t="shared" si="455"/>
        <v>0</v>
      </c>
      <c r="CF112" s="165">
        <f t="shared" si="455"/>
        <v>0</v>
      </c>
      <c r="CG112" s="165">
        <f t="shared" si="455"/>
        <v>0</v>
      </c>
      <c r="CH112" s="165">
        <f t="shared" si="455"/>
        <v>0</v>
      </c>
      <c r="CI112" s="165">
        <f t="shared" si="455"/>
        <v>0</v>
      </c>
      <c r="CJ112" s="165">
        <f t="shared" si="455"/>
        <v>0</v>
      </c>
      <c r="CK112" s="165">
        <f t="shared" si="455"/>
        <v>0</v>
      </c>
      <c r="CL112" s="165">
        <f t="shared" si="455"/>
        <v>0</v>
      </c>
      <c r="CM112" s="165">
        <f t="shared" si="455"/>
        <v>0</v>
      </c>
      <c r="CN112" s="165">
        <f t="shared" si="455"/>
        <v>0</v>
      </c>
      <c r="CO112" s="165">
        <f t="shared" si="455"/>
        <v>0</v>
      </c>
      <c r="CP112" s="165">
        <f t="shared" si="455"/>
        <v>0</v>
      </c>
      <c r="CQ112" s="165">
        <f t="shared" si="455"/>
        <v>0</v>
      </c>
      <c r="CR112" s="165">
        <f t="shared" si="455"/>
        <v>0</v>
      </c>
      <c r="CS112" s="165">
        <f t="shared" si="455"/>
        <v>0</v>
      </c>
      <c r="CT112" s="165">
        <f t="shared" si="455"/>
        <v>0</v>
      </c>
      <c r="CU112" s="165">
        <f t="shared" si="455"/>
        <v>0</v>
      </c>
      <c r="CV112" s="165">
        <f t="shared" si="455"/>
        <v>0</v>
      </c>
      <c r="CW112" s="165">
        <f t="shared" si="455"/>
        <v>0</v>
      </c>
      <c r="CX112" s="165">
        <f t="shared" si="455"/>
        <v>0</v>
      </c>
      <c r="CY112" s="165">
        <f t="shared" si="455"/>
        <v>0</v>
      </c>
      <c r="CZ112" s="165">
        <f t="shared" si="455"/>
        <v>0</v>
      </c>
      <c r="DA112" s="165">
        <f t="shared" si="455"/>
        <v>0</v>
      </c>
      <c r="DB112" s="165">
        <f t="shared" si="455"/>
        <v>0</v>
      </c>
      <c r="DC112" s="165">
        <f t="shared" si="455"/>
        <v>0</v>
      </c>
      <c r="DD112" s="165">
        <f t="shared" si="455"/>
        <v>0</v>
      </c>
      <c r="DE112" s="165">
        <f t="shared" si="455"/>
        <v>0</v>
      </c>
      <c r="DF112" s="165">
        <f t="shared" si="455"/>
        <v>0</v>
      </c>
      <c r="DG112" s="165">
        <f t="shared" si="455"/>
        <v>0</v>
      </c>
      <c r="DH112" s="165">
        <f t="shared" si="455"/>
        <v>0</v>
      </c>
      <c r="DI112" s="165">
        <f t="shared" si="455"/>
        <v>0</v>
      </c>
      <c r="DJ112" s="165">
        <f t="shared" si="455"/>
        <v>0</v>
      </c>
      <c r="DK112" s="165">
        <f t="shared" si="455"/>
        <v>0</v>
      </c>
      <c r="DL112" s="165">
        <f t="shared" si="455"/>
        <v>0</v>
      </c>
      <c r="DM112" s="165">
        <f t="shared" si="455"/>
        <v>0</v>
      </c>
      <c r="DN112" s="165">
        <f t="shared" si="455"/>
        <v>0</v>
      </c>
      <c r="DO112" s="165">
        <f t="shared" si="455"/>
        <v>0</v>
      </c>
      <c r="DP112" s="165">
        <f t="shared" si="455"/>
        <v>0</v>
      </c>
      <c r="DQ112" s="165">
        <f t="shared" si="455"/>
        <v>0</v>
      </c>
      <c r="DR112" s="165">
        <f t="shared" si="455"/>
        <v>0</v>
      </c>
      <c r="DS112" s="165">
        <f t="shared" ref="DS112:ED112" si="456">DS91-DS97</f>
        <v>0</v>
      </c>
      <c r="DT112" s="165">
        <f t="shared" si="456"/>
        <v>0</v>
      </c>
      <c r="DU112" s="165">
        <f t="shared" si="456"/>
        <v>0</v>
      </c>
      <c r="DV112" s="165">
        <f t="shared" si="456"/>
        <v>0</v>
      </c>
      <c r="DW112" s="165">
        <f t="shared" si="456"/>
        <v>0</v>
      </c>
      <c r="DX112" s="165">
        <f t="shared" si="456"/>
        <v>0</v>
      </c>
      <c r="DY112" s="165">
        <f t="shared" si="456"/>
        <v>0</v>
      </c>
      <c r="DZ112" s="165">
        <f t="shared" si="456"/>
        <v>0</v>
      </c>
      <c r="EA112" s="165">
        <f t="shared" si="456"/>
        <v>0</v>
      </c>
      <c r="EB112" s="165">
        <f t="shared" si="456"/>
        <v>0</v>
      </c>
      <c r="EC112" s="165">
        <f t="shared" si="456"/>
        <v>0</v>
      </c>
      <c r="ED112" s="165">
        <f t="shared" si="456"/>
        <v>0</v>
      </c>
      <c r="EE112" s="168"/>
      <c r="EF112" s="165">
        <f>SUM(BK112:BM112)</f>
        <v>0</v>
      </c>
      <c r="EG112" s="165">
        <f>SUM(BN112:BP112)</f>
        <v>0</v>
      </c>
      <c r="EH112" s="165">
        <f>SUM(BQ112:BS112)</f>
        <v>0</v>
      </c>
      <c r="EI112" s="165">
        <f>SUM(BT112:BV112)</f>
        <v>0</v>
      </c>
      <c r="EJ112" s="165">
        <f>SUM(BW112:BY112)</f>
        <v>0</v>
      </c>
      <c r="EK112" s="165">
        <f>SUM(CL112:CN112)</f>
        <v>0</v>
      </c>
      <c r="EL112" s="165">
        <f>SUM(CC112:CE112)</f>
        <v>0</v>
      </c>
      <c r="EM112" s="165">
        <f>SUM(CF112:CH112)</f>
        <v>0</v>
      </c>
      <c r="EN112" s="165">
        <f>SUM(CI112:CK112)</f>
        <v>0</v>
      </c>
      <c r="EO112" s="165">
        <f>SUM(CL112:CN112)</f>
        <v>0</v>
      </c>
      <c r="EP112" s="165">
        <f>SUM(CO112:CQ112)</f>
        <v>0</v>
      </c>
      <c r="EQ112" s="165">
        <f>SUM(CR112:CT112)</f>
        <v>0</v>
      </c>
      <c r="ER112" s="165">
        <f>SUM(CU112:CW112)</f>
        <v>0</v>
      </c>
      <c r="ES112" s="165">
        <f>SUM(CX112:CZ112)</f>
        <v>0</v>
      </c>
      <c r="ET112" s="165">
        <f>SUM(DA112:DC112)</f>
        <v>0</v>
      </c>
      <c r="EU112" s="165">
        <f>SUM(DD112:DF112)</f>
        <v>0</v>
      </c>
      <c r="EV112" s="165">
        <f>SUM(DG112:DI112)</f>
        <v>0</v>
      </c>
      <c r="EW112" s="165">
        <f>SUM(DJ112:DL112)</f>
        <v>0</v>
      </c>
      <c r="EX112" s="165">
        <f>SUM(DM112:DO112)</f>
        <v>0</v>
      </c>
      <c r="EY112" s="165">
        <f>SUM(DP112:DR112)</f>
        <v>0</v>
      </c>
      <c r="EZ112" s="165">
        <f t="shared" si="304"/>
        <v>0</v>
      </c>
      <c r="FA112" s="165">
        <f t="shared" si="305"/>
        <v>0</v>
      </c>
      <c r="FB112" s="165">
        <f t="shared" si="306"/>
        <v>0</v>
      </c>
      <c r="FC112" s="165">
        <f t="shared" si="307"/>
        <v>0</v>
      </c>
      <c r="FE112" s="165">
        <f t="shared" si="308"/>
        <v>0</v>
      </c>
      <c r="FF112" s="165">
        <f t="shared" si="309"/>
        <v>0</v>
      </c>
      <c r="FG112" s="165">
        <f t="shared" si="310"/>
        <v>0</v>
      </c>
      <c r="FH112" s="165">
        <f t="shared" si="311"/>
        <v>0</v>
      </c>
      <c r="FI112" s="165">
        <f t="shared" si="312"/>
        <v>0</v>
      </c>
      <c r="FJ112" s="165">
        <f t="shared" si="313"/>
        <v>0</v>
      </c>
    </row>
    <row r="113" spans="2:166" x14ac:dyDescent="0.2">
      <c r="B113" s="155" t="s">
        <v>228</v>
      </c>
      <c r="C113" s="165">
        <f t="shared" ref="C113:R114" si="457">C92-C98</f>
        <v>0</v>
      </c>
      <c r="D113" s="165">
        <f t="shared" si="457"/>
        <v>0</v>
      </c>
      <c r="E113" s="165">
        <f t="shared" si="457"/>
        <v>0</v>
      </c>
      <c r="F113" s="165">
        <f t="shared" si="457"/>
        <v>0</v>
      </c>
      <c r="G113" s="165">
        <f t="shared" si="457"/>
        <v>0</v>
      </c>
      <c r="H113" s="165">
        <f t="shared" si="457"/>
        <v>0</v>
      </c>
      <c r="I113" s="165">
        <f t="shared" si="457"/>
        <v>0</v>
      </c>
      <c r="J113" s="165">
        <f t="shared" si="457"/>
        <v>0</v>
      </c>
      <c r="K113" s="165">
        <f t="shared" si="457"/>
        <v>0</v>
      </c>
      <c r="L113" s="165">
        <f t="shared" si="457"/>
        <v>-60838.234045174555</v>
      </c>
      <c r="M113" s="165">
        <f t="shared" si="457"/>
        <v>762333.92993007018</v>
      </c>
      <c r="N113" s="165">
        <f t="shared" si="457"/>
        <v>4966896.1040589353</v>
      </c>
      <c r="O113" s="165">
        <f t="shared" si="457"/>
        <v>4602277.2140090773</v>
      </c>
      <c r="P113" s="165">
        <f t="shared" si="457"/>
        <v>4155595.8572888044</v>
      </c>
      <c r="Q113" s="165">
        <f t="shared" si="457"/>
        <v>2617810.0319147389</v>
      </c>
      <c r="R113" s="165">
        <f t="shared" si="457"/>
        <v>5946401.0167855546</v>
      </c>
      <c r="S113" s="165">
        <f t="shared" si="454"/>
        <v>4440891.2203379292</v>
      </c>
      <c r="T113" s="165">
        <f t="shared" si="454"/>
        <v>3264086.2278750567</v>
      </c>
      <c r="U113" s="165">
        <f t="shared" si="454"/>
        <v>6412800.5193456663</v>
      </c>
      <c r="V113" s="165">
        <f t="shared" si="454"/>
        <v>763306.93092463515</v>
      </c>
      <c r="W113" s="165">
        <f t="shared" si="454"/>
        <v>2951499.6214015218</v>
      </c>
      <c r="X113" s="165">
        <f t="shared" si="454"/>
        <v>1219945.5378692765</v>
      </c>
      <c r="Y113" s="165">
        <f t="shared" si="454"/>
        <v>-945279.25385859539</v>
      </c>
      <c r="Z113" s="165">
        <f t="shared" si="454"/>
        <v>454620.07946921093</v>
      </c>
      <c r="AA113" s="165">
        <f t="shared" si="454"/>
        <v>-1103692.7185646195</v>
      </c>
      <c r="AB113" s="165">
        <f t="shared" si="454"/>
        <v>1897306.6841903869</v>
      </c>
      <c r="AC113" s="165">
        <f t="shared" si="454"/>
        <v>1762183.1875870714</v>
      </c>
      <c r="AD113" s="165">
        <f t="shared" si="454"/>
        <v>2610588.0585464286</v>
      </c>
      <c r="AE113" s="165">
        <f t="shared" si="454"/>
        <v>1741581.069798996</v>
      </c>
      <c r="AF113" s="165">
        <f t="shared" si="454"/>
        <v>1606234.1087211305</v>
      </c>
      <c r="AG113" s="165">
        <f t="shared" si="454"/>
        <v>1811237.8265234737</v>
      </c>
      <c r="AH113" s="165">
        <f t="shared" si="454"/>
        <v>1085520.4702177909</v>
      </c>
      <c r="AI113" s="165">
        <f t="shared" si="454"/>
        <v>2577614.7157942974</v>
      </c>
      <c r="AJ113" s="165">
        <f t="shared" si="454"/>
        <v>3262208.9985134075</v>
      </c>
      <c r="AK113" s="165">
        <f t="shared" si="454"/>
        <v>2861513.3903970863</v>
      </c>
      <c r="AL113" s="165">
        <f t="shared" si="454"/>
        <v>2520184.1202104781</v>
      </c>
      <c r="AM113" s="165">
        <f t="shared" si="454"/>
        <v>197120.00081093388</v>
      </c>
      <c r="AN113" s="165">
        <f t="shared" si="454"/>
        <v>-747895.13141498552</v>
      </c>
      <c r="AO113" s="165">
        <f t="shared" si="454"/>
        <v>-412758.23611937586</v>
      </c>
      <c r="AP113" s="165">
        <f t="shared" si="454"/>
        <v>791997.87891430524</v>
      </c>
      <c r="AQ113" s="165">
        <f t="shared" si="454"/>
        <v>392164.86424281914</v>
      </c>
      <c r="AR113" s="165">
        <f t="shared" si="454"/>
        <v>1010575.078412862</v>
      </c>
      <c r="AS113" s="165">
        <f t="shared" si="454"/>
        <v>1564003.4997820947</v>
      </c>
      <c r="AT113" s="165">
        <f t="shared" si="454"/>
        <v>3706216.9653702239</v>
      </c>
      <c r="AU113" s="165">
        <f t="shared" si="454"/>
        <v>4155876.5548736486</v>
      </c>
      <c r="AV113" s="165">
        <f t="shared" si="454"/>
        <v>5258830.4431481101</v>
      </c>
      <c r="AW113" s="165">
        <f t="shared" si="454"/>
        <v>5391487.7848747876</v>
      </c>
      <c r="AX113" s="165">
        <f t="shared" si="454"/>
        <v>2053153.7113344888</v>
      </c>
      <c r="AY113" s="165">
        <f t="shared" si="454"/>
        <v>1315376.1939650674</v>
      </c>
      <c r="AZ113" s="165">
        <f t="shared" si="454"/>
        <v>654700.82696774509</v>
      </c>
      <c r="BA113" s="165">
        <f t="shared" si="454"/>
        <v>2211931.1065780516</v>
      </c>
      <c r="BB113" s="165">
        <f t="shared" si="454"/>
        <v>388042.44492215291</v>
      </c>
      <c r="BC113" s="165">
        <f t="shared" si="454"/>
        <v>-1105390.908255185</v>
      </c>
      <c r="BD113" s="165">
        <f t="shared" si="454"/>
        <v>-1197379.197555555</v>
      </c>
      <c r="BE113" s="165">
        <f t="shared" si="454"/>
        <v>1772805.4323195245</v>
      </c>
      <c r="BF113" s="165">
        <f t="shared" si="454"/>
        <v>1910943.3531356044</v>
      </c>
      <c r="BG113" s="165">
        <f t="shared" si="454"/>
        <v>534786.41190781165</v>
      </c>
      <c r="BH113" s="165">
        <f t="shared" si="454"/>
        <v>2904245.3004140155</v>
      </c>
      <c r="BI113" s="165">
        <f t="shared" si="454"/>
        <v>5148486.9107641075</v>
      </c>
      <c r="BJ113" s="165">
        <f t="shared" si="454"/>
        <v>5444389.9935878571</v>
      </c>
      <c r="BK113" s="165">
        <f t="shared" si="454"/>
        <v>-2874960.3288782369</v>
      </c>
      <c r="BL113" s="165">
        <f t="shared" si="454"/>
        <v>641215.3289389601</v>
      </c>
      <c r="BM113" s="165">
        <f t="shared" si="454"/>
        <v>5885052.6114251651</v>
      </c>
      <c r="BN113" s="165">
        <f t="shared" si="454"/>
        <v>-265634.14244954474</v>
      </c>
      <c r="BO113" s="165">
        <f t="shared" si="454"/>
        <v>3037473.739623582</v>
      </c>
      <c r="BP113" s="165">
        <f t="shared" si="455"/>
        <v>-2551372.1753387079</v>
      </c>
      <c r="BQ113" s="165">
        <f t="shared" si="455"/>
        <v>4942770.0340048391</v>
      </c>
      <c r="BR113" s="165">
        <f t="shared" si="455"/>
        <v>8542661.313711483</v>
      </c>
      <c r="BS113" s="165">
        <f t="shared" si="455"/>
        <v>11274432.364448531</v>
      </c>
      <c r="BT113" s="165">
        <f t="shared" si="455"/>
        <v>13558976.745832089</v>
      </c>
      <c r="BU113" s="165">
        <f t="shared" si="455"/>
        <v>10226461.520289049</v>
      </c>
      <c r="BV113" s="165">
        <f t="shared" si="455"/>
        <v>19211353.310784802</v>
      </c>
      <c r="BW113" s="165">
        <f t="shared" si="455"/>
        <v>16057019.423655543</v>
      </c>
      <c r="BX113" s="165">
        <f t="shared" si="455"/>
        <v>16938216.960084464</v>
      </c>
      <c r="BY113" s="165">
        <f t="shared" si="455"/>
        <v>21256818.889560252</v>
      </c>
      <c r="BZ113" s="165">
        <f t="shared" si="455"/>
        <v>18773771.194358915</v>
      </c>
      <c r="CA113" s="165">
        <f t="shared" si="455"/>
        <v>18261497.559584543</v>
      </c>
      <c r="CB113" s="165">
        <f t="shared" si="455"/>
        <v>19135691.760979027</v>
      </c>
      <c r="CC113" s="165">
        <f t="shared" si="455"/>
        <v>26360694.027486049</v>
      </c>
      <c r="CD113" s="165">
        <f t="shared" si="455"/>
        <v>20715258.492612343</v>
      </c>
      <c r="CE113" s="165">
        <f t="shared" si="455"/>
        <v>26189461.667972546</v>
      </c>
      <c r="CF113" s="165">
        <f t="shared" si="455"/>
        <v>30034023.289163519</v>
      </c>
      <c r="CG113" s="165">
        <f t="shared" si="455"/>
        <v>27600348.274995446</v>
      </c>
      <c r="CH113" s="165">
        <f t="shared" si="455"/>
        <v>36215900.563337639</v>
      </c>
      <c r="CI113" s="165">
        <f t="shared" si="455"/>
        <v>29340380.950729314</v>
      </c>
      <c r="CJ113" s="165">
        <f t="shared" si="455"/>
        <v>30012550.898458958</v>
      </c>
      <c r="CK113" s="165">
        <f t="shared" si="455"/>
        <v>29849443.220736239</v>
      </c>
      <c r="CL113" s="165">
        <f t="shared" si="455"/>
        <v>33699558.435069278</v>
      </c>
      <c r="CM113" s="165">
        <f t="shared" si="455"/>
        <v>31774516.499704696</v>
      </c>
      <c r="CN113" s="165">
        <f t="shared" si="455"/>
        <v>31437242.561739236</v>
      </c>
      <c r="CO113" s="165">
        <f t="shared" si="455"/>
        <v>24700650.806174662</v>
      </c>
      <c r="CP113" s="165">
        <f t="shared" si="455"/>
        <v>24779657.91826129</v>
      </c>
      <c r="CQ113" s="165">
        <f t="shared" si="455"/>
        <v>28491111.77454263</v>
      </c>
      <c r="CR113" s="165">
        <f t="shared" si="455"/>
        <v>29827207.303282883</v>
      </c>
      <c r="CS113" s="165">
        <f t="shared" si="455"/>
        <v>19040635.811890133</v>
      </c>
      <c r="CT113" s="165">
        <f t="shared" si="455"/>
        <v>24100050.780222435</v>
      </c>
      <c r="CU113" s="165">
        <f t="shared" si="455"/>
        <v>32381022.475345265</v>
      </c>
      <c r="CV113" s="165">
        <f t="shared" si="455"/>
        <v>32793114.668682948</v>
      </c>
      <c r="CW113" s="165">
        <f t="shared" si="455"/>
        <v>32763853.684540633</v>
      </c>
      <c r="CX113" s="165">
        <f t="shared" si="455"/>
        <v>33380772.766874552</v>
      </c>
      <c r="CY113" s="165">
        <f t="shared" si="455"/>
        <v>30986248.897894647</v>
      </c>
      <c r="CZ113" s="165">
        <f t="shared" si="455"/>
        <v>34658502.407755867</v>
      </c>
      <c r="DA113" s="165">
        <f t="shared" si="455"/>
        <v>33475870.965337008</v>
      </c>
      <c r="DB113" s="165">
        <f t="shared" si="455"/>
        <v>33573407.579144895</v>
      </c>
      <c r="DC113" s="165">
        <f t="shared" si="455"/>
        <v>43056404.856602073</v>
      </c>
      <c r="DD113" s="165">
        <f t="shared" si="455"/>
        <v>47021268.207886599</v>
      </c>
      <c r="DE113" s="165">
        <f t="shared" si="455"/>
        <v>39154940.304292627</v>
      </c>
      <c r="DF113" s="165">
        <f t="shared" si="455"/>
        <v>42963745.073484816</v>
      </c>
      <c r="DG113" s="165">
        <f t="shared" si="455"/>
        <v>38295749.567456514</v>
      </c>
      <c r="DH113" s="165">
        <f t="shared" si="455"/>
        <v>38774250.759952053</v>
      </c>
      <c r="DI113" s="165">
        <f t="shared" si="455"/>
        <v>38740274.343916953</v>
      </c>
      <c r="DJ113" s="165">
        <f t="shared" si="455"/>
        <v>39456610.448658854</v>
      </c>
      <c r="DK113" s="165">
        <f t="shared" si="455"/>
        <v>36676207.069779098</v>
      </c>
      <c r="DL113" s="165">
        <f t="shared" si="455"/>
        <v>40940247.282195538</v>
      </c>
      <c r="DM113" s="165">
        <f t="shared" si="455"/>
        <v>39567033.800773188</v>
      </c>
      <c r="DN113" s="165">
        <f t="shared" si="455"/>
        <v>39680288.520890489</v>
      </c>
      <c r="DO113" s="165">
        <f t="shared" si="455"/>
        <v>50691478.684295133</v>
      </c>
      <c r="DP113" s="165">
        <f t="shared" si="455"/>
        <v>55295283.057063267</v>
      </c>
      <c r="DQ113" s="165">
        <f t="shared" si="455"/>
        <v>46161289.879602998</v>
      </c>
      <c r="DR113" s="165">
        <f t="shared" si="455"/>
        <v>50583886.700183541</v>
      </c>
      <c r="DS113" s="165">
        <f t="shared" ref="DS113:ED113" si="458">DS92-DS98</f>
        <v>45683511.280106075</v>
      </c>
      <c r="DT113" s="165">
        <f t="shared" si="458"/>
        <v>46244003.379223503</v>
      </c>
      <c r="DU113" s="165">
        <f t="shared" si="458"/>
        <v>46204205.123665005</v>
      </c>
      <c r="DV113" s="165">
        <f t="shared" si="458"/>
        <v>47043285.011692934</v>
      </c>
      <c r="DW113" s="165">
        <f t="shared" si="458"/>
        <v>43786461.098477766</v>
      </c>
      <c r="DX113" s="165">
        <f t="shared" si="458"/>
        <v>48781142.171086609</v>
      </c>
      <c r="DY113" s="165">
        <f t="shared" si="458"/>
        <v>47172629.342258453</v>
      </c>
      <c r="DZ113" s="165">
        <f t="shared" si="458"/>
        <v>47305290.194120541</v>
      </c>
      <c r="EA113" s="165">
        <f t="shared" si="458"/>
        <v>60203241.516415372</v>
      </c>
      <c r="EB113" s="165">
        <f t="shared" si="458"/>
        <v>65595905.144610494</v>
      </c>
      <c r="EC113" s="165">
        <f t="shared" si="458"/>
        <v>54896807.441930562</v>
      </c>
      <c r="ED113" s="165">
        <f t="shared" si="458"/>
        <v>60077213.707146421</v>
      </c>
      <c r="EE113" s="168"/>
      <c r="EF113" s="165">
        <f>SUM(BK113:BM113)</f>
        <v>3651307.6114858883</v>
      </c>
      <c r="EG113" s="165">
        <f>SUM(BN113:BP113)</f>
        <v>220467.42183532938</v>
      </c>
      <c r="EH113" s="165">
        <f>SUM(BQ113:BS113)</f>
        <v>24759863.712164853</v>
      </c>
      <c r="EI113" s="165">
        <f>SUM(BT113:BV113)</f>
        <v>42996791.576905936</v>
      </c>
      <c r="EJ113" s="165">
        <f>SUM(BW113:BY113)</f>
        <v>54252055.27330026</v>
      </c>
      <c r="EK113" s="165">
        <f>SUM(CL113:CN113)</f>
        <v>96911317.496513218</v>
      </c>
      <c r="EL113" s="165">
        <f>SUM(CC113:CE113)</f>
        <v>73265414.188070938</v>
      </c>
      <c r="EM113" s="165">
        <f>SUM(CF113:CH113)</f>
        <v>93850272.1274966</v>
      </c>
      <c r="EN113" s="165">
        <f>SUM(CI113:CK113)</f>
        <v>89202375.069924504</v>
      </c>
      <c r="EO113" s="165">
        <f>SUM(CL113:CN113)</f>
        <v>96911317.496513218</v>
      </c>
      <c r="EP113" s="165">
        <f>SUM(CO113:CQ113)</f>
        <v>77971420.498978585</v>
      </c>
      <c r="EQ113" s="165">
        <f>SUM(CR113:CT113)</f>
        <v>72967893.895395443</v>
      </c>
      <c r="ER113" s="165">
        <f>SUM(CU113:CW113)</f>
        <v>97937990.828568846</v>
      </c>
      <c r="ES113" s="165">
        <f>SUM(CX113:CZ113)</f>
        <v>99025524.072525069</v>
      </c>
      <c r="ET113" s="165">
        <f>SUM(DA113:DC113)</f>
        <v>110105683.40108398</v>
      </c>
      <c r="EU113" s="165">
        <f>SUM(DD113:DF113)</f>
        <v>129139953.58566403</v>
      </c>
      <c r="EV113" s="165">
        <f>SUM(DG113:DI113)</f>
        <v>115810274.67132552</v>
      </c>
      <c r="EW113" s="165">
        <f>SUM(DJ113:DL113)</f>
        <v>117073064.80063349</v>
      </c>
      <c r="EX113" s="165">
        <f>SUM(DM113:DO113)</f>
        <v>129938801.00595881</v>
      </c>
      <c r="EY113" s="165">
        <f>SUM(DP113:DR113)</f>
        <v>152040459.63684982</v>
      </c>
      <c r="EZ113" s="165">
        <f t="shared" si="304"/>
        <v>138131719.78299457</v>
      </c>
      <c r="FA113" s="165">
        <f t="shared" si="305"/>
        <v>139610888.2812573</v>
      </c>
      <c r="FB113" s="165">
        <f t="shared" si="306"/>
        <v>154681161.05279437</v>
      </c>
      <c r="FC113" s="165">
        <f t="shared" si="307"/>
        <v>180569926.29368746</v>
      </c>
      <c r="FE113" s="165">
        <f t="shared" si="308"/>
        <v>71628430.322392002</v>
      </c>
      <c r="FF113" s="165">
        <f t="shared" si="309"/>
        <v>318279059.08538103</v>
      </c>
      <c r="FG113" s="165">
        <f t="shared" si="310"/>
        <v>337053006.96081173</v>
      </c>
      <c r="FH113" s="165">
        <f t="shared" si="311"/>
        <v>436209151.88784194</v>
      </c>
      <c r="FI113" s="165">
        <f t="shared" si="312"/>
        <v>514862600.11476761</v>
      </c>
      <c r="FJ113" s="165">
        <f t="shared" si="313"/>
        <v>612993695.4107337</v>
      </c>
    </row>
    <row r="114" spans="2:166" x14ac:dyDescent="0.2">
      <c r="B114" s="155" t="s">
        <v>229</v>
      </c>
      <c r="C114" s="165">
        <f t="shared" si="457"/>
        <v>0</v>
      </c>
      <c r="D114" s="165">
        <f t="shared" ref="D114:BO114" si="459">D93-D99</f>
        <v>0</v>
      </c>
      <c r="E114" s="165">
        <f t="shared" si="459"/>
        <v>0</v>
      </c>
      <c r="F114" s="165">
        <f t="shared" si="459"/>
        <v>0</v>
      </c>
      <c r="G114" s="165">
        <f t="shared" si="459"/>
        <v>0</v>
      </c>
      <c r="H114" s="165">
        <f t="shared" si="459"/>
        <v>0</v>
      </c>
      <c r="I114" s="165">
        <f t="shared" si="459"/>
        <v>0</v>
      </c>
      <c r="J114" s="165">
        <f t="shared" si="459"/>
        <v>0</v>
      </c>
      <c r="K114" s="165">
        <f t="shared" si="459"/>
        <v>0</v>
      </c>
      <c r="L114" s="165">
        <f t="shared" si="459"/>
        <v>0</v>
      </c>
      <c r="M114" s="165">
        <f t="shared" si="459"/>
        <v>0</v>
      </c>
      <c r="N114" s="165">
        <f t="shared" si="459"/>
        <v>0</v>
      </c>
      <c r="O114" s="165">
        <f t="shared" si="459"/>
        <v>0</v>
      </c>
      <c r="P114" s="165">
        <f t="shared" si="459"/>
        <v>0</v>
      </c>
      <c r="Q114" s="165">
        <f t="shared" si="459"/>
        <v>0</v>
      </c>
      <c r="R114" s="165">
        <f t="shared" si="459"/>
        <v>0</v>
      </c>
      <c r="S114" s="165">
        <f t="shared" si="459"/>
        <v>0</v>
      </c>
      <c r="T114" s="165">
        <f t="shared" si="459"/>
        <v>0</v>
      </c>
      <c r="U114" s="165">
        <f t="shared" si="459"/>
        <v>0</v>
      </c>
      <c r="V114" s="165">
        <f t="shared" si="459"/>
        <v>0</v>
      </c>
      <c r="W114" s="165">
        <f t="shared" si="459"/>
        <v>0</v>
      </c>
      <c r="X114" s="165">
        <f t="shared" si="459"/>
        <v>0</v>
      </c>
      <c r="Y114" s="165">
        <f t="shared" si="459"/>
        <v>0</v>
      </c>
      <c r="Z114" s="165">
        <f t="shared" si="459"/>
        <v>0</v>
      </c>
      <c r="AA114" s="165">
        <f t="shared" si="459"/>
        <v>0</v>
      </c>
      <c r="AB114" s="165">
        <f t="shared" si="459"/>
        <v>0</v>
      </c>
      <c r="AC114" s="165">
        <f t="shared" si="459"/>
        <v>740362.18742202164</v>
      </c>
      <c r="AD114" s="165">
        <f t="shared" si="459"/>
        <v>-1161575.9901906643</v>
      </c>
      <c r="AE114" s="165">
        <f t="shared" si="459"/>
        <v>-1530929.7581717349</v>
      </c>
      <c r="AF114" s="165">
        <f t="shared" si="459"/>
        <v>-1743812.1405030438</v>
      </c>
      <c r="AG114" s="165">
        <f t="shared" si="459"/>
        <v>-2263870.3899671184</v>
      </c>
      <c r="AH114" s="165">
        <f t="shared" si="459"/>
        <v>-1763585.3142252425</v>
      </c>
      <c r="AI114" s="165">
        <f t="shared" si="459"/>
        <v>402155.27064361796</v>
      </c>
      <c r="AJ114" s="165">
        <f t="shared" si="459"/>
        <v>363289.98357632384</v>
      </c>
      <c r="AK114" s="165">
        <f t="shared" si="459"/>
        <v>836768.28640698455</v>
      </c>
      <c r="AL114" s="165">
        <f t="shared" si="459"/>
        <v>858405.02866244502</v>
      </c>
      <c r="AM114" s="165">
        <f t="shared" si="459"/>
        <v>-2268221.8691880973</v>
      </c>
      <c r="AN114" s="165">
        <f t="shared" si="459"/>
        <v>-5422715.5337462397</v>
      </c>
      <c r="AO114" s="165">
        <f t="shared" si="459"/>
        <v>-1839747.676328423</v>
      </c>
      <c r="AP114" s="165">
        <f t="shared" si="459"/>
        <v>-2005477.5966435187</v>
      </c>
      <c r="AQ114" s="165">
        <f t="shared" si="459"/>
        <v>-2117453.571846379</v>
      </c>
      <c r="AR114" s="165">
        <f t="shared" si="459"/>
        <v>-2689595.5565217324</v>
      </c>
      <c r="AS114" s="165">
        <f t="shared" si="459"/>
        <v>-3629201.6409032196</v>
      </c>
      <c r="AT114" s="165">
        <f t="shared" si="459"/>
        <v>2369033.4246919528</v>
      </c>
      <c r="AU114" s="165">
        <f t="shared" si="459"/>
        <v>1879480.6203423478</v>
      </c>
      <c r="AV114" s="165">
        <f t="shared" si="459"/>
        <v>-537342.18018347397</v>
      </c>
      <c r="AW114" s="165">
        <f t="shared" si="459"/>
        <v>1596855.7341978326</v>
      </c>
      <c r="AX114" s="165">
        <f t="shared" si="459"/>
        <v>90330.69847305119</v>
      </c>
      <c r="AY114" s="165">
        <f t="shared" si="459"/>
        <v>-2954386.820700448</v>
      </c>
      <c r="AZ114" s="165">
        <f t="shared" si="459"/>
        <v>-3152201.2598173767</v>
      </c>
      <c r="BA114" s="165">
        <f t="shared" si="459"/>
        <v>-2813924.7839615792</v>
      </c>
      <c r="BB114" s="165">
        <f t="shared" si="459"/>
        <v>-2072903.5167461373</v>
      </c>
      <c r="BC114" s="165">
        <f t="shared" si="459"/>
        <v>-5488393.6469506435</v>
      </c>
      <c r="BD114" s="165">
        <f t="shared" si="459"/>
        <v>-13629203.021345325</v>
      </c>
      <c r="BE114" s="165">
        <f t="shared" si="459"/>
        <v>-10745789.8467675</v>
      </c>
      <c r="BF114" s="165">
        <f t="shared" si="459"/>
        <v>-11937683.741184767</v>
      </c>
      <c r="BG114" s="165">
        <f t="shared" si="459"/>
        <v>-7559216.3760256395</v>
      </c>
      <c r="BH114" s="165">
        <f t="shared" si="459"/>
        <v>-5498406.4066419639</v>
      </c>
      <c r="BI114" s="165">
        <f t="shared" si="459"/>
        <v>-4039033.3711985052</v>
      </c>
      <c r="BJ114" s="165">
        <f t="shared" si="459"/>
        <v>126845.93118036538</v>
      </c>
      <c r="BK114" s="165">
        <f t="shared" si="459"/>
        <v>-2844066.7290115058</v>
      </c>
      <c r="BL114" s="165">
        <f t="shared" si="459"/>
        <v>2072451.4973187894</v>
      </c>
      <c r="BM114" s="165">
        <f t="shared" si="459"/>
        <v>3077166.6570394486</v>
      </c>
      <c r="BN114" s="165">
        <f t="shared" si="459"/>
        <v>-195902.66256436706</v>
      </c>
      <c r="BO114" s="165">
        <f t="shared" si="459"/>
        <v>350931.71466778591</v>
      </c>
      <c r="BP114" s="165">
        <f t="shared" si="455"/>
        <v>-5015366.8424310461</v>
      </c>
      <c r="BQ114" s="165">
        <f t="shared" si="455"/>
        <v>1132225.7780038752</v>
      </c>
      <c r="BR114" s="165">
        <f t="shared" si="455"/>
        <v>1402104.4207802564</v>
      </c>
      <c r="BS114" s="165">
        <f t="shared" si="455"/>
        <v>-2853810.32164618</v>
      </c>
      <c r="BT114" s="165">
        <f t="shared" si="455"/>
        <v>-1725565.568399068</v>
      </c>
      <c r="BU114" s="165">
        <f t="shared" si="455"/>
        <v>4862301.1253050789</v>
      </c>
      <c r="BV114" s="165">
        <f t="shared" si="455"/>
        <v>9823823.0470485911</v>
      </c>
      <c r="BW114" s="165">
        <f t="shared" si="455"/>
        <v>8173770.6829648875</v>
      </c>
      <c r="BX114" s="165">
        <f t="shared" si="455"/>
        <v>11941185.284485776</v>
      </c>
      <c r="BY114" s="165">
        <f t="shared" si="455"/>
        <v>14532242.324221391</v>
      </c>
      <c r="BZ114" s="165">
        <f t="shared" si="455"/>
        <v>12099786.212612409</v>
      </c>
      <c r="CA114" s="165">
        <f t="shared" si="455"/>
        <v>5241791.4171158597</v>
      </c>
      <c r="CB114" s="165">
        <f t="shared" si="455"/>
        <v>-2834901.5462193228</v>
      </c>
      <c r="CC114" s="165">
        <f t="shared" si="455"/>
        <v>8526507.4921812713</v>
      </c>
      <c r="CD114" s="165">
        <f t="shared" si="455"/>
        <v>11069129.243217535</v>
      </c>
      <c r="CE114" s="165">
        <f t="shared" si="455"/>
        <v>16737823.446367055</v>
      </c>
      <c r="CF114" s="165">
        <f t="shared" si="455"/>
        <v>13891808.087749444</v>
      </c>
      <c r="CG114" s="165">
        <f t="shared" si="455"/>
        <v>10452488.722705178</v>
      </c>
      <c r="CH114" s="165">
        <f t="shared" si="455"/>
        <v>19264592.07938379</v>
      </c>
      <c r="CI114" s="165">
        <f t="shared" si="455"/>
        <v>12763169.313904442</v>
      </c>
      <c r="CJ114" s="165">
        <f t="shared" si="455"/>
        <v>9316812.1285273135</v>
      </c>
      <c r="CK114" s="165">
        <f t="shared" si="455"/>
        <v>13911700.782874145</v>
      </c>
      <c r="CL114" s="165">
        <f t="shared" si="455"/>
        <v>10325186.057546601</v>
      </c>
      <c r="CM114" s="165">
        <f t="shared" si="455"/>
        <v>8392547.0439363346</v>
      </c>
      <c r="CN114" s="165">
        <f t="shared" si="455"/>
        <v>-502911.43513717502</v>
      </c>
      <c r="CO114" s="165">
        <f t="shared" si="455"/>
        <v>20225352.161149882</v>
      </c>
      <c r="CP114" s="165">
        <f t="shared" si="455"/>
        <v>20900891.28166309</v>
      </c>
      <c r="CQ114" s="165">
        <f t="shared" si="455"/>
        <v>27099276.589617677</v>
      </c>
      <c r="CR114" s="165">
        <f t="shared" si="455"/>
        <v>30806822.940140098</v>
      </c>
      <c r="CS114" s="165">
        <f t="shared" si="455"/>
        <v>24496213.009369887</v>
      </c>
      <c r="CT114" s="165">
        <f t="shared" si="455"/>
        <v>22140166.267487571</v>
      </c>
      <c r="CU114" s="165">
        <f t="shared" si="455"/>
        <v>19579992.900753617</v>
      </c>
      <c r="CV114" s="165">
        <f t="shared" si="455"/>
        <v>17508271.499410644</v>
      </c>
      <c r="CW114" s="165">
        <f t="shared" si="455"/>
        <v>17223834.977467269</v>
      </c>
      <c r="CX114" s="165">
        <f t="shared" si="455"/>
        <v>25054548.456599981</v>
      </c>
      <c r="CY114" s="165">
        <f t="shared" si="455"/>
        <v>13999288.567759141</v>
      </c>
      <c r="CZ114" s="165">
        <f t="shared" si="455"/>
        <v>7372443.1956999749</v>
      </c>
      <c r="DA114" s="165">
        <f t="shared" si="455"/>
        <v>28424565.335809812</v>
      </c>
      <c r="DB114" s="165">
        <f t="shared" si="455"/>
        <v>19891645.187133968</v>
      </c>
      <c r="DC114" s="165">
        <f t="shared" si="455"/>
        <v>38528631.886431202</v>
      </c>
      <c r="DD114" s="165">
        <f t="shared" si="455"/>
        <v>41362074.408874184</v>
      </c>
      <c r="DE114" s="165">
        <f t="shared" si="455"/>
        <v>32812120.887404323</v>
      </c>
      <c r="DF114" s="165">
        <f t="shared" si="455"/>
        <v>51030184.360333532</v>
      </c>
      <c r="DG114" s="165">
        <f t="shared" si="455"/>
        <v>32104451.413395509</v>
      </c>
      <c r="DH114" s="165">
        <f t="shared" si="455"/>
        <v>29846184.009258166</v>
      </c>
      <c r="DI114" s="165">
        <f t="shared" si="455"/>
        <v>28938496.319878012</v>
      </c>
      <c r="DJ114" s="165">
        <f t="shared" si="455"/>
        <v>38416855.587861419</v>
      </c>
      <c r="DK114" s="165">
        <f t="shared" si="455"/>
        <v>24734125.793487132</v>
      </c>
      <c r="DL114" s="165">
        <f t="shared" si="455"/>
        <v>16443983.874645486</v>
      </c>
      <c r="DM114" s="165">
        <f t="shared" si="455"/>
        <v>41607033.480633155</v>
      </c>
      <c r="DN114" s="165">
        <f t="shared" si="455"/>
        <v>30722605.275910601</v>
      </c>
      <c r="DO114" s="165">
        <f t="shared" si="455"/>
        <v>52666192.165962666</v>
      </c>
      <c r="DP114" s="165">
        <f t="shared" si="455"/>
        <v>55499101.15347895</v>
      </c>
      <c r="DQ114" s="165">
        <f t="shared" si="455"/>
        <v>44703831.266056016</v>
      </c>
      <c r="DR114" s="165">
        <f t="shared" si="455"/>
        <v>64715517.535407946</v>
      </c>
      <c r="DS114" s="165">
        <f t="shared" ref="DS114:ED114" si="460">DS93-DS99</f>
        <v>37414415.369398162</v>
      </c>
      <c r="DT114" s="165">
        <f t="shared" si="460"/>
        <v>34763339.65663527</v>
      </c>
      <c r="DU114" s="165">
        <f t="shared" si="460"/>
        <v>33671244.424488068</v>
      </c>
      <c r="DV114" s="165">
        <f t="shared" si="460"/>
        <v>44238837.172039524</v>
      </c>
      <c r="DW114" s="165">
        <f t="shared" si="460"/>
        <v>28779913.224078238</v>
      </c>
      <c r="DX114" s="165">
        <f t="shared" si="460"/>
        <v>19358660.339018032</v>
      </c>
      <c r="DY114" s="165">
        <f t="shared" si="460"/>
        <v>47513249.043029472</v>
      </c>
      <c r="DZ114" s="165">
        <f t="shared" si="460"/>
        <v>35257943.954115272</v>
      </c>
      <c r="EA114" s="165">
        <f t="shared" si="460"/>
        <v>59773542.312855005</v>
      </c>
      <c r="EB114" s="165">
        <f t="shared" si="460"/>
        <v>62901535.538531005</v>
      </c>
      <c r="EC114" s="165">
        <f t="shared" si="460"/>
        <v>50756764.297296554</v>
      </c>
      <c r="ED114" s="165">
        <f t="shared" si="460"/>
        <v>73077871.888961986</v>
      </c>
      <c r="EE114" s="168"/>
      <c r="EF114" s="165">
        <f>SUM(BK114:BM114)</f>
        <v>2305551.4253467321</v>
      </c>
      <c r="EG114" s="165">
        <f>SUM(BN114:BP114)</f>
        <v>-4860337.7903276272</v>
      </c>
      <c r="EH114" s="165">
        <f>SUM(BQ114:BS114)</f>
        <v>-319480.12286204845</v>
      </c>
      <c r="EI114" s="165">
        <f>SUM(BT114:BV114)</f>
        <v>12960558.603954602</v>
      </c>
      <c r="EJ114" s="165">
        <f>SUM(BW114:BY114)</f>
        <v>34647198.291672051</v>
      </c>
      <c r="EK114" s="165">
        <f>SUM(CL114:CN114)</f>
        <v>18214821.66634576</v>
      </c>
      <c r="EL114" s="165">
        <f>SUM(CC114:CE114)</f>
        <v>36333460.181765862</v>
      </c>
      <c r="EM114" s="165">
        <f>SUM(CF114:CH114)</f>
        <v>43608888.889838412</v>
      </c>
      <c r="EN114" s="165">
        <f>SUM(CI114:CK114)</f>
        <v>35991682.2253059</v>
      </c>
      <c r="EO114" s="165">
        <f>SUM(CL114:CN114)</f>
        <v>18214821.66634576</v>
      </c>
      <c r="EP114" s="165">
        <f>SUM(CO114:CQ114)</f>
        <v>68225520.032430649</v>
      </c>
      <c r="EQ114" s="165">
        <f>SUM(CR114:CT114)</f>
        <v>77443202.216997564</v>
      </c>
      <c r="ER114" s="165">
        <f>SUM(CU114:CW114)</f>
        <v>54312099.37763153</v>
      </c>
      <c r="ES114" s="165">
        <f>SUM(CX114:CZ114)</f>
        <v>46426280.220059097</v>
      </c>
      <c r="ET114" s="165">
        <f>SUM(DA114:DC114)</f>
        <v>86844842.409374982</v>
      </c>
      <c r="EU114" s="165">
        <f>SUM(DD114:DF114)</f>
        <v>125204379.65661204</v>
      </c>
      <c r="EV114" s="165">
        <f>SUM(DG114:DI114)</f>
        <v>90889131.742531687</v>
      </c>
      <c r="EW114" s="165">
        <f>SUM(DJ114:DL114)</f>
        <v>79594965.255994037</v>
      </c>
      <c r="EX114" s="165">
        <f>SUM(DM114:DO114)</f>
        <v>124995830.92250642</v>
      </c>
      <c r="EY114" s="165">
        <f>SUM(DP114:DR114)</f>
        <v>164918449.95494291</v>
      </c>
      <c r="EZ114" s="165">
        <f t="shared" si="304"/>
        <v>105848999.4505215</v>
      </c>
      <c r="FA114" s="165">
        <f t="shared" si="305"/>
        <v>92377410.735135794</v>
      </c>
      <c r="FB114" s="165">
        <f t="shared" si="306"/>
        <v>142544735.30999976</v>
      </c>
      <c r="FC114" s="165">
        <f t="shared" si="307"/>
        <v>186736171.72478956</v>
      </c>
      <c r="FE114" s="165">
        <f t="shared" si="308"/>
        <v>10086292.116111659</v>
      </c>
      <c r="FF114" s="165">
        <f t="shared" si="309"/>
        <v>132804369.02962209</v>
      </c>
      <c r="FG114" s="165">
        <f t="shared" si="310"/>
        <v>199875226.14107987</v>
      </c>
      <c r="FH114" s="165">
        <f t="shared" si="311"/>
        <v>312787601.66367763</v>
      </c>
      <c r="FI114" s="165">
        <f t="shared" si="312"/>
        <v>460398377.87597513</v>
      </c>
      <c r="FJ114" s="165">
        <f t="shared" si="313"/>
        <v>527507317.22044665</v>
      </c>
    </row>
    <row r="115" spans="2:166" x14ac:dyDescent="0.2">
      <c r="B115" s="22" t="s">
        <v>55</v>
      </c>
      <c r="C115" s="161">
        <f>C111/C36</f>
        <v>-7.2024833163973415E-3</v>
      </c>
      <c r="D115" s="161">
        <f t="shared" ref="D115:BO115" si="461">D111/D36</f>
        <v>-2.5943798895882008E-2</v>
      </c>
      <c r="E115" s="161">
        <f t="shared" si="461"/>
        <v>-8.2511055600061015E-2</v>
      </c>
      <c r="F115" s="161">
        <f t="shared" si="461"/>
        <v>-8.6933618073996993E-2</v>
      </c>
      <c r="G115" s="161">
        <f t="shared" si="461"/>
        <v>-0.12634482032196728</v>
      </c>
      <c r="H115" s="161">
        <f t="shared" si="461"/>
        <v>-0.14621666871498173</v>
      </c>
      <c r="I115" s="161">
        <f t="shared" si="461"/>
        <v>6.3931924745851939E-3</v>
      </c>
      <c r="J115" s="161">
        <f t="shared" si="461"/>
        <v>0.11468497439273549</v>
      </c>
      <c r="K115" s="161">
        <f t="shared" si="461"/>
        <v>3.0557155037519441E-2</v>
      </c>
      <c r="L115" s="161">
        <f t="shared" si="461"/>
        <v>3.4960250636771079E-2</v>
      </c>
      <c r="M115" s="161">
        <f t="shared" si="461"/>
        <v>3.7281511926734415E-2</v>
      </c>
      <c r="N115" s="161">
        <f t="shared" si="461"/>
        <v>0.13654897260772744</v>
      </c>
      <c r="O115" s="161">
        <f t="shared" si="461"/>
        <v>9.2855439274643403E-2</v>
      </c>
      <c r="P115" s="161">
        <f t="shared" si="461"/>
        <v>4.5763043594525175E-2</v>
      </c>
      <c r="Q115" s="161">
        <f t="shared" si="461"/>
        <v>-1.7789739766640576E-2</v>
      </c>
      <c r="R115" s="161">
        <f t="shared" si="461"/>
        <v>7.0185795356695932E-2</v>
      </c>
      <c r="S115" s="161">
        <f t="shared" si="461"/>
        <v>4.9871723694863111E-2</v>
      </c>
      <c r="T115" s="161">
        <f t="shared" si="461"/>
        <v>2.3720509675267131E-2</v>
      </c>
      <c r="U115" s="161">
        <f t="shared" si="461"/>
        <v>0.10039074251557897</v>
      </c>
      <c r="V115" s="161">
        <f t="shared" si="461"/>
        <v>-0.22057714578958354</v>
      </c>
      <c r="W115" s="161">
        <f t="shared" si="461"/>
        <v>-5.2776606930503858E-2</v>
      </c>
      <c r="X115" s="161">
        <f t="shared" si="461"/>
        <v>-5.9216133368401126E-2</v>
      </c>
      <c r="Y115" s="161">
        <f t="shared" si="461"/>
        <v>-0.24383981645445663</v>
      </c>
      <c r="Z115" s="161">
        <f t="shared" si="461"/>
        <v>-0.12446480376552763</v>
      </c>
      <c r="AA115" s="161">
        <f t="shared" si="461"/>
        <v>2.8723668697052789</v>
      </c>
      <c r="AB115" s="161">
        <f t="shared" si="461"/>
        <v>-3.9980912763868191E-2</v>
      </c>
      <c r="AC115" s="161">
        <f t="shared" si="461"/>
        <v>1.0081765175769918E-3</v>
      </c>
      <c r="AD115" s="161">
        <f t="shared" si="461"/>
        <v>-6.6738419798803961E-2</v>
      </c>
      <c r="AE115" s="161">
        <f t="shared" si="461"/>
        <v>-9.2018343699668464E-2</v>
      </c>
      <c r="AF115" s="161">
        <f t="shared" si="461"/>
        <v>-0.10269038132590431</v>
      </c>
      <c r="AG115" s="161">
        <f t="shared" si="461"/>
        <v>-7.8016579339241526E-2</v>
      </c>
      <c r="AH115" s="161">
        <f t="shared" si="461"/>
        <v>-3.8224819104058505E-2</v>
      </c>
      <c r="AI115" s="161">
        <f t="shared" si="461"/>
        <v>5.4868096006597894E-2</v>
      </c>
      <c r="AJ115" s="161">
        <f t="shared" si="461"/>
        <v>1.9928175917933326E-2</v>
      </c>
      <c r="AK115" s="161">
        <f t="shared" si="461"/>
        <v>1.8637689399818521E-2</v>
      </c>
      <c r="AL115" s="161">
        <f t="shared" si="461"/>
        <v>1.4987978820295633E-2</v>
      </c>
      <c r="AM115" s="161">
        <f t="shared" si="461"/>
        <v>-7.7144250926847624E-2</v>
      </c>
      <c r="AN115" s="161">
        <f t="shared" si="461"/>
        <v>-0.3675863747293564</v>
      </c>
      <c r="AO115" s="161">
        <f t="shared" si="461"/>
        <v>-8.8451235537542819E-2</v>
      </c>
      <c r="AP115" s="161">
        <f t="shared" si="461"/>
        <v>-7.1395146197283488E-2</v>
      </c>
      <c r="AQ115" s="161">
        <f t="shared" si="461"/>
        <v>-7.1620019538298163E-2</v>
      </c>
      <c r="AR115" s="161">
        <f t="shared" si="461"/>
        <v>-6.3941531986836636E-2</v>
      </c>
      <c r="AS115" s="161">
        <f t="shared" si="461"/>
        <v>-4.9478179580485691E-2</v>
      </c>
      <c r="AT115" s="161">
        <f t="shared" si="461"/>
        <v>3.0892525655309058E-2</v>
      </c>
      <c r="AU115" s="161">
        <f t="shared" si="461"/>
        <v>1.9093635153632854E-2</v>
      </c>
      <c r="AV115" s="161">
        <f t="shared" si="461"/>
        <v>2.2869931068653575E-2</v>
      </c>
      <c r="AW115" s="161">
        <f t="shared" si="461"/>
        <v>1.3708313286353128E-2</v>
      </c>
      <c r="AX115" s="161">
        <f t="shared" si="461"/>
        <v>-2.4300580926176384E-2</v>
      </c>
      <c r="AY115" s="161">
        <f t="shared" si="461"/>
        <v>-6.657722282496005E-2</v>
      </c>
      <c r="AZ115" s="161">
        <f t="shared" si="461"/>
        <v>-4.342971768539277E-2</v>
      </c>
      <c r="BA115" s="161">
        <f t="shared" si="461"/>
        <v>-1.8185737551446486E-2</v>
      </c>
      <c r="BB115" s="161">
        <f t="shared" si="461"/>
        <v>-3.9862674511846982E-2</v>
      </c>
      <c r="BC115" s="161">
        <f t="shared" si="461"/>
        <v>-7.0119778426509669E-2</v>
      </c>
      <c r="BD115" s="161">
        <f t="shared" si="461"/>
        <v>-0.1145824200421988</v>
      </c>
      <c r="BE115" s="161">
        <f t="shared" si="461"/>
        <v>-5.7997980459912488E-2</v>
      </c>
      <c r="BF115" s="161">
        <f t="shared" si="461"/>
        <v>-6.740554248456046E-2</v>
      </c>
      <c r="BG115" s="161">
        <f t="shared" si="461"/>
        <v>-3.9269888136513616E-2</v>
      </c>
      <c r="BH115" s="161">
        <f t="shared" si="461"/>
        <v>-1.4613555668067969E-2</v>
      </c>
      <c r="BI115" s="161">
        <f t="shared" si="461"/>
        <v>-6.8677821080693723E-3</v>
      </c>
      <c r="BJ115" s="161">
        <f t="shared" si="461"/>
        <v>6.1703817466900951E-3</v>
      </c>
      <c r="BK115" s="161">
        <f t="shared" si="461"/>
        <v>-1.2178830776084284E-2</v>
      </c>
      <c r="BL115" s="161">
        <f t="shared" si="461"/>
        <v>5.8106507787478922E-3</v>
      </c>
      <c r="BM115" s="161">
        <f t="shared" si="461"/>
        <v>1.8217747511110299E-2</v>
      </c>
      <c r="BN115" s="161">
        <f t="shared" si="461"/>
        <v>-1.1624342335212234E-3</v>
      </c>
      <c r="BO115" s="161">
        <f t="shared" si="461"/>
        <v>8.1328223443232744E-3</v>
      </c>
      <c r="BP115" s="161">
        <f t="shared" ref="BP115:EM115" si="462">BP111/BP36</f>
        <v>-1.7950201762641949E-2</v>
      </c>
      <c r="BQ115" s="161">
        <f t="shared" si="462"/>
        <v>9.6366129333504812E-3</v>
      </c>
      <c r="BR115" s="161">
        <f t="shared" si="462"/>
        <v>1.8865201406543818E-2</v>
      </c>
      <c r="BS115" s="161">
        <f t="shared" si="462"/>
        <v>1.787668596936029E-2</v>
      </c>
      <c r="BT115" s="161">
        <f t="shared" si="462"/>
        <v>2.6522267535658152E-2</v>
      </c>
      <c r="BU115" s="161">
        <f t="shared" si="462"/>
        <v>4.0869675605686641E-2</v>
      </c>
      <c r="BV115" s="161">
        <f t="shared" si="462"/>
        <v>6.0944935074165721E-2</v>
      </c>
      <c r="BW115" s="161">
        <f t="shared" si="462"/>
        <v>4.9914407889332289E-2</v>
      </c>
      <c r="BX115" s="161">
        <f t="shared" si="462"/>
        <v>5.7495017152568266E-2</v>
      </c>
      <c r="BY115" s="161">
        <f t="shared" si="462"/>
        <v>6.7502620987256151E-2</v>
      </c>
      <c r="BZ115" s="161">
        <f t="shared" si="462"/>
        <v>5.9143050092099948E-2</v>
      </c>
      <c r="CA115" s="161">
        <f t="shared" si="462"/>
        <v>5.0906916420523349E-2</v>
      </c>
      <c r="CB115" s="161">
        <f t="shared" si="462"/>
        <v>3.7435367146695937E-2</v>
      </c>
      <c r="CC115" s="161">
        <f t="shared" si="462"/>
        <v>6.4269702084946229E-2</v>
      </c>
      <c r="CD115" s="161">
        <f t="shared" si="462"/>
        <v>6.2517298027224916E-2</v>
      </c>
      <c r="CE115" s="161">
        <f t="shared" si="462"/>
        <v>7.0843390896012076E-2</v>
      </c>
      <c r="CF115" s="161">
        <f t="shared" si="462"/>
        <v>6.7742446623299202E-2</v>
      </c>
      <c r="CG115" s="161">
        <f t="shared" si="462"/>
        <v>6.1518535283190068E-2</v>
      </c>
      <c r="CH115" s="161">
        <f t="shared" si="462"/>
        <v>6.9721588688920283E-2</v>
      </c>
      <c r="CI115" s="161">
        <f t="shared" si="462"/>
        <v>5.7602964830036775E-2</v>
      </c>
      <c r="CJ115" s="161">
        <f t="shared" si="462"/>
        <v>5.515133258167057E-2</v>
      </c>
      <c r="CK115" s="161">
        <f t="shared" si="462"/>
        <v>6.0530098021501187E-2</v>
      </c>
      <c r="CL115" s="161">
        <f t="shared" si="462"/>
        <v>5.6678052764894807E-2</v>
      </c>
      <c r="CM115" s="161">
        <f t="shared" si="462"/>
        <v>6.0650880831033156E-2</v>
      </c>
      <c r="CN115" s="161">
        <f t="shared" si="462"/>
        <v>4.2929014778429982E-2</v>
      </c>
      <c r="CO115" s="161">
        <f t="shared" si="462"/>
        <v>5.3700783811041791E-2</v>
      </c>
      <c r="CP115" s="161">
        <f t="shared" si="462"/>
        <v>5.8859003386658393E-2</v>
      </c>
      <c r="CQ115" s="161">
        <f t="shared" si="462"/>
        <v>5.8137487048938286E-2</v>
      </c>
      <c r="CR115" s="161">
        <f t="shared" si="462"/>
        <v>5.8400160368438009E-2</v>
      </c>
      <c r="CS115" s="161">
        <f t="shared" si="462"/>
        <v>4.6453962829400008E-2</v>
      </c>
      <c r="CT115" s="161">
        <f t="shared" si="462"/>
        <v>4.1784287503710646E-2</v>
      </c>
      <c r="CU115" s="161">
        <f t="shared" si="462"/>
        <v>5.3224214150731017E-2</v>
      </c>
      <c r="CV115" s="161">
        <f t="shared" si="462"/>
        <v>5.2058746059888923E-2</v>
      </c>
      <c r="CW115" s="161">
        <f t="shared" si="462"/>
        <v>5.1855365903550873E-2</v>
      </c>
      <c r="CX115" s="161">
        <f t="shared" si="462"/>
        <v>5.7182184828153584E-2</v>
      </c>
      <c r="CY115" s="161">
        <f t="shared" si="462"/>
        <v>4.8601488329931282E-2</v>
      </c>
      <c r="CZ115" s="161">
        <f t="shared" si="462"/>
        <v>4.5922485267151175E-2</v>
      </c>
      <c r="DA115" s="161">
        <f t="shared" si="462"/>
        <v>5.9233769339830794E-2</v>
      </c>
      <c r="DB115" s="161">
        <f t="shared" si="462"/>
        <v>5.4058787480406642E-2</v>
      </c>
      <c r="DC115" s="161">
        <f t="shared" si="462"/>
        <v>6.7895571466449284E-2</v>
      </c>
      <c r="DD115" s="161">
        <f t="shared" si="462"/>
        <v>7.0287220613704404E-2</v>
      </c>
      <c r="DE115" s="161">
        <f t="shared" si="462"/>
        <v>6.3848604507975693E-2</v>
      </c>
      <c r="DF115" s="161">
        <f t="shared" si="462"/>
        <v>7.3250559915063865E-2</v>
      </c>
      <c r="DG115" s="161">
        <f t="shared" si="462"/>
        <v>5.9463067596871956E-2</v>
      </c>
      <c r="DH115" s="161">
        <f t="shared" si="462"/>
        <v>5.8482417533168303E-2</v>
      </c>
      <c r="DI115" s="161">
        <f t="shared" si="462"/>
        <v>5.7998045053137028E-2</v>
      </c>
      <c r="DJ115" s="161">
        <f t="shared" si="462"/>
        <v>6.2951951199436917E-2</v>
      </c>
      <c r="DK115" s="161">
        <f t="shared" si="462"/>
        <v>5.4883950957449405E-2</v>
      </c>
      <c r="DL115" s="161">
        <f t="shared" si="462"/>
        <v>5.1990865882159495E-2</v>
      </c>
      <c r="DM115" s="161">
        <f t="shared" si="462"/>
        <v>6.4462820184171585E-2</v>
      </c>
      <c r="DN115" s="161">
        <f t="shared" si="462"/>
        <v>5.9281022053637195E-2</v>
      </c>
      <c r="DO115" s="161">
        <f t="shared" si="462"/>
        <v>7.1825668606835508E-2</v>
      </c>
      <c r="DP115" s="161">
        <f t="shared" si="462"/>
        <v>7.3775619799276798E-2</v>
      </c>
      <c r="DQ115" s="161">
        <f t="shared" si="462"/>
        <v>6.7669176040974721E-2</v>
      </c>
      <c r="DR115" s="161">
        <f t="shared" si="462"/>
        <v>7.5964163008530441E-2</v>
      </c>
      <c r="DS115" s="161">
        <f t="shared" ref="DS115:ED115" si="463">DS111/DS36</f>
        <v>6.0556265636436797E-2</v>
      </c>
      <c r="DT115" s="161">
        <f t="shared" si="463"/>
        <v>5.9581829060346855E-2</v>
      </c>
      <c r="DU115" s="161">
        <f t="shared" si="463"/>
        <v>5.9090252706556497E-2</v>
      </c>
      <c r="DV115" s="161">
        <f t="shared" si="463"/>
        <v>6.3763199129958426E-2</v>
      </c>
      <c r="DW115" s="161">
        <f t="shared" si="463"/>
        <v>5.6036334912725146E-2</v>
      </c>
      <c r="DX115" s="161">
        <f t="shared" si="463"/>
        <v>5.3288166118069503E-2</v>
      </c>
      <c r="DY115" s="161">
        <f t="shared" si="463"/>
        <v>6.5079304143143529E-2</v>
      </c>
      <c r="DZ115" s="161">
        <f t="shared" si="463"/>
        <v>6.0133711400849416E-2</v>
      </c>
      <c r="EA115" s="161">
        <f t="shared" si="463"/>
        <v>7.2115358301275273E-2</v>
      </c>
      <c r="EB115" s="161">
        <f t="shared" si="463"/>
        <v>7.3981987354476086E-2</v>
      </c>
      <c r="EC115" s="161">
        <f t="shared" si="463"/>
        <v>6.8099708303060433E-2</v>
      </c>
      <c r="ED115" s="161">
        <f t="shared" si="463"/>
        <v>7.5995979168952177E-2</v>
      </c>
      <c r="EE115" s="168"/>
      <c r="EF115" s="161">
        <f t="shared" si="462"/>
        <v>4.169853859520894E-3</v>
      </c>
      <c r="EG115" s="161">
        <f t="shared" si="462"/>
        <v>-3.7563188698393492E-3</v>
      </c>
      <c r="EH115" s="161">
        <f t="shared" si="462"/>
        <v>1.5007028761188932E-2</v>
      </c>
      <c r="EI115" s="161">
        <f t="shared" si="462"/>
        <v>4.3318099125274567E-2</v>
      </c>
      <c r="EJ115" s="161">
        <f t="shared" si="462"/>
        <v>5.856616516974663E-2</v>
      </c>
      <c r="EK115" s="161">
        <f t="shared" si="462"/>
        <v>5.3308749387074389E-2</v>
      </c>
      <c r="EL115" s="161">
        <f t="shared" si="462"/>
        <v>6.6135740595748796E-2</v>
      </c>
      <c r="EM115" s="161">
        <f t="shared" si="462"/>
        <v>6.6639553581747821E-2</v>
      </c>
      <c r="EN115" s="161">
        <f t="shared" ref="EN115:FJ115" si="464">EN111/EN36</f>
        <v>5.7772744393304792E-2</v>
      </c>
      <c r="EO115" s="161">
        <f t="shared" si="464"/>
        <v>5.3308749387074389E-2</v>
      </c>
      <c r="EP115" s="161">
        <f t="shared" si="464"/>
        <v>5.6910586627242514E-2</v>
      </c>
      <c r="EQ115" s="161">
        <f t="shared" si="464"/>
        <v>4.88015522248572E-2</v>
      </c>
      <c r="ER115" s="161">
        <f t="shared" si="464"/>
        <v>5.2382762900185127E-2</v>
      </c>
      <c r="ES115" s="161">
        <f t="shared" si="464"/>
        <v>5.0808006180647389E-2</v>
      </c>
      <c r="ET115" s="161">
        <f t="shared" si="464"/>
        <v>6.0868704325537974E-2</v>
      </c>
      <c r="EU115" s="161">
        <f t="shared" si="464"/>
        <v>6.9345295576790436E-2</v>
      </c>
      <c r="EV115" s="161">
        <f t="shared" si="464"/>
        <v>5.8651477618493861E-2</v>
      </c>
      <c r="EW115" s="161">
        <f t="shared" si="464"/>
        <v>5.6845738428144846E-2</v>
      </c>
      <c r="EX115" s="161">
        <f t="shared" si="464"/>
        <v>6.5605739882790629E-2</v>
      </c>
      <c r="EY115" s="161">
        <f t="shared" si="464"/>
        <v>7.2657458008856021E-2</v>
      </c>
      <c r="EZ115" s="161">
        <f t="shared" si="464"/>
        <v>5.9746555005788703E-2</v>
      </c>
      <c r="FA115" s="161">
        <f t="shared" si="464"/>
        <v>5.7920733584690201E-2</v>
      </c>
      <c r="FB115" s="161">
        <f t="shared" si="464"/>
        <v>6.6173671289078473E-2</v>
      </c>
      <c r="FC115" s="161">
        <f t="shared" si="464"/>
        <v>7.2871513006962665E-2</v>
      </c>
      <c r="FE115" s="161">
        <f t="shared" si="464"/>
        <v>1.463334750776801E-2</v>
      </c>
      <c r="FF115" s="161">
        <f t="shared" si="464"/>
        <v>6.097826443973757E-2</v>
      </c>
      <c r="FG115" s="161">
        <f t="shared" si="464"/>
        <v>5.3813341256948331E-2</v>
      </c>
      <c r="FH115" s="161">
        <f t="shared" si="464"/>
        <v>5.9103067810177198E-2</v>
      </c>
      <c r="FI115" s="161">
        <f t="shared" si="464"/>
        <v>6.4026656486429481E-2</v>
      </c>
      <c r="FJ115" s="161">
        <f t="shared" si="464"/>
        <v>6.4724214374617617E-2</v>
      </c>
    </row>
    <row r="116" spans="2:166" x14ac:dyDescent="0.2">
      <c r="B116" s="2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68"/>
      <c r="EF116" s="165"/>
      <c r="EG116" s="165"/>
      <c r="EH116" s="165"/>
      <c r="EI116" s="165"/>
      <c r="EJ116" s="165"/>
      <c r="EK116" s="165"/>
      <c r="EL116" s="165"/>
      <c r="EM116" s="165"/>
      <c r="EN116" s="165"/>
      <c r="EO116" s="165"/>
      <c r="EP116" s="165"/>
      <c r="EQ116" s="165"/>
      <c r="ER116" s="165"/>
      <c r="ES116" s="165"/>
      <c r="ET116" s="165"/>
      <c r="EU116" s="165"/>
      <c r="EV116" s="165"/>
      <c r="EW116" s="165"/>
      <c r="EX116" s="165"/>
      <c r="EY116" s="165"/>
      <c r="EZ116" s="165">
        <f t="shared" si="304"/>
        <v>0</v>
      </c>
      <c r="FA116" s="165">
        <f t="shared" si="305"/>
        <v>0</v>
      </c>
      <c r="FB116" s="165">
        <f t="shared" si="306"/>
        <v>0</v>
      </c>
      <c r="FC116" s="165">
        <f t="shared" si="307"/>
        <v>0</v>
      </c>
      <c r="FE116" s="165"/>
      <c r="FF116" s="165"/>
      <c r="FG116" s="165"/>
      <c r="FH116" s="165"/>
      <c r="FI116" s="165"/>
      <c r="FJ116" s="165"/>
    </row>
    <row r="117" spans="2:166" s="30" customFormat="1" x14ac:dyDescent="0.2">
      <c r="B117" s="184" t="s">
        <v>56</v>
      </c>
      <c r="C117" s="182">
        <f>SUM(C118:C120)</f>
        <v>16000</v>
      </c>
      <c r="D117" s="182">
        <f t="shared" ref="D117:BO117" si="465">SUM(D118:D120)</f>
        <v>27850</v>
      </c>
      <c r="E117" s="182">
        <f t="shared" si="465"/>
        <v>32350</v>
      </c>
      <c r="F117" s="182">
        <f t="shared" si="465"/>
        <v>81736</v>
      </c>
      <c r="G117" s="182">
        <f t="shared" si="465"/>
        <v>79559</v>
      </c>
      <c r="H117" s="182">
        <f t="shared" si="465"/>
        <v>43179</v>
      </c>
      <c r="I117" s="182">
        <f t="shared" si="465"/>
        <v>53950</v>
      </c>
      <c r="J117" s="182">
        <f t="shared" si="465"/>
        <v>34759</v>
      </c>
      <c r="K117" s="182">
        <f t="shared" si="465"/>
        <v>147846</v>
      </c>
      <c r="L117" s="182">
        <f t="shared" si="465"/>
        <v>157467</v>
      </c>
      <c r="M117" s="182">
        <f t="shared" si="465"/>
        <v>142780</v>
      </c>
      <c r="N117" s="182">
        <f t="shared" si="465"/>
        <v>131260</v>
      </c>
      <c r="O117" s="182">
        <f t="shared" si="465"/>
        <v>327024</v>
      </c>
      <c r="P117" s="182">
        <f t="shared" si="465"/>
        <v>427709</v>
      </c>
      <c r="Q117" s="182">
        <f t="shared" si="465"/>
        <v>724040</v>
      </c>
      <c r="R117" s="182">
        <f t="shared" si="465"/>
        <v>636695</v>
      </c>
      <c r="S117" s="182">
        <f t="shared" si="465"/>
        <v>167829</v>
      </c>
      <c r="T117" s="182">
        <f t="shared" si="465"/>
        <v>132782</v>
      </c>
      <c r="U117" s="182">
        <f t="shared" si="465"/>
        <v>142074</v>
      </c>
      <c r="V117" s="182">
        <f t="shared" si="465"/>
        <v>44815</v>
      </c>
      <c r="W117" s="182">
        <f t="shared" si="465"/>
        <v>67514</v>
      </c>
      <c r="X117" s="182">
        <f t="shared" si="465"/>
        <v>70999</v>
      </c>
      <c r="Y117" s="182">
        <f t="shared" si="465"/>
        <v>93327</v>
      </c>
      <c r="Z117" s="182">
        <f t="shared" si="465"/>
        <v>76730</v>
      </c>
      <c r="AA117" s="182">
        <f t="shared" si="465"/>
        <v>12330.382593950897</v>
      </c>
      <c r="AB117" s="182">
        <f t="shared" si="465"/>
        <v>14790</v>
      </c>
      <c r="AC117" s="182">
        <f t="shared" si="465"/>
        <v>27177</v>
      </c>
      <c r="AD117" s="182">
        <f t="shared" si="465"/>
        <v>76423.608374941832</v>
      </c>
      <c r="AE117" s="182">
        <f t="shared" si="465"/>
        <v>140979</v>
      </c>
      <c r="AF117" s="182">
        <f t="shared" si="465"/>
        <v>188911</v>
      </c>
      <c r="AG117" s="182">
        <f t="shared" si="465"/>
        <v>230617</v>
      </c>
      <c r="AH117" s="182">
        <f t="shared" si="465"/>
        <v>147254</v>
      </c>
      <c r="AI117" s="182">
        <f t="shared" si="465"/>
        <v>241105.00000000003</v>
      </c>
      <c r="AJ117" s="182">
        <f t="shared" si="465"/>
        <v>270533</v>
      </c>
      <c r="AK117" s="182">
        <f t="shared" si="465"/>
        <v>178049.99999999997</v>
      </c>
      <c r="AL117" s="182">
        <f t="shared" si="465"/>
        <v>325396</v>
      </c>
      <c r="AM117" s="182">
        <f t="shared" si="465"/>
        <v>115942</v>
      </c>
      <c r="AN117" s="182">
        <f t="shared" si="465"/>
        <v>6229.871227364185</v>
      </c>
      <c r="AO117" s="182">
        <f t="shared" si="465"/>
        <v>75853</v>
      </c>
      <c r="AP117" s="182">
        <f t="shared" si="465"/>
        <v>191391.1478637527</v>
      </c>
      <c r="AQ117" s="182">
        <f t="shared" si="465"/>
        <v>510923.56962025317</v>
      </c>
      <c r="AR117" s="182">
        <f t="shared" si="465"/>
        <v>907526.05795572652</v>
      </c>
      <c r="AS117" s="182">
        <f t="shared" si="465"/>
        <v>1749330.0000000002</v>
      </c>
      <c r="AT117" s="182">
        <f t="shared" si="465"/>
        <v>1641200.9999999998</v>
      </c>
      <c r="AU117" s="182">
        <f t="shared" si="465"/>
        <v>1136771</v>
      </c>
      <c r="AV117" s="182">
        <f t="shared" si="465"/>
        <v>1702567</v>
      </c>
      <c r="AW117" s="182">
        <f t="shared" si="465"/>
        <v>1954792</v>
      </c>
      <c r="AX117" s="182">
        <f t="shared" si="465"/>
        <v>4863668.4473196501</v>
      </c>
      <c r="AY117" s="182">
        <f t="shared" si="465"/>
        <v>2372791</v>
      </c>
      <c r="AZ117" s="182">
        <f t="shared" si="465"/>
        <v>1984674.822238785</v>
      </c>
      <c r="BA117" s="182">
        <f t="shared" si="465"/>
        <v>2638493.68836697</v>
      </c>
      <c r="BB117" s="182">
        <f t="shared" si="465"/>
        <v>4478959.1823834386</v>
      </c>
      <c r="BC117" s="182">
        <f t="shared" si="465"/>
        <v>5973800.6864491208</v>
      </c>
      <c r="BD117" s="182">
        <f t="shared" si="465"/>
        <v>4413713.7084252443</v>
      </c>
      <c r="BE117" s="182">
        <f t="shared" si="465"/>
        <v>4078539.6943049291</v>
      </c>
      <c r="BF117" s="182">
        <f t="shared" si="465"/>
        <v>1539478.5283743916</v>
      </c>
      <c r="BG117" s="182">
        <f t="shared" si="465"/>
        <v>759602.93847623933</v>
      </c>
      <c r="BH117" s="182">
        <f t="shared" si="465"/>
        <v>1787728.2288776296</v>
      </c>
      <c r="BI117" s="182">
        <f t="shared" si="465"/>
        <v>2479501.074067005</v>
      </c>
      <c r="BJ117" s="182">
        <f t="shared" si="465"/>
        <v>3899022.1274900245</v>
      </c>
      <c r="BK117" s="182">
        <f t="shared" si="465"/>
        <v>3858697</v>
      </c>
      <c r="BL117" s="182">
        <f t="shared" si="465"/>
        <v>5295267</v>
      </c>
      <c r="BM117" s="182">
        <f t="shared" si="465"/>
        <v>5368932</v>
      </c>
      <c r="BN117" s="182">
        <f t="shared" si="465"/>
        <v>6488294</v>
      </c>
      <c r="BO117" s="182">
        <f t="shared" si="465"/>
        <v>6465330</v>
      </c>
      <c r="BP117" s="182">
        <f t="shared" ref="BP117:DR117" si="466">SUM(BP118:BP120)</f>
        <v>7027515</v>
      </c>
      <c r="BQ117" s="182">
        <f t="shared" si="466"/>
        <v>12745910</v>
      </c>
      <c r="BR117" s="182">
        <f t="shared" si="466"/>
        <v>10055584</v>
      </c>
      <c r="BS117" s="182">
        <f t="shared" si="466"/>
        <v>7933364</v>
      </c>
      <c r="BT117" s="182">
        <f t="shared" si="466"/>
        <v>7501110</v>
      </c>
      <c r="BU117" s="182">
        <f t="shared" si="466"/>
        <v>6698996</v>
      </c>
      <c r="BV117" s="182">
        <f t="shared" si="466"/>
        <v>9967858</v>
      </c>
      <c r="BW117" s="182">
        <f t="shared" si="466"/>
        <v>8592017</v>
      </c>
      <c r="BX117" s="182">
        <f t="shared" si="466"/>
        <v>9992560</v>
      </c>
      <c r="BY117" s="182">
        <f t="shared" si="466"/>
        <v>8031862</v>
      </c>
      <c r="BZ117" s="182">
        <f t="shared" si="466"/>
        <v>8834028</v>
      </c>
      <c r="CA117" s="182">
        <f t="shared" si="466"/>
        <v>6298726</v>
      </c>
      <c r="CB117" s="182">
        <f t="shared" si="466"/>
        <v>3441300</v>
      </c>
      <c r="CC117" s="182">
        <f t="shared" si="466"/>
        <v>4868965</v>
      </c>
      <c r="CD117" s="182">
        <f t="shared" si="466"/>
        <v>7250147</v>
      </c>
      <c r="CE117" s="182">
        <f t="shared" si="466"/>
        <v>10505819</v>
      </c>
      <c r="CF117" s="182">
        <f t="shared" si="466"/>
        <v>10668875.289999999</v>
      </c>
      <c r="CG117" s="182">
        <f t="shared" si="466"/>
        <v>10066236</v>
      </c>
      <c r="CH117" s="182">
        <f t="shared" si="466"/>
        <v>8953663</v>
      </c>
      <c r="CI117" s="182">
        <f t="shared" si="466"/>
        <v>8771757</v>
      </c>
      <c r="CJ117" s="182">
        <f t="shared" si="466"/>
        <v>8342037</v>
      </c>
      <c r="CK117" s="182">
        <f t="shared" si="466"/>
        <v>9171252</v>
      </c>
      <c r="CL117" s="182">
        <f t="shared" si="466"/>
        <v>9682011</v>
      </c>
      <c r="CM117" s="182">
        <f t="shared" si="466"/>
        <v>9122112</v>
      </c>
      <c r="CN117" s="182">
        <f t="shared" si="466"/>
        <v>6143302</v>
      </c>
      <c r="CO117" s="182">
        <f t="shared" si="466"/>
        <v>5689502</v>
      </c>
      <c r="CP117" s="182">
        <f t="shared" si="466"/>
        <v>7284183</v>
      </c>
      <c r="CQ117" s="182">
        <f t="shared" si="466"/>
        <v>8342376.25</v>
      </c>
      <c r="CR117" s="182">
        <f t="shared" si="466"/>
        <v>8905449</v>
      </c>
      <c r="CS117" s="182">
        <f t="shared" si="466"/>
        <v>8065531</v>
      </c>
      <c r="CT117" s="182">
        <f t="shared" si="466"/>
        <v>9562209</v>
      </c>
      <c r="CU117" s="182">
        <f t="shared" si="466"/>
        <v>9317598.8569989335</v>
      </c>
      <c r="CV117" s="182">
        <f t="shared" si="466"/>
        <v>9292204.8713118732</v>
      </c>
      <c r="CW117" s="182">
        <f t="shared" si="466"/>
        <v>9289700.3785396367</v>
      </c>
      <c r="CX117" s="182">
        <f t="shared" si="466"/>
        <v>9389055.4172030296</v>
      </c>
      <c r="CY117" s="182">
        <f t="shared" si="466"/>
        <v>9250715.7645601872</v>
      </c>
      <c r="CZ117" s="182">
        <f t="shared" si="466"/>
        <v>9167881.5799783207</v>
      </c>
      <c r="DA117" s="182">
        <f t="shared" si="466"/>
        <v>9839294.9946736787</v>
      </c>
      <c r="DB117" s="182">
        <f t="shared" si="466"/>
        <v>9733024.1567698233</v>
      </c>
      <c r="DC117" s="182">
        <f t="shared" si="466"/>
        <v>9967735.2004024349</v>
      </c>
      <c r="DD117" s="182">
        <f t="shared" si="466"/>
        <v>10003903.927163925</v>
      </c>
      <c r="DE117" s="182">
        <f t="shared" si="466"/>
        <v>9898143.3486000728</v>
      </c>
      <c r="DF117" s="182">
        <f t="shared" si="466"/>
        <v>10127183.794597164</v>
      </c>
      <c r="DG117" s="182">
        <f t="shared" si="466"/>
        <v>9995577.450832298</v>
      </c>
      <c r="DH117" s="182">
        <f t="shared" si="466"/>
        <v>9968203.2472953927</v>
      </c>
      <c r="DI117" s="182">
        <f t="shared" si="466"/>
        <v>9957487.9431035854</v>
      </c>
      <c r="DJ117" s="182">
        <f t="shared" si="466"/>
        <v>10077845.254368715</v>
      </c>
      <c r="DK117" s="182">
        <f t="shared" si="466"/>
        <v>9906133.4260385428</v>
      </c>
      <c r="DL117" s="182">
        <f t="shared" si="466"/>
        <v>9802181.9968106169</v>
      </c>
      <c r="DM117" s="182">
        <f t="shared" si="466"/>
        <v>10545892.556080157</v>
      </c>
      <c r="DN117" s="182">
        <f t="shared" si="466"/>
        <v>10409374.291806256</v>
      </c>
      <c r="DO117" s="182">
        <f t="shared" si="466"/>
        <v>10685989.480818449</v>
      </c>
      <c r="DP117" s="182">
        <f t="shared" si="466"/>
        <v>10721899.724531401</v>
      </c>
      <c r="DQ117" s="182">
        <f t="shared" si="466"/>
        <v>10587214.016237929</v>
      </c>
      <c r="DR117" s="182">
        <f t="shared" si="466"/>
        <v>10838462.352760144</v>
      </c>
      <c r="DS117" s="182">
        <f t="shared" ref="DS117:ED117" si="467">SUM(DS118:DS120)</f>
        <v>10629516.90731968</v>
      </c>
      <c r="DT117" s="182">
        <f t="shared" si="467"/>
        <v>10596648.437949147</v>
      </c>
      <c r="DU117" s="182">
        <f t="shared" si="467"/>
        <v>10583386.682216208</v>
      </c>
      <c r="DV117" s="182">
        <f t="shared" si="467"/>
        <v>10719703.926913232</v>
      </c>
      <c r="DW117" s="182">
        <f t="shared" si="467"/>
        <v>10522349.932312844</v>
      </c>
      <c r="DX117" s="182">
        <f t="shared" si="467"/>
        <v>10402108.750899971</v>
      </c>
      <c r="DY117" s="182">
        <f t="shared" si="467"/>
        <v>11210779.713928463</v>
      </c>
      <c r="DZ117" s="182">
        <f t="shared" si="467"/>
        <v>11054406.801991034</v>
      </c>
      <c r="EA117" s="182">
        <f t="shared" si="467"/>
        <v>11368582.536324795</v>
      </c>
      <c r="EB117" s="182">
        <f t="shared" si="467"/>
        <v>11408864.915019507</v>
      </c>
      <c r="EC117" s="182">
        <f t="shared" si="467"/>
        <v>11254661.618192421</v>
      </c>
      <c r="ED117" s="182">
        <f t="shared" si="467"/>
        <v>11539641.038667969</v>
      </c>
      <c r="EE117" s="333"/>
      <c r="EF117" s="224">
        <f>SUM(BK117:BM117)</f>
        <v>14522896</v>
      </c>
      <c r="EG117" s="224">
        <f>SUM(BN117:BP117)</f>
        <v>19981139</v>
      </c>
      <c r="EH117" s="224">
        <f>SUM(BQ117:BS117)</f>
        <v>30734858</v>
      </c>
      <c r="EI117" s="224">
        <f>SUM(BT117:BV117)</f>
        <v>24167964</v>
      </c>
      <c r="EJ117" s="224">
        <f>SUM(BW117:BY117)</f>
        <v>26616439</v>
      </c>
      <c r="EK117" s="224">
        <f>SUM(CL117:CN117)</f>
        <v>24947425</v>
      </c>
      <c r="EL117" s="224">
        <f>SUM(CC117:CE117)</f>
        <v>22624931</v>
      </c>
      <c r="EM117" s="224">
        <f>SUM(CF117:CH117)</f>
        <v>29688774.289999999</v>
      </c>
      <c r="EN117" s="224">
        <f>SUM(CI117:CK117)</f>
        <v>26285046</v>
      </c>
      <c r="EO117" s="224">
        <f>SUM(CL117:CN117)</f>
        <v>24947425</v>
      </c>
      <c r="EP117" s="224">
        <f>SUM(CO117:CQ117)</f>
        <v>21316061.25</v>
      </c>
      <c r="EQ117" s="224">
        <f>SUM(CR117:CT117)</f>
        <v>26533189</v>
      </c>
      <c r="ER117" s="224">
        <f>SUM(CU117:CW117)</f>
        <v>27899504.106850445</v>
      </c>
      <c r="ES117" s="224">
        <f>SUM(CX117:CZ117)</f>
        <v>27807652.761741538</v>
      </c>
      <c r="ET117" s="224">
        <f>SUM(DA117:DC117)</f>
        <v>29540054.351845939</v>
      </c>
      <c r="EU117" s="224">
        <f>SUM(DD117:DF117)</f>
        <v>30029231.07036116</v>
      </c>
      <c r="EV117" s="224">
        <f>SUM(DG117:DI117)</f>
        <v>29921268.641231276</v>
      </c>
      <c r="EW117" s="224">
        <f>SUM(DJ117:DL117)</f>
        <v>29786160.677217871</v>
      </c>
      <c r="EX117" s="224">
        <f>SUM(DM117:DO117)</f>
        <v>31641256.328704864</v>
      </c>
      <c r="EY117" s="224">
        <f>SUM(DP117:DR117)</f>
        <v>32147576.093529474</v>
      </c>
      <c r="EZ117" s="224">
        <f t="shared" si="304"/>
        <v>31809552.027485035</v>
      </c>
      <c r="FA117" s="224">
        <f t="shared" si="305"/>
        <v>31644162.610126048</v>
      </c>
      <c r="FB117" s="224">
        <f t="shared" si="306"/>
        <v>33633769.052244291</v>
      </c>
      <c r="FC117" s="224">
        <f t="shared" si="307"/>
        <v>34203167.571879894</v>
      </c>
      <c r="FE117" s="224">
        <f t="shared" si="308"/>
        <v>89406857</v>
      </c>
      <c r="FF117" s="224">
        <f t="shared" si="309"/>
        <v>103877569.28999999</v>
      </c>
      <c r="FG117" s="224">
        <f t="shared" si="310"/>
        <v>99081721.25</v>
      </c>
      <c r="FH117" s="224">
        <f t="shared" si="311"/>
        <v>115276442.29079908</v>
      </c>
      <c r="FI117" s="224">
        <f t="shared" si="312"/>
        <v>123496261.74068348</v>
      </c>
      <c r="FJ117" s="224">
        <f t="shared" si="313"/>
        <v>131290651.26173526</v>
      </c>
    </row>
    <row r="118" spans="2:166" x14ac:dyDescent="0.2">
      <c r="B118" s="155" t="s">
        <v>227</v>
      </c>
      <c r="C118" s="19">
        <f>'P&amp;L - Inputs'!B737</f>
        <v>16000</v>
      </c>
      <c r="D118" s="19">
        <f>'P&amp;L - Inputs'!C737</f>
        <v>27850</v>
      </c>
      <c r="E118" s="19">
        <f>'P&amp;L - Inputs'!D737</f>
        <v>32350</v>
      </c>
      <c r="F118" s="19">
        <f>'P&amp;L - Inputs'!E737</f>
        <v>81736</v>
      </c>
      <c r="G118" s="19">
        <f>'P&amp;L - Inputs'!F737</f>
        <v>79559</v>
      </c>
      <c r="H118" s="19">
        <f>'P&amp;L - Inputs'!G737</f>
        <v>43179</v>
      </c>
      <c r="I118" s="19">
        <f>'P&amp;L - Inputs'!H737</f>
        <v>53950</v>
      </c>
      <c r="J118" s="19">
        <f>'P&amp;L - Inputs'!I737</f>
        <v>34759</v>
      </c>
      <c r="K118" s="19">
        <f>'P&amp;L - Inputs'!J737</f>
        <v>147846</v>
      </c>
      <c r="L118" s="19">
        <f>'P&amp;L - Inputs'!K737</f>
        <v>152293.54620123203</v>
      </c>
      <c r="M118" s="19">
        <f>'P&amp;L - Inputs'!L737</f>
        <v>125526.58461538462</v>
      </c>
      <c r="N118" s="19">
        <f>'P&amp;L - Inputs'!M737</f>
        <v>78075.993346007599</v>
      </c>
      <c r="O118" s="19">
        <f>'P&amp;L - Inputs'!N737</f>
        <v>199937.32829046898</v>
      </c>
      <c r="P118" s="19">
        <f>'P&amp;L - Inputs'!O737</f>
        <v>259055.64795481774</v>
      </c>
      <c r="Q118" s="19">
        <f>'P&amp;L - Inputs'!P737</f>
        <v>516996.41285956005</v>
      </c>
      <c r="R118" s="19">
        <f>'P&amp;L - Inputs'!Q737</f>
        <v>334090.22170449421</v>
      </c>
      <c r="S118" s="19">
        <f>'P&amp;L - Inputs'!R737</f>
        <v>73310.995917573877</v>
      </c>
      <c r="T118" s="19">
        <f>'P&amp;L - Inputs'!S737</f>
        <v>40558.106531610196</v>
      </c>
      <c r="U118" s="19">
        <f>'P&amp;L - Inputs'!T737</f>
        <v>41885.023584905663</v>
      </c>
      <c r="V118" s="19">
        <f>'P&amp;L - Inputs'!U737</f>
        <v>22976.079180678691</v>
      </c>
      <c r="W118" s="19">
        <f>'P&amp;L - Inputs'!V737</f>
        <v>38124.220891231431</v>
      </c>
      <c r="X118" s="19">
        <f>'P&amp;L - Inputs'!W737</f>
        <v>33104.77606330366</v>
      </c>
      <c r="Y118" s="19">
        <f>'P&amp;L - Inputs'!X737</f>
        <v>59646.190779014309</v>
      </c>
      <c r="Z118" s="19">
        <f>'P&amp;L - Inputs'!Y737</f>
        <v>34261.683350895677</v>
      </c>
      <c r="AA118" s="19">
        <f>'P&amp;L - Inputs'!Z737</f>
        <v>12330.382593950897</v>
      </c>
      <c r="AB118" s="19">
        <f>'P&amp;L - Inputs'!AA737</f>
        <v>5876.8211920529802</v>
      </c>
      <c r="AC118" s="19">
        <f>'P&amp;L - Inputs'!AB737</f>
        <v>14474.321382007822</v>
      </c>
      <c r="AD118" s="19">
        <f>'P&amp;L - Inputs'!AC737</f>
        <v>53822.864913329344</v>
      </c>
      <c r="AE118" s="19">
        <f>'P&amp;L - Inputs'!AD737</f>
        <v>91708.471728594508</v>
      </c>
      <c r="AF118" s="19">
        <f>'P&amp;L - Inputs'!AE737</f>
        <v>92461.748478701818</v>
      </c>
      <c r="AG118" s="19">
        <f>'P&amp;L - Inputs'!AF737</f>
        <v>121540.78380487805</v>
      </c>
      <c r="AH118" s="19">
        <f>'P&amp;L - Inputs'!AG737</f>
        <v>90787.706083976009</v>
      </c>
      <c r="AI118" s="19">
        <f>'P&amp;L - Inputs'!AH737</f>
        <v>136959.7417953668</v>
      </c>
      <c r="AJ118" s="19">
        <f>'P&amp;L - Inputs'!AI737</f>
        <v>183837.75470339364</v>
      </c>
      <c r="AK118" s="19">
        <f>'P&amp;L - Inputs'!AJ737</f>
        <v>107212.12059274399</v>
      </c>
      <c r="AL118" s="19">
        <f>'P&amp;L - Inputs'!AK737</f>
        <v>156822.90110927541</v>
      </c>
      <c r="AM118" s="19">
        <f>'P&amp;L - Inputs'!AL737</f>
        <v>55732.265973880072</v>
      </c>
      <c r="AN118" s="19">
        <f>'P&amp;L - Inputs'!AM737</f>
        <v>4223.5608651911471</v>
      </c>
      <c r="AO118" s="19">
        <f>'P&amp;L - Inputs'!AN737</f>
        <v>48505.200943054042</v>
      </c>
      <c r="AP118" s="19">
        <f>'P&amp;L - Inputs'!AO737</f>
        <v>113682.74620988383</v>
      </c>
      <c r="AQ118" s="19">
        <f>'P&amp;L - Inputs'!AP737</f>
        <v>269956.54571026721</v>
      </c>
      <c r="AR118" s="19">
        <f>'P&amp;L - Inputs'!AQ737</f>
        <v>620663.24428177474</v>
      </c>
      <c r="AS118" s="19">
        <f>'P&amp;L - Inputs'!AR737</f>
        <v>1192614.4967242407</v>
      </c>
      <c r="AT118" s="19">
        <f>'P&amp;L - Inputs'!AS737</f>
        <v>915359.98882492376</v>
      </c>
      <c r="AU118" s="19">
        <f>'P&amp;L - Inputs'!AT737</f>
        <v>589037.20510158688</v>
      </c>
      <c r="AV118" s="19">
        <f>'P&amp;L - Inputs'!AU737</f>
        <v>926063.99546191248</v>
      </c>
      <c r="AW118" s="19">
        <f>'P&amp;L - Inputs'!AV737</f>
        <v>1084696.8743383652</v>
      </c>
      <c r="AX118" s="19">
        <f>'P&amp;L - Inputs'!AW737</f>
        <v>4143762.2556999396</v>
      </c>
      <c r="AY118" s="19">
        <f>'P&amp;L - Inputs'!AX737</f>
        <v>1692934.4391877525</v>
      </c>
      <c r="AZ118" s="19">
        <f>'P&amp;L - Inputs'!AY737</f>
        <v>1156942.4747286532</v>
      </c>
      <c r="BA118" s="19">
        <f>'P&amp;L - Inputs'!AZ737</f>
        <v>1347390.1459978016</v>
      </c>
      <c r="BB118" s="19">
        <f>'P&amp;L - Inputs'!BA737</f>
        <v>1134143.5239475174</v>
      </c>
      <c r="BC118" s="19">
        <f>'P&amp;L - Inputs'!BB737</f>
        <v>1045196.6468091985</v>
      </c>
      <c r="BD118" s="19">
        <f>'P&amp;L - Inputs'!BC737</f>
        <v>1067259.4375196951</v>
      </c>
      <c r="BE118" s="19">
        <f>'P&amp;L - Inputs'!BD737</f>
        <v>216282.11939040554</v>
      </c>
      <c r="BF118" s="19">
        <f>'P&amp;L - Inputs'!BE737</f>
        <v>121202.70554910296</v>
      </c>
      <c r="BG118" s="19">
        <f>'P&amp;L - Inputs'!BF737</f>
        <v>171711.7042406518</v>
      </c>
      <c r="BH118" s="19">
        <f>'P&amp;L - Inputs'!BG737</f>
        <v>440837.72288333648</v>
      </c>
      <c r="BI118" s="19">
        <f>'P&amp;L - Inputs'!BH737</f>
        <v>529075.82358996186</v>
      </c>
      <c r="BJ118" s="19">
        <f>'P&amp;L - Inputs'!BI737</f>
        <v>277821.50774828438</v>
      </c>
      <c r="BK118" s="19">
        <f>'P&amp;L - Inputs'!BJ737</f>
        <v>0</v>
      </c>
      <c r="BL118" s="19">
        <f>'P&amp;L - Inputs'!BK737</f>
        <v>0</v>
      </c>
      <c r="BM118" s="19">
        <f>'P&amp;L - Inputs'!BL737</f>
        <v>0</v>
      </c>
      <c r="BN118" s="19">
        <f>'P&amp;L - Inputs'!BM737</f>
        <v>0</v>
      </c>
      <c r="BO118" s="19">
        <f>'P&amp;L - Inputs'!BN737</f>
        <v>0</v>
      </c>
      <c r="BP118" s="19">
        <f>'P&amp;L - Inputs'!BO737</f>
        <v>0</v>
      </c>
      <c r="BQ118" s="19">
        <f>'P&amp;L - Inputs'!BP737</f>
        <v>0</v>
      </c>
      <c r="BR118" s="19">
        <f>'P&amp;L - Inputs'!BQ737</f>
        <v>0</v>
      </c>
      <c r="BS118" s="19">
        <f>'P&amp;L - Inputs'!BR737</f>
        <v>0</v>
      </c>
      <c r="BT118" s="19">
        <f>'P&amp;L - Inputs'!BS737</f>
        <v>0</v>
      </c>
      <c r="BU118" s="19">
        <f>'P&amp;L - Inputs'!BT737</f>
        <v>0</v>
      </c>
      <c r="BV118" s="19">
        <f>'P&amp;L - Inputs'!BU737</f>
        <v>0</v>
      </c>
      <c r="BW118" s="19">
        <f>'P&amp;L - Inputs'!BV737</f>
        <v>0</v>
      </c>
      <c r="BX118" s="19">
        <f>'P&amp;L - Inputs'!BW737</f>
        <v>0</v>
      </c>
      <c r="BY118" s="19">
        <f>'P&amp;L - Inputs'!BX737</f>
        <v>0</v>
      </c>
      <c r="BZ118" s="19">
        <f>'P&amp;L - Inputs'!BY737</f>
        <v>0</v>
      </c>
      <c r="CA118" s="19">
        <f>'P&amp;L - Inputs'!BZ737</f>
        <v>0</v>
      </c>
      <c r="CB118" s="19">
        <f>'P&amp;L - Inputs'!CA737</f>
        <v>0</v>
      </c>
      <c r="CC118" s="19">
        <f>'P&amp;L - Inputs'!CB737</f>
        <v>0</v>
      </c>
      <c r="CD118" s="19">
        <f>'P&amp;L - Inputs'!CC737</f>
        <v>0</v>
      </c>
      <c r="CE118" s="19">
        <f>'P&amp;L - Inputs'!CD737</f>
        <v>0</v>
      </c>
      <c r="CF118" s="19">
        <f>'P&amp;L - Inputs'!CE737</f>
        <v>0</v>
      </c>
      <c r="CG118" s="19">
        <f>'P&amp;L - Inputs'!CF737</f>
        <v>0</v>
      </c>
      <c r="CH118" s="19">
        <f>'P&amp;L - Inputs'!CG737</f>
        <v>0</v>
      </c>
      <c r="CI118" s="19">
        <f>'P&amp;L - Inputs'!CH737</f>
        <v>0</v>
      </c>
      <c r="CJ118" s="19">
        <f>'P&amp;L - Inputs'!CI737</f>
        <v>0</v>
      </c>
      <c r="CK118" s="19">
        <f>'P&amp;L - Inputs'!CJ737</f>
        <v>0</v>
      </c>
      <c r="CL118" s="19">
        <f>'P&amp;L - Inputs'!CK737</f>
        <v>0</v>
      </c>
      <c r="CM118" s="19">
        <f>'P&amp;L - Inputs'!CL737</f>
        <v>0</v>
      </c>
      <c r="CN118" s="19">
        <f>'P&amp;L - Inputs'!CM737</f>
        <v>0</v>
      </c>
      <c r="CO118" s="19">
        <f>'P&amp;L - Inputs'!CN737</f>
        <v>0</v>
      </c>
      <c r="CP118" s="19">
        <f>'P&amp;L - Inputs'!CO737</f>
        <v>0</v>
      </c>
      <c r="CQ118" s="19">
        <f>'P&amp;L - Inputs'!CP737</f>
        <v>0</v>
      </c>
      <c r="CR118" s="19">
        <f>'P&amp;L - Inputs'!CQ737</f>
        <v>0</v>
      </c>
      <c r="CS118" s="19">
        <f>'P&amp;L - Inputs'!CR737</f>
        <v>0</v>
      </c>
      <c r="CT118" s="19">
        <f>'P&amp;L - Inputs'!CS737</f>
        <v>0</v>
      </c>
      <c r="CU118" s="19">
        <f>'P&amp;L - Inputs'!CT737</f>
        <v>0</v>
      </c>
      <c r="CV118" s="19">
        <f>'P&amp;L - Inputs'!CU737</f>
        <v>0</v>
      </c>
      <c r="CW118" s="19">
        <f>'P&amp;L - Inputs'!CV737</f>
        <v>0</v>
      </c>
      <c r="CX118" s="19">
        <f>'P&amp;L - Inputs'!CW737</f>
        <v>0</v>
      </c>
      <c r="CY118" s="19">
        <f>'P&amp;L - Inputs'!CX737</f>
        <v>0</v>
      </c>
      <c r="CZ118" s="19">
        <f>'P&amp;L - Inputs'!CY737</f>
        <v>0</v>
      </c>
      <c r="DA118" s="19">
        <f>'P&amp;L - Inputs'!CZ737</f>
        <v>0</v>
      </c>
      <c r="DB118" s="19">
        <f>'P&amp;L - Inputs'!DA737</f>
        <v>0</v>
      </c>
      <c r="DC118" s="19">
        <f>'P&amp;L - Inputs'!DB737</f>
        <v>0</v>
      </c>
      <c r="DD118" s="19">
        <f>'P&amp;L - Inputs'!DC737</f>
        <v>0</v>
      </c>
      <c r="DE118" s="19">
        <f>'P&amp;L - Inputs'!DD737</f>
        <v>0</v>
      </c>
      <c r="DF118" s="19">
        <f>'P&amp;L - Inputs'!DE737</f>
        <v>0</v>
      </c>
      <c r="DG118" s="19">
        <f>'P&amp;L - Inputs'!DF737</f>
        <v>0</v>
      </c>
      <c r="DH118" s="19">
        <f>'P&amp;L - Inputs'!DG737</f>
        <v>0</v>
      </c>
      <c r="DI118" s="19">
        <f>'P&amp;L - Inputs'!DH737</f>
        <v>0</v>
      </c>
      <c r="DJ118" s="19">
        <f>'P&amp;L - Inputs'!DI737</f>
        <v>0</v>
      </c>
      <c r="DK118" s="19">
        <f>'P&amp;L - Inputs'!DJ737</f>
        <v>0</v>
      </c>
      <c r="DL118" s="19">
        <f>'P&amp;L - Inputs'!DK737</f>
        <v>0</v>
      </c>
      <c r="DM118" s="19">
        <f>'P&amp;L - Inputs'!DL737</f>
        <v>0</v>
      </c>
      <c r="DN118" s="19">
        <f>'P&amp;L - Inputs'!DM737</f>
        <v>0</v>
      </c>
      <c r="DO118" s="19">
        <f>'P&amp;L - Inputs'!DN737</f>
        <v>0</v>
      </c>
      <c r="DP118" s="19">
        <f>'P&amp;L - Inputs'!DO737</f>
        <v>0</v>
      </c>
      <c r="DQ118" s="19">
        <f>'P&amp;L - Inputs'!DP737</f>
        <v>0</v>
      </c>
      <c r="DR118" s="19">
        <f>'P&amp;L - Inputs'!DQ737</f>
        <v>0</v>
      </c>
      <c r="DS118" s="19">
        <f>'P&amp;L - Inputs'!DR737</f>
        <v>0</v>
      </c>
      <c r="DT118" s="19">
        <f>'P&amp;L - Inputs'!DS737</f>
        <v>0</v>
      </c>
      <c r="DU118" s="19">
        <f>'P&amp;L - Inputs'!DT737</f>
        <v>0</v>
      </c>
      <c r="DV118" s="19">
        <f>'P&amp;L - Inputs'!DU737</f>
        <v>0</v>
      </c>
      <c r="DW118" s="19">
        <f>'P&amp;L - Inputs'!DV737</f>
        <v>0</v>
      </c>
      <c r="DX118" s="19">
        <f>'P&amp;L - Inputs'!DW737</f>
        <v>0</v>
      </c>
      <c r="DY118" s="19">
        <f>'P&amp;L - Inputs'!DX737</f>
        <v>0</v>
      </c>
      <c r="DZ118" s="19">
        <f>'P&amp;L - Inputs'!DY737</f>
        <v>0</v>
      </c>
      <c r="EA118" s="19">
        <f>'P&amp;L - Inputs'!DZ737</f>
        <v>0</v>
      </c>
      <c r="EB118" s="19">
        <f>'P&amp;L - Inputs'!EA737</f>
        <v>0</v>
      </c>
      <c r="EC118" s="19">
        <f>'P&amp;L - Inputs'!EB737</f>
        <v>0</v>
      </c>
      <c r="ED118" s="19">
        <f>'P&amp;L - Inputs'!EC737</f>
        <v>0</v>
      </c>
      <c r="EE118" s="168"/>
      <c r="EF118" s="165">
        <f>SUM(BK118:BM118)</f>
        <v>0</v>
      </c>
      <c r="EG118" s="165">
        <f>SUM(BN118:BP118)</f>
        <v>0</v>
      </c>
      <c r="EH118" s="165">
        <f>SUM(BQ118:BS118)</f>
        <v>0</v>
      </c>
      <c r="EI118" s="165">
        <f>SUM(BT118:BV118)</f>
        <v>0</v>
      </c>
      <c r="EJ118" s="165">
        <f>SUM(BW118:BY118)</f>
        <v>0</v>
      </c>
      <c r="EK118" s="165">
        <f>SUM(CL118:CN118)</f>
        <v>0</v>
      </c>
      <c r="EL118" s="165">
        <f>SUM(CC118:CE118)</f>
        <v>0</v>
      </c>
      <c r="EM118" s="165">
        <f>SUM(CF118:CH118)</f>
        <v>0</v>
      </c>
      <c r="EN118" s="165">
        <f>SUM(CI118:CK118)</f>
        <v>0</v>
      </c>
      <c r="EO118" s="165">
        <f>SUM(CL118:CN118)</f>
        <v>0</v>
      </c>
      <c r="EP118" s="165">
        <f>SUM(CO118:CQ118)</f>
        <v>0</v>
      </c>
      <c r="EQ118" s="165">
        <f>SUM(CR118:CT118)</f>
        <v>0</v>
      </c>
      <c r="ER118" s="165">
        <f>SUM(CU118:CW118)</f>
        <v>0</v>
      </c>
      <c r="ES118" s="165">
        <f>SUM(CX118:CZ118)</f>
        <v>0</v>
      </c>
      <c r="ET118" s="165">
        <f>SUM(DA118:DC118)</f>
        <v>0</v>
      </c>
      <c r="EU118" s="165">
        <f>SUM(DD118:DF118)</f>
        <v>0</v>
      </c>
      <c r="EV118" s="165">
        <f>SUM(DG118:DI118)</f>
        <v>0</v>
      </c>
      <c r="EW118" s="165">
        <f>SUM(DJ118:DL118)</f>
        <v>0</v>
      </c>
      <c r="EX118" s="165">
        <f>SUM(DM118:DO118)</f>
        <v>0</v>
      </c>
      <c r="EY118" s="165">
        <f>SUM(DP118:DR118)</f>
        <v>0</v>
      </c>
      <c r="EZ118" s="165">
        <f t="shared" si="304"/>
        <v>0</v>
      </c>
      <c r="FA118" s="165">
        <f t="shared" si="305"/>
        <v>0</v>
      </c>
      <c r="FB118" s="165">
        <f t="shared" si="306"/>
        <v>0</v>
      </c>
      <c r="FC118" s="165">
        <f t="shared" si="307"/>
        <v>0</v>
      </c>
      <c r="FE118" s="165">
        <f t="shared" si="308"/>
        <v>0</v>
      </c>
      <c r="FF118" s="165">
        <f t="shared" si="309"/>
        <v>0</v>
      </c>
      <c r="FG118" s="165">
        <f t="shared" si="310"/>
        <v>0</v>
      </c>
      <c r="FH118" s="165">
        <f t="shared" si="311"/>
        <v>0</v>
      </c>
      <c r="FI118" s="165">
        <f t="shared" si="312"/>
        <v>0</v>
      </c>
      <c r="FJ118" s="165">
        <f t="shared" si="313"/>
        <v>0</v>
      </c>
    </row>
    <row r="119" spans="2:166" x14ac:dyDescent="0.2">
      <c r="B119" s="155" t="s">
        <v>228</v>
      </c>
      <c r="C119" s="19">
        <v>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f>'D2C Online'!C147</f>
        <v>5173.4537987679678</v>
      </c>
      <c r="M119" s="19">
        <f>'D2C Online'!D147</f>
        <v>17253.415384615386</v>
      </c>
      <c r="N119" s="19">
        <f>'D2C Online'!E147</f>
        <v>53184.006653992394</v>
      </c>
      <c r="O119" s="19">
        <f>'D2C Online'!F147</f>
        <v>127086.67170953102</v>
      </c>
      <c r="P119" s="19">
        <f>'D2C Online'!G147</f>
        <v>168653.35204518228</v>
      </c>
      <c r="Q119" s="19">
        <f>'D2C Online'!H147</f>
        <v>207043.58714043992</v>
      </c>
      <c r="R119" s="19">
        <f>'D2C Online'!I147</f>
        <v>302604.77829550579</v>
      </c>
      <c r="S119" s="19">
        <f>'D2C Online'!J147</f>
        <v>94518.004082426123</v>
      </c>
      <c r="T119" s="19">
        <f>'D2C Online'!K147</f>
        <v>92223.893468389797</v>
      </c>
      <c r="U119" s="19">
        <f>'D2C Online'!L147</f>
        <v>100188.97641509434</v>
      </c>
      <c r="V119" s="19">
        <f>'D2C Online'!M147</f>
        <v>21838.920819321305</v>
      </c>
      <c r="W119" s="19">
        <f>'D2C Online'!N147</f>
        <v>29389.779108768565</v>
      </c>
      <c r="X119" s="19">
        <f>'D2C Online'!O147</f>
        <v>37894.22393669634</v>
      </c>
      <c r="Y119" s="19">
        <f>'D2C Online'!P147</f>
        <v>33680.809220985691</v>
      </c>
      <c r="Z119" s="19">
        <f>'D2C Online'!Q147</f>
        <v>42468.316649104323</v>
      </c>
      <c r="AA119" s="19">
        <f>'D2C Online'!R147</f>
        <v>0</v>
      </c>
      <c r="AB119" s="19">
        <f>'D2C Online'!S147</f>
        <v>8913.1788079470207</v>
      </c>
      <c r="AC119" s="19">
        <f>'D2C Online'!T147</f>
        <v>9504.8634289439378</v>
      </c>
      <c r="AD119" s="19">
        <f>'D2C Online'!U147</f>
        <v>19402.928272564255</v>
      </c>
      <c r="AE119" s="19">
        <f>'D2C Online'!V147</f>
        <v>31695.601777059775</v>
      </c>
      <c r="AF119" s="19">
        <f>'D2C Online'!W147</f>
        <v>38045.269100743746</v>
      </c>
      <c r="AG119" s="19">
        <f>'D2C Online'!X147</f>
        <v>76227.355707317067</v>
      </c>
      <c r="AH119" s="19">
        <f>'D2C Online'!Y147</f>
        <v>32638.990002856328</v>
      </c>
      <c r="AI119" s="19">
        <f>'D2C Online'!Z147</f>
        <v>59391.888030888033</v>
      </c>
      <c r="AJ119" s="19">
        <f>'D2C Online'!AA147</f>
        <v>38866.744801512286</v>
      </c>
      <c r="AK119" s="19">
        <f>'D2C Online'!AB147</f>
        <v>31315.692386305567</v>
      </c>
      <c r="AL119" s="19">
        <f>'D2C Online'!AC147</f>
        <v>90699.23908425773</v>
      </c>
      <c r="AM119" s="19">
        <f>'D2C Online'!AD147</f>
        <v>33768.249964892566</v>
      </c>
      <c r="AN119" s="19">
        <f>'D2C Online'!AE147</f>
        <v>2006.3103621730384</v>
      </c>
      <c r="AO119" s="19">
        <f>'D2C Online'!AF147</f>
        <v>16947.931809938338</v>
      </c>
      <c r="AP119" s="19">
        <f>'D2C Online'!AG147</f>
        <v>36502.251624335498</v>
      </c>
      <c r="AQ119" s="19">
        <f>'D2C Online'!AH147</f>
        <v>29031.459915611813</v>
      </c>
      <c r="AR119" s="19">
        <f>'D2C Online'!AI147</f>
        <v>71682.971468045915</v>
      </c>
      <c r="AS119" s="19">
        <f>'D2C Online'!AJ147</f>
        <v>151189.52948183441</v>
      </c>
      <c r="AT119" s="19">
        <f>'D2C Online'!AK147</f>
        <v>277794.43498137488</v>
      </c>
      <c r="AU119" s="19">
        <f>'D2C Online'!AL147</f>
        <v>206404.66078402294</v>
      </c>
      <c r="AV119" s="19">
        <f>'D2C Online'!AM147</f>
        <v>304246.63361889328</v>
      </c>
      <c r="AW119" s="19">
        <f>'D2C Online'!AN147</f>
        <v>285880.18663007254</v>
      </c>
      <c r="AX119" s="19">
        <f>'D2C Online'!AO147</f>
        <v>133069.04991922757</v>
      </c>
      <c r="AY119" s="19">
        <f>'D2C Online'!AP147</f>
        <v>148567.64777801404</v>
      </c>
      <c r="AZ119" s="19">
        <f>'D2C Online'!AQ147</f>
        <v>77135.347510131818</v>
      </c>
      <c r="BA119" s="19">
        <f>'D2C Online'!AR147</f>
        <v>202131.59368442092</v>
      </c>
      <c r="BB119" s="19">
        <f>'D2C Online'!AS147</f>
        <v>621279.97786413156</v>
      </c>
      <c r="BC119" s="19">
        <f>'D2C Online'!AT147</f>
        <v>611335.09896101081</v>
      </c>
      <c r="BD119" s="19">
        <f>'D2C Online'!AU147</f>
        <v>344186.14960347855</v>
      </c>
      <c r="BE119" s="19">
        <f>'D2C Online'!AV147</f>
        <v>958141.53206600668</v>
      </c>
      <c r="BF119" s="19">
        <f>'D2C Online'!AW147</f>
        <v>419014.63658939913</v>
      </c>
      <c r="BG119" s="19">
        <f>'D2C Online'!AX147</f>
        <v>167974.10797336797</v>
      </c>
      <c r="BH119" s="19">
        <f>'D2C Online'!AY147</f>
        <v>326110.81356373656</v>
      </c>
      <c r="BI119" s="19">
        <f>'D2C Online'!AZ147</f>
        <v>676227.56565463776</v>
      </c>
      <c r="BJ119" s="19">
        <f>'D2C Online'!BA147</f>
        <v>2893031.2362393457</v>
      </c>
      <c r="BK119" s="19">
        <f>'D2C Online'!BB147</f>
        <v>3858697</v>
      </c>
      <c r="BL119" s="19">
        <f>'D2C Online'!BC147</f>
        <v>5295267</v>
      </c>
      <c r="BM119" s="19">
        <f>'D2C Online'!BD147</f>
        <v>5188932</v>
      </c>
      <c r="BN119" s="19">
        <f>'D2C Online'!BE147</f>
        <v>5905440</v>
      </c>
      <c r="BO119" s="19">
        <f>'D2C Online'!BF147</f>
        <v>6218290</v>
      </c>
      <c r="BP119" s="19">
        <f>'D2C Online'!BG147</f>
        <v>7027515</v>
      </c>
      <c r="BQ119" s="19">
        <f>'D2C Online'!BH147</f>
        <v>12745910</v>
      </c>
      <c r="BR119" s="19">
        <f>'D2C Online'!BI147</f>
        <v>9713261</v>
      </c>
      <c r="BS119" s="19">
        <f>'D2C Online'!BJ147</f>
        <v>7618990</v>
      </c>
      <c r="BT119" s="19">
        <f>'D2C Online'!BK147</f>
        <v>7302900</v>
      </c>
      <c r="BU119" s="19">
        <f>'D2C Online'!BL147</f>
        <v>6698996</v>
      </c>
      <c r="BV119" s="19">
        <f>'D2C Online'!BM147</f>
        <v>9802314</v>
      </c>
      <c r="BW119" s="19">
        <f>'D2C Online'!BN147</f>
        <v>8592017</v>
      </c>
      <c r="BX119" s="19">
        <f>'D2C Online'!BO147</f>
        <v>9992560</v>
      </c>
      <c r="BY119" s="19">
        <f>'D2C Online'!BP147</f>
        <v>7783150</v>
      </c>
      <c r="BZ119" s="19">
        <f>'D2C Online'!BQ147</f>
        <v>8600200</v>
      </c>
      <c r="CA119" s="19">
        <f>'D2C Online'!BR147</f>
        <v>6121800</v>
      </c>
      <c r="CB119" s="19">
        <f>'D2C Online'!BS147</f>
        <v>3428300</v>
      </c>
      <c r="CC119" s="19">
        <f>'D2C Online'!BT147</f>
        <v>4868965</v>
      </c>
      <c r="CD119" s="19">
        <f>'D2C Online'!BU147</f>
        <v>7250147</v>
      </c>
      <c r="CE119" s="19">
        <f>'D2C Online'!BV147</f>
        <v>10505819</v>
      </c>
      <c r="CF119" s="19">
        <f>'D2C Online'!BW147</f>
        <v>10668875.289999999</v>
      </c>
      <c r="CG119" s="19">
        <f>'D2C Online'!BX147</f>
        <v>10066236</v>
      </c>
      <c r="CH119" s="19">
        <f>'D2C Online'!BY147</f>
        <v>8953663</v>
      </c>
      <c r="CI119" s="19">
        <f>'D2C Online'!BZ147</f>
        <v>8771757</v>
      </c>
      <c r="CJ119" s="19">
        <f>'D2C Online'!CA147</f>
        <v>8342037</v>
      </c>
      <c r="CK119" s="19">
        <f>'D2C Online'!CB147</f>
        <v>9171252</v>
      </c>
      <c r="CL119" s="19">
        <f>'D2C Online'!CC147</f>
        <v>9682011</v>
      </c>
      <c r="CM119" s="19">
        <f>'D2C Online'!CD147</f>
        <v>9122112</v>
      </c>
      <c r="CN119" s="19">
        <f>'D2C Online'!CE147</f>
        <v>6143302</v>
      </c>
      <c r="CO119" s="19">
        <f>'D2C Online'!CF147</f>
        <v>5689502</v>
      </c>
      <c r="CP119" s="19">
        <f>'D2C Online'!CG147</f>
        <v>6779183</v>
      </c>
      <c r="CQ119" s="19">
        <f>'D2C Online'!CH147</f>
        <v>7525876.25</v>
      </c>
      <c r="CR119" s="19">
        <f>'D2C Online'!CI147</f>
        <v>7947913</v>
      </c>
      <c r="CS119" s="19">
        <f>'D2C Online'!CJ147</f>
        <v>7138531</v>
      </c>
      <c r="CT119" s="19">
        <f>'D2C Online'!CK147</f>
        <v>8090709</v>
      </c>
      <c r="CU119" s="19">
        <f>'D2C Online'!CL147</f>
        <v>8090709</v>
      </c>
      <c r="CV119" s="19">
        <f>'D2C Online'!CM147</f>
        <v>8090709</v>
      </c>
      <c r="CW119" s="19">
        <f>'D2C Online'!CN147</f>
        <v>8090709</v>
      </c>
      <c r="CX119" s="19">
        <f>'D2C Online'!CO147</f>
        <v>8090709</v>
      </c>
      <c r="CY119" s="19">
        <f>'D2C Online'!CP147</f>
        <v>8090709</v>
      </c>
      <c r="CZ119" s="19">
        <f>'D2C Online'!CQ147</f>
        <v>8090709</v>
      </c>
      <c r="DA119" s="19">
        <f>'D2C Online'!CR147</f>
        <v>8495244.4500000011</v>
      </c>
      <c r="DB119" s="19">
        <f>'D2C Online'!CS147</f>
        <v>8495244.4500000011</v>
      </c>
      <c r="DC119" s="19">
        <f>'D2C Online'!CT147</f>
        <v>8495244.4500000011</v>
      </c>
      <c r="DD119" s="19">
        <f>'D2C Online'!CU147</f>
        <v>8495244.4500000011</v>
      </c>
      <c r="DE119" s="19">
        <f>'D2C Online'!CV147</f>
        <v>8495244.4500000011</v>
      </c>
      <c r="DF119" s="19">
        <f>'D2C Online'!CW147</f>
        <v>8495244.4500000011</v>
      </c>
      <c r="DG119" s="19">
        <f>'D2C Online'!CX147</f>
        <v>8495244.4500000011</v>
      </c>
      <c r="DH119" s="19">
        <f>'D2C Online'!CY147</f>
        <v>8495244.4500000011</v>
      </c>
      <c r="DI119" s="19">
        <f>'D2C Online'!CZ147</f>
        <v>8495244.4500000011</v>
      </c>
      <c r="DJ119" s="19">
        <f>'D2C Online'!DA147</f>
        <v>8495244.4500000011</v>
      </c>
      <c r="DK119" s="19">
        <f>'D2C Online'!DB147</f>
        <v>8495244.4500000011</v>
      </c>
      <c r="DL119" s="19">
        <f>'D2C Online'!DC147</f>
        <v>8495244.4500000011</v>
      </c>
      <c r="DM119" s="19">
        <f>'D2C Online'!DD147</f>
        <v>8920006.6725000013</v>
      </c>
      <c r="DN119" s="19">
        <f>'D2C Online'!DE147</f>
        <v>8920006.6725000013</v>
      </c>
      <c r="DO119" s="19">
        <f>'D2C Online'!DF147</f>
        <v>8920006.6725000013</v>
      </c>
      <c r="DP119" s="19">
        <f>'D2C Online'!DG147</f>
        <v>8920006.6725000013</v>
      </c>
      <c r="DQ119" s="19">
        <f>'D2C Online'!DH147</f>
        <v>8920006.6725000013</v>
      </c>
      <c r="DR119" s="19">
        <f>'D2C Online'!DI147</f>
        <v>8920006.6725000013</v>
      </c>
      <c r="DS119" s="19">
        <f>'D2C Online'!DJ147</f>
        <v>8920006.6725000013</v>
      </c>
      <c r="DT119" s="19">
        <f>'D2C Online'!DK147</f>
        <v>8920006.6725000013</v>
      </c>
      <c r="DU119" s="19">
        <f>'D2C Online'!DL147</f>
        <v>8920006.6725000013</v>
      </c>
      <c r="DV119" s="19">
        <f>'D2C Online'!DM147</f>
        <v>8920006.6725000013</v>
      </c>
      <c r="DW119" s="19">
        <f>'D2C Online'!DN147</f>
        <v>8920006.6725000013</v>
      </c>
      <c r="DX119" s="19">
        <f>'D2C Online'!DO147</f>
        <v>8920006.6725000013</v>
      </c>
      <c r="DY119" s="19">
        <f>'D2C Online'!DP147</f>
        <v>9366007.0061250012</v>
      </c>
      <c r="DZ119" s="19">
        <f>'D2C Online'!DQ147</f>
        <v>9366007.0061250012</v>
      </c>
      <c r="EA119" s="19">
        <f>'D2C Online'!DR147</f>
        <v>9366007.0061250012</v>
      </c>
      <c r="EB119" s="19">
        <f>'D2C Online'!DS147</f>
        <v>9366007.0061250012</v>
      </c>
      <c r="EC119" s="19">
        <f>'D2C Online'!DT147</f>
        <v>9366007.0061250012</v>
      </c>
      <c r="ED119" s="19">
        <f>'D2C Online'!DU147</f>
        <v>9366007.0061250012</v>
      </c>
      <c r="EE119" s="168"/>
      <c r="EF119" s="165">
        <f>SUM(BK119:BM119)</f>
        <v>14342896</v>
      </c>
      <c r="EG119" s="165">
        <f>SUM(BN119:BP119)</f>
        <v>19151245</v>
      </c>
      <c r="EH119" s="165">
        <f>SUM(BQ119:BS119)</f>
        <v>30078161</v>
      </c>
      <c r="EI119" s="165">
        <f>SUM(BT119:BV119)</f>
        <v>23804210</v>
      </c>
      <c r="EJ119" s="165">
        <f>SUM(BW119:BY119)</f>
        <v>26367727</v>
      </c>
      <c r="EK119" s="165">
        <f>SUM(CL119:CN119)</f>
        <v>24947425</v>
      </c>
      <c r="EL119" s="165">
        <f>SUM(CC119:CE119)</f>
        <v>22624931</v>
      </c>
      <c r="EM119" s="165">
        <f>SUM(CF119:CH119)</f>
        <v>29688774.289999999</v>
      </c>
      <c r="EN119" s="165">
        <f>SUM(CI119:CK119)</f>
        <v>26285046</v>
      </c>
      <c r="EO119" s="165">
        <f>SUM(CL119:CN119)</f>
        <v>24947425</v>
      </c>
      <c r="EP119" s="165">
        <f>SUM(CO119:CQ119)</f>
        <v>19994561.25</v>
      </c>
      <c r="EQ119" s="165">
        <f>SUM(CR119:CT119)</f>
        <v>23177153</v>
      </c>
      <c r="ER119" s="165">
        <f>SUM(CU119:CW119)</f>
        <v>24272127</v>
      </c>
      <c r="ES119" s="165">
        <f>SUM(CX119:CZ119)</f>
        <v>24272127</v>
      </c>
      <c r="ET119" s="165">
        <f>SUM(DA119:DC119)</f>
        <v>25485733.350000001</v>
      </c>
      <c r="EU119" s="165">
        <f>SUM(DD119:DF119)</f>
        <v>25485733.350000001</v>
      </c>
      <c r="EV119" s="165">
        <f>SUM(DG119:DI119)</f>
        <v>25485733.350000001</v>
      </c>
      <c r="EW119" s="165">
        <f>SUM(DJ119:DL119)</f>
        <v>25485733.350000001</v>
      </c>
      <c r="EX119" s="165">
        <f>SUM(DM119:DO119)</f>
        <v>26760020.017500006</v>
      </c>
      <c r="EY119" s="165">
        <f>SUM(DP119:DR119)</f>
        <v>26760020.017500006</v>
      </c>
      <c r="EZ119" s="165">
        <f t="shared" si="304"/>
        <v>26760020.017500006</v>
      </c>
      <c r="FA119" s="165">
        <f t="shared" si="305"/>
        <v>26760020.017500006</v>
      </c>
      <c r="FB119" s="165">
        <f t="shared" si="306"/>
        <v>28098021.018375002</v>
      </c>
      <c r="FC119" s="165">
        <f t="shared" si="307"/>
        <v>28098021.018375002</v>
      </c>
      <c r="FE119" s="165">
        <f t="shared" si="308"/>
        <v>87376512</v>
      </c>
      <c r="FF119" s="165">
        <f t="shared" si="309"/>
        <v>103628857.28999999</v>
      </c>
      <c r="FG119" s="165">
        <f t="shared" si="310"/>
        <v>94404185.25</v>
      </c>
      <c r="FH119" s="165">
        <f t="shared" si="311"/>
        <v>99515720.699999988</v>
      </c>
      <c r="FI119" s="165">
        <f t="shared" si="312"/>
        <v>104491506.73500001</v>
      </c>
      <c r="FJ119" s="165">
        <f t="shared" si="313"/>
        <v>109716082.07175002</v>
      </c>
    </row>
    <row r="120" spans="2:166" x14ac:dyDescent="0.2">
      <c r="B120" s="155" t="s">
        <v>229</v>
      </c>
      <c r="C120" s="19">
        <v>0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f>'D2C - Retail'!C161</f>
        <v>3197.81518904824</v>
      </c>
      <c r="AD120" s="19">
        <f>'D2C - Retail'!D161</f>
        <v>3197.81518904824</v>
      </c>
      <c r="AE120" s="19">
        <f>'D2C - Retail'!E161</f>
        <v>17574.92649434572</v>
      </c>
      <c r="AF120" s="19">
        <f>'D2C - Retail'!F161</f>
        <v>58403.982420554428</v>
      </c>
      <c r="AG120" s="19">
        <f>'D2C - Retail'!G161</f>
        <v>32848.860487804879</v>
      </c>
      <c r="AH120" s="19">
        <f>'D2C - Retail'!H161</f>
        <v>23827.303913167667</v>
      </c>
      <c r="AI120" s="19">
        <f>'D2C - Retail'!I161</f>
        <v>44753.370173745177</v>
      </c>
      <c r="AJ120" s="19">
        <f>'D2C - Retail'!J161</f>
        <v>47828.500495094064</v>
      </c>
      <c r="AK120" s="19">
        <f>'D2C - Retail'!K161</f>
        <v>39522.187020950434</v>
      </c>
      <c r="AL120" s="19">
        <f>'D2C - Retail'!L161</f>
        <v>77873.859806466833</v>
      </c>
      <c r="AM120" s="19">
        <f>'D2C - Retail'!M161</f>
        <v>26441.484061227355</v>
      </c>
      <c r="AN120" s="19">
        <f>'D2C - Retail'!N161</f>
        <v>0</v>
      </c>
      <c r="AO120" s="19">
        <f>'D2C - Retail'!O161</f>
        <v>10399.867247007616</v>
      </c>
      <c r="AP120" s="19">
        <f>'D2C - Retail'!P161</f>
        <v>41206.150029533375</v>
      </c>
      <c r="AQ120" s="19">
        <f>'D2C - Retail'!Q161</f>
        <v>211935.56399437413</v>
      </c>
      <c r="AR120" s="19">
        <f>'D2C - Retail'!R161</f>
        <v>215179.84220590585</v>
      </c>
      <c r="AS120" s="19">
        <f>'D2C - Retail'!S161</f>
        <v>405525.97379392496</v>
      </c>
      <c r="AT120" s="19">
        <f>'D2C - Retail'!T161</f>
        <v>448046.5761937013</v>
      </c>
      <c r="AU120" s="19">
        <f>'D2C - Retail'!U161</f>
        <v>341329.13411439024</v>
      </c>
      <c r="AV120" s="19">
        <f>'D2C - Retail'!V161</f>
        <v>472256.37091919431</v>
      </c>
      <c r="AW120" s="19">
        <f>'D2C - Retail'!W161</f>
        <v>584214.93903156242</v>
      </c>
      <c r="AX120" s="19">
        <f>'D2C - Retail'!X161</f>
        <v>586837.14170048281</v>
      </c>
      <c r="AY120" s="19">
        <f>'D2C - Retail'!Y161</f>
        <v>531288.9130342335</v>
      </c>
      <c r="AZ120" s="19">
        <f>'D2C - Retail'!Z161</f>
        <v>750597</v>
      </c>
      <c r="BA120" s="19">
        <f>'D2C - Retail'!AA161</f>
        <v>1088971.9486847478</v>
      </c>
      <c r="BB120" s="19">
        <f>'D2C - Retail'!AB161</f>
        <v>2723535.6805717899</v>
      </c>
      <c r="BC120" s="19">
        <f>'D2C - Retail'!AC161</f>
        <v>4317268.9406789113</v>
      </c>
      <c r="BD120" s="19">
        <f>'D2C - Retail'!AD161</f>
        <v>3002268.1213020701</v>
      </c>
      <c r="BE120" s="19">
        <f>'D2C - Retail'!AE161</f>
        <v>2904116.0428485167</v>
      </c>
      <c r="BF120" s="19">
        <f>'D2C - Retail'!AF161</f>
        <v>999261.18623588956</v>
      </c>
      <c r="BG120" s="19">
        <f>'D2C - Retail'!AG161</f>
        <v>419917.12626221951</v>
      </c>
      <c r="BH120" s="19">
        <f>'D2C - Retail'!AH161</f>
        <v>1020779.6924305564</v>
      </c>
      <c r="BI120" s="19">
        <f>'D2C - Retail'!AI161</f>
        <v>1274197.6848224055</v>
      </c>
      <c r="BJ120" s="19">
        <f>'D2C - Retail'!AJ161</f>
        <v>728169.38350239431</v>
      </c>
      <c r="BK120" s="19">
        <f>'D2C - Retail'!AK161</f>
        <v>0</v>
      </c>
      <c r="BL120" s="19">
        <f>'D2C - Retail'!AL161</f>
        <v>0</v>
      </c>
      <c r="BM120" s="19">
        <f>'D2C - Retail'!AM161</f>
        <v>180000</v>
      </c>
      <c r="BN120" s="19">
        <f>'D2C - Retail'!AN161</f>
        <v>582854</v>
      </c>
      <c r="BO120" s="19">
        <f>'D2C - Retail'!AO161</f>
        <v>247040</v>
      </c>
      <c r="BP120" s="19">
        <f>'D2C - Retail'!AP161</f>
        <v>0</v>
      </c>
      <c r="BQ120" s="19">
        <f>'D2C - Retail'!AQ161</f>
        <v>0</v>
      </c>
      <c r="BR120" s="19">
        <f>'D2C - Retail'!AR161</f>
        <v>342323</v>
      </c>
      <c r="BS120" s="19">
        <f>'D2C - Retail'!AS161</f>
        <v>314374</v>
      </c>
      <c r="BT120" s="19">
        <f>'D2C - Retail'!AT161</f>
        <v>198210</v>
      </c>
      <c r="BU120" s="19">
        <f>'D2C - Retail'!AU161</f>
        <v>0</v>
      </c>
      <c r="BV120" s="19">
        <f>'D2C - Retail'!AV161</f>
        <v>165544</v>
      </c>
      <c r="BW120" s="19">
        <f>'D2C - Retail'!AW161</f>
        <v>0</v>
      </c>
      <c r="BX120" s="19">
        <f>'D2C - Retail'!AX161</f>
        <v>0</v>
      </c>
      <c r="BY120" s="19">
        <f>'D2C - Retail'!AY161</f>
        <v>248712</v>
      </c>
      <c r="BZ120" s="19">
        <f>'D2C - Retail'!AZ161</f>
        <v>233828</v>
      </c>
      <c r="CA120" s="19">
        <f>'D2C - Retail'!BA161</f>
        <v>176926</v>
      </c>
      <c r="CB120" s="19">
        <f>'D2C - Retail'!BB161</f>
        <v>13000</v>
      </c>
      <c r="CC120" s="19">
        <f>'D2C - Retail'!BC161</f>
        <v>0</v>
      </c>
      <c r="CD120" s="19">
        <f>'D2C - Retail'!BD161</f>
        <v>0</v>
      </c>
      <c r="CE120" s="19">
        <f>'D2C - Retail'!BE161</f>
        <v>0</v>
      </c>
      <c r="CF120" s="19">
        <f>'D2C - Retail'!BF161</f>
        <v>0</v>
      </c>
      <c r="CG120" s="19">
        <f>'D2C - Retail'!BG161</f>
        <v>0</v>
      </c>
      <c r="CH120" s="19">
        <f>'D2C - Retail'!BH161</f>
        <v>0</v>
      </c>
      <c r="CI120" s="19">
        <f>'D2C - Retail'!BI161</f>
        <v>0</v>
      </c>
      <c r="CJ120" s="19">
        <f>'D2C - Retail'!BJ161</f>
        <v>0</v>
      </c>
      <c r="CK120" s="19">
        <f>'D2C - Retail'!BK161</f>
        <v>0</v>
      </c>
      <c r="CL120" s="19">
        <f>'D2C - Retail'!BL161</f>
        <v>0</v>
      </c>
      <c r="CM120" s="19">
        <f>'D2C - Retail'!BM161</f>
        <v>0</v>
      </c>
      <c r="CN120" s="19">
        <f>'D2C - Retail'!BN161</f>
        <v>0</v>
      </c>
      <c r="CO120" s="19">
        <f>'D2C - Retail'!BO161</f>
        <v>0</v>
      </c>
      <c r="CP120" s="19">
        <f>'D2C - Retail'!BP161</f>
        <v>505000</v>
      </c>
      <c r="CQ120" s="19">
        <f>'D2C - Retail'!BQ161</f>
        <v>816500</v>
      </c>
      <c r="CR120" s="19">
        <f>'D2C - Retail'!BR161</f>
        <v>957536</v>
      </c>
      <c r="CS120" s="19">
        <f>'D2C - Retail'!BS161</f>
        <v>927000</v>
      </c>
      <c r="CT120" s="19">
        <f>'D2C - Retail'!BT161</f>
        <v>1471500</v>
      </c>
      <c r="CU120" s="19">
        <f>'D2C - Retail'!BU161</f>
        <v>1226889.8569989335</v>
      </c>
      <c r="CV120" s="19">
        <f>'D2C - Retail'!BV161</f>
        <v>1201495.8713118734</v>
      </c>
      <c r="CW120" s="19">
        <f>'D2C - Retail'!BW161</f>
        <v>1198991.3785396363</v>
      </c>
      <c r="CX120" s="19">
        <f>'D2C - Retail'!BX161</f>
        <v>1298346.4172030289</v>
      </c>
      <c r="CY120" s="19">
        <f>'D2C - Retail'!BY161</f>
        <v>1160006.764560187</v>
      </c>
      <c r="CZ120" s="19">
        <f>'D2C - Retail'!BZ161</f>
        <v>1077172.5799783214</v>
      </c>
      <c r="DA120" s="19">
        <f>'D2C - Retail'!CA161</f>
        <v>1344050.5446736782</v>
      </c>
      <c r="DB120" s="19">
        <f>'D2C - Retail'!CB161</f>
        <v>1237779.7067698226</v>
      </c>
      <c r="DC120" s="19">
        <f>'D2C - Retail'!CC161</f>
        <v>1472490.7504024331</v>
      </c>
      <c r="DD120" s="19">
        <f>'D2C - Retail'!CD161</f>
        <v>1508659.4771639239</v>
      </c>
      <c r="DE120" s="19">
        <f>'D2C - Retail'!CE161</f>
        <v>1402898.8986000719</v>
      </c>
      <c r="DF120" s="19">
        <f>'D2C - Retail'!CF161</f>
        <v>1631939.3445971631</v>
      </c>
      <c r="DG120" s="19">
        <f>'D2C - Retail'!CG161</f>
        <v>1500333.0008322971</v>
      </c>
      <c r="DH120" s="19">
        <f>'D2C - Retail'!CH161</f>
        <v>1472958.7972953918</v>
      </c>
      <c r="DI120" s="19">
        <f>'D2C - Retail'!CI161</f>
        <v>1462243.4931035852</v>
      </c>
      <c r="DJ120" s="19">
        <f>'D2C - Retail'!CJ161</f>
        <v>1582600.8043687134</v>
      </c>
      <c r="DK120" s="19">
        <f>'D2C - Retail'!CK161</f>
        <v>1410888.9760385423</v>
      </c>
      <c r="DL120" s="19">
        <f>'D2C - Retail'!CL161</f>
        <v>1306937.5468106153</v>
      </c>
      <c r="DM120" s="19">
        <f>'D2C - Retail'!CM161</f>
        <v>1625885.8835801564</v>
      </c>
      <c r="DN120" s="19">
        <f>'D2C - Retail'!CN161</f>
        <v>1489367.6193062547</v>
      </c>
      <c r="DO120" s="19">
        <f>'D2C - Retail'!CO161</f>
        <v>1765982.8083184469</v>
      </c>
      <c r="DP120" s="19">
        <f>'D2C - Retail'!CP161</f>
        <v>1801893.0520314004</v>
      </c>
      <c r="DQ120" s="19">
        <f>'D2C - Retail'!CQ161</f>
        <v>1667207.3437379277</v>
      </c>
      <c r="DR120" s="19">
        <f>'D2C - Retail'!CR161</f>
        <v>1918455.6802601432</v>
      </c>
      <c r="DS120" s="19">
        <f>'D2C - Retail'!CS161</f>
        <v>1709510.2348196788</v>
      </c>
      <c r="DT120" s="19">
        <f>'D2C - Retail'!CT161</f>
        <v>1676641.7654491449</v>
      </c>
      <c r="DU120" s="19">
        <f>'D2C - Retail'!CU161</f>
        <v>1663380.0097162067</v>
      </c>
      <c r="DV120" s="19">
        <f>'D2C - Retail'!CV161</f>
        <v>1799697.2544132294</v>
      </c>
      <c r="DW120" s="19">
        <f>'D2C - Retail'!CW161</f>
        <v>1602343.2598128433</v>
      </c>
      <c r="DX120" s="19">
        <f>'D2C - Retail'!CX161</f>
        <v>1482102.0783999688</v>
      </c>
      <c r="DY120" s="19">
        <f>'D2C - Retail'!CY161</f>
        <v>1844772.7078034615</v>
      </c>
      <c r="DZ120" s="19">
        <f>'D2C - Retail'!CZ161</f>
        <v>1688399.7958660338</v>
      </c>
      <c r="EA120" s="19">
        <f>'D2C - Retail'!DA161</f>
        <v>2002575.5301997934</v>
      </c>
      <c r="EB120" s="19">
        <f>'D2C - Retail'!DB161</f>
        <v>2042857.9088945061</v>
      </c>
      <c r="EC120" s="19">
        <f>'D2C - Retail'!DC161</f>
        <v>1888654.6120674203</v>
      </c>
      <c r="ED120" s="19">
        <f>'D2C - Retail'!DD161</f>
        <v>2173634.0325429691</v>
      </c>
      <c r="EE120" s="168"/>
      <c r="EF120" s="165">
        <f>SUM(BK120:BM120)</f>
        <v>180000</v>
      </c>
      <c r="EG120" s="165">
        <f>SUM(BN120:BP120)</f>
        <v>829894</v>
      </c>
      <c r="EH120" s="165">
        <f>SUM(BQ120:BS120)</f>
        <v>656697</v>
      </c>
      <c r="EI120" s="165">
        <f>SUM(BT120:BV120)</f>
        <v>363754</v>
      </c>
      <c r="EJ120" s="165">
        <f>SUM(BW120:BY120)</f>
        <v>248712</v>
      </c>
      <c r="EK120" s="165">
        <f>SUM(CL120:CN120)</f>
        <v>0</v>
      </c>
      <c r="EL120" s="165">
        <f>SUM(CC120:CE120)</f>
        <v>0</v>
      </c>
      <c r="EM120" s="165">
        <f>SUM(CF120:CH120)</f>
        <v>0</v>
      </c>
      <c r="EN120" s="165">
        <f>SUM(CI120:CK120)</f>
        <v>0</v>
      </c>
      <c r="EO120" s="165">
        <f>SUM(CL120:CN120)</f>
        <v>0</v>
      </c>
      <c r="EP120" s="165">
        <f>SUM(CO120:CQ120)</f>
        <v>1321500</v>
      </c>
      <c r="EQ120" s="165">
        <f>SUM(CR120:CT120)</f>
        <v>3356036</v>
      </c>
      <c r="ER120" s="165">
        <f>SUM(CU120:CW120)</f>
        <v>3627377.1068504429</v>
      </c>
      <c r="ES120" s="165">
        <f>SUM(CX120:CZ120)</f>
        <v>3535525.7617415376</v>
      </c>
      <c r="ET120" s="165">
        <f>SUM(DA120:DC120)</f>
        <v>4054321.0018459335</v>
      </c>
      <c r="EU120" s="165">
        <f>SUM(DD120:DF120)</f>
        <v>4543497.7203611583</v>
      </c>
      <c r="EV120" s="165">
        <f>SUM(DG120:DI120)</f>
        <v>4435535.2912312746</v>
      </c>
      <c r="EW120" s="165">
        <f>SUM(DJ120:DL120)</f>
        <v>4300427.3272178713</v>
      </c>
      <c r="EX120" s="165">
        <f>SUM(DM120:DO120)</f>
        <v>4881236.3112048581</v>
      </c>
      <c r="EY120" s="165">
        <f>SUM(DP120:DR120)</f>
        <v>5387556.0760294711</v>
      </c>
      <c r="EZ120" s="165">
        <f t="shared" si="304"/>
        <v>5049532.0099850297</v>
      </c>
      <c r="FA120" s="165">
        <f t="shared" si="305"/>
        <v>4884142.5926260408</v>
      </c>
      <c r="FB120" s="165">
        <f t="shared" si="306"/>
        <v>5535748.0338692889</v>
      </c>
      <c r="FC120" s="165">
        <f t="shared" si="307"/>
        <v>6105146.5535048954</v>
      </c>
      <c r="FE120" s="165">
        <f t="shared" si="308"/>
        <v>2030345</v>
      </c>
      <c r="FF120" s="165">
        <f t="shared" si="309"/>
        <v>248712</v>
      </c>
      <c r="FG120" s="165">
        <f t="shared" si="310"/>
        <v>4677536</v>
      </c>
      <c r="FH120" s="165">
        <f t="shared" si="311"/>
        <v>15760721.590799073</v>
      </c>
      <c r="FI120" s="165">
        <f t="shared" si="312"/>
        <v>19004755.005683474</v>
      </c>
      <c r="FJ120" s="165">
        <f t="shared" si="313"/>
        <v>21574569.189985253</v>
      </c>
    </row>
    <row r="121" spans="2:166" x14ac:dyDescent="0.2">
      <c r="B121" s="22" t="s">
        <v>57</v>
      </c>
      <c r="C121" s="218">
        <f>C117/C36</f>
        <v>2.6471615140012477E-3</v>
      </c>
      <c r="D121" s="218">
        <f t="shared" ref="D121:BO121" si="468">D117/D36</f>
        <v>4.2287028035373755E-3</v>
      </c>
      <c r="E121" s="218">
        <f t="shared" si="468"/>
        <v>5.7816222996356931E-3</v>
      </c>
      <c r="F121" s="218">
        <f t="shared" si="468"/>
        <v>8.9494810662256122E-3</v>
      </c>
      <c r="G121" s="218">
        <f t="shared" si="468"/>
        <v>1.1453405005446888E-2</v>
      </c>
      <c r="H121" s="218">
        <f t="shared" si="468"/>
        <v>7.6437022614322791E-3</v>
      </c>
      <c r="I121" s="218">
        <f t="shared" si="468"/>
        <v>7.6200789149103963E-3</v>
      </c>
      <c r="J121" s="218">
        <f t="shared" si="468"/>
        <v>3.7923724651868092E-3</v>
      </c>
      <c r="K121" s="218">
        <f t="shared" si="468"/>
        <v>1.3470191186617859E-2</v>
      </c>
      <c r="L121" s="218">
        <f t="shared" si="468"/>
        <v>1.2300702260111306E-2</v>
      </c>
      <c r="M121" s="218">
        <f t="shared" si="468"/>
        <v>7.3428021348884822E-3</v>
      </c>
      <c r="N121" s="218">
        <f t="shared" si="468"/>
        <v>4.1235566643467508E-3</v>
      </c>
      <c r="O121" s="218">
        <f t="shared" si="468"/>
        <v>7.8826894931225376E-3</v>
      </c>
      <c r="P121" s="218">
        <f t="shared" si="468"/>
        <v>9.4287628985984095E-3</v>
      </c>
      <c r="Q121" s="218">
        <f t="shared" si="468"/>
        <v>1.7960588940486841E-2</v>
      </c>
      <c r="R121" s="218">
        <f t="shared" si="468"/>
        <v>1.1447284503602087E-2</v>
      </c>
      <c r="S121" s="218">
        <f t="shared" si="468"/>
        <v>4.6376444275797266E-3</v>
      </c>
      <c r="T121" s="218">
        <f t="shared" si="468"/>
        <v>3.0079103570526903E-3</v>
      </c>
      <c r="U121" s="218">
        <f t="shared" si="468"/>
        <v>3.6880075212941733E-3</v>
      </c>
      <c r="V121" s="218">
        <f t="shared" si="468"/>
        <v>2.5790695449897354E-3</v>
      </c>
      <c r="W121" s="218">
        <f t="shared" si="468"/>
        <v>2.3090498751848361E-3</v>
      </c>
      <c r="X121" s="218">
        <f t="shared" si="468"/>
        <v>1.9598189701731852E-3</v>
      </c>
      <c r="Y121" s="218">
        <f t="shared" si="468"/>
        <v>4.0798384201033901E-3</v>
      </c>
      <c r="Z121" s="218">
        <f t="shared" si="468"/>
        <v>3.2390668674537409E-3</v>
      </c>
      <c r="AA121" s="218">
        <f t="shared" si="468"/>
        <v>-4.1384978643537731E-3</v>
      </c>
      <c r="AB121" s="218">
        <f t="shared" si="468"/>
        <v>5.1596002728575285E-4</v>
      </c>
      <c r="AC121" s="218">
        <f t="shared" si="468"/>
        <v>9.9620946967486743E-4</v>
      </c>
      <c r="AD121" s="218">
        <f t="shared" si="468"/>
        <v>2.9474680281333723E-3</v>
      </c>
      <c r="AE121" s="218">
        <f t="shared" si="468"/>
        <v>4.7851992492716228E-3</v>
      </c>
      <c r="AF121" s="218">
        <f t="shared" si="468"/>
        <v>5.3635011594366892E-3</v>
      </c>
      <c r="AG121" s="218">
        <f t="shared" si="468"/>
        <v>5.2958433701672525E-3</v>
      </c>
      <c r="AH121" s="218">
        <f t="shared" si="468"/>
        <v>2.7961931668781517E-3</v>
      </c>
      <c r="AI121" s="218">
        <f t="shared" si="468"/>
        <v>2.6587356275127945E-3</v>
      </c>
      <c r="AJ121" s="218">
        <f t="shared" si="468"/>
        <v>2.5832479897515319E-3</v>
      </c>
      <c r="AK121" s="218">
        <f t="shared" si="468"/>
        <v>2.1285645804790037E-3</v>
      </c>
      <c r="AL121" s="218">
        <f t="shared" si="468"/>
        <v>3.8109418791676935E-3</v>
      </c>
      <c r="AM121" s="218">
        <f t="shared" si="468"/>
        <v>2.024061550248864E-3</v>
      </c>
      <c r="AN121" s="218">
        <f t="shared" si="468"/>
        <v>2.4330933642922534E-4</v>
      </c>
      <c r="AO121" s="218">
        <f t="shared" si="468"/>
        <v>1.30271456587424E-3</v>
      </c>
      <c r="AP121" s="218">
        <f t="shared" si="468"/>
        <v>2.628196195922361E-3</v>
      </c>
      <c r="AQ121" s="218">
        <f t="shared" si="468"/>
        <v>5.9662748259839624E-3</v>
      </c>
      <c r="AR121" s="218">
        <f t="shared" si="468"/>
        <v>8.5113374675818074E-3</v>
      </c>
      <c r="AS121" s="218">
        <f t="shared" si="468"/>
        <v>1.4629851551244544E-2</v>
      </c>
      <c r="AT121" s="218">
        <f t="shared" si="468"/>
        <v>1.0534137827504323E-2</v>
      </c>
      <c r="AU121" s="218">
        <f t="shared" si="468"/>
        <v>6.2967185487790272E-3</v>
      </c>
      <c r="AV121" s="218">
        <f t="shared" si="468"/>
        <v>8.7267876830248135E-3</v>
      </c>
      <c r="AW121" s="218">
        <f t="shared" si="468"/>
        <v>9.9038942595239734E-3</v>
      </c>
      <c r="AX121" s="218">
        <f t="shared" si="468"/>
        <v>2.4515291055957313E-2</v>
      </c>
      <c r="AY121" s="218">
        <f t="shared" si="468"/>
        <v>1.5797883983760717E-2</v>
      </c>
      <c r="AZ121" s="218">
        <f t="shared" si="468"/>
        <v>1.0884538373789684E-2</v>
      </c>
      <c r="BA121" s="218">
        <f t="shared" si="468"/>
        <v>1.2334581735996011E-2</v>
      </c>
      <c r="BB121" s="218">
        <f t="shared" si="468"/>
        <v>2.1600150074560186E-2</v>
      </c>
      <c r="BC121" s="218">
        <f t="shared" si="468"/>
        <v>3.0397252813760007E-2</v>
      </c>
      <c r="BD121" s="218">
        <f t="shared" si="468"/>
        <v>2.343546524585715E-2</v>
      </c>
      <c r="BE121" s="218">
        <f t="shared" si="468"/>
        <v>1.7851629366310306E-2</v>
      </c>
      <c r="BF121" s="218">
        <f t="shared" si="468"/>
        <v>6.4958951979363425E-3</v>
      </c>
      <c r="BG121" s="218">
        <f t="shared" si="468"/>
        <v>2.7254073337853405E-3</v>
      </c>
      <c r="BH121" s="218">
        <f t="shared" si="468"/>
        <v>5.6788324076542246E-3</v>
      </c>
      <c r="BI121" s="218">
        <f t="shared" si="468"/>
        <v>7.3929597694514541E-3</v>
      </c>
      <c r="BJ121" s="218">
        <f t="shared" si="468"/>
        <v>8.3687654175249489E-3</v>
      </c>
      <c r="BK121" s="218">
        <f t="shared" si="468"/>
        <v>8.217205007686133E-3</v>
      </c>
      <c r="BL121" s="218">
        <f t="shared" si="468"/>
        <v>1.1338513269021888E-2</v>
      </c>
      <c r="BM121" s="218">
        <f t="shared" si="468"/>
        <v>1.0913574489801197E-2</v>
      </c>
      <c r="BN121" s="218">
        <f t="shared" si="468"/>
        <v>1.634152462125538E-2</v>
      </c>
      <c r="BO121" s="218">
        <f t="shared" si="468"/>
        <v>1.5518030825038902E-2</v>
      </c>
      <c r="BP121" s="218">
        <f t="shared" ref="BP121:EM121" si="469">BP117/BP36</f>
        <v>1.6671027221072807E-2</v>
      </c>
      <c r="BQ121" s="218">
        <f t="shared" si="469"/>
        <v>2.0218516185726704E-2</v>
      </c>
      <c r="BR121" s="218">
        <f t="shared" si="469"/>
        <v>1.9075423442351691E-2</v>
      </c>
      <c r="BS121" s="218">
        <f t="shared" si="469"/>
        <v>1.6842254193067865E-2</v>
      </c>
      <c r="BT121" s="218">
        <f t="shared" si="469"/>
        <v>1.6812265140740027E-2</v>
      </c>
      <c r="BU121" s="218">
        <f t="shared" si="469"/>
        <v>1.8145012936745836E-2</v>
      </c>
      <c r="BV121" s="218">
        <f t="shared" si="469"/>
        <v>2.0922568237633912E-2</v>
      </c>
      <c r="BW121" s="218">
        <f t="shared" si="469"/>
        <v>1.7699193432941331E-2</v>
      </c>
      <c r="BX121" s="218">
        <f t="shared" si="469"/>
        <v>1.98938469616727E-2</v>
      </c>
      <c r="BY121" s="218">
        <f t="shared" si="469"/>
        <v>1.5149090756232679E-2</v>
      </c>
      <c r="BZ121" s="218">
        <f t="shared" si="469"/>
        <v>1.6922940030261562E-2</v>
      </c>
      <c r="CA121" s="218">
        <f t="shared" si="469"/>
        <v>1.3642716913179528E-2</v>
      </c>
      <c r="CB121" s="218">
        <f t="shared" si="469"/>
        <v>7.9030726280544319E-3</v>
      </c>
      <c r="CC121" s="218">
        <f t="shared" si="469"/>
        <v>8.9696770271361793E-3</v>
      </c>
      <c r="CD121" s="218">
        <f t="shared" si="469"/>
        <v>1.4260447755274524E-2</v>
      </c>
      <c r="CE121" s="218">
        <f t="shared" si="469"/>
        <v>1.7337873571956496E-2</v>
      </c>
      <c r="CF121" s="218">
        <f t="shared" si="469"/>
        <v>1.6453546630954018E-2</v>
      </c>
      <c r="CG121" s="218">
        <f t="shared" si="469"/>
        <v>1.6273690567994662E-2</v>
      </c>
      <c r="CH121" s="218">
        <f t="shared" si="469"/>
        <v>1.1251947832642438E-2</v>
      </c>
      <c r="CI121" s="218">
        <f t="shared" si="469"/>
        <v>1.2000869446704462E-2</v>
      </c>
      <c r="CJ121" s="218">
        <f t="shared" si="469"/>
        <v>1.1697989023618714E-2</v>
      </c>
      <c r="CK121" s="218">
        <f t="shared" si="469"/>
        <v>1.2685609464279272E-2</v>
      </c>
      <c r="CL121" s="218">
        <f t="shared" si="469"/>
        <v>1.2464752189994741E-2</v>
      </c>
      <c r="CM121" s="218">
        <f t="shared" si="469"/>
        <v>1.3774074553351986E-2</v>
      </c>
      <c r="CN121" s="218">
        <f t="shared" si="469"/>
        <v>8.5253468473920589E-3</v>
      </c>
      <c r="CO121" s="218">
        <f t="shared" si="469"/>
        <v>6.8007545010560517E-3</v>
      </c>
      <c r="CP121" s="218">
        <f t="shared" si="469"/>
        <v>9.3856085221223299E-3</v>
      </c>
      <c r="CQ121" s="218">
        <f t="shared" si="469"/>
        <v>8.7246159896309135E-3</v>
      </c>
      <c r="CR121" s="218">
        <f t="shared" si="469"/>
        <v>8.5773557796672874E-3</v>
      </c>
      <c r="CS121" s="218">
        <f t="shared" si="469"/>
        <v>8.6059484647499525E-3</v>
      </c>
      <c r="CT121" s="218">
        <f t="shared" si="469"/>
        <v>8.6407485850319259E-3</v>
      </c>
      <c r="CU121" s="218">
        <f t="shared" si="469"/>
        <v>9.5441144355241543E-3</v>
      </c>
      <c r="CV121" s="218">
        <f t="shared" si="469"/>
        <v>9.6168430053906826E-3</v>
      </c>
      <c r="CW121" s="218">
        <f t="shared" si="469"/>
        <v>9.6367890806211606E-3</v>
      </c>
      <c r="CX121" s="218">
        <f t="shared" si="469"/>
        <v>9.1877085808266604E-3</v>
      </c>
      <c r="CY121" s="218">
        <f t="shared" si="469"/>
        <v>9.9942910456065868E-3</v>
      </c>
      <c r="CZ121" s="218">
        <f t="shared" si="469"/>
        <v>1.0016712704006499E-2</v>
      </c>
      <c r="DA121" s="218">
        <f t="shared" si="469"/>
        <v>9.4154187758165118E-3</v>
      </c>
      <c r="DB121" s="218">
        <f t="shared" si="469"/>
        <v>9.8411103554420631E-3</v>
      </c>
      <c r="DC121" s="218">
        <f t="shared" si="469"/>
        <v>8.2952107969155951E-3</v>
      </c>
      <c r="DD121" s="218">
        <f t="shared" si="469"/>
        <v>7.955646182966741E-3</v>
      </c>
      <c r="DE121" s="218">
        <f t="shared" si="469"/>
        <v>8.7815540827020783E-3</v>
      </c>
      <c r="DF121" s="218">
        <f t="shared" si="469"/>
        <v>7.8922318471569518E-3</v>
      </c>
      <c r="DG121" s="218">
        <f t="shared" si="469"/>
        <v>8.4426988751107341E-3</v>
      </c>
      <c r="DH121" s="218">
        <f t="shared" si="469"/>
        <v>8.4954959309786644E-3</v>
      </c>
      <c r="DI121" s="218">
        <f t="shared" si="469"/>
        <v>8.533175598136775E-3</v>
      </c>
      <c r="DJ121" s="218">
        <f t="shared" si="469"/>
        <v>8.1468060295527747E-3</v>
      </c>
      <c r="DK121" s="218">
        <f t="shared" si="469"/>
        <v>8.8533592928604025E-3</v>
      </c>
      <c r="DL121" s="218">
        <f t="shared" si="469"/>
        <v>8.8809054207907544E-3</v>
      </c>
      <c r="DM121" s="218">
        <f t="shared" si="469"/>
        <v>8.3748172081541967E-3</v>
      </c>
      <c r="DN121" s="218">
        <f t="shared" si="469"/>
        <v>8.7649571442071986E-3</v>
      </c>
      <c r="DO121" s="218">
        <f t="shared" si="469"/>
        <v>7.4259446141871077E-3</v>
      </c>
      <c r="DP121" s="218">
        <f t="shared" si="469"/>
        <v>7.1394845798306485E-3</v>
      </c>
      <c r="DQ121" s="218">
        <f t="shared" si="469"/>
        <v>7.8845220257818087E-3</v>
      </c>
      <c r="DR121" s="218">
        <f t="shared" si="469"/>
        <v>7.1408410683941612E-3</v>
      </c>
      <c r="DS121" s="218">
        <f t="shared" ref="DS121:ED121" si="470">DS117/DS36</f>
        <v>7.7460879636819116E-3</v>
      </c>
      <c r="DT121" s="218">
        <f t="shared" si="470"/>
        <v>7.7939563523642171E-3</v>
      </c>
      <c r="DU121" s="218">
        <f t="shared" si="470"/>
        <v>7.8293768245567275E-3</v>
      </c>
      <c r="DV121" s="218">
        <f t="shared" si="470"/>
        <v>7.4880228434015964E-3</v>
      </c>
      <c r="DW121" s="218">
        <f t="shared" si="470"/>
        <v>8.1254428153605084E-3</v>
      </c>
      <c r="DX121" s="218">
        <f t="shared" si="470"/>
        <v>8.1348826776241785E-3</v>
      </c>
      <c r="DY121" s="218">
        <f t="shared" si="470"/>
        <v>7.7053701684611118E-3</v>
      </c>
      <c r="DZ121" s="218">
        <f t="shared" si="470"/>
        <v>8.0513138226274185E-3</v>
      </c>
      <c r="EA121" s="218">
        <f t="shared" si="470"/>
        <v>6.8334004031258928E-3</v>
      </c>
      <c r="EB121" s="218">
        <f t="shared" si="470"/>
        <v>6.5686172065731749E-3</v>
      </c>
      <c r="EC121" s="218">
        <f t="shared" si="470"/>
        <v>7.2542665679137626E-3</v>
      </c>
      <c r="ED121" s="218">
        <f t="shared" si="470"/>
        <v>6.5860520164573192E-3</v>
      </c>
      <c r="EE121" s="168"/>
      <c r="EF121" s="218">
        <f t="shared" si="469"/>
        <v>1.0166155277903028E-2</v>
      </c>
      <c r="EG121" s="218">
        <f t="shared" si="469"/>
        <v>1.6176212589097103E-2</v>
      </c>
      <c r="EH121" s="218">
        <f t="shared" si="469"/>
        <v>1.8871999135845547E-2</v>
      </c>
      <c r="EI121" s="218">
        <f t="shared" si="469"/>
        <v>1.8709074979861174E-2</v>
      </c>
      <c r="EJ121" s="218">
        <f t="shared" si="469"/>
        <v>1.7534711487371641E-2</v>
      </c>
      <c r="EK121" s="218">
        <f t="shared" si="469"/>
        <v>1.1551816441064868E-2</v>
      </c>
      <c r="EL121" s="218">
        <f t="shared" si="469"/>
        <v>1.3652663644732858E-2</v>
      </c>
      <c r="EM121" s="218">
        <f t="shared" si="469"/>
        <v>1.4392977888358931E-2</v>
      </c>
      <c r="EN121" s="218">
        <f t="shared" ref="EN121:FI121" si="471">EN117/EN36</f>
        <v>1.2129643185404703E-2</v>
      </c>
      <c r="EO121" s="218">
        <f t="shared" si="471"/>
        <v>1.1551816441064868E-2</v>
      </c>
      <c r="EP121" s="218">
        <f t="shared" si="471"/>
        <v>8.2977765875962683E-3</v>
      </c>
      <c r="EQ121" s="218">
        <f t="shared" si="471"/>
        <v>8.6088117309372943E-3</v>
      </c>
      <c r="ER121" s="218">
        <f t="shared" si="471"/>
        <v>9.5990295091619559E-3</v>
      </c>
      <c r="ES121" s="218">
        <f t="shared" si="471"/>
        <v>9.7135363858796373E-3</v>
      </c>
      <c r="ET121" s="218">
        <f t="shared" si="471"/>
        <v>9.1295254313423346E-3</v>
      </c>
      <c r="EU121" s="218">
        <f t="shared" si="471"/>
        <v>8.1872706891973693E-3</v>
      </c>
      <c r="EV121" s="218">
        <f t="shared" si="471"/>
        <v>8.4902354025844229E-3</v>
      </c>
      <c r="EW121" s="218">
        <f t="shared" si="471"/>
        <v>8.6095147144570686E-3</v>
      </c>
      <c r="EX121" s="218">
        <f t="shared" si="471"/>
        <v>8.1426678539626516E-3</v>
      </c>
      <c r="EY121" s="218">
        <f t="shared" si="471"/>
        <v>7.3692869624971836E-3</v>
      </c>
      <c r="EZ121" s="218">
        <f t="shared" si="471"/>
        <v>7.7895956528459837E-3</v>
      </c>
      <c r="FA121" s="218">
        <f t="shared" si="471"/>
        <v>7.9006274015665304E-3</v>
      </c>
      <c r="FB121" s="218">
        <f t="shared" si="471"/>
        <v>7.4881428728516336E-3</v>
      </c>
      <c r="FC121" s="218">
        <f t="shared" si="471"/>
        <v>6.7857206401952773E-3</v>
      </c>
      <c r="FE121" s="218">
        <f t="shared" si="471"/>
        <v>1.6010843199558405E-2</v>
      </c>
      <c r="FF121" s="218">
        <f t="shared" si="471"/>
        <v>1.4042355570437558E-2</v>
      </c>
      <c r="FG121" s="218">
        <f t="shared" si="471"/>
        <v>9.9304118301788997E-3</v>
      </c>
      <c r="FH121" s="218">
        <f t="shared" si="471"/>
        <v>9.0964231197571306E-3</v>
      </c>
      <c r="FI121" s="218">
        <f t="shared" si="471"/>
        <v>8.1076275030702357E-3</v>
      </c>
      <c r="FJ121" s="218">
        <f t="shared" si="313"/>
        <v>2.9964086567459424E-2</v>
      </c>
    </row>
    <row r="122" spans="2:166" x14ac:dyDescent="0.2">
      <c r="B122" s="2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68"/>
      <c r="EF122" s="165"/>
      <c r="EG122" s="165"/>
      <c r="EH122" s="165"/>
      <c r="EI122" s="165"/>
      <c r="EJ122" s="165"/>
      <c r="EK122" s="165"/>
      <c r="EL122" s="165"/>
      <c r="EM122" s="165"/>
      <c r="EN122" s="165"/>
      <c r="EO122" s="165"/>
      <c r="EP122" s="165"/>
      <c r="EQ122" s="165"/>
      <c r="ER122" s="165"/>
      <c r="ES122" s="165"/>
      <c r="ET122" s="165"/>
      <c r="EU122" s="165"/>
      <c r="EV122" s="165"/>
      <c r="EW122" s="165"/>
      <c r="EX122" s="165"/>
      <c r="EY122" s="165"/>
      <c r="EZ122" s="165">
        <f t="shared" si="304"/>
        <v>0</v>
      </c>
      <c r="FA122" s="165">
        <f t="shared" si="305"/>
        <v>0</v>
      </c>
      <c r="FB122" s="165">
        <f t="shared" si="306"/>
        <v>0</v>
      </c>
      <c r="FC122" s="165">
        <f t="shared" si="307"/>
        <v>0</v>
      </c>
      <c r="FE122" s="165"/>
      <c r="FF122" s="165"/>
      <c r="FG122" s="165"/>
      <c r="FH122" s="165"/>
      <c r="FI122" s="165"/>
      <c r="FJ122" s="165">
        <f t="shared" si="313"/>
        <v>0</v>
      </c>
    </row>
    <row r="123" spans="2:166" s="30" customFormat="1" x14ac:dyDescent="0.2">
      <c r="B123" s="184" t="s">
        <v>153</v>
      </c>
      <c r="C123" s="182">
        <f>SUM(C124:C126)</f>
        <v>0</v>
      </c>
      <c r="D123" s="182">
        <f t="shared" ref="D123:BO123" si="472">SUM(D124:D126)</f>
        <v>0</v>
      </c>
      <c r="E123" s="182">
        <f t="shared" si="472"/>
        <v>0</v>
      </c>
      <c r="F123" s="182">
        <f t="shared" si="472"/>
        <v>0</v>
      </c>
      <c r="G123" s="182">
        <f t="shared" si="472"/>
        <v>0</v>
      </c>
      <c r="H123" s="182">
        <f t="shared" si="472"/>
        <v>0</v>
      </c>
      <c r="I123" s="182">
        <f t="shared" si="472"/>
        <v>0</v>
      </c>
      <c r="J123" s="182">
        <f t="shared" si="472"/>
        <v>0</v>
      </c>
      <c r="K123" s="182">
        <f t="shared" si="472"/>
        <v>0</v>
      </c>
      <c r="L123" s="182">
        <f t="shared" si="472"/>
        <v>0</v>
      </c>
      <c r="M123" s="182">
        <f t="shared" si="472"/>
        <v>0</v>
      </c>
      <c r="N123" s="182">
        <f t="shared" si="472"/>
        <v>0</v>
      </c>
      <c r="O123" s="182">
        <f t="shared" si="472"/>
        <v>0</v>
      </c>
      <c r="P123" s="182">
        <f t="shared" si="472"/>
        <v>0</v>
      </c>
      <c r="Q123" s="182">
        <f t="shared" si="472"/>
        <v>0</v>
      </c>
      <c r="R123" s="182">
        <f t="shared" si="472"/>
        <v>0</v>
      </c>
      <c r="S123" s="182">
        <f t="shared" si="472"/>
        <v>0</v>
      </c>
      <c r="T123" s="182">
        <f t="shared" si="472"/>
        <v>0</v>
      </c>
      <c r="U123" s="182">
        <f t="shared" si="472"/>
        <v>0</v>
      </c>
      <c r="V123" s="182">
        <f t="shared" si="472"/>
        <v>0</v>
      </c>
      <c r="W123" s="182">
        <f t="shared" si="472"/>
        <v>0</v>
      </c>
      <c r="X123" s="182">
        <f t="shared" si="472"/>
        <v>0</v>
      </c>
      <c r="Y123" s="182">
        <f t="shared" si="472"/>
        <v>0</v>
      </c>
      <c r="Z123" s="182">
        <f t="shared" si="472"/>
        <v>0</v>
      </c>
      <c r="AA123" s="182">
        <f t="shared" si="472"/>
        <v>0</v>
      </c>
      <c r="AB123" s="182">
        <f t="shared" si="472"/>
        <v>0</v>
      </c>
      <c r="AC123" s="182">
        <f t="shared" si="472"/>
        <v>0</v>
      </c>
      <c r="AD123" s="182">
        <f t="shared" si="472"/>
        <v>0</v>
      </c>
      <c r="AE123" s="182">
        <f t="shared" si="472"/>
        <v>0</v>
      </c>
      <c r="AF123" s="182">
        <f t="shared" si="472"/>
        <v>0</v>
      </c>
      <c r="AG123" s="182">
        <f t="shared" si="472"/>
        <v>0</v>
      </c>
      <c r="AH123" s="182">
        <f t="shared" si="472"/>
        <v>0</v>
      </c>
      <c r="AI123" s="182">
        <f t="shared" si="472"/>
        <v>0</v>
      </c>
      <c r="AJ123" s="182">
        <f t="shared" si="472"/>
        <v>0</v>
      </c>
      <c r="AK123" s="182">
        <f t="shared" si="472"/>
        <v>0</v>
      </c>
      <c r="AL123" s="182">
        <f t="shared" si="472"/>
        <v>0</v>
      </c>
      <c r="AM123" s="182">
        <f t="shared" si="472"/>
        <v>0</v>
      </c>
      <c r="AN123" s="182">
        <f t="shared" si="472"/>
        <v>0</v>
      </c>
      <c r="AO123" s="182">
        <f t="shared" si="472"/>
        <v>0</v>
      </c>
      <c r="AP123" s="182">
        <f t="shared" si="472"/>
        <v>0</v>
      </c>
      <c r="AQ123" s="182">
        <f t="shared" si="472"/>
        <v>0</v>
      </c>
      <c r="AR123" s="182">
        <f t="shared" si="472"/>
        <v>0</v>
      </c>
      <c r="AS123" s="182">
        <f t="shared" si="472"/>
        <v>0</v>
      </c>
      <c r="AT123" s="182">
        <f t="shared" si="472"/>
        <v>0</v>
      </c>
      <c r="AU123" s="182">
        <f t="shared" si="472"/>
        <v>0</v>
      </c>
      <c r="AV123" s="182">
        <f t="shared" si="472"/>
        <v>0</v>
      </c>
      <c r="AW123" s="182">
        <f t="shared" si="472"/>
        <v>0</v>
      </c>
      <c r="AX123" s="182">
        <f t="shared" si="472"/>
        <v>0</v>
      </c>
      <c r="AY123" s="182">
        <f t="shared" si="472"/>
        <v>0</v>
      </c>
      <c r="AZ123" s="182">
        <f t="shared" si="472"/>
        <v>0</v>
      </c>
      <c r="BA123" s="182">
        <f t="shared" si="472"/>
        <v>0</v>
      </c>
      <c r="BB123" s="182">
        <f t="shared" si="472"/>
        <v>0</v>
      </c>
      <c r="BC123" s="182">
        <f t="shared" si="472"/>
        <v>0</v>
      </c>
      <c r="BD123" s="182">
        <f t="shared" si="472"/>
        <v>0</v>
      </c>
      <c r="BE123" s="182">
        <f t="shared" si="472"/>
        <v>0</v>
      </c>
      <c r="BF123" s="182">
        <f t="shared" si="472"/>
        <v>0</v>
      </c>
      <c r="BG123" s="182">
        <f t="shared" si="472"/>
        <v>0</v>
      </c>
      <c r="BH123" s="182">
        <f t="shared" si="472"/>
        <v>0</v>
      </c>
      <c r="BI123" s="182">
        <f t="shared" si="472"/>
        <v>0</v>
      </c>
      <c r="BJ123" s="182">
        <f t="shared" si="472"/>
        <v>0</v>
      </c>
      <c r="BK123" s="182">
        <f t="shared" si="472"/>
        <v>2577526</v>
      </c>
      <c r="BL123" s="182">
        <f t="shared" si="472"/>
        <v>4592181</v>
      </c>
      <c r="BM123" s="182">
        <f t="shared" si="472"/>
        <v>3583553</v>
      </c>
      <c r="BN123" s="182">
        <f t="shared" si="472"/>
        <v>2830750</v>
      </c>
      <c r="BO123" s="182">
        <f t="shared" si="472"/>
        <v>3860166</v>
      </c>
      <c r="BP123" s="182">
        <f t="shared" ref="BP123:DR123" si="473">SUM(BP124:BP126)</f>
        <v>4028187</v>
      </c>
      <c r="BQ123" s="182">
        <f t="shared" si="473"/>
        <v>3414132</v>
      </c>
      <c r="BR123" s="182">
        <f t="shared" si="473"/>
        <v>7771609</v>
      </c>
      <c r="BS123" s="182">
        <f t="shared" si="473"/>
        <v>3758475</v>
      </c>
      <c r="BT123" s="182">
        <f t="shared" si="473"/>
        <v>4060056</v>
      </c>
      <c r="BU123" s="182">
        <f t="shared" si="473"/>
        <v>12093988</v>
      </c>
      <c r="BV123" s="182">
        <f t="shared" si="473"/>
        <v>3288406</v>
      </c>
      <c r="BW123" s="182">
        <f t="shared" si="473"/>
        <v>6165511</v>
      </c>
      <c r="BX123" s="182">
        <f t="shared" si="473"/>
        <v>5450781</v>
      </c>
      <c r="BY123" s="182">
        <f t="shared" si="473"/>
        <v>7603834</v>
      </c>
      <c r="BZ123" s="182">
        <f t="shared" si="473"/>
        <v>4662930</v>
      </c>
      <c r="CA123" s="182">
        <f t="shared" si="473"/>
        <v>5661283</v>
      </c>
      <c r="CB123" s="182">
        <f t="shared" si="473"/>
        <v>3731264</v>
      </c>
      <c r="CC123" s="182">
        <f t="shared" si="473"/>
        <v>2839923</v>
      </c>
      <c r="CD123" s="182">
        <f t="shared" si="473"/>
        <v>2762011</v>
      </c>
      <c r="CE123" s="182">
        <f t="shared" si="473"/>
        <v>3208090</v>
      </c>
      <c r="CF123" s="182">
        <f t="shared" si="473"/>
        <v>2464000</v>
      </c>
      <c r="CG123" s="182">
        <f t="shared" si="473"/>
        <v>2550234</v>
      </c>
      <c r="CH123" s="182">
        <f t="shared" si="473"/>
        <v>2574828</v>
      </c>
      <c r="CI123" s="182">
        <f t="shared" si="473"/>
        <v>3707370</v>
      </c>
      <c r="CJ123" s="182">
        <f t="shared" si="473"/>
        <v>4143910</v>
      </c>
      <c r="CK123" s="182">
        <f t="shared" si="473"/>
        <v>3165281</v>
      </c>
      <c r="CL123" s="182">
        <f t="shared" si="473"/>
        <v>2730929</v>
      </c>
      <c r="CM123" s="182">
        <f t="shared" si="473"/>
        <v>1991184</v>
      </c>
      <c r="CN123" s="182">
        <f t="shared" si="473"/>
        <v>2719490</v>
      </c>
      <c r="CO123" s="182">
        <f t="shared" si="473"/>
        <v>3554961.5</v>
      </c>
      <c r="CP123" s="182">
        <f t="shared" si="473"/>
        <v>3985494</v>
      </c>
      <c r="CQ123" s="182">
        <f t="shared" si="473"/>
        <v>4407009.5</v>
      </c>
      <c r="CR123" s="182">
        <f t="shared" si="473"/>
        <v>4902167</v>
      </c>
      <c r="CS123" s="182">
        <f t="shared" si="473"/>
        <v>4158966.5</v>
      </c>
      <c r="CT123" s="182">
        <f t="shared" si="473"/>
        <v>4610148.5</v>
      </c>
      <c r="CU123" s="182">
        <f t="shared" si="473"/>
        <v>1082880.25</v>
      </c>
      <c r="CV123" s="182">
        <f t="shared" si="473"/>
        <v>1082880.25</v>
      </c>
      <c r="CW123" s="182">
        <f t="shared" si="473"/>
        <v>1082880.25</v>
      </c>
      <c r="CX123" s="182">
        <f t="shared" si="473"/>
        <v>1082880.25</v>
      </c>
      <c r="CY123" s="182">
        <f t="shared" si="473"/>
        <v>1082880.25</v>
      </c>
      <c r="CZ123" s="182">
        <f t="shared" si="473"/>
        <v>1082880.25</v>
      </c>
      <c r="DA123" s="182">
        <f t="shared" si="473"/>
        <v>1137024.2625</v>
      </c>
      <c r="DB123" s="182">
        <f t="shared" si="473"/>
        <v>1137024.2625</v>
      </c>
      <c r="DC123" s="182">
        <f t="shared" si="473"/>
        <v>1137024.2625</v>
      </c>
      <c r="DD123" s="182">
        <f t="shared" si="473"/>
        <v>1137024.2625</v>
      </c>
      <c r="DE123" s="182">
        <f t="shared" si="473"/>
        <v>1137024.2625</v>
      </c>
      <c r="DF123" s="182">
        <f t="shared" si="473"/>
        <v>1137024.2625</v>
      </c>
      <c r="DG123" s="182">
        <f t="shared" si="473"/>
        <v>1137024.2625</v>
      </c>
      <c r="DH123" s="182">
        <f t="shared" si="473"/>
        <v>1137024.2625</v>
      </c>
      <c r="DI123" s="182">
        <f t="shared" si="473"/>
        <v>1137024.2625</v>
      </c>
      <c r="DJ123" s="182">
        <f t="shared" si="473"/>
        <v>1137024.2625</v>
      </c>
      <c r="DK123" s="182">
        <f t="shared" si="473"/>
        <v>1137024.2625</v>
      </c>
      <c r="DL123" s="182">
        <f t="shared" si="473"/>
        <v>1137024.2625</v>
      </c>
      <c r="DM123" s="182">
        <f t="shared" si="473"/>
        <v>1193875.475625</v>
      </c>
      <c r="DN123" s="182">
        <f t="shared" si="473"/>
        <v>1193875.475625</v>
      </c>
      <c r="DO123" s="182">
        <f t="shared" si="473"/>
        <v>1193875.475625</v>
      </c>
      <c r="DP123" s="182">
        <f t="shared" si="473"/>
        <v>1193875.475625</v>
      </c>
      <c r="DQ123" s="182">
        <f t="shared" si="473"/>
        <v>1193875.475625</v>
      </c>
      <c r="DR123" s="182">
        <f t="shared" si="473"/>
        <v>1193875.475625</v>
      </c>
      <c r="DS123" s="182">
        <f t="shared" ref="DS123:ED123" si="474">SUM(DS124:DS126)</f>
        <v>1193875.475625</v>
      </c>
      <c r="DT123" s="182">
        <f t="shared" si="474"/>
        <v>1193875.475625</v>
      </c>
      <c r="DU123" s="182">
        <f t="shared" si="474"/>
        <v>1193875.475625</v>
      </c>
      <c r="DV123" s="182">
        <f t="shared" si="474"/>
        <v>1193875.475625</v>
      </c>
      <c r="DW123" s="182">
        <f t="shared" si="474"/>
        <v>1193875.475625</v>
      </c>
      <c r="DX123" s="182">
        <f t="shared" si="474"/>
        <v>1193875.475625</v>
      </c>
      <c r="DY123" s="182">
        <f t="shared" si="474"/>
        <v>1253569.24940625</v>
      </c>
      <c r="DZ123" s="182">
        <f t="shared" si="474"/>
        <v>1253569.24940625</v>
      </c>
      <c r="EA123" s="182">
        <f t="shared" si="474"/>
        <v>1253569.24940625</v>
      </c>
      <c r="EB123" s="182">
        <f t="shared" si="474"/>
        <v>1253569.24940625</v>
      </c>
      <c r="EC123" s="182">
        <f t="shared" si="474"/>
        <v>1253569.24940625</v>
      </c>
      <c r="ED123" s="182">
        <f t="shared" si="474"/>
        <v>1253569.24940625</v>
      </c>
      <c r="EE123" s="333"/>
      <c r="EF123" s="224">
        <f>SUM(BK123:BM123)</f>
        <v>10753260</v>
      </c>
      <c r="EG123" s="224">
        <f>SUM(BN123:BP123)</f>
        <v>10719103</v>
      </c>
      <c r="EH123" s="224">
        <f>SUM(BQ123:BS123)</f>
        <v>14944216</v>
      </c>
      <c r="EI123" s="224">
        <f>SUM(BT123:BV123)</f>
        <v>19442450</v>
      </c>
      <c r="EJ123" s="224">
        <f>SUM(BW123:BY123)</f>
        <v>19220126</v>
      </c>
      <c r="EK123" s="224">
        <f>SUM(CL123:CN123)</f>
        <v>7441603</v>
      </c>
      <c r="EL123" s="224">
        <f>SUM(CC123:CE123)</f>
        <v>8810024</v>
      </c>
      <c r="EM123" s="224">
        <f>SUM(CF123:CH123)</f>
        <v>7589062</v>
      </c>
      <c r="EN123" s="224">
        <f>SUM(CI123:CK123)</f>
        <v>11016561</v>
      </c>
      <c r="EO123" s="224">
        <f>SUM(CL123:CN123)</f>
        <v>7441603</v>
      </c>
      <c r="EP123" s="224">
        <f>SUM(CO123:CQ123)</f>
        <v>11947465</v>
      </c>
      <c r="EQ123" s="224">
        <f>SUM(CR123:CT123)</f>
        <v>13671282</v>
      </c>
      <c r="ER123" s="224">
        <f>SUM(CU123:CW123)</f>
        <v>3248640.75</v>
      </c>
      <c r="ES123" s="224">
        <f>SUM(CX123:CZ123)</f>
        <v>3248640.75</v>
      </c>
      <c r="ET123" s="224">
        <f>SUM(DA123:DC123)</f>
        <v>3411072.7874999996</v>
      </c>
      <c r="EU123" s="224">
        <f>SUM(DD123:DF123)</f>
        <v>3411072.7874999996</v>
      </c>
      <c r="EV123" s="224">
        <f>SUM(DG123:DI123)</f>
        <v>3411072.7874999996</v>
      </c>
      <c r="EW123" s="224">
        <f>SUM(DJ123:DL123)</f>
        <v>3411072.7874999996</v>
      </c>
      <c r="EX123" s="224">
        <f>SUM(DM123:DO123)</f>
        <v>3581626.4268749999</v>
      </c>
      <c r="EY123" s="224">
        <f>SUM(DP123:DR123)</f>
        <v>3581626.4268749999</v>
      </c>
      <c r="EZ123" s="224">
        <f t="shared" si="304"/>
        <v>3581626.4268749999</v>
      </c>
      <c r="FA123" s="224">
        <f t="shared" si="305"/>
        <v>3581626.4268749999</v>
      </c>
      <c r="FB123" s="224">
        <f t="shared" si="306"/>
        <v>3760707.7482187496</v>
      </c>
      <c r="FC123" s="224">
        <f t="shared" si="307"/>
        <v>3760707.7482187496</v>
      </c>
      <c r="FE123" s="224">
        <f t="shared" si="308"/>
        <v>55859029</v>
      </c>
      <c r="FF123" s="224">
        <f t="shared" si="309"/>
        <v>43060815</v>
      </c>
      <c r="FG123" s="224">
        <f t="shared" si="310"/>
        <v>44076911</v>
      </c>
      <c r="FH123" s="224">
        <f t="shared" si="311"/>
        <v>13319427.074999999</v>
      </c>
      <c r="FI123" s="224">
        <f t="shared" si="312"/>
        <v>13985398.428749997</v>
      </c>
      <c r="FJ123" s="224">
        <f t="shared" si="313"/>
        <v>14684668.350187499</v>
      </c>
    </row>
    <row r="124" spans="2:166" x14ac:dyDescent="0.2">
      <c r="B124" s="155" t="s">
        <v>227</v>
      </c>
      <c r="C124" s="19">
        <f>'P&amp;L - Inputs'!B740</f>
        <v>0</v>
      </c>
      <c r="D124" s="19">
        <f>'P&amp;L - Inputs'!C740</f>
        <v>0</v>
      </c>
      <c r="E124" s="19">
        <f>'P&amp;L - Inputs'!D740</f>
        <v>0</v>
      </c>
      <c r="F124" s="19">
        <f>'P&amp;L - Inputs'!E740</f>
        <v>0</v>
      </c>
      <c r="G124" s="19">
        <f>'P&amp;L - Inputs'!F740</f>
        <v>0</v>
      </c>
      <c r="H124" s="19">
        <f>'P&amp;L - Inputs'!G740</f>
        <v>0</v>
      </c>
      <c r="I124" s="19">
        <f>'P&amp;L - Inputs'!H740</f>
        <v>0</v>
      </c>
      <c r="J124" s="19">
        <f>'P&amp;L - Inputs'!I740</f>
        <v>0</v>
      </c>
      <c r="K124" s="19">
        <f>'P&amp;L - Inputs'!J740</f>
        <v>0</v>
      </c>
      <c r="L124" s="19">
        <f>'P&amp;L - Inputs'!K740</f>
        <v>0</v>
      </c>
      <c r="M124" s="19">
        <f>'P&amp;L - Inputs'!L740</f>
        <v>0</v>
      </c>
      <c r="N124" s="19">
        <f>'P&amp;L - Inputs'!M740</f>
        <v>0</v>
      </c>
      <c r="O124" s="19">
        <f>'P&amp;L - Inputs'!N740</f>
        <v>0</v>
      </c>
      <c r="P124" s="19">
        <f>'P&amp;L - Inputs'!O740</f>
        <v>0</v>
      </c>
      <c r="Q124" s="19">
        <f>'P&amp;L - Inputs'!P740</f>
        <v>0</v>
      </c>
      <c r="R124" s="19">
        <f>'P&amp;L - Inputs'!Q740</f>
        <v>0</v>
      </c>
      <c r="S124" s="19">
        <f>'P&amp;L - Inputs'!R740</f>
        <v>0</v>
      </c>
      <c r="T124" s="19">
        <f>'P&amp;L - Inputs'!S740</f>
        <v>0</v>
      </c>
      <c r="U124" s="19">
        <f>'P&amp;L - Inputs'!T740</f>
        <v>0</v>
      </c>
      <c r="V124" s="19">
        <f>'P&amp;L - Inputs'!U740</f>
        <v>0</v>
      </c>
      <c r="W124" s="19">
        <f>'P&amp;L - Inputs'!V740</f>
        <v>0</v>
      </c>
      <c r="X124" s="19">
        <f>'P&amp;L - Inputs'!W740</f>
        <v>0</v>
      </c>
      <c r="Y124" s="19">
        <f>'P&amp;L - Inputs'!X740</f>
        <v>0</v>
      </c>
      <c r="Z124" s="19">
        <f>'P&amp;L - Inputs'!Y740</f>
        <v>0</v>
      </c>
      <c r="AA124" s="19">
        <f>'P&amp;L - Inputs'!Z740</f>
        <v>0</v>
      </c>
      <c r="AB124" s="19">
        <f>'P&amp;L - Inputs'!AA740</f>
        <v>0</v>
      </c>
      <c r="AC124" s="19">
        <f>'P&amp;L - Inputs'!AB740</f>
        <v>0</v>
      </c>
      <c r="AD124" s="19">
        <f>'P&amp;L - Inputs'!AC740</f>
        <v>0</v>
      </c>
      <c r="AE124" s="19">
        <f>'P&amp;L - Inputs'!AD740</f>
        <v>0</v>
      </c>
      <c r="AF124" s="19">
        <f>'P&amp;L - Inputs'!AE740</f>
        <v>0</v>
      </c>
      <c r="AG124" s="19">
        <f>'P&amp;L - Inputs'!AF740</f>
        <v>0</v>
      </c>
      <c r="AH124" s="19">
        <f>'P&amp;L - Inputs'!AG740</f>
        <v>0</v>
      </c>
      <c r="AI124" s="19">
        <f>'P&amp;L - Inputs'!AH740</f>
        <v>0</v>
      </c>
      <c r="AJ124" s="19">
        <f>'P&amp;L - Inputs'!AI740</f>
        <v>0</v>
      </c>
      <c r="AK124" s="19">
        <f>'P&amp;L - Inputs'!AJ740</f>
        <v>0</v>
      </c>
      <c r="AL124" s="19">
        <f>'P&amp;L - Inputs'!AK740</f>
        <v>0</v>
      </c>
      <c r="AM124" s="19">
        <f>'P&amp;L - Inputs'!AL740</f>
        <v>0</v>
      </c>
      <c r="AN124" s="19">
        <f>'P&amp;L - Inputs'!AM740</f>
        <v>0</v>
      </c>
      <c r="AO124" s="19">
        <f>'P&amp;L - Inputs'!AN740</f>
        <v>0</v>
      </c>
      <c r="AP124" s="19">
        <f>'P&amp;L - Inputs'!AO740</f>
        <v>0</v>
      </c>
      <c r="AQ124" s="19">
        <f>'P&amp;L - Inputs'!AP740</f>
        <v>0</v>
      </c>
      <c r="AR124" s="19">
        <f>'P&amp;L - Inputs'!AQ740</f>
        <v>0</v>
      </c>
      <c r="AS124" s="19">
        <f>'P&amp;L - Inputs'!AR740</f>
        <v>0</v>
      </c>
      <c r="AT124" s="19">
        <f>'P&amp;L - Inputs'!AS740</f>
        <v>0</v>
      </c>
      <c r="AU124" s="19">
        <f>'P&amp;L - Inputs'!AT740</f>
        <v>0</v>
      </c>
      <c r="AV124" s="19">
        <f>'P&amp;L - Inputs'!AU740</f>
        <v>0</v>
      </c>
      <c r="AW124" s="19">
        <f>'P&amp;L - Inputs'!AV740</f>
        <v>0</v>
      </c>
      <c r="AX124" s="19">
        <f>'P&amp;L - Inputs'!AW740</f>
        <v>0</v>
      </c>
      <c r="AY124" s="19">
        <f>'P&amp;L - Inputs'!AX740</f>
        <v>0</v>
      </c>
      <c r="AZ124" s="19">
        <f>'P&amp;L - Inputs'!AY740</f>
        <v>0</v>
      </c>
      <c r="BA124" s="19">
        <f>'P&amp;L - Inputs'!AZ740</f>
        <v>0</v>
      </c>
      <c r="BB124" s="19">
        <f>'P&amp;L - Inputs'!BA740</f>
        <v>0</v>
      </c>
      <c r="BC124" s="19">
        <f>'P&amp;L - Inputs'!BB740</f>
        <v>0</v>
      </c>
      <c r="BD124" s="19">
        <f>'P&amp;L - Inputs'!BC740</f>
        <v>0</v>
      </c>
      <c r="BE124" s="19">
        <f>'P&amp;L - Inputs'!BD740</f>
        <v>0</v>
      </c>
      <c r="BF124" s="19">
        <f>'P&amp;L - Inputs'!BE740</f>
        <v>0</v>
      </c>
      <c r="BG124" s="19">
        <f>'P&amp;L - Inputs'!BF740</f>
        <v>0</v>
      </c>
      <c r="BH124" s="19">
        <f>'P&amp;L - Inputs'!BG740</f>
        <v>0</v>
      </c>
      <c r="BI124" s="19">
        <f>'P&amp;L - Inputs'!BH740</f>
        <v>0</v>
      </c>
      <c r="BJ124" s="19">
        <f>'P&amp;L - Inputs'!BI740</f>
        <v>0</v>
      </c>
      <c r="BK124" s="19">
        <f>'P&amp;L - Inputs'!BJ740</f>
        <v>0</v>
      </c>
      <c r="BL124" s="19">
        <f>'P&amp;L - Inputs'!BK740</f>
        <v>0</v>
      </c>
      <c r="BM124" s="19">
        <f>'P&amp;L - Inputs'!BL740</f>
        <v>0</v>
      </c>
      <c r="BN124" s="19">
        <f>'P&amp;L - Inputs'!BM740</f>
        <v>0</v>
      </c>
      <c r="BO124" s="19">
        <f>'P&amp;L - Inputs'!BN740</f>
        <v>0</v>
      </c>
      <c r="BP124" s="19">
        <f>'P&amp;L - Inputs'!BO740</f>
        <v>0</v>
      </c>
      <c r="BQ124" s="19">
        <f>'P&amp;L - Inputs'!BP740</f>
        <v>0</v>
      </c>
      <c r="BR124" s="19">
        <f>'P&amp;L - Inputs'!BQ740</f>
        <v>0</v>
      </c>
      <c r="BS124" s="19">
        <f>'P&amp;L - Inputs'!BR740</f>
        <v>0</v>
      </c>
      <c r="BT124" s="19">
        <f>'P&amp;L - Inputs'!BS740</f>
        <v>0</v>
      </c>
      <c r="BU124" s="19">
        <f>'P&amp;L - Inputs'!BT740</f>
        <v>0</v>
      </c>
      <c r="BV124" s="19">
        <f>'P&amp;L - Inputs'!BU740</f>
        <v>0</v>
      </c>
      <c r="BW124" s="19">
        <f>'P&amp;L - Inputs'!BV740</f>
        <v>0</v>
      </c>
      <c r="BX124" s="19">
        <f>'P&amp;L - Inputs'!BW740</f>
        <v>0</v>
      </c>
      <c r="BY124" s="19">
        <f>'P&amp;L - Inputs'!BX740</f>
        <v>0</v>
      </c>
      <c r="BZ124" s="19">
        <f>'P&amp;L - Inputs'!BY740</f>
        <v>0</v>
      </c>
      <c r="CA124" s="19">
        <f>'P&amp;L - Inputs'!BZ740</f>
        <v>0</v>
      </c>
      <c r="CB124" s="19">
        <f>'P&amp;L - Inputs'!CA740</f>
        <v>0</v>
      </c>
      <c r="CC124" s="19">
        <f>'P&amp;L - Inputs'!CB740</f>
        <v>0</v>
      </c>
      <c r="CD124" s="19">
        <f>'P&amp;L - Inputs'!CC740</f>
        <v>0</v>
      </c>
      <c r="CE124" s="19">
        <f>'P&amp;L - Inputs'!CD740</f>
        <v>0</v>
      </c>
      <c r="CF124" s="19">
        <f>'P&amp;L - Inputs'!CE740</f>
        <v>0</v>
      </c>
      <c r="CG124" s="19">
        <f>'P&amp;L - Inputs'!CF740</f>
        <v>0</v>
      </c>
      <c r="CH124" s="19">
        <f>'P&amp;L - Inputs'!CG740</f>
        <v>0</v>
      </c>
      <c r="CI124" s="19">
        <f>'P&amp;L - Inputs'!CH740</f>
        <v>0</v>
      </c>
      <c r="CJ124" s="19">
        <f>'P&amp;L - Inputs'!CI740</f>
        <v>0</v>
      </c>
      <c r="CK124" s="19">
        <f>'P&amp;L - Inputs'!CJ740</f>
        <v>0</v>
      </c>
      <c r="CL124" s="19">
        <f>'P&amp;L - Inputs'!CK740</f>
        <v>0</v>
      </c>
      <c r="CM124" s="19">
        <f>'P&amp;L - Inputs'!CL740</f>
        <v>0</v>
      </c>
      <c r="CN124" s="19">
        <f>'P&amp;L - Inputs'!CM740</f>
        <v>0</v>
      </c>
      <c r="CO124" s="19">
        <f>'P&amp;L - Inputs'!CN740</f>
        <v>0</v>
      </c>
      <c r="CP124" s="19">
        <f>'P&amp;L - Inputs'!CO740</f>
        <v>0</v>
      </c>
      <c r="CQ124" s="19">
        <f>'P&amp;L - Inputs'!CP740</f>
        <v>0</v>
      </c>
      <c r="CR124" s="19">
        <f>'P&amp;L - Inputs'!CQ740</f>
        <v>0</v>
      </c>
      <c r="CS124" s="19">
        <f>'P&amp;L - Inputs'!CR740</f>
        <v>0</v>
      </c>
      <c r="CT124" s="19">
        <f>'P&amp;L - Inputs'!CS740</f>
        <v>0</v>
      </c>
      <c r="CU124" s="19">
        <f>'P&amp;L - Inputs'!CT740</f>
        <v>0</v>
      </c>
      <c r="CV124" s="19">
        <f>'P&amp;L - Inputs'!CU740</f>
        <v>0</v>
      </c>
      <c r="CW124" s="19">
        <f>'P&amp;L - Inputs'!CV740</f>
        <v>0</v>
      </c>
      <c r="CX124" s="19">
        <f>'P&amp;L - Inputs'!CW740</f>
        <v>0</v>
      </c>
      <c r="CY124" s="19">
        <f>'P&amp;L - Inputs'!CX740</f>
        <v>0</v>
      </c>
      <c r="CZ124" s="19">
        <f>'P&amp;L - Inputs'!CY740</f>
        <v>0</v>
      </c>
      <c r="DA124" s="19">
        <f>'P&amp;L - Inputs'!CZ740</f>
        <v>0</v>
      </c>
      <c r="DB124" s="19">
        <f>'P&amp;L - Inputs'!DA740</f>
        <v>0</v>
      </c>
      <c r="DC124" s="19">
        <f>'P&amp;L - Inputs'!DB740</f>
        <v>0</v>
      </c>
      <c r="DD124" s="19">
        <f>'P&amp;L - Inputs'!DC740</f>
        <v>0</v>
      </c>
      <c r="DE124" s="19">
        <f>'P&amp;L - Inputs'!DD740</f>
        <v>0</v>
      </c>
      <c r="DF124" s="19">
        <f>'P&amp;L - Inputs'!DE740</f>
        <v>0</v>
      </c>
      <c r="DG124" s="19">
        <f>'P&amp;L - Inputs'!DF740</f>
        <v>0</v>
      </c>
      <c r="DH124" s="19">
        <f>'P&amp;L - Inputs'!DG740</f>
        <v>0</v>
      </c>
      <c r="DI124" s="19">
        <f>'P&amp;L - Inputs'!DH740</f>
        <v>0</v>
      </c>
      <c r="DJ124" s="19">
        <f>'P&amp;L - Inputs'!DI740</f>
        <v>0</v>
      </c>
      <c r="DK124" s="19">
        <f>'P&amp;L - Inputs'!DJ740</f>
        <v>0</v>
      </c>
      <c r="DL124" s="19">
        <f>'P&amp;L - Inputs'!DK740</f>
        <v>0</v>
      </c>
      <c r="DM124" s="19">
        <f>'P&amp;L - Inputs'!DL740</f>
        <v>0</v>
      </c>
      <c r="DN124" s="19">
        <f>'P&amp;L - Inputs'!DM740</f>
        <v>0</v>
      </c>
      <c r="DO124" s="19">
        <f>'P&amp;L - Inputs'!DN740</f>
        <v>0</v>
      </c>
      <c r="DP124" s="19">
        <f>'P&amp;L - Inputs'!DO740</f>
        <v>0</v>
      </c>
      <c r="DQ124" s="19">
        <f>'P&amp;L - Inputs'!DP740</f>
        <v>0</v>
      </c>
      <c r="DR124" s="19">
        <f>'P&amp;L - Inputs'!DQ740</f>
        <v>0</v>
      </c>
      <c r="DS124" s="19">
        <f>'P&amp;L - Inputs'!DR740</f>
        <v>0</v>
      </c>
      <c r="DT124" s="19">
        <f>'P&amp;L - Inputs'!DS740</f>
        <v>0</v>
      </c>
      <c r="DU124" s="19">
        <f>'P&amp;L - Inputs'!DT740</f>
        <v>0</v>
      </c>
      <c r="DV124" s="19">
        <f>'P&amp;L - Inputs'!DU740</f>
        <v>0</v>
      </c>
      <c r="DW124" s="19">
        <f>'P&amp;L - Inputs'!DV740</f>
        <v>0</v>
      </c>
      <c r="DX124" s="19">
        <f>'P&amp;L - Inputs'!DW740</f>
        <v>0</v>
      </c>
      <c r="DY124" s="19">
        <f>'P&amp;L - Inputs'!DX740</f>
        <v>0</v>
      </c>
      <c r="DZ124" s="19">
        <f>'P&amp;L - Inputs'!DY740</f>
        <v>0</v>
      </c>
      <c r="EA124" s="19">
        <f>'P&amp;L - Inputs'!DZ740</f>
        <v>0</v>
      </c>
      <c r="EB124" s="19">
        <f>'P&amp;L - Inputs'!EA740</f>
        <v>0</v>
      </c>
      <c r="EC124" s="19">
        <f>'P&amp;L - Inputs'!EB740</f>
        <v>0</v>
      </c>
      <c r="ED124" s="19">
        <f>'P&amp;L - Inputs'!EC740</f>
        <v>0</v>
      </c>
      <c r="EE124" s="168"/>
      <c r="EF124" s="165">
        <f>SUM(BK124:BM124)</f>
        <v>0</v>
      </c>
      <c r="EG124" s="165">
        <f>SUM(BN124:BP124)</f>
        <v>0</v>
      </c>
      <c r="EH124" s="165">
        <f>SUM(BQ124:BS124)</f>
        <v>0</v>
      </c>
      <c r="EI124" s="165">
        <f>SUM(BT124:BV124)</f>
        <v>0</v>
      </c>
      <c r="EJ124" s="165">
        <f>SUM(BW124:BY124)</f>
        <v>0</v>
      </c>
      <c r="EK124" s="165">
        <f>SUM(CL124:CN124)</f>
        <v>0</v>
      </c>
      <c r="EL124" s="165">
        <f>SUM(CC124:CE124)</f>
        <v>0</v>
      </c>
      <c r="EM124" s="165">
        <f>SUM(CF124:CH124)</f>
        <v>0</v>
      </c>
      <c r="EN124" s="165">
        <f>SUM(CI124:CK124)</f>
        <v>0</v>
      </c>
      <c r="EO124" s="165">
        <f>SUM(CL124:CN124)</f>
        <v>0</v>
      </c>
      <c r="EP124" s="165">
        <f>SUM(CO124:CQ124)</f>
        <v>0</v>
      </c>
      <c r="EQ124" s="165">
        <f>SUM(CR124:CT124)</f>
        <v>0</v>
      </c>
      <c r="ER124" s="165">
        <f>SUM(CU124:CW124)</f>
        <v>0</v>
      </c>
      <c r="ES124" s="165">
        <f>SUM(CX124:CZ124)</f>
        <v>0</v>
      </c>
      <c r="ET124" s="165">
        <f>SUM(DA124:DC124)</f>
        <v>0</v>
      </c>
      <c r="EU124" s="165">
        <f>SUM(DD124:DF124)</f>
        <v>0</v>
      </c>
      <c r="EV124" s="165">
        <f>SUM(DG124:DI124)</f>
        <v>0</v>
      </c>
      <c r="EW124" s="165">
        <f>SUM(DJ124:DL124)</f>
        <v>0</v>
      </c>
      <c r="EX124" s="165">
        <f>SUM(DM124:DO124)</f>
        <v>0</v>
      </c>
      <c r="EY124" s="165">
        <f>SUM(DP124:DR124)</f>
        <v>0</v>
      </c>
      <c r="EZ124" s="165">
        <f t="shared" si="304"/>
        <v>0</v>
      </c>
      <c r="FA124" s="165">
        <f t="shared" si="305"/>
        <v>0</v>
      </c>
      <c r="FB124" s="165">
        <f t="shared" si="306"/>
        <v>0</v>
      </c>
      <c r="FC124" s="165">
        <f t="shared" si="307"/>
        <v>0</v>
      </c>
      <c r="FE124" s="165">
        <f t="shared" si="308"/>
        <v>0</v>
      </c>
      <c r="FF124" s="165">
        <f t="shared" si="309"/>
        <v>0</v>
      </c>
      <c r="FG124" s="165">
        <f t="shared" si="310"/>
        <v>0</v>
      </c>
      <c r="FH124" s="165">
        <f t="shared" si="311"/>
        <v>0</v>
      </c>
      <c r="FI124" s="165">
        <f t="shared" si="312"/>
        <v>0</v>
      </c>
      <c r="FJ124" s="165">
        <f t="shared" si="313"/>
        <v>0</v>
      </c>
    </row>
    <row r="125" spans="2:166" x14ac:dyDescent="0.2">
      <c r="B125" s="155" t="s">
        <v>228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f>'D2C Online'!C150</f>
        <v>0</v>
      </c>
      <c r="M125" s="19">
        <f>'D2C Online'!D150</f>
        <v>0</v>
      </c>
      <c r="N125" s="19">
        <f>'D2C Online'!E150</f>
        <v>0</v>
      </c>
      <c r="O125" s="19">
        <f>'D2C Online'!F150</f>
        <v>0</v>
      </c>
      <c r="P125" s="19">
        <f>'D2C Online'!G150</f>
        <v>0</v>
      </c>
      <c r="Q125" s="19">
        <f>'D2C Online'!H150</f>
        <v>0</v>
      </c>
      <c r="R125" s="19">
        <f>'D2C Online'!I150</f>
        <v>0</v>
      </c>
      <c r="S125" s="19">
        <f>'D2C Online'!J150</f>
        <v>0</v>
      </c>
      <c r="T125" s="19">
        <f>'D2C Online'!K150</f>
        <v>0</v>
      </c>
      <c r="U125" s="19">
        <f>'D2C Online'!L150</f>
        <v>0</v>
      </c>
      <c r="V125" s="19">
        <f>'D2C Online'!M150</f>
        <v>0</v>
      </c>
      <c r="W125" s="19">
        <f>'D2C Online'!N150</f>
        <v>0</v>
      </c>
      <c r="X125" s="19">
        <f>'D2C Online'!O150</f>
        <v>0</v>
      </c>
      <c r="Y125" s="19">
        <f>'D2C Online'!P150</f>
        <v>0</v>
      </c>
      <c r="Z125" s="19">
        <f>'D2C Online'!Q150</f>
        <v>0</v>
      </c>
      <c r="AA125" s="19">
        <f>'D2C Online'!R150</f>
        <v>0</v>
      </c>
      <c r="AB125" s="19">
        <f>'D2C Online'!S150</f>
        <v>0</v>
      </c>
      <c r="AC125" s="19">
        <f>'D2C Online'!T150</f>
        <v>0</v>
      </c>
      <c r="AD125" s="19">
        <f>'D2C Online'!U150</f>
        <v>0</v>
      </c>
      <c r="AE125" s="19">
        <f>'D2C Online'!V150</f>
        <v>0</v>
      </c>
      <c r="AF125" s="19">
        <f>'D2C Online'!W150</f>
        <v>0</v>
      </c>
      <c r="AG125" s="19">
        <f>'D2C Online'!X150</f>
        <v>0</v>
      </c>
      <c r="AH125" s="19">
        <f>'D2C Online'!Y150</f>
        <v>0</v>
      </c>
      <c r="AI125" s="19">
        <f>'D2C Online'!Z150</f>
        <v>0</v>
      </c>
      <c r="AJ125" s="19">
        <f>'D2C Online'!AA150</f>
        <v>0</v>
      </c>
      <c r="AK125" s="19">
        <f>'D2C Online'!AB150</f>
        <v>0</v>
      </c>
      <c r="AL125" s="19">
        <f>'D2C Online'!AC150</f>
        <v>0</v>
      </c>
      <c r="AM125" s="19">
        <f>'D2C Online'!AD150</f>
        <v>0</v>
      </c>
      <c r="AN125" s="19">
        <f>'D2C Online'!AE150</f>
        <v>0</v>
      </c>
      <c r="AO125" s="19">
        <f>'D2C Online'!AF150</f>
        <v>0</v>
      </c>
      <c r="AP125" s="19">
        <f>'D2C Online'!AG150</f>
        <v>0</v>
      </c>
      <c r="AQ125" s="19">
        <f>'D2C Online'!AH150</f>
        <v>0</v>
      </c>
      <c r="AR125" s="19">
        <f>'D2C Online'!AI150</f>
        <v>0</v>
      </c>
      <c r="AS125" s="19">
        <f>'D2C Online'!AJ150</f>
        <v>0</v>
      </c>
      <c r="AT125" s="19">
        <f>'D2C Online'!AK150</f>
        <v>0</v>
      </c>
      <c r="AU125" s="19">
        <f>'D2C Online'!AL150</f>
        <v>0</v>
      </c>
      <c r="AV125" s="19">
        <f>'D2C Online'!AM150</f>
        <v>0</v>
      </c>
      <c r="AW125" s="19">
        <f>'D2C Online'!AN150</f>
        <v>0</v>
      </c>
      <c r="AX125" s="19">
        <f>'D2C Online'!AO150</f>
        <v>0</v>
      </c>
      <c r="AY125" s="19">
        <f>'D2C Online'!AP150</f>
        <v>0</v>
      </c>
      <c r="AZ125" s="19">
        <f>'D2C Online'!AQ150</f>
        <v>0</v>
      </c>
      <c r="BA125" s="19">
        <f>'D2C Online'!AR150</f>
        <v>0</v>
      </c>
      <c r="BB125" s="19">
        <f>'D2C Online'!AS150</f>
        <v>0</v>
      </c>
      <c r="BC125" s="19">
        <f>'D2C Online'!AT150</f>
        <v>0</v>
      </c>
      <c r="BD125" s="19">
        <f>'D2C Online'!AU150</f>
        <v>0</v>
      </c>
      <c r="BE125" s="19">
        <f>'D2C Online'!AV150</f>
        <v>0</v>
      </c>
      <c r="BF125" s="19">
        <f>'D2C Online'!AW150</f>
        <v>0</v>
      </c>
      <c r="BG125" s="19">
        <f>'D2C Online'!AX150</f>
        <v>0</v>
      </c>
      <c r="BH125" s="19">
        <f>'D2C Online'!AY150</f>
        <v>0</v>
      </c>
      <c r="BI125" s="19">
        <f>'D2C Online'!AZ150</f>
        <v>0</v>
      </c>
      <c r="BJ125" s="19">
        <f>'D2C Online'!BA150</f>
        <v>0</v>
      </c>
      <c r="BK125" s="19">
        <f>'D2C Online'!BB150</f>
        <v>685400</v>
      </c>
      <c r="BL125" s="19">
        <f>'D2C Online'!BC150</f>
        <v>349179</v>
      </c>
      <c r="BM125" s="19">
        <f>'D2C Online'!BD150</f>
        <v>695000</v>
      </c>
      <c r="BN125" s="19">
        <f>'D2C Online'!BE150</f>
        <v>726000</v>
      </c>
      <c r="BO125" s="19">
        <f>'D2C Online'!BF150</f>
        <v>859248</v>
      </c>
      <c r="BP125" s="19">
        <f>'D2C Online'!BG150</f>
        <v>707333</v>
      </c>
      <c r="BQ125" s="19">
        <f>'D2C Online'!BH150</f>
        <v>938744</v>
      </c>
      <c r="BR125" s="19">
        <f>'D2C Online'!BI150</f>
        <v>1311233</v>
      </c>
      <c r="BS125" s="19">
        <f>'D2C Online'!BJ150</f>
        <v>696100</v>
      </c>
      <c r="BT125" s="19">
        <f>'D2C Online'!BK150</f>
        <v>2809410</v>
      </c>
      <c r="BU125" s="19">
        <f>'D2C Online'!BL150</f>
        <v>6114480</v>
      </c>
      <c r="BV125" s="19">
        <f>'D2C Online'!BM150</f>
        <v>931872</v>
      </c>
      <c r="BW125" s="19">
        <f>'D2C Online'!BN150</f>
        <v>4538330</v>
      </c>
      <c r="BX125" s="19">
        <f>'D2C Online'!BO150</f>
        <v>3375080</v>
      </c>
      <c r="BY125" s="19">
        <f>'D2C Online'!BP150</f>
        <v>6106136</v>
      </c>
      <c r="BZ125" s="19">
        <f>'D2C Online'!BQ150</f>
        <v>2821489</v>
      </c>
      <c r="CA125" s="19">
        <f>'D2C Online'!BR150</f>
        <v>3978428</v>
      </c>
      <c r="CB125" s="19">
        <f>'D2C Online'!BS150</f>
        <v>1708094</v>
      </c>
      <c r="CC125" s="19">
        <f>'D2C Online'!BT150</f>
        <v>1504276</v>
      </c>
      <c r="CD125" s="19">
        <f>'D2C Online'!BU150</f>
        <v>742327</v>
      </c>
      <c r="CE125" s="19">
        <f>'D2C Online'!BV150</f>
        <v>1353575</v>
      </c>
      <c r="CF125" s="19">
        <f>'D2C Online'!BW150</f>
        <v>636012</v>
      </c>
      <c r="CG125" s="19">
        <f>'D2C Online'!BX150</f>
        <v>881890</v>
      </c>
      <c r="CH125" s="19">
        <f>'D2C Online'!BY150</f>
        <v>1005454</v>
      </c>
      <c r="CI125" s="19">
        <f>'D2C Online'!BZ150</f>
        <v>2116529</v>
      </c>
      <c r="CJ125" s="19">
        <f>'D2C Online'!CA150</f>
        <v>2211570</v>
      </c>
      <c r="CK125" s="19">
        <f>'D2C Online'!CB150</f>
        <v>1561679</v>
      </c>
      <c r="CL125" s="19">
        <f>'D2C Online'!CC150</f>
        <v>793632</v>
      </c>
      <c r="CM125" s="19">
        <f>'D2C Online'!CD150</f>
        <v>530618</v>
      </c>
      <c r="CN125" s="19">
        <f>'D2C Online'!CE150</f>
        <v>724370</v>
      </c>
      <c r="CO125" s="19">
        <f>'D2C Online'!CF150</f>
        <v>1661233.25</v>
      </c>
      <c r="CP125" s="19">
        <f>'D2C Online'!CG150</f>
        <v>1644032</v>
      </c>
      <c r="CQ125" s="19">
        <f>'D2C Online'!CH150</f>
        <v>1170726.75</v>
      </c>
      <c r="CR125" s="19">
        <f>'D2C Online'!CI150</f>
        <v>1594965</v>
      </c>
      <c r="CS125" s="19">
        <f>'D2C Online'!CJ150</f>
        <v>1149598.75</v>
      </c>
      <c r="CT125" s="19">
        <f>'D2C Online'!CK150</f>
        <v>1082880.25</v>
      </c>
      <c r="CU125" s="19">
        <f>'D2C Online'!CL150</f>
        <v>1082880.25</v>
      </c>
      <c r="CV125" s="19">
        <f>'D2C Online'!CM150</f>
        <v>1082880.25</v>
      </c>
      <c r="CW125" s="19">
        <f>'D2C Online'!CN150</f>
        <v>1082880.25</v>
      </c>
      <c r="CX125" s="19">
        <f>'D2C Online'!CO150</f>
        <v>1082880.25</v>
      </c>
      <c r="CY125" s="19">
        <f>'D2C Online'!CP150</f>
        <v>1082880.25</v>
      </c>
      <c r="CZ125" s="19">
        <f>'D2C Online'!CQ150</f>
        <v>1082880.25</v>
      </c>
      <c r="DA125" s="19">
        <f>'D2C Online'!CR150</f>
        <v>1137024.2625</v>
      </c>
      <c r="DB125" s="19">
        <f>'D2C Online'!CS150</f>
        <v>1137024.2625</v>
      </c>
      <c r="DC125" s="19">
        <f>'D2C Online'!CT150</f>
        <v>1137024.2625</v>
      </c>
      <c r="DD125" s="19">
        <f>'D2C Online'!CU150</f>
        <v>1137024.2625</v>
      </c>
      <c r="DE125" s="19">
        <f>'D2C Online'!CV150</f>
        <v>1137024.2625</v>
      </c>
      <c r="DF125" s="19">
        <f>'D2C Online'!CW150</f>
        <v>1137024.2625</v>
      </c>
      <c r="DG125" s="19">
        <f>'D2C Online'!CX150</f>
        <v>1137024.2625</v>
      </c>
      <c r="DH125" s="19">
        <f>'D2C Online'!CY150</f>
        <v>1137024.2625</v>
      </c>
      <c r="DI125" s="19">
        <f>'D2C Online'!CZ150</f>
        <v>1137024.2625</v>
      </c>
      <c r="DJ125" s="19">
        <f>'D2C Online'!DA150</f>
        <v>1137024.2625</v>
      </c>
      <c r="DK125" s="19">
        <f>'D2C Online'!DB150</f>
        <v>1137024.2625</v>
      </c>
      <c r="DL125" s="19">
        <f>'D2C Online'!DC150</f>
        <v>1137024.2625</v>
      </c>
      <c r="DM125" s="19">
        <f>'D2C Online'!DD150</f>
        <v>1193875.475625</v>
      </c>
      <c r="DN125" s="19">
        <f>'D2C Online'!DE150</f>
        <v>1193875.475625</v>
      </c>
      <c r="DO125" s="19">
        <f>'D2C Online'!DF150</f>
        <v>1193875.475625</v>
      </c>
      <c r="DP125" s="19">
        <f>'D2C Online'!DG150</f>
        <v>1193875.475625</v>
      </c>
      <c r="DQ125" s="19">
        <f>'D2C Online'!DH150</f>
        <v>1193875.475625</v>
      </c>
      <c r="DR125" s="19">
        <f>'D2C Online'!DI150</f>
        <v>1193875.475625</v>
      </c>
      <c r="DS125" s="19">
        <f>'D2C Online'!DJ150</f>
        <v>1193875.475625</v>
      </c>
      <c r="DT125" s="19">
        <f>'D2C Online'!DK150</f>
        <v>1193875.475625</v>
      </c>
      <c r="DU125" s="19">
        <f>'D2C Online'!DL150</f>
        <v>1193875.475625</v>
      </c>
      <c r="DV125" s="19">
        <f>'D2C Online'!DM150</f>
        <v>1193875.475625</v>
      </c>
      <c r="DW125" s="19">
        <f>'D2C Online'!DN150</f>
        <v>1193875.475625</v>
      </c>
      <c r="DX125" s="19">
        <f>'D2C Online'!DO150</f>
        <v>1193875.475625</v>
      </c>
      <c r="DY125" s="19">
        <f>'D2C Online'!DP150</f>
        <v>1253569.24940625</v>
      </c>
      <c r="DZ125" s="19">
        <f>'D2C Online'!DQ150</f>
        <v>1253569.24940625</v>
      </c>
      <c r="EA125" s="19">
        <f>'D2C Online'!DR150</f>
        <v>1253569.24940625</v>
      </c>
      <c r="EB125" s="19">
        <f>'D2C Online'!DS150</f>
        <v>1253569.24940625</v>
      </c>
      <c r="EC125" s="19">
        <f>'D2C Online'!DT150</f>
        <v>1253569.24940625</v>
      </c>
      <c r="ED125" s="19">
        <f>'D2C Online'!DU150</f>
        <v>1253569.24940625</v>
      </c>
      <c r="EE125" s="168"/>
      <c r="EF125" s="165">
        <f>SUM(BK125:BM125)</f>
        <v>1729579</v>
      </c>
      <c r="EG125" s="165">
        <f>SUM(BN125:BP125)</f>
        <v>2292581</v>
      </c>
      <c r="EH125" s="165">
        <f>SUM(BQ125:BS125)</f>
        <v>2946077</v>
      </c>
      <c r="EI125" s="165">
        <f>SUM(BT125:BV125)</f>
        <v>9855762</v>
      </c>
      <c r="EJ125" s="165">
        <f>SUM(BW125:BY125)</f>
        <v>14019546</v>
      </c>
      <c r="EK125" s="165">
        <f>SUM(CL125:CN125)</f>
        <v>2048620</v>
      </c>
      <c r="EL125" s="165">
        <f>SUM(CC125:CE125)</f>
        <v>3600178</v>
      </c>
      <c r="EM125" s="165">
        <f>SUM(CF125:CH125)</f>
        <v>2523356</v>
      </c>
      <c r="EN125" s="165">
        <f>SUM(CI125:CK125)</f>
        <v>5889778</v>
      </c>
      <c r="EO125" s="165">
        <f>SUM(CL125:CN125)</f>
        <v>2048620</v>
      </c>
      <c r="EP125" s="165">
        <f>SUM(CO125:CQ125)</f>
        <v>4475992</v>
      </c>
      <c r="EQ125" s="165">
        <f>SUM(CR125:CT125)</f>
        <v>3827444</v>
      </c>
      <c r="ER125" s="165">
        <f>SUM(CU125:CW125)</f>
        <v>3248640.75</v>
      </c>
      <c r="ES125" s="165">
        <f>SUM(CX125:CZ125)</f>
        <v>3248640.75</v>
      </c>
      <c r="ET125" s="165">
        <f>SUM(DA125:DC125)</f>
        <v>3411072.7874999996</v>
      </c>
      <c r="EU125" s="165">
        <f>SUM(DD125:DF125)</f>
        <v>3411072.7874999996</v>
      </c>
      <c r="EV125" s="165">
        <f>SUM(DG125:DI125)</f>
        <v>3411072.7874999996</v>
      </c>
      <c r="EW125" s="165">
        <f>SUM(DJ125:DL125)</f>
        <v>3411072.7874999996</v>
      </c>
      <c r="EX125" s="165">
        <f>SUM(DM125:DO125)</f>
        <v>3581626.4268749999</v>
      </c>
      <c r="EY125" s="165">
        <f>SUM(DP125:DR125)</f>
        <v>3581626.4268749999</v>
      </c>
      <c r="EZ125" s="165">
        <f t="shared" si="304"/>
        <v>3581626.4268749999</v>
      </c>
      <c r="FA125" s="165">
        <f t="shared" si="305"/>
        <v>3581626.4268749999</v>
      </c>
      <c r="FB125" s="165">
        <f t="shared" si="306"/>
        <v>3760707.7482187496</v>
      </c>
      <c r="FC125" s="165">
        <f t="shared" si="307"/>
        <v>3760707.7482187496</v>
      </c>
      <c r="FE125" s="165">
        <f t="shared" si="308"/>
        <v>16823999</v>
      </c>
      <c r="FF125" s="165">
        <f t="shared" si="309"/>
        <v>22191700</v>
      </c>
      <c r="FG125" s="165">
        <f t="shared" si="310"/>
        <v>16241834</v>
      </c>
      <c r="FH125" s="165">
        <f t="shared" si="311"/>
        <v>13319427.074999999</v>
      </c>
      <c r="FI125" s="165">
        <f t="shared" si="312"/>
        <v>13985398.428749997</v>
      </c>
      <c r="FJ125" s="165">
        <f t="shared" si="313"/>
        <v>14684668.350187499</v>
      </c>
    </row>
    <row r="126" spans="2:166" x14ac:dyDescent="0.2">
      <c r="B126" s="155" t="s">
        <v>229</v>
      </c>
      <c r="C126" s="19">
        <v>0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f>'D2C - Retail'!C164</f>
        <v>0</v>
      </c>
      <c r="AD126" s="19">
        <f>'D2C - Retail'!D164</f>
        <v>0</v>
      </c>
      <c r="AE126" s="19">
        <f>'D2C - Retail'!E164</f>
        <v>0</v>
      </c>
      <c r="AF126" s="19">
        <f>'D2C - Retail'!F164</f>
        <v>0</v>
      </c>
      <c r="AG126" s="19">
        <f>'D2C - Retail'!G164</f>
        <v>0</v>
      </c>
      <c r="AH126" s="19">
        <f>'D2C - Retail'!H164</f>
        <v>0</v>
      </c>
      <c r="AI126" s="19">
        <f>'D2C - Retail'!I164</f>
        <v>0</v>
      </c>
      <c r="AJ126" s="19">
        <f>'D2C - Retail'!J164</f>
        <v>0</v>
      </c>
      <c r="AK126" s="19">
        <f>'D2C - Retail'!K164</f>
        <v>0</v>
      </c>
      <c r="AL126" s="19">
        <f>'D2C - Retail'!L164</f>
        <v>0</v>
      </c>
      <c r="AM126" s="19">
        <f>'D2C - Retail'!M164</f>
        <v>0</v>
      </c>
      <c r="AN126" s="19">
        <f>'D2C - Retail'!N164</f>
        <v>0</v>
      </c>
      <c r="AO126" s="19">
        <f>'D2C - Retail'!O164</f>
        <v>0</v>
      </c>
      <c r="AP126" s="19">
        <f>'D2C - Retail'!P164</f>
        <v>0</v>
      </c>
      <c r="AQ126" s="19">
        <f>'D2C - Retail'!Q164</f>
        <v>0</v>
      </c>
      <c r="AR126" s="19">
        <f>'D2C - Retail'!R164</f>
        <v>0</v>
      </c>
      <c r="AS126" s="19">
        <f>'D2C - Retail'!S164</f>
        <v>0</v>
      </c>
      <c r="AT126" s="19">
        <f>'D2C - Retail'!T164</f>
        <v>0</v>
      </c>
      <c r="AU126" s="19">
        <f>'D2C - Retail'!U164</f>
        <v>0</v>
      </c>
      <c r="AV126" s="19">
        <f>'D2C - Retail'!V164</f>
        <v>0</v>
      </c>
      <c r="AW126" s="19">
        <f>'D2C - Retail'!W164</f>
        <v>0</v>
      </c>
      <c r="AX126" s="19">
        <f>'D2C - Retail'!X164</f>
        <v>0</v>
      </c>
      <c r="AY126" s="19">
        <f>'D2C - Retail'!Y164</f>
        <v>0</v>
      </c>
      <c r="AZ126" s="19">
        <f>'D2C - Retail'!Z164</f>
        <v>0</v>
      </c>
      <c r="BA126" s="19">
        <f>'D2C - Retail'!AA164</f>
        <v>0</v>
      </c>
      <c r="BB126" s="19">
        <f>'D2C - Retail'!AB164</f>
        <v>0</v>
      </c>
      <c r="BC126" s="19">
        <f>'D2C - Retail'!AC164</f>
        <v>0</v>
      </c>
      <c r="BD126" s="19">
        <f>'D2C - Retail'!AD164</f>
        <v>0</v>
      </c>
      <c r="BE126" s="19">
        <f>'D2C - Retail'!AE164</f>
        <v>0</v>
      </c>
      <c r="BF126" s="19">
        <f>'D2C - Retail'!AF164</f>
        <v>0</v>
      </c>
      <c r="BG126" s="19">
        <f>'D2C - Retail'!AG164</f>
        <v>0</v>
      </c>
      <c r="BH126" s="19">
        <f>'D2C - Retail'!AH164</f>
        <v>0</v>
      </c>
      <c r="BI126" s="19">
        <f>'D2C - Retail'!AI164</f>
        <v>0</v>
      </c>
      <c r="BJ126" s="19">
        <f>'D2C - Retail'!AJ164</f>
        <v>0</v>
      </c>
      <c r="BK126" s="19">
        <f>'D2C - Retail'!AK164</f>
        <v>1892126</v>
      </c>
      <c r="BL126" s="19">
        <f>'D2C - Retail'!AL164</f>
        <v>4243002</v>
      </c>
      <c r="BM126" s="19">
        <f>'D2C - Retail'!AM164</f>
        <v>2888553</v>
      </c>
      <c r="BN126" s="19">
        <f>'D2C - Retail'!AN164</f>
        <v>2104750</v>
      </c>
      <c r="BO126" s="19">
        <f>'D2C - Retail'!AO164</f>
        <v>3000918</v>
      </c>
      <c r="BP126" s="19">
        <f>'D2C - Retail'!AP164</f>
        <v>3320854</v>
      </c>
      <c r="BQ126" s="19">
        <f>'D2C - Retail'!AQ164</f>
        <v>2475388</v>
      </c>
      <c r="BR126" s="19">
        <f>'D2C - Retail'!AR164</f>
        <v>6460376</v>
      </c>
      <c r="BS126" s="19">
        <f>'D2C - Retail'!AS164</f>
        <v>3062375</v>
      </c>
      <c r="BT126" s="19">
        <f>'D2C - Retail'!AT164</f>
        <v>1250646</v>
      </c>
      <c r="BU126" s="19">
        <f>'D2C - Retail'!AU164</f>
        <v>5979508</v>
      </c>
      <c r="BV126" s="19">
        <f>'D2C - Retail'!AV164</f>
        <v>2356534</v>
      </c>
      <c r="BW126" s="19">
        <f>'D2C - Retail'!AW164</f>
        <v>1627181</v>
      </c>
      <c r="BX126" s="19">
        <f>'D2C - Retail'!AX164</f>
        <v>2075701</v>
      </c>
      <c r="BY126" s="19">
        <f>'D2C - Retail'!AY164</f>
        <v>1497698</v>
      </c>
      <c r="BZ126" s="19">
        <f>'D2C - Retail'!AZ164</f>
        <v>1841441</v>
      </c>
      <c r="CA126" s="19">
        <f>'D2C - Retail'!BA164</f>
        <v>1682855</v>
      </c>
      <c r="CB126" s="19">
        <f>'D2C - Retail'!BB164</f>
        <v>2023170</v>
      </c>
      <c r="CC126" s="19">
        <f>'D2C - Retail'!BC164</f>
        <v>1335647</v>
      </c>
      <c r="CD126" s="19">
        <f>'D2C - Retail'!BD164</f>
        <v>2019684</v>
      </c>
      <c r="CE126" s="19">
        <f>'D2C - Retail'!BE164</f>
        <v>1854515</v>
      </c>
      <c r="CF126" s="19">
        <f>'D2C - Retail'!BF164</f>
        <v>1827988</v>
      </c>
      <c r="CG126" s="19">
        <f>'D2C - Retail'!BG164</f>
        <v>1668344</v>
      </c>
      <c r="CH126" s="19">
        <f>'D2C - Retail'!BH164</f>
        <v>1569374</v>
      </c>
      <c r="CI126" s="19">
        <f>'D2C - Retail'!BI164</f>
        <v>1590841</v>
      </c>
      <c r="CJ126" s="19">
        <f>'D2C - Retail'!BJ164</f>
        <v>1932340</v>
      </c>
      <c r="CK126" s="19">
        <f>'D2C - Retail'!BK164</f>
        <v>1603602</v>
      </c>
      <c r="CL126" s="19">
        <f>'D2C - Retail'!BL164</f>
        <v>1937297</v>
      </c>
      <c r="CM126" s="19">
        <f>'D2C - Retail'!BM164</f>
        <v>1460566</v>
      </c>
      <c r="CN126" s="19">
        <f>'D2C - Retail'!BN164</f>
        <v>1995120</v>
      </c>
      <c r="CO126" s="19">
        <f>'D2C - Retail'!BO164</f>
        <v>1893728.25</v>
      </c>
      <c r="CP126" s="19">
        <f>'D2C - Retail'!BP164</f>
        <v>2341462</v>
      </c>
      <c r="CQ126" s="19">
        <f>'D2C - Retail'!BQ164</f>
        <v>3236282.75</v>
      </c>
      <c r="CR126" s="19">
        <f>'D2C - Retail'!BR164</f>
        <v>3307202</v>
      </c>
      <c r="CS126" s="19">
        <f>'D2C - Retail'!BS164</f>
        <v>3009367.75</v>
      </c>
      <c r="CT126" s="19">
        <f>'D2C - Retail'!BT164</f>
        <v>3527268.25</v>
      </c>
      <c r="CU126" s="19">
        <f>'D2C - Retail'!BU164</f>
        <v>0</v>
      </c>
      <c r="CV126" s="19">
        <f>'D2C - Retail'!BV164</f>
        <v>0</v>
      </c>
      <c r="CW126" s="19">
        <f>'D2C - Retail'!BW164</f>
        <v>0</v>
      </c>
      <c r="CX126" s="19">
        <f>'D2C - Retail'!BX164</f>
        <v>0</v>
      </c>
      <c r="CY126" s="19">
        <f>'D2C - Retail'!BY164</f>
        <v>0</v>
      </c>
      <c r="CZ126" s="19">
        <f>'D2C - Retail'!BZ164</f>
        <v>0</v>
      </c>
      <c r="DA126" s="19">
        <f>'D2C - Retail'!CA164</f>
        <v>0</v>
      </c>
      <c r="DB126" s="19">
        <f>'D2C - Retail'!CB164</f>
        <v>0</v>
      </c>
      <c r="DC126" s="19">
        <f>'D2C - Retail'!CC164</f>
        <v>0</v>
      </c>
      <c r="DD126" s="19">
        <f>'D2C - Retail'!CD164</f>
        <v>0</v>
      </c>
      <c r="DE126" s="19">
        <f>'D2C - Retail'!CE164</f>
        <v>0</v>
      </c>
      <c r="DF126" s="19">
        <f>'D2C - Retail'!CF164</f>
        <v>0</v>
      </c>
      <c r="DG126" s="19">
        <f>'D2C - Retail'!CG164</f>
        <v>0</v>
      </c>
      <c r="DH126" s="19">
        <f>'D2C - Retail'!CH164</f>
        <v>0</v>
      </c>
      <c r="DI126" s="19">
        <f>'D2C - Retail'!CI164</f>
        <v>0</v>
      </c>
      <c r="DJ126" s="19">
        <f>'D2C - Retail'!CJ164</f>
        <v>0</v>
      </c>
      <c r="DK126" s="19">
        <f>'D2C - Retail'!CK164</f>
        <v>0</v>
      </c>
      <c r="DL126" s="19">
        <f>'D2C - Retail'!CL164</f>
        <v>0</v>
      </c>
      <c r="DM126" s="19">
        <f>'D2C - Retail'!CM164</f>
        <v>0</v>
      </c>
      <c r="DN126" s="19">
        <f>'D2C - Retail'!CN164</f>
        <v>0</v>
      </c>
      <c r="DO126" s="19">
        <f>'D2C - Retail'!CO164</f>
        <v>0</v>
      </c>
      <c r="DP126" s="19">
        <f>'D2C - Retail'!CP164</f>
        <v>0</v>
      </c>
      <c r="DQ126" s="19">
        <f>'D2C - Retail'!CQ164</f>
        <v>0</v>
      </c>
      <c r="DR126" s="19">
        <f>'D2C - Retail'!CR164</f>
        <v>0</v>
      </c>
      <c r="DS126" s="19">
        <f>'D2C - Retail'!CS164</f>
        <v>0</v>
      </c>
      <c r="DT126" s="19">
        <f>'D2C - Retail'!CT164</f>
        <v>0</v>
      </c>
      <c r="DU126" s="19">
        <f>'D2C - Retail'!CU164</f>
        <v>0</v>
      </c>
      <c r="DV126" s="19">
        <f>'D2C - Retail'!CV164</f>
        <v>0</v>
      </c>
      <c r="DW126" s="19">
        <f>'D2C - Retail'!CW164</f>
        <v>0</v>
      </c>
      <c r="DX126" s="19">
        <f>'D2C - Retail'!CX164</f>
        <v>0</v>
      </c>
      <c r="DY126" s="19">
        <f>'D2C - Retail'!CY164</f>
        <v>0</v>
      </c>
      <c r="DZ126" s="19">
        <f>'D2C - Retail'!CZ164</f>
        <v>0</v>
      </c>
      <c r="EA126" s="19">
        <f>'D2C - Retail'!DA164</f>
        <v>0</v>
      </c>
      <c r="EB126" s="19">
        <f>'D2C - Retail'!DB164</f>
        <v>0</v>
      </c>
      <c r="EC126" s="19">
        <f>'D2C - Retail'!DC164</f>
        <v>0</v>
      </c>
      <c r="ED126" s="19">
        <f>'D2C - Retail'!DD164</f>
        <v>0</v>
      </c>
      <c r="EE126" s="168"/>
      <c r="EF126" s="165">
        <f>SUM(BK126:BM126)</f>
        <v>9023681</v>
      </c>
      <c r="EG126" s="165">
        <f>SUM(BN126:BP126)</f>
        <v>8426522</v>
      </c>
      <c r="EH126" s="165">
        <f>SUM(BQ126:BS126)</f>
        <v>11998139</v>
      </c>
      <c r="EI126" s="165">
        <f>SUM(BT126:BV126)</f>
        <v>9586688</v>
      </c>
      <c r="EJ126" s="165">
        <f>SUM(BW126:BY126)</f>
        <v>5200580</v>
      </c>
      <c r="EK126" s="165">
        <f>SUM(CL126:CN126)</f>
        <v>5392983</v>
      </c>
      <c r="EL126" s="165">
        <f>SUM(CC126:CE126)</f>
        <v>5209846</v>
      </c>
      <c r="EM126" s="165">
        <f>SUM(CF126:CH126)</f>
        <v>5065706</v>
      </c>
      <c r="EN126" s="165">
        <f>SUM(CI126:CK126)</f>
        <v>5126783</v>
      </c>
      <c r="EO126" s="165">
        <f>SUM(CL126:CN126)</f>
        <v>5392983</v>
      </c>
      <c r="EP126" s="165">
        <f>SUM(CO126:CQ126)</f>
        <v>7471473</v>
      </c>
      <c r="EQ126" s="165">
        <f>SUM(CR126:CT126)</f>
        <v>9843838</v>
      </c>
      <c r="ER126" s="165">
        <f>SUM(CU126:CW126)</f>
        <v>0</v>
      </c>
      <c r="ES126" s="165">
        <f>SUM(CX126:CZ126)</f>
        <v>0</v>
      </c>
      <c r="ET126" s="165">
        <f>SUM(DA126:DC126)</f>
        <v>0</v>
      </c>
      <c r="EU126" s="165">
        <f>SUM(DD126:DF126)</f>
        <v>0</v>
      </c>
      <c r="EV126" s="165">
        <f>SUM(DG126:DI126)</f>
        <v>0</v>
      </c>
      <c r="EW126" s="165">
        <f>SUM(DJ126:DL126)</f>
        <v>0</v>
      </c>
      <c r="EX126" s="165">
        <f>SUM(DM126:DO126)</f>
        <v>0</v>
      </c>
      <c r="EY126" s="165">
        <f>SUM(DP126:DR126)</f>
        <v>0</v>
      </c>
      <c r="EZ126" s="165">
        <f t="shared" si="304"/>
        <v>0</v>
      </c>
      <c r="FA126" s="165">
        <f t="shared" si="305"/>
        <v>0</v>
      </c>
      <c r="FB126" s="165">
        <f t="shared" si="306"/>
        <v>0</v>
      </c>
      <c r="FC126" s="165">
        <f t="shared" si="307"/>
        <v>0</v>
      </c>
      <c r="FE126" s="165">
        <f t="shared" si="308"/>
        <v>39035030</v>
      </c>
      <c r="FF126" s="165">
        <f t="shared" si="309"/>
        <v>20869115</v>
      </c>
      <c r="FG126" s="165">
        <f t="shared" si="310"/>
        <v>27835077</v>
      </c>
      <c r="FH126" s="165">
        <f t="shared" si="311"/>
        <v>0</v>
      </c>
      <c r="FI126" s="165">
        <f t="shared" si="312"/>
        <v>0</v>
      </c>
      <c r="FJ126" s="165">
        <f t="shared" si="313"/>
        <v>0</v>
      </c>
    </row>
    <row r="127" spans="2:166" x14ac:dyDescent="0.2">
      <c r="B127" s="22" t="s">
        <v>172</v>
      </c>
      <c r="C127" s="218">
        <f>C123/C36</f>
        <v>0</v>
      </c>
      <c r="D127" s="218">
        <f t="shared" ref="D127:BO127" si="475">D123/D36</f>
        <v>0</v>
      </c>
      <c r="E127" s="218">
        <f t="shared" si="475"/>
        <v>0</v>
      </c>
      <c r="F127" s="218">
        <f t="shared" si="475"/>
        <v>0</v>
      </c>
      <c r="G127" s="218">
        <f t="shared" si="475"/>
        <v>0</v>
      </c>
      <c r="H127" s="218">
        <f t="shared" si="475"/>
        <v>0</v>
      </c>
      <c r="I127" s="218">
        <f t="shared" si="475"/>
        <v>0</v>
      </c>
      <c r="J127" s="218">
        <f t="shared" si="475"/>
        <v>0</v>
      </c>
      <c r="K127" s="218">
        <f t="shared" si="475"/>
        <v>0</v>
      </c>
      <c r="L127" s="218">
        <f t="shared" si="475"/>
        <v>0</v>
      </c>
      <c r="M127" s="218">
        <f t="shared" si="475"/>
        <v>0</v>
      </c>
      <c r="N127" s="218">
        <f t="shared" si="475"/>
        <v>0</v>
      </c>
      <c r="O127" s="218">
        <f t="shared" si="475"/>
        <v>0</v>
      </c>
      <c r="P127" s="218">
        <f t="shared" si="475"/>
        <v>0</v>
      </c>
      <c r="Q127" s="218">
        <f t="shared" si="475"/>
        <v>0</v>
      </c>
      <c r="R127" s="218">
        <f t="shared" si="475"/>
        <v>0</v>
      </c>
      <c r="S127" s="218">
        <f t="shared" si="475"/>
        <v>0</v>
      </c>
      <c r="T127" s="218">
        <f t="shared" si="475"/>
        <v>0</v>
      </c>
      <c r="U127" s="218">
        <f t="shared" si="475"/>
        <v>0</v>
      </c>
      <c r="V127" s="218">
        <f t="shared" si="475"/>
        <v>0</v>
      </c>
      <c r="W127" s="218">
        <f t="shared" si="475"/>
        <v>0</v>
      </c>
      <c r="X127" s="218">
        <f t="shared" si="475"/>
        <v>0</v>
      </c>
      <c r="Y127" s="218">
        <f t="shared" si="475"/>
        <v>0</v>
      </c>
      <c r="Z127" s="218">
        <f t="shared" si="475"/>
        <v>0</v>
      </c>
      <c r="AA127" s="218">
        <f t="shared" si="475"/>
        <v>0</v>
      </c>
      <c r="AB127" s="218">
        <f t="shared" si="475"/>
        <v>0</v>
      </c>
      <c r="AC127" s="218">
        <f t="shared" si="475"/>
        <v>0</v>
      </c>
      <c r="AD127" s="218">
        <f t="shared" si="475"/>
        <v>0</v>
      </c>
      <c r="AE127" s="218">
        <f t="shared" si="475"/>
        <v>0</v>
      </c>
      <c r="AF127" s="218">
        <f t="shared" si="475"/>
        <v>0</v>
      </c>
      <c r="AG127" s="218">
        <f t="shared" si="475"/>
        <v>0</v>
      </c>
      <c r="AH127" s="218">
        <f t="shared" si="475"/>
        <v>0</v>
      </c>
      <c r="AI127" s="218">
        <f t="shared" si="475"/>
        <v>0</v>
      </c>
      <c r="AJ127" s="218">
        <f t="shared" si="475"/>
        <v>0</v>
      </c>
      <c r="AK127" s="218">
        <f t="shared" si="475"/>
        <v>0</v>
      </c>
      <c r="AL127" s="218">
        <f t="shared" si="475"/>
        <v>0</v>
      </c>
      <c r="AM127" s="218">
        <f t="shared" si="475"/>
        <v>0</v>
      </c>
      <c r="AN127" s="218">
        <f t="shared" si="475"/>
        <v>0</v>
      </c>
      <c r="AO127" s="218">
        <f t="shared" si="475"/>
        <v>0</v>
      </c>
      <c r="AP127" s="218">
        <f t="shared" si="475"/>
        <v>0</v>
      </c>
      <c r="AQ127" s="218">
        <f t="shared" si="475"/>
        <v>0</v>
      </c>
      <c r="AR127" s="218">
        <f t="shared" si="475"/>
        <v>0</v>
      </c>
      <c r="AS127" s="218">
        <f t="shared" si="475"/>
        <v>0</v>
      </c>
      <c r="AT127" s="218">
        <f t="shared" si="475"/>
        <v>0</v>
      </c>
      <c r="AU127" s="218">
        <f t="shared" si="475"/>
        <v>0</v>
      </c>
      <c r="AV127" s="218">
        <f t="shared" si="475"/>
        <v>0</v>
      </c>
      <c r="AW127" s="218">
        <f t="shared" si="475"/>
        <v>0</v>
      </c>
      <c r="AX127" s="218">
        <f t="shared" si="475"/>
        <v>0</v>
      </c>
      <c r="AY127" s="218">
        <f t="shared" si="475"/>
        <v>0</v>
      </c>
      <c r="AZ127" s="218">
        <f t="shared" si="475"/>
        <v>0</v>
      </c>
      <c r="BA127" s="218">
        <f t="shared" si="475"/>
        <v>0</v>
      </c>
      <c r="BB127" s="218">
        <f t="shared" si="475"/>
        <v>0</v>
      </c>
      <c r="BC127" s="218">
        <f t="shared" si="475"/>
        <v>0</v>
      </c>
      <c r="BD127" s="218">
        <f t="shared" si="475"/>
        <v>0</v>
      </c>
      <c r="BE127" s="218">
        <f t="shared" si="475"/>
        <v>0</v>
      </c>
      <c r="BF127" s="218">
        <f t="shared" si="475"/>
        <v>0</v>
      </c>
      <c r="BG127" s="218">
        <f t="shared" si="475"/>
        <v>0</v>
      </c>
      <c r="BH127" s="218">
        <f t="shared" si="475"/>
        <v>0</v>
      </c>
      <c r="BI127" s="218">
        <f t="shared" si="475"/>
        <v>0</v>
      </c>
      <c r="BJ127" s="218">
        <f t="shared" si="475"/>
        <v>0</v>
      </c>
      <c r="BK127" s="218">
        <f t="shared" si="475"/>
        <v>5.4889149250747617E-3</v>
      </c>
      <c r="BL127" s="218">
        <f t="shared" si="475"/>
        <v>9.8330273435220921E-3</v>
      </c>
      <c r="BM127" s="218">
        <f t="shared" si="475"/>
        <v>7.2843859083427664E-3</v>
      </c>
      <c r="BN127" s="218">
        <f t="shared" si="475"/>
        <v>7.1295737865174832E-3</v>
      </c>
      <c r="BO127" s="218">
        <f t="shared" si="475"/>
        <v>9.2651380482925254E-3</v>
      </c>
      <c r="BP127" s="218">
        <f t="shared" ref="BP127:EM127" si="476">BP123/BP36</f>
        <v>9.5558693405238711E-3</v>
      </c>
      <c r="BQ127" s="218">
        <f t="shared" si="476"/>
        <v>5.4157516491335246E-3</v>
      </c>
      <c r="BR127" s="218">
        <f t="shared" si="476"/>
        <v>1.4742727275053482E-2</v>
      </c>
      <c r="BS127" s="218">
        <f t="shared" si="476"/>
        <v>7.9791109204482152E-3</v>
      </c>
      <c r="BT127" s="218">
        <f t="shared" si="476"/>
        <v>9.0998182879936957E-3</v>
      </c>
      <c r="BU127" s="218">
        <f t="shared" si="476"/>
        <v>3.2757978765302877E-2</v>
      </c>
      <c r="BV127" s="218">
        <f t="shared" si="476"/>
        <v>6.9023755081628144E-3</v>
      </c>
      <c r="BW127" s="218">
        <f t="shared" si="476"/>
        <v>1.2700693190193587E-2</v>
      </c>
      <c r="BX127" s="218">
        <f t="shared" si="476"/>
        <v>1.0851774023432761E-2</v>
      </c>
      <c r="BY127" s="218">
        <f t="shared" si="476"/>
        <v>1.4341776708978288E-2</v>
      </c>
      <c r="BZ127" s="218">
        <f t="shared" si="476"/>
        <v>8.9325599551311752E-3</v>
      </c>
      <c r="CA127" s="218">
        <f t="shared" si="476"/>
        <v>1.2262048124397813E-2</v>
      </c>
      <c r="CB127" s="218">
        <f t="shared" si="476"/>
        <v>8.5689856700795885E-3</v>
      </c>
      <c r="CC127" s="218">
        <f t="shared" si="476"/>
        <v>5.2317468069570557E-3</v>
      </c>
      <c r="CD127" s="218">
        <f t="shared" si="476"/>
        <v>5.4326503400542831E-3</v>
      </c>
      <c r="CE127" s="218">
        <f t="shared" si="476"/>
        <v>5.2943477160093773E-3</v>
      </c>
      <c r="CF127" s="218">
        <f t="shared" si="476"/>
        <v>3.7999824533210664E-3</v>
      </c>
      <c r="CG127" s="218">
        <f t="shared" si="476"/>
        <v>4.122863699199909E-3</v>
      </c>
      <c r="CH127" s="218">
        <f t="shared" si="476"/>
        <v>3.235751706762591E-3</v>
      </c>
      <c r="CI127" s="218">
        <f t="shared" si="476"/>
        <v>5.072149554602199E-3</v>
      </c>
      <c r="CJ127" s="218">
        <f t="shared" si="476"/>
        <v>5.8109804229906706E-3</v>
      </c>
      <c r="CK127" s="218">
        <f t="shared" si="476"/>
        <v>4.3781937962999338E-3</v>
      </c>
      <c r="CL127" s="218">
        <f t="shared" si="476"/>
        <v>3.5158350092217563E-3</v>
      </c>
      <c r="CM127" s="218">
        <f t="shared" si="476"/>
        <v>3.0066191760681764E-3</v>
      </c>
      <c r="CN127" s="218">
        <f t="shared" si="476"/>
        <v>3.7739631712740522E-3</v>
      </c>
      <c r="CO127" s="218">
        <f t="shared" si="476"/>
        <v>4.2493034403021518E-3</v>
      </c>
      <c r="CP127" s="218">
        <f t="shared" si="476"/>
        <v>5.1352754936644799E-3</v>
      </c>
      <c r="CQ127" s="218">
        <f t="shared" si="476"/>
        <v>4.6089344807668364E-3</v>
      </c>
      <c r="CR127" s="218">
        <f t="shared" si="476"/>
        <v>4.7215620964584995E-3</v>
      </c>
      <c r="CS127" s="218">
        <f t="shared" si="476"/>
        <v>4.4376311200863879E-3</v>
      </c>
      <c r="CT127" s="218">
        <f t="shared" si="476"/>
        <v>4.1658924342860585E-3</v>
      </c>
      <c r="CU127" s="218">
        <f t="shared" si="476"/>
        <v>1.1092056209530579E-3</v>
      </c>
      <c r="CV127" s="218">
        <f t="shared" si="476"/>
        <v>1.1207124145572117E-3</v>
      </c>
      <c r="CW127" s="218">
        <f t="shared" si="476"/>
        <v>1.1233396281464135E-3</v>
      </c>
      <c r="CX127" s="218">
        <f t="shared" si="476"/>
        <v>1.0596580510860965E-3</v>
      </c>
      <c r="CY127" s="218">
        <f t="shared" si="476"/>
        <v>1.1699224861605904E-3</v>
      </c>
      <c r="CZ127" s="218">
        <f t="shared" si="476"/>
        <v>1.1831414119463774E-3</v>
      </c>
      <c r="DA127" s="218">
        <f t="shared" si="476"/>
        <v>1.0880413277065764E-3</v>
      </c>
      <c r="DB127" s="218">
        <f t="shared" si="476"/>
        <v>1.1496510297156399E-3</v>
      </c>
      <c r="DC127" s="218">
        <f t="shared" si="476"/>
        <v>9.4623861378903724E-4</v>
      </c>
      <c r="DD127" s="218">
        <f t="shared" si="476"/>
        <v>9.0422327121079656E-4</v>
      </c>
      <c r="DE127" s="218">
        <f t="shared" si="476"/>
        <v>1.0087588856651974E-3</v>
      </c>
      <c r="DF127" s="218">
        <f t="shared" si="476"/>
        <v>8.8609620181674578E-4</v>
      </c>
      <c r="DG127" s="218">
        <f t="shared" si="476"/>
        <v>9.6038007901014667E-4</v>
      </c>
      <c r="DH127" s="218">
        <f t="shared" si="476"/>
        <v>9.6903973121872662E-4</v>
      </c>
      <c r="DI127" s="218">
        <f t="shared" si="476"/>
        <v>9.7438508052367023E-4</v>
      </c>
      <c r="DJ127" s="218">
        <f t="shared" si="476"/>
        <v>9.1915641525327693E-4</v>
      </c>
      <c r="DK127" s="218">
        <f t="shared" si="476"/>
        <v>1.0161870315770318E-3</v>
      </c>
      <c r="DL127" s="218">
        <f t="shared" si="476"/>
        <v>1.0301588911216331E-3</v>
      </c>
      <c r="DM127" s="218">
        <f t="shared" si="476"/>
        <v>9.4809318646935873E-4</v>
      </c>
      <c r="DN127" s="218">
        <f t="shared" si="476"/>
        <v>1.0052734281646555E-3</v>
      </c>
      <c r="DO127" s="218">
        <f t="shared" si="476"/>
        <v>8.2965205741045817E-4</v>
      </c>
      <c r="DP127" s="218">
        <f t="shared" si="476"/>
        <v>7.9497624184646936E-4</v>
      </c>
      <c r="DQ127" s="218">
        <f t="shared" si="476"/>
        <v>8.8910429780382559E-4</v>
      </c>
      <c r="DR127" s="218">
        <f t="shared" si="476"/>
        <v>7.8657606119935915E-4</v>
      </c>
      <c r="DS127" s="218">
        <f t="shared" ref="DS127:ED127" si="477">DS123/DS36</f>
        <v>8.7001738014129144E-4</v>
      </c>
      <c r="DT127" s="218">
        <f t="shared" si="477"/>
        <v>8.7810909285768407E-4</v>
      </c>
      <c r="DU127" s="218">
        <f t="shared" si="477"/>
        <v>8.8320508934741561E-4</v>
      </c>
      <c r="DV127" s="218">
        <f t="shared" si="477"/>
        <v>8.3395650613189796E-4</v>
      </c>
      <c r="DW127" s="218">
        <f t="shared" si="477"/>
        <v>9.2192019541779372E-4</v>
      </c>
      <c r="DX127" s="218">
        <f t="shared" si="477"/>
        <v>9.3366039122229631E-4</v>
      </c>
      <c r="DY127" s="218">
        <f t="shared" si="477"/>
        <v>8.6160065088731813E-4</v>
      </c>
      <c r="DZ127" s="218">
        <f t="shared" si="477"/>
        <v>9.1301863647241268E-4</v>
      </c>
      <c r="EA127" s="218">
        <f t="shared" si="477"/>
        <v>7.5349240653955173E-4</v>
      </c>
      <c r="EB127" s="218">
        <f t="shared" si="477"/>
        <v>7.2173845536910146E-4</v>
      </c>
      <c r="EC127" s="218">
        <f t="shared" si="477"/>
        <v>8.0799634898246061E-4</v>
      </c>
      <c r="ED127" s="218">
        <f t="shared" si="477"/>
        <v>7.1545312849470805E-4</v>
      </c>
      <c r="EE127" s="168"/>
      <c r="EF127" s="218">
        <f t="shared" si="476"/>
        <v>7.5273768333577211E-3</v>
      </c>
      <c r="EG127" s="218">
        <f t="shared" si="476"/>
        <v>8.6779081458984164E-3</v>
      </c>
      <c r="EH127" s="218">
        <f t="shared" si="476"/>
        <v>9.1761358206987401E-3</v>
      </c>
      <c r="EI127" s="218">
        <f t="shared" si="476"/>
        <v>1.5050926707860119E-2</v>
      </c>
      <c r="EJ127" s="218">
        <f t="shared" si="476"/>
        <v>1.2662075650350159E-2</v>
      </c>
      <c r="EK127" s="218">
        <f t="shared" si="476"/>
        <v>3.4458078091537565E-3</v>
      </c>
      <c r="EL127" s="218">
        <f t="shared" si="476"/>
        <v>5.3162723180912221E-3</v>
      </c>
      <c r="EM127" s="218">
        <f t="shared" si="476"/>
        <v>3.6791414994918272E-3</v>
      </c>
      <c r="EN127" s="218">
        <f t="shared" ref="EN127:FJ127" si="478">EN123/EN36</f>
        <v>5.0837633710150328E-3</v>
      </c>
      <c r="EO127" s="218">
        <f t="shared" si="478"/>
        <v>3.4458078091537565E-3</v>
      </c>
      <c r="EP127" s="218">
        <f t="shared" si="478"/>
        <v>4.6508308545100399E-3</v>
      </c>
      <c r="EQ127" s="218">
        <f t="shared" si="478"/>
        <v>4.4357085331338001E-3</v>
      </c>
      <c r="ER127" s="218">
        <f t="shared" si="478"/>
        <v>1.1177187345153981E-3</v>
      </c>
      <c r="ES127" s="218">
        <f t="shared" si="478"/>
        <v>1.1347879808536576E-3</v>
      </c>
      <c r="ET127" s="218">
        <f t="shared" si="478"/>
        <v>1.0542118640243809E-3</v>
      </c>
      <c r="EU127" s="218">
        <f t="shared" si="478"/>
        <v>9.3000637233704676E-4</v>
      </c>
      <c r="EV127" s="218">
        <f t="shared" si="478"/>
        <v>9.6790050209692832E-4</v>
      </c>
      <c r="EW127" s="218">
        <f t="shared" si="478"/>
        <v>9.8595054509752222E-4</v>
      </c>
      <c r="EX127" s="218">
        <f t="shared" si="478"/>
        <v>9.2170785091616849E-4</v>
      </c>
      <c r="EY127" s="218">
        <f t="shared" si="478"/>
        <v>8.210271547476884E-4</v>
      </c>
      <c r="EZ127" s="218">
        <f t="shared" si="304"/>
        <v>2.631331562346391E-3</v>
      </c>
      <c r="FA127" s="218">
        <f t="shared" si="305"/>
        <v>2.6895370927719877E-3</v>
      </c>
      <c r="FB127" s="218">
        <f t="shared" si="306"/>
        <v>2.5281116938992826E-3</v>
      </c>
      <c r="FC127" s="218">
        <f t="shared" si="307"/>
        <v>2.2451879328462699E-3</v>
      </c>
      <c r="FE127" s="218">
        <f t="shared" si="478"/>
        <v>1.0003149474302466E-2</v>
      </c>
      <c r="FF127" s="218">
        <f t="shared" si="478"/>
        <v>5.8210379730269796E-3</v>
      </c>
      <c r="FG127" s="218">
        <f t="shared" si="478"/>
        <v>4.4175845242710949E-3</v>
      </c>
      <c r="FH127" s="218">
        <f t="shared" si="478"/>
        <v>1.0510312599803363E-3</v>
      </c>
      <c r="FI127" s="218">
        <f t="shared" si="478"/>
        <v>9.1815249582550803E-4</v>
      </c>
      <c r="FJ127" s="218">
        <f t="shared" si="478"/>
        <v>8.3336499642816173E-4</v>
      </c>
    </row>
    <row r="128" spans="2:166" x14ac:dyDescent="0.2">
      <c r="B128" s="2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68"/>
      <c r="EF128" s="165"/>
      <c r="EG128" s="165"/>
      <c r="EH128" s="165"/>
      <c r="EI128" s="165"/>
      <c r="EJ128" s="165"/>
      <c r="EK128" s="165"/>
      <c r="EL128" s="165"/>
      <c r="EM128" s="165"/>
      <c r="EN128" s="165"/>
      <c r="EO128" s="165"/>
      <c r="EP128" s="165"/>
      <c r="EQ128" s="165"/>
      <c r="ER128" s="165"/>
      <c r="ES128" s="165"/>
      <c r="ET128" s="165"/>
      <c r="EU128" s="165"/>
      <c r="EV128" s="165"/>
      <c r="EW128" s="165"/>
      <c r="EX128" s="165"/>
      <c r="EY128" s="165"/>
      <c r="EZ128" s="165">
        <f t="shared" si="304"/>
        <v>0</v>
      </c>
      <c r="FA128" s="165">
        <f t="shared" si="305"/>
        <v>0</v>
      </c>
      <c r="FB128" s="165">
        <f t="shared" si="306"/>
        <v>0</v>
      </c>
      <c r="FC128" s="165">
        <f t="shared" si="307"/>
        <v>0</v>
      </c>
      <c r="FE128" s="165"/>
      <c r="FF128" s="165"/>
      <c r="FG128" s="165"/>
      <c r="FH128" s="165"/>
      <c r="FI128" s="165"/>
      <c r="FJ128" s="165"/>
    </row>
    <row r="129" spans="2:166" s="30" customFormat="1" x14ac:dyDescent="0.2">
      <c r="B129" s="184" t="s">
        <v>58</v>
      </c>
      <c r="C129" s="200">
        <f>C111-C117-C123</f>
        <v>-59533.321428570431</v>
      </c>
      <c r="D129" s="200">
        <f t="shared" ref="D129:BO129" si="479">D111-D117-D123</f>
        <v>-198714.40755446383</v>
      </c>
      <c r="E129" s="200">
        <f t="shared" si="479"/>
        <v>-494025.37592868449</v>
      </c>
      <c r="F129" s="200">
        <f t="shared" si="479"/>
        <v>-875704.51664528565</v>
      </c>
      <c r="G129" s="200">
        <f t="shared" si="479"/>
        <v>-957190.37295983476</v>
      </c>
      <c r="H129" s="200">
        <f t="shared" si="479"/>
        <v>-869151.71878315846</v>
      </c>
      <c r="I129" s="200">
        <f t="shared" si="479"/>
        <v>-8686.3304428551346</v>
      </c>
      <c r="J129" s="200">
        <f t="shared" si="479"/>
        <v>1016386.4403571431</v>
      </c>
      <c r="K129" s="200">
        <f t="shared" si="479"/>
        <v>187542.93999999948</v>
      </c>
      <c r="L129" s="200">
        <f t="shared" si="479"/>
        <v>290075.39803627413</v>
      </c>
      <c r="M129" s="200">
        <f t="shared" si="479"/>
        <v>582155.00098651135</v>
      </c>
      <c r="N129" s="200">
        <f t="shared" si="479"/>
        <v>4215331.9359033993</v>
      </c>
      <c r="O129" s="200">
        <f t="shared" si="479"/>
        <v>3525209.0734763271</v>
      </c>
      <c r="P129" s="200">
        <f t="shared" si="479"/>
        <v>1648201.2570794676</v>
      </c>
      <c r="Q129" s="200">
        <f t="shared" si="479"/>
        <v>-1441192.6069283397</v>
      </c>
      <c r="R129" s="200">
        <f t="shared" si="479"/>
        <v>3267020.7642557053</v>
      </c>
      <c r="S129" s="200">
        <f t="shared" si="479"/>
        <v>1636949.6212780522</v>
      </c>
      <c r="T129" s="200">
        <f t="shared" si="479"/>
        <v>914342.52893294347</v>
      </c>
      <c r="U129" s="200">
        <f t="shared" si="479"/>
        <v>3725302.6986118592</v>
      </c>
      <c r="V129" s="200">
        <f t="shared" si="479"/>
        <v>-3877656.501991963</v>
      </c>
      <c r="W129" s="200">
        <f t="shared" si="479"/>
        <v>-1610642.1405391088</v>
      </c>
      <c r="X129" s="200">
        <f t="shared" si="479"/>
        <v>-2216241.1458353307</v>
      </c>
      <c r="Y129" s="200">
        <f t="shared" si="479"/>
        <v>-5671204.4076225245</v>
      </c>
      <c r="Z129" s="200">
        <f t="shared" si="479"/>
        <v>-3025166.936850402</v>
      </c>
      <c r="AA129" s="200">
        <f t="shared" si="479"/>
        <v>-8570358.8302383516</v>
      </c>
      <c r="AB129" s="200">
        <f t="shared" si="479"/>
        <v>-1160843.3151924238</v>
      </c>
      <c r="AC129" s="200">
        <f t="shared" si="479"/>
        <v>326.46593988128006</v>
      </c>
      <c r="AD129" s="200">
        <f t="shared" si="479"/>
        <v>-1806854.883484083</v>
      </c>
      <c r="AE129" s="200">
        <f t="shared" si="479"/>
        <v>-2851974.593006955</v>
      </c>
      <c r="AF129" s="200">
        <f t="shared" si="479"/>
        <v>-3805828.7650919645</v>
      </c>
      <c r="AG129" s="200">
        <f t="shared" si="479"/>
        <v>-3627988.9046962005</v>
      </c>
      <c r="AH129" s="200">
        <f t="shared" si="479"/>
        <v>-2160261.3912716606</v>
      </c>
      <c r="AI129" s="200">
        <f t="shared" si="479"/>
        <v>4734557.9244278353</v>
      </c>
      <c r="AJ129" s="200">
        <f t="shared" si="479"/>
        <v>1816463.3847817834</v>
      </c>
      <c r="AK129" s="200">
        <f t="shared" si="479"/>
        <v>1380953.9541534223</v>
      </c>
      <c r="AL129" s="200">
        <f t="shared" si="479"/>
        <v>954347.56755974889</v>
      </c>
      <c r="AM129" s="200">
        <f t="shared" si="479"/>
        <v>-4534907.7868165355</v>
      </c>
      <c r="AN129" s="200">
        <f t="shared" si="479"/>
        <v>-9418181.8049488012</v>
      </c>
      <c r="AO129" s="200">
        <f t="shared" si="479"/>
        <v>-5226092.1582815312</v>
      </c>
      <c r="AP129" s="200">
        <f t="shared" si="479"/>
        <v>-5390545.9917063862</v>
      </c>
      <c r="AQ129" s="200">
        <f t="shared" si="479"/>
        <v>-6644123.4482806763</v>
      </c>
      <c r="AR129" s="200">
        <f t="shared" si="479"/>
        <v>-7725327.2184295803</v>
      </c>
      <c r="AS129" s="200">
        <f t="shared" si="479"/>
        <v>-7665566.6468556561</v>
      </c>
      <c r="AT129" s="200">
        <f t="shared" si="479"/>
        <v>3171802.6675275378</v>
      </c>
      <c r="AU129" s="200">
        <f t="shared" si="479"/>
        <v>2310276.9439547323</v>
      </c>
      <c r="AV129" s="200">
        <f t="shared" si="479"/>
        <v>2759279.826582592</v>
      </c>
      <c r="AW129" s="200">
        <f t="shared" si="479"/>
        <v>750901.38115538284</v>
      </c>
      <c r="AX129" s="200">
        <f t="shared" si="479"/>
        <v>-9684739.8526073769</v>
      </c>
      <c r="AY129" s="200">
        <f t="shared" si="479"/>
        <v>-12372474.203551024</v>
      </c>
      <c r="AZ129" s="200">
        <f t="shared" si="479"/>
        <v>-9903602.0442416109</v>
      </c>
      <c r="BA129" s="200">
        <f t="shared" si="479"/>
        <v>-6528609.6870117467</v>
      </c>
      <c r="BB129" s="200">
        <f t="shared" si="479"/>
        <v>-12744794.902176915</v>
      </c>
      <c r="BC129" s="200">
        <f t="shared" si="479"/>
        <v>-19754045.337647583</v>
      </c>
      <c r="BD129" s="200">
        <f t="shared" si="479"/>
        <v>-25993571.107424162</v>
      </c>
      <c r="BE129" s="200">
        <f t="shared" si="479"/>
        <v>-17329266.596673161</v>
      </c>
      <c r="BF129" s="200">
        <f t="shared" si="479"/>
        <v>-17514087.444690466</v>
      </c>
      <c r="BG129" s="200">
        <f t="shared" si="479"/>
        <v>-11704580.612950493</v>
      </c>
      <c r="BH129" s="200">
        <f t="shared" si="479"/>
        <v>-6388157.3517492749</v>
      </c>
      <c r="BI129" s="200">
        <f t="shared" si="479"/>
        <v>-4782864.4960865015</v>
      </c>
      <c r="BJ129" s="200">
        <f t="shared" si="479"/>
        <v>-1024230.7138097393</v>
      </c>
      <c r="BK129" s="200">
        <f t="shared" si="479"/>
        <v>-12155250.057889745</v>
      </c>
      <c r="BL129" s="200">
        <f t="shared" si="479"/>
        <v>-7173781.1737422496</v>
      </c>
      <c r="BM129" s="200">
        <f t="shared" si="479"/>
        <v>9734.2684646397829</v>
      </c>
      <c r="BN129" s="200">
        <f t="shared" si="479"/>
        <v>-9780580.8050139099</v>
      </c>
      <c r="BO129" s="200">
        <f t="shared" si="479"/>
        <v>-6937090.5457086191</v>
      </c>
      <c r="BP129" s="200">
        <f t="shared" ref="BP129:DR129" si="480">BP111-BP117-BP123</f>
        <v>-18622441.01776972</v>
      </c>
      <c r="BQ129" s="200">
        <f t="shared" si="480"/>
        <v>-10085046.187991232</v>
      </c>
      <c r="BR129" s="200">
        <f t="shared" si="480"/>
        <v>-7882427.2655082643</v>
      </c>
      <c r="BS129" s="200">
        <f t="shared" si="480"/>
        <v>-3271216.9571976215</v>
      </c>
      <c r="BT129" s="200">
        <f t="shared" si="480"/>
        <v>272245.17743302882</v>
      </c>
      <c r="BU129" s="200">
        <f t="shared" si="480"/>
        <v>-3704221.3544058949</v>
      </c>
      <c r="BV129" s="200">
        <f t="shared" si="480"/>
        <v>15778912.357833363</v>
      </c>
      <c r="BW129" s="200">
        <f t="shared" si="480"/>
        <v>9473262.1066204906</v>
      </c>
      <c r="BX129" s="200">
        <f t="shared" si="480"/>
        <v>13436061.244570248</v>
      </c>
      <c r="BY129" s="200">
        <f t="shared" si="480"/>
        <v>20153365.213781655</v>
      </c>
      <c r="BZ129" s="200">
        <f t="shared" si="480"/>
        <v>17376599.406971335</v>
      </c>
      <c r="CA129" s="200">
        <f t="shared" si="480"/>
        <v>11543279.976700462</v>
      </c>
      <c r="CB129" s="200">
        <f t="shared" si="480"/>
        <v>9128226.2147596776</v>
      </c>
      <c r="CC129" s="200">
        <f t="shared" si="480"/>
        <v>27178313.519667298</v>
      </c>
      <c r="CD129" s="200">
        <f t="shared" si="480"/>
        <v>21772229.735829905</v>
      </c>
      <c r="CE129" s="200">
        <f t="shared" si="480"/>
        <v>29213376.114339635</v>
      </c>
      <c r="CF129" s="200">
        <f t="shared" si="480"/>
        <v>30792956.086912967</v>
      </c>
      <c r="CG129" s="200">
        <f t="shared" si="480"/>
        <v>25436366.997700572</v>
      </c>
      <c r="CH129" s="200">
        <f t="shared" si="480"/>
        <v>43952001.642721429</v>
      </c>
      <c r="CI129" s="200">
        <f t="shared" si="480"/>
        <v>29624423.26463376</v>
      </c>
      <c r="CJ129" s="200">
        <f t="shared" si="480"/>
        <v>26843416.026986301</v>
      </c>
      <c r="CK129" s="200">
        <f t="shared" si="480"/>
        <v>31424611.003610447</v>
      </c>
      <c r="CL129" s="200">
        <f t="shared" si="480"/>
        <v>31611804.492615819</v>
      </c>
      <c r="CM129" s="200">
        <f t="shared" si="480"/>
        <v>29053767.543640979</v>
      </c>
      <c r="CN129" s="200">
        <f t="shared" si="480"/>
        <v>22071539.126602009</v>
      </c>
      <c r="CO129" s="200">
        <f t="shared" si="480"/>
        <v>35681539.46732454</v>
      </c>
      <c r="CP129" s="200">
        <f t="shared" si="480"/>
        <v>34410872.199924476</v>
      </c>
      <c r="CQ129" s="200">
        <f t="shared" si="480"/>
        <v>42841002.614160314</v>
      </c>
      <c r="CR129" s="200">
        <f t="shared" si="480"/>
        <v>46826414.24342306</v>
      </c>
      <c r="CS129" s="200">
        <f t="shared" si="480"/>
        <v>31312351.32126002</v>
      </c>
      <c r="CT129" s="200">
        <f t="shared" si="480"/>
        <v>32067859.547710016</v>
      </c>
      <c r="CU129" s="200">
        <f t="shared" si="480"/>
        <v>41560536.269099936</v>
      </c>
      <c r="CV129" s="200">
        <f t="shared" si="480"/>
        <v>39926301.046781838</v>
      </c>
      <c r="CW129" s="200">
        <f t="shared" si="480"/>
        <v>39615108.033468261</v>
      </c>
      <c r="CX129" s="200">
        <f t="shared" si="480"/>
        <v>47963385.55627162</v>
      </c>
      <c r="CY129" s="200">
        <f t="shared" si="480"/>
        <v>34651941.451093607</v>
      </c>
      <c r="CZ129" s="200">
        <f t="shared" si="480"/>
        <v>31780183.773477402</v>
      </c>
      <c r="DA129" s="200">
        <f t="shared" si="480"/>
        <v>50924117.0439732</v>
      </c>
      <c r="DB129" s="200">
        <f t="shared" si="480"/>
        <v>42595004.347009107</v>
      </c>
      <c r="DC129" s="200">
        <f t="shared" si="480"/>
        <v>70480277.280130908</v>
      </c>
      <c r="DD129" s="200">
        <f t="shared" si="480"/>
        <v>77242414.427096859</v>
      </c>
      <c r="DE129" s="200">
        <f t="shared" si="480"/>
        <v>60931893.58059682</v>
      </c>
      <c r="DF129" s="200">
        <f t="shared" si="480"/>
        <v>82729721.376721054</v>
      </c>
      <c r="DG129" s="200">
        <f t="shared" si="480"/>
        <v>59267599.267519839</v>
      </c>
      <c r="DH129" s="200">
        <f t="shared" si="480"/>
        <v>57515207.259414941</v>
      </c>
      <c r="DI129" s="200">
        <f t="shared" si="480"/>
        <v>56584258.45819141</v>
      </c>
      <c r="DJ129" s="200">
        <f t="shared" si="480"/>
        <v>66658596.519651517</v>
      </c>
      <c r="DK129" s="200">
        <f t="shared" si="480"/>
        <v>50367175.174727805</v>
      </c>
      <c r="DL129" s="200">
        <f t="shared" si="480"/>
        <v>46445024.897530407</v>
      </c>
      <c r="DM129" s="200">
        <f t="shared" si="480"/>
        <v>69434299.249701232</v>
      </c>
      <c r="DN129" s="200">
        <f t="shared" si="480"/>
        <v>58799644.029369652</v>
      </c>
      <c r="DO129" s="200">
        <f t="shared" si="480"/>
        <v>91477805.893814415</v>
      </c>
      <c r="DP129" s="200">
        <f t="shared" si="480"/>
        <v>98878609.010385945</v>
      </c>
      <c r="DQ129" s="200">
        <f t="shared" si="480"/>
        <v>79084031.653795928</v>
      </c>
      <c r="DR129" s="200">
        <f t="shared" si="480"/>
        <v>103267066.40720643</v>
      </c>
      <c r="DS129" s="200">
        <f t="shared" ref="DS129:ED129" si="481">DS111-DS117-DS123</f>
        <v>71274534.266559497</v>
      </c>
      <c r="DT129" s="200">
        <f t="shared" si="481"/>
        <v>69216819.122284487</v>
      </c>
      <c r="DU129" s="200">
        <f t="shared" si="481"/>
        <v>68098187.390311927</v>
      </c>
      <c r="DV129" s="200">
        <f t="shared" si="481"/>
        <v>79368542.781194434</v>
      </c>
      <c r="DW129" s="200">
        <f t="shared" si="481"/>
        <v>60850148.914618082</v>
      </c>
      <c r="DX129" s="200">
        <f t="shared" si="481"/>
        <v>56543818.283579595</v>
      </c>
      <c r="DY129" s="200">
        <f t="shared" si="481"/>
        <v>82221529.421953171</v>
      </c>
      <c r="DZ129" s="200">
        <f t="shared" si="481"/>
        <v>70255258.096838593</v>
      </c>
      <c r="EA129" s="200">
        <f t="shared" si="481"/>
        <v>107354632.04353921</v>
      </c>
      <c r="EB129" s="200">
        <f t="shared" si="481"/>
        <v>115835006.51871571</v>
      </c>
      <c r="EC129" s="200">
        <f t="shared" si="481"/>
        <v>93145340.871628508</v>
      </c>
      <c r="ED129" s="200">
        <f t="shared" si="481"/>
        <v>120361875.30803418</v>
      </c>
      <c r="EE129" s="333"/>
      <c r="EF129" s="224">
        <f>SUM(BK129:BM129)</f>
        <v>-19319296.963167354</v>
      </c>
      <c r="EG129" s="224">
        <f>SUM(BN129:BP129)</f>
        <v>-35340112.368492246</v>
      </c>
      <c r="EH129" s="224">
        <f>SUM(BQ129:BS129)</f>
        <v>-21238690.410697117</v>
      </c>
      <c r="EI129" s="224">
        <f>SUM(BT129:BV129)</f>
        <v>12346936.180860497</v>
      </c>
      <c r="EJ129" s="224">
        <f>SUM(BW129:BY129)</f>
        <v>43062688.564972393</v>
      </c>
      <c r="EK129" s="224">
        <f>SUM(CL129:CN129)</f>
        <v>82737111.162858814</v>
      </c>
      <c r="EL129" s="224">
        <f>SUM(CC129:CE129)</f>
        <v>78163919.369836837</v>
      </c>
      <c r="EM129" s="224">
        <f>SUM(CF129:CH129)</f>
        <v>100181324.72733498</v>
      </c>
      <c r="EN129" s="224">
        <f>SUM(CI129:CK129)</f>
        <v>87892450.295230508</v>
      </c>
      <c r="EO129" s="224">
        <f>SUM(CL129:CN129)</f>
        <v>82737111.162858814</v>
      </c>
      <c r="EP129" s="224">
        <f>SUM(CO129:CQ129)</f>
        <v>112933414.28140934</v>
      </c>
      <c r="EQ129" s="224">
        <f>SUM(CR129:CT129)</f>
        <v>110206625.1123931</v>
      </c>
      <c r="ER129" s="224">
        <f>SUM(CU129:CW129)</f>
        <v>121101945.34935004</v>
      </c>
      <c r="ES129" s="224">
        <f>SUM(CX129:CZ129)</f>
        <v>114395510.78084263</v>
      </c>
      <c r="ET129" s="224">
        <f>SUM(DA129:DC129)</f>
        <v>163999398.67111319</v>
      </c>
      <c r="EU129" s="224">
        <f>SUM(DD129:DF129)</f>
        <v>220904029.38441473</v>
      </c>
      <c r="EV129" s="224">
        <f>SUM(DG129:DI129)</f>
        <v>173367064.9851262</v>
      </c>
      <c r="EW129" s="224">
        <f>SUM(DJ129:DL129)</f>
        <v>163470796.59190974</v>
      </c>
      <c r="EX129" s="224">
        <f>SUM(DM129:DO129)</f>
        <v>219711749.1728853</v>
      </c>
      <c r="EY129" s="224">
        <f>SUM(DP129:DR129)</f>
        <v>281229707.0713883</v>
      </c>
      <c r="EZ129" s="224">
        <f t="shared" si="304"/>
        <v>208589540.77915591</v>
      </c>
      <c r="FA129" s="224">
        <f t="shared" si="305"/>
        <v>196762509.97939211</v>
      </c>
      <c r="FB129" s="224">
        <f t="shared" si="306"/>
        <v>259831419.56233096</v>
      </c>
      <c r="FC129" s="224">
        <f t="shared" si="307"/>
        <v>329342222.69837838</v>
      </c>
      <c r="FE129" s="224">
        <f t="shared" si="308"/>
        <v>-63551163.561496221</v>
      </c>
      <c r="FF129" s="224">
        <f t="shared" si="309"/>
        <v>304145043.82500303</v>
      </c>
      <c r="FG129" s="224">
        <f t="shared" si="310"/>
        <v>393769600.85189176</v>
      </c>
      <c r="FH129" s="224">
        <f t="shared" si="311"/>
        <v>620400884.18572068</v>
      </c>
      <c r="FI129" s="224">
        <f t="shared" si="312"/>
        <v>837779317.82130957</v>
      </c>
      <c r="FJ129" s="224">
        <f t="shared" si="313"/>
        <v>994525693.01925731</v>
      </c>
    </row>
    <row r="130" spans="2:166" x14ac:dyDescent="0.2">
      <c r="B130" s="155" t="s">
        <v>227</v>
      </c>
      <c r="C130" s="165">
        <f>C112-C118-C124</f>
        <v>-59533.321428570431</v>
      </c>
      <c r="D130" s="165">
        <f t="shared" ref="D130:BO131" si="482">D112-D118-D124</f>
        <v>-198714.40755446383</v>
      </c>
      <c r="E130" s="165">
        <f t="shared" si="482"/>
        <v>-494025.37592868449</v>
      </c>
      <c r="F130" s="165">
        <f t="shared" si="482"/>
        <v>-875704.51664528565</v>
      </c>
      <c r="G130" s="165">
        <f t="shared" si="482"/>
        <v>-957190.37295983476</v>
      </c>
      <c r="H130" s="165">
        <f t="shared" si="482"/>
        <v>-869151.71878315846</v>
      </c>
      <c r="I130" s="165">
        <f t="shared" si="482"/>
        <v>-8686.3304428551346</v>
      </c>
      <c r="J130" s="165">
        <f t="shared" si="482"/>
        <v>1016386.4403571431</v>
      </c>
      <c r="K130" s="165">
        <f t="shared" si="482"/>
        <v>187542.93999999948</v>
      </c>
      <c r="L130" s="165">
        <f t="shared" si="482"/>
        <v>356087.08588021726</v>
      </c>
      <c r="M130" s="165">
        <f t="shared" si="482"/>
        <v>-162925.51355894253</v>
      </c>
      <c r="N130" s="165">
        <f t="shared" si="482"/>
        <v>-698380.16150154429</v>
      </c>
      <c r="O130" s="165">
        <f t="shared" si="482"/>
        <v>-949981.46882321488</v>
      </c>
      <c r="P130" s="165">
        <f t="shared" si="482"/>
        <v>-2338741.2481641504</v>
      </c>
      <c r="Q130" s="165">
        <f t="shared" si="482"/>
        <v>-3851959.0517026382</v>
      </c>
      <c r="R130" s="165">
        <f t="shared" si="482"/>
        <v>-2376775.4742343435</v>
      </c>
      <c r="S130" s="165">
        <f t="shared" si="482"/>
        <v>-2709423.5949774529</v>
      </c>
      <c r="T130" s="165">
        <f t="shared" si="482"/>
        <v>-2257519.8054737304</v>
      </c>
      <c r="U130" s="165">
        <f t="shared" si="482"/>
        <v>-2587308.8443187126</v>
      </c>
      <c r="V130" s="165">
        <f t="shared" si="482"/>
        <v>-4619124.5120972767</v>
      </c>
      <c r="W130" s="165">
        <f t="shared" si="482"/>
        <v>-4532751.9828318618</v>
      </c>
      <c r="X130" s="165">
        <f t="shared" si="482"/>
        <v>-3398292.4597679148</v>
      </c>
      <c r="Y130" s="165">
        <f t="shared" si="482"/>
        <v>-4692244.3445429439</v>
      </c>
      <c r="Z130" s="165">
        <f t="shared" si="482"/>
        <v>-3437318.6996705085</v>
      </c>
      <c r="AA130" s="165">
        <f t="shared" si="482"/>
        <v>-7466666.1116737332</v>
      </c>
      <c r="AB130" s="165">
        <f t="shared" si="482"/>
        <v>-3049236.8205748675</v>
      </c>
      <c r="AC130" s="165">
        <f t="shared" si="482"/>
        <v>-2489516.2304512169</v>
      </c>
      <c r="AD130" s="165">
        <f t="shared" si="482"/>
        <v>-3233266.2083782381</v>
      </c>
      <c r="AE130" s="165">
        <f t="shared" si="482"/>
        <v>-3013355.3763628108</v>
      </c>
      <c r="AF130" s="165">
        <f t="shared" si="482"/>
        <v>-3571801.4817887503</v>
      </c>
      <c r="AG130" s="165">
        <f t="shared" si="482"/>
        <v>-3066280.1250574319</v>
      </c>
      <c r="AH130" s="165">
        <f t="shared" si="482"/>
        <v>-1425730.2533481929</v>
      </c>
      <c r="AI130" s="165">
        <f t="shared" si="482"/>
        <v>1858933.1961945675</v>
      </c>
      <c r="AJ130" s="165">
        <f t="shared" si="482"/>
        <v>-1722340.3520113579</v>
      </c>
      <c r="AK130" s="165">
        <f t="shared" si="482"/>
        <v>-2246489.8432433903</v>
      </c>
      <c r="AL130" s="165">
        <f t="shared" si="482"/>
        <v>-2255668.4824224408</v>
      </c>
      <c r="AM130" s="165">
        <f t="shared" si="482"/>
        <v>-2403596.1844132491</v>
      </c>
      <c r="AN130" s="165">
        <f t="shared" si="482"/>
        <v>-3245564.8294254015</v>
      </c>
      <c r="AO130" s="165">
        <f t="shared" si="482"/>
        <v>-2946238.4467767826</v>
      </c>
      <c r="AP130" s="165">
        <f t="shared" si="482"/>
        <v>-4099357.8723233091</v>
      </c>
      <c r="AQ130" s="165">
        <f t="shared" si="482"/>
        <v>-4677867.7167671286</v>
      </c>
      <c r="AR130" s="165">
        <f t="shared" si="482"/>
        <v>-5759443.9266467504</v>
      </c>
      <c r="AS130" s="165">
        <f t="shared" si="482"/>
        <v>-5043653.0024587698</v>
      </c>
      <c r="AT130" s="165">
        <f t="shared" si="482"/>
        <v>-2177606.7113595447</v>
      </c>
      <c r="AU130" s="165">
        <f t="shared" si="482"/>
        <v>-3177346.4363628519</v>
      </c>
      <c r="AV130" s="165">
        <f t="shared" si="482"/>
        <v>-1185705.431843922</v>
      </c>
      <c r="AW130" s="165">
        <f t="shared" si="482"/>
        <v>-5367347.0122555876</v>
      </c>
      <c r="AX130" s="165">
        <f t="shared" si="482"/>
        <v>-11108318.070795221</v>
      </c>
      <c r="AY130" s="165">
        <f t="shared" si="482"/>
        <v>-10053607.016003389</v>
      </c>
      <c r="AZ130" s="165">
        <f t="shared" si="482"/>
        <v>-6578369.2638818193</v>
      </c>
      <c r="BA130" s="165">
        <f t="shared" si="482"/>
        <v>-4635512.4672590746</v>
      </c>
      <c r="BB130" s="165">
        <f t="shared" si="482"/>
        <v>-7715118.1719170185</v>
      </c>
      <c r="BC130" s="165">
        <f t="shared" si="482"/>
        <v>-8231656.7428018199</v>
      </c>
      <c r="BD130" s="165">
        <f t="shared" si="482"/>
        <v>-7820534.6176177319</v>
      </c>
      <c r="BE130" s="165">
        <f t="shared" si="482"/>
        <v>-4494024.607310635</v>
      </c>
      <c r="BF130" s="165">
        <f t="shared" si="482"/>
        <v>-6069071.2338160239</v>
      </c>
      <c r="BG130" s="165">
        <f t="shared" si="482"/>
        <v>-4092259.4145970736</v>
      </c>
      <c r="BH130" s="165">
        <f t="shared" si="482"/>
        <v>-2447105.7395270607</v>
      </c>
      <c r="BI130" s="165">
        <f t="shared" si="482"/>
        <v>-3941892.7851750683</v>
      </c>
      <c r="BJ130" s="165">
        <f t="shared" si="482"/>
        <v>-2974266.0188362584</v>
      </c>
      <c r="BK130" s="165">
        <f t="shared" si="482"/>
        <v>0</v>
      </c>
      <c r="BL130" s="165">
        <f t="shared" si="482"/>
        <v>0</v>
      </c>
      <c r="BM130" s="165">
        <f t="shared" si="482"/>
        <v>0</v>
      </c>
      <c r="BN130" s="165">
        <f t="shared" si="482"/>
        <v>0</v>
      </c>
      <c r="BO130" s="165">
        <f t="shared" si="482"/>
        <v>0</v>
      </c>
      <c r="BP130" s="165">
        <f t="shared" ref="BP130:DR132" si="483">BP112-BP118-BP124</f>
        <v>0</v>
      </c>
      <c r="BQ130" s="165">
        <f t="shared" si="483"/>
        <v>0</v>
      </c>
      <c r="BR130" s="165">
        <f t="shared" si="483"/>
        <v>0</v>
      </c>
      <c r="BS130" s="165">
        <f t="shared" si="483"/>
        <v>0</v>
      </c>
      <c r="BT130" s="165">
        <f t="shared" si="483"/>
        <v>0</v>
      </c>
      <c r="BU130" s="165">
        <f t="shared" si="483"/>
        <v>0</v>
      </c>
      <c r="BV130" s="165">
        <f t="shared" si="483"/>
        <v>0</v>
      </c>
      <c r="BW130" s="165">
        <f t="shared" si="483"/>
        <v>0</v>
      </c>
      <c r="BX130" s="165">
        <f t="shared" si="483"/>
        <v>0</v>
      </c>
      <c r="BY130" s="165">
        <f t="shared" si="483"/>
        <v>0</v>
      </c>
      <c r="BZ130" s="165">
        <f t="shared" si="483"/>
        <v>0</v>
      </c>
      <c r="CA130" s="165">
        <f t="shared" si="483"/>
        <v>0</v>
      </c>
      <c r="CB130" s="165">
        <f t="shared" si="483"/>
        <v>0</v>
      </c>
      <c r="CC130" s="165">
        <f t="shared" si="483"/>
        <v>0</v>
      </c>
      <c r="CD130" s="165">
        <f t="shared" si="483"/>
        <v>0</v>
      </c>
      <c r="CE130" s="165">
        <f t="shared" si="483"/>
        <v>0</v>
      </c>
      <c r="CF130" s="165">
        <f t="shared" si="483"/>
        <v>0</v>
      </c>
      <c r="CG130" s="165">
        <f t="shared" si="483"/>
        <v>0</v>
      </c>
      <c r="CH130" s="165">
        <f t="shared" si="483"/>
        <v>0</v>
      </c>
      <c r="CI130" s="165">
        <f t="shared" si="483"/>
        <v>0</v>
      </c>
      <c r="CJ130" s="165">
        <f t="shared" si="483"/>
        <v>0</v>
      </c>
      <c r="CK130" s="165">
        <f t="shared" si="483"/>
        <v>0</v>
      </c>
      <c r="CL130" s="165">
        <f t="shared" si="483"/>
        <v>0</v>
      </c>
      <c r="CM130" s="165">
        <f t="shared" si="483"/>
        <v>0</v>
      </c>
      <c r="CN130" s="165">
        <f t="shared" si="483"/>
        <v>0</v>
      </c>
      <c r="CO130" s="165">
        <f t="shared" si="483"/>
        <v>0</v>
      </c>
      <c r="CP130" s="165">
        <f t="shared" si="483"/>
        <v>0</v>
      </c>
      <c r="CQ130" s="165">
        <f t="shared" si="483"/>
        <v>0</v>
      </c>
      <c r="CR130" s="165">
        <f t="shared" si="483"/>
        <v>0</v>
      </c>
      <c r="CS130" s="165">
        <f t="shared" si="483"/>
        <v>0</v>
      </c>
      <c r="CT130" s="165">
        <f t="shared" si="483"/>
        <v>0</v>
      </c>
      <c r="CU130" s="165">
        <f t="shared" si="483"/>
        <v>0</v>
      </c>
      <c r="CV130" s="165">
        <f t="shared" si="483"/>
        <v>0</v>
      </c>
      <c r="CW130" s="165">
        <f t="shared" si="483"/>
        <v>0</v>
      </c>
      <c r="CX130" s="165">
        <f t="shared" si="483"/>
        <v>0</v>
      </c>
      <c r="CY130" s="165">
        <f t="shared" si="483"/>
        <v>0</v>
      </c>
      <c r="CZ130" s="165">
        <f t="shared" si="483"/>
        <v>0</v>
      </c>
      <c r="DA130" s="165">
        <f t="shared" si="483"/>
        <v>0</v>
      </c>
      <c r="DB130" s="165">
        <f t="shared" si="483"/>
        <v>0</v>
      </c>
      <c r="DC130" s="165">
        <f t="shared" si="483"/>
        <v>0</v>
      </c>
      <c r="DD130" s="165">
        <f t="shared" si="483"/>
        <v>0</v>
      </c>
      <c r="DE130" s="165">
        <f t="shared" si="483"/>
        <v>0</v>
      </c>
      <c r="DF130" s="165">
        <f t="shared" si="483"/>
        <v>0</v>
      </c>
      <c r="DG130" s="165">
        <f t="shared" si="483"/>
        <v>0</v>
      </c>
      <c r="DH130" s="165">
        <f t="shared" si="483"/>
        <v>0</v>
      </c>
      <c r="DI130" s="165">
        <f t="shared" si="483"/>
        <v>0</v>
      </c>
      <c r="DJ130" s="165">
        <f t="shared" si="483"/>
        <v>0</v>
      </c>
      <c r="DK130" s="165">
        <f t="shared" si="483"/>
        <v>0</v>
      </c>
      <c r="DL130" s="165">
        <f t="shared" si="483"/>
        <v>0</v>
      </c>
      <c r="DM130" s="165">
        <f t="shared" si="483"/>
        <v>0</v>
      </c>
      <c r="DN130" s="165">
        <f t="shared" si="483"/>
        <v>0</v>
      </c>
      <c r="DO130" s="165">
        <f t="shared" si="483"/>
        <v>0</v>
      </c>
      <c r="DP130" s="165">
        <f t="shared" si="483"/>
        <v>0</v>
      </c>
      <c r="DQ130" s="165">
        <f t="shared" si="483"/>
        <v>0</v>
      </c>
      <c r="DR130" s="165">
        <f t="shared" si="483"/>
        <v>0</v>
      </c>
      <c r="DS130" s="165">
        <f t="shared" ref="DS130:ED130" si="484">DS112-DS118-DS124</f>
        <v>0</v>
      </c>
      <c r="DT130" s="165">
        <f t="shared" si="484"/>
        <v>0</v>
      </c>
      <c r="DU130" s="165">
        <f t="shared" si="484"/>
        <v>0</v>
      </c>
      <c r="DV130" s="165">
        <f t="shared" si="484"/>
        <v>0</v>
      </c>
      <c r="DW130" s="165">
        <f t="shared" si="484"/>
        <v>0</v>
      </c>
      <c r="DX130" s="165">
        <f t="shared" si="484"/>
        <v>0</v>
      </c>
      <c r="DY130" s="165">
        <f t="shared" si="484"/>
        <v>0</v>
      </c>
      <c r="DZ130" s="165">
        <f t="shared" si="484"/>
        <v>0</v>
      </c>
      <c r="EA130" s="165">
        <f t="shared" si="484"/>
        <v>0</v>
      </c>
      <c r="EB130" s="165">
        <f t="shared" si="484"/>
        <v>0</v>
      </c>
      <c r="EC130" s="165">
        <f t="shared" si="484"/>
        <v>0</v>
      </c>
      <c r="ED130" s="165">
        <f t="shared" si="484"/>
        <v>0</v>
      </c>
      <c r="EE130" s="168"/>
      <c r="EF130" s="165">
        <f>SUM(BK130:BM130)</f>
        <v>0</v>
      </c>
      <c r="EG130" s="165">
        <f>SUM(BN130:BP130)</f>
        <v>0</v>
      </c>
      <c r="EH130" s="165">
        <f>SUM(BQ130:BS130)</f>
        <v>0</v>
      </c>
      <c r="EI130" s="165">
        <f>SUM(BT130:BV130)</f>
        <v>0</v>
      </c>
      <c r="EJ130" s="165">
        <f>SUM(BW130:BY130)</f>
        <v>0</v>
      </c>
      <c r="EK130" s="165">
        <f>SUM(CL130:CN130)</f>
        <v>0</v>
      </c>
      <c r="EL130" s="165">
        <f>SUM(CC130:CE130)</f>
        <v>0</v>
      </c>
      <c r="EM130" s="165">
        <f>SUM(CF130:CH130)</f>
        <v>0</v>
      </c>
      <c r="EN130" s="165">
        <f>SUM(CI130:CK130)</f>
        <v>0</v>
      </c>
      <c r="EO130" s="165">
        <f>SUM(CL130:CN130)</f>
        <v>0</v>
      </c>
      <c r="EP130" s="165">
        <f>SUM(CO130:CQ130)</f>
        <v>0</v>
      </c>
      <c r="EQ130" s="165">
        <f>SUM(CR130:CT130)</f>
        <v>0</v>
      </c>
      <c r="ER130" s="165">
        <f>SUM(CU130:CW130)</f>
        <v>0</v>
      </c>
      <c r="ES130" s="165">
        <f>SUM(CX130:CZ130)</f>
        <v>0</v>
      </c>
      <c r="ET130" s="165">
        <f>SUM(DA130:DC130)</f>
        <v>0</v>
      </c>
      <c r="EU130" s="165">
        <f>SUM(DD130:DF130)</f>
        <v>0</v>
      </c>
      <c r="EV130" s="165">
        <f>SUM(DG130:DI130)</f>
        <v>0</v>
      </c>
      <c r="EW130" s="165">
        <f>SUM(DJ130:DL130)</f>
        <v>0</v>
      </c>
      <c r="EX130" s="165">
        <f>SUM(DM130:DO130)</f>
        <v>0</v>
      </c>
      <c r="EY130" s="165">
        <f>SUM(DP130:DR130)</f>
        <v>0</v>
      </c>
      <c r="EZ130" s="165">
        <f t="shared" si="304"/>
        <v>0</v>
      </c>
      <c r="FA130" s="165">
        <f t="shared" si="305"/>
        <v>0</v>
      </c>
      <c r="FB130" s="165">
        <f t="shared" si="306"/>
        <v>0</v>
      </c>
      <c r="FC130" s="165">
        <f t="shared" si="307"/>
        <v>0</v>
      </c>
      <c r="FE130" s="165">
        <f t="shared" si="308"/>
        <v>0</v>
      </c>
      <c r="FF130" s="165">
        <f t="shared" si="309"/>
        <v>0</v>
      </c>
      <c r="FG130" s="165">
        <f t="shared" si="310"/>
        <v>0</v>
      </c>
      <c r="FH130" s="165">
        <f t="shared" si="311"/>
        <v>0</v>
      </c>
      <c r="FI130" s="165">
        <f t="shared" si="312"/>
        <v>0</v>
      </c>
      <c r="FJ130" s="165">
        <f t="shared" si="313"/>
        <v>0</v>
      </c>
    </row>
    <row r="131" spans="2:166" x14ac:dyDescent="0.2">
      <c r="B131" s="155" t="s">
        <v>228</v>
      </c>
      <c r="C131" s="165">
        <f t="shared" ref="C131:R132" si="485">C113-C119-C125</f>
        <v>0</v>
      </c>
      <c r="D131" s="165">
        <f t="shared" si="485"/>
        <v>0</v>
      </c>
      <c r="E131" s="165">
        <f t="shared" si="485"/>
        <v>0</v>
      </c>
      <c r="F131" s="165">
        <f t="shared" si="485"/>
        <v>0</v>
      </c>
      <c r="G131" s="165">
        <f t="shared" si="485"/>
        <v>0</v>
      </c>
      <c r="H131" s="165">
        <f t="shared" si="485"/>
        <v>0</v>
      </c>
      <c r="I131" s="165">
        <f t="shared" si="485"/>
        <v>0</v>
      </c>
      <c r="J131" s="165">
        <f t="shared" si="485"/>
        <v>0</v>
      </c>
      <c r="K131" s="165">
        <f t="shared" si="485"/>
        <v>0</v>
      </c>
      <c r="L131" s="165">
        <f t="shared" si="485"/>
        <v>-66011.68784394252</v>
      </c>
      <c r="M131" s="165">
        <f t="shared" si="485"/>
        <v>745080.51454545476</v>
      </c>
      <c r="N131" s="165">
        <f t="shared" si="485"/>
        <v>4913712.0974049428</v>
      </c>
      <c r="O131" s="165">
        <f t="shared" si="485"/>
        <v>4475190.5422995463</v>
      </c>
      <c r="P131" s="165">
        <f t="shared" si="485"/>
        <v>3986942.5052436222</v>
      </c>
      <c r="Q131" s="165">
        <f t="shared" si="485"/>
        <v>2410766.4447742989</v>
      </c>
      <c r="R131" s="165">
        <f t="shared" si="485"/>
        <v>5643796.2384900488</v>
      </c>
      <c r="S131" s="165">
        <f t="shared" si="482"/>
        <v>4346373.2162555028</v>
      </c>
      <c r="T131" s="165">
        <f t="shared" si="482"/>
        <v>3171862.3344066669</v>
      </c>
      <c r="U131" s="165">
        <f t="shared" si="482"/>
        <v>6312611.5429305723</v>
      </c>
      <c r="V131" s="165">
        <f t="shared" si="482"/>
        <v>741468.01010531385</v>
      </c>
      <c r="W131" s="165">
        <f t="shared" si="482"/>
        <v>2922109.842292753</v>
      </c>
      <c r="X131" s="165">
        <f t="shared" si="482"/>
        <v>1182051.3139325802</v>
      </c>
      <c r="Y131" s="165">
        <f t="shared" si="482"/>
        <v>-978960.06307958113</v>
      </c>
      <c r="Z131" s="165">
        <f t="shared" si="482"/>
        <v>412151.76282010658</v>
      </c>
      <c r="AA131" s="165">
        <f t="shared" si="482"/>
        <v>-1103692.7185646195</v>
      </c>
      <c r="AB131" s="165">
        <f t="shared" si="482"/>
        <v>1888393.5053824398</v>
      </c>
      <c r="AC131" s="165">
        <f t="shared" si="482"/>
        <v>1752678.3241581274</v>
      </c>
      <c r="AD131" s="165">
        <f t="shared" si="482"/>
        <v>2591185.1302738641</v>
      </c>
      <c r="AE131" s="165">
        <f t="shared" si="482"/>
        <v>1709885.4680219362</v>
      </c>
      <c r="AF131" s="165">
        <f t="shared" si="482"/>
        <v>1568188.8396203867</v>
      </c>
      <c r="AG131" s="165">
        <f t="shared" si="482"/>
        <v>1735010.4708161566</v>
      </c>
      <c r="AH131" s="165">
        <f t="shared" si="482"/>
        <v>1052881.4802149346</v>
      </c>
      <c r="AI131" s="165">
        <f t="shared" si="482"/>
        <v>2518222.8277634094</v>
      </c>
      <c r="AJ131" s="165">
        <f t="shared" si="482"/>
        <v>3223342.2537118951</v>
      </c>
      <c r="AK131" s="165">
        <f t="shared" si="482"/>
        <v>2830197.6980107808</v>
      </c>
      <c r="AL131" s="165">
        <f t="shared" si="482"/>
        <v>2429484.8811262203</v>
      </c>
      <c r="AM131" s="165">
        <f t="shared" si="482"/>
        <v>163351.75084604131</v>
      </c>
      <c r="AN131" s="165">
        <f t="shared" si="482"/>
        <v>-749901.44177715853</v>
      </c>
      <c r="AO131" s="165">
        <f t="shared" si="482"/>
        <v>-429706.16792931419</v>
      </c>
      <c r="AP131" s="165">
        <f t="shared" si="482"/>
        <v>755495.62728996971</v>
      </c>
      <c r="AQ131" s="165">
        <f t="shared" si="482"/>
        <v>363133.4043272073</v>
      </c>
      <c r="AR131" s="165">
        <f t="shared" si="482"/>
        <v>938892.10694481607</v>
      </c>
      <c r="AS131" s="165">
        <f t="shared" si="482"/>
        <v>1412813.9703002602</v>
      </c>
      <c r="AT131" s="165">
        <f t="shared" si="482"/>
        <v>3428422.5303888489</v>
      </c>
      <c r="AU131" s="165">
        <f t="shared" si="482"/>
        <v>3949471.8940896257</v>
      </c>
      <c r="AV131" s="165">
        <f t="shared" si="482"/>
        <v>4954583.809529217</v>
      </c>
      <c r="AW131" s="165">
        <f t="shared" si="482"/>
        <v>5105607.5982447155</v>
      </c>
      <c r="AX131" s="165">
        <f t="shared" si="482"/>
        <v>1920084.6614152612</v>
      </c>
      <c r="AY131" s="165">
        <f t="shared" si="482"/>
        <v>1166808.5461870534</v>
      </c>
      <c r="AZ131" s="165">
        <f t="shared" si="482"/>
        <v>577565.47945761331</v>
      </c>
      <c r="BA131" s="165">
        <f t="shared" si="482"/>
        <v>2009799.5128936307</v>
      </c>
      <c r="BB131" s="165">
        <f t="shared" si="482"/>
        <v>-233237.53294197866</v>
      </c>
      <c r="BC131" s="165">
        <f t="shared" si="482"/>
        <v>-1716726.0072161958</v>
      </c>
      <c r="BD131" s="165">
        <f t="shared" si="482"/>
        <v>-1541565.3471590336</v>
      </c>
      <c r="BE131" s="165">
        <f t="shared" si="482"/>
        <v>814663.90025351779</v>
      </c>
      <c r="BF131" s="165">
        <f t="shared" si="482"/>
        <v>1491928.7165462053</v>
      </c>
      <c r="BG131" s="165">
        <f t="shared" si="482"/>
        <v>366812.30393444368</v>
      </c>
      <c r="BH131" s="165">
        <f t="shared" si="482"/>
        <v>2578134.4868502789</v>
      </c>
      <c r="BI131" s="165">
        <f t="shared" si="482"/>
        <v>4472259.3451094702</v>
      </c>
      <c r="BJ131" s="165">
        <f t="shared" si="482"/>
        <v>2551358.7573485114</v>
      </c>
      <c r="BK131" s="165">
        <f t="shared" si="482"/>
        <v>-7419057.3288782369</v>
      </c>
      <c r="BL131" s="165">
        <f t="shared" si="482"/>
        <v>-5003230.6710610399</v>
      </c>
      <c r="BM131" s="165">
        <f t="shared" si="482"/>
        <v>1120.611425165087</v>
      </c>
      <c r="BN131" s="165">
        <f t="shared" si="482"/>
        <v>-6897074.1424495447</v>
      </c>
      <c r="BO131" s="165">
        <f t="shared" si="482"/>
        <v>-4040064.260376418</v>
      </c>
      <c r="BP131" s="165">
        <f t="shared" si="483"/>
        <v>-10286220.175338708</v>
      </c>
      <c r="BQ131" s="165">
        <f t="shared" si="483"/>
        <v>-8741883.9659951609</v>
      </c>
      <c r="BR131" s="165">
        <f t="shared" si="483"/>
        <v>-2481832.686288517</v>
      </c>
      <c r="BS131" s="165">
        <f t="shared" si="483"/>
        <v>2959342.3644485306</v>
      </c>
      <c r="BT131" s="165">
        <f t="shared" si="483"/>
        <v>3446666.7458320893</v>
      </c>
      <c r="BU131" s="165">
        <f t="shared" si="483"/>
        <v>-2587014.4797109514</v>
      </c>
      <c r="BV131" s="165">
        <f t="shared" si="483"/>
        <v>8477167.3107848018</v>
      </c>
      <c r="BW131" s="165">
        <f t="shared" si="483"/>
        <v>2926672.4236555435</v>
      </c>
      <c r="BX131" s="165">
        <f t="shared" si="483"/>
        <v>3570576.9600844644</v>
      </c>
      <c r="BY131" s="165">
        <f t="shared" si="483"/>
        <v>7367532.8895602524</v>
      </c>
      <c r="BZ131" s="165">
        <f t="shared" si="483"/>
        <v>7352082.1943589151</v>
      </c>
      <c r="CA131" s="165">
        <f t="shared" si="483"/>
        <v>8161269.5595845431</v>
      </c>
      <c r="CB131" s="165">
        <f t="shared" si="483"/>
        <v>13999297.760979027</v>
      </c>
      <c r="CC131" s="165">
        <f t="shared" si="483"/>
        <v>19987453.027486049</v>
      </c>
      <c r="CD131" s="165">
        <f t="shared" si="483"/>
        <v>12722784.492612343</v>
      </c>
      <c r="CE131" s="165">
        <f t="shared" si="483"/>
        <v>14330067.667972546</v>
      </c>
      <c r="CF131" s="165">
        <f t="shared" si="483"/>
        <v>18729135.99916352</v>
      </c>
      <c r="CG131" s="165">
        <f t="shared" si="483"/>
        <v>16652222.274995446</v>
      </c>
      <c r="CH131" s="165">
        <f t="shared" si="483"/>
        <v>26256783.563337639</v>
      </c>
      <c r="CI131" s="165">
        <f t="shared" si="483"/>
        <v>18452094.950729314</v>
      </c>
      <c r="CJ131" s="165">
        <f t="shared" si="483"/>
        <v>19458943.898458958</v>
      </c>
      <c r="CK131" s="165">
        <f t="shared" si="483"/>
        <v>19116512.220736239</v>
      </c>
      <c r="CL131" s="165">
        <f t="shared" si="483"/>
        <v>23223915.435069278</v>
      </c>
      <c r="CM131" s="165">
        <f t="shared" si="483"/>
        <v>22121786.499704696</v>
      </c>
      <c r="CN131" s="165">
        <f t="shared" si="483"/>
        <v>24569570.561739236</v>
      </c>
      <c r="CO131" s="165">
        <f t="shared" si="483"/>
        <v>17349915.556174662</v>
      </c>
      <c r="CP131" s="165">
        <f t="shared" si="483"/>
        <v>16356442.91826129</v>
      </c>
      <c r="CQ131" s="165">
        <f t="shared" si="483"/>
        <v>19794508.77454263</v>
      </c>
      <c r="CR131" s="165">
        <f t="shared" si="483"/>
        <v>20284329.303282883</v>
      </c>
      <c r="CS131" s="165">
        <f t="shared" si="483"/>
        <v>10752506.061890133</v>
      </c>
      <c r="CT131" s="165">
        <f t="shared" si="483"/>
        <v>14926461.530222435</v>
      </c>
      <c r="CU131" s="165">
        <f t="shared" si="483"/>
        <v>23207433.225345265</v>
      </c>
      <c r="CV131" s="165">
        <f t="shared" si="483"/>
        <v>23619525.418682948</v>
      </c>
      <c r="CW131" s="165">
        <f t="shared" si="483"/>
        <v>23590264.434540633</v>
      </c>
      <c r="CX131" s="165">
        <f t="shared" si="483"/>
        <v>24207183.516874552</v>
      </c>
      <c r="CY131" s="165">
        <f t="shared" si="483"/>
        <v>21812659.647894647</v>
      </c>
      <c r="CZ131" s="165">
        <f t="shared" si="483"/>
        <v>25484913.157755867</v>
      </c>
      <c r="DA131" s="165">
        <f t="shared" si="483"/>
        <v>23843602.252837006</v>
      </c>
      <c r="DB131" s="165">
        <f t="shared" si="483"/>
        <v>23941138.866644893</v>
      </c>
      <c r="DC131" s="165">
        <f t="shared" si="483"/>
        <v>33424136.14410207</v>
      </c>
      <c r="DD131" s="165">
        <f t="shared" si="483"/>
        <v>37388999.495386593</v>
      </c>
      <c r="DE131" s="165">
        <f t="shared" si="483"/>
        <v>29522671.591792624</v>
      </c>
      <c r="DF131" s="165">
        <f t="shared" si="483"/>
        <v>33331476.360984813</v>
      </c>
      <c r="DG131" s="165">
        <f t="shared" si="483"/>
        <v>28663480.854956511</v>
      </c>
      <c r="DH131" s="165">
        <f t="shared" si="483"/>
        <v>29141982.047452051</v>
      </c>
      <c r="DI131" s="165">
        <f t="shared" si="483"/>
        <v>29108005.63141695</v>
      </c>
      <c r="DJ131" s="165">
        <f t="shared" si="483"/>
        <v>29824341.736158852</v>
      </c>
      <c r="DK131" s="165">
        <f t="shared" si="483"/>
        <v>27043938.357279096</v>
      </c>
      <c r="DL131" s="165">
        <f t="shared" si="483"/>
        <v>31307978.569695536</v>
      </c>
      <c r="DM131" s="165">
        <f t="shared" si="483"/>
        <v>29453151.652648188</v>
      </c>
      <c r="DN131" s="165">
        <f t="shared" si="483"/>
        <v>29566406.372765489</v>
      </c>
      <c r="DO131" s="165">
        <f t="shared" si="483"/>
        <v>40577596.536170132</v>
      </c>
      <c r="DP131" s="165">
        <f t="shared" si="483"/>
        <v>45181400.908938266</v>
      </c>
      <c r="DQ131" s="165">
        <f t="shared" si="483"/>
        <v>36047407.731477998</v>
      </c>
      <c r="DR131" s="165">
        <f t="shared" si="483"/>
        <v>40470004.55205854</v>
      </c>
      <c r="DS131" s="165">
        <f t="shared" ref="DS131:ED131" si="486">DS113-DS119-DS125</f>
        <v>35569629.131981075</v>
      </c>
      <c r="DT131" s="165">
        <f t="shared" si="486"/>
        <v>36130121.231098503</v>
      </c>
      <c r="DU131" s="165">
        <f t="shared" si="486"/>
        <v>36090322.975540005</v>
      </c>
      <c r="DV131" s="165">
        <f t="shared" si="486"/>
        <v>36929402.863567933</v>
      </c>
      <c r="DW131" s="165">
        <f t="shared" si="486"/>
        <v>33672578.950352766</v>
      </c>
      <c r="DX131" s="165">
        <f t="shared" si="486"/>
        <v>38667260.022961609</v>
      </c>
      <c r="DY131" s="165">
        <f t="shared" si="486"/>
        <v>36553053.086727202</v>
      </c>
      <c r="DZ131" s="165">
        <f t="shared" si="486"/>
        <v>36685713.93858929</v>
      </c>
      <c r="EA131" s="165">
        <f t="shared" si="486"/>
        <v>49583665.260884121</v>
      </c>
      <c r="EB131" s="165">
        <f t="shared" si="486"/>
        <v>54976328.889079243</v>
      </c>
      <c r="EC131" s="165">
        <f t="shared" si="486"/>
        <v>44277231.186399311</v>
      </c>
      <c r="ED131" s="165">
        <f t="shared" si="486"/>
        <v>49457637.45161517</v>
      </c>
      <c r="EE131" s="168"/>
      <c r="EF131" s="165">
        <f>SUM(BK131:BM131)</f>
        <v>-12421167.388514113</v>
      </c>
      <c r="EG131" s="165">
        <f>SUM(BN131:BP131)</f>
        <v>-21223358.578164671</v>
      </c>
      <c r="EH131" s="165">
        <f>SUM(BQ131:BS131)</f>
        <v>-8264374.2878351472</v>
      </c>
      <c r="EI131" s="165">
        <f>SUM(BT131:BV131)</f>
        <v>9336819.5769059397</v>
      </c>
      <c r="EJ131" s="165">
        <f>SUM(BW131:BY131)</f>
        <v>13864782.27330026</v>
      </c>
      <c r="EK131" s="165">
        <f>SUM(CL131:CN131)</f>
        <v>69915272.496513218</v>
      </c>
      <c r="EL131" s="165">
        <f>SUM(CC131:CE131)</f>
        <v>47040305.188070938</v>
      </c>
      <c r="EM131" s="165">
        <f>SUM(CF131:CH131)</f>
        <v>61638141.837496608</v>
      </c>
      <c r="EN131" s="165">
        <f>SUM(CI131:CK131)</f>
        <v>57027551.069924504</v>
      </c>
      <c r="EO131" s="165">
        <f>SUM(CL131:CN131)</f>
        <v>69915272.496513218</v>
      </c>
      <c r="EP131" s="165">
        <f>SUM(CO131:CQ131)</f>
        <v>53500867.248978585</v>
      </c>
      <c r="EQ131" s="165">
        <f>SUM(CR131:CT131)</f>
        <v>45963296.89539545</v>
      </c>
      <c r="ER131" s="165">
        <f>SUM(CU131:CW131)</f>
        <v>70417223.078568846</v>
      </c>
      <c r="ES131" s="165">
        <f>SUM(CX131:CZ131)</f>
        <v>71504756.322525069</v>
      </c>
      <c r="ET131" s="165">
        <f>SUM(DA131:DC131)</f>
        <v>81208877.263583973</v>
      </c>
      <c r="EU131" s="165">
        <f>SUM(DD131:DF131)</f>
        <v>100243147.44816403</v>
      </c>
      <c r="EV131" s="165">
        <f>SUM(DG131:DI131)</f>
        <v>86913468.533825517</v>
      </c>
      <c r="EW131" s="165">
        <f>SUM(DJ131:DL131)</f>
        <v>88176258.663133487</v>
      </c>
      <c r="EX131" s="165">
        <f>SUM(DM131:DO131)</f>
        <v>99597154.561583817</v>
      </c>
      <c r="EY131" s="165">
        <f>SUM(DP131:DR131)</f>
        <v>121698813.19247481</v>
      </c>
      <c r="EZ131" s="165">
        <f t="shared" si="304"/>
        <v>107790073.33861959</v>
      </c>
      <c r="FA131" s="165">
        <f t="shared" si="305"/>
        <v>109269241.83688232</v>
      </c>
      <c r="FB131" s="165">
        <f t="shared" si="306"/>
        <v>122822432.28620061</v>
      </c>
      <c r="FC131" s="165">
        <f t="shared" si="307"/>
        <v>148711197.52709371</v>
      </c>
      <c r="FE131" s="165">
        <f t="shared" si="308"/>
        <v>-32572080.677607995</v>
      </c>
      <c r="FF131" s="165">
        <f t="shared" si="309"/>
        <v>192458501.79538101</v>
      </c>
      <c r="FG131" s="165">
        <f t="shared" si="310"/>
        <v>226406987.71081176</v>
      </c>
      <c r="FH131" s="165">
        <f t="shared" si="311"/>
        <v>323374004.1128419</v>
      </c>
      <c r="FI131" s="165">
        <f t="shared" si="312"/>
        <v>396385694.95101762</v>
      </c>
      <c r="FJ131" s="165">
        <f t="shared" si="313"/>
        <v>488592944.98879623</v>
      </c>
    </row>
    <row r="132" spans="2:166" x14ac:dyDescent="0.2">
      <c r="B132" s="155" t="s">
        <v>229</v>
      </c>
      <c r="C132" s="165">
        <f t="shared" si="485"/>
        <v>0</v>
      </c>
      <c r="D132" s="165">
        <f t="shared" ref="D132:BO132" si="487">D114-D120-D126</f>
        <v>0</v>
      </c>
      <c r="E132" s="165">
        <f t="shared" si="487"/>
        <v>0</v>
      </c>
      <c r="F132" s="165">
        <f t="shared" si="487"/>
        <v>0</v>
      </c>
      <c r="G132" s="165">
        <f t="shared" si="487"/>
        <v>0</v>
      </c>
      <c r="H132" s="165">
        <f t="shared" si="487"/>
        <v>0</v>
      </c>
      <c r="I132" s="165">
        <f t="shared" si="487"/>
        <v>0</v>
      </c>
      <c r="J132" s="165">
        <f t="shared" si="487"/>
        <v>0</v>
      </c>
      <c r="K132" s="165">
        <f t="shared" si="487"/>
        <v>0</v>
      </c>
      <c r="L132" s="165">
        <f t="shared" si="487"/>
        <v>0</v>
      </c>
      <c r="M132" s="165">
        <f t="shared" si="487"/>
        <v>0</v>
      </c>
      <c r="N132" s="165">
        <f t="shared" si="487"/>
        <v>0</v>
      </c>
      <c r="O132" s="165">
        <f t="shared" si="487"/>
        <v>0</v>
      </c>
      <c r="P132" s="165">
        <f t="shared" si="487"/>
        <v>0</v>
      </c>
      <c r="Q132" s="165">
        <f t="shared" si="487"/>
        <v>0</v>
      </c>
      <c r="R132" s="165">
        <f t="shared" si="487"/>
        <v>0</v>
      </c>
      <c r="S132" s="165">
        <f t="shared" si="487"/>
        <v>0</v>
      </c>
      <c r="T132" s="165">
        <f t="shared" si="487"/>
        <v>0</v>
      </c>
      <c r="U132" s="165">
        <f t="shared" si="487"/>
        <v>0</v>
      </c>
      <c r="V132" s="165">
        <f t="shared" si="487"/>
        <v>0</v>
      </c>
      <c r="W132" s="165">
        <f t="shared" si="487"/>
        <v>0</v>
      </c>
      <c r="X132" s="165">
        <f t="shared" si="487"/>
        <v>0</v>
      </c>
      <c r="Y132" s="165">
        <f t="shared" si="487"/>
        <v>0</v>
      </c>
      <c r="Z132" s="165">
        <f t="shared" si="487"/>
        <v>0</v>
      </c>
      <c r="AA132" s="165">
        <f t="shared" si="487"/>
        <v>0</v>
      </c>
      <c r="AB132" s="165">
        <f t="shared" si="487"/>
        <v>0</v>
      </c>
      <c r="AC132" s="165">
        <f t="shared" si="487"/>
        <v>737164.37223297346</v>
      </c>
      <c r="AD132" s="165">
        <f t="shared" si="487"/>
        <v>-1164773.8053797125</v>
      </c>
      <c r="AE132" s="165">
        <f t="shared" si="487"/>
        <v>-1548504.6846660806</v>
      </c>
      <c r="AF132" s="165">
        <f t="shared" si="487"/>
        <v>-1802216.1229235982</v>
      </c>
      <c r="AG132" s="165">
        <f t="shared" si="487"/>
        <v>-2296719.2504549231</v>
      </c>
      <c r="AH132" s="165">
        <f t="shared" si="487"/>
        <v>-1787412.6181384102</v>
      </c>
      <c r="AI132" s="165">
        <f t="shared" si="487"/>
        <v>357401.90046987275</v>
      </c>
      <c r="AJ132" s="165">
        <f t="shared" si="487"/>
        <v>315461.48308122979</v>
      </c>
      <c r="AK132" s="165">
        <f t="shared" si="487"/>
        <v>797246.09938603407</v>
      </c>
      <c r="AL132" s="165">
        <f t="shared" si="487"/>
        <v>780531.16885597818</v>
      </c>
      <c r="AM132" s="165">
        <f t="shared" si="487"/>
        <v>-2294663.3532493245</v>
      </c>
      <c r="AN132" s="165">
        <f t="shared" si="487"/>
        <v>-5422715.5337462397</v>
      </c>
      <c r="AO132" s="165">
        <f t="shared" si="487"/>
        <v>-1850147.5435754305</v>
      </c>
      <c r="AP132" s="165">
        <f t="shared" si="487"/>
        <v>-2046683.746673052</v>
      </c>
      <c r="AQ132" s="165">
        <f t="shared" si="487"/>
        <v>-2329389.1358407531</v>
      </c>
      <c r="AR132" s="165">
        <f t="shared" si="487"/>
        <v>-2904775.3987276382</v>
      </c>
      <c r="AS132" s="165">
        <f t="shared" si="487"/>
        <v>-4034727.6146971444</v>
      </c>
      <c r="AT132" s="165">
        <f t="shared" si="487"/>
        <v>1920986.8484982515</v>
      </c>
      <c r="AU132" s="165">
        <f t="shared" si="487"/>
        <v>1538151.4862279575</v>
      </c>
      <c r="AV132" s="165">
        <f t="shared" si="487"/>
        <v>-1009598.5511026683</v>
      </c>
      <c r="AW132" s="165">
        <f t="shared" si="487"/>
        <v>1012640.7951662702</v>
      </c>
      <c r="AX132" s="165">
        <f t="shared" si="487"/>
        <v>-496506.44322743162</v>
      </c>
      <c r="AY132" s="165">
        <f t="shared" si="487"/>
        <v>-3485675.7337346813</v>
      </c>
      <c r="AZ132" s="165">
        <f t="shared" si="487"/>
        <v>-3902798.2598173767</v>
      </c>
      <c r="BA132" s="165">
        <f t="shared" si="487"/>
        <v>-3902896.732646327</v>
      </c>
      <c r="BB132" s="165">
        <f t="shared" si="487"/>
        <v>-4796439.1973179271</v>
      </c>
      <c r="BC132" s="165">
        <f t="shared" si="487"/>
        <v>-9805662.5876295548</v>
      </c>
      <c r="BD132" s="165">
        <f t="shared" si="487"/>
        <v>-16631471.142647395</v>
      </c>
      <c r="BE132" s="165">
        <f t="shared" si="487"/>
        <v>-13649905.889616016</v>
      </c>
      <c r="BF132" s="165">
        <f t="shared" si="487"/>
        <v>-12936944.927420657</v>
      </c>
      <c r="BG132" s="165">
        <f t="shared" si="487"/>
        <v>-7979133.5022878591</v>
      </c>
      <c r="BH132" s="165">
        <f t="shared" si="487"/>
        <v>-6519186.0990725206</v>
      </c>
      <c r="BI132" s="165">
        <f t="shared" si="487"/>
        <v>-5313231.0560209109</v>
      </c>
      <c r="BJ132" s="165">
        <f t="shared" si="487"/>
        <v>-601323.45232202893</v>
      </c>
      <c r="BK132" s="165">
        <f t="shared" si="487"/>
        <v>-4736192.7290115058</v>
      </c>
      <c r="BL132" s="165">
        <f t="shared" si="487"/>
        <v>-2170550.5026812106</v>
      </c>
      <c r="BM132" s="165">
        <f t="shared" si="487"/>
        <v>8613.6570394486189</v>
      </c>
      <c r="BN132" s="165">
        <f t="shared" si="487"/>
        <v>-2883506.6625643671</v>
      </c>
      <c r="BO132" s="165">
        <f t="shared" si="487"/>
        <v>-2897026.2853322141</v>
      </c>
      <c r="BP132" s="165">
        <f t="shared" si="483"/>
        <v>-8336220.8424310461</v>
      </c>
      <c r="BQ132" s="165">
        <f t="shared" si="483"/>
        <v>-1343162.2219961248</v>
      </c>
      <c r="BR132" s="165">
        <f t="shared" si="483"/>
        <v>-5400594.5792197436</v>
      </c>
      <c r="BS132" s="165">
        <f t="shared" si="483"/>
        <v>-6230559.32164618</v>
      </c>
      <c r="BT132" s="165">
        <f t="shared" si="483"/>
        <v>-3174421.568399068</v>
      </c>
      <c r="BU132" s="165">
        <f t="shared" si="483"/>
        <v>-1117206.8746949211</v>
      </c>
      <c r="BV132" s="165">
        <f t="shared" si="483"/>
        <v>7301745.0470485911</v>
      </c>
      <c r="BW132" s="165">
        <f t="shared" si="483"/>
        <v>6546589.6829648875</v>
      </c>
      <c r="BX132" s="165">
        <f t="shared" si="483"/>
        <v>9865484.284485776</v>
      </c>
      <c r="BY132" s="165">
        <f t="shared" si="483"/>
        <v>12785832.324221391</v>
      </c>
      <c r="BZ132" s="165">
        <f t="shared" si="483"/>
        <v>10024517.212612409</v>
      </c>
      <c r="CA132" s="165">
        <f t="shared" si="483"/>
        <v>3382010.4171158597</v>
      </c>
      <c r="CB132" s="165">
        <f t="shared" si="483"/>
        <v>-4871071.5462193228</v>
      </c>
      <c r="CC132" s="165">
        <f t="shared" si="483"/>
        <v>7190860.4921812713</v>
      </c>
      <c r="CD132" s="165">
        <f t="shared" si="483"/>
        <v>9049445.2432175353</v>
      </c>
      <c r="CE132" s="165">
        <f t="shared" si="483"/>
        <v>14883308.446367055</v>
      </c>
      <c r="CF132" s="165">
        <f t="shared" si="483"/>
        <v>12063820.087749444</v>
      </c>
      <c r="CG132" s="165">
        <f t="shared" si="483"/>
        <v>8784144.722705178</v>
      </c>
      <c r="CH132" s="165">
        <f t="shared" si="483"/>
        <v>17695218.07938379</v>
      </c>
      <c r="CI132" s="165">
        <f t="shared" si="483"/>
        <v>11172328.313904442</v>
      </c>
      <c r="CJ132" s="165">
        <f t="shared" si="483"/>
        <v>7384472.1285273135</v>
      </c>
      <c r="CK132" s="165">
        <f t="shared" si="483"/>
        <v>12308098.782874145</v>
      </c>
      <c r="CL132" s="165">
        <f t="shared" si="483"/>
        <v>8387889.0575466007</v>
      </c>
      <c r="CM132" s="165">
        <f t="shared" si="483"/>
        <v>6931981.0439363346</v>
      </c>
      <c r="CN132" s="165">
        <f t="shared" si="483"/>
        <v>-2498031.435137175</v>
      </c>
      <c r="CO132" s="165">
        <f t="shared" si="483"/>
        <v>18331623.911149882</v>
      </c>
      <c r="CP132" s="165">
        <f t="shared" si="483"/>
        <v>18054429.28166309</v>
      </c>
      <c r="CQ132" s="165">
        <f t="shared" si="483"/>
        <v>23046493.839617677</v>
      </c>
      <c r="CR132" s="165">
        <f t="shared" si="483"/>
        <v>26542084.940140098</v>
      </c>
      <c r="CS132" s="165">
        <f t="shared" si="483"/>
        <v>20559845.259369887</v>
      </c>
      <c r="CT132" s="165">
        <f t="shared" si="483"/>
        <v>17141398.017487571</v>
      </c>
      <c r="CU132" s="165">
        <f t="shared" si="483"/>
        <v>18353103.043754682</v>
      </c>
      <c r="CV132" s="165">
        <f t="shared" si="483"/>
        <v>16306775.628098771</v>
      </c>
      <c r="CW132" s="165">
        <f t="shared" si="483"/>
        <v>16024843.598927632</v>
      </c>
      <c r="CX132" s="165">
        <f t="shared" si="483"/>
        <v>23756202.039396953</v>
      </c>
      <c r="CY132" s="165">
        <f t="shared" si="483"/>
        <v>12839281.803198954</v>
      </c>
      <c r="CZ132" s="165">
        <f t="shared" si="483"/>
        <v>6295270.6157216532</v>
      </c>
      <c r="DA132" s="165">
        <f t="shared" si="483"/>
        <v>27080514.791136134</v>
      </c>
      <c r="DB132" s="165">
        <f t="shared" si="483"/>
        <v>18653865.480364144</v>
      </c>
      <c r="DC132" s="165">
        <f t="shared" si="483"/>
        <v>37056141.136028767</v>
      </c>
      <c r="DD132" s="165">
        <f t="shared" si="483"/>
        <v>39853414.931710258</v>
      </c>
      <c r="DE132" s="165">
        <f t="shared" si="483"/>
        <v>31409221.988804251</v>
      </c>
      <c r="DF132" s="165">
        <f t="shared" si="483"/>
        <v>49398245.015736371</v>
      </c>
      <c r="DG132" s="165">
        <f t="shared" si="483"/>
        <v>30604118.412563212</v>
      </c>
      <c r="DH132" s="165">
        <f t="shared" si="483"/>
        <v>28373225.211962774</v>
      </c>
      <c r="DI132" s="165">
        <f t="shared" si="483"/>
        <v>27476252.826774426</v>
      </c>
      <c r="DJ132" s="165">
        <f t="shared" si="483"/>
        <v>36834254.783492707</v>
      </c>
      <c r="DK132" s="165">
        <f t="shared" si="483"/>
        <v>23323236.81744859</v>
      </c>
      <c r="DL132" s="165">
        <f t="shared" si="483"/>
        <v>15137046.327834871</v>
      </c>
      <c r="DM132" s="165">
        <f t="shared" si="483"/>
        <v>39981147.597052999</v>
      </c>
      <c r="DN132" s="165">
        <f t="shared" si="483"/>
        <v>29233237.656604346</v>
      </c>
      <c r="DO132" s="165">
        <f t="shared" si="483"/>
        <v>50900209.357644223</v>
      </c>
      <c r="DP132" s="165">
        <f t="shared" si="483"/>
        <v>53697208.101447552</v>
      </c>
      <c r="DQ132" s="165">
        <f t="shared" si="483"/>
        <v>43036623.922318086</v>
      </c>
      <c r="DR132" s="165">
        <f t="shared" si="483"/>
        <v>62797061.855147801</v>
      </c>
      <c r="DS132" s="165">
        <f t="shared" ref="DS132:ED132" si="488">DS114-DS120-DS126</f>
        <v>35704905.134578481</v>
      </c>
      <c r="DT132" s="165">
        <f t="shared" si="488"/>
        <v>33086697.891186126</v>
      </c>
      <c r="DU132" s="165">
        <f t="shared" si="488"/>
        <v>32007864.414771862</v>
      </c>
      <c r="DV132" s="165">
        <f t="shared" si="488"/>
        <v>42439139.917626292</v>
      </c>
      <c r="DW132" s="165">
        <f t="shared" si="488"/>
        <v>27177569.964265395</v>
      </c>
      <c r="DX132" s="165">
        <f t="shared" si="488"/>
        <v>17876558.260618065</v>
      </c>
      <c r="DY132" s="165">
        <f t="shared" si="488"/>
        <v>45668476.335226014</v>
      </c>
      <c r="DZ132" s="165">
        <f t="shared" si="488"/>
        <v>33569544.158249237</v>
      </c>
      <c r="EA132" s="165">
        <f t="shared" si="488"/>
        <v>57770966.782655209</v>
      </c>
      <c r="EB132" s="165">
        <f t="shared" si="488"/>
        <v>60858677.629636496</v>
      </c>
      <c r="EC132" s="165">
        <f t="shared" si="488"/>
        <v>48868109.68522913</v>
      </c>
      <c r="ED132" s="165">
        <f t="shared" si="488"/>
        <v>70904237.856419012</v>
      </c>
      <c r="EE132" s="168"/>
      <c r="EF132" s="165">
        <f>SUM(BK132:BM132)</f>
        <v>-6898129.5746532679</v>
      </c>
      <c r="EG132" s="165">
        <f>SUM(BN132:BP132)</f>
        <v>-14116753.790327627</v>
      </c>
      <c r="EH132" s="165">
        <f>SUM(BQ132:BS132)</f>
        <v>-12974316.122862048</v>
      </c>
      <c r="EI132" s="165">
        <f>SUM(BT132:BV132)</f>
        <v>3010116.603954602</v>
      </c>
      <c r="EJ132" s="165">
        <f>SUM(BW132:BY132)</f>
        <v>29197906.291672055</v>
      </c>
      <c r="EK132" s="165">
        <f>SUM(CL132:CN132)</f>
        <v>12821838.66634576</v>
      </c>
      <c r="EL132" s="165">
        <f>SUM(CC132:CE132)</f>
        <v>31123614.181765862</v>
      </c>
      <c r="EM132" s="165">
        <f>SUM(CF132:CH132)</f>
        <v>38543182.889838412</v>
      </c>
      <c r="EN132" s="165">
        <f>SUM(CI132:CK132)</f>
        <v>30864899.2253059</v>
      </c>
      <c r="EO132" s="165">
        <f>SUM(CL132:CN132)</f>
        <v>12821838.66634576</v>
      </c>
      <c r="EP132" s="165">
        <f>SUM(CO132:CQ132)</f>
        <v>59432547.032430649</v>
      </c>
      <c r="EQ132" s="165">
        <f>SUM(CR132:CT132)</f>
        <v>64243328.216997556</v>
      </c>
      <c r="ER132" s="165">
        <f>SUM(CU132:CW132)</f>
        <v>50684722.270781085</v>
      </c>
      <c r="ES132" s="165">
        <f>SUM(CX132:CZ132)</f>
        <v>42890754.458317555</v>
      </c>
      <c r="ET132" s="165">
        <f>SUM(DA132:DC132)</f>
        <v>82790521.407529041</v>
      </c>
      <c r="EU132" s="165">
        <f>SUM(DD132:DF132)</f>
        <v>120660881.93625088</v>
      </c>
      <c r="EV132" s="165">
        <f>SUM(DG132:DI132)</f>
        <v>86453596.451300412</v>
      </c>
      <c r="EW132" s="165">
        <f>SUM(DJ132:DL132)</f>
        <v>75294537.928776175</v>
      </c>
      <c r="EX132" s="165">
        <f>SUM(DM132:DO132)</f>
        <v>120114594.61130157</v>
      </c>
      <c r="EY132" s="165">
        <f>SUM(DP132:DR132)</f>
        <v>159530893.87891343</v>
      </c>
      <c r="EZ132" s="165">
        <f t="shared" ref="EZ132:EZ144" si="489">SUM(DS132:DU132)</f>
        <v>100799467.44053647</v>
      </c>
      <c r="FA132" s="165">
        <f t="shared" ref="FA132:FA144" si="490">SUM(DV132:DX132)</f>
        <v>87493268.142509744</v>
      </c>
      <c r="FB132" s="165">
        <f t="shared" ref="FB132:FB144" si="491">SUM(DY132:EA132)</f>
        <v>137008987.27613047</v>
      </c>
      <c r="FC132" s="165">
        <f t="shared" ref="FC132:FC144" si="492">SUM(EB132:ED132)</f>
        <v>180631025.17128462</v>
      </c>
      <c r="FE132" s="165">
        <f t="shared" si="308"/>
        <v>-30979082.883888345</v>
      </c>
      <c r="FF132" s="165">
        <f t="shared" si="309"/>
        <v>111686542.02962209</v>
      </c>
      <c r="FG132" s="165">
        <f t="shared" si="310"/>
        <v>167362613.14107987</v>
      </c>
      <c r="FH132" s="165">
        <f t="shared" si="311"/>
        <v>297026880.07287854</v>
      </c>
      <c r="FI132" s="165">
        <f t="shared" si="312"/>
        <v>441393622.87029159</v>
      </c>
      <c r="FJ132" s="165">
        <f t="shared" ref="FJ132:FJ145" si="493">SUM(EZ132:FC132)</f>
        <v>505932748.03046125</v>
      </c>
    </row>
    <row r="133" spans="2:166" x14ac:dyDescent="0.2">
      <c r="B133" s="22" t="s">
        <v>154</v>
      </c>
      <c r="C133" s="161">
        <f>C129/C36</f>
        <v>-9.8496448303985896E-3</v>
      </c>
      <c r="D133" s="161">
        <f t="shared" ref="D133:BO133" si="494">D129/D36</f>
        <v>-3.0172501699419384E-2</v>
      </c>
      <c r="E133" s="161">
        <f t="shared" si="494"/>
        <v>-8.829267789969672E-2</v>
      </c>
      <c r="F133" s="161">
        <f t="shared" si="494"/>
        <v>-9.5883099140222611E-2</v>
      </c>
      <c r="G133" s="161">
        <f t="shared" si="494"/>
        <v>-0.13779822532741418</v>
      </c>
      <c r="H133" s="161">
        <f t="shared" si="494"/>
        <v>-0.15386037097641403</v>
      </c>
      <c r="I133" s="161">
        <f t="shared" si="494"/>
        <v>-1.2268864403252029E-3</v>
      </c>
      <c r="J133" s="161">
        <f t="shared" si="494"/>
        <v>0.11089260192754868</v>
      </c>
      <c r="K133" s="161">
        <f t="shared" si="494"/>
        <v>1.7086963850901579E-2</v>
      </c>
      <c r="L133" s="161">
        <f t="shared" si="494"/>
        <v>2.2659548376659771E-2</v>
      </c>
      <c r="M133" s="161">
        <f t="shared" si="494"/>
        <v>2.993870979184593E-2</v>
      </c>
      <c r="N133" s="161">
        <f t="shared" si="494"/>
        <v>0.1324254159433807</v>
      </c>
      <c r="O133" s="161">
        <f t="shared" si="494"/>
        <v>8.4972749781520862E-2</v>
      </c>
      <c r="P133" s="161">
        <f t="shared" si="494"/>
        <v>3.6334280695926771E-2</v>
      </c>
      <c r="Q133" s="161">
        <f t="shared" si="494"/>
        <v>-3.5750328707127417E-2</v>
      </c>
      <c r="R133" s="161">
        <f t="shared" si="494"/>
        <v>5.8738510853093839E-2</v>
      </c>
      <c r="S133" s="161">
        <f t="shared" si="494"/>
        <v>4.5234079267283386E-2</v>
      </c>
      <c r="T133" s="161">
        <f t="shared" si="494"/>
        <v>2.0712599318214443E-2</v>
      </c>
      <c r="U133" s="161">
        <f t="shared" si="494"/>
        <v>9.6702734994284792E-2</v>
      </c>
      <c r="V133" s="161">
        <f t="shared" si="494"/>
        <v>-0.22315621533457328</v>
      </c>
      <c r="W133" s="161">
        <f t="shared" si="494"/>
        <v>-5.50856568056887E-2</v>
      </c>
      <c r="X133" s="161">
        <f t="shared" si="494"/>
        <v>-6.1175952338574313E-2</v>
      </c>
      <c r="Y133" s="161">
        <f t="shared" si="494"/>
        <v>-0.24791965487456</v>
      </c>
      <c r="Z133" s="161">
        <f t="shared" si="494"/>
        <v>-0.12770387063298136</v>
      </c>
      <c r="AA133" s="161">
        <f t="shared" si="494"/>
        <v>2.8765053675696324</v>
      </c>
      <c r="AB133" s="161">
        <f t="shared" si="494"/>
        <v>-4.0496872791153944E-2</v>
      </c>
      <c r="AC133" s="161">
        <f t="shared" si="494"/>
        <v>1.1967047902124486E-5</v>
      </c>
      <c r="AD133" s="161">
        <f t="shared" si="494"/>
        <v>-6.9685887826937326E-2</v>
      </c>
      <c r="AE133" s="161">
        <f t="shared" si="494"/>
        <v>-9.6803542948940086E-2</v>
      </c>
      <c r="AF133" s="161">
        <f t="shared" si="494"/>
        <v>-0.10805388248534101</v>
      </c>
      <c r="AG133" s="161">
        <f t="shared" si="494"/>
        <v>-8.3312422709408779E-2</v>
      </c>
      <c r="AH133" s="161">
        <f t="shared" si="494"/>
        <v>-4.1021012270936658E-2</v>
      </c>
      <c r="AI133" s="161">
        <f t="shared" si="494"/>
        <v>5.22093603790851E-2</v>
      </c>
      <c r="AJ133" s="161">
        <f t="shared" si="494"/>
        <v>1.7344927928181795E-2</v>
      </c>
      <c r="AK133" s="161">
        <f t="shared" si="494"/>
        <v>1.6509124819339516E-2</v>
      </c>
      <c r="AL133" s="161">
        <f t="shared" si="494"/>
        <v>1.1177036941127939E-2</v>
      </c>
      <c r="AM133" s="161">
        <f t="shared" si="494"/>
        <v>-7.9168312477096492E-2</v>
      </c>
      <c r="AN133" s="161">
        <f t="shared" si="494"/>
        <v>-0.3678296840657857</v>
      </c>
      <c r="AO133" s="161">
        <f t="shared" si="494"/>
        <v>-8.9753950103417066E-2</v>
      </c>
      <c r="AP133" s="161">
        <f t="shared" si="494"/>
        <v>-7.4023342393205863E-2</v>
      </c>
      <c r="AQ133" s="161">
        <f t="shared" si="494"/>
        <v>-7.7586294364282132E-2</v>
      </c>
      <c r="AR133" s="161">
        <f t="shared" si="494"/>
        <v>-7.2452869454418437E-2</v>
      </c>
      <c r="AS133" s="161">
        <f t="shared" si="494"/>
        <v>-6.4108031131730234E-2</v>
      </c>
      <c r="AT133" s="161">
        <f t="shared" si="494"/>
        <v>2.0358387827804733E-2</v>
      </c>
      <c r="AU133" s="161">
        <f t="shared" si="494"/>
        <v>1.2796916604853825E-2</v>
      </c>
      <c r="AV133" s="161">
        <f t="shared" si="494"/>
        <v>1.4143143385628764E-2</v>
      </c>
      <c r="AW133" s="161">
        <f t="shared" si="494"/>
        <v>3.8044190268291559E-3</v>
      </c>
      <c r="AX133" s="161">
        <f t="shared" si="494"/>
        <v>-4.8815871982133691E-2</v>
      </c>
      <c r="AY133" s="161">
        <f t="shared" si="494"/>
        <v>-8.2375106808720774E-2</v>
      </c>
      <c r="AZ133" s="161">
        <f t="shared" si="494"/>
        <v>-5.4314256059182449E-2</v>
      </c>
      <c r="BA133" s="161">
        <f t="shared" si="494"/>
        <v>-3.0520319287442498E-2</v>
      </c>
      <c r="BB133" s="161">
        <f t="shared" si="494"/>
        <v>-6.1462824586407165E-2</v>
      </c>
      <c r="BC133" s="161">
        <f t="shared" si="494"/>
        <v>-0.10051703124026969</v>
      </c>
      <c r="BD133" s="161">
        <f t="shared" si="494"/>
        <v>-0.13801788528805597</v>
      </c>
      <c r="BE133" s="161">
        <f t="shared" si="494"/>
        <v>-7.5849609826222783E-2</v>
      </c>
      <c r="BF133" s="161">
        <f t="shared" si="494"/>
        <v>-7.3901437682496796E-2</v>
      </c>
      <c r="BG133" s="161">
        <f t="shared" si="494"/>
        <v>-4.1995295470298954E-2</v>
      </c>
      <c r="BH133" s="161">
        <f t="shared" si="494"/>
        <v>-2.0292388075722194E-2</v>
      </c>
      <c r="BI133" s="161">
        <f t="shared" si="494"/>
        <v>-1.4260741877520825E-2</v>
      </c>
      <c r="BJ133" s="161">
        <f t="shared" si="494"/>
        <v>-2.1983836708348533E-3</v>
      </c>
      <c r="BK133" s="161">
        <f t="shared" si="494"/>
        <v>-2.5884950708845177E-2</v>
      </c>
      <c r="BL133" s="161">
        <f t="shared" si="494"/>
        <v>-1.5360889833796089E-2</v>
      </c>
      <c r="BM133" s="161">
        <f t="shared" si="494"/>
        <v>1.9787112966334646E-5</v>
      </c>
      <c r="BN133" s="161">
        <f t="shared" si="494"/>
        <v>-2.4633532641294087E-2</v>
      </c>
      <c r="BO133" s="161">
        <f t="shared" si="494"/>
        <v>-1.6650346529008153E-2</v>
      </c>
      <c r="BP133" s="161">
        <f t="shared" ref="BP133:EM133" si="495">BP129/BP36</f>
        <v>-4.4177098324238627E-2</v>
      </c>
      <c r="BQ133" s="161">
        <f t="shared" si="495"/>
        <v>-1.5997654901509749E-2</v>
      </c>
      <c r="BR133" s="161">
        <f t="shared" si="495"/>
        <v>-1.4952949310861358E-2</v>
      </c>
      <c r="BS133" s="161">
        <f t="shared" si="495"/>
        <v>-6.9446791441557876E-3</v>
      </c>
      <c r="BT133" s="161">
        <f t="shared" si="495"/>
        <v>6.101841069244277E-4</v>
      </c>
      <c r="BU133" s="161">
        <f t="shared" si="495"/>
        <v>-1.0033316096362073E-2</v>
      </c>
      <c r="BV133" s="161">
        <f t="shared" si="495"/>
        <v>3.3119991328369E-2</v>
      </c>
      <c r="BW133" s="161">
        <f t="shared" si="495"/>
        <v>1.951452126619737E-2</v>
      </c>
      <c r="BX133" s="161">
        <f t="shared" si="495"/>
        <v>2.6749396167462806E-2</v>
      </c>
      <c r="BY133" s="161">
        <f t="shared" si="495"/>
        <v>3.8011753522045187E-2</v>
      </c>
      <c r="BZ133" s="161">
        <f t="shared" si="495"/>
        <v>3.3287550106707212E-2</v>
      </c>
      <c r="CA133" s="161">
        <f t="shared" si="495"/>
        <v>2.5002151382946008E-2</v>
      </c>
      <c r="CB133" s="161">
        <f t="shared" si="495"/>
        <v>2.0963308848561915E-2</v>
      </c>
      <c r="CC133" s="161">
        <f t="shared" si="495"/>
        <v>5.0068278250852985E-2</v>
      </c>
      <c r="CD133" s="161">
        <f t="shared" si="495"/>
        <v>4.2824199931896116E-2</v>
      </c>
      <c r="CE133" s="161">
        <f t="shared" si="495"/>
        <v>4.8211169608046202E-2</v>
      </c>
      <c r="CF133" s="161">
        <f t="shared" si="495"/>
        <v>4.7488917539024109E-2</v>
      </c>
      <c r="CG133" s="161">
        <f t="shared" si="495"/>
        <v>4.1121981015995498E-2</v>
      </c>
      <c r="CH133" s="161">
        <f t="shared" si="495"/>
        <v>5.5233889149515256E-2</v>
      </c>
      <c r="CI133" s="161">
        <f t="shared" si="495"/>
        <v>4.052994582873011E-2</v>
      </c>
      <c r="CJ133" s="161">
        <f t="shared" si="495"/>
        <v>3.764236313506119E-2</v>
      </c>
      <c r="CK133" s="161">
        <f t="shared" si="495"/>
        <v>4.3466294760921981E-2</v>
      </c>
      <c r="CL133" s="161">
        <f t="shared" si="495"/>
        <v>4.0697465565678312E-2</v>
      </c>
      <c r="CM133" s="161">
        <f t="shared" si="495"/>
        <v>4.3870187101612987E-2</v>
      </c>
      <c r="CN133" s="161">
        <f t="shared" si="495"/>
        <v>3.0629704759763871E-2</v>
      </c>
      <c r="CO133" s="161">
        <f t="shared" si="495"/>
        <v>4.2650725869683589E-2</v>
      </c>
      <c r="CP133" s="161">
        <f t="shared" si="495"/>
        <v>4.4338119370871586E-2</v>
      </c>
      <c r="CQ133" s="161">
        <f t="shared" si="495"/>
        <v>4.4803936578540537E-2</v>
      </c>
      <c r="CR133" s="161">
        <f t="shared" si="495"/>
        <v>4.5101242492312218E-2</v>
      </c>
      <c r="CS133" s="161">
        <f t="shared" si="495"/>
        <v>3.341038324456367E-2</v>
      </c>
      <c r="CT133" s="161">
        <f t="shared" si="495"/>
        <v>2.8977646484392661E-2</v>
      </c>
      <c r="CU133" s="161">
        <f t="shared" si="495"/>
        <v>4.2570894094253804E-2</v>
      </c>
      <c r="CV133" s="161">
        <f t="shared" si="495"/>
        <v>4.1321190639941031E-2</v>
      </c>
      <c r="CW133" s="161">
        <f t="shared" si="495"/>
        <v>4.10952371947833E-2</v>
      </c>
      <c r="CX133" s="161">
        <f t="shared" si="495"/>
        <v>4.6934818196240825E-2</v>
      </c>
      <c r="CY133" s="161">
        <f t="shared" si="495"/>
        <v>3.7437274798164111E-2</v>
      </c>
      <c r="CZ133" s="161">
        <f t="shared" si="495"/>
        <v>3.4722631151198301E-2</v>
      </c>
      <c r="DA133" s="161">
        <f t="shared" si="495"/>
        <v>4.8730309236307702E-2</v>
      </c>
      <c r="DB133" s="161">
        <f t="shared" si="495"/>
        <v>4.3068026095248936E-2</v>
      </c>
      <c r="DC133" s="161">
        <f t="shared" si="495"/>
        <v>5.8654122055744655E-2</v>
      </c>
      <c r="DD133" s="161">
        <f t="shared" si="495"/>
        <v>6.1427351159526862E-2</v>
      </c>
      <c r="DE133" s="161">
        <f t="shared" si="495"/>
        <v>5.4058291539608408E-2</v>
      </c>
      <c r="DF133" s="161">
        <f t="shared" si="495"/>
        <v>6.4472231866090163E-2</v>
      </c>
      <c r="DG133" s="161">
        <f t="shared" si="495"/>
        <v>5.0059988642751074E-2</v>
      </c>
      <c r="DH133" s="161">
        <f t="shared" si="495"/>
        <v>4.9017881870970906E-2</v>
      </c>
      <c r="DI133" s="161">
        <f t="shared" si="495"/>
        <v>4.8490484374476582E-2</v>
      </c>
      <c r="DJ133" s="161">
        <f t="shared" si="495"/>
        <v>5.3885988754630861E-2</v>
      </c>
      <c r="DK133" s="161">
        <f t="shared" si="495"/>
        <v>4.501440463301197E-2</v>
      </c>
      <c r="DL133" s="161">
        <f t="shared" si="495"/>
        <v>4.2079801570247106E-2</v>
      </c>
      <c r="DM133" s="161">
        <f t="shared" si="495"/>
        <v>5.5139909789548032E-2</v>
      </c>
      <c r="DN133" s="161">
        <f t="shared" si="495"/>
        <v>4.9510791481265339E-2</v>
      </c>
      <c r="DO133" s="161">
        <f t="shared" si="495"/>
        <v>6.3570071935237948E-2</v>
      </c>
      <c r="DP133" s="161">
        <f t="shared" si="495"/>
        <v>6.5841158977599692E-2</v>
      </c>
      <c r="DQ133" s="161">
        <f t="shared" si="495"/>
        <v>5.8895549717389098E-2</v>
      </c>
      <c r="DR133" s="161">
        <f t="shared" si="495"/>
        <v>6.8036745878936933E-2</v>
      </c>
      <c r="DS133" s="161">
        <f t="shared" ref="DS133:ED133" si="496">DS129/DS36</f>
        <v>5.1940160292613592E-2</v>
      </c>
      <c r="DT133" s="161">
        <f t="shared" si="496"/>
        <v>5.0909763615124962E-2</v>
      </c>
      <c r="DU133" s="161">
        <f t="shared" si="496"/>
        <v>5.0377670792652353E-2</v>
      </c>
      <c r="DV133" s="161">
        <f t="shared" si="496"/>
        <v>5.544121978042494E-2</v>
      </c>
      <c r="DW133" s="161">
        <f t="shared" si="496"/>
        <v>4.6988971901946841E-2</v>
      </c>
      <c r="DX133" s="161">
        <f t="shared" si="496"/>
        <v>4.4219623049223028E-2</v>
      </c>
      <c r="DY133" s="161">
        <f t="shared" si="496"/>
        <v>5.65123333237951E-2</v>
      </c>
      <c r="DZ133" s="161">
        <f t="shared" si="496"/>
        <v>5.116937894174959E-2</v>
      </c>
      <c r="EA133" s="161">
        <f t="shared" si="496"/>
        <v>6.4528465491609829E-2</v>
      </c>
      <c r="EB133" s="161">
        <f t="shared" si="496"/>
        <v>6.6691631692533795E-2</v>
      </c>
      <c r="EC133" s="161">
        <f t="shared" si="496"/>
        <v>6.0037445386164214E-2</v>
      </c>
      <c r="ED133" s="161">
        <f t="shared" si="496"/>
        <v>6.8694474024000154E-2</v>
      </c>
      <c r="EE133" s="168"/>
      <c r="EF133" s="161">
        <f t="shared" si="495"/>
        <v>-1.3523678251739855E-2</v>
      </c>
      <c r="EG133" s="161">
        <f t="shared" si="495"/>
        <v>-2.8610439604834864E-2</v>
      </c>
      <c r="EH133" s="161">
        <f t="shared" si="495"/>
        <v>-1.3041106195355355E-2</v>
      </c>
      <c r="EI133" s="161">
        <f t="shared" si="495"/>
        <v>9.5580974375532746E-3</v>
      </c>
      <c r="EJ133" s="161">
        <f t="shared" si="495"/>
        <v>2.8369378032024828E-2</v>
      </c>
      <c r="EK133" s="161">
        <f t="shared" si="495"/>
        <v>3.8311125136855771E-2</v>
      </c>
      <c r="EL133" s="161">
        <f t="shared" si="495"/>
        <v>4.7166804632924712E-2</v>
      </c>
      <c r="EM133" s="161">
        <f t="shared" si="495"/>
        <v>4.8567434193897072E-2</v>
      </c>
      <c r="EN133" s="161">
        <f t="shared" ref="EN133:FJ133" si="497">EN129/EN36</f>
        <v>4.0559337836885055E-2</v>
      </c>
      <c r="EO133" s="161">
        <f t="shared" si="497"/>
        <v>3.8311125136855771E-2</v>
      </c>
      <c r="EP133" s="161">
        <f t="shared" si="497"/>
        <v>4.396197918513621E-2</v>
      </c>
      <c r="EQ133" s="161">
        <f t="shared" si="497"/>
        <v>3.5757031960786105E-2</v>
      </c>
      <c r="ER133" s="161">
        <f t="shared" si="497"/>
        <v>4.1666014656507773E-2</v>
      </c>
      <c r="ES133" s="161">
        <f t="shared" si="497"/>
        <v>3.9959681813914086E-2</v>
      </c>
      <c r="ET133" s="161">
        <f t="shared" si="497"/>
        <v>5.0684967030171252E-2</v>
      </c>
      <c r="EU133" s="161">
        <f t="shared" si="497"/>
        <v>6.022801851525602E-2</v>
      </c>
      <c r="EV133" s="161">
        <f t="shared" si="497"/>
        <v>4.9193341713812511E-2</v>
      </c>
      <c r="EW133" s="161">
        <f t="shared" si="497"/>
        <v>4.7250273168590248E-2</v>
      </c>
      <c r="EX133" s="161">
        <f t="shared" si="497"/>
        <v>5.6541364177911807E-2</v>
      </c>
      <c r="EY133" s="161">
        <f t="shared" si="497"/>
        <v>6.4467143891611164E-2</v>
      </c>
      <c r="EZ133" s="161">
        <f t="shared" si="497"/>
        <v>5.1079882504428874E-2</v>
      </c>
      <c r="FA133" s="161">
        <f t="shared" si="497"/>
        <v>4.9125878194253188E-2</v>
      </c>
      <c r="FB133" s="161">
        <f t="shared" si="497"/>
        <v>5.7848253328859754E-2</v>
      </c>
      <c r="FC133" s="161">
        <f t="shared" si="497"/>
        <v>6.5339688599179185E-2</v>
      </c>
      <c r="FE133" s="161">
        <f t="shared" si="497"/>
        <v>-1.1380645166092862E-2</v>
      </c>
      <c r="FF133" s="161">
        <f t="shared" si="497"/>
        <v>4.1114870896273033E-2</v>
      </c>
      <c r="FG133" s="161">
        <f t="shared" si="497"/>
        <v>3.9465344902498339E-2</v>
      </c>
      <c r="FH133" s="161">
        <f t="shared" si="497"/>
        <v>4.8955613430439741E-2</v>
      </c>
      <c r="FI133" s="161">
        <f t="shared" si="497"/>
        <v>5.5000876487533733E-2</v>
      </c>
      <c r="FJ133" s="161">
        <f t="shared" si="497"/>
        <v>5.6440014908482827E-2</v>
      </c>
    </row>
    <row r="134" spans="2:166" x14ac:dyDescent="0.2">
      <c r="B134" s="2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68"/>
      <c r="EF134" s="165"/>
      <c r="EG134" s="165"/>
      <c r="EH134" s="165"/>
      <c r="EI134" s="165"/>
      <c r="EJ134" s="165"/>
      <c r="EK134" s="165"/>
      <c r="EL134" s="165"/>
      <c r="EM134" s="165"/>
      <c r="EN134" s="165"/>
      <c r="EO134" s="165"/>
      <c r="EP134" s="165"/>
      <c r="EQ134" s="165"/>
      <c r="ER134" s="165"/>
      <c r="ES134" s="165"/>
      <c r="ET134" s="165"/>
      <c r="EU134" s="165"/>
      <c r="EV134" s="165"/>
      <c r="EW134" s="165"/>
      <c r="EX134" s="165"/>
      <c r="EY134" s="165"/>
      <c r="EZ134" s="165">
        <f t="shared" si="489"/>
        <v>0</v>
      </c>
      <c r="FA134" s="165">
        <f t="shared" si="490"/>
        <v>0</v>
      </c>
      <c r="FB134" s="165">
        <f t="shared" si="491"/>
        <v>0</v>
      </c>
      <c r="FC134" s="165">
        <f t="shared" si="492"/>
        <v>0</v>
      </c>
      <c r="FE134" s="165"/>
      <c r="FF134" s="165"/>
      <c r="FG134" s="165"/>
      <c r="FH134" s="165"/>
      <c r="FI134" s="165"/>
      <c r="FJ134" s="165"/>
    </row>
    <row r="135" spans="2:166" s="30" customFormat="1" x14ac:dyDescent="0.2">
      <c r="B135" s="184" t="s">
        <v>60</v>
      </c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>
        <f>SUM(AM136:AM138)</f>
        <v>0</v>
      </c>
      <c r="AN135" s="197">
        <f t="shared" ref="AN135:CY135" si="498">SUM(AN136:AN138)</f>
        <v>0</v>
      </c>
      <c r="AO135" s="197">
        <f t="shared" si="498"/>
        <v>0</v>
      </c>
      <c r="AP135" s="197">
        <f t="shared" si="498"/>
        <v>0</v>
      </c>
      <c r="AQ135" s="197">
        <f t="shared" si="498"/>
        <v>0</v>
      </c>
      <c r="AR135" s="197">
        <f t="shared" si="498"/>
        <v>0</v>
      </c>
      <c r="AS135" s="197">
        <f t="shared" si="498"/>
        <v>0</v>
      </c>
      <c r="AT135" s="197">
        <f t="shared" si="498"/>
        <v>0</v>
      </c>
      <c r="AU135" s="197">
        <f t="shared" si="498"/>
        <v>0</v>
      </c>
      <c r="AV135" s="197">
        <f t="shared" si="498"/>
        <v>0</v>
      </c>
      <c r="AW135" s="197">
        <f t="shared" si="498"/>
        <v>0</v>
      </c>
      <c r="AX135" s="197">
        <f t="shared" si="498"/>
        <v>0</v>
      </c>
      <c r="AY135" s="197">
        <f t="shared" si="498"/>
        <v>0</v>
      </c>
      <c r="AZ135" s="197">
        <f t="shared" si="498"/>
        <v>0</v>
      </c>
      <c r="BA135" s="197">
        <f t="shared" si="498"/>
        <v>0</v>
      </c>
      <c r="BB135" s="197">
        <f t="shared" si="498"/>
        <v>0</v>
      </c>
      <c r="BC135" s="197">
        <f t="shared" si="498"/>
        <v>0</v>
      </c>
      <c r="BD135" s="197">
        <f t="shared" si="498"/>
        <v>0</v>
      </c>
      <c r="BE135" s="197">
        <f t="shared" si="498"/>
        <v>0</v>
      </c>
      <c r="BF135" s="197">
        <f t="shared" si="498"/>
        <v>0</v>
      </c>
      <c r="BG135" s="197">
        <f t="shared" si="498"/>
        <v>0</v>
      </c>
      <c r="BH135" s="197">
        <f t="shared" si="498"/>
        <v>0</v>
      </c>
      <c r="BI135" s="197">
        <f t="shared" si="498"/>
        <v>0</v>
      </c>
      <c r="BJ135" s="197">
        <f t="shared" si="498"/>
        <v>0</v>
      </c>
      <c r="BK135" s="197">
        <f t="shared" si="498"/>
        <v>33378933.791765206</v>
      </c>
      <c r="BL135" s="197">
        <f t="shared" si="498"/>
        <v>34595401.367821001</v>
      </c>
      <c r="BM135" s="197">
        <f t="shared" si="498"/>
        <v>34413906.72884807</v>
      </c>
      <c r="BN135" s="197">
        <f t="shared" si="498"/>
        <v>34248380.766669109</v>
      </c>
      <c r="BO135" s="197">
        <f t="shared" si="498"/>
        <v>34233417.481300279</v>
      </c>
      <c r="BP135" s="197">
        <f t="shared" si="498"/>
        <v>35074670.679239526</v>
      </c>
      <c r="BQ135" s="197">
        <f t="shared" si="498"/>
        <v>37946990.22451409</v>
      </c>
      <c r="BR135" s="197">
        <f t="shared" si="498"/>
        <v>34040098.497519232</v>
      </c>
      <c r="BS135" s="197">
        <f t="shared" si="498"/>
        <v>32091119.719582617</v>
      </c>
      <c r="BT135" s="197">
        <f t="shared" si="498"/>
        <v>30604224.584655397</v>
      </c>
      <c r="BU135" s="197">
        <f t="shared" si="498"/>
        <v>28925775.568718046</v>
      </c>
      <c r="BV135" s="197">
        <f t="shared" si="498"/>
        <v>31331229.206124462</v>
      </c>
      <c r="BW135" s="197">
        <f t="shared" si="498"/>
        <v>33120403.984108984</v>
      </c>
      <c r="BX135" s="197">
        <f t="shared" si="498"/>
        <v>33841325.927996784</v>
      </c>
      <c r="BY135" s="197">
        <f t="shared" si="498"/>
        <v>34209665.931241088</v>
      </c>
      <c r="BZ135" s="197">
        <f t="shared" si="498"/>
        <v>34164909.304131389</v>
      </c>
      <c r="CA135" s="197">
        <f t="shared" si="498"/>
        <v>34491791.366576917</v>
      </c>
      <c r="CB135" s="197">
        <f t="shared" si="498"/>
        <v>34133209.824576914</v>
      </c>
      <c r="CC135" s="197">
        <f t="shared" si="498"/>
        <v>37694449.800825752</v>
      </c>
      <c r="CD135" s="197">
        <f t="shared" si="498"/>
        <v>35845554.266429484</v>
      </c>
      <c r="CE135" s="197">
        <f t="shared" si="498"/>
        <v>37136512.578796104</v>
      </c>
      <c r="CF135" s="197">
        <f t="shared" si="498"/>
        <v>37334882.309944242</v>
      </c>
      <c r="CG135" s="197">
        <f t="shared" si="498"/>
        <v>36035895.84569414</v>
      </c>
      <c r="CH135" s="197">
        <f t="shared" si="498"/>
        <v>39710534.109620854</v>
      </c>
      <c r="CI135" s="197">
        <f t="shared" si="498"/>
        <v>35981048.019093469</v>
      </c>
      <c r="CJ135" s="197">
        <f t="shared" si="498"/>
        <v>34770834.090680599</v>
      </c>
      <c r="CK135" s="197">
        <f t="shared" si="498"/>
        <v>35043403.838559054</v>
      </c>
      <c r="CL135" s="197">
        <f t="shared" si="498"/>
        <v>34704549.266413495</v>
      </c>
      <c r="CM135" s="197">
        <f t="shared" si="498"/>
        <v>34562913.293633409</v>
      </c>
      <c r="CN135" s="197">
        <f t="shared" si="498"/>
        <v>36077463.026007622</v>
      </c>
      <c r="CO135" s="197">
        <f t="shared" si="498"/>
        <v>39574651.216700837</v>
      </c>
      <c r="CP135" s="197">
        <f t="shared" si="498"/>
        <v>36076529.506491475</v>
      </c>
      <c r="CQ135" s="197">
        <f t="shared" si="498"/>
        <v>36443022.822318494</v>
      </c>
      <c r="CR135" s="197">
        <f t="shared" si="498"/>
        <v>39028085.777934</v>
      </c>
      <c r="CS135" s="197">
        <f t="shared" si="498"/>
        <v>37949443.999810614</v>
      </c>
      <c r="CT135" s="197">
        <f t="shared" si="498"/>
        <v>40460811.214326322</v>
      </c>
      <c r="CU135" s="197">
        <f t="shared" si="498"/>
        <v>42483851.775042646</v>
      </c>
      <c r="CV135" s="197">
        <f t="shared" si="498"/>
        <v>42483851.775042646</v>
      </c>
      <c r="CW135" s="197">
        <f t="shared" si="498"/>
        <v>42483851.775042646</v>
      </c>
      <c r="CX135" s="197">
        <f t="shared" si="498"/>
        <v>42483851.775042646</v>
      </c>
      <c r="CY135" s="197">
        <f t="shared" si="498"/>
        <v>42483851.775042646</v>
      </c>
      <c r="CZ135" s="197">
        <f t="shared" ref="CZ135:DR135" si="499">SUM(CZ136:CZ138)</f>
        <v>42483851.775042646</v>
      </c>
      <c r="DA135" s="197">
        <f t="shared" si="499"/>
        <v>42483851.775042646</v>
      </c>
      <c r="DB135" s="197">
        <f t="shared" si="499"/>
        <v>42483851.775042646</v>
      </c>
      <c r="DC135" s="197">
        <f t="shared" si="499"/>
        <v>42483851.775042646</v>
      </c>
      <c r="DD135" s="197">
        <f t="shared" si="499"/>
        <v>42483851.775042646</v>
      </c>
      <c r="DE135" s="197">
        <f t="shared" si="499"/>
        <v>42483851.775042646</v>
      </c>
      <c r="DF135" s="197">
        <f t="shared" si="499"/>
        <v>42483851.775042646</v>
      </c>
      <c r="DG135" s="197">
        <f t="shared" si="499"/>
        <v>44608044.363794774</v>
      </c>
      <c r="DH135" s="197">
        <f t="shared" si="499"/>
        <v>44608044.363794774</v>
      </c>
      <c r="DI135" s="197">
        <f t="shared" si="499"/>
        <v>44608044.363794774</v>
      </c>
      <c r="DJ135" s="197">
        <f t="shared" si="499"/>
        <v>44608044.363794774</v>
      </c>
      <c r="DK135" s="197">
        <f t="shared" si="499"/>
        <v>44608044.363794774</v>
      </c>
      <c r="DL135" s="197">
        <f t="shared" si="499"/>
        <v>44608044.363794774</v>
      </c>
      <c r="DM135" s="197">
        <f t="shared" si="499"/>
        <v>44608044.363794774</v>
      </c>
      <c r="DN135" s="197">
        <f t="shared" si="499"/>
        <v>44608044.363794774</v>
      </c>
      <c r="DO135" s="197">
        <f t="shared" si="499"/>
        <v>44608044.363794774</v>
      </c>
      <c r="DP135" s="197">
        <f t="shared" si="499"/>
        <v>44608044.363794774</v>
      </c>
      <c r="DQ135" s="197">
        <f t="shared" si="499"/>
        <v>44608044.363794774</v>
      </c>
      <c r="DR135" s="197">
        <f t="shared" si="499"/>
        <v>44608044.363794774</v>
      </c>
      <c r="DS135" s="197">
        <f t="shared" ref="DS135:ED135" si="500">SUM(DS136:DS138)</f>
        <v>46838446.58198452</v>
      </c>
      <c r="DT135" s="197">
        <f t="shared" si="500"/>
        <v>46838446.58198452</v>
      </c>
      <c r="DU135" s="197">
        <f t="shared" si="500"/>
        <v>46838446.58198452</v>
      </c>
      <c r="DV135" s="197">
        <f t="shared" si="500"/>
        <v>46838446.58198452</v>
      </c>
      <c r="DW135" s="197">
        <f t="shared" si="500"/>
        <v>46838446.58198452</v>
      </c>
      <c r="DX135" s="197">
        <f t="shared" si="500"/>
        <v>46838446.58198452</v>
      </c>
      <c r="DY135" s="197">
        <f t="shared" si="500"/>
        <v>46838446.58198452</v>
      </c>
      <c r="DZ135" s="197">
        <f t="shared" si="500"/>
        <v>46838446.58198452</v>
      </c>
      <c r="EA135" s="197">
        <f t="shared" si="500"/>
        <v>46838446.58198452</v>
      </c>
      <c r="EB135" s="197">
        <f t="shared" si="500"/>
        <v>46838446.58198452</v>
      </c>
      <c r="EC135" s="197">
        <f t="shared" si="500"/>
        <v>46838446.58198452</v>
      </c>
      <c r="ED135" s="197">
        <f t="shared" si="500"/>
        <v>46838446.58198452</v>
      </c>
      <c r="EE135" s="332"/>
      <c r="EF135" s="297">
        <f>SUM(BK135:BM135)</f>
        <v>102388241.88843428</v>
      </c>
      <c r="EG135" s="297">
        <f>SUM(BN135:BP135)</f>
        <v>103556468.92720892</v>
      </c>
      <c r="EH135" s="297">
        <f>SUM(BQ135:BS135)</f>
        <v>104078208.44161594</v>
      </c>
      <c r="EI135" s="297">
        <f>SUM(BT135:BV135)</f>
        <v>90861229.359497905</v>
      </c>
      <c r="EJ135" s="297">
        <f>SUM(BW135:BY135)</f>
        <v>101171395.84334686</v>
      </c>
      <c r="EK135" s="297">
        <f>SUM(CL135:CN135)</f>
        <v>105344925.58605453</v>
      </c>
      <c r="EL135" s="297">
        <f>SUM(CC135:CE135)</f>
        <v>110676516.64605133</v>
      </c>
      <c r="EM135" s="297">
        <f>SUM(CF135:CH135)</f>
        <v>113081312.26525924</v>
      </c>
      <c r="EN135" s="297">
        <f>SUM(CI135:CK135)</f>
        <v>105795285.94833311</v>
      </c>
      <c r="EO135" s="297">
        <f>SUM(CL135:CN135)</f>
        <v>105344925.58605453</v>
      </c>
      <c r="EP135" s="297">
        <f>SUM(CO135:CQ135)</f>
        <v>112094203.5455108</v>
      </c>
      <c r="EQ135" s="297">
        <f>SUM(CR135:CT135)</f>
        <v>117438340.99207094</v>
      </c>
      <c r="ER135" s="297">
        <f>SUM(CU135:CW135)</f>
        <v>127451555.32512793</v>
      </c>
      <c r="ES135" s="297">
        <f>SUM(CX135:CZ135)</f>
        <v>127451555.32512793</v>
      </c>
      <c r="ET135" s="297">
        <f>SUM(DA135:DC135)</f>
        <v>127451555.32512793</v>
      </c>
      <c r="EU135" s="297">
        <f>SUM(DD135:DF135)</f>
        <v>127451555.32512793</v>
      </c>
      <c r="EV135" s="297">
        <f>SUM(DG135:DI135)</f>
        <v>133824133.09138432</v>
      </c>
      <c r="EW135" s="297">
        <f>SUM(DJ135:DL135)</f>
        <v>133824133.09138432</v>
      </c>
      <c r="EX135" s="297">
        <f>SUM(DM135:DO135)</f>
        <v>133824133.09138432</v>
      </c>
      <c r="EY135" s="297">
        <f>SUM(DP135:DR135)</f>
        <v>133824133.09138432</v>
      </c>
      <c r="EZ135" s="297">
        <f t="shared" si="489"/>
        <v>140515339.74595356</v>
      </c>
      <c r="FA135" s="297">
        <f t="shared" si="490"/>
        <v>140515339.74595356</v>
      </c>
      <c r="FB135" s="297">
        <f t="shared" si="491"/>
        <v>140515339.74595356</v>
      </c>
      <c r="FC135" s="297">
        <f t="shared" si="492"/>
        <v>140515339.74595356</v>
      </c>
      <c r="FD135" s="332"/>
      <c r="FE135" s="297">
        <f t="shared" ref="FE135:FE144" si="501">SUM(EF135:EI135)</f>
        <v>400884148.61675704</v>
      </c>
      <c r="FF135" s="297">
        <f t="shared" ref="FF135:FF144" si="502">SUM(EJ135:EM135)</f>
        <v>430274150.34071195</v>
      </c>
      <c r="FG135" s="297">
        <f t="shared" ref="FG135:FG144" si="503">SUM(EN135:EQ135)</f>
        <v>440672756.07196939</v>
      </c>
      <c r="FH135" s="297">
        <f t="shared" ref="FH135:FH144" si="504">SUM(ER135:EU135)</f>
        <v>509806221.30051172</v>
      </c>
      <c r="FI135" s="297">
        <f t="shared" ref="FI135:FI144" si="505">SUM(EV135:EY135)</f>
        <v>535296532.36553729</v>
      </c>
      <c r="FJ135" s="297">
        <f t="shared" si="493"/>
        <v>562061358.98381424</v>
      </c>
    </row>
    <row r="136" spans="2:166" x14ac:dyDescent="0.2">
      <c r="B136" s="155" t="s">
        <v>227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0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>
        <v>0</v>
      </c>
      <c r="BM136" s="19">
        <v>0</v>
      </c>
      <c r="BN136" s="19">
        <v>0</v>
      </c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>
        <v>0</v>
      </c>
      <c r="BW136" s="19">
        <v>0</v>
      </c>
      <c r="BX136" s="19">
        <v>0</v>
      </c>
      <c r="BY136" s="19">
        <v>0</v>
      </c>
      <c r="BZ136" s="19">
        <v>0</v>
      </c>
      <c r="CA136" s="19">
        <v>0</v>
      </c>
      <c r="CB136" s="19">
        <v>0</v>
      </c>
      <c r="CC136" s="19">
        <v>0</v>
      </c>
      <c r="CD136" s="19">
        <v>0</v>
      </c>
      <c r="CE136" s="19">
        <v>0</v>
      </c>
      <c r="CF136" s="19">
        <v>0</v>
      </c>
      <c r="CG136" s="19">
        <v>0</v>
      </c>
      <c r="CH136" s="19">
        <v>0</v>
      </c>
      <c r="CI136" s="19">
        <v>0</v>
      </c>
      <c r="CJ136" s="19">
        <v>0</v>
      </c>
      <c r="CK136" s="19">
        <v>0</v>
      </c>
      <c r="CL136" s="19">
        <v>0</v>
      </c>
      <c r="CM136" s="19">
        <v>0</v>
      </c>
      <c r="CN136" s="19">
        <v>0</v>
      </c>
      <c r="CO136" s="19">
        <v>0</v>
      </c>
      <c r="CP136" s="19">
        <v>0</v>
      </c>
      <c r="CQ136" s="19">
        <v>0</v>
      </c>
      <c r="CR136" s="19">
        <v>0</v>
      </c>
      <c r="CS136" s="19">
        <v>0</v>
      </c>
      <c r="CT136" s="19">
        <v>0</v>
      </c>
      <c r="CU136" s="19">
        <v>0</v>
      </c>
      <c r="CV136" s="19">
        <v>0</v>
      </c>
      <c r="CW136" s="19">
        <v>0</v>
      </c>
      <c r="CX136" s="19">
        <v>0</v>
      </c>
      <c r="CY136" s="19">
        <v>0</v>
      </c>
      <c r="CZ136" s="19">
        <v>0</v>
      </c>
      <c r="DA136" s="19">
        <v>0</v>
      </c>
      <c r="DB136" s="19">
        <v>0</v>
      </c>
      <c r="DC136" s="19">
        <v>0</v>
      </c>
      <c r="DD136" s="19">
        <v>0</v>
      </c>
      <c r="DE136" s="19">
        <v>0</v>
      </c>
      <c r="DF136" s="19">
        <v>0</v>
      </c>
      <c r="DG136" s="19">
        <v>0</v>
      </c>
      <c r="DH136" s="19">
        <v>0</v>
      </c>
      <c r="DI136" s="19">
        <v>0</v>
      </c>
      <c r="DJ136" s="19">
        <v>0</v>
      </c>
      <c r="DK136" s="19">
        <v>0</v>
      </c>
      <c r="DL136" s="19">
        <v>0</v>
      </c>
      <c r="DM136" s="19">
        <v>0</v>
      </c>
      <c r="DN136" s="19">
        <v>0</v>
      </c>
      <c r="DO136" s="19">
        <v>0</v>
      </c>
      <c r="DP136" s="19">
        <v>0</v>
      </c>
      <c r="DQ136" s="19">
        <v>0</v>
      </c>
      <c r="DR136" s="19">
        <v>0</v>
      </c>
      <c r="DS136" s="19">
        <v>0</v>
      </c>
      <c r="DT136" s="19">
        <v>0</v>
      </c>
      <c r="DU136" s="19">
        <v>0</v>
      </c>
      <c r="DV136" s="19">
        <v>0</v>
      </c>
      <c r="DW136" s="19">
        <v>0</v>
      </c>
      <c r="DX136" s="19">
        <v>0</v>
      </c>
      <c r="DY136" s="19">
        <v>0</v>
      </c>
      <c r="DZ136" s="19">
        <v>0</v>
      </c>
      <c r="EA136" s="19">
        <v>0</v>
      </c>
      <c r="EB136" s="19">
        <v>0</v>
      </c>
      <c r="EC136" s="19">
        <v>0</v>
      </c>
      <c r="ED136" s="19">
        <v>0</v>
      </c>
      <c r="EE136" s="168"/>
      <c r="EF136" s="165">
        <f>SUM(BK136:BM136)</f>
        <v>0</v>
      </c>
      <c r="EG136" s="165">
        <f>SUM(BN136:BP136)</f>
        <v>0</v>
      </c>
      <c r="EH136" s="165">
        <f>SUM(BQ136:BS136)</f>
        <v>0</v>
      </c>
      <c r="EI136" s="165">
        <f>SUM(BT136:BV136)</f>
        <v>0</v>
      </c>
      <c r="EJ136" s="165">
        <f>SUM(BW136:BY136)</f>
        <v>0</v>
      </c>
      <c r="EK136" s="165">
        <f>SUM(CL136:CN136)</f>
        <v>0</v>
      </c>
      <c r="EL136" s="165">
        <f>SUM(CC136:CE136)</f>
        <v>0</v>
      </c>
      <c r="EM136" s="165">
        <f>SUM(CF136:CH136)</f>
        <v>0</v>
      </c>
      <c r="EN136" s="165">
        <f>SUM(CI136:CK136)</f>
        <v>0</v>
      </c>
      <c r="EO136" s="165">
        <f>SUM(CL136:CN136)</f>
        <v>0</v>
      </c>
      <c r="EP136" s="165">
        <f>SUM(CO136:CQ136)</f>
        <v>0</v>
      </c>
      <c r="EQ136" s="165">
        <f>SUM(CR136:CT136)</f>
        <v>0</v>
      </c>
      <c r="ER136" s="165">
        <f>SUM(CU136:CW136)</f>
        <v>0</v>
      </c>
      <c r="ES136" s="165">
        <f>SUM(CX136:CZ136)</f>
        <v>0</v>
      </c>
      <c r="ET136" s="165">
        <f>SUM(DA136:DC136)</f>
        <v>0</v>
      </c>
      <c r="EU136" s="165">
        <f>SUM(DD136:DF136)</f>
        <v>0</v>
      </c>
      <c r="EV136" s="165">
        <f>SUM(DG136:DI136)</f>
        <v>0</v>
      </c>
      <c r="EW136" s="165">
        <f>SUM(DJ136:DL136)</f>
        <v>0</v>
      </c>
      <c r="EX136" s="165">
        <f>SUM(DM136:DO136)</f>
        <v>0</v>
      </c>
      <c r="EY136" s="165">
        <f>SUM(DP136:DR136)</f>
        <v>0</v>
      </c>
      <c r="EZ136" s="165">
        <f t="shared" si="489"/>
        <v>0</v>
      </c>
      <c r="FA136" s="165">
        <f t="shared" si="490"/>
        <v>0</v>
      </c>
      <c r="FB136" s="165">
        <f t="shared" si="491"/>
        <v>0</v>
      </c>
      <c r="FC136" s="165">
        <f t="shared" si="492"/>
        <v>0</v>
      </c>
      <c r="FE136" s="165">
        <f t="shared" si="501"/>
        <v>0</v>
      </c>
      <c r="FF136" s="165">
        <f t="shared" si="502"/>
        <v>0</v>
      </c>
      <c r="FG136" s="165">
        <f t="shared" si="503"/>
        <v>0</v>
      </c>
      <c r="FH136" s="165">
        <f t="shared" si="504"/>
        <v>0</v>
      </c>
      <c r="FI136" s="165">
        <f t="shared" si="505"/>
        <v>0</v>
      </c>
      <c r="FJ136" s="165">
        <f t="shared" si="493"/>
        <v>0</v>
      </c>
    </row>
    <row r="137" spans="2:166" x14ac:dyDescent="0.2">
      <c r="B137" s="155" t="s">
        <v>228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9">
        <f>'D2C Online'!AD156</f>
        <v>0</v>
      </c>
      <c r="AN137" s="19">
        <f>'D2C Online'!AE156</f>
        <v>0</v>
      </c>
      <c r="AO137" s="19">
        <f>'D2C Online'!AF156</f>
        <v>0</v>
      </c>
      <c r="AP137" s="19">
        <f>'D2C Online'!AG156</f>
        <v>0</v>
      </c>
      <c r="AQ137" s="19">
        <f>'D2C Online'!AH156</f>
        <v>0</v>
      </c>
      <c r="AR137" s="19">
        <f>'D2C Online'!AI156</f>
        <v>0</v>
      </c>
      <c r="AS137" s="19">
        <f>'D2C Online'!AJ156</f>
        <v>0</v>
      </c>
      <c r="AT137" s="19">
        <f>'D2C Online'!AK156</f>
        <v>0</v>
      </c>
      <c r="AU137" s="19">
        <f>'D2C Online'!AL156</f>
        <v>0</v>
      </c>
      <c r="AV137" s="19">
        <f>'D2C Online'!AM156</f>
        <v>0</v>
      </c>
      <c r="AW137" s="19">
        <f>'D2C Online'!AN156</f>
        <v>0</v>
      </c>
      <c r="AX137" s="19">
        <f>'D2C Online'!AO156</f>
        <v>0</v>
      </c>
      <c r="AY137" s="19">
        <f>'D2C Online'!AP156</f>
        <v>0</v>
      </c>
      <c r="AZ137" s="19">
        <f>'D2C Online'!AQ156</f>
        <v>0</v>
      </c>
      <c r="BA137" s="19">
        <f>'D2C Online'!AR156</f>
        <v>0</v>
      </c>
      <c r="BB137" s="19">
        <f>'D2C Online'!AS156</f>
        <v>0</v>
      </c>
      <c r="BC137" s="19">
        <f>'D2C Online'!AT156</f>
        <v>0</v>
      </c>
      <c r="BD137" s="19">
        <f>'D2C Online'!AU156</f>
        <v>0</v>
      </c>
      <c r="BE137" s="19">
        <f>'D2C Online'!AV156</f>
        <v>0</v>
      </c>
      <c r="BF137" s="19">
        <f>'D2C Online'!AW156</f>
        <v>0</v>
      </c>
      <c r="BG137" s="19">
        <f>'D2C Online'!AX156</f>
        <v>0</v>
      </c>
      <c r="BH137" s="19">
        <f>'D2C Online'!AY156</f>
        <v>0</v>
      </c>
      <c r="BI137" s="19">
        <f>'D2C Online'!AZ156</f>
        <v>0</v>
      </c>
      <c r="BJ137" s="19">
        <f>'D2C Online'!BA156</f>
        <v>0</v>
      </c>
      <c r="BK137" s="19">
        <f>'D2C Online'!BB156</f>
        <v>14333025.752235526</v>
      </c>
      <c r="BL137" s="19">
        <f>'D2C Online'!BC156</f>
        <v>16000874.055504926</v>
      </c>
      <c r="BM137" s="19">
        <f>'D2C Online'!BD156</f>
        <v>17217187.176864438</v>
      </c>
      <c r="BN137" s="19">
        <f>'D2C Online'!BE156</f>
        <v>17514222.512494698</v>
      </c>
      <c r="BO137" s="19">
        <f>'D2C Online'!BF156</f>
        <v>17861552.325490139</v>
      </c>
      <c r="BP137" s="19">
        <f>'D2C Online'!BG156</f>
        <v>18306677.812627513</v>
      </c>
      <c r="BQ137" s="19">
        <f>'D2C Online'!BH156</f>
        <v>20767192.051864855</v>
      </c>
      <c r="BR137" s="19">
        <f>'D2C Online'!BI156</f>
        <v>17020049.248759616</v>
      </c>
      <c r="BS137" s="19">
        <f>'D2C Online'!BJ156</f>
        <v>16045559.859791309</v>
      </c>
      <c r="BT137" s="19">
        <f>'D2C Online'!BK156</f>
        <v>15302112.292327698</v>
      </c>
      <c r="BU137" s="19">
        <f>'D2C Online'!BL156</f>
        <v>14462887.784359023</v>
      </c>
      <c r="BV137" s="19">
        <f>'D2C Online'!BM156</f>
        <v>15665614.603062231</v>
      </c>
      <c r="BW137" s="19">
        <f>'D2C Online'!BN156</f>
        <v>16560201.992054492</v>
      </c>
      <c r="BX137" s="19">
        <f>'D2C Online'!BO156</f>
        <v>16920662.963998392</v>
      </c>
      <c r="BY137" s="19">
        <f>'D2C Online'!BP156</f>
        <v>17104832.965620544</v>
      </c>
      <c r="BZ137" s="19">
        <f>'D2C Online'!BQ156</f>
        <v>17082454.652065694</v>
      </c>
      <c r="CA137" s="19">
        <f>'D2C Online'!BR156</f>
        <v>17245895.683288459</v>
      </c>
      <c r="CB137" s="19">
        <f>'D2C Online'!BS156</f>
        <v>17066604.912288457</v>
      </c>
      <c r="CC137" s="19">
        <f>'D2C Online'!BT156</f>
        <v>18847224.900412876</v>
      </c>
      <c r="CD137" s="19">
        <f>'D2C Online'!BU156</f>
        <v>17922777.133214742</v>
      </c>
      <c r="CE137" s="19">
        <f>'D2C Online'!BV156</f>
        <v>18568256.289398052</v>
      </c>
      <c r="CF137" s="19">
        <f>'D2C Online'!BW156</f>
        <v>18667441.154972121</v>
      </c>
      <c r="CG137" s="19">
        <f>'D2C Online'!BX156</f>
        <v>18017947.92284707</v>
      </c>
      <c r="CH137" s="19">
        <f>'D2C Online'!BY156</f>
        <v>19855267.054810427</v>
      </c>
      <c r="CI137" s="19">
        <f>'D2C Online'!BZ156</f>
        <v>18857991.624262821</v>
      </c>
      <c r="CJ137" s="19">
        <f>'D2C Online'!CA156</f>
        <v>18747816.609371383</v>
      </c>
      <c r="CK137" s="19">
        <f>'D2C Online'!CB156</f>
        <v>18890672.871362187</v>
      </c>
      <c r="CL137" s="19">
        <f>'D2C Online'!CC156</f>
        <v>18713076.13543684</v>
      </c>
      <c r="CM137" s="19">
        <f>'D2C Online'!CD156</f>
        <v>18638843.445300527</v>
      </c>
      <c r="CN137" s="19">
        <f>'D2C Online'!CE156</f>
        <v>19432632.613211539</v>
      </c>
      <c r="CO137" s="19">
        <f>'D2C Online'!CF156</f>
        <v>21265540.469968993</v>
      </c>
      <c r="CP137" s="19">
        <f>'D2C Online'!CG156</f>
        <v>19432143.347217754</v>
      </c>
      <c r="CQ137" s="19">
        <f>'D2C Online'!CH156</f>
        <v>19624225.797860842</v>
      </c>
      <c r="CR137" s="19">
        <f>'D2C Online'!CI156</f>
        <v>20979080.596401468</v>
      </c>
      <c r="CS137" s="19">
        <f>'D2C Online'!CJ156</f>
        <v>20413754.716881871</v>
      </c>
      <c r="CT137" s="19">
        <f>'D2C Online'!CK156</f>
        <v>21729984.913168933</v>
      </c>
      <c r="CU137" s="19">
        <f>'D2C Online'!CL156</f>
        <v>22816484.158827379</v>
      </c>
      <c r="CV137" s="19">
        <f>'D2C Online'!CM156</f>
        <v>22816484.158827379</v>
      </c>
      <c r="CW137" s="19">
        <f>'D2C Online'!CN156</f>
        <v>22816484.158827379</v>
      </c>
      <c r="CX137" s="19">
        <f>'D2C Online'!CO156</f>
        <v>22816484.158827379</v>
      </c>
      <c r="CY137" s="19">
        <f>'D2C Online'!CP156</f>
        <v>22816484.158827379</v>
      </c>
      <c r="CZ137" s="19">
        <f>'D2C Online'!CQ156</f>
        <v>22816484.158827379</v>
      </c>
      <c r="DA137" s="19">
        <f>'D2C Online'!CR156</f>
        <v>22816484.158827379</v>
      </c>
      <c r="DB137" s="19">
        <f>'D2C Online'!CS156</f>
        <v>22816484.158827379</v>
      </c>
      <c r="DC137" s="19">
        <f>'D2C Online'!CT156</f>
        <v>22816484.158827379</v>
      </c>
      <c r="DD137" s="19">
        <f>'D2C Online'!CU156</f>
        <v>22816484.158827379</v>
      </c>
      <c r="DE137" s="19">
        <f>'D2C Online'!CV156</f>
        <v>22816484.158827379</v>
      </c>
      <c r="DF137" s="19">
        <f>'D2C Online'!CW156</f>
        <v>22816484.158827379</v>
      </c>
      <c r="DG137" s="19">
        <f>'D2C Online'!CX156</f>
        <v>23957308.366768748</v>
      </c>
      <c r="DH137" s="19">
        <f>'D2C Online'!CY156</f>
        <v>23957308.366768748</v>
      </c>
      <c r="DI137" s="19">
        <f>'D2C Online'!CZ156</f>
        <v>23957308.366768748</v>
      </c>
      <c r="DJ137" s="19">
        <f>'D2C Online'!DA156</f>
        <v>23957308.366768748</v>
      </c>
      <c r="DK137" s="19">
        <f>'D2C Online'!DB156</f>
        <v>23957308.366768748</v>
      </c>
      <c r="DL137" s="19">
        <f>'D2C Online'!DC156</f>
        <v>23957308.366768748</v>
      </c>
      <c r="DM137" s="19">
        <f>'D2C Online'!DD156</f>
        <v>23957308.366768748</v>
      </c>
      <c r="DN137" s="19">
        <f>'D2C Online'!DE156</f>
        <v>23957308.366768748</v>
      </c>
      <c r="DO137" s="19">
        <f>'D2C Online'!DF156</f>
        <v>23957308.366768748</v>
      </c>
      <c r="DP137" s="19">
        <f>'D2C Online'!DG156</f>
        <v>23957308.366768748</v>
      </c>
      <c r="DQ137" s="19">
        <f>'D2C Online'!DH156</f>
        <v>23957308.366768748</v>
      </c>
      <c r="DR137" s="19">
        <f>'D2C Online'!DI156</f>
        <v>23957308.366768748</v>
      </c>
      <c r="DS137" s="19">
        <f>'D2C Online'!DJ156</f>
        <v>25155173.785107184</v>
      </c>
      <c r="DT137" s="19">
        <f>'D2C Online'!DK156</f>
        <v>25155173.785107184</v>
      </c>
      <c r="DU137" s="19">
        <f>'D2C Online'!DL156</f>
        <v>25155173.785107184</v>
      </c>
      <c r="DV137" s="19">
        <f>'D2C Online'!DM156</f>
        <v>25155173.785107184</v>
      </c>
      <c r="DW137" s="19">
        <f>'D2C Online'!DN156</f>
        <v>25155173.785107184</v>
      </c>
      <c r="DX137" s="19">
        <f>'D2C Online'!DO156</f>
        <v>25155173.785107184</v>
      </c>
      <c r="DY137" s="19">
        <f>'D2C Online'!DP156</f>
        <v>25155173.785107184</v>
      </c>
      <c r="DZ137" s="19">
        <f>'D2C Online'!DQ156</f>
        <v>25155173.785107184</v>
      </c>
      <c r="EA137" s="19">
        <f>'D2C Online'!DR156</f>
        <v>25155173.785107184</v>
      </c>
      <c r="EB137" s="19">
        <f>'D2C Online'!DS156</f>
        <v>25155173.785107184</v>
      </c>
      <c r="EC137" s="19">
        <f>'D2C Online'!DT156</f>
        <v>25155173.785107184</v>
      </c>
      <c r="ED137" s="19">
        <f>'D2C Online'!DU156</f>
        <v>25155173.785107184</v>
      </c>
      <c r="EE137" s="168"/>
      <c r="EF137" s="165">
        <f>SUM(BK137:BM137)</f>
        <v>47551086.984604888</v>
      </c>
      <c r="EG137" s="165">
        <f>SUM(BN137:BP137)</f>
        <v>53682452.650612354</v>
      </c>
      <c r="EH137" s="165">
        <f>SUM(BQ137:BS137)</f>
        <v>53832801.160415784</v>
      </c>
      <c r="EI137" s="165">
        <f>SUM(BT137:BV137)</f>
        <v>45430614.679748952</v>
      </c>
      <c r="EJ137" s="165">
        <f>SUM(BW137:BY137)</f>
        <v>50585697.921673432</v>
      </c>
      <c r="EK137" s="165">
        <f>SUM(CL137:CN137)</f>
        <v>56784552.19394891</v>
      </c>
      <c r="EL137" s="165">
        <f>SUM(CC137:CE137)</f>
        <v>55338258.323025666</v>
      </c>
      <c r="EM137" s="165">
        <f>SUM(CF137:CH137)</f>
        <v>56540656.132629618</v>
      </c>
      <c r="EN137" s="165">
        <f>SUM(CI137:CK137)</f>
        <v>56496481.104996391</v>
      </c>
      <c r="EO137" s="165">
        <f>SUM(CL137:CN137)</f>
        <v>56784552.19394891</v>
      </c>
      <c r="EP137" s="165">
        <f>SUM(CO137:CQ137)</f>
        <v>60321909.615047589</v>
      </c>
      <c r="EQ137" s="165">
        <f>SUM(CR137:CT137)</f>
        <v>63122820.226452276</v>
      </c>
      <c r="ER137" s="165">
        <f>SUM(CU137:CW137)</f>
        <v>68449452.476482138</v>
      </c>
      <c r="ES137" s="165">
        <f>SUM(CX137:CZ137)</f>
        <v>68449452.476482138</v>
      </c>
      <c r="ET137" s="165">
        <f>SUM(DA137:DC137)</f>
        <v>68449452.476482138</v>
      </c>
      <c r="EU137" s="165">
        <f>SUM(DD137:DF137)</f>
        <v>68449452.476482138</v>
      </c>
      <c r="EV137" s="165">
        <f>SUM(DG137:DI137)</f>
        <v>71871925.100306243</v>
      </c>
      <c r="EW137" s="165">
        <f>SUM(DJ137:DL137)</f>
        <v>71871925.100306243</v>
      </c>
      <c r="EX137" s="165">
        <f>SUM(DM137:DO137)</f>
        <v>71871925.100306243</v>
      </c>
      <c r="EY137" s="165">
        <f>SUM(DP137:DR137)</f>
        <v>71871925.100306243</v>
      </c>
      <c r="EZ137" s="165">
        <f t="shared" si="489"/>
        <v>75465521.355321556</v>
      </c>
      <c r="FA137" s="165">
        <f t="shared" si="490"/>
        <v>75465521.355321556</v>
      </c>
      <c r="FB137" s="165">
        <f t="shared" si="491"/>
        <v>75465521.355321556</v>
      </c>
      <c r="FC137" s="165">
        <f t="shared" si="492"/>
        <v>75465521.355321556</v>
      </c>
      <c r="FE137" s="165">
        <f t="shared" si="501"/>
        <v>200496955.47538197</v>
      </c>
      <c r="FF137" s="165">
        <f t="shared" si="502"/>
        <v>219249164.57127762</v>
      </c>
      <c r="FG137" s="165">
        <f t="shared" si="503"/>
        <v>236725763.14044517</v>
      </c>
      <c r="FH137" s="165">
        <f t="shared" si="504"/>
        <v>273797809.90592855</v>
      </c>
      <c r="FI137" s="165">
        <f t="shared" si="505"/>
        <v>287487700.40122497</v>
      </c>
      <c r="FJ137" s="165">
        <f t="shared" si="493"/>
        <v>301862085.42128623</v>
      </c>
    </row>
    <row r="138" spans="2:166" x14ac:dyDescent="0.2">
      <c r="B138" s="155" t="s">
        <v>229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9">
        <f>'D2C - Retail'!M170</f>
        <v>0</v>
      </c>
      <c r="AN138" s="19">
        <f>'D2C - Retail'!N170</f>
        <v>0</v>
      </c>
      <c r="AO138" s="19">
        <f>'D2C - Retail'!O170</f>
        <v>0</v>
      </c>
      <c r="AP138" s="19">
        <f>'D2C - Retail'!P170</f>
        <v>0</v>
      </c>
      <c r="AQ138" s="19">
        <f>'D2C - Retail'!Q170</f>
        <v>0</v>
      </c>
      <c r="AR138" s="19">
        <f>'D2C - Retail'!R170</f>
        <v>0</v>
      </c>
      <c r="AS138" s="19">
        <f>'D2C - Retail'!S170</f>
        <v>0</v>
      </c>
      <c r="AT138" s="19">
        <f>'D2C - Retail'!T170</f>
        <v>0</v>
      </c>
      <c r="AU138" s="19">
        <f>'D2C - Retail'!U170</f>
        <v>0</v>
      </c>
      <c r="AV138" s="19">
        <f>'D2C - Retail'!V170</f>
        <v>0</v>
      </c>
      <c r="AW138" s="19">
        <f>'D2C - Retail'!W170</f>
        <v>0</v>
      </c>
      <c r="AX138" s="19">
        <f>'D2C - Retail'!X170</f>
        <v>0</v>
      </c>
      <c r="AY138" s="19">
        <f>'D2C - Retail'!Y170</f>
        <v>0</v>
      </c>
      <c r="AZ138" s="19">
        <f>'D2C - Retail'!Z170</f>
        <v>0</v>
      </c>
      <c r="BA138" s="19">
        <f>'D2C - Retail'!AA170</f>
        <v>0</v>
      </c>
      <c r="BB138" s="19">
        <f>'D2C - Retail'!AB170</f>
        <v>0</v>
      </c>
      <c r="BC138" s="19">
        <f>'D2C - Retail'!AC170</f>
        <v>0</v>
      </c>
      <c r="BD138" s="19">
        <f>'D2C - Retail'!AD170</f>
        <v>0</v>
      </c>
      <c r="BE138" s="19">
        <f>'D2C - Retail'!AE170</f>
        <v>0</v>
      </c>
      <c r="BF138" s="19">
        <f>'D2C - Retail'!AF170</f>
        <v>0</v>
      </c>
      <c r="BG138" s="19">
        <f>'D2C - Retail'!AG170</f>
        <v>0</v>
      </c>
      <c r="BH138" s="19">
        <f>'D2C - Retail'!AH170</f>
        <v>0</v>
      </c>
      <c r="BI138" s="19">
        <f>'D2C - Retail'!AI170</f>
        <v>0</v>
      </c>
      <c r="BJ138" s="19">
        <f>'D2C - Retail'!AJ170</f>
        <v>0</v>
      </c>
      <c r="BK138" s="19">
        <f>'D2C - Retail'!AK170</f>
        <v>19045908.039529681</v>
      </c>
      <c r="BL138" s="19">
        <f>'D2C - Retail'!AL170</f>
        <v>18594527.312316075</v>
      </c>
      <c r="BM138" s="19">
        <f>'D2C - Retail'!AM170</f>
        <v>17196719.551983632</v>
      </c>
      <c r="BN138" s="19">
        <f>'D2C - Retail'!AN170</f>
        <v>16734158.254174411</v>
      </c>
      <c r="BO138" s="19">
        <f>'D2C - Retail'!AO170</f>
        <v>16371865.15581014</v>
      </c>
      <c r="BP138" s="19">
        <f>'D2C - Retail'!AP170</f>
        <v>16767992.866612013</v>
      </c>
      <c r="BQ138" s="19">
        <f>'D2C - Retail'!AQ170</f>
        <v>17179798.172649235</v>
      </c>
      <c r="BR138" s="19">
        <f>'D2C - Retail'!AR170</f>
        <v>17020049.248759616</v>
      </c>
      <c r="BS138" s="19">
        <f>'D2C - Retail'!AS170</f>
        <v>16045559.859791309</v>
      </c>
      <c r="BT138" s="19">
        <f>'D2C - Retail'!AT170</f>
        <v>15302112.292327698</v>
      </c>
      <c r="BU138" s="19">
        <f>'D2C - Retail'!AU170</f>
        <v>14462887.784359023</v>
      </c>
      <c r="BV138" s="19">
        <f>'D2C - Retail'!AV170</f>
        <v>15665614.603062231</v>
      </c>
      <c r="BW138" s="19">
        <f>'D2C - Retail'!AW170</f>
        <v>16560201.992054492</v>
      </c>
      <c r="BX138" s="19">
        <f>'D2C - Retail'!AX170</f>
        <v>16920662.963998392</v>
      </c>
      <c r="BY138" s="19">
        <f>'D2C - Retail'!AY170</f>
        <v>17104832.965620544</v>
      </c>
      <c r="BZ138" s="19">
        <f>'D2C - Retail'!AZ170</f>
        <v>17082454.652065694</v>
      </c>
      <c r="CA138" s="19">
        <f>'D2C - Retail'!BA170</f>
        <v>17245895.683288459</v>
      </c>
      <c r="CB138" s="19">
        <f>'D2C - Retail'!BB170</f>
        <v>17066604.912288457</v>
      </c>
      <c r="CC138" s="19">
        <f>'D2C - Retail'!BC170</f>
        <v>18847224.900412876</v>
      </c>
      <c r="CD138" s="19">
        <f>'D2C - Retail'!BD170</f>
        <v>17922777.133214742</v>
      </c>
      <c r="CE138" s="19">
        <f>'D2C - Retail'!BE170</f>
        <v>18568256.289398052</v>
      </c>
      <c r="CF138" s="19">
        <f>'D2C - Retail'!BF170</f>
        <v>18667441.154972121</v>
      </c>
      <c r="CG138" s="19">
        <f>'D2C - Retail'!BG170</f>
        <v>18017947.92284707</v>
      </c>
      <c r="CH138" s="19">
        <f>'D2C - Retail'!BH170</f>
        <v>19855267.054810427</v>
      </c>
      <c r="CI138" s="19">
        <f>'D2C - Retail'!BI170</f>
        <v>17123056.394830644</v>
      </c>
      <c r="CJ138" s="19">
        <f>'D2C - Retail'!BJ170</f>
        <v>16023017.481309216</v>
      </c>
      <c r="CK138" s="19">
        <f>'D2C - Retail'!BK170</f>
        <v>16152730.967196869</v>
      </c>
      <c r="CL138" s="19">
        <f>'D2C - Retail'!BL170</f>
        <v>15991473.130976655</v>
      </c>
      <c r="CM138" s="19">
        <f>'D2C - Retail'!BM170</f>
        <v>15924069.848332882</v>
      </c>
      <c r="CN138" s="19">
        <f>'D2C - Retail'!BN170</f>
        <v>16644830.41279608</v>
      </c>
      <c r="CO138" s="19">
        <f>'D2C - Retail'!BO170</f>
        <v>18309110.746731848</v>
      </c>
      <c r="CP138" s="19">
        <f>'D2C - Retail'!BP170</f>
        <v>16644386.159273721</v>
      </c>
      <c r="CQ138" s="19">
        <f>'D2C - Retail'!BQ170</f>
        <v>16818797.024457648</v>
      </c>
      <c r="CR138" s="19">
        <f>'D2C - Retail'!BR170</f>
        <v>18049005.181532536</v>
      </c>
      <c r="CS138" s="19">
        <f>'D2C - Retail'!BS170</f>
        <v>17535689.282928742</v>
      </c>
      <c r="CT138" s="19">
        <f>'D2C - Retail'!BT170</f>
        <v>18730826.301157393</v>
      </c>
      <c r="CU138" s="19">
        <f>'D2C - Retail'!BU170</f>
        <v>19667367.616215266</v>
      </c>
      <c r="CV138" s="19">
        <f>'D2C - Retail'!BV170</f>
        <v>19667367.616215266</v>
      </c>
      <c r="CW138" s="19">
        <f>'D2C - Retail'!BW170</f>
        <v>19667367.616215266</v>
      </c>
      <c r="CX138" s="19">
        <f>'D2C - Retail'!BX170</f>
        <v>19667367.616215266</v>
      </c>
      <c r="CY138" s="19">
        <f>'D2C - Retail'!BY170</f>
        <v>19667367.616215266</v>
      </c>
      <c r="CZ138" s="19">
        <f>'D2C - Retail'!BZ170</f>
        <v>19667367.616215266</v>
      </c>
      <c r="DA138" s="19">
        <f>'D2C - Retail'!CA170</f>
        <v>19667367.616215266</v>
      </c>
      <c r="DB138" s="19">
        <f>'D2C - Retail'!CB170</f>
        <v>19667367.616215266</v>
      </c>
      <c r="DC138" s="19">
        <f>'D2C - Retail'!CC170</f>
        <v>19667367.616215266</v>
      </c>
      <c r="DD138" s="19">
        <f>'D2C - Retail'!CD170</f>
        <v>19667367.616215266</v>
      </c>
      <c r="DE138" s="19">
        <f>'D2C - Retail'!CE170</f>
        <v>19667367.616215266</v>
      </c>
      <c r="DF138" s="19">
        <f>'D2C - Retail'!CF170</f>
        <v>19667367.616215266</v>
      </c>
      <c r="DG138" s="19">
        <f>'D2C - Retail'!CG170</f>
        <v>20650735.99702603</v>
      </c>
      <c r="DH138" s="19">
        <f>'D2C - Retail'!CH170</f>
        <v>20650735.99702603</v>
      </c>
      <c r="DI138" s="19">
        <f>'D2C - Retail'!CI170</f>
        <v>20650735.99702603</v>
      </c>
      <c r="DJ138" s="19">
        <f>'D2C - Retail'!CJ170</f>
        <v>20650735.99702603</v>
      </c>
      <c r="DK138" s="19">
        <f>'D2C - Retail'!CK170</f>
        <v>20650735.99702603</v>
      </c>
      <c r="DL138" s="19">
        <f>'D2C - Retail'!CL170</f>
        <v>20650735.99702603</v>
      </c>
      <c r="DM138" s="19">
        <f>'D2C - Retail'!CM170</f>
        <v>20650735.99702603</v>
      </c>
      <c r="DN138" s="19">
        <f>'D2C - Retail'!CN170</f>
        <v>20650735.99702603</v>
      </c>
      <c r="DO138" s="19">
        <f>'D2C - Retail'!CO170</f>
        <v>20650735.99702603</v>
      </c>
      <c r="DP138" s="19">
        <f>'D2C - Retail'!CP170</f>
        <v>20650735.99702603</v>
      </c>
      <c r="DQ138" s="19">
        <f>'D2C - Retail'!CQ170</f>
        <v>20650735.99702603</v>
      </c>
      <c r="DR138" s="19">
        <f>'D2C - Retail'!CR170</f>
        <v>20650735.99702603</v>
      </c>
      <c r="DS138" s="19">
        <f>'D2C - Retail'!CS170</f>
        <v>21683272.796877332</v>
      </c>
      <c r="DT138" s="19">
        <f>'D2C - Retail'!CT170</f>
        <v>21683272.796877332</v>
      </c>
      <c r="DU138" s="19">
        <f>'D2C - Retail'!CU170</f>
        <v>21683272.796877332</v>
      </c>
      <c r="DV138" s="19">
        <f>'D2C - Retail'!CV170</f>
        <v>21683272.796877332</v>
      </c>
      <c r="DW138" s="19">
        <f>'D2C - Retail'!CW170</f>
        <v>21683272.796877332</v>
      </c>
      <c r="DX138" s="19">
        <f>'D2C - Retail'!CX170</f>
        <v>21683272.796877332</v>
      </c>
      <c r="DY138" s="19">
        <f>'D2C - Retail'!CY170</f>
        <v>21683272.796877332</v>
      </c>
      <c r="DZ138" s="19">
        <f>'D2C - Retail'!CZ170</f>
        <v>21683272.796877332</v>
      </c>
      <c r="EA138" s="19">
        <f>'D2C - Retail'!DA170</f>
        <v>21683272.796877332</v>
      </c>
      <c r="EB138" s="19">
        <f>'D2C - Retail'!DB170</f>
        <v>21683272.796877332</v>
      </c>
      <c r="EC138" s="19">
        <f>'D2C - Retail'!DC170</f>
        <v>21683272.796877332</v>
      </c>
      <c r="ED138" s="19">
        <f>'D2C - Retail'!DD170</f>
        <v>21683272.796877332</v>
      </c>
      <c r="EE138" s="168"/>
      <c r="EF138" s="165">
        <f>SUM(BK138:BM138)</f>
        <v>54837154.903829388</v>
      </c>
      <c r="EG138" s="165">
        <f>SUM(BN138:BP138)</f>
        <v>49874016.276596561</v>
      </c>
      <c r="EH138" s="165">
        <f>SUM(BQ138:BS138)</f>
        <v>50245407.281200156</v>
      </c>
      <c r="EI138" s="165">
        <f>SUM(BT138:BV138)</f>
        <v>45430614.679748952</v>
      </c>
      <c r="EJ138" s="165">
        <f>SUM(BW138:BY138)</f>
        <v>50585697.921673432</v>
      </c>
      <c r="EK138" s="165">
        <f>SUM(CL138:CN138)</f>
        <v>48560373.392105617</v>
      </c>
      <c r="EL138" s="165">
        <f>SUM(CC138:CE138)</f>
        <v>55338258.323025666</v>
      </c>
      <c r="EM138" s="165">
        <f>SUM(CF138:CH138)</f>
        <v>56540656.132629618</v>
      </c>
      <c r="EN138" s="165">
        <f>SUM(CI138:CK138)</f>
        <v>49298804.843336731</v>
      </c>
      <c r="EO138" s="165">
        <f>SUM(CL138:CN138)</f>
        <v>48560373.392105617</v>
      </c>
      <c r="EP138" s="165">
        <f>SUM(CO138:CQ138)</f>
        <v>51772293.930463217</v>
      </c>
      <c r="EQ138" s="165">
        <f>SUM(CR138:CT138)</f>
        <v>54315520.765618674</v>
      </c>
      <c r="ER138" s="165">
        <f>SUM(CU138:CW138)</f>
        <v>59002102.848645799</v>
      </c>
      <c r="ES138" s="165">
        <f>SUM(CX138:CZ138)</f>
        <v>59002102.848645799</v>
      </c>
      <c r="ET138" s="165">
        <f>SUM(DA138:DC138)</f>
        <v>59002102.848645799</v>
      </c>
      <c r="EU138" s="165">
        <f>SUM(DD138:DF138)</f>
        <v>59002102.848645799</v>
      </c>
      <c r="EV138" s="165">
        <f>SUM(DG138:DI138)</f>
        <v>61952207.991078094</v>
      </c>
      <c r="EW138" s="165">
        <f>SUM(DJ138:DL138)</f>
        <v>61952207.991078094</v>
      </c>
      <c r="EX138" s="165">
        <f>SUM(DM138:DO138)</f>
        <v>61952207.991078094</v>
      </c>
      <c r="EY138" s="165">
        <f>SUM(DP138:DR138)</f>
        <v>61952207.991078094</v>
      </c>
      <c r="EZ138" s="165">
        <f t="shared" si="489"/>
        <v>65049818.390631996</v>
      </c>
      <c r="FA138" s="165">
        <f t="shared" si="490"/>
        <v>65049818.390631996</v>
      </c>
      <c r="FB138" s="165">
        <f t="shared" si="491"/>
        <v>65049818.390631996</v>
      </c>
      <c r="FC138" s="165">
        <f t="shared" si="492"/>
        <v>65049818.390631996</v>
      </c>
      <c r="FE138" s="165">
        <f t="shared" si="501"/>
        <v>200387193.14137506</v>
      </c>
      <c r="FF138" s="165">
        <f t="shared" si="502"/>
        <v>211024985.76943433</v>
      </c>
      <c r="FG138" s="165">
        <f t="shared" si="503"/>
        <v>203946992.93152425</v>
      </c>
      <c r="FH138" s="165">
        <f t="shared" si="504"/>
        <v>236008411.3945832</v>
      </c>
      <c r="FI138" s="165">
        <f t="shared" si="505"/>
        <v>247808831.96431237</v>
      </c>
      <c r="FJ138" s="165">
        <f t="shared" si="493"/>
        <v>260199273.56252798</v>
      </c>
    </row>
    <row r="139" spans="2:166" x14ac:dyDescent="0.2">
      <c r="B139" s="22" t="s">
        <v>62</v>
      </c>
      <c r="C139" s="161">
        <f>C135/C36</f>
        <v>0</v>
      </c>
      <c r="D139" s="161">
        <f t="shared" ref="D139:BO139" si="506">D135/D36</f>
        <v>0</v>
      </c>
      <c r="E139" s="161">
        <f t="shared" si="506"/>
        <v>0</v>
      </c>
      <c r="F139" s="161">
        <f t="shared" si="506"/>
        <v>0</v>
      </c>
      <c r="G139" s="161">
        <f t="shared" si="506"/>
        <v>0</v>
      </c>
      <c r="H139" s="161">
        <f t="shared" si="506"/>
        <v>0</v>
      </c>
      <c r="I139" s="161">
        <f t="shared" si="506"/>
        <v>0</v>
      </c>
      <c r="J139" s="161">
        <f t="shared" si="506"/>
        <v>0</v>
      </c>
      <c r="K139" s="161">
        <f t="shared" si="506"/>
        <v>0</v>
      </c>
      <c r="L139" s="161">
        <f t="shared" si="506"/>
        <v>0</v>
      </c>
      <c r="M139" s="161">
        <f t="shared" si="506"/>
        <v>0</v>
      </c>
      <c r="N139" s="161">
        <f t="shared" si="506"/>
        <v>0</v>
      </c>
      <c r="O139" s="161">
        <f t="shared" si="506"/>
        <v>0</v>
      </c>
      <c r="P139" s="161">
        <f t="shared" si="506"/>
        <v>0</v>
      </c>
      <c r="Q139" s="161">
        <f t="shared" si="506"/>
        <v>0</v>
      </c>
      <c r="R139" s="161">
        <f t="shared" si="506"/>
        <v>0</v>
      </c>
      <c r="S139" s="161">
        <f t="shared" si="506"/>
        <v>0</v>
      </c>
      <c r="T139" s="161">
        <f t="shared" si="506"/>
        <v>0</v>
      </c>
      <c r="U139" s="161">
        <f t="shared" si="506"/>
        <v>0</v>
      </c>
      <c r="V139" s="161">
        <f t="shared" si="506"/>
        <v>0</v>
      </c>
      <c r="W139" s="161">
        <f t="shared" si="506"/>
        <v>0</v>
      </c>
      <c r="X139" s="161">
        <f t="shared" si="506"/>
        <v>0</v>
      </c>
      <c r="Y139" s="161">
        <f t="shared" si="506"/>
        <v>0</v>
      </c>
      <c r="Z139" s="161">
        <f t="shared" si="506"/>
        <v>0</v>
      </c>
      <c r="AA139" s="161">
        <f t="shared" si="506"/>
        <v>0</v>
      </c>
      <c r="AB139" s="161">
        <f t="shared" si="506"/>
        <v>0</v>
      </c>
      <c r="AC139" s="161">
        <f t="shared" si="506"/>
        <v>0</v>
      </c>
      <c r="AD139" s="161">
        <f t="shared" si="506"/>
        <v>0</v>
      </c>
      <c r="AE139" s="161">
        <f t="shared" si="506"/>
        <v>0</v>
      </c>
      <c r="AF139" s="161">
        <f t="shared" si="506"/>
        <v>0</v>
      </c>
      <c r="AG139" s="161">
        <f t="shared" si="506"/>
        <v>0</v>
      </c>
      <c r="AH139" s="161">
        <f t="shared" si="506"/>
        <v>0</v>
      </c>
      <c r="AI139" s="161">
        <f t="shared" si="506"/>
        <v>0</v>
      </c>
      <c r="AJ139" s="161">
        <f t="shared" si="506"/>
        <v>0</v>
      </c>
      <c r="AK139" s="161">
        <f t="shared" si="506"/>
        <v>0</v>
      </c>
      <c r="AL139" s="161">
        <f t="shared" si="506"/>
        <v>0</v>
      </c>
      <c r="AM139" s="161">
        <f t="shared" si="506"/>
        <v>0</v>
      </c>
      <c r="AN139" s="161">
        <f t="shared" si="506"/>
        <v>0</v>
      </c>
      <c r="AO139" s="161">
        <f t="shared" si="506"/>
        <v>0</v>
      </c>
      <c r="AP139" s="161">
        <f t="shared" si="506"/>
        <v>0</v>
      </c>
      <c r="AQ139" s="161">
        <f t="shared" si="506"/>
        <v>0</v>
      </c>
      <c r="AR139" s="161">
        <f t="shared" si="506"/>
        <v>0</v>
      </c>
      <c r="AS139" s="161">
        <f t="shared" si="506"/>
        <v>0</v>
      </c>
      <c r="AT139" s="161">
        <f t="shared" si="506"/>
        <v>0</v>
      </c>
      <c r="AU139" s="161">
        <f t="shared" si="506"/>
        <v>0</v>
      </c>
      <c r="AV139" s="161">
        <f t="shared" si="506"/>
        <v>0</v>
      </c>
      <c r="AW139" s="161">
        <f t="shared" si="506"/>
        <v>0</v>
      </c>
      <c r="AX139" s="161">
        <f t="shared" si="506"/>
        <v>0</v>
      </c>
      <c r="AY139" s="161">
        <f t="shared" si="506"/>
        <v>0</v>
      </c>
      <c r="AZ139" s="161">
        <f t="shared" si="506"/>
        <v>0</v>
      </c>
      <c r="BA139" s="161">
        <f t="shared" si="506"/>
        <v>0</v>
      </c>
      <c r="BB139" s="161">
        <f t="shared" si="506"/>
        <v>0</v>
      </c>
      <c r="BC139" s="161">
        <f t="shared" si="506"/>
        <v>0</v>
      </c>
      <c r="BD139" s="161">
        <f t="shared" si="506"/>
        <v>0</v>
      </c>
      <c r="BE139" s="161">
        <f t="shared" si="506"/>
        <v>0</v>
      </c>
      <c r="BF139" s="161">
        <f t="shared" si="506"/>
        <v>0</v>
      </c>
      <c r="BG139" s="161">
        <f t="shared" si="506"/>
        <v>0</v>
      </c>
      <c r="BH139" s="161">
        <f t="shared" si="506"/>
        <v>0</v>
      </c>
      <c r="BI139" s="161">
        <f t="shared" si="506"/>
        <v>0</v>
      </c>
      <c r="BJ139" s="161">
        <f t="shared" si="506"/>
        <v>0</v>
      </c>
      <c r="BK139" s="161">
        <f t="shared" si="506"/>
        <v>7.1081388848338423E-2</v>
      </c>
      <c r="BL139" s="161">
        <f t="shared" si="506"/>
        <v>7.4077552171812375E-2</v>
      </c>
      <c r="BM139" s="161">
        <f t="shared" si="506"/>
        <v>6.9954086691795328E-2</v>
      </c>
      <c r="BN139" s="161">
        <f t="shared" si="506"/>
        <v>8.6258538459670978E-2</v>
      </c>
      <c r="BO139" s="161">
        <f t="shared" si="506"/>
        <v>8.2166761436963526E-2</v>
      </c>
      <c r="BP139" s="161">
        <f t="shared" ref="BP139:EM139" si="507">BP135/BP36</f>
        <v>8.3205911287811754E-2</v>
      </c>
      <c r="BQ139" s="161">
        <f t="shared" si="507"/>
        <v>6.0194355369993291E-2</v>
      </c>
      <c r="BR139" s="161">
        <f t="shared" si="507"/>
        <v>6.4574001157917726E-2</v>
      </c>
      <c r="BS139" s="161">
        <f t="shared" si="507"/>
        <v>6.8128324334718937E-2</v>
      </c>
      <c r="BT139" s="161">
        <f t="shared" si="507"/>
        <v>6.8593359935260362E-2</v>
      </c>
      <c r="BU139" s="161">
        <f t="shared" si="507"/>
        <v>7.8348840915832108E-2</v>
      </c>
      <c r="BV139" s="161">
        <f t="shared" si="507"/>
        <v>6.5764357902579229E-2</v>
      </c>
      <c r="BW139" s="161">
        <f t="shared" si="507"/>
        <v>6.8226638365811609E-2</v>
      </c>
      <c r="BX139" s="161">
        <f t="shared" si="507"/>
        <v>6.7373541814275253E-2</v>
      </c>
      <c r="BY139" s="161">
        <f t="shared" si="507"/>
        <v>6.4523685035023315E-2</v>
      </c>
      <c r="BZ139" s="161">
        <f t="shared" si="507"/>
        <v>6.5448141130313456E-2</v>
      </c>
      <c r="CA139" s="161">
        <f t="shared" si="507"/>
        <v>7.4707448052615477E-2</v>
      </c>
      <c r="CB139" s="161">
        <f t="shared" si="507"/>
        <v>7.8388177802647951E-2</v>
      </c>
      <c r="CC139" s="161">
        <f t="shared" si="507"/>
        <v>6.9441255057081888E-2</v>
      </c>
      <c r="CD139" s="161">
        <f t="shared" si="507"/>
        <v>7.0505281323989089E-2</v>
      </c>
      <c r="CE139" s="161">
        <f t="shared" si="507"/>
        <v>6.1286812574492193E-2</v>
      </c>
      <c r="CF139" s="161">
        <f t="shared" si="507"/>
        <v>5.7577880549754552E-2</v>
      </c>
      <c r="CG139" s="161">
        <f t="shared" si="507"/>
        <v>5.8257825301662972E-2</v>
      </c>
      <c r="CH139" s="161">
        <f t="shared" si="507"/>
        <v>4.9903693963891868E-2</v>
      </c>
      <c r="CI139" s="161">
        <f t="shared" si="507"/>
        <v>4.922660988360085E-2</v>
      </c>
      <c r="CJ139" s="161">
        <f t="shared" si="507"/>
        <v>4.8758934482650826E-2</v>
      </c>
      <c r="CK139" s="161">
        <f t="shared" si="507"/>
        <v>4.8471782848730501E-2</v>
      </c>
      <c r="CL139" s="161">
        <f t="shared" si="507"/>
        <v>4.4679107106086531E-2</v>
      </c>
      <c r="CM139" s="161">
        <f t="shared" si="507"/>
        <v>5.2188807206877866E-2</v>
      </c>
      <c r="CN139" s="161">
        <f t="shared" si="507"/>
        <v>5.0066378906763437E-2</v>
      </c>
      <c r="CO139" s="161">
        <f t="shared" si="507"/>
        <v>4.7304225816196491E-2</v>
      </c>
      <c r="CP139" s="161">
        <f t="shared" si="507"/>
        <v>4.6484304799141382E-2</v>
      </c>
      <c r="CQ139" s="161">
        <f t="shared" si="507"/>
        <v>3.8112807442134279E-2</v>
      </c>
      <c r="CR139" s="161">
        <f t="shared" si="507"/>
        <v>3.7590218877982778E-2</v>
      </c>
      <c r="CS139" s="161">
        <f t="shared" si="507"/>
        <v>4.0492183258397305E-2</v>
      </c>
      <c r="CT139" s="161">
        <f t="shared" si="507"/>
        <v>3.6561812992106119E-2</v>
      </c>
      <c r="CU139" s="161">
        <f t="shared" si="507"/>
        <v>4.3516655870872015E-2</v>
      </c>
      <c r="CV139" s="161">
        <f t="shared" si="507"/>
        <v>4.3968093519573127E-2</v>
      </c>
      <c r="CW139" s="161">
        <f t="shared" si="507"/>
        <v>4.4071165075920217E-2</v>
      </c>
      <c r="CX139" s="161">
        <f t="shared" si="507"/>
        <v>4.1572792166605949E-2</v>
      </c>
      <c r="CY139" s="161">
        <f t="shared" si="507"/>
        <v>4.5898716400392295E-2</v>
      </c>
      <c r="CZ139" s="161">
        <f t="shared" si="507"/>
        <v>4.6417324883378901E-2</v>
      </c>
      <c r="DA139" s="161">
        <f t="shared" si="507"/>
        <v>4.0653650072314793E-2</v>
      </c>
      <c r="DB139" s="161">
        <f t="shared" si="507"/>
        <v>4.2955639162945647E-2</v>
      </c>
      <c r="DC139" s="161">
        <f t="shared" si="507"/>
        <v>3.5355323837722663E-2</v>
      </c>
      <c r="DD139" s="161">
        <f t="shared" si="507"/>
        <v>3.3785459723788144E-2</v>
      </c>
      <c r="DE139" s="161">
        <f t="shared" si="507"/>
        <v>3.7691335522717077E-2</v>
      </c>
      <c r="DF139" s="161">
        <f t="shared" si="507"/>
        <v>3.3108158671689647E-2</v>
      </c>
      <c r="DG139" s="161">
        <f t="shared" si="507"/>
        <v>3.7677891830025352E-2</v>
      </c>
      <c r="DH139" s="161">
        <f t="shared" si="507"/>
        <v>3.8017629655008989E-2</v>
      </c>
      <c r="DI139" s="161">
        <f t="shared" si="507"/>
        <v>3.8227339849240573E-2</v>
      </c>
      <c r="DJ139" s="161">
        <f t="shared" si="507"/>
        <v>3.6060593868712409E-2</v>
      </c>
      <c r="DK139" s="161">
        <f t="shared" si="507"/>
        <v>3.9867325334670384E-2</v>
      </c>
      <c r="DL139" s="161">
        <f t="shared" si="507"/>
        <v>4.0415473119168759E-2</v>
      </c>
      <c r="DM139" s="161">
        <f t="shared" si="507"/>
        <v>3.5424618217319792E-2</v>
      </c>
      <c r="DN139" s="161">
        <f t="shared" si="507"/>
        <v>3.7561104651921362E-2</v>
      </c>
      <c r="DO139" s="161">
        <f t="shared" si="507"/>
        <v>3.0999175826193132E-2</v>
      </c>
      <c r="DP139" s="161">
        <f t="shared" si="507"/>
        <v>2.970354629814758E-2</v>
      </c>
      <c r="DQ139" s="161">
        <f t="shared" si="507"/>
        <v>3.3220553374472162E-2</v>
      </c>
      <c r="DR139" s="161">
        <f t="shared" si="507"/>
        <v>2.938968137787688E-2</v>
      </c>
      <c r="DS139" s="161">
        <f t="shared" ref="DS139:ED139" si="508">DS135/DS36</f>
        <v>3.4132757910797208E-2</v>
      </c>
      <c r="DT139" s="161">
        <f t="shared" si="508"/>
        <v>3.4450214179530016E-2</v>
      </c>
      <c r="DU139" s="161">
        <f t="shared" si="508"/>
        <v>3.4650141696460808E-2</v>
      </c>
      <c r="DV139" s="161">
        <f t="shared" si="508"/>
        <v>3.271800791762524E-2</v>
      </c>
      <c r="DW139" s="161">
        <f t="shared" si="508"/>
        <v>3.6169023241995502E-2</v>
      </c>
      <c r="DX139" s="161">
        <f t="shared" si="508"/>
        <v>3.6629617789147383E-2</v>
      </c>
      <c r="DY139" s="161">
        <f t="shared" si="508"/>
        <v>3.219290524293196E-2</v>
      </c>
      <c r="DZ139" s="161">
        <f t="shared" si="508"/>
        <v>3.4114090348837681E-2</v>
      </c>
      <c r="EA139" s="161">
        <f t="shared" si="508"/>
        <v>2.8153541458000763E-2</v>
      </c>
      <c r="EB139" s="161">
        <f t="shared" si="508"/>
        <v>2.6967084669619473E-2</v>
      </c>
      <c r="EC139" s="161">
        <f t="shared" si="508"/>
        <v>3.0190030465551729E-2</v>
      </c>
      <c r="ED139" s="161">
        <f t="shared" si="508"/>
        <v>2.6732239289361442E-2</v>
      </c>
      <c r="EE139" s="168"/>
      <c r="EF139" s="161">
        <f t="shared" si="507"/>
        <v>7.1672672287215855E-2</v>
      </c>
      <c r="EG139" s="161">
        <f t="shared" si="507"/>
        <v>8.3836634955733E-2</v>
      </c>
      <c r="EH139" s="161">
        <f t="shared" si="507"/>
        <v>6.3906716594250373E-2</v>
      </c>
      <c r="EI139" s="161">
        <f t="shared" si="507"/>
        <v>7.0338136586483233E-2</v>
      </c>
      <c r="EJ139" s="161">
        <f t="shared" si="507"/>
        <v>6.665096096768458E-2</v>
      </c>
      <c r="EK139" s="161">
        <f t="shared" si="507"/>
        <v>4.8779593219249677E-2</v>
      </c>
      <c r="EL139" s="161">
        <f t="shared" si="507"/>
        <v>6.6786027110501064E-2</v>
      </c>
      <c r="EM139" s="161">
        <f t="shared" si="507"/>
        <v>5.4821287370179536E-2</v>
      </c>
      <c r="EN139" s="161">
        <f t="shared" ref="EN139:FJ139" si="509">EN135/EN36</f>
        <v>4.8820879721920236E-2</v>
      </c>
      <c r="EO139" s="161">
        <f t="shared" si="509"/>
        <v>4.8779593219249677E-2</v>
      </c>
      <c r="EP139" s="161">
        <f t="shared" si="509"/>
        <v>4.3635296731247206E-2</v>
      </c>
      <c r="EQ139" s="161">
        <f t="shared" si="509"/>
        <v>3.8103394491870335E-2</v>
      </c>
      <c r="ER139" s="161">
        <f t="shared" si="509"/>
        <v>4.3850644651927492E-2</v>
      </c>
      <c r="ES139" s="161">
        <f t="shared" si="509"/>
        <v>4.4520309955497585E-2</v>
      </c>
      <c r="ET139" s="161">
        <f t="shared" si="509"/>
        <v>3.9389643693467986E-2</v>
      </c>
      <c r="EU139" s="161">
        <f t="shared" si="509"/>
        <v>3.4748821265555202E-2</v>
      </c>
      <c r="EV139" s="161">
        <f t="shared" si="509"/>
        <v>3.7972935109006983E-2</v>
      </c>
      <c r="EW139" s="161">
        <f t="shared" si="509"/>
        <v>3.8681079293343495E-2</v>
      </c>
      <c r="EX139" s="161">
        <f t="shared" si="509"/>
        <v>3.4438754747518507E-2</v>
      </c>
      <c r="EY139" s="161">
        <f t="shared" si="509"/>
        <v>3.0676914377265357E-2</v>
      </c>
      <c r="EZ139" s="161">
        <f t="shared" si="509"/>
        <v>3.4409716889364048E-2</v>
      </c>
      <c r="FA139" s="161">
        <f t="shared" si="509"/>
        <v>3.5082595081282489E-2</v>
      </c>
      <c r="FB139" s="161">
        <f t="shared" si="509"/>
        <v>3.1284003235277538E-2</v>
      </c>
      <c r="FC139" s="161">
        <f t="shared" si="509"/>
        <v>2.7877471850358281E-2</v>
      </c>
      <c r="FE139" s="161">
        <f t="shared" si="509"/>
        <v>7.1789720163089571E-2</v>
      </c>
      <c r="FF139" s="161">
        <f t="shared" si="509"/>
        <v>5.8165229059069214E-2</v>
      </c>
      <c r="FG139" s="161">
        <f t="shared" si="509"/>
        <v>4.4166188222478274E-2</v>
      </c>
      <c r="FH139" s="161">
        <f t="shared" si="509"/>
        <v>4.0228627860803917E-2</v>
      </c>
      <c r="FI139" s="161">
        <f t="shared" si="509"/>
        <v>3.5142641784720777E-2</v>
      </c>
      <c r="FJ139" s="161">
        <f t="shared" si="509"/>
        <v>3.1897367461892548E-2</v>
      </c>
    </row>
    <row r="140" spans="2:166" x14ac:dyDescent="0.2">
      <c r="B140" s="2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68"/>
      <c r="EF140" s="165"/>
      <c r="EG140" s="165"/>
      <c r="EH140" s="165"/>
      <c r="EI140" s="165"/>
      <c r="EJ140" s="165"/>
      <c r="EK140" s="165"/>
      <c r="EL140" s="165"/>
      <c r="EM140" s="165"/>
      <c r="EN140" s="165"/>
      <c r="EO140" s="165"/>
      <c r="EP140" s="165"/>
      <c r="EQ140" s="165"/>
      <c r="ER140" s="165"/>
      <c r="ES140" s="165"/>
      <c r="ET140" s="165"/>
      <c r="EU140" s="165"/>
      <c r="EV140" s="165"/>
      <c r="EW140" s="165"/>
      <c r="EX140" s="165"/>
      <c r="EY140" s="165"/>
      <c r="EZ140" s="165">
        <f t="shared" si="489"/>
        <v>0</v>
      </c>
      <c r="FA140" s="165">
        <f t="shared" si="490"/>
        <v>0</v>
      </c>
      <c r="FB140" s="165">
        <f t="shared" si="491"/>
        <v>0</v>
      </c>
      <c r="FC140" s="165">
        <f t="shared" si="492"/>
        <v>0</v>
      </c>
      <c r="FE140" s="165"/>
      <c r="FF140" s="165"/>
      <c r="FG140" s="165"/>
      <c r="FH140" s="165"/>
      <c r="FI140" s="165"/>
      <c r="FJ140" s="165"/>
    </row>
    <row r="141" spans="2:166" s="30" customFormat="1" x14ac:dyDescent="0.2">
      <c r="B141" s="184" t="s">
        <v>495</v>
      </c>
      <c r="C141" s="200">
        <f>C129-C135</f>
        <v>-59533.321428570431</v>
      </c>
      <c r="D141" s="200">
        <f t="shared" ref="D141:BO141" si="510">D129-D135</f>
        <v>-198714.40755446383</v>
      </c>
      <c r="E141" s="200">
        <f t="shared" si="510"/>
        <v>-494025.37592868449</v>
      </c>
      <c r="F141" s="200">
        <f t="shared" si="510"/>
        <v>-875704.51664528565</v>
      </c>
      <c r="G141" s="200">
        <f t="shared" si="510"/>
        <v>-957190.37295983476</v>
      </c>
      <c r="H141" s="200">
        <f t="shared" si="510"/>
        <v>-869151.71878315846</v>
      </c>
      <c r="I141" s="200">
        <f t="shared" si="510"/>
        <v>-8686.3304428551346</v>
      </c>
      <c r="J141" s="200">
        <f t="shared" si="510"/>
        <v>1016386.4403571431</v>
      </c>
      <c r="K141" s="200">
        <f t="shared" si="510"/>
        <v>187542.93999999948</v>
      </c>
      <c r="L141" s="200">
        <f t="shared" si="510"/>
        <v>290075.39803627413</v>
      </c>
      <c r="M141" s="200">
        <f t="shared" si="510"/>
        <v>582155.00098651135</v>
      </c>
      <c r="N141" s="200">
        <f t="shared" si="510"/>
        <v>4215331.9359033993</v>
      </c>
      <c r="O141" s="200">
        <f t="shared" si="510"/>
        <v>3525209.0734763271</v>
      </c>
      <c r="P141" s="200">
        <f t="shared" si="510"/>
        <v>1648201.2570794676</v>
      </c>
      <c r="Q141" s="200">
        <f t="shared" si="510"/>
        <v>-1441192.6069283397</v>
      </c>
      <c r="R141" s="200">
        <f t="shared" si="510"/>
        <v>3267020.7642557053</v>
      </c>
      <c r="S141" s="200">
        <f t="shared" si="510"/>
        <v>1636949.6212780522</v>
      </c>
      <c r="T141" s="200">
        <f t="shared" si="510"/>
        <v>914342.52893294347</v>
      </c>
      <c r="U141" s="200">
        <f t="shared" si="510"/>
        <v>3725302.6986118592</v>
      </c>
      <c r="V141" s="200">
        <f t="shared" si="510"/>
        <v>-3877656.501991963</v>
      </c>
      <c r="W141" s="200">
        <f t="shared" si="510"/>
        <v>-1610642.1405391088</v>
      </c>
      <c r="X141" s="200">
        <f t="shared" si="510"/>
        <v>-2216241.1458353307</v>
      </c>
      <c r="Y141" s="200">
        <f t="shared" si="510"/>
        <v>-5671204.4076225245</v>
      </c>
      <c r="Z141" s="200">
        <f t="shared" si="510"/>
        <v>-3025166.936850402</v>
      </c>
      <c r="AA141" s="200">
        <f t="shared" si="510"/>
        <v>-8570358.8302383516</v>
      </c>
      <c r="AB141" s="200">
        <f t="shared" si="510"/>
        <v>-1160843.3151924238</v>
      </c>
      <c r="AC141" s="200">
        <f t="shared" si="510"/>
        <v>326.46593988128006</v>
      </c>
      <c r="AD141" s="200">
        <f t="shared" si="510"/>
        <v>-1806854.883484083</v>
      </c>
      <c r="AE141" s="200">
        <f t="shared" si="510"/>
        <v>-2851974.593006955</v>
      </c>
      <c r="AF141" s="200">
        <f t="shared" si="510"/>
        <v>-3805828.7650919645</v>
      </c>
      <c r="AG141" s="200">
        <f t="shared" si="510"/>
        <v>-3627988.9046962005</v>
      </c>
      <c r="AH141" s="200">
        <f t="shared" si="510"/>
        <v>-2160261.3912716606</v>
      </c>
      <c r="AI141" s="200">
        <f t="shared" si="510"/>
        <v>4734557.9244278353</v>
      </c>
      <c r="AJ141" s="200">
        <f t="shared" si="510"/>
        <v>1816463.3847817834</v>
      </c>
      <c r="AK141" s="200">
        <f t="shared" si="510"/>
        <v>1380953.9541534223</v>
      </c>
      <c r="AL141" s="200">
        <f t="shared" si="510"/>
        <v>954347.56755974889</v>
      </c>
      <c r="AM141" s="200">
        <f t="shared" si="510"/>
        <v>-4534907.7868165355</v>
      </c>
      <c r="AN141" s="200">
        <f t="shared" si="510"/>
        <v>-9418181.8049488012</v>
      </c>
      <c r="AO141" s="200">
        <f t="shared" si="510"/>
        <v>-5226092.1582815312</v>
      </c>
      <c r="AP141" s="200">
        <f t="shared" si="510"/>
        <v>-5390545.9917063862</v>
      </c>
      <c r="AQ141" s="200">
        <f t="shared" si="510"/>
        <v>-6644123.4482806763</v>
      </c>
      <c r="AR141" s="200">
        <f t="shared" si="510"/>
        <v>-7725327.2184295803</v>
      </c>
      <c r="AS141" s="200">
        <f t="shared" si="510"/>
        <v>-7665566.6468556561</v>
      </c>
      <c r="AT141" s="200">
        <f t="shared" si="510"/>
        <v>3171802.6675275378</v>
      </c>
      <c r="AU141" s="200">
        <f t="shared" si="510"/>
        <v>2310276.9439547323</v>
      </c>
      <c r="AV141" s="200">
        <f t="shared" si="510"/>
        <v>2759279.826582592</v>
      </c>
      <c r="AW141" s="200">
        <f t="shared" si="510"/>
        <v>750901.38115538284</v>
      </c>
      <c r="AX141" s="200">
        <f t="shared" si="510"/>
        <v>-9684739.8526073769</v>
      </c>
      <c r="AY141" s="200">
        <f t="shared" si="510"/>
        <v>-12372474.203551024</v>
      </c>
      <c r="AZ141" s="200">
        <f t="shared" si="510"/>
        <v>-9903602.0442416109</v>
      </c>
      <c r="BA141" s="200">
        <f t="shared" si="510"/>
        <v>-6528609.6870117467</v>
      </c>
      <c r="BB141" s="200">
        <f t="shared" si="510"/>
        <v>-12744794.902176915</v>
      </c>
      <c r="BC141" s="200">
        <f t="shared" si="510"/>
        <v>-19754045.337647583</v>
      </c>
      <c r="BD141" s="200">
        <f t="shared" si="510"/>
        <v>-25993571.107424162</v>
      </c>
      <c r="BE141" s="200">
        <f t="shared" si="510"/>
        <v>-17329266.596673161</v>
      </c>
      <c r="BF141" s="200">
        <f t="shared" si="510"/>
        <v>-17514087.444690466</v>
      </c>
      <c r="BG141" s="200">
        <f t="shared" si="510"/>
        <v>-11704580.612950493</v>
      </c>
      <c r="BH141" s="200">
        <f t="shared" si="510"/>
        <v>-6388157.3517492749</v>
      </c>
      <c r="BI141" s="200">
        <f t="shared" si="510"/>
        <v>-4782864.4960865015</v>
      </c>
      <c r="BJ141" s="200">
        <f t="shared" si="510"/>
        <v>-1024230.7138097393</v>
      </c>
      <c r="BK141" s="200">
        <f t="shared" si="510"/>
        <v>-45534183.84965495</v>
      </c>
      <c r="BL141" s="200">
        <f t="shared" si="510"/>
        <v>-41769182.54156325</v>
      </c>
      <c r="BM141" s="200">
        <f t="shared" si="510"/>
        <v>-34404172.46038343</v>
      </c>
      <c r="BN141" s="200">
        <f t="shared" si="510"/>
        <v>-44028961.571683019</v>
      </c>
      <c r="BO141" s="200">
        <f t="shared" si="510"/>
        <v>-41170508.027008899</v>
      </c>
      <c r="BP141" s="200">
        <f t="shared" ref="BP141:DR141" si="511">BP129-BP135</f>
        <v>-53697111.697009251</v>
      </c>
      <c r="BQ141" s="200">
        <f t="shared" si="511"/>
        <v>-48032036.412505321</v>
      </c>
      <c r="BR141" s="200">
        <f t="shared" si="511"/>
        <v>-41922525.763027497</v>
      </c>
      <c r="BS141" s="200">
        <f t="shared" si="511"/>
        <v>-35362336.676780239</v>
      </c>
      <c r="BT141" s="200">
        <f t="shared" si="511"/>
        <v>-30331979.407222368</v>
      </c>
      <c r="BU141" s="200">
        <f t="shared" si="511"/>
        <v>-32629996.923123941</v>
      </c>
      <c r="BV141" s="200">
        <f t="shared" si="511"/>
        <v>-15552316.848291099</v>
      </c>
      <c r="BW141" s="200">
        <f t="shared" si="511"/>
        <v>-23647141.877488494</v>
      </c>
      <c r="BX141" s="200">
        <f t="shared" si="511"/>
        <v>-20405264.683426537</v>
      </c>
      <c r="BY141" s="200">
        <f t="shared" si="511"/>
        <v>-14056300.717459433</v>
      </c>
      <c r="BZ141" s="200">
        <f t="shared" si="511"/>
        <v>-16788309.897160053</v>
      </c>
      <c r="CA141" s="200">
        <f t="shared" si="511"/>
        <v>-22948511.389876455</v>
      </c>
      <c r="CB141" s="200">
        <f t="shared" si="511"/>
        <v>-25004983.609817237</v>
      </c>
      <c r="CC141" s="200">
        <f t="shared" si="511"/>
        <v>-10516136.281158455</v>
      </c>
      <c r="CD141" s="200">
        <f t="shared" si="511"/>
        <v>-14073324.530599579</v>
      </c>
      <c r="CE141" s="200">
        <f t="shared" si="511"/>
        <v>-7923136.4644564688</v>
      </c>
      <c r="CF141" s="200">
        <f t="shared" si="511"/>
        <v>-6541926.223031275</v>
      </c>
      <c r="CG141" s="200">
        <f t="shared" si="511"/>
        <v>-10599528.847993568</v>
      </c>
      <c r="CH141" s="200">
        <f t="shared" si="511"/>
        <v>4241467.5331005752</v>
      </c>
      <c r="CI141" s="200">
        <f t="shared" si="511"/>
        <v>-6356624.7544597089</v>
      </c>
      <c r="CJ141" s="200">
        <f t="shared" si="511"/>
        <v>-7927418.0636942983</v>
      </c>
      <c r="CK141" s="200">
        <f t="shared" si="511"/>
        <v>-3618792.8349486068</v>
      </c>
      <c r="CL141" s="200">
        <f t="shared" si="511"/>
        <v>-3092744.773797676</v>
      </c>
      <c r="CM141" s="200">
        <f t="shared" si="511"/>
        <v>-5509145.7499924302</v>
      </c>
      <c r="CN141" s="200">
        <f t="shared" si="511"/>
        <v>-14005923.899405614</v>
      </c>
      <c r="CO141" s="200">
        <f t="shared" si="511"/>
        <v>-3893111.749376297</v>
      </c>
      <c r="CP141" s="200">
        <f t="shared" si="511"/>
        <v>-1665657.3065669984</v>
      </c>
      <c r="CQ141" s="200">
        <f t="shared" si="511"/>
        <v>6397979.7918418199</v>
      </c>
      <c r="CR141" s="200">
        <f t="shared" si="511"/>
        <v>7798328.4654890597</v>
      </c>
      <c r="CS141" s="200">
        <f t="shared" si="511"/>
        <v>-6637092.6785505936</v>
      </c>
      <c r="CT141" s="200">
        <f t="shared" si="511"/>
        <v>-8392951.6666163057</v>
      </c>
      <c r="CU141" s="200">
        <f t="shared" si="511"/>
        <v>-923315.50594270974</v>
      </c>
      <c r="CV141" s="200">
        <f t="shared" si="511"/>
        <v>-2557550.7282608077</v>
      </c>
      <c r="CW141" s="200">
        <f t="shared" si="511"/>
        <v>-2868743.7415743843</v>
      </c>
      <c r="CX141" s="200">
        <f t="shared" si="511"/>
        <v>5479533.7812289745</v>
      </c>
      <c r="CY141" s="200">
        <f t="shared" si="511"/>
        <v>-7831910.323949039</v>
      </c>
      <c r="CZ141" s="200">
        <f t="shared" si="511"/>
        <v>-10703668.001565244</v>
      </c>
      <c r="DA141" s="200">
        <f t="shared" si="511"/>
        <v>8440265.2689305544</v>
      </c>
      <c r="DB141" s="200">
        <f t="shared" si="511"/>
        <v>111152.57196646184</v>
      </c>
      <c r="DC141" s="200">
        <f t="shared" si="511"/>
        <v>27996425.505088262</v>
      </c>
      <c r="DD141" s="200">
        <f t="shared" si="511"/>
        <v>34758562.652054213</v>
      </c>
      <c r="DE141" s="200">
        <f t="shared" si="511"/>
        <v>18448041.805554174</v>
      </c>
      <c r="DF141" s="200">
        <f t="shared" si="511"/>
        <v>40245869.601678409</v>
      </c>
      <c r="DG141" s="200">
        <f t="shared" si="511"/>
        <v>14659554.903725065</v>
      </c>
      <c r="DH141" s="200">
        <f t="shared" si="511"/>
        <v>12907162.895620167</v>
      </c>
      <c r="DI141" s="200">
        <f t="shared" si="511"/>
        <v>11976214.094396636</v>
      </c>
      <c r="DJ141" s="200">
        <f t="shared" si="511"/>
        <v>22050552.155856743</v>
      </c>
      <c r="DK141" s="200">
        <f t="shared" si="511"/>
        <v>5759130.8109330311</v>
      </c>
      <c r="DL141" s="200">
        <f t="shared" si="511"/>
        <v>1836980.5337356329</v>
      </c>
      <c r="DM141" s="200">
        <f t="shared" si="511"/>
        <v>24826254.885906458</v>
      </c>
      <c r="DN141" s="200">
        <f t="shared" si="511"/>
        <v>14191599.665574878</v>
      </c>
      <c r="DO141" s="200">
        <f t="shared" si="511"/>
        <v>46869761.530019641</v>
      </c>
      <c r="DP141" s="200">
        <f t="shared" si="511"/>
        <v>54270564.646591172</v>
      </c>
      <c r="DQ141" s="200">
        <f t="shared" si="511"/>
        <v>34475987.290001154</v>
      </c>
      <c r="DR141" s="200">
        <f t="shared" si="511"/>
        <v>58659022.043411657</v>
      </c>
      <c r="DS141" s="200">
        <f t="shared" ref="DS141:ED141" si="512">DS129-DS135</f>
        <v>24436087.684574977</v>
      </c>
      <c r="DT141" s="200">
        <f t="shared" si="512"/>
        <v>22378372.540299967</v>
      </c>
      <c r="DU141" s="200">
        <f t="shared" si="512"/>
        <v>21259740.808327407</v>
      </c>
      <c r="DV141" s="200">
        <f t="shared" si="512"/>
        <v>32530096.199209914</v>
      </c>
      <c r="DW141" s="200">
        <f t="shared" si="512"/>
        <v>14011702.332633562</v>
      </c>
      <c r="DX141" s="200">
        <f t="shared" si="512"/>
        <v>9705371.7015950754</v>
      </c>
      <c r="DY141" s="200">
        <f t="shared" si="512"/>
        <v>35383082.839968652</v>
      </c>
      <c r="DZ141" s="200">
        <f t="shared" si="512"/>
        <v>23416811.514854074</v>
      </c>
      <c r="EA141" s="200">
        <f t="shared" si="512"/>
        <v>60516185.461554691</v>
      </c>
      <c r="EB141" s="200">
        <f t="shared" si="512"/>
        <v>68996559.936731189</v>
      </c>
      <c r="EC141" s="200">
        <f t="shared" si="512"/>
        <v>46306894.289643988</v>
      </c>
      <c r="ED141" s="200">
        <f t="shared" si="512"/>
        <v>73523428.726049662</v>
      </c>
      <c r="EE141" s="333"/>
      <c r="EF141" s="224">
        <f>SUM(BK141:BM141)</f>
        <v>-121707538.85160163</v>
      </c>
      <c r="EG141" s="224">
        <f>SUM(BN141:BP141)</f>
        <v>-138896581.29570115</v>
      </c>
      <c r="EH141" s="224">
        <f>SUM(BQ141:BS141)</f>
        <v>-125316898.85231306</v>
      </c>
      <c r="EI141" s="224">
        <f>SUM(BT141:BV141)</f>
        <v>-78514293.178637415</v>
      </c>
      <c r="EJ141" s="224">
        <f>SUM(BW141:BY141)</f>
        <v>-58108707.278374463</v>
      </c>
      <c r="EK141" s="224">
        <f>SUM(CL141:CN141)</f>
        <v>-22607814.42319572</v>
      </c>
      <c r="EL141" s="224">
        <f>SUM(CC141:CE141)</f>
        <v>-32512597.276214503</v>
      </c>
      <c r="EM141" s="224">
        <f>SUM(CF141:CH141)</f>
        <v>-12899987.537924267</v>
      </c>
      <c r="EN141" s="224">
        <f>SUM(CI141:CK141)</f>
        <v>-17902835.653102614</v>
      </c>
      <c r="EO141" s="224">
        <f>SUM(CL141:CN141)</f>
        <v>-22607814.42319572</v>
      </c>
      <c r="EP141" s="224">
        <f>SUM(CO141:CQ141)</f>
        <v>839210.73589852452</v>
      </c>
      <c r="EQ141" s="224">
        <f>SUM(CR141:CT141)</f>
        <v>-7231715.8796778396</v>
      </c>
      <c r="ER141" s="224">
        <f>SUM(CU141:CW141)</f>
        <v>-6349609.9757779017</v>
      </c>
      <c r="ES141" s="224">
        <f>SUM(CX141:CZ141)</f>
        <v>-13056044.544285309</v>
      </c>
      <c r="ET141" s="224">
        <f>SUM(DA141:DC141)</f>
        <v>36547843.345985278</v>
      </c>
      <c r="EU141" s="224">
        <f>SUM(DD141:DF141)</f>
        <v>93452474.059286803</v>
      </c>
      <c r="EV141" s="224">
        <f>SUM(DG141:DI141)</f>
        <v>39542931.893741868</v>
      </c>
      <c r="EW141" s="224">
        <f>SUM(DJ141:DL141)</f>
        <v>29646663.500525407</v>
      </c>
      <c r="EX141" s="224">
        <f>SUM(DM141:DO141)</f>
        <v>85887616.081500977</v>
      </c>
      <c r="EY141" s="224">
        <f>SUM(DP141:DR141)</f>
        <v>147405573.98000398</v>
      </c>
      <c r="EZ141" s="224">
        <f t="shared" si="489"/>
        <v>68074201.03320235</v>
      </c>
      <c r="FA141" s="224">
        <f t="shared" si="490"/>
        <v>56247170.233438551</v>
      </c>
      <c r="FB141" s="224">
        <f t="shared" si="491"/>
        <v>119316079.81637742</v>
      </c>
      <c r="FC141" s="224">
        <f t="shared" si="492"/>
        <v>188826882.95242482</v>
      </c>
      <c r="FE141" s="224">
        <f t="shared" si="501"/>
        <v>-464435312.17825329</v>
      </c>
      <c r="FF141" s="224">
        <f t="shared" si="502"/>
        <v>-126129106.51570895</v>
      </c>
      <c r="FG141" s="224">
        <f t="shared" si="503"/>
        <v>-46903155.220077649</v>
      </c>
      <c r="FH141" s="224">
        <f t="shared" si="504"/>
        <v>110594662.88520887</v>
      </c>
      <c r="FI141" s="224">
        <f t="shared" si="505"/>
        <v>302482785.45577228</v>
      </c>
      <c r="FJ141" s="224">
        <f t="shared" si="493"/>
        <v>432464334.03544313</v>
      </c>
    </row>
    <row r="142" spans="2:166" x14ac:dyDescent="0.2">
      <c r="B142" s="155" t="s">
        <v>227</v>
      </c>
      <c r="C142" s="219">
        <f>C130-C136</f>
        <v>-59533.321428570431</v>
      </c>
      <c r="D142" s="219">
        <f t="shared" ref="D142:BO142" si="513">D130-D136</f>
        <v>-198714.40755446383</v>
      </c>
      <c r="E142" s="219">
        <f t="shared" si="513"/>
        <v>-494025.37592868449</v>
      </c>
      <c r="F142" s="219">
        <f t="shared" si="513"/>
        <v>-875704.51664528565</v>
      </c>
      <c r="G142" s="219">
        <f t="shared" si="513"/>
        <v>-957190.37295983476</v>
      </c>
      <c r="H142" s="219">
        <f t="shared" si="513"/>
        <v>-869151.71878315846</v>
      </c>
      <c r="I142" s="219">
        <f t="shared" si="513"/>
        <v>-8686.3304428551346</v>
      </c>
      <c r="J142" s="219">
        <f t="shared" si="513"/>
        <v>1016386.4403571431</v>
      </c>
      <c r="K142" s="219">
        <f t="shared" si="513"/>
        <v>187542.93999999948</v>
      </c>
      <c r="L142" s="219">
        <f t="shared" si="513"/>
        <v>356087.08588021726</v>
      </c>
      <c r="M142" s="219">
        <f t="shared" si="513"/>
        <v>-162925.51355894253</v>
      </c>
      <c r="N142" s="219">
        <f t="shared" si="513"/>
        <v>-698380.16150154429</v>
      </c>
      <c r="O142" s="219">
        <f t="shared" si="513"/>
        <v>-949981.46882321488</v>
      </c>
      <c r="P142" s="219">
        <f t="shared" si="513"/>
        <v>-2338741.2481641504</v>
      </c>
      <c r="Q142" s="219">
        <f t="shared" si="513"/>
        <v>-3851959.0517026382</v>
      </c>
      <c r="R142" s="219">
        <f t="shared" si="513"/>
        <v>-2376775.4742343435</v>
      </c>
      <c r="S142" s="219">
        <f t="shared" si="513"/>
        <v>-2709423.5949774529</v>
      </c>
      <c r="T142" s="219">
        <f t="shared" si="513"/>
        <v>-2257519.8054737304</v>
      </c>
      <c r="U142" s="219">
        <f t="shared" si="513"/>
        <v>-2587308.8443187126</v>
      </c>
      <c r="V142" s="219">
        <f t="shared" si="513"/>
        <v>-4619124.5120972767</v>
      </c>
      <c r="W142" s="219">
        <f t="shared" si="513"/>
        <v>-4532751.9828318618</v>
      </c>
      <c r="X142" s="219">
        <f t="shared" si="513"/>
        <v>-3398292.4597679148</v>
      </c>
      <c r="Y142" s="219">
        <f t="shared" si="513"/>
        <v>-4692244.3445429439</v>
      </c>
      <c r="Z142" s="219">
        <f t="shared" si="513"/>
        <v>-3437318.6996705085</v>
      </c>
      <c r="AA142" s="219">
        <f t="shared" si="513"/>
        <v>-7466666.1116737332</v>
      </c>
      <c r="AB142" s="219">
        <f t="shared" si="513"/>
        <v>-3049236.8205748675</v>
      </c>
      <c r="AC142" s="219">
        <f t="shared" si="513"/>
        <v>-2489516.2304512169</v>
      </c>
      <c r="AD142" s="219">
        <f t="shared" si="513"/>
        <v>-3233266.2083782381</v>
      </c>
      <c r="AE142" s="219">
        <f t="shared" si="513"/>
        <v>-3013355.3763628108</v>
      </c>
      <c r="AF142" s="219">
        <f t="shared" si="513"/>
        <v>-3571801.4817887503</v>
      </c>
      <c r="AG142" s="219">
        <f t="shared" si="513"/>
        <v>-3066280.1250574319</v>
      </c>
      <c r="AH142" s="219">
        <f t="shared" si="513"/>
        <v>-1425730.2533481929</v>
      </c>
      <c r="AI142" s="219">
        <f t="shared" si="513"/>
        <v>1858933.1961945675</v>
      </c>
      <c r="AJ142" s="219">
        <f t="shared" si="513"/>
        <v>-1722340.3520113579</v>
      </c>
      <c r="AK142" s="219">
        <f t="shared" si="513"/>
        <v>-2246489.8432433903</v>
      </c>
      <c r="AL142" s="219">
        <f t="shared" si="513"/>
        <v>-2255668.4824224408</v>
      </c>
      <c r="AM142" s="219">
        <f t="shared" si="513"/>
        <v>-2403596.1844132491</v>
      </c>
      <c r="AN142" s="219">
        <f t="shared" si="513"/>
        <v>-3245564.8294254015</v>
      </c>
      <c r="AO142" s="219">
        <f t="shared" si="513"/>
        <v>-2946238.4467767826</v>
      </c>
      <c r="AP142" s="219">
        <f t="shared" si="513"/>
        <v>-4099357.8723233091</v>
      </c>
      <c r="AQ142" s="219">
        <f t="shared" si="513"/>
        <v>-4677867.7167671286</v>
      </c>
      <c r="AR142" s="219">
        <f t="shared" si="513"/>
        <v>-5759443.9266467504</v>
      </c>
      <c r="AS142" s="219">
        <f t="shared" si="513"/>
        <v>-5043653.0024587698</v>
      </c>
      <c r="AT142" s="219">
        <f t="shared" si="513"/>
        <v>-2177606.7113595447</v>
      </c>
      <c r="AU142" s="219">
        <f t="shared" si="513"/>
        <v>-3177346.4363628519</v>
      </c>
      <c r="AV142" s="219">
        <f t="shared" si="513"/>
        <v>-1185705.431843922</v>
      </c>
      <c r="AW142" s="219">
        <f t="shared" si="513"/>
        <v>-5367347.0122555876</v>
      </c>
      <c r="AX142" s="219">
        <f t="shared" si="513"/>
        <v>-11108318.070795221</v>
      </c>
      <c r="AY142" s="219">
        <f t="shared" si="513"/>
        <v>-10053607.016003389</v>
      </c>
      <c r="AZ142" s="219">
        <f t="shared" si="513"/>
        <v>-6578369.2638818193</v>
      </c>
      <c r="BA142" s="219">
        <f t="shared" si="513"/>
        <v>-4635512.4672590746</v>
      </c>
      <c r="BB142" s="219">
        <f t="shared" si="513"/>
        <v>-7715118.1719170185</v>
      </c>
      <c r="BC142" s="219">
        <f t="shared" si="513"/>
        <v>-8231656.7428018199</v>
      </c>
      <c r="BD142" s="219">
        <f t="shared" si="513"/>
        <v>-7820534.6176177319</v>
      </c>
      <c r="BE142" s="219">
        <f t="shared" si="513"/>
        <v>-4494024.607310635</v>
      </c>
      <c r="BF142" s="219">
        <f t="shared" si="513"/>
        <v>-6069071.2338160239</v>
      </c>
      <c r="BG142" s="219">
        <f t="shared" si="513"/>
        <v>-4092259.4145970736</v>
      </c>
      <c r="BH142" s="219">
        <f t="shared" si="513"/>
        <v>-2447105.7395270607</v>
      </c>
      <c r="BI142" s="219">
        <f t="shared" si="513"/>
        <v>-3941892.7851750683</v>
      </c>
      <c r="BJ142" s="219">
        <f t="shared" si="513"/>
        <v>-2974266.0188362584</v>
      </c>
      <c r="BK142" s="219">
        <f t="shared" si="513"/>
        <v>0</v>
      </c>
      <c r="BL142" s="219">
        <f t="shared" si="513"/>
        <v>0</v>
      </c>
      <c r="BM142" s="219">
        <f t="shared" si="513"/>
        <v>0</v>
      </c>
      <c r="BN142" s="219">
        <f t="shared" si="513"/>
        <v>0</v>
      </c>
      <c r="BO142" s="219">
        <f t="shared" si="513"/>
        <v>0</v>
      </c>
      <c r="BP142" s="219">
        <f t="shared" ref="BP142:DR142" si="514">BP130-BP136</f>
        <v>0</v>
      </c>
      <c r="BQ142" s="219">
        <f t="shared" si="514"/>
        <v>0</v>
      </c>
      <c r="BR142" s="219">
        <f t="shared" si="514"/>
        <v>0</v>
      </c>
      <c r="BS142" s="219">
        <f t="shared" si="514"/>
        <v>0</v>
      </c>
      <c r="BT142" s="219">
        <f t="shared" si="514"/>
        <v>0</v>
      </c>
      <c r="BU142" s="219">
        <f t="shared" si="514"/>
        <v>0</v>
      </c>
      <c r="BV142" s="219">
        <f t="shared" si="514"/>
        <v>0</v>
      </c>
      <c r="BW142" s="219">
        <f t="shared" si="514"/>
        <v>0</v>
      </c>
      <c r="BX142" s="219">
        <f t="shared" si="514"/>
        <v>0</v>
      </c>
      <c r="BY142" s="219">
        <f t="shared" si="514"/>
        <v>0</v>
      </c>
      <c r="BZ142" s="219">
        <f t="shared" si="514"/>
        <v>0</v>
      </c>
      <c r="CA142" s="219">
        <f t="shared" si="514"/>
        <v>0</v>
      </c>
      <c r="CB142" s="219">
        <f t="shared" si="514"/>
        <v>0</v>
      </c>
      <c r="CC142" s="219">
        <f t="shared" si="514"/>
        <v>0</v>
      </c>
      <c r="CD142" s="219">
        <f t="shared" si="514"/>
        <v>0</v>
      </c>
      <c r="CE142" s="219">
        <f t="shared" si="514"/>
        <v>0</v>
      </c>
      <c r="CF142" s="219">
        <f t="shared" si="514"/>
        <v>0</v>
      </c>
      <c r="CG142" s="219">
        <f t="shared" si="514"/>
        <v>0</v>
      </c>
      <c r="CH142" s="219">
        <f t="shared" si="514"/>
        <v>0</v>
      </c>
      <c r="CI142" s="219">
        <f t="shared" si="514"/>
        <v>0</v>
      </c>
      <c r="CJ142" s="219">
        <f t="shared" si="514"/>
        <v>0</v>
      </c>
      <c r="CK142" s="219">
        <f t="shared" si="514"/>
        <v>0</v>
      </c>
      <c r="CL142" s="219">
        <f t="shared" si="514"/>
        <v>0</v>
      </c>
      <c r="CM142" s="219">
        <f t="shared" si="514"/>
        <v>0</v>
      </c>
      <c r="CN142" s="219">
        <f t="shared" si="514"/>
        <v>0</v>
      </c>
      <c r="CO142" s="219">
        <f t="shared" si="514"/>
        <v>0</v>
      </c>
      <c r="CP142" s="219">
        <f t="shared" si="514"/>
        <v>0</v>
      </c>
      <c r="CQ142" s="219">
        <f t="shared" si="514"/>
        <v>0</v>
      </c>
      <c r="CR142" s="219">
        <f t="shared" si="514"/>
        <v>0</v>
      </c>
      <c r="CS142" s="219">
        <f t="shared" si="514"/>
        <v>0</v>
      </c>
      <c r="CT142" s="219">
        <f t="shared" si="514"/>
        <v>0</v>
      </c>
      <c r="CU142" s="219">
        <f t="shared" si="514"/>
        <v>0</v>
      </c>
      <c r="CV142" s="219">
        <f t="shared" si="514"/>
        <v>0</v>
      </c>
      <c r="CW142" s="219">
        <f t="shared" si="514"/>
        <v>0</v>
      </c>
      <c r="CX142" s="219">
        <f t="shared" si="514"/>
        <v>0</v>
      </c>
      <c r="CY142" s="219">
        <f t="shared" si="514"/>
        <v>0</v>
      </c>
      <c r="CZ142" s="219">
        <f t="shared" si="514"/>
        <v>0</v>
      </c>
      <c r="DA142" s="219">
        <f t="shared" si="514"/>
        <v>0</v>
      </c>
      <c r="DB142" s="219">
        <f t="shared" si="514"/>
        <v>0</v>
      </c>
      <c r="DC142" s="219">
        <f t="shared" si="514"/>
        <v>0</v>
      </c>
      <c r="DD142" s="219">
        <f t="shared" si="514"/>
        <v>0</v>
      </c>
      <c r="DE142" s="219">
        <f t="shared" si="514"/>
        <v>0</v>
      </c>
      <c r="DF142" s="219">
        <f t="shared" si="514"/>
        <v>0</v>
      </c>
      <c r="DG142" s="219">
        <f t="shared" si="514"/>
        <v>0</v>
      </c>
      <c r="DH142" s="219">
        <f t="shared" si="514"/>
        <v>0</v>
      </c>
      <c r="DI142" s="219">
        <f t="shared" si="514"/>
        <v>0</v>
      </c>
      <c r="DJ142" s="219">
        <f t="shared" si="514"/>
        <v>0</v>
      </c>
      <c r="DK142" s="219">
        <f t="shared" si="514"/>
        <v>0</v>
      </c>
      <c r="DL142" s="219">
        <f t="shared" si="514"/>
        <v>0</v>
      </c>
      <c r="DM142" s="219">
        <f t="shared" si="514"/>
        <v>0</v>
      </c>
      <c r="DN142" s="219">
        <f t="shared" si="514"/>
        <v>0</v>
      </c>
      <c r="DO142" s="219">
        <f t="shared" si="514"/>
        <v>0</v>
      </c>
      <c r="DP142" s="219">
        <f t="shared" si="514"/>
        <v>0</v>
      </c>
      <c r="DQ142" s="219">
        <f t="shared" si="514"/>
        <v>0</v>
      </c>
      <c r="DR142" s="219">
        <f t="shared" si="514"/>
        <v>0</v>
      </c>
      <c r="DS142" s="219">
        <f t="shared" ref="DS142:ED142" si="515">DS130-DS136</f>
        <v>0</v>
      </c>
      <c r="DT142" s="219">
        <f t="shared" si="515"/>
        <v>0</v>
      </c>
      <c r="DU142" s="219">
        <f t="shared" si="515"/>
        <v>0</v>
      </c>
      <c r="DV142" s="219">
        <f t="shared" si="515"/>
        <v>0</v>
      </c>
      <c r="DW142" s="219">
        <f t="shared" si="515"/>
        <v>0</v>
      </c>
      <c r="DX142" s="219">
        <f t="shared" si="515"/>
        <v>0</v>
      </c>
      <c r="DY142" s="219">
        <f t="shared" si="515"/>
        <v>0</v>
      </c>
      <c r="DZ142" s="219">
        <f t="shared" si="515"/>
        <v>0</v>
      </c>
      <c r="EA142" s="219">
        <f t="shared" si="515"/>
        <v>0</v>
      </c>
      <c r="EB142" s="219">
        <f t="shared" si="515"/>
        <v>0</v>
      </c>
      <c r="EC142" s="219">
        <f t="shared" si="515"/>
        <v>0</v>
      </c>
      <c r="ED142" s="219">
        <f t="shared" si="515"/>
        <v>0</v>
      </c>
      <c r="EE142" s="168"/>
      <c r="EF142" s="165">
        <f>SUM(BK142:BM142)</f>
        <v>0</v>
      </c>
      <c r="EG142" s="165">
        <f>SUM(BN142:BP142)</f>
        <v>0</v>
      </c>
      <c r="EH142" s="165">
        <f>SUM(BQ142:BS142)</f>
        <v>0</v>
      </c>
      <c r="EI142" s="165">
        <f>SUM(BT142:BV142)</f>
        <v>0</v>
      </c>
      <c r="EJ142" s="165">
        <f>SUM(BW142:BY142)</f>
        <v>0</v>
      </c>
      <c r="EK142" s="165">
        <f>SUM(CL142:CN142)</f>
        <v>0</v>
      </c>
      <c r="EL142" s="165">
        <f>SUM(CC142:CE142)</f>
        <v>0</v>
      </c>
      <c r="EM142" s="165">
        <f>SUM(CF142:CH142)</f>
        <v>0</v>
      </c>
      <c r="EN142" s="165">
        <f>SUM(CI142:CK142)</f>
        <v>0</v>
      </c>
      <c r="EO142" s="165">
        <f>SUM(CL142:CN142)</f>
        <v>0</v>
      </c>
      <c r="EP142" s="165">
        <f>SUM(CO142:CQ142)</f>
        <v>0</v>
      </c>
      <c r="EQ142" s="165">
        <f>SUM(CR142:CT142)</f>
        <v>0</v>
      </c>
      <c r="ER142" s="165">
        <f>SUM(CU142:CW142)</f>
        <v>0</v>
      </c>
      <c r="ES142" s="165">
        <f>SUM(CX142:CZ142)</f>
        <v>0</v>
      </c>
      <c r="ET142" s="165">
        <f>SUM(DA142:DC142)</f>
        <v>0</v>
      </c>
      <c r="EU142" s="165">
        <f>SUM(DD142:DF142)</f>
        <v>0</v>
      </c>
      <c r="EV142" s="165">
        <f>SUM(DG142:DI142)</f>
        <v>0</v>
      </c>
      <c r="EW142" s="165">
        <f>SUM(DJ142:DL142)</f>
        <v>0</v>
      </c>
      <c r="EX142" s="165">
        <f>SUM(DM142:DO142)</f>
        <v>0</v>
      </c>
      <c r="EY142" s="165">
        <f>SUM(DP142:DR142)</f>
        <v>0</v>
      </c>
      <c r="EZ142" s="165">
        <f t="shared" si="489"/>
        <v>0</v>
      </c>
      <c r="FA142" s="165">
        <f t="shared" si="490"/>
        <v>0</v>
      </c>
      <c r="FB142" s="165">
        <f t="shared" si="491"/>
        <v>0</v>
      </c>
      <c r="FC142" s="165">
        <f t="shared" si="492"/>
        <v>0</v>
      </c>
      <c r="FE142" s="165">
        <f t="shared" si="501"/>
        <v>0</v>
      </c>
      <c r="FF142" s="165">
        <f t="shared" si="502"/>
        <v>0</v>
      </c>
      <c r="FG142" s="165">
        <f t="shared" si="503"/>
        <v>0</v>
      </c>
      <c r="FH142" s="165">
        <f t="shared" si="504"/>
        <v>0</v>
      </c>
      <c r="FI142" s="165">
        <f t="shared" si="505"/>
        <v>0</v>
      </c>
      <c r="FJ142" s="165">
        <f t="shared" si="493"/>
        <v>0</v>
      </c>
    </row>
    <row r="143" spans="2:166" x14ac:dyDescent="0.2">
      <c r="B143" s="155" t="s">
        <v>228</v>
      </c>
      <c r="C143" s="219">
        <f>C131-C137</f>
        <v>0</v>
      </c>
      <c r="D143" s="219">
        <f t="shared" ref="D143:BO143" si="516">D131-D137</f>
        <v>0</v>
      </c>
      <c r="E143" s="219">
        <f t="shared" si="516"/>
        <v>0</v>
      </c>
      <c r="F143" s="219">
        <f t="shared" si="516"/>
        <v>0</v>
      </c>
      <c r="G143" s="219">
        <f t="shared" si="516"/>
        <v>0</v>
      </c>
      <c r="H143" s="219">
        <f t="shared" si="516"/>
        <v>0</v>
      </c>
      <c r="I143" s="219">
        <f t="shared" si="516"/>
        <v>0</v>
      </c>
      <c r="J143" s="219">
        <f t="shared" si="516"/>
        <v>0</v>
      </c>
      <c r="K143" s="219">
        <f t="shared" si="516"/>
        <v>0</v>
      </c>
      <c r="L143" s="219">
        <f t="shared" si="516"/>
        <v>-66011.68784394252</v>
      </c>
      <c r="M143" s="219">
        <f t="shared" si="516"/>
        <v>745080.51454545476</v>
      </c>
      <c r="N143" s="219">
        <f t="shared" si="516"/>
        <v>4913712.0974049428</v>
      </c>
      <c r="O143" s="219">
        <f t="shared" si="516"/>
        <v>4475190.5422995463</v>
      </c>
      <c r="P143" s="219">
        <f t="shared" si="516"/>
        <v>3986942.5052436222</v>
      </c>
      <c r="Q143" s="219">
        <f t="shared" si="516"/>
        <v>2410766.4447742989</v>
      </c>
      <c r="R143" s="219">
        <f t="shared" si="516"/>
        <v>5643796.2384900488</v>
      </c>
      <c r="S143" s="219">
        <f t="shared" si="516"/>
        <v>4346373.2162555028</v>
      </c>
      <c r="T143" s="219">
        <f t="shared" si="516"/>
        <v>3171862.3344066669</v>
      </c>
      <c r="U143" s="219">
        <f t="shared" si="516"/>
        <v>6312611.5429305723</v>
      </c>
      <c r="V143" s="219">
        <f t="shared" si="516"/>
        <v>741468.01010531385</v>
      </c>
      <c r="W143" s="219">
        <f t="shared" si="516"/>
        <v>2922109.842292753</v>
      </c>
      <c r="X143" s="219">
        <f t="shared" si="516"/>
        <v>1182051.3139325802</v>
      </c>
      <c r="Y143" s="219">
        <f t="shared" si="516"/>
        <v>-978960.06307958113</v>
      </c>
      <c r="Z143" s="219">
        <f t="shared" si="516"/>
        <v>412151.76282010658</v>
      </c>
      <c r="AA143" s="219">
        <f t="shared" si="516"/>
        <v>-1103692.7185646195</v>
      </c>
      <c r="AB143" s="219">
        <f t="shared" si="516"/>
        <v>1888393.5053824398</v>
      </c>
      <c r="AC143" s="219">
        <f t="shared" si="516"/>
        <v>1752678.3241581274</v>
      </c>
      <c r="AD143" s="219">
        <f t="shared" si="516"/>
        <v>2591185.1302738641</v>
      </c>
      <c r="AE143" s="219">
        <f t="shared" si="516"/>
        <v>1709885.4680219362</v>
      </c>
      <c r="AF143" s="219">
        <f t="shared" si="516"/>
        <v>1568188.8396203867</v>
      </c>
      <c r="AG143" s="219">
        <f t="shared" si="516"/>
        <v>1735010.4708161566</v>
      </c>
      <c r="AH143" s="219">
        <f t="shared" si="516"/>
        <v>1052881.4802149346</v>
      </c>
      <c r="AI143" s="219">
        <f t="shared" si="516"/>
        <v>2518222.8277634094</v>
      </c>
      <c r="AJ143" s="219">
        <f t="shared" si="516"/>
        <v>3223342.2537118951</v>
      </c>
      <c r="AK143" s="219">
        <f t="shared" si="516"/>
        <v>2830197.6980107808</v>
      </c>
      <c r="AL143" s="219">
        <f t="shared" si="516"/>
        <v>2429484.8811262203</v>
      </c>
      <c r="AM143" s="219">
        <f t="shared" si="516"/>
        <v>163351.75084604131</v>
      </c>
      <c r="AN143" s="219">
        <f t="shared" si="516"/>
        <v>-749901.44177715853</v>
      </c>
      <c r="AO143" s="219">
        <f t="shared" si="516"/>
        <v>-429706.16792931419</v>
      </c>
      <c r="AP143" s="219">
        <f t="shared" si="516"/>
        <v>755495.62728996971</v>
      </c>
      <c r="AQ143" s="219">
        <f t="shared" si="516"/>
        <v>363133.4043272073</v>
      </c>
      <c r="AR143" s="219">
        <f t="shared" si="516"/>
        <v>938892.10694481607</v>
      </c>
      <c r="AS143" s="219">
        <f t="shared" si="516"/>
        <v>1412813.9703002602</v>
      </c>
      <c r="AT143" s="219">
        <f t="shared" si="516"/>
        <v>3428422.5303888489</v>
      </c>
      <c r="AU143" s="219">
        <f t="shared" si="516"/>
        <v>3949471.8940896257</v>
      </c>
      <c r="AV143" s="219">
        <f t="shared" si="516"/>
        <v>4954583.809529217</v>
      </c>
      <c r="AW143" s="219">
        <f t="shared" si="516"/>
        <v>5105607.5982447155</v>
      </c>
      <c r="AX143" s="219">
        <f t="shared" si="516"/>
        <v>1920084.6614152612</v>
      </c>
      <c r="AY143" s="219">
        <f t="shared" si="516"/>
        <v>1166808.5461870534</v>
      </c>
      <c r="AZ143" s="219">
        <f t="shared" si="516"/>
        <v>577565.47945761331</v>
      </c>
      <c r="BA143" s="219">
        <f t="shared" si="516"/>
        <v>2009799.5128936307</v>
      </c>
      <c r="BB143" s="219">
        <f t="shared" si="516"/>
        <v>-233237.53294197866</v>
      </c>
      <c r="BC143" s="219">
        <f t="shared" si="516"/>
        <v>-1716726.0072161958</v>
      </c>
      <c r="BD143" s="219">
        <f t="shared" si="516"/>
        <v>-1541565.3471590336</v>
      </c>
      <c r="BE143" s="219">
        <f t="shared" si="516"/>
        <v>814663.90025351779</v>
      </c>
      <c r="BF143" s="219">
        <f t="shared" si="516"/>
        <v>1491928.7165462053</v>
      </c>
      <c r="BG143" s="219">
        <f t="shared" si="516"/>
        <v>366812.30393444368</v>
      </c>
      <c r="BH143" s="219">
        <f t="shared" si="516"/>
        <v>2578134.4868502789</v>
      </c>
      <c r="BI143" s="219">
        <f t="shared" si="516"/>
        <v>4472259.3451094702</v>
      </c>
      <c r="BJ143" s="219">
        <f t="shared" si="516"/>
        <v>2551358.7573485114</v>
      </c>
      <c r="BK143" s="219">
        <f t="shared" si="516"/>
        <v>-21752083.081113763</v>
      </c>
      <c r="BL143" s="219">
        <f t="shared" si="516"/>
        <v>-21004104.726565965</v>
      </c>
      <c r="BM143" s="219">
        <f t="shared" si="516"/>
        <v>-17216066.565439273</v>
      </c>
      <c r="BN143" s="219">
        <f t="shared" si="516"/>
        <v>-24411296.654944241</v>
      </c>
      <c r="BO143" s="219">
        <f t="shared" si="516"/>
        <v>-21901616.585866556</v>
      </c>
      <c r="BP143" s="219">
        <f t="shared" ref="BP143:DR143" si="517">BP131-BP137</f>
        <v>-28592897.987966221</v>
      </c>
      <c r="BQ143" s="219">
        <f t="shared" si="517"/>
        <v>-29509076.017860018</v>
      </c>
      <c r="BR143" s="219">
        <f t="shared" si="517"/>
        <v>-19501881.935048133</v>
      </c>
      <c r="BS143" s="219">
        <f t="shared" si="517"/>
        <v>-13086217.495342778</v>
      </c>
      <c r="BT143" s="219">
        <f t="shared" si="517"/>
        <v>-11855445.546495609</v>
      </c>
      <c r="BU143" s="219">
        <f t="shared" si="517"/>
        <v>-17049902.264069974</v>
      </c>
      <c r="BV143" s="219">
        <f t="shared" si="517"/>
        <v>-7188447.2922774293</v>
      </c>
      <c r="BW143" s="219">
        <f t="shared" si="517"/>
        <v>-13633529.568398949</v>
      </c>
      <c r="BX143" s="219">
        <f t="shared" si="517"/>
        <v>-13350086.003913928</v>
      </c>
      <c r="BY143" s="219">
        <f t="shared" si="517"/>
        <v>-9737300.0760602914</v>
      </c>
      <c r="BZ143" s="219">
        <f t="shared" si="517"/>
        <v>-9730372.4577067792</v>
      </c>
      <c r="CA143" s="219">
        <f t="shared" si="517"/>
        <v>-9084626.1237039156</v>
      </c>
      <c r="CB143" s="219">
        <f t="shared" si="517"/>
        <v>-3067307.1513094306</v>
      </c>
      <c r="CC143" s="219">
        <f t="shared" si="517"/>
        <v>1140228.1270731725</v>
      </c>
      <c r="CD143" s="219">
        <f t="shared" si="517"/>
        <v>-5199992.6406023987</v>
      </c>
      <c r="CE143" s="219">
        <f t="shared" si="517"/>
        <v>-4238188.6214255057</v>
      </c>
      <c r="CF143" s="219">
        <f t="shared" si="517"/>
        <v>61694.844191398472</v>
      </c>
      <c r="CG143" s="219">
        <f t="shared" si="517"/>
        <v>-1365725.6478516236</v>
      </c>
      <c r="CH143" s="219">
        <f t="shared" si="517"/>
        <v>6401516.5085272118</v>
      </c>
      <c r="CI143" s="219">
        <f t="shared" si="517"/>
        <v>-405896.67353350669</v>
      </c>
      <c r="CJ143" s="219">
        <f t="shared" si="517"/>
        <v>711127.28908757493</v>
      </c>
      <c r="CK143" s="219">
        <f t="shared" si="517"/>
        <v>225839.34937405214</v>
      </c>
      <c r="CL143" s="219">
        <f t="shared" si="517"/>
        <v>4510839.2996324375</v>
      </c>
      <c r="CM143" s="219">
        <f t="shared" si="517"/>
        <v>3482943.0544041693</v>
      </c>
      <c r="CN143" s="219">
        <f t="shared" si="517"/>
        <v>5136937.9485276975</v>
      </c>
      <c r="CO143" s="219">
        <f t="shared" si="517"/>
        <v>-3915624.9137943313</v>
      </c>
      <c r="CP143" s="219">
        <f t="shared" si="517"/>
        <v>-3075700.4289564639</v>
      </c>
      <c r="CQ143" s="219">
        <f t="shared" si="517"/>
        <v>170282.97668178752</v>
      </c>
      <c r="CR143" s="219">
        <f t="shared" si="517"/>
        <v>-694751.2931185849</v>
      </c>
      <c r="CS143" s="219">
        <f t="shared" si="517"/>
        <v>-9661248.6549917385</v>
      </c>
      <c r="CT143" s="219">
        <f t="shared" si="517"/>
        <v>-6803523.3829464987</v>
      </c>
      <c r="CU143" s="219">
        <f t="shared" si="517"/>
        <v>390949.06651788577</v>
      </c>
      <c r="CV143" s="219">
        <f t="shared" si="517"/>
        <v>803041.25985556841</v>
      </c>
      <c r="CW143" s="219">
        <f t="shared" si="517"/>
        <v>773780.27571325377</v>
      </c>
      <c r="CX143" s="219">
        <f t="shared" si="517"/>
        <v>1390699.3580471724</v>
      </c>
      <c r="CY143" s="219">
        <f t="shared" si="517"/>
        <v>-1003824.5109327324</v>
      </c>
      <c r="CZ143" s="219">
        <f t="shared" si="517"/>
        <v>2668428.9989284873</v>
      </c>
      <c r="DA143" s="219">
        <f t="shared" si="517"/>
        <v>1027118.0940096267</v>
      </c>
      <c r="DB143" s="219">
        <f t="shared" si="517"/>
        <v>1124654.7078175135</v>
      </c>
      <c r="DC143" s="219">
        <f t="shared" si="517"/>
        <v>10607651.985274691</v>
      </c>
      <c r="DD143" s="219">
        <f t="shared" si="517"/>
        <v>14572515.336559214</v>
      </c>
      <c r="DE143" s="219">
        <f t="shared" si="517"/>
        <v>6706187.4329652451</v>
      </c>
      <c r="DF143" s="219">
        <f t="shared" si="517"/>
        <v>10514992.202157434</v>
      </c>
      <c r="DG143" s="219">
        <f t="shared" si="517"/>
        <v>4706172.4881877638</v>
      </c>
      <c r="DH143" s="219">
        <f t="shared" si="517"/>
        <v>5184673.6806833036</v>
      </c>
      <c r="DI143" s="219">
        <f t="shared" si="517"/>
        <v>5150697.2646482028</v>
      </c>
      <c r="DJ143" s="219">
        <f t="shared" si="517"/>
        <v>5867033.369390104</v>
      </c>
      <c r="DK143" s="219">
        <f t="shared" si="517"/>
        <v>3086629.9905103482</v>
      </c>
      <c r="DL143" s="219">
        <f t="shared" si="517"/>
        <v>7350670.2029267885</v>
      </c>
      <c r="DM143" s="219">
        <f t="shared" si="517"/>
        <v>5495843.2858794406</v>
      </c>
      <c r="DN143" s="219">
        <f t="shared" si="517"/>
        <v>5609098.0059967414</v>
      </c>
      <c r="DO143" s="219">
        <f t="shared" si="517"/>
        <v>16620288.169401385</v>
      </c>
      <c r="DP143" s="219">
        <f t="shared" si="517"/>
        <v>21224092.542169519</v>
      </c>
      <c r="DQ143" s="219">
        <f t="shared" si="517"/>
        <v>12090099.364709251</v>
      </c>
      <c r="DR143" s="219">
        <f t="shared" si="517"/>
        <v>16512696.185289793</v>
      </c>
      <c r="DS143" s="219">
        <f t="shared" ref="DS143:ED143" si="518">DS131-DS137</f>
        <v>10414455.346873891</v>
      </c>
      <c r="DT143" s="219">
        <f t="shared" si="518"/>
        <v>10974947.445991319</v>
      </c>
      <c r="DU143" s="219">
        <f t="shared" si="518"/>
        <v>10935149.19043282</v>
      </c>
      <c r="DV143" s="219">
        <f t="shared" si="518"/>
        <v>11774229.078460749</v>
      </c>
      <c r="DW143" s="219">
        <f t="shared" si="518"/>
        <v>8517405.1652455814</v>
      </c>
      <c r="DX143" s="219">
        <f t="shared" si="518"/>
        <v>13512086.237854425</v>
      </c>
      <c r="DY143" s="219">
        <f t="shared" si="518"/>
        <v>11397879.301620018</v>
      </c>
      <c r="DZ143" s="219">
        <f t="shared" si="518"/>
        <v>11530540.153482106</v>
      </c>
      <c r="EA143" s="219">
        <f t="shared" si="518"/>
        <v>24428491.475776937</v>
      </c>
      <c r="EB143" s="219">
        <f t="shared" si="518"/>
        <v>29821155.103972059</v>
      </c>
      <c r="EC143" s="219">
        <f t="shared" si="518"/>
        <v>19122057.401292127</v>
      </c>
      <c r="ED143" s="219">
        <f t="shared" si="518"/>
        <v>24302463.666507985</v>
      </c>
      <c r="EE143" s="168"/>
      <c r="EF143" s="165">
        <f>SUM(BK143:BM143)</f>
        <v>-59972254.373118997</v>
      </c>
      <c r="EG143" s="165">
        <f>SUM(BN143:BP143)</f>
        <v>-74905811.228777021</v>
      </c>
      <c r="EH143" s="165">
        <f>SUM(BQ143:BS143)</f>
        <v>-62097175.448250927</v>
      </c>
      <c r="EI143" s="165">
        <f>SUM(BT143:BV143)</f>
        <v>-36093795.102843016</v>
      </c>
      <c r="EJ143" s="165">
        <f>SUM(BW143:BY143)</f>
        <v>-36720915.648373172</v>
      </c>
      <c r="EK143" s="165">
        <f>SUM(CL143:CN143)</f>
        <v>13130720.302564304</v>
      </c>
      <c r="EL143" s="165">
        <f>SUM(CC143:CE143)</f>
        <v>-8297953.1349547319</v>
      </c>
      <c r="EM143" s="165">
        <f>SUM(CF143:CH143)</f>
        <v>5097485.7048669867</v>
      </c>
      <c r="EN143" s="165">
        <f>SUM(CI143:CK143)</f>
        <v>531069.96492812037</v>
      </c>
      <c r="EO143" s="165">
        <f>SUM(CL143:CN143)</f>
        <v>13130720.302564304</v>
      </c>
      <c r="EP143" s="165">
        <f>SUM(CO143:CQ143)</f>
        <v>-6821042.3660690077</v>
      </c>
      <c r="EQ143" s="165">
        <f>SUM(CR143:CT143)</f>
        <v>-17159523.331056822</v>
      </c>
      <c r="ER143" s="165">
        <f>SUM(CU143:CW143)</f>
        <v>1967770.6020867079</v>
      </c>
      <c r="ES143" s="165">
        <f>SUM(CX143:CZ143)</f>
        <v>3055303.8460429274</v>
      </c>
      <c r="ET143" s="165">
        <f>SUM(DA143:DC143)</f>
        <v>12759424.787101831</v>
      </c>
      <c r="EU143" s="165">
        <f>SUM(DD143:DF143)</f>
        <v>31793694.971681893</v>
      </c>
      <c r="EV143" s="165">
        <f>SUM(DG143:DI143)</f>
        <v>15041543.43351927</v>
      </c>
      <c r="EW143" s="165">
        <f>SUM(DJ143:DL143)</f>
        <v>16304333.562827241</v>
      </c>
      <c r="EX143" s="165">
        <f>SUM(DM143:DO143)</f>
        <v>27725229.461277567</v>
      </c>
      <c r="EY143" s="165">
        <f>SUM(DP143:DR143)</f>
        <v>49826888.092168562</v>
      </c>
      <c r="EZ143" s="165">
        <f t="shared" si="489"/>
        <v>32324551.98329803</v>
      </c>
      <c r="FA143" s="165">
        <f t="shared" si="490"/>
        <v>33803720.481560752</v>
      </c>
      <c r="FB143" s="165">
        <f t="shared" si="491"/>
        <v>47356910.930879056</v>
      </c>
      <c r="FC143" s="165">
        <f t="shared" si="492"/>
        <v>73245676.171772167</v>
      </c>
      <c r="FE143" s="165">
        <f t="shared" si="501"/>
        <v>-233069036.15298995</v>
      </c>
      <c r="FF143" s="165">
        <f t="shared" si="502"/>
        <v>-26790662.775896613</v>
      </c>
      <c r="FG143" s="165">
        <f t="shared" si="503"/>
        <v>-10318775.429633405</v>
      </c>
      <c r="FH143" s="165">
        <f t="shared" si="504"/>
        <v>49576194.206913359</v>
      </c>
      <c r="FI143" s="165">
        <f t="shared" si="505"/>
        <v>108897994.54979265</v>
      </c>
      <c r="FJ143" s="165">
        <f t="shared" si="493"/>
        <v>186730859.56751001</v>
      </c>
    </row>
    <row r="144" spans="2:166" x14ac:dyDescent="0.2">
      <c r="B144" s="155" t="s">
        <v>229</v>
      </c>
      <c r="C144" s="219">
        <f>C132-C138</f>
        <v>0</v>
      </c>
      <c r="D144" s="219">
        <f t="shared" ref="D144:BO144" si="519">D132-D138</f>
        <v>0</v>
      </c>
      <c r="E144" s="219">
        <f t="shared" si="519"/>
        <v>0</v>
      </c>
      <c r="F144" s="219">
        <f t="shared" si="519"/>
        <v>0</v>
      </c>
      <c r="G144" s="219">
        <f t="shared" si="519"/>
        <v>0</v>
      </c>
      <c r="H144" s="219">
        <f t="shared" si="519"/>
        <v>0</v>
      </c>
      <c r="I144" s="219">
        <f t="shared" si="519"/>
        <v>0</v>
      </c>
      <c r="J144" s="219">
        <f t="shared" si="519"/>
        <v>0</v>
      </c>
      <c r="K144" s="219">
        <f t="shared" si="519"/>
        <v>0</v>
      </c>
      <c r="L144" s="219">
        <f t="shared" si="519"/>
        <v>0</v>
      </c>
      <c r="M144" s="219">
        <f t="shared" si="519"/>
        <v>0</v>
      </c>
      <c r="N144" s="219">
        <f t="shared" si="519"/>
        <v>0</v>
      </c>
      <c r="O144" s="219">
        <f t="shared" si="519"/>
        <v>0</v>
      </c>
      <c r="P144" s="219">
        <f t="shared" si="519"/>
        <v>0</v>
      </c>
      <c r="Q144" s="219">
        <f t="shared" si="519"/>
        <v>0</v>
      </c>
      <c r="R144" s="219">
        <f t="shared" si="519"/>
        <v>0</v>
      </c>
      <c r="S144" s="219">
        <f t="shared" si="519"/>
        <v>0</v>
      </c>
      <c r="T144" s="219">
        <f t="shared" si="519"/>
        <v>0</v>
      </c>
      <c r="U144" s="219">
        <f t="shared" si="519"/>
        <v>0</v>
      </c>
      <c r="V144" s="219">
        <f t="shared" si="519"/>
        <v>0</v>
      </c>
      <c r="W144" s="219">
        <f t="shared" si="519"/>
        <v>0</v>
      </c>
      <c r="X144" s="219">
        <f t="shared" si="519"/>
        <v>0</v>
      </c>
      <c r="Y144" s="219">
        <f t="shared" si="519"/>
        <v>0</v>
      </c>
      <c r="Z144" s="219">
        <f t="shared" si="519"/>
        <v>0</v>
      </c>
      <c r="AA144" s="219">
        <f t="shared" si="519"/>
        <v>0</v>
      </c>
      <c r="AB144" s="219">
        <f t="shared" si="519"/>
        <v>0</v>
      </c>
      <c r="AC144" s="219">
        <f t="shared" si="519"/>
        <v>737164.37223297346</v>
      </c>
      <c r="AD144" s="219">
        <f t="shared" si="519"/>
        <v>-1164773.8053797125</v>
      </c>
      <c r="AE144" s="219">
        <f t="shared" si="519"/>
        <v>-1548504.6846660806</v>
      </c>
      <c r="AF144" s="219">
        <f t="shared" si="519"/>
        <v>-1802216.1229235982</v>
      </c>
      <c r="AG144" s="219">
        <f t="shared" si="519"/>
        <v>-2296719.2504549231</v>
      </c>
      <c r="AH144" s="219">
        <f t="shared" si="519"/>
        <v>-1787412.6181384102</v>
      </c>
      <c r="AI144" s="219">
        <f t="shared" si="519"/>
        <v>357401.90046987275</v>
      </c>
      <c r="AJ144" s="219">
        <f t="shared" si="519"/>
        <v>315461.48308122979</v>
      </c>
      <c r="AK144" s="219">
        <f t="shared" si="519"/>
        <v>797246.09938603407</v>
      </c>
      <c r="AL144" s="219">
        <f t="shared" si="519"/>
        <v>780531.16885597818</v>
      </c>
      <c r="AM144" s="219">
        <f t="shared" si="519"/>
        <v>-2294663.3532493245</v>
      </c>
      <c r="AN144" s="219">
        <f t="shared" si="519"/>
        <v>-5422715.5337462397</v>
      </c>
      <c r="AO144" s="219">
        <f t="shared" si="519"/>
        <v>-1850147.5435754305</v>
      </c>
      <c r="AP144" s="219">
        <f t="shared" si="519"/>
        <v>-2046683.746673052</v>
      </c>
      <c r="AQ144" s="219">
        <f t="shared" si="519"/>
        <v>-2329389.1358407531</v>
      </c>
      <c r="AR144" s="219">
        <f t="shared" si="519"/>
        <v>-2904775.3987276382</v>
      </c>
      <c r="AS144" s="219">
        <f t="shared" si="519"/>
        <v>-4034727.6146971444</v>
      </c>
      <c r="AT144" s="219">
        <f t="shared" si="519"/>
        <v>1920986.8484982515</v>
      </c>
      <c r="AU144" s="219">
        <f t="shared" si="519"/>
        <v>1538151.4862279575</v>
      </c>
      <c r="AV144" s="219">
        <f t="shared" si="519"/>
        <v>-1009598.5511026683</v>
      </c>
      <c r="AW144" s="219">
        <f t="shared" si="519"/>
        <v>1012640.7951662702</v>
      </c>
      <c r="AX144" s="219">
        <f t="shared" si="519"/>
        <v>-496506.44322743162</v>
      </c>
      <c r="AY144" s="219">
        <f t="shared" si="519"/>
        <v>-3485675.7337346813</v>
      </c>
      <c r="AZ144" s="219">
        <f t="shared" si="519"/>
        <v>-3902798.2598173767</v>
      </c>
      <c r="BA144" s="219">
        <f t="shared" si="519"/>
        <v>-3902896.732646327</v>
      </c>
      <c r="BB144" s="219">
        <f t="shared" si="519"/>
        <v>-4796439.1973179271</v>
      </c>
      <c r="BC144" s="219">
        <f t="shared" si="519"/>
        <v>-9805662.5876295548</v>
      </c>
      <c r="BD144" s="219">
        <f t="shared" si="519"/>
        <v>-16631471.142647395</v>
      </c>
      <c r="BE144" s="219">
        <f t="shared" si="519"/>
        <v>-13649905.889616016</v>
      </c>
      <c r="BF144" s="219">
        <f t="shared" si="519"/>
        <v>-12936944.927420657</v>
      </c>
      <c r="BG144" s="219">
        <f t="shared" si="519"/>
        <v>-7979133.5022878591</v>
      </c>
      <c r="BH144" s="219">
        <f t="shared" si="519"/>
        <v>-6519186.0990725206</v>
      </c>
      <c r="BI144" s="219">
        <f t="shared" si="519"/>
        <v>-5313231.0560209109</v>
      </c>
      <c r="BJ144" s="219">
        <f t="shared" si="519"/>
        <v>-601323.45232202893</v>
      </c>
      <c r="BK144" s="219">
        <f t="shared" si="519"/>
        <v>-23782100.768541187</v>
      </c>
      <c r="BL144" s="219">
        <f t="shared" si="519"/>
        <v>-20765077.814997286</v>
      </c>
      <c r="BM144" s="219">
        <f t="shared" si="519"/>
        <v>-17188105.894944184</v>
      </c>
      <c r="BN144" s="219">
        <f t="shared" si="519"/>
        <v>-19617664.916738778</v>
      </c>
      <c r="BO144" s="219">
        <f t="shared" si="519"/>
        <v>-19268891.441142354</v>
      </c>
      <c r="BP144" s="219">
        <f t="shared" ref="BP144:DR144" si="520">BP132-BP138</f>
        <v>-25104213.709043059</v>
      </c>
      <c r="BQ144" s="219">
        <f t="shared" si="520"/>
        <v>-18522960.394645359</v>
      </c>
      <c r="BR144" s="219">
        <f t="shared" si="520"/>
        <v>-22420643.82797936</v>
      </c>
      <c r="BS144" s="219">
        <f t="shared" si="520"/>
        <v>-22276119.181437489</v>
      </c>
      <c r="BT144" s="219">
        <f t="shared" si="520"/>
        <v>-18476533.860726766</v>
      </c>
      <c r="BU144" s="219">
        <f t="shared" si="520"/>
        <v>-15580094.659053944</v>
      </c>
      <c r="BV144" s="219">
        <f t="shared" si="520"/>
        <v>-8363869.55601364</v>
      </c>
      <c r="BW144" s="219">
        <f t="shared" si="520"/>
        <v>-10013612.309089605</v>
      </c>
      <c r="BX144" s="219">
        <f t="shared" si="520"/>
        <v>-7055178.6795126162</v>
      </c>
      <c r="BY144" s="219">
        <f t="shared" si="520"/>
        <v>-4319000.6413991526</v>
      </c>
      <c r="BZ144" s="219">
        <f t="shared" si="520"/>
        <v>-7057937.4394532852</v>
      </c>
      <c r="CA144" s="219">
        <f t="shared" si="520"/>
        <v>-13863885.266172599</v>
      </c>
      <c r="CB144" s="219">
        <f t="shared" si="520"/>
        <v>-21937676.45850778</v>
      </c>
      <c r="CC144" s="219">
        <f t="shared" si="520"/>
        <v>-11656364.408231605</v>
      </c>
      <c r="CD144" s="219">
        <f t="shared" si="520"/>
        <v>-8873331.8899972066</v>
      </c>
      <c r="CE144" s="219">
        <f t="shared" si="520"/>
        <v>-3684947.8430309966</v>
      </c>
      <c r="CF144" s="219">
        <f t="shared" si="520"/>
        <v>-6603621.0672226772</v>
      </c>
      <c r="CG144" s="219">
        <f t="shared" si="520"/>
        <v>-9233803.2001418918</v>
      </c>
      <c r="CH144" s="219">
        <f t="shared" si="520"/>
        <v>-2160048.9754266366</v>
      </c>
      <c r="CI144" s="219">
        <f t="shared" si="520"/>
        <v>-5950728.0809262022</v>
      </c>
      <c r="CJ144" s="219">
        <f t="shared" si="520"/>
        <v>-8638545.352781903</v>
      </c>
      <c r="CK144" s="219">
        <f t="shared" si="520"/>
        <v>-3844632.1843227241</v>
      </c>
      <c r="CL144" s="219">
        <f t="shared" si="520"/>
        <v>-7603584.0734300539</v>
      </c>
      <c r="CM144" s="219">
        <f t="shared" si="520"/>
        <v>-8992088.8043965474</v>
      </c>
      <c r="CN144" s="219">
        <f t="shared" si="520"/>
        <v>-19142861.847933255</v>
      </c>
      <c r="CO144" s="219">
        <f t="shared" si="520"/>
        <v>22513.164418034256</v>
      </c>
      <c r="CP144" s="219">
        <f t="shared" si="520"/>
        <v>1410043.1223893687</v>
      </c>
      <c r="CQ144" s="219">
        <f t="shared" si="520"/>
        <v>6227696.8151600286</v>
      </c>
      <c r="CR144" s="219">
        <f t="shared" si="520"/>
        <v>8493079.7586075626</v>
      </c>
      <c r="CS144" s="219">
        <f t="shared" si="520"/>
        <v>3024155.9764411449</v>
      </c>
      <c r="CT144" s="219">
        <f t="shared" si="520"/>
        <v>-1589428.2836698219</v>
      </c>
      <c r="CU144" s="219">
        <f t="shared" si="520"/>
        <v>-1314264.5724605843</v>
      </c>
      <c r="CV144" s="219">
        <f t="shared" si="520"/>
        <v>-3360591.9881164953</v>
      </c>
      <c r="CW144" s="219">
        <f t="shared" si="520"/>
        <v>-3642524.0172876343</v>
      </c>
      <c r="CX144" s="219">
        <f t="shared" si="520"/>
        <v>4088834.4231816866</v>
      </c>
      <c r="CY144" s="219">
        <f t="shared" si="520"/>
        <v>-6828085.8130163122</v>
      </c>
      <c r="CZ144" s="219">
        <f t="shared" si="520"/>
        <v>-13372097.000493612</v>
      </c>
      <c r="DA144" s="219">
        <f t="shared" si="520"/>
        <v>7413147.1749208681</v>
      </c>
      <c r="DB144" s="219">
        <f t="shared" si="520"/>
        <v>-1013502.1358511224</v>
      </c>
      <c r="DC144" s="219">
        <f t="shared" si="520"/>
        <v>17388773.5198135</v>
      </c>
      <c r="DD144" s="219">
        <f t="shared" si="520"/>
        <v>20186047.315494992</v>
      </c>
      <c r="DE144" s="219">
        <f t="shared" si="520"/>
        <v>11741854.372588985</v>
      </c>
      <c r="DF144" s="219">
        <f t="shared" si="520"/>
        <v>29730877.399521105</v>
      </c>
      <c r="DG144" s="219">
        <f t="shared" si="520"/>
        <v>9953382.4155371822</v>
      </c>
      <c r="DH144" s="219">
        <f t="shared" si="520"/>
        <v>7722489.2149367444</v>
      </c>
      <c r="DI144" s="219">
        <f t="shared" si="520"/>
        <v>6825516.8297483958</v>
      </c>
      <c r="DJ144" s="219">
        <f t="shared" si="520"/>
        <v>16183518.786466677</v>
      </c>
      <c r="DK144" s="219">
        <f t="shared" si="520"/>
        <v>2672500.82042256</v>
      </c>
      <c r="DL144" s="219">
        <f t="shared" si="520"/>
        <v>-5513689.6691911593</v>
      </c>
      <c r="DM144" s="219">
        <f t="shared" si="520"/>
        <v>19330411.600026969</v>
      </c>
      <c r="DN144" s="219">
        <f t="shared" si="520"/>
        <v>8582501.6595783159</v>
      </c>
      <c r="DO144" s="219">
        <f t="shared" si="520"/>
        <v>30249473.360618193</v>
      </c>
      <c r="DP144" s="219">
        <f t="shared" si="520"/>
        <v>33046472.104421522</v>
      </c>
      <c r="DQ144" s="219">
        <f t="shared" si="520"/>
        <v>22385887.925292056</v>
      </c>
      <c r="DR144" s="219">
        <f t="shared" si="520"/>
        <v>42146325.858121768</v>
      </c>
      <c r="DS144" s="219">
        <f t="shared" ref="DS144:ED144" si="521">DS132-DS138</f>
        <v>14021632.337701149</v>
      </c>
      <c r="DT144" s="219">
        <f t="shared" si="521"/>
        <v>11403425.094308794</v>
      </c>
      <c r="DU144" s="219">
        <f t="shared" si="521"/>
        <v>10324591.61789453</v>
      </c>
      <c r="DV144" s="219">
        <f t="shared" si="521"/>
        <v>20755867.120748959</v>
      </c>
      <c r="DW144" s="219">
        <f t="shared" si="521"/>
        <v>5494297.1673880629</v>
      </c>
      <c r="DX144" s="219">
        <f t="shared" si="521"/>
        <v>-3806714.5362592675</v>
      </c>
      <c r="DY144" s="219">
        <f t="shared" si="521"/>
        <v>23985203.538348682</v>
      </c>
      <c r="DZ144" s="219">
        <f t="shared" si="521"/>
        <v>11886271.361371905</v>
      </c>
      <c r="EA144" s="219">
        <f t="shared" si="521"/>
        <v>36087693.985777877</v>
      </c>
      <c r="EB144" s="219">
        <f t="shared" si="521"/>
        <v>39175404.832759164</v>
      </c>
      <c r="EC144" s="219">
        <f t="shared" si="521"/>
        <v>27184836.888351798</v>
      </c>
      <c r="ED144" s="219">
        <f t="shared" si="521"/>
        <v>49220965.05954168</v>
      </c>
      <c r="EE144" s="168"/>
      <c r="EF144" s="165">
        <f>SUM(BK144:BM144)</f>
        <v>-61735284.478482656</v>
      </c>
      <c r="EG144" s="165">
        <f>SUM(BN144:BP144)</f>
        <v>-63990770.066924185</v>
      </c>
      <c r="EH144" s="165">
        <f>SUM(BQ144:BS144)</f>
        <v>-63219723.404062212</v>
      </c>
      <c r="EI144" s="165">
        <f>SUM(BT144:BV144)</f>
        <v>-42420498.075794354</v>
      </c>
      <c r="EJ144" s="165">
        <f>SUM(BW144:BY144)</f>
        <v>-21387791.630001374</v>
      </c>
      <c r="EK144" s="165">
        <f>SUM(CL144:CN144)</f>
        <v>-35738534.725759856</v>
      </c>
      <c r="EL144" s="165">
        <f>SUM(CC144:CE144)</f>
        <v>-24214644.141259808</v>
      </c>
      <c r="EM144" s="165">
        <f>SUM(CF144:CH144)</f>
        <v>-17997473.242791206</v>
      </c>
      <c r="EN144" s="165">
        <f>SUM(CI144:CK144)</f>
        <v>-18433905.618030831</v>
      </c>
      <c r="EO144" s="165">
        <f>SUM(CL144:CN144)</f>
        <v>-35738534.725759856</v>
      </c>
      <c r="EP144" s="165">
        <f>SUM(CO144:CQ144)</f>
        <v>7660253.1019674316</v>
      </c>
      <c r="EQ144" s="165">
        <f>SUM(CR144:CT144)</f>
        <v>9927807.4513788857</v>
      </c>
      <c r="ER144" s="165">
        <f>SUM(CU144:CW144)</f>
        <v>-8317380.577864714</v>
      </c>
      <c r="ES144" s="165">
        <f>SUM(CX144:CZ144)</f>
        <v>-16111348.390328238</v>
      </c>
      <c r="ET144" s="165">
        <f>SUM(DA144:DC144)</f>
        <v>23788418.558883246</v>
      </c>
      <c r="EU144" s="165">
        <f>SUM(DD144:DF144)</f>
        <v>61658779.087605081</v>
      </c>
      <c r="EV144" s="165">
        <f>SUM(DG144:DI144)</f>
        <v>24501388.460222322</v>
      </c>
      <c r="EW144" s="165">
        <f>SUM(DJ144:DL144)</f>
        <v>13342329.937698077</v>
      </c>
      <c r="EX144" s="165">
        <f>SUM(DM144:DO144)</f>
        <v>58162386.620223477</v>
      </c>
      <c r="EY144" s="165">
        <f>SUM(DP144:DR144)</f>
        <v>97578685.887835354</v>
      </c>
      <c r="EZ144" s="165">
        <f t="shared" si="489"/>
        <v>35749649.049904473</v>
      </c>
      <c r="FA144" s="165">
        <f t="shared" si="490"/>
        <v>22443449.751877755</v>
      </c>
      <c r="FB144" s="165">
        <f t="shared" si="491"/>
        <v>71959168.885498464</v>
      </c>
      <c r="FC144" s="165">
        <f t="shared" si="492"/>
        <v>115581206.78065264</v>
      </c>
      <c r="FE144" s="165">
        <f t="shared" si="501"/>
        <v>-231366276.02526343</v>
      </c>
      <c r="FF144" s="165">
        <f t="shared" si="502"/>
        <v>-99338443.73981224</v>
      </c>
      <c r="FG144" s="165">
        <f t="shared" si="503"/>
        <v>-36584379.790444374</v>
      </c>
      <c r="FH144" s="165">
        <f t="shared" si="504"/>
        <v>61018468.678295374</v>
      </c>
      <c r="FI144" s="165">
        <f t="shared" si="505"/>
        <v>193584790.90597922</v>
      </c>
      <c r="FJ144" s="165">
        <f t="shared" si="493"/>
        <v>245733474.46793333</v>
      </c>
    </row>
    <row r="145" spans="2:166" x14ac:dyDescent="0.2">
      <c r="B145" s="150" t="s">
        <v>213</v>
      </c>
      <c r="C145" s="166">
        <f>C141/C36</f>
        <v>-9.8496448303985896E-3</v>
      </c>
      <c r="D145" s="166">
        <f t="shared" ref="D145:BO145" si="522">D141/D36</f>
        <v>-3.0172501699419384E-2</v>
      </c>
      <c r="E145" s="166">
        <f t="shared" si="522"/>
        <v>-8.829267789969672E-2</v>
      </c>
      <c r="F145" s="166">
        <f t="shared" si="522"/>
        <v>-9.5883099140222611E-2</v>
      </c>
      <c r="G145" s="166">
        <f t="shared" si="522"/>
        <v>-0.13779822532741418</v>
      </c>
      <c r="H145" s="166">
        <f t="shared" si="522"/>
        <v>-0.15386037097641403</v>
      </c>
      <c r="I145" s="166">
        <f t="shared" si="522"/>
        <v>-1.2268864403252029E-3</v>
      </c>
      <c r="J145" s="166">
        <f t="shared" si="522"/>
        <v>0.11089260192754868</v>
      </c>
      <c r="K145" s="166">
        <f t="shared" si="522"/>
        <v>1.7086963850901579E-2</v>
      </c>
      <c r="L145" s="166">
        <f t="shared" si="522"/>
        <v>2.2659548376659771E-2</v>
      </c>
      <c r="M145" s="166">
        <f t="shared" si="522"/>
        <v>2.993870979184593E-2</v>
      </c>
      <c r="N145" s="166">
        <f t="shared" si="522"/>
        <v>0.1324254159433807</v>
      </c>
      <c r="O145" s="166">
        <f t="shared" si="522"/>
        <v>8.4972749781520862E-2</v>
      </c>
      <c r="P145" s="166">
        <f t="shared" si="522"/>
        <v>3.6334280695926771E-2</v>
      </c>
      <c r="Q145" s="166">
        <f t="shared" si="522"/>
        <v>-3.5750328707127417E-2</v>
      </c>
      <c r="R145" s="166">
        <f t="shared" si="522"/>
        <v>5.8738510853093839E-2</v>
      </c>
      <c r="S145" s="166">
        <f t="shared" si="522"/>
        <v>4.5234079267283386E-2</v>
      </c>
      <c r="T145" s="166">
        <f t="shared" si="522"/>
        <v>2.0712599318214443E-2</v>
      </c>
      <c r="U145" s="166">
        <f t="shared" si="522"/>
        <v>9.6702734994284792E-2</v>
      </c>
      <c r="V145" s="166">
        <f t="shared" si="522"/>
        <v>-0.22315621533457328</v>
      </c>
      <c r="W145" s="166">
        <f t="shared" si="522"/>
        <v>-5.50856568056887E-2</v>
      </c>
      <c r="X145" s="166">
        <f t="shared" si="522"/>
        <v>-6.1175952338574313E-2</v>
      </c>
      <c r="Y145" s="166">
        <f t="shared" si="522"/>
        <v>-0.24791965487456</v>
      </c>
      <c r="Z145" s="166">
        <f t="shared" si="522"/>
        <v>-0.12770387063298136</v>
      </c>
      <c r="AA145" s="166">
        <f t="shared" si="522"/>
        <v>2.8765053675696324</v>
      </c>
      <c r="AB145" s="166">
        <f t="shared" si="522"/>
        <v>-4.0496872791153944E-2</v>
      </c>
      <c r="AC145" s="166">
        <f t="shared" si="522"/>
        <v>1.1967047902124486E-5</v>
      </c>
      <c r="AD145" s="166">
        <f t="shared" si="522"/>
        <v>-6.9685887826937326E-2</v>
      </c>
      <c r="AE145" s="166">
        <f t="shared" si="522"/>
        <v>-9.6803542948940086E-2</v>
      </c>
      <c r="AF145" s="166">
        <f t="shared" si="522"/>
        <v>-0.10805388248534101</v>
      </c>
      <c r="AG145" s="166">
        <f t="shared" si="522"/>
        <v>-8.3312422709408779E-2</v>
      </c>
      <c r="AH145" s="166">
        <f t="shared" si="522"/>
        <v>-4.1021012270936658E-2</v>
      </c>
      <c r="AI145" s="166">
        <f t="shared" si="522"/>
        <v>5.22093603790851E-2</v>
      </c>
      <c r="AJ145" s="166">
        <f t="shared" si="522"/>
        <v>1.7344927928181795E-2</v>
      </c>
      <c r="AK145" s="166">
        <f t="shared" si="522"/>
        <v>1.6509124819339516E-2</v>
      </c>
      <c r="AL145" s="166">
        <f t="shared" si="522"/>
        <v>1.1177036941127939E-2</v>
      </c>
      <c r="AM145" s="166">
        <f t="shared" si="522"/>
        <v>-7.9168312477096492E-2</v>
      </c>
      <c r="AN145" s="166">
        <f t="shared" si="522"/>
        <v>-0.3678296840657857</v>
      </c>
      <c r="AO145" s="166">
        <f t="shared" si="522"/>
        <v>-8.9753950103417066E-2</v>
      </c>
      <c r="AP145" s="166">
        <f t="shared" si="522"/>
        <v>-7.4023342393205863E-2</v>
      </c>
      <c r="AQ145" s="166">
        <f t="shared" si="522"/>
        <v>-7.7586294364282132E-2</v>
      </c>
      <c r="AR145" s="166">
        <f t="shared" si="522"/>
        <v>-7.2452869454418437E-2</v>
      </c>
      <c r="AS145" s="166">
        <f t="shared" si="522"/>
        <v>-6.4108031131730234E-2</v>
      </c>
      <c r="AT145" s="166">
        <f t="shared" si="522"/>
        <v>2.0358387827804733E-2</v>
      </c>
      <c r="AU145" s="166">
        <f t="shared" si="522"/>
        <v>1.2796916604853825E-2</v>
      </c>
      <c r="AV145" s="166">
        <f t="shared" si="522"/>
        <v>1.4143143385628764E-2</v>
      </c>
      <c r="AW145" s="166">
        <f t="shared" si="522"/>
        <v>3.8044190268291559E-3</v>
      </c>
      <c r="AX145" s="166">
        <f t="shared" si="522"/>
        <v>-4.8815871982133691E-2</v>
      </c>
      <c r="AY145" s="166">
        <f t="shared" si="522"/>
        <v>-8.2375106808720774E-2</v>
      </c>
      <c r="AZ145" s="166">
        <f t="shared" si="522"/>
        <v>-5.4314256059182449E-2</v>
      </c>
      <c r="BA145" s="166">
        <f t="shared" si="522"/>
        <v>-3.0520319287442498E-2</v>
      </c>
      <c r="BB145" s="166">
        <f t="shared" si="522"/>
        <v>-6.1462824586407165E-2</v>
      </c>
      <c r="BC145" s="166">
        <f t="shared" si="522"/>
        <v>-0.10051703124026969</v>
      </c>
      <c r="BD145" s="166">
        <f t="shared" si="522"/>
        <v>-0.13801788528805597</v>
      </c>
      <c r="BE145" s="166">
        <f t="shared" si="522"/>
        <v>-7.5849609826222783E-2</v>
      </c>
      <c r="BF145" s="166">
        <f t="shared" si="522"/>
        <v>-7.3901437682496796E-2</v>
      </c>
      <c r="BG145" s="166">
        <f t="shared" si="522"/>
        <v>-4.1995295470298954E-2</v>
      </c>
      <c r="BH145" s="166">
        <f t="shared" si="522"/>
        <v>-2.0292388075722194E-2</v>
      </c>
      <c r="BI145" s="166">
        <f t="shared" si="522"/>
        <v>-1.4260741877520825E-2</v>
      </c>
      <c r="BJ145" s="166">
        <f t="shared" si="522"/>
        <v>-2.1983836708348533E-3</v>
      </c>
      <c r="BK145" s="166">
        <f t="shared" si="522"/>
        <v>-9.6966339557183603E-2</v>
      </c>
      <c r="BL145" s="166">
        <f t="shared" si="522"/>
        <v>-8.9438442005608465E-2</v>
      </c>
      <c r="BM145" s="166">
        <f t="shared" si="522"/>
        <v>-6.993429957882899E-2</v>
      </c>
      <c r="BN145" s="166">
        <f t="shared" si="522"/>
        <v>-0.11089207110096506</v>
      </c>
      <c r="BO145" s="166">
        <f t="shared" si="522"/>
        <v>-9.8817107965971679E-2</v>
      </c>
      <c r="BP145" s="166">
        <f t="shared" ref="BP145:EM145" si="523">BP141/BP36</f>
        <v>-0.1273830096120504</v>
      </c>
      <c r="BQ145" s="166">
        <f t="shared" si="523"/>
        <v>-7.6192010271503033E-2</v>
      </c>
      <c r="BR145" s="166">
        <f t="shared" si="523"/>
        <v>-7.9526950468779084E-2</v>
      </c>
      <c r="BS145" s="166">
        <f t="shared" si="523"/>
        <v>-7.5073003478874717E-2</v>
      </c>
      <c r="BT145" s="166">
        <f t="shared" si="523"/>
        <v>-6.7983175828335934E-2</v>
      </c>
      <c r="BU145" s="166">
        <f t="shared" si="523"/>
        <v>-8.8382157012194179E-2</v>
      </c>
      <c r="BV145" s="166">
        <f t="shared" si="523"/>
        <v>-3.2644366574210236E-2</v>
      </c>
      <c r="BW145" s="166">
        <f t="shared" si="523"/>
        <v>-4.871211709961424E-2</v>
      </c>
      <c r="BX145" s="166">
        <f t="shared" si="523"/>
        <v>-4.0624145646812451E-2</v>
      </c>
      <c r="BY145" s="166">
        <f t="shared" si="523"/>
        <v>-2.6511931512978121E-2</v>
      </c>
      <c r="BZ145" s="166">
        <f t="shared" si="523"/>
        <v>-3.2160591023606244E-2</v>
      </c>
      <c r="CA145" s="166">
        <f t="shared" si="523"/>
        <v>-4.9705296669669476E-2</v>
      </c>
      <c r="CB145" s="166">
        <f t="shared" si="523"/>
        <v>-5.7424868954086036E-2</v>
      </c>
      <c r="CC145" s="166">
        <f t="shared" si="523"/>
        <v>-1.93729768062289E-2</v>
      </c>
      <c r="CD145" s="166">
        <f t="shared" si="523"/>
        <v>-2.7681081392092969E-2</v>
      </c>
      <c r="CE145" s="166">
        <f t="shared" si="523"/>
        <v>-1.3075642966445991E-2</v>
      </c>
      <c r="CF145" s="166">
        <f t="shared" si="523"/>
        <v>-1.008896301073044E-2</v>
      </c>
      <c r="CG145" s="166">
        <f t="shared" si="523"/>
        <v>-1.7135844285667477E-2</v>
      </c>
      <c r="CH145" s="166">
        <f t="shared" si="523"/>
        <v>5.3301951856233902E-3</v>
      </c>
      <c r="CI145" s="166">
        <f t="shared" si="523"/>
        <v>-8.6966640548707379E-3</v>
      </c>
      <c r="CJ145" s="166">
        <f t="shared" si="523"/>
        <v>-1.1116571347589638E-2</v>
      </c>
      <c r="CK145" s="166">
        <f t="shared" si="523"/>
        <v>-5.0054880878085198E-3</v>
      </c>
      <c r="CL145" s="166">
        <f t="shared" si="523"/>
        <v>-3.9816415404082244E-3</v>
      </c>
      <c r="CM145" s="166">
        <f t="shared" si="523"/>
        <v>-8.3186201052648755E-3</v>
      </c>
      <c r="CN145" s="166">
        <f t="shared" si="523"/>
        <v>-1.9436674146999566E-2</v>
      </c>
      <c r="CO145" s="166">
        <f t="shared" si="523"/>
        <v>-4.6534999465129021E-3</v>
      </c>
      <c r="CP145" s="166">
        <f t="shared" si="523"/>
        <v>-2.146185428269793E-3</v>
      </c>
      <c r="CQ145" s="166">
        <f t="shared" si="523"/>
        <v>6.6911291364062609E-3</v>
      </c>
      <c r="CR145" s="166">
        <f t="shared" si="523"/>
        <v>7.5110236143294418E-3</v>
      </c>
      <c r="CS145" s="166">
        <f t="shared" si="523"/>
        <v>-7.0818000138336374E-3</v>
      </c>
      <c r="CT145" s="166">
        <f t="shared" si="523"/>
        <v>-7.584166507713457E-3</v>
      </c>
      <c r="CU145" s="166">
        <f t="shared" si="523"/>
        <v>-9.4576177661820891E-4</v>
      </c>
      <c r="CV145" s="166">
        <f t="shared" si="523"/>
        <v>-2.6469028796320968E-3</v>
      </c>
      <c r="CW145" s="166">
        <f t="shared" si="523"/>
        <v>-2.9759278811369214E-3</v>
      </c>
      <c r="CX145" s="166">
        <f t="shared" si="523"/>
        <v>5.3620260296348777E-3</v>
      </c>
      <c r="CY145" s="166">
        <f t="shared" si="523"/>
        <v>-8.4614416022281824E-3</v>
      </c>
      <c r="CZ145" s="166">
        <f t="shared" si="523"/>
        <v>-1.16946937321806E-2</v>
      </c>
      <c r="DA145" s="166">
        <f t="shared" si="523"/>
        <v>8.0766591639929112E-3</v>
      </c>
      <c r="DB145" s="166">
        <f t="shared" si="523"/>
        <v>1.1238693230328902E-4</v>
      </c>
      <c r="DC145" s="166">
        <f t="shared" si="523"/>
        <v>2.3298798218021988E-2</v>
      </c>
      <c r="DD145" s="166">
        <f t="shared" si="523"/>
        <v>2.7641891435738718E-2</v>
      </c>
      <c r="DE145" s="166">
        <f t="shared" si="523"/>
        <v>1.6366956016891331E-2</v>
      </c>
      <c r="DF145" s="166">
        <f t="shared" si="523"/>
        <v>3.1364073194400516E-2</v>
      </c>
      <c r="DG145" s="166">
        <f t="shared" si="523"/>
        <v>1.2382096812725719E-2</v>
      </c>
      <c r="DH145" s="166">
        <f t="shared" si="523"/>
        <v>1.1000252215961917E-2</v>
      </c>
      <c r="DI145" s="166">
        <f t="shared" si="523"/>
        <v>1.0263144525236004E-2</v>
      </c>
      <c r="DJ145" s="166">
        <f t="shared" si="523"/>
        <v>1.7825394885918455E-2</v>
      </c>
      <c r="DK145" s="166">
        <f t="shared" si="523"/>
        <v>5.1470792983415881E-3</v>
      </c>
      <c r="DL145" s="166">
        <f t="shared" si="523"/>
        <v>1.6643284510783473E-3</v>
      </c>
      <c r="DM145" s="166">
        <f t="shared" si="523"/>
        <v>1.9715291572228236E-2</v>
      </c>
      <c r="DN145" s="166">
        <f t="shared" si="523"/>
        <v>1.1949686829343976E-2</v>
      </c>
      <c r="DO145" s="166">
        <f t="shared" si="523"/>
        <v>3.2570896109044817E-2</v>
      </c>
      <c r="DP145" s="166">
        <f t="shared" si="523"/>
        <v>3.6137612679452112E-2</v>
      </c>
      <c r="DQ145" s="166">
        <f t="shared" si="523"/>
        <v>2.5674996342916936E-2</v>
      </c>
      <c r="DR145" s="166">
        <f t="shared" si="523"/>
        <v>3.8647064501060056E-2</v>
      </c>
      <c r="DS145" s="166">
        <f t="shared" ref="DS145:ED145" si="524">DS141/DS36</f>
        <v>1.7807402381816387E-2</v>
      </c>
      <c r="DT145" s="166">
        <f t="shared" si="524"/>
        <v>1.6459549435594942E-2</v>
      </c>
      <c r="DU145" s="166">
        <f t="shared" si="524"/>
        <v>1.5727529096191545E-2</v>
      </c>
      <c r="DV145" s="166">
        <f t="shared" si="524"/>
        <v>2.27232118627997E-2</v>
      </c>
      <c r="DW145" s="166">
        <f t="shared" si="524"/>
        <v>1.0819948659951341E-2</v>
      </c>
      <c r="DX145" s="166">
        <f t="shared" si="524"/>
        <v>7.5900052600756445E-3</v>
      </c>
      <c r="DY145" s="166">
        <f t="shared" si="524"/>
        <v>2.4319428080863143E-2</v>
      </c>
      <c r="DZ145" s="166">
        <f t="shared" si="524"/>
        <v>1.7055288592911909E-2</v>
      </c>
      <c r="EA145" s="166">
        <f t="shared" si="524"/>
        <v>3.6374924033609063E-2</v>
      </c>
      <c r="EB145" s="166">
        <f t="shared" si="524"/>
        <v>3.9724547022914329E-2</v>
      </c>
      <c r="EC145" s="166">
        <f t="shared" si="524"/>
        <v>2.9847414920612481E-2</v>
      </c>
      <c r="ED145" s="166">
        <f t="shared" si="524"/>
        <v>4.1962234734638705E-2</v>
      </c>
      <c r="EE145" s="168"/>
      <c r="EF145" s="166">
        <f t="shared" si="523"/>
        <v>-8.5196350538955717E-2</v>
      </c>
      <c r="EG145" s="166">
        <f t="shared" si="523"/>
        <v>-0.11244707456056785</v>
      </c>
      <c r="EH145" s="166">
        <f t="shared" si="523"/>
        <v>-7.6947822789605727E-2</v>
      </c>
      <c r="EI145" s="166">
        <f t="shared" si="523"/>
        <v>-6.0780039148929967E-2</v>
      </c>
      <c r="EJ145" s="166">
        <f t="shared" si="523"/>
        <v>-3.8281582935659753E-2</v>
      </c>
      <c r="EK145" s="166">
        <f t="shared" si="523"/>
        <v>-1.0468468082393906E-2</v>
      </c>
      <c r="EL145" s="166">
        <f t="shared" si="523"/>
        <v>-1.9619222477576366E-2</v>
      </c>
      <c r="EM145" s="166">
        <f t="shared" si="523"/>
        <v>-6.2538531762824671E-3</v>
      </c>
      <c r="EN145" s="166">
        <f t="shared" ref="EN145:FI145" si="525">EN141/EN36</f>
        <v>-8.2615418850351813E-3</v>
      </c>
      <c r="EO145" s="166">
        <f t="shared" si="525"/>
        <v>-1.0468468082393906E-2</v>
      </c>
      <c r="EP145" s="166">
        <f t="shared" si="525"/>
        <v>3.2668245388899942E-4</v>
      </c>
      <c r="EQ145" s="166">
        <f t="shared" si="525"/>
        <v>-2.3463625310842246E-3</v>
      </c>
      <c r="ER145" s="166">
        <f t="shared" si="525"/>
        <v>-2.1846299954197223E-3</v>
      </c>
      <c r="ES145" s="166">
        <f t="shared" si="525"/>
        <v>-4.5606281415835025E-3</v>
      </c>
      <c r="ET145" s="166">
        <f t="shared" si="525"/>
        <v>1.1295323336703267E-2</v>
      </c>
      <c r="EU145" s="166">
        <f t="shared" si="525"/>
        <v>2.5479197249700818E-2</v>
      </c>
      <c r="EV145" s="166">
        <f t="shared" si="525"/>
        <v>1.1220406604805527E-2</v>
      </c>
      <c r="EW145" s="166">
        <f t="shared" si="525"/>
        <v>8.5691938752467459E-3</v>
      </c>
      <c r="EX145" s="166">
        <f t="shared" si="525"/>
        <v>2.2102609430393296E-2</v>
      </c>
      <c r="EY145" s="166">
        <f t="shared" si="525"/>
        <v>3.3790229514345814E-2</v>
      </c>
      <c r="EZ145" s="166">
        <f t="shared" si="525"/>
        <v>1.6670165615064823E-2</v>
      </c>
      <c r="FA145" s="166">
        <f t="shared" si="525"/>
        <v>1.4043283112970701E-2</v>
      </c>
      <c r="FB145" s="166">
        <f t="shared" si="525"/>
        <v>2.6564250093582219E-2</v>
      </c>
      <c r="FC145" s="166">
        <f t="shared" si="525"/>
        <v>3.7462216748820901E-2</v>
      </c>
      <c r="FE145" s="166">
        <f t="shared" si="525"/>
        <v>-8.3170365329182441E-2</v>
      </c>
      <c r="FF145" s="166">
        <f t="shared" si="525"/>
        <v>-1.7050358162796184E-2</v>
      </c>
      <c r="FG145" s="166">
        <f t="shared" si="525"/>
        <v>-4.7008433199799329E-3</v>
      </c>
      <c r="FH145" s="166">
        <f t="shared" si="525"/>
        <v>8.726985569635819E-3</v>
      </c>
      <c r="FI145" s="166">
        <f t="shared" si="525"/>
        <v>1.985823470281296E-2</v>
      </c>
      <c r="FJ145" s="166">
        <f t="shared" si="493"/>
        <v>9.4739915570438649E-2</v>
      </c>
    </row>
  </sheetData>
  <pageMargins left="0.7" right="0.7" top="0.75" bottom="0.75" header="0.3" footer="0.3"/>
  <pageSetup orientation="portrait" r:id="rId1"/>
  <ignoredErrors>
    <ignoredError sqref="L67:DQ6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74CC-6C9E-4731-8201-C6EFD303A5B7}">
  <sheetPr>
    <tabColor theme="7" tint="0.59999389629810485"/>
  </sheetPr>
  <dimension ref="B2:FJ51"/>
  <sheetViews>
    <sheetView showGridLines="0" zoomScale="84" workbookViewId="0">
      <pane xSplit="2" ySplit="2" topLeftCell="ED3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baseColWidth="10" defaultColWidth="8.6640625" defaultRowHeight="15" x14ac:dyDescent="0.2"/>
  <cols>
    <col min="1" max="1" width="2.6640625" customWidth="1"/>
    <col min="2" max="2" width="33.6640625" bestFit="1" customWidth="1"/>
    <col min="3" max="134" width="15.6640625" customWidth="1"/>
    <col min="136" max="140" width="14.1640625" bestFit="1" customWidth="1"/>
    <col min="141" max="155" width="13.33203125" bestFit="1" customWidth="1"/>
    <col min="156" max="159" width="13.33203125" customWidth="1"/>
    <col min="161" max="163" width="13.33203125" bestFit="1" customWidth="1"/>
    <col min="164" max="165" width="14.33203125" bestFit="1" customWidth="1"/>
    <col min="166" max="166" width="14.33203125" customWidth="1"/>
  </cols>
  <sheetData>
    <row r="2" spans="2:166" x14ac:dyDescent="0.2">
      <c r="B2" s="136" t="s">
        <v>167</v>
      </c>
      <c r="C2" s="2">
        <v>43208</v>
      </c>
      <c r="D2" s="2">
        <v>43238</v>
      </c>
      <c r="E2" s="2">
        <v>43269</v>
      </c>
      <c r="F2" s="2">
        <v>43282</v>
      </c>
      <c r="G2" s="2">
        <v>43313</v>
      </c>
      <c r="H2" s="2">
        <v>43344</v>
      </c>
      <c r="I2" s="2">
        <v>43374</v>
      </c>
      <c r="J2" s="2">
        <v>43405</v>
      </c>
      <c r="K2" s="2">
        <v>43435</v>
      </c>
      <c r="L2" s="2">
        <v>43466</v>
      </c>
      <c r="M2" s="2">
        <v>43497</v>
      </c>
      <c r="N2" s="2">
        <v>43525</v>
      </c>
      <c r="O2" s="2">
        <v>43556</v>
      </c>
      <c r="P2" s="2">
        <v>43586</v>
      </c>
      <c r="Q2" s="2">
        <v>43617</v>
      </c>
      <c r="R2" s="2">
        <v>43647</v>
      </c>
      <c r="S2" s="2">
        <v>43678</v>
      </c>
      <c r="T2" s="2">
        <v>43709</v>
      </c>
      <c r="U2" s="2">
        <v>43740</v>
      </c>
      <c r="V2" s="2">
        <v>43771</v>
      </c>
      <c r="W2" s="2">
        <v>43802</v>
      </c>
      <c r="X2" s="2">
        <v>43833</v>
      </c>
      <c r="Y2" s="2">
        <v>43864</v>
      </c>
      <c r="Z2" s="2">
        <v>43895</v>
      </c>
      <c r="AA2" s="2">
        <v>43926</v>
      </c>
      <c r="AB2" s="2">
        <v>43957</v>
      </c>
      <c r="AC2" s="2">
        <v>43988</v>
      </c>
      <c r="AD2" s="2">
        <v>44019</v>
      </c>
      <c r="AE2" s="2">
        <v>44050</v>
      </c>
      <c r="AF2" s="2">
        <v>44081</v>
      </c>
      <c r="AG2" s="2">
        <v>44112</v>
      </c>
      <c r="AH2" s="2">
        <v>44143</v>
      </c>
      <c r="AI2" s="2">
        <v>44174</v>
      </c>
      <c r="AJ2" s="2">
        <v>44205</v>
      </c>
      <c r="AK2" s="2">
        <v>44236</v>
      </c>
      <c r="AL2" s="2">
        <v>44267</v>
      </c>
      <c r="AM2" s="2">
        <v>44298</v>
      </c>
      <c r="AN2" s="2">
        <v>44329</v>
      </c>
      <c r="AO2" s="2">
        <v>44360</v>
      </c>
      <c r="AP2" s="2">
        <v>44391</v>
      </c>
      <c r="AQ2" s="2">
        <v>44422</v>
      </c>
      <c r="AR2" s="2">
        <v>44453</v>
      </c>
      <c r="AS2" s="2">
        <v>44484</v>
      </c>
      <c r="AT2" s="2">
        <v>44515</v>
      </c>
      <c r="AU2" s="2">
        <v>44546</v>
      </c>
      <c r="AV2" s="2">
        <v>44577</v>
      </c>
      <c r="AW2" s="2">
        <v>44608</v>
      </c>
      <c r="AX2" s="2">
        <v>44639</v>
      </c>
      <c r="AY2" s="2">
        <v>44670</v>
      </c>
      <c r="AZ2" s="2">
        <v>44701</v>
      </c>
      <c r="BA2" s="2">
        <v>44732</v>
      </c>
      <c r="BB2" s="2">
        <v>44763</v>
      </c>
      <c r="BC2" s="2">
        <v>44794</v>
      </c>
      <c r="BD2" s="2">
        <v>44825</v>
      </c>
      <c r="BE2" s="2">
        <v>44856</v>
      </c>
      <c r="BF2" s="2">
        <v>44887</v>
      </c>
      <c r="BG2" s="2">
        <v>44918</v>
      </c>
      <c r="BH2" s="2">
        <v>44949</v>
      </c>
      <c r="BI2" s="2">
        <v>44980</v>
      </c>
      <c r="BJ2" s="2">
        <v>45011</v>
      </c>
      <c r="BK2" s="2">
        <v>45042</v>
      </c>
      <c r="BL2" s="2">
        <v>45073</v>
      </c>
      <c r="BM2" s="2">
        <v>45104</v>
      </c>
      <c r="BN2" s="2">
        <v>45135</v>
      </c>
      <c r="BO2" s="2">
        <v>45166</v>
      </c>
      <c r="BP2" s="2">
        <v>45197</v>
      </c>
      <c r="BQ2" s="2">
        <v>45228</v>
      </c>
      <c r="BR2" s="2">
        <v>45259</v>
      </c>
      <c r="BS2" s="2">
        <v>45290</v>
      </c>
      <c r="BT2" s="2">
        <v>45321</v>
      </c>
      <c r="BU2" s="2">
        <v>45351</v>
      </c>
      <c r="BV2" s="2">
        <v>45381</v>
      </c>
      <c r="BW2" s="2">
        <v>45411</v>
      </c>
      <c r="BX2" s="2">
        <v>45441</v>
      </c>
      <c r="BY2" s="2">
        <v>45471</v>
      </c>
      <c r="BZ2" s="2">
        <v>45501</v>
      </c>
      <c r="CA2" s="2">
        <v>45531</v>
      </c>
      <c r="CB2" s="2">
        <v>45561</v>
      </c>
      <c r="CC2" s="2">
        <v>45591</v>
      </c>
      <c r="CD2" s="2">
        <v>45621</v>
      </c>
      <c r="CE2" s="2">
        <v>45651</v>
      </c>
      <c r="CF2" s="2">
        <v>45681</v>
      </c>
      <c r="CG2" s="2">
        <v>45711</v>
      </c>
      <c r="CH2" s="2">
        <v>45741</v>
      </c>
      <c r="CI2" s="2">
        <v>45771</v>
      </c>
      <c r="CJ2" s="2">
        <v>45801</v>
      </c>
      <c r="CK2" s="2">
        <v>45831</v>
      </c>
      <c r="CL2" s="2">
        <v>45861</v>
      </c>
      <c r="CM2" s="2">
        <v>45891</v>
      </c>
      <c r="CN2" s="2">
        <v>45921</v>
      </c>
      <c r="CO2" s="2">
        <v>45951</v>
      </c>
      <c r="CP2" s="2">
        <v>45981</v>
      </c>
      <c r="CQ2" s="2">
        <v>46011</v>
      </c>
      <c r="CR2" s="2">
        <f>CQ2+30</f>
        <v>46041</v>
      </c>
      <c r="CS2" s="2">
        <f t="shared" ref="CS2:DR2" si="0">CR2+30</f>
        <v>46071</v>
      </c>
      <c r="CT2" s="2">
        <f t="shared" si="0"/>
        <v>46101</v>
      </c>
      <c r="CU2" s="2">
        <f t="shared" si="0"/>
        <v>46131</v>
      </c>
      <c r="CV2" s="2">
        <f t="shared" si="0"/>
        <v>46161</v>
      </c>
      <c r="CW2" s="2">
        <f t="shared" si="0"/>
        <v>46191</v>
      </c>
      <c r="CX2" s="2">
        <f t="shared" si="0"/>
        <v>46221</v>
      </c>
      <c r="CY2" s="2">
        <f t="shared" si="0"/>
        <v>46251</v>
      </c>
      <c r="CZ2" s="2">
        <f t="shared" si="0"/>
        <v>46281</v>
      </c>
      <c r="DA2" s="2">
        <f t="shared" si="0"/>
        <v>46311</v>
      </c>
      <c r="DB2" s="2">
        <f t="shared" si="0"/>
        <v>46341</v>
      </c>
      <c r="DC2" s="2">
        <f t="shared" si="0"/>
        <v>46371</v>
      </c>
      <c r="DD2" s="2">
        <f t="shared" si="0"/>
        <v>46401</v>
      </c>
      <c r="DE2" s="2">
        <f t="shared" si="0"/>
        <v>46431</v>
      </c>
      <c r="DF2" s="2">
        <f t="shared" si="0"/>
        <v>46461</v>
      </c>
      <c r="DG2" s="2">
        <f t="shared" si="0"/>
        <v>46491</v>
      </c>
      <c r="DH2" s="2">
        <f t="shared" si="0"/>
        <v>46521</v>
      </c>
      <c r="DI2" s="2">
        <f t="shared" si="0"/>
        <v>46551</v>
      </c>
      <c r="DJ2" s="2">
        <f t="shared" si="0"/>
        <v>46581</v>
      </c>
      <c r="DK2" s="2">
        <f t="shared" si="0"/>
        <v>46611</v>
      </c>
      <c r="DL2" s="2">
        <f t="shared" si="0"/>
        <v>46641</v>
      </c>
      <c r="DM2" s="2">
        <f t="shared" si="0"/>
        <v>46671</v>
      </c>
      <c r="DN2" s="2">
        <f t="shared" si="0"/>
        <v>46701</v>
      </c>
      <c r="DO2" s="2">
        <f t="shared" si="0"/>
        <v>46731</v>
      </c>
      <c r="DP2" s="2">
        <f t="shared" si="0"/>
        <v>46761</v>
      </c>
      <c r="DQ2" s="2">
        <f t="shared" si="0"/>
        <v>46791</v>
      </c>
      <c r="DR2" s="2">
        <f t="shared" si="0"/>
        <v>46821</v>
      </c>
      <c r="DS2" s="2">
        <f t="shared" ref="DS2" si="1">DR2+30</f>
        <v>46851</v>
      </c>
      <c r="DT2" s="2">
        <f t="shared" ref="DT2" si="2">DS2+30</f>
        <v>46881</v>
      </c>
      <c r="DU2" s="2">
        <f t="shared" ref="DU2" si="3">DT2+30</f>
        <v>46911</v>
      </c>
      <c r="DV2" s="2">
        <f t="shared" ref="DV2" si="4">DU2+30</f>
        <v>46941</v>
      </c>
      <c r="DW2" s="2">
        <f t="shared" ref="DW2" si="5">DV2+30</f>
        <v>46971</v>
      </c>
      <c r="DX2" s="2">
        <f t="shared" ref="DX2" si="6">DW2+30</f>
        <v>47001</v>
      </c>
      <c r="DY2" s="2">
        <f t="shared" ref="DY2" si="7">DX2+30</f>
        <v>47031</v>
      </c>
      <c r="DZ2" s="2">
        <f t="shared" ref="DZ2" si="8">DY2+30</f>
        <v>47061</v>
      </c>
      <c r="EA2" s="2">
        <f t="shared" ref="EA2" si="9">DZ2+30</f>
        <v>47091</v>
      </c>
      <c r="EB2" s="2">
        <f t="shared" ref="EB2" si="10">EA2+30</f>
        <v>47121</v>
      </c>
      <c r="EC2" s="2">
        <f t="shared" ref="EC2" si="11">EB2+30</f>
        <v>47151</v>
      </c>
      <c r="ED2" s="2">
        <f t="shared" ref="ED2" si="12">EC2+30</f>
        <v>47181</v>
      </c>
      <c r="EF2" s="291" t="s">
        <v>77</v>
      </c>
      <c r="EG2" s="291" t="s">
        <v>78</v>
      </c>
      <c r="EH2" s="291" t="s">
        <v>79</v>
      </c>
      <c r="EI2" s="291" t="s">
        <v>80</v>
      </c>
      <c r="EJ2" s="291" t="s">
        <v>81</v>
      </c>
      <c r="EK2" s="291" t="s">
        <v>82</v>
      </c>
      <c r="EL2" s="291" t="s">
        <v>83</v>
      </c>
      <c r="EM2" s="291" t="s">
        <v>84</v>
      </c>
      <c r="EN2" s="291" t="s">
        <v>85</v>
      </c>
      <c r="EO2" s="291" t="s">
        <v>86</v>
      </c>
      <c r="EP2" s="291" t="s">
        <v>87</v>
      </c>
      <c r="EQ2" s="291" t="s">
        <v>88</v>
      </c>
      <c r="ER2" s="291" t="s">
        <v>117</v>
      </c>
      <c r="ES2" s="291" t="s">
        <v>118</v>
      </c>
      <c r="ET2" s="291" t="s">
        <v>119</v>
      </c>
      <c r="EU2" s="291" t="s">
        <v>120</v>
      </c>
      <c r="EV2" s="291" t="s">
        <v>121</v>
      </c>
      <c r="EW2" s="291" t="s">
        <v>122</v>
      </c>
      <c r="EX2" s="291" t="s">
        <v>123</v>
      </c>
      <c r="EY2" s="291" t="s">
        <v>124</v>
      </c>
      <c r="EZ2" s="291" t="s">
        <v>583</v>
      </c>
      <c r="FA2" s="291" t="s">
        <v>584</v>
      </c>
      <c r="FB2" s="291" t="s">
        <v>585</v>
      </c>
      <c r="FC2" s="291" t="s">
        <v>581</v>
      </c>
      <c r="FE2" s="291" t="s">
        <v>486</v>
      </c>
      <c r="FF2" s="291" t="s">
        <v>128</v>
      </c>
      <c r="FG2" s="291" t="s">
        <v>125</v>
      </c>
      <c r="FH2" s="291" t="s">
        <v>126</v>
      </c>
      <c r="FI2" s="291" t="s">
        <v>127</v>
      </c>
      <c r="FJ2" s="291" t="s">
        <v>582</v>
      </c>
    </row>
    <row r="3" spans="2:166" x14ac:dyDescent="0.2">
      <c r="B3" s="23" t="s">
        <v>168</v>
      </c>
      <c r="C3" s="18">
        <f>'P&amp;L - Inputs'!B327</f>
        <v>71270131.644141346</v>
      </c>
      <c r="D3" s="18">
        <f>'P&amp;L - Inputs'!C327</f>
        <v>92247410</v>
      </c>
      <c r="E3" s="18">
        <f>'P&amp;L - Inputs'!D327</f>
        <v>80512562</v>
      </c>
      <c r="F3" s="18">
        <f>'P&amp;L - Inputs'!E327</f>
        <v>66231280</v>
      </c>
      <c r="G3" s="18">
        <f>'P&amp;L - Inputs'!F327</f>
        <v>40103506</v>
      </c>
      <c r="H3" s="18">
        <f>'P&amp;L - Inputs'!G327</f>
        <v>27837941</v>
      </c>
      <c r="I3" s="18">
        <f>'P&amp;L - Inputs'!H327</f>
        <v>33141999</v>
      </c>
      <c r="J3" s="18">
        <f>'P&amp;L - Inputs'!I327</f>
        <v>31956623</v>
      </c>
      <c r="K3" s="18">
        <f>'P&amp;L - Inputs'!J327</f>
        <v>33593105</v>
      </c>
      <c r="L3" s="18">
        <f>'P&amp;L - Inputs'!K327</f>
        <v>34836719</v>
      </c>
      <c r="M3" s="18">
        <f>'P&amp;L - Inputs'!L327</f>
        <v>32068866</v>
      </c>
      <c r="N3" s="18">
        <f>'P&amp;L - Inputs'!M327</f>
        <v>34657352</v>
      </c>
      <c r="O3" s="18">
        <f>'P&amp;L - Inputs'!N327</f>
        <v>33048358</v>
      </c>
      <c r="P3" s="18">
        <f>'P&amp;L - Inputs'!O327</f>
        <v>39205134</v>
      </c>
      <c r="Q3" s="18">
        <f>'P&amp;L - Inputs'!P327</f>
        <v>38218846</v>
      </c>
      <c r="R3" s="18">
        <f>'P&amp;L - Inputs'!Q327</f>
        <v>41865167</v>
      </c>
      <c r="S3" s="18">
        <f>'P&amp;L - Inputs'!R327</f>
        <v>43946303</v>
      </c>
      <c r="T3" s="18">
        <f>'P&amp;L - Inputs'!S327</f>
        <v>47552402</v>
      </c>
      <c r="U3" s="18">
        <f>'P&amp;L - Inputs'!T327</f>
        <v>60751537</v>
      </c>
      <c r="V3" s="18">
        <f>'P&amp;L - Inputs'!U327</f>
        <v>47363757</v>
      </c>
      <c r="W3" s="18">
        <f>'P&amp;L - Inputs'!V327</f>
        <v>47939667.745729305</v>
      </c>
      <c r="X3" s="18">
        <f>'P&amp;L - Inputs'!W327</f>
        <v>57555452</v>
      </c>
      <c r="Y3" s="18">
        <f>'P&amp;L - Inputs'!X327</f>
        <v>52021865</v>
      </c>
      <c r="Z3" s="18">
        <f>'P&amp;L - Inputs'!Y327</f>
        <v>43950013</v>
      </c>
      <c r="AA3" s="18">
        <f>'P&amp;L - Inputs'!Z327</f>
        <v>1299063</v>
      </c>
      <c r="AB3" s="18">
        <f>'P&amp;L - Inputs'!AA327</f>
        <v>24854297</v>
      </c>
      <c r="AC3" s="18">
        <f>'P&amp;L - Inputs'!AB327</f>
        <v>77955180</v>
      </c>
      <c r="AD3" s="18">
        <f>'P&amp;L - Inputs'!AC327</f>
        <v>116955847</v>
      </c>
      <c r="AE3" s="18">
        <f>'P&amp;L - Inputs'!AD327</f>
        <v>145030466</v>
      </c>
      <c r="AF3" s="18">
        <f>'P&amp;L - Inputs'!AE327</f>
        <v>147111137</v>
      </c>
      <c r="AG3" s="18">
        <f>'P&amp;L - Inputs'!AF327</f>
        <v>175182084</v>
      </c>
      <c r="AH3" s="18">
        <f>'P&amp;L - Inputs'!AG327</f>
        <v>138930600</v>
      </c>
      <c r="AI3" s="18">
        <f>'P&amp;L - Inputs'!AH327</f>
        <v>125718110</v>
      </c>
      <c r="AJ3" s="18">
        <f>'P&amp;L - Inputs'!AI327</f>
        <v>148093328</v>
      </c>
      <c r="AK3" s="18">
        <f>'P&amp;L - Inputs'!AJ327</f>
        <v>127905470</v>
      </c>
      <c r="AL3" s="18">
        <f>'P&amp;L - Inputs'!AK327</f>
        <v>147564948</v>
      </c>
      <c r="AM3" s="18">
        <f>'P&amp;L - Inputs'!AL327</f>
        <v>107723268</v>
      </c>
      <c r="AN3" s="18">
        <f>'P&amp;L - Inputs'!AM327</f>
        <v>47966856</v>
      </c>
      <c r="AO3" s="18">
        <f>'P&amp;L - Inputs'!AN327</f>
        <v>138659913</v>
      </c>
      <c r="AP3" s="18">
        <f>'P&amp;L - Inputs'!AO327</f>
        <v>182022957</v>
      </c>
      <c r="AQ3" s="18">
        <f>'P&amp;L - Inputs'!AP327</f>
        <v>211585543</v>
      </c>
      <c r="AR3" s="18">
        <f>'P&amp;L - Inputs'!AQ327</f>
        <v>230081321</v>
      </c>
      <c r="AS3" s="18">
        <f>'P&amp;L - Inputs'!AR327</f>
        <v>319577784</v>
      </c>
      <c r="AT3" s="18">
        <f>'P&amp;L - Inputs'!AS327</f>
        <v>215826925</v>
      </c>
      <c r="AU3" s="18">
        <f>'P&amp;L - Inputs'!AT327</f>
        <v>234772415</v>
      </c>
      <c r="AV3" s="18">
        <f>'P&amp;L - Inputs'!AU327</f>
        <v>259779566</v>
      </c>
      <c r="AW3" s="18">
        <f>'P&amp;L - Inputs'!AV327</f>
        <v>225664202</v>
      </c>
      <c r="AX3" s="18">
        <f>'P&amp;L - Inputs'!AW327</f>
        <v>302732394</v>
      </c>
      <c r="AY3" s="18">
        <f>'P&amp;L - Inputs'!AX327</f>
        <v>262685366</v>
      </c>
      <c r="AZ3" s="18">
        <f>'P&amp;L - Inputs'!AY327</f>
        <v>247150228</v>
      </c>
      <c r="BA3" s="18">
        <f>'P&amp;L - Inputs'!AZ327</f>
        <v>273600413</v>
      </c>
      <c r="BB3" s="18">
        <f>'P&amp;L - Inputs'!BA327</f>
        <v>257624651</v>
      </c>
      <c r="BC3" s="18">
        <f>'P&amp;L - Inputs'!BB327</f>
        <v>260575667</v>
      </c>
      <c r="BD3" s="18">
        <f>'P&amp;L - Inputs'!BC327</f>
        <v>334053466</v>
      </c>
      <c r="BE3" s="18">
        <f>'P&amp;L - Inputs'!BD327</f>
        <v>350649447</v>
      </c>
      <c r="BF3" s="18">
        <f>'P&amp;L - Inputs'!BE327</f>
        <v>265938887</v>
      </c>
      <c r="BG3" s="18">
        <f>'P&amp;L - Inputs'!BF327</f>
        <v>290870377</v>
      </c>
      <c r="BH3" s="18">
        <f>'P&amp;L - Inputs'!BG327</f>
        <v>330681913</v>
      </c>
      <c r="BI3" s="18">
        <f>'P&amp;L - Inputs'!BH327</f>
        <v>301021717</v>
      </c>
      <c r="BJ3" s="18">
        <f>'P&amp;L - Inputs'!BI327</f>
        <v>346697577</v>
      </c>
      <c r="BK3" s="18">
        <f>'P&amp;L - Inputs'!BJ327</f>
        <v>358323663</v>
      </c>
      <c r="BL3" s="18">
        <f>'P&amp;L - Inputs'!BK327</f>
        <v>355490399</v>
      </c>
      <c r="BM3" s="18">
        <f>'P&amp;L - Inputs'!BL327</f>
        <v>358300066</v>
      </c>
      <c r="BN3" s="18">
        <f>'P&amp;L - Inputs'!BM327</f>
        <v>391053006</v>
      </c>
      <c r="BO3" s="18">
        <f>'P&amp;L - Inputs'!BN327</f>
        <v>403553071</v>
      </c>
      <c r="BP3" s="18">
        <f>'P&amp;L - Inputs'!BO327</f>
        <v>354056114</v>
      </c>
      <c r="BQ3" s="18">
        <f>'P&amp;L - Inputs'!BP327</f>
        <v>535096186</v>
      </c>
      <c r="BR3" s="18">
        <f>'P&amp;L - Inputs'!BQ327</f>
        <v>419031748</v>
      </c>
      <c r="BS3" s="18">
        <f>'P&amp;L - Inputs'!BR327</f>
        <v>417172119</v>
      </c>
      <c r="BT3" s="18">
        <f>'P&amp;L - Inputs'!BS327</f>
        <v>494989573</v>
      </c>
      <c r="BU3" s="18">
        <f>'P&amp;L - Inputs'!BT327</f>
        <v>424185625</v>
      </c>
      <c r="BV3" s="18">
        <f>'P&amp;L - Inputs'!BU327</f>
        <v>423902506</v>
      </c>
      <c r="BW3" s="18">
        <f>'P&amp;L - Inputs'!BV327</f>
        <v>400542527</v>
      </c>
      <c r="BX3" s="18">
        <f>'P&amp;L - Inputs'!BW327</f>
        <v>465434152</v>
      </c>
      <c r="BY3" s="18">
        <f>'P&amp;L - Inputs'!BX327</f>
        <v>424115527</v>
      </c>
      <c r="BZ3" s="18">
        <f>'P&amp;L - Inputs'!BY327</f>
        <v>516742424</v>
      </c>
      <c r="CA3" s="18">
        <f>'P&amp;L - Inputs'!BZ327</f>
        <v>461541464</v>
      </c>
      <c r="CB3" s="18">
        <f>'P&amp;L - Inputs'!CA327</f>
        <v>436030374</v>
      </c>
      <c r="CC3" s="18">
        <f>'P&amp;L - Inputs'!CB327</f>
        <v>612890852</v>
      </c>
      <c r="CD3" s="18">
        <f>'P&amp;L - Inputs'!CC327</f>
        <v>493867798</v>
      </c>
      <c r="CE3" s="18">
        <f>'P&amp;L - Inputs'!CD327</f>
        <v>510320215</v>
      </c>
      <c r="CF3" s="18">
        <f>'P&amp;L - Inputs'!CE327</f>
        <v>550182363</v>
      </c>
      <c r="CG3" s="18">
        <f>'P&amp;L - Inputs'!CF327</f>
        <v>597158559</v>
      </c>
      <c r="CH3" s="18">
        <f>'P&amp;L - Inputs'!CG327</f>
        <v>525220211</v>
      </c>
      <c r="CI3" s="18">
        <f>'P&amp;L - Inputs'!CH327</f>
        <v>522396489</v>
      </c>
      <c r="CJ3" s="18">
        <f>'P&amp;L - Inputs'!CI327</f>
        <v>533212781</v>
      </c>
      <c r="CK3" s="18">
        <f>'P&amp;L - Inputs'!CJ327</f>
        <v>524900246</v>
      </c>
      <c r="CL3" s="18">
        <f>'P&amp;L - Inputs'!CK327</f>
        <v>551603570</v>
      </c>
      <c r="CM3" s="18">
        <f>'P&amp;L - Inputs'!CL327</f>
        <v>491825213</v>
      </c>
      <c r="CN3" s="18">
        <f>'P&amp;L - Inputs'!CM327</f>
        <v>584148781</v>
      </c>
      <c r="CO3" s="18">
        <f>'P&amp;L - Inputs'!CN327</f>
        <v>732417296</v>
      </c>
      <c r="CP3" s="18">
        <f>'P&amp;L - Inputs'!CO327</f>
        <v>587050377</v>
      </c>
      <c r="CQ3" s="18">
        <f>'P&amp;L - Inputs'!CP327</f>
        <v>634712901</v>
      </c>
      <c r="CR3" s="18">
        <f>'P&amp;L - Inputs'!CQ327</f>
        <v>656848445</v>
      </c>
      <c r="CS3" s="18">
        <f>'P&amp;L - Inputs'!CR327</f>
        <v>588289828</v>
      </c>
      <c r="CT3" s="18">
        <f>'P&amp;L - Inputs'!CS327</f>
        <v>762976597</v>
      </c>
      <c r="CU3" s="18">
        <f>'P&amp;L - Inputs'!CT327</f>
        <v>643696810.78576148</v>
      </c>
      <c r="CV3" s="18">
        <f>'P&amp;L - Inputs'!CU327</f>
        <v>701392352.48606777</v>
      </c>
      <c r="CW3" s="18">
        <f>'P&amp;L - Inputs'!CV327</f>
        <v>693099425.07165027</v>
      </c>
      <c r="CX3" s="18">
        <f>'P&amp;L - Inputs'!CW327</f>
        <v>757786410.11744475</v>
      </c>
      <c r="CY3" s="18">
        <f>'P&amp;L - Inputs'!CX327</f>
        <v>707308189.16301954</v>
      </c>
      <c r="CZ3" s="18">
        <f>'P&amp;L - Inputs'!CY327</f>
        <v>821666690.16183674</v>
      </c>
      <c r="DA3" s="18">
        <f>'P&amp;L - Inputs'!CZ327</f>
        <v>1015684621.0324786</v>
      </c>
      <c r="DB3" s="18">
        <f>'P&amp;L - Inputs'!DA327</f>
        <v>751827549.17375171</v>
      </c>
      <c r="DC3" s="18">
        <f>'P&amp;L - Inputs'!DB327</f>
        <v>776781623.88380206</v>
      </c>
      <c r="DD3" s="18">
        <f>'P&amp;L - Inputs'!DC327</f>
        <v>814987172.75022411</v>
      </c>
      <c r="DE3" s="18">
        <f>'P&amp;L - Inputs'!DD327</f>
        <v>698778628.2815237</v>
      </c>
      <c r="DF3" s="18">
        <f>'P&amp;L - Inputs'!DE327</f>
        <v>848858026.74244344</v>
      </c>
      <c r="DG3" s="18">
        <f>'P&amp;L - Inputs'!DF327</f>
        <v>772436172.94291401</v>
      </c>
      <c r="DH3" s="18">
        <f>'P&amp;L - Inputs'!DG327</f>
        <v>841670822.98328137</v>
      </c>
      <c r="DI3" s="18">
        <f>'P&amp;L - Inputs'!DH327</f>
        <v>831719310.0859803</v>
      </c>
      <c r="DJ3" s="18">
        <f>'P&amp;L - Inputs'!DI327</f>
        <v>909343692.14093351</v>
      </c>
      <c r="DK3" s="18">
        <f>'P&amp;L - Inputs'!DJ327</f>
        <v>848769826.99562323</v>
      </c>
      <c r="DL3" s="18">
        <f>'P&amp;L - Inputs'!DK327</f>
        <v>986000028.19420397</v>
      </c>
      <c r="DM3" s="18">
        <f>'P&amp;L - Inputs'!DL327</f>
        <v>1218821545.2389746</v>
      </c>
      <c r="DN3" s="18">
        <f>'P&amp;L - Inputs'!DM327</f>
        <v>902193059.00850189</v>
      </c>
      <c r="DO3" s="18">
        <f>'P&amp;L - Inputs'!DN327</f>
        <v>932137948.66056252</v>
      </c>
      <c r="DP3" s="18">
        <f>'P&amp;L - Inputs'!DO327</f>
        <v>977984607.30026889</v>
      </c>
      <c r="DQ3" s="18">
        <f>'P&amp;L - Inputs'!DP327</f>
        <v>838534353.93782854</v>
      </c>
      <c r="DR3" s="18">
        <f>'P&amp;L - Inputs'!DQ327</f>
        <v>1018629632.090932</v>
      </c>
      <c r="DS3" s="18">
        <f>'P&amp;L - Inputs'!DR327</f>
        <v>888301598.8843509</v>
      </c>
      <c r="DT3" s="18">
        <f>'P&amp;L - Inputs'!DS327</f>
        <v>967921446.43077362</v>
      </c>
      <c r="DU3" s="18">
        <f>'P&amp;L - Inputs'!DT327</f>
        <v>956477206.59887731</v>
      </c>
      <c r="DV3" s="18">
        <f>'P&amp;L - Inputs'!DU327</f>
        <v>1045745245.9620737</v>
      </c>
      <c r="DW3" s="18">
        <f>'P&amp;L - Inputs'!DV327</f>
        <v>976085301.04496682</v>
      </c>
      <c r="DX3" s="18">
        <f>'P&amp;L - Inputs'!DW327</f>
        <v>1133900032.4233346</v>
      </c>
      <c r="DY3" s="18">
        <f>'P&amp;L - Inputs'!DX327</f>
        <v>1401644777.0248208</v>
      </c>
      <c r="DZ3" s="18">
        <f>'P&amp;L - Inputs'!DY327</f>
        <v>1037522017.8597772</v>
      </c>
      <c r="EA3" s="18">
        <f>'P&amp;L - Inputs'!DZ327</f>
        <v>1071958640.9596469</v>
      </c>
      <c r="EB3" s="18">
        <f>'P&amp;L - Inputs'!EA327</f>
        <v>1124682298.3953092</v>
      </c>
      <c r="EC3" s="18">
        <f>'P&amp;L - Inputs'!EB327</f>
        <v>964314507.02850282</v>
      </c>
      <c r="ED3" s="18">
        <f>'P&amp;L - Inputs'!EC327</f>
        <v>1171424076.904572</v>
      </c>
      <c r="EF3" s="293">
        <f>SUM(BK3:BM3)</f>
        <v>1072114128</v>
      </c>
      <c r="EG3" s="293">
        <f>SUM(BN3:BP3)</f>
        <v>1148662191</v>
      </c>
      <c r="EH3" s="293">
        <f>SUM(BQ3:BS3)</f>
        <v>1371300053</v>
      </c>
      <c r="EI3" s="293">
        <f>SUM(BT3:BV3)</f>
        <v>1343077704</v>
      </c>
      <c r="EJ3" s="293">
        <f>SUM(BW3:BY3)</f>
        <v>1290092206</v>
      </c>
      <c r="EK3" s="293">
        <f>SUM(CL3:CN3)</f>
        <v>1627577564</v>
      </c>
      <c r="EL3" s="293">
        <f>SUM(CC3:CE3)</f>
        <v>1617078865</v>
      </c>
      <c r="EM3" s="293">
        <f>SUM(CF3:CH3)</f>
        <v>1672561133</v>
      </c>
      <c r="EN3" s="293">
        <f>SUM(CI3:CK3)</f>
        <v>1580509516</v>
      </c>
      <c r="EO3" s="293">
        <f>SUM(CL3:CN3)</f>
        <v>1627577564</v>
      </c>
      <c r="EP3" s="293">
        <f>SUM(CO3:CQ3)</f>
        <v>1954180574</v>
      </c>
      <c r="EQ3" s="293">
        <f>SUM(CR3:CT3)</f>
        <v>2008114870</v>
      </c>
      <c r="ER3" s="293">
        <f>SUM(CU3:CW3)</f>
        <v>2038188588.3434794</v>
      </c>
      <c r="ES3" s="293">
        <f>SUM(CX3:CZ3)</f>
        <v>2286761289.4423008</v>
      </c>
      <c r="ET3" s="293">
        <f>SUM(DA3:DC3)</f>
        <v>2544293794.0900321</v>
      </c>
      <c r="EU3" s="293">
        <f>SUM(DD3:DF3)</f>
        <v>2362623827.7741914</v>
      </c>
      <c r="EV3" s="293">
        <f>SUM(DG3:DI3)</f>
        <v>2445826306.0121756</v>
      </c>
      <c r="EW3" s="293">
        <f>SUM(DJ3:DL3)</f>
        <v>2744113547.3307605</v>
      </c>
      <c r="EX3" s="293">
        <f>SUM(DM3:DO3)</f>
        <v>3053152552.9080391</v>
      </c>
      <c r="EY3" s="293">
        <f>SUM(DP3:DR3)</f>
        <v>2835148593.3290296</v>
      </c>
      <c r="EZ3" s="293">
        <f>SUM(DS3:DU3)</f>
        <v>2812700251.9140019</v>
      </c>
      <c r="FA3" s="293">
        <f>SUM(DV3:DX3)</f>
        <v>3155730579.4303751</v>
      </c>
      <c r="FB3" s="293">
        <f>SUM(DY3:EA3)</f>
        <v>3511125435.844245</v>
      </c>
      <c r="FC3" s="293">
        <f>SUM(EB3:ED3)</f>
        <v>3260420882.3283839</v>
      </c>
      <c r="FE3" s="293">
        <f>SUM(EF3:EI3)</f>
        <v>4935154076</v>
      </c>
      <c r="FF3" s="293">
        <f>SUM(EJ3:EM3)</f>
        <v>6207309768</v>
      </c>
      <c r="FG3" s="293">
        <f>SUM(EN3:EQ3)</f>
        <v>7170382524</v>
      </c>
      <c r="FH3" s="293">
        <f>SUM(ER3:EU3)</f>
        <v>9231867499.6500034</v>
      </c>
      <c r="FI3" s="293">
        <f>SUM(EV3:EY3)</f>
        <v>11078240999.580004</v>
      </c>
      <c r="FJ3" s="807">
        <f>SUM(EZ3:FC3)</f>
        <v>12739977149.517006</v>
      </c>
    </row>
    <row r="4" spans="2:166" x14ac:dyDescent="0.2"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A4" s="139"/>
      <c r="DB4" s="139"/>
      <c r="DC4" s="139"/>
      <c r="DD4" s="139"/>
      <c r="DE4" s="139"/>
      <c r="DF4" s="139"/>
      <c r="DG4" s="139"/>
      <c r="DH4" s="139"/>
      <c r="DI4" s="139"/>
      <c r="DJ4" s="139"/>
      <c r="DK4" s="139"/>
      <c r="DL4" s="139"/>
      <c r="DM4" s="139"/>
      <c r="DN4" s="139"/>
      <c r="DO4" s="139"/>
      <c r="DP4" s="139"/>
      <c r="DQ4" s="139"/>
      <c r="DR4" s="139"/>
      <c r="DS4" s="139"/>
      <c r="DT4" s="139"/>
      <c r="DU4" s="139"/>
      <c r="DV4" s="139"/>
      <c r="DW4" s="139"/>
      <c r="DX4" s="139"/>
      <c r="DY4" s="139"/>
      <c r="DZ4" s="139"/>
      <c r="EA4" s="139"/>
      <c r="EB4" s="139"/>
      <c r="EC4" s="139"/>
      <c r="ED4" s="139"/>
      <c r="EF4" s="165">
        <f t="shared" ref="EF4:EF50" si="13">SUM(BK4:BM4)</f>
        <v>0</v>
      </c>
      <c r="EG4" s="165">
        <f t="shared" ref="EG4:EG50" si="14">SUM(BN4:BP4)</f>
        <v>0</v>
      </c>
      <c r="EH4" s="165">
        <f t="shared" ref="EH4:EH50" si="15">SUM(BQ4:BS4)</f>
        <v>0</v>
      </c>
      <c r="EI4" s="165">
        <f t="shared" ref="EI4:EI50" si="16">SUM(BT4:BV4)</f>
        <v>0</v>
      </c>
      <c r="EJ4" s="165">
        <f t="shared" ref="EJ4:EJ50" si="17">SUM(BW4:BY4)</f>
        <v>0</v>
      </c>
      <c r="EK4" s="165">
        <f t="shared" ref="EK4:EK50" si="18">SUM(CL4:CN4)</f>
        <v>0</v>
      </c>
      <c r="EL4" s="165">
        <f t="shared" ref="EL4:EL50" si="19">SUM(CC4:CE4)</f>
        <v>0</v>
      </c>
      <c r="EM4" s="165">
        <f t="shared" ref="EM4:EM50" si="20">SUM(CF4:CH4)</f>
        <v>0</v>
      </c>
      <c r="EN4" s="165">
        <f t="shared" ref="EN4:EN50" si="21">SUM(CI4:CK4)</f>
        <v>0</v>
      </c>
      <c r="EO4" s="165">
        <f t="shared" ref="EO4:EO50" si="22">SUM(CL4:CN4)</f>
        <v>0</v>
      </c>
      <c r="EP4" s="165">
        <f t="shared" ref="EP4:EP50" si="23">SUM(CO4:CQ4)</f>
        <v>0</v>
      </c>
      <c r="EQ4" s="165">
        <f t="shared" ref="EQ4:EQ50" si="24">SUM(CR4:CT4)</f>
        <v>0</v>
      </c>
      <c r="ER4" s="165">
        <f t="shared" ref="ER4:ER50" si="25">SUM(CU4:CW4)</f>
        <v>0</v>
      </c>
      <c r="ES4" s="165">
        <f t="shared" ref="ES4:ES50" si="26">SUM(CX4:CZ4)</f>
        <v>0</v>
      </c>
      <c r="ET4" s="165">
        <f t="shared" ref="ET4:ET50" si="27">SUM(DA4:DC4)</f>
        <v>0</v>
      </c>
      <c r="EU4" s="165">
        <f t="shared" ref="EU4:EU50" si="28">SUM(DD4:DF4)</f>
        <v>0</v>
      </c>
      <c r="EV4" s="165">
        <f t="shared" ref="EV4:EV50" si="29">SUM(DG4:DI4)</f>
        <v>0</v>
      </c>
      <c r="EW4" s="165">
        <f t="shared" ref="EW4:EW50" si="30">SUM(DJ4:DL4)</f>
        <v>0</v>
      </c>
      <c r="EX4" s="165">
        <f t="shared" ref="EX4:EX50" si="31">SUM(DM4:DO4)</f>
        <v>0</v>
      </c>
      <c r="EY4" s="165">
        <f t="shared" ref="EY4:EY50" si="32">SUM(DP4:DR4)</f>
        <v>0</v>
      </c>
      <c r="EZ4" s="165">
        <f t="shared" ref="EZ4:EZ50" si="33">SUM(DS4:DU4)</f>
        <v>0</v>
      </c>
      <c r="FA4" s="165">
        <f t="shared" ref="FA4:FA50" si="34">SUM(DV4:DX4)</f>
        <v>0</v>
      </c>
      <c r="FB4" s="165">
        <f t="shared" ref="FB4:FB50" si="35">SUM(DY4:EA4)</f>
        <v>0</v>
      </c>
      <c r="FC4" s="165">
        <f t="shared" ref="FC4:FC50" si="36">SUM(EB4:ED4)</f>
        <v>0</v>
      </c>
      <c r="FE4" s="165">
        <f t="shared" ref="FE4:FE50" si="37">SUM(EF4:EI4)</f>
        <v>0</v>
      </c>
      <c r="FF4" s="165">
        <f t="shared" ref="FF4:FF50" si="38">SUM(EJ4:EM4)</f>
        <v>0</v>
      </c>
      <c r="FG4" s="165">
        <f t="shared" ref="FG4:FG50" si="39">SUM(EN4:EQ4)</f>
        <v>0</v>
      </c>
      <c r="FH4" s="165">
        <f t="shared" ref="FH4:FH50" si="40">SUM(ER4:EU4)</f>
        <v>0</v>
      </c>
      <c r="FI4" s="165">
        <f t="shared" ref="FI4:FI50" si="41">SUM(EV4:EY4)</f>
        <v>0</v>
      </c>
      <c r="FJ4" s="804">
        <f t="shared" ref="FJ4:FJ50" si="42">SUM(EZ4:FC4)</f>
        <v>0</v>
      </c>
    </row>
    <row r="5" spans="2:166" x14ac:dyDescent="0.2">
      <c r="B5" s="23" t="s">
        <v>169</v>
      </c>
      <c r="C5" s="18">
        <f>'P&amp;L - Inputs'!B329</f>
        <v>5037141.5199999996</v>
      </c>
      <c r="D5" s="18">
        <f>'P&amp;L - Inputs'!C329</f>
        <v>7483366.4799999995</v>
      </c>
      <c r="E5" s="18">
        <f>'P&amp;L - Inputs'!D329</f>
        <v>6940571.1999999993</v>
      </c>
      <c r="F5" s="18">
        <f>'P&amp;L - Inputs'!E329</f>
        <v>5992624.0999999996</v>
      </c>
      <c r="G5" s="18">
        <f>'P&amp;L - Inputs'!F329</f>
        <v>3592413.2399999998</v>
      </c>
      <c r="H5" s="18">
        <f>'P&amp;L - Inputs'!G329</f>
        <v>2666191.1199999996</v>
      </c>
      <c r="I5" s="18">
        <f>'P&amp;L - Inputs'!H329</f>
        <v>3294731.0999999996</v>
      </c>
      <c r="J5" s="18">
        <f>'P&amp;L - Inputs'!I329</f>
        <v>2948318.5</v>
      </c>
      <c r="K5" s="18">
        <f>'P&amp;L - Inputs'!J329</f>
        <v>3756528.82</v>
      </c>
      <c r="L5" s="18">
        <f>'P&amp;L - Inputs'!K329</f>
        <v>3942207.7199999997</v>
      </c>
      <c r="M5" s="18">
        <f>'P&amp;L - Inputs'!L329</f>
        <v>3494748.1799999997</v>
      </c>
      <c r="N5" s="18">
        <f>'P&amp;L - Inputs'!M329</f>
        <v>3183586.9</v>
      </c>
      <c r="O5" s="18">
        <f>'P&amp;L - Inputs'!N329</f>
        <v>3134571.0003599999</v>
      </c>
      <c r="P5" s="18">
        <f>'P&amp;L - Inputs'!O329</f>
        <v>3522761.0024000001</v>
      </c>
      <c r="Q5" s="18">
        <f>'P&amp;L - Inputs'!P329</f>
        <v>3625072</v>
      </c>
      <c r="R5" s="18">
        <f>'P&amp;L - Inputs'!Q329</f>
        <v>4126418.6999999997</v>
      </c>
      <c r="S5" s="18">
        <f>'P&amp;L - Inputs'!R329</f>
        <v>4442845.1399999997</v>
      </c>
      <c r="T5" s="18">
        <f>'P&amp;L - Inputs'!S329</f>
        <v>4465010.26</v>
      </c>
      <c r="U5" s="18">
        <f>'P&amp;L - Inputs'!T329</f>
        <v>5754935.5199999996</v>
      </c>
      <c r="V5" s="18">
        <f>'P&amp;L - Inputs'!U329</f>
        <v>4266889.4399999995</v>
      </c>
      <c r="W5" s="18">
        <f>'P&amp;L - Inputs'!V329</f>
        <v>4431723.6399999997</v>
      </c>
      <c r="X5" s="18">
        <f>'P&amp;L - Inputs'!W329</f>
        <v>5115912.42</v>
      </c>
      <c r="Y5" s="18">
        <f>'P&amp;L - Inputs'!X329</f>
        <v>4767477.3</v>
      </c>
      <c r="Z5" s="18">
        <f>'P&amp;L - Inputs'!Y329</f>
        <v>3902536.1199999996</v>
      </c>
      <c r="AA5" s="18">
        <f>'P&amp;L - Inputs'!Z329</f>
        <v>70048.34</v>
      </c>
      <c r="AB5" s="18">
        <f>'P&amp;L - Inputs'!AA329</f>
        <v>2301717.44</v>
      </c>
      <c r="AC5" s="18">
        <f>'P&amp;L - Inputs'!AB329</f>
        <v>7162144.5199999996</v>
      </c>
      <c r="AD5" s="18">
        <f>'P&amp;L - Inputs'!AC329</f>
        <v>10723278.32</v>
      </c>
      <c r="AE5" s="18">
        <f>'P&amp;L - Inputs'!AD329</f>
        <v>14061486.52</v>
      </c>
      <c r="AF5" s="18">
        <f>'P&amp;L - Inputs'!AE329</f>
        <v>14792490.619999999</v>
      </c>
      <c r="AG5" s="18">
        <f>'P&amp;L - Inputs'!AF329</f>
        <v>18074284.199999999</v>
      </c>
      <c r="AH5" s="18">
        <f>'P&amp;L - Inputs'!AG329</f>
        <v>14545867.08</v>
      </c>
      <c r="AI5" s="18">
        <f>'P&amp;L - Inputs'!AH329</f>
        <v>12589519.119999999</v>
      </c>
      <c r="AJ5" s="18">
        <f>'P&amp;L - Inputs'!AI329</f>
        <v>15575773.439999999</v>
      </c>
      <c r="AK5" s="18">
        <f>'P&amp;L - Inputs'!AJ329</f>
        <v>13618755.239999998</v>
      </c>
      <c r="AL5" s="18">
        <f>'P&amp;L - Inputs'!AK329</f>
        <v>15407885.399999999</v>
      </c>
      <c r="AM5" s="18">
        <f>'P&amp;L - Inputs'!AL329</f>
        <v>11347887.719999999</v>
      </c>
      <c r="AN5" s="18">
        <f>'P&amp;L - Inputs'!AM329</f>
        <v>5113180.72</v>
      </c>
      <c r="AO5" s="18">
        <f>'P&amp;L - Inputs'!AN329</f>
        <v>15730204.76</v>
      </c>
      <c r="AP5" s="18">
        <f>'P&amp;L - Inputs'!AO329</f>
        <v>20350553.759999998</v>
      </c>
      <c r="AQ5" s="18">
        <f>'P&amp;L - Inputs'!AP329</f>
        <v>23513832.859999999</v>
      </c>
      <c r="AR5" s="18">
        <f>'P&amp;L - Inputs'!AQ329</f>
        <v>22755332.600000005</v>
      </c>
      <c r="AS5" s="18">
        <f>'P&amp;L - Inputs'!AR329</f>
        <v>32204996.599999998</v>
      </c>
      <c r="AT5" s="18">
        <f>'P&amp;L - Inputs'!AS329</f>
        <v>20863025.399999999</v>
      </c>
      <c r="AU5" s="18">
        <f>'P&amp;L - Inputs'!AT329</f>
        <v>22902468</v>
      </c>
      <c r="AV5" s="18">
        <f>'P&amp;L - Inputs'!AU329</f>
        <v>24690158.34</v>
      </c>
      <c r="AW5" s="18">
        <f>'P&amp;L - Inputs'!AV329</f>
        <v>22715897.98</v>
      </c>
      <c r="AX5" s="18">
        <f>'P&amp;L - Inputs'!AW329</f>
        <v>29537732.859999999</v>
      </c>
      <c r="AY5" s="18">
        <f>'P&amp;L - Inputs'!AX329</f>
        <v>26344736.639999997</v>
      </c>
      <c r="AZ5" s="18">
        <f>'P&amp;L - Inputs'!AY329</f>
        <v>25057708.279999997</v>
      </c>
      <c r="BA5" s="18">
        <f>'P&amp;L - Inputs'!AZ329</f>
        <v>27981552.399999999</v>
      </c>
      <c r="BB5" s="18">
        <f>'P&amp;L - Inputs'!BA329</f>
        <v>27514383.600000001</v>
      </c>
      <c r="BC5" s="18">
        <f>'P&amp;L - Inputs'!BB329</f>
        <v>28644535.699999999</v>
      </c>
      <c r="BD5" s="18">
        <f>'P&amp;L - Inputs'!BC329</f>
        <v>35781950.600000001</v>
      </c>
      <c r="BE5" s="18">
        <f>'P&amp;L - Inputs'!BD329</f>
        <v>36652303.600000001</v>
      </c>
      <c r="BF5" s="18">
        <f>'P&amp;L - Inputs'!BE329</f>
        <v>29292672.199999999</v>
      </c>
      <c r="BG5" s="18">
        <f>'P&amp;L - Inputs'!BF329</f>
        <v>33118752.699999999</v>
      </c>
      <c r="BH5" s="18">
        <f>'P&amp;L - Inputs'!BG329</f>
        <v>37538967.399999999</v>
      </c>
      <c r="BI5" s="18">
        <f>'P&amp;L - Inputs'!BH329</f>
        <v>34811191.799999997</v>
      </c>
      <c r="BJ5" s="18">
        <f>'P&amp;L - Inputs'!BI329</f>
        <v>39334982.5</v>
      </c>
      <c r="BK5" s="18">
        <f>'P&amp;L - Inputs'!BJ329</f>
        <v>43178511.199999996</v>
      </c>
      <c r="BL5" s="18">
        <f>'P&amp;L - Inputs'!BK329</f>
        <v>45187280.599999994</v>
      </c>
      <c r="BM5" s="18">
        <f>'P&amp;L - Inputs'!BL329</f>
        <v>44856414.600000001</v>
      </c>
      <c r="BN5" s="18">
        <f>'P&amp;L - Inputs'!BM329</f>
        <v>48982039.799999997</v>
      </c>
      <c r="BO5" s="18">
        <f>'P&amp;L - Inputs'!BN329</f>
        <v>50518089.699999996</v>
      </c>
      <c r="BP5" s="18">
        <f>'P&amp;L - Inputs'!BO329</f>
        <v>44960297.300000004</v>
      </c>
      <c r="BQ5" s="18">
        <f>'P&amp;L - Inputs'!BP329</f>
        <v>66784382</v>
      </c>
      <c r="BR5" s="18">
        <f>'P&amp;L - Inputs'!BQ329</f>
        <v>55621871.5</v>
      </c>
      <c r="BS5" s="18">
        <f>'P&amp;L - Inputs'!BR329</f>
        <v>51448122.200000003</v>
      </c>
      <c r="BT5" s="18">
        <f>'P&amp;L - Inputs'!BS329</f>
        <v>58472463.899999999</v>
      </c>
      <c r="BU5" s="18">
        <f>'P&amp;L - Inputs'!BT329</f>
        <v>51764888.200000003</v>
      </c>
      <c r="BV5" s="18">
        <f>'P&amp;L - Inputs'!BU329</f>
        <v>52977776.799999997</v>
      </c>
      <c r="BW5" s="18">
        <f>'P&amp;L - Inputs'!BV329</f>
        <v>50664829.200000003</v>
      </c>
      <c r="BX5" s="18">
        <f>'P&amp;L - Inputs'!BW329</f>
        <v>58635265.799999997</v>
      </c>
      <c r="BY5" s="18">
        <f>'P&amp;L - Inputs'!BX329</f>
        <v>54144114.299999997</v>
      </c>
      <c r="BZ5" s="18">
        <f>'P&amp;L - Inputs'!BY329</f>
        <v>63681462</v>
      </c>
      <c r="CA5" s="18">
        <f>'P&amp;L - Inputs'!BZ329</f>
        <v>60089615.899999999</v>
      </c>
      <c r="CB5" s="18">
        <f>'P&amp;L - Inputs'!CA329</f>
        <v>57165476.700000003</v>
      </c>
      <c r="CC5" s="18">
        <f>'P&amp;L - Inputs'!CB329</f>
        <v>80389169</v>
      </c>
      <c r="CD5" s="18">
        <f>'P&amp;L - Inputs'!CC329</f>
        <v>61787164.100000001</v>
      </c>
      <c r="CE5" s="18">
        <f>'P&amp;L - Inputs'!CD329</f>
        <v>63288101.100000001</v>
      </c>
      <c r="CF5" s="18">
        <f>'P&amp;L - Inputs'!CE329</f>
        <v>68244290.200000003</v>
      </c>
      <c r="CG5" s="18">
        <f>'P&amp;L - Inputs'!CF329</f>
        <v>68161695.099999994</v>
      </c>
      <c r="CH5" s="18">
        <f>'P&amp;L - Inputs'!CG329</f>
        <v>66744770.899999999</v>
      </c>
      <c r="CI5" s="18">
        <f>'P&amp;L - Inputs'!CH329</f>
        <v>67297281.599999994</v>
      </c>
      <c r="CJ5" s="18">
        <f>'P&amp;L - Inputs'!CI329</f>
        <v>71162635.299999997</v>
      </c>
      <c r="CK5" s="18">
        <f>'P&amp;L - Inputs'!CJ329</f>
        <v>70151011.299999997</v>
      </c>
      <c r="CL5" s="18">
        <f>'P&amp;L - Inputs'!CK329</f>
        <v>74141842.400000006</v>
      </c>
      <c r="CM5" s="18">
        <f>'P&amp;L - Inputs'!CL329</f>
        <v>68520557.900000006</v>
      </c>
      <c r="CN5" s="18">
        <f>'P&amp;L - Inputs'!CM329</f>
        <v>82727019.400000006</v>
      </c>
      <c r="CO5" s="18">
        <f>'P&amp;L - Inputs'!CN329</f>
        <v>104441401</v>
      </c>
      <c r="CP5" s="18">
        <f>'P&amp;L - Inputs'!CO329</f>
        <v>80810639</v>
      </c>
      <c r="CQ5" s="18">
        <f>'P&amp;L - Inputs'!CP329</f>
        <v>84431312.5</v>
      </c>
      <c r="CR5" s="18">
        <f>'P&amp;L - Inputs'!CQ329</f>
        <v>88183692</v>
      </c>
      <c r="CS5" s="18">
        <f>'P&amp;L - Inputs'!CR329</f>
        <v>77328942.5</v>
      </c>
      <c r="CT5" s="18">
        <f>'P&amp;L - Inputs'!CS329</f>
        <v>97862297</v>
      </c>
      <c r="CU5" s="18">
        <f>'P&amp;L - Inputs'!CT329</f>
        <v>86814414.030677676</v>
      </c>
      <c r="CV5" s="18">
        <f>'P&amp;L - Inputs'!CU329</f>
        <v>94595724.363379747</v>
      </c>
      <c r="CW5" s="18">
        <f>'P&amp;L - Inputs'!CV329</f>
        <v>93477269.802135661</v>
      </c>
      <c r="CX5" s="18">
        <f>'P&amp;L - Inputs'!CW329</f>
        <v>102201505.51072444</v>
      </c>
      <c r="CY5" s="18">
        <f>'P&amp;L - Inputs'!CX329</f>
        <v>95393584.296822354</v>
      </c>
      <c r="CZ5" s="18">
        <f>'P&amp;L - Inputs'!CY329</f>
        <v>110816942.13748014</v>
      </c>
      <c r="DA5" s="18">
        <f>'P&amp;L - Inputs'!CZ329</f>
        <v>136983846.6455487</v>
      </c>
      <c r="DB5" s="18">
        <f>'P&amp;L - Inputs'!DA329</f>
        <v>101397842.95958407</v>
      </c>
      <c r="DC5" s="18">
        <f>'P&amp;L - Inputs'!DB329</f>
        <v>104763361.22428742</v>
      </c>
      <c r="DD5" s="18">
        <f>'P&amp;L - Inputs'!DC329</f>
        <v>109916085.73990221</v>
      </c>
      <c r="DE5" s="18">
        <f>'P&amp;L - Inputs'!DD329</f>
        <v>94243215.338240549</v>
      </c>
      <c r="DF5" s="18">
        <f>'P&amp;L - Inputs'!DE329</f>
        <v>114484196.52246724</v>
      </c>
      <c r="DG5" s="18">
        <f>'P&amp;L - Inputs'!DF329</f>
        <v>104177296.83681323</v>
      </c>
      <c r="DH5" s="18">
        <f>'P&amp;L - Inputs'!DG329</f>
        <v>113514869.2360557</v>
      </c>
      <c r="DI5" s="18">
        <f>'P&amp;L - Inputs'!DH329</f>
        <v>112172723.7625628</v>
      </c>
      <c r="DJ5" s="18">
        <f>'P&amp;L - Inputs'!DI329</f>
        <v>122641806.61286932</v>
      </c>
      <c r="DK5" s="18">
        <f>'P&amp;L - Inputs'!DJ329</f>
        <v>114472301.15618682</v>
      </c>
      <c r="DL5" s="18">
        <f>'P&amp;L - Inputs'!DK329</f>
        <v>132980330.56497617</v>
      </c>
      <c r="DM5" s="18">
        <f>'P&amp;L - Inputs'!DL329</f>
        <v>164380615.97465849</v>
      </c>
      <c r="DN5" s="18">
        <f>'P&amp;L - Inputs'!DM329</f>
        <v>121677411.55150087</v>
      </c>
      <c r="DO5" s="18">
        <f>'P&amp;L - Inputs'!DN329</f>
        <v>125716033.46914491</v>
      </c>
      <c r="DP5" s="18">
        <f>'P&amp;L - Inputs'!DO329</f>
        <v>131899302.88788265</v>
      </c>
      <c r="DQ5" s="18">
        <f>'P&amp;L - Inputs'!DP329</f>
        <v>113091858.40588866</v>
      </c>
      <c r="DR5" s="18">
        <f>'P&amp;L - Inputs'!DQ329</f>
        <v>137381035.82696068</v>
      </c>
      <c r="DS5" s="18">
        <f>'P&amp;L - Inputs'!DR329</f>
        <v>119803891.36233518</v>
      </c>
      <c r="DT5" s="18">
        <f>'P&amp;L - Inputs'!DS329</f>
        <v>130542099.62146404</v>
      </c>
      <c r="DU5" s="18">
        <f>'P&amp;L - Inputs'!DT329</f>
        <v>128998632.3269472</v>
      </c>
      <c r="DV5" s="18">
        <f>'P&amp;L - Inputs'!DU329</f>
        <v>141038077.60479972</v>
      </c>
      <c r="DW5" s="18">
        <f>'P&amp;L - Inputs'!DV329</f>
        <v>131643146.32961483</v>
      </c>
      <c r="DX5" s="18">
        <f>'P&amp;L - Inputs'!DW329</f>
        <v>152927380.14972258</v>
      </c>
      <c r="DY5" s="18">
        <f>'P&amp;L - Inputs'!DX329</f>
        <v>189037708.37085724</v>
      </c>
      <c r="DZ5" s="18">
        <f>'P&amp;L - Inputs'!DY329</f>
        <v>139929023.284226</v>
      </c>
      <c r="EA5" s="18">
        <f>'P&amp;L - Inputs'!DZ329</f>
        <v>144573438.48951665</v>
      </c>
      <c r="EB5" s="18">
        <f>'P&amp;L - Inputs'!EA329</f>
        <v>151684198.32106504</v>
      </c>
      <c r="EC5" s="18">
        <f>'P&amp;L - Inputs'!EB329</f>
        <v>130055637.16677196</v>
      </c>
      <c r="ED5" s="18">
        <f>'P&amp;L - Inputs'!EC329</f>
        <v>157988191.2010048</v>
      </c>
      <c r="EF5" s="293">
        <f t="shared" si="13"/>
        <v>133222206.39999998</v>
      </c>
      <c r="EG5" s="293">
        <f t="shared" si="14"/>
        <v>144460426.80000001</v>
      </c>
      <c r="EH5" s="293">
        <f t="shared" si="15"/>
        <v>173854375.69999999</v>
      </c>
      <c r="EI5" s="293">
        <f t="shared" si="16"/>
        <v>163215128.89999998</v>
      </c>
      <c r="EJ5" s="293">
        <f t="shared" si="17"/>
        <v>163444209.30000001</v>
      </c>
      <c r="EK5" s="293">
        <f t="shared" si="18"/>
        <v>225389419.70000002</v>
      </c>
      <c r="EL5" s="293">
        <f t="shared" si="19"/>
        <v>205464434.19999999</v>
      </c>
      <c r="EM5" s="293">
        <f t="shared" si="20"/>
        <v>203150756.20000002</v>
      </c>
      <c r="EN5" s="293">
        <f t="shared" si="21"/>
        <v>208610928.19999999</v>
      </c>
      <c r="EO5" s="293">
        <f t="shared" si="22"/>
        <v>225389419.70000002</v>
      </c>
      <c r="EP5" s="293">
        <f t="shared" si="23"/>
        <v>269683352.5</v>
      </c>
      <c r="EQ5" s="293">
        <f t="shared" si="24"/>
        <v>263374931.5</v>
      </c>
      <c r="ER5" s="293">
        <f t="shared" si="25"/>
        <v>274887408.1961931</v>
      </c>
      <c r="ES5" s="293">
        <f t="shared" si="26"/>
        <v>308412031.94502693</v>
      </c>
      <c r="ET5" s="293">
        <f t="shared" si="27"/>
        <v>343145050.82942021</v>
      </c>
      <c r="EU5" s="293">
        <f t="shared" si="28"/>
        <v>318643497.60061002</v>
      </c>
      <c r="EV5" s="293">
        <f t="shared" si="29"/>
        <v>329864889.83543175</v>
      </c>
      <c r="EW5" s="293">
        <f t="shared" si="30"/>
        <v>370094438.3340323</v>
      </c>
      <c r="EX5" s="293">
        <f t="shared" si="31"/>
        <v>411774060.99530423</v>
      </c>
      <c r="EY5" s="293">
        <f t="shared" si="32"/>
        <v>382372197.12073201</v>
      </c>
      <c r="EZ5" s="293">
        <f t="shared" si="33"/>
        <v>379344623.31074643</v>
      </c>
      <c r="FA5" s="293">
        <f t="shared" si="34"/>
        <v>425608604.08413714</v>
      </c>
      <c r="FB5" s="293">
        <f t="shared" si="35"/>
        <v>473540170.14459991</v>
      </c>
      <c r="FC5" s="293">
        <f t="shared" si="36"/>
        <v>439728026.68884182</v>
      </c>
      <c r="FE5" s="293">
        <f t="shared" si="37"/>
        <v>614752137.79999995</v>
      </c>
      <c r="FF5" s="293">
        <f t="shared" si="38"/>
        <v>797448819.4000001</v>
      </c>
      <c r="FG5" s="293">
        <f t="shared" si="39"/>
        <v>967058631.89999998</v>
      </c>
      <c r="FH5" s="293">
        <f t="shared" si="40"/>
        <v>1245087988.5712504</v>
      </c>
      <c r="FI5" s="293">
        <f t="shared" si="41"/>
        <v>1494105586.2855003</v>
      </c>
      <c r="FJ5" s="807">
        <f t="shared" si="42"/>
        <v>1718221424.2283254</v>
      </c>
    </row>
    <row r="6" spans="2:166" x14ac:dyDescent="0.2">
      <c r="B6" s="25" t="s">
        <v>11</v>
      </c>
      <c r="C6" s="140">
        <f>'P&amp;L - Inputs'!B330</f>
        <v>768377.52</v>
      </c>
      <c r="D6" s="140">
        <f>'P&amp;L - Inputs'!C330</f>
        <v>1141530.48</v>
      </c>
      <c r="E6" s="140">
        <f>'P&amp;L - Inputs'!D330</f>
        <v>1058731.2</v>
      </c>
      <c r="F6" s="140">
        <f>'P&amp;L - Inputs'!E330</f>
        <v>914129.1</v>
      </c>
      <c r="G6" s="140">
        <f>'P&amp;L - Inputs'!F330</f>
        <v>547995.24</v>
      </c>
      <c r="H6" s="140">
        <f>'P&amp;L - Inputs'!G330</f>
        <v>406707.12</v>
      </c>
      <c r="I6" s="140">
        <f>'P&amp;L - Inputs'!H330</f>
        <v>502586.1</v>
      </c>
      <c r="J6" s="140">
        <f>'P&amp;L - Inputs'!I330</f>
        <v>449743.5</v>
      </c>
      <c r="K6" s="140">
        <f>'P&amp;L - Inputs'!J330</f>
        <v>573029.81999999995</v>
      </c>
      <c r="L6" s="140">
        <f>'P&amp;L - Inputs'!K330</f>
        <v>601353.72</v>
      </c>
      <c r="M6" s="140">
        <f>'P&amp;L - Inputs'!L330</f>
        <v>533097.17999999993</v>
      </c>
      <c r="N6" s="140">
        <f>'P&amp;L - Inputs'!M330</f>
        <v>485631.89999999997</v>
      </c>
      <c r="O6" s="140">
        <f>'P&amp;L - Inputs'!N330</f>
        <v>478154.89835999999</v>
      </c>
      <c r="P6" s="140">
        <f>'P&amp;L - Inputs'!O330</f>
        <v>537370.32240000006</v>
      </c>
      <c r="Q6" s="140">
        <f>'P&amp;L - Inputs'!P330</f>
        <v>552977.08474576275</v>
      </c>
      <c r="R6" s="140">
        <f>'P&amp;L - Inputs'!Q330</f>
        <v>629453.69999999995</v>
      </c>
      <c r="S6" s="140">
        <f>'P&amp;L - Inputs'!R330</f>
        <v>677722.14</v>
      </c>
      <c r="T6" s="140">
        <f>'P&amp;L - Inputs'!S330</f>
        <v>681103.26</v>
      </c>
      <c r="U6" s="140">
        <f>'P&amp;L - Inputs'!T330</f>
        <v>877871.52</v>
      </c>
      <c r="V6" s="140">
        <f>'P&amp;L - Inputs'!U330</f>
        <v>650881.43999999994</v>
      </c>
      <c r="W6" s="140">
        <f>'P&amp;L - Inputs'!V330</f>
        <v>676025.64</v>
      </c>
      <c r="X6" s="140">
        <f>'P&amp;L - Inputs'!W330</f>
        <v>780393.41999999993</v>
      </c>
      <c r="Y6" s="140">
        <f>'P&amp;L - Inputs'!X330</f>
        <v>727242.29999999993</v>
      </c>
      <c r="Z6" s="140">
        <f>'P&amp;L - Inputs'!Y330</f>
        <v>595302.12</v>
      </c>
      <c r="AA6" s="140">
        <f>'P&amp;L - Inputs'!Z330</f>
        <v>10685.34</v>
      </c>
      <c r="AB6" s="140">
        <f>'P&amp;L - Inputs'!AA330</f>
        <v>351109.44</v>
      </c>
      <c r="AC6" s="140">
        <f>'P&amp;L - Inputs'!AB330</f>
        <v>1092530.52</v>
      </c>
      <c r="AD6" s="140">
        <f>'P&amp;L - Inputs'!AC330</f>
        <v>1635754.3199999998</v>
      </c>
      <c r="AE6" s="140">
        <f>'P&amp;L - Inputs'!AD330</f>
        <v>2144972.52</v>
      </c>
      <c r="AF6" s="140">
        <f>'P&amp;L - Inputs'!AE330</f>
        <v>2256481.62</v>
      </c>
      <c r="AG6" s="140">
        <f>'P&amp;L - Inputs'!AF330</f>
        <v>2757094.1999999997</v>
      </c>
      <c r="AH6" s="140">
        <f>'P&amp;L - Inputs'!AG330</f>
        <v>2218861.08</v>
      </c>
      <c r="AI6" s="140">
        <f>'P&amp;L - Inputs'!AH330</f>
        <v>1920435.1199999999</v>
      </c>
      <c r="AJ6" s="140">
        <f>'P&amp;L - Inputs'!AI330</f>
        <v>2375965.44</v>
      </c>
      <c r="AK6" s="140">
        <f>'P&amp;L - Inputs'!AJ330</f>
        <v>2077437.24</v>
      </c>
      <c r="AL6" s="140">
        <f>'P&amp;L - Inputs'!AK330</f>
        <v>2350355.4</v>
      </c>
      <c r="AM6" s="140">
        <f>'P&amp;L - Inputs'!AL330</f>
        <v>1731033.72</v>
      </c>
      <c r="AN6" s="140">
        <f>'P&amp;L - Inputs'!AM330</f>
        <v>779976.72</v>
      </c>
      <c r="AO6" s="140">
        <f>'P&amp;L - Inputs'!AN330</f>
        <v>2399522.7599999998</v>
      </c>
      <c r="AP6" s="140">
        <f>'P&amp;L - Inputs'!AO330</f>
        <v>3104321.76</v>
      </c>
      <c r="AQ6" s="140">
        <f>'P&amp;L - Inputs'!AP330</f>
        <v>3586855.86</v>
      </c>
      <c r="AR6" s="140">
        <f>'P&amp;L - Inputs'!AQ330</f>
        <v>3471152.4305084753</v>
      </c>
      <c r="AS6" s="140">
        <f>'P&amp;L - Inputs'!AR330</f>
        <v>4912626.5999999996</v>
      </c>
      <c r="AT6" s="140">
        <f>'P&amp;L - Inputs'!AS330</f>
        <v>3182495.4</v>
      </c>
      <c r="AU6" s="140">
        <f>'P&amp;L - Inputs'!AT330</f>
        <v>3493596.8135593222</v>
      </c>
      <c r="AV6" s="140">
        <f>'P&amp;L - Inputs'!AU330</f>
        <v>3766295.34</v>
      </c>
      <c r="AW6" s="140">
        <f>'P&amp;L - Inputs'!AV330</f>
        <v>3465136.98</v>
      </c>
      <c r="AX6" s="140">
        <f>'P&amp;L - Inputs'!AW330</f>
        <v>4505755.8599999994</v>
      </c>
      <c r="AY6" s="140">
        <f>'P&amp;L - Inputs'!AX330</f>
        <v>4018688.6399999997</v>
      </c>
      <c r="AZ6" s="140">
        <f>'P&amp;L - Inputs'!AY330</f>
        <v>3822362.28</v>
      </c>
      <c r="BA6" s="140">
        <f>'P&amp;L - Inputs'!AZ330</f>
        <v>4268372.3999999994</v>
      </c>
      <c r="BB6" s="140">
        <f>'P&amp;L - Inputs'!BA330</f>
        <v>4197109.3627118655</v>
      </c>
      <c r="BC6" s="140">
        <f>'P&amp;L - Inputs'!BB330</f>
        <v>4369505.4457627125</v>
      </c>
      <c r="BD6" s="140">
        <f>'P&amp;L - Inputs'!BC330</f>
        <v>5458263.6508474573</v>
      </c>
      <c r="BE6" s="140">
        <f>'P&amp;L - Inputs'!BD330</f>
        <v>5591029.3627118645</v>
      </c>
      <c r="BF6" s="140">
        <f>'P&amp;L - Inputs'!BE330</f>
        <v>4468373.725423729</v>
      </c>
      <c r="BG6" s="140">
        <f>'P&amp;L - Inputs'!BF330</f>
        <v>5052013.1237288136</v>
      </c>
      <c r="BH6" s="140">
        <f>'P&amp;L - Inputs'!BG330</f>
        <v>5726283.1627118643</v>
      </c>
      <c r="BI6" s="140">
        <f>'P&amp;L - Inputs'!BH330</f>
        <v>5310181.8</v>
      </c>
      <c r="BJ6" s="140">
        <f>'P&amp;L - Inputs'!BI330</f>
        <v>6000251.5677966103</v>
      </c>
      <c r="BK6" s="140">
        <f>'P&amp;L - Inputs'!BJ330</f>
        <v>6586552.5559322024</v>
      </c>
      <c r="BL6" s="140">
        <f>'P&amp;L - Inputs'!BK330</f>
        <v>6892975.0067796605</v>
      </c>
      <c r="BM6" s="140">
        <f>'P&amp;L - Inputs'!BL330</f>
        <v>6842503.9220338985</v>
      </c>
      <c r="BN6" s="140">
        <f>'P&amp;L - Inputs'!BM330</f>
        <v>7471836.5796610173</v>
      </c>
      <c r="BO6" s="140">
        <f>'P&amp;L - Inputs'!BN330</f>
        <v>7706149.2762711849</v>
      </c>
      <c r="BP6" s="140">
        <f>'P&amp;L - Inputs'!BO330</f>
        <v>6858350.4355932213</v>
      </c>
      <c r="BQ6" s="140">
        <f>'P&amp;L - Inputs'!BP330</f>
        <v>10187448.101694915</v>
      </c>
      <c r="BR6" s="140">
        <f>'P&amp;L - Inputs'!BQ330</f>
        <v>8484692.262711864</v>
      </c>
      <c r="BS6" s="140">
        <f>'P&amp;L - Inputs'!BR330</f>
        <v>7848018.6406779662</v>
      </c>
      <c r="BT6" s="140">
        <f>'P&amp;L - Inputs'!BS330</f>
        <v>8919528.391525425</v>
      </c>
      <c r="BU6" s="140">
        <f>'P&amp;L - Inputs'!BT330</f>
        <v>7896338.8779661022</v>
      </c>
      <c r="BV6" s="140">
        <f>'P&amp;L - Inputs'!BU330</f>
        <v>8081355.7830508472</v>
      </c>
      <c r="BW6" s="140">
        <f>'P&amp;L - Inputs'!BV330</f>
        <v>7728533.2677966114</v>
      </c>
      <c r="BX6" s="140">
        <f>'P&amp;L - Inputs'!BW330</f>
        <v>8944362.5796610173</v>
      </c>
      <c r="BY6" s="140">
        <f>'P&amp;L - Inputs'!BX330</f>
        <v>8259271.6728813564</v>
      </c>
      <c r="BZ6" s="140">
        <f>'P&amp;L - Inputs'!BY330</f>
        <v>9714121.3220338989</v>
      </c>
      <c r="CA6" s="140">
        <f>'P&amp;L - Inputs'!BZ330</f>
        <v>9166212.594915254</v>
      </c>
      <c r="CB6" s="140">
        <f>'P&amp;L - Inputs'!CA330</f>
        <v>8720157.4627118651</v>
      </c>
      <c r="CC6" s="140">
        <f>'P&amp;L - Inputs'!CB330</f>
        <v>12262754.593220338</v>
      </c>
      <c r="CD6" s="140">
        <f>'P&amp;L - Inputs'!CC330</f>
        <v>9425160.6254237294</v>
      </c>
      <c r="CE6" s="140">
        <f>'P&amp;L - Inputs'!CD330</f>
        <v>9654117.1169491541</v>
      </c>
      <c r="CF6" s="140">
        <f>'P&amp;L - Inputs'!CE330</f>
        <v>10410145.962711865</v>
      </c>
      <c r="CG6" s="140">
        <f>'P&amp;L - Inputs'!CF330</f>
        <v>10397546.71016949</v>
      </c>
      <c r="CH6" s="140">
        <f>'P&amp;L - Inputs'!CG330</f>
        <v>10181405.730508475</v>
      </c>
      <c r="CI6" s="140">
        <f>'P&amp;L - Inputs'!CH330</f>
        <v>10265687.023728812</v>
      </c>
      <c r="CJ6" s="140">
        <f>'P&amp;L - Inputs'!CI330</f>
        <v>10855317.249152541</v>
      </c>
      <c r="CK6" s="140">
        <f>'P&amp;L - Inputs'!CJ330</f>
        <v>10701001.723728813</v>
      </c>
      <c r="CL6" s="140">
        <f>'P&amp;L - Inputs'!CK330</f>
        <v>11309772.569491526</v>
      </c>
      <c r="CM6" s="140">
        <f>'P&amp;L - Inputs'!CL330</f>
        <v>10452288.49322034</v>
      </c>
      <c r="CN6" s="140">
        <f>'P&amp;L - Inputs'!CM330</f>
        <v>12619375.840677967</v>
      </c>
      <c r="CO6" s="140">
        <f>'P&amp;L - Inputs'!CN330</f>
        <v>15931739.135593221</v>
      </c>
      <c r="CP6" s="140">
        <f>'P&amp;L - Inputs'!CO330</f>
        <v>12327046.627118643</v>
      </c>
      <c r="CQ6" s="140">
        <f>'P&amp;L - Inputs'!CP330</f>
        <v>12879352.754237289</v>
      </c>
      <c r="CR6" s="140">
        <f>'P&amp;L - Inputs'!CQ330</f>
        <v>13451749.627118643</v>
      </c>
      <c r="CS6" s="140">
        <f>'P&amp;L - Inputs'!CR330</f>
        <v>11795940.381355932</v>
      </c>
      <c r="CT6" s="140">
        <f>'P&amp;L - Inputs'!CS330</f>
        <v>14928147</v>
      </c>
      <c r="CU6" s="140">
        <f>'P&amp;L - Inputs'!CT330</f>
        <v>13242876.716544053</v>
      </c>
      <c r="CV6" s="140">
        <f>'P&amp;L - Inputs'!CU330</f>
        <v>14429856.25882064</v>
      </c>
      <c r="CW6" s="140">
        <f>'P&amp;L - Inputs'!CV330</f>
        <v>14259244.546088491</v>
      </c>
      <c r="CX6" s="140">
        <f>'P&amp;L - Inputs'!CW330</f>
        <v>15590060.16265288</v>
      </c>
      <c r="CY6" s="140">
        <f>'P&amp;L - Inputs'!CX330</f>
        <v>14551563.706294933</v>
      </c>
      <c r="CZ6" s="140">
        <f>'P&amp;L - Inputs'!CY330</f>
        <v>16904279.30910714</v>
      </c>
      <c r="DA6" s="140">
        <f>'P&amp;L - Inputs'!CZ330</f>
        <v>20895841.013727769</v>
      </c>
      <c r="DB6" s="140">
        <f>'P&amp;L - Inputs'!DA330</f>
        <v>15467467.570106044</v>
      </c>
      <c r="DC6" s="140">
        <f>'P&amp;L - Inputs'!DB330</f>
        <v>15980851.712179437</v>
      </c>
      <c r="DD6" s="140">
        <f>'P&amp;L - Inputs'!DC330</f>
        <v>16766860.536595251</v>
      </c>
      <c r="DE6" s="140">
        <f>'P&amp;L - Inputs'!DD330</f>
        <v>14376083.695663812</v>
      </c>
      <c r="DF6" s="140">
        <f>'P&amp;L - Inputs'!DE330</f>
        <v>17463690.99495263</v>
      </c>
      <c r="DG6" s="140">
        <f>'P&amp;L - Inputs'!DF330</f>
        <v>15891452.059852865</v>
      </c>
      <c r="DH6" s="140">
        <f>'P&amp;L - Inputs'!DG330</f>
        <v>17315827.510584768</v>
      </c>
      <c r="DI6" s="140">
        <f>'P&amp;L - Inputs'!DH330</f>
        <v>17111093.455306187</v>
      </c>
      <c r="DJ6" s="140">
        <f>'P&amp;L - Inputs'!DI330</f>
        <v>18708072.195183456</v>
      </c>
      <c r="DK6" s="140">
        <f>'P&amp;L - Inputs'!DJ330</f>
        <v>17461876.447553921</v>
      </c>
      <c r="DL6" s="140">
        <f>'P&amp;L - Inputs'!DK330</f>
        <v>20285135.170928568</v>
      </c>
      <c r="DM6" s="140">
        <f>'P&amp;L - Inputs'!DL330</f>
        <v>25075009.216473326</v>
      </c>
      <c r="DN6" s="140">
        <f>'P&amp;L - Inputs'!DM330</f>
        <v>18560961.084127251</v>
      </c>
      <c r="DO6" s="140">
        <f>'P&amp;L - Inputs'!DN330</f>
        <v>19177022.054615326</v>
      </c>
      <c r="DP6" s="140">
        <f>'P&amp;L - Inputs'!DO330</f>
        <v>20120232.643914301</v>
      </c>
      <c r="DQ6" s="140">
        <f>'P&amp;L - Inputs'!DP330</f>
        <v>17251300.434796575</v>
      </c>
      <c r="DR6" s="140">
        <f>'P&amp;L - Inputs'!DQ330</f>
        <v>20956429.193943158</v>
      </c>
      <c r="DS6" s="140">
        <f>'P&amp;L - Inputs'!DR330</f>
        <v>18275169.868830789</v>
      </c>
      <c r="DT6" s="140">
        <f>'P&amp;L - Inputs'!DS330</f>
        <v>19913201.637172483</v>
      </c>
      <c r="DU6" s="140">
        <f>'P&amp;L - Inputs'!DT330</f>
        <v>19677757.473602112</v>
      </c>
      <c r="DV6" s="140">
        <f>'P&amp;L - Inputs'!DU330</f>
        <v>21514283.024460975</v>
      </c>
      <c r="DW6" s="140">
        <f>'P&amp;L - Inputs'!DV330</f>
        <v>20081157.914687008</v>
      </c>
      <c r="DX6" s="140">
        <f>'P&amp;L - Inputs'!DW330</f>
        <v>23327905.446567848</v>
      </c>
      <c r="DY6" s="140">
        <f>'P&amp;L - Inputs'!DX330</f>
        <v>28836260.598944321</v>
      </c>
      <c r="DZ6" s="140">
        <f>'P&amp;L - Inputs'!DY330</f>
        <v>21345105.246746339</v>
      </c>
      <c r="EA6" s="140">
        <f>'P&amp;L - Inputs'!DZ330</f>
        <v>22053575.36280762</v>
      </c>
      <c r="EB6" s="140">
        <f>'P&amp;L - Inputs'!EA330</f>
        <v>23138267.540501446</v>
      </c>
      <c r="EC6" s="140">
        <f>'P&amp;L - Inputs'!EB330</f>
        <v>19838995.50001606</v>
      </c>
      <c r="ED6" s="140">
        <f>'P&amp;L - Inputs'!EC330</f>
        <v>24099893.573034629</v>
      </c>
      <c r="EF6" s="165">
        <f t="shared" si="13"/>
        <v>20322031.484745763</v>
      </c>
      <c r="EG6" s="165">
        <f t="shared" si="14"/>
        <v>22036336.291525424</v>
      </c>
      <c r="EH6" s="165">
        <f t="shared" si="15"/>
        <v>26520159.005084746</v>
      </c>
      <c r="EI6" s="165">
        <f t="shared" si="16"/>
        <v>24897223.052542374</v>
      </c>
      <c r="EJ6" s="165">
        <f t="shared" si="17"/>
        <v>24932167.520338986</v>
      </c>
      <c r="EK6" s="165">
        <f t="shared" si="18"/>
        <v>34381436.903389834</v>
      </c>
      <c r="EL6" s="165">
        <f t="shared" si="19"/>
        <v>31342032.335593224</v>
      </c>
      <c r="EM6" s="165">
        <f t="shared" si="20"/>
        <v>30989098.403389834</v>
      </c>
      <c r="EN6" s="165">
        <f t="shared" si="21"/>
        <v>31822005.996610165</v>
      </c>
      <c r="EO6" s="165">
        <f t="shared" si="22"/>
        <v>34381436.903389834</v>
      </c>
      <c r="EP6" s="165">
        <f t="shared" si="23"/>
        <v>41138138.516949154</v>
      </c>
      <c r="EQ6" s="165">
        <f t="shared" si="24"/>
        <v>40175837.008474573</v>
      </c>
      <c r="ER6" s="165">
        <f t="shared" si="25"/>
        <v>41931977.521453187</v>
      </c>
      <c r="ES6" s="165">
        <f t="shared" si="26"/>
        <v>47045903.178054951</v>
      </c>
      <c r="ET6" s="165">
        <f t="shared" si="27"/>
        <v>52344160.296013251</v>
      </c>
      <c r="EU6" s="165">
        <f t="shared" si="28"/>
        <v>48606635.227211699</v>
      </c>
      <c r="EV6" s="165">
        <f t="shared" si="29"/>
        <v>50318373.02574382</v>
      </c>
      <c r="EW6" s="165">
        <f t="shared" si="30"/>
        <v>56455083.813665941</v>
      </c>
      <c r="EX6" s="165">
        <f t="shared" si="31"/>
        <v>62812992.3552159</v>
      </c>
      <c r="EY6" s="165">
        <f t="shared" si="32"/>
        <v>58327962.272654034</v>
      </c>
      <c r="EZ6" s="165">
        <f t="shared" si="33"/>
        <v>57866128.979605392</v>
      </c>
      <c r="FA6" s="165">
        <f t="shared" si="34"/>
        <v>64923346.385715827</v>
      </c>
      <c r="FB6" s="165">
        <f t="shared" si="35"/>
        <v>72234941.208498284</v>
      </c>
      <c r="FC6" s="165">
        <f t="shared" si="36"/>
        <v>67077156.613552138</v>
      </c>
      <c r="FE6" s="165">
        <f t="shared" si="37"/>
        <v>93775749.833898306</v>
      </c>
      <c r="FF6" s="165">
        <f t="shared" si="38"/>
        <v>121644735.16271189</v>
      </c>
      <c r="FG6" s="165">
        <f t="shared" si="39"/>
        <v>147517418.42542374</v>
      </c>
      <c r="FH6" s="165">
        <f t="shared" si="40"/>
        <v>189928676.22273308</v>
      </c>
      <c r="FI6" s="165">
        <f t="shared" si="41"/>
        <v>227914411.4672797</v>
      </c>
      <c r="FJ6" s="804">
        <f t="shared" si="42"/>
        <v>262101573.18737167</v>
      </c>
    </row>
    <row r="7" spans="2:166" x14ac:dyDescent="0.2">
      <c r="B7" s="22" t="s">
        <v>12</v>
      </c>
      <c r="C7" s="141">
        <f>C6/C5</f>
        <v>0.15254237288135594</v>
      </c>
      <c r="D7" s="141">
        <f t="shared" ref="D7:BO7" si="43">D6/D5</f>
        <v>0.15254237288135594</v>
      </c>
      <c r="E7" s="141">
        <f t="shared" si="43"/>
        <v>0.15254237288135594</v>
      </c>
      <c r="F7" s="141">
        <f t="shared" si="43"/>
        <v>0.15254237288135594</v>
      </c>
      <c r="G7" s="141">
        <f t="shared" si="43"/>
        <v>0.15254237288135594</v>
      </c>
      <c r="H7" s="141">
        <f t="shared" si="43"/>
        <v>0.15254237288135594</v>
      </c>
      <c r="I7" s="141">
        <f t="shared" si="43"/>
        <v>0.15254237288135594</v>
      </c>
      <c r="J7" s="141">
        <f t="shared" si="43"/>
        <v>0.15254237288135594</v>
      </c>
      <c r="K7" s="141">
        <f t="shared" si="43"/>
        <v>0.15254237288135591</v>
      </c>
      <c r="L7" s="141">
        <f t="shared" si="43"/>
        <v>0.15254237288135594</v>
      </c>
      <c r="M7" s="141">
        <f t="shared" si="43"/>
        <v>0.15254237288135591</v>
      </c>
      <c r="N7" s="141">
        <f t="shared" si="43"/>
        <v>0.15254237288135591</v>
      </c>
      <c r="O7" s="141">
        <f t="shared" si="43"/>
        <v>0.15254237288135594</v>
      </c>
      <c r="P7" s="141">
        <f t="shared" si="43"/>
        <v>0.15254237288135594</v>
      </c>
      <c r="Q7" s="141">
        <f t="shared" si="43"/>
        <v>0.15254237288135594</v>
      </c>
      <c r="R7" s="141">
        <f t="shared" si="43"/>
        <v>0.15254237288135594</v>
      </c>
      <c r="S7" s="141">
        <f t="shared" si="43"/>
        <v>0.15254237288135594</v>
      </c>
      <c r="T7" s="141">
        <f t="shared" si="43"/>
        <v>0.15254237288135594</v>
      </c>
      <c r="U7" s="141">
        <f t="shared" si="43"/>
        <v>0.15254237288135594</v>
      </c>
      <c r="V7" s="141">
        <f t="shared" si="43"/>
        <v>0.15254237288135594</v>
      </c>
      <c r="W7" s="141">
        <f t="shared" si="43"/>
        <v>0.15254237288135594</v>
      </c>
      <c r="X7" s="141">
        <f t="shared" si="43"/>
        <v>0.15254237288135591</v>
      </c>
      <c r="Y7" s="141">
        <f t="shared" si="43"/>
        <v>0.15254237288135591</v>
      </c>
      <c r="Z7" s="141">
        <f t="shared" si="43"/>
        <v>0.15254237288135594</v>
      </c>
      <c r="AA7" s="141">
        <f t="shared" si="43"/>
        <v>0.15254237288135594</v>
      </c>
      <c r="AB7" s="141">
        <f t="shared" si="43"/>
        <v>0.15254237288135594</v>
      </c>
      <c r="AC7" s="141">
        <f t="shared" si="43"/>
        <v>0.15254237288135594</v>
      </c>
      <c r="AD7" s="141">
        <f t="shared" si="43"/>
        <v>0.15254237288135591</v>
      </c>
      <c r="AE7" s="141">
        <f t="shared" si="43"/>
        <v>0.15254237288135594</v>
      </c>
      <c r="AF7" s="141">
        <f t="shared" si="43"/>
        <v>0.15254237288135594</v>
      </c>
      <c r="AG7" s="141">
        <f t="shared" si="43"/>
        <v>0.15254237288135591</v>
      </c>
      <c r="AH7" s="141">
        <f t="shared" si="43"/>
        <v>0.15254237288135594</v>
      </c>
      <c r="AI7" s="141">
        <f t="shared" si="43"/>
        <v>0.15254237288135594</v>
      </c>
      <c r="AJ7" s="141">
        <f t="shared" si="43"/>
        <v>0.15254237288135594</v>
      </c>
      <c r="AK7" s="141">
        <f t="shared" si="43"/>
        <v>0.15254237288135594</v>
      </c>
      <c r="AL7" s="141">
        <f t="shared" si="43"/>
        <v>0.15254237288135594</v>
      </c>
      <c r="AM7" s="141">
        <f t="shared" si="43"/>
        <v>0.15254237288135594</v>
      </c>
      <c r="AN7" s="141">
        <f t="shared" si="43"/>
        <v>0.15254237288135594</v>
      </c>
      <c r="AO7" s="141">
        <f t="shared" si="43"/>
        <v>0.15254237288135591</v>
      </c>
      <c r="AP7" s="141">
        <f t="shared" si="43"/>
        <v>0.15254237288135594</v>
      </c>
      <c r="AQ7" s="141">
        <f t="shared" si="43"/>
        <v>0.15254237288135594</v>
      </c>
      <c r="AR7" s="141">
        <f t="shared" si="43"/>
        <v>0.15254237288135594</v>
      </c>
      <c r="AS7" s="141">
        <f t="shared" si="43"/>
        <v>0.15254237288135594</v>
      </c>
      <c r="AT7" s="141">
        <f t="shared" si="43"/>
        <v>0.15254237288135594</v>
      </c>
      <c r="AU7" s="141">
        <f t="shared" si="43"/>
        <v>0.15254237288135594</v>
      </c>
      <c r="AV7" s="141">
        <f t="shared" si="43"/>
        <v>0.15254237288135591</v>
      </c>
      <c r="AW7" s="141">
        <f t="shared" si="43"/>
        <v>0.15254237288135594</v>
      </c>
      <c r="AX7" s="141">
        <f t="shared" si="43"/>
        <v>0.15254237288135591</v>
      </c>
      <c r="AY7" s="141">
        <f t="shared" si="43"/>
        <v>0.15254237288135594</v>
      </c>
      <c r="AZ7" s="141">
        <f t="shared" si="43"/>
        <v>0.15254237288135594</v>
      </c>
      <c r="BA7" s="141">
        <f t="shared" si="43"/>
        <v>0.15254237288135591</v>
      </c>
      <c r="BB7" s="141">
        <f t="shared" si="43"/>
        <v>0.15254237288135597</v>
      </c>
      <c r="BC7" s="141">
        <f t="shared" si="43"/>
        <v>0.15254237288135597</v>
      </c>
      <c r="BD7" s="141">
        <f t="shared" si="43"/>
        <v>0.15254237288135591</v>
      </c>
      <c r="BE7" s="141">
        <f t="shared" si="43"/>
        <v>0.15254237288135594</v>
      </c>
      <c r="BF7" s="141">
        <f t="shared" si="43"/>
        <v>0.15254237288135594</v>
      </c>
      <c r="BG7" s="141">
        <f t="shared" si="43"/>
        <v>0.15254237288135594</v>
      </c>
      <c r="BH7" s="141">
        <f t="shared" si="43"/>
        <v>0.15254237288135594</v>
      </c>
      <c r="BI7" s="141">
        <f t="shared" si="43"/>
        <v>0.15254237288135594</v>
      </c>
      <c r="BJ7" s="141">
        <f t="shared" si="43"/>
        <v>0.15254237288135594</v>
      </c>
      <c r="BK7" s="141">
        <f t="shared" si="43"/>
        <v>0.15254237288135591</v>
      </c>
      <c r="BL7" s="141">
        <f t="shared" si="43"/>
        <v>0.15254237288135594</v>
      </c>
      <c r="BM7" s="141">
        <f t="shared" si="43"/>
        <v>0.15254237288135594</v>
      </c>
      <c r="BN7" s="141">
        <f t="shared" si="43"/>
        <v>0.15254237288135594</v>
      </c>
      <c r="BO7" s="141">
        <f t="shared" si="43"/>
        <v>0.15254237288135591</v>
      </c>
      <c r="BP7" s="141">
        <f t="shared" ref="BP7:EM7" si="44">BP6/BP5</f>
        <v>0.15254237288135594</v>
      </c>
      <c r="BQ7" s="141">
        <f t="shared" si="44"/>
        <v>0.15254237288135594</v>
      </c>
      <c r="BR7" s="141">
        <f t="shared" si="44"/>
        <v>0.15254237288135591</v>
      </c>
      <c r="BS7" s="141">
        <f t="shared" si="44"/>
        <v>0.15254237288135591</v>
      </c>
      <c r="BT7" s="141">
        <f t="shared" si="44"/>
        <v>0.15254237288135597</v>
      </c>
      <c r="BU7" s="141">
        <f t="shared" si="44"/>
        <v>0.15254237288135594</v>
      </c>
      <c r="BV7" s="141">
        <f t="shared" si="44"/>
        <v>0.15254237288135594</v>
      </c>
      <c r="BW7" s="141">
        <f t="shared" si="44"/>
        <v>0.15254237288135594</v>
      </c>
      <c r="BX7" s="141">
        <f t="shared" si="44"/>
        <v>0.15254237288135594</v>
      </c>
      <c r="BY7" s="141">
        <f t="shared" si="44"/>
        <v>0.15254237288135594</v>
      </c>
      <c r="BZ7" s="141">
        <f t="shared" si="44"/>
        <v>0.15254237288135594</v>
      </c>
      <c r="CA7" s="141">
        <f t="shared" si="44"/>
        <v>0.15254237288135594</v>
      </c>
      <c r="CB7" s="141">
        <f t="shared" si="44"/>
        <v>0.15254237288135594</v>
      </c>
      <c r="CC7" s="141">
        <f t="shared" si="44"/>
        <v>0.15254237288135591</v>
      </c>
      <c r="CD7" s="141">
        <f t="shared" si="44"/>
        <v>0.15254237288135594</v>
      </c>
      <c r="CE7" s="141">
        <f t="shared" si="44"/>
        <v>0.15254237288135594</v>
      </c>
      <c r="CF7" s="141">
        <f t="shared" si="44"/>
        <v>0.15254237288135594</v>
      </c>
      <c r="CG7" s="141">
        <f t="shared" si="44"/>
        <v>0.15254237288135594</v>
      </c>
      <c r="CH7" s="141">
        <f t="shared" si="44"/>
        <v>0.15254237288135594</v>
      </c>
      <c r="CI7" s="141">
        <f t="shared" si="44"/>
        <v>0.15254237288135591</v>
      </c>
      <c r="CJ7" s="141">
        <f t="shared" si="44"/>
        <v>0.15254237288135591</v>
      </c>
      <c r="CK7" s="141">
        <f t="shared" si="44"/>
        <v>0.15254237288135594</v>
      </c>
      <c r="CL7" s="141">
        <f t="shared" si="44"/>
        <v>0.15254237288135594</v>
      </c>
      <c r="CM7" s="141">
        <f t="shared" si="44"/>
        <v>0.15254237288135594</v>
      </c>
      <c r="CN7" s="141">
        <f t="shared" si="44"/>
        <v>0.15254237288135594</v>
      </c>
      <c r="CO7" s="141">
        <f t="shared" si="44"/>
        <v>0.15254237288135594</v>
      </c>
      <c r="CP7" s="141">
        <f t="shared" si="44"/>
        <v>0.15254237288135591</v>
      </c>
      <c r="CQ7" s="141">
        <f t="shared" si="44"/>
        <v>0.15254237288135594</v>
      </c>
      <c r="CR7" s="141">
        <f t="shared" si="44"/>
        <v>0.15254237288135591</v>
      </c>
      <c r="CS7" s="141">
        <f t="shared" si="44"/>
        <v>0.15254237288135594</v>
      </c>
      <c r="CT7" s="141">
        <f t="shared" si="44"/>
        <v>0.15254237288135594</v>
      </c>
      <c r="CU7" s="141">
        <f t="shared" si="44"/>
        <v>0.15254237288135594</v>
      </c>
      <c r="CV7" s="141">
        <f t="shared" si="44"/>
        <v>0.15254237288135594</v>
      </c>
      <c r="CW7" s="141">
        <f t="shared" si="44"/>
        <v>0.15254237288135594</v>
      </c>
      <c r="CX7" s="141">
        <f t="shared" si="44"/>
        <v>0.15254237288135591</v>
      </c>
      <c r="CY7" s="141">
        <f t="shared" si="44"/>
        <v>0.15254237288135591</v>
      </c>
      <c r="CZ7" s="141">
        <f t="shared" si="44"/>
        <v>0.15254237288135594</v>
      </c>
      <c r="DA7" s="141">
        <f t="shared" si="44"/>
        <v>0.15254237288135594</v>
      </c>
      <c r="DB7" s="141">
        <f t="shared" si="44"/>
        <v>0.15254237288135591</v>
      </c>
      <c r="DC7" s="141">
        <f t="shared" si="44"/>
        <v>0.15254237288135594</v>
      </c>
      <c r="DD7" s="141">
        <f t="shared" si="44"/>
        <v>0.15254237288135591</v>
      </c>
      <c r="DE7" s="141">
        <f t="shared" si="44"/>
        <v>0.15254237288135591</v>
      </c>
      <c r="DF7" s="141">
        <f t="shared" si="44"/>
        <v>0.15254237288135594</v>
      </c>
      <c r="DG7" s="141">
        <f t="shared" si="44"/>
        <v>0.15254237288135591</v>
      </c>
      <c r="DH7" s="141">
        <f t="shared" si="44"/>
        <v>0.15254237288135594</v>
      </c>
      <c r="DI7" s="141">
        <f t="shared" si="44"/>
        <v>0.15254237288135591</v>
      </c>
      <c r="DJ7" s="141">
        <f t="shared" si="44"/>
        <v>0.15254237288135594</v>
      </c>
      <c r="DK7" s="141">
        <f t="shared" si="44"/>
        <v>0.15254237288135594</v>
      </c>
      <c r="DL7" s="141">
        <f t="shared" si="44"/>
        <v>0.15254237288135591</v>
      </c>
      <c r="DM7" s="141">
        <f t="shared" si="44"/>
        <v>0.15254237288135591</v>
      </c>
      <c r="DN7" s="141">
        <f t="shared" si="44"/>
        <v>0.15254237288135591</v>
      </c>
      <c r="DO7" s="141">
        <f t="shared" si="44"/>
        <v>0.15254237288135594</v>
      </c>
      <c r="DP7" s="141">
        <f t="shared" si="44"/>
        <v>0.15254237288135591</v>
      </c>
      <c r="DQ7" s="141">
        <f t="shared" si="44"/>
        <v>0.15254237288135594</v>
      </c>
      <c r="DR7" s="141">
        <f t="shared" si="44"/>
        <v>0.15254237288135594</v>
      </c>
      <c r="DS7" s="141">
        <f t="shared" ref="DS7:ED7" si="45">DS6/DS5</f>
        <v>0.15254237288135591</v>
      </c>
      <c r="DT7" s="141">
        <f t="shared" si="45"/>
        <v>0.15254237288135594</v>
      </c>
      <c r="DU7" s="141">
        <f t="shared" si="45"/>
        <v>0.15254237288135591</v>
      </c>
      <c r="DV7" s="141">
        <f t="shared" si="45"/>
        <v>0.15254237288135594</v>
      </c>
      <c r="DW7" s="141">
        <f t="shared" si="45"/>
        <v>0.15254237288135591</v>
      </c>
      <c r="DX7" s="141">
        <f t="shared" si="45"/>
        <v>0.15254237288135591</v>
      </c>
      <c r="DY7" s="141">
        <f t="shared" si="45"/>
        <v>0.15254237288135591</v>
      </c>
      <c r="DZ7" s="141">
        <f t="shared" si="45"/>
        <v>0.15254237288135594</v>
      </c>
      <c r="EA7" s="141">
        <f t="shared" si="45"/>
        <v>0.15254237288135591</v>
      </c>
      <c r="EB7" s="141">
        <f t="shared" si="45"/>
        <v>0.15254237288135591</v>
      </c>
      <c r="EC7" s="141">
        <f t="shared" si="45"/>
        <v>0.15254237288135591</v>
      </c>
      <c r="ED7" s="141">
        <f t="shared" si="45"/>
        <v>0.15254237288135591</v>
      </c>
      <c r="EF7" s="141">
        <f t="shared" si="44"/>
        <v>0.15254237288135597</v>
      </c>
      <c r="EG7" s="141">
        <f t="shared" si="44"/>
        <v>0.15254237288135591</v>
      </c>
      <c r="EH7" s="141">
        <f t="shared" si="44"/>
        <v>0.15254237288135594</v>
      </c>
      <c r="EI7" s="141">
        <f t="shared" si="44"/>
        <v>0.15254237288135597</v>
      </c>
      <c r="EJ7" s="141">
        <f t="shared" si="44"/>
        <v>0.15254237288135594</v>
      </c>
      <c r="EK7" s="141">
        <f t="shared" si="44"/>
        <v>0.15254237288135594</v>
      </c>
      <c r="EL7" s="141">
        <f t="shared" si="44"/>
        <v>0.15254237288135597</v>
      </c>
      <c r="EM7" s="141">
        <f t="shared" si="44"/>
        <v>0.15254237288135594</v>
      </c>
      <c r="EN7" s="141">
        <f t="shared" ref="EN7:FJ7" si="46">EN6/EN5</f>
        <v>0.15254237288135591</v>
      </c>
      <c r="EO7" s="141">
        <f t="shared" si="46"/>
        <v>0.15254237288135594</v>
      </c>
      <c r="EP7" s="141">
        <f t="shared" si="46"/>
        <v>0.15254237288135594</v>
      </c>
      <c r="EQ7" s="141">
        <f t="shared" si="46"/>
        <v>0.15254237288135591</v>
      </c>
      <c r="ER7" s="141">
        <f t="shared" si="46"/>
        <v>0.15254237288135594</v>
      </c>
      <c r="ES7" s="141">
        <f t="shared" si="46"/>
        <v>0.15254237288135591</v>
      </c>
      <c r="ET7" s="141">
        <f t="shared" si="46"/>
        <v>0.15254237288135594</v>
      </c>
      <c r="EU7" s="141">
        <f t="shared" si="46"/>
        <v>0.15254237288135594</v>
      </c>
      <c r="EV7" s="141">
        <f t="shared" si="46"/>
        <v>0.15254237288135591</v>
      </c>
      <c r="EW7" s="141">
        <f t="shared" si="46"/>
        <v>0.15254237288135591</v>
      </c>
      <c r="EX7" s="141">
        <f t="shared" si="46"/>
        <v>0.15254237288135594</v>
      </c>
      <c r="EY7" s="141">
        <f t="shared" si="46"/>
        <v>0.15254237288135594</v>
      </c>
      <c r="EZ7" s="141">
        <f t="shared" si="46"/>
        <v>0.15254237288135594</v>
      </c>
      <c r="FA7" s="141">
        <f t="shared" si="46"/>
        <v>0.15254237288135591</v>
      </c>
      <c r="FB7" s="141">
        <f t="shared" si="46"/>
        <v>0.15254237288135591</v>
      </c>
      <c r="FC7" s="141">
        <f t="shared" si="46"/>
        <v>0.15254237288135591</v>
      </c>
      <c r="FE7" s="141">
        <f t="shared" si="46"/>
        <v>0.15254237288135594</v>
      </c>
      <c r="FF7" s="141">
        <f t="shared" si="46"/>
        <v>0.15254237288135594</v>
      </c>
      <c r="FG7" s="141">
        <f t="shared" si="46"/>
        <v>0.15254237288135594</v>
      </c>
      <c r="FH7" s="141">
        <f t="shared" si="46"/>
        <v>0.15254237288135591</v>
      </c>
      <c r="FI7" s="141">
        <f t="shared" si="46"/>
        <v>0.15254237288135594</v>
      </c>
      <c r="FJ7" s="141">
        <f t="shared" si="46"/>
        <v>0.15254237288135594</v>
      </c>
    </row>
    <row r="8" spans="2:166" x14ac:dyDescent="0.2">
      <c r="B8" s="2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F8" s="165">
        <f t="shared" si="13"/>
        <v>0</v>
      </c>
      <c r="EG8" s="165">
        <f t="shared" si="14"/>
        <v>0</v>
      </c>
      <c r="EH8" s="165">
        <f t="shared" si="15"/>
        <v>0</v>
      </c>
      <c r="EI8" s="165">
        <f t="shared" si="16"/>
        <v>0</v>
      </c>
      <c r="EJ8" s="165">
        <f t="shared" si="17"/>
        <v>0</v>
      </c>
      <c r="EK8" s="165">
        <f t="shared" si="18"/>
        <v>0</v>
      </c>
      <c r="EL8" s="165">
        <f t="shared" si="19"/>
        <v>0</v>
      </c>
      <c r="EM8" s="165">
        <f t="shared" si="20"/>
        <v>0</v>
      </c>
      <c r="EN8" s="165">
        <f t="shared" si="21"/>
        <v>0</v>
      </c>
      <c r="EO8" s="165">
        <f t="shared" si="22"/>
        <v>0</v>
      </c>
      <c r="EP8" s="165">
        <f t="shared" si="23"/>
        <v>0</v>
      </c>
      <c r="EQ8" s="165">
        <f t="shared" si="24"/>
        <v>0</v>
      </c>
      <c r="ER8" s="165">
        <f t="shared" si="25"/>
        <v>0</v>
      </c>
      <c r="ES8" s="165">
        <f t="shared" si="26"/>
        <v>0</v>
      </c>
      <c r="ET8" s="165">
        <f t="shared" si="27"/>
        <v>0</v>
      </c>
      <c r="EU8" s="165">
        <f t="shared" si="28"/>
        <v>0</v>
      </c>
      <c r="EV8" s="165">
        <f t="shared" si="29"/>
        <v>0</v>
      </c>
      <c r="EW8" s="165">
        <f t="shared" si="30"/>
        <v>0</v>
      </c>
      <c r="EX8" s="165">
        <f t="shared" si="31"/>
        <v>0</v>
      </c>
      <c r="EY8" s="165">
        <f t="shared" si="32"/>
        <v>0</v>
      </c>
      <c r="EZ8" s="165">
        <f t="shared" si="33"/>
        <v>0</v>
      </c>
      <c r="FA8" s="165">
        <f t="shared" si="34"/>
        <v>0</v>
      </c>
      <c r="FB8" s="165">
        <f t="shared" si="35"/>
        <v>0</v>
      </c>
      <c r="FC8" s="165">
        <f t="shared" si="36"/>
        <v>0</v>
      </c>
      <c r="FE8" s="165">
        <f t="shared" si="37"/>
        <v>0</v>
      </c>
      <c r="FF8" s="165">
        <f t="shared" si="38"/>
        <v>0</v>
      </c>
      <c r="FG8" s="165">
        <f t="shared" si="39"/>
        <v>0</v>
      </c>
      <c r="FH8" s="165">
        <f t="shared" si="40"/>
        <v>0</v>
      </c>
      <c r="FI8" s="165">
        <f t="shared" si="41"/>
        <v>0</v>
      </c>
      <c r="FJ8" s="804">
        <f t="shared" si="42"/>
        <v>0</v>
      </c>
    </row>
    <row r="9" spans="2:166" x14ac:dyDescent="0.2">
      <c r="B9" s="23" t="s">
        <v>170</v>
      </c>
      <c r="C9" s="5">
        <f>C5-C6</f>
        <v>4268764</v>
      </c>
      <c r="D9" s="5">
        <f t="shared" ref="D9:BO9" si="47">D5-D6</f>
        <v>6341836</v>
      </c>
      <c r="E9" s="5">
        <f t="shared" si="47"/>
        <v>5881839.9999999991</v>
      </c>
      <c r="F9" s="5">
        <f t="shared" si="47"/>
        <v>5078495</v>
      </c>
      <c r="G9" s="5">
        <f t="shared" si="47"/>
        <v>3044418</v>
      </c>
      <c r="H9" s="5">
        <f t="shared" si="47"/>
        <v>2259483.9999999995</v>
      </c>
      <c r="I9" s="5">
        <f t="shared" si="47"/>
        <v>2792144.9999999995</v>
      </c>
      <c r="J9" s="5">
        <f t="shared" si="47"/>
        <v>2498575</v>
      </c>
      <c r="K9" s="5">
        <f t="shared" si="47"/>
        <v>3183499</v>
      </c>
      <c r="L9" s="5">
        <f t="shared" si="47"/>
        <v>3340854</v>
      </c>
      <c r="M9" s="5">
        <f t="shared" si="47"/>
        <v>2961651</v>
      </c>
      <c r="N9" s="5">
        <f t="shared" si="47"/>
        <v>2697955</v>
      </c>
      <c r="O9" s="5">
        <f t="shared" si="47"/>
        <v>2656416.102</v>
      </c>
      <c r="P9" s="5">
        <f t="shared" si="47"/>
        <v>2985390.68</v>
      </c>
      <c r="Q9" s="5">
        <f t="shared" si="47"/>
        <v>3072094.9152542371</v>
      </c>
      <c r="R9" s="5">
        <f t="shared" si="47"/>
        <v>3496965</v>
      </c>
      <c r="S9" s="5">
        <f t="shared" si="47"/>
        <v>3765122.9999999995</v>
      </c>
      <c r="T9" s="5">
        <f t="shared" si="47"/>
        <v>3783907</v>
      </c>
      <c r="U9" s="5">
        <f t="shared" si="47"/>
        <v>4877064</v>
      </c>
      <c r="V9" s="5">
        <f t="shared" si="47"/>
        <v>3616007.9999999995</v>
      </c>
      <c r="W9" s="5">
        <f t="shared" si="47"/>
        <v>3755697.9999999995</v>
      </c>
      <c r="X9" s="5">
        <f t="shared" si="47"/>
        <v>4335519</v>
      </c>
      <c r="Y9" s="5">
        <f t="shared" si="47"/>
        <v>4040235</v>
      </c>
      <c r="Z9" s="5">
        <f t="shared" si="47"/>
        <v>3307233.9999999995</v>
      </c>
      <c r="AA9" s="5">
        <f t="shared" si="47"/>
        <v>59363</v>
      </c>
      <c r="AB9" s="5">
        <f t="shared" si="47"/>
        <v>1950608</v>
      </c>
      <c r="AC9" s="5">
        <f t="shared" si="47"/>
        <v>6069614</v>
      </c>
      <c r="AD9" s="5">
        <f t="shared" si="47"/>
        <v>9087524</v>
      </c>
      <c r="AE9" s="5">
        <f t="shared" si="47"/>
        <v>11916514</v>
      </c>
      <c r="AF9" s="5">
        <f t="shared" si="47"/>
        <v>12536009</v>
      </c>
      <c r="AG9" s="5">
        <f t="shared" si="47"/>
        <v>15317190</v>
      </c>
      <c r="AH9" s="5">
        <f t="shared" si="47"/>
        <v>12327006</v>
      </c>
      <c r="AI9" s="5">
        <f t="shared" si="47"/>
        <v>10669084</v>
      </c>
      <c r="AJ9" s="5">
        <f t="shared" si="47"/>
        <v>13199808</v>
      </c>
      <c r="AK9" s="5">
        <f t="shared" si="47"/>
        <v>11541317.999999998</v>
      </c>
      <c r="AL9" s="5">
        <f t="shared" si="47"/>
        <v>13057529.999999998</v>
      </c>
      <c r="AM9" s="5">
        <f t="shared" si="47"/>
        <v>9616853.9999999981</v>
      </c>
      <c r="AN9" s="5">
        <f t="shared" si="47"/>
        <v>4333204</v>
      </c>
      <c r="AO9" s="5">
        <f t="shared" si="47"/>
        <v>13330682</v>
      </c>
      <c r="AP9" s="5">
        <f t="shared" si="47"/>
        <v>17246232</v>
      </c>
      <c r="AQ9" s="5">
        <f t="shared" si="47"/>
        <v>19926977</v>
      </c>
      <c r="AR9" s="5">
        <f t="shared" si="47"/>
        <v>19284180.169491529</v>
      </c>
      <c r="AS9" s="5">
        <f t="shared" si="47"/>
        <v>27292370</v>
      </c>
      <c r="AT9" s="5">
        <f t="shared" si="47"/>
        <v>17680530</v>
      </c>
      <c r="AU9" s="5">
        <f t="shared" si="47"/>
        <v>19408871.186440676</v>
      </c>
      <c r="AV9" s="5">
        <f t="shared" si="47"/>
        <v>20923863</v>
      </c>
      <c r="AW9" s="5">
        <f t="shared" si="47"/>
        <v>19250761</v>
      </c>
      <c r="AX9" s="5">
        <f t="shared" si="47"/>
        <v>25031977</v>
      </c>
      <c r="AY9" s="5">
        <f t="shared" si="47"/>
        <v>22326047.999999996</v>
      </c>
      <c r="AZ9" s="5">
        <f t="shared" si="47"/>
        <v>21235345.999999996</v>
      </c>
      <c r="BA9" s="5">
        <f t="shared" si="47"/>
        <v>23713180</v>
      </c>
      <c r="BB9" s="5">
        <f t="shared" si="47"/>
        <v>23317274.237288136</v>
      </c>
      <c r="BC9" s="5">
        <f t="shared" si="47"/>
        <v>24275030.254237287</v>
      </c>
      <c r="BD9" s="5">
        <f t="shared" si="47"/>
        <v>30323686.949152544</v>
      </c>
      <c r="BE9" s="5">
        <f t="shared" si="47"/>
        <v>31061274.237288136</v>
      </c>
      <c r="BF9" s="5">
        <f t="shared" si="47"/>
        <v>24824298.474576272</v>
      </c>
      <c r="BG9" s="5">
        <f t="shared" si="47"/>
        <v>28066739.576271184</v>
      </c>
      <c r="BH9" s="5">
        <f t="shared" si="47"/>
        <v>31812684.237288132</v>
      </c>
      <c r="BI9" s="5">
        <f t="shared" si="47"/>
        <v>29501009.999999996</v>
      </c>
      <c r="BJ9" s="5">
        <f t="shared" si="47"/>
        <v>33334730.93220339</v>
      </c>
      <c r="BK9" s="5">
        <f t="shared" si="47"/>
        <v>36591958.644067794</v>
      </c>
      <c r="BL9" s="5">
        <f t="shared" si="47"/>
        <v>38294305.593220331</v>
      </c>
      <c r="BM9" s="5">
        <f t="shared" si="47"/>
        <v>38013910.677966103</v>
      </c>
      <c r="BN9" s="5">
        <f t="shared" si="47"/>
        <v>41510203.220338978</v>
      </c>
      <c r="BO9" s="5">
        <f t="shared" si="47"/>
        <v>42811940.423728809</v>
      </c>
      <c r="BP9" s="5">
        <f t="shared" ref="BP9:DR9" si="48">BP5-BP6</f>
        <v>38101946.864406779</v>
      </c>
      <c r="BQ9" s="5">
        <f t="shared" si="48"/>
        <v>56596933.898305088</v>
      </c>
      <c r="BR9" s="5">
        <f t="shared" si="48"/>
        <v>47137179.237288132</v>
      </c>
      <c r="BS9" s="5">
        <f t="shared" si="48"/>
        <v>43600103.559322037</v>
      </c>
      <c r="BT9" s="5">
        <f t="shared" si="48"/>
        <v>49552935.508474573</v>
      </c>
      <c r="BU9" s="5">
        <f t="shared" si="48"/>
        <v>43868549.322033897</v>
      </c>
      <c r="BV9" s="5">
        <f t="shared" si="48"/>
        <v>44896421.016949147</v>
      </c>
      <c r="BW9" s="5">
        <f t="shared" si="48"/>
        <v>42936295.93220339</v>
      </c>
      <c r="BX9" s="5">
        <f t="shared" si="48"/>
        <v>49690903.220338978</v>
      </c>
      <c r="BY9" s="5">
        <f t="shared" si="48"/>
        <v>45884842.62711864</v>
      </c>
      <c r="BZ9" s="5">
        <f t="shared" si="48"/>
        <v>53967340.677966103</v>
      </c>
      <c r="CA9" s="5">
        <f t="shared" si="48"/>
        <v>50923403.305084743</v>
      </c>
      <c r="CB9" s="5">
        <f t="shared" si="48"/>
        <v>48445319.23728814</v>
      </c>
      <c r="CC9" s="5">
        <f t="shared" si="48"/>
        <v>68126414.406779662</v>
      </c>
      <c r="CD9" s="5">
        <f t="shared" si="48"/>
        <v>52362003.474576272</v>
      </c>
      <c r="CE9" s="5">
        <f t="shared" si="48"/>
        <v>53633983.983050846</v>
      </c>
      <c r="CF9" s="5">
        <f t="shared" si="48"/>
        <v>57834144.23728814</v>
      </c>
      <c r="CG9" s="5">
        <f t="shared" si="48"/>
        <v>57764148.3898305</v>
      </c>
      <c r="CH9" s="5">
        <f t="shared" si="48"/>
        <v>56563365.169491522</v>
      </c>
      <c r="CI9" s="5">
        <f t="shared" si="48"/>
        <v>57031594.576271184</v>
      </c>
      <c r="CJ9" s="5">
        <f t="shared" si="48"/>
        <v>60307318.050847456</v>
      </c>
      <c r="CK9" s="5">
        <f t="shared" si="48"/>
        <v>59450009.576271184</v>
      </c>
      <c r="CL9" s="5">
        <f t="shared" si="48"/>
        <v>62832069.830508478</v>
      </c>
      <c r="CM9" s="5">
        <f t="shared" si="48"/>
        <v>58068269.406779662</v>
      </c>
      <c r="CN9" s="5">
        <f t="shared" si="48"/>
        <v>70107643.559322044</v>
      </c>
      <c r="CO9" s="5">
        <f t="shared" si="48"/>
        <v>88509661.864406779</v>
      </c>
      <c r="CP9" s="5">
        <f t="shared" si="48"/>
        <v>68483592.372881353</v>
      </c>
      <c r="CQ9" s="5">
        <f t="shared" si="48"/>
        <v>71551959.745762706</v>
      </c>
      <c r="CR9" s="5">
        <f t="shared" si="48"/>
        <v>74731942.372881353</v>
      </c>
      <c r="CS9" s="5">
        <f t="shared" si="48"/>
        <v>65533002.118644066</v>
      </c>
      <c r="CT9" s="5">
        <f t="shared" si="48"/>
        <v>82934150</v>
      </c>
      <c r="CU9" s="5">
        <f t="shared" si="48"/>
        <v>73571537.314133629</v>
      </c>
      <c r="CV9" s="5">
        <f t="shared" si="48"/>
        <v>80165868.104559109</v>
      </c>
      <c r="CW9" s="5">
        <f t="shared" si="48"/>
        <v>79218025.256047174</v>
      </c>
      <c r="CX9" s="5">
        <f t="shared" si="48"/>
        <v>86611445.34807156</v>
      </c>
      <c r="CY9" s="5">
        <f t="shared" si="48"/>
        <v>80842020.590527415</v>
      </c>
      <c r="CZ9" s="5">
        <f t="shared" si="48"/>
        <v>93912662.828373</v>
      </c>
      <c r="DA9" s="5">
        <f t="shared" si="48"/>
        <v>116088005.63182093</v>
      </c>
      <c r="DB9" s="5">
        <f t="shared" si="48"/>
        <v>85930375.389478028</v>
      </c>
      <c r="DC9" s="5">
        <f t="shared" si="48"/>
        <v>88782509.512107983</v>
      </c>
      <c r="DD9" s="5">
        <f t="shared" si="48"/>
        <v>93149225.203306958</v>
      </c>
      <c r="DE9" s="5">
        <f t="shared" si="48"/>
        <v>79867131.642576739</v>
      </c>
      <c r="DF9" s="5">
        <f t="shared" si="48"/>
        <v>97020505.527514607</v>
      </c>
      <c r="DG9" s="5">
        <f t="shared" si="48"/>
        <v>88285844.776960358</v>
      </c>
      <c r="DH9" s="5">
        <f t="shared" si="48"/>
        <v>96199041.72547093</v>
      </c>
      <c r="DI9" s="5">
        <f t="shared" si="48"/>
        <v>95061630.307256609</v>
      </c>
      <c r="DJ9" s="5">
        <f t="shared" si="48"/>
        <v>103933734.41768587</v>
      </c>
      <c r="DK9" s="5">
        <f t="shared" si="48"/>
        <v>97010424.708632901</v>
      </c>
      <c r="DL9" s="5">
        <f t="shared" si="48"/>
        <v>112695195.3940476</v>
      </c>
      <c r="DM9" s="5">
        <f t="shared" si="48"/>
        <v>139305606.75818515</v>
      </c>
      <c r="DN9" s="5">
        <f t="shared" si="48"/>
        <v>103116450.46737362</v>
      </c>
      <c r="DO9" s="5">
        <f t="shared" si="48"/>
        <v>106539011.41452959</v>
      </c>
      <c r="DP9" s="5">
        <f t="shared" si="48"/>
        <v>111779070.24396835</v>
      </c>
      <c r="DQ9" s="5">
        <f t="shared" si="48"/>
        <v>95840557.97109209</v>
      </c>
      <c r="DR9" s="5">
        <f t="shared" si="48"/>
        <v>116424606.63301753</v>
      </c>
      <c r="DS9" s="5">
        <f t="shared" ref="DS9:ED9" si="49">DS5-DS6</f>
        <v>101528721.49350439</v>
      </c>
      <c r="DT9" s="5">
        <f t="shared" si="49"/>
        <v>110628897.98429155</v>
      </c>
      <c r="DU9" s="5">
        <f t="shared" si="49"/>
        <v>109320874.85334508</v>
      </c>
      <c r="DV9" s="5">
        <f t="shared" si="49"/>
        <v>119523794.58033875</v>
      </c>
      <c r="DW9" s="5">
        <f t="shared" si="49"/>
        <v>111561988.41492783</v>
      </c>
      <c r="DX9" s="5">
        <f t="shared" si="49"/>
        <v>129599474.70315473</v>
      </c>
      <c r="DY9" s="5">
        <f t="shared" si="49"/>
        <v>160201447.77191293</v>
      </c>
      <c r="DZ9" s="5">
        <f t="shared" si="49"/>
        <v>118583918.03747967</v>
      </c>
      <c r="EA9" s="5">
        <f t="shared" si="49"/>
        <v>122519863.12670903</v>
      </c>
      <c r="EB9" s="5">
        <f t="shared" si="49"/>
        <v>128545930.78056359</v>
      </c>
      <c r="EC9" s="5">
        <f t="shared" si="49"/>
        <v>110216641.6667559</v>
      </c>
      <c r="ED9" s="5">
        <f t="shared" si="49"/>
        <v>133888297.62797017</v>
      </c>
      <c r="EF9" s="293">
        <f t="shared" si="13"/>
        <v>112900174.91525422</v>
      </c>
      <c r="EG9" s="293">
        <f t="shared" si="14"/>
        <v>122424090.50847457</v>
      </c>
      <c r="EH9" s="293">
        <f t="shared" si="15"/>
        <v>147334216.69491526</v>
      </c>
      <c r="EI9" s="293">
        <f t="shared" si="16"/>
        <v>138317905.84745762</v>
      </c>
      <c r="EJ9" s="293">
        <f t="shared" si="17"/>
        <v>138512041.779661</v>
      </c>
      <c r="EK9" s="293">
        <f t="shared" si="18"/>
        <v>191007982.79661018</v>
      </c>
      <c r="EL9" s="293">
        <f t="shared" si="19"/>
        <v>174122401.86440679</v>
      </c>
      <c r="EM9" s="293">
        <f t="shared" si="20"/>
        <v>172161657.79661018</v>
      </c>
      <c r="EN9" s="293">
        <f t="shared" si="21"/>
        <v>176788922.20338982</v>
      </c>
      <c r="EO9" s="293">
        <f t="shared" si="22"/>
        <v>191007982.79661018</v>
      </c>
      <c r="EP9" s="293">
        <f t="shared" si="23"/>
        <v>228545213.98305082</v>
      </c>
      <c r="EQ9" s="293">
        <f t="shared" si="24"/>
        <v>223199094.49152541</v>
      </c>
      <c r="ER9" s="293">
        <f t="shared" si="25"/>
        <v>232955430.6747399</v>
      </c>
      <c r="ES9" s="293">
        <f t="shared" si="26"/>
        <v>261366128.76697201</v>
      </c>
      <c r="ET9" s="293">
        <f t="shared" si="27"/>
        <v>290800890.53340691</v>
      </c>
      <c r="EU9" s="293">
        <f t="shared" si="28"/>
        <v>270036862.3733983</v>
      </c>
      <c r="EV9" s="293">
        <f t="shared" si="29"/>
        <v>279546516.80968785</v>
      </c>
      <c r="EW9" s="293">
        <f t="shared" si="30"/>
        <v>313639354.52036637</v>
      </c>
      <c r="EX9" s="293">
        <f t="shared" si="31"/>
        <v>348961068.64008832</v>
      </c>
      <c r="EY9" s="293">
        <f t="shared" si="32"/>
        <v>324044234.84807795</v>
      </c>
      <c r="EZ9" s="293">
        <f t="shared" si="33"/>
        <v>321478494.33114105</v>
      </c>
      <c r="FA9" s="293">
        <f t="shared" si="34"/>
        <v>360685257.6984213</v>
      </c>
      <c r="FB9" s="293">
        <f t="shared" si="35"/>
        <v>401305228.93610162</v>
      </c>
      <c r="FC9" s="293">
        <f t="shared" si="36"/>
        <v>372650870.07528967</v>
      </c>
      <c r="FE9" s="293">
        <f t="shared" si="37"/>
        <v>520976387.96610165</v>
      </c>
      <c r="FF9" s="293">
        <f t="shared" si="38"/>
        <v>675804084.23728824</v>
      </c>
      <c r="FG9" s="293">
        <f t="shared" si="39"/>
        <v>819541213.47457623</v>
      </c>
      <c r="FH9" s="293">
        <f t="shared" si="40"/>
        <v>1055159312.3485172</v>
      </c>
      <c r="FI9" s="293">
        <f t="shared" si="41"/>
        <v>1266191174.8182206</v>
      </c>
      <c r="FJ9" s="807">
        <f t="shared" si="42"/>
        <v>1456119851.0409536</v>
      </c>
    </row>
    <row r="10" spans="2:166" x14ac:dyDescent="0.2">
      <c r="B10" s="22" t="s">
        <v>171</v>
      </c>
      <c r="C10" s="143">
        <f>'P&amp;L - Inputs'!B335</f>
        <v>12462</v>
      </c>
      <c r="D10" s="143">
        <f>'P&amp;L - Inputs'!C335</f>
        <v>16130</v>
      </c>
      <c r="E10" s="143">
        <f>'P&amp;L - Inputs'!D335</f>
        <v>15564</v>
      </c>
      <c r="F10" s="143">
        <f>'P&amp;L - Inputs'!E335</f>
        <v>13358</v>
      </c>
      <c r="G10" s="143">
        <f>'P&amp;L - Inputs'!F335</f>
        <v>7745</v>
      </c>
      <c r="H10" s="143">
        <f>'P&amp;L - Inputs'!G335</f>
        <v>5065</v>
      </c>
      <c r="I10" s="143">
        <f>'P&amp;L - Inputs'!H335</f>
        <v>6044</v>
      </c>
      <c r="J10" s="143">
        <f>'P&amp;L - Inputs'!I335</f>
        <v>5387</v>
      </c>
      <c r="K10" s="143">
        <f>'P&amp;L - Inputs'!J335</f>
        <v>5895</v>
      </c>
      <c r="L10" s="143">
        <f>'P&amp;L - Inputs'!K335</f>
        <v>6032</v>
      </c>
      <c r="M10" s="143">
        <f>'P&amp;L - Inputs'!L335</f>
        <v>5518</v>
      </c>
      <c r="N10" s="143">
        <f>'P&amp;L - Inputs'!M335</f>
        <v>5797</v>
      </c>
      <c r="O10" s="143">
        <f>'P&amp;L - Inputs'!N335</f>
        <v>5657</v>
      </c>
      <c r="P10" s="143">
        <f>'P&amp;L - Inputs'!O335</f>
        <v>6260</v>
      </c>
      <c r="Q10" s="143">
        <f>'P&amp;L - Inputs'!P335</f>
        <v>6234</v>
      </c>
      <c r="R10" s="143">
        <f>'P&amp;L - Inputs'!Q335</f>
        <v>7265</v>
      </c>
      <c r="S10" s="143">
        <f>'P&amp;L - Inputs'!R335</f>
        <v>8260</v>
      </c>
      <c r="T10" s="143">
        <f>'P&amp;L - Inputs'!S335</f>
        <v>8246</v>
      </c>
      <c r="U10" s="143">
        <f>'P&amp;L - Inputs'!T335</f>
        <v>11201</v>
      </c>
      <c r="V10" s="143">
        <f>'P&amp;L - Inputs'!U335</f>
        <v>8107</v>
      </c>
      <c r="W10" s="143">
        <f>'P&amp;L - Inputs'!V335</f>
        <v>8643</v>
      </c>
      <c r="X10" s="143">
        <f>'P&amp;L - Inputs'!W335</f>
        <v>10206</v>
      </c>
      <c r="Y10" s="143">
        <f>'P&amp;L - Inputs'!X335</f>
        <v>9270</v>
      </c>
      <c r="Z10" s="143">
        <f>'P&amp;L - Inputs'!Y335</f>
        <v>7374</v>
      </c>
      <c r="AA10" s="143">
        <f>'P&amp;L - Inputs'!Z335</f>
        <v>95</v>
      </c>
      <c r="AB10" s="143">
        <f>'P&amp;L - Inputs'!AA335</f>
        <v>3900</v>
      </c>
      <c r="AC10" s="143">
        <f>'P&amp;L - Inputs'!AB335</f>
        <v>12423</v>
      </c>
      <c r="AD10" s="143">
        <f>'P&amp;L - Inputs'!AC335</f>
        <v>16894</v>
      </c>
      <c r="AE10" s="143">
        <f>'P&amp;L - Inputs'!AD335</f>
        <v>22072</v>
      </c>
      <c r="AF10" s="143">
        <f>'P&amp;L - Inputs'!AE335</f>
        <v>23273</v>
      </c>
      <c r="AG10" s="143">
        <f>'P&amp;L - Inputs'!AF335</f>
        <v>27669</v>
      </c>
      <c r="AH10" s="143">
        <f>'P&amp;L - Inputs'!AG335</f>
        <v>23476</v>
      </c>
      <c r="AI10" s="143">
        <f>'P&amp;L - Inputs'!AH335</f>
        <v>20166</v>
      </c>
      <c r="AJ10" s="143">
        <f>'P&amp;L - Inputs'!AI335</f>
        <v>24581</v>
      </c>
      <c r="AK10" s="143">
        <f>'P&amp;L - Inputs'!AJ335</f>
        <v>21836</v>
      </c>
      <c r="AL10" s="143">
        <f>'P&amp;L - Inputs'!AK335</f>
        <v>24239</v>
      </c>
      <c r="AM10" s="143">
        <f>'P&amp;L - Inputs'!AL335</f>
        <v>18016</v>
      </c>
      <c r="AN10" s="143">
        <f>'P&amp;L - Inputs'!AM335</f>
        <v>8266</v>
      </c>
      <c r="AO10" s="143">
        <f>'P&amp;L - Inputs'!AN335</f>
        <v>26810</v>
      </c>
      <c r="AP10" s="143">
        <f>'P&amp;L - Inputs'!AO335</f>
        <v>33947</v>
      </c>
      <c r="AQ10" s="143">
        <f>'P&amp;L - Inputs'!AP335</f>
        <v>39124</v>
      </c>
      <c r="AR10" s="143">
        <f>'P&amp;L - Inputs'!AQ335</f>
        <v>39601</v>
      </c>
      <c r="AS10" s="143">
        <f>'P&amp;L - Inputs'!AR335</f>
        <v>52331</v>
      </c>
      <c r="AT10" s="143">
        <f>'P&amp;L - Inputs'!AS335</f>
        <v>34852</v>
      </c>
      <c r="AU10" s="143">
        <f>'P&amp;L - Inputs'!AT335</f>
        <v>38477</v>
      </c>
      <c r="AV10" s="143">
        <f>'P&amp;L - Inputs'!AU335</f>
        <v>40669</v>
      </c>
      <c r="AW10" s="143">
        <f>'P&amp;L - Inputs'!AV335</f>
        <v>37435</v>
      </c>
      <c r="AX10" s="143">
        <f>'P&amp;L - Inputs'!AW335</f>
        <v>47022</v>
      </c>
      <c r="AY10" s="143">
        <f>'P&amp;L - Inputs'!AX335</f>
        <v>42384</v>
      </c>
      <c r="AZ10" s="143">
        <f>'P&amp;L - Inputs'!AY335</f>
        <v>41540</v>
      </c>
      <c r="BA10" s="143">
        <f>'P&amp;L - Inputs'!AZ335</f>
        <v>47337</v>
      </c>
      <c r="BB10" s="143">
        <f>'P&amp;L - Inputs'!BA335</f>
        <v>45196</v>
      </c>
      <c r="BC10" s="143">
        <f>'P&amp;L - Inputs'!BB335</f>
        <v>43482</v>
      </c>
      <c r="BD10" s="143">
        <f>'P&amp;L - Inputs'!BC335</f>
        <v>51187</v>
      </c>
      <c r="BE10" s="143">
        <f>'P&amp;L - Inputs'!BD335</f>
        <v>51956</v>
      </c>
      <c r="BF10" s="143">
        <f>'P&amp;L - Inputs'!BE335</f>
        <v>39058</v>
      </c>
      <c r="BG10" s="143">
        <f>'P&amp;L - Inputs'!BF335</f>
        <v>41562</v>
      </c>
      <c r="BH10" s="143">
        <f>'P&amp;L - Inputs'!BG335</f>
        <v>47563</v>
      </c>
      <c r="BI10" s="143">
        <f>'P&amp;L - Inputs'!BH335</f>
        <v>44375</v>
      </c>
      <c r="BJ10" s="143">
        <f>'P&amp;L - Inputs'!BI335</f>
        <v>50068</v>
      </c>
      <c r="BK10" s="143">
        <f>'P&amp;L - Inputs'!BJ335</f>
        <v>54192</v>
      </c>
      <c r="BL10" s="143">
        <f>'P&amp;L - Inputs'!BK335</f>
        <v>58147</v>
      </c>
      <c r="BM10" s="143">
        <f>'P&amp;L - Inputs'!BL335</f>
        <v>55196</v>
      </c>
      <c r="BN10" s="143">
        <f>'P&amp;L - Inputs'!BM335</f>
        <v>57834</v>
      </c>
      <c r="BO10" s="143">
        <f>'P&amp;L - Inputs'!BN335</f>
        <v>58192</v>
      </c>
      <c r="BP10" s="143">
        <f>'P&amp;L - Inputs'!BO335</f>
        <v>52716</v>
      </c>
      <c r="BQ10" s="143">
        <f>'P&amp;L - Inputs'!BP335</f>
        <v>76285</v>
      </c>
      <c r="BR10" s="143">
        <f>'P&amp;L - Inputs'!BQ335</f>
        <v>61963</v>
      </c>
      <c r="BS10" s="143">
        <f>'P&amp;L - Inputs'!BR335</f>
        <v>55860</v>
      </c>
      <c r="BT10" s="143">
        <f>'P&amp;L - Inputs'!BS335</f>
        <v>59120</v>
      </c>
      <c r="BU10" s="143">
        <f>'P&amp;L - Inputs'!BT335</f>
        <v>53513</v>
      </c>
      <c r="BV10" s="143">
        <f>'P&amp;L - Inputs'!BU335</f>
        <v>55133</v>
      </c>
      <c r="BW10" s="143">
        <f>'P&amp;L - Inputs'!BV335</f>
        <v>52304</v>
      </c>
      <c r="BX10" s="143">
        <f>'P&amp;L - Inputs'!BW335</f>
        <v>59813</v>
      </c>
      <c r="BY10" s="143">
        <f>'P&amp;L - Inputs'!BX335</f>
        <v>54260</v>
      </c>
      <c r="BZ10" s="143">
        <f>'P&amp;L - Inputs'!BY335</f>
        <v>61976</v>
      </c>
      <c r="CA10" s="143">
        <f>'P&amp;L - Inputs'!BZ335</f>
        <v>60546</v>
      </c>
      <c r="CB10" s="143">
        <f>'P&amp;L - Inputs'!CA335</f>
        <v>56776</v>
      </c>
      <c r="CC10" s="143">
        <f>'P&amp;L - Inputs'!CB335</f>
        <v>78506</v>
      </c>
      <c r="CD10" s="143">
        <f>'P&amp;L - Inputs'!CC335</f>
        <v>57876</v>
      </c>
      <c r="CE10" s="143">
        <f>'P&amp;L - Inputs'!CD335</f>
        <v>58235</v>
      </c>
      <c r="CF10" s="143">
        <f>'P&amp;L - Inputs'!CE335</f>
        <v>62843</v>
      </c>
      <c r="CG10" s="143">
        <f>'P&amp;L - Inputs'!CF335</f>
        <v>58630</v>
      </c>
      <c r="CH10" s="143">
        <f>'P&amp;L - Inputs'!CG335</f>
        <v>59318</v>
      </c>
      <c r="CI10" s="143">
        <f>'P&amp;L - Inputs'!CH335</f>
        <v>59845</v>
      </c>
      <c r="CJ10" s="143">
        <f>'P&amp;L - Inputs'!CI335</f>
        <v>65209</v>
      </c>
      <c r="CK10" s="143">
        <f>'P&amp;L - Inputs'!CJ335</f>
        <v>64438</v>
      </c>
      <c r="CL10" s="143">
        <f>'P&amp;L - Inputs'!CK335</f>
        <v>70452</v>
      </c>
      <c r="CM10" s="143">
        <f>'P&amp;L - Inputs'!CL335</f>
        <v>65759</v>
      </c>
      <c r="CN10" s="143">
        <f>'P&amp;L - Inputs'!CM335</f>
        <v>76391</v>
      </c>
      <c r="CO10" s="143">
        <f>'P&amp;L - Inputs'!CN335</f>
        <v>94429</v>
      </c>
      <c r="CP10" s="143">
        <f>'P&amp;L - Inputs'!CO335</f>
        <v>69898</v>
      </c>
      <c r="CQ10" s="143">
        <f>'P&amp;L - Inputs'!CP335</f>
        <v>72218</v>
      </c>
      <c r="CR10" s="143">
        <f>'P&amp;L - Inputs'!CQ335</f>
        <v>75770</v>
      </c>
      <c r="CS10" s="143">
        <f>'P&amp;L - Inputs'!CR335</f>
        <v>64966</v>
      </c>
      <c r="CT10" s="143">
        <f>'P&amp;L - Inputs'!CS335</f>
        <v>78919</v>
      </c>
      <c r="CU10" s="143">
        <f>'P&amp;L - Inputs'!CT335</f>
        <v>74806.25</v>
      </c>
      <c r="CV10" s="143">
        <f>'P&amp;L - Inputs'!CU335</f>
        <v>81511.25</v>
      </c>
      <c r="CW10" s="143">
        <f>'P&amp;L - Inputs'!CV335</f>
        <v>80547.5</v>
      </c>
      <c r="CX10" s="143">
        <f>'P&amp;L - Inputs'!CW335</f>
        <v>88065</v>
      </c>
      <c r="CY10" s="143">
        <f>'P&amp;L - Inputs'!CX335</f>
        <v>82198.75</v>
      </c>
      <c r="CZ10" s="143">
        <f>'P&amp;L - Inputs'!CY335</f>
        <v>95488.75</v>
      </c>
      <c r="DA10" s="143">
        <f>'P&amp;L - Inputs'!CZ335</f>
        <v>118036.25</v>
      </c>
      <c r="DB10" s="143">
        <f>'P&amp;L - Inputs'!DA335</f>
        <v>87372.5</v>
      </c>
      <c r="DC10" s="143">
        <f>'P&amp;L - Inputs'!DB335</f>
        <v>90272.5</v>
      </c>
      <c r="DD10" s="143">
        <f>'P&amp;L - Inputs'!DC335</f>
        <v>94712.5</v>
      </c>
      <c r="DE10" s="143">
        <f>'P&amp;L - Inputs'!DD335</f>
        <v>81207.5</v>
      </c>
      <c r="DF10" s="143">
        <f>'P&amp;L - Inputs'!DE335</f>
        <v>98648.75</v>
      </c>
      <c r="DG10" s="143">
        <f>'P&amp;L - Inputs'!DF335</f>
        <v>89767.5</v>
      </c>
      <c r="DH10" s="143">
        <f>'P&amp;L - Inputs'!DG335</f>
        <v>97813.5</v>
      </c>
      <c r="DI10" s="143">
        <f>'P&amp;L - Inputs'!DH335</f>
        <v>96657</v>
      </c>
      <c r="DJ10" s="143">
        <f>'P&amp;L - Inputs'!DI335</f>
        <v>105678</v>
      </c>
      <c r="DK10" s="143">
        <f>'P&amp;L - Inputs'!DJ335</f>
        <v>98638.5</v>
      </c>
      <c r="DL10" s="143">
        <f>'P&amp;L - Inputs'!DK335</f>
        <v>114586.5</v>
      </c>
      <c r="DM10" s="143">
        <f>'P&amp;L - Inputs'!DL335</f>
        <v>141643.5</v>
      </c>
      <c r="DN10" s="143">
        <f>'P&amp;L - Inputs'!DM335</f>
        <v>104847</v>
      </c>
      <c r="DO10" s="143">
        <f>'P&amp;L - Inputs'!DN335</f>
        <v>108327</v>
      </c>
      <c r="DP10" s="143">
        <f>'P&amp;L - Inputs'!DO335</f>
        <v>113655</v>
      </c>
      <c r="DQ10" s="143">
        <f>'P&amp;L - Inputs'!DP335</f>
        <v>97449</v>
      </c>
      <c r="DR10" s="143">
        <f>'P&amp;L - Inputs'!DQ335</f>
        <v>118378.5</v>
      </c>
      <c r="DS10" s="143">
        <f>'P&amp;L - Inputs'!DR335</f>
        <v>103232.62499999999</v>
      </c>
      <c r="DT10" s="143">
        <f>'P&amp;L - Inputs'!DS335</f>
        <v>112485.52499999999</v>
      </c>
      <c r="DU10" s="143">
        <f>'P&amp;L - Inputs'!DT335</f>
        <v>111155.54999999999</v>
      </c>
      <c r="DV10" s="143">
        <f>'P&amp;L - Inputs'!DU335</f>
        <v>121529.7</v>
      </c>
      <c r="DW10" s="143">
        <f>'P&amp;L - Inputs'!DV335</f>
        <v>113434.27499999999</v>
      </c>
      <c r="DX10" s="143">
        <f>'P&amp;L - Inputs'!DW335</f>
        <v>131774.47499999998</v>
      </c>
      <c r="DY10" s="143">
        <f>'P&amp;L - Inputs'!DX335</f>
        <v>162890.02499999999</v>
      </c>
      <c r="DZ10" s="143">
        <f>'P&amp;L - Inputs'!DY335</f>
        <v>120574.04999999999</v>
      </c>
      <c r="EA10" s="143">
        <f>'P&amp;L - Inputs'!DZ335</f>
        <v>124576.04999999999</v>
      </c>
      <c r="EB10" s="143">
        <f>'P&amp;L - Inputs'!EA335</f>
        <v>130703.24999999999</v>
      </c>
      <c r="EC10" s="143">
        <f>'P&amp;L - Inputs'!EB335</f>
        <v>112066.34999999999</v>
      </c>
      <c r="ED10" s="143">
        <f>'P&amp;L - Inputs'!EC335</f>
        <v>136135.27499999999</v>
      </c>
      <c r="EF10" s="165">
        <f t="shared" si="13"/>
        <v>167535</v>
      </c>
      <c r="EG10" s="165">
        <f t="shared" si="14"/>
        <v>168742</v>
      </c>
      <c r="EH10" s="165">
        <f t="shared" si="15"/>
        <v>194108</v>
      </c>
      <c r="EI10" s="165">
        <f t="shared" si="16"/>
        <v>167766</v>
      </c>
      <c r="EJ10" s="165">
        <f t="shared" si="17"/>
        <v>166377</v>
      </c>
      <c r="EK10" s="165">
        <f t="shared" si="18"/>
        <v>212602</v>
      </c>
      <c r="EL10" s="165">
        <f t="shared" si="19"/>
        <v>194617</v>
      </c>
      <c r="EM10" s="165">
        <f t="shared" si="20"/>
        <v>180791</v>
      </c>
      <c r="EN10" s="165">
        <f t="shared" si="21"/>
        <v>189492</v>
      </c>
      <c r="EO10" s="165">
        <f t="shared" si="22"/>
        <v>212602</v>
      </c>
      <c r="EP10" s="165">
        <f t="shared" si="23"/>
        <v>236545</v>
      </c>
      <c r="EQ10" s="165">
        <f t="shared" si="24"/>
        <v>219655</v>
      </c>
      <c r="ER10" s="165">
        <f t="shared" si="25"/>
        <v>236865</v>
      </c>
      <c r="ES10" s="165">
        <f t="shared" si="26"/>
        <v>265752.5</v>
      </c>
      <c r="ET10" s="165">
        <f t="shared" si="27"/>
        <v>295681.25</v>
      </c>
      <c r="EU10" s="165">
        <f t="shared" si="28"/>
        <v>274568.75</v>
      </c>
      <c r="EV10" s="165">
        <f t="shared" si="29"/>
        <v>284238</v>
      </c>
      <c r="EW10" s="165">
        <f t="shared" si="30"/>
        <v>318903</v>
      </c>
      <c r="EX10" s="165">
        <f t="shared" si="31"/>
        <v>354817.5</v>
      </c>
      <c r="EY10" s="165">
        <f t="shared" si="32"/>
        <v>329482.5</v>
      </c>
      <c r="EZ10" s="165">
        <f t="shared" si="33"/>
        <v>326873.69999999995</v>
      </c>
      <c r="FA10" s="165">
        <f t="shared" si="34"/>
        <v>366738.44999999995</v>
      </c>
      <c r="FB10" s="165">
        <f t="shared" si="35"/>
        <v>408040.12499999994</v>
      </c>
      <c r="FC10" s="165">
        <f t="shared" si="36"/>
        <v>378904.875</v>
      </c>
      <c r="FE10" s="165">
        <f t="shared" si="37"/>
        <v>698151</v>
      </c>
      <c r="FF10" s="165">
        <f t="shared" si="38"/>
        <v>754387</v>
      </c>
      <c r="FG10" s="165">
        <f t="shared" si="39"/>
        <v>858294</v>
      </c>
      <c r="FH10" s="165">
        <f t="shared" si="40"/>
        <v>1072867.5</v>
      </c>
      <c r="FI10" s="165">
        <f t="shared" si="41"/>
        <v>1287441</v>
      </c>
      <c r="FJ10" s="804">
        <f t="shared" si="42"/>
        <v>1480557.15</v>
      </c>
    </row>
    <row r="11" spans="2:166" x14ac:dyDescent="0.2">
      <c r="B11" s="22" t="s">
        <v>14</v>
      </c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>
        <f>AM9/AM10</f>
        <v>533.79518206039063</v>
      </c>
      <c r="AN11" s="143">
        <f t="shared" ref="AN11:CY11" si="50">AN9/AN10</f>
        <v>524.22017904669735</v>
      </c>
      <c r="AO11" s="143">
        <f t="shared" si="50"/>
        <v>497.22797463632975</v>
      </c>
      <c r="AP11" s="143">
        <f t="shared" si="50"/>
        <v>508.03405308274665</v>
      </c>
      <c r="AQ11" s="143">
        <f t="shared" si="50"/>
        <v>509.32872405684492</v>
      </c>
      <c r="AR11" s="143">
        <f t="shared" si="50"/>
        <v>486.9619496854001</v>
      </c>
      <c r="AS11" s="143">
        <f t="shared" si="50"/>
        <v>521.53350786340798</v>
      </c>
      <c r="AT11" s="143">
        <f t="shared" si="50"/>
        <v>507.30316768047743</v>
      </c>
      <c r="AU11" s="143">
        <f t="shared" si="50"/>
        <v>504.42787084337857</v>
      </c>
      <c r="AV11" s="143">
        <f t="shared" si="50"/>
        <v>514.49170129582728</v>
      </c>
      <c r="AW11" s="143">
        <f t="shared" si="50"/>
        <v>514.24498464004273</v>
      </c>
      <c r="AX11" s="143">
        <f t="shared" si="50"/>
        <v>532.34607205138025</v>
      </c>
      <c r="AY11" s="143">
        <f t="shared" si="50"/>
        <v>526.75651189127962</v>
      </c>
      <c r="AZ11" s="143">
        <f t="shared" si="50"/>
        <v>511.20235917188245</v>
      </c>
      <c r="BA11" s="143">
        <f t="shared" si="50"/>
        <v>500.94387054523946</v>
      </c>
      <c r="BB11" s="143">
        <f t="shared" si="50"/>
        <v>515.91455521037562</v>
      </c>
      <c r="BC11" s="143">
        <f t="shared" si="50"/>
        <v>558.27768396663646</v>
      </c>
      <c r="BD11" s="143">
        <f t="shared" si="50"/>
        <v>592.40992730874132</v>
      </c>
      <c r="BE11" s="143">
        <f t="shared" si="50"/>
        <v>597.83805984464038</v>
      </c>
      <c r="BF11" s="143">
        <f t="shared" si="50"/>
        <v>635.57525921901458</v>
      </c>
      <c r="BG11" s="143">
        <f t="shared" si="50"/>
        <v>675.2980986543281</v>
      </c>
      <c r="BH11" s="143">
        <f t="shared" si="50"/>
        <v>668.85360968164605</v>
      </c>
      <c r="BI11" s="143">
        <f t="shared" si="50"/>
        <v>664.8114929577464</v>
      </c>
      <c r="BJ11" s="143">
        <f t="shared" si="50"/>
        <v>665.78914540631524</v>
      </c>
      <c r="BK11" s="143">
        <f t="shared" si="50"/>
        <v>675.22805292419162</v>
      </c>
      <c r="BL11" s="143">
        <f t="shared" si="50"/>
        <v>658.57749485305055</v>
      </c>
      <c r="BM11" s="143">
        <f t="shared" si="50"/>
        <v>688.70770849275493</v>
      </c>
      <c r="BN11" s="143">
        <f t="shared" si="50"/>
        <v>717.74740153437381</v>
      </c>
      <c r="BO11" s="143">
        <f t="shared" si="50"/>
        <v>735.70147827414098</v>
      </c>
      <c r="BP11" s="143">
        <f t="shared" si="50"/>
        <v>722.77765506500452</v>
      </c>
      <c r="BQ11" s="143">
        <f t="shared" si="50"/>
        <v>741.91431996205131</v>
      </c>
      <c r="BR11" s="143">
        <f t="shared" si="50"/>
        <v>760.73106914268408</v>
      </c>
      <c r="BS11" s="143">
        <f t="shared" si="50"/>
        <v>780.52458931833223</v>
      </c>
      <c r="BT11" s="143">
        <f t="shared" si="50"/>
        <v>838.17549912846027</v>
      </c>
      <c r="BU11" s="143">
        <f t="shared" si="50"/>
        <v>819.77368717944978</v>
      </c>
      <c r="BV11" s="143">
        <f t="shared" si="50"/>
        <v>814.32936747409258</v>
      </c>
      <c r="BW11" s="143">
        <f t="shared" si="50"/>
        <v>820.89889744959066</v>
      </c>
      <c r="BX11" s="143">
        <f t="shared" si="50"/>
        <v>830.7709564866999</v>
      </c>
      <c r="BY11" s="143">
        <f t="shared" si="50"/>
        <v>845.64767097527897</v>
      </c>
      <c r="BZ11" s="143">
        <f t="shared" si="50"/>
        <v>870.77805405263496</v>
      </c>
      <c r="CA11" s="143">
        <f t="shared" si="50"/>
        <v>841.06965456156877</v>
      </c>
      <c r="CB11" s="143">
        <f t="shared" si="50"/>
        <v>853.27108703128329</v>
      </c>
      <c r="CC11" s="143">
        <f t="shared" si="50"/>
        <v>867.78608522634784</v>
      </c>
      <c r="CD11" s="143">
        <f t="shared" si="50"/>
        <v>904.72740815841235</v>
      </c>
      <c r="CE11" s="143">
        <f t="shared" si="50"/>
        <v>920.9922552253945</v>
      </c>
      <c r="CF11" s="143">
        <f t="shared" si="50"/>
        <v>920.29572485858637</v>
      </c>
      <c r="CG11" s="143">
        <f t="shared" si="50"/>
        <v>985.2319356955569</v>
      </c>
      <c r="CH11" s="143">
        <f t="shared" si="50"/>
        <v>953.56156932957151</v>
      </c>
      <c r="CI11" s="143">
        <f t="shared" si="50"/>
        <v>952.98846313428328</v>
      </c>
      <c r="CJ11" s="143">
        <f t="shared" si="50"/>
        <v>924.83120506137891</v>
      </c>
      <c r="CK11" s="143">
        <f t="shared" si="50"/>
        <v>922.59240783809526</v>
      </c>
      <c r="CL11" s="143">
        <f t="shared" si="50"/>
        <v>891.84224479799695</v>
      </c>
      <c r="CM11" s="143">
        <f t="shared" si="50"/>
        <v>883.04672222478541</v>
      </c>
      <c r="CN11" s="143">
        <f t="shared" si="50"/>
        <v>917.74742521137364</v>
      </c>
      <c r="CO11" s="143">
        <f t="shared" si="50"/>
        <v>937.31440409627101</v>
      </c>
      <c r="CP11" s="143">
        <f t="shared" si="50"/>
        <v>979.76469101950488</v>
      </c>
      <c r="CQ11" s="143">
        <f t="shared" si="50"/>
        <v>990.77736500266838</v>
      </c>
      <c r="CR11" s="143">
        <f t="shared" si="50"/>
        <v>986.2998861407068</v>
      </c>
      <c r="CS11" s="143">
        <f t="shared" si="50"/>
        <v>1008.7276747628616</v>
      </c>
      <c r="CT11" s="143">
        <f t="shared" si="50"/>
        <v>1050.8768484141967</v>
      </c>
      <c r="CU11" s="143">
        <f t="shared" si="50"/>
        <v>983.49452504481417</v>
      </c>
      <c r="CV11" s="143">
        <f t="shared" si="50"/>
        <v>983.49452504481417</v>
      </c>
      <c r="CW11" s="143">
        <f t="shared" si="50"/>
        <v>983.49452504481428</v>
      </c>
      <c r="CX11" s="143">
        <f t="shared" si="50"/>
        <v>983.49452504481417</v>
      </c>
      <c r="CY11" s="143">
        <f t="shared" si="50"/>
        <v>983.49452504481417</v>
      </c>
      <c r="CZ11" s="143">
        <f t="shared" ref="CZ11:DR11" si="51">CZ9/CZ10</f>
        <v>983.49452504481417</v>
      </c>
      <c r="DA11" s="143">
        <f t="shared" si="51"/>
        <v>983.49452504481405</v>
      </c>
      <c r="DB11" s="143">
        <f t="shared" si="51"/>
        <v>983.49452504481417</v>
      </c>
      <c r="DC11" s="143">
        <f t="shared" si="51"/>
        <v>983.49452504481417</v>
      </c>
      <c r="DD11" s="143">
        <f t="shared" si="51"/>
        <v>983.49452504481417</v>
      </c>
      <c r="DE11" s="143">
        <f t="shared" si="51"/>
        <v>983.49452504481405</v>
      </c>
      <c r="DF11" s="143">
        <f t="shared" si="51"/>
        <v>983.49452504481417</v>
      </c>
      <c r="DG11" s="143">
        <f t="shared" si="51"/>
        <v>983.49452504481417</v>
      </c>
      <c r="DH11" s="143">
        <f t="shared" si="51"/>
        <v>983.49452504481417</v>
      </c>
      <c r="DI11" s="143">
        <f t="shared" si="51"/>
        <v>983.49452504481428</v>
      </c>
      <c r="DJ11" s="143">
        <f t="shared" si="51"/>
        <v>983.49452504481417</v>
      </c>
      <c r="DK11" s="143">
        <f t="shared" si="51"/>
        <v>983.49452504481417</v>
      </c>
      <c r="DL11" s="143">
        <f t="shared" si="51"/>
        <v>983.49452504481417</v>
      </c>
      <c r="DM11" s="143">
        <f t="shared" si="51"/>
        <v>983.49452504481428</v>
      </c>
      <c r="DN11" s="143">
        <f t="shared" si="51"/>
        <v>983.49452504481405</v>
      </c>
      <c r="DO11" s="143">
        <f t="shared" si="51"/>
        <v>983.49452504481428</v>
      </c>
      <c r="DP11" s="143">
        <f t="shared" si="51"/>
        <v>983.49452504481417</v>
      </c>
      <c r="DQ11" s="143">
        <f t="shared" si="51"/>
        <v>983.49452504481405</v>
      </c>
      <c r="DR11" s="143">
        <f t="shared" si="51"/>
        <v>983.49452504481405</v>
      </c>
      <c r="DS11" s="143">
        <f t="shared" ref="DS11:ED11" si="52">DS9/DS10</f>
        <v>983.49452504481417</v>
      </c>
      <c r="DT11" s="143">
        <f t="shared" si="52"/>
        <v>983.49452504481405</v>
      </c>
      <c r="DU11" s="143">
        <f t="shared" si="52"/>
        <v>983.49452504481417</v>
      </c>
      <c r="DV11" s="143">
        <f t="shared" si="52"/>
        <v>983.49452504481417</v>
      </c>
      <c r="DW11" s="143">
        <f t="shared" si="52"/>
        <v>983.49452504481405</v>
      </c>
      <c r="DX11" s="143">
        <f t="shared" si="52"/>
        <v>983.49452504481428</v>
      </c>
      <c r="DY11" s="143">
        <f t="shared" si="52"/>
        <v>983.4945250448144</v>
      </c>
      <c r="DZ11" s="143">
        <f t="shared" si="52"/>
        <v>983.49452504481417</v>
      </c>
      <c r="EA11" s="143">
        <f t="shared" si="52"/>
        <v>983.49452504481428</v>
      </c>
      <c r="EB11" s="143">
        <f t="shared" si="52"/>
        <v>983.49452504481417</v>
      </c>
      <c r="EC11" s="143">
        <f t="shared" si="52"/>
        <v>983.49452504481417</v>
      </c>
      <c r="ED11" s="143">
        <f t="shared" si="52"/>
        <v>983.49452504481428</v>
      </c>
      <c r="EF11" s="165">
        <f t="shared" si="13"/>
        <v>2022.5132562699973</v>
      </c>
      <c r="EG11" s="165">
        <f t="shared" si="14"/>
        <v>2176.2265348735195</v>
      </c>
      <c r="EH11" s="165">
        <f t="shared" si="15"/>
        <v>2283.1699784230677</v>
      </c>
      <c r="EI11" s="165">
        <f t="shared" si="16"/>
        <v>2472.2785537820027</v>
      </c>
      <c r="EJ11" s="165">
        <f t="shared" si="17"/>
        <v>2497.3175249115693</v>
      </c>
      <c r="EK11" s="165">
        <f t="shared" si="18"/>
        <v>2692.6363922341561</v>
      </c>
      <c r="EL11" s="165">
        <f t="shared" si="19"/>
        <v>2693.505748610155</v>
      </c>
      <c r="EM11" s="165">
        <f t="shared" si="20"/>
        <v>2859.0892298837148</v>
      </c>
      <c r="EN11" s="165">
        <f t="shared" si="21"/>
        <v>2800.4120760337573</v>
      </c>
      <c r="EO11" s="165">
        <f t="shared" si="22"/>
        <v>2692.6363922341561</v>
      </c>
      <c r="EP11" s="165">
        <f t="shared" si="23"/>
        <v>2907.8564601184444</v>
      </c>
      <c r="EQ11" s="165">
        <f t="shared" si="24"/>
        <v>3045.9044093177654</v>
      </c>
      <c r="ER11" s="165">
        <f t="shared" si="25"/>
        <v>2950.4835751344426</v>
      </c>
      <c r="ES11" s="165">
        <f t="shared" si="26"/>
        <v>2950.4835751344426</v>
      </c>
      <c r="ET11" s="165">
        <f t="shared" si="27"/>
        <v>2950.4835751344422</v>
      </c>
      <c r="EU11" s="165">
        <f t="shared" si="28"/>
        <v>2950.4835751344422</v>
      </c>
      <c r="EV11" s="165">
        <f t="shared" si="29"/>
        <v>2950.4835751344426</v>
      </c>
      <c r="EW11" s="165">
        <f t="shared" si="30"/>
        <v>2950.4835751344426</v>
      </c>
      <c r="EX11" s="165">
        <f t="shared" si="31"/>
        <v>2950.4835751344426</v>
      </c>
      <c r="EY11" s="165">
        <f t="shared" si="32"/>
        <v>2950.4835751344422</v>
      </c>
      <c r="EZ11" s="165">
        <f t="shared" si="33"/>
        <v>2950.4835751344422</v>
      </c>
      <c r="FA11" s="165">
        <f t="shared" si="34"/>
        <v>2950.4835751344426</v>
      </c>
      <c r="FB11" s="165">
        <f t="shared" si="35"/>
        <v>2950.4835751344426</v>
      </c>
      <c r="FC11" s="165">
        <f t="shared" si="36"/>
        <v>2950.4835751344426</v>
      </c>
      <c r="FE11" s="165">
        <f t="shared" si="37"/>
        <v>8954.188323348586</v>
      </c>
      <c r="FF11" s="165">
        <f t="shared" si="38"/>
        <v>10742.548895639595</v>
      </c>
      <c r="FG11" s="165">
        <f t="shared" si="39"/>
        <v>11446.809337704122</v>
      </c>
      <c r="FH11" s="165">
        <f t="shared" si="40"/>
        <v>11801.934300537769</v>
      </c>
      <c r="FI11" s="165">
        <f t="shared" si="41"/>
        <v>11801.934300537769</v>
      </c>
      <c r="FJ11" s="804">
        <f t="shared" si="42"/>
        <v>11801.93430053777</v>
      </c>
    </row>
    <row r="12" spans="2:166" x14ac:dyDescent="0.2">
      <c r="B12" s="22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4"/>
      <c r="BC12" s="143"/>
      <c r="BD12" s="143"/>
      <c r="BE12" s="143"/>
      <c r="BF12" s="143"/>
      <c r="BG12" s="143"/>
      <c r="BH12" s="143"/>
      <c r="BI12" s="143"/>
      <c r="BJ12" s="143"/>
      <c r="BK12" s="143"/>
      <c r="BL12" s="143"/>
      <c r="BM12" s="143"/>
      <c r="BN12" s="143"/>
      <c r="BO12" s="143"/>
      <c r="BP12" s="143"/>
      <c r="BQ12" s="143"/>
      <c r="BR12" s="143"/>
      <c r="BS12" s="143"/>
      <c r="BT12" s="143"/>
      <c r="BU12" s="143"/>
      <c r="BV12" s="143"/>
      <c r="BW12" s="143"/>
      <c r="BX12" s="143"/>
      <c r="BY12" s="143"/>
      <c r="BZ12" s="143"/>
      <c r="CA12" s="143"/>
      <c r="CB12" s="143"/>
      <c r="CC12" s="143"/>
      <c r="CD12" s="143"/>
      <c r="CE12" s="143"/>
      <c r="CF12" s="143"/>
      <c r="CG12" s="143"/>
      <c r="CH12" s="143"/>
      <c r="CI12" s="143"/>
      <c r="CJ12" s="143"/>
      <c r="CK12" s="143"/>
      <c r="CL12" s="143"/>
      <c r="CM12" s="143"/>
      <c r="CN12" s="143"/>
      <c r="CO12" s="143"/>
      <c r="CP12" s="143"/>
      <c r="CQ12" s="143"/>
      <c r="CR12" s="143"/>
      <c r="CS12" s="143"/>
      <c r="CT12" s="143"/>
      <c r="CU12" s="143"/>
      <c r="CV12" s="143"/>
      <c r="CW12" s="143"/>
      <c r="CX12" s="143"/>
      <c r="CY12" s="143"/>
      <c r="CZ12" s="143"/>
      <c r="DA12" s="143"/>
      <c r="DB12" s="143"/>
      <c r="DC12" s="143"/>
      <c r="DD12" s="143"/>
      <c r="DE12" s="143"/>
      <c r="DF12" s="143"/>
      <c r="DG12" s="143"/>
      <c r="DH12" s="143"/>
      <c r="DI12" s="143"/>
      <c r="DJ12" s="143"/>
      <c r="DK12" s="143"/>
      <c r="DL12" s="143"/>
      <c r="DM12" s="143"/>
      <c r="DN12" s="143"/>
      <c r="DO12" s="143"/>
      <c r="DP12" s="143"/>
      <c r="DQ12" s="143"/>
      <c r="DR12" s="143"/>
      <c r="DS12" s="143"/>
      <c r="DT12" s="143"/>
      <c r="DU12" s="143"/>
      <c r="DV12" s="143"/>
      <c r="DW12" s="143"/>
      <c r="DX12" s="143"/>
      <c r="DY12" s="143"/>
      <c r="DZ12" s="143"/>
      <c r="EA12" s="143"/>
      <c r="EB12" s="143"/>
      <c r="EC12" s="143"/>
      <c r="ED12" s="143"/>
      <c r="EF12" s="294">
        <f t="shared" si="13"/>
        <v>0</v>
      </c>
      <c r="EG12" s="294">
        <f t="shared" si="14"/>
        <v>0</v>
      </c>
      <c r="EH12" s="294">
        <f t="shared" si="15"/>
        <v>0</v>
      </c>
      <c r="EI12" s="294">
        <f t="shared" si="16"/>
        <v>0</v>
      </c>
      <c r="EJ12" s="294">
        <f t="shared" si="17"/>
        <v>0</v>
      </c>
      <c r="EK12" s="294">
        <f t="shared" si="18"/>
        <v>0</v>
      </c>
      <c r="EL12" s="294">
        <f t="shared" si="19"/>
        <v>0</v>
      </c>
      <c r="EM12" s="294">
        <f t="shared" si="20"/>
        <v>0</v>
      </c>
      <c r="EN12" s="294">
        <f t="shared" si="21"/>
        <v>0</v>
      </c>
      <c r="EO12" s="294">
        <f t="shared" si="22"/>
        <v>0</v>
      </c>
      <c r="EP12" s="294">
        <f t="shared" si="23"/>
        <v>0</v>
      </c>
      <c r="EQ12" s="294">
        <f t="shared" si="24"/>
        <v>0</v>
      </c>
      <c r="ER12" s="294">
        <f t="shared" si="25"/>
        <v>0</v>
      </c>
      <c r="ES12" s="294">
        <f t="shared" si="26"/>
        <v>0</v>
      </c>
      <c r="ET12" s="294">
        <f t="shared" si="27"/>
        <v>0</v>
      </c>
      <c r="EU12" s="294">
        <f t="shared" si="28"/>
        <v>0</v>
      </c>
      <c r="EV12" s="294">
        <f t="shared" si="29"/>
        <v>0</v>
      </c>
      <c r="EW12" s="294">
        <f t="shared" si="30"/>
        <v>0</v>
      </c>
      <c r="EX12" s="294">
        <f t="shared" si="31"/>
        <v>0</v>
      </c>
      <c r="EY12" s="294">
        <f t="shared" si="32"/>
        <v>0</v>
      </c>
      <c r="EZ12" s="294">
        <f t="shared" si="33"/>
        <v>0</v>
      </c>
      <c r="FA12" s="294">
        <f t="shared" si="34"/>
        <v>0</v>
      </c>
      <c r="FB12" s="294">
        <f t="shared" si="35"/>
        <v>0</v>
      </c>
      <c r="FC12" s="294">
        <f t="shared" si="36"/>
        <v>0</v>
      </c>
      <c r="FE12" s="165">
        <f t="shared" si="37"/>
        <v>0</v>
      </c>
      <c r="FF12" s="165">
        <f t="shared" si="38"/>
        <v>0</v>
      </c>
      <c r="FG12" s="165">
        <f t="shared" si="39"/>
        <v>0</v>
      </c>
      <c r="FH12" s="165">
        <f t="shared" si="40"/>
        <v>0</v>
      </c>
      <c r="FI12" s="165">
        <f t="shared" si="41"/>
        <v>0</v>
      </c>
      <c r="FJ12" s="804">
        <f t="shared" si="42"/>
        <v>0</v>
      </c>
    </row>
    <row r="13" spans="2:166" x14ac:dyDescent="0.2">
      <c r="B13" s="22" t="s">
        <v>15</v>
      </c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5"/>
      <c r="BC13" s="145"/>
      <c r="BD13" s="146"/>
      <c r="BE13" s="143"/>
      <c r="BF13" s="143"/>
      <c r="BG13" s="143"/>
      <c r="BH13" s="143"/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143"/>
      <c r="BV13" s="143"/>
      <c r="BW13" s="143"/>
      <c r="BX13" s="143"/>
      <c r="BY13" s="143"/>
      <c r="BZ13" s="143"/>
      <c r="CA13" s="143"/>
      <c r="CB13" s="143"/>
      <c r="CC13" s="143"/>
      <c r="CD13" s="143"/>
      <c r="CE13" s="143"/>
      <c r="CF13" s="143"/>
      <c r="CG13" s="143"/>
      <c r="CH13" s="143"/>
      <c r="CI13" s="143"/>
      <c r="CJ13" s="143"/>
      <c r="CK13" s="143"/>
      <c r="CL13" s="143"/>
      <c r="CM13" s="143"/>
      <c r="CN13" s="143"/>
      <c r="CO13" s="143"/>
      <c r="CP13" s="143"/>
      <c r="CQ13" s="143"/>
      <c r="CR13" s="143"/>
      <c r="CS13" s="143"/>
      <c r="CT13" s="143"/>
      <c r="CU13" s="143"/>
      <c r="CV13" s="143"/>
      <c r="CW13" s="143"/>
      <c r="CX13" s="143"/>
      <c r="CY13" s="143"/>
      <c r="CZ13" s="143"/>
      <c r="DA13" s="143"/>
      <c r="DB13" s="143"/>
      <c r="DC13" s="143"/>
      <c r="DD13" s="143"/>
      <c r="DE13" s="143"/>
      <c r="DF13" s="143"/>
      <c r="DG13" s="143"/>
      <c r="DH13" s="143"/>
      <c r="DI13" s="143"/>
      <c r="DJ13" s="143"/>
      <c r="DK13" s="143"/>
      <c r="DL13" s="143"/>
      <c r="DM13" s="143"/>
      <c r="DN13" s="143"/>
      <c r="DO13" s="143"/>
      <c r="DP13" s="143"/>
      <c r="DQ13" s="143"/>
      <c r="DR13" s="143"/>
      <c r="DS13" s="143"/>
      <c r="DT13" s="143"/>
      <c r="DU13" s="143"/>
      <c r="DV13" s="143"/>
      <c r="DW13" s="143"/>
      <c r="DX13" s="143"/>
      <c r="DY13" s="143"/>
      <c r="DZ13" s="143"/>
      <c r="EA13" s="143"/>
      <c r="EB13" s="143"/>
      <c r="EC13" s="143"/>
      <c r="ED13" s="143"/>
      <c r="EF13" s="165">
        <f t="shared" si="13"/>
        <v>0</v>
      </c>
      <c r="EG13" s="165">
        <f t="shared" si="14"/>
        <v>0</v>
      </c>
      <c r="EH13" s="165">
        <f t="shared" si="15"/>
        <v>0</v>
      </c>
      <c r="EI13" s="165">
        <f t="shared" si="16"/>
        <v>0</v>
      </c>
      <c r="EJ13" s="165">
        <f t="shared" si="17"/>
        <v>0</v>
      </c>
      <c r="EK13" s="165">
        <f t="shared" si="18"/>
        <v>0</v>
      </c>
      <c r="EL13" s="165">
        <f t="shared" si="19"/>
        <v>0</v>
      </c>
      <c r="EM13" s="165">
        <f t="shared" si="20"/>
        <v>0</v>
      </c>
      <c r="EN13" s="165">
        <f t="shared" si="21"/>
        <v>0</v>
      </c>
      <c r="EO13" s="165">
        <f t="shared" si="22"/>
        <v>0</v>
      </c>
      <c r="EP13" s="165">
        <f t="shared" si="23"/>
        <v>0</v>
      </c>
      <c r="EQ13" s="165">
        <f t="shared" si="24"/>
        <v>0</v>
      </c>
      <c r="ER13" s="165">
        <f t="shared" si="25"/>
        <v>0</v>
      </c>
      <c r="ES13" s="165">
        <f t="shared" si="26"/>
        <v>0</v>
      </c>
      <c r="ET13" s="165">
        <f t="shared" si="27"/>
        <v>0</v>
      </c>
      <c r="EU13" s="165">
        <f t="shared" si="28"/>
        <v>0</v>
      </c>
      <c r="EV13" s="165">
        <f t="shared" si="29"/>
        <v>0</v>
      </c>
      <c r="EW13" s="165">
        <f t="shared" si="30"/>
        <v>0</v>
      </c>
      <c r="EX13" s="165">
        <f t="shared" si="31"/>
        <v>0</v>
      </c>
      <c r="EY13" s="165">
        <f t="shared" si="32"/>
        <v>0</v>
      </c>
      <c r="EZ13" s="165">
        <f t="shared" si="33"/>
        <v>0</v>
      </c>
      <c r="FA13" s="165">
        <f t="shared" si="34"/>
        <v>0</v>
      </c>
      <c r="FB13" s="165">
        <f t="shared" si="35"/>
        <v>0</v>
      </c>
      <c r="FC13" s="165">
        <f t="shared" si="36"/>
        <v>0</v>
      </c>
      <c r="FE13" s="165">
        <f t="shared" si="37"/>
        <v>0</v>
      </c>
      <c r="FF13" s="165">
        <f t="shared" si="38"/>
        <v>0</v>
      </c>
      <c r="FG13" s="165">
        <f t="shared" si="39"/>
        <v>0</v>
      </c>
      <c r="FH13" s="165">
        <f t="shared" si="40"/>
        <v>0</v>
      </c>
      <c r="FI13" s="165">
        <f t="shared" si="41"/>
        <v>0</v>
      </c>
      <c r="FJ13" s="804">
        <f t="shared" si="42"/>
        <v>0</v>
      </c>
    </row>
    <row r="14" spans="2:166" x14ac:dyDescent="0.2">
      <c r="B14" s="22" t="s">
        <v>16</v>
      </c>
      <c r="C14" s="143"/>
      <c r="D14" s="141">
        <f>D9/C9-1</f>
        <v>0.48563752880224809</v>
      </c>
      <c r="E14" s="141">
        <f t="shared" ref="E14:BP14" si="53">E9/D9-1</f>
        <v>-7.2533569143068521E-2</v>
      </c>
      <c r="F14" s="141">
        <f t="shared" si="53"/>
        <v>-0.13658055982481654</v>
      </c>
      <c r="G14" s="141">
        <f t="shared" si="53"/>
        <v>-0.40052751848726842</v>
      </c>
      <c r="H14" s="141">
        <f t="shared" si="53"/>
        <v>-0.25782727601794508</v>
      </c>
      <c r="I14" s="141">
        <f t="shared" si="53"/>
        <v>0.23574453282253827</v>
      </c>
      <c r="J14" s="141">
        <f t="shared" si="53"/>
        <v>-0.10514138771446313</v>
      </c>
      <c r="K14" s="141">
        <f t="shared" si="53"/>
        <v>0.2741258517354892</v>
      </c>
      <c r="L14" s="141">
        <f t="shared" si="53"/>
        <v>4.9428317709539149E-2</v>
      </c>
      <c r="M14" s="141">
        <f t="shared" si="53"/>
        <v>-0.11350481044667027</v>
      </c>
      <c r="N14" s="141">
        <f t="shared" si="53"/>
        <v>-8.9036824392880853E-2</v>
      </c>
      <c r="O14" s="141">
        <f t="shared" si="53"/>
        <v>-1.5396438413539215E-2</v>
      </c>
      <c r="P14" s="141">
        <f t="shared" si="53"/>
        <v>0.12384150877278488</v>
      </c>
      <c r="Q14" s="141">
        <f t="shared" si="53"/>
        <v>2.9042843817760122E-2</v>
      </c>
      <c r="R14" s="141">
        <f t="shared" si="53"/>
        <v>0.1382997910110475</v>
      </c>
      <c r="S14" s="141">
        <f t="shared" si="53"/>
        <v>7.6683066602039052E-2</v>
      </c>
      <c r="T14" s="141">
        <f t="shared" si="53"/>
        <v>4.9889472402364632E-3</v>
      </c>
      <c r="U14" s="141">
        <f t="shared" si="53"/>
        <v>0.28889637086746589</v>
      </c>
      <c r="V14" s="141">
        <f t="shared" si="53"/>
        <v>-0.25856867984508725</v>
      </c>
      <c r="W14" s="141">
        <f t="shared" si="53"/>
        <v>3.8630998603985445E-2</v>
      </c>
      <c r="X14" s="141">
        <f t="shared" si="53"/>
        <v>0.15438435145743901</v>
      </c>
      <c r="Y14" s="141">
        <f t="shared" si="53"/>
        <v>-6.8108108856171579E-2</v>
      </c>
      <c r="Z14" s="141">
        <f t="shared" si="53"/>
        <v>-0.18142533788257376</v>
      </c>
      <c r="AA14" s="141">
        <f t="shared" si="53"/>
        <v>-0.98205055947054243</v>
      </c>
      <c r="AB14" s="141">
        <f t="shared" si="53"/>
        <v>31.858986237218467</v>
      </c>
      <c r="AC14" s="141">
        <f t="shared" si="53"/>
        <v>2.1116523668517715</v>
      </c>
      <c r="AD14" s="141">
        <f t="shared" si="53"/>
        <v>0.4972161326898219</v>
      </c>
      <c r="AE14" s="141">
        <f t="shared" si="53"/>
        <v>0.31130481746183003</v>
      </c>
      <c r="AF14" s="141">
        <f t="shared" si="53"/>
        <v>5.1986260411392093E-2</v>
      </c>
      <c r="AG14" s="141">
        <f t="shared" si="53"/>
        <v>0.22185537677900524</v>
      </c>
      <c r="AH14" s="141">
        <f t="shared" si="53"/>
        <v>-0.19521753010832932</v>
      </c>
      <c r="AI14" s="141">
        <f t="shared" si="53"/>
        <v>-0.13449510773337825</v>
      </c>
      <c r="AJ14" s="141">
        <f t="shared" si="53"/>
        <v>0.2372016191830526</v>
      </c>
      <c r="AK14" s="141">
        <f t="shared" si="53"/>
        <v>-0.12564500938195478</v>
      </c>
      <c r="AL14" s="141">
        <f t="shared" si="53"/>
        <v>0.13137251741958766</v>
      </c>
      <c r="AM14" s="141">
        <f t="shared" si="53"/>
        <v>-0.26350129006021816</v>
      </c>
      <c r="AN14" s="141">
        <f t="shared" si="53"/>
        <v>-0.54941564049948133</v>
      </c>
      <c r="AO14" s="141">
        <f t="shared" si="53"/>
        <v>2.0764030495679409</v>
      </c>
      <c r="AP14" s="141">
        <f t="shared" si="53"/>
        <v>0.29372465714807383</v>
      </c>
      <c r="AQ14" s="141">
        <f t="shared" si="53"/>
        <v>0.15543946063116865</v>
      </c>
      <c r="AR14" s="141">
        <f t="shared" si="53"/>
        <v>-3.2257618930782606E-2</v>
      </c>
      <c r="AS14" s="141">
        <f t="shared" si="53"/>
        <v>0.4152725062783742</v>
      </c>
      <c r="AT14" s="141">
        <f t="shared" si="53"/>
        <v>-0.35218048121141554</v>
      </c>
      <c r="AU14" s="141">
        <f t="shared" si="53"/>
        <v>9.775392403059624E-2</v>
      </c>
      <c r="AV14" s="141">
        <f t="shared" si="53"/>
        <v>7.8056667953864345E-2</v>
      </c>
      <c r="AW14" s="141">
        <f t="shared" si="53"/>
        <v>-7.9961429684375251E-2</v>
      </c>
      <c r="AX14" s="141">
        <f t="shared" si="53"/>
        <v>0.30031103705458717</v>
      </c>
      <c r="AY14" s="141">
        <f t="shared" si="53"/>
        <v>-0.10809889286811036</v>
      </c>
      <c r="AZ14" s="141">
        <f t="shared" si="53"/>
        <v>-4.8853339381873639E-2</v>
      </c>
      <c r="BA14" s="141">
        <f t="shared" si="53"/>
        <v>0.1166844185161855</v>
      </c>
      <c r="BB14" s="141">
        <f t="shared" si="53"/>
        <v>-1.6695599776658576E-2</v>
      </c>
      <c r="BC14" s="141">
        <f t="shared" si="53"/>
        <v>4.1074956154932618E-2</v>
      </c>
      <c r="BD14" s="141">
        <f t="shared" si="53"/>
        <v>0.24917195289012861</v>
      </c>
      <c r="BE14" s="141">
        <f t="shared" si="53"/>
        <v>2.4323799720409767E-2</v>
      </c>
      <c r="BF14" s="141">
        <f t="shared" si="53"/>
        <v>-0.20079587576045288</v>
      </c>
      <c r="BG14" s="141">
        <f t="shared" si="53"/>
        <v>0.13061561860511972</v>
      </c>
      <c r="BH14" s="141">
        <f t="shared" si="53"/>
        <v>0.13346561508640398</v>
      </c>
      <c r="BI14" s="141">
        <f t="shared" si="53"/>
        <v>-7.2665174055906556E-2</v>
      </c>
      <c r="BJ14" s="141">
        <f t="shared" si="53"/>
        <v>0.12995219255894619</v>
      </c>
      <c r="BK14" s="141">
        <f t="shared" si="53"/>
        <v>9.7712734459713957E-2</v>
      </c>
      <c r="BL14" s="141">
        <f t="shared" si="53"/>
        <v>4.6522433131042984E-2</v>
      </c>
      <c r="BM14" s="141">
        <f t="shared" si="53"/>
        <v>-7.3221047074912837E-3</v>
      </c>
      <c r="BN14" s="141">
        <f t="shared" si="53"/>
        <v>9.1974029507030375E-2</v>
      </c>
      <c r="BO14" s="141">
        <f t="shared" si="53"/>
        <v>3.1359451469801902E-2</v>
      </c>
      <c r="BP14" s="141">
        <f t="shared" si="53"/>
        <v>-0.11001588605200163</v>
      </c>
      <c r="BQ14" s="141">
        <f t="shared" ref="BQ14:DR14" si="54">BQ9/BP9-1</f>
        <v>0.48540792678432765</v>
      </c>
      <c r="BR14" s="141">
        <f t="shared" si="54"/>
        <v>-0.167142528922406</v>
      </c>
      <c r="BS14" s="141">
        <f t="shared" si="54"/>
        <v>-7.5037915615622452E-2</v>
      </c>
      <c r="BT14" s="141">
        <f t="shared" si="54"/>
        <v>0.13653251857654758</v>
      </c>
      <c r="BU14" s="141">
        <f t="shared" si="54"/>
        <v>-0.11471340957123577</v>
      </c>
      <c r="BV14" s="141">
        <f t="shared" si="54"/>
        <v>2.3430719975939152E-2</v>
      </c>
      <c r="BW14" s="141">
        <f t="shared" si="54"/>
        <v>-4.365882714806546E-2</v>
      </c>
      <c r="BX14" s="141">
        <f t="shared" si="54"/>
        <v>0.15731695390774147</v>
      </c>
      <c r="BY14" s="141">
        <f t="shared" si="54"/>
        <v>-7.6594715462175E-2</v>
      </c>
      <c r="BZ14" s="141">
        <f t="shared" si="54"/>
        <v>0.17614745061957748</v>
      </c>
      <c r="CA14" s="141">
        <f t="shared" si="54"/>
        <v>-5.6403323466411748E-2</v>
      </c>
      <c r="CB14" s="141">
        <f t="shared" si="54"/>
        <v>-4.8662970401845973E-2</v>
      </c>
      <c r="CC14" s="141">
        <f t="shared" si="54"/>
        <v>0.40625380283061641</v>
      </c>
      <c r="CD14" s="141">
        <f t="shared" si="54"/>
        <v>-0.23139939287094757</v>
      </c>
      <c r="CE14" s="141">
        <f t="shared" si="54"/>
        <v>2.4292051947404358E-2</v>
      </c>
      <c r="CF14" s="141">
        <f t="shared" si="54"/>
        <v>7.8311546939429544E-2</v>
      </c>
      <c r="CG14" s="141">
        <f t="shared" si="54"/>
        <v>-1.2102858679892137E-3</v>
      </c>
      <c r="CH14" s="141">
        <f t="shared" si="54"/>
        <v>-2.0787690181724883E-2</v>
      </c>
      <c r="CI14" s="141">
        <f t="shared" si="54"/>
        <v>8.2779623414663828E-3</v>
      </c>
      <c r="CJ14" s="141">
        <f t="shared" si="54"/>
        <v>5.7436996088115366E-2</v>
      </c>
      <c r="CK14" s="141">
        <f t="shared" si="54"/>
        <v>-1.4215662415188901E-2</v>
      </c>
      <c r="CL14" s="141">
        <f t="shared" si="54"/>
        <v>5.6889145659401397E-2</v>
      </c>
      <c r="CM14" s="141">
        <f t="shared" si="54"/>
        <v>-7.5817976975441348E-2</v>
      </c>
      <c r="CN14" s="141">
        <f t="shared" si="54"/>
        <v>0.20733137521637146</v>
      </c>
      <c r="CO14" s="141">
        <f t="shared" si="54"/>
        <v>0.26248233959701905</v>
      </c>
      <c r="CP14" s="141">
        <f t="shared" si="54"/>
        <v>-0.22625856962604329</v>
      </c>
      <c r="CQ14" s="141">
        <f t="shared" si="54"/>
        <v>4.4804416161094762E-2</v>
      </c>
      <c r="CR14" s="141">
        <f t="shared" si="54"/>
        <v>4.444298434896421E-2</v>
      </c>
      <c r="CS14" s="141">
        <f t="shared" si="54"/>
        <v>-0.12309248177089249</v>
      </c>
      <c r="CT14" s="141">
        <f t="shared" si="54"/>
        <v>0.26553259150026531</v>
      </c>
      <c r="CU14" s="141">
        <f t="shared" si="54"/>
        <v>-0.11289212810243276</v>
      </c>
      <c r="CV14" s="141">
        <f t="shared" si="54"/>
        <v>8.9631548166095865E-2</v>
      </c>
      <c r="CW14" s="141">
        <f t="shared" si="54"/>
        <v>-1.1823521293072958E-2</v>
      </c>
      <c r="CX14" s="141">
        <f t="shared" si="54"/>
        <v>9.3330022657438061E-2</v>
      </c>
      <c r="CY14" s="141">
        <f t="shared" si="54"/>
        <v>-6.6612729234088452E-2</v>
      </c>
      <c r="CZ14" s="141">
        <f t="shared" si="54"/>
        <v>0.16168129077388649</v>
      </c>
      <c r="DA14" s="141">
        <f t="shared" si="54"/>
        <v>0.23612729248209852</v>
      </c>
      <c r="DB14" s="141">
        <f t="shared" si="54"/>
        <v>-0.25978248207648058</v>
      </c>
      <c r="DC14" s="141">
        <f t="shared" si="54"/>
        <v>3.3191221494177192E-2</v>
      </c>
      <c r="DD14" s="141">
        <f t="shared" si="54"/>
        <v>4.9184413858040843E-2</v>
      </c>
      <c r="DE14" s="141">
        <f t="shared" si="54"/>
        <v>-0.14258941533588498</v>
      </c>
      <c r="DF14" s="141">
        <f t="shared" si="54"/>
        <v>0.21477388172274736</v>
      </c>
      <c r="DG14" s="141">
        <f t="shared" si="54"/>
        <v>-9.002901709347555E-2</v>
      </c>
      <c r="DH14" s="141">
        <f t="shared" si="54"/>
        <v>8.9631548166095643E-2</v>
      </c>
      <c r="DI14" s="141">
        <f t="shared" si="54"/>
        <v>-1.1823521293072958E-2</v>
      </c>
      <c r="DJ14" s="141">
        <f t="shared" si="54"/>
        <v>9.3330022657438061E-2</v>
      </c>
      <c r="DK14" s="141">
        <f t="shared" si="54"/>
        <v>-6.6612729234088452E-2</v>
      </c>
      <c r="DL14" s="141">
        <f t="shared" si="54"/>
        <v>0.16168129077388649</v>
      </c>
      <c r="DM14" s="141">
        <f t="shared" si="54"/>
        <v>0.23612729248209874</v>
      </c>
      <c r="DN14" s="141">
        <f t="shared" si="54"/>
        <v>-0.2597824820764808</v>
      </c>
      <c r="DO14" s="141">
        <f t="shared" si="54"/>
        <v>3.3191221494177414E-2</v>
      </c>
      <c r="DP14" s="141">
        <f t="shared" si="54"/>
        <v>4.9184413858040843E-2</v>
      </c>
      <c r="DQ14" s="141">
        <f t="shared" si="54"/>
        <v>-0.14258941533588498</v>
      </c>
      <c r="DR14" s="141">
        <f t="shared" si="54"/>
        <v>0.21477388172274736</v>
      </c>
      <c r="DS14" s="141">
        <f t="shared" ref="DS14" si="55">DS9/DR9-1</f>
        <v>-0.12794447471458092</v>
      </c>
      <c r="DT14" s="141">
        <f t="shared" ref="DT14" si="56">DT9/DS9-1</f>
        <v>8.9631548166095865E-2</v>
      </c>
      <c r="DU14" s="141">
        <f t="shared" ref="DU14" si="57">DU9/DT9-1</f>
        <v>-1.1823521293072958E-2</v>
      </c>
      <c r="DV14" s="141">
        <f t="shared" ref="DV14" si="58">DV9/DU9-1</f>
        <v>9.3330022657438283E-2</v>
      </c>
      <c r="DW14" s="141">
        <f t="shared" ref="DW14" si="59">DW9/DV9-1</f>
        <v>-6.6612729234088564E-2</v>
      </c>
      <c r="DX14" s="141">
        <f t="shared" ref="DX14" si="60">DX9/DW9-1</f>
        <v>0.16168129077388649</v>
      </c>
      <c r="DY14" s="141">
        <f t="shared" ref="DY14" si="61">DY9/DX9-1</f>
        <v>0.23612729248209896</v>
      </c>
      <c r="DZ14" s="141">
        <f t="shared" ref="DZ14" si="62">DZ9/DY9-1</f>
        <v>-0.25978248207648091</v>
      </c>
      <c r="EA14" s="141">
        <f t="shared" ref="EA14" si="63">EA9/DZ9-1</f>
        <v>3.3191221494177414E-2</v>
      </c>
      <c r="EB14" s="141">
        <f t="shared" ref="EB14" si="64">EB9/EA9-1</f>
        <v>4.9184413858040843E-2</v>
      </c>
      <c r="EC14" s="141">
        <f t="shared" ref="EC14" si="65">EC9/EB9-1</f>
        <v>-0.14258941533588487</v>
      </c>
      <c r="ED14" s="141">
        <f t="shared" ref="ED14" si="66">ED9/EC9-1</f>
        <v>0.21477388172274758</v>
      </c>
      <c r="EF14" s="165"/>
      <c r="EG14" s="141">
        <f t="shared" ref="EG14" si="67">EG9/EF9-1</f>
        <v>8.4356960477423915E-2</v>
      </c>
      <c r="EH14" s="141">
        <f t="shared" ref="EH14" si="68">EH9/EG9-1</f>
        <v>0.20347405549822195</v>
      </c>
      <c r="EI14" s="141">
        <f t="shared" ref="EI14" si="69">EI9/EH9-1</f>
        <v>-6.1196313047414574E-2</v>
      </c>
      <c r="EJ14" s="141">
        <f t="shared" ref="EJ14" si="70">EJ9/EI9-1</f>
        <v>1.4035488103578686E-3</v>
      </c>
      <c r="EK14" s="141">
        <f t="shared" ref="EK14" si="71">EK9/EJ9-1</f>
        <v>0.37899911330783409</v>
      </c>
      <c r="EL14" s="141">
        <f t="shared" ref="EL14" si="72">EL9/EK9-1</f>
        <v>-8.8402488131522516E-2</v>
      </c>
      <c r="EM14" s="141">
        <f t="shared" ref="EM14" si="73">EM9/EL9-1</f>
        <v>-1.1260722611232343E-2</v>
      </c>
      <c r="EN14" s="141">
        <f t="shared" ref="EN14" si="74">EN9/EM9-1</f>
        <v>2.6877438716617297E-2</v>
      </c>
      <c r="EO14" s="141">
        <f t="shared" ref="EO14" si="75">EO9/EN9-1</f>
        <v>8.042959036122066E-2</v>
      </c>
      <c r="EP14" s="141">
        <f t="shared" ref="EP14" si="76">EP9/EO9-1</f>
        <v>0.1965217926331968</v>
      </c>
      <c r="EQ14" s="141">
        <f t="shared" ref="EQ14" si="77">EQ9/EP9-1</f>
        <v>-2.3391955571302803E-2</v>
      </c>
      <c r="ER14" s="141">
        <f t="shared" ref="ER14" si="78">ER9/EQ9-1</f>
        <v>4.3711360950816625E-2</v>
      </c>
      <c r="ES14" s="141">
        <f t="shared" ref="ES14" si="79">ES9/ER9-1</f>
        <v>0.12195765520444146</v>
      </c>
      <c r="ET14" s="141">
        <f t="shared" ref="ET14" si="80">ET9/ES9-1</f>
        <v>0.11261888411209653</v>
      </c>
      <c r="EU14" s="141">
        <f t="shared" ref="EU14" si="81">EU9/ET9-1</f>
        <v>-7.1402904309962101E-2</v>
      </c>
      <c r="EV14" s="141">
        <f t="shared" ref="EV14" si="82">EV9/EU9-1</f>
        <v>3.5216134392570098E-2</v>
      </c>
      <c r="EW14" s="141">
        <f t="shared" ref="EW14" si="83">EW9/EV9-1</f>
        <v>0.12195765520444146</v>
      </c>
      <c r="EX14" s="141">
        <f t="shared" ref="EX14" si="84">EX9/EW9-1</f>
        <v>0.11261888411209675</v>
      </c>
      <c r="EY14" s="141">
        <f t="shared" ref="EY14" si="85">EY9/EX9-1</f>
        <v>-7.1402904309962212E-2</v>
      </c>
      <c r="EZ14" s="141">
        <f t="shared" ref="EZ14" si="86">EZ9/EY9-1</f>
        <v>-7.9178712071201751E-3</v>
      </c>
      <c r="FA14" s="141">
        <f t="shared" ref="FA14" si="87">FA9/EZ9-1</f>
        <v>0.12195765520444124</v>
      </c>
      <c r="FB14" s="141">
        <f t="shared" ref="FB14" si="88">FB9/FA9-1</f>
        <v>0.11261888411209697</v>
      </c>
      <c r="FC14" s="141">
        <f t="shared" ref="FC14" si="89">FC9/FB9-1</f>
        <v>-7.1402904309962212E-2</v>
      </c>
      <c r="FE14" s="141"/>
      <c r="FF14" s="141">
        <f t="shared" ref="FF14" si="90">FF9/FE9-1</f>
        <v>0.29718754985352769</v>
      </c>
      <c r="FG14" s="141">
        <f t="shared" ref="FG14" si="91">FG9/FF9-1</f>
        <v>0.2126905305692397</v>
      </c>
      <c r="FH14" s="141">
        <f t="shared" ref="FH14" si="92">FH9/FG9-1</f>
        <v>0.28750000000000031</v>
      </c>
      <c r="FI14" s="141">
        <f t="shared" ref="FI14:FJ14" si="93">FI9/FH9-1</f>
        <v>0.19999999999999996</v>
      </c>
      <c r="FJ14" s="141">
        <f t="shared" si="93"/>
        <v>0.14999999999999991</v>
      </c>
    </row>
    <row r="15" spans="2:166" x14ac:dyDescent="0.2">
      <c r="B15" s="22" t="s">
        <v>212</v>
      </c>
      <c r="C15" s="143"/>
      <c r="D15" s="141">
        <f>IFERROR(D10/C10-1,0)</f>
        <v>0.29433477772428174</v>
      </c>
      <c r="E15" s="141">
        <f t="shared" ref="E15:BP15" si="94">IFERROR(E10/D10-1,0)</f>
        <v>-3.5089894606323613E-2</v>
      </c>
      <c r="F15" s="141">
        <f t="shared" si="94"/>
        <v>-0.14173734258545356</v>
      </c>
      <c r="G15" s="141">
        <f t="shared" si="94"/>
        <v>-0.42019763437640367</v>
      </c>
      <c r="H15" s="141">
        <f t="shared" si="94"/>
        <v>-0.34602969657843774</v>
      </c>
      <c r="I15" s="141">
        <f t="shared" si="94"/>
        <v>0.19328726554787767</v>
      </c>
      <c r="J15" s="141">
        <f t="shared" si="94"/>
        <v>-0.10870284579748513</v>
      </c>
      <c r="K15" s="141">
        <f t="shared" si="94"/>
        <v>9.430109522925556E-2</v>
      </c>
      <c r="L15" s="141">
        <f t="shared" si="94"/>
        <v>2.3240033927056869E-2</v>
      </c>
      <c r="M15" s="141">
        <f t="shared" si="94"/>
        <v>-8.5212201591511882E-2</v>
      </c>
      <c r="N15" s="141">
        <f t="shared" si="94"/>
        <v>5.0561797752809001E-2</v>
      </c>
      <c r="O15" s="141">
        <f t="shared" si="94"/>
        <v>-2.4150422632396085E-2</v>
      </c>
      <c r="P15" s="141">
        <f t="shared" si="94"/>
        <v>0.10659360084850622</v>
      </c>
      <c r="Q15" s="141">
        <f t="shared" si="94"/>
        <v>-4.1533546325878135E-3</v>
      </c>
      <c r="R15" s="141">
        <f t="shared" si="94"/>
        <v>0.16538338145652864</v>
      </c>
      <c r="S15" s="141">
        <f t="shared" si="94"/>
        <v>0.13695801789401241</v>
      </c>
      <c r="T15" s="141">
        <f t="shared" si="94"/>
        <v>-1.6949152542372614E-3</v>
      </c>
      <c r="U15" s="141">
        <f t="shared" si="94"/>
        <v>0.35835556633519272</v>
      </c>
      <c r="V15" s="141">
        <f t="shared" si="94"/>
        <v>-0.27622533702348007</v>
      </c>
      <c r="W15" s="141">
        <f t="shared" si="94"/>
        <v>6.6115702479338845E-2</v>
      </c>
      <c r="X15" s="141">
        <f t="shared" si="94"/>
        <v>0.18083998611593199</v>
      </c>
      <c r="Y15" s="141">
        <f t="shared" si="94"/>
        <v>-9.1710758377425039E-2</v>
      </c>
      <c r="Z15" s="141">
        <f t="shared" si="94"/>
        <v>-0.20453074433656959</v>
      </c>
      <c r="AA15" s="141">
        <f t="shared" si="94"/>
        <v>-0.98711689720640083</v>
      </c>
      <c r="AB15" s="141">
        <f t="shared" si="94"/>
        <v>40.05263157894737</v>
      </c>
      <c r="AC15" s="141">
        <f t="shared" si="94"/>
        <v>2.1853846153846153</v>
      </c>
      <c r="AD15" s="141">
        <f t="shared" si="94"/>
        <v>0.35989696530628668</v>
      </c>
      <c r="AE15" s="141">
        <f t="shared" si="94"/>
        <v>0.30649934888125951</v>
      </c>
      <c r="AF15" s="141">
        <f t="shared" si="94"/>
        <v>5.4412830735773854E-2</v>
      </c>
      <c r="AG15" s="141">
        <f t="shared" si="94"/>
        <v>0.18888841146392821</v>
      </c>
      <c r="AH15" s="141">
        <f t="shared" si="94"/>
        <v>-0.15154143626441141</v>
      </c>
      <c r="AI15" s="141">
        <f t="shared" si="94"/>
        <v>-0.14099505878343843</v>
      </c>
      <c r="AJ15" s="141">
        <f t="shared" si="94"/>
        <v>0.21893285728453837</v>
      </c>
      <c r="AK15" s="141">
        <f t="shared" si="94"/>
        <v>-0.11167161628900368</v>
      </c>
      <c r="AL15" s="141">
        <f t="shared" si="94"/>
        <v>0.11004762777065391</v>
      </c>
      <c r="AM15" s="141">
        <f t="shared" si="94"/>
        <v>-0.25673501382070218</v>
      </c>
      <c r="AN15" s="141">
        <f t="shared" si="94"/>
        <v>-0.54118561278863231</v>
      </c>
      <c r="AO15" s="141">
        <f t="shared" si="94"/>
        <v>2.243406726348899</v>
      </c>
      <c r="AP15" s="141">
        <f t="shared" si="94"/>
        <v>0.26620663931368882</v>
      </c>
      <c r="AQ15" s="141">
        <f t="shared" si="94"/>
        <v>0.15250243025893306</v>
      </c>
      <c r="AR15" s="141">
        <f t="shared" si="94"/>
        <v>1.2192004907473741E-2</v>
      </c>
      <c r="AS15" s="141">
        <f t="shared" si="94"/>
        <v>0.32145652887553355</v>
      </c>
      <c r="AT15" s="141">
        <f t="shared" si="94"/>
        <v>-0.33400852267298542</v>
      </c>
      <c r="AU15" s="141">
        <f t="shared" si="94"/>
        <v>0.10401124756111568</v>
      </c>
      <c r="AV15" s="141">
        <f t="shared" si="94"/>
        <v>5.696909842243425E-2</v>
      </c>
      <c r="AW15" s="141">
        <f t="shared" si="94"/>
        <v>-7.9520027539403459E-2</v>
      </c>
      <c r="AX15" s="141">
        <f t="shared" si="94"/>
        <v>0.25609723520769334</v>
      </c>
      <c r="AY15" s="141">
        <f t="shared" si="94"/>
        <v>-9.8634681638382071E-2</v>
      </c>
      <c r="AZ15" s="141">
        <f t="shared" si="94"/>
        <v>-1.9913174782936971E-2</v>
      </c>
      <c r="BA15" s="141">
        <f t="shared" si="94"/>
        <v>0.13955223880597023</v>
      </c>
      <c r="BB15" s="141">
        <f t="shared" si="94"/>
        <v>-4.5228890719733017E-2</v>
      </c>
      <c r="BC15" s="141">
        <f t="shared" si="94"/>
        <v>-3.7923710062837457E-2</v>
      </c>
      <c r="BD15" s="141">
        <f t="shared" si="94"/>
        <v>0.17719976082056954</v>
      </c>
      <c r="BE15" s="141">
        <f t="shared" si="94"/>
        <v>1.5023345771387309E-2</v>
      </c>
      <c r="BF15" s="141">
        <f t="shared" si="94"/>
        <v>-0.24824851797674952</v>
      </c>
      <c r="BG15" s="141">
        <f t="shared" si="94"/>
        <v>6.4109785447283629E-2</v>
      </c>
      <c r="BH15" s="141">
        <f t="shared" si="94"/>
        <v>0.14438669938886473</v>
      </c>
      <c r="BI15" s="141">
        <f t="shared" si="94"/>
        <v>-6.7026890650295434E-2</v>
      </c>
      <c r="BJ15" s="141">
        <f t="shared" si="94"/>
        <v>0.12829295774647886</v>
      </c>
      <c r="BK15" s="141">
        <f t="shared" si="94"/>
        <v>8.236797954781494E-2</v>
      </c>
      <c r="BL15" s="141">
        <f t="shared" si="94"/>
        <v>7.2981251845290807E-2</v>
      </c>
      <c r="BM15" s="141">
        <f t="shared" si="94"/>
        <v>-5.0750683612224234E-2</v>
      </c>
      <c r="BN15" s="141">
        <f t="shared" si="94"/>
        <v>4.7793318356402548E-2</v>
      </c>
      <c r="BO15" s="141">
        <f t="shared" si="94"/>
        <v>6.1901303731368706E-3</v>
      </c>
      <c r="BP15" s="141">
        <f t="shared" si="94"/>
        <v>-9.4102282100632428E-2</v>
      </c>
      <c r="BQ15" s="141">
        <f t="shared" ref="BQ15:DR15" si="95">IFERROR(BQ10/BP10-1,0)</f>
        <v>0.4470938614462403</v>
      </c>
      <c r="BR15" s="141">
        <f t="shared" si="95"/>
        <v>-0.1877433309300649</v>
      </c>
      <c r="BS15" s="141">
        <f t="shared" si="95"/>
        <v>-9.8494262705162705E-2</v>
      </c>
      <c r="BT15" s="141">
        <f t="shared" si="95"/>
        <v>5.8360186179735152E-2</v>
      </c>
      <c r="BU15" s="141">
        <f t="shared" si="95"/>
        <v>-9.4841001353179966E-2</v>
      </c>
      <c r="BV15" s="141">
        <f t="shared" si="95"/>
        <v>3.0273017771382582E-2</v>
      </c>
      <c r="BW15" s="141">
        <f t="shared" si="95"/>
        <v>-5.1312281210890043E-2</v>
      </c>
      <c r="BX15" s="141">
        <f t="shared" si="95"/>
        <v>0.14356454573263999</v>
      </c>
      <c r="BY15" s="141">
        <f t="shared" si="95"/>
        <v>-9.2839349305334995E-2</v>
      </c>
      <c r="BZ15" s="141">
        <f t="shared" si="95"/>
        <v>0.14220420199041661</v>
      </c>
      <c r="CA15" s="141">
        <f t="shared" si="95"/>
        <v>-2.3073447786239876E-2</v>
      </c>
      <c r="CB15" s="141">
        <f t="shared" si="95"/>
        <v>-6.2266706305949215E-2</v>
      </c>
      <c r="CC15" s="141">
        <f t="shared" si="95"/>
        <v>0.38273214034098912</v>
      </c>
      <c r="CD15" s="141">
        <f t="shared" si="95"/>
        <v>-0.2627824624869437</v>
      </c>
      <c r="CE15" s="141">
        <f t="shared" si="95"/>
        <v>6.202916580275053E-3</v>
      </c>
      <c r="CF15" s="141">
        <f t="shared" si="95"/>
        <v>7.9127672361981594E-2</v>
      </c>
      <c r="CG15" s="141">
        <f t="shared" si="95"/>
        <v>-6.7040084018904267E-2</v>
      </c>
      <c r="CH15" s="141">
        <f t="shared" si="95"/>
        <v>1.1734606856558027E-2</v>
      </c>
      <c r="CI15" s="141">
        <f t="shared" si="95"/>
        <v>8.8843184193667657E-3</v>
      </c>
      <c r="CJ15" s="141">
        <f t="shared" si="95"/>
        <v>8.9631548166095643E-2</v>
      </c>
      <c r="CK15" s="141">
        <f t="shared" si="95"/>
        <v>-1.1823521293073069E-2</v>
      </c>
      <c r="CL15" s="141">
        <f t="shared" si="95"/>
        <v>9.3330022657438061E-2</v>
      </c>
      <c r="CM15" s="141">
        <f t="shared" si="95"/>
        <v>-6.6612729234088452E-2</v>
      </c>
      <c r="CN15" s="141">
        <f t="shared" si="95"/>
        <v>0.16168129077388649</v>
      </c>
      <c r="CO15" s="141">
        <f t="shared" si="95"/>
        <v>0.23612729248209874</v>
      </c>
      <c r="CP15" s="141">
        <f t="shared" si="95"/>
        <v>-0.25978248207648069</v>
      </c>
      <c r="CQ15" s="141">
        <f t="shared" si="95"/>
        <v>3.3191221494177192E-2</v>
      </c>
      <c r="CR15" s="141">
        <f t="shared" si="95"/>
        <v>4.9184413858040843E-2</v>
      </c>
      <c r="CS15" s="141">
        <f t="shared" si="95"/>
        <v>-0.14258941533588487</v>
      </c>
      <c r="CT15" s="141">
        <f t="shared" si="95"/>
        <v>0.21477388172274736</v>
      </c>
      <c r="CU15" s="141">
        <f t="shared" si="95"/>
        <v>-5.2113559472370397E-2</v>
      </c>
      <c r="CV15" s="141">
        <f t="shared" si="95"/>
        <v>8.9631548166095643E-2</v>
      </c>
      <c r="CW15" s="141">
        <f t="shared" si="95"/>
        <v>-1.1823521293073069E-2</v>
      </c>
      <c r="CX15" s="141">
        <f t="shared" si="95"/>
        <v>9.3330022657438061E-2</v>
      </c>
      <c r="CY15" s="141">
        <f t="shared" si="95"/>
        <v>-6.6612729234088452E-2</v>
      </c>
      <c r="CZ15" s="141">
        <f t="shared" si="95"/>
        <v>0.16168129077388649</v>
      </c>
      <c r="DA15" s="141">
        <f t="shared" si="95"/>
        <v>0.23612729248209874</v>
      </c>
      <c r="DB15" s="141">
        <f t="shared" si="95"/>
        <v>-0.25978248207648069</v>
      </c>
      <c r="DC15" s="141">
        <f t="shared" si="95"/>
        <v>3.3191221494177192E-2</v>
      </c>
      <c r="DD15" s="141">
        <f t="shared" si="95"/>
        <v>4.9184413858040843E-2</v>
      </c>
      <c r="DE15" s="141">
        <f t="shared" si="95"/>
        <v>-0.14258941533588487</v>
      </c>
      <c r="DF15" s="141">
        <f t="shared" si="95"/>
        <v>0.21477388172274736</v>
      </c>
      <c r="DG15" s="141">
        <f t="shared" si="95"/>
        <v>-9.002901709347555E-2</v>
      </c>
      <c r="DH15" s="141">
        <f t="shared" si="95"/>
        <v>8.9631548166095643E-2</v>
      </c>
      <c r="DI15" s="141">
        <f t="shared" si="95"/>
        <v>-1.1823521293073069E-2</v>
      </c>
      <c r="DJ15" s="141">
        <f t="shared" si="95"/>
        <v>9.3330022657438061E-2</v>
      </c>
      <c r="DK15" s="141">
        <f t="shared" si="95"/>
        <v>-6.6612729234088452E-2</v>
      </c>
      <c r="DL15" s="141">
        <f t="shared" si="95"/>
        <v>0.16168129077388649</v>
      </c>
      <c r="DM15" s="141">
        <f t="shared" si="95"/>
        <v>0.23612729248209874</v>
      </c>
      <c r="DN15" s="141">
        <f t="shared" si="95"/>
        <v>-0.25978248207648069</v>
      </c>
      <c r="DO15" s="141">
        <f t="shared" si="95"/>
        <v>3.3191221494177192E-2</v>
      </c>
      <c r="DP15" s="141">
        <f t="shared" si="95"/>
        <v>4.9184413858040843E-2</v>
      </c>
      <c r="DQ15" s="141">
        <f t="shared" si="95"/>
        <v>-0.14258941533588487</v>
      </c>
      <c r="DR15" s="141">
        <f t="shared" si="95"/>
        <v>0.21477388172274736</v>
      </c>
      <c r="DS15" s="141">
        <f t="shared" ref="DS15" si="96">IFERROR(DS10/DR10-1,0)</f>
        <v>-0.12794447471458092</v>
      </c>
      <c r="DT15" s="141">
        <f t="shared" ref="DT15" si="97">IFERROR(DT10/DS10-1,0)</f>
        <v>8.9631548166095865E-2</v>
      </c>
      <c r="DU15" s="141">
        <f t="shared" ref="DU15" si="98">IFERROR(DU10/DT10-1,0)</f>
        <v>-1.1823521293073069E-2</v>
      </c>
      <c r="DV15" s="141">
        <f t="shared" ref="DV15" si="99">IFERROR(DV10/DU10-1,0)</f>
        <v>9.3330022657438283E-2</v>
      </c>
      <c r="DW15" s="141">
        <f t="shared" ref="DW15" si="100">IFERROR(DW10/DV10-1,0)</f>
        <v>-6.6612729234088452E-2</v>
      </c>
      <c r="DX15" s="141">
        <f t="shared" ref="DX15" si="101">IFERROR(DX10/DW10-1,0)</f>
        <v>0.16168129077388627</v>
      </c>
      <c r="DY15" s="141">
        <f t="shared" ref="DY15" si="102">IFERROR(DY10/DX10-1,0)</f>
        <v>0.23612729248209896</v>
      </c>
      <c r="DZ15" s="141">
        <f t="shared" ref="DZ15" si="103">IFERROR(DZ10/DY10-1,0)</f>
        <v>-0.2597824820764808</v>
      </c>
      <c r="EA15" s="141">
        <f t="shared" ref="EA15" si="104">IFERROR(EA10/DZ10-1,0)</f>
        <v>3.3191221494177192E-2</v>
      </c>
      <c r="EB15" s="141">
        <f t="shared" ref="EB15" si="105">IFERROR(EB10/EA10-1,0)</f>
        <v>4.9184413858040843E-2</v>
      </c>
      <c r="EC15" s="141">
        <f t="shared" ref="EC15" si="106">IFERROR(EC10/EB10-1,0)</f>
        <v>-0.14258941533588487</v>
      </c>
      <c r="ED15" s="141">
        <f t="shared" ref="ED15" si="107">IFERROR(ED10/EC10-1,0)</f>
        <v>0.21477388172274736</v>
      </c>
      <c r="EF15" s="165"/>
      <c r="EG15" s="141">
        <f t="shared" ref="EG15" si="108">IFERROR(EG10/EF10-1,0)</f>
        <v>7.2044647387112803E-3</v>
      </c>
      <c r="EH15" s="141">
        <f t="shared" ref="EH15" si="109">IFERROR(EH10/EG10-1,0)</f>
        <v>0.15032416351590006</v>
      </c>
      <c r="EI15" s="141">
        <f t="shared" ref="EI15" si="110">IFERROR(EI10/EH10-1,0)</f>
        <v>-0.13570795639540878</v>
      </c>
      <c r="EJ15" s="141">
        <f t="shared" ref="EJ15" si="111">IFERROR(EJ10/EI10-1,0)</f>
        <v>-8.2793891491720339E-3</v>
      </c>
      <c r="EK15" s="141">
        <f t="shared" ref="EK15" si="112">IFERROR(EK10/EJ10-1,0)</f>
        <v>0.27783287353420238</v>
      </c>
      <c r="EL15" s="141">
        <f t="shared" ref="EL15" si="113">IFERROR(EL10/EK10-1,0)</f>
        <v>-8.4594688667086859E-2</v>
      </c>
      <c r="EM15" s="141">
        <f t="shared" ref="EM15" si="114">IFERROR(EM10/EL10-1,0)</f>
        <v>-7.1042098069541759E-2</v>
      </c>
      <c r="EN15" s="141">
        <f t="shared" ref="EN15" si="115">IFERROR(EN10/EM10-1,0)</f>
        <v>4.8127395722132205E-2</v>
      </c>
      <c r="EO15" s="141">
        <f t="shared" ref="EO15" si="116">IFERROR(EO10/EN10-1,0)</f>
        <v>0.12195765520444124</v>
      </c>
      <c r="EP15" s="141">
        <f t="shared" ref="EP15" si="117">IFERROR(EP10/EO10-1,0)</f>
        <v>0.11261888411209675</v>
      </c>
      <c r="EQ15" s="141">
        <f t="shared" ref="EQ15" si="118">IFERROR(EQ10/EP10-1,0)</f>
        <v>-7.1402904309962212E-2</v>
      </c>
      <c r="ER15" s="141">
        <f t="shared" ref="ER15" si="119">IFERROR(ER10/EQ10-1,0)</f>
        <v>7.8350139992260592E-2</v>
      </c>
      <c r="ES15" s="141">
        <f t="shared" ref="ES15" si="120">IFERROR(ES10/ER10-1,0)</f>
        <v>0.12195765520444124</v>
      </c>
      <c r="ET15" s="141">
        <f t="shared" ref="ET15" si="121">IFERROR(ET10/ES10-1,0)</f>
        <v>0.11261888411209675</v>
      </c>
      <c r="EU15" s="141">
        <f t="shared" ref="EU15" si="122">IFERROR(EU10/ET10-1,0)</f>
        <v>-7.1402904309962212E-2</v>
      </c>
      <c r="EV15" s="141">
        <f t="shared" ref="EV15" si="123">IFERROR(EV10/EU10-1,0)</f>
        <v>3.5216134392570098E-2</v>
      </c>
      <c r="EW15" s="141">
        <f t="shared" ref="EW15" si="124">IFERROR(EW10/EV10-1,0)</f>
        <v>0.12195765520444124</v>
      </c>
      <c r="EX15" s="141">
        <f t="shared" ref="EX15" si="125">IFERROR(EX10/EW10-1,0)</f>
        <v>0.11261888411209675</v>
      </c>
      <c r="EY15" s="141">
        <f t="shared" ref="EY15" si="126">IFERROR(EY10/EX10-1,0)</f>
        <v>-7.1402904309962212E-2</v>
      </c>
      <c r="EZ15" s="141">
        <f t="shared" ref="EZ15" si="127">IFERROR(EZ10/EY10-1,0)</f>
        <v>-7.9178712071203972E-3</v>
      </c>
      <c r="FA15" s="141">
        <f t="shared" ref="FA15" si="128">IFERROR(FA10/EZ10-1,0)</f>
        <v>0.12195765520444146</v>
      </c>
      <c r="FB15" s="141">
        <f t="shared" ref="FB15" si="129">IFERROR(FB10/FA10-1,0)</f>
        <v>0.11261888411209675</v>
      </c>
      <c r="FC15" s="141">
        <f t="shared" ref="FC15" si="130">IFERROR(FC10/FB10-1,0)</f>
        <v>-7.140290430996199E-2</v>
      </c>
      <c r="FE15" s="141"/>
      <c r="FF15" s="141">
        <f t="shared" ref="FF15" si="131">IFERROR(FF10/FE10-1,0)</f>
        <v>8.054990969002418E-2</v>
      </c>
      <c r="FG15" s="141">
        <f t="shared" ref="FG15" si="132">IFERROR(FG10/FF10-1,0)</f>
        <v>0.13773699705853892</v>
      </c>
      <c r="FH15" s="141">
        <f t="shared" ref="FH15" si="133">IFERROR(FH10/FG10-1,0)</f>
        <v>0.25</v>
      </c>
      <c r="FI15" s="141">
        <f t="shared" ref="FI15:FJ15" si="134">IFERROR(FI10/FH10-1,0)</f>
        <v>0.19999999999999996</v>
      </c>
      <c r="FJ15" s="141">
        <f t="shared" si="134"/>
        <v>0.14999999999999991</v>
      </c>
    </row>
    <row r="16" spans="2:166" x14ac:dyDescent="0.2">
      <c r="B16" s="22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0"/>
      <c r="BN16" s="140"/>
      <c r="BO16" s="140"/>
      <c r="BP16" s="140"/>
      <c r="BQ16" s="140"/>
      <c r="BR16" s="140"/>
      <c r="BS16" s="140"/>
      <c r="BT16" s="140"/>
      <c r="BU16" s="140"/>
      <c r="BV16" s="140"/>
      <c r="BW16" s="140"/>
      <c r="BX16" s="140"/>
      <c r="BY16" s="140"/>
      <c r="BZ16" s="140"/>
      <c r="CA16" s="140"/>
      <c r="CB16" s="140"/>
      <c r="CC16" s="140"/>
      <c r="CD16" s="140"/>
      <c r="CE16" s="140"/>
      <c r="CF16" s="140"/>
      <c r="CG16" s="140"/>
      <c r="CH16" s="140"/>
      <c r="CI16" s="140"/>
      <c r="CJ16" s="140"/>
      <c r="CK16" s="140"/>
      <c r="CL16" s="140"/>
      <c r="CM16" s="140"/>
      <c r="CN16" s="140"/>
      <c r="CO16" s="140"/>
      <c r="CP16" s="140"/>
      <c r="CQ16" s="140"/>
      <c r="CR16" s="140"/>
      <c r="CS16" s="140"/>
      <c r="CT16" s="140"/>
      <c r="CU16" s="140"/>
      <c r="CV16" s="140"/>
      <c r="CW16" s="140"/>
      <c r="CX16" s="140"/>
      <c r="CY16" s="140"/>
      <c r="CZ16" s="140"/>
      <c r="DA16" s="140"/>
      <c r="DB16" s="140"/>
      <c r="DC16" s="140"/>
      <c r="DD16" s="140"/>
      <c r="DE16" s="140"/>
      <c r="DF16" s="140"/>
      <c r="DG16" s="140"/>
      <c r="DH16" s="140"/>
      <c r="DI16" s="140"/>
      <c r="DJ16" s="140"/>
      <c r="DK16" s="140"/>
      <c r="DL16" s="140"/>
      <c r="DM16" s="140"/>
      <c r="DN16" s="140"/>
      <c r="DO16" s="140"/>
      <c r="DP16" s="140"/>
      <c r="DQ16" s="140"/>
      <c r="DR16" s="140"/>
      <c r="DS16" s="140"/>
      <c r="DT16" s="140"/>
      <c r="DU16" s="140"/>
      <c r="DV16" s="140"/>
      <c r="DW16" s="140"/>
      <c r="DX16" s="140"/>
      <c r="DY16" s="140"/>
      <c r="DZ16" s="140"/>
      <c r="EA16" s="140"/>
      <c r="EB16" s="140"/>
      <c r="EC16" s="140"/>
      <c r="ED16" s="140"/>
      <c r="EF16" s="165">
        <f t="shared" si="13"/>
        <v>0</v>
      </c>
      <c r="EG16" s="165">
        <f t="shared" si="14"/>
        <v>0</v>
      </c>
      <c r="EH16" s="165">
        <f t="shared" si="15"/>
        <v>0</v>
      </c>
      <c r="EI16" s="165">
        <f t="shared" si="16"/>
        <v>0</v>
      </c>
      <c r="EJ16" s="165">
        <f t="shared" si="17"/>
        <v>0</v>
      </c>
      <c r="EK16" s="165">
        <f t="shared" si="18"/>
        <v>0</v>
      </c>
      <c r="EL16" s="165">
        <f t="shared" si="19"/>
        <v>0</v>
      </c>
      <c r="EM16" s="165">
        <f t="shared" si="20"/>
        <v>0</v>
      </c>
      <c r="EN16" s="165">
        <f t="shared" si="21"/>
        <v>0</v>
      </c>
      <c r="EO16" s="165">
        <f t="shared" si="22"/>
        <v>0</v>
      </c>
      <c r="EP16" s="165">
        <f t="shared" si="23"/>
        <v>0</v>
      </c>
      <c r="EQ16" s="165">
        <f t="shared" si="24"/>
        <v>0</v>
      </c>
      <c r="ER16" s="165">
        <f t="shared" si="25"/>
        <v>0</v>
      </c>
      <c r="ES16" s="165">
        <f t="shared" si="26"/>
        <v>0</v>
      </c>
      <c r="ET16" s="165">
        <f t="shared" si="27"/>
        <v>0</v>
      </c>
      <c r="EU16" s="165">
        <f t="shared" si="28"/>
        <v>0</v>
      </c>
      <c r="EV16" s="165">
        <f t="shared" si="29"/>
        <v>0</v>
      </c>
      <c r="EW16" s="165">
        <f t="shared" si="30"/>
        <v>0</v>
      </c>
      <c r="EX16" s="165">
        <f t="shared" si="31"/>
        <v>0</v>
      </c>
      <c r="EY16" s="165">
        <f t="shared" si="32"/>
        <v>0</v>
      </c>
      <c r="EZ16" s="165">
        <f t="shared" si="33"/>
        <v>0</v>
      </c>
      <c r="FA16" s="165">
        <f t="shared" si="34"/>
        <v>0</v>
      </c>
      <c r="FB16" s="165">
        <f t="shared" si="35"/>
        <v>0</v>
      </c>
      <c r="FC16" s="165">
        <f t="shared" si="36"/>
        <v>0</v>
      </c>
      <c r="FE16" s="165">
        <f t="shared" si="37"/>
        <v>0</v>
      </c>
      <c r="FF16" s="165">
        <f t="shared" si="38"/>
        <v>0</v>
      </c>
      <c r="FG16" s="165">
        <f t="shared" si="39"/>
        <v>0</v>
      </c>
      <c r="FH16" s="165">
        <f t="shared" si="40"/>
        <v>0</v>
      </c>
      <c r="FI16" s="165">
        <f t="shared" si="41"/>
        <v>0</v>
      </c>
      <c r="FJ16" s="804">
        <f t="shared" si="42"/>
        <v>0</v>
      </c>
    </row>
    <row r="17" spans="2:166" x14ac:dyDescent="0.2">
      <c r="B17" s="23" t="s">
        <v>18</v>
      </c>
      <c r="C17" s="5">
        <f>'P&amp;L - Inputs'!B340</f>
        <v>0</v>
      </c>
      <c r="D17" s="5">
        <f>'P&amp;L - Inputs'!C340</f>
        <v>0</v>
      </c>
      <c r="E17" s="5">
        <f>'P&amp;L - Inputs'!D340</f>
        <v>0</v>
      </c>
      <c r="F17" s="5">
        <f>'P&amp;L - Inputs'!E340</f>
        <v>0</v>
      </c>
      <c r="G17" s="5">
        <f>'P&amp;L - Inputs'!F340</f>
        <v>0</v>
      </c>
      <c r="H17" s="5">
        <f>'P&amp;L - Inputs'!G340</f>
        <v>0</v>
      </c>
      <c r="I17" s="5">
        <f>'P&amp;L - Inputs'!H340</f>
        <v>0</v>
      </c>
      <c r="J17" s="5">
        <f>'P&amp;L - Inputs'!I340</f>
        <v>0</v>
      </c>
      <c r="K17" s="5">
        <f>'P&amp;L - Inputs'!J340</f>
        <v>0</v>
      </c>
      <c r="L17" s="5">
        <f>'P&amp;L - Inputs'!K340</f>
        <v>0</v>
      </c>
      <c r="M17" s="5">
        <f>'P&amp;L - Inputs'!L340</f>
        <v>0</v>
      </c>
      <c r="N17" s="5">
        <f>'P&amp;L - Inputs'!M340</f>
        <v>0</v>
      </c>
      <c r="O17" s="5">
        <f>'P&amp;L - Inputs'!N340</f>
        <v>0</v>
      </c>
      <c r="P17" s="5">
        <f>'P&amp;L - Inputs'!O340</f>
        <v>0</v>
      </c>
      <c r="Q17" s="5">
        <f>'P&amp;L - Inputs'!P340</f>
        <v>0</v>
      </c>
      <c r="R17" s="5">
        <f>'P&amp;L - Inputs'!Q340</f>
        <v>0</v>
      </c>
      <c r="S17" s="5">
        <f>'P&amp;L - Inputs'!R340</f>
        <v>0</v>
      </c>
      <c r="T17" s="5">
        <f>'P&amp;L - Inputs'!S340</f>
        <v>0</v>
      </c>
      <c r="U17" s="5">
        <f>'P&amp;L - Inputs'!T340</f>
        <v>0</v>
      </c>
      <c r="V17" s="5">
        <f>'P&amp;L - Inputs'!U340</f>
        <v>0</v>
      </c>
      <c r="W17" s="5">
        <f>'P&amp;L - Inputs'!V340</f>
        <v>0</v>
      </c>
      <c r="X17" s="5">
        <f>'P&amp;L - Inputs'!W340</f>
        <v>0</v>
      </c>
      <c r="Y17" s="5">
        <f>'P&amp;L - Inputs'!X340</f>
        <v>0</v>
      </c>
      <c r="Z17" s="5">
        <f>'P&amp;L - Inputs'!Y340</f>
        <v>0</v>
      </c>
      <c r="AA17" s="5">
        <f>'P&amp;L - Inputs'!Z340</f>
        <v>0</v>
      </c>
      <c r="AB17" s="5">
        <f>'P&amp;L - Inputs'!AA340</f>
        <v>0</v>
      </c>
      <c r="AC17" s="5">
        <f>'P&amp;L - Inputs'!AB340</f>
        <v>0</v>
      </c>
      <c r="AD17" s="5">
        <f>'P&amp;L - Inputs'!AC340</f>
        <v>0</v>
      </c>
      <c r="AE17" s="5">
        <f>'P&amp;L - Inputs'!AD340</f>
        <v>0</v>
      </c>
      <c r="AF17" s="5">
        <f>'P&amp;L - Inputs'!AE340</f>
        <v>0</v>
      </c>
      <c r="AG17" s="5">
        <f>'P&amp;L - Inputs'!AF340</f>
        <v>0</v>
      </c>
      <c r="AH17" s="5">
        <f>'P&amp;L - Inputs'!AG340</f>
        <v>0</v>
      </c>
      <c r="AI17" s="5">
        <f>'P&amp;L - Inputs'!AH340</f>
        <v>0</v>
      </c>
      <c r="AJ17" s="5">
        <f>'P&amp;L - Inputs'!AI340</f>
        <v>0</v>
      </c>
      <c r="AK17" s="5">
        <f>'P&amp;L - Inputs'!AJ340</f>
        <v>0</v>
      </c>
      <c r="AL17" s="5">
        <f>'P&amp;L - Inputs'!AK340</f>
        <v>0</v>
      </c>
      <c r="AM17" s="5">
        <f>'P&amp;L - Inputs'!AL340</f>
        <v>0</v>
      </c>
      <c r="AN17" s="5">
        <f>'P&amp;L - Inputs'!AM340</f>
        <v>0</v>
      </c>
      <c r="AO17" s="5">
        <f>'P&amp;L - Inputs'!AN340</f>
        <v>0</v>
      </c>
      <c r="AP17" s="5">
        <f>'P&amp;L - Inputs'!AO340</f>
        <v>0</v>
      </c>
      <c r="AQ17" s="5">
        <f>'P&amp;L - Inputs'!AP340</f>
        <v>0</v>
      </c>
      <c r="AR17" s="5">
        <f>'P&amp;L - Inputs'!AQ340</f>
        <v>0</v>
      </c>
      <c r="AS17" s="5">
        <f>'P&amp;L - Inputs'!AR340</f>
        <v>0</v>
      </c>
      <c r="AT17" s="5">
        <f>'P&amp;L - Inputs'!AS340</f>
        <v>0</v>
      </c>
      <c r="AU17" s="5">
        <f>'P&amp;L - Inputs'!AT340</f>
        <v>0</v>
      </c>
      <c r="AV17" s="5">
        <f>'P&amp;L - Inputs'!AU340</f>
        <v>0</v>
      </c>
      <c r="AW17" s="5">
        <f>'P&amp;L - Inputs'!AV340</f>
        <v>0</v>
      </c>
      <c r="AX17" s="5">
        <f>'P&amp;L - Inputs'!AW340</f>
        <v>0</v>
      </c>
      <c r="AY17" s="5">
        <f>'P&amp;L - Inputs'!AX340</f>
        <v>0</v>
      </c>
      <c r="AZ17" s="5">
        <f>'P&amp;L - Inputs'!AY340</f>
        <v>0</v>
      </c>
      <c r="BA17" s="5">
        <f>'P&amp;L - Inputs'!AZ340</f>
        <v>0</v>
      </c>
      <c r="BB17" s="5">
        <f>'P&amp;L - Inputs'!BA340</f>
        <v>0</v>
      </c>
      <c r="BC17" s="5">
        <f>'P&amp;L - Inputs'!BB340</f>
        <v>0</v>
      </c>
      <c r="BD17" s="5">
        <f>'P&amp;L - Inputs'!BC340</f>
        <v>0</v>
      </c>
      <c r="BE17" s="5">
        <f>'P&amp;L - Inputs'!BD340</f>
        <v>0</v>
      </c>
      <c r="BF17" s="5">
        <f>'P&amp;L - Inputs'!BE340</f>
        <v>0</v>
      </c>
      <c r="BG17" s="5">
        <f>'P&amp;L - Inputs'!BF340</f>
        <v>0</v>
      </c>
      <c r="BH17" s="5">
        <f>'P&amp;L - Inputs'!BG340</f>
        <v>0</v>
      </c>
      <c r="BI17" s="5">
        <f>'P&amp;L - Inputs'!BH340</f>
        <v>0</v>
      </c>
      <c r="BJ17" s="5">
        <f>'P&amp;L - Inputs'!BI340</f>
        <v>0</v>
      </c>
      <c r="BK17" s="5">
        <f>'P&amp;L - Inputs'!BJ340</f>
        <v>0</v>
      </c>
      <c r="BL17" s="5">
        <f>'P&amp;L - Inputs'!BK340</f>
        <v>0</v>
      </c>
      <c r="BM17" s="5">
        <f>'P&amp;L - Inputs'!BL340</f>
        <v>0</v>
      </c>
      <c r="BN17" s="5">
        <f>'P&amp;L - Inputs'!BM340</f>
        <v>0</v>
      </c>
      <c r="BO17" s="5">
        <f>'P&amp;L - Inputs'!BN340</f>
        <v>0</v>
      </c>
      <c r="BP17" s="5">
        <f>'P&amp;L - Inputs'!BO340</f>
        <v>0</v>
      </c>
      <c r="BQ17" s="5">
        <f>'P&amp;L - Inputs'!BP340</f>
        <v>0</v>
      </c>
      <c r="BR17" s="5">
        <f>'P&amp;L - Inputs'!BQ340</f>
        <v>0</v>
      </c>
      <c r="BS17" s="5">
        <f>'P&amp;L - Inputs'!BR340</f>
        <v>0</v>
      </c>
      <c r="BT17" s="5">
        <f>'P&amp;L - Inputs'!BS340</f>
        <v>0</v>
      </c>
      <c r="BU17" s="5">
        <f>'P&amp;L - Inputs'!BT340</f>
        <v>0</v>
      </c>
      <c r="BV17" s="5">
        <f>'P&amp;L - Inputs'!BU340</f>
        <v>0</v>
      </c>
      <c r="BW17" s="5">
        <f>'P&amp;L - Inputs'!BV340</f>
        <v>0</v>
      </c>
      <c r="BX17" s="5">
        <f>'P&amp;L - Inputs'!BW340</f>
        <v>0</v>
      </c>
      <c r="BY17" s="5">
        <f>'P&amp;L - Inputs'!BX340</f>
        <v>0</v>
      </c>
      <c r="BZ17" s="5">
        <f>'P&amp;L - Inputs'!BY340</f>
        <v>0</v>
      </c>
      <c r="CA17" s="5">
        <f>'P&amp;L - Inputs'!BZ340</f>
        <v>0</v>
      </c>
      <c r="CB17" s="5">
        <f>'P&amp;L - Inputs'!CA340</f>
        <v>0</v>
      </c>
      <c r="CC17" s="5">
        <f>'P&amp;L - Inputs'!CB340</f>
        <v>0</v>
      </c>
      <c r="CD17" s="5">
        <f>'P&amp;L - Inputs'!CC340</f>
        <v>0</v>
      </c>
      <c r="CE17" s="5">
        <f>'P&amp;L - Inputs'!CD340</f>
        <v>0</v>
      </c>
      <c r="CF17" s="5">
        <f>'P&amp;L - Inputs'!CE340</f>
        <v>0</v>
      </c>
      <c r="CG17" s="5">
        <f>'P&amp;L - Inputs'!CF340</f>
        <v>0</v>
      </c>
      <c r="CH17" s="5">
        <f>'P&amp;L - Inputs'!CG340</f>
        <v>0</v>
      </c>
      <c r="CI17" s="5">
        <f>'P&amp;L - Inputs'!CH340</f>
        <v>0</v>
      </c>
      <c r="CJ17" s="5">
        <f>'P&amp;L - Inputs'!CI340</f>
        <v>0</v>
      </c>
      <c r="CK17" s="5">
        <f>'P&amp;L - Inputs'!CJ340</f>
        <v>0</v>
      </c>
      <c r="CL17" s="5">
        <f>'P&amp;L - Inputs'!CK340</f>
        <v>0</v>
      </c>
      <c r="CM17" s="5">
        <f>'P&amp;L - Inputs'!CL340</f>
        <v>0</v>
      </c>
      <c r="CN17" s="5">
        <f>'P&amp;L - Inputs'!CM340</f>
        <v>0</v>
      </c>
      <c r="CO17" s="5">
        <f>'P&amp;L - Inputs'!CN340</f>
        <v>0</v>
      </c>
      <c r="CP17" s="5">
        <f>'P&amp;L - Inputs'!CO340</f>
        <v>0</v>
      </c>
      <c r="CQ17" s="5">
        <f>'P&amp;L - Inputs'!CP340</f>
        <v>0</v>
      </c>
      <c r="CR17" s="5">
        <f>'P&amp;L - Inputs'!CQ340</f>
        <v>0</v>
      </c>
      <c r="CS17" s="5">
        <f>'P&amp;L - Inputs'!CR340</f>
        <v>0</v>
      </c>
      <c r="CT17" s="5">
        <f>'P&amp;L - Inputs'!CS340</f>
        <v>0</v>
      </c>
      <c r="CU17" s="5">
        <f>'P&amp;L - Inputs'!CT340</f>
        <v>0</v>
      </c>
      <c r="CV17" s="5">
        <f>'P&amp;L - Inputs'!CU340</f>
        <v>0</v>
      </c>
      <c r="CW17" s="5">
        <f>'P&amp;L - Inputs'!CV340</f>
        <v>0</v>
      </c>
      <c r="CX17" s="5">
        <f>'P&amp;L - Inputs'!CW340</f>
        <v>0</v>
      </c>
      <c r="CY17" s="5">
        <f>'P&amp;L - Inputs'!CX340</f>
        <v>0</v>
      </c>
      <c r="CZ17" s="5">
        <f>'P&amp;L - Inputs'!CY340</f>
        <v>0</v>
      </c>
      <c r="DA17" s="5">
        <f>'P&amp;L - Inputs'!CZ340</f>
        <v>0</v>
      </c>
      <c r="DB17" s="5">
        <f>'P&amp;L - Inputs'!DA340</f>
        <v>0</v>
      </c>
      <c r="DC17" s="5">
        <f>'P&amp;L - Inputs'!DB340</f>
        <v>0</v>
      </c>
      <c r="DD17" s="5">
        <f>'P&amp;L - Inputs'!DC340</f>
        <v>0</v>
      </c>
      <c r="DE17" s="5">
        <f>'P&amp;L - Inputs'!DD340</f>
        <v>0</v>
      </c>
      <c r="DF17" s="5">
        <f>'P&amp;L - Inputs'!DE340</f>
        <v>0</v>
      </c>
      <c r="DG17" s="5">
        <f>'P&amp;L - Inputs'!DF340</f>
        <v>0</v>
      </c>
      <c r="DH17" s="5">
        <f>'P&amp;L - Inputs'!DG340</f>
        <v>0</v>
      </c>
      <c r="DI17" s="5">
        <f>'P&amp;L - Inputs'!DH340</f>
        <v>0</v>
      </c>
      <c r="DJ17" s="5">
        <f>'P&amp;L - Inputs'!DI340</f>
        <v>0</v>
      </c>
      <c r="DK17" s="5">
        <f>'P&amp;L - Inputs'!DJ340</f>
        <v>0</v>
      </c>
      <c r="DL17" s="5">
        <f>'P&amp;L - Inputs'!DK340</f>
        <v>0</v>
      </c>
      <c r="DM17" s="5">
        <f>'P&amp;L - Inputs'!DL340</f>
        <v>0</v>
      </c>
      <c r="DN17" s="5">
        <f>'P&amp;L - Inputs'!DM340</f>
        <v>0</v>
      </c>
      <c r="DO17" s="5">
        <f>'P&amp;L - Inputs'!DN340</f>
        <v>0</v>
      </c>
      <c r="DP17" s="5">
        <f>'P&amp;L - Inputs'!DO340</f>
        <v>0</v>
      </c>
      <c r="DQ17" s="5">
        <f>'P&amp;L - Inputs'!DP340</f>
        <v>0</v>
      </c>
      <c r="DR17" s="5">
        <f>'P&amp;L - Inputs'!DQ340</f>
        <v>0</v>
      </c>
      <c r="DS17" s="5">
        <f>'P&amp;L - Inputs'!DR340</f>
        <v>0</v>
      </c>
      <c r="DT17" s="5">
        <f>'P&amp;L - Inputs'!DS340</f>
        <v>0</v>
      </c>
      <c r="DU17" s="5">
        <f>'P&amp;L - Inputs'!DT340</f>
        <v>0</v>
      </c>
      <c r="DV17" s="5">
        <f>'P&amp;L - Inputs'!DU340</f>
        <v>0</v>
      </c>
      <c r="DW17" s="5">
        <f>'P&amp;L - Inputs'!DV340</f>
        <v>0</v>
      </c>
      <c r="DX17" s="5">
        <f>'P&amp;L - Inputs'!DW340</f>
        <v>0</v>
      </c>
      <c r="DY17" s="5">
        <f>'P&amp;L - Inputs'!DX340</f>
        <v>0</v>
      </c>
      <c r="DZ17" s="5">
        <f>'P&amp;L - Inputs'!DY340</f>
        <v>0</v>
      </c>
      <c r="EA17" s="5">
        <f>'P&amp;L - Inputs'!DZ340</f>
        <v>0</v>
      </c>
      <c r="EB17" s="5">
        <f>'P&amp;L - Inputs'!EA340</f>
        <v>0</v>
      </c>
      <c r="EC17" s="5">
        <f>'P&amp;L - Inputs'!EB340</f>
        <v>0</v>
      </c>
      <c r="ED17" s="5">
        <f>'P&amp;L - Inputs'!EC340</f>
        <v>0</v>
      </c>
      <c r="EF17" s="292">
        <f t="shared" si="13"/>
        <v>0</v>
      </c>
      <c r="EG17" s="292">
        <f t="shared" si="14"/>
        <v>0</v>
      </c>
      <c r="EH17" s="292">
        <f t="shared" si="15"/>
        <v>0</v>
      </c>
      <c r="EI17" s="292">
        <f t="shared" si="16"/>
        <v>0</v>
      </c>
      <c r="EJ17" s="292">
        <f t="shared" si="17"/>
        <v>0</v>
      </c>
      <c r="EK17" s="292">
        <f t="shared" si="18"/>
        <v>0</v>
      </c>
      <c r="EL17" s="292">
        <f t="shared" si="19"/>
        <v>0</v>
      </c>
      <c r="EM17" s="292">
        <f t="shared" si="20"/>
        <v>0</v>
      </c>
      <c r="EN17" s="292">
        <f t="shared" si="21"/>
        <v>0</v>
      </c>
      <c r="EO17" s="292">
        <f t="shared" si="22"/>
        <v>0</v>
      </c>
      <c r="EP17" s="292">
        <f t="shared" si="23"/>
        <v>0</v>
      </c>
      <c r="EQ17" s="292">
        <f t="shared" si="24"/>
        <v>0</v>
      </c>
      <c r="ER17" s="292">
        <f t="shared" si="25"/>
        <v>0</v>
      </c>
      <c r="ES17" s="292">
        <f t="shared" si="26"/>
        <v>0</v>
      </c>
      <c r="ET17" s="292">
        <f t="shared" si="27"/>
        <v>0</v>
      </c>
      <c r="EU17" s="292">
        <f t="shared" si="28"/>
        <v>0</v>
      </c>
      <c r="EV17" s="292">
        <f t="shared" si="29"/>
        <v>0</v>
      </c>
      <c r="EW17" s="292">
        <f t="shared" si="30"/>
        <v>0</v>
      </c>
      <c r="EX17" s="292">
        <f t="shared" si="31"/>
        <v>0</v>
      </c>
      <c r="EY17" s="292">
        <f t="shared" si="32"/>
        <v>0</v>
      </c>
      <c r="EZ17" s="292">
        <f t="shared" si="33"/>
        <v>0</v>
      </c>
      <c r="FA17" s="292">
        <f t="shared" si="34"/>
        <v>0</v>
      </c>
      <c r="FB17" s="292">
        <f t="shared" si="35"/>
        <v>0</v>
      </c>
      <c r="FC17" s="292">
        <f t="shared" si="36"/>
        <v>0</v>
      </c>
      <c r="FE17" s="292">
        <f t="shared" si="37"/>
        <v>0</v>
      </c>
      <c r="FF17" s="292">
        <f t="shared" si="38"/>
        <v>0</v>
      </c>
      <c r="FG17" s="292">
        <f t="shared" si="39"/>
        <v>0</v>
      </c>
      <c r="FH17" s="292">
        <f t="shared" si="40"/>
        <v>0</v>
      </c>
      <c r="FI17" s="292">
        <f t="shared" si="41"/>
        <v>0</v>
      </c>
      <c r="FJ17" s="808">
        <f t="shared" si="42"/>
        <v>0</v>
      </c>
    </row>
    <row r="18" spans="2:166" x14ac:dyDescent="0.2">
      <c r="B18" s="22" t="s">
        <v>27</v>
      </c>
      <c r="C18" s="141">
        <f>C17/C9</f>
        <v>0</v>
      </c>
      <c r="D18" s="141">
        <f t="shared" ref="D18:BO18" si="135">D17/D9</f>
        <v>0</v>
      </c>
      <c r="E18" s="141">
        <f t="shared" si="135"/>
        <v>0</v>
      </c>
      <c r="F18" s="141">
        <f t="shared" si="135"/>
        <v>0</v>
      </c>
      <c r="G18" s="141">
        <f t="shared" si="135"/>
        <v>0</v>
      </c>
      <c r="H18" s="141">
        <f t="shared" si="135"/>
        <v>0</v>
      </c>
      <c r="I18" s="141">
        <f t="shared" si="135"/>
        <v>0</v>
      </c>
      <c r="J18" s="141">
        <f t="shared" si="135"/>
        <v>0</v>
      </c>
      <c r="K18" s="141">
        <f t="shared" si="135"/>
        <v>0</v>
      </c>
      <c r="L18" s="141">
        <f t="shared" si="135"/>
        <v>0</v>
      </c>
      <c r="M18" s="141">
        <f t="shared" si="135"/>
        <v>0</v>
      </c>
      <c r="N18" s="141">
        <f t="shared" si="135"/>
        <v>0</v>
      </c>
      <c r="O18" s="141">
        <f t="shared" si="135"/>
        <v>0</v>
      </c>
      <c r="P18" s="141">
        <f t="shared" si="135"/>
        <v>0</v>
      </c>
      <c r="Q18" s="141">
        <f t="shared" si="135"/>
        <v>0</v>
      </c>
      <c r="R18" s="141">
        <f t="shared" si="135"/>
        <v>0</v>
      </c>
      <c r="S18" s="141">
        <f t="shared" si="135"/>
        <v>0</v>
      </c>
      <c r="T18" s="141">
        <f t="shared" si="135"/>
        <v>0</v>
      </c>
      <c r="U18" s="141">
        <f t="shared" si="135"/>
        <v>0</v>
      </c>
      <c r="V18" s="141">
        <f t="shared" si="135"/>
        <v>0</v>
      </c>
      <c r="W18" s="141">
        <f t="shared" si="135"/>
        <v>0</v>
      </c>
      <c r="X18" s="141">
        <f t="shared" si="135"/>
        <v>0</v>
      </c>
      <c r="Y18" s="141">
        <f t="shared" si="135"/>
        <v>0</v>
      </c>
      <c r="Z18" s="141">
        <f t="shared" si="135"/>
        <v>0</v>
      </c>
      <c r="AA18" s="141">
        <f t="shared" si="135"/>
        <v>0</v>
      </c>
      <c r="AB18" s="141">
        <f t="shared" si="135"/>
        <v>0</v>
      </c>
      <c r="AC18" s="141">
        <f t="shared" si="135"/>
        <v>0</v>
      </c>
      <c r="AD18" s="141">
        <f t="shared" si="135"/>
        <v>0</v>
      </c>
      <c r="AE18" s="141">
        <f t="shared" si="135"/>
        <v>0</v>
      </c>
      <c r="AF18" s="141">
        <f t="shared" si="135"/>
        <v>0</v>
      </c>
      <c r="AG18" s="141">
        <f t="shared" si="135"/>
        <v>0</v>
      </c>
      <c r="AH18" s="141">
        <f t="shared" si="135"/>
        <v>0</v>
      </c>
      <c r="AI18" s="141">
        <f t="shared" si="135"/>
        <v>0</v>
      </c>
      <c r="AJ18" s="141">
        <f t="shared" si="135"/>
        <v>0</v>
      </c>
      <c r="AK18" s="141">
        <f t="shared" si="135"/>
        <v>0</v>
      </c>
      <c r="AL18" s="141">
        <f t="shared" si="135"/>
        <v>0</v>
      </c>
      <c r="AM18" s="141">
        <f t="shared" si="135"/>
        <v>0</v>
      </c>
      <c r="AN18" s="141">
        <f t="shared" si="135"/>
        <v>0</v>
      </c>
      <c r="AO18" s="141">
        <f t="shared" si="135"/>
        <v>0</v>
      </c>
      <c r="AP18" s="141">
        <f t="shared" si="135"/>
        <v>0</v>
      </c>
      <c r="AQ18" s="141">
        <f t="shared" si="135"/>
        <v>0</v>
      </c>
      <c r="AR18" s="141">
        <f t="shared" si="135"/>
        <v>0</v>
      </c>
      <c r="AS18" s="141">
        <f t="shared" si="135"/>
        <v>0</v>
      </c>
      <c r="AT18" s="141">
        <f t="shared" si="135"/>
        <v>0</v>
      </c>
      <c r="AU18" s="141">
        <f t="shared" si="135"/>
        <v>0</v>
      </c>
      <c r="AV18" s="141">
        <f t="shared" si="135"/>
        <v>0</v>
      </c>
      <c r="AW18" s="141">
        <f t="shared" si="135"/>
        <v>0</v>
      </c>
      <c r="AX18" s="141">
        <f t="shared" si="135"/>
        <v>0</v>
      </c>
      <c r="AY18" s="141">
        <f t="shared" si="135"/>
        <v>0</v>
      </c>
      <c r="AZ18" s="141">
        <f t="shared" si="135"/>
        <v>0</v>
      </c>
      <c r="BA18" s="141">
        <f t="shared" si="135"/>
        <v>0</v>
      </c>
      <c r="BB18" s="141">
        <f t="shared" si="135"/>
        <v>0</v>
      </c>
      <c r="BC18" s="141">
        <f t="shared" si="135"/>
        <v>0</v>
      </c>
      <c r="BD18" s="141">
        <f t="shared" si="135"/>
        <v>0</v>
      </c>
      <c r="BE18" s="141">
        <f t="shared" si="135"/>
        <v>0</v>
      </c>
      <c r="BF18" s="141">
        <f t="shared" si="135"/>
        <v>0</v>
      </c>
      <c r="BG18" s="141">
        <f t="shared" si="135"/>
        <v>0</v>
      </c>
      <c r="BH18" s="141">
        <f t="shared" si="135"/>
        <v>0</v>
      </c>
      <c r="BI18" s="141">
        <f t="shared" si="135"/>
        <v>0</v>
      </c>
      <c r="BJ18" s="141">
        <f t="shared" si="135"/>
        <v>0</v>
      </c>
      <c r="BK18" s="141">
        <f t="shared" si="135"/>
        <v>0</v>
      </c>
      <c r="BL18" s="141">
        <f t="shared" si="135"/>
        <v>0</v>
      </c>
      <c r="BM18" s="141">
        <f t="shared" si="135"/>
        <v>0</v>
      </c>
      <c r="BN18" s="141">
        <f t="shared" si="135"/>
        <v>0</v>
      </c>
      <c r="BO18" s="141">
        <f t="shared" si="135"/>
        <v>0</v>
      </c>
      <c r="BP18" s="141">
        <f t="shared" ref="BP18:DR18" si="136">BP17/BP9</f>
        <v>0</v>
      </c>
      <c r="BQ18" s="141">
        <f t="shared" si="136"/>
        <v>0</v>
      </c>
      <c r="BR18" s="141">
        <f t="shared" si="136"/>
        <v>0</v>
      </c>
      <c r="BS18" s="141">
        <f t="shared" si="136"/>
        <v>0</v>
      </c>
      <c r="BT18" s="141">
        <f t="shared" si="136"/>
        <v>0</v>
      </c>
      <c r="BU18" s="141">
        <f t="shared" si="136"/>
        <v>0</v>
      </c>
      <c r="BV18" s="141">
        <f t="shared" si="136"/>
        <v>0</v>
      </c>
      <c r="BW18" s="141">
        <f t="shared" si="136"/>
        <v>0</v>
      </c>
      <c r="BX18" s="141">
        <f t="shared" si="136"/>
        <v>0</v>
      </c>
      <c r="BY18" s="141">
        <f t="shared" si="136"/>
        <v>0</v>
      </c>
      <c r="BZ18" s="141">
        <f t="shared" si="136"/>
        <v>0</v>
      </c>
      <c r="CA18" s="141">
        <f t="shared" si="136"/>
        <v>0</v>
      </c>
      <c r="CB18" s="141">
        <f t="shared" si="136"/>
        <v>0</v>
      </c>
      <c r="CC18" s="141">
        <f t="shared" si="136"/>
        <v>0</v>
      </c>
      <c r="CD18" s="141">
        <f t="shared" si="136"/>
        <v>0</v>
      </c>
      <c r="CE18" s="141">
        <f t="shared" si="136"/>
        <v>0</v>
      </c>
      <c r="CF18" s="141">
        <f t="shared" si="136"/>
        <v>0</v>
      </c>
      <c r="CG18" s="141">
        <f t="shared" si="136"/>
        <v>0</v>
      </c>
      <c r="CH18" s="141">
        <f t="shared" si="136"/>
        <v>0</v>
      </c>
      <c r="CI18" s="141">
        <f t="shared" si="136"/>
        <v>0</v>
      </c>
      <c r="CJ18" s="141">
        <f t="shared" si="136"/>
        <v>0</v>
      </c>
      <c r="CK18" s="141">
        <f t="shared" si="136"/>
        <v>0</v>
      </c>
      <c r="CL18" s="141">
        <f t="shared" si="136"/>
        <v>0</v>
      </c>
      <c r="CM18" s="141">
        <f t="shared" si="136"/>
        <v>0</v>
      </c>
      <c r="CN18" s="141">
        <f t="shared" si="136"/>
        <v>0</v>
      </c>
      <c r="CO18" s="141">
        <f t="shared" si="136"/>
        <v>0</v>
      </c>
      <c r="CP18" s="141">
        <f t="shared" si="136"/>
        <v>0</v>
      </c>
      <c r="CQ18" s="141">
        <f t="shared" si="136"/>
        <v>0</v>
      </c>
      <c r="CR18" s="141">
        <f t="shared" si="136"/>
        <v>0</v>
      </c>
      <c r="CS18" s="141">
        <f t="shared" si="136"/>
        <v>0</v>
      </c>
      <c r="CT18" s="141">
        <f t="shared" si="136"/>
        <v>0</v>
      </c>
      <c r="CU18" s="141">
        <f t="shared" si="136"/>
        <v>0</v>
      </c>
      <c r="CV18" s="141">
        <f t="shared" si="136"/>
        <v>0</v>
      </c>
      <c r="CW18" s="141">
        <f t="shared" si="136"/>
        <v>0</v>
      </c>
      <c r="CX18" s="141">
        <f t="shared" si="136"/>
        <v>0</v>
      </c>
      <c r="CY18" s="141">
        <f t="shared" si="136"/>
        <v>0</v>
      </c>
      <c r="CZ18" s="141">
        <f t="shared" si="136"/>
        <v>0</v>
      </c>
      <c r="DA18" s="141">
        <f t="shared" si="136"/>
        <v>0</v>
      </c>
      <c r="DB18" s="141">
        <f t="shared" si="136"/>
        <v>0</v>
      </c>
      <c r="DC18" s="141">
        <f t="shared" si="136"/>
        <v>0</v>
      </c>
      <c r="DD18" s="141">
        <f t="shared" si="136"/>
        <v>0</v>
      </c>
      <c r="DE18" s="141">
        <f t="shared" si="136"/>
        <v>0</v>
      </c>
      <c r="DF18" s="141">
        <f t="shared" si="136"/>
        <v>0</v>
      </c>
      <c r="DG18" s="141">
        <f t="shared" si="136"/>
        <v>0</v>
      </c>
      <c r="DH18" s="141">
        <f t="shared" si="136"/>
        <v>0</v>
      </c>
      <c r="DI18" s="141">
        <f t="shared" si="136"/>
        <v>0</v>
      </c>
      <c r="DJ18" s="141">
        <f t="shared" si="136"/>
        <v>0</v>
      </c>
      <c r="DK18" s="141">
        <f t="shared" si="136"/>
        <v>0</v>
      </c>
      <c r="DL18" s="141">
        <f t="shared" si="136"/>
        <v>0</v>
      </c>
      <c r="DM18" s="141">
        <f t="shared" si="136"/>
        <v>0</v>
      </c>
      <c r="DN18" s="141">
        <f t="shared" si="136"/>
        <v>0</v>
      </c>
      <c r="DO18" s="141">
        <f t="shared" si="136"/>
        <v>0</v>
      </c>
      <c r="DP18" s="141">
        <f t="shared" si="136"/>
        <v>0</v>
      </c>
      <c r="DQ18" s="141">
        <f t="shared" si="136"/>
        <v>0</v>
      </c>
      <c r="DR18" s="141">
        <f t="shared" si="136"/>
        <v>0</v>
      </c>
      <c r="DS18" s="141">
        <f t="shared" ref="DS18:ED18" si="137">DS17/DS9</f>
        <v>0</v>
      </c>
      <c r="DT18" s="141">
        <f t="shared" si="137"/>
        <v>0</v>
      </c>
      <c r="DU18" s="141">
        <f t="shared" si="137"/>
        <v>0</v>
      </c>
      <c r="DV18" s="141">
        <f t="shared" si="137"/>
        <v>0</v>
      </c>
      <c r="DW18" s="141">
        <f t="shared" si="137"/>
        <v>0</v>
      </c>
      <c r="DX18" s="141">
        <f t="shared" si="137"/>
        <v>0</v>
      </c>
      <c r="DY18" s="141">
        <f t="shared" si="137"/>
        <v>0</v>
      </c>
      <c r="DZ18" s="141">
        <f t="shared" si="137"/>
        <v>0</v>
      </c>
      <c r="EA18" s="141">
        <f t="shared" si="137"/>
        <v>0</v>
      </c>
      <c r="EB18" s="141">
        <f t="shared" si="137"/>
        <v>0</v>
      </c>
      <c r="EC18" s="141">
        <f t="shared" si="137"/>
        <v>0</v>
      </c>
      <c r="ED18" s="141">
        <f t="shared" si="137"/>
        <v>0</v>
      </c>
      <c r="EF18" s="165">
        <f t="shared" si="13"/>
        <v>0</v>
      </c>
      <c r="EG18" s="165">
        <f t="shared" si="14"/>
        <v>0</v>
      </c>
      <c r="EH18" s="165">
        <f t="shared" si="15"/>
        <v>0</v>
      </c>
      <c r="EI18" s="165">
        <f t="shared" si="16"/>
        <v>0</v>
      </c>
      <c r="EJ18" s="165">
        <f t="shared" si="17"/>
        <v>0</v>
      </c>
      <c r="EK18" s="165">
        <f t="shared" si="18"/>
        <v>0</v>
      </c>
      <c r="EL18" s="165">
        <f t="shared" si="19"/>
        <v>0</v>
      </c>
      <c r="EM18" s="165">
        <f t="shared" si="20"/>
        <v>0</v>
      </c>
      <c r="EN18" s="165">
        <f t="shared" si="21"/>
        <v>0</v>
      </c>
      <c r="EO18" s="165">
        <f t="shared" si="22"/>
        <v>0</v>
      </c>
      <c r="EP18" s="165">
        <f t="shared" si="23"/>
        <v>0</v>
      </c>
      <c r="EQ18" s="165">
        <f t="shared" si="24"/>
        <v>0</v>
      </c>
      <c r="ER18" s="165">
        <f t="shared" si="25"/>
        <v>0</v>
      </c>
      <c r="ES18" s="165">
        <f t="shared" si="26"/>
        <v>0</v>
      </c>
      <c r="ET18" s="165">
        <f t="shared" si="27"/>
        <v>0</v>
      </c>
      <c r="EU18" s="165">
        <f t="shared" si="28"/>
        <v>0</v>
      </c>
      <c r="EV18" s="165">
        <f t="shared" si="29"/>
        <v>0</v>
      </c>
      <c r="EW18" s="165">
        <f t="shared" si="30"/>
        <v>0</v>
      </c>
      <c r="EX18" s="165">
        <f t="shared" si="31"/>
        <v>0</v>
      </c>
      <c r="EY18" s="165">
        <f t="shared" si="32"/>
        <v>0</v>
      </c>
      <c r="EZ18" s="165">
        <f t="shared" si="33"/>
        <v>0</v>
      </c>
      <c r="FA18" s="165">
        <f t="shared" si="34"/>
        <v>0</v>
      </c>
      <c r="FB18" s="165">
        <f t="shared" si="35"/>
        <v>0</v>
      </c>
      <c r="FC18" s="165">
        <f t="shared" si="36"/>
        <v>0</v>
      </c>
      <c r="FE18" s="165">
        <f t="shared" si="37"/>
        <v>0</v>
      </c>
      <c r="FF18" s="165">
        <f t="shared" si="38"/>
        <v>0</v>
      </c>
      <c r="FG18" s="165">
        <f t="shared" si="39"/>
        <v>0</v>
      </c>
      <c r="FH18" s="165">
        <f t="shared" si="40"/>
        <v>0</v>
      </c>
      <c r="FI18" s="165">
        <f t="shared" si="41"/>
        <v>0</v>
      </c>
      <c r="FJ18" s="804">
        <f t="shared" si="42"/>
        <v>0</v>
      </c>
    </row>
    <row r="19" spans="2:166" x14ac:dyDescent="0.2">
      <c r="B19" s="22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0"/>
      <c r="BU19" s="140"/>
      <c r="BV19" s="140"/>
      <c r="BW19" s="140"/>
      <c r="BX19" s="140"/>
      <c r="BY19" s="140"/>
      <c r="BZ19" s="140"/>
      <c r="CA19" s="140"/>
      <c r="CB19" s="140"/>
      <c r="CC19" s="140"/>
      <c r="CD19" s="140"/>
      <c r="CE19" s="140"/>
      <c r="CF19" s="140"/>
      <c r="CG19" s="140"/>
      <c r="CH19" s="140"/>
      <c r="CI19" s="140"/>
      <c r="CJ19" s="140"/>
      <c r="CK19" s="140"/>
      <c r="CL19" s="140"/>
      <c r="CM19" s="140"/>
      <c r="CN19" s="140"/>
      <c r="CO19" s="140"/>
      <c r="CP19" s="140"/>
      <c r="CQ19" s="140"/>
      <c r="CR19" s="140"/>
      <c r="CS19" s="140"/>
      <c r="CT19" s="140"/>
      <c r="CU19" s="140"/>
      <c r="CV19" s="140"/>
      <c r="CW19" s="140"/>
      <c r="CX19" s="140"/>
      <c r="CY19" s="140"/>
      <c r="CZ19" s="140"/>
      <c r="DA19" s="140"/>
      <c r="DB19" s="140"/>
      <c r="DC19" s="140"/>
      <c r="DD19" s="140"/>
      <c r="DE19" s="140"/>
      <c r="DF19" s="140"/>
      <c r="DG19" s="140"/>
      <c r="DH19" s="140"/>
      <c r="DI19" s="140"/>
      <c r="DJ19" s="140"/>
      <c r="DK19" s="140"/>
      <c r="DL19" s="140"/>
      <c r="DM19" s="140"/>
      <c r="DN19" s="140"/>
      <c r="DO19" s="140"/>
      <c r="DP19" s="140"/>
      <c r="DQ19" s="140"/>
      <c r="DR19" s="140"/>
      <c r="DS19" s="140"/>
      <c r="DT19" s="140"/>
      <c r="DU19" s="140"/>
      <c r="DV19" s="140"/>
      <c r="DW19" s="140"/>
      <c r="DX19" s="140"/>
      <c r="DY19" s="140"/>
      <c r="DZ19" s="140"/>
      <c r="EA19" s="140"/>
      <c r="EB19" s="140"/>
      <c r="EC19" s="140"/>
      <c r="ED19" s="140"/>
      <c r="EF19" s="165">
        <f t="shared" si="13"/>
        <v>0</v>
      </c>
      <c r="EG19" s="165">
        <f t="shared" si="14"/>
        <v>0</v>
      </c>
      <c r="EH19" s="165">
        <f t="shared" si="15"/>
        <v>0</v>
      </c>
      <c r="EI19" s="165">
        <f t="shared" si="16"/>
        <v>0</v>
      </c>
      <c r="EJ19" s="165">
        <f t="shared" si="17"/>
        <v>0</v>
      </c>
      <c r="EK19" s="165">
        <f t="shared" si="18"/>
        <v>0</v>
      </c>
      <c r="EL19" s="165">
        <f t="shared" si="19"/>
        <v>0</v>
      </c>
      <c r="EM19" s="165">
        <f t="shared" si="20"/>
        <v>0</v>
      </c>
      <c r="EN19" s="165">
        <f t="shared" si="21"/>
        <v>0</v>
      </c>
      <c r="EO19" s="165">
        <f t="shared" si="22"/>
        <v>0</v>
      </c>
      <c r="EP19" s="165">
        <f t="shared" si="23"/>
        <v>0</v>
      </c>
      <c r="EQ19" s="165">
        <f t="shared" si="24"/>
        <v>0</v>
      </c>
      <c r="ER19" s="165">
        <f t="shared" si="25"/>
        <v>0</v>
      </c>
      <c r="ES19" s="165">
        <f t="shared" si="26"/>
        <v>0</v>
      </c>
      <c r="ET19" s="165">
        <f t="shared" si="27"/>
        <v>0</v>
      </c>
      <c r="EU19" s="165">
        <f t="shared" si="28"/>
        <v>0</v>
      </c>
      <c r="EV19" s="165">
        <f t="shared" si="29"/>
        <v>0</v>
      </c>
      <c r="EW19" s="165">
        <f t="shared" si="30"/>
        <v>0</v>
      </c>
      <c r="EX19" s="165">
        <f t="shared" si="31"/>
        <v>0</v>
      </c>
      <c r="EY19" s="165">
        <f t="shared" si="32"/>
        <v>0</v>
      </c>
      <c r="EZ19" s="165">
        <f t="shared" si="33"/>
        <v>0</v>
      </c>
      <c r="FA19" s="165">
        <f t="shared" si="34"/>
        <v>0</v>
      </c>
      <c r="FB19" s="165">
        <f t="shared" si="35"/>
        <v>0</v>
      </c>
      <c r="FC19" s="165">
        <f t="shared" si="36"/>
        <v>0</v>
      </c>
      <c r="FE19" s="165">
        <f t="shared" si="37"/>
        <v>0</v>
      </c>
      <c r="FF19" s="165">
        <f t="shared" si="38"/>
        <v>0</v>
      </c>
      <c r="FG19" s="165">
        <f t="shared" si="39"/>
        <v>0</v>
      </c>
      <c r="FH19" s="165">
        <f t="shared" si="40"/>
        <v>0</v>
      </c>
      <c r="FI19" s="165">
        <f t="shared" si="41"/>
        <v>0</v>
      </c>
      <c r="FJ19" s="804">
        <f t="shared" si="42"/>
        <v>0</v>
      </c>
    </row>
    <row r="20" spans="2:166" x14ac:dyDescent="0.2">
      <c r="B20" s="23" t="s">
        <v>28</v>
      </c>
      <c r="C20" s="5">
        <f>C9-C17</f>
        <v>4268764</v>
      </c>
      <c r="D20" s="5">
        <f t="shared" ref="D20:BO20" si="138">D9-D17</f>
        <v>6341836</v>
      </c>
      <c r="E20" s="5">
        <f t="shared" si="138"/>
        <v>5881839.9999999991</v>
      </c>
      <c r="F20" s="5">
        <f t="shared" si="138"/>
        <v>5078495</v>
      </c>
      <c r="G20" s="5">
        <f t="shared" si="138"/>
        <v>3044418</v>
      </c>
      <c r="H20" s="5">
        <f t="shared" si="138"/>
        <v>2259483.9999999995</v>
      </c>
      <c r="I20" s="5">
        <f t="shared" si="138"/>
        <v>2792144.9999999995</v>
      </c>
      <c r="J20" s="5">
        <f t="shared" si="138"/>
        <v>2498575</v>
      </c>
      <c r="K20" s="5">
        <f t="shared" si="138"/>
        <v>3183499</v>
      </c>
      <c r="L20" s="5">
        <f t="shared" si="138"/>
        <v>3340854</v>
      </c>
      <c r="M20" s="5">
        <f t="shared" si="138"/>
        <v>2961651</v>
      </c>
      <c r="N20" s="5">
        <f t="shared" si="138"/>
        <v>2697955</v>
      </c>
      <c r="O20" s="5">
        <f t="shared" si="138"/>
        <v>2656416.102</v>
      </c>
      <c r="P20" s="5">
        <f t="shared" si="138"/>
        <v>2985390.68</v>
      </c>
      <c r="Q20" s="5">
        <f t="shared" si="138"/>
        <v>3072094.9152542371</v>
      </c>
      <c r="R20" s="5">
        <f t="shared" si="138"/>
        <v>3496965</v>
      </c>
      <c r="S20" s="5">
        <f t="shared" si="138"/>
        <v>3765122.9999999995</v>
      </c>
      <c r="T20" s="5">
        <f t="shared" si="138"/>
        <v>3783907</v>
      </c>
      <c r="U20" s="5">
        <f t="shared" si="138"/>
        <v>4877064</v>
      </c>
      <c r="V20" s="5">
        <f t="shared" si="138"/>
        <v>3616007.9999999995</v>
      </c>
      <c r="W20" s="5">
        <f t="shared" si="138"/>
        <v>3755697.9999999995</v>
      </c>
      <c r="X20" s="5">
        <f t="shared" si="138"/>
        <v>4335519</v>
      </c>
      <c r="Y20" s="5">
        <f t="shared" si="138"/>
        <v>4040235</v>
      </c>
      <c r="Z20" s="5">
        <f t="shared" si="138"/>
        <v>3307233.9999999995</v>
      </c>
      <c r="AA20" s="5">
        <f t="shared" si="138"/>
        <v>59363</v>
      </c>
      <c r="AB20" s="5">
        <f t="shared" si="138"/>
        <v>1950608</v>
      </c>
      <c r="AC20" s="5">
        <f t="shared" si="138"/>
        <v>6069614</v>
      </c>
      <c r="AD20" s="5">
        <f t="shared" si="138"/>
        <v>9087524</v>
      </c>
      <c r="AE20" s="5">
        <f t="shared" si="138"/>
        <v>11916514</v>
      </c>
      <c r="AF20" s="5">
        <f t="shared" si="138"/>
        <v>12536009</v>
      </c>
      <c r="AG20" s="5">
        <f t="shared" si="138"/>
        <v>15317190</v>
      </c>
      <c r="AH20" s="5">
        <f t="shared" si="138"/>
        <v>12327006</v>
      </c>
      <c r="AI20" s="5">
        <f t="shared" si="138"/>
        <v>10669084</v>
      </c>
      <c r="AJ20" s="5">
        <f t="shared" si="138"/>
        <v>13199808</v>
      </c>
      <c r="AK20" s="5">
        <f t="shared" si="138"/>
        <v>11541317.999999998</v>
      </c>
      <c r="AL20" s="5">
        <f t="shared" si="138"/>
        <v>13057529.999999998</v>
      </c>
      <c r="AM20" s="5">
        <f t="shared" si="138"/>
        <v>9616853.9999999981</v>
      </c>
      <c r="AN20" s="5">
        <f t="shared" si="138"/>
        <v>4333204</v>
      </c>
      <c r="AO20" s="5">
        <f t="shared" si="138"/>
        <v>13330682</v>
      </c>
      <c r="AP20" s="5">
        <f t="shared" si="138"/>
        <v>17246232</v>
      </c>
      <c r="AQ20" s="5">
        <f t="shared" si="138"/>
        <v>19926977</v>
      </c>
      <c r="AR20" s="5">
        <f t="shared" si="138"/>
        <v>19284180.169491529</v>
      </c>
      <c r="AS20" s="5">
        <f t="shared" si="138"/>
        <v>27292370</v>
      </c>
      <c r="AT20" s="5">
        <f t="shared" si="138"/>
        <v>17680530</v>
      </c>
      <c r="AU20" s="5">
        <f t="shared" si="138"/>
        <v>19408871.186440676</v>
      </c>
      <c r="AV20" s="5">
        <f t="shared" si="138"/>
        <v>20923863</v>
      </c>
      <c r="AW20" s="5">
        <f t="shared" si="138"/>
        <v>19250761</v>
      </c>
      <c r="AX20" s="5">
        <f t="shared" si="138"/>
        <v>25031977</v>
      </c>
      <c r="AY20" s="5">
        <f t="shared" si="138"/>
        <v>22326047.999999996</v>
      </c>
      <c r="AZ20" s="5">
        <f t="shared" si="138"/>
        <v>21235345.999999996</v>
      </c>
      <c r="BA20" s="5">
        <f t="shared" si="138"/>
        <v>23713180</v>
      </c>
      <c r="BB20" s="5">
        <f t="shared" si="138"/>
        <v>23317274.237288136</v>
      </c>
      <c r="BC20" s="5">
        <f t="shared" si="138"/>
        <v>24275030.254237287</v>
      </c>
      <c r="BD20" s="5">
        <f t="shared" si="138"/>
        <v>30323686.949152544</v>
      </c>
      <c r="BE20" s="5">
        <f t="shared" si="138"/>
        <v>31061274.237288136</v>
      </c>
      <c r="BF20" s="5">
        <f t="shared" si="138"/>
        <v>24824298.474576272</v>
      </c>
      <c r="BG20" s="5">
        <f t="shared" si="138"/>
        <v>28066739.576271184</v>
      </c>
      <c r="BH20" s="5">
        <f t="shared" si="138"/>
        <v>31812684.237288132</v>
      </c>
      <c r="BI20" s="5">
        <f t="shared" si="138"/>
        <v>29501009.999999996</v>
      </c>
      <c r="BJ20" s="5">
        <f t="shared" si="138"/>
        <v>33334730.93220339</v>
      </c>
      <c r="BK20" s="5">
        <f t="shared" si="138"/>
        <v>36591958.644067794</v>
      </c>
      <c r="BL20" s="5">
        <f t="shared" si="138"/>
        <v>38294305.593220331</v>
      </c>
      <c r="BM20" s="5">
        <f t="shared" si="138"/>
        <v>38013910.677966103</v>
      </c>
      <c r="BN20" s="5">
        <f t="shared" si="138"/>
        <v>41510203.220338978</v>
      </c>
      <c r="BO20" s="5">
        <f t="shared" si="138"/>
        <v>42811940.423728809</v>
      </c>
      <c r="BP20" s="5">
        <f t="shared" ref="BP20:DR20" si="139">BP9-BP17</f>
        <v>38101946.864406779</v>
      </c>
      <c r="BQ20" s="5">
        <f t="shared" si="139"/>
        <v>56596933.898305088</v>
      </c>
      <c r="BR20" s="5">
        <f t="shared" si="139"/>
        <v>47137179.237288132</v>
      </c>
      <c r="BS20" s="5">
        <f t="shared" si="139"/>
        <v>43600103.559322037</v>
      </c>
      <c r="BT20" s="5">
        <f t="shared" si="139"/>
        <v>49552935.508474573</v>
      </c>
      <c r="BU20" s="5">
        <f t="shared" si="139"/>
        <v>43868549.322033897</v>
      </c>
      <c r="BV20" s="5">
        <f t="shared" si="139"/>
        <v>44896421.016949147</v>
      </c>
      <c r="BW20" s="5">
        <f t="shared" si="139"/>
        <v>42936295.93220339</v>
      </c>
      <c r="BX20" s="5">
        <f t="shared" si="139"/>
        <v>49690903.220338978</v>
      </c>
      <c r="BY20" s="5">
        <f t="shared" si="139"/>
        <v>45884842.62711864</v>
      </c>
      <c r="BZ20" s="5">
        <f t="shared" si="139"/>
        <v>53967340.677966103</v>
      </c>
      <c r="CA20" s="5">
        <f t="shared" si="139"/>
        <v>50923403.305084743</v>
      </c>
      <c r="CB20" s="5">
        <f t="shared" si="139"/>
        <v>48445319.23728814</v>
      </c>
      <c r="CC20" s="5">
        <f t="shared" si="139"/>
        <v>68126414.406779662</v>
      </c>
      <c r="CD20" s="5">
        <f t="shared" si="139"/>
        <v>52362003.474576272</v>
      </c>
      <c r="CE20" s="5">
        <f t="shared" si="139"/>
        <v>53633983.983050846</v>
      </c>
      <c r="CF20" s="5">
        <f t="shared" si="139"/>
        <v>57834144.23728814</v>
      </c>
      <c r="CG20" s="5">
        <f t="shared" si="139"/>
        <v>57764148.3898305</v>
      </c>
      <c r="CH20" s="5">
        <f t="shared" si="139"/>
        <v>56563365.169491522</v>
      </c>
      <c r="CI20" s="5">
        <f t="shared" si="139"/>
        <v>57031594.576271184</v>
      </c>
      <c r="CJ20" s="5">
        <f t="shared" si="139"/>
        <v>60307318.050847456</v>
      </c>
      <c r="CK20" s="5">
        <f t="shared" si="139"/>
        <v>59450009.576271184</v>
      </c>
      <c r="CL20" s="5">
        <f t="shared" si="139"/>
        <v>62832069.830508478</v>
      </c>
      <c r="CM20" s="5">
        <f t="shared" si="139"/>
        <v>58068269.406779662</v>
      </c>
      <c r="CN20" s="5">
        <f t="shared" si="139"/>
        <v>70107643.559322044</v>
      </c>
      <c r="CO20" s="5">
        <f t="shared" si="139"/>
        <v>88509661.864406779</v>
      </c>
      <c r="CP20" s="5">
        <f t="shared" si="139"/>
        <v>68483592.372881353</v>
      </c>
      <c r="CQ20" s="5">
        <f t="shared" si="139"/>
        <v>71551959.745762706</v>
      </c>
      <c r="CR20" s="5">
        <f t="shared" si="139"/>
        <v>74731942.372881353</v>
      </c>
      <c r="CS20" s="5">
        <f t="shared" si="139"/>
        <v>65533002.118644066</v>
      </c>
      <c r="CT20" s="5">
        <f t="shared" si="139"/>
        <v>82934150</v>
      </c>
      <c r="CU20" s="5">
        <f t="shared" si="139"/>
        <v>73571537.314133629</v>
      </c>
      <c r="CV20" s="5">
        <f t="shared" si="139"/>
        <v>80165868.104559109</v>
      </c>
      <c r="CW20" s="5">
        <f t="shared" si="139"/>
        <v>79218025.256047174</v>
      </c>
      <c r="CX20" s="5">
        <f t="shared" si="139"/>
        <v>86611445.34807156</v>
      </c>
      <c r="CY20" s="5">
        <f t="shared" si="139"/>
        <v>80842020.590527415</v>
      </c>
      <c r="CZ20" s="5">
        <f t="shared" si="139"/>
        <v>93912662.828373</v>
      </c>
      <c r="DA20" s="5">
        <f t="shared" si="139"/>
        <v>116088005.63182093</v>
      </c>
      <c r="DB20" s="5">
        <f t="shared" si="139"/>
        <v>85930375.389478028</v>
      </c>
      <c r="DC20" s="5">
        <f t="shared" si="139"/>
        <v>88782509.512107983</v>
      </c>
      <c r="DD20" s="5">
        <f t="shared" si="139"/>
        <v>93149225.203306958</v>
      </c>
      <c r="DE20" s="5">
        <f t="shared" si="139"/>
        <v>79867131.642576739</v>
      </c>
      <c r="DF20" s="5">
        <f t="shared" si="139"/>
        <v>97020505.527514607</v>
      </c>
      <c r="DG20" s="5">
        <f t="shared" si="139"/>
        <v>88285844.776960358</v>
      </c>
      <c r="DH20" s="5">
        <f t="shared" si="139"/>
        <v>96199041.72547093</v>
      </c>
      <c r="DI20" s="5">
        <f t="shared" si="139"/>
        <v>95061630.307256609</v>
      </c>
      <c r="DJ20" s="5">
        <f t="shared" si="139"/>
        <v>103933734.41768587</v>
      </c>
      <c r="DK20" s="5">
        <f t="shared" si="139"/>
        <v>97010424.708632901</v>
      </c>
      <c r="DL20" s="5">
        <f t="shared" si="139"/>
        <v>112695195.3940476</v>
      </c>
      <c r="DM20" s="5">
        <f t="shared" si="139"/>
        <v>139305606.75818515</v>
      </c>
      <c r="DN20" s="5">
        <f t="shared" si="139"/>
        <v>103116450.46737362</v>
      </c>
      <c r="DO20" s="5">
        <f t="shared" si="139"/>
        <v>106539011.41452959</v>
      </c>
      <c r="DP20" s="5">
        <f t="shared" si="139"/>
        <v>111779070.24396835</v>
      </c>
      <c r="DQ20" s="5">
        <f t="shared" si="139"/>
        <v>95840557.97109209</v>
      </c>
      <c r="DR20" s="5">
        <f t="shared" si="139"/>
        <v>116424606.63301753</v>
      </c>
      <c r="DS20" s="5">
        <f t="shared" ref="DS20:ED20" si="140">DS9-DS17</f>
        <v>101528721.49350439</v>
      </c>
      <c r="DT20" s="5">
        <f t="shared" si="140"/>
        <v>110628897.98429155</v>
      </c>
      <c r="DU20" s="5">
        <f t="shared" si="140"/>
        <v>109320874.85334508</v>
      </c>
      <c r="DV20" s="5">
        <f t="shared" si="140"/>
        <v>119523794.58033875</v>
      </c>
      <c r="DW20" s="5">
        <f t="shared" si="140"/>
        <v>111561988.41492783</v>
      </c>
      <c r="DX20" s="5">
        <f t="shared" si="140"/>
        <v>129599474.70315473</v>
      </c>
      <c r="DY20" s="5">
        <f t="shared" si="140"/>
        <v>160201447.77191293</v>
      </c>
      <c r="DZ20" s="5">
        <f t="shared" si="140"/>
        <v>118583918.03747967</v>
      </c>
      <c r="EA20" s="5">
        <f t="shared" si="140"/>
        <v>122519863.12670903</v>
      </c>
      <c r="EB20" s="5">
        <f t="shared" si="140"/>
        <v>128545930.78056359</v>
      </c>
      <c r="EC20" s="5">
        <f t="shared" si="140"/>
        <v>110216641.6667559</v>
      </c>
      <c r="ED20" s="5">
        <f t="shared" si="140"/>
        <v>133888297.62797017</v>
      </c>
      <c r="EF20" s="293">
        <f t="shared" si="13"/>
        <v>112900174.91525422</v>
      </c>
      <c r="EG20" s="293">
        <f t="shared" si="14"/>
        <v>122424090.50847457</v>
      </c>
      <c r="EH20" s="293">
        <f t="shared" si="15"/>
        <v>147334216.69491526</v>
      </c>
      <c r="EI20" s="293">
        <f t="shared" si="16"/>
        <v>138317905.84745762</v>
      </c>
      <c r="EJ20" s="293">
        <f t="shared" si="17"/>
        <v>138512041.779661</v>
      </c>
      <c r="EK20" s="293">
        <f t="shared" si="18"/>
        <v>191007982.79661018</v>
      </c>
      <c r="EL20" s="293">
        <f t="shared" si="19"/>
        <v>174122401.86440679</v>
      </c>
      <c r="EM20" s="293">
        <f t="shared" si="20"/>
        <v>172161657.79661018</v>
      </c>
      <c r="EN20" s="293">
        <f t="shared" si="21"/>
        <v>176788922.20338982</v>
      </c>
      <c r="EO20" s="293">
        <f t="shared" si="22"/>
        <v>191007982.79661018</v>
      </c>
      <c r="EP20" s="293">
        <f t="shared" si="23"/>
        <v>228545213.98305082</v>
      </c>
      <c r="EQ20" s="293">
        <f t="shared" si="24"/>
        <v>223199094.49152541</v>
      </c>
      <c r="ER20" s="293">
        <f t="shared" si="25"/>
        <v>232955430.6747399</v>
      </c>
      <c r="ES20" s="293">
        <f t="shared" si="26"/>
        <v>261366128.76697201</v>
      </c>
      <c r="ET20" s="293">
        <f t="shared" si="27"/>
        <v>290800890.53340691</v>
      </c>
      <c r="EU20" s="293">
        <f t="shared" si="28"/>
        <v>270036862.3733983</v>
      </c>
      <c r="EV20" s="293">
        <f t="shared" si="29"/>
        <v>279546516.80968785</v>
      </c>
      <c r="EW20" s="293">
        <f t="shared" si="30"/>
        <v>313639354.52036637</v>
      </c>
      <c r="EX20" s="293">
        <f t="shared" si="31"/>
        <v>348961068.64008832</v>
      </c>
      <c r="EY20" s="293">
        <f t="shared" si="32"/>
        <v>324044234.84807795</v>
      </c>
      <c r="EZ20" s="293">
        <f t="shared" si="33"/>
        <v>321478494.33114105</v>
      </c>
      <c r="FA20" s="293">
        <f t="shared" si="34"/>
        <v>360685257.6984213</v>
      </c>
      <c r="FB20" s="293">
        <f t="shared" si="35"/>
        <v>401305228.93610162</v>
      </c>
      <c r="FC20" s="293">
        <f t="shared" si="36"/>
        <v>372650870.07528967</v>
      </c>
      <c r="FE20" s="293">
        <f t="shared" si="37"/>
        <v>520976387.96610165</v>
      </c>
      <c r="FF20" s="293">
        <f t="shared" si="38"/>
        <v>675804084.23728824</v>
      </c>
      <c r="FG20" s="293">
        <f t="shared" si="39"/>
        <v>819541213.47457623</v>
      </c>
      <c r="FH20" s="293">
        <f t="shared" si="40"/>
        <v>1055159312.3485172</v>
      </c>
      <c r="FI20" s="293">
        <f t="shared" si="41"/>
        <v>1266191174.8182206</v>
      </c>
      <c r="FJ20" s="807">
        <f t="shared" si="42"/>
        <v>1456119851.0409536</v>
      </c>
    </row>
    <row r="21" spans="2:166" x14ac:dyDescent="0.2">
      <c r="B21" s="22" t="s">
        <v>29</v>
      </c>
      <c r="C21" s="141">
        <f>C20/C9</f>
        <v>1</v>
      </c>
      <c r="D21" s="141">
        <f t="shared" ref="D21:BO21" si="141">D20/D9</f>
        <v>1</v>
      </c>
      <c r="E21" s="141">
        <f t="shared" si="141"/>
        <v>1</v>
      </c>
      <c r="F21" s="141">
        <f t="shared" si="141"/>
        <v>1</v>
      </c>
      <c r="G21" s="141">
        <f t="shared" si="141"/>
        <v>1</v>
      </c>
      <c r="H21" s="141">
        <f t="shared" si="141"/>
        <v>1</v>
      </c>
      <c r="I21" s="141">
        <f t="shared" si="141"/>
        <v>1</v>
      </c>
      <c r="J21" s="141">
        <f t="shared" si="141"/>
        <v>1</v>
      </c>
      <c r="K21" s="141">
        <f t="shared" si="141"/>
        <v>1</v>
      </c>
      <c r="L21" s="141">
        <f t="shared" si="141"/>
        <v>1</v>
      </c>
      <c r="M21" s="141">
        <f t="shared" si="141"/>
        <v>1</v>
      </c>
      <c r="N21" s="141">
        <f t="shared" si="141"/>
        <v>1</v>
      </c>
      <c r="O21" s="141">
        <f t="shared" si="141"/>
        <v>1</v>
      </c>
      <c r="P21" s="141">
        <f t="shared" si="141"/>
        <v>1</v>
      </c>
      <c r="Q21" s="141">
        <f t="shared" si="141"/>
        <v>1</v>
      </c>
      <c r="R21" s="141">
        <f t="shared" si="141"/>
        <v>1</v>
      </c>
      <c r="S21" s="141">
        <f t="shared" si="141"/>
        <v>1</v>
      </c>
      <c r="T21" s="141">
        <f t="shared" si="141"/>
        <v>1</v>
      </c>
      <c r="U21" s="141">
        <f t="shared" si="141"/>
        <v>1</v>
      </c>
      <c r="V21" s="141">
        <f t="shared" si="141"/>
        <v>1</v>
      </c>
      <c r="W21" s="141">
        <f t="shared" si="141"/>
        <v>1</v>
      </c>
      <c r="X21" s="141">
        <f t="shared" si="141"/>
        <v>1</v>
      </c>
      <c r="Y21" s="141">
        <f t="shared" si="141"/>
        <v>1</v>
      </c>
      <c r="Z21" s="141">
        <f t="shared" si="141"/>
        <v>1</v>
      </c>
      <c r="AA21" s="141">
        <f t="shared" si="141"/>
        <v>1</v>
      </c>
      <c r="AB21" s="141">
        <f t="shared" si="141"/>
        <v>1</v>
      </c>
      <c r="AC21" s="141">
        <f t="shared" si="141"/>
        <v>1</v>
      </c>
      <c r="AD21" s="141">
        <f t="shared" si="141"/>
        <v>1</v>
      </c>
      <c r="AE21" s="141">
        <f t="shared" si="141"/>
        <v>1</v>
      </c>
      <c r="AF21" s="141">
        <f t="shared" si="141"/>
        <v>1</v>
      </c>
      <c r="AG21" s="141">
        <f t="shared" si="141"/>
        <v>1</v>
      </c>
      <c r="AH21" s="141">
        <f t="shared" si="141"/>
        <v>1</v>
      </c>
      <c r="AI21" s="141">
        <f t="shared" si="141"/>
        <v>1</v>
      </c>
      <c r="AJ21" s="141">
        <f t="shared" si="141"/>
        <v>1</v>
      </c>
      <c r="AK21" s="141">
        <f t="shared" si="141"/>
        <v>1</v>
      </c>
      <c r="AL21" s="141">
        <f t="shared" si="141"/>
        <v>1</v>
      </c>
      <c r="AM21" s="141">
        <f t="shared" si="141"/>
        <v>1</v>
      </c>
      <c r="AN21" s="141">
        <f t="shared" si="141"/>
        <v>1</v>
      </c>
      <c r="AO21" s="141">
        <f t="shared" si="141"/>
        <v>1</v>
      </c>
      <c r="AP21" s="141">
        <f t="shared" si="141"/>
        <v>1</v>
      </c>
      <c r="AQ21" s="141">
        <f t="shared" si="141"/>
        <v>1</v>
      </c>
      <c r="AR21" s="141">
        <f t="shared" si="141"/>
        <v>1</v>
      </c>
      <c r="AS21" s="141">
        <f t="shared" si="141"/>
        <v>1</v>
      </c>
      <c r="AT21" s="141">
        <f t="shared" si="141"/>
        <v>1</v>
      </c>
      <c r="AU21" s="141">
        <f t="shared" si="141"/>
        <v>1</v>
      </c>
      <c r="AV21" s="141">
        <f t="shared" si="141"/>
        <v>1</v>
      </c>
      <c r="AW21" s="141">
        <f t="shared" si="141"/>
        <v>1</v>
      </c>
      <c r="AX21" s="141">
        <f t="shared" si="141"/>
        <v>1</v>
      </c>
      <c r="AY21" s="141">
        <f t="shared" si="141"/>
        <v>1</v>
      </c>
      <c r="AZ21" s="141">
        <f t="shared" si="141"/>
        <v>1</v>
      </c>
      <c r="BA21" s="141">
        <f t="shared" si="141"/>
        <v>1</v>
      </c>
      <c r="BB21" s="141">
        <f t="shared" si="141"/>
        <v>1</v>
      </c>
      <c r="BC21" s="141">
        <f t="shared" si="141"/>
        <v>1</v>
      </c>
      <c r="BD21" s="141">
        <f t="shared" si="141"/>
        <v>1</v>
      </c>
      <c r="BE21" s="141">
        <f t="shared" si="141"/>
        <v>1</v>
      </c>
      <c r="BF21" s="141">
        <f t="shared" si="141"/>
        <v>1</v>
      </c>
      <c r="BG21" s="141">
        <f t="shared" si="141"/>
        <v>1</v>
      </c>
      <c r="BH21" s="141">
        <f t="shared" si="141"/>
        <v>1</v>
      </c>
      <c r="BI21" s="141">
        <f t="shared" si="141"/>
        <v>1</v>
      </c>
      <c r="BJ21" s="141">
        <f t="shared" si="141"/>
        <v>1</v>
      </c>
      <c r="BK21" s="141">
        <f t="shared" si="141"/>
        <v>1</v>
      </c>
      <c r="BL21" s="141">
        <f t="shared" si="141"/>
        <v>1</v>
      </c>
      <c r="BM21" s="141">
        <f t="shared" si="141"/>
        <v>1</v>
      </c>
      <c r="BN21" s="141">
        <f t="shared" si="141"/>
        <v>1</v>
      </c>
      <c r="BO21" s="141">
        <f t="shared" si="141"/>
        <v>1</v>
      </c>
      <c r="BP21" s="141">
        <f t="shared" ref="BP21:EM21" si="142">BP20/BP9</f>
        <v>1</v>
      </c>
      <c r="BQ21" s="141">
        <f t="shared" si="142"/>
        <v>1</v>
      </c>
      <c r="BR21" s="141">
        <f t="shared" si="142"/>
        <v>1</v>
      </c>
      <c r="BS21" s="141">
        <f t="shared" si="142"/>
        <v>1</v>
      </c>
      <c r="BT21" s="141">
        <f t="shared" si="142"/>
        <v>1</v>
      </c>
      <c r="BU21" s="141">
        <f t="shared" si="142"/>
        <v>1</v>
      </c>
      <c r="BV21" s="141">
        <f t="shared" si="142"/>
        <v>1</v>
      </c>
      <c r="BW21" s="141">
        <f t="shared" si="142"/>
        <v>1</v>
      </c>
      <c r="BX21" s="141">
        <f t="shared" si="142"/>
        <v>1</v>
      </c>
      <c r="BY21" s="141">
        <f t="shared" si="142"/>
        <v>1</v>
      </c>
      <c r="BZ21" s="141">
        <f t="shared" si="142"/>
        <v>1</v>
      </c>
      <c r="CA21" s="141">
        <f t="shared" si="142"/>
        <v>1</v>
      </c>
      <c r="CB21" s="141">
        <f t="shared" si="142"/>
        <v>1</v>
      </c>
      <c r="CC21" s="141">
        <f t="shared" si="142"/>
        <v>1</v>
      </c>
      <c r="CD21" s="141">
        <f t="shared" si="142"/>
        <v>1</v>
      </c>
      <c r="CE21" s="141">
        <f t="shared" si="142"/>
        <v>1</v>
      </c>
      <c r="CF21" s="141">
        <f t="shared" si="142"/>
        <v>1</v>
      </c>
      <c r="CG21" s="141">
        <f t="shared" si="142"/>
        <v>1</v>
      </c>
      <c r="CH21" s="141">
        <f t="shared" si="142"/>
        <v>1</v>
      </c>
      <c r="CI21" s="141">
        <f t="shared" si="142"/>
        <v>1</v>
      </c>
      <c r="CJ21" s="141">
        <f t="shared" si="142"/>
        <v>1</v>
      </c>
      <c r="CK21" s="141">
        <f t="shared" si="142"/>
        <v>1</v>
      </c>
      <c r="CL21" s="141">
        <f t="shared" si="142"/>
        <v>1</v>
      </c>
      <c r="CM21" s="141">
        <f t="shared" si="142"/>
        <v>1</v>
      </c>
      <c r="CN21" s="141">
        <f t="shared" si="142"/>
        <v>1</v>
      </c>
      <c r="CO21" s="141">
        <f t="shared" si="142"/>
        <v>1</v>
      </c>
      <c r="CP21" s="141">
        <f t="shared" si="142"/>
        <v>1</v>
      </c>
      <c r="CQ21" s="141">
        <f t="shared" si="142"/>
        <v>1</v>
      </c>
      <c r="CR21" s="141">
        <f t="shared" si="142"/>
        <v>1</v>
      </c>
      <c r="CS21" s="141">
        <f t="shared" si="142"/>
        <v>1</v>
      </c>
      <c r="CT21" s="141">
        <f t="shared" si="142"/>
        <v>1</v>
      </c>
      <c r="CU21" s="141">
        <f t="shared" si="142"/>
        <v>1</v>
      </c>
      <c r="CV21" s="141">
        <f t="shared" si="142"/>
        <v>1</v>
      </c>
      <c r="CW21" s="141">
        <f t="shared" si="142"/>
        <v>1</v>
      </c>
      <c r="CX21" s="141">
        <f t="shared" si="142"/>
        <v>1</v>
      </c>
      <c r="CY21" s="141">
        <f t="shared" si="142"/>
        <v>1</v>
      </c>
      <c r="CZ21" s="141">
        <f t="shared" si="142"/>
        <v>1</v>
      </c>
      <c r="DA21" s="141">
        <f t="shared" si="142"/>
        <v>1</v>
      </c>
      <c r="DB21" s="141">
        <f t="shared" si="142"/>
        <v>1</v>
      </c>
      <c r="DC21" s="141">
        <f t="shared" si="142"/>
        <v>1</v>
      </c>
      <c r="DD21" s="141">
        <f t="shared" si="142"/>
        <v>1</v>
      </c>
      <c r="DE21" s="141">
        <f t="shared" si="142"/>
        <v>1</v>
      </c>
      <c r="DF21" s="141">
        <f t="shared" si="142"/>
        <v>1</v>
      </c>
      <c r="DG21" s="141">
        <f t="shared" si="142"/>
        <v>1</v>
      </c>
      <c r="DH21" s="141">
        <f t="shared" si="142"/>
        <v>1</v>
      </c>
      <c r="DI21" s="141">
        <f t="shared" si="142"/>
        <v>1</v>
      </c>
      <c r="DJ21" s="141">
        <f t="shared" si="142"/>
        <v>1</v>
      </c>
      <c r="DK21" s="141">
        <f t="shared" si="142"/>
        <v>1</v>
      </c>
      <c r="DL21" s="141">
        <f t="shared" si="142"/>
        <v>1</v>
      </c>
      <c r="DM21" s="141">
        <f t="shared" si="142"/>
        <v>1</v>
      </c>
      <c r="DN21" s="141">
        <f t="shared" si="142"/>
        <v>1</v>
      </c>
      <c r="DO21" s="141">
        <f t="shared" si="142"/>
        <v>1</v>
      </c>
      <c r="DP21" s="141">
        <f t="shared" si="142"/>
        <v>1</v>
      </c>
      <c r="DQ21" s="141">
        <f t="shared" si="142"/>
        <v>1</v>
      </c>
      <c r="DR21" s="141">
        <f t="shared" si="142"/>
        <v>1</v>
      </c>
      <c r="DS21" s="141">
        <f t="shared" ref="DS21:ED21" si="143">DS20/DS9</f>
        <v>1</v>
      </c>
      <c r="DT21" s="141">
        <f t="shared" si="143"/>
        <v>1</v>
      </c>
      <c r="DU21" s="141">
        <f t="shared" si="143"/>
        <v>1</v>
      </c>
      <c r="DV21" s="141">
        <f t="shared" si="143"/>
        <v>1</v>
      </c>
      <c r="DW21" s="141">
        <f t="shared" si="143"/>
        <v>1</v>
      </c>
      <c r="DX21" s="141">
        <f t="shared" si="143"/>
        <v>1</v>
      </c>
      <c r="DY21" s="141">
        <f t="shared" si="143"/>
        <v>1</v>
      </c>
      <c r="DZ21" s="141">
        <f t="shared" si="143"/>
        <v>1</v>
      </c>
      <c r="EA21" s="141">
        <f t="shared" si="143"/>
        <v>1</v>
      </c>
      <c r="EB21" s="141">
        <f t="shared" si="143"/>
        <v>1</v>
      </c>
      <c r="EC21" s="141">
        <f t="shared" si="143"/>
        <v>1</v>
      </c>
      <c r="ED21" s="141">
        <f t="shared" si="143"/>
        <v>1</v>
      </c>
      <c r="EF21" s="141">
        <f t="shared" si="142"/>
        <v>1</v>
      </c>
      <c r="EG21" s="141">
        <f t="shared" si="142"/>
        <v>1</v>
      </c>
      <c r="EH21" s="141">
        <f t="shared" si="142"/>
        <v>1</v>
      </c>
      <c r="EI21" s="141">
        <f t="shared" si="142"/>
        <v>1</v>
      </c>
      <c r="EJ21" s="141">
        <f t="shared" si="142"/>
        <v>1</v>
      </c>
      <c r="EK21" s="141">
        <f t="shared" si="142"/>
        <v>1</v>
      </c>
      <c r="EL21" s="141">
        <f t="shared" si="142"/>
        <v>1</v>
      </c>
      <c r="EM21" s="141">
        <f t="shared" si="142"/>
        <v>1</v>
      </c>
      <c r="EN21" s="141">
        <f t="shared" ref="EN21:FJ21" si="144">EN20/EN9</f>
        <v>1</v>
      </c>
      <c r="EO21" s="141">
        <f t="shared" si="144"/>
        <v>1</v>
      </c>
      <c r="EP21" s="141">
        <f t="shared" si="144"/>
        <v>1</v>
      </c>
      <c r="EQ21" s="141">
        <f t="shared" si="144"/>
        <v>1</v>
      </c>
      <c r="ER21" s="141">
        <f t="shared" si="144"/>
        <v>1</v>
      </c>
      <c r="ES21" s="141">
        <f t="shared" si="144"/>
        <v>1</v>
      </c>
      <c r="ET21" s="141">
        <f t="shared" si="144"/>
        <v>1</v>
      </c>
      <c r="EU21" s="141">
        <f t="shared" si="144"/>
        <v>1</v>
      </c>
      <c r="EV21" s="141">
        <f t="shared" si="144"/>
        <v>1</v>
      </c>
      <c r="EW21" s="141">
        <f t="shared" si="144"/>
        <v>1</v>
      </c>
      <c r="EX21" s="141">
        <f t="shared" si="144"/>
        <v>1</v>
      </c>
      <c r="EY21" s="141">
        <f t="shared" si="144"/>
        <v>1</v>
      </c>
      <c r="EZ21" s="141">
        <f t="shared" si="144"/>
        <v>1</v>
      </c>
      <c r="FA21" s="141">
        <f t="shared" si="144"/>
        <v>1</v>
      </c>
      <c r="FB21" s="141">
        <f t="shared" si="144"/>
        <v>1</v>
      </c>
      <c r="FC21" s="141">
        <f t="shared" si="144"/>
        <v>1</v>
      </c>
      <c r="FE21" s="141">
        <f t="shared" si="144"/>
        <v>1</v>
      </c>
      <c r="FF21" s="141">
        <f t="shared" si="144"/>
        <v>1</v>
      </c>
      <c r="FG21" s="141">
        <f t="shared" si="144"/>
        <v>1</v>
      </c>
      <c r="FH21" s="141">
        <f t="shared" si="144"/>
        <v>1</v>
      </c>
      <c r="FI21" s="141">
        <f t="shared" si="144"/>
        <v>1</v>
      </c>
      <c r="FJ21" s="141">
        <f t="shared" si="144"/>
        <v>1</v>
      </c>
    </row>
    <row r="22" spans="2:166" x14ac:dyDescent="0.2">
      <c r="B22" s="22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  <c r="BG22" s="140"/>
      <c r="BH22" s="140"/>
      <c r="BI22" s="140"/>
      <c r="BJ22" s="140"/>
      <c r="BK22" s="140"/>
      <c r="BL22" s="140"/>
      <c r="BM22" s="140"/>
      <c r="BN22" s="140"/>
      <c r="BO22" s="140"/>
      <c r="BP22" s="140"/>
      <c r="BQ22" s="140"/>
      <c r="BR22" s="140"/>
      <c r="BS22" s="140"/>
      <c r="BT22" s="140"/>
      <c r="BU22" s="140"/>
      <c r="BV22" s="140"/>
      <c r="BW22" s="140"/>
      <c r="BX22" s="140"/>
      <c r="BY22" s="140"/>
      <c r="BZ22" s="140"/>
      <c r="CA22" s="140"/>
      <c r="CB22" s="140"/>
      <c r="CC22" s="140"/>
      <c r="CD22" s="140"/>
      <c r="CE22" s="140"/>
      <c r="CF22" s="140"/>
      <c r="CG22" s="140"/>
      <c r="CH22" s="140"/>
      <c r="CI22" s="140"/>
      <c r="CJ22" s="140"/>
      <c r="CK22" s="140"/>
      <c r="CL22" s="140"/>
      <c r="CM22" s="140"/>
      <c r="CN22" s="140"/>
      <c r="CO22" s="140"/>
      <c r="CP22" s="140"/>
      <c r="CQ22" s="140"/>
      <c r="CR22" s="140"/>
      <c r="CS22" s="140"/>
      <c r="CT22" s="140"/>
      <c r="CU22" s="140"/>
      <c r="CV22" s="140"/>
      <c r="CW22" s="140"/>
      <c r="CX22" s="140"/>
      <c r="CY22" s="140"/>
      <c r="CZ22" s="140"/>
      <c r="DA22" s="140"/>
      <c r="DB22" s="140"/>
      <c r="DC22" s="140"/>
      <c r="DD22" s="140"/>
      <c r="DE22" s="140"/>
      <c r="DF22" s="140"/>
      <c r="DG22" s="140"/>
      <c r="DH22" s="140"/>
      <c r="DI22" s="140"/>
      <c r="DJ22" s="140"/>
      <c r="DK22" s="140"/>
      <c r="DL22" s="140"/>
      <c r="DM22" s="140"/>
      <c r="DN22" s="140"/>
      <c r="DO22" s="140"/>
      <c r="DP22" s="140"/>
      <c r="DQ22" s="140"/>
      <c r="DR22" s="140"/>
      <c r="DS22" s="140"/>
      <c r="DT22" s="140"/>
      <c r="DU22" s="140"/>
      <c r="DV22" s="140"/>
      <c r="DW22" s="140"/>
      <c r="DX22" s="140"/>
      <c r="DY22" s="140"/>
      <c r="DZ22" s="140"/>
      <c r="EA22" s="140"/>
      <c r="EB22" s="140"/>
      <c r="EC22" s="140"/>
      <c r="ED22" s="140"/>
      <c r="EF22" s="165">
        <f t="shared" si="13"/>
        <v>0</v>
      </c>
      <c r="EG22" s="165">
        <f t="shared" si="14"/>
        <v>0</v>
      </c>
      <c r="EH22" s="165">
        <f t="shared" si="15"/>
        <v>0</v>
      </c>
      <c r="EI22" s="165">
        <f t="shared" si="16"/>
        <v>0</v>
      </c>
      <c r="EJ22" s="165">
        <f t="shared" si="17"/>
        <v>0</v>
      </c>
      <c r="EK22" s="165">
        <f t="shared" si="18"/>
        <v>0</v>
      </c>
      <c r="EL22" s="165">
        <f t="shared" si="19"/>
        <v>0</v>
      </c>
      <c r="EM22" s="165">
        <f t="shared" si="20"/>
        <v>0</v>
      </c>
      <c r="EN22" s="165">
        <f t="shared" si="21"/>
        <v>0</v>
      </c>
      <c r="EO22" s="165">
        <f t="shared" si="22"/>
        <v>0</v>
      </c>
      <c r="EP22" s="165">
        <f t="shared" si="23"/>
        <v>0</v>
      </c>
      <c r="EQ22" s="165">
        <f t="shared" si="24"/>
        <v>0</v>
      </c>
      <c r="ER22" s="165">
        <f t="shared" si="25"/>
        <v>0</v>
      </c>
      <c r="ES22" s="165">
        <f t="shared" si="26"/>
        <v>0</v>
      </c>
      <c r="ET22" s="165">
        <f t="shared" si="27"/>
        <v>0</v>
      </c>
      <c r="EU22" s="165">
        <f t="shared" si="28"/>
        <v>0</v>
      </c>
      <c r="EV22" s="165">
        <f t="shared" si="29"/>
        <v>0</v>
      </c>
      <c r="EW22" s="165">
        <f t="shared" si="30"/>
        <v>0</v>
      </c>
      <c r="EX22" s="165">
        <f t="shared" si="31"/>
        <v>0</v>
      </c>
      <c r="EY22" s="165">
        <f t="shared" si="32"/>
        <v>0</v>
      </c>
      <c r="EZ22" s="165">
        <f t="shared" si="33"/>
        <v>0</v>
      </c>
      <c r="FA22" s="165">
        <f t="shared" si="34"/>
        <v>0</v>
      </c>
      <c r="FB22" s="165">
        <f t="shared" si="35"/>
        <v>0</v>
      </c>
      <c r="FC22" s="165">
        <f t="shared" si="36"/>
        <v>0</v>
      </c>
      <c r="FE22" s="165">
        <f t="shared" si="37"/>
        <v>0</v>
      </c>
      <c r="FF22" s="165">
        <f t="shared" si="38"/>
        <v>0</v>
      </c>
      <c r="FG22" s="165">
        <f t="shared" si="39"/>
        <v>0</v>
      </c>
      <c r="FH22" s="165">
        <f t="shared" si="40"/>
        <v>0</v>
      </c>
      <c r="FI22" s="165">
        <f t="shared" si="41"/>
        <v>0</v>
      </c>
      <c r="FJ22" s="804">
        <f t="shared" si="42"/>
        <v>0</v>
      </c>
    </row>
    <row r="23" spans="2:166" x14ac:dyDescent="0.2">
      <c r="B23" s="23" t="s">
        <v>30</v>
      </c>
      <c r="C23" s="5">
        <f>C9-C17</f>
        <v>4268764</v>
      </c>
      <c r="D23" s="5">
        <f t="shared" ref="D23:BO23" si="145">D9-D17</f>
        <v>6341836</v>
      </c>
      <c r="E23" s="5">
        <f t="shared" si="145"/>
        <v>5881839.9999999991</v>
      </c>
      <c r="F23" s="5">
        <f t="shared" si="145"/>
        <v>5078495</v>
      </c>
      <c r="G23" s="5">
        <f t="shared" si="145"/>
        <v>3044418</v>
      </c>
      <c r="H23" s="5">
        <f t="shared" si="145"/>
        <v>2259483.9999999995</v>
      </c>
      <c r="I23" s="5">
        <f t="shared" si="145"/>
        <v>2792144.9999999995</v>
      </c>
      <c r="J23" s="5">
        <f t="shared" si="145"/>
        <v>2498575</v>
      </c>
      <c r="K23" s="5">
        <f t="shared" si="145"/>
        <v>3183499</v>
      </c>
      <c r="L23" s="5">
        <f t="shared" si="145"/>
        <v>3340854</v>
      </c>
      <c r="M23" s="5">
        <f t="shared" si="145"/>
        <v>2961651</v>
      </c>
      <c r="N23" s="5">
        <f t="shared" si="145"/>
        <v>2697955</v>
      </c>
      <c r="O23" s="5">
        <f t="shared" si="145"/>
        <v>2656416.102</v>
      </c>
      <c r="P23" s="5">
        <f t="shared" si="145"/>
        <v>2985390.68</v>
      </c>
      <c r="Q23" s="5">
        <f t="shared" si="145"/>
        <v>3072094.9152542371</v>
      </c>
      <c r="R23" s="5">
        <f t="shared" si="145"/>
        <v>3496965</v>
      </c>
      <c r="S23" s="5">
        <f t="shared" si="145"/>
        <v>3765122.9999999995</v>
      </c>
      <c r="T23" s="5">
        <f t="shared" si="145"/>
        <v>3783907</v>
      </c>
      <c r="U23" s="5">
        <f t="shared" si="145"/>
        <v>4877064</v>
      </c>
      <c r="V23" s="5">
        <f t="shared" si="145"/>
        <v>3616007.9999999995</v>
      </c>
      <c r="W23" s="5">
        <f t="shared" si="145"/>
        <v>3755697.9999999995</v>
      </c>
      <c r="X23" s="5">
        <f t="shared" si="145"/>
        <v>4335519</v>
      </c>
      <c r="Y23" s="5">
        <f t="shared" si="145"/>
        <v>4040235</v>
      </c>
      <c r="Z23" s="5">
        <f t="shared" si="145"/>
        <v>3307233.9999999995</v>
      </c>
      <c r="AA23" s="5">
        <f t="shared" si="145"/>
        <v>59363</v>
      </c>
      <c r="AB23" s="5">
        <f t="shared" si="145"/>
        <v>1950608</v>
      </c>
      <c r="AC23" s="5">
        <f t="shared" si="145"/>
        <v>6069614</v>
      </c>
      <c r="AD23" s="5">
        <f t="shared" si="145"/>
        <v>9087524</v>
      </c>
      <c r="AE23" s="5">
        <f t="shared" si="145"/>
        <v>11916514</v>
      </c>
      <c r="AF23" s="5">
        <f t="shared" si="145"/>
        <v>12536009</v>
      </c>
      <c r="AG23" s="5">
        <f t="shared" si="145"/>
        <v>15317190</v>
      </c>
      <c r="AH23" s="5">
        <f t="shared" si="145"/>
        <v>12327006</v>
      </c>
      <c r="AI23" s="5">
        <f t="shared" si="145"/>
        <v>10669084</v>
      </c>
      <c r="AJ23" s="5">
        <f t="shared" si="145"/>
        <v>13199808</v>
      </c>
      <c r="AK23" s="5">
        <f t="shared" si="145"/>
        <v>11541317.999999998</v>
      </c>
      <c r="AL23" s="5">
        <f t="shared" si="145"/>
        <v>13057529.999999998</v>
      </c>
      <c r="AM23" s="5">
        <f t="shared" si="145"/>
        <v>9616853.9999999981</v>
      </c>
      <c r="AN23" s="5">
        <f t="shared" si="145"/>
        <v>4333204</v>
      </c>
      <c r="AO23" s="5">
        <f t="shared" si="145"/>
        <v>13330682</v>
      </c>
      <c r="AP23" s="5">
        <f t="shared" si="145"/>
        <v>17246232</v>
      </c>
      <c r="AQ23" s="5">
        <f t="shared" si="145"/>
        <v>19926977</v>
      </c>
      <c r="AR23" s="5">
        <f t="shared" si="145"/>
        <v>19284180.169491529</v>
      </c>
      <c r="AS23" s="5">
        <f t="shared" si="145"/>
        <v>27292370</v>
      </c>
      <c r="AT23" s="5">
        <f t="shared" si="145"/>
        <v>17680530</v>
      </c>
      <c r="AU23" s="5">
        <f t="shared" si="145"/>
        <v>19408871.186440676</v>
      </c>
      <c r="AV23" s="5">
        <f t="shared" si="145"/>
        <v>20923863</v>
      </c>
      <c r="AW23" s="5">
        <f t="shared" si="145"/>
        <v>19250761</v>
      </c>
      <c r="AX23" s="5">
        <f t="shared" si="145"/>
        <v>25031977</v>
      </c>
      <c r="AY23" s="5">
        <f t="shared" si="145"/>
        <v>22326047.999999996</v>
      </c>
      <c r="AZ23" s="5">
        <f t="shared" si="145"/>
        <v>21235345.999999996</v>
      </c>
      <c r="BA23" s="5">
        <f t="shared" si="145"/>
        <v>23713180</v>
      </c>
      <c r="BB23" s="5">
        <f t="shared" si="145"/>
        <v>23317274.237288136</v>
      </c>
      <c r="BC23" s="5">
        <f t="shared" si="145"/>
        <v>24275030.254237287</v>
      </c>
      <c r="BD23" s="5">
        <f t="shared" si="145"/>
        <v>30323686.949152544</v>
      </c>
      <c r="BE23" s="5">
        <f t="shared" si="145"/>
        <v>31061274.237288136</v>
      </c>
      <c r="BF23" s="5">
        <f t="shared" si="145"/>
        <v>24824298.474576272</v>
      </c>
      <c r="BG23" s="5">
        <f t="shared" si="145"/>
        <v>28066739.576271184</v>
      </c>
      <c r="BH23" s="5">
        <f t="shared" si="145"/>
        <v>31812684.237288132</v>
      </c>
      <c r="BI23" s="5">
        <f t="shared" si="145"/>
        <v>29501009.999999996</v>
      </c>
      <c r="BJ23" s="5">
        <f t="shared" si="145"/>
        <v>33334730.93220339</v>
      </c>
      <c r="BK23" s="5">
        <f t="shared" si="145"/>
        <v>36591958.644067794</v>
      </c>
      <c r="BL23" s="5">
        <f t="shared" si="145"/>
        <v>38294305.593220331</v>
      </c>
      <c r="BM23" s="5">
        <f t="shared" si="145"/>
        <v>38013910.677966103</v>
      </c>
      <c r="BN23" s="5">
        <f t="shared" si="145"/>
        <v>41510203.220338978</v>
      </c>
      <c r="BO23" s="5">
        <f t="shared" si="145"/>
        <v>42811940.423728809</v>
      </c>
      <c r="BP23" s="5">
        <f t="shared" ref="BP23:DR23" si="146">BP9-BP17</f>
        <v>38101946.864406779</v>
      </c>
      <c r="BQ23" s="5">
        <f t="shared" si="146"/>
        <v>56596933.898305088</v>
      </c>
      <c r="BR23" s="5">
        <f t="shared" si="146"/>
        <v>47137179.237288132</v>
      </c>
      <c r="BS23" s="5">
        <f t="shared" si="146"/>
        <v>43600103.559322037</v>
      </c>
      <c r="BT23" s="5">
        <f t="shared" si="146"/>
        <v>49552935.508474573</v>
      </c>
      <c r="BU23" s="5">
        <f t="shared" si="146"/>
        <v>43868549.322033897</v>
      </c>
      <c r="BV23" s="5">
        <f t="shared" si="146"/>
        <v>44896421.016949147</v>
      </c>
      <c r="BW23" s="5">
        <f t="shared" si="146"/>
        <v>42936295.93220339</v>
      </c>
      <c r="BX23" s="5">
        <f t="shared" si="146"/>
        <v>49690903.220338978</v>
      </c>
      <c r="BY23" s="5">
        <f t="shared" si="146"/>
        <v>45884842.62711864</v>
      </c>
      <c r="BZ23" s="5">
        <f t="shared" si="146"/>
        <v>53967340.677966103</v>
      </c>
      <c r="CA23" s="5">
        <f t="shared" si="146"/>
        <v>50923403.305084743</v>
      </c>
      <c r="CB23" s="5">
        <f t="shared" si="146"/>
        <v>48445319.23728814</v>
      </c>
      <c r="CC23" s="5">
        <f t="shared" si="146"/>
        <v>68126414.406779662</v>
      </c>
      <c r="CD23" s="5">
        <f t="shared" si="146"/>
        <v>52362003.474576272</v>
      </c>
      <c r="CE23" s="5">
        <f t="shared" si="146"/>
        <v>53633983.983050846</v>
      </c>
      <c r="CF23" s="5">
        <f t="shared" si="146"/>
        <v>57834144.23728814</v>
      </c>
      <c r="CG23" s="5">
        <f t="shared" si="146"/>
        <v>57764148.3898305</v>
      </c>
      <c r="CH23" s="5">
        <f t="shared" si="146"/>
        <v>56563365.169491522</v>
      </c>
      <c r="CI23" s="5">
        <f t="shared" si="146"/>
        <v>57031594.576271184</v>
      </c>
      <c r="CJ23" s="5">
        <f t="shared" si="146"/>
        <v>60307318.050847456</v>
      </c>
      <c r="CK23" s="5">
        <f t="shared" si="146"/>
        <v>59450009.576271184</v>
      </c>
      <c r="CL23" s="5">
        <f t="shared" si="146"/>
        <v>62832069.830508478</v>
      </c>
      <c r="CM23" s="5">
        <f t="shared" si="146"/>
        <v>58068269.406779662</v>
      </c>
      <c r="CN23" s="5">
        <f t="shared" si="146"/>
        <v>70107643.559322044</v>
      </c>
      <c r="CO23" s="5">
        <f t="shared" si="146"/>
        <v>88509661.864406779</v>
      </c>
      <c r="CP23" s="5">
        <f t="shared" si="146"/>
        <v>68483592.372881353</v>
      </c>
      <c r="CQ23" s="5">
        <f t="shared" si="146"/>
        <v>71551959.745762706</v>
      </c>
      <c r="CR23" s="5">
        <f t="shared" si="146"/>
        <v>74731942.372881353</v>
      </c>
      <c r="CS23" s="5">
        <f t="shared" si="146"/>
        <v>65533002.118644066</v>
      </c>
      <c r="CT23" s="5">
        <f t="shared" si="146"/>
        <v>82934150</v>
      </c>
      <c r="CU23" s="5">
        <f t="shared" si="146"/>
        <v>73571537.314133629</v>
      </c>
      <c r="CV23" s="5">
        <f t="shared" si="146"/>
        <v>80165868.104559109</v>
      </c>
      <c r="CW23" s="5">
        <f t="shared" si="146"/>
        <v>79218025.256047174</v>
      </c>
      <c r="CX23" s="5">
        <f t="shared" si="146"/>
        <v>86611445.34807156</v>
      </c>
      <c r="CY23" s="5">
        <f t="shared" si="146"/>
        <v>80842020.590527415</v>
      </c>
      <c r="CZ23" s="5">
        <f t="shared" si="146"/>
        <v>93912662.828373</v>
      </c>
      <c r="DA23" s="5">
        <f t="shared" si="146"/>
        <v>116088005.63182093</v>
      </c>
      <c r="DB23" s="5">
        <f t="shared" si="146"/>
        <v>85930375.389478028</v>
      </c>
      <c r="DC23" s="5">
        <f t="shared" si="146"/>
        <v>88782509.512107983</v>
      </c>
      <c r="DD23" s="5">
        <f t="shared" si="146"/>
        <v>93149225.203306958</v>
      </c>
      <c r="DE23" s="5">
        <f t="shared" si="146"/>
        <v>79867131.642576739</v>
      </c>
      <c r="DF23" s="5">
        <f t="shared" si="146"/>
        <v>97020505.527514607</v>
      </c>
      <c r="DG23" s="5">
        <f t="shared" si="146"/>
        <v>88285844.776960358</v>
      </c>
      <c r="DH23" s="5">
        <f t="shared" si="146"/>
        <v>96199041.72547093</v>
      </c>
      <c r="DI23" s="5">
        <f t="shared" si="146"/>
        <v>95061630.307256609</v>
      </c>
      <c r="DJ23" s="5">
        <f t="shared" si="146"/>
        <v>103933734.41768587</v>
      </c>
      <c r="DK23" s="5">
        <f t="shared" si="146"/>
        <v>97010424.708632901</v>
      </c>
      <c r="DL23" s="5">
        <f t="shared" si="146"/>
        <v>112695195.3940476</v>
      </c>
      <c r="DM23" s="5">
        <f t="shared" si="146"/>
        <v>139305606.75818515</v>
      </c>
      <c r="DN23" s="5">
        <f t="shared" si="146"/>
        <v>103116450.46737362</v>
      </c>
      <c r="DO23" s="5">
        <f t="shared" si="146"/>
        <v>106539011.41452959</v>
      </c>
      <c r="DP23" s="5">
        <f t="shared" si="146"/>
        <v>111779070.24396835</v>
      </c>
      <c r="DQ23" s="5">
        <f t="shared" si="146"/>
        <v>95840557.97109209</v>
      </c>
      <c r="DR23" s="5">
        <f t="shared" si="146"/>
        <v>116424606.63301753</v>
      </c>
      <c r="DS23" s="5">
        <f t="shared" ref="DS23:ED23" si="147">DS9-DS17</f>
        <v>101528721.49350439</v>
      </c>
      <c r="DT23" s="5">
        <f t="shared" si="147"/>
        <v>110628897.98429155</v>
      </c>
      <c r="DU23" s="5">
        <f t="shared" si="147"/>
        <v>109320874.85334508</v>
      </c>
      <c r="DV23" s="5">
        <f t="shared" si="147"/>
        <v>119523794.58033875</v>
      </c>
      <c r="DW23" s="5">
        <f t="shared" si="147"/>
        <v>111561988.41492783</v>
      </c>
      <c r="DX23" s="5">
        <f t="shared" si="147"/>
        <v>129599474.70315473</v>
      </c>
      <c r="DY23" s="5">
        <f t="shared" si="147"/>
        <v>160201447.77191293</v>
      </c>
      <c r="DZ23" s="5">
        <f t="shared" si="147"/>
        <v>118583918.03747967</v>
      </c>
      <c r="EA23" s="5">
        <f t="shared" si="147"/>
        <v>122519863.12670903</v>
      </c>
      <c r="EB23" s="5">
        <f t="shared" si="147"/>
        <v>128545930.78056359</v>
      </c>
      <c r="EC23" s="5">
        <f t="shared" si="147"/>
        <v>110216641.6667559</v>
      </c>
      <c r="ED23" s="5">
        <f t="shared" si="147"/>
        <v>133888297.62797017</v>
      </c>
      <c r="EF23" s="293">
        <f t="shared" si="13"/>
        <v>112900174.91525422</v>
      </c>
      <c r="EG23" s="293">
        <f t="shared" si="14"/>
        <v>122424090.50847457</v>
      </c>
      <c r="EH23" s="293">
        <f t="shared" si="15"/>
        <v>147334216.69491526</v>
      </c>
      <c r="EI23" s="293">
        <f t="shared" si="16"/>
        <v>138317905.84745762</v>
      </c>
      <c r="EJ23" s="293">
        <f t="shared" si="17"/>
        <v>138512041.779661</v>
      </c>
      <c r="EK23" s="293">
        <f t="shared" si="18"/>
        <v>191007982.79661018</v>
      </c>
      <c r="EL23" s="293">
        <f t="shared" si="19"/>
        <v>174122401.86440679</v>
      </c>
      <c r="EM23" s="293">
        <f t="shared" si="20"/>
        <v>172161657.79661018</v>
      </c>
      <c r="EN23" s="293">
        <f t="shared" si="21"/>
        <v>176788922.20338982</v>
      </c>
      <c r="EO23" s="293">
        <f t="shared" si="22"/>
        <v>191007982.79661018</v>
      </c>
      <c r="EP23" s="293">
        <f t="shared" si="23"/>
        <v>228545213.98305082</v>
      </c>
      <c r="EQ23" s="293">
        <f t="shared" si="24"/>
        <v>223199094.49152541</v>
      </c>
      <c r="ER23" s="293">
        <f t="shared" si="25"/>
        <v>232955430.6747399</v>
      </c>
      <c r="ES23" s="293">
        <f t="shared" si="26"/>
        <v>261366128.76697201</v>
      </c>
      <c r="ET23" s="293">
        <f t="shared" si="27"/>
        <v>290800890.53340691</v>
      </c>
      <c r="EU23" s="293">
        <f t="shared" si="28"/>
        <v>270036862.3733983</v>
      </c>
      <c r="EV23" s="293">
        <f t="shared" si="29"/>
        <v>279546516.80968785</v>
      </c>
      <c r="EW23" s="293">
        <f t="shared" si="30"/>
        <v>313639354.52036637</v>
      </c>
      <c r="EX23" s="293">
        <f t="shared" si="31"/>
        <v>348961068.64008832</v>
      </c>
      <c r="EY23" s="293">
        <f t="shared" si="32"/>
        <v>324044234.84807795</v>
      </c>
      <c r="EZ23" s="293">
        <f t="shared" si="33"/>
        <v>321478494.33114105</v>
      </c>
      <c r="FA23" s="293">
        <f t="shared" si="34"/>
        <v>360685257.6984213</v>
      </c>
      <c r="FB23" s="293">
        <f t="shared" si="35"/>
        <v>401305228.93610162</v>
      </c>
      <c r="FC23" s="293">
        <f t="shared" si="36"/>
        <v>372650870.07528967</v>
      </c>
      <c r="FE23" s="293">
        <f t="shared" si="37"/>
        <v>520976387.96610165</v>
      </c>
      <c r="FF23" s="293">
        <f t="shared" si="38"/>
        <v>675804084.23728824</v>
      </c>
      <c r="FG23" s="293">
        <f t="shared" si="39"/>
        <v>819541213.47457623</v>
      </c>
      <c r="FH23" s="293">
        <f t="shared" si="40"/>
        <v>1055159312.3485172</v>
      </c>
      <c r="FI23" s="293">
        <f t="shared" si="41"/>
        <v>1266191174.8182206</v>
      </c>
      <c r="FJ23" s="807">
        <f t="shared" si="42"/>
        <v>1456119851.0409536</v>
      </c>
    </row>
    <row r="24" spans="2:166" x14ac:dyDescent="0.2">
      <c r="B24" s="22" t="s">
        <v>31</v>
      </c>
      <c r="C24" s="141">
        <f>C23/C9</f>
        <v>1</v>
      </c>
      <c r="D24" s="141">
        <f t="shared" ref="D24:BO24" si="148">D23/D9</f>
        <v>1</v>
      </c>
      <c r="E24" s="141">
        <f t="shared" si="148"/>
        <v>1</v>
      </c>
      <c r="F24" s="141">
        <f t="shared" si="148"/>
        <v>1</v>
      </c>
      <c r="G24" s="141">
        <f t="shared" si="148"/>
        <v>1</v>
      </c>
      <c r="H24" s="141">
        <f t="shared" si="148"/>
        <v>1</v>
      </c>
      <c r="I24" s="141">
        <f t="shared" si="148"/>
        <v>1</v>
      </c>
      <c r="J24" s="141">
        <f t="shared" si="148"/>
        <v>1</v>
      </c>
      <c r="K24" s="141">
        <f t="shared" si="148"/>
        <v>1</v>
      </c>
      <c r="L24" s="141">
        <f t="shared" si="148"/>
        <v>1</v>
      </c>
      <c r="M24" s="141">
        <f t="shared" si="148"/>
        <v>1</v>
      </c>
      <c r="N24" s="141">
        <f t="shared" si="148"/>
        <v>1</v>
      </c>
      <c r="O24" s="141">
        <f t="shared" si="148"/>
        <v>1</v>
      </c>
      <c r="P24" s="141">
        <f t="shared" si="148"/>
        <v>1</v>
      </c>
      <c r="Q24" s="141">
        <f t="shared" si="148"/>
        <v>1</v>
      </c>
      <c r="R24" s="141">
        <f t="shared" si="148"/>
        <v>1</v>
      </c>
      <c r="S24" s="141">
        <f t="shared" si="148"/>
        <v>1</v>
      </c>
      <c r="T24" s="141">
        <f t="shared" si="148"/>
        <v>1</v>
      </c>
      <c r="U24" s="141">
        <f t="shared" si="148"/>
        <v>1</v>
      </c>
      <c r="V24" s="141">
        <f t="shared" si="148"/>
        <v>1</v>
      </c>
      <c r="W24" s="141">
        <f t="shared" si="148"/>
        <v>1</v>
      </c>
      <c r="X24" s="141">
        <f t="shared" si="148"/>
        <v>1</v>
      </c>
      <c r="Y24" s="141">
        <f t="shared" si="148"/>
        <v>1</v>
      </c>
      <c r="Z24" s="141">
        <f t="shared" si="148"/>
        <v>1</v>
      </c>
      <c r="AA24" s="141">
        <f t="shared" si="148"/>
        <v>1</v>
      </c>
      <c r="AB24" s="141">
        <f t="shared" si="148"/>
        <v>1</v>
      </c>
      <c r="AC24" s="141">
        <f t="shared" si="148"/>
        <v>1</v>
      </c>
      <c r="AD24" s="141">
        <f t="shared" si="148"/>
        <v>1</v>
      </c>
      <c r="AE24" s="141">
        <f t="shared" si="148"/>
        <v>1</v>
      </c>
      <c r="AF24" s="141">
        <f t="shared" si="148"/>
        <v>1</v>
      </c>
      <c r="AG24" s="141">
        <f t="shared" si="148"/>
        <v>1</v>
      </c>
      <c r="AH24" s="141">
        <f t="shared" si="148"/>
        <v>1</v>
      </c>
      <c r="AI24" s="141">
        <f t="shared" si="148"/>
        <v>1</v>
      </c>
      <c r="AJ24" s="141">
        <f t="shared" si="148"/>
        <v>1</v>
      </c>
      <c r="AK24" s="141">
        <f t="shared" si="148"/>
        <v>1</v>
      </c>
      <c r="AL24" s="141">
        <f t="shared" si="148"/>
        <v>1</v>
      </c>
      <c r="AM24" s="141">
        <f t="shared" si="148"/>
        <v>1</v>
      </c>
      <c r="AN24" s="141">
        <f t="shared" si="148"/>
        <v>1</v>
      </c>
      <c r="AO24" s="141">
        <f t="shared" si="148"/>
        <v>1</v>
      </c>
      <c r="AP24" s="141">
        <f t="shared" si="148"/>
        <v>1</v>
      </c>
      <c r="AQ24" s="141">
        <f t="shared" si="148"/>
        <v>1</v>
      </c>
      <c r="AR24" s="141">
        <f t="shared" si="148"/>
        <v>1</v>
      </c>
      <c r="AS24" s="141">
        <f t="shared" si="148"/>
        <v>1</v>
      </c>
      <c r="AT24" s="141">
        <f t="shared" si="148"/>
        <v>1</v>
      </c>
      <c r="AU24" s="141">
        <f t="shared" si="148"/>
        <v>1</v>
      </c>
      <c r="AV24" s="141">
        <f t="shared" si="148"/>
        <v>1</v>
      </c>
      <c r="AW24" s="141">
        <f t="shared" si="148"/>
        <v>1</v>
      </c>
      <c r="AX24" s="141">
        <f t="shared" si="148"/>
        <v>1</v>
      </c>
      <c r="AY24" s="141">
        <f t="shared" si="148"/>
        <v>1</v>
      </c>
      <c r="AZ24" s="141">
        <f t="shared" si="148"/>
        <v>1</v>
      </c>
      <c r="BA24" s="141">
        <f t="shared" si="148"/>
        <v>1</v>
      </c>
      <c r="BB24" s="141">
        <f t="shared" si="148"/>
        <v>1</v>
      </c>
      <c r="BC24" s="141">
        <f t="shared" si="148"/>
        <v>1</v>
      </c>
      <c r="BD24" s="141">
        <f t="shared" si="148"/>
        <v>1</v>
      </c>
      <c r="BE24" s="141">
        <f t="shared" si="148"/>
        <v>1</v>
      </c>
      <c r="BF24" s="141">
        <f t="shared" si="148"/>
        <v>1</v>
      </c>
      <c r="BG24" s="141">
        <f t="shared" si="148"/>
        <v>1</v>
      </c>
      <c r="BH24" s="141">
        <f t="shared" si="148"/>
        <v>1</v>
      </c>
      <c r="BI24" s="141">
        <f t="shared" si="148"/>
        <v>1</v>
      </c>
      <c r="BJ24" s="141">
        <f t="shared" si="148"/>
        <v>1</v>
      </c>
      <c r="BK24" s="141">
        <f t="shared" si="148"/>
        <v>1</v>
      </c>
      <c r="BL24" s="141">
        <f t="shared" si="148"/>
        <v>1</v>
      </c>
      <c r="BM24" s="141">
        <f t="shared" si="148"/>
        <v>1</v>
      </c>
      <c r="BN24" s="141">
        <f t="shared" si="148"/>
        <v>1</v>
      </c>
      <c r="BO24" s="141">
        <f t="shared" si="148"/>
        <v>1</v>
      </c>
      <c r="BP24" s="141">
        <f t="shared" ref="BP24:EM24" si="149">BP23/BP9</f>
        <v>1</v>
      </c>
      <c r="BQ24" s="141">
        <f t="shared" si="149"/>
        <v>1</v>
      </c>
      <c r="BR24" s="141">
        <f t="shared" si="149"/>
        <v>1</v>
      </c>
      <c r="BS24" s="141">
        <f t="shared" si="149"/>
        <v>1</v>
      </c>
      <c r="BT24" s="141">
        <f t="shared" si="149"/>
        <v>1</v>
      </c>
      <c r="BU24" s="141">
        <f t="shared" si="149"/>
        <v>1</v>
      </c>
      <c r="BV24" s="141">
        <f t="shared" si="149"/>
        <v>1</v>
      </c>
      <c r="BW24" s="141">
        <f t="shared" si="149"/>
        <v>1</v>
      </c>
      <c r="BX24" s="141">
        <f t="shared" si="149"/>
        <v>1</v>
      </c>
      <c r="BY24" s="141">
        <f t="shared" si="149"/>
        <v>1</v>
      </c>
      <c r="BZ24" s="141">
        <f t="shared" si="149"/>
        <v>1</v>
      </c>
      <c r="CA24" s="141">
        <f t="shared" si="149"/>
        <v>1</v>
      </c>
      <c r="CB24" s="141">
        <f t="shared" si="149"/>
        <v>1</v>
      </c>
      <c r="CC24" s="141">
        <f t="shared" si="149"/>
        <v>1</v>
      </c>
      <c r="CD24" s="141">
        <f t="shared" si="149"/>
        <v>1</v>
      </c>
      <c r="CE24" s="141">
        <f t="shared" si="149"/>
        <v>1</v>
      </c>
      <c r="CF24" s="141">
        <f t="shared" si="149"/>
        <v>1</v>
      </c>
      <c r="CG24" s="141">
        <f t="shared" si="149"/>
        <v>1</v>
      </c>
      <c r="CH24" s="141">
        <f t="shared" si="149"/>
        <v>1</v>
      </c>
      <c r="CI24" s="141">
        <f t="shared" si="149"/>
        <v>1</v>
      </c>
      <c r="CJ24" s="141">
        <f t="shared" si="149"/>
        <v>1</v>
      </c>
      <c r="CK24" s="141">
        <f t="shared" si="149"/>
        <v>1</v>
      </c>
      <c r="CL24" s="141">
        <f t="shared" si="149"/>
        <v>1</v>
      </c>
      <c r="CM24" s="141">
        <f t="shared" si="149"/>
        <v>1</v>
      </c>
      <c r="CN24" s="141">
        <f t="shared" si="149"/>
        <v>1</v>
      </c>
      <c r="CO24" s="141">
        <f t="shared" si="149"/>
        <v>1</v>
      </c>
      <c r="CP24" s="141">
        <f t="shared" si="149"/>
        <v>1</v>
      </c>
      <c r="CQ24" s="141">
        <f t="shared" si="149"/>
        <v>1</v>
      </c>
      <c r="CR24" s="141">
        <f t="shared" si="149"/>
        <v>1</v>
      </c>
      <c r="CS24" s="141">
        <f t="shared" si="149"/>
        <v>1</v>
      </c>
      <c r="CT24" s="141">
        <f t="shared" si="149"/>
        <v>1</v>
      </c>
      <c r="CU24" s="141">
        <f t="shared" si="149"/>
        <v>1</v>
      </c>
      <c r="CV24" s="141">
        <f t="shared" si="149"/>
        <v>1</v>
      </c>
      <c r="CW24" s="141">
        <f t="shared" si="149"/>
        <v>1</v>
      </c>
      <c r="CX24" s="141">
        <f t="shared" si="149"/>
        <v>1</v>
      </c>
      <c r="CY24" s="141">
        <f t="shared" si="149"/>
        <v>1</v>
      </c>
      <c r="CZ24" s="141">
        <f t="shared" si="149"/>
        <v>1</v>
      </c>
      <c r="DA24" s="141">
        <f t="shared" si="149"/>
        <v>1</v>
      </c>
      <c r="DB24" s="141">
        <f t="shared" si="149"/>
        <v>1</v>
      </c>
      <c r="DC24" s="141">
        <f t="shared" si="149"/>
        <v>1</v>
      </c>
      <c r="DD24" s="141">
        <f t="shared" si="149"/>
        <v>1</v>
      </c>
      <c r="DE24" s="141">
        <f t="shared" si="149"/>
        <v>1</v>
      </c>
      <c r="DF24" s="141">
        <f t="shared" si="149"/>
        <v>1</v>
      </c>
      <c r="DG24" s="141">
        <f t="shared" si="149"/>
        <v>1</v>
      </c>
      <c r="DH24" s="141">
        <f t="shared" si="149"/>
        <v>1</v>
      </c>
      <c r="DI24" s="141">
        <f t="shared" si="149"/>
        <v>1</v>
      </c>
      <c r="DJ24" s="141">
        <f t="shared" si="149"/>
        <v>1</v>
      </c>
      <c r="DK24" s="141">
        <f t="shared" si="149"/>
        <v>1</v>
      </c>
      <c r="DL24" s="141">
        <f t="shared" si="149"/>
        <v>1</v>
      </c>
      <c r="DM24" s="141">
        <f t="shared" si="149"/>
        <v>1</v>
      </c>
      <c r="DN24" s="141">
        <f t="shared" si="149"/>
        <v>1</v>
      </c>
      <c r="DO24" s="141">
        <f t="shared" si="149"/>
        <v>1</v>
      </c>
      <c r="DP24" s="141">
        <f t="shared" si="149"/>
        <v>1</v>
      </c>
      <c r="DQ24" s="141">
        <f t="shared" si="149"/>
        <v>1</v>
      </c>
      <c r="DR24" s="141">
        <f t="shared" si="149"/>
        <v>1</v>
      </c>
      <c r="DS24" s="141">
        <f t="shared" ref="DS24:ED24" si="150">DS23/DS9</f>
        <v>1</v>
      </c>
      <c r="DT24" s="141">
        <f t="shared" si="150"/>
        <v>1</v>
      </c>
      <c r="DU24" s="141">
        <f t="shared" si="150"/>
        <v>1</v>
      </c>
      <c r="DV24" s="141">
        <f t="shared" si="150"/>
        <v>1</v>
      </c>
      <c r="DW24" s="141">
        <f t="shared" si="150"/>
        <v>1</v>
      </c>
      <c r="DX24" s="141">
        <f t="shared" si="150"/>
        <v>1</v>
      </c>
      <c r="DY24" s="141">
        <f t="shared" si="150"/>
        <v>1</v>
      </c>
      <c r="DZ24" s="141">
        <f t="shared" si="150"/>
        <v>1</v>
      </c>
      <c r="EA24" s="141">
        <f t="shared" si="150"/>
        <v>1</v>
      </c>
      <c r="EB24" s="141">
        <f t="shared" si="150"/>
        <v>1</v>
      </c>
      <c r="EC24" s="141">
        <f t="shared" si="150"/>
        <v>1</v>
      </c>
      <c r="ED24" s="141">
        <f t="shared" si="150"/>
        <v>1</v>
      </c>
      <c r="EF24" s="141">
        <f t="shared" si="149"/>
        <v>1</v>
      </c>
      <c r="EG24" s="141">
        <f t="shared" si="149"/>
        <v>1</v>
      </c>
      <c r="EH24" s="141">
        <f t="shared" si="149"/>
        <v>1</v>
      </c>
      <c r="EI24" s="141">
        <f t="shared" si="149"/>
        <v>1</v>
      </c>
      <c r="EJ24" s="141">
        <f t="shared" si="149"/>
        <v>1</v>
      </c>
      <c r="EK24" s="141">
        <f t="shared" si="149"/>
        <v>1</v>
      </c>
      <c r="EL24" s="141">
        <f t="shared" si="149"/>
        <v>1</v>
      </c>
      <c r="EM24" s="141">
        <f t="shared" si="149"/>
        <v>1</v>
      </c>
      <c r="EN24" s="141">
        <f t="shared" ref="EN24:FJ24" si="151">EN23/EN9</f>
        <v>1</v>
      </c>
      <c r="EO24" s="141">
        <f t="shared" si="151"/>
        <v>1</v>
      </c>
      <c r="EP24" s="141">
        <f t="shared" si="151"/>
        <v>1</v>
      </c>
      <c r="EQ24" s="141">
        <f t="shared" si="151"/>
        <v>1</v>
      </c>
      <c r="ER24" s="141">
        <f t="shared" si="151"/>
        <v>1</v>
      </c>
      <c r="ES24" s="141">
        <f t="shared" si="151"/>
        <v>1</v>
      </c>
      <c r="ET24" s="141">
        <f t="shared" si="151"/>
        <v>1</v>
      </c>
      <c r="EU24" s="141">
        <f t="shared" si="151"/>
        <v>1</v>
      </c>
      <c r="EV24" s="141">
        <f t="shared" si="151"/>
        <v>1</v>
      </c>
      <c r="EW24" s="141">
        <f t="shared" si="151"/>
        <v>1</v>
      </c>
      <c r="EX24" s="141">
        <f t="shared" si="151"/>
        <v>1</v>
      </c>
      <c r="EY24" s="141">
        <f t="shared" si="151"/>
        <v>1</v>
      </c>
      <c r="EZ24" s="141">
        <f t="shared" si="151"/>
        <v>1</v>
      </c>
      <c r="FA24" s="141">
        <f t="shared" si="151"/>
        <v>1</v>
      </c>
      <c r="FB24" s="141">
        <f t="shared" si="151"/>
        <v>1</v>
      </c>
      <c r="FC24" s="141">
        <f t="shared" si="151"/>
        <v>1</v>
      </c>
      <c r="FE24" s="141">
        <f t="shared" si="151"/>
        <v>1</v>
      </c>
      <c r="FF24" s="141">
        <f t="shared" si="151"/>
        <v>1</v>
      </c>
      <c r="FG24" s="141">
        <f t="shared" si="151"/>
        <v>1</v>
      </c>
      <c r="FH24" s="141">
        <f t="shared" si="151"/>
        <v>1</v>
      </c>
      <c r="FI24" s="141">
        <f t="shared" si="151"/>
        <v>1</v>
      </c>
      <c r="FJ24" s="141">
        <f t="shared" si="151"/>
        <v>1</v>
      </c>
    </row>
    <row r="25" spans="2:166" x14ac:dyDescent="0.2">
      <c r="B25" s="22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/>
      <c r="BT25" s="140"/>
      <c r="BU25" s="140"/>
      <c r="BV25" s="140"/>
      <c r="BW25" s="140"/>
      <c r="BX25" s="140"/>
      <c r="BY25" s="140"/>
      <c r="BZ25" s="140"/>
      <c r="CA25" s="140"/>
      <c r="CB25" s="140"/>
      <c r="CC25" s="140"/>
      <c r="CD25" s="140"/>
      <c r="CE25" s="140"/>
      <c r="CF25" s="140"/>
      <c r="CG25" s="140"/>
      <c r="CH25" s="140"/>
      <c r="CI25" s="140"/>
      <c r="CJ25" s="140"/>
      <c r="CK25" s="140"/>
      <c r="CL25" s="140"/>
      <c r="CM25" s="140"/>
      <c r="CN25" s="140"/>
      <c r="CO25" s="140"/>
      <c r="CP25" s="140"/>
      <c r="CQ25" s="140"/>
      <c r="CR25" s="140"/>
      <c r="CS25" s="140"/>
      <c r="CT25" s="140"/>
      <c r="CU25" s="140"/>
      <c r="CV25" s="140"/>
      <c r="CW25" s="140"/>
      <c r="CX25" s="140"/>
      <c r="CY25" s="140"/>
      <c r="CZ25" s="140"/>
      <c r="DA25" s="140"/>
      <c r="DB25" s="140"/>
      <c r="DC25" s="140"/>
      <c r="DD25" s="140"/>
      <c r="DE25" s="140"/>
      <c r="DF25" s="140"/>
      <c r="DG25" s="140"/>
      <c r="DH25" s="140"/>
      <c r="DI25" s="140"/>
      <c r="DJ25" s="140"/>
      <c r="DK25" s="140"/>
      <c r="DL25" s="140"/>
      <c r="DM25" s="140"/>
      <c r="DN25" s="140"/>
      <c r="DO25" s="140"/>
      <c r="DP25" s="140"/>
      <c r="DQ25" s="140"/>
      <c r="DR25" s="140"/>
      <c r="DS25" s="140"/>
      <c r="DT25" s="140"/>
      <c r="DU25" s="140"/>
      <c r="DV25" s="140"/>
      <c r="DW25" s="140"/>
      <c r="DX25" s="140"/>
      <c r="DY25" s="140"/>
      <c r="DZ25" s="140"/>
      <c r="EA25" s="140"/>
      <c r="EB25" s="140"/>
      <c r="EC25" s="140"/>
      <c r="ED25" s="140"/>
      <c r="EF25" s="165">
        <f t="shared" si="13"/>
        <v>0</v>
      </c>
      <c r="EG25" s="165">
        <f t="shared" si="14"/>
        <v>0</v>
      </c>
      <c r="EH25" s="165">
        <f t="shared" si="15"/>
        <v>0</v>
      </c>
      <c r="EI25" s="165">
        <f t="shared" si="16"/>
        <v>0</v>
      </c>
      <c r="EJ25" s="165">
        <f t="shared" si="17"/>
        <v>0</v>
      </c>
      <c r="EK25" s="165">
        <f t="shared" si="18"/>
        <v>0</v>
      </c>
      <c r="EL25" s="165">
        <f t="shared" si="19"/>
        <v>0</v>
      </c>
      <c r="EM25" s="165">
        <f t="shared" si="20"/>
        <v>0</v>
      </c>
      <c r="EN25" s="165">
        <f t="shared" si="21"/>
        <v>0</v>
      </c>
      <c r="EO25" s="165">
        <f t="shared" si="22"/>
        <v>0</v>
      </c>
      <c r="EP25" s="165">
        <f t="shared" si="23"/>
        <v>0</v>
      </c>
      <c r="EQ25" s="165">
        <f t="shared" si="24"/>
        <v>0</v>
      </c>
      <c r="ER25" s="165">
        <f t="shared" si="25"/>
        <v>0</v>
      </c>
      <c r="ES25" s="165">
        <f t="shared" si="26"/>
        <v>0</v>
      </c>
      <c r="ET25" s="165">
        <f t="shared" si="27"/>
        <v>0</v>
      </c>
      <c r="EU25" s="165">
        <f t="shared" si="28"/>
        <v>0</v>
      </c>
      <c r="EV25" s="165">
        <f t="shared" si="29"/>
        <v>0</v>
      </c>
      <c r="EW25" s="165">
        <f t="shared" si="30"/>
        <v>0</v>
      </c>
      <c r="EX25" s="165">
        <f t="shared" si="31"/>
        <v>0</v>
      </c>
      <c r="EY25" s="165">
        <f t="shared" si="32"/>
        <v>0</v>
      </c>
      <c r="EZ25" s="165">
        <f t="shared" si="33"/>
        <v>0</v>
      </c>
      <c r="FA25" s="165">
        <f t="shared" si="34"/>
        <v>0</v>
      </c>
      <c r="FB25" s="165">
        <f t="shared" si="35"/>
        <v>0</v>
      </c>
      <c r="FC25" s="165">
        <f t="shared" si="36"/>
        <v>0</v>
      </c>
      <c r="FE25" s="165">
        <f t="shared" si="37"/>
        <v>0</v>
      </c>
      <c r="FF25" s="165">
        <f t="shared" si="38"/>
        <v>0</v>
      </c>
      <c r="FG25" s="165">
        <f t="shared" si="39"/>
        <v>0</v>
      </c>
      <c r="FH25" s="165">
        <f t="shared" si="40"/>
        <v>0</v>
      </c>
      <c r="FI25" s="165">
        <f t="shared" si="41"/>
        <v>0</v>
      </c>
      <c r="FJ25" s="804">
        <f t="shared" si="42"/>
        <v>0</v>
      </c>
    </row>
    <row r="26" spans="2:166" x14ac:dyDescent="0.2">
      <c r="B26" s="23" t="s">
        <v>40</v>
      </c>
      <c r="C26" s="5">
        <f>SUM(C27:C30)</f>
        <v>1063614.1428571427</v>
      </c>
      <c r="D26" s="5">
        <f t="shared" ref="D26:BO26" si="152">SUM(D27:D30)</f>
        <v>1171810.1428571427</v>
      </c>
      <c r="E26" s="5">
        <f t="shared" si="152"/>
        <v>1134855.1428571427</v>
      </c>
      <c r="F26" s="5">
        <f t="shared" si="152"/>
        <v>1285917.1428571427</v>
      </c>
      <c r="G26" s="5">
        <f t="shared" si="152"/>
        <v>1234087.1428571427</v>
      </c>
      <c r="H26" s="5">
        <f t="shared" si="152"/>
        <v>1239079.4285714284</v>
      </c>
      <c r="I26" s="5">
        <f t="shared" si="152"/>
        <v>1275190.7142857141</v>
      </c>
      <c r="J26" s="5">
        <f t="shared" si="152"/>
        <v>1136396.7142857143</v>
      </c>
      <c r="K26" s="5">
        <f t="shared" si="152"/>
        <v>1085702.1428571427</v>
      </c>
      <c r="L26" s="5">
        <f t="shared" si="152"/>
        <v>902237</v>
      </c>
      <c r="M26" s="5">
        <f t="shared" si="152"/>
        <v>981571</v>
      </c>
      <c r="N26" s="5">
        <f t="shared" si="152"/>
        <v>1187626</v>
      </c>
      <c r="O26" s="5">
        <f t="shared" si="152"/>
        <v>961155</v>
      </c>
      <c r="P26" s="5">
        <f t="shared" si="152"/>
        <v>964291</v>
      </c>
      <c r="Q26" s="5">
        <f t="shared" si="152"/>
        <v>1004016.8571428572</v>
      </c>
      <c r="R26" s="5">
        <f t="shared" si="152"/>
        <v>1190054</v>
      </c>
      <c r="S26" s="5">
        <f t="shared" si="152"/>
        <v>987449</v>
      </c>
      <c r="T26" s="5">
        <f t="shared" si="152"/>
        <v>1070730</v>
      </c>
      <c r="U26" s="5">
        <f t="shared" si="152"/>
        <v>1248472</v>
      </c>
      <c r="V26" s="5">
        <f t="shared" si="152"/>
        <v>1200702</v>
      </c>
      <c r="W26" s="5">
        <f t="shared" si="152"/>
        <v>1038842</v>
      </c>
      <c r="X26" s="5">
        <f t="shared" si="152"/>
        <v>1299927</v>
      </c>
      <c r="Y26" s="5">
        <f t="shared" si="152"/>
        <v>1123920</v>
      </c>
      <c r="Z26" s="5">
        <f t="shared" si="152"/>
        <v>995871</v>
      </c>
      <c r="AA26" s="5">
        <f t="shared" si="152"/>
        <v>1313843.5239457542</v>
      </c>
      <c r="AB26" s="5">
        <f t="shared" si="152"/>
        <v>1357600</v>
      </c>
      <c r="AC26" s="5">
        <f t="shared" si="152"/>
        <v>1204526</v>
      </c>
      <c r="AD26" s="5">
        <f t="shared" si="152"/>
        <v>1103126</v>
      </c>
      <c r="AE26" s="5">
        <f t="shared" si="152"/>
        <v>1387242</v>
      </c>
      <c r="AF26" s="5">
        <f t="shared" si="152"/>
        <v>1677452</v>
      </c>
      <c r="AG26" s="5">
        <f t="shared" si="152"/>
        <v>1729440</v>
      </c>
      <c r="AH26" s="5">
        <f t="shared" si="152"/>
        <v>1564097</v>
      </c>
      <c r="AI26" s="5">
        <f t="shared" si="152"/>
        <v>1711388</v>
      </c>
      <c r="AJ26" s="5">
        <f t="shared" si="152"/>
        <v>1789371</v>
      </c>
      <c r="AK26" s="5">
        <f t="shared" si="152"/>
        <v>1675685</v>
      </c>
      <c r="AL26" s="5">
        <f t="shared" si="152"/>
        <v>2271220</v>
      </c>
      <c r="AM26" s="5">
        <f t="shared" si="152"/>
        <v>2090454</v>
      </c>
      <c r="AN26" s="5">
        <f t="shared" si="152"/>
        <v>2550418</v>
      </c>
      <c r="AO26" s="5">
        <f t="shared" si="152"/>
        <v>3026879</v>
      </c>
      <c r="AP26" s="5">
        <f t="shared" si="152"/>
        <v>2878569</v>
      </c>
      <c r="AQ26" s="5">
        <f t="shared" si="152"/>
        <v>3009628</v>
      </c>
      <c r="AR26" s="5">
        <f t="shared" si="152"/>
        <v>5340998.4666582299</v>
      </c>
      <c r="AS26" s="5">
        <f t="shared" si="152"/>
        <v>6598978</v>
      </c>
      <c r="AT26" s="5">
        <f t="shared" si="152"/>
        <v>3817100</v>
      </c>
      <c r="AU26" s="5">
        <f t="shared" si="152"/>
        <v>4692803</v>
      </c>
      <c r="AV26" s="5">
        <f t="shared" si="152"/>
        <v>4370305</v>
      </c>
      <c r="AW26" s="5">
        <f t="shared" si="152"/>
        <v>4602192</v>
      </c>
      <c r="AX26" s="5">
        <f t="shared" si="152"/>
        <v>5441928</v>
      </c>
      <c r="AY26" s="5">
        <f t="shared" si="152"/>
        <v>5427317</v>
      </c>
      <c r="AZ26" s="5">
        <f t="shared" si="152"/>
        <v>6094636.179551282</v>
      </c>
      <c r="BA26" s="5">
        <f t="shared" si="152"/>
        <v>6661770.3176923059</v>
      </c>
      <c r="BB26" s="5">
        <f t="shared" si="152"/>
        <v>5991644.9809711371</v>
      </c>
      <c r="BC26" s="5">
        <f t="shared" si="152"/>
        <v>5675555.1115059126</v>
      </c>
      <c r="BD26" s="5">
        <f t="shared" si="152"/>
        <v>8598734.0565006323</v>
      </c>
      <c r="BE26" s="5">
        <f t="shared" si="152"/>
        <v>10294440.986447815</v>
      </c>
      <c r="BF26" s="5">
        <f t="shared" si="152"/>
        <v>7182110.0441603605</v>
      </c>
      <c r="BG26" s="5">
        <f t="shared" si="152"/>
        <v>7341717.4429592099</v>
      </c>
      <c r="BH26" s="5">
        <f t="shared" si="152"/>
        <v>6636433.1251996662</v>
      </c>
      <c r="BI26" s="5">
        <f t="shared" si="152"/>
        <v>6651669.7328090565</v>
      </c>
      <c r="BJ26" s="5">
        <f t="shared" si="152"/>
        <v>6304244.8900692509</v>
      </c>
      <c r="BK26" s="5">
        <f t="shared" si="152"/>
        <v>7239708.0533900065</v>
      </c>
      <c r="BL26" s="5">
        <f t="shared" si="152"/>
        <v>7460076.6133514112</v>
      </c>
      <c r="BM26" s="5">
        <f t="shared" si="152"/>
        <v>6744994.6212526811</v>
      </c>
      <c r="BN26" s="5">
        <f t="shared" si="152"/>
        <v>6500101.0562241171</v>
      </c>
      <c r="BO26" s="5">
        <f t="shared" si="152"/>
        <v>7367840.2220355188</v>
      </c>
      <c r="BP26" s="5">
        <f t="shared" ref="BP26:DR26" si="153">SUM(BP27:BP30)</f>
        <v>7046712.5116620976</v>
      </c>
      <c r="BQ26" s="5">
        <f t="shared" si="153"/>
        <v>8149573.9116530772</v>
      </c>
      <c r="BR26" s="5">
        <f t="shared" si="153"/>
        <v>7228632.719450457</v>
      </c>
      <c r="BS26" s="5">
        <f t="shared" si="153"/>
        <v>7307532.0051790886</v>
      </c>
      <c r="BT26" s="5">
        <f t="shared" si="153"/>
        <v>7242182.1301233498</v>
      </c>
      <c r="BU26" s="5">
        <f t="shared" si="153"/>
        <v>6791082.8645835146</v>
      </c>
      <c r="BV26" s="5">
        <f t="shared" si="153"/>
        <v>6688512.1478825826</v>
      </c>
      <c r="BW26" s="5">
        <f t="shared" si="153"/>
        <v>7340465.5510260146</v>
      </c>
      <c r="BX26" s="5">
        <f t="shared" si="153"/>
        <v>7474643.7291403618</v>
      </c>
      <c r="BY26" s="5">
        <f t="shared" si="153"/>
        <v>7728766.0601704735</v>
      </c>
      <c r="BZ26" s="5">
        <f t="shared" si="153"/>
        <v>7560010.1715115858</v>
      </c>
      <c r="CA26" s="5">
        <f t="shared" si="153"/>
        <v>7822819.6773071196</v>
      </c>
      <c r="CB26" s="5">
        <f t="shared" si="153"/>
        <v>7519220.9984555757</v>
      </c>
      <c r="CC26" s="5">
        <f t="shared" si="153"/>
        <v>8164981.087384304</v>
      </c>
      <c r="CD26" s="5">
        <f t="shared" si="153"/>
        <v>7740924.6244842391</v>
      </c>
      <c r="CE26" s="5">
        <f t="shared" si="153"/>
        <v>7945353.2550098179</v>
      </c>
      <c r="CF26" s="5">
        <f t="shared" si="153"/>
        <v>8476297.0566480923</v>
      </c>
      <c r="CG26" s="5">
        <f t="shared" si="153"/>
        <v>8271961.6025343696</v>
      </c>
      <c r="CH26" s="5">
        <f t="shared" si="153"/>
        <v>10459133.527879855</v>
      </c>
      <c r="CI26" s="5">
        <f t="shared" si="153"/>
        <v>10029113.140107088</v>
      </c>
      <c r="CJ26" s="5">
        <f t="shared" si="153"/>
        <v>9916440.1582132094</v>
      </c>
      <c r="CK26" s="5">
        <f t="shared" si="153"/>
        <v>10470189.62770604</v>
      </c>
      <c r="CL26" s="5">
        <f t="shared" si="153"/>
        <v>11201471.067289051</v>
      </c>
      <c r="CM26" s="5">
        <f t="shared" si="153"/>
        <v>9906228.1274996903</v>
      </c>
      <c r="CN26" s="5">
        <f t="shared" si="153"/>
        <v>10169151.284843663</v>
      </c>
      <c r="CO26" s="5">
        <f t="shared" si="153"/>
        <v>11605641.416522076</v>
      </c>
      <c r="CP26" s="5">
        <f t="shared" si="153"/>
        <v>10127513.669346314</v>
      </c>
      <c r="CQ26" s="5">
        <f t="shared" si="153"/>
        <v>9360491.1165597625</v>
      </c>
      <c r="CR26" s="5">
        <f t="shared" si="153"/>
        <v>10977082.446090035</v>
      </c>
      <c r="CS26" s="5">
        <f t="shared" si="153"/>
        <v>9598749.5381732509</v>
      </c>
      <c r="CT26" s="5">
        <f t="shared" si="153"/>
        <v>10716365.549841955</v>
      </c>
      <c r="CU26" s="5">
        <f t="shared" si="153"/>
        <v>12004456.405828619</v>
      </c>
      <c r="CV26" s="5">
        <f t="shared" si="153"/>
        <v>12004456.405828619</v>
      </c>
      <c r="CW26" s="5">
        <f t="shared" si="153"/>
        <v>12004456.405828619</v>
      </c>
      <c r="CX26" s="5">
        <f t="shared" si="153"/>
        <v>12004456.405828619</v>
      </c>
      <c r="CY26" s="5">
        <f t="shared" si="153"/>
        <v>12004456.405828619</v>
      </c>
      <c r="CZ26" s="5">
        <f t="shared" si="153"/>
        <v>12004456.405828619</v>
      </c>
      <c r="DA26" s="5">
        <f t="shared" si="153"/>
        <v>12004456.405828619</v>
      </c>
      <c r="DB26" s="5">
        <f t="shared" si="153"/>
        <v>12004456.405828619</v>
      </c>
      <c r="DC26" s="5">
        <f t="shared" si="153"/>
        <v>12004456.405828619</v>
      </c>
      <c r="DD26" s="5">
        <f t="shared" si="153"/>
        <v>12004456.405828619</v>
      </c>
      <c r="DE26" s="5">
        <f t="shared" si="153"/>
        <v>12004456.405828619</v>
      </c>
      <c r="DF26" s="5">
        <f t="shared" si="153"/>
        <v>12004456.405828619</v>
      </c>
      <c r="DG26" s="5">
        <f t="shared" si="153"/>
        <v>12951915.693294909</v>
      </c>
      <c r="DH26" s="5">
        <f t="shared" si="153"/>
        <v>12951915.693294909</v>
      </c>
      <c r="DI26" s="5">
        <f t="shared" si="153"/>
        <v>12951915.693294909</v>
      </c>
      <c r="DJ26" s="5">
        <f t="shared" si="153"/>
        <v>12951915.693294909</v>
      </c>
      <c r="DK26" s="5">
        <f t="shared" si="153"/>
        <v>12951915.693294909</v>
      </c>
      <c r="DL26" s="5">
        <f t="shared" si="153"/>
        <v>12951915.693294909</v>
      </c>
      <c r="DM26" s="5">
        <f t="shared" si="153"/>
        <v>12951915.693294909</v>
      </c>
      <c r="DN26" s="5">
        <f t="shared" si="153"/>
        <v>12951915.693294909</v>
      </c>
      <c r="DO26" s="5">
        <f t="shared" si="153"/>
        <v>12951915.693294909</v>
      </c>
      <c r="DP26" s="5">
        <f t="shared" si="153"/>
        <v>12951915.693294909</v>
      </c>
      <c r="DQ26" s="5">
        <f t="shared" si="153"/>
        <v>12951915.693294909</v>
      </c>
      <c r="DR26" s="5">
        <f t="shared" si="153"/>
        <v>12951915.693294909</v>
      </c>
      <c r="DS26" s="5">
        <f t="shared" ref="DS26:ED26" si="154">SUM(DS27:DS30)</f>
        <v>13974526.862508506</v>
      </c>
      <c r="DT26" s="5">
        <f t="shared" si="154"/>
        <v>13974526.862508506</v>
      </c>
      <c r="DU26" s="5">
        <f t="shared" si="154"/>
        <v>13974526.862508506</v>
      </c>
      <c r="DV26" s="5">
        <f t="shared" si="154"/>
        <v>13974526.862508506</v>
      </c>
      <c r="DW26" s="5">
        <f t="shared" si="154"/>
        <v>13974526.862508506</v>
      </c>
      <c r="DX26" s="5">
        <f t="shared" si="154"/>
        <v>13974526.862508506</v>
      </c>
      <c r="DY26" s="5">
        <f t="shared" si="154"/>
        <v>13974526.862508506</v>
      </c>
      <c r="DZ26" s="5">
        <f t="shared" si="154"/>
        <v>13974526.862508506</v>
      </c>
      <c r="EA26" s="5">
        <f t="shared" si="154"/>
        <v>13974526.862508506</v>
      </c>
      <c r="EB26" s="5">
        <f t="shared" si="154"/>
        <v>13974526.862508506</v>
      </c>
      <c r="EC26" s="5">
        <f t="shared" si="154"/>
        <v>13974526.862508506</v>
      </c>
      <c r="ED26" s="5">
        <f t="shared" si="154"/>
        <v>13974526.862508506</v>
      </c>
      <c r="EF26" s="293">
        <f t="shared" si="13"/>
        <v>21444779.287994098</v>
      </c>
      <c r="EG26" s="293">
        <f t="shared" si="14"/>
        <v>20914653.789921731</v>
      </c>
      <c r="EH26" s="293">
        <f t="shared" si="15"/>
        <v>22685738.636282623</v>
      </c>
      <c r="EI26" s="293">
        <f t="shared" si="16"/>
        <v>20721777.14258945</v>
      </c>
      <c r="EJ26" s="293">
        <f t="shared" si="17"/>
        <v>22543875.340336852</v>
      </c>
      <c r="EK26" s="293">
        <f t="shared" si="18"/>
        <v>31276850.4796324</v>
      </c>
      <c r="EL26" s="293">
        <f t="shared" si="19"/>
        <v>23851258.966878362</v>
      </c>
      <c r="EM26" s="293">
        <f t="shared" si="20"/>
        <v>27207392.187062316</v>
      </c>
      <c r="EN26" s="293">
        <f t="shared" si="21"/>
        <v>30415742.926026337</v>
      </c>
      <c r="EO26" s="293">
        <f t="shared" si="22"/>
        <v>31276850.4796324</v>
      </c>
      <c r="EP26" s="293">
        <f t="shared" si="23"/>
        <v>31093646.202428151</v>
      </c>
      <c r="EQ26" s="293">
        <f t="shared" si="24"/>
        <v>31292197.534105241</v>
      </c>
      <c r="ER26" s="293">
        <f t="shared" si="25"/>
        <v>36013369.21748586</v>
      </c>
      <c r="ES26" s="293">
        <f t="shared" si="26"/>
        <v>36013369.21748586</v>
      </c>
      <c r="ET26" s="293">
        <f t="shared" si="27"/>
        <v>36013369.21748586</v>
      </c>
      <c r="EU26" s="293">
        <f t="shared" si="28"/>
        <v>36013369.21748586</v>
      </c>
      <c r="EV26" s="293">
        <f t="shared" si="29"/>
        <v>38855747.079884723</v>
      </c>
      <c r="EW26" s="293">
        <f t="shared" si="30"/>
        <v>38855747.079884723</v>
      </c>
      <c r="EX26" s="293">
        <f t="shared" si="31"/>
        <v>38855747.079884723</v>
      </c>
      <c r="EY26" s="293">
        <f t="shared" si="32"/>
        <v>38855747.079884723</v>
      </c>
      <c r="EZ26" s="293">
        <f t="shared" si="33"/>
        <v>41923580.587525517</v>
      </c>
      <c r="FA26" s="293">
        <f t="shared" si="34"/>
        <v>41923580.587525517</v>
      </c>
      <c r="FB26" s="293">
        <f t="shared" si="35"/>
        <v>41923580.587525517</v>
      </c>
      <c r="FC26" s="293">
        <f t="shared" si="36"/>
        <v>41923580.587525517</v>
      </c>
      <c r="FE26" s="293">
        <f t="shared" si="37"/>
        <v>85766948.856787905</v>
      </c>
      <c r="FF26" s="293">
        <f t="shared" si="38"/>
        <v>104879376.97390994</v>
      </c>
      <c r="FG26" s="293">
        <f t="shared" si="39"/>
        <v>124078437.14219213</v>
      </c>
      <c r="FH26" s="293">
        <f t="shared" si="40"/>
        <v>144053476.86994344</v>
      </c>
      <c r="FI26" s="293">
        <f t="shared" si="41"/>
        <v>155422988.31953889</v>
      </c>
      <c r="FJ26" s="807">
        <f t="shared" si="42"/>
        <v>167694322.35010207</v>
      </c>
    </row>
    <row r="27" spans="2:166" x14ac:dyDescent="0.2">
      <c r="B27" s="25" t="s">
        <v>72</v>
      </c>
      <c r="C27" s="140">
        <f>'P&amp;L - Inputs'!B343</f>
        <v>678411.14285714284</v>
      </c>
      <c r="D27" s="140">
        <f>'P&amp;L - Inputs'!C343</f>
        <v>802238.14285714284</v>
      </c>
      <c r="E27" s="140">
        <f>'P&amp;L - Inputs'!D343</f>
        <v>828929.14285714284</v>
      </c>
      <c r="F27" s="140">
        <f>'P&amp;L - Inputs'!E343</f>
        <v>1046834.1428571428</v>
      </c>
      <c r="G27" s="140">
        <f>'P&amp;L - Inputs'!F343</f>
        <v>1078804.1428571427</v>
      </c>
      <c r="H27" s="140">
        <f>'P&amp;L - Inputs'!G343</f>
        <v>1132019.4285714284</v>
      </c>
      <c r="I27" s="140">
        <f>'P&amp;L - Inputs'!H343</f>
        <v>1160996.7142857141</v>
      </c>
      <c r="J27" s="140">
        <f>'P&amp;L - Inputs'!I343</f>
        <v>1020363.7142857143</v>
      </c>
      <c r="K27" s="140">
        <f>'P&amp;L - Inputs'!J343</f>
        <v>975999.14285714284</v>
      </c>
      <c r="L27" s="140">
        <f>'P&amp;L - Inputs'!K343</f>
        <v>792126</v>
      </c>
      <c r="M27" s="140">
        <f>'P&amp;L - Inputs'!L343</f>
        <v>844368</v>
      </c>
      <c r="N27" s="140">
        <f>'P&amp;L - Inputs'!M343</f>
        <v>1063559</v>
      </c>
      <c r="O27" s="140">
        <f>'P&amp;L - Inputs'!N343</f>
        <v>832659</v>
      </c>
      <c r="P27" s="140">
        <f>'P&amp;L - Inputs'!O343</f>
        <v>811768</v>
      </c>
      <c r="Q27" s="140">
        <f>'P&amp;L - Inputs'!P343</f>
        <v>858337.85714285716</v>
      </c>
      <c r="R27" s="140">
        <f>'P&amp;L - Inputs'!Q343</f>
        <v>1024713</v>
      </c>
      <c r="S27" s="140">
        <f>'P&amp;L - Inputs'!R343</f>
        <v>817335</v>
      </c>
      <c r="T27" s="140">
        <f>'P&amp;L - Inputs'!S343</f>
        <v>876783</v>
      </c>
      <c r="U27" s="140">
        <f>'P&amp;L - Inputs'!T343</f>
        <v>1068113</v>
      </c>
      <c r="V27" s="140">
        <f>'P&amp;L - Inputs'!U343</f>
        <v>948619</v>
      </c>
      <c r="W27" s="140">
        <f>'P&amp;L - Inputs'!V343</f>
        <v>787457</v>
      </c>
      <c r="X27" s="140">
        <f>'P&amp;L - Inputs'!W343</f>
        <v>1029154</v>
      </c>
      <c r="Y27" s="140">
        <f>'P&amp;L - Inputs'!X343</f>
        <v>864921</v>
      </c>
      <c r="Z27" s="140">
        <f>'P&amp;L - Inputs'!Y343</f>
        <v>747065</v>
      </c>
      <c r="AA27" s="140">
        <f>'P&amp;L - Inputs'!Z343</f>
        <v>943354</v>
      </c>
      <c r="AB27" s="140">
        <f>'P&amp;L - Inputs'!AA343</f>
        <v>850602</v>
      </c>
      <c r="AC27" s="140">
        <f>'P&amp;L - Inputs'!AB343</f>
        <v>810227</v>
      </c>
      <c r="AD27" s="140">
        <f>'P&amp;L - Inputs'!AC343</f>
        <v>701565</v>
      </c>
      <c r="AE27" s="140">
        <f>'P&amp;L - Inputs'!AD343</f>
        <v>879980</v>
      </c>
      <c r="AF27" s="140">
        <f>'P&amp;L - Inputs'!AE343</f>
        <v>769687</v>
      </c>
      <c r="AG27" s="140">
        <f>'P&amp;L - Inputs'!AF343</f>
        <v>870930</v>
      </c>
      <c r="AH27" s="140">
        <f>'P&amp;L - Inputs'!AG343</f>
        <v>791196</v>
      </c>
      <c r="AI27" s="140">
        <f>'P&amp;L - Inputs'!AH343</f>
        <v>865006</v>
      </c>
      <c r="AJ27" s="140">
        <f>'P&amp;L - Inputs'!AI343</f>
        <v>968054</v>
      </c>
      <c r="AK27" s="140">
        <f>'P&amp;L - Inputs'!AJ343</f>
        <v>888985</v>
      </c>
      <c r="AL27" s="140">
        <f>'P&amp;L - Inputs'!AK343</f>
        <v>1396479</v>
      </c>
      <c r="AM27" s="140">
        <f>'P&amp;L - Inputs'!AL343</f>
        <v>970690</v>
      </c>
      <c r="AN27" s="140">
        <f>'P&amp;L - Inputs'!AM343</f>
        <v>957790</v>
      </c>
      <c r="AO27" s="140">
        <f>'P&amp;L - Inputs'!AN343</f>
        <v>1431877</v>
      </c>
      <c r="AP27" s="140">
        <f>'P&amp;L - Inputs'!AO343</f>
        <v>1426822</v>
      </c>
      <c r="AQ27" s="140">
        <f>'P&amp;L - Inputs'!AP343</f>
        <v>1737926</v>
      </c>
      <c r="AR27" s="140">
        <f>'P&amp;L - Inputs'!AQ343</f>
        <v>1921748.07</v>
      </c>
      <c r="AS27" s="140">
        <f>'P&amp;L - Inputs'!AR343</f>
        <v>1724435</v>
      </c>
      <c r="AT27" s="140">
        <f>'P&amp;L - Inputs'!AS343</f>
        <v>1956096</v>
      </c>
      <c r="AU27" s="140">
        <f>'P&amp;L - Inputs'!AT343</f>
        <v>2578855</v>
      </c>
      <c r="AV27" s="140">
        <f>'P&amp;L - Inputs'!AU343</f>
        <v>2431065</v>
      </c>
      <c r="AW27" s="140">
        <f>'P&amp;L - Inputs'!AV343</f>
        <v>2649636</v>
      </c>
      <c r="AX27" s="140">
        <f>'P&amp;L - Inputs'!AW343</f>
        <v>3305177</v>
      </c>
      <c r="AY27" s="140">
        <f>'P&amp;L - Inputs'!AX343</f>
        <v>3384400</v>
      </c>
      <c r="AZ27" s="140">
        <f>'P&amp;L - Inputs'!AY343</f>
        <v>3837152.179551282</v>
      </c>
      <c r="BA27" s="140">
        <f>'P&amp;L - Inputs'!AZ343</f>
        <v>4391416.3176923059</v>
      </c>
      <c r="BB27" s="140">
        <f>'P&amp;L - Inputs'!BA343</f>
        <v>3870671.1553846151</v>
      </c>
      <c r="BC27" s="140">
        <f>'P&amp;L - Inputs'!BB343</f>
        <v>3810763.694679488</v>
      </c>
      <c r="BD27" s="140">
        <f>'P&amp;L - Inputs'!BC343</f>
        <v>4203883.7696153857</v>
      </c>
      <c r="BE27" s="140">
        <f>'P&amp;L - Inputs'!BD343</f>
        <v>3813878.1066025649</v>
      </c>
      <c r="BF27" s="140">
        <f>'P&amp;L - Inputs'!BE343</f>
        <v>3917583.2440384612</v>
      </c>
      <c r="BG27" s="140">
        <f>'P&amp;L - Inputs'!BF343</f>
        <v>3661444.933459471</v>
      </c>
      <c r="BH27" s="140">
        <f>'P&amp;L - Inputs'!BG343</f>
        <v>3735862.7416666667</v>
      </c>
      <c r="BI27" s="140">
        <f>'P&amp;L - Inputs'!BH343</f>
        <v>3568441.692307692</v>
      </c>
      <c r="BJ27" s="140">
        <f>'P&amp;L - Inputs'!BI343</f>
        <v>3285130.1492307694</v>
      </c>
      <c r="BK27" s="140">
        <f>'P&amp;L - Inputs'!BJ343</f>
        <v>4787668.1058095098</v>
      </c>
      <c r="BL27" s="140">
        <f>'P&amp;L - Inputs'!BK343</f>
        <v>4860581.7754248902</v>
      </c>
      <c r="BM27" s="140">
        <f>'P&amp;L - Inputs'!BL343</f>
        <v>4273270.4431410301</v>
      </c>
      <c r="BN27" s="140">
        <f>'P&amp;L - Inputs'!BM343</f>
        <v>4280586.3778205123</v>
      </c>
      <c r="BO27" s="140">
        <f>'P&amp;L - Inputs'!BN343</f>
        <v>4773875.2601282001</v>
      </c>
      <c r="BP27" s="140">
        <f>'P&amp;L - Inputs'!BO343</f>
        <v>3972558.7436538497</v>
      </c>
      <c r="BQ27" s="140">
        <f>'P&amp;L - Inputs'!BP343</f>
        <v>4984655.7717307704</v>
      </c>
      <c r="BR27" s="140">
        <f>'P&amp;L - Inputs'!BQ343</f>
        <v>4459498.2475641016</v>
      </c>
      <c r="BS27" s="140">
        <f>'P&amp;L - Inputs'!BR343</f>
        <v>4375010.8123717951</v>
      </c>
      <c r="BT27" s="140">
        <f>'P&amp;L - Inputs'!BS343</f>
        <v>4567202.2783333333</v>
      </c>
      <c r="BU27" s="140">
        <f>'P&amp;L - Inputs'!BT343</f>
        <v>4207100.8091025641</v>
      </c>
      <c r="BV27" s="140">
        <f>'P&amp;L - Inputs'!BU343</f>
        <v>4321778.9221153902</v>
      </c>
      <c r="BW27" s="140">
        <f>'P&amp;L - Inputs'!BV343</f>
        <v>4851279.8871153798</v>
      </c>
      <c r="BX27" s="140">
        <f>'P&amp;L - Inputs'!BW343</f>
        <v>4904437.9953846103</v>
      </c>
      <c r="BY27" s="140">
        <f>'P&amp;L - Inputs'!BX343</f>
        <v>4915038.4519871799</v>
      </c>
      <c r="BZ27" s="140">
        <f>'P&amp;L - Inputs'!BY343</f>
        <v>5077429.4928846201</v>
      </c>
      <c r="CA27" s="140">
        <f>'P&amp;L - Inputs'!BZ343</f>
        <v>4871472.6641025636</v>
      </c>
      <c r="CB27" s="140">
        <f>'P&amp;L - Inputs'!CA343</f>
        <v>4877722.0525000012</v>
      </c>
      <c r="CC27" s="140">
        <f>'P&amp;L - Inputs'!CB343</f>
        <v>5641629.6778205102</v>
      </c>
      <c r="CD27" s="140">
        <f>'P&amp;L - Inputs'!CC343</f>
        <v>5035906.878461537</v>
      </c>
      <c r="CE27" s="140">
        <f>'P&amp;L - Inputs'!CD343</f>
        <v>5379150.9874358997</v>
      </c>
      <c r="CF27" s="140">
        <f>'P&amp;L - Inputs'!CE343</f>
        <v>5642708.3550640997</v>
      </c>
      <c r="CG27" s="140">
        <f>'P&amp;L - Inputs'!CF343</f>
        <v>5560350.5030769221</v>
      </c>
      <c r="CH27" s="140">
        <f>'P&amp;L - Inputs'!CG343</f>
        <v>6064680.9310897402</v>
      </c>
      <c r="CI27" s="140">
        <f>'P&amp;L - Inputs'!CH343</f>
        <v>6994107.2767307702</v>
      </c>
      <c r="CJ27" s="140">
        <f>'P&amp;L - Inputs'!CI343</f>
        <v>6671192.4108974403</v>
      </c>
      <c r="CK27" s="140">
        <f>'P&amp;L - Inputs'!CJ343</f>
        <v>6900084.68717949</v>
      </c>
      <c r="CL27" s="140">
        <f>'P&amp;L - Inputs'!CK343</f>
        <v>6964542.5253205104</v>
      </c>
      <c r="CM27" s="140">
        <f>'P&amp;L - Inputs'!CL343</f>
        <v>6263484.5226282049</v>
      </c>
      <c r="CN27" s="140">
        <f>'P&amp;L - Inputs'!CM343</f>
        <v>6645066.55217948</v>
      </c>
      <c r="CO27" s="140">
        <f>'P&amp;L - Inputs'!CN343</f>
        <v>8440320.2827564105</v>
      </c>
      <c r="CP27" s="140">
        <f>'P&amp;L - Inputs'!CO343</f>
        <v>6843066.8335256502</v>
      </c>
      <c r="CQ27" s="140">
        <f>'P&amp;L - Inputs'!CP343</f>
        <v>6562674.1144230813</v>
      </c>
      <c r="CR27" s="140">
        <f>'P&amp;L - Inputs'!CQ343</f>
        <v>8347558.5867307801</v>
      </c>
      <c r="CS27" s="140">
        <f>'P&amp;L - Inputs'!CR343</f>
        <v>7120731.8822435997</v>
      </c>
      <c r="CT27" s="140">
        <f>'P&amp;L - Inputs'!CS343</f>
        <v>8074351.5946794897</v>
      </c>
      <c r="CU27" s="140">
        <f>'P&amp;L - Inputs'!CT343</f>
        <v>8720299.7222538497</v>
      </c>
      <c r="CV27" s="140">
        <f>'P&amp;L - Inputs'!CU343</f>
        <v>8720299.7222538497</v>
      </c>
      <c r="CW27" s="140">
        <f>'P&amp;L - Inputs'!CV343</f>
        <v>8720299.7222538497</v>
      </c>
      <c r="CX27" s="140">
        <f>'P&amp;L - Inputs'!CW343</f>
        <v>8720299.7222538497</v>
      </c>
      <c r="CY27" s="140">
        <f>'P&amp;L - Inputs'!CX343</f>
        <v>8720299.7222538497</v>
      </c>
      <c r="CZ27" s="140">
        <f>'P&amp;L - Inputs'!CY343</f>
        <v>8720299.7222538497</v>
      </c>
      <c r="DA27" s="140">
        <f>'P&amp;L - Inputs'!CZ343</f>
        <v>8720299.7222538497</v>
      </c>
      <c r="DB27" s="140">
        <f>'P&amp;L - Inputs'!DA343</f>
        <v>8720299.7222538497</v>
      </c>
      <c r="DC27" s="140">
        <f>'P&amp;L - Inputs'!DB343</f>
        <v>8720299.7222538497</v>
      </c>
      <c r="DD27" s="140">
        <f>'P&amp;L - Inputs'!DC343</f>
        <v>8720299.7222538497</v>
      </c>
      <c r="DE27" s="140">
        <f>'P&amp;L - Inputs'!DD343</f>
        <v>8720299.7222538497</v>
      </c>
      <c r="DF27" s="140">
        <f>'P&amp;L - Inputs'!DE343</f>
        <v>8720299.7222538497</v>
      </c>
      <c r="DG27" s="140">
        <f>'P&amp;L - Inputs'!DF343</f>
        <v>9417923.7000341583</v>
      </c>
      <c r="DH27" s="140">
        <f>'P&amp;L - Inputs'!DG343</f>
        <v>9417923.7000341583</v>
      </c>
      <c r="DI27" s="140">
        <f>'P&amp;L - Inputs'!DH343</f>
        <v>9417923.7000341583</v>
      </c>
      <c r="DJ27" s="140">
        <f>'P&amp;L - Inputs'!DI343</f>
        <v>9417923.7000341583</v>
      </c>
      <c r="DK27" s="140">
        <f>'P&amp;L - Inputs'!DJ343</f>
        <v>9417923.7000341583</v>
      </c>
      <c r="DL27" s="140">
        <f>'P&amp;L - Inputs'!DK343</f>
        <v>9417923.7000341583</v>
      </c>
      <c r="DM27" s="140">
        <f>'P&amp;L - Inputs'!DL343</f>
        <v>9417923.7000341583</v>
      </c>
      <c r="DN27" s="140">
        <f>'P&amp;L - Inputs'!DM343</f>
        <v>9417923.7000341583</v>
      </c>
      <c r="DO27" s="140">
        <f>'P&amp;L - Inputs'!DN343</f>
        <v>9417923.7000341583</v>
      </c>
      <c r="DP27" s="140">
        <f>'P&amp;L - Inputs'!DO343</f>
        <v>9417923.7000341583</v>
      </c>
      <c r="DQ27" s="140">
        <f>'P&amp;L - Inputs'!DP343</f>
        <v>9417923.7000341583</v>
      </c>
      <c r="DR27" s="140">
        <f>'P&amp;L - Inputs'!DQ343</f>
        <v>9417923.7000341583</v>
      </c>
      <c r="DS27" s="140">
        <f>'P&amp;L - Inputs'!DR343</f>
        <v>10171357.596036892</v>
      </c>
      <c r="DT27" s="140">
        <f>'P&amp;L - Inputs'!DS343</f>
        <v>10171357.596036892</v>
      </c>
      <c r="DU27" s="140">
        <f>'P&amp;L - Inputs'!DT343</f>
        <v>10171357.596036892</v>
      </c>
      <c r="DV27" s="140">
        <f>'P&amp;L - Inputs'!DU343</f>
        <v>10171357.596036892</v>
      </c>
      <c r="DW27" s="140">
        <f>'P&amp;L - Inputs'!DV343</f>
        <v>10171357.596036892</v>
      </c>
      <c r="DX27" s="140">
        <f>'P&amp;L - Inputs'!DW343</f>
        <v>10171357.596036892</v>
      </c>
      <c r="DY27" s="140">
        <f>'P&amp;L - Inputs'!DX343</f>
        <v>10171357.596036892</v>
      </c>
      <c r="DZ27" s="140">
        <f>'P&amp;L - Inputs'!DY343</f>
        <v>10171357.596036892</v>
      </c>
      <c r="EA27" s="140">
        <f>'P&amp;L - Inputs'!DZ343</f>
        <v>10171357.596036892</v>
      </c>
      <c r="EB27" s="140">
        <f>'P&amp;L - Inputs'!EA343</f>
        <v>10171357.596036892</v>
      </c>
      <c r="EC27" s="140">
        <f>'P&amp;L - Inputs'!EB343</f>
        <v>10171357.596036892</v>
      </c>
      <c r="ED27" s="140">
        <f>'P&amp;L - Inputs'!EC343</f>
        <v>10171357.596036892</v>
      </c>
      <c r="EF27" s="165">
        <f t="shared" si="13"/>
        <v>13921520.32437543</v>
      </c>
      <c r="EG27" s="165">
        <f t="shared" si="14"/>
        <v>13027020.381602563</v>
      </c>
      <c r="EH27" s="165">
        <f t="shared" si="15"/>
        <v>13819164.831666667</v>
      </c>
      <c r="EI27" s="165">
        <f t="shared" si="16"/>
        <v>13096082.009551287</v>
      </c>
      <c r="EJ27" s="165">
        <f t="shared" si="17"/>
        <v>14670756.33448717</v>
      </c>
      <c r="EK27" s="165">
        <f t="shared" si="18"/>
        <v>19873093.600128196</v>
      </c>
      <c r="EL27" s="165">
        <f t="shared" si="19"/>
        <v>16056687.543717947</v>
      </c>
      <c r="EM27" s="165">
        <f t="shared" si="20"/>
        <v>17267739.789230764</v>
      </c>
      <c r="EN27" s="165">
        <f t="shared" si="21"/>
        <v>20565384.374807701</v>
      </c>
      <c r="EO27" s="165">
        <f t="shared" si="22"/>
        <v>19873093.600128196</v>
      </c>
      <c r="EP27" s="165">
        <f t="shared" si="23"/>
        <v>21846061.230705142</v>
      </c>
      <c r="EQ27" s="165">
        <f t="shared" si="24"/>
        <v>23542642.063653871</v>
      </c>
      <c r="ER27" s="165">
        <f t="shared" si="25"/>
        <v>26160899.166761547</v>
      </c>
      <c r="ES27" s="165">
        <f t="shared" si="26"/>
        <v>26160899.166761547</v>
      </c>
      <c r="ET27" s="165">
        <f t="shared" si="27"/>
        <v>26160899.166761547</v>
      </c>
      <c r="EU27" s="165">
        <f t="shared" si="28"/>
        <v>26160899.166761547</v>
      </c>
      <c r="EV27" s="165">
        <f t="shared" si="29"/>
        <v>28253771.100102477</v>
      </c>
      <c r="EW27" s="165">
        <f t="shared" si="30"/>
        <v>28253771.100102477</v>
      </c>
      <c r="EX27" s="165">
        <f t="shared" si="31"/>
        <v>28253771.100102477</v>
      </c>
      <c r="EY27" s="165">
        <f t="shared" si="32"/>
        <v>28253771.100102477</v>
      </c>
      <c r="EZ27" s="165">
        <f t="shared" si="33"/>
        <v>30514072.788110677</v>
      </c>
      <c r="FA27" s="165">
        <f t="shared" si="34"/>
        <v>30514072.788110677</v>
      </c>
      <c r="FB27" s="165">
        <f t="shared" si="35"/>
        <v>30514072.788110677</v>
      </c>
      <c r="FC27" s="165">
        <f t="shared" si="36"/>
        <v>30514072.788110677</v>
      </c>
      <c r="FE27" s="165">
        <f t="shared" si="37"/>
        <v>53863787.547195941</v>
      </c>
      <c r="FF27" s="165">
        <f t="shared" si="38"/>
        <v>67868277.267564073</v>
      </c>
      <c r="FG27" s="165">
        <f t="shared" si="39"/>
        <v>85827181.269294918</v>
      </c>
      <c r="FH27" s="165">
        <f t="shared" si="40"/>
        <v>104643596.66704619</v>
      </c>
      <c r="FI27" s="165">
        <f t="shared" si="41"/>
        <v>113015084.40040991</v>
      </c>
      <c r="FJ27" s="804">
        <f t="shared" si="42"/>
        <v>122056291.15244271</v>
      </c>
    </row>
    <row r="28" spans="2:166" x14ac:dyDescent="0.2">
      <c r="B28" s="25" t="s">
        <v>152</v>
      </c>
      <c r="C28" s="147">
        <f>'P&amp;L - Inputs'!B344</f>
        <v>385203</v>
      </c>
      <c r="D28" s="147">
        <f>'P&amp;L - Inputs'!C344</f>
        <v>369572</v>
      </c>
      <c r="E28" s="147">
        <f>'P&amp;L - Inputs'!D344</f>
        <v>305926</v>
      </c>
      <c r="F28" s="147">
        <f>'P&amp;L - Inputs'!E344</f>
        <v>239083</v>
      </c>
      <c r="G28" s="147">
        <f>'P&amp;L - Inputs'!F344</f>
        <v>155283</v>
      </c>
      <c r="H28" s="147">
        <f>'P&amp;L - Inputs'!G344</f>
        <v>107060</v>
      </c>
      <c r="I28" s="147">
        <f>'P&amp;L - Inputs'!H344</f>
        <v>114194</v>
      </c>
      <c r="J28" s="147">
        <f>'P&amp;L - Inputs'!I344</f>
        <v>116033</v>
      </c>
      <c r="K28" s="147">
        <f>'P&amp;L - Inputs'!J344</f>
        <v>109703</v>
      </c>
      <c r="L28" s="147">
        <f>'P&amp;L - Inputs'!K344</f>
        <v>110111</v>
      </c>
      <c r="M28" s="147">
        <f>'P&amp;L - Inputs'!L344</f>
        <v>137203</v>
      </c>
      <c r="N28" s="147">
        <f>'P&amp;L - Inputs'!M344</f>
        <v>124067</v>
      </c>
      <c r="O28" s="147">
        <f>'P&amp;L - Inputs'!N344</f>
        <v>128496</v>
      </c>
      <c r="P28" s="147">
        <f>'P&amp;L - Inputs'!O344</f>
        <v>152523</v>
      </c>
      <c r="Q28" s="147">
        <f>'P&amp;L - Inputs'!P344</f>
        <v>145679</v>
      </c>
      <c r="R28" s="147">
        <f>'P&amp;L - Inputs'!Q344</f>
        <v>165341</v>
      </c>
      <c r="S28" s="147">
        <f>'P&amp;L - Inputs'!R344</f>
        <v>170114</v>
      </c>
      <c r="T28" s="147">
        <f>'P&amp;L - Inputs'!S344</f>
        <v>193947</v>
      </c>
      <c r="U28" s="147">
        <f>'P&amp;L - Inputs'!T344</f>
        <v>180359</v>
      </c>
      <c r="V28" s="147">
        <f>'P&amp;L - Inputs'!U344</f>
        <v>252083</v>
      </c>
      <c r="W28" s="147">
        <f>'P&amp;L - Inputs'!V344</f>
        <v>251385</v>
      </c>
      <c r="X28" s="147">
        <f>'P&amp;L - Inputs'!W344</f>
        <v>270773</v>
      </c>
      <c r="Y28" s="147">
        <f>'P&amp;L - Inputs'!X344</f>
        <v>258999</v>
      </c>
      <c r="Z28" s="147">
        <f>'P&amp;L - Inputs'!Y344</f>
        <v>248806</v>
      </c>
      <c r="AA28" s="147">
        <f>'P&amp;L - Inputs'!Z344</f>
        <v>370489.52394575422</v>
      </c>
      <c r="AB28" s="147">
        <f>'P&amp;L - Inputs'!AA344</f>
        <v>506998</v>
      </c>
      <c r="AC28" s="147">
        <f>'P&amp;L - Inputs'!AB344</f>
        <v>394299</v>
      </c>
      <c r="AD28" s="147">
        <f>'P&amp;L - Inputs'!AC344</f>
        <v>401561</v>
      </c>
      <c r="AE28" s="147">
        <f>'P&amp;L - Inputs'!AD344</f>
        <v>507262</v>
      </c>
      <c r="AF28" s="147">
        <f>'P&amp;L - Inputs'!AE344</f>
        <v>907765</v>
      </c>
      <c r="AG28" s="147">
        <f>'P&amp;L - Inputs'!AF344</f>
        <v>858510</v>
      </c>
      <c r="AH28" s="147">
        <f>'P&amp;L - Inputs'!AG344</f>
        <v>772901</v>
      </c>
      <c r="AI28" s="147">
        <f>'P&amp;L - Inputs'!AH344</f>
        <v>846382</v>
      </c>
      <c r="AJ28" s="147">
        <f>'P&amp;L - Inputs'!AI344</f>
        <v>821317</v>
      </c>
      <c r="AK28" s="147">
        <f>'P&amp;L - Inputs'!AJ344</f>
        <v>786700</v>
      </c>
      <c r="AL28" s="147">
        <f>'P&amp;L - Inputs'!AK344</f>
        <v>874741</v>
      </c>
      <c r="AM28" s="147">
        <f>'P&amp;L - Inputs'!AL344</f>
        <v>1119764</v>
      </c>
      <c r="AN28" s="147">
        <f>'P&amp;L - Inputs'!AM344</f>
        <v>1592628</v>
      </c>
      <c r="AO28" s="147">
        <f>'P&amp;L - Inputs'!AN344</f>
        <v>1595002</v>
      </c>
      <c r="AP28" s="147">
        <f>'P&amp;L - Inputs'!AO344</f>
        <v>1451747</v>
      </c>
      <c r="AQ28" s="147">
        <f>'P&amp;L - Inputs'!AP344</f>
        <v>1271702</v>
      </c>
      <c r="AR28" s="147">
        <f>'P&amp;L - Inputs'!AQ344</f>
        <v>3419250.3966582301</v>
      </c>
      <c r="AS28" s="147">
        <f>'P&amp;L - Inputs'!AR344</f>
        <v>4874543</v>
      </c>
      <c r="AT28" s="147">
        <f>'P&amp;L - Inputs'!AS344</f>
        <v>1861004</v>
      </c>
      <c r="AU28" s="147">
        <f>'P&amp;L - Inputs'!AT344</f>
        <v>2113948</v>
      </c>
      <c r="AV28" s="147">
        <f>'P&amp;L - Inputs'!AU344</f>
        <v>1939240</v>
      </c>
      <c r="AW28" s="147">
        <f>'P&amp;L - Inputs'!AV344</f>
        <v>1952556</v>
      </c>
      <c r="AX28" s="147">
        <f>'P&amp;L - Inputs'!AW344</f>
        <v>2136751</v>
      </c>
      <c r="AY28" s="147">
        <f>'P&amp;L - Inputs'!AX344</f>
        <v>2042917</v>
      </c>
      <c r="AZ28" s="147">
        <f>'P&amp;L - Inputs'!AY344</f>
        <v>2257484</v>
      </c>
      <c r="BA28" s="147">
        <f>'P&amp;L - Inputs'!AZ344</f>
        <v>2270354</v>
      </c>
      <c r="BB28" s="147">
        <f>'P&amp;L - Inputs'!BA344</f>
        <v>2120973.825586522</v>
      </c>
      <c r="BC28" s="147">
        <f>'P&amp;L - Inputs'!BB344</f>
        <v>1864791.4168264244</v>
      </c>
      <c r="BD28" s="147">
        <f>'P&amp;L - Inputs'!BC344</f>
        <v>3911807.2868852457</v>
      </c>
      <c r="BE28" s="147">
        <f>'P&amp;L - Inputs'!BD344</f>
        <v>6142334.8798452495</v>
      </c>
      <c r="BF28" s="147">
        <f>'P&amp;L - Inputs'!BE344</f>
        <v>2885815.8001218992</v>
      </c>
      <c r="BG28" s="147">
        <f>'P&amp;L - Inputs'!BF344</f>
        <v>3423809.5094997385</v>
      </c>
      <c r="BH28" s="147">
        <f>'P&amp;L - Inputs'!BG344</f>
        <v>2878188.883533</v>
      </c>
      <c r="BI28" s="147">
        <f>'P&amp;L - Inputs'!BH344</f>
        <v>3053987.5405013645</v>
      </c>
      <c r="BJ28" s="147">
        <f>'P&amp;L - Inputs'!BI344</f>
        <v>2978525.7408384816</v>
      </c>
      <c r="BK28" s="147">
        <f>'P&amp;L - Inputs'!BJ344</f>
        <v>2431307.9475804968</v>
      </c>
      <c r="BL28" s="147">
        <f>'P&amp;L - Inputs'!BK344</f>
        <v>2585429.837926521</v>
      </c>
      <c r="BM28" s="147">
        <f>'P&amp;L - Inputs'!BL344</f>
        <v>2246268.178111651</v>
      </c>
      <c r="BN28" s="147">
        <f>'P&amp;L - Inputs'!BM344</f>
        <v>2178790.6784036048</v>
      </c>
      <c r="BO28" s="147">
        <f>'P&amp;L - Inputs'!BN344</f>
        <v>2477189.9619073188</v>
      </c>
      <c r="BP28" s="147">
        <f>'P&amp;L - Inputs'!BO344</f>
        <v>2952533.7680082479</v>
      </c>
      <c r="BQ28" s="147">
        <f>'P&amp;L - Inputs'!BP344</f>
        <v>3043298.1399223064</v>
      </c>
      <c r="BR28" s="147">
        <f>'P&amp;L - Inputs'!BQ344</f>
        <v>2718987.4718863559</v>
      </c>
      <c r="BS28" s="147">
        <f>'P&amp;L - Inputs'!BR344</f>
        <v>2817016.1928072935</v>
      </c>
      <c r="BT28" s="147">
        <f>'P&amp;L - Inputs'!BS344</f>
        <v>2659997.8517900165</v>
      </c>
      <c r="BU28" s="147">
        <f>'P&amp;L - Inputs'!BT344</f>
        <v>2495233.05548095</v>
      </c>
      <c r="BV28" s="147">
        <f>'P&amp;L - Inputs'!BU344</f>
        <v>2333183.225767192</v>
      </c>
      <c r="BW28" s="147">
        <f>'P&amp;L - Inputs'!BV344</f>
        <v>2377955.6639106353</v>
      </c>
      <c r="BX28" s="147">
        <f>'P&amp;L - Inputs'!BW344</f>
        <v>2440845.733755751</v>
      </c>
      <c r="BY28" s="147">
        <f>'P&amp;L - Inputs'!BX344</f>
        <v>2684367.6081832936</v>
      </c>
      <c r="BZ28" s="147">
        <f>'P&amp;L - Inputs'!BY344</f>
        <v>2423230.6786269657</v>
      </c>
      <c r="CA28" s="147">
        <f>'P&amp;L - Inputs'!BZ344</f>
        <v>2443240.1032045553</v>
      </c>
      <c r="CB28" s="147">
        <f>'P&amp;L - Inputs'!CA344</f>
        <v>2533646.9459555745</v>
      </c>
      <c r="CC28" s="147">
        <f>'P&amp;L - Inputs'!CB344</f>
        <v>2406689.9895637939</v>
      </c>
      <c r="CD28" s="147">
        <f>'P&amp;L - Inputs'!CC344</f>
        <v>2515920.2460227017</v>
      </c>
      <c r="CE28" s="147">
        <f>'P&amp;L - Inputs'!CD344</f>
        <v>2393329.1475739176</v>
      </c>
      <c r="CF28" s="147">
        <f>'P&amp;L - Inputs'!CE344</f>
        <v>2602927.7015839927</v>
      </c>
      <c r="CG28" s="147">
        <f>'P&amp;L - Inputs'!CF344</f>
        <v>2562108.2294574478</v>
      </c>
      <c r="CH28" s="147">
        <f>'P&amp;L - Inputs'!CG344</f>
        <v>2713544.5967901144</v>
      </c>
      <c r="CI28" s="147">
        <f>'P&amp;L - Inputs'!CH344</f>
        <v>2765169.6633763174</v>
      </c>
      <c r="CJ28" s="147">
        <f>'P&amp;L - Inputs'!CI344</f>
        <v>2736405.9473157674</v>
      </c>
      <c r="CK28" s="147">
        <f>'P&amp;L - Inputs'!CJ344</f>
        <v>3208706.9405265502</v>
      </c>
      <c r="CL28" s="147">
        <f>'P&amp;L - Inputs'!CK344</f>
        <v>3851405.5419685398</v>
      </c>
      <c r="CM28" s="147">
        <f>'P&amp;L - Inputs'!CL344</f>
        <v>3480039.6048714858</v>
      </c>
      <c r="CN28" s="147">
        <f>'P&amp;L - Inputs'!CM344</f>
        <v>3191947.0026641823</v>
      </c>
      <c r="CO28" s="147">
        <f>'P&amp;L - Inputs'!CN344</f>
        <v>2941818.3537656665</v>
      </c>
      <c r="CP28" s="147">
        <f>'P&amp;L - Inputs'!CO344</f>
        <v>3019507.9758206648</v>
      </c>
      <c r="CQ28" s="147">
        <f>'P&amp;L - Inputs'!CP344</f>
        <v>2729744.2021366805</v>
      </c>
      <c r="CR28" s="147">
        <f>'P&amp;L - Inputs'!CQ344</f>
        <v>2162436.8593592555</v>
      </c>
      <c r="CS28" s="147">
        <f>'P&amp;L - Inputs'!CR344</f>
        <v>1918814.1559296511</v>
      </c>
      <c r="CT28" s="147">
        <f>'P&amp;L - Inputs'!CS344</f>
        <v>2244993.9551624665</v>
      </c>
      <c r="CU28" s="147">
        <f>'P&amp;L - Inputs'!CT344</f>
        <v>2854249.1835747692</v>
      </c>
      <c r="CV28" s="147">
        <f>'P&amp;L - Inputs'!CU344</f>
        <v>2854249.1835747692</v>
      </c>
      <c r="CW28" s="147">
        <f>'P&amp;L - Inputs'!CV344</f>
        <v>2854249.1835747692</v>
      </c>
      <c r="CX28" s="147">
        <f>'P&amp;L - Inputs'!CW344</f>
        <v>2854249.1835747692</v>
      </c>
      <c r="CY28" s="147">
        <f>'P&amp;L - Inputs'!CX344</f>
        <v>2854249.1835747692</v>
      </c>
      <c r="CZ28" s="147">
        <f>'P&amp;L - Inputs'!CY344</f>
        <v>2854249.1835747692</v>
      </c>
      <c r="DA28" s="147">
        <f>'P&amp;L - Inputs'!CZ344</f>
        <v>2854249.1835747692</v>
      </c>
      <c r="DB28" s="147">
        <f>'P&amp;L - Inputs'!DA344</f>
        <v>2854249.1835747692</v>
      </c>
      <c r="DC28" s="147">
        <f>'P&amp;L - Inputs'!DB344</f>
        <v>2854249.1835747692</v>
      </c>
      <c r="DD28" s="147">
        <f>'P&amp;L - Inputs'!DC344</f>
        <v>2854249.1835747692</v>
      </c>
      <c r="DE28" s="147">
        <f>'P&amp;L - Inputs'!DD344</f>
        <v>2854249.1835747692</v>
      </c>
      <c r="DF28" s="147">
        <f>'P&amp;L - Inputs'!DE344</f>
        <v>2854249.1835747692</v>
      </c>
      <c r="DG28" s="147">
        <f>'P&amp;L - Inputs'!DF344</f>
        <v>3082589.118260751</v>
      </c>
      <c r="DH28" s="147">
        <f>'P&amp;L - Inputs'!DG344</f>
        <v>3082589.118260751</v>
      </c>
      <c r="DI28" s="147">
        <f>'P&amp;L - Inputs'!DH344</f>
        <v>3082589.118260751</v>
      </c>
      <c r="DJ28" s="147">
        <f>'P&amp;L - Inputs'!DI344</f>
        <v>3082589.118260751</v>
      </c>
      <c r="DK28" s="147">
        <f>'P&amp;L - Inputs'!DJ344</f>
        <v>3082589.118260751</v>
      </c>
      <c r="DL28" s="147">
        <f>'P&amp;L - Inputs'!DK344</f>
        <v>3082589.118260751</v>
      </c>
      <c r="DM28" s="147">
        <f>'P&amp;L - Inputs'!DL344</f>
        <v>3082589.118260751</v>
      </c>
      <c r="DN28" s="147">
        <f>'P&amp;L - Inputs'!DM344</f>
        <v>3082589.118260751</v>
      </c>
      <c r="DO28" s="147">
        <f>'P&amp;L - Inputs'!DN344</f>
        <v>3082589.118260751</v>
      </c>
      <c r="DP28" s="147">
        <f>'P&amp;L - Inputs'!DO344</f>
        <v>3082589.118260751</v>
      </c>
      <c r="DQ28" s="147">
        <f>'P&amp;L - Inputs'!DP344</f>
        <v>3082589.118260751</v>
      </c>
      <c r="DR28" s="147">
        <f>'P&amp;L - Inputs'!DQ344</f>
        <v>3082589.118260751</v>
      </c>
      <c r="DS28" s="147">
        <f>'P&amp;L - Inputs'!DR344</f>
        <v>3329196.2477216115</v>
      </c>
      <c r="DT28" s="147">
        <f>'P&amp;L - Inputs'!DS344</f>
        <v>3329196.2477216115</v>
      </c>
      <c r="DU28" s="147">
        <f>'P&amp;L - Inputs'!DT344</f>
        <v>3329196.2477216115</v>
      </c>
      <c r="DV28" s="147">
        <f>'P&amp;L - Inputs'!DU344</f>
        <v>3329196.2477216115</v>
      </c>
      <c r="DW28" s="147">
        <f>'P&amp;L - Inputs'!DV344</f>
        <v>3329196.2477216115</v>
      </c>
      <c r="DX28" s="147">
        <f>'P&amp;L - Inputs'!DW344</f>
        <v>3329196.2477216115</v>
      </c>
      <c r="DY28" s="147">
        <f>'P&amp;L - Inputs'!DX344</f>
        <v>3329196.2477216115</v>
      </c>
      <c r="DZ28" s="147">
        <f>'P&amp;L - Inputs'!DY344</f>
        <v>3329196.2477216115</v>
      </c>
      <c r="EA28" s="147">
        <f>'P&amp;L - Inputs'!DZ344</f>
        <v>3329196.2477216115</v>
      </c>
      <c r="EB28" s="147">
        <f>'P&amp;L - Inputs'!EA344</f>
        <v>3329196.2477216115</v>
      </c>
      <c r="EC28" s="147">
        <f>'P&amp;L - Inputs'!EB344</f>
        <v>3329196.2477216115</v>
      </c>
      <c r="ED28" s="147">
        <f>'P&amp;L - Inputs'!EC344</f>
        <v>3329196.2477216115</v>
      </c>
      <c r="EF28" s="165">
        <f t="shared" si="13"/>
        <v>7263005.9636186687</v>
      </c>
      <c r="EG28" s="165">
        <f t="shared" si="14"/>
        <v>7608514.4083191715</v>
      </c>
      <c r="EH28" s="165">
        <f t="shared" si="15"/>
        <v>8579301.8046159558</v>
      </c>
      <c r="EI28" s="165">
        <f t="shared" si="16"/>
        <v>7488414.1330381576</v>
      </c>
      <c r="EJ28" s="165">
        <f t="shared" si="17"/>
        <v>7503169.0058496799</v>
      </c>
      <c r="EK28" s="165">
        <f t="shared" si="18"/>
        <v>10523392.149504207</v>
      </c>
      <c r="EL28" s="165">
        <f t="shared" si="19"/>
        <v>7315939.3831604142</v>
      </c>
      <c r="EM28" s="165">
        <f t="shared" si="20"/>
        <v>7878580.5278315544</v>
      </c>
      <c r="EN28" s="165">
        <f t="shared" si="21"/>
        <v>8710282.5512186345</v>
      </c>
      <c r="EO28" s="165">
        <f t="shared" si="22"/>
        <v>10523392.149504207</v>
      </c>
      <c r="EP28" s="165">
        <f t="shared" si="23"/>
        <v>8691070.5317230113</v>
      </c>
      <c r="EQ28" s="165">
        <f t="shared" si="24"/>
        <v>6326244.9704513736</v>
      </c>
      <c r="ER28" s="165">
        <f t="shared" si="25"/>
        <v>8562747.5507243071</v>
      </c>
      <c r="ES28" s="165">
        <f t="shared" si="26"/>
        <v>8562747.5507243071</v>
      </c>
      <c r="ET28" s="165">
        <f t="shared" si="27"/>
        <v>8562747.5507243071</v>
      </c>
      <c r="EU28" s="165">
        <f t="shared" si="28"/>
        <v>8562747.5507243071</v>
      </c>
      <c r="EV28" s="165">
        <f t="shared" si="29"/>
        <v>9247767.3547822535</v>
      </c>
      <c r="EW28" s="165">
        <f t="shared" si="30"/>
        <v>9247767.3547822535</v>
      </c>
      <c r="EX28" s="165">
        <f t="shared" si="31"/>
        <v>9247767.3547822535</v>
      </c>
      <c r="EY28" s="165">
        <f t="shared" si="32"/>
        <v>9247767.3547822535</v>
      </c>
      <c r="EZ28" s="165">
        <f t="shared" si="33"/>
        <v>9987588.7431648336</v>
      </c>
      <c r="FA28" s="165">
        <f t="shared" si="34"/>
        <v>9987588.7431648336</v>
      </c>
      <c r="FB28" s="165">
        <f t="shared" si="35"/>
        <v>9987588.7431648336</v>
      </c>
      <c r="FC28" s="165">
        <f t="shared" si="36"/>
        <v>9987588.7431648336</v>
      </c>
      <c r="FE28" s="165">
        <f t="shared" si="37"/>
        <v>30939236.309591956</v>
      </c>
      <c r="FF28" s="165">
        <f t="shared" si="38"/>
        <v>33221081.066345856</v>
      </c>
      <c r="FG28" s="165">
        <f t="shared" si="39"/>
        <v>34250990.202897228</v>
      </c>
      <c r="FH28" s="165">
        <f t="shared" si="40"/>
        <v>34250990.202897228</v>
      </c>
      <c r="FI28" s="165">
        <f t="shared" si="41"/>
        <v>36991069.419129014</v>
      </c>
      <c r="FJ28" s="804">
        <f t="shared" si="42"/>
        <v>39950354.972659335</v>
      </c>
    </row>
    <row r="29" spans="2:166" x14ac:dyDescent="0.2">
      <c r="B29" s="25" t="s">
        <v>51</v>
      </c>
      <c r="C29" s="147">
        <f>'P&amp;L - Inputs'!B345</f>
        <v>0</v>
      </c>
      <c r="D29" s="147">
        <f>'P&amp;L - Inputs'!C345</f>
        <v>0</v>
      </c>
      <c r="E29" s="147">
        <f>'P&amp;L - Inputs'!D345</f>
        <v>0</v>
      </c>
      <c r="F29" s="147">
        <f>'P&amp;L - Inputs'!E345</f>
        <v>0</v>
      </c>
      <c r="G29" s="147">
        <f>'P&amp;L - Inputs'!F345</f>
        <v>0</v>
      </c>
      <c r="H29" s="147">
        <f>'P&amp;L - Inputs'!G345</f>
        <v>0</v>
      </c>
      <c r="I29" s="147">
        <f>'P&amp;L - Inputs'!H345</f>
        <v>0</v>
      </c>
      <c r="J29" s="147">
        <f>'P&amp;L - Inputs'!I345</f>
        <v>0</v>
      </c>
      <c r="K29" s="147">
        <f>'P&amp;L - Inputs'!J345</f>
        <v>0</v>
      </c>
      <c r="L29" s="147">
        <f>'P&amp;L - Inputs'!K345</f>
        <v>0</v>
      </c>
      <c r="M29" s="147">
        <f>'P&amp;L - Inputs'!L345</f>
        <v>0</v>
      </c>
      <c r="N29" s="147">
        <f>'P&amp;L - Inputs'!M345</f>
        <v>0</v>
      </c>
      <c r="O29" s="147">
        <f>'P&amp;L - Inputs'!N345</f>
        <v>0</v>
      </c>
      <c r="P29" s="147">
        <f>'P&amp;L - Inputs'!O345</f>
        <v>0</v>
      </c>
      <c r="Q29" s="147">
        <f>'P&amp;L - Inputs'!P345</f>
        <v>0</v>
      </c>
      <c r="R29" s="147">
        <f>'P&amp;L - Inputs'!Q345</f>
        <v>0</v>
      </c>
      <c r="S29" s="147">
        <f>'P&amp;L - Inputs'!R345</f>
        <v>0</v>
      </c>
      <c r="T29" s="147">
        <f>'P&amp;L - Inputs'!S345</f>
        <v>0</v>
      </c>
      <c r="U29" s="147">
        <f>'P&amp;L - Inputs'!T345</f>
        <v>0</v>
      </c>
      <c r="V29" s="147">
        <f>'P&amp;L - Inputs'!U345</f>
        <v>0</v>
      </c>
      <c r="W29" s="147">
        <f>'P&amp;L - Inputs'!V345</f>
        <v>0</v>
      </c>
      <c r="X29" s="147">
        <f>'P&amp;L - Inputs'!W345</f>
        <v>0</v>
      </c>
      <c r="Y29" s="147">
        <f>'P&amp;L - Inputs'!X345</f>
        <v>0</v>
      </c>
      <c r="Z29" s="147">
        <f>'P&amp;L - Inputs'!Y345</f>
        <v>0</v>
      </c>
      <c r="AA29" s="147">
        <f>'P&amp;L - Inputs'!Z345</f>
        <v>0</v>
      </c>
      <c r="AB29" s="147">
        <f>'P&amp;L - Inputs'!AA345</f>
        <v>0</v>
      </c>
      <c r="AC29" s="147">
        <f>'P&amp;L - Inputs'!AB345</f>
        <v>0</v>
      </c>
      <c r="AD29" s="147">
        <f>'P&amp;L - Inputs'!AC345</f>
        <v>0</v>
      </c>
      <c r="AE29" s="147">
        <f>'P&amp;L - Inputs'!AD345</f>
        <v>0</v>
      </c>
      <c r="AF29" s="147">
        <f>'P&amp;L - Inputs'!AE345</f>
        <v>0</v>
      </c>
      <c r="AG29" s="147">
        <f>'P&amp;L - Inputs'!AF345</f>
        <v>0</v>
      </c>
      <c r="AH29" s="147">
        <f>'P&amp;L - Inputs'!AG345</f>
        <v>0</v>
      </c>
      <c r="AI29" s="147">
        <f>'P&amp;L - Inputs'!AH345</f>
        <v>0</v>
      </c>
      <c r="AJ29" s="147">
        <f>'P&amp;L - Inputs'!AI345</f>
        <v>0</v>
      </c>
      <c r="AK29" s="147">
        <f>'P&amp;L - Inputs'!AJ345</f>
        <v>0</v>
      </c>
      <c r="AL29" s="147">
        <f>'P&amp;L - Inputs'!AK345</f>
        <v>0</v>
      </c>
      <c r="AM29" s="147">
        <f>'P&amp;L - Inputs'!AL345</f>
        <v>0</v>
      </c>
      <c r="AN29" s="147">
        <f>'P&amp;L - Inputs'!AM345</f>
        <v>0</v>
      </c>
      <c r="AO29" s="147">
        <f>'P&amp;L - Inputs'!AN345</f>
        <v>0</v>
      </c>
      <c r="AP29" s="147">
        <f>'P&amp;L - Inputs'!AO345</f>
        <v>0</v>
      </c>
      <c r="AQ29" s="147">
        <f>'P&amp;L - Inputs'!AP345</f>
        <v>0</v>
      </c>
      <c r="AR29" s="147">
        <f>'P&amp;L - Inputs'!AQ345</f>
        <v>0</v>
      </c>
      <c r="AS29" s="147">
        <f>'P&amp;L - Inputs'!AR345</f>
        <v>0</v>
      </c>
      <c r="AT29" s="147">
        <f>'P&amp;L - Inputs'!AS345</f>
        <v>0</v>
      </c>
      <c r="AU29" s="147">
        <f>'P&amp;L - Inputs'!AT345</f>
        <v>0</v>
      </c>
      <c r="AV29" s="147">
        <f>'P&amp;L - Inputs'!AU345</f>
        <v>0</v>
      </c>
      <c r="AW29" s="147">
        <f>'P&amp;L - Inputs'!AV345</f>
        <v>0</v>
      </c>
      <c r="AX29" s="147">
        <f>'P&amp;L - Inputs'!AW345</f>
        <v>0</v>
      </c>
      <c r="AY29" s="147">
        <f>'P&amp;L - Inputs'!AX345</f>
        <v>0</v>
      </c>
      <c r="AZ29" s="147">
        <f>'P&amp;L - Inputs'!AY345</f>
        <v>0</v>
      </c>
      <c r="BA29" s="147">
        <f>'P&amp;L - Inputs'!AZ345</f>
        <v>0</v>
      </c>
      <c r="BB29" s="147">
        <f>'P&amp;L - Inputs'!BA345</f>
        <v>0</v>
      </c>
      <c r="BC29" s="147">
        <f>'P&amp;L - Inputs'!BB345</f>
        <v>0</v>
      </c>
      <c r="BD29" s="147">
        <f>'P&amp;L - Inputs'!BC345</f>
        <v>483043</v>
      </c>
      <c r="BE29" s="147">
        <f>'P&amp;L - Inputs'!BD345</f>
        <v>338228</v>
      </c>
      <c r="BF29" s="147">
        <f>'P&amp;L - Inputs'!BE345</f>
        <v>378711</v>
      </c>
      <c r="BG29" s="147">
        <f>'P&amp;L - Inputs'!BF345</f>
        <v>256463</v>
      </c>
      <c r="BH29" s="147">
        <f>'P&amp;L - Inputs'!BG345</f>
        <v>22381.5</v>
      </c>
      <c r="BI29" s="147">
        <f>'P&amp;L - Inputs'!BH345</f>
        <v>29240.5</v>
      </c>
      <c r="BJ29" s="147">
        <f>'P&amp;L - Inputs'!BI345</f>
        <v>40589</v>
      </c>
      <c r="BK29" s="147">
        <f>'P&amp;L - Inputs'!BJ345</f>
        <v>20732</v>
      </c>
      <c r="BL29" s="147">
        <f>'P&amp;L - Inputs'!BK345</f>
        <v>14065</v>
      </c>
      <c r="BM29" s="147">
        <f>'P&amp;L - Inputs'!BL345</f>
        <v>225456</v>
      </c>
      <c r="BN29" s="147">
        <f>'P&amp;L - Inputs'!BM345</f>
        <v>40724</v>
      </c>
      <c r="BO29" s="147">
        <f>'P&amp;L - Inputs'!BN345</f>
        <v>116775</v>
      </c>
      <c r="BP29" s="147">
        <f>'P&amp;L - Inputs'!BO345</f>
        <v>121620</v>
      </c>
      <c r="BQ29" s="147">
        <f>'P&amp;L - Inputs'!BP345</f>
        <v>121620</v>
      </c>
      <c r="BR29" s="147">
        <f>'P&amp;L - Inputs'!BQ345</f>
        <v>50147</v>
      </c>
      <c r="BS29" s="147">
        <f>'P&amp;L - Inputs'!BR345</f>
        <v>115505</v>
      </c>
      <c r="BT29" s="147">
        <f>'P&amp;L - Inputs'!BS345</f>
        <v>14982</v>
      </c>
      <c r="BU29" s="147">
        <f>'P&amp;L - Inputs'!BT345</f>
        <v>88749</v>
      </c>
      <c r="BV29" s="147">
        <f>'P&amp;L - Inputs'!BU345</f>
        <v>33550</v>
      </c>
      <c r="BW29" s="147">
        <f>'P&amp;L - Inputs'!BV345</f>
        <v>111230</v>
      </c>
      <c r="BX29" s="147">
        <f>'P&amp;L - Inputs'!BW345</f>
        <v>129360</v>
      </c>
      <c r="BY29" s="147">
        <f>'P&amp;L - Inputs'!BX345</f>
        <v>129360</v>
      </c>
      <c r="BZ29" s="147">
        <f>'P&amp;L - Inputs'!BY345</f>
        <v>59350</v>
      </c>
      <c r="CA29" s="147">
        <f>'P&amp;L - Inputs'!BZ345</f>
        <v>241874</v>
      </c>
      <c r="CB29" s="147">
        <f>'P&amp;L - Inputs'!CA345</f>
        <v>99027</v>
      </c>
      <c r="CC29" s="147">
        <f>'P&amp;L - Inputs'!CB345</f>
        <v>112430</v>
      </c>
      <c r="CD29" s="147">
        <f>'P&amp;L - Inputs'!CC345</f>
        <v>174062</v>
      </c>
      <c r="CE29" s="147">
        <f>'P&amp;L - Inputs'!CD345</f>
        <v>62845</v>
      </c>
      <c r="CF29" s="147">
        <f>'P&amp;L - Inputs'!CE345</f>
        <v>170336</v>
      </c>
      <c r="CG29" s="147">
        <f>'P&amp;L - Inputs'!CF345</f>
        <v>91015</v>
      </c>
      <c r="CH29" s="147">
        <f>'P&amp;L - Inputs'!CG345</f>
        <v>614892</v>
      </c>
      <c r="CI29" s="147">
        <f>'P&amp;L - Inputs'!CH345</f>
        <v>238279.2</v>
      </c>
      <c r="CJ29" s="147">
        <f>'P&amp;L - Inputs'!CI345</f>
        <v>500290.8</v>
      </c>
      <c r="CK29" s="147">
        <f>'P&amp;L - Inputs'!CJ345</f>
        <v>303079</v>
      </c>
      <c r="CL29" s="147">
        <f>'P&amp;L - Inputs'!CK345</f>
        <v>107178</v>
      </c>
      <c r="CM29" s="147">
        <f>'P&amp;L - Inputs'!CL345</f>
        <v>162704</v>
      </c>
      <c r="CN29" s="147">
        <f>'P&amp;L - Inputs'!CM345</f>
        <v>288155.73</v>
      </c>
      <c r="CO29" s="147">
        <f>'P&amp;L - Inputs'!CN345</f>
        <v>223502.78</v>
      </c>
      <c r="CP29" s="147">
        <f>'P&amp;L - Inputs'!CO345</f>
        <v>262105.86</v>
      </c>
      <c r="CQ29" s="147">
        <f>'P&amp;L - Inputs'!CP345</f>
        <v>48072.800000000003</v>
      </c>
      <c r="CR29" s="147">
        <f>'P&amp;L - Inputs'!CQ345</f>
        <v>240153</v>
      </c>
      <c r="CS29" s="147">
        <f>'P&amp;L - Inputs'!CR345</f>
        <v>559203.5</v>
      </c>
      <c r="CT29" s="147">
        <f>'P&amp;L - Inputs'!CS345</f>
        <v>390825</v>
      </c>
      <c r="CU29" s="147">
        <f>'P&amp;L - Inputs'!CT345</f>
        <v>429907.50000000006</v>
      </c>
      <c r="CV29" s="147">
        <f>'P&amp;L - Inputs'!CU345</f>
        <v>429907.50000000006</v>
      </c>
      <c r="CW29" s="147">
        <f>'P&amp;L - Inputs'!CV345</f>
        <v>429907.50000000006</v>
      </c>
      <c r="CX29" s="147">
        <f>'P&amp;L - Inputs'!CW345</f>
        <v>429907.50000000006</v>
      </c>
      <c r="CY29" s="147">
        <f>'P&amp;L - Inputs'!CX345</f>
        <v>429907.50000000006</v>
      </c>
      <c r="CZ29" s="147">
        <f>'P&amp;L - Inputs'!CY345</f>
        <v>429907.50000000006</v>
      </c>
      <c r="DA29" s="147">
        <f>'P&amp;L - Inputs'!CZ345</f>
        <v>429907.50000000006</v>
      </c>
      <c r="DB29" s="147">
        <f>'P&amp;L - Inputs'!DA345</f>
        <v>429907.50000000006</v>
      </c>
      <c r="DC29" s="147">
        <f>'P&amp;L - Inputs'!DB345</f>
        <v>429907.50000000006</v>
      </c>
      <c r="DD29" s="147">
        <f>'P&amp;L - Inputs'!DC345</f>
        <v>429907.50000000006</v>
      </c>
      <c r="DE29" s="147">
        <f>'P&amp;L - Inputs'!DD345</f>
        <v>429907.50000000006</v>
      </c>
      <c r="DF29" s="147">
        <f>'P&amp;L - Inputs'!DE345</f>
        <v>429907.50000000006</v>
      </c>
      <c r="DG29" s="147">
        <f>'P&amp;L - Inputs'!DF345</f>
        <v>451402.87500000006</v>
      </c>
      <c r="DH29" s="147">
        <f>'P&amp;L - Inputs'!DG345</f>
        <v>451402.87500000006</v>
      </c>
      <c r="DI29" s="147">
        <f>'P&amp;L - Inputs'!DH345</f>
        <v>451402.87500000006</v>
      </c>
      <c r="DJ29" s="147">
        <f>'P&amp;L - Inputs'!DI345</f>
        <v>451402.87500000006</v>
      </c>
      <c r="DK29" s="147">
        <f>'P&amp;L - Inputs'!DJ345</f>
        <v>451402.87500000006</v>
      </c>
      <c r="DL29" s="147">
        <f>'P&amp;L - Inputs'!DK345</f>
        <v>451402.87500000006</v>
      </c>
      <c r="DM29" s="147">
        <f>'P&amp;L - Inputs'!DL345</f>
        <v>451402.87500000006</v>
      </c>
      <c r="DN29" s="147">
        <f>'P&amp;L - Inputs'!DM345</f>
        <v>451402.87500000006</v>
      </c>
      <c r="DO29" s="147">
        <f>'P&amp;L - Inputs'!DN345</f>
        <v>451402.87500000006</v>
      </c>
      <c r="DP29" s="147">
        <f>'P&amp;L - Inputs'!DO345</f>
        <v>451402.87500000006</v>
      </c>
      <c r="DQ29" s="147">
        <f>'P&amp;L - Inputs'!DP345</f>
        <v>451402.87500000006</v>
      </c>
      <c r="DR29" s="147">
        <f>'P&amp;L - Inputs'!DQ345</f>
        <v>451402.87500000006</v>
      </c>
      <c r="DS29" s="147">
        <f>'P&amp;L - Inputs'!DR345</f>
        <v>473973.0187500001</v>
      </c>
      <c r="DT29" s="147">
        <f>'P&amp;L - Inputs'!DS345</f>
        <v>473973.0187500001</v>
      </c>
      <c r="DU29" s="147">
        <f>'P&amp;L - Inputs'!DT345</f>
        <v>473973.0187500001</v>
      </c>
      <c r="DV29" s="147">
        <f>'P&amp;L - Inputs'!DU345</f>
        <v>473973.0187500001</v>
      </c>
      <c r="DW29" s="147">
        <f>'P&amp;L - Inputs'!DV345</f>
        <v>473973.0187500001</v>
      </c>
      <c r="DX29" s="147">
        <f>'P&amp;L - Inputs'!DW345</f>
        <v>473973.0187500001</v>
      </c>
      <c r="DY29" s="147">
        <f>'P&amp;L - Inputs'!DX345</f>
        <v>473973.0187500001</v>
      </c>
      <c r="DZ29" s="147">
        <f>'P&amp;L - Inputs'!DY345</f>
        <v>473973.0187500001</v>
      </c>
      <c r="EA29" s="147">
        <f>'P&amp;L - Inputs'!DZ345</f>
        <v>473973.0187500001</v>
      </c>
      <c r="EB29" s="147">
        <f>'P&amp;L - Inputs'!EA345</f>
        <v>473973.0187500001</v>
      </c>
      <c r="EC29" s="147">
        <f>'P&amp;L - Inputs'!EB345</f>
        <v>473973.0187500001</v>
      </c>
      <c r="ED29" s="147">
        <f>'P&amp;L - Inputs'!EC345</f>
        <v>473973.0187500001</v>
      </c>
      <c r="EF29" s="165">
        <f t="shared" si="13"/>
        <v>260253</v>
      </c>
      <c r="EG29" s="165">
        <f t="shared" si="14"/>
        <v>279119</v>
      </c>
      <c r="EH29" s="165">
        <f t="shared" si="15"/>
        <v>287272</v>
      </c>
      <c r="EI29" s="165">
        <f t="shared" si="16"/>
        <v>137281</v>
      </c>
      <c r="EJ29" s="165">
        <f t="shared" si="17"/>
        <v>369950</v>
      </c>
      <c r="EK29" s="165">
        <f t="shared" si="18"/>
        <v>558037.73</v>
      </c>
      <c r="EL29" s="165">
        <f t="shared" si="19"/>
        <v>349337</v>
      </c>
      <c r="EM29" s="165">
        <f t="shared" si="20"/>
        <v>876243</v>
      </c>
      <c r="EN29" s="165">
        <f t="shared" si="21"/>
        <v>1041649</v>
      </c>
      <c r="EO29" s="165">
        <f t="shared" si="22"/>
        <v>558037.73</v>
      </c>
      <c r="EP29" s="165">
        <f t="shared" si="23"/>
        <v>533681.44000000006</v>
      </c>
      <c r="EQ29" s="165">
        <f t="shared" si="24"/>
        <v>1190181.5</v>
      </c>
      <c r="ER29" s="165">
        <f t="shared" si="25"/>
        <v>1289722.5000000002</v>
      </c>
      <c r="ES29" s="165">
        <f t="shared" si="26"/>
        <v>1289722.5000000002</v>
      </c>
      <c r="ET29" s="165">
        <f t="shared" si="27"/>
        <v>1289722.5000000002</v>
      </c>
      <c r="EU29" s="165">
        <f t="shared" si="28"/>
        <v>1289722.5000000002</v>
      </c>
      <c r="EV29" s="165">
        <f t="shared" si="29"/>
        <v>1354208.6250000002</v>
      </c>
      <c r="EW29" s="165">
        <f t="shared" si="30"/>
        <v>1354208.6250000002</v>
      </c>
      <c r="EX29" s="165">
        <f t="shared" si="31"/>
        <v>1354208.6250000002</v>
      </c>
      <c r="EY29" s="165">
        <f t="shared" si="32"/>
        <v>1354208.6250000002</v>
      </c>
      <c r="EZ29" s="165">
        <f t="shared" si="33"/>
        <v>1421919.0562500004</v>
      </c>
      <c r="FA29" s="165">
        <f t="shared" si="34"/>
        <v>1421919.0562500004</v>
      </c>
      <c r="FB29" s="165">
        <f t="shared" si="35"/>
        <v>1421919.0562500004</v>
      </c>
      <c r="FC29" s="165">
        <f t="shared" si="36"/>
        <v>1421919.0562500004</v>
      </c>
      <c r="FE29" s="165">
        <f t="shared" si="37"/>
        <v>963925</v>
      </c>
      <c r="FF29" s="165">
        <f t="shared" si="38"/>
        <v>2153567.73</v>
      </c>
      <c r="FG29" s="165">
        <f t="shared" si="39"/>
        <v>3323549.67</v>
      </c>
      <c r="FH29" s="165">
        <f t="shared" si="40"/>
        <v>5158890.0000000009</v>
      </c>
      <c r="FI29" s="165">
        <f t="shared" si="41"/>
        <v>5416834.5000000009</v>
      </c>
      <c r="FJ29" s="804">
        <f t="shared" si="42"/>
        <v>5687676.2250000015</v>
      </c>
    </row>
    <row r="30" spans="2:166" x14ac:dyDescent="0.2">
      <c r="B30" s="25" t="s">
        <v>52</v>
      </c>
      <c r="C30" s="147">
        <f>'P&amp;L - Inputs'!B346</f>
        <v>0</v>
      </c>
      <c r="D30" s="147">
        <f>'P&amp;L - Inputs'!C346</f>
        <v>0</v>
      </c>
      <c r="E30" s="147">
        <f>'P&amp;L - Inputs'!D346</f>
        <v>0</v>
      </c>
      <c r="F30" s="147">
        <f>'P&amp;L - Inputs'!E346</f>
        <v>0</v>
      </c>
      <c r="G30" s="147">
        <f>'P&amp;L - Inputs'!F346</f>
        <v>0</v>
      </c>
      <c r="H30" s="147">
        <f>'P&amp;L - Inputs'!G346</f>
        <v>0</v>
      </c>
      <c r="I30" s="147">
        <f>'P&amp;L - Inputs'!H346</f>
        <v>0</v>
      </c>
      <c r="J30" s="147">
        <f>'P&amp;L - Inputs'!I346</f>
        <v>0</v>
      </c>
      <c r="K30" s="147">
        <f>'P&amp;L - Inputs'!J346</f>
        <v>0</v>
      </c>
      <c r="L30" s="147">
        <f>'P&amp;L - Inputs'!K346</f>
        <v>0</v>
      </c>
      <c r="M30" s="147">
        <f>'P&amp;L - Inputs'!L346</f>
        <v>0</v>
      </c>
      <c r="N30" s="147">
        <f>'P&amp;L - Inputs'!M346</f>
        <v>0</v>
      </c>
      <c r="O30" s="147">
        <f>'P&amp;L - Inputs'!N346</f>
        <v>0</v>
      </c>
      <c r="P30" s="147">
        <f>'P&amp;L - Inputs'!O346</f>
        <v>0</v>
      </c>
      <c r="Q30" s="147">
        <f>'P&amp;L - Inputs'!P346</f>
        <v>0</v>
      </c>
      <c r="R30" s="147">
        <f>'P&amp;L - Inputs'!Q346</f>
        <v>0</v>
      </c>
      <c r="S30" s="147">
        <f>'P&amp;L - Inputs'!R346</f>
        <v>0</v>
      </c>
      <c r="T30" s="147">
        <f>'P&amp;L - Inputs'!S346</f>
        <v>0</v>
      </c>
      <c r="U30" s="147">
        <f>'P&amp;L - Inputs'!T346</f>
        <v>0</v>
      </c>
      <c r="V30" s="147">
        <f>'P&amp;L - Inputs'!U346</f>
        <v>0</v>
      </c>
      <c r="W30" s="147">
        <f>'P&amp;L - Inputs'!V346</f>
        <v>0</v>
      </c>
      <c r="X30" s="147">
        <f>'P&amp;L - Inputs'!W346</f>
        <v>0</v>
      </c>
      <c r="Y30" s="147">
        <f>'P&amp;L - Inputs'!X346</f>
        <v>0</v>
      </c>
      <c r="Z30" s="147">
        <f>'P&amp;L - Inputs'!Y346</f>
        <v>0</v>
      </c>
      <c r="AA30" s="147">
        <f>'P&amp;L - Inputs'!Z346</f>
        <v>0</v>
      </c>
      <c r="AB30" s="147">
        <f>'P&amp;L - Inputs'!AA346</f>
        <v>0</v>
      </c>
      <c r="AC30" s="147">
        <f>'P&amp;L - Inputs'!AB346</f>
        <v>0</v>
      </c>
      <c r="AD30" s="147">
        <f>'P&amp;L - Inputs'!AC346</f>
        <v>0</v>
      </c>
      <c r="AE30" s="147">
        <f>'P&amp;L - Inputs'!AD346</f>
        <v>0</v>
      </c>
      <c r="AF30" s="147">
        <f>'P&amp;L - Inputs'!AE346</f>
        <v>0</v>
      </c>
      <c r="AG30" s="147">
        <f>'P&amp;L - Inputs'!AF346</f>
        <v>0</v>
      </c>
      <c r="AH30" s="147">
        <f>'P&amp;L - Inputs'!AG346</f>
        <v>0</v>
      </c>
      <c r="AI30" s="147">
        <f>'P&amp;L - Inputs'!AH346</f>
        <v>0</v>
      </c>
      <c r="AJ30" s="147">
        <f>'P&amp;L - Inputs'!AI346</f>
        <v>0</v>
      </c>
      <c r="AK30" s="147">
        <f>'P&amp;L - Inputs'!AJ346</f>
        <v>0</v>
      </c>
      <c r="AL30" s="147">
        <f>'P&amp;L - Inputs'!AK346</f>
        <v>0</v>
      </c>
      <c r="AM30" s="147">
        <f>'P&amp;L - Inputs'!AL346</f>
        <v>0</v>
      </c>
      <c r="AN30" s="147">
        <f>'P&amp;L - Inputs'!AM346</f>
        <v>0</v>
      </c>
      <c r="AO30" s="147">
        <f>'P&amp;L - Inputs'!AN346</f>
        <v>0</v>
      </c>
      <c r="AP30" s="147">
        <f>'P&amp;L - Inputs'!AO346</f>
        <v>0</v>
      </c>
      <c r="AQ30" s="147">
        <f>'P&amp;L - Inputs'!AP346</f>
        <v>0</v>
      </c>
      <c r="AR30" s="147">
        <f>'P&amp;L - Inputs'!AQ346</f>
        <v>0</v>
      </c>
      <c r="AS30" s="147">
        <f>'P&amp;L - Inputs'!AR346</f>
        <v>0</v>
      </c>
      <c r="AT30" s="147">
        <f>'P&amp;L - Inputs'!AS346</f>
        <v>0</v>
      </c>
      <c r="AU30" s="147">
        <f>'P&amp;L - Inputs'!AT346</f>
        <v>0</v>
      </c>
      <c r="AV30" s="147">
        <f>'P&amp;L - Inputs'!AU346</f>
        <v>0</v>
      </c>
      <c r="AW30" s="147">
        <f>'P&amp;L - Inputs'!AV346</f>
        <v>0</v>
      </c>
      <c r="AX30" s="147">
        <f>'P&amp;L - Inputs'!AW346</f>
        <v>0</v>
      </c>
      <c r="AY30" s="147">
        <f>'P&amp;L - Inputs'!AX346</f>
        <v>0</v>
      </c>
      <c r="AZ30" s="147">
        <f>'P&amp;L - Inputs'!AY346</f>
        <v>0</v>
      </c>
      <c r="BA30" s="147">
        <f>'P&amp;L - Inputs'!AZ346</f>
        <v>0</v>
      </c>
      <c r="BB30" s="147">
        <f>'P&amp;L - Inputs'!BA346</f>
        <v>0</v>
      </c>
      <c r="BC30" s="147">
        <f>'P&amp;L - Inputs'!BB346</f>
        <v>0</v>
      </c>
      <c r="BD30" s="147">
        <f>'P&amp;L - Inputs'!BC346</f>
        <v>0</v>
      </c>
      <c r="BE30" s="147">
        <f>'P&amp;L - Inputs'!BD346</f>
        <v>0</v>
      </c>
      <c r="BF30" s="147">
        <f>'P&amp;L - Inputs'!BE346</f>
        <v>0</v>
      </c>
      <c r="BG30" s="147">
        <f>'P&amp;L - Inputs'!BF346</f>
        <v>0</v>
      </c>
      <c r="BH30" s="147">
        <f>'P&amp;L - Inputs'!BG346</f>
        <v>0</v>
      </c>
      <c r="BI30" s="147">
        <f>'P&amp;L - Inputs'!BH346</f>
        <v>0</v>
      </c>
      <c r="BJ30" s="147">
        <f>'P&amp;L - Inputs'!BI346</f>
        <v>0</v>
      </c>
      <c r="BK30" s="147">
        <f>'P&amp;L - Inputs'!BJ346</f>
        <v>0</v>
      </c>
      <c r="BL30" s="147">
        <f>'P&amp;L - Inputs'!BK346</f>
        <v>0</v>
      </c>
      <c r="BM30" s="147">
        <f>'P&amp;L - Inputs'!BL346</f>
        <v>0</v>
      </c>
      <c r="BN30" s="147">
        <f>'P&amp;L - Inputs'!BM346</f>
        <v>0</v>
      </c>
      <c r="BO30" s="147">
        <f>'P&amp;L - Inputs'!BN346</f>
        <v>0</v>
      </c>
      <c r="BP30" s="147">
        <f>'P&amp;L - Inputs'!BO346</f>
        <v>0</v>
      </c>
      <c r="BQ30" s="147">
        <f>'P&amp;L - Inputs'!BP346</f>
        <v>0</v>
      </c>
      <c r="BR30" s="147">
        <f>'P&amp;L - Inputs'!BQ346</f>
        <v>0</v>
      </c>
      <c r="BS30" s="147">
        <f>'P&amp;L - Inputs'!BR346</f>
        <v>0</v>
      </c>
      <c r="BT30" s="147">
        <f>'P&amp;L - Inputs'!BS346</f>
        <v>0</v>
      </c>
      <c r="BU30" s="147">
        <f>'P&amp;L - Inputs'!BT346</f>
        <v>0</v>
      </c>
      <c r="BV30" s="147">
        <f>'P&amp;L - Inputs'!BU346</f>
        <v>0</v>
      </c>
      <c r="BW30" s="147">
        <f>'P&amp;L - Inputs'!BV346</f>
        <v>0</v>
      </c>
      <c r="BX30" s="147">
        <f>'P&amp;L - Inputs'!BW346</f>
        <v>0</v>
      </c>
      <c r="BY30" s="147">
        <f>'P&amp;L - Inputs'!BX346</f>
        <v>0</v>
      </c>
      <c r="BZ30" s="147">
        <f>'P&amp;L - Inputs'!BY346</f>
        <v>0</v>
      </c>
      <c r="CA30" s="147">
        <f>'P&amp;L - Inputs'!BZ346</f>
        <v>266232.91000000003</v>
      </c>
      <c r="CB30" s="147">
        <f>'P&amp;L - Inputs'!CA346</f>
        <v>8825</v>
      </c>
      <c r="CC30" s="147">
        <f>'P&amp;L - Inputs'!CB346</f>
        <v>4231.42</v>
      </c>
      <c r="CD30" s="147">
        <f>'P&amp;L - Inputs'!CC346</f>
        <v>15035.5</v>
      </c>
      <c r="CE30" s="147">
        <f>'P&amp;L - Inputs'!CD346</f>
        <v>110028.12</v>
      </c>
      <c r="CF30" s="147">
        <f>'P&amp;L - Inputs'!CE346</f>
        <v>60325</v>
      </c>
      <c r="CG30" s="147">
        <f>'P&amp;L - Inputs'!CF346</f>
        <v>58487.869999999995</v>
      </c>
      <c r="CH30" s="147">
        <f>'P&amp;L - Inputs'!CG346</f>
        <v>1066016</v>
      </c>
      <c r="CI30" s="147">
        <f>'P&amp;L - Inputs'!CH346</f>
        <v>31557</v>
      </c>
      <c r="CJ30" s="147">
        <f>'P&amp;L - Inputs'!CI346</f>
        <v>8551</v>
      </c>
      <c r="CK30" s="147">
        <f>'P&amp;L - Inputs'!CJ346</f>
        <v>58319</v>
      </c>
      <c r="CL30" s="147">
        <f>'P&amp;L - Inputs'!CK346</f>
        <v>278345</v>
      </c>
      <c r="CM30" s="147">
        <f>'P&amp;L - Inputs'!CL346</f>
        <v>0</v>
      </c>
      <c r="CN30" s="147">
        <f>'P&amp;L - Inputs'!CM346</f>
        <v>43982</v>
      </c>
      <c r="CO30" s="147">
        <f>'P&amp;L - Inputs'!CN346</f>
        <v>0</v>
      </c>
      <c r="CP30" s="147">
        <f>'P&amp;L - Inputs'!CO346</f>
        <v>2833</v>
      </c>
      <c r="CQ30" s="147">
        <f>'P&amp;L - Inputs'!CP346</f>
        <v>20000</v>
      </c>
      <c r="CR30" s="147">
        <f>'P&amp;L - Inputs'!CQ346</f>
        <v>226934</v>
      </c>
      <c r="CS30" s="147">
        <f>'P&amp;L - Inputs'!CR346</f>
        <v>0</v>
      </c>
      <c r="CT30" s="147">
        <f>'P&amp;L - Inputs'!CS346</f>
        <v>6195</v>
      </c>
      <c r="CU30" s="147">
        <f>'P&amp;L - Inputs'!CT346</f>
        <v>0</v>
      </c>
      <c r="CV30" s="147">
        <f>'P&amp;L - Inputs'!CU346</f>
        <v>0</v>
      </c>
      <c r="CW30" s="147">
        <f>'P&amp;L - Inputs'!CV346</f>
        <v>0</v>
      </c>
      <c r="CX30" s="147">
        <f>'P&amp;L - Inputs'!CW346</f>
        <v>0</v>
      </c>
      <c r="CY30" s="147">
        <f>'P&amp;L - Inputs'!CX346</f>
        <v>0</v>
      </c>
      <c r="CZ30" s="147">
        <f>'P&amp;L - Inputs'!CY346</f>
        <v>0</v>
      </c>
      <c r="DA30" s="147">
        <f>'P&amp;L - Inputs'!CZ346</f>
        <v>0</v>
      </c>
      <c r="DB30" s="147">
        <f>'P&amp;L - Inputs'!DA346</f>
        <v>0</v>
      </c>
      <c r="DC30" s="147">
        <f>'P&amp;L - Inputs'!DB346</f>
        <v>0</v>
      </c>
      <c r="DD30" s="147">
        <f>'P&amp;L - Inputs'!DC346</f>
        <v>0</v>
      </c>
      <c r="DE30" s="147">
        <f>'P&amp;L - Inputs'!DD346</f>
        <v>0</v>
      </c>
      <c r="DF30" s="147">
        <f>'P&amp;L - Inputs'!DE346</f>
        <v>0</v>
      </c>
      <c r="DG30" s="147">
        <f>'P&amp;L - Inputs'!DF346</f>
        <v>0</v>
      </c>
      <c r="DH30" s="147">
        <f>'P&amp;L - Inputs'!DG346</f>
        <v>0</v>
      </c>
      <c r="DI30" s="147">
        <f>'P&amp;L - Inputs'!DH346</f>
        <v>0</v>
      </c>
      <c r="DJ30" s="147">
        <f>'P&amp;L - Inputs'!DI346</f>
        <v>0</v>
      </c>
      <c r="DK30" s="147">
        <f>'P&amp;L - Inputs'!DJ346</f>
        <v>0</v>
      </c>
      <c r="DL30" s="147">
        <f>'P&amp;L - Inputs'!DK346</f>
        <v>0</v>
      </c>
      <c r="DM30" s="147">
        <f>'P&amp;L - Inputs'!DL346</f>
        <v>0</v>
      </c>
      <c r="DN30" s="147">
        <f>'P&amp;L - Inputs'!DM346</f>
        <v>0</v>
      </c>
      <c r="DO30" s="147">
        <f>'P&amp;L - Inputs'!DN346</f>
        <v>0</v>
      </c>
      <c r="DP30" s="147">
        <f>'P&amp;L - Inputs'!DO346</f>
        <v>0</v>
      </c>
      <c r="DQ30" s="147">
        <f>'P&amp;L - Inputs'!DP346</f>
        <v>0</v>
      </c>
      <c r="DR30" s="147">
        <f>'P&amp;L - Inputs'!DQ346</f>
        <v>0</v>
      </c>
      <c r="DS30" s="147">
        <f>'P&amp;L - Inputs'!DR346</f>
        <v>0</v>
      </c>
      <c r="DT30" s="147">
        <f>'P&amp;L - Inputs'!DS346</f>
        <v>0</v>
      </c>
      <c r="DU30" s="147">
        <f>'P&amp;L - Inputs'!DT346</f>
        <v>0</v>
      </c>
      <c r="DV30" s="147">
        <f>'P&amp;L - Inputs'!DU346</f>
        <v>0</v>
      </c>
      <c r="DW30" s="147">
        <f>'P&amp;L - Inputs'!DV346</f>
        <v>0</v>
      </c>
      <c r="DX30" s="147">
        <f>'P&amp;L - Inputs'!DW346</f>
        <v>0</v>
      </c>
      <c r="DY30" s="147">
        <f>'P&amp;L - Inputs'!DX346</f>
        <v>0</v>
      </c>
      <c r="DZ30" s="147">
        <f>'P&amp;L - Inputs'!DY346</f>
        <v>0</v>
      </c>
      <c r="EA30" s="147">
        <f>'P&amp;L - Inputs'!DZ346</f>
        <v>0</v>
      </c>
      <c r="EB30" s="147">
        <f>'P&amp;L - Inputs'!EA346</f>
        <v>0</v>
      </c>
      <c r="EC30" s="147">
        <f>'P&amp;L - Inputs'!EB346</f>
        <v>0</v>
      </c>
      <c r="ED30" s="147">
        <f>'P&amp;L - Inputs'!EC346</f>
        <v>0</v>
      </c>
      <c r="EF30" s="165">
        <f t="shared" si="13"/>
        <v>0</v>
      </c>
      <c r="EG30" s="165">
        <f t="shared" si="14"/>
        <v>0</v>
      </c>
      <c r="EH30" s="165">
        <f t="shared" si="15"/>
        <v>0</v>
      </c>
      <c r="EI30" s="165">
        <f t="shared" si="16"/>
        <v>0</v>
      </c>
      <c r="EJ30" s="165">
        <f t="shared" si="17"/>
        <v>0</v>
      </c>
      <c r="EK30" s="165">
        <f t="shared" si="18"/>
        <v>322327</v>
      </c>
      <c r="EL30" s="165">
        <f t="shared" si="19"/>
        <v>129295.03999999999</v>
      </c>
      <c r="EM30" s="165">
        <f t="shared" si="20"/>
        <v>1184828.8700000001</v>
      </c>
      <c r="EN30" s="165">
        <f t="shared" si="21"/>
        <v>98427</v>
      </c>
      <c r="EO30" s="165">
        <f t="shared" si="22"/>
        <v>322327</v>
      </c>
      <c r="EP30" s="165">
        <f t="shared" si="23"/>
        <v>22833</v>
      </c>
      <c r="EQ30" s="165">
        <f t="shared" si="24"/>
        <v>233129</v>
      </c>
      <c r="ER30" s="165">
        <f t="shared" si="25"/>
        <v>0</v>
      </c>
      <c r="ES30" s="165">
        <f t="shared" si="26"/>
        <v>0</v>
      </c>
      <c r="ET30" s="165">
        <f t="shared" si="27"/>
        <v>0</v>
      </c>
      <c r="EU30" s="165">
        <f t="shared" si="28"/>
        <v>0</v>
      </c>
      <c r="EV30" s="165">
        <f t="shared" si="29"/>
        <v>0</v>
      </c>
      <c r="EW30" s="165">
        <f t="shared" si="30"/>
        <v>0</v>
      </c>
      <c r="EX30" s="165">
        <f t="shared" si="31"/>
        <v>0</v>
      </c>
      <c r="EY30" s="165">
        <f t="shared" si="32"/>
        <v>0</v>
      </c>
      <c r="EZ30" s="165">
        <f t="shared" si="33"/>
        <v>0</v>
      </c>
      <c r="FA30" s="165">
        <f t="shared" si="34"/>
        <v>0</v>
      </c>
      <c r="FB30" s="165">
        <f t="shared" si="35"/>
        <v>0</v>
      </c>
      <c r="FC30" s="165">
        <f t="shared" si="36"/>
        <v>0</v>
      </c>
      <c r="FE30" s="165">
        <f t="shared" si="37"/>
        <v>0</v>
      </c>
      <c r="FF30" s="165">
        <f t="shared" si="38"/>
        <v>1636450.9100000001</v>
      </c>
      <c r="FG30" s="165">
        <f t="shared" si="39"/>
        <v>676716</v>
      </c>
      <c r="FH30" s="165">
        <f t="shared" si="40"/>
        <v>0</v>
      </c>
      <c r="FI30" s="165">
        <f t="shared" si="41"/>
        <v>0</v>
      </c>
      <c r="FJ30" s="804">
        <f t="shared" si="42"/>
        <v>0</v>
      </c>
    </row>
    <row r="31" spans="2:166" x14ac:dyDescent="0.2">
      <c r="B31" s="22" t="s">
        <v>53</v>
      </c>
      <c r="C31" s="141">
        <f>C26/C9</f>
        <v>0.24916208599424627</v>
      </c>
      <c r="D31" s="141">
        <f t="shared" ref="D31:BO31" si="155">D26/D9</f>
        <v>0.18477458938659763</v>
      </c>
      <c r="E31" s="141">
        <f t="shared" si="155"/>
        <v>0.19294219884545361</v>
      </c>
      <c r="F31" s="141">
        <f t="shared" si="155"/>
        <v>0.25320831129244842</v>
      </c>
      <c r="G31" s="141">
        <f t="shared" si="155"/>
        <v>0.40536061173503202</v>
      </c>
      <c r="H31" s="141">
        <f t="shared" si="155"/>
        <v>0.54839044161030959</v>
      </c>
      <c r="I31" s="141">
        <f t="shared" si="155"/>
        <v>0.45670647988758262</v>
      </c>
      <c r="J31" s="141">
        <f t="shared" si="155"/>
        <v>0.45481793193548897</v>
      </c>
      <c r="K31" s="141">
        <f t="shared" si="155"/>
        <v>0.34104051638060595</v>
      </c>
      <c r="L31" s="141">
        <f t="shared" si="155"/>
        <v>0.27006178659707969</v>
      </c>
      <c r="M31" s="141">
        <f t="shared" si="155"/>
        <v>0.3314269642169182</v>
      </c>
      <c r="N31" s="141">
        <f t="shared" si="155"/>
        <v>0.44019488835062109</v>
      </c>
      <c r="O31" s="141">
        <f t="shared" si="155"/>
        <v>0.36182396247197574</v>
      </c>
      <c r="P31" s="141">
        <f t="shared" si="155"/>
        <v>0.32300328612267254</v>
      </c>
      <c r="Q31" s="141">
        <f t="shared" si="155"/>
        <v>0.32681830634772813</v>
      </c>
      <c r="R31" s="141">
        <f t="shared" si="155"/>
        <v>0.34031052641361864</v>
      </c>
      <c r="S31" s="141">
        <f t="shared" si="155"/>
        <v>0.26226208280579416</v>
      </c>
      <c r="T31" s="141">
        <f t="shared" si="155"/>
        <v>0.28296942815983583</v>
      </c>
      <c r="U31" s="141">
        <f t="shared" si="155"/>
        <v>0.25598843894605444</v>
      </c>
      <c r="V31" s="141">
        <f t="shared" si="155"/>
        <v>0.33205180961989028</v>
      </c>
      <c r="W31" s="141">
        <f t="shared" si="155"/>
        <v>0.27660424240713716</v>
      </c>
      <c r="X31" s="141">
        <f t="shared" si="155"/>
        <v>0.29983192323687197</v>
      </c>
      <c r="Y31" s="141">
        <f t="shared" si="155"/>
        <v>0.27818183843266542</v>
      </c>
      <c r="Z31" s="141">
        <f t="shared" si="155"/>
        <v>0.30111900155840204</v>
      </c>
      <c r="AA31" s="141">
        <f t="shared" si="155"/>
        <v>22.132363996862594</v>
      </c>
      <c r="AB31" s="141">
        <f t="shared" si="155"/>
        <v>0.6959881226776472</v>
      </c>
      <c r="AC31" s="141">
        <f t="shared" si="155"/>
        <v>0.19845182906194694</v>
      </c>
      <c r="AD31" s="141">
        <f t="shared" si="155"/>
        <v>0.12138906043054191</v>
      </c>
      <c r="AE31" s="141">
        <f t="shared" si="155"/>
        <v>0.11641340747805944</v>
      </c>
      <c r="AF31" s="141">
        <f t="shared" si="155"/>
        <v>0.13381068887235165</v>
      </c>
      <c r="AG31" s="141">
        <f t="shared" si="155"/>
        <v>0.11290843816653054</v>
      </c>
      <c r="AH31" s="141">
        <f t="shared" si="155"/>
        <v>0.12688377047922261</v>
      </c>
      <c r="AI31" s="141">
        <f t="shared" si="155"/>
        <v>0.1604062729283976</v>
      </c>
      <c r="AJ31" s="141">
        <f t="shared" si="155"/>
        <v>0.13556038087826733</v>
      </c>
      <c r="AK31" s="141">
        <f t="shared" si="155"/>
        <v>0.14519009007463449</v>
      </c>
      <c r="AL31" s="141">
        <f t="shared" si="155"/>
        <v>0.17393948166307108</v>
      </c>
      <c r="AM31" s="141">
        <f t="shared" si="155"/>
        <v>0.21737399777515604</v>
      </c>
      <c r="AN31" s="141">
        <f t="shared" si="155"/>
        <v>0.58857556671691436</v>
      </c>
      <c r="AO31" s="141">
        <f t="shared" si="155"/>
        <v>0.2270610760949815</v>
      </c>
      <c r="AP31" s="141">
        <f t="shared" si="155"/>
        <v>0.16691002417223658</v>
      </c>
      <c r="AQ31" s="141">
        <f t="shared" si="155"/>
        <v>0.15103284356678889</v>
      </c>
      <c r="AR31" s="141">
        <f t="shared" si="155"/>
        <v>0.27696269272094531</v>
      </c>
      <c r="AS31" s="141">
        <f t="shared" si="155"/>
        <v>0.24178838261389538</v>
      </c>
      <c r="AT31" s="141">
        <f t="shared" si="155"/>
        <v>0.21589284936594094</v>
      </c>
      <c r="AU31" s="141">
        <f t="shared" si="155"/>
        <v>0.24178649829354637</v>
      </c>
      <c r="AV31" s="141">
        <f t="shared" si="155"/>
        <v>0.20886702422014519</v>
      </c>
      <c r="AW31" s="141">
        <f t="shared" si="155"/>
        <v>0.23906545824344294</v>
      </c>
      <c r="AX31" s="141">
        <f t="shared" si="155"/>
        <v>0.2173990492241184</v>
      </c>
      <c r="AY31" s="141">
        <f t="shared" si="155"/>
        <v>0.24309349330432331</v>
      </c>
      <c r="AZ31" s="141">
        <f t="shared" si="155"/>
        <v>0.28700432663311837</v>
      </c>
      <c r="BA31" s="141">
        <f t="shared" si="155"/>
        <v>0.28093112428161493</v>
      </c>
      <c r="BB31" s="141">
        <f t="shared" si="155"/>
        <v>0.2569616379683658</v>
      </c>
      <c r="BC31" s="141">
        <f t="shared" si="155"/>
        <v>0.23380218488152968</v>
      </c>
      <c r="BD31" s="141">
        <f t="shared" si="155"/>
        <v>0.2835649263534209</v>
      </c>
      <c r="BE31" s="141">
        <f t="shared" si="155"/>
        <v>0.3314236533828237</v>
      </c>
      <c r="BF31" s="141">
        <f t="shared" si="155"/>
        <v>0.28931774452824505</v>
      </c>
      <c r="BG31" s="141">
        <f t="shared" si="155"/>
        <v>0.26158070206224487</v>
      </c>
      <c r="BH31" s="141">
        <f t="shared" si="155"/>
        <v>0.20860965631504311</v>
      </c>
      <c r="BI31" s="141">
        <f t="shared" si="155"/>
        <v>0.22547261035500335</v>
      </c>
      <c r="BJ31" s="141">
        <f t="shared" si="155"/>
        <v>0.18911941730955939</v>
      </c>
      <c r="BK31" s="141">
        <f t="shared" si="155"/>
        <v>0.19784970036206825</v>
      </c>
      <c r="BL31" s="141">
        <f t="shared" si="155"/>
        <v>0.19480903225131602</v>
      </c>
      <c r="BM31" s="141">
        <f t="shared" si="155"/>
        <v>0.17743490477453727</v>
      </c>
      <c r="BN31" s="141">
        <f t="shared" si="155"/>
        <v>0.15659044167336736</v>
      </c>
      <c r="BO31" s="141">
        <f t="shared" si="155"/>
        <v>0.17209778741894735</v>
      </c>
      <c r="BP31" s="141">
        <f t="shared" ref="BP31:EM31" si="156">BP26/BP9</f>
        <v>0.18494363389721791</v>
      </c>
      <c r="BQ31" s="141">
        <f t="shared" si="156"/>
        <v>0.14399320511419317</v>
      </c>
      <c r="BR31" s="141">
        <f t="shared" si="156"/>
        <v>0.15335310335524291</v>
      </c>
      <c r="BS31" s="141">
        <f t="shared" si="156"/>
        <v>0.16760354697865579</v>
      </c>
      <c r="BT31" s="141">
        <f t="shared" si="156"/>
        <v>0.14615041582924562</v>
      </c>
      <c r="BU31" s="141">
        <f t="shared" si="156"/>
        <v>0.15480527552281176</v>
      </c>
      <c r="BV31" s="141">
        <f t="shared" si="156"/>
        <v>0.1489765107414143</v>
      </c>
      <c r="BW31" s="141">
        <f t="shared" si="156"/>
        <v>0.17096177934437204</v>
      </c>
      <c r="BX31" s="141">
        <f t="shared" si="156"/>
        <v>0.15042277851131747</v>
      </c>
      <c r="BY31" s="141">
        <f t="shared" si="156"/>
        <v>0.16843832554854737</v>
      </c>
      <c r="BZ31" s="141">
        <f t="shared" si="156"/>
        <v>0.1400849120326991</v>
      </c>
      <c r="CA31" s="141">
        <f t="shared" si="156"/>
        <v>0.15361934139476505</v>
      </c>
      <c r="CB31" s="141">
        <f t="shared" si="156"/>
        <v>0.15521047475455721</v>
      </c>
      <c r="CC31" s="141">
        <f t="shared" si="156"/>
        <v>0.11985044506572121</v>
      </c>
      <c r="CD31" s="141">
        <f t="shared" si="156"/>
        <v>0.14783476778620111</v>
      </c>
      <c r="CE31" s="141">
        <f t="shared" si="156"/>
        <v>0.14814027720783654</v>
      </c>
      <c r="CF31" s="141">
        <f t="shared" si="156"/>
        <v>0.14656215923020544</v>
      </c>
      <c r="CG31" s="141">
        <f t="shared" si="156"/>
        <v>0.14320234666509279</v>
      </c>
      <c r="CH31" s="141">
        <f t="shared" si="156"/>
        <v>0.18491002960200781</v>
      </c>
      <c r="CI31" s="141">
        <f t="shared" si="156"/>
        <v>0.17585188025375403</v>
      </c>
      <c r="CJ31" s="141">
        <f t="shared" si="156"/>
        <v>0.1644317883586246</v>
      </c>
      <c r="CK31" s="141">
        <f t="shared" si="156"/>
        <v>0.17611754316495687</v>
      </c>
      <c r="CL31" s="141">
        <f t="shared" si="156"/>
        <v>0.1782763340043608</v>
      </c>
      <c r="CM31" s="141">
        <f t="shared" si="156"/>
        <v>0.17059623489215103</v>
      </c>
      <c r="CN31" s="141">
        <f t="shared" si="156"/>
        <v>0.1450505361264777</v>
      </c>
      <c r="CO31" s="141">
        <f t="shared" si="156"/>
        <v>0.13112287598953265</v>
      </c>
      <c r="CP31" s="141">
        <f t="shared" si="156"/>
        <v>0.1478823367530685</v>
      </c>
      <c r="CQ31" s="141">
        <f t="shared" si="156"/>
        <v>0.13082089085776702</v>
      </c>
      <c r="CR31" s="141">
        <f t="shared" si="156"/>
        <v>0.14688608508686893</v>
      </c>
      <c r="CS31" s="141">
        <f t="shared" si="156"/>
        <v>0.14647199468742814</v>
      </c>
      <c r="CT31" s="141">
        <f t="shared" si="156"/>
        <v>0.12921535398677089</v>
      </c>
      <c r="CU31" s="141">
        <f t="shared" si="156"/>
        <v>0.16316712745273132</v>
      </c>
      <c r="CV31" s="141">
        <f t="shared" si="156"/>
        <v>0.14974523060327111</v>
      </c>
      <c r="CW31" s="141">
        <f t="shared" si="156"/>
        <v>0.15153693073044949</v>
      </c>
      <c r="CX31" s="141">
        <f t="shared" si="156"/>
        <v>0.1386012709704296</v>
      </c>
      <c r="CY31" s="141">
        <f t="shared" si="156"/>
        <v>0.14849278034046604</v>
      </c>
      <c r="CZ31" s="141">
        <f t="shared" si="156"/>
        <v>0.12782574835266858</v>
      </c>
      <c r="DA31" s="141">
        <f t="shared" si="156"/>
        <v>0.10340824050248024</v>
      </c>
      <c r="DB31" s="141">
        <f t="shared" si="156"/>
        <v>0.13969980174552499</v>
      </c>
      <c r="DC31" s="141">
        <f t="shared" si="156"/>
        <v>0.13521195190130861</v>
      </c>
      <c r="DD31" s="141">
        <f t="shared" si="156"/>
        <v>0.12887338976387364</v>
      </c>
      <c r="DE31" s="141">
        <f t="shared" si="156"/>
        <v>0.1503053403689423</v>
      </c>
      <c r="DF31" s="141">
        <f t="shared" si="156"/>
        <v>0.12373112612183006</v>
      </c>
      <c r="DG31" s="141">
        <f t="shared" si="156"/>
        <v>0.14670432985056428</v>
      </c>
      <c r="DH31" s="141">
        <f t="shared" si="156"/>
        <v>0.13463663941951293</v>
      </c>
      <c r="DI31" s="141">
        <f t="shared" si="156"/>
        <v>0.13624756541027061</v>
      </c>
      <c r="DJ31" s="141">
        <f t="shared" si="156"/>
        <v>0.12461705302769288</v>
      </c>
      <c r="DK31" s="141">
        <f t="shared" si="156"/>
        <v>0.1335105555118998</v>
      </c>
      <c r="DL31" s="141">
        <f t="shared" si="156"/>
        <v>0.11492873008478771</v>
      </c>
      <c r="DM31" s="141">
        <f t="shared" si="156"/>
        <v>9.297483421308092E-2</v>
      </c>
      <c r="DN31" s="141">
        <f t="shared" si="156"/>
        <v>0.12560474720173709</v>
      </c>
      <c r="DO31" s="141">
        <f t="shared" si="156"/>
        <v>0.12156970035042536</v>
      </c>
      <c r="DP31" s="141">
        <f t="shared" si="156"/>
        <v>0.1158706693929922</v>
      </c>
      <c r="DQ31" s="141">
        <f t="shared" si="156"/>
        <v>0.13514023673778622</v>
      </c>
      <c r="DR31" s="141">
        <f t="shared" si="156"/>
        <v>0.11124723602563412</v>
      </c>
      <c r="DS31" s="141">
        <f t="shared" ref="DS31:ED31" si="157">DS26/DS9</f>
        <v>0.13764111925119207</v>
      </c>
      <c r="DT31" s="141">
        <f t="shared" si="157"/>
        <v>0.12631895568997514</v>
      </c>
      <c r="DU31" s="141">
        <f t="shared" si="157"/>
        <v>0.12783036068139281</v>
      </c>
      <c r="DV31" s="141">
        <f t="shared" si="157"/>
        <v>0.11691836685385211</v>
      </c>
      <c r="DW31" s="141">
        <f t="shared" si="157"/>
        <v>0.12526243984226629</v>
      </c>
      <c r="DX31" s="141">
        <f t="shared" si="157"/>
        <v>0.10782857642376181</v>
      </c>
      <c r="DY31" s="141">
        <f t="shared" si="157"/>
        <v>8.7230964868711805E-2</v>
      </c>
      <c r="DZ31" s="141">
        <f t="shared" si="157"/>
        <v>0.11784504251319906</v>
      </c>
      <c r="EA31" s="141">
        <f t="shared" si="157"/>
        <v>0.11405927582579949</v>
      </c>
      <c r="EB31" s="141">
        <f t="shared" si="157"/>
        <v>0.10871232389583725</v>
      </c>
      <c r="EC31" s="141">
        <f t="shared" si="157"/>
        <v>0.12679144139376888</v>
      </c>
      <c r="ED31" s="141">
        <f t="shared" si="157"/>
        <v>0.10437452047780113</v>
      </c>
      <c r="EF31" s="141">
        <f t="shared" si="156"/>
        <v>0.18994460641085012</v>
      </c>
      <c r="EG31" s="141">
        <f t="shared" si="156"/>
        <v>0.17083773057292145</v>
      </c>
      <c r="EH31" s="141">
        <f t="shared" si="156"/>
        <v>0.1539746784228537</v>
      </c>
      <c r="EI31" s="141">
        <f t="shared" si="156"/>
        <v>0.14981268705327447</v>
      </c>
      <c r="EJ31" s="141">
        <f t="shared" si="156"/>
        <v>0.16275751227607113</v>
      </c>
      <c r="EK31" s="141">
        <f t="shared" si="156"/>
        <v>0.1637463001372918</v>
      </c>
      <c r="EL31" s="141">
        <f t="shared" si="156"/>
        <v>0.13697984125817364</v>
      </c>
      <c r="EM31" s="141">
        <f t="shared" si="156"/>
        <v>0.15803398117369907</v>
      </c>
      <c r="EN31" s="141">
        <f t="shared" ref="EN31:FJ31" si="158">EN26/EN9</f>
        <v>0.17204552495112804</v>
      </c>
      <c r="EO31" s="141">
        <f t="shared" si="158"/>
        <v>0.1637463001372918</v>
      </c>
      <c r="EP31" s="141">
        <f t="shared" si="158"/>
        <v>0.13605030558519635</v>
      </c>
      <c r="EQ31" s="141">
        <f t="shared" si="158"/>
        <v>0.14019858640283761</v>
      </c>
      <c r="ER31" s="141">
        <f t="shared" si="158"/>
        <v>0.1545933877273242</v>
      </c>
      <c r="ES31" s="141">
        <f t="shared" si="158"/>
        <v>0.13778896824689379</v>
      </c>
      <c r="ET31" s="141">
        <f t="shared" si="158"/>
        <v>0.12384201833573368</v>
      </c>
      <c r="EU31" s="141">
        <f t="shared" si="158"/>
        <v>0.1333646410381103</v>
      </c>
      <c r="EV31" s="141">
        <f t="shared" si="158"/>
        <v>0.13899564023663827</v>
      </c>
      <c r="EW31" s="141">
        <f t="shared" si="158"/>
        <v>0.12388670783774872</v>
      </c>
      <c r="EX31" s="141">
        <f t="shared" si="158"/>
        <v>0.11134693973544592</v>
      </c>
      <c r="EY31" s="141">
        <f t="shared" si="158"/>
        <v>0.1199087744859942</v>
      </c>
      <c r="EZ31" s="141">
        <f t="shared" si="158"/>
        <v>0.13040866287105929</v>
      </c>
      <c r="FA31" s="141">
        <f t="shared" si="158"/>
        <v>0.11623314147920888</v>
      </c>
      <c r="FB31" s="141">
        <f t="shared" si="158"/>
        <v>0.10446806461672309</v>
      </c>
      <c r="FC31" s="141">
        <f t="shared" si="158"/>
        <v>0.11250095989056823</v>
      </c>
      <c r="FE31" s="141">
        <f t="shared" si="158"/>
        <v>0.16462732445826028</v>
      </c>
      <c r="FF31" s="141">
        <f t="shared" si="158"/>
        <v>0.15519198451171939</v>
      </c>
      <c r="FG31" s="141">
        <f t="shared" si="158"/>
        <v>0.15139987483502107</v>
      </c>
      <c r="FH31" s="141">
        <f t="shared" si="158"/>
        <v>0.13652296405299871</v>
      </c>
      <c r="FI31" s="141">
        <f t="shared" si="158"/>
        <v>0.12274843752709935</v>
      </c>
      <c r="FJ31" s="141">
        <f t="shared" si="158"/>
        <v>0.11516519208925037</v>
      </c>
    </row>
    <row r="32" spans="2:166" x14ac:dyDescent="0.2">
      <c r="B32" s="22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0"/>
      <c r="BF32" s="140"/>
      <c r="BG32" s="140"/>
      <c r="BH32" s="140"/>
      <c r="BI32" s="140"/>
      <c r="BJ32" s="140"/>
      <c r="BK32" s="140"/>
      <c r="BL32" s="140"/>
      <c r="BM32" s="140"/>
      <c r="BN32" s="140"/>
      <c r="BO32" s="140"/>
      <c r="BP32" s="140"/>
      <c r="BQ32" s="140"/>
      <c r="BR32" s="140"/>
      <c r="BS32" s="140"/>
      <c r="BT32" s="140"/>
      <c r="BU32" s="140"/>
      <c r="BV32" s="140"/>
      <c r="BW32" s="140"/>
      <c r="BX32" s="140"/>
      <c r="BY32" s="140"/>
      <c r="BZ32" s="140"/>
      <c r="CA32" s="140"/>
      <c r="CB32" s="140"/>
      <c r="CC32" s="140"/>
      <c r="CD32" s="140"/>
      <c r="CE32" s="140"/>
      <c r="CF32" s="140"/>
      <c r="CG32" s="140"/>
      <c r="CH32" s="140"/>
      <c r="CI32" s="140"/>
      <c r="CJ32" s="140"/>
      <c r="CK32" s="140"/>
      <c r="CL32" s="140"/>
      <c r="CM32" s="140"/>
      <c r="CN32" s="140"/>
      <c r="CO32" s="140"/>
      <c r="CP32" s="140"/>
      <c r="CQ32" s="140"/>
      <c r="CR32" s="140"/>
      <c r="CS32" s="140"/>
      <c r="CT32" s="140"/>
      <c r="CU32" s="140"/>
      <c r="CV32" s="140"/>
      <c r="CW32" s="140"/>
      <c r="CX32" s="140"/>
      <c r="CY32" s="140"/>
      <c r="CZ32" s="140"/>
      <c r="DA32" s="140"/>
      <c r="DB32" s="140"/>
      <c r="DC32" s="140"/>
      <c r="DD32" s="140"/>
      <c r="DE32" s="140"/>
      <c r="DF32" s="140"/>
      <c r="DG32" s="140"/>
      <c r="DH32" s="140"/>
      <c r="DI32" s="140"/>
      <c r="DJ32" s="140"/>
      <c r="DK32" s="140"/>
      <c r="DL32" s="140"/>
      <c r="DM32" s="140"/>
      <c r="DN32" s="140"/>
      <c r="DO32" s="140"/>
      <c r="DP32" s="140"/>
      <c r="DQ32" s="140"/>
      <c r="DR32" s="140"/>
      <c r="DS32" s="140"/>
      <c r="DT32" s="140"/>
      <c r="DU32" s="140"/>
      <c r="DV32" s="140"/>
      <c r="DW32" s="140"/>
      <c r="DX32" s="140"/>
      <c r="DY32" s="140"/>
      <c r="DZ32" s="140"/>
      <c r="EA32" s="140"/>
      <c r="EB32" s="140"/>
      <c r="EC32" s="140"/>
      <c r="ED32" s="140"/>
      <c r="EF32" s="165">
        <f t="shared" si="13"/>
        <v>0</v>
      </c>
      <c r="EG32" s="165">
        <f t="shared" si="14"/>
        <v>0</v>
      </c>
      <c r="EH32" s="165">
        <f t="shared" si="15"/>
        <v>0</v>
      </c>
      <c r="EI32" s="165">
        <f t="shared" si="16"/>
        <v>0</v>
      </c>
      <c r="EJ32" s="165">
        <f t="shared" si="17"/>
        <v>0</v>
      </c>
      <c r="EK32" s="165">
        <f t="shared" si="18"/>
        <v>0</v>
      </c>
      <c r="EL32" s="165">
        <f t="shared" si="19"/>
        <v>0</v>
      </c>
      <c r="EM32" s="165">
        <f t="shared" si="20"/>
        <v>0</v>
      </c>
      <c r="EN32" s="165">
        <f t="shared" si="21"/>
        <v>0</v>
      </c>
      <c r="EO32" s="165">
        <f t="shared" si="22"/>
        <v>0</v>
      </c>
      <c r="EP32" s="165">
        <f t="shared" si="23"/>
        <v>0</v>
      </c>
      <c r="EQ32" s="165">
        <f t="shared" si="24"/>
        <v>0</v>
      </c>
      <c r="ER32" s="165">
        <f t="shared" si="25"/>
        <v>0</v>
      </c>
      <c r="ES32" s="165">
        <f t="shared" si="26"/>
        <v>0</v>
      </c>
      <c r="ET32" s="165">
        <f t="shared" si="27"/>
        <v>0</v>
      </c>
      <c r="EU32" s="165">
        <f t="shared" si="28"/>
        <v>0</v>
      </c>
      <c r="EV32" s="165">
        <f t="shared" si="29"/>
        <v>0</v>
      </c>
      <c r="EW32" s="165">
        <f t="shared" si="30"/>
        <v>0</v>
      </c>
      <c r="EX32" s="165">
        <f t="shared" si="31"/>
        <v>0</v>
      </c>
      <c r="EY32" s="165">
        <f t="shared" si="32"/>
        <v>0</v>
      </c>
      <c r="EZ32" s="165">
        <f t="shared" si="33"/>
        <v>0</v>
      </c>
      <c r="FA32" s="165">
        <f t="shared" si="34"/>
        <v>0</v>
      </c>
      <c r="FB32" s="165">
        <f t="shared" si="35"/>
        <v>0</v>
      </c>
      <c r="FC32" s="165">
        <f t="shared" si="36"/>
        <v>0</v>
      </c>
      <c r="FE32" s="165">
        <f t="shared" si="37"/>
        <v>0</v>
      </c>
      <c r="FF32" s="165">
        <f t="shared" si="38"/>
        <v>0</v>
      </c>
      <c r="FG32" s="165">
        <f t="shared" si="39"/>
        <v>0</v>
      </c>
      <c r="FH32" s="165">
        <f t="shared" si="40"/>
        <v>0</v>
      </c>
      <c r="FI32" s="165">
        <f t="shared" si="41"/>
        <v>0</v>
      </c>
      <c r="FJ32" s="804">
        <f t="shared" si="42"/>
        <v>0</v>
      </c>
    </row>
    <row r="33" spans="2:166" x14ac:dyDescent="0.2">
      <c r="B33" s="23" t="s">
        <v>54</v>
      </c>
      <c r="C33" s="5">
        <f>C23-C26</f>
        <v>3205149.8571428573</v>
      </c>
      <c r="D33" s="5">
        <f t="shared" ref="D33:BO33" si="159">D23-D26</f>
        <v>5170025.8571428573</v>
      </c>
      <c r="E33" s="5">
        <f t="shared" si="159"/>
        <v>4746984.8571428563</v>
      </c>
      <c r="F33" s="5">
        <f t="shared" si="159"/>
        <v>3792577.8571428573</v>
      </c>
      <c r="G33" s="5">
        <f t="shared" si="159"/>
        <v>1810330.8571428573</v>
      </c>
      <c r="H33" s="5">
        <f t="shared" si="159"/>
        <v>1020404.5714285711</v>
      </c>
      <c r="I33" s="5">
        <f t="shared" si="159"/>
        <v>1516954.2857142854</v>
      </c>
      <c r="J33" s="5">
        <f t="shared" si="159"/>
        <v>1362178.2857142857</v>
      </c>
      <c r="K33" s="5">
        <f t="shared" si="159"/>
        <v>2097796.8571428573</v>
      </c>
      <c r="L33" s="5">
        <f t="shared" si="159"/>
        <v>2438617</v>
      </c>
      <c r="M33" s="5">
        <f t="shared" si="159"/>
        <v>1980080</v>
      </c>
      <c r="N33" s="5">
        <f t="shared" si="159"/>
        <v>1510329</v>
      </c>
      <c r="O33" s="5">
        <f t="shared" si="159"/>
        <v>1695261.102</v>
      </c>
      <c r="P33" s="5">
        <f t="shared" si="159"/>
        <v>2021099.6800000002</v>
      </c>
      <c r="Q33" s="5">
        <f t="shared" si="159"/>
        <v>2068078.0581113799</v>
      </c>
      <c r="R33" s="5">
        <f t="shared" si="159"/>
        <v>2306911</v>
      </c>
      <c r="S33" s="5">
        <f t="shared" si="159"/>
        <v>2777673.9999999995</v>
      </c>
      <c r="T33" s="5">
        <f t="shared" si="159"/>
        <v>2713177</v>
      </c>
      <c r="U33" s="5">
        <f t="shared" si="159"/>
        <v>3628592</v>
      </c>
      <c r="V33" s="5">
        <f t="shared" si="159"/>
        <v>2415305.9999999995</v>
      </c>
      <c r="W33" s="5">
        <f t="shared" si="159"/>
        <v>2716855.9999999995</v>
      </c>
      <c r="X33" s="5">
        <f t="shared" si="159"/>
        <v>3035592</v>
      </c>
      <c r="Y33" s="5">
        <f t="shared" si="159"/>
        <v>2916315</v>
      </c>
      <c r="Z33" s="5">
        <f t="shared" si="159"/>
        <v>2311362.9999999995</v>
      </c>
      <c r="AA33" s="5">
        <f t="shared" si="159"/>
        <v>-1254480.5239457542</v>
      </c>
      <c r="AB33" s="5">
        <f t="shared" si="159"/>
        <v>593008</v>
      </c>
      <c r="AC33" s="5">
        <f t="shared" si="159"/>
        <v>4865088</v>
      </c>
      <c r="AD33" s="5">
        <f t="shared" si="159"/>
        <v>7984398</v>
      </c>
      <c r="AE33" s="5">
        <f t="shared" si="159"/>
        <v>10529272</v>
      </c>
      <c r="AF33" s="5">
        <f t="shared" si="159"/>
        <v>10858557</v>
      </c>
      <c r="AG33" s="5">
        <f t="shared" si="159"/>
        <v>13587750</v>
      </c>
      <c r="AH33" s="5">
        <f t="shared" si="159"/>
        <v>10762909</v>
      </c>
      <c r="AI33" s="5">
        <f t="shared" si="159"/>
        <v>8957696</v>
      </c>
      <c r="AJ33" s="5">
        <f t="shared" si="159"/>
        <v>11410437</v>
      </c>
      <c r="AK33" s="5">
        <f t="shared" si="159"/>
        <v>9865632.9999999981</v>
      </c>
      <c r="AL33" s="5">
        <f t="shared" si="159"/>
        <v>10786309.999999998</v>
      </c>
      <c r="AM33" s="5">
        <f t="shared" si="159"/>
        <v>7526399.9999999981</v>
      </c>
      <c r="AN33" s="5">
        <f t="shared" si="159"/>
        <v>1782786</v>
      </c>
      <c r="AO33" s="5">
        <f t="shared" si="159"/>
        <v>10303803</v>
      </c>
      <c r="AP33" s="5">
        <f t="shared" si="159"/>
        <v>14367663</v>
      </c>
      <c r="AQ33" s="5">
        <f t="shared" si="159"/>
        <v>16917349</v>
      </c>
      <c r="AR33" s="5">
        <f t="shared" si="159"/>
        <v>13943181.702833299</v>
      </c>
      <c r="AS33" s="5">
        <f t="shared" si="159"/>
        <v>20693392</v>
      </c>
      <c r="AT33" s="5">
        <f t="shared" si="159"/>
        <v>13863430</v>
      </c>
      <c r="AU33" s="5">
        <f t="shared" si="159"/>
        <v>14716068.186440676</v>
      </c>
      <c r="AV33" s="5">
        <f t="shared" si="159"/>
        <v>16553558</v>
      </c>
      <c r="AW33" s="5">
        <f t="shared" si="159"/>
        <v>14648569</v>
      </c>
      <c r="AX33" s="5">
        <f t="shared" si="159"/>
        <v>19590049</v>
      </c>
      <c r="AY33" s="5">
        <f t="shared" si="159"/>
        <v>16898730.999999996</v>
      </c>
      <c r="AZ33" s="5">
        <f t="shared" si="159"/>
        <v>15140709.820448715</v>
      </c>
      <c r="BA33" s="5">
        <f t="shared" si="159"/>
        <v>17051409.682307694</v>
      </c>
      <c r="BB33" s="5">
        <f t="shared" si="159"/>
        <v>17325629.256316997</v>
      </c>
      <c r="BC33" s="5">
        <f t="shared" si="159"/>
        <v>18599475.142731376</v>
      </c>
      <c r="BD33" s="5">
        <f t="shared" si="159"/>
        <v>21724952.892651912</v>
      </c>
      <c r="BE33" s="5">
        <f t="shared" si="159"/>
        <v>20766833.250840321</v>
      </c>
      <c r="BF33" s="5">
        <f t="shared" si="159"/>
        <v>17642188.430415913</v>
      </c>
      <c r="BG33" s="5">
        <f t="shared" si="159"/>
        <v>20725022.133311972</v>
      </c>
      <c r="BH33" s="5">
        <f t="shared" si="159"/>
        <v>25176251.112088464</v>
      </c>
      <c r="BI33" s="5">
        <f t="shared" si="159"/>
        <v>22849340.267190941</v>
      </c>
      <c r="BJ33" s="5">
        <f t="shared" si="159"/>
        <v>27030486.04213414</v>
      </c>
      <c r="BK33" s="5">
        <f t="shared" si="159"/>
        <v>29352250.590677787</v>
      </c>
      <c r="BL33" s="5">
        <f t="shared" si="159"/>
        <v>30834228.979868919</v>
      </c>
      <c r="BM33" s="5">
        <f t="shared" si="159"/>
        <v>31268916.056713421</v>
      </c>
      <c r="BN33" s="5">
        <f t="shared" si="159"/>
        <v>35010102.164114863</v>
      </c>
      <c r="BO33" s="5">
        <f t="shared" si="159"/>
        <v>35444100.201693289</v>
      </c>
      <c r="BP33" s="5">
        <f t="shared" ref="BP33:DR33" si="160">BP23-BP26</f>
        <v>31055234.352744684</v>
      </c>
      <c r="BQ33" s="5">
        <f t="shared" si="160"/>
        <v>48447359.986652009</v>
      </c>
      <c r="BR33" s="5">
        <f t="shared" si="160"/>
        <v>39908546.517837673</v>
      </c>
      <c r="BS33" s="5">
        <f t="shared" si="160"/>
        <v>36292571.554142952</v>
      </c>
      <c r="BT33" s="5">
        <f t="shared" si="160"/>
        <v>42310753.378351226</v>
      </c>
      <c r="BU33" s="5">
        <f t="shared" si="160"/>
        <v>37077466.457450382</v>
      </c>
      <c r="BV33" s="5">
        <f t="shared" si="160"/>
        <v>38207908.869066566</v>
      </c>
      <c r="BW33" s="5">
        <f t="shared" si="160"/>
        <v>35595830.381177373</v>
      </c>
      <c r="BX33" s="5">
        <f t="shared" si="160"/>
        <v>42216259.491198614</v>
      </c>
      <c r="BY33" s="5">
        <f t="shared" si="160"/>
        <v>38156076.566948168</v>
      </c>
      <c r="BZ33" s="5">
        <f t="shared" si="160"/>
        <v>46407330.50645452</v>
      </c>
      <c r="CA33" s="5">
        <f t="shared" si="160"/>
        <v>43100583.627777621</v>
      </c>
      <c r="CB33" s="5">
        <f t="shared" si="160"/>
        <v>40926098.238832563</v>
      </c>
      <c r="CC33" s="5">
        <f t="shared" si="160"/>
        <v>59961433.319395356</v>
      </c>
      <c r="CD33" s="5">
        <f t="shared" si="160"/>
        <v>44621078.850092031</v>
      </c>
      <c r="CE33" s="5">
        <f t="shared" si="160"/>
        <v>45688630.72804103</v>
      </c>
      <c r="CF33" s="5">
        <f t="shared" si="160"/>
        <v>49357847.180640049</v>
      </c>
      <c r="CG33" s="5">
        <f t="shared" si="160"/>
        <v>49492186.787296131</v>
      </c>
      <c r="CH33" s="5">
        <f t="shared" si="160"/>
        <v>46104231.641611665</v>
      </c>
      <c r="CI33" s="5">
        <f t="shared" si="160"/>
        <v>47002481.436164096</v>
      </c>
      <c r="CJ33" s="5">
        <f t="shared" si="160"/>
        <v>50390877.892634243</v>
      </c>
      <c r="CK33" s="5">
        <f t="shared" si="160"/>
        <v>48979819.94856514</v>
      </c>
      <c r="CL33" s="5">
        <f t="shared" si="160"/>
        <v>51630598.763219431</v>
      </c>
      <c r="CM33" s="5">
        <f t="shared" si="160"/>
        <v>48162041.27927997</v>
      </c>
      <c r="CN33" s="5">
        <f t="shared" si="160"/>
        <v>59938492.274478383</v>
      </c>
      <c r="CO33" s="5">
        <f t="shared" si="160"/>
        <v>76904020.447884709</v>
      </c>
      <c r="CP33" s="5">
        <f t="shared" si="160"/>
        <v>58356078.703535035</v>
      </c>
      <c r="CQ33" s="5">
        <f t="shared" si="160"/>
        <v>62191468.629202947</v>
      </c>
      <c r="CR33" s="5">
        <f t="shared" si="160"/>
        <v>63754859.926791318</v>
      </c>
      <c r="CS33" s="5">
        <f t="shared" si="160"/>
        <v>55934252.580470815</v>
      </c>
      <c r="CT33" s="5">
        <f t="shared" si="160"/>
        <v>72217784.450158045</v>
      </c>
      <c r="CU33" s="5">
        <f t="shared" si="160"/>
        <v>61567080.908305012</v>
      </c>
      <c r="CV33" s="5">
        <f t="shared" si="160"/>
        <v>68161411.698730484</v>
      </c>
      <c r="CW33" s="5">
        <f t="shared" si="160"/>
        <v>67213568.850218549</v>
      </c>
      <c r="CX33" s="5">
        <f t="shared" si="160"/>
        <v>74606988.942242935</v>
      </c>
      <c r="CY33" s="5">
        <f t="shared" si="160"/>
        <v>68837564.18469879</v>
      </c>
      <c r="CZ33" s="5">
        <f t="shared" si="160"/>
        <v>81908206.422544375</v>
      </c>
      <c r="DA33" s="5">
        <f t="shared" si="160"/>
        <v>104083549.22599231</v>
      </c>
      <c r="DB33" s="5">
        <f t="shared" si="160"/>
        <v>73925918.983649403</v>
      </c>
      <c r="DC33" s="5">
        <f t="shared" si="160"/>
        <v>76778053.106279358</v>
      </c>
      <c r="DD33" s="5">
        <f t="shared" si="160"/>
        <v>81144768.797478333</v>
      </c>
      <c r="DE33" s="5">
        <f t="shared" si="160"/>
        <v>67862675.236748114</v>
      </c>
      <c r="DF33" s="5">
        <f t="shared" si="160"/>
        <v>85016049.121685982</v>
      </c>
      <c r="DG33" s="5">
        <f t="shared" si="160"/>
        <v>75333929.083665445</v>
      </c>
      <c r="DH33" s="5">
        <f t="shared" si="160"/>
        <v>83247126.032176018</v>
      </c>
      <c r="DI33" s="5">
        <f t="shared" si="160"/>
        <v>82109714.613961697</v>
      </c>
      <c r="DJ33" s="5">
        <f t="shared" si="160"/>
        <v>90981818.724390954</v>
      </c>
      <c r="DK33" s="5">
        <f t="shared" si="160"/>
        <v>84058509.015337989</v>
      </c>
      <c r="DL33" s="5">
        <f t="shared" si="160"/>
        <v>99743279.70075269</v>
      </c>
      <c r="DM33" s="5">
        <f t="shared" si="160"/>
        <v>126353691.06489024</v>
      </c>
      <c r="DN33" s="5">
        <f t="shared" si="160"/>
        <v>90164534.774078712</v>
      </c>
      <c r="DO33" s="5">
        <f t="shared" si="160"/>
        <v>93587095.721234679</v>
      </c>
      <c r="DP33" s="5">
        <f t="shared" si="160"/>
        <v>98827154.55067344</v>
      </c>
      <c r="DQ33" s="5">
        <f t="shared" si="160"/>
        <v>82888642.277797177</v>
      </c>
      <c r="DR33" s="5">
        <f t="shared" si="160"/>
        <v>103472690.93972261</v>
      </c>
      <c r="DS33" s="5">
        <f t="shared" ref="DS33:ED33" si="161">DS23-DS26</f>
        <v>87554194.630995885</v>
      </c>
      <c r="DT33" s="5">
        <f t="shared" si="161"/>
        <v>96654371.121783048</v>
      </c>
      <c r="DU33" s="5">
        <f t="shared" si="161"/>
        <v>95346347.990836576</v>
      </c>
      <c r="DV33" s="5">
        <f t="shared" si="161"/>
        <v>105549267.71783024</v>
      </c>
      <c r="DW33" s="5">
        <f t="shared" si="161"/>
        <v>97587461.55241932</v>
      </c>
      <c r="DX33" s="5">
        <f t="shared" si="161"/>
        <v>115624947.84064622</v>
      </c>
      <c r="DY33" s="5">
        <f t="shared" si="161"/>
        <v>146226920.90940443</v>
      </c>
      <c r="DZ33" s="5">
        <f t="shared" si="161"/>
        <v>104609391.17497116</v>
      </c>
      <c r="EA33" s="5">
        <f t="shared" si="161"/>
        <v>108545336.26420052</v>
      </c>
      <c r="EB33" s="5">
        <f t="shared" si="161"/>
        <v>114571403.91805509</v>
      </c>
      <c r="EC33" s="5">
        <f t="shared" si="161"/>
        <v>96242114.804247394</v>
      </c>
      <c r="ED33" s="5">
        <f t="shared" si="161"/>
        <v>119913770.76546167</v>
      </c>
      <c r="EF33" s="293">
        <f t="shared" si="13"/>
        <v>91455395.627260119</v>
      </c>
      <c r="EG33" s="293">
        <f t="shared" si="14"/>
        <v>101509436.71855284</v>
      </c>
      <c r="EH33" s="293">
        <f t="shared" si="15"/>
        <v>124648478.05863264</v>
      </c>
      <c r="EI33" s="293">
        <f t="shared" si="16"/>
        <v>117596128.70486817</v>
      </c>
      <c r="EJ33" s="293">
        <f t="shared" si="17"/>
        <v>115968166.43932417</v>
      </c>
      <c r="EK33" s="293">
        <f t="shared" si="18"/>
        <v>159731132.31697777</v>
      </c>
      <c r="EL33" s="293">
        <f t="shared" si="19"/>
        <v>150271142.89752841</v>
      </c>
      <c r="EM33" s="293">
        <f t="shared" si="20"/>
        <v>144954265.60954785</v>
      </c>
      <c r="EN33" s="293">
        <f t="shared" si="21"/>
        <v>146373179.27736348</v>
      </c>
      <c r="EO33" s="293">
        <f t="shared" si="22"/>
        <v>159731132.31697777</v>
      </c>
      <c r="EP33" s="293">
        <f t="shared" si="23"/>
        <v>197451567.78062272</v>
      </c>
      <c r="EQ33" s="293">
        <f t="shared" si="24"/>
        <v>191906896.95742017</v>
      </c>
      <c r="ER33" s="293">
        <f t="shared" si="25"/>
        <v>196942061.45725405</v>
      </c>
      <c r="ES33" s="293">
        <f t="shared" si="26"/>
        <v>225352759.5494861</v>
      </c>
      <c r="ET33" s="293">
        <f t="shared" si="27"/>
        <v>254787521.31592107</v>
      </c>
      <c r="EU33" s="293">
        <f t="shared" si="28"/>
        <v>234023493.15591243</v>
      </c>
      <c r="EV33" s="293">
        <f t="shared" si="29"/>
        <v>240690769.72980314</v>
      </c>
      <c r="EW33" s="293">
        <f t="shared" si="30"/>
        <v>274783607.4404816</v>
      </c>
      <c r="EX33" s="293">
        <f t="shared" si="31"/>
        <v>310105321.56020361</v>
      </c>
      <c r="EY33" s="293">
        <f t="shared" si="32"/>
        <v>285188487.76819324</v>
      </c>
      <c r="EZ33" s="293">
        <f t="shared" si="33"/>
        <v>279554913.74361551</v>
      </c>
      <c r="FA33" s="293">
        <f t="shared" si="34"/>
        <v>318761677.11089575</v>
      </c>
      <c r="FB33" s="293">
        <f t="shared" si="35"/>
        <v>359381648.34857613</v>
      </c>
      <c r="FC33" s="293">
        <f t="shared" si="36"/>
        <v>330727289.48776418</v>
      </c>
      <c r="FE33" s="293">
        <f t="shared" si="37"/>
        <v>435209439.10931385</v>
      </c>
      <c r="FF33" s="293">
        <f t="shared" si="38"/>
        <v>570924707.26337814</v>
      </c>
      <c r="FG33" s="293">
        <f t="shared" si="39"/>
        <v>695462776.33238411</v>
      </c>
      <c r="FH33" s="293">
        <f t="shared" si="40"/>
        <v>911105835.47857356</v>
      </c>
      <c r="FI33" s="293">
        <f t="shared" si="41"/>
        <v>1110768186.4986815</v>
      </c>
      <c r="FJ33" s="807">
        <f t="shared" si="42"/>
        <v>1288425528.6908514</v>
      </c>
    </row>
    <row r="34" spans="2:166" x14ac:dyDescent="0.2">
      <c r="B34" s="22" t="s">
        <v>55</v>
      </c>
      <c r="C34" s="141">
        <f>C33/C9</f>
        <v>0.75083791400575373</v>
      </c>
      <c r="D34" s="141">
        <f t="shared" ref="D34:BO34" si="162">D33/D9</f>
        <v>0.81522541061340237</v>
      </c>
      <c r="E34" s="141">
        <f t="shared" si="162"/>
        <v>0.80705780115454639</v>
      </c>
      <c r="F34" s="141">
        <f t="shared" si="162"/>
        <v>0.74679168870755164</v>
      </c>
      <c r="G34" s="141">
        <f t="shared" si="162"/>
        <v>0.59463938826496798</v>
      </c>
      <c r="H34" s="141">
        <f t="shared" si="162"/>
        <v>0.45160955838969047</v>
      </c>
      <c r="I34" s="141">
        <f t="shared" si="162"/>
        <v>0.54329352011241738</v>
      </c>
      <c r="J34" s="141">
        <f t="shared" si="162"/>
        <v>0.54518206806451108</v>
      </c>
      <c r="K34" s="141">
        <f t="shared" si="162"/>
        <v>0.65895948361939405</v>
      </c>
      <c r="L34" s="141">
        <f t="shared" si="162"/>
        <v>0.72993821340292031</v>
      </c>
      <c r="M34" s="141">
        <f t="shared" si="162"/>
        <v>0.6685730357830818</v>
      </c>
      <c r="N34" s="141">
        <f t="shared" si="162"/>
        <v>0.55980511164937885</v>
      </c>
      <c r="O34" s="141">
        <f t="shared" si="162"/>
        <v>0.63817603752802432</v>
      </c>
      <c r="P34" s="141">
        <f t="shared" si="162"/>
        <v>0.67699671387732741</v>
      </c>
      <c r="Q34" s="141">
        <f t="shared" si="162"/>
        <v>0.67318169365227187</v>
      </c>
      <c r="R34" s="141">
        <f t="shared" si="162"/>
        <v>0.6596894735863813</v>
      </c>
      <c r="S34" s="141">
        <f t="shared" si="162"/>
        <v>0.73773791719420589</v>
      </c>
      <c r="T34" s="141">
        <f t="shared" si="162"/>
        <v>0.71703057184016417</v>
      </c>
      <c r="U34" s="141">
        <f t="shared" si="162"/>
        <v>0.74401156105394561</v>
      </c>
      <c r="V34" s="141">
        <f t="shared" si="162"/>
        <v>0.66794819038010977</v>
      </c>
      <c r="W34" s="141">
        <f t="shared" si="162"/>
        <v>0.7233957575928629</v>
      </c>
      <c r="X34" s="141">
        <f t="shared" si="162"/>
        <v>0.70016807676312798</v>
      </c>
      <c r="Y34" s="141">
        <f t="shared" si="162"/>
        <v>0.72181816156733458</v>
      </c>
      <c r="Z34" s="141">
        <f t="shared" si="162"/>
        <v>0.69888099844159801</v>
      </c>
      <c r="AA34" s="141">
        <f t="shared" si="162"/>
        <v>-21.132363996862594</v>
      </c>
      <c r="AB34" s="141">
        <f t="shared" si="162"/>
        <v>0.30401187732235285</v>
      </c>
      <c r="AC34" s="141">
        <f t="shared" si="162"/>
        <v>0.80154817093805308</v>
      </c>
      <c r="AD34" s="141">
        <f t="shared" si="162"/>
        <v>0.87861093956945813</v>
      </c>
      <c r="AE34" s="141">
        <f t="shared" si="162"/>
        <v>0.88358659252194061</v>
      </c>
      <c r="AF34" s="141">
        <f t="shared" si="162"/>
        <v>0.86618931112764841</v>
      </c>
      <c r="AG34" s="141">
        <f t="shared" si="162"/>
        <v>0.88709156183346949</v>
      </c>
      <c r="AH34" s="141">
        <f t="shared" si="162"/>
        <v>0.87311622952077739</v>
      </c>
      <c r="AI34" s="141">
        <f t="shared" si="162"/>
        <v>0.8395937270716024</v>
      </c>
      <c r="AJ34" s="141">
        <f t="shared" si="162"/>
        <v>0.86443961912173273</v>
      </c>
      <c r="AK34" s="141">
        <f t="shared" si="162"/>
        <v>0.85480990992536554</v>
      </c>
      <c r="AL34" s="141">
        <f t="shared" si="162"/>
        <v>0.82606051833692895</v>
      </c>
      <c r="AM34" s="141">
        <f t="shared" si="162"/>
        <v>0.78262600222484402</v>
      </c>
      <c r="AN34" s="141">
        <f t="shared" si="162"/>
        <v>0.4114244332830857</v>
      </c>
      <c r="AO34" s="141">
        <f t="shared" si="162"/>
        <v>0.7729389239050185</v>
      </c>
      <c r="AP34" s="141">
        <f t="shared" si="162"/>
        <v>0.83308997582776345</v>
      </c>
      <c r="AQ34" s="141">
        <f t="shared" si="162"/>
        <v>0.84896715643321108</v>
      </c>
      <c r="AR34" s="141">
        <f t="shared" si="162"/>
        <v>0.72303730727905458</v>
      </c>
      <c r="AS34" s="141">
        <f t="shared" si="162"/>
        <v>0.75821161738610465</v>
      </c>
      <c r="AT34" s="141">
        <f t="shared" si="162"/>
        <v>0.784107150634059</v>
      </c>
      <c r="AU34" s="141">
        <f t="shared" si="162"/>
        <v>0.75821350170645363</v>
      </c>
      <c r="AV34" s="141">
        <f t="shared" si="162"/>
        <v>0.79113297577985475</v>
      </c>
      <c r="AW34" s="141">
        <f t="shared" si="162"/>
        <v>0.76093454175655706</v>
      </c>
      <c r="AX34" s="141">
        <f t="shared" si="162"/>
        <v>0.78260095077588154</v>
      </c>
      <c r="AY34" s="141">
        <f t="shared" si="162"/>
        <v>0.75690650669567672</v>
      </c>
      <c r="AZ34" s="141">
        <f t="shared" si="162"/>
        <v>0.71299567336688174</v>
      </c>
      <c r="BA34" s="141">
        <f t="shared" si="162"/>
        <v>0.71906887571838507</v>
      </c>
      <c r="BB34" s="141">
        <f t="shared" si="162"/>
        <v>0.74303836203163409</v>
      </c>
      <c r="BC34" s="141">
        <f t="shared" si="162"/>
        <v>0.7661978151184704</v>
      </c>
      <c r="BD34" s="141">
        <f t="shared" si="162"/>
        <v>0.7164350736465791</v>
      </c>
      <c r="BE34" s="141">
        <f t="shared" si="162"/>
        <v>0.66857634661717624</v>
      </c>
      <c r="BF34" s="141">
        <f t="shared" si="162"/>
        <v>0.71068225547175501</v>
      </c>
      <c r="BG34" s="141">
        <f t="shared" si="162"/>
        <v>0.73841929793775507</v>
      </c>
      <c r="BH34" s="141">
        <f t="shared" si="162"/>
        <v>0.79139034368495687</v>
      </c>
      <c r="BI34" s="141">
        <f t="shared" si="162"/>
        <v>0.77452738964499668</v>
      </c>
      <c r="BJ34" s="141">
        <f t="shared" si="162"/>
        <v>0.81088058269044061</v>
      </c>
      <c r="BK34" s="141">
        <f t="shared" si="162"/>
        <v>0.80215029963793172</v>
      </c>
      <c r="BL34" s="141">
        <f t="shared" si="162"/>
        <v>0.80519096774868393</v>
      </c>
      <c r="BM34" s="141">
        <f t="shared" si="162"/>
        <v>0.82256509522546273</v>
      </c>
      <c r="BN34" s="141">
        <f t="shared" si="162"/>
        <v>0.84340955832663267</v>
      </c>
      <c r="BO34" s="141">
        <f t="shared" si="162"/>
        <v>0.82790221258105268</v>
      </c>
      <c r="BP34" s="141">
        <f t="shared" ref="BP34:DR34" si="163">BP33/BP9</f>
        <v>0.81505636610278209</v>
      </c>
      <c r="BQ34" s="141">
        <f t="shared" si="163"/>
        <v>0.85600679488580678</v>
      </c>
      <c r="BR34" s="141">
        <f t="shared" si="163"/>
        <v>0.84664689664475701</v>
      </c>
      <c r="BS34" s="141">
        <f t="shared" si="163"/>
        <v>0.83239645302134424</v>
      </c>
      <c r="BT34" s="141">
        <f t="shared" si="163"/>
        <v>0.85384958417075441</v>
      </c>
      <c r="BU34" s="141">
        <f t="shared" si="163"/>
        <v>0.84519472447718824</v>
      </c>
      <c r="BV34" s="141">
        <f t="shared" si="163"/>
        <v>0.85102348925858573</v>
      </c>
      <c r="BW34" s="141">
        <f t="shared" si="163"/>
        <v>0.82903822065562793</v>
      </c>
      <c r="BX34" s="141">
        <f t="shared" si="163"/>
        <v>0.84957722148868253</v>
      </c>
      <c r="BY34" s="141">
        <f t="shared" si="163"/>
        <v>0.83156167445145268</v>
      </c>
      <c r="BZ34" s="141">
        <f t="shared" si="163"/>
        <v>0.85991508796730098</v>
      </c>
      <c r="CA34" s="141">
        <f t="shared" si="163"/>
        <v>0.84638065860523493</v>
      </c>
      <c r="CB34" s="141">
        <f t="shared" si="163"/>
        <v>0.84478952524544282</v>
      </c>
      <c r="CC34" s="141">
        <f t="shared" si="163"/>
        <v>0.88014955493427871</v>
      </c>
      <c r="CD34" s="141">
        <f t="shared" si="163"/>
        <v>0.85216523221379881</v>
      </c>
      <c r="CE34" s="141">
        <f t="shared" si="163"/>
        <v>0.85185972279216349</v>
      </c>
      <c r="CF34" s="141">
        <f t="shared" si="163"/>
        <v>0.85343784076979456</v>
      </c>
      <c r="CG34" s="141">
        <f t="shared" si="163"/>
        <v>0.85679765333490721</v>
      </c>
      <c r="CH34" s="141">
        <f t="shared" si="163"/>
        <v>0.81508997039799214</v>
      </c>
      <c r="CI34" s="141">
        <f t="shared" si="163"/>
        <v>0.82414811974624602</v>
      </c>
      <c r="CJ34" s="141">
        <f t="shared" si="163"/>
        <v>0.8355682116413754</v>
      </c>
      <c r="CK34" s="141">
        <f t="shared" si="163"/>
        <v>0.82388245683504302</v>
      </c>
      <c r="CL34" s="141">
        <f t="shared" si="163"/>
        <v>0.82172366599563929</v>
      </c>
      <c r="CM34" s="141">
        <f t="shared" si="163"/>
        <v>0.82940376510784897</v>
      </c>
      <c r="CN34" s="141">
        <f t="shared" si="163"/>
        <v>0.85494946387352233</v>
      </c>
      <c r="CO34" s="141">
        <f t="shared" si="163"/>
        <v>0.86887712401046746</v>
      </c>
      <c r="CP34" s="141">
        <f t="shared" si="163"/>
        <v>0.85211766324693139</v>
      </c>
      <c r="CQ34" s="141">
        <f t="shared" si="163"/>
        <v>0.86917910914223306</v>
      </c>
      <c r="CR34" s="141">
        <f t="shared" si="163"/>
        <v>0.85311391491313104</v>
      </c>
      <c r="CS34" s="141">
        <f t="shared" si="163"/>
        <v>0.85352800531257189</v>
      </c>
      <c r="CT34" s="141">
        <f t="shared" si="163"/>
        <v>0.87078464601322914</v>
      </c>
      <c r="CU34" s="141">
        <f t="shared" si="163"/>
        <v>0.83683287254726868</v>
      </c>
      <c r="CV34" s="141">
        <f t="shared" si="163"/>
        <v>0.85025476939672884</v>
      </c>
      <c r="CW34" s="141">
        <f t="shared" si="163"/>
        <v>0.8484630692695504</v>
      </c>
      <c r="CX34" s="141">
        <f t="shared" si="163"/>
        <v>0.86139872902957038</v>
      </c>
      <c r="CY34" s="141">
        <f t="shared" si="163"/>
        <v>0.85150721965953391</v>
      </c>
      <c r="CZ34" s="141">
        <f t="shared" si="163"/>
        <v>0.87217425164733131</v>
      </c>
      <c r="DA34" s="141">
        <f t="shared" si="163"/>
        <v>0.89659175949751968</v>
      </c>
      <c r="DB34" s="141">
        <f t="shared" si="163"/>
        <v>0.8603001982544749</v>
      </c>
      <c r="DC34" s="141">
        <f t="shared" si="163"/>
        <v>0.86478804809869136</v>
      </c>
      <c r="DD34" s="141">
        <f t="shared" si="163"/>
        <v>0.87112661023612625</v>
      </c>
      <c r="DE34" s="141">
        <f t="shared" si="163"/>
        <v>0.84969465963105761</v>
      </c>
      <c r="DF34" s="141">
        <f t="shared" si="163"/>
        <v>0.87626887387816987</v>
      </c>
      <c r="DG34" s="141">
        <f t="shared" si="163"/>
        <v>0.85329567014943564</v>
      </c>
      <c r="DH34" s="141">
        <f t="shared" si="163"/>
        <v>0.86536336058048702</v>
      </c>
      <c r="DI34" s="141">
        <f t="shared" si="163"/>
        <v>0.86375243458972939</v>
      </c>
      <c r="DJ34" s="141">
        <f t="shared" si="163"/>
        <v>0.87538294697230712</v>
      </c>
      <c r="DK34" s="141">
        <f t="shared" si="163"/>
        <v>0.86648944448810017</v>
      </c>
      <c r="DL34" s="141">
        <f t="shared" si="163"/>
        <v>0.88507126991521223</v>
      </c>
      <c r="DM34" s="141">
        <f t="shared" si="163"/>
        <v>0.90702516578691905</v>
      </c>
      <c r="DN34" s="141">
        <f t="shared" si="163"/>
        <v>0.87439525279826291</v>
      </c>
      <c r="DO34" s="141">
        <f t="shared" si="163"/>
        <v>0.87843029964957464</v>
      </c>
      <c r="DP34" s="141">
        <f t="shared" si="163"/>
        <v>0.88412933060700771</v>
      </c>
      <c r="DQ34" s="141">
        <f t="shared" si="163"/>
        <v>0.8648597632622137</v>
      </c>
      <c r="DR34" s="141">
        <f t="shared" si="163"/>
        <v>0.88875276397436587</v>
      </c>
      <c r="DS34" s="141">
        <f t="shared" ref="DS34:ED34" si="164">DS33/DS9</f>
        <v>0.86235888074880795</v>
      </c>
      <c r="DT34" s="141">
        <f t="shared" si="164"/>
        <v>0.8736810443100248</v>
      </c>
      <c r="DU34" s="141">
        <f t="shared" si="164"/>
        <v>0.87216963931860725</v>
      </c>
      <c r="DV34" s="141">
        <f t="shared" si="164"/>
        <v>0.88308163314614785</v>
      </c>
      <c r="DW34" s="141">
        <f t="shared" si="164"/>
        <v>0.87473756015773374</v>
      </c>
      <c r="DX34" s="141">
        <f t="shared" si="164"/>
        <v>0.89217142357623813</v>
      </c>
      <c r="DY34" s="141">
        <f t="shared" si="164"/>
        <v>0.91276903513128815</v>
      </c>
      <c r="DZ34" s="141">
        <f t="shared" si="164"/>
        <v>0.88215495748680095</v>
      </c>
      <c r="EA34" s="141">
        <f t="shared" si="164"/>
        <v>0.88594072417420056</v>
      </c>
      <c r="EB34" s="141">
        <f t="shared" si="164"/>
        <v>0.89128767610416271</v>
      </c>
      <c r="EC34" s="141">
        <f t="shared" si="164"/>
        <v>0.87320855860623114</v>
      </c>
      <c r="ED34" s="141">
        <f t="shared" si="164"/>
        <v>0.89562547952219884</v>
      </c>
      <c r="EF34" s="161">
        <f>EF33/EF9</f>
        <v>0.8100553935891498</v>
      </c>
      <c r="EG34" s="161">
        <f t="shared" ref="EG34:FC34" si="165">EG33/EG9</f>
        <v>0.82916226942707849</v>
      </c>
      <c r="EH34" s="161">
        <f t="shared" si="165"/>
        <v>0.84602532157714627</v>
      </c>
      <c r="EI34" s="161">
        <f t="shared" si="165"/>
        <v>0.85018731294672556</v>
      </c>
      <c r="EJ34" s="161">
        <f t="shared" si="165"/>
        <v>0.83724248772392906</v>
      </c>
      <c r="EK34" s="161">
        <f t="shared" si="165"/>
        <v>0.83625369986270814</v>
      </c>
      <c r="EL34" s="161">
        <f t="shared" si="165"/>
        <v>0.86302015874182625</v>
      </c>
      <c r="EM34" s="161">
        <f t="shared" si="165"/>
        <v>0.84196601882630084</v>
      </c>
      <c r="EN34" s="161">
        <f t="shared" si="165"/>
        <v>0.82795447504887187</v>
      </c>
      <c r="EO34" s="161">
        <f t="shared" si="165"/>
        <v>0.83625369986270814</v>
      </c>
      <c r="EP34" s="161">
        <f t="shared" si="165"/>
        <v>0.86394969441480385</v>
      </c>
      <c r="EQ34" s="161">
        <f t="shared" si="165"/>
        <v>0.85980141359716244</v>
      </c>
      <c r="ER34" s="161">
        <f t="shared" si="165"/>
        <v>0.84540661227267588</v>
      </c>
      <c r="ES34" s="161">
        <f t="shared" si="165"/>
        <v>0.86221103175310598</v>
      </c>
      <c r="ET34" s="161">
        <f t="shared" si="165"/>
        <v>0.87615798166426639</v>
      </c>
      <c r="EU34" s="161">
        <f t="shared" si="165"/>
        <v>0.86663535896188959</v>
      </c>
      <c r="EV34" s="161">
        <f t="shared" si="165"/>
        <v>0.86100435976336176</v>
      </c>
      <c r="EW34" s="161">
        <f t="shared" si="165"/>
        <v>0.87611329216225109</v>
      </c>
      <c r="EX34" s="161">
        <f t="shared" si="165"/>
        <v>0.88865306026455415</v>
      </c>
      <c r="EY34" s="161">
        <f t="shared" si="165"/>
        <v>0.88009122551400587</v>
      </c>
      <c r="EZ34" s="161">
        <f t="shared" si="165"/>
        <v>0.86959133712894066</v>
      </c>
      <c r="FA34" s="161">
        <f t="shared" si="165"/>
        <v>0.88376685852079107</v>
      </c>
      <c r="FB34" s="161">
        <f t="shared" si="165"/>
        <v>0.89553193538327702</v>
      </c>
      <c r="FC34" s="161">
        <f t="shared" si="165"/>
        <v>0.88749904010943181</v>
      </c>
      <c r="FE34" s="161">
        <f t="shared" ref="FE34" si="166">FE33/FE9</f>
        <v>0.83537267554173988</v>
      </c>
      <c r="FF34" s="161">
        <f t="shared" ref="FF34" si="167">FF33/FF9</f>
        <v>0.84480801548828044</v>
      </c>
      <c r="FG34" s="161">
        <f t="shared" ref="FG34" si="168">FG33/FG9</f>
        <v>0.84860012516497896</v>
      </c>
      <c r="FH34" s="161">
        <f t="shared" ref="FH34" si="169">FH33/FH9</f>
        <v>0.86347703594700109</v>
      </c>
      <c r="FI34" s="161">
        <f t="shared" ref="FI34" si="170">FI33/FI9</f>
        <v>0.87725156247290048</v>
      </c>
      <c r="FJ34" s="805">
        <f t="shared" si="42"/>
        <v>3.5363891711424404</v>
      </c>
    </row>
    <row r="35" spans="2:166" x14ac:dyDescent="0.2">
      <c r="B35" s="22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  <c r="BO35" s="140"/>
      <c r="BP35" s="140"/>
      <c r="BQ35" s="140"/>
      <c r="BR35" s="140"/>
      <c r="BS35" s="140"/>
      <c r="BT35" s="140"/>
      <c r="BU35" s="140"/>
      <c r="BV35" s="140"/>
      <c r="BW35" s="140"/>
      <c r="BX35" s="140"/>
      <c r="BY35" s="140"/>
      <c r="BZ35" s="140"/>
      <c r="CA35" s="140"/>
      <c r="CB35" s="140"/>
      <c r="CC35" s="140"/>
      <c r="CD35" s="140"/>
      <c r="CE35" s="140"/>
      <c r="CF35" s="140"/>
      <c r="CG35" s="140"/>
      <c r="CH35" s="140"/>
      <c r="CI35" s="140"/>
      <c r="CJ35" s="140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0"/>
      <c r="CZ35" s="140"/>
      <c r="DA35" s="140"/>
      <c r="DB35" s="140"/>
      <c r="DC35" s="140"/>
      <c r="DD35" s="140"/>
      <c r="DE35" s="140"/>
      <c r="DF35" s="140"/>
      <c r="DG35" s="140"/>
      <c r="DH35" s="140"/>
      <c r="DI35" s="140"/>
      <c r="DJ35" s="140"/>
      <c r="DK35" s="140"/>
      <c r="DL35" s="140"/>
      <c r="DM35" s="140"/>
      <c r="DN35" s="140"/>
      <c r="DO35" s="140"/>
      <c r="DP35" s="140"/>
      <c r="DQ35" s="140"/>
      <c r="DR35" s="140"/>
      <c r="DS35" s="140"/>
      <c r="DT35" s="140"/>
      <c r="DU35" s="140"/>
      <c r="DV35" s="140"/>
      <c r="DW35" s="140"/>
      <c r="DX35" s="140"/>
      <c r="DY35" s="140"/>
      <c r="DZ35" s="140"/>
      <c r="EA35" s="140"/>
      <c r="EB35" s="140"/>
      <c r="EC35" s="140"/>
      <c r="ED35" s="140"/>
      <c r="EF35" s="165">
        <f t="shared" si="13"/>
        <v>0</v>
      </c>
      <c r="EG35" s="165">
        <f t="shared" si="14"/>
        <v>0</v>
      </c>
      <c r="EH35" s="165">
        <f t="shared" si="15"/>
        <v>0</v>
      </c>
      <c r="EI35" s="165">
        <f t="shared" si="16"/>
        <v>0</v>
      </c>
      <c r="EJ35" s="165">
        <f t="shared" si="17"/>
        <v>0</v>
      </c>
      <c r="EK35" s="165">
        <f t="shared" si="18"/>
        <v>0</v>
      </c>
      <c r="EL35" s="165">
        <f t="shared" si="19"/>
        <v>0</v>
      </c>
      <c r="EM35" s="165">
        <f t="shared" si="20"/>
        <v>0</v>
      </c>
      <c r="EN35" s="165">
        <f t="shared" si="21"/>
        <v>0</v>
      </c>
      <c r="EO35" s="165">
        <f t="shared" si="22"/>
        <v>0</v>
      </c>
      <c r="EP35" s="165">
        <f t="shared" si="23"/>
        <v>0</v>
      </c>
      <c r="EQ35" s="165">
        <f t="shared" si="24"/>
        <v>0</v>
      </c>
      <c r="ER35" s="165">
        <f t="shared" si="25"/>
        <v>0</v>
      </c>
      <c r="ES35" s="165">
        <f t="shared" si="26"/>
        <v>0</v>
      </c>
      <c r="ET35" s="165">
        <f t="shared" si="27"/>
        <v>0</v>
      </c>
      <c r="EU35" s="165">
        <f t="shared" si="28"/>
        <v>0</v>
      </c>
      <c r="EV35" s="165">
        <f t="shared" si="29"/>
        <v>0</v>
      </c>
      <c r="EW35" s="165">
        <f t="shared" si="30"/>
        <v>0</v>
      </c>
      <c r="EX35" s="165">
        <f t="shared" si="31"/>
        <v>0</v>
      </c>
      <c r="EY35" s="165">
        <f t="shared" si="32"/>
        <v>0</v>
      </c>
      <c r="EZ35" s="165">
        <f t="shared" si="33"/>
        <v>0</v>
      </c>
      <c r="FA35" s="165">
        <f t="shared" si="34"/>
        <v>0</v>
      </c>
      <c r="FB35" s="165">
        <f t="shared" si="35"/>
        <v>0</v>
      </c>
      <c r="FC35" s="165">
        <f t="shared" si="36"/>
        <v>0</v>
      </c>
      <c r="FE35" s="165">
        <f t="shared" si="37"/>
        <v>0</v>
      </c>
      <c r="FF35" s="165">
        <f t="shared" si="38"/>
        <v>0</v>
      </c>
      <c r="FG35" s="165">
        <f t="shared" si="39"/>
        <v>0</v>
      </c>
      <c r="FH35" s="165">
        <f t="shared" si="40"/>
        <v>0</v>
      </c>
      <c r="FI35" s="165">
        <f t="shared" si="41"/>
        <v>0</v>
      </c>
      <c r="FJ35" s="804">
        <f t="shared" si="42"/>
        <v>0</v>
      </c>
    </row>
    <row r="36" spans="2:166" x14ac:dyDescent="0.2">
      <c r="B36" s="23" t="s">
        <v>56</v>
      </c>
      <c r="C36" s="5">
        <f>'P&amp;L - Inputs'!B356</f>
        <v>0</v>
      </c>
      <c r="D36" s="5">
        <f>'P&amp;L - Inputs'!C356</f>
        <v>0</v>
      </c>
      <c r="E36" s="5">
        <f>'P&amp;L - Inputs'!D356</f>
        <v>0</v>
      </c>
      <c r="F36" s="5">
        <f>'P&amp;L - Inputs'!E356</f>
        <v>0</v>
      </c>
      <c r="G36" s="5">
        <f>'P&amp;L - Inputs'!F356</f>
        <v>0</v>
      </c>
      <c r="H36" s="5">
        <f>'P&amp;L - Inputs'!G356</f>
        <v>0</v>
      </c>
      <c r="I36" s="5">
        <f>'P&amp;L - Inputs'!H356</f>
        <v>0</v>
      </c>
      <c r="J36" s="5">
        <f>'P&amp;L - Inputs'!I356</f>
        <v>0</v>
      </c>
      <c r="K36" s="5">
        <f>'P&amp;L - Inputs'!J356</f>
        <v>2937359</v>
      </c>
      <c r="L36" s="5">
        <f>'P&amp;L - Inputs'!K356</f>
        <v>1561606</v>
      </c>
      <c r="M36" s="5">
        <f>'P&amp;L - Inputs'!L356</f>
        <v>665531</v>
      </c>
      <c r="N36" s="5">
        <f>'P&amp;L - Inputs'!M356</f>
        <v>438148</v>
      </c>
      <c r="O36" s="5">
        <f>'P&amp;L - Inputs'!N356</f>
        <v>901275</v>
      </c>
      <c r="P36" s="5">
        <f>'P&amp;L - Inputs'!O356</f>
        <v>932034</v>
      </c>
      <c r="Q36" s="5">
        <f>'P&amp;L - Inputs'!P356</f>
        <v>1336239</v>
      </c>
      <c r="R36" s="5">
        <f>'P&amp;L - Inputs'!Q356</f>
        <v>723203</v>
      </c>
      <c r="S36" s="5">
        <f>'P&amp;L - Inputs'!R356</f>
        <v>777287</v>
      </c>
      <c r="T36" s="5">
        <f>'P&amp;L - Inputs'!S356</f>
        <v>600584</v>
      </c>
      <c r="U36" s="5">
        <f>'P&amp;L - Inputs'!T356</f>
        <v>363742</v>
      </c>
      <c r="V36" s="5">
        <f>'P&amp;L - Inputs'!U356</f>
        <v>372005</v>
      </c>
      <c r="W36" s="5">
        <f>'P&amp;L - Inputs'!V356</f>
        <v>531131</v>
      </c>
      <c r="X36" s="5">
        <f>'P&amp;L - Inputs'!W356</f>
        <v>571120</v>
      </c>
      <c r="Y36" s="5">
        <f>'P&amp;L - Inputs'!X356</f>
        <v>662511</v>
      </c>
      <c r="Z36" s="5">
        <f>'P&amp;L - Inputs'!Y356</f>
        <v>469347</v>
      </c>
      <c r="AA36" s="5">
        <f>'P&amp;L - Inputs'!Z356</f>
        <v>75423.277457618547</v>
      </c>
      <c r="AB36" s="5">
        <f>'P&amp;L - Inputs'!AA356</f>
        <v>379655</v>
      </c>
      <c r="AC36" s="5">
        <f>'P&amp;L - Inputs'!AB356</f>
        <v>1038700</v>
      </c>
      <c r="AD36" s="5">
        <f>'P&amp;L - Inputs'!AC356</f>
        <v>1514272</v>
      </c>
      <c r="AE36" s="5">
        <f>'P&amp;L - Inputs'!AD356</f>
        <v>2322109</v>
      </c>
      <c r="AF36" s="5">
        <f>'P&amp;L - Inputs'!AE356</f>
        <v>2565957</v>
      </c>
      <c r="AG36" s="5">
        <f>'P&amp;L - Inputs'!AF356</f>
        <v>1598116</v>
      </c>
      <c r="AH36" s="5">
        <f>'P&amp;L - Inputs'!AG356</f>
        <v>968352</v>
      </c>
      <c r="AI36" s="5">
        <f>'P&amp;L - Inputs'!AH356</f>
        <v>1799730</v>
      </c>
      <c r="AJ36" s="5">
        <f>'P&amp;L - Inputs'!AI356</f>
        <v>1574041</v>
      </c>
      <c r="AK36" s="5">
        <f>'P&amp;L - Inputs'!AJ356</f>
        <v>1607920</v>
      </c>
      <c r="AL36" s="5">
        <f>'P&amp;L - Inputs'!AK356</f>
        <v>3160894</v>
      </c>
      <c r="AM36" s="5">
        <f>'P&amp;L - Inputs'!AL356</f>
        <v>1710288</v>
      </c>
      <c r="AN36" s="5">
        <f>'P&amp;L - Inputs'!AM356</f>
        <v>629793</v>
      </c>
      <c r="AO36" s="5">
        <f>'P&amp;L - Inputs'!AN356</f>
        <v>2981636</v>
      </c>
      <c r="AP36" s="5">
        <f>'P&amp;L - Inputs'!AO356</f>
        <v>5175228</v>
      </c>
      <c r="AQ36" s="5">
        <f>'P&amp;L - Inputs'!AP356</f>
        <v>5264570</v>
      </c>
      <c r="AR36" s="5">
        <f>'P&amp;L - Inputs'!AQ356</f>
        <v>4989792.4245332303</v>
      </c>
      <c r="AS36" s="5">
        <f>'P&amp;L - Inputs'!AR356</f>
        <v>4772902</v>
      </c>
      <c r="AT36" s="5">
        <f>'P&amp;L - Inputs'!AS356</f>
        <v>3545757</v>
      </c>
      <c r="AU36" s="5">
        <f>'P&amp;L - Inputs'!AT356</f>
        <v>6397231</v>
      </c>
      <c r="AV36" s="5">
        <f>'P&amp;L - Inputs'!AU356</f>
        <v>6633389</v>
      </c>
      <c r="AW36" s="5">
        <f>'P&amp;L - Inputs'!AV356</f>
        <v>6557030</v>
      </c>
      <c r="AX36" s="5">
        <f>'P&amp;L - Inputs'!AW356</f>
        <v>6927830.4187631197</v>
      </c>
      <c r="AY36" s="5">
        <f>'P&amp;L - Inputs'!AX356</f>
        <v>5423156</v>
      </c>
      <c r="AZ36" s="5">
        <f>'P&amp;L - Inputs'!AY356</f>
        <v>3541740</v>
      </c>
      <c r="BA36" s="5">
        <f>'P&amp;L - Inputs'!AZ356</f>
        <v>7227290</v>
      </c>
      <c r="BB36" s="5">
        <f>'P&amp;L - Inputs'!BA356</f>
        <v>9344516.0597312786</v>
      </c>
      <c r="BC36" s="5">
        <f>'P&amp;L - Inputs'!BB356</f>
        <v>9763033.8624721076</v>
      </c>
      <c r="BD36" s="5">
        <f>'P&amp;L - Inputs'!BC356</f>
        <v>4674126.8372131148</v>
      </c>
      <c r="BE36" s="5">
        <f>'P&amp;L - Inputs'!BD356</f>
        <v>5173633.0994221661</v>
      </c>
      <c r="BF36" s="5">
        <f>'P&amp;L - Inputs'!BE356</f>
        <v>7140517.7263173442</v>
      </c>
      <c r="BG36" s="5">
        <f>'P&amp;L - Inputs'!BF356</f>
        <v>14462787.953634305</v>
      </c>
      <c r="BH36" s="5">
        <f>'P&amp;L - Inputs'!BG356</f>
        <v>20036816.093387417</v>
      </c>
      <c r="BI36" s="5">
        <f>'P&amp;L - Inputs'!BH356</f>
        <v>20924894.280781038</v>
      </c>
      <c r="BJ36" s="5">
        <f>'P&amp;L - Inputs'!BI356</f>
        <v>13884478.308642717</v>
      </c>
      <c r="BK36" s="5">
        <f>'P&amp;L - Inputs'!BJ356</f>
        <v>12937443</v>
      </c>
      <c r="BL36" s="5">
        <f>'P&amp;L - Inputs'!BK356</f>
        <v>13597076</v>
      </c>
      <c r="BM36" s="5">
        <f>'P&amp;L - Inputs'!BL356</f>
        <v>14532451</v>
      </c>
      <c r="BN36" s="5">
        <f>'P&amp;L - Inputs'!BM356</f>
        <v>15367917</v>
      </c>
      <c r="BO36" s="5">
        <f>'P&amp;L - Inputs'!BN356</f>
        <v>13763336</v>
      </c>
      <c r="BP36" s="5">
        <f>'P&amp;L - Inputs'!BO356</f>
        <v>10331206.99999998</v>
      </c>
      <c r="BQ36" s="5">
        <f>'P&amp;L - Inputs'!BP356</f>
        <v>8461729.6382600926</v>
      </c>
      <c r="BR36" s="5">
        <f>'P&amp;L - Inputs'!BQ356</f>
        <v>9232237.5095498972</v>
      </c>
      <c r="BS36" s="5">
        <f>'P&amp;L - Inputs'!BR356</f>
        <v>9006076</v>
      </c>
      <c r="BT36" s="5">
        <f>'P&amp;L - Inputs'!BS356</f>
        <v>6550508</v>
      </c>
      <c r="BU36" s="5">
        <f>'P&amp;L - Inputs'!BT356</f>
        <v>8410629.0000000037</v>
      </c>
      <c r="BV36" s="5">
        <f>'P&amp;L - Inputs'!BU356</f>
        <v>8279754</v>
      </c>
      <c r="BW36" s="5">
        <f>'P&amp;L - Inputs'!BV356</f>
        <v>11255931</v>
      </c>
      <c r="BX36" s="5">
        <f>'P&amp;L - Inputs'!BW356</f>
        <v>9855388</v>
      </c>
      <c r="BY36" s="5">
        <f>'P&amp;L - Inputs'!BX356</f>
        <v>10776426</v>
      </c>
      <c r="BZ36" s="5">
        <f>'P&amp;L - Inputs'!BY356</f>
        <v>10608737.967032965</v>
      </c>
      <c r="CA36" s="5">
        <f>'P&amp;L - Inputs'!BZ356</f>
        <v>8577799.9999999963</v>
      </c>
      <c r="CB36" s="5">
        <f>'P&amp;L - Inputs'!CA356</f>
        <v>7852941.0000000037</v>
      </c>
      <c r="CC36" s="5">
        <f>'P&amp;L - Inputs'!CB356</f>
        <v>6322539</v>
      </c>
      <c r="CD36" s="5">
        <f>'P&amp;L - Inputs'!CC356</f>
        <v>7767379.7495350856</v>
      </c>
      <c r="CE36" s="5">
        <f>'P&amp;L - Inputs'!CD356</f>
        <v>8856815</v>
      </c>
      <c r="CF36" s="5">
        <f>'P&amp;L - Inputs'!CE356</f>
        <v>9407467.4942954052</v>
      </c>
      <c r="CG36" s="5">
        <f>'P&amp;L - Inputs'!CF356</f>
        <v>9977095.4013090804</v>
      </c>
      <c r="CH36" s="5">
        <f>'P&amp;L - Inputs'!CG356</f>
        <v>10286360</v>
      </c>
      <c r="CI36" s="5">
        <f>'P&amp;L - Inputs'!CH356</f>
        <v>10199469.416973887</v>
      </c>
      <c r="CJ36" s="5">
        <f>'P&amp;L - Inputs'!CI356</f>
        <v>10169748.798407331</v>
      </c>
      <c r="CK36" s="5">
        <f>'P&amp;L - Inputs'!CJ356</f>
        <v>11156010.983162329</v>
      </c>
      <c r="CL36" s="5">
        <f>'P&amp;L - Inputs'!CK356</f>
        <v>13127855.698457584</v>
      </c>
      <c r="CM36" s="5">
        <f>'P&amp;L - Inputs'!CL356</f>
        <v>12561146</v>
      </c>
      <c r="CN36" s="5">
        <f>'P&amp;L - Inputs'!CM356</f>
        <v>8305715</v>
      </c>
      <c r="CO36" s="5">
        <f>'P&amp;L - Inputs'!CN356</f>
        <v>7679908.8712087907</v>
      </c>
      <c r="CP36" s="5">
        <f>'P&amp;L - Inputs'!CO356</f>
        <v>10767176</v>
      </c>
      <c r="CQ36" s="5">
        <f>'P&amp;L - Inputs'!CP356</f>
        <v>13360784</v>
      </c>
      <c r="CR36" s="5">
        <f>'P&amp;L - Inputs'!CQ356</f>
        <v>11803044.050000001</v>
      </c>
      <c r="CS36" s="5">
        <f>'P&amp;L - Inputs'!CR356</f>
        <v>10370877.600000001</v>
      </c>
      <c r="CT36" s="5">
        <f>'P&amp;L - Inputs'!CS356</f>
        <v>10667883.170000002</v>
      </c>
      <c r="CU36" s="5">
        <f>'P&amp;L - Inputs'!CT356</f>
        <v>12268065.645500002</v>
      </c>
      <c r="CV36" s="5">
        <f>'P&amp;L - Inputs'!CU356</f>
        <v>12268065.645500002</v>
      </c>
      <c r="CW36" s="5">
        <f>'P&amp;L - Inputs'!CV356</f>
        <v>12268065.645500002</v>
      </c>
      <c r="CX36" s="5">
        <f>'P&amp;L - Inputs'!CW356</f>
        <v>12268065.645500002</v>
      </c>
      <c r="CY36" s="5">
        <f>'P&amp;L - Inputs'!CX356</f>
        <v>12268065.645500002</v>
      </c>
      <c r="CZ36" s="5">
        <f>'P&amp;L - Inputs'!CY356</f>
        <v>12268065.645500002</v>
      </c>
      <c r="DA36" s="5">
        <f>'P&amp;L - Inputs'!CZ356</f>
        <v>12268065.645500002</v>
      </c>
      <c r="DB36" s="5">
        <f>'P&amp;L - Inputs'!DA356</f>
        <v>12268065.645500002</v>
      </c>
      <c r="DC36" s="5">
        <f>'P&amp;L - Inputs'!DB356</f>
        <v>12268065.645500002</v>
      </c>
      <c r="DD36" s="5">
        <f>'P&amp;L - Inputs'!DC356</f>
        <v>12268065.645500002</v>
      </c>
      <c r="DE36" s="5">
        <f>'P&amp;L - Inputs'!DD356</f>
        <v>12268065.645500002</v>
      </c>
      <c r="DF36" s="5">
        <f>'P&amp;L - Inputs'!DE356</f>
        <v>12268065.645500002</v>
      </c>
      <c r="DG36" s="5">
        <f>'P&amp;L - Inputs'!DF356</f>
        <v>14108275.492325</v>
      </c>
      <c r="DH36" s="5">
        <f>'P&amp;L - Inputs'!DG356</f>
        <v>14108275.492325</v>
      </c>
      <c r="DI36" s="5">
        <f>'P&amp;L - Inputs'!DH356</f>
        <v>14108275.492325</v>
      </c>
      <c r="DJ36" s="5">
        <f>'P&amp;L - Inputs'!DI356</f>
        <v>14108275.492325</v>
      </c>
      <c r="DK36" s="5">
        <f>'P&amp;L - Inputs'!DJ356</f>
        <v>14108275.492325</v>
      </c>
      <c r="DL36" s="5">
        <f>'P&amp;L - Inputs'!DK356</f>
        <v>14108275.492325</v>
      </c>
      <c r="DM36" s="5">
        <f>'P&amp;L - Inputs'!DL356</f>
        <v>14108275.492325</v>
      </c>
      <c r="DN36" s="5">
        <f>'P&amp;L - Inputs'!DM356</f>
        <v>14108275.492325</v>
      </c>
      <c r="DO36" s="5">
        <f>'P&amp;L - Inputs'!DN356</f>
        <v>14108275.492325</v>
      </c>
      <c r="DP36" s="5">
        <f>'P&amp;L - Inputs'!DO356</f>
        <v>14108275.492325</v>
      </c>
      <c r="DQ36" s="5">
        <f>'P&amp;L - Inputs'!DP356</f>
        <v>14108275.492325</v>
      </c>
      <c r="DR36" s="5">
        <f>'P&amp;L - Inputs'!DQ356</f>
        <v>14108275.492325</v>
      </c>
      <c r="DS36" s="5">
        <f>'P&amp;L - Inputs'!DR356</f>
        <v>16224516.816173749</v>
      </c>
      <c r="DT36" s="5">
        <f>'P&amp;L - Inputs'!DS356</f>
        <v>16224516.816173749</v>
      </c>
      <c r="DU36" s="5">
        <f>'P&amp;L - Inputs'!DT356</f>
        <v>16224516.816173749</v>
      </c>
      <c r="DV36" s="5">
        <f>'P&amp;L - Inputs'!DU356</f>
        <v>16224516.816173749</v>
      </c>
      <c r="DW36" s="5">
        <f>'P&amp;L - Inputs'!DV356</f>
        <v>16224516.816173749</v>
      </c>
      <c r="DX36" s="5">
        <f>'P&amp;L - Inputs'!DW356</f>
        <v>16224516.816173749</v>
      </c>
      <c r="DY36" s="5">
        <f>'P&amp;L - Inputs'!DX356</f>
        <v>16224516.816173749</v>
      </c>
      <c r="DZ36" s="5">
        <f>'P&amp;L - Inputs'!DY356</f>
        <v>16224516.816173749</v>
      </c>
      <c r="EA36" s="5">
        <f>'P&amp;L - Inputs'!DZ356</f>
        <v>16224516.816173749</v>
      </c>
      <c r="EB36" s="5">
        <f>'P&amp;L - Inputs'!EA356</f>
        <v>16224516.816173749</v>
      </c>
      <c r="EC36" s="5">
        <f>'P&amp;L - Inputs'!EB356</f>
        <v>16224516.816173749</v>
      </c>
      <c r="ED36" s="5">
        <f>'P&amp;L - Inputs'!EC356</f>
        <v>16224516.816173749</v>
      </c>
      <c r="EF36" s="293">
        <f t="shared" si="13"/>
        <v>41066970</v>
      </c>
      <c r="EG36" s="293">
        <f t="shared" si="14"/>
        <v>39462459.999999978</v>
      </c>
      <c r="EH36" s="293">
        <f t="shared" si="15"/>
        <v>26700043.14780999</v>
      </c>
      <c r="EI36" s="293">
        <f t="shared" si="16"/>
        <v>23240891.000000004</v>
      </c>
      <c r="EJ36" s="293">
        <f t="shared" si="17"/>
        <v>31887745</v>
      </c>
      <c r="EK36" s="293">
        <f t="shared" si="18"/>
        <v>33994716.698457584</v>
      </c>
      <c r="EL36" s="293">
        <f t="shared" si="19"/>
        <v>22946733.749535084</v>
      </c>
      <c r="EM36" s="293">
        <f t="shared" si="20"/>
        <v>29670922.895604484</v>
      </c>
      <c r="EN36" s="293">
        <f t="shared" si="21"/>
        <v>31525229.198543549</v>
      </c>
      <c r="EO36" s="293">
        <f t="shared" si="22"/>
        <v>33994716.698457584</v>
      </c>
      <c r="EP36" s="293">
        <f t="shared" si="23"/>
        <v>31807868.871208791</v>
      </c>
      <c r="EQ36" s="293">
        <f t="shared" si="24"/>
        <v>32841804.820000004</v>
      </c>
      <c r="ER36" s="293">
        <f t="shared" si="25"/>
        <v>36804196.936500005</v>
      </c>
      <c r="ES36" s="293">
        <f t="shared" si="26"/>
        <v>36804196.936500005</v>
      </c>
      <c r="ET36" s="293">
        <f t="shared" si="27"/>
        <v>36804196.936500005</v>
      </c>
      <c r="EU36" s="293">
        <f t="shared" si="28"/>
        <v>36804196.936500005</v>
      </c>
      <c r="EV36" s="293">
        <f t="shared" si="29"/>
        <v>42324826.476975001</v>
      </c>
      <c r="EW36" s="293">
        <f t="shared" si="30"/>
        <v>42324826.476975001</v>
      </c>
      <c r="EX36" s="293">
        <f t="shared" si="31"/>
        <v>42324826.476975001</v>
      </c>
      <c r="EY36" s="293">
        <f t="shared" si="32"/>
        <v>42324826.476975001</v>
      </c>
      <c r="EZ36" s="293">
        <f t="shared" si="33"/>
        <v>48673550.448521249</v>
      </c>
      <c r="FA36" s="293">
        <f t="shared" si="34"/>
        <v>48673550.448521249</v>
      </c>
      <c r="FB36" s="293">
        <f t="shared" si="35"/>
        <v>48673550.448521249</v>
      </c>
      <c r="FC36" s="293">
        <f t="shared" si="36"/>
        <v>48673550.448521249</v>
      </c>
      <c r="FE36" s="293">
        <f t="shared" si="37"/>
        <v>130470364.14780995</v>
      </c>
      <c r="FF36" s="293">
        <f t="shared" si="38"/>
        <v>118500118.34359714</v>
      </c>
      <c r="FG36" s="293">
        <f t="shared" si="39"/>
        <v>130169619.58820993</v>
      </c>
      <c r="FH36" s="293">
        <f t="shared" si="40"/>
        <v>147216787.74600002</v>
      </c>
      <c r="FI36" s="293">
        <f t="shared" si="41"/>
        <v>169299305.90790001</v>
      </c>
      <c r="FJ36" s="807">
        <f t="shared" si="42"/>
        <v>194694201.794085</v>
      </c>
    </row>
    <row r="37" spans="2:166" x14ac:dyDescent="0.2">
      <c r="B37" s="22" t="s">
        <v>57</v>
      </c>
      <c r="C37" s="141">
        <f>C36/C9</f>
        <v>0</v>
      </c>
      <c r="D37" s="141">
        <f t="shared" ref="D37:BO37" si="171">D36/D9</f>
        <v>0</v>
      </c>
      <c r="E37" s="141">
        <f t="shared" si="171"/>
        <v>0</v>
      </c>
      <c r="F37" s="141">
        <f t="shared" si="171"/>
        <v>0</v>
      </c>
      <c r="G37" s="141">
        <f t="shared" si="171"/>
        <v>0</v>
      </c>
      <c r="H37" s="141">
        <f t="shared" si="171"/>
        <v>0</v>
      </c>
      <c r="I37" s="141">
        <f t="shared" si="171"/>
        <v>0</v>
      </c>
      <c r="J37" s="141">
        <f t="shared" si="171"/>
        <v>0</v>
      </c>
      <c r="K37" s="141">
        <f t="shared" si="171"/>
        <v>0.92268255777683617</v>
      </c>
      <c r="L37" s="141">
        <f t="shared" si="171"/>
        <v>0.46742719077217981</v>
      </c>
      <c r="M37" s="141">
        <f t="shared" si="171"/>
        <v>0.22471621403062009</v>
      </c>
      <c r="N37" s="141">
        <f t="shared" si="171"/>
        <v>0.16240004003031927</v>
      </c>
      <c r="O37" s="141">
        <f t="shared" si="171"/>
        <v>0.33928231323452501</v>
      </c>
      <c r="P37" s="141">
        <f t="shared" si="171"/>
        <v>0.31219833512711304</v>
      </c>
      <c r="Q37" s="141">
        <f t="shared" si="171"/>
        <v>0.43496019389407992</v>
      </c>
      <c r="R37" s="141">
        <f t="shared" si="171"/>
        <v>0.20680876131159448</v>
      </c>
      <c r="S37" s="141">
        <f t="shared" si="171"/>
        <v>0.20644398602648575</v>
      </c>
      <c r="T37" s="141">
        <f t="shared" si="171"/>
        <v>0.15872060280551292</v>
      </c>
      <c r="U37" s="141">
        <f t="shared" si="171"/>
        <v>7.4582166647802858E-2</v>
      </c>
      <c r="V37" s="141">
        <f t="shared" si="171"/>
        <v>0.10287726133349263</v>
      </c>
      <c r="W37" s="141">
        <f t="shared" si="171"/>
        <v>0.14142005028093316</v>
      </c>
      <c r="X37" s="141">
        <f t="shared" si="171"/>
        <v>0.13173048024930811</v>
      </c>
      <c r="Y37" s="141">
        <f t="shared" si="171"/>
        <v>0.16397833294350453</v>
      </c>
      <c r="Z37" s="141">
        <f t="shared" si="171"/>
        <v>0.14191526816669159</v>
      </c>
      <c r="AA37" s="141">
        <f t="shared" si="171"/>
        <v>1.2705435617744816</v>
      </c>
      <c r="AB37" s="141">
        <f t="shared" si="171"/>
        <v>0.19463418585384659</v>
      </c>
      <c r="AC37" s="141">
        <f t="shared" si="171"/>
        <v>0.17113114606629021</v>
      </c>
      <c r="AD37" s="141">
        <f t="shared" si="171"/>
        <v>0.16663196707926164</v>
      </c>
      <c r="AE37" s="141">
        <f t="shared" si="171"/>
        <v>0.19486479015591304</v>
      </c>
      <c r="AF37" s="141">
        <f t="shared" si="171"/>
        <v>0.20468691431220254</v>
      </c>
      <c r="AG37" s="141">
        <f t="shared" si="171"/>
        <v>0.10433480292403502</v>
      </c>
      <c r="AH37" s="141">
        <f t="shared" si="171"/>
        <v>7.8555328033425145E-2</v>
      </c>
      <c r="AI37" s="141">
        <f t="shared" si="171"/>
        <v>0.1686864589312447</v>
      </c>
      <c r="AJ37" s="141">
        <f t="shared" si="171"/>
        <v>0.11924726480870025</v>
      </c>
      <c r="AK37" s="141">
        <f t="shared" si="171"/>
        <v>0.13931857695975453</v>
      </c>
      <c r="AL37" s="141">
        <f t="shared" si="171"/>
        <v>0.24207441989411477</v>
      </c>
      <c r="AM37" s="141">
        <f t="shared" si="171"/>
        <v>0.17784277477852947</v>
      </c>
      <c r="AN37" s="141">
        <f t="shared" si="171"/>
        <v>0.14534118402918486</v>
      </c>
      <c r="AO37" s="141">
        <f t="shared" si="171"/>
        <v>0.22366717621799095</v>
      </c>
      <c r="AP37" s="141">
        <f t="shared" si="171"/>
        <v>0.30007876503110942</v>
      </c>
      <c r="AQ37" s="141">
        <f t="shared" si="171"/>
        <v>0.26419310866871576</v>
      </c>
      <c r="AR37" s="141">
        <f t="shared" si="171"/>
        <v>0.2587505603389515</v>
      </c>
      <c r="AS37" s="141">
        <f t="shared" si="171"/>
        <v>0.17488045193583407</v>
      </c>
      <c r="AT37" s="141">
        <f t="shared" si="171"/>
        <v>0.2005458546774333</v>
      </c>
      <c r="AU37" s="141">
        <f t="shared" si="171"/>
        <v>0.32960345496389298</v>
      </c>
      <c r="AV37" s="141">
        <f t="shared" si="171"/>
        <v>0.31702506367968475</v>
      </c>
      <c r="AW37" s="141">
        <f t="shared" si="171"/>
        <v>0.3406114698530619</v>
      </c>
      <c r="AX37" s="141">
        <f t="shared" si="171"/>
        <v>0.27675921956795979</v>
      </c>
      <c r="AY37" s="141">
        <f t="shared" si="171"/>
        <v>0.24290711907454471</v>
      </c>
      <c r="AZ37" s="141">
        <f t="shared" si="171"/>
        <v>0.16678513267455122</v>
      </c>
      <c r="BA37" s="141">
        <f t="shared" si="171"/>
        <v>0.30477945176479915</v>
      </c>
      <c r="BB37" s="141">
        <f t="shared" si="171"/>
        <v>0.4007550781723821</v>
      </c>
      <c r="BC37" s="141">
        <f t="shared" si="171"/>
        <v>0.40218420987417464</v>
      </c>
      <c r="BD37" s="141">
        <f t="shared" si="171"/>
        <v>0.15414111236047245</v>
      </c>
      <c r="BE37" s="141">
        <f t="shared" si="171"/>
        <v>0.16656216547650107</v>
      </c>
      <c r="BF37" s="141">
        <f t="shared" si="171"/>
        <v>0.28764227652315266</v>
      </c>
      <c r="BG37" s="141">
        <f t="shared" si="171"/>
        <v>0.51529989489273498</v>
      </c>
      <c r="BH37" s="141">
        <f t="shared" si="171"/>
        <v>0.62983732978753049</v>
      </c>
      <c r="BI37" s="141">
        <f t="shared" si="171"/>
        <v>0.70929416588723715</v>
      </c>
      <c r="BJ37" s="141">
        <f t="shared" si="171"/>
        <v>0.41651688555342326</v>
      </c>
      <c r="BK37" s="141">
        <f t="shared" si="171"/>
        <v>0.35355972949803793</v>
      </c>
      <c r="BL37" s="141">
        <f t="shared" si="171"/>
        <v>0.355067830304442</v>
      </c>
      <c r="BM37" s="141">
        <f t="shared" si="171"/>
        <v>0.38229297488257119</v>
      </c>
      <c r="BN37" s="141">
        <f t="shared" si="171"/>
        <v>0.37022023039555008</v>
      </c>
      <c r="BO37" s="141">
        <f t="shared" si="171"/>
        <v>0.32148358293920209</v>
      </c>
      <c r="BP37" s="141">
        <f t="shared" ref="BP37:DR37" si="172">BP36/BP9</f>
        <v>0.27114643345563411</v>
      </c>
      <c r="BQ37" s="141">
        <f t="shared" si="172"/>
        <v>0.14950862273677862</v>
      </c>
      <c r="BR37" s="141">
        <f t="shared" si="172"/>
        <v>0.19585893044373523</v>
      </c>
      <c r="BS37" s="141">
        <f t="shared" si="172"/>
        <v>0.20656088552052146</v>
      </c>
      <c r="BT37" s="141">
        <f t="shared" si="172"/>
        <v>0.13219212813093037</v>
      </c>
      <c r="BU37" s="141">
        <f t="shared" si="172"/>
        <v>0.19172343580952628</v>
      </c>
      <c r="BV37" s="141">
        <f t="shared" si="172"/>
        <v>0.18441902076947858</v>
      </c>
      <c r="BW37" s="141">
        <f t="shared" si="172"/>
        <v>0.26215421604539824</v>
      </c>
      <c r="BX37" s="141">
        <f t="shared" si="172"/>
        <v>0.1983338470685333</v>
      </c>
      <c r="BY37" s="141">
        <f t="shared" si="172"/>
        <v>0.2348580791171978</v>
      </c>
      <c r="BZ37" s="141">
        <f t="shared" si="172"/>
        <v>0.19657700071488463</v>
      </c>
      <c r="CA37" s="141">
        <f t="shared" si="172"/>
        <v>0.16844514394707583</v>
      </c>
      <c r="CB37" s="141">
        <f t="shared" si="172"/>
        <v>0.1620990659909953</v>
      </c>
      <c r="CC37" s="141">
        <f t="shared" si="172"/>
        <v>9.2805985094832857E-2</v>
      </c>
      <c r="CD37" s="141">
        <f t="shared" si="172"/>
        <v>0.14834000294328772</v>
      </c>
      <c r="CE37" s="141">
        <f t="shared" si="172"/>
        <v>0.16513438574316777</v>
      </c>
      <c r="CF37" s="141">
        <f t="shared" si="172"/>
        <v>0.16266286323348084</v>
      </c>
      <c r="CG37" s="141">
        <f t="shared" si="172"/>
        <v>0.17272124110576464</v>
      </c>
      <c r="CH37" s="141">
        <f t="shared" si="172"/>
        <v>0.18185551671434386</v>
      </c>
      <c r="CI37" s="141">
        <f t="shared" si="172"/>
        <v>0.17883893117057476</v>
      </c>
      <c r="CJ37" s="141">
        <f t="shared" si="172"/>
        <v>0.16863208524432838</v>
      </c>
      <c r="CK37" s="141">
        <f t="shared" si="172"/>
        <v>0.18765364484676428</v>
      </c>
      <c r="CL37" s="141">
        <f t="shared" si="172"/>
        <v>0.20893559187004973</v>
      </c>
      <c r="CM37" s="141">
        <f t="shared" si="172"/>
        <v>0.21631686510246584</v>
      </c>
      <c r="CN37" s="141">
        <f t="shared" si="172"/>
        <v>0.11847089102306034</v>
      </c>
      <c r="CO37" s="141">
        <f t="shared" si="172"/>
        <v>8.6769158410909986E-2</v>
      </c>
      <c r="CP37" s="141">
        <f t="shared" si="172"/>
        <v>0.15722271024239767</v>
      </c>
      <c r="CQ37" s="141">
        <f t="shared" si="172"/>
        <v>0.18672841453222702</v>
      </c>
      <c r="CR37" s="141">
        <f t="shared" si="172"/>
        <v>0.15793840860053809</v>
      </c>
      <c r="CS37" s="141">
        <f t="shared" si="172"/>
        <v>0.15825427288107557</v>
      </c>
      <c r="CT37" s="141">
        <f t="shared" si="172"/>
        <v>0.12863076513113117</v>
      </c>
      <c r="CU37" s="141">
        <f t="shared" si="172"/>
        <v>0.16675016036593296</v>
      </c>
      <c r="CV37" s="141">
        <f t="shared" si="172"/>
        <v>0.15303352830283024</v>
      </c>
      <c r="CW37" s="141">
        <f t="shared" si="172"/>
        <v>0.15486457287779348</v>
      </c>
      <c r="CX37" s="141">
        <f t="shared" si="172"/>
        <v>0.14164485532134299</v>
      </c>
      <c r="CY37" s="141">
        <f t="shared" si="172"/>
        <v>0.15175357513190982</v>
      </c>
      <c r="CZ37" s="141">
        <f t="shared" si="172"/>
        <v>0.130632709967133</v>
      </c>
      <c r="DA37" s="141">
        <f t="shared" si="172"/>
        <v>0.10567901118405637</v>
      </c>
      <c r="DB37" s="141">
        <f t="shared" si="172"/>
        <v>0.14276750904316657</v>
      </c>
      <c r="DC37" s="141">
        <f t="shared" si="172"/>
        <v>0.13818110924006838</v>
      </c>
      <c r="DD37" s="141">
        <f t="shared" si="172"/>
        <v>0.13170335683118989</v>
      </c>
      <c r="DE37" s="141">
        <f t="shared" si="172"/>
        <v>0.15360593767661943</v>
      </c>
      <c r="DF37" s="141">
        <f t="shared" si="172"/>
        <v>0.12644817277334047</v>
      </c>
      <c r="DG37" s="141">
        <f t="shared" si="172"/>
        <v>0.15980223701735238</v>
      </c>
      <c r="DH37" s="141">
        <f t="shared" si="172"/>
        <v>0.14665713129021229</v>
      </c>
      <c r="DI37" s="141">
        <f t="shared" si="172"/>
        <v>0.14841188234121874</v>
      </c>
      <c r="DJ37" s="141">
        <f t="shared" si="172"/>
        <v>0.13574298634962037</v>
      </c>
      <c r="DK37" s="141">
        <f t="shared" si="172"/>
        <v>0.14543050950141354</v>
      </c>
      <c r="DL37" s="141">
        <f t="shared" si="172"/>
        <v>0.12518968038516909</v>
      </c>
      <c r="DM37" s="141">
        <f t="shared" si="172"/>
        <v>0.10127571905138731</v>
      </c>
      <c r="DN37" s="141">
        <f t="shared" si="172"/>
        <v>0.13681886283303463</v>
      </c>
      <c r="DO37" s="141">
        <f t="shared" si="172"/>
        <v>0.13242356302173214</v>
      </c>
      <c r="DP37" s="141">
        <f t="shared" si="172"/>
        <v>0.12621571696322362</v>
      </c>
      <c r="DQ37" s="141">
        <f t="shared" si="172"/>
        <v>0.14720569027342692</v>
      </c>
      <c r="DR37" s="141">
        <f t="shared" si="172"/>
        <v>0.12117949890778461</v>
      </c>
      <c r="DS37" s="141">
        <f t="shared" ref="DS37:ED37" si="173">DS36/DS9</f>
        <v>0.15980223701735238</v>
      </c>
      <c r="DT37" s="141">
        <f t="shared" si="173"/>
        <v>0.14665713129021229</v>
      </c>
      <c r="DU37" s="141">
        <f t="shared" si="173"/>
        <v>0.14841188234121874</v>
      </c>
      <c r="DV37" s="141">
        <f t="shared" si="173"/>
        <v>0.13574298634962034</v>
      </c>
      <c r="DW37" s="141">
        <f t="shared" si="173"/>
        <v>0.14543050950141354</v>
      </c>
      <c r="DX37" s="141">
        <f t="shared" si="173"/>
        <v>0.12518968038516912</v>
      </c>
      <c r="DY37" s="141">
        <f t="shared" si="173"/>
        <v>0.1012757190513873</v>
      </c>
      <c r="DZ37" s="141">
        <f t="shared" si="173"/>
        <v>0.1368188628330346</v>
      </c>
      <c r="EA37" s="141">
        <f t="shared" si="173"/>
        <v>0.13242356302173214</v>
      </c>
      <c r="EB37" s="141">
        <f t="shared" si="173"/>
        <v>0.12621571696322362</v>
      </c>
      <c r="EC37" s="141">
        <f t="shared" si="173"/>
        <v>0.14720569027342692</v>
      </c>
      <c r="ED37" s="141">
        <f t="shared" si="173"/>
        <v>0.12117949890778458</v>
      </c>
      <c r="EF37" s="179">
        <f t="shared" si="13"/>
        <v>1.090920534685051</v>
      </c>
      <c r="EG37" s="179">
        <f t="shared" si="14"/>
        <v>0.96285024679038633</v>
      </c>
      <c r="EH37" s="179">
        <f t="shared" si="15"/>
        <v>0.55192843870103525</v>
      </c>
      <c r="EI37" s="179">
        <f t="shared" si="16"/>
        <v>0.5083345847099352</v>
      </c>
      <c r="EJ37" s="179">
        <f t="shared" si="17"/>
        <v>0.69534614223112934</v>
      </c>
      <c r="EK37" s="179">
        <f t="shared" si="18"/>
        <v>0.54372334799557587</v>
      </c>
      <c r="EL37" s="179">
        <f t="shared" si="19"/>
        <v>0.40628037378128834</v>
      </c>
      <c r="EM37" s="179">
        <f t="shared" si="20"/>
        <v>0.51723962105358934</v>
      </c>
      <c r="EN37" s="179">
        <f t="shared" si="21"/>
        <v>0.53512466126166736</v>
      </c>
      <c r="EO37" s="179">
        <f t="shared" si="22"/>
        <v>0.54372334799557587</v>
      </c>
      <c r="EP37" s="179">
        <f t="shared" si="23"/>
        <v>0.43072028318553468</v>
      </c>
      <c r="EQ37" s="179">
        <f t="shared" si="24"/>
        <v>0.44482344661274487</v>
      </c>
      <c r="ER37" s="179">
        <f t="shared" si="25"/>
        <v>0.47464826154655665</v>
      </c>
      <c r="ES37" s="179">
        <f t="shared" si="26"/>
        <v>0.42403114042038581</v>
      </c>
      <c r="ET37" s="179">
        <f t="shared" si="27"/>
        <v>0.38662762946729134</v>
      </c>
      <c r="EU37" s="179">
        <f t="shared" si="28"/>
        <v>0.41175746728114976</v>
      </c>
      <c r="EV37" s="179">
        <f t="shared" si="29"/>
        <v>0.45487125064878342</v>
      </c>
      <c r="EW37" s="179">
        <f t="shared" si="30"/>
        <v>0.40636317623620299</v>
      </c>
      <c r="EX37" s="179">
        <f t="shared" si="31"/>
        <v>0.37051814490615409</v>
      </c>
      <c r="EY37" s="179">
        <f t="shared" si="32"/>
        <v>0.39460090614443516</v>
      </c>
      <c r="EZ37" s="179">
        <f t="shared" ref="EZ37" si="174">SUM(DQ37:DS37)</f>
        <v>0.42818742619856387</v>
      </c>
      <c r="FA37" s="179">
        <f t="shared" ref="FA37" si="175">SUM(DR37:DT37)</f>
        <v>0.42763886721534927</v>
      </c>
      <c r="FB37" s="179">
        <f t="shared" ref="FB37" si="176">SUM(DS37:DU37)</f>
        <v>0.45487125064878342</v>
      </c>
      <c r="FC37" s="179">
        <f t="shared" ref="FC37" si="177">SUM(DT37:DV37)</f>
        <v>0.43081199998105135</v>
      </c>
      <c r="FE37" s="179">
        <f>FE36/FE9</f>
        <v>0.25043431364935348</v>
      </c>
      <c r="FF37" s="179">
        <f t="shared" ref="FF37:FJ37" si="178">FF36/FF9</f>
        <v>0.17534685141380324</v>
      </c>
      <c r="FG37" s="179">
        <f t="shared" si="178"/>
        <v>0.15883230452356994</v>
      </c>
      <c r="FH37" s="179">
        <f t="shared" si="178"/>
        <v>0.13952091027688773</v>
      </c>
      <c r="FI37" s="179">
        <f t="shared" si="178"/>
        <v>0.13370753901535073</v>
      </c>
      <c r="FJ37" s="179">
        <f t="shared" si="178"/>
        <v>0.13370753901535073</v>
      </c>
    </row>
    <row r="38" spans="2:166" x14ac:dyDescent="0.2">
      <c r="B38" s="22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1"/>
      <c r="CG38" s="141"/>
      <c r="CH38" s="141"/>
      <c r="CI38" s="141"/>
      <c r="CJ38" s="141"/>
      <c r="CK38" s="141"/>
      <c r="CL38" s="141"/>
      <c r="CM38" s="141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41"/>
      <c r="DZ38" s="141"/>
      <c r="EA38" s="141"/>
      <c r="EB38" s="141"/>
      <c r="EC38" s="141"/>
      <c r="ED38" s="141"/>
      <c r="EF38" s="165">
        <f t="shared" si="13"/>
        <v>0</v>
      </c>
      <c r="EG38" s="165">
        <f t="shared" si="14"/>
        <v>0</v>
      </c>
      <c r="EH38" s="165">
        <f t="shared" si="15"/>
        <v>0</v>
      </c>
      <c r="EI38" s="165">
        <f t="shared" si="16"/>
        <v>0</v>
      </c>
      <c r="EJ38" s="165">
        <f t="shared" si="17"/>
        <v>0</v>
      </c>
      <c r="EK38" s="165">
        <f t="shared" si="18"/>
        <v>0</v>
      </c>
      <c r="EL38" s="165">
        <f t="shared" si="19"/>
        <v>0</v>
      </c>
      <c r="EM38" s="165">
        <f t="shared" si="20"/>
        <v>0</v>
      </c>
      <c r="EN38" s="165">
        <f t="shared" si="21"/>
        <v>0</v>
      </c>
      <c r="EO38" s="165">
        <f t="shared" si="22"/>
        <v>0</v>
      </c>
      <c r="EP38" s="165">
        <f t="shared" si="23"/>
        <v>0</v>
      </c>
      <c r="EQ38" s="165">
        <f t="shared" si="24"/>
        <v>0</v>
      </c>
      <c r="ER38" s="165">
        <f t="shared" si="25"/>
        <v>0</v>
      </c>
      <c r="ES38" s="165">
        <f t="shared" si="26"/>
        <v>0</v>
      </c>
      <c r="ET38" s="165">
        <f t="shared" si="27"/>
        <v>0</v>
      </c>
      <c r="EU38" s="165">
        <f t="shared" si="28"/>
        <v>0</v>
      </c>
      <c r="EV38" s="165">
        <f t="shared" si="29"/>
        <v>0</v>
      </c>
      <c r="EW38" s="165">
        <f t="shared" si="30"/>
        <v>0</v>
      </c>
      <c r="EX38" s="165">
        <f t="shared" si="31"/>
        <v>0</v>
      </c>
      <c r="EY38" s="165">
        <f t="shared" si="32"/>
        <v>0</v>
      </c>
      <c r="EZ38" s="165">
        <f t="shared" si="33"/>
        <v>0</v>
      </c>
      <c r="FA38" s="165">
        <f t="shared" si="34"/>
        <v>0</v>
      </c>
      <c r="FB38" s="165">
        <f t="shared" si="35"/>
        <v>0</v>
      </c>
      <c r="FC38" s="165">
        <f t="shared" si="36"/>
        <v>0</v>
      </c>
      <c r="FE38" s="165">
        <f t="shared" si="37"/>
        <v>0</v>
      </c>
      <c r="FF38" s="165">
        <f t="shared" si="38"/>
        <v>0</v>
      </c>
      <c r="FG38" s="165">
        <f t="shared" si="39"/>
        <v>0</v>
      </c>
      <c r="FH38" s="165">
        <f t="shared" si="40"/>
        <v>0</v>
      </c>
      <c r="FI38" s="165">
        <f t="shared" si="41"/>
        <v>0</v>
      </c>
      <c r="FJ38" s="804">
        <f t="shared" si="42"/>
        <v>0</v>
      </c>
    </row>
    <row r="39" spans="2:166" x14ac:dyDescent="0.2">
      <c r="B39" s="23" t="s">
        <v>153</v>
      </c>
      <c r="C39" s="18">
        <f>'P&amp;L - Inputs'!B360</f>
        <v>0</v>
      </c>
      <c r="D39" s="18">
        <f>'P&amp;L - Inputs'!C360</f>
        <v>0</v>
      </c>
      <c r="E39" s="18">
        <f>'P&amp;L - Inputs'!D360</f>
        <v>0</v>
      </c>
      <c r="F39" s="18">
        <f>'P&amp;L - Inputs'!E360</f>
        <v>0</v>
      </c>
      <c r="G39" s="18">
        <f>'P&amp;L - Inputs'!F360</f>
        <v>0</v>
      </c>
      <c r="H39" s="18">
        <f>'P&amp;L - Inputs'!G360</f>
        <v>0</v>
      </c>
      <c r="I39" s="18">
        <f>'P&amp;L - Inputs'!H360</f>
        <v>0</v>
      </c>
      <c r="J39" s="18">
        <f>'P&amp;L - Inputs'!I360</f>
        <v>0</v>
      </c>
      <c r="K39" s="18">
        <f>'P&amp;L - Inputs'!J360</f>
        <v>2937359</v>
      </c>
      <c r="L39" s="18">
        <f>'P&amp;L - Inputs'!K360</f>
        <v>1561606</v>
      </c>
      <c r="M39" s="18">
        <f>'P&amp;L - Inputs'!L360</f>
        <v>665531</v>
      </c>
      <c r="N39" s="18">
        <f>'P&amp;L - Inputs'!M360</f>
        <v>438148</v>
      </c>
      <c r="O39" s="18">
        <f>'P&amp;L - Inputs'!N360</f>
        <v>901275</v>
      </c>
      <c r="P39" s="18">
        <f>'P&amp;L - Inputs'!O360</f>
        <v>932034</v>
      </c>
      <c r="Q39" s="18">
        <f>'P&amp;L - Inputs'!P360</f>
        <v>1336239</v>
      </c>
      <c r="R39" s="18">
        <f>'P&amp;L - Inputs'!Q360</f>
        <v>723203</v>
      </c>
      <c r="S39" s="18">
        <f>'P&amp;L - Inputs'!R360</f>
        <v>777287</v>
      </c>
      <c r="T39" s="18">
        <f>'P&amp;L - Inputs'!S360</f>
        <v>600584</v>
      </c>
      <c r="U39" s="18">
        <f>'P&amp;L - Inputs'!T360</f>
        <v>363742</v>
      </c>
      <c r="V39" s="18">
        <f>'P&amp;L - Inputs'!U360</f>
        <v>372005</v>
      </c>
      <c r="W39" s="18">
        <f>'P&amp;L - Inputs'!V360</f>
        <v>531131</v>
      </c>
      <c r="X39" s="18">
        <f>'P&amp;L - Inputs'!W360</f>
        <v>571120</v>
      </c>
      <c r="Y39" s="18">
        <f>'P&amp;L - Inputs'!X360</f>
        <v>662511</v>
      </c>
      <c r="Z39" s="18">
        <f>'P&amp;L - Inputs'!Y360</f>
        <v>469347</v>
      </c>
      <c r="AA39" s="18">
        <f>'P&amp;L - Inputs'!Z360</f>
        <v>75423.277457618547</v>
      </c>
      <c r="AB39" s="18">
        <f>'P&amp;L - Inputs'!AA360</f>
        <v>379655</v>
      </c>
      <c r="AC39" s="18">
        <f>'P&amp;L - Inputs'!AB360</f>
        <v>1038700</v>
      </c>
      <c r="AD39" s="18">
        <f>'P&amp;L - Inputs'!AC360</f>
        <v>1514272</v>
      </c>
      <c r="AE39" s="18">
        <f>'P&amp;L - Inputs'!AD360</f>
        <v>2322109</v>
      </c>
      <c r="AF39" s="18">
        <f>'P&amp;L - Inputs'!AE360</f>
        <v>2565957</v>
      </c>
      <c r="AG39" s="18">
        <f>'P&amp;L - Inputs'!AF360</f>
        <v>1598116</v>
      </c>
      <c r="AH39" s="18">
        <f>'P&amp;L - Inputs'!AG360</f>
        <v>968352</v>
      </c>
      <c r="AI39" s="18">
        <f>'P&amp;L - Inputs'!AH360</f>
        <v>1799730</v>
      </c>
      <c r="AJ39" s="18">
        <f>'P&amp;L - Inputs'!AI360</f>
        <v>1574041</v>
      </c>
      <c r="AK39" s="18">
        <f>'P&amp;L - Inputs'!AJ360</f>
        <v>1607920</v>
      </c>
      <c r="AL39" s="18">
        <f>'P&amp;L - Inputs'!AK360</f>
        <v>3160894</v>
      </c>
      <c r="AM39" s="18">
        <f>'P&amp;L - Inputs'!AL360</f>
        <v>0</v>
      </c>
      <c r="AN39" s="18">
        <f>'P&amp;L - Inputs'!AM360</f>
        <v>0</v>
      </c>
      <c r="AO39" s="18">
        <f>'P&amp;L - Inputs'!AN360</f>
        <v>0</v>
      </c>
      <c r="AP39" s="18">
        <f>'P&amp;L - Inputs'!AO360</f>
        <v>0</v>
      </c>
      <c r="AQ39" s="18">
        <f>'P&amp;L - Inputs'!AP360</f>
        <v>0</v>
      </c>
      <c r="AR39" s="18">
        <f>'P&amp;L - Inputs'!AQ360</f>
        <v>0</v>
      </c>
      <c r="AS39" s="18">
        <f>'P&amp;L - Inputs'!AR360</f>
        <v>0</v>
      </c>
      <c r="AT39" s="18">
        <f>'P&amp;L - Inputs'!AS360</f>
        <v>0</v>
      </c>
      <c r="AU39" s="18">
        <f>'P&amp;L - Inputs'!AT360</f>
        <v>0</v>
      </c>
      <c r="AV39" s="18">
        <f>'P&amp;L - Inputs'!AU360</f>
        <v>0</v>
      </c>
      <c r="AW39" s="18">
        <f>'P&amp;L - Inputs'!AV360</f>
        <v>0</v>
      </c>
      <c r="AX39" s="18">
        <f>'P&amp;L - Inputs'!AW360</f>
        <v>0</v>
      </c>
      <c r="AY39" s="18">
        <f>'P&amp;L - Inputs'!AX360</f>
        <v>0</v>
      </c>
      <c r="AZ39" s="18">
        <f>'P&amp;L - Inputs'!AY360</f>
        <v>0</v>
      </c>
      <c r="BA39" s="18">
        <f>'P&amp;L - Inputs'!AZ360</f>
        <v>0</v>
      </c>
      <c r="BB39" s="18">
        <f>'P&amp;L - Inputs'!BA360</f>
        <v>0</v>
      </c>
      <c r="BC39" s="18">
        <f>'P&amp;L - Inputs'!BB360</f>
        <v>0</v>
      </c>
      <c r="BD39" s="18">
        <f>'P&amp;L - Inputs'!BC360</f>
        <v>0</v>
      </c>
      <c r="BE39" s="18">
        <f>'P&amp;L - Inputs'!BD360</f>
        <v>0</v>
      </c>
      <c r="BF39" s="18">
        <f>'P&amp;L - Inputs'!BE360</f>
        <v>0</v>
      </c>
      <c r="BG39" s="18">
        <f>'P&amp;L - Inputs'!BF360</f>
        <v>0</v>
      </c>
      <c r="BH39" s="18">
        <f>'P&amp;L - Inputs'!BG360</f>
        <v>19861942</v>
      </c>
      <c r="BI39" s="18">
        <f>'P&amp;L - Inputs'!BH360</f>
        <v>23476483</v>
      </c>
      <c r="BJ39" s="18">
        <f>'P&amp;L - Inputs'!BI360</f>
        <v>22707539</v>
      </c>
      <c r="BK39" s="18">
        <f>'P&amp;L - Inputs'!BJ360</f>
        <v>3996103</v>
      </c>
      <c r="BL39" s="18">
        <f>'P&amp;L - Inputs'!BK360</f>
        <v>4378020</v>
      </c>
      <c r="BM39" s="18">
        <f>'P&amp;L - Inputs'!BL360</f>
        <v>4358962</v>
      </c>
      <c r="BN39" s="18">
        <f>'P&amp;L - Inputs'!BM360</f>
        <v>5767170.2554945052</v>
      </c>
      <c r="BO39" s="18">
        <f>'P&amp;L - Inputs'!BN360</f>
        <v>5494304.2554945052</v>
      </c>
      <c r="BP39" s="18">
        <f>'P&amp;L - Inputs'!BO360</f>
        <v>782544</v>
      </c>
      <c r="BQ39" s="18">
        <f>'P&amp;L - Inputs'!BP360</f>
        <v>10308250</v>
      </c>
      <c r="BR39" s="18">
        <f>'P&amp;L - Inputs'!BQ360</f>
        <v>4350689</v>
      </c>
      <c r="BS39" s="18">
        <f>'P&amp;L - Inputs'!BR360</f>
        <v>3439577</v>
      </c>
      <c r="BT39" s="18">
        <f>'P&amp;L - Inputs'!BS360</f>
        <v>3439577</v>
      </c>
      <c r="BU39" s="18">
        <f>'P&amp;L - Inputs'!BT360</f>
        <v>4616397</v>
      </c>
      <c r="BV39" s="18">
        <f>'P&amp;L - Inputs'!BU360</f>
        <v>7600506</v>
      </c>
      <c r="BW39" s="18">
        <f>'P&amp;L - Inputs'!BV360</f>
        <v>4005531</v>
      </c>
      <c r="BX39" s="18">
        <f>'P&amp;L - Inputs'!BW360</f>
        <v>4348499</v>
      </c>
      <c r="BY39" s="18">
        <f>'P&amp;L - Inputs'!BX360</f>
        <v>5218937</v>
      </c>
      <c r="BZ39" s="18">
        <f>'P&amp;L - Inputs'!BY360</f>
        <v>3393989</v>
      </c>
      <c r="CA39" s="18">
        <f>'P&amp;L - Inputs'!BZ360</f>
        <v>3117028</v>
      </c>
      <c r="CB39" s="18">
        <f>'P&amp;L - Inputs'!CA360</f>
        <v>3508284</v>
      </c>
      <c r="CC39" s="18">
        <f>'P&amp;L - Inputs'!CB360</f>
        <v>6239359</v>
      </c>
      <c r="CD39" s="18">
        <f>'P&amp;L - Inputs'!CC360</f>
        <v>4725392</v>
      </c>
      <c r="CE39" s="18">
        <f>'P&amp;L - Inputs'!CD360</f>
        <v>6947905</v>
      </c>
      <c r="CF39" s="18">
        <f>'P&amp;L - Inputs'!CE360</f>
        <v>7601655</v>
      </c>
      <c r="CG39" s="18">
        <f>'P&amp;L - Inputs'!CF360</f>
        <v>20280229</v>
      </c>
      <c r="CH39" s="18">
        <f>'P&amp;L - Inputs'!CG360</f>
        <v>5213813</v>
      </c>
      <c r="CI39" s="18">
        <f>'P&amp;L - Inputs'!CH360</f>
        <v>6022554</v>
      </c>
      <c r="CJ39" s="18">
        <f>'P&amp;L - Inputs'!CI360</f>
        <v>7428050</v>
      </c>
      <c r="CK39" s="18">
        <f>'P&amp;L - Inputs'!CJ360</f>
        <v>9275982</v>
      </c>
      <c r="CL39" s="18">
        <f>'P&amp;L - Inputs'!CK360</f>
        <v>9045354</v>
      </c>
      <c r="CM39" s="18">
        <f>'P&amp;L - Inputs'!CL360</f>
        <v>6710657</v>
      </c>
      <c r="CN39" s="18">
        <f>'P&amp;L - Inputs'!CM360</f>
        <v>8708100</v>
      </c>
      <c r="CO39" s="18">
        <f>'P&amp;L - Inputs'!CN360</f>
        <v>6456898.5</v>
      </c>
      <c r="CP39" s="18">
        <f>'P&amp;L - Inputs'!CO360</f>
        <v>8135657</v>
      </c>
      <c r="CQ39" s="18">
        <f>'P&amp;L - Inputs'!CP360</f>
        <v>6274130</v>
      </c>
      <c r="CR39" s="18">
        <f>'P&amp;L - Inputs'!CQ360</f>
        <v>4721643</v>
      </c>
      <c r="CS39" s="18">
        <f>'P&amp;L - Inputs'!CR360</f>
        <v>4209598.5</v>
      </c>
      <c r="CT39" s="18">
        <f>'P&amp;L - Inputs'!CS360</f>
        <v>6144322.5</v>
      </c>
      <c r="CU39" s="18">
        <f>'P&amp;L - Inputs'!CT360</f>
        <v>7065970.875</v>
      </c>
      <c r="CV39" s="18">
        <f>'P&amp;L - Inputs'!CU360</f>
        <v>7065970.875</v>
      </c>
      <c r="CW39" s="18">
        <f>'P&amp;L - Inputs'!CV360</f>
        <v>7065970.875</v>
      </c>
      <c r="CX39" s="18">
        <f>'P&amp;L - Inputs'!CW360</f>
        <v>7065970.875</v>
      </c>
      <c r="CY39" s="18">
        <f>'P&amp;L - Inputs'!CX360</f>
        <v>7065970.875</v>
      </c>
      <c r="CZ39" s="18">
        <f>'P&amp;L - Inputs'!CY360</f>
        <v>7065970.875</v>
      </c>
      <c r="DA39" s="18">
        <f>'P&amp;L - Inputs'!CZ360</f>
        <v>7065970.875</v>
      </c>
      <c r="DB39" s="18">
        <f>'P&amp;L - Inputs'!DA360</f>
        <v>7065970.875</v>
      </c>
      <c r="DC39" s="18">
        <f>'P&amp;L - Inputs'!DB360</f>
        <v>7065970.875</v>
      </c>
      <c r="DD39" s="18">
        <f>'P&amp;L - Inputs'!DC360</f>
        <v>7065970.875</v>
      </c>
      <c r="DE39" s="18">
        <f>'P&amp;L - Inputs'!DD360</f>
        <v>7065970.875</v>
      </c>
      <c r="DF39" s="18">
        <f>'P&amp;L - Inputs'!DE360</f>
        <v>7065970.875</v>
      </c>
      <c r="DG39" s="18">
        <f>'P&amp;L - Inputs'!DF360</f>
        <v>8125866.5062499987</v>
      </c>
      <c r="DH39" s="18">
        <f>'P&amp;L - Inputs'!DG360</f>
        <v>8125866.5062499987</v>
      </c>
      <c r="DI39" s="18">
        <f>'P&amp;L - Inputs'!DH360</f>
        <v>8125866.5062499987</v>
      </c>
      <c r="DJ39" s="18">
        <f>'P&amp;L - Inputs'!DI360</f>
        <v>8125866.5062499987</v>
      </c>
      <c r="DK39" s="18">
        <f>'P&amp;L - Inputs'!DJ360</f>
        <v>8125866.5062499987</v>
      </c>
      <c r="DL39" s="18">
        <f>'P&amp;L - Inputs'!DK360</f>
        <v>8125866.5062499987</v>
      </c>
      <c r="DM39" s="18">
        <f>'P&amp;L - Inputs'!DL360</f>
        <v>8125866.5062499987</v>
      </c>
      <c r="DN39" s="18">
        <f>'P&amp;L - Inputs'!DM360</f>
        <v>8125866.5062499987</v>
      </c>
      <c r="DO39" s="18">
        <f>'P&amp;L - Inputs'!DN360</f>
        <v>8125866.5062499987</v>
      </c>
      <c r="DP39" s="18">
        <f>'P&amp;L - Inputs'!DO360</f>
        <v>8125866.5062499987</v>
      </c>
      <c r="DQ39" s="18">
        <f>'P&amp;L - Inputs'!DP360</f>
        <v>8125866.5062499987</v>
      </c>
      <c r="DR39" s="18">
        <f>'P&amp;L - Inputs'!DQ360</f>
        <v>8125866.5062499987</v>
      </c>
      <c r="DS39" s="18">
        <f>'P&amp;L - Inputs'!DR360</f>
        <v>9344746.4821874984</v>
      </c>
      <c r="DT39" s="18">
        <f>'P&amp;L - Inputs'!DS360</f>
        <v>9344746.4821874984</v>
      </c>
      <c r="DU39" s="18">
        <f>'P&amp;L - Inputs'!DT360</f>
        <v>9344746.4821874984</v>
      </c>
      <c r="DV39" s="18">
        <f>'P&amp;L - Inputs'!DU360</f>
        <v>9344746.4821874984</v>
      </c>
      <c r="DW39" s="18">
        <f>'P&amp;L - Inputs'!DV360</f>
        <v>9344746.4821874984</v>
      </c>
      <c r="DX39" s="18">
        <f>'P&amp;L - Inputs'!DW360</f>
        <v>9344746.4821874984</v>
      </c>
      <c r="DY39" s="18">
        <f>'P&amp;L - Inputs'!DX360</f>
        <v>9344746.4821874984</v>
      </c>
      <c r="DZ39" s="18">
        <f>'P&amp;L - Inputs'!DY360</f>
        <v>9344746.4821874984</v>
      </c>
      <c r="EA39" s="18">
        <f>'P&amp;L - Inputs'!DZ360</f>
        <v>9344746.4821874984</v>
      </c>
      <c r="EB39" s="18">
        <f>'P&amp;L - Inputs'!EA360</f>
        <v>9344746.4821874984</v>
      </c>
      <c r="EC39" s="18">
        <f>'P&amp;L - Inputs'!EB360</f>
        <v>9344746.4821874984</v>
      </c>
      <c r="ED39" s="18">
        <f>'P&amp;L - Inputs'!EC360</f>
        <v>9344746.4821874984</v>
      </c>
      <c r="EF39" s="293">
        <f t="shared" si="13"/>
        <v>12733085</v>
      </c>
      <c r="EG39" s="293">
        <f t="shared" si="14"/>
        <v>12044018.51098901</v>
      </c>
      <c r="EH39" s="293">
        <f t="shared" si="15"/>
        <v>18098516</v>
      </c>
      <c r="EI39" s="293">
        <f t="shared" si="16"/>
        <v>15656480</v>
      </c>
      <c r="EJ39" s="293">
        <f t="shared" si="17"/>
        <v>13572967</v>
      </c>
      <c r="EK39" s="293">
        <f t="shared" si="18"/>
        <v>24464111</v>
      </c>
      <c r="EL39" s="293">
        <f t="shared" si="19"/>
        <v>17912656</v>
      </c>
      <c r="EM39" s="293">
        <f t="shared" si="20"/>
        <v>33095697</v>
      </c>
      <c r="EN39" s="293">
        <f t="shared" si="21"/>
        <v>22726586</v>
      </c>
      <c r="EO39" s="293">
        <f t="shared" si="22"/>
        <v>24464111</v>
      </c>
      <c r="EP39" s="293">
        <f t="shared" si="23"/>
        <v>20866685.5</v>
      </c>
      <c r="EQ39" s="293">
        <f t="shared" si="24"/>
        <v>15075564</v>
      </c>
      <c r="ER39" s="293">
        <f t="shared" si="25"/>
        <v>21197912.625</v>
      </c>
      <c r="ES39" s="293">
        <f t="shared" si="26"/>
        <v>21197912.625</v>
      </c>
      <c r="ET39" s="293">
        <f t="shared" si="27"/>
        <v>21197912.625</v>
      </c>
      <c r="EU39" s="293">
        <f t="shared" si="28"/>
        <v>21197912.625</v>
      </c>
      <c r="EV39" s="293">
        <f t="shared" si="29"/>
        <v>24377599.518749997</v>
      </c>
      <c r="EW39" s="293">
        <f t="shared" si="30"/>
        <v>24377599.518749997</v>
      </c>
      <c r="EX39" s="293">
        <f t="shared" si="31"/>
        <v>24377599.518749997</v>
      </c>
      <c r="EY39" s="293">
        <f t="shared" si="32"/>
        <v>24377599.518749997</v>
      </c>
      <c r="EZ39" s="293">
        <f t="shared" si="33"/>
        <v>28034239.446562495</v>
      </c>
      <c r="FA39" s="293">
        <f t="shared" si="34"/>
        <v>28034239.446562495</v>
      </c>
      <c r="FB39" s="293">
        <f t="shared" si="35"/>
        <v>28034239.446562495</v>
      </c>
      <c r="FC39" s="293">
        <f t="shared" si="36"/>
        <v>28034239.446562495</v>
      </c>
      <c r="FE39" s="293">
        <f t="shared" si="37"/>
        <v>58532099.51098901</v>
      </c>
      <c r="FF39" s="293">
        <f t="shared" si="38"/>
        <v>89045431</v>
      </c>
      <c r="FG39" s="293">
        <f t="shared" si="39"/>
        <v>83132946.5</v>
      </c>
      <c r="FH39" s="293">
        <f t="shared" si="40"/>
        <v>84791650.5</v>
      </c>
      <c r="FI39" s="293">
        <f t="shared" si="41"/>
        <v>97510398.074999988</v>
      </c>
      <c r="FJ39" s="807">
        <f t="shared" si="42"/>
        <v>112136957.78624998</v>
      </c>
    </row>
    <row r="40" spans="2:166" x14ac:dyDescent="0.2">
      <c r="B40" s="22" t="s">
        <v>172</v>
      </c>
      <c r="C40" s="141">
        <f>C39/C9</f>
        <v>0</v>
      </c>
      <c r="D40" s="141">
        <f t="shared" ref="D40:BO40" si="179">D39/D9</f>
        <v>0</v>
      </c>
      <c r="E40" s="141">
        <f t="shared" si="179"/>
        <v>0</v>
      </c>
      <c r="F40" s="141">
        <f t="shared" si="179"/>
        <v>0</v>
      </c>
      <c r="G40" s="141">
        <f t="shared" si="179"/>
        <v>0</v>
      </c>
      <c r="H40" s="141">
        <f t="shared" si="179"/>
        <v>0</v>
      </c>
      <c r="I40" s="141">
        <f t="shared" si="179"/>
        <v>0</v>
      </c>
      <c r="J40" s="141">
        <f t="shared" si="179"/>
        <v>0</v>
      </c>
      <c r="K40" s="141">
        <f t="shared" si="179"/>
        <v>0.92268255777683617</v>
      </c>
      <c r="L40" s="141">
        <f t="shared" si="179"/>
        <v>0.46742719077217981</v>
      </c>
      <c r="M40" s="141">
        <f t="shared" si="179"/>
        <v>0.22471621403062009</v>
      </c>
      <c r="N40" s="141">
        <f t="shared" si="179"/>
        <v>0.16240004003031927</v>
      </c>
      <c r="O40" s="141">
        <f t="shared" si="179"/>
        <v>0.33928231323452501</v>
      </c>
      <c r="P40" s="141">
        <f t="shared" si="179"/>
        <v>0.31219833512711304</v>
      </c>
      <c r="Q40" s="141">
        <f t="shared" si="179"/>
        <v>0.43496019389407992</v>
      </c>
      <c r="R40" s="141">
        <f t="shared" si="179"/>
        <v>0.20680876131159448</v>
      </c>
      <c r="S40" s="141">
        <f t="shared" si="179"/>
        <v>0.20644398602648575</v>
      </c>
      <c r="T40" s="141">
        <f t="shared" si="179"/>
        <v>0.15872060280551292</v>
      </c>
      <c r="U40" s="141">
        <f t="shared" si="179"/>
        <v>7.4582166647802858E-2</v>
      </c>
      <c r="V40" s="141">
        <f t="shared" si="179"/>
        <v>0.10287726133349263</v>
      </c>
      <c r="W40" s="141">
        <f t="shared" si="179"/>
        <v>0.14142005028093316</v>
      </c>
      <c r="X40" s="141">
        <f t="shared" si="179"/>
        <v>0.13173048024930811</v>
      </c>
      <c r="Y40" s="141">
        <f t="shared" si="179"/>
        <v>0.16397833294350453</v>
      </c>
      <c r="Z40" s="141">
        <f t="shared" si="179"/>
        <v>0.14191526816669159</v>
      </c>
      <c r="AA40" s="141">
        <f t="shared" si="179"/>
        <v>1.2705435617744816</v>
      </c>
      <c r="AB40" s="141">
        <f t="shared" si="179"/>
        <v>0.19463418585384659</v>
      </c>
      <c r="AC40" s="141">
        <f t="shared" si="179"/>
        <v>0.17113114606629021</v>
      </c>
      <c r="AD40" s="141">
        <f t="shared" si="179"/>
        <v>0.16663196707926164</v>
      </c>
      <c r="AE40" s="141">
        <f t="shared" si="179"/>
        <v>0.19486479015591304</v>
      </c>
      <c r="AF40" s="141">
        <f t="shared" si="179"/>
        <v>0.20468691431220254</v>
      </c>
      <c r="AG40" s="141">
        <f t="shared" si="179"/>
        <v>0.10433480292403502</v>
      </c>
      <c r="AH40" s="141">
        <f t="shared" si="179"/>
        <v>7.8555328033425145E-2</v>
      </c>
      <c r="AI40" s="141">
        <f t="shared" si="179"/>
        <v>0.1686864589312447</v>
      </c>
      <c r="AJ40" s="141">
        <f t="shared" si="179"/>
        <v>0.11924726480870025</v>
      </c>
      <c r="AK40" s="141">
        <f t="shared" si="179"/>
        <v>0.13931857695975453</v>
      </c>
      <c r="AL40" s="141">
        <f t="shared" si="179"/>
        <v>0.24207441989411477</v>
      </c>
      <c r="AM40" s="141">
        <f t="shared" si="179"/>
        <v>0</v>
      </c>
      <c r="AN40" s="141">
        <f t="shared" si="179"/>
        <v>0</v>
      </c>
      <c r="AO40" s="141">
        <f t="shared" si="179"/>
        <v>0</v>
      </c>
      <c r="AP40" s="141">
        <f t="shared" si="179"/>
        <v>0</v>
      </c>
      <c r="AQ40" s="141">
        <f t="shared" si="179"/>
        <v>0</v>
      </c>
      <c r="AR40" s="141">
        <f t="shared" si="179"/>
        <v>0</v>
      </c>
      <c r="AS40" s="141">
        <f t="shared" si="179"/>
        <v>0</v>
      </c>
      <c r="AT40" s="141">
        <f t="shared" si="179"/>
        <v>0</v>
      </c>
      <c r="AU40" s="141">
        <f t="shared" si="179"/>
        <v>0</v>
      </c>
      <c r="AV40" s="141">
        <f t="shared" si="179"/>
        <v>0</v>
      </c>
      <c r="AW40" s="141">
        <f t="shared" si="179"/>
        <v>0</v>
      </c>
      <c r="AX40" s="141">
        <f t="shared" si="179"/>
        <v>0</v>
      </c>
      <c r="AY40" s="141">
        <f t="shared" si="179"/>
        <v>0</v>
      </c>
      <c r="AZ40" s="141">
        <f t="shared" si="179"/>
        <v>0</v>
      </c>
      <c r="BA40" s="141">
        <f t="shared" si="179"/>
        <v>0</v>
      </c>
      <c r="BB40" s="141">
        <f t="shared" si="179"/>
        <v>0</v>
      </c>
      <c r="BC40" s="141">
        <f t="shared" si="179"/>
        <v>0</v>
      </c>
      <c r="BD40" s="141">
        <f t="shared" si="179"/>
        <v>0</v>
      </c>
      <c r="BE40" s="141">
        <f t="shared" si="179"/>
        <v>0</v>
      </c>
      <c r="BF40" s="141">
        <f t="shared" si="179"/>
        <v>0</v>
      </c>
      <c r="BG40" s="141">
        <f t="shared" si="179"/>
        <v>0</v>
      </c>
      <c r="BH40" s="141">
        <f t="shared" si="179"/>
        <v>0.62434033707597403</v>
      </c>
      <c r="BI40" s="141">
        <f t="shared" si="179"/>
        <v>0.79578573750525838</v>
      </c>
      <c r="BJ40" s="141">
        <f t="shared" si="179"/>
        <v>0.681197608769751</v>
      </c>
      <c r="BK40" s="141">
        <f t="shared" si="179"/>
        <v>0.10920713588661204</v>
      </c>
      <c r="BL40" s="141">
        <f t="shared" si="179"/>
        <v>0.11432561400917764</v>
      </c>
      <c r="BM40" s="141">
        <f t="shared" si="179"/>
        <v>0.11466754991157942</v>
      </c>
      <c r="BN40" s="141">
        <f t="shared" si="179"/>
        <v>0.13893379959818491</v>
      </c>
      <c r="BO40" s="141">
        <f t="shared" si="179"/>
        <v>0.12833579139639392</v>
      </c>
      <c r="BP40" s="141">
        <f t="shared" ref="BP40:DR40" si="180">BP39/BP9</f>
        <v>2.0538163122867072E-2</v>
      </c>
      <c r="BQ40" s="141">
        <f t="shared" si="180"/>
        <v>0.18213442478212943</v>
      </c>
      <c r="BR40" s="141">
        <f t="shared" si="180"/>
        <v>9.2298458889503568E-2</v>
      </c>
      <c r="BS40" s="141">
        <f t="shared" si="180"/>
        <v>7.8889193355243581E-2</v>
      </c>
      <c r="BT40" s="141">
        <f t="shared" si="180"/>
        <v>6.9412174368797208E-2</v>
      </c>
      <c r="BU40" s="141">
        <f t="shared" si="180"/>
        <v>0.1052324973436338</v>
      </c>
      <c r="BV40" s="141">
        <f t="shared" si="180"/>
        <v>0.16928979700031507</v>
      </c>
      <c r="BW40" s="141">
        <f t="shared" si="180"/>
        <v>9.3290092054627904E-2</v>
      </c>
      <c r="BX40" s="141">
        <f t="shared" si="180"/>
        <v>8.7510967162700237E-2</v>
      </c>
      <c r="BY40" s="141">
        <f t="shared" si="180"/>
        <v>0.11373989102265175</v>
      </c>
      <c r="BZ40" s="141">
        <f t="shared" si="180"/>
        <v>6.2889683971137464E-2</v>
      </c>
      <c r="CA40" s="141">
        <f t="shared" si="180"/>
        <v>6.1210127322514643E-2</v>
      </c>
      <c r="CB40" s="141">
        <f t="shared" si="180"/>
        <v>7.2417398733945995E-2</v>
      </c>
      <c r="CC40" s="141">
        <f t="shared" si="180"/>
        <v>9.1585019618749888E-2</v>
      </c>
      <c r="CD40" s="141">
        <f t="shared" si="180"/>
        <v>9.0244675269049932E-2</v>
      </c>
      <c r="CE40" s="141">
        <f t="shared" si="180"/>
        <v>0.12954295922144518</v>
      </c>
      <c r="CF40" s="141">
        <f t="shared" si="180"/>
        <v>0.13143887750480257</v>
      </c>
      <c r="CG40" s="141">
        <f t="shared" si="180"/>
        <v>0.35108678246471609</v>
      </c>
      <c r="CH40" s="141">
        <f t="shared" si="180"/>
        <v>9.2176499477654217E-2</v>
      </c>
      <c r="CI40" s="141">
        <f t="shared" si="180"/>
        <v>0.10560030882436119</v>
      </c>
      <c r="CJ40" s="141">
        <f t="shared" si="180"/>
        <v>0.12316996079542322</v>
      </c>
      <c r="CK40" s="141">
        <f t="shared" si="180"/>
        <v>0.15602994963523784</v>
      </c>
      <c r="CL40" s="141">
        <f t="shared" si="180"/>
        <v>0.14396078347251862</v>
      </c>
      <c r="CM40" s="141">
        <f t="shared" si="180"/>
        <v>0.11556495601738234</v>
      </c>
      <c r="CN40" s="141">
        <f t="shared" si="180"/>
        <v>0.12421042211512336</v>
      </c>
      <c r="CO40" s="141">
        <f t="shared" si="180"/>
        <v>7.2951340723589109E-2</v>
      </c>
      <c r="CP40" s="141">
        <f t="shared" si="180"/>
        <v>0.11879717050622506</v>
      </c>
      <c r="CQ40" s="141">
        <f t="shared" si="180"/>
        <v>8.7686347408137244E-2</v>
      </c>
      <c r="CR40" s="141">
        <f t="shared" si="180"/>
        <v>6.3181055517612036E-2</v>
      </c>
      <c r="CS40" s="141">
        <f t="shared" si="180"/>
        <v>6.423631397778394E-2</v>
      </c>
      <c r="CT40" s="141">
        <f t="shared" si="180"/>
        <v>7.4086760399666482E-2</v>
      </c>
      <c r="CU40" s="141">
        <f t="shared" si="180"/>
        <v>9.6042180617076423E-2</v>
      </c>
      <c r="CV40" s="141">
        <f t="shared" si="180"/>
        <v>8.8141886841217293E-2</v>
      </c>
      <c r="CW40" s="141">
        <f t="shared" si="180"/>
        <v>8.9196503600809121E-2</v>
      </c>
      <c r="CX40" s="141">
        <f t="shared" si="180"/>
        <v>8.1582414963790081E-2</v>
      </c>
      <c r="CY40" s="141">
        <f t="shared" si="180"/>
        <v>8.7404679192641901E-2</v>
      </c>
      <c r="CZ40" s="141">
        <f t="shared" si="180"/>
        <v>7.5239809650730308E-2</v>
      </c>
      <c r="DA40" s="141">
        <f t="shared" si="180"/>
        <v>6.0867363829214961E-2</v>
      </c>
      <c r="DB40" s="141">
        <f t="shared" si="180"/>
        <v>8.2229023706385573E-2</v>
      </c>
      <c r="DC40" s="141">
        <f t="shared" si="180"/>
        <v>7.9587420020340346E-2</v>
      </c>
      <c r="DD40" s="141">
        <f t="shared" si="180"/>
        <v>7.5856464287038919E-2</v>
      </c>
      <c r="DE40" s="141">
        <f t="shared" si="180"/>
        <v>8.8471574347026738E-2</v>
      </c>
      <c r="DF40" s="141">
        <f t="shared" si="180"/>
        <v>7.2829664580505826E-2</v>
      </c>
      <c r="DG40" s="141">
        <f t="shared" si="180"/>
        <v>9.2040423091364898E-2</v>
      </c>
      <c r="DH40" s="141">
        <f t="shared" si="180"/>
        <v>8.4469308222833231E-2</v>
      </c>
      <c r="DI40" s="141">
        <f t="shared" si="180"/>
        <v>8.5479982617442066E-2</v>
      </c>
      <c r="DJ40" s="141">
        <f t="shared" si="180"/>
        <v>7.8183147673632158E-2</v>
      </c>
      <c r="DK40" s="141">
        <f t="shared" si="180"/>
        <v>8.3762817559615149E-2</v>
      </c>
      <c r="DL40" s="141">
        <f t="shared" si="180"/>
        <v>7.2104817581949865E-2</v>
      </c>
      <c r="DM40" s="141">
        <f t="shared" si="180"/>
        <v>5.8331223669664319E-2</v>
      </c>
      <c r="DN40" s="141">
        <f t="shared" si="180"/>
        <v>7.8802814385286163E-2</v>
      </c>
      <c r="DO40" s="141">
        <f t="shared" si="180"/>
        <v>7.6271277519492808E-2</v>
      </c>
      <c r="DP40" s="141">
        <f t="shared" si="180"/>
        <v>7.2695778275078948E-2</v>
      </c>
      <c r="DQ40" s="141">
        <f t="shared" si="180"/>
        <v>8.4785258749233941E-2</v>
      </c>
      <c r="DR40" s="141">
        <f t="shared" si="180"/>
        <v>6.9795095222984743E-2</v>
      </c>
      <c r="DS40" s="141">
        <f t="shared" ref="DS40:ED40" si="181">DS39/DS9</f>
        <v>9.2040423091364912E-2</v>
      </c>
      <c r="DT40" s="141">
        <f t="shared" si="181"/>
        <v>8.4469308222833245E-2</v>
      </c>
      <c r="DU40" s="141">
        <f t="shared" si="181"/>
        <v>8.547998261744208E-2</v>
      </c>
      <c r="DV40" s="141">
        <f t="shared" si="181"/>
        <v>7.8183147673632145E-2</v>
      </c>
      <c r="DW40" s="141">
        <f t="shared" si="181"/>
        <v>8.3762817559615149E-2</v>
      </c>
      <c r="DX40" s="141">
        <f t="shared" si="181"/>
        <v>7.2104817581949865E-2</v>
      </c>
      <c r="DY40" s="141">
        <f t="shared" si="181"/>
        <v>5.8331223669664312E-2</v>
      </c>
      <c r="DZ40" s="141">
        <f t="shared" si="181"/>
        <v>7.8802814385286163E-2</v>
      </c>
      <c r="EA40" s="141">
        <f t="shared" si="181"/>
        <v>7.6271277519492808E-2</v>
      </c>
      <c r="EB40" s="141">
        <f t="shared" si="181"/>
        <v>7.2695778275078962E-2</v>
      </c>
      <c r="EC40" s="141">
        <f t="shared" si="181"/>
        <v>8.4785258749233941E-2</v>
      </c>
      <c r="ED40" s="141">
        <f t="shared" si="181"/>
        <v>6.9795095222984729E-2</v>
      </c>
      <c r="EF40" s="179">
        <f t="shared" si="13"/>
        <v>0.3382002998073691</v>
      </c>
      <c r="EG40" s="179">
        <f t="shared" si="14"/>
        <v>0.28780775411744586</v>
      </c>
      <c r="EH40" s="179">
        <f t="shared" si="15"/>
        <v>0.35332207702687657</v>
      </c>
      <c r="EI40" s="179">
        <f t="shared" si="16"/>
        <v>0.34393446871274608</v>
      </c>
      <c r="EJ40" s="179">
        <f t="shared" si="17"/>
        <v>0.29454095023997989</v>
      </c>
      <c r="EK40" s="179">
        <f t="shared" si="18"/>
        <v>0.38373616160502433</v>
      </c>
      <c r="EL40" s="179">
        <f t="shared" si="19"/>
        <v>0.31137265410924497</v>
      </c>
      <c r="EM40" s="179">
        <f t="shared" si="20"/>
        <v>0.57470215944717284</v>
      </c>
      <c r="EN40" s="179">
        <f t="shared" si="21"/>
        <v>0.38480021925502228</v>
      </c>
      <c r="EO40" s="179">
        <f t="shared" si="22"/>
        <v>0.38373616160502433</v>
      </c>
      <c r="EP40" s="179">
        <f t="shared" si="23"/>
        <v>0.27943485863795142</v>
      </c>
      <c r="EQ40" s="179">
        <f t="shared" si="24"/>
        <v>0.20150412989506244</v>
      </c>
      <c r="ER40" s="179">
        <f t="shared" si="25"/>
        <v>0.27338057105910285</v>
      </c>
      <c r="ES40" s="179">
        <f t="shared" si="26"/>
        <v>0.24422690380716228</v>
      </c>
      <c r="ET40" s="179">
        <f t="shared" si="27"/>
        <v>0.22268380755594086</v>
      </c>
      <c r="EU40" s="179">
        <f t="shared" si="28"/>
        <v>0.23715770321457147</v>
      </c>
      <c r="EV40" s="179">
        <f t="shared" si="29"/>
        <v>0.26198971393164017</v>
      </c>
      <c r="EW40" s="179">
        <f t="shared" si="30"/>
        <v>0.23405078281519717</v>
      </c>
      <c r="EX40" s="179">
        <f t="shared" si="31"/>
        <v>0.21340531557444328</v>
      </c>
      <c r="EY40" s="179">
        <f t="shared" si="32"/>
        <v>0.22727613224729762</v>
      </c>
      <c r="EZ40" s="179">
        <f t="shared" ref="EZ40" si="182">SUM(DQ40:DS40)</f>
        <v>0.2466207770635836</v>
      </c>
      <c r="FA40" s="179">
        <f t="shared" ref="FA40" si="183">SUM(DR40:DT40)</f>
        <v>0.24630482653718291</v>
      </c>
      <c r="FB40" s="179">
        <f t="shared" ref="FB40" si="184">SUM(DS40:DU40)</f>
        <v>0.26198971393164028</v>
      </c>
      <c r="FC40" s="179">
        <f t="shared" ref="FC40" si="185">SUM(DT40:DV40)</f>
        <v>0.24813243851390748</v>
      </c>
      <c r="FE40" s="161">
        <f>FE39/FE9</f>
        <v>0.11235077224804575</v>
      </c>
      <c r="FF40" s="161">
        <f t="shared" ref="FF40:FJ40" si="186">FF39/FF9</f>
        <v>0.13176219717656276</v>
      </c>
      <c r="FG40" s="161">
        <f t="shared" si="186"/>
        <v>0.10143839642614745</v>
      </c>
      <c r="FH40" s="161">
        <f t="shared" si="186"/>
        <v>8.0359097917901398E-2</v>
      </c>
      <c r="FI40" s="161">
        <f t="shared" si="186"/>
        <v>7.7010802171322168E-2</v>
      </c>
      <c r="FJ40" s="161">
        <f t="shared" si="186"/>
        <v>7.7010802171322168E-2</v>
      </c>
    </row>
    <row r="41" spans="2:166" x14ac:dyDescent="0.2">
      <c r="B41" s="22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  <c r="DB41" s="148"/>
      <c r="DC41" s="148"/>
      <c r="DD41" s="148"/>
      <c r="DE41" s="148"/>
      <c r="DF41" s="148"/>
      <c r="DG41" s="148"/>
      <c r="DH41" s="148"/>
      <c r="DI41" s="148"/>
      <c r="DJ41" s="148"/>
      <c r="DK41" s="148"/>
      <c r="DL41" s="148"/>
      <c r="DM41" s="148"/>
      <c r="DN41" s="148"/>
      <c r="DO41" s="148"/>
      <c r="DP41" s="148"/>
      <c r="DQ41" s="148"/>
      <c r="DR41" s="148"/>
      <c r="DS41" s="148"/>
      <c r="DT41" s="148"/>
      <c r="DU41" s="148"/>
      <c r="DV41" s="148"/>
      <c r="DW41" s="148"/>
      <c r="DX41" s="148"/>
      <c r="DY41" s="148"/>
      <c r="DZ41" s="148"/>
      <c r="EA41" s="148"/>
      <c r="EB41" s="148"/>
      <c r="EC41" s="148"/>
      <c r="ED41" s="148"/>
      <c r="EF41" s="165"/>
      <c r="EG41" s="165"/>
      <c r="EH41" s="165"/>
      <c r="EI41" s="165"/>
      <c r="EJ41" s="165"/>
      <c r="EK41" s="165"/>
      <c r="EL41" s="165"/>
      <c r="EM41" s="165"/>
      <c r="EN41" s="165"/>
      <c r="EO41" s="165"/>
      <c r="EP41" s="165"/>
      <c r="EQ41" s="165"/>
      <c r="ER41" s="165"/>
      <c r="ES41" s="165"/>
      <c r="ET41" s="165"/>
      <c r="EU41" s="165"/>
      <c r="EV41" s="165"/>
      <c r="EW41" s="165"/>
      <c r="EX41" s="165"/>
      <c r="EY41" s="165"/>
      <c r="EZ41" s="165">
        <f t="shared" si="33"/>
        <v>0</v>
      </c>
      <c r="FA41" s="165">
        <f t="shared" si="34"/>
        <v>0</v>
      </c>
      <c r="FB41" s="165">
        <f t="shared" si="35"/>
        <v>0</v>
      </c>
      <c r="FC41" s="165">
        <f t="shared" si="36"/>
        <v>0</v>
      </c>
      <c r="FE41" s="165">
        <f t="shared" si="37"/>
        <v>0</v>
      </c>
      <c r="FF41" s="165">
        <f t="shared" si="38"/>
        <v>0</v>
      </c>
      <c r="FG41" s="165">
        <f t="shared" si="39"/>
        <v>0</v>
      </c>
      <c r="FH41" s="165">
        <f t="shared" si="40"/>
        <v>0</v>
      </c>
      <c r="FI41" s="165">
        <f t="shared" si="41"/>
        <v>0</v>
      </c>
      <c r="FJ41" s="804">
        <f t="shared" si="42"/>
        <v>0</v>
      </c>
    </row>
    <row r="42" spans="2:166" x14ac:dyDescent="0.2">
      <c r="B42" s="23" t="s">
        <v>217</v>
      </c>
      <c r="C42" s="5">
        <f t="shared" ref="C42:AK42" si="187">C33-C36</f>
        <v>3205149.8571428573</v>
      </c>
      <c r="D42" s="5">
        <f t="shared" si="187"/>
        <v>5170025.8571428573</v>
      </c>
      <c r="E42" s="5">
        <f t="shared" si="187"/>
        <v>4746984.8571428563</v>
      </c>
      <c r="F42" s="5">
        <f t="shared" si="187"/>
        <v>3792577.8571428573</v>
      </c>
      <c r="G42" s="5">
        <f t="shared" si="187"/>
        <v>1810330.8571428573</v>
      </c>
      <c r="H42" s="5">
        <f t="shared" si="187"/>
        <v>1020404.5714285711</v>
      </c>
      <c r="I42" s="5">
        <f t="shared" si="187"/>
        <v>1516954.2857142854</v>
      </c>
      <c r="J42" s="5">
        <f t="shared" si="187"/>
        <v>1362178.2857142857</v>
      </c>
      <c r="K42" s="5">
        <f t="shared" si="187"/>
        <v>-839562.14285714272</v>
      </c>
      <c r="L42" s="5">
        <f t="shared" si="187"/>
        <v>877011</v>
      </c>
      <c r="M42" s="5">
        <f t="shared" si="187"/>
        <v>1314549</v>
      </c>
      <c r="N42" s="5">
        <f t="shared" si="187"/>
        <v>1072181</v>
      </c>
      <c r="O42" s="5">
        <f t="shared" si="187"/>
        <v>793986.10199999996</v>
      </c>
      <c r="P42" s="5">
        <f t="shared" si="187"/>
        <v>1089065.6800000002</v>
      </c>
      <c r="Q42" s="5">
        <f t="shared" si="187"/>
        <v>731839.05811137985</v>
      </c>
      <c r="R42" s="5">
        <f t="shared" si="187"/>
        <v>1583708</v>
      </c>
      <c r="S42" s="5">
        <f t="shared" si="187"/>
        <v>2000386.9999999995</v>
      </c>
      <c r="T42" s="5">
        <f t="shared" si="187"/>
        <v>2112593</v>
      </c>
      <c r="U42" s="5">
        <f t="shared" si="187"/>
        <v>3264850</v>
      </c>
      <c r="V42" s="5">
        <f t="shared" si="187"/>
        <v>2043300.9999999995</v>
      </c>
      <c r="W42" s="5">
        <f t="shared" si="187"/>
        <v>2185724.9999999995</v>
      </c>
      <c r="X42" s="5">
        <f t="shared" si="187"/>
        <v>2464472</v>
      </c>
      <c r="Y42" s="5">
        <f t="shared" si="187"/>
        <v>2253804</v>
      </c>
      <c r="Z42" s="5">
        <f t="shared" si="187"/>
        <v>1842015.9999999995</v>
      </c>
      <c r="AA42" s="5">
        <f t="shared" si="187"/>
        <v>-1329903.8014033728</v>
      </c>
      <c r="AB42" s="5">
        <f t="shared" si="187"/>
        <v>213353</v>
      </c>
      <c r="AC42" s="5">
        <f t="shared" si="187"/>
        <v>3826388</v>
      </c>
      <c r="AD42" s="5">
        <f t="shared" si="187"/>
        <v>6470126</v>
      </c>
      <c r="AE42" s="5">
        <f t="shared" si="187"/>
        <v>8207163</v>
      </c>
      <c r="AF42" s="5">
        <f t="shared" si="187"/>
        <v>8292600</v>
      </c>
      <c r="AG42" s="5">
        <f t="shared" si="187"/>
        <v>11989634</v>
      </c>
      <c r="AH42" s="5">
        <f t="shared" si="187"/>
        <v>9794557</v>
      </c>
      <c r="AI42" s="5">
        <f t="shared" si="187"/>
        <v>7157966</v>
      </c>
      <c r="AJ42" s="5">
        <f t="shared" si="187"/>
        <v>9836396</v>
      </c>
      <c r="AK42" s="5">
        <f t="shared" si="187"/>
        <v>8257712.9999999981</v>
      </c>
      <c r="AL42" s="5">
        <f>AL33-AL36</f>
        <v>7625415.9999999981</v>
      </c>
      <c r="AM42" s="5">
        <f t="shared" ref="AM42:BN42" si="188">AM33-AM36-AM39</f>
        <v>5816111.9999999981</v>
      </c>
      <c r="AN42" s="5">
        <f t="shared" si="188"/>
        <v>1152993</v>
      </c>
      <c r="AO42" s="5">
        <f t="shared" si="188"/>
        <v>7322167</v>
      </c>
      <c r="AP42" s="5">
        <f t="shared" si="188"/>
        <v>9192435</v>
      </c>
      <c r="AQ42" s="5">
        <f t="shared" si="188"/>
        <v>11652779</v>
      </c>
      <c r="AR42" s="5">
        <f t="shared" si="188"/>
        <v>8953389.2783000693</v>
      </c>
      <c r="AS42" s="5">
        <f t="shared" si="188"/>
        <v>15920490</v>
      </c>
      <c r="AT42" s="5">
        <f t="shared" si="188"/>
        <v>10317673</v>
      </c>
      <c r="AU42" s="5">
        <f t="shared" si="188"/>
        <v>8318837.1864406765</v>
      </c>
      <c r="AV42" s="5">
        <f t="shared" si="188"/>
        <v>9920169</v>
      </c>
      <c r="AW42" s="5">
        <f t="shared" si="188"/>
        <v>8091539</v>
      </c>
      <c r="AX42" s="5">
        <f t="shared" si="188"/>
        <v>12662218.58123688</v>
      </c>
      <c r="AY42" s="5">
        <f t="shared" si="188"/>
        <v>11475574.999999996</v>
      </c>
      <c r="AZ42" s="5">
        <f t="shared" si="188"/>
        <v>11598969.820448715</v>
      </c>
      <c r="BA42" s="5">
        <f t="shared" si="188"/>
        <v>9824119.6823076941</v>
      </c>
      <c r="BB42" s="5">
        <f t="shared" si="188"/>
        <v>7981113.1965857185</v>
      </c>
      <c r="BC42" s="5">
        <f t="shared" si="188"/>
        <v>8836441.2802592684</v>
      </c>
      <c r="BD42" s="5">
        <f t="shared" si="188"/>
        <v>17050826.055438798</v>
      </c>
      <c r="BE42" s="5">
        <f t="shared" si="188"/>
        <v>15593200.151418155</v>
      </c>
      <c r="BF42" s="5">
        <f t="shared" si="188"/>
        <v>10501670.704098569</v>
      </c>
      <c r="BG42" s="5">
        <f t="shared" si="188"/>
        <v>6262234.1796776671</v>
      </c>
      <c r="BH42" s="5">
        <f t="shared" si="188"/>
        <v>-14722506.981298953</v>
      </c>
      <c r="BI42" s="5">
        <f t="shared" si="188"/>
        <v>-21552037.013590097</v>
      </c>
      <c r="BJ42" s="5">
        <f t="shared" si="188"/>
        <v>-9561531.2665085774</v>
      </c>
      <c r="BK42" s="5">
        <f t="shared" si="188"/>
        <v>12418704.590677787</v>
      </c>
      <c r="BL42" s="5">
        <f t="shared" si="188"/>
        <v>12859132.979868919</v>
      </c>
      <c r="BM42" s="5">
        <f t="shared" si="188"/>
        <v>12377503.056713421</v>
      </c>
      <c r="BN42" s="5">
        <f t="shared" si="188"/>
        <v>13875014.908620358</v>
      </c>
      <c r="BO42" s="5">
        <f t="shared" ref="BO42:CS42" si="189">BO33-BO36-BO39</f>
        <v>16186459.946198784</v>
      </c>
      <c r="BP42" s="5">
        <f t="shared" si="189"/>
        <v>19941483.352744706</v>
      </c>
      <c r="BQ42" s="5">
        <f t="shared" si="189"/>
        <v>29677380.34839192</v>
      </c>
      <c r="BR42" s="5">
        <f t="shared" si="189"/>
        <v>26325620.008287776</v>
      </c>
      <c r="BS42" s="5">
        <f t="shared" si="189"/>
        <v>23846918.554142952</v>
      </c>
      <c r="BT42" s="5">
        <f t="shared" si="189"/>
        <v>32320668.378351226</v>
      </c>
      <c r="BU42" s="5">
        <f t="shared" si="189"/>
        <v>24050440.457450379</v>
      </c>
      <c r="BV42" s="5">
        <f t="shared" si="189"/>
        <v>22327648.869066566</v>
      </c>
      <c r="BW42" s="5">
        <f t="shared" si="189"/>
        <v>20334368.381177373</v>
      </c>
      <c r="BX42" s="5">
        <f t="shared" si="189"/>
        <v>28012372.491198614</v>
      </c>
      <c r="BY42" s="5">
        <f t="shared" si="189"/>
        <v>22160713.566948168</v>
      </c>
      <c r="BZ42" s="5">
        <f t="shared" si="189"/>
        <v>32404603.539421558</v>
      </c>
      <c r="CA42" s="5">
        <f t="shared" si="189"/>
        <v>31405755.627777621</v>
      </c>
      <c r="CB42" s="5">
        <f t="shared" si="189"/>
        <v>29564873.238832559</v>
      </c>
      <c r="CC42" s="5">
        <f t="shared" si="189"/>
        <v>47399535.319395356</v>
      </c>
      <c r="CD42" s="5">
        <f t="shared" si="189"/>
        <v>32128307.100556947</v>
      </c>
      <c r="CE42" s="5">
        <f t="shared" si="189"/>
        <v>29883910.72804103</v>
      </c>
      <c r="CF42" s="5">
        <f t="shared" si="189"/>
        <v>32348724.686344646</v>
      </c>
      <c r="CG42" s="5">
        <f t="shared" si="189"/>
        <v>19234862.385987051</v>
      </c>
      <c r="CH42" s="5">
        <f t="shared" si="189"/>
        <v>30604058.641611665</v>
      </c>
      <c r="CI42" s="5">
        <f t="shared" si="189"/>
        <v>30780458.019190207</v>
      </c>
      <c r="CJ42" s="5">
        <f t="shared" si="189"/>
        <v>32793079.094226912</v>
      </c>
      <c r="CK42" s="5">
        <f t="shared" si="189"/>
        <v>28547826.965402812</v>
      </c>
      <c r="CL42" s="5">
        <f t="shared" si="189"/>
        <v>29457389.064761847</v>
      </c>
      <c r="CM42" s="5">
        <f t="shared" si="189"/>
        <v>28890238.27927997</v>
      </c>
      <c r="CN42" s="5">
        <f t="shared" si="189"/>
        <v>42924677.274478383</v>
      </c>
      <c r="CO42" s="5">
        <f t="shared" si="189"/>
        <v>62767213.076675922</v>
      </c>
      <c r="CP42" s="5">
        <f t="shared" si="189"/>
        <v>39453245.703535035</v>
      </c>
      <c r="CQ42" s="5">
        <f t="shared" si="189"/>
        <v>42556554.629202947</v>
      </c>
      <c r="CR42" s="5">
        <f t="shared" si="189"/>
        <v>47230172.876791313</v>
      </c>
      <c r="CS42" s="5">
        <f t="shared" si="189"/>
        <v>41353776.480470814</v>
      </c>
      <c r="CT42" s="5">
        <f t="shared" ref="CT42:DR42" si="190">CT33-CT36-CT39</f>
        <v>55405578.780158043</v>
      </c>
      <c r="CU42" s="5">
        <f t="shared" si="190"/>
        <v>42233044.387805007</v>
      </c>
      <c r="CV42" s="5">
        <f t="shared" si="190"/>
        <v>48827375.178230479</v>
      </c>
      <c r="CW42" s="5">
        <f t="shared" si="190"/>
        <v>47879532.329718545</v>
      </c>
      <c r="CX42" s="5">
        <f t="shared" si="190"/>
        <v>55272952.421742931</v>
      </c>
      <c r="CY42" s="5">
        <f t="shared" si="190"/>
        <v>49503527.664198786</v>
      </c>
      <c r="CZ42" s="5">
        <f t="shared" si="190"/>
        <v>62574169.902044371</v>
      </c>
      <c r="DA42" s="5">
        <f t="shared" si="190"/>
        <v>84749512.705492303</v>
      </c>
      <c r="DB42" s="5">
        <f t="shared" si="190"/>
        <v>54591882.463149399</v>
      </c>
      <c r="DC42" s="5">
        <f t="shared" si="190"/>
        <v>57444016.585779354</v>
      </c>
      <c r="DD42" s="5">
        <f t="shared" si="190"/>
        <v>61810732.276978329</v>
      </c>
      <c r="DE42" s="5">
        <f t="shared" si="190"/>
        <v>48528638.71624811</v>
      </c>
      <c r="DF42" s="5">
        <f t="shared" si="190"/>
        <v>65682012.601185977</v>
      </c>
      <c r="DG42" s="5">
        <f t="shared" si="190"/>
        <v>53099787.085090443</v>
      </c>
      <c r="DH42" s="5">
        <f t="shared" si="190"/>
        <v>61012984.033601008</v>
      </c>
      <c r="DI42" s="5">
        <f t="shared" si="190"/>
        <v>59875572.615386687</v>
      </c>
      <c r="DJ42" s="5">
        <f t="shared" si="190"/>
        <v>68747676.725815952</v>
      </c>
      <c r="DK42" s="5">
        <f t="shared" si="190"/>
        <v>61824367.016762994</v>
      </c>
      <c r="DL42" s="5">
        <f t="shared" si="190"/>
        <v>77509137.702177703</v>
      </c>
      <c r="DM42" s="5">
        <f t="shared" si="190"/>
        <v>104119549.06631523</v>
      </c>
      <c r="DN42" s="5">
        <f t="shared" si="190"/>
        <v>67930392.775503725</v>
      </c>
      <c r="DO42" s="5">
        <f t="shared" si="190"/>
        <v>71352953.722659677</v>
      </c>
      <c r="DP42" s="5">
        <f t="shared" si="190"/>
        <v>76593012.552098453</v>
      </c>
      <c r="DQ42" s="5">
        <f t="shared" si="190"/>
        <v>60654500.279222183</v>
      </c>
      <c r="DR42" s="5">
        <f t="shared" si="190"/>
        <v>81238548.941147625</v>
      </c>
      <c r="DS42" s="5">
        <f t="shared" ref="DS42:ED42" si="191">DS33-DS36-DS39</f>
        <v>61984931.332634643</v>
      </c>
      <c r="DT42" s="5">
        <f t="shared" si="191"/>
        <v>71085107.823421806</v>
      </c>
      <c r="DU42" s="5">
        <f t="shared" si="191"/>
        <v>69777084.692475334</v>
      </c>
      <c r="DV42" s="5">
        <f t="shared" si="191"/>
        <v>79980004.419468999</v>
      </c>
      <c r="DW42" s="5">
        <f t="shared" si="191"/>
        <v>72018198.254058078</v>
      </c>
      <c r="DX42" s="5">
        <f t="shared" si="191"/>
        <v>90055684.54228498</v>
      </c>
      <c r="DY42" s="5">
        <f t="shared" si="191"/>
        <v>120657657.61104318</v>
      </c>
      <c r="DZ42" s="5">
        <f t="shared" si="191"/>
        <v>79040127.876609921</v>
      </c>
      <c r="EA42" s="5">
        <f t="shared" si="191"/>
        <v>82976072.965839282</v>
      </c>
      <c r="EB42" s="5">
        <f t="shared" si="191"/>
        <v>89002140.619693846</v>
      </c>
      <c r="EC42" s="5">
        <f t="shared" si="191"/>
        <v>70672851.505886152</v>
      </c>
      <c r="ED42" s="5">
        <f t="shared" si="191"/>
        <v>94344507.467100427</v>
      </c>
      <c r="EF42" s="293">
        <f t="shared" ref="EF42" si="192">SUM(BK42:BM42)</f>
        <v>37655340.627260126</v>
      </c>
      <c r="EG42" s="293">
        <f t="shared" ref="EG42" si="193">SUM(BN42:BP42)</f>
        <v>50002958.207563847</v>
      </c>
      <c r="EH42" s="293">
        <f t="shared" ref="EH42" si="194">SUM(BQ42:BS42)</f>
        <v>79849918.910822645</v>
      </c>
      <c r="EI42" s="293">
        <f t="shared" ref="EI42" si="195">SUM(BT42:BV42)</f>
        <v>78698757.704868168</v>
      </c>
      <c r="EJ42" s="293">
        <f t="shared" ref="EJ42" si="196">SUM(BW42:BY42)</f>
        <v>70507454.439324155</v>
      </c>
      <c r="EK42" s="293">
        <f t="shared" ref="EK42" si="197">SUM(CL42:CN42)</f>
        <v>101272304.6185202</v>
      </c>
      <c r="EL42" s="293">
        <f t="shared" ref="EL42" si="198">SUM(CC42:CE42)</f>
        <v>109411753.14799333</v>
      </c>
      <c r="EM42" s="293">
        <f t="shared" ref="EM42" si="199">SUM(CF42:CH42)</f>
        <v>82187645.713943362</v>
      </c>
      <c r="EN42" s="293">
        <f t="shared" ref="EN42" si="200">SUM(CI42:CK42)</f>
        <v>92121364.078819931</v>
      </c>
      <c r="EO42" s="293">
        <f t="shared" ref="EO42" si="201">SUM(CL42:CN42)</f>
        <v>101272304.6185202</v>
      </c>
      <c r="EP42" s="293">
        <f t="shared" ref="EP42" si="202">SUM(CO42:CQ42)</f>
        <v>144777013.4094139</v>
      </c>
      <c r="EQ42" s="293">
        <f t="shared" ref="EQ42" si="203">SUM(CR42:CT42)</f>
        <v>143989528.13742018</v>
      </c>
      <c r="ER42" s="293">
        <f t="shared" ref="ER42" si="204">SUM(CU42:CW42)</f>
        <v>138939951.89575404</v>
      </c>
      <c r="ES42" s="293">
        <f t="shared" ref="ES42" si="205">SUM(CX42:CZ42)</f>
        <v>167350649.98798609</v>
      </c>
      <c r="ET42" s="293">
        <f t="shared" ref="ET42" si="206">SUM(DA42:DC42)</f>
        <v>196785411.75442106</v>
      </c>
      <c r="EU42" s="293">
        <f t="shared" ref="EU42" si="207">SUM(DD42:DF42)</f>
        <v>176021383.59441242</v>
      </c>
      <c r="EV42" s="293">
        <f t="shared" ref="EV42" si="208">SUM(DG42:DI42)</f>
        <v>173988343.73407814</v>
      </c>
      <c r="EW42" s="293">
        <f t="shared" ref="EW42" si="209">SUM(DJ42:DL42)</f>
        <v>208081181.44475666</v>
      </c>
      <c r="EX42" s="293">
        <f t="shared" ref="EX42" si="210">SUM(DM42:DO42)</f>
        <v>243402895.56447864</v>
      </c>
      <c r="EY42" s="293">
        <f t="shared" ref="EY42" si="211">SUM(DP42:DR42)</f>
        <v>218486061.77246827</v>
      </c>
      <c r="EZ42" s="293">
        <f t="shared" ref="EZ42" si="212">SUM(DS42:DU42)</f>
        <v>202847123.84853178</v>
      </c>
      <c r="FA42" s="293">
        <f t="shared" ref="FA42" si="213">SUM(DV42:DX42)</f>
        <v>242053887.21581203</v>
      </c>
      <c r="FB42" s="293">
        <f t="shared" ref="FB42" si="214">SUM(DY42:EA42)</f>
        <v>282673858.4534924</v>
      </c>
      <c r="FC42" s="293">
        <f t="shared" ref="FC42" si="215">SUM(EB42:ED42)</f>
        <v>254019499.59268045</v>
      </c>
      <c r="FE42" s="293">
        <f t="shared" ref="FE42" si="216">SUM(EF42:EI42)</f>
        <v>246206975.45051476</v>
      </c>
      <c r="FF42" s="293">
        <f t="shared" ref="FF42" si="217">SUM(EJ42:EM42)</f>
        <v>363379157.91978103</v>
      </c>
      <c r="FG42" s="293">
        <f t="shared" ref="FG42" si="218">SUM(EN42:EQ42)</f>
        <v>482160210.24417424</v>
      </c>
      <c r="FH42" s="293">
        <f t="shared" ref="FH42" si="219">SUM(ER42:EU42)</f>
        <v>679097397.23257363</v>
      </c>
      <c r="FI42" s="293">
        <f t="shared" ref="FI42" si="220">SUM(EV42:EY42)</f>
        <v>843958482.51578164</v>
      </c>
      <c r="FJ42" s="807">
        <f t="shared" ref="FJ42" si="221">SUM(EZ42:FC42)</f>
        <v>981594369.11051667</v>
      </c>
    </row>
    <row r="43" spans="2:166" x14ac:dyDescent="0.2">
      <c r="B43" s="22" t="s">
        <v>59</v>
      </c>
      <c r="C43" s="149">
        <f>C42/C9</f>
        <v>0.75083791400575373</v>
      </c>
      <c r="D43" s="149">
        <f t="shared" ref="D43:BO43" si="222">D42/D9</f>
        <v>0.81522541061340237</v>
      </c>
      <c r="E43" s="149">
        <f t="shared" si="222"/>
        <v>0.80705780115454639</v>
      </c>
      <c r="F43" s="149">
        <f t="shared" si="222"/>
        <v>0.74679168870755164</v>
      </c>
      <c r="G43" s="149">
        <f t="shared" si="222"/>
        <v>0.59463938826496798</v>
      </c>
      <c r="H43" s="149">
        <f t="shared" si="222"/>
        <v>0.45160955838969047</v>
      </c>
      <c r="I43" s="149">
        <f t="shared" si="222"/>
        <v>0.54329352011241738</v>
      </c>
      <c r="J43" s="149">
        <f t="shared" si="222"/>
        <v>0.54518206806451108</v>
      </c>
      <c r="K43" s="149">
        <f t="shared" si="222"/>
        <v>-0.26372307415744206</v>
      </c>
      <c r="L43" s="149">
        <f t="shared" si="222"/>
        <v>0.2625110226307405</v>
      </c>
      <c r="M43" s="149">
        <f t="shared" si="222"/>
        <v>0.44385682175246172</v>
      </c>
      <c r="N43" s="149">
        <f t="shared" si="222"/>
        <v>0.39740507161905964</v>
      </c>
      <c r="O43" s="149">
        <f t="shared" si="222"/>
        <v>0.29889372429349925</v>
      </c>
      <c r="P43" s="149">
        <f t="shared" si="222"/>
        <v>0.36479837875021437</v>
      </c>
      <c r="Q43" s="149">
        <f t="shared" si="222"/>
        <v>0.2382214997581919</v>
      </c>
      <c r="R43" s="149">
        <f t="shared" si="222"/>
        <v>0.45288071227478688</v>
      </c>
      <c r="S43" s="149">
        <f t="shared" si="222"/>
        <v>0.53129393116772006</v>
      </c>
      <c r="T43" s="149">
        <f t="shared" si="222"/>
        <v>0.55830996903465124</v>
      </c>
      <c r="U43" s="149">
        <f t="shared" si="222"/>
        <v>0.66942939440614269</v>
      </c>
      <c r="V43" s="149">
        <f t="shared" si="222"/>
        <v>0.56507092904661704</v>
      </c>
      <c r="W43" s="149">
        <f t="shared" si="222"/>
        <v>0.58197570731192971</v>
      </c>
      <c r="X43" s="149">
        <f t="shared" si="222"/>
        <v>0.56843759651381986</v>
      </c>
      <c r="Y43" s="149">
        <f t="shared" si="222"/>
        <v>0.55783982862383008</v>
      </c>
      <c r="Z43" s="149">
        <f t="shared" si="222"/>
        <v>0.55696573027490637</v>
      </c>
      <c r="AA43" s="149">
        <f t="shared" si="222"/>
        <v>-22.402907558637075</v>
      </c>
      <c r="AB43" s="149">
        <f t="shared" si="222"/>
        <v>0.10937769146850623</v>
      </c>
      <c r="AC43" s="149">
        <f t="shared" si="222"/>
        <v>0.63041702487176288</v>
      </c>
      <c r="AD43" s="149">
        <f t="shared" si="222"/>
        <v>0.71197897249019648</v>
      </c>
      <c r="AE43" s="149">
        <f t="shared" si="222"/>
        <v>0.68872180236602754</v>
      </c>
      <c r="AF43" s="149">
        <f t="shared" si="222"/>
        <v>0.66150239681544576</v>
      </c>
      <c r="AG43" s="149">
        <f t="shared" si="222"/>
        <v>0.78275675890943441</v>
      </c>
      <c r="AH43" s="149">
        <f t="shared" si="222"/>
        <v>0.79456090148735226</v>
      </c>
      <c r="AI43" s="149">
        <f t="shared" si="222"/>
        <v>0.67090726814035773</v>
      </c>
      <c r="AJ43" s="149">
        <f t="shared" si="222"/>
        <v>0.74519235431303243</v>
      </c>
      <c r="AK43" s="149">
        <f t="shared" si="222"/>
        <v>0.71549133296561096</v>
      </c>
      <c r="AL43" s="149">
        <f t="shared" si="222"/>
        <v>0.58398609844281413</v>
      </c>
      <c r="AM43" s="149">
        <f t="shared" si="222"/>
        <v>0.60478322744631452</v>
      </c>
      <c r="AN43" s="149">
        <f t="shared" si="222"/>
        <v>0.26608324925390081</v>
      </c>
      <c r="AO43" s="149">
        <f t="shared" si="222"/>
        <v>0.54927174768702758</v>
      </c>
      <c r="AP43" s="149">
        <f t="shared" si="222"/>
        <v>0.53301121079665403</v>
      </c>
      <c r="AQ43" s="149">
        <f t="shared" si="222"/>
        <v>0.58477404776449537</v>
      </c>
      <c r="AR43" s="149">
        <f t="shared" si="222"/>
        <v>0.46428674694010313</v>
      </c>
      <c r="AS43" s="149">
        <f t="shared" si="222"/>
        <v>0.58333116545027053</v>
      </c>
      <c r="AT43" s="149">
        <f t="shared" si="222"/>
        <v>0.58356129595662576</v>
      </c>
      <c r="AU43" s="149">
        <f t="shared" si="222"/>
        <v>0.42861004674256065</v>
      </c>
      <c r="AV43" s="149">
        <f t="shared" si="222"/>
        <v>0.47410791210017</v>
      </c>
      <c r="AW43" s="149">
        <f t="shared" si="222"/>
        <v>0.42032307190349516</v>
      </c>
      <c r="AX43" s="149">
        <f t="shared" si="222"/>
        <v>0.50584173120792175</v>
      </c>
      <c r="AY43" s="149">
        <f t="shared" si="222"/>
        <v>0.51399938762113195</v>
      </c>
      <c r="AZ43" s="149">
        <f t="shared" si="222"/>
        <v>0.54621054069233044</v>
      </c>
      <c r="BA43" s="149">
        <f t="shared" si="222"/>
        <v>0.41428942395358592</v>
      </c>
      <c r="BB43" s="149">
        <f t="shared" si="222"/>
        <v>0.342283283859252</v>
      </c>
      <c r="BC43" s="149">
        <f t="shared" si="222"/>
        <v>0.36401360524429577</v>
      </c>
      <c r="BD43" s="149">
        <f t="shared" si="222"/>
        <v>0.56229396128610665</v>
      </c>
      <c r="BE43" s="149">
        <f t="shared" si="222"/>
        <v>0.5020141811406752</v>
      </c>
      <c r="BF43" s="149">
        <f t="shared" si="222"/>
        <v>0.4230399789486024</v>
      </c>
      <c r="BG43" s="149">
        <f t="shared" si="222"/>
        <v>0.22311940304502009</v>
      </c>
      <c r="BH43" s="149">
        <f t="shared" si="222"/>
        <v>-0.4627873231785477</v>
      </c>
      <c r="BI43" s="149">
        <f t="shared" si="222"/>
        <v>-0.73055251374749886</v>
      </c>
      <c r="BJ43" s="149">
        <f t="shared" si="222"/>
        <v>-0.28683391163273358</v>
      </c>
      <c r="BK43" s="149">
        <f t="shared" si="222"/>
        <v>0.33938343425328171</v>
      </c>
      <c r="BL43" s="149">
        <f t="shared" si="222"/>
        <v>0.3357975234350643</v>
      </c>
      <c r="BM43" s="149">
        <f t="shared" si="222"/>
        <v>0.32560457043131208</v>
      </c>
      <c r="BN43" s="149">
        <f t="shared" si="222"/>
        <v>0.33425552833289773</v>
      </c>
      <c r="BO43" s="149">
        <f t="shared" si="222"/>
        <v>0.37808283824545658</v>
      </c>
      <c r="BP43" s="149">
        <f t="shared" ref="BP43:DR43" si="223">BP42/BP9</f>
        <v>0.52337176952428099</v>
      </c>
      <c r="BQ43" s="149">
        <f t="shared" si="223"/>
        <v>0.52436374736689884</v>
      </c>
      <c r="BR43" s="149">
        <f t="shared" si="223"/>
        <v>0.55848950731151825</v>
      </c>
      <c r="BS43" s="149">
        <f t="shared" si="223"/>
        <v>0.54694637414557923</v>
      </c>
      <c r="BT43" s="149">
        <f t="shared" si="223"/>
        <v>0.6522452816710268</v>
      </c>
      <c r="BU43" s="149">
        <f t="shared" si="223"/>
        <v>0.5482387913240282</v>
      </c>
      <c r="BV43" s="149">
        <f t="shared" si="223"/>
        <v>0.4973146714887921</v>
      </c>
      <c r="BW43" s="149">
        <f t="shared" si="223"/>
        <v>0.47359391255560179</v>
      </c>
      <c r="BX43" s="149">
        <f t="shared" si="223"/>
        <v>0.563732407257449</v>
      </c>
      <c r="BY43" s="149">
        <f t="shared" si="223"/>
        <v>0.48296370431160307</v>
      </c>
      <c r="BZ43" s="149">
        <f t="shared" si="223"/>
        <v>0.60044840328127891</v>
      </c>
      <c r="CA43" s="149">
        <f t="shared" si="223"/>
        <v>0.61672538733564441</v>
      </c>
      <c r="CB43" s="149">
        <f t="shared" si="223"/>
        <v>0.61027306052050145</v>
      </c>
      <c r="CC43" s="149">
        <f t="shared" si="223"/>
        <v>0.69575855022069599</v>
      </c>
      <c r="CD43" s="149">
        <f t="shared" si="223"/>
        <v>0.61358055400146128</v>
      </c>
      <c r="CE43" s="149">
        <f t="shared" si="223"/>
        <v>0.55718237782755053</v>
      </c>
      <c r="CF43" s="149">
        <f t="shared" si="223"/>
        <v>0.55933610003151124</v>
      </c>
      <c r="CG43" s="149">
        <f t="shared" si="223"/>
        <v>0.33298962976442648</v>
      </c>
      <c r="CH43" s="149">
        <f t="shared" si="223"/>
        <v>0.54105795420599412</v>
      </c>
      <c r="CI43" s="149">
        <f t="shared" si="223"/>
        <v>0.53970887975130999</v>
      </c>
      <c r="CJ43" s="149">
        <f t="shared" si="223"/>
        <v>0.54376616560162372</v>
      </c>
      <c r="CK43" s="149">
        <f t="shared" si="223"/>
        <v>0.48019886235304093</v>
      </c>
      <c r="CL43" s="149">
        <f t="shared" si="223"/>
        <v>0.46882729065307094</v>
      </c>
      <c r="CM43" s="149">
        <f t="shared" si="223"/>
        <v>0.49752194398800076</v>
      </c>
      <c r="CN43" s="149">
        <f t="shared" si="223"/>
        <v>0.61226815073533869</v>
      </c>
      <c r="CO43" s="149">
        <f t="shared" si="223"/>
        <v>0.70915662487596842</v>
      </c>
      <c r="CP43" s="149">
        <f t="shared" si="223"/>
        <v>0.57609778249830867</v>
      </c>
      <c r="CQ43" s="149">
        <f t="shared" si="223"/>
        <v>0.59476434720186877</v>
      </c>
      <c r="CR43" s="149">
        <f t="shared" si="223"/>
        <v>0.63199445079498096</v>
      </c>
      <c r="CS43" s="149">
        <f t="shared" si="223"/>
        <v>0.63103741845371231</v>
      </c>
      <c r="CT43" s="149">
        <f t="shared" si="223"/>
        <v>0.66806712048243144</v>
      </c>
      <c r="CU43" s="149">
        <f t="shared" si="223"/>
        <v>0.57404053156425927</v>
      </c>
      <c r="CV43" s="149">
        <f t="shared" si="223"/>
        <v>0.60907935425268123</v>
      </c>
      <c r="CW43" s="149">
        <f t="shared" si="223"/>
        <v>0.60440199279094775</v>
      </c>
      <c r="CX43" s="149">
        <f t="shared" si="223"/>
        <v>0.63817145874443726</v>
      </c>
      <c r="CY43" s="149">
        <f t="shared" si="223"/>
        <v>0.61234896533498218</v>
      </c>
      <c r="CZ43" s="149">
        <f t="shared" si="223"/>
        <v>0.66630173202946807</v>
      </c>
      <c r="DA43" s="149">
        <f t="shared" si="223"/>
        <v>0.73004538448424838</v>
      </c>
      <c r="DB43" s="149">
        <f t="shared" si="223"/>
        <v>0.63530366550492279</v>
      </c>
      <c r="DC43" s="149">
        <f t="shared" si="223"/>
        <v>0.64701951883828257</v>
      </c>
      <c r="DD43" s="149">
        <f t="shared" si="223"/>
        <v>0.66356678911789746</v>
      </c>
      <c r="DE43" s="149">
        <f t="shared" si="223"/>
        <v>0.60761714760741137</v>
      </c>
      <c r="DF43" s="149">
        <f t="shared" si="223"/>
        <v>0.67699103652432358</v>
      </c>
      <c r="DG43" s="149">
        <f t="shared" si="223"/>
        <v>0.60145301004071838</v>
      </c>
      <c r="DH43" s="149">
        <f t="shared" si="223"/>
        <v>0.63423692106744145</v>
      </c>
      <c r="DI43" s="149">
        <f t="shared" si="223"/>
        <v>0.6298605696310684</v>
      </c>
      <c r="DJ43" s="149">
        <f t="shared" si="223"/>
        <v>0.66145681294905456</v>
      </c>
      <c r="DK43" s="149">
        <f t="shared" si="223"/>
        <v>0.63729611742707148</v>
      </c>
      <c r="DL43" s="149">
        <f t="shared" si="223"/>
        <v>0.68777677194809339</v>
      </c>
      <c r="DM43" s="149">
        <f t="shared" si="223"/>
        <v>0.74741822306586736</v>
      </c>
      <c r="DN43" s="149">
        <f t="shared" si="223"/>
        <v>0.65877357557994221</v>
      </c>
      <c r="DO43" s="149">
        <f t="shared" si="223"/>
        <v>0.66973545910834964</v>
      </c>
      <c r="DP43" s="149">
        <f t="shared" si="223"/>
        <v>0.68521783536870529</v>
      </c>
      <c r="DQ43" s="149">
        <f t="shared" si="223"/>
        <v>0.63286881423955288</v>
      </c>
      <c r="DR43" s="149">
        <f t="shared" si="223"/>
        <v>0.69777816984359664</v>
      </c>
      <c r="DS43" s="149">
        <f t="shared" ref="DS43:ED43" si="224">DS42/DS9</f>
        <v>0.6105162206400907</v>
      </c>
      <c r="DT43" s="149">
        <f t="shared" si="224"/>
        <v>0.64255460479697935</v>
      </c>
      <c r="DU43" s="149">
        <f t="shared" si="224"/>
        <v>0.63827777435994648</v>
      </c>
      <c r="DV43" s="149">
        <f t="shared" si="224"/>
        <v>0.6691554991228954</v>
      </c>
      <c r="DW43" s="149">
        <f t="shared" si="224"/>
        <v>0.64554423309670506</v>
      </c>
      <c r="DX43" s="149">
        <f t="shared" si="224"/>
        <v>0.69487692560911929</v>
      </c>
      <c r="DY43" s="149">
        <f t="shared" si="224"/>
        <v>0.75316209241023668</v>
      </c>
      <c r="DZ43" s="149">
        <f t="shared" si="224"/>
        <v>0.66653328026848024</v>
      </c>
      <c r="EA43" s="149">
        <f t="shared" si="224"/>
        <v>0.67724588363297555</v>
      </c>
      <c r="EB43" s="149">
        <f t="shared" si="224"/>
        <v>0.69237618086586017</v>
      </c>
      <c r="EC43" s="149">
        <f t="shared" si="224"/>
        <v>0.64121760958357032</v>
      </c>
      <c r="ED43" s="149">
        <f t="shared" si="224"/>
        <v>0.70465088539142962</v>
      </c>
      <c r="EF43" s="165"/>
      <c r="EG43" s="161">
        <f t="shared" ref="EG43:EY43" si="225">EG45/EF45-1</f>
        <v>-3.9028005213688877E-2</v>
      </c>
      <c r="EH43" s="161">
        <f t="shared" si="225"/>
        <v>5.1409344560804149E-2</v>
      </c>
      <c r="EI43" s="161">
        <f t="shared" si="225"/>
        <v>-5.5379586082899279E-2</v>
      </c>
      <c r="EJ43" s="161">
        <f t="shared" si="225"/>
        <v>0.11347157150005271</v>
      </c>
      <c r="EK43" s="161">
        <f t="shared" si="225"/>
        <v>0.28476883290562216</v>
      </c>
      <c r="EL43" s="161">
        <f t="shared" si="225"/>
        <v>-0.14852334075851759</v>
      </c>
      <c r="EM43" s="161">
        <f t="shared" si="225"/>
        <v>2.1728146964532069E-2</v>
      </c>
      <c r="EN43" s="161">
        <f t="shared" si="225"/>
        <v>0.16158504936394946</v>
      </c>
      <c r="EO43" s="161">
        <f t="shared" si="225"/>
        <v>-1.0442849901028395E-2</v>
      </c>
      <c r="EP43" s="161">
        <f t="shared" si="225"/>
        <v>6.5259747370294274E-2</v>
      </c>
      <c r="EQ43" s="161">
        <f t="shared" si="225"/>
        <v>4.8507643422349034E-2</v>
      </c>
      <c r="ER43" s="161">
        <f t="shared" si="225"/>
        <v>8.5850677218994198E-2</v>
      </c>
      <c r="ES43" s="161">
        <f t="shared" si="225"/>
        <v>0</v>
      </c>
      <c r="ET43" s="161">
        <f t="shared" si="225"/>
        <v>0</v>
      </c>
      <c r="EU43" s="161">
        <f t="shared" si="225"/>
        <v>0</v>
      </c>
      <c r="EV43" s="161">
        <f t="shared" si="225"/>
        <v>5.0000000000000044E-2</v>
      </c>
      <c r="EW43" s="161">
        <f t="shared" si="225"/>
        <v>0</v>
      </c>
      <c r="EX43" s="161">
        <f t="shared" si="225"/>
        <v>0</v>
      </c>
      <c r="EY43" s="161">
        <f t="shared" si="225"/>
        <v>0</v>
      </c>
      <c r="EZ43" s="161">
        <f t="shared" ref="EZ43" si="226">EZ45/EY45-1</f>
        <v>5.0000000000000044E-2</v>
      </c>
      <c r="FA43" s="161">
        <f t="shared" ref="FA43" si="227">FA45/EZ45-1</f>
        <v>0</v>
      </c>
      <c r="FB43" s="161">
        <f t="shared" ref="FB43" si="228">FB45/FA45-1</f>
        <v>0</v>
      </c>
      <c r="FC43" s="161">
        <f t="shared" ref="FC43" si="229">FC45/FB45-1</f>
        <v>0</v>
      </c>
      <c r="FE43" s="161"/>
      <c r="FF43" s="161">
        <f t="shared" ref="FF43:FJ43" si="230">FF45/FE45-1</f>
        <v>0.21720351609831434</v>
      </c>
      <c r="FG43" s="161">
        <f t="shared" si="230"/>
        <v>0.19799429575056271</v>
      </c>
      <c r="FH43" s="161">
        <f t="shared" si="230"/>
        <v>0.15706747022378997</v>
      </c>
      <c r="FI43" s="161">
        <f t="shared" si="230"/>
        <v>5.0000000000000044E-2</v>
      </c>
      <c r="FJ43" s="161">
        <f t="shared" si="230"/>
        <v>5.0000000000000044E-2</v>
      </c>
    </row>
    <row r="44" spans="2:166" x14ac:dyDescent="0.2">
      <c r="B44" s="22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F44" s="165">
        <f t="shared" si="13"/>
        <v>0</v>
      </c>
      <c r="EG44" s="165">
        <f t="shared" si="14"/>
        <v>0</v>
      </c>
      <c r="EH44" s="165">
        <f t="shared" si="15"/>
        <v>0</v>
      </c>
      <c r="EI44" s="165">
        <f t="shared" si="16"/>
        <v>0</v>
      </c>
      <c r="EJ44" s="165">
        <f t="shared" si="17"/>
        <v>0</v>
      </c>
      <c r="EK44" s="165">
        <f t="shared" si="18"/>
        <v>0</v>
      </c>
      <c r="EL44" s="165">
        <f t="shared" si="19"/>
        <v>0</v>
      </c>
      <c r="EM44" s="165">
        <f t="shared" si="20"/>
        <v>0</v>
      </c>
      <c r="EN44" s="165">
        <f t="shared" si="21"/>
        <v>0</v>
      </c>
      <c r="EO44" s="165">
        <f t="shared" si="22"/>
        <v>0</v>
      </c>
      <c r="EP44" s="165">
        <f t="shared" si="23"/>
        <v>0</v>
      </c>
      <c r="EQ44" s="165">
        <f t="shared" si="24"/>
        <v>0</v>
      </c>
      <c r="ER44" s="165">
        <f t="shared" si="25"/>
        <v>0</v>
      </c>
      <c r="ES44" s="165">
        <f t="shared" si="26"/>
        <v>0</v>
      </c>
      <c r="ET44" s="165">
        <f t="shared" si="27"/>
        <v>0</v>
      </c>
      <c r="EU44" s="165">
        <f t="shared" si="28"/>
        <v>0</v>
      </c>
      <c r="EV44" s="165">
        <f t="shared" si="29"/>
        <v>0</v>
      </c>
      <c r="EW44" s="165">
        <f t="shared" si="30"/>
        <v>0</v>
      </c>
      <c r="EX44" s="165">
        <f t="shared" si="31"/>
        <v>0</v>
      </c>
      <c r="EY44" s="165">
        <f t="shared" si="32"/>
        <v>0</v>
      </c>
      <c r="EZ44" s="165">
        <f t="shared" si="33"/>
        <v>0</v>
      </c>
      <c r="FA44" s="165">
        <f t="shared" si="34"/>
        <v>0</v>
      </c>
      <c r="FB44" s="165">
        <f t="shared" si="35"/>
        <v>0</v>
      </c>
      <c r="FC44" s="165">
        <f t="shared" si="36"/>
        <v>0</v>
      </c>
      <c r="FE44" s="165">
        <f t="shared" si="37"/>
        <v>0</v>
      </c>
      <c r="FF44" s="165">
        <f t="shared" si="38"/>
        <v>0</v>
      </c>
      <c r="FG44" s="165">
        <f t="shared" si="39"/>
        <v>0</v>
      </c>
      <c r="FH44" s="165">
        <f t="shared" si="40"/>
        <v>0</v>
      </c>
      <c r="FI44" s="165">
        <f t="shared" si="41"/>
        <v>0</v>
      </c>
      <c r="FJ44" s="804">
        <f t="shared" si="42"/>
        <v>0</v>
      </c>
    </row>
    <row r="45" spans="2:166" x14ac:dyDescent="0.2">
      <c r="B45" s="23" t="s">
        <v>60</v>
      </c>
      <c r="C45" s="5">
        <f>'P&amp;L - Inputs'!B367</f>
        <v>0</v>
      </c>
      <c r="D45" s="5">
        <f>'P&amp;L - Inputs'!C367</f>
        <v>0</v>
      </c>
      <c r="E45" s="5">
        <f>'P&amp;L - Inputs'!D367</f>
        <v>0</v>
      </c>
      <c r="F45" s="5">
        <f>'P&amp;L - Inputs'!E367</f>
        <v>0</v>
      </c>
      <c r="G45" s="5">
        <f>'P&amp;L - Inputs'!F367</f>
        <v>0</v>
      </c>
      <c r="H45" s="5">
        <f>'P&amp;L - Inputs'!G367</f>
        <v>0</v>
      </c>
      <c r="I45" s="5">
        <f>'P&amp;L - Inputs'!H367</f>
        <v>0</v>
      </c>
      <c r="J45" s="5">
        <f>'P&amp;L - Inputs'!I367</f>
        <v>0</v>
      </c>
      <c r="K45" s="5">
        <f>'P&amp;L - Inputs'!J367</f>
        <v>0</v>
      </c>
      <c r="L45" s="5">
        <f>'P&amp;L - Inputs'!K367</f>
        <v>0</v>
      </c>
      <c r="M45" s="5">
        <f>'P&amp;L - Inputs'!L367</f>
        <v>0</v>
      </c>
      <c r="N45" s="5">
        <f>'P&amp;L - Inputs'!M367</f>
        <v>0</v>
      </c>
      <c r="O45" s="5">
        <f>'P&amp;L - Inputs'!N367</f>
        <v>0</v>
      </c>
      <c r="P45" s="5">
        <f>'P&amp;L - Inputs'!O367</f>
        <v>0</v>
      </c>
      <c r="Q45" s="5">
        <f>'P&amp;L - Inputs'!P367</f>
        <v>0</v>
      </c>
      <c r="R45" s="5">
        <f>'P&amp;L - Inputs'!Q367</f>
        <v>0</v>
      </c>
      <c r="S45" s="5">
        <f>'P&amp;L - Inputs'!R367</f>
        <v>0</v>
      </c>
      <c r="T45" s="5">
        <f>'P&amp;L - Inputs'!S367</f>
        <v>0</v>
      </c>
      <c r="U45" s="5">
        <f>'P&amp;L - Inputs'!T367</f>
        <v>0</v>
      </c>
      <c r="V45" s="5">
        <f>'P&amp;L - Inputs'!U367</f>
        <v>0</v>
      </c>
      <c r="W45" s="5">
        <f>'P&amp;L - Inputs'!V367</f>
        <v>0</v>
      </c>
      <c r="X45" s="5">
        <f>'P&amp;L - Inputs'!W367</f>
        <v>0</v>
      </c>
      <c r="Y45" s="5">
        <f>'P&amp;L - Inputs'!X367</f>
        <v>0</v>
      </c>
      <c r="Z45" s="5">
        <f>'P&amp;L - Inputs'!Y367</f>
        <v>0</v>
      </c>
      <c r="AA45" s="5">
        <f>'P&amp;L - Inputs'!Z367</f>
        <v>0</v>
      </c>
      <c r="AB45" s="5">
        <f>'P&amp;L - Inputs'!AA367</f>
        <v>0</v>
      </c>
      <c r="AC45" s="5">
        <f>'P&amp;L - Inputs'!AB367</f>
        <v>0</v>
      </c>
      <c r="AD45" s="5">
        <f>'P&amp;L - Inputs'!AC367</f>
        <v>0</v>
      </c>
      <c r="AE45" s="5">
        <f>'P&amp;L - Inputs'!AD367</f>
        <v>0</v>
      </c>
      <c r="AF45" s="5">
        <f>'P&amp;L - Inputs'!AE367</f>
        <v>0</v>
      </c>
      <c r="AG45" s="5">
        <f>'P&amp;L - Inputs'!AF367</f>
        <v>0</v>
      </c>
      <c r="AH45" s="5">
        <f>'P&amp;L - Inputs'!AG367</f>
        <v>0</v>
      </c>
      <c r="AI45" s="5">
        <f>'P&amp;L - Inputs'!AH367</f>
        <v>0</v>
      </c>
      <c r="AJ45" s="5">
        <f>'P&amp;L - Inputs'!AI367</f>
        <v>0</v>
      </c>
      <c r="AK45" s="5">
        <f>'P&amp;L - Inputs'!AJ367</f>
        <v>0</v>
      </c>
      <c r="AL45" s="5">
        <f>'P&amp;L - Inputs'!AK367</f>
        <v>0</v>
      </c>
      <c r="AM45" s="5">
        <f>'P&amp;L - Inputs'!AL367</f>
        <v>0</v>
      </c>
      <c r="AN45" s="5">
        <f>'P&amp;L - Inputs'!AM367</f>
        <v>0</v>
      </c>
      <c r="AO45" s="5">
        <f>'P&amp;L - Inputs'!AN367</f>
        <v>0</v>
      </c>
      <c r="AP45" s="5">
        <f>'P&amp;L - Inputs'!AO367</f>
        <v>0</v>
      </c>
      <c r="AQ45" s="5">
        <f>'P&amp;L - Inputs'!AP367</f>
        <v>0</v>
      </c>
      <c r="AR45" s="5">
        <f>'P&amp;L - Inputs'!AQ367</f>
        <v>0</v>
      </c>
      <c r="AS45" s="5">
        <f>'P&amp;L - Inputs'!AR367</f>
        <v>0</v>
      </c>
      <c r="AT45" s="5">
        <f>'P&amp;L - Inputs'!AS367</f>
        <v>0</v>
      </c>
      <c r="AU45" s="5">
        <f>'P&amp;L - Inputs'!AT367</f>
        <v>0</v>
      </c>
      <c r="AV45" s="5">
        <f>'P&amp;L - Inputs'!AU367</f>
        <v>0</v>
      </c>
      <c r="AW45" s="5">
        <f>'P&amp;L - Inputs'!AV367</f>
        <v>0</v>
      </c>
      <c r="AX45" s="5">
        <f>'P&amp;L - Inputs'!AW367</f>
        <v>0</v>
      </c>
      <c r="AY45" s="5">
        <f>'P&amp;L - Inputs'!AX367</f>
        <v>0</v>
      </c>
      <c r="AZ45" s="5">
        <f>'P&amp;L - Inputs'!AY367</f>
        <v>0</v>
      </c>
      <c r="BA45" s="5">
        <f>'P&amp;L - Inputs'!AZ367</f>
        <v>0</v>
      </c>
      <c r="BB45" s="5">
        <f>'P&amp;L - Inputs'!BA367</f>
        <v>0</v>
      </c>
      <c r="BC45" s="5">
        <f>'P&amp;L - Inputs'!BB367</f>
        <v>0</v>
      </c>
      <c r="BD45" s="5">
        <f>'P&amp;L - Inputs'!BC367</f>
        <v>0</v>
      </c>
      <c r="BE45" s="5">
        <f>'P&amp;L - Inputs'!BD367</f>
        <v>0</v>
      </c>
      <c r="BF45" s="5">
        <f>'P&amp;L - Inputs'!BE367</f>
        <v>0</v>
      </c>
      <c r="BG45" s="5">
        <f>'P&amp;L - Inputs'!BF367</f>
        <v>0</v>
      </c>
      <c r="BH45" s="5">
        <f>'P&amp;L - Inputs'!BG367</f>
        <v>0</v>
      </c>
      <c r="BI45" s="5">
        <f>'P&amp;L - Inputs'!BH367</f>
        <v>0</v>
      </c>
      <c r="BJ45" s="5">
        <f>'P&amp;L - Inputs'!BI367</f>
        <v>0</v>
      </c>
      <c r="BK45" s="5">
        <f>'P&amp;L - Inputs'!BJ367</f>
        <v>23519880.998131402</v>
      </c>
      <c r="BL45" s="5">
        <f>'P&amp;L - Inputs'!BK367</f>
        <v>22984180.232928306</v>
      </c>
      <c r="BM45" s="5">
        <f>'P&amp;L - Inputs'!BL367</f>
        <v>22732584.499995306</v>
      </c>
      <c r="BN45" s="5">
        <f>'P&amp;L - Inputs'!BM367</f>
        <v>22226878.714337088</v>
      </c>
      <c r="BO45" s="5">
        <f>'P&amp;L - Inputs'!BN367</f>
        <v>21892739.315084867</v>
      </c>
      <c r="BP45" s="5">
        <f>'P&amp;L - Inputs'!BO367</f>
        <v>22414859.531063125</v>
      </c>
      <c r="BQ45" s="5">
        <f>'P&amp;L - Inputs'!BP367</f>
        <v>21859540.01194562</v>
      </c>
      <c r="BR45" s="5">
        <f>'P&amp;L - Inputs'!BQ367</f>
        <v>24756435.270923082</v>
      </c>
      <c r="BS45" s="5">
        <f>'P&amp;L - Inputs'!BR367</f>
        <v>23338996.159696452</v>
      </c>
      <c r="BT45" s="5">
        <f>'P&amp;L - Inputs'!BS367</f>
        <v>22257617.87974938</v>
      </c>
      <c r="BU45" s="5">
        <f>'P&amp;L - Inputs'!BT367</f>
        <v>21036927.686340403</v>
      </c>
      <c r="BV45" s="5">
        <f>'P&amp;L - Inputs'!BU367</f>
        <v>22786348.513545066</v>
      </c>
      <c r="BW45" s="5">
        <f>'P&amp;L - Inputs'!BV367</f>
        <v>24087566.533897445</v>
      </c>
      <c r="BX45" s="5">
        <f>'P&amp;L - Inputs'!BW367</f>
        <v>24611873.402179483</v>
      </c>
      <c r="BY45" s="5">
        <f>'P&amp;L - Inputs'!BX367</f>
        <v>24879757.040902615</v>
      </c>
      <c r="BZ45" s="5">
        <f>'P&amp;L - Inputs'!BY367</f>
        <v>24847206.766641013</v>
      </c>
      <c r="CA45" s="5">
        <f>'P&amp;L - Inputs'!BZ367</f>
        <v>25084939.175692305</v>
      </c>
      <c r="CB45" s="5">
        <f>'P&amp;L - Inputs'!CA367</f>
        <v>24824152.599692307</v>
      </c>
      <c r="CC45" s="5">
        <f>'P&amp;L - Inputs'!CB367</f>
        <v>27414145.309691459</v>
      </c>
      <c r="CD45" s="5">
        <f>'P&amp;L - Inputs'!CC367</f>
        <v>26069494.01194872</v>
      </c>
      <c r="CE45" s="5">
        <f>'P&amp;L - Inputs'!CD367</f>
        <v>27008372.784578994</v>
      </c>
      <c r="CF45" s="5">
        <f>'P&amp;L - Inputs'!CE367</f>
        <v>27152641.679959454</v>
      </c>
      <c r="CG45" s="5">
        <f>'P&amp;L - Inputs'!CF367</f>
        <v>26207924.251413926</v>
      </c>
      <c r="CH45" s="5">
        <f>'P&amp;L - Inputs'!CG367</f>
        <v>28880388.443360623</v>
      </c>
      <c r="CI45" s="5">
        <f>'P&amp;L - Inputs'!CH367</f>
        <v>32888337.392714359</v>
      </c>
      <c r="CJ45" s="5">
        <f>'P&amp;L - Inputs'!CI367</f>
        <v>31196192.166743688</v>
      </c>
      <c r="CK45" s="5">
        <f>'P&amp;L - Inputs'!CJ367</f>
        <v>31445333.487655655</v>
      </c>
      <c r="CL45" s="5">
        <f>'P&amp;L - Inputs'!CK367</f>
        <v>31135604.780201849</v>
      </c>
      <c r="CM45" s="5">
        <f>'P&amp;L - Inputs'!CL367</f>
        <v>31006142.968604118</v>
      </c>
      <c r="CN45" s="5">
        <f>'P&amp;L - Inputs'!CM367</f>
        <v>32390511.277440924</v>
      </c>
      <c r="CO45" s="5">
        <f>'P&amp;L - Inputs'!CN367</f>
        <v>35587102.579625919</v>
      </c>
      <c r="CP45" s="5">
        <f>'P&amp;L - Inputs'!CO367</f>
        <v>32389657.997547761</v>
      </c>
      <c r="CQ45" s="5">
        <f>'P&amp;L - Inputs'!CP367</f>
        <v>32724649.791469306</v>
      </c>
      <c r="CR45" s="5">
        <f>'P&amp;L - Inputs'!CQ367</f>
        <v>35087516.560124159</v>
      </c>
      <c r="CS45" s="5">
        <f>'P&amp;L - Inputs'!CR367</f>
        <v>34101588.226241983</v>
      </c>
      <c r="CT45" s="5">
        <f>'P&amp;L - Inputs'!CS367</f>
        <v>36397093.688566625</v>
      </c>
      <c r="CU45" s="5">
        <f>'P&amp;L - Inputs'!CT367</f>
        <v>38216948.372994959</v>
      </c>
      <c r="CV45" s="5">
        <f>'P&amp;L - Inputs'!CU367</f>
        <v>38216948.372994959</v>
      </c>
      <c r="CW45" s="5">
        <f>'P&amp;L - Inputs'!CV367</f>
        <v>38216948.372994959</v>
      </c>
      <c r="CX45" s="5">
        <f>'P&amp;L - Inputs'!CW367</f>
        <v>38216948.372994959</v>
      </c>
      <c r="CY45" s="5">
        <f>'P&amp;L - Inputs'!CX367</f>
        <v>38216948.372994959</v>
      </c>
      <c r="CZ45" s="5">
        <f>'P&amp;L - Inputs'!CY367</f>
        <v>38216948.372994959</v>
      </c>
      <c r="DA45" s="5">
        <f>'P&amp;L - Inputs'!CZ367</f>
        <v>38216948.372994959</v>
      </c>
      <c r="DB45" s="5">
        <f>'P&amp;L - Inputs'!DA367</f>
        <v>38216948.372994959</v>
      </c>
      <c r="DC45" s="5">
        <f>'P&amp;L - Inputs'!DB367</f>
        <v>38216948.372994959</v>
      </c>
      <c r="DD45" s="5">
        <f>'P&amp;L - Inputs'!DC367</f>
        <v>38216948.372994959</v>
      </c>
      <c r="DE45" s="5">
        <f>'P&amp;L - Inputs'!DD367</f>
        <v>38216948.372994959</v>
      </c>
      <c r="DF45" s="5">
        <f>'P&amp;L - Inputs'!DE367</f>
        <v>38216948.372994959</v>
      </c>
      <c r="DG45" s="5">
        <f>'P&amp;L - Inputs'!DF367</f>
        <v>40127795.791644707</v>
      </c>
      <c r="DH45" s="5">
        <f>'P&amp;L - Inputs'!DG367</f>
        <v>40127795.791644707</v>
      </c>
      <c r="DI45" s="5">
        <f>'P&amp;L - Inputs'!DH367</f>
        <v>40127795.791644707</v>
      </c>
      <c r="DJ45" s="5">
        <f>'P&amp;L - Inputs'!DI367</f>
        <v>40127795.791644707</v>
      </c>
      <c r="DK45" s="5">
        <f>'P&amp;L - Inputs'!DJ367</f>
        <v>40127795.791644707</v>
      </c>
      <c r="DL45" s="5">
        <f>'P&amp;L - Inputs'!DK367</f>
        <v>40127795.791644707</v>
      </c>
      <c r="DM45" s="5">
        <f>'P&amp;L - Inputs'!DL367</f>
        <v>40127795.791644707</v>
      </c>
      <c r="DN45" s="5">
        <f>'P&amp;L - Inputs'!DM367</f>
        <v>40127795.791644707</v>
      </c>
      <c r="DO45" s="5">
        <f>'P&amp;L - Inputs'!DN367</f>
        <v>40127795.791644707</v>
      </c>
      <c r="DP45" s="5">
        <f>'P&amp;L - Inputs'!DO367</f>
        <v>40127795.791644707</v>
      </c>
      <c r="DQ45" s="5">
        <f>'P&amp;L - Inputs'!DP367</f>
        <v>40127795.791644707</v>
      </c>
      <c r="DR45" s="5">
        <f>'P&amp;L - Inputs'!DQ367</f>
        <v>40127795.791644707</v>
      </c>
      <c r="DS45" s="5">
        <f>'P&amp;L - Inputs'!DR367</f>
        <v>42134185.581226945</v>
      </c>
      <c r="DT45" s="5">
        <f>'P&amp;L - Inputs'!DS367</f>
        <v>42134185.581226945</v>
      </c>
      <c r="DU45" s="5">
        <f>'P&amp;L - Inputs'!DT367</f>
        <v>42134185.581226945</v>
      </c>
      <c r="DV45" s="5">
        <f>'P&amp;L - Inputs'!DU367</f>
        <v>42134185.581226945</v>
      </c>
      <c r="DW45" s="5">
        <f>'P&amp;L - Inputs'!DV367</f>
        <v>42134185.581226945</v>
      </c>
      <c r="DX45" s="5">
        <f>'P&amp;L - Inputs'!DW367</f>
        <v>42134185.581226945</v>
      </c>
      <c r="DY45" s="5">
        <f>'P&amp;L - Inputs'!DX367</f>
        <v>42134185.581226945</v>
      </c>
      <c r="DZ45" s="5">
        <f>'P&amp;L - Inputs'!DY367</f>
        <v>42134185.581226945</v>
      </c>
      <c r="EA45" s="5">
        <f>'P&amp;L - Inputs'!DZ367</f>
        <v>42134185.581226945</v>
      </c>
      <c r="EB45" s="5">
        <f>'P&amp;L - Inputs'!EA367</f>
        <v>42134185.581226945</v>
      </c>
      <c r="EC45" s="5">
        <f>'P&amp;L - Inputs'!EB367</f>
        <v>42134185.581226945</v>
      </c>
      <c r="ED45" s="5">
        <f>'P&amp;L - Inputs'!EC367</f>
        <v>42134185.581226945</v>
      </c>
      <c r="EF45" s="292">
        <f t="shared" si="13"/>
        <v>69236645.731055021</v>
      </c>
      <c r="EG45" s="292">
        <f t="shared" si="14"/>
        <v>66534477.56048508</v>
      </c>
      <c r="EH45" s="292">
        <f t="shared" si="15"/>
        <v>69954971.442565143</v>
      </c>
      <c r="EI45" s="292">
        <f t="shared" si="16"/>
        <v>66080894.079634845</v>
      </c>
      <c r="EJ45" s="292">
        <f t="shared" si="17"/>
        <v>73579196.976979539</v>
      </c>
      <c r="EK45" s="292">
        <f t="shared" si="18"/>
        <v>94532259.02624689</v>
      </c>
      <c r="EL45" s="292">
        <f t="shared" si="19"/>
        <v>80492012.106219172</v>
      </c>
      <c r="EM45" s="292">
        <f t="shared" si="20"/>
        <v>82240954.374733999</v>
      </c>
      <c r="EN45" s="292">
        <f t="shared" si="21"/>
        <v>95529863.047113702</v>
      </c>
      <c r="EO45" s="292">
        <f t="shared" si="22"/>
        <v>94532259.02624689</v>
      </c>
      <c r="EP45" s="292">
        <f t="shared" si="23"/>
        <v>100701410.36864299</v>
      </c>
      <c r="EQ45" s="292">
        <f t="shared" si="24"/>
        <v>105586198.47493276</v>
      </c>
      <c r="ER45" s="292">
        <f t="shared" si="25"/>
        <v>114650845.11898488</v>
      </c>
      <c r="ES45" s="292">
        <f t="shared" si="26"/>
        <v>114650845.11898488</v>
      </c>
      <c r="ET45" s="292">
        <f t="shared" si="27"/>
        <v>114650845.11898488</v>
      </c>
      <c r="EU45" s="292">
        <f t="shared" si="28"/>
        <v>114650845.11898488</v>
      </c>
      <c r="EV45" s="292">
        <f t="shared" si="29"/>
        <v>120383387.37493412</v>
      </c>
      <c r="EW45" s="292">
        <f t="shared" si="30"/>
        <v>120383387.37493412</v>
      </c>
      <c r="EX45" s="292">
        <f t="shared" si="31"/>
        <v>120383387.37493412</v>
      </c>
      <c r="EY45" s="292">
        <f t="shared" si="32"/>
        <v>120383387.37493412</v>
      </c>
      <c r="EZ45" s="292">
        <f t="shared" si="33"/>
        <v>126402556.74368083</v>
      </c>
      <c r="FA45" s="292">
        <f t="shared" si="34"/>
        <v>126402556.74368083</v>
      </c>
      <c r="FB45" s="292">
        <f t="shared" si="35"/>
        <v>126402556.74368083</v>
      </c>
      <c r="FC45" s="292">
        <f t="shared" si="36"/>
        <v>126402556.74368083</v>
      </c>
      <c r="FE45" s="293">
        <f t="shared" si="37"/>
        <v>271806988.81374007</v>
      </c>
      <c r="FF45" s="293">
        <f t="shared" si="38"/>
        <v>330844422.48417962</v>
      </c>
      <c r="FG45" s="293">
        <f t="shared" si="39"/>
        <v>396349730.9169364</v>
      </c>
      <c r="FH45" s="293">
        <f t="shared" si="40"/>
        <v>458603380.47593951</v>
      </c>
      <c r="FI45" s="293">
        <f t="shared" si="41"/>
        <v>481533549.49973649</v>
      </c>
      <c r="FJ45" s="807">
        <f t="shared" si="42"/>
        <v>505610226.97472334</v>
      </c>
    </row>
    <row r="46" spans="2:166" x14ac:dyDescent="0.2">
      <c r="B46" s="25" t="s">
        <v>61</v>
      </c>
      <c r="C46" s="147">
        <f>'P&amp;L - Inputs'!B368</f>
        <v>0</v>
      </c>
      <c r="D46" s="147">
        <f>'P&amp;L - Inputs'!C368</f>
        <v>0</v>
      </c>
      <c r="E46" s="147">
        <f>'P&amp;L - Inputs'!D368</f>
        <v>0</v>
      </c>
      <c r="F46" s="147">
        <f>'P&amp;L - Inputs'!E368</f>
        <v>0</v>
      </c>
      <c r="G46" s="147">
        <f>'P&amp;L - Inputs'!F368</f>
        <v>0</v>
      </c>
      <c r="H46" s="147">
        <f>'P&amp;L - Inputs'!G368</f>
        <v>0</v>
      </c>
      <c r="I46" s="147">
        <f>'P&amp;L - Inputs'!H368</f>
        <v>0</v>
      </c>
      <c r="J46" s="147">
        <f>'P&amp;L - Inputs'!I368</f>
        <v>0</v>
      </c>
      <c r="K46" s="147">
        <f>'P&amp;L - Inputs'!J368</f>
        <v>0</v>
      </c>
      <c r="L46" s="147">
        <f>'P&amp;L - Inputs'!K368</f>
        <v>0</v>
      </c>
      <c r="M46" s="147">
        <f>'P&amp;L - Inputs'!L368</f>
        <v>0</v>
      </c>
      <c r="N46" s="147">
        <f>'P&amp;L - Inputs'!M368</f>
        <v>0</v>
      </c>
      <c r="O46" s="147">
        <f>'P&amp;L - Inputs'!N368</f>
        <v>0</v>
      </c>
      <c r="P46" s="147">
        <f>'P&amp;L - Inputs'!O368</f>
        <v>0</v>
      </c>
      <c r="Q46" s="147">
        <f>'P&amp;L - Inputs'!P368</f>
        <v>0</v>
      </c>
      <c r="R46" s="147">
        <f>'P&amp;L - Inputs'!Q368</f>
        <v>0</v>
      </c>
      <c r="S46" s="147">
        <f>'P&amp;L - Inputs'!R368</f>
        <v>0</v>
      </c>
      <c r="T46" s="147">
        <f>'P&amp;L - Inputs'!S368</f>
        <v>0</v>
      </c>
      <c r="U46" s="147">
        <f>'P&amp;L - Inputs'!T368</f>
        <v>0</v>
      </c>
      <c r="V46" s="147">
        <f>'P&amp;L - Inputs'!U368</f>
        <v>0</v>
      </c>
      <c r="W46" s="147">
        <f>'P&amp;L - Inputs'!V368</f>
        <v>0</v>
      </c>
      <c r="X46" s="147">
        <f>'P&amp;L - Inputs'!W368</f>
        <v>0</v>
      </c>
      <c r="Y46" s="147">
        <f>'P&amp;L - Inputs'!X368</f>
        <v>0</v>
      </c>
      <c r="Z46" s="147">
        <f>'P&amp;L - Inputs'!Y368</f>
        <v>0</v>
      </c>
      <c r="AA46" s="147">
        <f>'P&amp;L - Inputs'!Z368</f>
        <v>0</v>
      </c>
      <c r="AB46" s="147">
        <f>'P&amp;L - Inputs'!AA368</f>
        <v>0</v>
      </c>
      <c r="AC46" s="147">
        <f>'P&amp;L - Inputs'!AB368</f>
        <v>0</v>
      </c>
      <c r="AD46" s="147">
        <f>'P&amp;L - Inputs'!AC368</f>
        <v>0</v>
      </c>
      <c r="AE46" s="147">
        <f>'P&amp;L - Inputs'!AD368</f>
        <v>0</v>
      </c>
      <c r="AF46" s="147">
        <f>'P&amp;L - Inputs'!AE368</f>
        <v>0</v>
      </c>
      <c r="AG46" s="147">
        <f>'P&amp;L - Inputs'!AF368</f>
        <v>0</v>
      </c>
      <c r="AH46" s="147">
        <f>'P&amp;L - Inputs'!AG368</f>
        <v>0</v>
      </c>
      <c r="AI46" s="147">
        <f>'P&amp;L - Inputs'!AH368</f>
        <v>0</v>
      </c>
      <c r="AJ46" s="147">
        <f>'P&amp;L - Inputs'!AI368</f>
        <v>0</v>
      </c>
      <c r="AK46" s="147">
        <f>'P&amp;L - Inputs'!AJ368</f>
        <v>0</v>
      </c>
      <c r="AL46" s="147">
        <f>'P&amp;L - Inputs'!AK368</f>
        <v>0</v>
      </c>
      <c r="AM46" s="147">
        <f>'P&amp;L - Inputs'!AL368</f>
        <v>0</v>
      </c>
      <c r="AN46" s="147">
        <f>'P&amp;L - Inputs'!AM368</f>
        <v>0</v>
      </c>
      <c r="AO46" s="147">
        <f>'P&amp;L - Inputs'!AN368</f>
        <v>0</v>
      </c>
      <c r="AP46" s="147">
        <f>'P&amp;L - Inputs'!AO368</f>
        <v>0</v>
      </c>
      <c r="AQ46" s="147">
        <f>'P&amp;L - Inputs'!AP368</f>
        <v>0</v>
      </c>
      <c r="AR46" s="147">
        <f>'P&amp;L - Inputs'!AQ368</f>
        <v>0</v>
      </c>
      <c r="AS46" s="147">
        <f>'P&amp;L - Inputs'!AR368</f>
        <v>0</v>
      </c>
      <c r="AT46" s="147">
        <f>'P&amp;L - Inputs'!AS368</f>
        <v>0</v>
      </c>
      <c r="AU46" s="147">
        <f>'P&amp;L - Inputs'!AT368</f>
        <v>0</v>
      </c>
      <c r="AV46" s="147">
        <f>'P&amp;L - Inputs'!AU368</f>
        <v>0</v>
      </c>
      <c r="AW46" s="147">
        <f>'P&amp;L - Inputs'!AV368</f>
        <v>0</v>
      </c>
      <c r="AX46" s="147">
        <f>'P&amp;L - Inputs'!AW368</f>
        <v>0</v>
      </c>
      <c r="AY46" s="147">
        <f>'P&amp;L - Inputs'!AX368</f>
        <v>0</v>
      </c>
      <c r="AZ46" s="147">
        <f>'P&amp;L - Inputs'!AY368</f>
        <v>0</v>
      </c>
      <c r="BA46" s="147">
        <f>'P&amp;L - Inputs'!AZ368</f>
        <v>0</v>
      </c>
      <c r="BB46" s="147">
        <f>'P&amp;L - Inputs'!BA368</f>
        <v>0</v>
      </c>
      <c r="BC46" s="147">
        <f>'P&amp;L - Inputs'!BB368</f>
        <v>0</v>
      </c>
      <c r="BD46" s="147">
        <f>'P&amp;L - Inputs'!BC368</f>
        <v>0</v>
      </c>
      <c r="BE46" s="147">
        <f>'P&amp;L - Inputs'!BD368</f>
        <v>0</v>
      </c>
      <c r="BF46" s="147">
        <f>'P&amp;L - Inputs'!BE368</f>
        <v>0</v>
      </c>
      <c r="BG46" s="147">
        <f>'P&amp;L - Inputs'!BF368</f>
        <v>0</v>
      </c>
      <c r="BH46" s="147">
        <f>'P&amp;L - Inputs'!BG368</f>
        <v>0</v>
      </c>
      <c r="BI46" s="147">
        <f>'P&amp;L - Inputs'!BH368</f>
        <v>0</v>
      </c>
      <c r="BJ46" s="147">
        <f>'P&amp;L - Inputs'!BI368</f>
        <v>0</v>
      </c>
      <c r="BK46" s="147">
        <f>'P&amp;L - Inputs'!BJ368</f>
        <v>11590012.75409903</v>
      </c>
      <c r="BL46" s="147">
        <f>'P&amp;L - Inputs'!BK368</f>
        <v>11221070.325359365</v>
      </c>
      <c r="BM46" s="147">
        <f>'P&amp;L - Inputs'!BL368</f>
        <v>11257730.104308637</v>
      </c>
      <c r="BN46" s="147">
        <f>'P&amp;L - Inputs'!BM368</f>
        <v>10925074.371125881</v>
      </c>
      <c r="BO46" s="147">
        <f>'P&amp;L - Inputs'!BN368</f>
        <v>10871803.10265854</v>
      </c>
      <c r="BP46" s="147">
        <f>'P&amp;L - Inputs'!BO368</f>
        <v>11219216.231530644</v>
      </c>
      <c r="BQ46" s="147">
        <f>'P&amp;L - Inputs'!BP368</f>
        <v>10468835.597972956</v>
      </c>
      <c r="BR46" s="147">
        <f>'P&amp;L - Inputs'!BQ368</f>
        <v>12333143.874615386</v>
      </c>
      <c r="BS46" s="147">
        <f>'P&amp;L - Inputs'!BR368</f>
        <v>11854342.723268</v>
      </c>
      <c r="BT46" s="147">
        <f>'P&amp;L - Inputs'!BS368</f>
        <v>10923269.733236559</v>
      </c>
      <c r="BU46" s="147">
        <f>'P&amp;L - Inputs'!BT368</f>
        <v>10421796.990306802</v>
      </c>
      <c r="BV46" s="147">
        <f>'P&amp;L - Inputs'!BU368</f>
        <v>10956680.499878401</v>
      </c>
      <c r="BW46" s="147">
        <f>'P&amp;L - Inputs'!BV368</f>
        <v>10868338.499878401</v>
      </c>
      <c r="BX46" s="147">
        <f>'P&amp;L - Inputs'!BW368</f>
        <v>11842431.260333331</v>
      </c>
      <c r="BY46" s="147">
        <f>'P&amp;L - Inputs'!BX368</f>
        <v>12067048.017184665</v>
      </c>
      <c r="BZ46" s="147">
        <f>'P&amp;L - Inputs'!BY368</f>
        <v>11937677.551333321</v>
      </c>
      <c r="CA46" s="147">
        <f>'P&amp;L - Inputs'!BZ368</f>
        <v>11914695.597179487</v>
      </c>
      <c r="CB46" s="147">
        <f>'P&amp;L - Inputs'!CA368</f>
        <v>12095299.45710256</v>
      </c>
      <c r="CC46" s="147">
        <f>'P&amp;L - Inputs'!CB368</f>
        <v>12260383.768559121</v>
      </c>
      <c r="CD46" s="147">
        <f>'P&amp;L - Inputs'!CC368</f>
        <v>12304802.235000001</v>
      </c>
      <c r="CE46" s="147">
        <f>'P&amp;L - Inputs'!CD368</f>
        <v>13204403.7814268</v>
      </c>
      <c r="CF46" s="147">
        <f>'P&amp;L - Inputs'!CE368</f>
        <v>12596379.441268802</v>
      </c>
      <c r="CG46" s="147">
        <f>'P&amp;L - Inputs'!CF368</f>
        <v>12203075.9940696</v>
      </c>
      <c r="CH46" s="147">
        <f>'P&amp;L - Inputs'!CG368</f>
        <v>13278957.490238203</v>
      </c>
      <c r="CI46" s="147">
        <f>'P&amp;L - Inputs'!CH368</f>
        <v>15661476.086705895</v>
      </c>
      <c r="CJ46" s="147">
        <f>'P&amp;L - Inputs'!CI368</f>
        <v>16438945.631491072</v>
      </c>
      <c r="CK46" s="147">
        <f>'P&amp;L - Inputs'!CJ368</f>
        <v>16283294.386876419</v>
      </c>
      <c r="CL46" s="147">
        <f>'P&amp;L - Inputs'!CK368</f>
        <v>16101983.599878766</v>
      </c>
      <c r="CM46" s="147">
        <f>'P&amp;L - Inputs'!CL368</f>
        <v>16458555.051670693</v>
      </c>
      <c r="CN46" s="147">
        <f>'P&amp;L - Inputs'!CM368</f>
        <v>16347815.922282051</v>
      </c>
      <c r="CO46" s="147">
        <f>'P&amp;L - Inputs'!CN368</f>
        <v>17691679.695718993</v>
      </c>
      <c r="CP46" s="147">
        <f>'P&amp;L - Inputs'!CO368</f>
        <v>16767983.304487756</v>
      </c>
      <c r="CQ46" s="147">
        <f>'P&amp;L - Inputs'!CP368</f>
        <v>16424984.921846533</v>
      </c>
      <c r="CR46" s="147">
        <f>'P&amp;L - Inputs'!CQ368</f>
        <v>17976940.004213158</v>
      </c>
      <c r="CS46" s="147">
        <f>'P&amp;L - Inputs'!CR368</f>
        <v>17896173.9255189</v>
      </c>
      <c r="CT46" s="147">
        <f>'P&amp;L - Inputs'!CS368</f>
        <v>18151451.389555078</v>
      </c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  <c r="DJ46" s="140"/>
      <c r="DK46" s="140"/>
      <c r="DL46" s="140"/>
      <c r="DM46" s="140"/>
      <c r="DN46" s="140"/>
      <c r="DO46" s="140"/>
      <c r="DP46" s="140"/>
      <c r="DQ46" s="140"/>
      <c r="DR46" s="140"/>
      <c r="DS46" s="140"/>
      <c r="DT46" s="140"/>
      <c r="DU46" s="140"/>
      <c r="DV46" s="140"/>
      <c r="DW46" s="140"/>
      <c r="DX46" s="140"/>
      <c r="DY46" s="140"/>
      <c r="DZ46" s="140"/>
      <c r="EA46" s="140"/>
      <c r="EB46" s="140"/>
      <c r="EC46" s="140"/>
      <c r="ED46" s="140"/>
      <c r="EF46" s="165">
        <f t="shared" si="13"/>
        <v>34068813.183767028</v>
      </c>
      <c r="EG46" s="165">
        <f t="shared" si="14"/>
        <v>33016093.705315065</v>
      </c>
      <c r="EH46" s="165">
        <f t="shared" si="15"/>
        <v>34656322.19585634</v>
      </c>
      <c r="EI46" s="165">
        <f t="shared" si="16"/>
        <v>32301747.22342176</v>
      </c>
      <c r="EJ46" s="165">
        <f t="shared" si="17"/>
        <v>34777817.777396396</v>
      </c>
      <c r="EK46" s="165">
        <f t="shared" si="18"/>
        <v>48908354.573831514</v>
      </c>
      <c r="EL46" s="165">
        <f t="shared" si="19"/>
        <v>37769589.784985922</v>
      </c>
      <c r="EM46" s="165">
        <f t="shared" si="20"/>
        <v>38078412.925576605</v>
      </c>
      <c r="EN46" s="165">
        <f t="shared" si="21"/>
        <v>48383716.105073385</v>
      </c>
      <c r="EO46" s="165">
        <f t="shared" si="22"/>
        <v>48908354.573831514</v>
      </c>
      <c r="EP46" s="165">
        <f t="shared" si="23"/>
        <v>50884647.922053277</v>
      </c>
      <c r="EQ46" s="165">
        <f t="shared" si="24"/>
        <v>54024565.319287136</v>
      </c>
      <c r="ER46" s="165">
        <f t="shared" si="25"/>
        <v>0</v>
      </c>
      <c r="ES46" s="165">
        <f t="shared" si="26"/>
        <v>0</v>
      </c>
      <c r="ET46" s="165">
        <f t="shared" si="27"/>
        <v>0</v>
      </c>
      <c r="EU46" s="165">
        <f t="shared" si="28"/>
        <v>0</v>
      </c>
      <c r="EV46" s="165">
        <f t="shared" si="29"/>
        <v>0</v>
      </c>
      <c r="EW46" s="165">
        <f t="shared" si="30"/>
        <v>0</v>
      </c>
      <c r="EX46" s="165">
        <f t="shared" si="31"/>
        <v>0</v>
      </c>
      <c r="EY46" s="165">
        <f t="shared" si="32"/>
        <v>0</v>
      </c>
      <c r="EZ46" s="165">
        <f t="shared" si="33"/>
        <v>0</v>
      </c>
      <c r="FA46" s="165">
        <f t="shared" si="34"/>
        <v>0</v>
      </c>
      <c r="FB46" s="165">
        <f t="shared" si="35"/>
        <v>0</v>
      </c>
      <c r="FC46" s="165">
        <f t="shared" si="36"/>
        <v>0</v>
      </c>
      <c r="FE46" s="165">
        <f t="shared" si="37"/>
        <v>134042976.30836019</v>
      </c>
      <c r="FF46" s="165">
        <f t="shared" si="38"/>
        <v>159534175.06179044</v>
      </c>
      <c r="FG46" s="165">
        <f t="shared" si="39"/>
        <v>202201283.92024529</v>
      </c>
      <c r="FH46" s="165">
        <f t="shared" si="40"/>
        <v>0</v>
      </c>
      <c r="FI46" s="165">
        <f t="shared" si="41"/>
        <v>0</v>
      </c>
      <c r="FJ46" s="804">
        <f t="shared" si="42"/>
        <v>0</v>
      </c>
    </row>
    <row r="47" spans="2:166" x14ac:dyDescent="0.2">
      <c r="B47" s="25" t="s">
        <v>52</v>
      </c>
      <c r="C47" s="147">
        <f>'P&amp;L - Inputs'!B369</f>
        <v>0</v>
      </c>
      <c r="D47" s="147">
        <f>'P&amp;L - Inputs'!C369</f>
        <v>0</v>
      </c>
      <c r="E47" s="147">
        <f>'P&amp;L - Inputs'!D369</f>
        <v>0</v>
      </c>
      <c r="F47" s="147">
        <f>'P&amp;L - Inputs'!E369</f>
        <v>0</v>
      </c>
      <c r="G47" s="147">
        <f>'P&amp;L - Inputs'!F369</f>
        <v>0</v>
      </c>
      <c r="H47" s="147">
        <f>'P&amp;L - Inputs'!G369</f>
        <v>0</v>
      </c>
      <c r="I47" s="147">
        <f>'P&amp;L - Inputs'!H369</f>
        <v>0</v>
      </c>
      <c r="J47" s="147">
        <f>'P&amp;L - Inputs'!I369</f>
        <v>0</v>
      </c>
      <c r="K47" s="147">
        <f>'P&amp;L - Inputs'!J369</f>
        <v>0</v>
      </c>
      <c r="L47" s="147">
        <f>'P&amp;L - Inputs'!K369</f>
        <v>0</v>
      </c>
      <c r="M47" s="147">
        <f>'P&amp;L - Inputs'!L369</f>
        <v>0</v>
      </c>
      <c r="N47" s="147">
        <f>'P&amp;L - Inputs'!M369</f>
        <v>0</v>
      </c>
      <c r="O47" s="147">
        <f>'P&amp;L - Inputs'!N369</f>
        <v>0</v>
      </c>
      <c r="P47" s="147">
        <f>'P&amp;L - Inputs'!O369</f>
        <v>0</v>
      </c>
      <c r="Q47" s="147">
        <f>'P&amp;L - Inputs'!P369</f>
        <v>0</v>
      </c>
      <c r="R47" s="147">
        <f>'P&amp;L - Inputs'!Q369</f>
        <v>0</v>
      </c>
      <c r="S47" s="147">
        <f>'P&amp;L - Inputs'!R369</f>
        <v>0</v>
      </c>
      <c r="T47" s="147">
        <f>'P&amp;L - Inputs'!S369</f>
        <v>0</v>
      </c>
      <c r="U47" s="147">
        <f>'P&amp;L - Inputs'!T369</f>
        <v>0</v>
      </c>
      <c r="V47" s="147">
        <f>'P&amp;L - Inputs'!U369</f>
        <v>0</v>
      </c>
      <c r="W47" s="147">
        <f>'P&amp;L - Inputs'!V369</f>
        <v>0</v>
      </c>
      <c r="X47" s="147">
        <f>'P&amp;L - Inputs'!W369</f>
        <v>0</v>
      </c>
      <c r="Y47" s="147">
        <f>'P&amp;L - Inputs'!X369</f>
        <v>0</v>
      </c>
      <c r="Z47" s="147">
        <f>'P&amp;L - Inputs'!Y369</f>
        <v>0</v>
      </c>
      <c r="AA47" s="147">
        <f>'P&amp;L - Inputs'!Z369</f>
        <v>0</v>
      </c>
      <c r="AB47" s="147">
        <f>'P&amp;L - Inputs'!AA369</f>
        <v>0</v>
      </c>
      <c r="AC47" s="147">
        <f>'P&amp;L - Inputs'!AB369</f>
        <v>0</v>
      </c>
      <c r="AD47" s="147">
        <f>'P&amp;L - Inputs'!AC369</f>
        <v>0</v>
      </c>
      <c r="AE47" s="147">
        <f>'P&amp;L - Inputs'!AD369</f>
        <v>0</v>
      </c>
      <c r="AF47" s="147">
        <f>'P&amp;L - Inputs'!AE369</f>
        <v>0</v>
      </c>
      <c r="AG47" s="147">
        <f>'P&amp;L - Inputs'!AF369</f>
        <v>0</v>
      </c>
      <c r="AH47" s="147">
        <f>'P&amp;L - Inputs'!AG369</f>
        <v>0</v>
      </c>
      <c r="AI47" s="147">
        <f>'P&amp;L - Inputs'!AH369</f>
        <v>0</v>
      </c>
      <c r="AJ47" s="147">
        <f>'P&amp;L - Inputs'!AI369</f>
        <v>0</v>
      </c>
      <c r="AK47" s="147">
        <f>'P&amp;L - Inputs'!AJ369</f>
        <v>0</v>
      </c>
      <c r="AL47" s="147">
        <f>'P&amp;L - Inputs'!AK369</f>
        <v>0</v>
      </c>
      <c r="AM47" s="147">
        <f>'P&amp;L - Inputs'!AL369</f>
        <v>0</v>
      </c>
      <c r="AN47" s="147">
        <f>'P&amp;L - Inputs'!AM369</f>
        <v>0</v>
      </c>
      <c r="AO47" s="147">
        <f>'P&amp;L - Inputs'!AN369</f>
        <v>0</v>
      </c>
      <c r="AP47" s="147">
        <f>'P&amp;L - Inputs'!AO369</f>
        <v>0</v>
      </c>
      <c r="AQ47" s="147">
        <f>'P&amp;L - Inputs'!AP369</f>
        <v>0</v>
      </c>
      <c r="AR47" s="147">
        <f>'P&amp;L - Inputs'!AQ369</f>
        <v>0</v>
      </c>
      <c r="AS47" s="147">
        <f>'P&amp;L - Inputs'!AR369</f>
        <v>0</v>
      </c>
      <c r="AT47" s="147">
        <f>'P&amp;L - Inputs'!AS369</f>
        <v>0</v>
      </c>
      <c r="AU47" s="147">
        <f>'P&amp;L - Inputs'!AT369</f>
        <v>0</v>
      </c>
      <c r="AV47" s="147">
        <f>'P&amp;L - Inputs'!AU369</f>
        <v>0</v>
      </c>
      <c r="AW47" s="147">
        <f>'P&amp;L - Inputs'!AV369</f>
        <v>0</v>
      </c>
      <c r="AX47" s="147">
        <f>'P&amp;L - Inputs'!AW369</f>
        <v>0</v>
      </c>
      <c r="AY47" s="147">
        <f>'P&amp;L - Inputs'!AX369</f>
        <v>0</v>
      </c>
      <c r="AZ47" s="147">
        <f>'P&amp;L - Inputs'!AY369</f>
        <v>0</v>
      </c>
      <c r="BA47" s="147">
        <f>'P&amp;L - Inputs'!AZ369</f>
        <v>0</v>
      </c>
      <c r="BB47" s="147">
        <f>'P&amp;L - Inputs'!BA369</f>
        <v>0</v>
      </c>
      <c r="BC47" s="147">
        <f>'P&amp;L - Inputs'!BB369</f>
        <v>0</v>
      </c>
      <c r="BD47" s="147">
        <f>'P&amp;L - Inputs'!BC369</f>
        <v>0</v>
      </c>
      <c r="BE47" s="147">
        <f>'P&amp;L - Inputs'!BD369</f>
        <v>0</v>
      </c>
      <c r="BF47" s="147">
        <f>'P&amp;L - Inputs'!BE369</f>
        <v>0</v>
      </c>
      <c r="BG47" s="147">
        <f>'P&amp;L - Inputs'!BF369</f>
        <v>0</v>
      </c>
      <c r="BH47" s="147">
        <f>'P&amp;L - Inputs'!BG369</f>
        <v>0</v>
      </c>
      <c r="BI47" s="147">
        <f>'P&amp;L - Inputs'!BH369</f>
        <v>0</v>
      </c>
      <c r="BJ47" s="147">
        <f>'P&amp;L - Inputs'!BI369</f>
        <v>0</v>
      </c>
      <c r="BK47" s="147">
        <f>'P&amp;L - Inputs'!BJ369</f>
        <v>11929868.244032372</v>
      </c>
      <c r="BL47" s="147">
        <f>'P&amp;L - Inputs'!BK369</f>
        <v>11763109.907568941</v>
      </c>
      <c r="BM47" s="147">
        <f>'P&amp;L - Inputs'!BL369</f>
        <v>11474854.395686667</v>
      </c>
      <c r="BN47" s="147">
        <f>'P&amp;L - Inputs'!BM369</f>
        <v>11301804.343211206</v>
      </c>
      <c r="BO47" s="147">
        <f>'P&amp;L - Inputs'!BN369</f>
        <v>11020936.212426329</v>
      </c>
      <c r="BP47" s="147">
        <f>'P&amp;L - Inputs'!BO369</f>
        <v>11195643.299532482</v>
      </c>
      <c r="BQ47" s="147">
        <f>'P&amp;L - Inputs'!BP369</f>
        <v>11390704.413972665</v>
      </c>
      <c r="BR47" s="147">
        <f>'P&amp;L - Inputs'!BQ369</f>
        <v>12423291.396307696</v>
      </c>
      <c r="BS47" s="147">
        <f>'P&amp;L - Inputs'!BR369</f>
        <v>11484653.436428452</v>
      </c>
      <c r="BT47" s="147">
        <f>'P&amp;L - Inputs'!BS369</f>
        <v>11334348.146512823</v>
      </c>
      <c r="BU47" s="147">
        <f>'P&amp;L - Inputs'!BT369</f>
        <v>10615130.696033601</v>
      </c>
      <c r="BV47" s="147">
        <f>'P&amp;L - Inputs'!BU369</f>
        <v>11829668.013666667</v>
      </c>
      <c r="BW47" s="147">
        <f>'P&amp;L - Inputs'!BV369</f>
        <v>13219228.034019046</v>
      </c>
      <c r="BX47" s="147">
        <f>'P&amp;L - Inputs'!BW369</f>
        <v>12769442.141846152</v>
      </c>
      <c r="BY47" s="147">
        <f>'P&amp;L - Inputs'!BX369</f>
        <v>12812709.023717951</v>
      </c>
      <c r="BZ47" s="147">
        <f>'P&amp;L - Inputs'!BY369</f>
        <v>12909529.215307692</v>
      </c>
      <c r="CA47" s="147">
        <f>'P&amp;L - Inputs'!BZ369</f>
        <v>13170243.578512819</v>
      </c>
      <c r="CB47" s="147">
        <f>'P&amp;L - Inputs'!CA369</f>
        <v>12728853.142589748</v>
      </c>
      <c r="CC47" s="147">
        <f>'P&amp;L - Inputs'!CB369</f>
        <v>15153761.541132338</v>
      </c>
      <c r="CD47" s="147">
        <f>'P&amp;L - Inputs'!CC369</f>
        <v>13764691.77694872</v>
      </c>
      <c r="CE47" s="147">
        <f>'P&amp;L - Inputs'!CD369</f>
        <v>13803969.003152192</v>
      </c>
      <c r="CF47" s="147">
        <f>'P&amp;L - Inputs'!CE369</f>
        <v>14556262.238690652</v>
      </c>
      <c r="CG47" s="147">
        <f>'P&amp;L - Inputs'!CF369</f>
        <v>14004848.257344328</v>
      </c>
      <c r="CH47" s="147">
        <f>'P&amp;L - Inputs'!CG369</f>
        <v>15601430.95312242</v>
      </c>
      <c r="CI47" s="147">
        <f>'P&amp;L - Inputs'!CH369</f>
        <v>17226861.306008466</v>
      </c>
      <c r="CJ47" s="147">
        <f>'P&amp;L - Inputs'!CI369</f>
        <v>14757246.535252618</v>
      </c>
      <c r="CK47" s="147">
        <f>'P&amp;L - Inputs'!CJ369</f>
        <v>15162039.100779235</v>
      </c>
      <c r="CL47" s="147">
        <f>'P&amp;L - Inputs'!CK369</f>
        <v>15033621.180323083</v>
      </c>
      <c r="CM47" s="147">
        <f>'P&amp;L - Inputs'!CL369</f>
        <v>14547587.916933427</v>
      </c>
      <c r="CN47" s="147">
        <f>'P&amp;L - Inputs'!CM369</f>
        <v>16042695.355158873</v>
      </c>
      <c r="CO47" s="147">
        <f>'P&amp;L - Inputs'!CN369</f>
        <v>17895422.883906931</v>
      </c>
      <c r="CP47" s="147">
        <f>'P&amp;L - Inputs'!CO369</f>
        <v>15621674.693060007</v>
      </c>
      <c r="CQ47" s="147">
        <f>'P&amp;L - Inputs'!CP369</f>
        <v>16299664.869622774</v>
      </c>
      <c r="CR47" s="147">
        <f>'P&amp;L - Inputs'!CQ369</f>
        <v>17110576.555911001</v>
      </c>
      <c r="CS47" s="147">
        <f>'P&amp;L - Inputs'!CR369</f>
        <v>16205414.300723083</v>
      </c>
      <c r="CT47" s="147">
        <f>'P&amp;L - Inputs'!CS369</f>
        <v>18245642.299011543</v>
      </c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/>
      <c r="DG47" s="140"/>
      <c r="DH47" s="140"/>
      <c r="DI47" s="140"/>
      <c r="DJ47" s="140"/>
      <c r="DK47" s="140"/>
      <c r="DL47" s="140"/>
      <c r="DM47" s="140"/>
      <c r="DN47" s="140"/>
      <c r="DO47" s="140"/>
      <c r="DP47" s="140"/>
      <c r="DQ47" s="140"/>
      <c r="DR47" s="140"/>
      <c r="DS47" s="140"/>
      <c r="DT47" s="140"/>
      <c r="DU47" s="140"/>
      <c r="DV47" s="140"/>
      <c r="DW47" s="140"/>
      <c r="DX47" s="140"/>
      <c r="DY47" s="140"/>
      <c r="DZ47" s="140"/>
      <c r="EA47" s="140"/>
      <c r="EB47" s="140"/>
      <c r="EC47" s="140"/>
      <c r="ED47" s="140"/>
      <c r="EF47" s="165">
        <f t="shared" si="13"/>
        <v>35167832.547287986</v>
      </c>
      <c r="EG47" s="165">
        <f t="shared" si="14"/>
        <v>33518383.855170019</v>
      </c>
      <c r="EH47" s="165">
        <f t="shared" si="15"/>
        <v>35298649.24670881</v>
      </c>
      <c r="EI47" s="165">
        <f t="shared" si="16"/>
        <v>33779146.856213093</v>
      </c>
      <c r="EJ47" s="165">
        <f t="shared" si="17"/>
        <v>38801379.199583143</v>
      </c>
      <c r="EK47" s="165">
        <f t="shared" si="18"/>
        <v>45623904.452415384</v>
      </c>
      <c r="EL47" s="165">
        <f t="shared" si="19"/>
        <v>42722422.32123325</v>
      </c>
      <c r="EM47" s="165">
        <f t="shared" si="20"/>
        <v>44162541.449157402</v>
      </c>
      <c r="EN47" s="165">
        <f t="shared" si="21"/>
        <v>47146146.942040317</v>
      </c>
      <c r="EO47" s="165">
        <f t="shared" si="22"/>
        <v>45623904.452415384</v>
      </c>
      <c r="EP47" s="165">
        <f t="shared" si="23"/>
        <v>49816762.446589708</v>
      </c>
      <c r="EQ47" s="165">
        <f t="shared" si="24"/>
        <v>51561633.155645624</v>
      </c>
      <c r="ER47" s="165">
        <f t="shared" si="25"/>
        <v>0</v>
      </c>
      <c r="ES47" s="165">
        <f t="shared" si="26"/>
        <v>0</v>
      </c>
      <c r="ET47" s="165">
        <f t="shared" si="27"/>
        <v>0</v>
      </c>
      <c r="EU47" s="165">
        <f t="shared" si="28"/>
        <v>0</v>
      </c>
      <c r="EV47" s="165">
        <f t="shared" si="29"/>
        <v>0</v>
      </c>
      <c r="EW47" s="165">
        <f t="shared" si="30"/>
        <v>0</v>
      </c>
      <c r="EX47" s="165">
        <f t="shared" si="31"/>
        <v>0</v>
      </c>
      <c r="EY47" s="165">
        <f t="shared" si="32"/>
        <v>0</v>
      </c>
      <c r="EZ47" s="165">
        <f t="shared" si="33"/>
        <v>0</v>
      </c>
      <c r="FA47" s="165">
        <f t="shared" si="34"/>
        <v>0</v>
      </c>
      <c r="FB47" s="165">
        <f t="shared" si="35"/>
        <v>0</v>
      </c>
      <c r="FC47" s="165">
        <f t="shared" si="36"/>
        <v>0</v>
      </c>
      <c r="FE47" s="165">
        <f t="shared" si="37"/>
        <v>137764012.50537992</v>
      </c>
      <c r="FF47" s="165">
        <f t="shared" si="38"/>
        <v>171310247.42238915</v>
      </c>
      <c r="FG47" s="165">
        <f t="shared" si="39"/>
        <v>194148446.99669105</v>
      </c>
      <c r="FH47" s="165">
        <f t="shared" si="40"/>
        <v>0</v>
      </c>
      <c r="FI47" s="165">
        <f t="shared" si="41"/>
        <v>0</v>
      </c>
      <c r="FJ47" s="804">
        <f t="shared" si="42"/>
        <v>0</v>
      </c>
    </row>
    <row r="48" spans="2:166" x14ac:dyDescent="0.2">
      <c r="B48" s="22" t="s">
        <v>59</v>
      </c>
      <c r="C48" s="149">
        <f>IFERROR((C45/C9),0)</f>
        <v>0</v>
      </c>
      <c r="D48" s="149">
        <f t="shared" ref="D48:BO48" si="231">IFERROR((D45/D9),0)</f>
        <v>0</v>
      </c>
      <c r="E48" s="149">
        <f t="shared" si="231"/>
        <v>0</v>
      </c>
      <c r="F48" s="149">
        <f t="shared" si="231"/>
        <v>0</v>
      </c>
      <c r="G48" s="149">
        <f t="shared" si="231"/>
        <v>0</v>
      </c>
      <c r="H48" s="149">
        <f t="shared" si="231"/>
        <v>0</v>
      </c>
      <c r="I48" s="149">
        <f t="shared" si="231"/>
        <v>0</v>
      </c>
      <c r="J48" s="149">
        <f t="shared" si="231"/>
        <v>0</v>
      </c>
      <c r="K48" s="149">
        <f t="shared" si="231"/>
        <v>0</v>
      </c>
      <c r="L48" s="149">
        <f t="shared" si="231"/>
        <v>0</v>
      </c>
      <c r="M48" s="149">
        <f t="shared" si="231"/>
        <v>0</v>
      </c>
      <c r="N48" s="149">
        <f t="shared" si="231"/>
        <v>0</v>
      </c>
      <c r="O48" s="149">
        <f t="shared" si="231"/>
        <v>0</v>
      </c>
      <c r="P48" s="149">
        <f t="shared" si="231"/>
        <v>0</v>
      </c>
      <c r="Q48" s="149">
        <f t="shared" si="231"/>
        <v>0</v>
      </c>
      <c r="R48" s="149">
        <f t="shared" si="231"/>
        <v>0</v>
      </c>
      <c r="S48" s="149">
        <f t="shared" si="231"/>
        <v>0</v>
      </c>
      <c r="T48" s="149">
        <f t="shared" si="231"/>
        <v>0</v>
      </c>
      <c r="U48" s="149">
        <f t="shared" si="231"/>
        <v>0</v>
      </c>
      <c r="V48" s="149">
        <f t="shared" si="231"/>
        <v>0</v>
      </c>
      <c r="W48" s="149">
        <f t="shared" si="231"/>
        <v>0</v>
      </c>
      <c r="X48" s="149">
        <f t="shared" si="231"/>
        <v>0</v>
      </c>
      <c r="Y48" s="149">
        <f t="shared" si="231"/>
        <v>0</v>
      </c>
      <c r="Z48" s="149">
        <f t="shared" si="231"/>
        <v>0</v>
      </c>
      <c r="AA48" s="149">
        <f t="shared" si="231"/>
        <v>0</v>
      </c>
      <c r="AB48" s="149">
        <f t="shared" si="231"/>
        <v>0</v>
      </c>
      <c r="AC48" s="149">
        <f t="shared" si="231"/>
        <v>0</v>
      </c>
      <c r="AD48" s="149">
        <f t="shared" si="231"/>
        <v>0</v>
      </c>
      <c r="AE48" s="149">
        <f t="shared" si="231"/>
        <v>0</v>
      </c>
      <c r="AF48" s="149">
        <f t="shared" si="231"/>
        <v>0</v>
      </c>
      <c r="AG48" s="149">
        <f t="shared" si="231"/>
        <v>0</v>
      </c>
      <c r="AH48" s="149">
        <f t="shared" si="231"/>
        <v>0</v>
      </c>
      <c r="AI48" s="149">
        <f t="shared" si="231"/>
        <v>0</v>
      </c>
      <c r="AJ48" s="149">
        <f t="shared" si="231"/>
        <v>0</v>
      </c>
      <c r="AK48" s="149">
        <f t="shared" si="231"/>
        <v>0</v>
      </c>
      <c r="AL48" s="149">
        <f t="shared" si="231"/>
        <v>0</v>
      </c>
      <c r="AM48" s="149">
        <f t="shared" si="231"/>
        <v>0</v>
      </c>
      <c r="AN48" s="149">
        <f t="shared" si="231"/>
        <v>0</v>
      </c>
      <c r="AO48" s="149">
        <f t="shared" si="231"/>
        <v>0</v>
      </c>
      <c r="AP48" s="149">
        <f t="shared" si="231"/>
        <v>0</v>
      </c>
      <c r="AQ48" s="149">
        <f t="shared" si="231"/>
        <v>0</v>
      </c>
      <c r="AR48" s="149">
        <f t="shared" si="231"/>
        <v>0</v>
      </c>
      <c r="AS48" s="149">
        <f t="shared" si="231"/>
        <v>0</v>
      </c>
      <c r="AT48" s="149">
        <f t="shared" si="231"/>
        <v>0</v>
      </c>
      <c r="AU48" s="149">
        <f t="shared" si="231"/>
        <v>0</v>
      </c>
      <c r="AV48" s="149">
        <f t="shared" si="231"/>
        <v>0</v>
      </c>
      <c r="AW48" s="149">
        <f t="shared" si="231"/>
        <v>0</v>
      </c>
      <c r="AX48" s="149">
        <f t="shared" si="231"/>
        <v>0</v>
      </c>
      <c r="AY48" s="149">
        <f t="shared" si="231"/>
        <v>0</v>
      </c>
      <c r="AZ48" s="149">
        <f t="shared" si="231"/>
        <v>0</v>
      </c>
      <c r="BA48" s="149">
        <f t="shared" si="231"/>
        <v>0</v>
      </c>
      <c r="BB48" s="149">
        <f t="shared" si="231"/>
        <v>0</v>
      </c>
      <c r="BC48" s="149">
        <f t="shared" si="231"/>
        <v>0</v>
      </c>
      <c r="BD48" s="149">
        <f t="shared" si="231"/>
        <v>0</v>
      </c>
      <c r="BE48" s="149">
        <f t="shared" si="231"/>
        <v>0</v>
      </c>
      <c r="BF48" s="149">
        <f t="shared" si="231"/>
        <v>0</v>
      </c>
      <c r="BG48" s="149">
        <f t="shared" si="231"/>
        <v>0</v>
      </c>
      <c r="BH48" s="149">
        <f t="shared" si="231"/>
        <v>0</v>
      </c>
      <c r="BI48" s="149">
        <f t="shared" si="231"/>
        <v>0</v>
      </c>
      <c r="BJ48" s="149">
        <f t="shared" si="231"/>
        <v>0</v>
      </c>
      <c r="BK48" s="149">
        <f t="shared" si="231"/>
        <v>0.64276091987615946</v>
      </c>
      <c r="BL48" s="149">
        <f t="shared" si="231"/>
        <v>0.60019838137494397</v>
      </c>
      <c r="BM48" s="149">
        <f t="shared" si="231"/>
        <v>0.59800699519115064</v>
      </c>
      <c r="BN48" s="149">
        <f t="shared" si="231"/>
        <v>0.53545579134737809</v>
      </c>
      <c r="BO48" s="149">
        <f t="shared" si="231"/>
        <v>0.51136993788187812</v>
      </c>
      <c r="BP48" s="149">
        <f t="shared" ref="BP48:EM48" si="232">IFERROR((BP45/BP9),0)</f>
        <v>0.58828646239077442</v>
      </c>
      <c r="BQ48" s="149">
        <f t="shared" si="232"/>
        <v>0.38623187699926353</v>
      </c>
      <c r="BR48" s="149">
        <f t="shared" si="232"/>
        <v>0.52519976102726496</v>
      </c>
      <c r="BS48" s="149">
        <f t="shared" si="232"/>
        <v>0.53529680561289394</v>
      </c>
      <c r="BT48" s="149">
        <f t="shared" si="232"/>
        <v>0.44916850336632164</v>
      </c>
      <c r="BU48" s="149">
        <f t="shared" si="232"/>
        <v>0.47954463987196783</v>
      </c>
      <c r="BV48" s="149">
        <f t="shared" si="232"/>
        <v>0.50753151359086823</v>
      </c>
      <c r="BW48" s="149">
        <f t="shared" si="232"/>
        <v>0.56100709227297629</v>
      </c>
      <c r="BX48" s="149">
        <f t="shared" si="232"/>
        <v>0.49529937689089137</v>
      </c>
      <c r="BY48" s="149">
        <f t="shared" si="232"/>
        <v>0.54222169275128562</v>
      </c>
      <c r="BZ48" s="149">
        <f t="shared" si="232"/>
        <v>0.46041191680926541</v>
      </c>
      <c r="CA48" s="149">
        <f t="shared" si="232"/>
        <v>0.49260138850907387</v>
      </c>
      <c r="CB48" s="149">
        <f t="shared" si="232"/>
        <v>0.51241591531479214</v>
      </c>
      <c r="CC48" s="149">
        <f t="shared" si="232"/>
        <v>0.40240111781023535</v>
      </c>
      <c r="CD48" s="149">
        <f t="shared" si="232"/>
        <v>0.49787044578243539</v>
      </c>
      <c r="CE48" s="149">
        <f t="shared" si="232"/>
        <v>0.50356827479222965</v>
      </c>
      <c r="CF48" s="149">
        <f t="shared" si="232"/>
        <v>0.469491544105065</v>
      </c>
      <c r="CG48" s="149">
        <f t="shared" si="232"/>
        <v>0.45370571508378521</v>
      </c>
      <c r="CH48" s="149">
        <f t="shared" si="232"/>
        <v>0.51058469305743825</v>
      </c>
      <c r="CI48" s="149">
        <f t="shared" si="232"/>
        <v>0.57666873313056588</v>
      </c>
      <c r="CJ48" s="149">
        <f t="shared" si="232"/>
        <v>0.51728700885754797</v>
      </c>
      <c r="CK48" s="149">
        <f t="shared" si="232"/>
        <v>0.5289373998722906</v>
      </c>
      <c r="CL48" s="149">
        <f t="shared" si="232"/>
        <v>0.49553683117858666</v>
      </c>
      <c r="CM48" s="149">
        <f t="shared" si="232"/>
        <v>0.5339601693895849</v>
      </c>
      <c r="CN48" s="149">
        <f t="shared" si="232"/>
        <v>0.46201112507844427</v>
      </c>
      <c r="CO48" s="149">
        <f t="shared" si="232"/>
        <v>0.40207025798091872</v>
      </c>
      <c r="CP48" s="149">
        <f t="shared" si="232"/>
        <v>0.47295500827689729</v>
      </c>
      <c r="CQ48" s="149">
        <f t="shared" si="232"/>
        <v>0.45735504530897569</v>
      </c>
      <c r="CR48" s="149">
        <f t="shared" si="232"/>
        <v>0.46951163647068112</v>
      </c>
      <c r="CS48" s="149">
        <f t="shared" si="232"/>
        <v>0.52037274539174694</v>
      </c>
      <c r="CT48" s="149">
        <f t="shared" si="232"/>
        <v>0.43886738681914056</v>
      </c>
      <c r="CU48" s="149">
        <f t="shared" si="232"/>
        <v>0.5194528994251858</v>
      </c>
      <c r="CV48" s="149">
        <f t="shared" si="232"/>
        <v>0.47672343949608553</v>
      </c>
      <c r="CW48" s="149">
        <f t="shared" si="232"/>
        <v>0.48242743049288062</v>
      </c>
      <c r="CX48" s="149">
        <f t="shared" si="232"/>
        <v>0.44124593717850796</v>
      </c>
      <c r="CY48" s="149">
        <f t="shared" si="232"/>
        <v>0.47273618464545147</v>
      </c>
      <c r="CZ48" s="149">
        <f t="shared" si="232"/>
        <v>0.40694137746724407</v>
      </c>
      <c r="DA48" s="149">
        <f t="shared" si="232"/>
        <v>0.32920669250018791</v>
      </c>
      <c r="DB48" s="149">
        <f t="shared" si="232"/>
        <v>0.44474317957738768</v>
      </c>
      <c r="DC48" s="149">
        <f t="shared" si="232"/>
        <v>0.43045582494807727</v>
      </c>
      <c r="DD48" s="149">
        <f t="shared" si="232"/>
        <v>0.41027661034842611</v>
      </c>
      <c r="DE48" s="149">
        <f t="shared" si="232"/>
        <v>0.4785065844611065</v>
      </c>
      <c r="DF48" s="149">
        <f t="shared" si="232"/>
        <v>0.39390588788631692</v>
      </c>
      <c r="DG48" s="149">
        <f t="shared" si="232"/>
        <v>0.45452128699703753</v>
      </c>
      <c r="DH48" s="149">
        <f t="shared" si="232"/>
        <v>0.41713300955907484</v>
      </c>
      <c r="DI48" s="149">
        <f t="shared" si="232"/>
        <v>0.42212400168127057</v>
      </c>
      <c r="DJ48" s="149">
        <f t="shared" si="232"/>
        <v>0.38609019503119452</v>
      </c>
      <c r="DK48" s="149">
        <f t="shared" si="232"/>
        <v>0.41364416156477002</v>
      </c>
      <c r="DL48" s="149">
        <f t="shared" si="232"/>
        <v>0.35607370528383858</v>
      </c>
      <c r="DM48" s="149">
        <f t="shared" si="232"/>
        <v>0.28805585593766436</v>
      </c>
      <c r="DN48" s="149">
        <f t="shared" si="232"/>
        <v>0.38915028213021424</v>
      </c>
      <c r="DO48" s="149">
        <f t="shared" si="232"/>
        <v>0.37664884682956756</v>
      </c>
      <c r="DP48" s="149">
        <f t="shared" si="232"/>
        <v>0.35899203405487279</v>
      </c>
      <c r="DQ48" s="149">
        <f t="shared" si="232"/>
        <v>0.41869326140346819</v>
      </c>
      <c r="DR48" s="149">
        <f t="shared" si="232"/>
        <v>0.34466765190052728</v>
      </c>
      <c r="DS48" s="149">
        <f t="shared" ref="DS48:ED48" si="233">IFERROR((DS45/DS9),0)</f>
        <v>0.41499769682338222</v>
      </c>
      <c r="DT48" s="149">
        <f t="shared" si="233"/>
        <v>0.38086057394524236</v>
      </c>
      <c r="DU48" s="149">
        <f t="shared" si="233"/>
        <v>0.38541756675246447</v>
      </c>
      <c r="DV48" s="149">
        <f t="shared" si="233"/>
        <v>0.35251713459369932</v>
      </c>
      <c r="DW48" s="149">
        <f t="shared" si="233"/>
        <v>0.37767510403739879</v>
      </c>
      <c r="DX48" s="149">
        <f t="shared" si="233"/>
        <v>0.32511077438959179</v>
      </c>
      <c r="DY48" s="149">
        <f t="shared" si="233"/>
        <v>0.26300752063873706</v>
      </c>
      <c r="DZ48" s="149">
        <f t="shared" si="233"/>
        <v>0.35531112716236951</v>
      </c>
      <c r="EA48" s="149">
        <f t="shared" si="233"/>
        <v>0.3438967731922139</v>
      </c>
      <c r="EB48" s="149">
        <f t="shared" si="233"/>
        <v>0.32777533544140564</v>
      </c>
      <c r="EC48" s="149">
        <f t="shared" si="233"/>
        <v>0.38228515171621014</v>
      </c>
      <c r="ED48" s="149">
        <f t="shared" si="233"/>
        <v>0.31469655173526406</v>
      </c>
      <c r="EF48" s="149">
        <f t="shared" si="232"/>
        <v>0.61325543368755475</v>
      </c>
      <c r="EG48" s="149">
        <f t="shared" si="232"/>
        <v>0.54347536734103297</v>
      </c>
      <c r="EH48" s="149">
        <f t="shared" si="232"/>
        <v>0.47480465170844049</v>
      </c>
      <c r="EI48" s="149">
        <f t="shared" si="232"/>
        <v>0.47774649041109279</v>
      </c>
      <c r="EJ48" s="149">
        <f t="shared" si="232"/>
        <v>0.53121155411185228</v>
      </c>
      <c r="EK48" s="149">
        <f t="shared" si="232"/>
        <v>0.49491260858404584</v>
      </c>
      <c r="EL48" s="149">
        <f t="shared" si="232"/>
        <v>0.46227258092212736</v>
      </c>
      <c r="EM48" s="149">
        <f t="shared" si="232"/>
        <v>0.47769611089533376</v>
      </c>
      <c r="EN48" s="149">
        <f t="shared" ref="EN48:FJ48" si="234">IFERROR((EN45/EN9),0)</f>
        <v>0.54036113720524726</v>
      </c>
      <c r="EO48" s="149">
        <f t="shared" si="234"/>
        <v>0.49491260858404584</v>
      </c>
      <c r="EP48" s="149">
        <f t="shared" si="234"/>
        <v>0.44061920446127179</v>
      </c>
      <c r="EQ48" s="149">
        <f t="shared" si="234"/>
        <v>0.4730583639484332</v>
      </c>
      <c r="ER48" s="149">
        <f t="shared" si="234"/>
        <v>0.49215785520391747</v>
      </c>
      <c r="ES48" s="149">
        <f t="shared" si="234"/>
        <v>0.43865991993631631</v>
      </c>
      <c r="ET48" s="149">
        <f t="shared" si="234"/>
        <v>0.39425892028282461</v>
      </c>
      <c r="EU48" s="149">
        <f t="shared" si="234"/>
        <v>0.42457479364594813</v>
      </c>
      <c r="EV48" s="149">
        <f t="shared" si="234"/>
        <v>0.43063812330342782</v>
      </c>
      <c r="EW48" s="149">
        <f t="shared" si="234"/>
        <v>0.38382742994427682</v>
      </c>
      <c r="EX48" s="149">
        <f t="shared" si="234"/>
        <v>0.34497655524747151</v>
      </c>
      <c r="EY48" s="149">
        <f t="shared" si="234"/>
        <v>0.3715029444402046</v>
      </c>
      <c r="EZ48" s="149">
        <f t="shared" si="234"/>
        <v>0.39319132997269496</v>
      </c>
      <c r="FA48" s="149">
        <f t="shared" si="234"/>
        <v>0.35045113168825276</v>
      </c>
      <c r="FB48" s="149">
        <f t="shared" si="234"/>
        <v>0.31497859392160438</v>
      </c>
      <c r="FC48" s="149">
        <f t="shared" si="234"/>
        <v>0.33919834057583897</v>
      </c>
      <c r="FE48" s="149">
        <f t="shared" si="234"/>
        <v>0.52172611867282115</v>
      </c>
      <c r="FF48" s="149">
        <f t="shared" si="234"/>
        <v>0.48955670763305653</v>
      </c>
      <c r="FG48" s="149">
        <f t="shared" si="234"/>
        <v>0.48362391591821019</v>
      </c>
      <c r="FH48" s="149">
        <f t="shared" si="234"/>
        <v>0.43462951528637378</v>
      </c>
      <c r="FI48" s="149">
        <f t="shared" si="234"/>
        <v>0.38030082587557706</v>
      </c>
      <c r="FJ48" s="149">
        <f t="shared" si="234"/>
        <v>0.34723118884291826</v>
      </c>
    </row>
    <row r="49" spans="2:166" x14ac:dyDescent="0.2">
      <c r="B49" s="22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  <c r="BV49" s="149"/>
      <c r="BW49" s="149"/>
      <c r="BX49" s="149"/>
      <c r="BY49" s="149"/>
      <c r="BZ49" s="149"/>
      <c r="CA49" s="149"/>
      <c r="CB49" s="149"/>
      <c r="CC49" s="149"/>
      <c r="CD49" s="149"/>
      <c r="CE49" s="149"/>
      <c r="CF49" s="149"/>
      <c r="CG49" s="149"/>
      <c r="CH49" s="149"/>
      <c r="CI49" s="149"/>
      <c r="CJ49" s="149"/>
      <c r="CK49" s="149"/>
      <c r="CL49" s="149"/>
      <c r="CM49" s="149"/>
      <c r="CN49" s="149"/>
      <c r="CO49" s="149"/>
      <c r="CP49" s="149"/>
      <c r="CQ49" s="149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  <c r="DB49" s="149"/>
      <c r="DC49" s="149"/>
      <c r="DD49" s="149"/>
      <c r="DE49" s="149"/>
      <c r="DF49" s="149"/>
      <c r="DG49" s="149"/>
      <c r="DH49" s="149"/>
      <c r="DI49" s="149"/>
      <c r="DJ49" s="149"/>
      <c r="DK49" s="149"/>
      <c r="DL49" s="149"/>
      <c r="DM49" s="149"/>
      <c r="DN49" s="149"/>
      <c r="DO49" s="149"/>
      <c r="DP49" s="149"/>
      <c r="DQ49" s="149"/>
      <c r="DR49" s="149"/>
      <c r="DS49" s="149"/>
      <c r="DT49" s="149"/>
      <c r="DU49" s="149"/>
      <c r="DV49" s="149"/>
      <c r="DW49" s="149"/>
      <c r="DX49" s="149"/>
      <c r="DY49" s="149"/>
      <c r="DZ49" s="149"/>
      <c r="EA49" s="149"/>
      <c r="EB49" s="149"/>
      <c r="EC49" s="149"/>
      <c r="ED49" s="149"/>
      <c r="EF49" s="165">
        <f t="shared" si="13"/>
        <v>0</v>
      </c>
      <c r="EG49" s="165">
        <f t="shared" si="14"/>
        <v>0</v>
      </c>
      <c r="EH49" s="165">
        <f t="shared" si="15"/>
        <v>0</v>
      </c>
      <c r="EI49" s="165">
        <f t="shared" si="16"/>
        <v>0</v>
      </c>
      <c r="EJ49" s="165">
        <f t="shared" si="17"/>
        <v>0</v>
      </c>
      <c r="EK49" s="165">
        <f t="shared" si="18"/>
        <v>0</v>
      </c>
      <c r="EL49" s="165">
        <f t="shared" si="19"/>
        <v>0</v>
      </c>
      <c r="EM49" s="165">
        <f t="shared" si="20"/>
        <v>0</v>
      </c>
      <c r="EN49" s="165">
        <f t="shared" si="21"/>
        <v>0</v>
      </c>
      <c r="EO49" s="165">
        <f t="shared" si="22"/>
        <v>0</v>
      </c>
      <c r="EP49" s="165">
        <f t="shared" si="23"/>
        <v>0</v>
      </c>
      <c r="EQ49" s="165">
        <f t="shared" si="24"/>
        <v>0</v>
      </c>
      <c r="ER49" s="165">
        <f t="shared" si="25"/>
        <v>0</v>
      </c>
      <c r="ES49" s="165">
        <f t="shared" si="26"/>
        <v>0</v>
      </c>
      <c r="ET49" s="165">
        <f t="shared" si="27"/>
        <v>0</v>
      </c>
      <c r="EU49" s="165">
        <f t="shared" si="28"/>
        <v>0</v>
      </c>
      <c r="EV49" s="165">
        <f t="shared" si="29"/>
        <v>0</v>
      </c>
      <c r="EW49" s="165">
        <f t="shared" si="30"/>
        <v>0</v>
      </c>
      <c r="EX49" s="165">
        <f t="shared" si="31"/>
        <v>0</v>
      </c>
      <c r="EY49" s="165">
        <f t="shared" si="32"/>
        <v>0</v>
      </c>
      <c r="EZ49" s="165">
        <f t="shared" si="33"/>
        <v>0</v>
      </c>
      <c r="FA49" s="165">
        <f t="shared" si="34"/>
        <v>0</v>
      </c>
      <c r="FB49" s="165">
        <f t="shared" si="35"/>
        <v>0</v>
      </c>
      <c r="FC49" s="165">
        <f t="shared" si="36"/>
        <v>0</v>
      </c>
      <c r="FE49" s="165">
        <f t="shared" si="37"/>
        <v>0</v>
      </c>
      <c r="FF49" s="165">
        <f t="shared" si="38"/>
        <v>0</v>
      </c>
      <c r="FG49" s="165">
        <f t="shared" si="39"/>
        <v>0</v>
      </c>
      <c r="FH49" s="165">
        <f t="shared" si="40"/>
        <v>0</v>
      </c>
      <c r="FI49" s="165">
        <f t="shared" si="41"/>
        <v>0</v>
      </c>
      <c r="FJ49" s="804">
        <f t="shared" si="42"/>
        <v>0</v>
      </c>
    </row>
    <row r="50" spans="2:166" x14ac:dyDescent="0.2">
      <c r="B50" s="23" t="s">
        <v>63</v>
      </c>
      <c r="C50" s="5">
        <f>C42-C45</f>
        <v>3205149.8571428573</v>
      </c>
      <c r="D50" s="5">
        <f t="shared" ref="D50:BO50" si="235">D42-D45</f>
        <v>5170025.8571428573</v>
      </c>
      <c r="E50" s="5">
        <f t="shared" si="235"/>
        <v>4746984.8571428563</v>
      </c>
      <c r="F50" s="5">
        <f t="shared" si="235"/>
        <v>3792577.8571428573</v>
      </c>
      <c r="G50" s="5">
        <f t="shared" si="235"/>
        <v>1810330.8571428573</v>
      </c>
      <c r="H50" s="5">
        <f t="shared" si="235"/>
        <v>1020404.5714285711</v>
      </c>
      <c r="I50" s="5">
        <f t="shared" si="235"/>
        <v>1516954.2857142854</v>
      </c>
      <c r="J50" s="5">
        <f t="shared" si="235"/>
        <v>1362178.2857142857</v>
      </c>
      <c r="K50" s="5">
        <f t="shared" si="235"/>
        <v>-839562.14285714272</v>
      </c>
      <c r="L50" s="5">
        <f t="shared" si="235"/>
        <v>877011</v>
      </c>
      <c r="M50" s="5">
        <f t="shared" si="235"/>
        <v>1314549</v>
      </c>
      <c r="N50" s="5">
        <f t="shared" si="235"/>
        <v>1072181</v>
      </c>
      <c r="O50" s="5">
        <f t="shared" si="235"/>
        <v>793986.10199999996</v>
      </c>
      <c r="P50" s="5">
        <f t="shared" si="235"/>
        <v>1089065.6800000002</v>
      </c>
      <c r="Q50" s="5">
        <f t="shared" si="235"/>
        <v>731839.05811137985</v>
      </c>
      <c r="R50" s="5">
        <f t="shared" si="235"/>
        <v>1583708</v>
      </c>
      <c r="S50" s="5">
        <f t="shared" si="235"/>
        <v>2000386.9999999995</v>
      </c>
      <c r="T50" s="5">
        <f t="shared" si="235"/>
        <v>2112593</v>
      </c>
      <c r="U50" s="5">
        <f t="shared" si="235"/>
        <v>3264850</v>
      </c>
      <c r="V50" s="5">
        <f t="shared" si="235"/>
        <v>2043300.9999999995</v>
      </c>
      <c r="W50" s="5">
        <f t="shared" si="235"/>
        <v>2185724.9999999995</v>
      </c>
      <c r="X50" s="5">
        <f t="shared" si="235"/>
        <v>2464472</v>
      </c>
      <c r="Y50" s="5">
        <f t="shared" si="235"/>
        <v>2253804</v>
      </c>
      <c r="Z50" s="5">
        <f t="shared" si="235"/>
        <v>1842015.9999999995</v>
      </c>
      <c r="AA50" s="5">
        <f t="shared" si="235"/>
        <v>-1329903.8014033728</v>
      </c>
      <c r="AB50" s="5">
        <f t="shared" si="235"/>
        <v>213353</v>
      </c>
      <c r="AC50" s="5">
        <f t="shared" si="235"/>
        <v>3826388</v>
      </c>
      <c r="AD50" s="5">
        <f t="shared" si="235"/>
        <v>6470126</v>
      </c>
      <c r="AE50" s="5">
        <f t="shared" si="235"/>
        <v>8207163</v>
      </c>
      <c r="AF50" s="5">
        <f t="shared" si="235"/>
        <v>8292600</v>
      </c>
      <c r="AG50" s="5">
        <f t="shared" si="235"/>
        <v>11989634</v>
      </c>
      <c r="AH50" s="5">
        <f t="shared" si="235"/>
        <v>9794557</v>
      </c>
      <c r="AI50" s="5">
        <f t="shared" si="235"/>
        <v>7157966</v>
      </c>
      <c r="AJ50" s="5">
        <f t="shared" si="235"/>
        <v>9836396</v>
      </c>
      <c r="AK50" s="5">
        <f t="shared" si="235"/>
        <v>8257712.9999999981</v>
      </c>
      <c r="AL50" s="5">
        <f t="shared" si="235"/>
        <v>7625415.9999999981</v>
      </c>
      <c r="AM50" s="5">
        <f t="shared" si="235"/>
        <v>5816111.9999999981</v>
      </c>
      <c r="AN50" s="5">
        <f t="shared" si="235"/>
        <v>1152993</v>
      </c>
      <c r="AO50" s="5">
        <f t="shared" si="235"/>
        <v>7322167</v>
      </c>
      <c r="AP50" s="5">
        <f t="shared" si="235"/>
        <v>9192435</v>
      </c>
      <c r="AQ50" s="5">
        <f t="shared" si="235"/>
        <v>11652779</v>
      </c>
      <c r="AR50" s="5">
        <f t="shared" si="235"/>
        <v>8953389.2783000693</v>
      </c>
      <c r="AS50" s="5">
        <f t="shared" si="235"/>
        <v>15920490</v>
      </c>
      <c r="AT50" s="5">
        <f t="shared" si="235"/>
        <v>10317673</v>
      </c>
      <c r="AU50" s="5">
        <f t="shared" si="235"/>
        <v>8318837.1864406765</v>
      </c>
      <c r="AV50" s="5">
        <f t="shared" si="235"/>
        <v>9920169</v>
      </c>
      <c r="AW50" s="5">
        <f t="shared" si="235"/>
        <v>8091539</v>
      </c>
      <c r="AX50" s="5">
        <f t="shared" si="235"/>
        <v>12662218.58123688</v>
      </c>
      <c r="AY50" s="5">
        <f t="shared" si="235"/>
        <v>11475574.999999996</v>
      </c>
      <c r="AZ50" s="5">
        <f t="shared" si="235"/>
        <v>11598969.820448715</v>
      </c>
      <c r="BA50" s="5">
        <f t="shared" si="235"/>
        <v>9824119.6823076941</v>
      </c>
      <c r="BB50" s="5">
        <f t="shared" si="235"/>
        <v>7981113.1965857185</v>
      </c>
      <c r="BC50" s="5">
        <f t="shared" si="235"/>
        <v>8836441.2802592684</v>
      </c>
      <c r="BD50" s="5">
        <f t="shared" si="235"/>
        <v>17050826.055438798</v>
      </c>
      <c r="BE50" s="5">
        <f t="shared" si="235"/>
        <v>15593200.151418155</v>
      </c>
      <c r="BF50" s="5">
        <f t="shared" si="235"/>
        <v>10501670.704098569</v>
      </c>
      <c r="BG50" s="5">
        <f t="shared" si="235"/>
        <v>6262234.1796776671</v>
      </c>
      <c r="BH50" s="5">
        <f t="shared" si="235"/>
        <v>-14722506.981298953</v>
      </c>
      <c r="BI50" s="5">
        <f t="shared" si="235"/>
        <v>-21552037.013590097</v>
      </c>
      <c r="BJ50" s="5">
        <f t="shared" si="235"/>
        <v>-9561531.2665085774</v>
      </c>
      <c r="BK50" s="5">
        <f t="shared" si="235"/>
        <v>-11101176.407453615</v>
      </c>
      <c r="BL50" s="5">
        <f t="shared" si="235"/>
        <v>-10125047.253059387</v>
      </c>
      <c r="BM50" s="5">
        <f t="shared" si="235"/>
        <v>-10355081.443281885</v>
      </c>
      <c r="BN50" s="5">
        <f t="shared" si="235"/>
        <v>-8351863.8057167307</v>
      </c>
      <c r="BO50" s="5">
        <f t="shared" si="235"/>
        <v>-5706279.3688860834</v>
      </c>
      <c r="BP50" s="5">
        <f t="shared" ref="BP50:DR50" si="236">BP42-BP45</f>
        <v>-2473376.1783184186</v>
      </c>
      <c r="BQ50" s="5">
        <f t="shared" si="236"/>
        <v>7817840.3364463001</v>
      </c>
      <c r="BR50" s="5">
        <f t="shared" si="236"/>
        <v>1569184.7373646945</v>
      </c>
      <c r="BS50" s="5">
        <f t="shared" si="236"/>
        <v>507922.39444649965</v>
      </c>
      <c r="BT50" s="5">
        <f t="shared" si="236"/>
        <v>10063050.498601846</v>
      </c>
      <c r="BU50" s="5">
        <f t="shared" si="236"/>
        <v>3013512.7711099759</v>
      </c>
      <c r="BV50" s="5">
        <f t="shared" si="236"/>
        <v>-458699.64447849989</v>
      </c>
      <c r="BW50" s="5">
        <f t="shared" si="236"/>
        <v>-3753198.1527200714</v>
      </c>
      <c r="BX50" s="5">
        <f t="shared" si="236"/>
        <v>3400499.0890191309</v>
      </c>
      <c r="BY50" s="5">
        <f t="shared" si="236"/>
        <v>-2719043.4739544466</v>
      </c>
      <c r="BZ50" s="5">
        <f t="shared" si="236"/>
        <v>7557396.7727805451</v>
      </c>
      <c r="CA50" s="5">
        <f t="shared" si="236"/>
        <v>6320816.4520853162</v>
      </c>
      <c r="CB50" s="5">
        <f t="shared" si="236"/>
        <v>4740720.639140252</v>
      </c>
      <c r="CC50" s="5">
        <f t="shared" si="236"/>
        <v>19985390.009703897</v>
      </c>
      <c r="CD50" s="5">
        <f t="shared" si="236"/>
        <v>6058813.0886082277</v>
      </c>
      <c r="CE50" s="5">
        <f t="shared" si="236"/>
        <v>2875537.9434620366</v>
      </c>
      <c r="CF50" s="5">
        <f t="shared" si="236"/>
        <v>5196083.0063851923</v>
      </c>
      <c r="CG50" s="5">
        <f t="shared" si="236"/>
        <v>-6973061.8654268757</v>
      </c>
      <c r="CH50" s="5">
        <f t="shared" si="236"/>
        <v>1723670.1982510425</v>
      </c>
      <c r="CI50" s="5">
        <f t="shared" si="236"/>
        <v>-2107879.3735241517</v>
      </c>
      <c r="CJ50" s="5">
        <f t="shared" si="236"/>
        <v>1596886.9274832234</v>
      </c>
      <c r="CK50" s="5">
        <f t="shared" si="236"/>
        <v>-2897506.5222528428</v>
      </c>
      <c r="CL50" s="5">
        <f t="shared" si="236"/>
        <v>-1678215.7154400013</v>
      </c>
      <c r="CM50" s="5">
        <f t="shared" si="236"/>
        <v>-2115904.689324148</v>
      </c>
      <c r="CN50" s="5">
        <f t="shared" si="236"/>
        <v>10534165.997037459</v>
      </c>
      <c r="CO50" s="5">
        <f t="shared" si="236"/>
        <v>27180110.497050002</v>
      </c>
      <c r="CP50" s="5">
        <f t="shared" si="236"/>
        <v>7063587.7059872746</v>
      </c>
      <c r="CQ50" s="5">
        <f t="shared" si="236"/>
        <v>9831904.8377336413</v>
      </c>
      <c r="CR50" s="5">
        <f t="shared" si="236"/>
        <v>12142656.316667154</v>
      </c>
      <c r="CS50" s="5">
        <f t="shared" si="236"/>
        <v>7252188.2542288303</v>
      </c>
      <c r="CT50" s="5">
        <f t="shared" si="236"/>
        <v>19008485.091591418</v>
      </c>
      <c r="CU50" s="5">
        <f t="shared" si="236"/>
        <v>4016096.014810048</v>
      </c>
      <c r="CV50" s="5">
        <f t="shared" si="236"/>
        <v>10610426.80523552</v>
      </c>
      <c r="CW50" s="5">
        <f t="shared" si="236"/>
        <v>9662583.9567235857</v>
      </c>
      <c r="CX50" s="5">
        <f t="shared" si="236"/>
        <v>17056004.048747972</v>
      </c>
      <c r="CY50" s="5">
        <f t="shared" si="236"/>
        <v>11286579.291203827</v>
      </c>
      <c r="CZ50" s="5">
        <f t="shared" si="236"/>
        <v>24357221.529049411</v>
      </c>
      <c r="DA50" s="5">
        <f t="shared" si="236"/>
        <v>46532564.332497343</v>
      </c>
      <c r="DB50" s="5">
        <f t="shared" si="236"/>
        <v>16374934.090154439</v>
      </c>
      <c r="DC50" s="5">
        <f t="shared" si="236"/>
        <v>19227068.212784395</v>
      </c>
      <c r="DD50" s="5">
        <f t="shared" si="236"/>
        <v>23593783.903983369</v>
      </c>
      <c r="DE50" s="5">
        <f t="shared" si="236"/>
        <v>10311690.343253151</v>
      </c>
      <c r="DF50" s="5">
        <f t="shared" si="236"/>
        <v>27465064.228191018</v>
      </c>
      <c r="DG50" s="5">
        <f t="shared" si="236"/>
        <v>12971991.293445736</v>
      </c>
      <c r="DH50" s="5">
        <f t="shared" si="236"/>
        <v>20885188.241956301</v>
      </c>
      <c r="DI50" s="5">
        <f t="shared" si="236"/>
        <v>19747776.82374198</v>
      </c>
      <c r="DJ50" s="5">
        <f t="shared" si="236"/>
        <v>28619880.934171245</v>
      </c>
      <c r="DK50" s="5">
        <f t="shared" si="236"/>
        <v>21696571.225118287</v>
      </c>
      <c r="DL50" s="5">
        <f t="shared" si="236"/>
        <v>37381341.910532996</v>
      </c>
      <c r="DM50" s="5">
        <f t="shared" si="236"/>
        <v>63991753.274670526</v>
      </c>
      <c r="DN50" s="5">
        <f t="shared" si="236"/>
        <v>27802596.983859017</v>
      </c>
      <c r="DO50" s="5">
        <f t="shared" si="236"/>
        <v>31225157.93101497</v>
      </c>
      <c r="DP50" s="5">
        <f t="shared" si="236"/>
        <v>36465216.760453746</v>
      </c>
      <c r="DQ50" s="5">
        <f t="shared" si="236"/>
        <v>20526704.487577476</v>
      </c>
      <c r="DR50" s="5">
        <f t="shared" si="236"/>
        <v>41110753.149502918</v>
      </c>
      <c r="DS50" s="5">
        <f t="shared" ref="DS50:ED50" si="237">DS42-DS45</f>
        <v>19850745.751407698</v>
      </c>
      <c r="DT50" s="5">
        <f t="shared" si="237"/>
        <v>28950922.242194861</v>
      </c>
      <c r="DU50" s="5">
        <f t="shared" si="237"/>
        <v>27642899.111248389</v>
      </c>
      <c r="DV50" s="5">
        <f t="shared" si="237"/>
        <v>37845818.838242054</v>
      </c>
      <c r="DW50" s="5">
        <f t="shared" si="237"/>
        <v>29884012.672831133</v>
      </c>
      <c r="DX50" s="5">
        <f t="shared" si="237"/>
        <v>47921498.961058035</v>
      </c>
      <c r="DY50" s="5">
        <f t="shared" si="237"/>
        <v>78523472.02981624</v>
      </c>
      <c r="DZ50" s="5">
        <f t="shared" si="237"/>
        <v>36905942.295382977</v>
      </c>
      <c r="EA50" s="5">
        <f t="shared" si="237"/>
        <v>40841887.384612337</v>
      </c>
      <c r="EB50" s="5">
        <f t="shared" si="237"/>
        <v>46867955.038466901</v>
      </c>
      <c r="EC50" s="5">
        <f t="shared" si="237"/>
        <v>28538665.924659207</v>
      </c>
      <c r="ED50" s="5">
        <f t="shared" si="237"/>
        <v>52210321.885873482</v>
      </c>
      <c r="EF50" s="293">
        <f t="shared" si="13"/>
        <v>-31581305.103794888</v>
      </c>
      <c r="EG50" s="293">
        <f t="shared" si="14"/>
        <v>-16531519.352921233</v>
      </c>
      <c r="EH50" s="293">
        <f t="shared" si="15"/>
        <v>9894947.4682574943</v>
      </c>
      <c r="EI50" s="293">
        <f t="shared" si="16"/>
        <v>12617863.625233322</v>
      </c>
      <c r="EJ50" s="293">
        <f t="shared" si="17"/>
        <v>-3071742.5376553871</v>
      </c>
      <c r="EK50" s="293">
        <f t="shared" si="18"/>
        <v>6740045.5922733098</v>
      </c>
      <c r="EL50" s="293">
        <f t="shared" si="19"/>
        <v>28919741.041774161</v>
      </c>
      <c r="EM50" s="293">
        <f t="shared" si="20"/>
        <v>-53308.660790640861</v>
      </c>
      <c r="EN50" s="293">
        <f t="shared" si="21"/>
        <v>-3408498.9682937711</v>
      </c>
      <c r="EO50" s="293">
        <f t="shared" si="22"/>
        <v>6740045.5922733098</v>
      </c>
      <c r="EP50" s="293">
        <f t="shared" si="23"/>
        <v>44075603.040770918</v>
      </c>
      <c r="EQ50" s="293">
        <f t="shared" si="24"/>
        <v>38403329.662487403</v>
      </c>
      <c r="ER50" s="293">
        <f t="shared" si="25"/>
        <v>24289106.776769154</v>
      </c>
      <c r="ES50" s="293">
        <f t="shared" si="26"/>
        <v>52699804.86900121</v>
      </c>
      <c r="ET50" s="293">
        <f t="shared" si="27"/>
        <v>82134566.635436177</v>
      </c>
      <c r="EU50" s="293">
        <f t="shared" si="28"/>
        <v>61370538.475427538</v>
      </c>
      <c r="EV50" s="293">
        <f t="shared" si="29"/>
        <v>53604956.359144017</v>
      </c>
      <c r="EW50" s="293">
        <f t="shared" si="30"/>
        <v>87697794.06982252</v>
      </c>
      <c r="EX50" s="293">
        <f t="shared" si="31"/>
        <v>123019508.18954451</v>
      </c>
      <c r="EY50" s="293">
        <f t="shared" si="32"/>
        <v>98102674.397534132</v>
      </c>
      <c r="EZ50" s="293">
        <f t="shared" si="33"/>
        <v>76444567.104850948</v>
      </c>
      <c r="FA50" s="293">
        <f t="shared" si="34"/>
        <v>115651330.47213122</v>
      </c>
      <c r="FB50" s="293">
        <f t="shared" si="35"/>
        <v>156271301.70981157</v>
      </c>
      <c r="FC50" s="293">
        <f t="shared" si="36"/>
        <v>127616942.84899959</v>
      </c>
      <c r="FE50" s="293">
        <f t="shared" si="37"/>
        <v>-25600013.363225304</v>
      </c>
      <c r="FF50" s="293">
        <f t="shared" si="38"/>
        <v>32534735.435601443</v>
      </c>
      <c r="FG50" s="293">
        <f t="shared" si="39"/>
        <v>85810479.327237859</v>
      </c>
      <c r="FH50" s="293">
        <f t="shared" si="40"/>
        <v>220494016.75663409</v>
      </c>
      <c r="FI50" s="293">
        <f t="shared" si="41"/>
        <v>362424933.01604515</v>
      </c>
      <c r="FJ50" s="807">
        <f t="shared" si="42"/>
        <v>475984142.13579333</v>
      </c>
    </row>
    <row r="51" spans="2:166" x14ac:dyDescent="0.2">
      <c r="B51" s="150" t="s">
        <v>213</v>
      </c>
      <c r="C51" s="151">
        <f>C50/C9</f>
        <v>0.75083791400575373</v>
      </c>
      <c r="D51" s="151">
        <f t="shared" ref="D51:BO51" si="238">D50/D9</f>
        <v>0.81522541061340237</v>
      </c>
      <c r="E51" s="151">
        <f t="shared" si="238"/>
        <v>0.80705780115454639</v>
      </c>
      <c r="F51" s="151">
        <f t="shared" si="238"/>
        <v>0.74679168870755164</v>
      </c>
      <c r="G51" s="151">
        <f t="shared" si="238"/>
        <v>0.59463938826496798</v>
      </c>
      <c r="H51" s="151">
        <f t="shared" si="238"/>
        <v>0.45160955838969047</v>
      </c>
      <c r="I51" s="151">
        <f t="shared" si="238"/>
        <v>0.54329352011241738</v>
      </c>
      <c r="J51" s="151">
        <f t="shared" si="238"/>
        <v>0.54518206806451108</v>
      </c>
      <c r="K51" s="151">
        <f t="shared" si="238"/>
        <v>-0.26372307415744206</v>
      </c>
      <c r="L51" s="151">
        <f t="shared" si="238"/>
        <v>0.2625110226307405</v>
      </c>
      <c r="M51" s="151">
        <f t="shared" si="238"/>
        <v>0.44385682175246172</v>
      </c>
      <c r="N51" s="151">
        <f t="shared" si="238"/>
        <v>0.39740507161905964</v>
      </c>
      <c r="O51" s="151">
        <f t="shared" si="238"/>
        <v>0.29889372429349925</v>
      </c>
      <c r="P51" s="151">
        <f t="shared" si="238"/>
        <v>0.36479837875021437</v>
      </c>
      <c r="Q51" s="151">
        <f t="shared" si="238"/>
        <v>0.2382214997581919</v>
      </c>
      <c r="R51" s="151">
        <f t="shared" si="238"/>
        <v>0.45288071227478688</v>
      </c>
      <c r="S51" s="151">
        <f t="shared" si="238"/>
        <v>0.53129393116772006</v>
      </c>
      <c r="T51" s="151">
        <f t="shared" si="238"/>
        <v>0.55830996903465124</v>
      </c>
      <c r="U51" s="151">
        <f t="shared" si="238"/>
        <v>0.66942939440614269</v>
      </c>
      <c r="V51" s="151">
        <f t="shared" si="238"/>
        <v>0.56507092904661704</v>
      </c>
      <c r="W51" s="151">
        <f t="shared" si="238"/>
        <v>0.58197570731192971</v>
      </c>
      <c r="X51" s="151">
        <f t="shared" si="238"/>
        <v>0.56843759651381986</v>
      </c>
      <c r="Y51" s="151">
        <f t="shared" si="238"/>
        <v>0.55783982862383008</v>
      </c>
      <c r="Z51" s="151">
        <f t="shared" si="238"/>
        <v>0.55696573027490637</v>
      </c>
      <c r="AA51" s="151">
        <f t="shared" si="238"/>
        <v>-22.402907558637075</v>
      </c>
      <c r="AB51" s="151">
        <f t="shared" si="238"/>
        <v>0.10937769146850623</v>
      </c>
      <c r="AC51" s="151">
        <f t="shared" si="238"/>
        <v>0.63041702487176288</v>
      </c>
      <c r="AD51" s="151">
        <f t="shared" si="238"/>
        <v>0.71197897249019648</v>
      </c>
      <c r="AE51" s="151">
        <f t="shared" si="238"/>
        <v>0.68872180236602754</v>
      </c>
      <c r="AF51" s="151">
        <f t="shared" si="238"/>
        <v>0.66150239681544576</v>
      </c>
      <c r="AG51" s="151">
        <f t="shared" si="238"/>
        <v>0.78275675890943441</v>
      </c>
      <c r="AH51" s="151">
        <f t="shared" si="238"/>
        <v>0.79456090148735226</v>
      </c>
      <c r="AI51" s="151">
        <f t="shared" si="238"/>
        <v>0.67090726814035773</v>
      </c>
      <c r="AJ51" s="151">
        <f t="shared" si="238"/>
        <v>0.74519235431303243</v>
      </c>
      <c r="AK51" s="151">
        <f t="shared" si="238"/>
        <v>0.71549133296561096</v>
      </c>
      <c r="AL51" s="151">
        <f t="shared" si="238"/>
        <v>0.58398609844281413</v>
      </c>
      <c r="AM51" s="151">
        <f t="shared" si="238"/>
        <v>0.60478322744631452</v>
      </c>
      <c r="AN51" s="151">
        <f t="shared" si="238"/>
        <v>0.26608324925390081</v>
      </c>
      <c r="AO51" s="151">
        <f t="shared" si="238"/>
        <v>0.54927174768702758</v>
      </c>
      <c r="AP51" s="151">
        <f t="shared" si="238"/>
        <v>0.53301121079665403</v>
      </c>
      <c r="AQ51" s="151">
        <f t="shared" si="238"/>
        <v>0.58477404776449537</v>
      </c>
      <c r="AR51" s="151">
        <f t="shared" si="238"/>
        <v>0.46428674694010313</v>
      </c>
      <c r="AS51" s="151">
        <f t="shared" si="238"/>
        <v>0.58333116545027053</v>
      </c>
      <c r="AT51" s="151">
        <f t="shared" si="238"/>
        <v>0.58356129595662576</v>
      </c>
      <c r="AU51" s="151">
        <f t="shared" si="238"/>
        <v>0.42861004674256065</v>
      </c>
      <c r="AV51" s="151">
        <f t="shared" si="238"/>
        <v>0.47410791210017</v>
      </c>
      <c r="AW51" s="151">
        <f t="shared" si="238"/>
        <v>0.42032307190349516</v>
      </c>
      <c r="AX51" s="151">
        <f t="shared" si="238"/>
        <v>0.50584173120792175</v>
      </c>
      <c r="AY51" s="151">
        <f t="shared" si="238"/>
        <v>0.51399938762113195</v>
      </c>
      <c r="AZ51" s="151">
        <f t="shared" si="238"/>
        <v>0.54621054069233044</v>
      </c>
      <c r="BA51" s="151">
        <f t="shared" si="238"/>
        <v>0.41428942395358592</v>
      </c>
      <c r="BB51" s="151">
        <f t="shared" si="238"/>
        <v>0.342283283859252</v>
      </c>
      <c r="BC51" s="151">
        <f t="shared" si="238"/>
        <v>0.36401360524429577</v>
      </c>
      <c r="BD51" s="151">
        <f t="shared" si="238"/>
        <v>0.56229396128610665</v>
      </c>
      <c r="BE51" s="151">
        <f t="shared" si="238"/>
        <v>0.5020141811406752</v>
      </c>
      <c r="BF51" s="151">
        <f t="shared" si="238"/>
        <v>0.4230399789486024</v>
      </c>
      <c r="BG51" s="151">
        <f t="shared" si="238"/>
        <v>0.22311940304502009</v>
      </c>
      <c r="BH51" s="151">
        <f t="shared" si="238"/>
        <v>-0.4627873231785477</v>
      </c>
      <c r="BI51" s="151">
        <f t="shared" si="238"/>
        <v>-0.73055251374749886</v>
      </c>
      <c r="BJ51" s="151">
        <f t="shared" si="238"/>
        <v>-0.28683391163273358</v>
      </c>
      <c r="BK51" s="151">
        <f t="shared" si="238"/>
        <v>-0.30337748562287775</v>
      </c>
      <c r="BL51" s="151">
        <f t="shared" si="238"/>
        <v>-0.26440085793987966</v>
      </c>
      <c r="BM51" s="151">
        <f t="shared" si="238"/>
        <v>-0.27240242475983856</v>
      </c>
      <c r="BN51" s="151">
        <f t="shared" si="238"/>
        <v>-0.20120026301448032</v>
      </c>
      <c r="BO51" s="151">
        <f t="shared" si="238"/>
        <v>-0.13328709963642152</v>
      </c>
      <c r="BP51" s="151">
        <f t="shared" ref="BP51:EM51" si="239">BP50/BP9</f>
        <v>-6.4914692866493429E-2</v>
      </c>
      <c r="BQ51" s="151">
        <f t="shared" si="239"/>
        <v>0.13813187036763525</v>
      </c>
      <c r="BR51" s="151">
        <f t="shared" si="239"/>
        <v>3.3289746284253303E-2</v>
      </c>
      <c r="BS51" s="151">
        <f t="shared" si="239"/>
        <v>1.1649568532685331E-2</v>
      </c>
      <c r="BT51" s="151">
        <f t="shared" si="239"/>
        <v>0.20307677830470522</v>
      </c>
      <c r="BU51" s="151">
        <f t="shared" si="239"/>
        <v>6.8694151452060342E-2</v>
      </c>
      <c r="BV51" s="151">
        <f t="shared" si="239"/>
        <v>-1.0216842102076091E-2</v>
      </c>
      <c r="BW51" s="151">
        <f t="shared" si="239"/>
        <v>-8.7413179717374515E-2</v>
      </c>
      <c r="BX51" s="151">
        <f t="shared" si="239"/>
        <v>6.8433030366557582E-2</v>
      </c>
      <c r="BY51" s="151">
        <f t="shared" si="239"/>
        <v>-5.9257988439682489E-2</v>
      </c>
      <c r="BZ51" s="151">
        <f t="shared" si="239"/>
        <v>0.14003648647201353</v>
      </c>
      <c r="CA51" s="151">
        <f t="shared" si="239"/>
        <v>0.12412399882657052</v>
      </c>
      <c r="CB51" s="151">
        <f t="shared" si="239"/>
        <v>9.7857145205709387E-2</v>
      </c>
      <c r="CC51" s="151">
        <f t="shared" si="239"/>
        <v>0.29335743241046064</v>
      </c>
      <c r="CD51" s="151">
        <f t="shared" si="239"/>
        <v>0.11571010821902585</v>
      </c>
      <c r="CE51" s="151">
        <f t="shared" si="239"/>
        <v>5.3614103035320854E-2</v>
      </c>
      <c r="CF51" s="151">
        <f t="shared" si="239"/>
        <v>8.9844555926446232E-2</v>
      </c>
      <c r="CG51" s="151">
        <f t="shared" si="239"/>
        <v>-0.12071608531935871</v>
      </c>
      <c r="CH51" s="151">
        <f t="shared" si="239"/>
        <v>3.0473261148555839E-2</v>
      </c>
      <c r="CI51" s="151">
        <f t="shared" si="239"/>
        <v>-3.6959853379255947E-2</v>
      </c>
      <c r="CJ51" s="151">
        <f t="shared" si="239"/>
        <v>2.6479156744075829E-2</v>
      </c>
      <c r="CK51" s="151">
        <f t="shared" si="239"/>
        <v>-4.8738537519249628E-2</v>
      </c>
      <c r="CL51" s="151">
        <f t="shared" si="239"/>
        <v>-2.6709540525515742E-2</v>
      </c>
      <c r="CM51" s="151">
        <f t="shared" si="239"/>
        <v>-3.6438225401584111E-2</v>
      </c>
      <c r="CN51" s="151">
        <f t="shared" si="239"/>
        <v>0.15025702565689439</v>
      </c>
      <c r="CO51" s="151">
        <f t="shared" si="239"/>
        <v>0.30708636689504965</v>
      </c>
      <c r="CP51" s="151">
        <f t="shared" si="239"/>
        <v>0.10314277422141142</v>
      </c>
      <c r="CQ51" s="151">
        <f t="shared" si="239"/>
        <v>0.13740930189289308</v>
      </c>
      <c r="CR51" s="151">
        <f t="shared" si="239"/>
        <v>0.16248281432429981</v>
      </c>
      <c r="CS51" s="151">
        <f t="shared" si="239"/>
        <v>0.11066467306196538</v>
      </c>
      <c r="CT51" s="151">
        <f t="shared" si="239"/>
        <v>0.22919973366329091</v>
      </c>
      <c r="CU51" s="151">
        <f t="shared" si="239"/>
        <v>5.4587632139073528E-2</v>
      </c>
      <c r="CV51" s="151">
        <f t="shared" si="239"/>
        <v>0.13235591475659569</v>
      </c>
      <c r="CW51" s="151">
        <f t="shared" si="239"/>
        <v>0.12197456229806719</v>
      </c>
      <c r="CX51" s="151">
        <f t="shared" si="239"/>
        <v>0.1969255215659293</v>
      </c>
      <c r="CY51" s="151">
        <f t="shared" si="239"/>
        <v>0.13961278068953067</v>
      </c>
      <c r="CZ51" s="151">
        <f t="shared" si="239"/>
        <v>0.25936035456222395</v>
      </c>
      <c r="DA51" s="151">
        <f t="shared" si="239"/>
        <v>0.40083869198406041</v>
      </c>
      <c r="DB51" s="151">
        <f t="shared" si="239"/>
        <v>0.19056048592753513</v>
      </c>
      <c r="DC51" s="151">
        <f t="shared" si="239"/>
        <v>0.2165636938902053</v>
      </c>
      <c r="DD51" s="151">
        <f t="shared" si="239"/>
        <v>0.25329017876947141</v>
      </c>
      <c r="DE51" s="151">
        <f t="shared" si="239"/>
        <v>0.1291105631463049</v>
      </c>
      <c r="DF51" s="151">
        <f t="shared" si="239"/>
        <v>0.28308514863800666</v>
      </c>
      <c r="DG51" s="151">
        <f t="shared" si="239"/>
        <v>0.14693172304368085</v>
      </c>
      <c r="DH51" s="151">
        <f t="shared" si="239"/>
        <v>0.21710391150836653</v>
      </c>
      <c r="DI51" s="151">
        <f t="shared" si="239"/>
        <v>0.20773656794979789</v>
      </c>
      <c r="DJ51" s="151">
        <f t="shared" si="239"/>
        <v>0.27536661791786005</v>
      </c>
      <c r="DK51" s="151">
        <f t="shared" si="239"/>
        <v>0.22365195586230149</v>
      </c>
      <c r="DL51" s="151">
        <f t="shared" si="239"/>
        <v>0.33170306666425481</v>
      </c>
      <c r="DM51" s="151">
        <f t="shared" si="239"/>
        <v>0.459362367128203</v>
      </c>
      <c r="DN51" s="151">
        <f t="shared" si="239"/>
        <v>0.26962329344972796</v>
      </c>
      <c r="DO51" s="151">
        <f t="shared" si="239"/>
        <v>0.29308661227878208</v>
      </c>
      <c r="DP51" s="151">
        <f t="shared" si="239"/>
        <v>0.3262258013138325</v>
      </c>
      <c r="DQ51" s="151">
        <f t="shared" si="239"/>
        <v>0.21417555283608472</v>
      </c>
      <c r="DR51" s="151">
        <f t="shared" si="239"/>
        <v>0.3531105179430693</v>
      </c>
      <c r="DS51" s="151">
        <f t="shared" ref="DS51:ED51" si="240">DS50/DS9</f>
        <v>0.19551852381670845</v>
      </c>
      <c r="DT51" s="151">
        <f t="shared" si="240"/>
        <v>0.26169403085173704</v>
      </c>
      <c r="DU51" s="151">
        <f t="shared" si="240"/>
        <v>0.25286020760748196</v>
      </c>
      <c r="DV51" s="151">
        <f t="shared" si="240"/>
        <v>0.31663836452919608</v>
      </c>
      <c r="DW51" s="151">
        <f t="shared" si="240"/>
        <v>0.26786912905930627</v>
      </c>
      <c r="DX51" s="151">
        <f t="shared" si="240"/>
        <v>0.36976615121952744</v>
      </c>
      <c r="DY51" s="151">
        <f t="shared" si="240"/>
        <v>0.49015457177149957</v>
      </c>
      <c r="DZ51" s="151">
        <f t="shared" si="240"/>
        <v>0.31122215310611068</v>
      </c>
      <c r="EA51" s="151">
        <f t="shared" si="240"/>
        <v>0.33334911044076171</v>
      </c>
      <c r="EB51" s="151">
        <f t="shared" si="240"/>
        <v>0.36460084542445453</v>
      </c>
      <c r="EC51" s="151">
        <f t="shared" si="240"/>
        <v>0.25893245786736019</v>
      </c>
      <c r="ED51" s="151">
        <f t="shared" si="240"/>
        <v>0.38995433365616555</v>
      </c>
      <c r="EF51" s="151">
        <f t="shared" si="239"/>
        <v>-0.27972768977107987</v>
      </c>
      <c r="EG51" s="151">
        <f t="shared" si="239"/>
        <v>-0.13503485534799109</v>
      </c>
      <c r="EH51" s="151">
        <f t="shared" si="239"/>
        <v>6.7159874265642905E-2</v>
      </c>
      <c r="EI51" s="151">
        <f t="shared" si="239"/>
        <v>9.1223645614970442E-2</v>
      </c>
      <c r="EJ51" s="151">
        <f t="shared" si="239"/>
        <v>-2.2176718342956658E-2</v>
      </c>
      <c r="EK51" s="151">
        <f t="shared" si="239"/>
        <v>3.5286722018577986E-2</v>
      </c>
      <c r="EL51" s="151">
        <f t="shared" si="239"/>
        <v>0.16608857178695849</v>
      </c>
      <c r="EM51" s="151">
        <f t="shared" si="239"/>
        <v>-3.0964304986897317E-4</v>
      </c>
      <c r="EN51" s="151">
        <f t="shared" ref="EN51:FJ51" si="241">EN50/EN9</f>
        <v>-1.9280048352647378E-2</v>
      </c>
      <c r="EO51" s="151">
        <f t="shared" si="241"/>
        <v>3.5286722018577986E-2</v>
      </c>
      <c r="EP51" s="151">
        <f t="shared" si="241"/>
        <v>0.19285288137357195</v>
      </c>
      <c r="EQ51" s="151">
        <f t="shared" si="241"/>
        <v>0.17205862662648719</v>
      </c>
      <c r="ER51" s="151">
        <f t="shared" si="241"/>
        <v>0.1042650377645946</v>
      </c>
      <c r="ES51" s="151">
        <f t="shared" si="241"/>
        <v>0.20163211322606817</v>
      </c>
      <c r="ET51" s="151">
        <f t="shared" si="241"/>
        <v>0.28244262417759219</v>
      </c>
      <c r="EU51" s="151">
        <f t="shared" si="241"/>
        <v>0.22726726246199058</v>
      </c>
      <c r="EV51" s="151">
        <f t="shared" si="241"/>
        <v>0.19175683879344371</v>
      </c>
      <c r="EW51" s="151">
        <f t="shared" si="241"/>
        <v>0.27961348856853296</v>
      </c>
      <c r="EX51" s="151">
        <f t="shared" si="241"/>
        <v>0.3525307526967269</v>
      </c>
      <c r="EY51" s="151">
        <f t="shared" si="241"/>
        <v>0.30274469917209829</v>
      </c>
      <c r="EZ51" s="151">
        <f t="shared" si="241"/>
        <v>0.23779060948975553</v>
      </c>
      <c r="FA51" s="151">
        <f t="shared" si="241"/>
        <v>0.32064335318309689</v>
      </c>
      <c r="FB51" s="151">
        <f t="shared" si="241"/>
        <v>0.3894075891413169</v>
      </c>
      <c r="FC51" s="151">
        <f t="shared" si="241"/>
        <v>0.34245711763188991</v>
      </c>
      <c r="FE51" s="151">
        <f t="shared" si="241"/>
        <v>-4.913852902848069E-2</v>
      </c>
      <c r="FF51" s="151">
        <f t="shared" si="241"/>
        <v>4.8142259264857969E-2</v>
      </c>
      <c r="FG51" s="151">
        <f t="shared" si="241"/>
        <v>0.10470550829705146</v>
      </c>
      <c r="FH51" s="151">
        <f t="shared" si="241"/>
        <v>0.20896751246583825</v>
      </c>
      <c r="FI51" s="151">
        <f t="shared" si="241"/>
        <v>0.2862323954106506</v>
      </c>
      <c r="FJ51" s="151">
        <f t="shared" si="241"/>
        <v>0.32688527788115856</v>
      </c>
    </row>
  </sheetData>
  <pageMargins left="0.7" right="0.7" top="0.75" bottom="0.75" header="0.3" footer="0.3"/>
  <ignoredErrors>
    <ignoredError sqref="EF7:FC51 FE7:FJ104857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9883-8F17-4C96-AD92-5BA5AD401396}">
  <sheetPr>
    <tabColor theme="7" tint="0.59999389629810485"/>
  </sheetPr>
  <dimension ref="B1:ED159"/>
  <sheetViews>
    <sheetView showGridLines="0" zoomScale="86" workbookViewId="0">
      <pane xSplit="2" ySplit="2" topLeftCell="DN3" activePane="bottomRight" state="frozen"/>
      <selection activeCell="B3" sqref="B3"/>
      <selection pane="topRight" activeCell="B3" sqref="B3"/>
      <selection pane="bottomLeft" activeCell="B3" sqref="B3"/>
      <selection pane="bottomRight" activeCell="DV2" sqref="DV2"/>
    </sheetView>
  </sheetViews>
  <sheetFormatPr baseColWidth="10" defaultColWidth="8.6640625" defaultRowHeight="15" x14ac:dyDescent="0.2"/>
  <cols>
    <col min="2" max="2" width="33.6640625" bestFit="1" customWidth="1"/>
    <col min="3" max="101" width="14.1640625" style="152" customWidth="1"/>
    <col min="103" max="126" width="20.83203125" customWidth="1"/>
    <col min="128" max="133" width="20.83203125" customWidth="1"/>
  </cols>
  <sheetData>
    <row r="1" spans="2:133" x14ac:dyDescent="0.2"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</row>
    <row r="2" spans="2:133" x14ac:dyDescent="0.2">
      <c r="B2" s="136" t="s">
        <v>236</v>
      </c>
      <c r="C2" s="2">
        <v>44205</v>
      </c>
      <c r="D2" s="2">
        <v>44236</v>
      </c>
      <c r="E2" s="2">
        <v>44267</v>
      </c>
      <c r="F2" s="2">
        <v>44298</v>
      </c>
      <c r="G2" s="2">
        <v>44329</v>
      </c>
      <c r="H2" s="2">
        <v>44360</v>
      </c>
      <c r="I2" s="2">
        <v>44391</v>
      </c>
      <c r="J2" s="2">
        <v>44422</v>
      </c>
      <c r="K2" s="2">
        <v>44453</v>
      </c>
      <c r="L2" s="2">
        <v>44484</v>
      </c>
      <c r="M2" s="2">
        <v>44515</v>
      </c>
      <c r="N2" s="2">
        <v>44546</v>
      </c>
      <c r="O2" s="2">
        <v>44577</v>
      </c>
      <c r="P2" s="2">
        <v>44608</v>
      </c>
      <c r="Q2" s="2">
        <v>44639</v>
      </c>
      <c r="R2" s="2">
        <v>44670</v>
      </c>
      <c r="S2" s="2">
        <v>44701</v>
      </c>
      <c r="T2" s="2">
        <v>44732</v>
      </c>
      <c r="U2" s="2">
        <v>44763</v>
      </c>
      <c r="V2" s="2">
        <v>44794</v>
      </c>
      <c r="W2" s="2">
        <v>44825</v>
      </c>
      <c r="X2" s="2">
        <v>44856</v>
      </c>
      <c r="Y2" s="2">
        <v>44887</v>
      </c>
      <c r="Z2" s="2">
        <v>44918</v>
      </c>
      <c r="AA2" s="2">
        <v>44949</v>
      </c>
      <c r="AB2" s="2">
        <v>44980</v>
      </c>
      <c r="AC2" s="2">
        <v>45011</v>
      </c>
      <c r="AD2" s="2">
        <v>45042</v>
      </c>
      <c r="AE2" s="2">
        <v>45073</v>
      </c>
      <c r="AF2" s="2">
        <v>45104</v>
      </c>
      <c r="AG2" s="2">
        <v>45135</v>
      </c>
      <c r="AH2" s="2">
        <v>45166</v>
      </c>
      <c r="AI2" s="2">
        <v>45197</v>
      </c>
      <c r="AJ2" s="2">
        <v>45228</v>
      </c>
      <c r="AK2" s="2">
        <v>45259</v>
      </c>
      <c r="AL2" s="2">
        <v>45290</v>
      </c>
      <c r="AM2" s="2">
        <v>45321</v>
      </c>
      <c r="AN2" s="2">
        <v>45351</v>
      </c>
      <c r="AO2" s="2">
        <v>45381</v>
      </c>
      <c r="AP2" s="2">
        <v>45411</v>
      </c>
      <c r="AQ2" s="2">
        <v>45441</v>
      </c>
      <c r="AR2" s="2">
        <v>45471</v>
      </c>
      <c r="AS2" s="2">
        <v>45501</v>
      </c>
      <c r="AT2" s="2">
        <v>45531</v>
      </c>
      <c r="AU2" s="2">
        <v>45561</v>
      </c>
      <c r="AV2" s="2">
        <v>45591</v>
      </c>
      <c r="AW2" s="2">
        <v>45621</v>
      </c>
      <c r="AX2" s="2">
        <v>45651</v>
      </c>
      <c r="AY2" s="2">
        <v>45681</v>
      </c>
      <c r="AZ2" s="2">
        <v>45711</v>
      </c>
      <c r="BA2" s="2">
        <v>45741</v>
      </c>
      <c r="BB2" s="2">
        <v>45771</v>
      </c>
      <c r="BC2" s="2">
        <v>45801</v>
      </c>
      <c r="BD2" s="2">
        <v>45831</v>
      </c>
      <c r="BE2" s="2">
        <v>45861</v>
      </c>
      <c r="BF2" s="2">
        <v>45891</v>
      </c>
      <c r="BG2" s="2">
        <v>45921</v>
      </c>
      <c r="BH2" s="2">
        <v>45951</v>
      </c>
      <c r="BI2" s="2">
        <v>45981</v>
      </c>
      <c r="BJ2" s="2">
        <v>46011</v>
      </c>
      <c r="BK2" s="2">
        <v>46041</v>
      </c>
      <c r="BL2" s="2">
        <v>46071</v>
      </c>
      <c r="BM2" s="2">
        <v>46101</v>
      </c>
      <c r="BN2" s="2">
        <v>46131</v>
      </c>
      <c r="BO2" s="2">
        <v>46161</v>
      </c>
      <c r="BP2" s="2">
        <v>46191</v>
      </c>
      <c r="BQ2" s="2">
        <v>46221</v>
      </c>
      <c r="BR2" s="2">
        <v>46251</v>
      </c>
      <c r="BS2" s="2">
        <v>46281</v>
      </c>
      <c r="BT2" s="2">
        <v>46311</v>
      </c>
      <c r="BU2" s="2">
        <v>46341</v>
      </c>
      <c r="BV2" s="2">
        <v>46371</v>
      </c>
      <c r="BW2" s="2">
        <v>46401</v>
      </c>
      <c r="BX2" s="2">
        <v>46431</v>
      </c>
      <c r="BY2" s="2">
        <v>46461</v>
      </c>
      <c r="BZ2" s="2">
        <v>46491</v>
      </c>
      <c r="CA2" s="2">
        <v>46521</v>
      </c>
      <c r="CB2" s="2">
        <v>46551</v>
      </c>
      <c r="CC2" s="2">
        <v>46581</v>
      </c>
      <c r="CD2" s="2">
        <v>46611</v>
      </c>
      <c r="CE2" s="2">
        <v>46641</v>
      </c>
      <c r="CF2" s="2">
        <v>46671</v>
      </c>
      <c r="CG2" s="2">
        <v>46701</v>
      </c>
      <c r="CH2" s="2">
        <v>46731</v>
      </c>
      <c r="CI2" s="2">
        <v>46761</v>
      </c>
      <c r="CJ2" s="2">
        <v>46791</v>
      </c>
      <c r="CK2" s="2">
        <v>46821</v>
      </c>
      <c r="CL2" s="2">
        <v>46851</v>
      </c>
      <c r="CM2" s="2">
        <v>46881</v>
      </c>
      <c r="CN2" s="2">
        <v>46911</v>
      </c>
      <c r="CO2" s="2">
        <v>46941</v>
      </c>
      <c r="CP2" s="2">
        <v>46971</v>
      </c>
      <c r="CQ2" s="2">
        <v>47001</v>
      </c>
      <c r="CR2" s="2">
        <v>47031</v>
      </c>
      <c r="CS2" s="2">
        <v>47061</v>
      </c>
      <c r="CT2" s="2">
        <v>47091</v>
      </c>
      <c r="CU2" s="2">
        <v>47121</v>
      </c>
      <c r="CV2" s="2">
        <v>47151</v>
      </c>
      <c r="CW2" s="2">
        <v>47181</v>
      </c>
      <c r="CY2" s="2" t="s">
        <v>77</v>
      </c>
      <c r="CZ2" s="2" t="s">
        <v>78</v>
      </c>
      <c r="DA2" s="2" t="s">
        <v>79</v>
      </c>
      <c r="DB2" s="2" t="s">
        <v>80</v>
      </c>
      <c r="DC2" s="2" t="s">
        <v>81</v>
      </c>
      <c r="DD2" s="2" t="s">
        <v>82</v>
      </c>
      <c r="DE2" s="2" t="s">
        <v>83</v>
      </c>
      <c r="DF2" s="2" t="s">
        <v>84</v>
      </c>
      <c r="DG2" s="2" t="s">
        <v>85</v>
      </c>
      <c r="DH2" s="2" t="s">
        <v>86</v>
      </c>
      <c r="DI2" s="2" t="s">
        <v>87</v>
      </c>
      <c r="DJ2" s="2" t="s">
        <v>88</v>
      </c>
      <c r="DK2" s="2" t="s">
        <v>117</v>
      </c>
      <c r="DL2" s="2" t="s">
        <v>118</v>
      </c>
      <c r="DM2" s="2" t="s">
        <v>119</v>
      </c>
      <c r="DN2" s="2" t="s">
        <v>120</v>
      </c>
      <c r="DO2" s="2" t="s">
        <v>121</v>
      </c>
      <c r="DP2" s="2" t="s">
        <v>122</v>
      </c>
      <c r="DQ2" s="2" t="s">
        <v>123</v>
      </c>
      <c r="DR2" s="2" t="s">
        <v>124</v>
      </c>
      <c r="DS2" s="2" t="s">
        <v>583</v>
      </c>
      <c r="DT2" s="2" t="s">
        <v>584</v>
      </c>
      <c r="DU2" s="2" t="s">
        <v>585</v>
      </c>
      <c r="DV2" s="2" t="s">
        <v>581</v>
      </c>
      <c r="DX2" s="2" t="s">
        <v>486</v>
      </c>
      <c r="DY2" s="2" t="s">
        <v>128</v>
      </c>
      <c r="DZ2" s="2" t="s">
        <v>125</v>
      </c>
      <c r="EA2" s="2" t="s">
        <v>126</v>
      </c>
      <c r="EB2" s="2" t="s">
        <v>127</v>
      </c>
      <c r="EC2" s="2" t="s">
        <v>582</v>
      </c>
    </row>
    <row r="3" spans="2:133" x14ac:dyDescent="0.2">
      <c r="B3" s="196" t="s">
        <v>2</v>
      </c>
      <c r="C3" s="199">
        <f>C8+C9</f>
        <v>48550136.639999993</v>
      </c>
      <c r="D3" s="199">
        <f t="shared" ref="D3:BO3" si="0">D8+D9</f>
        <v>49309528.779999986</v>
      </c>
      <c r="E3" s="199">
        <f t="shared" si="0"/>
        <v>54566928.030000098</v>
      </c>
      <c r="F3" s="199">
        <f t="shared" si="0"/>
        <v>33474954.459999971</v>
      </c>
      <c r="G3" s="199">
        <f t="shared" si="0"/>
        <v>4514623.5199999968</v>
      </c>
      <c r="H3" s="199">
        <f t="shared" si="0"/>
        <v>27258418.269999988</v>
      </c>
      <c r="I3" s="199">
        <f t="shared" si="0"/>
        <v>38478061.639999956</v>
      </c>
      <c r="J3" s="199">
        <f t="shared" si="0"/>
        <v>46752145.070000052</v>
      </c>
      <c r="K3" s="199">
        <f t="shared" si="0"/>
        <v>62410254.070000172</v>
      </c>
      <c r="L3" s="199">
        <f t="shared" si="0"/>
        <v>70600066.44000034</v>
      </c>
      <c r="M3" s="199">
        <f t="shared" si="0"/>
        <v>108724095.27000028</v>
      </c>
      <c r="N3" s="199">
        <f t="shared" si="0"/>
        <v>130795110.24000114</v>
      </c>
      <c r="O3" s="199">
        <f t="shared" si="0"/>
        <v>137819136.48000291</v>
      </c>
      <c r="P3" s="199">
        <f t="shared" si="0"/>
        <v>149524003.45999628</v>
      </c>
      <c r="Q3" s="199">
        <f t="shared" si="0"/>
        <v>166021767.86999503</v>
      </c>
      <c r="R3" s="199">
        <f t="shared" si="0"/>
        <v>144926322.79999593</v>
      </c>
      <c r="S3" s="199">
        <f t="shared" si="0"/>
        <v>175298297.75000483</v>
      </c>
      <c r="T3" s="199">
        <f t="shared" si="0"/>
        <v>227946711.50999016</v>
      </c>
      <c r="U3" s="199">
        <f t="shared" si="0"/>
        <v>228987630.57999861</v>
      </c>
      <c r="V3" s="199">
        <f t="shared" si="0"/>
        <v>224256262.93000543</v>
      </c>
      <c r="W3" s="199">
        <f t="shared" si="0"/>
        <v>221869760.02999985</v>
      </c>
      <c r="X3" s="199">
        <f t="shared" si="0"/>
        <v>262977801.01999581</v>
      </c>
      <c r="Y3" s="199">
        <f t="shared" si="0"/>
        <v>254409739.60999793</v>
      </c>
      <c r="Z3" s="199">
        <f t="shared" si="0"/>
        <v>300848020.28001404</v>
      </c>
      <c r="AA3" s="199">
        <f t="shared" si="0"/>
        <v>330672430.94999921</v>
      </c>
      <c r="AB3" s="199">
        <f t="shared" si="0"/>
        <v>355958980.97000474</v>
      </c>
      <c r="AC3" s="199">
        <f t="shared" si="0"/>
        <v>519099423.63998151</v>
      </c>
      <c r="AD3" s="199">
        <f t="shared" si="0"/>
        <v>584284860.2818284</v>
      </c>
      <c r="AE3" s="199">
        <f t="shared" si="0"/>
        <v>601789991.3879863</v>
      </c>
      <c r="AF3" s="199">
        <f t="shared" si="0"/>
        <v>628374724.56322062</v>
      </c>
      <c r="AG3" s="199">
        <f t="shared" si="0"/>
        <v>551675543.73909271</v>
      </c>
      <c r="AH3" s="199">
        <f t="shared" si="0"/>
        <v>556751064.20622134</v>
      </c>
      <c r="AI3" s="199">
        <f t="shared" si="0"/>
        <v>570456246.52917945</v>
      </c>
      <c r="AJ3" s="199">
        <f t="shared" si="0"/>
        <v>825704885.23639703</v>
      </c>
      <c r="AK3" s="199">
        <f t="shared" si="0"/>
        <v>683763048.05776656</v>
      </c>
      <c r="AL3" s="199">
        <f t="shared" si="0"/>
        <v>604328315.59012508</v>
      </c>
      <c r="AM3" s="199">
        <f t="shared" si="0"/>
        <v>577971699.57081914</v>
      </c>
      <c r="AN3" s="199">
        <f t="shared" si="0"/>
        <v>510884128.34520602</v>
      </c>
      <c r="AO3" s="199">
        <f t="shared" si="0"/>
        <v>615632994.65018916</v>
      </c>
      <c r="AP3" s="199">
        <f t="shared" si="0"/>
        <v>630416668.9907403</v>
      </c>
      <c r="AQ3" s="199">
        <f t="shared" si="0"/>
        <v>652413302.9838717</v>
      </c>
      <c r="AR3" s="199">
        <f t="shared" si="0"/>
        <v>682197094.65208697</v>
      </c>
      <c r="AS3" s="199">
        <f t="shared" si="0"/>
        <v>685210528.1469065</v>
      </c>
      <c r="AT3" s="199">
        <f t="shared" si="0"/>
        <v>622684344.24424911</v>
      </c>
      <c r="AU3" s="199">
        <f t="shared" si="0"/>
        <v>596083656.85779762</v>
      </c>
      <c r="AV3" s="199">
        <f t="shared" si="0"/>
        <v>693717696.14587414</v>
      </c>
      <c r="AW3" s="199">
        <f t="shared" si="0"/>
        <v>665957610.33225918</v>
      </c>
      <c r="AX3" s="199">
        <f t="shared" si="0"/>
        <v>773211683.18423867</v>
      </c>
      <c r="AY3" s="199">
        <f t="shared" si="0"/>
        <v>839871285.82191849</v>
      </c>
      <c r="AZ3" s="199">
        <f t="shared" si="0"/>
        <v>803634114.32182264</v>
      </c>
      <c r="BA3" s="199">
        <f t="shared" si="0"/>
        <v>1039305259.9062798</v>
      </c>
      <c r="BB3" s="199">
        <f t="shared" si="0"/>
        <v>981466329.58778393</v>
      </c>
      <c r="BC3" s="199">
        <f t="shared" si="0"/>
        <v>964354457.08934295</v>
      </c>
      <c r="BD3" s="199">
        <f t="shared" si="0"/>
        <v>963954815.46481812</v>
      </c>
      <c r="BE3" s="199">
        <f t="shared" si="0"/>
        <v>1023428697.0674582</v>
      </c>
      <c r="BF3" s="199">
        <f t="shared" si="0"/>
        <v>895846317.96000171</v>
      </c>
      <c r="BG3" s="199">
        <f t="shared" si="0"/>
        <v>899014629.4067018</v>
      </c>
      <c r="BH3" s="199">
        <f t="shared" si="0"/>
        <v>1092710186.4874878</v>
      </c>
      <c r="BI3" s="199">
        <f t="shared" si="0"/>
        <v>1015539019.4705999</v>
      </c>
      <c r="BJ3" s="199">
        <f t="shared" si="0"/>
        <v>1228268861.6949954</v>
      </c>
      <c r="BK3" s="199">
        <f t="shared" si="0"/>
        <v>1325787218.960638</v>
      </c>
      <c r="BL3" s="199">
        <f t="shared" si="0"/>
        <v>1200139208.8877537</v>
      </c>
      <c r="BM3" s="199">
        <f t="shared" si="0"/>
        <v>1413404288.5514488</v>
      </c>
      <c r="BN3" s="199">
        <f t="shared" si="0"/>
        <v>1256617081.1456888</v>
      </c>
      <c r="BO3" s="199">
        <f t="shared" si="0"/>
        <v>1246481073.1986823</v>
      </c>
      <c r="BP3" s="199">
        <f t="shared" ref="BP3:CK3" si="1">BP8+BP9</f>
        <v>1244529513.6525955</v>
      </c>
      <c r="BQ3" s="199">
        <f t="shared" si="1"/>
        <v>1312543032.1214163</v>
      </c>
      <c r="BR3" s="199">
        <f t="shared" si="1"/>
        <v>1198057490.5692103</v>
      </c>
      <c r="BS3" s="199">
        <f t="shared" si="1"/>
        <v>1194864387.0846725</v>
      </c>
      <c r="BT3" s="199">
        <f t="shared" si="1"/>
        <v>1341250011.5922356</v>
      </c>
      <c r="BU3" s="199">
        <f t="shared" si="1"/>
        <v>1278100044.246418</v>
      </c>
      <c r="BV3" s="199">
        <f t="shared" si="1"/>
        <v>1541625280.3070314</v>
      </c>
      <c r="BW3" s="199">
        <f t="shared" si="1"/>
        <v>1614267592.7708957</v>
      </c>
      <c r="BX3" s="199">
        <f t="shared" si="1"/>
        <v>1449418775.1208155</v>
      </c>
      <c r="BY3" s="199">
        <f t="shared" si="1"/>
        <v>1636790821.2322607</v>
      </c>
      <c r="BZ3" s="199">
        <f t="shared" si="1"/>
        <v>1514885673.8468375</v>
      </c>
      <c r="CA3" s="199">
        <f t="shared" si="1"/>
        <v>1504552145.664227</v>
      </c>
      <c r="CB3" s="199">
        <f t="shared" si="1"/>
        <v>1497599781.0355721</v>
      </c>
      <c r="CC3" s="199">
        <f t="shared" si="1"/>
        <v>1579587125.1485729</v>
      </c>
      <c r="CD3" s="199">
        <f t="shared" si="1"/>
        <v>1439526806.0313916</v>
      </c>
      <c r="CE3" s="199">
        <f t="shared" si="1"/>
        <v>1432403206.2158151</v>
      </c>
      <c r="CF3" s="199">
        <f t="shared" si="1"/>
        <v>1607007609.3396647</v>
      </c>
      <c r="CG3" s="199">
        <f t="shared" si="1"/>
        <v>1526024781.2659173</v>
      </c>
      <c r="CH3" s="199">
        <f t="shared" si="1"/>
        <v>1836889836.5761449</v>
      </c>
      <c r="CI3" s="199">
        <f t="shared" si="1"/>
        <v>1918706485.9986758</v>
      </c>
      <c r="CJ3" s="199">
        <f t="shared" si="1"/>
        <v>1718001866.6948457</v>
      </c>
      <c r="CK3" s="199">
        <f t="shared" si="1"/>
        <v>1927462369.5833902</v>
      </c>
      <c r="CL3" s="199">
        <f t="shared" ref="CL3:CW3" si="2">CL8+CL9</f>
        <v>1754050815.7817147</v>
      </c>
      <c r="CM3" s="199">
        <f t="shared" si="2"/>
        <v>1741553640.5584116</v>
      </c>
      <c r="CN3" s="199">
        <f t="shared" si="2"/>
        <v>1732981932.857285</v>
      </c>
      <c r="CO3" s="199">
        <f t="shared" si="2"/>
        <v>1826332083.8036885</v>
      </c>
      <c r="CP3" s="199">
        <f t="shared" si="2"/>
        <v>1664087304.9030738</v>
      </c>
      <c r="CQ3" s="199">
        <f t="shared" si="2"/>
        <v>1657408211.2676444</v>
      </c>
      <c r="CR3" s="199">
        <f t="shared" si="2"/>
        <v>1855099719.5748971</v>
      </c>
      <c r="CS3" s="199">
        <f t="shared" si="2"/>
        <v>1762402565.2749748</v>
      </c>
      <c r="CT3" s="199">
        <f t="shared" si="2"/>
        <v>2122490239.1220765</v>
      </c>
      <c r="CU3" s="199">
        <f t="shared" si="2"/>
        <v>2218045211.6682639</v>
      </c>
      <c r="CV3" s="199">
        <f t="shared" si="2"/>
        <v>1983536963.2534065</v>
      </c>
      <c r="CW3" s="199">
        <f t="shared" si="2"/>
        <v>2224024573.4965534</v>
      </c>
      <c r="CY3" s="199">
        <f t="shared" ref="CY3:CY13" si="3">SUM(AD3:AF3)</f>
        <v>1814449576.2330351</v>
      </c>
      <c r="CZ3" s="199">
        <f t="shared" ref="CZ3:CZ13" si="4">SUM(AG3:AI3)</f>
        <v>1678882854.4744935</v>
      </c>
      <c r="DA3" s="199">
        <f t="shared" ref="DA3:DA13" si="5">SUM(AJ3:AL3)</f>
        <v>2113796248.8842888</v>
      </c>
      <c r="DB3" s="199">
        <f t="shared" ref="DB3:DB13" si="6">SUM(AM3:AO3)</f>
        <v>1704488822.5662143</v>
      </c>
      <c r="DC3" s="199">
        <f t="shared" ref="DC3:DC13" si="7">SUM(AP3:AR3)</f>
        <v>1965027066.626699</v>
      </c>
      <c r="DD3" s="199">
        <f t="shared" ref="DD3:DD13" si="8">SUM(AS3:AU3)</f>
        <v>1903978529.2489533</v>
      </c>
      <c r="DE3" s="199">
        <f t="shared" ref="DE3:DE13" si="9">SUM(AV3:AX3)</f>
        <v>2132886989.6623719</v>
      </c>
      <c r="DF3" s="199">
        <f t="shared" ref="DF3:DF13" si="10">SUM(AY3:BA3)</f>
        <v>2682810660.0500212</v>
      </c>
      <c r="DG3" s="199">
        <f t="shared" ref="DG3:DG13" si="11">SUM(BB3:BD3)</f>
        <v>2909775602.1419449</v>
      </c>
      <c r="DH3" s="199">
        <f t="shared" ref="DH3:DH13" si="12">SUM(BE3:BG3)</f>
        <v>2818289644.4341617</v>
      </c>
      <c r="DI3" s="199">
        <f t="shared" ref="DI3:DI13" si="13">SUM(BH3:BJ3)</f>
        <v>3336518067.6530828</v>
      </c>
      <c r="DJ3" s="199">
        <f t="shared" ref="DJ3:DJ13" si="14">SUM(BK3:BM3)</f>
        <v>3939330716.3998404</v>
      </c>
      <c r="DK3" s="199">
        <f t="shared" ref="DK3:DK13" si="15">SUM(BN3:BP3)</f>
        <v>3747627667.9969664</v>
      </c>
      <c r="DL3" s="199">
        <f t="shared" ref="DL3:DL13" si="16">SUM(BQ3:BS3)</f>
        <v>3705464909.7752991</v>
      </c>
      <c r="DM3" s="199">
        <f t="shared" ref="DM3:DM13" si="17">SUM(BT3:BV3)</f>
        <v>4160975336.1456852</v>
      </c>
      <c r="DN3" s="199">
        <f t="shared" ref="DN3:DN13" si="18">SUM(BW3:BY3)</f>
        <v>4700477189.1239719</v>
      </c>
      <c r="DO3" s="199">
        <f t="shared" ref="DO3:DO13" si="19">SUM(BZ3:CB3)</f>
        <v>4517037600.5466366</v>
      </c>
      <c r="DP3" s="199">
        <f t="shared" ref="DP3:DP13" si="20">SUM(CC3:CE3)</f>
        <v>4451517137.3957796</v>
      </c>
      <c r="DQ3" s="199">
        <f t="shared" ref="DQ3:DQ13" si="21">SUM(CF3:CH3)</f>
        <v>4969922227.1817274</v>
      </c>
      <c r="DR3" s="199">
        <f t="shared" ref="DR3:DR13" si="22">SUM(CI3:CK3)</f>
        <v>5564170722.2769117</v>
      </c>
      <c r="DS3" s="199">
        <f>SUM(CL3:CN3)</f>
        <v>5228586389.1974106</v>
      </c>
      <c r="DT3" s="199">
        <f>SUM(CO3:CQ3)</f>
        <v>5147827599.9744072</v>
      </c>
      <c r="DU3" s="199">
        <f>SUM(CR3:CT3)</f>
        <v>5739992523.9719486</v>
      </c>
      <c r="DV3" s="199">
        <f>SUM(CU3:CW3)</f>
        <v>6425606748.4182243</v>
      </c>
      <c r="DX3" s="199">
        <f>SUM(CY3:DB3)</f>
        <v>7311617502.1580324</v>
      </c>
      <c r="DY3" s="199">
        <f>SUM(DC3:DF3)</f>
        <v>8684703245.5880451</v>
      </c>
      <c r="DZ3" s="199">
        <f>SUM(DG3:DJ3)</f>
        <v>13003914030.629032</v>
      </c>
      <c r="EA3" s="199">
        <f>SUM(DK3:DN3)</f>
        <v>16314545103.041922</v>
      </c>
      <c r="EB3" s="199">
        <f>SUM(DO3:DR3)</f>
        <v>19502647687.401058</v>
      </c>
      <c r="EC3" s="810">
        <f>SUM(DS3:DV3)</f>
        <v>22542013261.561989</v>
      </c>
    </row>
    <row r="4" spans="2:133" x14ac:dyDescent="0.2">
      <c r="B4" s="178" t="s">
        <v>139</v>
      </c>
      <c r="C4" s="19">
        <f>'D2C - Retail'!J4+'D2C Online'!AA4</f>
        <v>45001917.979999997</v>
      </c>
      <c r="D4" s="19">
        <f>'D2C - Retail'!K4+'D2C Online'!AB4</f>
        <v>45424312.779999986</v>
      </c>
      <c r="E4" s="19">
        <f>'D2C - Retail'!L4+'D2C Online'!AC4</f>
        <v>50048192.060000099</v>
      </c>
      <c r="F4" s="19">
        <f>'D2C - Retail'!M4+'D2C Online'!AD4</f>
        <v>30720201.329999972</v>
      </c>
      <c r="G4" s="19">
        <f>'D2C - Retail'!N4+'D2C Online'!AE4</f>
        <v>4507228.9599999972</v>
      </c>
      <c r="H4" s="19">
        <f>'D2C - Retail'!O4+'D2C Online'!AF4</f>
        <v>22560294.359999988</v>
      </c>
      <c r="I4" s="19">
        <f>'D2C - Retail'!P4+'D2C Online'!AG4</f>
        <v>31783025.179999951</v>
      </c>
      <c r="J4" s="19">
        <f>'D2C - Retail'!Q4+'D2C Online'!AH4</f>
        <v>39528090.790000051</v>
      </c>
      <c r="K4" s="19">
        <f>'D2C - Retail'!R4+'D2C Online'!AI4</f>
        <v>53336804.070000172</v>
      </c>
      <c r="L4" s="19">
        <f>'D2C - Retail'!S4+'D2C Online'!AJ4</f>
        <v>61921744.100000344</v>
      </c>
      <c r="M4" s="19">
        <f>'D2C - Retail'!T4+'D2C Online'!AK4</f>
        <v>99409773.91000028</v>
      </c>
      <c r="N4" s="19">
        <f>'D2C - Retail'!U4+'D2C Online'!AL4</f>
        <v>117477066.90000114</v>
      </c>
      <c r="O4" s="19">
        <f>'D2C - Retail'!V4+'D2C Online'!AM4</f>
        <v>124774294.73000291</v>
      </c>
      <c r="P4" s="19">
        <f>'D2C - Retail'!W4+'D2C Online'!AN4</f>
        <v>136516573.2199963</v>
      </c>
      <c r="Q4" s="19">
        <f>'D2C - Retail'!X4+'D2C Online'!AO4</f>
        <v>152462389.56999502</v>
      </c>
      <c r="R4" s="19">
        <f>'D2C - Retail'!Y4+'D2C Online'!AP4</f>
        <v>130483547.81999592</v>
      </c>
      <c r="S4" s="19">
        <f>'D2C - Retail'!Z4+'D2C Online'!AQ4</f>
        <v>159139630.57000482</v>
      </c>
      <c r="T4" s="19">
        <f>'D2C - Retail'!AA4+'D2C Online'!AR4</f>
        <v>210810837.93999016</v>
      </c>
      <c r="U4" s="19">
        <f>'D2C - Retail'!AB4+'D2C Online'!AS4</f>
        <v>209193644.39999861</v>
      </c>
      <c r="V4" s="19">
        <f>'D2C - Retail'!AC4+'D2C Online'!AT4</f>
        <v>202832961.01000541</v>
      </c>
      <c r="W4" s="19">
        <f>'D2C - Retail'!AD4+'D2C Online'!AU4</f>
        <v>200846838.51999986</v>
      </c>
      <c r="X4" s="19">
        <f>'D2C - Retail'!AE4+'D2C Online'!AV4</f>
        <v>242971467.69999582</v>
      </c>
      <c r="Y4" s="19">
        <f>'D2C - Retail'!AF4+'D2C Online'!AW4</f>
        <v>234536895.35999793</v>
      </c>
      <c r="Z4" s="19">
        <f>'D2C - Retail'!AG4+'D2C Online'!AX4</f>
        <v>280635451.19001406</v>
      </c>
      <c r="AA4" s="19">
        <f>'D2C - Retail'!AH4+'D2C Online'!AY4</f>
        <v>308426599.8399992</v>
      </c>
      <c r="AB4" s="19">
        <f>'D2C - Retail'!AI4+'D2C Online'!AZ4</f>
        <v>334007300.05000472</v>
      </c>
      <c r="AC4" s="19">
        <f>'D2C - Retail'!AJ4+'D2C Online'!BA4</f>
        <v>496198971.21998143</v>
      </c>
      <c r="AD4" s="19">
        <f>'D2C - Retail'!AK4+'D2C Online'!BB4</f>
        <v>560480225.55232835</v>
      </c>
      <c r="AE4" s="19">
        <f>'D2C - Retail'!AL4+'D2C Online'!BC4</f>
        <v>576823505.3879863</v>
      </c>
      <c r="AF4" s="19">
        <f>'D2C - Retail'!AM4+'D2C Online'!BD4</f>
        <v>601904853.95322061</v>
      </c>
      <c r="AG4" s="19">
        <f>'D2C - Retail'!AN4+'D2C Online'!BE4</f>
        <v>524306731.93909264</v>
      </c>
      <c r="AH4" s="19">
        <f>'D2C - Retail'!AO4+'D2C Online'!BF4</f>
        <v>525501354.34422129</v>
      </c>
      <c r="AI4" s="19">
        <f>'D2C - Retail'!AP4+'D2C Online'!BG4</f>
        <v>542445355.49881947</v>
      </c>
      <c r="AJ4" s="19">
        <f>'D2C - Retail'!AQ4+'D2C Online'!BH4</f>
        <v>793601432.31469703</v>
      </c>
      <c r="AK4" s="19">
        <f>'D2C - Retail'!AR4+'D2C Online'!BI4</f>
        <v>659791779.89382625</v>
      </c>
      <c r="AL4" s="19">
        <f>'D2C - Retail'!AS4+'D2C Online'!BJ4</f>
        <v>581704416.75916505</v>
      </c>
      <c r="AM4" s="19">
        <f>'D2C - Retail'!AT4+'D2C Online'!BK4</f>
        <v>556591042.66082335</v>
      </c>
      <c r="AN4" s="19">
        <f>'D2C - Retail'!AU4+'D2C Online'!BL4</f>
        <v>488566128.98305082</v>
      </c>
      <c r="AO4" s="19">
        <f>'D2C - Retail'!AV4+'D2C Online'!BM4</f>
        <v>590058410.66021729</v>
      </c>
      <c r="AP4" s="19">
        <f>'D2C - Retail'!AW4+'D2C Online'!BN4</f>
        <v>603345232.87076771</v>
      </c>
      <c r="AQ4" s="19">
        <f>'D2C - Retail'!AX4+'D2C Online'!BO4</f>
        <v>624023257.86366093</v>
      </c>
      <c r="AR4" s="19">
        <f>'D2C - Retail'!AY4+'D2C Online'!BP4</f>
        <v>650978990.64704883</v>
      </c>
      <c r="AS4" s="19">
        <f>'D2C - Retail'!AZ4+'D2C Online'!BQ4</f>
        <v>652854059.39690232</v>
      </c>
      <c r="AT4" s="19">
        <f>'D2C - Retail'!BA4+'D2C Online'!BR4</f>
        <v>590986769.38424909</v>
      </c>
      <c r="AU4" s="19">
        <f>'D2C - Retail'!BB4+'D2C Online'!BS4</f>
        <v>566321721.95117998</v>
      </c>
      <c r="AV4" s="19">
        <f>'D2C - Retail'!BC4+'D2C Online'!BT4</f>
        <v>659925165.28428674</v>
      </c>
      <c r="AW4" s="19">
        <f>'D2C - Retail'!BD4+'D2C Online'!BU4</f>
        <v>636483199.71225905</v>
      </c>
      <c r="AX4" s="19">
        <f>'D2C - Retail'!BE4+'D2C Online'!BV4</f>
        <v>738638897.54805088</v>
      </c>
      <c r="AY4" s="19">
        <f>'D2C - Retail'!BF4+'D2C Online'!BW4</f>
        <v>805734218.00191855</v>
      </c>
      <c r="AZ4" s="19">
        <f>'D2C - Retail'!BG4+'D2C Online'!BX4</f>
        <v>773151446.13182259</v>
      </c>
      <c r="BA4" s="19">
        <f>'D2C - Retail'!BH4+'D2C Online'!BY4</f>
        <v>1000874252.1862799</v>
      </c>
      <c r="BB4" s="19">
        <f>'D2C - Retail'!BI4+'D2C Online'!BZ4</f>
        <v>945775314.40778399</v>
      </c>
      <c r="BC4" s="19">
        <f>'D2C - Retail'!BJ4+'D2C Online'!CA4</f>
        <v>927142659.97934294</v>
      </c>
      <c r="BD4" s="19">
        <f>'D2C - Retail'!BK4+'D2C Online'!CB4</f>
        <v>929708983.47481823</v>
      </c>
      <c r="BE4" s="19">
        <f>'D2C - Retail'!BL4+'D2C Online'!CC4</f>
        <v>983854039.47745824</v>
      </c>
      <c r="BF4" s="19">
        <f>'D2C - Retail'!BM4+'D2C Online'!CD4</f>
        <v>854180854.13000178</v>
      </c>
      <c r="BG4" s="19">
        <f>'D2C - Retail'!BN4+'D2C Online'!CE4</f>
        <v>859635281.33670187</v>
      </c>
      <c r="BH4" s="19">
        <f>'D2C - Retail'!BO4+'D2C Online'!CF4</f>
        <v>1044454089.3074878</v>
      </c>
      <c r="BI4" s="19">
        <f>'D2C - Retail'!BP4+'D2C Online'!CG4</f>
        <v>968873784.9605999</v>
      </c>
      <c r="BJ4" s="19">
        <f>'D2C - Retail'!BQ4+'D2C Online'!CH4</f>
        <v>1170439280.4649954</v>
      </c>
      <c r="BK4" s="19">
        <f>'D2C - Retail'!BR4+'D2C Online'!CI4</f>
        <v>1270930832.3806381</v>
      </c>
      <c r="BL4" s="19">
        <f>'D2C - Retail'!BS4+'D2C Online'!CJ4</f>
        <v>1147165286.4577537</v>
      </c>
      <c r="BM4" s="19">
        <f>'D2C - Retail'!BT4+'D2C Online'!CK4</f>
        <v>1335305284.5214486</v>
      </c>
      <c r="BN4" s="19">
        <f>'D2C - Retail'!BU4+'D2C Online'!CL4</f>
        <v>1201291931.2024546</v>
      </c>
      <c r="BO4" s="19">
        <f>'D2C - Retail'!BV4+'D2C Online'!CM4</f>
        <v>1190772403.144778</v>
      </c>
      <c r="BP4" s="19">
        <f>'D2C - Retail'!BW4+'D2C Online'!CN4</f>
        <v>1188164434.187815</v>
      </c>
      <c r="BQ4" s="19">
        <f>'D2C - Retail'!BX4+'D2C Online'!CO4</f>
        <v>1255510032.6135685</v>
      </c>
      <c r="BR4" s="19">
        <f>'D2C - Retail'!BY4+'D2C Online'!CP4</f>
        <v>1140677755.4975204</v>
      </c>
      <c r="BS4" s="19">
        <f>'D2C - Retail'!BZ4+'D2C Online'!CQ4</f>
        <v>1136790670.0052619</v>
      </c>
      <c r="BT4" s="19">
        <f>'D2C - Retail'!CA4+'D2C Online'!CR4</f>
        <v>1282126459.588367</v>
      </c>
      <c r="BU4" s="19">
        <f>'D2C - Retail'!CB4+'D2C Online'!CS4</f>
        <v>1218556646.9386406</v>
      </c>
      <c r="BV4" s="19">
        <f>'D2C - Retail'!CC4+'D2C Online'!CT4</f>
        <v>1481105381.4753838</v>
      </c>
      <c r="BW4" s="19">
        <f>'D2C - Retail'!CD4+'D2C Online'!CU4</f>
        <v>1553223824.584568</v>
      </c>
      <c r="BX4" s="19">
        <f>'D2C - Retail'!CE4+'D2C Online'!CV4</f>
        <v>1387953998.3531704</v>
      </c>
      <c r="BY4" s="19">
        <f>'D2C - Retail'!CF4+'D2C Online'!CW4</f>
        <v>1573921057.9074416</v>
      </c>
      <c r="BZ4" s="19">
        <f>'D2C - Retail'!CG4+'D2C Online'!CX4</f>
        <v>1451883274.2239428</v>
      </c>
      <c r="CA4" s="19">
        <f>'D2C - Retail'!CH4+'D2C Online'!CY4</f>
        <v>1440949854.619375</v>
      </c>
      <c r="CB4" s="19">
        <f>'D2C - Retail'!CI4+'D2C Online'!CZ4</f>
        <v>1433580433.467706</v>
      </c>
      <c r="CC4" s="19">
        <f>'D2C - Retail'!CJ4+'D2C Online'!DA4</f>
        <v>1514852727.7338643</v>
      </c>
      <c r="CD4" s="19">
        <f>'D2C - Retail'!CK4+'D2C Online'!DB4</f>
        <v>1374520668.4902172</v>
      </c>
      <c r="CE4" s="19">
        <f>'D2C - Retail'!CL4+'D2C Online'!DC4</f>
        <v>1366750566.5464439</v>
      </c>
      <c r="CF4" s="19">
        <f>'D2C - Retail'!CM4+'D2C Online'!DD4</f>
        <v>1540409132.4047461</v>
      </c>
      <c r="CG4" s="19">
        <f>'D2C - Retail'!CN4+'D2C Online'!DE4</f>
        <v>1459295260.5810695</v>
      </c>
      <c r="CH4" s="19">
        <f>'D2C - Retail'!CO4+'D2C Online'!DF4</f>
        <v>1769310722.950808</v>
      </c>
      <c r="CI4" s="19">
        <f>'D2C - Retail'!CP4+'D2C Online'!DG4</f>
        <v>1850825021.6349049</v>
      </c>
      <c r="CJ4" s="19">
        <f>'D2C - Retail'!CQ4+'D2C Online'!DH4</f>
        <v>1649985192.2688627</v>
      </c>
      <c r="CK4" s="19">
        <f>'D2C - Retail'!CR4+'D2C Online'!DI4</f>
        <v>1858653773.7043009</v>
      </c>
      <c r="CL4" s="19">
        <f>'D2C - Retail'!CS4+'D2C Online'!DJ4</f>
        <v>1685275839.2013135</v>
      </c>
      <c r="CM4" s="19">
        <f>'D2C - Retail'!CT4+'D2C Online'!DK4</f>
        <v>1672191263.7582169</v>
      </c>
      <c r="CN4" s="19">
        <f>'D2C - Retail'!CU4+'D2C Online'!DL4</f>
        <v>1663208288.8864598</v>
      </c>
      <c r="CO4" s="19">
        <f>'D2C - Retail'!CV4+'D2C Online'!DM4</f>
        <v>1755807105.1099241</v>
      </c>
      <c r="CP4" s="19">
        <f>'D2C - Retail'!CW4+'D2C Online'!DN4</f>
        <v>1593348883.4955444</v>
      </c>
      <c r="CQ4" s="19">
        <f>'D2C - Retail'!CX4+'D2C Online'!DO4</f>
        <v>1586060322.4502764</v>
      </c>
      <c r="CR4" s="19">
        <f>'D2C - Retail'!CY4+'D2C Online'!DP4</f>
        <v>1782706590.9488802</v>
      </c>
      <c r="CS4" s="19">
        <f>'D2C - Retail'!CZ4+'D2C Online'!DQ4</f>
        <v>1689923532.3999844</v>
      </c>
      <c r="CT4" s="19">
        <f>'D2C - Retail'!DA4+'D2C Online'!DR4</f>
        <v>2049076219.4834394</v>
      </c>
      <c r="CU4" s="19">
        <f>'D2C - Retail'!DB4+'D2C Online'!DS4</f>
        <v>2144318901.2512312</v>
      </c>
      <c r="CV4" s="19">
        <f>'D2C - Retail'!DC4+'D2C Online'!DT4</f>
        <v>1909719815.9718738</v>
      </c>
      <c r="CW4" s="19">
        <f>'D2C - Retail'!DD4+'D2C Online'!DU4</f>
        <v>2149338817.2113643</v>
      </c>
      <c r="CY4" s="19">
        <f t="shared" si="3"/>
        <v>1739208584.8935354</v>
      </c>
      <c r="CZ4" s="19">
        <f t="shared" si="4"/>
        <v>1592253441.7821336</v>
      </c>
      <c r="DA4" s="19">
        <f t="shared" si="5"/>
        <v>2035097628.9676883</v>
      </c>
      <c r="DB4" s="19">
        <f t="shared" si="6"/>
        <v>1635215582.3040915</v>
      </c>
      <c r="DC4" s="19">
        <f t="shared" si="7"/>
        <v>1878347481.3814774</v>
      </c>
      <c r="DD4" s="19">
        <f t="shared" si="8"/>
        <v>1810162550.7323313</v>
      </c>
      <c r="DE4" s="19">
        <f t="shared" si="9"/>
        <v>2035047262.5445967</v>
      </c>
      <c r="DF4" s="19">
        <f t="shared" si="10"/>
        <v>2579759916.3200212</v>
      </c>
      <c r="DG4" s="19">
        <f t="shared" si="11"/>
        <v>2802626957.8619452</v>
      </c>
      <c r="DH4" s="19">
        <f t="shared" si="12"/>
        <v>2697670174.9441619</v>
      </c>
      <c r="DI4" s="19">
        <f t="shared" si="13"/>
        <v>3183767154.7330832</v>
      </c>
      <c r="DJ4" s="19">
        <f t="shared" si="14"/>
        <v>3753401403.3598404</v>
      </c>
      <c r="DK4" s="19">
        <f t="shared" si="15"/>
        <v>3580228768.5350475</v>
      </c>
      <c r="DL4" s="19">
        <f t="shared" si="16"/>
        <v>3532978458.1163507</v>
      </c>
      <c r="DM4" s="19">
        <f t="shared" si="17"/>
        <v>3981788488.0023913</v>
      </c>
      <c r="DN4" s="19">
        <f t="shared" si="18"/>
        <v>4515098880.8451805</v>
      </c>
      <c r="DO4" s="19">
        <f t="shared" si="19"/>
        <v>4326413562.3110237</v>
      </c>
      <c r="DP4" s="19">
        <f t="shared" si="20"/>
        <v>4256123962.7705255</v>
      </c>
      <c r="DQ4" s="19">
        <f t="shared" si="21"/>
        <v>4769015115.9366236</v>
      </c>
      <c r="DR4" s="19">
        <f t="shared" si="22"/>
        <v>5359463987.6080685</v>
      </c>
      <c r="DS4" s="19">
        <f t="shared" ref="DS4:DS67" si="23">SUM(CL4:CN4)</f>
        <v>5020675391.8459902</v>
      </c>
      <c r="DT4" s="19">
        <f t="shared" ref="DT4:DT67" si="24">SUM(CO4:CQ4)</f>
        <v>4935216311.0557451</v>
      </c>
      <c r="DU4" s="19">
        <f t="shared" ref="DU4:DU67" si="25">SUM(CR4:CT4)</f>
        <v>5521706342.832304</v>
      </c>
      <c r="DV4" s="19">
        <f t="shared" ref="DV4:DV67" si="26">SUM(CU4:CW4)</f>
        <v>6203377534.4344692</v>
      </c>
      <c r="DX4" s="19">
        <f t="shared" ref="DX4:DX46" si="27">SUM(CY4:DB4)</f>
        <v>7001775237.9474487</v>
      </c>
      <c r="DY4" s="19">
        <f t="shared" ref="DY4:DY46" si="28">SUM(DC4:DF4)</f>
        <v>8303317210.978426</v>
      </c>
      <c r="DZ4" s="19">
        <f t="shared" ref="DZ4:DZ46" si="29">SUM(DG4:DJ4)</f>
        <v>12437465690.899031</v>
      </c>
      <c r="EA4" s="19">
        <f t="shared" ref="EA4:EA46" si="30">SUM(DK4:DN4)</f>
        <v>15610094595.49897</v>
      </c>
      <c r="EB4" s="19">
        <f t="shared" ref="EB4:EB46" si="31">SUM(DO4:DR4)</f>
        <v>18711016628.626244</v>
      </c>
      <c r="EC4" s="770">
        <f t="shared" ref="EC4:EC67" si="32">SUM(DS4:DV4)</f>
        <v>21680975580.16851</v>
      </c>
    </row>
    <row r="5" spans="2:133" x14ac:dyDescent="0.2">
      <c r="B5" s="178" t="s">
        <v>191</v>
      </c>
      <c r="C5" s="19">
        <f>'D2C - Retail'!J5</f>
        <v>3167770</v>
      </c>
      <c r="D5" s="19">
        <f>'D2C - Retail'!K5</f>
        <v>2816768</v>
      </c>
      <c r="E5" s="19">
        <f>'D2C - Retail'!L5</f>
        <v>3828115</v>
      </c>
      <c r="F5" s="19">
        <f>'D2C - Retail'!M5</f>
        <v>2399609</v>
      </c>
      <c r="G5" s="19">
        <f>'D2C - Retail'!N5</f>
        <v>0</v>
      </c>
      <c r="H5" s="19">
        <f>'D2C - Retail'!O5</f>
        <v>4316723</v>
      </c>
      <c r="I5" s="19">
        <f>'D2C - Retail'!P5</f>
        <v>6004305</v>
      </c>
      <c r="J5" s="19">
        <f>'D2C - Retail'!Q5</f>
        <v>5531798</v>
      </c>
      <c r="K5" s="19">
        <f>'D2C - Retail'!R5</f>
        <v>6811484</v>
      </c>
      <c r="L5" s="19">
        <f>'D2C - Retail'!S5</f>
        <v>6477790</v>
      </c>
      <c r="M5" s="19">
        <f>'D2C - Retail'!T5</f>
        <v>6832610</v>
      </c>
      <c r="N5" s="19">
        <f>'D2C - Retail'!U5</f>
        <v>9801213.9399999995</v>
      </c>
      <c r="O5" s="19">
        <f>'D2C - Retail'!V5</f>
        <v>9717463</v>
      </c>
      <c r="P5" s="19">
        <f>'D2C - Retail'!W5</f>
        <v>9709837</v>
      </c>
      <c r="Q5" s="19">
        <f>'D2C - Retail'!X5</f>
        <v>8969038</v>
      </c>
      <c r="R5" s="19">
        <f>'D2C - Retail'!Y5</f>
        <v>11077045</v>
      </c>
      <c r="S5" s="19">
        <f>'D2C - Retail'!Z5</f>
        <v>12723867</v>
      </c>
      <c r="T5" s="19">
        <f>'D2C - Retail'!AA5</f>
        <v>12864451</v>
      </c>
      <c r="U5" s="19">
        <f>'D2C - Retail'!AB5</f>
        <v>15111163</v>
      </c>
      <c r="V5" s="19">
        <f>'D2C - Retail'!AC5</f>
        <v>15860874</v>
      </c>
      <c r="W5" s="19">
        <f>'D2C - Retail'!AD5</f>
        <v>14892958</v>
      </c>
      <c r="X5" s="19">
        <f>'D2C - Retail'!AE5</f>
        <v>14209739</v>
      </c>
      <c r="Y5" s="19">
        <f>'D2C - Retail'!AF5</f>
        <v>14997847</v>
      </c>
      <c r="Z5" s="19">
        <f>'D2C - Retail'!AG5</f>
        <v>15114599</v>
      </c>
      <c r="AA5" s="19">
        <f>'D2C - Retail'!AH5</f>
        <v>16055224</v>
      </c>
      <c r="AB5" s="19">
        <f>'D2C - Retail'!AI5</f>
        <v>15120818</v>
      </c>
      <c r="AC5" s="19">
        <f>'D2C - Retail'!AJ5</f>
        <v>15916436</v>
      </c>
      <c r="AD5" s="19">
        <f>'D2C - Retail'!AK5</f>
        <v>16455088</v>
      </c>
      <c r="AE5" s="19">
        <f>'D2C - Retail'!AL5</f>
        <v>17261755</v>
      </c>
      <c r="AF5" s="19">
        <f>'D2C - Retail'!AM5</f>
        <v>18137287</v>
      </c>
      <c r="AG5" s="19">
        <f>'D2C - Retail'!AN5</f>
        <v>19516288</v>
      </c>
      <c r="AH5" s="19">
        <f>'D2C - Retail'!AO5</f>
        <v>19725098</v>
      </c>
      <c r="AI5" s="19">
        <f>'D2C - Retail'!AP5</f>
        <v>17099249</v>
      </c>
      <c r="AJ5" s="19">
        <f>'D2C - Retail'!AQ5</f>
        <v>17511393</v>
      </c>
      <c r="AK5" s="19">
        <f>'D2C - Retail'!AR5</f>
        <v>14560657</v>
      </c>
      <c r="AL5" s="19">
        <f>'D2C - Retail'!AS5</f>
        <v>14625126</v>
      </c>
      <c r="AM5" s="19">
        <f>'D2C - Retail'!AT5</f>
        <v>14384434</v>
      </c>
      <c r="AN5" s="19">
        <f>'D2C - Retail'!AU5</f>
        <v>14500412</v>
      </c>
      <c r="AO5" s="19">
        <f>'D2C - Retail'!AV5</f>
        <v>16891021</v>
      </c>
      <c r="AP5" s="19">
        <f>'D2C - Retail'!AW5</f>
        <v>17959708</v>
      </c>
      <c r="AQ5" s="19">
        <f>'D2C - Retail'!AX5</f>
        <v>19262795</v>
      </c>
      <c r="AR5" s="19">
        <f>'D2C - Retail'!AY5</f>
        <v>20797660</v>
      </c>
      <c r="AS5" s="19">
        <f>'D2C - Retail'!AZ5</f>
        <v>22174516.800000001</v>
      </c>
      <c r="AT5" s="19">
        <f>'D2C - Retail'!BA5</f>
        <v>21618496</v>
      </c>
      <c r="AU5" s="19">
        <f>'D2C - Retail'!BB5</f>
        <v>20817939</v>
      </c>
      <c r="AV5" s="19">
        <f>'D2C - Retail'!BC5</f>
        <v>21207667.68</v>
      </c>
      <c r="AW5" s="19">
        <f>'D2C - Retail'!BD5</f>
        <v>19255836.920000002</v>
      </c>
      <c r="AX5" s="19">
        <f>'D2C - Retail'!BE5</f>
        <v>22400620.879999999</v>
      </c>
      <c r="AY5" s="19">
        <f>'D2C - Retail'!BF5</f>
        <v>21300170.48</v>
      </c>
      <c r="AZ5" s="19">
        <f>'D2C - Retail'!BG5</f>
        <v>18619942.399999999</v>
      </c>
      <c r="BA5" s="19">
        <f>'D2C - Retail'!BH5</f>
        <v>24707878.719999999</v>
      </c>
      <c r="BB5" s="19">
        <f>'D2C - Retail'!BI5</f>
        <v>22799477</v>
      </c>
      <c r="BC5" s="19">
        <f>'D2C - Retail'!BJ5</f>
        <v>23528850</v>
      </c>
      <c r="BD5" s="19">
        <f>'D2C - Retail'!BK5</f>
        <v>23644259.399999999</v>
      </c>
      <c r="BE5" s="19">
        <f>'D2C - Retail'!BL5</f>
        <v>26714167.710000001</v>
      </c>
      <c r="BF5" s="19">
        <f>'D2C - Retail'!BM5</f>
        <v>30017121.27</v>
      </c>
      <c r="BG5" s="19">
        <f>'D2C - Retail'!BN5</f>
        <v>25148103.829999998</v>
      </c>
      <c r="BH5" s="19">
        <f>'D2C - Retail'!BO5</f>
        <v>25669120.719999999</v>
      </c>
      <c r="BI5" s="19">
        <f>'D2C - Retail'!BP5</f>
        <v>26616200.09</v>
      </c>
      <c r="BJ5" s="19">
        <f>'D2C - Retail'!BQ5</f>
        <v>32153333.34</v>
      </c>
      <c r="BK5" s="19">
        <f>'D2C - Retail'!BR5</f>
        <v>31872046.09</v>
      </c>
      <c r="BL5" s="19">
        <f>'D2C - Retail'!BS5</f>
        <v>31154044.84</v>
      </c>
      <c r="BM5" s="19">
        <f>'D2C - Retail'!BT5</f>
        <v>53076996.660000004</v>
      </c>
      <c r="BN5" s="19">
        <f>'D2C - Retail'!BU5</f>
        <v>33804798.704594932</v>
      </c>
      <c r="BO5" s="19">
        <f>'D2C - Retail'!BV5</f>
        <v>34088872.643289007</v>
      </c>
      <c r="BP5" s="19">
        <f>'D2C - Retail'!BW5</f>
        <v>34514983.551330119</v>
      </c>
      <c r="BQ5" s="19">
        <f>'D2C - Retail'!BX5</f>
        <v>34799057.490024194</v>
      </c>
      <c r="BR5" s="19">
        <f>'D2C - Retail'!BY5</f>
        <v>35225168.398065306</v>
      </c>
      <c r="BS5" s="19">
        <f>'D2C - Retail'!BZ5</f>
        <v>35793316.275453456</v>
      </c>
      <c r="BT5" s="19">
        <f>'D2C - Retail'!CA5</f>
        <v>36077390.21414753</v>
      </c>
      <c r="BU5" s="19">
        <f>'D2C - Retail'!CB5</f>
        <v>36503501.122188643</v>
      </c>
      <c r="BV5" s="19">
        <f>'D2C - Retail'!CC5</f>
        <v>36787575.060882717</v>
      </c>
      <c r="BW5" s="19">
        <f>'D2C - Retail'!CD5</f>
        <v>37071648.999576792</v>
      </c>
      <c r="BX5" s="19">
        <f>'D2C - Retail'!CE5</f>
        <v>37497759.907617904</v>
      </c>
      <c r="BY5" s="19">
        <f>'D2C - Retail'!CF5</f>
        <v>38065907.785006054</v>
      </c>
      <c r="BZ5" s="19">
        <f>'D2C - Retail'!CG5</f>
        <v>38349981.723700128</v>
      </c>
      <c r="CA5" s="19">
        <f>'D2C - Retail'!CH5</f>
        <v>38776092.631741241</v>
      </c>
      <c r="CB5" s="19">
        <f>'D2C - Retail'!CI5</f>
        <v>39060166.570435315</v>
      </c>
      <c r="CC5" s="19">
        <f>'D2C - Retail'!CJ5</f>
        <v>39344240.50912939</v>
      </c>
      <c r="CD5" s="19">
        <f>'D2C - Retail'!CK5</f>
        <v>39770351.417170502</v>
      </c>
      <c r="CE5" s="19">
        <f>'D2C - Retail'!CL5</f>
        <v>40338499.294558659</v>
      </c>
      <c r="CF5" s="19">
        <f>'D2C - Retail'!CM5</f>
        <v>40480536.263905697</v>
      </c>
      <c r="CG5" s="19">
        <f>'D2C - Retail'!CN5</f>
        <v>40764610.202599771</v>
      </c>
      <c r="CH5" s="19">
        <f>'D2C - Retail'!CO5</f>
        <v>40906647.171946809</v>
      </c>
      <c r="CI5" s="19">
        <f>'D2C - Retail'!CP5</f>
        <v>41048684.141293846</v>
      </c>
      <c r="CJ5" s="19">
        <f>'D2C - Retail'!CQ5</f>
        <v>41332758.079987921</v>
      </c>
      <c r="CK5" s="19">
        <f>'D2C - Retail'!CR5</f>
        <v>41474795.049334958</v>
      </c>
      <c r="CL5" s="19">
        <f>'D2C - Retail'!CS5</f>
        <v>41758868.988029033</v>
      </c>
      <c r="CM5" s="19">
        <f>'D2C - Retail'!CT5</f>
        <v>42184979.896070145</v>
      </c>
      <c r="CN5" s="19">
        <f>'D2C - Retail'!CU5</f>
        <v>42469053.83476422</v>
      </c>
      <c r="CO5" s="19">
        <f>'D2C - Retail'!CV5</f>
        <v>42753127.773458295</v>
      </c>
      <c r="CP5" s="19">
        <f>'D2C - Retail'!CW5</f>
        <v>43179238.681499407</v>
      </c>
      <c r="CQ5" s="19">
        <f>'D2C - Retail'!CX5</f>
        <v>43747386.558887556</v>
      </c>
      <c r="CR5" s="19">
        <f>'D2C - Retail'!CY5</f>
        <v>43889423.528234594</v>
      </c>
      <c r="CS5" s="19">
        <f>'D2C - Retail'!CZ5</f>
        <v>44173497.466928668</v>
      </c>
      <c r="CT5" s="19">
        <f>'D2C - Retail'!DA5</f>
        <v>44315534.436275706</v>
      </c>
      <c r="CU5" s="19">
        <f>'D2C - Retail'!DB5</f>
        <v>44457571.405622743</v>
      </c>
      <c r="CV5" s="19">
        <f>'D2C - Retail'!DC5</f>
        <v>44741645.344316818</v>
      </c>
      <c r="CW5" s="19">
        <f>'D2C - Retail'!DD5</f>
        <v>44883682.313663855</v>
      </c>
      <c r="CY5" s="19">
        <f t="shared" si="3"/>
        <v>51854130</v>
      </c>
      <c r="CZ5" s="19">
        <f t="shared" si="4"/>
        <v>56340635</v>
      </c>
      <c r="DA5" s="19">
        <f t="shared" si="5"/>
        <v>46697176</v>
      </c>
      <c r="DB5" s="19">
        <f t="shared" si="6"/>
        <v>45775867</v>
      </c>
      <c r="DC5" s="19">
        <f t="shared" si="7"/>
        <v>58020163</v>
      </c>
      <c r="DD5" s="19">
        <f t="shared" si="8"/>
        <v>64610951.799999997</v>
      </c>
      <c r="DE5" s="19">
        <f t="shared" si="9"/>
        <v>62864125.480000004</v>
      </c>
      <c r="DF5" s="19">
        <f t="shared" si="10"/>
        <v>64627991.599999994</v>
      </c>
      <c r="DG5" s="19">
        <f t="shared" si="11"/>
        <v>69972586.400000006</v>
      </c>
      <c r="DH5" s="19">
        <f t="shared" si="12"/>
        <v>81879392.810000002</v>
      </c>
      <c r="DI5" s="19">
        <f t="shared" si="13"/>
        <v>84438654.150000006</v>
      </c>
      <c r="DJ5" s="19">
        <f t="shared" si="14"/>
        <v>116103087.59</v>
      </c>
      <c r="DK5" s="19">
        <f t="shared" si="15"/>
        <v>102408654.89921406</v>
      </c>
      <c r="DL5" s="19">
        <f t="shared" si="16"/>
        <v>105817542.16354296</v>
      </c>
      <c r="DM5" s="19">
        <f t="shared" si="17"/>
        <v>109368466.39721888</v>
      </c>
      <c r="DN5" s="19">
        <f t="shared" si="18"/>
        <v>112635316.69220075</v>
      </c>
      <c r="DO5" s="19">
        <f t="shared" si="19"/>
        <v>116186240.92587668</v>
      </c>
      <c r="DP5" s="19">
        <f t="shared" si="20"/>
        <v>119453091.22085856</v>
      </c>
      <c r="DQ5" s="19">
        <f t="shared" si="21"/>
        <v>122151793.63845228</v>
      </c>
      <c r="DR5" s="19">
        <f t="shared" si="22"/>
        <v>123856237.27061673</v>
      </c>
      <c r="DS5" s="19">
        <f t="shared" si="23"/>
        <v>126412902.7188634</v>
      </c>
      <c r="DT5" s="19">
        <f t="shared" si="24"/>
        <v>129679753.01384525</v>
      </c>
      <c r="DU5" s="19">
        <f t="shared" si="25"/>
        <v>132378455.43143897</v>
      </c>
      <c r="DV5" s="19">
        <f t="shared" si="26"/>
        <v>134082899.06360342</v>
      </c>
      <c r="DX5" s="19">
        <f t="shared" si="27"/>
        <v>200667808</v>
      </c>
      <c r="DY5" s="19">
        <f t="shared" si="28"/>
        <v>250123231.88</v>
      </c>
      <c r="DZ5" s="19">
        <f t="shared" si="29"/>
        <v>352393720.95000005</v>
      </c>
      <c r="EA5" s="19">
        <f t="shared" si="30"/>
        <v>430229980.15217662</v>
      </c>
      <c r="EB5" s="19">
        <f t="shared" si="31"/>
        <v>481647363.05580425</v>
      </c>
      <c r="EC5" s="770">
        <f t="shared" si="32"/>
        <v>522554010.22775102</v>
      </c>
    </row>
    <row r="6" spans="2:133" x14ac:dyDescent="0.2">
      <c r="B6" s="178" t="s">
        <v>140</v>
      </c>
      <c r="C6" s="19">
        <f>'D2C - Retail'!J6</f>
        <v>380448.66</v>
      </c>
      <c r="D6" s="19">
        <f>'D2C - Retail'!K6</f>
        <v>1068448.0000000012</v>
      </c>
      <c r="E6" s="19">
        <f>'D2C - Retail'!L6</f>
        <v>690620.97</v>
      </c>
      <c r="F6" s="19">
        <f>'D2C - Retail'!M6</f>
        <v>355144.12999999995</v>
      </c>
      <c r="G6" s="19">
        <f>'D2C - Retail'!N6</f>
        <v>7394.56</v>
      </c>
      <c r="H6" s="19">
        <f>'D2C - Retail'!O6</f>
        <v>381400.91</v>
      </c>
      <c r="I6" s="19">
        <f>'D2C - Retail'!P6</f>
        <v>690731.45999999985</v>
      </c>
      <c r="J6" s="19">
        <f>'D2C - Retail'!Q6</f>
        <v>1692256.2799999998</v>
      </c>
      <c r="K6" s="19">
        <f>'D2C - Retail'!R6</f>
        <v>2261966</v>
      </c>
      <c r="L6" s="19">
        <f>'D2C - Retail'!S6</f>
        <v>2200532.34</v>
      </c>
      <c r="M6" s="19">
        <f>'D2C - Retail'!T6</f>
        <v>2481711.3600000069</v>
      </c>
      <c r="N6" s="19">
        <f>'D2C - Retail'!U6</f>
        <v>3516829.4000000134</v>
      </c>
      <c r="O6" s="19">
        <f>'D2C - Retail'!V6</f>
        <v>3327378.7500000014</v>
      </c>
      <c r="P6" s="19">
        <f>'D2C - Retail'!W6</f>
        <v>3297593.2400000012</v>
      </c>
      <c r="Q6" s="19">
        <f>'D2C - Retail'!X6</f>
        <v>4590340.3</v>
      </c>
      <c r="R6" s="19">
        <f>'D2C - Retail'!Y6</f>
        <v>3365729.9800000028</v>
      </c>
      <c r="S6" s="19">
        <f>'D2C - Retail'!Z6</f>
        <v>3434800.1800000006</v>
      </c>
      <c r="T6" s="19">
        <f>'D2C - Retail'!AA6</f>
        <v>4271422.5699999984</v>
      </c>
      <c r="U6" s="19">
        <f>'D2C - Retail'!AB6</f>
        <v>4682823.1799999941</v>
      </c>
      <c r="V6" s="19">
        <f>'D2C - Retail'!AC6</f>
        <v>5562427.9199999981</v>
      </c>
      <c r="W6" s="19">
        <f>'D2C - Retail'!AD6</f>
        <v>6129963.5099999988</v>
      </c>
      <c r="X6" s="19">
        <f>'D2C - Retail'!AE6</f>
        <v>5796594.3199999984</v>
      </c>
      <c r="Y6" s="19">
        <f>'D2C - Retail'!AF6</f>
        <v>4874997.2500000009</v>
      </c>
      <c r="Z6" s="19">
        <f>'D2C - Retail'!AG6</f>
        <v>5097970.09</v>
      </c>
      <c r="AA6" s="19">
        <f>'D2C - Retail'!AH6</f>
        <v>6190607.1099999994</v>
      </c>
      <c r="AB6" s="19">
        <f>'D2C - Retail'!AI6</f>
        <v>6830862.9200000018</v>
      </c>
      <c r="AC6" s="19">
        <f>'D2C - Retail'!AJ6</f>
        <v>6984016.4199999981</v>
      </c>
      <c r="AD6" s="19">
        <f>'D2C - Retail'!AK6</f>
        <v>7349546.7295000069</v>
      </c>
      <c r="AE6" s="19">
        <f>'D2C - Retail'!AL6</f>
        <v>7704730.9999999972</v>
      </c>
      <c r="AF6" s="19">
        <f>'D2C - Retail'!AM6</f>
        <v>8332583.6100000208</v>
      </c>
      <c r="AG6" s="19">
        <f>'D2C - Retail'!AN6</f>
        <v>7852523.799999997</v>
      </c>
      <c r="AH6" s="19">
        <f>'D2C - Retail'!AO6</f>
        <v>11524611.862000061</v>
      </c>
      <c r="AI6" s="19">
        <f>'D2C - Retail'!AP6</f>
        <v>10911642.03036</v>
      </c>
      <c r="AJ6" s="19">
        <f>'D2C - Retail'!AQ6</f>
        <v>14592059.921699986</v>
      </c>
      <c r="AK6" s="19">
        <f>'D2C - Retail'!AR6</f>
        <v>9410611.1639403459</v>
      </c>
      <c r="AL6" s="19">
        <f>'D2C - Retail'!AS6</f>
        <v>7998772.8309600148</v>
      </c>
      <c r="AM6" s="19">
        <f>'D2C - Retail'!AT6</f>
        <v>6996222.9099956984</v>
      </c>
      <c r="AN6" s="19">
        <f>'D2C - Retail'!AU6</f>
        <v>7817587.362155214</v>
      </c>
      <c r="AO6" s="19">
        <f>'D2C - Retail'!AV6</f>
        <v>8683562.9899719376</v>
      </c>
      <c r="AP6" s="19">
        <f>'D2C - Retail'!AW6</f>
        <v>9111728.1199725587</v>
      </c>
      <c r="AQ6" s="19">
        <f>'D2C - Retail'!AX6</f>
        <v>9127250.1202107016</v>
      </c>
      <c r="AR6" s="19">
        <f>'D2C - Retail'!AY6</f>
        <v>10420444.005038187</v>
      </c>
      <c r="AS6" s="19">
        <f>'D2C - Retail'!AZ6</f>
        <v>10181951.950004138</v>
      </c>
      <c r="AT6" s="19">
        <f>'D2C - Retail'!BA6</f>
        <v>10079078.859999996</v>
      </c>
      <c r="AU6" s="19">
        <f>'D2C - Retail'!BB6</f>
        <v>8943995.9066176694</v>
      </c>
      <c r="AV6" s="19">
        <f>'D2C - Retail'!BC6</f>
        <v>12584863.181587428</v>
      </c>
      <c r="AW6" s="19">
        <f>'D2C - Retail'!BD6</f>
        <v>10218573.700000005</v>
      </c>
      <c r="AX6" s="19">
        <f>'D2C - Retail'!BE6</f>
        <v>12172164.756187756</v>
      </c>
      <c r="AY6" s="19">
        <f>'D2C - Retail'!BF6</f>
        <v>12836897.339999899</v>
      </c>
      <c r="AZ6" s="19">
        <f>'D2C - Retail'!BG6</f>
        <v>11862725.789999932</v>
      </c>
      <c r="BA6" s="19">
        <f>'D2C - Retail'!BH6</f>
        <v>13723129</v>
      </c>
      <c r="BB6" s="19">
        <f>'D2C - Retail'!BI6</f>
        <v>12891538.179999998</v>
      </c>
      <c r="BC6" s="19">
        <f>'D2C - Retail'!BJ6</f>
        <v>13682947.109999994</v>
      </c>
      <c r="BD6" s="19">
        <f>'D2C - Retail'!BK6</f>
        <v>10601572.589999892</v>
      </c>
      <c r="BE6" s="19">
        <f>'D2C - Retail'!BL6</f>
        <v>12860489.880000001</v>
      </c>
      <c r="BF6" s="19">
        <f>'D2C - Retail'!BM6</f>
        <v>11648342.560000001</v>
      </c>
      <c r="BG6" s="19">
        <f>'D2C - Retail'!BN6</f>
        <v>14231244.24</v>
      </c>
      <c r="BH6" s="19">
        <f>'D2C - Retail'!BO6</f>
        <v>19959634.460000001</v>
      </c>
      <c r="BI6" s="19">
        <f>'D2C - Retail'!BP6</f>
        <v>17602546.419999998</v>
      </c>
      <c r="BJ6" s="19">
        <f>'D2C - Retail'!BQ6</f>
        <v>22515870.890000023</v>
      </c>
      <c r="BK6" s="19">
        <f>'D2C - Retail'!BR6</f>
        <v>19102775.490000013</v>
      </c>
      <c r="BL6" s="19">
        <f>'D2C - Retail'!BS6</f>
        <v>18503582.590000022</v>
      </c>
      <c r="BM6" s="19">
        <f>'D2C - Retail'!BT6</f>
        <v>21766579.370000031</v>
      </c>
      <c r="BN6" s="19">
        <f>'D2C - Retail'!BU6</f>
        <v>18741384.707634021</v>
      </c>
      <c r="BO6" s="19">
        <f>'D2C - Retail'!BV6</f>
        <v>18898875.335429266</v>
      </c>
      <c r="BP6" s="19">
        <f>'D2C - Retail'!BW6</f>
        <v>19135111.277122132</v>
      </c>
      <c r="BQ6" s="19">
        <f>'D2C - Retail'!BX6</f>
        <v>19292601.904917378</v>
      </c>
      <c r="BR6" s="19">
        <f>'D2C - Retail'!BY6</f>
        <v>19528837.846610244</v>
      </c>
      <c r="BS6" s="19">
        <f>'D2C - Retail'!BZ6</f>
        <v>19843819.102200732</v>
      </c>
      <c r="BT6" s="19">
        <f>'D2C - Retail'!CA6</f>
        <v>20001309.729995973</v>
      </c>
      <c r="BU6" s="19">
        <f>'D2C - Retail'!CB6</f>
        <v>20237545.67168884</v>
      </c>
      <c r="BV6" s="19">
        <f>'D2C - Retail'!CC6</f>
        <v>20395036.299484085</v>
      </c>
      <c r="BW6" s="19">
        <f>'D2C - Retail'!CD6</f>
        <v>20552526.927279327</v>
      </c>
      <c r="BX6" s="19">
        <f>'D2C - Retail'!CE6</f>
        <v>20788762.868972193</v>
      </c>
      <c r="BY6" s="19">
        <f>'D2C - Retail'!CF6</f>
        <v>21103744.124562681</v>
      </c>
      <c r="BZ6" s="19">
        <f>'D2C - Retail'!CG6</f>
        <v>21261234.752357926</v>
      </c>
      <c r="CA6" s="19">
        <f>'D2C - Retail'!CH6</f>
        <v>21497470.694050793</v>
      </c>
      <c r="CB6" s="19">
        <f>'D2C - Retail'!CI6</f>
        <v>21654961.321846034</v>
      </c>
      <c r="CC6" s="19">
        <f>'D2C - Retail'!CJ6</f>
        <v>21812451.94964128</v>
      </c>
      <c r="CD6" s="19">
        <f>'D2C - Retail'!CK6</f>
        <v>22048687.891334146</v>
      </c>
      <c r="CE6" s="19">
        <f>'D2C - Retail'!CL6</f>
        <v>22363669.146924634</v>
      </c>
      <c r="CF6" s="19">
        <f>'D2C - Retail'!CM6</f>
        <v>22442414.460822254</v>
      </c>
      <c r="CG6" s="19">
        <f>'D2C - Retail'!CN6</f>
        <v>22599905.0886175</v>
      </c>
      <c r="CH6" s="19">
        <f>'D2C - Retail'!CO6</f>
        <v>22678650.402515121</v>
      </c>
      <c r="CI6" s="19">
        <f>'D2C - Retail'!CP6</f>
        <v>22757395.716412742</v>
      </c>
      <c r="CJ6" s="19">
        <f>'D2C - Retail'!CQ6</f>
        <v>22914886.344207987</v>
      </c>
      <c r="CK6" s="19">
        <f>'D2C - Retail'!CR6</f>
        <v>22993631.658105608</v>
      </c>
      <c r="CL6" s="19">
        <f>'D2C - Retail'!CS6</f>
        <v>23151122.285900854</v>
      </c>
      <c r="CM6" s="19">
        <f>'D2C - Retail'!CT6</f>
        <v>23387358.22759372</v>
      </c>
      <c r="CN6" s="19">
        <f>'D2C - Retail'!CU6</f>
        <v>23544848.855388962</v>
      </c>
      <c r="CO6" s="19">
        <f>'D2C - Retail'!CV6</f>
        <v>23702339.483184207</v>
      </c>
      <c r="CP6" s="19">
        <f>'D2C - Retail'!CW6</f>
        <v>23938575.424877074</v>
      </c>
      <c r="CQ6" s="19">
        <f>'D2C - Retail'!CX6</f>
        <v>24253556.680467561</v>
      </c>
      <c r="CR6" s="19">
        <f>'D2C - Retail'!CY6</f>
        <v>24332301.994365182</v>
      </c>
      <c r="CS6" s="19">
        <f>'D2C - Retail'!CZ6</f>
        <v>24489792.622160427</v>
      </c>
      <c r="CT6" s="19">
        <f>'D2C - Retail'!DA6</f>
        <v>24568537.936058048</v>
      </c>
      <c r="CU6" s="19">
        <f>'D2C - Retail'!DB6</f>
        <v>24647283.249955669</v>
      </c>
      <c r="CV6" s="19">
        <f>'D2C - Retail'!DC6</f>
        <v>24804773.877750915</v>
      </c>
      <c r="CW6" s="19">
        <f>'D2C - Retail'!DD6</f>
        <v>24883519.191648535</v>
      </c>
      <c r="CY6" s="19">
        <f t="shared" si="3"/>
        <v>23386861.339500025</v>
      </c>
      <c r="CZ6" s="19">
        <f t="shared" si="4"/>
        <v>30288777.692360058</v>
      </c>
      <c r="DA6" s="19">
        <f t="shared" si="5"/>
        <v>32001443.916600347</v>
      </c>
      <c r="DB6" s="19">
        <f t="shared" si="6"/>
        <v>23497373.262122847</v>
      </c>
      <c r="DC6" s="19">
        <f t="shared" si="7"/>
        <v>28659422.245221447</v>
      </c>
      <c r="DD6" s="19">
        <f t="shared" si="8"/>
        <v>29205026.716621801</v>
      </c>
      <c r="DE6" s="19">
        <f t="shared" si="9"/>
        <v>34975601.637775183</v>
      </c>
      <c r="DF6" s="19">
        <f t="shared" si="10"/>
        <v>38422752.129999831</v>
      </c>
      <c r="DG6" s="19">
        <f t="shared" si="11"/>
        <v>37176057.879999883</v>
      </c>
      <c r="DH6" s="19">
        <f t="shared" si="12"/>
        <v>38740076.68</v>
      </c>
      <c r="DI6" s="19">
        <f t="shared" si="13"/>
        <v>60078051.770000018</v>
      </c>
      <c r="DJ6" s="19">
        <f t="shared" si="14"/>
        <v>59372937.450000063</v>
      </c>
      <c r="DK6" s="19">
        <f t="shared" si="15"/>
        <v>56775371.320185415</v>
      </c>
      <c r="DL6" s="19">
        <f t="shared" si="16"/>
        <v>58665258.853728354</v>
      </c>
      <c r="DM6" s="19">
        <f t="shared" si="17"/>
        <v>60633891.701168895</v>
      </c>
      <c r="DN6" s="19">
        <f t="shared" si="18"/>
        <v>62445033.920814201</v>
      </c>
      <c r="DO6" s="19">
        <f t="shared" si="19"/>
        <v>64413666.768254757</v>
      </c>
      <c r="DP6" s="19">
        <f t="shared" si="20"/>
        <v>66224808.987900063</v>
      </c>
      <c r="DQ6" s="19">
        <f t="shared" si="21"/>
        <v>67720969.951954871</v>
      </c>
      <c r="DR6" s="19">
        <f t="shared" si="22"/>
        <v>68665913.718726337</v>
      </c>
      <c r="DS6" s="19">
        <f t="shared" si="23"/>
        <v>70083329.368883535</v>
      </c>
      <c r="DT6" s="19">
        <f t="shared" si="24"/>
        <v>71894471.588528842</v>
      </c>
      <c r="DU6" s="19">
        <f t="shared" si="25"/>
        <v>73390632.55258365</v>
      </c>
      <c r="DV6" s="19">
        <f t="shared" si="26"/>
        <v>74335576.31935513</v>
      </c>
      <c r="DX6" s="19">
        <f t="shared" si="27"/>
        <v>109174456.21058327</v>
      </c>
      <c r="DY6" s="19">
        <f t="shared" si="28"/>
        <v>131262802.72961827</v>
      </c>
      <c r="DZ6" s="19">
        <f t="shared" si="29"/>
        <v>195367123.77999997</v>
      </c>
      <c r="EA6" s="19">
        <f t="shared" si="30"/>
        <v>238519555.79589689</v>
      </c>
      <c r="EB6" s="19">
        <f t="shared" si="31"/>
        <v>267025359.42683601</v>
      </c>
      <c r="EC6" s="770">
        <f t="shared" si="32"/>
        <v>289704009.82935113</v>
      </c>
    </row>
    <row r="7" spans="2:133" x14ac:dyDescent="0.2">
      <c r="B7" s="17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X7" s="19"/>
      <c r="DY7" s="19"/>
      <c r="DZ7" s="19"/>
      <c r="EA7" s="19"/>
      <c r="EB7" s="19"/>
      <c r="EC7" s="770"/>
    </row>
    <row r="8" spans="2:133" x14ac:dyDescent="0.2">
      <c r="B8" s="155" t="s">
        <v>229</v>
      </c>
      <c r="C8" s="19">
        <f>'D2C - Retail'!J3</f>
        <v>44307804.639999993</v>
      </c>
      <c r="D8" s="19">
        <f>'D2C - Retail'!K3</f>
        <v>45537527.779999986</v>
      </c>
      <c r="E8" s="19">
        <f>'D2C - Retail'!L3</f>
        <v>49014180.030000098</v>
      </c>
      <c r="F8" s="19">
        <f>'D2C - Retail'!M3</f>
        <v>29638478.379999973</v>
      </c>
      <c r="G8" s="19">
        <f>'D2C - Retail'!N3</f>
        <v>728899.62000000034</v>
      </c>
      <c r="H8" s="19">
        <f>'D2C - Retail'!O3</f>
        <v>22119751.369999997</v>
      </c>
      <c r="I8" s="19">
        <f>'D2C - Retail'!P3</f>
        <v>32574556.639999952</v>
      </c>
      <c r="J8" s="19">
        <f>'D2C - Retail'!Q3</f>
        <v>41207755.070000052</v>
      </c>
      <c r="K8" s="19">
        <f>'D2C - Retail'!R3</f>
        <v>55565076.070000172</v>
      </c>
      <c r="L8" s="19">
        <f>'D2C - Retail'!S3</f>
        <v>66150442.44000034</v>
      </c>
      <c r="M8" s="19">
        <f>'D2C - Retail'!T3</f>
        <v>94292695.270000279</v>
      </c>
      <c r="N8" s="19">
        <f>'D2C - Retail'!U3</f>
        <v>114426575.24000114</v>
      </c>
      <c r="O8" s="19">
        <f>'D2C - Retail'!V3</f>
        <v>112899577.48000291</v>
      </c>
      <c r="P8" s="19">
        <f>'D2C - Retail'!W3</f>
        <v>121681117.4599963</v>
      </c>
      <c r="Q8" s="19">
        <f>'D2C - Retail'!X3</f>
        <v>136308118.46999502</v>
      </c>
      <c r="R8" s="19">
        <f>'D2C - Retail'!Y3</f>
        <v>120821523.58999594</v>
      </c>
      <c r="S8" s="19">
        <f>'D2C - Retail'!Z3</f>
        <v>147039713.57000482</v>
      </c>
      <c r="T8" s="19">
        <f>'D2C - Retail'!AA3</f>
        <v>174069339.44999015</v>
      </c>
      <c r="U8" s="19">
        <f>'D2C - Retail'!AB3</f>
        <v>176465205.17999822</v>
      </c>
      <c r="V8" s="19">
        <f>'D2C - Retail'!AC3</f>
        <v>182471278.71000534</v>
      </c>
      <c r="W8" s="19">
        <f>'D2C - Retail'!AD3</f>
        <v>174539353.44999975</v>
      </c>
      <c r="X8" s="19">
        <f>'D2C - Retail'!AE3</f>
        <v>191776624.96999565</v>
      </c>
      <c r="Y8" s="19">
        <f>'D2C - Retail'!AF3</f>
        <v>196179147.49999794</v>
      </c>
      <c r="Z8" s="19">
        <f>'D2C - Retail'!AG3</f>
        <v>238775211.24001384</v>
      </c>
      <c r="AA8" s="19">
        <f>'D2C - Retail'!AH3</f>
        <v>261788993.19999886</v>
      </c>
      <c r="AB8" s="19">
        <f>'D2C - Retail'!AI3</f>
        <v>259812967.05000448</v>
      </c>
      <c r="AC8" s="19">
        <f>'D2C - Retail'!AJ3</f>
        <v>330012662.03998053</v>
      </c>
      <c r="AD8" s="19">
        <f>'D2C - Retail'!AK3</f>
        <v>355052087.23952562</v>
      </c>
      <c r="AE8" s="19">
        <f>'D2C - Retail'!AL3</f>
        <v>377828876.41002584</v>
      </c>
      <c r="AF8" s="19">
        <f>'D2C - Retail'!AM3</f>
        <v>373778384.43003833</v>
      </c>
      <c r="AG8" s="19">
        <f>'D2C - Retail'!AN3</f>
        <v>332980790.84004146</v>
      </c>
      <c r="AH8" s="19">
        <f>'D2C - Retail'!AO3</f>
        <v>334194565.95196956</v>
      </c>
      <c r="AI8" s="19">
        <f>'D2C - Retail'!AP3</f>
        <v>314696281.25039017</v>
      </c>
      <c r="AJ8" s="19">
        <f>'D2C - Retail'!AQ3</f>
        <v>438333007.70424289</v>
      </c>
      <c r="AK8" s="19">
        <f>'D2C - Retail'!AR3</f>
        <v>380871517.84648663</v>
      </c>
      <c r="AL8" s="19">
        <f>'D2C - Retail'!AS3</f>
        <v>331570422.52705711</v>
      </c>
      <c r="AM8" s="19">
        <f>'D2C - Retail'!AT3</f>
        <v>299879970.71914715</v>
      </c>
      <c r="AN8" s="19">
        <f>'D2C - Retail'!AU3</f>
        <v>279031670.34520602</v>
      </c>
      <c r="AO8" s="19">
        <f>'D2C - Retail'!AV3</f>
        <v>337099434.33302683</v>
      </c>
      <c r="AP8" s="19">
        <f>'D2C - Retail'!AW3</f>
        <v>355053450.1030286</v>
      </c>
      <c r="AQ8" s="19">
        <f>'D2C - Retail'!AX3</f>
        <v>354228123.69021481</v>
      </c>
      <c r="AR8" s="19">
        <f>'D2C - Retail'!AY3</f>
        <v>376653140.7750445</v>
      </c>
      <c r="AS8" s="19">
        <f>'D2C - Retail'!AZ3</f>
        <v>363405003.58000946</v>
      </c>
      <c r="AT8" s="19">
        <f>'D2C - Retail'!BA3</f>
        <v>309852765.26000243</v>
      </c>
      <c r="AU8" s="19">
        <f>'D2C - Retail'!BB3</f>
        <v>273180907.97662252</v>
      </c>
      <c r="AV8" s="19">
        <f>'D2C - Retail'!BC3</f>
        <v>365433546.21159124</v>
      </c>
      <c r="AW8" s="19">
        <f>'D2C - Retail'!BD3</f>
        <v>364585249.00000501</v>
      </c>
      <c r="AX8" s="19">
        <f>'D2C - Retail'!BE3</f>
        <v>433160677.27055454</v>
      </c>
      <c r="AY8" s="19">
        <f>'D2C - Retail'!BF3</f>
        <v>450069449.49034607</v>
      </c>
      <c r="AZ8" s="19">
        <f>'D2C - Retail'!BG3</f>
        <v>426337810.18006098</v>
      </c>
      <c r="BA8" s="19">
        <f>'D2C - Retail'!BH3</f>
        <v>527896467.0001055</v>
      </c>
      <c r="BB8" s="19">
        <f>'D2C - Retail'!BI3</f>
        <v>517606585.08013833</v>
      </c>
      <c r="BC8" s="19">
        <f>'D2C - Retail'!BJ3</f>
        <v>500661605.62000364</v>
      </c>
      <c r="BD8" s="19">
        <f>'D2C - Retail'!BK3</f>
        <v>506117125.06098431</v>
      </c>
      <c r="BE8" s="19">
        <f>'D2C - Retail'!BL3</f>
        <v>558298024.91000116</v>
      </c>
      <c r="BF8" s="19">
        <f>'D2C - Retail'!BM3</f>
        <v>473005887.96000177</v>
      </c>
      <c r="BG8" s="19">
        <f>'D2C - Retail'!BN3</f>
        <v>447096525.3699975</v>
      </c>
      <c r="BH8" s="19">
        <f>'D2C - Retail'!BO3</f>
        <v>627791340.85999608</v>
      </c>
      <c r="BI8" s="19">
        <f>'D2C - Retail'!BP3</f>
        <v>567296872.5</v>
      </c>
      <c r="BJ8" s="19">
        <f>'D2C - Retail'!BQ3</f>
        <v>700534581.04999578</v>
      </c>
      <c r="BK8" s="19">
        <f>'D2C - Retail'!BR3</f>
        <v>748385244.50999868</v>
      </c>
      <c r="BL8" s="19">
        <f>'D2C - Retail'!BS3</f>
        <v>723323798.41999519</v>
      </c>
      <c r="BM8" s="19">
        <f>'D2C - Retail'!BT3</f>
        <v>864519334.05999899</v>
      </c>
      <c r="BN8" s="19">
        <f>'D2C - Retail'!BU3</f>
        <v>737989073.86666751</v>
      </c>
      <c r="BO8" s="19">
        <f>'D2C - Retail'!BV3</f>
        <v>722574647.77873051</v>
      </c>
      <c r="BP8" s="19">
        <f>'D2C - Retail'!BW3</f>
        <v>720997887.15389311</v>
      </c>
      <c r="BQ8" s="19">
        <f>'D2C - Retail'!BX3</f>
        <v>781109395.03303659</v>
      </c>
      <c r="BR8" s="19">
        <f>'D2C - Retail'!BY3</f>
        <v>697294898.53641617</v>
      </c>
      <c r="BS8" s="19">
        <f>'D2C - Retail'!BZ3</f>
        <v>647064530.43506396</v>
      </c>
      <c r="BT8" s="19">
        <f>'D2C - Retail'!CA3</f>
        <v>808598278.00979507</v>
      </c>
      <c r="BU8" s="19">
        <f>'D2C - Retail'!CB3</f>
        <v>744198980.9264791</v>
      </c>
      <c r="BV8" s="19">
        <f>'D2C - Retail'!CC3</f>
        <v>886258133.258811</v>
      </c>
      <c r="BW8" s="19">
        <f>'D2C - Retail'!CD3</f>
        <v>908115191.8933655</v>
      </c>
      <c r="BX8" s="19">
        <f>'D2C - Retail'!CE3</f>
        <v>844024817.57253087</v>
      </c>
      <c r="BY8" s="19">
        <f>'D2C - Retail'!CF3</f>
        <v>982610537.43466365</v>
      </c>
      <c r="BZ8" s="19">
        <f>'D2C - Retail'!CG3</f>
        <v>900570799.22483706</v>
      </c>
      <c r="CA8" s="19">
        <f>'D2C - Retail'!CH3</f>
        <v>883984984.75429392</v>
      </c>
      <c r="CB8" s="19">
        <f>'D2C - Retail'!CI3</f>
        <v>877476569.44785905</v>
      </c>
      <c r="CC8" s="19">
        <f>'D2C - Retail'!CJ3</f>
        <v>950103982.01738727</v>
      </c>
      <c r="CD8" s="19">
        <f>'D2C - Retail'!CK3</f>
        <v>846373515.76854718</v>
      </c>
      <c r="CE8" s="19">
        <f>'D2C - Retail'!CL3</f>
        <v>783534276.01435351</v>
      </c>
      <c r="CF8" s="19">
        <f>'D2C - Retail'!CM3</f>
        <v>976081630.91126382</v>
      </c>
      <c r="CG8" s="19">
        <f>'D2C - Retail'!CN3</f>
        <v>893618971.76344955</v>
      </c>
      <c r="CH8" s="19">
        <f>'D2C - Retail'!CO3</f>
        <v>1060607450.8975278</v>
      </c>
      <c r="CI8" s="19">
        <f>'D2C - Retail'!CP3</f>
        <v>1082268967.1592412</v>
      </c>
      <c r="CJ8" s="19">
        <f>'D2C - Retail'!CQ3</f>
        <v>1000912723.9789027</v>
      </c>
      <c r="CK8" s="19">
        <f>'D2C - Retail'!CR3</f>
        <v>1152585823.4251366</v>
      </c>
      <c r="CL8" s="19">
        <f>'D2C - Retail'!CS3</f>
        <v>1026394846.791955</v>
      </c>
      <c r="CM8" s="19">
        <f>'D2C - Retail'!CT3</f>
        <v>1006491838.4605958</v>
      </c>
      <c r="CN8" s="19">
        <f>'D2C - Retail'!CU3</f>
        <v>998445988.73163915</v>
      </c>
      <c r="CO8" s="19">
        <f>'D2C - Retail'!CV3</f>
        <v>1080709300.7647989</v>
      </c>
      <c r="CP8" s="19">
        <f>'D2C - Retail'!CW3</f>
        <v>961497232.58673429</v>
      </c>
      <c r="CQ8" s="19">
        <f>'D2C - Retail'!CX3</f>
        <v>888822963.44401336</v>
      </c>
      <c r="CR8" s="19">
        <f>'D2C - Retail'!CY3</f>
        <v>1107767898.1264563</v>
      </c>
      <c r="CS8" s="19">
        <f>'D2C - Retail'!CZ3</f>
        <v>1013317883.9193017</v>
      </c>
      <c r="CT8" s="19">
        <f>'D2C - Retail'!DA3</f>
        <v>1202983753.2857544</v>
      </c>
      <c r="CU8" s="19">
        <f>'D2C - Retail'!DB3</f>
        <v>1227284970.6029537</v>
      </c>
      <c r="CV8" s="19">
        <f>'D2C - Retail'!DC3</f>
        <v>1134144873.706372</v>
      </c>
      <c r="CW8" s="19">
        <f>'D2C - Retail'!DD3</f>
        <v>1306183304.5721023</v>
      </c>
      <c r="CY8" s="19">
        <f t="shared" si="3"/>
        <v>1106659348.0795898</v>
      </c>
      <c r="CZ8" s="19">
        <f t="shared" si="4"/>
        <v>981871638.04240119</v>
      </c>
      <c r="DA8" s="19">
        <f t="shared" si="5"/>
        <v>1150774948.0777867</v>
      </c>
      <c r="DB8" s="19">
        <f t="shared" si="6"/>
        <v>916011075.39738011</v>
      </c>
      <c r="DC8" s="19">
        <f t="shared" si="7"/>
        <v>1085934714.5682878</v>
      </c>
      <c r="DD8" s="19">
        <f t="shared" si="8"/>
        <v>946438676.81663442</v>
      </c>
      <c r="DE8" s="19">
        <f t="shared" si="9"/>
        <v>1163179472.4821508</v>
      </c>
      <c r="DF8" s="19">
        <f t="shared" si="10"/>
        <v>1404303726.6705127</v>
      </c>
      <c r="DG8" s="19">
        <f t="shared" si="11"/>
        <v>1524385315.7611263</v>
      </c>
      <c r="DH8" s="19">
        <f t="shared" si="12"/>
        <v>1478400438.2400005</v>
      </c>
      <c r="DI8" s="19">
        <f t="shared" si="13"/>
        <v>1895622794.4099917</v>
      </c>
      <c r="DJ8" s="19">
        <f t="shared" si="14"/>
        <v>2336228376.9899931</v>
      </c>
      <c r="DK8" s="19">
        <f t="shared" si="15"/>
        <v>2181561608.7992911</v>
      </c>
      <c r="DL8" s="19">
        <f t="shared" si="16"/>
        <v>2125468824.0045166</v>
      </c>
      <c r="DM8" s="19">
        <f t="shared" si="17"/>
        <v>2439055392.195085</v>
      </c>
      <c r="DN8" s="19">
        <f t="shared" si="18"/>
        <v>2734750546.9005599</v>
      </c>
      <c r="DO8" s="19">
        <f t="shared" si="19"/>
        <v>2662032353.42699</v>
      </c>
      <c r="DP8" s="19">
        <f t="shared" si="20"/>
        <v>2580011773.8002882</v>
      </c>
      <c r="DQ8" s="19">
        <f t="shared" si="21"/>
        <v>2930308053.5722413</v>
      </c>
      <c r="DR8" s="19">
        <f t="shared" si="22"/>
        <v>3235767514.5632806</v>
      </c>
      <c r="DS8" s="19">
        <f t="shared" si="23"/>
        <v>3031332673.98419</v>
      </c>
      <c r="DT8" s="19">
        <f t="shared" si="24"/>
        <v>2931029496.7955465</v>
      </c>
      <c r="DU8" s="19">
        <f t="shared" si="25"/>
        <v>3324069535.3315125</v>
      </c>
      <c r="DV8" s="19">
        <f t="shared" si="26"/>
        <v>3667613148.8814278</v>
      </c>
      <c r="DX8" s="19">
        <f t="shared" si="27"/>
        <v>4155317009.5971575</v>
      </c>
      <c r="DY8" s="19">
        <f t="shared" si="28"/>
        <v>4599856590.5375862</v>
      </c>
      <c r="DZ8" s="19">
        <f t="shared" si="29"/>
        <v>7234636925.4011116</v>
      </c>
      <c r="EA8" s="19">
        <f t="shared" si="30"/>
        <v>9480836371.8994541</v>
      </c>
      <c r="EB8" s="19">
        <f t="shared" si="31"/>
        <v>11408119695.362799</v>
      </c>
      <c r="EC8" s="770">
        <f t="shared" si="32"/>
        <v>12954044854.992676</v>
      </c>
    </row>
    <row r="9" spans="2:133" x14ac:dyDescent="0.2">
      <c r="B9" s="155" t="s">
        <v>237</v>
      </c>
      <c r="C9" s="19">
        <f>'D2C Online'!AA4</f>
        <v>4242332</v>
      </c>
      <c r="D9" s="19">
        <f>'D2C Online'!AB4</f>
        <v>3772001</v>
      </c>
      <c r="E9" s="19">
        <f>'D2C Online'!AC4</f>
        <v>5552748</v>
      </c>
      <c r="F9" s="19">
        <f>'D2C Online'!AD4</f>
        <v>3836476.0799999996</v>
      </c>
      <c r="G9" s="19">
        <f>'D2C Online'!AE4</f>
        <v>3785723.8999999966</v>
      </c>
      <c r="H9" s="19">
        <f>'D2C Online'!AF4</f>
        <v>5138666.8999999901</v>
      </c>
      <c r="I9" s="19">
        <f>'D2C Online'!AG4</f>
        <v>5903505</v>
      </c>
      <c r="J9" s="19">
        <f>'D2C Online'!AH4</f>
        <v>5544390</v>
      </c>
      <c r="K9" s="19">
        <f>'D2C Online'!AI4</f>
        <v>6845178</v>
      </c>
      <c r="L9" s="19">
        <f>'D2C Online'!AJ4</f>
        <v>4449624</v>
      </c>
      <c r="M9" s="19">
        <f>'D2C Online'!AK4</f>
        <v>14431400</v>
      </c>
      <c r="N9" s="19">
        <f>'D2C Online'!AL4</f>
        <v>16368535</v>
      </c>
      <c r="O9" s="19">
        <f>'D2C Online'!AM4</f>
        <v>24919559</v>
      </c>
      <c r="P9" s="19">
        <f>'D2C Online'!AN4</f>
        <v>27842886</v>
      </c>
      <c r="Q9" s="19">
        <f>'D2C Online'!AO4</f>
        <v>29713649.399999999</v>
      </c>
      <c r="R9" s="19">
        <f>'D2C Online'!AP4</f>
        <v>24104799.209999993</v>
      </c>
      <c r="S9" s="19">
        <f>'D2C Online'!AQ4</f>
        <v>28258584.179999996</v>
      </c>
      <c r="T9" s="19">
        <f>'D2C Online'!AR4</f>
        <v>53877372.060000002</v>
      </c>
      <c r="U9" s="19">
        <f>'D2C Online'!AS4</f>
        <v>52522425.400000401</v>
      </c>
      <c r="V9" s="19">
        <f>'D2C Online'!AT4</f>
        <v>41784984.220000073</v>
      </c>
      <c r="W9" s="19">
        <f>'D2C Online'!AU4</f>
        <v>47330406.580000088</v>
      </c>
      <c r="X9" s="19">
        <f>'D2C Online'!AV4</f>
        <v>71201176.050000161</v>
      </c>
      <c r="Y9" s="19">
        <f>'D2C Online'!AW4</f>
        <v>58230592.109999999</v>
      </c>
      <c r="Z9" s="19">
        <f>'D2C Online'!AX4</f>
        <v>62072809.040000208</v>
      </c>
      <c r="AA9" s="19">
        <f>'D2C Online'!AY4</f>
        <v>68883437.750000358</v>
      </c>
      <c r="AB9" s="19">
        <f>'D2C Online'!AZ4</f>
        <v>96146013.92000024</v>
      </c>
      <c r="AC9" s="19">
        <f>'D2C Online'!BA4</f>
        <v>189086761.60000095</v>
      </c>
      <c r="AD9" s="19">
        <f>'D2C Online'!BB4</f>
        <v>229232773.04230279</v>
      </c>
      <c r="AE9" s="19">
        <f>'D2C Online'!BC4</f>
        <v>223961114.9779605</v>
      </c>
      <c r="AF9" s="19">
        <f>'D2C Online'!BD4</f>
        <v>254596340.13318229</v>
      </c>
      <c r="AG9" s="19">
        <f>'D2C Online'!BE4</f>
        <v>218694752.89905122</v>
      </c>
      <c r="AH9" s="19">
        <f>'D2C Online'!BF4</f>
        <v>222556498.25425178</v>
      </c>
      <c r="AI9" s="19">
        <f>'D2C Online'!BG4</f>
        <v>255759965.27878931</v>
      </c>
      <c r="AJ9" s="19">
        <f>'D2C Online'!BH4</f>
        <v>387371877.53215408</v>
      </c>
      <c r="AK9" s="19">
        <f>'D2C Online'!BI4</f>
        <v>302891530.21127993</v>
      </c>
      <c r="AL9" s="19">
        <f>'D2C Online'!BJ4</f>
        <v>272757893.06306797</v>
      </c>
      <c r="AM9" s="19">
        <f>'D2C Online'!BK4</f>
        <v>278091728.85167193</v>
      </c>
      <c r="AN9" s="19">
        <f>'D2C Online'!BL4</f>
        <v>231852458</v>
      </c>
      <c r="AO9" s="19">
        <f>'D2C Online'!BM4</f>
        <v>278533560.31716239</v>
      </c>
      <c r="AP9" s="19">
        <f>'D2C Online'!BN4</f>
        <v>275363218.8877117</v>
      </c>
      <c r="AQ9" s="19">
        <f>'D2C Online'!BO4</f>
        <v>298185179.29365683</v>
      </c>
      <c r="AR9" s="19">
        <f>'D2C Online'!BP4</f>
        <v>305543953.87704253</v>
      </c>
      <c r="AS9" s="19">
        <f>'D2C Online'!BQ4</f>
        <v>321805524.56689703</v>
      </c>
      <c r="AT9" s="19">
        <f>'D2C Online'!BR4</f>
        <v>312831578.98424667</v>
      </c>
      <c r="AU9" s="19">
        <f>'D2C Online'!BS4</f>
        <v>322902748.88117516</v>
      </c>
      <c r="AV9" s="19">
        <f>'D2C Online'!BT4</f>
        <v>328284149.9342829</v>
      </c>
      <c r="AW9" s="19">
        <f>'D2C Online'!BU4</f>
        <v>301372361.33225411</v>
      </c>
      <c r="AX9" s="19">
        <f>'D2C Online'!BV4</f>
        <v>340051005.91368407</v>
      </c>
      <c r="AY9" s="19">
        <f>'D2C Online'!BW4</f>
        <v>389801836.33157235</v>
      </c>
      <c r="AZ9" s="19">
        <f>'D2C Online'!BX4</f>
        <v>377296304.1417616</v>
      </c>
      <c r="BA9" s="19">
        <f>'D2C Online'!BY4</f>
        <v>511408792.90617436</v>
      </c>
      <c r="BB9" s="19">
        <f>'D2C Online'!BZ4</f>
        <v>463859744.50764561</v>
      </c>
      <c r="BC9" s="19">
        <f>'D2C Online'!CA4</f>
        <v>463692851.46933931</v>
      </c>
      <c r="BD9" s="19">
        <f>'D2C Online'!CB4</f>
        <v>457837690.40383381</v>
      </c>
      <c r="BE9" s="19">
        <f>'D2C Online'!CC4</f>
        <v>465130672.15745705</v>
      </c>
      <c r="BF9" s="19">
        <f>'D2C Online'!CD4</f>
        <v>422840430</v>
      </c>
      <c r="BG9" s="19">
        <f>'D2C Online'!CE4</f>
        <v>451918104.03670436</v>
      </c>
      <c r="BH9" s="19">
        <f>'D2C Online'!CF4</f>
        <v>464918845.62749183</v>
      </c>
      <c r="BI9" s="19">
        <f>'D2C Online'!CG4</f>
        <v>448242146.97059989</v>
      </c>
      <c r="BJ9" s="19">
        <f>'D2C Online'!CH4</f>
        <v>527734280.64499974</v>
      </c>
      <c r="BK9" s="19">
        <f>'D2C Online'!CI4</f>
        <v>577401974.45063937</v>
      </c>
      <c r="BL9" s="19">
        <f>'D2C Online'!CJ4</f>
        <v>476815410.4677586</v>
      </c>
      <c r="BM9" s="19">
        <f>'D2C Online'!CK4</f>
        <v>548884954.49144971</v>
      </c>
      <c r="BN9" s="19">
        <f>'D2C Online'!CL4</f>
        <v>518628007.2790212</v>
      </c>
      <c r="BO9" s="19">
        <f>'D2C Online'!CM4</f>
        <v>523906425.41995186</v>
      </c>
      <c r="BP9" s="19">
        <f>'D2C Online'!CN4</f>
        <v>523531626.49870235</v>
      </c>
      <c r="BQ9" s="19">
        <f>'D2C Online'!CO4</f>
        <v>531433637.08837974</v>
      </c>
      <c r="BR9" s="19">
        <f>'D2C Online'!CP4</f>
        <v>500762592.03279406</v>
      </c>
      <c r="BS9" s="19">
        <f>'D2C Online'!CQ4</f>
        <v>547799856.64960861</v>
      </c>
      <c r="BT9" s="19">
        <f>'D2C Online'!CR4</f>
        <v>532651733.58244061</v>
      </c>
      <c r="BU9" s="19">
        <f>'D2C Online'!CS4</f>
        <v>533901063.31993902</v>
      </c>
      <c r="BV9" s="19">
        <f>'D2C Online'!CT4</f>
        <v>655367147.0482204</v>
      </c>
      <c r="BW9" s="19">
        <f>'D2C Online'!CU4</f>
        <v>706152400.87753022</v>
      </c>
      <c r="BX9" s="19">
        <f>'D2C Online'!CV4</f>
        <v>605393957.54828465</v>
      </c>
      <c r="BY9" s="19">
        <f>'D2C Online'!CW4</f>
        <v>654180283.79759693</v>
      </c>
      <c r="BZ9" s="19">
        <f>'D2C Online'!CX4</f>
        <v>614314874.62200058</v>
      </c>
      <c r="CA9" s="19">
        <f>'D2C Online'!CY4</f>
        <v>620567160.90993297</v>
      </c>
      <c r="CB9" s="19">
        <f>'D2C Online'!CZ4</f>
        <v>620123211.587713</v>
      </c>
      <c r="CC9" s="19">
        <f>'D2C Online'!DA4</f>
        <v>629483143.13118577</v>
      </c>
      <c r="CD9" s="19">
        <f>'D2C Online'!DB4</f>
        <v>593153290.26284456</v>
      </c>
      <c r="CE9" s="19">
        <f>'D2C Online'!DC4</f>
        <v>648868930.20146143</v>
      </c>
      <c r="CF9" s="19">
        <f>'D2C Online'!DD4</f>
        <v>630925978.42840087</v>
      </c>
      <c r="CG9" s="19">
        <f>'D2C Online'!DE4</f>
        <v>632405809.50246775</v>
      </c>
      <c r="CH9" s="19">
        <f>'D2C Online'!DF4</f>
        <v>776282385.67861712</v>
      </c>
      <c r="CI9" s="19">
        <f>'D2C Online'!DG4</f>
        <v>836437518.8394345</v>
      </c>
      <c r="CJ9" s="19">
        <f>'D2C Online'!DH4</f>
        <v>717089142.7159431</v>
      </c>
      <c r="CK9" s="19">
        <f>'D2C Online'!DI4</f>
        <v>774876546.15825355</v>
      </c>
      <c r="CL9" s="19">
        <f>'D2C Online'!DJ4</f>
        <v>727655968.98975968</v>
      </c>
      <c r="CM9" s="19">
        <f>'D2C Online'!DK4</f>
        <v>735061802.09781563</v>
      </c>
      <c r="CN9" s="19">
        <f>'D2C Online'!DL4</f>
        <v>734535944.125646</v>
      </c>
      <c r="CO9" s="19">
        <f>'D2C Online'!DM4</f>
        <v>745622783.03888953</v>
      </c>
      <c r="CP9" s="19">
        <f>'D2C Online'!DN4</f>
        <v>702590072.31633937</v>
      </c>
      <c r="CQ9" s="19">
        <f>'D2C Online'!DO4</f>
        <v>768585247.82363105</v>
      </c>
      <c r="CR9" s="19">
        <f>'D2C Online'!DP4</f>
        <v>747331821.44844079</v>
      </c>
      <c r="CS9" s="19">
        <f>'D2C Online'!DQ4</f>
        <v>749084681.35567296</v>
      </c>
      <c r="CT9" s="19">
        <f>'D2C Online'!DR4</f>
        <v>919506485.83632195</v>
      </c>
      <c r="CU9" s="19">
        <f>'D2C Online'!DS4</f>
        <v>990760241.06531012</v>
      </c>
      <c r="CV9" s="19">
        <f>'D2C Online'!DT4</f>
        <v>849392089.5470345</v>
      </c>
      <c r="CW9" s="19">
        <f>'D2C Online'!DU4</f>
        <v>917841268.92445123</v>
      </c>
      <c r="CY9" s="19">
        <f t="shared" si="3"/>
        <v>707790228.1534456</v>
      </c>
      <c r="CZ9" s="19">
        <f t="shared" si="4"/>
        <v>697011216.43209231</v>
      </c>
      <c r="DA9" s="19">
        <f t="shared" si="5"/>
        <v>963021300.80650187</v>
      </c>
      <c r="DB9" s="19">
        <f t="shared" si="6"/>
        <v>788477747.16883433</v>
      </c>
      <c r="DC9" s="19">
        <f t="shared" si="7"/>
        <v>879092352.05841112</v>
      </c>
      <c r="DD9" s="19">
        <f t="shared" si="8"/>
        <v>957539852.43231881</v>
      </c>
      <c r="DE9" s="19">
        <f t="shared" si="9"/>
        <v>969707517.18022108</v>
      </c>
      <c r="DF9" s="19">
        <f t="shared" si="10"/>
        <v>1278506933.3795083</v>
      </c>
      <c r="DG9" s="19">
        <f t="shared" si="11"/>
        <v>1385390286.3808188</v>
      </c>
      <c r="DH9" s="19">
        <f t="shared" si="12"/>
        <v>1339889206.1941614</v>
      </c>
      <c r="DI9" s="19">
        <f t="shared" si="13"/>
        <v>1440895273.2430916</v>
      </c>
      <c r="DJ9" s="19">
        <f t="shared" si="14"/>
        <v>1603102339.4098477</v>
      </c>
      <c r="DK9" s="19">
        <f t="shared" si="15"/>
        <v>1566066059.1976755</v>
      </c>
      <c r="DL9" s="19">
        <f t="shared" si="16"/>
        <v>1579996085.7707825</v>
      </c>
      <c r="DM9" s="19">
        <f t="shared" si="17"/>
        <v>1721919943.9506001</v>
      </c>
      <c r="DN9" s="19">
        <f t="shared" si="18"/>
        <v>1965726642.2234118</v>
      </c>
      <c r="DO9" s="19">
        <f t="shared" si="19"/>
        <v>1855005247.1196465</v>
      </c>
      <c r="DP9" s="19">
        <f t="shared" si="20"/>
        <v>1871505363.5954919</v>
      </c>
      <c r="DQ9" s="19">
        <f t="shared" si="21"/>
        <v>2039614173.6094856</v>
      </c>
      <c r="DR9" s="19">
        <f t="shared" si="22"/>
        <v>2328403207.7136312</v>
      </c>
      <c r="DS9" s="19">
        <f t="shared" si="23"/>
        <v>2197253715.2132215</v>
      </c>
      <c r="DT9" s="19">
        <f t="shared" si="24"/>
        <v>2216798103.1788597</v>
      </c>
      <c r="DU9" s="19">
        <f t="shared" si="25"/>
        <v>2415922988.6404357</v>
      </c>
      <c r="DV9" s="19">
        <f t="shared" si="26"/>
        <v>2757993599.5367961</v>
      </c>
      <c r="DX9" s="19">
        <f t="shared" si="27"/>
        <v>3156300492.560874</v>
      </c>
      <c r="DY9" s="19">
        <f t="shared" si="28"/>
        <v>4084846655.0504589</v>
      </c>
      <c r="DZ9" s="19">
        <f t="shared" si="29"/>
        <v>5769277105.2279196</v>
      </c>
      <c r="EA9" s="19">
        <f t="shared" si="30"/>
        <v>6833708731.1424694</v>
      </c>
      <c r="EB9" s="19">
        <f t="shared" si="31"/>
        <v>8094527992.0382557</v>
      </c>
      <c r="EC9" s="770">
        <f t="shared" si="32"/>
        <v>9587968406.569313</v>
      </c>
    </row>
    <row r="10" spans="2:133" x14ac:dyDescent="0.2">
      <c r="B10" s="155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X10" s="19"/>
      <c r="DY10" s="19"/>
      <c r="DZ10" s="19"/>
      <c r="EA10" s="19"/>
      <c r="EB10" s="19"/>
      <c r="EC10" s="770"/>
    </row>
    <row r="11" spans="2:133" x14ac:dyDescent="0.2">
      <c r="B11" s="176" t="s">
        <v>5</v>
      </c>
      <c r="C11" s="158">
        <f>C12+C13</f>
        <v>2345</v>
      </c>
      <c r="D11" s="158">
        <f t="shared" ref="D11:BO11" si="33">D12+D13</f>
        <v>2682</v>
      </c>
      <c r="E11" s="158">
        <f t="shared" si="33"/>
        <v>3500</v>
      </c>
      <c r="F11" s="158">
        <f t="shared" si="33"/>
        <v>2126</v>
      </c>
      <c r="G11" s="158">
        <f t="shared" si="33"/>
        <v>345</v>
      </c>
      <c r="H11" s="158">
        <f t="shared" si="33"/>
        <v>1646</v>
      </c>
      <c r="I11" s="158">
        <f t="shared" si="33"/>
        <v>2368</v>
      </c>
      <c r="J11" s="158">
        <f t="shared" si="33"/>
        <v>2959</v>
      </c>
      <c r="K11" s="158">
        <f t="shared" si="33"/>
        <v>4104</v>
      </c>
      <c r="L11" s="158">
        <f t="shared" si="33"/>
        <v>4299</v>
      </c>
      <c r="M11" s="158">
        <f t="shared" si="33"/>
        <v>6430</v>
      </c>
      <c r="N11" s="158">
        <f t="shared" si="33"/>
        <v>7964</v>
      </c>
      <c r="O11" s="158">
        <f t="shared" si="33"/>
        <v>8454</v>
      </c>
      <c r="P11" s="158">
        <f t="shared" si="33"/>
        <v>8677</v>
      </c>
      <c r="Q11" s="158">
        <f t="shared" si="33"/>
        <v>9393</v>
      </c>
      <c r="R11" s="158">
        <f t="shared" si="33"/>
        <v>8013</v>
      </c>
      <c r="S11" s="158">
        <f t="shared" si="33"/>
        <v>10200</v>
      </c>
      <c r="T11" s="158">
        <f t="shared" si="33"/>
        <v>11937</v>
      </c>
      <c r="U11" s="158">
        <f t="shared" si="33"/>
        <v>12831</v>
      </c>
      <c r="V11" s="158">
        <f t="shared" si="33"/>
        <v>13077</v>
      </c>
      <c r="W11" s="158">
        <f t="shared" si="33"/>
        <v>13508</v>
      </c>
      <c r="X11" s="158">
        <f t="shared" si="33"/>
        <v>14203</v>
      </c>
      <c r="Y11" s="158">
        <f t="shared" si="33"/>
        <v>12765</v>
      </c>
      <c r="Z11" s="158">
        <f t="shared" si="33"/>
        <v>14459</v>
      </c>
      <c r="AA11" s="158">
        <f t="shared" si="33"/>
        <v>14802</v>
      </c>
      <c r="AB11" s="158">
        <f t="shared" si="33"/>
        <v>15333</v>
      </c>
      <c r="AC11" s="158">
        <f t="shared" si="33"/>
        <v>21063</v>
      </c>
      <c r="AD11" s="158">
        <f t="shared" si="33"/>
        <v>23391</v>
      </c>
      <c r="AE11" s="158">
        <f t="shared" si="33"/>
        <v>24994</v>
      </c>
      <c r="AF11" s="158">
        <f t="shared" si="33"/>
        <v>27279</v>
      </c>
      <c r="AG11" s="158">
        <f t="shared" si="33"/>
        <v>23751</v>
      </c>
      <c r="AH11" s="158">
        <f t="shared" si="33"/>
        <v>24261</v>
      </c>
      <c r="AI11" s="158">
        <f t="shared" si="33"/>
        <v>24523</v>
      </c>
      <c r="AJ11" s="158">
        <f t="shared" si="33"/>
        <v>30333</v>
      </c>
      <c r="AK11" s="158">
        <f t="shared" si="33"/>
        <v>26836</v>
      </c>
      <c r="AL11" s="158">
        <f t="shared" si="33"/>
        <v>23692</v>
      </c>
      <c r="AM11" s="158">
        <f t="shared" si="33"/>
        <v>22858</v>
      </c>
      <c r="AN11" s="158">
        <f t="shared" si="33"/>
        <v>19106</v>
      </c>
      <c r="AO11" s="158">
        <f t="shared" si="33"/>
        <v>23971</v>
      </c>
      <c r="AP11" s="158">
        <f t="shared" si="33"/>
        <v>24485</v>
      </c>
      <c r="AQ11" s="158">
        <f t="shared" si="33"/>
        <v>24634</v>
      </c>
      <c r="AR11" s="158">
        <f t="shared" si="33"/>
        <v>25922</v>
      </c>
      <c r="AS11" s="158">
        <f t="shared" si="33"/>
        <v>25947</v>
      </c>
      <c r="AT11" s="158">
        <f t="shared" si="33"/>
        <v>22878</v>
      </c>
      <c r="AU11" s="158">
        <f t="shared" si="33"/>
        <v>21668</v>
      </c>
      <c r="AV11" s="158">
        <f t="shared" si="33"/>
        <v>23307</v>
      </c>
      <c r="AW11" s="158">
        <f t="shared" si="33"/>
        <v>22033</v>
      </c>
      <c r="AX11" s="158">
        <f t="shared" si="33"/>
        <v>25744</v>
      </c>
      <c r="AY11" s="158">
        <f t="shared" si="33"/>
        <v>27904</v>
      </c>
      <c r="AZ11" s="158">
        <f t="shared" si="33"/>
        <v>27076</v>
      </c>
      <c r="BA11" s="158">
        <f t="shared" si="33"/>
        <v>34434</v>
      </c>
      <c r="BB11" s="158">
        <f t="shared" si="33"/>
        <v>31933</v>
      </c>
      <c r="BC11" s="158">
        <f t="shared" si="33"/>
        <v>32026</v>
      </c>
      <c r="BD11" s="158">
        <f t="shared" si="33"/>
        <v>32093</v>
      </c>
      <c r="BE11" s="158">
        <f t="shared" si="33"/>
        <v>34010</v>
      </c>
      <c r="BF11" s="158">
        <f t="shared" si="33"/>
        <v>30796</v>
      </c>
      <c r="BG11" s="158">
        <f t="shared" si="33"/>
        <v>31183</v>
      </c>
      <c r="BH11" s="158">
        <f t="shared" si="33"/>
        <v>34536</v>
      </c>
      <c r="BI11" s="158">
        <f t="shared" si="33"/>
        <v>32955</v>
      </c>
      <c r="BJ11" s="158">
        <f t="shared" si="33"/>
        <v>40798</v>
      </c>
      <c r="BK11" s="158">
        <f t="shared" si="33"/>
        <v>43817</v>
      </c>
      <c r="BL11" s="158">
        <f t="shared" si="33"/>
        <v>39528</v>
      </c>
      <c r="BM11" s="158">
        <f t="shared" si="33"/>
        <v>44567</v>
      </c>
      <c r="BN11" s="158">
        <f t="shared" si="33"/>
        <v>39913.506521739131</v>
      </c>
      <c r="BO11" s="158">
        <f t="shared" si="33"/>
        <v>39626.1</v>
      </c>
      <c r="BP11" s="158">
        <f t="shared" ref="BP11:CK11" si="34">BP12+BP13</f>
        <v>39544.199740932643</v>
      </c>
      <c r="BQ11" s="158">
        <f t="shared" si="34"/>
        <v>41647.875</v>
      </c>
      <c r="BR11" s="158">
        <f t="shared" si="34"/>
        <v>37952.088071065984</v>
      </c>
      <c r="BS11" s="158">
        <f t="shared" si="34"/>
        <v>38131.055970149246</v>
      </c>
      <c r="BT11" s="158">
        <f t="shared" si="34"/>
        <v>42467.24411764706</v>
      </c>
      <c r="BU11" s="158">
        <f t="shared" si="34"/>
        <v>40536.591951219511</v>
      </c>
      <c r="BV11" s="158">
        <f t="shared" si="34"/>
        <v>49311.240887850465</v>
      </c>
      <c r="BW11" s="158">
        <f t="shared" si="34"/>
        <v>51831.693999999996</v>
      </c>
      <c r="BX11" s="158">
        <f t="shared" si="34"/>
        <v>46154.526923076919</v>
      </c>
      <c r="BY11" s="158">
        <f t="shared" si="34"/>
        <v>52134.137341772148</v>
      </c>
      <c r="BZ11" s="158">
        <f t="shared" si="34"/>
        <v>46757.734239130434</v>
      </c>
      <c r="CA11" s="158">
        <f t="shared" si="34"/>
        <v>46472.424999999996</v>
      </c>
      <c r="CB11" s="158">
        <f t="shared" si="34"/>
        <v>46251.514753886004</v>
      </c>
      <c r="CC11" s="158">
        <f t="shared" si="34"/>
        <v>48715.193749999999</v>
      </c>
      <c r="CD11" s="158">
        <f t="shared" si="34"/>
        <v>44337.338439086292</v>
      </c>
      <c r="CE11" s="158">
        <f t="shared" si="34"/>
        <v>44449.42123134328</v>
      </c>
      <c r="CF11" s="158">
        <f t="shared" si="34"/>
        <v>49480.694044117641</v>
      </c>
      <c r="CG11" s="158">
        <f t="shared" si="34"/>
        <v>47088.268499999998</v>
      </c>
      <c r="CH11" s="158">
        <f t="shared" si="34"/>
        <v>57150.292266355144</v>
      </c>
      <c r="CI11" s="158">
        <f t="shared" si="34"/>
        <v>59933.051300000006</v>
      </c>
      <c r="CJ11" s="158">
        <f t="shared" si="34"/>
        <v>53253.974711538453</v>
      </c>
      <c r="CK11" s="158">
        <f t="shared" si="34"/>
        <v>59786.810854430376</v>
      </c>
      <c r="CL11" s="158">
        <f t="shared" ref="CL11:CW11" si="35">CL12+CL13</f>
        <v>53606.076896739134</v>
      </c>
      <c r="CM11" s="158">
        <f t="shared" si="35"/>
        <v>53256.45175</v>
      </c>
      <c r="CN11" s="158">
        <f t="shared" si="35"/>
        <v>52987.814074481867</v>
      </c>
      <c r="CO11" s="158">
        <f t="shared" si="35"/>
        <v>55785.894687500004</v>
      </c>
      <c r="CP11" s="158">
        <f t="shared" si="35"/>
        <v>50756.602245558373</v>
      </c>
      <c r="CQ11" s="158">
        <f t="shared" si="35"/>
        <v>50877.351669776122</v>
      </c>
      <c r="CR11" s="158">
        <f t="shared" si="35"/>
        <v>56591.014393382357</v>
      </c>
      <c r="CS11" s="158">
        <f t="shared" si="35"/>
        <v>53852.954464024384</v>
      </c>
      <c r="CT11" s="158">
        <f t="shared" si="35"/>
        <v>65355.332671728975</v>
      </c>
      <c r="CU11" s="158">
        <f t="shared" si="35"/>
        <v>68538.507954999994</v>
      </c>
      <c r="CV11" s="158">
        <f t="shared" si="35"/>
        <v>60871.906543269215</v>
      </c>
      <c r="CW11" s="158">
        <f t="shared" si="35"/>
        <v>68315.283874999994</v>
      </c>
      <c r="CY11" s="158">
        <f t="shared" si="3"/>
        <v>75664</v>
      </c>
      <c r="CZ11" s="158">
        <f t="shared" si="4"/>
        <v>72535</v>
      </c>
      <c r="DA11" s="158">
        <f t="shared" si="5"/>
        <v>80861</v>
      </c>
      <c r="DB11" s="158">
        <f t="shared" si="6"/>
        <v>65935</v>
      </c>
      <c r="DC11" s="158">
        <f t="shared" si="7"/>
        <v>75041</v>
      </c>
      <c r="DD11" s="158">
        <f t="shared" si="8"/>
        <v>70493</v>
      </c>
      <c r="DE11" s="158">
        <f t="shared" si="9"/>
        <v>71084</v>
      </c>
      <c r="DF11" s="158">
        <f t="shared" si="10"/>
        <v>89414</v>
      </c>
      <c r="DG11" s="158">
        <f t="shared" si="11"/>
        <v>96052</v>
      </c>
      <c r="DH11" s="158">
        <f t="shared" si="12"/>
        <v>95989</v>
      </c>
      <c r="DI11" s="158">
        <f t="shared" si="13"/>
        <v>108289</v>
      </c>
      <c r="DJ11" s="158">
        <f t="shared" si="14"/>
        <v>127912</v>
      </c>
      <c r="DK11" s="158">
        <f t="shared" si="15"/>
        <v>119083.80626267177</v>
      </c>
      <c r="DL11" s="158">
        <f t="shared" si="16"/>
        <v>117731.01904121523</v>
      </c>
      <c r="DM11" s="158">
        <f t="shared" si="17"/>
        <v>132315.07695671704</v>
      </c>
      <c r="DN11" s="158">
        <f t="shared" si="18"/>
        <v>150120.35826484906</v>
      </c>
      <c r="DO11" s="158">
        <f t="shared" si="19"/>
        <v>139481.67399301642</v>
      </c>
      <c r="DP11" s="158">
        <f t="shared" si="20"/>
        <v>137501.95342042955</v>
      </c>
      <c r="DQ11" s="158">
        <f t="shared" si="21"/>
        <v>153719.25481047278</v>
      </c>
      <c r="DR11" s="158">
        <f t="shared" si="22"/>
        <v>172973.83686596883</v>
      </c>
      <c r="DS11" s="158">
        <f t="shared" si="23"/>
        <v>159850.34272122101</v>
      </c>
      <c r="DT11" s="158">
        <f t="shared" si="24"/>
        <v>157419.84860283451</v>
      </c>
      <c r="DU11" s="158">
        <f t="shared" si="25"/>
        <v>175799.30152913573</v>
      </c>
      <c r="DV11" s="158">
        <f t="shared" si="26"/>
        <v>197725.6983732692</v>
      </c>
      <c r="DX11" s="158">
        <f t="shared" si="27"/>
        <v>294995</v>
      </c>
      <c r="DY11" s="158">
        <f t="shared" si="28"/>
        <v>306032</v>
      </c>
      <c r="DZ11" s="158">
        <f t="shared" si="29"/>
        <v>428242</v>
      </c>
      <c r="EA11" s="158">
        <f t="shared" si="30"/>
        <v>519250.26052545314</v>
      </c>
      <c r="EB11" s="158">
        <f t="shared" si="31"/>
        <v>603676.71908988757</v>
      </c>
      <c r="EC11" s="780">
        <f t="shared" si="32"/>
        <v>690795.19122646051</v>
      </c>
    </row>
    <row r="12" spans="2:133" x14ac:dyDescent="0.2">
      <c r="B12" s="155" t="s">
        <v>229</v>
      </c>
      <c r="C12" s="19">
        <f>'D2C - Retail'!J13</f>
        <v>2095</v>
      </c>
      <c r="D12" s="19">
        <f>'D2C - Retail'!K13</f>
        <v>2427</v>
      </c>
      <c r="E12" s="19">
        <f>'D2C - Retail'!L13</f>
        <v>3136</v>
      </c>
      <c r="F12" s="19">
        <f>'D2C - Retail'!M13</f>
        <v>1808</v>
      </c>
      <c r="G12" s="19">
        <f>'D2C - Retail'!N13</f>
        <v>52</v>
      </c>
      <c r="H12" s="19">
        <f>'D2C - Retail'!O13</f>
        <v>1290</v>
      </c>
      <c r="I12" s="19">
        <f>'D2C - Retail'!P13</f>
        <v>1959</v>
      </c>
      <c r="J12" s="19">
        <f>'D2C - Retail'!Q13</f>
        <v>2540</v>
      </c>
      <c r="K12" s="19">
        <f>'D2C - Retail'!R13</f>
        <v>3673</v>
      </c>
      <c r="L12" s="19">
        <f>'D2C - Retail'!S13</f>
        <v>4009</v>
      </c>
      <c r="M12" s="19">
        <f>'D2C - Retail'!T13</f>
        <v>5579</v>
      </c>
      <c r="N12" s="19">
        <f>'D2C - Retail'!U13</f>
        <v>6925</v>
      </c>
      <c r="O12" s="19">
        <f>'D2C - Retail'!V13</f>
        <v>6865</v>
      </c>
      <c r="P12" s="19">
        <f>'D2C - Retail'!W13</f>
        <v>6978</v>
      </c>
      <c r="Q12" s="19">
        <f>'D2C - Retail'!X13</f>
        <v>7566</v>
      </c>
      <c r="R12" s="19">
        <f>'D2C - Retail'!Y13</f>
        <v>6552</v>
      </c>
      <c r="S12" s="19">
        <f>'D2C - Retail'!Z13</f>
        <v>8769</v>
      </c>
      <c r="T12" s="19">
        <f>'D2C - Retail'!AA13</f>
        <v>9095</v>
      </c>
      <c r="U12" s="19">
        <f>'D2C - Retail'!AB13</f>
        <v>9732</v>
      </c>
      <c r="V12" s="19">
        <f>'D2C - Retail'!AC13</f>
        <v>10287</v>
      </c>
      <c r="W12" s="19">
        <f>'D2C - Retail'!AD13</f>
        <v>10390</v>
      </c>
      <c r="X12" s="19">
        <f>'D2C - Retail'!AE13</f>
        <v>10594</v>
      </c>
      <c r="Y12" s="19">
        <f>'D2C - Retail'!AF13</f>
        <v>10187</v>
      </c>
      <c r="Z12" s="19">
        <f>'D2C - Retail'!AG13</f>
        <v>11572</v>
      </c>
      <c r="AA12" s="19">
        <f>'D2C - Retail'!AH13</f>
        <v>11976</v>
      </c>
      <c r="AB12" s="19">
        <f>'D2C - Retail'!AI13</f>
        <v>11023</v>
      </c>
      <c r="AC12" s="19">
        <f>'D2C - Retail'!AJ13</f>
        <v>12932</v>
      </c>
      <c r="AD12" s="19">
        <f>'D2C - Retail'!AK13</f>
        <v>13201</v>
      </c>
      <c r="AE12" s="19">
        <f>'D2C - Retail'!AL13</f>
        <v>14628</v>
      </c>
      <c r="AF12" s="19">
        <f>'D2C - Retail'!AM13</f>
        <v>14693</v>
      </c>
      <c r="AG12" s="19">
        <f>'D2C - Retail'!AN13</f>
        <v>13222</v>
      </c>
      <c r="AH12" s="19">
        <f>'D2C - Retail'!AO13</f>
        <v>13379</v>
      </c>
      <c r="AI12" s="19">
        <f>'D2C - Retail'!AP13</f>
        <v>12636</v>
      </c>
      <c r="AJ12" s="19">
        <f>'D2C - Retail'!AQ13</f>
        <v>15254</v>
      </c>
      <c r="AK12" s="19">
        <f>'D2C - Retail'!AR13</f>
        <v>13790</v>
      </c>
      <c r="AL12" s="19">
        <f>'D2C - Retail'!AS13</f>
        <v>12255</v>
      </c>
      <c r="AM12" s="19">
        <f>'D2C - Retail'!AT13</f>
        <v>11040</v>
      </c>
      <c r="AN12" s="19">
        <f>'D2C - Retail'!AU13</f>
        <v>9729</v>
      </c>
      <c r="AO12" s="19">
        <f>'D2C - Retail'!AV13</f>
        <v>12176</v>
      </c>
      <c r="AP12" s="19">
        <f>'D2C - Retail'!AW13</f>
        <v>12948</v>
      </c>
      <c r="AQ12" s="19">
        <f>'D2C - Retail'!AX13</f>
        <v>12532</v>
      </c>
      <c r="AR12" s="19">
        <f>'D2C - Retail'!AY13</f>
        <v>13565</v>
      </c>
      <c r="AS12" s="19">
        <f>'D2C - Retail'!AZ13</f>
        <v>12910</v>
      </c>
      <c r="AT12" s="19">
        <f>'D2C - Retail'!BA13</f>
        <v>10609</v>
      </c>
      <c r="AU12" s="19">
        <f>'D2C - Retail'!BB13</f>
        <v>9299</v>
      </c>
      <c r="AV12" s="19">
        <f>'D2C - Retail'!BC13</f>
        <v>11327</v>
      </c>
      <c r="AW12" s="19">
        <f>'D2C - Retail'!BD13</f>
        <v>11093</v>
      </c>
      <c r="AX12" s="19">
        <f>'D2C - Retail'!BE13</f>
        <v>13078</v>
      </c>
      <c r="AY12" s="19">
        <f>'D2C - Retail'!BF13</f>
        <v>13361</v>
      </c>
      <c r="AZ12" s="19">
        <f>'D2C - Retail'!BG13</f>
        <v>12631</v>
      </c>
      <c r="BA12" s="19">
        <f>'D2C - Retail'!BH13</f>
        <v>15511</v>
      </c>
      <c r="BB12" s="19">
        <f>'D2C - Retail'!BI13</f>
        <v>15328</v>
      </c>
      <c r="BC12" s="19">
        <f>'D2C - Retail'!BJ13</f>
        <v>15252</v>
      </c>
      <c r="BD12" s="19">
        <f>'D2C - Retail'!BK13</f>
        <v>15331</v>
      </c>
      <c r="BE12" s="19">
        <f>'D2C - Retail'!BL13</f>
        <v>16995</v>
      </c>
      <c r="BF12" s="19">
        <f>'D2C - Retail'!BM13</f>
        <v>14763</v>
      </c>
      <c r="BG12" s="19">
        <f>'D2C - Retail'!BN13</f>
        <v>13644</v>
      </c>
      <c r="BH12" s="19">
        <f>'D2C - Retail'!BO13</f>
        <v>17482</v>
      </c>
      <c r="BI12" s="19">
        <f>'D2C - Retail'!BP13</f>
        <v>15861</v>
      </c>
      <c r="BJ12" s="19">
        <f>'D2C - Retail'!BQ13</f>
        <v>19815</v>
      </c>
      <c r="BK12" s="19">
        <f>'D2C - Retail'!BR13</f>
        <v>21208</v>
      </c>
      <c r="BL12" s="19">
        <f>'D2C - Retail'!BS13</f>
        <v>20145</v>
      </c>
      <c r="BM12" s="19">
        <f>'D2C - Retail'!BT13</f>
        <v>23622</v>
      </c>
      <c r="BN12" s="19">
        <f>'D2C - Retail'!BU13</f>
        <v>20817.756521739131</v>
      </c>
      <c r="BO12" s="19">
        <f>'D2C - Retail'!BV13</f>
        <v>20336</v>
      </c>
      <c r="BP12" s="19">
        <f>'D2C - Retail'!BW13</f>
        <v>20267.89974093264</v>
      </c>
      <c r="BQ12" s="19">
        <f>'D2C - Retail'!BX13</f>
        <v>22080.624999999996</v>
      </c>
      <c r="BR12" s="19">
        <f>'D2C - Retail'!BY13</f>
        <v>19514.138071065987</v>
      </c>
      <c r="BS12" s="19">
        <f>'D2C - Retail'!BZ13</f>
        <v>17961.205970149251</v>
      </c>
      <c r="BT12" s="19">
        <f>'D2C - Retail'!CA13</f>
        <v>22855.144117647058</v>
      </c>
      <c r="BU12" s="19">
        <f>'D2C - Retail'!CB13</f>
        <v>20878.491951219512</v>
      </c>
      <c r="BV12" s="19">
        <f>'D2C - Retail'!CC13</f>
        <v>25180.790887850464</v>
      </c>
      <c r="BW12" s="19">
        <f>'D2C - Retail'!CD13</f>
        <v>25831.343999999997</v>
      </c>
      <c r="BX12" s="19">
        <f>'D2C - Retail'!CE13</f>
        <v>23864.076923076922</v>
      </c>
      <c r="BY12" s="19">
        <f>'D2C - Retail'!CF13</f>
        <v>28047.387341772155</v>
      </c>
      <c r="BZ12" s="19">
        <f>'D2C - Retail'!CG13</f>
        <v>24797.621739130434</v>
      </c>
      <c r="CA12" s="19">
        <f>'D2C - Retail'!CH13</f>
        <v>24288.809999999998</v>
      </c>
      <c r="CB12" s="19">
        <f>'D2C - Retail'!CI13</f>
        <v>24083.769753886008</v>
      </c>
      <c r="CC12" s="19">
        <f>'D2C - Retail'!CJ13</f>
        <v>26212.856250000001</v>
      </c>
      <c r="CD12" s="19">
        <f>'D2C - Retail'!CK13</f>
        <v>23133.695939086298</v>
      </c>
      <c r="CE12" s="19">
        <f>'D2C - Retail'!CL13</f>
        <v>21254.093731343288</v>
      </c>
      <c r="CF12" s="19">
        <f>'D2C - Retail'!CM13</f>
        <v>26926.779044117648</v>
      </c>
      <c r="CG12" s="19">
        <f>'D2C - Retail'!CN13</f>
        <v>24481.453500000003</v>
      </c>
      <c r="CH12" s="19">
        <f>'D2C - Retail'!CO13</f>
        <v>29400.274766355145</v>
      </c>
      <c r="CI12" s="19">
        <f>'D2C - Retail'!CP13</f>
        <v>30032.648800000006</v>
      </c>
      <c r="CJ12" s="19">
        <f>'D2C - Retail'!CQ13</f>
        <v>27619.957211538462</v>
      </c>
      <c r="CK12" s="19">
        <f>'D2C - Retail'!CR13</f>
        <v>32087.048354430382</v>
      </c>
      <c r="CL12" s="19">
        <f>'D2C - Retail'!CS13</f>
        <v>28351.947521739137</v>
      </c>
      <c r="CM12" s="19">
        <f>'D2C - Retail'!CT13</f>
        <v>27745.294500000004</v>
      </c>
      <c r="CN12" s="19">
        <f>'D2C - Retail'!CU13</f>
        <v>27494.907324481868</v>
      </c>
      <c r="CO12" s="19">
        <f>'D2C - Retail'!CV13</f>
        <v>29908.206562500007</v>
      </c>
      <c r="CP12" s="19">
        <f>'D2C - Retail'!CW13</f>
        <v>26372.413370558381</v>
      </c>
      <c r="CQ12" s="19">
        <f>'D2C - Retail'!CX13</f>
        <v>24202.725044776125</v>
      </c>
      <c r="CR12" s="19">
        <f>'D2C - Retail'!CY13</f>
        <v>30654.012143382359</v>
      </c>
      <c r="CS12" s="19">
        <f>'D2C - Retail'!CZ13</f>
        <v>27855.117214024394</v>
      </c>
      <c r="CT12" s="19">
        <f>'D2C - Retail'!DA13</f>
        <v>33442.812546728979</v>
      </c>
      <c r="CU12" s="19">
        <f>'D2C - Retail'!DB13</f>
        <v>34153.045080000004</v>
      </c>
      <c r="CV12" s="19">
        <f>'D2C - Retail'!DC13</f>
        <v>31392.786418269228</v>
      </c>
      <c r="CW12" s="19">
        <f>'D2C - Retail'!DD13</f>
        <v>36460.557000000008</v>
      </c>
      <c r="CY12" s="19">
        <f t="shared" si="3"/>
        <v>42522</v>
      </c>
      <c r="CZ12" s="19">
        <f t="shared" si="4"/>
        <v>39237</v>
      </c>
      <c r="DA12" s="19">
        <f t="shared" si="5"/>
        <v>41299</v>
      </c>
      <c r="DB12" s="19">
        <f t="shared" si="6"/>
        <v>32945</v>
      </c>
      <c r="DC12" s="19">
        <f t="shared" si="7"/>
        <v>39045</v>
      </c>
      <c r="DD12" s="19">
        <f t="shared" si="8"/>
        <v>32818</v>
      </c>
      <c r="DE12" s="19">
        <f t="shared" si="9"/>
        <v>35498</v>
      </c>
      <c r="DF12" s="19">
        <f t="shared" si="10"/>
        <v>41503</v>
      </c>
      <c r="DG12" s="19">
        <f t="shared" si="11"/>
        <v>45911</v>
      </c>
      <c r="DH12" s="19">
        <f t="shared" si="12"/>
        <v>45402</v>
      </c>
      <c r="DI12" s="19">
        <f t="shared" si="13"/>
        <v>53158</v>
      </c>
      <c r="DJ12" s="19">
        <f t="shared" si="14"/>
        <v>64975</v>
      </c>
      <c r="DK12" s="19">
        <f t="shared" si="15"/>
        <v>61421.656262671771</v>
      </c>
      <c r="DL12" s="19">
        <f t="shared" si="16"/>
        <v>59555.969041215241</v>
      </c>
      <c r="DM12" s="19">
        <f t="shared" si="17"/>
        <v>68914.426956717041</v>
      </c>
      <c r="DN12" s="19">
        <f t="shared" si="18"/>
        <v>77742.808264849067</v>
      </c>
      <c r="DO12" s="19">
        <f t="shared" si="19"/>
        <v>73170.201493016444</v>
      </c>
      <c r="DP12" s="19">
        <f t="shared" si="20"/>
        <v>70600.645920429582</v>
      </c>
      <c r="DQ12" s="19">
        <f t="shared" si="21"/>
        <v>80808.507310472793</v>
      </c>
      <c r="DR12" s="19">
        <f t="shared" si="22"/>
        <v>89739.654365968847</v>
      </c>
      <c r="DS12" s="19">
        <f t="shared" si="23"/>
        <v>83592.149346221006</v>
      </c>
      <c r="DT12" s="19">
        <f t="shared" si="24"/>
        <v>80483.344977834524</v>
      </c>
      <c r="DU12" s="19">
        <f t="shared" si="25"/>
        <v>91951.941904135732</v>
      </c>
      <c r="DV12" s="19">
        <f t="shared" si="26"/>
        <v>102006.38849826923</v>
      </c>
      <c r="DX12" s="19">
        <f t="shared" si="27"/>
        <v>156003</v>
      </c>
      <c r="DY12" s="19">
        <f t="shared" si="28"/>
        <v>148864</v>
      </c>
      <c r="DZ12" s="19">
        <f t="shared" si="29"/>
        <v>209446</v>
      </c>
      <c r="EA12" s="19">
        <f t="shared" si="30"/>
        <v>267634.86052545311</v>
      </c>
      <c r="EB12" s="19">
        <f t="shared" si="31"/>
        <v>314319.00908988767</v>
      </c>
      <c r="EC12" s="770">
        <f t="shared" si="32"/>
        <v>358033.8247264605</v>
      </c>
    </row>
    <row r="13" spans="2:133" x14ac:dyDescent="0.2">
      <c r="B13" s="155" t="s">
        <v>237</v>
      </c>
      <c r="C13" s="19">
        <f>'D2C Online'!AA12</f>
        <v>250</v>
      </c>
      <c r="D13" s="19">
        <f>'D2C Online'!AB12</f>
        <v>255</v>
      </c>
      <c r="E13" s="19">
        <f>'D2C Online'!AC12</f>
        <v>364</v>
      </c>
      <c r="F13" s="19">
        <f>'D2C Online'!AD12</f>
        <v>318</v>
      </c>
      <c r="G13" s="19">
        <f>'D2C Online'!AE12</f>
        <v>293</v>
      </c>
      <c r="H13" s="19">
        <f>'D2C Online'!AF12</f>
        <v>356</v>
      </c>
      <c r="I13" s="19">
        <f>'D2C Online'!AG12</f>
        <v>409</v>
      </c>
      <c r="J13" s="19">
        <f>'D2C Online'!AH12</f>
        <v>419</v>
      </c>
      <c r="K13" s="19">
        <f>'D2C Online'!AI12</f>
        <v>431</v>
      </c>
      <c r="L13" s="19">
        <f>'D2C Online'!AJ12</f>
        <v>290</v>
      </c>
      <c r="M13" s="19">
        <f>'D2C Online'!AK12</f>
        <v>851</v>
      </c>
      <c r="N13" s="19">
        <f>'D2C Online'!AL12</f>
        <v>1039</v>
      </c>
      <c r="O13" s="19">
        <f>'D2C Online'!AM12</f>
        <v>1589</v>
      </c>
      <c r="P13" s="19">
        <f>'D2C Online'!AN12</f>
        <v>1699</v>
      </c>
      <c r="Q13" s="19">
        <f>'D2C Online'!AO12</f>
        <v>1827</v>
      </c>
      <c r="R13" s="19">
        <f>'D2C Online'!AP12</f>
        <v>1461</v>
      </c>
      <c r="S13" s="19">
        <f>'D2C Online'!AQ12</f>
        <v>1431</v>
      </c>
      <c r="T13" s="19">
        <f>'D2C Online'!AR12</f>
        <v>2842</v>
      </c>
      <c r="U13" s="19">
        <f>'D2C Online'!AS12</f>
        <v>3099</v>
      </c>
      <c r="V13" s="19">
        <f>'D2C Online'!AT12</f>
        <v>2790</v>
      </c>
      <c r="W13" s="19">
        <f>'D2C Online'!AU12</f>
        <v>3118</v>
      </c>
      <c r="X13" s="19">
        <f>'D2C Online'!AV12</f>
        <v>3609</v>
      </c>
      <c r="Y13" s="19">
        <f>'D2C Online'!AW12</f>
        <v>2578</v>
      </c>
      <c r="Z13" s="19">
        <f>'D2C Online'!AX12</f>
        <v>2887</v>
      </c>
      <c r="AA13" s="19">
        <f>'D2C Online'!AY12</f>
        <v>2826</v>
      </c>
      <c r="AB13" s="19">
        <f>'D2C Online'!AZ12</f>
        <v>4310</v>
      </c>
      <c r="AC13" s="19">
        <f>'D2C Online'!BA12</f>
        <v>8131</v>
      </c>
      <c r="AD13" s="19">
        <f>'D2C Online'!BB12</f>
        <v>10190</v>
      </c>
      <c r="AE13" s="19">
        <f>'D2C Online'!BC12</f>
        <v>10366</v>
      </c>
      <c r="AF13" s="19">
        <f>'D2C Online'!BD12</f>
        <v>12586</v>
      </c>
      <c r="AG13" s="19">
        <f>'D2C Online'!BE12</f>
        <v>10529</v>
      </c>
      <c r="AH13" s="19">
        <f>'D2C Online'!BF12</f>
        <v>10882</v>
      </c>
      <c r="AI13" s="19">
        <f>'D2C Online'!BG12</f>
        <v>11887</v>
      </c>
      <c r="AJ13" s="19">
        <f>'D2C Online'!BH12</f>
        <v>15079</v>
      </c>
      <c r="AK13" s="19">
        <f>'D2C Online'!BI12</f>
        <v>13046</v>
      </c>
      <c r="AL13" s="19">
        <f>'D2C Online'!BJ12</f>
        <v>11437</v>
      </c>
      <c r="AM13" s="19">
        <f>'D2C Online'!BK12</f>
        <v>11818</v>
      </c>
      <c r="AN13" s="19">
        <f>'D2C Online'!BL12</f>
        <v>9377</v>
      </c>
      <c r="AO13" s="19">
        <f>'D2C Online'!BM12</f>
        <v>11795</v>
      </c>
      <c r="AP13" s="19">
        <f>'D2C Online'!BN12</f>
        <v>11537</v>
      </c>
      <c r="AQ13" s="19">
        <f>'D2C Online'!BO12</f>
        <v>12102</v>
      </c>
      <c r="AR13" s="19">
        <f>'D2C Online'!BP12</f>
        <v>12357</v>
      </c>
      <c r="AS13" s="19">
        <f>'D2C Online'!BQ12</f>
        <v>13037</v>
      </c>
      <c r="AT13" s="19">
        <f>'D2C Online'!BR12</f>
        <v>12269</v>
      </c>
      <c r="AU13" s="19">
        <f>'D2C Online'!BS12</f>
        <v>12369</v>
      </c>
      <c r="AV13" s="19">
        <f>'D2C Online'!BT12</f>
        <v>11980</v>
      </c>
      <c r="AW13" s="19">
        <f>'D2C Online'!BU12</f>
        <v>10940</v>
      </c>
      <c r="AX13" s="19">
        <f>'D2C Online'!BV12</f>
        <v>12666</v>
      </c>
      <c r="AY13" s="19">
        <f>'D2C Online'!BW12</f>
        <v>14543</v>
      </c>
      <c r="AZ13" s="19">
        <f>'D2C Online'!BX12</f>
        <v>14445</v>
      </c>
      <c r="BA13" s="19">
        <f>'D2C Online'!BY12</f>
        <v>18923</v>
      </c>
      <c r="BB13" s="19">
        <f>'D2C Online'!BZ12</f>
        <v>16605</v>
      </c>
      <c r="BC13" s="19">
        <f>'D2C Online'!CA12</f>
        <v>16774</v>
      </c>
      <c r="BD13" s="19">
        <f>'D2C Online'!CB12</f>
        <v>16762</v>
      </c>
      <c r="BE13" s="19">
        <f>'D2C Online'!CC12</f>
        <v>17015</v>
      </c>
      <c r="BF13" s="19">
        <f>'D2C Online'!CD12</f>
        <v>16033</v>
      </c>
      <c r="BG13" s="19">
        <f>'D2C Online'!CE12</f>
        <v>17539</v>
      </c>
      <c r="BH13" s="19">
        <f>'D2C Online'!CF12</f>
        <v>17054</v>
      </c>
      <c r="BI13" s="19">
        <f>'D2C Online'!CG12</f>
        <v>17094</v>
      </c>
      <c r="BJ13" s="19">
        <f>'D2C Online'!CH12</f>
        <v>20983</v>
      </c>
      <c r="BK13" s="19">
        <f>'D2C Online'!CI12</f>
        <v>22609</v>
      </c>
      <c r="BL13" s="19">
        <f>'D2C Online'!CJ12</f>
        <v>19383</v>
      </c>
      <c r="BM13" s="19">
        <f>'D2C Online'!CK12</f>
        <v>20945</v>
      </c>
      <c r="BN13" s="19">
        <f>'D2C Online'!CL12</f>
        <v>19095.75</v>
      </c>
      <c r="BO13" s="19">
        <f>'D2C Online'!CM12</f>
        <v>19290.099999999999</v>
      </c>
      <c r="BP13" s="19">
        <f>'D2C Online'!CN12</f>
        <v>19276.3</v>
      </c>
      <c r="BQ13" s="19">
        <f>'D2C Online'!CO12</f>
        <v>19567.25</v>
      </c>
      <c r="BR13" s="19">
        <f>'D2C Online'!CP12</f>
        <v>18437.949999999997</v>
      </c>
      <c r="BS13" s="19">
        <f>'D2C Online'!CQ12</f>
        <v>20169.849999999999</v>
      </c>
      <c r="BT13" s="19">
        <f>'D2C Online'!CR12</f>
        <v>19612.099999999999</v>
      </c>
      <c r="BU13" s="19">
        <f>'D2C Online'!CS12</f>
        <v>19658.099999999999</v>
      </c>
      <c r="BV13" s="19">
        <f>'D2C Online'!CT12</f>
        <v>24130.449999999997</v>
      </c>
      <c r="BW13" s="19">
        <f>'D2C Online'!CU12</f>
        <v>26000.35</v>
      </c>
      <c r="BX13" s="19">
        <f>'D2C Online'!CV12</f>
        <v>22290.449999999997</v>
      </c>
      <c r="BY13" s="19">
        <f>'D2C Online'!CW12</f>
        <v>24086.749999999996</v>
      </c>
      <c r="BZ13" s="19">
        <f>'D2C Online'!CX12</f>
        <v>21960.112499999999</v>
      </c>
      <c r="CA13" s="19">
        <f>'D2C Online'!CY12</f>
        <v>22183.614999999998</v>
      </c>
      <c r="CB13" s="19">
        <f>'D2C Online'!CZ12</f>
        <v>22167.744999999999</v>
      </c>
      <c r="CC13" s="19">
        <f>'D2C Online'!DA12</f>
        <v>22502.337499999998</v>
      </c>
      <c r="CD13" s="19">
        <f>'D2C Online'!DB12</f>
        <v>21203.642499999994</v>
      </c>
      <c r="CE13" s="19">
        <f>'D2C Online'!DC12</f>
        <v>23195.327499999996</v>
      </c>
      <c r="CF13" s="19">
        <f>'D2C Online'!DD12</f>
        <v>22553.914999999997</v>
      </c>
      <c r="CG13" s="19">
        <f>'D2C Online'!DE12</f>
        <v>22606.814999999995</v>
      </c>
      <c r="CH13" s="19">
        <f>'D2C Online'!DF12</f>
        <v>27750.017499999994</v>
      </c>
      <c r="CI13" s="19">
        <f>'D2C Online'!DG12</f>
        <v>29900.402499999997</v>
      </c>
      <c r="CJ13" s="19">
        <f>'D2C Online'!DH12</f>
        <v>25634.017499999994</v>
      </c>
      <c r="CK13" s="19">
        <f>'D2C Online'!DI12</f>
        <v>27699.762499999993</v>
      </c>
      <c r="CL13" s="19">
        <f>'D2C Online'!DJ12</f>
        <v>25254.129374999997</v>
      </c>
      <c r="CM13" s="19">
        <f>'D2C Online'!DK12</f>
        <v>25511.157249999997</v>
      </c>
      <c r="CN13" s="19">
        <f>'D2C Online'!DL12</f>
        <v>25492.906749999998</v>
      </c>
      <c r="CO13" s="19">
        <f>'D2C Online'!DM12</f>
        <v>25877.688124999997</v>
      </c>
      <c r="CP13" s="19">
        <f>'D2C Online'!DN12</f>
        <v>24384.188874999993</v>
      </c>
      <c r="CQ13" s="19">
        <f>'D2C Online'!DO12</f>
        <v>26674.626624999994</v>
      </c>
      <c r="CR13" s="19">
        <f>'D2C Online'!DP12</f>
        <v>25937.002249999994</v>
      </c>
      <c r="CS13" s="19">
        <f>'D2C Online'!DQ12</f>
        <v>25997.837249999993</v>
      </c>
      <c r="CT13" s="19">
        <f>'D2C Online'!DR12</f>
        <v>31912.520124999992</v>
      </c>
      <c r="CU13" s="19">
        <f>'D2C Online'!DS12</f>
        <v>34385.46287499999</v>
      </c>
      <c r="CV13" s="19">
        <f>'D2C Online'!DT12</f>
        <v>29479.12012499999</v>
      </c>
      <c r="CW13" s="19">
        <f>'D2C Online'!DU12</f>
        <v>31854.726874999989</v>
      </c>
      <c r="CY13" s="19">
        <f t="shared" si="3"/>
        <v>33142</v>
      </c>
      <c r="CZ13" s="19">
        <f t="shared" si="4"/>
        <v>33298</v>
      </c>
      <c r="DA13" s="19">
        <f t="shared" si="5"/>
        <v>39562</v>
      </c>
      <c r="DB13" s="19">
        <f t="shared" si="6"/>
        <v>32990</v>
      </c>
      <c r="DC13" s="19">
        <f t="shared" si="7"/>
        <v>35996</v>
      </c>
      <c r="DD13" s="19">
        <f t="shared" si="8"/>
        <v>37675</v>
      </c>
      <c r="DE13" s="19">
        <f t="shared" si="9"/>
        <v>35586</v>
      </c>
      <c r="DF13" s="19">
        <f t="shared" si="10"/>
        <v>47911</v>
      </c>
      <c r="DG13" s="19">
        <f t="shared" si="11"/>
        <v>50141</v>
      </c>
      <c r="DH13" s="19">
        <f t="shared" si="12"/>
        <v>50587</v>
      </c>
      <c r="DI13" s="19">
        <f t="shared" si="13"/>
        <v>55131</v>
      </c>
      <c r="DJ13" s="19">
        <f t="shared" si="14"/>
        <v>62937</v>
      </c>
      <c r="DK13" s="19">
        <f t="shared" si="15"/>
        <v>57662.149999999994</v>
      </c>
      <c r="DL13" s="19">
        <f t="shared" si="16"/>
        <v>58175.049999999996</v>
      </c>
      <c r="DM13" s="19">
        <f t="shared" si="17"/>
        <v>63400.649999999994</v>
      </c>
      <c r="DN13" s="19">
        <f t="shared" si="18"/>
        <v>72377.549999999988</v>
      </c>
      <c r="DO13" s="19">
        <f t="shared" si="19"/>
        <v>66311.472499999989</v>
      </c>
      <c r="DP13" s="19">
        <f t="shared" si="20"/>
        <v>66901.307499999995</v>
      </c>
      <c r="DQ13" s="19">
        <f t="shared" si="21"/>
        <v>72910.747499999998</v>
      </c>
      <c r="DR13" s="19">
        <f t="shared" si="22"/>
        <v>83234.182499999981</v>
      </c>
      <c r="DS13" s="19">
        <f t="shared" si="23"/>
        <v>76258.193374999988</v>
      </c>
      <c r="DT13" s="19">
        <f t="shared" si="24"/>
        <v>76936.503624999983</v>
      </c>
      <c r="DU13" s="19">
        <f t="shared" si="25"/>
        <v>83847.359624999983</v>
      </c>
      <c r="DV13" s="19">
        <f t="shared" si="26"/>
        <v>95719.309874999977</v>
      </c>
      <c r="DX13" s="19">
        <f t="shared" si="27"/>
        <v>138992</v>
      </c>
      <c r="DY13" s="19">
        <f t="shared" si="28"/>
        <v>157168</v>
      </c>
      <c r="DZ13" s="19">
        <f t="shared" si="29"/>
        <v>218796</v>
      </c>
      <c r="EA13" s="19">
        <f t="shared" si="30"/>
        <v>251615.39999999997</v>
      </c>
      <c r="EB13" s="19">
        <f t="shared" si="31"/>
        <v>289357.70999999996</v>
      </c>
      <c r="EC13" s="770">
        <f t="shared" si="32"/>
        <v>332761.36649999995</v>
      </c>
    </row>
    <row r="14" spans="2:133" x14ac:dyDescent="0.2">
      <c r="B14" s="155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X14" s="19"/>
      <c r="DY14" s="19"/>
      <c r="DZ14" s="19"/>
      <c r="EA14" s="19"/>
      <c r="EB14" s="19"/>
      <c r="EC14" s="770"/>
    </row>
    <row r="15" spans="2:133" x14ac:dyDescent="0.2">
      <c r="B15" s="196" t="s">
        <v>6</v>
      </c>
      <c r="C15" s="197">
        <f>C20+C21</f>
        <v>2101474.62</v>
      </c>
      <c r="D15" s="197">
        <f t="shared" ref="D15:BO15" si="36">D20+D21</f>
        <v>4559524.8299999973</v>
      </c>
      <c r="E15" s="197">
        <f t="shared" si="36"/>
        <v>3239046.5800000005</v>
      </c>
      <c r="F15" s="197">
        <f t="shared" si="36"/>
        <v>3481143.439999958</v>
      </c>
      <c r="G15" s="197">
        <f t="shared" si="36"/>
        <v>252731.15999999736</v>
      </c>
      <c r="H15" s="197">
        <f t="shared" si="36"/>
        <v>2412407.4700000025</v>
      </c>
      <c r="I15" s="197">
        <f t="shared" si="36"/>
        <v>3303900.5299998708</v>
      </c>
      <c r="J15" s="197">
        <f t="shared" si="36"/>
        <v>3935702.8299999163</v>
      </c>
      <c r="K15" s="197">
        <f t="shared" si="36"/>
        <v>5279229.9300000295</v>
      </c>
      <c r="L15" s="197">
        <f t="shared" si="36"/>
        <v>6163026.1599999992</v>
      </c>
      <c r="M15" s="197">
        <f t="shared" si="36"/>
        <v>9819179.5500004329</v>
      </c>
      <c r="N15" s="197">
        <f t="shared" si="36"/>
        <v>12679269.230001688</v>
      </c>
      <c r="O15" s="197">
        <f t="shared" si="36"/>
        <v>13465773.800000709</v>
      </c>
      <c r="P15" s="197">
        <f t="shared" si="36"/>
        <v>15477354.539999999</v>
      </c>
      <c r="Q15" s="197">
        <f t="shared" si="36"/>
        <v>24797230.75</v>
      </c>
      <c r="R15" s="197">
        <f t="shared" si="36"/>
        <v>16330810.309999956</v>
      </c>
      <c r="S15" s="197">
        <f t="shared" si="36"/>
        <v>17920441.809999999</v>
      </c>
      <c r="T15" s="197">
        <f t="shared" si="36"/>
        <v>29661449.670000076</v>
      </c>
      <c r="U15" s="197">
        <f t="shared" si="36"/>
        <v>32014573.090000011</v>
      </c>
      <c r="V15" s="197">
        <f t="shared" si="36"/>
        <v>29611381.350000016</v>
      </c>
      <c r="W15" s="197">
        <f t="shared" si="36"/>
        <v>32279513.719999991</v>
      </c>
      <c r="X15" s="197">
        <f t="shared" si="36"/>
        <v>31170302.629999988</v>
      </c>
      <c r="Y15" s="197">
        <f t="shared" si="36"/>
        <v>27509579.079999991</v>
      </c>
      <c r="Z15" s="197">
        <f t="shared" si="36"/>
        <v>37205104.92999997</v>
      </c>
      <c r="AA15" s="197">
        <f t="shared" si="36"/>
        <v>32867960.149999999</v>
      </c>
      <c r="AB15" s="197">
        <f t="shared" si="36"/>
        <v>39431674.739999995</v>
      </c>
      <c r="AC15" s="197">
        <f t="shared" si="36"/>
        <v>80780007.240000144</v>
      </c>
      <c r="AD15" s="197">
        <f t="shared" si="36"/>
        <v>89011512.992900372</v>
      </c>
      <c r="AE15" s="197">
        <f t="shared" si="36"/>
        <v>88021850.678300813</v>
      </c>
      <c r="AF15" s="197">
        <f t="shared" si="36"/>
        <v>87430474.276797026</v>
      </c>
      <c r="AG15" s="197">
        <f t="shared" si="36"/>
        <v>109568631.17595091</v>
      </c>
      <c r="AH15" s="197">
        <f t="shared" si="36"/>
        <v>89133345.269313782</v>
      </c>
      <c r="AI15" s="197">
        <f t="shared" si="36"/>
        <v>104317748.9918319</v>
      </c>
      <c r="AJ15" s="197">
        <f t="shared" si="36"/>
        <v>138460963.86354882</v>
      </c>
      <c r="AK15" s="197">
        <f t="shared" si="36"/>
        <v>109312897.50675723</v>
      </c>
      <c r="AL15" s="197">
        <f t="shared" si="36"/>
        <v>89267196.428047895</v>
      </c>
      <c r="AM15" s="197">
        <f t="shared" si="36"/>
        <v>88093876.119170815</v>
      </c>
      <c r="AN15" s="197">
        <f t="shared" si="36"/>
        <v>97479133.107285291</v>
      </c>
      <c r="AO15" s="197">
        <f t="shared" si="36"/>
        <v>85441354</v>
      </c>
      <c r="AP15" s="197">
        <f t="shared" si="36"/>
        <v>91940677.751354694</v>
      </c>
      <c r="AQ15" s="197">
        <f t="shared" si="36"/>
        <v>95640491.405642226</v>
      </c>
      <c r="AR15" s="197">
        <f t="shared" si="36"/>
        <v>93063873.205165997</v>
      </c>
      <c r="AS15" s="197">
        <f t="shared" si="36"/>
        <v>103681103.13813129</v>
      </c>
      <c r="AT15" s="197">
        <f t="shared" si="36"/>
        <v>104504801.55564009</v>
      </c>
      <c r="AU15" s="197">
        <f t="shared" si="36"/>
        <v>108210443.88452756</v>
      </c>
      <c r="AV15" s="197">
        <f t="shared" si="36"/>
        <v>88093876.11917071</v>
      </c>
      <c r="AW15" s="197">
        <f t="shared" si="36"/>
        <v>101930644.89918889</v>
      </c>
      <c r="AX15" s="197">
        <f t="shared" si="36"/>
        <v>102235813.80282018</v>
      </c>
      <c r="AY15" s="197">
        <f t="shared" si="36"/>
        <v>124656022.08114298</v>
      </c>
      <c r="AZ15" s="197">
        <f t="shared" si="36"/>
        <v>123344675.2089007</v>
      </c>
      <c r="BA15" s="197">
        <f t="shared" si="36"/>
        <v>161946818.61658451</v>
      </c>
      <c r="BB15" s="197">
        <f t="shared" si="36"/>
        <v>172770802.51456568</v>
      </c>
      <c r="BC15" s="197">
        <f t="shared" si="36"/>
        <v>171567935.1510244</v>
      </c>
      <c r="BD15" s="197">
        <f t="shared" si="36"/>
        <v>165895860.36024129</v>
      </c>
      <c r="BE15" s="197">
        <f t="shared" si="36"/>
        <v>163462349.83000067</v>
      </c>
      <c r="BF15" s="197">
        <f t="shared" si="36"/>
        <v>152734386.86000088</v>
      </c>
      <c r="BG15" s="197">
        <f t="shared" si="36"/>
        <v>101338885.56000051</v>
      </c>
      <c r="BH15" s="197">
        <f t="shared" si="36"/>
        <v>165170311.65999991</v>
      </c>
      <c r="BI15" s="197">
        <f t="shared" si="36"/>
        <v>153469309.62999991</v>
      </c>
      <c r="BJ15" s="197">
        <f t="shared" si="36"/>
        <v>167364159.0000003</v>
      </c>
      <c r="BK15" s="197">
        <f t="shared" si="36"/>
        <v>181777791.78999978</v>
      </c>
      <c r="BL15" s="197">
        <f t="shared" si="36"/>
        <v>165015783.07999915</v>
      </c>
      <c r="BM15" s="197">
        <f t="shared" si="36"/>
        <v>177105199.03999996</v>
      </c>
      <c r="BN15" s="197">
        <f t="shared" si="36"/>
        <v>176459546.16177529</v>
      </c>
      <c r="BO15" s="197">
        <f t="shared" si="36"/>
        <v>176278068.77614531</v>
      </c>
      <c r="BP15" s="197">
        <f t="shared" ref="BP15:CK15" si="37">BP20+BP21</f>
        <v>175999293.44860607</v>
      </c>
      <c r="BQ15" s="197">
        <f t="shared" si="37"/>
        <v>182951408.77043414</v>
      </c>
      <c r="BR15" s="197">
        <f t="shared" si="37"/>
        <v>168708958.06444505</v>
      </c>
      <c r="BS15" s="197">
        <f t="shared" si="37"/>
        <v>174903352.70607361</v>
      </c>
      <c r="BT15" s="197">
        <f t="shared" si="37"/>
        <v>185434483.62590382</v>
      </c>
      <c r="BU15" s="197">
        <f t="shared" si="37"/>
        <v>180081514.24923909</v>
      </c>
      <c r="BV15" s="197">
        <f t="shared" si="37"/>
        <v>219774962.09189212</v>
      </c>
      <c r="BW15" s="197">
        <f t="shared" si="37"/>
        <v>233097435.53345221</v>
      </c>
      <c r="BX15" s="197">
        <f t="shared" si="37"/>
        <v>204736756.22377938</v>
      </c>
      <c r="BY15" s="197">
        <f t="shared" si="37"/>
        <v>227679108.99869496</v>
      </c>
      <c r="BZ15" s="197">
        <f t="shared" si="37"/>
        <v>209412565.59367102</v>
      </c>
      <c r="CA15" s="197">
        <f t="shared" si="37"/>
        <v>209373868.64912128</v>
      </c>
      <c r="CB15" s="197">
        <f t="shared" si="37"/>
        <v>208689087.00946009</v>
      </c>
      <c r="CC15" s="197">
        <f t="shared" si="37"/>
        <v>216872306.02422389</v>
      </c>
      <c r="CD15" s="197">
        <f t="shared" si="37"/>
        <v>199890494.86384347</v>
      </c>
      <c r="CE15" s="197">
        <f t="shared" si="37"/>
        <v>207113283.06537876</v>
      </c>
      <c r="CF15" s="197">
        <f t="shared" si="37"/>
        <v>219233380.07159263</v>
      </c>
      <c r="CG15" s="197">
        <f t="shared" si="37"/>
        <v>212596356.46916717</v>
      </c>
      <c r="CH15" s="197">
        <f t="shared" si="37"/>
        <v>259107932.20563453</v>
      </c>
      <c r="CI15" s="197">
        <f t="shared" si="37"/>
        <v>274494401.05760163</v>
      </c>
      <c r="CJ15" s="197">
        <f t="shared" si="37"/>
        <v>240666087.06039596</v>
      </c>
      <c r="CK15" s="197">
        <f t="shared" si="37"/>
        <v>266449989.07480702</v>
      </c>
      <c r="CL15" s="197">
        <f t="shared" ref="CL15:CW15" si="38">CL20+CL21</f>
        <v>245138964.80726022</v>
      </c>
      <c r="CM15" s="197">
        <f t="shared" si="38"/>
        <v>245081823.29780442</v>
      </c>
      <c r="CN15" s="197">
        <f t="shared" si="38"/>
        <v>244249269.81231987</v>
      </c>
      <c r="CO15" s="197">
        <f t="shared" si="38"/>
        <v>253632682.97266656</v>
      </c>
      <c r="CP15" s="197">
        <f t="shared" si="38"/>
        <v>233835514.93819737</v>
      </c>
      <c r="CQ15" s="197">
        <f t="shared" si="38"/>
        <v>242552550.51193663</v>
      </c>
      <c r="CR15" s="197">
        <f t="shared" si="38"/>
        <v>256144760.69944212</v>
      </c>
      <c r="CS15" s="197">
        <f t="shared" si="38"/>
        <v>248561426.92859727</v>
      </c>
      <c r="CT15" s="197">
        <f t="shared" si="38"/>
        <v>302974044.34027684</v>
      </c>
      <c r="CU15" s="197">
        <f t="shared" si="38"/>
        <v>321088663.47405481</v>
      </c>
      <c r="CV15" s="197">
        <f t="shared" si="38"/>
        <v>281297193.05466247</v>
      </c>
      <c r="CW15" s="197">
        <f t="shared" si="38"/>
        <v>311201069.68505692</v>
      </c>
      <c r="CY15" s="197">
        <f t="shared" ref="CY15:CY46" si="39">SUM(AD15:AF15)</f>
        <v>264463837.9479982</v>
      </c>
      <c r="CZ15" s="197">
        <f t="shared" ref="CZ15:CZ46" si="40">SUM(AG15:AI15)</f>
        <v>303019725.4370966</v>
      </c>
      <c r="DA15" s="197">
        <f t="shared" ref="DA15:DA46" si="41">SUM(AJ15:AL15)</f>
        <v>337041057.79835391</v>
      </c>
      <c r="DB15" s="197">
        <f t="shared" ref="DB15:DB46" si="42">SUM(AM15:AO15)</f>
        <v>271014363.22645611</v>
      </c>
      <c r="DC15" s="197">
        <f t="shared" ref="DC15:DC46" si="43">SUM(AP15:AR15)</f>
        <v>280645042.36216289</v>
      </c>
      <c r="DD15" s="197">
        <f t="shared" ref="DD15:DD46" si="44">SUM(AS15:AU15)</f>
        <v>316396348.57829893</v>
      </c>
      <c r="DE15" s="197">
        <f t="shared" ref="DE15:DE46" si="45">SUM(AV15:AX15)</f>
        <v>292260334.82117975</v>
      </c>
      <c r="DF15" s="197">
        <f t="shared" ref="DF15:DF46" si="46">SUM(AY15:BA15)</f>
        <v>409947515.90662819</v>
      </c>
      <c r="DG15" s="197">
        <f t="shared" ref="DG15:DG46" si="47">SUM(BB15:BD15)</f>
        <v>510234598.02583134</v>
      </c>
      <c r="DH15" s="197">
        <f t="shared" ref="DH15:DH46" si="48">SUM(BE15:BG15)</f>
        <v>417535622.25000203</v>
      </c>
      <c r="DI15" s="197">
        <f t="shared" ref="DI15:DI46" si="49">SUM(BH15:BJ15)</f>
        <v>486003780.29000014</v>
      </c>
      <c r="DJ15" s="197">
        <f t="shared" ref="DJ15:DJ46" si="50">SUM(BK15:BM15)</f>
        <v>523898773.90999889</v>
      </c>
      <c r="DK15" s="197">
        <f t="shared" ref="DK15:DK46" si="51">SUM(BN15:BP15)</f>
        <v>528736908.38652664</v>
      </c>
      <c r="DL15" s="197">
        <f t="shared" ref="DL15:DL46" si="52">SUM(BQ15:BS15)</f>
        <v>526563719.5409528</v>
      </c>
      <c r="DM15" s="197">
        <f t="shared" ref="DM15:DM46" si="53">SUM(BT15:BV15)</f>
        <v>585290959.96703506</v>
      </c>
      <c r="DN15" s="197">
        <f t="shared" ref="DN15:DN46" si="54">SUM(BW15:BY15)</f>
        <v>665513300.75592661</v>
      </c>
      <c r="DO15" s="197">
        <f t="shared" ref="DO15:DO46" si="55">SUM(BZ15:CB15)</f>
        <v>627475521.25225234</v>
      </c>
      <c r="DP15" s="197">
        <f t="shared" ref="DP15:DP46" si="56">SUM(CC15:CE15)</f>
        <v>623876083.95344615</v>
      </c>
      <c r="DQ15" s="197">
        <f t="shared" ref="DQ15:DQ46" si="57">SUM(CF15:CH15)</f>
        <v>690937668.7463944</v>
      </c>
      <c r="DR15" s="197">
        <f t="shared" ref="DR15:DR46" si="58">SUM(CI15:CK15)</f>
        <v>781610477.19280457</v>
      </c>
      <c r="DS15" s="197">
        <f t="shared" si="23"/>
        <v>734470057.91738451</v>
      </c>
      <c r="DT15" s="197">
        <f t="shared" si="24"/>
        <v>730020748.42280054</v>
      </c>
      <c r="DU15" s="197">
        <f t="shared" si="25"/>
        <v>807680231.9683162</v>
      </c>
      <c r="DV15" s="197">
        <f t="shared" si="26"/>
        <v>913586926.2137742</v>
      </c>
      <c r="DX15" s="197">
        <f t="shared" si="27"/>
        <v>1175538984.4099047</v>
      </c>
      <c r="DY15" s="197">
        <f t="shared" si="28"/>
        <v>1299249241.6682699</v>
      </c>
      <c r="DZ15" s="197">
        <f t="shared" si="29"/>
        <v>1937672774.4758325</v>
      </c>
      <c r="EA15" s="197">
        <f t="shared" si="30"/>
        <v>2306104888.6504412</v>
      </c>
      <c r="EB15" s="197">
        <f t="shared" si="31"/>
        <v>2723899751.1448975</v>
      </c>
      <c r="EC15" s="811">
        <f t="shared" si="32"/>
        <v>3185757964.5222754</v>
      </c>
    </row>
    <row r="16" spans="2:133" x14ac:dyDescent="0.2">
      <c r="B16" s="178" t="s">
        <v>139</v>
      </c>
      <c r="C16" s="19">
        <f>'D2C - Retail'!J18+'D2C Online'!AA16</f>
        <v>2101474.62</v>
      </c>
      <c r="D16" s="19">
        <f>'D2C - Retail'!K18+'D2C Online'!AB16</f>
        <v>4559524.8299999973</v>
      </c>
      <c r="E16" s="19">
        <f>'D2C - Retail'!L18+'D2C Online'!AC16</f>
        <v>3239046.5800000005</v>
      </c>
      <c r="F16" s="19">
        <f>'D2C - Retail'!M18+'D2C Online'!AD16</f>
        <v>3481143.439999958</v>
      </c>
      <c r="G16" s="19">
        <f>'D2C - Retail'!N18+'D2C Online'!AE16</f>
        <v>252731.15999999736</v>
      </c>
      <c r="H16" s="19">
        <f>'D2C - Retail'!O18+'D2C Online'!AF16</f>
        <v>2412407.4700000025</v>
      </c>
      <c r="I16" s="19">
        <f>'D2C - Retail'!P18+'D2C Online'!AG16</f>
        <v>3303900.5299998708</v>
      </c>
      <c r="J16" s="19">
        <f>'D2C - Retail'!Q18+'D2C Online'!AH16</f>
        <v>3935702.8299999163</v>
      </c>
      <c r="K16" s="19">
        <f>'D2C - Retail'!R18+'D2C Online'!AI16</f>
        <v>5279229.9300000295</v>
      </c>
      <c r="L16" s="19">
        <f>'D2C - Retail'!S18+'D2C Online'!AJ16</f>
        <v>6163026.1599999992</v>
      </c>
      <c r="M16" s="19">
        <f>'D2C - Retail'!T18+'D2C Online'!AK16</f>
        <v>9819179.5500004329</v>
      </c>
      <c r="N16" s="19">
        <f>'D2C - Retail'!U18+'D2C Online'!AL16</f>
        <v>12679269.230001688</v>
      </c>
      <c r="O16" s="19">
        <f>'D2C - Retail'!V18+'D2C Online'!AM16</f>
        <v>13465773.800000709</v>
      </c>
      <c r="P16" s="19">
        <f>'D2C - Retail'!W18+'D2C Online'!AN16</f>
        <v>15477354.539999999</v>
      </c>
      <c r="Q16" s="19">
        <f>'D2C - Retail'!X18+'D2C Online'!AO16</f>
        <v>24797230.75</v>
      </c>
      <c r="R16" s="19">
        <f>'D2C - Retail'!Y18+'D2C Online'!AP16</f>
        <v>16330810.309999956</v>
      </c>
      <c r="S16" s="19">
        <f>'D2C - Retail'!Z18+'D2C Online'!AQ16</f>
        <v>17920441.809999999</v>
      </c>
      <c r="T16" s="19">
        <f>'D2C - Retail'!AA18+'D2C Online'!AR16</f>
        <v>29661449.670000076</v>
      </c>
      <c r="U16" s="19">
        <f>'D2C - Retail'!AB18+'D2C Online'!AS16</f>
        <v>32014573.090000011</v>
      </c>
      <c r="V16" s="19">
        <f>'D2C - Retail'!AC18+'D2C Online'!AT16</f>
        <v>29611381.350000016</v>
      </c>
      <c r="W16" s="19">
        <f>'D2C - Retail'!AD18+'D2C Online'!AU16</f>
        <v>32279513.719999991</v>
      </c>
      <c r="X16" s="19">
        <f>'D2C - Retail'!AE18+'D2C Online'!AV16</f>
        <v>31170302.629999988</v>
      </c>
      <c r="Y16" s="19">
        <f>'D2C - Retail'!AF18+'D2C Online'!AW16</f>
        <v>27509579.079999991</v>
      </c>
      <c r="Z16" s="19">
        <f>'D2C - Retail'!AG18+'D2C Online'!AX16</f>
        <v>37205104.92999997</v>
      </c>
      <c r="AA16" s="19">
        <f>'D2C - Retail'!AH18+'D2C Online'!AY16</f>
        <v>32867960.149999999</v>
      </c>
      <c r="AB16" s="19">
        <f>'D2C - Retail'!AI18+'D2C Online'!AZ16</f>
        <v>39431674.739999995</v>
      </c>
      <c r="AC16" s="19">
        <f>'D2C - Retail'!AJ18+'D2C Online'!BA16</f>
        <v>80780007.240000144</v>
      </c>
      <c r="AD16" s="19">
        <f>'D2C - Retail'!AK18+'D2C Online'!BB16</f>
        <v>89011512.992900372</v>
      </c>
      <c r="AE16" s="19">
        <f>'D2C - Retail'!AL18+'D2C Online'!BC16</f>
        <v>88021850.678300813</v>
      </c>
      <c r="AF16" s="19">
        <f>'D2C - Retail'!AM18+'D2C Online'!BD16</f>
        <v>87430474.276797026</v>
      </c>
      <c r="AG16" s="19">
        <f>'D2C - Retail'!AN18+'D2C Online'!BE16</f>
        <v>109568631.17595091</v>
      </c>
      <c r="AH16" s="19">
        <f>'D2C - Retail'!AO18+'D2C Online'!BF16</f>
        <v>89133345.269313782</v>
      </c>
      <c r="AI16" s="19">
        <f>'D2C - Retail'!AP18+'D2C Online'!BG16</f>
        <v>104317748.9918319</v>
      </c>
      <c r="AJ16" s="19">
        <f>'D2C - Retail'!AQ18+'D2C Online'!BH16</f>
        <v>138460963.86354882</v>
      </c>
      <c r="AK16" s="19">
        <f>'D2C - Retail'!AR18+'D2C Online'!BI16</f>
        <v>109312897.50675723</v>
      </c>
      <c r="AL16" s="19">
        <f>'D2C - Retail'!AS18+'D2C Online'!BJ16</f>
        <v>89267196.428047895</v>
      </c>
      <c r="AM16" s="19">
        <f>'D2C - Retail'!AT18+'D2C Online'!BK16</f>
        <v>88093876.119170815</v>
      </c>
      <c r="AN16" s="19">
        <f>'D2C - Retail'!AU18+'D2C Online'!BL16</f>
        <v>97479133.107285291</v>
      </c>
      <c r="AO16" s="19">
        <f>'D2C - Retail'!AV18+'D2C Online'!BM16</f>
        <v>85441354</v>
      </c>
      <c r="AP16" s="19">
        <f>'D2C - Retail'!AW18+'D2C Online'!BN16</f>
        <v>91940677.751354694</v>
      </c>
      <c r="AQ16" s="19">
        <f>'D2C - Retail'!AX18+'D2C Online'!BO16</f>
        <v>95640491.405642226</v>
      </c>
      <c r="AR16" s="19">
        <f>'D2C - Retail'!AY18+'D2C Online'!BP16</f>
        <v>93063873.205165997</v>
      </c>
      <c r="AS16" s="19">
        <f>'D2C - Retail'!AZ18+'D2C Online'!BQ16</f>
        <v>103681103.13813129</v>
      </c>
      <c r="AT16" s="19">
        <f>'D2C - Retail'!BA18+'D2C Online'!BR16</f>
        <v>104504801.55564009</v>
      </c>
      <c r="AU16" s="19">
        <f>'D2C - Retail'!BB18+'D2C Online'!BS16</f>
        <v>108210443.88452756</v>
      </c>
      <c r="AV16" s="19">
        <f>'D2C - Retail'!BC18+'D2C Online'!BT16</f>
        <v>88093876.11917071</v>
      </c>
      <c r="AW16" s="19">
        <f>'D2C - Retail'!BD18+'D2C Online'!BU16</f>
        <v>101930644.89918889</v>
      </c>
      <c r="AX16" s="19">
        <f>'D2C - Retail'!BE18+'D2C Online'!BV16</f>
        <v>102235813.80282018</v>
      </c>
      <c r="AY16" s="19">
        <f>'D2C - Retail'!BF18+'D2C Online'!BW16</f>
        <v>124656022.08114298</v>
      </c>
      <c r="AZ16" s="19">
        <f>'D2C - Retail'!BG18+'D2C Online'!BX16</f>
        <v>123344675.2089007</v>
      </c>
      <c r="BA16" s="19">
        <f>'D2C - Retail'!BH18+'D2C Online'!BY16</f>
        <v>161946818.61658451</v>
      </c>
      <c r="BB16" s="19">
        <f>'D2C - Retail'!BI18+'D2C Online'!BZ16</f>
        <v>172770802.51456568</v>
      </c>
      <c r="BC16" s="19">
        <f>'D2C - Retail'!BJ18+'D2C Online'!CA16</f>
        <v>171567935.1510244</v>
      </c>
      <c r="BD16" s="19">
        <f>'D2C - Retail'!BK18+'D2C Online'!CB16</f>
        <v>165895860.36024129</v>
      </c>
      <c r="BE16" s="19">
        <f>'D2C - Retail'!BL18+'D2C Online'!CC16</f>
        <v>163462349.83000067</v>
      </c>
      <c r="BF16" s="19">
        <f>'D2C - Retail'!BM18+'D2C Online'!CD16</f>
        <v>152734386.86000088</v>
      </c>
      <c r="BG16" s="19">
        <f>'D2C - Retail'!BN18+'D2C Online'!CE16</f>
        <v>101338885.56000051</v>
      </c>
      <c r="BH16" s="19">
        <f>'D2C - Retail'!BO18+'D2C Online'!CF16</f>
        <v>165170311.65999991</v>
      </c>
      <c r="BI16" s="19">
        <f>'D2C - Retail'!BP18+'D2C Online'!CG16</f>
        <v>153469309.62999991</v>
      </c>
      <c r="BJ16" s="19">
        <f>'D2C - Retail'!BQ18+'D2C Online'!CH16</f>
        <v>167364159.0000003</v>
      </c>
      <c r="BK16" s="19">
        <f>'D2C - Retail'!BR18+'D2C Online'!CI16</f>
        <v>181777791.78999978</v>
      </c>
      <c r="BL16" s="19">
        <f>'D2C - Retail'!BS18+'D2C Online'!CJ16</f>
        <v>165015783.07999915</v>
      </c>
      <c r="BM16" s="19">
        <f>'D2C - Retail'!BT18+'D2C Online'!CK16</f>
        <v>177105199.03999996</v>
      </c>
      <c r="BN16" s="19">
        <f>'D2C - Retail'!BU18+'D2C Online'!CL16</f>
        <v>176459546.16177529</v>
      </c>
      <c r="BO16" s="19">
        <f>'D2C - Retail'!BV18+'D2C Online'!CM16</f>
        <v>176278068.77614531</v>
      </c>
      <c r="BP16" s="19">
        <f>'D2C - Retail'!BW18+'D2C Online'!CN16</f>
        <v>175999293.44860607</v>
      </c>
      <c r="BQ16" s="19">
        <f>'D2C - Retail'!BX18+'D2C Online'!CO16</f>
        <v>182951408.77043414</v>
      </c>
      <c r="BR16" s="19">
        <f>'D2C - Retail'!BY18+'D2C Online'!CP16</f>
        <v>168708958.06444505</v>
      </c>
      <c r="BS16" s="19">
        <f>'D2C - Retail'!BZ18+'D2C Online'!CQ16</f>
        <v>174903352.70607361</v>
      </c>
      <c r="BT16" s="19">
        <f>'D2C - Retail'!CA18+'D2C Online'!CR16</f>
        <v>185434483.62590382</v>
      </c>
      <c r="BU16" s="19">
        <f>'D2C - Retail'!CB18+'D2C Online'!CS16</f>
        <v>180081514.24923909</v>
      </c>
      <c r="BV16" s="19">
        <f>'D2C - Retail'!CC18+'D2C Online'!CT16</f>
        <v>219774962.09189212</v>
      </c>
      <c r="BW16" s="19">
        <f>'D2C - Retail'!CD18+'D2C Online'!CU16</f>
        <v>233097435.53345221</v>
      </c>
      <c r="BX16" s="19">
        <f>'D2C - Retail'!CE18+'D2C Online'!CV16</f>
        <v>204736756.22377938</v>
      </c>
      <c r="BY16" s="19">
        <f>'D2C - Retail'!CF18+'D2C Online'!CW16</f>
        <v>227679108.99869496</v>
      </c>
      <c r="BZ16" s="19">
        <f>'D2C - Retail'!CG18+'D2C Online'!CX16</f>
        <v>209412565.59367102</v>
      </c>
      <c r="CA16" s="19">
        <f>'D2C - Retail'!CH18+'D2C Online'!CY16</f>
        <v>209373868.64912128</v>
      </c>
      <c r="CB16" s="19">
        <f>'D2C - Retail'!CI18+'D2C Online'!CZ16</f>
        <v>208689087.00946009</v>
      </c>
      <c r="CC16" s="19">
        <f>'D2C - Retail'!CJ18+'D2C Online'!DA16</f>
        <v>216872306.02422389</v>
      </c>
      <c r="CD16" s="19">
        <f>'D2C - Retail'!CK18+'D2C Online'!DB16</f>
        <v>199890494.86384347</v>
      </c>
      <c r="CE16" s="19">
        <f>'D2C - Retail'!CL18+'D2C Online'!DC16</f>
        <v>207113283.06537876</v>
      </c>
      <c r="CF16" s="19">
        <f>'D2C - Retail'!CM18+'D2C Online'!DD16</f>
        <v>219233380.07159263</v>
      </c>
      <c r="CG16" s="19">
        <f>'D2C - Retail'!CN18+'D2C Online'!DE16</f>
        <v>212596356.46916717</v>
      </c>
      <c r="CH16" s="19">
        <f>'D2C - Retail'!CO18+'D2C Online'!DF16</f>
        <v>259107932.20563453</v>
      </c>
      <c r="CI16" s="19">
        <f>'D2C - Retail'!CP18+'D2C Online'!DG16</f>
        <v>274494401.05760163</v>
      </c>
      <c r="CJ16" s="19">
        <f>'D2C - Retail'!CQ18+'D2C Online'!DH16</f>
        <v>240666087.06039596</v>
      </c>
      <c r="CK16" s="19">
        <f>'D2C - Retail'!CR18+'D2C Online'!DI16</f>
        <v>266449989.07480702</v>
      </c>
      <c r="CL16" s="19">
        <f>'D2C - Retail'!CS18+'D2C Online'!DJ16</f>
        <v>245138964.80726022</v>
      </c>
      <c r="CM16" s="19">
        <f>'D2C - Retail'!CT18+'D2C Online'!DK16</f>
        <v>245081823.29780442</v>
      </c>
      <c r="CN16" s="19">
        <f>'D2C - Retail'!CU18+'D2C Online'!DL16</f>
        <v>244249269.81231987</v>
      </c>
      <c r="CO16" s="19">
        <f>'D2C - Retail'!CV18+'D2C Online'!DM16</f>
        <v>253632682.97266656</v>
      </c>
      <c r="CP16" s="19">
        <f>'D2C - Retail'!CW18+'D2C Online'!DN16</f>
        <v>233835514.93819737</v>
      </c>
      <c r="CQ16" s="19">
        <f>'D2C - Retail'!CX18+'D2C Online'!DO16</f>
        <v>242552550.51193663</v>
      </c>
      <c r="CR16" s="19">
        <f>'D2C - Retail'!CY18+'D2C Online'!DP16</f>
        <v>256144760.69944212</v>
      </c>
      <c r="CS16" s="19">
        <f>'D2C - Retail'!CZ18+'D2C Online'!DQ16</f>
        <v>248561426.92859727</v>
      </c>
      <c r="CT16" s="19">
        <f>'D2C - Retail'!DA18+'D2C Online'!DR16</f>
        <v>302974044.34027684</v>
      </c>
      <c r="CU16" s="19">
        <f>'D2C - Retail'!DB18+'D2C Online'!DS16</f>
        <v>321088663.47405481</v>
      </c>
      <c r="CV16" s="19">
        <f>'D2C - Retail'!DC18+'D2C Online'!DT16</f>
        <v>281297193.05466247</v>
      </c>
      <c r="CW16" s="19">
        <f>'D2C - Retail'!DD18+'D2C Online'!DU16</f>
        <v>311201069.68505692</v>
      </c>
      <c r="CY16" s="19">
        <f t="shared" si="39"/>
        <v>264463837.9479982</v>
      </c>
      <c r="CZ16" s="19">
        <f t="shared" si="40"/>
        <v>303019725.4370966</v>
      </c>
      <c r="DA16" s="19">
        <f t="shared" si="41"/>
        <v>337041057.79835391</v>
      </c>
      <c r="DB16" s="19">
        <f t="shared" si="42"/>
        <v>271014363.22645611</v>
      </c>
      <c r="DC16" s="19">
        <f t="shared" si="43"/>
        <v>280645042.36216289</v>
      </c>
      <c r="DD16" s="19">
        <f t="shared" si="44"/>
        <v>316396348.57829893</v>
      </c>
      <c r="DE16" s="19">
        <f t="shared" si="45"/>
        <v>292260334.82117975</v>
      </c>
      <c r="DF16" s="19">
        <f t="shared" si="46"/>
        <v>409947515.90662819</v>
      </c>
      <c r="DG16" s="19">
        <f t="shared" si="47"/>
        <v>510234598.02583134</v>
      </c>
      <c r="DH16" s="19">
        <f t="shared" si="48"/>
        <v>417535622.25000203</v>
      </c>
      <c r="DI16" s="19">
        <f t="shared" si="49"/>
        <v>486003780.29000014</v>
      </c>
      <c r="DJ16" s="19">
        <f t="shared" si="50"/>
        <v>523898773.90999889</v>
      </c>
      <c r="DK16" s="19">
        <f t="shared" si="51"/>
        <v>528736908.38652664</v>
      </c>
      <c r="DL16" s="19">
        <f t="shared" si="52"/>
        <v>526563719.5409528</v>
      </c>
      <c r="DM16" s="19">
        <f t="shared" si="53"/>
        <v>585290959.96703506</v>
      </c>
      <c r="DN16" s="19">
        <f t="shared" si="54"/>
        <v>665513300.75592661</v>
      </c>
      <c r="DO16" s="19">
        <f t="shared" si="55"/>
        <v>627475521.25225234</v>
      </c>
      <c r="DP16" s="19">
        <f t="shared" si="56"/>
        <v>623876083.95344615</v>
      </c>
      <c r="DQ16" s="19">
        <f t="shared" si="57"/>
        <v>690937668.7463944</v>
      </c>
      <c r="DR16" s="19">
        <f t="shared" si="58"/>
        <v>781610477.19280457</v>
      </c>
      <c r="DS16" s="19">
        <f t="shared" si="23"/>
        <v>734470057.91738451</v>
      </c>
      <c r="DT16" s="19">
        <f t="shared" si="24"/>
        <v>730020748.42280054</v>
      </c>
      <c r="DU16" s="19">
        <f t="shared" si="25"/>
        <v>807680231.9683162</v>
      </c>
      <c r="DV16" s="19">
        <f t="shared" si="26"/>
        <v>913586926.2137742</v>
      </c>
      <c r="DX16" s="19">
        <f t="shared" si="27"/>
        <v>1175538984.4099047</v>
      </c>
      <c r="DY16" s="19">
        <f t="shared" si="28"/>
        <v>1299249241.6682699</v>
      </c>
      <c r="DZ16" s="19">
        <f t="shared" si="29"/>
        <v>1937672774.4758325</v>
      </c>
      <c r="EA16" s="19">
        <f t="shared" si="30"/>
        <v>2306104888.6504412</v>
      </c>
      <c r="EB16" s="19">
        <f t="shared" si="31"/>
        <v>2723899751.1448975</v>
      </c>
      <c r="EC16" s="770">
        <f t="shared" si="32"/>
        <v>3185757964.5222754</v>
      </c>
    </row>
    <row r="17" spans="2:133" x14ac:dyDescent="0.2">
      <c r="B17" s="178" t="s">
        <v>191</v>
      </c>
      <c r="C17" s="19">
        <f>'D2C - Retail'!J19</f>
        <v>0</v>
      </c>
      <c r="D17" s="19">
        <f>'D2C - Retail'!K19</f>
        <v>0</v>
      </c>
      <c r="E17" s="19">
        <f>'D2C - Retail'!L19</f>
        <v>0</v>
      </c>
      <c r="F17" s="19">
        <f>'D2C - Retail'!M19</f>
        <v>0</v>
      </c>
      <c r="G17" s="19">
        <f>'D2C - Retail'!N19</f>
        <v>0</v>
      </c>
      <c r="H17" s="19">
        <f>'D2C - Retail'!O19</f>
        <v>0</v>
      </c>
      <c r="I17" s="19">
        <f>'D2C - Retail'!P19</f>
        <v>0</v>
      </c>
      <c r="J17" s="19">
        <f>'D2C - Retail'!Q19</f>
        <v>0</v>
      </c>
      <c r="K17" s="19">
        <f>'D2C - Retail'!R19</f>
        <v>0</v>
      </c>
      <c r="L17" s="19">
        <f>'D2C - Retail'!S19</f>
        <v>0</v>
      </c>
      <c r="M17" s="19">
        <f>'D2C - Retail'!T19</f>
        <v>0</v>
      </c>
      <c r="N17" s="19">
        <f>'D2C - Retail'!U19</f>
        <v>0</v>
      </c>
      <c r="O17" s="19">
        <f>'D2C - Retail'!V19</f>
        <v>0</v>
      </c>
      <c r="P17" s="19">
        <f>'D2C - Retail'!W19</f>
        <v>0</v>
      </c>
      <c r="Q17" s="19">
        <f>'D2C - Retail'!X19</f>
        <v>0</v>
      </c>
      <c r="R17" s="19">
        <f>'D2C - Retail'!Y19</f>
        <v>0</v>
      </c>
      <c r="S17" s="19">
        <f>'D2C - Retail'!Z19</f>
        <v>0</v>
      </c>
      <c r="T17" s="19">
        <f>'D2C - Retail'!AA19</f>
        <v>0</v>
      </c>
      <c r="U17" s="19">
        <f>'D2C - Retail'!AB19</f>
        <v>0</v>
      </c>
      <c r="V17" s="19">
        <f>'D2C - Retail'!AC19</f>
        <v>0</v>
      </c>
      <c r="W17" s="19">
        <f>'D2C - Retail'!AD19</f>
        <v>0</v>
      </c>
      <c r="X17" s="19">
        <f>'D2C - Retail'!AE19</f>
        <v>0</v>
      </c>
      <c r="Y17" s="19">
        <f>'D2C - Retail'!AF19</f>
        <v>0</v>
      </c>
      <c r="Z17" s="19">
        <f>'D2C - Retail'!AG19</f>
        <v>0</v>
      </c>
      <c r="AA17" s="19">
        <f>'D2C - Retail'!AH19</f>
        <v>0</v>
      </c>
      <c r="AB17" s="19">
        <f>'D2C - Retail'!AI19</f>
        <v>0</v>
      </c>
      <c r="AC17" s="19">
        <f>'D2C - Retail'!AJ19</f>
        <v>0</v>
      </c>
      <c r="AD17" s="19">
        <f>'D2C - Retail'!AK19</f>
        <v>0</v>
      </c>
      <c r="AE17" s="19">
        <f>'D2C - Retail'!AL19</f>
        <v>0</v>
      </c>
      <c r="AF17" s="19">
        <f>'D2C - Retail'!AM19</f>
        <v>0</v>
      </c>
      <c r="AG17" s="19">
        <f>'D2C - Retail'!AN19</f>
        <v>0</v>
      </c>
      <c r="AH17" s="19">
        <f>'D2C - Retail'!AO19</f>
        <v>0</v>
      </c>
      <c r="AI17" s="19">
        <f>'D2C - Retail'!AP19</f>
        <v>0</v>
      </c>
      <c r="AJ17" s="19">
        <f>'D2C - Retail'!AQ19</f>
        <v>0</v>
      </c>
      <c r="AK17" s="19">
        <f>'D2C - Retail'!AR19</f>
        <v>0</v>
      </c>
      <c r="AL17" s="19">
        <f>'D2C - Retail'!AS19</f>
        <v>0</v>
      </c>
      <c r="AM17" s="19">
        <f>'D2C - Retail'!AT19</f>
        <v>0</v>
      </c>
      <c r="AN17" s="19">
        <f>'D2C - Retail'!AU19</f>
        <v>0</v>
      </c>
      <c r="AO17" s="19">
        <f>'D2C - Retail'!AV19</f>
        <v>0</v>
      </c>
      <c r="AP17" s="19">
        <f>'D2C - Retail'!AW19</f>
        <v>0</v>
      </c>
      <c r="AQ17" s="19">
        <f>'D2C - Retail'!AX19</f>
        <v>0</v>
      </c>
      <c r="AR17" s="19">
        <f>'D2C - Retail'!AY19</f>
        <v>0</v>
      </c>
      <c r="AS17" s="19">
        <f>'D2C - Retail'!AZ19</f>
        <v>0</v>
      </c>
      <c r="AT17" s="19">
        <f>'D2C - Retail'!BA19</f>
        <v>0</v>
      </c>
      <c r="AU17" s="19">
        <f>'D2C - Retail'!BB19</f>
        <v>0</v>
      </c>
      <c r="AV17" s="19">
        <f>'D2C - Retail'!BC19</f>
        <v>0</v>
      </c>
      <c r="AW17" s="19">
        <f>'D2C - Retail'!BD19</f>
        <v>0</v>
      </c>
      <c r="AX17" s="19">
        <f>'D2C - Retail'!BE19</f>
        <v>0</v>
      </c>
      <c r="AY17" s="19">
        <f>'D2C - Retail'!BF19</f>
        <v>0</v>
      </c>
      <c r="AZ17" s="19">
        <f>'D2C - Retail'!BG19</f>
        <v>0</v>
      </c>
      <c r="BA17" s="19">
        <f>'D2C - Retail'!BH19</f>
        <v>0</v>
      </c>
      <c r="BB17" s="19">
        <f>'D2C - Retail'!BI19</f>
        <v>0</v>
      </c>
      <c r="BC17" s="19">
        <f>'D2C - Retail'!BJ19</f>
        <v>0</v>
      </c>
      <c r="BD17" s="19">
        <f>'D2C - Retail'!BK19</f>
        <v>0</v>
      </c>
      <c r="BE17" s="19">
        <f>'D2C - Retail'!BL19</f>
        <v>0</v>
      </c>
      <c r="BF17" s="19">
        <f>'D2C - Retail'!BM19</f>
        <v>0</v>
      </c>
      <c r="BG17" s="19">
        <f>'D2C - Retail'!BN19</f>
        <v>0</v>
      </c>
      <c r="BH17" s="19">
        <f>'D2C - Retail'!BO19</f>
        <v>0</v>
      </c>
      <c r="BI17" s="19">
        <f>'D2C - Retail'!BP19</f>
        <v>0</v>
      </c>
      <c r="BJ17" s="19">
        <f>'D2C - Retail'!BQ19</f>
        <v>0</v>
      </c>
      <c r="BK17" s="19">
        <f>'D2C - Retail'!BR19</f>
        <v>0</v>
      </c>
      <c r="BL17" s="19">
        <f>'D2C - Retail'!BS19</f>
        <v>0</v>
      </c>
      <c r="BM17" s="19">
        <f>'D2C - Retail'!BT19</f>
        <v>0</v>
      </c>
      <c r="BN17" s="19">
        <f>'D2C - Retail'!BU19</f>
        <v>0</v>
      </c>
      <c r="BO17" s="19">
        <f>'D2C - Retail'!BV19</f>
        <v>0</v>
      </c>
      <c r="BP17" s="19">
        <f>'D2C - Retail'!BW19</f>
        <v>0</v>
      </c>
      <c r="BQ17" s="19">
        <f>'D2C - Retail'!BX19</f>
        <v>0</v>
      </c>
      <c r="BR17" s="19">
        <f>'D2C - Retail'!BY19</f>
        <v>0</v>
      </c>
      <c r="BS17" s="19">
        <f>'D2C - Retail'!BZ19</f>
        <v>0</v>
      </c>
      <c r="BT17" s="19">
        <f>'D2C - Retail'!CA19</f>
        <v>0</v>
      </c>
      <c r="BU17" s="19">
        <f>'D2C - Retail'!CB19</f>
        <v>0</v>
      </c>
      <c r="BV17" s="19">
        <f>'D2C - Retail'!CC19</f>
        <v>0</v>
      </c>
      <c r="BW17" s="19">
        <f>'D2C - Retail'!CD19</f>
        <v>0</v>
      </c>
      <c r="BX17" s="19">
        <f>'D2C - Retail'!CE19</f>
        <v>0</v>
      </c>
      <c r="BY17" s="19">
        <f>'D2C - Retail'!CF19</f>
        <v>0</v>
      </c>
      <c r="BZ17" s="19">
        <f>'D2C - Retail'!CG19</f>
        <v>0</v>
      </c>
      <c r="CA17" s="19">
        <f>'D2C - Retail'!CH19</f>
        <v>0</v>
      </c>
      <c r="CB17" s="19">
        <f>'D2C - Retail'!CI19</f>
        <v>0</v>
      </c>
      <c r="CC17" s="19">
        <f>'D2C - Retail'!CJ19</f>
        <v>0</v>
      </c>
      <c r="CD17" s="19">
        <f>'D2C - Retail'!CK19</f>
        <v>0</v>
      </c>
      <c r="CE17" s="19">
        <f>'D2C - Retail'!CL19</f>
        <v>0</v>
      </c>
      <c r="CF17" s="19">
        <f>'D2C - Retail'!CM19</f>
        <v>0</v>
      </c>
      <c r="CG17" s="19">
        <f>'D2C - Retail'!CN19</f>
        <v>0</v>
      </c>
      <c r="CH17" s="19">
        <f>'D2C - Retail'!CO19</f>
        <v>0</v>
      </c>
      <c r="CI17" s="19">
        <f>'D2C - Retail'!CP19</f>
        <v>0</v>
      </c>
      <c r="CJ17" s="19">
        <f>'D2C - Retail'!CQ19</f>
        <v>0</v>
      </c>
      <c r="CK17" s="19">
        <f>'D2C - Retail'!CR19</f>
        <v>0</v>
      </c>
      <c r="CL17" s="19">
        <f>'D2C - Retail'!CS19</f>
        <v>0</v>
      </c>
      <c r="CM17" s="19">
        <f>'D2C - Retail'!CT19</f>
        <v>0</v>
      </c>
      <c r="CN17" s="19">
        <f>'D2C - Retail'!CU19</f>
        <v>0</v>
      </c>
      <c r="CO17" s="19">
        <f>'D2C - Retail'!CV19</f>
        <v>0</v>
      </c>
      <c r="CP17" s="19">
        <f>'D2C - Retail'!CW19</f>
        <v>0</v>
      </c>
      <c r="CQ17" s="19">
        <f>'D2C - Retail'!CX19</f>
        <v>0</v>
      </c>
      <c r="CR17" s="19">
        <f>'D2C - Retail'!CY19</f>
        <v>0</v>
      </c>
      <c r="CS17" s="19">
        <f>'D2C - Retail'!CZ19</f>
        <v>0</v>
      </c>
      <c r="CT17" s="19">
        <f>'D2C - Retail'!DA19</f>
        <v>0</v>
      </c>
      <c r="CU17" s="19">
        <f>'D2C - Retail'!DB19</f>
        <v>0</v>
      </c>
      <c r="CV17" s="19">
        <f>'D2C - Retail'!DC19</f>
        <v>0</v>
      </c>
      <c r="CW17" s="19">
        <f>'D2C - Retail'!DD19</f>
        <v>0</v>
      </c>
      <c r="CY17" s="19">
        <f t="shared" si="39"/>
        <v>0</v>
      </c>
      <c r="CZ17" s="19">
        <f t="shared" si="40"/>
        <v>0</v>
      </c>
      <c r="DA17" s="19">
        <f t="shared" si="41"/>
        <v>0</v>
      </c>
      <c r="DB17" s="19">
        <f t="shared" si="42"/>
        <v>0</v>
      </c>
      <c r="DC17" s="19">
        <f t="shared" si="43"/>
        <v>0</v>
      </c>
      <c r="DD17" s="19">
        <f t="shared" si="44"/>
        <v>0</v>
      </c>
      <c r="DE17" s="19">
        <f t="shared" si="45"/>
        <v>0</v>
      </c>
      <c r="DF17" s="19">
        <f t="shared" si="46"/>
        <v>0</v>
      </c>
      <c r="DG17" s="19">
        <f t="shared" si="47"/>
        <v>0</v>
      </c>
      <c r="DH17" s="19">
        <f t="shared" si="48"/>
        <v>0</v>
      </c>
      <c r="DI17" s="19">
        <f t="shared" si="49"/>
        <v>0</v>
      </c>
      <c r="DJ17" s="19">
        <f t="shared" si="50"/>
        <v>0</v>
      </c>
      <c r="DK17" s="19">
        <f t="shared" si="51"/>
        <v>0</v>
      </c>
      <c r="DL17" s="19">
        <f t="shared" si="52"/>
        <v>0</v>
      </c>
      <c r="DM17" s="19">
        <f t="shared" si="53"/>
        <v>0</v>
      </c>
      <c r="DN17" s="19">
        <f t="shared" si="54"/>
        <v>0</v>
      </c>
      <c r="DO17" s="19">
        <f t="shared" si="55"/>
        <v>0</v>
      </c>
      <c r="DP17" s="19">
        <f t="shared" si="56"/>
        <v>0</v>
      </c>
      <c r="DQ17" s="19">
        <f t="shared" si="57"/>
        <v>0</v>
      </c>
      <c r="DR17" s="19">
        <f t="shared" si="58"/>
        <v>0</v>
      </c>
      <c r="DS17" s="19">
        <f t="shared" si="23"/>
        <v>0</v>
      </c>
      <c r="DT17" s="19">
        <f t="shared" si="24"/>
        <v>0</v>
      </c>
      <c r="DU17" s="19">
        <f t="shared" si="25"/>
        <v>0</v>
      </c>
      <c r="DV17" s="19">
        <f t="shared" si="26"/>
        <v>0</v>
      </c>
      <c r="DX17" s="19">
        <f t="shared" si="27"/>
        <v>0</v>
      </c>
      <c r="DY17" s="19">
        <f t="shared" si="28"/>
        <v>0</v>
      </c>
      <c r="DZ17" s="19">
        <f t="shared" si="29"/>
        <v>0</v>
      </c>
      <c r="EA17" s="19">
        <f t="shared" si="30"/>
        <v>0</v>
      </c>
      <c r="EB17" s="19">
        <f t="shared" si="31"/>
        <v>0</v>
      </c>
      <c r="EC17" s="770">
        <f t="shared" si="32"/>
        <v>0</v>
      </c>
    </row>
    <row r="18" spans="2:133" x14ac:dyDescent="0.2">
      <c r="B18" s="178" t="s">
        <v>140</v>
      </c>
      <c r="C18" s="19">
        <f>'D2C - Retail'!J20</f>
        <v>0</v>
      </c>
      <c r="D18" s="19">
        <f>'D2C - Retail'!K20</f>
        <v>0</v>
      </c>
      <c r="E18" s="19">
        <f>'D2C - Retail'!L20</f>
        <v>0</v>
      </c>
      <c r="F18" s="19">
        <f>'D2C - Retail'!M20</f>
        <v>0</v>
      </c>
      <c r="G18" s="19">
        <f>'D2C - Retail'!N20</f>
        <v>0</v>
      </c>
      <c r="H18" s="19">
        <f>'D2C - Retail'!O20</f>
        <v>0</v>
      </c>
      <c r="I18" s="19">
        <f>'D2C - Retail'!P20</f>
        <v>0</v>
      </c>
      <c r="J18" s="19">
        <f>'D2C - Retail'!Q20</f>
        <v>0</v>
      </c>
      <c r="K18" s="19">
        <f>'D2C - Retail'!R20</f>
        <v>0</v>
      </c>
      <c r="L18" s="19">
        <f>'D2C - Retail'!S20</f>
        <v>0</v>
      </c>
      <c r="M18" s="19">
        <f>'D2C - Retail'!T20</f>
        <v>0</v>
      </c>
      <c r="N18" s="19">
        <f>'D2C - Retail'!U20</f>
        <v>0</v>
      </c>
      <c r="O18" s="19">
        <f>'D2C - Retail'!V20</f>
        <v>0</v>
      </c>
      <c r="P18" s="19">
        <f>'D2C - Retail'!W20</f>
        <v>0</v>
      </c>
      <c r="Q18" s="19">
        <f>'D2C - Retail'!X20</f>
        <v>0</v>
      </c>
      <c r="R18" s="19">
        <f>'D2C - Retail'!Y20</f>
        <v>0</v>
      </c>
      <c r="S18" s="19">
        <f>'D2C - Retail'!Z20</f>
        <v>0</v>
      </c>
      <c r="T18" s="19">
        <f>'D2C - Retail'!AA20</f>
        <v>0</v>
      </c>
      <c r="U18" s="19">
        <f>'D2C - Retail'!AB20</f>
        <v>0</v>
      </c>
      <c r="V18" s="19">
        <f>'D2C - Retail'!AC20</f>
        <v>0</v>
      </c>
      <c r="W18" s="19">
        <f>'D2C - Retail'!AD20</f>
        <v>0</v>
      </c>
      <c r="X18" s="19">
        <f>'D2C - Retail'!AE20</f>
        <v>0</v>
      </c>
      <c r="Y18" s="19">
        <f>'D2C - Retail'!AF20</f>
        <v>0</v>
      </c>
      <c r="Z18" s="19">
        <f>'D2C - Retail'!AG20</f>
        <v>0</v>
      </c>
      <c r="AA18" s="19">
        <f>'D2C - Retail'!AH20</f>
        <v>0</v>
      </c>
      <c r="AB18" s="19">
        <f>'D2C - Retail'!AI20</f>
        <v>0</v>
      </c>
      <c r="AC18" s="19">
        <f>'D2C - Retail'!AJ20</f>
        <v>0</v>
      </c>
      <c r="AD18" s="19">
        <f>'D2C - Retail'!AK20</f>
        <v>0</v>
      </c>
      <c r="AE18" s="19">
        <f>'D2C - Retail'!AL20</f>
        <v>0</v>
      </c>
      <c r="AF18" s="19">
        <f>'D2C - Retail'!AM20</f>
        <v>0</v>
      </c>
      <c r="AG18" s="19">
        <f>'D2C - Retail'!AN20</f>
        <v>0</v>
      </c>
      <c r="AH18" s="19">
        <f>'D2C - Retail'!AO20</f>
        <v>0</v>
      </c>
      <c r="AI18" s="19">
        <f>'D2C - Retail'!AP20</f>
        <v>0</v>
      </c>
      <c r="AJ18" s="19">
        <f>'D2C - Retail'!AQ20</f>
        <v>0</v>
      </c>
      <c r="AK18" s="19">
        <f>'D2C - Retail'!AR20</f>
        <v>0</v>
      </c>
      <c r="AL18" s="19">
        <f>'D2C - Retail'!AS20</f>
        <v>0</v>
      </c>
      <c r="AM18" s="19">
        <f>'D2C - Retail'!AT20</f>
        <v>0</v>
      </c>
      <c r="AN18" s="19">
        <f>'D2C - Retail'!AU20</f>
        <v>0</v>
      </c>
      <c r="AO18" s="19">
        <f>'D2C - Retail'!AV20</f>
        <v>0</v>
      </c>
      <c r="AP18" s="19">
        <f>'D2C - Retail'!AW20</f>
        <v>0</v>
      </c>
      <c r="AQ18" s="19">
        <f>'D2C - Retail'!AX20</f>
        <v>0</v>
      </c>
      <c r="AR18" s="19">
        <f>'D2C - Retail'!AY20</f>
        <v>0</v>
      </c>
      <c r="AS18" s="19">
        <f>'D2C - Retail'!AZ20</f>
        <v>0</v>
      </c>
      <c r="AT18" s="19">
        <f>'D2C - Retail'!BA20</f>
        <v>0</v>
      </c>
      <c r="AU18" s="19">
        <f>'D2C - Retail'!BB20</f>
        <v>0</v>
      </c>
      <c r="AV18" s="19">
        <f>'D2C - Retail'!BC20</f>
        <v>0</v>
      </c>
      <c r="AW18" s="19">
        <f>'D2C - Retail'!BD20</f>
        <v>0</v>
      </c>
      <c r="AX18" s="19">
        <f>'D2C - Retail'!BE20</f>
        <v>0</v>
      </c>
      <c r="AY18" s="19">
        <f>'D2C - Retail'!BF20</f>
        <v>0</v>
      </c>
      <c r="AZ18" s="19">
        <f>'D2C - Retail'!BG20</f>
        <v>189310.02000000002</v>
      </c>
      <c r="BA18" s="19">
        <f>'D2C - Retail'!BH20</f>
        <v>176254.53</v>
      </c>
      <c r="BB18" s="19">
        <f>'D2C - Retail'!BI20</f>
        <v>232064.62000000002</v>
      </c>
      <c r="BC18" s="19">
        <f>'D2C - Retail'!BJ20</f>
        <v>161752.22000000003</v>
      </c>
      <c r="BD18" s="19">
        <f>'D2C - Retail'!BK20</f>
        <v>134035.85</v>
      </c>
      <c r="BE18" s="19">
        <f>'D2C - Retail'!BL20</f>
        <v>171468.63000000006</v>
      </c>
      <c r="BF18" s="19">
        <f>'D2C - Retail'!BM20</f>
        <v>173021</v>
      </c>
      <c r="BG18" s="19">
        <f>'D2C - Retail'!BN20</f>
        <v>146805.84000000003</v>
      </c>
      <c r="BH18" s="19">
        <f>'D2C - Retail'!BO20</f>
        <v>137460.01999999999</v>
      </c>
      <c r="BI18" s="19">
        <f>'D2C - Retail'!BP20</f>
        <v>127817.29</v>
      </c>
      <c r="BJ18" s="19">
        <f>'D2C - Retail'!BQ20</f>
        <v>249906.49000000008</v>
      </c>
      <c r="BK18" s="19">
        <f>'D2C - Retail'!BR20</f>
        <v>8681</v>
      </c>
      <c r="BL18" s="19">
        <f>'D2C - Retail'!BS20</f>
        <v>118368.23</v>
      </c>
      <c r="BM18" s="19">
        <f>'D2C - Retail'!BT20</f>
        <v>122594.40999999999</v>
      </c>
      <c r="BN18" s="19">
        <f>'D2C - Retail'!BU20</f>
        <v>185382.32830615735</v>
      </c>
      <c r="BO18" s="19">
        <f>'D2C - Retail'!BV20</f>
        <v>186940.16299780575</v>
      </c>
      <c r="BP18" s="19">
        <f>'D2C - Retail'!BW20</f>
        <v>189276.9150352783</v>
      </c>
      <c r="BQ18" s="19">
        <f>'D2C - Retail'!BX20</f>
        <v>190834.7497269267</v>
      </c>
      <c r="BR18" s="19">
        <f>'D2C - Retail'!BY20</f>
        <v>193171.50176439929</v>
      </c>
      <c r="BS18" s="19">
        <f>'D2C - Retail'!BZ20</f>
        <v>196287.17114769603</v>
      </c>
      <c r="BT18" s="19">
        <f>'D2C - Retail'!CA20</f>
        <v>197845.00583934441</v>
      </c>
      <c r="BU18" s="19">
        <f>'D2C - Retail'!CB20</f>
        <v>200181.75787681699</v>
      </c>
      <c r="BV18" s="19">
        <f>'D2C - Retail'!CC20</f>
        <v>201739.59256846539</v>
      </c>
      <c r="BW18" s="19">
        <f>'D2C - Retail'!CD20</f>
        <v>203297.42726011373</v>
      </c>
      <c r="BX18" s="19">
        <f>'D2C - Retail'!CE20</f>
        <v>205634.17929758632</v>
      </c>
      <c r="BY18" s="19">
        <f>'D2C - Retail'!CF20</f>
        <v>208749.84868088306</v>
      </c>
      <c r="BZ18" s="19">
        <f>'D2C - Retail'!CG20</f>
        <v>210307.68337253146</v>
      </c>
      <c r="CA18" s="19">
        <f>'D2C - Retail'!CH20</f>
        <v>212644.43541000405</v>
      </c>
      <c r="CB18" s="19">
        <f>'D2C - Retail'!CI20</f>
        <v>214202.27010165242</v>
      </c>
      <c r="CC18" s="19">
        <f>'D2C - Retail'!CJ20</f>
        <v>215760.10479330079</v>
      </c>
      <c r="CD18" s="19">
        <f>'D2C - Retail'!CK20</f>
        <v>218096.85683077338</v>
      </c>
      <c r="CE18" s="19">
        <f>'D2C - Retail'!CL20</f>
        <v>221212.52621407015</v>
      </c>
      <c r="CF18" s="19">
        <f>'D2C - Retail'!CM20</f>
        <v>221991.44355989431</v>
      </c>
      <c r="CG18" s="19">
        <f>'D2C - Retail'!CN20</f>
        <v>223549.27825154271</v>
      </c>
      <c r="CH18" s="19">
        <f>'D2C - Retail'!CO20</f>
        <v>224328.1955973669</v>
      </c>
      <c r="CI18" s="19">
        <f>'D2C - Retail'!CP20</f>
        <v>225107.11294319108</v>
      </c>
      <c r="CJ18" s="19">
        <f>'D2C - Retail'!CQ20</f>
        <v>226664.94763483948</v>
      </c>
      <c r="CK18" s="19">
        <f>'D2C - Retail'!CR20</f>
        <v>227443.86498066367</v>
      </c>
      <c r="CL18" s="19">
        <f>'D2C - Retail'!CS20</f>
        <v>229001.69967231207</v>
      </c>
      <c r="CM18" s="19">
        <f>'D2C - Retail'!CT20</f>
        <v>231338.45170978463</v>
      </c>
      <c r="CN18" s="19">
        <f>'D2C - Retail'!CU20</f>
        <v>232896.286401433</v>
      </c>
      <c r="CO18" s="19">
        <f>'D2C - Retail'!CV20</f>
        <v>234454.1210930814</v>
      </c>
      <c r="CP18" s="19">
        <f>'D2C - Retail'!CW20</f>
        <v>236790.87313055395</v>
      </c>
      <c r="CQ18" s="19">
        <f>'D2C - Retail'!CX20</f>
        <v>239906.54251385073</v>
      </c>
      <c r="CR18" s="19">
        <f>'D2C - Retail'!CY20</f>
        <v>240685.45985967491</v>
      </c>
      <c r="CS18" s="19">
        <f>'D2C - Retail'!CZ20</f>
        <v>242243.29455132331</v>
      </c>
      <c r="CT18" s="19">
        <f>'D2C - Retail'!DA20</f>
        <v>243022.21189714747</v>
      </c>
      <c r="CU18" s="19">
        <f>'D2C - Retail'!DB20</f>
        <v>243801.12924297166</v>
      </c>
      <c r="CV18" s="19">
        <f>'D2C - Retail'!DC20</f>
        <v>245358.96393462006</v>
      </c>
      <c r="CW18" s="19">
        <f>'D2C - Retail'!DD20</f>
        <v>246137.88128044424</v>
      </c>
      <c r="CY18" s="19">
        <f t="shared" si="39"/>
        <v>0</v>
      </c>
      <c r="CZ18" s="19">
        <f t="shared" si="40"/>
        <v>0</v>
      </c>
      <c r="DA18" s="19">
        <f t="shared" si="41"/>
        <v>0</v>
      </c>
      <c r="DB18" s="19">
        <f t="shared" si="42"/>
        <v>0</v>
      </c>
      <c r="DC18" s="19">
        <f t="shared" si="43"/>
        <v>0</v>
      </c>
      <c r="DD18" s="19">
        <f t="shared" si="44"/>
        <v>0</v>
      </c>
      <c r="DE18" s="19">
        <f t="shared" si="45"/>
        <v>0</v>
      </c>
      <c r="DF18" s="19">
        <f t="shared" si="46"/>
        <v>365564.55000000005</v>
      </c>
      <c r="DG18" s="19">
        <f t="shared" si="47"/>
        <v>527852.69000000006</v>
      </c>
      <c r="DH18" s="19">
        <f t="shared" si="48"/>
        <v>491295.47000000009</v>
      </c>
      <c r="DI18" s="19">
        <f t="shared" si="49"/>
        <v>515183.80000000005</v>
      </c>
      <c r="DJ18" s="19">
        <f t="shared" si="50"/>
        <v>249643.63999999998</v>
      </c>
      <c r="DK18" s="19">
        <f t="shared" si="51"/>
        <v>561599.40633924142</v>
      </c>
      <c r="DL18" s="19">
        <f t="shared" si="52"/>
        <v>580293.42263902212</v>
      </c>
      <c r="DM18" s="19">
        <f t="shared" si="53"/>
        <v>599766.35628462676</v>
      </c>
      <c r="DN18" s="19">
        <f t="shared" si="54"/>
        <v>617681.45523858315</v>
      </c>
      <c r="DO18" s="19">
        <f t="shared" si="55"/>
        <v>637154.38888418791</v>
      </c>
      <c r="DP18" s="19">
        <f t="shared" si="56"/>
        <v>655069.4878381443</v>
      </c>
      <c r="DQ18" s="19">
        <f t="shared" si="57"/>
        <v>669868.91740880394</v>
      </c>
      <c r="DR18" s="19">
        <f t="shared" si="58"/>
        <v>679215.92555869417</v>
      </c>
      <c r="DS18" s="19">
        <f t="shared" si="23"/>
        <v>693236.43778352975</v>
      </c>
      <c r="DT18" s="19">
        <f t="shared" si="24"/>
        <v>711151.53673748602</v>
      </c>
      <c r="DU18" s="19">
        <f t="shared" si="25"/>
        <v>725950.96630814567</v>
      </c>
      <c r="DV18" s="19">
        <f t="shared" si="26"/>
        <v>735297.9744580359</v>
      </c>
      <c r="DX18" s="19">
        <f t="shared" si="27"/>
        <v>0</v>
      </c>
      <c r="DY18" s="19">
        <f t="shared" si="28"/>
        <v>365564.55000000005</v>
      </c>
      <c r="DZ18" s="19">
        <f t="shared" si="29"/>
        <v>1783975.6</v>
      </c>
      <c r="EA18" s="19">
        <f t="shared" si="30"/>
        <v>2359340.6405014736</v>
      </c>
      <c r="EB18" s="19">
        <f t="shared" si="31"/>
        <v>2641308.7196898302</v>
      </c>
      <c r="EC18" s="770">
        <f t="shared" si="32"/>
        <v>2865636.9152871976</v>
      </c>
    </row>
    <row r="19" spans="2:133" x14ac:dyDescent="0.2">
      <c r="B19" s="17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X19" s="19"/>
      <c r="DY19" s="19"/>
      <c r="DZ19" s="19"/>
      <c r="EA19" s="19"/>
      <c r="EB19" s="19"/>
      <c r="EC19" s="770">
        <f t="shared" si="32"/>
        <v>0</v>
      </c>
    </row>
    <row r="20" spans="2:133" x14ac:dyDescent="0.2">
      <c r="B20" s="155" t="s">
        <v>229</v>
      </c>
      <c r="C20" s="19">
        <f>'D2C - Retail'!J17</f>
        <v>2068956.62</v>
      </c>
      <c r="D20" s="19">
        <f>'D2C - Retail'!K17</f>
        <v>4367845.8299999973</v>
      </c>
      <c r="E20" s="19">
        <f>'D2C - Retail'!L17</f>
        <v>2991728.5800000005</v>
      </c>
      <c r="F20" s="19">
        <f>'D2C - Retail'!M17</f>
        <v>3273000.3599999584</v>
      </c>
      <c r="G20" s="19">
        <f>'D2C - Retail'!N17</f>
        <v>68026.060000000056</v>
      </c>
      <c r="H20" s="19">
        <f>'D2C - Retail'!O17</f>
        <v>2261112.4200000074</v>
      </c>
      <c r="I20" s="19">
        <f>'D2C - Retail'!P17</f>
        <v>2935903.5299998708</v>
      </c>
      <c r="J20" s="19">
        <f>'D2C - Retail'!Q17</f>
        <v>3832517.8299999163</v>
      </c>
      <c r="K20" s="19">
        <f>'D2C - Retail'!R17</f>
        <v>5223546.9300000295</v>
      </c>
      <c r="L20" s="19">
        <f>'D2C - Retail'!S17</f>
        <v>5010994.1099999994</v>
      </c>
      <c r="M20" s="19">
        <f>'D2C - Retail'!T17</f>
        <v>8870323.5000004321</v>
      </c>
      <c r="N20" s="19">
        <f>'D2C - Retail'!U17</f>
        <v>11043675.230001688</v>
      </c>
      <c r="O20" s="19">
        <f>'D2C - Retail'!V17</f>
        <v>11543984.63000071</v>
      </c>
      <c r="P20" s="19">
        <f>'D2C - Retail'!W17</f>
        <v>12557387.539999999</v>
      </c>
      <c r="Q20" s="19">
        <f>'D2C - Retail'!X17</f>
        <v>14143405.550000001</v>
      </c>
      <c r="R20" s="19">
        <f>'D2C - Retail'!Y17</f>
        <v>10998459.319999956</v>
      </c>
      <c r="S20" s="19">
        <f>'D2C - Retail'!Z17</f>
        <v>13431049.749999998</v>
      </c>
      <c r="T20" s="19">
        <f>'D2C - Retail'!AA17</f>
        <v>15045215.310000077</v>
      </c>
      <c r="U20" s="19">
        <f>'D2C - Retail'!AB17</f>
        <v>12127726.770000031</v>
      </c>
      <c r="V20" s="19">
        <f>'D2C - Retail'!AC17</f>
        <v>10761139.590000037</v>
      </c>
      <c r="W20" s="19">
        <f>'D2C - Retail'!AD17</f>
        <v>9409463.5900000054</v>
      </c>
      <c r="X20" s="19">
        <f>'D2C - Retail'!AE17</f>
        <v>8817711.4900000021</v>
      </c>
      <c r="Y20" s="19">
        <f>'D2C - Retail'!AF17</f>
        <v>7108167.8299999889</v>
      </c>
      <c r="Z20" s="19">
        <f>'D2C - Retail'!AG17</f>
        <v>10576661.069999991</v>
      </c>
      <c r="AA20" s="19">
        <f>'D2C - Retail'!AH17</f>
        <v>11054463.079999998</v>
      </c>
      <c r="AB20" s="19">
        <f>'D2C - Retail'!AI17</f>
        <v>11038924.030000005</v>
      </c>
      <c r="AC20" s="19">
        <f>'D2C - Retail'!AJ17</f>
        <v>16531850.890000023</v>
      </c>
      <c r="AD20" s="19">
        <f>'D2C - Retail'!AK17</f>
        <v>20375512.290000118</v>
      </c>
      <c r="AE20" s="19">
        <f>'D2C - Retail'!AL17</f>
        <v>23840624.250000108</v>
      </c>
      <c r="AF20" s="19">
        <f>'D2C - Retail'!AM17</f>
        <v>25619441.960000113</v>
      </c>
      <c r="AG20" s="19">
        <f>'D2C - Retail'!AN17</f>
        <v>25770806.62000015</v>
      </c>
      <c r="AH20" s="19">
        <f>'D2C - Retail'!AO17</f>
        <v>24796270.190000203</v>
      </c>
      <c r="AI20" s="19">
        <f>'D2C - Retail'!AP17</f>
        <v>24223043.080000162</v>
      </c>
      <c r="AJ20" s="19">
        <f>'D2C - Retail'!AQ17</f>
        <v>27710283.940000098</v>
      </c>
      <c r="AK20" s="19">
        <f>'D2C - Retail'!AR17</f>
        <v>22343150.619999979</v>
      </c>
      <c r="AL20" s="19">
        <f>'D2C - Retail'!AS17</f>
        <v>20604913.030000005</v>
      </c>
      <c r="AM20" s="19">
        <f>'D2C - Retail'!AT17</f>
        <v>18608746.679999955</v>
      </c>
      <c r="AN20" s="19">
        <f>'D2C - Retail'!AU17</f>
        <v>19194313.129999984</v>
      </c>
      <c r="AO20" s="19">
        <f>'D2C - Retail'!AV17</f>
        <v>24341100</v>
      </c>
      <c r="AP20" s="19">
        <f>'D2C - Retail'!AW17</f>
        <v>24604390.750000104</v>
      </c>
      <c r="AQ20" s="19">
        <f>'D2C - Retail'!AX17</f>
        <v>22977350.029999942</v>
      </c>
      <c r="AR20" s="19">
        <f>'D2C - Retail'!AY17</f>
        <v>22085517.069999963</v>
      </c>
      <c r="AS20" s="19">
        <f>'D2C - Retail'!AZ17</f>
        <v>27306813.12000002</v>
      </c>
      <c r="AT20" s="19">
        <f>'D2C - Retail'!BA17</f>
        <v>23290863.169999931</v>
      </c>
      <c r="AU20" s="19">
        <f>'D2C - Retail'!BB17</f>
        <v>25601906.309999935</v>
      </c>
      <c r="AV20" s="19">
        <f>'D2C - Retail'!BC17</f>
        <v>17912273.679999981</v>
      </c>
      <c r="AW20" s="19">
        <f>'D2C - Retail'!BD17</f>
        <v>25796588.840000004</v>
      </c>
      <c r="AX20" s="19">
        <f>'D2C - Retail'!BE17</f>
        <v>30517008.910000134</v>
      </c>
      <c r="AY20" s="19">
        <f>'D2C - Retail'!BF17</f>
        <v>36379918.180026025</v>
      </c>
      <c r="AZ20" s="19">
        <f>'D2C - Retail'!BG17</f>
        <v>35443697.910057932</v>
      </c>
      <c r="BA20" s="19">
        <f>'D2C - Retail'!BH17</f>
        <v>39465340.150000237</v>
      </c>
      <c r="BB20" s="19">
        <f>'D2C - Retail'!BI17</f>
        <v>42482265.380003251</v>
      </c>
      <c r="BC20" s="19">
        <f>'D2C - Retail'!BJ17</f>
        <v>45465982.810000286</v>
      </c>
      <c r="BD20" s="19">
        <f>'D2C - Retail'!BK17</f>
        <v>40341959.620006375</v>
      </c>
      <c r="BE20" s="19">
        <f>'D2C - Retail'!BL17</f>
        <v>46870170.000000142</v>
      </c>
      <c r="BF20" s="19">
        <f>'D2C - Retail'!BM17</f>
        <v>38785726.240000106</v>
      </c>
      <c r="BG20" s="19">
        <f>'D2C - Retail'!BN17</f>
        <v>39860910.350000069</v>
      </c>
      <c r="BH20" s="19">
        <f>'D2C - Retail'!BO17</f>
        <v>37443084.069999993</v>
      </c>
      <c r="BI20" s="19">
        <f>'D2C - Retail'!BP17</f>
        <v>38780500.059999987</v>
      </c>
      <c r="BJ20" s="19">
        <f>'D2C - Retail'!BQ17</f>
        <v>40195593.830000013</v>
      </c>
      <c r="BK20" s="19">
        <f>'D2C - Retail'!BR17</f>
        <v>50230534.250000067</v>
      </c>
      <c r="BL20" s="19">
        <f>'D2C - Retail'!BS17</f>
        <v>47794579.180000052</v>
      </c>
      <c r="BM20" s="19">
        <f>'D2C - Retail'!BT17</f>
        <v>53161003.69000002</v>
      </c>
      <c r="BN20" s="19">
        <f>'D2C - Retail'!BU17</f>
        <v>59347698.7296855</v>
      </c>
      <c r="BO20" s="19">
        <f>'D2C - Retail'!BV17</f>
        <v>57974297.091359176</v>
      </c>
      <c r="BP20" s="19">
        <f>'D2C - Retail'!BW17</f>
        <v>57780155.438567594</v>
      </c>
      <c r="BQ20" s="19">
        <f>'D2C - Retail'!BX17</f>
        <v>62947910.784465604</v>
      </c>
      <c r="BR20" s="19">
        <f>'D2C - Retail'!BY17</f>
        <v>55631315.795327604</v>
      </c>
      <c r="BS20" s="19">
        <f>'D2C - Retail'!BZ17</f>
        <v>51204184.256123461</v>
      </c>
      <c r="BT20" s="19">
        <f>'D2C - Retail'!CA17</f>
        <v>65155926.197005339</v>
      </c>
      <c r="BU20" s="19">
        <f>'D2C - Retail'!CB17</f>
        <v>59520844.571181715</v>
      </c>
      <c r="BV20" s="19">
        <f>'D2C - Retail'!CC17</f>
        <v>71785928.989360392</v>
      </c>
      <c r="BW20" s="19">
        <f>'D2C - Retail'!CD17</f>
        <v>73640539.502611056</v>
      </c>
      <c r="BX20" s="19">
        <f>'D2C - Retail'!CE17</f>
        <v>68032213.087603778</v>
      </c>
      <c r="BY20" s="19">
        <f>'D2C - Retail'!CF17</f>
        <v>79958082.532864183</v>
      </c>
      <c r="BZ20" s="19">
        <f>'D2C - Retail'!CG17</f>
        <v>70693582.3103607</v>
      </c>
      <c r="CA20" s="19">
        <f>'D2C - Retail'!CH17</f>
        <v>69243051.088492125</v>
      </c>
      <c r="CB20" s="19">
        <f>'D2C - Retail'!CI17</f>
        <v>68658518.036569536</v>
      </c>
      <c r="CC20" s="19">
        <f>'D2C - Retail'!CJ17</f>
        <v>74728162.65984419</v>
      </c>
      <c r="CD20" s="19">
        <f>'D2C - Retail'!CK17</f>
        <v>65950027.596073888</v>
      </c>
      <c r="CE20" s="19">
        <f>'D2C - Retail'!CL17</f>
        <v>60591618.036412805</v>
      </c>
      <c r="CF20" s="19">
        <f>'D2C - Retail'!CM17</f>
        <v>76763428.797062412</v>
      </c>
      <c r="CG20" s="19">
        <f>'D2C - Retail'!CN17</f>
        <v>69792243.235508233</v>
      </c>
      <c r="CH20" s="19">
        <f>'D2C - Retail'!CO17</f>
        <v>83814922.495685697</v>
      </c>
      <c r="CI20" s="19">
        <f>'D2C - Retail'!CP17</f>
        <v>85617707.70907025</v>
      </c>
      <c r="CJ20" s="19">
        <f>'D2C - Retail'!CQ17</f>
        <v>78739555.715595976</v>
      </c>
      <c r="CK20" s="19">
        <f>'D2C - Retail'!CR17</f>
        <v>91474433.226030439</v>
      </c>
      <c r="CL20" s="19">
        <f>'D2C - Retail'!CS17</f>
        <v>80826329.108179078</v>
      </c>
      <c r="CM20" s="19">
        <f>'D2C - Retail'!CT17</f>
        <v>79096869.897239104</v>
      </c>
      <c r="CN20" s="19">
        <f>'D2C - Retail'!CU17</f>
        <v>78383060.863930956</v>
      </c>
      <c r="CO20" s="19">
        <f>'D2C - Retail'!CV17</f>
        <v>85262945.157558724</v>
      </c>
      <c r="CP20" s="19">
        <f>'D2C - Retail'!CW17</f>
        <v>75183031.459524244</v>
      </c>
      <c r="CQ20" s="19">
        <f>'D2C - Retail'!CX17</f>
        <v>68997638.285126418</v>
      </c>
      <c r="CR20" s="19">
        <f>'D2C - Retail'!CY17</f>
        <v>87389103.414761066</v>
      </c>
      <c r="CS20" s="19">
        <f>'D2C - Retail'!CZ17</f>
        <v>79409954.803328276</v>
      </c>
      <c r="CT20" s="19">
        <f>'D2C - Retail'!DA17</f>
        <v>95339474.338842466</v>
      </c>
      <c r="CU20" s="19">
        <f>'D2C - Retail'!DB17</f>
        <v>97364220.20271948</v>
      </c>
      <c r="CV20" s="19">
        <f>'D2C - Retail'!DC17</f>
        <v>89495216.67674695</v>
      </c>
      <c r="CW20" s="19">
        <f>'D2C - Retail'!DD17</f>
        <v>103942523.78218117</v>
      </c>
      <c r="CY20" s="19">
        <f t="shared" si="39"/>
        <v>69835578.500000343</v>
      </c>
      <c r="CZ20" s="19">
        <f t="shared" si="40"/>
        <v>74790119.890000522</v>
      </c>
      <c r="DA20" s="19">
        <f t="shared" si="41"/>
        <v>70658347.590000078</v>
      </c>
      <c r="DB20" s="19">
        <f t="shared" si="42"/>
        <v>62144159.809999943</v>
      </c>
      <c r="DC20" s="19">
        <f t="shared" si="43"/>
        <v>69667257.850000009</v>
      </c>
      <c r="DD20" s="19">
        <f t="shared" si="44"/>
        <v>76199582.599999875</v>
      </c>
      <c r="DE20" s="19">
        <f t="shared" si="45"/>
        <v>74225871.430000111</v>
      </c>
      <c r="DF20" s="19">
        <f t="shared" si="46"/>
        <v>111288956.2400842</v>
      </c>
      <c r="DG20" s="19">
        <f t="shared" si="47"/>
        <v>128290207.81000993</v>
      </c>
      <c r="DH20" s="19">
        <f t="shared" si="48"/>
        <v>125516806.59000032</v>
      </c>
      <c r="DI20" s="19">
        <f t="shared" si="49"/>
        <v>116419177.95999999</v>
      </c>
      <c r="DJ20" s="19">
        <f t="shared" si="50"/>
        <v>151186117.12000015</v>
      </c>
      <c r="DK20" s="19">
        <f t="shared" si="51"/>
        <v>175102151.25961226</v>
      </c>
      <c r="DL20" s="19">
        <f t="shared" si="52"/>
        <v>169783410.83591667</v>
      </c>
      <c r="DM20" s="19">
        <f t="shared" si="53"/>
        <v>196462699.75754744</v>
      </c>
      <c r="DN20" s="19">
        <f t="shared" si="54"/>
        <v>221630835.12307903</v>
      </c>
      <c r="DO20" s="19">
        <f t="shared" si="55"/>
        <v>208595151.43542236</v>
      </c>
      <c r="DP20" s="19">
        <f t="shared" si="56"/>
        <v>201269808.29233089</v>
      </c>
      <c r="DQ20" s="19">
        <f t="shared" si="57"/>
        <v>230370594.52825636</v>
      </c>
      <c r="DR20" s="19">
        <f t="shared" si="58"/>
        <v>255831696.65069667</v>
      </c>
      <c r="DS20" s="19">
        <f t="shared" si="23"/>
        <v>238306259.86934912</v>
      </c>
      <c r="DT20" s="19">
        <f t="shared" si="24"/>
        <v>229443614.90220937</v>
      </c>
      <c r="DU20" s="19">
        <f t="shared" si="25"/>
        <v>262138532.55693179</v>
      </c>
      <c r="DV20" s="19">
        <f t="shared" si="26"/>
        <v>290801960.66164756</v>
      </c>
      <c r="DX20" s="19">
        <f t="shared" si="27"/>
        <v>277428205.79000092</v>
      </c>
      <c r="DY20" s="19">
        <f t="shared" si="28"/>
        <v>331381668.12008417</v>
      </c>
      <c r="DZ20" s="19">
        <f t="shared" si="29"/>
        <v>521412309.48001039</v>
      </c>
      <c r="EA20" s="19">
        <f t="shared" si="30"/>
        <v>762979096.97615552</v>
      </c>
      <c r="EB20" s="19">
        <f t="shared" si="31"/>
        <v>896067250.90670621</v>
      </c>
      <c r="EC20" s="770">
        <f t="shared" si="32"/>
        <v>1020690367.9901378</v>
      </c>
    </row>
    <row r="21" spans="2:133" x14ac:dyDescent="0.2">
      <c r="B21" s="155" t="s">
        <v>237</v>
      </c>
      <c r="C21" s="19">
        <f>'D2C Online'!AA16</f>
        <v>32518</v>
      </c>
      <c r="D21" s="19">
        <f>'D2C Online'!AB16</f>
        <v>191679</v>
      </c>
      <c r="E21" s="19">
        <f>'D2C Online'!AC16</f>
        <v>247318</v>
      </c>
      <c r="F21" s="19">
        <f>'D2C Online'!AD16</f>
        <v>208143.07999999961</v>
      </c>
      <c r="G21" s="19">
        <f>'D2C Online'!AE16</f>
        <v>184705.0999999973</v>
      </c>
      <c r="H21" s="19">
        <f>'D2C Online'!AF16</f>
        <v>151295.04999999516</v>
      </c>
      <c r="I21" s="19">
        <f>'D2C Online'!AG16</f>
        <v>367997</v>
      </c>
      <c r="J21" s="19">
        <f>'D2C Online'!AH16</f>
        <v>103185</v>
      </c>
      <c r="K21" s="19">
        <f>'D2C Online'!AI16</f>
        <v>55683</v>
      </c>
      <c r="L21" s="19">
        <f>'D2C Online'!AJ16</f>
        <v>1152032.0499999998</v>
      </c>
      <c r="M21" s="19">
        <f>'D2C Online'!AK16</f>
        <v>948856.05000000075</v>
      </c>
      <c r="N21" s="19">
        <f>'D2C Online'!AL16</f>
        <v>1635594</v>
      </c>
      <c r="O21" s="19">
        <f>'D2C Online'!AM16</f>
        <v>1921789.1699999981</v>
      </c>
      <c r="P21" s="19">
        <f>'D2C Online'!AN16</f>
        <v>2919967</v>
      </c>
      <c r="Q21" s="19">
        <f>'D2C Online'!AO16</f>
        <v>10653825.199999999</v>
      </c>
      <c r="R21" s="19">
        <f>'D2C Online'!AP16</f>
        <v>5332350.99</v>
      </c>
      <c r="S21" s="19">
        <f>'D2C Online'!AQ16</f>
        <v>4489392.0600000005</v>
      </c>
      <c r="T21" s="19">
        <f>'D2C Online'!AR16</f>
        <v>14616234.359999999</v>
      </c>
      <c r="U21" s="19">
        <f>'D2C Online'!AS16</f>
        <v>19886846.319999982</v>
      </c>
      <c r="V21" s="19">
        <f>'D2C Online'!AT16</f>
        <v>18850241.759999979</v>
      </c>
      <c r="W21" s="19">
        <f>'D2C Online'!AU16</f>
        <v>22870050.129999984</v>
      </c>
      <c r="X21" s="19">
        <f>'D2C Online'!AV16</f>
        <v>22352591.139999986</v>
      </c>
      <c r="Y21" s="19">
        <f>'D2C Online'!AW16</f>
        <v>20401411.25</v>
      </c>
      <c r="Z21" s="19">
        <f>'D2C Online'!AX16</f>
        <v>26628443.859999981</v>
      </c>
      <c r="AA21" s="19">
        <f>'D2C Online'!AY16</f>
        <v>21813497.07</v>
      </c>
      <c r="AB21" s="19">
        <f>'D2C Online'!AZ16</f>
        <v>28392750.70999999</v>
      </c>
      <c r="AC21" s="19">
        <f>'D2C Online'!BA16</f>
        <v>64248156.350000121</v>
      </c>
      <c r="AD21" s="19">
        <f>'D2C Online'!BB16</f>
        <v>68636000.702900261</v>
      </c>
      <c r="AE21" s="19">
        <f>'D2C Online'!BC16</f>
        <v>64181226.428300701</v>
      </c>
      <c r="AF21" s="19">
        <f>'D2C Online'!BD16</f>
        <v>61811032.316796906</v>
      </c>
      <c r="AG21" s="19">
        <f>'D2C Online'!BE16</f>
        <v>83797824.555950761</v>
      </c>
      <c r="AH21" s="19">
        <f>'D2C Online'!BF16</f>
        <v>64337075.079313576</v>
      </c>
      <c r="AI21" s="19">
        <f>'D2C Online'!BG16</f>
        <v>80094705.911831737</v>
      </c>
      <c r="AJ21" s="19">
        <f>'D2C Online'!BH16</f>
        <v>110750679.92354873</v>
      </c>
      <c r="AK21" s="19">
        <f>'D2C Online'!BI16</f>
        <v>86969746.886757255</v>
      </c>
      <c r="AL21" s="19">
        <f>'D2C Online'!BJ16</f>
        <v>68662283.398047894</v>
      </c>
      <c r="AM21" s="19">
        <f>'D2C Online'!BK16</f>
        <v>69485129.439170867</v>
      </c>
      <c r="AN21" s="19">
        <f>'D2C Online'!BL16</f>
        <v>78284819.977285311</v>
      </c>
      <c r="AO21" s="19">
        <f>'D2C Online'!BM16</f>
        <v>61100254</v>
      </c>
      <c r="AP21" s="19">
        <f>'D2C Online'!BN16</f>
        <v>67336287.00135459</v>
      </c>
      <c r="AQ21" s="19">
        <f>'D2C Online'!BO16</f>
        <v>72663141.375642285</v>
      </c>
      <c r="AR21" s="19">
        <f>'D2C Online'!BP16</f>
        <v>70978356.135166034</v>
      </c>
      <c r="AS21" s="19">
        <f>'D2C Online'!BQ16</f>
        <v>76374290.018131271</v>
      </c>
      <c r="AT21" s="19">
        <f>'D2C Online'!BR16</f>
        <v>81213938.385640159</v>
      </c>
      <c r="AU21" s="19">
        <f>'D2C Online'!BS16</f>
        <v>82608537.574527636</v>
      </c>
      <c r="AV21" s="19">
        <f>'D2C Online'!BT16</f>
        <v>70181602.439170733</v>
      </c>
      <c r="AW21" s="19">
        <f>'D2C Online'!BU16</f>
        <v>76134056.059188887</v>
      </c>
      <c r="AX21" s="19">
        <f>'D2C Online'!BV16</f>
        <v>71718804.892820045</v>
      </c>
      <c r="AY21" s="19">
        <f>'D2C Online'!BW16</f>
        <v>88276103.901116952</v>
      </c>
      <c r="AZ21" s="19">
        <f>'D2C Online'!BX16</f>
        <v>87900977.298842773</v>
      </c>
      <c r="BA21" s="19">
        <f>'D2C Online'!BY16</f>
        <v>122481478.46658428</v>
      </c>
      <c r="BB21" s="19">
        <f>'D2C Online'!BZ16</f>
        <v>130288537.13456243</v>
      </c>
      <c r="BC21" s="19">
        <f>'D2C Online'!CA16</f>
        <v>126101952.34102412</v>
      </c>
      <c r="BD21" s="19">
        <f>'D2C Online'!CB16</f>
        <v>125553900.74023493</v>
      </c>
      <c r="BE21" s="19">
        <f>'D2C Online'!CC16</f>
        <v>116592179.83000053</v>
      </c>
      <c r="BF21" s="19">
        <f>'D2C Online'!CD16</f>
        <v>113948660.62000078</v>
      </c>
      <c r="BG21" s="19">
        <f>'D2C Online'!CE16</f>
        <v>61477975.21000044</v>
      </c>
      <c r="BH21" s="19">
        <f>'D2C Online'!CF16</f>
        <v>127727227.58999993</v>
      </c>
      <c r="BI21" s="19">
        <f>'D2C Online'!CG16</f>
        <v>114688809.56999992</v>
      </c>
      <c r="BJ21" s="19">
        <f>'D2C Online'!CH16</f>
        <v>127168565.17000028</v>
      </c>
      <c r="BK21" s="19">
        <f>'D2C Online'!CI16</f>
        <v>131547257.53999972</v>
      </c>
      <c r="BL21" s="19">
        <f>'D2C Online'!CJ16</f>
        <v>117221203.89999908</v>
      </c>
      <c r="BM21" s="19">
        <f>'D2C Online'!CK16</f>
        <v>123944195.34999995</v>
      </c>
      <c r="BN21" s="19">
        <f>'D2C Online'!CL16</f>
        <v>117111847.43208978</v>
      </c>
      <c r="BO21" s="19">
        <f>'D2C Online'!CM16</f>
        <v>118303771.68478613</v>
      </c>
      <c r="BP21" s="19">
        <f>'D2C Online'!CN16</f>
        <v>118219138.01003847</v>
      </c>
      <c r="BQ21" s="19">
        <f>'D2C Online'!CO16</f>
        <v>120003497.98596853</v>
      </c>
      <c r="BR21" s="19">
        <f>'D2C Online'!CP16</f>
        <v>113077642.26911744</v>
      </c>
      <c r="BS21" s="19">
        <f>'D2C Online'!CQ16</f>
        <v>123699168.44995016</v>
      </c>
      <c r="BT21" s="19">
        <f>'D2C Online'!CR16</f>
        <v>120278557.42889847</v>
      </c>
      <c r="BU21" s="19">
        <f>'D2C Online'!CS16</f>
        <v>120560669.67805737</v>
      </c>
      <c r="BV21" s="19">
        <f>'D2C Online'!CT16</f>
        <v>147989033.10253173</v>
      </c>
      <c r="BW21" s="19">
        <f>'D2C Online'!CU16</f>
        <v>159456896.03084117</v>
      </c>
      <c r="BX21" s="19">
        <f>'D2C Online'!CV16</f>
        <v>136704543.1361756</v>
      </c>
      <c r="BY21" s="19">
        <f>'D2C Online'!CW16</f>
        <v>147721026.46583077</v>
      </c>
      <c r="BZ21" s="19">
        <f>'D2C Online'!CX16</f>
        <v>138718983.28331032</v>
      </c>
      <c r="CA21" s="19">
        <f>'D2C Online'!CY16</f>
        <v>140130817.56062916</v>
      </c>
      <c r="CB21" s="19">
        <f>'D2C Online'!CZ16</f>
        <v>140030568.97289056</v>
      </c>
      <c r="CC21" s="19">
        <f>'D2C Online'!DA16</f>
        <v>142144143.3643797</v>
      </c>
      <c r="CD21" s="19">
        <f>'D2C Online'!DB16</f>
        <v>133940467.26776959</v>
      </c>
      <c r="CE21" s="19">
        <f>'D2C Online'!DC16</f>
        <v>146521665.02896595</v>
      </c>
      <c r="CF21" s="19">
        <f>'D2C Online'!DD16</f>
        <v>142469951.2745302</v>
      </c>
      <c r="CG21" s="19">
        <f>'D2C Online'!DE16</f>
        <v>142804113.23365894</v>
      </c>
      <c r="CH21" s="19">
        <f>'D2C Online'!DF16</f>
        <v>175293009.70994884</v>
      </c>
      <c r="CI21" s="19">
        <f>'D2C Online'!DG16</f>
        <v>188876693.34853137</v>
      </c>
      <c r="CJ21" s="19">
        <f>'D2C Online'!DH16</f>
        <v>161926531.3448</v>
      </c>
      <c r="CK21" s="19">
        <f>'D2C Online'!DI16</f>
        <v>174975555.84877658</v>
      </c>
      <c r="CL21" s="19">
        <f>'D2C Online'!DJ16</f>
        <v>164312635.69908112</v>
      </c>
      <c r="CM21" s="19">
        <f>'D2C Online'!DK16</f>
        <v>165984953.4005653</v>
      </c>
      <c r="CN21" s="19">
        <f>'D2C Online'!DL16</f>
        <v>165866208.9483889</v>
      </c>
      <c r="CO21" s="19">
        <f>'D2C Online'!DM16</f>
        <v>168369737.81510782</v>
      </c>
      <c r="CP21" s="19">
        <f>'D2C Online'!DN16</f>
        <v>158652483.47867313</v>
      </c>
      <c r="CQ21" s="19">
        <f>'D2C Online'!DO16</f>
        <v>173554912.22681022</v>
      </c>
      <c r="CR21" s="19">
        <f>'D2C Online'!DP16</f>
        <v>168755657.28468105</v>
      </c>
      <c r="CS21" s="19">
        <f>'D2C Online'!DQ16</f>
        <v>169151472.125269</v>
      </c>
      <c r="CT21" s="19">
        <f>'D2C Online'!DR16</f>
        <v>207634570.00143439</v>
      </c>
      <c r="CU21" s="19">
        <f>'D2C Online'!DS16</f>
        <v>223724443.27133533</v>
      </c>
      <c r="CV21" s="19">
        <f>'D2C Online'!DT16</f>
        <v>191801976.37791553</v>
      </c>
      <c r="CW21" s="19">
        <f>'D2C Online'!DU16</f>
        <v>207258545.90287578</v>
      </c>
      <c r="CY21" s="19">
        <f t="shared" si="39"/>
        <v>194628259.44799787</v>
      </c>
      <c r="CZ21" s="19">
        <f t="shared" si="40"/>
        <v>228229605.54709607</v>
      </c>
      <c r="DA21" s="19">
        <f t="shared" si="41"/>
        <v>266382710.20835388</v>
      </c>
      <c r="DB21" s="19">
        <f t="shared" si="42"/>
        <v>208870203.41645616</v>
      </c>
      <c r="DC21" s="19">
        <f t="shared" si="43"/>
        <v>210977784.51216292</v>
      </c>
      <c r="DD21" s="19">
        <f t="shared" si="44"/>
        <v>240196765.97829908</v>
      </c>
      <c r="DE21" s="19">
        <f t="shared" si="45"/>
        <v>218034463.39117968</v>
      </c>
      <c r="DF21" s="19">
        <f t="shared" si="46"/>
        <v>298658559.66654402</v>
      </c>
      <c r="DG21" s="19">
        <f t="shared" si="47"/>
        <v>381944390.21582144</v>
      </c>
      <c r="DH21" s="19">
        <f t="shared" si="48"/>
        <v>292018815.66000175</v>
      </c>
      <c r="DI21" s="19">
        <f t="shared" si="49"/>
        <v>369584602.33000016</v>
      </c>
      <c r="DJ21" s="19">
        <f t="shared" si="50"/>
        <v>372712656.78999877</v>
      </c>
      <c r="DK21" s="19">
        <f t="shared" si="51"/>
        <v>353634757.12691438</v>
      </c>
      <c r="DL21" s="19">
        <f t="shared" si="52"/>
        <v>356780308.70503616</v>
      </c>
      <c r="DM21" s="19">
        <f t="shared" si="53"/>
        <v>388828260.20948756</v>
      </c>
      <c r="DN21" s="19">
        <f t="shared" si="54"/>
        <v>443882465.63284755</v>
      </c>
      <c r="DO21" s="19">
        <f t="shared" si="55"/>
        <v>418880369.81683004</v>
      </c>
      <c r="DP21" s="19">
        <f t="shared" si="56"/>
        <v>422606275.66111523</v>
      </c>
      <c r="DQ21" s="19">
        <f t="shared" si="57"/>
        <v>460567074.21813798</v>
      </c>
      <c r="DR21" s="19">
        <f t="shared" si="58"/>
        <v>525778780.54210794</v>
      </c>
      <c r="DS21" s="19">
        <f t="shared" si="23"/>
        <v>496163798.04803538</v>
      </c>
      <c r="DT21" s="19">
        <f t="shared" si="24"/>
        <v>500577133.52059114</v>
      </c>
      <c r="DU21" s="19">
        <f t="shared" si="25"/>
        <v>545541699.41138434</v>
      </c>
      <c r="DV21" s="19">
        <f t="shared" si="26"/>
        <v>622784965.55212665</v>
      </c>
      <c r="DX21" s="19">
        <f t="shared" si="27"/>
        <v>898110778.61990404</v>
      </c>
      <c r="DY21" s="19">
        <f t="shared" si="28"/>
        <v>967867573.54818559</v>
      </c>
      <c r="DZ21" s="19">
        <f t="shared" si="29"/>
        <v>1416260464.9958222</v>
      </c>
      <c r="EA21" s="19">
        <f t="shared" si="30"/>
        <v>1543125791.6742857</v>
      </c>
      <c r="EB21" s="19">
        <f t="shared" si="31"/>
        <v>1827832500.2381911</v>
      </c>
      <c r="EC21" s="770">
        <f t="shared" si="32"/>
        <v>2165067596.5321379</v>
      </c>
    </row>
    <row r="22" spans="2:133" x14ac:dyDescent="0.2">
      <c r="B22" s="155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Y22" s="19">
        <f t="shared" si="39"/>
        <v>0</v>
      </c>
      <c r="CZ22" s="19">
        <f t="shared" si="40"/>
        <v>0</v>
      </c>
      <c r="DA22" s="19">
        <f t="shared" si="41"/>
        <v>0</v>
      </c>
      <c r="DB22" s="19">
        <f t="shared" si="42"/>
        <v>0</v>
      </c>
      <c r="DC22" s="19">
        <f t="shared" si="43"/>
        <v>0</v>
      </c>
      <c r="DD22" s="19">
        <f t="shared" si="44"/>
        <v>0</v>
      </c>
      <c r="DE22" s="19">
        <f t="shared" si="45"/>
        <v>0</v>
      </c>
      <c r="DF22" s="19">
        <f t="shared" si="46"/>
        <v>0</v>
      </c>
      <c r="DG22" s="19">
        <f t="shared" si="47"/>
        <v>0</v>
      </c>
      <c r="DH22" s="19">
        <f t="shared" si="48"/>
        <v>0</v>
      </c>
      <c r="DI22" s="19">
        <f t="shared" si="49"/>
        <v>0</v>
      </c>
      <c r="DJ22" s="19">
        <f t="shared" si="50"/>
        <v>0</v>
      </c>
      <c r="DK22" s="19">
        <f t="shared" si="51"/>
        <v>0</v>
      </c>
      <c r="DL22" s="19">
        <f t="shared" si="52"/>
        <v>0</v>
      </c>
      <c r="DM22" s="19">
        <f t="shared" si="53"/>
        <v>0</v>
      </c>
      <c r="DN22" s="19">
        <f t="shared" si="54"/>
        <v>0</v>
      </c>
      <c r="DO22" s="19">
        <f t="shared" si="55"/>
        <v>0</v>
      </c>
      <c r="DP22" s="19">
        <f t="shared" si="56"/>
        <v>0</v>
      </c>
      <c r="DQ22" s="19">
        <f t="shared" si="57"/>
        <v>0</v>
      </c>
      <c r="DR22" s="19">
        <f t="shared" si="58"/>
        <v>0</v>
      </c>
      <c r="DS22" s="19">
        <f t="shared" si="23"/>
        <v>0</v>
      </c>
      <c r="DT22" s="19">
        <f t="shared" si="24"/>
        <v>0</v>
      </c>
      <c r="DU22" s="19">
        <f t="shared" si="25"/>
        <v>0</v>
      </c>
      <c r="DV22" s="19">
        <f t="shared" si="26"/>
        <v>0</v>
      </c>
      <c r="DX22" s="19">
        <f t="shared" si="27"/>
        <v>0</v>
      </c>
      <c r="DY22" s="19">
        <f t="shared" si="28"/>
        <v>0</v>
      </c>
      <c r="DZ22" s="19">
        <f t="shared" si="29"/>
        <v>0</v>
      </c>
      <c r="EA22" s="19">
        <f t="shared" si="30"/>
        <v>0</v>
      </c>
      <c r="EB22" s="19">
        <f t="shared" si="31"/>
        <v>0</v>
      </c>
      <c r="EC22" s="770">
        <f t="shared" si="32"/>
        <v>0</v>
      </c>
    </row>
    <row r="23" spans="2:133" x14ac:dyDescent="0.2">
      <c r="B23" s="176" t="s">
        <v>5</v>
      </c>
      <c r="C23" s="158">
        <f>C24+C25</f>
        <v>134</v>
      </c>
      <c r="D23" s="158">
        <f t="shared" ref="D23" si="59">D24+D25</f>
        <v>264</v>
      </c>
      <c r="E23" s="158">
        <f t="shared" ref="E23" si="60">E24+E25</f>
        <v>184</v>
      </c>
      <c r="F23" s="158">
        <f t="shared" ref="F23" si="61">F24+F25</f>
        <v>214</v>
      </c>
      <c r="G23" s="158">
        <f t="shared" ref="G23" si="62">G24+G25</f>
        <v>14</v>
      </c>
      <c r="H23" s="158">
        <f t="shared" ref="H23" si="63">H24+H25</f>
        <v>167</v>
      </c>
      <c r="I23" s="158">
        <f t="shared" ref="I23" si="64">I24+I25</f>
        <v>244</v>
      </c>
      <c r="J23" s="158">
        <f t="shared" ref="J23" si="65">J24+J25</f>
        <v>280</v>
      </c>
      <c r="K23" s="158">
        <f t="shared" ref="K23" si="66">K24+K25</f>
        <v>391</v>
      </c>
      <c r="L23" s="158">
        <f t="shared" ref="L23" si="67">L24+L25</f>
        <v>446</v>
      </c>
      <c r="M23" s="158">
        <f t="shared" ref="M23" si="68">M24+M25</f>
        <v>739</v>
      </c>
      <c r="N23" s="158">
        <f t="shared" ref="N23" si="69">N24+N25</f>
        <v>1007</v>
      </c>
      <c r="O23" s="158">
        <f t="shared" ref="O23" si="70">O24+O25</f>
        <v>1082</v>
      </c>
      <c r="P23" s="158">
        <f t="shared" ref="P23" si="71">P24+P25</f>
        <v>1121</v>
      </c>
      <c r="Q23" s="158">
        <f t="shared" ref="Q23" si="72">Q24+Q25</f>
        <v>1748</v>
      </c>
      <c r="R23" s="158">
        <f t="shared" ref="R23" si="73">R24+R25</f>
        <v>1096</v>
      </c>
      <c r="S23" s="158">
        <f t="shared" ref="S23" si="74">S24+S25</f>
        <v>1048</v>
      </c>
      <c r="T23" s="158">
        <f t="shared" ref="T23" si="75">T24+T25</f>
        <v>1768</v>
      </c>
      <c r="U23" s="158">
        <f t="shared" ref="U23" si="76">U24+U25</f>
        <v>1858</v>
      </c>
      <c r="V23" s="158">
        <f t="shared" ref="V23" si="77">V24+V25</f>
        <v>1917</v>
      </c>
      <c r="W23" s="158">
        <f t="shared" ref="W23" si="78">W24+W25</f>
        <v>2019</v>
      </c>
      <c r="X23" s="158">
        <f t="shared" ref="X23" si="79">X24+X25</f>
        <v>1742</v>
      </c>
      <c r="Y23" s="158">
        <f t="shared" ref="Y23" si="80">Y24+Y25</f>
        <v>1383</v>
      </c>
      <c r="Z23" s="158">
        <f t="shared" ref="Z23" si="81">Z24+Z25</f>
        <v>1802</v>
      </c>
      <c r="AA23" s="158">
        <f t="shared" ref="AA23" si="82">AA24+AA25</f>
        <v>1439</v>
      </c>
      <c r="AB23" s="158">
        <f t="shared" ref="AB23" si="83">AB24+AB25</f>
        <v>1729</v>
      </c>
      <c r="AC23" s="158">
        <f t="shared" ref="AC23" si="84">AC24+AC25</f>
        <v>3584</v>
      </c>
      <c r="AD23" s="158">
        <f t="shared" ref="AD23" si="85">AD24+AD25</f>
        <v>3853</v>
      </c>
      <c r="AE23" s="158">
        <f t="shared" ref="AE23" si="86">AE24+AE25</f>
        <v>3971</v>
      </c>
      <c r="AF23" s="158">
        <f t="shared" ref="AF23" si="87">AF24+AF25</f>
        <v>4027</v>
      </c>
      <c r="AG23" s="158">
        <f t="shared" ref="AG23" si="88">AG24+AG25</f>
        <v>5286</v>
      </c>
      <c r="AH23" s="158">
        <f t="shared" ref="AH23" si="89">AH24+AH25</f>
        <v>4275</v>
      </c>
      <c r="AI23" s="158">
        <f t="shared" ref="AI23" si="90">AI24+AI25</f>
        <v>5010</v>
      </c>
      <c r="AJ23" s="158">
        <f t="shared" ref="AJ23" si="91">AJ24+AJ25</f>
        <v>5927</v>
      </c>
      <c r="AK23" s="158">
        <f t="shared" ref="AK23" si="92">AK24+AK25</f>
        <v>4749</v>
      </c>
      <c r="AL23" s="158">
        <f t="shared" ref="AL23" si="93">AL24+AL25</f>
        <v>3957</v>
      </c>
      <c r="AM23" s="158">
        <f t="shared" ref="AM23" si="94">AM24+AM25</f>
        <v>3841</v>
      </c>
      <c r="AN23" s="158">
        <f t="shared" ref="AN23" si="95">AN24+AN25</f>
        <v>4202</v>
      </c>
      <c r="AO23" s="158">
        <f t="shared" ref="AO23" si="96">AO24+AO25</f>
        <v>3598</v>
      </c>
      <c r="AP23" s="158">
        <f t="shared" ref="AP23" si="97">AP24+AP25</f>
        <v>4044</v>
      </c>
      <c r="AQ23" s="158">
        <f t="shared" ref="AQ23" si="98">AQ24+AQ25</f>
        <v>4139</v>
      </c>
      <c r="AR23" s="158">
        <f t="shared" ref="AR23" si="99">AR24+AR25</f>
        <v>3980</v>
      </c>
      <c r="AS23" s="158">
        <f t="shared" ref="AS23" si="100">AS24+AS25</f>
        <v>4479</v>
      </c>
      <c r="AT23" s="158">
        <f t="shared" ref="AT23" si="101">AT24+AT25</f>
        <v>4336</v>
      </c>
      <c r="AU23" s="158">
        <f t="shared" ref="AU23" si="102">AU24+AU25</f>
        <v>4427</v>
      </c>
      <c r="AV23" s="158">
        <f t="shared" ref="AV23" si="103">AV24+AV25</f>
        <v>3841</v>
      </c>
      <c r="AW23" s="158">
        <f t="shared" ref="AW23" si="104">AW24+AW25</f>
        <v>3861</v>
      </c>
      <c r="AX23" s="158">
        <f t="shared" ref="AX23" si="105">AX24+AX25</f>
        <v>3793</v>
      </c>
      <c r="AY23" s="158">
        <f t="shared" ref="AY23" si="106">AY24+AY25</f>
        <v>4659</v>
      </c>
      <c r="AZ23" s="158">
        <f t="shared" ref="AZ23" si="107">AZ24+AZ25</f>
        <v>4680</v>
      </c>
      <c r="BA23" s="158">
        <f t="shared" ref="BA23" si="108">BA24+BA25</f>
        <v>5816</v>
      </c>
      <c r="BB23" s="158">
        <f t="shared" ref="BB23" si="109">BB24+BB25</f>
        <v>6307</v>
      </c>
      <c r="BC23" s="158">
        <f t="shared" ref="BC23" si="110">BC24+BC25</f>
        <v>6144</v>
      </c>
      <c r="BD23" s="158">
        <f t="shared" ref="BD23" si="111">BD24+BD25</f>
        <v>5818.7142857142853</v>
      </c>
      <c r="BE23" s="158">
        <f t="shared" ref="BE23" si="112">BE24+BE25</f>
        <v>5690</v>
      </c>
      <c r="BF23" s="158">
        <f t="shared" ref="BF23" si="113">BF24+BF25</f>
        <v>5478</v>
      </c>
      <c r="BG23" s="158">
        <f t="shared" ref="BG23" si="114">BG24+BG25</f>
        <v>3681</v>
      </c>
      <c r="BH23" s="158">
        <f t="shared" ref="BH23" si="115">BH24+BH25</f>
        <v>5785</v>
      </c>
      <c r="BI23" s="158">
        <f t="shared" ref="BI23" si="116">BI24+BI25</f>
        <v>5478</v>
      </c>
      <c r="BJ23" s="158">
        <f t="shared" ref="BJ23" si="117">BJ24+BJ25</f>
        <v>6206</v>
      </c>
      <c r="BK23" s="158">
        <f t="shared" ref="BK23" si="118">BK24+BK25</f>
        <v>6462</v>
      </c>
      <c r="BL23" s="158">
        <f t="shared" ref="BL23" si="119">BL24+BL25</f>
        <v>5895</v>
      </c>
      <c r="BM23" s="158">
        <f t="shared" ref="BM23" si="120">BM24+BM25</f>
        <v>6204</v>
      </c>
      <c r="BN23" s="158">
        <f t="shared" ref="BN23" si="121">BN24+BN25</f>
        <v>5907.0260623284648</v>
      </c>
      <c r="BO23" s="158">
        <f t="shared" ref="BO23" si="122">BO24+BO25</f>
        <v>5914.8640280867512</v>
      </c>
      <c r="BP23" s="158">
        <f t="shared" ref="BP23" si="123">BP24+BP25</f>
        <v>5906.5961563317442</v>
      </c>
      <c r="BQ23" s="158">
        <f t="shared" ref="BQ23" si="124">BQ24+BQ25</f>
        <v>6109.322215858323</v>
      </c>
      <c r="BR23" s="158">
        <f t="shared" ref="BR23" si="125">BR24+BR25</f>
        <v>5659.3373302394502</v>
      </c>
      <c r="BS23" s="158">
        <f t="shared" ref="BS23" si="126">BS24+BS25</f>
        <v>5935.7163976571501</v>
      </c>
      <c r="BT23" s="158">
        <f t="shared" ref="BT23" si="127">BT24+BT25</f>
        <v>6177.8890807524476</v>
      </c>
      <c r="BU23" s="158">
        <f t="shared" ref="BU23" si="128">BU24+BU25</f>
        <v>6039.3509410844963</v>
      </c>
      <c r="BV23" s="158">
        <f t="shared" ref="BV23" si="129">BV24+BV25</f>
        <v>7379.5991751760675</v>
      </c>
      <c r="BW23" s="158">
        <f t="shared" ref="BW23" si="130">BW24+BW25</f>
        <v>7853.4122673447964</v>
      </c>
      <c r="BX23" s="158">
        <f t="shared" ref="BX23" si="131">BX24+BX25</f>
        <v>6862.3672802881765</v>
      </c>
      <c r="BY23" s="158">
        <f t="shared" ref="BY23" si="132">BY24+BY25</f>
        <v>7585.738284083076</v>
      </c>
      <c r="BZ23" s="158">
        <f t="shared" ref="BZ23" si="133">BZ24+BZ25</f>
        <v>6857.6905277920077</v>
      </c>
      <c r="CA23" s="158">
        <f t="shared" ref="CA23" si="134">CA24+CA25</f>
        <v>6870.1117070206901</v>
      </c>
      <c r="CB23" s="158">
        <f t="shared" ref="CB23" si="135">CB24+CB25</f>
        <v>6851.0519130603425</v>
      </c>
      <c r="CC23" s="158">
        <f t="shared" ref="CC23" si="136">CC24+CC25</f>
        <v>7087.5374316453162</v>
      </c>
      <c r="CD23" s="158">
        <f t="shared" ref="CD23" si="137">CD24+CD25</f>
        <v>6560.4295525509206</v>
      </c>
      <c r="CE23" s="158">
        <f t="shared" ref="CE23" si="138">CE24+CE25</f>
        <v>6871.2006714203544</v>
      </c>
      <c r="CF23" s="158">
        <f t="shared" ref="CF23" si="139">CF24+CF25</f>
        <v>7153.0651829859489</v>
      </c>
      <c r="CG23" s="158">
        <f t="shared" ref="CG23" si="140">CG24+CG25</f>
        <v>6980.7687959547202</v>
      </c>
      <c r="CH23" s="158">
        <f t="shared" ref="CH23" si="141">CH24+CH25</f>
        <v>8519.8818028743372</v>
      </c>
      <c r="CI23" s="158">
        <f t="shared" ref="CI23" si="142">CI24+CI25</f>
        <v>9056.0414331207594</v>
      </c>
      <c r="CJ23" s="158">
        <f t="shared" ref="CJ23" si="143">CJ24+CJ25</f>
        <v>7905.0084185947035</v>
      </c>
      <c r="CK23" s="158">
        <f t="shared" ref="CK23:CW23" si="144">CK24+CK25</f>
        <v>8710.9779026114593</v>
      </c>
      <c r="CL23" s="158">
        <f t="shared" si="144"/>
        <v>7873.8834997101985</v>
      </c>
      <c r="CM23" s="158">
        <f t="shared" si="144"/>
        <v>7886.5458476034055</v>
      </c>
      <c r="CN23" s="158">
        <f t="shared" si="144"/>
        <v>7863.5273134744057</v>
      </c>
      <c r="CO23" s="158">
        <f t="shared" si="144"/>
        <v>8132.8362531012745</v>
      </c>
      <c r="CP23" s="158">
        <f t="shared" si="144"/>
        <v>7527.0572387335451</v>
      </c>
      <c r="CQ23" s="158">
        <f t="shared" si="144"/>
        <v>7883.8300464875547</v>
      </c>
      <c r="CR23" s="158">
        <f t="shared" si="144"/>
        <v>8202.5246325292264</v>
      </c>
      <c r="CS23" s="158">
        <f t="shared" si="144"/>
        <v>8005.3809411453003</v>
      </c>
      <c r="CT23" s="158">
        <f t="shared" si="144"/>
        <v>9770.1639413550201</v>
      </c>
      <c r="CU23" s="158">
        <f t="shared" si="144"/>
        <v>10385.466341954196</v>
      </c>
      <c r="CV23" s="158">
        <f t="shared" si="144"/>
        <v>9062.8589842309775</v>
      </c>
      <c r="CW23" s="158">
        <f t="shared" si="144"/>
        <v>9984.4941372824724</v>
      </c>
      <c r="CY23" s="158">
        <f t="shared" si="39"/>
        <v>11851</v>
      </c>
      <c r="CZ23" s="158">
        <f t="shared" si="40"/>
        <v>14571</v>
      </c>
      <c r="DA23" s="158">
        <f t="shared" si="41"/>
        <v>14633</v>
      </c>
      <c r="DB23" s="158">
        <f t="shared" si="42"/>
        <v>11641</v>
      </c>
      <c r="DC23" s="158">
        <f t="shared" si="43"/>
        <v>12163</v>
      </c>
      <c r="DD23" s="158">
        <f t="shared" si="44"/>
        <v>13242</v>
      </c>
      <c r="DE23" s="158">
        <f t="shared" si="45"/>
        <v>11495</v>
      </c>
      <c r="DF23" s="158">
        <f t="shared" si="46"/>
        <v>15155</v>
      </c>
      <c r="DG23" s="158">
        <f t="shared" si="47"/>
        <v>18269.714285714286</v>
      </c>
      <c r="DH23" s="158">
        <f t="shared" si="48"/>
        <v>14849</v>
      </c>
      <c r="DI23" s="158">
        <f t="shared" si="49"/>
        <v>17469</v>
      </c>
      <c r="DJ23" s="158">
        <f t="shared" si="50"/>
        <v>18561</v>
      </c>
      <c r="DK23" s="158">
        <f t="shared" si="51"/>
        <v>17728.486246746961</v>
      </c>
      <c r="DL23" s="158">
        <f t="shared" si="52"/>
        <v>17704.375943754923</v>
      </c>
      <c r="DM23" s="158">
        <f t="shared" si="53"/>
        <v>19596.839197013011</v>
      </c>
      <c r="DN23" s="158">
        <f t="shared" si="54"/>
        <v>22301.51783171605</v>
      </c>
      <c r="DO23" s="158">
        <f t="shared" si="55"/>
        <v>20578.85414787304</v>
      </c>
      <c r="DP23" s="158">
        <f t="shared" si="56"/>
        <v>20519.167655616591</v>
      </c>
      <c r="DQ23" s="158">
        <f t="shared" si="57"/>
        <v>22653.715781815008</v>
      </c>
      <c r="DR23" s="158">
        <f t="shared" si="58"/>
        <v>25672.027754326922</v>
      </c>
      <c r="DS23" s="158">
        <f t="shared" si="23"/>
        <v>23623.956660788012</v>
      </c>
      <c r="DT23" s="158">
        <f t="shared" si="24"/>
        <v>23543.723538322374</v>
      </c>
      <c r="DU23" s="158">
        <f t="shared" si="25"/>
        <v>25978.069515029547</v>
      </c>
      <c r="DV23" s="158">
        <f t="shared" si="26"/>
        <v>29432.819463467644</v>
      </c>
      <c r="DX23" s="158">
        <f t="shared" si="27"/>
        <v>52696</v>
      </c>
      <c r="DY23" s="158">
        <f t="shared" si="28"/>
        <v>52055</v>
      </c>
      <c r="DZ23" s="158">
        <f t="shared" si="29"/>
        <v>69148.71428571429</v>
      </c>
      <c r="EA23" s="158">
        <f t="shared" si="30"/>
        <v>77331.219219230945</v>
      </c>
      <c r="EB23" s="158">
        <f t="shared" si="31"/>
        <v>89423.765339631558</v>
      </c>
      <c r="EC23" s="780">
        <f t="shared" si="32"/>
        <v>102578.56917760758</v>
      </c>
    </row>
    <row r="24" spans="2:133" x14ac:dyDescent="0.2">
      <c r="B24" s="155" t="s">
        <v>229</v>
      </c>
      <c r="C24" s="19">
        <f>'D2C - Retail'!J25</f>
        <v>131</v>
      </c>
      <c r="D24" s="19">
        <f>'D2C - Retail'!K25</f>
        <v>255</v>
      </c>
      <c r="E24" s="19">
        <f>'D2C - Retail'!L25</f>
        <v>175</v>
      </c>
      <c r="F24" s="19">
        <f>'D2C - Retail'!M25</f>
        <v>184</v>
      </c>
      <c r="G24" s="19">
        <f>'D2C - Retail'!N25</f>
        <v>4</v>
      </c>
      <c r="H24" s="19">
        <f>'D2C - Retail'!O25</f>
        <v>156</v>
      </c>
      <c r="I24" s="19">
        <f>'D2C - Retail'!P25</f>
        <v>207</v>
      </c>
      <c r="J24" s="19">
        <f>'D2C - Retail'!Q25</f>
        <v>270</v>
      </c>
      <c r="K24" s="19">
        <f>'D2C - Retail'!R25</f>
        <v>386</v>
      </c>
      <c r="L24" s="19">
        <f>'D2C - Retail'!S25</f>
        <v>356</v>
      </c>
      <c r="M24" s="19">
        <f>'D2C - Retail'!T25</f>
        <v>642</v>
      </c>
      <c r="N24" s="19">
        <f>'D2C - Retail'!U25</f>
        <v>851</v>
      </c>
      <c r="O24" s="19">
        <f>'D2C - Retail'!V25</f>
        <v>875</v>
      </c>
      <c r="P24" s="19">
        <f>'D2C - Retail'!W25</f>
        <v>880</v>
      </c>
      <c r="Q24" s="19">
        <f>'D2C - Retail'!X25</f>
        <v>876</v>
      </c>
      <c r="R24" s="19">
        <f>'D2C - Retail'!Y25</f>
        <v>703</v>
      </c>
      <c r="S24" s="19">
        <f>'D2C - Retail'!Z25</f>
        <v>819</v>
      </c>
      <c r="T24" s="19">
        <f>'D2C - Retail'!AA25</f>
        <v>887</v>
      </c>
      <c r="U24" s="19">
        <f>'D2C - Retail'!AB25</f>
        <v>646</v>
      </c>
      <c r="V24" s="19">
        <f>'D2C - Retail'!AC25</f>
        <v>590</v>
      </c>
      <c r="W24" s="19">
        <f>'D2C - Retail'!AD25</f>
        <v>545</v>
      </c>
      <c r="X24" s="19">
        <f>'D2C - Retail'!AE25</f>
        <v>534</v>
      </c>
      <c r="Y24" s="19">
        <f>'D2C - Retail'!AF25</f>
        <v>438</v>
      </c>
      <c r="Z24" s="19">
        <f>'D2C - Retail'!AG25</f>
        <v>592</v>
      </c>
      <c r="AA24" s="19">
        <f>'D2C - Retail'!AH25</f>
        <v>529</v>
      </c>
      <c r="AB24" s="19">
        <f>'D2C - Retail'!AI25</f>
        <v>546</v>
      </c>
      <c r="AC24" s="19">
        <f>'D2C - Retail'!AJ25</f>
        <v>721</v>
      </c>
      <c r="AD24" s="19">
        <f>'D2C - Retail'!AK25</f>
        <v>816</v>
      </c>
      <c r="AE24" s="19">
        <f>'D2C - Retail'!AL25</f>
        <v>899</v>
      </c>
      <c r="AF24" s="19">
        <f>'D2C - Retail'!AM25</f>
        <v>1006</v>
      </c>
      <c r="AG24" s="19">
        <f>'D2C - Retail'!AN25</f>
        <v>1008</v>
      </c>
      <c r="AH24" s="19">
        <f>'D2C - Retail'!AO25</f>
        <v>1012</v>
      </c>
      <c r="AI24" s="19">
        <f>'D2C - Retail'!AP25</f>
        <v>993</v>
      </c>
      <c r="AJ24" s="19">
        <f>'D2C - Retail'!AQ25</f>
        <v>1106</v>
      </c>
      <c r="AK24" s="19">
        <f>'D2C - Retail'!AR25</f>
        <v>865</v>
      </c>
      <c r="AL24" s="19">
        <f>'D2C - Retail'!AS25</f>
        <v>832</v>
      </c>
      <c r="AM24" s="19">
        <f>'D2C - Retail'!AT25</f>
        <v>753</v>
      </c>
      <c r="AN24" s="19">
        <f>'D2C - Retail'!AU25</f>
        <v>739</v>
      </c>
      <c r="AO24" s="19">
        <f>'D2C - Retail'!AV25</f>
        <v>933</v>
      </c>
      <c r="AP24" s="19">
        <f>'D2C - Retail'!AW25</f>
        <v>919</v>
      </c>
      <c r="AQ24" s="19">
        <f>'D2C - Retail'!AX25</f>
        <v>887</v>
      </c>
      <c r="AR24" s="19">
        <f>'D2C - Retail'!AY25</f>
        <v>876</v>
      </c>
      <c r="AS24" s="19">
        <f>'D2C - Retail'!AZ25</f>
        <v>1074</v>
      </c>
      <c r="AT24" s="19">
        <f>'D2C - Retail'!BA25</f>
        <v>861</v>
      </c>
      <c r="AU24" s="19">
        <f>'D2C - Retail'!BB25</f>
        <v>925</v>
      </c>
      <c r="AV24" s="19">
        <f>'D2C - Retail'!BC25</f>
        <v>726</v>
      </c>
      <c r="AW24" s="19">
        <f>'D2C - Retail'!BD25</f>
        <v>859</v>
      </c>
      <c r="AX24" s="19">
        <f>'D2C - Retail'!BE25</f>
        <v>991</v>
      </c>
      <c r="AY24" s="19">
        <f>'D2C - Retail'!BF25</f>
        <v>1172</v>
      </c>
      <c r="AZ24" s="19">
        <f>'D2C - Retail'!BG25</f>
        <v>1164</v>
      </c>
      <c r="BA24" s="19">
        <f>'D2C - Retail'!BH25</f>
        <v>1227</v>
      </c>
      <c r="BB24" s="19">
        <f>'D2C - Retail'!BI25</f>
        <v>1315</v>
      </c>
      <c r="BC24" s="19">
        <f>'D2C - Retail'!BJ25</f>
        <v>1411</v>
      </c>
      <c r="BD24" s="19">
        <f>'D2C - Retail'!BK25</f>
        <v>1249</v>
      </c>
      <c r="BE24" s="19">
        <f>'D2C - Retail'!BL25</f>
        <v>1428</v>
      </c>
      <c r="BF24" s="19">
        <f>'D2C - Retail'!BM25</f>
        <v>1207</v>
      </c>
      <c r="BG24" s="19">
        <f>'D2C - Retail'!BN25</f>
        <v>1239</v>
      </c>
      <c r="BH24" s="19">
        <f>'D2C - Retail'!BO25</f>
        <v>1097</v>
      </c>
      <c r="BI24" s="19">
        <f>'D2C - Retail'!BP25</f>
        <v>1109</v>
      </c>
      <c r="BJ24" s="19">
        <f>'D2C - Retail'!BQ25</f>
        <v>1205</v>
      </c>
      <c r="BK24" s="19">
        <f>'D2C - Retail'!BR25</f>
        <v>1429</v>
      </c>
      <c r="BL24" s="19">
        <f>'D2C - Retail'!BS25</f>
        <v>1319</v>
      </c>
      <c r="BM24" s="19">
        <f>'D2C - Retail'!BT25</f>
        <v>1446</v>
      </c>
      <c r="BN24" s="19">
        <f>'D2C - Retail'!BU25</f>
        <v>1569.1135056323556</v>
      </c>
      <c r="BO24" s="19">
        <f>'D2C - Retail'!BV25</f>
        <v>1532.8016838518506</v>
      </c>
      <c r="BP24" s="19">
        <f>'D2C - Retail'!BW25</f>
        <v>1527.6687082534438</v>
      </c>
      <c r="BQ24" s="19">
        <f>'D2C - Retail'!BX25</f>
        <v>1664.3007071450268</v>
      </c>
      <c r="BR24" s="19">
        <f>'D2C - Retail'!BY25</f>
        <v>1470.8548236746385</v>
      </c>
      <c r="BS24" s="19">
        <f>'D2C - Retail'!BZ25</f>
        <v>1353.8044234389597</v>
      </c>
      <c r="BT24" s="19">
        <f>'D2C - Retail'!CA25</f>
        <v>1722.6791595301991</v>
      </c>
      <c r="BU24" s="19">
        <f>'D2C - Retail'!CB25</f>
        <v>1573.6913660069126</v>
      </c>
      <c r="BV24" s="19">
        <f>'D2C - Retail'!CC25</f>
        <v>1897.9720040134996</v>
      </c>
      <c r="BW24" s="19">
        <f>'D2C - Retail'!CD25</f>
        <v>1947.0066669628441</v>
      </c>
      <c r="BX24" s="19">
        <f>'D2C - Retail'!CE25</f>
        <v>1798.7262633390244</v>
      </c>
      <c r="BY24" s="19">
        <f>'D2C - Retail'!CF25</f>
        <v>2114.0382840830766</v>
      </c>
      <c r="BZ24" s="19">
        <f>'D2C - Retail'!CG25</f>
        <v>1869.0910875914826</v>
      </c>
      <c r="CA24" s="19">
        <f>'D2C - Retail'!CH25</f>
        <v>1830.740011150554</v>
      </c>
      <c r="CB24" s="19">
        <f>'D2C - Retail'!CI25</f>
        <v>1815.2853477702963</v>
      </c>
      <c r="CC24" s="19">
        <f>'D2C - Retail'!CJ25</f>
        <v>1975.762696625025</v>
      </c>
      <c r="CD24" s="19">
        <f>'D2C - Retail'!CK25</f>
        <v>1743.6746700013864</v>
      </c>
      <c r="CE24" s="19">
        <f>'D2C - Retail'!CL25</f>
        <v>1602.0019010694361</v>
      </c>
      <c r="CF24" s="19">
        <f>'D2C - Retail'!CM25</f>
        <v>2029.5737735803627</v>
      </c>
      <c r="CG24" s="19">
        <f>'D2C - Retail'!CN25</f>
        <v>1845.2602846154991</v>
      </c>
      <c r="CH24" s="19">
        <f>'D2C - Retail'!CO25</f>
        <v>2216.010556037384</v>
      </c>
      <c r="CI24" s="19">
        <f>'D2C - Retail'!CP25</f>
        <v>2263.6749926815141</v>
      </c>
      <c r="CJ24" s="19">
        <f>'D2C - Retail'!CQ25</f>
        <v>2081.8212491031777</v>
      </c>
      <c r="CK24" s="19">
        <f>'D2C - Retail'!CR25</f>
        <v>2418.5229026114598</v>
      </c>
      <c r="CL24" s="19">
        <f>'D2C - Retail'!CS25</f>
        <v>2136.9941434795951</v>
      </c>
      <c r="CM24" s="19">
        <f>'D2C - Retail'!CT25</f>
        <v>2091.2683973527487</v>
      </c>
      <c r="CN24" s="19">
        <f>'D2C - Retail'!CU25</f>
        <v>2072.3957633908531</v>
      </c>
      <c r="CO24" s="19">
        <f>'D2C - Retail'!CV25</f>
        <v>2254.2953078279397</v>
      </c>
      <c r="CP24" s="19">
        <f>'D2C - Retail'!CW25</f>
        <v>1987.7891238015809</v>
      </c>
      <c r="CQ24" s="19">
        <f>'D2C - Retail'!CX25</f>
        <v>1824.2514605839988</v>
      </c>
      <c r="CR24" s="19">
        <f>'D2C - Retail'!CY25</f>
        <v>2310.5095117128026</v>
      </c>
      <c r="CS24" s="19">
        <f>'D2C - Retail'!CZ25</f>
        <v>2099.5461531051956</v>
      </c>
      <c r="CT24" s="19">
        <f>'D2C - Retail'!DA25</f>
        <v>2520.7120074925242</v>
      </c>
      <c r="CU24" s="19">
        <f>'D2C - Retail'!DB25</f>
        <v>2574.2449354490641</v>
      </c>
      <c r="CV24" s="19">
        <f>'D2C - Retail'!DC25</f>
        <v>2366.193739315725</v>
      </c>
      <c r="CW24" s="19">
        <f>'D2C - Retail'!DD25</f>
        <v>2748.1708872824743</v>
      </c>
      <c r="CY24" s="19">
        <f t="shared" si="39"/>
        <v>2721</v>
      </c>
      <c r="CZ24" s="19">
        <f t="shared" si="40"/>
        <v>3013</v>
      </c>
      <c r="DA24" s="19">
        <f t="shared" si="41"/>
        <v>2803</v>
      </c>
      <c r="DB24" s="19">
        <f t="shared" si="42"/>
        <v>2425</v>
      </c>
      <c r="DC24" s="19">
        <f t="shared" si="43"/>
        <v>2682</v>
      </c>
      <c r="DD24" s="19">
        <f t="shared" si="44"/>
        <v>2860</v>
      </c>
      <c r="DE24" s="19">
        <f t="shared" si="45"/>
        <v>2576</v>
      </c>
      <c r="DF24" s="19">
        <f t="shared" si="46"/>
        <v>3563</v>
      </c>
      <c r="DG24" s="19">
        <f t="shared" si="47"/>
        <v>3975</v>
      </c>
      <c r="DH24" s="19">
        <f t="shared" si="48"/>
        <v>3874</v>
      </c>
      <c r="DI24" s="19">
        <f t="shared" si="49"/>
        <v>3411</v>
      </c>
      <c r="DJ24" s="19">
        <f t="shared" si="50"/>
        <v>4194</v>
      </c>
      <c r="DK24" s="19">
        <f t="shared" si="51"/>
        <v>4629.5838977376497</v>
      </c>
      <c r="DL24" s="19">
        <f t="shared" si="52"/>
        <v>4488.9599542586247</v>
      </c>
      <c r="DM24" s="19">
        <f t="shared" si="53"/>
        <v>5194.3425295506113</v>
      </c>
      <c r="DN24" s="19">
        <f t="shared" si="54"/>
        <v>5859.7712143849458</v>
      </c>
      <c r="DO24" s="19">
        <f t="shared" si="55"/>
        <v>5515.1164465123329</v>
      </c>
      <c r="DP24" s="19">
        <f t="shared" si="56"/>
        <v>5321.4392676958478</v>
      </c>
      <c r="DQ24" s="19">
        <f t="shared" si="57"/>
        <v>6090.8446142332459</v>
      </c>
      <c r="DR24" s="19">
        <f t="shared" si="58"/>
        <v>6764.0191443961521</v>
      </c>
      <c r="DS24" s="19">
        <f t="shared" si="23"/>
        <v>6300.6583042231969</v>
      </c>
      <c r="DT24" s="19">
        <f t="shared" si="24"/>
        <v>6066.3358922135194</v>
      </c>
      <c r="DU24" s="19">
        <f t="shared" si="25"/>
        <v>6930.7676723105224</v>
      </c>
      <c r="DV24" s="19">
        <f t="shared" si="26"/>
        <v>7688.6095620472643</v>
      </c>
      <c r="DX24" s="19">
        <f t="shared" si="27"/>
        <v>10962</v>
      </c>
      <c r="DY24" s="19">
        <f t="shared" si="28"/>
        <v>11681</v>
      </c>
      <c r="DZ24" s="19">
        <f t="shared" si="29"/>
        <v>15454</v>
      </c>
      <c r="EA24" s="19">
        <f t="shared" si="30"/>
        <v>20172.657595931829</v>
      </c>
      <c r="EB24" s="19">
        <f t="shared" si="31"/>
        <v>23691.419472837581</v>
      </c>
      <c r="EC24" s="770">
        <f t="shared" si="32"/>
        <v>26986.371430794505</v>
      </c>
    </row>
    <row r="25" spans="2:133" x14ac:dyDescent="0.2">
      <c r="B25" s="155" t="s">
        <v>237</v>
      </c>
      <c r="C25" s="19">
        <f>'D2C Online'!AA23</f>
        <v>3</v>
      </c>
      <c r="D25" s="19">
        <f>'D2C Online'!AB23</f>
        <v>9</v>
      </c>
      <c r="E25" s="19">
        <f>'D2C Online'!AC23</f>
        <v>9</v>
      </c>
      <c r="F25" s="19">
        <f>'D2C Online'!AD23</f>
        <v>30</v>
      </c>
      <c r="G25" s="19">
        <f>'D2C Online'!AE23</f>
        <v>10</v>
      </c>
      <c r="H25" s="19">
        <f>'D2C Online'!AF23</f>
        <v>11</v>
      </c>
      <c r="I25" s="19">
        <f>'D2C Online'!AG23</f>
        <v>37</v>
      </c>
      <c r="J25" s="19">
        <f>'D2C Online'!AH23</f>
        <v>10</v>
      </c>
      <c r="K25" s="19">
        <f>'D2C Online'!AI23</f>
        <v>5</v>
      </c>
      <c r="L25" s="19">
        <f>'D2C Online'!AJ23</f>
        <v>90</v>
      </c>
      <c r="M25" s="19">
        <f>'D2C Online'!AK23</f>
        <v>97</v>
      </c>
      <c r="N25" s="19">
        <f>'D2C Online'!AL23</f>
        <v>156</v>
      </c>
      <c r="O25" s="19">
        <f>'D2C Online'!AM23</f>
        <v>207</v>
      </c>
      <c r="P25" s="19">
        <f>'D2C Online'!AN23</f>
        <v>241</v>
      </c>
      <c r="Q25" s="19">
        <f>'D2C Online'!AO23</f>
        <v>872</v>
      </c>
      <c r="R25" s="19">
        <f>'D2C Online'!AP23</f>
        <v>393</v>
      </c>
      <c r="S25" s="19">
        <f>'D2C Online'!AQ23</f>
        <v>229</v>
      </c>
      <c r="T25" s="19">
        <f>'D2C Online'!AR23</f>
        <v>881</v>
      </c>
      <c r="U25" s="19">
        <f>'D2C Online'!AS23</f>
        <v>1212</v>
      </c>
      <c r="V25" s="19">
        <f>'D2C Online'!AT23</f>
        <v>1327</v>
      </c>
      <c r="W25" s="19">
        <f>'D2C Online'!AU23</f>
        <v>1474</v>
      </c>
      <c r="X25" s="19">
        <f>'D2C Online'!AV23</f>
        <v>1208</v>
      </c>
      <c r="Y25" s="19">
        <f>'D2C Online'!AW23</f>
        <v>945</v>
      </c>
      <c r="Z25" s="19">
        <f>'D2C Online'!AX23</f>
        <v>1210</v>
      </c>
      <c r="AA25" s="19">
        <f>'D2C Online'!AY23</f>
        <v>910</v>
      </c>
      <c r="AB25" s="19">
        <f>'D2C Online'!AZ23</f>
        <v>1183</v>
      </c>
      <c r="AC25" s="19">
        <f>'D2C Online'!BA23</f>
        <v>2863</v>
      </c>
      <c r="AD25" s="19">
        <f>'D2C Online'!BB23</f>
        <v>3037</v>
      </c>
      <c r="AE25" s="19">
        <f>'D2C Online'!BC23</f>
        <v>3072</v>
      </c>
      <c r="AF25" s="19">
        <f>'D2C Online'!BD23</f>
        <v>3021</v>
      </c>
      <c r="AG25" s="19">
        <f>'D2C Online'!BE23</f>
        <v>4278</v>
      </c>
      <c r="AH25" s="19">
        <f>'D2C Online'!BF23</f>
        <v>3263</v>
      </c>
      <c r="AI25" s="19">
        <f>'D2C Online'!BG23</f>
        <v>4017</v>
      </c>
      <c r="AJ25" s="19">
        <f>'D2C Online'!BH23</f>
        <v>4821</v>
      </c>
      <c r="AK25" s="19">
        <f>'D2C Online'!BI23</f>
        <v>3884</v>
      </c>
      <c r="AL25" s="19">
        <f>'D2C Online'!BJ23</f>
        <v>3125</v>
      </c>
      <c r="AM25" s="19">
        <f>'D2C Online'!BK23</f>
        <v>3088</v>
      </c>
      <c r="AN25" s="19">
        <f>'D2C Online'!BL23</f>
        <v>3463</v>
      </c>
      <c r="AO25" s="19">
        <f>'D2C Online'!BM23</f>
        <v>2665</v>
      </c>
      <c r="AP25" s="19">
        <f>'D2C Online'!BN23</f>
        <v>3125</v>
      </c>
      <c r="AQ25" s="19">
        <f>'D2C Online'!BO23</f>
        <v>3252</v>
      </c>
      <c r="AR25" s="19">
        <f>'D2C Online'!BP23</f>
        <v>3104</v>
      </c>
      <c r="AS25" s="19">
        <f>'D2C Online'!BQ23</f>
        <v>3405</v>
      </c>
      <c r="AT25" s="19">
        <f>'D2C Online'!BR23</f>
        <v>3475</v>
      </c>
      <c r="AU25" s="19">
        <f>'D2C Online'!BS23</f>
        <v>3502</v>
      </c>
      <c r="AV25" s="19">
        <f>'D2C Online'!BT23</f>
        <v>3115</v>
      </c>
      <c r="AW25" s="19">
        <f>'D2C Online'!BU23</f>
        <v>3002</v>
      </c>
      <c r="AX25" s="19">
        <f>'D2C Online'!BV23</f>
        <v>2802</v>
      </c>
      <c r="AY25" s="19">
        <f>'D2C Online'!BW23</f>
        <v>3487</v>
      </c>
      <c r="AZ25" s="19">
        <f>'D2C Online'!BX23</f>
        <v>3516</v>
      </c>
      <c r="BA25" s="19">
        <f>'D2C Online'!BY23</f>
        <v>4589</v>
      </c>
      <c r="BB25" s="19">
        <f>'D2C Online'!BZ23</f>
        <v>4992</v>
      </c>
      <c r="BC25" s="19">
        <f>'D2C Online'!CA23</f>
        <v>4733</v>
      </c>
      <c r="BD25" s="19">
        <f>'D2C Online'!CB23</f>
        <v>4569.7142857142853</v>
      </c>
      <c r="BE25" s="19">
        <f>'D2C Online'!CC23</f>
        <v>4262</v>
      </c>
      <c r="BF25" s="19">
        <f>'D2C Online'!CD23</f>
        <v>4271</v>
      </c>
      <c r="BG25" s="19">
        <f>'D2C Online'!CE23</f>
        <v>2442</v>
      </c>
      <c r="BH25" s="19">
        <f>'D2C Online'!CF23</f>
        <v>4688</v>
      </c>
      <c r="BI25" s="19">
        <f>'D2C Online'!CG23</f>
        <v>4369</v>
      </c>
      <c r="BJ25" s="19">
        <f>'D2C Online'!CH23</f>
        <v>5001</v>
      </c>
      <c r="BK25" s="19">
        <f>'D2C Online'!CI23</f>
        <v>5033</v>
      </c>
      <c r="BL25" s="19">
        <f>'D2C Online'!CJ23</f>
        <v>4576</v>
      </c>
      <c r="BM25" s="19">
        <f>'D2C Online'!CK23</f>
        <v>4758</v>
      </c>
      <c r="BN25" s="19">
        <f>'D2C Online'!CL23</f>
        <v>4337.9125566961093</v>
      </c>
      <c r="BO25" s="19">
        <f>'D2C Online'!CM23</f>
        <v>4382.0623442349006</v>
      </c>
      <c r="BP25" s="19">
        <f>'D2C Online'!CN23</f>
        <v>4378.9274480783006</v>
      </c>
      <c r="BQ25" s="19">
        <f>'D2C Online'!CO23</f>
        <v>4445.0215087132965</v>
      </c>
      <c r="BR25" s="19">
        <f>'D2C Online'!CP23</f>
        <v>4188.482506564812</v>
      </c>
      <c r="BS25" s="19">
        <f>'D2C Online'!CQ23</f>
        <v>4581.9119742181902</v>
      </c>
      <c r="BT25" s="19">
        <f>'D2C Online'!CR23</f>
        <v>4455.2099212222483</v>
      </c>
      <c r="BU25" s="19">
        <f>'D2C Online'!CS23</f>
        <v>4465.6595750775841</v>
      </c>
      <c r="BV25" s="19">
        <f>'D2C Online'!CT23</f>
        <v>5481.6271711625677</v>
      </c>
      <c r="BW25" s="19">
        <f>'D2C Online'!CU23</f>
        <v>5906.4056003819524</v>
      </c>
      <c r="BX25" s="19">
        <f>'D2C Online'!CV23</f>
        <v>5063.6410169491519</v>
      </c>
      <c r="BY25" s="19">
        <f>'D2C Online'!CW23</f>
        <v>5471.6999999999989</v>
      </c>
      <c r="BZ25" s="19">
        <f>'D2C Online'!CX23</f>
        <v>4988.5994402005254</v>
      </c>
      <c r="CA25" s="19">
        <f>'D2C Online'!CY23</f>
        <v>5039.3716958701361</v>
      </c>
      <c r="CB25" s="19">
        <f>'D2C Online'!CZ23</f>
        <v>5035.7665652900459</v>
      </c>
      <c r="CC25" s="19">
        <f>'D2C Online'!DA23</f>
        <v>5111.7747350202917</v>
      </c>
      <c r="CD25" s="19">
        <f>'D2C Online'!DB23</f>
        <v>4816.7548825495342</v>
      </c>
      <c r="CE25" s="19">
        <f>'D2C Online'!DC23</f>
        <v>5269.1987703509185</v>
      </c>
      <c r="CF25" s="19">
        <f>'D2C Online'!DD23</f>
        <v>5123.4914094055857</v>
      </c>
      <c r="CG25" s="19">
        <f>'D2C Online'!DE23</f>
        <v>5135.5085113392215</v>
      </c>
      <c r="CH25" s="19">
        <f>'D2C Online'!DF23</f>
        <v>6303.871246836954</v>
      </c>
      <c r="CI25" s="19">
        <f>'D2C Online'!DG23</f>
        <v>6792.3664404392457</v>
      </c>
      <c r="CJ25" s="19">
        <f>'D2C Online'!DH23</f>
        <v>5823.1871694915253</v>
      </c>
      <c r="CK25" s="19">
        <f>'D2C Online'!DI23</f>
        <v>6292.454999999999</v>
      </c>
      <c r="CL25" s="19">
        <f>'D2C Online'!DJ23</f>
        <v>5736.8893562306039</v>
      </c>
      <c r="CM25" s="19">
        <f>'D2C Online'!DK23</f>
        <v>5795.2774502506563</v>
      </c>
      <c r="CN25" s="19">
        <f>'D2C Online'!DL23</f>
        <v>5791.1315500835526</v>
      </c>
      <c r="CO25" s="19">
        <f>'D2C Online'!DM23</f>
        <v>5878.5409452733347</v>
      </c>
      <c r="CP25" s="19">
        <f>'D2C Online'!DN23</f>
        <v>5539.2681149319642</v>
      </c>
      <c r="CQ25" s="19">
        <f>'D2C Online'!DO23</f>
        <v>6059.5785859035559</v>
      </c>
      <c r="CR25" s="19">
        <f>'D2C Online'!DP23</f>
        <v>5892.0151208164234</v>
      </c>
      <c r="CS25" s="19">
        <f>'D2C Online'!DQ23</f>
        <v>5905.8347880401043</v>
      </c>
      <c r="CT25" s="19">
        <f>'D2C Online'!DR23</f>
        <v>7249.4519338624959</v>
      </c>
      <c r="CU25" s="19">
        <f>'D2C Online'!DS23</f>
        <v>7811.2214065051312</v>
      </c>
      <c r="CV25" s="19">
        <f>'D2C Online'!DT23</f>
        <v>6696.6652449152534</v>
      </c>
      <c r="CW25" s="19">
        <f>'D2C Online'!DU23</f>
        <v>7236.3232499999986</v>
      </c>
      <c r="CY25" s="19">
        <f t="shared" si="39"/>
        <v>9130</v>
      </c>
      <c r="CZ25" s="19">
        <f t="shared" si="40"/>
        <v>11558</v>
      </c>
      <c r="DA25" s="19">
        <f t="shared" si="41"/>
        <v>11830</v>
      </c>
      <c r="DB25" s="19">
        <f t="shared" si="42"/>
        <v>9216</v>
      </c>
      <c r="DC25" s="19">
        <f t="shared" si="43"/>
        <v>9481</v>
      </c>
      <c r="DD25" s="19">
        <f t="shared" si="44"/>
        <v>10382</v>
      </c>
      <c r="DE25" s="19">
        <f t="shared" si="45"/>
        <v>8919</v>
      </c>
      <c r="DF25" s="19">
        <f t="shared" si="46"/>
        <v>11592</v>
      </c>
      <c r="DG25" s="19">
        <f t="shared" si="47"/>
        <v>14294.714285714286</v>
      </c>
      <c r="DH25" s="19">
        <f t="shared" si="48"/>
        <v>10975</v>
      </c>
      <c r="DI25" s="19">
        <f t="shared" si="49"/>
        <v>14058</v>
      </c>
      <c r="DJ25" s="19">
        <f t="shared" si="50"/>
        <v>14367</v>
      </c>
      <c r="DK25" s="19">
        <f t="shared" si="51"/>
        <v>13098.902349009311</v>
      </c>
      <c r="DL25" s="19">
        <f t="shared" si="52"/>
        <v>13215.415989496298</v>
      </c>
      <c r="DM25" s="19">
        <f t="shared" si="53"/>
        <v>14402.496667462401</v>
      </c>
      <c r="DN25" s="19">
        <f t="shared" si="54"/>
        <v>16441.746617331104</v>
      </c>
      <c r="DO25" s="19">
        <f t="shared" si="55"/>
        <v>15063.737701360707</v>
      </c>
      <c r="DP25" s="19">
        <f t="shared" si="56"/>
        <v>15197.728387920744</v>
      </c>
      <c r="DQ25" s="19">
        <f t="shared" si="57"/>
        <v>16562.871167581761</v>
      </c>
      <c r="DR25" s="19">
        <f t="shared" si="58"/>
        <v>18908.00860993077</v>
      </c>
      <c r="DS25" s="19">
        <f t="shared" si="23"/>
        <v>17323.298356564814</v>
      </c>
      <c r="DT25" s="19">
        <f t="shared" si="24"/>
        <v>17477.387646108855</v>
      </c>
      <c r="DU25" s="19">
        <f t="shared" si="25"/>
        <v>19047.301842719025</v>
      </c>
      <c r="DV25" s="19">
        <f t="shared" si="26"/>
        <v>21744.209901420381</v>
      </c>
      <c r="DX25" s="19">
        <f t="shared" si="27"/>
        <v>41734</v>
      </c>
      <c r="DY25" s="19">
        <f t="shared" si="28"/>
        <v>40374</v>
      </c>
      <c r="DZ25" s="19">
        <f t="shared" si="29"/>
        <v>53694.71428571429</v>
      </c>
      <c r="EA25" s="19">
        <f t="shared" si="30"/>
        <v>57158.561623299116</v>
      </c>
      <c r="EB25" s="19">
        <f t="shared" si="31"/>
        <v>65732.345866793985</v>
      </c>
      <c r="EC25" s="770">
        <f t="shared" si="32"/>
        <v>75592.197746813079</v>
      </c>
    </row>
    <row r="26" spans="2:133" x14ac:dyDescent="0.2">
      <c r="B26" s="155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Y26" s="19">
        <f t="shared" si="39"/>
        <v>0</v>
      </c>
      <c r="CZ26" s="19">
        <f t="shared" si="40"/>
        <v>0</v>
      </c>
      <c r="DA26" s="19">
        <f t="shared" si="41"/>
        <v>0</v>
      </c>
      <c r="DB26" s="19">
        <f t="shared" si="42"/>
        <v>0</v>
      </c>
      <c r="DC26" s="19">
        <f t="shared" si="43"/>
        <v>0</v>
      </c>
      <c r="DD26" s="19">
        <f t="shared" si="44"/>
        <v>0</v>
      </c>
      <c r="DE26" s="19">
        <f t="shared" si="45"/>
        <v>0</v>
      </c>
      <c r="DF26" s="19">
        <f t="shared" si="46"/>
        <v>0</v>
      </c>
      <c r="DG26" s="19">
        <f t="shared" si="47"/>
        <v>0</v>
      </c>
      <c r="DH26" s="19">
        <f t="shared" si="48"/>
        <v>0</v>
      </c>
      <c r="DI26" s="19">
        <f t="shared" si="49"/>
        <v>0</v>
      </c>
      <c r="DJ26" s="19">
        <f t="shared" si="50"/>
        <v>0</v>
      </c>
      <c r="DK26" s="19">
        <f t="shared" si="51"/>
        <v>0</v>
      </c>
      <c r="DL26" s="19">
        <f t="shared" si="52"/>
        <v>0</v>
      </c>
      <c r="DM26" s="19">
        <f t="shared" si="53"/>
        <v>0</v>
      </c>
      <c r="DN26" s="19">
        <f t="shared" si="54"/>
        <v>0</v>
      </c>
      <c r="DO26" s="19">
        <f t="shared" si="55"/>
        <v>0</v>
      </c>
      <c r="DP26" s="19">
        <f t="shared" si="56"/>
        <v>0</v>
      </c>
      <c r="DQ26" s="19">
        <f t="shared" si="57"/>
        <v>0</v>
      </c>
      <c r="DR26" s="19">
        <f t="shared" si="58"/>
        <v>0</v>
      </c>
      <c r="DS26" s="19">
        <f t="shared" si="23"/>
        <v>0</v>
      </c>
      <c r="DT26" s="19">
        <f t="shared" si="24"/>
        <v>0</v>
      </c>
      <c r="DU26" s="19">
        <f t="shared" si="25"/>
        <v>0</v>
      </c>
      <c r="DV26" s="19">
        <f t="shared" si="26"/>
        <v>0</v>
      </c>
      <c r="DX26" s="19">
        <f t="shared" si="27"/>
        <v>0</v>
      </c>
      <c r="DY26" s="19">
        <f t="shared" si="28"/>
        <v>0</v>
      </c>
      <c r="DZ26" s="19">
        <f t="shared" si="29"/>
        <v>0</v>
      </c>
      <c r="EA26" s="19">
        <f t="shared" si="30"/>
        <v>0</v>
      </c>
      <c r="EB26" s="19">
        <f t="shared" si="31"/>
        <v>0</v>
      </c>
      <c r="EC26" s="770">
        <f t="shared" si="32"/>
        <v>0</v>
      </c>
    </row>
    <row r="27" spans="2:133" x14ac:dyDescent="0.2">
      <c r="B27" s="155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Y27" s="19">
        <f t="shared" si="39"/>
        <v>0</v>
      </c>
      <c r="CZ27" s="19">
        <f t="shared" si="40"/>
        <v>0</v>
      </c>
      <c r="DA27" s="19">
        <f t="shared" si="41"/>
        <v>0</v>
      </c>
      <c r="DB27" s="19">
        <f t="shared" si="42"/>
        <v>0</v>
      </c>
      <c r="DC27" s="19">
        <f t="shared" si="43"/>
        <v>0</v>
      </c>
      <c r="DD27" s="19">
        <f t="shared" si="44"/>
        <v>0</v>
      </c>
      <c r="DE27" s="19">
        <f t="shared" si="45"/>
        <v>0</v>
      </c>
      <c r="DF27" s="19">
        <f t="shared" si="46"/>
        <v>0</v>
      </c>
      <c r="DG27" s="19">
        <f t="shared" si="47"/>
        <v>0</v>
      </c>
      <c r="DH27" s="19">
        <f t="shared" si="48"/>
        <v>0</v>
      </c>
      <c r="DI27" s="19">
        <f t="shared" si="49"/>
        <v>0</v>
      </c>
      <c r="DJ27" s="19">
        <f t="shared" si="50"/>
        <v>0</v>
      </c>
      <c r="DK27" s="19">
        <f t="shared" si="51"/>
        <v>0</v>
      </c>
      <c r="DL27" s="19">
        <f t="shared" si="52"/>
        <v>0</v>
      </c>
      <c r="DM27" s="19">
        <f t="shared" si="53"/>
        <v>0</v>
      </c>
      <c r="DN27" s="19">
        <f t="shared" si="54"/>
        <v>0</v>
      </c>
      <c r="DO27" s="19">
        <f t="shared" si="55"/>
        <v>0</v>
      </c>
      <c r="DP27" s="19">
        <f t="shared" si="56"/>
        <v>0</v>
      </c>
      <c r="DQ27" s="19">
        <f t="shared" si="57"/>
        <v>0</v>
      </c>
      <c r="DR27" s="19">
        <f t="shared" si="58"/>
        <v>0</v>
      </c>
      <c r="DS27" s="19">
        <f t="shared" si="23"/>
        <v>0</v>
      </c>
      <c r="DT27" s="19">
        <f t="shared" si="24"/>
        <v>0</v>
      </c>
      <c r="DU27" s="19">
        <f t="shared" si="25"/>
        <v>0</v>
      </c>
      <c r="DV27" s="19">
        <f t="shared" si="26"/>
        <v>0</v>
      </c>
      <c r="DX27" s="19">
        <f t="shared" si="27"/>
        <v>0</v>
      </c>
      <c r="DY27" s="19">
        <f t="shared" si="28"/>
        <v>0</v>
      </c>
      <c r="DZ27" s="19">
        <f t="shared" si="29"/>
        <v>0</v>
      </c>
      <c r="EA27" s="19">
        <f t="shared" si="30"/>
        <v>0</v>
      </c>
      <c r="EB27" s="19">
        <f t="shared" si="31"/>
        <v>0</v>
      </c>
      <c r="EC27" s="770">
        <f t="shared" si="32"/>
        <v>0</v>
      </c>
    </row>
    <row r="28" spans="2:133" x14ac:dyDescent="0.2">
      <c r="B28" s="196" t="s">
        <v>10</v>
      </c>
      <c r="C28" s="199">
        <f>C3-C15</f>
        <v>46448662.019999996</v>
      </c>
      <c r="D28" s="199">
        <f t="shared" ref="D28:BO29" si="145">D3-D15</f>
        <v>44750003.949999988</v>
      </c>
      <c r="E28" s="199">
        <f t="shared" si="145"/>
        <v>51327881.4500001</v>
      </c>
      <c r="F28" s="199">
        <f t="shared" si="145"/>
        <v>29993811.020000014</v>
      </c>
      <c r="G28" s="199">
        <f t="shared" si="145"/>
        <v>4261892.3599999994</v>
      </c>
      <c r="H28" s="199">
        <f t="shared" si="145"/>
        <v>24846010.799999986</v>
      </c>
      <c r="I28" s="199">
        <f t="shared" si="145"/>
        <v>35174161.110000089</v>
      </c>
      <c r="J28" s="199">
        <f t="shared" si="145"/>
        <v>42816442.240000136</v>
      </c>
      <c r="K28" s="199">
        <f t="shared" si="145"/>
        <v>57131024.140000142</v>
      </c>
      <c r="L28" s="199">
        <f t="shared" si="145"/>
        <v>64437040.280000344</v>
      </c>
      <c r="M28" s="199">
        <f t="shared" si="145"/>
        <v>98904915.71999985</v>
      </c>
      <c r="N28" s="199">
        <f t="shared" si="145"/>
        <v>118115841.00999945</v>
      </c>
      <c r="O28" s="199">
        <f t="shared" si="145"/>
        <v>124353362.6800022</v>
      </c>
      <c r="P28" s="199">
        <f t="shared" si="145"/>
        <v>134046648.91999629</v>
      </c>
      <c r="Q28" s="199">
        <f t="shared" si="145"/>
        <v>141224537.11999503</v>
      </c>
      <c r="R28" s="199">
        <f t="shared" si="145"/>
        <v>128595512.48999597</v>
      </c>
      <c r="S28" s="199">
        <f t="shared" si="145"/>
        <v>157377855.94000483</v>
      </c>
      <c r="T28" s="199">
        <f t="shared" si="145"/>
        <v>198285261.83999008</v>
      </c>
      <c r="U28" s="199">
        <f t="shared" si="145"/>
        <v>196973057.48999861</v>
      </c>
      <c r="V28" s="199">
        <f t="shared" si="145"/>
        <v>194644881.58000541</v>
      </c>
      <c r="W28" s="199">
        <f t="shared" si="145"/>
        <v>189590246.30999985</v>
      </c>
      <c r="X28" s="199">
        <f t="shared" si="145"/>
        <v>231807498.38999581</v>
      </c>
      <c r="Y28" s="199">
        <f t="shared" si="145"/>
        <v>226900160.52999794</v>
      </c>
      <c r="Z28" s="199">
        <f t="shared" si="145"/>
        <v>263642915.35001406</v>
      </c>
      <c r="AA28" s="199">
        <f t="shared" si="145"/>
        <v>297804470.79999924</v>
      </c>
      <c r="AB28" s="199">
        <f t="shared" si="145"/>
        <v>316527306.23000473</v>
      </c>
      <c r="AC28" s="199">
        <f t="shared" si="145"/>
        <v>438319416.39998138</v>
      </c>
      <c r="AD28" s="199">
        <f t="shared" si="145"/>
        <v>495273347.28892803</v>
      </c>
      <c r="AE28" s="199">
        <f t="shared" si="145"/>
        <v>513768140.7096855</v>
      </c>
      <c r="AF28" s="199">
        <f t="shared" si="145"/>
        <v>540944250.28642356</v>
      </c>
      <c r="AG28" s="199">
        <f t="shared" si="145"/>
        <v>442106912.56314182</v>
      </c>
      <c r="AH28" s="199">
        <f t="shared" si="145"/>
        <v>467617718.93690753</v>
      </c>
      <c r="AI28" s="199">
        <f t="shared" si="145"/>
        <v>466138497.53734756</v>
      </c>
      <c r="AJ28" s="199">
        <f t="shared" si="145"/>
        <v>687243921.37284827</v>
      </c>
      <c r="AK28" s="199">
        <f t="shared" si="145"/>
        <v>574450150.5510093</v>
      </c>
      <c r="AL28" s="199">
        <f t="shared" si="145"/>
        <v>515061119.16207719</v>
      </c>
      <c r="AM28" s="199">
        <f t="shared" si="145"/>
        <v>489877823.45164835</v>
      </c>
      <c r="AN28" s="199">
        <f t="shared" si="145"/>
        <v>413404995.23792076</v>
      </c>
      <c r="AO28" s="199">
        <f t="shared" si="145"/>
        <v>530191640.65018916</v>
      </c>
      <c r="AP28" s="199">
        <f t="shared" si="145"/>
        <v>538475991.2393856</v>
      </c>
      <c r="AQ28" s="199">
        <f t="shared" si="145"/>
        <v>556772811.57822943</v>
      </c>
      <c r="AR28" s="199">
        <f t="shared" si="145"/>
        <v>589133221.44692099</v>
      </c>
      <c r="AS28" s="199">
        <f t="shared" si="145"/>
        <v>581529425.00877523</v>
      </c>
      <c r="AT28" s="199">
        <f t="shared" si="145"/>
        <v>518179542.688609</v>
      </c>
      <c r="AU28" s="199">
        <f t="shared" si="145"/>
        <v>487873212.97327006</v>
      </c>
      <c r="AV28" s="199">
        <f t="shared" si="145"/>
        <v>605623820.02670348</v>
      </c>
      <c r="AW28" s="199">
        <f t="shared" si="145"/>
        <v>564026965.4330703</v>
      </c>
      <c r="AX28" s="199">
        <f t="shared" si="145"/>
        <v>670975869.38141847</v>
      </c>
      <c r="AY28" s="199">
        <f t="shared" si="145"/>
        <v>715215263.74077547</v>
      </c>
      <c r="AZ28" s="199">
        <f t="shared" si="145"/>
        <v>680289439.11292195</v>
      </c>
      <c r="BA28" s="199">
        <f t="shared" si="145"/>
        <v>877358441.28969526</v>
      </c>
      <c r="BB28" s="199">
        <f t="shared" si="145"/>
        <v>808695527.07321823</v>
      </c>
      <c r="BC28" s="199">
        <f t="shared" si="145"/>
        <v>792786521.93831849</v>
      </c>
      <c r="BD28" s="199">
        <f t="shared" si="145"/>
        <v>798058955.10457683</v>
      </c>
      <c r="BE28" s="199">
        <f t="shared" si="145"/>
        <v>859966347.23745751</v>
      </c>
      <c r="BF28" s="199">
        <f t="shared" si="145"/>
        <v>743111931.10000086</v>
      </c>
      <c r="BG28" s="199">
        <f t="shared" si="145"/>
        <v>797675743.84670126</v>
      </c>
      <c r="BH28" s="199">
        <f t="shared" si="145"/>
        <v>927539874.82748795</v>
      </c>
      <c r="BI28" s="199">
        <f t="shared" si="145"/>
        <v>862069709.84060001</v>
      </c>
      <c r="BJ28" s="199">
        <f t="shared" si="145"/>
        <v>1060904702.6949952</v>
      </c>
      <c r="BK28" s="199">
        <f t="shared" si="145"/>
        <v>1144009427.1706383</v>
      </c>
      <c r="BL28" s="199">
        <f t="shared" si="145"/>
        <v>1035123425.8077545</v>
      </c>
      <c r="BM28" s="199">
        <f t="shared" si="145"/>
        <v>1236299089.5114489</v>
      </c>
      <c r="BN28" s="199">
        <f t="shared" si="145"/>
        <v>1080157534.9839134</v>
      </c>
      <c r="BO28" s="199">
        <f t="shared" si="145"/>
        <v>1070203004.422537</v>
      </c>
      <c r="BP28" s="199">
        <f t="shared" ref="BP28:CK31" si="146">BP3-BP15</f>
        <v>1068530220.2039895</v>
      </c>
      <c r="BQ28" s="199">
        <f t="shared" si="146"/>
        <v>1129591623.3509822</v>
      </c>
      <c r="BR28" s="199">
        <f t="shared" si="146"/>
        <v>1029348532.5047653</v>
      </c>
      <c r="BS28" s="199">
        <f t="shared" si="146"/>
        <v>1019961034.3785988</v>
      </c>
      <c r="BT28" s="199">
        <f t="shared" si="146"/>
        <v>1155815527.9663317</v>
      </c>
      <c r="BU28" s="199">
        <f t="shared" si="146"/>
        <v>1098018529.997179</v>
      </c>
      <c r="BV28" s="199">
        <f t="shared" si="146"/>
        <v>1321850318.2151394</v>
      </c>
      <c r="BW28" s="199">
        <f t="shared" si="146"/>
        <v>1381170157.2374434</v>
      </c>
      <c r="BX28" s="199">
        <f t="shared" si="146"/>
        <v>1244682018.8970361</v>
      </c>
      <c r="BY28" s="199">
        <f t="shared" si="146"/>
        <v>1409111712.2335658</v>
      </c>
      <c r="BZ28" s="199">
        <f t="shared" si="146"/>
        <v>1305473108.2531664</v>
      </c>
      <c r="CA28" s="199">
        <f t="shared" si="146"/>
        <v>1295178277.0151057</v>
      </c>
      <c r="CB28" s="199">
        <f t="shared" si="146"/>
        <v>1288910694.0261121</v>
      </c>
      <c r="CC28" s="199">
        <f t="shared" si="146"/>
        <v>1362714819.1243491</v>
      </c>
      <c r="CD28" s="199">
        <f t="shared" si="146"/>
        <v>1239636311.1675482</v>
      </c>
      <c r="CE28" s="199">
        <f t="shared" si="146"/>
        <v>1225289923.1504364</v>
      </c>
      <c r="CF28" s="199">
        <f t="shared" si="146"/>
        <v>1387774229.2680721</v>
      </c>
      <c r="CG28" s="199">
        <f t="shared" si="146"/>
        <v>1313428424.7967501</v>
      </c>
      <c r="CH28" s="199">
        <f t="shared" si="146"/>
        <v>1577781904.3705103</v>
      </c>
      <c r="CI28" s="199">
        <f t="shared" si="146"/>
        <v>1644212084.9410741</v>
      </c>
      <c r="CJ28" s="199">
        <f t="shared" si="146"/>
        <v>1477335779.6344497</v>
      </c>
      <c r="CK28" s="199">
        <f t="shared" si="146"/>
        <v>1661012380.5085833</v>
      </c>
      <c r="CL28" s="199">
        <f t="shared" ref="CL28:CW28" si="147">CL3-CL15</f>
        <v>1508911850.9744544</v>
      </c>
      <c r="CM28" s="199">
        <f t="shared" si="147"/>
        <v>1496471817.2606072</v>
      </c>
      <c r="CN28" s="199">
        <f t="shared" si="147"/>
        <v>1488732663.0449653</v>
      </c>
      <c r="CO28" s="199">
        <f t="shared" si="147"/>
        <v>1572699400.831022</v>
      </c>
      <c r="CP28" s="199">
        <f t="shared" si="147"/>
        <v>1430251789.9648764</v>
      </c>
      <c r="CQ28" s="199">
        <f t="shared" si="147"/>
        <v>1414855660.7557077</v>
      </c>
      <c r="CR28" s="199">
        <f t="shared" si="147"/>
        <v>1598954958.8754549</v>
      </c>
      <c r="CS28" s="199">
        <f t="shared" si="147"/>
        <v>1513841138.3463776</v>
      </c>
      <c r="CT28" s="199">
        <f t="shared" si="147"/>
        <v>1819516194.7817998</v>
      </c>
      <c r="CU28" s="199">
        <f t="shared" si="147"/>
        <v>1896956548.1942091</v>
      </c>
      <c r="CV28" s="199">
        <f t="shared" si="147"/>
        <v>1702239770.1987441</v>
      </c>
      <c r="CW28" s="199">
        <f t="shared" si="147"/>
        <v>1912823503.8114965</v>
      </c>
      <c r="CY28" s="199">
        <f t="shared" si="39"/>
        <v>1549985738.285037</v>
      </c>
      <c r="CZ28" s="199">
        <f t="shared" si="40"/>
        <v>1375863129.0373969</v>
      </c>
      <c r="DA28" s="199">
        <f t="shared" si="41"/>
        <v>1776755191.0859349</v>
      </c>
      <c r="DB28" s="199">
        <f t="shared" si="42"/>
        <v>1433474459.3397584</v>
      </c>
      <c r="DC28" s="199">
        <f t="shared" si="43"/>
        <v>1684382024.2645359</v>
      </c>
      <c r="DD28" s="199">
        <f t="shared" si="44"/>
        <v>1587582180.6706543</v>
      </c>
      <c r="DE28" s="199">
        <f t="shared" si="45"/>
        <v>1840626654.8411922</v>
      </c>
      <c r="DF28" s="199">
        <f t="shared" si="46"/>
        <v>2272863144.1433926</v>
      </c>
      <c r="DG28" s="199">
        <f t="shared" si="47"/>
        <v>2399541004.1161137</v>
      </c>
      <c r="DH28" s="199">
        <f t="shared" si="48"/>
        <v>2400754022.1841598</v>
      </c>
      <c r="DI28" s="199">
        <f t="shared" si="49"/>
        <v>2850514287.3630829</v>
      </c>
      <c r="DJ28" s="199">
        <f t="shared" si="50"/>
        <v>3415431942.4898415</v>
      </c>
      <c r="DK28" s="199">
        <f t="shared" si="51"/>
        <v>3218890759.6104398</v>
      </c>
      <c r="DL28" s="199">
        <f t="shared" si="52"/>
        <v>3178901190.2343459</v>
      </c>
      <c r="DM28" s="199">
        <f t="shared" si="53"/>
        <v>3575684376.1786499</v>
      </c>
      <c r="DN28" s="199">
        <f t="shared" si="54"/>
        <v>4034963888.3680453</v>
      </c>
      <c r="DO28" s="199">
        <f t="shared" si="55"/>
        <v>3889562079.2943845</v>
      </c>
      <c r="DP28" s="199">
        <f t="shared" si="56"/>
        <v>3827641053.4423337</v>
      </c>
      <c r="DQ28" s="199">
        <f t="shared" si="57"/>
        <v>4278984558.4353323</v>
      </c>
      <c r="DR28" s="199">
        <f t="shared" si="58"/>
        <v>4782560245.0841074</v>
      </c>
      <c r="DS28" s="199">
        <f t="shared" si="23"/>
        <v>4494116331.2800274</v>
      </c>
      <c r="DT28" s="199">
        <f t="shared" si="24"/>
        <v>4417806851.5516062</v>
      </c>
      <c r="DU28" s="199">
        <f t="shared" si="25"/>
        <v>4932312292.0036316</v>
      </c>
      <c r="DV28" s="199">
        <f t="shared" si="26"/>
        <v>5512019822.2044497</v>
      </c>
      <c r="DX28" s="199">
        <f t="shared" si="27"/>
        <v>6136078517.748127</v>
      </c>
      <c r="DY28" s="199">
        <f t="shared" si="28"/>
        <v>7385454003.919775</v>
      </c>
      <c r="DZ28" s="199">
        <f t="shared" si="29"/>
        <v>11066241256.153198</v>
      </c>
      <c r="EA28" s="199">
        <f t="shared" si="30"/>
        <v>14008440214.391481</v>
      </c>
      <c r="EB28" s="199">
        <f t="shared" si="31"/>
        <v>16778747936.256157</v>
      </c>
      <c r="EC28" s="810">
        <f t="shared" si="32"/>
        <v>19356255297.039715</v>
      </c>
    </row>
    <row r="29" spans="2:133" x14ac:dyDescent="0.2">
      <c r="B29" s="178" t="s">
        <v>139</v>
      </c>
      <c r="C29" s="19">
        <f t="shared" ref="C29:R31" si="148">C4-C16</f>
        <v>42900443.359999999</v>
      </c>
      <c r="D29" s="19">
        <f t="shared" si="148"/>
        <v>40864787.949999988</v>
      </c>
      <c r="E29" s="19">
        <f t="shared" si="148"/>
        <v>46809145.480000101</v>
      </c>
      <c r="F29" s="19">
        <f t="shared" si="148"/>
        <v>27239057.890000015</v>
      </c>
      <c r="G29" s="19">
        <f t="shared" si="148"/>
        <v>4254497.8</v>
      </c>
      <c r="H29" s="19">
        <f t="shared" si="148"/>
        <v>20147886.889999986</v>
      </c>
      <c r="I29" s="19">
        <f t="shared" si="148"/>
        <v>28479124.65000008</v>
      </c>
      <c r="J29" s="19">
        <f t="shared" si="148"/>
        <v>35592387.960000135</v>
      </c>
      <c r="K29" s="19">
        <f t="shared" si="148"/>
        <v>48057574.140000142</v>
      </c>
      <c r="L29" s="19">
        <f t="shared" si="148"/>
        <v>55758717.940000348</v>
      </c>
      <c r="M29" s="19">
        <f t="shared" si="148"/>
        <v>89590594.35999985</v>
      </c>
      <c r="N29" s="19">
        <f t="shared" si="148"/>
        <v>104797797.66999945</v>
      </c>
      <c r="O29" s="19">
        <f t="shared" si="148"/>
        <v>111308520.9300022</v>
      </c>
      <c r="P29" s="19">
        <f t="shared" si="148"/>
        <v>121039218.67999631</v>
      </c>
      <c r="Q29" s="19">
        <f t="shared" si="148"/>
        <v>127665158.81999502</v>
      </c>
      <c r="R29" s="19">
        <f t="shared" si="148"/>
        <v>114152737.50999597</v>
      </c>
      <c r="S29" s="19">
        <f t="shared" si="145"/>
        <v>141219188.76000482</v>
      </c>
      <c r="T29" s="19">
        <f t="shared" si="145"/>
        <v>181149388.26999009</v>
      </c>
      <c r="U29" s="19">
        <f t="shared" si="145"/>
        <v>177179071.3099986</v>
      </c>
      <c r="V29" s="19">
        <f t="shared" si="145"/>
        <v>173221579.66000539</v>
      </c>
      <c r="W29" s="19">
        <f t="shared" si="145"/>
        <v>168567324.79999986</v>
      </c>
      <c r="X29" s="19">
        <f t="shared" si="145"/>
        <v>211801165.06999582</v>
      </c>
      <c r="Y29" s="19">
        <f t="shared" si="145"/>
        <v>207027316.27999794</v>
      </c>
      <c r="Z29" s="19">
        <f t="shared" si="145"/>
        <v>243430346.26001409</v>
      </c>
      <c r="AA29" s="19">
        <f t="shared" si="145"/>
        <v>275558639.68999922</v>
      </c>
      <c r="AB29" s="19">
        <f t="shared" si="145"/>
        <v>294575625.31000471</v>
      </c>
      <c r="AC29" s="19">
        <f t="shared" si="145"/>
        <v>415418963.9799813</v>
      </c>
      <c r="AD29" s="19">
        <f t="shared" si="145"/>
        <v>471468712.55942798</v>
      </c>
      <c r="AE29" s="19">
        <f t="shared" si="145"/>
        <v>488801654.7096855</v>
      </c>
      <c r="AF29" s="19">
        <f t="shared" si="145"/>
        <v>514474379.67642355</v>
      </c>
      <c r="AG29" s="19">
        <f t="shared" si="145"/>
        <v>414738100.76314175</v>
      </c>
      <c r="AH29" s="19">
        <f t="shared" si="145"/>
        <v>436368009.07490754</v>
      </c>
      <c r="AI29" s="19">
        <f t="shared" si="145"/>
        <v>438127606.50698757</v>
      </c>
      <c r="AJ29" s="19">
        <f t="shared" si="145"/>
        <v>655140468.45114827</v>
      </c>
      <c r="AK29" s="19">
        <f t="shared" si="145"/>
        <v>550478882.38706899</v>
      </c>
      <c r="AL29" s="19">
        <f t="shared" si="145"/>
        <v>492437220.33111715</v>
      </c>
      <c r="AM29" s="19">
        <f t="shared" si="145"/>
        <v>468497166.54165256</v>
      </c>
      <c r="AN29" s="19">
        <f t="shared" si="145"/>
        <v>391086995.87576556</v>
      </c>
      <c r="AO29" s="19">
        <f t="shared" si="145"/>
        <v>504617056.66021729</v>
      </c>
      <c r="AP29" s="19">
        <f t="shared" si="145"/>
        <v>511404555.11941302</v>
      </c>
      <c r="AQ29" s="19">
        <f t="shared" si="145"/>
        <v>528382766.45801872</v>
      </c>
      <c r="AR29" s="19">
        <f t="shared" si="145"/>
        <v>557915117.44188285</v>
      </c>
      <c r="AS29" s="19">
        <f t="shared" si="145"/>
        <v>549172956.25877106</v>
      </c>
      <c r="AT29" s="19">
        <f t="shared" si="145"/>
        <v>486481967.82860899</v>
      </c>
      <c r="AU29" s="19">
        <f t="shared" si="145"/>
        <v>458111278.06665242</v>
      </c>
      <c r="AV29" s="19">
        <f t="shared" si="145"/>
        <v>571831289.16511607</v>
      </c>
      <c r="AW29" s="19">
        <f t="shared" si="145"/>
        <v>534552554.81307018</v>
      </c>
      <c r="AX29" s="19">
        <f t="shared" si="145"/>
        <v>636403083.74523067</v>
      </c>
      <c r="AY29" s="19">
        <f t="shared" si="145"/>
        <v>681078195.92077553</v>
      </c>
      <c r="AZ29" s="19">
        <f t="shared" si="145"/>
        <v>649806770.9229219</v>
      </c>
      <c r="BA29" s="19">
        <f t="shared" si="145"/>
        <v>838927433.56969535</v>
      </c>
      <c r="BB29" s="19">
        <f t="shared" si="145"/>
        <v>773004511.89321828</v>
      </c>
      <c r="BC29" s="19">
        <f t="shared" si="145"/>
        <v>755574724.8283186</v>
      </c>
      <c r="BD29" s="19">
        <f t="shared" si="145"/>
        <v>763813123.11457694</v>
      </c>
      <c r="BE29" s="19">
        <f t="shared" si="145"/>
        <v>820391689.6474576</v>
      </c>
      <c r="BF29" s="19">
        <f t="shared" si="145"/>
        <v>701446467.27000093</v>
      </c>
      <c r="BG29" s="19">
        <f t="shared" si="145"/>
        <v>758296395.77670133</v>
      </c>
      <c r="BH29" s="19">
        <f t="shared" si="145"/>
        <v>879283777.64748788</v>
      </c>
      <c r="BI29" s="19">
        <f t="shared" si="145"/>
        <v>815404475.33060002</v>
      </c>
      <c r="BJ29" s="19">
        <f t="shared" si="145"/>
        <v>1003075121.4649951</v>
      </c>
      <c r="BK29" s="19">
        <f t="shared" si="145"/>
        <v>1089153040.5906384</v>
      </c>
      <c r="BL29" s="19">
        <f t="shared" si="145"/>
        <v>982149503.37775445</v>
      </c>
      <c r="BM29" s="19">
        <f t="shared" si="145"/>
        <v>1158200085.4814487</v>
      </c>
      <c r="BN29" s="19">
        <f t="shared" si="145"/>
        <v>1024832385.0406792</v>
      </c>
      <c r="BO29" s="19">
        <f t="shared" si="145"/>
        <v>1014494334.3686327</v>
      </c>
      <c r="BP29" s="19">
        <f t="shared" si="146"/>
        <v>1012165140.7392089</v>
      </c>
      <c r="BQ29" s="19">
        <f t="shared" si="146"/>
        <v>1072558623.8431344</v>
      </c>
      <c r="BR29" s="19">
        <f t="shared" si="146"/>
        <v>971968797.43307543</v>
      </c>
      <c r="BS29" s="19">
        <f t="shared" si="146"/>
        <v>961887317.29918826</v>
      </c>
      <c r="BT29" s="19">
        <f t="shared" si="146"/>
        <v>1096691975.9624631</v>
      </c>
      <c r="BU29" s="19">
        <f t="shared" si="146"/>
        <v>1038475132.6894015</v>
      </c>
      <c r="BV29" s="19">
        <f t="shared" si="146"/>
        <v>1261330419.3834915</v>
      </c>
      <c r="BW29" s="19">
        <f t="shared" si="146"/>
        <v>1320126389.0511158</v>
      </c>
      <c r="BX29" s="19">
        <f t="shared" si="146"/>
        <v>1183217242.129391</v>
      </c>
      <c r="BY29" s="19">
        <f t="shared" si="146"/>
        <v>1346241948.9087467</v>
      </c>
      <c r="BZ29" s="19">
        <f t="shared" si="146"/>
        <v>1242470708.6302717</v>
      </c>
      <c r="CA29" s="19">
        <f t="shared" si="146"/>
        <v>1231575985.9702537</v>
      </c>
      <c r="CB29" s="19">
        <f t="shared" si="146"/>
        <v>1224891346.4582458</v>
      </c>
      <c r="CC29" s="19">
        <f t="shared" si="146"/>
        <v>1297980421.7096405</v>
      </c>
      <c r="CD29" s="19">
        <f t="shared" si="146"/>
        <v>1174630173.6263738</v>
      </c>
      <c r="CE29" s="19">
        <f t="shared" si="146"/>
        <v>1159637283.4810653</v>
      </c>
      <c r="CF29" s="19">
        <f t="shared" si="146"/>
        <v>1321175752.3331535</v>
      </c>
      <c r="CG29" s="19">
        <f t="shared" si="146"/>
        <v>1246698904.1119022</v>
      </c>
      <c r="CH29" s="19">
        <f t="shared" si="146"/>
        <v>1510202790.7451735</v>
      </c>
      <c r="CI29" s="19">
        <f t="shared" si="146"/>
        <v>1576330620.5773032</v>
      </c>
      <c r="CJ29" s="19">
        <f t="shared" si="146"/>
        <v>1409319105.2084668</v>
      </c>
      <c r="CK29" s="19">
        <f t="shared" si="146"/>
        <v>1592203784.629494</v>
      </c>
      <c r="CL29" s="19">
        <f t="shared" ref="CL29:CW29" si="149">CL4-CL16</f>
        <v>1440136874.3940532</v>
      </c>
      <c r="CM29" s="19">
        <f t="shared" si="149"/>
        <v>1427109440.4604125</v>
      </c>
      <c r="CN29" s="19">
        <f t="shared" si="149"/>
        <v>1418959019.0741401</v>
      </c>
      <c r="CO29" s="19">
        <f t="shared" si="149"/>
        <v>1502174422.1372576</v>
      </c>
      <c r="CP29" s="19">
        <f t="shared" si="149"/>
        <v>1359513368.5573471</v>
      </c>
      <c r="CQ29" s="19">
        <f t="shared" si="149"/>
        <v>1343507771.9383397</v>
      </c>
      <c r="CR29" s="19">
        <f t="shared" si="149"/>
        <v>1526561830.249438</v>
      </c>
      <c r="CS29" s="19">
        <f t="shared" si="149"/>
        <v>1441362105.4713871</v>
      </c>
      <c r="CT29" s="19">
        <f t="shared" si="149"/>
        <v>1746102175.1431627</v>
      </c>
      <c r="CU29" s="19">
        <f t="shared" si="149"/>
        <v>1823230237.7771764</v>
      </c>
      <c r="CV29" s="19">
        <f t="shared" si="149"/>
        <v>1628422622.9172113</v>
      </c>
      <c r="CW29" s="19">
        <f t="shared" si="149"/>
        <v>1838137747.5263073</v>
      </c>
      <c r="CY29" s="19">
        <f t="shared" si="39"/>
        <v>1474744746.9455371</v>
      </c>
      <c r="CZ29" s="19">
        <f t="shared" si="40"/>
        <v>1289233716.345037</v>
      </c>
      <c r="DA29" s="19">
        <f t="shared" si="41"/>
        <v>1698056571.1693344</v>
      </c>
      <c r="DB29" s="19">
        <f t="shared" si="42"/>
        <v>1364201219.0776353</v>
      </c>
      <c r="DC29" s="19">
        <f t="shared" si="43"/>
        <v>1597702439.0193145</v>
      </c>
      <c r="DD29" s="19">
        <f t="shared" si="44"/>
        <v>1493766202.1540325</v>
      </c>
      <c r="DE29" s="19">
        <f t="shared" si="45"/>
        <v>1742786927.7234168</v>
      </c>
      <c r="DF29" s="19">
        <f t="shared" si="46"/>
        <v>2169812400.413393</v>
      </c>
      <c r="DG29" s="19">
        <f t="shared" si="47"/>
        <v>2292392359.8361139</v>
      </c>
      <c r="DH29" s="19">
        <f t="shared" si="48"/>
        <v>2280134552.69416</v>
      </c>
      <c r="DI29" s="19">
        <f t="shared" si="49"/>
        <v>2697763374.4430828</v>
      </c>
      <c r="DJ29" s="19">
        <f t="shared" si="50"/>
        <v>3229502629.4498415</v>
      </c>
      <c r="DK29" s="19">
        <f t="shared" si="51"/>
        <v>3051491860.1485205</v>
      </c>
      <c r="DL29" s="19">
        <f t="shared" si="52"/>
        <v>3006414738.575398</v>
      </c>
      <c r="DM29" s="19">
        <f t="shared" si="53"/>
        <v>3396497528.035356</v>
      </c>
      <c r="DN29" s="19">
        <f t="shared" si="54"/>
        <v>3849585580.0892534</v>
      </c>
      <c r="DO29" s="19">
        <f t="shared" si="55"/>
        <v>3698938041.0587711</v>
      </c>
      <c r="DP29" s="19">
        <f t="shared" si="56"/>
        <v>3632247878.8170795</v>
      </c>
      <c r="DQ29" s="19">
        <f t="shared" si="57"/>
        <v>4078077447.1902294</v>
      </c>
      <c r="DR29" s="19">
        <f t="shared" si="58"/>
        <v>4577853510.4152641</v>
      </c>
      <c r="DS29" s="19">
        <f t="shared" si="23"/>
        <v>4286205333.9286056</v>
      </c>
      <c r="DT29" s="19">
        <f t="shared" si="24"/>
        <v>4205195562.6329446</v>
      </c>
      <c r="DU29" s="19">
        <f t="shared" si="25"/>
        <v>4714026110.8639879</v>
      </c>
      <c r="DV29" s="19">
        <f t="shared" si="26"/>
        <v>5289790608.2206945</v>
      </c>
      <c r="DX29" s="19">
        <f t="shared" si="27"/>
        <v>5826236253.5375443</v>
      </c>
      <c r="DY29" s="19">
        <f t="shared" si="28"/>
        <v>7004067969.3101568</v>
      </c>
      <c r="DZ29" s="19">
        <f t="shared" si="29"/>
        <v>10499792916.423199</v>
      </c>
      <c r="EA29" s="19">
        <f t="shared" si="30"/>
        <v>13303989706.84853</v>
      </c>
      <c r="EB29" s="19">
        <f t="shared" si="31"/>
        <v>15987116877.481344</v>
      </c>
      <c r="EC29" s="770">
        <f t="shared" si="32"/>
        <v>18495217615.646233</v>
      </c>
    </row>
    <row r="30" spans="2:133" x14ac:dyDescent="0.2">
      <c r="B30" s="178" t="s">
        <v>191</v>
      </c>
      <c r="C30" s="19">
        <f t="shared" si="148"/>
        <v>3167770</v>
      </c>
      <c r="D30" s="19">
        <f t="shared" ref="D30:BO31" si="150">D5-D17</f>
        <v>2816768</v>
      </c>
      <c r="E30" s="19">
        <f t="shared" si="150"/>
        <v>3828115</v>
      </c>
      <c r="F30" s="19">
        <f t="shared" si="150"/>
        <v>2399609</v>
      </c>
      <c r="G30" s="19">
        <f t="shared" si="150"/>
        <v>0</v>
      </c>
      <c r="H30" s="19">
        <f t="shared" si="150"/>
        <v>4316723</v>
      </c>
      <c r="I30" s="19">
        <f t="shared" si="150"/>
        <v>6004305</v>
      </c>
      <c r="J30" s="19">
        <f t="shared" si="150"/>
        <v>5531798</v>
      </c>
      <c r="K30" s="19">
        <f t="shared" si="150"/>
        <v>6811484</v>
      </c>
      <c r="L30" s="19">
        <f t="shared" si="150"/>
        <v>6477790</v>
      </c>
      <c r="M30" s="19">
        <f t="shared" si="150"/>
        <v>6832610</v>
      </c>
      <c r="N30" s="19">
        <f t="shared" si="150"/>
        <v>9801213.9399999995</v>
      </c>
      <c r="O30" s="19">
        <f t="shared" si="150"/>
        <v>9717463</v>
      </c>
      <c r="P30" s="19">
        <f t="shared" si="150"/>
        <v>9709837</v>
      </c>
      <c r="Q30" s="19">
        <f t="shared" si="150"/>
        <v>8969038</v>
      </c>
      <c r="R30" s="19">
        <f t="shared" si="150"/>
        <v>11077045</v>
      </c>
      <c r="S30" s="19">
        <f t="shared" si="150"/>
        <v>12723867</v>
      </c>
      <c r="T30" s="19">
        <f t="shared" si="150"/>
        <v>12864451</v>
      </c>
      <c r="U30" s="19">
        <f t="shared" si="150"/>
        <v>15111163</v>
      </c>
      <c r="V30" s="19">
        <f t="shared" si="150"/>
        <v>15860874</v>
      </c>
      <c r="W30" s="19">
        <f t="shared" si="150"/>
        <v>14892958</v>
      </c>
      <c r="X30" s="19">
        <f t="shared" si="150"/>
        <v>14209739</v>
      </c>
      <c r="Y30" s="19">
        <f t="shared" si="150"/>
        <v>14997847</v>
      </c>
      <c r="Z30" s="19">
        <f t="shared" si="150"/>
        <v>15114599</v>
      </c>
      <c r="AA30" s="19">
        <f t="shared" si="150"/>
        <v>16055224</v>
      </c>
      <c r="AB30" s="19">
        <f t="shared" si="150"/>
        <v>15120818</v>
      </c>
      <c r="AC30" s="19">
        <f t="shared" si="150"/>
        <v>15916436</v>
      </c>
      <c r="AD30" s="19">
        <f t="shared" si="150"/>
        <v>16455088</v>
      </c>
      <c r="AE30" s="19">
        <f t="shared" si="150"/>
        <v>17261755</v>
      </c>
      <c r="AF30" s="19">
        <f t="shared" si="150"/>
        <v>18137287</v>
      </c>
      <c r="AG30" s="19">
        <f t="shared" si="150"/>
        <v>19516288</v>
      </c>
      <c r="AH30" s="19">
        <f t="shared" si="150"/>
        <v>19725098</v>
      </c>
      <c r="AI30" s="19">
        <f t="shared" si="150"/>
        <v>17099249</v>
      </c>
      <c r="AJ30" s="19">
        <f t="shared" si="150"/>
        <v>17511393</v>
      </c>
      <c r="AK30" s="19">
        <f t="shared" si="150"/>
        <v>14560657</v>
      </c>
      <c r="AL30" s="19">
        <f t="shared" si="150"/>
        <v>14625126</v>
      </c>
      <c r="AM30" s="19">
        <f t="shared" si="150"/>
        <v>14384434</v>
      </c>
      <c r="AN30" s="19">
        <f t="shared" si="150"/>
        <v>14500412</v>
      </c>
      <c r="AO30" s="19">
        <f t="shared" si="150"/>
        <v>16891021</v>
      </c>
      <c r="AP30" s="19">
        <f t="shared" si="150"/>
        <v>17959708</v>
      </c>
      <c r="AQ30" s="19">
        <f t="shared" si="150"/>
        <v>19262795</v>
      </c>
      <c r="AR30" s="19">
        <f t="shared" si="150"/>
        <v>20797660</v>
      </c>
      <c r="AS30" s="19">
        <f t="shared" si="150"/>
        <v>22174516.800000001</v>
      </c>
      <c r="AT30" s="19">
        <f t="shared" si="150"/>
        <v>21618496</v>
      </c>
      <c r="AU30" s="19">
        <f t="shared" si="150"/>
        <v>20817939</v>
      </c>
      <c r="AV30" s="19">
        <f t="shared" si="150"/>
        <v>21207667.68</v>
      </c>
      <c r="AW30" s="19">
        <f t="shared" si="150"/>
        <v>19255836.920000002</v>
      </c>
      <c r="AX30" s="19">
        <f t="shared" si="150"/>
        <v>22400620.879999999</v>
      </c>
      <c r="AY30" s="19">
        <f t="shared" si="150"/>
        <v>21300170.48</v>
      </c>
      <c r="AZ30" s="19">
        <f t="shared" si="150"/>
        <v>18619942.399999999</v>
      </c>
      <c r="BA30" s="19">
        <f t="shared" si="150"/>
        <v>24707878.719999999</v>
      </c>
      <c r="BB30" s="19">
        <f t="shared" si="150"/>
        <v>22799477</v>
      </c>
      <c r="BC30" s="19">
        <f t="shared" si="150"/>
        <v>23528850</v>
      </c>
      <c r="BD30" s="19">
        <f t="shared" si="150"/>
        <v>23644259.399999999</v>
      </c>
      <c r="BE30" s="19">
        <f t="shared" si="150"/>
        <v>26714167.710000001</v>
      </c>
      <c r="BF30" s="19">
        <f t="shared" si="150"/>
        <v>30017121.27</v>
      </c>
      <c r="BG30" s="19">
        <f t="shared" si="150"/>
        <v>25148103.829999998</v>
      </c>
      <c r="BH30" s="19">
        <f t="shared" si="150"/>
        <v>25669120.719999999</v>
      </c>
      <c r="BI30" s="19">
        <f t="shared" si="150"/>
        <v>26616200.09</v>
      </c>
      <c r="BJ30" s="19">
        <f t="shared" si="150"/>
        <v>32153333.34</v>
      </c>
      <c r="BK30" s="19">
        <f t="shared" si="150"/>
        <v>31872046.09</v>
      </c>
      <c r="BL30" s="19">
        <f t="shared" si="150"/>
        <v>31154044.84</v>
      </c>
      <c r="BM30" s="19">
        <f t="shared" si="150"/>
        <v>53076996.660000004</v>
      </c>
      <c r="BN30" s="19">
        <f t="shared" si="150"/>
        <v>33804798.704594932</v>
      </c>
      <c r="BO30" s="19">
        <f t="shared" si="150"/>
        <v>34088872.643289007</v>
      </c>
      <c r="BP30" s="19">
        <f t="shared" si="146"/>
        <v>34514983.551330119</v>
      </c>
      <c r="BQ30" s="19">
        <f t="shared" si="146"/>
        <v>34799057.490024194</v>
      </c>
      <c r="BR30" s="19">
        <f t="shared" si="146"/>
        <v>35225168.398065306</v>
      </c>
      <c r="BS30" s="19">
        <f t="shared" si="146"/>
        <v>35793316.275453456</v>
      </c>
      <c r="BT30" s="19">
        <f t="shared" si="146"/>
        <v>36077390.21414753</v>
      </c>
      <c r="BU30" s="19">
        <f t="shared" si="146"/>
        <v>36503501.122188643</v>
      </c>
      <c r="BV30" s="19">
        <f t="shared" si="146"/>
        <v>36787575.060882717</v>
      </c>
      <c r="BW30" s="19">
        <f t="shared" si="146"/>
        <v>37071648.999576792</v>
      </c>
      <c r="BX30" s="19">
        <f t="shared" si="146"/>
        <v>37497759.907617904</v>
      </c>
      <c r="BY30" s="19">
        <f t="shared" si="146"/>
        <v>38065907.785006054</v>
      </c>
      <c r="BZ30" s="19">
        <f t="shared" si="146"/>
        <v>38349981.723700128</v>
      </c>
      <c r="CA30" s="19">
        <f t="shared" si="146"/>
        <v>38776092.631741241</v>
      </c>
      <c r="CB30" s="19">
        <f t="shared" si="146"/>
        <v>39060166.570435315</v>
      </c>
      <c r="CC30" s="19">
        <f t="shared" si="146"/>
        <v>39344240.50912939</v>
      </c>
      <c r="CD30" s="19">
        <f t="shared" si="146"/>
        <v>39770351.417170502</v>
      </c>
      <c r="CE30" s="19">
        <f t="shared" si="146"/>
        <v>40338499.294558659</v>
      </c>
      <c r="CF30" s="19">
        <f t="shared" si="146"/>
        <v>40480536.263905697</v>
      </c>
      <c r="CG30" s="19">
        <f t="shared" si="146"/>
        <v>40764610.202599771</v>
      </c>
      <c r="CH30" s="19">
        <f t="shared" si="146"/>
        <v>40906647.171946809</v>
      </c>
      <c r="CI30" s="19">
        <f t="shared" si="146"/>
        <v>41048684.141293846</v>
      </c>
      <c r="CJ30" s="19">
        <f t="shared" si="146"/>
        <v>41332758.079987921</v>
      </c>
      <c r="CK30" s="19">
        <f t="shared" si="146"/>
        <v>41474795.049334958</v>
      </c>
      <c r="CL30" s="19">
        <f t="shared" ref="CL30:CW30" si="151">CL5-CL17</f>
        <v>41758868.988029033</v>
      </c>
      <c r="CM30" s="19">
        <f t="shared" si="151"/>
        <v>42184979.896070145</v>
      </c>
      <c r="CN30" s="19">
        <f t="shared" si="151"/>
        <v>42469053.83476422</v>
      </c>
      <c r="CO30" s="19">
        <f t="shared" si="151"/>
        <v>42753127.773458295</v>
      </c>
      <c r="CP30" s="19">
        <f t="shared" si="151"/>
        <v>43179238.681499407</v>
      </c>
      <c r="CQ30" s="19">
        <f t="shared" si="151"/>
        <v>43747386.558887556</v>
      </c>
      <c r="CR30" s="19">
        <f t="shared" si="151"/>
        <v>43889423.528234594</v>
      </c>
      <c r="CS30" s="19">
        <f t="shared" si="151"/>
        <v>44173497.466928668</v>
      </c>
      <c r="CT30" s="19">
        <f t="shared" si="151"/>
        <v>44315534.436275706</v>
      </c>
      <c r="CU30" s="19">
        <f t="shared" si="151"/>
        <v>44457571.405622743</v>
      </c>
      <c r="CV30" s="19">
        <f t="shared" si="151"/>
        <v>44741645.344316818</v>
      </c>
      <c r="CW30" s="19">
        <f t="shared" si="151"/>
        <v>44883682.313663855</v>
      </c>
      <c r="CY30" s="19">
        <f t="shared" si="39"/>
        <v>51854130</v>
      </c>
      <c r="CZ30" s="19">
        <f t="shared" si="40"/>
        <v>56340635</v>
      </c>
      <c r="DA30" s="19">
        <f t="shared" si="41"/>
        <v>46697176</v>
      </c>
      <c r="DB30" s="19">
        <f t="shared" si="42"/>
        <v>45775867</v>
      </c>
      <c r="DC30" s="19">
        <f t="shared" si="43"/>
        <v>58020163</v>
      </c>
      <c r="DD30" s="19">
        <f t="shared" si="44"/>
        <v>64610951.799999997</v>
      </c>
      <c r="DE30" s="19">
        <f t="shared" si="45"/>
        <v>62864125.480000004</v>
      </c>
      <c r="DF30" s="19">
        <f t="shared" si="46"/>
        <v>64627991.599999994</v>
      </c>
      <c r="DG30" s="19">
        <f t="shared" si="47"/>
        <v>69972586.400000006</v>
      </c>
      <c r="DH30" s="19">
        <f t="shared" si="48"/>
        <v>81879392.810000002</v>
      </c>
      <c r="DI30" s="19">
        <f t="shared" si="49"/>
        <v>84438654.150000006</v>
      </c>
      <c r="DJ30" s="19">
        <f t="shared" si="50"/>
        <v>116103087.59</v>
      </c>
      <c r="DK30" s="19">
        <f t="shared" si="51"/>
        <v>102408654.89921406</v>
      </c>
      <c r="DL30" s="19">
        <f t="shared" si="52"/>
        <v>105817542.16354296</v>
      </c>
      <c r="DM30" s="19">
        <f t="shared" si="53"/>
        <v>109368466.39721888</v>
      </c>
      <c r="DN30" s="19">
        <f t="shared" si="54"/>
        <v>112635316.69220075</v>
      </c>
      <c r="DO30" s="19">
        <f t="shared" si="55"/>
        <v>116186240.92587668</v>
      </c>
      <c r="DP30" s="19">
        <f t="shared" si="56"/>
        <v>119453091.22085856</v>
      </c>
      <c r="DQ30" s="19">
        <f t="shared" si="57"/>
        <v>122151793.63845228</v>
      </c>
      <c r="DR30" s="19">
        <f t="shared" si="58"/>
        <v>123856237.27061673</v>
      </c>
      <c r="DS30" s="19">
        <f t="shared" si="23"/>
        <v>126412902.7188634</v>
      </c>
      <c r="DT30" s="19">
        <f t="shared" si="24"/>
        <v>129679753.01384525</v>
      </c>
      <c r="DU30" s="19">
        <f t="shared" si="25"/>
        <v>132378455.43143897</v>
      </c>
      <c r="DV30" s="19">
        <f t="shared" si="26"/>
        <v>134082899.06360342</v>
      </c>
      <c r="DX30" s="19">
        <f t="shared" si="27"/>
        <v>200667808</v>
      </c>
      <c r="DY30" s="19">
        <f t="shared" si="28"/>
        <v>250123231.88</v>
      </c>
      <c r="DZ30" s="19">
        <f t="shared" si="29"/>
        <v>352393720.95000005</v>
      </c>
      <c r="EA30" s="19">
        <f t="shared" si="30"/>
        <v>430229980.15217662</v>
      </c>
      <c r="EB30" s="19">
        <f t="shared" si="31"/>
        <v>481647363.05580425</v>
      </c>
      <c r="EC30" s="770">
        <f t="shared" si="32"/>
        <v>522554010.22775102</v>
      </c>
    </row>
    <row r="31" spans="2:133" x14ac:dyDescent="0.2">
      <c r="B31" s="178" t="s">
        <v>140</v>
      </c>
      <c r="C31" s="19">
        <f t="shared" si="148"/>
        <v>380448.66</v>
      </c>
      <c r="D31" s="19">
        <f t="shared" si="150"/>
        <v>1068448.0000000012</v>
      </c>
      <c r="E31" s="19">
        <f t="shared" si="150"/>
        <v>690620.97</v>
      </c>
      <c r="F31" s="19">
        <f t="shared" si="150"/>
        <v>355144.12999999995</v>
      </c>
      <c r="G31" s="19">
        <f t="shared" si="150"/>
        <v>7394.56</v>
      </c>
      <c r="H31" s="19">
        <f t="shared" si="150"/>
        <v>381400.91</v>
      </c>
      <c r="I31" s="19">
        <f t="shared" si="150"/>
        <v>690731.45999999985</v>
      </c>
      <c r="J31" s="19">
        <f t="shared" si="150"/>
        <v>1692256.2799999998</v>
      </c>
      <c r="K31" s="19">
        <f t="shared" si="150"/>
        <v>2261966</v>
      </c>
      <c r="L31" s="19">
        <f t="shared" si="150"/>
        <v>2200532.34</v>
      </c>
      <c r="M31" s="19">
        <f t="shared" si="150"/>
        <v>2481711.3600000069</v>
      </c>
      <c r="N31" s="19">
        <f t="shared" si="150"/>
        <v>3516829.4000000134</v>
      </c>
      <c r="O31" s="19">
        <f t="shared" si="150"/>
        <v>3327378.7500000014</v>
      </c>
      <c r="P31" s="19">
        <f t="shared" si="150"/>
        <v>3297593.2400000012</v>
      </c>
      <c r="Q31" s="19">
        <f t="shared" si="150"/>
        <v>4590340.3</v>
      </c>
      <c r="R31" s="19">
        <f t="shared" si="150"/>
        <v>3365729.9800000028</v>
      </c>
      <c r="S31" s="19">
        <f t="shared" si="150"/>
        <v>3434800.1800000006</v>
      </c>
      <c r="T31" s="19">
        <f t="shared" si="150"/>
        <v>4271422.5699999984</v>
      </c>
      <c r="U31" s="19">
        <f t="shared" si="150"/>
        <v>4682823.1799999941</v>
      </c>
      <c r="V31" s="19">
        <f t="shared" si="150"/>
        <v>5562427.9199999981</v>
      </c>
      <c r="W31" s="19">
        <f t="shared" si="150"/>
        <v>6129963.5099999988</v>
      </c>
      <c r="X31" s="19">
        <f t="shared" si="150"/>
        <v>5796594.3199999984</v>
      </c>
      <c r="Y31" s="19">
        <f t="shared" si="150"/>
        <v>4874997.2500000009</v>
      </c>
      <c r="Z31" s="19">
        <f t="shared" si="150"/>
        <v>5097970.09</v>
      </c>
      <c r="AA31" s="19">
        <f t="shared" si="150"/>
        <v>6190607.1099999994</v>
      </c>
      <c r="AB31" s="19">
        <f t="shared" si="150"/>
        <v>6830862.9200000018</v>
      </c>
      <c r="AC31" s="19">
        <f t="shared" si="150"/>
        <v>6984016.4199999981</v>
      </c>
      <c r="AD31" s="19">
        <f t="shared" si="150"/>
        <v>7349546.7295000069</v>
      </c>
      <c r="AE31" s="19">
        <f t="shared" si="150"/>
        <v>7704730.9999999972</v>
      </c>
      <c r="AF31" s="19">
        <f t="shared" si="150"/>
        <v>8332583.6100000208</v>
      </c>
      <c r="AG31" s="19">
        <f t="shared" si="150"/>
        <v>7852523.799999997</v>
      </c>
      <c r="AH31" s="19">
        <f t="shared" si="150"/>
        <v>11524611.862000061</v>
      </c>
      <c r="AI31" s="19">
        <f t="shared" si="150"/>
        <v>10911642.03036</v>
      </c>
      <c r="AJ31" s="19">
        <f t="shared" si="150"/>
        <v>14592059.921699986</v>
      </c>
      <c r="AK31" s="19">
        <f t="shared" si="150"/>
        <v>9410611.1639403459</v>
      </c>
      <c r="AL31" s="19">
        <f t="shared" si="150"/>
        <v>7998772.8309600148</v>
      </c>
      <c r="AM31" s="19">
        <f t="shared" si="150"/>
        <v>6996222.9099956984</v>
      </c>
      <c r="AN31" s="19">
        <f t="shared" si="150"/>
        <v>7817587.362155214</v>
      </c>
      <c r="AO31" s="19">
        <f t="shared" si="150"/>
        <v>8683562.9899719376</v>
      </c>
      <c r="AP31" s="19">
        <f t="shared" si="150"/>
        <v>9111728.1199725587</v>
      </c>
      <c r="AQ31" s="19">
        <f t="shared" si="150"/>
        <v>9127250.1202107016</v>
      </c>
      <c r="AR31" s="19">
        <f t="shared" si="150"/>
        <v>10420444.005038187</v>
      </c>
      <c r="AS31" s="19">
        <f t="shared" si="150"/>
        <v>10181951.950004138</v>
      </c>
      <c r="AT31" s="19">
        <f t="shared" si="150"/>
        <v>10079078.859999996</v>
      </c>
      <c r="AU31" s="19">
        <f t="shared" si="150"/>
        <v>8943995.9066176694</v>
      </c>
      <c r="AV31" s="19">
        <f t="shared" si="150"/>
        <v>12584863.181587428</v>
      </c>
      <c r="AW31" s="19">
        <f t="shared" si="150"/>
        <v>10218573.700000005</v>
      </c>
      <c r="AX31" s="19">
        <f t="shared" si="150"/>
        <v>12172164.756187756</v>
      </c>
      <c r="AY31" s="19">
        <f t="shared" si="150"/>
        <v>12836897.339999899</v>
      </c>
      <c r="AZ31" s="19">
        <f t="shared" si="150"/>
        <v>11673415.769999932</v>
      </c>
      <c r="BA31" s="19">
        <f t="shared" si="150"/>
        <v>13546874.470000001</v>
      </c>
      <c r="BB31" s="19">
        <f t="shared" si="150"/>
        <v>12659473.559999999</v>
      </c>
      <c r="BC31" s="19">
        <f t="shared" si="150"/>
        <v>13521194.889999993</v>
      </c>
      <c r="BD31" s="19">
        <f t="shared" si="150"/>
        <v>10467536.739999892</v>
      </c>
      <c r="BE31" s="19">
        <f t="shared" si="150"/>
        <v>12689021.25</v>
      </c>
      <c r="BF31" s="19">
        <f t="shared" si="150"/>
        <v>11475321.560000001</v>
      </c>
      <c r="BG31" s="19">
        <f t="shared" si="150"/>
        <v>14084438.4</v>
      </c>
      <c r="BH31" s="19">
        <f t="shared" si="150"/>
        <v>19822174.440000001</v>
      </c>
      <c r="BI31" s="19">
        <f t="shared" si="150"/>
        <v>17474729.129999999</v>
      </c>
      <c r="BJ31" s="19">
        <f t="shared" si="150"/>
        <v>22265964.400000025</v>
      </c>
      <c r="BK31" s="19">
        <f t="shared" si="150"/>
        <v>19094094.490000013</v>
      </c>
      <c r="BL31" s="19">
        <f t="shared" si="150"/>
        <v>18385214.360000022</v>
      </c>
      <c r="BM31" s="19">
        <f t="shared" si="150"/>
        <v>21643984.960000031</v>
      </c>
      <c r="BN31" s="19">
        <f t="shared" si="150"/>
        <v>18556002.379327863</v>
      </c>
      <c r="BO31" s="19">
        <f t="shared" si="150"/>
        <v>18711935.172431462</v>
      </c>
      <c r="BP31" s="19">
        <f t="shared" si="146"/>
        <v>18945834.362086855</v>
      </c>
      <c r="BQ31" s="19">
        <f t="shared" si="146"/>
        <v>19101767.155190453</v>
      </c>
      <c r="BR31" s="19">
        <f t="shared" si="146"/>
        <v>19335666.344845846</v>
      </c>
      <c r="BS31" s="19">
        <f t="shared" si="146"/>
        <v>19647531.931053035</v>
      </c>
      <c r="BT31" s="19">
        <f t="shared" si="146"/>
        <v>19803464.724156629</v>
      </c>
      <c r="BU31" s="19">
        <f t="shared" si="146"/>
        <v>20037363.913812023</v>
      </c>
      <c r="BV31" s="19">
        <f t="shared" si="146"/>
        <v>20193296.706915621</v>
      </c>
      <c r="BW31" s="19">
        <f t="shared" si="146"/>
        <v>20349229.500019215</v>
      </c>
      <c r="BX31" s="19">
        <f t="shared" si="146"/>
        <v>20583128.689674608</v>
      </c>
      <c r="BY31" s="19">
        <f t="shared" si="146"/>
        <v>20894994.275881797</v>
      </c>
      <c r="BZ31" s="19">
        <f t="shared" si="146"/>
        <v>21050927.068985395</v>
      </c>
      <c r="CA31" s="19">
        <f t="shared" si="146"/>
        <v>21284826.258640788</v>
      </c>
      <c r="CB31" s="19">
        <f t="shared" si="146"/>
        <v>21440759.051744383</v>
      </c>
      <c r="CC31" s="19">
        <f t="shared" si="146"/>
        <v>21596691.844847981</v>
      </c>
      <c r="CD31" s="19">
        <f t="shared" si="146"/>
        <v>21830591.034503374</v>
      </c>
      <c r="CE31" s="19">
        <f t="shared" si="146"/>
        <v>22142456.620710563</v>
      </c>
      <c r="CF31" s="19">
        <f t="shared" si="146"/>
        <v>22220423.017262362</v>
      </c>
      <c r="CG31" s="19">
        <f t="shared" si="146"/>
        <v>22376355.810365956</v>
      </c>
      <c r="CH31" s="19">
        <f t="shared" si="146"/>
        <v>22454322.206917755</v>
      </c>
      <c r="CI31" s="19">
        <f t="shared" si="146"/>
        <v>22532288.603469551</v>
      </c>
      <c r="CJ31" s="19">
        <f t="shared" si="146"/>
        <v>22688221.396573149</v>
      </c>
      <c r="CK31" s="19">
        <f t="shared" si="146"/>
        <v>22766187.793124944</v>
      </c>
      <c r="CL31" s="19">
        <f t="shared" ref="CL31:CW31" si="152">CL6-CL18</f>
        <v>22922120.586228542</v>
      </c>
      <c r="CM31" s="19">
        <f t="shared" si="152"/>
        <v>23156019.775883935</v>
      </c>
      <c r="CN31" s="19">
        <f t="shared" si="152"/>
        <v>23311952.56898753</v>
      </c>
      <c r="CO31" s="19">
        <f t="shared" si="152"/>
        <v>23467885.362091124</v>
      </c>
      <c r="CP31" s="19">
        <f t="shared" si="152"/>
        <v>23701784.551746521</v>
      </c>
      <c r="CQ31" s="19">
        <f t="shared" si="152"/>
        <v>24013650.13795371</v>
      </c>
      <c r="CR31" s="19">
        <f t="shared" si="152"/>
        <v>24091616.534505505</v>
      </c>
      <c r="CS31" s="19">
        <f t="shared" si="152"/>
        <v>24247549.327609103</v>
      </c>
      <c r="CT31" s="19">
        <f t="shared" si="152"/>
        <v>24325515.724160902</v>
      </c>
      <c r="CU31" s="19">
        <f t="shared" si="152"/>
        <v>24403482.120712698</v>
      </c>
      <c r="CV31" s="19">
        <f t="shared" si="152"/>
        <v>24559414.913816296</v>
      </c>
      <c r="CW31" s="19">
        <f t="shared" si="152"/>
        <v>24637381.310368091</v>
      </c>
      <c r="CY31" s="19">
        <f t="shared" si="39"/>
        <v>23386861.339500025</v>
      </c>
      <c r="CZ31" s="19">
        <f t="shared" si="40"/>
        <v>30288777.692360058</v>
      </c>
      <c r="DA31" s="19">
        <f t="shared" si="41"/>
        <v>32001443.916600347</v>
      </c>
      <c r="DB31" s="19">
        <f t="shared" si="42"/>
        <v>23497373.262122847</v>
      </c>
      <c r="DC31" s="19">
        <f t="shared" si="43"/>
        <v>28659422.245221447</v>
      </c>
      <c r="DD31" s="19">
        <f t="shared" si="44"/>
        <v>29205026.716621801</v>
      </c>
      <c r="DE31" s="19">
        <f t="shared" si="45"/>
        <v>34975601.637775183</v>
      </c>
      <c r="DF31" s="19">
        <f t="shared" si="46"/>
        <v>38057187.579999834</v>
      </c>
      <c r="DG31" s="19">
        <f t="shared" si="47"/>
        <v>36648205.189999886</v>
      </c>
      <c r="DH31" s="19">
        <f t="shared" si="48"/>
        <v>38248781.210000001</v>
      </c>
      <c r="DI31" s="19">
        <f t="shared" si="49"/>
        <v>59562867.970000029</v>
      </c>
      <c r="DJ31" s="19">
        <f t="shared" si="50"/>
        <v>59123293.810000069</v>
      </c>
      <c r="DK31" s="19">
        <f t="shared" si="51"/>
        <v>56213771.91384618</v>
      </c>
      <c r="DL31" s="19">
        <f t="shared" si="52"/>
        <v>58084965.431089334</v>
      </c>
      <c r="DM31" s="19">
        <f t="shared" si="53"/>
        <v>60034125.344884276</v>
      </c>
      <c r="DN31" s="19">
        <f t="shared" si="54"/>
        <v>61827352.465575621</v>
      </c>
      <c r="DO31" s="19">
        <f t="shared" si="55"/>
        <v>63776512.37937057</v>
      </c>
      <c r="DP31" s="19">
        <f t="shared" si="56"/>
        <v>65569739.500061914</v>
      </c>
      <c r="DQ31" s="19">
        <f t="shared" si="57"/>
        <v>67051101.03454607</v>
      </c>
      <c r="DR31" s="19">
        <f t="shared" si="58"/>
        <v>67986697.793167651</v>
      </c>
      <c r="DS31" s="19">
        <f t="shared" si="23"/>
        <v>69390092.931100011</v>
      </c>
      <c r="DT31" s="19">
        <f t="shared" si="24"/>
        <v>71183320.051791355</v>
      </c>
      <c r="DU31" s="19">
        <f t="shared" si="25"/>
        <v>72664681.586275518</v>
      </c>
      <c r="DV31" s="19">
        <f t="shared" si="26"/>
        <v>73600278.344897091</v>
      </c>
      <c r="DX31" s="19">
        <f t="shared" si="27"/>
        <v>109174456.21058327</v>
      </c>
      <c r="DY31" s="19">
        <f t="shared" si="28"/>
        <v>130897238.17961827</v>
      </c>
      <c r="DZ31" s="19">
        <f t="shared" si="29"/>
        <v>193583148.17999998</v>
      </c>
      <c r="EA31" s="19">
        <f t="shared" si="30"/>
        <v>236160215.15539539</v>
      </c>
      <c r="EB31" s="19">
        <f t="shared" si="31"/>
        <v>264384050.7071462</v>
      </c>
      <c r="EC31" s="770">
        <f t="shared" si="32"/>
        <v>286838372.91406399</v>
      </c>
    </row>
    <row r="32" spans="2:133" x14ac:dyDescent="0.2">
      <c r="B32" s="178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Y32" s="19">
        <f t="shared" si="39"/>
        <v>0</v>
      </c>
      <c r="CZ32" s="19">
        <f t="shared" si="40"/>
        <v>0</v>
      </c>
      <c r="DA32" s="19">
        <f t="shared" si="41"/>
        <v>0</v>
      </c>
      <c r="DB32" s="19">
        <f t="shared" si="42"/>
        <v>0</v>
      </c>
      <c r="DC32" s="19">
        <f t="shared" si="43"/>
        <v>0</v>
      </c>
      <c r="DD32" s="19">
        <f t="shared" si="44"/>
        <v>0</v>
      </c>
      <c r="DE32" s="19">
        <f t="shared" si="45"/>
        <v>0</v>
      </c>
      <c r="DF32" s="19">
        <f t="shared" si="46"/>
        <v>0</v>
      </c>
      <c r="DG32" s="19">
        <f t="shared" si="47"/>
        <v>0</v>
      </c>
      <c r="DH32" s="19">
        <f t="shared" si="48"/>
        <v>0</v>
      </c>
      <c r="DI32" s="19">
        <f t="shared" si="49"/>
        <v>0</v>
      </c>
      <c r="DJ32" s="19">
        <f t="shared" si="50"/>
        <v>0</v>
      </c>
      <c r="DK32" s="19">
        <f t="shared" si="51"/>
        <v>0</v>
      </c>
      <c r="DL32" s="19">
        <f t="shared" si="52"/>
        <v>0</v>
      </c>
      <c r="DM32" s="19">
        <f t="shared" si="53"/>
        <v>0</v>
      </c>
      <c r="DN32" s="19">
        <f t="shared" si="54"/>
        <v>0</v>
      </c>
      <c r="DO32" s="19">
        <f t="shared" si="55"/>
        <v>0</v>
      </c>
      <c r="DP32" s="19">
        <f t="shared" si="56"/>
        <v>0</v>
      </c>
      <c r="DQ32" s="19">
        <f t="shared" si="57"/>
        <v>0</v>
      </c>
      <c r="DR32" s="19">
        <f t="shared" si="58"/>
        <v>0</v>
      </c>
      <c r="DS32" s="19">
        <f t="shared" si="23"/>
        <v>0</v>
      </c>
      <c r="DT32" s="19">
        <f t="shared" si="24"/>
        <v>0</v>
      </c>
      <c r="DU32" s="19">
        <f t="shared" si="25"/>
        <v>0</v>
      </c>
      <c r="DV32" s="19">
        <f t="shared" si="26"/>
        <v>0</v>
      </c>
      <c r="DX32" s="19">
        <f t="shared" si="27"/>
        <v>0</v>
      </c>
      <c r="DY32" s="19">
        <f t="shared" si="28"/>
        <v>0</v>
      </c>
      <c r="DZ32" s="19">
        <f t="shared" si="29"/>
        <v>0</v>
      </c>
      <c r="EA32" s="19">
        <f t="shared" si="30"/>
        <v>0</v>
      </c>
      <c r="EB32" s="19">
        <f t="shared" si="31"/>
        <v>0</v>
      </c>
      <c r="EC32" s="770">
        <f t="shared" si="32"/>
        <v>0</v>
      </c>
    </row>
    <row r="33" spans="2:133" x14ac:dyDescent="0.2">
      <c r="B33" s="155" t="s">
        <v>229</v>
      </c>
      <c r="C33" s="19">
        <f t="shared" ref="C33:BN33" si="153">C8-C20</f>
        <v>42238848.019999996</v>
      </c>
      <c r="D33" s="19">
        <f t="shared" si="153"/>
        <v>41169681.949999988</v>
      </c>
      <c r="E33" s="19">
        <f t="shared" si="153"/>
        <v>46022451.4500001</v>
      </c>
      <c r="F33" s="19">
        <f t="shared" si="153"/>
        <v>26365478.020000014</v>
      </c>
      <c r="G33" s="19">
        <f t="shared" si="153"/>
        <v>660873.56000000029</v>
      </c>
      <c r="H33" s="19">
        <f t="shared" si="153"/>
        <v>19858638.949999988</v>
      </c>
      <c r="I33" s="19">
        <f t="shared" si="153"/>
        <v>29638653.110000081</v>
      </c>
      <c r="J33" s="19">
        <f t="shared" si="153"/>
        <v>37375237.240000136</v>
      </c>
      <c r="K33" s="19">
        <f t="shared" si="153"/>
        <v>50341529.140000142</v>
      </c>
      <c r="L33" s="19">
        <f t="shared" si="153"/>
        <v>61139448.330000341</v>
      </c>
      <c r="M33" s="19">
        <f t="shared" si="153"/>
        <v>85422371.769999847</v>
      </c>
      <c r="N33" s="19">
        <f t="shared" si="153"/>
        <v>103382900.00999945</v>
      </c>
      <c r="O33" s="19">
        <f t="shared" si="153"/>
        <v>101355592.8500022</v>
      </c>
      <c r="P33" s="19">
        <f t="shared" si="153"/>
        <v>109123729.91999629</v>
      </c>
      <c r="Q33" s="19">
        <f t="shared" si="153"/>
        <v>122164712.91999502</v>
      </c>
      <c r="R33" s="19">
        <f t="shared" si="153"/>
        <v>109823064.26999599</v>
      </c>
      <c r="S33" s="19">
        <f t="shared" si="153"/>
        <v>133608663.82000482</v>
      </c>
      <c r="T33" s="19">
        <f t="shared" si="153"/>
        <v>159024124.13999009</v>
      </c>
      <c r="U33" s="19">
        <f t="shared" si="153"/>
        <v>164337478.40999818</v>
      </c>
      <c r="V33" s="19">
        <f t="shared" si="153"/>
        <v>171710139.12000531</v>
      </c>
      <c r="W33" s="19">
        <f t="shared" si="153"/>
        <v>165129889.85999975</v>
      </c>
      <c r="X33" s="19">
        <f t="shared" si="153"/>
        <v>182958913.47999564</v>
      </c>
      <c r="Y33" s="19">
        <f t="shared" si="153"/>
        <v>189070979.66999796</v>
      </c>
      <c r="Z33" s="19">
        <f t="shared" si="153"/>
        <v>228198550.17001384</v>
      </c>
      <c r="AA33" s="19">
        <f t="shared" si="153"/>
        <v>250734530.11999887</v>
      </c>
      <c r="AB33" s="19">
        <f t="shared" si="153"/>
        <v>248774043.02000448</v>
      </c>
      <c r="AC33" s="19">
        <f t="shared" si="153"/>
        <v>313480811.14998049</v>
      </c>
      <c r="AD33" s="19">
        <f t="shared" si="153"/>
        <v>334676574.94952548</v>
      </c>
      <c r="AE33" s="19">
        <f t="shared" si="153"/>
        <v>353988252.16002572</v>
      </c>
      <c r="AF33" s="19">
        <f t="shared" si="153"/>
        <v>348158942.47003824</v>
      </c>
      <c r="AG33" s="19">
        <f t="shared" si="153"/>
        <v>307209984.22004133</v>
      </c>
      <c r="AH33" s="19">
        <f t="shared" si="153"/>
        <v>309398295.76196939</v>
      </c>
      <c r="AI33" s="19">
        <f t="shared" si="153"/>
        <v>290473238.17039001</v>
      </c>
      <c r="AJ33" s="19">
        <f t="shared" si="153"/>
        <v>410622723.76424277</v>
      </c>
      <c r="AK33" s="19">
        <f t="shared" si="153"/>
        <v>358528367.22648662</v>
      </c>
      <c r="AL33" s="19">
        <f t="shared" si="153"/>
        <v>310965509.49705708</v>
      </c>
      <c r="AM33" s="19">
        <f t="shared" si="153"/>
        <v>281271224.0391472</v>
      </c>
      <c r="AN33" s="19">
        <f t="shared" si="153"/>
        <v>259837357.21520603</v>
      </c>
      <c r="AO33" s="19">
        <f t="shared" si="153"/>
        <v>312758334.33302683</v>
      </c>
      <c r="AP33" s="19">
        <f t="shared" si="153"/>
        <v>330449059.35302848</v>
      </c>
      <c r="AQ33" s="19">
        <f t="shared" si="153"/>
        <v>331250773.6602149</v>
      </c>
      <c r="AR33" s="19">
        <f t="shared" si="153"/>
        <v>354567623.70504451</v>
      </c>
      <c r="AS33" s="19">
        <f t="shared" si="153"/>
        <v>336098190.46000946</v>
      </c>
      <c r="AT33" s="19">
        <f t="shared" si="153"/>
        <v>286561902.09000248</v>
      </c>
      <c r="AU33" s="19">
        <f t="shared" si="153"/>
        <v>247579001.66662258</v>
      </c>
      <c r="AV33" s="19">
        <f t="shared" si="153"/>
        <v>347521272.53159124</v>
      </c>
      <c r="AW33" s="19">
        <f t="shared" si="153"/>
        <v>338788660.16000497</v>
      </c>
      <c r="AX33" s="19">
        <f t="shared" si="153"/>
        <v>402643668.3605544</v>
      </c>
      <c r="AY33" s="19">
        <f t="shared" si="153"/>
        <v>413689531.31032002</v>
      </c>
      <c r="AZ33" s="19">
        <f t="shared" si="153"/>
        <v>390894112.27000308</v>
      </c>
      <c r="BA33" s="19">
        <f t="shared" si="153"/>
        <v>488431126.85010529</v>
      </c>
      <c r="BB33" s="19">
        <f t="shared" si="153"/>
        <v>475124319.70013505</v>
      </c>
      <c r="BC33" s="19">
        <f t="shared" si="153"/>
        <v>455195622.81000334</v>
      </c>
      <c r="BD33" s="19">
        <f t="shared" si="153"/>
        <v>465775165.44097793</v>
      </c>
      <c r="BE33" s="19">
        <f t="shared" si="153"/>
        <v>511427854.91000104</v>
      </c>
      <c r="BF33" s="19">
        <f t="shared" si="153"/>
        <v>434220161.72000164</v>
      </c>
      <c r="BG33" s="19">
        <f t="shared" si="153"/>
        <v>407235615.01999742</v>
      </c>
      <c r="BH33" s="19">
        <f t="shared" si="153"/>
        <v>590348256.78999615</v>
      </c>
      <c r="BI33" s="19">
        <f t="shared" si="153"/>
        <v>528516372.44</v>
      </c>
      <c r="BJ33" s="19">
        <f t="shared" si="153"/>
        <v>660338987.21999574</v>
      </c>
      <c r="BK33" s="19">
        <f t="shared" si="153"/>
        <v>698154710.25999856</v>
      </c>
      <c r="BL33" s="19">
        <f t="shared" si="153"/>
        <v>675529219.23999512</v>
      </c>
      <c r="BM33" s="19">
        <f t="shared" si="153"/>
        <v>811358330.36999893</v>
      </c>
      <c r="BN33" s="19">
        <f t="shared" si="153"/>
        <v>678641375.13698196</v>
      </c>
      <c r="BO33" s="19">
        <f t="shared" ref="BO33:CK34" si="154">BO8-BO20</f>
        <v>664600350.68737137</v>
      </c>
      <c r="BP33" s="19">
        <f t="shared" si="154"/>
        <v>663217731.71532547</v>
      </c>
      <c r="BQ33" s="19">
        <f t="shared" si="154"/>
        <v>718161484.24857104</v>
      </c>
      <c r="BR33" s="19">
        <f t="shared" si="154"/>
        <v>641663582.74108863</v>
      </c>
      <c r="BS33" s="19">
        <f t="shared" si="154"/>
        <v>595860346.17894053</v>
      </c>
      <c r="BT33" s="19">
        <f t="shared" si="154"/>
        <v>743442351.81278968</v>
      </c>
      <c r="BU33" s="19">
        <f t="shared" si="154"/>
        <v>684678136.35529733</v>
      </c>
      <c r="BV33" s="19">
        <f t="shared" si="154"/>
        <v>814472204.26945066</v>
      </c>
      <c r="BW33" s="19">
        <f t="shared" si="154"/>
        <v>834474652.39075446</v>
      </c>
      <c r="BX33" s="19">
        <f t="shared" si="154"/>
        <v>775992604.48492706</v>
      </c>
      <c r="BY33" s="19">
        <f t="shared" si="154"/>
        <v>902652454.90179944</v>
      </c>
      <c r="BZ33" s="19">
        <f t="shared" si="154"/>
        <v>829877216.91447639</v>
      </c>
      <c r="CA33" s="19">
        <f t="shared" si="154"/>
        <v>814741933.66580176</v>
      </c>
      <c r="CB33" s="19">
        <f t="shared" si="154"/>
        <v>808818051.41128945</v>
      </c>
      <c r="CC33" s="19">
        <f t="shared" si="154"/>
        <v>875375819.35754311</v>
      </c>
      <c r="CD33" s="19">
        <f t="shared" si="154"/>
        <v>780423488.17247331</v>
      </c>
      <c r="CE33" s="19">
        <f t="shared" si="154"/>
        <v>722942657.97794068</v>
      </c>
      <c r="CF33" s="19">
        <f t="shared" si="154"/>
        <v>899318202.11420143</v>
      </c>
      <c r="CG33" s="19">
        <f t="shared" si="154"/>
        <v>823826728.52794135</v>
      </c>
      <c r="CH33" s="19">
        <f t="shared" si="154"/>
        <v>976792528.40184212</v>
      </c>
      <c r="CI33" s="19">
        <f t="shared" si="154"/>
        <v>996651259.45017099</v>
      </c>
      <c r="CJ33" s="19">
        <f t="shared" si="154"/>
        <v>922173168.26330674</v>
      </c>
      <c r="CK33" s="19">
        <f t="shared" si="154"/>
        <v>1061111390.1991061</v>
      </c>
      <c r="CL33" s="19">
        <f t="shared" ref="CL33:CW33" si="155">CL8-CL20</f>
        <v>945568517.6837759</v>
      </c>
      <c r="CM33" s="19">
        <f t="shared" si="155"/>
        <v>927394968.56335676</v>
      </c>
      <c r="CN33" s="19">
        <f t="shared" si="155"/>
        <v>920062927.86770821</v>
      </c>
      <c r="CO33" s="19">
        <f t="shared" si="155"/>
        <v>995446355.6072402</v>
      </c>
      <c r="CP33" s="19">
        <f t="shared" si="155"/>
        <v>886314201.12721002</v>
      </c>
      <c r="CQ33" s="19">
        <f t="shared" si="155"/>
        <v>819825325.15888691</v>
      </c>
      <c r="CR33" s="19">
        <f t="shared" si="155"/>
        <v>1020378794.7116952</v>
      </c>
      <c r="CS33" s="19">
        <f t="shared" si="155"/>
        <v>933907929.11597347</v>
      </c>
      <c r="CT33" s="19">
        <f t="shared" si="155"/>
        <v>1107644278.9469121</v>
      </c>
      <c r="CU33" s="19">
        <f t="shared" si="155"/>
        <v>1129920750.4002342</v>
      </c>
      <c r="CV33" s="19">
        <f t="shared" si="155"/>
        <v>1044649657.0296251</v>
      </c>
      <c r="CW33" s="19">
        <f t="shared" si="155"/>
        <v>1202240780.789921</v>
      </c>
      <c r="CY33" s="19">
        <f t="shared" si="39"/>
        <v>1036823769.5795894</v>
      </c>
      <c r="CZ33" s="19">
        <f t="shared" si="40"/>
        <v>907081518.15240073</v>
      </c>
      <c r="DA33" s="19">
        <f t="shared" si="41"/>
        <v>1080116600.4877863</v>
      </c>
      <c r="DB33" s="19">
        <f t="shared" si="42"/>
        <v>853866915.58738017</v>
      </c>
      <c r="DC33" s="19">
        <f t="shared" si="43"/>
        <v>1016267456.7182879</v>
      </c>
      <c r="DD33" s="19">
        <f t="shared" si="44"/>
        <v>870239094.21663451</v>
      </c>
      <c r="DE33" s="19">
        <f t="shared" si="45"/>
        <v>1088953601.0521507</v>
      </c>
      <c r="DF33" s="19">
        <f t="shared" si="46"/>
        <v>1293014770.4304285</v>
      </c>
      <c r="DG33" s="19">
        <f t="shared" si="47"/>
        <v>1396095107.9511163</v>
      </c>
      <c r="DH33" s="19">
        <f t="shared" si="48"/>
        <v>1352883631.6500001</v>
      </c>
      <c r="DI33" s="19">
        <f t="shared" si="49"/>
        <v>1779203616.4499919</v>
      </c>
      <c r="DJ33" s="19">
        <f t="shared" si="50"/>
        <v>2185042259.8699927</v>
      </c>
      <c r="DK33" s="19">
        <f t="shared" si="51"/>
        <v>2006459457.5396786</v>
      </c>
      <c r="DL33" s="19">
        <f t="shared" si="52"/>
        <v>1955685413.1686003</v>
      </c>
      <c r="DM33" s="19">
        <f t="shared" si="53"/>
        <v>2242592692.4375377</v>
      </c>
      <c r="DN33" s="19">
        <f t="shared" si="54"/>
        <v>2513119711.7774811</v>
      </c>
      <c r="DO33" s="19">
        <f t="shared" si="55"/>
        <v>2453437201.9915676</v>
      </c>
      <c r="DP33" s="19">
        <f t="shared" si="56"/>
        <v>2378741965.507957</v>
      </c>
      <c r="DQ33" s="19">
        <f t="shared" si="57"/>
        <v>2699937459.0439849</v>
      </c>
      <c r="DR33" s="19">
        <f t="shared" si="58"/>
        <v>2979935817.9125838</v>
      </c>
      <c r="DS33" s="19">
        <f t="shared" si="23"/>
        <v>2793026414.114841</v>
      </c>
      <c r="DT33" s="19">
        <f t="shared" si="24"/>
        <v>2701585881.8933372</v>
      </c>
      <c r="DU33" s="19">
        <f t="shared" si="25"/>
        <v>3061931002.774581</v>
      </c>
      <c r="DV33" s="19">
        <f t="shared" si="26"/>
        <v>3376811188.21978</v>
      </c>
      <c r="DX33" s="19">
        <f t="shared" si="27"/>
        <v>3877888803.8071566</v>
      </c>
      <c r="DY33" s="19">
        <f t="shared" si="28"/>
        <v>4268474922.4175014</v>
      </c>
      <c r="DZ33" s="19">
        <f t="shared" si="29"/>
        <v>6713224615.9211006</v>
      </c>
      <c r="EA33" s="19">
        <f t="shared" si="30"/>
        <v>8717857274.9232979</v>
      </c>
      <c r="EB33" s="19">
        <f t="shared" si="31"/>
        <v>10512052444.456095</v>
      </c>
      <c r="EC33" s="770">
        <f t="shared" si="32"/>
        <v>11933354487.002541</v>
      </c>
    </row>
    <row r="34" spans="2:133" x14ac:dyDescent="0.2">
      <c r="B34" s="155" t="s">
        <v>237</v>
      </c>
      <c r="C34" s="19">
        <f t="shared" ref="C34:BN34" si="156">C9-C21</f>
        <v>4209814</v>
      </c>
      <c r="D34" s="19">
        <f t="shared" si="156"/>
        <v>3580322</v>
      </c>
      <c r="E34" s="19">
        <f t="shared" si="156"/>
        <v>5305430</v>
      </c>
      <c r="F34" s="19">
        <f t="shared" si="156"/>
        <v>3628333</v>
      </c>
      <c r="G34" s="19">
        <f t="shared" si="156"/>
        <v>3601018.7999999993</v>
      </c>
      <c r="H34" s="19">
        <f t="shared" si="156"/>
        <v>4987371.849999995</v>
      </c>
      <c r="I34" s="19">
        <f t="shared" si="156"/>
        <v>5535508</v>
      </c>
      <c r="J34" s="19">
        <f t="shared" si="156"/>
        <v>5441205</v>
      </c>
      <c r="K34" s="19">
        <f t="shared" si="156"/>
        <v>6789495</v>
      </c>
      <c r="L34" s="19">
        <f t="shared" si="156"/>
        <v>3297591.95</v>
      </c>
      <c r="M34" s="19">
        <f t="shared" si="156"/>
        <v>13482543.949999999</v>
      </c>
      <c r="N34" s="19">
        <f t="shared" si="156"/>
        <v>14732941</v>
      </c>
      <c r="O34" s="19">
        <f t="shared" si="156"/>
        <v>22997769.830000002</v>
      </c>
      <c r="P34" s="19">
        <f t="shared" si="156"/>
        <v>24922919</v>
      </c>
      <c r="Q34" s="19">
        <f t="shared" si="156"/>
        <v>19059824.199999999</v>
      </c>
      <c r="R34" s="19">
        <f t="shared" si="156"/>
        <v>18772448.219999991</v>
      </c>
      <c r="S34" s="19">
        <f t="shared" si="156"/>
        <v>23769192.119999997</v>
      </c>
      <c r="T34" s="19">
        <f t="shared" si="156"/>
        <v>39261137.700000003</v>
      </c>
      <c r="U34" s="19">
        <f t="shared" si="156"/>
        <v>32635579.080000419</v>
      </c>
      <c r="V34" s="19">
        <f t="shared" si="156"/>
        <v>22934742.460000094</v>
      </c>
      <c r="W34" s="19">
        <f t="shared" si="156"/>
        <v>24460356.450000104</v>
      </c>
      <c r="X34" s="19">
        <f t="shared" si="156"/>
        <v>48848584.910000175</v>
      </c>
      <c r="Y34" s="19">
        <f t="shared" si="156"/>
        <v>37829180.859999999</v>
      </c>
      <c r="Z34" s="19">
        <f t="shared" si="156"/>
        <v>35444365.180000231</v>
      </c>
      <c r="AA34" s="19">
        <f t="shared" si="156"/>
        <v>47069940.680000357</v>
      </c>
      <c r="AB34" s="19">
        <f t="shared" si="156"/>
        <v>67753263.210000247</v>
      </c>
      <c r="AC34" s="19">
        <f t="shared" si="156"/>
        <v>124838605.25000083</v>
      </c>
      <c r="AD34" s="19">
        <f t="shared" si="156"/>
        <v>160596772.33940253</v>
      </c>
      <c r="AE34" s="19">
        <f t="shared" si="156"/>
        <v>159779888.54965979</v>
      </c>
      <c r="AF34" s="19">
        <f t="shared" si="156"/>
        <v>192785307.81638539</v>
      </c>
      <c r="AG34" s="19">
        <f t="shared" si="156"/>
        <v>134896928.34310046</v>
      </c>
      <c r="AH34" s="19">
        <f t="shared" si="156"/>
        <v>158219423.1749382</v>
      </c>
      <c r="AI34" s="19">
        <f t="shared" si="156"/>
        <v>175665259.36695758</v>
      </c>
      <c r="AJ34" s="19">
        <f t="shared" si="156"/>
        <v>276621197.60860538</v>
      </c>
      <c r="AK34" s="19">
        <f t="shared" si="156"/>
        <v>215921783.32452267</v>
      </c>
      <c r="AL34" s="19">
        <f t="shared" si="156"/>
        <v>204095609.66502008</v>
      </c>
      <c r="AM34" s="19">
        <f t="shared" si="156"/>
        <v>208606599.41250107</v>
      </c>
      <c r="AN34" s="19">
        <f t="shared" si="156"/>
        <v>153567638.02271467</v>
      </c>
      <c r="AO34" s="19">
        <f t="shared" si="156"/>
        <v>217433306.31716239</v>
      </c>
      <c r="AP34" s="19">
        <f t="shared" si="156"/>
        <v>208026931.88635713</v>
      </c>
      <c r="AQ34" s="19">
        <f t="shared" si="156"/>
        <v>225522037.91801453</v>
      </c>
      <c r="AR34" s="19">
        <f t="shared" si="156"/>
        <v>234565597.74187648</v>
      </c>
      <c r="AS34" s="19">
        <f t="shared" si="156"/>
        <v>245431234.54876578</v>
      </c>
      <c r="AT34" s="19">
        <f t="shared" si="156"/>
        <v>231617640.59860653</v>
      </c>
      <c r="AU34" s="19">
        <f t="shared" si="156"/>
        <v>240294211.30664754</v>
      </c>
      <c r="AV34" s="19">
        <f t="shared" si="156"/>
        <v>258102547.49511218</v>
      </c>
      <c r="AW34" s="19">
        <f t="shared" si="156"/>
        <v>225238305.27306521</v>
      </c>
      <c r="AX34" s="19">
        <f t="shared" si="156"/>
        <v>268332201.02086401</v>
      </c>
      <c r="AY34" s="19">
        <f t="shared" si="156"/>
        <v>301525732.43045539</v>
      </c>
      <c r="AZ34" s="19">
        <f t="shared" si="156"/>
        <v>289395326.84291881</v>
      </c>
      <c r="BA34" s="19">
        <f t="shared" si="156"/>
        <v>388927314.4395901</v>
      </c>
      <c r="BB34" s="19">
        <f t="shared" si="156"/>
        <v>333571207.37308317</v>
      </c>
      <c r="BC34" s="19">
        <f t="shared" si="156"/>
        <v>337590899.12831521</v>
      </c>
      <c r="BD34" s="19">
        <f t="shared" si="156"/>
        <v>332283789.6635989</v>
      </c>
      <c r="BE34" s="19">
        <f t="shared" si="156"/>
        <v>348538492.32745653</v>
      </c>
      <c r="BF34" s="19">
        <f t="shared" si="156"/>
        <v>308891769.37999922</v>
      </c>
      <c r="BG34" s="19">
        <f t="shared" si="156"/>
        <v>390440128.82670391</v>
      </c>
      <c r="BH34" s="19">
        <f t="shared" si="156"/>
        <v>337191618.03749192</v>
      </c>
      <c r="BI34" s="19">
        <f t="shared" si="156"/>
        <v>333553337.40059996</v>
      </c>
      <c r="BJ34" s="19">
        <f t="shared" si="156"/>
        <v>400565715.47499943</v>
      </c>
      <c r="BK34" s="19">
        <f t="shared" si="156"/>
        <v>445854716.91063964</v>
      </c>
      <c r="BL34" s="19">
        <f t="shared" si="156"/>
        <v>359594206.56775951</v>
      </c>
      <c r="BM34" s="19">
        <f t="shared" si="156"/>
        <v>424940759.14144975</v>
      </c>
      <c r="BN34" s="19">
        <f t="shared" si="156"/>
        <v>401516159.84693146</v>
      </c>
      <c r="BO34" s="19">
        <f t="shared" si="154"/>
        <v>405602653.73516572</v>
      </c>
      <c r="BP34" s="19">
        <f t="shared" si="154"/>
        <v>405312488.48866391</v>
      </c>
      <c r="BQ34" s="19">
        <f t="shared" si="154"/>
        <v>411430139.10241121</v>
      </c>
      <c r="BR34" s="19">
        <f t="shared" si="154"/>
        <v>387684949.76367664</v>
      </c>
      <c r="BS34" s="19">
        <f t="shared" si="154"/>
        <v>424100688.19965845</v>
      </c>
      <c r="BT34" s="19">
        <f t="shared" si="154"/>
        <v>412373176.15354216</v>
      </c>
      <c r="BU34" s="19">
        <f t="shared" si="154"/>
        <v>413340393.64188164</v>
      </c>
      <c r="BV34" s="19">
        <f t="shared" si="154"/>
        <v>507378113.94568866</v>
      </c>
      <c r="BW34" s="19">
        <f t="shared" si="154"/>
        <v>546695504.84668899</v>
      </c>
      <c r="BX34" s="19">
        <f t="shared" si="154"/>
        <v>468689414.41210902</v>
      </c>
      <c r="BY34" s="19">
        <f t="shared" si="154"/>
        <v>506459257.33176613</v>
      </c>
      <c r="BZ34" s="19">
        <f t="shared" si="154"/>
        <v>475595891.33869028</v>
      </c>
      <c r="CA34" s="19">
        <f t="shared" si="154"/>
        <v>480436343.34930384</v>
      </c>
      <c r="CB34" s="19">
        <f t="shared" si="154"/>
        <v>480092642.61482245</v>
      </c>
      <c r="CC34" s="19">
        <f t="shared" si="154"/>
        <v>487338999.76680607</v>
      </c>
      <c r="CD34" s="19">
        <f t="shared" si="154"/>
        <v>459212822.99507499</v>
      </c>
      <c r="CE34" s="19">
        <f t="shared" si="154"/>
        <v>502347265.17249548</v>
      </c>
      <c r="CF34" s="19">
        <f t="shared" si="154"/>
        <v>488456027.1538707</v>
      </c>
      <c r="CG34" s="19">
        <f t="shared" si="154"/>
        <v>489601696.26880884</v>
      </c>
      <c r="CH34" s="19">
        <f t="shared" si="154"/>
        <v>600989375.96866822</v>
      </c>
      <c r="CI34" s="19">
        <f t="shared" si="154"/>
        <v>647560825.49090314</v>
      </c>
      <c r="CJ34" s="19">
        <f t="shared" si="154"/>
        <v>555162611.3711431</v>
      </c>
      <c r="CK34" s="19">
        <f t="shared" si="154"/>
        <v>599900990.30947697</v>
      </c>
      <c r="CL34" s="19">
        <f t="shared" ref="CL34:CW34" si="157">CL9-CL21</f>
        <v>563343333.2906785</v>
      </c>
      <c r="CM34" s="19">
        <f t="shared" si="157"/>
        <v>569076848.69725037</v>
      </c>
      <c r="CN34" s="19">
        <f t="shared" si="157"/>
        <v>568669735.17725706</v>
      </c>
      <c r="CO34" s="19">
        <f t="shared" si="157"/>
        <v>577253045.2237817</v>
      </c>
      <c r="CP34" s="19">
        <f t="shared" si="157"/>
        <v>543937588.83766627</v>
      </c>
      <c r="CQ34" s="19">
        <f t="shared" si="157"/>
        <v>595030335.59682083</v>
      </c>
      <c r="CR34" s="19">
        <f t="shared" si="157"/>
        <v>578576164.16375971</v>
      </c>
      <c r="CS34" s="19">
        <f t="shared" si="157"/>
        <v>579933209.2304039</v>
      </c>
      <c r="CT34" s="19">
        <f t="shared" si="157"/>
        <v>711871915.8348875</v>
      </c>
      <c r="CU34" s="19">
        <f t="shared" si="157"/>
        <v>767035797.79397476</v>
      </c>
      <c r="CV34" s="19">
        <f t="shared" si="157"/>
        <v>657590113.169119</v>
      </c>
      <c r="CW34" s="19">
        <f t="shared" si="157"/>
        <v>710582723.02157545</v>
      </c>
      <c r="CY34" s="19">
        <f t="shared" si="39"/>
        <v>513161968.70544767</v>
      </c>
      <c r="CZ34" s="19">
        <f t="shared" si="40"/>
        <v>468781610.88499618</v>
      </c>
      <c r="DA34" s="19">
        <f t="shared" si="41"/>
        <v>696638590.59814811</v>
      </c>
      <c r="DB34" s="19">
        <f t="shared" si="42"/>
        <v>579607543.75237811</v>
      </c>
      <c r="DC34" s="19">
        <f t="shared" si="43"/>
        <v>668114567.5462482</v>
      </c>
      <c r="DD34" s="19">
        <f t="shared" si="44"/>
        <v>717343086.45401978</v>
      </c>
      <c r="DE34" s="19">
        <f t="shared" si="45"/>
        <v>751673053.7890414</v>
      </c>
      <c r="DF34" s="19">
        <f t="shared" si="46"/>
        <v>979848373.7129643</v>
      </c>
      <c r="DG34" s="19">
        <f t="shared" si="47"/>
        <v>1003445896.1649972</v>
      </c>
      <c r="DH34" s="19">
        <f t="shared" si="48"/>
        <v>1047870390.5341597</v>
      </c>
      <c r="DI34" s="19">
        <f t="shared" si="49"/>
        <v>1071310670.9130913</v>
      </c>
      <c r="DJ34" s="19">
        <f t="shared" si="50"/>
        <v>1230389682.619849</v>
      </c>
      <c r="DK34" s="19">
        <f t="shared" si="51"/>
        <v>1212431302.0707612</v>
      </c>
      <c r="DL34" s="19">
        <f t="shared" si="52"/>
        <v>1223215777.0657463</v>
      </c>
      <c r="DM34" s="19">
        <f t="shared" si="53"/>
        <v>1333091683.7411125</v>
      </c>
      <c r="DN34" s="19">
        <f t="shared" si="54"/>
        <v>1521844176.5905643</v>
      </c>
      <c r="DO34" s="19">
        <f t="shared" si="55"/>
        <v>1436124877.3028166</v>
      </c>
      <c r="DP34" s="19">
        <f t="shared" si="56"/>
        <v>1448899087.9343767</v>
      </c>
      <c r="DQ34" s="19">
        <f t="shared" si="57"/>
        <v>1579047099.3913479</v>
      </c>
      <c r="DR34" s="19">
        <f t="shared" si="58"/>
        <v>1802624427.1715231</v>
      </c>
      <c r="DS34" s="19">
        <f t="shared" si="23"/>
        <v>1701089917.1651859</v>
      </c>
      <c r="DT34" s="19">
        <f t="shared" si="24"/>
        <v>1716220969.6582689</v>
      </c>
      <c r="DU34" s="19">
        <f t="shared" si="25"/>
        <v>1870381289.2290511</v>
      </c>
      <c r="DV34" s="19">
        <f t="shared" si="26"/>
        <v>2135208633.9846692</v>
      </c>
      <c r="DX34" s="19">
        <f t="shared" si="27"/>
        <v>2258189713.9409699</v>
      </c>
      <c r="DY34" s="19">
        <f t="shared" si="28"/>
        <v>3116979081.5022736</v>
      </c>
      <c r="DZ34" s="19">
        <f t="shared" si="29"/>
        <v>4353016640.2320967</v>
      </c>
      <c r="EA34" s="19">
        <f t="shared" si="30"/>
        <v>5290582939.4681835</v>
      </c>
      <c r="EB34" s="19">
        <f t="shared" si="31"/>
        <v>6266695491.8000641</v>
      </c>
      <c r="EC34" s="770">
        <f t="shared" si="32"/>
        <v>7422900810.0371742</v>
      </c>
    </row>
    <row r="35" spans="2:133" x14ac:dyDescent="0.2">
      <c r="B35" s="1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Y35" s="19">
        <f t="shared" si="39"/>
        <v>0</v>
      </c>
      <c r="CZ35" s="19">
        <f t="shared" si="40"/>
        <v>0</v>
      </c>
      <c r="DA35" s="19">
        <f t="shared" si="41"/>
        <v>0</v>
      </c>
      <c r="DB35" s="19">
        <f t="shared" si="42"/>
        <v>0</v>
      </c>
      <c r="DC35" s="19">
        <f t="shared" si="43"/>
        <v>0</v>
      </c>
      <c r="DD35" s="19">
        <f t="shared" si="44"/>
        <v>0</v>
      </c>
      <c r="DE35" s="19">
        <f t="shared" si="45"/>
        <v>0</v>
      </c>
      <c r="DF35" s="19">
        <f t="shared" si="46"/>
        <v>0</v>
      </c>
      <c r="DG35" s="19">
        <f t="shared" si="47"/>
        <v>0</v>
      </c>
      <c r="DH35" s="19">
        <f t="shared" si="48"/>
        <v>0</v>
      </c>
      <c r="DI35" s="19">
        <f t="shared" si="49"/>
        <v>0</v>
      </c>
      <c r="DJ35" s="19">
        <f t="shared" si="50"/>
        <v>0</v>
      </c>
      <c r="DK35" s="19">
        <f t="shared" si="51"/>
        <v>0</v>
      </c>
      <c r="DL35" s="19">
        <f t="shared" si="52"/>
        <v>0</v>
      </c>
      <c r="DM35" s="19">
        <f t="shared" si="53"/>
        <v>0</v>
      </c>
      <c r="DN35" s="19">
        <f t="shared" si="54"/>
        <v>0</v>
      </c>
      <c r="DO35" s="19">
        <f t="shared" si="55"/>
        <v>0</v>
      </c>
      <c r="DP35" s="19">
        <f t="shared" si="56"/>
        <v>0</v>
      </c>
      <c r="DQ35" s="19">
        <f t="shared" si="57"/>
        <v>0</v>
      </c>
      <c r="DR35" s="19">
        <f t="shared" si="58"/>
        <v>0</v>
      </c>
      <c r="DS35" s="19">
        <f t="shared" si="23"/>
        <v>0</v>
      </c>
      <c r="DT35" s="19">
        <f t="shared" si="24"/>
        <v>0</v>
      </c>
      <c r="DU35" s="19">
        <f t="shared" si="25"/>
        <v>0</v>
      </c>
      <c r="DV35" s="19">
        <f t="shared" si="26"/>
        <v>0</v>
      </c>
      <c r="DX35" s="19">
        <f t="shared" si="27"/>
        <v>0</v>
      </c>
      <c r="DY35" s="19">
        <f t="shared" si="28"/>
        <v>0</v>
      </c>
      <c r="DZ35" s="19">
        <f t="shared" si="29"/>
        <v>0</v>
      </c>
      <c r="EA35" s="19">
        <f t="shared" si="30"/>
        <v>0</v>
      </c>
      <c r="EB35" s="19">
        <f t="shared" si="31"/>
        <v>0</v>
      </c>
      <c r="EC35" s="770">
        <f t="shared" si="32"/>
        <v>0</v>
      </c>
    </row>
    <row r="36" spans="2:133" x14ac:dyDescent="0.2">
      <c r="B36" s="176" t="s">
        <v>5</v>
      </c>
      <c r="C36" s="158">
        <f>SUM(C37:C38)</f>
        <v>2211</v>
      </c>
      <c r="D36" s="158">
        <f t="shared" ref="D36:BO36" si="158">SUM(D37:D38)</f>
        <v>2418</v>
      </c>
      <c r="E36" s="158">
        <f t="shared" si="158"/>
        <v>3316</v>
      </c>
      <c r="F36" s="158">
        <f t="shared" si="158"/>
        <v>1912</v>
      </c>
      <c r="G36" s="158">
        <f t="shared" si="158"/>
        <v>331</v>
      </c>
      <c r="H36" s="158">
        <f t="shared" si="158"/>
        <v>1479</v>
      </c>
      <c r="I36" s="158">
        <f t="shared" si="158"/>
        <v>2124</v>
      </c>
      <c r="J36" s="158">
        <f t="shared" si="158"/>
        <v>2679</v>
      </c>
      <c r="K36" s="158">
        <f t="shared" si="158"/>
        <v>3713</v>
      </c>
      <c r="L36" s="158">
        <f t="shared" si="158"/>
        <v>3853</v>
      </c>
      <c r="M36" s="158">
        <f t="shared" si="158"/>
        <v>5691</v>
      </c>
      <c r="N36" s="158">
        <f t="shared" si="158"/>
        <v>6957</v>
      </c>
      <c r="O36" s="158">
        <f t="shared" si="158"/>
        <v>7372</v>
      </c>
      <c r="P36" s="158">
        <f t="shared" si="158"/>
        <v>7556</v>
      </c>
      <c r="Q36" s="158">
        <f t="shared" si="158"/>
        <v>7645</v>
      </c>
      <c r="R36" s="158">
        <f t="shared" si="158"/>
        <v>6917</v>
      </c>
      <c r="S36" s="158">
        <f t="shared" si="158"/>
        <v>9152</v>
      </c>
      <c r="T36" s="158">
        <f t="shared" si="158"/>
        <v>10169</v>
      </c>
      <c r="U36" s="158">
        <f t="shared" si="158"/>
        <v>10973</v>
      </c>
      <c r="V36" s="158">
        <f t="shared" si="158"/>
        <v>11160</v>
      </c>
      <c r="W36" s="158">
        <f t="shared" si="158"/>
        <v>11489</v>
      </c>
      <c r="X36" s="158">
        <f t="shared" si="158"/>
        <v>12461</v>
      </c>
      <c r="Y36" s="158">
        <f t="shared" si="158"/>
        <v>11382</v>
      </c>
      <c r="Z36" s="158">
        <f t="shared" si="158"/>
        <v>12657</v>
      </c>
      <c r="AA36" s="158">
        <f t="shared" si="158"/>
        <v>13363</v>
      </c>
      <c r="AB36" s="158">
        <f t="shared" si="158"/>
        <v>13604</v>
      </c>
      <c r="AC36" s="158">
        <f t="shared" si="158"/>
        <v>17479</v>
      </c>
      <c r="AD36" s="158">
        <f t="shared" si="158"/>
        <v>19538</v>
      </c>
      <c r="AE36" s="158">
        <f t="shared" si="158"/>
        <v>21023</v>
      </c>
      <c r="AF36" s="158">
        <f t="shared" si="158"/>
        <v>23252</v>
      </c>
      <c r="AG36" s="158">
        <f t="shared" si="158"/>
        <v>18465</v>
      </c>
      <c r="AH36" s="158">
        <f t="shared" si="158"/>
        <v>19986</v>
      </c>
      <c r="AI36" s="158">
        <f t="shared" si="158"/>
        <v>19513</v>
      </c>
      <c r="AJ36" s="158">
        <f t="shared" si="158"/>
        <v>24406</v>
      </c>
      <c r="AK36" s="158">
        <f t="shared" si="158"/>
        <v>22087</v>
      </c>
      <c r="AL36" s="158">
        <f t="shared" si="158"/>
        <v>19735</v>
      </c>
      <c r="AM36" s="158">
        <f t="shared" si="158"/>
        <v>19017</v>
      </c>
      <c r="AN36" s="158">
        <f t="shared" si="158"/>
        <v>14904</v>
      </c>
      <c r="AO36" s="158">
        <f t="shared" si="158"/>
        <v>20373</v>
      </c>
      <c r="AP36" s="158">
        <f t="shared" si="158"/>
        <v>20441</v>
      </c>
      <c r="AQ36" s="158">
        <f t="shared" si="158"/>
        <v>20495</v>
      </c>
      <c r="AR36" s="158">
        <f t="shared" si="158"/>
        <v>21942</v>
      </c>
      <c r="AS36" s="158">
        <f t="shared" si="158"/>
        <v>21468</v>
      </c>
      <c r="AT36" s="158">
        <f t="shared" si="158"/>
        <v>18542</v>
      </c>
      <c r="AU36" s="158">
        <f t="shared" si="158"/>
        <v>17241</v>
      </c>
      <c r="AV36" s="158">
        <f t="shared" si="158"/>
        <v>19466</v>
      </c>
      <c r="AW36" s="158">
        <f t="shared" si="158"/>
        <v>18172</v>
      </c>
      <c r="AX36" s="158">
        <f t="shared" si="158"/>
        <v>21951</v>
      </c>
      <c r="AY36" s="158">
        <f t="shared" si="158"/>
        <v>23245</v>
      </c>
      <c r="AZ36" s="158">
        <f t="shared" si="158"/>
        <v>22396</v>
      </c>
      <c r="BA36" s="158">
        <f t="shared" si="158"/>
        <v>28618</v>
      </c>
      <c r="BB36" s="158">
        <f t="shared" si="158"/>
        <v>25626</v>
      </c>
      <c r="BC36" s="158">
        <f t="shared" si="158"/>
        <v>25882</v>
      </c>
      <c r="BD36" s="158">
        <f t="shared" si="158"/>
        <v>26274.285714285714</v>
      </c>
      <c r="BE36" s="158">
        <f t="shared" si="158"/>
        <v>28320</v>
      </c>
      <c r="BF36" s="158">
        <f t="shared" si="158"/>
        <v>25318</v>
      </c>
      <c r="BG36" s="158">
        <f t="shared" si="158"/>
        <v>27502</v>
      </c>
      <c r="BH36" s="158">
        <f t="shared" si="158"/>
        <v>28751</v>
      </c>
      <c r="BI36" s="158">
        <f t="shared" si="158"/>
        <v>27477</v>
      </c>
      <c r="BJ36" s="158">
        <f t="shared" si="158"/>
        <v>34592</v>
      </c>
      <c r="BK36" s="158">
        <f t="shared" si="158"/>
        <v>37355</v>
      </c>
      <c r="BL36" s="158">
        <f t="shared" si="158"/>
        <v>33633</v>
      </c>
      <c r="BM36" s="158">
        <f t="shared" si="158"/>
        <v>38363</v>
      </c>
      <c r="BN36" s="158">
        <f t="shared" si="158"/>
        <v>34006.480459410668</v>
      </c>
      <c r="BO36" s="158">
        <f t="shared" si="158"/>
        <v>33711.235971913251</v>
      </c>
      <c r="BP36" s="158">
        <f t="shared" ref="BP36:CK36" si="159">SUM(BP37:BP38)</f>
        <v>33637.603584600896</v>
      </c>
      <c r="BQ36" s="158">
        <f t="shared" si="159"/>
        <v>35538.552784141677</v>
      </c>
      <c r="BR36" s="158">
        <f t="shared" si="159"/>
        <v>32292.750740826534</v>
      </c>
      <c r="BS36" s="158">
        <f t="shared" si="159"/>
        <v>32195.339572492099</v>
      </c>
      <c r="BT36" s="158">
        <f t="shared" si="159"/>
        <v>36289.355036894609</v>
      </c>
      <c r="BU36" s="158">
        <f t="shared" si="159"/>
        <v>34497.241010135011</v>
      </c>
      <c r="BV36" s="158">
        <f t="shared" si="159"/>
        <v>41931.641712674391</v>
      </c>
      <c r="BW36" s="158">
        <f t="shared" si="159"/>
        <v>43978.281732655203</v>
      </c>
      <c r="BX36" s="158">
        <f t="shared" si="159"/>
        <v>39292.159642788742</v>
      </c>
      <c r="BY36" s="158">
        <f t="shared" si="159"/>
        <v>44548.399057689079</v>
      </c>
      <c r="BZ36" s="158">
        <f t="shared" si="159"/>
        <v>39900.043711338425</v>
      </c>
      <c r="CA36" s="158">
        <f t="shared" si="159"/>
        <v>39602.313292979306</v>
      </c>
      <c r="CB36" s="158">
        <f t="shared" si="159"/>
        <v>39400.462840825669</v>
      </c>
      <c r="CC36" s="158">
        <f t="shared" si="159"/>
        <v>41627.656318354682</v>
      </c>
      <c r="CD36" s="158">
        <f t="shared" si="159"/>
        <v>37776.90888653537</v>
      </c>
      <c r="CE36" s="158">
        <f t="shared" si="159"/>
        <v>37578.220559922927</v>
      </c>
      <c r="CF36" s="158">
        <f t="shared" si="159"/>
        <v>42327.6288611317</v>
      </c>
      <c r="CG36" s="158">
        <f t="shared" si="159"/>
        <v>40107.49970404528</v>
      </c>
      <c r="CH36" s="158">
        <f t="shared" si="159"/>
        <v>48630.410463480795</v>
      </c>
      <c r="CI36" s="158">
        <f t="shared" si="159"/>
        <v>50877.009866879242</v>
      </c>
      <c r="CJ36" s="158">
        <f t="shared" si="159"/>
        <v>45348.966292943755</v>
      </c>
      <c r="CK36" s="158">
        <f t="shared" si="159"/>
        <v>51075.832951818913</v>
      </c>
      <c r="CL36" s="158">
        <f t="shared" ref="CL36:CW36" si="160">SUM(CL37:CL38)</f>
        <v>45732.193397028939</v>
      </c>
      <c r="CM36" s="158">
        <f t="shared" si="160"/>
        <v>45369.905902396597</v>
      </c>
      <c r="CN36" s="158">
        <f t="shared" si="160"/>
        <v>45124.286761007461</v>
      </c>
      <c r="CO36" s="158">
        <f t="shared" si="160"/>
        <v>47653.058434398728</v>
      </c>
      <c r="CP36" s="158">
        <f t="shared" si="160"/>
        <v>43229.545006824832</v>
      </c>
      <c r="CQ36" s="158">
        <f t="shared" si="160"/>
        <v>42993.521623288565</v>
      </c>
      <c r="CR36" s="158">
        <f t="shared" si="160"/>
        <v>48388.489760853125</v>
      </c>
      <c r="CS36" s="158">
        <f t="shared" si="160"/>
        <v>45847.573522879087</v>
      </c>
      <c r="CT36" s="158">
        <f t="shared" si="160"/>
        <v>55585.168730373953</v>
      </c>
      <c r="CU36" s="158">
        <f t="shared" si="160"/>
        <v>58153.041613045803</v>
      </c>
      <c r="CV36" s="158">
        <f t="shared" si="160"/>
        <v>51809.047559038241</v>
      </c>
      <c r="CW36" s="158">
        <f t="shared" si="160"/>
        <v>58330.789737717525</v>
      </c>
      <c r="CY36" s="158">
        <f t="shared" si="39"/>
        <v>63813</v>
      </c>
      <c r="CZ36" s="158">
        <f t="shared" si="40"/>
        <v>57964</v>
      </c>
      <c r="DA36" s="158">
        <f t="shared" si="41"/>
        <v>66228</v>
      </c>
      <c r="DB36" s="158">
        <f t="shared" si="42"/>
        <v>54294</v>
      </c>
      <c r="DC36" s="158">
        <f t="shared" si="43"/>
        <v>62878</v>
      </c>
      <c r="DD36" s="158">
        <f t="shared" si="44"/>
        <v>57251</v>
      </c>
      <c r="DE36" s="158">
        <f t="shared" si="45"/>
        <v>59589</v>
      </c>
      <c r="DF36" s="158">
        <f t="shared" si="46"/>
        <v>74259</v>
      </c>
      <c r="DG36" s="158">
        <f t="shared" si="47"/>
        <v>77782.28571428571</v>
      </c>
      <c r="DH36" s="158">
        <f t="shared" si="48"/>
        <v>81140</v>
      </c>
      <c r="DI36" s="158">
        <f t="shared" si="49"/>
        <v>90820</v>
      </c>
      <c r="DJ36" s="158">
        <f t="shared" si="50"/>
        <v>109351</v>
      </c>
      <c r="DK36" s="158">
        <f t="shared" si="51"/>
        <v>101355.32001592481</v>
      </c>
      <c r="DL36" s="158">
        <f t="shared" si="52"/>
        <v>100026.64309746031</v>
      </c>
      <c r="DM36" s="158">
        <f t="shared" si="53"/>
        <v>112718.23775970402</v>
      </c>
      <c r="DN36" s="158">
        <f t="shared" si="54"/>
        <v>127818.84043313302</v>
      </c>
      <c r="DO36" s="158">
        <f t="shared" si="55"/>
        <v>118902.8198451434</v>
      </c>
      <c r="DP36" s="158">
        <f t="shared" si="56"/>
        <v>116982.78576481299</v>
      </c>
      <c r="DQ36" s="158">
        <f t="shared" si="57"/>
        <v>131065.53902865777</v>
      </c>
      <c r="DR36" s="158">
        <f t="shared" si="58"/>
        <v>147301.80911164189</v>
      </c>
      <c r="DS36" s="158">
        <f t="shared" si="23"/>
        <v>136226.386060433</v>
      </c>
      <c r="DT36" s="158">
        <f t="shared" si="24"/>
        <v>133876.12506451213</v>
      </c>
      <c r="DU36" s="158">
        <f t="shared" si="25"/>
        <v>149821.23201410618</v>
      </c>
      <c r="DV36" s="158">
        <f t="shared" si="26"/>
        <v>168292.87890980157</v>
      </c>
      <c r="DX36" s="158">
        <f t="shared" si="27"/>
        <v>242299</v>
      </c>
      <c r="DY36" s="158">
        <f t="shared" si="28"/>
        <v>253977</v>
      </c>
      <c r="DZ36" s="158">
        <f t="shared" si="29"/>
        <v>359093.28571428568</v>
      </c>
      <c r="EA36" s="158">
        <f t="shared" si="30"/>
        <v>441919.04130622215</v>
      </c>
      <c r="EB36" s="158">
        <f t="shared" si="31"/>
        <v>514252.95375025604</v>
      </c>
      <c r="EC36" s="780">
        <f t="shared" si="32"/>
        <v>588216.62204885285</v>
      </c>
    </row>
    <row r="37" spans="2:133" x14ac:dyDescent="0.2">
      <c r="B37" s="155" t="s">
        <v>229</v>
      </c>
      <c r="C37" s="19">
        <f>'D2C - Retail'!J49</f>
        <v>1964</v>
      </c>
      <c r="D37" s="19">
        <f>'D2C - Retail'!K49</f>
        <v>2172</v>
      </c>
      <c r="E37" s="19">
        <f>'D2C - Retail'!L49</f>
        <v>2961</v>
      </c>
      <c r="F37" s="19">
        <f>'D2C - Retail'!M49</f>
        <v>1624</v>
      </c>
      <c r="G37" s="19">
        <f>'D2C - Retail'!N49</f>
        <v>48</v>
      </c>
      <c r="H37" s="19">
        <f>'D2C - Retail'!O49</f>
        <v>1134</v>
      </c>
      <c r="I37" s="19">
        <f>'D2C - Retail'!P49</f>
        <v>1752</v>
      </c>
      <c r="J37" s="19">
        <f>'D2C - Retail'!Q49</f>
        <v>2270</v>
      </c>
      <c r="K37" s="19">
        <f>'D2C - Retail'!R49</f>
        <v>3287</v>
      </c>
      <c r="L37" s="19">
        <f>'D2C - Retail'!S49</f>
        <v>3653</v>
      </c>
      <c r="M37" s="19">
        <f>'D2C - Retail'!T49</f>
        <v>4937</v>
      </c>
      <c r="N37" s="19">
        <f>'D2C - Retail'!U49</f>
        <v>6074</v>
      </c>
      <c r="O37" s="19">
        <f>'D2C - Retail'!V49</f>
        <v>5990</v>
      </c>
      <c r="P37" s="19">
        <f>'D2C - Retail'!W49</f>
        <v>6098</v>
      </c>
      <c r="Q37" s="19">
        <f>'D2C - Retail'!X49</f>
        <v>6690</v>
      </c>
      <c r="R37" s="19">
        <f>'D2C - Retail'!Y49</f>
        <v>5849</v>
      </c>
      <c r="S37" s="19">
        <f>'D2C - Retail'!Z49</f>
        <v>7950</v>
      </c>
      <c r="T37" s="19">
        <f>'D2C - Retail'!AA49</f>
        <v>8208</v>
      </c>
      <c r="U37" s="19">
        <f>'D2C - Retail'!AB49</f>
        <v>9086</v>
      </c>
      <c r="V37" s="19">
        <f>'D2C - Retail'!AC49</f>
        <v>9697</v>
      </c>
      <c r="W37" s="19">
        <f>'D2C - Retail'!AD49</f>
        <v>9845</v>
      </c>
      <c r="X37" s="19">
        <f>'D2C - Retail'!AE49</f>
        <v>10060</v>
      </c>
      <c r="Y37" s="19">
        <f>'D2C - Retail'!AF49</f>
        <v>9749</v>
      </c>
      <c r="Z37" s="19">
        <f>'D2C - Retail'!AG49</f>
        <v>10980</v>
      </c>
      <c r="AA37" s="19">
        <f>'D2C - Retail'!AH49</f>
        <v>11447</v>
      </c>
      <c r="AB37" s="19">
        <f>'D2C - Retail'!AI49</f>
        <v>10477</v>
      </c>
      <c r="AC37" s="19">
        <f>'D2C - Retail'!AJ49</f>
        <v>12211</v>
      </c>
      <c r="AD37" s="19">
        <f>'D2C - Retail'!AK49</f>
        <v>12385</v>
      </c>
      <c r="AE37" s="19">
        <f>'D2C - Retail'!AL49</f>
        <v>13729</v>
      </c>
      <c r="AF37" s="19">
        <f>'D2C - Retail'!AM49</f>
        <v>13687</v>
      </c>
      <c r="AG37" s="19">
        <f>'D2C - Retail'!AN49</f>
        <v>12214</v>
      </c>
      <c r="AH37" s="19">
        <f>'D2C - Retail'!AO49</f>
        <v>12367</v>
      </c>
      <c r="AI37" s="19">
        <f>'D2C - Retail'!AP49</f>
        <v>11643</v>
      </c>
      <c r="AJ37" s="19">
        <f>'D2C - Retail'!AQ49</f>
        <v>14148</v>
      </c>
      <c r="AK37" s="19">
        <f>'D2C - Retail'!AR49</f>
        <v>12925</v>
      </c>
      <c r="AL37" s="19">
        <f>'D2C - Retail'!AS49</f>
        <v>11423</v>
      </c>
      <c r="AM37" s="19">
        <f>'D2C - Retail'!AT49</f>
        <v>10287</v>
      </c>
      <c r="AN37" s="19">
        <f>'D2C - Retail'!AU49</f>
        <v>8990</v>
      </c>
      <c r="AO37" s="19">
        <f>'D2C - Retail'!AV49</f>
        <v>11243</v>
      </c>
      <c r="AP37" s="19">
        <f>'D2C - Retail'!AW49</f>
        <v>12029</v>
      </c>
      <c r="AQ37" s="19">
        <f>'D2C - Retail'!AX49</f>
        <v>11645</v>
      </c>
      <c r="AR37" s="19">
        <f>'D2C - Retail'!AY49</f>
        <v>12689</v>
      </c>
      <c r="AS37" s="19">
        <f>'D2C - Retail'!AZ49</f>
        <v>11836</v>
      </c>
      <c r="AT37" s="19">
        <f>'D2C - Retail'!BA49</f>
        <v>9748</v>
      </c>
      <c r="AU37" s="19">
        <f>'D2C - Retail'!BB49</f>
        <v>8374</v>
      </c>
      <c r="AV37" s="19">
        <f>'D2C - Retail'!BC49</f>
        <v>10601</v>
      </c>
      <c r="AW37" s="19">
        <f>'D2C - Retail'!BD49</f>
        <v>10234</v>
      </c>
      <c r="AX37" s="19">
        <f>'D2C - Retail'!BE49</f>
        <v>12087</v>
      </c>
      <c r="AY37" s="19">
        <f>'D2C - Retail'!BF49</f>
        <v>12189</v>
      </c>
      <c r="AZ37" s="19">
        <f>'D2C - Retail'!BG49</f>
        <v>11467</v>
      </c>
      <c r="BA37" s="19">
        <f>'D2C - Retail'!BH49</f>
        <v>14284</v>
      </c>
      <c r="BB37" s="19">
        <f>'D2C - Retail'!BI49</f>
        <v>14013</v>
      </c>
      <c r="BC37" s="19">
        <f>'D2C - Retail'!BJ49</f>
        <v>13841</v>
      </c>
      <c r="BD37" s="19">
        <f>'D2C - Retail'!BK49</f>
        <v>14082</v>
      </c>
      <c r="BE37" s="19">
        <f>'D2C - Retail'!BL49</f>
        <v>15567</v>
      </c>
      <c r="BF37" s="19">
        <f>'D2C - Retail'!BM49</f>
        <v>13556</v>
      </c>
      <c r="BG37" s="19">
        <f>'D2C - Retail'!BN49</f>
        <v>12405</v>
      </c>
      <c r="BH37" s="19">
        <f>'D2C - Retail'!BO49</f>
        <v>16385</v>
      </c>
      <c r="BI37" s="19">
        <f>'D2C - Retail'!BP49</f>
        <v>14752</v>
      </c>
      <c r="BJ37" s="19">
        <f>'D2C - Retail'!BQ49</f>
        <v>18610</v>
      </c>
      <c r="BK37" s="19">
        <f>'D2C - Retail'!BR49</f>
        <v>19779</v>
      </c>
      <c r="BL37" s="19">
        <f>'D2C - Retail'!BS49</f>
        <v>18826</v>
      </c>
      <c r="BM37" s="19">
        <f>'D2C - Retail'!BT49</f>
        <v>22176</v>
      </c>
      <c r="BN37" s="19">
        <f>'D2C - Retail'!BU49</f>
        <v>19248.643016106773</v>
      </c>
      <c r="BO37" s="19">
        <f>'D2C - Retail'!BV49</f>
        <v>18803.198316148151</v>
      </c>
      <c r="BP37" s="19">
        <f>'D2C - Retail'!BW49</f>
        <v>18740.231032679196</v>
      </c>
      <c r="BQ37" s="19">
        <f>'D2C - Retail'!BX49</f>
        <v>20416.32429285497</v>
      </c>
      <c r="BR37" s="19">
        <f>'D2C - Retail'!BY49</f>
        <v>18043.283247391348</v>
      </c>
      <c r="BS37" s="19">
        <f>'D2C - Retail'!BZ49</f>
        <v>16607.401546710291</v>
      </c>
      <c r="BT37" s="19">
        <f>'D2C - Retail'!CA49</f>
        <v>21132.46495811686</v>
      </c>
      <c r="BU37" s="19">
        <f>'D2C - Retail'!CB49</f>
        <v>19304.800585212601</v>
      </c>
      <c r="BV37" s="19">
        <f>'D2C - Retail'!CC49</f>
        <v>23282.818883836964</v>
      </c>
      <c r="BW37" s="19">
        <f>'D2C - Retail'!CD49</f>
        <v>23884.337333037154</v>
      </c>
      <c r="BX37" s="19">
        <f>'D2C - Retail'!CE49</f>
        <v>22065.350659737898</v>
      </c>
      <c r="BY37" s="19">
        <f>'D2C - Retail'!CF49</f>
        <v>25933.34905768908</v>
      </c>
      <c r="BZ37" s="19">
        <f>'D2C - Retail'!CG49</f>
        <v>22928.530651538953</v>
      </c>
      <c r="CA37" s="19">
        <f>'D2C - Retail'!CH49</f>
        <v>22458.069988849446</v>
      </c>
      <c r="CB37" s="19">
        <f>'D2C - Retail'!CI49</f>
        <v>22268.484406115716</v>
      </c>
      <c r="CC37" s="19">
        <f>'D2C - Retail'!CJ49</f>
        <v>24237.093553374973</v>
      </c>
      <c r="CD37" s="19">
        <f>'D2C - Retail'!CK49</f>
        <v>21390.021269084911</v>
      </c>
      <c r="CE37" s="19">
        <f>'D2C - Retail'!CL49</f>
        <v>19652.09183027385</v>
      </c>
      <c r="CF37" s="19">
        <f>'D2C - Retail'!CM49</f>
        <v>24897.205270537288</v>
      </c>
      <c r="CG37" s="19">
        <f>'D2C - Retail'!CN49</f>
        <v>22636.193215384505</v>
      </c>
      <c r="CH37" s="19">
        <f>'D2C - Retail'!CO49</f>
        <v>27184.264210317757</v>
      </c>
      <c r="CI37" s="19">
        <f>'D2C - Retail'!CP49</f>
        <v>27768.973807318493</v>
      </c>
      <c r="CJ37" s="19">
        <f>'D2C - Retail'!CQ49</f>
        <v>25538.135962435284</v>
      </c>
      <c r="CK37" s="19">
        <f>'D2C - Retail'!CR49</f>
        <v>29668.525451818921</v>
      </c>
      <c r="CL37" s="19">
        <f>'D2C - Retail'!CS49</f>
        <v>26214.953378259543</v>
      </c>
      <c r="CM37" s="19">
        <f>'D2C - Retail'!CT49</f>
        <v>25654.026102647254</v>
      </c>
      <c r="CN37" s="19">
        <f>'D2C - Retail'!CU49</f>
        <v>25422.511561091014</v>
      </c>
      <c r="CO37" s="19">
        <f>'D2C - Retail'!CV49</f>
        <v>27653.911254672064</v>
      </c>
      <c r="CP37" s="19">
        <f>'D2C - Retail'!CW49</f>
        <v>24384.624246756801</v>
      </c>
      <c r="CQ37" s="19">
        <f>'D2C - Retail'!CX49</f>
        <v>22378.473584192128</v>
      </c>
      <c r="CR37" s="19">
        <f>'D2C - Retail'!CY49</f>
        <v>28343.502631669555</v>
      </c>
      <c r="CS37" s="19">
        <f>'D2C - Retail'!CZ49</f>
        <v>25755.571060919196</v>
      </c>
      <c r="CT37" s="19">
        <f>'D2C - Retail'!DA49</f>
        <v>30922.100539236457</v>
      </c>
      <c r="CU37" s="19">
        <f>'D2C - Retail'!DB49</f>
        <v>31578.80014455094</v>
      </c>
      <c r="CV37" s="19">
        <f>'D2C - Retail'!DC49</f>
        <v>29026.592678953508</v>
      </c>
      <c r="CW37" s="19">
        <f>'D2C - Retail'!DD49</f>
        <v>33712.386112717533</v>
      </c>
      <c r="CY37" s="19">
        <f t="shared" si="39"/>
        <v>39801</v>
      </c>
      <c r="CZ37" s="19">
        <f t="shared" si="40"/>
        <v>36224</v>
      </c>
      <c r="DA37" s="19">
        <f t="shared" si="41"/>
        <v>38496</v>
      </c>
      <c r="DB37" s="19">
        <f t="shared" si="42"/>
        <v>30520</v>
      </c>
      <c r="DC37" s="19">
        <f t="shared" si="43"/>
        <v>36363</v>
      </c>
      <c r="DD37" s="19">
        <f t="shared" si="44"/>
        <v>29958</v>
      </c>
      <c r="DE37" s="19">
        <f t="shared" si="45"/>
        <v>32922</v>
      </c>
      <c r="DF37" s="19">
        <f t="shared" si="46"/>
        <v>37940</v>
      </c>
      <c r="DG37" s="19">
        <f t="shared" si="47"/>
        <v>41936</v>
      </c>
      <c r="DH37" s="19">
        <f t="shared" si="48"/>
        <v>41528</v>
      </c>
      <c r="DI37" s="19">
        <f t="shared" si="49"/>
        <v>49747</v>
      </c>
      <c r="DJ37" s="19">
        <f t="shared" si="50"/>
        <v>60781</v>
      </c>
      <c r="DK37" s="19">
        <f t="shared" si="51"/>
        <v>56792.072364934123</v>
      </c>
      <c r="DL37" s="19">
        <f t="shared" si="52"/>
        <v>55067.009086956605</v>
      </c>
      <c r="DM37" s="19">
        <f t="shared" si="53"/>
        <v>63720.084427166425</v>
      </c>
      <c r="DN37" s="19">
        <f t="shared" si="54"/>
        <v>71883.037050464132</v>
      </c>
      <c r="DO37" s="19">
        <f t="shared" si="55"/>
        <v>67655.085046504115</v>
      </c>
      <c r="DP37" s="19">
        <f t="shared" si="56"/>
        <v>65279.206652733737</v>
      </c>
      <c r="DQ37" s="19">
        <f t="shared" si="57"/>
        <v>74717.662696239538</v>
      </c>
      <c r="DR37" s="19">
        <f t="shared" si="58"/>
        <v>82975.635221572695</v>
      </c>
      <c r="DS37" s="19">
        <f t="shared" si="23"/>
        <v>77291.491041997811</v>
      </c>
      <c r="DT37" s="19">
        <f t="shared" si="24"/>
        <v>74417.009085620986</v>
      </c>
      <c r="DU37" s="19">
        <f t="shared" si="25"/>
        <v>85021.174231825207</v>
      </c>
      <c r="DV37" s="19">
        <f t="shared" si="26"/>
        <v>94317.778936221977</v>
      </c>
      <c r="DX37" s="19">
        <f t="shared" si="27"/>
        <v>145041</v>
      </c>
      <c r="DY37" s="19">
        <f t="shared" si="28"/>
        <v>137183</v>
      </c>
      <c r="DZ37" s="19">
        <f t="shared" si="29"/>
        <v>193992</v>
      </c>
      <c r="EA37" s="19">
        <f t="shared" si="30"/>
        <v>247462.20292952127</v>
      </c>
      <c r="EB37" s="19">
        <f t="shared" si="31"/>
        <v>290627.58961705008</v>
      </c>
      <c r="EC37" s="770">
        <f t="shared" si="32"/>
        <v>331047.45329566597</v>
      </c>
    </row>
    <row r="38" spans="2:133" x14ac:dyDescent="0.2">
      <c r="B38" s="155" t="s">
        <v>237</v>
      </c>
      <c r="C38" s="19">
        <f>'D2C Online'!AA44</f>
        <v>247</v>
      </c>
      <c r="D38" s="19">
        <f>'D2C Online'!AB44</f>
        <v>246</v>
      </c>
      <c r="E38" s="19">
        <f>'D2C Online'!AC44</f>
        <v>355</v>
      </c>
      <c r="F38" s="19">
        <f>'D2C Online'!AD44</f>
        <v>288</v>
      </c>
      <c r="G38" s="19">
        <f>'D2C Online'!AE44</f>
        <v>283</v>
      </c>
      <c r="H38" s="19">
        <f>'D2C Online'!AF44</f>
        <v>345</v>
      </c>
      <c r="I38" s="19">
        <f>'D2C Online'!AG44</f>
        <v>372</v>
      </c>
      <c r="J38" s="19">
        <f>'D2C Online'!AH44</f>
        <v>409</v>
      </c>
      <c r="K38" s="19">
        <f>'D2C Online'!AI44</f>
        <v>426</v>
      </c>
      <c r="L38" s="19">
        <f>'D2C Online'!AJ44</f>
        <v>200</v>
      </c>
      <c r="M38" s="19">
        <f>'D2C Online'!AK44</f>
        <v>754</v>
      </c>
      <c r="N38" s="19">
        <f>'D2C Online'!AL44</f>
        <v>883</v>
      </c>
      <c r="O38" s="19">
        <f>'D2C Online'!AM44</f>
        <v>1382</v>
      </c>
      <c r="P38" s="19">
        <f>'D2C Online'!AN44</f>
        <v>1458</v>
      </c>
      <c r="Q38" s="19">
        <f>'D2C Online'!AO44</f>
        <v>955</v>
      </c>
      <c r="R38" s="19">
        <f>'D2C Online'!AP44</f>
        <v>1068</v>
      </c>
      <c r="S38" s="19">
        <f>'D2C Online'!AQ44</f>
        <v>1202</v>
      </c>
      <c r="T38" s="19">
        <f>'D2C Online'!AR44</f>
        <v>1961</v>
      </c>
      <c r="U38" s="19">
        <f>'D2C Online'!AS44</f>
        <v>1887</v>
      </c>
      <c r="V38" s="19">
        <f>'D2C Online'!AT44</f>
        <v>1463</v>
      </c>
      <c r="W38" s="19">
        <f>'D2C Online'!AU44</f>
        <v>1644</v>
      </c>
      <c r="X38" s="19">
        <f>'D2C Online'!AV44</f>
        <v>2401</v>
      </c>
      <c r="Y38" s="19">
        <f>'D2C Online'!AW44</f>
        <v>1633</v>
      </c>
      <c r="Z38" s="19">
        <f>'D2C Online'!AX44</f>
        <v>1677</v>
      </c>
      <c r="AA38" s="19">
        <f>'D2C Online'!AY44</f>
        <v>1916</v>
      </c>
      <c r="AB38" s="19">
        <f>'D2C Online'!AZ44</f>
        <v>3127</v>
      </c>
      <c r="AC38" s="19">
        <f>'D2C Online'!BA44</f>
        <v>5268</v>
      </c>
      <c r="AD38" s="19">
        <f>'D2C Online'!BB44</f>
        <v>7153</v>
      </c>
      <c r="AE38" s="19">
        <f>'D2C Online'!BC44</f>
        <v>7294</v>
      </c>
      <c r="AF38" s="19">
        <f>'D2C Online'!BD44</f>
        <v>9565</v>
      </c>
      <c r="AG38" s="19">
        <f>'D2C Online'!BE44</f>
        <v>6251</v>
      </c>
      <c r="AH38" s="19">
        <f>'D2C Online'!BF44</f>
        <v>7619</v>
      </c>
      <c r="AI38" s="19">
        <f>'D2C Online'!BG44</f>
        <v>7870</v>
      </c>
      <c r="AJ38" s="19">
        <f>'D2C Online'!BH44</f>
        <v>10258</v>
      </c>
      <c r="AK38" s="19">
        <f>'D2C Online'!BI44</f>
        <v>9162</v>
      </c>
      <c r="AL38" s="19">
        <f>'D2C Online'!BJ44</f>
        <v>8312</v>
      </c>
      <c r="AM38" s="19">
        <f>'D2C Online'!BK44</f>
        <v>8730</v>
      </c>
      <c r="AN38" s="19">
        <f>'D2C Online'!BL44</f>
        <v>5914</v>
      </c>
      <c r="AO38" s="19">
        <f>'D2C Online'!BM44</f>
        <v>9130</v>
      </c>
      <c r="AP38" s="19">
        <f>'D2C Online'!BN44</f>
        <v>8412</v>
      </c>
      <c r="AQ38" s="19">
        <f>'D2C Online'!BO44</f>
        <v>8850</v>
      </c>
      <c r="AR38" s="19">
        <f>'D2C Online'!BP44</f>
        <v>9253</v>
      </c>
      <c r="AS38" s="19">
        <f>'D2C Online'!BQ44</f>
        <v>9632</v>
      </c>
      <c r="AT38" s="19">
        <f>'D2C Online'!BR44</f>
        <v>8794</v>
      </c>
      <c r="AU38" s="19">
        <f>'D2C Online'!BS44</f>
        <v>8867</v>
      </c>
      <c r="AV38" s="19">
        <f>'D2C Online'!BT44</f>
        <v>8865</v>
      </c>
      <c r="AW38" s="19">
        <f>'D2C Online'!BU44</f>
        <v>7938</v>
      </c>
      <c r="AX38" s="19">
        <f>'D2C Online'!BV44</f>
        <v>9864</v>
      </c>
      <c r="AY38" s="19">
        <f>'D2C Online'!BW44</f>
        <v>11056</v>
      </c>
      <c r="AZ38" s="19">
        <f>'D2C Online'!BX44</f>
        <v>10929</v>
      </c>
      <c r="BA38" s="19">
        <f>'D2C Online'!BY44</f>
        <v>14334</v>
      </c>
      <c r="BB38" s="19">
        <f>'D2C Online'!BZ44</f>
        <v>11613</v>
      </c>
      <c r="BC38" s="19">
        <f>'D2C Online'!CA44</f>
        <v>12041</v>
      </c>
      <c r="BD38" s="19">
        <f>'D2C Online'!CB44</f>
        <v>12192.285714285714</v>
      </c>
      <c r="BE38" s="19">
        <f>'D2C Online'!CC44</f>
        <v>12753</v>
      </c>
      <c r="BF38" s="19">
        <f>'D2C Online'!CD44</f>
        <v>11762</v>
      </c>
      <c r="BG38" s="19">
        <f>'D2C Online'!CE44</f>
        <v>15097</v>
      </c>
      <c r="BH38" s="19">
        <f>'D2C Online'!CF44</f>
        <v>12366</v>
      </c>
      <c r="BI38" s="19">
        <f>'D2C Online'!CG44</f>
        <v>12725</v>
      </c>
      <c r="BJ38" s="19">
        <f>'D2C Online'!CH44</f>
        <v>15982</v>
      </c>
      <c r="BK38" s="19">
        <f>'D2C Online'!CI44</f>
        <v>17576</v>
      </c>
      <c r="BL38" s="19">
        <f>'D2C Online'!CJ44</f>
        <v>14807</v>
      </c>
      <c r="BM38" s="19">
        <f>'D2C Online'!CK44</f>
        <v>16187</v>
      </c>
      <c r="BN38" s="19">
        <f>'D2C Online'!CL44</f>
        <v>14757.837443303892</v>
      </c>
      <c r="BO38" s="19">
        <f>'D2C Online'!CM44</f>
        <v>14908.037655765098</v>
      </c>
      <c r="BP38" s="19">
        <f>'D2C Online'!CN44</f>
        <v>14897.372551921699</v>
      </c>
      <c r="BQ38" s="19">
        <f>'D2C Online'!CO44</f>
        <v>15122.228491286704</v>
      </c>
      <c r="BR38" s="19">
        <f>'D2C Online'!CP44</f>
        <v>14249.467493435186</v>
      </c>
      <c r="BS38" s="19">
        <f>'D2C Online'!CQ44</f>
        <v>15587.938025781808</v>
      </c>
      <c r="BT38" s="19">
        <f>'D2C Online'!CR44</f>
        <v>15156.890078777749</v>
      </c>
      <c r="BU38" s="19">
        <f>'D2C Online'!CS44</f>
        <v>15192.440424922414</v>
      </c>
      <c r="BV38" s="19">
        <f>'D2C Online'!CT44</f>
        <v>18648.82282883743</v>
      </c>
      <c r="BW38" s="19">
        <f>'D2C Online'!CU44</f>
        <v>20093.944399618045</v>
      </c>
      <c r="BX38" s="19">
        <f>'D2C Online'!CV44</f>
        <v>17226.808983050847</v>
      </c>
      <c r="BY38" s="19">
        <f>'D2C Online'!CW44</f>
        <v>18615.049999999996</v>
      </c>
      <c r="BZ38" s="19">
        <f>'D2C Online'!CX44</f>
        <v>16971.513059799472</v>
      </c>
      <c r="CA38" s="19">
        <f>'D2C Online'!CY44</f>
        <v>17144.243304129861</v>
      </c>
      <c r="CB38" s="19">
        <f>'D2C Online'!CZ44</f>
        <v>17131.978434709952</v>
      </c>
      <c r="CC38" s="19">
        <f>'D2C Online'!DA44</f>
        <v>17390.562764979706</v>
      </c>
      <c r="CD38" s="19">
        <f>'D2C Online'!DB44</f>
        <v>16386.887617450462</v>
      </c>
      <c r="CE38" s="19">
        <f>'D2C Online'!DC44</f>
        <v>17926.128729649077</v>
      </c>
      <c r="CF38" s="19">
        <f>'D2C Online'!DD44</f>
        <v>17430.423590594412</v>
      </c>
      <c r="CG38" s="19">
        <f>'D2C Online'!DE44</f>
        <v>17471.306488660775</v>
      </c>
      <c r="CH38" s="19">
        <f>'D2C Online'!DF44</f>
        <v>21446.146253163039</v>
      </c>
      <c r="CI38" s="19">
        <f>'D2C Online'!DG44</f>
        <v>23108.036059560749</v>
      </c>
      <c r="CJ38" s="19">
        <f>'D2C Online'!DH44</f>
        <v>19810.83033050847</v>
      </c>
      <c r="CK38" s="19">
        <f>'D2C Online'!DI44</f>
        <v>21407.307499999995</v>
      </c>
      <c r="CL38" s="19">
        <f>'D2C Online'!DJ44</f>
        <v>19517.240018769393</v>
      </c>
      <c r="CM38" s="19">
        <f>'D2C Online'!DK44</f>
        <v>19715.879799749338</v>
      </c>
      <c r="CN38" s="19">
        <f>'D2C Online'!DL44</f>
        <v>19701.775199916447</v>
      </c>
      <c r="CO38" s="19">
        <f>'D2C Online'!DM44</f>
        <v>19999.147179726664</v>
      </c>
      <c r="CP38" s="19">
        <f>'D2C Online'!DN44</f>
        <v>18844.920760068027</v>
      </c>
      <c r="CQ38" s="19">
        <f>'D2C Online'!DO44</f>
        <v>20615.048039096437</v>
      </c>
      <c r="CR38" s="19">
        <f>'D2C Online'!DP44</f>
        <v>20044.98712918357</v>
      </c>
      <c r="CS38" s="19">
        <f>'D2C Online'!DQ44</f>
        <v>20092.002461959888</v>
      </c>
      <c r="CT38" s="19">
        <f>'D2C Online'!DR44</f>
        <v>24663.068191137496</v>
      </c>
      <c r="CU38" s="19">
        <f>'D2C Online'!DS44</f>
        <v>26574.24146849486</v>
      </c>
      <c r="CV38" s="19">
        <f>'D2C Online'!DT44</f>
        <v>22782.454880084737</v>
      </c>
      <c r="CW38" s="19">
        <f>'D2C Online'!DU44</f>
        <v>24618.403624999992</v>
      </c>
      <c r="CY38" s="19">
        <f t="shared" si="39"/>
        <v>24012</v>
      </c>
      <c r="CZ38" s="19">
        <f t="shared" si="40"/>
        <v>21740</v>
      </c>
      <c r="DA38" s="19">
        <f t="shared" si="41"/>
        <v>27732</v>
      </c>
      <c r="DB38" s="19">
        <f t="shared" si="42"/>
        <v>23774</v>
      </c>
      <c r="DC38" s="19">
        <f t="shared" si="43"/>
        <v>26515</v>
      </c>
      <c r="DD38" s="19">
        <f t="shared" si="44"/>
        <v>27293</v>
      </c>
      <c r="DE38" s="19">
        <f t="shared" si="45"/>
        <v>26667</v>
      </c>
      <c r="DF38" s="19">
        <f t="shared" si="46"/>
        <v>36319</v>
      </c>
      <c r="DG38" s="19">
        <f t="shared" si="47"/>
        <v>35846.28571428571</v>
      </c>
      <c r="DH38" s="19">
        <f t="shared" si="48"/>
        <v>39612</v>
      </c>
      <c r="DI38" s="19">
        <f t="shared" si="49"/>
        <v>41073</v>
      </c>
      <c r="DJ38" s="19">
        <f t="shared" si="50"/>
        <v>48570</v>
      </c>
      <c r="DK38" s="19">
        <f t="shared" si="51"/>
        <v>44563.247650990685</v>
      </c>
      <c r="DL38" s="19">
        <f t="shared" si="52"/>
        <v>44959.634010503694</v>
      </c>
      <c r="DM38" s="19">
        <f t="shared" si="53"/>
        <v>48998.153332537593</v>
      </c>
      <c r="DN38" s="19">
        <f t="shared" si="54"/>
        <v>55935.803382668884</v>
      </c>
      <c r="DO38" s="19">
        <f t="shared" si="55"/>
        <v>51247.734798639285</v>
      </c>
      <c r="DP38" s="19">
        <f t="shared" si="56"/>
        <v>51703.579112079242</v>
      </c>
      <c r="DQ38" s="19">
        <f t="shared" si="57"/>
        <v>56347.876332418222</v>
      </c>
      <c r="DR38" s="19">
        <f t="shared" si="58"/>
        <v>64326.173890069214</v>
      </c>
      <c r="DS38" s="19">
        <f t="shared" si="23"/>
        <v>58934.895018435178</v>
      </c>
      <c r="DT38" s="19">
        <f t="shared" si="24"/>
        <v>59459.115978891132</v>
      </c>
      <c r="DU38" s="19">
        <f t="shared" si="25"/>
        <v>64800.057782280957</v>
      </c>
      <c r="DV38" s="19">
        <f t="shared" si="26"/>
        <v>73975.099973579592</v>
      </c>
      <c r="DX38" s="19">
        <f t="shared" si="27"/>
        <v>97258</v>
      </c>
      <c r="DY38" s="19">
        <f t="shared" si="28"/>
        <v>116794</v>
      </c>
      <c r="DZ38" s="19">
        <f t="shared" si="29"/>
        <v>165101.28571428571</v>
      </c>
      <c r="EA38" s="19">
        <f t="shared" si="30"/>
        <v>194456.83837670085</v>
      </c>
      <c r="EB38" s="19">
        <f t="shared" si="31"/>
        <v>223625.36413320596</v>
      </c>
      <c r="EC38" s="770">
        <f t="shared" si="32"/>
        <v>257169.16875318688</v>
      </c>
    </row>
    <row r="39" spans="2:133" x14ac:dyDescent="0.2">
      <c r="B39" s="26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Y39" s="19">
        <f t="shared" si="39"/>
        <v>0</v>
      </c>
      <c r="CZ39" s="19">
        <f t="shared" si="40"/>
        <v>0</v>
      </c>
      <c r="DA39" s="19">
        <f t="shared" si="41"/>
        <v>0</v>
      </c>
      <c r="DB39" s="19">
        <f t="shared" si="42"/>
        <v>0</v>
      </c>
      <c r="DC39" s="19">
        <f t="shared" si="43"/>
        <v>0</v>
      </c>
      <c r="DD39" s="19">
        <f t="shared" si="44"/>
        <v>0</v>
      </c>
      <c r="DE39" s="19">
        <f t="shared" si="45"/>
        <v>0</v>
      </c>
      <c r="DF39" s="19">
        <f t="shared" si="46"/>
        <v>0</v>
      </c>
      <c r="DG39" s="19">
        <f t="shared" si="47"/>
        <v>0</v>
      </c>
      <c r="DH39" s="19">
        <f t="shared" si="48"/>
        <v>0</v>
      </c>
      <c r="DI39" s="19">
        <f t="shared" si="49"/>
        <v>0</v>
      </c>
      <c r="DJ39" s="19">
        <f t="shared" si="50"/>
        <v>0</v>
      </c>
      <c r="DK39" s="19">
        <f t="shared" si="51"/>
        <v>0</v>
      </c>
      <c r="DL39" s="19">
        <f t="shared" si="52"/>
        <v>0</v>
      </c>
      <c r="DM39" s="19">
        <f t="shared" si="53"/>
        <v>0</v>
      </c>
      <c r="DN39" s="19">
        <f t="shared" si="54"/>
        <v>0</v>
      </c>
      <c r="DO39" s="19">
        <f t="shared" si="55"/>
        <v>0</v>
      </c>
      <c r="DP39" s="19">
        <f t="shared" si="56"/>
        <v>0</v>
      </c>
      <c r="DQ39" s="19">
        <f t="shared" si="57"/>
        <v>0</v>
      </c>
      <c r="DR39" s="19">
        <f t="shared" si="58"/>
        <v>0</v>
      </c>
      <c r="DS39" s="19">
        <f t="shared" si="23"/>
        <v>0</v>
      </c>
      <c r="DT39" s="19">
        <f t="shared" si="24"/>
        <v>0</v>
      </c>
      <c r="DU39" s="19">
        <f t="shared" si="25"/>
        <v>0</v>
      </c>
      <c r="DV39" s="19">
        <f t="shared" si="26"/>
        <v>0</v>
      </c>
      <c r="DX39" s="19">
        <f t="shared" si="27"/>
        <v>0</v>
      </c>
      <c r="DY39" s="19">
        <f t="shared" si="28"/>
        <v>0</v>
      </c>
      <c r="DZ39" s="19">
        <f t="shared" si="29"/>
        <v>0</v>
      </c>
      <c r="EA39" s="19">
        <f t="shared" si="30"/>
        <v>0</v>
      </c>
      <c r="EB39" s="19">
        <f t="shared" si="31"/>
        <v>0</v>
      </c>
      <c r="EC39" s="770">
        <f t="shared" si="32"/>
        <v>0</v>
      </c>
    </row>
    <row r="40" spans="2:133" x14ac:dyDescent="0.2">
      <c r="B40" s="212" t="s">
        <v>11</v>
      </c>
      <c r="C40" s="199">
        <f>C45+C46</f>
        <v>2172584.4625550858</v>
      </c>
      <c r="D40" s="199">
        <f t="shared" ref="D40:BO40" si="161">D45+D46</f>
        <v>2206520.654108475</v>
      </c>
      <c r="E40" s="199">
        <f t="shared" si="161"/>
        <v>2802361.8801101735</v>
      </c>
      <c r="F40" s="199">
        <f t="shared" si="161"/>
        <v>1710460.5060627609</v>
      </c>
      <c r="G40" s="199">
        <f t="shared" si="161"/>
        <v>254109.51101694905</v>
      </c>
      <c r="H40" s="199">
        <f t="shared" si="161"/>
        <v>1810142.9000361688</v>
      </c>
      <c r="I40" s="199">
        <f t="shared" si="161"/>
        <v>2713637.5164603889</v>
      </c>
      <c r="J40" s="199">
        <f t="shared" si="161"/>
        <v>2783518.8275652537</v>
      </c>
      <c r="K40" s="199">
        <f t="shared" si="161"/>
        <v>3775794.6434629634</v>
      </c>
      <c r="L40" s="199">
        <f t="shared" si="161"/>
        <v>4079064.0881406767</v>
      </c>
      <c r="M40" s="199">
        <f t="shared" si="161"/>
        <v>6173203.8266363498</v>
      </c>
      <c r="N40" s="199">
        <f t="shared" si="161"/>
        <v>7354211.3212334327</v>
      </c>
      <c r="O40" s="199">
        <f t="shared" si="161"/>
        <v>7466457.5549618481</v>
      </c>
      <c r="P40" s="199">
        <f t="shared" si="161"/>
        <v>8136272.9130101763</v>
      </c>
      <c r="Q40" s="199">
        <f t="shared" si="161"/>
        <v>8388709.4475396909</v>
      </c>
      <c r="R40" s="199">
        <f t="shared" si="161"/>
        <v>7625496.9497934068</v>
      </c>
      <c r="S40" s="199">
        <f t="shared" si="161"/>
        <v>8855369.9326825291</v>
      </c>
      <c r="T40" s="199">
        <f t="shared" si="161"/>
        <v>10817113.891701382</v>
      </c>
      <c r="U40" s="199">
        <f t="shared" si="161"/>
        <v>11062169.100237982</v>
      </c>
      <c r="V40" s="199">
        <f t="shared" si="161"/>
        <v>10680362.263006777</v>
      </c>
      <c r="W40" s="199">
        <f t="shared" si="161"/>
        <v>9875967.3167339303</v>
      </c>
      <c r="X40" s="199">
        <f t="shared" si="161"/>
        <v>11480709.253255919</v>
      </c>
      <c r="Y40" s="199">
        <f t="shared" si="161"/>
        <v>11301072.760128817</v>
      </c>
      <c r="Z40" s="199">
        <f t="shared" si="161"/>
        <v>12747006.550036069</v>
      </c>
      <c r="AA40" s="199">
        <f t="shared" si="161"/>
        <v>14240004.773522045</v>
      </c>
      <c r="AB40" s="199">
        <f t="shared" si="161"/>
        <v>15509098.845854262</v>
      </c>
      <c r="AC40" s="199">
        <f t="shared" si="161"/>
        <v>19511036.236555938</v>
      </c>
      <c r="AD40" s="199">
        <f t="shared" si="161"/>
        <v>21333293.102440596</v>
      </c>
      <c r="AE40" s="199">
        <f t="shared" si="161"/>
        <v>23615592.827518608</v>
      </c>
      <c r="AF40" s="199">
        <f t="shared" si="161"/>
        <v>26388838.734241467</v>
      </c>
      <c r="AG40" s="199">
        <f t="shared" si="161"/>
        <v>21869634.659562349</v>
      </c>
      <c r="AH40" s="199">
        <f t="shared" si="161"/>
        <v>24501510.356588367</v>
      </c>
      <c r="AI40" s="199">
        <f t="shared" si="161"/>
        <v>20859843.337387599</v>
      </c>
      <c r="AJ40" s="199">
        <f t="shared" si="161"/>
        <v>29629820.566537865</v>
      </c>
      <c r="AK40" s="199">
        <f t="shared" si="161"/>
        <v>26986851.615756236</v>
      </c>
      <c r="AL40" s="199">
        <f t="shared" si="161"/>
        <v>24849001.308348224</v>
      </c>
      <c r="AM40" s="199">
        <f t="shared" si="161"/>
        <v>25589713.42248182</v>
      </c>
      <c r="AN40" s="199">
        <f t="shared" si="161"/>
        <v>25299305.078354925</v>
      </c>
      <c r="AO40" s="199">
        <f t="shared" si="161"/>
        <v>32101703.725001678</v>
      </c>
      <c r="AP40" s="199">
        <f t="shared" si="161"/>
        <v>30087285.747540731</v>
      </c>
      <c r="AQ40" s="199">
        <f t="shared" si="161"/>
        <v>30419449.586052243</v>
      </c>
      <c r="AR40" s="199">
        <f t="shared" si="161"/>
        <v>32489473.718411885</v>
      </c>
      <c r="AS40" s="199">
        <f t="shared" si="161"/>
        <v>32093720.683220088</v>
      </c>
      <c r="AT40" s="199">
        <f t="shared" si="161"/>
        <v>29625723.050347619</v>
      </c>
      <c r="AU40" s="199">
        <f t="shared" si="161"/>
        <v>27059447.77963246</v>
      </c>
      <c r="AV40" s="199">
        <f t="shared" si="161"/>
        <v>34161074.455762081</v>
      </c>
      <c r="AW40" s="199">
        <f t="shared" si="161"/>
        <v>30639159.274810679</v>
      </c>
      <c r="AX40" s="199">
        <f t="shared" si="161"/>
        <v>35730675.836584307</v>
      </c>
      <c r="AY40" s="199">
        <f t="shared" si="161"/>
        <v>37861498.489102378</v>
      </c>
      <c r="AZ40" s="199">
        <f t="shared" si="161"/>
        <v>35868900.059498839</v>
      </c>
      <c r="BA40" s="199">
        <f t="shared" si="161"/>
        <v>49019524.389117837</v>
      </c>
      <c r="BB40" s="199">
        <f t="shared" si="161"/>
        <v>47486712.842363358</v>
      </c>
      <c r="BC40" s="199">
        <f t="shared" si="161"/>
        <v>48109241.820630439</v>
      </c>
      <c r="BD40" s="199">
        <f t="shared" si="161"/>
        <v>46051589.562393673</v>
      </c>
      <c r="BE40" s="199">
        <f t="shared" si="161"/>
        <v>49651163.343050882</v>
      </c>
      <c r="BF40" s="199">
        <f t="shared" si="161"/>
        <v>45509043.095932208</v>
      </c>
      <c r="BG40" s="199">
        <f t="shared" si="161"/>
        <v>43688403.345932268</v>
      </c>
      <c r="BH40" s="199">
        <f t="shared" si="161"/>
        <v>52251824.839152545</v>
      </c>
      <c r="BI40" s="199">
        <f t="shared" si="161"/>
        <v>48475395.665762775</v>
      </c>
      <c r="BJ40" s="199">
        <f t="shared" si="161"/>
        <v>58348387.817796744</v>
      </c>
      <c r="BK40" s="199">
        <f t="shared" si="161"/>
        <v>62558010.160678029</v>
      </c>
      <c r="BL40" s="199">
        <f t="shared" si="161"/>
        <v>55818439.889152572</v>
      </c>
      <c r="BM40" s="199">
        <f t="shared" si="161"/>
        <v>66212357.920339033</v>
      </c>
      <c r="BN40" s="199">
        <f t="shared" si="161"/>
        <v>61404827.308655776</v>
      </c>
      <c r="BO40" s="199">
        <f t="shared" si="161"/>
        <v>60824941.494677089</v>
      </c>
      <c r="BP40" s="199">
        <f t="shared" ref="BP40:CK40" si="162">BP45+BP46</f>
        <v>60729108.239918083</v>
      </c>
      <c r="BQ40" s="199">
        <f t="shared" si="162"/>
        <v>64230230.933615237</v>
      </c>
      <c r="BR40" s="199">
        <f t="shared" si="162"/>
        <v>58506524.917028591</v>
      </c>
      <c r="BS40" s="199">
        <f t="shared" si="162"/>
        <v>57901858.088793725</v>
      </c>
      <c r="BT40" s="199">
        <f t="shared" si="162"/>
        <v>65736471.066622391</v>
      </c>
      <c r="BU40" s="199">
        <f t="shared" si="162"/>
        <v>62410324.184990562</v>
      </c>
      <c r="BV40" s="199">
        <f t="shared" si="162"/>
        <v>75117634.624898523</v>
      </c>
      <c r="BW40" s="199">
        <f t="shared" si="162"/>
        <v>78459739.833016112</v>
      </c>
      <c r="BX40" s="199">
        <f t="shared" si="162"/>
        <v>70747515.205409005</v>
      </c>
      <c r="BY40" s="199">
        <f t="shared" si="162"/>
        <v>80137855.776781112</v>
      </c>
      <c r="BZ40" s="199">
        <f t="shared" si="162"/>
        <v>74231512.876653135</v>
      </c>
      <c r="CA40" s="199">
        <f t="shared" si="162"/>
        <v>73630672.827118799</v>
      </c>
      <c r="CB40" s="199">
        <f t="shared" si="162"/>
        <v>73270701.172625691</v>
      </c>
      <c r="CC40" s="199">
        <f t="shared" si="162"/>
        <v>77502743.689544886</v>
      </c>
      <c r="CD40" s="199">
        <f t="shared" si="162"/>
        <v>70473383.220169008</v>
      </c>
      <c r="CE40" s="199">
        <f t="shared" si="162"/>
        <v>69571587.684159562</v>
      </c>
      <c r="CF40" s="199">
        <f t="shared" si="162"/>
        <v>78941742.227466255</v>
      </c>
      <c r="CG40" s="199">
        <f t="shared" si="162"/>
        <v>74663489.534627855</v>
      </c>
      <c r="CH40" s="199">
        <f t="shared" si="162"/>
        <v>89670768.832671493</v>
      </c>
      <c r="CI40" s="199">
        <f t="shared" si="162"/>
        <v>93409024.689201549</v>
      </c>
      <c r="CJ40" s="199">
        <f t="shared" si="162"/>
        <v>83974525.720818132</v>
      </c>
      <c r="CK40" s="199">
        <f t="shared" si="162"/>
        <v>94459669.01394853</v>
      </c>
      <c r="CL40" s="199">
        <f t="shared" ref="CL40:CW40" si="163">CL45+CL46</f>
        <v>85776044.950311899</v>
      </c>
      <c r="CM40" s="199">
        <f t="shared" si="163"/>
        <v>85050236.729330733</v>
      </c>
      <c r="CN40" s="199">
        <f t="shared" si="163"/>
        <v>84605737.418038249</v>
      </c>
      <c r="CO40" s="199">
        <f t="shared" si="163"/>
        <v>89419931.017072394</v>
      </c>
      <c r="CP40" s="199">
        <f t="shared" si="163"/>
        <v>81285720.116046727</v>
      </c>
      <c r="CQ40" s="199">
        <f t="shared" si="163"/>
        <v>80309440.315062031</v>
      </c>
      <c r="CR40" s="199">
        <f t="shared" si="163"/>
        <v>90927362.839368463</v>
      </c>
      <c r="CS40" s="199">
        <f t="shared" si="163"/>
        <v>86029393.708415583</v>
      </c>
      <c r="CT40" s="199">
        <f t="shared" si="163"/>
        <v>103376929.85183421</v>
      </c>
      <c r="CU40" s="199">
        <f t="shared" si="163"/>
        <v>107733225.01112765</v>
      </c>
      <c r="CV40" s="199">
        <f t="shared" si="163"/>
        <v>96727648.851513207</v>
      </c>
      <c r="CW40" s="199">
        <f t="shared" si="163"/>
        <v>108745773.09758309</v>
      </c>
      <c r="CY40" s="199">
        <f t="shared" si="39"/>
        <v>71337724.664200678</v>
      </c>
      <c r="CZ40" s="199">
        <f t="shared" si="40"/>
        <v>67230988.353538305</v>
      </c>
      <c r="DA40" s="199">
        <f t="shared" si="41"/>
        <v>81465673.490642324</v>
      </c>
      <c r="DB40" s="199">
        <f t="shared" si="42"/>
        <v>82990722.225838423</v>
      </c>
      <c r="DC40" s="199">
        <f t="shared" si="43"/>
        <v>92996209.052004859</v>
      </c>
      <c r="DD40" s="199">
        <f t="shared" si="44"/>
        <v>88778891.513200164</v>
      </c>
      <c r="DE40" s="199">
        <f t="shared" si="45"/>
        <v>100530909.56715706</v>
      </c>
      <c r="DF40" s="199">
        <f t="shared" si="46"/>
        <v>122749922.93771905</v>
      </c>
      <c r="DG40" s="199">
        <f t="shared" si="47"/>
        <v>141647544.22538745</v>
      </c>
      <c r="DH40" s="199">
        <f t="shared" si="48"/>
        <v>138848609.78491536</v>
      </c>
      <c r="DI40" s="199">
        <f t="shared" si="49"/>
        <v>159075608.32271206</v>
      </c>
      <c r="DJ40" s="199">
        <f t="shared" si="50"/>
        <v>184588807.97016963</v>
      </c>
      <c r="DK40" s="199">
        <f t="shared" si="51"/>
        <v>182958877.04325095</v>
      </c>
      <c r="DL40" s="199">
        <f t="shared" si="52"/>
        <v>180638613.93943757</v>
      </c>
      <c r="DM40" s="199">
        <f t="shared" si="53"/>
        <v>203264429.87651148</v>
      </c>
      <c r="DN40" s="199">
        <f t="shared" si="54"/>
        <v>229345110.81520623</v>
      </c>
      <c r="DO40" s="199">
        <f t="shared" si="55"/>
        <v>221132886.87639764</v>
      </c>
      <c r="DP40" s="199">
        <f t="shared" si="56"/>
        <v>217547714.59387344</v>
      </c>
      <c r="DQ40" s="199">
        <f t="shared" si="57"/>
        <v>243276000.5947656</v>
      </c>
      <c r="DR40" s="199">
        <f t="shared" si="58"/>
        <v>271843219.4239682</v>
      </c>
      <c r="DS40" s="199">
        <f t="shared" si="23"/>
        <v>255432019.09768087</v>
      </c>
      <c r="DT40" s="199">
        <f t="shared" si="24"/>
        <v>251015091.44818115</v>
      </c>
      <c r="DU40" s="199">
        <f t="shared" si="25"/>
        <v>280333686.39961827</v>
      </c>
      <c r="DV40" s="199">
        <f t="shared" si="26"/>
        <v>313206646.96022391</v>
      </c>
      <c r="DX40" s="199">
        <f t="shared" si="27"/>
        <v>303025108.73421973</v>
      </c>
      <c r="DY40" s="199">
        <f t="shared" si="28"/>
        <v>405055933.07008117</v>
      </c>
      <c r="DZ40" s="199">
        <f t="shared" si="29"/>
        <v>624160570.30318451</v>
      </c>
      <c r="EA40" s="199">
        <f t="shared" si="30"/>
        <v>796207031.67440629</v>
      </c>
      <c r="EB40" s="199">
        <f t="shared" si="31"/>
        <v>953799821.48900497</v>
      </c>
      <c r="EC40" s="810">
        <f t="shared" si="32"/>
        <v>1099987443.9057043</v>
      </c>
    </row>
    <row r="41" spans="2:133" x14ac:dyDescent="0.2">
      <c r="B41" s="155" t="s">
        <v>139</v>
      </c>
      <c r="C41" s="19">
        <f>'D2C - Retail'!J57+'D2C Online'!AA50</f>
        <v>1631330.7686567805</v>
      </c>
      <c r="D41" s="19">
        <f>'D2C - Retail'!K57+'D2C Online'!AB50</f>
        <v>1666947.060888136</v>
      </c>
      <c r="E41" s="19">
        <f>'D2C - Retail'!L57+'D2C Online'!AC50</f>
        <v>2113063.1728220377</v>
      </c>
      <c r="F41" s="19">
        <f>'D2C - Retail'!M57+'D2C Online'!AD50</f>
        <v>1290243.9269102183</v>
      </c>
      <c r="G41" s="19">
        <f>'D2C - Retail'!N57+'D2C Online'!AE50</f>
        <v>252981.51101694905</v>
      </c>
      <c r="H41" s="19">
        <f>'D2C - Retail'!O57+'D2C Online'!AF50</f>
        <v>1093477.4254598974</v>
      </c>
      <c r="I41" s="19">
        <f>'D2C - Retail'!P57+'D2C Online'!AG50</f>
        <v>1692357.0418841178</v>
      </c>
      <c r="J41" s="19">
        <f>'D2C - Retail'!Q57+'D2C Online'!AH50</f>
        <v>1681541.4729889822</v>
      </c>
      <c r="K41" s="19">
        <f>'D2C - Retail'!R57+'D2C Online'!AI50</f>
        <v>2391697.7282087258</v>
      </c>
      <c r="L41" s="19">
        <f>'D2C - Retail'!S57+'D2C Online'!AJ50</f>
        <v>2755252.2057677954</v>
      </c>
      <c r="M41" s="19">
        <f>'D2C - Retail'!T57+'D2C Online'!AK50</f>
        <v>4752375.1446024505</v>
      </c>
      <c r="N41" s="19">
        <f>'D2C - Retail'!U57+'D2C Online'!AL50</f>
        <v>5322645.3880130909</v>
      </c>
      <c r="O41" s="19">
        <f>'D2C - Retail'!V57+'D2C Online'!AM50</f>
        <v>5476566.4405550687</v>
      </c>
      <c r="P41" s="19">
        <f>'D2C - Retail'!W57+'D2C Online'!AN50</f>
        <v>6152088.6391118709</v>
      </c>
      <c r="Q41" s="19">
        <f>'D2C - Retail'!X57+'D2C Online'!AO50</f>
        <v>6320329.7068617241</v>
      </c>
      <c r="R41" s="19">
        <f>'D2C - Retail'!Y57+'D2C Online'!AP50</f>
        <v>5422361.7833527289</v>
      </c>
      <c r="S41" s="19">
        <f>'D2C - Retail'!Z57+'D2C Online'!AQ50</f>
        <v>6390488.4984452417</v>
      </c>
      <c r="T41" s="19">
        <f>'D2C - Retail'!AA57+'D2C Online'!AR50</f>
        <v>8203167.075938669</v>
      </c>
      <c r="U41" s="19">
        <f>'D2C - Retail'!AB57+'D2C Online'!AS50</f>
        <v>8042747.4795600167</v>
      </c>
      <c r="V41" s="19">
        <f>'D2C - Retail'!AC57+'D2C Online'!AT50</f>
        <v>7412400.9531762674</v>
      </c>
      <c r="W41" s="19">
        <f>'D2C - Retail'!AD57+'D2C Online'!AU50</f>
        <v>6669080.9847000316</v>
      </c>
      <c r="X41" s="19">
        <f>'D2C - Retail'!AE57+'D2C Online'!AV50</f>
        <v>8428895.6959677823</v>
      </c>
      <c r="Y41" s="19">
        <f>'D2C - Retail'!AF57+'D2C Online'!AW50</f>
        <v>8269621.9423322054</v>
      </c>
      <c r="Z41" s="19">
        <f>'D2C - Retail'!AG57+'D2C Online'!AX50</f>
        <v>9663733.2990191206</v>
      </c>
      <c r="AA41" s="19">
        <f>'D2C - Retail'!AH57+'D2C Online'!AY50</f>
        <v>10846572.909284757</v>
      </c>
      <c r="AB41" s="19">
        <f>'D2C - Retail'!AI57+'D2C Online'!AZ50</f>
        <v>12160537.349583074</v>
      </c>
      <c r="AC41" s="19">
        <f>'D2C - Retail'!AJ57+'D2C Online'!BA50</f>
        <v>16017746.884352548</v>
      </c>
      <c r="AD41" s="19">
        <f>'D2C - Retail'!AK57+'D2C Online'!BB50</f>
        <v>17702077.635228731</v>
      </c>
      <c r="AE41" s="19">
        <f>'D2C - Retail'!AL57+'D2C Online'!BC50</f>
        <v>19807145.810569458</v>
      </c>
      <c r="AF41" s="19">
        <f>'D2C - Retail'!AM57+'D2C Online'!BD50</f>
        <v>22351061.8615296</v>
      </c>
      <c r="AG41" s="19">
        <f>'D2C - Retail'!AN57+'D2C Online'!BE50</f>
        <v>17694731.164647099</v>
      </c>
      <c r="AH41" s="19">
        <f>'D2C - Retail'!AO57+'D2C Online'!BF50</f>
        <v>19734605.462384965</v>
      </c>
      <c r="AI41" s="19">
        <f>'D2C - Retail'!AP57+'D2C Online'!BG50</f>
        <v>16586995.553095397</v>
      </c>
      <c r="AJ41" s="19">
        <f>'D2C - Retail'!AQ57+'D2C Online'!BH50</f>
        <v>24732683.68017685</v>
      </c>
      <c r="AK41" s="19">
        <f>'D2C - Retail'!AR57+'D2C Online'!BI50</f>
        <v>23330217.489053469</v>
      </c>
      <c r="AL41" s="19">
        <f>'D2C - Retail'!AS57+'D2C Online'!BJ50</f>
        <v>21397898.09684585</v>
      </c>
      <c r="AM41" s="19">
        <f>'D2C - Retail'!AT57+'D2C Online'!BK50</f>
        <v>22328257.28366892</v>
      </c>
      <c r="AN41" s="19">
        <f>'D2C - Retail'!AU57+'D2C Online'!BL50</f>
        <v>21894864.49768718</v>
      </c>
      <c r="AO41" s="19">
        <f>'D2C - Retail'!AV57+'D2C Online'!BM50</f>
        <v>28200495.997717824</v>
      </c>
      <c r="AP41" s="19">
        <f>'D2C - Retail'!AW57+'D2C Online'!BN50</f>
        <v>25957744.644494068</v>
      </c>
      <c r="AQ41" s="19">
        <f>'D2C - Retail'!AX57+'D2C Online'!BO50</f>
        <v>26088764.737206545</v>
      </c>
      <c r="AR41" s="19">
        <f>'D2C - Retail'!AY57+'D2C Online'!BP50</f>
        <v>27727390.056626402</v>
      </c>
      <c r="AS41" s="19">
        <f>'D2C - Retail'!AZ57+'D2C Online'!BQ50</f>
        <v>27157988.162033014</v>
      </c>
      <c r="AT41" s="19">
        <f>'D2C - Retail'!BA57+'D2C Online'!BR50</f>
        <v>24790499.766618803</v>
      </c>
      <c r="AU41" s="19">
        <f>'D2C - Retail'!BB57+'D2C Online'!BS50</f>
        <v>22673042.590487391</v>
      </c>
      <c r="AV41" s="19">
        <f>'D2C - Retail'!BC57+'D2C Online'!BT50</f>
        <v>29006281.612469085</v>
      </c>
      <c r="AW41" s="19">
        <f>'D2C - Retail'!BD57+'D2C Online'!BU50</f>
        <v>26143062.739556443</v>
      </c>
      <c r="AX41" s="19">
        <f>'D2C - Retail'!BE57+'D2C Online'!BV50</f>
        <v>30456861.078521766</v>
      </c>
      <c r="AY41" s="19">
        <f>'D2C - Retail'!BF57+'D2C Online'!BW50</f>
        <v>32654149.16062782</v>
      </c>
      <c r="AZ41" s="19">
        <f>'D2C - Retail'!BG57+'D2C Online'!BX50</f>
        <v>31247879.321702242</v>
      </c>
      <c r="BA41" s="19">
        <f>'D2C - Retail'!BH57+'D2C Online'!BY50</f>
        <v>43184053.563524619</v>
      </c>
      <c r="BB41" s="19">
        <f>'D2C - Retail'!BI57+'D2C Online'!BZ50</f>
        <v>42077720.384058274</v>
      </c>
      <c r="BC41" s="19">
        <f>'D2C - Retail'!BJ57+'D2C Online'!CA50</f>
        <v>42457540.057749078</v>
      </c>
      <c r="BD41" s="19">
        <f>'D2C - Retail'!BK57+'D2C Online'!CB50</f>
        <v>40848095.235953011</v>
      </c>
      <c r="BE41" s="19">
        <f>'D2C - Retail'!BL57+'D2C Online'!CC50</f>
        <v>43640507.400000036</v>
      </c>
      <c r="BF41" s="19">
        <f>'D2C - Retail'!BM57+'D2C Online'!CD50</f>
        <v>39179687.410000004</v>
      </c>
      <c r="BG41" s="19">
        <f>'D2C - Retail'!BN57+'D2C Online'!CE50</f>
        <v>37703778.260000065</v>
      </c>
      <c r="BH41" s="19">
        <f>'D2C - Retail'!BO57+'D2C Online'!CF50</f>
        <v>44911693.746949166</v>
      </c>
      <c r="BI41" s="19">
        <f>'D2C - Retail'!BP57+'D2C Online'!CG50</f>
        <v>41376467.615254298</v>
      </c>
      <c r="BJ41" s="19">
        <f>'D2C - Retail'!BQ57+'D2C Online'!CH50</f>
        <v>49565047.603220463</v>
      </c>
      <c r="BK41" s="19">
        <f>'D2C - Retail'!BR57+'D2C Online'!CI50</f>
        <v>54191411.00440684</v>
      </c>
      <c r="BL41" s="19">
        <f>'D2C - Retail'!BS57+'D2C Online'!CJ50</f>
        <v>47755728.231525451</v>
      </c>
      <c r="BM41" s="19">
        <f>'D2C - Retail'!BT57+'D2C Online'!CK50</f>
        <v>54317651.368135639</v>
      </c>
      <c r="BN41" s="19">
        <f>'D2C - Retail'!BU57+'D2C Online'!CL50</f>
        <v>50930867.367593192</v>
      </c>
      <c r="BO41" s="19">
        <f>'D2C - Retail'!BV57+'D2C Online'!CM50</f>
        <v>50567770.03492184</v>
      </c>
      <c r="BP41" s="19">
        <f>'D2C - Retail'!BW57+'D2C Online'!CN50</f>
        <v>50493317.637474068</v>
      </c>
      <c r="BQ41" s="19">
        <f>'D2C - Retail'!BX57+'D2C Online'!CO50</f>
        <v>53146246.2663441</v>
      </c>
      <c r="BR41" s="19">
        <f>'D2C - Retail'!BY57+'D2C Online'!CP50</f>
        <v>48603546.003269769</v>
      </c>
      <c r="BS41" s="19">
        <f>'D2C - Retail'!BZ57+'D2C Online'!CQ50</f>
        <v>48706034.691980198</v>
      </c>
      <c r="BT41" s="19">
        <f>'D2C - Retail'!CA57+'D2C Online'!CR50</f>
        <v>54262310.217244945</v>
      </c>
      <c r="BU41" s="19">
        <f>'D2C - Retail'!CB57+'D2C Online'!CS50</f>
        <v>51843397.585499905</v>
      </c>
      <c r="BV41" s="19">
        <f>'D2C - Retail'!CC57+'D2C Online'!CT50</f>
        <v>62546979.6102539</v>
      </c>
      <c r="BW41" s="19">
        <f>'D2C - Retail'!CD57+'D2C Online'!CU50</f>
        <v>65580312.361693315</v>
      </c>
      <c r="BX41" s="19">
        <f>'D2C - Retail'!CE57+'D2C Online'!CV50</f>
        <v>58770965.89947506</v>
      </c>
      <c r="BY41" s="19">
        <f>'D2C - Retail'!CF57+'D2C Online'!CW50</f>
        <v>66205987.953401208</v>
      </c>
      <c r="BZ41" s="19">
        <f>'D2C - Retail'!CG57+'D2C Online'!CX50</f>
        <v>61423168.542133659</v>
      </c>
      <c r="CA41" s="19">
        <f>'D2C - Retail'!CH57+'D2C Online'!CY50</f>
        <v>61056022.095679045</v>
      </c>
      <c r="CB41" s="19">
        <f>'D2C - Retail'!CI57+'D2C Online'!CZ50</f>
        <v>60787527.00383012</v>
      </c>
      <c r="CC41" s="19">
        <f>'D2C - Retail'!CJ57+'D2C Online'!DA50</f>
        <v>63992079.033633769</v>
      </c>
      <c r="CD41" s="19">
        <f>'D2C - Retail'!CK57+'D2C Online'!DB50</f>
        <v>58428622.615120381</v>
      </c>
      <c r="CE41" s="19">
        <f>'D2C - Retail'!CL57+'D2C Online'!DC50</f>
        <v>58414260.534802511</v>
      </c>
      <c r="CF41" s="19">
        <f>'D2C - Retail'!CM57+'D2C Online'!DD50</f>
        <v>65061552.806866527</v>
      </c>
      <c r="CG41" s="19">
        <f>'D2C - Retail'!CN57+'D2C Online'!DE50</f>
        <v>61948756.673206031</v>
      </c>
      <c r="CH41" s="19">
        <f>'D2C - Retail'!CO57+'D2C Online'!DF50</f>
        <v>74594571.824916214</v>
      </c>
      <c r="CI41" s="19">
        <f>'D2C - Retail'!CP57+'D2C Online'!DG50</f>
        <v>78026261.894813001</v>
      </c>
      <c r="CJ41" s="19">
        <f>'D2C - Retail'!CQ57+'D2C Online'!DH50</f>
        <v>69741574.953362569</v>
      </c>
      <c r="CK41" s="19">
        <f>'D2C - Retail'!CR57+'D2C Online'!DI50</f>
        <v>78081810.945336118</v>
      </c>
      <c r="CL41" s="19">
        <f>'D2C - Retail'!CS57+'D2C Online'!DJ50</f>
        <v>71181954.359217077</v>
      </c>
      <c r="CM41" s="19">
        <f>'D2C - Retail'!CT57+'D2C Online'!DK50</f>
        <v>70736744.294253856</v>
      </c>
      <c r="CN41" s="19">
        <f>'D2C - Retail'!CU57+'D2C Online'!DL50</f>
        <v>70405460.604968965</v>
      </c>
      <c r="CO41" s="19">
        <f>'D2C - Retail'!CV57+'D2C Online'!DM50</f>
        <v>74055913.749154866</v>
      </c>
      <c r="CP41" s="19">
        <f>'D2C - Retail'!CW57+'D2C Online'!DN50</f>
        <v>67606514.098186612</v>
      </c>
      <c r="CQ41" s="19">
        <f>'D2C - Retail'!CX57+'D2C Online'!DO50</f>
        <v>67656733.383652151</v>
      </c>
      <c r="CR41" s="19">
        <f>'D2C - Retail'!CY57+'D2C Online'!DP50</f>
        <v>75178536.380600363</v>
      </c>
      <c r="CS41" s="19">
        <f>'D2C - Retail'!CZ57+'D2C Online'!DQ50</f>
        <v>71615522.955864042</v>
      </c>
      <c r="CT41" s="19">
        <f>'D2C - Retail'!DA57+'D2C Online'!DR50</f>
        <v>86280940.539826199</v>
      </c>
      <c r="CU41" s="19">
        <f>'D2C - Retail'!DB57+'D2C Online'!DS50</f>
        <v>90293344.991757214</v>
      </c>
      <c r="CV41" s="19">
        <f>'D2C - Retail'!DC57+'D2C Online'!DT50</f>
        <v>80604202.531983912</v>
      </c>
      <c r="CW41" s="19">
        <f>'D2C - Retail'!DD57+'D2C Online'!DU50</f>
        <v>90189457.179319546</v>
      </c>
      <c r="CY41" s="19">
        <f t="shared" si="39"/>
        <v>59860285.307327792</v>
      </c>
      <c r="CZ41" s="19">
        <f t="shared" si="40"/>
        <v>54016332.180127457</v>
      </c>
      <c r="DA41" s="19">
        <f t="shared" si="41"/>
        <v>69460799.266076177</v>
      </c>
      <c r="DB41" s="19">
        <f t="shared" si="42"/>
        <v>72423617.779073924</v>
      </c>
      <c r="DC41" s="19">
        <f t="shared" si="43"/>
        <v>79773899.438327014</v>
      </c>
      <c r="DD41" s="19">
        <f t="shared" si="44"/>
        <v>74621530.5191392</v>
      </c>
      <c r="DE41" s="19">
        <f t="shared" si="45"/>
        <v>85606205.430547297</v>
      </c>
      <c r="DF41" s="19">
        <f t="shared" si="46"/>
        <v>107086082.04585469</v>
      </c>
      <c r="DG41" s="19">
        <f t="shared" si="47"/>
        <v>125383355.67776036</v>
      </c>
      <c r="DH41" s="19">
        <f t="shared" si="48"/>
        <v>120523973.0700001</v>
      </c>
      <c r="DI41" s="19">
        <f t="shared" si="49"/>
        <v>135853208.96542394</v>
      </c>
      <c r="DJ41" s="19">
        <f t="shared" si="50"/>
        <v>156264790.60406792</v>
      </c>
      <c r="DK41" s="19">
        <f t="shared" si="51"/>
        <v>151991955.03998908</v>
      </c>
      <c r="DL41" s="19">
        <f t="shared" si="52"/>
        <v>150455826.96159405</v>
      </c>
      <c r="DM41" s="19">
        <f t="shared" si="53"/>
        <v>168652687.41299874</v>
      </c>
      <c r="DN41" s="19">
        <f t="shared" si="54"/>
        <v>190557266.21456957</v>
      </c>
      <c r="DO41" s="19">
        <f t="shared" si="55"/>
        <v>183266717.64164281</v>
      </c>
      <c r="DP41" s="19">
        <f t="shared" si="56"/>
        <v>180834962.18355668</v>
      </c>
      <c r="DQ41" s="19">
        <f t="shared" si="57"/>
        <v>201604881.30498877</v>
      </c>
      <c r="DR41" s="19">
        <f t="shared" si="58"/>
        <v>225849647.79351169</v>
      </c>
      <c r="DS41" s="19">
        <f t="shared" si="23"/>
        <v>212324159.2584399</v>
      </c>
      <c r="DT41" s="19">
        <f t="shared" si="24"/>
        <v>209319161.23099363</v>
      </c>
      <c r="DU41" s="19">
        <f t="shared" si="25"/>
        <v>233074999.87629062</v>
      </c>
      <c r="DV41" s="19">
        <f t="shared" si="26"/>
        <v>261087004.70306069</v>
      </c>
      <c r="DX41" s="19">
        <f t="shared" si="27"/>
        <v>255761034.53260535</v>
      </c>
      <c r="DY41" s="19">
        <f t="shared" si="28"/>
        <v>347087717.43386817</v>
      </c>
      <c r="DZ41" s="19">
        <f t="shared" si="29"/>
        <v>538025328.3172524</v>
      </c>
      <c r="EA41" s="19">
        <f t="shared" si="30"/>
        <v>661657735.62915134</v>
      </c>
      <c r="EB41" s="19">
        <f t="shared" si="31"/>
        <v>791556208.92369986</v>
      </c>
      <c r="EC41" s="770">
        <f t="shared" si="32"/>
        <v>915805325.06878471</v>
      </c>
    </row>
    <row r="42" spans="2:133" x14ac:dyDescent="0.2">
      <c r="B42" s="155" t="s">
        <v>191</v>
      </c>
      <c r="C42" s="19">
        <f>'D2C - Retail'!J58</f>
        <v>483219.15254237287</v>
      </c>
      <c r="D42" s="19">
        <f>'D2C - Retail'!K58</f>
        <v>376590</v>
      </c>
      <c r="E42" s="19">
        <f>'D2C - Retail'!L58</f>
        <v>583949.74576271186</v>
      </c>
      <c r="F42" s="19">
        <f>'D2C - Retail'!M58</f>
        <v>366042.05084745766</v>
      </c>
      <c r="G42" s="19">
        <f>'D2C - Retail'!N58</f>
        <v>0</v>
      </c>
      <c r="H42" s="19">
        <f>'D2C - Retail'!O58</f>
        <v>658483.16949152539</v>
      </c>
      <c r="I42" s="19">
        <f>'D2C - Retail'!P58</f>
        <v>915910.93220338982</v>
      </c>
      <c r="J42" s="19">
        <f>'D2C - Retail'!Q58</f>
        <v>843833.59322033892</v>
      </c>
      <c r="K42" s="19">
        <f>'D2C - Retail'!R58</f>
        <v>1039039.9322033899</v>
      </c>
      <c r="L42" s="19">
        <f>'D2C - Retail'!S58</f>
        <v>988137.45762711868</v>
      </c>
      <c r="M42" s="19">
        <f>'D2C - Retail'!T58</f>
        <v>1042262.5423728814</v>
      </c>
      <c r="N42" s="19">
        <f>'D2C - Retail'!U58</f>
        <v>1495100.4315254237</v>
      </c>
      <c r="O42" s="19">
        <f>'D2C - Retail'!V58</f>
        <v>1482324.8644067796</v>
      </c>
      <c r="P42" s="19">
        <f>'D2C - Retail'!W58</f>
        <v>1481161.5762711866</v>
      </c>
      <c r="Q42" s="19">
        <f>'D2C - Retail'!X58</f>
        <v>1368158.3389830508</v>
      </c>
      <c r="R42" s="19">
        <f>'D2C - Retail'!Y58</f>
        <v>1689718.7288135593</v>
      </c>
      <c r="S42" s="19">
        <f>'D2C - Retail'!Z58</f>
        <v>1940928.8644067796</v>
      </c>
      <c r="T42" s="19">
        <f>'D2C - Retail'!AA58</f>
        <v>1962373.8813559322</v>
      </c>
      <c r="U42" s="19">
        <f>'D2C - Retail'!AB58</f>
        <v>2305092.661016949</v>
      </c>
      <c r="V42" s="19">
        <f>'D2C - Retail'!AC58</f>
        <v>2419455.3559322031</v>
      </c>
      <c r="W42" s="19">
        <f>'D2C - Retail'!AD58</f>
        <v>2271807.1525423732</v>
      </c>
      <c r="X42" s="19">
        <f>'D2C - Retail'!AE58</f>
        <v>2167587.3050847459</v>
      </c>
      <c r="Y42" s="19">
        <f>'D2C - Retail'!AF58</f>
        <v>2287807.1694915257</v>
      </c>
      <c r="Z42" s="19">
        <f>'D2C - Retail'!AG58</f>
        <v>2305616.7966101696</v>
      </c>
      <c r="AA42" s="19">
        <f>'D2C - Retail'!AH58</f>
        <v>2449101.9661016949</v>
      </c>
      <c r="AB42" s="19">
        <f>'D2C - Retail'!AI58</f>
        <v>2306565.4576271186</v>
      </c>
      <c r="AC42" s="19">
        <f>'D2C - Retail'!AJ58</f>
        <v>2427930.9152542371</v>
      </c>
      <c r="AD42" s="19">
        <f>'D2C - Retail'!AK58</f>
        <v>2510098.1694915257</v>
      </c>
      <c r="AE42" s="19">
        <f>'D2C - Retail'!AL58</f>
        <v>2633149.0677966098</v>
      </c>
      <c r="AF42" s="19">
        <f>'D2C - Retail'!AM58</f>
        <v>2766704.7966101696</v>
      </c>
      <c r="AG42" s="19">
        <f>'D2C - Retail'!AN58</f>
        <v>2977060.881355932</v>
      </c>
      <c r="AH42" s="19">
        <f>'D2C - Retail'!AO58</f>
        <v>3008913.2542372881</v>
      </c>
      <c r="AI42" s="19">
        <f>'D2C - Retail'!AP58</f>
        <v>2608360.0169491526</v>
      </c>
      <c r="AJ42" s="19">
        <f>'D2C - Retail'!AQ58</f>
        <v>2671229.440677966</v>
      </c>
      <c r="AK42" s="19">
        <f>'D2C - Retail'!AR58</f>
        <v>2221117.1694915257</v>
      </c>
      <c r="AL42" s="19">
        <f>'D2C - Retail'!AS58</f>
        <v>2230951.4237288139</v>
      </c>
      <c r="AM42" s="19">
        <f>'D2C - Retail'!AT58</f>
        <v>2194235.6949152541</v>
      </c>
      <c r="AN42" s="19">
        <f>'D2C - Retail'!AU58</f>
        <v>2211927.2542372881</v>
      </c>
      <c r="AO42" s="19">
        <f>'D2C - Retail'!AV58</f>
        <v>2576596.4237288139</v>
      </c>
      <c r="AP42" s="19">
        <f>'D2C - Retail'!AW58</f>
        <v>2739616.4745762711</v>
      </c>
      <c r="AQ42" s="19">
        <f>'D2C - Retail'!AX58</f>
        <v>2938392.4576271186</v>
      </c>
      <c r="AR42" s="19">
        <f>'D2C - Retail'!AY58</f>
        <v>3172524.4067796608</v>
      </c>
      <c r="AS42" s="19">
        <f>'D2C - Retail'!AZ58</f>
        <v>3382553.410169492</v>
      </c>
      <c r="AT42" s="19">
        <f>'D2C - Retail'!BA58</f>
        <v>3297736.677966102</v>
      </c>
      <c r="AU42" s="19">
        <f>'D2C - Retail'!BB58</f>
        <v>3175617.8135593222</v>
      </c>
      <c r="AV42" s="19">
        <f>'D2C - Retail'!BC58</f>
        <v>3235067.9511864404</v>
      </c>
      <c r="AW42" s="19">
        <f>'D2C - Retail'!BD58</f>
        <v>2937331.0555932205</v>
      </c>
      <c r="AX42" s="19">
        <f>'D2C - Retail'!BE58</f>
        <v>3417043.8630508478</v>
      </c>
      <c r="AY42" s="19">
        <f>'D2C - Retail'!BF58</f>
        <v>3249178.5477966098</v>
      </c>
      <c r="AZ42" s="19">
        <f>'D2C - Retail'!BG58</f>
        <v>2840330.1966101695</v>
      </c>
      <c r="BA42" s="19">
        <f>'D2C - Retail'!BH58</f>
        <v>3768998.4488135595</v>
      </c>
      <c r="BB42" s="19">
        <f>'D2C - Retail'!BI58</f>
        <v>3477886.3220338984</v>
      </c>
      <c r="BC42" s="19">
        <f>'D2C - Retail'!BJ58</f>
        <v>3589146.6101694917</v>
      </c>
      <c r="BD42" s="19">
        <f>'D2C - Retail'!BK58</f>
        <v>3606751.4338983051</v>
      </c>
      <c r="BE42" s="19">
        <f>'D2C - Retail'!BL58</f>
        <v>4075042.5320338984</v>
      </c>
      <c r="BF42" s="19">
        <f>'D2C - Retail'!BM58</f>
        <v>4578882.9055932201</v>
      </c>
      <c r="BG42" s="19">
        <f>'D2C - Retail'!BN58</f>
        <v>3836151.4316949151</v>
      </c>
      <c r="BH42" s="19">
        <f>'D2C - Retail'!BO58</f>
        <v>3915628.5844067796</v>
      </c>
      <c r="BI42" s="19">
        <f>'D2C - Retail'!BP58</f>
        <v>4060098.3188135591</v>
      </c>
      <c r="BJ42" s="19">
        <f>'D2C - Retail'!BQ58</f>
        <v>4904745.7637288133</v>
      </c>
      <c r="BK42" s="19">
        <f>'D2C - Retail'!BR58</f>
        <v>4861837.5391525421</v>
      </c>
      <c r="BL42" s="19">
        <f>'D2C - Retail'!BS58</f>
        <v>4752311.9247457627</v>
      </c>
      <c r="BM42" s="19">
        <f>'D2C - Retail'!BT58</f>
        <v>8096491.0159322042</v>
      </c>
      <c r="BN42" s="19">
        <f>'D2C - Retail'!BU58</f>
        <v>7129416.9546652744</v>
      </c>
      <c r="BO42" s="19">
        <f>'D2C - Retail'!BV58</f>
        <v>6981853.3318420341</v>
      </c>
      <c r="BP42" s="19">
        <f>'D2C - Retail'!BW58</f>
        <v>6967299.8060048399</v>
      </c>
      <c r="BQ42" s="19">
        <f>'D2C - Retail'!BX58</f>
        <v>7544648.6960762562</v>
      </c>
      <c r="BR42" s="19">
        <f>'D2C - Retail'!BY58</f>
        <v>6740761.4853148125</v>
      </c>
      <c r="BS42" s="19">
        <f>'D2C - Retail'!BZ58</f>
        <v>6259414.739626999</v>
      </c>
      <c r="BT42" s="19">
        <f>'D2C - Retail'!CA58</f>
        <v>7810233.8905650843</v>
      </c>
      <c r="BU42" s="19">
        <f>'D2C - Retail'!CB58</f>
        <v>7192697.5166060561</v>
      </c>
      <c r="BV42" s="19">
        <f>'D2C - Retail'!CC58</f>
        <v>8556595.738093242</v>
      </c>
      <c r="BW42" s="19">
        <f>'D2C - Retail'!CD58</f>
        <v>8766771.0299754143</v>
      </c>
      <c r="BX42" s="19">
        <f>'D2C - Retail'!CE58</f>
        <v>8152199.7564034685</v>
      </c>
      <c r="BY42" s="19">
        <f>'D2C - Retail'!CF58</f>
        <v>9483146.3199279401</v>
      </c>
      <c r="BZ42" s="19">
        <f>'D2C - Retail'!CG58</f>
        <v>8718386.1475080289</v>
      </c>
      <c r="CA42" s="19">
        <f>'D2C - Retail'!CH58</f>
        <v>8559315.5433269404</v>
      </c>
      <c r="CB42" s="19">
        <f>'D2C - Retail'!CI58</f>
        <v>8497049.2600549199</v>
      </c>
      <c r="CC42" s="19">
        <f>'D2C - Retail'!CJ58</f>
        <v>9196441.6714083347</v>
      </c>
      <c r="CD42" s="19">
        <f>'D2C - Retail'!CK58</f>
        <v>8198629.8358714487</v>
      </c>
      <c r="CE42" s="19">
        <f>'D2C - Retail'!CL58</f>
        <v>7594571.4701008731</v>
      </c>
      <c r="CF42" s="19">
        <f>'D2C - Retail'!CM58</f>
        <v>9447969.8553391602</v>
      </c>
      <c r="CG42" s="19">
        <f>'D2C - Retail'!CN58</f>
        <v>8654666.6730008628</v>
      </c>
      <c r="CH42" s="19">
        <f>'D2C - Retail'!CO58</f>
        <v>10262068.516949089</v>
      </c>
      <c r="CI42" s="19">
        <f>'D2C - Retail'!CP58</f>
        <v>10470741.772264391</v>
      </c>
      <c r="CJ42" s="19">
        <f>'D2C - Retail'!CQ58</f>
        <v>9688087.5129754785</v>
      </c>
      <c r="CK42" s="19">
        <f>'D2C - Retail'!CR58</f>
        <v>11148083.404223997</v>
      </c>
      <c r="CL42" s="19">
        <f>'D2C - Retail'!CS58</f>
        <v>9933908.233710194</v>
      </c>
      <c r="CM42" s="19">
        <f>'D2C - Retail'!CT58</f>
        <v>9742910.629917644</v>
      </c>
      <c r="CN42" s="19">
        <f>'D2C - Retail'!CU58</f>
        <v>9665846.9997705072</v>
      </c>
      <c r="CO42" s="19">
        <f>'D2C - Retail'!CV58</f>
        <v>10457982.063902065</v>
      </c>
      <c r="CP42" s="19">
        <f>'D2C - Retail'!CW58</f>
        <v>9311164.4362654779</v>
      </c>
      <c r="CQ42" s="19">
        <f>'D2C - Retail'!CX58</f>
        <v>8612446.8516969439</v>
      </c>
      <c r="CR42" s="19">
        <f>'D2C - Retail'!CY58</f>
        <v>10719914.053808335</v>
      </c>
      <c r="CS42" s="19">
        <f>'D2C - Retail'!CZ58</f>
        <v>9811236.1612841599</v>
      </c>
      <c r="CT42" s="19">
        <f>'D2C - Retail'!DA58</f>
        <v>11636901.109385092</v>
      </c>
      <c r="CU42" s="19">
        <f>'D2C - Retail'!DB58</f>
        <v>11870980.698520195</v>
      </c>
      <c r="CV42" s="19">
        <f>'D2C - Retail'!DC58</f>
        <v>10974910.368659066</v>
      </c>
      <c r="CW42" s="19">
        <f>'D2C - Retail'!DD58</f>
        <v>12630916.488914102</v>
      </c>
      <c r="CY42" s="19">
        <f t="shared" si="39"/>
        <v>7909952.0338983051</v>
      </c>
      <c r="CZ42" s="19">
        <f t="shared" si="40"/>
        <v>8594334.1525423732</v>
      </c>
      <c r="DA42" s="19">
        <f t="shared" si="41"/>
        <v>7123298.0338983051</v>
      </c>
      <c r="DB42" s="19">
        <f t="shared" si="42"/>
        <v>6982759.3728813566</v>
      </c>
      <c r="DC42" s="19">
        <f t="shared" si="43"/>
        <v>8850533.3389830515</v>
      </c>
      <c r="DD42" s="19">
        <f t="shared" si="44"/>
        <v>9855907.9016949162</v>
      </c>
      <c r="DE42" s="19">
        <f t="shared" si="45"/>
        <v>9589442.8698305096</v>
      </c>
      <c r="DF42" s="19">
        <f t="shared" si="46"/>
        <v>9858507.1932203397</v>
      </c>
      <c r="DG42" s="19">
        <f t="shared" si="47"/>
        <v>10673784.366101695</v>
      </c>
      <c r="DH42" s="19">
        <f t="shared" si="48"/>
        <v>12490076.869322034</v>
      </c>
      <c r="DI42" s="19">
        <f t="shared" si="49"/>
        <v>12880472.666949153</v>
      </c>
      <c r="DJ42" s="19">
        <f t="shared" si="50"/>
        <v>17710640.479830511</v>
      </c>
      <c r="DK42" s="19">
        <f t="shared" si="51"/>
        <v>21078570.092512149</v>
      </c>
      <c r="DL42" s="19">
        <f t="shared" si="52"/>
        <v>20544824.921018068</v>
      </c>
      <c r="DM42" s="19">
        <f t="shared" si="53"/>
        <v>23559527.145264383</v>
      </c>
      <c r="DN42" s="19">
        <f t="shared" si="54"/>
        <v>26402117.106306821</v>
      </c>
      <c r="DO42" s="19">
        <f t="shared" si="55"/>
        <v>25774750.950889889</v>
      </c>
      <c r="DP42" s="19">
        <f t="shared" si="56"/>
        <v>24989642.977380656</v>
      </c>
      <c r="DQ42" s="19">
        <f t="shared" si="57"/>
        <v>28364705.045289114</v>
      </c>
      <c r="DR42" s="19">
        <f t="shared" si="58"/>
        <v>31306912.689463865</v>
      </c>
      <c r="DS42" s="19">
        <f t="shared" si="23"/>
        <v>29342665.863398343</v>
      </c>
      <c r="DT42" s="19">
        <f t="shared" si="24"/>
        <v>28381593.351864487</v>
      </c>
      <c r="DU42" s="19">
        <f t="shared" si="25"/>
        <v>32168051.324477587</v>
      </c>
      <c r="DV42" s="19">
        <f t="shared" si="26"/>
        <v>35476807.556093365</v>
      </c>
      <c r="DX42" s="19">
        <f t="shared" si="27"/>
        <v>30610343.593220342</v>
      </c>
      <c r="DY42" s="19">
        <f t="shared" si="28"/>
        <v>38154391.303728819</v>
      </c>
      <c r="DZ42" s="19">
        <f t="shared" si="29"/>
        <v>53754974.382203393</v>
      </c>
      <c r="EA42" s="19">
        <f t="shared" si="30"/>
        <v>91585039.265101418</v>
      </c>
      <c r="EB42" s="19">
        <f t="shared" si="31"/>
        <v>110436011.66302353</v>
      </c>
      <c r="EC42" s="770">
        <f t="shared" si="32"/>
        <v>125369118.09583378</v>
      </c>
    </row>
    <row r="43" spans="2:133" x14ac:dyDescent="0.2">
      <c r="B43" s="155" t="s">
        <v>140</v>
      </c>
      <c r="C43" s="19">
        <f>'D2C - Retail'!J59</f>
        <v>58034.541355932197</v>
      </c>
      <c r="D43" s="19">
        <f>'D2C - Retail'!K59</f>
        <v>162983.59322033916</v>
      </c>
      <c r="E43" s="19">
        <f>'D2C - Retail'!L59</f>
        <v>105348.96152542371</v>
      </c>
      <c r="F43" s="19">
        <f>'D2C - Retail'!M59</f>
        <v>54174.528305084743</v>
      </c>
      <c r="G43" s="19">
        <f>'D2C - Retail'!N59</f>
        <v>1128</v>
      </c>
      <c r="H43" s="19">
        <f>'D2C - Retail'!O59</f>
        <v>58182.305084745763</v>
      </c>
      <c r="I43" s="19">
        <f>'D2C - Retail'!P59</f>
        <v>105369.54237288136</v>
      </c>
      <c r="J43" s="19">
        <f>'D2C - Retail'!Q59</f>
        <v>258143.76135593219</v>
      </c>
      <c r="K43" s="19">
        <f>'D2C - Retail'!R59</f>
        <v>345056.98305084743</v>
      </c>
      <c r="L43" s="19">
        <f>'D2C - Retail'!S59</f>
        <v>335674.42474576272</v>
      </c>
      <c r="M43" s="19">
        <f>'D2C - Retail'!T59</f>
        <v>378566.13966101798</v>
      </c>
      <c r="N43" s="19">
        <f>'D2C - Retail'!U59</f>
        <v>536465.50169491733</v>
      </c>
      <c r="O43" s="19">
        <f>'D2C - Retail'!V59</f>
        <v>507566.25000000017</v>
      </c>
      <c r="P43" s="19">
        <f>'D2C - Retail'!W59</f>
        <v>503022.69762711873</v>
      </c>
      <c r="Q43" s="19">
        <f>'D2C - Retail'!X59</f>
        <v>700221.40169491526</v>
      </c>
      <c r="R43" s="19">
        <f>'D2C - Retail'!Y59</f>
        <v>513416.43762711901</v>
      </c>
      <c r="S43" s="19">
        <f>'D2C - Retail'!Z59</f>
        <v>523952.56983050855</v>
      </c>
      <c r="T43" s="19">
        <f>'D2C - Retail'!AA59</f>
        <v>651572.93440677936</v>
      </c>
      <c r="U43" s="19">
        <f>'D2C - Retail'!AB59</f>
        <v>714328.95966101601</v>
      </c>
      <c r="V43" s="19">
        <f>'D2C - Retail'!AC59</f>
        <v>848505.95389830472</v>
      </c>
      <c r="W43" s="19">
        <f>'D2C - Retail'!AD59</f>
        <v>935079.1794915254</v>
      </c>
      <c r="X43" s="19">
        <f>'D2C - Retail'!AE59</f>
        <v>884226.25220338954</v>
      </c>
      <c r="Y43" s="19">
        <f>'D2C - Retail'!AF59</f>
        <v>743643.64830508491</v>
      </c>
      <c r="Z43" s="19">
        <f>'D2C - Retail'!AG59</f>
        <v>777656.45440677961</v>
      </c>
      <c r="AA43" s="19">
        <f>'D2C - Retail'!AH59</f>
        <v>944329.89813559304</v>
      </c>
      <c r="AB43" s="19">
        <f>'D2C - Retail'!AI59</f>
        <v>1041996.0386440681</v>
      </c>
      <c r="AC43" s="19">
        <f>'D2C - Retail'!AJ59</f>
        <v>1065358.4369491523</v>
      </c>
      <c r="AD43" s="19">
        <f>'D2C - Retail'!AK59</f>
        <v>1121117.2977203398</v>
      </c>
      <c r="AE43" s="19">
        <f>'D2C - Retail'!AL59</f>
        <v>1175297.949152542</v>
      </c>
      <c r="AF43" s="19">
        <f>'D2C - Retail'!AM59</f>
        <v>1271072.0761016982</v>
      </c>
      <c r="AG43" s="19">
        <f>'D2C - Retail'!AN59</f>
        <v>1197842.6135593215</v>
      </c>
      <c r="AH43" s="19">
        <f>'D2C - Retail'!AO59</f>
        <v>1757991.6399661112</v>
      </c>
      <c r="AI43" s="19">
        <f>'D2C - Retail'!AP59</f>
        <v>1664487.767343051</v>
      </c>
      <c r="AJ43" s="19">
        <f>'D2C - Retail'!AQ59</f>
        <v>2225907.4456830486</v>
      </c>
      <c r="AK43" s="19">
        <f>'D2C - Retail'!AR59</f>
        <v>1435516.9572112393</v>
      </c>
      <c r="AL43" s="19">
        <f>'D2C - Retail'!AS59</f>
        <v>1220151.7877735614</v>
      </c>
      <c r="AM43" s="19">
        <f>'D2C - Retail'!AT59</f>
        <v>1067220.4438976489</v>
      </c>
      <c r="AN43" s="19">
        <f>'D2C - Retail'!AU59</f>
        <v>1192513.3264304565</v>
      </c>
      <c r="AO43" s="19">
        <f>'D2C - Retail'!AV59</f>
        <v>1324611.3035550413</v>
      </c>
      <c r="AP43" s="19">
        <f>'D2C - Retail'!AW59</f>
        <v>1389924.6284703903</v>
      </c>
      <c r="AQ43" s="19">
        <f>'D2C - Retail'!AX59</f>
        <v>1392292.3912185817</v>
      </c>
      <c r="AR43" s="19">
        <f>'D2C - Retail'!AY59</f>
        <v>1589559.2550058251</v>
      </c>
      <c r="AS43" s="19">
        <f>'D2C - Retail'!AZ59</f>
        <v>1553179.1110175806</v>
      </c>
      <c r="AT43" s="19">
        <f>'D2C - Retail'!BA59</f>
        <v>1537486.6057627113</v>
      </c>
      <c r="AU43" s="19">
        <f>'D2C - Retail'!BB59</f>
        <v>1210787.3755857463</v>
      </c>
      <c r="AV43" s="19">
        <f>'D2C - Retail'!BC59</f>
        <v>1919724.892106557</v>
      </c>
      <c r="AW43" s="19">
        <f>'D2C - Retail'!BD59</f>
        <v>1558765.4796610177</v>
      </c>
      <c r="AX43" s="19">
        <f>'D2C - Retail'!BE59</f>
        <v>1856770.8950116916</v>
      </c>
      <c r="AY43" s="19">
        <f>'D2C - Retail'!BF59</f>
        <v>1958170.7806779507</v>
      </c>
      <c r="AZ43" s="19">
        <f>'D2C - Retail'!BG59</f>
        <v>1780690.5411864305</v>
      </c>
      <c r="BA43" s="19">
        <f>'D2C - Retail'!BH59</f>
        <v>2066472.376779661</v>
      </c>
      <c r="BB43" s="19">
        <f>'D2C - Retail'!BI59</f>
        <v>1931106.1362711862</v>
      </c>
      <c r="BC43" s="19">
        <f>'D2C - Retail'!BJ59</f>
        <v>2062555.1527118634</v>
      </c>
      <c r="BD43" s="19">
        <f>'D2C - Retail'!BK59</f>
        <v>1596742.8925423566</v>
      </c>
      <c r="BE43" s="19">
        <f>'D2C - Retail'!BL59</f>
        <v>1935613.4110169492</v>
      </c>
      <c r="BF43" s="19">
        <f>'D2C - Retail'!BM59</f>
        <v>1750472.7803389831</v>
      </c>
      <c r="BG43" s="19">
        <f>'D2C - Retail'!BN59</f>
        <v>2148473.6542372885</v>
      </c>
      <c r="BH43" s="19">
        <f>'D2C - Retail'!BO59</f>
        <v>3023721.5247457633</v>
      </c>
      <c r="BI43" s="19">
        <f>'D2C - Retail'!BP59</f>
        <v>2665636.6469491525</v>
      </c>
      <c r="BJ43" s="19">
        <f>'D2C - Retail'!BQ59</f>
        <v>3396503.0440678005</v>
      </c>
      <c r="BK43" s="19">
        <f>'D2C - Retail'!BR59</f>
        <v>2912658.4815254258</v>
      </c>
      <c r="BL43" s="19">
        <f>'D2C - Retail'!BS59</f>
        <v>2804524.2244067825</v>
      </c>
      <c r="BM43" s="19">
        <f>'D2C - Retail'!BT59</f>
        <v>3301624.824406785</v>
      </c>
      <c r="BN43" s="19">
        <f>'D2C - Retail'!BU59</f>
        <v>2907266.8585378923</v>
      </c>
      <c r="BO43" s="19">
        <f>'D2C - Retail'!BV59</f>
        <v>2847092.6769901202</v>
      </c>
      <c r="BP43" s="19">
        <f>'D2C - Retail'!BW59</f>
        <v>2841157.9724258627</v>
      </c>
      <c r="BQ43" s="19">
        <f>'D2C - Retail'!BX59</f>
        <v>3076591.9924294059</v>
      </c>
      <c r="BR43" s="19">
        <f>'D2C - Retail'!BY59</f>
        <v>2748779.1206741813</v>
      </c>
      <c r="BS43" s="19">
        <f>'D2C - Retail'!BZ59</f>
        <v>2552493.3023384311</v>
      </c>
      <c r="BT43" s="19">
        <f>'D2C - Retail'!CA59</f>
        <v>3184893.5602806811</v>
      </c>
      <c r="BU43" s="19">
        <f>'D2C - Retail'!CB59</f>
        <v>2933071.7008819361</v>
      </c>
      <c r="BV43" s="19">
        <f>'D2C - Retail'!CC59</f>
        <v>3489248.4714317005</v>
      </c>
      <c r="BW43" s="19">
        <f>'D2C - Retail'!CD59</f>
        <v>3574954.7310680831</v>
      </c>
      <c r="BX43" s="19">
        <f>'D2C - Retail'!CE59</f>
        <v>3324341.9941182593</v>
      </c>
      <c r="BY43" s="19">
        <f>'D2C - Retail'!CF59</f>
        <v>3867081.5840769531</v>
      </c>
      <c r="BZ43" s="19">
        <f>'D2C - Retail'!CG59</f>
        <v>3555224.118292009</v>
      </c>
      <c r="CA43" s="19">
        <f>'D2C - Retail'!CH59</f>
        <v>3490357.5662802546</v>
      </c>
      <c r="CB43" s="19">
        <f>'D2C - Retail'!CI59</f>
        <v>3464966.3312168289</v>
      </c>
      <c r="CC43" s="19">
        <f>'D2C - Retail'!CJ59</f>
        <v>3750167.8268749202</v>
      </c>
      <c r="CD43" s="19">
        <f>'D2C - Retail'!CK59</f>
        <v>3343275.4682206847</v>
      </c>
      <c r="CE43" s="19">
        <f>'D2C - Retail'!CL59</f>
        <v>3096949.7337890384</v>
      </c>
      <c r="CF43" s="19">
        <f>'D2C - Retail'!CM59</f>
        <v>3852737.161475528</v>
      </c>
      <c r="CG43" s="19">
        <f>'D2C - Retail'!CN59</f>
        <v>3529240.2941369489</v>
      </c>
      <c r="CH43" s="19">
        <f>'D2C - Retail'!CO59</f>
        <v>4184714.1062283306</v>
      </c>
      <c r="CI43" s="19">
        <f>'D2C - Retail'!CP59</f>
        <v>4269807.8583961586</v>
      </c>
      <c r="CJ43" s="19">
        <f>'D2C - Retail'!CQ59</f>
        <v>3950653.4585072254</v>
      </c>
      <c r="CK43" s="19">
        <f>'D2C - Retail'!CR59</f>
        <v>4546017.3845083239</v>
      </c>
      <c r="CL43" s="19">
        <f>'D2C - Retail'!CS59</f>
        <v>4050895.3771772063</v>
      </c>
      <c r="CM43" s="19">
        <f>'D2C - Retail'!CT59</f>
        <v>3973009.4845302799</v>
      </c>
      <c r="CN43" s="19">
        <f>'D2C - Retail'!CU59</f>
        <v>3941584.1184238996</v>
      </c>
      <c r="CO43" s="19">
        <f>'D2C - Retail'!CV59</f>
        <v>4264604.6450783955</v>
      </c>
      <c r="CP43" s="19">
        <f>'D2C - Retail'!CW59</f>
        <v>3796950.0103704105</v>
      </c>
      <c r="CQ43" s="19">
        <f>'D2C - Retail'!CX59</f>
        <v>3512023.6987223746</v>
      </c>
      <c r="CR43" s="19">
        <f>'D2C - Retail'!CY59</f>
        <v>4371416.4921463476</v>
      </c>
      <c r="CS43" s="19">
        <f>'D2C - Retail'!CZ59</f>
        <v>4000871.5880090045</v>
      </c>
      <c r="CT43" s="19">
        <f>'D2C - Retail'!DA59</f>
        <v>4745349.7455019467</v>
      </c>
      <c r="CU43" s="19">
        <f>'D2C - Retail'!DB59</f>
        <v>4840803.810831557</v>
      </c>
      <c r="CV43" s="19">
        <f>'D2C - Retail'!DC59</f>
        <v>4475400.0773299458</v>
      </c>
      <c r="CW43" s="19">
        <f>'D2C - Retail'!DD59</f>
        <v>5150693.967639301</v>
      </c>
      <c r="CY43" s="19">
        <f t="shared" si="39"/>
        <v>3567487.3229745803</v>
      </c>
      <c r="CZ43" s="19">
        <f t="shared" si="40"/>
        <v>4620322.0208684839</v>
      </c>
      <c r="DA43" s="19">
        <f t="shared" si="41"/>
        <v>4881576.190667849</v>
      </c>
      <c r="DB43" s="19">
        <f t="shared" si="42"/>
        <v>3584345.073883147</v>
      </c>
      <c r="DC43" s="19">
        <f t="shared" si="43"/>
        <v>4371776.2746947976</v>
      </c>
      <c r="DD43" s="19">
        <f t="shared" si="44"/>
        <v>4301453.0923660379</v>
      </c>
      <c r="DE43" s="19">
        <f t="shared" si="45"/>
        <v>5335261.2667792663</v>
      </c>
      <c r="DF43" s="19">
        <f t="shared" si="46"/>
        <v>5805333.698644042</v>
      </c>
      <c r="DG43" s="19">
        <f t="shared" si="47"/>
        <v>5590404.1815254064</v>
      </c>
      <c r="DH43" s="19">
        <f t="shared" si="48"/>
        <v>5834559.8455932215</v>
      </c>
      <c r="DI43" s="19">
        <f t="shared" si="49"/>
        <v>9085861.2157627158</v>
      </c>
      <c r="DJ43" s="19">
        <f t="shared" si="50"/>
        <v>9018807.5303389933</v>
      </c>
      <c r="DK43" s="19">
        <f t="shared" si="51"/>
        <v>8595517.5079538748</v>
      </c>
      <c r="DL43" s="19">
        <f t="shared" si="52"/>
        <v>8377864.4154420178</v>
      </c>
      <c r="DM43" s="19">
        <f t="shared" si="53"/>
        <v>9607213.7325943187</v>
      </c>
      <c r="DN43" s="19">
        <f t="shared" si="54"/>
        <v>10766378.309263296</v>
      </c>
      <c r="DO43" s="19">
        <f t="shared" si="55"/>
        <v>10510548.015789092</v>
      </c>
      <c r="DP43" s="19">
        <f t="shared" si="56"/>
        <v>10190393.028884644</v>
      </c>
      <c r="DQ43" s="19">
        <f t="shared" si="57"/>
        <v>11566691.561840808</v>
      </c>
      <c r="DR43" s="19">
        <f t="shared" si="58"/>
        <v>12766478.701411709</v>
      </c>
      <c r="DS43" s="19">
        <f t="shared" si="23"/>
        <v>11965488.980131386</v>
      </c>
      <c r="DT43" s="19">
        <f t="shared" si="24"/>
        <v>11573578.354171179</v>
      </c>
      <c r="DU43" s="19">
        <f t="shared" si="25"/>
        <v>13117637.825657299</v>
      </c>
      <c r="DV43" s="19">
        <f t="shared" si="26"/>
        <v>14466897.855800804</v>
      </c>
      <c r="DX43" s="19">
        <f t="shared" si="27"/>
        <v>16653730.60839406</v>
      </c>
      <c r="DY43" s="19">
        <f t="shared" si="28"/>
        <v>19813824.332484145</v>
      </c>
      <c r="DZ43" s="19">
        <f t="shared" si="29"/>
        <v>29529632.773220338</v>
      </c>
      <c r="EA43" s="19">
        <f t="shared" si="30"/>
        <v>37346973.96525351</v>
      </c>
      <c r="EB43" s="19">
        <f t="shared" si="31"/>
        <v>45034111.307926252</v>
      </c>
      <c r="EC43" s="770">
        <f t="shared" si="32"/>
        <v>51123603.015760675</v>
      </c>
    </row>
    <row r="44" spans="2:133" x14ac:dyDescent="0.2">
      <c r="B44" s="155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Y44" s="19">
        <f t="shared" si="39"/>
        <v>0</v>
      </c>
      <c r="CZ44" s="19">
        <f t="shared" si="40"/>
        <v>0</v>
      </c>
      <c r="DA44" s="19">
        <f t="shared" si="41"/>
        <v>0</v>
      </c>
      <c r="DB44" s="19">
        <f t="shared" si="42"/>
        <v>0</v>
      </c>
      <c r="DC44" s="19">
        <f t="shared" si="43"/>
        <v>0</v>
      </c>
      <c r="DD44" s="19">
        <f t="shared" si="44"/>
        <v>0</v>
      </c>
      <c r="DE44" s="19">
        <f t="shared" si="45"/>
        <v>0</v>
      </c>
      <c r="DF44" s="19">
        <f t="shared" si="46"/>
        <v>0</v>
      </c>
      <c r="DG44" s="19">
        <f t="shared" si="47"/>
        <v>0</v>
      </c>
      <c r="DH44" s="19">
        <f t="shared" si="48"/>
        <v>0</v>
      </c>
      <c r="DI44" s="19">
        <f t="shared" si="49"/>
        <v>0</v>
      </c>
      <c r="DJ44" s="19">
        <f t="shared" si="50"/>
        <v>0</v>
      </c>
      <c r="DK44" s="19">
        <f t="shared" si="51"/>
        <v>0</v>
      </c>
      <c r="DL44" s="19">
        <f t="shared" si="52"/>
        <v>0</v>
      </c>
      <c r="DM44" s="19">
        <f t="shared" si="53"/>
        <v>0</v>
      </c>
      <c r="DN44" s="19">
        <f t="shared" si="54"/>
        <v>0</v>
      </c>
      <c r="DO44" s="19">
        <f t="shared" si="55"/>
        <v>0</v>
      </c>
      <c r="DP44" s="19">
        <f t="shared" si="56"/>
        <v>0</v>
      </c>
      <c r="DQ44" s="19">
        <f t="shared" si="57"/>
        <v>0</v>
      </c>
      <c r="DR44" s="19">
        <f t="shared" si="58"/>
        <v>0</v>
      </c>
      <c r="DS44" s="19">
        <f t="shared" si="23"/>
        <v>0</v>
      </c>
      <c r="DT44" s="19">
        <f t="shared" si="24"/>
        <v>0</v>
      </c>
      <c r="DU44" s="19">
        <f t="shared" si="25"/>
        <v>0</v>
      </c>
      <c r="DV44" s="19">
        <f t="shared" si="26"/>
        <v>0</v>
      </c>
      <c r="DX44" s="19">
        <f t="shared" si="27"/>
        <v>0</v>
      </c>
      <c r="DY44" s="19">
        <f t="shared" si="28"/>
        <v>0</v>
      </c>
      <c r="DZ44" s="19">
        <f t="shared" si="29"/>
        <v>0</v>
      </c>
      <c r="EA44" s="19">
        <f t="shared" si="30"/>
        <v>0</v>
      </c>
      <c r="EB44" s="19">
        <f t="shared" si="31"/>
        <v>0</v>
      </c>
      <c r="EC44" s="770">
        <f t="shared" si="32"/>
        <v>0</v>
      </c>
    </row>
    <row r="45" spans="2:133" x14ac:dyDescent="0.2">
      <c r="B45" s="155" t="s">
        <v>229</v>
      </c>
      <c r="C45" s="19">
        <f>'D2C - Retail'!J56</f>
        <v>1975272.4591652551</v>
      </c>
      <c r="D45" s="19">
        <f>'D2C - Retail'!K56</f>
        <v>2027289.6272881362</v>
      </c>
      <c r="E45" s="19">
        <f>'D2C - Retail'!L56</f>
        <v>2502105.213711868</v>
      </c>
      <c r="F45" s="19">
        <f>'D2C - Retail'!M56</f>
        <v>1499461.788139032</v>
      </c>
      <c r="G45" s="19">
        <f>'D2C - Retail'!N56</f>
        <v>32761.38305084746</v>
      </c>
      <c r="H45" s="19">
        <f>'D2C - Retail'!O56</f>
        <v>1494339.3640192198</v>
      </c>
      <c r="I45" s="19">
        <f>'D2C - Retail'!P56</f>
        <v>2303413.9515451347</v>
      </c>
      <c r="J45" s="19">
        <f>'D2C - Retail'!Q56</f>
        <v>2423693.2490906771</v>
      </c>
      <c r="K45" s="19">
        <f>'D2C - Retail'!R56</f>
        <v>3349477.27938837</v>
      </c>
      <c r="L45" s="19">
        <f>'D2C - Retail'!S56</f>
        <v>3891610.9269881346</v>
      </c>
      <c r="M45" s="19">
        <f>'D2C - Retail'!T56</f>
        <v>5385659.9589347402</v>
      </c>
      <c r="N45" s="19">
        <f>'D2C - Retail'!U56</f>
        <v>6502913.5765486863</v>
      </c>
      <c r="O45" s="19">
        <f>'D2C - Retail'!V56</f>
        <v>6183202.6852550693</v>
      </c>
      <c r="P45" s="19">
        <f>'D2C - Retail'!W56</f>
        <v>6745929.2407220406</v>
      </c>
      <c r="Q45" s="19">
        <f>'D2C - Retail'!X56</f>
        <v>7413325.0733044343</v>
      </c>
      <c r="R45" s="19">
        <f>'D2C - Retail'!Y56</f>
        <v>6596292.4466476431</v>
      </c>
      <c r="S45" s="19">
        <f>'D2C - Retail'!Z56</f>
        <v>7657682.93268253</v>
      </c>
      <c r="T45" s="19">
        <f>'D2C - Retail'!AA56</f>
        <v>8912419.4791251086</v>
      </c>
      <c r="U45" s="19">
        <f>'D2C - Retail'!AB56</f>
        <v>9410266.5861905385</v>
      </c>
      <c r="V45" s="19">
        <f>'D2C - Retail'!AC56</f>
        <v>9375461.2703593168</v>
      </c>
      <c r="W45" s="19">
        <f>'D2C - Retail'!AD56</f>
        <v>8618396.1040220652</v>
      </c>
      <c r="X45" s="19">
        <f>'D2C - Retail'!AE56</f>
        <v>9256480.0817644</v>
      </c>
      <c r="Y45" s="19">
        <f>'D2C - Retail'!AF56</f>
        <v>9496298.3806372955</v>
      </c>
      <c r="Z45" s="19">
        <f>'D2C - Retail'!AG56</f>
        <v>11161744.187459795</v>
      </c>
      <c r="AA45" s="19">
        <f>'D2C - Retail'!AH56</f>
        <v>12171373.710559329</v>
      </c>
      <c r="AB45" s="19">
        <f>'D2C - Retail'!AI56</f>
        <v>12259723.616298351</v>
      </c>
      <c r="AC45" s="19">
        <f>'D2C - Retail'!AJ56</f>
        <v>14577283.198250851</v>
      </c>
      <c r="AD45" s="19">
        <f>'D2C - Retail'!AK56</f>
        <v>15118317.028525339</v>
      </c>
      <c r="AE45" s="19">
        <f>'D2C - Retail'!AL56</f>
        <v>17008041.492915288</v>
      </c>
      <c r="AF45" s="19">
        <f>'D2C - Retail'!AM56</f>
        <v>18161418.909478027</v>
      </c>
      <c r="AG45" s="19">
        <f>'D2C - Retail'!AN56</f>
        <v>16288819.490074512</v>
      </c>
      <c r="AH45" s="19">
        <f>'D2C - Retail'!AO56</f>
        <v>17329059.819762744</v>
      </c>
      <c r="AI45" s="19">
        <f>'D2C - Retail'!AP56</f>
        <v>14332286.679461636</v>
      </c>
      <c r="AJ45" s="19">
        <f>'D2C - Retail'!AQ56</f>
        <v>19034022.401574094</v>
      </c>
      <c r="AK45" s="19">
        <f>'D2C - Retail'!AR56</f>
        <v>17591349.382435046</v>
      </c>
      <c r="AL45" s="19">
        <f>'D2C - Retail'!AS56</f>
        <v>15843544.623512549</v>
      </c>
      <c r="AM45" s="19">
        <f>'D2C - Retail'!AT56</f>
        <v>15566640.48926053</v>
      </c>
      <c r="AN45" s="19">
        <f>'D2C - Retail'!AU56</f>
        <v>16476820.221844532</v>
      </c>
      <c r="AO45" s="19">
        <f>'D2C - Retail'!AV56</f>
        <v>19704056.253788359</v>
      </c>
      <c r="AP45" s="19">
        <f>'D2C - Retail'!AW56</f>
        <v>19610842.112265389</v>
      </c>
      <c r="AQ45" s="19">
        <f>'D2C - Retail'!AX56</f>
        <v>19547029.130729429</v>
      </c>
      <c r="AR45" s="19">
        <f>'D2C - Retail'!AY56</f>
        <v>20760167.840995714</v>
      </c>
      <c r="AS45" s="19">
        <f>'D2C - Retail'!AZ56</f>
        <v>20025753.756929744</v>
      </c>
      <c r="AT45" s="19">
        <f>'D2C - Retail'!BA56</f>
        <v>17469884.420706972</v>
      </c>
      <c r="AU45" s="19">
        <f>'D2C - Retail'!BB56</f>
        <v>14836749.05975257</v>
      </c>
      <c r="AV45" s="19">
        <f>'D2C - Retail'!BC56</f>
        <v>19780247.29107172</v>
      </c>
      <c r="AW45" s="19">
        <f>'D2C - Retail'!BD56</f>
        <v>18974341.863184527</v>
      </c>
      <c r="AX45" s="19">
        <f>'D2C - Retail'!BE56</f>
        <v>22129213.146051686</v>
      </c>
      <c r="AY45" s="19">
        <f>'D2C - Retail'!BF56</f>
        <v>22312465.377308547</v>
      </c>
      <c r="AZ45" s="19">
        <f>'D2C - Retail'!BG56</f>
        <v>20958109.545093831</v>
      </c>
      <c r="BA45" s="19">
        <f>'D2C - Retail'!BH56</f>
        <v>27954232.751413494</v>
      </c>
      <c r="BB45" s="19">
        <f>'D2C - Retail'!BI56</f>
        <v>28502145.987916529</v>
      </c>
      <c r="BC45" s="19">
        <f>'D2C - Retail'!BJ56</f>
        <v>27890314.2234613</v>
      </c>
      <c r="BD45" s="19">
        <f>'D2C - Retail'!BK56</f>
        <v>26944577.815681636</v>
      </c>
      <c r="BE45" s="19">
        <f>'D2C - Retail'!BL56</f>
        <v>29254341.303050846</v>
      </c>
      <c r="BF45" s="19">
        <f>'D2C - Retail'!BM56</f>
        <v>26952099.135932207</v>
      </c>
      <c r="BG45" s="19">
        <f>'D2C - Retail'!BN56</f>
        <v>24642036.90593221</v>
      </c>
      <c r="BH45" s="19">
        <f>'D2C - Retail'!BO56</f>
        <v>32554875.189152531</v>
      </c>
      <c r="BI45" s="19">
        <f>'D2C - Retail'!BP56</f>
        <v>29671928.965762734</v>
      </c>
      <c r="BJ45" s="19">
        <f>'D2C - Retail'!BQ56</f>
        <v>36715665.247796625</v>
      </c>
      <c r="BK45" s="19">
        <f>'D2C - Retail'!BR56</f>
        <v>38595488.74067796</v>
      </c>
      <c r="BL45" s="19">
        <f>'D2C - Retail'!BS56</f>
        <v>36695782.659152538</v>
      </c>
      <c r="BM45" s="19">
        <f>'D2C - Retail'!BT56</f>
        <v>44315859.640338995</v>
      </c>
      <c r="BN45" s="19">
        <f>'D2C - Retail'!BU56</f>
        <v>39022613.680257671</v>
      </c>
      <c r="BO45" s="19">
        <f>'D2C - Retail'!BV56</f>
        <v>38214929.36563465</v>
      </c>
      <c r="BP45" s="19">
        <f>'D2C - Retail'!BW56</f>
        <v>38135271.152341507</v>
      </c>
      <c r="BQ45" s="19">
        <f>'D2C - Retail'!BX56</f>
        <v>41295370.055133231</v>
      </c>
      <c r="BR45" s="19">
        <f>'D2C - Retail'!BY56</f>
        <v>36895321.598503649</v>
      </c>
      <c r="BS45" s="19">
        <f>'D2C - Retail'!BZ56</f>
        <v>34260687.066302046</v>
      </c>
      <c r="BT45" s="19">
        <f>'D2C - Retail'!CA56</f>
        <v>42749041.30337631</v>
      </c>
      <c r="BU45" s="19">
        <f>'D2C - Retail'!CB56</f>
        <v>39368977.616858244</v>
      </c>
      <c r="BV45" s="19">
        <f>'D2C - Retail'!CC56</f>
        <v>46834226.701702066</v>
      </c>
      <c r="BW45" s="19">
        <f>'D2C - Retail'!CD56</f>
        <v>47984613.791194215</v>
      </c>
      <c r="BX45" s="19">
        <f>'D2C - Retail'!CE56</f>
        <v>44620779.477661923</v>
      </c>
      <c r="BY45" s="19">
        <f>'D2C - Retail'!CF56</f>
        <v>51905668.818226576</v>
      </c>
      <c r="BZ45" s="19">
        <f>'D2C - Retail'!CG56</f>
        <v>47719780.83381559</v>
      </c>
      <c r="CA45" s="19">
        <f>'D2C - Retail'!CH56</f>
        <v>46849113.460268028</v>
      </c>
      <c r="CB45" s="19">
        <f>'D2C - Retail'!CI56</f>
        <v>46508301.142391242</v>
      </c>
      <c r="CC45" s="19">
        <f>'D2C - Retail'!CJ56</f>
        <v>50336400.97898294</v>
      </c>
      <c r="CD45" s="19">
        <f>'D2C - Retail'!CK56</f>
        <v>44874912.889376201</v>
      </c>
      <c r="CE45" s="19">
        <f>'D2C - Retail'!CL56</f>
        <v>41568620.608018167</v>
      </c>
      <c r="CF45" s="19">
        <f>'D2C - Retail'!CM56</f>
        <v>51713131.672901273</v>
      </c>
      <c r="CG45" s="19">
        <f>'D2C - Retail'!CN56</f>
        <v>47371014.524675123</v>
      </c>
      <c r="CH45" s="19">
        <f>'D2C - Retail'!CO56</f>
        <v>56169072.147645272</v>
      </c>
      <c r="CI45" s="19">
        <f>'D2C - Retail'!CP56</f>
        <v>57311237.892663509</v>
      </c>
      <c r="CJ45" s="19">
        <f>'D2C - Retail'!CQ56</f>
        <v>53027407.251301706</v>
      </c>
      <c r="CK45" s="19">
        <f>'D2C - Retail'!CR56</f>
        <v>61018643.561540678</v>
      </c>
      <c r="CL45" s="19">
        <f>'D2C - Retail'!CS56</f>
        <v>54372898.345570818</v>
      </c>
      <c r="CM45" s="19">
        <f>'D2C - Retail'!CT56</f>
        <v>53327479.659295991</v>
      </c>
      <c r="CN45" s="19">
        <f>'D2C - Retail'!CU56</f>
        <v>52905674.582225539</v>
      </c>
      <c r="CO45" s="19">
        <f>'D2C - Retail'!CV56</f>
        <v>57241398.076411784</v>
      </c>
      <c r="CP45" s="19">
        <f>'D2C - Retail'!CW56</f>
        <v>50964332.009222664</v>
      </c>
      <c r="CQ45" s="19">
        <f>'D2C - Retail'!CX56</f>
        <v>47139925.81337256</v>
      </c>
      <c r="CR45" s="19">
        <f>'D2C - Retail'!CY56</f>
        <v>58675073.637486242</v>
      </c>
      <c r="CS45" s="19">
        <f>'D2C - Retail'!CZ56</f>
        <v>53701457.059126586</v>
      </c>
      <c r="CT45" s="19">
        <f>'D2C - Retail'!DA56</f>
        <v>63694170.128420666</v>
      </c>
      <c r="CU45" s="19">
        <f>'D2C - Retail'!DB56</f>
        <v>64975396.550628342</v>
      </c>
      <c r="CV45" s="19">
        <f>'D2C - Retail'!DC56</f>
        <v>60070787.024370998</v>
      </c>
      <c r="CW45" s="19">
        <f>'D2C - Retail'!DD56</f>
        <v>69134878.449205995</v>
      </c>
      <c r="CY45" s="19">
        <f t="shared" si="39"/>
        <v>50287777.430918649</v>
      </c>
      <c r="CZ45" s="19">
        <f t="shared" si="40"/>
        <v>47950165.989298888</v>
      </c>
      <c r="DA45" s="19">
        <f t="shared" si="41"/>
        <v>52468916.407521695</v>
      </c>
      <c r="DB45" s="19">
        <f t="shared" si="42"/>
        <v>51747516.964893423</v>
      </c>
      <c r="DC45" s="19">
        <f t="shared" si="43"/>
        <v>59918039.083990529</v>
      </c>
      <c r="DD45" s="19">
        <f t="shared" si="44"/>
        <v>52332387.237389281</v>
      </c>
      <c r="DE45" s="19">
        <f t="shared" si="45"/>
        <v>60883802.30030793</v>
      </c>
      <c r="DF45" s="19">
        <f t="shared" si="46"/>
        <v>71224807.673815876</v>
      </c>
      <c r="DG45" s="19">
        <f t="shared" si="47"/>
        <v>83337038.027059466</v>
      </c>
      <c r="DH45" s="19">
        <f t="shared" si="48"/>
        <v>80848477.344915271</v>
      </c>
      <c r="DI45" s="19">
        <f t="shared" si="49"/>
        <v>98942469.402711898</v>
      </c>
      <c r="DJ45" s="19">
        <f t="shared" si="50"/>
        <v>119607131.04016948</v>
      </c>
      <c r="DK45" s="19">
        <f t="shared" si="51"/>
        <v>115372814.19823384</v>
      </c>
      <c r="DL45" s="19">
        <f t="shared" si="52"/>
        <v>112451378.71993892</v>
      </c>
      <c r="DM45" s="19">
        <f t="shared" si="53"/>
        <v>128952245.62193662</v>
      </c>
      <c r="DN45" s="19">
        <f t="shared" si="54"/>
        <v>144511062.08708271</v>
      </c>
      <c r="DO45" s="19">
        <f t="shared" si="55"/>
        <v>141077195.43647486</v>
      </c>
      <c r="DP45" s="19">
        <f t="shared" si="56"/>
        <v>136779934.47637731</v>
      </c>
      <c r="DQ45" s="19">
        <f t="shared" si="57"/>
        <v>155253218.34522167</v>
      </c>
      <c r="DR45" s="19">
        <f t="shared" si="58"/>
        <v>171357288.70550591</v>
      </c>
      <c r="DS45" s="19">
        <f t="shared" si="23"/>
        <v>160606052.58709234</v>
      </c>
      <c r="DT45" s="19">
        <f t="shared" si="24"/>
        <v>155345655.89900699</v>
      </c>
      <c r="DU45" s="19">
        <f t="shared" si="25"/>
        <v>176070700.82503349</v>
      </c>
      <c r="DV45" s="19">
        <f t="shared" si="26"/>
        <v>194181062.02420533</v>
      </c>
      <c r="DX45" s="19">
        <f t="shared" si="27"/>
        <v>202454376.79263267</v>
      </c>
      <c r="DY45" s="19">
        <f t="shared" si="28"/>
        <v>244359036.29550362</v>
      </c>
      <c r="DZ45" s="19">
        <f t="shared" si="29"/>
        <v>382735115.81485611</v>
      </c>
      <c r="EA45" s="19">
        <f t="shared" si="30"/>
        <v>501287500.62719214</v>
      </c>
      <c r="EB45" s="19">
        <f t="shared" si="31"/>
        <v>604467636.96357965</v>
      </c>
      <c r="EC45" s="770">
        <f t="shared" si="32"/>
        <v>686203471.33533812</v>
      </c>
    </row>
    <row r="46" spans="2:133" x14ac:dyDescent="0.2">
      <c r="B46" s="155" t="s">
        <v>237</v>
      </c>
      <c r="C46" s="19">
        <f>'D2C Online'!AA50</f>
        <v>197312.00338983053</v>
      </c>
      <c r="D46" s="19">
        <f>'D2C Online'!AB50</f>
        <v>179231.02682033903</v>
      </c>
      <c r="E46" s="19">
        <f>'D2C Online'!AC50</f>
        <v>300256.66639830527</v>
      </c>
      <c r="F46" s="19">
        <f>'D2C Online'!AD50</f>
        <v>210998.71792372887</v>
      </c>
      <c r="G46" s="19">
        <f>'D2C Online'!AE50</f>
        <v>221348.1279661016</v>
      </c>
      <c r="H46" s="19">
        <f>'D2C Online'!AF50</f>
        <v>315803.53601694893</v>
      </c>
      <c r="I46" s="19">
        <f>'D2C Online'!AG50</f>
        <v>410223.5649152543</v>
      </c>
      <c r="J46" s="19">
        <f>'D2C Online'!AH50</f>
        <v>359825.57847457641</v>
      </c>
      <c r="K46" s="19">
        <f>'D2C Online'!AI50</f>
        <v>426317.36407459324</v>
      </c>
      <c r="L46" s="19">
        <f>'D2C Online'!AJ50</f>
        <v>187453.16115254228</v>
      </c>
      <c r="M46" s="19">
        <f>'D2C Online'!AK50</f>
        <v>787543.86770160974</v>
      </c>
      <c r="N46" s="19">
        <f>'D2C Online'!AL50</f>
        <v>851297.74468474626</v>
      </c>
      <c r="O46" s="19">
        <f>'D2C Online'!AM50</f>
        <v>1283254.8697067786</v>
      </c>
      <c r="P46" s="19">
        <f>'D2C Online'!AN50</f>
        <v>1390343.6722881356</v>
      </c>
      <c r="Q46" s="19">
        <f>'D2C Online'!AO50</f>
        <v>975384.37423525564</v>
      </c>
      <c r="R46" s="19">
        <f>'D2C Online'!AP50</f>
        <v>1029204.5031457635</v>
      </c>
      <c r="S46" s="19">
        <f>'D2C Online'!AQ50</f>
        <v>1197687</v>
      </c>
      <c r="T46" s="19">
        <f>'D2C Online'!AR50</f>
        <v>1904694.4125762724</v>
      </c>
      <c r="U46" s="19">
        <f>'D2C Online'!AS50</f>
        <v>1651902.5140474436</v>
      </c>
      <c r="V46" s="19">
        <f>'D2C Online'!AT50</f>
        <v>1304900.9926474597</v>
      </c>
      <c r="W46" s="19">
        <f>'D2C Online'!AU50</f>
        <v>1257571.2127118653</v>
      </c>
      <c r="X46" s="19">
        <f>'D2C Online'!AV50</f>
        <v>2224229.1714915186</v>
      </c>
      <c r="Y46" s="19">
        <f>'D2C Online'!AW50</f>
        <v>1804774.3794915208</v>
      </c>
      <c r="Z46" s="19">
        <f>'D2C Online'!AX50</f>
        <v>1585262.3625762747</v>
      </c>
      <c r="AA46" s="19">
        <f>'D2C Online'!AY50</f>
        <v>2068631.0629627162</v>
      </c>
      <c r="AB46" s="19">
        <f>'D2C Online'!AZ50</f>
        <v>3249375.2295559105</v>
      </c>
      <c r="AC46" s="19">
        <f>'D2C Online'!BA50</f>
        <v>4933753.038305087</v>
      </c>
      <c r="AD46" s="19">
        <f>'D2C Online'!BB50</f>
        <v>6214976.0739152571</v>
      </c>
      <c r="AE46" s="19">
        <f>'D2C Online'!BC50</f>
        <v>6607551.3346033208</v>
      </c>
      <c r="AF46" s="19">
        <f>'D2C Online'!BD50</f>
        <v>8227419.8247634405</v>
      </c>
      <c r="AG46" s="19">
        <f>'D2C Online'!BE50</f>
        <v>5580815.1694878386</v>
      </c>
      <c r="AH46" s="19">
        <f>'D2C Online'!BF50</f>
        <v>7172450.5368256224</v>
      </c>
      <c r="AI46" s="19">
        <f>'D2C Online'!BG50</f>
        <v>6527556.6579259653</v>
      </c>
      <c r="AJ46" s="19">
        <f>'D2C Online'!BH50</f>
        <v>10595798.164963771</v>
      </c>
      <c r="AK46" s="19">
        <f>'D2C Online'!BI50</f>
        <v>9395502.2333211899</v>
      </c>
      <c r="AL46" s="19">
        <f>'D2C Online'!BJ50</f>
        <v>9005456.6848356742</v>
      </c>
      <c r="AM46" s="19">
        <f>'D2C Online'!BK50</f>
        <v>10023072.933221292</v>
      </c>
      <c r="AN46" s="19">
        <f>'D2C Online'!BL50</f>
        <v>8822484.8565103933</v>
      </c>
      <c r="AO46" s="19">
        <f>'D2C Online'!BM50</f>
        <v>12397647.47121332</v>
      </c>
      <c r="AP46" s="19">
        <f>'D2C Online'!BN50</f>
        <v>10476443.635275342</v>
      </c>
      <c r="AQ46" s="19">
        <f>'D2C Online'!BO50</f>
        <v>10872420.455322813</v>
      </c>
      <c r="AR46" s="19">
        <f>'D2C Online'!BP50</f>
        <v>11729305.877416171</v>
      </c>
      <c r="AS46" s="19">
        <f>'D2C Online'!BQ50</f>
        <v>12067966.926290344</v>
      </c>
      <c r="AT46" s="19">
        <f>'D2C Online'!BR50</f>
        <v>12155838.629640646</v>
      </c>
      <c r="AU46" s="19">
        <f>'D2C Online'!BS50</f>
        <v>12222698.71987989</v>
      </c>
      <c r="AV46" s="19">
        <f>'D2C Online'!BT50</f>
        <v>14380827.164690362</v>
      </c>
      <c r="AW46" s="19">
        <f>'D2C Online'!BU50</f>
        <v>11664817.411626155</v>
      </c>
      <c r="AX46" s="19">
        <f>'D2C Online'!BV50</f>
        <v>13601462.690532621</v>
      </c>
      <c r="AY46" s="19">
        <f>'D2C Online'!BW50</f>
        <v>15549033.111793833</v>
      </c>
      <c r="AZ46" s="19">
        <f>'D2C Online'!BX50</f>
        <v>14910790.514405008</v>
      </c>
      <c r="BA46" s="19">
        <f>'D2C Online'!BY50</f>
        <v>21065291.637704343</v>
      </c>
      <c r="BB46" s="19">
        <f>'D2C Online'!BZ50</f>
        <v>18984566.854446828</v>
      </c>
      <c r="BC46" s="19">
        <f>'D2C Online'!CA50</f>
        <v>20218927.597169138</v>
      </c>
      <c r="BD46" s="19">
        <f>'D2C Online'!CB50</f>
        <v>19107011.746712036</v>
      </c>
      <c r="BE46" s="19">
        <f>'D2C Online'!CC50</f>
        <v>20396822.040000036</v>
      </c>
      <c r="BF46" s="19">
        <f>'D2C Online'!CD50</f>
        <v>18556943.960000001</v>
      </c>
      <c r="BG46" s="19">
        <f>'D2C Online'!CE50</f>
        <v>19046366.440000057</v>
      </c>
      <c r="BH46" s="19">
        <f>'D2C Online'!CF50</f>
        <v>19696949.650000017</v>
      </c>
      <c r="BI46" s="19">
        <f>'D2C Online'!CG50</f>
        <v>18803466.70000004</v>
      </c>
      <c r="BJ46" s="19">
        <f>'D2C Online'!CH50</f>
        <v>21632722.57000012</v>
      </c>
      <c r="BK46" s="19">
        <f>'D2C Online'!CI50</f>
        <v>23962521.420000069</v>
      </c>
      <c r="BL46" s="19">
        <f>'D2C Online'!CJ50</f>
        <v>19122657.230000034</v>
      </c>
      <c r="BM46" s="19">
        <f>'D2C Online'!CK50</f>
        <v>21896498.280000038</v>
      </c>
      <c r="BN46" s="19">
        <f>'D2C Online'!CL50</f>
        <v>22382213.628398106</v>
      </c>
      <c r="BO46" s="19">
        <f>'D2C Online'!CM50</f>
        <v>22610012.129042439</v>
      </c>
      <c r="BP46" s="19">
        <f>'D2C Online'!CN50</f>
        <v>22593837.087576572</v>
      </c>
      <c r="BQ46" s="19">
        <f>'D2C Online'!CO50</f>
        <v>22934860.878482006</v>
      </c>
      <c r="BR46" s="19">
        <f>'D2C Online'!CP50</f>
        <v>21611203.318524946</v>
      </c>
      <c r="BS46" s="19">
        <f>'D2C Online'!CQ50</f>
        <v>23641171.022491675</v>
      </c>
      <c r="BT46" s="19">
        <f>'D2C Online'!CR50</f>
        <v>22987429.763246082</v>
      </c>
      <c r="BU46" s="19">
        <f>'D2C Online'!CS50</f>
        <v>23041346.568132319</v>
      </c>
      <c r="BV46" s="19">
        <f>'D2C Online'!CT50</f>
        <v>28283407.923196465</v>
      </c>
      <c r="BW46" s="19">
        <f>'D2C Online'!CU50</f>
        <v>30475126.041821897</v>
      </c>
      <c r="BX46" s="19">
        <f>'D2C Online'!CV50</f>
        <v>26126735.727747086</v>
      </c>
      <c r="BY46" s="19">
        <f>'D2C Online'!CW50</f>
        <v>28232186.95855454</v>
      </c>
      <c r="BZ46" s="19">
        <f>'D2C Online'!CX50</f>
        <v>26511732.042837553</v>
      </c>
      <c r="CA46" s="19">
        <f>'D2C Online'!CY50</f>
        <v>26781559.366850775</v>
      </c>
      <c r="CB46" s="19">
        <f>'D2C Online'!CZ50</f>
        <v>26762400.030234452</v>
      </c>
      <c r="CC46" s="19">
        <f>'D2C Online'!DA50</f>
        <v>27166342.710561939</v>
      </c>
      <c r="CD46" s="19">
        <f>'D2C Online'!DB50</f>
        <v>25598470.3307928</v>
      </c>
      <c r="CE46" s="19">
        <f>'D2C Online'!DC50</f>
        <v>28002967.076141391</v>
      </c>
      <c r="CF46" s="19">
        <f>'D2C Online'!DD50</f>
        <v>27228610.554564986</v>
      </c>
      <c r="CG46" s="19">
        <f>'D2C Online'!DE50</f>
        <v>27292475.009952731</v>
      </c>
      <c r="CH46" s="19">
        <f>'D2C Online'!DF50</f>
        <v>33501696.685026214</v>
      </c>
      <c r="CI46" s="19">
        <f>'D2C Online'!DG50</f>
        <v>36097786.79653804</v>
      </c>
      <c r="CJ46" s="19">
        <f>'D2C Online'!DH50</f>
        <v>30947118.469516423</v>
      </c>
      <c r="CK46" s="19">
        <f>'D2C Online'!DI50</f>
        <v>33441025.452407856</v>
      </c>
      <c r="CL46" s="19">
        <f>'D2C Online'!DJ50</f>
        <v>31403146.604741074</v>
      </c>
      <c r="CM46" s="19">
        <f>'D2C Online'!DK50</f>
        <v>31722757.070034739</v>
      </c>
      <c r="CN46" s="19">
        <f>'D2C Online'!DL50</f>
        <v>31700062.835812703</v>
      </c>
      <c r="CO46" s="19">
        <f>'D2C Online'!DM50</f>
        <v>32178532.940660611</v>
      </c>
      <c r="CP46" s="19">
        <f>'D2C Online'!DN50</f>
        <v>30321388.10682407</v>
      </c>
      <c r="CQ46" s="19">
        <f>'D2C Online'!DO50</f>
        <v>33169514.501689471</v>
      </c>
      <c r="CR46" s="19">
        <f>'D2C Online'!DP50</f>
        <v>32252289.201882217</v>
      </c>
      <c r="CS46" s="19">
        <f>'D2C Online'!DQ50</f>
        <v>32327936.649289001</v>
      </c>
      <c r="CT46" s="19">
        <f>'D2C Online'!DR50</f>
        <v>39682759.723413549</v>
      </c>
      <c r="CU46" s="19">
        <f>'D2C Online'!DS50</f>
        <v>42757828.460499309</v>
      </c>
      <c r="CV46" s="19">
        <f>'D2C Online'!DT50</f>
        <v>36656861.827142201</v>
      </c>
      <c r="CW46" s="19">
        <f>'D2C Online'!DU50</f>
        <v>39610894.648377098</v>
      </c>
      <c r="CY46" s="19">
        <f t="shared" si="39"/>
        <v>21049947.233282018</v>
      </c>
      <c r="CZ46" s="19">
        <f t="shared" si="40"/>
        <v>19280822.364239424</v>
      </c>
      <c r="DA46" s="19">
        <f t="shared" si="41"/>
        <v>28996757.083120637</v>
      </c>
      <c r="DB46" s="19">
        <f t="shared" si="42"/>
        <v>31243205.260945007</v>
      </c>
      <c r="DC46" s="19">
        <f t="shared" si="43"/>
        <v>33078169.968014326</v>
      </c>
      <c r="DD46" s="19">
        <f t="shared" si="44"/>
        <v>36446504.275810882</v>
      </c>
      <c r="DE46" s="19">
        <f t="shared" si="45"/>
        <v>39647107.266849138</v>
      </c>
      <c r="DF46" s="19">
        <f t="shared" si="46"/>
        <v>51525115.263903186</v>
      </c>
      <c r="DG46" s="19">
        <f t="shared" si="47"/>
        <v>58310506.198328003</v>
      </c>
      <c r="DH46" s="19">
        <f t="shared" si="48"/>
        <v>58000132.440000094</v>
      </c>
      <c r="DI46" s="19">
        <f t="shared" si="49"/>
        <v>60133138.920000173</v>
      </c>
      <c r="DJ46" s="19">
        <f t="shared" si="50"/>
        <v>64981676.930000141</v>
      </c>
      <c r="DK46" s="19">
        <f t="shared" si="51"/>
        <v>67586062.84501712</v>
      </c>
      <c r="DL46" s="19">
        <f t="shared" si="52"/>
        <v>68187235.219498634</v>
      </c>
      <c r="DM46" s="19">
        <f t="shared" si="53"/>
        <v>74312184.254574865</v>
      </c>
      <c r="DN46" s="19">
        <f t="shared" si="54"/>
        <v>84834048.728123516</v>
      </c>
      <c r="DO46" s="19">
        <f t="shared" si="55"/>
        <v>80055691.43992278</v>
      </c>
      <c r="DP46" s="19">
        <f t="shared" si="56"/>
        <v>80767780.117496133</v>
      </c>
      <c r="DQ46" s="19">
        <f t="shared" si="57"/>
        <v>88022782.249543935</v>
      </c>
      <c r="DR46" s="19">
        <f t="shared" si="58"/>
        <v>100485930.71846232</v>
      </c>
      <c r="DS46" s="19">
        <f t="shared" si="23"/>
        <v>94825966.510588512</v>
      </c>
      <c r="DT46" s="19">
        <f t="shared" si="24"/>
        <v>95669435.54917416</v>
      </c>
      <c r="DU46" s="19">
        <f t="shared" si="25"/>
        <v>104262985.57458477</v>
      </c>
      <c r="DV46" s="19">
        <f t="shared" si="26"/>
        <v>119025584.93601862</v>
      </c>
      <c r="DX46" s="19">
        <f t="shared" si="27"/>
        <v>100570731.94158708</v>
      </c>
      <c r="DY46" s="19">
        <f t="shared" si="28"/>
        <v>160696896.77457756</v>
      </c>
      <c r="DZ46" s="19">
        <f t="shared" si="29"/>
        <v>241425454.4883284</v>
      </c>
      <c r="EA46" s="19">
        <f t="shared" si="30"/>
        <v>294919531.04721415</v>
      </c>
      <c r="EB46" s="19">
        <f t="shared" si="31"/>
        <v>349332184.5254252</v>
      </c>
      <c r="EC46" s="770">
        <f t="shared" si="32"/>
        <v>413783972.57036602</v>
      </c>
    </row>
    <row r="47" spans="2:133" x14ac:dyDescent="0.2">
      <c r="B47" s="155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X47" s="19"/>
      <c r="DY47" s="19"/>
      <c r="DZ47" s="19"/>
      <c r="EA47" s="19"/>
      <c r="EB47" s="19"/>
      <c r="EC47" s="770">
        <f t="shared" si="32"/>
        <v>0</v>
      </c>
    </row>
    <row r="48" spans="2:133" x14ac:dyDescent="0.2">
      <c r="B48" s="22" t="s">
        <v>12</v>
      </c>
      <c r="C48" s="20">
        <f>C40/C28</f>
        <v>4.6773886869327007E-2</v>
      </c>
      <c r="D48" s="20">
        <f t="shared" ref="D48:BO48" si="164">D40/D28</f>
        <v>4.9307719761854357E-2</v>
      </c>
      <c r="E48" s="20">
        <f t="shared" si="164"/>
        <v>5.4597263727707741E-2</v>
      </c>
      <c r="F48" s="20">
        <f t="shared" si="164"/>
        <v>5.7027114857869106E-2</v>
      </c>
      <c r="G48" s="20">
        <f t="shared" si="164"/>
        <v>5.9623634186985679E-2</v>
      </c>
      <c r="H48" s="20">
        <f t="shared" si="164"/>
        <v>7.2854468051513924E-2</v>
      </c>
      <c r="I48" s="20">
        <f t="shared" si="164"/>
        <v>7.7148606557354282E-2</v>
      </c>
      <c r="J48" s="20">
        <f t="shared" si="164"/>
        <v>6.5010511895470482E-2</v>
      </c>
      <c r="K48" s="20">
        <f t="shared" si="164"/>
        <v>6.6090092034939568E-2</v>
      </c>
      <c r="L48" s="20">
        <f t="shared" si="164"/>
        <v>6.3303095089653219E-2</v>
      </c>
      <c r="M48" s="20">
        <f t="shared" si="164"/>
        <v>6.2415541044620174E-2</v>
      </c>
      <c r="N48" s="20">
        <f t="shared" si="164"/>
        <v>6.2262701246066053E-2</v>
      </c>
      <c r="O48" s="20">
        <f t="shared" si="164"/>
        <v>6.0042264994274751E-2</v>
      </c>
      <c r="P48" s="20">
        <f t="shared" si="164"/>
        <v>6.0697324241698776E-2</v>
      </c>
      <c r="Q48" s="20">
        <f t="shared" si="164"/>
        <v>5.9399801327810406E-2</v>
      </c>
      <c r="R48" s="20">
        <f t="shared" si="164"/>
        <v>5.9298312998182022E-2</v>
      </c>
      <c r="S48" s="20">
        <f t="shared" si="164"/>
        <v>5.6268208000357749E-2</v>
      </c>
      <c r="T48" s="20">
        <f t="shared" si="164"/>
        <v>5.455329252070408E-2</v>
      </c>
      <c r="U48" s="20">
        <f t="shared" si="164"/>
        <v>5.6160823420226741E-2</v>
      </c>
      <c r="V48" s="20">
        <f t="shared" si="164"/>
        <v>5.4871015237134807E-2</v>
      </c>
      <c r="W48" s="20">
        <f t="shared" si="164"/>
        <v>5.2091114964773519E-2</v>
      </c>
      <c r="X48" s="20">
        <f t="shared" si="164"/>
        <v>4.9526910617622176E-2</v>
      </c>
      <c r="Y48" s="20">
        <f t="shared" si="164"/>
        <v>4.9806367407284086E-2</v>
      </c>
      <c r="Z48" s="20">
        <f t="shared" si="164"/>
        <v>4.8349512950549269E-2</v>
      </c>
      <c r="AA48" s="20">
        <f t="shared" si="164"/>
        <v>4.7816625234902557E-2</v>
      </c>
      <c r="AB48" s="20">
        <f t="shared" si="164"/>
        <v>4.8997664784676008E-2</v>
      </c>
      <c r="AC48" s="20">
        <f t="shared" si="164"/>
        <v>4.4513283022697435E-2</v>
      </c>
      <c r="AD48" s="20">
        <f t="shared" si="164"/>
        <v>4.3073775762852373E-2</v>
      </c>
      <c r="AE48" s="20">
        <f t="shared" si="164"/>
        <v>4.5965467603533344E-2</v>
      </c>
      <c r="AF48" s="20">
        <f t="shared" si="164"/>
        <v>4.878291750077552E-2</v>
      </c>
      <c r="AG48" s="20">
        <f t="shared" si="164"/>
        <v>4.9466846226791178E-2</v>
      </c>
      <c r="AH48" s="20">
        <f t="shared" si="164"/>
        <v>5.2396454121307987E-2</v>
      </c>
      <c r="AI48" s="20">
        <f t="shared" si="164"/>
        <v>4.4750312294719416E-2</v>
      </c>
      <c r="AJ48" s="20">
        <f t="shared" si="164"/>
        <v>4.3113979833170314E-2</v>
      </c>
      <c r="AK48" s="20">
        <f t="shared" si="164"/>
        <v>4.6978578715438757E-2</v>
      </c>
      <c r="AL48" s="20">
        <f t="shared" si="164"/>
        <v>4.8244762386206924E-2</v>
      </c>
      <c r="AM48" s="20">
        <f t="shared" si="164"/>
        <v>5.2236929694384426E-2</v>
      </c>
      <c r="AN48" s="20">
        <f t="shared" si="164"/>
        <v>6.1197386025282054E-2</v>
      </c>
      <c r="AO48" s="20">
        <f t="shared" si="164"/>
        <v>6.0547359225872441E-2</v>
      </c>
      <c r="AP48" s="20">
        <f t="shared" si="164"/>
        <v>5.5874888086078267E-2</v>
      </c>
      <c r="AQ48" s="20">
        <f t="shared" si="164"/>
        <v>5.4635299988563028E-2</v>
      </c>
      <c r="AR48" s="20">
        <f t="shared" si="164"/>
        <v>5.5147923314555571E-2</v>
      </c>
      <c r="AS48" s="20">
        <f t="shared" si="164"/>
        <v>5.5188472505472611E-2</v>
      </c>
      <c r="AT48" s="20">
        <f t="shared" si="164"/>
        <v>5.7172699054525745E-2</v>
      </c>
      <c r="AU48" s="20">
        <f t="shared" si="164"/>
        <v>5.5464098171577651E-2</v>
      </c>
      <c r="AV48" s="20">
        <f t="shared" si="164"/>
        <v>5.6406424790649473E-2</v>
      </c>
      <c r="AW48" s="20">
        <f t="shared" si="164"/>
        <v>5.4322153287982192E-2</v>
      </c>
      <c r="AX48" s="20">
        <f t="shared" si="164"/>
        <v>5.3251804523946428E-2</v>
      </c>
      <c r="AY48" s="20">
        <f t="shared" si="164"/>
        <v>5.2937207032014634E-2</v>
      </c>
      <c r="AZ48" s="20">
        <f t="shared" si="164"/>
        <v>5.2725939867993336E-2</v>
      </c>
      <c r="BA48" s="20">
        <f t="shared" si="164"/>
        <v>5.587171910839582E-2</v>
      </c>
      <c r="BB48" s="20">
        <f t="shared" si="164"/>
        <v>5.8720137867244532E-2</v>
      </c>
      <c r="BC48" s="20">
        <f t="shared" si="164"/>
        <v>6.0683728203408463E-2</v>
      </c>
      <c r="BD48" s="20">
        <f t="shared" si="164"/>
        <v>5.7704495724077327E-2</v>
      </c>
      <c r="BE48" s="20">
        <f t="shared" si="164"/>
        <v>5.7736170144970796E-2</v>
      </c>
      <c r="BF48" s="20">
        <f t="shared" si="164"/>
        <v>6.1241168646783625E-2</v>
      </c>
      <c r="BG48" s="20">
        <f t="shared" si="164"/>
        <v>5.4769627487041131E-2</v>
      </c>
      <c r="BH48" s="20">
        <f t="shared" si="164"/>
        <v>5.6333777401074862E-2</v>
      </c>
      <c r="BI48" s="20">
        <f t="shared" si="164"/>
        <v>5.6231410421236187E-2</v>
      </c>
      <c r="BJ48" s="20">
        <f t="shared" si="164"/>
        <v>5.4998707866574154E-2</v>
      </c>
      <c r="BK48" s="20">
        <f t="shared" si="164"/>
        <v>5.4683124697142024E-2</v>
      </c>
      <c r="BL48" s="20">
        <f t="shared" si="164"/>
        <v>5.3924429200889613E-2</v>
      </c>
      <c r="BM48" s="20">
        <f t="shared" si="164"/>
        <v>5.355690907004091E-2</v>
      </c>
      <c r="BN48" s="20">
        <f t="shared" si="164"/>
        <v>5.6848029403016906E-2</v>
      </c>
      <c r="BO48" s="20">
        <f t="shared" si="164"/>
        <v>5.6834956772988297E-2</v>
      </c>
      <c r="BP48" s="20">
        <f t="shared" ref="BP48:EA48" si="165">BP40/BP28</f>
        <v>5.6834244920395884E-2</v>
      </c>
      <c r="BQ48" s="20">
        <f t="shared" si="165"/>
        <v>5.6861461793664414E-2</v>
      </c>
      <c r="BR48" s="20">
        <f t="shared" si="165"/>
        <v>5.6838401250411986E-2</v>
      </c>
      <c r="BS48" s="20">
        <f t="shared" si="165"/>
        <v>5.6768696192467646E-2</v>
      </c>
      <c r="BT48" s="20">
        <f t="shared" si="165"/>
        <v>5.687453531818034E-2</v>
      </c>
      <c r="BU48" s="20">
        <f t="shared" si="165"/>
        <v>5.6839044588027951E-2</v>
      </c>
      <c r="BV48" s="20">
        <f t="shared" si="165"/>
        <v>5.6827640459570297E-2</v>
      </c>
      <c r="BW48" s="20">
        <f t="shared" si="165"/>
        <v>5.6806715249298374E-2</v>
      </c>
      <c r="BX48" s="20">
        <f t="shared" si="165"/>
        <v>5.6839830680691678E-2</v>
      </c>
      <c r="BY48" s="20">
        <f t="shared" si="165"/>
        <v>5.6871187061354828E-2</v>
      </c>
      <c r="BZ48" s="20">
        <f t="shared" si="165"/>
        <v>5.6861770960553289E-2</v>
      </c>
      <c r="CA48" s="20">
        <f t="shared" si="165"/>
        <v>5.6849836145190416E-2</v>
      </c>
      <c r="CB48" s="20">
        <f t="shared" si="165"/>
        <v>5.6846996081437819E-2</v>
      </c>
      <c r="CC48" s="20">
        <f t="shared" si="165"/>
        <v>5.6873780633974802E-2</v>
      </c>
      <c r="CD48" s="20">
        <f t="shared" si="165"/>
        <v>5.6850047538373444E-2</v>
      </c>
      <c r="CE48" s="20">
        <f t="shared" si="165"/>
        <v>5.677969464180261E-2</v>
      </c>
      <c r="CF48" s="20">
        <f t="shared" si="165"/>
        <v>5.6883706702855426E-2</v>
      </c>
      <c r="CG48" s="20">
        <f t="shared" si="165"/>
        <v>5.684625680777531E-2</v>
      </c>
      <c r="CH48" s="20">
        <f t="shared" si="165"/>
        <v>5.6833437235070554E-2</v>
      </c>
      <c r="CI48" s="20">
        <f t="shared" si="165"/>
        <v>5.6810812634642063E-2</v>
      </c>
      <c r="CJ48" s="20">
        <f t="shared" si="165"/>
        <v>5.6841868232282773E-2</v>
      </c>
      <c r="CK48" s="20">
        <f t="shared" si="165"/>
        <v>5.6868732661117215E-2</v>
      </c>
      <c r="CL48" s="20">
        <f t="shared" ref="CL48:CW48" si="166">CL40/CL28</f>
        <v>5.6846292840047469E-2</v>
      </c>
      <c r="CM48" s="20">
        <f t="shared" si="166"/>
        <v>5.6833837930219719E-2</v>
      </c>
      <c r="CN48" s="20">
        <f t="shared" si="166"/>
        <v>5.6830712134031305E-2</v>
      </c>
      <c r="CO48" s="20">
        <f t="shared" si="166"/>
        <v>5.6857611168302388E-2</v>
      </c>
      <c r="CP48" s="20">
        <f t="shared" si="166"/>
        <v>5.6833153914838244E-2</v>
      </c>
      <c r="CQ48" s="20">
        <f t="shared" si="166"/>
        <v>5.6761578260334247E-2</v>
      </c>
      <c r="CR48" s="20">
        <f t="shared" si="166"/>
        <v>5.6866744328631799E-2</v>
      </c>
      <c r="CS48" s="20">
        <f t="shared" si="166"/>
        <v>5.6828547942876319E-2</v>
      </c>
      <c r="CT48" s="20">
        <f t="shared" si="166"/>
        <v>5.6815614034274306E-2</v>
      </c>
      <c r="CU48" s="20">
        <f t="shared" si="166"/>
        <v>5.6792668821899657E-2</v>
      </c>
      <c r="CV48" s="20">
        <f t="shared" si="166"/>
        <v>5.682375100437221E-2</v>
      </c>
      <c r="CW48" s="20">
        <f t="shared" si="166"/>
        <v>5.6850918488243168E-2</v>
      </c>
      <c r="CY48" s="20">
        <f t="shared" si="165"/>
        <v>4.6024761971765908E-2</v>
      </c>
      <c r="CZ48" s="20">
        <f t="shared" si="165"/>
        <v>4.8864590477524832E-2</v>
      </c>
      <c r="DA48" s="20">
        <f t="shared" si="165"/>
        <v>4.5850814957153062E-2</v>
      </c>
      <c r="DB48" s="20">
        <f t="shared" si="165"/>
        <v>5.7894803555874293E-2</v>
      </c>
      <c r="DC48" s="20">
        <f t="shared" si="165"/>
        <v>5.5210877171768959E-2</v>
      </c>
      <c r="DD48" s="20">
        <f t="shared" si="165"/>
        <v>5.5920816316857767E-2</v>
      </c>
      <c r="DE48" s="20">
        <f t="shared" si="165"/>
        <v>5.4617762544480149E-2</v>
      </c>
      <c r="DF48" s="20">
        <f t="shared" si="165"/>
        <v>5.4006737384965441E-2</v>
      </c>
      <c r="DG48" s="20">
        <f t="shared" si="165"/>
        <v>5.9031099690486116E-2</v>
      </c>
      <c r="DH48" s="20">
        <f t="shared" si="165"/>
        <v>5.7835416915637851E-2</v>
      </c>
      <c r="DI48" s="20">
        <f t="shared" si="165"/>
        <v>5.5805932644479986E-2</v>
      </c>
      <c r="DJ48" s="20">
        <f t="shared" si="165"/>
        <v>5.404552369314812E-2</v>
      </c>
      <c r="DK48" s="20">
        <f t="shared" si="165"/>
        <v>5.6839107228787475E-2</v>
      </c>
      <c r="DL48" s="20">
        <f t="shared" si="165"/>
        <v>5.6824230490196845E-2</v>
      </c>
      <c r="DM48" s="20">
        <f t="shared" si="165"/>
        <v>5.6846300873384444E-2</v>
      </c>
      <c r="DN48" s="20">
        <f t="shared" si="165"/>
        <v>5.6839445695253947E-2</v>
      </c>
      <c r="DO48" s="20">
        <f t="shared" si="165"/>
        <v>5.6852900755478858E-2</v>
      </c>
      <c r="DP48" s="20">
        <f t="shared" si="165"/>
        <v>5.6835975880817E-2</v>
      </c>
      <c r="DQ48" s="20">
        <f t="shared" si="165"/>
        <v>5.6853675743041877E-2</v>
      </c>
      <c r="DR48" s="20">
        <f t="shared" si="165"/>
        <v>5.684052170662985E-2</v>
      </c>
      <c r="DS48" s="20">
        <f t="shared" si="165"/>
        <v>5.6836984240888122E-2</v>
      </c>
      <c r="DT48" s="20">
        <f t="shared" si="165"/>
        <v>5.6818937514214893E-2</v>
      </c>
      <c r="DU48" s="20">
        <f t="shared" si="165"/>
        <v>5.6836159148742696E-2</v>
      </c>
      <c r="DV48" s="20">
        <f t="shared" si="165"/>
        <v>5.6822481969043721E-2</v>
      </c>
      <c r="DX48" s="20">
        <f t="shared" si="165"/>
        <v>4.938416414616327E-2</v>
      </c>
      <c r="DY48" s="20">
        <f t="shared" si="165"/>
        <v>5.4845095894592362E-2</v>
      </c>
      <c r="DZ48" s="20">
        <f t="shared" si="165"/>
        <v>5.6402219674736485E-2</v>
      </c>
      <c r="EA48" s="20">
        <f t="shared" si="165"/>
        <v>5.6837664971181312E-2</v>
      </c>
      <c r="EB48" s="20">
        <f t="shared" ref="EB48:EC48" si="167">EB40/EB28</f>
        <v>5.6845708935646978E-2</v>
      </c>
      <c r="EC48" s="20">
        <f t="shared" si="167"/>
        <v>5.6828525302305394E-2</v>
      </c>
    </row>
    <row r="49" spans="2:133" x14ac:dyDescent="0.2">
      <c r="B49" s="22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X49" s="19"/>
      <c r="DY49" s="19"/>
      <c r="DZ49" s="19"/>
      <c r="EA49" s="19"/>
      <c r="EB49" s="19"/>
      <c r="EC49" s="770">
        <f t="shared" si="32"/>
        <v>0</v>
      </c>
    </row>
    <row r="50" spans="2:133" x14ac:dyDescent="0.2">
      <c r="B50" s="196" t="s">
        <v>13</v>
      </c>
      <c r="C50" s="199">
        <f>SUM(C51:C53)</f>
        <v>44276077.557444915</v>
      </c>
      <c r="D50" s="199">
        <f t="shared" ref="D50:BO50" si="168">SUM(D51:D53)</f>
        <v>42543483.295891516</v>
      </c>
      <c r="E50" s="199">
        <f t="shared" si="168"/>
        <v>48525519.569889925</v>
      </c>
      <c r="F50" s="199">
        <f t="shared" si="168"/>
        <v>28283350.513937254</v>
      </c>
      <c r="G50" s="199">
        <f t="shared" si="168"/>
        <v>4007782.8489830503</v>
      </c>
      <c r="H50" s="199">
        <f t="shared" si="168"/>
        <v>23035867.899963815</v>
      </c>
      <c r="I50" s="199">
        <f t="shared" si="168"/>
        <v>32460523.593539692</v>
      </c>
      <c r="J50" s="199">
        <f t="shared" si="168"/>
        <v>40032923.412434883</v>
      </c>
      <c r="K50" s="199">
        <f t="shared" si="168"/>
        <v>53355229.496537179</v>
      </c>
      <c r="L50" s="199">
        <f t="shared" si="168"/>
        <v>60357976.19185967</v>
      </c>
      <c r="M50" s="199">
        <f t="shared" si="168"/>
        <v>92731711.893363491</v>
      </c>
      <c r="N50" s="199">
        <f t="shared" si="168"/>
        <v>110761629.68876605</v>
      </c>
      <c r="O50" s="199">
        <f t="shared" si="168"/>
        <v>116886905.12504035</v>
      </c>
      <c r="P50" s="199">
        <f t="shared" si="168"/>
        <v>125910376.00698613</v>
      </c>
      <c r="Q50" s="199">
        <f t="shared" si="168"/>
        <v>132835827.67245534</v>
      </c>
      <c r="R50" s="199">
        <f t="shared" si="168"/>
        <v>120970015.54020257</v>
      </c>
      <c r="S50" s="199">
        <f t="shared" si="168"/>
        <v>148522486.00732228</v>
      </c>
      <c r="T50" s="199">
        <f t="shared" si="168"/>
        <v>187468147.94828871</v>
      </c>
      <c r="U50" s="199">
        <f t="shared" si="168"/>
        <v>185910888.38976061</v>
      </c>
      <c r="V50" s="199">
        <f t="shared" si="168"/>
        <v>183964519.31699863</v>
      </c>
      <c r="W50" s="199">
        <f t="shared" si="168"/>
        <v>179714278.99326593</v>
      </c>
      <c r="X50" s="199">
        <f t="shared" si="168"/>
        <v>220326789.13673991</v>
      </c>
      <c r="Y50" s="199">
        <f t="shared" si="168"/>
        <v>215599087.76986915</v>
      </c>
      <c r="Z50" s="199">
        <f t="shared" si="168"/>
        <v>250895908.79997802</v>
      </c>
      <c r="AA50" s="199">
        <f t="shared" si="168"/>
        <v>283564466.02647716</v>
      </c>
      <c r="AB50" s="199">
        <f t="shared" si="168"/>
        <v>301018207.38415051</v>
      </c>
      <c r="AC50" s="199">
        <f t="shared" si="168"/>
        <v>418808380.16342533</v>
      </c>
      <c r="AD50" s="199">
        <f t="shared" si="168"/>
        <v>473940054.1864875</v>
      </c>
      <c r="AE50" s="199">
        <f t="shared" si="168"/>
        <v>490152547.88216692</v>
      </c>
      <c r="AF50" s="199">
        <f t="shared" si="168"/>
        <v>514555411.55218208</v>
      </c>
      <c r="AG50" s="199">
        <f t="shared" si="168"/>
        <v>420237277.90357935</v>
      </c>
      <c r="AH50" s="199">
        <f t="shared" si="168"/>
        <v>443116208.58031929</v>
      </c>
      <c r="AI50" s="199">
        <f t="shared" si="168"/>
        <v>445278654.19995999</v>
      </c>
      <c r="AJ50" s="199">
        <f t="shared" si="168"/>
        <v>657614100.80631018</v>
      </c>
      <c r="AK50" s="199">
        <f t="shared" si="168"/>
        <v>547463298.93525302</v>
      </c>
      <c r="AL50" s="199">
        <f t="shared" si="168"/>
        <v>490212117.85372889</v>
      </c>
      <c r="AM50" s="199">
        <f t="shared" si="168"/>
        <v>464288110.02916652</v>
      </c>
      <c r="AN50" s="199">
        <f t="shared" si="168"/>
        <v>388105690.15956581</v>
      </c>
      <c r="AO50" s="199">
        <f t="shared" si="168"/>
        <v>498089936.92518753</v>
      </c>
      <c r="AP50" s="199">
        <f t="shared" si="168"/>
        <v>508388705.49184483</v>
      </c>
      <c r="AQ50" s="199">
        <f t="shared" si="168"/>
        <v>526353361.99217713</v>
      </c>
      <c r="AR50" s="199">
        <f t="shared" si="168"/>
        <v>556643747.72850907</v>
      </c>
      <c r="AS50" s="199">
        <f t="shared" si="168"/>
        <v>549435704.32555509</v>
      </c>
      <c r="AT50" s="199">
        <f t="shared" si="168"/>
        <v>488553819.63826144</v>
      </c>
      <c r="AU50" s="199">
        <f t="shared" si="168"/>
        <v>459807153.19363767</v>
      </c>
      <c r="AV50" s="199">
        <f t="shared" si="168"/>
        <v>571462745.57094133</v>
      </c>
      <c r="AW50" s="199">
        <f t="shared" si="168"/>
        <v>533387806.15825951</v>
      </c>
      <c r="AX50" s="199">
        <f t="shared" si="168"/>
        <v>635245193.54483414</v>
      </c>
      <c r="AY50" s="199">
        <f t="shared" si="168"/>
        <v>677353765.2516731</v>
      </c>
      <c r="AZ50" s="199">
        <f t="shared" si="168"/>
        <v>644231229.03342307</v>
      </c>
      <c r="BA50" s="199">
        <f t="shared" si="168"/>
        <v>828162662.37057757</v>
      </c>
      <c r="BB50" s="199">
        <f t="shared" si="168"/>
        <v>760976749.61085486</v>
      </c>
      <c r="BC50" s="199">
        <f t="shared" si="168"/>
        <v>744515527.89768803</v>
      </c>
      <c r="BD50" s="199">
        <f t="shared" si="168"/>
        <v>751873329.69218314</v>
      </c>
      <c r="BE50" s="199">
        <f t="shared" si="168"/>
        <v>810143715.26440668</v>
      </c>
      <c r="BF50" s="199">
        <f t="shared" si="168"/>
        <v>697429867.00406873</v>
      </c>
      <c r="BG50" s="199">
        <f t="shared" si="168"/>
        <v>753840534.66076899</v>
      </c>
      <c r="BH50" s="199">
        <f t="shared" si="168"/>
        <v>872924028.95138621</v>
      </c>
      <c r="BI50" s="199">
        <f t="shared" si="168"/>
        <v>811393201.96958292</v>
      </c>
      <c r="BJ50" s="199">
        <f t="shared" si="168"/>
        <v>999628122.7939781</v>
      </c>
      <c r="BK50" s="199">
        <f t="shared" si="168"/>
        <v>1078153274.1455534</v>
      </c>
      <c r="BL50" s="199">
        <f t="shared" si="168"/>
        <v>976376198.19707668</v>
      </c>
      <c r="BM50" s="199">
        <f t="shared" si="168"/>
        <v>1167205299.8929741</v>
      </c>
      <c r="BN50" s="199">
        <f t="shared" si="168"/>
        <v>1016710026.3373865</v>
      </c>
      <c r="BO50" s="199">
        <f t="shared" si="168"/>
        <v>1007372791.6724082</v>
      </c>
      <c r="BP50" s="199">
        <f t="shared" ref="BP50:CK50" si="169">SUM(BP51:BP53)</f>
        <v>1005797559.963596</v>
      </c>
      <c r="BQ50" s="199">
        <f t="shared" si="169"/>
        <v>1063204564.8668727</v>
      </c>
      <c r="BR50" s="199">
        <f t="shared" si="169"/>
        <v>968894530.68254161</v>
      </c>
      <c r="BS50" s="199">
        <f t="shared" si="169"/>
        <v>960235503.91998446</v>
      </c>
      <c r="BT50" s="199">
        <f t="shared" si="169"/>
        <v>1087846041.1247132</v>
      </c>
      <c r="BU50" s="199">
        <f t="shared" si="169"/>
        <v>1033535521.7642921</v>
      </c>
      <c r="BV50" s="199">
        <f t="shared" si="169"/>
        <v>1244299825.016191</v>
      </c>
      <c r="BW50" s="199">
        <f t="shared" si="169"/>
        <v>1300220866.976377</v>
      </c>
      <c r="BX50" s="199">
        <f t="shared" si="169"/>
        <v>1171604505.0316713</v>
      </c>
      <c r="BY50" s="199">
        <f t="shared" si="169"/>
        <v>1326290945.0874548</v>
      </c>
      <c r="BZ50" s="199">
        <f t="shared" si="169"/>
        <v>1228767188.7668831</v>
      </c>
      <c r="CA50" s="199">
        <f t="shared" si="169"/>
        <v>1219112752.1307712</v>
      </c>
      <c r="CB50" s="199">
        <f t="shared" si="169"/>
        <v>1213220041.4252167</v>
      </c>
      <c r="CC50" s="199">
        <f t="shared" si="169"/>
        <v>1282607496.036849</v>
      </c>
      <c r="CD50" s="199">
        <f t="shared" si="169"/>
        <v>1166817624.6958907</v>
      </c>
      <c r="CE50" s="199">
        <f t="shared" si="169"/>
        <v>1153528452.8759668</v>
      </c>
      <c r="CF50" s="199">
        <f t="shared" si="169"/>
        <v>1306156371.7840757</v>
      </c>
      <c r="CG50" s="199">
        <f t="shared" si="169"/>
        <v>1236295227.367209</v>
      </c>
      <c r="CH50" s="199">
        <f t="shared" si="169"/>
        <v>1485219637.6798456</v>
      </c>
      <c r="CI50" s="199">
        <f t="shared" si="169"/>
        <v>1547856191.6118898</v>
      </c>
      <c r="CJ50" s="199">
        <f t="shared" si="169"/>
        <v>1390618002.9806499</v>
      </c>
      <c r="CK50" s="199">
        <f t="shared" si="169"/>
        <v>1563426285.9303212</v>
      </c>
      <c r="CL50" s="199">
        <f t="shared" ref="CL50:CW50" si="170">SUM(CL51:CL53)</f>
        <v>1420326041.9268563</v>
      </c>
      <c r="CM50" s="199">
        <f t="shared" si="170"/>
        <v>1408659734.7713077</v>
      </c>
      <c r="CN50" s="199">
        <f t="shared" si="170"/>
        <v>1401383856.8960636</v>
      </c>
      <c r="CO50" s="199">
        <f t="shared" si="170"/>
        <v>1480327477.7017252</v>
      </c>
      <c r="CP50" s="199">
        <f t="shared" si="170"/>
        <v>1346312388.3181741</v>
      </c>
      <c r="CQ50" s="199">
        <f t="shared" si="170"/>
        <v>1332072757.0577698</v>
      </c>
      <c r="CR50" s="199">
        <f t="shared" si="170"/>
        <v>1505001342.6229844</v>
      </c>
      <c r="CS50" s="199">
        <f t="shared" si="170"/>
        <v>1425022122.8252375</v>
      </c>
      <c r="CT50" s="199">
        <f t="shared" si="170"/>
        <v>1712870675.6655931</v>
      </c>
      <c r="CU50" s="199">
        <f t="shared" si="170"/>
        <v>1785892707.5438421</v>
      </c>
      <c r="CV50" s="199">
        <f t="shared" si="170"/>
        <v>1602414834.556982</v>
      </c>
      <c r="CW50" s="199">
        <f t="shared" si="170"/>
        <v>1800545921.2980316</v>
      </c>
      <c r="CY50" s="199">
        <f t="shared" ref="CY50:CY56" si="171">SUM(AD50:AF50)</f>
        <v>1478648013.6208365</v>
      </c>
      <c r="CZ50" s="199">
        <f t="shared" ref="CZ50:CZ56" si="172">SUM(AG50:AI50)</f>
        <v>1308632140.6838586</v>
      </c>
      <c r="DA50" s="199">
        <f t="shared" ref="DA50:DA56" si="173">SUM(AJ50:AL50)</f>
        <v>1695289517.5952921</v>
      </c>
      <c r="DB50" s="199">
        <f t="shared" ref="DB50:DB56" si="174">SUM(AM50:AO50)</f>
        <v>1350483737.11392</v>
      </c>
      <c r="DC50" s="199">
        <f t="shared" ref="DC50:DC56" si="175">SUM(AP50:AR50)</f>
        <v>1591385815.2125311</v>
      </c>
      <c r="DD50" s="199">
        <f t="shared" ref="DD50:DD56" si="176">SUM(AS50:AU50)</f>
        <v>1497796677.1574543</v>
      </c>
      <c r="DE50" s="199">
        <f t="shared" ref="DE50:DE56" si="177">SUM(AV50:AX50)</f>
        <v>1740095745.274035</v>
      </c>
      <c r="DF50" s="199">
        <f t="shared" ref="DF50:DF56" si="178">SUM(AY50:BA50)</f>
        <v>2149747656.655674</v>
      </c>
      <c r="DG50" s="199">
        <f t="shared" ref="DG50:DG56" si="179">SUM(BB50:BD50)</f>
        <v>2257365607.200726</v>
      </c>
      <c r="DH50" s="199">
        <f t="shared" ref="DH50:DH56" si="180">SUM(BE50:BG50)</f>
        <v>2261414116.9292445</v>
      </c>
      <c r="DI50" s="199">
        <f t="shared" ref="DI50:DI56" si="181">SUM(BH50:BJ50)</f>
        <v>2683945353.7149472</v>
      </c>
      <c r="DJ50" s="199">
        <f t="shared" ref="DJ50:DJ56" si="182">SUM(BK50:BM50)</f>
        <v>3221734772.2356043</v>
      </c>
      <c r="DK50" s="199">
        <f t="shared" ref="DK50:DK56" si="183">SUM(BN50:BP50)</f>
        <v>3029880377.9733906</v>
      </c>
      <c r="DL50" s="199">
        <f t="shared" ref="DL50:DL56" si="184">SUM(BQ50:BS50)</f>
        <v>2992334599.4693985</v>
      </c>
      <c r="DM50" s="199">
        <f t="shared" ref="DM50:DM56" si="185">SUM(BT50:BV50)</f>
        <v>3365681387.9051962</v>
      </c>
      <c r="DN50" s="199">
        <f t="shared" ref="DN50:DN56" si="186">SUM(BW50:BY50)</f>
        <v>3798116317.0955029</v>
      </c>
      <c r="DO50" s="199">
        <f t="shared" ref="DO50:DO56" si="187">SUM(BZ50:CB50)</f>
        <v>3661099982.3228712</v>
      </c>
      <c r="DP50" s="199">
        <f t="shared" ref="DP50:DP56" si="188">SUM(CC50:CE50)</f>
        <v>3602953573.6087065</v>
      </c>
      <c r="DQ50" s="199">
        <f t="shared" ref="DQ50:DQ56" si="189">SUM(CF50:CH50)</f>
        <v>4027671236.83113</v>
      </c>
      <c r="DR50" s="199">
        <f t="shared" ref="DR50:DR56" si="190">SUM(CI50:CK50)</f>
        <v>4501900480.5228615</v>
      </c>
      <c r="DS50" s="199">
        <f t="shared" si="23"/>
        <v>4230369633.5942278</v>
      </c>
      <c r="DT50" s="199">
        <f t="shared" si="24"/>
        <v>4158712623.0776691</v>
      </c>
      <c r="DU50" s="199">
        <f t="shared" si="25"/>
        <v>4642894141.1138153</v>
      </c>
      <c r="DV50" s="199">
        <f t="shared" si="26"/>
        <v>5188853463.3988562</v>
      </c>
      <c r="DX50" s="199">
        <f t="shared" ref="DX50:DX56" si="191">SUM(CY50:DB50)</f>
        <v>5833053409.0139074</v>
      </c>
      <c r="DY50" s="199">
        <f t="shared" ref="DY50:DY56" si="192">SUM(DC50:DF50)</f>
        <v>6979025894.2996941</v>
      </c>
      <c r="DZ50" s="199">
        <f t="shared" ref="DZ50:DZ56" si="193">SUM(DG50:DJ50)</f>
        <v>10424459850.080521</v>
      </c>
      <c r="EA50" s="199">
        <f t="shared" ref="EA50:EA56" si="194">SUM(DK50:DN50)</f>
        <v>13186012682.443487</v>
      </c>
      <c r="EB50" s="199">
        <f t="shared" ref="EB50:EB56" si="195">SUM(DO50:DR50)</f>
        <v>15793625273.285568</v>
      </c>
      <c r="EC50" s="810">
        <f t="shared" si="32"/>
        <v>18220829861.18457</v>
      </c>
    </row>
    <row r="51" spans="2:133" x14ac:dyDescent="0.2">
      <c r="B51" s="155" t="s">
        <v>139</v>
      </c>
      <c r="C51" s="19">
        <f>'D2C - Retail'!J75+'D2C Online'!AA58</f>
        <v>41269112.591343224</v>
      </c>
      <c r="D51" s="19">
        <f>'D2C - Retail'!K75+'D2C Online'!AB58</f>
        <v>39197840.889111854</v>
      </c>
      <c r="E51" s="19">
        <f>'D2C - Retail'!L75+'D2C Online'!AC58</f>
        <v>44696082.307178065</v>
      </c>
      <c r="F51" s="19">
        <f>'D2C - Retail'!M75+'D2C Online'!AD58</f>
        <v>25948813.963089794</v>
      </c>
      <c r="G51" s="19">
        <f>'D2C - Retail'!N75+'D2C Online'!AE58</f>
        <v>4001516.2889830503</v>
      </c>
      <c r="H51" s="19">
        <f>'D2C - Retail'!O75+'D2C Online'!AF58</f>
        <v>19054409.464540087</v>
      </c>
      <c r="I51" s="19">
        <f>'D2C - Retail'!P75+'D2C Online'!AG58</f>
        <v>26786767.608115964</v>
      </c>
      <c r="J51" s="19">
        <f>'D2C - Retail'!Q75+'D2C Online'!AH58</f>
        <v>33910846.487011157</v>
      </c>
      <c r="K51" s="19">
        <f>'D2C - Retail'!R75+'D2C Online'!AI58</f>
        <v>45665876.411791414</v>
      </c>
      <c r="L51" s="19">
        <f>'D2C - Retail'!S75+'D2C Online'!AJ58</f>
        <v>53003465.734232552</v>
      </c>
      <c r="M51" s="19">
        <f>'D2C - Retail'!T75+'D2C Online'!AK58</f>
        <v>84838219.215397388</v>
      </c>
      <c r="N51" s="19">
        <f>'D2C - Retail'!U75+'D2C Online'!AL58</f>
        <v>99475152.281986371</v>
      </c>
      <c r="O51" s="19">
        <f>'D2C - Retail'!V75+'D2C Online'!AM58</f>
        <v>105831954.48944713</v>
      </c>
      <c r="P51" s="19">
        <f>'D2C - Retail'!W75+'D2C Online'!AN58</f>
        <v>114887130.04088444</v>
      </c>
      <c r="Q51" s="19">
        <f>'D2C - Retail'!X75+'D2C Online'!AO58</f>
        <v>121344829.1131333</v>
      </c>
      <c r="R51" s="19">
        <f>'D2C - Retail'!Y75+'D2C Online'!AP58</f>
        <v>108730375.72664325</v>
      </c>
      <c r="S51" s="19">
        <f>'D2C - Retail'!Z75+'D2C Online'!AQ58</f>
        <v>134828700.26155958</v>
      </c>
      <c r="T51" s="19">
        <f>'D2C - Retail'!AA75+'D2C Online'!AR58</f>
        <v>172946221.19405144</v>
      </c>
      <c r="U51" s="19">
        <f>'D2C - Retail'!AB75+'D2C Online'!AS58</f>
        <v>169136323.83043858</v>
      </c>
      <c r="V51" s="19">
        <f>'D2C - Retail'!AC75+'D2C Online'!AT58</f>
        <v>165809178.70682913</v>
      </c>
      <c r="W51" s="19">
        <f>'D2C - Retail'!AD75+'D2C Online'!AU58</f>
        <v>161898243.81529984</v>
      </c>
      <c r="X51" s="19">
        <f>'D2C - Retail'!AE75+'D2C Online'!AV58</f>
        <v>203372269.37402803</v>
      </c>
      <c r="Y51" s="19">
        <f>'D2C - Retail'!AF75+'D2C Online'!AW58</f>
        <v>198757694.33766577</v>
      </c>
      <c r="Z51" s="19">
        <f>'D2C - Retail'!AG75+'D2C Online'!AX58</f>
        <v>233766612.96099496</v>
      </c>
      <c r="AA51" s="19">
        <f>'D2C - Retail'!AH75+'D2C Online'!AY58</f>
        <v>264712066.78071445</v>
      </c>
      <c r="AB51" s="19">
        <f>'D2C - Retail'!AI75+'D2C Online'!AZ58</f>
        <v>282415087.96042168</v>
      </c>
      <c r="AC51" s="19">
        <f>'D2C - Retail'!AJ75+'D2C Online'!BA58</f>
        <v>399401217.09562874</v>
      </c>
      <c r="AD51" s="19">
        <f>'D2C - Retail'!AK75+'D2C Online'!BB58</f>
        <v>453766634.92419934</v>
      </c>
      <c r="AE51" s="19">
        <f>'D2C - Retail'!AL75+'D2C Online'!BC58</f>
        <v>468994508.89911604</v>
      </c>
      <c r="AF51" s="19">
        <f>'D2C - Retail'!AM75+'D2C Online'!BD58</f>
        <v>492123317.81489396</v>
      </c>
      <c r="AG51" s="19">
        <f>'D2C - Retail'!AN75+'D2C Online'!BE58</f>
        <v>397043369.59849465</v>
      </c>
      <c r="AH51" s="19">
        <f>'D2C - Retail'!AO75+'D2C Online'!BF58</f>
        <v>416633403.6125226</v>
      </c>
      <c r="AI51" s="19">
        <f>'D2C - Retail'!AP75+'D2C Online'!BG58</f>
        <v>421540610.95389223</v>
      </c>
      <c r="AJ51" s="19">
        <f>'D2C - Retail'!AQ75+'D2C Online'!BH58</f>
        <v>630407784.7709713</v>
      </c>
      <c r="AK51" s="19">
        <f>'D2C - Retail'!AR75+'D2C Online'!BI58</f>
        <v>527148664.89801544</v>
      </c>
      <c r="AL51" s="19">
        <f>'D2C - Retail'!AS75+'D2C Online'!BJ58</f>
        <v>471039322.23427129</v>
      </c>
      <c r="AM51" s="19">
        <f>'D2C - Retail'!AT75+'D2C Online'!BK58</f>
        <v>446168909.25798368</v>
      </c>
      <c r="AN51" s="19">
        <f>'D2C - Retail'!AU75+'D2C Online'!BL58</f>
        <v>369192131.37807834</v>
      </c>
      <c r="AO51" s="19">
        <f>'D2C - Retail'!AV75+'D2C Online'!BM58</f>
        <v>476416560.66249943</v>
      </c>
      <c r="AP51" s="19">
        <f>'D2C - Retail'!AW75+'D2C Online'!BN58</f>
        <v>485446810.47491896</v>
      </c>
      <c r="AQ51" s="19">
        <f>'D2C - Retail'!AX75+'D2C Online'!BO58</f>
        <v>502294001.72081214</v>
      </c>
      <c r="AR51" s="19">
        <f>'D2C - Retail'!AY75+'D2C Online'!BP58</f>
        <v>530187727.38525641</v>
      </c>
      <c r="AS51" s="19">
        <f>'D2C - Retail'!AZ75+'D2C Online'!BQ58</f>
        <v>522014968.09673804</v>
      </c>
      <c r="AT51" s="19">
        <f>'D2C - Retail'!BA75+'D2C Online'!BR58</f>
        <v>461691468.06199026</v>
      </c>
      <c r="AU51" s="19">
        <f>'D2C - Retail'!BB75+'D2C Online'!BS58</f>
        <v>435438235.47616506</v>
      </c>
      <c r="AV51" s="19">
        <f>'D2C - Retail'!BC75+'D2C Online'!BT58</f>
        <v>542825007.55264688</v>
      </c>
      <c r="AW51" s="19">
        <f>'D2C - Retail'!BD75+'D2C Online'!BU58</f>
        <v>508409492.07351375</v>
      </c>
      <c r="AX51" s="19">
        <f>'D2C - Retail'!BE75+'D2C Online'!BV58</f>
        <v>605946222.66670895</v>
      </c>
      <c r="AY51" s="19">
        <f>'D2C - Retail'!BF75+'D2C Online'!BW58</f>
        <v>648424046.76014769</v>
      </c>
      <c r="AZ51" s="19">
        <f>'D2C - Retail'!BG75+'D2C Online'!BX58</f>
        <v>618558891.60121965</v>
      </c>
      <c r="BA51" s="19">
        <f>'D2C - Retail'!BH75+'D2C Online'!BY58</f>
        <v>795743380.00617075</v>
      </c>
      <c r="BB51" s="19">
        <f>'D2C - Retail'!BI75+'D2C Online'!BZ58</f>
        <v>730926791.50915992</v>
      </c>
      <c r="BC51" s="19">
        <f>'D2C - Retail'!BJ75+'D2C Online'!CA58</f>
        <v>713117184.77056944</v>
      </c>
      <c r="BD51" s="19">
        <f>'D2C - Retail'!BK75+'D2C Online'!CB58</f>
        <v>722965027.87862396</v>
      </c>
      <c r="BE51" s="19">
        <f>'D2C - Retail'!BL75+'D2C Online'!CC58</f>
        <v>776751182.2474575</v>
      </c>
      <c r="BF51" s="19">
        <f>'D2C - Retail'!BM75+'D2C Online'!CD58</f>
        <v>662266779.86000085</v>
      </c>
      <c r="BG51" s="19">
        <f>'D2C - Retail'!BN75+'D2C Online'!CE58</f>
        <v>720592617.51670122</v>
      </c>
      <c r="BH51" s="19">
        <f>'D2C - Retail'!BO75+'D2C Online'!CF58</f>
        <v>834372083.9005388</v>
      </c>
      <c r="BI51" s="19">
        <f>'D2C - Retail'!BP75+'D2C Online'!CG58</f>
        <v>774028007.71534562</v>
      </c>
      <c r="BJ51" s="19">
        <f>'D2C - Retail'!BQ75+'D2C Online'!CH58</f>
        <v>953510073.86177468</v>
      </c>
      <c r="BK51" s="19">
        <f>'D2C - Retail'!BR75+'D2C Online'!CI58</f>
        <v>1034961629.5862314</v>
      </c>
      <c r="BL51" s="19">
        <f>'D2C - Retail'!BS75+'D2C Online'!CJ58</f>
        <v>934393775.14622915</v>
      </c>
      <c r="BM51" s="19">
        <f>'D2C - Retail'!BT75+'D2C Online'!CK58</f>
        <v>1103882434.1133132</v>
      </c>
      <c r="BN51" s="19">
        <f>'D2C - Retail'!BU75+'D2C Online'!CL58</f>
        <v>973901517.67308617</v>
      </c>
      <c r="BO51" s="19">
        <f>'D2C - Retail'!BV75+'D2C Online'!CM58</f>
        <v>963926564.33371091</v>
      </c>
      <c r="BP51" s="19">
        <f>'D2C - Retail'!BW75+'D2C Online'!CN58</f>
        <v>961671823.10173488</v>
      </c>
      <c r="BQ51" s="19">
        <f>'D2C - Retail'!BX75+'D2C Online'!CO58</f>
        <v>1019412377.5767903</v>
      </c>
      <c r="BR51" s="19">
        <f>'D2C - Retail'!BY75+'D2C Online'!CP58</f>
        <v>923365251.42980564</v>
      </c>
      <c r="BS51" s="19">
        <f>'D2C - Retail'!BZ75+'D2C Online'!CQ58</f>
        <v>913181282.60720825</v>
      </c>
      <c r="BT51" s="19">
        <f>'D2C - Retail'!CA75+'D2C Online'!CR58</f>
        <v>1042429665.7452182</v>
      </c>
      <c r="BU51" s="19">
        <f>'D2C - Retail'!CB75+'D2C Online'!CS58</f>
        <v>986631735.10390162</v>
      </c>
      <c r="BV51" s="19">
        <f>'D2C - Retail'!CC75+'D2C Online'!CT58</f>
        <v>1198783439.7732377</v>
      </c>
      <c r="BW51" s="19">
        <f>'D2C - Retail'!CD75+'D2C Online'!CU58</f>
        <v>1254546076.6894224</v>
      </c>
      <c r="BX51" s="19">
        <f>'D2C - Retail'!CE75+'D2C Online'!CV58</f>
        <v>1124446276.2299156</v>
      </c>
      <c r="BY51" s="19">
        <f>'D2C - Retail'!CF75+'D2C Online'!CW58</f>
        <v>1280035960.9553454</v>
      </c>
      <c r="BZ51" s="19">
        <f>'D2C - Retail'!CG75+'D2C Online'!CX58</f>
        <v>1181047540.0881381</v>
      </c>
      <c r="CA51" s="19">
        <f>'D2C - Retail'!CH75+'D2C Online'!CY58</f>
        <v>1170519963.8745747</v>
      </c>
      <c r="CB51" s="19">
        <f>'D2C - Retail'!CI75+'D2C Online'!CZ58</f>
        <v>1164103819.4544158</v>
      </c>
      <c r="CC51" s="19">
        <f>'D2C - Retail'!CJ75+'D2C Online'!DA58</f>
        <v>1233988342.6760066</v>
      </c>
      <c r="CD51" s="19">
        <f>'D2C - Retail'!CK75+'D2C Online'!DB58</f>
        <v>1116201551.0112534</v>
      </c>
      <c r="CE51" s="19">
        <f>'D2C - Retail'!CL75+'D2C Online'!DC58</f>
        <v>1101223022.9462626</v>
      </c>
      <c r="CF51" s="19">
        <f>'D2C - Retail'!CM75+'D2C Online'!DD58</f>
        <v>1256114199.5262868</v>
      </c>
      <c r="CG51" s="19">
        <f>'D2C - Retail'!CN75+'D2C Online'!DE58</f>
        <v>1184750147.4386961</v>
      </c>
      <c r="CH51" s="19">
        <f>'D2C - Retail'!CO75+'D2C Online'!DF58</f>
        <v>1435608218.9202576</v>
      </c>
      <c r="CI51" s="19">
        <f>'D2C - Retail'!CP75+'D2C Online'!DG58</f>
        <v>1498304358.6824903</v>
      </c>
      <c r="CJ51" s="19">
        <f>'D2C - Retail'!CQ75+'D2C Online'!DH58</f>
        <v>1339577530.2551041</v>
      </c>
      <c r="CK51" s="19">
        <f>'D2C - Retail'!CR75+'D2C Online'!DI58</f>
        <v>1514121973.6841578</v>
      </c>
      <c r="CL51" s="19">
        <f>'D2C - Retail'!CS75+'D2C Online'!DJ58</f>
        <v>1368954920.0348363</v>
      </c>
      <c r="CM51" s="19">
        <f>'D2C - Retail'!CT75+'D2C Online'!DK58</f>
        <v>1356372696.1661587</v>
      </c>
      <c r="CN51" s="19">
        <f>'D2C - Retail'!CU75+'D2C Online'!DL58</f>
        <v>1348553558.469171</v>
      </c>
      <c r="CO51" s="19">
        <f>'D2C - Retail'!CV75+'D2C Online'!DM58</f>
        <v>1428118508.3881028</v>
      </c>
      <c r="CP51" s="19">
        <f>'D2C - Retail'!CW75+'D2C Online'!DN58</f>
        <v>1291906854.4591603</v>
      </c>
      <c r="CQ51" s="19">
        <f>'D2C - Retail'!CX75+'D2C Online'!DO58</f>
        <v>1275851038.5546877</v>
      </c>
      <c r="CR51" s="19">
        <f>'D2C - Retail'!CY75+'D2C Online'!DP58</f>
        <v>1451383293.8688378</v>
      </c>
      <c r="CS51" s="19">
        <f>'D2C - Retail'!CZ75+'D2C Online'!DQ58</f>
        <v>1369746582.515523</v>
      </c>
      <c r="CT51" s="19">
        <f>'D2C - Retail'!DA75+'D2C Online'!DR58</f>
        <v>1659821234.6033361</v>
      </c>
      <c r="CU51" s="19">
        <f>'D2C - Retail'!DB75+'D2C Online'!DS58</f>
        <v>1732936892.7854195</v>
      </c>
      <c r="CV51" s="19">
        <f>'D2C - Retail'!DC75+'D2C Online'!DT58</f>
        <v>1547818420.3852272</v>
      </c>
      <c r="CW51" s="19">
        <f>'D2C - Retail'!DD75+'D2C Online'!DU58</f>
        <v>1747948290.3469877</v>
      </c>
      <c r="CY51" s="19">
        <f t="shared" si="171"/>
        <v>1414884461.6382093</v>
      </c>
      <c r="CZ51" s="19">
        <f t="shared" si="172"/>
        <v>1235217384.1649094</v>
      </c>
      <c r="DA51" s="19">
        <f t="shared" si="173"/>
        <v>1628595771.9032581</v>
      </c>
      <c r="DB51" s="19">
        <f t="shared" si="174"/>
        <v>1291777601.2985616</v>
      </c>
      <c r="DC51" s="19">
        <f t="shared" si="175"/>
        <v>1517928539.5809875</v>
      </c>
      <c r="DD51" s="19">
        <f t="shared" si="176"/>
        <v>1419144671.6348934</v>
      </c>
      <c r="DE51" s="19">
        <f t="shared" si="177"/>
        <v>1657180722.2928696</v>
      </c>
      <c r="DF51" s="19">
        <f t="shared" si="178"/>
        <v>2062726318.367538</v>
      </c>
      <c r="DG51" s="19">
        <f t="shared" si="179"/>
        <v>2167009004.1583533</v>
      </c>
      <c r="DH51" s="19">
        <f t="shared" si="180"/>
        <v>2159610579.6241598</v>
      </c>
      <c r="DI51" s="19">
        <f t="shared" si="181"/>
        <v>2561910165.4776592</v>
      </c>
      <c r="DJ51" s="19">
        <f t="shared" si="182"/>
        <v>3073237838.8457737</v>
      </c>
      <c r="DK51" s="19">
        <f t="shared" si="183"/>
        <v>2899499905.108532</v>
      </c>
      <c r="DL51" s="19">
        <f t="shared" si="184"/>
        <v>2855958911.6138043</v>
      </c>
      <c r="DM51" s="19">
        <f t="shared" si="185"/>
        <v>3227844840.6223574</v>
      </c>
      <c r="DN51" s="19">
        <f t="shared" si="186"/>
        <v>3659028313.8746834</v>
      </c>
      <c r="DO51" s="19">
        <f t="shared" si="187"/>
        <v>3515671323.4171286</v>
      </c>
      <c r="DP51" s="19">
        <f t="shared" si="188"/>
        <v>3451412916.633522</v>
      </c>
      <c r="DQ51" s="19">
        <f t="shared" si="189"/>
        <v>3876472565.8852406</v>
      </c>
      <c r="DR51" s="19">
        <f t="shared" si="190"/>
        <v>4352003862.6217518</v>
      </c>
      <c r="DS51" s="19">
        <f t="shared" si="23"/>
        <v>4073881174.670166</v>
      </c>
      <c r="DT51" s="19">
        <f t="shared" si="24"/>
        <v>3995876401.4019508</v>
      </c>
      <c r="DU51" s="19">
        <f t="shared" si="25"/>
        <v>4480951110.9876966</v>
      </c>
      <c r="DV51" s="19">
        <f t="shared" si="26"/>
        <v>5028703603.5176344</v>
      </c>
      <c r="DX51" s="19">
        <f t="shared" si="191"/>
        <v>5570475219.0049381</v>
      </c>
      <c r="DY51" s="19">
        <f t="shared" si="192"/>
        <v>6656980251.8762894</v>
      </c>
      <c r="DZ51" s="19">
        <f t="shared" si="193"/>
        <v>9961767588.1059456</v>
      </c>
      <c r="EA51" s="19">
        <f t="shared" si="194"/>
        <v>12642331971.219376</v>
      </c>
      <c r="EB51" s="19">
        <f t="shared" si="195"/>
        <v>15195560668.557642</v>
      </c>
      <c r="EC51" s="770">
        <f t="shared" si="32"/>
        <v>17579412290.57745</v>
      </c>
    </row>
    <row r="52" spans="2:133" x14ac:dyDescent="0.2">
      <c r="B52" s="155" t="s">
        <v>191</v>
      </c>
      <c r="C52" s="19">
        <f>'D2C - Retail'!J76</f>
        <v>2684550.8474576273</v>
      </c>
      <c r="D52" s="19">
        <f>'D2C - Retail'!K76</f>
        <v>2440178</v>
      </c>
      <c r="E52" s="19">
        <f>'D2C - Retail'!L76</f>
        <v>3244165.2542372881</v>
      </c>
      <c r="F52" s="19">
        <f>'D2C - Retail'!M76</f>
        <v>2033566.9491525423</v>
      </c>
      <c r="G52" s="19">
        <f>'D2C - Retail'!N76</f>
        <v>0</v>
      </c>
      <c r="H52" s="19">
        <f>'D2C - Retail'!O76</f>
        <v>3658239.8305084747</v>
      </c>
      <c r="I52" s="19">
        <f>'D2C - Retail'!P76</f>
        <v>5088394.0677966103</v>
      </c>
      <c r="J52" s="19">
        <f>'D2C - Retail'!Q76</f>
        <v>4687964.4067796608</v>
      </c>
      <c r="K52" s="19">
        <f>'D2C - Retail'!R76</f>
        <v>5772444.0677966103</v>
      </c>
      <c r="L52" s="19">
        <f>'D2C - Retail'!S76</f>
        <v>5489652.5423728814</v>
      </c>
      <c r="M52" s="19">
        <f>'D2C - Retail'!T76</f>
        <v>5790347.4576271186</v>
      </c>
      <c r="N52" s="19">
        <f>'D2C - Retail'!U76</f>
        <v>8306113.5084745754</v>
      </c>
      <c r="O52" s="19">
        <f>'D2C - Retail'!V76</f>
        <v>8235138.1355932206</v>
      </c>
      <c r="P52" s="19">
        <f>'D2C - Retail'!W76</f>
        <v>8228675.4237288134</v>
      </c>
      <c r="Q52" s="19">
        <f>'D2C - Retail'!X76</f>
        <v>7600879.6610169495</v>
      </c>
      <c r="R52" s="19">
        <f>'D2C - Retail'!Y76</f>
        <v>9387326.2711864412</v>
      </c>
      <c r="S52" s="19">
        <f>'D2C - Retail'!Z76</f>
        <v>10782938.135593221</v>
      </c>
      <c r="T52" s="19">
        <f>'D2C - Retail'!AA76</f>
        <v>10902077.118644068</v>
      </c>
      <c r="U52" s="19">
        <f>'D2C - Retail'!AB76</f>
        <v>12806070.338983051</v>
      </c>
      <c r="V52" s="19">
        <f>'D2C - Retail'!AC76</f>
        <v>13441418.644067798</v>
      </c>
      <c r="W52" s="19">
        <f>'D2C - Retail'!AD76</f>
        <v>12621150.847457627</v>
      </c>
      <c r="X52" s="19">
        <f>'D2C - Retail'!AE76</f>
        <v>12042151.694915254</v>
      </c>
      <c r="Y52" s="19">
        <f>'D2C - Retail'!AF76</f>
        <v>12710039.830508474</v>
      </c>
      <c r="Z52" s="19">
        <f>'D2C - Retail'!AG76</f>
        <v>12808982.203389831</v>
      </c>
      <c r="AA52" s="19">
        <f>'D2C - Retail'!AH76</f>
        <v>13606122.033898305</v>
      </c>
      <c r="AB52" s="19">
        <f>'D2C - Retail'!AI76</f>
        <v>12814252.542372882</v>
      </c>
      <c r="AC52" s="19">
        <f>'D2C - Retail'!AJ76</f>
        <v>13488505.084745763</v>
      </c>
      <c r="AD52" s="19">
        <f>'D2C - Retail'!AK76</f>
        <v>13944989.830508474</v>
      </c>
      <c r="AE52" s="19">
        <f>'D2C - Retail'!AL76</f>
        <v>14628605.93220339</v>
      </c>
      <c r="AF52" s="19">
        <f>'D2C - Retail'!AM76</f>
        <v>15370582.203389831</v>
      </c>
      <c r="AG52" s="19">
        <f>'D2C - Retail'!AN76</f>
        <v>16539227.118644068</v>
      </c>
      <c r="AH52" s="19">
        <f>'D2C - Retail'!AO76</f>
        <v>16716184.745762711</v>
      </c>
      <c r="AI52" s="19">
        <f>'D2C - Retail'!AP76</f>
        <v>14490888.983050847</v>
      </c>
      <c r="AJ52" s="19">
        <f>'D2C - Retail'!AQ76</f>
        <v>14840163.559322033</v>
      </c>
      <c r="AK52" s="19">
        <f>'D2C - Retail'!AR76</f>
        <v>12339539.830508474</v>
      </c>
      <c r="AL52" s="19">
        <f>'D2C - Retail'!AS76</f>
        <v>12394174.576271186</v>
      </c>
      <c r="AM52" s="19">
        <f>'D2C - Retail'!AT76</f>
        <v>12190198.305084746</v>
      </c>
      <c r="AN52" s="19">
        <f>'D2C - Retail'!AU76</f>
        <v>12288484.745762711</v>
      </c>
      <c r="AO52" s="19">
        <f>'D2C - Retail'!AV76</f>
        <v>14314424.576271186</v>
      </c>
      <c r="AP52" s="19">
        <f>'D2C - Retail'!AW76</f>
        <v>15220091.525423728</v>
      </c>
      <c r="AQ52" s="19">
        <f>'D2C - Retail'!AX76</f>
        <v>16324402.542372882</v>
      </c>
      <c r="AR52" s="19">
        <f>'D2C - Retail'!AY76</f>
        <v>17625135.593220338</v>
      </c>
      <c r="AS52" s="19">
        <f>'D2C - Retail'!AZ76</f>
        <v>18791963.389830507</v>
      </c>
      <c r="AT52" s="19">
        <f>'D2C - Retail'!BA76</f>
        <v>18320759.322033897</v>
      </c>
      <c r="AU52" s="19">
        <f>'D2C - Retail'!BB76</f>
        <v>17642321.186440676</v>
      </c>
      <c r="AV52" s="19">
        <f>'D2C - Retail'!BC76</f>
        <v>17972599.728813559</v>
      </c>
      <c r="AW52" s="19">
        <f>'D2C - Retail'!BD76</f>
        <v>16318505.864406781</v>
      </c>
      <c r="AX52" s="19">
        <f>'D2C - Retail'!BE76</f>
        <v>18983577.016949151</v>
      </c>
      <c r="AY52" s="19">
        <f>'D2C - Retail'!BF76</f>
        <v>18050991.93220339</v>
      </c>
      <c r="AZ52" s="19">
        <f>'D2C - Retail'!BG76</f>
        <v>15779612.203389829</v>
      </c>
      <c r="BA52" s="19">
        <f>'D2C - Retail'!BH76</f>
        <v>20938880.271186441</v>
      </c>
      <c r="BB52" s="19">
        <f>'D2C - Retail'!BI76</f>
        <v>19321590.677966103</v>
      </c>
      <c r="BC52" s="19">
        <f>'D2C - Retail'!BJ76</f>
        <v>19939703.389830507</v>
      </c>
      <c r="BD52" s="19">
        <f>'D2C - Retail'!BK76</f>
        <v>20037507.966101695</v>
      </c>
      <c r="BE52" s="19">
        <f>'D2C - Retail'!BL76</f>
        <v>22639125.177966103</v>
      </c>
      <c r="BF52" s="19">
        <f>'D2C - Retail'!BM76</f>
        <v>25438238.364406779</v>
      </c>
      <c r="BG52" s="19">
        <f>'D2C - Retail'!BN76</f>
        <v>21311952.398305085</v>
      </c>
      <c r="BH52" s="19">
        <f>'D2C - Retail'!BO76</f>
        <v>21753492.135593221</v>
      </c>
      <c r="BI52" s="19">
        <f>'D2C - Retail'!BP76</f>
        <v>22556101.771186441</v>
      </c>
      <c r="BJ52" s="19">
        <f>'D2C - Retail'!BQ76</f>
        <v>27248587.576271188</v>
      </c>
      <c r="BK52" s="19">
        <f>'D2C - Retail'!BR76</f>
        <v>27010208.550847456</v>
      </c>
      <c r="BL52" s="19">
        <f>'D2C - Retail'!BS76</f>
        <v>26401732.915254235</v>
      </c>
      <c r="BM52" s="19">
        <f>'D2C - Retail'!BT76</f>
        <v>44980505.644067802</v>
      </c>
      <c r="BN52" s="19">
        <f>'D2C - Retail'!BU76</f>
        <v>26983741.546096377</v>
      </c>
      <c r="BO52" s="19">
        <f>'D2C - Retail'!BV76</f>
        <v>27408996.721936896</v>
      </c>
      <c r="BP52" s="19">
        <f>'D2C - Retail'!BW76</f>
        <v>27849031.690279771</v>
      </c>
      <c r="BQ52" s="19">
        <f>'D2C - Retail'!BX76</f>
        <v>27580728.091706112</v>
      </c>
      <c r="BR52" s="19">
        <f>'D2C - Retail'!BY76</f>
        <v>28775956.677736536</v>
      </c>
      <c r="BS52" s="19">
        <f>'D2C - Retail'!BZ76</f>
        <v>29804632.209247276</v>
      </c>
      <c r="BT52" s="19">
        <f>'D2C - Retail'!CA76</f>
        <v>28604962.647132244</v>
      </c>
      <c r="BU52" s="19">
        <f>'D2C - Retail'!CB76</f>
        <v>29621900.397117294</v>
      </c>
      <c r="BV52" s="19">
        <f>'D2C - Retail'!CC76</f>
        <v>28601067.106188495</v>
      </c>
      <c r="BW52" s="19">
        <f>'D2C - Retail'!CD76</f>
        <v>28684056.20325407</v>
      </c>
      <c r="BX52" s="19">
        <f>'D2C - Retail'!CE76</f>
        <v>29698157.098647844</v>
      </c>
      <c r="BY52" s="19">
        <f>'D2C - Retail'!CF76</f>
        <v>28992924.18733532</v>
      </c>
      <c r="BZ52" s="19">
        <f>'D2C - Retail'!CG76</f>
        <v>30008681.078757513</v>
      </c>
      <c r="CA52" s="19">
        <f>'D2C - Retail'!CH76</f>
        <v>30586982.508163221</v>
      </c>
      <c r="CB52" s="19">
        <f>'D2C - Retail'!CI76</f>
        <v>30930629.604093917</v>
      </c>
      <c r="CC52" s="19">
        <f>'D2C - Retail'!CJ76</f>
        <v>30545561.080732938</v>
      </c>
      <c r="CD52" s="19">
        <f>'D2C - Retail'!CK76</f>
        <v>31926326.711159129</v>
      </c>
      <c r="CE52" s="19">
        <f>'D2C - Retail'!CL76</f>
        <v>33072406.369812246</v>
      </c>
      <c r="CF52" s="19">
        <f>'D2C - Retail'!CM76</f>
        <v>31441207.686991874</v>
      </c>
      <c r="CG52" s="19">
        <f>'D2C - Retail'!CN76</f>
        <v>32484273.053057499</v>
      </c>
      <c r="CH52" s="19">
        <f>'D2C - Retail'!CO76</f>
        <v>31088431.129366554</v>
      </c>
      <c r="CI52" s="19">
        <f>'D2C - Retail'!CP76</f>
        <v>31030820.327934213</v>
      </c>
      <c r="CJ52" s="19">
        <f>'D2C - Retail'!CQ76</f>
        <v>32063697.355562322</v>
      </c>
      <c r="CK52" s="19">
        <f>'D2C - Retail'!CR76</f>
        <v>30808885.818403855</v>
      </c>
      <c r="CL52" s="19">
        <f>'D2C - Retail'!CS76</f>
        <v>32254619.720481742</v>
      </c>
      <c r="CM52" s="19">
        <f>'D2C - Retail'!CT76</f>
        <v>32863467.250730474</v>
      </c>
      <c r="CN52" s="19">
        <f>'D2C - Retail'!CU76</f>
        <v>33221271.682313036</v>
      </c>
      <c r="CO52" s="19">
        <f>'D2C - Retail'!CV76</f>
        <v>32747471.788679685</v>
      </c>
      <c r="CP52" s="19">
        <f>'D2C - Retail'!CW76</f>
        <v>34270798.449176416</v>
      </c>
      <c r="CQ52" s="19">
        <f>'D2C - Retail'!CX76</f>
        <v>35507443.149277575</v>
      </c>
      <c r="CR52" s="19">
        <f>'D2C - Retail'!CY76</f>
        <v>33633164.571831383</v>
      </c>
      <c r="CS52" s="19">
        <f>'D2C - Retail'!CZ76</f>
        <v>34786614.489372581</v>
      </c>
      <c r="CT52" s="19">
        <f>'D2C - Retail'!DA76</f>
        <v>33181949.723858271</v>
      </c>
      <c r="CU52" s="19">
        <f>'D2C - Retail'!DB76</f>
        <v>33100031.457134627</v>
      </c>
      <c r="CV52" s="19">
        <f>'D2C - Retail'!DC76</f>
        <v>34241419.111225553</v>
      </c>
      <c r="CW52" s="19">
        <f>'D2C - Retail'!DD76</f>
        <v>32799075.131483696</v>
      </c>
      <c r="CY52" s="19">
        <f t="shared" si="171"/>
        <v>43944177.966101691</v>
      </c>
      <c r="CZ52" s="19">
        <f t="shared" si="172"/>
        <v>47746300.847457625</v>
      </c>
      <c r="DA52" s="19">
        <f t="shared" si="173"/>
        <v>39573877.966101691</v>
      </c>
      <c r="DB52" s="19">
        <f t="shared" si="174"/>
        <v>38793107.62711864</v>
      </c>
      <c r="DC52" s="19">
        <f t="shared" si="175"/>
        <v>49169629.661016949</v>
      </c>
      <c r="DD52" s="19">
        <f t="shared" si="176"/>
        <v>54755043.898305081</v>
      </c>
      <c r="DE52" s="19">
        <f t="shared" si="177"/>
        <v>53274682.610169485</v>
      </c>
      <c r="DF52" s="19">
        <f t="shared" si="178"/>
        <v>54769484.406779662</v>
      </c>
      <c r="DG52" s="19">
        <f t="shared" si="179"/>
        <v>59298802.033898309</v>
      </c>
      <c r="DH52" s="19">
        <f t="shared" si="180"/>
        <v>69389315.940677971</v>
      </c>
      <c r="DI52" s="19">
        <f t="shared" si="181"/>
        <v>71558181.483050853</v>
      </c>
      <c r="DJ52" s="19">
        <f t="shared" si="182"/>
        <v>98392447.1101695</v>
      </c>
      <c r="DK52" s="19">
        <f t="shared" si="183"/>
        <v>82241769.958313048</v>
      </c>
      <c r="DL52" s="19">
        <f t="shared" si="184"/>
        <v>86161316.978689924</v>
      </c>
      <c r="DM52" s="19">
        <f t="shared" si="185"/>
        <v>86827930.150438026</v>
      </c>
      <c r="DN52" s="19">
        <f t="shared" si="186"/>
        <v>87375137.489237234</v>
      </c>
      <c r="DO52" s="19">
        <f t="shared" si="187"/>
        <v>91526293.191014647</v>
      </c>
      <c r="DP52" s="19">
        <f t="shared" si="188"/>
        <v>95544294.161704317</v>
      </c>
      <c r="DQ52" s="19">
        <f t="shared" si="189"/>
        <v>95013911.869415939</v>
      </c>
      <c r="DR52" s="19">
        <f t="shared" si="190"/>
        <v>93903403.50190039</v>
      </c>
      <c r="DS52" s="19">
        <f t="shared" si="23"/>
        <v>98339358.653525248</v>
      </c>
      <c r="DT52" s="19">
        <f t="shared" si="24"/>
        <v>102525713.38713369</v>
      </c>
      <c r="DU52" s="19">
        <f t="shared" si="25"/>
        <v>101601728.78506222</v>
      </c>
      <c r="DV52" s="19">
        <f t="shared" si="26"/>
        <v>100140525.69984388</v>
      </c>
      <c r="DX52" s="19">
        <f t="shared" si="191"/>
        <v>170057464.40677965</v>
      </c>
      <c r="DY52" s="19">
        <f t="shared" si="192"/>
        <v>211968840.57627118</v>
      </c>
      <c r="DZ52" s="19">
        <f t="shared" si="193"/>
        <v>298638746.56779659</v>
      </c>
      <c r="EA52" s="19">
        <f t="shared" si="194"/>
        <v>342606154.57667822</v>
      </c>
      <c r="EB52" s="19">
        <f t="shared" si="195"/>
        <v>375987902.72403526</v>
      </c>
      <c r="EC52" s="770">
        <f t="shared" si="32"/>
        <v>402607326.52556503</v>
      </c>
    </row>
    <row r="53" spans="2:133" x14ac:dyDescent="0.2">
      <c r="B53" s="155" t="s">
        <v>140</v>
      </c>
      <c r="C53" s="19">
        <f>'D2C - Retail'!J77</f>
        <v>322414.11864406778</v>
      </c>
      <c r="D53" s="19">
        <f>'D2C - Retail'!K77</f>
        <v>905464.40677966201</v>
      </c>
      <c r="E53" s="19">
        <f>'D2C - Retail'!L77</f>
        <v>585272.00847457629</v>
      </c>
      <c r="F53" s="19">
        <f>'D2C - Retail'!M77</f>
        <v>300969.60169491521</v>
      </c>
      <c r="G53" s="19">
        <f>'D2C - Retail'!N77</f>
        <v>6266.56</v>
      </c>
      <c r="H53" s="19">
        <f>'D2C - Retail'!O77</f>
        <v>323218.60491525423</v>
      </c>
      <c r="I53" s="19">
        <f>'D2C - Retail'!P77</f>
        <v>585361.91762711853</v>
      </c>
      <c r="J53" s="19">
        <f>'D2C - Retail'!Q77</f>
        <v>1434112.5186440677</v>
      </c>
      <c r="K53" s="19">
        <f>'D2C - Retail'!R77</f>
        <v>1916909.0169491526</v>
      </c>
      <c r="L53" s="19">
        <f>'D2C - Retail'!S77</f>
        <v>1864857.9152542371</v>
      </c>
      <c r="M53" s="19">
        <f>'D2C - Retail'!T77</f>
        <v>2103145.220338989</v>
      </c>
      <c r="N53" s="19">
        <f>'D2C - Retail'!U77</f>
        <v>2980363.8983050962</v>
      </c>
      <c r="O53" s="19">
        <f>'D2C - Retail'!V77</f>
        <v>2819812.5000000014</v>
      </c>
      <c r="P53" s="19">
        <f>'D2C - Retail'!W77</f>
        <v>2794570.5423728824</v>
      </c>
      <c r="Q53" s="19">
        <f>'D2C - Retail'!X77</f>
        <v>3890118.8983050846</v>
      </c>
      <c r="R53" s="19">
        <f>'D2C - Retail'!Y77</f>
        <v>2852313.5423728838</v>
      </c>
      <c r="S53" s="19">
        <f>'D2C - Retail'!Z77</f>
        <v>2910847.6101694922</v>
      </c>
      <c r="T53" s="19">
        <f>'D2C - Retail'!AA77</f>
        <v>3619849.6355932192</v>
      </c>
      <c r="U53" s="19">
        <f>'D2C - Retail'!AB77</f>
        <v>3968494.2203389779</v>
      </c>
      <c r="V53" s="19">
        <f>'D2C - Retail'!AC77</f>
        <v>4713921.966101693</v>
      </c>
      <c r="W53" s="19">
        <f>'D2C - Retail'!AD77</f>
        <v>5194884.3305084733</v>
      </c>
      <c r="X53" s="19">
        <f>'D2C - Retail'!AE77</f>
        <v>4912368.0677966084</v>
      </c>
      <c r="Y53" s="19">
        <f>'D2C - Retail'!AF77</f>
        <v>4131353.6016949159</v>
      </c>
      <c r="Z53" s="19">
        <f>'D2C - Retail'!AG77</f>
        <v>4320313.6355932206</v>
      </c>
      <c r="AA53" s="19">
        <f>'D2C - Retail'!AH77</f>
        <v>5246277.2118644062</v>
      </c>
      <c r="AB53" s="19">
        <f>'D2C - Retail'!AI77</f>
        <v>5788866.8813559338</v>
      </c>
      <c r="AC53" s="19">
        <f>'D2C - Retail'!AJ77</f>
        <v>5918657.9830508456</v>
      </c>
      <c r="AD53" s="19">
        <f>'D2C - Retail'!AK77</f>
        <v>6228429.4317796668</v>
      </c>
      <c r="AE53" s="19">
        <f>'D2C - Retail'!AL77</f>
        <v>6529433.0508474549</v>
      </c>
      <c r="AF53" s="19">
        <f>'D2C - Retail'!AM77</f>
        <v>7061511.5338983228</v>
      </c>
      <c r="AG53" s="19">
        <f>'D2C - Retail'!AN77</f>
        <v>6654681.1864406755</v>
      </c>
      <c r="AH53" s="19">
        <f>'D2C - Retail'!AO77</f>
        <v>9766620.2220339496</v>
      </c>
      <c r="AI53" s="19">
        <f>'D2C - Retail'!AP77</f>
        <v>9247154.2630169485</v>
      </c>
      <c r="AJ53" s="19">
        <f>'D2C - Retail'!AQ77</f>
        <v>12366152.476016937</v>
      </c>
      <c r="AK53" s="19">
        <f>'D2C - Retail'!AR77</f>
        <v>7975094.2067291066</v>
      </c>
      <c r="AL53" s="19">
        <f>'D2C - Retail'!AS77</f>
        <v>6778621.0431864532</v>
      </c>
      <c r="AM53" s="19">
        <f>'D2C - Retail'!AT77</f>
        <v>5929002.4660980497</v>
      </c>
      <c r="AN53" s="19">
        <f>'D2C - Retail'!AU77</f>
        <v>6625074.0357247572</v>
      </c>
      <c r="AO53" s="19">
        <f>'D2C - Retail'!AV77</f>
        <v>7358951.6864168961</v>
      </c>
      <c r="AP53" s="19">
        <f>'D2C - Retail'!AW77</f>
        <v>7721803.4915021686</v>
      </c>
      <c r="AQ53" s="19">
        <f>'D2C - Retail'!AX77</f>
        <v>7734957.7289921194</v>
      </c>
      <c r="AR53" s="19">
        <f>'D2C - Retail'!AY77</f>
        <v>8830884.7500323616</v>
      </c>
      <c r="AS53" s="19">
        <f>'D2C - Retail'!AZ77</f>
        <v>8628772.838986557</v>
      </c>
      <c r="AT53" s="19">
        <f>'D2C - Retail'!BA77</f>
        <v>8541592.2542372849</v>
      </c>
      <c r="AU53" s="19">
        <f>'D2C - Retail'!BB77</f>
        <v>6726596.5310319234</v>
      </c>
      <c r="AV53" s="19">
        <f>'D2C - Retail'!BC77</f>
        <v>10665138.289480871</v>
      </c>
      <c r="AW53" s="19">
        <f>'D2C - Retail'!BD77</f>
        <v>8659808.2203389872</v>
      </c>
      <c r="AX53" s="19">
        <f>'D2C - Retail'!BE77</f>
        <v>10315393.861176064</v>
      </c>
      <c r="AY53" s="19">
        <f>'D2C - Retail'!BF77</f>
        <v>10878726.559321949</v>
      </c>
      <c r="AZ53" s="19">
        <f>'D2C - Retail'!BG77</f>
        <v>9892725.2288135029</v>
      </c>
      <c r="BA53" s="19">
        <f>'D2C - Retail'!BH77</f>
        <v>11480402.09322034</v>
      </c>
      <c r="BB53" s="19">
        <f>'D2C - Retail'!BI77</f>
        <v>10728367.423728812</v>
      </c>
      <c r="BC53" s="19">
        <f>'D2C - Retail'!BJ77</f>
        <v>11458639.73728813</v>
      </c>
      <c r="BD53" s="19">
        <f>'D2C - Retail'!BK77</f>
        <v>8870793.8474575356</v>
      </c>
      <c r="BE53" s="19">
        <f>'D2C - Retail'!BL77</f>
        <v>10753407.838983051</v>
      </c>
      <c r="BF53" s="19">
        <f>'D2C - Retail'!BM77</f>
        <v>9724848.7796610184</v>
      </c>
      <c r="BG53" s="19">
        <f>'D2C - Retail'!BN77</f>
        <v>11935964.745762711</v>
      </c>
      <c r="BH53" s="19">
        <f>'D2C - Retail'!BO77</f>
        <v>16798452.915254239</v>
      </c>
      <c r="BI53" s="19">
        <f>'D2C - Retail'!BP77</f>
        <v>14809092.483050846</v>
      </c>
      <c r="BJ53" s="19">
        <f>'D2C - Retail'!BQ77</f>
        <v>18869461.355932225</v>
      </c>
      <c r="BK53" s="19">
        <f>'D2C - Retail'!BR77</f>
        <v>16181436.008474588</v>
      </c>
      <c r="BL53" s="19">
        <f>'D2C - Retail'!BS77</f>
        <v>15580690.135593239</v>
      </c>
      <c r="BM53" s="19">
        <f>'D2C - Retail'!BT77</f>
        <v>18342360.135593247</v>
      </c>
      <c r="BN53" s="19">
        <f>'D2C - Retail'!BU77</f>
        <v>15824767.118204009</v>
      </c>
      <c r="BO53" s="19">
        <f>'D2C - Retail'!BV77</f>
        <v>16037230.616760356</v>
      </c>
      <c r="BP53" s="19">
        <f>'D2C - Retail'!BW77</f>
        <v>16276705.171581371</v>
      </c>
      <c r="BQ53" s="19">
        <f>'D2C - Retail'!BX77</f>
        <v>16211459.198376186</v>
      </c>
      <c r="BR53" s="19">
        <f>'D2C - Retail'!BY77</f>
        <v>16753322.574999411</v>
      </c>
      <c r="BS53" s="19">
        <f>'D2C - Retail'!BZ77</f>
        <v>17249589.103529029</v>
      </c>
      <c r="BT53" s="19">
        <f>'D2C - Retail'!CA77</f>
        <v>16811412.732362665</v>
      </c>
      <c r="BU53" s="19">
        <f>'D2C - Retail'!CB77</f>
        <v>17281886.263273239</v>
      </c>
      <c r="BV53" s="19">
        <f>'D2C - Retail'!CC77</f>
        <v>16915318.136764847</v>
      </c>
      <c r="BW53" s="19">
        <f>'D2C - Retail'!CD77</f>
        <v>16990734.083700545</v>
      </c>
      <c r="BX53" s="19">
        <f>'D2C - Retail'!CE77</f>
        <v>17460071.703107912</v>
      </c>
      <c r="BY53" s="19">
        <f>'D2C - Retail'!CF77</f>
        <v>17262059.944774192</v>
      </c>
      <c r="BZ53" s="19">
        <f>'D2C - Retail'!CG77</f>
        <v>17710967.599987604</v>
      </c>
      <c r="CA53" s="19">
        <f>'D2C - Retail'!CH77</f>
        <v>18005805.748033326</v>
      </c>
      <c r="CB53" s="19">
        <f>'D2C - Retail'!CI77</f>
        <v>18185592.366706822</v>
      </c>
      <c r="CC53" s="19">
        <f>'D2C - Retail'!CJ77</f>
        <v>18073592.280109659</v>
      </c>
      <c r="CD53" s="19">
        <f>'D2C - Retail'!CK77</f>
        <v>18689746.973477978</v>
      </c>
      <c r="CE53" s="19">
        <f>'D2C - Retail'!CL77</f>
        <v>19233023.559891835</v>
      </c>
      <c r="CF53" s="19">
        <f>'D2C - Retail'!CM77</f>
        <v>18600964.570796862</v>
      </c>
      <c r="CG53" s="19">
        <f>'D2C - Retail'!CN77</f>
        <v>19060806.875455439</v>
      </c>
      <c r="CH53" s="19">
        <f>'D2C - Retail'!CO77</f>
        <v>18522987.630221467</v>
      </c>
      <c r="CI53" s="19">
        <f>'D2C - Retail'!CP77</f>
        <v>18521012.601465307</v>
      </c>
      <c r="CJ53" s="19">
        <f>'D2C - Retail'!CQ77</f>
        <v>18976775.369983636</v>
      </c>
      <c r="CK53" s="19">
        <f>'D2C - Retail'!CR77</f>
        <v>18495426.427759439</v>
      </c>
      <c r="CL53" s="19">
        <f>'D2C - Retail'!CS77</f>
        <v>19116502.171538457</v>
      </c>
      <c r="CM53" s="19">
        <f>'D2C - Retail'!CT77</f>
        <v>19423571.354418475</v>
      </c>
      <c r="CN53" s="19">
        <f>'D2C - Retail'!CU77</f>
        <v>19609026.74457965</v>
      </c>
      <c r="CO53" s="19">
        <f>'D2C - Retail'!CV77</f>
        <v>19461497.524942778</v>
      </c>
      <c r="CP53" s="19">
        <f>'D2C - Retail'!CW77</f>
        <v>20134735.409837458</v>
      </c>
      <c r="CQ53" s="19">
        <f>'D2C - Retail'!CX77</f>
        <v>20714275.353804309</v>
      </c>
      <c r="CR53" s="19">
        <f>'D2C - Retail'!CY77</f>
        <v>19984884.182315126</v>
      </c>
      <c r="CS53" s="19">
        <f>'D2C - Retail'!CZ77</f>
        <v>20488925.820342112</v>
      </c>
      <c r="CT53" s="19">
        <f>'D2C - Retail'!DA77</f>
        <v>19867491.338398762</v>
      </c>
      <c r="CU53" s="19">
        <f>'D2C - Retail'!DB77</f>
        <v>19855783.301287811</v>
      </c>
      <c r="CV53" s="19">
        <f>'D2C - Retail'!DC77</f>
        <v>20354995.060529321</v>
      </c>
      <c r="CW53" s="19">
        <f>'D2C - Retail'!DD77</f>
        <v>19798555.819560114</v>
      </c>
      <c r="CY53" s="19">
        <f t="shared" si="171"/>
        <v>19819374.016525444</v>
      </c>
      <c r="CZ53" s="19">
        <f t="shared" si="172"/>
        <v>25668455.671491571</v>
      </c>
      <c r="DA53" s="19">
        <f t="shared" si="173"/>
        <v>27119867.725932498</v>
      </c>
      <c r="DB53" s="19">
        <f t="shared" si="174"/>
        <v>19913028.188239701</v>
      </c>
      <c r="DC53" s="19">
        <f t="shared" si="175"/>
        <v>24287645.970526651</v>
      </c>
      <c r="DD53" s="19">
        <f t="shared" si="176"/>
        <v>23896961.624255762</v>
      </c>
      <c r="DE53" s="19">
        <f t="shared" si="177"/>
        <v>29640340.370995924</v>
      </c>
      <c r="DF53" s="19">
        <f t="shared" si="178"/>
        <v>32251853.881355792</v>
      </c>
      <c r="DG53" s="19">
        <f t="shared" si="179"/>
        <v>31057801.008474477</v>
      </c>
      <c r="DH53" s="19">
        <f t="shared" si="180"/>
        <v>32414221.364406779</v>
      </c>
      <c r="DI53" s="19">
        <f t="shared" si="181"/>
        <v>50477006.754237309</v>
      </c>
      <c r="DJ53" s="19">
        <f t="shared" si="182"/>
        <v>50104486.279661074</v>
      </c>
      <c r="DK53" s="19">
        <f t="shared" si="183"/>
        <v>48138702.906545736</v>
      </c>
      <c r="DL53" s="19">
        <f t="shared" si="184"/>
        <v>50214370.876904622</v>
      </c>
      <c r="DM53" s="19">
        <f t="shared" si="185"/>
        <v>51008617.132400751</v>
      </c>
      <c r="DN53" s="19">
        <f t="shared" si="186"/>
        <v>51712865.731582657</v>
      </c>
      <c r="DO53" s="19">
        <f t="shared" si="187"/>
        <v>53902365.714727744</v>
      </c>
      <c r="DP53" s="19">
        <f t="shared" si="188"/>
        <v>55996362.813479468</v>
      </c>
      <c r="DQ53" s="19">
        <f t="shared" si="189"/>
        <v>56184759.076473773</v>
      </c>
      <c r="DR53" s="19">
        <f t="shared" si="190"/>
        <v>55993214.399208382</v>
      </c>
      <c r="DS53" s="19">
        <f t="shared" si="23"/>
        <v>58149100.270536579</v>
      </c>
      <c r="DT53" s="19">
        <f t="shared" si="24"/>
        <v>60310508.288584545</v>
      </c>
      <c r="DU53" s="19">
        <f t="shared" si="25"/>
        <v>60341301.341055997</v>
      </c>
      <c r="DV53" s="19">
        <f t="shared" si="26"/>
        <v>60009334.181377247</v>
      </c>
      <c r="DX53" s="19">
        <f t="shared" si="191"/>
        <v>92520725.602189213</v>
      </c>
      <c r="DY53" s="19">
        <f t="shared" si="192"/>
        <v>110076801.84713413</v>
      </c>
      <c r="DZ53" s="19">
        <f t="shared" si="193"/>
        <v>164053515.40677965</v>
      </c>
      <c r="EA53" s="19">
        <f t="shared" si="194"/>
        <v>201074556.64743376</v>
      </c>
      <c r="EB53" s="19">
        <f t="shared" si="195"/>
        <v>222076702.00388938</v>
      </c>
      <c r="EC53" s="770">
        <f t="shared" si="32"/>
        <v>238810244.08155435</v>
      </c>
    </row>
    <row r="54" spans="2:133" x14ac:dyDescent="0.2">
      <c r="B54" s="155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Y54" s="19">
        <f t="shared" si="171"/>
        <v>0</v>
      </c>
      <c r="CZ54" s="19">
        <f t="shared" si="172"/>
        <v>0</v>
      </c>
      <c r="DA54" s="19">
        <f t="shared" si="173"/>
        <v>0</v>
      </c>
      <c r="DB54" s="19">
        <f t="shared" si="174"/>
        <v>0</v>
      </c>
      <c r="DC54" s="19">
        <f t="shared" si="175"/>
        <v>0</v>
      </c>
      <c r="DD54" s="19">
        <f t="shared" si="176"/>
        <v>0</v>
      </c>
      <c r="DE54" s="19">
        <f t="shared" si="177"/>
        <v>0</v>
      </c>
      <c r="DF54" s="19">
        <f t="shared" si="178"/>
        <v>0</v>
      </c>
      <c r="DG54" s="19">
        <f t="shared" si="179"/>
        <v>0</v>
      </c>
      <c r="DH54" s="19">
        <f t="shared" si="180"/>
        <v>0</v>
      </c>
      <c r="DI54" s="19">
        <f t="shared" si="181"/>
        <v>0</v>
      </c>
      <c r="DJ54" s="19">
        <f t="shared" si="182"/>
        <v>0</v>
      </c>
      <c r="DK54" s="19">
        <f t="shared" si="183"/>
        <v>0</v>
      </c>
      <c r="DL54" s="19">
        <f t="shared" si="184"/>
        <v>0</v>
      </c>
      <c r="DM54" s="19">
        <f t="shared" si="185"/>
        <v>0</v>
      </c>
      <c r="DN54" s="19">
        <f t="shared" si="186"/>
        <v>0</v>
      </c>
      <c r="DO54" s="19">
        <f t="shared" si="187"/>
        <v>0</v>
      </c>
      <c r="DP54" s="19">
        <f t="shared" si="188"/>
        <v>0</v>
      </c>
      <c r="DQ54" s="19">
        <f t="shared" si="189"/>
        <v>0</v>
      </c>
      <c r="DR54" s="19">
        <f t="shared" si="190"/>
        <v>0</v>
      </c>
      <c r="DS54" s="19">
        <f t="shared" si="23"/>
        <v>0</v>
      </c>
      <c r="DT54" s="19">
        <f t="shared" si="24"/>
        <v>0</v>
      </c>
      <c r="DU54" s="19">
        <f t="shared" si="25"/>
        <v>0</v>
      </c>
      <c r="DV54" s="19">
        <f t="shared" si="26"/>
        <v>0</v>
      </c>
      <c r="DX54" s="19">
        <f t="shared" si="191"/>
        <v>0</v>
      </c>
      <c r="DY54" s="19">
        <f t="shared" si="192"/>
        <v>0</v>
      </c>
      <c r="DZ54" s="19">
        <f t="shared" si="193"/>
        <v>0</v>
      </c>
      <c r="EA54" s="19">
        <f t="shared" si="194"/>
        <v>0</v>
      </c>
      <c r="EB54" s="19">
        <f t="shared" si="195"/>
        <v>0</v>
      </c>
      <c r="EC54" s="770">
        <f t="shared" si="32"/>
        <v>0</v>
      </c>
    </row>
    <row r="55" spans="2:133" x14ac:dyDescent="0.2">
      <c r="B55" s="155" t="s">
        <v>229</v>
      </c>
      <c r="C55" s="19">
        <f>'D2C - Retail'!J74</f>
        <v>40263575.560834743</v>
      </c>
      <c r="D55" s="19">
        <f>'D2C - Retail'!K74</f>
        <v>39142392.322711855</v>
      </c>
      <c r="E55" s="19">
        <f>'D2C - Retail'!L74</f>
        <v>43520346.236288227</v>
      </c>
      <c r="F55" s="19">
        <f>'D2C - Retail'!M74</f>
        <v>24866016.231860984</v>
      </c>
      <c r="G55" s="19">
        <f>'D2C - Retail'!N74</f>
        <v>628112.17694915284</v>
      </c>
      <c r="H55" s="19">
        <f>'D2C - Retail'!O74</f>
        <v>18364299.585980769</v>
      </c>
      <c r="I55" s="19">
        <f>'D2C - Retail'!P74</f>
        <v>27335239.158454947</v>
      </c>
      <c r="J55" s="19">
        <f>'D2C - Retail'!Q74</f>
        <v>34951543.990909465</v>
      </c>
      <c r="K55" s="19">
        <f>'D2C - Retail'!R74</f>
        <v>46992051.860611774</v>
      </c>
      <c r="L55" s="19">
        <f>'D2C - Retail'!S74</f>
        <v>57247837.403012209</v>
      </c>
      <c r="M55" s="19">
        <f>'D2C - Retail'!T74</f>
        <v>80036711.811065108</v>
      </c>
      <c r="N55" s="19">
        <f>'D2C - Retail'!U74</f>
        <v>96879986.433450788</v>
      </c>
      <c r="O55" s="19">
        <f>'D2C - Retail'!V74</f>
        <v>95172390.164747134</v>
      </c>
      <c r="P55" s="19">
        <f>'D2C - Retail'!W74</f>
        <v>102377800.67927426</v>
      </c>
      <c r="Q55" s="19">
        <f>'D2C - Retail'!X74</f>
        <v>114751387.8466906</v>
      </c>
      <c r="R55" s="19">
        <f>'D2C - Retail'!Y74</f>
        <v>103226771.82334834</v>
      </c>
      <c r="S55" s="19">
        <f>'D2C - Retail'!Z74</f>
        <v>125950980.88732228</v>
      </c>
      <c r="T55" s="19">
        <f>'D2C - Retail'!AA74</f>
        <v>150111704.66086498</v>
      </c>
      <c r="U55" s="19">
        <f>'D2C - Retail'!AB74</f>
        <v>154927211.82380763</v>
      </c>
      <c r="V55" s="19">
        <f>'D2C - Retail'!AC74</f>
        <v>162334677.849646</v>
      </c>
      <c r="W55" s="19">
        <f>'D2C - Retail'!AD74</f>
        <v>156511493.75597769</v>
      </c>
      <c r="X55" s="19">
        <f>'D2C - Retail'!AE74</f>
        <v>173702433.39823127</v>
      </c>
      <c r="Y55" s="19">
        <f>'D2C - Retail'!AF74</f>
        <v>179574681.28936067</v>
      </c>
      <c r="Z55" s="19">
        <f>'D2C - Retail'!AG74</f>
        <v>217036805.98255402</v>
      </c>
      <c r="AA55" s="19">
        <f>'D2C - Retail'!AH74</f>
        <v>238563156.40943953</v>
      </c>
      <c r="AB55" s="19">
        <f>'D2C - Retail'!AI74</f>
        <v>236514319.40370616</v>
      </c>
      <c r="AC55" s="19">
        <f>'D2C - Retail'!AJ74</f>
        <v>298903527.9517296</v>
      </c>
      <c r="AD55" s="19">
        <f>'D2C - Retail'!AK74</f>
        <v>319558257.92100018</v>
      </c>
      <c r="AE55" s="19">
        <f>'D2C - Retail'!AL74</f>
        <v>336980210.66711044</v>
      </c>
      <c r="AF55" s="19">
        <f>'D2C - Retail'!AM74</f>
        <v>329997523.56056017</v>
      </c>
      <c r="AG55" s="19">
        <f>'D2C - Retail'!AN74</f>
        <v>290921164.72996676</v>
      </c>
      <c r="AH55" s="19">
        <f>'D2C - Retail'!AO74</f>
        <v>292069235.94220668</v>
      </c>
      <c r="AI55" s="19">
        <f>'D2C - Retail'!AP74</f>
        <v>276140951.49092841</v>
      </c>
      <c r="AJ55" s="19">
        <f>'D2C - Retail'!AQ74</f>
        <v>391588701.36266869</v>
      </c>
      <c r="AK55" s="19">
        <f>'D2C - Retail'!AR74</f>
        <v>340937017.84405154</v>
      </c>
      <c r="AL55" s="19">
        <f>'D2C - Retail'!AS74</f>
        <v>295121964.87354445</v>
      </c>
      <c r="AM55" s="19">
        <f>'D2C - Retail'!AT74</f>
        <v>265704583.54988667</v>
      </c>
      <c r="AN55" s="19">
        <f>'D2C - Retail'!AU74</f>
        <v>243360536.99336153</v>
      </c>
      <c r="AO55" s="19">
        <f>'D2C - Retail'!AV74</f>
        <v>293054278.07923847</v>
      </c>
      <c r="AP55" s="19">
        <f>'D2C - Retail'!AW74</f>
        <v>310838217.24076301</v>
      </c>
      <c r="AQ55" s="19">
        <f>'D2C - Retail'!AX74</f>
        <v>311703744.5294854</v>
      </c>
      <c r="AR55" s="19">
        <f>'D2C - Retail'!AY74</f>
        <v>333807455.86404884</v>
      </c>
      <c r="AS55" s="19">
        <f>'D2C - Retail'!AZ74</f>
        <v>316072436.7030797</v>
      </c>
      <c r="AT55" s="19">
        <f>'D2C - Retail'!BA74</f>
        <v>269092017.66929555</v>
      </c>
      <c r="AU55" s="19">
        <f>'D2C - Retail'!BB74</f>
        <v>231735640.60687006</v>
      </c>
      <c r="AV55" s="19">
        <f>'D2C - Retail'!BC74</f>
        <v>327741025.24051946</v>
      </c>
      <c r="AW55" s="19">
        <f>'D2C - Retail'!BD74</f>
        <v>319814318.29682046</v>
      </c>
      <c r="AX55" s="19">
        <f>'D2C - Retail'!BE74</f>
        <v>380514455.21450275</v>
      </c>
      <c r="AY55" s="19">
        <f>'D2C - Retail'!BF74</f>
        <v>391377065.93301147</v>
      </c>
      <c r="AZ55" s="19">
        <f>'D2C - Retail'!BG74</f>
        <v>369746692.70490921</v>
      </c>
      <c r="BA55" s="19">
        <f>'D2C - Retail'!BH74</f>
        <v>460300639.56869185</v>
      </c>
      <c r="BB55" s="19">
        <f>'D2C - Retail'!BI74</f>
        <v>446390109.09221852</v>
      </c>
      <c r="BC55" s="19">
        <f>'D2C - Retail'!BJ74</f>
        <v>427143556.36654204</v>
      </c>
      <c r="BD55" s="19">
        <f>'D2C - Retail'!BK74</f>
        <v>438696551.77529627</v>
      </c>
      <c r="BE55" s="19">
        <f>'D2C - Retail'!BL74</f>
        <v>482002044.97695023</v>
      </c>
      <c r="BF55" s="19">
        <f>'D2C - Retail'!BM74</f>
        <v>407095041.58406943</v>
      </c>
      <c r="BG55" s="19">
        <f>'D2C - Retail'!BN74</f>
        <v>382446772.2740652</v>
      </c>
      <c r="BH55" s="19">
        <f>'D2C - Retail'!BO74</f>
        <v>557655921.58084357</v>
      </c>
      <c r="BI55" s="19">
        <f>'D2C - Retail'!BP74</f>
        <v>498716626.18423724</v>
      </c>
      <c r="BJ55" s="19">
        <f>'D2C - Retail'!BQ74</f>
        <v>623373415.48219919</v>
      </c>
      <c r="BK55" s="19">
        <f>'D2C - Retail'!BR74</f>
        <v>659550540.51932061</v>
      </c>
      <c r="BL55" s="19">
        <f>'D2C - Retail'!BS74</f>
        <v>638715068.3508426</v>
      </c>
      <c r="BM55" s="19">
        <f>'D2C - Retail'!BT74</f>
        <v>766919876.31966007</v>
      </c>
      <c r="BN55" s="19">
        <f>'D2C - Retail'!BU74</f>
        <v>639917770.52199888</v>
      </c>
      <c r="BO55" s="19">
        <f>'D2C - Retail'!BV74</f>
        <v>626672846.69054782</v>
      </c>
      <c r="BP55" s="19">
        <f>'D2C - Retail'!BW74</f>
        <v>625366560.37482357</v>
      </c>
      <c r="BQ55" s="19">
        <f>'D2C - Retail'!BX74</f>
        <v>677187882.77708423</v>
      </c>
      <c r="BR55" s="19">
        <f>'D2C - Retail'!BY74</f>
        <v>605033074.75663447</v>
      </c>
      <c r="BS55" s="19">
        <f>'D2C - Retail'!BZ74</f>
        <v>561828653.08972585</v>
      </c>
      <c r="BT55" s="19">
        <f>'D2C - Retail'!CA74</f>
        <v>701026113.39561045</v>
      </c>
      <c r="BU55" s="19">
        <f>'D2C - Retail'!CB74</f>
        <v>645597667.82244015</v>
      </c>
      <c r="BV55" s="19">
        <f>'D2C - Retail'!CC74</f>
        <v>768017595.65986013</v>
      </c>
      <c r="BW55" s="19">
        <f>'D2C - Retail'!CD74</f>
        <v>786882378.72070217</v>
      </c>
      <c r="BX55" s="19">
        <f>'D2C - Retail'!CE74</f>
        <v>731720072.78295255</v>
      </c>
      <c r="BY55" s="19">
        <f>'D2C - Retail'!CF74</f>
        <v>851182346.21011841</v>
      </c>
      <c r="BZ55" s="19">
        <f>'D2C - Retail'!CG74</f>
        <v>782539478.54914796</v>
      </c>
      <c r="CA55" s="19">
        <f>'D2C - Retail'!CH74</f>
        <v>768261718.24554539</v>
      </c>
      <c r="CB55" s="19">
        <f>'D2C - Retail'!CI74</f>
        <v>762672859.93868947</v>
      </c>
      <c r="CC55" s="19">
        <f>'D2C - Retail'!CJ74</f>
        <v>825448488.77891541</v>
      </c>
      <c r="CD55" s="19">
        <f>'D2C - Retail'!CK74</f>
        <v>735887514.96332145</v>
      </c>
      <c r="CE55" s="19">
        <f>'D2C - Retail'!CL74</f>
        <v>681668820.0620333</v>
      </c>
      <c r="CF55" s="19">
        <f>'D2C - Retail'!CM74</f>
        <v>848024998.99117577</v>
      </c>
      <c r="CG55" s="19">
        <f>'D2C - Retail'!CN74</f>
        <v>776820185.60769987</v>
      </c>
      <c r="CH55" s="19">
        <f>'D2C - Retail'!CO74</f>
        <v>921096360.06250036</v>
      </c>
      <c r="CI55" s="19">
        <f>'D2C - Retail'!CP74</f>
        <v>939826324.25986111</v>
      </c>
      <c r="CJ55" s="19">
        <f>'D2C - Retail'!CQ74</f>
        <v>869577330.28483772</v>
      </c>
      <c r="CK55" s="19">
        <f>'D2C - Retail'!CR74</f>
        <v>1000622732.9650203</v>
      </c>
      <c r="CL55" s="19">
        <f>'D2C - Retail'!CS74</f>
        <v>891641553.5671829</v>
      </c>
      <c r="CM55" s="19">
        <f>'D2C - Retail'!CT74</f>
        <v>874498109.49999392</v>
      </c>
      <c r="CN55" s="19">
        <f>'D2C - Retail'!CU74</f>
        <v>867581080.14041674</v>
      </c>
      <c r="CO55" s="19">
        <f>'D2C - Retail'!CV74</f>
        <v>938681046.29678893</v>
      </c>
      <c r="CP55" s="19">
        <f>'D2C - Retail'!CW74</f>
        <v>835745703.31726062</v>
      </c>
      <c r="CQ55" s="19">
        <f>'D2C - Retail'!CX74</f>
        <v>773030645.15966046</v>
      </c>
      <c r="CR55" s="19">
        <f>'D2C - Retail'!CY74</f>
        <v>962191374.85171044</v>
      </c>
      <c r="CS55" s="19">
        <f>'D2C - Retail'!CZ74</f>
        <v>880630830.02676558</v>
      </c>
      <c r="CT55" s="19">
        <f>'D2C - Retail'!DA74</f>
        <v>1044497728.3633016</v>
      </c>
      <c r="CU55" s="19">
        <f>'D2C - Retail'!DB74</f>
        <v>1065508098.4618016</v>
      </c>
      <c r="CV55" s="19">
        <f>'D2C - Retail'!DC74</f>
        <v>985079175.40093029</v>
      </c>
      <c r="CW55" s="19">
        <f>'D2C - Retail'!DD74</f>
        <v>1133717942.2429998</v>
      </c>
      <c r="CY55" s="19">
        <f t="shared" si="171"/>
        <v>986535992.14867091</v>
      </c>
      <c r="CZ55" s="19">
        <f t="shared" si="172"/>
        <v>859131352.16310191</v>
      </c>
      <c r="DA55" s="19">
        <f t="shared" si="173"/>
        <v>1027647684.0802647</v>
      </c>
      <c r="DB55" s="19">
        <f t="shared" si="174"/>
        <v>802119398.62248659</v>
      </c>
      <c r="DC55" s="19">
        <f t="shared" si="175"/>
        <v>956349417.63429725</v>
      </c>
      <c r="DD55" s="19">
        <f t="shared" si="176"/>
        <v>816900094.97924531</v>
      </c>
      <c r="DE55" s="19">
        <f t="shared" si="177"/>
        <v>1028069798.7518427</v>
      </c>
      <c r="DF55" s="19">
        <f t="shared" si="178"/>
        <v>1221424398.2066126</v>
      </c>
      <c r="DG55" s="19">
        <f t="shared" si="179"/>
        <v>1312230217.2340567</v>
      </c>
      <c r="DH55" s="19">
        <f t="shared" si="180"/>
        <v>1271543858.8350849</v>
      </c>
      <c r="DI55" s="19">
        <f t="shared" si="181"/>
        <v>1679745963.2472801</v>
      </c>
      <c r="DJ55" s="19">
        <f t="shared" si="182"/>
        <v>2065185485.1898232</v>
      </c>
      <c r="DK55" s="19">
        <f t="shared" si="183"/>
        <v>1891957177.5873704</v>
      </c>
      <c r="DL55" s="19">
        <f t="shared" si="184"/>
        <v>1844049610.6234446</v>
      </c>
      <c r="DM55" s="19">
        <f t="shared" si="185"/>
        <v>2114641376.8779106</v>
      </c>
      <c r="DN55" s="19">
        <f t="shared" si="186"/>
        <v>2369784797.7137733</v>
      </c>
      <c r="DO55" s="19">
        <f t="shared" si="187"/>
        <v>2313474056.7333832</v>
      </c>
      <c r="DP55" s="19">
        <f t="shared" si="188"/>
        <v>2243004823.8042703</v>
      </c>
      <c r="DQ55" s="19">
        <f t="shared" si="189"/>
        <v>2545941544.661376</v>
      </c>
      <c r="DR55" s="19">
        <f t="shared" si="190"/>
        <v>2810026387.5097189</v>
      </c>
      <c r="DS55" s="19">
        <f t="shared" si="23"/>
        <v>2633720743.2075934</v>
      </c>
      <c r="DT55" s="19">
        <f t="shared" si="24"/>
        <v>2547457394.7737098</v>
      </c>
      <c r="DU55" s="19">
        <f t="shared" si="25"/>
        <v>2887319933.2417779</v>
      </c>
      <c r="DV55" s="19">
        <f t="shared" si="26"/>
        <v>3184305216.105732</v>
      </c>
      <c r="DX55" s="19">
        <f t="shared" si="191"/>
        <v>3675434427.014524</v>
      </c>
      <c r="DY55" s="19">
        <f t="shared" si="192"/>
        <v>4022743709.5719976</v>
      </c>
      <c r="DZ55" s="19">
        <f t="shared" si="193"/>
        <v>6328705524.5062447</v>
      </c>
      <c r="EA55" s="19">
        <f t="shared" si="194"/>
        <v>8220432962.8024998</v>
      </c>
      <c r="EB55" s="19">
        <f t="shared" si="195"/>
        <v>9912446812.7087479</v>
      </c>
      <c r="EC55" s="770">
        <f t="shared" si="32"/>
        <v>11252803287.328814</v>
      </c>
    </row>
    <row r="56" spans="2:133" x14ac:dyDescent="0.2">
      <c r="B56" s="155" t="s">
        <v>237</v>
      </c>
      <c r="C56" s="19">
        <f>'D2C Online'!AA58</f>
        <v>4012501.9966101693</v>
      </c>
      <c r="D56" s="19">
        <f>'D2C Online'!AB58</f>
        <v>3401090.9731796607</v>
      </c>
      <c r="E56" s="19">
        <f>'D2C Online'!AC58</f>
        <v>5005173.3336016946</v>
      </c>
      <c r="F56" s="19">
        <f>'D2C Online'!AD58</f>
        <v>3417334.2820762713</v>
      </c>
      <c r="G56" s="19">
        <f>'D2C Online'!AE58</f>
        <v>3379670.6720338976</v>
      </c>
      <c r="H56" s="19">
        <f>'D2C Online'!AF58</f>
        <v>4671568.3139830464</v>
      </c>
      <c r="I56" s="19">
        <f>'D2C Online'!AG58</f>
        <v>5125284.4350847453</v>
      </c>
      <c r="J56" s="19">
        <f>'D2C Online'!AH58</f>
        <v>5081379.4215254234</v>
      </c>
      <c r="K56" s="19">
        <f>'D2C Online'!AI58</f>
        <v>6363177.6359254066</v>
      </c>
      <c r="L56" s="19">
        <f>'D2C Online'!AJ58</f>
        <v>3110138.7888474581</v>
      </c>
      <c r="M56" s="19">
        <f>'D2C Online'!AK58</f>
        <v>12695000.082298389</v>
      </c>
      <c r="N56" s="19">
        <f>'D2C Online'!AL58</f>
        <v>13881643.255315254</v>
      </c>
      <c r="O56" s="19">
        <f>'D2C Online'!AM58</f>
        <v>21714514.960293222</v>
      </c>
      <c r="P56" s="19">
        <f>'D2C Online'!AN58</f>
        <v>23532575.327711865</v>
      </c>
      <c r="Q56" s="19">
        <f>'D2C Online'!AO58</f>
        <v>18084439.825764745</v>
      </c>
      <c r="R56" s="19">
        <f>'D2C Online'!AP58</f>
        <v>17743243.71685423</v>
      </c>
      <c r="S56" s="19">
        <f>'D2C Online'!AQ58</f>
        <v>22571505.119999997</v>
      </c>
      <c r="T56" s="19">
        <f>'D2C Online'!AR58</f>
        <v>37356443.28742373</v>
      </c>
      <c r="U56" s="19">
        <f>'D2C Online'!AS58</f>
        <v>30983676.565952975</v>
      </c>
      <c r="V56" s="19">
        <f>'D2C Online'!AT58</f>
        <v>21629841.467352636</v>
      </c>
      <c r="W56" s="19">
        <f>'D2C Online'!AU58</f>
        <v>23202785.237288237</v>
      </c>
      <c r="X56" s="19">
        <f>'D2C Online'!AV58</f>
        <v>46624355.738508657</v>
      </c>
      <c r="Y56" s="19">
        <f>'D2C Online'!AW58</f>
        <v>36024406.480508476</v>
      </c>
      <c r="Z56" s="19">
        <f>'D2C Online'!AX58</f>
        <v>33859102.817423955</v>
      </c>
      <c r="AA56" s="19">
        <f>'D2C Online'!AY58</f>
        <v>45001309.617037639</v>
      </c>
      <c r="AB56" s="19">
        <f>'D2C Online'!AZ58</f>
        <v>64503887.980444334</v>
      </c>
      <c r="AC56" s="19">
        <f>'D2C Online'!BA58</f>
        <v>119904852.21169575</v>
      </c>
      <c r="AD56" s="19">
        <f>'D2C Online'!BB58</f>
        <v>154381796.26548728</v>
      </c>
      <c r="AE56" s="19">
        <f>'D2C Online'!BC58</f>
        <v>153172337.21505648</v>
      </c>
      <c r="AF56" s="19">
        <f>'D2C Online'!BD58</f>
        <v>184557887.99162194</v>
      </c>
      <c r="AG56" s="19">
        <f>'D2C Online'!BE58</f>
        <v>129316113.17361262</v>
      </c>
      <c r="AH56" s="19">
        <f>'D2C Online'!BF58</f>
        <v>151046972.63811257</v>
      </c>
      <c r="AI56" s="19">
        <f>'D2C Online'!BG58</f>
        <v>169137702.70903161</v>
      </c>
      <c r="AJ56" s="19">
        <f>'D2C Online'!BH58</f>
        <v>266025399.4436416</v>
      </c>
      <c r="AK56" s="19">
        <f>'D2C Online'!BI58</f>
        <v>206526281.09120148</v>
      </c>
      <c r="AL56" s="19">
        <f>'D2C Online'!BJ58</f>
        <v>195090152.98018441</v>
      </c>
      <c r="AM56" s="19">
        <f>'D2C Online'!BK58</f>
        <v>198583526.47927979</v>
      </c>
      <c r="AN56" s="19">
        <f>'D2C Online'!BL58</f>
        <v>144745153.16620427</v>
      </c>
      <c r="AO56" s="19">
        <f>'D2C Online'!BM58</f>
        <v>205035658.84594908</v>
      </c>
      <c r="AP56" s="19">
        <f>'D2C Online'!BN58</f>
        <v>197550488.25108179</v>
      </c>
      <c r="AQ56" s="19">
        <f>'D2C Online'!BO58</f>
        <v>214649617.46269172</v>
      </c>
      <c r="AR56" s="19">
        <f>'D2C Online'!BP58</f>
        <v>222836291.86446032</v>
      </c>
      <c r="AS56" s="19">
        <f>'D2C Online'!BQ58</f>
        <v>233363267.62247545</v>
      </c>
      <c r="AT56" s="19">
        <f>'D2C Online'!BR58</f>
        <v>219461801.96896589</v>
      </c>
      <c r="AU56" s="19">
        <f>'D2C Online'!BS58</f>
        <v>228071512.58676764</v>
      </c>
      <c r="AV56" s="19">
        <f>'D2C Online'!BT58</f>
        <v>243721720.33042181</v>
      </c>
      <c r="AW56" s="19">
        <f>'D2C Online'!BU58</f>
        <v>213573487.86143905</v>
      </c>
      <c r="AX56" s="19">
        <f>'D2C Online'!BV58</f>
        <v>254730738.33033139</v>
      </c>
      <c r="AY56" s="19">
        <f>'D2C Online'!BW58</f>
        <v>285976699.31866157</v>
      </c>
      <c r="AZ56" s="19">
        <f>'D2C Online'!BX58</f>
        <v>274484536.3285138</v>
      </c>
      <c r="BA56" s="19">
        <f>'D2C Online'!BY58</f>
        <v>367862022.80188572</v>
      </c>
      <c r="BB56" s="19">
        <f>'D2C Online'!BZ58</f>
        <v>314586640.51863635</v>
      </c>
      <c r="BC56" s="19">
        <f>'D2C Online'!CA58</f>
        <v>317371971.53114605</v>
      </c>
      <c r="BD56" s="19">
        <f>'D2C Online'!CB58</f>
        <v>313176777.91688687</v>
      </c>
      <c r="BE56" s="19">
        <f>'D2C Online'!CC58</f>
        <v>328141670.28745651</v>
      </c>
      <c r="BF56" s="19">
        <f>'D2C Online'!CD58</f>
        <v>290334825.41999924</v>
      </c>
      <c r="BG56" s="19">
        <f>'D2C Online'!CE58</f>
        <v>371393762.38670385</v>
      </c>
      <c r="BH56" s="19">
        <f>'D2C Online'!CF58</f>
        <v>317494668.38749188</v>
      </c>
      <c r="BI56" s="19">
        <f>'D2C Online'!CG58</f>
        <v>314749870.70059991</v>
      </c>
      <c r="BJ56" s="19">
        <f>'D2C Online'!CH58</f>
        <v>378932992.90499932</v>
      </c>
      <c r="BK56" s="19">
        <f>'D2C Online'!CI58</f>
        <v>421892195.49063957</v>
      </c>
      <c r="BL56" s="19">
        <f>'D2C Online'!CJ58</f>
        <v>340471549.33775949</v>
      </c>
      <c r="BM56" s="19">
        <f>'D2C Online'!CK58</f>
        <v>403044260.86144972</v>
      </c>
      <c r="BN56" s="19">
        <f>'D2C Online'!CL58</f>
        <v>379133946.21853334</v>
      </c>
      <c r="BO56" s="19">
        <f>'D2C Online'!CM58</f>
        <v>382992641.60612327</v>
      </c>
      <c r="BP56" s="19">
        <f>'D2C Online'!CN58</f>
        <v>382718651.40108734</v>
      </c>
      <c r="BQ56" s="19">
        <f>'D2C Online'!CO58</f>
        <v>388495278.22392923</v>
      </c>
      <c r="BR56" s="19">
        <f>'D2C Online'!CP58</f>
        <v>366073746.44515169</v>
      </c>
      <c r="BS56" s="19">
        <f>'D2C Online'!CQ58</f>
        <v>400459517.17716676</v>
      </c>
      <c r="BT56" s="19">
        <f>'D2C Online'!CR58</f>
        <v>389385746.3902961</v>
      </c>
      <c r="BU56" s="19">
        <f>'D2C Online'!CS58</f>
        <v>390299047.0737493</v>
      </c>
      <c r="BV56" s="19">
        <f>'D2C Online'!CT58</f>
        <v>479094706.02249217</v>
      </c>
      <c r="BW56" s="19">
        <f>'D2C Online'!CU58</f>
        <v>516220378.80486709</v>
      </c>
      <c r="BX56" s="19">
        <f>'D2C Online'!CV58</f>
        <v>442562678.68436193</v>
      </c>
      <c r="BY56" s="19">
        <f>'D2C Online'!CW58</f>
        <v>478227070.37321156</v>
      </c>
      <c r="BZ56" s="19">
        <f>'D2C Online'!CX58</f>
        <v>449084159.29585272</v>
      </c>
      <c r="CA56" s="19">
        <f>'D2C Online'!CY58</f>
        <v>453654783.98245305</v>
      </c>
      <c r="CB56" s="19">
        <f>'D2C Online'!CZ58</f>
        <v>453330242.58458799</v>
      </c>
      <c r="CC56" s="19">
        <f>'D2C Online'!DA58</f>
        <v>460172657.05624413</v>
      </c>
      <c r="CD56" s="19">
        <f>'D2C Online'!DB58</f>
        <v>433614352.6642822</v>
      </c>
      <c r="CE56" s="19">
        <f>'D2C Online'!DC58</f>
        <v>474344298.09635407</v>
      </c>
      <c r="CF56" s="19">
        <f>'D2C Online'!DD58</f>
        <v>461227416.59930569</v>
      </c>
      <c r="CG56" s="19">
        <f>'D2C Online'!DE58</f>
        <v>462309221.25885612</v>
      </c>
      <c r="CH56" s="19">
        <f>'D2C Online'!DF58</f>
        <v>567487679.28364205</v>
      </c>
      <c r="CI56" s="19">
        <f>'D2C Online'!DG58</f>
        <v>611463038.69436514</v>
      </c>
      <c r="CJ56" s="19">
        <f>'D2C Online'!DH58</f>
        <v>524215492.90162671</v>
      </c>
      <c r="CK56" s="19">
        <f>'D2C Online'!DI58</f>
        <v>566459964.85706913</v>
      </c>
      <c r="CL56" s="19">
        <f>'D2C Online'!DJ58</f>
        <v>531940186.6859374</v>
      </c>
      <c r="CM56" s="19">
        <f>'D2C Online'!DK58</f>
        <v>537354091.62721562</v>
      </c>
      <c r="CN56" s="19">
        <f>'D2C Online'!DL58</f>
        <v>536969672.34144437</v>
      </c>
      <c r="CO56" s="19">
        <f>'D2C Online'!DM58</f>
        <v>545074512.28312111</v>
      </c>
      <c r="CP56" s="19">
        <f>'D2C Online'!DN58</f>
        <v>513616200.73084223</v>
      </c>
      <c r="CQ56" s="19">
        <f>'D2C Online'!DO58</f>
        <v>561860821.0951314</v>
      </c>
      <c r="CR56" s="19">
        <f>'D2C Online'!DP58</f>
        <v>546323874.96187747</v>
      </c>
      <c r="CS56" s="19">
        <f>'D2C Online'!DQ58</f>
        <v>547605272.58111489</v>
      </c>
      <c r="CT56" s="19">
        <f>'D2C Online'!DR58</f>
        <v>672189156.11147392</v>
      </c>
      <c r="CU56" s="19">
        <f>'D2C Online'!DS58</f>
        <v>724277969.33347547</v>
      </c>
      <c r="CV56" s="19">
        <f>'D2C Online'!DT58</f>
        <v>620933251.34197676</v>
      </c>
      <c r="CW56" s="19">
        <f>'D2C Online'!DU58</f>
        <v>670971828.37319839</v>
      </c>
      <c r="CY56" s="19">
        <f t="shared" si="171"/>
        <v>492112021.4721657</v>
      </c>
      <c r="CZ56" s="19">
        <f t="shared" si="172"/>
        <v>449500788.52075684</v>
      </c>
      <c r="DA56" s="19">
        <f t="shared" si="173"/>
        <v>667641833.51502752</v>
      </c>
      <c r="DB56" s="19">
        <f t="shared" si="174"/>
        <v>548364338.49143314</v>
      </c>
      <c r="DC56" s="19">
        <f t="shared" si="175"/>
        <v>635036397.57823384</v>
      </c>
      <c r="DD56" s="19">
        <f t="shared" si="176"/>
        <v>680896582.17820895</v>
      </c>
      <c r="DE56" s="19">
        <f t="shared" si="177"/>
        <v>712025946.52219224</v>
      </c>
      <c r="DF56" s="19">
        <f t="shared" si="178"/>
        <v>928323258.44906104</v>
      </c>
      <c r="DG56" s="19">
        <f t="shared" si="179"/>
        <v>945135389.96666932</v>
      </c>
      <c r="DH56" s="19">
        <f t="shared" si="180"/>
        <v>989870258.0941596</v>
      </c>
      <c r="DI56" s="19">
        <f t="shared" si="181"/>
        <v>1011177531.9930911</v>
      </c>
      <c r="DJ56" s="19">
        <f t="shared" si="182"/>
        <v>1165408005.6898489</v>
      </c>
      <c r="DK56" s="19">
        <f t="shared" si="183"/>
        <v>1144845239.225744</v>
      </c>
      <c r="DL56" s="19">
        <f t="shared" si="184"/>
        <v>1155028541.8462477</v>
      </c>
      <c r="DM56" s="19">
        <f t="shared" si="185"/>
        <v>1258779499.4865375</v>
      </c>
      <c r="DN56" s="19">
        <f t="shared" si="186"/>
        <v>1437010127.8624406</v>
      </c>
      <c r="DO56" s="19">
        <f t="shared" si="187"/>
        <v>1356069185.8628938</v>
      </c>
      <c r="DP56" s="19">
        <f t="shared" si="188"/>
        <v>1368131307.8168805</v>
      </c>
      <c r="DQ56" s="19">
        <f t="shared" si="189"/>
        <v>1491024317.1418037</v>
      </c>
      <c r="DR56" s="19">
        <f t="shared" si="190"/>
        <v>1702138496.4530611</v>
      </c>
      <c r="DS56" s="19">
        <f t="shared" si="23"/>
        <v>1606263950.6545973</v>
      </c>
      <c r="DT56" s="19">
        <f t="shared" si="24"/>
        <v>1620551534.1090946</v>
      </c>
      <c r="DU56" s="19">
        <f t="shared" si="25"/>
        <v>1766118303.6544662</v>
      </c>
      <c r="DV56" s="19">
        <f t="shared" si="26"/>
        <v>2016183049.0486507</v>
      </c>
      <c r="DX56" s="19">
        <f t="shared" si="191"/>
        <v>2157618981.999383</v>
      </c>
      <c r="DY56" s="19">
        <f t="shared" si="192"/>
        <v>2956282184.7276959</v>
      </c>
      <c r="DZ56" s="19">
        <f t="shared" si="193"/>
        <v>4111591185.7437687</v>
      </c>
      <c r="EA56" s="19">
        <f t="shared" si="194"/>
        <v>4995663408.42097</v>
      </c>
      <c r="EB56" s="19">
        <f t="shared" si="195"/>
        <v>5917363307.2746391</v>
      </c>
      <c r="EC56" s="770">
        <f t="shared" si="32"/>
        <v>7009116837.4668083</v>
      </c>
    </row>
    <row r="57" spans="2:133" x14ac:dyDescent="0.2">
      <c r="B57" s="155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>
        <f t="shared" si="23"/>
        <v>0</v>
      </c>
      <c r="DT57" s="19">
        <f t="shared" si="24"/>
        <v>0</v>
      </c>
      <c r="DU57" s="19">
        <f t="shared" si="25"/>
        <v>0</v>
      </c>
      <c r="DV57" s="19">
        <f t="shared" si="26"/>
        <v>0</v>
      </c>
      <c r="DX57" s="19"/>
      <c r="DY57" s="19"/>
      <c r="DZ57" s="19"/>
      <c r="EA57" s="19"/>
      <c r="EB57" s="19"/>
      <c r="EC57" s="770">
        <f t="shared" si="32"/>
        <v>0</v>
      </c>
    </row>
    <row r="58" spans="2:133" x14ac:dyDescent="0.2">
      <c r="B58" s="143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X58" s="19"/>
      <c r="DY58" s="19"/>
      <c r="DZ58" s="19"/>
      <c r="EA58" s="19"/>
      <c r="EB58" s="19"/>
      <c r="EC58" s="770">
        <f t="shared" si="32"/>
        <v>0</v>
      </c>
    </row>
    <row r="59" spans="2:133" x14ac:dyDescent="0.2">
      <c r="B59" s="22" t="s">
        <v>16</v>
      </c>
      <c r="C59" s="19"/>
      <c r="D59" s="20">
        <f>D50/C50-1</f>
        <v>-3.9131611405854305E-2</v>
      </c>
      <c r="E59" s="20">
        <f t="shared" ref="E59:BP59" si="196">E50/D50-1</f>
        <v>0.14060993154681589</v>
      </c>
      <c r="F59" s="20">
        <f t="shared" si="196"/>
        <v>-0.41714481854848462</v>
      </c>
      <c r="G59" s="20">
        <f t="shared" si="196"/>
        <v>-0.85829886572285252</v>
      </c>
      <c r="H59" s="20">
        <f t="shared" si="196"/>
        <v>4.7477834423611602</v>
      </c>
      <c r="I59" s="20">
        <f t="shared" si="196"/>
        <v>0.409129611894965</v>
      </c>
      <c r="J59" s="20">
        <f t="shared" si="196"/>
        <v>0.23328027340884461</v>
      </c>
      <c r="K59" s="20">
        <f t="shared" si="196"/>
        <v>0.33278374269225042</v>
      </c>
      <c r="L59" s="20">
        <f t="shared" si="196"/>
        <v>0.13124761642674554</v>
      </c>
      <c r="M59" s="20">
        <f t="shared" si="196"/>
        <v>0.53636218017975867</v>
      </c>
      <c r="N59" s="20">
        <f t="shared" si="196"/>
        <v>0.19443098188606722</v>
      </c>
      <c r="O59" s="20">
        <f t="shared" si="196"/>
        <v>5.5301420297678705E-2</v>
      </c>
      <c r="P59" s="20">
        <f t="shared" si="196"/>
        <v>7.7198304397681383E-2</v>
      </c>
      <c r="Q59" s="20">
        <f t="shared" si="196"/>
        <v>5.5003025843437747E-2</v>
      </c>
      <c r="R59" s="20">
        <f t="shared" si="196"/>
        <v>-8.9326895764231029E-2</v>
      </c>
      <c r="S59" s="20">
        <f t="shared" si="196"/>
        <v>0.22776280836273055</v>
      </c>
      <c r="T59" s="20">
        <f t="shared" si="196"/>
        <v>0.26222064407840828</v>
      </c>
      <c r="U59" s="20">
        <f t="shared" si="196"/>
        <v>-8.3067954507005659E-3</v>
      </c>
      <c r="V59" s="20">
        <f t="shared" si="196"/>
        <v>-1.0469365670941477E-2</v>
      </c>
      <c r="W59" s="20">
        <f t="shared" si="196"/>
        <v>-2.3103587254284075E-2</v>
      </c>
      <c r="X59" s="20">
        <f t="shared" si="196"/>
        <v>0.22598376918617458</v>
      </c>
      <c r="Y59" s="20">
        <f t="shared" si="196"/>
        <v>-2.1457678321344043E-2</v>
      </c>
      <c r="Z59" s="20">
        <f t="shared" si="196"/>
        <v>0.1637150759551671</v>
      </c>
      <c r="AA59" s="20">
        <f t="shared" si="196"/>
        <v>0.13020761232317879</v>
      </c>
      <c r="AB59" s="20">
        <f t="shared" si="196"/>
        <v>6.1551228904836108E-2</v>
      </c>
      <c r="AC59" s="20">
        <f t="shared" si="196"/>
        <v>0.39130580772130674</v>
      </c>
      <c r="AD59" s="20">
        <f t="shared" si="196"/>
        <v>0.13163937646507695</v>
      </c>
      <c r="AE59" s="20">
        <f t="shared" si="196"/>
        <v>3.420789940092317E-2</v>
      </c>
      <c r="AF59" s="20">
        <f t="shared" si="196"/>
        <v>4.9786263022510324E-2</v>
      </c>
      <c r="AG59" s="20">
        <f t="shared" si="196"/>
        <v>-0.18330024625353247</v>
      </c>
      <c r="AH59" s="20">
        <f t="shared" si="196"/>
        <v>5.4442887101485038E-2</v>
      </c>
      <c r="AI59" s="20">
        <f t="shared" si="196"/>
        <v>4.8800869337839448E-3</v>
      </c>
      <c r="AJ59" s="20">
        <f t="shared" si="196"/>
        <v>0.47685970257850574</v>
      </c>
      <c r="AK59" s="20">
        <f t="shared" si="196"/>
        <v>-0.16750066906412087</v>
      </c>
      <c r="AL59" s="20">
        <f t="shared" si="196"/>
        <v>-0.10457537736843814</v>
      </c>
      <c r="AM59" s="20">
        <f t="shared" si="196"/>
        <v>-5.2883245600015227E-2</v>
      </c>
      <c r="AN59" s="20">
        <f t="shared" si="196"/>
        <v>-0.1640843653411993</v>
      </c>
      <c r="AO59" s="20">
        <f t="shared" si="196"/>
        <v>0.28338735956281091</v>
      </c>
      <c r="AP59" s="20">
        <f t="shared" si="196"/>
        <v>2.0676524063573121E-2</v>
      </c>
      <c r="AQ59" s="20">
        <f t="shared" si="196"/>
        <v>3.5336458710175878E-2</v>
      </c>
      <c r="AR59" s="20">
        <f t="shared" si="196"/>
        <v>5.7547624701563382E-2</v>
      </c>
      <c r="AS59" s="20">
        <f t="shared" si="196"/>
        <v>-1.2949114101016623E-2</v>
      </c>
      <c r="AT59" s="20">
        <f t="shared" si="196"/>
        <v>-0.1108080239561926</v>
      </c>
      <c r="AU59" s="20">
        <f t="shared" si="196"/>
        <v>-5.884032687720786E-2</v>
      </c>
      <c r="AV59" s="20">
        <f t="shared" si="196"/>
        <v>0.242831351364998</v>
      </c>
      <c r="AW59" s="20">
        <f t="shared" si="196"/>
        <v>-6.6627159351641763E-2</v>
      </c>
      <c r="AX59" s="20">
        <f t="shared" si="196"/>
        <v>0.19096309703854186</v>
      </c>
      <c r="AY59" s="20">
        <f t="shared" si="196"/>
        <v>6.6287115801478391E-2</v>
      </c>
      <c r="AZ59" s="20">
        <f t="shared" si="196"/>
        <v>-4.889990713485326E-2</v>
      </c>
      <c r="BA59" s="20">
        <f t="shared" si="196"/>
        <v>0.28550530469179103</v>
      </c>
      <c r="BB59" s="20">
        <f t="shared" si="196"/>
        <v>-8.1126469246278421E-2</v>
      </c>
      <c r="BC59" s="20">
        <f t="shared" si="196"/>
        <v>-2.163170125970959E-2</v>
      </c>
      <c r="BD59" s="20">
        <f t="shared" si="196"/>
        <v>9.8826707016730353E-3</v>
      </c>
      <c r="BE59" s="20">
        <f t="shared" si="196"/>
        <v>7.7500269355317286E-2</v>
      </c>
      <c r="BF59" s="20">
        <f t="shared" si="196"/>
        <v>-0.13912821408921439</v>
      </c>
      <c r="BG59" s="20">
        <f t="shared" si="196"/>
        <v>8.0883641962484543E-2</v>
      </c>
      <c r="BH59" s="20">
        <f t="shared" si="196"/>
        <v>0.15796907809448757</v>
      </c>
      <c r="BI59" s="20">
        <f t="shared" si="196"/>
        <v>-7.0488181034171093E-2</v>
      </c>
      <c r="BJ59" s="20">
        <f t="shared" si="196"/>
        <v>0.23198976817586359</v>
      </c>
      <c r="BK59" s="20">
        <f t="shared" si="196"/>
        <v>7.8554363928953874E-2</v>
      </c>
      <c r="BL59" s="20">
        <f t="shared" si="196"/>
        <v>-9.4399449864061236E-2</v>
      </c>
      <c r="BM59" s="20">
        <f t="shared" si="196"/>
        <v>0.19544628601995018</v>
      </c>
      <c r="BN59" s="20">
        <f t="shared" si="196"/>
        <v>-0.12893642067028588</v>
      </c>
      <c r="BO59" s="20">
        <f t="shared" si="196"/>
        <v>-9.1837735668004461E-3</v>
      </c>
      <c r="BP59" s="20">
        <f t="shared" si="196"/>
        <v>-1.5637028534363218E-3</v>
      </c>
      <c r="BQ59" s="20">
        <f t="shared" ref="BQ59:CK59" si="197">BQ50/BP50-1</f>
        <v>5.7076102774950455E-2</v>
      </c>
      <c r="BR59" s="20">
        <f t="shared" si="197"/>
        <v>-8.8703564018406844E-2</v>
      </c>
      <c r="BS59" s="20">
        <f t="shared" si="197"/>
        <v>-8.9370168664872907E-3</v>
      </c>
      <c r="BT59" s="20">
        <f t="shared" si="197"/>
        <v>0.13289504156405618</v>
      </c>
      <c r="BU59" s="20">
        <f t="shared" si="197"/>
        <v>-4.9924821442811851E-2</v>
      </c>
      <c r="BV59" s="20">
        <f t="shared" si="197"/>
        <v>0.20392555341698815</v>
      </c>
      <c r="BW59" s="20">
        <f t="shared" si="197"/>
        <v>4.4941774350453212E-2</v>
      </c>
      <c r="BX59" s="20">
        <f t="shared" si="197"/>
        <v>-9.8918856950664935E-2</v>
      </c>
      <c r="BY59" s="20">
        <f t="shared" si="197"/>
        <v>0.13202957089312495</v>
      </c>
      <c r="BZ59" s="20">
        <f t="shared" si="197"/>
        <v>-7.3531193650832827E-2</v>
      </c>
      <c r="CA59" s="20">
        <f t="shared" si="197"/>
        <v>-7.8570104445908617E-3</v>
      </c>
      <c r="CB59" s="20">
        <f t="shared" si="197"/>
        <v>-4.8336059935844E-3</v>
      </c>
      <c r="CC59" s="20">
        <f t="shared" si="197"/>
        <v>5.7192802824226563E-2</v>
      </c>
      <c r="CD59" s="20">
        <f t="shared" si="197"/>
        <v>-9.0276933277514293E-2</v>
      </c>
      <c r="CE59" s="20">
        <f t="shared" si="197"/>
        <v>-1.1389245018807004E-2</v>
      </c>
      <c r="CF59" s="20">
        <f t="shared" si="197"/>
        <v>0.13231396115767957</v>
      </c>
      <c r="CG59" s="20">
        <f t="shared" si="197"/>
        <v>-5.3486049546612513E-2</v>
      </c>
      <c r="CH59" s="20">
        <f t="shared" si="197"/>
        <v>0.20134706080095555</v>
      </c>
      <c r="CI59" s="20">
        <f t="shared" si="197"/>
        <v>4.2173259996678203E-2</v>
      </c>
      <c r="CJ59" s="20">
        <f t="shared" si="197"/>
        <v>-0.10158449440157413</v>
      </c>
      <c r="CK59" s="20">
        <f t="shared" si="197"/>
        <v>0.12426725569442798</v>
      </c>
      <c r="CL59" s="20">
        <f t="shared" ref="CL59" si="198">CL50/CK50-1</f>
        <v>-9.1529895135614159E-2</v>
      </c>
      <c r="CM59" s="20">
        <f t="shared" ref="CM59" si="199">CM50/CL50-1</f>
        <v>-8.2138233132174054E-3</v>
      </c>
      <c r="CN59" s="20">
        <f t="shared" ref="CN59" si="200">CN50/CM50-1</f>
        <v>-5.165106729216884E-3</v>
      </c>
      <c r="CO59" s="20">
        <f t="shared" ref="CO59" si="201">CO50/CN50-1</f>
        <v>5.6332617517454775E-2</v>
      </c>
      <c r="CP59" s="20">
        <f t="shared" ref="CP59" si="202">CP50/CO50-1</f>
        <v>-9.0530704457108091E-2</v>
      </c>
      <c r="CQ59" s="20">
        <f t="shared" ref="CQ59" si="203">CQ50/CP50-1</f>
        <v>-1.0576766123494341E-2</v>
      </c>
      <c r="CR59" s="20">
        <f t="shared" ref="CR59" si="204">CR50/CQ50-1</f>
        <v>0.12981917440243462</v>
      </c>
      <c r="CS59" s="20">
        <f t="shared" ref="CS59" si="205">CS50/CR50-1</f>
        <v>-5.3142291327365476E-2</v>
      </c>
      <c r="CT59" s="20">
        <f t="shared" ref="CT59" si="206">CT50/CS50-1</f>
        <v>0.20199584850631602</v>
      </c>
      <c r="CU59" s="20">
        <f t="shared" ref="CU59" si="207">CU50/CT50-1</f>
        <v>4.2631374870069294E-2</v>
      </c>
      <c r="CV59" s="20">
        <f t="shared" ref="CV59" si="208">CV50/CU50-1</f>
        <v>-0.1027373437451341</v>
      </c>
      <c r="CW59" s="20">
        <f t="shared" ref="CW59" si="209">CW50/CV50-1</f>
        <v>0.12364531485121111</v>
      </c>
      <c r="CY59" s="20" t="e">
        <f t="shared" ref="CY59" si="210">CY50/CX50-1</f>
        <v>#DIV/0!</v>
      </c>
      <c r="CZ59" s="20">
        <f t="shared" ref="CZ59" si="211">CZ50/CY50-1</f>
        <v>-0.11498062511892326</v>
      </c>
      <c r="DA59" s="20">
        <f t="shared" ref="DA59" si="212">DA50/CZ50-1</f>
        <v>0.29546681981185019</v>
      </c>
      <c r="DB59" s="20">
        <f t="shared" ref="DB59" si="213">DB50/DA50-1</f>
        <v>-0.20339049873349468</v>
      </c>
      <c r="DC59" s="20">
        <f t="shared" ref="DC59" si="214">DC50/DB50-1</f>
        <v>0.17838206523940525</v>
      </c>
      <c r="DD59" s="20">
        <f t="shared" ref="DD59" si="215">DD50/DC50-1</f>
        <v>-5.8809835528525145E-2</v>
      </c>
      <c r="DE59" s="20">
        <f t="shared" ref="DE59" si="216">DE50/DD50-1</f>
        <v>0.16177033359188675</v>
      </c>
      <c r="DF59" s="20">
        <f t="shared" ref="DF59" si="217">DF50/DE50-1</f>
        <v>0.23541917879761609</v>
      </c>
      <c r="DG59" s="20">
        <f t="shared" ref="DG59" si="218">DG50/DF50-1</f>
        <v>5.0060736297055097E-2</v>
      </c>
      <c r="DH59" s="20">
        <f t="shared" ref="DH59" si="219">DH50/DG50-1</f>
        <v>1.7934665592513888E-3</v>
      </c>
      <c r="DI59" s="20">
        <f t="shared" ref="DI59" si="220">DI50/DH50-1</f>
        <v>0.18684381317980558</v>
      </c>
      <c r="DJ59" s="20">
        <f t="shared" ref="DJ59" si="221">DJ50/DI50-1</f>
        <v>0.20037271540431445</v>
      </c>
      <c r="DK59" s="20">
        <f t="shared" ref="DK59" si="222">DK50/DJ50-1</f>
        <v>-5.9550027493133317E-2</v>
      </c>
      <c r="DL59" s="20">
        <f t="shared" ref="DL59" si="223">DL50/DK50-1</f>
        <v>-1.2391835260871065E-2</v>
      </c>
      <c r="DM59" s="20">
        <f t="shared" ref="DM59" si="224">DM50/DL50-1</f>
        <v>0.12476772768058741</v>
      </c>
      <c r="DN59" s="20">
        <f t="shared" ref="DN59" si="225">DN50/DM50-1</f>
        <v>0.12848362020965221</v>
      </c>
      <c r="DO59" s="20">
        <f t="shared" ref="DO59" si="226">DO50/DN50-1</f>
        <v>-3.607481270542312E-2</v>
      </c>
      <c r="DP59" s="20">
        <f t="shared" ref="DP59" si="227">DP50/DO50-1</f>
        <v>-1.5882223647241789E-2</v>
      </c>
      <c r="DQ59" s="20">
        <f t="shared" ref="DQ59" si="228">DQ50/DP50-1</f>
        <v>0.11788041520530279</v>
      </c>
      <c r="DR59" s="20">
        <f t="shared" ref="DR59" si="229">DR50/DQ50-1</f>
        <v>0.11774278877459787</v>
      </c>
      <c r="DS59" s="20">
        <f t="shared" ref="DS59" si="230">DS50/DR50-1</f>
        <v>-6.0314715552552078E-2</v>
      </c>
      <c r="DT59" s="20">
        <f t="shared" ref="DT59" si="231">DT50/DS50-1</f>
        <v>-1.6938711442025189E-2</v>
      </c>
      <c r="DU59" s="20">
        <f t="shared" ref="DU59" si="232">DU50/DT50-1</f>
        <v>0.11642581777574867</v>
      </c>
      <c r="DV59" s="20">
        <f t="shared" ref="DV59" si="233">DV50/DU50-1</f>
        <v>0.11759030158591277</v>
      </c>
      <c r="DX59" s="20" t="e">
        <f t="shared" ref="DX59" si="234">DX50/DW50-1</f>
        <v>#DIV/0!</v>
      </c>
      <c r="DY59" s="20">
        <f t="shared" ref="DY59" si="235">DY50/DX50-1</f>
        <v>0.19646185366910873</v>
      </c>
      <c r="DZ59" s="20">
        <f t="shared" ref="DZ59" si="236">DZ50/DY50-1</f>
        <v>0.49368407682725124</v>
      </c>
      <c r="EA59" s="20">
        <f t="shared" ref="EA59" si="237">EA50/DZ50-1</f>
        <v>0.2649108799955362</v>
      </c>
      <c r="EB59" s="20">
        <f t="shared" ref="EB59" si="238">EB50/EA50-1</f>
        <v>0.19775595956418157</v>
      </c>
      <c r="EC59" s="20">
        <f t="shared" ref="EC59" si="239">EC50/EB50-1</f>
        <v>0.15368254887017896</v>
      </c>
    </row>
    <row r="60" spans="2:133" x14ac:dyDescent="0.2">
      <c r="B60" s="22" t="s">
        <v>17</v>
      </c>
      <c r="C60" s="19"/>
      <c r="D60" s="20">
        <f>D36/C36-1</f>
        <v>9.3622795115332336E-2</v>
      </c>
      <c r="E60" s="20">
        <f t="shared" ref="E60:BP60" si="240">E36/D36-1</f>
        <v>0.3713813068651779</v>
      </c>
      <c r="F60" s="20">
        <f t="shared" si="240"/>
        <v>-0.42340168878166462</v>
      </c>
      <c r="G60" s="20">
        <f t="shared" si="240"/>
        <v>-0.82688284518828459</v>
      </c>
      <c r="H60" s="20">
        <f t="shared" si="240"/>
        <v>3.4682779456193353</v>
      </c>
      <c r="I60" s="20">
        <f t="shared" si="240"/>
        <v>0.43610547667342803</v>
      </c>
      <c r="J60" s="20">
        <f t="shared" si="240"/>
        <v>0.26129943502824848</v>
      </c>
      <c r="K60" s="20">
        <f t="shared" si="240"/>
        <v>0.38596491228070184</v>
      </c>
      <c r="L60" s="20">
        <f t="shared" si="240"/>
        <v>3.7705359547535622E-2</v>
      </c>
      <c r="M60" s="20">
        <f t="shared" si="240"/>
        <v>0.47703088502465607</v>
      </c>
      <c r="N60" s="20">
        <f t="shared" si="240"/>
        <v>0.22245651027938851</v>
      </c>
      <c r="O60" s="20">
        <f t="shared" si="240"/>
        <v>5.9652148914762115E-2</v>
      </c>
      <c r="P60" s="20">
        <f t="shared" si="240"/>
        <v>2.4959305480195315E-2</v>
      </c>
      <c r="Q60" s="20">
        <f t="shared" si="240"/>
        <v>1.1778718898888263E-2</v>
      </c>
      <c r="R60" s="20">
        <f t="shared" si="240"/>
        <v>-9.5225637671680796E-2</v>
      </c>
      <c r="S60" s="20">
        <f t="shared" si="240"/>
        <v>0.32311695821888109</v>
      </c>
      <c r="T60" s="20">
        <f t="shared" si="240"/>
        <v>0.11112325174825166</v>
      </c>
      <c r="U60" s="20">
        <f t="shared" si="240"/>
        <v>7.9063821418035252E-2</v>
      </c>
      <c r="V60" s="20">
        <f t="shared" si="240"/>
        <v>1.7041829946231601E-2</v>
      </c>
      <c r="W60" s="20">
        <f t="shared" si="240"/>
        <v>2.9480286738351236E-2</v>
      </c>
      <c r="X60" s="20">
        <f t="shared" si="240"/>
        <v>8.46026634171817E-2</v>
      </c>
      <c r="Y60" s="20">
        <f t="shared" si="240"/>
        <v>-8.6590161303266244E-2</v>
      </c>
      <c r="Z60" s="20">
        <f t="shared" si="240"/>
        <v>0.11201897733263055</v>
      </c>
      <c r="AA60" s="20">
        <f t="shared" si="240"/>
        <v>5.5779410602828428E-2</v>
      </c>
      <c r="AB60" s="20">
        <f t="shared" si="240"/>
        <v>1.8034872408890124E-2</v>
      </c>
      <c r="AC60" s="20">
        <f t="shared" si="240"/>
        <v>0.28484269332549261</v>
      </c>
      <c r="AD60" s="20">
        <f t="shared" si="240"/>
        <v>0.11779850105841305</v>
      </c>
      <c r="AE60" s="20">
        <f t="shared" si="240"/>
        <v>7.6005732418876093E-2</v>
      </c>
      <c r="AF60" s="20">
        <f t="shared" si="240"/>
        <v>0.10602673262617124</v>
      </c>
      <c r="AG60" s="20">
        <f t="shared" si="240"/>
        <v>-0.20587476346120759</v>
      </c>
      <c r="AH60" s="20">
        <f t="shared" si="240"/>
        <v>8.2372055239642528E-2</v>
      </c>
      <c r="AI60" s="20">
        <f t="shared" si="240"/>
        <v>-2.3666566596617589E-2</v>
      </c>
      <c r="AJ60" s="20">
        <f t="shared" si="240"/>
        <v>0.25075590631886424</v>
      </c>
      <c r="AK60" s="20">
        <f t="shared" si="240"/>
        <v>-9.5017618618372546E-2</v>
      </c>
      <c r="AL60" s="20">
        <f t="shared" si="240"/>
        <v>-0.10648797935437138</v>
      </c>
      <c r="AM60" s="20">
        <f t="shared" si="240"/>
        <v>-3.6382062325817088E-2</v>
      </c>
      <c r="AN60" s="20">
        <f t="shared" si="240"/>
        <v>-0.21628017037387604</v>
      </c>
      <c r="AO60" s="20">
        <f t="shared" si="240"/>
        <v>0.36694847020933974</v>
      </c>
      <c r="AP60" s="20">
        <f t="shared" si="240"/>
        <v>3.3377509448779819E-3</v>
      </c>
      <c r="AQ60" s="20">
        <f t="shared" si="240"/>
        <v>2.6417494251749218E-3</v>
      </c>
      <c r="AR60" s="20">
        <f t="shared" si="240"/>
        <v>7.0602585996584644E-2</v>
      </c>
      <c r="AS60" s="20">
        <f t="shared" si="240"/>
        <v>-2.1602406343997793E-2</v>
      </c>
      <c r="AT60" s="20">
        <f t="shared" si="240"/>
        <v>-0.13629588224333888</v>
      </c>
      <c r="AU60" s="20">
        <f t="shared" si="240"/>
        <v>-7.0165030741020429E-2</v>
      </c>
      <c r="AV60" s="20">
        <f t="shared" si="240"/>
        <v>0.12905283916246146</v>
      </c>
      <c r="AW60" s="20">
        <f t="shared" si="240"/>
        <v>-6.6474879276687604E-2</v>
      </c>
      <c r="AX60" s="20">
        <f t="shared" si="240"/>
        <v>0.20795729694034781</v>
      </c>
      <c r="AY60" s="20">
        <f t="shared" si="240"/>
        <v>5.8949478383672815E-2</v>
      </c>
      <c r="AZ60" s="20">
        <f t="shared" si="240"/>
        <v>-3.6523983652398395E-2</v>
      </c>
      <c r="BA60" s="20">
        <f t="shared" si="240"/>
        <v>0.27781746740489366</v>
      </c>
      <c r="BB60" s="20">
        <f t="shared" si="240"/>
        <v>-0.10454958417779026</v>
      </c>
      <c r="BC60" s="20">
        <f t="shared" si="240"/>
        <v>9.989854054475833E-3</v>
      </c>
      <c r="BD60" s="20">
        <f t="shared" si="240"/>
        <v>1.515670018876869E-2</v>
      </c>
      <c r="BE60" s="20">
        <f t="shared" si="240"/>
        <v>7.7859939103958276E-2</v>
      </c>
      <c r="BF60" s="20">
        <f t="shared" si="240"/>
        <v>-0.10600282485875712</v>
      </c>
      <c r="BG60" s="20">
        <f t="shared" si="240"/>
        <v>8.6262737972983672E-2</v>
      </c>
      <c r="BH60" s="20">
        <f t="shared" si="240"/>
        <v>4.5414878917896973E-2</v>
      </c>
      <c r="BI60" s="20">
        <f t="shared" si="240"/>
        <v>-4.4311502208618792E-2</v>
      </c>
      <c r="BJ60" s="20">
        <f t="shared" si="240"/>
        <v>0.25894384394220626</v>
      </c>
      <c r="BK60" s="20">
        <f t="shared" si="240"/>
        <v>7.9873959296947294E-2</v>
      </c>
      <c r="BL60" s="20">
        <f t="shared" si="240"/>
        <v>-9.9638602596707315E-2</v>
      </c>
      <c r="BM60" s="20">
        <f t="shared" si="240"/>
        <v>0.14063568519014069</v>
      </c>
      <c r="BN60" s="20">
        <f t="shared" si="240"/>
        <v>-0.11356044992803827</v>
      </c>
      <c r="BO60" s="20">
        <f t="shared" si="240"/>
        <v>-8.682006591355873E-3</v>
      </c>
      <c r="BP60" s="20">
        <f t="shared" si="240"/>
        <v>-2.1842090682674398E-3</v>
      </c>
      <c r="BQ60" s="20">
        <f t="shared" ref="BQ60:CK60" si="241">BQ36/BP36-1</f>
        <v>5.6512622689061764E-2</v>
      </c>
      <c r="BR60" s="20">
        <f t="shared" si="241"/>
        <v>-9.1331857631622881E-2</v>
      </c>
      <c r="BS60" s="20">
        <f t="shared" si="241"/>
        <v>-3.0165026546122853E-3</v>
      </c>
      <c r="BT60" s="20">
        <f t="shared" si="241"/>
        <v>0.12716174200257435</v>
      </c>
      <c r="BU60" s="20">
        <f t="shared" si="241"/>
        <v>-4.9384014263620712E-2</v>
      </c>
      <c r="BV60" s="20">
        <f t="shared" si="241"/>
        <v>0.21550710969480757</v>
      </c>
      <c r="BW60" s="20">
        <f t="shared" si="241"/>
        <v>4.8808964695560508E-2</v>
      </c>
      <c r="BX60" s="20">
        <f t="shared" si="241"/>
        <v>-0.10655537017915995</v>
      </c>
      <c r="BY60" s="20">
        <f t="shared" si="241"/>
        <v>0.13377323778294814</v>
      </c>
      <c r="BZ60" s="20">
        <f t="shared" si="241"/>
        <v>-0.10434393703646117</v>
      </c>
      <c r="CA60" s="20">
        <f t="shared" si="241"/>
        <v>-7.4619070724103453E-3</v>
      </c>
      <c r="CB60" s="20">
        <f t="shared" si="241"/>
        <v>-5.0969358951418187E-3</v>
      </c>
      <c r="CC60" s="20">
        <f t="shared" si="241"/>
        <v>5.6527089200111069E-2</v>
      </c>
      <c r="CD60" s="20">
        <f t="shared" si="241"/>
        <v>-9.2504545592719811E-2</v>
      </c>
      <c r="CE60" s="20">
        <f t="shared" si="241"/>
        <v>-5.2595178501557704E-3</v>
      </c>
      <c r="CF60" s="20">
        <f t="shared" si="241"/>
        <v>0.12638725917410798</v>
      </c>
      <c r="CG60" s="20">
        <f t="shared" si="241"/>
        <v>-5.2451063686326682E-2</v>
      </c>
      <c r="CH60" s="20">
        <f t="shared" si="241"/>
        <v>0.21250167231381623</v>
      </c>
      <c r="CI60" s="20">
        <f t="shared" si="241"/>
        <v>4.6197418076196151E-2</v>
      </c>
      <c r="CJ60" s="20">
        <f t="shared" si="241"/>
        <v>-0.10865504062443387</v>
      </c>
      <c r="CK60" s="20">
        <f t="shared" si="241"/>
        <v>0.1262843925014947</v>
      </c>
      <c r="CL60" s="20">
        <f t="shared" ref="CL60" si="242">CL36/CK36-1</f>
        <v>-0.1046216820356265</v>
      </c>
      <c r="CM60" s="20">
        <f t="shared" ref="CM60" si="243">CM36/CL36-1</f>
        <v>-7.9219356807819219E-3</v>
      </c>
      <c r="CN60" s="20">
        <f t="shared" ref="CN60" si="244">CN36/CM36-1</f>
        <v>-5.4137018030747663E-3</v>
      </c>
      <c r="CO60" s="20">
        <f t="shared" ref="CO60" si="245">CO36/CN36-1</f>
        <v>5.6040147222369274E-2</v>
      </c>
      <c r="CP60" s="20">
        <f t="shared" ref="CP60" si="246">CP36/CO36-1</f>
        <v>-9.2827482073653211E-2</v>
      </c>
      <c r="CQ60" s="20">
        <f t="shared" ref="CQ60" si="247">CQ36/CP36-1</f>
        <v>-5.4597702450720487E-3</v>
      </c>
      <c r="CR60" s="20">
        <f t="shared" ref="CR60" si="248">CR36/CQ36-1</f>
        <v>0.12548328059365654</v>
      </c>
      <c r="CS60" s="20">
        <f t="shared" ref="CS60" si="249">CS36/CR36-1</f>
        <v>-5.2510757217921422E-2</v>
      </c>
      <c r="CT60" s="20">
        <f t="shared" ref="CT60" si="250">CT36/CS36-1</f>
        <v>0.21239063399147096</v>
      </c>
      <c r="CU60" s="20">
        <f t="shared" ref="CU60" si="251">CU36/CT36-1</f>
        <v>4.6197087124585146E-2</v>
      </c>
      <c r="CV60" s="20">
        <f t="shared" ref="CV60" si="252">CV36/CU36-1</f>
        <v>-0.10909135408979842</v>
      </c>
      <c r="CW60" s="20">
        <f t="shared" ref="CW60" si="253">CW36/CV36-1</f>
        <v>0.12588037198034829</v>
      </c>
      <c r="CY60" s="20" t="e">
        <f t="shared" ref="CY60" si="254">CY36/CX36-1</f>
        <v>#DIV/0!</v>
      </c>
      <c r="CZ60" s="20">
        <f t="shared" ref="CZ60" si="255">CZ36/CY36-1</f>
        <v>-9.1658439502922628E-2</v>
      </c>
      <c r="DA60" s="20">
        <f t="shared" ref="DA60" si="256">DA36/CZ36-1</f>
        <v>0.14257125112138569</v>
      </c>
      <c r="DB60" s="20">
        <f t="shared" ref="DB60" si="257">DB36/DA36-1</f>
        <v>-0.18019568762456972</v>
      </c>
      <c r="DC60" s="20">
        <f t="shared" ref="DC60" si="258">DC36/DB36-1</f>
        <v>0.15810218440343315</v>
      </c>
      <c r="DD60" s="20">
        <f t="shared" ref="DD60" si="259">DD36/DC36-1</f>
        <v>-8.9490759884220283E-2</v>
      </c>
      <c r="DE60" s="20">
        <f t="shared" ref="DE60" si="260">DE36/DD36-1</f>
        <v>4.0837714625072019E-2</v>
      </c>
      <c r="DF60" s="20">
        <f t="shared" ref="DF60" si="261">DF36/DE36-1</f>
        <v>0.24618637668025989</v>
      </c>
      <c r="DG60" s="20">
        <f t="shared" ref="DG60" si="262">DG36/DF36-1</f>
        <v>4.7445908432455441E-2</v>
      </c>
      <c r="DH60" s="20">
        <f t="shared" ref="DH60" si="263">DH36/DG36-1</f>
        <v>4.3168110256466719E-2</v>
      </c>
      <c r="DI60" s="20">
        <f t="shared" ref="DI60" si="264">DI36/DH36-1</f>
        <v>0.1192999753512447</v>
      </c>
      <c r="DJ60" s="20">
        <f t="shared" ref="DJ60" si="265">DJ36/DI36-1</f>
        <v>0.20404096014093809</v>
      </c>
      <c r="DK60" s="20">
        <f t="shared" ref="DK60" si="266">DK36/DJ36-1</f>
        <v>-7.3119404340839966E-2</v>
      </c>
      <c r="DL60" s="20">
        <f t="shared" ref="DL60" si="267">DL36/DK36-1</f>
        <v>-1.310909894276624E-2</v>
      </c>
      <c r="DM60" s="20">
        <f t="shared" ref="DM60" si="268">DM36/DL36-1</f>
        <v>0.12688214128987352</v>
      </c>
      <c r="DN60" s="20">
        <f t="shared" ref="DN60" si="269">DN36/DM36-1</f>
        <v>0.13396769656407259</v>
      </c>
      <c r="DO60" s="20">
        <f t="shared" ref="DO60" si="270">DO36/DN36-1</f>
        <v>-6.9755135923439515E-2</v>
      </c>
      <c r="DP60" s="20">
        <f t="shared" ref="DP60" si="271">DP36/DO36-1</f>
        <v>-1.6147927213425395E-2</v>
      </c>
      <c r="DQ60" s="20">
        <f t="shared" ref="DQ60" si="272">DQ36/DP36-1</f>
        <v>0.12038312450651789</v>
      </c>
      <c r="DR60" s="20">
        <f t="shared" ref="DR60" si="273">DR36/DQ36-1</f>
        <v>0.12387901658447409</v>
      </c>
      <c r="DS60" s="20">
        <f t="shared" ref="DS60" si="274">DS36/DR36-1</f>
        <v>-7.5188642407064354E-2</v>
      </c>
      <c r="DT60" s="20">
        <f t="shared" ref="DT60" si="275">DT36/DS36-1</f>
        <v>-1.7252612095855158E-2</v>
      </c>
      <c r="DU60" s="20">
        <f t="shared" ref="DU60" si="276">DU36/DT36-1</f>
        <v>0.11910343940646939</v>
      </c>
      <c r="DV60" s="20">
        <f t="shared" ref="DV60" si="277">DV36/DU36-1</f>
        <v>0.12329124949363801</v>
      </c>
      <c r="DX60" s="20" t="e">
        <f t="shared" ref="DX60" si="278">DX36/DW36-1</f>
        <v>#DIV/0!</v>
      </c>
      <c r="DY60" s="20">
        <f t="shared" ref="DY60" si="279">DY36/DX36-1</f>
        <v>4.8196649594096641E-2</v>
      </c>
      <c r="DZ60" s="20">
        <f t="shared" ref="DZ60" si="280">DZ36/DY36-1</f>
        <v>0.41388112196886206</v>
      </c>
      <c r="EA60" s="20">
        <f t="shared" ref="EA60" si="281">EA36/DZ36-1</f>
        <v>0.23065247635356001</v>
      </c>
      <c r="EB60" s="20">
        <f t="shared" ref="EB60" si="282">EB36/EA36-1</f>
        <v>0.16368136622995388</v>
      </c>
      <c r="EC60" s="20">
        <f t="shared" ref="EC60" si="283">EC36/EB36-1</f>
        <v>0.14382740586944065</v>
      </c>
    </row>
    <row r="61" spans="2:133" x14ac:dyDescent="0.2">
      <c r="B61" s="22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X61" s="19"/>
      <c r="DY61" s="19"/>
      <c r="DZ61" s="19"/>
      <c r="EA61" s="19"/>
      <c r="EB61" s="19"/>
      <c r="EC61" s="770">
        <f t="shared" si="32"/>
        <v>0</v>
      </c>
    </row>
    <row r="62" spans="2:133" x14ac:dyDescent="0.2">
      <c r="B62" s="212" t="s">
        <v>18</v>
      </c>
      <c r="C62" s="199">
        <f>SUM(C63:C65)</f>
        <v>36656856.22197853</v>
      </c>
      <c r="D62" s="199">
        <f t="shared" ref="D62:BO62" si="284">SUM(D63:D65)</f>
        <v>34969409.455295287</v>
      </c>
      <c r="E62" s="199">
        <f t="shared" si="284"/>
        <v>38050445.465649851</v>
      </c>
      <c r="F62" s="199">
        <f t="shared" si="284"/>
        <v>22205432.753648713</v>
      </c>
      <c r="G62" s="199">
        <f t="shared" si="284"/>
        <v>3421198.2187747154</v>
      </c>
      <c r="H62" s="199">
        <f t="shared" si="284"/>
        <v>17409906.389104847</v>
      </c>
      <c r="I62" s="199">
        <f t="shared" si="284"/>
        <v>23693996.485302545</v>
      </c>
      <c r="J62" s="199">
        <f t="shared" si="284"/>
        <v>30190385.065004814</v>
      </c>
      <c r="K62" s="199">
        <f t="shared" si="284"/>
        <v>41971528.58208739</v>
      </c>
      <c r="L62" s="199">
        <f t="shared" si="284"/>
        <v>48210935.856572106</v>
      </c>
      <c r="M62" s="199">
        <f t="shared" si="284"/>
        <v>71349675.253160611</v>
      </c>
      <c r="N62" s="199">
        <f t="shared" si="284"/>
        <v>86420129.80024907</v>
      </c>
      <c r="O62" s="199">
        <f t="shared" si="284"/>
        <v>94284445.087562174</v>
      </c>
      <c r="P62" s="199">
        <f t="shared" si="284"/>
        <v>100206106.65428868</v>
      </c>
      <c r="Q62" s="199">
        <f t="shared" si="284"/>
        <v>107081571.45709446</v>
      </c>
      <c r="R62" s="199">
        <f t="shared" si="284"/>
        <v>96505762.295468763</v>
      </c>
      <c r="S62" s="199">
        <f t="shared" si="284"/>
        <v>121572539.27998364</v>
      </c>
      <c r="T62" s="199">
        <f t="shared" si="284"/>
        <v>155458847.21972445</v>
      </c>
      <c r="U62" s="199">
        <f t="shared" si="284"/>
        <v>152631898.78373128</v>
      </c>
      <c r="V62" s="199">
        <f t="shared" si="284"/>
        <v>154285478.86279351</v>
      </c>
      <c r="W62" s="199">
        <f t="shared" si="284"/>
        <v>155246641.68773371</v>
      </c>
      <c r="X62" s="199">
        <f t="shared" si="284"/>
        <v>188666361.5498451</v>
      </c>
      <c r="Y62" s="199">
        <f t="shared" si="284"/>
        <v>182876375.20061097</v>
      </c>
      <c r="Z62" s="199">
        <f t="shared" si="284"/>
        <v>211922031.77231857</v>
      </c>
      <c r="AA62" s="199">
        <f t="shared" si="284"/>
        <v>236681102.76582515</v>
      </c>
      <c r="AB62" s="199">
        <f t="shared" si="284"/>
        <v>248977819.02291667</v>
      </c>
      <c r="AC62" s="199">
        <f t="shared" si="284"/>
        <v>351639697.92976594</v>
      </c>
      <c r="AD62" s="199">
        <f t="shared" si="284"/>
        <v>409331979.77993679</v>
      </c>
      <c r="AE62" s="199">
        <f t="shared" si="284"/>
        <v>417436901.46390849</v>
      </c>
      <c r="AF62" s="199">
        <f t="shared" si="284"/>
        <v>432557644.14956474</v>
      </c>
      <c r="AG62" s="199">
        <f t="shared" si="284"/>
        <v>352233641.27747858</v>
      </c>
      <c r="AH62" s="199">
        <f t="shared" si="284"/>
        <v>370323334.14154178</v>
      </c>
      <c r="AI62" s="199">
        <f t="shared" si="284"/>
        <v>384656444.76866204</v>
      </c>
      <c r="AJ62" s="199">
        <f t="shared" si="284"/>
        <v>568143013.09640753</v>
      </c>
      <c r="AK62" s="199">
        <f t="shared" si="284"/>
        <v>464941108.66193527</v>
      </c>
      <c r="AL62" s="199">
        <f t="shared" si="284"/>
        <v>410497448.32785982</v>
      </c>
      <c r="AM62" s="199">
        <f t="shared" si="284"/>
        <v>383844053.55395919</v>
      </c>
      <c r="AN62" s="199">
        <f t="shared" si="284"/>
        <v>304943363.21452653</v>
      </c>
      <c r="AO62" s="199">
        <f t="shared" si="284"/>
        <v>396539323.23639017</v>
      </c>
      <c r="AP62" s="199">
        <f t="shared" si="284"/>
        <v>413137602.63127702</v>
      </c>
      <c r="AQ62" s="199">
        <f t="shared" si="284"/>
        <v>421742297.90101522</v>
      </c>
      <c r="AR62" s="199">
        <f t="shared" si="284"/>
        <v>442284368.79945338</v>
      </c>
      <c r="AS62" s="199">
        <f t="shared" si="284"/>
        <v>439335803.36087304</v>
      </c>
      <c r="AT62" s="199">
        <f t="shared" si="284"/>
        <v>389352200.4880743</v>
      </c>
      <c r="AU62" s="199">
        <f t="shared" si="284"/>
        <v>371420140.54831964</v>
      </c>
      <c r="AV62" s="199">
        <f t="shared" si="284"/>
        <v>457803569.32582843</v>
      </c>
      <c r="AW62" s="199">
        <f t="shared" si="284"/>
        <v>425693007.44329214</v>
      </c>
      <c r="AX62" s="199">
        <f t="shared" si="284"/>
        <v>513613885.31204844</v>
      </c>
      <c r="AY62" s="199">
        <f t="shared" si="284"/>
        <v>550827634.73562586</v>
      </c>
      <c r="AZ62" s="199">
        <f t="shared" si="284"/>
        <v>527627143.37165254</v>
      </c>
      <c r="BA62" s="199">
        <f t="shared" si="284"/>
        <v>672775202.0642364</v>
      </c>
      <c r="BB62" s="199">
        <f t="shared" si="284"/>
        <v>617910637.9139334</v>
      </c>
      <c r="BC62" s="199">
        <f t="shared" si="284"/>
        <v>604672728.18654418</v>
      </c>
      <c r="BD62" s="199">
        <f t="shared" si="284"/>
        <v>601950070.93214619</v>
      </c>
      <c r="BE62" s="199">
        <f t="shared" si="284"/>
        <v>652140952.27859461</v>
      </c>
      <c r="BF62" s="199">
        <f t="shared" si="284"/>
        <v>551900279.5337168</v>
      </c>
      <c r="BG62" s="199">
        <f t="shared" si="284"/>
        <v>613426195.8030771</v>
      </c>
      <c r="BH62" s="199">
        <f t="shared" si="284"/>
        <v>700299752.54993176</v>
      </c>
      <c r="BI62" s="199">
        <f t="shared" si="284"/>
        <v>654951708.97897792</v>
      </c>
      <c r="BJ62" s="199">
        <f t="shared" si="284"/>
        <v>824009659.04747617</v>
      </c>
      <c r="BK62" s="199">
        <f t="shared" si="284"/>
        <v>890874537.32499051</v>
      </c>
      <c r="BL62" s="199">
        <f t="shared" si="284"/>
        <v>812404678.55595744</v>
      </c>
      <c r="BM62" s="199">
        <f t="shared" si="284"/>
        <v>980123829.6968801</v>
      </c>
      <c r="BN62" s="199">
        <f t="shared" si="284"/>
        <v>830766268.04811168</v>
      </c>
      <c r="BO62" s="199">
        <f t="shared" si="284"/>
        <v>823043818.28766859</v>
      </c>
      <c r="BP62" s="199">
        <f t="shared" ref="BP62:CK62" si="285">SUM(BP63:BP65)</f>
        <v>821630680.48760819</v>
      </c>
      <c r="BQ62" s="199">
        <f t="shared" si="285"/>
        <v>868833032.60031068</v>
      </c>
      <c r="BR62" s="199">
        <f t="shared" si="285"/>
        <v>790928618.42419052</v>
      </c>
      <c r="BS62" s="199">
        <f t="shared" si="285"/>
        <v>783967220.03415132</v>
      </c>
      <c r="BT62" s="199">
        <f t="shared" si="285"/>
        <v>888768246.12434924</v>
      </c>
      <c r="BU62" s="199">
        <f t="shared" si="285"/>
        <v>843983232.63502371</v>
      </c>
      <c r="BV62" s="199">
        <f t="shared" si="285"/>
        <v>1018105622.2801129</v>
      </c>
      <c r="BW62" s="199">
        <f t="shared" si="285"/>
        <v>1064372704.9613013</v>
      </c>
      <c r="BX62" s="199">
        <f t="shared" si="285"/>
        <v>957776819.10812831</v>
      </c>
      <c r="BY62" s="199">
        <f t="shared" si="285"/>
        <v>1085203488.757298</v>
      </c>
      <c r="BZ62" s="199">
        <f t="shared" si="285"/>
        <v>1006065266.1196799</v>
      </c>
      <c r="CA62" s="199">
        <f t="shared" si="285"/>
        <v>998044427.51125169</v>
      </c>
      <c r="CB62" s="199">
        <f t="shared" si="285"/>
        <v>993111275.65401161</v>
      </c>
      <c r="CC62" s="199">
        <f t="shared" si="285"/>
        <v>1050247657.7096539</v>
      </c>
      <c r="CD62" s="199">
        <f t="shared" si="285"/>
        <v>954507171.34185493</v>
      </c>
      <c r="CE62" s="199">
        <f t="shared" si="285"/>
        <v>943814793.96594679</v>
      </c>
      <c r="CF62" s="199">
        <f t="shared" si="285"/>
        <v>1069344650.8032967</v>
      </c>
      <c r="CG62" s="199">
        <f t="shared" si="285"/>
        <v>1011743348.8327769</v>
      </c>
      <c r="CH62" s="199">
        <f t="shared" si="285"/>
        <v>1217758500.410331</v>
      </c>
      <c r="CI62" s="199">
        <f t="shared" si="285"/>
        <v>1269743568.5863345</v>
      </c>
      <c r="CJ62" s="199">
        <f t="shared" si="285"/>
        <v>1139301342.6514382</v>
      </c>
      <c r="CK62" s="199">
        <f t="shared" si="285"/>
        <v>1282002745.0255961</v>
      </c>
      <c r="CL62" s="199">
        <f t="shared" ref="CL62:CW62" si="286">SUM(CL63:CL65)</f>
        <v>1167012141.8145981</v>
      </c>
      <c r="CM62" s="199">
        <f t="shared" si="286"/>
        <v>1157301997.0007401</v>
      </c>
      <c r="CN62" s="199">
        <f t="shared" si="286"/>
        <v>1151207689.3635085</v>
      </c>
      <c r="CO62" s="199">
        <f t="shared" si="286"/>
        <v>1216441044.4780319</v>
      </c>
      <c r="CP62" s="199">
        <f t="shared" si="286"/>
        <v>1105293823.1396172</v>
      </c>
      <c r="CQ62" s="199">
        <f t="shared" si="286"/>
        <v>1093798251.0892627</v>
      </c>
      <c r="CR62" s="199">
        <f t="shared" si="286"/>
        <v>1236530495.9150395</v>
      </c>
      <c r="CS62" s="199">
        <f t="shared" si="286"/>
        <v>1170368505.6761456</v>
      </c>
      <c r="CT62" s="199">
        <f t="shared" si="286"/>
        <v>1409315167.9378366</v>
      </c>
      <c r="CU62" s="199">
        <f t="shared" si="286"/>
        <v>1470084374.4200215</v>
      </c>
      <c r="CV62" s="199">
        <f t="shared" si="286"/>
        <v>1317461701.2990596</v>
      </c>
      <c r="CW62" s="199">
        <f t="shared" si="286"/>
        <v>1481603567.9412518</v>
      </c>
      <c r="CY62" s="199">
        <f t="shared" ref="CY62:CY80" si="287">SUM(AD62:AF62)</f>
        <v>1259326525.39341</v>
      </c>
      <c r="CZ62" s="199">
        <f t="shared" ref="CZ62:CZ80" si="288">SUM(AG62:AI62)</f>
        <v>1107213420.1876824</v>
      </c>
      <c r="DA62" s="199">
        <f t="shared" ref="DA62:DA80" si="289">SUM(AJ62:AL62)</f>
        <v>1443581570.0862026</v>
      </c>
      <c r="DB62" s="199">
        <f t="shared" ref="DB62:DB80" si="290">SUM(AM62:AO62)</f>
        <v>1085326740.0048759</v>
      </c>
      <c r="DC62" s="199">
        <f t="shared" ref="DC62:DC80" si="291">SUM(AP62:AR62)</f>
        <v>1277164269.3317456</v>
      </c>
      <c r="DD62" s="199">
        <f t="shared" ref="DD62:DD80" si="292">SUM(AS62:AU62)</f>
        <v>1200108144.3972669</v>
      </c>
      <c r="DE62" s="199">
        <f t="shared" ref="DE62:DE80" si="293">SUM(AV62:AX62)</f>
        <v>1397110462.0811691</v>
      </c>
      <c r="DF62" s="199">
        <f t="shared" ref="DF62:DF80" si="294">SUM(AY62:BA62)</f>
        <v>1751229980.1715147</v>
      </c>
      <c r="DG62" s="199">
        <f t="shared" ref="DG62:DG80" si="295">SUM(BB62:BD62)</f>
        <v>1824533437.0326238</v>
      </c>
      <c r="DH62" s="199">
        <f t="shared" ref="DH62:DH80" si="296">SUM(BE62:BG62)</f>
        <v>1817467427.6153884</v>
      </c>
      <c r="DI62" s="199">
        <f t="shared" ref="DI62:DI80" si="297">SUM(BH62:BJ62)</f>
        <v>2179261120.576386</v>
      </c>
      <c r="DJ62" s="199">
        <f t="shared" ref="DJ62:DJ80" si="298">SUM(BK62:BM62)</f>
        <v>2683403045.5778284</v>
      </c>
      <c r="DK62" s="199">
        <f t="shared" ref="DK62:DK80" si="299">SUM(BN62:BP62)</f>
        <v>2475440766.8233881</v>
      </c>
      <c r="DL62" s="199">
        <f t="shared" ref="DL62:DL80" si="300">SUM(BQ62:BS62)</f>
        <v>2443728871.0586529</v>
      </c>
      <c r="DM62" s="199">
        <f t="shared" ref="DM62:DM80" si="301">SUM(BT62:BV62)</f>
        <v>2750857101.0394859</v>
      </c>
      <c r="DN62" s="199">
        <f t="shared" ref="DN62:DN80" si="302">SUM(BW62:BY62)</f>
        <v>3107353012.8267279</v>
      </c>
      <c r="DO62" s="199">
        <f t="shared" ref="DO62:DO80" si="303">SUM(BZ62:CB62)</f>
        <v>2997220969.2849431</v>
      </c>
      <c r="DP62" s="199">
        <f t="shared" ref="DP62:DP80" si="304">SUM(CC62:CE62)</f>
        <v>2948569623.0174556</v>
      </c>
      <c r="DQ62" s="199">
        <f t="shared" ref="DQ62:DQ80" si="305">SUM(CF62:CH62)</f>
        <v>3298846500.0464048</v>
      </c>
      <c r="DR62" s="199">
        <f t="shared" ref="DR62:DR80" si="306">SUM(CI62:CK62)</f>
        <v>3691047656.2633691</v>
      </c>
      <c r="DS62" s="199">
        <f t="shared" si="23"/>
        <v>3475521828.1788464</v>
      </c>
      <c r="DT62" s="199">
        <f t="shared" si="24"/>
        <v>3415533118.706912</v>
      </c>
      <c r="DU62" s="199">
        <f t="shared" si="25"/>
        <v>3816214169.5290217</v>
      </c>
      <c r="DV62" s="199">
        <f t="shared" si="26"/>
        <v>4269149643.6603327</v>
      </c>
      <c r="DX62" s="199">
        <f t="shared" ref="DX62:DX80" si="307">SUM(CY62:DB62)</f>
        <v>4895448255.6721706</v>
      </c>
      <c r="DY62" s="199">
        <f t="shared" ref="DY62:DY80" si="308">SUM(DC62:DF62)</f>
        <v>5625612855.9816961</v>
      </c>
      <c r="DZ62" s="199">
        <f t="shared" ref="DZ62:DZ80" si="309">SUM(DG62:DJ62)</f>
        <v>8504665030.8022261</v>
      </c>
      <c r="EA62" s="199">
        <f t="shared" ref="EA62:EA80" si="310">SUM(DK62:DN62)</f>
        <v>10777379751.748255</v>
      </c>
      <c r="EB62" s="199">
        <f t="shared" ref="EB62:EB80" si="311">SUM(DO62:DR62)</f>
        <v>12935684748.612173</v>
      </c>
      <c r="EC62" s="810">
        <f t="shared" si="32"/>
        <v>14976418760.075111</v>
      </c>
    </row>
    <row r="63" spans="2:133" x14ac:dyDescent="0.2">
      <c r="B63" s="155" t="s">
        <v>139</v>
      </c>
      <c r="C63" s="19">
        <f>'D2C - Retail'!J104+'D2C - Retail'!J107+'D2C - Retail'!J110+'D2C - Retail'!J112+'D2C - Retail'!J113+'D2C - Retail'!J114+'D2C - Retail'!J115+'D2C Online'!AA81</f>
        <v>34557621.798249714</v>
      </c>
      <c r="D63" s="19">
        <f>'D2C - Retail'!K104+'D2C - Retail'!K107+'D2C - Retail'!K110+'D2C - Retail'!K112+'D2C - Retail'!K113+'D2C - Retail'!K114+'D2C - Retail'!K115+'D2C Online'!AB81</f>
        <v>32507834.73987405</v>
      </c>
      <c r="E63" s="19">
        <f>'D2C - Retail'!L104+'D2C - Retail'!L107+'D2C - Retail'!L110+'D2C - Retail'!L112+'D2C - Retail'!L113+'D2C - Retail'!L114+'D2C - Retail'!L115+'D2C Online'!AC81</f>
        <v>35749886.745310865</v>
      </c>
      <c r="F63" s="19">
        <f>'D2C - Retail'!M104+'D2C - Retail'!M107+'D2C - Retail'!M110+'D2C - Retail'!M112+'D2C - Retail'!M113+'D2C - Retail'!M114+'D2C - Retail'!M115+'D2C Online'!AD81</f>
        <v>20713340.463818204</v>
      </c>
      <c r="G63" s="19">
        <f>'D2C - Retail'!N104+'D2C - Retail'!N107+'D2C - Retail'!N110+'D2C - Retail'!N112+'D2C - Retail'!N113+'D2C - Retail'!N114+'D2C - Retail'!N115+'D2C Online'!AE81</f>
        <v>3417286.2187747154</v>
      </c>
      <c r="H63" s="19">
        <f>'D2C - Retail'!O104+'D2C - Retail'!O107+'D2C - Retail'!O110+'D2C - Retail'!O112+'D2C - Retail'!O113+'D2C - Retail'!O114+'D2C - Retail'!O115+'D2C Online'!AF81</f>
        <v>14980544.587579424</v>
      </c>
      <c r="I63" s="19">
        <f>'D2C - Retail'!P104+'D2C - Retail'!P107+'D2C - Retail'!P110+'D2C - Retail'!P112+'D2C - Retail'!P113+'D2C - Retail'!P114+'D2C - Retail'!P115+'D2C Online'!AG81</f>
        <v>20112715.815811019</v>
      </c>
      <c r="J63" s="19">
        <f>'D2C - Retail'!Q104+'D2C - Retail'!Q107+'D2C - Retail'!Q110+'D2C - Retail'!Q112+'D2C - Retail'!Q113+'D2C - Retail'!Q114+'D2C - Retail'!Q115+'D2C Online'!AH81</f>
        <v>26181513.412462432</v>
      </c>
      <c r="K63" s="19">
        <f>'D2C - Retail'!R104+'D2C - Retail'!R107+'D2C - Retail'!R110+'D2C - Retail'!R112+'D2C - Retail'!R113+'D2C - Retail'!R114+'D2C - Retail'!R115+'D2C Online'!AI81</f>
        <v>36670370.388528064</v>
      </c>
      <c r="L63" s="19">
        <f>'D2C - Retail'!S104+'D2C - Retail'!S107+'D2C - Retail'!S110+'D2C - Retail'!S112+'D2C - Retail'!S113+'D2C - Retail'!S114+'D2C - Retail'!S115+'D2C Online'!AJ81</f>
        <v>43147438.962673791</v>
      </c>
      <c r="M63" s="19">
        <f>'D2C - Retail'!T104+'D2C - Retail'!T107+'D2C - Retail'!T110+'D2C - Retail'!T112+'D2C - Retail'!T113+'D2C - Retail'!T114+'D2C - Retail'!T115+'D2C Online'!AK81</f>
        <v>65757053.775872454</v>
      </c>
      <c r="N63" s="19">
        <f>'D2C - Retail'!U104+'D2C - Retail'!U107+'D2C - Retail'!U110+'D2C - Retail'!U112+'D2C - Retail'!U113+'D2C - Retail'!U114+'D2C - Retail'!U115+'D2C Online'!AL81</f>
        <v>78530873.07567279</v>
      </c>
      <c r="O63" s="19">
        <f>'D2C - Retail'!V104+'D2C - Retail'!V107+'D2C - Retail'!V110+'D2C - Retail'!V112+'D2C - Retail'!V113+'D2C - Retail'!V114+'D2C - Retail'!V115+'D2C Online'!AM81</f>
        <v>85903434.528240129</v>
      </c>
      <c r="P63" s="19">
        <f>'D2C - Retail'!W104+'D2C - Retail'!W107+'D2C - Retail'!W110+'D2C - Retail'!W112+'D2C - Retail'!W113+'D2C - Retail'!W114+'D2C - Retail'!W115+'D2C Online'!AN81</f>
        <v>91669734.196661547</v>
      </c>
      <c r="Q63" s="19">
        <f>'D2C - Retail'!X104+'D2C - Retail'!X107+'D2C - Retail'!X110+'D2C - Retail'!X112+'D2C - Retail'!X113+'D2C - Retail'!X114+'D2C - Retail'!X115+'D2C Online'!AO81</f>
        <v>97948791.372348666</v>
      </c>
      <c r="R63" s="19">
        <f>'D2C - Retail'!Y104+'D2C - Retail'!Y107+'D2C - Retail'!Y110+'D2C - Retail'!Y112+'D2C - Retail'!Y113+'D2C - Retail'!Y114+'D2C - Retail'!Y115+'D2C Online'!AP81</f>
        <v>87131309.94801116</v>
      </c>
      <c r="S63" s="19">
        <f>'D2C - Retail'!Z104+'D2C - Retail'!Z107+'D2C - Retail'!Z110+'D2C - Retail'!Z112+'D2C - Retail'!Z113+'D2C - Retail'!Z114+'D2C - Retail'!Z115+'D2C Online'!AQ81</f>
        <v>111074422.71218702</v>
      </c>
      <c r="T63" s="19">
        <f>'D2C - Retail'!AA104+'D2C - Retail'!AA107+'D2C - Retail'!AA110+'D2C - Retail'!AA112+'D2C - Retail'!AA113+'D2C - Retail'!AA114+'D2C - Retail'!AA115+'D2C Online'!AR81</f>
        <v>145113753.5876905</v>
      </c>
      <c r="U63" s="19">
        <f>'D2C - Retail'!AB104+'D2C - Retail'!AB107+'D2C - Retail'!AB110+'D2C - Retail'!AB112+'D2C - Retail'!AB113+'D2C - Retail'!AB114+'D2C - Retail'!AB115+'D2C Online'!AS81</f>
        <v>140004696.94474816</v>
      </c>
      <c r="V63" s="19">
        <f>'D2C - Retail'!AC104+'D2C - Retail'!AC107+'D2C - Retail'!AC110+'D2C - Retail'!AC112+'D2C - Retail'!AC113+'D2C - Retail'!AC114+'D2C - Retail'!AC115+'D2C Online'!AT81</f>
        <v>139635696.91567481</v>
      </c>
      <c r="W63" s="19">
        <f>'D2C - Retail'!AD104+'D2C - Retail'!AD107+'D2C - Retail'!AD110+'D2C - Retail'!AD112+'D2C - Retail'!AD113+'D2C - Retail'!AD114+'D2C - Retail'!AD115+'D2C Online'!AU81</f>
        <v>141101702.50502181</v>
      </c>
      <c r="X63" s="19">
        <f>'D2C - Retail'!AE104+'D2C - Retail'!AE107+'D2C - Retail'!AE110+'D2C - Retail'!AE112+'D2C - Retail'!AE113+'D2C - Retail'!AE114+'D2C - Retail'!AE115+'D2C Online'!AV81</f>
        <v>175140875.7873027</v>
      </c>
      <c r="Y63" s="19">
        <f>'D2C - Retail'!AF104+'D2C - Retail'!AF107+'D2C - Retail'!AF110+'D2C - Retail'!AF112+'D2C - Retail'!AF113+'D2C - Retail'!AF114+'D2C - Retail'!AF115+'D2C Online'!AW81</f>
        <v>170230541.14976349</v>
      </c>
      <c r="Z63" s="19">
        <f>'D2C - Retail'!AG104+'D2C - Retail'!AG107+'D2C - Retail'!AG110+'D2C - Retail'!AG112+'D2C - Retail'!AG113+'D2C - Retail'!AG114+'D2C - Retail'!AG115+'D2C Online'!AX81</f>
        <v>199039791.29353982</v>
      </c>
      <c r="AA63" s="19">
        <f>'D2C - Retail'!AH104+'D2C - Retail'!AH107+'D2C - Retail'!AH110+'D2C - Retail'!AH112+'D2C - Retail'!AH113+'D2C - Retail'!AH114+'D2C - Retail'!AH115+'D2C Online'!AY81</f>
        <v>223002768.24120021</v>
      </c>
      <c r="AB63" s="19">
        <f>'D2C - Retail'!AI104+'D2C - Retail'!AI107+'D2C - Retail'!AI110+'D2C - Retail'!AI112+'D2C - Retail'!AI113+'D2C - Retail'!AI114+'D2C - Retail'!AI115+'D2C Online'!AZ81</f>
        <v>235601365.9915674</v>
      </c>
      <c r="AC63" s="19">
        <f>'D2C - Retail'!AJ104+'D2C - Retail'!AJ107+'D2C - Retail'!AJ110+'D2C - Retail'!AJ112+'D2C - Retail'!AJ113+'D2C - Retail'!AJ114+'D2C - Retail'!AJ115+'D2C Online'!BA81</f>
        <v>337635518.51268053</v>
      </c>
      <c r="AD63" s="19">
        <f>'D2C - Retail'!AK104+'D2C - Retail'!AK107+'D2C - Retail'!AK110+'D2C - Retail'!AK112+'D2C - Retail'!AK113+'D2C - Retail'!AK114+'D2C - Retail'!AK115+'D2C Online'!BB81</f>
        <v>395323331.5314644</v>
      </c>
      <c r="AE63" s="19">
        <f>'D2C - Retail'!AL104+'D2C - Retail'!AL107+'D2C - Retail'!AL110+'D2C - Retail'!AL112+'D2C - Retail'!AL113+'D2C - Retail'!AL114+'D2C - Retail'!AL115+'D2C Online'!BC81</f>
        <v>402852513.08187979</v>
      </c>
      <c r="AF63" s="19">
        <f>'D2C - Retail'!AM104+'D2C - Retail'!AM107+'D2C - Retail'!AM110+'D2C - Retail'!AM112+'D2C - Retail'!AM113+'D2C - Retail'!AM114+'D2C - Retail'!AM115+'D2C Online'!BD81</f>
        <v>416206965.9916271</v>
      </c>
      <c r="AG63" s="19">
        <f>'D2C - Retail'!AN104+'D2C - Retail'!AN107+'D2C - Retail'!AN110+'D2C - Retail'!AN112+'D2C - Retail'!AN113+'D2C - Retail'!AN114+'D2C - Retail'!AN115+'D2C Online'!BE81</f>
        <v>336168798.52579916</v>
      </c>
      <c r="AH63" s="19">
        <f>'D2C - Retail'!AO104+'D2C - Retail'!AO107+'D2C - Retail'!AO110+'D2C - Retail'!AO112+'D2C - Retail'!AO113+'D2C - Retail'!AO114+'D2C - Retail'!AO115+'D2C Online'!BF81</f>
        <v>351298972.19095701</v>
      </c>
      <c r="AI63" s="19">
        <f>'D2C - Retail'!AP104+'D2C - Retail'!AP107+'D2C - Retail'!AP110+'D2C - Retail'!AP112+'D2C - Retail'!AP113+'D2C - Retail'!AP114+'D2C - Retail'!AP115+'D2C Online'!BG81</f>
        <v>367589249.76997113</v>
      </c>
      <c r="AJ63" s="19">
        <f>'D2C - Retail'!AQ104+'D2C - Retail'!AQ107+'D2C - Retail'!AQ110+'D2C - Retail'!AQ112+'D2C - Retail'!AQ113+'D2C - Retail'!AQ114+'D2C - Retail'!AQ115+'D2C Online'!BH81</f>
        <v>548021455.48509908</v>
      </c>
      <c r="AK63" s="19">
        <f>'D2C - Retail'!AR104+'D2C - Retail'!AR107+'D2C - Retail'!AR110+'D2C - Retail'!AR112+'D2C - Retail'!AR113+'D2C - Retail'!AR114+'D2C - Retail'!AR115+'D2C Online'!BI81</f>
        <v>449659365.56172836</v>
      </c>
      <c r="AL63" s="19">
        <f>'D2C - Retail'!AS104+'D2C - Retail'!AS107+'D2C - Retail'!AS110+'D2C - Retail'!AS112+'D2C - Retail'!AS113+'D2C - Retail'!AS114+'D2C - Retail'!AS115+'D2C Online'!BJ81</f>
        <v>397053164.24299866</v>
      </c>
      <c r="AM63" s="19">
        <f>'D2C - Retail'!AT104+'D2C - Retail'!AT107+'D2C - Retail'!AT110+'D2C - Retail'!AT112+'D2C - Retail'!AT113+'D2C - Retail'!AT114+'D2C - Retail'!AT115+'D2C Online'!BK81</f>
        <v>370362077.83198321</v>
      </c>
      <c r="AN63" s="19">
        <f>'D2C - Retail'!AU104+'D2C - Retail'!AU107+'D2C - Retail'!AU110+'D2C - Retail'!AU112+'D2C - Retail'!AU113+'D2C - Retail'!AU114+'D2C - Retail'!AU115+'D2C Online'!BL81</f>
        <v>291790179.85301352</v>
      </c>
      <c r="AO63" s="19">
        <f>'D2C - Retail'!AV104+'D2C - Retail'!AV107+'D2C - Retail'!AV110+'D2C - Retail'!AV112+'D2C - Retail'!AV113+'D2C - Retail'!AV114+'D2C - Retail'!AV115+'D2C Online'!BM81</f>
        <v>381061935.0377866</v>
      </c>
      <c r="AP63" s="19">
        <f>'D2C - Retail'!AW104+'D2C - Retail'!AW107+'D2C - Retail'!AW110+'D2C - Retail'!AW112+'D2C - Retail'!AW113+'D2C - Retail'!AW114+'D2C - Retail'!AW115+'D2C Online'!BN81</f>
        <v>395899308.49220383</v>
      </c>
      <c r="AQ63" s="19">
        <f>'D2C - Retail'!AX104+'D2C - Retail'!AX107+'D2C - Retail'!AX110+'D2C - Retail'!AX112+'D2C - Retail'!AX113+'D2C - Retail'!AX114+'D2C - Retail'!AX115+'D2C Online'!BO81</f>
        <v>404938706.44998717</v>
      </c>
      <c r="AR63" s="19">
        <f>'D2C - Retail'!AY104+'D2C - Retail'!AY107+'D2C - Retail'!AY110+'D2C - Retail'!AY112+'D2C - Retail'!AY113+'D2C - Retail'!AY114+'D2C - Retail'!AY115+'D2C Online'!BP81</f>
        <v>424475084.58372176</v>
      </c>
      <c r="AS63" s="19">
        <f>'D2C - Retail'!AZ104+'D2C - Retail'!AZ107+'D2C - Retail'!AZ110+'D2C - Retail'!AZ112+'D2C - Retail'!AZ113+'D2C - Retail'!AZ114+'D2C - Retail'!AZ115+'D2C Online'!BQ81</f>
        <v>420145527.30259562</v>
      </c>
      <c r="AT63" s="19">
        <f>'D2C - Retail'!BA104+'D2C - Retail'!BA107+'D2C - Retail'!BA110+'D2C - Retail'!BA112+'D2C - Retail'!BA113+'D2C - Retail'!BA114+'D2C - Retail'!BA115+'D2C Online'!BR81</f>
        <v>371883170.95367169</v>
      </c>
      <c r="AU63" s="19">
        <f>'D2C - Retail'!BB104+'D2C - Retail'!BB107+'D2C - Retail'!BB110+'D2C - Retail'!BB112+'D2C - Retail'!BB113+'D2C - Retail'!BB114+'D2C - Retail'!BB115+'D2C Online'!BS81</f>
        <v>354937305.25207663</v>
      </c>
      <c r="AV63" s="19">
        <f>'D2C - Retail'!BC104+'D2C - Retail'!BC107+'D2C - Retail'!BC110+'D2C - Retail'!BC112+'D2C - Retail'!BC113+'D2C - Retail'!BC114+'D2C - Retail'!BC115+'D2C Online'!BT81</f>
        <v>437939186.67802858</v>
      </c>
      <c r="AW63" s="19">
        <f>'D2C - Retail'!BD104+'D2C - Retail'!BD107+'D2C - Retail'!BD110+'D2C - Retail'!BD112+'D2C - Retail'!BD113+'D2C - Retail'!BD114+'D2C - Retail'!BD115+'D2C Online'!BU81</f>
        <v>407868136.61477065</v>
      </c>
      <c r="AX63" s="19">
        <f>'D2C - Retail'!BE104+'D2C - Retail'!BE107+'D2C - Retail'!BE110+'D2C - Retail'!BE112+'D2C - Retail'!BE113+'D2C - Retail'!BE114+'D2C - Retail'!BE115+'D2C Online'!BV81</f>
        <v>491930316.7031399</v>
      </c>
      <c r="AY63" s="19">
        <f>'D2C - Retail'!BF104+'D2C - Retail'!BF107+'D2C - Retail'!BF110+'D2C - Retail'!BF112+'D2C - Retail'!BF113+'D2C - Retail'!BF114+'D2C - Retail'!BF115+'D2C Online'!BW81</f>
        <v>530770991.83800894</v>
      </c>
      <c r="AZ63" s="19">
        <f>'D2C - Retail'!BG104+'D2C - Retail'!BG107+'D2C - Retail'!BG110+'D2C - Retail'!BG112+'D2C - Retail'!BG113+'D2C - Retail'!BG114+'D2C - Retail'!BG115+'D2C Online'!BX81</f>
        <v>509454236.81146634</v>
      </c>
      <c r="BA63" s="19">
        <f>'D2C - Retail'!BH104+'D2C - Retail'!BH107+'D2C - Retail'!BH110+'D2C - Retail'!BH112+'D2C - Retail'!BH113+'D2C - Retail'!BH114+'D2C - Retail'!BH115+'D2C Online'!BY81</f>
        <v>649735037.99656105</v>
      </c>
      <c r="BB63" s="19">
        <f>'D2C - Retail'!BI104+'D2C - Retail'!BI107+'D2C - Retail'!BI110+'D2C - Retail'!BI112+'D2C - Retail'!BI113+'D2C - Retail'!BI114+'D2C - Retail'!BI115+'D2C Online'!BZ81</f>
        <v>596924924.62660801</v>
      </c>
      <c r="BC63" s="19">
        <f>'D2C - Retail'!BJ104+'D2C - Retail'!BJ107+'D2C - Retail'!BJ110+'D2C - Retail'!BJ112+'D2C - Retail'!BJ113+'D2C - Retail'!BJ114+'D2C - Retail'!BJ115+'D2C Online'!CA81</f>
        <v>583098635.83854461</v>
      </c>
      <c r="BD63" s="19">
        <f>'D2C - Retail'!BK104+'D2C - Retail'!BK107+'D2C - Retail'!BK110+'D2C - Retail'!BK112+'D2C - Retail'!BK113+'D2C - Retail'!BK114+'D2C - Retail'!BK115+'D2C Online'!CB81</f>
        <v>582347597.91407835</v>
      </c>
      <c r="BE63" s="19">
        <f>'D2C - Retail'!BL104+'D2C - Retail'!BL107+'D2C - Retail'!BL110+'D2C - Retail'!BL112+'D2C - Retail'!BL113+'D2C - Retail'!BL114+'D2C - Retail'!BL115+'D2C Online'!CC81</f>
        <v>628978862.46461165</v>
      </c>
      <c r="BF63" s="19">
        <f>'D2C - Retail'!BM104+'D2C - Retail'!BM107+'D2C - Retail'!BM110+'D2C - Retail'!BM112+'D2C - Retail'!BM113+'D2C - Retail'!BM114+'D2C - Retail'!BM115+'D2C Online'!CD81</f>
        <v>526215807.92329311</v>
      </c>
      <c r="BG63" s="19">
        <f>'D2C - Retail'!BN104+'D2C - Retail'!BN107+'D2C - Retail'!BN110+'D2C - Retail'!BN112+'D2C - Retail'!BN113+'D2C - Retail'!BN114+'D2C - Retail'!BN115+'D2C Online'!CE81</f>
        <v>589147058.72333133</v>
      </c>
      <c r="BH63" s="19">
        <f>'D2C - Retail'!BO104+'D2C - Retail'!BO107+'D2C - Retail'!BO110+'D2C - Retail'!BO112+'D2C - Retail'!BO113+'D2C - Retail'!BO114+'D2C - Retail'!BO115+'D2C Online'!CF81</f>
        <v>672137697.81227028</v>
      </c>
      <c r="BI63" s="19">
        <f>'D2C - Retail'!BP104+'D2C - Retail'!BP107+'D2C - Retail'!BP110+'D2C - Retail'!BP112+'D2C - Retail'!BP113+'D2C - Retail'!BP114+'D2C - Retail'!BP115+'D2C Online'!CG81</f>
        <v>627340580.04329991</v>
      </c>
      <c r="BJ63" s="19">
        <f>'D2C - Retail'!BQ104+'D2C - Retail'!BQ107+'D2C - Retail'!BQ110+'D2C - Retail'!BQ112+'D2C - Retail'!BQ113+'D2C - Retail'!BQ114+'D2C - Retail'!BQ115+'D2C Online'!CH81</f>
        <v>789931761.28103566</v>
      </c>
      <c r="BK63" s="19">
        <f>'D2C - Retail'!BR104+'D2C - Retail'!BR107+'D2C - Retail'!BR110+'D2C - Retail'!BR112+'D2C - Retail'!BR113+'D2C - Retail'!BR114+'D2C - Retail'!BR115+'D2C Online'!CI81</f>
        <v>858720120.63236332</v>
      </c>
      <c r="BL63" s="19">
        <f>'D2C - Retail'!BS104+'D2C - Retail'!BS107+'D2C - Retail'!BS110+'D2C - Retail'!BS112+'D2C - Retail'!BS113+'D2C - Retail'!BS114+'D2C - Retail'!BS115+'D2C Online'!CJ81</f>
        <v>781605365.05866933</v>
      </c>
      <c r="BM63" s="19">
        <f>'D2C - Retail'!BT104+'D2C - Retail'!BT107+'D2C - Retail'!BT110+'D2C - Retail'!BT112+'D2C - Retail'!BT113+'D2C - Retail'!BT114+'D2C - Retail'!BT115+'D2C Online'!CK81</f>
        <v>936309700.31027019</v>
      </c>
      <c r="BN63" s="19">
        <f>'D2C - Retail'!BU104+'D2C - Retail'!BU107+'D2C - Retail'!BU110+'D2C - Retail'!BU112+'D2C - Retail'!BU113+'D2C - Retail'!BU114+'D2C - Retail'!BU115+'D2C Online'!CL81</f>
        <v>798570335.41382194</v>
      </c>
      <c r="BO63" s="19">
        <f>'D2C - Retail'!BV104+'D2C - Retail'!BV107+'D2C - Retail'!BV110+'D2C - Retail'!BV112+'D2C - Retail'!BV113+'D2C - Retail'!BV114+'D2C - Retail'!BV115+'D2C Online'!CM81</f>
        <v>790572336.50994897</v>
      </c>
      <c r="BP63" s="19">
        <f>'D2C - Retail'!BW104+'D2C - Retail'!BW107+'D2C - Retail'!BW110+'D2C - Retail'!BW112+'D2C - Retail'!BW113+'D2C - Retail'!BW114+'D2C - Retail'!BW115+'D2C Online'!CN81</f>
        <v>788750853.64402151</v>
      </c>
      <c r="BQ63" s="19">
        <f>'D2C - Retail'!BX104+'D2C - Retail'!BX107+'D2C - Retail'!BX110+'D2C - Retail'!BX112+'D2C - Retail'!BX113+'D2C - Retail'!BX114+'D2C - Retail'!BX115+'D2C Online'!CO81</f>
        <v>835695109.35207248</v>
      </c>
      <c r="BR63" s="19">
        <f>'D2C - Retail'!BY104+'D2C - Retail'!BY107+'D2C - Retail'!BY110+'D2C - Retail'!BY112+'D2C - Retail'!BY113+'D2C - Retail'!BY114+'D2C - Retail'!BY115+'D2C Online'!CP81</f>
        <v>757363346.3898195</v>
      </c>
      <c r="BS63" s="19">
        <f>'D2C - Retail'!BZ104+'D2C - Retail'!BZ107+'D2C - Retail'!BZ110+'D2C - Retail'!BZ112+'D2C - Retail'!BZ113+'D2C - Retail'!BZ114+'D2C - Retail'!BZ115+'D2C Online'!CQ81</f>
        <v>749846366.35771298</v>
      </c>
      <c r="BT63" s="19">
        <f>'D2C - Retail'!CA104+'D2C - Retail'!CA107+'D2C - Retail'!CA110+'D2C - Retail'!CA112+'D2C - Retail'!CA113+'D2C - Retail'!CA114+'D2C - Retail'!CA115+'D2C Online'!CR81</f>
        <v>854412732.97098446</v>
      </c>
      <c r="BU63" s="19">
        <f>'D2C - Retail'!CB104+'D2C - Retail'!CB107+'D2C - Retail'!CB110+'D2C - Retail'!CB112+'D2C - Retail'!CB113+'D2C - Retail'!CB114+'D2C - Retail'!CB115+'D2C Online'!CS81</f>
        <v>809204857.21275139</v>
      </c>
      <c r="BV63" s="19">
        <f>'D2C - Retail'!CC104+'D2C - Retail'!CC107+'D2C - Retail'!CC110+'D2C - Retail'!CC112+'D2C - Retail'!CC113+'D2C - Retail'!CC114+'D2C - Retail'!CC115+'D2C Online'!CT81</f>
        <v>983088087.13833857</v>
      </c>
      <c r="BW63" s="19">
        <f>'D2C - Retail'!CD104+'D2C - Retail'!CD107+'D2C - Retail'!CD110+'D2C - Retail'!CD112+'D2C - Retail'!CD113+'D2C - Retail'!CD114+'D2C - Retail'!CD115+'D2C Online'!CU81</f>
        <v>1029088233.4724253</v>
      </c>
      <c r="BX63" s="19">
        <f>'D2C - Retail'!CE104+'D2C - Retail'!CE107+'D2C - Retail'!CE110+'D2C - Retail'!CE112+'D2C - Retail'!CE113+'D2C - Retail'!CE114+'D2C - Retail'!CE115+'D2C Online'!CV81</f>
        <v>922069556.73705912</v>
      </c>
      <c r="BY63" s="19">
        <f>'D2C - Retail'!CF104+'D2C - Retail'!CF107+'D2C - Retail'!CF110+'D2C - Retail'!CF112+'D2C - Retail'!CF113+'D2C - Retail'!CF114+'D2C - Retail'!CF115+'D2C Online'!CW81</f>
        <v>1048984276.8806651</v>
      </c>
      <c r="BZ63" s="19">
        <f>'D2C - Retail'!CG104+'D2C - Retail'!CG107+'D2C - Retail'!CG110+'D2C - Retail'!CG112+'D2C - Retail'!CG113+'D2C - Retail'!CG114+'D2C - Retail'!CG115+'D2C Online'!CX81</f>
        <v>969555645.69249749</v>
      </c>
      <c r="CA63" s="19">
        <f>'D2C - Retail'!CH104+'D2C - Retail'!CH107+'D2C - Retail'!CH110+'D2C - Retail'!CH112+'D2C - Retail'!CH113+'D2C - Retail'!CH114+'D2C - Retail'!CH115+'D2C Online'!CY81</f>
        <v>961122982.67583656</v>
      </c>
      <c r="CB63" s="19">
        <f>'D2C - Retail'!CI104+'D2C - Retail'!CI107+'D2C - Retail'!CI110+'D2C - Retail'!CI112+'D2C - Retail'!CI113+'D2C - Retail'!CI114+'D2C - Retail'!CI115+'D2C Online'!CZ81</f>
        <v>955916335.26392281</v>
      </c>
      <c r="CC63" s="19">
        <f>'D2C - Retail'!CJ104+'D2C - Retail'!CJ107+'D2C - Retail'!CJ110+'D2C - Retail'!CJ112+'D2C - Retail'!CJ113+'D2C - Retail'!CJ114+'D2C - Retail'!CJ115+'D2C Online'!DA81</f>
        <v>1012797559.1918211</v>
      </c>
      <c r="CD63" s="19">
        <f>'D2C - Retail'!CK104+'D2C - Retail'!CK107+'D2C - Retail'!CK110+'D2C - Retail'!CK112+'D2C - Retail'!CK113+'D2C - Retail'!CK114+'D2C - Retail'!CK115+'D2C Online'!DB81</f>
        <v>916625055.17680788</v>
      </c>
      <c r="CE63" s="19">
        <f>'D2C - Retail'!CL104+'D2C - Retail'!CL107+'D2C - Retail'!CL110+'D2C - Retail'!CL112+'D2C - Retail'!CL113+'D2C - Retail'!CL114+'D2C - Retail'!CL115+'D2C Online'!DC81</f>
        <v>905374141.79701304</v>
      </c>
      <c r="CF63" s="19">
        <f>'D2C - Retail'!CM104+'D2C - Retail'!CM107+'D2C - Retail'!CM110+'D2C - Retail'!CM112+'D2C - Retail'!CM113+'D2C - Retail'!CM114+'D2C - Retail'!CM115+'D2C Online'!DD81</f>
        <v>1030812622.1754589</v>
      </c>
      <c r="CG63" s="19">
        <f>'D2C - Retail'!CN104+'D2C - Retail'!CN107+'D2C - Retail'!CN110+'D2C - Retail'!CN112+'D2C - Retail'!CN113+'D2C - Retail'!CN114+'D2C - Retail'!CN115+'D2C Online'!DE81</f>
        <v>972920224.46291876</v>
      </c>
      <c r="CH63" s="19">
        <f>'D2C - Retail'!CO104+'D2C - Retail'!CO107+'D2C - Retail'!CO110+'D2C - Retail'!CO112+'D2C - Retail'!CO113+'D2C - Retail'!CO114+'D2C - Retail'!CO115+'D2C Online'!DF81</f>
        <v>1178838077.0553339</v>
      </c>
      <c r="CI63" s="19">
        <f>'D2C - Retail'!CP104+'D2C - Retail'!CP107+'D2C - Retail'!CP110+'D2C - Retail'!CP112+'D2C - Retail'!CP113+'D2C - Retail'!CP114+'D2C - Retail'!CP115+'D2C Online'!DG81</f>
        <v>1230692170.9484966</v>
      </c>
      <c r="CJ63" s="19">
        <f>'D2C - Retail'!CQ104+'D2C - Retail'!CQ107+'D2C - Retail'!CQ110+'D2C - Retail'!CQ112+'D2C - Retail'!CQ113+'D2C - Retail'!CQ114+'D2C - Retail'!CQ115+'D2C Online'!DH81</f>
        <v>1099959105.6513071</v>
      </c>
      <c r="CK63" s="19">
        <f>'D2C - Retail'!CR104+'D2C - Retail'!CR107+'D2C - Retail'!CR110+'D2C - Retail'!CR112+'D2C - Retail'!CR113+'D2C - Retail'!CR114+'D2C - Retail'!CR115+'D2C Online'!DI81</f>
        <v>1242559660.1464374</v>
      </c>
      <c r="CL63" s="19">
        <f>'D2C - Retail'!CS104+'D2C - Retail'!CS107+'D2C - Retail'!CS110+'D2C - Retail'!CS112+'D2C - Retail'!CS113+'D2C - Retail'!CS114+'D2C - Retail'!CS115+'D2C Online'!DJ81</f>
        <v>1127267828.4274118</v>
      </c>
      <c r="CM63" s="19">
        <f>'D2C - Retail'!CT104+'D2C - Retail'!CT107+'D2C - Retail'!CT110+'D2C - Retail'!CT112+'D2C - Retail'!CT113+'D2C - Retail'!CT114+'D2C - Retail'!CT115+'D2C Online'!DK81</f>
        <v>1117145090.5421042</v>
      </c>
      <c r="CN63" s="19">
        <f>'D2C - Retail'!CU104+'D2C - Retail'!CU107+'D2C - Retail'!CU110+'D2C - Retail'!CU112+'D2C - Retail'!CU113+'D2C - Retail'!CU114+'D2C - Retail'!CU115+'D2C Online'!DL81</f>
        <v>1110776931.0944781</v>
      </c>
      <c r="CO63" s="19">
        <f>'D2C - Retail'!CV104+'D2C - Retail'!CV107+'D2C - Retail'!CV110+'D2C - Retail'!CV112+'D2C - Retail'!CV113+'D2C - Retail'!CV114+'D2C - Retail'!CV115+'D2C Online'!DM81</f>
        <v>1175757360.9207573</v>
      </c>
      <c r="CP63" s="19">
        <f>'D2C - Retail'!CW104+'D2C - Retail'!CW107+'D2C - Retail'!CW110+'D2C - Retail'!CW112+'D2C - Retail'!CW113+'D2C - Retail'!CW114+'D2C - Retail'!CW115+'D2C Online'!DN81</f>
        <v>1064174534.5240687</v>
      </c>
      <c r="CQ63" s="19">
        <f>'D2C - Retail'!CX104+'D2C - Retail'!CX107+'D2C - Retail'!CX110+'D2C - Retail'!CX112+'D2C - Retail'!CX113+'D2C - Retail'!CX114+'D2C - Retail'!CX115+'D2C Online'!DO81</f>
        <v>1052118147.4877584</v>
      </c>
      <c r="CR63" s="19">
        <f>'D2C - Retail'!CY104+'D2C - Retail'!CY107+'D2C - Retail'!CY110+'D2C - Retail'!CY112+'D2C - Retail'!CY113+'D2C - Retail'!CY114+'D2C - Retail'!CY115+'D2C Online'!DP81</f>
        <v>1194765132.7261348</v>
      </c>
      <c r="CS63" s="19">
        <f>'D2C - Retail'!CZ104+'D2C - Retail'!CZ107+'D2C - Retail'!CZ110+'D2C - Retail'!CZ112+'D2C - Retail'!CZ113+'D2C - Retail'!CZ114+'D2C - Retail'!CZ115+'D2C Online'!DQ81</f>
        <v>1128309269.0242639</v>
      </c>
      <c r="CT63" s="19">
        <f>'D2C - Retail'!DA104+'D2C - Retail'!DA107+'D2C - Retail'!DA110+'D2C - Retail'!DA112+'D2C - Retail'!DA113+'D2C - Retail'!DA114+'D2C - Retail'!DA115+'D2C Online'!DR81</f>
        <v>1367163887.1265697</v>
      </c>
      <c r="CU63" s="19">
        <f>'D2C - Retail'!DB104+'D2C - Retail'!DB107+'D2C - Retail'!DB110+'D2C - Retail'!DB112+'D2C - Retail'!DB113+'D2C - Retail'!DB114+'D2C - Retail'!DB115+'D2C Online'!DS81</f>
        <v>1427802730.9998741</v>
      </c>
      <c r="CV63" s="19">
        <f>'D2C - Retail'!DC104+'D2C - Retail'!DC107+'D2C - Retail'!DC110+'D2C - Retail'!DC112+'D2C - Retail'!DC113+'D2C - Retail'!DC114+'D2C - Retail'!DC115+'D2C Online'!DT81</f>
        <v>1274886487.9511812</v>
      </c>
      <c r="CW63" s="19">
        <f>'D2C - Retail'!DD104+'D2C - Retail'!DD107+'D2C - Retail'!DD110+'D2C - Retail'!DD112+'D2C - Retail'!DD113+'D2C - Retail'!DD114+'D2C - Retail'!DD115+'D2C Online'!DU81</f>
        <v>1438932225.7877014</v>
      </c>
      <c r="CY63" s="19">
        <f t="shared" si="287"/>
        <v>1214382810.6049714</v>
      </c>
      <c r="CZ63" s="19">
        <f t="shared" si="288"/>
        <v>1055057020.4867272</v>
      </c>
      <c r="DA63" s="19">
        <f t="shared" si="289"/>
        <v>1394733985.2898262</v>
      </c>
      <c r="DB63" s="19">
        <f t="shared" si="290"/>
        <v>1043214192.7227833</v>
      </c>
      <c r="DC63" s="19">
        <f t="shared" si="291"/>
        <v>1225313099.5259128</v>
      </c>
      <c r="DD63" s="19">
        <f t="shared" si="292"/>
        <v>1146966003.5083439</v>
      </c>
      <c r="DE63" s="19">
        <f t="shared" si="293"/>
        <v>1337737639.9959393</v>
      </c>
      <c r="DF63" s="19">
        <f t="shared" si="294"/>
        <v>1689960266.6460364</v>
      </c>
      <c r="DG63" s="19">
        <f t="shared" si="295"/>
        <v>1762371158.379231</v>
      </c>
      <c r="DH63" s="19">
        <f t="shared" si="296"/>
        <v>1744341729.1112361</v>
      </c>
      <c r="DI63" s="19">
        <f t="shared" si="297"/>
        <v>2089410039.136606</v>
      </c>
      <c r="DJ63" s="19">
        <f t="shared" si="298"/>
        <v>2576635186.0013027</v>
      </c>
      <c r="DK63" s="19">
        <f t="shared" si="299"/>
        <v>2377893525.5677924</v>
      </c>
      <c r="DL63" s="19">
        <f t="shared" si="300"/>
        <v>2342904822.0996046</v>
      </c>
      <c r="DM63" s="19">
        <f t="shared" si="301"/>
        <v>2646705677.3220744</v>
      </c>
      <c r="DN63" s="19">
        <f t="shared" si="302"/>
        <v>3000142067.0901499</v>
      </c>
      <c r="DO63" s="19">
        <f t="shared" si="303"/>
        <v>2886594963.632257</v>
      </c>
      <c r="DP63" s="19">
        <f t="shared" si="304"/>
        <v>2834796756.1656418</v>
      </c>
      <c r="DQ63" s="19">
        <f t="shared" si="305"/>
        <v>3182570923.6937113</v>
      </c>
      <c r="DR63" s="19">
        <f t="shared" si="306"/>
        <v>3573210936.7462416</v>
      </c>
      <c r="DS63" s="19">
        <f t="shared" si="23"/>
        <v>3355189850.0639939</v>
      </c>
      <c r="DT63" s="19">
        <f t="shared" si="24"/>
        <v>3292050042.9325848</v>
      </c>
      <c r="DU63" s="19">
        <f t="shared" si="25"/>
        <v>3690238288.8769684</v>
      </c>
      <c r="DV63" s="19">
        <f t="shared" si="26"/>
        <v>4141621444.7387571</v>
      </c>
      <c r="DX63" s="19">
        <f t="shared" si="307"/>
        <v>4707388009.1043081</v>
      </c>
      <c r="DY63" s="19">
        <f t="shared" si="308"/>
        <v>5399977009.6762323</v>
      </c>
      <c r="DZ63" s="19">
        <f t="shared" si="309"/>
        <v>8172758112.628376</v>
      </c>
      <c r="EA63" s="19">
        <f t="shared" si="310"/>
        <v>10367646092.07962</v>
      </c>
      <c r="EB63" s="19">
        <f t="shared" si="311"/>
        <v>12477173580.237854</v>
      </c>
      <c r="EC63" s="770">
        <f t="shared" si="32"/>
        <v>14479099626.612305</v>
      </c>
    </row>
    <row r="64" spans="2:133" x14ac:dyDescent="0.2">
      <c r="B64" s="155" t="s">
        <v>191</v>
      </c>
      <c r="C64" s="19">
        <f>'D2C - Retail'!J105+'D2C - Retail'!J116</f>
        <v>1888397.6271186441</v>
      </c>
      <c r="D64" s="19">
        <f>'D2C - Retail'!K105+'D2C - Retail'!K116</f>
        <v>1864261.5352941176</v>
      </c>
      <c r="E64" s="19">
        <f>'D2C - Retail'!L105+'D2C - Retail'!L116</f>
        <v>1919786.720338983</v>
      </c>
      <c r="F64" s="19">
        <f>'D2C - Retail'!M105+'D2C - Retail'!M116</f>
        <v>1297415.7135593221</v>
      </c>
      <c r="G64" s="19">
        <f>'D2C - Retail'!N105+'D2C - Retail'!N116</f>
        <v>0</v>
      </c>
      <c r="H64" s="19">
        <f>'D2C - Retail'!O105+'D2C - Retail'!O116</f>
        <v>2211771.8015254238</v>
      </c>
      <c r="I64" s="19">
        <f>'D2C - Retail'!P105+'D2C - Retail'!P116</f>
        <v>3205688.262711864</v>
      </c>
      <c r="J64" s="19">
        <f>'D2C - Retail'!Q105+'D2C - Retail'!Q116</f>
        <v>2953417.5762711861</v>
      </c>
      <c r="K64" s="19">
        <f>'D2C - Retail'!R105+'D2C - Retail'!R116</f>
        <v>4030583.88</v>
      </c>
      <c r="L64" s="19">
        <f>'D2C - Retail'!S105+'D2C - Retail'!S116</f>
        <v>3738428.9871186446</v>
      </c>
      <c r="M64" s="19">
        <f>'D2C - Retail'!T105+'D2C - Retail'!T116</f>
        <v>3986101.8925423734</v>
      </c>
      <c r="N64" s="19">
        <f>'D2C - Retail'!U105+'D2C - Retail'!U116</f>
        <v>5659215.1652542371</v>
      </c>
      <c r="O64" s="19">
        <f>'D2C - Retail'!V105+'D2C - Retail'!V116</f>
        <v>6255623.1271186434</v>
      </c>
      <c r="P64" s="19">
        <f>'D2C - Retail'!W105+'D2C - Retail'!W116</f>
        <v>6332381.1271186434</v>
      </c>
      <c r="Q64" s="19">
        <f>'D2C - Retail'!X105+'D2C - Retail'!X116</f>
        <v>5850026.4067796608</v>
      </c>
      <c r="R64" s="19">
        <f>'D2C - Retail'!Y105+'D2C - Retail'!Y116</f>
        <v>7219670.0932203382</v>
      </c>
      <c r="S64" s="19">
        <f>'D2C - Retail'!Z105+'D2C - Retail'!Z116</f>
        <v>8296692.9067796618</v>
      </c>
      <c r="T64" s="19">
        <f>'D2C - Retail'!AA105+'D2C - Retail'!AA116</f>
        <v>7634642.9661016949</v>
      </c>
      <c r="U64" s="19">
        <f>'D2C - Retail'!AB105+'D2C - Retail'!AB116</f>
        <v>9604552.7542372886</v>
      </c>
      <c r="V64" s="19">
        <f>'D2C - Retail'!AC105+'D2C - Retail'!AC116</f>
        <v>11038262.574237289</v>
      </c>
      <c r="W64" s="19">
        <f>'D2C - Retail'!AD105+'D2C - Retail'!AD116</f>
        <v>10344390.047118643</v>
      </c>
      <c r="X64" s="19">
        <f>'D2C - Retail'!AE105+'D2C - Retail'!AE116</f>
        <v>9922762.864237288</v>
      </c>
      <c r="Y64" s="19">
        <f>'D2C - Retail'!AF105+'D2C - Retail'!AF116</f>
        <v>10241505.474576272</v>
      </c>
      <c r="Z64" s="19">
        <f>'D2C - Retail'!AG105+'D2C - Retail'!AG116</f>
        <v>9470679.0762711875</v>
      </c>
      <c r="AA64" s="19">
        <f>'D2C - Retail'!AH105+'D2C - Retail'!AH116</f>
        <v>9687181.5999999996</v>
      </c>
      <c r="AB64" s="19">
        <f>'D2C - Retail'!AI105+'D2C - Retail'!AI116</f>
        <v>9311888.4169491548</v>
      </c>
      <c r="AC64" s="19">
        <f>'D2C - Retail'!AJ105+'D2C - Retail'!AJ116</f>
        <v>9793264.5549152549</v>
      </c>
      <c r="AD64" s="19">
        <f>'D2C - Retail'!AK105+'D2C - Retail'!AK116</f>
        <v>9688539.6555932201</v>
      </c>
      <c r="AE64" s="19">
        <f>'D2C - Retail'!AL105+'D2C - Retail'!AL116</f>
        <v>10161359.463983051</v>
      </c>
      <c r="AF64" s="19">
        <f>'D2C - Retail'!AM105+'D2C - Retail'!AM116</f>
        <v>11686788.809661018</v>
      </c>
      <c r="AG64" s="19">
        <f>'D2C - Retail'!AN105+'D2C - Retail'!AN116</f>
        <v>11525885.06779661</v>
      </c>
      <c r="AH64" s="19">
        <f>'D2C - Retail'!AO105+'D2C - Retail'!AO116</f>
        <v>11863740.711864406</v>
      </c>
      <c r="AI64" s="19">
        <f>'D2C - Retail'!AP105+'D2C - Retail'!AP116</f>
        <v>10363729.347457627</v>
      </c>
      <c r="AJ64" s="19">
        <f>'D2C - Retail'!AQ105+'D2C - Retail'!AQ116</f>
        <v>10643925.533898305</v>
      </c>
      <c r="AK64" s="19">
        <f>'D2C - Retail'!AR105+'D2C - Retail'!AR116</f>
        <v>8510113.9745762721</v>
      </c>
      <c r="AL64" s="19">
        <f>'D2C - Retail'!AS105+'D2C - Retail'!AS116</f>
        <v>8630074.1864406783</v>
      </c>
      <c r="AM64" s="19">
        <f>'D2C - Retail'!AT105+'D2C - Retail'!AT116</f>
        <v>9371672.4257627223</v>
      </c>
      <c r="AN64" s="19">
        <f>'D2C - Retail'!AU105+'D2C - Retail'!AU116</f>
        <v>8758352.7118644062</v>
      </c>
      <c r="AO64" s="19">
        <f>'D2C - Retail'!AV105+'D2C - Retail'!AV116</f>
        <v>9971179.9745762721</v>
      </c>
      <c r="AP64" s="19">
        <f>'D2C - Retail'!AW105+'D2C - Retail'!AW116</f>
        <v>11381063.728813559</v>
      </c>
      <c r="AQ64" s="19">
        <f>'D2C - Retail'!AX105+'D2C - Retail'!AX116</f>
        <v>11036415.228813572</v>
      </c>
      <c r="AR64" s="19">
        <f>'D2C - Retail'!AY105+'D2C - Retail'!AY116</f>
        <v>11556355.698983051</v>
      </c>
      <c r="AS64" s="19">
        <f>'D2C - Retail'!AZ105+'D2C - Retail'!AZ116</f>
        <v>12596604.542372884</v>
      </c>
      <c r="AT64" s="19">
        <f>'D2C - Retail'!BA105+'D2C - Retail'!BA116</f>
        <v>12370996.059322031</v>
      </c>
      <c r="AU64" s="19">
        <f>'D2C - Retail'!BB105+'D2C - Retail'!BB116</f>
        <v>12061187.940677965</v>
      </c>
      <c r="AV64" s="19">
        <f>'D2C - Retail'!BC105+'D2C - Retail'!BC116</f>
        <v>12145426.442372881</v>
      </c>
      <c r="AW64" s="19">
        <f>'D2C - Retail'!BD105+'D2C - Retail'!BD116</f>
        <v>11515389.032203391</v>
      </c>
      <c r="AX64" s="19">
        <f>'D2C - Retail'!BE105+'D2C - Retail'!BE116</f>
        <v>13868015.459322032</v>
      </c>
      <c r="AY64" s="19">
        <f>'D2C - Retail'!BF105+'D2C - Retail'!BF116</f>
        <v>12658255.654237285</v>
      </c>
      <c r="AZ64" s="19">
        <f>'D2C - Retail'!BG105+'D2C - Retail'!BG116</f>
        <v>10838183.364406778</v>
      </c>
      <c r="BA64" s="19">
        <f>'D2C - Retail'!BH105+'D2C - Retail'!BH116</f>
        <v>14644317.142372878</v>
      </c>
      <c r="BB64" s="19">
        <f>'D2C - Retail'!BI105+'D2C - Retail'!BI116</f>
        <v>13339988.864406815</v>
      </c>
      <c r="BC64" s="19">
        <f>'D2C - Retail'!BJ105+'D2C - Retail'!BJ116</f>
        <v>13498398.161016949</v>
      </c>
      <c r="BD64" s="19">
        <f>'D2C - Retail'!BK105+'D2C - Retail'!BK116</f>
        <v>13538872.355932204</v>
      </c>
      <c r="BE64" s="19">
        <f>'D2C - Retail'!BL105+'D2C - Retail'!BL116</f>
        <v>15668613.013983056</v>
      </c>
      <c r="BF64" s="19">
        <f>'D2C - Retail'!BM105+'D2C - Retail'!BM116</f>
        <v>18512237.500423729</v>
      </c>
      <c r="BG64" s="19">
        <f>'D2C - Retail'!BN105+'D2C - Retail'!BN116</f>
        <v>15457716.809745764</v>
      </c>
      <c r="BH64" s="19">
        <f>'D2C - Retail'!BO105+'D2C - Retail'!BO116</f>
        <v>15999427.040338984</v>
      </c>
      <c r="BI64" s="19">
        <f>'D2C - Retail'!BP105+'D2C - Retail'!BP116</f>
        <v>16501460.205677966</v>
      </c>
      <c r="BJ64" s="19">
        <f>'D2C - Retail'!BQ105+'D2C - Retail'!BQ116</f>
        <v>19372791.246440679</v>
      </c>
      <c r="BK64" s="19">
        <f>'D2C - Retail'!BR105+'D2C - Retail'!BR116</f>
        <v>19751183.762627117</v>
      </c>
      <c r="BL64" s="19">
        <f>'D2C - Retail'!BS105+'D2C - Retail'!BS116</f>
        <v>19025316.947288133</v>
      </c>
      <c r="BM64" s="19">
        <f>'D2C - Retail'!BT105+'D2C - Retail'!BT116</f>
        <v>31452887.506610166</v>
      </c>
      <c r="BN64" s="19">
        <f>'D2C - Retail'!BU105+'D2C - Retail'!BU116</f>
        <v>20730410.332045525</v>
      </c>
      <c r="BO64" s="19">
        <f>'D2C - Retail'!BV105+'D2C - Retail'!BV116</f>
        <v>20852023.246088039</v>
      </c>
      <c r="BP64" s="19">
        <f>'D2C - Retail'!BW105+'D2C - Retail'!BW116</f>
        <v>21086861.7555167</v>
      </c>
      <c r="BQ64" s="19">
        <f>'D2C - Retail'!BX105+'D2C - Retail'!BX116</f>
        <v>21392230.840728119</v>
      </c>
      <c r="BR64" s="19">
        <f>'D2C - Retail'!BY105+'D2C - Retail'!BY116</f>
        <v>21426983.22509164</v>
      </c>
      <c r="BS64" s="19">
        <f>'D2C - Retail'!BZ105+'D2C - Retail'!BZ116</f>
        <v>21623004.760636665</v>
      </c>
      <c r="BT64" s="19">
        <f>'D2C - Retail'!CA105+'D2C - Retail'!CA116</f>
        <v>22175136.268487699</v>
      </c>
      <c r="BU64" s="19">
        <f>'D2C - Retail'!CB105+'D2C - Retail'!CB116</f>
        <v>22257126.237602238</v>
      </c>
      <c r="BV64" s="19">
        <f>'D2C - Retail'!CC105+'D2C - Retail'!CC116</f>
        <v>22761875.649412364</v>
      </c>
      <c r="BW64" s="19">
        <f>'D2C - Retail'!CD105+'D2C - Retail'!CD116</f>
        <v>22974170.862456575</v>
      </c>
      <c r="BX64" s="19">
        <f>'D2C - Retail'!CE105+'D2C - Retail'!CE116</f>
        <v>23056912.447089635</v>
      </c>
      <c r="BY64" s="19">
        <f>'D2C - Retail'!CF105+'D2C - Retail'!CF116</f>
        <v>23712327.459243432</v>
      </c>
      <c r="BZ64" s="19">
        <f>'D2C - Retail'!CG105+'D2C - Retail'!CG116</f>
        <v>23677488.839072984</v>
      </c>
      <c r="CA64" s="19">
        <f>'D2C - Retail'!CH105+'D2C - Retail'!CH116</f>
        <v>23875694.093436211</v>
      </c>
      <c r="CB64" s="19">
        <f>'D2C - Retail'!CI105+'D2C - Retail'!CI116</f>
        <v>24018928.806313787</v>
      </c>
      <c r="CC64" s="19">
        <f>'D2C - Retail'!CJ105+'D2C - Retail'!CJ116</f>
        <v>24355234.38356781</v>
      </c>
      <c r="CD64" s="19">
        <f>'D2C - Retail'!CK105+'D2C - Retail'!CK116</f>
        <v>24340829.323535997</v>
      </c>
      <c r="CE64" s="19">
        <f>'D2C - Retail'!CL105+'D2C - Retail'!CL116</f>
        <v>24505745.012426097</v>
      </c>
      <c r="CF64" s="19">
        <f>'D2C - Retail'!CM105+'D2C - Retail'!CM116</f>
        <v>25055067.321760129</v>
      </c>
      <c r="CG64" s="19">
        <f>'D2C - Retail'!CN105+'D2C - Retail'!CN116</f>
        <v>25012993.408884775</v>
      </c>
      <c r="CH64" s="19">
        <f>'D2C - Retail'!CO105+'D2C - Retail'!CO116</f>
        <v>25499958.700310871</v>
      </c>
      <c r="CI64" s="19">
        <f>'D2C - Retail'!CP105+'D2C - Retail'!CP116</f>
        <v>25632363.95120829</v>
      </c>
      <c r="CJ64" s="19">
        <f>'D2C - Retail'!CQ105+'D2C - Retail'!CQ116</f>
        <v>25592989.405900501</v>
      </c>
      <c r="CK64" s="19">
        <f>'D2C - Retail'!CR105+'D2C - Retail'!CR116</f>
        <v>26042589.149079341</v>
      </c>
      <c r="CL64" s="19">
        <f>'D2C - Retail'!CS105+'D2C - Retail'!CS116</f>
        <v>25893829.50003073</v>
      </c>
      <c r="CM64" s="19">
        <f>'D2C - Retail'!CT105+'D2C - Retail'!CT116</f>
        <v>26083941.66301927</v>
      </c>
      <c r="CN64" s="19">
        <f>'D2C - Retail'!CU105+'D2C - Retail'!CU116</f>
        <v>26223425.435256612</v>
      </c>
      <c r="CO64" s="19">
        <f>'D2C - Retail'!CV105+'D2C - Retail'!CV116</f>
        <v>26583240.104263663</v>
      </c>
      <c r="CP64" s="19">
        <f>'D2C - Retail'!CW105+'D2C - Retail'!CW116</f>
        <v>26531063.956892088</v>
      </c>
      <c r="CQ64" s="19">
        <f>'D2C - Retail'!CX105+'D2C - Retail'!CX116</f>
        <v>26671984.728736684</v>
      </c>
      <c r="CR64" s="19">
        <f>'D2C - Retail'!CY105+'D2C - Retail'!CY116</f>
        <v>27285710.275939494</v>
      </c>
      <c r="CS64" s="19">
        <f>'D2C - Retail'!CZ105+'D2C - Retail'!CZ116</f>
        <v>27214390.330451433</v>
      </c>
      <c r="CT64" s="19">
        <f>'D2C - Retail'!DA105+'D2C - Retail'!DA116</f>
        <v>27756682.563561</v>
      </c>
      <c r="CU64" s="19">
        <f>'D2C - Retail'!DB105+'D2C - Retail'!DB116</f>
        <v>27895527.999367803</v>
      </c>
      <c r="CV64" s="19">
        <f>'D2C - Retail'!DC105+'D2C - Retail'!DC116</f>
        <v>27827403.911864698</v>
      </c>
      <c r="CW64" s="19">
        <f>'D2C - Retail'!DD105+'D2C - Retail'!DD116</f>
        <v>28326689.773784071</v>
      </c>
      <c r="CY64" s="19">
        <f t="shared" si="287"/>
        <v>31536687.929237291</v>
      </c>
      <c r="CZ64" s="19">
        <f t="shared" si="288"/>
        <v>33753355.12711864</v>
      </c>
      <c r="DA64" s="19">
        <f t="shared" si="289"/>
        <v>27784113.694915257</v>
      </c>
      <c r="DB64" s="19">
        <f t="shared" si="290"/>
        <v>28101205.112203401</v>
      </c>
      <c r="DC64" s="19">
        <f t="shared" si="291"/>
        <v>33973834.656610183</v>
      </c>
      <c r="DD64" s="19">
        <f t="shared" si="292"/>
        <v>37028788.542372882</v>
      </c>
      <c r="DE64" s="19">
        <f t="shared" si="293"/>
        <v>37528830.9338983</v>
      </c>
      <c r="DF64" s="19">
        <f t="shared" si="294"/>
        <v>38140756.161016941</v>
      </c>
      <c r="DG64" s="19">
        <f t="shared" si="295"/>
        <v>40377259.381355971</v>
      </c>
      <c r="DH64" s="19">
        <f t="shared" si="296"/>
        <v>49638567.324152552</v>
      </c>
      <c r="DI64" s="19">
        <f t="shared" si="297"/>
        <v>51873678.492457628</v>
      </c>
      <c r="DJ64" s="19">
        <f t="shared" si="298"/>
        <v>70229388.216525421</v>
      </c>
      <c r="DK64" s="19">
        <f t="shared" si="299"/>
        <v>62669295.333650269</v>
      </c>
      <c r="DL64" s="19">
        <f t="shared" si="300"/>
        <v>64442218.82645642</v>
      </c>
      <c r="DM64" s="19">
        <f t="shared" si="301"/>
        <v>67194138.155502304</v>
      </c>
      <c r="DN64" s="19">
        <f t="shared" si="302"/>
        <v>69743410.768789649</v>
      </c>
      <c r="DO64" s="19">
        <f t="shared" si="303"/>
        <v>71572111.738822982</v>
      </c>
      <c r="DP64" s="19">
        <f t="shared" si="304"/>
        <v>73201808.719529897</v>
      </c>
      <c r="DQ64" s="19">
        <f t="shared" si="305"/>
        <v>75568019.430955768</v>
      </c>
      <c r="DR64" s="19">
        <f t="shared" si="306"/>
        <v>77267942.506188124</v>
      </c>
      <c r="DS64" s="19">
        <f t="shared" si="23"/>
        <v>78201196.598306611</v>
      </c>
      <c r="DT64" s="19">
        <f t="shared" si="24"/>
        <v>79786288.789892435</v>
      </c>
      <c r="DU64" s="19">
        <f t="shared" si="25"/>
        <v>82256783.169951916</v>
      </c>
      <c r="DV64" s="19">
        <f t="shared" si="26"/>
        <v>84049621.685016572</v>
      </c>
      <c r="DX64" s="19">
        <f t="shared" si="307"/>
        <v>121175361.86347459</v>
      </c>
      <c r="DY64" s="19">
        <f t="shared" si="308"/>
        <v>146672210.29389831</v>
      </c>
      <c r="DZ64" s="19">
        <f t="shared" si="309"/>
        <v>212118893.41449159</v>
      </c>
      <c r="EA64" s="19">
        <f t="shared" si="310"/>
        <v>264049063.08439863</v>
      </c>
      <c r="EB64" s="19">
        <f t="shared" si="311"/>
        <v>297609882.39549673</v>
      </c>
      <c r="EC64" s="770">
        <f t="shared" si="32"/>
        <v>324293890.24316752</v>
      </c>
    </row>
    <row r="65" spans="2:133" x14ac:dyDescent="0.2">
      <c r="B65" s="155" t="s">
        <v>140</v>
      </c>
      <c r="C65" s="19">
        <f>'D2C - Retail'!J106</f>
        <v>210836.79661016999</v>
      </c>
      <c r="D65" s="19">
        <f>'D2C - Retail'!K106</f>
        <v>597313.18012711953</v>
      </c>
      <c r="E65" s="19">
        <f>'D2C - Retail'!L106</f>
        <v>380772</v>
      </c>
      <c r="F65" s="19">
        <f>'D2C - Retail'!M106</f>
        <v>194676.57627118658</v>
      </c>
      <c r="G65" s="19">
        <f>'D2C - Retail'!N106</f>
        <v>3912</v>
      </c>
      <c r="H65" s="19">
        <f>'D2C - Retail'!O106</f>
        <v>217590</v>
      </c>
      <c r="I65" s="19">
        <f>'D2C - Retail'!P106</f>
        <v>375592.40677966166</v>
      </c>
      <c r="J65" s="19">
        <f>'D2C - Retail'!Q106</f>
        <v>1055454.0762711952</v>
      </c>
      <c r="K65" s="19">
        <f>'D2C - Retail'!R106</f>
        <v>1270574.3135593217</v>
      </c>
      <c r="L65" s="19">
        <f>'D2C - Retail'!S106</f>
        <v>1325067.9067796662</v>
      </c>
      <c r="M65" s="19">
        <f>'D2C - Retail'!T106</f>
        <v>1606519.5847457757</v>
      </c>
      <c r="N65" s="19">
        <f>'D2C - Retail'!U106</f>
        <v>2230041.5593220489</v>
      </c>
      <c r="O65" s="19">
        <f>'D2C - Retail'!V106</f>
        <v>2125387.432203399</v>
      </c>
      <c r="P65" s="19">
        <f>'D2C - Retail'!W106</f>
        <v>2203991.3305084929</v>
      </c>
      <c r="Q65" s="19">
        <f>'D2C - Retail'!X106</f>
        <v>3282753.6779661272</v>
      </c>
      <c r="R65" s="19">
        <f>'D2C - Retail'!Y106</f>
        <v>2154782.2542372616</v>
      </c>
      <c r="S65" s="19">
        <f>'D2C - Retail'!Z106</f>
        <v>2201423.661016956</v>
      </c>
      <c r="T65" s="19">
        <f>'D2C - Retail'!AA106</f>
        <v>2710450.665932232</v>
      </c>
      <c r="U65" s="19">
        <f>'D2C - Retail'!AB106</f>
        <v>3022649.0847458108</v>
      </c>
      <c r="V65" s="19">
        <f>'D2C - Retail'!AC106</f>
        <v>3611519.3728814237</v>
      </c>
      <c r="W65" s="19">
        <f>'D2C - Retail'!AD106</f>
        <v>3800549.135593276</v>
      </c>
      <c r="X65" s="19">
        <f>'D2C - Retail'!AE106</f>
        <v>3602722.898305133</v>
      </c>
      <c r="Y65" s="19">
        <f>'D2C - Retail'!AF106</f>
        <v>2404328.5762712169</v>
      </c>
      <c r="Z65" s="19">
        <f>'D2C - Retail'!AG106</f>
        <v>3411561.4025075859</v>
      </c>
      <c r="AA65" s="19">
        <f>'D2C - Retail'!AH106</f>
        <v>3991152.9246249441</v>
      </c>
      <c r="AB65" s="19">
        <f>'D2C - Retail'!AI106</f>
        <v>4064564.6144001209</v>
      </c>
      <c r="AC65" s="19">
        <f>'D2C - Retail'!AJ106</f>
        <v>4210914.8621701878</v>
      </c>
      <c r="AD65" s="19">
        <f>'D2C - Retail'!AK106</f>
        <v>4320108.5928791743</v>
      </c>
      <c r="AE65" s="19">
        <f>'D2C - Retail'!AL106</f>
        <v>4423028.9180456558</v>
      </c>
      <c r="AF65" s="19">
        <f>'D2C - Retail'!AM106</f>
        <v>4663889.3482766226</v>
      </c>
      <c r="AG65" s="19">
        <f>'D2C - Retail'!AN106</f>
        <v>4538957.6838828316</v>
      </c>
      <c r="AH65" s="19">
        <f>'D2C - Retail'!AO106</f>
        <v>7160621.2387203481</v>
      </c>
      <c r="AI65" s="19">
        <f>'D2C - Retail'!AP106</f>
        <v>6703465.6512332354</v>
      </c>
      <c r="AJ65" s="19">
        <f>'D2C - Retail'!AQ106</f>
        <v>9477632.0774100609</v>
      </c>
      <c r="AK65" s="19">
        <f>'D2C - Retail'!AR106</f>
        <v>6771629.125630605</v>
      </c>
      <c r="AL65" s="19">
        <f>'D2C - Retail'!AS106</f>
        <v>4814209.8984204624</v>
      </c>
      <c r="AM65" s="19">
        <f>'D2C - Retail'!AT106</f>
        <v>4110303.2962132972</v>
      </c>
      <c r="AN65" s="19">
        <f>'D2C - Retail'!AU106</f>
        <v>4394830.6496485798</v>
      </c>
      <c r="AO65" s="19">
        <f>'D2C - Retail'!AV106</f>
        <v>5506208.2240272742</v>
      </c>
      <c r="AP65" s="19">
        <f>'D2C - Retail'!AW106</f>
        <v>5857230.4102596575</v>
      </c>
      <c r="AQ65" s="19">
        <f>'D2C - Retail'!AX106</f>
        <v>5767176.2222144613</v>
      </c>
      <c r="AR65" s="19">
        <f>'D2C - Retail'!AY106</f>
        <v>6252928.5167485429</v>
      </c>
      <c r="AS65" s="19">
        <f>'D2C - Retail'!AZ106</f>
        <v>6593671.5159045653</v>
      </c>
      <c r="AT65" s="19">
        <f>'D2C - Retail'!BA106</f>
        <v>5098033.4750805767</v>
      </c>
      <c r="AU65" s="19">
        <f>'D2C - Retail'!BB106</f>
        <v>4421647.3555650916</v>
      </c>
      <c r="AV65" s="19">
        <f>'D2C - Retail'!BC106</f>
        <v>7718956.2054269779</v>
      </c>
      <c r="AW65" s="19">
        <f>'D2C - Retail'!BD106</f>
        <v>6309481.7963181045</v>
      </c>
      <c r="AX65" s="19">
        <f>'D2C - Retail'!BE106</f>
        <v>7815553.149586509</v>
      </c>
      <c r="AY65" s="19">
        <f>'D2C - Retail'!BF106</f>
        <v>7398387.2433796432</v>
      </c>
      <c r="AZ65" s="19">
        <f>'D2C - Retail'!BG106</f>
        <v>7334723.1957794409</v>
      </c>
      <c r="BA65" s="19">
        <f>'D2C - Retail'!BH106</f>
        <v>8395846.9253025576</v>
      </c>
      <c r="BB65" s="19">
        <f>'D2C - Retail'!BI106</f>
        <v>7645724.4229185609</v>
      </c>
      <c r="BC65" s="19">
        <f>'D2C - Retail'!BJ106</f>
        <v>8075694.1869826149</v>
      </c>
      <c r="BD65" s="19">
        <f>'D2C - Retail'!BK106</f>
        <v>6063600.6621355666</v>
      </c>
      <c r="BE65" s="19">
        <f>'D2C - Retail'!BL106</f>
        <v>7493476.8000000007</v>
      </c>
      <c r="BF65" s="19">
        <f>'D2C - Retail'!BM106</f>
        <v>7172234.1100000087</v>
      </c>
      <c r="BG65" s="19">
        <f>'D2C - Retail'!BN106</f>
        <v>8821420.2700000014</v>
      </c>
      <c r="BH65" s="19">
        <f>'D2C - Retail'!BO106</f>
        <v>12162627.697322497</v>
      </c>
      <c r="BI65" s="19">
        <f>'D2C - Retail'!BP106</f>
        <v>11109668.729999999</v>
      </c>
      <c r="BJ65" s="19">
        <f>'D2C - Retail'!BQ106</f>
        <v>14705106.519999884</v>
      </c>
      <c r="BK65" s="19">
        <f>'D2C - Retail'!BR106</f>
        <v>12403232.930000007</v>
      </c>
      <c r="BL65" s="19">
        <f>'D2C - Retail'!BS106</f>
        <v>11773996.550000008</v>
      </c>
      <c r="BM65" s="19">
        <f>'D2C - Retail'!BT106</f>
        <v>12361241.8799998</v>
      </c>
      <c r="BN65" s="19">
        <f>'D2C - Retail'!BU106</f>
        <v>11465522.302244177</v>
      </c>
      <c r="BO65" s="19">
        <f>'D2C - Retail'!BV106</f>
        <v>11619458.531631615</v>
      </c>
      <c r="BP65" s="19">
        <f>'D2C - Retail'!BW106</f>
        <v>11792965.088070087</v>
      </c>
      <c r="BQ65" s="19">
        <f>'D2C - Retail'!BX106</f>
        <v>11745692.407510059</v>
      </c>
      <c r="BR65" s="19">
        <f>'D2C - Retail'!BY106</f>
        <v>12138288.809279289</v>
      </c>
      <c r="BS65" s="19">
        <f>'D2C - Retail'!BZ106</f>
        <v>12497848.915801691</v>
      </c>
      <c r="BT65" s="19">
        <f>'D2C - Retail'!CA106</f>
        <v>12180376.884877134</v>
      </c>
      <c r="BU65" s="19">
        <f>'D2C - Retail'!CB106</f>
        <v>12521249.184670128</v>
      </c>
      <c r="BV65" s="19">
        <f>'D2C - Retail'!CC106</f>
        <v>12255659.492361858</v>
      </c>
      <c r="BW65" s="19">
        <f>'D2C - Retail'!CD106</f>
        <v>12310300.62641946</v>
      </c>
      <c r="BX65" s="19">
        <f>'D2C - Retail'!CE106</f>
        <v>12650349.923979554</v>
      </c>
      <c r="BY65" s="19">
        <f>'D2C - Retail'!CF106</f>
        <v>12506884.417389559</v>
      </c>
      <c r="BZ65" s="19">
        <f>'D2C - Retail'!CG106</f>
        <v>12832131.58810948</v>
      </c>
      <c r="CA65" s="19">
        <f>'D2C - Retail'!CH106</f>
        <v>13045750.741978852</v>
      </c>
      <c r="CB65" s="19">
        <f>'D2C - Retail'!CI106</f>
        <v>13176011.583775051</v>
      </c>
      <c r="CC65" s="19">
        <f>'D2C - Retail'!CJ106</f>
        <v>13094864.134264981</v>
      </c>
      <c r="CD65" s="19">
        <f>'D2C - Retail'!CK106</f>
        <v>13541286.84151103</v>
      </c>
      <c r="CE65" s="19">
        <f>'D2C - Retail'!CL106</f>
        <v>13934907.156507621</v>
      </c>
      <c r="CF65" s="19">
        <f>'D2C - Retail'!CM106</f>
        <v>13476961.306077642</v>
      </c>
      <c r="CG65" s="19">
        <f>'D2C - Retail'!CN106</f>
        <v>13810130.960973432</v>
      </c>
      <c r="CH65" s="19">
        <f>'D2C - Retail'!CO106</f>
        <v>13420464.654686198</v>
      </c>
      <c r="CI65" s="19">
        <f>'D2C - Retail'!CP106</f>
        <v>13419033.686629469</v>
      </c>
      <c r="CJ65" s="19">
        <f>'D2C - Retail'!CQ106</f>
        <v>13749247.594230562</v>
      </c>
      <c r="CK65" s="19">
        <f>'D2C - Retail'!CR106</f>
        <v>13400495.730079304</v>
      </c>
      <c r="CL65" s="19">
        <f>'D2C - Retail'!CS106</f>
        <v>13850483.88715554</v>
      </c>
      <c r="CM65" s="19">
        <f>'D2C - Retail'!CT106</f>
        <v>14072964.795616601</v>
      </c>
      <c r="CN65" s="19">
        <f>'D2C - Retail'!CU106</f>
        <v>14207332.833773592</v>
      </c>
      <c r="CO65" s="19">
        <f>'D2C - Retail'!CV106</f>
        <v>14100443.453010861</v>
      </c>
      <c r="CP65" s="19">
        <f>'D2C - Retail'!CW106</f>
        <v>14588224.658656288</v>
      </c>
      <c r="CQ65" s="19">
        <f>'D2C - Retail'!CX106</f>
        <v>15008118.872767629</v>
      </c>
      <c r="CR65" s="19">
        <f>'D2C - Retail'!CY106</f>
        <v>14479652.91296535</v>
      </c>
      <c r="CS65" s="19">
        <f>'D2C - Retail'!CZ106</f>
        <v>14844846.321430117</v>
      </c>
      <c r="CT65" s="19">
        <f>'D2C - Retail'!DA106</f>
        <v>14394598.247705942</v>
      </c>
      <c r="CU65" s="19">
        <f>'D2C - Retail'!DB106</f>
        <v>14386115.420779744</v>
      </c>
      <c r="CV65" s="19">
        <f>'D2C - Retail'!DC106</f>
        <v>14747809.436013738</v>
      </c>
      <c r="CW65" s="19">
        <f>'D2C - Retail'!DD106</f>
        <v>14344652.379766306</v>
      </c>
      <c r="CY65" s="19">
        <f t="shared" si="287"/>
        <v>13407026.859201454</v>
      </c>
      <c r="CZ65" s="19">
        <f t="shared" si="288"/>
        <v>18403044.573836416</v>
      </c>
      <c r="DA65" s="19">
        <f t="shared" si="289"/>
        <v>21063471.101461127</v>
      </c>
      <c r="DB65" s="19">
        <f t="shared" si="290"/>
        <v>14011342.16988915</v>
      </c>
      <c r="DC65" s="19">
        <f t="shared" si="291"/>
        <v>17877335.149222661</v>
      </c>
      <c r="DD65" s="19">
        <f t="shared" si="292"/>
        <v>16113352.346550234</v>
      </c>
      <c r="DE65" s="19">
        <f t="shared" si="293"/>
        <v>21843991.151331592</v>
      </c>
      <c r="DF65" s="19">
        <f t="shared" si="294"/>
        <v>23128957.364461642</v>
      </c>
      <c r="DG65" s="19">
        <f t="shared" si="295"/>
        <v>21785019.272036742</v>
      </c>
      <c r="DH65" s="19">
        <f t="shared" si="296"/>
        <v>23487131.180000011</v>
      </c>
      <c r="DI65" s="19">
        <f t="shared" si="297"/>
        <v>37977402.947322384</v>
      </c>
      <c r="DJ65" s="19">
        <f t="shared" si="298"/>
        <v>36538471.359999813</v>
      </c>
      <c r="DK65" s="19">
        <f t="shared" si="299"/>
        <v>34877945.921945877</v>
      </c>
      <c r="DL65" s="19">
        <f t="shared" si="300"/>
        <v>36381830.132591039</v>
      </c>
      <c r="DM65" s="19">
        <f t="shared" si="301"/>
        <v>36957285.561909124</v>
      </c>
      <c r="DN65" s="19">
        <f t="shared" si="302"/>
        <v>37467534.96778857</v>
      </c>
      <c r="DO65" s="19">
        <f t="shared" si="303"/>
        <v>39053893.913863383</v>
      </c>
      <c r="DP65" s="19">
        <f t="shared" si="304"/>
        <v>40571058.132283628</v>
      </c>
      <c r="DQ65" s="19">
        <f t="shared" si="305"/>
        <v>40707556.921737269</v>
      </c>
      <c r="DR65" s="19">
        <f t="shared" si="306"/>
        <v>40568777.01093933</v>
      </c>
      <c r="DS65" s="19">
        <f t="shared" si="23"/>
        <v>42130781.516545735</v>
      </c>
      <c r="DT65" s="19">
        <f t="shared" si="24"/>
        <v>43696786.984434776</v>
      </c>
      <c r="DU65" s="19">
        <f t="shared" si="25"/>
        <v>43719097.482101411</v>
      </c>
      <c r="DV65" s="19">
        <f t="shared" si="26"/>
        <v>43478577.236559786</v>
      </c>
      <c r="DX65" s="19">
        <f t="shared" si="307"/>
        <v>66884884.704388149</v>
      </c>
      <c r="DY65" s="19">
        <f t="shared" si="308"/>
        <v>78963636.011566132</v>
      </c>
      <c r="DZ65" s="19">
        <f t="shared" si="309"/>
        <v>119788024.75935894</v>
      </c>
      <c r="EA65" s="19">
        <f t="shared" si="310"/>
        <v>145684596.5842346</v>
      </c>
      <c r="EB65" s="19">
        <f t="shared" si="311"/>
        <v>160901285.9788236</v>
      </c>
      <c r="EC65" s="770">
        <f t="shared" si="32"/>
        <v>173025243.21964172</v>
      </c>
    </row>
    <row r="66" spans="2:133" x14ac:dyDescent="0.2">
      <c r="B66" s="155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X66" s="19"/>
      <c r="DY66" s="19"/>
      <c r="DZ66" s="19"/>
      <c r="EA66" s="19"/>
      <c r="EB66" s="19"/>
      <c r="EC66" s="770">
        <f t="shared" si="32"/>
        <v>0</v>
      </c>
    </row>
    <row r="67" spans="2:133" x14ac:dyDescent="0.2">
      <c r="B67" s="155" t="s">
        <v>19</v>
      </c>
      <c r="C67" s="19">
        <f>'D2C - Retail'!J103+'D2C Online'!AA82</f>
        <v>34062158.079860173</v>
      </c>
      <c r="D67" s="19">
        <f>'D2C - Retail'!K103+'D2C Online'!AB82</f>
        <v>32246985.641821232</v>
      </c>
      <c r="E67" s="19">
        <f>'D2C - Retail'!L103+'D2C Online'!AC82</f>
        <v>34986473.903703392</v>
      </c>
      <c r="F67" s="19">
        <f>'D2C - Retail'!M103+'D2C Online'!AD82</f>
        <v>19966415.289490629</v>
      </c>
      <c r="G67" s="19">
        <f>'D2C - Retail'!N103+'D2C Online'!AE82</f>
        <v>2620551.3499999996</v>
      </c>
      <c r="H67" s="19">
        <f>'D2C - Retail'!O103+'D2C Online'!AF82</f>
        <v>14871317.606323151</v>
      </c>
      <c r="I67" s="19">
        <f>'D2C - Retail'!P103+'D2C Online'!AG82</f>
        <v>20260314.871415034</v>
      </c>
      <c r="J67" s="19">
        <f>'D2C - Retail'!Q103+'D2C Online'!AH82</f>
        <v>26481034.149631318</v>
      </c>
      <c r="K67" s="19">
        <f>'D2C - Retail'!R103+'D2C Online'!AI82</f>
        <v>36976086.206243731</v>
      </c>
      <c r="L67" s="19">
        <f>'D2C - Retail'!S103+'D2C Online'!AJ82</f>
        <v>42265851.875842385</v>
      </c>
      <c r="M67" s="19">
        <f>'D2C - Retail'!T103+'D2C Online'!AK82</f>
        <v>63785868.565139078</v>
      </c>
      <c r="N67" s="19">
        <f>'D2C - Retail'!U103+'D2C Online'!AL82</f>
        <v>76945507.834663793</v>
      </c>
      <c r="O67" s="19">
        <f>'D2C - Retail'!V103+'D2C Online'!AM82</f>
        <v>83369626.909232974</v>
      </c>
      <c r="P67" s="19">
        <f>'D2C - Retail'!W103+'D2C Online'!AN82</f>
        <v>88266399.603667602</v>
      </c>
      <c r="Q67" s="19">
        <f>'D2C - Retail'!X103+'D2C Online'!AO82</f>
        <v>94968342.702833235</v>
      </c>
      <c r="R67" s="19">
        <f>'D2C - Retail'!Y103+'D2C Online'!AP82</f>
        <v>86672936.723689631</v>
      </c>
      <c r="S67" s="19">
        <f>'D2C - Retail'!Z103+'D2C Online'!AQ82</f>
        <v>108585125.01416755</v>
      </c>
      <c r="T67" s="19">
        <f>'D2C - Retail'!AA103+'D2C Online'!AR82</f>
        <v>136521245.37641725</v>
      </c>
      <c r="U67" s="19">
        <f>'D2C - Retail'!AB103+'D2C Online'!AS82</f>
        <v>135632703.03657562</v>
      </c>
      <c r="V67" s="19">
        <f>'D2C - Retail'!AC103+'D2C Online'!AT82</f>
        <v>137994930.35190862</v>
      </c>
      <c r="W67" s="19">
        <f>'D2C - Retail'!AD103+'D2C Online'!AU82</f>
        <v>137993659.24589327</v>
      </c>
      <c r="X67" s="19">
        <f>'D2C - Retail'!AE103+'D2C Online'!AV82</f>
        <v>169272148.0414052</v>
      </c>
      <c r="Y67" s="19">
        <f>'D2C - Retail'!AF103+'D2C Online'!AW82</f>
        <v>164677327.50987145</v>
      </c>
      <c r="Z67" s="19">
        <f>'D2C - Retail'!AG103+'D2C Online'!AX82</f>
        <v>191467931.76247832</v>
      </c>
      <c r="AA67" s="19">
        <f>'D2C - Retail'!AH103+'D2C Online'!AY82</f>
        <v>216531938.17534012</v>
      </c>
      <c r="AB67" s="19">
        <f>'D2C - Retail'!AI103+'D2C Online'!AZ82</f>
        <v>227911364.99339339</v>
      </c>
      <c r="AC67" s="19">
        <f>'D2C - Retail'!AJ103+'D2C Online'!BA82</f>
        <v>322846394.51917362</v>
      </c>
      <c r="AD67" s="19">
        <f>'D2C - Retail'!AK103+'D2C Online'!BB82</f>
        <v>368215147.71119606</v>
      </c>
      <c r="AE67" s="19">
        <f>'D2C - Retail'!AL103+'D2C Online'!BC82</f>
        <v>372158602.38419825</v>
      </c>
      <c r="AF67" s="19">
        <f>'D2C - Retail'!AM103+'D2C Online'!BD82</f>
        <v>385997199.76369917</v>
      </c>
      <c r="AG67" s="19">
        <f>'D2C - Retail'!AN103+'D2C Online'!BE82</f>
        <v>313316023.5841136</v>
      </c>
      <c r="AH67" s="19">
        <f>'D2C - Retail'!AO103+'D2C Online'!BF82</f>
        <v>324326415.40188515</v>
      </c>
      <c r="AI67" s="19">
        <f>'D2C - Retail'!AP103+'D2C Online'!BG82</f>
        <v>340922683.36545992</v>
      </c>
      <c r="AJ67" s="19">
        <f>'D2C - Retail'!AQ103+'D2C Online'!BH82</f>
        <v>508985542.94538003</v>
      </c>
      <c r="AK67" s="19">
        <f>'D2C - Retail'!AR103+'D2C Online'!BI82</f>
        <v>409805134.73614061</v>
      </c>
      <c r="AL67" s="19">
        <f>'D2C - Retail'!AS103+'D2C Online'!BJ82</f>
        <v>361803433.80791044</v>
      </c>
      <c r="AM67" s="19">
        <f>'D2C - Retail'!AT103+'D2C Online'!BK82</f>
        <v>332850727.5162133</v>
      </c>
      <c r="AN67" s="19">
        <f>'D2C - Retail'!AU103+'D2C Online'!BL82</f>
        <v>260979929.12964857</v>
      </c>
      <c r="AO67" s="19">
        <f>'D2C - Retail'!AV103+'D2C Online'!BM82</f>
        <v>342762171.58800066</v>
      </c>
      <c r="AP67" s="19">
        <f>'D2C - Retail'!AW103+'D2C Online'!BN82</f>
        <v>362492181.01246309</v>
      </c>
      <c r="AQ67" s="19">
        <f>'D2C - Retail'!AX103+'D2C Online'!BO82</f>
        <v>371190420.81432414</v>
      </c>
      <c r="AR67" s="19">
        <f>'D2C - Retail'!AY103+'D2C Online'!BP82</f>
        <v>385361021.26931828</v>
      </c>
      <c r="AS67" s="19">
        <f>'D2C - Retail'!AZ103+'D2C Online'!BQ82</f>
        <v>381460326.59266692</v>
      </c>
      <c r="AT67" s="19">
        <f>'D2C - Retail'!BA103+'D2C Online'!BR82</f>
        <v>336248050.03736317</v>
      </c>
      <c r="AU67" s="19">
        <f>'D2C - Retail'!BB103+'D2C Online'!BS82</f>
        <v>318655160.63754261</v>
      </c>
      <c r="AV67" s="19">
        <f>'D2C - Retail'!BC103+'D2C Online'!BT82</f>
        <v>406539970.2491256</v>
      </c>
      <c r="AW67" s="19">
        <f>'D2C - Retail'!BD103+'D2C Online'!BU82</f>
        <v>379462904.2164557</v>
      </c>
      <c r="AX67" s="19">
        <f>'D2C - Retail'!BE103+'D2C Online'!BV82</f>
        <v>457065405.85241997</v>
      </c>
      <c r="AY67" s="19">
        <f>'D2C - Retail'!BF103+'D2C Online'!BW82</f>
        <v>491365853.80632669</v>
      </c>
      <c r="AZ67" s="19">
        <f>'D2C - Retail'!BG103+'D2C Online'!BX82</f>
        <v>471000598.92070174</v>
      </c>
      <c r="BA67" s="19">
        <f>'D2C - Retail'!BH103+'D2C Online'!BY82</f>
        <v>601970502.36030102</v>
      </c>
      <c r="BB67" s="19">
        <f>'D2C - Retail'!BI103+'D2C Online'!BZ82</f>
        <v>552202557.77279758</v>
      </c>
      <c r="BC67" s="19">
        <f>'D2C - Retail'!BJ103+'D2C Online'!CA82</f>
        <v>544587376.07374477</v>
      </c>
      <c r="BD67" s="19">
        <f>'D2C - Retail'!BK103+'D2C Online'!CB82</f>
        <v>539759264.90557325</v>
      </c>
      <c r="BE67" s="19">
        <f>'D2C - Retail'!BL103+'D2C Online'!CC82</f>
        <v>583299672.83104587</v>
      </c>
      <c r="BF67" s="19">
        <f>'D2C - Retail'!BM103+'D2C Online'!CD82</f>
        <v>482086344.23840082</v>
      </c>
      <c r="BG67" s="19">
        <f>'D2C - Retail'!BN103+'D2C Online'!CE82</f>
        <v>535800550.40054846</v>
      </c>
      <c r="BH67" s="19">
        <f>'D2C - Retail'!BO103+'D2C Online'!CF82</f>
        <v>622621363.73432779</v>
      </c>
      <c r="BI67" s="19">
        <f>'D2C - Retail'!BP103+'D2C Online'!CG82</f>
        <v>582847373.23715341</v>
      </c>
      <c r="BJ67" s="19">
        <f>'D2C - Retail'!BQ103+'D2C Online'!CH82</f>
        <v>726148738.73059988</v>
      </c>
      <c r="BK67" s="19">
        <f>'D2C - Retail'!BR103+'D2C Online'!CI82</f>
        <v>778867458.81809998</v>
      </c>
      <c r="BL67" s="19">
        <f>'D2C - Retail'!BS103+'D2C Online'!CJ82</f>
        <v>708412318.50900006</v>
      </c>
      <c r="BM67" s="19">
        <f>'D2C - Retail'!BT103+'D2C Online'!CK82</f>
        <v>860245643.78979981</v>
      </c>
      <c r="BN67" s="19">
        <f>'D2C - Retail'!BU103+'D2C Online'!CL82</f>
        <v>737693756.65995324</v>
      </c>
      <c r="BO67" s="19">
        <f>'D2C - Retail'!BV103+'D2C Online'!CM82</f>
        <v>730591961.67113841</v>
      </c>
      <c r="BP67" s="19">
        <f>'D2C - Retail'!BW103+'D2C Online'!CN82</f>
        <v>729350108.22293305</v>
      </c>
      <c r="BQ67" s="19">
        <f>'D2C - Retail'!BX103+'D2C Online'!CO82</f>
        <v>771766390.45879316</v>
      </c>
      <c r="BR67" s="19">
        <f>'D2C - Retail'!BY103+'D2C Online'!CP82</f>
        <v>702295855.55575562</v>
      </c>
      <c r="BS67" s="19">
        <f>'D2C - Retail'!BZ103+'D2C Online'!CQ82</f>
        <v>694748287.22403765</v>
      </c>
      <c r="BT67" s="19">
        <f>'D2C - Retail'!CA103+'D2C Online'!CR82</f>
        <v>789803065.75788677</v>
      </c>
      <c r="BU67" s="19">
        <f>'D2C - Retail'!CB103+'D2C Online'!CS82</f>
        <v>749357138.59317899</v>
      </c>
      <c r="BV67" s="19">
        <f>'D2C - Retail'!CC103+'D2C Online'!CT82</f>
        <v>903242412.62534261</v>
      </c>
      <c r="BW67" s="19">
        <f>'D2C - Retail'!CD103+'D2C Online'!CU82</f>
        <v>943634609.08253837</v>
      </c>
      <c r="BX67" s="19">
        <f>'D2C - Retail'!CE103+'D2C Online'!CV82</f>
        <v>850187252.19747829</v>
      </c>
      <c r="BY67" s="19">
        <f>'D2C - Retail'!CF103+'D2C Online'!CW82</f>
        <v>963927240.39407337</v>
      </c>
      <c r="BZ67" s="19">
        <f>'D2C - Retail'!CG103+'D2C Online'!CX82</f>
        <v>892348969.73422599</v>
      </c>
      <c r="CA67" s="19">
        <f>'D2C - Retail'!CH103+'D2C Online'!CY82</f>
        <v>884962905.57898116</v>
      </c>
      <c r="CB67" s="19">
        <f>'D2C - Retail'!CI103+'D2C Online'!CZ82</f>
        <v>880541895.52471018</v>
      </c>
      <c r="CC67" s="19">
        <f>'D2C - Retail'!CJ103+'D2C Online'!DA82</f>
        <v>931830132.05180979</v>
      </c>
      <c r="CD67" s="19">
        <f>'D2C - Retail'!CK103+'D2C Online'!DB82</f>
        <v>846520001.52628016</v>
      </c>
      <c r="CE67" s="19">
        <f>'D2C - Retail'!CL103+'D2C Online'!DC82</f>
        <v>835342934.32533073</v>
      </c>
      <c r="CF67" s="19">
        <f>'D2C - Retail'!CM103+'D2C Online'!DD82</f>
        <v>949078675.7550869</v>
      </c>
      <c r="CG67" s="19">
        <f>'D2C - Retail'!CN103+'D2C Online'!DE82</f>
        <v>897098728.6389854</v>
      </c>
      <c r="CH67" s="19">
        <f>'D2C - Retail'!CO103+'D2C Online'!DF82</f>
        <v>1078884093.01879</v>
      </c>
      <c r="CI67" s="19">
        <f>'D2C - Retail'!CP103+'D2C Online'!DG82</f>
        <v>1124091185.3505998</v>
      </c>
      <c r="CJ67" s="19">
        <f>'D2C - Retail'!CQ103+'D2C Online'!DH82</f>
        <v>1009805161.083474</v>
      </c>
      <c r="CK67" s="19">
        <f>'D2C - Retail'!CR103+'D2C Online'!DI82</f>
        <v>1136901842.5968366</v>
      </c>
      <c r="CL67" s="19">
        <f>'D2C - Retail'!CS103+'D2C Online'!DJ82</f>
        <v>1031565801.7546962</v>
      </c>
      <c r="CM67" s="19">
        <f>'D2C - Retail'!CT103+'D2C Online'!DK82</f>
        <v>1022660441.4344561</v>
      </c>
      <c r="CN67" s="19">
        <f>'D2C - Retail'!CU103+'D2C Online'!DL82</f>
        <v>1017213738.6957765</v>
      </c>
      <c r="CO67" s="19">
        <f>'D2C - Retail'!CV103+'D2C Online'!DM82</f>
        <v>1075563402.2095411</v>
      </c>
      <c r="CP67" s="19">
        <f>'D2C - Retail'!CW103+'D2C Online'!DN82</f>
        <v>976859305.3449266</v>
      </c>
      <c r="CQ67" s="19">
        <f>'D2C - Retail'!CX103+'D2C Online'!DO82</f>
        <v>964755010.84559441</v>
      </c>
      <c r="CR67" s="19">
        <f>'D2C - Retail'!CY103+'D2C Online'!DP82</f>
        <v>1093641891.03916</v>
      </c>
      <c r="CS67" s="19">
        <f>'D2C - Retail'!CZ103+'D2C Online'!DQ82</f>
        <v>1034140079.601885</v>
      </c>
      <c r="CT67" s="19">
        <f>'D2C - Retail'!DA103+'D2C Online'!DR82</f>
        <v>1244268173.2623608</v>
      </c>
      <c r="CU67" s="19">
        <f>'D2C - Retail'!DB103+'D2C Online'!DS82</f>
        <v>1296951063.944319</v>
      </c>
      <c r="CV67" s="19">
        <f>'D2C - Retail'!DC103+'D2C Online'!DT82</f>
        <v>1163647299.787636</v>
      </c>
      <c r="CW67" s="19">
        <f>'D2C - Retail'!DD103+'D2C Online'!DU82</f>
        <v>1309325042.9950085</v>
      </c>
      <c r="CY67" s="19">
        <f t="shared" si="287"/>
        <v>1126370949.8590937</v>
      </c>
      <c r="CZ67" s="19">
        <f t="shared" si="288"/>
        <v>978565122.35145867</v>
      </c>
      <c r="DA67" s="19">
        <f t="shared" si="289"/>
        <v>1280594111.4894311</v>
      </c>
      <c r="DB67" s="19">
        <f t="shared" si="290"/>
        <v>936592828.23386252</v>
      </c>
      <c r="DC67" s="19">
        <f t="shared" si="291"/>
        <v>1119043623.0961056</v>
      </c>
      <c r="DD67" s="19">
        <f t="shared" si="292"/>
        <v>1036363537.2675728</v>
      </c>
      <c r="DE67" s="19">
        <f t="shared" si="293"/>
        <v>1243068280.3180013</v>
      </c>
      <c r="DF67" s="19">
        <f t="shared" si="294"/>
        <v>1564336955.0873294</v>
      </c>
      <c r="DG67" s="19">
        <f t="shared" si="295"/>
        <v>1636549198.7521157</v>
      </c>
      <c r="DH67" s="19">
        <f t="shared" si="296"/>
        <v>1601186567.469995</v>
      </c>
      <c r="DI67" s="19">
        <f t="shared" si="297"/>
        <v>1931617475.7020812</v>
      </c>
      <c r="DJ67" s="19">
        <f t="shared" si="298"/>
        <v>2347525421.1169</v>
      </c>
      <c r="DK67" s="19">
        <f t="shared" si="299"/>
        <v>2197635826.5540247</v>
      </c>
      <c r="DL67" s="19">
        <f t="shared" si="300"/>
        <v>2168810533.2385864</v>
      </c>
      <c r="DM67" s="19">
        <f t="shared" si="301"/>
        <v>2442402616.976408</v>
      </c>
      <c r="DN67" s="19">
        <f t="shared" si="302"/>
        <v>2757749101.6740899</v>
      </c>
      <c r="DO67" s="19">
        <f t="shared" si="303"/>
        <v>2657853770.8379173</v>
      </c>
      <c r="DP67" s="19">
        <f t="shared" si="304"/>
        <v>2613693067.9034204</v>
      </c>
      <c r="DQ67" s="19">
        <f t="shared" si="305"/>
        <v>2925061497.4128623</v>
      </c>
      <c r="DR67" s="19">
        <f t="shared" si="306"/>
        <v>3270798189.0309105</v>
      </c>
      <c r="DS67" s="19">
        <f t="shared" si="23"/>
        <v>3071439981.8849287</v>
      </c>
      <c r="DT67" s="19">
        <f t="shared" si="24"/>
        <v>3017177718.4000621</v>
      </c>
      <c r="DU67" s="19">
        <f t="shared" si="25"/>
        <v>3372050143.9034061</v>
      </c>
      <c r="DV67" s="19">
        <f t="shared" si="26"/>
        <v>3769923406.7269635</v>
      </c>
      <c r="DX67" s="19">
        <f t="shared" si="307"/>
        <v>4322123011.9338465</v>
      </c>
      <c r="DY67" s="19">
        <f t="shared" si="308"/>
        <v>4962812395.7690086</v>
      </c>
      <c r="DZ67" s="19">
        <f t="shared" si="309"/>
        <v>7516878663.0410919</v>
      </c>
      <c r="EA67" s="19">
        <f t="shared" si="310"/>
        <v>9566598078.4431095</v>
      </c>
      <c r="EB67" s="19">
        <f t="shared" si="311"/>
        <v>11467406525.18511</v>
      </c>
      <c r="EC67" s="770">
        <f t="shared" si="32"/>
        <v>13230591250.915359</v>
      </c>
    </row>
    <row r="68" spans="2:133" x14ac:dyDescent="0.2">
      <c r="B68" s="24" t="s">
        <v>139</v>
      </c>
      <c r="C68" s="19">
        <f>'D2C - Retail'!J104+'D2C Online'!AA82</f>
        <v>32365606.28325</v>
      </c>
      <c r="D68" s="19">
        <f>'D2C - Retail'!K104+'D2C Online'!AB82</f>
        <v>30151437.626399998</v>
      </c>
      <c r="E68" s="19">
        <f>'D2C - Retail'!L104+'D2C Online'!AC82</f>
        <v>33172539.971500002</v>
      </c>
      <c r="F68" s="19">
        <f>'D2C - Retail'!M104+'D2C Online'!AD82</f>
        <v>18779358.042032998</v>
      </c>
      <c r="G68" s="19">
        <f>'D2C - Retail'!N104+'D2C Online'!AE82</f>
        <v>2616639.3499999996</v>
      </c>
      <c r="H68" s="19">
        <f>'D2C - Retail'!O104+'D2C Online'!AF82</f>
        <v>12990691.779373998</v>
      </c>
      <c r="I68" s="19">
        <f>'D2C - Retail'!P104+'D2C Online'!AG82</f>
        <v>17442293.312093001</v>
      </c>
      <c r="J68" s="19">
        <f>'D2C - Retail'!Q104+'D2C Online'!AH82</f>
        <v>23175357.158105887</v>
      </c>
      <c r="K68" s="19">
        <f>'D2C - Retail'!R104+'D2C Online'!AI82</f>
        <v>32540794.622853898</v>
      </c>
      <c r="L68" s="19">
        <f>'D2C - Retail'!S104+'D2C Online'!AJ82</f>
        <v>38025802.863300003</v>
      </c>
      <c r="M68" s="19">
        <f>'D2C - Retail'!T104+'D2C Online'!AK82</f>
        <v>59061799.206495002</v>
      </c>
      <c r="N68" s="19">
        <f>'D2C - Retail'!U104+'D2C Online'!AL82</f>
        <v>70302168.136358693</v>
      </c>
      <c r="O68" s="19">
        <f>'D2C - Retail'!V104+'D2C Online'!AM82</f>
        <v>76223887.0702499</v>
      </c>
      <c r="P68" s="19">
        <f>'D2C - Retail'!W104+'D2C Online'!AN82</f>
        <v>80964328.459599793</v>
      </c>
      <c r="Q68" s="19">
        <f>'D2C - Retail'!X104+'D2C Online'!AO82</f>
        <v>86975694.567239985</v>
      </c>
      <c r="R68" s="19">
        <f>'D2C - Retail'!Y104+'D2C Online'!AP82</f>
        <v>78706583.316909984</v>
      </c>
      <c r="S68" s="19">
        <f>'D2C - Retail'!Z104+'D2C Online'!AQ82</f>
        <v>99704449.1667099</v>
      </c>
      <c r="T68" s="19">
        <f>'D2C - Retail'!AA104+'D2C Online'!AR82</f>
        <v>127811463.31217994</v>
      </c>
      <c r="U68" s="19">
        <f>'D2C - Retail'!AB104+'D2C Online'!AS82</f>
        <v>124926411.74843997</v>
      </c>
      <c r="V68" s="19">
        <f>'D2C - Retail'!AC104+'D2C Online'!AT82</f>
        <v>125361361.20140006</v>
      </c>
      <c r="W68" s="19">
        <f>'D2C - Retail'!AD104+'D2C Online'!AU82</f>
        <v>125741892.69029999</v>
      </c>
      <c r="X68" s="19">
        <f>'D2C - Retail'!AE104+'D2C Online'!AV82</f>
        <v>157552985.03310007</v>
      </c>
      <c r="Y68" s="19">
        <f>'D2C - Retail'!AF104+'D2C Online'!AW82</f>
        <v>153937999.43360028</v>
      </c>
      <c r="Z68" s="19">
        <f>'D2C - Retail'!AG104+'D2C Online'!AX82</f>
        <v>180507038.61420804</v>
      </c>
      <c r="AA68" s="19">
        <f>'D2C - Retail'!AH104+'D2C Online'!AY82</f>
        <v>204894521.95579991</v>
      </c>
      <c r="AB68" s="19">
        <f>'D2C - Retail'!AI104+'D2C Online'!AZ82</f>
        <v>216457049.84340006</v>
      </c>
      <c r="AC68" s="19">
        <f>'D2C - Retail'!AJ104+'D2C Online'!BA82</f>
        <v>310865490.86479998</v>
      </c>
      <c r="AD68" s="19">
        <f>'D2C - Retail'!AK104+'D2C Online'!BB82</f>
        <v>356298247.93729997</v>
      </c>
      <c r="AE68" s="19">
        <f>'D2C - Retail'!AL104+'D2C Online'!BC82</f>
        <v>359768504.89200008</v>
      </c>
      <c r="AF68" s="19">
        <f>'D2C - Retail'!AM104+'D2C Online'!BD82</f>
        <v>371952108.93627</v>
      </c>
      <c r="AG68" s="19">
        <f>'D2C - Retail'!AN104+'D2C Online'!BE82</f>
        <v>299732064.90023077</v>
      </c>
      <c r="AH68" s="19">
        <f>'D2C - Retail'!AO104+'D2C Online'!BF82</f>
        <v>307809481.16316479</v>
      </c>
      <c r="AI68" s="19">
        <f>'D2C - Retail'!AP104+'D2C Online'!BG82</f>
        <v>326029121.71422672</v>
      </c>
      <c r="AJ68" s="19">
        <f>'D2C - Retail'!AQ104+'D2C Online'!BH82</f>
        <v>491090009.86796999</v>
      </c>
      <c r="AK68" s="19">
        <f>'D2C - Retail'!AR104+'D2C Online'!BI82</f>
        <v>396374322.61050999</v>
      </c>
      <c r="AL68" s="19">
        <f>'D2C - Retail'!AS104+'D2C Online'!BJ82</f>
        <v>350218275.90948999</v>
      </c>
      <c r="AM68" s="19">
        <f>'D2C - Retail'!AT104+'D2C Online'!BK82</f>
        <v>321197281.53999996</v>
      </c>
      <c r="AN68" s="19">
        <f>'D2C - Retail'!AU104+'D2C Online'!BL82</f>
        <v>249670018.48000002</v>
      </c>
      <c r="AO68" s="19">
        <f>'D2C - Retail'!AV104+'D2C Online'!BM82</f>
        <v>329431947.07583773</v>
      </c>
      <c r="AP68" s="19">
        <f>'D2C - Retail'!AW104+'D2C Online'!BN82</f>
        <v>347536900.60220337</v>
      </c>
      <c r="AQ68" s="19">
        <f>'D2C - Retail'!AX104+'D2C Online'!BO82</f>
        <v>356835489.74465203</v>
      </c>
      <c r="AR68" s="19">
        <f>'D2C - Retail'!AY104+'D2C Online'!BP82</f>
        <v>370195507.39256978</v>
      </c>
      <c r="AS68" s="19">
        <f>'D2C - Retail'!AZ104+'D2C Online'!BQ82</f>
        <v>365088845.04286402</v>
      </c>
      <c r="AT68" s="19">
        <f>'D2C - Retail'!BA104+'D2C Online'!BR82</f>
        <v>321527134.40126562</v>
      </c>
      <c r="AU68" s="19">
        <f>'D2C - Retail'!BB104+'D2C Online'!BS82</f>
        <v>304818673.51926565</v>
      </c>
      <c r="AV68" s="19">
        <f>'D2C - Retail'!BC104+'D2C Online'!BT82</f>
        <v>389371477.56064773</v>
      </c>
      <c r="AW68" s="19">
        <f>'D2C - Retail'!BD104+'D2C Online'!BU82</f>
        <v>364085809.26759523</v>
      </c>
      <c r="AX68" s="19">
        <f>'D2C - Retail'!BE104+'D2C Online'!BV82</f>
        <v>438229373.79605389</v>
      </c>
      <c r="AY68" s="19">
        <f>'D2C - Retail'!BF104+'D2C Online'!BW82</f>
        <v>474016859.69854021</v>
      </c>
      <c r="AZ68" s="19">
        <f>'D2C - Retail'!BG104+'D2C Online'!BX82</f>
        <v>455194634.19102395</v>
      </c>
      <c r="BA68" s="19">
        <f>'D2C - Retail'!BH104+'D2C Online'!BY82</f>
        <v>582071170.33330357</v>
      </c>
      <c r="BB68" s="19">
        <f>'D2C - Retail'!BI104+'D2C Online'!BZ82</f>
        <v>534115083.08716714</v>
      </c>
      <c r="BC68" s="19">
        <f>'D2C - Retail'!BJ104+'D2C Online'!CA82</f>
        <v>526004239.23421979</v>
      </c>
      <c r="BD68" s="19">
        <f>'D2C - Retail'!BK104+'D2C Online'!CB82</f>
        <v>523162418.08242071</v>
      </c>
      <c r="BE68" s="19">
        <f>'D2C - Retail'!BL104+'D2C Online'!CC82</f>
        <v>563533451.79375768</v>
      </c>
      <c r="BF68" s="19">
        <f>'D2C - Retail'!BM104+'D2C Online'!CD82</f>
        <v>460217608.3826381</v>
      </c>
      <c r="BG68" s="19">
        <f>'D2C - Retail'!BN104+'D2C Online'!CE82</f>
        <v>514718206.18054843</v>
      </c>
      <c r="BH68" s="19">
        <f>'D2C - Retail'!BO104+'D2C Online'!CF82</f>
        <v>597722332.81700516</v>
      </c>
      <c r="BI68" s="19">
        <f>'D2C - Retail'!BP104+'D2C Online'!CG82</f>
        <v>558619659.56715345</v>
      </c>
      <c r="BJ68" s="19">
        <f>'D2C - Retail'!BQ104+'D2C Online'!CH82</f>
        <v>696158129.1006</v>
      </c>
      <c r="BK68" s="19">
        <f>'D2C - Retail'!BR104+'D2C Online'!CI82</f>
        <v>750764573.40810001</v>
      </c>
      <c r="BL68" s="19">
        <f>'D2C - Retail'!BS104+'D2C Online'!CJ82</f>
        <v>681573264.949</v>
      </c>
      <c r="BM68" s="19">
        <f>'D2C - Retail'!BT104+'D2C Online'!CK82</f>
        <v>823178590.24980009</v>
      </c>
      <c r="BN68" s="19">
        <f>'D2C - Retail'!BU104+'D2C Online'!CL82</f>
        <v>711123321.08350146</v>
      </c>
      <c r="BO68" s="19">
        <f>'D2C - Retail'!BV104+'D2C Online'!CM82</f>
        <v>703629541.24111176</v>
      </c>
      <c r="BP68" s="19">
        <f>'D2C - Retail'!BW104+'D2C Online'!CN82</f>
        <v>701967859.20499253</v>
      </c>
      <c r="BQ68" s="19">
        <f>'D2C - Retail'!BX104+'D2C Online'!CO82</f>
        <v>744581604.65672791</v>
      </c>
      <c r="BR68" s="19">
        <f>'D2C - Retail'!BY104+'D2C Online'!CP82</f>
        <v>674049410.31246078</v>
      </c>
      <c r="BS68" s="19">
        <f>'D2C - Retail'!BZ104+'D2C Online'!CQ82</f>
        <v>665566451.62235451</v>
      </c>
      <c r="BT68" s="19">
        <f>'D2C - Retail'!CA104+'D2C Online'!CR82</f>
        <v>761610251.1886816</v>
      </c>
      <c r="BU68" s="19">
        <f>'D2C - Retail'!CB104+'D2C Online'!CS82</f>
        <v>720254192.02783549</v>
      </c>
      <c r="BV68" s="19">
        <f>'D2C - Retail'!CC104+'D2C Online'!CT82</f>
        <v>874976496.08798361</v>
      </c>
      <c r="BW68" s="19">
        <f>'D2C - Retail'!CD104+'D2C Online'!CU82</f>
        <v>915267595.91451335</v>
      </c>
      <c r="BX68" s="19">
        <f>'D2C - Retail'!CE104+'D2C Online'!CV82</f>
        <v>820912518.04522026</v>
      </c>
      <c r="BY68" s="19">
        <f>'D2C - Retail'!CF104+'D2C Online'!CW82</f>
        <v>935190745.8365463</v>
      </c>
      <c r="BZ68" s="19">
        <f>'D2C - Retail'!CG104+'D2C Online'!CX82</f>
        <v>862718629.32864583</v>
      </c>
      <c r="CA68" s="19">
        <f>'D2C - Retail'!CH104+'D2C Online'!CY82</f>
        <v>854795225.42197847</v>
      </c>
      <c r="CB68" s="19">
        <f>'D2C - Retail'!CI104+'D2C Online'!CZ82</f>
        <v>850051588.33488083</v>
      </c>
      <c r="CC68" s="19">
        <f>'D2C - Retail'!CJ104+'D2C Online'!DA82</f>
        <v>901636525.31921792</v>
      </c>
      <c r="CD68" s="19">
        <f>'D2C - Retail'!CK104+'D2C Online'!DB82</f>
        <v>815107049.43359351</v>
      </c>
      <c r="CE68" s="19">
        <f>'D2C - Retail'!CL104+'D2C Online'!DC82</f>
        <v>802894811.38175476</v>
      </c>
      <c r="CF68" s="19">
        <f>'D2C - Retail'!CM104+'D2C Online'!DD82</f>
        <v>918001608.30594301</v>
      </c>
      <c r="CG68" s="19">
        <f>'D2C - Retail'!CN104+'D2C Online'!DE82</f>
        <v>865104606.16579342</v>
      </c>
      <c r="CH68" s="19">
        <f>'D2C - Retail'!CO104+'D2C Online'!DF82</f>
        <v>1048060998.886718</v>
      </c>
      <c r="CI68" s="19">
        <f>'D2C - Retail'!CP104+'D2C Online'!DG82</f>
        <v>1093301771.4637208</v>
      </c>
      <c r="CJ68" s="19">
        <f>'D2C - Retail'!CQ104+'D2C Online'!DH82</f>
        <v>978107351.13072681</v>
      </c>
      <c r="CK68" s="19">
        <f>'D2C - Retail'!CR104+'D2C Online'!DI82</f>
        <v>1106255200.7914634</v>
      </c>
      <c r="CL68" s="19">
        <f>'D2C - Retail'!CS104+'D2C Online'!DJ82</f>
        <v>999659881.31000721</v>
      </c>
      <c r="CM68" s="19">
        <f>'D2C - Retail'!CT104+'D2C Online'!DK82</f>
        <v>990191220.43900728</v>
      </c>
      <c r="CN68" s="19">
        <f>'D2C - Retail'!CU104+'D2C Online'!DL82</f>
        <v>984409858.5016973</v>
      </c>
      <c r="CO68" s="19">
        <f>'D2C - Retail'!CV104+'D2C Online'!DM82</f>
        <v>1043131634.3005588</v>
      </c>
      <c r="CP68" s="19">
        <f>'D2C - Retail'!CW104+'D2C Online'!DN82</f>
        <v>943087031.00478554</v>
      </c>
      <c r="CQ68" s="19">
        <f>'D2C - Retail'!CX104+'D2C Online'!DO82</f>
        <v>929870595.40948808</v>
      </c>
      <c r="CR68" s="19">
        <f>'D2C - Retail'!CY104+'D2C Online'!DP82</f>
        <v>1060335122.0597737</v>
      </c>
      <c r="CS68" s="19">
        <f>'D2C - Retail'!CZ104+'D2C Online'!DQ82</f>
        <v>999822440.96706712</v>
      </c>
      <c r="CT68" s="19">
        <f>'D2C - Retail'!DA104+'D2C Online'!DR82</f>
        <v>1211299039.2338486</v>
      </c>
      <c r="CU68" s="19">
        <f>'D2C - Retail'!DB104+'D2C Online'!DS82</f>
        <v>1264036268.8117411</v>
      </c>
      <c r="CV68" s="19">
        <f>'D2C - Retail'!DC104+'D2C Online'!DT82</f>
        <v>1129731886.5863218</v>
      </c>
      <c r="CW68" s="19">
        <f>'D2C - Retail'!DD104+'D2C Online'!DU82</f>
        <v>1276620179.7271805</v>
      </c>
      <c r="CY68" s="19">
        <f t="shared" si="287"/>
        <v>1088018861.7655702</v>
      </c>
      <c r="CZ68" s="19">
        <f t="shared" si="288"/>
        <v>933570667.77762222</v>
      </c>
      <c r="DA68" s="19">
        <f t="shared" si="289"/>
        <v>1237682608.38797</v>
      </c>
      <c r="DB68" s="19">
        <f t="shared" si="290"/>
        <v>900299247.09583771</v>
      </c>
      <c r="DC68" s="19">
        <f t="shared" si="291"/>
        <v>1074567897.7394252</v>
      </c>
      <c r="DD68" s="19">
        <f t="shared" si="292"/>
        <v>991434652.96339536</v>
      </c>
      <c r="DE68" s="19">
        <f t="shared" si="293"/>
        <v>1191686660.6242969</v>
      </c>
      <c r="DF68" s="19">
        <f t="shared" si="294"/>
        <v>1511282664.2228677</v>
      </c>
      <c r="DG68" s="19">
        <f t="shared" si="295"/>
        <v>1583281740.4038076</v>
      </c>
      <c r="DH68" s="19">
        <f t="shared" si="296"/>
        <v>1538469266.3569441</v>
      </c>
      <c r="DI68" s="19">
        <f t="shared" si="297"/>
        <v>1852500121.4847586</v>
      </c>
      <c r="DJ68" s="19">
        <f t="shared" si="298"/>
        <v>2255516428.6069002</v>
      </c>
      <c r="DK68" s="19">
        <f t="shared" si="299"/>
        <v>2116720721.5296056</v>
      </c>
      <c r="DL68" s="19">
        <f t="shared" si="300"/>
        <v>2084197466.5915432</v>
      </c>
      <c r="DM68" s="19">
        <f t="shared" si="301"/>
        <v>2356840939.3045006</v>
      </c>
      <c r="DN68" s="19">
        <f t="shared" si="302"/>
        <v>2671370859.7962799</v>
      </c>
      <c r="DO68" s="19">
        <f t="shared" si="303"/>
        <v>2567565443.085505</v>
      </c>
      <c r="DP68" s="19">
        <f t="shared" si="304"/>
        <v>2519638386.1345663</v>
      </c>
      <c r="DQ68" s="19">
        <f t="shared" si="305"/>
        <v>2831167213.3584547</v>
      </c>
      <c r="DR68" s="19">
        <f t="shared" si="306"/>
        <v>3177664323.385911</v>
      </c>
      <c r="DS68" s="19">
        <f t="shared" ref="DS68:DS131" si="312">SUM(CL68:CN68)</f>
        <v>2974260960.2507114</v>
      </c>
      <c r="DT68" s="19">
        <f t="shared" ref="DT68:DT131" si="313">SUM(CO68:CQ68)</f>
        <v>2916089260.7148323</v>
      </c>
      <c r="DU68" s="19">
        <f t="shared" ref="DU68:DU131" si="314">SUM(CR68:CT68)</f>
        <v>3271456602.2606893</v>
      </c>
      <c r="DV68" s="19">
        <f t="shared" ref="DV68:DV131" si="315">SUM(CU68:CW68)</f>
        <v>3670388335.1252432</v>
      </c>
      <c r="DX68" s="19">
        <f t="shared" si="307"/>
        <v>4159571385.027</v>
      </c>
      <c r="DY68" s="19">
        <f t="shared" si="308"/>
        <v>4768971875.5499849</v>
      </c>
      <c r="DZ68" s="19">
        <f t="shared" si="309"/>
        <v>7229767556.8524103</v>
      </c>
      <c r="EA68" s="19">
        <f t="shared" si="310"/>
        <v>9229129987.2219296</v>
      </c>
      <c r="EB68" s="19">
        <f t="shared" si="311"/>
        <v>11096035365.964437</v>
      </c>
      <c r="EC68" s="770">
        <f t="shared" ref="EC68:EC131" si="316">SUM(DS68:DV68)</f>
        <v>12832195158.351475</v>
      </c>
    </row>
    <row r="69" spans="2:133" x14ac:dyDescent="0.2">
      <c r="B69" s="24" t="s">
        <v>191</v>
      </c>
      <c r="C69" s="19">
        <f>'D2C - Retail'!J105</f>
        <v>1485715</v>
      </c>
      <c r="D69" s="19">
        <f>'D2C - Retail'!K105</f>
        <v>1498234.8352941177</v>
      </c>
      <c r="E69" s="19">
        <f>'D2C - Retail'!L105</f>
        <v>1433161.9322033899</v>
      </c>
      <c r="F69" s="19">
        <f>'D2C - Retail'!M105</f>
        <v>992380.67118644062</v>
      </c>
      <c r="G69" s="19">
        <f>'D2C - Retail'!N105</f>
        <v>0</v>
      </c>
      <c r="H69" s="19">
        <f>'D2C - Retail'!O105</f>
        <v>1663035.8269491526</v>
      </c>
      <c r="I69" s="19">
        <f>'D2C - Retail'!P105</f>
        <v>2442429.1525423727</v>
      </c>
      <c r="J69" s="19">
        <f>'D2C - Retail'!Q105</f>
        <v>2250222.9152542371</v>
      </c>
      <c r="K69" s="19">
        <f>'D2C - Retail'!R105</f>
        <v>3164717.2698305082</v>
      </c>
      <c r="L69" s="19">
        <f>'D2C - Retail'!S105</f>
        <v>2914981.1057627122</v>
      </c>
      <c r="M69" s="19">
        <f>'D2C - Retail'!T105</f>
        <v>3117549.7738983054</v>
      </c>
      <c r="N69" s="19">
        <f>'D2C - Retail'!U105</f>
        <v>4413298.1389830504</v>
      </c>
      <c r="O69" s="19">
        <f>'D2C - Retail'!V105</f>
        <v>5020352.4067796608</v>
      </c>
      <c r="P69" s="19">
        <f>'D2C - Retail'!W105</f>
        <v>5098079.8135593217</v>
      </c>
      <c r="Q69" s="19">
        <f>'D2C - Retail'!X105</f>
        <v>4709894.4576271186</v>
      </c>
      <c r="R69" s="19">
        <f>'D2C - Retail'!Y105</f>
        <v>5811571.1525423722</v>
      </c>
      <c r="S69" s="19">
        <f>'D2C - Retail'!Z105</f>
        <v>6679252.1864406783</v>
      </c>
      <c r="T69" s="19">
        <f>'D2C - Retail'!AA105</f>
        <v>5999331.3983050846</v>
      </c>
      <c r="U69" s="19">
        <f>'D2C - Retail'!AB105</f>
        <v>7683642.2033898309</v>
      </c>
      <c r="V69" s="19">
        <f>'D2C - Retail'!AC105</f>
        <v>9022049.7776271198</v>
      </c>
      <c r="W69" s="19">
        <f>'D2C - Retail'!AD105</f>
        <v>8451217.4199999999</v>
      </c>
      <c r="X69" s="19">
        <f>'D2C - Retail'!AE105</f>
        <v>8116440.1100000003</v>
      </c>
      <c r="Y69" s="19">
        <f>'D2C - Retail'!AF105</f>
        <v>8334999.5</v>
      </c>
      <c r="Z69" s="19">
        <f>'D2C - Retail'!AG105</f>
        <v>7549331.7457627123</v>
      </c>
      <c r="AA69" s="19">
        <f>'D2C - Retail'!AH105</f>
        <v>7646263.2949152542</v>
      </c>
      <c r="AB69" s="19">
        <f>'D2C - Retail'!AI105</f>
        <v>7389750.5355932219</v>
      </c>
      <c r="AC69" s="19">
        <f>'D2C - Retail'!AJ105</f>
        <v>7769988.792203391</v>
      </c>
      <c r="AD69" s="19">
        <f>'D2C - Retail'!AK105</f>
        <v>7596791.181016949</v>
      </c>
      <c r="AE69" s="19">
        <f>'D2C - Retail'!AL105</f>
        <v>7967068.5741525432</v>
      </c>
      <c r="AF69" s="19">
        <f>'D2C - Retail'!AM105</f>
        <v>9381201.4791525435</v>
      </c>
      <c r="AG69" s="19">
        <f>'D2C - Retail'!AN105</f>
        <v>9045001</v>
      </c>
      <c r="AH69" s="19">
        <f>'D2C - Retail'!AO105</f>
        <v>9356313</v>
      </c>
      <c r="AI69" s="19">
        <f>'D2C - Retail'!AP105</f>
        <v>8190096</v>
      </c>
      <c r="AJ69" s="19">
        <f>'D2C - Retail'!AQ105</f>
        <v>8417901</v>
      </c>
      <c r="AK69" s="19">
        <f>'D2C - Retail'!AR105</f>
        <v>6659183</v>
      </c>
      <c r="AL69" s="19">
        <f>'D2C - Retail'!AS105</f>
        <v>6770948</v>
      </c>
      <c r="AM69" s="19">
        <f>'D2C - Retail'!AT105</f>
        <v>7543142.6800000099</v>
      </c>
      <c r="AN69" s="19">
        <f>'D2C - Retail'!AU105</f>
        <v>6915080</v>
      </c>
      <c r="AO69" s="19">
        <f>'D2C - Retail'!AV105</f>
        <v>7824016.2881355938</v>
      </c>
      <c r="AP69" s="19">
        <f>'D2C - Retail'!AW105</f>
        <v>9098050</v>
      </c>
      <c r="AQ69" s="19">
        <f>'D2C - Retail'!AX105</f>
        <v>8587754.8474576399</v>
      </c>
      <c r="AR69" s="19">
        <f>'D2C - Retail'!AY105</f>
        <v>8912585.3599999994</v>
      </c>
      <c r="AS69" s="19">
        <f>'D2C - Retail'!AZ105</f>
        <v>9777810.0338983089</v>
      </c>
      <c r="AT69" s="19">
        <f>'D2C - Retail'!BA105</f>
        <v>9622882.1610169467</v>
      </c>
      <c r="AU69" s="19">
        <f>'D2C - Retail'!BB105</f>
        <v>9414839.762711864</v>
      </c>
      <c r="AV69" s="19">
        <f>'D2C - Retail'!BC105</f>
        <v>9449536.4830508474</v>
      </c>
      <c r="AW69" s="19">
        <f>'D2C - Retail'!BD105</f>
        <v>9067613.152542375</v>
      </c>
      <c r="AX69" s="19">
        <f>'D2C - Retail'!BE105</f>
        <v>11020478.90677966</v>
      </c>
      <c r="AY69" s="19">
        <f>'D2C - Retail'!BF105</f>
        <v>9950606.8644067775</v>
      </c>
      <c r="AZ69" s="19">
        <f>'D2C - Retail'!BG105</f>
        <v>8471241.5338983033</v>
      </c>
      <c r="BA69" s="19">
        <f>'D2C - Retail'!BH105</f>
        <v>11503485.101694912</v>
      </c>
      <c r="BB69" s="19">
        <f>'D2C - Retail'!BI105</f>
        <v>10441750.262711899</v>
      </c>
      <c r="BC69" s="19">
        <f>'D2C - Retail'!BJ105</f>
        <v>10507442.652542373</v>
      </c>
      <c r="BD69" s="19">
        <f>'D2C - Retail'!BK105</f>
        <v>10533246.16101695</v>
      </c>
      <c r="BE69" s="19">
        <f>'D2C - Retail'!BL105</f>
        <v>12272744.23728814</v>
      </c>
      <c r="BF69" s="19">
        <f>'D2C - Retail'!BM105</f>
        <v>14696501.745762713</v>
      </c>
      <c r="BG69" s="19">
        <f>'D2C - Retail'!BN105</f>
        <v>12260923.950000001</v>
      </c>
      <c r="BH69" s="19">
        <f>'D2C - Retail'!BO105</f>
        <v>12736403.220000001</v>
      </c>
      <c r="BI69" s="19">
        <f>'D2C - Retail'!BP105</f>
        <v>13118044.939999999</v>
      </c>
      <c r="BJ69" s="19">
        <f>'D2C - Retail'!BQ105</f>
        <v>15285503.109999999</v>
      </c>
      <c r="BK69" s="19">
        <f>'D2C - Retail'!BR105</f>
        <v>15699652.48</v>
      </c>
      <c r="BL69" s="19">
        <f>'D2C - Retail'!BS105</f>
        <v>15065057.01</v>
      </c>
      <c r="BM69" s="19">
        <f>'D2C - Retail'!BT105</f>
        <v>24705811.659999996</v>
      </c>
      <c r="BN69" s="19">
        <f>'D2C - Retail'!BU105</f>
        <v>15104913.274207599</v>
      </c>
      <c r="BO69" s="19">
        <f>'D2C - Retail'!BV105</f>
        <v>15342961.898395086</v>
      </c>
      <c r="BP69" s="19">
        <f>'D2C - Retail'!BW105</f>
        <v>15589283.929870345</v>
      </c>
      <c r="BQ69" s="19">
        <f>'D2C - Retail'!BX105</f>
        <v>15439093.39455523</v>
      </c>
      <c r="BR69" s="19">
        <f>'D2C - Retail'!BY105</f>
        <v>16108156.434015563</v>
      </c>
      <c r="BS69" s="19">
        <f>'D2C - Retail'!BZ105</f>
        <v>16683986.685881319</v>
      </c>
      <c r="BT69" s="19">
        <f>'D2C - Retail'!CA105</f>
        <v>16012437.684327988</v>
      </c>
      <c r="BU69" s="19">
        <f>'D2C - Retail'!CB105</f>
        <v>16581697.380673328</v>
      </c>
      <c r="BV69" s="19">
        <f>'D2C - Retail'!CC105</f>
        <v>16010257.044997044</v>
      </c>
      <c r="BW69" s="19">
        <f>'D2C - Retail'!CD105</f>
        <v>16056712.541605581</v>
      </c>
      <c r="BX69" s="19">
        <f>'D2C - Retail'!CE105</f>
        <v>16624384.228278521</v>
      </c>
      <c r="BY69" s="19">
        <f>'D2C - Retail'!CF105</f>
        <v>16229610.14013752</v>
      </c>
      <c r="BZ69" s="19">
        <f>'D2C - Retail'!CG105</f>
        <v>16798208.817470707</v>
      </c>
      <c r="CA69" s="19">
        <f>'D2C - Retail'!CH105</f>
        <v>17121929.415023908</v>
      </c>
      <c r="CB69" s="19">
        <f>'D2C - Retail'!CI105</f>
        <v>17314295.606054131</v>
      </c>
      <c r="CC69" s="19">
        <f>'D2C - Retail'!CJ105</f>
        <v>17098742.598326918</v>
      </c>
      <c r="CD69" s="19">
        <f>'D2C - Retail'!CK105</f>
        <v>17871665.251175683</v>
      </c>
      <c r="CE69" s="19">
        <f>'D2C - Retail'!CL105</f>
        <v>18513215.787068401</v>
      </c>
      <c r="CF69" s="19">
        <f>'D2C - Retail'!CM105</f>
        <v>17600106.143066205</v>
      </c>
      <c r="CG69" s="19">
        <f>'D2C - Retail'!CN105</f>
        <v>18183991.512218434</v>
      </c>
      <c r="CH69" s="19">
        <f>'D2C - Retail'!CO105</f>
        <v>17402629.477385834</v>
      </c>
      <c r="CI69" s="19">
        <f>'D2C - Retail'!CP105</f>
        <v>17370380.200249579</v>
      </c>
      <c r="CJ69" s="19">
        <f>'D2C - Retail'!CQ105</f>
        <v>17948562.358516693</v>
      </c>
      <c r="CK69" s="19">
        <f>'D2C - Retail'!CR105</f>
        <v>17246146.075293887</v>
      </c>
      <c r="CL69" s="19">
        <f>'D2C - Retail'!CS105</f>
        <v>18055436.557533458</v>
      </c>
      <c r="CM69" s="19">
        <f>'D2C - Retail'!CT105</f>
        <v>18396256.199832208</v>
      </c>
      <c r="CN69" s="19">
        <f>'D2C - Retail'!CU105</f>
        <v>18596547.360305604</v>
      </c>
      <c r="CO69" s="19">
        <f>'D2C - Retail'!CV105</f>
        <v>18331324.455971349</v>
      </c>
      <c r="CP69" s="19">
        <f>'D2C - Retail'!CW105</f>
        <v>19184049.681484789</v>
      </c>
      <c r="CQ69" s="19">
        <f>'D2C - Retail'!CX105</f>
        <v>19876296.563338678</v>
      </c>
      <c r="CR69" s="19">
        <f>'D2C - Retail'!CY105</f>
        <v>18827116.066421062</v>
      </c>
      <c r="CS69" s="19">
        <f>'D2C - Retail'!CZ105</f>
        <v>19472792.313387718</v>
      </c>
      <c r="CT69" s="19">
        <f>'D2C - Retail'!DA105</f>
        <v>18574535.780806273</v>
      </c>
      <c r="CU69" s="19">
        <f>'D2C - Retail'!DB105</f>
        <v>18528679.711798191</v>
      </c>
      <c r="CV69" s="19">
        <f>'D2C - Retail'!DC105</f>
        <v>19167603.765300654</v>
      </c>
      <c r="CW69" s="19">
        <f>'D2C - Retail'!DD105</f>
        <v>18360210.888061658</v>
      </c>
      <c r="CY69" s="19">
        <f t="shared" si="287"/>
        <v>24945061.234322034</v>
      </c>
      <c r="CZ69" s="19">
        <f t="shared" si="288"/>
        <v>26591410</v>
      </c>
      <c r="DA69" s="19">
        <f t="shared" si="289"/>
        <v>21848032</v>
      </c>
      <c r="DB69" s="19">
        <f t="shared" si="290"/>
        <v>22282238.968135603</v>
      </c>
      <c r="DC69" s="19">
        <f t="shared" si="291"/>
        <v>26598390.207457639</v>
      </c>
      <c r="DD69" s="19">
        <f t="shared" si="292"/>
        <v>28815531.957627121</v>
      </c>
      <c r="DE69" s="19">
        <f t="shared" si="293"/>
        <v>29537628.542372882</v>
      </c>
      <c r="DF69" s="19">
        <f t="shared" si="294"/>
        <v>29925333.499999993</v>
      </c>
      <c r="DG69" s="19">
        <f t="shared" si="295"/>
        <v>31482439.076271221</v>
      </c>
      <c r="DH69" s="19">
        <f t="shared" si="296"/>
        <v>39230169.933050856</v>
      </c>
      <c r="DI69" s="19">
        <f t="shared" si="297"/>
        <v>41139951.269999996</v>
      </c>
      <c r="DJ69" s="19">
        <f t="shared" si="298"/>
        <v>55470521.149999999</v>
      </c>
      <c r="DK69" s="19">
        <f t="shared" si="299"/>
        <v>46037159.102473028</v>
      </c>
      <c r="DL69" s="19">
        <f t="shared" si="300"/>
        <v>48231236.514452107</v>
      </c>
      <c r="DM69" s="19">
        <f t="shared" si="301"/>
        <v>48604392.10999836</v>
      </c>
      <c r="DN69" s="19">
        <f t="shared" si="302"/>
        <v>48910706.910021618</v>
      </c>
      <c r="DO69" s="19">
        <f t="shared" si="303"/>
        <v>51234433.83854875</v>
      </c>
      <c r="DP69" s="19">
        <f t="shared" si="304"/>
        <v>53483623.636571005</v>
      </c>
      <c r="DQ69" s="19">
        <f t="shared" si="305"/>
        <v>53186727.132670477</v>
      </c>
      <c r="DR69" s="19">
        <f t="shared" si="306"/>
        <v>52565088.634060159</v>
      </c>
      <c r="DS69" s="19">
        <f t="shared" si="312"/>
        <v>55048240.117671266</v>
      </c>
      <c r="DT69" s="19">
        <f t="shared" si="313"/>
        <v>57391670.700794816</v>
      </c>
      <c r="DU69" s="19">
        <f t="shared" si="314"/>
        <v>56874444.160615057</v>
      </c>
      <c r="DV69" s="19">
        <f t="shared" si="315"/>
        <v>56056494.365160502</v>
      </c>
      <c r="DX69" s="19">
        <f t="shared" si="307"/>
        <v>95666742.202457637</v>
      </c>
      <c r="DY69" s="19">
        <f t="shared" si="308"/>
        <v>114876884.20745763</v>
      </c>
      <c r="DZ69" s="19">
        <f t="shared" si="309"/>
        <v>167323081.42932206</v>
      </c>
      <c r="EA69" s="19">
        <f t="shared" si="310"/>
        <v>191783494.63694513</v>
      </c>
      <c r="EB69" s="19">
        <f t="shared" si="311"/>
        <v>210469873.24185038</v>
      </c>
      <c r="EC69" s="770">
        <f t="shared" si="316"/>
        <v>225370849.34424165</v>
      </c>
    </row>
    <row r="70" spans="2:133" x14ac:dyDescent="0.2">
      <c r="B70" s="24" t="s">
        <v>140</v>
      </c>
      <c r="C70" s="19">
        <f>'D2C - Retail'!J106</f>
        <v>210836.79661016999</v>
      </c>
      <c r="D70" s="19">
        <f>'D2C - Retail'!K106</f>
        <v>597313.18012711953</v>
      </c>
      <c r="E70" s="19">
        <f>'D2C - Retail'!L106</f>
        <v>380772</v>
      </c>
      <c r="F70" s="19">
        <f>'D2C - Retail'!M106</f>
        <v>194676.57627118658</v>
      </c>
      <c r="G70" s="19">
        <f>'D2C - Retail'!N106</f>
        <v>3912</v>
      </c>
      <c r="H70" s="19">
        <f>'D2C - Retail'!O106</f>
        <v>217590</v>
      </c>
      <c r="I70" s="19">
        <f>'D2C - Retail'!P106</f>
        <v>375592.40677966166</v>
      </c>
      <c r="J70" s="19">
        <f>'D2C - Retail'!Q106</f>
        <v>1055454.0762711952</v>
      </c>
      <c r="K70" s="19">
        <f>'D2C - Retail'!R106</f>
        <v>1270574.3135593217</v>
      </c>
      <c r="L70" s="19">
        <f>'D2C - Retail'!S106</f>
        <v>1325067.9067796662</v>
      </c>
      <c r="M70" s="19">
        <f>'D2C - Retail'!T106</f>
        <v>1606519.5847457757</v>
      </c>
      <c r="N70" s="19">
        <f>'D2C - Retail'!U106</f>
        <v>2230041.5593220489</v>
      </c>
      <c r="O70" s="19">
        <f>'D2C - Retail'!V106</f>
        <v>2125387.432203399</v>
      </c>
      <c r="P70" s="19">
        <f>'D2C - Retail'!W106</f>
        <v>2203991.3305084929</v>
      </c>
      <c r="Q70" s="19">
        <f>'D2C - Retail'!X106</f>
        <v>3282753.6779661272</v>
      </c>
      <c r="R70" s="19">
        <f>'D2C - Retail'!Y106</f>
        <v>2154782.2542372616</v>
      </c>
      <c r="S70" s="19">
        <f>'D2C - Retail'!Z106</f>
        <v>2201423.661016956</v>
      </c>
      <c r="T70" s="19">
        <f>'D2C - Retail'!AA106</f>
        <v>2710450.665932232</v>
      </c>
      <c r="U70" s="19">
        <f>'D2C - Retail'!AB106</f>
        <v>3022649.0847458108</v>
      </c>
      <c r="V70" s="19">
        <f>'D2C - Retail'!AC106</f>
        <v>3611519.3728814237</v>
      </c>
      <c r="W70" s="19">
        <f>'D2C - Retail'!AD106</f>
        <v>3800549.135593276</v>
      </c>
      <c r="X70" s="19">
        <f>'D2C - Retail'!AE106</f>
        <v>3602722.898305133</v>
      </c>
      <c r="Y70" s="19">
        <f>'D2C - Retail'!AF106</f>
        <v>2404328.5762712169</v>
      </c>
      <c r="Z70" s="19">
        <f>'D2C - Retail'!AG106</f>
        <v>3411561.4025075859</v>
      </c>
      <c r="AA70" s="19">
        <f>'D2C - Retail'!AH106</f>
        <v>3991152.9246249441</v>
      </c>
      <c r="AB70" s="19">
        <f>'D2C - Retail'!AI106</f>
        <v>4064564.6144001209</v>
      </c>
      <c r="AC70" s="19">
        <f>'D2C - Retail'!AJ106</f>
        <v>4210914.8621701878</v>
      </c>
      <c r="AD70" s="19">
        <f>'D2C - Retail'!AK106</f>
        <v>4320108.5928791743</v>
      </c>
      <c r="AE70" s="19">
        <f>'D2C - Retail'!AL106</f>
        <v>4423028.9180456558</v>
      </c>
      <c r="AF70" s="19">
        <f>'D2C - Retail'!AM106</f>
        <v>4663889.3482766226</v>
      </c>
      <c r="AG70" s="19">
        <f>'D2C - Retail'!AN106</f>
        <v>4538957.6838828316</v>
      </c>
      <c r="AH70" s="19">
        <f>'D2C - Retail'!AO106</f>
        <v>7160621.2387203481</v>
      </c>
      <c r="AI70" s="19">
        <f>'D2C - Retail'!AP106</f>
        <v>6703465.6512332354</v>
      </c>
      <c r="AJ70" s="19">
        <f>'D2C - Retail'!AQ106</f>
        <v>9477632.0774100609</v>
      </c>
      <c r="AK70" s="19">
        <f>'D2C - Retail'!AR106</f>
        <v>6771629.125630605</v>
      </c>
      <c r="AL70" s="19">
        <f>'D2C - Retail'!AS106</f>
        <v>4814209.8984204624</v>
      </c>
      <c r="AM70" s="19">
        <f>'D2C - Retail'!AT106</f>
        <v>4110303.2962132972</v>
      </c>
      <c r="AN70" s="19">
        <f>'D2C - Retail'!AU106</f>
        <v>4394830.6496485798</v>
      </c>
      <c r="AO70" s="19">
        <f>'D2C - Retail'!AV106</f>
        <v>5506208.2240272742</v>
      </c>
      <c r="AP70" s="19">
        <f>'D2C - Retail'!AW106</f>
        <v>5857230.4102596575</v>
      </c>
      <c r="AQ70" s="19">
        <f>'D2C - Retail'!AX106</f>
        <v>5767176.2222144613</v>
      </c>
      <c r="AR70" s="19">
        <f>'D2C - Retail'!AY106</f>
        <v>6252928.5167485429</v>
      </c>
      <c r="AS70" s="19">
        <f>'D2C - Retail'!AZ106</f>
        <v>6593671.5159045653</v>
      </c>
      <c r="AT70" s="19">
        <f>'D2C - Retail'!BA106</f>
        <v>5098033.4750805767</v>
      </c>
      <c r="AU70" s="19">
        <f>'D2C - Retail'!BB106</f>
        <v>4421647.3555650916</v>
      </c>
      <c r="AV70" s="19">
        <f>'D2C - Retail'!BC106</f>
        <v>7718956.2054269779</v>
      </c>
      <c r="AW70" s="19">
        <f>'D2C - Retail'!BD106</f>
        <v>6309481.7963181045</v>
      </c>
      <c r="AX70" s="19">
        <f>'D2C - Retail'!BE106</f>
        <v>7815553.149586509</v>
      </c>
      <c r="AY70" s="19">
        <f>'D2C - Retail'!BF106</f>
        <v>7398387.2433796432</v>
      </c>
      <c r="AZ70" s="19">
        <f>'D2C - Retail'!BG106</f>
        <v>7334723.1957794409</v>
      </c>
      <c r="BA70" s="19">
        <f>'D2C - Retail'!BH106</f>
        <v>8395846.9253025576</v>
      </c>
      <c r="BB70" s="19">
        <f>'D2C - Retail'!BI106</f>
        <v>7645724.4229185609</v>
      </c>
      <c r="BC70" s="19">
        <f>'D2C - Retail'!BJ106</f>
        <v>8075694.1869826149</v>
      </c>
      <c r="BD70" s="19">
        <f>'D2C - Retail'!BK106</f>
        <v>6063600.6621355666</v>
      </c>
      <c r="BE70" s="19">
        <f>'D2C - Retail'!BL106</f>
        <v>7493476.8000000007</v>
      </c>
      <c r="BF70" s="19">
        <f>'D2C - Retail'!BM106</f>
        <v>7172234.1100000087</v>
      </c>
      <c r="BG70" s="19">
        <f>'D2C - Retail'!BN106</f>
        <v>8821420.2700000014</v>
      </c>
      <c r="BH70" s="19">
        <f>'D2C - Retail'!BO106</f>
        <v>12162627.697322497</v>
      </c>
      <c r="BI70" s="19">
        <f>'D2C - Retail'!BP106</f>
        <v>11109668.729999999</v>
      </c>
      <c r="BJ70" s="19">
        <f>'D2C - Retail'!BQ106</f>
        <v>14705106.519999884</v>
      </c>
      <c r="BK70" s="19">
        <f>'D2C - Retail'!BR106</f>
        <v>12403232.930000007</v>
      </c>
      <c r="BL70" s="19">
        <f>'D2C - Retail'!BS106</f>
        <v>11773996.550000008</v>
      </c>
      <c r="BM70" s="19">
        <f>'D2C - Retail'!BT106</f>
        <v>12361241.8799998</v>
      </c>
      <c r="BN70" s="19">
        <f>'D2C - Retail'!BU106</f>
        <v>11465522.302244177</v>
      </c>
      <c r="BO70" s="19">
        <f>'D2C - Retail'!BV106</f>
        <v>11619458.531631615</v>
      </c>
      <c r="BP70" s="19">
        <f>'D2C - Retail'!BW106</f>
        <v>11792965.088070087</v>
      </c>
      <c r="BQ70" s="19">
        <f>'D2C - Retail'!BX106</f>
        <v>11745692.407510059</v>
      </c>
      <c r="BR70" s="19">
        <f>'D2C - Retail'!BY106</f>
        <v>12138288.809279289</v>
      </c>
      <c r="BS70" s="19">
        <f>'D2C - Retail'!BZ106</f>
        <v>12497848.915801691</v>
      </c>
      <c r="BT70" s="19">
        <f>'D2C - Retail'!CA106</f>
        <v>12180376.884877134</v>
      </c>
      <c r="BU70" s="19">
        <f>'D2C - Retail'!CB106</f>
        <v>12521249.184670128</v>
      </c>
      <c r="BV70" s="19">
        <f>'D2C - Retail'!CC106</f>
        <v>12255659.492361858</v>
      </c>
      <c r="BW70" s="19">
        <f>'D2C - Retail'!CD106</f>
        <v>12310300.62641946</v>
      </c>
      <c r="BX70" s="19">
        <f>'D2C - Retail'!CE106</f>
        <v>12650349.923979554</v>
      </c>
      <c r="BY70" s="19">
        <f>'D2C - Retail'!CF106</f>
        <v>12506884.417389559</v>
      </c>
      <c r="BZ70" s="19">
        <f>'D2C - Retail'!CG106</f>
        <v>12832131.58810948</v>
      </c>
      <c r="CA70" s="19">
        <f>'D2C - Retail'!CH106</f>
        <v>13045750.741978852</v>
      </c>
      <c r="CB70" s="19">
        <f>'D2C - Retail'!CI106</f>
        <v>13176011.583775051</v>
      </c>
      <c r="CC70" s="19">
        <f>'D2C - Retail'!CJ106</f>
        <v>13094864.134264981</v>
      </c>
      <c r="CD70" s="19">
        <f>'D2C - Retail'!CK106</f>
        <v>13541286.84151103</v>
      </c>
      <c r="CE70" s="19">
        <f>'D2C - Retail'!CL106</f>
        <v>13934907.156507621</v>
      </c>
      <c r="CF70" s="19">
        <f>'D2C - Retail'!CM106</f>
        <v>13476961.306077642</v>
      </c>
      <c r="CG70" s="19">
        <f>'D2C - Retail'!CN106</f>
        <v>13810130.960973432</v>
      </c>
      <c r="CH70" s="19">
        <f>'D2C - Retail'!CO106</f>
        <v>13420464.654686198</v>
      </c>
      <c r="CI70" s="19">
        <f>'D2C - Retail'!CP106</f>
        <v>13419033.686629469</v>
      </c>
      <c r="CJ70" s="19">
        <f>'D2C - Retail'!CQ106</f>
        <v>13749247.594230562</v>
      </c>
      <c r="CK70" s="19">
        <f>'D2C - Retail'!CR106</f>
        <v>13400495.730079304</v>
      </c>
      <c r="CL70" s="19">
        <f>'D2C - Retail'!CS106</f>
        <v>13850483.88715554</v>
      </c>
      <c r="CM70" s="19">
        <f>'D2C - Retail'!CT106</f>
        <v>14072964.795616601</v>
      </c>
      <c r="CN70" s="19">
        <f>'D2C - Retail'!CU106</f>
        <v>14207332.833773592</v>
      </c>
      <c r="CO70" s="19">
        <f>'D2C - Retail'!CV106</f>
        <v>14100443.453010861</v>
      </c>
      <c r="CP70" s="19">
        <f>'D2C - Retail'!CW106</f>
        <v>14588224.658656288</v>
      </c>
      <c r="CQ70" s="19">
        <f>'D2C - Retail'!CX106</f>
        <v>15008118.872767629</v>
      </c>
      <c r="CR70" s="19">
        <f>'D2C - Retail'!CY106</f>
        <v>14479652.91296535</v>
      </c>
      <c r="CS70" s="19">
        <f>'D2C - Retail'!CZ106</f>
        <v>14844846.321430117</v>
      </c>
      <c r="CT70" s="19">
        <f>'D2C - Retail'!DA106</f>
        <v>14394598.247705942</v>
      </c>
      <c r="CU70" s="19">
        <f>'D2C - Retail'!DB106</f>
        <v>14386115.420779744</v>
      </c>
      <c r="CV70" s="19">
        <f>'D2C - Retail'!DC106</f>
        <v>14747809.436013738</v>
      </c>
      <c r="CW70" s="19">
        <f>'D2C - Retail'!DD106</f>
        <v>14344652.379766306</v>
      </c>
      <c r="CY70" s="19">
        <f t="shared" si="287"/>
        <v>13407026.859201454</v>
      </c>
      <c r="CZ70" s="19">
        <f t="shared" si="288"/>
        <v>18403044.573836416</v>
      </c>
      <c r="DA70" s="19">
        <f t="shared" si="289"/>
        <v>21063471.101461127</v>
      </c>
      <c r="DB70" s="19">
        <f t="shared" si="290"/>
        <v>14011342.16988915</v>
      </c>
      <c r="DC70" s="19">
        <f t="shared" si="291"/>
        <v>17877335.149222661</v>
      </c>
      <c r="DD70" s="19">
        <f t="shared" si="292"/>
        <v>16113352.346550234</v>
      </c>
      <c r="DE70" s="19">
        <f t="shared" si="293"/>
        <v>21843991.151331592</v>
      </c>
      <c r="DF70" s="19">
        <f t="shared" si="294"/>
        <v>23128957.364461642</v>
      </c>
      <c r="DG70" s="19">
        <f t="shared" si="295"/>
        <v>21785019.272036742</v>
      </c>
      <c r="DH70" s="19">
        <f t="shared" si="296"/>
        <v>23487131.180000011</v>
      </c>
      <c r="DI70" s="19">
        <f t="shared" si="297"/>
        <v>37977402.947322384</v>
      </c>
      <c r="DJ70" s="19">
        <f t="shared" si="298"/>
        <v>36538471.359999813</v>
      </c>
      <c r="DK70" s="19">
        <f t="shared" si="299"/>
        <v>34877945.921945877</v>
      </c>
      <c r="DL70" s="19">
        <f t="shared" si="300"/>
        <v>36381830.132591039</v>
      </c>
      <c r="DM70" s="19">
        <f t="shared" si="301"/>
        <v>36957285.561909124</v>
      </c>
      <c r="DN70" s="19">
        <f t="shared" si="302"/>
        <v>37467534.96778857</v>
      </c>
      <c r="DO70" s="19">
        <f t="shared" si="303"/>
        <v>39053893.913863383</v>
      </c>
      <c r="DP70" s="19">
        <f t="shared" si="304"/>
        <v>40571058.132283628</v>
      </c>
      <c r="DQ70" s="19">
        <f t="shared" si="305"/>
        <v>40707556.921737269</v>
      </c>
      <c r="DR70" s="19">
        <f t="shared" si="306"/>
        <v>40568777.01093933</v>
      </c>
      <c r="DS70" s="19">
        <f t="shared" si="312"/>
        <v>42130781.516545735</v>
      </c>
      <c r="DT70" s="19">
        <f t="shared" si="313"/>
        <v>43696786.984434776</v>
      </c>
      <c r="DU70" s="19">
        <f t="shared" si="314"/>
        <v>43719097.482101411</v>
      </c>
      <c r="DV70" s="19">
        <f t="shared" si="315"/>
        <v>43478577.236559786</v>
      </c>
      <c r="DX70" s="19">
        <f t="shared" si="307"/>
        <v>66884884.704388149</v>
      </c>
      <c r="DY70" s="19">
        <f t="shared" si="308"/>
        <v>78963636.011566132</v>
      </c>
      <c r="DZ70" s="19">
        <f t="shared" si="309"/>
        <v>119788024.75935894</v>
      </c>
      <c r="EA70" s="19">
        <f t="shared" si="310"/>
        <v>145684596.5842346</v>
      </c>
      <c r="EB70" s="19">
        <f t="shared" si="311"/>
        <v>160901285.9788236</v>
      </c>
      <c r="EC70" s="770">
        <f t="shared" si="316"/>
        <v>173025243.21964172</v>
      </c>
    </row>
    <row r="71" spans="2:133" x14ac:dyDescent="0.2">
      <c r="B71" s="155" t="s">
        <v>142</v>
      </c>
      <c r="C71" s="19">
        <f>'D2C - Retail'!J107+'D2C Online'!AA83</f>
        <v>1128380.904249999</v>
      </c>
      <c r="D71" s="19">
        <f>'D2C - Retail'!K107+'D2C Online'!AB83</f>
        <v>1326338.5372000001</v>
      </c>
      <c r="E71" s="19">
        <f>'D2C - Retail'!L107+'D2C Online'!AC83</f>
        <v>1327389.054</v>
      </c>
      <c r="F71" s="19">
        <f>'D2C - Retail'!M107+'D2C Online'!AD83</f>
        <v>1015332.2963566016</v>
      </c>
      <c r="G71" s="19">
        <f>'D2C - Retail'!N107+'D2C Online'!AE83</f>
        <v>431234</v>
      </c>
      <c r="H71" s="19">
        <f>'D2C - Retail'!O107+'D2C Online'!AF83</f>
        <v>1213254.5388199999</v>
      </c>
      <c r="I71" s="19">
        <f>'D2C - Retail'!P107+'D2C Online'!AG83</f>
        <v>1558221.96111</v>
      </c>
      <c r="J71" s="19">
        <f>'D2C - Retail'!Q107+'D2C Online'!AH83</f>
        <v>1850642</v>
      </c>
      <c r="K71" s="19">
        <f>'D2C - Retail'!R107+'D2C Online'!AI83</f>
        <v>2514667.4563859003</v>
      </c>
      <c r="L71" s="19">
        <f>'D2C - Retail'!S107+'D2C Online'!AJ83</f>
        <v>3615935.7680029003</v>
      </c>
      <c r="M71" s="19">
        <f>'D2C - Retail'!T107+'D2C Online'!AK83</f>
        <v>4057801.6713951137</v>
      </c>
      <c r="N71" s="19">
        <f>'D2C - Retail'!U107+'D2C Online'!AL83</f>
        <v>5145612.9642345738</v>
      </c>
      <c r="O71" s="19">
        <f>'D2C - Retail'!V107+'D2C Online'!AM83</f>
        <v>6744937.1015100135</v>
      </c>
      <c r="P71" s="19">
        <f>'D2C - Retail'!W107+'D2C Online'!AN83</f>
        <v>7717628.7551354878</v>
      </c>
      <c r="Q71" s="19">
        <f>'D2C - Retail'!X107+'D2C Online'!AO83</f>
        <v>7569629</v>
      </c>
      <c r="R71" s="19">
        <f>'D2C - Retail'!Y107+'D2C Online'!AP83</f>
        <v>4728537.533065198</v>
      </c>
      <c r="S71" s="19">
        <f>'D2C - Retail'!Z107+'D2C Online'!AQ83</f>
        <v>6729942.4473099904</v>
      </c>
      <c r="T71" s="19">
        <f>'D2C - Retail'!AA107+'D2C Online'!AR83</f>
        <v>10935634.907880023</v>
      </c>
      <c r="U71" s="19">
        <f>'D2C - Retail'!AB107+'D2C Online'!AS83</f>
        <v>9054303.3974200096</v>
      </c>
      <c r="V71" s="19">
        <f>'D2C - Retail'!AC107+'D2C Online'!AT83</f>
        <v>8092722.7253999971</v>
      </c>
      <c r="W71" s="19">
        <f>'D2C - Retail'!AD107+'D2C Online'!AU83</f>
        <v>7258135.225300001</v>
      </c>
      <c r="X71" s="19">
        <f>'D2C - Retail'!AE107+'D2C Online'!AV83</f>
        <v>8218595.0493000029</v>
      </c>
      <c r="Y71" s="19">
        <f>'D2C - Retail'!AF107+'D2C Online'!AW83</f>
        <v>7711340.2016000049</v>
      </c>
      <c r="Z71" s="19">
        <f>'D2C - Retail'!AG107+'D2C Online'!AX83</f>
        <v>8901478.2067560013</v>
      </c>
      <c r="AA71" s="19">
        <f>'D2C - Retail'!AH107+'D2C Online'!AY83</f>
        <v>8514931.4763999898</v>
      </c>
      <c r="AB71" s="19">
        <f>'D2C - Retail'!AI107+'D2C Online'!AZ83</f>
        <v>8081276.2476999816</v>
      </c>
      <c r="AC71" s="19">
        <f>'D2C - Retail'!AJ107+'D2C Online'!BA83</f>
        <v>13552913.795100037</v>
      </c>
      <c r="AD71" s="19">
        <f>'D2C - Retail'!AK107+'D2C Online'!BB83</f>
        <v>16482447.330762822</v>
      </c>
      <c r="AE71" s="19">
        <f>'D2C - Retail'!AL107+'D2C Online'!BC83</f>
        <v>17533049.946779769</v>
      </c>
      <c r="AF71" s="19">
        <f>'D2C - Retail'!AM107+'D2C Online'!BD83</f>
        <v>18567152.323336929</v>
      </c>
      <c r="AG71" s="19">
        <f>'D2C - Retail'!AN107+'D2C Online'!BE83</f>
        <v>12771418.813390527</v>
      </c>
      <c r="AH71" s="19">
        <f>'D2C - Retail'!AO107+'D2C Online'!BF83</f>
        <v>17515529.09314356</v>
      </c>
      <c r="AI71" s="19">
        <f>'D2C - Retail'!AP107+'D2C Online'!BG83</f>
        <v>18896997.472311616</v>
      </c>
      <c r="AJ71" s="19">
        <f>'D2C - Retail'!AQ107+'D2C Online'!BH83</f>
        <v>26290364.851186283</v>
      </c>
      <c r="AK71" s="19">
        <f>'D2C - Retail'!AR107+'D2C Online'!BI83</f>
        <v>23533322.439152658</v>
      </c>
      <c r="AL71" s="19">
        <f>'D2C - Retail'!AS107+'D2C Online'!BJ83</f>
        <v>22946479.806102492</v>
      </c>
      <c r="AM71" s="19">
        <f>'D2C - Retail'!AT107+'D2C Online'!BK83</f>
        <v>25679931.70915268</v>
      </c>
      <c r="AN71" s="19">
        <f>'D2C - Retail'!AU107+'D2C Online'!BL83</f>
        <v>21456790.949999988</v>
      </c>
      <c r="AO71" s="19">
        <f>'D2C - Retail'!AV107+'D2C Online'!BM83</f>
        <v>30067777.906779662</v>
      </c>
      <c r="AP71" s="19">
        <f>'D2C - Retail'!AW107+'D2C Online'!BN83</f>
        <v>27897990.31830528</v>
      </c>
      <c r="AQ71" s="19">
        <f>'D2C - Retail'!AX107+'D2C Online'!BO83</f>
        <v>28310220.405084766</v>
      </c>
      <c r="AR71" s="19">
        <f>'D2C - Retail'!AY107+'D2C Online'!BP83</f>
        <v>32434045.452033937</v>
      </c>
      <c r="AS71" s="19">
        <f>'D2C - Retail'!AZ107+'D2C Online'!BQ83</f>
        <v>34786191.690508544</v>
      </c>
      <c r="AT71" s="19">
        <f>'D2C - Retail'!BA107+'D2C Online'!BR83</f>
        <v>30651712.482915256</v>
      </c>
      <c r="AU71" s="19">
        <f>'D2C - Retail'!BB107+'D2C Online'!BS83</f>
        <v>29747706.088644255</v>
      </c>
      <c r="AV71" s="19">
        <f>'D2C - Retail'!BC107+'D2C Online'!BT83</f>
        <v>25081242.031355884</v>
      </c>
      <c r="AW71" s="19">
        <f>'D2C - Retail'!BD107+'D2C Online'!BU83</f>
        <v>21939280.608474523</v>
      </c>
      <c r="AX71" s="19">
        <f>'D2C - Retail'!BE107+'D2C Online'!BV83</f>
        <v>29777728.703390129</v>
      </c>
      <c r="AY71" s="19">
        <f>'D2C - Retail'!BF107+'D2C Online'!BW83</f>
        <v>32652781.287288114</v>
      </c>
      <c r="AZ71" s="19">
        <f>'D2C - Retail'!BG107+'D2C Online'!BX83</f>
        <v>30273373.649561316</v>
      </c>
      <c r="BA71" s="19">
        <f>'D2C - Retail'!BH107+'D2C Online'!BY83</f>
        <v>41670035.591386408</v>
      </c>
      <c r="BB71" s="19">
        <f>'D2C - Retail'!BI107+'D2C Online'!BZ83</f>
        <v>35649952.824313968</v>
      </c>
      <c r="BC71" s="19">
        <f>'D2C - Retail'!BJ107+'D2C Online'!CA83</f>
        <v>32071671.440886982</v>
      </c>
      <c r="BD71" s="19">
        <f>'D2C - Retail'!BK107+'D2C Online'!CB83</f>
        <v>33480658.055562995</v>
      </c>
      <c r="BE71" s="19">
        <f>'D2C - Retail'!BL107+'D2C Online'!CC83</f>
        <v>38233508.19491525</v>
      </c>
      <c r="BF71" s="19">
        <f>'D2C - Retail'!BM107+'D2C Online'!CD83</f>
        <v>38259536.161017008</v>
      </c>
      <c r="BG71" s="19">
        <f>'D2C - Retail'!BN107+'D2C Online'!CE83</f>
        <v>43588479.483050793</v>
      </c>
      <c r="BH71" s="19">
        <f>'D2C - Retail'!BO107+'D2C Online'!CF83</f>
        <v>42950905.228813522</v>
      </c>
      <c r="BI71" s="19">
        <f>'D2C - Retail'!BP107+'D2C Online'!CG83</f>
        <v>37133228.483050868</v>
      </c>
      <c r="BJ71" s="19">
        <f>'D2C - Retail'!BQ107+'D2C Online'!CH83</f>
        <v>57429440.915254265</v>
      </c>
      <c r="BK71" s="19">
        <f>'D2C - Retail'!BR107+'D2C Online'!CI83</f>
        <v>67350975.74576278</v>
      </c>
      <c r="BL71" s="19">
        <f>'D2C - Retail'!BS107+'D2C Online'!CJ83</f>
        <v>60607141.537674695</v>
      </c>
      <c r="BM71" s="19">
        <f>'D2C - Retail'!BT107+'D2C Online'!CK83</f>
        <v>71269603.966207922</v>
      </c>
      <c r="BN71" s="19">
        <f>'D2C - Retail'!BU107+'D2C Online'!CL83</f>
        <v>52940211.173115514</v>
      </c>
      <c r="BO71" s="19">
        <f>'D2C - Retail'!BV107+'D2C Online'!CM83</f>
        <v>52621514.305700406</v>
      </c>
      <c r="BP71" s="19">
        <f>'D2C - Retail'!BW107+'D2C Online'!CN83</f>
        <v>52517665.47565721</v>
      </c>
      <c r="BQ71" s="19">
        <f>'D2C - Retail'!BX107+'D2C Online'!CO83</f>
        <v>55173143.524726622</v>
      </c>
      <c r="BR71" s="19">
        <f>'D2C - Retail'!BY107+'D2C Online'!CP83</f>
        <v>50391494.490802601</v>
      </c>
      <c r="BS71" s="19">
        <f>'D2C - Retail'!BZ107+'D2C Online'!CQ83</f>
        <v>50938983.154516838</v>
      </c>
      <c r="BT71" s="19">
        <f>'D2C - Retail'!CA107+'D2C Online'!CR83</f>
        <v>56194538.207227893</v>
      </c>
      <c r="BU71" s="19">
        <f>'D2C - Retail'!CB107+'D2C Online'!CS83</f>
        <v>53816431.737656675</v>
      </c>
      <c r="BV71" s="19">
        <f>'D2C - Retail'!CC107+'D2C Online'!CT83</f>
        <v>65506564.163219512</v>
      </c>
      <c r="BW71" s="19">
        <f>'D2C - Retail'!CD107+'D2C Online'!CU83</f>
        <v>68974712.464991271</v>
      </c>
      <c r="BX71" s="19">
        <f>'D2C - Retail'!CE107+'D2C Online'!CV83</f>
        <v>61257469.750877917</v>
      </c>
      <c r="BY71" s="19">
        <f>'D2C - Retail'!CF107+'D2C Online'!CW83</f>
        <v>68988142.172757506</v>
      </c>
      <c r="BZ71" s="19">
        <f>'D2C - Retail'!CG107+'D2C Online'!CX83</f>
        <v>65038007.722087361</v>
      </c>
      <c r="CA71" s="19">
        <f>'D2C - Retail'!CH107+'D2C Online'!CY83</f>
        <v>64711864.47126694</v>
      </c>
      <c r="CB71" s="19">
        <f>'D2C - Retail'!CI107+'D2C Online'!CZ83</f>
        <v>64421969.914036334</v>
      </c>
      <c r="CC71" s="19">
        <f>'D2C - Retail'!CJ107+'D2C Online'!DA83</f>
        <v>67686161.781625584</v>
      </c>
      <c r="CD71" s="19">
        <f>'D2C - Retail'!CK107+'D2C Online'!DB83</f>
        <v>61746557.35376963</v>
      </c>
      <c r="CE71" s="19">
        <f>'D2C - Retail'!CL107+'D2C Online'!DC83</f>
        <v>62285981.996514663</v>
      </c>
      <c r="CF71" s="19">
        <f>'D2C - Retail'!CM107+'D2C Online'!DD83</f>
        <v>68690031.644524813</v>
      </c>
      <c r="CG71" s="19">
        <f>'D2C - Retail'!CN107+'D2C Online'!DE83</f>
        <v>65594973.193383843</v>
      </c>
      <c r="CH71" s="19">
        <f>'D2C - Retail'!CO107+'D2C Online'!DF83</f>
        <v>79673394.633218408</v>
      </c>
      <c r="CI71" s="19">
        <f>'D2C - Retail'!CP107+'D2C Online'!DG83</f>
        <v>83710917.1623483</v>
      </c>
      <c r="CJ71" s="19">
        <f>'D2C - Retail'!CQ107+'D2C Online'!DH83</f>
        <v>74197202.845403627</v>
      </c>
      <c r="CK71" s="19">
        <f>'D2C - Retail'!CR107+'D2C Online'!DI83</f>
        <v>83085824.633585855</v>
      </c>
      <c r="CL71" s="19">
        <f>'D2C - Retail'!CS107+'D2C Online'!DJ83</f>
        <v>78308072.021484047</v>
      </c>
      <c r="CM71" s="19">
        <f>'D2C - Retail'!CT107+'D2C Online'!DK83</f>
        <v>77884923.643505424</v>
      </c>
      <c r="CN71" s="19">
        <f>'D2C - Retail'!CU107+'D2C Online'!DL83</f>
        <v>77514989.05755201</v>
      </c>
      <c r="CO71" s="19">
        <f>'D2C - Retail'!CV107+'D2C Online'!DM83</f>
        <v>81408592.123151153</v>
      </c>
      <c r="CP71" s="19">
        <f>'D2C - Retail'!CW107+'D2C Online'!DN83</f>
        <v>74243663.313408732</v>
      </c>
      <c r="CQ71" s="19">
        <f>'D2C - Retail'!CX107+'D2C Online'!DO83</f>
        <v>74883916.129068524</v>
      </c>
      <c r="CR71" s="19">
        <f>'D2C - Retail'!CY107+'D2C Online'!DP83</f>
        <v>82518262.171321377</v>
      </c>
      <c r="CS71" s="19">
        <f>'D2C - Retail'!CZ107+'D2C Online'!DQ83</f>
        <v>78799010.393253565</v>
      </c>
      <c r="CT71" s="19">
        <f>'D2C - Retail'!DA107+'D2C Online'!DR83</f>
        <v>95704728.886878639</v>
      </c>
      <c r="CU71" s="19">
        <f>'D2C - Retail'!DB107+'D2C Online'!DS83</f>
        <v>100556870.16188121</v>
      </c>
      <c r="CV71" s="19">
        <f>'D2C - Retail'!DC107+'D2C Online'!DT83</f>
        <v>89088600.528537989</v>
      </c>
      <c r="CW71" s="19">
        <f>'D2C - Retail'!DD107+'D2C Online'!DU83</f>
        <v>99727042.903503045</v>
      </c>
      <c r="CY71" s="19">
        <f t="shared" si="287"/>
        <v>52582649.60087952</v>
      </c>
      <c r="CZ71" s="19">
        <f t="shared" si="288"/>
        <v>49183945.378845707</v>
      </c>
      <c r="DA71" s="19">
        <f t="shared" si="289"/>
        <v>72770167.096441433</v>
      </c>
      <c r="DB71" s="19">
        <f t="shared" si="290"/>
        <v>77204500.565932333</v>
      </c>
      <c r="DC71" s="19">
        <f t="shared" si="291"/>
        <v>88642256.17542398</v>
      </c>
      <c r="DD71" s="19">
        <f t="shared" si="292"/>
        <v>95185610.262068048</v>
      </c>
      <c r="DE71" s="19">
        <f t="shared" si="293"/>
        <v>76798251.343220532</v>
      </c>
      <c r="DF71" s="19">
        <f t="shared" si="294"/>
        <v>104596190.52823584</v>
      </c>
      <c r="DG71" s="19">
        <f t="shared" si="295"/>
        <v>101202282.32076395</v>
      </c>
      <c r="DH71" s="19">
        <f t="shared" si="296"/>
        <v>120081523.83898306</v>
      </c>
      <c r="DI71" s="19">
        <f t="shared" si="297"/>
        <v>137513574.62711865</v>
      </c>
      <c r="DJ71" s="19">
        <f t="shared" si="298"/>
        <v>199227721.24964541</v>
      </c>
      <c r="DK71" s="19">
        <f t="shared" si="299"/>
        <v>158079390.95447314</v>
      </c>
      <c r="DL71" s="19">
        <f t="shared" si="300"/>
        <v>156503621.17004606</v>
      </c>
      <c r="DM71" s="19">
        <f t="shared" si="301"/>
        <v>175517534.10810408</v>
      </c>
      <c r="DN71" s="19">
        <f t="shared" si="302"/>
        <v>199220324.38862669</v>
      </c>
      <c r="DO71" s="19">
        <f t="shared" si="303"/>
        <v>194171842.10739064</v>
      </c>
      <c r="DP71" s="19">
        <f t="shared" si="304"/>
        <v>191718701.13190988</v>
      </c>
      <c r="DQ71" s="19">
        <f t="shared" si="305"/>
        <v>213958399.47112706</v>
      </c>
      <c r="DR71" s="19">
        <f t="shared" si="306"/>
        <v>240993944.64133781</v>
      </c>
      <c r="DS71" s="19">
        <f t="shared" si="312"/>
        <v>233707984.72254148</v>
      </c>
      <c r="DT71" s="19">
        <f t="shared" si="313"/>
        <v>230536171.56562841</v>
      </c>
      <c r="DU71" s="19">
        <f t="shared" si="314"/>
        <v>257022001.4514536</v>
      </c>
      <c r="DV71" s="19">
        <f t="shared" si="315"/>
        <v>289372513.59392226</v>
      </c>
      <c r="DX71" s="19">
        <f t="shared" si="307"/>
        <v>251741262.64209899</v>
      </c>
      <c r="DY71" s="19">
        <f t="shared" si="308"/>
        <v>365222308.3089484</v>
      </c>
      <c r="DZ71" s="19">
        <f t="shared" si="309"/>
        <v>558025102.03651106</v>
      </c>
      <c r="EA71" s="19">
        <f t="shared" si="310"/>
        <v>689320870.62125003</v>
      </c>
      <c r="EB71" s="19">
        <f t="shared" si="311"/>
        <v>840842887.35176539</v>
      </c>
      <c r="EC71" s="770">
        <f t="shared" si="316"/>
        <v>1010638671.3335457</v>
      </c>
    </row>
    <row r="72" spans="2:133" x14ac:dyDescent="0.2">
      <c r="B72" s="167" t="s">
        <v>22</v>
      </c>
      <c r="C72" s="19">
        <f>'D2C - Retail'!J110+'D2C Online'!AA84</f>
        <v>0</v>
      </c>
      <c r="D72" s="19">
        <f>'D2C - Retail'!K110+'D2C Online'!AB84</f>
        <v>0</v>
      </c>
      <c r="E72" s="19">
        <f>'D2C - Retail'!L110+'D2C Online'!AC84</f>
        <v>0</v>
      </c>
      <c r="F72" s="19">
        <f>'D2C - Retail'!M110+'D2C Online'!AD84</f>
        <v>0</v>
      </c>
      <c r="G72" s="19">
        <f>'D2C - Retail'!N110+'D2C Online'!AE84</f>
        <v>0</v>
      </c>
      <c r="H72" s="19">
        <f>'D2C - Retail'!O110+'D2C Online'!AF84</f>
        <v>0</v>
      </c>
      <c r="I72" s="19">
        <f>'D2C - Retail'!P110+'D2C Online'!AG84</f>
        <v>0</v>
      </c>
      <c r="J72" s="19">
        <f>'D2C - Retail'!Q110+'D2C Online'!AH84</f>
        <v>0</v>
      </c>
      <c r="K72" s="19">
        <f>'D2C - Retail'!R110+'D2C Online'!AI84</f>
        <v>0</v>
      </c>
      <c r="L72" s="19">
        <f>'D2C - Retail'!S110+'D2C Online'!AJ84</f>
        <v>0</v>
      </c>
      <c r="M72" s="19">
        <f>'D2C - Retail'!T110+'D2C Online'!AK84</f>
        <v>0</v>
      </c>
      <c r="N72" s="19">
        <f>'D2C - Retail'!U110+'D2C Online'!AL84</f>
        <v>0</v>
      </c>
      <c r="O72" s="19">
        <f>'D2C - Retail'!V110+'D2C Online'!AM84</f>
        <v>0</v>
      </c>
      <c r="P72" s="19">
        <f>'D2C - Retail'!W110+'D2C Online'!AN84</f>
        <v>0</v>
      </c>
      <c r="Q72" s="19">
        <f>'D2C - Retail'!X110+'D2C Online'!AO84</f>
        <v>0</v>
      </c>
      <c r="R72" s="19">
        <f>'D2C - Retail'!Y110+'D2C Online'!AP84</f>
        <v>0</v>
      </c>
      <c r="S72" s="19">
        <f>'D2C - Retail'!Z110+'D2C Online'!AQ84</f>
        <v>0</v>
      </c>
      <c r="T72" s="19">
        <f>'D2C - Retail'!AA110+'D2C Online'!AR84</f>
        <v>0</v>
      </c>
      <c r="U72" s="19">
        <f>'D2C - Retail'!AB110+'D2C Online'!AS84</f>
        <v>0</v>
      </c>
      <c r="V72" s="19">
        <f>'D2C - Retail'!AC110+'D2C Online'!AT84</f>
        <v>0</v>
      </c>
      <c r="W72" s="19">
        <f>'D2C - Retail'!AD110+'D2C Online'!AU84</f>
        <v>1285667.3831111719</v>
      </c>
      <c r="X72" s="19">
        <f>'D2C - Retail'!AE110+'D2C Online'!AV84</f>
        <v>1247860.7435145634</v>
      </c>
      <c r="Y72" s="19">
        <f>'D2C - Retail'!AF110+'D2C Online'!AW84</f>
        <v>1037967.3634015401</v>
      </c>
      <c r="Z72" s="19">
        <f>'D2C - Retail'!AG110+'D2C Online'!AX84</f>
        <v>1532179.8017247568</v>
      </c>
      <c r="AA72" s="19">
        <f>'D2C - Retail'!AH110+'D2C Online'!AY84</f>
        <v>1099642.7795012791</v>
      </c>
      <c r="AB72" s="19">
        <f>'D2C - Retail'!AI110+'D2C Online'!AZ84</f>
        <v>2372422.8647868535</v>
      </c>
      <c r="AC72" s="19">
        <f>'D2C - Retail'!AJ110+'D2C Online'!BA84</f>
        <v>2739588.504526881</v>
      </c>
      <c r="AD72" s="19">
        <f>'D2C - Retail'!AK110+'D2C Online'!BB84</f>
        <v>4125915.5746235941</v>
      </c>
      <c r="AE72" s="19">
        <f>'D2C - Retail'!AL110+'D2C Online'!BC84</f>
        <v>6046784.4317372302</v>
      </c>
      <c r="AF72" s="19">
        <f>'D2C - Retail'!AM110+'D2C Online'!BD84</f>
        <v>6866565.8903574022</v>
      </c>
      <c r="AG72" s="19">
        <f>'D2C - Retail'!AN110+'D2C Online'!BE84</f>
        <v>5924113.720032189</v>
      </c>
      <c r="AH72" s="19">
        <f>'D2C - Retail'!AO110+'D2C Online'!BF84</f>
        <v>6253429.6199570037</v>
      </c>
      <c r="AI72" s="19">
        <f>'D2C - Retail'!AP110+'D2C Online'!BG84</f>
        <v>3018612.2131831255</v>
      </c>
      <c r="AJ72" s="19">
        <f>'D2C - Retail'!AQ110+'D2C Online'!BH84</f>
        <v>7044450.8657132518</v>
      </c>
      <c r="AK72" s="19">
        <f>'D2C - Retail'!AR110+'D2C Online'!BI84</f>
        <v>4932368.603089652</v>
      </c>
      <c r="AL72" s="19">
        <f>'D2C - Retail'!AS110+'D2C Online'!BJ84</f>
        <v>3778087.903634531</v>
      </c>
      <c r="AM72" s="19">
        <f>'D2C - Retail'!AT110+'D2C Online'!BK84</f>
        <v>4527050.7201855257</v>
      </c>
      <c r="AN72" s="19">
        <f>'D2C - Retail'!AU110+'D2C Online'!BL84</f>
        <v>3189905.8978852797</v>
      </c>
      <c r="AO72" s="19">
        <f>'D2C - Retail'!AV110+'D2C Online'!BM84</f>
        <v>3929792.1920057572</v>
      </c>
      <c r="AP72" s="19">
        <f>'D2C - Retail'!AW110+'D2C Online'!BN84</f>
        <v>3148756.7136107539</v>
      </c>
      <c r="AQ72" s="19">
        <f>'D2C - Retail'!AX110+'D2C Online'!BO84</f>
        <v>2163643.4459893145</v>
      </c>
      <c r="AR72" s="19">
        <f>'D2C - Retail'!AY110+'D2C Online'!BP84</f>
        <v>3234896.5801205346</v>
      </c>
      <c r="AS72" s="19">
        <f>'D2C - Retail'!AZ110+'D2C Online'!BQ84</f>
        <v>1273381.5548752206</v>
      </c>
      <c r="AT72" s="19">
        <f>'D2C - Retail'!BA110+'D2C Online'!BR84</f>
        <v>1232861.7188599594</v>
      </c>
      <c r="AU72" s="19">
        <f>'D2C - Retail'!BB110+'D2C Online'!BS84</f>
        <v>1225747.2277525119</v>
      </c>
      <c r="AV72" s="19">
        <f>'D2C - Retail'!BC110+'D2C Online'!BT84</f>
        <v>2613217.3293188736</v>
      </c>
      <c r="AW72" s="19">
        <f>'D2C - Retail'!BD110+'D2C Online'!BU84</f>
        <v>1446113.0613854008</v>
      </c>
      <c r="AX72" s="19">
        <f>'D2C - Retail'!BE110+'D2C Online'!BV84</f>
        <v>2437949.0996376202</v>
      </c>
      <c r="AY72" s="19">
        <f>'D2C - Retail'!BF110+'D2C Online'!BW84</f>
        <v>2320910.4798699222</v>
      </c>
      <c r="AZ72" s="19">
        <f>'D2C - Retail'!BG110+'D2C Online'!BX84</f>
        <v>2536035.8904065015</v>
      </c>
      <c r="BA72" s="19">
        <f>'D2C - Retail'!BH110+'D2C Online'!BY84</f>
        <v>2358029.3243189761</v>
      </c>
      <c r="BB72" s="19">
        <f>'D2C - Retail'!BI110+'D2C Online'!BZ84</f>
        <v>2586452.0619802959</v>
      </c>
      <c r="BC72" s="19">
        <f>'D2C - Retail'!BJ110+'D2C Online'!CA84</f>
        <v>2267972.9305282226</v>
      </c>
      <c r="BD72" s="19">
        <f>'D2C - Retail'!BK110+'D2C Online'!CB84</f>
        <v>1916676.8614586138</v>
      </c>
      <c r="BE72" s="19">
        <f>'D2C - Retail'!BL110+'D2C Online'!CC84</f>
        <v>3015867.2664904692</v>
      </c>
      <c r="BF72" s="19">
        <f>'D2C - Retail'!BM110+'D2C Online'!CD84</f>
        <v>2559521.9796221266</v>
      </c>
      <c r="BG72" s="19">
        <f>'D2C - Retail'!BN110+'D2C Online'!CE84</f>
        <v>2905407.9124035025</v>
      </c>
      <c r="BH72" s="19">
        <f>'D2C - Retail'!BO110+'D2C Online'!CF84</f>
        <v>1424982.175000699</v>
      </c>
      <c r="BI72" s="19">
        <f>'D2C - Retail'!BP110+'D2C Online'!CG84</f>
        <v>1711305.7855558936</v>
      </c>
      <c r="BJ72" s="19">
        <f>'D2C - Retail'!BQ110+'D2C Online'!CH84</f>
        <v>1757045.3336585565</v>
      </c>
      <c r="BK72" s="19">
        <f>'D2C - Retail'!BR110+'D2C Online'!CI84</f>
        <v>3410115.7672281191</v>
      </c>
      <c r="BL72" s="19">
        <f>'D2C - Retail'!BS110+'D2C Online'!CJ84</f>
        <v>3342264.7573244264</v>
      </c>
      <c r="BM72" s="19">
        <f>'D2C - Retail'!BT110+'D2C Online'!CK84</f>
        <v>4381139.3644823376</v>
      </c>
      <c r="BN72" s="19">
        <f>'D2C - Retail'!BU110+'D2C Online'!CL84</f>
        <v>3349479.619683722</v>
      </c>
      <c r="BO72" s="19">
        <f>'D2C - Retail'!BV110+'D2C Online'!CM84</f>
        <v>3325608.2820411786</v>
      </c>
      <c r="BP72" s="19">
        <f>'D2C - Retail'!BW110+'D2C Online'!CN84</f>
        <v>3320712.2385997716</v>
      </c>
      <c r="BQ72" s="19">
        <f>'D2C - Retail'!BX110+'D2C Online'!CO84</f>
        <v>3495165.9801089847</v>
      </c>
      <c r="BR72" s="19">
        <f>'D2C - Retail'!BY110+'D2C Online'!CP84</f>
        <v>3196427.9156839689</v>
      </c>
      <c r="BS72" s="19">
        <f>'D2C - Retail'!BZ110+'D2C Online'!CQ84</f>
        <v>3203208.2686981894</v>
      </c>
      <c r="BT72" s="19">
        <f>'D2C - Retail'!CA110+'D2C Online'!CR84</f>
        <v>3568555.3094405597</v>
      </c>
      <c r="BU72" s="19">
        <f>'D2C - Retail'!CB110+'D2C Online'!CS84</f>
        <v>3409497.5912970267</v>
      </c>
      <c r="BV72" s="19">
        <f>'D2C - Retail'!CC110+'D2C Online'!CT84</f>
        <v>4113431.892057199</v>
      </c>
      <c r="BW72" s="19">
        <f>'D2C - Retail'!CD110+'D2C Online'!CU84</f>
        <v>4312937.0572955692</v>
      </c>
      <c r="BX72" s="19">
        <f>'D2C - Retail'!CE110+'D2C Online'!CV84</f>
        <v>3865091.46418628</v>
      </c>
      <c r="BY72" s="19">
        <f>'D2C - Retail'!CF110+'D2C Online'!CW84</f>
        <v>4354033.8033809979</v>
      </c>
      <c r="BZ72" s="19">
        <f>'D2C - Retail'!CG110+'D2C Online'!CX84</f>
        <v>4039498.3572265459</v>
      </c>
      <c r="CA72" s="19">
        <f>'D2C - Retail'!CH110+'D2C Online'!CY84</f>
        <v>4015361.6151252114</v>
      </c>
      <c r="CB72" s="19">
        <f>'D2C - Retail'!CI110+'D2C Online'!CZ84</f>
        <v>3997705.9765106263</v>
      </c>
      <c r="CC72" s="19">
        <f>'D2C - Retail'!CJ110+'D2C Online'!DA84</f>
        <v>4208433.719609159</v>
      </c>
      <c r="CD72" s="19">
        <f>'D2C - Retail'!CK110+'D2C Online'!DB84</f>
        <v>3842569.5387144852</v>
      </c>
      <c r="CE72" s="19">
        <f>'D2C - Retail'!CL110+'D2C Online'!DC84</f>
        <v>3841673.7924236059</v>
      </c>
      <c r="CF72" s="19">
        <f>'D2C - Retail'!CM110+'D2C Online'!DD84</f>
        <v>4278759.6462446619</v>
      </c>
      <c r="CG72" s="19">
        <f>'D2C - Retail'!CN110+'D2C Online'!DE84</f>
        <v>4074074.8991914056</v>
      </c>
      <c r="CH72" s="19">
        <f>'D2C - Retail'!CO110+'D2C Online'!DF84</f>
        <v>4905742.8848377056</v>
      </c>
      <c r="CI72" s="19">
        <f>'D2C - Retail'!CP110+'D2C Online'!DG84</f>
        <v>5131450.745873834</v>
      </c>
      <c r="CJ72" s="19">
        <f>'D2C - Retail'!CQ110+'D2C Online'!DH84</f>
        <v>4586575.9494607449</v>
      </c>
      <c r="CK72" s="19">
        <f>'D2C - Retail'!CR110+'D2C Online'!DI84</f>
        <v>5135049.6918373983</v>
      </c>
      <c r="CL72" s="19">
        <f>'D2C - Retail'!CS110+'D2C Online'!DJ84</f>
        <v>4681299.235162314</v>
      </c>
      <c r="CM72" s="19">
        <f>'D2C - Retail'!CT110+'D2C Online'!DK84</f>
        <v>4652030.3235520413</v>
      </c>
      <c r="CN72" s="19">
        <f>'D2C - Retail'!CU110+'D2C Online'!DL84</f>
        <v>4630245.8658933938</v>
      </c>
      <c r="CO72" s="19">
        <f>'D2C - Retail'!CV110+'D2C Online'!DM84</f>
        <v>4870295.9362573354</v>
      </c>
      <c r="CP72" s="19">
        <f>'D2C - Retail'!CW110+'D2C Online'!DN84</f>
        <v>4446169.5298157511</v>
      </c>
      <c r="CQ72" s="19">
        <f>'D2C - Retail'!CX110+'D2C Online'!DO84</f>
        <v>4449529.3930813298</v>
      </c>
      <c r="CR72" s="19">
        <f>'D2C - Retail'!CY110+'D2C Online'!DP84</f>
        <v>4944116.9690234773</v>
      </c>
      <c r="CS72" s="19">
        <f>'D2C - Retail'!CZ110+'D2C Online'!DQ84</f>
        <v>4709827.8251411021</v>
      </c>
      <c r="CT72" s="19">
        <f>'D2C - Retail'!DA110+'D2C Online'!DR84</f>
        <v>5674320.6274678446</v>
      </c>
      <c r="CU72" s="19">
        <f>'D2C - Retail'!DB110+'D2C Online'!DS84</f>
        <v>5938223.8244873453</v>
      </c>
      <c r="CV72" s="19">
        <f>'D2C - Retail'!DC110+'D2C Online'!DT84</f>
        <v>5300977.9644455034</v>
      </c>
      <c r="CW72" s="19">
        <f>'D2C - Retail'!DD110+'D2C Online'!DU84</f>
        <v>5931328.8701172275</v>
      </c>
      <c r="CY72" s="19">
        <f t="shared" si="287"/>
        <v>17039265.896718226</v>
      </c>
      <c r="CZ72" s="19">
        <f t="shared" si="288"/>
        <v>15196155.553172318</v>
      </c>
      <c r="DA72" s="19">
        <f t="shared" si="289"/>
        <v>15754907.372437434</v>
      </c>
      <c r="DB72" s="19">
        <f t="shared" si="290"/>
        <v>11646748.810076563</v>
      </c>
      <c r="DC72" s="19">
        <f t="shared" si="291"/>
        <v>8547296.7397206016</v>
      </c>
      <c r="DD72" s="19">
        <f t="shared" si="292"/>
        <v>3731990.5014876919</v>
      </c>
      <c r="DE72" s="19">
        <f t="shared" si="293"/>
        <v>6497279.4903418943</v>
      </c>
      <c r="DF72" s="19">
        <f t="shared" si="294"/>
        <v>7214975.6945953993</v>
      </c>
      <c r="DG72" s="19">
        <f t="shared" si="295"/>
        <v>6771101.853967132</v>
      </c>
      <c r="DH72" s="19">
        <f t="shared" si="296"/>
        <v>8480797.1585160978</v>
      </c>
      <c r="DI72" s="19">
        <f t="shared" si="297"/>
        <v>4893333.2942151492</v>
      </c>
      <c r="DJ72" s="19">
        <f t="shared" si="298"/>
        <v>11133519.889034882</v>
      </c>
      <c r="DK72" s="19">
        <f t="shared" si="299"/>
        <v>9995800.1403246727</v>
      </c>
      <c r="DL72" s="19">
        <f t="shared" si="300"/>
        <v>9894802.1644911431</v>
      </c>
      <c r="DM72" s="19">
        <f t="shared" si="301"/>
        <v>11091484.792794786</v>
      </c>
      <c r="DN72" s="19">
        <f t="shared" si="302"/>
        <v>12532062.324862847</v>
      </c>
      <c r="DO72" s="19">
        <f t="shared" si="303"/>
        <v>12052565.948862385</v>
      </c>
      <c r="DP72" s="19">
        <f t="shared" si="304"/>
        <v>11892677.050747249</v>
      </c>
      <c r="DQ72" s="19">
        <f t="shared" si="305"/>
        <v>13258577.430273773</v>
      </c>
      <c r="DR72" s="19">
        <f t="shared" si="306"/>
        <v>14853076.387171978</v>
      </c>
      <c r="DS72" s="19">
        <f t="shared" si="312"/>
        <v>13963575.42460775</v>
      </c>
      <c r="DT72" s="19">
        <f t="shared" si="313"/>
        <v>13765994.859154416</v>
      </c>
      <c r="DU72" s="19">
        <f t="shared" si="314"/>
        <v>15328265.421632424</v>
      </c>
      <c r="DV72" s="19">
        <f t="shared" si="315"/>
        <v>17170530.659050077</v>
      </c>
      <c r="DX72" s="19">
        <f t="shared" si="307"/>
        <v>59637077.632404543</v>
      </c>
      <c r="DY72" s="19">
        <f t="shared" si="308"/>
        <v>25991542.426145587</v>
      </c>
      <c r="DZ72" s="19">
        <f t="shared" si="309"/>
        <v>31278752.19573326</v>
      </c>
      <c r="EA72" s="19">
        <f t="shared" si="310"/>
        <v>43514149.422473446</v>
      </c>
      <c r="EB72" s="19">
        <f t="shared" si="311"/>
        <v>52056896.817055382</v>
      </c>
      <c r="EC72" s="770">
        <f t="shared" si="316"/>
        <v>60228366.364444666</v>
      </c>
    </row>
    <row r="73" spans="2:133" x14ac:dyDescent="0.2">
      <c r="B73" s="155" t="s">
        <v>36</v>
      </c>
      <c r="C73" s="19">
        <f>'D2C - Retail'!J112+'D2C Online'!AA85</f>
        <v>121959.63213721233</v>
      </c>
      <c r="D73" s="19">
        <f>'D2C - Retail'!K112+'D2C Online'!AB85</f>
        <v>136408.56024527337</v>
      </c>
      <c r="E73" s="19">
        <f>'D2C - Retail'!L112+'D2C Online'!AC85</f>
        <v>166410.3961529384</v>
      </c>
      <c r="F73" s="19">
        <f>'D2C - Retail'!M112+'D2C Online'!AD85</f>
        <v>106956.00730234517</v>
      </c>
      <c r="G73" s="19">
        <f>'D2C - Retail'!N112+'D2C Online'!AE85</f>
        <v>21907.188380281688</v>
      </c>
      <c r="H73" s="19">
        <f>'D2C - Retail'!O112+'D2C Online'!AF85</f>
        <v>150092.96771853464</v>
      </c>
      <c r="I73" s="19">
        <f>'D2C - Retail'!P112+'D2C Online'!AG85</f>
        <v>120148.60366213822</v>
      </c>
      <c r="J73" s="19">
        <f>'D2C - Retail'!Q112+'D2C Online'!AH85</f>
        <v>152234.83438818564</v>
      </c>
      <c r="K73" s="19">
        <f>'D2C - Retail'!R112+'D2C Online'!AI85</f>
        <v>212047.63818221164</v>
      </c>
      <c r="L73" s="19">
        <f>'D2C - Retail'!S112+'D2C Online'!AJ85</f>
        <v>246449.8310502283</v>
      </c>
      <c r="M73" s="19">
        <f>'D2C - Retail'!T112+'D2C Online'!AK85</f>
        <v>362567.73535387742</v>
      </c>
      <c r="N73" s="19">
        <f>'D2C - Retail'!U112+'D2C Online'!AL85</f>
        <v>396740.2151861189</v>
      </c>
      <c r="O73" s="19">
        <f>'D2C - Retail'!V112+'D2C Online'!AM85</f>
        <v>383786.08103727712</v>
      </c>
      <c r="P73" s="19">
        <f>'D2C - Retail'!W112+'D2C Online'!AN85</f>
        <v>392013.59726778627</v>
      </c>
      <c r="Q73" s="19">
        <f>'D2C - Retail'!X112+'D2C Online'!AO85</f>
        <v>418008.34863033041</v>
      </c>
      <c r="R73" s="19">
        <f>'D2C - Retail'!Y112+'D2C Online'!AP85</f>
        <v>421327.47839593334</v>
      </c>
      <c r="S73" s="19">
        <f>'D2C - Retail'!Z112+'D2C Online'!AQ85</f>
        <v>595613.76717658527</v>
      </c>
      <c r="T73" s="19">
        <f>'D2C - Retail'!AA112+'D2C Online'!AR85</f>
        <v>534671</v>
      </c>
      <c r="U73" s="19">
        <f>'D2C - Retail'!AB112+'D2C Online'!AS85</f>
        <v>576257</v>
      </c>
      <c r="V73" s="19">
        <f>'D2C - Retail'!AC112+'D2C Online'!AT85</f>
        <v>584709</v>
      </c>
      <c r="W73" s="19">
        <f>'D2C - Retail'!AD112+'D2C Online'!AU85</f>
        <v>602360</v>
      </c>
      <c r="X73" s="19">
        <f>'D2C - Retail'!AE112+'D2C Online'!AV85</f>
        <v>655175</v>
      </c>
      <c r="Y73" s="19">
        <f>'D2C - Retail'!AF112+'D2C Online'!AW85</f>
        <v>596763</v>
      </c>
      <c r="Z73" s="19">
        <f>'D2C - Retail'!AG112+'D2C Online'!AX85</f>
        <v>663195</v>
      </c>
      <c r="AA73" s="19">
        <f>'D2C - Retail'!AH112+'D2C Online'!AY85</f>
        <v>700624</v>
      </c>
      <c r="AB73" s="19">
        <f>'D2C - Retail'!AI112+'D2C Online'!AZ85</f>
        <v>716789</v>
      </c>
      <c r="AC73" s="19">
        <f>'D2C - Retail'!AJ112+'D2C Online'!BA85</f>
        <v>924712</v>
      </c>
      <c r="AD73" s="19">
        <f>'D2C - Retail'!AK112+'D2C Online'!BB85</f>
        <v>1037435</v>
      </c>
      <c r="AE73" s="19">
        <f>'D2C - Retail'!AL112+'D2C Online'!BC85</f>
        <v>1185895</v>
      </c>
      <c r="AF73" s="19">
        <f>'D2C - Retail'!AM112+'D2C Online'!BD85</f>
        <v>1325725</v>
      </c>
      <c r="AG73" s="19">
        <f>'D2C - Retail'!AN112+'D2C Online'!BE85</f>
        <v>1046830</v>
      </c>
      <c r="AH73" s="19">
        <f>'D2C - Retail'!AO112+'D2C Online'!BF85</f>
        <v>1137325</v>
      </c>
      <c r="AI73" s="19">
        <f>'D2C - Retail'!AP112+'D2C Online'!BG85</f>
        <v>1112565</v>
      </c>
      <c r="AJ73" s="19">
        <f>'D2C - Retail'!AQ112+'D2C Online'!BH85</f>
        <v>1393620</v>
      </c>
      <c r="AK73" s="19">
        <f>'D2C - Retail'!AR112+'D2C Online'!BI85</f>
        <v>1260595</v>
      </c>
      <c r="AL73" s="19">
        <f>'D2C - Retail'!AS112+'D2C Online'!BJ85</f>
        <v>1126985</v>
      </c>
      <c r="AM73" s="19">
        <f>'D2C - Retail'!AT112+'D2C Online'!BK85</f>
        <v>1089585</v>
      </c>
      <c r="AN73" s="19">
        <f>'D2C - Retail'!AU112+'D2C Online'!BL85</f>
        <v>849290</v>
      </c>
      <c r="AO73" s="19">
        <f>'D2C - Retail'!AV112+'D2C Online'!BM85</f>
        <v>1166165</v>
      </c>
      <c r="AP73" s="19">
        <f>'D2C - Retail'!AW112+'D2C Online'!BN85</f>
        <v>1166315</v>
      </c>
      <c r="AQ73" s="19">
        <f>'D2C - Retail'!AX112+'D2C Online'!BO85</f>
        <v>1171475</v>
      </c>
      <c r="AR73" s="19">
        <f>'D2C - Retail'!AY112+'D2C Online'!BP85</f>
        <v>1253075</v>
      </c>
      <c r="AS73" s="19">
        <f>'D2C - Retail'!AZ112+'D2C Online'!BQ85</f>
        <v>1228900</v>
      </c>
      <c r="AT73" s="19">
        <f>'D2C - Retail'!BA112+'D2C Online'!BR85</f>
        <v>1063780</v>
      </c>
      <c r="AU73" s="19">
        <f>'D2C - Retail'!BB112+'D2C Online'!BS85</f>
        <v>993250</v>
      </c>
      <c r="AV73" s="19">
        <f>'D2C - Retail'!BC112+'D2C Online'!BT85</f>
        <v>1114955</v>
      </c>
      <c r="AW73" s="19">
        <f>'D2C - Retail'!BD112+'D2C Online'!BU85</f>
        <v>1039150</v>
      </c>
      <c r="AX73" s="19">
        <f>'D2C - Retail'!BE112+'D2C Online'!BV85</f>
        <v>1256625</v>
      </c>
      <c r="AY73" s="19">
        <f>'D2C - Retail'!BF112+'D2C Online'!BW85</f>
        <v>1333755</v>
      </c>
      <c r="AZ73" s="19">
        <f>'D2C - Retail'!BG112+'D2C Online'!BX85</f>
        <v>1286425</v>
      </c>
      <c r="BA73" s="19">
        <f>'D2C - Retail'!BH112+'D2C Online'!BY85</f>
        <v>1645660</v>
      </c>
      <c r="BB73" s="19">
        <f>'D2C - Retail'!BI112+'D2C Online'!BZ85</f>
        <v>1467495</v>
      </c>
      <c r="BC73" s="19">
        <f>'D2C - Retail'!BJ112+'D2C Online'!CA85</f>
        <v>1483715</v>
      </c>
      <c r="BD73" s="19">
        <f>'D2C - Retail'!BK112+'D2C Online'!CB85</f>
        <v>1506047.1428571427</v>
      </c>
      <c r="BE73" s="19">
        <f>'D2C - Retail'!BL112+'D2C Online'!CC85</f>
        <v>1621365</v>
      </c>
      <c r="BF73" s="19">
        <f>'D2C - Retail'!BM112+'D2C Online'!CD85</f>
        <v>1451300</v>
      </c>
      <c r="BG73" s="19">
        <f>'D2C - Retail'!BN112+'D2C Online'!CE85</f>
        <v>1588095</v>
      </c>
      <c r="BH73" s="19">
        <f>'D2C - Retail'!BO112+'D2C Online'!CF85</f>
        <v>1643135</v>
      </c>
      <c r="BI73" s="19">
        <f>'D2C - Retail'!BP112+'D2C Online'!CG85</f>
        <v>1574860</v>
      </c>
      <c r="BJ73" s="19">
        <f>'D2C - Retail'!BQ112+'D2C Online'!CH85</f>
        <v>1982470</v>
      </c>
      <c r="BK73" s="19">
        <f>'D2C - Retail'!BR112+'D2C Online'!CI85</f>
        <v>2142405</v>
      </c>
      <c r="BL73" s="19">
        <f>'D2C - Retail'!BS112+'D2C Online'!CJ85</f>
        <v>1923850</v>
      </c>
      <c r="BM73" s="19">
        <f>'D2C - Retail'!BT112+'D2C Online'!CK85</f>
        <v>2190900</v>
      </c>
      <c r="BN73" s="19">
        <f>'D2C - Retail'!BU112+'D2C Online'!CL85</f>
        <v>2041352.8931083111</v>
      </c>
      <c r="BO73" s="19">
        <f>'D2C - Retail'!BV112+'D2C Online'!CM85</f>
        <v>2025091.075070757</v>
      </c>
      <c r="BP73" s="19">
        <f>'D2C - Retail'!BW112+'D2C Online'!CN85</f>
        <v>2020782.8129082904</v>
      </c>
      <c r="BQ73" s="19">
        <f>'D2C - Retail'!BX112+'D2C Online'!CO85</f>
        <v>2131743.122863437</v>
      </c>
      <c r="BR73" s="19">
        <f>'D2C - Retail'!BY112+'D2C Online'!CP85</f>
        <v>1939716.059623267</v>
      </c>
      <c r="BS73" s="19">
        <f>'D2C - Retail'!BZ112+'D2C Online'!CQ85</f>
        <v>1941117.5349467732</v>
      </c>
      <c r="BT73" s="19">
        <f>'D2C - Retail'!CA112+'D2C Online'!CR85</f>
        <v>2175283.9262942467</v>
      </c>
      <c r="BU73" s="19">
        <f>'D2C - Retail'!CB112+'D2C Online'!CS85</f>
        <v>2071975.9805661398</v>
      </c>
      <c r="BV73" s="19">
        <f>'D2C - Retail'!CC112+'D2C Online'!CT85</f>
        <v>2519458.6287583429</v>
      </c>
      <c r="BW73" s="19">
        <f>'D2C - Retail'!CD112+'D2C Online'!CU85</f>
        <v>2645238.9781588325</v>
      </c>
      <c r="BX73" s="19">
        <f>'D2C - Retail'!CE112+'D2C Online'!CV85</f>
        <v>2359562.9665320674</v>
      </c>
      <c r="BY73" s="19">
        <f>'D2C - Retail'!CF112+'D2C Online'!CW85</f>
        <v>2670399.058081544</v>
      </c>
      <c r="BZ73" s="19">
        <f>'D2C - Retail'!CG112+'D2C Online'!CX85</f>
        <v>2446788.2340321094</v>
      </c>
      <c r="CA73" s="19">
        <f>'D2C - Retail'!CH112+'D2C Online'!CY85</f>
        <v>2431045.2364242459</v>
      </c>
      <c r="CB73" s="19">
        <f>'D2C - Retail'!CI112+'D2C Online'!CZ85</f>
        <v>2419285.3479092461</v>
      </c>
      <c r="CC73" s="19">
        <f>'D2C - Retail'!CJ112+'D2C Online'!DA85</f>
        <v>2550077.8796108123</v>
      </c>
      <c r="CD73" s="19">
        <f>'D2C - Retail'!CK112+'D2C Online'!DB85</f>
        <v>2319266.3441840019</v>
      </c>
      <c r="CE73" s="19">
        <f>'D2C - Retail'!CL112+'D2C Online'!DC85</f>
        <v>2320721.7186646014</v>
      </c>
      <c r="CF73" s="19">
        <f>'D2C - Retail'!CM112+'D2C Online'!DD85</f>
        <v>2590836.1248913491</v>
      </c>
      <c r="CG73" s="19">
        <f>'D2C - Retail'!CN112+'D2C Online'!DE85</f>
        <v>2462967.0824133651</v>
      </c>
      <c r="CH73" s="19">
        <f>'D2C - Retail'!CO112+'D2C Online'!DF85</f>
        <v>2988553.8327925857</v>
      </c>
      <c r="CI73" s="19">
        <f>'D2C - Retail'!CP112+'D2C Online'!DG85</f>
        <v>3132254.8227125863</v>
      </c>
      <c r="CJ73" s="19">
        <f>'D2C - Retail'!CQ112+'D2C Online'!DH85</f>
        <v>2785313.7781937732</v>
      </c>
      <c r="CK73" s="19">
        <f>'D2C - Retail'!CR112+'D2C Online'!DI85</f>
        <v>3129450.7359675425</v>
      </c>
      <c r="CL73" s="19">
        <f>'D2C - Retail'!CS112+'D2C Online'!DJ85</f>
        <v>2945227.9340778883</v>
      </c>
      <c r="CM73" s="19">
        <f>'D2C - Retail'!CT112+'D2C Online'!DK85</f>
        <v>2925011.728990363</v>
      </c>
      <c r="CN73" s="19">
        <f>'D2C - Retail'!CU112+'D2C Online'!DL85</f>
        <v>2909993.5957338531</v>
      </c>
      <c r="CO73" s="19">
        <f>'D2C - Retail'!CV112+'D2C Online'!DM85</f>
        <v>3065954.8089410425</v>
      </c>
      <c r="CP73" s="19">
        <f>'D2C - Retail'!CW112+'D2C Online'!DN85</f>
        <v>2787543.7364551406</v>
      </c>
      <c r="CQ73" s="19">
        <f>'D2C - Retail'!CX112+'D2C Online'!DO85</f>
        <v>2788844.3911369913</v>
      </c>
      <c r="CR73" s="19">
        <f>'D2C - Retail'!CY112+'D2C Online'!DP85</f>
        <v>3110953.8343531308</v>
      </c>
      <c r="CS73" s="19">
        <f>'D2C - Retail'!CZ112+'D2C Online'!DQ85</f>
        <v>2957293.7012080671</v>
      </c>
      <c r="CT73" s="19">
        <f>'D2C - Retail'!DA112+'D2C Online'!DR85</f>
        <v>3588073.9303338835</v>
      </c>
      <c r="CU73" s="19">
        <f>'D2C - Retail'!DB112+'D2C Online'!DS85</f>
        <v>3760639.8705631895</v>
      </c>
      <c r="CV73" s="19">
        <f>'D2C - Retail'!DC112+'D2C Online'!DT85</f>
        <v>3342512.3734035296</v>
      </c>
      <c r="CW73" s="19">
        <f>'D2C - Retail'!DD112+'D2C Online'!DU85</f>
        <v>3754167.5826933468</v>
      </c>
      <c r="CY73" s="19">
        <f t="shared" si="287"/>
        <v>3549055</v>
      </c>
      <c r="CZ73" s="19">
        <f t="shared" si="288"/>
        <v>3296720</v>
      </c>
      <c r="DA73" s="19">
        <f t="shared" si="289"/>
        <v>3781200</v>
      </c>
      <c r="DB73" s="19">
        <f t="shared" si="290"/>
        <v>3105040</v>
      </c>
      <c r="DC73" s="19">
        <f t="shared" si="291"/>
        <v>3590865</v>
      </c>
      <c r="DD73" s="19">
        <f t="shared" si="292"/>
        <v>3285930</v>
      </c>
      <c r="DE73" s="19">
        <f t="shared" si="293"/>
        <v>3410730</v>
      </c>
      <c r="DF73" s="19">
        <f t="shared" si="294"/>
        <v>4265840</v>
      </c>
      <c r="DG73" s="19">
        <f t="shared" si="295"/>
        <v>4457257.1428571427</v>
      </c>
      <c r="DH73" s="19">
        <f t="shared" si="296"/>
        <v>4660760</v>
      </c>
      <c r="DI73" s="19">
        <f t="shared" si="297"/>
        <v>5200465</v>
      </c>
      <c r="DJ73" s="19">
        <f t="shared" si="298"/>
        <v>6257155</v>
      </c>
      <c r="DK73" s="19">
        <f t="shared" si="299"/>
        <v>6087226.7810873585</v>
      </c>
      <c r="DL73" s="19">
        <f t="shared" si="300"/>
        <v>6012576.7174334768</v>
      </c>
      <c r="DM73" s="19">
        <f t="shared" si="301"/>
        <v>6766718.5356187299</v>
      </c>
      <c r="DN73" s="19">
        <f t="shared" si="302"/>
        <v>7675201.0027724439</v>
      </c>
      <c r="DO73" s="19">
        <f t="shared" si="303"/>
        <v>7297118.8183656018</v>
      </c>
      <c r="DP73" s="19">
        <f t="shared" si="304"/>
        <v>7190065.9424594156</v>
      </c>
      <c r="DQ73" s="19">
        <f t="shared" si="305"/>
        <v>8042357.0400973</v>
      </c>
      <c r="DR73" s="19">
        <f t="shared" si="306"/>
        <v>9047019.336873902</v>
      </c>
      <c r="DS73" s="19">
        <f t="shared" si="312"/>
        <v>8780233.2588021047</v>
      </c>
      <c r="DT73" s="19">
        <f t="shared" si="313"/>
        <v>8642342.9365331735</v>
      </c>
      <c r="DU73" s="19">
        <f t="shared" si="314"/>
        <v>9656321.4658950828</v>
      </c>
      <c r="DV73" s="19">
        <f t="shared" si="315"/>
        <v>10857319.826660067</v>
      </c>
      <c r="DX73" s="19">
        <f t="shared" si="307"/>
        <v>13732015</v>
      </c>
      <c r="DY73" s="19">
        <f t="shared" si="308"/>
        <v>14553365</v>
      </c>
      <c r="DZ73" s="19">
        <f t="shared" si="309"/>
        <v>20575637.142857142</v>
      </c>
      <c r="EA73" s="19">
        <f t="shared" si="310"/>
        <v>26541723.036912009</v>
      </c>
      <c r="EB73" s="19">
        <f t="shared" si="311"/>
        <v>31576561.137796223</v>
      </c>
      <c r="EC73" s="770">
        <f t="shared" si="316"/>
        <v>37936217.487890422</v>
      </c>
    </row>
    <row r="74" spans="2:133" x14ac:dyDescent="0.2">
      <c r="B74" s="167" t="s">
        <v>24</v>
      </c>
      <c r="C74" s="19">
        <f>'D2C - Retail'!J113+'D2C Online'!AA86</f>
        <v>493594.68375827512</v>
      </c>
      <c r="D74" s="19">
        <f>'D2C - Retail'!K113+'D2C Online'!AB86</f>
        <v>425915.44077669905</v>
      </c>
      <c r="E74" s="19">
        <f>'D2C - Retail'!L113+'D2C Online'!AC86</f>
        <v>497771.97356620245</v>
      </c>
      <c r="F74" s="19">
        <f>'D2C - Retail'!M113+'D2C Online'!AD86</f>
        <v>288979.15910686698</v>
      </c>
      <c r="G74" s="19">
        <f>'D2C - Retail'!N113+'D2C Online'!AE86</f>
        <v>35410.423289738435</v>
      </c>
      <c r="H74" s="19">
        <f>'D2C - Retail'!O113+'D2C Online'!AF86</f>
        <v>201596.58723249912</v>
      </c>
      <c r="I74" s="19">
        <f>'D2C - Retail'!P113+'D2C Online'!AG86</f>
        <v>357104.99401063204</v>
      </c>
      <c r="J74" s="19">
        <f>'D2C - Retail'!Q113+'D2C Online'!AH86</f>
        <v>466385.3838159283</v>
      </c>
      <c r="K74" s="19">
        <f>'D2C - Retail'!R113+'D2C Online'!AI86</f>
        <v>735611.11608425947</v>
      </c>
      <c r="L74" s="19">
        <f>'D2C - Retail'!S113+'D2C Online'!AJ86</f>
        <v>735565.38051750395</v>
      </c>
      <c r="M74" s="19">
        <f>'D2C - Retail'!T113+'D2C Online'!AK86</f>
        <v>1121060.3668697998</v>
      </c>
      <c r="N74" s="19">
        <f>'D2C - Retail'!U113+'D2C Online'!AL86</f>
        <v>1394959.2152232509</v>
      </c>
      <c r="O74" s="19">
        <f>'D2C - Retail'!V113+'D2C Online'!AM86</f>
        <v>1474400</v>
      </c>
      <c r="P74" s="19">
        <f>'D2C - Retail'!W113+'D2C Online'!AN86</f>
        <v>1515261.7385501335</v>
      </c>
      <c r="Q74" s="19">
        <f>'D2C - Retail'!X113+'D2C Online'!AO86</f>
        <v>1532911.1974100552</v>
      </c>
      <c r="R74" s="19">
        <f>'D2C - Retail'!Y113+'D2C Online'!AP86</f>
        <v>1626735.2031840186</v>
      </c>
      <c r="S74" s="19">
        <f>'D2C - Retail'!Z113+'D2C Online'!AQ86</f>
        <v>2160411.4892296633</v>
      </c>
      <c r="T74" s="19">
        <f>'D2C - Retail'!AA113+'D2C Online'!AR86</f>
        <v>2425501.9612230947</v>
      </c>
      <c r="U74" s="19">
        <f>'D2C - Retail'!AB113+'D2C Online'!AS86</f>
        <v>2485459.2907141186</v>
      </c>
      <c r="V74" s="19">
        <f>'D2C - Retail'!AC113+'D2C Online'!AT86</f>
        <v>2572974.2655686149</v>
      </c>
      <c r="W74" s="19">
        <f>'D2C - Retail'!AD113+'D2C Online'!AU86</f>
        <v>2702540.8817436574</v>
      </c>
      <c r="X74" s="19">
        <f>'D2C - Retail'!AE113+'D2C Online'!AV86</f>
        <v>2811414.3138723737</v>
      </c>
      <c r="Y74" s="19">
        <f>'D2C - Retail'!AF113+'D2C Online'!AW86</f>
        <v>2522664.3412529789</v>
      </c>
      <c r="Z74" s="19">
        <f>'D2C - Retail'!AG113+'D2C Online'!AX86</f>
        <v>2912159.8330543819</v>
      </c>
      <c r="AA74" s="19">
        <f>'D2C - Retail'!AH113+'D2C Online'!AY86</f>
        <v>2979334.6366256168</v>
      </c>
      <c r="AB74" s="19">
        <f>'D2C - Retail'!AI113+'D2C Online'!AZ86</f>
        <v>3054416.3073374378</v>
      </c>
      <c r="AC74" s="19">
        <f>'D2C - Retail'!AJ113+'D2C Online'!BA86</f>
        <v>4176631.7237749863</v>
      </c>
      <c r="AD74" s="19">
        <f>'D2C - Retail'!AK113+'D2C Online'!BB86</f>
        <v>10047578.2524604</v>
      </c>
      <c r="AE74" s="19">
        <f>'D2C - Retail'!AL113+'D2C Online'!BC86</f>
        <v>9996999.8092921749</v>
      </c>
      <c r="AF74" s="19">
        <f>'D2C - Retail'!AM113+'D2C Online'!BD86</f>
        <v>8656648.0830730349</v>
      </c>
      <c r="AG74" s="19">
        <f>'D2C - Retail'!AN113+'D2C Online'!BE86</f>
        <v>7121986.5190046923</v>
      </c>
      <c r="AH74" s="19">
        <f>'D2C - Retail'!AO113+'D2C Online'!BF86</f>
        <v>7540523.1792429909</v>
      </c>
      <c r="AI74" s="19">
        <f>'D2C - Retail'!AP113+'D2C Online'!BG86</f>
        <v>7522225.5584548078</v>
      </c>
      <c r="AJ74" s="19">
        <f>'D2C - Retail'!AQ113+'D2C Online'!BH86</f>
        <v>8453527.0511910655</v>
      </c>
      <c r="AK74" s="19">
        <f>'D2C - Retail'!AR113+'D2C Online'!BI86</f>
        <v>9167762.9297452588</v>
      </c>
      <c r="AL74" s="19">
        <f>'D2C - Retail'!AS113+'D2C Online'!BJ86</f>
        <v>7043824.4586025495</v>
      </c>
      <c r="AM74" s="19">
        <f>'D2C - Retail'!AT113+'D2C Online'!BK86</f>
        <v>6264547.3782219719</v>
      </c>
      <c r="AN74" s="19">
        <f>'D2C - Retail'!AU113+'D2C Online'!BL86</f>
        <v>6075968</v>
      </c>
      <c r="AO74" s="19">
        <f>'D2C - Retail'!AV113+'D2C Online'!BM86</f>
        <v>6210361.3433977067</v>
      </c>
      <c r="AP74" s="19">
        <f>'D2C - Retail'!AW113+'D2C Online'!BN86</f>
        <v>6777580.0529403808</v>
      </c>
      <c r="AQ74" s="19">
        <f>'D2C - Retail'!AX113+'D2C Online'!BO86</f>
        <v>6684050.2601190871</v>
      </c>
      <c r="AR74" s="19">
        <f>'D2C - Retail'!AY113+'D2C Online'!BP86</f>
        <v>6713777.8395759966</v>
      </c>
      <c r="AS74" s="19">
        <f>'D2C - Retail'!AZ113+'D2C Online'!BQ86</f>
        <v>7111991.6683801161</v>
      </c>
      <c r="AT74" s="19">
        <f>'D2C - Retail'!BA113+'D2C Online'!BR86</f>
        <v>6399896.5439091232</v>
      </c>
      <c r="AU74" s="19">
        <f>'D2C - Retail'!BB113+'D2C Online'!BS86</f>
        <v>6664273.6350808293</v>
      </c>
      <c r="AV74" s="19">
        <f>'D2C - Retail'!BC113+'D2C Online'!BT86</f>
        <v>8165983.3152851406</v>
      </c>
      <c r="AW74" s="19">
        <f>'D2C - Retail'!BD113+'D2C Online'!BU86</f>
        <v>8103156.5627847891</v>
      </c>
      <c r="AX74" s="19">
        <f>'D2C - Retail'!BE113+'D2C Online'!BV86</f>
        <v>7336235.5310102552</v>
      </c>
      <c r="AY74" s="19">
        <f>'D2C - Retail'!BF113+'D2C Online'!BW86</f>
        <v>7457871.313190219</v>
      </c>
      <c r="AZ74" s="19">
        <f>'D2C - Retail'!BG113+'D2C Online'!BX86</f>
        <v>7506248.4549071779</v>
      </c>
      <c r="BA74" s="19">
        <f>'D2C - Retail'!BH113+'D2C Online'!BY86</f>
        <v>8582002.2587320246</v>
      </c>
      <c r="BB74" s="19">
        <f>'D2C - Retail'!BI113+'D2C Online'!BZ86</f>
        <v>8790239.6397568751</v>
      </c>
      <c r="BC74" s="19">
        <f>'D2C - Retail'!BJ113+'D2C Online'!CA86</f>
        <v>8042931.8309139134</v>
      </c>
      <c r="BD74" s="19">
        <f>'D2C - Retail'!BK113+'D2C Online'!CB86</f>
        <v>6603273.0433098963</v>
      </c>
      <c r="BE74" s="19">
        <f>'D2C - Retail'!BL113+'D2C Online'!CC86</f>
        <v>6489102.39253587</v>
      </c>
      <c r="BF74" s="19">
        <f>'D2C - Retail'!BM113+'D2C Online'!CD86</f>
        <v>6465802.8714006161</v>
      </c>
      <c r="BG74" s="19">
        <f>'D2C - Retail'!BN113+'D2C Online'!CE86</f>
        <v>7084439.397507878</v>
      </c>
      <c r="BH74" s="19">
        <f>'D2C - Retail'!BO113+'D2C Online'!CF86</f>
        <v>8480103.6005495936</v>
      </c>
      <c r="BI74" s="19">
        <f>'D2C - Retail'!BP113+'D2C Online'!CG86</f>
        <v>8326918.7421207391</v>
      </c>
      <c r="BJ74" s="19">
        <f>'D2C - Retail'!BQ113+'D2C Online'!CH86</f>
        <v>12829441.127097659</v>
      </c>
      <c r="BK74" s="19">
        <f>'D2C - Retail'!BR113+'D2C Online'!CI86</f>
        <v>15050269.159805648</v>
      </c>
      <c r="BL74" s="19">
        <f>'D2C - Retail'!BS113+'D2C Online'!CJ86</f>
        <v>15341371.300819322</v>
      </c>
      <c r="BM74" s="19">
        <f>'D2C - Retail'!BT113+'D2C Online'!CK86</f>
        <v>15578996.32618409</v>
      </c>
      <c r="BN74" s="19">
        <f>'D2C - Retail'!BU113+'D2C Online'!CL86</f>
        <v>11511381.070923772</v>
      </c>
      <c r="BO74" s="19">
        <f>'D2C - Retail'!BV113+'D2C Online'!CM86</f>
        <v>11426032.201360501</v>
      </c>
      <c r="BP74" s="19">
        <f>'D2C - Retail'!BW113+'D2C Online'!CN86</f>
        <v>11402223.449295972</v>
      </c>
      <c r="BQ74" s="19">
        <f>'D2C - Retail'!BX113+'D2C Online'!CO86</f>
        <v>12014241.289321579</v>
      </c>
      <c r="BR74" s="19">
        <f>'D2C - Retail'!BY113+'D2C Online'!CP86</f>
        <v>10943613.214244917</v>
      </c>
      <c r="BS74" s="19">
        <f>'D2C - Retail'!BZ113+'D2C Online'!CQ86</f>
        <v>10983032.840111375</v>
      </c>
      <c r="BT74" s="19">
        <f>'D2C - Retail'!CA113+'D2C Online'!CR86</f>
        <v>12253125.905285452</v>
      </c>
      <c r="BU74" s="19">
        <f>'D2C - Retail'!CB113+'D2C Online'!CS86</f>
        <v>11689126.35338027</v>
      </c>
      <c r="BV74" s="19">
        <f>'D2C - Retail'!CC113+'D2C Online'!CT86</f>
        <v>14217774.548265871</v>
      </c>
      <c r="BW74" s="19">
        <f>'D2C - Retail'!CD113+'D2C Online'!CU86</f>
        <v>14939774.335443644</v>
      </c>
      <c r="BX74" s="19">
        <f>'D2C - Retail'!CE113+'D2C Online'!CV86</f>
        <v>13309795.291425757</v>
      </c>
      <c r="BY74" s="19">
        <f>'D2C - Retail'!CF113+'D2C Online'!CW86</f>
        <v>15042250.030587068</v>
      </c>
      <c r="BZ74" s="19">
        <f>'D2C - Retail'!CG113+'D2C Online'!CX86</f>
        <v>14162767.96284252</v>
      </c>
      <c r="CA74" s="19">
        <f>'D2C - Retail'!CH113+'D2C Online'!CY86</f>
        <v>14073567.80188974</v>
      </c>
      <c r="CB74" s="19">
        <f>'D2C - Retail'!CI113+'D2C Online'!CZ86</f>
        <v>14005971.182193447</v>
      </c>
      <c r="CC74" s="19">
        <f>'D2C - Retail'!CJ113+'D2C Online'!DA86</f>
        <v>14758609.628579652</v>
      </c>
      <c r="CD74" s="19">
        <f>'D2C - Retail'!CK113+'D2C Online'!DB86</f>
        <v>13426679.6690326</v>
      </c>
      <c r="CE74" s="19">
        <f>'D2C - Retail'!CL113+'D2C Online'!DC86</f>
        <v>13445545.832509246</v>
      </c>
      <c r="CF74" s="19">
        <f>'D2C - Retail'!CM113+'D2C Online'!DD86</f>
        <v>14992872.647948978</v>
      </c>
      <c r="CG74" s="19">
        <f>'D2C - Retail'!CN113+'D2C Online'!DE86</f>
        <v>14259062.747912442</v>
      </c>
      <c r="CH74" s="19">
        <f>'D2C - Retail'!CO113+'D2C Online'!DF86</f>
        <v>17303569.898304284</v>
      </c>
      <c r="CI74" s="19">
        <f>'D2C - Retail'!CP113+'D2C Online'!DG86</f>
        <v>18139897.769233368</v>
      </c>
      <c r="CJ74" s="19">
        <f>'D2C - Retail'!CQ113+'D2C Online'!DH86</f>
        <v>16125613.025736377</v>
      </c>
      <c r="CK74" s="19">
        <f>'D2C - Retail'!CR113+'D2C Online'!DI86</f>
        <v>18112185.982196532</v>
      </c>
      <c r="CL74" s="19">
        <f>'D2C - Retail'!CS113+'D2C Online'!DJ86</f>
        <v>17048330.312892675</v>
      </c>
      <c r="CM74" s="19">
        <f>'D2C - Retail'!CT113+'D2C Online'!DK86</f>
        <v>16933694.46534723</v>
      </c>
      <c r="CN74" s="19">
        <f>'D2C - Retail'!CU113+'D2C Online'!DL86</f>
        <v>16847375.064805292</v>
      </c>
      <c r="CO74" s="19">
        <f>'D2C - Retail'!CV113+'D2C Online'!DM86</f>
        <v>17744871.91440127</v>
      </c>
      <c r="CP74" s="19">
        <f>'D2C - Retail'!CW113+'D2C Online'!DN86</f>
        <v>16138253.502344143</v>
      </c>
      <c r="CQ74" s="19">
        <f>'D2C - Retail'!CX113+'D2C Online'!DO86</f>
        <v>16158412.447963517</v>
      </c>
      <c r="CR74" s="19">
        <f>'D2C - Retail'!CY113+'D2C Online'!DP86</f>
        <v>18003537.497702193</v>
      </c>
      <c r="CS74" s="19">
        <f>'D2C - Retail'!CZ113+'D2C Online'!DQ86</f>
        <v>17121720.306585483</v>
      </c>
      <c r="CT74" s="19">
        <f>'D2C - Retail'!DA113+'D2C Online'!DR86</f>
        <v>20775769.508460999</v>
      </c>
      <c r="CU74" s="19">
        <f>'D2C - Retail'!DB113+'D2C Online'!DS86</f>
        <v>21780164.263233811</v>
      </c>
      <c r="CV74" s="19">
        <f>'D2C - Retail'!DC113+'D2C Online'!DT86</f>
        <v>19352530.087572478</v>
      </c>
      <c r="CW74" s="19">
        <f>'D2C - Retail'!DD113+'D2C Online'!DU86</f>
        <v>21728983.698413737</v>
      </c>
      <c r="CY74" s="19">
        <f t="shared" si="287"/>
        <v>28701226.144825608</v>
      </c>
      <c r="CZ74" s="19">
        <f t="shared" si="288"/>
        <v>22184735.25670249</v>
      </c>
      <c r="DA74" s="19">
        <f t="shared" si="289"/>
        <v>24665114.439538874</v>
      </c>
      <c r="DB74" s="19">
        <f t="shared" si="290"/>
        <v>18550876.721619681</v>
      </c>
      <c r="DC74" s="19">
        <f t="shared" si="291"/>
        <v>20175408.152635463</v>
      </c>
      <c r="DD74" s="19">
        <f t="shared" si="292"/>
        <v>20176161.847370069</v>
      </c>
      <c r="DE74" s="19">
        <f t="shared" si="293"/>
        <v>23605375.409080185</v>
      </c>
      <c r="DF74" s="19">
        <f t="shared" si="294"/>
        <v>23546122.026829422</v>
      </c>
      <c r="DG74" s="19">
        <f t="shared" si="295"/>
        <v>23436444.513980687</v>
      </c>
      <c r="DH74" s="19">
        <f t="shared" si="296"/>
        <v>20039344.661444366</v>
      </c>
      <c r="DI74" s="19">
        <f t="shared" si="297"/>
        <v>29636463.469767991</v>
      </c>
      <c r="DJ74" s="19">
        <f t="shared" si="298"/>
        <v>45970636.786809057</v>
      </c>
      <c r="DK74" s="19">
        <f t="shared" si="299"/>
        <v>34339636.721580245</v>
      </c>
      <c r="DL74" s="19">
        <f t="shared" si="300"/>
        <v>33940887.343677871</v>
      </c>
      <c r="DM74" s="19">
        <f t="shared" si="301"/>
        <v>38160026.806931593</v>
      </c>
      <c r="DN74" s="19">
        <f t="shared" si="302"/>
        <v>43291819.657456473</v>
      </c>
      <c r="DO74" s="19">
        <f t="shared" si="303"/>
        <v>42242306.946925707</v>
      </c>
      <c r="DP74" s="19">
        <f t="shared" si="304"/>
        <v>41630835.130121499</v>
      </c>
      <c r="DQ74" s="19">
        <f t="shared" si="305"/>
        <v>46555505.294165701</v>
      </c>
      <c r="DR74" s="19">
        <f t="shared" si="306"/>
        <v>52377696.777166277</v>
      </c>
      <c r="DS74" s="19">
        <f t="shared" si="312"/>
        <v>50829399.843045197</v>
      </c>
      <c r="DT74" s="19">
        <f t="shared" si="313"/>
        <v>50041537.86470893</v>
      </c>
      <c r="DU74" s="19">
        <f t="shared" si="314"/>
        <v>55901027.312748671</v>
      </c>
      <c r="DV74" s="19">
        <f t="shared" si="315"/>
        <v>62861678.049220026</v>
      </c>
      <c r="DX74" s="19">
        <f t="shared" si="307"/>
        <v>94101952.562686652</v>
      </c>
      <c r="DY74" s="19">
        <f t="shared" si="308"/>
        <v>87503067.435915142</v>
      </c>
      <c r="DZ74" s="19">
        <f t="shared" si="309"/>
        <v>119082889.4320021</v>
      </c>
      <c r="EA74" s="19">
        <f t="shared" si="310"/>
        <v>149732370.52964616</v>
      </c>
      <c r="EB74" s="19">
        <f t="shared" si="311"/>
        <v>182806344.14837918</v>
      </c>
      <c r="EC74" s="770">
        <f t="shared" si="316"/>
        <v>219633643.06972283</v>
      </c>
    </row>
    <row r="75" spans="2:133" x14ac:dyDescent="0.2">
      <c r="B75" s="167" t="s">
        <v>25</v>
      </c>
      <c r="C75" s="19">
        <f>'D2C - Retail'!J115+'D2C Online'!AA87</f>
        <v>146522.39156625362</v>
      </c>
      <c r="D75" s="19">
        <f>'D2C - Retail'!K115+'D2C Online'!AB87</f>
        <v>233222.09579839668</v>
      </c>
      <c r="E75" s="19">
        <f>'D2C - Retail'!L115+'D2C Online'!AC87</f>
        <v>287288.66624578141</v>
      </c>
      <c r="F75" s="19">
        <f>'D2C - Retail'!M115+'D2C Online'!AD87</f>
        <v>263977.15768159891</v>
      </c>
      <c r="G75" s="19">
        <f>'D2C - Retail'!N115+'D2C Online'!AE87</f>
        <v>158241.15903069644</v>
      </c>
      <c r="H75" s="19">
        <f>'D2C - Retail'!O115+'D2C Online'!AF87</f>
        <v>254321.55405323292</v>
      </c>
      <c r="I75" s="19">
        <f>'D2C - Retail'!P115+'D2C Online'!AG87</f>
        <v>386012.62244494288</v>
      </c>
      <c r="J75" s="19">
        <f>'D2C - Retail'!Q115+'D2C Online'!AH87</f>
        <v>312721.34556672105</v>
      </c>
      <c r="K75" s="19">
        <f>'D2C - Retail'!R115+'D2C Online'!AI87</f>
        <v>376881.46119716071</v>
      </c>
      <c r="L75" s="19">
        <f>'D2C - Retail'!S115+'D2C Online'!AJ87</f>
        <v>342671.43219352158</v>
      </c>
      <c r="M75" s="19">
        <f>'D2C - Retail'!T115+'D2C Online'!AK87</f>
        <v>755988.81701279047</v>
      </c>
      <c r="N75" s="19">
        <f>'D2C - Retail'!U115+'D2C Online'!AL87</f>
        <v>838993.99360544258</v>
      </c>
      <c r="O75" s="19">
        <f>'D2C - Retail'!V115+'D2C Online'!AM87</f>
        <v>616603.98526007077</v>
      </c>
      <c r="P75" s="19">
        <f>'D2C - Retail'!W115+'D2C Online'!AN87</f>
        <v>689555.76632858301</v>
      </c>
      <c r="Q75" s="19">
        <f>'D2C - Retail'!X115+'D2C Online'!AO87</f>
        <v>943476.05322667188</v>
      </c>
      <c r="R75" s="19">
        <f>'D2C - Retail'!Y115+'D2C Online'!AP87</f>
        <v>1037505.6676132522</v>
      </c>
      <c r="S75" s="19">
        <f>'D2C - Retail'!Z115+'D2C Online'!AQ87</f>
        <v>1165570.5365232583</v>
      </c>
      <c r="T75" s="19">
        <f>'D2C - Retail'!AA115+'D2C Online'!AR87</f>
        <v>1767383.7247088812</v>
      </c>
      <c r="U75" s="19">
        <f>'D2C - Retail'!AB115+'D2C Online'!AS87</f>
        <v>1539488.4648303315</v>
      </c>
      <c r="V75" s="19">
        <f>'D2C - Retail'!AC115+'D2C Online'!AT87</f>
        <v>1632597.5523723369</v>
      </c>
      <c r="W75" s="19">
        <f>'D2C - Retail'!AD115+'D2C Online'!AU87</f>
        <v>1972528.5586009764</v>
      </c>
      <c r="X75" s="19">
        <f>'D2C - Retail'!AE115+'D2C Online'!AV87</f>
        <v>2533116.8873229963</v>
      </c>
      <c r="Y75" s="19">
        <f>'D2C - Retail'!AF115+'D2C Online'!AW87</f>
        <v>2376545.8025599164</v>
      </c>
      <c r="Z75" s="19">
        <f>'D2C - Retail'!AG115+'D2C Online'!AX87</f>
        <v>2381853.5492387246</v>
      </c>
      <c r="AA75" s="19">
        <f>'D2C - Retail'!AH115+'D2C Online'!AY87</f>
        <v>2548120.6372530363</v>
      </c>
      <c r="AB75" s="19">
        <f>'D2C - Retail'!AI115+'D2C Online'!AZ87</f>
        <v>2510421.9277806329</v>
      </c>
      <c r="AC75" s="19">
        <f>'D2C - Retail'!AJ115+'D2C Online'!BA87</f>
        <v>2649203.0798956109</v>
      </c>
      <c r="AD75" s="19">
        <f>'D2C - Retail'!AK115+'D2C Online'!BB87</f>
        <v>3515391.1464291597</v>
      </c>
      <c r="AE75" s="19">
        <f>'D2C - Retail'!AL115+'D2C Online'!BC87</f>
        <v>3795257.3405534327</v>
      </c>
      <c r="AF75" s="19">
        <f>'D2C - Retail'!AM115+'D2C Online'!BD87</f>
        <v>4345647.280576922</v>
      </c>
      <c r="AG75" s="19">
        <f>'D2C - Retail'!AN115+'D2C Online'!BE87</f>
        <v>4322220.0951282047</v>
      </c>
      <c r="AH75" s="19">
        <f>'D2C - Retail'!AO115+'D2C Online'!BF87</f>
        <v>5385776.3660256397</v>
      </c>
      <c r="AI75" s="19">
        <f>'D2C - Retail'!AP115+'D2C Online'!BG87</f>
        <v>5317021.6030128207</v>
      </c>
      <c r="AJ75" s="19">
        <f>'D2C - Retail'!AQ115+'D2C Online'!BH87</f>
        <v>7765348.2626923099</v>
      </c>
      <c r="AK75" s="19">
        <f>'D2C - Retail'!AR115+'D2C Online'!BI87</f>
        <v>7325918.51955128</v>
      </c>
      <c r="AL75" s="19">
        <f>'D2C - Retail'!AS115+'D2C Online'!BJ87</f>
        <v>6528208.6888461523</v>
      </c>
      <c r="AM75" s="19">
        <f>'D2C - Retail'!AT115+'D2C Online'!BK87</f>
        <v>6557592.1728846151</v>
      </c>
      <c r="AN75" s="19">
        <f>'D2C - Retail'!AU115+'D2C Online'!BL87</f>
        <v>5971041.4852564102</v>
      </c>
      <c r="AO75" s="19">
        <f>'D2C - Retail'!AV115+'D2C Online'!BM87</f>
        <v>5912933.8114743587</v>
      </c>
      <c r="AP75" s="19">
        <f>'D2C - Retail'!AW115+'D2C Online'!BN87</f>
        <v>5542731.2857124917</v>
      </c>
      <c r="AQ75" s="19">
        <f>'D2C - Retail'!AX115+'D2C Online'!BO87</f>
        <v>5299175.7867370229</v>
      </c>
      <c r="AR75" s="19">
        <f>'D2C - Retail'!AY115+'D2C Online'!BP87</f>
        <v>5595523.848917054</v>
      </c>
      <c r="AS75" s="19">
        <f>'D2C - Retail'!AZ115+'D2C Online'!BQ87</f>
        <v>5613205.2647770038</v>
      </c>
      <c r="AT75" s="19">
        <f>'D2C - Retail'!BA115+'D2C Online'!BR87</f>
        <v>6133768.8355321083</v>
      </c>
      <c r="AU75" s="19">
        <f>'D2C - Retail'!BB115+'D2C Online'!BS87</f>
        <v>6507062.0151514001</v>
      </c>
      <c r="AV75" s="19">
        <f>'D2C - Retail'!BC115+'D2C Online'!BT87</f>
        <v>6647839.6567724422</v>
      </c>
      <c r="AW75" s="19">
        <f>'D2C - Retail'!BD115+'D2C Online'!BU87</f>
        <v>6684929.9178869827</v>
      </c>
      <c r="AX75" s="19">
        <f>'D2C - Retail'!BE115+'D2C Online'!BV87</f>
        <v>7629015.3673294876</v>
      </c>
      <c r="AY75" s="19">
        <f>'D2C - Retail'!BF115+'D2C Online'!BW87</f>
        <v>7856700.2813097313</v>
      </c>
      <c r="AZ75" s="19">
        <f>'D2C - Retail'!BG115+'D2C Online'!BX87</f>
        <v>7700804.7639947888</v>
      </c>
      <c r="BA75" s="19">
        <f>'D2C - Retail'!BH115+'D2C Online'!BY87</f>
        <v>8155766.3272636812</v>
      </c>
      <c r="BB75" s="19">
        <f>'D2C - Retail'!BI115+'D2C Online'!BZ87</f>
        <v>8664915.2187907118</v>
      </c>
      <c r="BC75" s="19">
        <f>'D2C - Retail'!BJ115+'D2C Online'!CA87</f>
        <v>7984391.687886117</v>
      </c>
      <c r="BD75" s="19">
        <f>'D2C - Retail'!BK115+'D2C Online'!CB87</f>
        <v>9894722.2114408165</v>
      </c>
      <c r="BE75" s="19">
        <f>'D2C - Retail'!BL115+'D2C Online'!CC87</f>
        <v>9800700.7808263581</v>
      </c>
      <c r="BF75" s="19">
        <f>'D2C - Retail'!BM115+'D2C Online'!CD87</f>
        <v>10680840.970373441</v>
      </c>
      <c r="BG75" s="19">
        <f>'D2C - Retail'!BN115+'D2C Online'!CE87</f>
        <v>12170496.357534319</v>
      </c>
      <c r="BH75" s="19">
        <f>'D2C - Retail'!BO115+'D2C Online'!CF87</f>
        <v>12668685.896039147</v>
      </c>
      <c r="BI75" s="19">
        <f>'D2C - Retail'!BP115+'D2C Online'!CG87</f>
        <v>12476763.639871728</v>
      </c>
      <c r="BJ75" s="19">
        <f>'D2C - Retail'!BQ115+'D2C Online'!CH87</f>
        <v>12413585.597750906</v>
      </c>
      <c r="BK75" s="19">
        <f>'D2C - Retail'!BR115+'D2C Online'!CI87</f>
        <v>12600642.223935502</v>
      </c>
      <c r="BL75" s="19">
        <f>'D2C - Retail'!BS115+'D2C Online'!CJ87</f>
        <v>11768865.202310378</v>
      </c>
      <c r="BM75" s="19">
        <f>'D2C - Retail'!BT115+'D2C Online'!CK87</f>
        <v>12348291.513836179</v>
      </c>
      <c r="BN75" s="19">
        <f>'D2C - Retail'!BU115+'D2C Online'!CL87</f>
        <v>11020785.292806083</v>
      </c>
      <c r="BO75" s="19">
        <f>'D2C - Retail'!BV115+'D2C Online'!CM87</f>
        <v>10983087.579685349</v>
      </c>
      <c r="BP75" s="19">
        <f>'D2C - Retail'!BW115+'D2C Online'!CN87</f>
        <v>10968722.632947329</v>
      </c>
      <c r="BQ75" s="19">
        <f>'D2C - Retail'!BX115+'D2C Online'!CO87</f>
        <v>11455751.6498389</v>
      </c>
      <c r="BR75" s="19">
        <f>'D2C - Retail'!BY115+'D2C Online'!CP87</f>
        <v>10543746.671063608</v>
      </c>
      <c r="BS75" s="19">
        <f>'D2C - Retail'!BZ115+'D2C Online'!CQ87</f>
        <v>10775358.117296487</v>
      </c>
      <c r="BT75" s="19">
        <f>'D2C - Retail'!CA115+'D2C Online'!CR87</f>
        <v>11651049.780101378</v>
      </c>
      <c r="BU75" s="19">
        <f>'D2C - Retail'!CB115+'D2C Online'!CS87</f>
        <v>11245478.875813555</v>
      </c>
      <c r="BV75" s="19">
        <f>'D2C - Retail'!CC115+'D2C Online'!CT87</f>
        <v>13618387.087766759</v>
      </c>
      <c r="BW75" s="19">
        <f>'D2C - Retail'!CD115+'D2C Online'!CU87</f>
        <v>14365362.764675122</v>
      </c>
      <c r="BX75" s="19">
        <f>'D2C - Retail'!CE115+'D2C Online'!CV87</f>
        <v>12748839.716192702</v>
      </c>
      <c r="BY75" s="19">
        <f>'D2C - Retail'!CF115+'D2C Online'!CW87</f>
        <v>14235081.593014095</v>
      </c>
      <c r="BZ75" s="19">
        <f>'D2C - Retail'!CG115+'D2C Online'!CX87</f>
        <v>13240384.942382194</v>
      </c>
      <c r="CA75" s="19">
        <f>'D2C - Retail'!CH115+'D2C Online'!CY87</f>
        <v>13206433.361280683</v>
      </c>
      <c r="CB75" s="19">
        <f>'D2C - Retail'!CI115+'D2C Online'!CZ87</f>
        <v>13158762.695736011</v>
      </c>
      <c r="CC75" s="19">
        <f>'D2C - Retail'!CJ115+'D2C Online'!DA87</f>
        <v>13746216.585078483</v>
      </c>
      <c r="CD75" s="19">
        <f>'D2C - Retail'!CK115+'D2C Online'!DB87</f>
        <v>12634896.564667329</v>
      </c>
      <c r="CE75" s="19">
        <f>'D2C - Retail'!CL115+'D2C Online'!DC87</f>
        <v>12886158.628839605</v>
      </c>
      <c r="CF75" s="19">
        <f>'D2C - Retail'!CM115+'D2C Online'!DD87</f>
        <v>13934616.884418178</v>
      </c>
      <c r="CG75" s="19">
        <f>'D2C - Retail'!CN115+'D2C Online'!DE87</f>
        <v>13412122.578336503</v>
      </c>
      <c r="CH75" s="19">
        <f>'D2C - Retail'!CO115+'D2C Online'!DF87</f>
        <v>16217293.535552362</v>
      </c>
      <c r="CI75" s="19">
        <f>'D2C - Retail'!CP115+'D2C Online'!DG87</f>
        <v>17074663.510602765</v>
      </c>
      <c r="CJ75" s="19">
        <f>'D2C - Retail'!CQ115+'D2C Online'!DH87</f>
        <v>15122655.188076515</v>
      </c>
      <c r="CK75" s="19">
        <f>'D2C - Retail'!CR115+'D2C Online'!DI87</f>
        <v>16803786.983833801</v>
      </c>
      <c r="CL75" s="19">
        <f>'D2C - Retail'!CS115+'D2C Online'!DJ87</f>
        <v>15415662.827736054</v>
      </c>
      <c r="CM75" s="19">
        <f>'D2C - Retail'!CT115+'D2C Online'!DK87</f>
        <v>15373691.722519351</v>
      </c>
      <c r="CN75" s="19">
        <f>'D2C - Retail'!CU115+'D2C Online'!DL87</f>
        <v>15314972.861623023</v>
      </c>
      <c r="CO75" s="19">
        <f>'D2C - Retail'!CV115+'D2C Online'!DM87</f>
        <v>15986101.726369282</v>
      </c>
      <c r="CP75" s="19">
        <f>'D2C - Retail'!CW115+'D2C Online'!DN87</f>
        <v>14693633.216420559</v>
      </c>
      <c r="CQ75" s="19">
        <f>'D2C - Retail'!CX115+'D2C Online'!DO87</f>
        <v>15002683.671008684</v>
      </c>
      <c r="CR75" s="19">
        <f>'D2C - Retail'!CY115+'D2C Online'!DP87</f>
        <v>16184750.48131213</v>
      </c>
      <c r="CS75" s="19">
        <f>'D2C - Retail'!CZ115+'D2C Online'!DQ87</f>
        <v>15586954.177141175</v>
      </c>
      <c r="CT75" s="19">
        <f>'D2C - Retail'!DA115+'D2C Online'!DR87</f>
        <v>18856369.810674094</v>
      </c>
      <c r="CU75" s="19">
        <f>'D2C - Retail'!DB115+'D2C Online'!DS87</f>
        <v>19863010.064390063</v>
      </c>
      <c r="CV75" s="19">
        <f>'D2C - Retail'!DC115+'D2C Online'!DT87</f>
        <v>17571950.263845045</v>
      </c>
      <c r="CW75" s="19">
        <f>'D2C - Retail'!DD115+'D2C Online'!DU87</f>
        <v>19513307.124229319</v>
      </c>
      <c r="CY75" s="19">
        <f t="shared" si="287"/>
        <v>11656295.767559513</v>
      </c>
      <c r="CZ75" s="19">
        <f t="shared" si="288"/>
        <v>15025018.064166665</v>
      </c>
      <c r="DA75" s="19">
        <f t="shared" si="289"/>
        <v>21619475.471089743</v>
      </c>
      <c r="DB75" s="19">
        <f t="shared" si="290"/>
        <v>18441567.469615385</v>
      </c>
      <c r="DC75" s="19">
        <f t="shared" si="291"/>
        <v>16437430.921366569</v>
      </c>
      <c r="DD75" s="19">
        <f t="shared" si="292"/>
        <v>18254036.115460511</v>
      </c>
      <c r="DE75" s="19">
        <f t="shared" si="293"/>
        <v>20961784.941988915</v>
      </c>
      <c r="DF75" s="19">
        <f t="shared" si="294"/>
        <v>23713271.372568201</v>
      </c>
      <c r="DG75" s="19">
        <f t="shared" si="295"/>
        <v>26544029.118117645</v>
      </c>
      <c r="DH75" s="19">
        <f t="shared" si="296"/>
        <v>32652038.108734116</v>
      </c>
      <c r="DI75" s="19">
        <f t="shared" si="297"/>
        <v>37559035.133661777</v>
      </c>
      <c r="DJ75" s="19">
        <f t="shared" si="298"/>
        <v>36717798.940082058</v>
      </c>
      <c r="DK75" s="19">
        <f t="shared" si="299"/>
        <v>32972595.505438764</v>
      </c>
      <c r="DL75" s="19">
        <f t="shared" si="300"/>
        <v>32774856.438198995</v>
      </c>
      <c r="DM75" s="19">
        <f t="shared" si="301"/>
        <v>36514915.743681692</v>
      </c>
      <c r="DN75" s="19">
        <f t="shared" si="302"/>
        <v>41349284.073881924</v>
      </c>
      <c r="DO75" s="19">
        <f t="shared" si="303"/>
        <v>39605580.999398887</v>
      </c>
      <c r="DP75" s="19">
        <f t="shared" si="304"/>
        <v>39267271.778585419</v>
      </c>
      <c r="DQ75" s="19">
        <f t="shared" si="305"/>
        <v>43564032.998307042</v>
      </c>
      <c r="DR75" s="19">
        <f t="shared" si="306"/>
        <v>49001105.682513081</v>
      </c>
      <c r="DS75" s="19">
        <f t="shared" si="312"/>
        <v>46104327.411878422</v>
      </c>
      <c r="DT75" s="19">
        <f t="shared" si="313"/>
        <v>45682418.613798529</v>
      </c>
      <c r="DU75" s="19">
        <f t="shared" si="314"/>
        <v>50628074.469127402</v>
      </c>
      <c r="DV75" s="19">
        <f t="shared" si="315"/>
        <v>56948267.452464424</v>
      </c>
      <c r="DX75" s="19">
        <f t="shared" si="307"/>
        <v>66742356.772431307</v>
      </c>
      <c r="DY75" s="19">
        <f t="shared" si="308"/>
        <v>79366523.351384193</v>
      </c>
      <c r="DZ75" s="19">
        <f t="shared" si="309"/>
        <v>133472901.3005956</v>
      </c>
      <c r="EA75" s="19">
        <f t="shared" si="310"/>
        <v>143611651.76120138</v>
      </c>
      <c r="EB75" s="19">
        <f t="shared" si="311"/>
        <v>171437991.45880443</v>
      </c>
      <c r="EC75" s="770">
        <f t="shared" si="316"/>
        <v>199363087.94726878</v>
      </c>
    </row>
    <row r="76" spans="2:133" x14ac:dyDescent="0.2">
      <c r="B76" s="167" t="s">
        <v>26</v>
      </c>
      <c r="C76" s="19">
        <f>'D2C - Retail'!J114+'D2C Online'!AA88</f>
        <v>301557.90328797279</v>
      </c>
      <c r="D76" s="19">
        <f>'D2C - Retail'!K114+'D2C Online'!AB88</f>
        <v>234512.47945368168</v>
      </c>
      <c r="E76" s="19">
        <f>'D2C - Retail'!L114+'D2C Online'!AC88</f>
        <v>298486.68384594069</v>
      </c>
      <c r="F76" s="19">
        <f>'D2C - Retail'!M114+'D2C Online'!AD88</f>
        <v>258737.8013377926</v>
      </c>
      <c r="G76" s="19">
        <f>'D2C - Retail'!N114+'D2C Online'!AE88</f>
        <v>153854.09807399902</v>
      </c>
      <c r="H76" s="19">
        <f>'D2C - Retail'!O114+'D2C Online'!AF88</f>
        <v>170587.16038115689</v>
      </c>
      <c r="I76" s="19">
        <f>'D2C - Retail'!P114+'D2C Online'!AG88</f>
        <v>248934.32249030587</v>
      </c>
      <c r="J76" s="19">
        <f>'D2C - Retail'!Q114+'D2C Online'!AH88</f>
        <v>224172.69058570988</v>
      </c>
      <c r="K76" s="19">
        <f>'D2C - Retail'!R114+'D2C Online'!AI88</f>
        <v>290368.09382463322</v>
      </c>
      <c r="L76" s="19">
        <f>'D2C - Retail'!S114+'D2C Online'!AJ88</f>
        <v>181013.68760963163</v>
      </c>
      <c r="M76" s="19">
        <f>'D2C - Retail'!T114+'D2C Online'!AK88</f>
        <v>397835.97874587466</v>
      </c>
      <c r="N76" s="19">
        <f>'D2C - Retail'!U114+'D2C Online'!AL88</f>
        <v>452398.55106470344</v>
      </c>
      <c r="O76" s="19">
        <f>'D2C - Retail'!V114+'D2C Online'!AM88</f>
        <v>459820.29018286814</v>
      </c>
      <c r="P76" s="19">
        <f>'D2C - Retail'!W114+'D2C Online'!AN88</f>
        <v>390945.87977976771</v>
      </c>
      <c r="Q76" s="19">
        <f>'D2C - Retail'!X114+'D2C Online'!AO88</f>
        <v>509072.20584160066</v>
      </c>
      <c r="R76" s="19">
        <f>'D2C - Retail'!Y114+'D2C Online'!AP88</f>
        <v>610620.74884277326</v>
      </c>
      <c r="S76" s="19">
        <f>'D2C - Retail'!Z114+'D2C Online'!AQ88</f>
        <v>718435.30523760687</v>
      </c>
      <c r="T76" s="19">
        <f>'D2C - Retail'!AA114+'D2C Online'!AR88</f>
        <v>1639098.6816985749</v>
      </c>
      <c r="U76" s="19">
        <f>'D2C - Retail'!AB114+'D2C Online'!AS88</f>
        <v>1422777.0433437175</v>
      </c>
      <c r="V76" s="19">
        <f>'D2C - Retail'!AC114+'D2C Online'!AT88</f>
        <v>1391332.1709338063</v>
      </c>
      <c r="W76" s="19">
        <f>'D2C - Retail'!AD114+'D2C Online'!AU88</f>
        <v>1538577.7659660205</v>
      </c>
      <c r="X76" s="19">
        <f>'D2C - Retail'!AE114+'D2C Online'!AV88</f>
        <v>2121728.7601926792</v>
      </c>
      <c r="Y76" s="19">
        <f>'D2C - Retail'!AF114+'D2C Online'!AW88</f>
        <v>2047261.0073487952</v>
      </c>
      <c r="Z76" s="19">
        <f>'D2C - Retail'!AG114+'D2C Online'!AX88</f>
        <v>2141886.2885579285</v>
      </c>
      <c r="AA76" s="19">
        <f>'D2C - Retail'!AH114+'D2C Online'!AY88</f>
        <v>2265592.7556203557</v>
      </c>
      <c r="AB76" s="19">
        <f>'D2C - Retail'!AI114+'D2C Online'!AZ88</f>
        <v>2408989.8005624549</v>
      </c>
      <c r="AC76" s="19">
        <f>'D2C - Retail'!AJ114+'D2C Online'!BA88</f>
        <v>2726978.5445830314</v>
      </c>
      <c r="AD76" s="19">
        <f>'D2C - Retail'!AK114+'D2C Online'!BB88</f>
        <v>3816316.2898884611</v>
      </c>
      <c r="AE76" s="19">
        <f>'D2C - Retail'!AL114+'D2C Online'!BC88</f>
        <v>4526021.6615172056</v>
      </c>
      <c r="AF76" s="19">
        <f>'D2C - Retail'!AM114+'D2C Online'!BD88</f>
        <v>4493118.4780128207</v>
      </c>
      <c r="AG76" s="19">
        <f>'D2C - Retail'!AN114+'D2C Online'!BE88</f>
        <v>5250164.4780128207</v>
      </c>
      <c r="AH76" s="19">
        <f>'D2C - Retail'!AO114+'D2C Online'!BF88</f>
        <v>5656907.7694230769</v>
      </c>
      <c r="AI76" s="19">
        <f>'D2C - Retail'!AP114+'D2C Online'!BG88</f>
        <v>5692706.2087820508</v>
      </c>
      <c r="AJ76" s="19">
        <f>'D2C - Retail'!AQ114+'D2C Online'!BH88</f>
        <v>5984134.5863461532</v>
      </c>
      <c r="AK76" s="19">
        <f>'D2C - Retail'!AR114+'D2C Online'!BI88</f>
        <v>7065075.4596794881</v>
      </c>
      <c r="AL76" s="19">
        <f>'D2C - Retail'!AS114+'D2C Online'!BJ88</f>
        <v>5411302.4763229918</v>
      </c>
      <c r="AM76" s="19">
        <f>'D2C - Retail'!AT114+'D2C Online'!BK88</f>
        <v>5046089.3115384616</v>
      </c>
      <c r="AN76" s="19">
        <f>'D2C - Retail'!AU114+'D2C Online'!BL88</f>
        <v>4577165.0398717951</v>
      </c>
      <c r="AO76" s="19">
        <f>'D2C - Retail'!AV114+'D2C Online'!BM88</f>
        <v>4342957.7082913928</v>
      </c>
      <c r="AP76" s="19">
        <f>'D2C - Retail'!AW114+'D2C Online'!BN88</f>
        <v>3829034.5194315184</v>
      </c>
      <c r="AQ76" s="19">
        <f>'D2C - Retail'!AX114+'D2C Online'!BO88</f>
        <v>4474651.8074049037</v>
      </c>
      <c r="AR76" s="19">
        <f>'D2C - Retail'!AY114+'D2C Online'!BP88</f>
        <v>5048258.4705044962</v>
      </c>
      <c r="AS76" s="19">
        <f>'D2C - Retail'!AZ114+'D2C Online'!BQ88</f>
        <v>5043012.0811906792</v>
      </c>
      <c r="AT76" s="19">
        <f>'D2C - Retail'!BA114+'D2C Online'!BR88</f>
        <v>4874016.9711896069</v>
      </c>
      <c r="AU76" s="19">
        <f>'D2C - Retail'!BB114+'D2C Online'!BS88</f>
        <v>4980592.766182065</v>
      </c>
      <c r="AV76" s="19">
        <f>'D2C - Retail'!BC114+'D2C Online'!BT88</f>
        <v>4944471.784648452</v>
      </c>
      <c r="AW76" s="19">
        <f>'D2C - Retail'!BD114+'D2C Online'!BU88</f>
        <v>4569697.1966437493</v>
      </c>
      <c r="AX76" s="19">
        <f>'D2C - Retail'!BE114+'D2C Online'!BV88</f>
        <v>5263389.2057185117</v>
      </c>
      <c r="AY76" s="19">
        <f>'D2C - Retail'!BF114+'D2C Online'!BW88</f>
        <v>5132113.7778107524</v>
      </c>
      <c r="AZ76" s="19">
        <f>'D2C - Retail'!BG114+'D2C Online'!BX88</f>
        <v>4956714.8615725562</v>
      </c>
      <c r="BA76" s="19">
        <f>'D2C - Retail'!BH114+'D2C Online'!BY88</f>
        <v>5252374.1615563463</v>
      </c>
      <c r="BB76" s="19">
        <f>'D2C - Retail'!BI114+'D2C Online'!BZ88</f>
        <v>5650786.7945991047</v>
      </c>
      <c r="BC76" s="19">
        <f>'D2C - Retail'!BJ114+'D2C Online'!CA88</f>
        <v>5243713.7141095735</v>
      </c>
      <c r="BD76" s="19">
        <f>'D2C - Retail'!BK114+'D2C Online'!CB88</f>
        <v>5783802.5170281399</v>
      </c>
      <c r="BE76" s="19">
        <f>'D2C - Retail'!BL114+'D2C Online'!CC88</f>
        <v>6284867.0360860797</v>
      </c>
      <c r="BF76" s="19">
        <f>'D2C - Retail'!BM114+'D2C Online'!CD88</f>
        <v>6581197.5582418647</v>
      </c>
      <c r="BG76" s="19">
        <f>'D2C - Retail'!BN114+'D2C Online'!CE88</f>
        <v>7091934.3922863817</v>
      </c>
      <c r="BH76" s="19">
        <f>'D2C - Retail'!BO114+'D2C Online'!CF88</f>
        <v>7247553.0948621593</v>
      </c>
      <c r="BI76" s="19">
        <f>'D2C - Retail'!BP114+'D2C Online'!CG88</f>
        <v>7497843.8255472938</v>
      </c>
      <c r="BJ76" s="19">
        <f>'D2C - Retail'!BQ114+'D2C Online'!CH88</f>
        <v>7361649.2066744138</v>
      </c>
      <c r="BK76" s="19">
        <f>'D2C - Retail'!BR114+'D2C Online'!CI88</f>
        <v>7401139.327531253</v>
      </c>
      <c r="BL76" s="19">
        <f>'D2C - Retail'!BS114+'D2C Online'!CJ88</f>
        <v>7048607.3115404788</v>
      </c>
      <c r="BM76" s="19">
        <f>'D2C - Retail'!BT114+'D2C Online'!CK88</f>
        <v>7362178.8897595126</v>
      </c>
      <c r="BN76" s="19">
        <f>'D2C - Retail'!BU114+'D2C Online'!CL88</f>
        <v>6583804.2806829941</v>
      </c>
      <c r="BO76" s="19">
        <f>'D2C - Retail'!BV114+'D2C Online'!CM88</f>
        <v>6561461.8249792438</v>
      </c>
      <c r="BP76" s="19">
        <f>'D2C - Retail'!BW114+'D2C Online'!CN88</f>
        <v>6552887.8296204386</v>
      </c>
      <c r="BQ76" s="19">
        <f>'D2C - Retail'!BX114+'D2C Online'!CO88</f>
        <v>6843459.1284851711</v>
      </c>
      <c r="BR76" s="19">
        <f>'D2C - Retail'!BY114+'D2C Online'!CP88</f>
        <v>6298937.7259403765</v>
      </c>
      <c r="BS76" s="19">
        <f>'D2C - Retail'!BZ114+'D2C Online'!CQ88</f>
        <v>6438214.8197886525</v>
      </c>
      <c r="BT76" s="19">
        <f>'D2C - Retail'!CA114+'D2C Online'!CR88</f>
        <v>6959928.653953271</v>
      </c>
      <c r="BU76" s="19">
        <f>'D2C - Retail'!CB114+'D2C Online'!CS88</f>
        <v>6718154.646202391</v>
      </c>
      <c r="BV76" s="19">
        <f>'D2C - Retail'!CC114+'D2C Online'!CT88</f>
        <v>8135974.7302873395</v>
      </c>
      <c r="BW76" s="19">
        <f>'D2C - Retail'!CD114+'D2C Online'!CU88</f>
        <v>8582611.9573475625</v>
      </c>
      <c r="BX76" s="19">
        <f>'D2C - Retail'!CE114+'D2C Online'!CV88</f>
        <v>7616279.5026241932</v>
      </c>
      <c r="BY76" s="19">
        <f>'D2C - Retail'!CF114+'D2C Online'!CW88</f>
        <v>8503624.3862974234</v>
      </c>
      <c r="BZ76" s="19">
        <f>'D2C - Retail'!CG114+'D2C Online'!CX88</f>
        <v>7909569.1452810429</v>
      </c>
      <c r="CA76" s="19">
        <f>'D2C - Retail'!CH114+'D2C Online'!CY88</f>
        <v>7889484.7678711712</v>
      </c>
      <c r="CB76" s="19">
        <f>'D2C - Retail'!CI114+'D2C Online'!CZ88</f>
        <v>7861051.8126561483</v>
      </c>
      <c r="CC76" s="19">
        <f>'D2C - Retail'!CJ114+'D2C Online'!DA88</f>
        <v>8211534.2780993879</v>
      </c>
      <c r="CD76" s="19">
        <f>'D2C - Retail'!CK114+'D2C Online'!DB88</f>
        <v>7548036.2728464119</v>
      </c>
      <c r="CE76" s="19">
        <f>'D2C - Retail'!CL114+'D2C Online'!DC88</f>
        <v>7699248.4463065453</v>
      </c>
      <c r="CF76" s="19">
        <f>'D2C - Retail'!CM114+'D2C Online'!DD88</f>
        <v>8323896.9214875288</v>
      </c>
      <c r="CG76" s="19">
        <f>'D2C - Retail'!CN114+'D2C Online'!DE88</f>
        <v>8012417.7958875429</v>
      </c>
      <c r="CH76" s="19">
        <f>'D2C - Retail'!CO114+'D2C Online'!DF88</f>
        <v>9688523.383910723</v>
      </c>
      <c r="CI76" s="19">
        <f>'D2C - Retail'!CP114+'D2C Online'!DG88</f>
        <v>10201215.474004962</v>
      </c>
      <c r="CJ76" s="19">
        <f>'D2C - Retail'!CQ114+'D2C Online'!DH88</f>
        <v>9034393.7337090522</v>
      </c>
      <c r="CK76" s="19">
        <f>'D2C - Retail'!CR114+'D2C Online'!DI88</f>
        <v>10038161.327552974</v>
      </c>
      <c r="CL76" s="19">
        <f>'D2C - Retail'!CS114+'D2C Online'!DJ88</f>
        <v>9209354.7860516347</v>
      </c>
      <c r="CM76" s="19">
        <f>'D2C - Retail'!CT114+'D2C Online'!DK88</f>
        <v>9184518.2191824745</v>
      </c>
      <c r="CN76" s="19">
        <f>'D2C - Retail'!CU114+'D2C Online'!DL88</f>
        <v>9149496.1471732743</v>
      </c>
      <c r="CO76" s="19">
        <f>'D2C - Retail'!CV114+'D2C Online'!DM88</f>
        <v>9549910.1110784337</v>
      </c>
      <c r="CP76" s="19">
        <f>'D2C - Retail'!CW114+'D2C Online'!DN88</f>
        <v>8778240.2208386511</v>
      </c>
      <c r="CQ76" s="19">
        <f>'D2C - Retail'!CX114+'D2C Online'!DO88</f>
        <v>8964166.0460113622</v>
      </c>
      <c r="CR76" s="19">
        <f>'D2C - Retail'!CY114+'D2C Online'!DP88</f>
        <v>9668389.71264874</v>
      </c>
      <c r="CS76" s="19">
        <f>'D2C - Retail'!CZ114+'D2C Online'!DQ88</f>
        <v>9312021.6538671181</v>
      </c>
      <c r="CT76" s="19">
        <f>'D2C - Retail'!DA114+'D2C Online'!DR88</f>
        <v>11265585.128905701</v>
      </c>
      <c r="CU76" s="19">
        <f>'D2C - Retail'!DB114+'D2C Online'!DS88</f>
        <v>11867554.003577124</v>
      </c>
      <c r="CV76" s="19">
        <f>'D2C - Retail'!DC114+'D2C Online'!DT88</f>
        <v>10498030.14705492</v>
      </c>
      <c r="CW76" s="19">
        <f>'D2C - Retail'!DD114+'D2C Online'!DU88</f>
        <v>11657215.881563999</v>
      </c>
      <c r="CY76" s="19">
        <f t="shared" si="287"/>
        <v>12835456.429418487</v>
      </c>
      <c r="CZ76" s="19">
        <f t="shared" si="288"/>
        <v>16599778.456217948</v>
      </c>
      <c r="DA76" s="19">
        <f t="shared" si="289"/>
        <v>18460512.522348635</v>
      </c>
      <c r="DB76" s="19">
        <f t="shared" si="290"/>
        <v>13966212.059701649</v>
      </c>
      <c r="DC76" s="19">
        <f t="shared" si="291"/>
        <v>13351944.797340918</v>
      </c>
      <c r="DD76" s="19">
        <f t="shared" si="292"/>
        <v>14897621.818562351</v>
      </c>
      <c r="DE76" s="19">
        <f t="shared" si="293"/>
        <v>14777558.187010713</v>
      </c>
      <c r="DF76" s="19">
        <f t="shared" si="294"/>
        <v>15341202.800939655</v>
      </c>
      <c r="DG76" s="19">
        <f t="shared" si="295"/>
        <v>16678303.025736818</v>
      </c>
      <c r="DH76" s="19">
        <f t="shared" si="296"/>
        <v>19957998.986614328</v>
      </c>
      <c r="DI76" s="19">
        <f t="shared" si="297"/>
        <v>22107046.127083868</v>
      </c>
      <c r="DJ76" s="19">
        <f t="shared" si="298"/>
        <v>21811925.528831244</v>
      </c>
      <c r="DK76" s="19">
        <f t="shared" si="299"/>
        <v>19698153.935282677</v>
      </c>
      <c r="DL76" s="19">
        <f t="shared" si="300"/>
        <v>19580611.674214199</v>
      </c>
      <c r="DM76" s="19">
        <f t="shared" si="301"/>
        <v>21814058.030443002</v>
      </c>
      <c r="DN76" s="19">
        <f t="shared" si="302"/>
        <v>24702515.846269179</v>
      </c>
      <c r="DO76" s="19">
        <f t="shared" si="303"/>
        <v>23660105.725808363</v>
      </c>
      <c r="DP76" s="19">
        <f t="shared" si="304"/>
        <v>23458818.997252345</v>
      </c>
      <c r="DQ76" s="19">
        <f t="shared" si="305"/>
        <v>26024838.101285793</v>
      </c>
      <c r="DR76" s="19">
        <f t="shared" si="306"/>
        <v>29273770.535266988</v>
      </c>
      <c r="DS76" s="19">
        <f t="shared" si="312"/>
        <v>27543369.152407382</v>
      </c>
      <c r="DT76" s="19">
        <f t="shared" si="313"/>
        <v>27292316.377928447</v>
      </c>
      <c r="DU76" s="19">
        <f t="shared" si="314"/>
        <v>30245996.495421559</v>
      </c>
      <c r="DV76" s="19">
        <f t="shared" si="315"/>
        <v>34022800.032196045</v>
      </c>
      <c r="DX76" s="19">
        <f t="shared" si="307"/>
        <v>61861959.46768672</v>
      </c>
      <c r="DY76" s="19">
        <f t="shared" si="308"/>
        <v>58368327.603853635</v>
      </c>
      <c r="DZ76" s="19">
        <f t="shared" si="309"/>
        <v>80555273.668266267</v>
      </c>
      <c r="EA76" s="19">
        <f t="shared" si="310"/>
        <v>85795339.48620905</v>
      </c>
      <c r="EB76" s="19">
        <f t="shared" si="311"/>
        <v>102417533.35961351</v>
      </c>
      <c r="EC76" s="770">
        <f t="shared" si="316"/>
        <v>119104482.05795343</v>
      </c>
    </row>
    <row r="77" spans="2:133" x14ac:dyDescent="0.2">
      <c r="B77" s="167" t="s">
        <v>203</v>
      </c>
      <c r="C77" s="19">
        <f>'D2C - Retail'!J116</f>
        <v>402682.62711864407</v>
      </c>
      <c r="D77" s="19">
        <f>'D2C - Retail'!K116</f>
        <v>366026.7</v>
      </c>
      <c r="E77" s="19">
        <f>'D2C - Retail'!L116</f>
        <v>486624.78813559317</v>
      </c>
      <c r="F77" s="19">
        <f>'D2C - Retail'!M116</f>
        <v>305035.04237288132</v>
      </c>
      <c r="G77" s="19">
        <f>'D2C - Retail'!N116</f>
        <v>0</v>
      </c>
      <c r="H77" s="19">
        <f>'D2C - Retail'!O116</f>
        <v>548735.97457627114</v>
      </c>
      <c r="I77" s="19">
        <f>'D2C - Retail'!P116</f>
        <v>763259.1101694915</v>
      </c>
      <c r="J77" s="19">
        <f>'D2C - Retail'!Q116</f>
        <v>703194.6610169491</v>
      </c>
      <c r="K77" s="19">
        <f>'D2C - Retail'!R116</f>
        <v>865866.6101694915</v>
      </c>
      <c r="L77" s="19">
        <f>'D2C - Retail'!S116</f>
        <v>823447.88135593222</v>
      </c>
      <c r="M77" s="19">
        <f>'D2C - Retail'!T116</f>
        <v>868552.11864406778</v>
      </c>
      <c r="N77" s="19">
        <f>'D2C - Retail'!U116</f>
        <v>1245917.0262711863</v>
      </c>
      <c r="O77" s="19">
        <f>'D2C - Retail'!V116</f>
        <v>1235270.720338983</v>
      </c>
      <c r="P77" s="19">
        <f>'D2C - Retail'!W116</f>
        <v>1234301.3135593219</v>
      </c>
      <c r="Q77" s="19">
        <f>'D2C - Retail'!X116</f>
        <v>1140131.9491525423</v>
      </c>
      <c r="R77" s="19">
        <f>'D2C - Retail'!Y116</f>
        <v>1408098.9406779662</v>
      </c>
      <c r="S77" s="19">
        <f>'D2C - Retail'!Z116</f>
        <v>1617440.720338983</v>
      </c>
      <c r="T77" s="19">
        <f>'D2C - Retail'!AA116</f>
        <v>1635311.5677966101</v>
      </c>
      <c r="U77" s="19">
        <f>'D2C - Retail'!AB116</f>
        <v>1920910.5508474577</v>
      </c>
      <c r="V77" s="19">
        <f>'D2C - Retail'!AC116</f>
        <v>2016212.7966101696</v>
      </c>
      <c r="W77" s="19">
        <f>'D2C - Retail'!AD116</f>
        <v>1893172.6271186438</v>
      </c>
      <c r="X77" s="19">
        <f>'D2C - Retail'!AE116</f>
        <v>1806322.7542372879</v>
      </c>
      <c r="Y77" s="19">
        <f>'D2C - Retail'!AF116</f>
        <v>1906505.9745762711</v>
      </c>
      <c r="Z77" s="19">
        <f>'D2C - Retail'!AG116</f>
        <v>1921347.3305084745</v>
      </c>
      <c r="AA77" s="19">
        <f>'D2C - Retail'!AH116</f>
        <v>2040918.3050847456</v>
      </c>
      <c r="AB77" s="19">
        <f>'D2C - Retail'!AI116</f>
        <v>1922137.8813559322</v>
      </c>
      <c r="AC77" s="19">
        <f>'D2C - Retail'!AJ116</f>
        <v>2023275.7627118644</v>
      </c>
      <c r="AD77" s="19">
        <f>'D2C - Retail'!AK116</f>
        <v>2091748.4745762711</v>
      </c>
      <c r="AE77" s="19">
        <f>'D2C - Retail'!AL116</f>
        <v>2194290.8898305083</v>
      </c>
      <c r="AF77" s="19">
        <f>'D2C - Retail'!AM116</f>
        <v>2305587.3305084747</v>
      </c>
      <c r="AG77" s="19">
        <f>'D2C - Retail'!AN116</f>
        <v>2480884.0677966103</v>
      </c>
      <c r="AH77" s="19">
        <f>'D2C - Retail'!AO116</f>
        <v>2507427.7118644067</v>
      </c>
      <c r="AI77" s="19">
        <f>'D2C - Retail'!AP116</f>
        <v>2173633.3474576268</v>
      </c>
      <c r="AJ77" s="19">
        <f>'D2C - Retail'!AQ116</f>
        <v>2226024.5338983047</v>
      </c>
      <c r="AK77" s="19">
        <f>'D2C - Retail'!AR116</f>
        <v>1850930.9745762711</v>
      </c>
      <c r="AL77" s="19">
        <f>'D2C - Retail'!AS116</f>
        <v>1859126.1864406778</v>
      </c>
      <c r="AM77" s="19">
        <f>'D2C - Retail'!AT116</f>
        <v>1828529.7457627119</v>
      </c>
      <c r="AN77" s="19">
        <f>'D2C - Retail'!AU116</f>
        <v>1843272.7118644067</v>
      </c>
      <c r="AO77" s="19">
        <f>'D2C - Retail'!AV116</f>
        <v>2147163.6864406778</v>
      </c>
      <c r="AP77" s="19">
        <f>'D2C - Retail'!AW116</f>
        <v>2283013.7288135593</v>
      </c>
      <c r="AQ77" s="19">
        <f>'D2C - Retail'!AX116</f>
        <v>2448660.3813559324</v>
      </c>
      <c r="AR77" s="19">
        <f>'D2C - Retail'!AY116</f>
        <v>2643770.3389830505</v>
      </c>
      <c r="AS77" s="19">
        <f>'D2C - Retail'!AZ116</f>
        <v>2818794.5084745758</v>
      </c>
      <c r="AT77" s="19">
        <f>'D2C - Retail'!BA116</f>
        <v>2748113.8983050846</v>
      </c>
      <c r="AU77" s="19">
        <f>'D2C - Retail'!BB116</f>
        <v>2646348.1779661016</v>
      </c>
      <c r="AV77" s="19">
        <f>'D2C - Retail'!BC116</f>
        <v>2695889.9593220339</v>
      </c>
      <c r="AW77" s="19">
        <f>'D2C - Retail'!BD116</f>
        <v>2447775.8796610171</v>
      </c>
      <c r="AX77" s="19">
        <f>'D2C - Retail'!BE116</f>
        <v>2847536.5525423726</v>
      </c>
      <c r="AY77" s="19">
        <f>'D2C - Retail'!BF116</f>
        <v>2707648.7898305082</v>
      </c>
      <c r="AZ77" s="19">
        <f>'D2C - Retail'!BG116</f>
        <v>2366941.8305084743</v>
      </c>
      <c r="BA77" s="19">
        <f>'D2C - Retail'!BH116</f>
        <v>3140832.0406779661</v>
      </c>
      <c r="BB77" s="19">
        <f>'D2C - Retail'!BI116</f>
        <v>2898238.6016949154</v>
      </c>
      <c r="BC77" s="19">
        <f>'D2C - Retail'!BJ116</f>
        <v>2990955.5084745758</v>
      </c>
      <c r="BD77" s="19">
        <f>'D2C - Retail'!BK116</f>
        <v>3005626.1949152541</v>
      </c>
      <c r="BE77" s="19">
        <f>'D2C - Retail'!BL116</f>
        <v>3395868.7766949153</v>
      </c>
      <c r="BF77" s="19">
        <f>'D2C - Retail'!BM116</f>
        <v>3815735.7546610166</v>
      </c>
      <c r="BG77" s="19">
        <f>'D2C - Retail'!BN116</f>
        <v>3196792.8597457628</v>
      </c>
      <c r="BH77" s="19">
        <f>'D2C - Retail'!BO116</f>
        <v>3263023.8203389831</v>
      </c>
      <c r="BI77" s="19">
        <f>'D2C - Retail'!BP116</f>
        <v>3383415.2656779662</v>
      </c>
      <c r="BJ77" s="19">
        <f>'D2C - Retail'!BQ116</f>
        <v>4087288.136440678</v>
      </c>
      <c r="BK77" s="19">
        <f>'D2C - Retail'!BR116</f>
        <v>4051531.2826271183</v>
      </c>
      <c r="BL77" s="19">
        <f>'D2C - Retail'!BS116</f>
        <v>3960259.9372881353</v>
      </c>
      <c r="BM77" s="19">
        <f>'D2C - Retail'!BT116</f>
        <v>6747075.8466101699</v>
      </c>
      <c r="BN77" s="19">
        <f>'D2C - Retail'!BU116</f>
        <v>5625497.0578379268</v>
      </c>
      <c r="BO77" s="19">
        <f>'D2C - Retail'!BV116</f>
        <v>5509061.3476929544</v>
      </c>
      <c r="BP77" s="19">
        <f>'D2C - Retail'!BW116</f>
        <v>5497577.8256463548</v>
      </c>
      <c r="BQ77" s="19">
        <f>'D2C - Retail'!BX116</f>
        <v>5953137.4461728893</v>
      </c>
      <c r="BR77" s="19">
        <f>'D2C - Retail'!BY116</f>
        <v>5318826.7910760771</v>
      </c>
      <c r="BS77" s="19">
        <f>'D2C - Retail'!BZ116</f>
        <v>4939018.0747553483</v>
      </c>
      <c r="BT77" s="19">
        <f>'D2C - Retail'!CA116</f>
        <v>6162698.5841597123</v>
      </c>
      <c r="BU77" s="19">
        <f>'D2C - Retail'!CB116</f>
        <v>5675428.8569289083</v>
      </c>
      <c r="BV77" s="19">
        <f>'D2C - Retail'!CC116</f>
        <v>6751618.604415318</v>
      </c>
      <c r="BW77" s="19">
        <f>'D2C - Retail'!CD116</f>
        <v>6917458.3208509954</v>
      </c>
      <c r="BX77" s="19">
        <f>'D2C - Retail'!CE116</f>
        <v>6432528.2188111143</v>
      </c>
      <c r="BY77" s="19">
        <f>'D2C - Retail'!CF116</f>
        <v>7482717.3191059129</v>
      </c>
      <c r="BZ77" s="19">
        <f>'D2C - Retail'!CG116</f>
        <v>6879280.0216022758</v>
      </c>
      <c r="CA77" s="19">
        <f>'D2C - Retail'!CH116</f>
        <v>6753764.6784123024</v>
      </c>
      <c r="CB77" s="19">
        <f>'D2C - Retail'!CI116</f>
        <v>6704633.2002596557</v>
      </c>
      <c r="CC77" s="19">
        <f>'D2C - Retail'!CJ116</f>
        <v>7256491.7852408923</v>
      </c>
      <c r="CD77" s="19">
        <f>'D2C - Retail'!CK116</f>
        <v>6469164.0723603154</v>
      </c>
      <c r="CE77" s="19">
        <f>'D2C - Retail'!CL116</f>
        <v>5992529.2253576973</v>
      </c>
      <c r="CF77" s="19">
        <f>'D2C - Retail'!CM116</f>
        <v>7454961.1786939241</v>
      </c>
      <c r="CG77" s="19">
        <f>'D2C - Retail'!CN116</f>
        <v>6829001.8966663415</v>
      </c>
      <c r="CH77" s="19">
        <f>'D2C - Retail'!CO116</f>
        <v>8097329.2229250353</v>
      </c>
      <c r="CI77" s="19">
        <f>'D2C - Retail'!CP116</f>
        <v>8261983.7509587118</v>
      </c>
      <c r="CJ77" s="19">
        <f>'D2C - Retail'!CQ116</f>
        <v>7644427.0473838067</v>
      </c>
      <c r="CK77" s="19">
        <f>'D2C - Retail'!CR116</f>
        <v>8796443.073785454</v>
      </c>
      <c r="CL77" s="19">
        <f>'D2C - Retail'!CS116</f>
        <v>7838392.942497272</v>
      </c>
      <c r="CM77" s="19">
        <f>'D2C - Retail'!CT116</f>
        <v>7687685.4631870603</v>
      </c>
      <c r="CN77" s="19">
        <f>'D2C - Retail'!CU116</f>
        <v>7626878.074951008</v>
      </c>
      <c r="CO77" s="19">
        <f>'D2C - Retail'!CV116</f>
        <v>8251915.6482923133</v>
      </c>
      <c r="CP77" s="19">
        <f>'D2C - Retail'!CW116</f>
        <v>7347014.2754072985</v>
      </c>
      <c r="CQ77" s="19">
        <f>'D2C - Retail'!CX116</f>
        <v>6795688.1653980035</v>
      </c>
      <c r="CR77" s="19">
        <f>'D2C - Retail'!CY116</f>
        <v>8458594.2095184345</v>
      </c>
      <c r="CS77" s="19">
        <f>'D2C - Retail'!CZ116</f>
        <v>7741598.0170637155</v>
      </c>
      <c r="CT77" s="19">
        <f>'D2C - Retail'!DA116</f>
        <v>9182146.7827547267</v>
      </c>
      <c r="CU77" s="19">
        <f>'D2C - Retail'!DB116</f>
        <v>9366848.2875696104</v>
      </c>
      <c r="CV77" s="19">
        <f>'D2C - Retail'!DC116</f>
        <v>8659800.1465640441</v>
      </c>
      <c r="CW77" s="19">
        <f>'D2C - Retail'!DD116</f>
        <v>9966478.8857224137</v>
      </c>
      <c r="CY77" s="19">
        <f t="shared" si="287"/>
        <v>6591626.6949152537</v>
      </c>
      <c r="CZ77" s="19">
        <f t="shared" si="288"/>
        <v>7161945.1271186434</v>
      </c>
      <c r="DA77" s="19">
        <f t="shared" si="289"/>
        <v>5936081.6949152537</v>
      </c>
      <c r="DB77" s="19">
        <f t="shared" si="290"/>
        <v>5818966.1440677959</v>
      </c>
      <c r="DC77" s="19">
        <f t="shared" si="291"/>
        <v>7375444.4491525423</v>
      </c>
      <c r="DD77" s="19">
        <f t="shared" si="292"/>
        <v>8213256.584745761</v>
      </c>
      <c r="DE77" s="19">
        <f t="shared" si="293"/>
        <v>7991202.3915254241</v>
      </c>
      <c r="DF77" s="19">
        <f t="shared" si="294"/>
        <v>8215422.6610169485</v>
      </c>
      <c r="DG77" s="19">
        <f t="shared" si="295"/>
        <v>8894820.3050847445</v>
      </c>
      <c r="DH77" s="19">
        <f t="shared" si="296"/>
        <v>10408397.391101696</v>
      </c>
      <c r="DI77" s="19">
        <f t="shared" si="297"/>
        <v>10733727.222457627</v>
      </c>
      <c r="DJ77" s="19">
        <f t="shared" si="298"/>
        <v>14758867.066525424</v>
      </c>
      <c r="DK77" s="19">
        <f t="shared" si="299"/>
        <v>16632136.231177237</v>
      </c>
      <c r="DL77" s="19">
        <f t="shared" si="300"/>
        <v>16210982.312004315</v>
      </c>
      <c r="DM77" s="19">
        <f t="shared" si="301"/>
        <v>18589746.045503937</v>
      </c>
      <c r="DN77" s="19">
        <f t="shared" si="302"/>
        <v>20832703.858768024</v>
      </c>
      <c r="DO77" s="19">
        <f t="shared" si="303"/>
        <v>20337677.900274232</v>
      </c>
      <c r="DP77" s="19">
        <f t="shared" si="304"/>
        <v>19718185.082958903</v>
      </c>
      <c r="DQ77" s="19">
        <f t="shared" si="305"/>
        <v>22381292.298285298</v>
      </c>
      <c r="DR77" s="19">
        <f t="shared" si="306"/>
        <v>24702853.872127973</v>
      </c>
      <c r="DS77" s="19">
        <f t="shared" si="312"/>
        <v>23152956.480635341</v>
      </c>
      <c r="DT77" s="19">
        <f t="shared" si="313"/>
        <v>22394618.089097615</v>
      </c>
      <c r="DU77" s="19">
        <f t="shared" si="314"/>
        <v>25382339.009336878</v>
      </c>
      <c r="DV77" s="19">
        <f t="shared" si="315"/>
        <v>27993127.31985607</v>
      </c>
      <c r="DX77" s="19">
        <f t="shared" si="307"/>
        <v>25508619.661016949</v>
      </c>
      <c r="DY77" s="19">
        <f t="shared" si="308"/>
        <v>31795326.086440675</v>
      </c>
      <c r="DZ77" s="19">
        <f t="shared" si="309"/>
        <v>44795811.985169485</v>
      </c>
      <c r="EA77" s="19">
        <f t="shared" si="310"/>
        <v>72265568.447453514</v>
      </c>
      <c r="EB77" s="19">
        <f t="shared" si="311"/>
        <v>87140009.15364641</v>
      </c>
      <c r="EC77" s="770">
        <f t="shared" si="316"/>
        <v>98923040.8989259</v>
      </c>
    </row>
    <row r="78" spans="2:133" x14ac:dyDescent="0.2">
      <c r="B78" s="167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Y78" s="19">
        <f t="shared" si="287"/>
        <v>0</v>
      </c>
      <c r="CZ78" s="19">
        <f t="shared" si="288"/>
        <v>0</v>
      </c>
      <c r="DA78" s="19">
        <f t="shared" si="289"/>
        <v>0</v>
      </c>
      <c r="DB78" s="19">
        <f t="shared" si="290"/>
        <v>0</v>
      </c>
      <c r="DC78" s="19">
        <f t="shared" si="291"/>
        <v>0</v>
      </c>
      <c r="DD78" s="19">
        <f t="shared" si="292"/>
        <v>0</v>
      </c>
      <c r="DE78" s="19">
        <f t="shared" si="293"/>
        <v>0</v>
      </c>
      <c r="DF78" s="19">
        <f t="shared" si="294"/>
        <v>0</v>
      </c>
      <c r="DG78" s="19">
        <f t="shared" si="295"/>
        <v>0</v>
      </c>
      <c r="DH78" s="19">
        <f t="shared" si="296"/>
        <v>0</v>
      </c>
      <c r="DI78" s="19">
        <f t="shared" si="297"/>
        <v>0</v>
      </c>
      <c r="DJ78" s="19">
        <f t="shared" si="298"/>
        <v>0</v>
      </c>
      <c r="DK78" s="19">
        <f t="shared" si="299"/>
        <v>0</v>
      </c>
      <c r="DL78" s="19">
        <f t="shared" si="300"/>
        <v>0</v>
      </c>
      <c r="DM78" s="19">
        <f t="shared" si="301"/>
        <v>0</v>
      </c>
      <c r="DN78" s="19">
        <f t="shared" si="302"/>
        <v>0</v>
      </c>
      <c r="DO78" s="19">
        <f t="shared" si="303"/>
        <v>0</v>
      </c>
      <c r="DP78" s="19">
        <f t="shared" si="304"/>
        <v>0</v>
      </c>
      <c r="DQ78" s="19">
        <f t="shared" si="305"/>
        <v>0</v>
      </c>
      <c r="DR78" s="19">
        <f t="shared" si="306"/>
        <v>0</v>
      </c>
      <c r="DS78" s="19">
        <f t="shared" si="312"/>
        <v>0</v>
      </c>
      <c r="DT78" s="19">
        <f t="shared" si="313"/>
        <v>0</v>
      </c>
      <c r="DU78" s="19">
        <f t="shared" si="314"/>
        <v>0</v>
      </c>
      <c r="DV78" s="19">
        <f t="shared" si="315"/>
        <v>0</v>
      </c>
      <c r="DX78" s="19">
        <f t="shared" si="307"/>
        <v>0</v>
      </c>
      <c r="DY78" s="19">
        <f t="shared" si="308"/>
        <v>0</v>
      </c>
      <c r="DZ78" s="19">
        <f t="shared" si="309"/>
        <v>0</v>
      </c>
      <c r="EA78" s="19">
        <f t="shared" si="310"/>
        <v>0</v>
      </c>
      <c r="EB78" s="19">
        <f t="shared" si="311"/>
        <v>0</v>
      </c>
      <c r="EC78" s="770">
        <f t="shared" si="316"/>
        <v>0</v>
      </c>
    </row>
    <row r="79" spans="2:133" x14ac:dyDescent="0.2">
      <c r="B79" s="22" t="s">
        <v>229</v>
      </c>
      <c r="C79" s="19">
        <f>'D2C - Retail'!J102</f>
        <v>33351702.244746905</v>
      </c>
      <c r="D79" s="19">
        <f>'D2C - Retail'!K102</f>
        <v>32030523.624879539</v>
      </c>
      <c r="E79" s="19">
        <f>'D2C - Retail'!L102</f>
        <v>33879111.585640885</v>
      </c>
      <c r="F79" s="19">
        <f>'D2C - Retail'!M102</f>
        <v>19370416.08806064</v>
      </c>
      <c r="G79" s="19">
        <f>'D2C - Retail'!N102</f>
        <v>504577.97326422721</v>
      </c>
      <c r="H79" s="19">
        <f>'D2C - Retail'!O102</f>
        <v>13585599.06642</v>
      </c>
      <c r="I79" s="19">
        <f>'D2C - Retail'!P102</f>
        <v>20028037.856196847</v>
      </c>
      <c r="J79" s="19">
        <f>'D2C - Retail'!Q102</f>
        <v>26183271.138574556</v>
      </c>
      <c r="K79" s="19">
        <f>'D2C - Retail'!R102</f>
        <v>37245465.87729612</v>
      </c>
      <c r="L79" s="19">
        <f>'D2C - Retail'!S102</f>
        <v>45865825.928433366</v>
      </c>
      <c r="M79" s="19">
        <f>'D2C - Retail'!T102</f>
        <v>61757216.820567317</v>
      </c>
      <c r="N79" s="19">
        <f>'D2C - Retail'!U102</f>
        <v>75855003.837421417</v>
      </c>
      <c r="O79" s="19">
        <f>'D2C - Retail'!V102</f>
        <v>77247545.990484193</v>
      </c>
      <c r="P79" s="19">
        <f>'D2C - Retail'!W102</f>
        <v>81864187.79118979</v>
      </c>
      <c r="Q79" s="19">
        <f>'D2C - Retail'!X102</f>
        <v>92409737.194651693</v>
      </c>
      <c r="R79" s="19">
        <f>'D2C - Retail'!Y102</f>
        <v>82193295.098882124</v>
      </c>
      <c r="S79" s="19">
        <f>'D2C - Retail'!Z102</f>
        <v>102882536.34528242</v>
      </c>
      <c r="T79" s="19">
        <f>'D2C - Retail'!AA102</f>
        <v>123190827.18646382</v>
      </c>
      <c r="U79" s="19">
        <f>'D2C - Retail'!AB102</f>
        <v>125314345.19586803</v>
      </c>
      <c r="V79" s="19">
        <f>'D2C - Retail'!AC102</f>
        <v>135369132.84690616</v>
      </c>
      <c r="W79" s="19">
        <f>'D2C - Retail'!AD102</f>
        <v>134920285.05698666</v>
      </c>
      <c r="X79" s="19">
        <f>'D2C - Retail'!AE102</f>
        <v>148046358.79124653</v>
      </c>
      <c r="Y79" s="19">
        <f>'D2C - Retail'!AF102</f>
        <v>152376156.15576515</v>
      </c>
      <c r="Z79" s="19">
        <f>'D2C - Retail'!AG102</f>
        <v>182845666.56358379</v>
      </c>
      <c r="AA79" s="19">
        <f>'D2C - Retail'!AH102</f>
        <v>198792281.18380678</v>
      </c>
      <c r="AB79" s="19">
        <f>'D2C - Retail'!AI102</f>
        <v>194939845.44047904</v>
      </c>
      <c r="AC79" s="19">
        <f>'D2C - Retail'!AJ102</f>
        <v>249165395.97480801</v>
      </c>
      <c r="AD79" s="19">
        <f>'D2C - Retail'!AK102</f>
        <v>273092518.175313</v>
      </c>
      <c r="AE79" s="19">
        <f>'D2C - Retail'!AL102</f>
        <v>284626348.74032611</v>
      </c>
      <c r="AF79" s="19">
        <f>'D2C - Retail'!AM102</f>
        <v>274536238.48426723</v>
      </c>
      <c r="AG79" s="19">
        <f>'D2C - Retail'!AN102</f>
        <v>241686097.55465701</v>
      </c>
      <c r="AH79" s="19">
        <f>'D2C - Retail'!AO102</f>
        <v>241615525.54571018</v>
      </c>
      <c r="AI79" s="19">
        <f>'D2C - Retail'!AP102</f>
        <v>232838923.9062891</v>
      </c>
      <c r="AJ79" s="19">
        <f>'D2C - Retail'!AQ102</f>
        <v>335282077.62678415</v>
      </c>
      <c r="AK79" s="19">
        <f>'D2C - Retail'!AR102</f>
        <v>287622823.76350564</v>
      </c>
      <c r="AL79" s="19">
        <f>'D2C - Retail'!AS102</f>
        <v>245826953.97463968</v>
      </c>
      <c r="AM79" s="19">
        <f>'D2C - Retail'!AT102</f>
        <v>218690762.99197665</v>
      </c>
      <c r="AN79" s="19">
        <f>'D2C - Retail'!AU102</f>
        <v>189845418.77819806</v>
      </c>
      <c r="AO79" s="19">
        <f>'D2C - Retail'!AV102</f>
        <v>231963494.91623446</v>
      </c>
      <c r="AP79" s="19">
        <f>'D2C - Retail'!AW102</f>
        <v>252325448.15113145</v>
      </c>
      <c r="AQ79" s="19">
        <f>'D2C - Retail'!AX102</f>
        <v>246534146.4617331</v>
      </c>
      <c r="AR79" s="19">
        <f>'D2C - Retail'!AY102</f>
        <v>264951485.26799598</v>
      </c>
      <c r="AS79" s="19">
        <f>'D2C - Retail'!AZ102</f>
        <v>250051355.57436565</v>
      </c>
      <c r="AT79" s="19">
        <f>'D2C - Retail'!BA102</f>
        <v>210924446.41332749</v>
      </c>
      <c r="AU79" s="19">
        <f>'D2C - Retail'!BB102</f>
        <v>184888608.55294722</v>
      </c>
      <c r="AV79" s="19">
        <f>'D2C - Retail'!BC102</f>
        <v>261345290.7657153</v>
      </c>
      <c r="AW79" s="19">
        <f>'D2C - Retail'!BD102</f>
        <v>253750532.77981362</v>
      </c>
      <c r="AX79" s="19">
        <f>'D2C - Retail'!BE102</f>
        <v>305040111.87439108</v>
      </c>
      <c r="AY79" s="19">
        <f>'D2C - Retail'!BF102</f>
        <v>315959944.0201655</v>
      </c>
      <c r="AZ79" s="19">
        <f>'D2C - Retail'!BG102</f>
        <v>298119345.17532617</v>
      </c>
      <c r="BA79" s="19">
        <f>'D2C - Retail'!BH102</f>
        <v>369932079.68220657</v>
      </c>
      <c r="BB79" s="19">
        <f>'D2C - Retail'!BI102</f>
        <v>358143407.57613909</v>
      </c>
      <c r="BC79" s="19">
        <f>'D2C - Retail'!BJ102</f>
        <v>344417552.49137747</v>
      </c>
      <c r="BD79" s="19">
        <f>'D2C - Retail'!BK102</f>
        <v>347515121.54129481</v>
      </c>
      <c r="BE79" s="19">
        <f>'D2C - Retail'!BL102</f>
        <v>386749518.97166145</v>
      </c>
      <c r="BF79" s="19">
        <f>'D2C - Retail'!BM102</f>
        <v>317639672.81357008</v>
      </c>
      <c r="BG79" s="19">
        <f>'D2C - Retail'!BN102</f>
        <v>301382585.77817637</v>
      </c>
      <c r="BH79" s="19">
        <f>'D2C - Retail'!BO102</f>
        <v>436753712.08764595</v>
      </c>
      <c r="BI79" s="19">
        <f>'D2C - Retail'!BP102</f>
        <v>391541295.03506422</v>
      </c>
      <c r="BJ79" s="19">
        <f>'D2C - Retail'!BQ102</f>
        <v>504016748.924815</v>
      </c>
      <c r="BK79" s="19">
        <f>'D2C - Retail'!BR102</f>
        <v>531672975.5949136</v>
      </c>
      <c r="BL79" s="19">
        <f>'D2C - Retail'!BS102</f>
        <v>519872405.42068732</v>
      </c>
      <c r="BM79" s="19">
        <f>'D2C - Retail'!BT102</f>
        <v>633234495.10530257</v>
      </c>
      <c r="BN79" s="19">
        <f>'D2C - Retail'!BU102</f>
        <v>515398347.0888983</v>
      </c>
      <c r="BO79" s="19">
        <f>'D2C - Retail'!BV102</f>
        <v>504466190.69538665</v>
      </c>
      <c r="BP79" s="19">
        <f>'D2C - Retail'!BW102</f>
        <v>503280961.05862111</v>
      </c>
      <c r="BQ79" s="19">
        <f>'D2C - Retail'!BX102</f>
        <v>545678249.39519083</v>
      </c>
      <c r="BR79" s="19">
        <f>'D2C - Retail'!BY102</f>
        <v>486424319.91536379</v>
      </c>
      <c r="BS79" s="19">
        <f>'D2C - Retail'!BZ102</f>
        <v>450860447.03182423</v>
      </c>
      <c r="BT79" s="19">
        <f>'D2C - Retail'!CA102</f>
        <v>564872761.38852143</v>
      </c>
      <c r="BU79" s="19">
        <f>'D2C - Retail'!CB102</f>
        <v>519328054.02154654</v>
      </c>
      <c r="BV79" s="19">
        <f>'D2C - Retail'!CC102</f>
        <v>619589206.41217113</v>
      </c>
      <c r="BW79" s="19">
        <f>'D2C - Retail'!CD102</f>
        <v>634974732.96691096</v>
      </c>
      <c r="BX79" s="19">
        <f>'D2C - Retail'!CE102</f>
        <v>589648158.34616339</v>
      </c>
      <c r="BY79" s="19">
        <f>'D2C - Retail'!CF102</f>
        <v>687408782.07312334</v>
      </c>
      <c r="BZ79" s="19">
        <f>'D2C - Retail'!CG102</f>
        <v>631739909.91018367</v>
      </c>
      <c r="CA79" s="19">
        <f>'D2C - Retail'!CH102</f>
        <v>619909316.09552789</v>
      </c>
      <c r="CB79" s="19">
        <f>'D2C - Retail'!CI102</f>
        <v>615246679.40086043</v>
      </c>
      <c r="CC79" s="19">
        <f>'D2C - Retail'!CJ102</f>
        <v>666679700.11226881</v>
      </c>
      <c r="CD79" s="19">
        <f>'D2C - Retail'!CK102</f>
        <v>593076371.21497416</v>
      </c>
      <c r="CE79" s="19">
        <f>'D2C - Retail'!CL102</f>
        <v>548434340.93623567</v>
      </c>
      <c r="CF79" s="19">
        <f>'D2C - Retail'!CM102</f>
        <v>684897518.92755127</v>
      </c>
      <c r="CG79" s="19">
        <f>'D2C - Retail'!CN102</f>
        <v>626394499.74845707</v>
      </c>
      <c r="CH79" s="19">
        <f>'D2C - Retail'!CO102</f>
        <v>744740195.72235405</v>
      </c>
      <c r="CI79" s="19">
        <f>'D2C - Retail'!CP102</f>
        <v>760070459.36980295</v>
      </c>
      <c r="CJ79" s="19">
        <f>'D2C - Retail'!CQ102</f>
        <v>702351726.30644155</v>
      </c>
      <c r="CK79" s="19">
        <f>'D2C - Retail'!CR102</f>
        <v>809841071.68576467</v>
      </c>
      <c r="CL79" s="19">
        <f>'D2C - Retail'!CS102</f>
        <v>722691502.38073027</v>
      </c>
      <c r="CM79" s="19">
        <f>'D2C - Retail'!CT102</f>
        <v>708459214.353122</v>
      </c>
      <c r="CN79" s="19">
        <f>'D2C - Retail'!CU102</f>
        <v>702686005.6423105</v>
      </c>
      <c r="CO79" s="19">
        <f>'D2C - Retail'!CV102</f>
        <v>761149525.05814278</v>
      </c>
      <c r="CP79" s="19">
        <f>'D2C - Retail'!CW102</f>
        <v>676278899.19844258</v>
      </c>
      <c r="CQ79" s="19">
        <f>'D2C - Retail'!CX102</f>
        <v>624485411.88236094</v>
      </c>
      <c r="CR79" s="19">
        <f>'D2C - Retail'!CY102</f>
        <v>780195404.98428488</v>
      </c>
      <c r="CS79" s="19">
        <f>'D2C - Retail'!CZ102</f>
        <v>712963084.99065697</v>
      </c>
      <c r="CT79" s="19">
        <f>'D2C - Retail'!DA102</f>
        <v>847846936.8483547</v>
      </c>
      <c r="CU79" s="19">
        <f>'D2C - Retail'!DB102</f>
        <v>865107238.80061066</v>
      </c>
      <c r="CV79" s="19">
        <f>'D2C - Retail'!DC102</f>
        <v>798806660.3989296</v>
      </c>
      <c r="CW79" s="19">
        <f>'D2C - Retail'!DD102</f>
        <v>921152150.1187669</v>
      </c>
      <c r="CY79" s="19">
        <f t="shared" si="287"/>
        <v>832255105.3999064</v>
      </c>
      <c r="CZ79" s="19">
        <f t="shared" si="288"/>
        <v>716140547.00665629</v>
      </c>
      <c r="DA79" s="19">
        <f t="shared" si="289"/>
        <v>868731855.36492944</v>
      </c>
      <c r="DB79" s="19">
        <f t="shared" si="290"/>
        <v>640499676.68640924</v>
      </c>
      <c r="DC79" s="19">
        <f t="shared" si="291"/>
        <v>763811079.88086057</v>
      </c>
      <c r="DD79" s="19">
        <f t="shared" si="292"/>
        <v>645864410.54064035</v>
      </c>
      <c r="DE79" s="19">
        <f t="shared" si="293"/>
        <v>820135935.41991997</v>
      </c>
      <c r="DF79" s="19">
        <f t="shared" si="294"/>
        <v>984011368.87769818</v>
      </c>
      <c r="DG79" s="19">
        <f t="shared" si="295"/>
        <v>1050076081.6088114</v>
      </c>
      <c r="DH79" s="19">
        <f t="shared" si="296"/>
        <v>1005771777.5634079</v>
      </c>
      <c r="DI79" s="19">
        <f t="shared" si="297"/>
        <v>1332311756.0475252</v>
      </c>
      <c r="DJ79" s="19">
        <f t="shared" si="298"/>
        <v>1684779876.1209035</v>
      </c>
      <c r="DK79" s="19">
        <f t="shared" si="299"/>
        <v>1523145498.842906</v>
      </c>
      <c r="DL79" s="19">
        <f t="shared" si="300"/>
        <v>1482963016.3423789</v>
      </c>
      <c r="DM79" s="19">
        <f t="shared" si="301"/>
        <v>1703790021.8222392</v>
      </c>
      <c r="DN79" s="19">
        <f t="shared" si="302"/>
        <v>1912031673.3861976</v>
      </c>
      <c r="DO79" s="19">
        <f t="shared" si="303"/>
        <v>1866895905.4065719</v>
      </c>
      <c r="DP79" s="19">
        <f t="shared" si="304"/>
        <v>1808190412.2634785</v>
      </c>
      <c r="DQ79" s="19">
        <f t="shared" si="305"/>
        <v>2056032214.3983622</v>
      </c>
      <c r="DR79" s="19">
        <f t="shared" si="306"/>
        <v>2272263257.362009</v>
      </c>
      <c r="DS79" s="19">
        <f t="shared" si="312"/>
        <v>2133836722.376163</v>
      </c>
      <c r="DT79" s="19">
        <f t="shared" si="313"/>
        <v>2061913836.1389463</v>
      </c>
      <c r="DU79" s="19">
        <f t="shared" si="314"/>
        <v>2341005426.8232965</v>
      </c>
      <c r="DV79" s="19">
        <f t="shared" si="315"/>
        <v>2585066049.3183069</v>
      </c>
      <c r="DX79" s="19">
        <f t="shared" si="307"/>
        <v>3057627184.457901</v>
      </c>
      <c r="DY79" s="19">
        <f t="shared" si="308"/>
        <v>3213822794.7191191</v>
      </c>
      <c r="DZ79" s="19">
        <f t="shared" si="309"/>
        <v>5072939491.3406487</v>
      </c>
      <c r="EA79" s="19">
        <f t="shared" si="310"/>
        <v>6621930210.3937206</v>
      </c>
      <c r="EB79" s="19">
        <f t="shared" si="311"/>
        <v>8003381789.4304218</v>
      </c>
      <c r="EC79" s="770">
        <f t="shared" si="316"/>
        <v>9121822034.6567116</v>
      </c>
    </row>
    <row r="80" spans="2:133" x14ac:dyDescent="0.2">
      <c r="B80" s="22" t="s">
        <v>237</v>
      </c>
      <c r="C80" s="19">
        <f>'D2C Online'!AA81</f>
        <v>3305153.9772316236</v>
      </c>
      <c r="D80" s="19">
        <f>'D2C Online'!AB81</f>
        <v>2938885.8304157439</v>
      </c>
      <c r="E80" s="19">
        <f>'D2C Online'!AC81</f>
        <v>4171333.8800089629</v>
      </c>
      <c r="F80" s="19">
        <f>'D2C Online'!AD81</f>
        <v>2835016.6655880767</v>
      </c>
      <c r="G80" s="19">
        <f>'D2C Online'!AE81</f>
        <v>2916620.2455104883</v>
      </c>
      <c r="H80" s="19">
        <f>'D2C Online'!AF81</f>
        <v>3824307.3226848482</v>
      </c>
      <c r="I80" s="19">
        <f>'D2C Online'!AG81</f>
        <v>3665958.6291057011</v>
      </c>
      <c r="J80" s="19">
        <f>'D2C Online'!AH81</f>
        <v>4007113.9264302561</v>
      </c>
      <c r="K80" s="19">
        <f>'D2C Online'!AI81</f>
        <v>4726062.7047912702</v>
      </c>
      <c r="L80" s="19">
        <f>'D2C Online'!AJ81</f>
        <v>2345109.9281387399</v>
      </c>
      <c r="M80" s="19">
        <f>'D2C Online'!AK81</f>
        <v>9592458.4325932749</v>
      </c>
      <c r="N80" s="19">
        <f>'D2C Online'!AL81</f>
        <v>10565125.962827632</v>
      </c>
      <c r="O80" s="19">
        <f>'D2C Online'!AM81</f>
        <v>17036899.097077999</v>
      </c>
      <c r="P80" s="19">
        <f>'D2C Online'!AN81</f>
        <v>18341918.863098893</v>
      </c>
      <c r="Q80" s="19">
        <f>'D2C Online'!AO81</f>
        <v>14671834.262442766</v>
      </c>
      <c r="R80" s="19">
        <f>'D2C Online'!AP81</f>
        <v>14312467.196586652</v>
      </c>
      <c r="S80" s="19">
        <f>'D2C Online'!AQ81</f>
        <v>18690002.934701215</v>
      </c>
      <c r="T80" s="19">
        <f>'D2C Online'!AR81</f>
        <v>32268020.033260625</v>
      </c>
      <c r="U80" s="19">
        <f>'D2C Online'!AS81</f>
        <v>27317553.587863207</v>
      </c>
      <c r="V80" s="19">
        <f>'D2C Online'!AT81</f>
        <v>18916346.015887365</v>
      </c>
      <c r="W80" s="19">
        <f>'D2C Online'!AU81</f>
        <v>20326356.630747091</v>
      </c>
      <c r="X80" s="19">
        <f>'D2C Online'!AV81</f>
        <v>40620002.758598588</v>
      </c>
      <c r="Y80" s="19">
        <f>'D2C Online'!AW81</f>
        <v>30500219.044845816</v>
      </c>
      <c r="Z80" s="19">
        <f>'D2C Online'!AX81</f>
        <v>29076365.208734781</v>
      </c>
      <c r="AA80" s="19">
        <f>'D2C Online'!AY81</f>
        <v>37888821.582018368</v>
      </c>
      <c r="AB80" s="19">
        <f>'D2C Online'!AZ81</f>
        <v>54037973.582437642</v>
      </c>
      <c r="AC80" s="19">
        <f>'D2C Online'!BA81</f>
        <v>102474301.95495798</v>
      </c>
      <c r="AD80" s="19">
        <f>'D2C Online'!BB81</f>
        <v>136239461.60462379</v>
      </c>
      <c r="AE80" s="19">
        <f>'D2C Online'!BC81</f>
        <v>132810552.72358252</v>
      </c>
      <c r="AF80" s="19">
        <f>'D2C Online'!BD81</f>
        <v>158021405.66529757</v>
      </c>
      <c r="AG80" s="19">
        <f>'D2C Online'!BE81</f>
        <v>110547543.72282162</v>
      </c>
      <c r="AH80" s="19">
        <f>'D2C Online'!BF81</f>
        <v>128707808.59583162</v>
      </c>
      <c r="AI80" s="19">
        <f>'D2C Online'!BG81</f>
        <v>151817520.86237288</v>
      </c>
      <c r="AJ80" s="19">
        <f>'D2C Online'!BH81</f>
        <v>232860935.46962333</v>
      </c>
      <c r="AK80" s="19">
        <f>'D2C Online'!BI81</f>
        <v>177318284.89842957</v>
      </c>
      <c r="AL80" s="19">
        <f>'D2C Online'!BJ81</f>
        <v>164670494.35322011</v>
      </c>
      <c r="AM80" s="19">
        <f>'D2C Online'!BK81</f>
        <v>165153290.56198257</v>
      </c>
      <c r="AN80" s="19">
        <f>'D2C Online'!BL81</f>
        <v>115097944.43632841</v>
      </c>
      <c r="AO80" s="19">
        <f>'D2C Online'!BM81</f>
        <v>164575828.32015568</v>
      </c>
      <c r="AP80" s="19">
        <f>'D2C Online'!BN81</f>
        <v>160812154.48014563</v>
      </c>
      <c r="AQ80" s="19">
        <f>'D2C Online'!BO81</f>
        <v>175208151.43928212</v>
      </c>
      <c r="AR80" s="19">
        <f>'D2C Online'!BP81</f>
        <v>177332883.53145739</v>
      </c>
      <c r="AS80" s="19">
        <f>'D2C Online'!BQ81</f>
        <v>189284447.78650746</v>
      </c>
      <c r="AT80" s="19">
        <f>'D2C Online'!BR81</f>
        <v>178427754.07474685</v>
      </c>
      <c r="AU80" s="19">
        <f>'D2C Online'!BS81</f>
        <v>186531531.99537244</v>
      </c>
      <c r="AV80" s="19">
        <f>'D2C Online'!BT81</f>
        <v>196458278.56011313</v>
      </c>
      <c r="AW80" s="19">
        <f>'D2C Online'!BU81</f>
        <v>171942474.66347858</v>
      </c>
      <c r="AX80" s="19">
        <f>'D2C Online'!BV81</f>
        <v>208573773.43765733</v>
      </c>
      <c r="AY80" s="19">
        <f>'D2C Online'!BW81</f>
        <v>234867690.71546042</v>
      </c>
      <c r="AZ80" s="19">
        <f>'D2C Online'!BX81</f>
        <v>229507798.19632638</v>
      </c>
      <c r="BA80" s="19">
        <f>'D2C Online'!BY81</f>
        <v>302843122.38202989</v>
      </c>
      <c r="BB80" s="19">
        <f>'D2C Online'!BZ81</f>
        <v>259767230.3377943</v>
      </c>
      <c r="BC80" s="19">
        <f>'D2C Online'!CA81</f>
        <v>260255175.69516674</v>
      </c>
      <c r="BD80" s="19">
        <f>'D2C Online'!CB81</f>
        <v>254434949.39085126</v>
      </c>
      <c r="BE80" s="19">
        <f>'D2C Online'!CC81</f>
        <v>265391433.30693322</v>
      </c>
      <c r="BF80" s="19">
        <f>'D2C Online'!CD81</f>
        <v>234260606.72014678</v>
      </c>
      <c r="BG80" s="19">
        <f>'D2C Online'!CE81</f>
        <v>312043610.02490067</v>
      </c>
      <c r="BH80" s="19">
        <f>'D2C Online'!CF81</f>
        <v>263546040.46228582</v>
      </c>
      <c r="BI80" s="19">
        <f>'D2C Online'!CG81</f>
        <v>263410413.94391373</v>
      </c>
      <c r="BJ80" s="19">
        <f>'D2C Online'!CH81</f>
        <v>319992910.12266129</v>
      </c>
      <c r="BK80" s="19">
        <f>'D2C Online'!CI81</f>
        <v>359201561.73007691</v>
      </c>
      <c r="BL80" s="19">
        <f>'D2C Online'!CJ81</f>
        <v>292532273.13527018</v>
      </c>
      <c r="BM80" s="19">
        <f>'D2C Online'!CK81</f>
        <v>346889334.59157753</v>
      </c>
      <c r="BN80" s="19">
        <f>'D2C Online'!CL81</f>
        <v>315367920.95921332</v>
      </c>
      <c r="BO80" s="19">
        <f>'D2C Online'!CM81</f>
        <v>318577627.592282</v>
      </c>
      <c r="BP80" s="19">
        <f>'D2C Online'!CN81</f>
        <v>318349719.42898721</v>
      </c>
      <c r="BQ80" s="19">
        <f>'D2C Online'!CO81</f>
        <v>323154783.20511979</v>
      </c>
      <c r="BR80" s="19">
        <f>'D2C Online'!CP81</f>
        <v>304504298.50882661</v>
      </c>
      <c r="BS80" s="19">
        <f>'D2C Online'!CQ81</f>
        <v>333106773.00232708</v>
      </c>
      <c r="BT80" s="19">
        <f>'D2C Online'!CR81</f>
        <v>323895484.73582804</v>
      </c>
      <c r="BU80" s="19">
        <f>'D2C Online'!CS81</f>
        <v>324655178.61347729</v>
      </c>
      <c r="BV80" s="19">
        <f>'D2C Online'!CT81</f>
        <v>398516415.86794168</v>
      </c>
      <c r="BW80" s="19">
        <f>'D2C Online'!CU81</f>
        <v>429397971.99439037</v>
      </c>
      <c r="BX80" s="19">
        <f>'D2C Online'!CV81</f>
        <v>368128660.76196504</v>
      </c>
      <c r="BY80" s="19">
        <f>'D2C Online'!CW81</f>
        <v>397794706.6841746</v>
      </c>
      <c r="BZ80" s="19">
        <f>'D2C Online'!CX81</f>
        <v>374325356.20949632</v>
      </c>
      <c r="CA80" s="19">
        <f>'D2C Online'!CY81</f>
        <v>378135111.41572368</v>
      </c>
      <c r="CB80" s="19">
        <f>'D2C Online'!CZ81</f>
        <v>377864596.2531513</v>
      </c>
      <c r="CC80" s="19">
        <f>'D2C Online'!DA81</f>
        <v>383567957.59738511</v>
      </c>
      <c r="CD80" s="19">
        <f>'D2C Online'!DB81</f>
        <v>361430800.12688071</v>
      </c>
      <c r="CE80" s="19">
        <f>'D2C Online'!DC81</f>
        <v>395380453.02971119</v>
      </c>
      <c r="CF80" s="19">
        <f>'D2C Online'!DD81</f>
        <v>384447131.87574524</v>
      </c>
      <c r="CG80" s="19">
        <f>'D2C Online'!DE81</f>
        <v>385348849.08431977</v>
      </c>
      <c r="CH80" s="19">
        <f>'D2C Online'!DF81</f>
        <v>473018304.68797702</v>
      </c>
      <c r="CI80" s="19">
        <f>'D2C Online'!DG81</f>
        <v>509673109.21653128</v>
      </c>
      <c r="CJ80" s="19">
        <f>'D2C Online'!DH81</f>
        <v>436949616.34499645</v>
      </c>
      <c r="CK80" s="19">
        <f>'D2C Online'!DI81</f>
        <v>472161673.33983129</v>
      </c>
      <c r="CL80" s="19">
        <f>'D2C Online'!DJ81</f>
        <v>444320639.43386781</v>
      </c>
      <c r="CM80" s="19">
        <f>'D2C Online'!DK81</f>
        <v>448842782.64761817</v>
      </c>
      <c r="CN80" s="19">
        <f>'D2C Online'!DL81</f>
        <v>448521683.7211979</v>
      </c>
      <c r="CO80" s="19">
        <f>'D2C Online'!DM81</f>
        <v>455291519.41988921</v>
      </c>
      <c r="CP80" s="19">
        <f>'D2C Online'!DN81</f>
        <v>429014923.94117451</v>
      </c>
      <c r="CQ80" s="19">
        <f>'D2C Online'!DO81</f>
        <v>469312839.20690197</v>
      </c>
      <c r="CR80" s="19">
        <f>'D2C Online'!DP81</f>
        <v>456335090.9307546</v>
      </c>
      <c r="CS80" s="19">
        <f>'D2C Online'!DQ81</f>
        <v>457405420.6854884</v>
      </c>
      <c r="CT80" s="19">
        <f>'D2C Online'!DR81</f>
        <v>561468231.08948195</v>
      </c>
      <c r="CU80" s="19">
        <f>'D2C Online'!DS81</f>
        <v>604977135.61941111</v>
      </c>
      <c r="CV80" s="19">
        <f>'D2C Online'!DT81</f>
        <v>518655040.90012997</v>
      </c>
      <c r="CW80" s="19">
        <f>'D2C Online'!DU81</f>
        <v>560451417.82248485</v>
      </c>
      <c r="CY80" s="19">
        <f t="shared" si="287"/>
        <v>427071419.99350387</v>
      </c>
      <c r="CZ80" s="19">
        <f t="shared" si="288"/>
        <v>391072873.1810261</v>
      </c>
      <c r="DA80" s="19">
        <f t="shared" si="289"/>
        <v>574849714.72127295</v>
      </c>
      <c r="DB80" s="19">
        <f t="shared" si="290"/>
        <v>444827063.31846666</v>
      </c>
      <c r="DC80" s="19">
        <f t="shared" si="291"/>
        <v>513353189.45088518</v>
      </c>
      <c r="DD80" s="19">
        <f t="shared" si="292"/>
        <v>554243733.85662675</v>
      </c>
      <c r="DE80" s="19">
        <f t="shared" si="293"/>
        <v>576974526.66124904</v>
      </c>
      <c r="DF80" s="19">
        <f t="shared" si="294"/>
        <v>767218611.29381669</v>
      </c>
      <c r="DG80" s="19">
        <f t="shared" si="295"/>
        <v>774457355.42381227</v>
      </c>
      <c r="DH80" s="19">
        <f t="shared" si="296"/>
        <v>811695650.05198073</v>
      </c>
      <c r="DI80" s="19">
        <f t="shared" si="297"/>
        <v>846949364.52886081</v>
      </c>
      <c r="DJ80" s="19">
        <f t="shared" si="298"/>
        <v>998623169.45692468</v>
      </c>
      <c r="DK80" s="19">
        <f t="shared" si="299"/>
        <v>952295267.98048258</v>
      </c>
      <c r="DL80" s="19">
        <f t="shared" si="300"/>
        <v>960765854.71627343</v>
      </c>
      <c r="DM80" s="19">
        <f t="shared" si="301"/>
        <v>1047067079.217247</v>
      </c>
      <c r="DN80" s="19">
        <f t="shared" si="302"/>
        <v>1195321339.4405301</v>
      </c>
      <c r="DO80" s="19">
        <f t="shared" si="303"/>
        <v>1130325063.8783712</v>
      </c>
      <c r="DP80" s="19">
        <f t="shared" si="304"/>
        <v>1140379210.7539771</v>
      </c>
      <c r="DQ80" s="19">
        <f t="shared" si="305"/>
        <v>1242814285.648042</v>
      </c>
      <c r="DR80" s="19">
        <f t="shared" si="306"/>
        <v>1418784398.9013591</v>
      </c>
      <c r="DS80" s="19">
        <f t="shared" si="312"/>
        <v>1341685105.8026838</v>
      </c>
      <c r="DT80" s="19">
        <f t="shared" si="313"/>
        <v>1353619282.5679657</v>
      </c>
      <c r="DU80" s="19">
        <f t="shared" si="314"/>
        <v>1475208742.705725</v>
      </c>
      <c r="DV80" s="19">
        <f t="shared" si="315"/>
        <v>1684083594.3420258</v>
      </c>
      <c r="DX80" s="19">
        <f t="shared" si="307"/>
        <v>1837821071.2142696</v>
      </c>
      <c r="DY80" s="19">
        <f t="shared" si="308"/>
        <v>2411790061.2625775</v>
      </c>
      <c r="DZ80" s="19">
        <f t="shared" si="309"/>
        <v>3431725539.4615784</v>
      </c>
      <c r="EA80" s="19">
        <f t="shared" si="310"/>
        <v>4155449541.3545332</v>
      </c>
      <c r="EB80" s="19">
        <f t="shared" si="311"/>
        <v>4932302959.1817493</v>
      </c>
      <c r="EC80" s="770">
        <f t="shared" si="316"/>
        <v>5854596725.4183998</v>
      </c>
    </row>
    <row r="81" spans="2:133" x14ac:dyDescent="0.2">
      <c r="B81" s="22" t="s">
        <v>27</v>
      </c>
      <c r="C81" s="20">
        <f>C62/C50</f>
        <v>0.82791562044806222</v>
      </c>
      <c r="D81" s="20">
        <f t="shared" ref="D81:BO81" si="317">D62/D50</f>
        <v>0.82196864822002791</v>
      </c>
      <c r="E81" s="20">
        <f t="shared" si="317"/>
        <v>0.78413267499066908</v>
      </c>
      <c r="F81" s="20">
        <f t="shared" si="317"/>
        <v>0.78510616140426814</v>
      </c>
      <c r="G81" s="20">
        <f t="shared" si="317"/>
        <v>0.85363861957810983</v>
      </c>
      <c r="H81" s="20">
        <f t="shared" si="317"/>
        <v>0.75577384211046783</v>
      </c>
      <c r="I81" s="20">
        <f t="shared" si="317"/>
        <v>0.72993266473428464</v>
      </c>
      <c r="J81" s="20">
        <f t="shared" si="317"/>
        <v>0.75413890596925992</v>
      </c>
      <c r="K81" s="20">
        <f t="shared" si="317"/>
        <v>0.78664320214031491</v>
      </c>
      <c r="L81" s="20">
        <f t="shared" si="317"/>
        <v>0.79875003932080468</v>
      </c>
      <c r="M81" s="20">
        <f t="shared" si="317"/>
        <v>0.76942044740001048</v>
      </c>
      <c r="N81" s="20">
        <f t="shared" si="317"/>
        <v>0.78023526778257757</v>
      </c>
      <c r="O81" s="20">
        <f t="shared" si="317"/>
        <v>0.80662966468913622</v>
      </c>
      <c r="P81" s="20">
        <f t="shared" si="317"/>
        <v>0.79585265195879296</v>
      </c>
      <c r="Q81" s="20">
        <f t="shared" si="317"/>
        <v>0.80611965411270403</v>
      </c>
      <c r="R81" s="20">
        <f t="shared" si="317"/>
        <v>0.79776597419214612</v>
      </c>
      <c r="S81" s="20">
        <f t="shared" si="317"/>
        <v>0.81854635313598245</v>
      </c>
      <c r="T81" s="20">
        <f t="shared" si="317"/>
        <v>0.82925472364834096</v>
      </c>
      <c r="U81" s="20">
        <f t="shared" si="317"/>
        <v>0.82099494067146728</v>
      </c>
      <c r="V81" s="20">
        <f t="shared" si="317"/>
        <v>0.83866975781855169</v>
      </c>
      <c r="W81" s="20">
        <f t="shared" si="317"/>
        <v>0.86385256951981515</v>
      </c>
      <c r="X81" s="20">
        <f t="shared" si="317"/>
        <v>0.85630241464987888</v>
      </c>
      <c r="Y81" s="20">
        <f t="shared" si="317"/>
        <v>0.84822425313697769</v>
      </c>
      <c r="Z81" s="20">
        <f t="shared" si="317"/>
        <v>0.84466116958993287</v>
      </c>
      <c r="AA81" s="20">
        <f t="shared" si="317"/>
        <v>0.83466418089114736</v>
      </c>
      <c r="AB81" s="20">
        <f t="shared" si="317"/>
        <v>0.82711880183771935</v>
      </c>
      <c r="AC81" s="20">
        <f t="shared" si="317"/>
        <v>0.83961953624841712</v>
      </c>
      <c r="AD81" s="20">
        <f t="shared" si="317"/>
        <v>0.86367880529226482</v>
      </c>
      <c r="AE81" s="20">
        <f t="shared" si="317"/>
        <v>0.85164690720787739</v>
      </c>
      <c r="AF81" s="20">
        <f t="shared" si="317"/>
        <v>0.84064346509296839</v>
      </c>
      <c r="AG81" s="20">
        <f t="shared" si="317"/>
        <v>0.8381780003779109</v>
      </c>
      <c r="AH81" s="20">
        <f t="shared" si="317"/>
        <v>0.83572509190761624</v>
      </c>
      <c r="AI81" s="20">
        <f t="shared" si="317"/>
        <v>0.86385556805946839</v>
      </c>
      <c r="AJ81" s="20">
        <f t="shared" si="317"/>
        <v>0.86394591052685632</v>
      </c>
      <c r="AK81" s="20">
        <f t="shared" si="317"/>
        <v>0.8492644339194737</v>
      </c>
      <c r="AL81" s="20">
        <f t="shared" si="317"/>
        <v>0.83738739492022396</v>
      </c>
      <c r="AM81" s="20">
        <f t="shared" si="317"/>
        <v>0.82673677241023069</v>
      </c>
      <c r="AN81" s="20">
        <f t="shared" si="317"/>
        <v>0.78572247443512644</v>
      </c>
      <c r="AO81" s="20">
        <f t="shared" si="317"/>
        <v>0.79611992501657358</v>
      </c>
      <c r="AP81" s="20">
        <f t="shared" si="317"/>
        <v>0.81264119003506119</v>
      </c>
      <c r="AQ81" s="20">
        <f t="shared" si="317"/>
        <v>0.80125316632305144</v>
      </c>
      <c r="AR81" s="20">
        <f t="shared" si="317"/>
        <v>0.79455553144049329</v>
      </c>
      <c r="AS81" s="20">
        <f t="shared" si="317"/>
        <v>0.79961276615644739</v>
      </c>
      <c r="AT81" s="20">
        <f t="shared" si="317"/>
        <v>0.79694843195855325</v>
      </c>
      <c r="AU81" s="20">
        <f t="shared" si="317"/>
        <v>0.80777373289776599</v>
      </c>
      <c r="AV81" s="20">
        <f t="shared" si="317"/>
        <v>0.80110833623711131</v>
      </c>
      <c r="AW81" s="20">
        <f t="shared" si="317"/>
        <v>0.79809287450599564</v>
      </c>
      <c r="AX81" s="20">
        <f t="shared" si="317"/>
        <v>0.8085285658691076</v>
      </c>
      <c r="AY81" s="20">
        <f t="shared" si="317"/>
        <v>0.81320524516603809</v>
      </c>
      <c r="AZ81" s="20">
        <f t="shared" si="317"/>
        <v>0.81900274248313254</v>
      </c>
      <c r="BA81" s="20">
        <f t="shared" si="317"/>
        <v>0.81237084528593484</v>
      </c>
      <c r="BB81" s="20">
        <f t="shared" si="317"/>
        <v>0.81199673739035783</v>
      </c>
      <c r="BC81" s="20">
        <f t="shared" si="317"/>
        <v>0.81216939812387479</v>
      </c>
      <c r="BD81" s="20">
        <f t="shared" si="317"/>
        <v>0.80060037663336792</v>
      </c>
      <c r="BE81" s="20">
        <f t="shared" si="317"/>
        <v>0.80496946404843162</v>
      </c>
      <c r="BF81" s="20">
        <f t="shared" si="317"/>
        <v>0.79133444901707528</v>
      </c>
      <c r="BG81" s="20">
        <f t="shared" si="317"/>
        <v>0.81373469268155119</v>
      </c>
      <c r="BH81" s="20">
        <f t="shared" si="317"/>
        <v>0.80224593357932639</v>
      </c>
      <c r="BI81" s="20">
        <f t="shared" si="317"/>
        <v>0.80719398115382579</v>
      </c>
      <c r="BJ81" s="20">
        <f t="shared" si="317"/>
        <v>0.82431620345409529</v>
      </c>
      <c r="BK81" s="20">
        <f t="shared" si="317"/>
        <v>0.82629674155654442</v>
      </c>
      <c r="BL81" s="20">
        <f t="shared" si="317"/>
        <v>0.83206112567686497</v>
      </c>
      <c r="BM81" s="20">
        <f t="shared" si="317"/>
        <v>0.83971845380307275</v>
      </c>
      <c r="BN81" s="20">
        <f t="shared" si="317"/>
        <v>0.81711229999459944</v>
      </c>
      <c r="BO81" s="20">
        <f t="shared" si="317"/>
        <v>0.81702009930333486</v>
      </c>
      <c r="BP81" s="20">
        <f t="shared" ref="BP81:DV81" si="318">BP62/BP50</f>
        <v>0.81689468456987158</v>
      </c>
      <c r="BQ81" s="20">
        <f t="shared" si="318"/>
        <v>0.81718331665468358</v>
      </c>
      <c r="BR81" s="20">
        <f t="shared" si="318"/>
        <v>0.81632065552792177</v>
      </c>
      <c r="BS81" s="20">
        <f t="shared" si="318"/>
        <v>0.81643223650213892</v>
      </c>
      <c r="BT81" s="20">
        <f t="shared" si="318"/>
        <v>0.81699818956500558</v>
      </c>
      <c r="BU81" s="20">
        <f t="shared" si="318"/>
        <v>0.81659818638289849</v>
      </c>
      <c r="BV81" s="20">
        <f t="shared" si="318"/>
        <v>0.81821567584554245</v>
      </c>
      <c r="BW81" s="20">
        <f t="shared" si="318"/>
        <v>0.81860915479419027</v>
      </c>
      <c r="BX81" s="20">
        <f t="shared" si="318"/>
        <v>0.81749158098554542</v>
      </c>
      <c r="BY81" s="20">
        <f t="shared" si="318"/>
        <v>0.81822430649689792</v>
      </c>
      <c r="BZ81" s="20">
        <f t="shared" si="318"/>
        <v>0.81875987194067779</v>
      </c>
      <c r="CA81" s="20">
        <f t="shared" si="318"/>
        <v>0.81866457861823261</v>
      </c>
      <c r="CB81" s="20">
        <f t="shared" si="318"/>
        <v>0.8185747364405267</v>
      </c>
      <c r="CC81" s="20">
        <f t="shared" si="318"/>
        <v>0.81883792271200051</v>
      </c>
      <c r="CD81" s="20">
        <f t="shared" si="318"/>
        <v>0.81804315527941185</v>
      </c>
      <c r="CE81" s="20">
        <f t="shared" si="318"/>
        <v>0.81819810479129162</v>
      </c>
      <c r="CF81" s="20">
        <f t="shared" si="318"/>
        <v>0.81869573498514692</v>
      </c>
      <c r="CG81" s="20">
        <f t="shared" si="318"/>
        <v>0.81836710717339456</v>
      </c>
      <c r="CH81" s="20">
        <f t="shared" si="318"/>
        <v>0.81991812491293725</v>
      </c>
      <c r="CI81" s="20">
        <f t="shared" si="318"/>
        <v>0.820323990993028</v>
      </c>
      <c r="CJ81" s="20">
        <f t="shared" si="318"/>
        <v>0.81927699785955621</v>
      </c>
      <c r="CK81" s="20">
        <f t="shared" si="318"/>
        <v>0.81999564454216456</v>
      </c>
      <c r="CL81" s="20">
        <f t="shared" ref="CL81:CW81" si="319">CL62/CL50</f>
        <v>0.82165087970322292</v>
      </c>
      <c r="CM81" s="20">
        <f t="shared" si="319"/>
        <v>0.82156248839513046</v>
      </c>
      <c r="CN81" s="20">
        <f t="shared" si="319"/>
        <v>0.8214791997913603</v>
      </c>
      <c r="CO81" s="20">
        <f t="shared" si="319"/>
        <v>0.82173779977833761</v>
      </c>
      <c r="CP81" s="20">
        <f t="shared" si="319"/>
        <v>0.82097872138008066</v>
      </c>
      <c r="CQ81" s="20">
        <f t="shared" si="319"/>
        <v>0.8211250063436486</v>
      </c>
      <c r="CR81" s="20">
        <f t="shared" si="319"/>
        <v>0.82161421448299721</v>
      </c>
      <c r="CS81" s="20">
        <f t="shared" si="319"/>
        <v>0.82129848156727725</v>
      </c>
      <c r="CT81" s="20">
        <f t="shared" si="319"/>
        <v>0.82277966921828471</v>
      </c>
      <c r="CU81" s="20">
        <f t="shared" si="319"/>
        <v>0.82316500213601562</v>
      </c>
      <c r="CV81" s="20">
        <f t="shared" si="319"/>
        <v>0.82217268143507727</v>
      </c>
      <c r="CW81" s="20">
        <f t="shared" si="319"/>
        <v>0.8228635273423901</v>
      </c>
      <c r="CY81" s="20">
        <f t="shared" si="318"/>
        <v>0.85167430909377584</v>
      </c>
      <c r="CZ81" s="20">
        <f t="shared" si="318"/>
        <v>0.84608453801927885</v>
      </c>
      <c r="DA81" s="20">
        <f t="shared" si="318"/>
        <v>0.85152509651205288</v>
      </c>
      <c r="DB81" s="20">
        <f t="shared" si="318"/>
        <v>0.80365776364274966</v>
      </c>
      <c r="DC81" s="20">
        <f t="shared" si="318"/>
        <v>0.80254848140718105</v>
      </c>
      <c r="DD81" s="20">
        <f t="shared" si="318"/>
        <v>0.80124903646792289</v>
      </c>
      <c r="DE81" s="20">
        <f t="shared" si="318"/>
        <v>0.80289286717447172</v>
      </c>
      <c r="DF81" s="20">
        <f t="shared" si="318"/>
        <v>0.81462118344432743</v>
      </c>
      <c r="DG81" s="20">
        <f t="shared" si="318"/>
        <v>0.80825783435903364</v>
      </c>
      <c r="DH81" s="20">
        <f t="shared" si="318"/>
        <v>0.80368624835654268</v>
      </c>
      <c r="DI81" s="20">
        <f t="shared" si="318"/>
        <v>0.81196180747867708</v>
      </c>
      <c r="DJ81" s="20">
        <f t="shared" si="318"/>
        <v>0.83290625556857356</v>
      </c>
      <c r="DK81" s="20">
        <f t="shared" si="318"/>
        <v>0.81700940565816893</v>
      </c>
      <c r="DL81" s="20">
        <f t="shared" si="318"/>
        <v>0.81666297328245829</v>
      </c>
      <c r="DM81" s="20">
        <f t="shared" si="318"/>
        <v>0.81732546370101378</v>
      </c>
      <c r="DN81" s="20">
        <f t="shared" si="318"/>
        <v>0.81813002904634169</v>
      </c>
      <c r="DO81" s="20">
        <f t="shared" si="318"/>
        <v>0.81866678969616269</v>
      </c>
      <c r="DP81" s="20">
        <f t="shared" si="318"/>
        <v>0.81837569171455571</v>
      </c>
      <c r="DQ81" s="20">
        <f t="shared" si="318"/>
        <v>0.8190456236546888</v>
      </c>
      <c r="DR81" s="20">
        <f t="shared" si="318"/>
        <v>0.81988655063176386</v>
      </c>
      <c r="DS81" s="20">
        <f t="shared" si="318"/>
        <v>0.82156457454190734</v>
      </c>
      <c r="DT81" s="20">
        <f t="shared" si="318"/>
        <v>0.82129577786965124</v>
      </c>
      <c r="DU81" s="20">
        <f t="shared" si="318"/>
        <v>0.8219472711504735</v>
      </c>
      <c r="DV81" s="20">
        <f t="shared" si="318"/>
        <v>0.82275394242178312</v>
      </c>
      <c r="DX81" s="20"/>
      <c r="DY81" s="20"/>
      <c r="DZ81" s="20"/>
      <c r="EA81" s="20"/>
      <c r="EB81" s="20"/>
      <c r="EC81" s="771">
        <f t="shared" si="316"/>
        <v>3.2875615659838155</v>
      </c>
    </row>
    <row r="82" spans="2:133" x14ac:dyDescent="0.2">
      <c r="B82" s="22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X82" s="19"/>
      <c r="DY82" s="19"/>
      <c r="DZ82" s="19"/>
      <c r="EA82" s="19"/>
      <c r="EB82" s="19"/>
      <c r="EC82" s="770">
        <f t="shared" si="316"/>
        <v>0</v>
      </c>
    </row>
    <row r="83" spans="2:133" x14ac:dyDescent="0.2">
      <c r="B83" s="212" t="s">
        <v>28</v>
      </c>
      <c r="C83" s="199">
        <f>C50-C67-SUM(C71:C74,C77)</f>
        <v>8067301.6303206114</v>
      </c>
      <c r="D83" s="199">
        <f t="shared" ref="D83:BO83" si="320">D50-D67-SUM(D71:D74,D77)</f>
        <v>8041808.415848311</v>
      </c>
      <c r="E83" s="199">
        <f t="shared" si="320"/>
        <v>11060849.4543318</v>
      </c>
      <c r="F83" s="199">
        <f t="shared" si="320"/>
        <v>6600632.7193079293</v>
      </c>
      <c r="G83" s="199">
        <f t="shared" si="320"/>
        <v>898679.88731303066</v>
      </c>
      <c r="H83" s="199">
        <f t="shared" si="320"/>
        <v>6050870.2252933588</v>
      </c>
      <c r="I83" s="199">
        <f t="shared" si="320"/>
        <v>9401474.0531723965</v>
      </c>
      <c r="J83" s="199">
        <f t="shared" si="320"/>
        <v>10379432.383582503</v>
      </c>
      <c r="K83" s="199">
        <f t="shared" si="320"/>
        <v>12050950.469471585</v>
      </c>
      <c r="L83" s="199">
        <f t="shared" si="320"/>
        <v>12670725.45509072</v>
      </c>
      <c r="M83" s="199">
        <f t="shared" si="320"/>
        <v>22535861.435961552</v>
      </c>
      <c r="N83" s="199">
        <f t="shared" si="320"/>
        <v>25632892.433187123</v>
      </c>
      <c r="O83" s="199">
        <f t="shared" si="320"/>
        <v>23678884.312921107</v>
      </c>
      <c r="P83" s="199">
        <f t="shared" si="320"/>
        <v>26784770.998805795</v>
      </c>
      <c r="Q83" s="199">
        <f t="shared" si="320"/>
        <v>27206804.474429175</v>
      </c>
      <c r="R83" s="199">
        <f t="shared" si="320"/>
        <v>26112379.661189824</v>
      </c>
      <c r="S83" s="199">
        <f t="shared" si="320"/>
        <v>28833952.569099512</v>
      </c>
      <c r="T83" s="199">
        <f t="shared" si="320"/>
        <v>35415783.13497173</v>
      </c>
      <c r="U83" s="199">
        <f t="shared" si="320"/>
        <v>36241255.114203408</v>
      </c>
      <c r="V83" s="199">
        <f t="shared" si="320"/>
        <v>32702970.177511226</v>
      </c>
      <c r="W83" s="199">
        <f t="shared" si="320"/>
        <v>27978743.630099185</v>
      </c>
      <c r="X83" s="199">
        <f t="shared" si="320"/>
        <v>36315273.23441048</v>
      </c>
      <c r="Y83" s="199">
        <f t="shared" si="320"/>
        <v>37146519.379166901</v>
      </c>
      <c r="Z83" s="199">
        <f t="shared" si="320"/>
        <v>43497616.865456082</v>
      </c>
      <c r="AA83" s="199">
        <f t="shared" si="320"/>
        <v>51697076.653525412</v>
      </c>
      <c r="AB83" s="199">
        <f t="shared" si="320"/>
        <v>56959800.089576907</v>
      </c>
      <c r="AC83" s="199">
        <f t="shared" si="320"/>
        <v>72544863.858137935</v>
      </c>
      <c r="AD83" s="199">
        <f t="shared" si="320"/>
        <v>71939781.842868343</v>
      </c>
      <c r="AE83" s="199">
        <f t="shared" si="320"/>
        <v>81036925.420329005</v>
      </c>
      <c r="AF83" s="199">
        <f t="shared" si="320"/>
        <v>90836533.16120705</v>
      </c>
      <c r="AG83" s="199">
        <f t="shared" si="320"/>
        <v>77576021.199241742</v>
      </c>
      <c r="AH83" s="199">
        <f t="shared" si="320"/>
        <v>83835558.574226171</v>
      </c>
      <c r="AI83" s="199">
        <f t="shared" si="320"/>
        <v>71631937.243092895</v>
      </c>
      <c r="AJ83" s="199">
        <f t="shared" si="320"/>
        <v>103220570.55894125</v>
      </c>
      <c r="AK83" s="199">
        <f t="shared" si="320"/>
        <v>96913184.252548575</v>
      </c>
      <c r="AL83" s="199">
        <f t="shared" si="320"/>
        <v>91654180.691038191</v>
      </c>
      <c r="AM83" s="199">
        <f t="shared" si="320"/>
        <v>92047737.95963034</v>
      </c>
      <c r="AN83" s="199">
        <f t="shared" si="320"/>
        <v>93710533.470167562</v>
      </c>
      <c r="AO83" s="199">
        <f t="shared" si="320"/>
        <v>111806505.20856307</v>
      </c>
      <c r="AP83" s="199">
        <f t="shared" si="320"/>
        <v>104622868.66571176</v>
      </c>
      <c r="AQ83" s="199">
        <f t="shared" si="320"/>
        <v>114384891.6853039</v>
      </c>
      <c r="AR83" s="199">
        <f t="shared" si="320"/>
        <v>125003161.24847727</v>
      </c>
      <c r="AS83" s="199">
        <f t="shared" si="320"/>
        <v>120756118.31064971</v>
      </c>
      <c r="AT83" s="199">
        <f t="shared" si="320"/>
        <v>110209404.95690884</v>
      </c>
      <c r="AU83" s="199">
        <f t="shared" si="320"/>
        <v>99874667.426651359</v>
      </c>
      <c r="AV83" s="199">
        <f t="shared" si="320"/>
        <v>125251487.68653379</v>
      </c>
      <c r="AW83" s="199">
        <f t="shared" si="320"/>
        <v>118949425.82949808</v>
      </c>
      <c r="AX83" s="199">
        <f t="shared" si="320"/>
        <v>134523712.80583379</v>
      </c>
      <c r="AY83" s="199">
        <f t="shared" si="320"/>
        <v>139514944.57516766</v>
      </c>
      <c r="AZ83" s="199">
        <f t="shared" si="320"/>
        <v>129261605.28733785</v>
      </c>
      <c r="BA83" s="199">
        <f t="shared" si="320"/>
        <v>168795600.79516119</v>
      </c>
      <c r="BB83" s="199">
        <f t="shared" si="320"/>
        <v>157381813.71031123</v>
      </c>
      <c r="BC83" s="199">
        <f t="shared" si="320"/>
        <v>153070905.11313957</v>
      </c>
      <c r="BD83" s="199">
        <f t="shared" si="320"/>
        <v>165601783.48850599</v>
      </c>
      <c r="BE83" s="199">
        <f t="shared" si="320"/>
        <v>174088330.8027243</v>
      </c>
      <c r="BF83" s="199">
        <f t="shared" si="320"/>
        <v>162791625.99896714</v>
      </c>
      <c r="BG83" s="199">
        <f t="shared" si="320"/>
        <v>159676769.60751259</v>
      </c>
      <c r="BH83" s="199">
        <f t="shared" si="320"/>
        <v>192540515.39235562</v>
      </c>
      <c r="BI83" s="199">
        <f t="shared" si="320"/>
        <v>176416100.45602405</v>
      </c>
      <c r="BJ83" s="199">
        <f t="shared" si="320"/>
        <v>195393698.55092704</v>
      </c>
      <c r="BK83" s="199">
        <f t="shared" si="320"/>
        <v>207280518.37202972</v>
      </c>
      <c r="BL83" s="199">
        <f t="shared" si="320"/>
        <v>182788992.15497005</v>
      </c>
      <c r="BM83" s="199">
        <f t="shared" si="320"/>
        <v>206791940.59968978</v>
      </c>
      <c r="BN83" s="199">
        <f t="shared" si="320"/>
        <v>203548347.862764</v>
      </c>
      <c r="BO83" s="199">
        <f t="shared" si="320"/>
        <v>201873522.78940403</v>
      </c>
      <c r="BP83" s="199">
        <f t="shared" ref="BP83:CK83" si="321">BP50-BP67-SUM(BP71:BP74,BP77)</f>
        <v>201688489.93855533</v>
      </c>
      <c r="BQ83" s="199">
        <f t="shared" si="321"/>
        <v>212670743.04488599</v>
      </c>
      <c r="BR83" s="199">
        <f t="shared" si="321"/>
        <v>194808596.65535516</v>
      </c>
      <c r="BS83" s="199">
        <f t="shared" si="321"/>
        <v>193481856.8229183</v>
      </c>
      <c r="BT83" s="199">
        <f t="shared" si="321"/>
        <v>217688773.43441856</v>
      </c>
      <c r="BU83" s="199">
        <f t="shared" si="321"/>
        <v>207515922.6512841</v>
      </c>
      <c r="BV83" s="199">
        <f t="shared" si="321"/>
        <v>247948564.55413216</v>
      </c>
      <c r="BW83" s="199">
        <f t="shared" si="321"/>
        <v>258796136.73709834</v>
      </c>
      <c r="BX83" s="199">
        <f t="shared" si="321"/>
        <v>234192805.14235985</v>
      </c>
      <c r="BY83" s="199">
        <f t="shared" si="321"/>
        <v>263826162.30946842</v>
      </c>
      <c r="BZ83" s="199">
        <f t="shared" si="321"/>
        <v>243851876.73486632</v>
      </c>
      <c r="CA83" s="199">
        <f t="shared" si="321"/>
        <v>242164242.74867153</v>
      </c>
      <c r="CB83" s="199">
        <f t="shared" si="321"/>
        <v>241128580.27959719</v>
      </c>
      <c r="CC83" s="199">
        <f t="shared" si="321"/>
        <v>254317589.19037315</v>
      </c>
      <c r="CD83" s="199">
        <f t="shared" si="321"/>
        <v>232493386.19154948</v>
      </c>
      <c r="CE83" s="199">
        <f t="shared" si="321"/>
        <v>230299065.98516625</v>
      </c>
      <c r="CF83" s="199">
        <f t="shared" si="321"/>
        <v>259070234.78668511</v>
      </c>
      <c r="CG83" s="199">
        <f t="shared" si="321"/>
        <v>245976418.90865618</v>
      </c>
      <c r="CH83" s="199">
        <f t="shared" si="321"/>
        <v>293366954.18897754</v>
      </c>
      <c r="CI83" s="199">
        <f t="shared" si="321"/>
        <v>305388502.01016331</v>
      </c>
      <c r="CJ83" s="199">
        <f t="shared" si="321"/>
        <v>275473709.2509976</v>
      </c>
      <c r="CK83" s="199">
        <f t="shared" si="321"/>
        <v>308265489.2161119</v>
      </c>
      <c r="CL83" s="199">
        <f t="shared" ref="CL83:CW83" si="322">CL50-CL67-SUM(CL71:CL74,CL77)</f>
        <v>277938917.72604585</v>
      </c>
      <c r="CM83" s="199">
        <f t="shared" si="322"/>
        <v>275915947.71226948</v>
      </c>
      <c r="CN83" s="199">
        <f t="shared" si="322"/>
        <v>274640636.54135156</v>
      </c>
      <c r="CO83" s="199">
        <f t="shared" si="322"/>
        <v>289422445.06114107</v>
      </c>
      <c r="CP83" s="199">
        <f t="shared" si="322"/>
        <v>264490438.61581647</v>
      </c>
      <c r="CQ83" s="199">
        <f t="shared" si="322"/>
        <v>262241355.685527</v>
      </c>
      <c r="CR83" s="199">
        <f t="shared" si="322"/>
        <v>294323986.90190578</v>
      </c>
      <c r="CS83" s="199">
        <f t="shared" si="322"/>
        <v>279552592.98010063</v>
      </c>
      <c r="CT83" s="199">
        <f t="shared" si="322"/>
        <v>333677462.66733623</v>
      </c>
      <c r="CU83" s="199">
        <f t="shared" si="322"/>
        <v>347538897.1917879</v>
      </c>
      <c r="CV83" s="199">
        <f t="shared" si="322"/>
        <v>313023113.66882247</v>
      </c>
      <c r="CW83" s="199">
        <f t="shared" si="322"/>
        <v>350112876.36257333</v>
      </c>
      <c r="CY83" s="199">
        <f t="shared" ref="CY83" si="323">SUM(AD83:AF83)</f>
        <v>243813240.42440441</v>
      </c>
      <c r="CZ83" s="199">
        <f t="shared" ref="CZ83" si="324">SUM(AG83:AI83)</f>
        <v>233043517.01656079</v>
      </c>
      <c r="DA83" s="199">
        <f t="shared" ref="DA83" si="325">SUM(AJ83:AL83)</f>
        <v>291787935.50252801</v>
      </c>
      <c r="DB83" s="199">
        <f t="shared" ref="DB83" si="326">SUM(AM83:AO83)</f>
        <v>297564776.63836098</v>
      </c>
      <c r="DC83" s="199">
        <f t="shared" ref="DC83" si="327">SUM(AP83:AR83)</f>
        <v>344010921.59949291</v>
      </c>
      <c r="DD83" s="199">
        <f t="shared" ref="DD83" si="328">SUM(AS83:AU83)</f>
        <v>330840190.69420993</v>
      </c>
      <c r="DE83" s="199">
        <f t="shared" ref="DE83" si="329">SUM(AV83:AX83)</f>
        <v>378724626.32186568</v>
      </c>
      <c r="DF83" s="199">
        <f t="shared" ref="DF83" si="330">SUM(AY83:BA83)</f>
        <v>437572150.65766668</v>
      </c>
      <c r="DG83" s="199">
        <f t="shared" ref="DG83" si="331">SUM(BB83:BD83)</f>
        <v>476054502.31195676</v>
      </c>
      <c r="DH83" s="199">
        <f t="shared" ref="DH83" si="332">SUM(BE83:BG83)</f>
        <v>496556726.40920401</v>
      </c>
      <c r="DI83" s="199">
        <f t="shared" ref="DI83" si="333">SUM(BH83:BJ83)</f>
        <v>564350314.39930677</v>
      </c>
      <c r="DJ83" s="199">
        <f t="shared" ref="DJ83" si="334">SUM(BK83:BM83)</f>
        <v>596861451.12668955</v>
      </c>
      <c r="DK83" s="199">
        <f t="shared" ref="DK83" si="335">SUM(BN83:BP83)</f>
        <v>607110360.5907234</v>
      </c>
      <c r="DL83" s="199">
        <f t="shared" ref="DL83" si="336">SUM(BQ83:BS83)</f>
        <v>600961196.5231595</v>
      </c>
      <c r="DM83" s="199">
        <f t="shared" ref="DM83" si="337">SUM(BT83:BV83)</f>
        <v>673153260.63983488</v>
      </c>
      <c r="DN83" s="199">
        <f t="shared" ref="DN83" si="338">SUM(BW83:BY83)</f>
        <v>756815104.18892658</v>
      </c>
      <c r="DO83" s="199">
        <f t="shared" ref="DO83" si="339">SUM(BZ83:CB83)</f>
        <v>727144699.76313508</v>
      </c>
      <c r="DP83" s="199">
        <f t="shared" ref="DP83" si="340">SUM(CC83:CE83)</f>
        <v>717110041.36708879</v>
      </c>
      <c r="DQ83" s="199">
        <f t="shared" ref="DQ83" si="341">SUM(CF83:CH83)</f>
        <v>798413607.88431883</v>
      </c>
      <c r="DR83" s="199">
        <f t="shared" ref="DR83" si="342">SUM(CI83:CK83)</f>
        <v>889127700.47727275</v>
      </c>
      <c r="DS83" s="199">
        <f t="shared" si="312"/>
        <v>828495501.97966695</v>
      </c>
      <c r="DT83" s="199">
        <f t="shared" si="313"/>
        <v>816154239.36248457</v>
      </c>
      <c r="DU83" s="199">
        <f t="shared" si="314"/>
        <v>907554042.54934263</v>
      </c>
      <c r="DV83" s="199">
        <f t="shared" si="315"/>
        <v>1010674887.2231836</v>
      </c>
      <c r="DX83" s="199">
        <f t="shared" ref="DX83" si="343">SUM(CY83:DB83)</f>
        <v>1066209469.5818541</v>
      </c>
      <c r="DY83" s="199">
        <f t="shared" ref="DY83" si="344">SUM(DC83:DF83)</f>
        <v>1491147889.2732353</v>
      </c>
      <c r="DZ83" s="199">
        <f t="shared" ref="DZ83" si="345">SUM(DG83:DJ83)</f>
        <v>2133822994.2471571</v>
      </c>
      <c r="EA83" s="199">
        <f t="shared" ref="EA83" si="346">SUM(DK83:DN83)</f>
        <v>2638039921.9426446</v>
      </c>
      <c r="EB83" s="199">
        <f t="shared" ref="EB83" si="347">SUM(DO83:DR83)</f>
        <v>3131796049.4918156</v>
      </c>
      <c r="EC83" s="810">
        <f t="shared" si="316"/>
        <v>3562878671.1146779</v>
      </c>
    </row>
    <row r="84" spans="2:133" x14ac:dyDescent="0.2">
      <c r="B84" s="155" t="s">
        <v>29</v>
      </c>
      <c r="C84" s="20">
        <f>C83/C50</f>
        <v>0.18220452387305286</v>
      </c>
      <c r="D84" s="20">
        <f t="shared" ref="D84:BO84" si="348">D83/D50</f>
        <v>0.18902562255932909</v>
      </c>
      <c r="E84" s="20">
        <f t="shared" si="348"/>
        <v>0.22793881554222564</v>
      </c>
      <c r="F84" s="20">
        <f t="shared" si="348"/>
        <v>0.23337520482431245</v>
      </c>
      <c r="G84" s="20">
        <f t="shared" si="348"/>
        <v>0.2242336776158082</v>
      </c>
      <c r="H84" s="20">
        <f t="shared" si="348"/>
        <v>0.2626716845039237</v>
      </c>
      <c r="I84" s="20">
        <f t="shared" si="348"/>
        <v>0.28962792377888452</v>
      </c>
      <c r="J84" s="20">
        <f t="shared" si="348"/>
        <v>0.25927240628043868</v>
      </c>
      <c r="K84" s="20">
        <f t="shared" si="348"/>
        <v>0.22586259272399356</v>
      </c>
      <c r="L84" s="20">
        <f t="shared" si="348"/>
        <v>0.209926280742322</v>
      </c>
      <c r="M84" s="20">
        <f t="shared" si="348"/>
        <v>0.24302216551201586</v>
      </c>
      <c r="N84" s="20">
        <f t="shared" si="348"/>
        <v>0.23142393719931811</v>
      </c>
      <c r="O84" s="20">
        <f t="shared" si="348"/>
        <v>0.20257944452879903</v>
      </c>
      <c r="P84" s="20">
        <f t="shared" si="348"/>
        <v>0.2127288619749626</v>
      </c>
      <c r="Q84" s="20">
        <f t="shared" si="348"/>
        <v>0.20481525918982732</v>
      </c>
      <c r="R84" s="20">
        <f t="shared" si="348"/>
        <v>0.21585828144753577</v>
      </c>
      <c r="S84" s="20">
        <f t="shared" si="348"/>
        <v>0.19413863411684326</v>
      </c>
      <c r="T84" s="20">
        <f t="shared" si="348"/>
        <v>0.18891626936401396</v>
      </c>
      <c r="U84" s="20">
        <f t="shared" si="348"/>
        <v>0.19493885176980016</v>
      </c>
      <c r="V84" s="20">
        <f t="shared" si="348"/>
        <v>0.17776781250497045</v>
      </c>
      <c r="W84" s="20">
        <f t="shared" si="348"/>
        <v>0.15568458881972075</v>
      </c>
      <c r="X84" s="20">
        <f t="shared" si="348"/>
        <v>0.16482459249143952</v>
      </c>
      <c r="Y84" s="20">
        <f t="shared" si="348"/>
        <v>0.17229441814158863</v>
      </c>
      <c r="Z84" s="20">
        <f t="shared" si="348"/>
        <v>0.17336917558163026</v>
      </c>
      <c r="AA84" s="20">
        <f t="shared" si="348"/>
        <v>0.18231154762775645</v>
      </c>
      <c r="AB84" s="20">
        <f t="shared" si="348"/>
        <v>0.18922377016512659</v>
      </c>
      <c r="AC84" s="20">
        <f t="shared" si="348"/>
        <v>0.17321731678298757</v>
      </c>
      <c r="AD84" s="20">
        <f t="shared" si="348"/>
        <v>0.1517908883357667</v>
      </c>
      <c r="AE84" s="20">
        <f t="shared" si="348"/>
        <v>0.1653300095459472</v>
      </c>
      <c r="AF84" s="20">
        <f t="shared" si="348"/>
        <v>0.17653401581608891</v>
      </c>
      <c r="AG84" s="20">
        <f t="shared" si="348"/>
        <v>0.18460052279569791</v>
      </c>
      <c r="AH84" s="20">
        <f t="shared" si="348"/>
        <v>0.18919542312122425</v>
      </c>
      <c r="AI84" s="20">
        <f t="shared" si="348"/>
        <v>0.16086991048738966</v>
      </c>
      <c r="AJ84" s="20">
        <f t="shared" si="348"/>
        <v>0.15696222211838373</v>
      </c>
      <c r="AK84" s="20">
        <f t="shared" si="348"/>
        <v>0.1770222486896062</v>
      </c>
      <c r="AL84" s="20">
        <f t="shared" si="348"/>
        <v>0.1869684109244853</v>
      </c>
      <c r="AM84" s="20">
        <f t="shared" si="348"/>
        <v>0.19825564336301421</v>
      </c>
      <c r="AN84" s="20">
        <f t="shared" si="348"/>
        <v>0.24145622145256207</v>
      </c>
      <c r="AO84" s="20">
        <f t="shared" si="348"/>
        <v>0.22447051610552066</v>
      </c>
      <c r="AP84" s="20">
        <f t="shared" si="348"/>
        <v>0.20579306254353844</v>
      </c>
      <c r="AQ84" s="20">
        <f t="shared" si="348"/>
        <v>0.21731578050983158</v>
      </c>
      <c r="AR84" s="20">
        <f t="shared" si="348"/>
        <v>0.22456582285991084</v>
      </c>
      <c r="AS84" s="20">
        <f t="shared" si="348"/>
        <v>0.21978207342546224</v>
      </c>
      <c r="AT84" s="20">
        <f t="shared" si="348"/>
        <v>0.22558293585445896</v>
      </c>
      <c r="AU84" s="20">
        <f t="shared" si="348"/>
        <v>0.21720990361494297</v>
      </c>
      <c r="AV84" s="20">
        <f t="shared" si="348"/>
        <v>0.21917699562619186</v>
      </c>
      <c r="AW84" s="20">
        <f t="shared" si="348"/>
        <v>0.22300739622496177</v>
      </c>
      <c r="AX84" s="20">
        <f t="shared" si="348"/>
        <v>0.21176659685554852</v>
      </c>
      <c r="AY84" s="20">
        <f t="shared" si="348"/>
        <v>0.20597057510019215</v>
      </c>
      <c r="AZ84" s="20">
        <f t="shared" si="348"/>
        <v>0.20064473664413385</v>
      </c>
      <c r="BA84" s="20">
        <f t="shared" si="348"/>
        <v>0.203819380497053</v>
      </c>
      <c r="BB84" s="20">
        <f t="shared" si="348"/>
        <v>0.20681553515372511</v>
      </c>
      <c r="BC84" s="20">
        <f t="shared" si="348"/>
        <v>0.20559800216037227</v>
      </c>
      <c r="BD84" s="20">
        <f t="shared" si="348"/>
        <v>0.22025223790861601</v>
      </c>
      <c r="BE84" s="20">
        <f t="shared" si="348"/>
        <v>0.21488573881722586</v>
      </c>
      <c r="BF84" s="20">
        <f t="shared" si="348"/>
        <v>0.23341648200164825</v>
      </c>
      <c r="BG84" s="20">
        <f t="shared" si="348"/>
        <v>0.21181770184242976</v>
      </c>
      <c r="BH84" s="20">
        <f t="shared" si="348"/>
        <v>0.22056961316971416</v>
      </c>
      <c r="BI84" s="20">
        <f t="shared" si="348"/>
        <v>0.21742368561603681</v>
      </c>
      <c r="BJ84" s="20">
        <f t="shared" si="348"/>
        <v>0.19546638804518449</v>
      </c>
      <c r="BK84" s="20">
        <f t="shared" si="348"/>
        <v>0.19225514900587906</v>
      </c>
      <c r="BL84" s="20">
        <f t="shared" si="348"/>
        <v>0.18721164290208864</v>
      </c>
      <c r="BM84" s="20">
        <f t="shared" si="348"/>
        <v>0.17716843867882659</v>
      </c>
      <c r="BN84" s="20">
        <f t="shared" si="348"/>
        <v>0.20020295127415044</v>
      </c>
      <c r="BO84" s="20">
        <f t="shared" si="348"/>
        <v>0.20039604450132115</v>
      </c>
      <c r="BP84" s="20">
        <f t="shared" ref="BP84:CK84" si="349">BP83/BP50</f>
        <v>0.20052592884183898</v>
      </c>
      <c r="BQ84" s="20">
        <f t="shared" si="349"/>
        <v>0.20002805675642973</v>
      </c>
      <c r="BR84" s="20">
        <f t="shared" si="349"/>
        <v>0.20106274778754449</v>
      </c>
      <c r="BS84" s="20">
        <f t="shared" si="349"/>
        <v>0.20149417099561959</v>
      </c>
      <c r="BT84" s="20">
        <f t="shared" si="349"/>
        <v>0.20010991004696979</v>
      </c>
      <c r="BU84" s="20">
        <f t="shared" si="349"/>
        <v>0.20078257426222273</v>
      </c>
      <c r="BV84" s="20">
        <f t="shared" si="349"/>
        <v>0.19926753951838402</v>
      </c>
      <c r="BW84" s="20">
        <f t="shared" si="349"/>
        <v>0.1990401348802536</v>
      </c>
      <c r="BX84" s="20">
        <f t="shared" si="349"/>
        <v>0.19989066629274274</v>
      </c>
      <c r="BY84" s="20">
        <f t="shared" si="349"/>
        <v>0.19892027709807811</v>
      </c>
      <c r="BZ84" s="20">
        <f t="shared" si="349"/>
        <v>0.19845246435948652</v>
      </c>
      <c r="CA84" s="20">
        <f t="shared" si="349"/>
        <v>0.19863974216118707</v>
      </c>
      <c r="CB84" s="20">
        <f t="shared" si="349"/>
        <v>0.19875090424349906</v>
      </c>
      <c r="CC84" s="20">
        <f t="shared" si="349"/>
        <v>0.19828169566776543</v>
      </c>
      <c r="CD84" s="20">
        <f t="shared" si="349"/>
        <v>0.19925426328055729</v>
      </c>
      <c r="CE84" s="20">
        <f t="shared" si="349"/>
        <v>0.19964749496294321</v>
      </c>
      <c r="CF84" s="20">
        <f t="shared" si="349"/>
        <v>0.19834549705011331</v>
      </c>
      <c r="CG84" s="20">
        <f t="shared" si="349"/>
        <v>0.19896252405057241</v>
      </c>
      <c r="CH84" s="20">
        <f t="shared" si="349"/>
        <v>0.19752428983989492</v>
      </c>
      <c r="CI84" s="20">
        <f t="shared" si="349"/>
        <v>0.19729772291839406</v>
      </c>
      <c r="CJ84" s="20">
        <f t="shared" si="349"/>
        <v>0.19809445056841446</v>
      </c>
      <c r="CK84" s="20">
        <f t="shared" si="349"/>
        <v>0.19717302439537637</v>
      </c>
      <c r="CL84" s="20">
        <f t="shared" ref="CL84:CW84" si="350">CL83/CL50</f>
        <v>0.19568670116685721</v>
      </c>
      <c r="CM84" s="20">
        <f t="shared" si="350"/>
        <v>0.19587125329245231</v>
      </c>
      <c r="CN84" s="20">
        <f t="shared" si="350"/>
        <v>0.19597816486173555</v>
      </c>
      <c r="CO84" s="20">
        <f t="shared" si="350"/>
        <v>0.19551244533438128</v>
      </c>
      <c r="CP84" s="20">
        <f t="shared" si="350"/>
        <v>0.19645547416095635</v>
      </c>
      <c r="CQ84" s="20">
        <f t="shared" si="350"/>
        <v>0.19686714129996583</v>
      </c>
      <c r="CR84" s="20">
        <f t="shared" si="350"/>
        <v>0.1955639364340663</v>
      </c>
      <c r="CS84" s="20">
        <f t="shared" si="350"/>
        <v>0.19617421266826504</v>
      </c>
      <c r="CT84" s="20">
        <f t="shared" si="350"/>
        <v>0.19480598705309418</v>
      </c>
      <c r="CU84" s="20">
        <f t="shared" si="350"/>
        <v>0.19460233849644976</v>
      </c>
      <c r="CV84" s="20">
        <f t="shared" si="350"/>
        <v>0.19534461795928371</v>
      </c>
      <c r="CW84" s="20">
        <f t="shared" si="350"/>
        <v>0.19444817942225737</v>
      </c>
      <c r="CY84" s="20">
        <f t="shared" ref="CY84:DR84" si="351">CY83/CY50</f>
        <v>0.16488930305148633</v>
      </c>
      <c r="CZ84" s="20">
        <f t="shared" si="351"/>
        <v>0.17808176168955933</v>
      </c>
      <c r="DA84" s="20">
        <f t="shared" si="351"/>
        <v>0.17211687589292643</v>
      </c>
      <c r="DB84" s="20">
        <f t="shared" si="351"/>
        <v>0.22033940021690163</v>
      </c>
      <c r="DC84" s="20">
        <f t="shared" si="351"/>
        <v>0.21617065975515806</v>
      </c>
      <c r="DD84" s="20">
        <f t="shared" si="351"/>
        <v>0.22088458049064741</v>
      </c>
      <c r="DE84" s="20">
        <f t="shared" si="351"/>
        <v>0.21764585503438669</v>
      </c>
      <c r="DF84" s="20">
        <f t="shared" si="351"/>
        <v>0.20354582050731956</v>
      </c>
      <c r="DG84" s="20">
        <f t="shared" si="351"/>
        <v>0.21088941055600383</v>
      </c>
      <c r="DH84" s="20">
        <f t="shared" si="351"/>
        <v>0.21957797233682891</v>
      </c>
      <c r="DI84" s="20">
        <f t="shared" si="351"/>
        <v>0.21026892876867587</v>
      </c>
      <c r="DJ84" s="20">
        <f t="shared" si="351"/>
        <v>0.18526088996224835</v>
      </c>
      <c r="DK84" s="20">
        <f t="shared" si="351"/>
        <v>0.20037436626353017</v>
      </c>
      <c r="DL84" s="20">
        <f t="shared" si="351"/>
        <v>0.20083355538839878</v>
      </c>
      <c r="DM84" s="20">
        <f t="shared" si="351"/>
        <v>0.20000504594964238</v>
      </c>
      <c r="DN84" s="20">
        <f t="shared" si="351"/>
        <v>0.19926064422578785</v>
      </c>
      <c r="DO84" s="20">
        <f t="shared" si="351"/>
        <v>0.19861372354594398</v>
      </c>
      <c r="DP84" s="20">
        <f t="shared" si="351"/>
        <v>0.19903393888276882</v>
      </c>
      <c r="DQ84" s="20">
        <f t="shared" si="351"/>
        <v>0.1982320703296753</v>
      </c>
      <c r="DR84" s="20">
        <f t="shared" si="351"/>
        <v>0.19750052323991119</v>
      </c>
      <c r="DS84" s="20">
        <f t="shared" ref="DS84:DV84" si="352">DS83/DS50</f>
        <v>0.19584470713868954</v>
      </c>
      <c r="DT84" s="20">
        <f t="shared" si="352"/>
        <v>0.1962516560614104</v>
      </c>
      <c r="DU84" s="20">
        <f t="shared" si="352"/>
        <v>0.19547162071018559</v>
      </c>
      <c r="DV84" s="20">
        <f t="shared" si="352"/>
        <v>0.19477807464640964</v>
      </c>
      <c r="DW84" s="771"/>
      <c r="DX84" s="20">
        <f t="shared" ref="DX84:EC84" si="353">DX83/DX50</f>
        <v>0.18278753764438779</v>
      </c>
      <c r="DY84" s="20">
        <f t="shared" si="353"/>
        <v>0.21366132062802207</v>
      </c>
      <c r="DZ84" s="20">
        <f t="shared" si="353"/>
        <v>0.20469386663047823</v>
      </c>
      <c r="EA84" s="20">
        <f t="shared" si="353"/>
        <v>0.20006350558535879</v>
      </c>
      <c r="EB84" s="20">
        <f t="shared" si="353"/>
        <v>0.19829494465650976</v>
      </c>
      <c r="EC84" s="20">
        <f t="shared" si="353"/>
        <v>0.19553877064099037</v>
      </c>
    </row>
    <row r="85" spans="2:133" x14ac:dyDescent="0.2">
      <c r="B85" s="155" t="s">
        <v>139</v>
      </c>
      <c r="C85" s="20">
        <f>(C51-C68-C71-C72-C73-C74)/C51</f>
        <v>0.17348497795054499</v>
      </c>
      <c r="D85" s="20">
        <f t="shared" ref="D85:BO85" si="354">(D51-D68-D71-D72-D73-D74)/D51</f>
        <v>0.18260548443825431</v>
      </c>
      <c r="E85" s="20">
        <f t="shared" si="354"/>
        <v>0.21326188828921402</v>
      </c>
      <c r="F85" s="20">
        <f t="shared" si="354"/>
        <v>0.2219056511207628</v>
      </c>
      <c r="G85" s="20">
        <f t="shared" si="354"/>
        <v>0.22399642100190564</v>
      </c>
      <c r="H85" s="20">
        <f t="shared" si="354"/>
        <v>0.23610144411807626</v>
      </c>
      <c r="I85" s="20">
        <f t="shared" si="354"/>
        <v>0.27285855629052025</v>
      </c>
      <c r="J85" s="20">
        <f t="shared" si="354"/>
        <v>0.24376351424513576</v>
      </c>
      <c r="K85" s="20">
        <f t="shared" si="354"/>
        <v>0.21159684949767263</v>
      </c>
      <c r="L85" s="20">
        <f t="shared" si="354"/>
        <v>0.1958308149774087</v>
      </c>
      <c r="M85" s="20">
        <f t="shared" si="354"/>
        <v>0.2385126706149806</v>
      </c>
      <c r="N85" s="20">
        <f t="shared" si="354"/>
        <v>0.22352990913702089</v>
      </c>
      <c r="O85" s="20">
        <f t="shared" si="354"/>
        <v>0.1984744998614234</v>
      </c>
      <c r="P85" s="20">
        <f t="shared" si="354"/>
        <v>0.21149364146954</v>
      </c>
      <c r="Q85" s="20">
        <f t="shared" si="354"/>
        <v>0.20477663680819783</v>
      </c>
      <c r="R85" s="20">
        <f t="shared" si="354"/>
        <v>0.2138058664814457</v>
      </c>
      <c r="S85" s="20">
        <f t="shared" si="354"/>
        <v>0.19015449486197453</v>
      </c>
      <c r="T85" s="20">
        <f t="shared" si="354"/>
        <v>0.18062811547479399</v>
      </c>
      <c r="U85" s="20">
        <f t="shared" si="354"/>
        <v>0.18975162559426939</v>
      </c>
      <c r="V85" s="20">
        <f t="shared" si="354"/>
        <v>0.17609044168830396</v>
      </c>
      <c r="W85" s="20">
        <f t="shared" si="354"/>
        <v>0.15014151520121605</v>
      </c>
      <c r="X85" s="20">
        <f t="shared" si="354"/>
        <v>0.16170463817640229</v>
      </c>
      <c r="Y85" s="20">
        <f t="shared" si="354"/>
        <v>0.1657845755738703</v>
      </c>
      <c r="Z85" s="20">
        <f t="shared" si="354"/>
        <v>0.16790490741208164</v>
      </c>
      <c r="AA85" s="20">
        <f t="shared" si="354"/>
        <v>0.17574949452881186</v>
      </c>
      <c r="AB85" s="20">
        <f t="shared" si="354"/>
        <v>0.18318119641131689</v>
      </c>
      <c r="AC85" s="20">
        <f t="shared" si="354"/>
        <v>0.16810634853761866</v>
      </c>
      <c r="AD85" s="20">
        <f t="shared" si="354"/>
        <v>0.14495338741694863</v>
      </c>
      <c r="AE85" s="20">
        <f t="shared" si="354"/>
        <v>0.15877216770425848</v>
      </c>
      <c r="AF85" s="20">
        <f t="shared" si="354"/>
        <v>0.17222333206681373</v>
      </c>
      <c r="AG85" s="20">
        <f t="shared" si="354"/>
        <v>0.17742886807825334</v>
      </c>
      <c r="AH85" s="20">
        <f t="shared" si="354"/>
        <v>0.1833197119932479</v>
      </c>
      <c r="AI85" s="20">
        <f t="shared" si="354"/>
        <v>0.15410398739214559</v>
      </c>
      <c r="AJ85" s="20">
        <f t="shared" si="354"/>
        <v>0.15249781880443797</v>
      </c>
      <c r="AK85" s="20">
        <f t="shared" si="354"/>
        <v>0.17429673910545418</v>
      </c>
      <c r="AL85" s="20">
        <f t="shared" si="354"/>
        <v>0.18241718918257663</v>
      </c>
      <c r="AM85" s="20">
        <f t="shared" si="354"/>
        <v>0.19591350068698096</v>
      </c>
      <c r="AN85" s="20">
        <f t="shared" si="354"/>
        <v>0.23822327339941596</v>
      </c>
      <c r="AO85" s="20">
        <f t="shared" si="354"/>
        <v>0.2216768388521545</v>
      </c>
      <c r="AP85" s="20">
        <f t="shared" si="354"/>
        <v>0.20376952871744106</v>
      </c>
      <c r="AQ85" s="20">
        <f t="shared" si="354"/>
        <v>0.213279717651321</v>
      </c>
      <c r="AR85" s="20">
        <f t="shared" si="354"/>
        <v>0.21946269049793896</v>
      </c>
      <c r="AS85" s="20">
        <f t="shared" si="354"/>
        <v>0.21556021381987894</v>
      </c>
      <c r="AT85" s="20">
        <f t="shared" si="354"/>
        <v>0.21836245607532859</v>
      </c>
      <c r="AU85" s="20">
        <f t="shared" si="354"/>
        <v>0.21125518503176341</v>
      </c>
      <c r="AV85" s="20">
        <f t="shared" si="354"/>
        <v>0.21457768285434489</v>
      </c>
      <c r="AW85" s="20">
        <f t="shared" si="354"/>
        <v>0.21989357853513206</v>
      </c>
      <c r="AX85" s="20">
        <f t="shared" si="354"/>
        <v>0.20943824020901761</v>
      </c>
      <c r="AY85" s="20">
        <f t="shared" si="354"/>
        <v>0.20147597800237607</v>
      </c>
      <c r="AZ85" s="20">
        <f t="shared" si="354"/>
        <v>0.19684815151573293</v>
      </c>
      <c r="BA85" s="20">
        <f t="shared" si="354"/>
        <v>0.20033654882205057</v>
      </c>
      <c r="BB85" s="20">
        <f t="shared" si="354"/>
        <v>0.20291713290425051</v>
      </c>
      <c r="BC85" s="20">
        <f t="shared" si="354"/>
        <v>0.20087393403667192</v>
      </c>
      <c r="BD85" s="20">
        <f t="shared" si="354"/>
        <v>0.21618743461440931</v>
      </c>
      <c r="BE85" s="20">
        <f t="shared" si="354"/>
        <v>0.21095286540234245</v>
      </c>
      <c r="BF85" s="20">
        <f t="shared" si="354"/>
        <v>0.2314973589611915</v>
      </c>
      <c r="BG85" s="20">
        <f t="shared" si="354"/>
        <v>0.20914450950463376</v>
      </c>
      <c r="BH85" s="20">
        <f t="shared" si="354"/>
        <v>0.21830862824130995</v>
      </c>
      <c r="BI85" s="20">
        <f t="shared" si="354"/>
        <v>0.21531783537057203</v>
      </c>
      <c r="BJ85" s="20">
        <f t="shared" si="354"/>
        <v>0.19229324619777849</v>
      </c>
      <c r="BK85" s="20">
        <f t="shared" si="354"/>
        <v>0.18961407350318016</v>
      </c>
      <c r="BL85" s="20">
        <f t="shared" si="354"/>
        <v>0.18365477935098082</v>
      </c>
      <c r="BM85" s="20">
        <f t="shared" si="354"/>
        <v>0.16965865061261967</v>
      </c>
      <c r="BN85" s="20">
        <f t="shared" si="354"/>
        <v>0.19810603878483429</v>
      </c>
      <c r="BO85" s="20">
        <f t="shared" si="354"/>
        <v>0.19804286373244634</v>
      </c>
      <c r="BP85" s="20">
        <f t="shared" ref="BP85:CK85" si="355">(BP51-BP68-BP71-BP72-BP73-BP74)/BP51</f>
        <v>0.19803281675242992</v>
      </c>
      <c r="BQ85" s="20">
        <f t="shared" si="355"/>
        <v>0.19816953712416965</v>
      </c>
      <c r="BR85" s="20">
        <f t="shared" si="355"/>
        <v>0.19801978594479305</v>
      </c>
      <c r="BS85" s="20">
        <f t="shared" si="355"/>
        <v>0.19771374274240452</v>
      </c>
      <c r="BT85" s="20">
        <f t="shared" si="355"/>
        <v>0.19821760450435097</v>
      </c>
      <c r="BU85" s="20">
        <f t="shared" si="355"/>
        <v>0.19803793498755598</v>
      </c>
      <c r="BV85" s="20">
        <f t="shared" si="355"/>
        <v>0.19807557109553434</v>
      </c>
      <c r="BW85" s="20">
        <f t="shared" si="355"/>
        <v>0.19800453929482534</v>
      </c>
      <c r="BX85" s="20">
        <f t="shared" si="355"/>
        <v>0.19809024532367189</v>
      </c>
      <c r="BY85" s="20">
        <f t="shared" si="355"/>
        <v>0.19826817198524432</v>
      </c>
      <c r="BZ85" s="20">
        <f t="shared" si="355"/>
        <v>0.19697924138256309</v>
      </c>
      <c r="CA85" s="20">
        <f t="shared" si="355"/>
        <v>0.19691496637522382</v>
      </c>
      <c r="CB85" s="20">
        <f t="shared" si="355"/>
        <v>0.19689592531902234</v>
      </c>
      <c r="CC85" s="20">
        <f t="shared" si="355"/>
        <v>0.1970428130788299</v>
      </c>
      <c r="CD85" s="20">
        <f t="shared" si="355"/>
        <v>0.19688149373458766</v>
      </c>
      <c r="CE85" s="20">
        <f t="shared" si="355"/>
        <v>0.19653992308055593</v>
      </c>
      <c r="CF85" s="20">
        <f t="shared" si="355"/>
        <v>0.19708406389331107</v>
      </c>
      <c r="CG85" s="20">
        <f t="shared" si="355"/>
        <v>0.19688072109910518</v>
      </c>
      <c r="CH85" s="20">
        <f t="shared" si="355"/>
        <v>0.19690327420735401</v>
      </c>
      <c r="CI85" s="20">
        <f t="shared" si="355"/>
        <v>0.19681452904395644</v>
      </c>
      <c r="CJ85" s="20">
        <f t="shared" si="355"/>
        <v>0.19690944911217667</v>
      </c>
      <c r="CK85" s="20">
        <f t="shared" si="355"/>
        <v>0.19708072865690648</v>
      </c>
      <c r="CL85" s="20">
        <f t="shared" ref="CL85:CW85" si="356">(CL51-CL68-CL71-CL72-CL73-CL74)/CL51</f>
        <v>0.19453679980523775</v>
      </c>
      <c r="CM85" s="20">
        <f t="shared" si="356"/>
        <v>0.1944788599117023</v>
      </c>
      <c r="CN85" s="20">
        <f t="shared" si="356"/>
        <v>0.19446101694409215</v>
      </c>
      <c r="CO85" s="20">
        <f t="shared" si="356"/>
        <v>0.19458970503677014</v>
      </c>
      <c r="CP85" s="20">
        <f t="shared" si="356"/>
        <v>0.19444450852264761</v>
      </c>
      <c r="CQ85" s="20">
        <f t="shared" si="356"/>
        <v>0.19414471854374871</v>
      </c>
      <c r="CR85" s="20">
        <f t="shared" si="356"/>
        <v>0.19462212534064832</v>
      </c>
      <c r="CS85" s="20">
        <f t="shared" si="356"/>
        <v>0.19444201775860195</v>
      </c>
      <c r="CT85" s="20">
        <f t="shared" si="356"/>
        <v>0.19446630497740552</v>
      </c>
      <c r="CU85" s="20">
        <f t="shared" si="356"/>
        <v>0.19438949407560738</v>
      </c>
      <c r="CV85" s="20">
        <f t="shared" si="356"/>
        <v>0.1944684911877656</v>
      </c>
      <c r="CW85" s="20">
        <f t="shared" si="356"/>
        <v>0.19462050991082175</v>
      </c>
      <c r="CY85" s="20">
        <f t="shared" ref="CY85:DR85" si="357">(CY51-CY68-CY71-CY72-CY73-CY74)/CY51</f>
        <v>0.15901892297955517</v>
      </c>
      <c r="CZ85" s="20">
        <f t="shared" si="357"/>
        <v>0.171455780102826</v>
      </c>
      <c r="DA85" s="20">
        <f t="shared" si="357"/>
        <v>0.16820734729449061</v>
      </c>
      <c r="DB85" s="20">
        <f t="shared" si="357"/>
        <v>0.21750740051743317</v>
      </c>
      <c r="DC85" s="20">
        <f t="shared" si="357"/>
        <v>0.21239788788922806</v>
      </c>
      <c r="DD85" s="20">
        <f t="shared" si="357"/>
        <v>0.21515095124785508</v>
      </c>
      <c r="DE85" s="20">
        <f t="shared" si="357"/>
        <v>0.21432932488769291</v>
      </c>
      <c r="DF85" s="20">
        <f t="shared" si="357"/>
        <v>0.19964865053980035</v>
      </c>
      <c r="DG85" s="20">
        <f t="shared" si="357"/>
        <v>0.20667204292347721</v>
      </c>
      <c r="DH85" s="20">
        <f t="shared" si="357"/>
        <v>0.2166496552770629</v>
      </c>
      <c r="DI85" s="20">
        <f t="shared" si="357"/>
        <v>0.2077224310098236</v>
      </c>
      <c r="DJ85" s="20">
        <f t="shared" si="357"/>
        <v>0.18063436883943776</v>
      </c>
      <c r="DK85" s="20">
        <f t="shared" si="357"/>
        <v>0.19806075108664814</v>
      </c>
      <c r="DL85" s="20">
        <f t="shared" si="357"/>
        <v>0.19797538239341092</v>
      </c>
      <c r="DM85" s="20">
        <f t="shared" si="357"/>
        <v>0.19810993670659593</v>
      </c>
      <c r="DN85" s="20">
        <f t="shared" si="357"/>
        <v>0.19812310387317575</v>
      </c>
      <c r="DO85" s="20">
        <f t="shared" si="357"/>
        <v>0.19693025394567976</v>
      </c>
      <c r="DP85" s="20">
        <f t="shared" si="357"/>
        <v>0.19683018741969077</v>
      </c>
      <c r="DQ85" s="20">
        <f t="shared" si="357"/>
        <v>0.19695496364663925</v>
      </c>
      <c r="DR85" s="20">
        <f t="shared" si="357"/>
        <v>0.19693636061641098</v>
      </c>
      <c r="DS85" s="20">
        <f t="shared" ref="DS85:DV85" si="358">(DS51-DS68-DS71-DS72-DS73-DS74)/DS51</f>
        <v>0.1944924231214496</v>
      </c>
      <c r="DT85" s="20">
        <f t="shared" si="358"/>
        <v>0.19440068095913912</v>
      </c>
      <c r="DU85" s="20">
        <f t="shared" si="358"/>
        <v>0.19450935113709852</v>
      </c>
      <c r="DV85" s="20">
        <f t="shared" si="358"/>
        <v>0.19449410889505989</v>
      </c>
      <c r="DW85" s="771"/>
      <c r="DX85" s="20">
        <f t="shared" ref="DX85:EC85" si="359">(DX51-DX68-DX71-DX72-DX73-DX74)/DX51</f>
        <v>0.17802637784966133</v>
      </c>
      <c r="DY85" s="20">
        <f t="shared" si="359"/>
        <v>0.2095151315436431</v>
      </c>
      <c r="DZ85" s="20">
        <f t="shared" si="359"/>
        <v>0.20107251376131274</v>
      </c>
      <c r="EA85" s="20">
        <f t="shared" si="359"/>
        <v>0.19807207057114162</v>
      </c>
      <c r="EB85" s="20">
        <f t="shared" si="359"/>
        <v>0.19691557806943563</v>
      </c>
      <c r="EC85" s="20">
        <f t="shared" si="359"/>
        <v>0.1944763668693768</v>
      </c>
    </row>
    <row r="86" spans="2:133" x14ac:dyDescent="0.2">
      <c r="B86" s="155" t="s">
        <v>191</v>
      </c>
      <c r="C86" s="20">
        <f>IFERROR((C52-C64)/C52,0)</f>
        <v>0.29656850086969705</v>
      </c>
      <c r="D86" s="20">
        <f t="shared" ref="D86:BO86" si="360">IFERROR((D52-D64)/D52,0)</f>
        <v>0.23601412057066426</v>
      </c>
      <c r="E86" s="20">
        <f t="shared" si="360"/>
        <v>0.40823399244798031</v>
      </c>
      <c r="F86" s="20">
        <f t="shared" si="360"/>
        <v>0.36199999999999993</v>
      </c>
      <c r="G86" s="20">
        <f t="shared" si="360"/>
        <v>0</v>
      </c>
      <c r="H86" s="20">
        <f t="shared" si="360"/>
        <v>0.39540000000000003</v>
      </c>
      <c r="I86" s="20">
        <f t="shared" si="360"/>
        <v>0.37000000000000011</v>
      </c>
      <c r="J86" s="20">
        <f t="shared" si="360"/>
        <v>0.37000000000000005</v>
      </c>
      <c r="K86" s="20">
        <f t="shared" si="360"/>
        <v>0.3017543638948576</v>
      </c>
      <c r="L86" s="20">
        <f t="shared" si="360"/>
        <v>0.31900444367600667</v>
      </c>
      <c r="M86" s="20">
        <f t="shared" si="360"/>
        <v>0.31159538840940715</v>
      </c>
      <c r="N86" s="20">
        <f t="shared" si="360"/>
        <v>0.31866869391078706</v>
      </c>
      <c r="O86" s="20">
        <f t="shared" si="360"/>
        <v>0.24037423245141257</v>
      </c>
      <c r="P86" s="20">
        <f t="shared" si="360"/>
        <v>0.23044951938946048</v>
      </c>
      <c r="Q86" s="20">
        <f t="shared" si="360"/>
        <v>0.23034876650093361</v>
      </c>
      <c r="R86" s="20">
        <f t="shared" si="360"/>
        <v>0.23091305397784348</v>
      </c>
      <c r="S86" s="20">
        <f t="shared" si="360"/>
        <v>0.23057214996038541</v>
      </c>
      <c r="T86" s="20">
        <f t="shared" si="360"/>
        <v>0.29970748848901524</v>
      </c>
      <c r="U86" s="20">
        <f t="shared" si="360"/>
        <v>0.25</v>
      </c>
      <c r="V86" s="20">
        <f t="shared" si="360"/>
        <v>0.17878738349475573</v>
      </c>
      <c r="W86" s="20">
        <f t="shared" si="360"/>
        <v>0.18039248780531045</v>
      </c>
      <c r="X86" s="20">
        <f t="shared" si="360"/>
        <v>0.17599751974332531</v>
      </c>
      <c r="Y86" s="20">
        <f t="shared" si="360"/>
        <v>0.19421924626914774</v>
      </c>
      <c r="Z86" s="20">
        <f t="shared" si="360"/>
        <v>0.26062204428976243</v>
      </c>
      <c r="AA86" s="20">
        <f t="shared" si="360"/>
        <v>0.28802772929234749</v>
      </c>
      <c r="AB86" s="20">
        <f t="shared" si="360"/>
        <v>0.27331786335897951</v>
      </c>
      <c r="AC86" s="20">
        <f t="shared" si="360"/>
        <v>0.27395478643585786</v>
      </c>
      <c r="AD86" s="20">
        <f t="shared" si="360"/>
        <v>0.30523150082211653</v>
      </c>
      <c r="AE86" s="20">
        <f t="shared" si="360"/>
        <v>0.3053774562609653</v>
      </c>
      <c r="AF86" s="20">
        <f t="shared" si="360"/>
        <v>0.23966518281372509</v>
      </c>
      <c r="AG86" s="20">
        <f t="shared" si="360"/>
        <v>0.30311827843491551</v>
      </c>
      <c r="AH86" s="20">
        <f t="shared" si="360"/>
        <v>0.29028418312547805</v>
      </c>
      <c r="AI86" s="20">
        <f t="shared" si="360"/>
        <v>0.28481065864354627</v>
      </c>
      <c r="AJ86" s="20">
        <f t="shared" si="360"/>
        <v>0.28276224912546932</v>
      </c>
      <c r="AK86" s="20">
        <f t="shared" si="360"/>
        <v>0.3103378171740464</v>
      </c>
      <c r="AL86" s="20">
        <f t="shared" si="360"/>
        <v>0.30369915855767665</v>
      </c>
      <c r="AM86" s="20">
        <f t="shared" si="360"/>
        <v>0.23121247159255542</v>
      </c>
      <c r="AN86" s="20">
        <f t="shared" si="360"/>
        <v>0.28727154787050191</v>
      </c>
      <c r="AO86" s="20">
        <f t="shared" si="360"/>
        <v>0.30341733812301802</v>
      </c>
      <c r="AP86" s="20">
        <f t="shared" si="360"/>
        <v>0.25223421227115717</v>
      </c>
      <c r="AQ86" s="20">
        <f t="shared" si="360"/>
        <v>0.32393144556643966</v>
      </c>
      <c r="AR86" s="20">
        <f t="shared" si="360"/>
        <v>0.34432528828723996</v>
      </c>
      <c r="AS86" s="20">
        <f t="shared" si="360"/>
        <v>0.32968129614441005</v>
      </c>
      <c r="AT86" s="20">
        <f t="shared" si="360"/>
        <v>0.32475527668529774</v>
      </c>
      <c r="AU86" s="20">
        <f t="shared" si="360"/>
        <v>0.31634914628196387</v>
      </c>
      <c r="AV86" s="20">
        <f t="shared" si="360"/>
        <v>0.32422539723613775</v>
      </c>
      <c r="AW86" s="20">
        <f t="shared" si="360"/>
        <v>0.29433557656033577</v>
      </c>
      <c r="AX86" s="20">
        <f t="shared" si="360"/>
        <v>0.26947300569643856</v>
      </c>
      <c r="AY86" s="20">
        <f t="shared" si="360"/>
        <v>0.29875013507403642</v>
      </c>
      <c r="AZ86" s="20">
        <f t="shared" si="360"/>
        <v>0.31315274262072912</v>
      </c>
      <c r="BA86" s="20">
        <f t="shared" si="360"/>
        <v>0.30061603329741471</v>
      </c>
      <c r="BB86" s="20">
        <f t="shared" si="360"/>
        <v>0.30958123030628992</v>
      </c>
      <c r="BC86" s="20">
        <f t="shared" si="360"/>
        <v>0.3230391697851786</v>
      </c>
      <c r="BD86" s="20">
        <f t="shared" si="360"/>
        <v>0.32432354468247793</v>
      </c>
      <c r="BE86" s="20">
        <f t="shared" si="360"/>
        <v>0.30789671019475662</v>
      </c>
      <c r="BF86" s="20">
        <f t="shared" si="360"/>
        <v>0.27226731524278508</v>
      </c>
      <c r="BG86" s="20">
        <f t="shared" si="360"/>
        <v>0.2746925987421453</v>
      </c>
      <c r="BH86" s="20">
        <f t="shared" si="360"/>
        <v>0.2645122474767807</v>
      </c>
      <c r="BI86" s="20">
        <f t="shared" si="360"/>
        <v>0.26842588435395254</v>
      </c>
      <c r="BJ86" s="20">
        <f t="shared" si="360"/>
        <v>0.28903503008313602</v>
      </c>
      <c r="BK86" s="20">
        <f t="shared" si="360"/>
        <v>0.26875115660640037</v>
      </c>
      <c r="BL86" s="20">
        <f t="shared" si="360"/>
        <v>0.27939135630389628</v>
      </c>
      <c r="BM86" s="20">
        <f t="shared" si="360"/>
        <v>0.30074402107664411</v>
      </c>
      <c r="BN86" s="20">
        <f t="shared" si="360"/>
        <v>0.23174440814177952</v>
      </c>
      <c r="BO86" s="20">
        <f t="shared" si="360"/>
        <v>0.23922705170017983</v>
      </c>
      <c r="BP86" s="20">
        <f t="shared" ref="BP86:CK86" si="361">IFERROR((BP52-BP64)/BP52,0)</f>
        <v>0.24281526230311593</v>
      </c>
      <c r="BQ86" s="20">
        <f t="shared" si="361"/>
        <v>0.22437758823484272</v>
      </c>
      <c r="BR86" s="20">
        <f t="shared" si="361"/>
        <v>0.25538589507019488</v>
      </c>
      <c r="BS86" s="20">
        <f t="shared" si="361"/>
        <v>0.27450858615434132</v>
      </c>
      <c r="BT86" s="20">
        <f t="shared" si="361"/>
        <v>0.22478010050081848</v>
      </c>
      <c r="BU86" s="20">
        <f t="shared" si="361"/>
        <v>0.24862598485517062</v>
      </c>
      <c r="BV86" s="20">
        <f t="shared" si="361"/>
        <v>0.20415991596036248</v>
      </c>
      <c r="BW86" s="20">
        <f t="shared" si="361"/>
        <v>0.1990612938538914</v>
      </c>
      <c r="BX86" s="20">
        <f t="shared" si="361"/>
        <v>0.22362480707129753</v>
      </c>
      <c r="BY86" s="20">
        <f t="shared" si="361"/>
        <v>0.18213398186301458</v>
      </c>
      <c r="BZ86" s="20">
        <f t="shared" si="361"/>
        <v>0.21097869056851823</v>
      </c>
      <c r="CA86" s="20">
        <f t="shared" si="361"/>
        <v>0.21941649238972377</v>
      </c>
      <c r="CB86" s="20">
        <f t="shared" si="361"/>
        <v>0.22345813474373347</v>
      </c>
      <c r="CC86" s="20">
        <f t="shared" si="361"/>
        <v>0.2026587981410421</v>
      </c>
      <c r="CD86" s="20">
        <f t="shared" si="361"/>
        <v>0.23759380326618632</v>
      </c>
      <c r="CE86" s="20">
        <f t="shared" si="361"/>
        <v>0.25902745816541511</v>
      </c>
      <c r="CF86" s="20">
        <f t="shared" si="361"/>
        <v>0.20311371079660764</v>
      </c>
      <c r="CG86" s="20">
        <f t="shared" si="361"/>
        <v>0.22999682437004726</v>
      </c>
      <c r="CH86" s="20">
        <f t="shared" si="361"/>
        <v>0.17976051624479489</v>
      </c>
      <c r="CI86" s="20">
        <f t="shared" si="361"/>
        <v>0.17397079160895357</v>
      </c>
      <c r="CJ86" s="20">
        <f t="shared" si="361"/>
        <v>0.2018079162208441</v>
      </c>
      <c r="CK86" s="20">
        <f t="shared" si="361"/>
        <v>0.15470525930143636</v>
      </c>
      <c r="CL86" s="20">
        <f t="shared" ref="CL86:CW86" si="362">IFERROR((CL52-CL64)/CL52,0)</f>
        <v>0.19720555615206645</v>
      </c>
      <c r="CM86" s="20">
        <f t="shared" si="362"/>
        <v>0.206293679726095</v>
      </c>
      <c r="CN86" s="20">
        <f t="shared" si="362"/>
        <v>0.21064353929539878</v>
      </c>
      <c r="CO86" s="20">
        <f t="shared" si="362"/>
        <v>0.18823534605034473</v>
      </c>
      <c r="CP86" s="20">
        <f t="shared" si="362"/>
        <v>0.22584050686074186</v>
      </c>
      <c r="CQ86" s="20">
        <f t="shared" si="362"/>
        <v>0.24883398062190956</v>
      </c>
      <c r="CR86" s="20">
        <f t="shared" si="362"/>
        <v>0.18872604991824171</v>
      </c>
      <c r="CS86" s="20">
        <f t="shared" si="362"/>
        <v>0.21767637552756067</v>
      </c>
      <c r="CT86" s="20">
        <f t="shared" si="362"/>
        <v>0.16350055392906676</v>
      </c>
      <c r="CU86" s="20">
        <f t="shared" si="362"/>
        <v>0.15723560457961455</v>
      </c>
      <c r="CV86" s="20">
        <f t="shared" si="362"/>
        <v>0.18731744670179609</v>
      </c>
      <c r="CW86" s="20">
        <f t="shared" si="362"/>
        <v>0.13635705701367784</v>
      </c>
      <c r="CY86" s="20">
        <f t="shared" ref="CY86:DR86" si="363">IFERROR((CY52-CY64)/CY52,0)</f>
        <v>0.28234661816715456</v>
      </c>
      <c r="CZ86" s="20">
        <f t="shared" si="363"/>
        <v>0.29306868745799552</v>
      </c>
      <c r="DA86" s="20">
        <f t="shared" si="363"/>
        <v>0.29791784068484128</v>
      </c>
      <c r="DB86" s="20">
        <f t="shared" si="363"/>
        <v>0.27561345736171383</v>
      </c>
      <c r="DC86" s="20">
        <f t="shared" si="363"/>
        <v>0.3090483924562567</v>
      </c>
      <c r="DD86" s="20">
        <f t="shared" si="363"/>
        <v>0.32373739648268107</v>
      </c>
      <c r="DE86" s="20">
        <f t="shared" si="363"/>
        <v>0.29555974629617959</v>
      </c>
      <c r="DF86" s="20">
        <f t="shared" si="363"/>
        <v>0.30361301417882852</v>
      </c>
      <c r="DG86" s="20">
        <f t="shared" si="363"/>
        <v>0.31908810976865587</v>
      </c>
      <c r="DH86" s="20">
        <f t="shared" si="363"/>
        <v>0.28463673908257936</v>
      </c>
      <c r="DI86" s="20">
        <f t="shared" si="363"/>
        <v>0.2750838909350381</v>
      </c>
      <c r="DJ86" s="20">
        <f t="shared" si="363"/>
        <v>0.28623191841249818</v>
      </c>
      <c r="DK86" s="20">
        <f t="shared" si="363"/>
        <v>0.23798703061210541</v>
      </c>
      <c r="DL86" s="20">
        <f t="shared" si="363"/>
        <v>0.25207481633092071</v>
      </c>
      <c r="DM86" s="20">
        <f t="shared" si="363"/>
        <v>0.22612299937264685</v>
      </c>
      <c r="DN86" s="20">
        <f t="shared" si="363"/>
        <v>0.20179340745094038</v>
      </c>
      <c r="DO86" s="20">
        <f t="shared" si="363"/>
        <v>0.21801583737852737</v>
      </c>
      <c r="DP86" s="20">
        <f t="shared" si="363"/>
        <v>0.23384426708266631</v>
      </c>
      <c r="DQ86" s="20">
        <f t="shared" si="363"/>
        <v>0.20466363352333056</v>
      </c>
      <c r="DR86" s="20">
        <f t="shared" si="363"/>
        <v>0.1771550377870553</v>
      </c>
      <c r="DS86" s="20">
        <f t="shared" ref="DS86:DV86" si="364">IFERROR((DS52-DS64)/DS52,0)</f>
        <v>0.20478232043561054</v>
      </c>
      <c r="DT86" s="20">
        <f t="shared" si="364"/>
        <v>0.22179240549517507</v>
      </c>
      <c r="DU86" s="20">
        <f t="shared" si="364"/>
        <v>0.19039976825625093</v>
      </c>
      <c r="DV86" s="20">
        <f t="shared" si="364"/>
        <v>0.16068323890227387</v>
      </c>
      <c r="DW86" s="771"/>
      <c r="DX86" s="20">
        <f t="shared" ref="DX86:EC86" si="365">IFERROR((DX52-DX64)/DX52,0)</f>
        <v>0.28744461593510789</v>
      </c>
      <c r="DY86" s="20">
        <f t="shared" si="365"/>
        <v>0.3080482494731468</v>
      </c>
      <c r="DZ86" s="20">
        <f t="shared" si="365"/>
        <v>0.28971409151579519</v>
      </c>
      <c r="EA86" s="20">
        <f t="shared" si="365"/>
        <v>0.22929270371498195</v>
      </c>
      <c r="EB86" s="20">
        <f t="shared" si="365"/>
        <v>0.20845888859904579</v>
      </c>
      <c r="EC86" s="20">
        <f t="shared" si="365"/>
        <v>0.1945156760017995</v>
      </c>
    </row>
    <row r="87" spans="2:133" x14ac:dyDescent="0.2">
      <c r="B87" s="155" t="s">
        <v>140</v>
      </c>
      <c r="C87" s="20">
        <f>IFERROR((C53-C65)/C53,0)</f>
        <v>0.34606834993189201</v>
      </c>
      <c r="D87" s="20">
        <f t="shared" ref="D87:BO87" si="366">IFERROR((D53-D65)/D53,0)</f>
        <v>0.34032395348205968</v>
      </c>
      <c r="E87" s="20">
        <f t="shared" si="366"/>
        <v>0.34941019818729224</v>
      </c>
      <c r="F87" s="20">
        <f t="shared" si="366"/>
        <v>0.35316864170048312</v>
      </c>
      <c r="G87" s="20">
        <f t="shared" si="366"/>
        <v>0.37573405504774554</v>
      </c>
      <c r="H87" s="20">
        <f t="shared" si="366"/>
        <v>0.32680236628998921</v>
      </c>
      <c r="I87" s="20">
        <f t="shared" si="366"/>
        <v>0.35835865732058464</v>
      </c>
      <c r="J87" s="20">
        <f t="shared" si="366"/>
        <v>0.26403677357958527</v>
      </c>
      <c r="K87" s="20">
        <f t="shared" si="366"/>
        <v>0.33717547242722129</v>
      </c>
      <c r="L87" s="20">
        <f t="shared" si="366"/>
        <v>0.28945369191892617</v>
      </c>
      <c r="M87" s="20">
        <f t="shared" si="366"/>
        <v>0.23613473325116668</v>
      </c>
      <c r="N87" s="20">
        <f t="shared" si="366"/>
        <v>0.25175527706859835</v>
      </c>
      <c r="O87" s="20">
        <f t="shared" si="366"/>
        <v>0.24626639813696904</v>
      </c>
      <c r="P87" s="20">
        <f t="shared" si="366"/>
        <v>0.21133093722619936</v>
      </c>
      <c r="Q87" s="20">
        <f t="shared" si="366"/>
        <v>0.15613024594276154</v>
      </c>
      <c r="R87" s="20">
        <f t="shared" si="366"/>
        <v>0.24454930279345624</v>
      </c>
      <c r="S87" s="20">
        <f t="shared" si="366"/>
        <v>0.24371730992514171</v>
      </c>
      <c r="T87" s="20">
        <f t="shared" si="366"/>
        <v>0.25122562018020267</v>
      </c>
      <c r="U87" s="20">
        <f t="shared" si="366"/>
        <v>0.23833854431376128</v>
      </c>
      <c r="V87" s="20">
        <f t="shared" si="366"/>
        <v>0.23386101873297052</v>
      </c>
      <c r="W87" s="20">
        <f t="shared" si="366"/>
        <v>0.26840543623398067</v>
      </c>
      <c r="X87" s="20">
        <f t="shared" si="366"/>
        <v>0.26660159650433179</v>
      </c>
      <c r="Y87" s="20">
        <f t="shared" si="366"/>
        <v>0.41802885734960454</v>
      </c>
      <c r="Z87" s="20">
        <f t="shared" si="366"/>
        <v>0.21034404206185697</v>
      </c>
      <c r="AA87" s="20">
        <f t="shared" si="366"/>
        <v>0.23924093915605726</v>
      </c>
      <c r="AB87" s="20">
        <f t="shared" si="366"/>
        <v>0.29786524760298638</v>
      </c>
      <c r="AC87" s="20">
        <f t="shared" si="366"/>
        <v>0.28853553048192532</v>
      </c>
      <c r="AD87" s="20">
        <f t="shared" si="366"/>
        <v>0.30638877100598738</v>
      </c>
      <c r="AE87" s="20">
        <f t="shared" si="366"/>
        <v>0.32260138306011255</v>
      </c>
      <c r="AF87" s="20">
        <f t="shared" si="366"/>
        <v>0.33953384825785132</v>
      </c>
      <c r="AG87" s="20">
        <f t="shared" si="366"/>
        <v>0.31793010713552461</v>
      </c>
      <c r="AH87" s="20">
        <f t="shared" si="366"/>
        <v>0.2668271033447524</v>
      </c>
      <c r="AI87" s="20">
        <f t="shared" si="366"/>
        <v>0.275077990421003</v>
      </c>
      <c r="AJ87" s="20">
        <f t="shared" si="366"/>
        <v>0.23358279013694086</v>
      </c>
      <c r="AK87" s="20">
        <f t="shared" si="366"/>
        <v>0.15090292978395911</v>
      </c>
      <c r="AL87" s="20">
        <f t="shared" si="366"/>
        <v>0.28979509729940178</v>
      </c>
      <c r="AM87" s="20">
        <f t="shared" si="366"/>
        <v>0.30674623265617579</v>
      </c>
      <c r="AN87" s="20">
        <f t="shared" si="366"/>
        <v>0.33663674912158131</v>
      </c>
      <c r="AO87" s="20">
        <f t="shared" si="366"/>
        <v>0.25176730889664672</v>
      </c>
      <c r="AP87" s="20">
        <f t="shared" si="366"/>
        <v>0.24146860034634013</v>
      </c>
      <c r="AQ87" s="20">
        <f t="shared" si="366"/>
        <v>0.25440106794663297</v>
      </c>
      <c r="AR87" s="20">
        <f t="shared" si="366"/>
        <v>0.29192502294567613</v>
      </c>
      <c r="AS87" s="20">
        <f t="shared" si="366"/>
        <v>0.23585060831442781</v>
      </c>
      <c r="AT87" s="20">
        <f t="shared" si="366"/>
        <v>0.40315185701453249</v>
      </c>
      <c r="AU87" s="20">
        <f t="shared" si="366"/>
        <v>0.34266202303547866</v>
      </c>
      <c r="AV87" s="20">
        <f t="shared" si="366"/>
        <v>0.27624415212316006</v>
      </c>
      <c r="AW87" s="20">
        <f t="shared" si="366"/>
        <v>0.27140629032647096</v>
      </c>
      <c r="AX87" s="20">
        <f t="shared" si="366"/>
        <v>0.24234079136795528</v>
      </c>
      <c r="AY87" s="20">
        <f t="shared" si="366"/>
        <v>0.31992157326171722</v>
      </c>
      <c r="AZ87" s="20">
        <f t="shared" si="366"/>
        <v>0.25857405051376925</v>
      </c>
      <c r="BA87" s="20">
        <f t="shared" si="366"/>
        <v>0.26868006389247828</v>
      </c>
      <c r="BB87" s="20">
        <f t="shared" si="366"/>
        <v>0.28733570347265669</v>
      </c>
      <c r="BC87" s="20">
        <f t="shared" si="366"/>
        <v>0.29523098970438033</v>
      </c>
      <c r="BD87" s="20">
        <f t="shared" si="366"/>
        <v>0.31645343512593754</v>
      </c>
      <c r="BE87" s="20">
        <f t="shared" si="366"/>
        <v>0.30315329687071013</v>
      </c>
      <c r="BF87" s="20">
        <f t="shared" si="366"/>
        <v>0.26248373907876715</v>
      </c>
      <c r="BG87" s="20">
        <f t="shared" si="366"/>
        <v>0.26093780788590037</v>
      </c>
      <c r="BH87" s="20">
        <f t="shared" si="366"/>
        <v>0.27596739064715115</v>
      </c>
      <c r="BI87" s="20">
        <f t="shared" si="366"/>
        <v>0.24980759336096214</v>
      </c>
      <c r="BJ87" s="20">
        <f t="shared" si="366"/>
        <v>0.22069283046191146</v>
      </c>
      <c r="BK87" s="20">
        <f t="shared" si="366"/>
        <v>0.23348997434441848</v>
      </c>
      <c r="BL87" s="20">
        <f t="shared" si="366"/>
        <v>0.24432124331239002</v>
      </c>
      <c r="BM87" s="20">
        <f t="shared" si="366"/>
        <v>0.32608226048223315</v>
      </c>
      <c r="BN87" s="20">
        <f t="shared" si="366"/>
        <v>0.2754697610017387</v>
      </c>
      <c r="BO87" s="20">
        <f t="shared" si="366"/>
        <v>0.27546976100173864</v>
      </c>
      <c r="BP87" s="20">
        <f t="shared" ref="BP87:CK87" si="367">IFERROR((BP53-BP65)/BP53,0)</f>
        <v>0.27546976100173864</v>
      </c>
      <c r="BQ87" s="20">
        <f t="shared" si="367"/>
        <v>0.27546976100173876</v>
      </c>
      <c r="BR87" s="20">
        <f t="shared" si="367"/>
        <v>0.2754697610017387</v>
      </c>
      <c r="BS87" s="20">
        <f t="shared" si="367"/>
        <v>0.2754697610017387</v>
      </c>
      <c r="BT87" s="20">
        <f t="shared" si="367"/>
        <v>0.27546976100173876</v>
      </c>
      <c r="BU87" s="20">
        <f t="shared" si="367"/>
        <v>0.27546976100173876</v>
      </c>
      <c r="BV87" s="20">
        <f t="shared" si="367"/>
        <v>0.2754697610017387</v>
      </c>
      <c r="BW87" s="20">
        <f t="shared" si="367"/>
        <v>0.2754697610017387</v>
      </c>
      <c r="BX87" s="20">
        <f t="shared" si="367"/>
        <v>0.2754697610017387</v>
      </c>
      <c r="BY87" s="20">
        <f t="shared" si="367"/>
        <v>0.2754697610017387</v>
      </c>
      <c r="BZ87" s="20">
        <f t="shared" si="367"/>
        <v>0.27546976100173876</v>
      </c>
      <c r="CA87" s="20">
        <f t="shared" si="367"/>
        <v>0.27546976100173876</v>
      </c>
      <c r="CB87" s="20">
        <f t="shared" si="367"/>
        <v>0.27546976100173864</v>
      </c>
      <c r="CC87" s="20">
        <f t="shared" si="367"/>
        <v>0.2754697610017387</v>
      </c>
      <c r="CD87" s="20">
        <f t="shared" si="367"/>
        <v>0.27546976100173876</v>
      </c>
      <c r="CE87" s="20">
        <f t="shared" si="367"/>
        <v>0.27546976100173876</v>
      </c>
      <c r="CF87" s="20">
        <f t="shared" si="367"/>
        <v>0.27546976100173864</v>
      </c>
      <c r="CG87" s="20">
        <f t="shared" si="367"/>
        <v>0.27546976100173864</v>
      </c>
      <c r="CH87" s="20">
        <f t="shared" si="367"/>
        <v>0.2754697610017387</v>
      </c>
      <c r="CI87" s="20">
        <f t="shared" si="367"/>
        <v>0.2754697610017387</v>
      </c>
      <c r="CJ87" s="20">
        <f t="shared" si="367"/>
        <v>0.2754697610017387</v>
      </c>
      <c r="CK87" s="20">
        <f t="shared" si="367"/>
        <v>0.2754697610017387</v>
      </c>
      <c r="CL87" s="20">
        <f t="shared" ref="CL87:CW87" si="368">IFERROR((CL53-CL65)/CL53,0)</f>
        <v>0.27546976100173864</v>
      </c>
      <c r="CM87" s="20">
        <f t="shared" si="368"/>
        <v>0.27546976100173864</v>
      </c>
      <c r="CN87" s="20">
        <f t="shared" si="368"/>
        <v>0.27546976100173864</v>
      </c>
      <c r="CO87" s="20">
        <f t="shared" si="368"/>
        <v>0.27546976100173876</v>
      </c>
      <c r="CP87" s="20">
        <f t="shared" si="368"/>
        <v>0.2754697610017387</v>
      </c>
      <c r="CQ87" s="20">
        <f t="shared" si="368"/>
        <v>0.2754697610017387</v>
      </c>
      <c r="CR87" s="20">
        <f t="shared" si="368"/>
        <v>0.2754697610017387</v>
      </c>
      <c r="CS87" s="20">
        <f t="shared" si="368"/>
        <v>0.27546976100173876</v>
      </c>
      <c r="CT87" s="20">
        <f t="shared" si="368"/>
        <v>0.27546976100173864</v>
      </c>
      <c r="CU87" s="20">
        <f t="shared" si="368"/>
        <v>0.2754697610017387</v>
      </c>
      <c r="CV87" s="20">
        <f t="shared" si="368"/>
        <v>0.2754697610017387</v>
      </c>
      <c r="CW87" s="20">
        <f t="shared" si="368"/>
        <v>0.27546976100173876</v>
      </c>
      <c r="CY87" s="20">
        <f t="shared" ref="CY87:DR87" si="369">IFERROR((CY53-CY65)/CY53,0)</f>
        <v>0.32353933842599464</v>
      </c>
      <c r="CZ87" s="20">
        <f t="shared" si="369"/>
        <v>0.28304823596085743</v>
      </c>
      <c r="DA87" s="20">
        <f t="shared" si="369"/>
        <v>0.22331954881476565</v>
      </c>
      <c r="DB87" s="20">
        <f t="shared" si="369"/>
        <v>0.29637310621776686</v>
      </c>
      <c r="DC87" s="20">
        <f t="shared" si="369"/>
        <v>0.26393298177530167</v>
      </c>
      <c r="DD87" s="20">
        <f t="shared" si="369"/>
        <v>0.32571543613331377</v>
      </c>
      <c r="DE87" s="20">
        <f t="shared" si="369"/>
        <v>0.26303170348520433</v>
      </c>
      <c r="DF87" s="20">
        <f t="shared" si="369"/>
        <v>0.28286425178702457</v>
      </c>
      <c r="DG87" s="20">
        <f t="shared" si="369"/>
        <v>0.29856530196415226</v>
      </c>
      <c r="DH87" s="20">
        <f t="shared" si="369"/>
        <v>0.27540659033720849</v>
      </c>
      <c r="DI87" s="20">
        <f t="shared" si="369"/>
        <v>0.24762965577125157</v>
      </c>
      <c r="DJ87" s="20">
        <f t="shared" si="369"/>
        <v>0.27075449579388494</v>
      </c>
      <c r="DK87" s="20">
        <f t="shared" si="369"/>
        <v>0.2754697610017387</v>
      </c>
      <c r="DL87" s="20">
        <f t="shared" si="369"/>
        <v>0.27546976100173864</v>
      </c>
      <c r="DM87" s="20">
        <f t="shared" si="369"/>
        <v>0.27546976100173864</v>
      </c>
      <c r="DN87" s="20">
        <f t="shared" si="369"/>
        <v>0.27546976100173887</v>
      </c>
      <c r="DO87" s="20">
        <f t="shared" si="369"/>
        <v>0.27546976100173859</v>
      </c>
      <c r="DP87" s="20">
        <f t="shared" si="369"/>
        <v>0.27546976100173876</v>
      </c>
      <c r="DQ87" s="20">
        <f t="shared" si="369"/>
        <v>0.27546976100173881</v>
      </c>
      <c r="DR87" s="20">
        <f t="shared" si="369"/>
        <v>0.27546976100173881</v>
      </c>
      <c r="DS87" s="20">
        <f t="shared" ref="DS87:DV87" si="370">IFERROR((DS53-DS65)/DS53,0)</f>
        <v>0.27546976100173859</v>
      </c>
      <c r="DT87" s="20">
        <f t="shared" si="370"/>
        <v>0.27546976100173876</v>
      </c>
      <c r="DU87" s="20">
        <f t="shared" si="370"/>
        <v>0.27546976100173864</v>
      </c>
      <c r="DV87" s="20">
        <f t="shared" si="370"/>
        <v>0.27546976100173876</v>
      </c>
      <c r="DW87" s="771"/>
      <c r="DX87" s="20">
        <f t="shared" ref="DX87:EC87" si="371">IFERROR((DX53-DX65)/DX53,0)</f>
        <v>0.27708214274093923</v>
      </c>
      <c r="DY87" s="20">
        <f t="shared" si="371"/>
        <v>0.28264961657203191</v>
      </c>
      <c r="DZ87" s="20">
        <f t="shared" si="371"/>
        <v>0.26982348130524364</v>
      </c>
      <c r="EA87" s="20">
        <f t="shared" si="371"/>
        <v>0.27546976100173876</v>
      </c>
      <c r="EB87" s="20">
        <f t="shared" si="371"/>
        <v>0.27546976100173881</v>
      </c>
      <c r="EC87" s="20">
        <f t="shared" si="371"/>
        <v>0.27546976100173859</v>
      </c>
    </row>
    <row r="88" spans="2:133" x14ac:dyDescent="0.2">
      <c r="B88" s="155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X88" s="19"/>
      <c r="DY88" s="19"/>
      <c r="DZ88" s="19"/>
      <c r="EA88" s="19"/>
      <c r="EB88" s="19"/>
      <c r="EC88" s="770">
        <f t="shared" si="316"/>
        <v>0</v>
      </c>
    </row>
    <row r="89" spans="2:133" x14ac:dyDescent="0.2">
      <c r="B89" s="155" t="s">
        <v>229</v>
      </c>
      <c r="C89" s="19">
        <f>'D2C - Retail'!J121</f>
        <v>7313694.6473976299</v>
      </c>
      <c r="D89" s="19">
        <f>'D2C - Retail'!K121</f>
        <v>7470331.9478118289</v>
      </c>
      <c r="E89" s="19">
        <f>'D2C - Retail'!L121</f>
        <v>10042493.364286037</v>
      </c>
      <c r="F89" s="19">
        <f>'D2C - Retail'!M121</f>
        <v>5823059.7095673559</v>
      </c>
      <c r="G89" s="19">
        <f>'D2C - Retail'!N121</f>
        <v>142197.70743205029</v>
      </c>
      <c r="H89" s="19">
        <f>'D2C - Retail'!O121</f>
        <v>4981160.8174855011</v>
      </c>
      <c r="I89" s="19">
        <f>'D2C - Retail'!P121</f>
        <v>7753188.0363806188</v>
      </c>
      <c r="J89" s="19">
        <f>'D2C - Retail'!Q121</f>
        <v>9102966.4641905222</v>
      </c>
      <c r="K89" s="19">
        <f>'D2C - Retail'!R121</f>
        <v>10233245.760421764</v>
      </c>
      <c r="L89" s="19">
        <f>'D2C - Retail'!S121</f>
        <v>11813335.903058689</v>
      </c>
      <c r="M89" s="19">
        <f>'D2C - Retail'!T121</f>
        <v>19145531.530880325</v>
      </c>
      <c r="N89" s="19">
        <f>'D2C - Retail'!U121</f>
        <v>22014309.017005812</v>
      </c>
      <c r="O89" s="19">
        <f>'D2C - Retail'!V121</f>
        <v>18669136.646030474</v>
      </c>
      <c r="P89" s="19">
        <f>'D2C - Retail'!W121</f>
        <v>21104841.158607185</v>
      </c>
      <c r="Q89" s="19">
        <f>'D2C - Retail'!X121</f>
        <v>23481910.8455038</v>
      </c>
      <c r="R89" s="19">
        <f>'D2C - Retail'!Y121</f>
        <v>22052747.865777917</v>
      </c>
      <c r="S89" s="19">
        <f>'D2C - Retail'!Z121</f>
        <v>24136652.125960503</v>
      </c>
      <c r="T89" s="19">
        <f>'D2C - Retail'!AA121</f>
        <v>28933305.602438286</v>
      </c>
      <c r="U89" s="19">
        <f>'D2C - Retail'!AB121</f>
        <v>31226118.643557239</v>
      </c>
      <c r="V89" s="19">
        <f>'D2C - Retail'!AC121</f>
        <v>28543406.513791703</v>
      </c>
      <c r="W89" s="19">
        <f>'D2C - Retail'!AD121</f>
        <v>23515188.466053169</v>
      </c>
      <c r="X89" s="19">
        <f>'D2C - Retail'!AE121</f>
        <v>28029690.015010454</v>
      </c>
      <c r="Y89" s="19">
        <f>'D2C - Retail'!AF121</f>
        <v>29849212.890199289</v>
      </c>
      <c r="Z89" s="19">
        <f>'D2C - Retail'!AG121</f>
        <v>37101217.107911609</v>
      </c>
      <c r="AA89" s="19">
        <f>'D2C - Retail'!AH121</f>
        <v>43063839.999270573</v>
      </c>
      <c r="AB89" s="19">
        <f>'D2C - Retail'!AI121</f>
        <v>44312628.348875217</v>
      </c>
      <c r="AC89" s="19">
        <f>'D2C - Retail'!AJ121</f>
        <v>52235812.365775988</v>
      </c>
      <c r="AD89" s="19">
        <f>'D2C - Retail'!AK121</f>
        <v>49751341.379814051</v>
      </c>
      <c r="AE89" s="19">
        <f>'D2C - Retail'!AL121</f>
        <v>56284731.291991115</v>
      </c>
      <c r="AF89" s="19">
        <f>'D2C - Retail'!AM121</f>
        <v>59278169.928526118</v>
      </c>
      <c r="AG89" s="19">
        <f>'D2C - Retail'!AN121</f>
        <v>55729230.653317057</v>
      </c>
      <c r="AH89" s="19">
        <f>'D2C - Retail'!AO121</f>
        <v>56366921.311522678</v>
      </c>
      <c r="AI89" s="19">
        <f>'D2C - Retail'!AP121</f>
        <v>48842431.059918456</v>
      </c>
      <c r="AJ89" s="19">
        <f>'D2C - Retail'!AQ121</f>
        <v>63005960.693473317</v>
      </c>
      <c r="AK89" s="19">
        <f>'D2C - Retail'!AR121</f>
        <v>60709178.689786933</v>
      </c>
      <c r="AL89" s="19">
        <f>'D2C - Retail'!AS121</f>
        <v>55470880.7844842</v>
      </c>
      <c r="AM89" s="19">
        <f>'D2C - Retail'!AT121</f>
        <v>52618188.551086627</v>
      </c>
      <c r="AN89" s="19">
        <f>'D2C - Retail'!AU121</f>
        <v>58886389.087296434</v>
      </c>
      <c r="AO89" s="19">
        <f>'D2C - Retail'!AV121</f>
        <v>66300233.546578653</v>
      </c>
      <c r="AP89" s="19">
        <f>'D2C - Retail'!AW121</f>
        <v>63395348.177152708</v>
      </c>
      <c r="AQ89" s="19">
        <f>'D2C - Retail'!AX121</f>
        <v>70141815.629244</v>
      </c>
      <c r="AR89" s="19">
        <f>'D2C - Retail'!AY121</f>
        <v>74425869.028386518</v>
      </c>
      <c r="AS89" s="19">
        <f>'D2C - Retail'!AZ121</f>
        <v>71323110.879222497</v>
      </c>
      <c r="AT89" s="19">
        <f>'D2C - Retail'!BA121</f>
        <v>63272108.349398904</v>
      </c>
      <c r="AU89" s="19">
        <f>'D2C - Retail'!BB121</f>
        <v>51777053.36699371</v>
      </c>
      <c r="AV89" s="19">
        <f>'D2C - Retail'!BC121</f>
        <v>72029497.365651309</v>
      </c>
      <c r="AW89" s="19">
        <f>'D2C - Retail'!BD121</f>
        <v>71730175.867004097</v>
      </c>
      <c r="AX89" s="19">
        <f>'D2C - Retail'!BE121</f>
        <v>82023708.901264638</v>
      </c>
      <c r="AY89" s="19">
        <f>'D2C - Retail'!BF121</f>
        <v>81636428.988674119</v>
      </c>
      <c r="AZ89" s="19">
        <f>'D2C - Retail'!BG121</f>
        <v>77532101.939043105</v>
      </c>
      <c r="BA89" s="19">
        <f>'D2C - Retail'!BH121</f>
        <v>96408336.477124974</v>
      </c>
      <c r="BB89" s="19">
        <f>'D2C - Retail'!BI121</f>
        <v>95118310.211198553</v>
      </c>
      <c r="BC89" s="19">
        <f>'D2C - Retail'!BJ121</f>
        <v>89011473.917980984</v>
      </c>
      <c r="BD89" s="19">
        <f>'D2C - Retail'!BK121</f>
        <v>98657769.704046562</v>
      </c>
      <c r="BE89" s="19">
        <f>'D2C - Retail'!BL121</f>
        <v>102298566.40985553</v>
      </c>
      <c r="BF89" s="19">
        <f>'D2C - Retail'!BM121</f>
        <v>96469482.979522407</v>
      </c>
      <c r="BG89" s="19">
        <f>'D2C - Retail'!BN121</f>
        <v>88605208.114048183</v>
      </c>
      <c r="BH89" s="19">
        <f>'D2C - Retail'!BO121</f>
        <v>129222189.23471633</v>
      </c>
      <c r="BI89" s="19">
        <f>'D2C - Retail'!BP121</f>
        <v>115351839.49360153</v>
      </c>
      <c r="BJ89" s="19">
        <f>'D2C - Retail'!BQ121</f>
        <v>128238619.60685469</v>
      </c>
      <c r="BK89" s="19">
        <f>'D2C - Retail'!BR121</f>
        <v>136233760.67795369</v>
      </c>
      <c r="BL89" s="19">
        <f>'D2C - Retail'!BS121</f>
        <v>127211306.7756784</v>
      </c>
      <c r="BM89" s="19">
        <f>'D2C - Retail'!BT121</f>
        <v>142977751.42983094</v>
      </c>
      <c r="BN89" s="19">
        <f>'D2C - Retail'!BU121</f>
        <v>132267105.91005836</v>
      </c>
      <c r="BO89" s="19">
        <f>'D2C - Retail'!BV121</f>
        <v>129793978.08051135</v>
      </c>
      <c r="BP89" s="19">
        <f>'D2C - Retail'!BW121</f>
        <v>129657105.78888421</v>
      </c>
      <c r="BQ89" s="19">
        <f>'D2C - Retail'!BX121</f>
        <v>139708556.64154962</v>
      </c>
      <c r="BR89" s="19">
        <f>'D2C - Retail'!BY121</f>
        <v>125934077.51116318</v>
      </c>
      <c r="BS89" s="19">
        <f>'D2C - Retail'!BZ121</f>
        <v>117770439.42461263</v>
      </c>
      <c r="BT89" s="19">
        <f>'D2C - Retail'!CA121</f>
        <v>144640892.10183355</v>
      </c>
      <c r="BU89" s="19">
        <f>'D2C - Retail'!CB121</f>
        <v>134086064.55217145</v>
      </c>
      <c r="BV89" s="19">
        <f>'D2C - Retail'!CC121</f>
        <v>157727015.94942173</v>
      </c>
      <c r="BW89" s="19">
        <f>'D2C - Retail'!CD121</f>
        <v>161434674.221946</v>
      </c>
      <c r="BX89" s="19">
        <f>'D2C - Retail'!CE121</f>
        <v>150931075.79640302</v>
      </c>
      <c r="BY89" s="19">
        <f>'D2C - Retail'!CF121</f>
        <v>174079092.20984179</v>
      </c>
      <c r="BZ89" s="19">
        <f>'D2C - Retail'!CG121</f>
        <v>160274016.2707862</v>
      </c>
      <c r="CA89" s="19">
        <f>'D2C - Retail'!CH121</f>
        <v>157653984.5194414</v>
      </c>
      <c r="CB89" s="19">
        <f>'D2C - Retail'!CI121</f>
        <v>156660096.8702012</v>
      </c>
      <c r="CC89" s="19">
        <f>'D2C - Retail'!CJ121</f>
        <v>168762748.96396238</v>
      </c>
      <c r="CD89" s="19">
        <f>'D2C - Retail'!CK121</f>
        <v>151720761.62009746</v>
      </c>
      <c r="CE89" s="19">
        <f>'D2C - Retail'!CL121</f>
        <v>141487654.47983563</v>
      </c>
      <c r="CF89" s="19">
        <f>'D2C - Retail'!CM121</f>
        <v>173394781.15661734</v>
      </c>
      <c r="CG89" s="19">
        <f>'D2C - Retail'!CN121</f>
        <v>159830888.24152759</v>
      </c>
      <c r="CH89" s="19">
        <f>'D2C - Retail'!CO121</f>
        <v>187508163.01432672</v>
      </c>
      <c r="CI89" s="19">
        <f>'D2C - Retail'!CP121</f>
        <v>191134633.03695938</v>
      </c>
      <c r="CJ89" s="19">
        <f>'D2C - Retail'!CQ121</f>
        <v>177753845.81595576</v>
      </c>
      <c r="CK89" s="19">
        <f>'D2C - Retail'!CR121</f>
        <v>202896510.36043483</v>
      </c>
      <c r="CL89" s="19">
        <f>'D2C - Retail'!CS121</f>
        <v>179745431.40329626</v>
      </c>
      <c r="CM89" s="19">
        <f>'D2C - Retail'!CT121</f>
        <v>176626714.38117599</v>
      </c>
      <c r="CN89" s="19">
        <f>'D2C - Retail'!CU121</f>
        <v>175399147.11740682</v>
      </c>
      <c r="CO89" s="19">
        <f>'D2C - Retail'!CV121</f>
        <v>188896423.15083021</v>
      </c>
      <c r="CP89" s="19">
        <f>'D2C - Retail'!CW121</f>
        <v>169585435.9791303</v>
      </c>
      <c r="CQ89" s="19">
        <f>'D2C - Retail'!CX121</f>
        <v>157904554.52066696</v>
      </c>
      <c r="CR89" s="19">
        <f>'D2C - Retail'!CY121</f>
        <v>193645518.60294116</v>
      </c>
      <c r="CS89" s="19">
        <f>'D2C - Retail'!CZ121</f>
        <v>178329815.01566485</v>
      </c>
      <c r="CT89" s="19">
        <f>'D2C - Retail'!DA121</f>
        <v>209296848.74298942</v>
      </c>
      <c r="CU89" s="19">
        <f>'D2C - Retail'!DB121</f>
        <v>213301295.94189483</v>
      </c>
      <c r="CV89" s="19">
        <f>'D2C - Retail'!DC121</f>
        <v>198199173.42163497</v>
      </c>
      <c r="CW89" s="19">
        <f>'D2C - Retail'!DD121</f>
        <v>226292066.09184533</v>
      </c>
      <c r="CY89" s="19">
        <f>SUM(AD89:AF89)</f>
        <v>165314242.60033131</v>
      </c>
      <c r="CZ89" s="19">
        <f>SUM(AG89:AI89)</f>
        <v>160938583.02475819</v>
      </c>
      <c r="DA89" s="19">
        <f>SUM(AJ89:AL89)</f>
        <v>179186020.16774446</v>
      </c>
      <c r="DB89" s="19">
        <f>SUM(AM89:AO89)</f>
        <v>177804811.18496171</v>
      </c>
      <c r="DC89" s="19">
        <f>SUM(AP89:AR89)</f>
        <v>207963032.83478323</v>
      </c>
      <c r="DD89" s="19">
        <f>SUM(AS89:AU89)</f>
        <v>186372272.59561509</v>
      </c>
      <c r="DE89" s="19">
        <f>SUM(AV89:AX89)</f>
        <v>225783382.13392004</v>
      </c>
      <c r="DF89" s="19">
        <f>SUM(AY89:BA89)</f>
        <v>255576867.4048422</v>
      </c>
      <c r="DG89" s="19">
        <f>SUM(BB89:BD89)</f>
        <v>282787553.83322608</v>
      </c>
      <c r="DH89" s="19">
        <f>SUM(BE89:BG89)</f>
        <v>287373257.50342613</v>
      </c>
      <c r="DI89" s="19">
        <f>SUM(BH89:BJ89)</f>
        <v>372812648.33517253</v>
      </c>
      <c r="DJ89" s="19">
        <f>SUM(BK89:BM89)</f>
        <v>406422818.88346303</v>
      </c>
      <c r="DK89" s="19">
        <f>SUM(BN89:BP89)</f>
        <v>391718189.77945393</v>
      </c>
      <c r="DL89" s="19">
        <f>SUM(BQ89:BS89)</f>
        <v>383413073.5773254</v>
      </c>
      <c r="DM89" s="19">
        <f>SUM(BT89:BV89)</f>
        <v>436453972.60342669</v>
      </c>
      <c r="DN89" s="19">
        <f>SUM(BW89:BY89)</f>
        <v>486444842.22819084</v>
      </c>
      <c r="DO89" s="19">
        <f>SUM(BZ89:CB89)</f>
        <v>474588097.66042876</v>
      </c>
      <c r="DP89" s="19">
        <f>SUM(CC89:CE89)</f>
        <v>461971165.06389546</v>
      </c>
      <c r="DQ89" s="19">
        <f>SUM(CF89:CH89)</f>
        <v>520733832.41247165</v>
      </c>
      <c r="DR89" s="19">
        <f>SUM(CI89:CK89)</f>
        <v>571784989.21335006</v>
      </c>
      <c r="DS89" s="19">
        <f t="shared" si="312"/>
        <v>531771292.90187907</v>
      </c>
      <c r="DT89" s="19">
        <f t="shared" si="313"/>
        <v>516386413.65062749</v>
      </c>
      <c r="DU89" s="19">
        <f t="shared" si="314"/>
        <v>581272182.36159539</v>
      </c>
      <c r="DV89" s="19">
        <f t="shared" si="315"/>
        <v>637792535.45537519</v>
      </c>
      <c r="DX89" s="19">
        <f t="shared" ref="DX89:DX92" si="372">SUM(CY89:DB89)</f>
        <v>683243656.97779572</v>
      </c>
      <c r="DY89" s="19">
        <f t="shared" ref="DY89:DY92" si="373">SUM(DC89:DF89)</f>
        <v>875695554.96916056</v>
      </c>
      <c r="DZ89" s="19">
        <f t="shared" ref="DZ89:DZ92" si="374">SUM(DG89:DJ89)</f>
        <v>1349396278.5552878</v>
      </c>
      <c r="EA89" s="19">
        <f t="shared" ref="EA89:EA92" si="375">SUM(DK89:DN89)</f>
        <v>1698030078.1883969</v>
      </c>
      <c r="EB89" s="19">
        <f t="shared" ref="EB89:EB92" si="376">SUM(DO89:DR89)</f>
        <v>2029078084.3501461</v>
      </c>
      <c r="EC89" s="770">
        <f t="shared" si="316"/>
        <v>2267222424.3694773</v>
      </c>
    </row>
    <row r="90" spans="2:133" x14ac:dyDescent="0.2">
      <c r="B90" s="155" t="s">
        <v>237</v>
      </c>
      <c r="C90" s="19">
        <f>'D2C Online'!AA92</f>
        <v>6829352.5863947403</v>
      </c>
      <c r="D90" s="19">
        <f>'D2C Online'!AB92</f>
        <v>5013328.3168117013</v>
      </c>
      <c r="E90" s="19">
        <f>'D2C Online'!AC92</f>
        <v>5365695.6985419132</v>
      </c>
      <c r="F90" s="19">
        <f>'D2C Online'!AD92</f>
        <v>4263024.0647098804</v>
      </c>
      <c r="G90" s="19">
        <f>'D2C Online'!AE92</f>
        <v>2435624.6461729654</v>
      </c>
      <c r="H90" s="19">
        <f>'D2C Online'!AF92</f>
        <v>3164529.5399701083</v>
      </c>
      <c r="I90" s="19">
        <f>'D2C Online'!AG92</f>
        <v>3370649.932700878</v>
      </c>
      <c r="J90" s="19">
        <f>'D2C Online'!AH92</f>
        <v>1983428.616581206</v>
      </c>
      <c r="K90" s="19">
        <f>'D2C Online'!AI92</f>
        <v>2839400.31267926</v>
      </c>
      <c r="L90" s="19">
        <f>'D2C Online'!AJ92</f>
        <v>4235447.3547182912</v>
      </c>
      <c r="M90" s="19">
        <f>'D2C Online'!AK92</f>
        <v>8889255.2909030952</v>
      </c>
      <c r="N90" s="19">
        <f>'D2C Online'!AL92</f>
        <v>9905480.6180152334</v>
      </c>
      <c r="O90" s="19">
        <f>'D2C Online'!AM92</f>
        <v>10970946.715826439</v>
      </c>
      <c r="P90" s="19">
        <f>'D2C Online'!AN92</f>
        <v>10343901.440708889</v>
      </c>
      <c r="Q90" s="19">
        <f>'D2C Online'!AO92</f>
        <v>4677594.4898556052</v>
      </c>
      <c r="R90" s="19">
        <f>'D2C Online'!AP92</f>
        <v>4360916.3032384142</v>
      </c>
      <c r="S90" s="19">
        <f>'D2C Online'!AQ92</f>
        <v>5498464.3115541358</v>
      </c>
      <c r="T90" s="19">
        <f>'D2C Online'!AR92</f>
        <v>7308509.607706544</v>
      </c>
      <c r="U90" s="19">
        <f>'D2C Online'!AS92</f>
        <v>6137623.3639546083</v>
      </c>
      <c r="V90" s="19">
        <f>'D2C Online'!AT92</f>
        <v>4652104.4379388839</v>
      </c>
      <c r="W90" s="19">
        <f>'D2C Online'!AU92</f>
        <v>7227564.500520627</v>
      </c>
      <c r="X90" s="19">
        <f>'D2C Online'!AV92</f>
        <v>12883100.557997916</v>
      </c>
      <c r="Y90" s="19">
        <f>'D2C Online'!AW92</f>
        <v>11413467.736715695</v>
      </c>
      <c r="Z90" s="19">
        <f>'D2C Online'!AX92</f>
        <v>9356878.4929823484</v>
      </c>
      <c r="AA90" s="19">
        <f>'D2C Online'!AY92</f>
        <v>11183634.816984819</v>
      </c>
      <c r="AB90" s="19">
        <f>'D2C Online'!AZ92</f>
        <v>16447420.663173372</v>
      </c>
      <c r="AC90" s="19">
        <f>'D2C Online'!BA92</f>
        <v>26039969.963667296</v>
      </c>
      <c r="AD90" s="19">
        <f>'D2C Online'!BB92</f>
        <v>24589354.366611335</v>
      </c>
      <c r="AE90" s="19">
        <f>'D2C Online'!BC92</f>
        <v>24362727.823253065</v>
      </c>
      <c r="AF90" s="19">
        <f>'D2C Online'!BD92</f>
        <v>31549861.26657927</v>
      </c>
      <c r="AG90" s="19">
        <f>'D2C Online'!BE92</f>
        <v>21846790.545924719</v>
      </c>
      <c r="AH90" s="19">
        <f>'D2C Online'!BF92</f>
        <v>27468637.262703501</v>
      </c>
      <c r="AI90" s="19">
        <f>'D2C Online'!BG92</f>
        <v>22789506.183174476</v>
      </c>
      <c r="AJ90" s="19">
        <f>'D2C Online'!BH92</f>
        <v>40214609.865467981</v>
      </c>
      <c r="AK90" s="19">
        <f>'D2C Online'!BI92</f>
        <v>36204005.562761642</v>
      </c>
      <c r="AL90" s="19">
        <f>'D2C Online'!BJ92</f>
        <v>36183299.906553991</v>
      </c>
      <c r="AM90" s="19">
        <f>'D2C Online'!BK92</f>
        <v>39429549.408543684</v>
      </c>
      <c r="AN90" s="19">
        <f>'D2C Online'!BL92</f>
        <v>34824144.382871129</v>
      </c>
      <c r="AO90" s="19">
        <f>'D2C Online'!BM92</f>
        <v>45506271.661984481</v>
      </c>
      <c r="AP90" s="19">
        <f>'D2C Online'!BN92</f>
        <v>41227520.48855906</v>
      </c>
      <c r="AQ90" s="19">
        <f>'D2C Online'!BO92</f>
        <v>44243076.05605983</v>
      </c>
      <c r="AR90" s="19">
        <f>'D2C Online'!BP92</f>
        <v>50577292.220090784</v>
      </c>
      <c r="AS90" s="19">
        <f>'D2C Online'!BQ92</f>
        <v>49433007.431427233</v>
      </c>
      <c r="AT90" s="19">
        <f>'D2C Online'!BR92</f>
        <v>46937296.607509963</v>
      </c>
      <c r="AU90" s="19">
        <f>'D2C Online'!BS92</f>
        <v>48097614.059657767</v>
      </c>
      <c r="AV90" s="19">
        <f>'D2C Online'!BT92</f>
        <v>53221990.320882432</v>
      </c>
      <c r="AW90" s="19">
        <f>'D2C Online'!BU92</f>
        <v>47219249.962493934</v>
      </c>
      <c r="AX90" s="19">
        <f>'D2C Online'!BV92</f>
        <v>52500003.904569089</v>
      </c>
      <c r="AY90" s="19">
        <f>'D2C Online'!BW92</f>
        <v>57878515.586493477</v>
      </c>
      <c r="AZ90" s="19">
        <f>'D2C Online'!BX92</f>
        <v>51729503.348294683</v>
      </c>
      <c r="BA90" s="19">
        <f>'D2C Online'!BY92</f>
        <v>72387264.318036169</v>
      </c>
      <c r="BB90" s="19">
        <f>'D2C Online'!BZ92</f>
        <v>62263503.499112695</v>
      </c>
      <c r="BC90" s="19">
        <f>'D2C Online'!CA92</f>
        <v>64059431.195158623</v>
      </c>
      <c r="BD90" s="19">
        <f>'D2C Online'!CB92</f>
        <v>66944013.784459449</v>
      </c>
      <c r="BE90" s="19">
        <f>'D2C Online'!CC92</f>
        <v>71789764.392868981</v>
      </c>
      <c r="BF90" s="19">
        <f>'D2C Online'!CD92</f>
        <v>66322143.019444697</v>
      </c>
      <c r="BG90" s="19">
        <f>'D2C Online'!CE92</f>
        <v>71071561.493464559</v>
      </c>
      <c r="BH90" s="19">
        <f>'D2C Online'!CF92</f>
        <v>65544887.17458865</v>
      </c>
      <c r="BI90" s="19">
        <f>'D2C Online'!CG92</f>
        <v>63137555.877676688</v>
      </c>
      <c r="BJ90" s="19">
        <f>'D2C Online'!CH92</f>
        <v>69833364.537292823</v>
      </c>
      <c r="BK90" s="19">
        <f>'D2C Online'!CI92</f>
        <v>74336219.558482811</v>
      </c>
      <c r="BL90" s="19">
        <f>'D2C Online'!CJ92</f>
        <v>58388104.87081708</v>
      </c>
      <c r="BM90" s="19">
        <f>'D2C Online'!CK92</f>
        <v>66573026.457994439</v>
      </c>
      <c r="BN90" s="19">
        <f>'D2C Online'!CL92</f>
        <v>73622932.355851322</v>
      </c>
      <c r="BO90" s="19">
        <f>'D2C Online'!CM92</f>
        <v>74372241.333155632</v>
      </c>
      <c r="BP90" s="19">
        <f>'D2C Online'!CN92</f>
        <v>74319035.96198611</v>
      </c>
      <c r="BQ90" s="19">
        <f>'D2C Online'!CO92</f>
        <v>75440782.537477255</v>
      </c>
      <c r="BR90" s="19">
        <f>'D2C Online'!CP92</f>
        <v>71086809.663436532</v>
      </c>
      <c r="BS90" s="19">
        <f>'D2C Online'!CQ92</f>
        <v>77764083.745213851</v>
      </c>
      <c r="BT90" s="19">
        <f>'D2C Online'!CR92</f>
        <v>75613699.993778259</v>
      </c>
      <c r="BU90" s="19">
        <f>'D2C Online'!CS92</f>
        <v>75791051.231010064</v>
      </c>
      <c r="BV90" s="19">
        <f>'D2C Online'!CT92</f>
        <v>93034025.270871878</v>
      </c>
      <c r="BW90" s="19">
        <f>'D2C Online'!CU92</f>
        <v>100243353.06434461</v>
      </c>
      <c r="BX90" s="19">
        <f>'D2C Online'!CV92</f>
        <v>85939975.781599849</v>
      </c>
      <c r="BY90" s="19">
        <f>'D2C Online'!CW92</f>
        <v>92865541.595501676</v>
      </c>
      <c r="BZ90" s="19">
        <f>'D2C Online'!CX92</f>
        <v>86434309.542197764</v>
      </c>
      <c r="CA90" s="19">
        <f>'D2C Online'!CY92</f>
        <v>87314008.326457396</v>
      </c>
      <c r="CB90" s="19">
        <f>'D2C Online'!CZ92</f>
        <v>87251544.507456765</v>
      </c>
      <c r="CC90" s="19">
        <f>'D2C Online'!DA92</f>
        <v>88568490.024721161</v>
      </c>
      <c r="CD90" s="19">
        <f>'D2C Online'!DB92</f>
        <v>83456867.503165126</v>
      </c>
      <c r="CE90" s="19">
        <f>'D2C Online'!DC92</f>
        <v>91296076.787751064</v>
      </c>
      <c r="CF90" s="19">
        <f>'D2C Online'!DD92</f>
        <v>88771497.436473355</v>
      </c>
      <c r="CG90" s="19">
        <f>'D2C Online'!DE92</f>
        <v>88979710.166475654</v>
      </c>
      <c r="CH90" s="19">
        <f>'D2C Online'!DF92</f>
        <v>109223192.8409476</v>
      </c>
      <c r="CI90" s="19">
        <f>'D2C Online'!DG92</f>
        <v>117687040.31554043</v>
      </c>
      <c r="CJ90" s="19">
        <f>'D2C Online'!DH92</f>
        <v>100894683.64085628</v>
      </c>
      <c r="CK90" s="19">
        <f>'D2C Online'!DI92</f>
        <v>109025390.74744546</v>
      </c>
      <c r="CL90" s="19">
        <f>'D2C Online'!DJ92</f>
        <v>101449184.64901368</v>
      </c>
      <c r="CM90" s="19">
        <f>'D2C Online'!DK92</f>
        <v>102481699.68699521</v>
      </c>
      <c r="CN90" s="19">
        <f>'D2C Online'!DL92</f>
        <v>102408385.0097421</v>
      </c>
      <c r="CO90" s="19">
        <f>'D2C Online'!DM92</f>
        <v>103954102.78849551</v>
      </c>
      <c r="CP90" s="19">
        <f>'D2C Online'!DN92</f>
        <v>97954518.366614655</v>
      </c>
      <c r="CQ90" s="19">
        <f>'D2C Online'!DO92</f>
        <v>107155510.36188205</v>
      </c>
      <c r="CR90" s="19">
        <f>'D2C Online'!DP92</f>
        <v>104192375.48956814</v>
      </c>
      <c r="CS90" s="19">
        <f>'D2C Online'!DQ92</f>
        <v>104436757.74707857</v>
      </c>
      <c r="CT90" s="19">
        <f>'D2C Online'!DR92</f>
        <v>128196822.73352933</v>
      </c>
      <c r="CU90" s="19">
        <f>'D2C Online'!DS92</f>
        <v>138130961.50132799</v>
      </c>
      <c r="CV90" s="19">
        <f>'D2C Online'!DT92</f>
        <v>118421532.43311244</v>
      </c>
      <c r="CW90" s="19">
        <f>'D2C Online'!DU92</f>
        <v>127964659.58889446</v>
      </c>
      <c r="CY90" s="19">
        <f>SUM(AD90:AF90)</f>
        <v>80501943.456443667</v>
      </c>
      <c r="CZ90" s="19">
        <f>SUM(AG90:AI90)</f>
        <v>72104933.991802692</v>
      </c>
      <c r="DA90" s="19">
        <f>SUM(AJ90:AL90)</f>
        <v>112601915.33478361</v>
      </c>
      <c r="DB90" s="19">
        <f>SUM(AM90:AO90)</f>
        <v>119759965.4533993</v>
      </c>
      <c r="DC90" s="19">
        <f>SUM(AP90:AR90)</f>
        <v>136047888.76470968</v>
      </c>
      <c r="DD90" s="19">
        <f>SUM(AS90:AU90)</f>
        <v>144467918.09859496</v>
      </c>
      <c r="DE90" s="19">
        <f>SUM(AV90:AX90)</f>
        <v>152941244.18794546</v>
      </c>
      <c r="DF90" s="19">
        <f>SUM(AY90:BA90)</f>
        <v>181995283.25282434</v>
      </c>
      <c r="DG90" s="19">
        <f>SUM(BB90:BD90)</f>
        <v>193266948.47873077</v>
      </c>
      <c r="DH90" s="19">
        <f>SUM(BE90:BG90)</f>
        <v>209183468.90577823</v>
      </c>
      <c r="DI90" s="19">
        <f>SUM(BH90:BJ90)</f>
        <v>198515807.58955818</v>
      </c>
      <c r="DJ90" s="19">
        <f>SUM(BK90:BM90)</f>
        <v>199297350.88729432</v>
      </c>
      <c r="DK90" s="19">
        <f>SUM(BN90:BP90)</f>
        <v>222314209.65099305</v>
      </c>
      <c r="DL90" s="19">
        <f>SUM(BQ90:BS90)</f>
        <v>224291675.94612765</v>
      </c>
      <c r="DM90" s="19">
        <f>SUM(BT90:BV90)</f>
        <v>244438776.49566019</v>
      </c>
      <c r="DN90" s="19">
        <f>SUM(BW90:BY90)</f>
        <v>279048870.44144613</v>
      </c>
      <c r="DO90" s="19">
        <f>SUM(BZ90:CB90)</f>
        <v>260999862.37611192</v>
      </c>
      <c r="DP90" s="19">
        <f>SUM(CC90:CE90)</f>
        <v>263321434.31563735</v>
      </c>
      <c r="DQ90" s="19">
        <f>SUM(CF90:CH90)</f>
        <v>286974400.44389665</v>
      </c>
      <c r="DR90" s="19">
        <f>SUM(CI90:CK90)</f>
        <v>327607114.70384216</v>
      </c>
      <c r="DS90" s="19">
        <f t="shared" si="312"/>
        <v>306339269.34575099</v>
      </c>
      <c r="DT90" s="19">
        <f t="shared" si="313"/>
        <v>309064131.51699221</v>
      </c>
      <c r="DU90" s="19">
        <f t="shared" si="314"/>
        <v>336825955.97017604</v>
      </c>
      <c r="DV90" s="19">
        <f t="shared" si="315"/>
        <v>384517153.52333486</v>
      </c>
      <c r="DX90" s="19">
        <f t="shared" si="372"/>
        <v>384968758.23642927</v>
      </c>
      <c r="DY90" s="19">
        <f t="shared" si="373"/>
        <v>615452334.30407441</v>
      </c>
      <c r="DZ90" s="19">
        <f t="shared" si="374"/>
        <v>800263575.8613615</v>
      </c>
      <c r="EA90" s="19">
        <f t="shared" si="375"/>
        <v>970093532.53422689</v>
      </c>
      <c r="EB90" s="19">
        <f t="shared" si="376"/>
        <v>1138902811.839488</v>
      </c>
      <c r="EC90" s="770">
        <f t="shared" si="316"/>
        <v>1336746510.3562541</v>
      </c>
    </row>
    <row r="91" spans="2:133" x14ac:dyDescent="0.2">
      <c r="B91" s="22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X91" s="19"/>
      <c r="DY91" s="19"/>
      <c r="DZ91" s="19"/>
      <c r="EA91" s="19"/>
      <c r="EB91" s="19"/>
      <c r="EC91" s="770">
        <f t="shared" si="316"/>
        <v>0</v>
      </c>
    </row>
    <row r="92" spans="2:133" x14ac:dyDescent="0.2">
      <c r="B92" s="212" t="s">
        <v>30</v>
      </c>
      <c r="C92" s="199">
        <f>C50-C62</f>
        <v>7619221.3354663849</v>
      </c>
      <c r="D92" s="199">
        <f t="shared" ref="D92:BO92" si="377">D50-D62</f>
        <v>7574073.8405962288</v>
      </c>
      <c r="E92" s="199">
        <f t="shared" si="377"/>
        <v>10475074.104240075</v>
      </c>
      <c r="F92" s="199">
        <f t="shared" si="377"/>
        <v>6077917.7602885403</v>
      </c>
      <c r="G92" s="199">
        <f t="shared" si="377"/>
        <v>586584.63020833489</v>
      </c>
      <c r="H92" s="199">
        <f t="shared" si="377"/>
        <v>5625961.5108589679</v>
      </c>
      <c r="I92" s="199">
        <f t="shared" si="377"/>
        <v>8766527.1082371473</v>
      </c>
      <c r="J92" s="199">
        <f t="shared" si="377"/>
        <v>9842538.347430069</v>
      </c>
      <c r="K92" s="199">
        <f t="shared" si="377"/>
        <v>11383700.914449789</v>
      </c>
      <c r="L92" s="199">
        <f t="shared" si="377"/>
        <v>12147040.335287564</v>
      </c>
      <c r="M92" s="199">
        <f t="shared" si="377"/>
        <v>21382036.64020288</v>
      </c>
      <c r="N92" s="199">
        <f t="shared" si="377"/>
        <v>24341499.888516977</v>
      </c>
      <c r="O92" s="199">
        <f t="shared" si="377"/>
        <v>22602460.037478179</v>
      </c>
      <c r="P92" s="199">
        <f t="shared" si="377"/>
        <v>25704269.352697447</v>
      </c>
      <c r="Q92" s="199">
        <f t="shared" si="377"/>
        <v>25754256.21536088</v>
      </c>
      <c r="R92" s="199">
        <f t="shared" si="377"/>
        <v>24464253.24473381</v>
      </c>
      <c r="S92" s="199">
        <f t="shared" si="377"/>
        <v>26949946.727338642</v>
      </c>
      <c r="T92" s="199">
        <f t="shared" si="377"/>
        <v>32009300.728564262</v>
      </c>
      <c r="U92" s="199">
        <f t="shared" si="377"/>
        <v>33278989.606029332</v>
      </c>
      <c r="V92" s="199">
        <f t="shared" si="377"/>
        <v>29679040.454205126</v>
      </c>
      <c r="W92" s="199">
        <f t="shared" si="377"/>
        <v>24467637.305532217</v>
      </c>
      <c r="X92" s="199">
        <f t="shared" si="377"/>
        <v>31660427.58689481</v>
      </c>
      <c r="Y92" s="199">
        <f t="shared" si="377"/>
        <v>32722712.569258183</v>
      </c>
      <c r="Z92" s="199">
        <f t="shared" si="377"/>
        <v>38973877.027659446</v>
      </c>
      <c r="AA92" s="199">
        <f t="shared" si="377"/>
        <v>46883363.260652006</v>
      </c>
      <c r="AB92" s="199">
        <f t="shared" si="377"/>
        <v>52040388.36123383</v>
      </c>
      <c r="AC92" s="199">
        <f t="shared" si="377"/>
        <v>67168682.233659387</v>
      </c>
      <c r="AD92" s="199">
        <f t="shared" si="377"/>
        <v>64608074.406550705</v>
      </c>
      <c r="AE92" s="199">
        <f t="shared" si="377"/>
        <v>72715646.418258429</v>
      </c>
      <c r="AF92" s="199">
        <f t="shared" si="377"/>
        <v>81997767.402617335</v>
      </c>
      <c r="AG92" s="199">
        <f t="shared" si="377"/>
        <v>68003636.626100779</v>
      </c>
      <c r="AH92" s="199">
        <f t="shared" si="377"/>
        <v>72792874.438777506</v>
      </c>
      <c r="AI92" s="199">
        <f t="shared" si="377"/>
        <v>60622209.431297958</v>
      </c>
      <c r="AJ92" s="199">
        <f t="shared" si="377"/>
        <v>89471087.709902644</v>
      </c>
      <c r="AK92" s="199">
        <f t="shared" si="377"/>
        <v>82522190.273317754</v>
      </c>
      <c r="AL92" s="199">
        <f t="shared" si="377"/>
        <v>79714669.525869071</v>
      </c>
      <c r="AM92" s="199">
        <f t="shared" si="377"/>
        <v>80444056.475207329</v>
      </c>
      <c r="AN92" s="199">
        <f t="shared" si="377"/>
        <v>83162326.945039272</v>
      </c>
      <c r="AO92" s="199">
        <f t="shared" si="377"/>
        <v>101550613.68879735</v>
      </c>
      <c r="AP92" s="199">
        <f t="shared" si="377"/>
        <v>95251102.860567808</v>
      </c>
      <c r="AQ92" s="199">
        <f t="shared" si="377"/>
        <v>104611064.09116191</v>
      </c>
      <c r="AR92" s="199">
        <f t="shared" si="377"/>
        <v>114359378.92905569</v>
      </c>
      <c r="AS92" s="199">
        <f t="shared" si="377"/>
        <v>110099900.96468204</v>
      </c>
      <c r="AT92" s="199">
        <f t="shared" si="377"/>
        <v>99201619.150187135</v>
      </c>
      <c r="AU92" s="199">
        <f t="shared" si="377"/>
        <v>88387012.645318031</v>
      </c>
      <c r="AV92" s="199">
        <f t="shared" si="377"/>
        <v>113659176.2451129</v>
      </c>
      <c r="AW92" s="199">
        <f t="shared" si="377"/>
        <v>107694798.71496737</v>
      </c>
      <c r="AX92" s="199">
        <f t="shared" si="377"/>
        <v>121631308.2327857</v>
      </c>
      <c r="AY92" s="199">
        <f t="shared" si="377"/>
        <v>126526130.51604724</v>
      </c>
      <c r="AZ92" s="199">
        <f t="shared" si="377"/>
        <v>116604085.66177052</v>
      </c>
      <c r="BA92" s="199">
        <f t="shared" si="377"/>
        <v>155387460.30634117</v>
      </c>
      <c r="BB92" s="199">
        <f t="shared" si="377"/>
        <v>143066111.69692147</v>
      </c>
      <c r="BC92" s="199">
        <f t="shared" si="377"/>
        <v>139842799.71114385</v>
      </c>
      <c r="BD92" s="199">
        <f t="shared" si="377"/>
        <v>149923258.76003695</v>
      </c>
      <c r="BE92" s="199">
        <f t="shared" si="377"/>
        <v>158002762.98581207</v>
      </c>
      <c r="BF92" s="199">
        <f t="shared" si="377"/>
        <v>145529587.47035193</v>
      </c>
      <c r="BG92" s="199">
        <f t="shared" si="377"/>
        <v>140414338.85769188</v>
      </c>
      <c r="BH92" s="199">
        <f t="shared" si="377"/>
        <v>172624276.40145445</v>
      </c>
      <c r="BI92" s="199">
        <f t="shared" si="377"/>
        <v>156441492.990605</v>
      </c>
      <c r="BJ92" s="199">
        <f t="shared" si="377"/>
        <v>175618463.74650192</v>
      </c>
      <c r="BK92" s="199">
        <f t="shared" si="377"/>
        <v>187278736.82056284</v>
      </c>
      <c r="BL92" s="199">
        <f t="shared" si="377"/>
        <v>163971519.64111924</v>
      </c>
      <c r="BM92" s="199">
        <f t="shared" si="377"/>
        <v>187081470.19609404</v>
      </c>
      <c r="BN92" s="199">
        <f t="shared" si="377"/>
        <v>185943758.28927481</v>
      </c>
      <c r="BO92" s="199">
        <f t="shared" si="377"/>
        <v>184328973.38473964</v>
      </c>
      <c r="BP92" s="199">
        <f t="shared" ref="BP92:CK92" si="378">BP50-BP62</f>
        <v>184166879.47598779</v>
      </c>
      <c r="BQ92" s="199">
        <f t="shared" si="378"/>
        <v>194371532.26656199</v>
      </c>
      <c r="BR92" s="199">
        <f t="shared" si="378"/>
        <v>177965912.25835109</v>
      </c>
      <c r="BS92" s="199">
        <f t="shared" si="378"/>
        <v>176268283.88583314</v>
      </c>
      <c r="BT92" s="199">
        <f t="shared" si="378"/>
        <v>199077795.00036395</v>
      </c>
      <c r="BU92" s="199">
        <f t="shared" si="378"/>
        <v>189552289.12926841</v>
      </c>
      <c r="BV92" s="199">
        <f t="shared" si="378"/>
        <v>226194202.73607814</v>
      </c>
      <c r="BW92" s="199">
        <f t="shared" si="378"/>
        <v>235848162.01507568</v>
      </c>
      <c r="BX92" s="199">
        <f t="shared" si="378"/>
        <v>213827685.92354298</v>
      </c>
      <c r="BY92" s="199">
        <f t="shared" si="378"/>
        <v>241087456.3301568</v>
      </c>
      <c r="BZ92" s="199">
        <f t="shared" si="378"/>
        <v>222701922.64720321</v>
      </c>
      <c r="CA92" s="199">
        <f t="shared" si="378"/>
        <v>221068324.61951947</v>
      </c>
      <c r="CB92" s="199">
        <f t="shared" si="378"/>
        <v>220108765.77120507</v>
      </c>
      <c r="CC92" s="199">
        <f t="shared" si="378"/>
        <v>232359838.32719517</v>
      </c>
      <c r="CD92" s="199">
        <f t="shared" si="378"/>
        <v>212310453.35403574</v>
      </c>
      <c r="CE92" s="199">
        <f t="shared" si="378"/>
        <v>209713658.91001999</v>
      </c>
      <c r="CF92" s="199">
        <f t="shared" si="378"/>
        <v>236811720.98077905</v>
      </c>
      <c r="CG92" s="199">
        <f t="shared" si="378"/>
        <v>224551878.53443205</v>
      </c>
      <c r="CH92" s="199">
        <f t="shared" si="378"/>
        <v>267461137.26951456</v>
      </c>
      <c r="CI92" s="199">
        <f t="shared" si="378"/>
        <v>278112623.02555537</v>
      </c>
      <c r="CJ92" s="199">
        <f t="shared" si="378"/>
        <v>251316660.32921171</v>
      </c>
      <c r="CK92" s="199">
        <f t="shared" si="378"/>
        <v>281423540.90472507</v>
      </c>
      <c r="CL92" s="199">
        <f t="shared" ref="CL92:CW92" si="379">CL50-CL62</f>
        <v>253313900.1122582</v>
      </c>
      <c r="CM92" s="199">
        <f t="shared" si="379"/>
        <v>251357737.77056766</v>
      </c>
      <c r="CN92" s="199">
        <f t="shared" si="379"/>
        <v>250176167.5325551</v>
      </c>
      <c r="CO92" s="199">
        <f t="shared" si="379"/>
        <v>263886433.22369337</v>
      </c>
      <c r="CP92" s="199">
        <f t="shared" si="379"/>
        <v>241018565.17855692</v>
      </c>
      <c r="CQ92" s="199">
        <f t="shared" si="379"/>
        <v>238274505.96850705</v>
      </c>
      <c r="CR92" s="199">
        <f t="shared" si="379"/>
        <v>268470846.70794487</v>
      </c>
      <c r="CS92" s="199">
        <f t="shared" si="379"/>
        <v>254653617.14909196</v>
      </c>
      <c r="CT92" s="199">
        <f t="shared" si="379"/>
        <v>303555507.7277565</v>
      </c>
      <c r="CU92" s="199">
        <f t="shared" si="379"/>
        <v>315808333.12382054</v>
      </c>
      <c r="CV92" s="199">
        <f t="shared" si="379"/>
        <v>284953133.25792241</v>
      </c>
      <c r="CW92" s="199">
        <f t="shared" si="379"/>
        <v>318942353.35677981</v>
      </c>
      <c r="CY92" s="199">
        <f>SUM(AD92:AF92)</f>
        <v>219321488.22742647</v>
      </c>
      <c r="CZ92" s="199">
        <f>SUM(AG92:AI92)</f>
        <v>201418720.49617624</v>
      </c>
      <c r="DA92" s="199">
        <f>SUM(AJ92:AL92)</f>
        <v>251707947.50908947</v>
      </c>
      <c r="DB92" s="199">
        <f>SUM(AM92:AO92)</f>
        <v>265156997.10904396</v>
      </c>
      <c r="DC92" s="199">
        <f>SUM(AP92:AR92)</f>
        <v>314221545.88078541</v>
      </c>
      <c r="DD92" s="199">
        <f>SUM(AS92:AU92)</f>
        <v>297688532.76018721</v>
      </c>
      <c r="DE92" s="199">
        <f>SUM(AV92:AX92)</f>
        <v>342985283.19286597</v>
      </c>
      <c r="DF92" s="199">
        <f>SUM(AY92:BA92)</f>
        <v>398517676.48415893</v>
      </c>
      <c r="DG92" s="199">
        <f>SUM(BB92:BD92)</f>
        <v>432832170.16810226</v>
      </c>
      <c r="DH92" s="199">
        <f>SUM(BE92:BG92)</f>
        <v>443946689.31385589</v>
      </c>
      <c r="DI92" s="199">
        <f>SUM(BH92:BJ92)</f>
        <v>504684233.13856137</v>
      </c>
      <c r="DJ92" s="199">
        <f>SUM(BK92:BM92)</f>
        <v>538331726.65777612</v>
      </c>
      <c r="DK92" s="199">
        <f>SUM(BN92:BP92)</f>
        <v>554439611.15000224</v>
      </c>
      <c r="DL92" s="199">
        <f>SUM(BQ92:BS92)</f>
        <v>548605728.41074622</v>
      </c>
      <c r="DM92" s="199">
        <f>SUM(BT92:BV92)</f>
        <v>614824286.8657105</v>
      </c>
      <c r="DN92" s="199">
        <f>SUM(BW92:BY92)</f>
        <v>690763304.26877546</v>
      </c>
      <c r="DO92" s="199">
        <f>SUM(BZ92:CB92)</f>
        <v>663879013.03792775</v>
      </c>
      <c r="DP92" s="199">
        <f>SUM(CC92:CE92)</f>
        <v>654383950.5912509</v>
      </c>
      <c r="DQ92" s="199">
        <f>SUM(CF92:CH92)</f>
        <v>728824736.78472567</v>
      </c>
      <c r="DR92" s="199">
        <f>SUM(CI92:CK92)</f>
        <v>810852824.25949216</v>
      </c>
      <c r="DS92" s="199">
        <f t="shared" si="312"/>
        <v>754847805.41538095</v>
      </c>
      <c r="DT92" s="199">
        <f t="shared" si="313"/>
        <v>743179504.37075734</v>
      </c>
      <c r="DU92" s="199">
        <f t="shared" si="314"/>
        <v>826679971.58479333</v>
      </c>
      <c r="DV92" s="199">
        <f t="shared" si="315"/>
        <v>919703819.73852277</v>
      </c>
      <c r="DX92" s="199">
        <f t="shared" si="372"/>
        <v>937605153.3417362</v>
      </c>
      <c r="DY92" s="199">
        <f t="shared" si="373"/>
        <v>1353413038.3179975</v>
      </c>
      <c r="DZ92" s="199">
        <f t="shared" si="374"/>
        <v>1919794819.2782958</v>
      </c>
      <c r="EA92" s="199">
        <f t="shared" si="375"/>
        <v>2408632930.6952343</v>
      </c>
      <c r="EB92" s="199">
        <f t="shared" si="376"/>
        <v>2857940524.6733961</v>
      </c>
      <c r="EC92" s="810">
        <f t="shared" si="316"/>
        <v>3244411101.1094542</v>
      </c>
    </row>
    <row r="93" spans="2:133" x14ac:dyDescent="0.2">
      <c r="B93" s="155" t="s">
        <v>31</v>
      </c>
      <c r="C93" s="20">
        <f>C92/C50</f>
        <v>0.17208437955193778</v>
      </c>
      <c r="D93" s="20">
        <f t="shared" ref="D93:BO93" si="380">D92/D50</f>
        <v>0.17803135177997209</v>
      </c>
      <c r="E93" s="20">
        <f t="shared" si="380"/>
        <v>0.2158673250093309</v>
      </c>
      <c r="F93" s="20">
        <f t="shared" si="380"/>
        <v>0.2148938385957318</v>
      </c>
      <c r="G93" s="20">
        <f t="shared" si="380"/>
        <v>0.14636138042189015</v>
      </c>
      <c r="H93" s="20">
        <f t="shared" si="380"/>
        <v>0.24422615788953214</v>
      </c>
      <c r="I93" s="20">
        <f t="shared" si="380"/>
        <v>0.27006733526571536</v>
      </c>
      <c r="J93" s="20">
        <f t="shared" si="380"/>
        <v>0.24586109403074008</v>
      </c>
      <c r="K93" s="20">
        <f t="shared" si="380"/>
        <v>0.21335679785968506</v>
      </c>
      <c r="L93" s="20">
        <f t="shared" si="380"/>
        <v>0.20124996067919529</v>
      </c>
      <c r="M93" s="20">
        <f t="shared" si="380"/>
        <v>0.23057955259998952</v>
      </c>
      <c r="N93" s="20">
        <f t="shared" si="380"/>
        <v>0.21976473221742243</v>
      </c>
      <c r="O93" s="20">
        <f t="shared" si="380"/>
        <v>0.19337033531086381</v>
      </c>
      <c r="P93" s="20">
        <f t="shared" si="380"/>
        <v>0.2041473480412071</v>
      </c>
      <c r="Q93" s="20">
        <f t="shared" si="380"/>
        <v>0.19388034588729594</v>
      </c>
      <c r="R93" s="20">
        <f t="shared" si="380"/>
        <v>0.20223402580785388</v>
      </c>
      <c r="S93" s="20">
        <f t="shared" si="380"/>
        <v>0.18145364686401752</v>
      </c>
      <c r="T93" s="20">
        <f t="shared" si="380"/>
        <v>0.17074527635165906</v>
      </c>
      <c r="U93" s="20">
        <f t="shared" si="380"/>
        <v>0.17900505932853275</v>
      </c>
      <c r="V93" s="20">
        <f t="shared" si="380"/>
        <v>0.16133024218144837</v>
      </c>
      <c r="W93" s="20">
        <f t="shared" si="380"/>
        <v>0.13614743048018485</v>
      </c>
      <c r="X93" s="20">
        <f t="shared" si="380"/>
        <v>0.14369758535012106</v>
      </c>
      <c r="Y93" s="20">
        <f t="shared" si="380"/>
        <v>0.15177574686302228</v>
      </c>
      <c r="Z93" s="20">
        <f t="shared" si="380"/>
        <v>0.1553388304100671</v>
      </c>
      <c r="AA93" s="20">
        <f t="shared" si="380"/>
        <v>0.16533581910885259</v>
      </c>
      <c r="AB93" s="20">
        <f t="shared" si="380"/>
        <v>0.1728811981622807</v>
      </c>
      <c r="AC93" s="20">
        <f t="shared" si="380"/>
        <v>0.16038046375158291</v>
      </c>
      <c r="AD93" s="20">
        <f t="shared" si="380"/>
        <v>0.13632119470773515</v>
      </c>
      <c r="AE93" s="20">
        <f t="shared" si="380"/>
        <v>0.14835309279212261</v>
      </c>
      <c r="AF93" s="20">
        <f t="shared" si="380"/>
        <v>0.15935653490703164</v>
      </c>
      <c r="AG93" s="20">
        <f t="shared" si="380"/>
        <v>0.16182199962208912</v>
      </c>
      <c r="AH93" s="20">
        <f t="shared" si="380"/>
        <v>0.16427490809238376</v>
      </c>
      <c r="AI93" s="20">
        <f t="shared" si="380"/>
        <v>0.13614443194053161</v>
      </c>
      <c r="AJ93" s="20">
        <f t="shared" si="380"/>
        <v>0.13605408947314368</v>
      </c>
      <c r="AK93" s="20">
        <f t="shared" si="380"/>
        <v>0.1507355660805263</v>
      </c>
      <c r="AL93" s="20">
        <f t="shared" si="380"/>
        <v>0.1626126050797761</v>
      </c>
      <c r="AM93" s="20">
        <f t="shared" si="380"/>
        <v>0.17326322758976931</v>
      </c>
      <c r="AN93" s="20">
        <f t="shared" si="380"/>
        <v>0.21427752556487359</v>
      </c>
      <c r="AO93" s="20">
        <f t="shared" si="380"/>
        <v>0.20388007498342639</v>
      </c>
      <c r="AP93" s="20">
        <f t="shared" si="380"/>
        <v>0.18735880996493884</v>
      </c>
      <c r="AQ93" s="20">
        <f t="shared" si="380"/>
        <v>0.19874683367694854</v>
      </c>
      <c r="AR93" s="20">
        <f t="shared" si="380"/>
        <v>0.20544446855950677</v>
      </c>
      <c r="AS93" s="20">
        <f t="shared" si="380"/>
        <v>0.20038723384355261</v>
      </c>
      <c r="AT93" s="20">
        <f t="shared" si="380"/>
        <v>0.20305156804144672</v>
      </c>
      <c r="AU93" s="20">
        <f t="shared" si="380"/>
        <v>0.19222626710223403</v>
      </c>
      <c r="AV93" s="20">
        <f t="shared" si="380"/>
        <v>0.19889166376288872</v>
      </c>
      <c r="AW93" s="20">
        <f t="shared" si="380"/>
        <v>0.20190712549400436</v>
      </c>
      <c r="AX93" s="20">
        <f t="shared" si="380"/>
        <v>0.1914714341308924</v>
      </c>
      <c r="AY93" s="20">
        <f t="shared" si="380"/>
        <v>0.18679475483396188</v>
      </c>
      <c r="AZ93" s="20">
        <f t="shared" si="380"/>
        <v>0.18099725751686752</v>
      </c>
      <c r="BA93" s="20">
        <f t="shared" si="380"/>
        <v>0.18762915471406511</v>
      </c>
      <c r="BB93" s="20">
        <f t="shared" si="380"/>
        <v>0.18800326260964217</v>
      </c>
      <c r="BC93" s="20">
        <f t="shared" si="380"/>
        <v>0.18783060187612524</v>
      </c>
      <c r="BD93" s="20">
        <f t="shared" si="380"/>
        <v>0.19939962336663214</v>
      </c>
      <c r="BE93" s="20">
        <f t="shared" si="380"/>
        <v>0.19503053595156841</v>
      </c>
      <c r="BF93" s="20">
        <f t="shared" si="380"/>
        <v>0.20866555098292475</v>
      </c>
      <c r="BG93" s="20">
        <f t="shared" si="380"/>
        <v>0.18626530731844879</v>
      </c>
      <c r="BH93" s="20">
        <f t="shared" si="380"/>
        <v>0.19775406642067361</v>
      </c>
      <c r="BI93" s="20">
        <f t="shared" si="380"/>
        <v>0.19280601884617415</v>
      </c>
      <c r="BJ93" s="20">
        <f t="shared" si="380"/>
        <v>0.17568379654590474</v>
      </c>
      <c r="BK93" s="20">
        <f t="shared" si="380"/>
        <v>0.17370325844345555</v>
      </c>
      <c r="BL93" s="20">
        <f t="shared" si="380"/>
        <v>0.16793887432313503</v>
      </c>
      <c r="BM93" s="20">
        <f t="shared" si="380"/>
        <v>0.16028154619692722</v>
      </c>
      <c r="BN93" s="20">
        <f t="shared" si="380"/>
        <v>0.18288770000540053</v>
      </c>
      <c r="BO93" s="20">
        <f t="shared" si="380"/>
        <v>0.18297990069666517</v>
      </c>
      <c r="BP93" s="20">
        <f t="shared" ref="BP93:CK93" si="381">BP92/BP50</f>
        <v>0.18310531543012845</v>
      </c>
      <c r="BQ93" s="20">
        <f t="shared" si="381"/>
        <v>0.18281668334531642</v>
      </c>
      <c r="BR93" s="20">
        <f t="shared" si="381"/>
        <v>0.18367934447207818</v>
      </c>
      <c r="BS93" s="20">
        <f t="shared" si="381"/>
        <v>0.18356776349786105</v>
      </c>
      <c r="BT93" s="20">
        <f t="shared" si="381"/>
        <v>0.18300181043499444</v>
      </c>
      <c r="BU93" s="20">
        <f t="shared" si="381"/>
        <v>0.18340181361710145</v>
      </c>
      <c r="BV93" s="20">
        <f t="shared" si="381"/>
        <v>0.18178432415445761</v>
      </c>
      <c r="BW93" s="20">
        <f t="shared" si="381"/>
        <v>0.1813908452058097</v>
      </c>
      <c r="BX93" s="20">
        <f t="shared" si="381"/>
        <v>0.18250841901445464</v>
      </c>
      <c r="BY93" s="20">
        <f t="shared" si="381"/>
        <v>0.1817756935031021</v>
      </c>
      <c r="BZ93" s="20">
        <f t="shared" si="381"/>
        <v>0.18124012805932219</v>
      </c>
      <c r="CA93" s="20">
        <f t="shared" si="381"/>
        <v>0.18133542138176734</v>
      </c>
      <c r="CB93" s="20">
        <f t="shared" si="381"/>
        <v>0.1814252635594733</v>
      </c>
      <c r="CC93" s="20">
        <f t="shared" si="381"/>
        <v>0.18116207728799952</v>
      </c>
      <c r="CD93" s="20">
        <f t="shared" si="381"/>
        <v>0.18195684472058821</v>
      </c>
      <c r="CE93" s="20">
        <f t="shared" si="381"/>
        <v>0.18180189520870835</v>
      </c>
      <c r="CF93" s="20">
        <f t="shared" si="381"/>
        <v>0.18130426501485308</v>
      </c>
      <c r="CG93" s="20">
        <f t="shared" si="381"/>
        <v>0.18163289282660544</v>
      </c>
      <c r="CH93" s="20">
        <f t="shared" si="381"/>
        <v>0.18008187508706275</v>
      </c>
      <c r="CI93" s="20">
        <f t="shared" si="381"/>
        <v>0.17967600900697206</v>
      </c>
      <c r="CJ93" s="20">
        <f t="shared" si="381"/>
        <v>0.18072300214044382</v>
      </c>
      <c r="CK93" s="20">
        <f t="shared" si="381"/>
        <v>0.1800043554578355</v>
      </c>
      <c r="CL93" s="20">
        <f t="shared" ref="CL93:CW93" si="382">CL92/CL50</f>
        <v>0.17834912029677713</v>
      </c>
      <c r="CM93" s="20">
        <f t="shared" si="382"/>
        <v>0.17843751160486954</v>
      </c>
      <c r="CN93" s="20">
        <f t="shared" si="382"/>
        <v>0.1785208002086397</v>
      </c>
      <c r="CO93" s="20">
        <f t="shared" si="382"/>
        <v>0.17826220022166236</v>
      </c>
      <c r="CP93" s="20">
        <f t="shared" si="382"/>
        <v>0.17902127861991937</v>
      </c>
      <c r="CQ93" s="20">
        <f t="shared" si="382"/>
        <v>0.17887499365635137</v>
      </c>
      <c r="CR93" s="20">
        <f t="shared" si="382"/>
        <v>0.17838578551700277</v>
      </c>
      <c r="CS93" s="20">
        <f t="shared" si="382"/>
        <v>0.17870151843272281</v>
      </c>
      <c r="CT93" s="20">
        <f t="shared" si="382"/>
        <v>0.17722033078171523</v>
      </c>
      <c r="CU93" s="20">
        <f t="shared" si="382"/>
        <v>0.17683499786398435</v>
      </c>
      <c r="CV93" s="20">
        <f t="shared" si="382"/>
        <v>0.17782731856492273</v>
      </c>
      <c r="CW93" s="20">
        <f t="shared" si="382"/>
        <v>0.1771364726576099</v>
      </c>
      <c r="CY93" s="20">
        <f t="shared" ref="CY93:DR93" si="383">CY92/CY50</f>
        <v>0.14832569090622413</v>
      </c>
      <c r="CZ93" s="20">
        <f t="shared" si="383"/>
        <v>0.1539154619807212</v>
      </c>
      <c r="DA93" s="20">
        <f t="shared" si="383"/>
        <v>0.14847490348794715</v>
      </c>
      <c r="DB93" s="20">
        <f t="shared" si="383"/>
        <v>0.19634223635725029</v>
      </c>
      <c r="DC93" s="20">
        <f t="shared" si="383"/>
        <v>0.19745151859281893</v>
      </c>
      <c r="DD93" s="20">
        <f t="shared" si="383"/>
        <v>0.19875096353207694</v>
      </c>
      <c r="DE93" s="20">
        <f t="shared" si="383"/>
        <v>0.19710713282552836</v>
      </c>
      <c r="DF93" s="20">
        <f t="shared" si="383"/>
        <v>0.18537881655567245</v>
      </c>
      <c r="DG93" s="20">
        <f t="shared" si="383"/>
        <v>0.19174216564096638</v>
      </c>
      <c r="DH93" s="20">
        <f t="shared" si="383"/>
        <v>0.19631375164345724</v>
      </c>
      <c r="DI93" s="20">
        <f t="shared" si="383"/>
        <v>0.18803819252132292</v>
      </c>
      <c r="DJ93" s="20">
        <f t="shared" si="383"/>
        <v>0.16709374443142649</v>
      </c>
      <c r="DK93" s="20">
        <f t="shared" si="383"/>
        <v>0.18299059434183099</v>
      </c>
      <c r="DL93" s="20">
        <f t="shared" si="383"/>
        <v>0.18333702671754193</v>
      </c>
      <c r="DM93" s="20">
        <f t="shared" si="383"/>
        <v>0.18267453629898633</v>
      </c>
      <c r="DN93" s="20">
        <f t="shared" si="383"/>
        <v>0.18186997095365848</v>
      </c>
      <c r="DO93" s="20">
        <f t="shared" si="383"/>
        <v>0.18133321030383717</v>
      </c>
      <c r="DP93" s="20">
        <f t="shared" si="383"/>
        <v>0.18162430828544429</v>
      </c>
      <c r="DQ93" s="20">
        <f t="shared" si="383"/>
        <v>0.18095437634531128</v>
      </c>
      <c r="DR93" s="20">
        <f t="shared" si="383"/>
        <v>0.18011344936823609</v>
      </c>
      <c r="DS93" s="20">
        <f t="shared" ref="DS93:DV93" si="384">DS92/DS50</f>
        <v>0.17843542545809252</v>
      </c>
      <c r="DT93" s="20">
        <f t="shared" si="384"/>
        <v>0.17870422213034881</v>
      </c>
      <c r="DU93" s="20">
        <f t="shared" si="384"/>
        <v>0.1780527288495265</v>
      </c>
      <c r="DV93" s="20">
        <f t="shared" si="384"/>
        <v>0.17724605757821668</v>
      </c>
      <c r="DW93" s="771"/>
      <c r="DX93" s="20">
        <f t="shared" ref="DX93:EC93" si="385">DX92/DX50</f>
        <v>0.16074002543725049</v>
      </c>
      <c r="DY93" s="20">
        <f t="shared" si="385"/>
        <v>0.1939257797314427</v>
      </c>
      <c r="DZ93" s="20">
        <f t="shared" si="385"/>
        <v>0.18416252226857269</v>
      </c>
      <c r="EA93" s="20">
        <f t="shared" si="385"/>
        <v>0.18266575261998708</v>
      </c>
      <c r="EB93" s="20">
        <f t="shared" si="385"/>
        <v>0.18095532059428526</v>
      </c>
      <c r="EC93" s="20">
        <f t="shared" si="385"/>
        <v>0.17806055628788628</v>
      </c>
    </row>
    <row r="94" spans="2:133" x14ac:dyDescent="0.2">
      <c r="B94" s="155" t="s">
        <v>139</v>
      </c>
      <c r="C94" s="20">
        <f>IFERROR((C51-C63)/C51,0)</f>
        <v>0.16262745602388695</v>
      </c>
      <c r="D94" s="20">
        <f t="shared" ref="D94:BO96" si="386">IFERROR((D51-D63)/D51,0)</f>
        <v>0.17067282272417497</v>
      </c>
      <c r="E94" s="20">
        <f t="shared" si="386"/>
        <v>0.20015614568596019</v>
      </c>
      <c r="F94" s="20">
        <f t="shared" si="386"/>
        <v>0.2017615720980023</v>
      </c>
      <c r="G94" s="20">
        <f t="shared" si="386"/>
        <v>0.14600217218078893</v>
      </c>
      <c r="H94" s="20">
        <f t="shared" si="386"/>
        <v>0.21380168640450664</v>
      </c>
      <c r="I94" s="20">
        <f t="shared" si="386"/>
        <v>0.24915480247354715</v>
      </c>
      <c r="J94" s="20">
        <f t="shared" si="386"/>
        <v>0.22793099775640471</v>
      </c>
      <c r="K94" s="20">
        <f t="shared" si="386"/>
        <v>0.19698529252228728</v>
      </c>
      <c r="L94" s="20">
        <f t="shared" si="386"/>
        <v>0.18595060973896274</v>
      </c>
      <c r="M94" s="20">
        <f t="shared" si="386"/>
        <v>0.22491237576639128</v>
      </c>
      <c r="N94" s="20">
        <f t="shared" si="386"/>
        <v>0.21054784763678427</v>
      </c>
      <c r="O94" s="20">
        <f t="shared" si="386"/>
        <v>0.18830342931249694</v>
      </c>
      <c r="P94" s="20">
        <f t="shared" si="386"/>
        <v>0.20208874428285051</v>
      </c>
      <c r="Q94" s="20">
        <f t="shared" si="386"/>
        <v>0.19280621936491277</v>
      </c>
      <c r="R94" s="20">
        <f t="shared" si="386"/>
        <v>0.19864794574916073</v>
      </c>
      <c r="S94" s="20">
        <f t="shared" si="386"/>
        <v>0.17618116545876866</v>
      </c>
      <c r="T94" s="20">
        <f t="shared" si="386"/>
        <v>0.16093134278506138</v>
      </c>
      <c r="U94" s="20">
        <f t="shared" si="386"/>
        <v>0.17223755504403221</v>
      </c>
      <c r="V94" s="20">
        <f t="shared" si="386"/>
        <v>0.15785303319927926</v>
      </c>
      <c r="W94" s="20">
        <f t="shared" si="386"/>
        <v>0.12845439715827664</v>
      </c>
      <c r="X94" s="20">
        <f t="shared" si="386"/>
        <v>0.13881633751553474</v>
      </c>
      <c r="Y94" s="20">
        <f t="shared" si="386"/>
        <v>0.14352728976337398</v>
      </c>
      <c r="Z94" s="20">
        <f t="shared" si="386"/>
        <v>0.14855338505182289</v>
      </c>
      <c r="AA94" s="20">
        <f t="shared" si="386"/>
        <v>0.1575647799012726</v>
      </c>
      <c r="AB94" s="20">
        <f t="shared" si="386"/>
        <v>0.16576211386912468</v>
      </c>
      <c r="AC94" s="20">
        <f t="shared" si="386"/>
        <v>0.15464574452751262</v>
      </c>
      <c r="AD94" s="20">
        <f t="shared" si="386"/>
        <v>0.12879594684721093</v>
      </c>
      <c r="AE94" s="20">
        <f t="shared" si="386"/>
        <v>0.14102936081808976</v>
      </c>
      <c r="AF94" s="20">
        <f t="shared" si="386"/>
        <v>0.15426286273194201</v>
      </c>
      <c r="AG94" s="20">
        <f t="shared" si="386"/>
        <v>0.15331970191129038</v>
      </c>
      <c r="AH94" s="20">
        <f t="shared" si="386"/>
        <v>0.1568151541740708</v>
      </c>
      <c r="AI94" s="20">
        <f t="shared" si="386"/>
        <v>0.12798615312967379</v>
      </c>
      <c r="AJ94" s="20">
        <f t="shared" si="386"/>
        <v>0.13068736027078628</v>
      </c>
      <c r="AK94" s="20">
        <f t="shared" si="386"/>
        <v>0.14699705129914065</v>
      </c>
      <c r="AL94" s="20">
        <f t="shared" si="386"/>
        <v>0.15707002472815981</v>
      </c>
      <c r="AM94" s="20">
        <f t="shared" si="386"/>
        <v>0.16990612714828918</v>
      </c>
      <c r="AN94" s="20">
        <f t="shared" si="386"/>
        <v>0.20965222426639385</v>
      </c>
      <c r="AO94" s="20">
        <f t="shared" si="386"/>
        <v>0.20014968726551774</v>
      </c>
      <c r="AP94" s="20">
        <f t="shared" si="386"/>
        <v>0.18446408556090757</v>
      </c>
      <c r="AQ94" s="20">
        <f t="shared" si="386"/>
        <v>0.19382133757778286</v>
      </c>
      <c r="AR94" s="20">
        <f t="shared" si="386"/>
        <v>0.19938719314172179</v>
      </c>
      <c r="AS94" s="20">
        <f t="shared" si="386"/>
        <v>0.19514658969561258</v>
      </c>
      <c r="AT94" s="20">
        <f t="shared" si="386"/>
        <v>0.19452015755305274</v>
      </c>
      <c r="AU94" s="20">
        <f t="shared" si="386"/>
        <v>0.18487336128408244</v>
      </c>
      <c r="AV94" s="20">
        <f t="shared" si="386"/>
        <v>0.19322216076134952</v>
      </c>
      <c r="AW94" s="20">
        <f t="shared" si="386"/>
        <v>0.19775664503959589</v>
      </c>
      <c r="AX94" s="20">
        <f t="shared" si="386"/>
        <v>0.18816175709751337</v>
      </c>
      <c r="AY94" s="20">
        <f t="shared" si="386"/>
        <v>0.18144462024502719</v>
      </c>
      <c r="AZ94" s="20">
        <f t="shared" si="386"/>
        <v>0.17638523392222497</v>
      </c>
      <c r="BA94" s="20">
        <f t="shared" si="386"/>
        <v>0.18348671905819366</v>
      </c>
      <c r="BB94" s="20">
        <f t="shared" si="386"/>
        <v>0.18333144774441149</v>
      </c>
      <c r="BC94" s="20">
        <f t="shared" si="386"/>
        <v>0.18232424026333846</v>
      </c>
      <c r="BD94" s="20">
        <f t="shared" si="386"/>
        <v>0.19450101255541419</v>
      </c>
      <c r="BE94" s="20">
        <f t="shared" si="386"/>
        <v>0.19024408737335985</v>
      </c>
      <c r="BF94" s="20">
        <f t="shared" si="386"/>
        <v>0.2054322760466229</v>
      </c>
      <c r="BG94" s="20">
        <f t="shared" si="386"/>
        <v>0.18241313551942318</v>
      </c>
      <c r="BH94" s="20">
        <f t="shared" si="386"/>
        <v>0.1944388950908473</v>
      </c>
      <c r="BI94" s="20">
        <f t="shared" si="386"/>
        <v>0.1895117827906701</v>
      </c>
      <c r="BJ94" s="20">
        <f t="shared" si="386"/>
        <v>0.17155383783019382</v>
      </c>
      <c r="BK94" s="20">
        <f t="shared" si="386"/>
        <v>0.17028796422561854</v>
      </c>
      <c r="BL94" s="20">
        <f t="shared" si="386"/>
        <v>0.16351608299578943</v>
      </c>
      <c r="BM94" s="20">
        <f t="shared" si="386"/>
        <v>0.15180306219624265</v>
      </c>
      <c r="BN94" s="20">
        <f t="shared" si="386"/>
        <v>0.18002968377970885</v>
      </c>
      <c r="BO94" s="20">
        <f t="shared" si="386"/>
        <v>0.1798417371592913</v>
      </c>
      <c r="BP94" s="20">
        <f t="shared" ref="BP94:CK96" si="387">IFERROR((BP51-BP63)/BP51,0)</f>
        <v>0.17981286890571621</v>
      </c>
      <c r="BQ94" s="20">
        <f t="shared" si="387"/>
        <v>0.18021879296916699</v>
      </c>
      <c r="BR94" s="20">
        <f t="shared" si="387"/>
        <v>0.17977924205284612</v>
      </c>
      <c r="BS94" s="20">
        <f t="shared" si="387"/>
        <v>0.17886362692756969</v>
      </c>
      <c r="BT94" s="20">
        <f t="shared" si="387"/>
        <v>0.1803641424957175</v>
      </c>
      <c r="BU94" s="20">
        <f t="shared" si="387"/>
        <v>0.17983090506658547</v>
      </c>
      <c r="BV94" s="20">
        <f t="shared" si="387"/>
        <v>0.1799285387823677</v>
      </c>
      <c r="BW94" s="20">
        <f t="shared" si="387"/>
        <v>0.17971268445711441</v>
      </c>
      <c r="BX94" s="20">
        <f t="shared" si="387"/>
        <v>0.17997900279539591</v>
      </c>
      <c r="BY94" s="20">
        <f t="shared" si="387"/>
        <v>0.18050405701277064</v>
      </c>
      <c r="BZ94" s="20">
        <f t="shared" si="387"/>
        <v>0.17907144904586786</v>
      </c>
      <c r="CA94" s="20">
        <f t="shared" si="387"/>
        <v>0.1788922766473855</v>
      </c>
      <c r="CB94" s="20">
        <f t="shared" si="387"/>
        <v>0.17883927594023777</v>
      </c>
      <c r="CC94" s="20">
        <f t="shared" si="387"/>
        <v>0.17924868155927212</v>
      </c>
      <c r="CD94" s="20">
        <f t="shared" si="387"/>
        <v>0.17879969406388452</v>
      </c>
      <c r="CE94" s="20">
        <f t="shared" si="387"/>
        <v>0.17784670050328813</v>
      </c>
      <c r="CF94" s="20">
        <f t="shared" si="387"/>
        <v>0.17936392840379878</v>
      </c>
      <c r="CG94" s="20">
        <f t="shared" si="387"/>
        <v>0.17879712733839381</v>
      </c>
      <c r="CH94" s="20">
        <f t="shared" si="387"/>
        <v>0.17885808849579057</v>
      </c>
      <c r="CI94" s="20">
        <f t="shared" si="387"/>
        <v>0.17861003085468843</v>
      </c>
      <c r="CJ94" s="20">
        <f t="shared" si="387"/>
        <v>0.1788761151869761</v>
      </c>
      <c r="CK94" s="20">
        <f t="shared" si="387"/>
        <v>0.17935299682426226</v>
      </c>
      <c r="CL94" s="20">
        <f t="shared" ref="CL94:CW94" si="388">IFERROR((CL51-CL63)/CL51,0)</f>
        <v>0.17654861242711645</v>
      </c>
      <c r="CM94" s="20">
        <f t="shared" si="388"/>
        <v>0.17637306199117747</v>
      </c>
      <c r="CN94" s="20">
        <f t="shared" si="388"/>
        <v>0.17631975080367465</v>
      </c>
      <c r="CO94" s="20">
        <f t="shared" si="388"/>
        <v>0.17670882772339527</v>
      </c>
      <c r="CP94" s="20">
        <f t="shared" si="388"/>
        <v>0.17627611398534512</v>
      </c>
      <c r="CQ94" s="20">
        <f t="shared" si="388"/>
        <v>0.17535972798233476</v>
      </c>
      <c r="CR94" s="20">
        <f t="shared" si="388"/>
        <v>0.1768093667790927</v>
      </c>
      <c r="CS94" s="20">
        <f t="shared" si="388"/>
        <v>0.17626422038437387</v>
      </c>
      <c r="CT94" s="20">
        <f t="shared" si="388"/>
        <v>0.17631859466281957</v>
      </c>
      <c r="CU94" s="20">
        <f t="shared" si="388"/>
        <v>0.17607921157191758</v>
      </c>
      <c r="CV94" s="20">
        <f t="shared" si="388"/>
        <v>0.17633330165828989</v>
      </c>
      <c r="CW94" s="20">
        <f t="shared" si="388"/>
        <v>0.17678787539987417</v>
      </c>
      <c r="CY94" s="20">
        <f t="shared" ref="CY94:DR94" si="389">IFERROR((CY51-CY63)/CY51,0)</f>
        <v>0.14170885077152459</v>
      </c>
      <c r="CZ94" s="20">
        <f t="shared" si="389"/>
        <v>0.14585316397565334</v>
      </c>
      <c r="DA94" s="20">
        <f t="shared" si="389"/>
        <v>0.14359719621531952</v>
      </c>
      <c r="DB94" s="20">
        <f t="shared" si="389"/>
        <v>0.19241966134566002</v>
      </c>
      <c r="DC94" s="20">
        <f t="shared" si="389"/>
        <v>0.19277286935776894</v>
      </c>
      <c r="DD94" s="20">
        <f t="shared" si="389"/>
        <v>0.19179064232612184</v>
      </c>
      <c r="DE94" s="20">
        <f t="shared" si="389"/>
        <v>0.19276297267985953</v>
      </c>
      <c r="DF94" s="20">
        <f t="shared" si="389"/>
        <v>0.1807152254771793</v>
      </c>
      <c r="DG94" s="20">
        <f t="shared" si="389"/>
        <v>0.18672642568750195</v>
      </c>
      <c r="DH94" s="20">
        <f t="shared" si="389"/>
        <v>0.19228876466478209</v>
      </c>
      <c r="DI94" s="20">
        <f t="shared" si="389"/>
        <v>0.18443274581134941</v>
      </c>
      <c r="DJ94" s="20">
        <f t="shared" si="389"/>
        <v>0.16158939818044857</v>
      </c>
      <c r="DK94" s="20">
        <f t="shared" si="389"/>
        <v>0.17989529112304459</v>
      </c>
      <c r="DL94" s="20">
        <f t="shared" si="389"/>
        <v>0.1796433721185052</v>
      </c>
      <c r="DM94" s="20">
        <f t="shared" si="389"/>
        <v>0.18003937363613615</v>
      </c>
      <c r="DN94" s="20">
        <f t="shared" si="389"/>
        <v>0.1800713714857303</v>
      </c>
      <c r="DO94" s="20">
        <f t="shared" si="389"/>
        <v>0.17893491794717259</v>
      </c>
      <c r="DP94" s="20">
        <f t="shared" si="389"/>
        <v>0.17865615484493297</v>
      </c>
      <c r="DQ94" s="20">
        <f t="shared" si="389"/>
        <v>0.17900336721022769</v>
      </c>
      <c r="DR94" s="20">
        <f t="shared" si="389"/>
        <v>0.17895042156657154</v>
      </c>
      <c r="DS94" s="20">
        <f t="shared" ref="DS94:DV94" si="390">IFERROR((DS51-DS63)/DS51,0)</f>
        <v>0.17641440527885782</v>
      </c>
      <c r="DT94" s="20">
        <f t="shared" si="390"/>
        <v>0.17613817039546795</v>
      </c>
      <c r="DU94" s="20">
        <f t="shared" si="390"/>
        <v>0.17646093486086672</v>
      </c>
      <c r="DV94" s="20">
        <f t="shared" si="390"/>
        <v>0.17640374711254672</v>
      </c>
      <c r="DW94" s="771"/>
      <c r="DX94" s="20">
        <f t="shared" ref="DX94:EC94" si="391">IFERROR((DX51-DX63)/DX51,0)</f>
        <v>0.15493960137476467</v>
      </c>
      <c r="DY94" s="20">
        <f t="shared" si="391"/>
        <v>0.18882484169091038</v>
      </c>
      <c r="DZ94" s="20">
        <f t="shared" si="391"/>
        <v>0.17958755408162641</v>
      </c>
      <c r="EA94" s="20">
        <f t="shared" si="391"/>
        <v>0.1799261310585849</v>
      </c>
      <c r="EB94" s="20">
        <f t="shared" si="391"/>
        <v>0.17889350367601911</v>
      </c>
      <c r="EC94" s="20">
        <f t="shared" si="391"/>
        <v>0.1763604273407314</v>
      </c>
    </row>
    <row r="95" spans="2:133" x14ac:dyDescent="0.2">
      <c r="B95" s="155" t="s">
        <v>191</v>
      </c>
      <c r="C95" s="20">
        <f>IFERROR((C52-C64)/C52,0)</f>
        <v>0.29656850086969705</v>
      </c>
      <c r="D95" s="20">
        <f t="shared" si="386"/>
        <v>0.23601412057066426</v>
      </c>
      <c r="E95" s="20">
        <f t="shared" si="386"/>
        <v>0.40823399244798031</v>
      </c>
      <c r="F95" s="20">
        <f t="shared" si="386"/>
        <v>0.36199999999999993</v>
      </c>
      <c r="G95" s="20">
        <f t="shared" si="386"/>
        <v>0</v>
      </c>
      <c r="H95" s="20">
        <f t="shared" si="386"/>
        <v>0.39540000000000003</v>
      </c>
      <c r="I95" s="20">
        <f t="shared" si="386"/>
        <v>0.37000000000000011</v>
      </c>
      <c r="J95" s="20">
        <f t="shared" si="386"/>
        <v>0.37000000000000005</v>
      </c>
      <c r="K95" s="20">
        <f t="shared" si="386"/>
        <v>0.3017543638948576</v>
      </c>
      <c r="L95" s="20">
        <f t="shared" si="386"/>
        <v>0.31900444367600667</v>
      </c>
      <c r="M95" s="20">
        <f t="shared" si="386"/>
        <v>0.31159538840940715</v>
      </c>
      <c r="N95" s="20">
        <f t="shared" si="386"/>
        <v>0.31866869391078706</v>
      </c>
      <c r="O95" s="20">
        <f t="shared" si="386"/>
        <v>0.24037423245141257</v>
      </c>
      <c r="P95" s="20">
        <f t="shared" si="386"/>
        <v>0.23044951938946048</v>
      </c>
      <c r="Q95" s="20">
        <f t="shared" si="386"/>
        <v>0.23034876650093361</v>
      </c>
      <c r="R95" s="20">
        <f t="shared" si="386"/>
        <v>0.23091305397784348</v>
      </c>
      <c r="S95" s="20">
        <f t="shared" si="386"/>
        <v>0.23057214996038541</v>
      </c>
      <c r="T95" s="20">
        <f t="shared" si="386"/>
        <v>0.29970748848901524</v>
      </c>
      <c r="U95" s="20">
        <f t="shared" si="386"/>
        <v>0.25</v>
      </c>
      <c r="V95" s="20">
        <f t="shared" si="386"/>
        <v>0.17878738349475573</v>
      </c>
      <c r="W95" s="20">
        <f t="shared" si="386"/>
        <v>0.18039248780531045</v>
      </c>
      <c r="X95" s="20">
        <f t="shared" si="386"/>
        <v>0.17599751974332531</v>
      </c>
      <c r="Y95" s="20">
        <f t="shared" si="386"/>
        <v>0.19421924626914774</v>
      </c>
      <c r="Z95" s="20">
        <f t="shared" si="386"/>
        <v>0.26062204428976243</v>
      </c>
      <c r="AA95" s="20">
        <f t="shared" si="386"/>
        <v>0.28802772929234749</v>
      </c>
      <c r="AB95" s="20">
        <f t="shared" si="386"/>
        <v>0.27331786335897951</v>
      </c>
      <c r="AC95" s="20">
        <f t="shared" si="386"/>
        <v>0.27395478643585786</v>
      </c>
      <c r="AD95" s="20">
        <f t="shared" si="386"/>
        <v>0.30523150082211653</v>
      </c>
      <c r="AE95" s="20">
        <f t="shared" si="386"/>
        <v>0.3053774562609653</v>
      </c>
      <c r="AF95" s="20">
        <f t="shared" si="386"/>
        <v>0.23966518281372509</v>
      </c>
      <c r="AG95" s="20">
        <f t="shared" si="386"/>
        <v>0.30311827843491551</v>
      </c>
      <c r="AH95" s="20">
        <f t="shared" si="386"/>
        <v>0.29028418312547805</v>
      </c>
      <c r="AI95" s="20">
        <f t="shared" si="386"/>
        <v>0.28481065864354627</v>
      </c>
      <c r="AJ95" s="20">
        <f t="shared" si="386"/>
        <v>0.28276224912546932</v>
      </c>
      <c r="AK95" s="20">
        <f t="shared" si="386"/>
        <v>0.3103378171740464</v>
      </c>
      <c r="AL95" s="20">
        <f t="shared" si="386"/>
        <v>0.30369915855767665</v>
      </c>
      <c r="AM95" s="20">
        <f t="shared" si="386"/>
        <v>0.23121247159255542</v>
      </c>
      <c r="AN95" s="20">
        <f t="shared" si="386"/>
        <v>0.28727154787050191</v>
      </c>
      <c r="AO95" s="20">
        <f t="shared" si="386"/>
        <v>0.30341733812301802</v>
      </c>
      <c r="AP95" s="20">
        <f t="shared" si="386"/>
        <v>0.25223421227115717</v>
      </c>
      <c r="AQ95" s="20">
        <f t="shared" si="386"/>
        <v>0.32393144556643966</v>
      </c>
      <c r="AR95" s="20">
        <f t="shared" si="386"/>
        <v>0.34432528828723996</v>
      </c>
      <c r="AS95" s="20">
        <f t="shared" si="386"/>
        <v>0.32968129614441005</v>
      </c>
      <c r="AT95" s="20">
        <f t="shared" si="386"/>
        <v>0.32475527668529774</v>
      </c>
      <c r="AU95" s="20">
        <f t="shared" si="386"/>
        <v>0.31634914628196387</v>
      </c>
      <c r="AV95" s="20">
        <f t="shared" si="386"/>
        <v>0.32422539723613775</v>
      </c>
      <c r="AW95" s="20">
        <f t="shared" si="386"/>
        <v>0.29433557656033577</v>
      </c>
      <c r="AX95" s="20">
        <f t="shared" si="386"/>
        <v>0.26947300569643856</v>
      </c>
      <c r="AY95" s="20">
        <f t="shared" si="386"/>
        <v>0.29875013507403642</v>
      </c>
      <c r="AZ95" s="20">
        <f t="shared" si="386"/>
        <v>0.31315274262072912</v>
      </c>
      <c r="BA95" s="20">
        <f t="shared" si="386"/>
        <v>0.30061603329741471</v>
      </c>
      <c r="BB95" s="20">
        <f t="shared" si="386"/>
        <v>0.30958123030628992</v>
      </c>
      <c r="BC95" s="20">
        <f t="shared" si="386"/>
        <v>0.3230391697851786</v>
      </c>
      <c r="BD95" s="20">
        <f t="shared" si="386"/>
        <v>0.32432354468247793</v>
      </c>
      <c r="BE95" s="20">
        <f t="shared" si="386"/>
        <v>0.30789671019475662</v>
      </c>
      <c r="BF95" s="20">
        <f t="shared" si="386"/>
        <v>0.27226731524278508</v>
      </c>
      <c r="BG95" s="20">
        <f t="shared" si="386"/>
        <v>0.2746925987421453</v>
      </c>
      <c r="BH95" s="20">
        <f t="shared" si="386"/>
        <v>0.2645122474767807</v>
      </c>
      <c r="BI95" s="20">
        <f t="shared" si="386"/>
        <v>0.26842588435395254</v>
      </c>
      <c r="BJ95" s="20">
        <f t="shared" si="386"/>
        <v>0.28903503008313602</v>
      </c>
      <c r="BK95" s="20">
        <f t="shared" si="386"/>
        <v>0.26875115660640037</v>
      </c>
      <c r="BL95" s="20">
        <f t="shared" si="386"/>
        <v>0.27939135630389628</v>
      </c>
      <c r="BM95" s="20">
        <f t="shared" si="386"/>
        <v>0.30074402107664411</v>
      </c>
      <c r="BN95" s="20">
        <f t="shared" si="386"/>
        <v>0.23174440814177952</v>
      </c>
      <c r="BO95" s="20">
        <f t="shared" si="386"/>
        <v>0.23922705170017983</v>
      </c>
      <c r="BP95" s="20">
        <f t="shared" si="387"/>
        <v>0.24281526230311593</v>
      </c>
      <c r="BQ95" s="20">
        <f t="shared" si="387"/>
        <v>0.22437758823484272</v>
      </c>
      <c r="BR95" s="20">
        <f t="shared" si="387"/>
        <v>0.25538589507019488</v>
      </c>
      <c r="BS95" s="20">
        <f t="shared" si="387"/>
        <v>0.27450858615434132</v>
      </c>
      <c r="BT95" s="20">
        <f t="shared" si="387"/>
        <v>0.22478010050081848</v>
      </c>
      <c r="BU95" s="20">
        <f t="shared" si="387"/>
        <v>0.24862598485517062</v>
      </c>
      <c r="BV95" s="20">
        <f t="shared" si="387"/>
        <v>0.20415991596036248</v>
      </c>
      <c r="BW95" s="20">
        <f t="shared" si="387"/>
        <v>0.1990612938538914</v>
      </c>
      <c r="BX95" s="20">
        <f t="shared" si="387"/>
        <v>0.22362480707129753</v>
      </c>
      <c r="BY95" s="20">
        <f t="shared" si="387"/>
        <v>0.18213398186301458</v>
      </c>
      <c r="BZ95" s="20">
        <f t="shared" si="387"/>
        <v>0.21097869056851823</v>
      </c>
      <c r="CA95" s="20">
        <f t="shared" si="387"/>
        <v>0.21941649238972377</v>
      </c>
      <c r="CB95" s="20">
        <f t="shared" si="387"/>
        <v>0.22345813474373347</v>
      </c>
      <c r="CC95" s="20">
        <f t="shared" si="387"/>
        <v>0.2026587981410421</v>
      </c>
      <c r="CD95" s="20">
        <f t="shared" si="387"/>
        <v>0.23759380326618632</v>
      </c>
      <c r="CE95" s="20">
        <f t="shared" si="387"/>
        <v>0.25902745816541511</v>
      </c>
      <c r="CF95" s="20">
        <f t="shared" si="387"/>
        <v>0.20311371079660764</v>
      </c>
      <c r="CG95" s="20">
        <f t="shared" si="387"/>
        <v>0.22999682437004726</v>
      </c>
      <c r="CH95" s="20">
        <f t="shared" si="387"/>
        <v>0.17976051624479489</v>
      </c>
      <c r="CI95" s="20">
        <f t="shared" si="387"/>
        <v>0.17397079160895357</v>
      </c>
      <c r="CJ95" s="20">
        <f t="shared" si="387"/>
        <v>0.2018079162208441</v>
      </c>
      <c r="CK95" s="20">
        <f t="shared" si="387"/>
        <v>0.15470525930143636</v>
      </c>
      <c r="CL95" s="20">
        <f t="shared" ref="CL95:CW95" si="392">IFERROR((CL52-CL64)/CL52,0)</f>
        <v>0.19720555615206645</v>
      </c>
      <c r="CM95" s="20">
        <f t="shared" si="392"/>
        <v>0.206293679726095</v>
      </c>
      <c r="CN95" s="20">
        <f t="shared" si="392"/>
        <v>0.21064353929539878</v>
      </c>
      <c r="CO95" s="20">
        <f t="shared" si="392"/>
        <v>0.18823534605034473</v>
      </c>
      <c r="CP95" s="20">
        <f t="shared" si="392"/>
        <v>0.22584050686074186</v>
      </c>
      <c r="CQ95" s="20">
        <f t="shared" si="392"/>
        <v>0.24883398062190956</v>
      </c>
      <c r="CR95" s="20">
        <f t="shared" si="392"/>
        <v>0.18872604991824171</v>
      </c>
      <c r="CS95" s="20">
        <f t="shared" si="392"/>
        <v>0.21767637552756067</v>
      </c>
      <c r="CT95" s="20">
        <f t="shared" si="392"/>
        <v>0.16350055392906676</v>
      </c>
      <c r="CU95" s="20">
        <f t="shared" si="392"/>
        <v>0.15723560457961455</v>
      </c>
      <c r="CV95" s="20">
        <f t="shared" si="392"/>
        <v>0.18731744670179609</v>
      </c>
      <c r="CW95" s="20">
        <f t="shared" si="392"/>
        <v>0.13635705701367784</v>
      </c>
      <c r="CY95" s="20">
        <f t="shared" ref="CY95:DR95" si="393">IFERROR((CY52-CY64)/CY52,0)</f>
        <v>0.28234661816715456</v>
      </c>
      <c r="CZ95" s="20">
        <f t="shared" si="393"/>
        <v>0.29306868745799552</v>
      </c>
      <c r="DA95" s="20">
        <f t="shared" si="393"/>
        <v>0.29791784068484128</v>
      </c>
      <c r="DB95" s="20">
        <f t="shared" si="393"/>
        <v>0.27561345736171383</v>
      </c>
      <c r="DC95" s="20">
        <f t="shared" si="393"/>
        <v>0.3090483924562567</v>
      </c>
      <c r="DD95" s="20">
        <f t="shared" si="393"/>
        <v>0.32373739648268107</v>
      </c>
      <c r="DE95" s="20">
        <f t="shared" si="393"/>
        <v>0.29555974629617959</v>
      </c>
      <c r="DF95" s="20">
        <f t="shared" si="393"/>
        <v>0.30361301417882852</v>
      </c>
      <c r="DG95" s="20">
        <f t="shared" si="393"/>
        <v>0.31908810976865587</v>
      </c>
      <c r="DH95" s="20">
        <f t="shared" si="393"/>
        <v>0.28463673908257936</v>
      </c>
      <c r="DI95" s="20">
        <f t="shared" si="393"/>
        <v>0.2750838909350381</v>
      </c>
      <c r="DJ95" s="20">
        <f t="shared" si="393"/>
        <v>0.28623191841249818</v>
      </c>
      <c r="DK95" s="20">
        <f t="shared" si="393"/>
        <v>0.23798703061210541</v>
      </c>
      <c r="DL95" s="20">
        <f t="shared" si="393"/>
        <v>0.25207481633092071</v>
      </c>
      <c r="DM95" s="20">
        <f t="shared" si="393"/>
        <v>0.22612299937264685</v>
      </c>
      <c r="DN95" s="20">
        <f t="shared" si="393"/>
        <v>0.20179340745094038</v>
      </c>
      <c r="DO95" s="20">
        <f t="shared" si="393"/>
        <v>0.21801583737852737</v>
      </c>
      <c r="DP95" s="20">
        <f t="shared" si="393"/>
        <v>0.23384426708266631</v>
      </c>
      <c r="DQ95" s="20">
        <f t="shared" si="393"/>
        <v>0.20466363352333056</v>
      </c>
      <c r="DR95" s="20">
        <f t="shared" si="393"/>
        <v>0.1771550377870553</v>
      </c>
      <c r="DS95" s="20">
        <f t="shared" ref="DS95:DV95" si="394">IFERROR((DS52-DS64)/DS52,0)</f>
        <v>0.20478232043561054</v>
      </c>
      <c r="DT95" s="20">
        <f t="shared" si="394"/>
        <v>0.22179240549517507</v>
      </c>
      <c r="DU95" s="20">
        <f t="shared" si="394"/>
        <v>0.19039976825625093</v>
      </c>
      <c r="DV95" s="20">
        <f t="shared" si="394"/>
        <v>0.16068323890227387</v>
      </c>
      <c r="DW95" s="771"/>
      <c r="DX95" s="20">
        <f t="shared" ref="DX95:EC95" si="395">IFERROR((DX52-DX64)/DX52,0)</f>
        <v>0.28744461593510789</v>
      </c>
      <c r="DY95" s="20">
        <f t="shared" si="395"/>
        <v>0.3080482494731468</v>
      </c>
      <c r="DZ95" s="20">
        <f t="shared" si="395"/>
        <v>0.28971409151579519</v>
      </c>
      <c r="EA95" s="20">
        <f t="shared" si="395"/>
        <v>0.22929270371498195</v>
      </c>
      <c r="EB95" s="20">
        <f t="shared" si="395"/>
        <v>0.20845888859904579</v>
      </c>
      <c r="EC95" s="20">
        <f t="shared" si="395"/>
        <v>0.1945156760017995</v>
      </c>
    </row>
    <row r="96" spans="2:133" x14ac:dyDescent="0.2">
      <c r="B96" s="155" t="s">
        <v>140</v>
      </c>
      <c r="C96" s="20">
        <f>IFERROR((C53-C65)/C53,0)</f>
        <v>0.34606834993189201</v>
      </c>
      <c r="D96" s="20">
        <f t="shared" si="386"/>
        <v>0.34032395348205968</v>
      </c>
      <c r="E96" s="20">
        <f t="shared" si="386"/>
        <v>0.34941019818729224</v>
      </c>
      <c r="F96" s="20">
        <f t="shared" si="386"/>
        <v>0.35316864170048312</v>
      </c>
      <c r="G96" s="20">
        <f t="shared" si="386"/>
        <v>0.37573405504774554</v>
      </c>
      <c r="H96" s="20">
        <f t="shared" si="386"/>
        <v>0.32680236628998921</v>
      </c>
      <c r="I96" s="20">
        <f t="shared" si="386"/>
        <v>0.35835865732058464</v>
      </c>
      <c r="J96" s="20">
        <f t="shared" si="386"/>
        <v>0.26403677357958527</v>
      </c>
      <c r="K96" s="20">
        <f t="shared" si="386"/>
        <v>0.33717547242722129</v>
      </c>
      <c r="L96" s="20">
        <f t="shared" si="386"/>
        <v>0.28945369191892617</v>
      </c>
      <c r="M96" s="20">
        <f t="shared" si="386"/>
        <v>0.23613473325116668</v>
      </c>
      <c r="N96" s="20">
        <f t="shared" si="386"/>
        <v>0.25175527706859835</v>
      </c>
      <c r="O96" s="20">
        <f t="shared" si="386"/>
        <v>0.24626639813696904</v>
      </c>
      <c r="P96" s="20">
        <f t="shared" si="386"/>
        <v>0.21133093722619936</v>
      </c>
      <c r="Q96" s="20">
        <f t="shared" si="386"/>
        <v>0.15613024594276154</v>
      </c>
      <c r="R96" s="20">
        <f t="shared" si="386"/>
        <v>0.24454930279345624</v>
      </c>
      <c r="S96" s="20">
        <f t="shared" si="386"/>
        <v>0.24371730992514171</v>
      </c>
      <c r="T96" s="20">
        <f t="shared" si="386"/>
        <v>0.25122562018020267</v>
      </c>
      <c r="U96" s="20">
        <f t="shared" si="386"/>
        <v>0.23833854431376128</v>
      </c>
      <c r="V96" s="20">
        <f t="shared" si="386"/>
        <v>0.23386101873297052</v>
      </c>
      <c r="W96" s="20">
        <f t="shared" si="386"/>
        <v>0.26840543623398067</v>
      </c>
      <c r="X96" s="20">
        <f t="shared" si="386"/>
        <v>0.26660159650433179</v>
      </c>
      <c r="Y96" s="20">
        <f t="shared" si="386"/>
        <v>0.41802885734960454</v>
      </c>
      <c r="Z96" s="20">
        <f t="shared" si="386"/>
        <v>0.21034404206185697</v>
      </c>
      <c r="AA96" s="20">
        <f t="shared" si="386"/>
        <v>0.23924093915605726</v>
      </c>
      <c r="AB96" s="20">
        <f t="shared" si="386"/>
        <v>0.29786524760298638</v>
      </c>
      <c r="AC96" s="20">
        <f t="shared" si="386"/>
        <v>0.28853553048192532</v>
      </c>
      <c r="AD96" s="20">
        <f t="shared" si="386"/>
        <v>0.30638877100598738</v>
      </c>
      <c r="AE96" s="20">
        <f t="shared" si="386"/>
        <v>0.32260138306011255</v>
      </c>
      <c r="AF96" s="20">
        <f t="shared" si="386"/>
        <v>0.33953384825785132</v>
      </c>
      <c r="AG96" s="20">
        <f t="shared" si="386"/>
        <v>0.31793010713552461</v>
      </c>
      <c r="AH96" s="20">
        <f t="shared" si="386"/>
        <v>0.2668271033447524</v>
      </c>
      <c r="AI96" s="20">
        <f t="shared" si="386"/>
        <v>0.275077990421003</v>
      </c>
      <c r="AJ96" s="20">
        <f t="shared" si="386"/>
        <v>0.23358279013694086</v>
      </c>
      <c r="AK96" s="20">
        <f t="shared" si="386"/>
        <v>0.15090292978395911</v>
      </c>
      <c r="AL96" s="20">
        <f t="shared" si="386"/>
        <v>0.28979509729940178</v>
      </c>
      <c r="AM96" s="20">
        <f t="shared" si="386"/>
        <v>0.30674623265617579</v>
      </c>
      <c r="AN96" s="20">
        <f t="shared" si="386"/>
        <v>0.33663674912158131</v>
      </c>
      <c r="AO96" s="20">
        <f t="shared" si="386"/>
        <v>0.25176730889664672</v>
      </c>
      <c r="AP96" s="20">
        <f t="shared" si="386"/>
        <v>0.24146860034634013</v>
      </c>
      <c r="AQ96" s="20">
        <f t="shared" si="386"/>
        <v>0.25440106794663297</v>
      </c>
      <c r="AR96" s="20">
        <f t="shared" si="386"/>
        <v>0.29192502294567613</v>
      </c>
      <c r="AS96" s="20">
        <f t="shared" si="386"/>
        <v>0.23585060831442781</v>
      </c>
      <c r="AT96" s="20">
        <f t="shared" si="386"/>
        <v>0.40315185701453249</v>
      </c>
      <c r="AU96" s="20">
        <f t="shared" si="386"/>
        <v>0.34266202303547866</v>
      </c>
      <c r="AV96" s="20">
        <f t="shared" si="386"/>
        <v>0.27624415212316006</v>
      </c>
      <c r="AW96" s="20">
        <f t="shared" si="386"/>
        <v>0.27140629032647096</v>
      </c>
      <c r="AX96" s="20">
        <f t="shared" si="386"/>
        <v>0.24234079136795528</v>
      </c>
      <c r="AY96" s="20">
        <f t="shared" si="386"/>
        <v>0.31992157326171722</v>
      </c>
      <c r="AZ96" s="20">
        <f t="shared" si="386"/>
        <v>0.25857405051376925</v>
      </c>
      <c r="BA96" s="20">
        <f t="shared" si="386"/>
        <v>0.26868006389247828</v>
      </c>
      <c r="BB96" s="20">
        <f t="shared" si="386"/>
        <v>0.28733570347265669</v>
      </c>
      <c r="BC96" s="20">
        <f t="shared" si="386"/>
        <v>0.29523098970438033</v>
      </c>
      <c r="BD96" s="20">
        <f t="shared" si="386"/>
        <v>0.31645343512593754</v>
      </c>
      <c r="BE96" s="20">
        <f t="shared" si="386"/>
        <v>0.30315329687071013</v>
      </c>
      <c r="BF96" s="20">
        <f t="shared" si="386"/>
        <v>0.26248373907876715</v>
      </c>
      <c r="BG96" s="20">
        <f t="shared" si="386"/>
        <v>0.26093780788590037</v>
      </c>
      <c r="BH96" s="20">
        <f t="shared" si="386"/>
        <v>0.27596739064715115</v>
      </c>
      <c r="BI96" s="20">
        <f t="shared" si="386"/>
        <v>0.24980759336096214</v>
      </c>
      <c r="BJ96" s="20">
        <f t="shared" si="386"/>
        <v>0.22069283046191146</v>
      </c>
      <c r="BK96" s="20">
        <f t="shared" si="386"/>
        <v>0.23348997434441848</v>
      </c>
      <c r="BL96" s="20">
        <f t="shared" si="386"/>
        <v>0.24432124331239002</v>
      </c>
      <c r="BM96" s="20">
        <f t="shared" si="386"/>
        <v>0.32608226048223315</v>
      </c>
      <c r="BN96" s="20">
        <f t="shared" si="386"/>
        <v>0.2754697610017387</v>
      </c>
      <c r="BO96" s="20">
        <f t="shared" si="386"/>
        <v>0.27546976100173864</v>
      </c>
      <c r="BP96" s="20">
        <f t="shared" si="387"/>
        <v>0.27546976100173864</v>
      </c>
      <c r="BQ96" s="20">
        <f t="shared" si="387"/>
        <v>0.27546976100173876</v>
      </c>
      <c r="BR96" s="20">
        <f t="shared" si="387"/>
        <v>0.2754697610017387</v>
      </c>
      <c r="BS96" s="20">
        <f t="shared" si="387"/>
        <v>0.2754697610017387</v>
      </c>
      <c r="BT96" s="20">
        <f t="shared" si="387"/>
        <v>0.27546976100173876</v>
      </c>
      <c r="BU96" s="20">
        <f t="shared" si="387"/>
        <v>0.27546976100173876</v>
      </c>
      <c r="BV96" s="20">
        <f t="shared" si="387"/>
        <v>0.2754697610017387</v>
      </c>
      <c r="BW96" s="20">
        <f t="shared" si="387"/>
        <v>0.2754697610017387</v>
      </c>
      <c r="BX96" s="20">
        <f t="shared" si="387"/>
        <v>0.2754697610017387</v>
      </c>
      <c r="BY96" s="20">
        <f t="shared" si="387"/>
        <v>0.2754697610017387</v>
      </c>
      <c r="BZ96" s="20">
        <f t="shared" si="387"/>
        <v>0.27546976100173876</v>
      </c>
      <c r="CA96" s="20">
        <f t="shared" si="387"/>
        <v>0.27546976100173876</v>
      </c>
      <c r="CB96" s="20">
        <f t="shared" si="387"/>
        <v>0.27546976100173864</v>
      </c>
      <c r="CC96" s="20">
        <f t="shared" si="387"/>
        <v>0.2754697610017387</v>
      </c>
      <c r="CD96" s="20">
        <f t="shared" si="387"/>
        <v>0.27546976100173876</v>
      </c>
      <c r="CE96" s="20">
        <f t="shared" si="387"/>
        <v>0.27546976100173876</v>
      </c>
      <c r="CF96" s="20">
        <f t="shared" si="387"/>
        <v>0.27546976100173864</v>
      </c>
      <c r="CG96" s="20">
        <f t="shared" si="387"/>
        <v>0.27546976100173864</v>
      </c>
      <c r="CH96" s="20">
        <f t="shared" si="387"/>
        <v>0.2754697610017387</v>
      </c>
      <c r="CI96" s="20">
        <f t="shared" si="387"/>
        <v>0.2754697610017387</v>
      </c>
      <c r="CJ96" s="20">
        <f t="shared" si="387"/>
        <v>0.2754697610017387</v>
      </c>
      <c r="CK96" s="20">
        <f t="shared" si="387"/>
        <v>0.2754697610017387</v>
      </c>
      <c r="CL96" s="20">
        <f t="shared" ref="CL96:CW96" si="396">IFERROR((CL53-CL65)/CL53,0)</f>
        <v>0.27546976100173864</v>
      </c>
      <c r="CM96" s="20">
        <f t="shared" si="396"/>
        <v>0.27546976100173864</v>
      </c>
      <c r="CN96" s="20">
        <f t="shared" si="396"/>
        <v>0.27546976100173864</v>
      </c>
      <c r="CO96" s="20">
        <f t="shared" si="396"/>
        <v>0.27546976100173876</v>
      </c>
      <c r="CP96" s="20">
        <f t="shared" si="396"/>
        <v>0.2754697610017387</v>
      </c>
      <c r="CQ96" s="20">
        <f t="shared" si="396"/>
        <v>0.2754697610017387</v>
      </c>
      <c r="CR96" s="20">
        <f t="shared" si="396"/>
        <v>0.2754697610017387</v>
      </c>
      <c r="CS96" s="20">
        <f t="shared" si="396"/>
        <v>0.27546976100173876</v>
      </c>
      <c r="CT96" s="20">
        <f t="shared" si="396"/>
        <v>0.27546976100173864</v>
      </c>
      <c r="CU96" s="20">
        <f t="shared" si="396"/>
        <v>0.2754697610017387</v>
      </c>
      <c r="CV96" s="20">
        <f t="shared" si="396"/>
        <v>0.2754697610017387</v>
      </c>
      <c r="CW96" s="20">
        <f t="shared" si="396"/>
        <v>0.27546976100173876</v>
      </c>
      <c r="CY96" s="20">
        <f t="shared" ref="CY96:DR96" si="397">IFERROR((CY53-CY65)/CY53,0)</f>
        <v>0.32353933842599464</v>
      </c>
      <c r="CZ96" s="20">
        <f t="shared" si="397"/>
        <v>0.28304823596085743</v>
      </c>
      <c r="DA96" s="20">
        <f t="shared" si="397"/>
        <v>0.22331954881476565</v>
      </c>
      <c r="DB96" s="20">
        <f t="shared" si="397"/>
        <v>0.29637310621776686</v>
      </c>
      <c r="DC96" s="20">
        <f t="shared" si="397"/>
        <v>0.26393298177530167</v>
      </c>
      <c r="DD96" s="20">
        <f t="shared" si="397"/>
        <v>0.32571543613331377</v>
      </c>
      <c r="DE96" s="20">
        <f t="shared" si="397"/>
        <v>0.26303170348520433</v>
      </c>
      <c r="DF96" s="20">
        <f t="shared" si="397"/>
        <v>0.28286425178702457</v>
      </c>
      <c r="DG96" s="20">
        <f t="shared" si="397"/>
        <v>0.29856530196415226</v>
      </c>
      <c r="DH96" s="20">
        <f t="shared" si="397"/>
        <v>0.27540659033720849</v>
      </c>
      <c r="DI96" s="20">
        <f t="shared" si="397"/>
        <v>0.24762965577125157</v>
      </c>
      <c r="DJ96" s="20">
        <f t="shared" si="397"/>
        <v>0.27075449579388494</v>
      </c>
      <c r="DK96" s="20">
        <f t="shared" si="397"/>
        <v>0.2754697610017387</v>
      </c>
      <c r="DL96" s="20">
        <f t="shared" si="397"/>
        <v>0.27546976100173864</v>
      </c>
      <c r="DM96" s="20">
        <f t="shared" si="397"/>
        <v>0.27546976100173864</v>
      </c>
      <c r="DN96" s="20">
        <f t="shared" si="397"/>
        <v>0.27546976100173887</v>
      </c>
      <c r="DO96" s="20">
        <f t="shared" si="397"/>
        <v>0.27546976100173859</v>
      </c>
      <c r="DP96" s="20">
        <f t="shared" si="397"/>
        <v>0.27546976100173876</v>
      </c>
      <c r="DQ96" s="20">
        <f t="shared" si="397"/>
        <v>0.27546976100173881</v>
      </c>
      <c r="DR96" s="20">
        <f t="shared" si="397"/>
        <v>0.27546976100173881</v>
      </c>
      <c r="DS96" s="20">
        <f t="shared" ref="DS96:DV96" si="398">IFERROR((DS53-DS65)/DS53,0)</f>
        <v>0.27546976100173859</v>
      </c>
      <c r="DT96" s="20">
        <f t="shared" si="398"/>
        <v>0.27546976100173876</v>
      </c>
      <c r="DU96" s="20">
        <f t="shared" si="398"/>
        <v>0.27546976100173864</v>
      </c>
      <c r="DV96" s="20">
        <f t="shared" si="398"/>
        <v>0.27546976100173876</v>
      </c>
      <c r="DW96" s="771"/>
      <c r="DX96" s="20">
        <f t="shared" ref="DX96:EC96" si="399">IFERROR((DX53-DX65)/DX53,0)</f>
        <v>0.27708214274093923</v>
      </c>
      <c r="DY96" s="20">
        <f t="shared" si="399"/>
        <v>0.28264961657203191</v>
      </c>
      <c r="DZ96" s="20">
        <f t="shared" si="399"/>
        <v>0.26982348130524364</v>
      </c>
      <c r="EA96" s="20">
        <f t="shared" si="399"/>
        <v>0.27546976100173876</v>
      </c>
      <c r="EB96" s="20">
        <f t="shared" si="399"/>
        <v>0.27546976100173881</v>
      </c>
      <c r="EC96" s="20">
        <f t="shared" si="399"/>
        <v>0.27546976100173859</v>
      </c>
    </row>
    <row r="97" spans="2:133" x14ac:dyDescent="0.2">
      <c r="B97" s="155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X97" s="19"/>
      <c r="DY97" s="19"/>
      <c r="DZ97" s="19"/>
      <c r="EA97" s="19"/>
      <c r="EB97" s="19"/>
      <c r="EC97" s="770">
        <f t="shared" si="316"/>
        <v>0</v>
      </c>
    </row>
    <row r="98" spans="2:133" x14ac:dyDescent="0.2">
      <c r="B98" s="155" t="s">
        <v>229</v>
      </c>
      <c r="C98" s="19">
        <f>'D2C - Retail'!J127</f>
        <v>6911873.3160878383</v>
      </c>
      <c r="D98" s="19">
        <f>'D2C - Retail'!K127</f>
        <v>7111868.6978323162</v>
      </c>
      <c r="E98" s="19">
        <f>'D2C - Retail'!L127</f>
        <v>9641234.6506473422</v>
      </c>
      <c r="F98" s="19">
        <f>'D2C - Retail'!M127</f>
        <v>5495600.1438003443</v>
      </c>
      <c r="G98" s="19">
        <f>'D2C - Retail'!N127</f>
        <v>123534.20368492563</v>
      </c>
      <c r="H98" s="19">
        <f>'D2C - Retail'!O127</f>
        <v>4778700.5195607692</v>
      </c>
      <c r="I98" s="19">
        <f>'D2C - Retail'!P127</f>
        <v>7307201.3022581004</v>
      </c>
      <c r="J98" s="19">
        <f>'D2C - Retail'!Q127</f>
        <v>8768272.8523349091</v>
      </c>
      <c r="K98" s="19">
        <f>'D2C - Retail'!R127</f>
        <v>9746585.9833156541</v>
      </c>
      <c r="L98" s="19">
        <f>'D2C - Retail'!S127</f>
        <v>11382011.474578843</v>
      </c>
      <c r="M98" s="19">
        <f>'D2C - Retail'!T127</f>
        <v>18279494.99049779</v>
      </c>
      <c r="N98" s="19">
        <f>'D2C - Retail'!U127</f>
        <v>21024982.596029371</v>
      </c>
      <c r="O98" s="19">
        <f>'D2C - Retail'!V127</f>
        <v>17924844.174262941</v>
      </c>
      <c r="P98" s="19">
        <f>'D2C - Retail'!W127</f>
        <v>20513612.888084471</v>
      </c>
      <c r="Q98" s="19">
        <f>'D2C - Retail'!X127</f>
        <v>22341650.652038902</v>
      </c>
      <c r="R98" s="19">
        <f>'D2C - Retail'!Y127</f>
        <v>21033476.72446622</v>
      </c>
      <c r="S98" s="19">
        <f>'D2C - Retail'!Z127</f>
        <v>23068444.542039856</v>
      </c>
      <c r="T98" s="19">
        <f>'D2C - Retail'!AA127</f>
        <v>26920877.474401161</v>
      </c>
      <c r="U98" s="19">
        <f>'D2C - Retail'!AB127</f>
        <v>29612866.627939597</v>
      </c>
      <c r="V98" s="19">
        <f>'D2C - Retail'!AC127</f>
        <v>26965545.002739847</v>
      </c>
      <c r="W98" s="19">
        <f>'D2C - Retail'!AD127</f>
        <v>21591208.69899103</v>
      </c>
      <c r="X98" s="19">
        <f>'D2C - Retail'!AE127</f>
        <v>25656074.606984735</v>
      </c>
      <c r="Y98" s="19">
        <f>'D2C - Retail'!AF127</f>
        <v>27198525.133595526</v>
      </c>
      <c r="Z98" s="19">
        <f>'D2C - Retail'!AG127</f>
        <v>34191139.418970227</v>
      </c>
      <c r="AA98" s="19">
        <f>'D2C - Retail'!AH127</f>
        <v>39770875.225632757</v>
      </c>
      <c r="AB98" s="19">
        <f>'D2C - Retail'!AI127</f>
        <v>41574473.963227123</v>
      </c>
      <c r="AC98" s="19">
        <f>'D2C - Retail'!AJ127</f>
        <v>49738131.976921588</v>
      </c>
      <c r="AD98" s="19">
        <f>'D2C - Retail'!AK127</f>
        <v>46465739.745687187</v>
      </c>
      <c r="AE98" s="19">
        <f>'D2C - Retail'!AL127</f>
        <v>52353861.926784337</v>
      </c>
      <c r="AF98" s="19">
        <f>'D2C - Retail'!AM127</f>
        <v>55461285.076292932</v>
      </c>
      <c r="AG98" s="19">
        <f>'D2C - Retail'!AN127</f>
        <v>49235067.175309747</v>
      </c>
      <c r="AH98" s="19">
        <f>'D2C - Retail'!AO127</f>
        <v>50453710.396496505</v>
      </c>
      <c r="AI98" s="19">
        <f>'D2C - Retail'!AP127</f>
        <v>43302027.584639311</v>
      </c>
      <c r="AJ98" s="19">
        <f>'D2C - Retail'!AQ127</f>
        <v>56306623.735884547</v>
      </c>
      <c r="AK98" s="19">
        <f>'D2C - Retail'!AR127</f>
        <v>53314194.080545902</v>
      </c>
      <c r="AL98" s="19">
        <f>'D2C - Retail'!AS127</f>
        <v>49295010.898904771</v>
      </c>
      <c r="AM98" s="19">
        <f>'D2C - Retail'!AT127</f>
        <v>47013820.557910025</v>
      </c>
      <c r="AN98" s="19">
        <f>'D2C - Retail'!AU127</f>
        <v>53515118.215163469</v>
      </c>
      <c r="AO98" s="19">
        <f>'D2C - Retail'!AV127</f>
        <v>61090783.163004011</v>
      </c>
      <c r="AP98" s="19">
        <f>'D2C - Retail'!AW127</f>
        <v>58512769.089631557</v>
      </c>
      <c r="AQ98" s="19">
        <f>'D2C - Retail'!AX127</f>
        <v>65169598.067752302</v>
      </c>
      <c r="AR98" s="19">
        <f>'D2C - Retail'!AY127</f>
        <v>68855970.596052855</v>
      </c>
      <c r="AS98" s="19">
        <f>'D2C - Retail'!AZ127</f>
        <v>66021081.128714055</v>
      </c>
      <c r="AT98" s="19">
        <f>'D2C - Retail'!BA127</f>
        <v>58167571.255968064</v>
      </c>
      <c r="AU98" s="19">
        <f>'D2C - Retail'!BB127</f>
        <v>46847032.053922832</v>
      </c>
      <c r="AV98" s="19">
        <f>'D2C - Retail'!BC127</f>
        <v>66395734.474804163</v>
      </c>
      <c r="AW98" s="19">
        <f>'D2C - Retail'!BD127</f>
        <v>66063785.517006844</v>
      </c>
      <c r="AX98" s="19">
        <f>'D2C - Retail'!BE127</f>
        <v>75474343.340111673</v>
      </c>
      <c r="AY98" s="19">
        <f>'D2C - Retail'!BF127</f>
        <v>75417121.912845969</v>
      </c>
      <c r="AZ98" s="19">
        <f>'D2C - Retail'!BG127</f>
        <v>71627347.529583037</v>
      </c>
      <c r="BA98" s="19">
        <f>'D2C - Retail'!BH127</f>
        <v>90368559.886485279</v>
      </c>
      <c r="BB98" s="19">
        <f>'D2C - Retail'!BI127</f>
        <v>88246701.516079426</v>
      </c>
      <c r="BC98" s="19">
        <f>'D2C - Retail'!BJ127</f>
        <v>82726003.875164568</v>
      </c>
      <c r="BD98" s="19">
        <f>'D2C - Retail'!BK127</f>
        <v>91181430.234001458</v>
      </c>
      <c r="BE98" s="19">
        <f>'D2C - Retail'!BL127</f>
        <v>95252526.00528878</v>
      </c>
      <c r="BF98" s="19">
        <f>'D2C - Retail'!BM127</f>
        <v>89455368.770499349</v>
      </c>
      <c r="BG98" s="19">
        <f>'D2C - Retail'!BN127</f>
        <v>81064186.495888829</v>
      </c>
      <c r="BH98" s="19">
        <f>'D2C - Retail'!BO127</f>
        <v>120902209.49319762</v>
      </c>
      <c r="BI98" s="19">
        <f>'D2C - Retail'!BP127</f>
        <v>107175331.14917302</v>
      </c>
      <c r="BJ98" s="19">
        <f>'D2C - Retail'!BQ127</f>
        <v>119356666.55738419</v>
      </c>
      <c r="BK98" s="19">
        <f>'D2C - Retail'!BR127</f>
        <v>127877564.92440701</v>
      </c>
      <c r="BL98" s="19">
        <f>'D2C - Retail'!BS127</f>
        <v>118842662.93015528</v>
      </c>
      <c r="BM98" s="19">
        <f>'D2C - Retail'!BT127</f>
        <v>133685381.2143575</v>
      </c>
      <c r="BN98" s="19">
        <f>'D2C - Retail'!BU127</f>
        <v>124519423.43310058</v>
      </c>
      <c r="BO98" s="19">
        <f>'D2C - Retail'!BV127</f>
        <v>122206655.99516118</v>
      </c>
      <c r="BP98" s="19">
        <f>'D2C - Retail'!BW127</f>
        <v>122085599.31620246</v>
      </c>
      <c r="BQ98" s="19">
        <f>'D2C - Retail'!BX127</f>
        <v>131509633.3818934</v>
      </c>
      <c r="BR98" s="19">
        <f>'D2C - Retail'!BY127</f>
        <v>118608754.84127069</v>
      </c>
      <c r="BS98" s="19">
        <f>'D2C - Retail'!BZ127</f>
        <v>110968206.05790162</v>
      </c>
      <c r="BT98" s="19">
        <f>'D2C - Retail'!CA127</f>
        <v>136153352.00708902</v>
      </c>
      <c r="BU98" s="19">
        <f>'D2C - Retail'!CB127</f>
        <v>126269613.8008936</v>
      </c>
      <c r="BV98" s="19">
        <f>'D2C - Retail'!CC127</f>
        <v>148428389.24768901</v>
      </c>
      <c r="BW98" s="19">
        <f>'D2C - Retail'!CD127</f>
        <v>151907645.75379121</v>
      </c>
      <c r="BX98" s="19">
        <f>'D2C - Retail'!CE127</f>
        <v>142071914.43678916</v>
      </c>
      <c r="BY98" s="19">
        <f>'D2C - Retail'!CF127</f>
        <v>163773564.13699508</v>
      </c>
      <c r="BZ98" s="19">
        <f>'D2C - Retail'!CG127</f>
        <v>150799568.6389643</v>
      </c>
      <c r="CA98" s="19">
        <f>'D2C - Retail'!CH127</f>
        <v>148352402.1500175</v>
      </c>
      <c r="CB98" s="19">
        <f>'D2C - Retail'!CI127</f>
        <v>147426180.53782904</v>
      </c>
      <c r="CC98" s="19">
        <f>'D2C - Retail'!CJ127</f>
        <v>158768788.6666466</v>
      </c>
      <c r="CD98" s="19">
        <f>'D2C - Retail'!CK127</f>
        <v>142811143.74834728</v>
      </c>
      <c r="CE98" s="19">
        <f>'D2C - Retail'!CL127</f>
        <v>133234479.12579763</v>
      </c>
      <c r="CF98" s="19">
        <f>'D2C - Retail'!CM127</f>
        <v>163127480.0636245</v>
      </c>
      <c r="CG98" s="19">
        <f>'D2C - Retail'!CN127</f>
        <v>150425685.8592428</v>
      </c>
      <c r="CH98" s="19">
        <f>'D2C - Retail'!CO127</f>
        <v>176356164.3401463</v>
      </c>
      <c r="CI98" s="19">
        <f>'D2C - Retail'!CP127</f>
        <v>179755864.89005816</v>
      </c>
      <c r="CJ98" s="19">
        <f>'D2C - Retail'!CQ127</f>
        <v>167225603.97839618</v>
      </c>
      <c r="CK98" s="19">
        <f>'D2C - Retail'!CR127</f>
        <v>190781661.27925563</v>
      </c>
      <c r="CL98" s="19">
        <f>'D2C - Retail'!CS127</f>
        <v>168950051.18645263</v>
      </c>
      <c r="CM98" s="19">
        <f>'D2C - Retail'!CT127</f>
        <v>166038895.14687192</v>
      </c>
      <c r="CN98" s="19">
        <f>'D2C - Retail'!CU127</f>
        <v>164895074.49810624</v>
      </c>
      <c r="CO98" s="19">
        <f>'D2C - Retail'!CV127</f>
        <v>177531521.23864615</v>
      </c>
      <c r="CP98" s="19">
        <f>'D2C - Retail'!CW127</f>
        <v>159466804.11881804</v>
      </c>
      <c r="CQ98" s="19">
        <f>'D2C - Retail'!CX127</f>
        <v>148545233.27729952</v>
      </c>
      <c r="CR98" s="19">
        <f>'D2C - Retail'!CY127</f>
        <v>181995969.86742556</v>
      </c>
      <c r="CS98" s="19">
        <f>'D2C - Retail'!CZ127</f>
        <v>167667745.03610861</v>
      </c>
      <c r="CT98" s="19">
        <f>'D2C - Retail'!DA127</f>
        <v>196650791.51494694</v>
      </c>
      <c r="CU98" s="19">
        <f>'D2C - Retail'!DB127</f>
        <v>200400859.66119099</v>
      </c>
      <c r="CV98" s="19">
        <f>'D2C - Retail'!DC127</f>
        <v>186272515.00200069</v>
      </c>
      <c r="CW98" s="19">
        <f>'D2C - Retail'!DD127</f>
        <v>212565792.12423289</v>
      </c>
      <c r="CY98" s="19">
        <f t="shared" ref="CY98:CY109" si="400">SUM(AD98:AF98)</f>
        <v>154280886.74876446</v>
      </c>
      <c r="CZ98" s="19">
        <f t="shared" ref="CZ98:CZ109" si="401">SUM(AG98:AI98)</f>
        <v>142990805.15644556</v>
      </c>
      <c r="DA98" s="19">
        <f t="shared" ref="DA98:DA109" si="402">SUM(AJ98:AL98)</f>
        <v>158915828.71533522</v>
      </c>
      <c r="DB98" s="19">
        <f t="shared" ref="DB98:DB109" si="403">SUM(AM98:AO98)</f>
        <v>161619721.93607751</v>
      </c>
      <c r="DC98" s="19">
        <f t="shared" ref="DC98:DC109" si="404">SUM(AP98:AR98)</f>
        <v>192538337.75343671</v>
      </c>
      <c r="DD98" s="19">
        <f t="shared" ref="DD98:DD109" si="405">SUM(AS98:AU98)</f>
        <v>171035684.43860495</v>
      </c>
      <c r="DE98" s="19">
        <f t="shared" ref="DE98:DE109" si="406">SUM(AV98:AX98)</f>
        <v>207933863.33192268</v>
      </c>
      <c r="DF98" s="19">
        <f t="shared" ref="DF98:DF109" si="407">SUM(AY98:BA98)</f>
        <v>237413029.32891428</v>
      </c>
      <c r="DG98" s="19">
        <f t="shared" ref="DG98:DG109" si="408">SUM(BB98:BD98)</f>
        <v>262154135.62524545</v>
      </c>
      <c r="DH98" s="19">
        <f t="shared" ref="DH98:DH109" si="409">SUM(BE98:BG98)</f>
        <v>265772081.27167696</v>
      </c>
      <c r="DI98" s="19">
        <f t="shared" ref="DI98:DI109" si="410">SUM(BH98:BJ98)</f>
        <v>347434207.19975483</v>
      </c>
      <c r="DJ98" s="19">
        <f t="shared" ref="DJ98:DJ109" si="411">SUM(BK98:BM98)</f>
        <v>380405609.06891978</v>
      </c>
      <c r="DK98" s="19">
        <f t="shared" ref="DK98:DK109" si="412">SUM(BN98:BP98)</f>
        <v>368811678.74446422</v>
      </c>
      <c r="DL98" s="19">
        <f t="shared" ref="DL98:DL109" si="413">SUM(BQ98:BS98)</f>
        <v>361086594.2810657</v>
      </c>
      <c r="DM98" s="19">
        <f t="shared" ref="DM98:DM109" si="414">SUM(BT98:BV98)</f>
        <v>410851355.05567163</v>
      </c>
      <c r="DN98" s="19">
        <f t="shared" ref="DN98:DN109" si="415">SUM(BW98:BY98)</f>
        <v>457753124.32757545</v>
      </c>
      <c r="DO98" s="19">
        <f t="shared" ref="DO98:DO109" si="416">SUM(BZ98:CB98)</f>
        <v>446578151.32681084</v>
      </c>
      <c r="DP98" s="19">
        <f t="shared" ref="DP98:DP109" si="417">SUM(CC98:CE98)</f>
        <v>434814411.54079151</v>
      </c>
      <c r="DQ98" s="19">
        <f t="shared" ref="DQ98:DQ109" si="418">SUM(CF98:CH98)</f>
        <v>489909330.2630136</v>
      </c>
      <c r="DR98" s="19">
        <f t="shared" ref="DR98:DR109" si="419">SUM(CI98:CK98)</f>
        <v>537763130.14770997</v>
      </c>
      <c r="DS98" s="19">
        <f t="shared" si="312"/>
        <v>499884020.83143079</v>
      </c>
      <c r="DT98" s="19">
        <f t="shared" si="313"/>
        <v>485543558.63476372</v>
      </c>
      <c r="DU98" s="19">
        <f t="shared" si="314"/>
        <v>546314506.41848111</v>
      </c>
      <c r="DV98" s="19">
        <f t="shared" si="315"/>
        <v>599239166.78742456</v>
      </c>
      <c r="DX98" s="19">
        <f t="shared" ref="DX98:DX109" si="420">SUM(CY98:DB98)</f>
        <v>617807242.55662274</v>
      </c>
      <c r="DY98" s="19">
        <f t="shared" ref="DY98:DY109" si="421">SUM(DC98:DF98)</f>
        <v>808920914.85287857</v>
      </c>
      <c r="DZ98" s="19">
        <f t="shared" ref="DZ98:DZ109" si="422">SUM(DG98:DJ98)</f>
        <v>1255766033.165597</v>
      </c>
      <c r="EA98" s="19">
        <f t="shared" ref="EA98:EA109" si="423">SUM(DK98:DN98)</f>
        <v>1598502752.408777</v>
      </c>
      <c r="EB98" s="19">
        <f t="shared" ref="EB98:EB109" si="424">SUM(DO98:DR98)</f>
        <v>1909065023.278326</v>
      </c>
      <c r="EC98" s="770">
        <f t="shared" si="316"/>
        <v>2130981252.6721001</v>
      </c>
    </row>
    <row r="99" spans="2:133" x14ac:dyDescent="0.2">
      <c r="B99" s="155" t="s">
        <v>237</v>
      </c>
      <c r="C99" s="19">
        <f>C56-C80</f>
        <v>707348.01937854569</v>
      </c>
      <c r="D99" s="19">
        <f t="shared" ref="D99:BO99" si="425">D56-D80</f>
        <v>462205.14276391687</v>
      </c>
      <c r="E99" s="19">
        <f t="shared" si="425"/>
        <v>833839.45359273162</v>
      </c>
      <c r="F99" s="19">
        <f t="shared" si="425"/>
        <v>582317.61648819456</v>
      </c>
      <c r="G99" s="19">
        <f t="shared" si="425"/>
        <v>463050.42652340932</v>
      </c>
      <c r="H99" s="19">
        <f t="shared" si="425"/>
        <v>847260.99129819823</v>
      </c>
      <c r="I99" s="19">
        <f t="shared" si="425"/>
        <v>1459325.8059790442</v>
      </c>
      <c r="J99" s="19">
        <f t="shared" si="425"/>
        <v>1074265.4950951673</v>
      </c>
      <c r="K99" s="19">
        <f t="shared" si="425"/>
        <v>1637114.9311341364</v>
      </c>
      <c r="L99" s="19">
        <f t="shared" si="425"/>
        <v>765028.86070871819</v>
      </c>
      <c r="M99" s="19">
        <f t="shared" si="425"/>
        <v>3102541.6497051138</v>
      </c>
      <c r="N99" s="19">
        <f t="shared" si="425"/>
        <v>3316517.2924876213</v>
      </c>
      <c r="O99" s="19">
        <f t="shared" si="425"/>
        <v>4677615.863215223</v>
      </c>
      <c r="P99" s="19">
        <f t="shared" si="425"/>
        <v>5190656.464612972</v>
      </c>
      <c r="Q99" s="19">
        <f t="shared" si="425"/>
        <v>3412605.5633219797</v>
      </c>
      <c r="R99" s="19">
        <f t="shared" si="425"/>
        <v>3430776.5202675778</v>
      </c>
      <c r="S99" s="19">
        <f t="shared" si="425"/>
        <v>3881502.1852987818</v>
      </c>
      <c r="T99" s="19">
        <f t="shared" si="425"/>
        <v>5088423.254163105</v>
      </c>
      <c r="U99" s="19">
        <f t="shared" si="425"/>
        <v>3666122.9780897684</v>
      </c>
      <c r="V99" s="19">
        <f t="shared" si="425"/>
        <v>2713495.4514652714</v>
      </c>
      <c r="W99" s="19">
        <f t="shared" si="425"/>
        <v>2876428.6065411456</v>
      </c>
      <c r="X99" s="19">
        <f t="shared" si="425"/>
        <v>6004352.9799100682</v>
      </c>
      <c r="Y99" s="19">
        <f t="shared" si="425"/>
        <v>5524187.4356626607</v>
      </c>
      <c r="Z99" s="19">
        <f t="shared" si="425"/>
        <v>4782737.6086891741</v>
      </c>
      <c r="AA99" s="19">
        <f t="shared" si="425"/>
        <v>7112488.0350192711</v>
      </c>
      <c r="AB99" s="19">
        <f t="shared" si="425"/>
        <v>10465914.398006693</v>
      </c>
      <c r="AC99" s="19">
        <f t="shared" si="425"/>
        <v>17430550.256737769</v>
      </c>
      <c r="AD99" s="19">
        <f t="shared" si="425"/>
        <v>18142334.660863489</v>
      </c>
      <c r="AE99" s="19">
        <f t="shared" si="425"/>
        <v>20361784.491473958</v>
      </c>
      <c r="AF99" s="19">
        <f t="shared" si="425"/>
        <v>26536482.326324373</v>
      </c>
      <c r="AG99" s="19">
        <f t="shared" si="425"/>
        <v>18768569.450791001</v>
      </c>
      <c r="AH99" s="19">
        <f t="shared" si="425"/>
        <v>22339164.042280957</v>
      </c>
      <c r="AI99" s="19">
        <f t="shared" si="425"/>
        <v>17320181.846658736</v>
      </c>
      <c r="AJ99" s="19">
        <f t="shared" si="425"/>
        <v>33164463.974018276</v>
      </c>
      <c r="AK99" s="19">
        <f t="shared" si="425"/>
        <v>29207996.192771912</v>
      </c>
      <c r="AL99" s="19">
        <f t="shared" si="425"/>
        <v>30419658.626964301</v>
      </c>
      <c r="AM99" s="19">
        <f t="shared" si="425"/>
        <v>33430235.917297214</v>
      </c>
      <c r="AN99" s="19">
        <f t="shared" si="425"/>
        <v>29647208.729875863</v>
      </c>
      <c r="AO99" s="19">
        <f t="shared" si="425"/>
        <v>40459830.525793403</v>
      </c>
      <c r="AP99" s="19">
        <f t="shared" si="425"/>
        <v>36738333.770936161</v>
      </c>
      <c r="AQ99" s="19">
        <f t="shared" si="425"/>
        <v>39441466.023409605</v>
      </c>
      <c r="AR99" s="19">
        <f t="shared" si="425"/>
        <v>45503408.333002925</v>
      </c>
      <c r="AS99" s="19">
        <f t="shared" si="425"/>
        <v>44078819.835967988</v>
      </c>
      <c r="AT99" s="19">
        <f t="shared" si="425"/>
        <v>41034047.894219041</v>
      </c>
      <c r="AU99" s="19">
        <f t="shared" si="425"/>
        <v>41539980.591395199</v>
      </c>
      <c r="AV99" s="19">
        <f t="shared" si="425"/>
        <v>47263441.770308673</v>
      </c>
      <c r="AW99" s="19">
        <f t="shared" si="425"/>
        <v>41631013.197960466</v>
      </c>
      <c r="AX99" s="19">
        <f t="shared" si="425"/>
        <v>46156964.892674059</v>
      </c>
      <c r="AY99" s="19">
        <f t="shared" si="425"/>
        <v>51109008.603201151</v>
      </c>
      <c r="AZ99" s="19">
        <f t="shared" si="425"/>
        <v>44976738.132187426</v>
      </c>
      <c r="BA99" s="19">
        <f t="shared" si="425"/>
        <v>65018900.419855833</v>
      </c>
      <c r="BB99" s="19">
        <f t="shared" si="425"/>
        <v>54819410.180842042</v>
      </c>
      <c r="BC99" s="19">
        <f t="shared" si="425"/>
        <v>57116795.835979313</v>
      </c>
      <c r="BD99" s="19">
        <f t="shared" si="425"/>
        <v>58741828.526035607</v>
      </c>
      <c r="BE99" s="19">
        <f t="shared" si="425"/>
        <v>62750236.980523288</v>
      </c>
      <c r="BF99" s="19">
        <f t="shared" si="425"/>
        <v>56074218.699852467</v>
      </c>
      <c r="BG99" s="19">
        <f t="shared" si="425"/>
        <v>59350152.361803174</v>
      </c>
      <c r="BH99" s="19">
        <f t="shared" si="425"/>
        <v>53948627.925206065</v>
      </c>
      <c r="BI99" s="19">
        <f t="shared" si="425"/>
        <v>51339456.756686181</v>
      </c>
      <c r="BJ99" s="19">
        <f t="shared" si="425"/>
        <v>58940082.782338023</v>
      </c>
      <c r="BK99" s="19">
        <f t="shared" si="425"/>
        <v>62690633.760562658</v>
      </c>
      <c r="BL99" s="19">
        <f t="shared" si="425"/>
        <v>47939276.202489316</v>
      </c>
      <c r="BM99" s="19">
        <f t="shared" si="425"/>
        <v>56154926.269872189</v>
      </c>
      <c r="BN99" s="19">
        <f t="shared" si="425"/>
        <v>63766025.259320021</v>
      </c>
      <c r="BO99" s="19">
        <f t="shared" si="425"/>
        <v>64415014.013841271</v>
      </c>
      <c r="BP99" s="19">
        <f t="shared" ref="BP99:CK99" si="426">BP56-BP80</f>
        <v>64368931.972100139</v>
      </c>
      <c r="BQ99" s="19">
        <f t="shared" si="426"/>
        <v>65340495.018809438</v>
      </c>
      <c r="BR99" s="19">
        <f t="shared" si="426"/>
        <v>61569447.936325073</v>
      </c>
      <c r="BS99" s="19">
        <f t="shared" si="426"/>
        <v>67352744.174839675</v>
      </c>
      <c r="BT99" s="19">
        <f t="shared" si="426"/>
        <v>65490261.65446806</v>
      </c>
      <c r="BU99" s="19">
        <f t="shared" si="426"/>
        <v>65643868.460272014</v>
      </c>
      <c r="BV99" s="19">
        <f t="shared" si="426"/>
        <v>80578290.154550493</v>
      </c>
      <c r="BW99" s="19">
        <f t="shared" si="426"/>
        <v>86822406.81047672</v>
      </c>
      <c r="BX99" s="19">
        <f t="shared" si="426"/>
        <v>74434017.922396898</v>
      </c>
      <c r="BY99" s="19">
        <f t="shared" si="426"/>
        <v>80432363.689036965</v>
      </c>
      <c r="BZ99" s="19">
        <f t="shared" si="426"/>
        <v>74758803.086356401</v>
      </c>
      <c r="CA99" s="19">
        <f t="shared" si="426"/>
        <v>75519672.566729367</v>
      </c>
      <c r="CB99" s="19">
        <f t="shared" si="426"/>
        <v>75465646.331436694</v>
      </c>
      <c r="CC99" s="19">
        <f t="shared" si="426"/>
        <v>76604699.458859026</v>
      </c>
      <c r="CD99" s="19">
        <f t="shared" si="426"/>
        <v>72183552.537401497</v>
      </c>
      <c r="CE99" s="19">
        <f t="shared" si="426"/>
        <v>78963845.06664288</v>
      </c>
      <c r="CF99" s="19">
        <f t="shared" si="426"/>
        <v>76780284.723560452</v>
      </c>
      <c r="CG99" s="19">
        <f t="shared" si="426"/>
        <v>76960372.174536347</v>
      </c>
      <c r="CH99" s="19">
        <f t="shared" si="426"/>
        <v>94469374.595665038</v>
      </c>
      <c r="CI99" s="19">
        <f t="shared" si="426"/>
        <v>101789929.47783387</v>
      </c>
      <c r="CJ99" s="19">
        <f t="shared" si="426"/>
        <v>87265876.556630254</v>
      </c>
      <c r="CK99" s="19">
        <f t="shared" si="426"/>
        <v>94298291.517237842</v>
      </c>
      <c r="CL99" s="19">
        <f t="shared" ref="CL99:CW99" si="427">CL56-CL80</f>
        <v>87619547.252069592</v>
      </c>
      <c r="CM99" s="19">
        <f t="shared" si="427"/>
        <v>88511308.979597449</v>
      </c>
      <c r="CN99" s="19">
        <f t="shared" si="427"/>
        <v>88447988.62024647</v>
      </c>
      <c r="CO99" s="19">
        <f t="shared" si="427"/>
        <v>89782992.863231897</v>
      </c>
      <c r="CP99" s="19">
        <f t="shared" si="427"/>
        <v>84601276.789667726</v>
      </c>
      <c r="CQ99" s="19">
        <f t="shared" si="427"/>
        <v>92547981.88822943</v>
      </c>
      <c r="CR99" s="19">
        <f t="shared" si="427"/>
        <v>89988784.031122863</v>
      </c>
      <c r="CS99" s="19">
        <f t="shared" si="427"/>
        <v>90199851.895626485</v>
      </c>
      <c r="CT99" s="19">
        <f t="shared" si="427"/>
        <v>110720925.02199197</v>
      </c>
      <c r="CU99" s="19">
        <f t="shared" si="427"/>
        <v>119300833.71406436</v>
      </c>
      <c r="CV99" s="19">
        <f t="shared" si="427"/>
        <v>102278210.44184679</v>
      </c>
      <c r="CW99" s="19">
        <f t="shared" si="427"/>
        <v>110520410.55071354</v>
      </c>
      <c r="CY99" s="19">
        <f t="shared" si="400"/>
        <v>65040601.47866182</v>
      </c>
      <c r="CZ99" s="19">
        <f t="shared" si="401"/>
        <v>58427915.339730695</v>
      </c>
      <c r="DA99" s="19">
        <f t="shared" si="402"/>
        <v>92792118.793754488</v>
      </c>
      <c r="DB99" s="19">
        <f t="shared" si="403"/>
        <v>103537275.17296648</v>
      </c>
      <c r="DC99" s="19">
        <f t="shared" si="404"/>
        <v>121683208.12734869</v>
      </c>
      <c r="DD99" s="19">
        <f t="shared" si="405"/>
        <v>126652848.32158223</v>
      </c>
      <c r="DE99" s="19">
        <f t="shared" si="406"/>
        <v>135051419.8609432</v>
      </c>
      <c r="DF99" s="19">
        <f t="shared" si="407"/>
        <v>161104647.15524441</v>
      </c>
      <c r="DG99" s="19">
        <f t="shared" si="408"/>
        <v>170678034.54285696</v>
      </c>
      <c r="DH99" s="19">
        <f t="shared" si="409"/>
        <v>178174608.04217893</v>
      </c>
      <c r="DI99" s="19">
        <f t="shared" si="410"/>
        <v>164228167.46423027</v>
      </c>
      <c r="DJ99" s="19">
        <f t="shared" si="411"/>
        <v>166784836.23292416</v>
      </c>
      <c r="DK99" s="19">
        <f t="shared" si="412"/>
        <v>192549971.24526143</v>
      </c>
      <c r="DL99" s="19">
        <f t="shared" si="413"/>
        <v>194262687.12997419</v>
      </c>
      <c r="DM99" s="19">
        <f t="shared" si="414"/>
        <v>211712420.26929057</v>
      </c>
      <c r="DN99" s="19">
        <f t="shared" si="415"/>
        <v>241688788.42191058</v>
      </c>
      <c r="DO99" s="19">
        <f t="shared" si="416"/>
        <v>225744121.98452246</v>
      </c>
      <c r="DP99" s="19">
        <f t="shared" si="417"/>
        <v>227752097.0629034</v>
      </c>
      <c r="DQ99" s="19">
        <f t="shared" si="418"/>
        <v>248210031.49376184</v>
      </c>
      <c r="DR99" s="19">
        <f t="shared" si="419"/>
        <v>283354097.55170196</v>
      </c>
      <c r="DS99" s="19">
        <f t="shared" si="312"/>
        <v>264578844.85191351</v>
      </c>
      <c r="DT99" s="19">
        <f t="shared" si="313"/>
        <v>266932251.54112905</v>
      </c>
      <c r="DU99" s="19">
        <f t="shared" si="314"/>
        <v>290909560.94874132</v>
      </c>
      <c r="DV99" s="19">
        <f t="shared" si="315"/>
        <v>332099454.70662469</v>
      </c>
      <c r="DX99" s="19">
        <f t="shared" si="420"/>
        <v>319797910.78511345</v>
      </c>
      <c r="DY99" s="19">
        <f t="shared" si="421"/>
        <v>544492123.46511853</v>
      </c>
      <c r="DZ99" s="19">
        <f t="shared" si="422"/>
        <v>679865646.28219032</v>
      </c>
      <c r="EA99" s="19">
        <f t="shared" si="423"/>
        <v>840213867.06643677</v>
      </c>
      <c r="EB99" s="19">
        <f t="shared" si="424"/>
        <v>985060348.09288979</v>
      </c>
      <c r="EC99" s="770">
        <f t="shared" si="316"/>
        <v>1154520112.0484085</v>
      </c>
    </row>
    <row r="100" spans="2:133" x14ac:dyDescent="0.2">
      <c r="B100" s="155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X100" s="19"/>
      <c r="DY100" s="19"/>
      <c r="DZ100" s="19"/>
      <c r="EA100" s="19"/>
      <c r="EB100" s="19"/>
      <c r="EC100" s="770">
        <f t="shared" si="316"/>
        <v>0</v>
      </c>
    </row>
    <row r="101" spans="2:133" x14ac:dyDescent="0.2">
      <c r="B101" s="212" t="s">
        <v>32</v>
      </c>
      <c r="C101" s="199">
        <f>C102+C103</f>
        <v>850350.70466111251</v>
      </c>
      <c r="D101" s="199">
        <f t="shared" ref="D101:BO101" si="428">D102+D103</f>
        <v>779642.97560848226</v>
      </c>
      <c r="E101" s="199">
        <f t="shared" si="428"/>
        <v>1073329.13103732</v>
      </c>
      <c r="F101" s="199">
        <f t="shared" si="428"/>
        <v>684183.70542512031</v>
      </c>
      <c r="G101" s="199">
        <f t="shared" si="428"/>
        <v>180494.11343541247</v>
      </c>
      <c r="H101" s="199">
        <f t="shared" si="428"/>
        <v>524376.44873201288</v>
      </c>
      <c r="I101" s="199">
        <f t="shared" si="428"/>
        <v>866314.03307485511</v>
      </c>
      <c r="J101" s="199">
        <f t="shared" si="428"/>
        <v>1137371.1187706569</v>
      </c>
      <c r="K101" s="199">
        <f t="shared" si="428"/>
        <v>1546680.450951118</v>
      </c>
      <c r="L101" s="199">
        <f t="shared" si="428"/>
        <v>1716941.6557972576</v>
      </c>
      <c r="M101" s="199">
        <f t="shared" si="428"/>
        <v>2471061.4216274656</v>
      </c>
      <c r="N101" s="199">
        <f t="shared" si="428"/>
        <v>2888105.2633805634</v>
      </c>
      <c r="O101" s="199">
        <f t="shared" si="428"/>
        <v>2961944.9472865858</v>
      </c>
      <c r="P101" s="199">
        <f t="shared" si="428"/>
        <v>3415468.7282516612</v>
      </c>
      <c r="Q101" s="199">
        <f t="shared" si="428"/>
        <v>3892562.5855937009</v>
      </c>
      <c r="R101" s="199">
        <f t="shared" si="428"/>
        <v>3615992.0734041841</v>
      </c>
      <c r="S101" s="199">
        <f t="shared" si="428"/>
        <v>4256171.0706265233</v>
      </c>
      <c r="T101" s="199">
        <f t="shared" si="428"/>
        <v>5603282.6070287349</v>
      </c>
      <c r="U101" s="199">
        <f t="shared" si="428"/>
        <v>6000959.6237090891</v>
      </c>
      <c r="V101" s="199">
        <f t="shared" si="428"/>
        <v>5138815.1252374891</v>
      </c>
      <c r="W101" s="199">
        <f t="shared" si="428"/>
        <v>5598506.6404985208</v>
      </c>
      <c r="X101" s="199">
        <f t="shared" si="428"/>
        <v>7597320.635032177</v>
      </c>
      <c r="Y101" s="199">
        <f t="shared" si="428"/>
        <v>7013279.115783656</v>
      </c>
      <c r="Z101" s="199">
        <f t="shared" si="428"/>
        <v>7254389.9913355429</v>
      </c>
      <c r="AA101" s="199">
        <f t="shared" si="428"/>
        <v>7903258.3444345882</v>
      </c>
      <c r="AB101" s="199">
        <f t="shared" si="428"/>
        <v>10598899.38170585</v>
      </c>
      <c r="AC101" s="199">
        <f t="shared" si="428"/>
        <v>20618964.310480479</v>
      </c>
      <c r="AD101" s="199">
        <f t="shared" si="428"/>
        <v>23435532.669022363</v>
      </c>
      <c r="AE101" s="199">
        <f t="shared" si="428"/>
        <v>22093981.074309364</v>
      </c>
      <c r="AF101" s="199">
        <f t="shared" si="428"/>
        <v>23799440.775466677</v>
      </c>
      <c r="AG101" s="199">
        <f t="shared" si="428"/>
        <v>20434946.65309681</v>
      </c>
      <c r="AH101" s="199">
        <f t="shared" si="428"/>
        <v>21389426.56514528</v>
      </c>
      <c r="AI101" s="199">
        <f t="shared" si="428"/>
        <v>21851677.278707456</v>
      </c>
      <c r="AJ101" s="199">
        <f t="shared" si="428"/>
        <v>35062193.082518063</v>
      </c>
      <c r="AK101" s="199">
        <f t="shared" si="428"/>
        <v>25546594.537649602</v>
      </c>
      <c r="AL101" s="199">
        <f t="shared" si="428"/>
        <v>23623470.02596521</v>
      </c>
      <c r="AM101" s="199">
        <f t="shared" si="428"/>
        <v>23797227.034203131</v>
      </c>
      <c r="AN101" s="199">
        <f t="shared" si="428"/>
        <v>25645704.072109316</v>
      </c>
      <c r="AO101" s="199">
        <f t="shared" si="428"/>
        <v>28698572.702786423</v>
      </c>
      <c r="AP101" s="199">
        <f t="shared" si="428"/>
        <v>25303219.867993578</v>
      </c>
      <c r="AQ101" s="199">
        <f t="shared" si="428"/>
        <v>27305226.264646206</v>
      </c>
      <c r="AR101" s="199">
        <f t="shared" si="428"/>
        <v>29171125.808588423</v>
      </c>
      <c r="AS101" s="199">
        <f t="shared" si="428"/>
        <v>30366182.903693564</v>
      </c>
      <c r="AT101" s="199">
        <f t="shared" si="428"/>
        <v>25848113.428560697</v>
      </c>
      <c r="AU101" s="199">
        <f t="shared" si="428"/>
        <v>25109935.068123266</v>
      </c>
      <c r="AV101" s="199">
        <f t="shared" si="428"/>
        <v>29919406.035890166</v>
      </c>
      <c r="AW101" s="199">
        <f t="shared" si="428"/>
        <v>27904452.693207178</v>
      </c>
      <c r="AX101" s="199">
        <f t="shared" si="428"/>
        <v>29003690.955443293</v>
      </c>
      <c r="AY101" s="199">
        <f t="shared" si="428"/>
        <v>31042545.03414268</v>
      </c>
      <c r="AZ101" s="199">
        <f t="shared" si="428"/>
        <v>27166423.912037559</v>
      </c>
      <c r="BA101" s="199">
        <f t="shared" si="428"/>
        <v>40990218.789946713</v>
      </c>
      <c r="BB101" s="199">
        <f t="shared" si="428"/>
        <v>39635056.733587444</v>
      </c>
      <c r="BC101" s="199">
        <f t="shared" si="428"/>
        <v>39064855.649196118</v>
      </c>
      <c r="BD101" s="199">
        <f t="shared" si="428"/>
        <v>42303201.216431662</v>
      </c>
      <c r="BE101" s="199">
        <f t="shared" si="428"/>
        <v>44875004.818586975</v>
      </c>
      <c r="BF101" s="199">
        <f t="shared" si="428"/>
        <v>36589226.049496628</v>
      </c>
      <c r="BG101" s="199">
        <f t="shared" si="428"/>
        <v>40453321.323905982</v>
      </c>
      <c r="BH101" s="199">
        <f t="shared" si="428"/>
        <v>53362034.811345682</v>
      </c>
      <c r="BI101" s="199">
        <f t="shared" si="428"/>
        <v>38680694.957107082</v>
      </c>
      <c r="BJ101" s="199">
        <f t="shared" si="428"/>
        <v>40385535.223520942</v>
      </c>
      <c r="BK101" s="199">
        <f t="shared" si="428"/>
        <v>44864827.078801945</v>
      </c>
      <c r="BL101" s="199">
        <f t="shared" si="428"/>
        <v>39667198.708331183</v>
      </c>
      <c r="BM101" s="199">
        <f t="shared" si="428"/>
        <v>48208678.204250678</v>
      </c>
      <c r="BN101" s="199">
        <f t="shared" si="428"/>
        <v>43802828.520379215</v>
      </c>
      <c r="BO101" s="199">
        <f t="shared" si="428"/>
        <v>43651335.965722509</v>
      </c>
      <c r="BP101" s="199">
        <f t="shared" ref="BP101:CK101" si="429">BP102+BP103</f>
        <v>43588311.19620505</v>
      </c>
      <c r="BQ101" s="199">
        <f t="shared" si="429"/>
        <v>45418388.23012349</v>
      </c>
      <c r="BR101" s="199">
        <f t="shared" si="429"/>
        <v>41980462.746965706</v>
      </c>
      <c r="BS101" s="199">
        <f t="shared" si="429"/>
        <v>42816633.90408691</v>
      </c>
      <c r="BT101" s="199">
        <f t="shared" si="429"/>
        <v>46128911.592322797</v>
      </c>
      <c r="BU101" s="199">
        <f t="shared" si="429"/>
        <v>44586471.457573682</v>
      </c>
      <c r="BV101" s="199">
        <f t="shared" si="429"/>
        <v>53478099.56339623</v>
      </c>
      <c r="BW101" s="199">
        <f t="shared" si="429"/>
        <v>56265774.59687379</v>
      </c>
      <c r="BX101" s="199">
        <f t="shared" si="429"/>
        <v>50205833.083047032</v>
      </c>
      <c r="BY101" s="199">
        <f t="shared" si="429"/>
        <v>55782588.029854521</v>
      </c>
      <c r="BZ101" s="199">
        <f t="shared" si="429"/>
        <v>52544764.615516067</v>
      </c>
      <c r="CA101" s="199">
        <f t="shared" si="429"/>
        <v>52402100.074989125</v>
      </c>
      <c r="CB101" s="199">
        <f t="shared" si="429"/>
        <v>52214673.591336116</v>
      </c>
      <c r="CC101" s="199">
        <f t="shared" si="429"/>
        <v>54440920.998586938</v>
      </c>
      <c r="CD101" s="199">
        <f t="shared" si="429"/>
        <v>50221290.095540166</v>
      </c>
      <c r="CE101" s="199">
        <f t="shared" si="429"/>
        <v>51129326.81130226</v>
      </c>
      <c r="CF101" s="199">
        <f t="shared" si="429"/>
        <v>55133612.725997373</v>
      </c>
      <c r="CG101" s="199">
        <f t="shared" si="429"/>
        <v>53135511.668033689</v>
      </c>
      <c r="CH101" s="199">
        <f t="shared" si="429"/>
        <v>63725680.942332208</v>
      </c>
      <c r="CI101" s="199">
        <f t="shared" si="429"/>
        <v>66949511.805395573</v>
      </c>
      <c r="CJ101" s="199">
        <f t="shared" si="429"/>
        <v>59584924.464030877</v>
      </c>
      <c r="CK101" s="199">
        <f t="shared" si="429"/>
        <v>65949408.35316164</v>
      </c>
      <c r="CL101" s="199">
        <f t="shared" ref="CL101:CW101" si="430">CL102+CL103</f>
        <v>60371315.853714734</v>
      </c>
      <c r="CM101" s="199">
        <f t="shared" si="430"/>
        <v>60194123.838070795</v>
      </c>
      <c r="CN101" s="199">
        <f t="shared" si="430"/>
        <v>59964878.292653427</v>
      </c>
      <c r="CO101" s="199">
        <f t="shared" si="430"/>
        <v>62504041.66091691</v>
      </c>
      <c r="CP101" s="199">
        <f t="shared" si="430"/>
        <v>57617173.229505807</v>
      </c>
      <c r="CQ101" s="199">
        <f t="shared" si="430"/>
        <v>58710062.560120098</v>
      </c>
      <c r="CR101" s="199">
        <f t="shared" si="430"/>
        <v>63234871.000823453</v>
      </c>
      <c r="CS101" s="199">
        <f t="shared" si="430"/>
        <v>60948881.249344677</v>
      </c>
      <c r="CT101" s="199">
        <f t="shared" si="430"/>
        <v>73216816.337179422</v>
      </c>
      <c r="CU101" s="199">
        <f t="shared" si="430"/>
        <v>76971287.836008415</v>
      </c>
      <c r="CV101" s="199">
        <f t="shared" si="430"/>
        <v>68390435.844893068</v>
      </c>
      <c r="CW101" s="199">
        <f t="shared" si="430"/>
        <v>75709872.84109965</v>
      </c>
      <c r="CY101" s="199">
        <f t="shared" si="400"/>
        <v>69328954.518798411</v>
      </c>
      <c r="CZ101" s="199">
        <f t="shared" si="401"/>
        <v>63676050.496949553</v>
      </c>
      <c r="DA101" s="199">
        <f t="shared" si="402"/>
        <v>84232257.646132872</v>
      </c>
      <c r="DB101" s="199">
        <f t="shared" si="403"/>
        <v>78141503.80909887</v>
      </c>
      <c r="DC101" s="199">
        <f t="shared" si="404"/>
        <v>81779571.941228211</v>
      </c>
      <c r="DD101" s="199">
        <f t="shared" si="405"/>
        <v>81324231.400377527</v>
      </c>
      <c r="DE101" s="199">
        <f t="shared" si="406"/>
        <v>86827549.684540629</v>
      </c>
      <c r="DF101" s="199">
        <f t="shared" si="407"/>
        <v>99199187.736126959</v>
      </c>
      <c r="DG101" s="199">
        <f t="shared" si="408"/>
        <v>121003113.59921522</v>
      </c>
      <c r="DH101" s="199">
        <f t="shared" si="409"/>
        <v>121917552.19198957</v>
      </c>
      <c r="DI101" s="199">
        <f t="shared" si="410"/>
        <v>132428264.9919737</v>
      </c>
      <c r="DJ101" s="199">
        <f t="shared" si="411"/>
        <v>132740703.99138381</v>
      </c>
      <c r="DK101" s="199">
        <f t="shared" si="412"/>
        <v>131042475.68230677</v>
      </c>
      <c r="DL101" s="199">
        <f t="shared" si="413"/>
        <v>130215484.88117611</v>
      </c>
      <c r="DM101" s="199">
        <f t="shared" si="414"/>
        <v>144193482.61329269</v>
      </c>
      <c r="DN101" s="199">
        <f t="shared" si="415"/>
        <v>162254195.70977533</v>
      </c>
      <c r="DO101" s="199">
        <f t="shared" si="416"/>
        <v>157161538.28184131</v>
      </c>
      <c r="DP101" s="199">
        <f t="shared" si="417"/>
        <v>155791537.90542936</v>
      </c>
      <c r="DQ101" s="199">
        <f t="shared" si="418"/>
        <v>171994805.33636326</v>
      </c>
      <c r="DR101" s="199">
        <f t="shared" si="419"/>
        <v>192483844.6225881</v>
      </c>
      <c r="DS101" s="199">
        <f t="shared" si="312"/>
        <v>180530317.98443896</v>
      </c>
      <c r="DT101" s="199">
        <f t="shared" si="313"/>
        <v>178831277.45054281</v>
      </c>
      <c r="DU101" s="199">
        <f t="shared" si="314"/>
        <v>197400568.58734757</v>
      </c>
      <c r="DV101" s="199">
        <f t="shared" si="315"/>
        <v>221071596.52200112</v>
      </c>
      <c r="DX101" s="199">
        <f t="shared" si="420"/>
        <v>295378766.47097969</v>
      </c>
      <c r="DY101" s="199">
        <f t="shared" si="421"/>
        <v>349130540.76227331</v>
      </c>
      <c r="DZ101" s="199">
        <f t="shared" si="422"/>
        <v>508089634.7745623</v>
      </c>
      <c r="EA101" s="199">
        <f t="shared" si="423"/>
        <v>567705638.8865509</v>
      </c>
      <c r="EB101" s="199">
        <f t="shared" si="424"/>
        <v>677431726.146222</v>
      </c>
      <c r="EC101" s="810">
        <f t="shared" si="316"/>
        <v>777833760.54433048</v>
      </c>
    </row>
    <row r="102" spans="2:133" x14ac:dyDescent="0.2">
      <c r="B102" s="155" t="s">
        <v>229</v>
      </c>
      <c r="C102" s="19">
        <f>'D2C - Retail'!J133</f>
        <v>732107.56636266806</v>
      </c>
      <c r="D102" s="19">
        <f>'D2C - Retail'!K133</f>
        <v>668657.26273367391</v>
      </c>
      <c r="E102" s="19">
        <f>'D2C - Retail'!L133</f>
        <v>879266.22607154236</v>
      </c>
      <c r="F102" s="19">
        <f>'D2C - Retail'!M133</f>
        <v>549840.53128778003</v>
      </c>
      <c r="G102" s="19">
        <f>'D2C - Retail'!N133</f>
        <v>20346.098100603627</v>
      </c>
      <c r="H102" s="19">
        <f>'D2C - Retail'!O133</f>
        <v>359716.77678032639</v>
      </c>
      <c r="I102" s="19">
        <f>'D2C - Retail'!P133</f>
        <v>573798.3543186069</v>
      </c>
      <c r="J102" s="19">
        <f>'D2C - Retail'!Q133</f>
        <v>837764.92443524487</v>
      </c>
      <c r="K102" s="19">
        <f>'D2C - Retail'!R133</f>
        <v>1172951.4825985655</v>
      </c>
      <c r="L102" s="19">
        <f>'D2C - Retail'!S133</f>
        <v>1516671.4000202734</v>
      </c>
      <c r="M102" s="19">
        <f>'D2C - Retail'!T133</f>
        <v>1786737.4024705118</v>
      </c>
      <c r="N102" s="19">
        <f>'D2C - Retail'!U133</f>
        <v>2140822.8130463362</v>
      </c>
      <c r="O102" s="19">
        <f>'D2C - Retail'!V133</f>
        <v>1802641.5596228095</v>
      </c>
      <c r="P102" s="19">
        <f>'D2C - Retail'!W133</f>
        <v>2198900.1404742305</v>
      </c>
      <c r="Q102" s="19">
        <f>'D2C - Retail'!X133</f>
        <v>2897278.0586944404</v>
      </c>
      <c r="R102" s="19">
        <f>'D2C - Retail'!Y133</f>
        <v>2487367.86507075</v>
      </c>
      <c r="S102" s="19">
        <f>'D2C - Retail'!Z133</f>
        <v>2982824.248759659</v>
      </c>
      <c r="T102" s="19">
        <f>'D2C - Retail'!AA133</f>
        <v>3480574.2121569877</v>
      </c>
      <c r="U102" s="19">
        <f>'D2C - Retail'!AB133</f>
        <v>4054442.1777383164</v>
      </c>
      <c r="V102" s="19">
        <f>'D2C - Retail'!AC133</f>
        <v>3519070.2049481506</v>
      </c>
      <c r="W102" s="19">
        <f>'D2C - Retail'!AD133</f>
        <v>3592075.0021107318</v>
      </c>
      <c r="X102" s="19">
        <f>'D2C - Retail'!AE133</f>
        <v>3932358.1898547178</v>
      </c>
      <c r="Y102" s="19">
        <f>'D2C - Retail'!AF133</f>
        <v>3887231.1579370624</v>
      </c>
      <c r="Z102" s="19">
        <f>'D2C - Retail'!AG133</f>
        <v>4353527.2192042209</v>
      </c>
      <c r="AA102" s="19">
        <f>'D2C - Retail'!AH133</f>
        <v>4612904.942500446</v>
      </c>
      <c r="AB102" s="19">
        <f>'D2C - Retail'!AI133</f>
        <v>5519867.3778399294</v>
      </c>
      <c r="AC102" s="19">
        <f>'D2C - Retail'!AJ133</f>
        <v>7738040.5215995191</v>
      </c>
      <c r="AD102" s="19">
        <f>'D2C - Retail'!AK133</f>
        <v>10629899.225881325</v>
      </c>
      <c r="AE102" s="19">
        <f>'D2C - Retail'!AL133</f>
        <v>11150812.547877267</v>
      </c>
      <c r="AF102" s="19">
        <f>'D2C - Retail'!AM133</f>
        <v>11891909.199918626</v>
      </c>
      <c r="AG102" s="19">
        <f>'D2C - Retail'!AN133</f>
        <v>9946606.8633537591</v>
      </c>
      <c r="AH102" s="19">
        <f>'D2C - Retail'!AO133</f>
        <v>10394775.23642534</v>
      </c>
      <c r="AI102" s="19">
        <f>'D2C - Retail'!AP133</f>
        <v>10079453.412495932</v>
      </c>
      <c r="AJ102" s="19">
        <f>'D2C - Retail'!AQ133</f>
        <v>14955152.836107988</v>
      </c>
      <c r="AK102" s="19">
        <f>'D2C - Retail'!AR133</f>
        <v>13759891.745202333</v>
      </c>
      <c r="AL102" s="19">
        <f>'D2C - Retail'!AS133</f>
        <v>13473619.400649462</v>
      </c>
      <c r="AM102" s="19">
        <f>'D2C - Retail'!AT133</f>
        <v>12490885.505439561</v>
      </c>
      <c r="AN102" s="19">
        <f>'D2C - Retail'!AU133</f>
        <v>14413388.284954067</v>
      </c>
      <c r="AO102" s="19">
        <f>'D2C - Retail'!AV133</f>
        <v>15701410.311212385</v>
      </c>
      <c r="AP102" s="19">
        <f>'D2C - Retail'!AW133</f>
        <v>13870986.96624638</v>
      </c>
      <c r="AQ102" s="19">
        <f>'D2C - Retail'!AX133</f>
        <v>13875914.078319829</v>
      </c>
      <c r="AR102" s="19">
        <f>'D2C - Retail'!AY133</f>
        <v>13930896.699784346</v>
      </c>
      <c r="AS102" s="19">
        <f>'D2C - Retail'!AZ133</f>
        <v>14252012.158503862</v>
      </c>
      <c r="AT102" s="19">
        <f>'D2C - Retail'!BA133</f>
        <v>11825781.859210091</v>
      </c>
      <c r="AU102" s="19">
        <f>'D2C - Retail'!BB133</f>
        <v>11363672.105887113</v>
      </c>
      <c r="AV102" s="19">
        <f>'D2C - Retail'!BC133</f>
        <v>14837038.177492809</v>
      </c>
      <c r="AW102" s="19">
        <f>'D2C - Retail'!BD133</f>
        <v>13767089.958780337</v>
      </c>
      <c r="AX102" s="19">
        <f>'D2C - Retail'!BE133</f>
        <v>14848282.128450846</v>
      </c>
      <c r="AY102" s="19">
        <f>'D2C - Retail'!BF133</f>
        <v>15988502.190642331</v>
      </c>
      <c r="AZ102" s="19">
        <f>'D2C - Retail'!BG133</f>
        <v>15890117.645247098</v>
      </c>
      <c r="BA102" s="19">
        <f>'D2C - Retail'!BH133</f>
        <v>20152443.042471968</v>
      </c>
      <c r="BB102" s="19">
        <f>'D2C - Retail'!BI133</f>
        <v>20323055.965860557</v>
      </c>
      <c r="BC102" s="19">
        <f>'D2C - Retail'!BJ133</f>
        <v>19469636.918245416</v>
      </c>
      <c r="BD102" s="19">
        <f>'D2C - Retail'!BK133</f>
        <v>21039946.11563769</v>
      </c>
      <c r="BE102" s="19">
        <f>'D2C - Retail'!BL133</f>
        <v>25358735.072609171</v>
      </c>
      <c r="BF102" s="19">
        <f>'D2C - Retail'!BM133</f>
        <v>20697051.746065527</v>
      </c>
      <c r="BG102" s="19">
        <f>'D2C - Retail'!BN133</f>
        <v>21317536.385019571</v>
      </c>
      <c r="BH102" s="19">
        <f>'D2C - Retail'!BO133</f>
        <v>32631410.232460476</v>
      </c>
      <c r="BI102" s="19">
        <f>'D2C - Retail'!BP133</f>
        <v>19831890.581445239</v>
      </c>
      <c r="BJ102" s="19">
        <f>'D2C - Retail'!BQ133</f>
        <v>18037492.254060939</v>
      </c>
      <c r="BK102" s="19">
        <f>'D2C - Retail'!BR133</f>
        <v>19883810.208931644</v>
      </c>
      <c r="BL102" s="19">
        <f>'D2C - Retail'!BS133</f>
        <v>18365949.479077406</v>
      </c>
      <c r="BM102" s="19">
        <f>'D2C - Retail'!BT133</f>
        <v>23397522.881831151</v>
      </c>
      <c r="BN102" s="19">
        <f>'D2C - Retail'!BU133</f>
        <v>20796156.036749162</v>
      </c>
      <c r="BO102" s="19">
        <f>'D2C - Retail'!BV133</f>
        <v>20410509.453201562</v>
      </c>
      <c r="BP102" s="19">
        <f>'D2C - Retail'!BW133</f>
        <v>20364111.005262148</v>
      </c>
      <c r="BQ102" s="19">
        <f>'D2C - Retail'!BX133</f>
        <v>21843649.759243317</v>
      </c>
      <c r="BR102" s="19">
        <f>'D2C - Retail'!BY133</f>
        <v>19766311.591889493</v>
      </c>
      <c r="BS102" s="19">
        <f>'D2C - Retail'!BZ133</f>
        <v>18515879.390965119</v>
      </c>
      <c r="BT102" s="19">
        <f>'D2C - Retail'!CA133</f>
        <v>22500137.576313961</v>
      </c>
      <c r="BU102" s="19">
        <f>'D2C - Retail'!CB133</f>
        <v>20902276.369638007</v>
      </c>
      <c r="BV102" s="19">
        <f>'D2C - Retail'!CC133</f>
        <v>24405590.757373396</v>
      </c>
      <c r="BW102" s="19">
        <f>'D2C - Retail'!CD133</f>
        <v>24940399.217024859</v>
      </c>
      <c r="BX102" s="19">
        <f>'D2C - Retail'!CE133</f>
        <v>23350167.154097859</v>
      </c>
      <c r="BY102" s="19">
        <f>'D2C - Retail'!CF133</f>
        <v>26762729.24216219</v>
      </c>
      <c r="BZ102" s="19">
        <f>'D2C - Retail'!CG133</f>
        <v>25120009.657842167</v>
      </c>
      <c r="CA102" s="19">
        <f>'D2C - Retail'!CH133</f>
        <v>24698225.358938418</v>
      </c>
      <c r="CB102" s="19">
        <f>'D2C - Retail'!CI133</f>
        <v>24530618.029726364</v>
      </c>
      <c r="CC102" s="19">
        <f>'D2C - Retail'!CJ133</f>
        <v>26339011.597513683</v>
      </c>
      <c r="CD102" s="19">
        <f>'D2C - Retail'!CK133</f>
        <v>23741248.166218542</v>
      </c>
      <c r="CE102" s="19">
        <f>'D2C - Retail'!CL133</f>
        <v>22161980.999640558</v>
      </c>
      <c r="CF102" s="19">
        <f>'D2C - Retail'!CM133</f>
        <v>26967291.072991014</v>
      </c>
      <c r="CG102" s="19">
        <f>'D2C - Retail'!CN133</f>
        <v>24903126.166890807</v>
      </c>
      <c r="CH102" s="19">
        <f>'D2C - Retail'!CO133</f>
        <v>29070237.806115925</v>
      </c>
      <c r="CI102" s="19">
        <f>'D2C - Retail'!CP133</f>
        <v>29608573.242429651</v>
      </c>
      <c r="CJ102" s="19">
        <f>'D2C - Retail'!CQ133</f>
        <v>27572035.253275502</v>
      </c>
      <c r="CK102" s="19">
        <f>'D2C - Retail'!CR133</f>
        <v>31356725.872675054</v>
      </c>
      <c r="CL102" s="19">
        <f>'D2C - Retail'!CS133</f>
        <v>28200676.331074566</v>
      </c>
      <c r="CM102" s="19">
        <f>'D2C - Retail'!CT133</f>
        <v>27696062.57021375</v>
      </c>
      <c r="CN102" s="19">
        <f>'D2C - Retail'!CU133</f>
        <v>27490065.906113558</v>
      </c>
      <c r="CO102" s="19">
        <f>'D2C - Retail'!CV133</f>
        <v>29539065.35993994</v>
      </c>
      <c r="CP102" s="19">
        <f>'D2C - Retail'!CW133</f>
        <v>26554730.382984288</v>
      </c>
      <c r="CQ102" s="19">
        <f>'D2C - Retail'!CX133</f>
        <v>24729885.108293183</v>
      </c>
      <c r="CR102" s="19">
        <f>'D2C - Retail'!CY133</f>
        <v>30194335.835565683</v>
      </c>
      <c r="CS102" s="19">
        <f>'D2C - Retail'!CZ133</f>
        <v>27830849.813029654</v>
      </c>
      <c r="CT102" s="19">
        <f>'D2C - Retail'!DA133</f>
        <v>32564209.947323438</v>
      </c>
      <c r="CU102" s="19">
        <f>'D2C - Retail'!DB133</f>
        <v>33168458.027675282</v>
      </c>
      <c r="CV102" s="19">
        <f>'D2C - Retail'!DC133</f>
        <v>30837680.297327012</v>
      </c>
      <c r="CW102" s="19">
        <f>'D2C - Retail'!DD133</f>
        <v>35130887.908748046</v>
      </c>
      <c r="CY102" s="19">
        <f t="shared" si="400"/>
        <v>33672620.973677218</v>
      </c>
      <c r="CZ102" s="19">
        <f t="shared" si="401"/>
        <v>30420835.512275033</v>
      </c>
      <c r="DA102" s="19">
        <f t="shared" si="402"/>
        <v>42188663.981959783</v>
      </c>
      <c r="DB102" s="19">
        <f t="shared" si="403"/>
        <v>42605684.101606011</v>
      </c>
      <c r="DC102" s="19">
        <f t="shared" si="404"/>
        <v>41677797.744350553</v>
      </c>
      <c r="DD102" s="19">
        <f t="shared" si="405"/>
        <v>37441466.123601064</v>
      </c>
      <c r="DE102" s="19">
        <f t="shared" si="406"/>
        <v>43452410.264723994</v>
      </c>
      <c r="DF102" s="19">
        <f t="shared" si="407"/>
        <v>52031062.878361396</v>
      </c>
      <c r="DG102" s="19">
        <f t="shared" si="408"/>
        <v>60832638.999743663</v>
      </c>
      <c r="DH102" s="19">
        <f t="shared" si="409"/>
        <v>67373323.203694269</v>
      </c>
      <c r="DI102" s="19">
        <f t="shared" si="410"/>
        <v>70500793.067966655</v>
      </c>
      <c r="DJ102" s="19">
        <f t="shared" si="411"/>
        <v>61647282.569840208</v>
      </c>
      <c r="DK102" s="19">
        <f t="shared" si="412"/>
        <v>61570776.495212868</v>
      </c>
      <c r="DL102" s="19">
        <f t="shared" si="413"/>
        <v>60125840.742097929</v>
      </c>
      <c r="DM102" s="19">
        <f t="shared" si="414"/>
        <v>67808004.703325361</v>
      </c>
      <c r="DN102" s="19">
        <f t="shared" si="415"/>
        <v>75053295.613284916</v>
      </c>
      <c r="DO102" s="19">
        <f t="shared" si="416"/>
        <v>74348853.046506941</v>
      </c>
      <c r="DP102" s="19">
        <f t="shared" si="417"/>
        <v>72242240.763372779</v>
      </c>
      <c r="DQ102" s="19">
        <f t="shared" si="418"/>
        <v>80940655.045997739</v>
      </c>
      <c r="DR102" s="19">
        <f t="shared" si="419"/>
        <v>88537334.368380219</v>
      </c>
      <c r="DS102" s="19">
        <f t="shared" si="312"/>
        <v>83386804.807401866</v>
      </c>
      <c r="DT102" s="19">
        <f t="shared" si="313"/>
        <v>80823680.851217419</v>
      </c>
      <c r="DU102" s="19">
        <f t="shared" si="314"/>
        <v>90589395.595918775</v>
      </c>
      <c r="DV102" s="19">
        <f t="shared" si="315"/>
        <v>99137026.233750343</v>
      </c>
      <c r="DX102" s="19">
        <f t="shared" si="420"/>
        <v>148887804.56951803</v>
      </c>
      <c r="DY102" s="19">
        <f t="shared" si="421"/>
        <v>174602737.01103702</v>
      </c>
      <c r="DZ102" s="19">
        <f t="shared" si="422"/>
        <v>260354037.84124476</v>
      </c>
      <c r="EA102" s="19">
        <f t="shared" si="423"/>
        <v>264557917.55392107</v>
      </c>
      <c r="EB102" s="19">
        <f t="shared" si="424"/>
        <v>316069083.22425771</v>
      </c>
      <c r="EC102" s="770">
        <f t="shared" si="316"/>
        <v>353936907.4882884</v>
      </c>
    </row>
    <row r="103" spans="2:133" x14ac:dyDescent="0.2">
      <c r="B103" s="155" t="s">
        <v>237</v>
      </c>
      <c r="C103" s="19">
        <f>'D2C Online'!AA114</f>
        <v>118243.13829844439</v>
      </c>
      <c r="D103" s="19">
        <f>'D2C Online'!AB114</f>
        <v>110985.71287480838</v>
      </c>
      <c r="E103" s="19">
        <f>'D2C Online'!AC114</f>
        <v>194062.90496577768</v>
      </c>
      <c r="F103" s="19">
        <f>'D2C Online'!AD114</f>
        <v>134343.17413734028</v>
      </c>
      <c r="G103" s="19">
        <f>'D2C Online'!AE114</f>
        <v>160148.01533480885</v>
      </c>
      <c r="H103" s="19">
        <f>'D2C Online'!AF114</f>
        <v>164659.6719516865</v>
      </c>
      <c r="I103" s="19">
        <f>'D2C Online'!AG114</f>
        <v>292515.67875624821</v>
      </c>
      <c r="J103" s="19">
        <f>'D2C Online'!AH114</f>
        <v>299606.19433541206</v>
      </c>
      <c r="K103" s="19">
        <f>'D2C Online'!AI114</f>
        <v>373728.96835255262</v>
      </c>
      <c r="L103" s="19">
        <f>'D2C Online'!AJ114</f>
        <v>200270.25577698415</v>
      </c>
      <c r="M103" s="19">
        <f>'D2C Online'!AK114</f>
        <v>684324.01915695402</v>
      </c>
      <c r="N103" s="19">
        <f>'D2C Online'!AL114</f>
        <v>747282.45033422729</v>
      </c>
      <c r="O103" s="19">
        <f>'D2C Online'!AM114</f>
        <v>1159303.3876637763</v>
      </c>
      <c r="P103" s="19">
        <f>'D2C Online'!AN114</f>
        <v>1216568.5877774304</v>
      </c>
      <c r="Q103" s="19">
        <f>'D2C Online'!AO114</f>
        <v>995284.52689926047</v>
      </c>
      <c r="R103" s="19">
        <f>'D2C Online'!AP114</f>
        <v>1128624.2083334341</v>
      </c>
      <c r="S103" s="19">
        <f>'D2C Online'!AQ114</f>
        <v>1273346.8218668639</v>
      </c>
      <c r="T103" s="19">
        <f>'D2C Online'!AR114</f>
        <v>2122708.3948717471</v>
      </c>
      <c r="U103" s="19">
        <f>'D2C Online'!AS114</f>
        <v>1946517.4459707725</v>
      </c>
      <c r="V103" s="19">
        <f>'D2C Online'!AT114</f>
        <v>1619744.9202893383</v>
      </c>
      <c r="W103" s="19">
        <f>'D2C Online'!AU114</f>
        <v>2006431.6383877893</v>
      </c>
      <c r="X103" s="19">
        <f>'D2C Online'!AV114</f>
        <v>3664962.4451774592</v>
      </c>
      <c r="Y103" s="19">
        <f>'D2C Online'!AW114</f>
        <v>3126047.9578465931</v>
      </c>
      <c r="Z103" s="19">
        <f>'D2C Online'!AX114</f>
        <v>2900862.7721313215</v>
      </c>
      <c r="AA103" s="19">
        <f>'D2C Online'!AY114</f>
        <v>3290353.4019341422</v>
      </c>
      <c r="AB103" s="19">
        <f>'D2C Online'!AZ114</f>
        <v>5079032.00386592</v>
      </c>
      <c r="AC103" s="19">
        <f>'D2C Online'!BA114</f>
        <v>12880923.788880961</v>
      </c>
      <c r="AD103" s="19">
        <f>'D2C Online'!BB114</f>
        <v>12805633.443141038</v>
      </c>
      <c r="AE103" s="19">
        <f>'D2C Online'!BC114</f>
        <v>10943168.526432095</v>
      </c>
      <c r="AF103" s="19">
        <f>'D2C Online'!BD114</f>
        <v>11907531.575548051</v>
      </c>
      <c r="AG103" s="19">
        <f>'D2C Online'!BE114</f>
        <v>10488339.789743049</v>
      </c>
      <c r="AH103" s="19">
        <f>'D2C Online'!BF114</f>
        <v>10994651.32871994</v>
      </c>
      <c r="AI103" s="19">
        <f>'D2C Online'!BG114</f>
        <v>11772223.866211524</v>
      </c>
      <c r="AJ103" s="19">
        <f>'D2C Online'!BH114</f>
        <v>20107040.246410076</v>
      </c>
      <c r="AK103" s="19">
        <f>'D2C Online'!BI114</f>
        <v>11786702.792447269</v>
      </c>
      <c r="AL103" s="19">
        <f>'D2C Online'!BJ114</f>
        <v>10149850.625315748</v>
      </c>
      <c r="AM103" s="19">
        <f>'D2C Online'!BK114</f>
        <v>11306341.52876357</v>
      </c>
      <c r="AN103" s="19">
        <f>'D2C Online'!BL114</f>
        <v>11232315.787155248</v>
      </c>
      <c r="AO103" s="19">
        <f>'D2C Online'!BM114</f>
        <v>12997162.39157404</v>
      </c>
      <c r="AP103" s="19">
        <f>'D2C Online'!BN114</f>
        <v>11432232.901747197</v>
      </c>
      <c r="AQ103" s="19">
        <f>'D2C Online'!BO114</f>
        <v>13429312.186326377</v>
      </c>
      <c r="AR103" s="19">
        <f>'D2C Online'!BP114</f>
        <v>15240229.108804077</v>
      </c>
      <c r="AS103" s="19">
        <f>'D2C Online'!BQ114</f>
        <v>16114170.745189702</v>
      </c>
      <c r="AT103" s="19">
        <f>'D2C Online'!BR114</f>
        <v>14022331.569350606</v>
      </c>
      <c r="AU103" s="19">
        <f>'D2C Online'!BS114</f>
        <v>13746262.962236155</v>
      </c>
      <c r="AV103" s="19">
        <f>'D2C Online'!BT114</f>
        <v>15082367.858397357</v>
      </c>
      <c r="AW103" s="19">
        <f>'D2C Online'!BU114</f>
        <v>14137362.734426841</v>
      </c>
      <c r="AX103" s="19">
        <f>'D2C Online'!BV114</f>
        <v>14155408.826992447</v>
      </c>
      <c r="AY103" s="19">
        <f>'D2C Online'!BW114</f>
        <v>15054042.84350035</v>
      </c>
      <c r="AZ103" s="19">
        <f>'D2C Online'!BX114</f>
        <v>11276306.266790459</v>
      </c>
      <c r="BA103" s="19">
        <f>'D2C Online'!BY114</f>
        <v>20837775.747474745</v>
      </c>
      <c r="BB103" s="19">
        <f>'D2C Online'!BZ114</f>
        <v>19312000.767726883</v>
      </c>
      <c r="BC103" s="19">
        <f>'D2C Online'!CA114</f>
        <v>19595218.730950698</v>
      </c>
      <c r="BD103" s="19">
        <f>'D2C Online'!CB114</f>
        <v>21263255.100793973</v>
      </c>
      <c r="BE103" s="19">
        <f>'D2C Online'!CC114</f>
        <v>19516269.745977808</v>
      </c>
      <c r="BF103" s="19">
        <f>'D2C Online'!CD114</f>
        <v>15892174.303431101</v>
      </c>
      <c r="BG103" s="19">
        <f>'D2C Online'!CE114</f>
        <v>19135784.938886411</v>
      </c>
      <c r="BH103" s="19">
        <f>'D2C Online'!CF114</f>
        <v>20730624.578885205</v>
      </c>
      <c r="BI103" s="19">
        <f>'D2C Online'!CG114</f>
        <v>18848804.375661843</v>
      </c>
      <c r="BJ103" s="19">
        <f>'D2C Online'!CH114</f>
        <v>22348042.969460003</v>
      </c>
      <c r="BK103" s="19">
        <f>'D2C Online'!CI114</f>
        <v>24981016.869870305</v>
      </c>
      <c r="BL103" s="19">
        <f>'D2C Online'!CJ114</f>
        <v>21301249.22925378</v>
      </c>
      <c r="BM103" s="19">
        <f>'D2C Online'!CK114</f>
        <v>24811155.322419528</v>
      </c>
      <c r="BN103" s="19">
        <f>'D2C Online'!CL114</f>
        <v>23006672.48363005</v>
      </c>
      <c r="BO103" s="19">
        <f>'D2C Online'!CM114</f>
        <v>23240826.512520947</v>
      </c>
      <c r="BP103" s="19">
        <f>'D2C Online'!CN114</f>
        <v>23224200.190942898</v>
      </c>
      <c r="BQ103" s="19">
        <f>'D2C Online'!CO114</f>
        <v>23574738.470880173</v>
      </c>
      <c r="BR103" s="19">
        <f>'D2C Online'!CP114</f>
        <v>22214151.155076213</v>
      </c>
      <c r="BS103" s="19">
        <f>'D2C Online'!CQ114</f>
        <v>24300754.513121791</v>
      </c>
      <c r="BT103" s="19">
        <f>'D2C Online'!CR114</f>
        <v>23628774.016008839</v>
      </c>
      <c r="BU103" s="19">
        <f>'D2C Online'!CS114</f>
        <v>23684195.087935679</v>
      </c>
      <c r="BV103" s="19">
        <f>'D2C Online'!CT114</f>
        <v>29072508.806022834</v>
      </c>
      <c r="BW103" s="19">
        <f>'D2C Online'!CU114</f>
        <v>31325375.379848935</v>
      </c>
      <c r="BX103" s="19">
        <f>'D2C Online'!CV114</f>
        <v>26855665.928949177</v>
      </c>
      <c r="BY103" s="19">
        <f>'D2C Online'!CW114</f>
        <v>29019858.787692335</v>
      </c>
      <c r="BZ103" s="19">
        <f>'D2C Online'!CX114</f>
        <v>27424754.9576739</v>
      </c>
      <c r="CA103" s="19">
        <f>'D2C Online'!CY114</f>
        <v>27703874.716050707</v>
      </c>
      <c r="CB103" s="19">
        <f>'D2C Online'!CZ114</f>
        <v>27684055.561609749</v>
      </c>
      <c r="CC103" s="19">
        <f>'D2C Online'!DA114</f>
        <v>28101909.401073255</v>
      </c>
      <c r="CD103" s="19">
        <f>'D2C Online'!DB114</f>
        <v>26480041.929321624</v>
      </c>
      <c r="CE103" s="19">
        <f>'D2C Online'!DC114</f>
        <v>28967345.811661698</v>
      </c>
      <c r="CF103" s="19">
        <f>'D2C Online'!DD114</f>
        <v>28166321.65300636</v>
      </c>
      <c r="CG103" s="19">
        <f>'D2C Online'!DE114</f>
        <v>28232385.501142886</v>
      </c>
      <c r="CH103" s="19">
        <f>'D2C Online'!DF114</f>
        <v>34655443.136216283</v>
      </c>
      <c r="CI103" s="19">
        <f>'D2C Online'!DG114</f>
        <v>37340938.562965922</v>
      </c>
      <c r="CJ103" s="19">
        <f>'D2C Online'!DH114</f>
        <v>32012889.210755378</v>
      </c>
      <c r="CK103" s="19">
        <f>'D2C Online'!DI114</f>
        <v>34592682.480486587</v>
      </c>
      <c r="CL103" s="19">
        <f>'D2C Online'!DJ114</f>
        <v>32170639.522640169</v>
      </c>
      <c r="CM103" s="19">
        <f>'D2C Online'!DK114</f>
        <v>32498061.267857041</v>
      </c>
      <c r="CN103" s="19">
        <f>'D2C Online'!DL114</f>
        <v>32474812.386539869</v>
      </c>
      <c r="CO103" s="19">
        <f>'D2C Online'!DM114</f>
        <v>32964976.300976966</v>
      </c>
      <c r="CP103" s="19">
        <f>'D2C Online'!DN114</f>
        <v>31062442.846521515</v>
      </c>
      <c r="CQ103" s="19">
        <f>'D2C Online'!DO114</f>
        <v>33980177.451826915</v>
      </c>
      <c r="CR103" s="19">
        <f>'D2C Online'!DP114</f>
        <v>33040535.165257774</v>
      </c>
      <c r="CS103" s="19">
        <f>'D2C Online'!DQ114</f>
        <v>33118031.436315022</v>
      </c>
      <c r="CT103" s="19">
        <f>'D2C Online'!DR114</f>
        <v>40652606.389855988</v>
      </c>
      <c r="CU103" s="19">
        <f>'D2C Online'!DS114</f>
        <v>43802829.808333129</v>
      </c>
      <c r="CV103" s="19">
        <f>'D2C Online'!DT114</f>
        <v>37552755.547566056</v>
      </c>
      <c r="CW103" s="19">
        <f>'D2C Online'!DU114</f>
        <v>40578984.932351604</v>
      </c>
      <c r="CY103" s="19">
        <f t="shared" si="400"/>
        <v>35656333.545121185</v>
      </c>
      <c r="CZ103" s="19">
        <f t="shared" si="401"/>
        <v>33255214.984674513</v>
      </c>
      <c r="DA103" s="19">
        <f t="shared" si="402"/>
        <v>42043593.664173096</v>
      </c>
      <c r="DB103" s="19">
        <f t="shared" si="403"/>
        <v>35535819.707492858</v>
      </c>
      <c r="DC103" s="19">
        <f t="shared" si="404"/>
        <v>40101774.196877651</v>
      </c>
      <c r="DD103" s="19">
        <f t="shared" si="405"/>
        <v>43882765.276776463</v>
      </c>
      <c r="DE103" s="19">
        <f t="shared" si="406"/>
        <v>43375139.419816643</v>
      </c>
      <c r="DF103" s="19">
        <f t="shared" si="407"/>
        <v>47168124.857765555</v>
      </c>
      <c r="DG103" s="19">
        <f t="shared" si="408"/>
        <v>60170474.599471554</v>
      </c>
      <c r="DH103" s="19">
        <f t="shared" si="409"/>
        <v>54544228.988295324</v>
      </c>
      <c r="DI103" s="19">
        <f t="shared" si="410"/>
        <v>61927471.924007051</v>
      </c>
      <c r="DJ103" s="19">
        <f t="shared" si="411"/>
        <v>71093421.421543613</v>
      </c>
      <c r="DK103" s="19">
        <f t="shared" si="412"/>
        <v>69471699.187093899</v>
      </c>
      <c r="DL103" s="19">
        <f t="shared" si="413"/>
        <v>70089644.13907817</v>
      </c>
      <c r="DM103" s="19">
        <f t="shared" si="414"/>
        <v>76385477.909967348</v>
      </c>
      <c r="DN103" s="19">
        <f t="shared" si="415"/>
        <v>87200900.096490443</v>
      </c>
      <c r="DO103" s="19">
        <f t="shared" si="416"/>
        <v>82812685.235334352</v>
      </c>
      <c r="DP103" s="19">
        <f t="shared" si="417"/>
        <v>83549297.142056584</v>
      </c>
      <c r="DQ103" s="19">
        <f t="shared" si="418"/>
        <v>91054150.290365532</v>
      </c>
      <c r="DR103" s="19">
        <f t="shared" si="419"/>
        <v>103946510.25420789</v>
      </c>
      <c r="DS103" s="19">
        <f t="shared" si="312"/>
        <v>97143513.17703709</v>
      </c>
      <c r="DT103" s="19">
        <f t="shared" si="313"/>
        <v>98007596.599325389</v>
      </c>
      <c r="DU103" s="19">
        <f t="shared" si="314"/>
        <v>106811172.99142879</v>
      </c>
      <c r="DV103" s="19">
        <f t="shared" si="315"/>
        <v>121934570.28825079</v>
      </c>
      <c r="DX103" s="19">
        <f t="shared" si="420"/>
        <v>146490961.90146166</v>
      </c>
      <c r="DY103" s="19">
        <f t="shared" si="421"/>
        <v>174527803.75123632</v>
      </c>
      <c r="DZ103" s="19">
        <f t="shared" si="422"/>
        <v>247735596.93331754</v>
      </c>
      <c r="EA103" s="19">
        <f t="shared" si="423"/>
        <v>303147721.33262986</v>
      </c>
      <c r="EB103" s="19">
        <f t="shared" si="424"/>
        <v>361362642.92196435</v>
      </c>
      <c r="EC103" s="770">
        <f t="shared" si="316"/>
        <v>423896853.05604208</v>
      </c>
    </row>
    <row r="104" spans="2:133" x14ac:dyDescent="0.2">
      <c r="B104" s="155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Y104" s="19">
        <f t="shared" si="400"/>
        <v>0</v>
      </c>
      <c r="CZ104" s="19">
        <f t="shared" si="401"/>
        <v>0</v>
      </c>
      <c r="DA104" s="19">
        <f t="shared" si="402"/>
        <v>0</v>
      </c>
      <c r="DB104" s="19">
        <f t="shared" si="403"/>
        <v>0</v>
      </c>
      <c r="DC104" s="19">
        <f t="shared" si="404"/>
        <v>0</v>
      </c>
      <c r="DD104" s="19">
        <f t="shared" si="405"/>
        <v>0</v>
      </c>
      <c r="DE104" s="19">
        <f t="shared" si="406"/>
        <v>0</v>
      </c>
      <c r="DF104" s="19">
        <f t="shared" si="407"/>
        <v>0</v>
      </c>
      <c r="DG104" s="19">
        <f t="shared" si="408"/>
        <v>0</v>
      </c>
      <c r="DH104" s="19">
        <f t="shared" si="409"/>
        <v>0</v>
      </c>
      <c r="DI104" s="19">
        <f t="shared" si="410"/>
        <v>0</v>
      </c>
      <c r="DJ104" s="19">
        <f t="shared" si="411"/>
        <v>0</v>
      </c>
      <c r="DK104" s="19">
        <f t="shared" si="412"/>
        <v>0</v>
      </c>
      <c r="DL104" s="19">
        <f t="shared" si="413"/>
        <v>0</v>
      </c>
      <c r="DM104" s="19">
        <f t="shared" si="414"/>
        <v>0</v>
      </c>
      <c r="DN104" s="19">
        <f t="shared" si="415"/>
        <v>0</v>
      </c>
      <c r="DO104" s="19">
        <f t="shared" si="416"/>
        <v>0</v>
      </c>
      <c r="DP104" s="19">
        <f t="shared" si="417"/>
        <v>0</v>
      </c>
      <c r="DQ104" s="19">
        <f t="shared" si="418"/>
        <v>0</v>
      </c>
      <c r="DR104" s="19">
        <f t="shared" si="419"/>
        <v>0</v>
      </c>
      <c r="DS104" s="19">
        <f t="shared" si="312"/>
        <v>0</v>
      </c>
      <c r="DT104" s="19">
        <f t="shared" si="313"/>
        <v>0</v>
      </c>
      <c r="DU104" s="19">
        <f t="shared" si="314"/>
        <v>0</v>
      </c>
      <c r="DV104" s="19">
        <f t="shared" si="315"/>
        <v>0</v>
      </c>
      <c r="DX104" s="19">
        <f t="shared" si="420"/>
        <v>0</v>
      </c>
      <c r="DY104" s="19">
        <f t="shared" si="421"/>
        <v>0</v>
      </c>
      <c r="DZ104" s="19">
        <f t="shared" si="422"/>
        <v>0</v>
      </c>
      <c r="EA104" s="19">
        <f t="shared" si="423"/>
        <v>0</v>
      </c>
      <c r="EB104" s="19">
        <f t="shared" si="424"/>
        <v>0</v>
      </c>
      <c r="EC104" s="770">
        <f t="shared" si="316"/>
        <v>0</v>
      </c>
    </row>
    <row r="105" spans="2:133" x14ac:dyDescent="0.2">
      <c r="B105" s="167" t="s">
        <v>33</v>
      </c>
      <c r="C105" s="19">
        <f>'D2C - Retail'!J134+'D2C Online'!AA115</f>
        <v>113919.86774343719</v>
      </c>
      <c r="D105" s="19">
        <f>'D2C - Retail'!K134+'D2C Online'!AB115</f>
        <v>101900.22830863566</v>
      </c>
      <c r="E105" s="19">
        <f>'D2C - Retail'!L134+'D2C Online'!AC115</f>
        <v>237355.12390842577</v>
      </c>
      <c r="F105" s="19">
        <f>'D2C - Retail'!M134+'D2C Online'!AD115</f>
        <v>123027.43996629686</v>
      </c>
      <c r="G105" s="19">
        <f>'D2C - Retail'!N134+'D2C Online'!AE115</f>
        <v>28259.707746478874</v>
      </c>
      <c r="H105" s="19">
        <f>'D2C - Retail'!O134+'D2C Online'!AF115</f>
        <v>94397.923830250278</v>
      </c>
      <c r="I105" s="19">
        <f>'D2C - Retail'!P134+'D2C Online'!AG115</f>
        <v>144596.07860503736</v>
      </c>
      <c r="J105" s="19">
        <f>'D2C - Retail'!Q134+'D2C Online'!AH115</f>
        <v>220997.80775993437</v>
      </c>
      <c r="K105" s="19">
        <f>'D2C - Retail'!R134+'D2C Online'!AI115</f>
        <v>205490.56990007067</v>
      </c>
      <c r="L105" s="19">
        <f>'D2C - Retail'!S134+'D2C Online'!AJ115</f>
        <v>235842.60140925538</v>
      </c>
      <c r="M105" s="19">
        <f>'D2C - Retail'!T134+'D2C Online'!AK115</f>
        <v>91981.954118089518</v>
      </c>
      <c r="N105" s="19">
        <f>'D2C - Retail'!U134+'D2C Online'!AL115</f>
        <v>283392.75274967006</v>
      </c>
      <c r="O105" s="19">
        <f>'D2C - Retail'!V134+'D2C Online'!AM115</f>
        <v>171364.75152346131</v>
      </c>
      <c r="P105" s="19">
        <f>'D2C - Retail'!W134+'D2C Online'!AN115</f>
        <v>452416.24032170937</v>
      </c>
      <c r="Q105" s="19">
        <f>'D2C - Retail'!X134+'D2C Online'!AO115</f>
        <v>736974.45175014506</v>
      </c>
      <c r="R105" s="19">
        <f>'D2C - Retail'!Y134+'D2C Online'!AP115</f>
        <v>249494.30874387413</v>
      </c>
      <c r="S105" s="19">
        <f>'D2C - Retail'!Z134+'D2C Online'!AQ115</f>
        <v>434919.68608445296</v>
      </c>
      <c r="T105" s="19">
        <f>'D2C - Retail'!AA134+'D2C Online'!AR115</f>
        <v>378224.80433467735</v>
      </c>
      <c r="U105" s="19">
        <f>'D2C - Retail'!AB134+'D2C Online'!AS115</f>
        <v>505054.58457975491</v>
      </c>
      <c r="V105" s="19">
        <f>'D2C - Retail'!AC134+'D2C Online'!AT115</f>
        <v>621052.53390893398</v>
      </c>
      <c r="W105" s="19">
        <f>'D2C - Retail'!AD134+'D2C Online'!AU115</f>
        <v>928113.14570121909</v>
      </c>
      <c r="X105" s="19">
        <f>'D2C - Retail'!AE134+'D2C Online'!AV115</f>
        <v>1234509.1921937307</v>
      </c>
      <c r="Y105" s="19">
        <f>'D2C - Retail'!AF134+'D2C Online'!AW115</f>
        <v>1004264.2890555987</v>
      </c>
      <c r="Z105" s="19">
        <f>'D2C - Retail'!AG134+'D2C Online'!AX115</f>
        <v>945735.53738721705</v>
      </c>
      <c r="AA105" s="19">
        <f>'D2C - Retail'!AH134+'D2C Online'!AY115</f>
        <v>898714.01947376993</v>
      </c>
      <c r="AB105" s="19">
        <f>'D2C - Retail'!AI134+'D2C Online'!AZ115</f>
        <v>1507097.8851699019</v>
      </c>
      <c r="AC105" s="19">
        <f>'D2C - Retail'!AJ134+'D2C Online'!BA115</f>
        <v>1689511.4269059901</v>
      </c>
      <c r="AD105" s="19">
        <f>'D2C - Retail'!AK134+'D2C Online'!BB115</f>
        <v>2404542.2224048995</v>
      </c>
      <c r="AE105" s="19">
        <f>'D2C - Retail'!AL134+'D2C Online'!BC115</f>
        <v>2391833.4403285664</v>
      </c>
      <c r="AF105" s="19">
        <f>'D2C - Retail'!AM134+'D2C Online'!BD115</f>
        <v>3014718.6781084267</v>
      </c>
      <c r="AG105" s="19">
        <f>'D2C - Retail'!AN134+'D2C Online'!BE115</f>
        <v>3074649.0993620083</v>
      </c>
      <c r="AH105" s="19">
        <f>'D2C - Retail'!AO134+'D2C Online'!BF115</f>
        <v>2937129.2424238836</v>
      </c>
      <c r="AI105" s="19">
        <f>'D2C - Retail'!AP134+'D2C Online'!BG115</f>
        <v>2598734.1363698309</v>
      </c>
      <c r="AJ105" s="19">
        <f>'D2C - Retail'!AQ134+'D2C Online'!BH115</f>
        <v>4483462.4083562708</v>
      </c>
      <c r="AK105" s="19">
        <f>'D2C - Retail'!AR134+'D2C Online'!BI115</f>
        <v>3224590.5699640652</v>
      </c>
      <c r="AL105" s="19">
        <f>'D2C - Retail'!AS134+'D2C Online'!BJ115</f>
        <v>2868569.0555025488</v>
      </c>
      <c r="AM105" s="19">
        <f>'D2C - Retail'!AT134+'D2C Online'!BK115</f>
        <v>2952268.4809334851</v>
      </c>
      <c r="AN105" s="19">
        <f>'D2C - Retail'!AU134+'D2C Online'!BL115</f>
        <v>3182193.7483175714</v>
      </c>
      <c r="AO105" s="19">
        <f>'D2C - Retail'!AV134+'D2C Online'!BM115</f>
        <v>2838746.5411494258</v>
      </c>
      <c r="AP105" s="19">
        <f>'D2C - Retail'!AW134+'D2C Online'!BN115</f>
        <v>3465440.2070577294</v>
      </c>
      <c r="AQ105" s="19">
        <f>'D2C - Retail'!AX134+'D2C Online'!BO115</f>
        <v>3619924.7060836935</v>
      </c>
      <c r="AR105" s="19">
        <f>'D2C - Retail'!AY134+'D2C Online'!BP115</f>
        <v>4106958.4369108258</v>
      </c>
      <c r="AS105" s="19">
        <f>'D2C - Retail'!AZ134+'D2C Online'!BQ115</f>
        <v>2943226.3931330834</v>
      </c>
      <c r="AT105" s="19">
        <f>'D2C - Retail'!BA134+'D2C Online'!BR115</f>
        <v>3671889.4441771014</v>
      </c>
      <c r="AU105" s="19">
        <f>'D2C - Retail'!BB134+'D2C Online'!BS115</f>
        <v>3473539.6396038206</v>
      </c>
      <c r="AV105" s="19">
        <f>'D2C - Retail'!BC134+'D2C Online'!BT115</f>
        <v>3503028.7908807821</v>
      </c>
      <c r="AW105" s="19">
        <f>'D2C - Retail'!BD134+'D2C Online'!BU115</f>
        <v>3529627.2101994203</v>
      </c>
      <c r="AX105" s="19">
        <f>'D2C - Retail'!BE134+'D2C Online'!BV115</f>
        <v>3481846.5197386928</v>
      </c>
      <c r="AY105" s="19">
        <f>'D2C - Retail'!BF134+'D2C Online'!BW115</f>
        <v>4199490.2600349197</v>
      </c>
      <c r="AZ105" s="19">
        <f>'D2C - Retail'!BG134+'D2C Online'!BX115</f>
        <v>4668857.3129989747</v>
      </c>
      <c r="BA105" s="19">
        <f>'D2C - Retail'!BH134+'D2C Online'!BY115</f>
        <v>6629508.7015833305</v>
      </c>
      <c r="BB105" s="19">
        <f>'D2C - Retail'!BI134+'D2C Online'!BZ115</f>
        <v>5984480.0345064085</v>
      </c>
      <c r="BC105" s="19">
        <f>'D2C - Retail'!BJ134+'D2C Online'!CA115</f>
        <v>6374599.6945064086</v>
      </c>
      <c r="BD105" s="19">
        <f>'D2C - Retail'!BK134+'D2C Online'!CB115</f>
        <v>6329082.327762818</v>
      </c>
      <c r="BE105" s="19">
        <f>'D2C - Retail'!BL134+'D2C Online'!CC115</f>
        <v>7873206.6726474352</v>
      </c>
      <c r="BF105" s="19">
        <f>'D2C - Retail'!BM134+'D2C Online'!CD115</f>
        <v>6786470.4941474358</v>
      </c>
      <c r="BG105" s="19">
        <f>'D2C - Retail'!BN134+'D2C Online'!CE115</f>
        <v>6258268.7239358956</v>
      </c>
      <c r="BH105" s="19">
        <f>'D2C - Retail'!BO134+'D2C Online'!CF115</f>
        <v>7620787.9532109192</v>
      </c>
      <c r="BI105" s="19">
        <f>'D2C - Retail'!BP134+'D2C Online'!CG115</f>
        <v>7085121.5812365599</v>
      </c>
      <c r="BJ105" s="19">
        <f>'D2C - Retail'!BQ134+'D2C Online'!CH115</f>
        <v>7041530.4447262203</v>
      </c>
      <c r="BK105" s="19">
        <f>'D2C - Retail'!BR134+'D2C Online'!CI115</f>
        <v>9805527.1332371794</v>
      </c>
      <c r="BL105" s="19">
        <f>'D2C - Retail'!BS134+'D2C Online'!CJ115</f>
        <v>7858240.0176089741</v>
      </c>
      <c r="BM105" s="19">
        <f>'D2C - Retail'!BT134+'D2C Online'!CK115</f>
        <v>7784230.7003974356</v>
      </c>
      <c r="BN105" s="19">
        <f>'D2C - Retail'!BU134+'D2C Online'!CL115</f>
        <v>8686213.3753846735</v>
      </c>
      <c r="BO105" s="19">
        <f>'D2C - Retail'!BV134+'D2C Online'!CM115</f>
        <v>8626789.7085318603</v>
      </c>
      <c r="BP105" s="19">
        <f>'D2C - Retail'!BW134+'D2C Online'!CN115</f>
        <v>8609205.0010392088</v>
      </c>
      <c r="BQ105" s="19">
        <f>'D2C - Retail'!BX134+'D2C Online'!CO115</f>
        <v>9060284.8174306042</v>
      </c>
      <c r="BR105" s="19">
        <f>'D2C - Retail'!BY134+'D2C Online'!CP115</f>
        <v>8261998.9098065952</v>
      </c>
      <c r="BS105" s="19">
        <f>'D2C - Retail'!BZ134+'D2C Online'!CQ115</f>
        <v>8316441.8981738584</v>
      </c>
      <c r="BT105" s="19">
        <f>'D2C - Retail'!CA134+'D2C Online'!CR115</f>
        <v>9235333.2697013244</v>
      </c>
      <c r="BU105" s="19">
        <f>'D2C - Retail'!CB134+'D2C Online'!CS115</f>
        <v>8824300.0459757335</v>
      </c>
      <c r="BV105" s="19">
        <f>'D2C - Retail'!CC134+'D2C Online'!CT115</f>
        <v>10736472.883412872</v>
      </c>
      <c r="BW105" s="19">
        <f>'D2C - Retail'!CD134+'D2C Online'!CU115</f>
        <v>11291238.852188777</v>
      </c>
      <c r="BX105" s="19">
        <f>'D2C - Retail'!CE134+'D2C Online'!CV115</f>
        <v>10046386.581217732</v>
      </c>
      <c r="BY105" s="19">
        <f>'D2C - Retail'!CF134+'D2C Online'!CW115</f>
        <v>11337685.44141363</v>
      </c>
      <c r="BZ105" s="19">
        <f>'D2C - Retail'!CG134+'D2C Online'!CX115</f>
        <v>10680426.433665562</v>
      </c>
      <c r="CA105" s="19">
        <f>'D2C - Retail'!CH134+'D2C Online'!CY115</f>
        <v>10618789.01719093</v>
      </c>
      <c r="CB105" s="19">
        <f>'D2C - Retail'!CI134+'D2C Online'!CZ115</f>
        <v>10569197.095552722</v>
      </c>
      <c r="CC105" s="19">
        <f>'D2C - Retail'!CJ134+'D2C Online'!DA115</f>
        <v>11123823.500058295</v>
      </c>
      <c r="CD105" s="19">
        <f>'D2C - Retail'!CK134+'D2C Online'!DB115</f>
        <v>10131316.606426436</v>
      </c>
      <c r="CE105" s="19">
        <f>'D2C - Retail'!CL134+'D2C Online'!DC115</f>
        <v>10176081.640119122</v>
      </c>
      <c r="CF105" s="19">
        <f>'D2C - Retail'!CM134+'D2C Online'!DD115</f>
        <v>11295636.147249162</v>
      </c>
      <c r="CG105" s="19">
        <f>'D2C - Retail'!CN134+'D2C Online'!DE115</f>
        <v>10760784.249575567</v>
      </c>
      <c r="CH105" s="19">
        <f>'D2C - Retail'!CO134+'D2C Online'!DF115</f>
        <v>13063283.076969471</v>
      </c>
      <c r="CI105" s="19">
        <f>'D2C - Retail'!CP134+'D2C Online'!DG115</f>
        <v>13707257.864810966</v>
      </c>
      <c r="CJ105" s="19">
        <f>'D2C - Retail'!CQ134+'D2C Online'!DH115</f>
        <v>12170457.048604829</v>
      </c>
      <c r="CK105" s="19">
        <f>'D2C - Retail'!CR134+'D2C Online'!DI115</f>
        <v>13652784.021646515</v>
      </c>
      <c r="CL105" s="19">
        <f>'D2C - Retail'!CS134+'D2C Online'!DJ115</f>
        <v>12245495.812015461</v>
      </c>
      <c r="CM105" s="19">
        <f>'D2C - Retail'!CT134+'D2C Online'!DK115</f>
        <v>12169797.165138034</v>
      </c>
      <c r="CN105" s="19">
        <f>'D2C - Retail'!CU134+'D2C Online'!DL115</f>
        <v>12109501.319330053</v>
      </c>
      <c r="CO105" s="19">
        <f>'D2C - Retail'!CV134+'D2C Online'!DM115</f>
        <v>12739455.799198529</v>
      </c>
      <c r="CP105" s="19">
        <f>'D2C - Retail'!CW134+'D2C Online'!DN115</f>
        <v>11599245.734534172</v>
      </c>
      <c r="CQ105" s="19">
        <f>'D2C - Retail'!CX134+'D2C Online'!DO115</f>
        <v>11648902.666907316</v>
      </c>
      <c r="CR105" s="19">
        <f>'D2C - Retail'!CY134+'D2C Online'!DP115</f>
        <v>12920210.899203127</v>
      </c>
      <c r="CS105" s="19">
        <f>'D2C - Retail'!CZ134+'D2C Online'!DQ115</f>
        <v>12308091.689698106</v>
      </c>
      <c r="CT105" s="19">
        <f>'D2C - Retail'!DA134+'D2C Online'!DR115</f>
        <v>14940535.972462354</v>
      </c>
      <c r="CU105" s="19">
        <f>'D2C - Retail'!DB134+'D2C Online'!DS115</f>
        <v>15677303.270644469</v>
      </c>
      <c r="CV105" s="19">
        <f>'D2C - Retail'!DC134+'D2C Online'!DT115</f>
        <v>13913190.577148277</v>
      </c>
      <c r="CW105" s="19">
        <f>'D2C - Retail'!DD134+'D2C Online'!DU115</f>
        <v>15602339.859134831</v>
      </c>
      <c r="CY105" s="19">
        <f t="shared" si="400"/>
        <v>7811094.3408418922</v>
      </c>
      <c r="CZ105" s="19">
        <f t="shared" si="401"/>
        <v>8610512.4781557228</v>
      </c>
      <c r="DA105" s="19">
        <f t="shared" si="402"/>
        <v>10576622.033822885</v>
      </c>
      <c r="DB105" s="19">
        <f t="shared" si="403"/>
        <v>8973208.7704004832</v>
      </c>
      <c r="DC105" s="19">
        <f t="shared" si="404"/>
        <v>11192323.350052249</v>
      </c>
      <c r="DD105" s="19">
        <f t="shared" si="405"/>
        <v>10088655.476914005</v>
      </c>
      <c r="DE105" s="19">
        <f t="shared" si="406"/>
        <v>10514502.520818895</v>
      </c>
      <c r="DF105" s="19">
        <f t="shared" si="407"/>
        <v>15497856.274617225</v>
      </c>
      <c r="DG105" s="19">
        <f t="shared" si="408"/>
        <v>18688162.056775637</v>
      </c>
      <c r="DH105" s="19">
        <f t="shared" si="409"/>
        <v>20917945.890730765</v>
      </c>
      <c r="DI105" s="19">
        <f t="shared" si="410"/>
        <v>21747439.979173701</v>
      </c>
      <c r="DJ105" s="19">
        <f t="shared" si="411"/>
        <v>25447997.851243589</v>
      </c>
      <c r="DK105" s="19">
        <f t="shared" si="412"/>
        <v>25922208.084955744</v>
      </c>
      <c r="DL105" s="19">
        <f t="shared" si="413"/>
        <v>25638725.625411056</v>
      </c>
      <c r="DM105" s="19">
        <f t="shared" si="414"/>
        <v>28796106.199089929</v>
      </c>
      <c r="DN105" s="19">
        <f t="shared" si="415"/>
        <v>32675310.874820139</v>
      </c>
      <c r="DO105" s="19">
        <f t="shared" si="416"/>
        <v>31868412.546409212</v>
      </c>
      <c r="DP105" s="19">
        <f t="shared" si="417"/>
        <v>31431221.746603854</v>
      </c>
      <c r="DQ105" s="19">
        <f t="shared" si="418"/>
        <v>35119703.4737942</v>
      </c>
      <c r="DR105" s="19">
        <f t="shared" si="419"/>
        <v>39530498.935062312</v>
      </c>
      <c r="DS105" s="19">
        <f t="shared" si="312"/>
        <v>36524794.296483546</v>
      </c>
      <c r="DT105" s="19">
        <f t="shared" si="313"/>
        <v>35987604.200640015</v>
      </c>
      <c r="DU105" s="19">
        <f t="shared" si="314"/>
        <v>40168838.561363585</v>
      </c>
      <c r="DV105" s="19">
        <f t="shared" si="315"/>
        <v>45192833.706927575</v>
      </c>
      <c r="DX105" s="19">
        <f t="shared" si="420"/>
        <v>35971437.62322098</v>
      </c>
      <c r="DY105" s="19">
        <f t="shared" si="421"/>
        <v>47293337.622402377</v>
      </c>
      <c r="DZ105" s="19">
        <f t="shared" si="422"/>
        <v>86801545.777923688</v>
      </c>
      <c r="EA105" s="19">
        <f t="shared" si="423"/>
        <v>113032350.78427687</v>
      </c>
      <c r="EB105" s="19">
        <f t="shared" si="424"/>
        <v>137949836.70186958</v>
      </c>
      <c r="EC105" s="770">
        <f t="shared" si="316"/>
        <v>157874070.76541471</v>
      </c>
    </row>
    <row r="106" spans="2:133" x14ac:dyDescent="0.2">
      <c r="B106" s="167" t="s">
        <v>34</v>
      </c>
      <c r="C106" s="19">
        <f>'D2C - Retail'!J135+'D2C Online'!AA116</f>
        <v>171107.74859767529</v>
      </c>
      <c r="D106" s="19">
        <f>'D2C - Retail'!K135+'D2C Online'!AB116</f>
        <v>144401.42789984669</v>
      </c>
      <c r="E106" s="19">
        <f>'D2C - Retail'!L135+'D2C Online'!AC116</f>
        <v>210599.10136889308</v>
      </c>
      <c r="F106" s="19">
        <f>'D2C - Retail'!M135+'D2C Online'!AD116</f>
        <v>190747.57477882321</v>
      </c>
      <c r="G106" s="19">
        <f>'D2C - Retail'!N135+'D2C Online'!AE116</f>
        <v>57968.206488933603</v>
      </c>
      <c r="H106" s="19">
        <f>'D2C - Retail'!O135+'D2C Online'!AF116</f>
        <v>128355.42002176278</v>
      </c>
      <c r="I106" s="19">
        <f>'D2C - Retail'!P135+'D2C Online'!AG116</f>
        <v>151120.36266981688</v>
      </c>
      <c r="J106" s="19">
        <f>'D2C - Retail'!Q135+'D2C Online'!AH116</f>
        <v>224469.19549072089</v>
      </c>
      <c r="K106" s="19">
        <f>'D2C - Retail'!R135+'D2C Online'!AI116</f>
        <v>367731.06137104577</v>
      </c>
      <c r="L106" s="19">
        <f>'D2C - Retail'!S135+'D2C Online'!AJ116</f>
        <v>481728.15180799813</v>
      </c>
      <c r="M106" s="19">
        <f>'D2C - Retail'!T135+'D2C Online'!AK116</f>
        <v>607601.71988937806</v>
      </c>
      <c r="N106" s="19">
        <f>'D2C - Retail'!U135+'D2C Online'!AL116</f>
        <v>556695.76459090004</v>
      </c>
      <c r="O106" s="19">
        <f>'D2C - Retail'!V135+'D2C Online'!AM116</f>
        <v>406514.16698309791</v>
      </c>
      <c r="P106" s="19">
        <f>'D2C - Retail'!W135+'D2C Online'!AN116</f>
        <v>459118.99776999583</v>
      </c>
      <c r="Q106" s="19">
        <f>'D2C - Retail'!X135+'D2C Online'!AO116</f>
        <v>572689.51920361479</v>
      </c>
      <c r="R106" s="19">
        <f>'D2C - Retail'!Y135+'D2C Online'!AP116</f>
        <v>1025965.0005603578</v>
      </c>
      <c r="S106" s="19">
        <f>'D2C - Retail'!Z135+'D2C Online'!AQ116</f>
        <v>980022.42974201217</v>
      </c>
      <c r="T106" s="19">
        <f>'D2C - Retail'!AA135+'D2C Online'!AR116</f>
        <v>1182116.4556541764</v>
      </c>
      <c r="U106" s="19">
        <f>'D2C - Retail'!AB135+'D2C Online'!AS116</f>
        <v>1419039.0762893446</v>
      </c>
      <c r="V106" s="19">
        <f>'D2C - Retail'!AC135+'D2C Online'!AT116</f>
        <v>597817.24096848874</v>
      </c>
      <c r="W106" s="19">
        <f>'D2C - Retail'!AD135+'D2C Online'!AU116</f>
        <v>853543.6068973022</v>
      </c>
      <c r="X106" s="19">
        <f>'D2C - Retail'!AE135+'D2C Online'!AV116</f>
        <v>1002796.5938984768</v>
      </c>
      <c r="Y106" s="19">
        <f>'D2C - Retail'!AF135+'D2C Online'!AW116</f>
        <v>926009.04100807314</v>
      </c>
      <c r="Z106" s="19">
        <f>'D2C - Retail'!AG135+'D2C Online'!AX116</f>
        <v>764866.2906282089</v>
      </c>
      <c r="AA106" s="19">
        <f>'D2C - Retail'!AH135+'D2C Online'!AY116</f>
        <v>618110.41730081732</v>
      </c>
      <c r="AB106" s="19">
        <f>'D2C - Retail'!AI135+'D2C Online'!AZ116</f>
        <v>1125354.0597359159</v>
      </c>
      <c r="AC106" s="19">
        <f>'D2C - Retail'!AJ135+'D2C Online'!BA116</f>
        <v>1568913.6261945898</v>
      </c>
      <c r="AD106" s="19">
        <f>'D2C - Retail'!AK135+'D2C Online'!BB116</f>
        <v>2118639.3210231829</v>
      </c>
      <c r="AE106" s="19">
        <f>'D2C - Retail'!AL135+'D2C Online'!BC116</f>
        <v>2119633.6339807957</v>
      </c>
      <c r="AF106" s="19">
        <f>'D2C - Retail'!AM135+'D2C Online'!BD116</f>
        <v>2948205.0973582491</v>
      </c>
      <c r="AG106" s="19">
        <f>'D2C - Retail'!AN135+'D2C Online'!BE116</f>
        <v>2412039.0452602236</v>
      </c>
      <c r="AH106" s="19">
        <f>'D2C - Retail'!AO135+'D2C Online'!BF116</f>
        <v>2786041.3227213966</v>
      </c>
      <c r="AI106" s="19">
        <f>'D2C - Retail'!AP135+'D2C Online'!BG116</f>
        <v>2496323.8023376241</v>
      </c>
      <c r="AJ106" s="19">
        <f>'D2C - Retail'!AQ135+'D2C Online'!BH116</f>
        <v>3711318.5560288145</v>
      </c>
      <c r="AK106" s="19">
        <f>'D2C - Retail'!AR135+'D2C Online'!BI116</f>
        <v>2963871.5852411771</v>
      </c>
      <c r="AL106" s="19">
        <f>'D2C - Retail'!AS135+'D2C Online'!BJ116</f>
        <v>3092211.248852565</v>
      </c>
      <c r="AM106" s="19">
        <f>'D2C - Retail'!AT135+'D2C Online'!BK116</f>
        <v>2695593.4132696446</v>
      </c>
      <c r="AN106" s="19">
        <f>'D2C - Retail'!AU135+'D2C Online'!BL116</f>
        <v>2575975</v>
      </c>
      <c r="AO106" s="19">
        <f>'D2C - Retail'!AV135+'D2C Online'!BM116</f>
        <v>3603417.4463669057</v>
      </c>
      <c r="AP106" s="19">
        <f>'D2C - Retail'!AW135+'D2C Online'!BN116</f>
        <v>3077232.3182492582</v>
      </c>
      <c r="AQ106" s="19">
        <f>'D2C - Retail'!AX135+'D2C Online'!BO116</f>
        <v>3810239.5585625134</v>
      </c>
      <c r="AR106" s="19">
        <f>'D2C - Retail'!AY135+'D2C Online'!BP116</f>
        <v>3369904.7928634165</v>
      </c>
      <c r="AS106" s="19">
        <f>'D2C - Retail'!AZ135+'D2C Online'!BQ116</f>
        <v>3735843.5105604827</v>
      </c>
      <c r="AT106" s="19">
        <f>'D2C - Retail'!BA135+'D2C Online'!BR116</f>
        <v>3549515.1043835948</v>
      </c>
      <c r="AU106" s="19">
        <f>'D2C - Retail'!BB135+'D2C Online'!BS116</f>
        <v>3633047.6068455996</v>
      </c>
      <c r="AV106" s="19">
        <f>'D2C - Retail'!BC135+'D2C Online'!BT116</f>
        <v>3825794.8129754858</v>
      </c>
      <c r="AW106" s="19">
        <f>'D2C - Retail'!BD135+'D2C Online'!BU116</f>
        <v>3324107.2254572082</v>
      </c>
      <c r="AX106" s="19">
        <f>'D2C - Retail'!BE135+'D2C Online'!BV116</f>
        <v>3301837.4357045996</v>
      </c>
      <c r="AY106" s="19">
        <f>'D2C - Retail'!BF135+'D2C Online'!BW116</f>
        <v>3299789.5863960502</v>
      </c>
      <c r="AZ106" s="19">
        <f>'D2C - Retail'!BG135+'D2C Online'!BX116</f>
        <v>3216200.8886044882</v>
      </c>
      <c r="BA106" s="19">
        <f>'D2C - Retail'!BH135+'D2C Online'!BY116</f>
        <v>3925705.9481728193</v>
      </c>
      <c r="BB106" s="19">
        <f>'D2C - Retail'!BI135+'D2C Online'!BZ116</f>
        <v>4119562.7909014076</v>
      </c>
      <c r="BC106" s="19">
        <f>'D2C - Retail'!BJ135+'D2C Online'!CA116</f>
        <v>4039542.8322807308</v>
      </c>
      <c r="BD106" s="19">
        <f>'D2C - Retail'!BK135+'D2C Online'!CB116</f>
        <v>4547561.7700247727</v>
      </c>
      <c r="BE106" s="19">
        <f>'D2C - Retail'!BL135+'D2C Online'!CC116</f>
        <v>4694936.1459395476</v>
      </c>
      <c r="BF106" s="19">
        <f>'D2C - Retail'!BM135+'D2C Online'!CD116</f>
        <v>4369034.5553491917</v>
      </c>
      <c r="BG106" s="19">
        <f>'D2C - Retail'!BN135+'D2C Online'!CE116</f>
        <v>5236185.3717400841</v>
      </c>
      <c r="BH106" s="19">
        <f>'D2C - Retail'!BO135+'D2C Online'!CF116</f>
        <v>5512665.5501347641</v>
      </c>
      <c r="BI106" s="19">
        <f>'D2C - Retail'!BP135+'D2C Online'!CG116</f>
        <v>5126359.8052705228</v>
      </c>
      <c r="BJ106" s="19">
        <f>'D2C - Retail'!BQ135+'D2C Online'!CH116</f>
        <v>5335841.2037947197</v>
      </c>
      <c r="BK106" s="19">
        <f>'D2C - Retail'!BR135+'D2C Online'!CI116</f>
        <v>5503536.7249247693</v>
      </c>
      <c r="BL106" s="19">
        <f>'D2C - Retail'!BS135+'D2C Online'!CJ116</f>
        <v>5493721.3559622131</v>
      </c>
      <c r="BM106" s="19">
        <f>'D2C - Retail'!BT135+'D2C Online'!CK116</f>
        <v>5643889.7449032422</v>
      </c>
      <c r="BN106" s="19">
        <f>'D2C - Retail'!BU135+'D2C Online'!CL116</f>
        <v>5985192.942615686</v>
      </c>
      <c r="BO106" s="19">
        <f>'D2C - Retail'!BV135+'D2C Online'!CM116</f>
        <v>6013920.9115583375</v>
      </c>
      <c r="BP106" s="19">
        <f>'D2C - Retail'!BW135+'D2C Online'!CN116</f>
        <v>6011881.0557754273</v>
      </c>
      <c r="BQ106" s="19">
        <f>'D2C - Retail'!BX135+'D2C Online'!CO116</f>
        <v>6054888.0151984515</v>
      </c>
      <c r="BR106" s="19">
        <f>'D2C - Retail'!BY135+'D2C Online'!CP116</f>
        <v>5887959.8169636307</v>
      </c>
      <c r="BS106" s="19">
        <f>'D2C - Retail'!BZ135+'D2C Online'!CQ116</f>
        <v>6143961.7177188639</v>
      </c>
      <c r="BT106" s="19">
        <f>'D2C - Retail'!CA135+'D2C Online'!CR116</f>
        <v>6061517.5464929091</v>
      </c>
      <c r="BU106" s="19">
        <f>'D2C - Retail'!CB135+'D2C Online'!CS116</f>
        <v>6068317.0657692757</v>
      </c>
      <c r="BV106" s="19">
        <f>'D2C - Retail'!CC135+'D2C Online'!CT116</f>
        <v>6729400.3274140991</v>
      </c>
      <c r="BW106" s="19">
        <f>'D2C - Retail'!CD135+'D2C Online'!CU116</f>
        <v>7005800.7859984348</v>
      </c>
      <c r="BX106" s="19">
        <f>'D2C - Retail'!CE135+'D2C Online'!CV116</f>
        <v>6457419.5563594019</v>
      </c>
      <c r="BY106" s="19">
        <f>'D2C - Retail'!CF135+'D2C Online'!CW116</f>
        <v>6722940.7841015495</v>
      </c>
      <c r="BZ106" s="19">
        <f>'D2C - Retail'!CG135+'D2C Online'!CX116</f>
        <v>6664099.0738729425</v>
      </c>
      <c r="CA106" s="19">
        <f>'D2C - Retail'!CH135+'D2C Online'!CY116</f>
        <v>6698127.3530855132</v>
      </c>
      <c r="CB106" s="19">
        <f>'D2C - Retail'!CI135+'D2C Online'!CZ116</f>
        <v>6695711.1439106567</v>
      </c>
      <c r="CC106" s="19">
        <f>'D2C - Retail'!CJ135+'D2C Online'!DA116</f>
        <v>6746652.8873472288</v>
      </c>
      <c r="CD106" s="19">
        <f>'D2C - Retail'!CK135+'D2C Online'!DB116</f>
        <v>6548926.4365380835</v>
      </c>
      <c r="CE106" s="19">
        <f>'D2C - Retail'!CL135+'D2C Online'!DC116</f>
        <v>6852160.6879826579</v>
      </c>
      <c r="CF106" s="19">
        <f>'D2C - Retail'!CM135+'D2C Online'!DD116</f>
        <v>6754505.5671655135</v>
      </c>
      <c r="CG106" s="19">
        <f>'D2C - Retail'!CN135+'D2C Online'!DE116</f>
        <v>6762559.5977483708</v>
      </c>
      <c r="CH106" s="19">
        <f>'D2C - Retail'!CO135+'D2C Online'!DF116</f>
        <v>7545612.7211666629</v>
      </c>
      <c r="CI106" s="19">
        <f>'D2C - Retail'!CP135+'D2C Online'!DG116</f>
        <v>7873009.0643598102</v>
      </c>
      <c r="CJ106" s="19">
        <f>'D2C - Retail'!CQ135+'D2C Online'!DH116</f>
        <v>7223451.4978523748</v>
      </c>
      <c r="CK106" s="19">
        <f>'D2C - Retail'!CR135+'D2C Online'!DI116</f>
        <v>7537961.392112948</v>
      </c>
      <c r="CL106" s="19">
        <f>'D2C - Retail'!CS135+'D2C Online'!DJ116</f>
        <v>7280961.8066061772</v>
      </c>
      <c r="CM106" s="19">
        <f>'D2C - Retail'!CT135+'D2C Online'!DK116</f>
        <v>7321268.3033334697</v>
      </c>
      <c r="CN106" s="19">
        <f>'D2C - Retail'!CU135+'D2C Online'!DL116</f>
        <v>7318406.3035658505</v>
      </c>
      <c r="CO106" s="19">
        <f>'D2C - Retail'!CV135+'D2C Online'!DM116</f>
        <v>7378746.7986664707</v>
      </c>
      <c r="CP106" s="19">
        <f>'D2C - Retail'!CW135+'D2C Online'!DN116</f>
        <v>7144539.8176830392</v>
      </c>
      <c r="CQ106" s="19">
        <f>'D2C - Retail'!CX135+'D2C Online'!DO116</f>
        <v>7503720.7885191366</v>
      </c>
      <c r="CR106" s="19">
        <f>'D2C - Retail'!CY135+'D2C Online'!DP116</f>
        <v>7388048.2979112286</v>
      </c>
      <c r="CS106" s="19">
        <f>'D2C - Retail'!CZ135+'D2C Online'!DQ116</f>
        <v>7397588.2971366234</v>
      </c>
      <c r="CT106" s="19">
        <f>'D2C - Retail'!DA135+'D2C Online'!DR116</f>
        <v>8325114.7218255904</v>
      </c>
      <c r="CU106" s="19">
        <f>'D2C - Retail'!DB135+'D2C Online'!DS116</f>
        <v>8712915.6903378721</v>
      </c>
      <c r="CV106" s="19">
        <f>'D2C - Retail'!DC135+'D2C Online'!DT116</f>
        <v>7943514.752809817</v>
      </c>
      <c r="CW106" s="19">
        <f>'D2C - Retail'!DD135+'D2C Online'!DU116</f>
        <v>8316051.7225614674</v>
      </c>
      <c r="CY106" s="19">
        <f t="shared" si="400"/>
        <v>7186478.0523622278</v>
      </c>
      <c r="CZ106" s="19">
        <f t="shared" si="401"/>
        <v>7694404.1703192443</v>
      </c>
      <c r="DA106" s="19">
        <f t="shared" si="402"/>
        <v>9767401.3901225552</v>
      </c>
      <c r="DB106" s="19">
        <f t="shared" si="403"/>
        <v>8874985.8596365508</v>
      </c>
      <c r="DC106" s="19">
        <f t="shared" si="404"/>
        <v>10257376.669675188</v>
      </c>
      <c r="DD106" s="19">
        <f t="shared" si="405"/>
        <v>10918406.221789677</v>
      </c>
      <c r="DE106" s="19">
        <f t="shared" si="406"/>
        <v>10451739.474137293</v>
      </c>
      <c r="DF106" s="19">
        <f t="shared" si="407"/>
        <v>10441696.423173357</v>
      </c>
      <c r="DG106" s="19">
        <f t="shared" si="408"/>
        <v>12706667.393206911</v>
      </c>
      <c r="DH106" s="19">
        <f t="shared" si="409"/>
        <v>14300156.073028823</v>
      </c>
      <c r="DI106" s="19">
        <f t="shared" si="410"/>
        <v>15974866.559200006</v>
      </c>
      <c r="DJ106" s="19">
        <f t="shared" si="411"/>
        <v>16641147.825790225</v>
      </c>
      <c r="DK106" s="19">
        <f t="shared" si="412"/>
        <v>18010994.909949452</v>
      </c>
      <c r="DL106" s="19">
        <f t="shared" si="413"/>
        <v>18086809.549880944</v>
      </c>
      <c r="DM106" s="19">
        <f t="shared" si="414"/>
        <v>18859234.939676285</v>
      </c>
      <c r="DN106" s="19">
        <f t="shared" si="415"/>
        <v>20186161.126459386</v>
      </c>
      <c r="DO106" s="19">
        <f t="shared" si="416"/>
        <v>20057937.570869114</v>
      </c>
      <c r="DP106" s="19">
        <f t="shared" si="417"/>
        <v>20147740.01186797</v>
      </c>
      <c r="DQ106" s="19">
        <f t="shared" si="418"/>
        <v>21062677.886080548</v>
      </c>
      <c r="DR106" s="19">
        <f t="shared" si="419"/>
        <v>22634421.954325132</v>
      </c>
      <c r="DS106" s="19">
        <f t="shared" si="312"/>
        <v>21920636.413505495</v>
      </c>
      <c r="DT106" s="19">
        <f t="shared" si="313"/>
        <v>22027007.404868647</v>
      </c>
      <c r="DU106" s="19">
        <f t="shared" si="314"/>
        <v>23110751.316873442</v>
      </c>
      <c r="DV106" s="19">
        <f t="shared" si="315"/>
        <v>24972482.165709157</v>
      </c>
      <c r="DX106" s="19">
        <f t="shared" si="420"/>
        <v>33523269.472440578</v>
      </c>
      <c r="DY106" s="19">
        <f t="shared" si="421"/>
        <v>42069218.788775519</v>
      </c>
      <c r="DZ106" s="19">
        <f t="shared" si="422"/>
        <v>59622837.851225965</v>
      </c>
      <c r="EA106" s="19">
        <f t="shared" si="423"/>
        <v>75143200.525966063</v>
      </c>
      <c r="EB106" s="19">
        <f t="shared" si="424"/>
        <v>83902777.423142761</v>
      </c>
      <c r="EC106" s="770">
        <f t="shared" si="316"/>
        <v>92030877.300956741</v>
      </c>
    </row>
    <row r="107" spans="2:133" x14ac:dyDescent="0.2">
      <c r="B107" s="167" t="s">
        <v>234</v>
      </c>
      <c r="C107" s="19">
        <f>'D2C - Retail'!J136+'D2C Online'!AA117</f>
        <v>0</v>
      </c>
      <c r="D107" s="19">
        <f>'D2C - Retail'!K136+'D2C Online'!AB117</f>
        <v>0</v>
      </c>
      <c r="E107" s="19">
        <f>'D2C - Retail'!L136+'D2C Online'!AC117</f>
        <v>0</v>
      </c>
      <c r="F107" s="19">
        <f>'D2C - Retail'!M136+'D2C Online'!AD117</f>
        <v>0</v>
      </c>
      <c r="G107" s="19">
        <f>'D2C - Retail'!N136+'D2C Online'!AE117</f>
        <v>0</v>
      </c>
      <c r="H107" s="19">
        <f>'D2C - Retail'!O136+'D2C Online'!AF117</f>
        <v>0</v>
      </c>
      <c r="I107" s="19">
        <f>'D2C - Retail'!P136+'D2C Online'!AG117</f>
        <v>162422</v>
      </c>
      <c r="J107" s="19">
        <f>'D2C - Retail'!Q136+'D2C Online'!AH117</f>
        <v>199501</v>
      </c>
      <c r="K107" s="19">
        <f>'D2C - Retail'!R136+'D2C Online'!AI117</f>
        <v>301715</v>
      </c>
      <c r="L107" s="19">
        <f>'D2C - Retail'!S136+'D2C Online'!AJ117</f>
        <v>284100</v>
      </c>
      <c r="M107" s="19">
        <f>'D2C - Retail'!T136+'D2C Online'!AK117</f>
        <v>507635</v>
      </c>
      <c r="N107" s="19">
        <f>'D2C - Retail'!U136+'D2C Online'!AL117</f>
        <v>584182</v>
      </c>
      <c r="O107" s="19">
        <f>'D2C - Retail'!V136+'D2C Online'!AM117</f>
        <v>726395</v>
      </c>
      <c r="P107" s="19">
        <f>'D2C - Retail'!W136+'D2C Online'!AN117</f>
        <v>702542</v>
      </c>
      <c r="Q107" s="19">
        <f>'D2C - Retail'!X136+'D2C Online'!AO117</f>
        <v>784079.17000000062</v>
      </c>
      <c r="R107" s="19">
        <f>'D2C - Retail'!Y136+'D2C Online'!AP117</f>
        <v>707885.63890000037</v>
      </c>
      <c r="S107" s="19">
        <f>'D2C - Retail'!Z136+'D2C Online'!AQ117</f>
        <v>813830</v>
      </c>
      <c r="T107" s="19">
        <f>'D2C - Retail'!AA136+'D2C Online'!AR117</f>
        <v>1319492.76</v>
      </c>
      <c r="U107" s="19">
        <f>'D2C - Retail'!AB136+'D2C Online'!AS117</f>
        <v>1493819</v>
      </c>
      <c r="V107" s="19">
        <f>'D2C - Retail'!AC136+'D2C Online'!AT117</f>
        <v>1520200</v>
      </c>
      <c r="W107" s="19">
        <f>'D2C - Retail'!AD136+'D2C Online'!AU117</f>
        <v>1451597</v>
      </c>
      <c r="X107" s="19">
        <f>'D2C - Retail'!AE136+'D2C Online'!AV117</f>
        <v>2786331</v>
      </c>
      <c r="Y107" s="19">
        <f>'D2C - Retail'!AF136+'D2C Online'!AW117</f>
        <v>2745862</v>
      </c>
      <c r="Z107" s="19">
        <f>'D2C - Retail'!AG136+'D2C Online'!AX117</f>
        <v>2958346.8200000003</v>
      </c>
      <c r="AA107" s="19">
        <f>'D2C - Retail'!AH136+'D2C Online'!AY117</f>
        <v>3874102.9</v>
      </c>
      <c r="AB107" s="19">
        <f>'D2C - Retail'!AI136+'D2C Online'!AZ117</f>
        <v>3304385</v>
      </c>
      <c r="AC107" s="19">
        <f>'D2C - Retail'!AJ136+'D2C Online'!BA117</f>
        <v>3952787.3448275859</v>
      </c>
      <c r="AD107" s="19">
        <f>'D2C - Retail'!AK136+'D2C Online'!BB117</f>
        <v>4658033</v>
      </c>
      <c r="AE107" s="19">
        <f>'D2C - Retail'!AL136+'D2C Online'!BC117</f>
        <v>4628200</v>
      </c>
      <c r="AF107" s="19">
        <f>'D2C - Retail'!AM136+'D2C Online'!BD117</f>
        <v>4932235</v>
      </c>
      <c r="AG107" s="19">
        <f>'D2C - Retail'!AN136+'D2C Online'!BE117</f>
        <v>3824198</v>
      </c>
      <c r="AH107" s="19">
        <f>'D2C - Retail'!AO136+'D2C Online'!BF117</f>
        <v>4321941</v>
      </c>
      <c r="AI107" s="19">
        <f>'D2C - Retail'!AP136+'D2C Online'!BG117</f>
        <v>4642905.6765617393</v>
      </c>
      <c r="AJ107" s="19">
        <f>'D2C - Retail'!AQ136+'D2C Online'!BH117</f>
        <v>6156270.3535000002</v>
      </c>
      <c r="AK107" s="19">
        <f>'D2C - Retail'!AR136+'D2C Online'!BI117</f>
        <v>4712966</v>
      </c>
      <c r="AL107" s="19">
        <f>'D2C - Retail'!AS136+'D2C Online'!BJ117</f>
        <v>5171693.08</v>
      </c>
      <c r="AM107" s="19">
        <f>'D2C - Retail'!AT136+'D2C Online'!BK117</f>
        <v>3380851.1399999997</v>
      </c>
      <c r="AN107" s="19">
        <f>'D2C - Retail'!AU136+'D2C Online'!BL117</f>
        <v>4865695.2259999989</v>
      </c>
      <c r="AO107" s="19">
        <f>'D2C - Retail'!AV136+'D2C Online'!BM117</f>
        <v>5063958.7992893495</v>
      </c>
      <c r="AP107" s="19">
        <f>'D2C - Retail'!AW136+'D2C Online'!BN117</f>
        <v>4551434</v>
      </c>
      <c r="AQ107" s="19">
        <f>'D2C - Retail'!AX136+'D2C Online'!BO117</f>
        <v>4423347.9210932199</v>
      </c>
      <c r="AR107" s="19">
        <f>'D2C - Retail'!AY136+'D2C Online'!BP117</f>
        <v>4187581.2542372914</v>
      </c>
      <c r="AS107" s="19">
        <f>'D2C - Retail'!AZ136+'D2C Online'!BQ117</f>
        <v>3794477</v>
      </c>
      <c r="AT107" s="19">
        <f>'D2C - Retail'!BA136+'D2C Online'!BR117</f>
        <v>3715162.88</v>
      </c>
      <c r="AU107" s="19">
        <f>'D2C - Retail'!BB136+'D2C Online'!BS117</f>
        <v>3561658.8299999991</v>
      </c>
      <c r="AV107" s="19">
        <f>'D2C - Retail'!BC136+'D2C Online'!BT117</f>
        <v>3816728.9111863999</v>
      </c>
      <c r="AW107" s="19">
        <f>'D2C - Retail'!BD136+'D2C Online'!BU117</f>
        <v>3699571.6150000002</v>
      </c>
      <c r="AX107" s="19">
        <f>'D2C - Retail'!BE136+'D2C Online'!BV117</f>
        <v>4656854</v>
      </c>
      <c r="AY107" s="19">
        <f>'D2C - Retail'!BF136+'D2C Online'!BW117</f>
        <v>5678660.0069491006</v>
      </c>
      <c r="AZ107" s="19">
        <f>'D2C - Retail'!BG136+'D2C Online'!BX117</f>
        <v>4306761.4357627099</v>
      </c>
      <c r="BA107" s="19">
        <f>'D2C - Retail'!BH136+'D2C Online'!BY117</f>
        <v>5879984.03779661</v>
      </c>
      <c r="BB107" s="19">
        <f>'D2C - Retail'!BI136+'D2C Online'!BZ117</f>
        <v>5404328.0266101696</v>
      </c>
      <c r="BC107" s="19">
        <f>'D2C - Retail'!BJ136+'D2C Online'!CA117</f>
        <v>5302926</v>
      </c>
      <c r="BD107" s="19">
        <f>'D2C - Retail'!BK136+'D2C Online'!CB117</f>
        <v>5192795.4745762702</v>
      </c>
      <c r="BE107" s="19">
        <f>'D2C - Retail'!BL136+'D2C Online'!CC117</f>
        <v>5314910</v>
      </c>
      <c r="BF107" s="19">
        <f>'D2C - Retail'!BM136+'D2C Online'!CD117</f>
        <v>5383136</v>
      </c>
      <c r="BG107" s="19">
        <f>'D2C - Retail'!BN136+'D2C Online'!CE117</f>
        <v>4632473</v>
      </c>
      <c r="BH107" s="19">
        <f>'D2C - Retail'!BO136+'D2C Online'!CF117</f>
        <v>6193078</v>
      </c>
      <c r="BI107" s="19">
        <f>'D2C - Retail'!BP136+'D2C Online'!CG117</f>
        <v>5817265.2400000002</v>
      </c>
      <c r="BJ107" s="19">
        <f>'D2C - Retail'!BQ136+'D2C Online'!CH117</f>
        <v>7211182.71</v>
      </c>
      <c r="BK107" s="19">
        <f>'D2C - Retail'!BR136+'D2C Online'!CI117</f>
        <v>7939742.9900000002</v>
      </c>
      <c r="BL107" s="19">
        <f>'D2C - Retail'!BS136+'D2C Online'!CJ117</f>
        <v>7021485</v>
      </c>
      <c r="BM107" s="19">
        <f>'D2C - Retail'!BT136+'D2C Online'!CK117</f>
        <v>8218698</v>
      </c>
      <c r="BN107" s="19">
        <f>'D2C - Retail'!BU136+'D2C Online'!CL117</f>
        <v>7308517.3066780251</v>
      </c>
      <c r="BO107" s="19">
        <f>'D2C - Retail'!BV136+'D2C Online'!CM117</f>
        <v>7248925.0041153254</v>
      </c>
      <c r="BP107" s="19">
        <f>'D2C - Retail'!BW136+'D2C Online'!CN117</f>
        <v>7233395.5410890151</v>
      </c>
      <c r="BQ107" s="19">
        <f>'D2C - Retail'!BX136+'D2C Online'!CO117</f>
        <v>7633615.6910530105</v>
      </c>
      <c r="BR107" s="19">
        <f>'D2C - Retail'!BY136+'D2C Online'!CP117</f>
        <v>6943474.414126996</v>
      </c>
      <c r="BS107" s="19">
        <f>'D2C - Retail'!BZ136+'D2C Online'!CQ117</f>
        <v>6941689.6051569022</v>
      </c>
      <c r="BT107" s="19">
        <f>'D2C - Retail'!CA136+'D2C Online'!CR117</f>
        <v>7790936.3389744628</v>
      </c>
      <c r="BU107" s="19">
        <f>'D2C - Retail'!CB136+'D2C Online'!CS117</f>
        <v>7417063.1955200341</v>
      </c>
      <c r="BV107" s="19">
        <f>'D2C - Retail'!CC136+'D2C Online'!CT117</f>
        <v>9018021.5214804076</v>
      </c>
      <c r="BW107" s="19">
        <f>'D2C - Retail'!CD136+'D2C Online'!CU117</f>
        <v>9465600.5453110691</v>
      </c>
      <c r="BX107" s="19">
        <f>'D2C - Retail'!CE136+'D2C Online'!CV117</f>
        <v>8446920.4078896306</v>
      </c>
      <c r="BY107" s="19">
        <f>'D2C - Retail'!CF136+'D2C Online'!CW117</f>
        <v>9564184.3588779196</v>
      </c>
      <c r="BZ107" s="19">
        <f>'D2C - Retail'!CG136+'D2C Online'!CX117</f>
        <v>8998882.5850834511</v>
      </c>
      <c r="CA107" s="19">
        <f>'D2C - Retail'!CH136+'D2C Online'!CY117</f>
        <v>8936093.5066105332</v>
      </c>
      <c r="CB107" s="19">
        <f>'D2C - Retail'!CI136+'D2C Online'!CZ117</f>
        <v>8891640.7628975455</v>
      </c>
      <c r="CC107" s="19">
        <f>'D2C - Retail'!CJ136+'D2C Online'!DA117</f>
        <v>9383921.9354920909</v>
      </c>
      <c r="CD107" s="19">
        <f>'D2C - Retail'!CK136+'D2C Online'!DB117</f>
        <v>8524677.6080518384</v>
      </c>
      <c r="CE107" s="19">
        <f>'D2C - Retail'!CL136+'D2C Online'!DC117</f>
        <v>8503513.1362296622</v>
      </c>
      <c r="CF107" s="19">
        <f>'D2C - Retail'!CM136+'D2C Online'!DD117</f>
        <v>9538035.2807732467</v>
      </c>
      <c r="CG107" s="19">
        <f>'D2C - Retail'!CN136+'D2C Online'!DE117</f>
        <v>9051664.7666764706</v>
      </c>
      <c r="CH107" s="19">
        <f>'D2C - Retail'!CO136+'D2C Online'!DF117</f>
        <v>10978976.490445845</v>
      </c>
      <c r="CI107" s="19">
        <f>'D2C - Retail'!CP136+'D2C Online'!DG117</f>
        <v>11495950.616266718</v>
      </c>
      <c r="CJ107" s="19">
        <f>'D2C - Retail'!CQ136+'D2C Online'!DH117</f>
        <v>10235405.221762307</v>
      </c>
      <c r="CK107" s="19">
        <f>'D2C - Retail'!CR136+'D2C Online'!DI117</f>
        <v>11514792.893447898</v>
      </c>
      <c r="CL107" s="19">
        <f>'D2C - Retail'!CS136+'D2C Online'!DJ117</f>
        <v>10315187.156372521</v>
      </c>
      <c r="CM107" s="19">
        <f>'D2C - Retail'!CT136+'D2C Online'!DK117</f>
        <v>10238615.370730609</v>
      </c>
      <c r="CN107" s="19">
        <f>'D2C - Retail'!CU136+'D2C Online'!DL117</f>
        <v>10184535.556086626</v>
      </c>
      <c r="CO107" s="19">
        <f>'D2C - Retail'!CV136+'D2C Online'!DM117</f>
        <v>10743530.13296622</v>
      </c>
      <c r="CP107" s="19">
        <f>'D2C - Retail'!CW136+'D2C Online'!DN117</f>
        <v>9756462.110191334</v>
      </c>
      <c r="CQ107" s="19">
        <f>'D2C - Retail'!CX136+'D2C Online'!DO117</f>
        <v>9730470.931463033</v>
      </c>
      <c r="CR107" s="19">
        <f>'D2C - Retail'!CY136+'D2C Online'!DP117</f>
        <v>10905508.126411695</v>
      </c>
      <c r="CS107" s="19">
        <f>'D2C - Retail'!CZ136+'D2C Online'!DQ117</f>
        <v>10348865.08151136</v>
      </c>
      <c r="CT107" s="19">
        <f>'D2C - Retail'!DA136+'D2C Online'!DR117</f>
        <v>12551290.084382791</v>
      </c>
      <c r="CU107" s="19">
        <f>'D2C - Retail'!DB136+'D2C Online'!DS117</f>
        <v>13142363.067474306</v>
      </c>
      <c r="CV107" s="19">
        <f>'D2C - Retail'!DC136+'D2C Online'!DT117</f>
        <v>11695643.463631939</v>
      </c>
      <c r="CW107" s="19">
        <f>'D2C - Retail'!DD136+'D2C Online'!DU117</f>
        <v>13152867.562734963</v>
      </c>
      <c r="CY107" s="19">
        <f t="shared" si="400"/>
        <v>14218468</v>
      </c>
      <c r="CZ107" s="19">
        <f t="shared" si="401"/>
        <v>12789044.676561739</v>
      </c>
      <c r="DA107" s="19">
        <f t="shared" si="402"/>
        <v>16040929.433500001</v>
      </c>
      <c r="DB107" s="19">
        <f t="shared" si="403"/>
        <v>13310505.165289348</v>
      </c>
      <c r="DC107" s="19">
        <f t="shared" si="404"/>
        <v>13162363.175330512</v>
      </c>
      <c r="DD107" s="19">
        <f t="shared" si="405"/>
        <v>11071298.709999999</v>
      </c>
      <c r="DE107" s="19">
        <f t="shared" si="406"/>
        <v>12173154.526186399</v>
      </c>
      <c r="DF107" s="19">
        <f t="shared" si="407"/>
        <v>15865405.480508421</v>
      </c>
      <c r="DG107" s="19">
        <f t="shared" si="408"/>
        <v>15900049.50118644</v>
      </c>
      <c r="DH107" s="19">
        <f t="shared" si="409"/>
        <v>15330519</v>
      </c>
      <c r="DI107" s="19">
        <f t="shared" si="410"/>
        <v>19221525.949999999</v>
      </c>
      <c r="DJ107" s="19">
        <f t="shared" si="411"/>
        <v>23179925.990000002</v>
      </c>
      <c r="DK107" s="19">
        <f t="shared" si="412"/>
        <v>21790837.851882368</v>
      </c>
      <c r="DL107" s="19">
        <f t="shared" si="413"/>
        <v>21518779.710336909</v>
      </c>
      <c r="DM107" s="19">
        <f t="shared" si="414"/>
        <v>24226021.055974904</v>
      </c>
      <c r="DN107" s="19">
        <f t="shared" si="415"/>
        <v>27476705.312078618</v>
      </c>
      <c r="DO107" s="19">
        <f t="shared" si="416"/>
        <v>26826616.854591526</v>
      </c>
      <c r="DP107" s="19">
        <f t="shared" si="417"/>
        <v>26412112.679773591</v>
      </c>
      <c r="DQ107" s="19">
        <f t="shared" si="418"/>
        <v>29568676.53789556</v>
      </c>
      <c r="DR107" s="19">
        <f t="shared" si="419"/>
        <v>33246148.731476925</v>
      </c>
      <c r="DS107" s="19">
        <f t="shared" si="312"/>
        <v>30738338.083189756</v>
      </c>
      <c r="DT107" s="19">
        <f t="shared" si="313"/>
        <v>30230463.174620587</v>
      </c>
      <c r="DU107" s="19">
        <f t="shared" si="314"/>
        <v>33805663.292305842</v>
      </c>
      <c r="DV107" s="19">
        <f t="shared" si="315"/>
        <v>37990874.09384121</v>
      </c>
      <c r="DX107" s="19">
        <f t="shared" si="420"/>
        <v>56358947.275351092</v>
      </c>
      <c r="DY107" s="19">
        <f t="shared" si="421"/>
        <v>52272221.892025337</v>
      </c>
      <c r="DZ107" s="19">
        <f t="shared" si="422"/>
        <v>73632020.441186428</v>
      </c>
      <c r="EA107" s="19">
        <f t="shared" si="423"/>
        <v>95012343.930272788</v>
      </c>
      <c r="EB107" s="19">
        <f t="shared" si="424"/>
        <v>116053554.80373761</v>
      </c>
      <c r="EC107" s="770">
        <f t="shared" si="316"/>
        <v>132765338.64395739</v>
      </c>
    </row>
    <row r="108" spans="2:133" x14ac:dyDescent="0.2">
      <c r="B108" s="167" t="s">
        <v>238</v>
      </c>
      <c r="C108" s="19">
        <f>'D2C - Retail'!J137+'D2C Online'!AA118</f>
        <v>0</v>
      </c>
      <c r="D108" s="19">
        <f>'D2C - Retail'!K137+'D2C Online'!AB118</f>
        <v>0</v>
      </c>
      <c r="E108" s="19">
        <f>'D2C - Retail'!L137+'D2C Online'!AC118</f>
        <v>0</v>
      </c>
      <c r="F108" s="19">
        <f>'D2C - Retail'!M137+'D2C Online'!AD118</f>
        <v>0</v>
      </c>
      <c r="G108" s="19">
        <f>'D2C - Retail'!N137+'D2C Online'!AE118</f>
        <v>0</v>
      </c>
      <c r="H108" s="19">
        <f>'D2C - Retail'!O137+'D2C Online'!AF118</f>
        <v>0</v>
      </c>
      <c r="I108" s="19">
        <f>'D2C - Retail'!P137+'D2C Online'!AG118</f>
        <v>0</v>
      </c>
      <c r="J108" s="19">
        <f>'D2C - Retail'!Q137+'D2C Online'!AH118</f>
        <v>0</v>
      </c>
      <c r="K108" s="19">
        <f>'D2C - Retail'!R137+'D2C Online'!AI118</f>
        <v>0</v>
      </c>
      <c r="L108" s="19">
        <f>'D2C - Retail'!S137+'D2C Online'!AJ118</f>
        <v>0</v>
      </c>
      <c r="M108" s="19">
        <f>'D2C - Retail'!T137+'D2C Online'!AK118</f>
        <v>0</v>
      </c>
      <c r="N108" s="19">
        <f>'D2C - Retail'!U137+'D2C Online'!AL118</f>
        <v>0</v>
      </c>
      <c r="O108" s="19">
        <f>'D2C - Retail'!V137+'D2C Online'!AM118</f>
        <v>0</v>
      </c>
      <c r="P108" s="19">
        <f>'D2C - Retail'!W137+'D2C Online'!AN118</f>
        <v>0</v>
      </c>
      <c r="Q108" s="19">
        <f>'D2C - Retail'!X137+'D2C Online'!AO118</f>
        <v>0</v>
      </c>
      <c r="R108" s="19">
        <f>'D2C - Retail'!Y137+'D2C Online'!AP118</f>
        <v>0</v>
      </c>
      <c r="S108" s="19">
        <f>'D2C - Retail'!Z137+'D2C Online'!AQ118</f>
        <v>0</v>
      </c>
      <c r="T108" s="19">
        <f>'D2C - Retail'!AA137+'D2C Online'!AR118</f>
        <v>0</v>
      </c>
      <c r="U108" s="19">
        <f>'D2C - Retail'!AB137+'D2C Online'!AS118</f>
        <v>0</v>
      </c>
      <c r="V108" s="19">
        <f>'D2C - Retail'!AC137+'D2C Online'!AT118</f>
        <v>0</v>
      </c>
      <c r="W108" s="19">
        <f>'D2C - Retail'!AD137+'D2C Online'!AU118</f>
        <v>0</v>
      </c>
      <c r="X108" s="19">
        <f>'D2C - Retail'!AE137+'D2C Online'!AV118</f>
        <v>0</v>
      </c>
      <c r="Y108" s="19">
        <f>'D2C - Retail'!AF137+'D2C Online'!AW118</f>
        <v>0</v>
      </c>
      <c r="Z108" s="19">
        <f>'D2C - Retail'!AG137+'D2C Online'!AX118</f>
        <v>0</v>
      </c>
      <c r="AA108" s="19">
        <f>'D2C - Retail'!AH137+'D2C Online'!AY118</f>
        <v>0</v>
      </c>
      <c r="AB108" s="19">
        <f>'D2C - Retail'!AI137+'D2C Online'!AZ118</f>
        <v>1946063</v>
      </c>
      <c r="AC108" s="19">
        <f>'D2C - Retail'!AJ137+'D2C Online'!BA118</f>
        <v>9167497.6551724151</v>
      </c>
      <c r="AD108" s="19">
        <f>'D2C - Retail'!AK137+'D2C Online'!BB118</f>
        <v>9539631</v>
      </c>
      <c r="AE108" s="19">
        <f>'D2C - Retail'!AL137+'D2C Online'!BC118</f>
        <v>7547098</v>
      </c>
      <c r="AF108" s="19">
        <f>'D2C - Retail'!AM137+'D2C Online'!BD118</f>
        <v>7900727</v>
      </c>
      <c r="AG108" s="19">
        <f>'D2C - Retail'!AN137+'D2C Online'!BE118</f>
        <v>6722614</v>
      </c>
      <c r="AH108" s="19">
        <f>'D2C - Retail'!AO137+'D2C Online'!BF118</f>
        <v>6929976</v>
      </c>
      <c r="AI108" s="19">
        <f>'D2C - Retail'!AP137+'D2C Online'!BG118</f>
        <v>7280096.6634382606</v>
      </c>
      <c r="AJ108" s="19">
        <f>'D2C - Retail'!AQ137+'D2C Online'!BH118</f>
        <v>12903975.646499999</v>
      </c>
      <c r="AK108" s="19">
        <f>'D2C - Retail'!AR137+'D2C Online'!BI118</f>
        <v>8280114</v>
      </c>
      <c r="AL108" s="19">
        <f>'D2C - Retail'!AS137+'D2C Online'!BJ118</f>
        <v>4932356</v>
      </c>
      <c r="AM108" s="19">
        <f>'D2C - Retail'!AT137+'D2C Online'!BK118</f>
        <v>5451347</v>
      </c>
      <c r="AN108" s="19">
        <f>'D2C - Retail'!AU137+'D2C Online'!BL118</f>
        <v>4738914.7740000011</v>
      </c>
      <c r="AO108" s="19">
        <f>'D2C - Retail'!AV137+'D2C Online'!BM118</f>
        <v>6468526</v>
      </c>
      <c r="AP108" s="19">
        <f>'D2C - Retail'!AW137+'D2C Online'!BN118</f>
        <v>6337100</v>
      </c>
      <c r="AQ108" s="19">
        <f>'D2C - Retail'!AX137+'D2C Online'!BO118</f>
        <v>8677914.0789067801</v>
      </c>
      <c r="AR108" s="19">
        <f>'D2C - Retail'!AY137+'D2C Online'!BP118</f>
        <v>11647302.74576271</v>
      </c>
      <c r="AS108" s="19">
        <f>'D2C - Retail'!AZ137+'D2C Online'!BQ118</f>
        <v>12674060</v>
      </c>
      <c r="AT108" s="19">
        <f>'D2C - Retail'!BA137+'D2C Online'!BR118</f>
        <v>9882386</v>
      </c>
      <c r="AU108" s="19">
        <f>'D2C - Retail'!BB137+'D2C Online'!BS118</f>
        <v>8934495.2711864505</v>
      </c>
      <c r="AV108" s="19">
        <f>'D2C - Retail'!BC137+'D2C Online'!BT118</f>
        <v>11939815.520847499</v>
      </c>
      <c r="AW108" s="19">
        <f>'D2C - Retail'!BD137+'D2C Online'!BU118</f>
        <v>12580016.084745759</v>
      </c>
      <c r="AX108" s="19">
        <f>'D2C - Retail'!BE137+'D2C Online'!BV118</f>
        <v>12798453</v>
      </c>
      <c r="AY108" s="19">
        <f>'D2C - Retail'!BF137+'D2C Online'!BW118</f>
        <v>12390442</v>
      </c>
      <c r="AZ108" s="19">
        <f>'D2C - Retail'!BG137+'D2C Online'!BX118</f>
        <v>10067514</v>
      </c>
      <c r="BA108" s="19">
        <f>'D2C - Retail'!BH137+'D2C Online'!BY118</f>
        <v>16270469.74576271</v>
      </c>
      <c r="BB108" s="19">
        <f>'D2C - Retail'!BI137+'D2C Online'!BZ118</f>
        <v>15699671.40677966</v>
      </c>
      <c r="BC108" s="19">
        <f>'D2C - Retail'!BJ137+'D2C Online'!CA118</f>
        <v>15342844.357493721</v>
      </c>
      <c r="BD108" s="19">
        <f>'D2C - Retail'!BK137+'D2C Online'!CB118</f>
        <v>17577363.525423728</v>
      </c>
      <c r="BE108" s="19">
        <f>'D2C - Retail'!BL137+'D2C Online'!CC118</f>
        <v>16948041</v>
      </c>
      <c r="BF108" s="19">
        <f>'D2C - Retail'!BM137+'D2C Online'!CD118</f>
        <v>12723547</v>
      </c>
      <c r="BG108" s="19">
        <f>'D2C - Retail'!BN137+'D2C Online'!CE118</f>
        <v>13930642.22823</v>
      </c>
      <c r="BH108" s="19">
        <f>'D2C - Retail'!BO137+'D2C Online'!CF118</f>
        <v>17915499.447999999</v>
      </c>
      <c r="BI108" s="19">
        <f>'D2C - Retail'!BP137+'D2C Online'!CG118</f>
        <v>10823161.3706</v>
      </c>
      <c r="BJ108" s="19">
        <f>'D2C - Retail'!BQ137+'D2C Online'!CH118</f>
        <v>9115835.8649999984</v>
      </c>
      <c r="BK108" s="19">
        <f>'D2C - Retail'!BR137+'D2C Online'!CI118</f>
        <v>11393843.230640002</v>
      </c>
      <c r="BL108" s="19">
        <f>'D2C - Retail'!BS137+'D2C Online'!CJ118</f>
        <v>9873136.2377599999</v>
      </c>
      <c r="BM108" s="19">
        <f>'D2C - Retail'!BT137+'D2C Online'!CK118</f>
        <v>11583400.591449998</v>
      </c>
      <c r="BN108" s="19">
        <f>'D2C - Retail'!BU137+'D2C Online'!CL118</f>
        <v>10444205.308564749</v>
      </c>
      <c r="BO108" s="19">
        <f>'D2C - Retail'!BV137+'D2C Online'!CM118</f>
        <v>10449171.690254575</v>
      </c>
      <c r="BP108" s="19">
        <f>'D2C - Retail'!BW137+'D2C Online'!CN118</f>
        <v>10437296.187811887</v>
      </c>
      <c r="BQ108" s="19">
        <f>'D2C - Retail'!BX137+'D2C Online'!CO118</f>
        <v>10812197.77879907</v>
      </c>
      <c r="BR108" s="19">
        <f>'D2C - Retail'!BY137+'D2C Online'!CP118</f>
        <v>10018570.962024374</v>
      </c>
      <c r="BS108" s="19">
        <f>'D2C - Retail'!BZ137+'D2C Online'!CQ118</f>
        <v>10446576.733232431</v>
      </c>
      <c r="BT108" s="19">
        <f>'D2C - Retail'!CA137+'D2C Online'!CR118</f>
        <v>10951278.156295773</v>
      </c>
      <c r="BU108" s="19">
        <f>'D2C - Retail'!CB137+'D2C Online'!CS118</f>
        <v>10684257.2887493</v>
      </c>
      <c r="BV108" s="19">
        <f>'D2C - Retail'!CC137+'D2C Online'!CT118</f>
        <v>12989561.294379715</v>
      </c>
      <c r="BW108" s="19">
        <f>'D2C - Retail'!CD137+'D2C Online'!CU118</f>
        <v>13787659.415092701</v>
      </c>
      <c r="BX108" s="19">
        <f>'D2C - Retail'!CE137+'D2C Online'!CV118</f>
        <v>12113271.063014377</v>
      </c>
      <c r="BY108" s="19">
        <f>'D2C - Retail'!CF137+'D2C Online'!CW118</f>
        <v>13399695.166199466</v>
      </c>
      <c r="BZ108" s="19">
        <f>'D2C - Retail'!CG137+'D2C Online'!CX118</f>
        <v>12497105.304088458</v>
      </c>
      <c r="CA108" s="19">
        <f>'D2C - Retail'!CH137+'D2C Online'!CY118</f>
        <v>12510223.776569879</v>
      </c>
      <c r="CB108" s="19">
        <f>'D2C - Retail'!CI137+'D2C Online'!CZ118</f>
        <v>12475429.407663781</v>
      </c>
      <c r="CC108" s="19">
        <f>'D2C - Retail'!CJ137+'D2C Online'!DA118</f>
        <v>12926645.976011377</v>
      </c>
      <c r="CD108" s="19">
        <f>'D2C - Retail'!CK137+'D2C Online'!DB118</f>
        <v>11965600.271375915</v>
      </c>
      <c r="CE108" s="19">
        <f>'D2C - Retail'!CL137+'D2C Online'!DC118</f>
        <v>12456966.271772176</v>
      </c>
      <c r="CF108" s="19">
        <f>'D2C - Retail'!CM137+'D2C Online'!DD118</f>
        <v>13062359.060717225</v>
      </c>
      <c r="CG108" s="19">
        <f>'D2C - Retail'!CN137+'D2C Online'!DE118</f>
        <v>12717609.653065173</v>
      </c>
      <c r="CH108" s="19">
        <f>'D2C - Retail'!CO137+'D2C Online'!DF118</f>
        <v>15444497.139116663</v>
      </c>
      <c r="CI108" s="19">
        <f>'D2C - Retail'!CP137+'D2C Online'!DG118</f>
        <v>16371302.318700649</v>
      </c>
      <c r="CJ108" s="19">
        <f>'D2C - Retail'!CQ137+'D2C Online'!DH118</f>
        <v>14362811.433340281</v>
      </c>
      <c r="CK108" s="19">
        <f>'D2C - Retail'!CR137+'D2C Online'!DI118</f>
        <v>15832946.901588224</v>
      </c>
      <c r="CL108" s="19">
        <f>'D2C - Retail'!CS137+'D2C Online'!DJ118</f>
        <v>14621899.937562069</v>
      </c>
      <c r="CM108" s="19">
        <f>'D2C - Retail'!CT137+'D2C Online'!DK118</f>
        <v>14636251.804417014</v>
      </c>
      <c r="CN108" s="19">
        <f>'D2C - Retail'!CU137+'D2C Online'!DL118</f>
        <v>14593514.52272157</v>
      </c>
      <c r="CO108" s="19">
        <f>'D2C - Retail'!CV137+'D2C Online'!DM118</f>
        <v>15111272.542038161</v>
      </c>
      <c r="CP108" s="19">
        <f>'D2C - Retail'!CW137+'D2C Online'!DN118</f>
        <v>13989067.318532359</v>
      </c>
      <c r="CQ108" s="19">
        <f>'D2C - Retail'!CX137+'D2C Online'!DO118</f>
        <v>14578819.178765267</v>
      </c>
      <c r="CR108" s="19">
        <f>'D2C - Retail'!CY137+'D2C Online'!DP118</f>
        <v>15255451.150555849</v>
      </c>
      <c r="CS108" s="19">
        <f>'D2C - Retail'!CZ137+'D2C Online'!DQ118</f>
        <v>14861361.161590692</v>
      </c>
      <c r="CT108" s="19">
        <f>'D2C - Retail'!DA137+'D2C Online'!DR118</f>
        <v>18055313.919021808</v>
      </c>
      <c r="CU108" s="19">
        <f>'D2C - Retail'!DB137+'D2C Online'!DS118</f>
        <v>19147087.070150312</v>
      </c>
      <c r="CV108" s="19">
        <f>'D2C - Retail'!DC137+'D2C Online'!DT118</f>
        <v>16782292.49891812</v>
      </c>
      <c r="CW108" s="19">
        <f>'D2C - Retail'!DD137+'D2C Online'!DU118</f>
        <v>18489898.172516443</v>
      </c>
      <c r="CY108" s="19">
        <f t="shared" si="400"/>
        <v>24987456</v>
      </c>
      <c r="CZ108" s="19">
        <f t="shared" si="401"/>
        <v>20932686.663438261</v>
      </c>
      <c r="DA108" s="19">
        <f t="shared" si="402"/>
        <v>26116445.646499999</v>
      </c>
      <c r="DB108" s="19">
        <f t="shared" si="403"/>
        <v>16658787.774</v>
      </c>
      <c r="DC108" s="19">
        <f t="shared" si="404"/>
        <v>26662316.824669488</v>
      </c>
      <c r="DD108" s="19">
        <f t="shared" si="405"/>
        <v>31490941.271186449</v>
      </c>
      <c r="DE108" s="19">
        <f t="shared" si="406"/>
        <v>37318284.605593257</v>
      </c>
      <c r="DF108" s="19">
        <f t="shared" si="407"/>
        <v>38728425.745762706</v>
      </c>
      <c r="DG108" s="19">
        <f t="shared" si="408"/>
        <v>48619879.289697111</v>
      </c>
      <c r="DH108" s="19">
        <f t="shared" si="409"/>
        <v>43602230.22823</v>
      </c>
      <c r="DI108" s="19">
        <f t="shared" si="410"/>
        <v>37854496.683599994</v>
      </c>
      <c r="DJ108" s="19">
        <f t="shared" si="411"/>
        <v>32850380.05985</v>
      </c>
      <c r="DK108" s="19">
        <f t="shared" si="412"/>
        <v>31330673.18663121</v>
      </c>
      <c r="DL108" s="19">
        <f t="shared" si="413"/>
        <v>31277345.474055875</v>
      </c>
      <c r="DM108" s="19">
        <f t="shared" si="414"/>
        <v>34625096.739424787</v>
      </c>
      <c r="DN108" s="19">
        <f t="shared" si="415"/>
        <v>39300625.644306548</v>
      </c>
      <c r="DO108" s="19">
        <f t="shared" si="416"/>
        <v>37482758.488322124</v>
      </c>
      <c r="DP108" s="19">
        <f t="shared" si="417"/>
        <v>37349212.519159466</v>
      </c>
      <c r="DQ108" s="19">
        <f t="shared" si="418"/>
        <v>41224465.85289906</v>
      </c>
      <c r="DR108" s="19">
        <f t="shared" si="419"/>
        <v>46567060.653629154</v>
      </c>
      <c r="DS108" s="19">
        <f t="shared" si="312"/>
        <v>43851666.264700651</v>
      </c>
      <c r="DT108" s="19">
        <f t="shared" si="313"/>
        <v>43679159.039335787</v>
      </c>
      <c r="DU108" s="19">
        <f t="shared" si="314"/>
        <v>48172126.231168345</v>
      </c>
      <c r="DV108" s="19">
        <f t="shared" si="315"/>
        <v>54419277.741584875</v>
      </c>
      <c r="DX108" s="19">
        <f t="shared" si="420"/>
        <v>88695376.083938256</v>
      </c>
      <c r="DY108" s="19">
        <f t="shared" si="421"/>
        <v>134199968.44721189</v>
      </c>
      <c r="DZ108" s="19">
        <f t="shared" si="422"/>
        <v>162926986.2613771</v>
      </c>
      <c r="EA108" s="19">
        <f t="shared" si="423"/>
        <v>136533741.04441842</v>
      </c>
      <c r="EB108" s="19">
        <f t="shared" si="424"/>
        <v>162623497.5140098</v>
      </c>
      <c r="EC108" s="770">
        <f t="shared" si="316"/>
        <v>190122229.27678964</v>
      </c>
    </row>
    <row r="109" spans="2:133" x14ac:dyDescent="0.2">
      <c r="B109" s="167" t="s">
        <v>149</v>
      </c>
      <c r="C109" s="19">
        <f>'D2C - Retail'!J138+'D2C Online'!AA119</f>
        <v>565323.08831999998</v>
      </c>
      <c r="D109" s="19">
        <f>'D2C - Retail'!K138+'D2C Online'!AB119</f>
        <v>533341.31939999992</v>
      </c>
      <c r="E109" s="19">
        <f>'D2C - Retail'!L138+'D2C Online'!AC119</f>
        <v>625374.90576000116</v>
      </c>
      <c r="F109" s="19">
        <f>'D2C - Retail'!M138+'D2C Online'!AD119</f>
        <v>370408.69068000023</v>
      </c>
      <c r="G109" s="19">
        <f>'D2C - Retail'!N138+'D2C Online'!AE119</f>
        <v>94266.199199999988</v>
      </c>
      <c r="H109" s="19">
        <f>'D2C - Retail'!O138+'D2C Online'!AF119</f>
        <v>301623.10487999977</v>
      </c>
      <c r="I109" s="19">
        <f>'D2C - Retail'!P138+'D2C Online'!AG119</f>
        <v>408175.59180000098</v>
      </c>
      <c r="J109" s="19">
        <f>'D2C - Retail'!Q138+'D2C Online'!AH119</f>
        <v>492403.11552000168</v>
      </c>
      <c r="K109" s="19">
        <f>'D2C - Retail'!R138+'D2C Online'!AI119</f>
        <v>671743.8196800017</v>
      </c>
      <c r="L109" s="19">
        <f>'D2C - Retail'!S138+'D2C Online'!AJ119</f>
        <v>715270.90258000419</v>
      </c>
      <c r="M109" s="19">
        <f>'D2C - Retail'!T138+'D2C Online'!AK119</f>
        <v>1263842.7476199982</v>
      </c>
      <c r="N109" s="19">
        <f>'D2C - Retail'!U138+'D2C Online'!AL119</f>
        <v>1463834.7460399934</v>
      </c>
      <c r="O109" s="19">
        <f>'D2C - Retail'!V138+'D2C Online'!AM119</f>
        <v>1657671.0287800266</v>
      </c>
      <c r="P109" s="19">
        <f>'D2C - Retail'!W138+'D2C Online'!AN119</f>
        <v>1801391.4901599558</v>
      </c>
      <c r="Q109" s="19">
        <f>'D2C - Retail'!X138+'D2C Online'!AO119</f>
        <v>1798819.4446399403</v>
      </c>
      <c r="R109" s="19">
        <f>'D2C - Retail'!Y138+'D2C Online'!AP119</f>
        <v>1632647.1251999517</v>
      </c>
      <c r="S109" s="19">
        <f>'D2C - Retail'!Z138+'D2C Online'!AQ119</f>
        <v>2027398.9548000577</v>
      </c>
      <c r="T109" s="19">
        <f>'D2C - Retail'!AA138+'D2C Online'!AR119</f>
        <v>2723448.5870398814</v>
      </c>
      <c r="U109" s="19">
        <f>'D2C - Retail'!AB138+'D2C Online'!AS119</f>
        <v>2583046.962839989</v>
      </c>
      <c r="V109" s="19">
        <f>'D2C - Retail'!AC138+'D2C Online'!AT119</f>
        <v>2399745.3503600666</v>
      </c>
      <c r="W109" s="19">
        <f>'D2C - Retail'!AD138+'D2C Online'!AU119</f>
        <v>2365252.8879</v>
      </c>
      <c r="X109" s="19">
        <f>'D2C - Retail'!AE138+'D2C Online'!AV119</f>
        <v>2573683.8489399701</v>
      </c>
      <c r="Y109" s="19">
        <f>'D2C - Retail'!AF138+'D2C Online'!AW119</f>
        <v>2337143.7857199837</v>
      </c>
      <c r="Z109" s="19">
        <f>'D2C - Retail'!AG138+'D2C Online'!AX119</f>
        <v>2585441.3433201169</v>
      </c>
      <c r="AA109" s="19">
        <f>'D2C - Retail'!AH138+'D2C Online'!AY119</f>
        <v>2512331.0076600006</v>
      </c>
      <c r="AB109" s="19">
        <f>'D2C - Retail'!AI138+'D2C Online'!AZ119</f>
        <v>2715999.4368000319</v>
      </c>
      <c r="AC109" s="19">
        <f>'D2C - Retail'!AJ138+'D2C Online'!BA119</f>
        <v>4240254.2573798997</v>
      </c>
      <c r="AD109" s="19">
        <f>'D2C - Retail'!AK138+'D2C Online'!BB119</f>
        <v>4714687.1255942807</v>
      </c>
      <c r="AE109" s="19">
        <f>'D2C - Retail'!AL138+'D2C Online'!BC119</f>
        <v>5407216</v>
      </c>
      <c r="AF109" s="19">
        <f>'D2C - Retail'!AM138+'D2C Online'!BD119</f>
        <v>5003555</v>
      </c>
      <c r="AG109" s="19">
        <f>'D2C - Retail'!AN138+'D2C Online'!BE119</f>
        <v>4401446.5084745763</v>
      </c>
      <c r="AH109" s="19">
        <f>'D2C - Retail'!AO138+'D2C Online'!BF119</f>
        <v>4414339</v>
      </c>
      <c r="AI109" s="19">
        <f>'D2C - Retail'!AP138+'D2C Online'!BG119</f>
        <v>4833617</v>
      </c>
      <c r="AJ109" s="19">
        <f>'D2C - Retail'!AQ138+'D2C Online'!BH119</f>
        <v>7807166.1181329805</v>
      </c>
      <c r="AK109" s="19">
        <f>'D2C - Retail'!AR138+'D2C Online'!BI119</f>
        <v>6365052.3824443594</v>
      </c>
      <c r="AL109" s="19">
        <f>'D2C - Retail'!AS138+'D2C Online'!BJ119</f>
        <v>7558640.6416100953</v>
      </c>
      <c r="AM109" s="19">
        <f>'D2C - Retail'!AT138+'D2C Online'!BK119</f>
        <v>9317167</v>
      </c>
      <c r="AN109" s="19">
        <f>'D2C - Retail'!AU138+'D2C Online'!BL119</f>
        <v>10282925.323791746</v>
      </c>
      <c r="AO109" s="19">
        <f>'D2C - Retail'!AV138+'D2C Online'!BM119</f>
        <v>10723923.915980741</v>
      </c>
      <c r="AP109" s="19">
        <f>'D2C - Retail'!AW138+'D2C Online'!BN119</f>
        <v>7872013.342686587</v>
      </c>
      <c r="AQ109" s="19">
        <f>'D2C - Retail'!AX138+'D2C Online'!BO119</f>
        <v>6773800</v>
      </c>
      <c r="AR109" s="19">
        <f>'D2C - Retail'!AY138+'D2C Online'!BP119</f>
        <v>5859378.5788141806</v>
      </c>
      <c r="AS109" s="19">
        <f>'D2C - Retail'!AZ138+'D2C Online'!BQ119</f>
        <v>7218576</v>
      </c>
      <c r="AT109" s="19">
        <f>'D2C - Retail'!BA138+'D2C Online'!BR119</f>
        <v>5029160</v>
      </c>
      <c r="AU109" s="19">
        <f>'D2C - Retail'!BB138+'D2C Online'!BS119</f>
        <v>5507193.7204873962</v>
      </c>
      <c r="AV109" s="19">
        <f>'D2C - Retail'!BC138+'D2C Online'!BT119</f>
        <v>6834038</v>
      </c>
      <c r="AW109" s="19">
        <f>'D2C - Retail'!BD138+'D2C Online'!BU119</f>
        <v>4771130.5578047894</v>
      </c>
      <c r="AX109" s="19">
        <f>'D2C - Retail'!BE138+'D2C Online'!BV119</f>
        <v>4764700</v>
      </c>
      <c r="AY109" s="19">
        <f>'D2C - Retail'!BF138+'D2C Online'!BW119</f>
        <v>5474163.1807626095</v>
      </c>
      <c r="AZ109" s="19">
        <f>'D2C - Retail'!BG138+'D2C Online'!BX119</f>
        <v>4907090.2746713851</v>
      </c>
      <c r="BA109" s="19">
        <f>'D2C - Retail'!BH138+'D2C Online'!BY119</f>
        <v>8284550.3566312417</v>
      </c>
      <c r="BB109" s="19">
        <f>'D2C - Retail'!BI138+'D2C Online'!BZ119</f>
        <v>8427014.4747897945</v>
      </c>
      <c r="BC109" s="19">
        <f>'D2C - Retail'!BJ138+'D2C Online'!CA119</f>
        <v>8004942.7649152549</v>
      </c>
      <c r="BD109" s="19">
        <f>'D2C - Retail'!BK138+'D2C Online'!CB119</f>
        <v>8656398.1186440699</v>
      </c>
      <c r="BE109" s="19">
        <f>'D2C - Retail'!BL138+'D2C Online'!CC119</f>
        <v>10043911</v>
      </c>
      <c r="BF109" s="19">
        <f>'D2C - Retail'!BM138+'D2C Online'!CD119</f>
        <v>7327038.0000000009</v>
      </c>
      <c r="BG109" s="19">
        <f>'D2C - Retail'!BN138+'D2C Online'!CE119</f>
        <v>10395752</v>
      </c>
      <c r="BH109" s="19">
        <f>'D2C - Retail'!BO138+'D2C Online'!CF119</f>
        <v>16120003.859999999</v>
      </c>
      <c r="BI109" s="19">
        <f>'D2C - Retail'!BP138+'D2C Online'!CG119</f>
        <v>9828786.9600000009</v>
      </c>
      <c r="BJ109" s="19">
        <f>'D2C - Retail'!BQ138+'D2C Online'!CH119</f>
        <v>11681145</v>
      </c>
      <c r="BK109" s="19">
        <f>'D2C - Retail'!BR138+'D2C Online'!CI119</f>
        <v>10222177</v>
      </c>
      <c r="BL109" s="19">
        <f>'D2C - Retail'!BS138+'D2C Online'!CJ119</f>
        <v>9420616.0969999991</v>
      </c>
      <c r="BM109" s="19">
        <f>'D2C - Retail'!BT138+'D2C Online'!CK119</f>
        <v>14978459.1675</v>
      </c>
      <c r="BN109" s="19">
        <f>'D2C - Retail'!BU138+'D2C Online'!CL119</f>
        <v>11378699.587136077</v>
      </c>
      <c r="BO109" s="19">
        <f>'D2C - Retail'!BV138+'D2C Online'!CM119</f>
        <v>11312528.651262414</v>
      </c>
      <c r="BP109" s="19">
        <f>'D2C - Retail'!BW138+'D2C Online'!CN119</f>
        <v>11296533.410489507</v>
      </c>
      <c r="BQ109" s="19">
        <f>'D2C - Retail'!BX138+'D2C Online'!CO119</f>
        <v>11857401.927642349</v>
      </c>
      <c r="BR109" s="19">
        <f>'D2C - Retail'!BY138+'D2C Online'!CP119</f>
        <v>10868458.644044111</v>
      </c>
      <c r="BS109" s="19">
        <f>'D2C - Retail'!BZ138+'D2C Online'!CQ119</f>
        <v>10967963.949804846</v>
      </c>
      <c r="BT109" s="19">
        <f>'D2C - Retail'!CA138+'D2C Online'!CR119</f>
        <v>12089846.28085833</v>
      </c>
      <c r="BU109" s="19">
        <f>'D2C - Retail'!CB138+'D2C Online'!CS119</f>
        <v>11592533.861559335</v>
      </c>
      <c r="BV109" s="19">
        <f>'D2C - Retail'!CC138+'D2C Online'!CT119</f>
        <v>14004643.536709137</v>
      </c>
      <c r="BW109" s="19">
        <f>'D2C - Retail'!CD138+'D2C Online'!CU119</f>
        <v>14715474.998282813</v>
      </c>
      <c r="BX109" s="19">
        <f>'D2C - Retail'!CE138+'D2C Online'!CV119</f>
        <v>13141835.474565893</v>
      </c>
      <c r="BY109" s="19">
        <f>'D2C - Retail'!CF138+'D2C Online'!CW119</f>
        <v>14758082.279261958</v>
      </c>
      <c r="BZ109" s="19">
        <f>'D2C - Retail'!CG138+'D2C Online'!CX119</f>
        <v>13704251.218805656</v>
      </c>
      <c r="CA109" s="19">
        <f>'D2C - Retail'!CH138+'D2C Online'!CY119</f>
        <v>13638866.421532266</v>
      </c>
      <c r="CB109" s="19">
        <f>'D2C - Retail'!CI138+'D2C Online'!CZ119</f>
        <v>13582695.18131141</v>
      </c>
      <c r="CC109" s="19">
        <f>'D2C - Retail'!CJ138+'D2C Online'!DA119</f>
        <v>14259876.699677946</v>
      </c>
      <c r="CD109" s="19">
        <f>'D2C - Retail'!CK138+'D2C Online'!DB119</f>
        <v>13050769.173147889</v>
      </c>
      <c r="CE109" s="19">
        <f>'D2C - Retail'!CL138+'D2C Online'!DC119</f>
        <v>13140605.075198635</v>
      </c>
      <c r="CF109" s="19">
        <f>'D2C - Retail'!CM138+'D2C Online'!DD119</f>
        <v>14483076.670092225</v>
      </c>
      <c r="CG109" s="19">
        <f>'D2C - Retail'!CN138+'D2C Online'!DE119</f>
        <v>13842893.400968112</v>
      </c>
      <c r="CH109" s="19">
        <f>'D2C - Retail'!CO138+'D2C Online'!DF119</f>
        <v>16693311.514633562</v>
      </c>
      <c r="CI109" s="19">
        <f>'D2C - Retail'!CP138+'D2C Online'!DG119</f>
        <v>17501991.941257432</v>
      </c>
      <c r="CJ109" s="19">
        <f>'D2C - Retail'!CQ138+'D2C Online'!DH119</f>
        <v>15592799.262471089</v>
      </c>
      <c r="CK109" s="19">
        <f>'D2C - Retail'!CR138+'D2C Online'!DI119</f>
        <v>17410923.144366048</v>
      </c>
      <c r="CL109" s="19">
        <f>'D2C - Retail'!CS138+'D2C Online'!DJ119</f>
        <v>15907771.141158508</v>
      </c>
      <c r="CM109" s="19">
        <f>'D2C - Retail'!CT138+'D2C Online'!DK119</f>
        <v>15828191.194451666</v>
      </c>
      <c r="CN109" s="19">
        <f>'D2C - Retail'!CU138+'D2C Online'!DL119</f>
        <v>15758920.590949323</v>
      </c>
      <c r="CO109" s="19">
        <f>'D2C - Retail'!CV138+'D2C Online'!DM119</f>
        <v>16531036.388047524</v>
      </c>
      <c r="CP109" s="19">
        <f>'D2C - Retail'!CW138+'D2C Online'!DN119</f>
        <v>15127858.248564906</v>
      </c>
      <c r="CQ109" s="19">
        <f>'D2C - Retail'!CX138+'D2C Online'!DO119</f>
        <v>15248148.994465346</v>
      </c>
      <c r="CR109" s="19">
        <f>'D2C - Retail'!CY138+'D2C Online'!DP119</f>
        <v>16765652.526741557</v>
      </c>
      <c r="CS109" s="19">
        <f>'D2C - Retail'!CZ138+'D2C Online'!DQ119</f>
        <v>16032975.019407894</v>
      </c>
      <c r="CT109" s="19">
        <f>'D2C - Retail'!DA138+'D2C Online'!DR119</f>
        <v>19344561.639486879</v>
      </c>
      <c r="CU109" s="19">
        <f>'D2C - Retail'!DB138+'D2C Online'!DS119</f>
        <v>20291618.737401456</v>
      </c>
      <c r="CV109" s="19">
        <f>'D2C - Retail'!DC138+'D2C Online'!DT119</f>
        <v>18055794.552384913</v>
      </c>
      <c r="CW109" s="19">
        <f>'D2C - Retail'!DD138+'D2C Online'!DU119</f>
        <v>20148715.524151936</v>
      </c>
      <c r="CY109" s="19">
        <f t="shared" si="400"/>
        <v>15125458.125594281</v>
      </c>
      <c r="CZ109" s="19">
        <f t="shared" si="401"/>
        <v>13649402.508474577</v>
      </c>
      <c r="DA109" s="19">
        <f t="shared" si="402"/>
        <v>21730859.142187435</v>
      </c>
      <c r="DB109" s="19">
        <f t="shared" si="403"/>
        <v>30324016.239772487</v>
      </c>
      <c r="DC109" s="19">
        <f t="shared" si="404"/>
        <v>20505191.921500765</v>
      </c>
      <c r="DD109" s="19">
        <f t="shared" si="405"/>
        <v>17754929.720487397</v>
      </c>
      <c r="DE109" s="19">
        <f t="shared" si="406"/>
        <v>16369868.557804789</v>
      </c>
      <c r="DF109" s="19">
        <f t="shared" si="407"/>
        <v>18665803.812065236</v>
      </c>
      <c r="DG109" s="19">
        <f t="shared" si="408"/>
        <v>25088355.358349118</v>
      </c>
      <c r="DH109" s="19">
        <f t="shared" si="409"/>
        <v>27766701</v>
      </c>
      <c r="DI109" s="19">
        <f t="shared" si="410"/>
        <v>37629935.82</v>
      </c>
      <c r="DJ109" s="19">
        <f t="shared" si="411"/>
        <v>34621252.2645</v>
      </c>
      <c r="DK109" s="19">
        <f t="shared" si="412"/>
        <v>33987761.648887999</v>
      </c>
      <c r="DL109" s="19">
        <f t="shared" si="413"/>
        <v>33693824.521491304</v>
      </c>
      <c r="DM109" s="19">
        <f t="shared" si="414"/>
        <v>37687023.679126799</v>
      </c>
      <c r="DN109" s="19">
        <f t="shared" si="415"/>
        <v>42615392.75211066</v>
      </c>
      <c r="DO109" s="19">
        <f t="shared" si="416"/>
        <v>40925812.821649328</v>
      </c>
      <c r="DP109" s="19">
        <f t="shared" si="417"/>
        <v>40451250.948024467</v>
      </c>
      <c r="DQ109" s="19">
        <f t="shared" si="418"/>
        <v>45019281.585693896</v>
      </c>
      <c r="DR109" s="19">
        <f t="shared" si="419"/>
        <v>50505714.348094568</v>
      </c>
      <c r="DS109" s="19">
        <f t="shared" si="312"/>
        <v>47494882.926559493</v>
      </c>
      <c r="DT109" s="19">
        <f t="shared" si="313"/>
        <v>46907043.631077774</v>
      </c>
      <c r="DU109" s="19">
        <f t="shared" si="314"/>
        <v>52143189.185636327</v>
      </c>
      <c r="DV109" s="19">
        <f t="shared" si="315"/>
        <v>58496128.813938305</v>
      </c>
      <c r="DX109" s="19">
        <f t="shared" si="420"/>
        <v>80829736.016028777</v>
      </c>
      <c r="DY109" s="19">
        <f t="shared" si="421"/>
        <v>73295794.011858195</v>
      </c>
      <c r="DZ109" s="19">
        <f t="shared" si="422"/>
        <v>125106244.4428491</v>
      </c>
      <c r="EA109" s="19">
        <f t="shared" si="423"/>
        <v>147984002.60161677</v>
      </c>
      <c r="EB109" s="19">
        <f t="shared" si="424"/>
        <v>176902059.70346224</v>
      </c>
      <c r="EC109" s="770">
        <f t="shared" si="316"/>
        <v>205041244.55721194</v>
      </c>
    </row>
    <row r="110" spans="2:133" x14ac:dyDescent="0.2">
      <c r="B110" s="22" t="s">
        <v>37</v>
      </c>
      <c r="C110" s="20">
        <f>C101/C50</f>
        <v>1.9205646741354759E-2</v>
      </c>
      <c r="D110" s="20">
        <f t="shared" ref="D110:BO110" si="431">D101/D50</f>
        <v>1.8325790819384399E-2</v>
      </c>
      <c r="E110" s="20">
        <f t="shared" si="431"/>
        <v>2.2118859118889691E-2</v>
      </c>
      <c r="F110" s="20">
        <f t="shared" si="431"/>
        <v>2.4190334348399546E-2</v>
      </c>
      <c r="G110" s="20">
        <f t="shared" si="431"/>
        <v>4.5035901453895313E-2</v>
      </c>
      <c r="H110" s="20">
        <f t="shared" si="431"/>
        <v>2.2763476983336781E-2</v>
      </c>
      <c r="I110" s="20">
        <f t="shared" si="431"/>
        <v>2.6688233496248017E-2</v>
      </c>
      <c r="J110" s="20">
        <f t="shared" si="431"/>
        <v>2.8410893380256382E-2</v>
      </c>
      <c r="K110" s="20">
        <f t="shared" si="431"/>
        <v>2.8988357196579943E-2</v>
      </c>
      <c r="L110" s="20">
        <f t="shared" si="431"/>
        <v>2.8445977882684829E-2</v>
      </c>
      <c r="M110" s="20">
        <f t="shared" si="431"/>
        <v>2.6647425903978287E-2</v>
      </c>
      <c r="N110" s="20">
        <f t="shared" si="431"/>
        <v>2.6074961803071846E-2</v>
      </c>
      <c r="O110" s="20">
        <f t="shared" si="431"/>
        <v>2.5340263258044435E-2</v>
      </c>
      <c r="P110" s="20">
        <f t="shared" si="431"/>
        <v>2.7126189568857727E-2</v>
      </c>
      <c r="Q110" s="20">
        <f t="shared" si="431"/>
        <v>2.9303559542625243E-2</v>
      </c>
      <c r="R110" s="20">
        <f t="shared" si="431"/>
        <v>2.9891639322824286E-2</v>
      </c>
      <c r="S110" s="20">
        <f t="shared" si="431"/>
        <v>2.8656745419792466E-2</v>
      </c>
      <c r="T110" s="20">
        <f t="shared" si="431"/>
        <v>2.9889251418722857E-2</v>
      </c>
      <c r="U110" s="20">
        <f t="shared" si="431"/>
        <v>3.2278688331197299E-2</v>
      </c>
      <c r="V110" s="20">
        <f t="shared" si="431"/>
        <v>2.7933729527390743E-2</v>
      </c>
      <c r="W110" s="20">
        <f t="shared" si="431"/>
        <v>3.1152263870520284E-2</v>
      </c>
      <c r="X110" s="20">
        <f t="shared" si="431"/>
        <v>3.4482055789943469E-2</v>
      </c>
      <c r="Y110" s="20">
        <f t="shared" si="431"/>
        <v>3.2529261548961852E-2</v>
      </c>
      <c r="Z110" s="20">
        <f t="shared" si="431"/>
        <v>2.8913942941648233E-2</v>
      </c>
      <c r="AA110" s="20">
        <f t="shared" si="431"/>
        <v>2.7871116769957488E-2</v>
      </c>
      <c r="AB110" s="20">
        <f t="shared" si="431"/>
        <v>3.5210160454446693E-2</v>
      </c>
      <c r="AC110" s="20">
        <f t="shared" si="431"/>
        <v>4.9232453998257271E-2</v>
      </c>
      <c r="AD110" s="20">
        <f t="shared" si="431"/>
        <v>4.9448305670743903E-2</v>
      </c>
      <c r="AE110" s="20">
        <f t="shared" si="431"/>
        <v>4.5075724220494669E-2</v>
      </c>
      <c r="AF110" s="20">
        <f t="shared" si="431"/>
        <v>4.6252435094744172E-2</v>
      </c>
      <c r="AG110" s="20">
        <f t="shared" si="431"/>
        <v>4.8627163099475131E-2</v>
      </c>
      <c r="AH110" s="20">
        <f t="shared" si="431"/>
        <v>4.8270467545463824E-2</v>
      </c>
      <c r="AI110" s="20">
        <f t="shared" si="431"/>
        <v>4.9074163049582398E-2</v>
      </c>
      <c r="AJ110" s="20">
        <f t="shared" si="431"/>
        <v>5.3317276864239684E-2</v>
      </c>
      <c r="AK110" s="20">
        <f t="shared" si="431"/>
        <v>4.6663574685891274E-2</v>
      </c>
      <c r="AL110" s="20">
        <f t="shared" si="431"/>
        <v>4.8190302045968719E-2</v>
      </c>
      <c r="AM110" s="20">
        <f t="shared" si="431"/>
        <v>5.1255301439246836E-2</v>
      </c>
      <c r="AN110" s="20">
        <f t="shared" si="431"/>
        <v>6.6079175653326133E-2</v>
      </c>
      <c r="AO110" s="20">
        <f t="shared" si="431"/>
        <v>5.7617250571149185E-2</v>
      </c>
      <c r="AP110" s="20">
        <f t="shared" si="431"/>
        <v>4.9771404428652223E-2</v>
      </c>
      <c r="AQ110" s="20">
        <f t="shared" si="431"/>
        <v>5.1876226573911437E-2</v>
      </c>
      <c r="AR110" s="20">
        <f t="shared" si="431"/>
        <v>5.2405377636283106E-2</v>
      </c>
      <c r="AS110" s="20">
        <f t="shared" si="431"/>
        <v>5.5267946121136682E-2</v>
      </c>
      <c r="AT110" s="20">
        <f t="shared" si="431"/>
        <v>5.2907402193067173E-2</v>
      </c>
      <c r="AU110" s="20">
        <f t="shared" si="431"/>
        <v>5.4609709513476774E-2</v>
      </c>
      <c r="AV110" s="20">
        <f t="shared" si="431"/>
        <v>5.2355829435561996E-2</v>
      </c>
      <c r="AW110" s="20">
        <f t="shared" si="431"/>
        <v>5.2315505474693498E-2</v>
      </c>
      <c r="AX110" s="20">
        <f t="shared" si="431"/>
        <v>4.565747407484521E-2</v>
      </c>
      <c r="AY110" s="20">
        <f t="shared" si="431"/>
        <v>4.5829146638918759E-2</v>
      </c>
      <c r="AZ110" s="20">
        <f t="shared" si="431"/>
        <v>4.2168747318873219E-2</v>
      </c>
      <c r="BA110" s="20">
        <f t="shared" si="431"/>
        <v>4.9495371685333044E-2</v>
      </c>
      <c r="BB110" s="20">
        <f t="shared" si="431"/>
        <v>5.2084451665383807E-2</v>
      </c>
      <c r="BC110" s="20">
        <f t="shared" si="431"/>
        <v>5.2470169103799327E-2</v>
      </c>
      <c r="BD110" s="20">
        <f t="shared" si="431"/>
        <v>5.6263734256607544E-2</v>
      </c>
      <c r="BE110" s="20">
        <f t="shared" si="431"/>
        <v>5.5391412626019217E-2</v>
      </c>
      <c r="BF110" s="20">
        <f t="shared" si="431"/>
        <v>5.2462946857541409E-2</v>
      </c>
      <c r="BG110" s="20">
        <f t="shared" si="431"/>
        <v>5.3662969108062258E-2</v>
      </c>
      <c r="BH110" s="20">
        <f t="shared" si="431"/>
        <v>6.1130216423813728E-2</v>
      </c>
      <c r="BI110" s="20">
        <f t="shared" si="431"/>
        <v>4.7671948524110414E-2</v>
      </c>
      <c r="BJ110" s="20">
        <f t="shared" si="431"/>
        <v>4.0400559270624227E-2</v>
      </c>
      <c r="BK110" s="20">
        <f t="shared" si="431"/>
        <v>4.161266134850608E-2</v>
      </c>
      <c r="BL110" s="20">
        <f t="shared" si="431"/>
        <v>4.0626962006630719E-2</v>
      </c>
      <c r="BM110" s="20">
        <f t="shared" si="431"/>
        <v>4.130265533293169E-2</v>
      </c>
      <c r="BN110" s="20">
        <f t="shared" si="431"/>
        <v>4.3082911927381368E-2</v>
      </c>
      <c r="BO110" s="20">
        <f t="shared" si="431"/>
        <v>4.3331859195098917E-2</v>
      </c>
      <c r="BP110" s="20">
        <f t="shared" ref="BP110:EB110" si="432">BP101/BP50</f>
        <v>4.3337061980725719E-2</v>
      </c>
      <c r="BQ110" s="20">
        <f t="shared" si="432"/>
        <v>4.2718390920199328E-2</v>
      </c>
      <c r="BR110" s="20">
        <f t="shared" si="432"/>
        <v>4.332820695911288E-2</v>
      </c>
      <c r="BS110" s="20">
        <f t="shared" si="432"/>
        <v>4.4589721718574137E-2</v>
      </c>
      <c r="BT110" s="20">
        <f t="shared" si="432"/>
        <v>4.240389710351896E-2</v>
      </c>
      <c r="BU110" s="20">
        <f t="shared" si="432"/>
        <v>4.3139757191376013E-2</v>
      </c>
      <c r="BV110" s="20">
        <f t="shared" si="432"/>
        <v>4.2978467478849293E-2</v>
      </c>
      <c r="BW110" s="20">
        <f t="shared" si="432"/>
        <v>4.3274012920372591E-2</v>
      </c>
      <c r="BX110" s="20">
        <f t="shared" si="432"/>
        <v>4.2852202144519617E-2</v>
      </c>
      <c r="BY110" s="20">
        <f t="shared" si="432"/>
        <v>4.2059088344432789E-2</v>
      </c>
      <c r="BZ110" s="20">
        <f t="shared" si="432"/>
        <v>4.2762180741696749E-2</v>
      </c>
      <c r="CA110" s="20">
        <f t="shared" si="432"/>
        <v>4.2983801115524779E-2</v>
      </c>
      <c r="CB110" s="20">
        <f t="shared" si="432"/>
        <v>4.3038090213212692E-2</v>
      </c>
      <c r="CC110" s="20">
        <f t="shared" si="432"/>
        <v>4.2445503528402005E-2</v>
      </c>
      <c r="CD110" s="20">
        <f t="shared" si="432"/>
        <v>4.30412508626868E-2</v>
      </c>
      <c r="CE110" s="20">
        <f t="shared" si="432"/>
        <v>4.4324287523057691E-2</v>
      </c>
      <c r="CF110" s="20">
        <f t="shared" si="432"/>
        <v>4.2210575944050643E-2</v>
      </c>
      <c r="CG110" s="20">
        <f t="shared" si="432"/>
        <v>4.2979630182015727E-2</v>
      </c>
      <c r="CH110" s="20">
        <f t="shared" si="432"/>
        <v>4.290657039916472E-2</v>
      </c>
      <c r="CI110" s="20">
        <f t="shared" si="432"/>
        <v>4.3253056820269857E-2</v>
      </c>
      <c r="CJ110" s="20">
        <f t="shared" si="432"/>
        <v>4.2847801722914976E-2</v>
      </c>
      <c r="CK110" s="20">
        <f t="shared" si="432"/>
        <v>4.2182614522128403E-2</v>
      </c>
      <c r="CL110" s="20">
        <f t="shared" ref="CL110:CW110" si="433">CL101/CL50</f>
        <v>4.2505251661662996E-2</v>
      </c>
      <c r="CM110" s="20">
        <f t="shared" si="433"/>
        <v>4.2731486073067287E-2</v>
      </c>
      <c r="CN110" s="20">
        <f t="shared" si="433"/>
        <v>4.278975956342905E-2</v>
      </c>
      <c r="CO110" s="20">
        <f t="shared" si="433"/>
        <v>4.2223117926553137E-2</v>
      </c>
      <c r="CP110" s="20">
        <f t="shared" si="433"/>
        <v>4.2796288387037508E-2</v>
      </c>
      <c r="CQ110" s="20">
        <f t="shared" si="433"/>
        <v>4.4074216103478156E-2</v>
      </c>
      <c r="CR110" s="20">
        <f t="shared" si="433"/>
        <v>4.2016488098684919E-2</v>
      </c>
      <c r="CS110" s="20">
        <f t="shared" si="433"/>
        <v>4.2770480733666023E-2</v>
      </c>
      <c r="CT110" s="20">
        <f t="shared" si="433"/>
        <v>4.2745093005184753E-2</v>
      </c>
      <c r="CU110" s="20">
        <f t="shared" si="433"/>
        <v>4.3099614837370535E-2</v>
      </c>
      <c r="CV110" s="20">
        <f t="shared" si="433"/>
        <v>4.2679607283965831E-2</v>
      </c>
      <c r="CW110" s="20">
        <f t="shared" si="433"/>
        <v>4.2048287658511728E-2</v>
      </c>
      <c r="CY110" s="20">
        <f t="shared" si="432"/>
        <v>4.6886719408650385E-2</v>
      </c>
      <c r="CZ110" s="20">
        <f t="shared" si="432"/>
        <v>4.8658479734170396E-2</v>
      </c>
      <c r="DA110" s="20">
        <f t="shared" si="432"/>
        <v>4.9686060564813339E-2</v>
      </c>
      <c r="DB110" s="20">
        <f t="shared" si="432"/>
        <v>5.7861862132522111E-2</v>
      </c>
      <c r="DC110" s="20">
        <f t="shared" si="432"/>
        <v>5.138890340700094E-2</v>
      </c>
      <c r="DD110" s="20">
        <f t="shared" si="432"/>
        <v>5.4295908543952796E-2</v>
      </c>
      <c r="DE110" s="20">
        <f t="shared" si="432"/>
        <v>4.9898144927000433E-2</v>
      </c>
      <c r="DF110" s="20">
        <f t="shared" si="432"/>
        <v>4.6144573028840723E-2</v>
      </c>
      <c r="DG110" s="20">
        <f t="shared" si="432"/>
        <v>5.3603684406827931E-2</v>
      </c>
      <c r="DH110" s="20">
        <f t="shared" si="432"/>
        <v>5.3912085928578359E-2</v>
      </c>
      <c r="DI110" s="20">
        <f t="shared" si="432"/>
        <v>4.9340894667872011E-2</v>
      </c>
      <c r="DJ110" s="20">
        <f t="shared" si="432"/>
        <v>4.120162377589924E-2</v>
      </c>
      <c r="DK110" s="20">
        <f t="shared" si="432"/>
        <v>4.3250049287410393E-2</v>
      </c>
      <c r="DL110" s="20">
        <f t="shared" si="432"/>
        <v>4.3516351715568828E-2</v>
      </c>
      <c r="DM110" s="20">
        <f t="shared" si="432"/>
        <v>4.2842285408078655E-2</v>
      </c>
      <c r="DN110" s="20">
        <f t="shared" si="432"/>
        <v>4.2719648942677574E-2</v>
      </c>
      <c r="DO110" s="20">
        <f t="shared" si="432"/>
        <v>4.2927409532838398E-2</v>
      </c>
      <c r="DP110" s="20">
        <f t="shared" si="432"/>
        <v>4.323995153492613E-2</v>
      </c>
      <c r="DQ110" s="20">
        <f t="shared" si="432"/>
        <v>4.2703288134233228E-2</v>
      </c>
      <c r="DR110" s="20">
        <f t="shared" si="432"/>
        <v>4.2756130539836491E-2</v>
      </c>
      <c r="DS110" s="20">
        <f t="shared" si="432"/>
        <v>4.2674833080970254E-2</v>
      </c>
      <c r="DT110" s="20">
        <f t="shared" si="432"/>
        <v>4.3001595363470466E-2</v>
      </c>
      <c r="DU110" s="20">
        <f t="shared" si="432"/>
        <v>4.2516706732407171E-2</v>
      </c>
      <c r="DV110" s="20">
        <f t="shared" si="432"/>
        <v>4.26050953416581E-2</v>
      </c>
      <c r="DW110" s="771"/>
      <c r="DX110" s="20">
        <f t="shared" si="432"/>
        <v>5.0638789971394114E-2</v>
      </c>
      <c r="DY110" s="20">
        <f t="shared" si="432"/>
        <v>5.002568353377726E-2</v>
      </c>
      <c r="DZ110" s="20">
        <f t="shared" si="432"/>
        <v>4.874014021653484E-2</v>
      </c>
      <c r="EA110" s="20">
        <f t="shared" si="432"/>
        <v>4.3053624515500613E-2</v>
      </c>
      <c r="EB110" s="20">
        <f t="shared" si="432"/>
        <v>4.2892731366247931E-2</v>
      </c>
      <c r="EC110" s="20">
        <f t="shared" ref="EC110" si="434">EC101/EC50</f>
        <v>4.2689260943121615E-2</v>
      </c>
    </row>
    <row r="111" spans="2:133" x14ac:dyDescent="0.2">
      <c r="B111" s="22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X111" s="19"/>
      <c r="DY111" s="19"/>
      <c r="DZ111" s="19"/>
      <c r="EA111" s="19"/>
      <c r="EB111" s="19"/>
      <c r="EC111" s="770">
        <f t="shared" si="316"/>
        <v>0</v>
      </c>
    </row>
    <row r="112" spans="2:133" x14ac:dyDescent="0.2">
      <c r="B112" s="212" t="s">
        <v>38</v>
      </c>
      <c r="C112" s="199">
        <f>C92-C101</f>
        <v>6768870.6308052726</v>
      </c>
      <c r="D112" s="199">
        <f t="shared" ref="D112:BO112" si="435">D92-D101</f>
        <v>6794430.8649877468</v>
      </c>
      <c r="E112" s="199">
        <f t="shared" si="435"/>
        <v>9401744.9732027538</v>
      </c>
      <c r="F112" s="199">
        <f t="shared" si="435"/>
        <v>5393734.0548634203</v>
      </c>
      <c r="G112" s="199">
        <f t="shared" si="435"/>
        <v>406090.51677292242</v>
      </c>
      <c r="H112" s="199">
        <f t="shared" si="435"/>
        <v>5101585.062126955</v>
      </c>
      <c r="I112" s="199">
        <f t="shared" si="435"/>
        <v>7900213.0751622925</v>
      </c>
      <c r="J112" s="199">
        <f t="shared" si="435"/>
        <v>8705167.2286594119</v>
      </c>
      <c r="K112" s="199">
        <f t="shared" si="435"/>
        <v>9837020.4634986706</v>
      </c>
      <c r="L112" s="199">
        <f t="shared" si="435"/>
        <v>10430098.679490305</v>
      </c>
      <c r="M112" s="199">
        <f t="shared" si="435"/>
        <v>18910975.218575414</v>
      </c>
      <c r="N112" s="199">
        <f t="shared" si="435"/>
        <v>21453394.625136413</v>
      </c>
      <c r="O112" s="199">
        <f t="shared" si="435"/>
        <v>19640515.090191592</v>
      </c>
      <c r="P112" s="199">
        <f t="shared" si="435"/>
        <v>22288800.624445785</v>
      </c>
      <c r="Q112" s="199">
        <f t="shared" si="435"/>
        <v>21861693.629767179</v>
      </c>
      <c r="R112" s="199">
        <f t="shared" si="435"/>
        <v>20848261.171329625</v>
      </c>
      <c r="S112" s="199">
        <f t="shared" si="435"/>
        <v>22693775.656712119</v>
      </c>
      <c r="T112" s="199">
        <f t="shared" si="435"/>
        <v>26406018.121535528</v>
      </c>
      <c r="U112" s="199">
        <f t="shared" si="435"/>
        <v>27278029.982320242</v>
      </c>
      <c r="V112" s="199">
        <f t="shared" si="435"/>
        <v>24540225.328967638</v>
      </c>
      <c r="W112" s="199">
        <f t="shared" si="435"/>
        <v>18869130.665033698</v>
      </c>
      <c r="X112" s="199">
        <f t="shared" si="435"/>
        <v>24063106.951862633</v>
      </c>
      <c r="Y112" s="199">
        <f t="shared" si="435"/>
        <v>25709433.453474529</v>
      </c>
      <c r="Z112" s="199">
        <f t="shared" si="435"/>
        <v>31719487.036323905</v>
      </c>
      <c r="AA112" s="199">
        <f t="shared" si="435"/>
        <v>38980104.916217417</v>
      </c>
      <c r="AB112" s="199">
        <f t="shared" si="435"/>
        <v>41441488.97952798</v>
      </c>
      <c r="AC112" s="199">
        <f t="shared" si="435"/>
        <v>46549717.923178911</v>
      </c>
      <c r="AD112" s="199">
        <f t="shared" si="435"/>
        <v>41172541.737528339</v>
      </c>
      <c r="AE112" s="199">
        <f t="shared" si="435"/>
        <v>50621665.343949065</v>
      </c>
      <c r="AF112" s="199">
        <f t="shared" si="435"/>
        <v>58198326.627150655</v>
      </c>
      <c r="AG112" s="199">
        <f t="shared" si="435"/>
        <v>47568689.973003969</v>
      </c>
      <c r="AH112" s="199">
        <f t="shared" si="435"/>
        <v>51403447.873632222</v>
      </c>
      <c r="AI112" s="199">
        <f t="shared" si="435"/>
        <v>38770532.152590498</v>
      </c>
      <c r="AJ112" s="199">
        <f t="shared" si="435"/>
        <v>54408894.627384581</v>
      </c>
      <c r="AK112" s="199">
        <f t="shared" si="435"/>
        <v>56975595.735668153</v>
      </c>
      <c r="AL112" s="199">
        <f t="shared" si="435"/>
        <v>56091199.499903858</v>
      </c>
      <c r="AM112" s="199">
        <f t="shared" si="435"/>
        <v>56646829.441004202</v>
      </c>
      <c r="AN112" s="199">
        <f t="shared" si="435"/>
        <v>57516622.87292996</v>
      </c>
      <c r="AO112" s="199">
        <f t="shared" si="435"/>
        <v>72852040.986010939</v>
      </c>
      <c r="AP112" s="199">
        <f t="shared" si="435"/>
        <v>69947882.99257423</v>
      </c>
      <c r="AQ112" s="199">
        <f t="shared" si="435"/>
        <v>77305837.826515704</v>
      </c>
      <c r="AR112" s="199">
        <f t="shared" si="435"/>
        <v>85188253.120467275</v>
      </c>
      <c r="AS112" s="199">
        <f t="shared" si="435"/>
        <v>79733718.060988486</v>
      </c>
      <c r="AT112" s="199">
        <f t="shared" si="435"/>
        <v>73353505.721626431</v>
      </c>
      <c r="AU112" s="199">
        <f t="shared" si="435"/>
        <v>63277077.577194765</v>
      </c>
      <c r="AV112" s="199">
        <f t="shared" si="435"/>
        <v>83739770.209222734</v>
      </c>
      <c r="AW112" s="199">
        <f t="shared" si="435"/>
        <v>79790346.021760195</v>
      </c>
      <c r="AX112" s="199">
        <f t="shared" si="435"/>
        <v>92627617.277342409</v>
      </c>
      <c r="AY112" s="199">
        <f t="shared" si="435"/>
        <v>95483585.481904566</v>
      </c>
      <c r="AZ112" s="199">
        <f t="shared" si="435"/>
        <v>89437661.749732971</v>
      </c>
      <c r="BA112" s="199">
        <f t="shared" si="435"/>
        <v>114397241.51639447</v>
      </c>
      <c r="BB112" s="199">
        <f t="shared" si="435"/>
        <v>103431054.96333402</v>
      </c>
      <c r="BC112" s="199">
        <f t="shared" si="435"/>
        <v>100777944.06194773</v>
      </c>
      <c r="BD112" s="199">
        <f t="shared" si="435"/>
        <v>107620057.54360528</v>
      </c>
      <c r="BE112" s="199">
        <f t="shared" si="435"/>
        <v>113127758.16722509</v>
      </c>
      <c r="BF112" s="199">
        <f t="shared" si="435"/>
        <v>108940361.42085531</v>
      </c>
      <c r="BG112" s="199">
        <f t="shared" si="435"/>
        <v>99961017.533785909</v>
      </c>
      <c r="BH112" s="199">
        <f t="shared" si="435"/>
        <v>119262241.59010877</v>
      </c>
      <c r="BI112" s="199">
        <f t="shared" si="435"/>
        <v>117760798.03349791</v>
      </c>
      <c r="BJ112" s="199">
        <f t="shared" si="435"/>
        <v>135232928.52298099</v>
      </c>
      <c r="BK112" s="199">
        <f t="shared" si="435"/>
        <v>142413909.74176091</v>
      </c>
      <c r="BL112" s="199">
        <f t="shared" si="435"/>
        <v>124304320.93278806</v>
      </c>
      <c r="BM112" s="199">
        <f t="shared" si="435"/>
        <v>138872791.99184334</v>
      </c>
      <c r="BN112" s="199">
        <f t="shared" si="435"/>
        <v>142140929.7688956</v>
      </c>
      <c r="BO112" s="199">
        <f t="shared" si="435"/>
        <v>140677637.41901714</v>
      </c>
      <c r="BP112" s="199">
        <f t="shared" ref="BP112:CK112" si="436">BP92-BP101</f>
        <v>140578568.27978274</v>
      </c>
      <c r="BQ112" s="199">
        <f t="shared" si="436"/>
        <v>148953144.03643849</v>
      </c>
      <c r="BR112" s="199">
        <f t="shared" si="436"/>
        <v>135985449.51138538</v>
      </c>
      <c r="BS112" s="199">
        <f t="shared" si="436"/>
        <v>133451649.98174623</v>
      </c>
      <c r="BT112" s="199">
        <f t="shared" si="436"/>
        <v>152948883.40804115</v>
      </c>
      <c r="BU112" s="199">
        <f t="shared" si="436"/>
        <v>144965817.67169473</v>
      </c>
      <c r="BV112" s="199">
        <f t="shared" si="436"/>
        <v>172716103.17268193</v>
      </c>
      <c r="BW112" s="199">
        <f t="shared" si="436"/>
        <v>179582387.41820189</v>
      </c>
      <c r="BX112" s="199">
        <f t="shared" si="436"/>
        <v>163621852.84049594</v>
      </c>
      <c r="BY112" s="199">
        <f t="shared" si="436"/>
        <v>185304868.30030227</v>
      </c>
      <c r="BZ112" s="199">
        <f t="shared" si="436"/>
        <v>170157158.03168714</v>
      </c>
      <c r="CA112" s="199">
        <f t="shared" si="436"/>
        <v>168666224.54453033</v>
      </c>
      <c r="CB112" s="199">
        <f t="shared" si="436"/>
        <v>167894092.17986894</v>
      </c>
      <c r="CC112" s="199">
        <f t="shared" si="436"/>
        <v>177918917.32860821</v>
      </c>
      <c r="CD112" s="199">
        <f t="shared" si="436"/>
        <v>162089163.25849557</v>
      </c>
      <c r="CE112" s="199">
        <f t="shared" si="436"/>
        <v>158584332.09871775</v>
      </c>
      <c r="CF112" s="199">
        <f t="shared" si="436"/>
        <v>181678108.25478166</v>
      </c>
      <c r="CG112" s="199">
        <f t="shared" si="436"/>
        <v>171416366.86639836</v>
      </c>
      <c r="CH112" s="199">
        <f t="shared" si="436"/>
        <v>203735456.32718235</v>
      </c>
      <c r="CI112" s="199">
        <f t="shared" si="436"/>
        <v>211163111.2201598</v>
      </c>
      <c r="CJ112" s="199">
        <f t="shared" si="436"/>
        <v>191731735.86518085</v>
      </c>
      <c r="CK112" s="199">
        <f t="shared" si="436"/>
        <v>215474132.55156344</v>
      </c>
      <c r="CL112" s="199">
        <f t="shared" ref="CL112:CW112" si="437">CL92-CL101</f>
        <v>192942584.25854346</v>
      </c>
      <c r="CM112" s="199">
        <f t="shared" si="437"/>
        <v>191163613.93249685</v>
      </c>
      <c r="CN112" s="199">
        <f t="shared" si="437"/>
        <v>190211289.23990166</v>
      </c>
      <c r="CO112" s="199">
        <f t="shared" si="437"/>
        <v>201382391.56277645</v>
      </c>
      <c r="CP112" s="199">
        <f t="shared" si="437"/>
        <v>183401391.94905111</v>
      </c>
      <c r="CQ112" s="199">
        <f t="shared" si="437"/>
        <v>179564443.40838695</v>
      </c>
      <c r="CR112" s="199">
        <f t="shared" si="437"/>
        <v>205235975.70712143</v>
      </c>
      <c r="CS112" s="199">
        <f t="shared" si="437"/>
        <v>193704735.89974728</v>
      </c>
      <c r="CT112" s="199">
        <f t="shared" si="437"/>
        <v>230338691.39057708</v>
      </c>
      <c r="CU112" s="199">
        <f t="shared" si="437"/>
        <v>238837045.28781211</v>
      </c>
      <c r="CV112" s="199">
        <f t="shared" si="437"/>
        <v>216562697.41302934</v>
      </c>
      <c r="CW112" s="199">
        <f t="shared" si="437"/>
        <v>243232480.51568016</v>
      </c>
      <c r="CY112" s="199">
        <f>SUM(AD112:AF112)</f>
        <v>149992533.70862806</v>
      </c>
      <c r="CZ112" s="199">
        <f>SUM(AG112:AI112)</f>
        <v>137742669.99922669</v>
      </c>
      <c r="DA112" s="199">
        <f>SUM(AJ112:AL112)</f>
        <v>167475689.86295658</v>
      </c>
      <c r="DB112" s="199">
        <f>SUM(AM112:AO112)</f>
        <v>187015493.29994512</v>
      </c>
      <c r="DC112" s="199">
        <f>SUM(AP112:AR112)</f>
        <v>232441973.93955722</v>
      </c>
      <c r="DD112" s="199">
        <f>SUM(AS112:AU112)</f>
        <v>216364301.3598097</v>
      </c>
      <c r="DE112" s="199">
        <f>SUM(AV112:AX112)</f>
        <v>256157733.50832534</v>
      </c>
      <c r="DF112" s="199">
        <f>SUM(AY112:BA112)</f>
        <v>299318488.74803197</v>
      </c>
      <c r="DG112" s="199">
        <f>SUM(BB112:BD112)</f>
        <v>311829056.56888705</v>
      </c>
      <c r="DH112" s="199">
        <f>SUM(BE112:BG112)</f>
        <v>322029137.12186635</v>
      </c>
      <c r="DI112" s="199">
        <f>SUM(BH112:BJ112)</f>
        <v>372255968.14658767</v>
      </c>
      <c r="DJ112" s="199">
        <f>SUM(BK112:BM112)</f>
        <v>405591022.66639233</v>
      </c>
      <c r="DK112" s="199">
        <f>SUM(BN112:BP112)</f>
        <v>423397135.46769547</v>
      </c>
      <c r="DL112" s="199">
        <f>SUM(BQ112:BS112)</f>
        <v>418390243.5295701</v>
      </c>
      <c r="DM112" s="199">
        <f>SUM(BT112:BV112)</f>
        <v>470630804.2524178</v>
      </c>
      <c r="DN112" s="199">
        <f>SUM(BW112:BY112)</f>
        <v>528509108.55900013</v>
      </c>
      <c r="DO112" s="199">
        <f>SUM(BZ112:CB112)</f>
        <v>506717474.75608641</v>
      </c>
      <c r="DP112" s="199">
        <f>SUM(CC112:CE112)</f>
        <v>498592412.68582153</v>
      </c>
      <c r="DQ112" s="199">
        <f>SUM(CF112:CH112)</f>
        <v>556829931.44836235</v>
      </c>
      <c r="DR112" s="199">
        <f>SUM(CI112:CK112)</f>
        <v>618368979.636904</v>
      </c>
      <c r="DS112" s="199">
        <f t="shared" si="312"/>
        <v>574317487.43094194</v>
      </c>
      <c r="DT112" s="199">
        <f t="shared" si="313"/>
        <v>564348226.92021453</v>
      </c>
      <c r="DU112" s="199">
        <f t="shared" si="314"/>
        <v>629279402.99744582</v>
      </c>
      <c r="DV112" s="199">
        <f t="shared" si="315"/>
        <v>698632223.21652162</v>
      </c>
      <c r="DX112" s="199">
        <f t="shared" ref="DX112:DX114" si="438">SUM(CY112:DB112)</f>
        <v>642226386.87075639</v>
      </c>
      <c r="DY112" s="199">
        <f t="shared" ref="DY112:DY114" si="439">SUM(DC112:DF112)</f>
        <v>1004282497.5557243</v>
      </c>
      <c r="DZ112" s="199">
        <f t="shared" ref="DZ112:DZ114" si="440">SUM(DG112:DJ112)</f>
        <v>1411705184.5037334</v>
      </c>
      <c r="EA112" s="199">
        <f t="shared" ref="EA112:EA114" si="441">SUM(DK112:DN112)</f>
        <v>1840927291.8086834</v>
      </c>
      <c r="EB112" s="199">
        <f t="shared" ref="EB112:EB114" si="442">SUM(DO112:DR112)</f>
        <v>2180508798.527174</v>
      </c>
      <c r="EC112" s="810">
        <f t="shared" si="316"/>
        <v>2466577340.565124</v>
      </c>
    </row>
    <row r="113" spans="2:133" x14ac:dyDescent="0.2">
      <c r="B113" s="155" t="s">
        <v>229</v>
      </c>
      <c r="C113" s="19">
        <f>C98-C102</f>
        <v>6179765.7497251704</v>
      </c>
      <c r="D113" s="19">
        <f t="shared" ref="D113:BO113" si="443">D98-D102</f>
        <v>6443211.4350986425</v>
      </c>
      <c r="E113" s="19">
        <f t="shared" si="443"/>
        <v>8761968.4245758001</v>
      </c>
      <c r="F113" s="19">
        <f t="shared" si="443"/>
        <v>4945759.6125125643</v>
      </c>
      <c r="G113" s="19">
        <f t="shared" si="443"/>
        <v>103188.10558432199</v>
      </c>
      <c r="H113" s="19">
        <f t="shared" si="443"/>
        <v>4418983.7427804433</v>
      </c>
      <c r="I113" s="19">
        <f t="shared" si="443"/>
        <v>6733402.9479394937</v>
      </c>
      <c r="J113" s="19">
        <f t="shared" si="443"/>
        <v>7930507.9278996643</v>
      </c>
      <c r="K113" s="19">
        <f t="shared" si="443"/>
        <v>8573634.5007170886</v>
      </c>
      <c r="L113" s="19">
        <f t="shared" si="443"/>
        <v>9865340.0745585691</v>
      </c>
      <c r="M113" s="19">
        <f t="shared" si="443"/>
        <v>16492757.588027278</v>
      </c>
      <c r="N113" s="19">
        <f t="shared" si="443"/>
        <v>18884159.782983035</v>
      </c>
      <c r="O113" s="19">
        <f t="shared" si="443"/>
        <v>16122202.614640132</v>
      </c>
      <c r="P113" s="19">
        <f t="shared" si="443"/>
        <v>18314712.747610241</v>
      </c>
      <c r="Q113" s="19">
        <f t="shared" si="443"/>
        <v>19444372.593344461</v>
      </c>
      <c r="R113" s="19">
        <f t="shared" si="443"/>
        <v>18546108.85939547</v>
      </c>
      <c r="S113" s="19">
        <f t="shared" si="443"/>
        <v>20085620.293280199</v>
      </c>
      <c r="T113" s="19">
        <f t="shared" si="443"/>
        <v>23440303.262244172</v>
      </c>
      <c r="U113" s="19">
        <f t="shared" si="443"/>
        <v>25558424.45020128</v>
      </c>
      <c r="V113" s="19">
        <f t="shared" si="443"/>
        <v>23446474.797791697</v>
      </c>
      <c r="W113" s="19">
        <f t="shared" si="443"/>
        <v>17999133.6968803</v>
      </c>
      <c r="X113" s="19">
        <f t="shared" si="443"/>
        <v>21723716.417130016</v>
      </c>
      <c r="Y113" s="19">
        <f t="shared" si="443"/>
        <v>23311293.975658465</v>
      </c>
      <c r="Z113" s="19">
        <f t="shared" si="443"/>
        <v>29837612.199766006</v>
      </c>
      <c r="AA113" s="19">
        <f t="shared" si="443"/>
        <v>35157970.283132315</v>
      </c>
      <c r="AB113" s="19">
        <f t="shared" si="443"/>
        <v>36054606.585387193</v>
      </c>
      <c r="AC113" s="19">
        <f t="shared" si="443"/>
        <v>42000091.455322072</v>
      </c>
      <c r="AD113" s="19">
        <f t="shared" si="443"/>
        <v>35835840.519805863</v>
      </c>
      <c r="AE113" s="19">
        <f t="shared" si="443"/>
        <v>41203049.37890707</v>
      </c>
      <c r="AF113" s="19">
        <f t="shared" si="443"/>
        <v>43569375.876374304</v>
      </c>
      <c r="AG113" s="19">
        <f t="shared" si="443"/>
        <v>39288460.311955988</v>
      </c>
      <c r="AH113" s="19">
        <f t="shared" si="443"/>
        <v>40058935.160071164</v>
      </c>
      <c r="AI113" s="19">
        <f t="shared" si="443"/>
        <v>33222574.172143377</v>
      </c>
      <c r="AJ113" s="19">
        <f t="shared" si="443"/>
        <v>41351470.899776563</v>
      </c>
      <c r="AK113" s="19">
        <f t="shared" si="443"/>
        <v>39554302.33534357</v>
      </c>
      <c r="AL113" s="19">
        <f t="shared" si="443"/>
        <v>35821391.498255312</v>
      </c>
      <c r="AM113" s="19">
        <f t="shared" si="443"/>
        <v>34522935.052470461</v>
      </c>
      <c r="AN113" s="19">
        <f t="shared" si="443"/>
        <v>39101729.930209398</v>
      </c>
      <c r="AO113" s="19">
        <f t="shared" si="443"/>
        <v>45389372.851791628</v>
      </c>
      <c r="AP113" s="19">
        <f t="shared" si="443"/>
        <v>44641782.123385176</v>
      </c>
      <c r="AQ113" s="19">
        <f t="shared" si="443"/>
        <v>51293683.989432469</v>
      </c>
      <c r="AR113" s="19">
        <f t="shared" si="443"/>
        <v>54925073.896268509</v>
      </c>
      <c r="AS113" s="19">
        <f t="shared" si="443"/>
        <v>51769068.970210195</v>
      </c>
      <c r="AT113" s="19">
        <f t="shared" si="443"/>
        <v>46341789.396757975</v>
      </c>
      <c r="AU113" s="19">
        <f t="shared" si="443"/>
        <v>35483359.948035717</v>
      </c>
      <c r="AV113" s="19">
        <f t="shared" si="443"/>
        <v>51558696.297311351</v>
      </c>
      <c r="AW113" s="19">
        <f t="shared" si="443"/>
        <v>52296695.558226511</v>
      </c>
      <c r="AX113" s="19">
        <f t="shared" si="443"/>
        <v>60626061.211660825</v>
      </c>
      <c r="AY113" s="19">
        <f t="shared" si="443"/>
        <v>59428619.722203642</v>
      </c>
      <c r="AZ113" s="19">
        <f t="shared" si="443"/>
        <v>55737229.884335935</v>
      </c>
      <c r="BA113" s="19">
        <f t="shared" si="443"/>
        <v>70216116.844013304</v>
      </c>
      <c r="BB113" s="19">
        <f t="shared" si="443"/>
        <v>67923645.550218865</v>
      </c>
      <c r="BC113" s="19">
        <f t="shared" si="443"/>
        <v>63256366.956919149</v>
      </c>
      <c r="BD113" s="19">
        <f t="shared" si="443"/>
        <v>70141484.118363768</v>
      </c>
      <c r="BE113" s="19">
        <f t="shared" si="443"/>
        <v>69893790.932679608</v>
      </c>
      <c r="BF113" s="19">
        <f t="shared" si="443"/>
        <v>68758317.024433821</v>
      </c>
      <c r="BG113" s="19">
        <f t="shared" si="443"/>
        <v>59746650.110869259</v>
      </c>
      <c r="BH113" s="19">
        <f t="shared" si="443"/>
        <v>88270799.260737151</v>
      </c>
      <c r="BI113" s="19">
        <f t="shared" si="443"/>
        <v>87343440.567727774</v>
      </c>
      <c r="BJ113" s="19">
        <f t="shared" si="443"/>
        <v>101319174.30332325</v>
      </c>
      <c r="BK113" s="19">
        <f t="shared" si="443"/>
        <v>107993754.71547537</v>
      </c>
      <c r="BL113" s="19">
        <f t="shared" si="443"/>
        <v>100476713.45107788</v>
      </c>
      <c r="BM113" s="19">
        <f t="shared" si="443"/>
        <v>110287858.33252634</v>
      </c>
      <c r="BN113" s="19">
        <f t="shared" si="443"/>
        <v>103723267.39635143</v>
      </c>
      <c r="BO113" s="19">
        <f t="shared" si="443"/>
        <v>101796146.54195961</v>
      </c>
      <c r="BP113" s="19">
        <f t="shared" ref="BP113:CK113" si="444">BP98-BP102</f>
        <v>101721488.31094031</v>
      </c>
      <c r="BQ113" s="19">
        <f t="shared" si="444"/>
        <v>109665983.62265009</v>
      </c>
      <c r="BR113" s="19">
        <f t="shared" si="444"/>
        <v>98842443.249381185</v>
      </c>
      <c r="BS113" s="19">
        <f t="shared" si="444"/>
        <v>92452326.666936502</v>
      </c>
      <c r="BT113" s="19">
        <f t="shared" si="444"/>
        <v>113653214.43077506</v>
      </c>
      <c r="BU113" s="19">
        <f t="shared" si="444"/>
        <v>105367337.43125559</v>
      </c>
      <c r="BV113" s="19">
        <f t="shared" si="444"/>
        <v>124022798.49031562</v>
      </c>
      <c r="BW113" s="19">
        <f t="shared" si="444"/>
        <v>126967246.53676635</v>
      </c>
      <c r="BX113" s="19">
        <f t="shared" si="444"/>
        <v>118721747.2826913</v>
      </c>
      <c r="BY113" s="19">
        <f t="shared" si="444"/>
        <v>137010834.89483288</v>
      </c>
      <c r="BZ113" s="19">
        <f t="shared" si="444"/>
        <v>125679558.98112214</v>
      </c>
      <c r="CA113" s="19">
        <f t="shared" si="444"/>
        <v>123654176.79107907</v>
      </c>
      <c r="CB113" s="19">
        <f t="shared" si="444"/>
        <v>122895562.50810269</v>
      </c>
      <c r="CC113" s="19">
        <f t="shared" si="444"/>
        <v>132429777.06913292</v>
      </c>
      <c r="CD113" s="19">
        <f t="shared" si="444"/>
        <v>119069895.58212873</v>
      </c>
      <c r="CE113" s="19">
        <f t="shared" si="444"/>
        <v>111072498.12615708</v>
      </c>
      <c r="CF113" s="19">
        <f t="shared" si="444"/>
        <v>136160188.99063349</v>
      </c>
      <c r="CG113" s="19">
        <f t="shared" si="444"/>
        <v>125522559.692352</v>
      </c>
      <c r="CH113" s="19">
        <f t="shared" si="444"/>
        <v>147285926.53403038</v>
      </c>
      <c r="CI113" s="19">
        <f t="shared" si="444"/>
        <v>150147291.64762852</v>
      </c>
      <c r="CJ113" s="19">
        <f t="shared" si="444"/>
        <v>139653568.72512066</v>
      </c>
      <c r="CK113" s="19">
        <f t="shared" si="444"/>
        <v>159424935.40658057</v>
      </c>
      <c r="CL113" s="19">
        <f t="shared" ref="CL113:CW113" si="445">CL98-CL102</f>
        <v>140749374.85537806</v>
      </c>
      <c r="CM113" s="19">
        <f t="shared" si="445"/>
        <v>138342832.57665819</v>
      </c>
      <c r="CN113" s="19">
        <f t="shared" si="445"/>
        <v>137405008.59199268</v>
      </c>
      <c r="CO113" s="19">
        <f t="shared" si="445"/>
        <v>147992455.87870622</v>
      </c>
      <c r="CP113" s="19">
        <f t="shared" si="445"/>
        <v>132912073.73583376</v>
      </c>
      <c r="CQ113" s="19">
        <f t="shared" si="445"/>
        <v>123815348.16900635</v>
      </c>
      <c r="CR113" s="19">
        <f t="shared" si="445"/>
        <v>151801634.03185987</v>
      </c>
      <c r="CS113" s="19">
        <f t="shared" si="445"/>
        <v>139836895.22307897</v>
      </c>
      <c r="CT113" s="19">
        <f t="shared" si="445"/>
        <v>164086581.5676235</v>
      </c>
      <c r="CU113" s="19">
        <f t="shared" si="445"/>
        <v>167232401.63351572</v>
      </c>
      <c r="CV113" s="19">
        <f t="shared" si="445"/>
        <v>155434834.70467368</v>
      </c>
      <c r="CW113" s="19">
        <f t="shared" si="445"/>
        <v>177434904.21548486</v>
      </c>
      <c r="CY113" s="19">
        <f>SUM(AD113:AF113)</f>
        <v>120608265.77508724</v>
      </c>
      <c r="CZ113" s="19">
        <f>SUM(AG113:AI113)</f>
        <v>112569969.64417052</v>
      </c>
      <c r="DA113" s="19">
        <f>SUM(AJ113:AL113)</f>
        <v>116727164.73337545</v>
      </c>
      <c r="DB113" s="19">
        <f>SUM(AM113:AO113)</f>
        <v>119014037.83447149</v>
      </c>
      <c r="DC113" s="19">
        <f>SUM(AP113:AR113)</f>
        <v>150860540.00908616</v>
      </c>
      <c r="DD113" s="19">
        <f>SUM(AS113:AU113)</f>
        <v>133594218.31500389</v>
      </c>
      <c r="DE113" s="19">
        <f>SUM(AV113:AX113)</f>
        <v>164481453.06719869</v>
      </c>
      <c r="DF113" s="19">
        <f>SUM(AY113:BA113)</f>
        <v>185381966.45055288</v>
      </c>
      <c r="DG113" s="19">
        <f>SUM(BB113:BD113)</f>
        <v>201321496.62550178</v>
      </c>
      <c r="DH113" s="19">
        <f>SUM(BE113:BG113)</f>
        <v>198398758.0679827</v>
      </c>
      <c r="DI113" s="19">
        <f>SUM(BH113:BJ113)</f>
        <v>276933414.13178819</v>
      </c>
      <c r="DJ113" s="19">
        <f>SUM(BK113:BM113)</f>
        <v>318758326.49907959</v>
      </c>
      <c r="DK113" s="19">
        <f>SUM(BN113:BP113)</f>
        <v>307240902.24925137</v>
      </c>
      <c r="DL113" s="19">
        <f>SUM(BQ113:BS113)</f>
        <v>300960753.53896779</v>
      </c>
      <c r="DM113" s="19">
        <f>SUM(BT113:BV113)</f>
        <v>343043350.3523463</v>
      </c>
      <c r="DN113" s="19">
        <f>SUM(BW113:BY113)</f>
        <v>382699828.7142905</v>
      </c>
      <c r="DO113" s="19">
        <f>SUM(BZ113:CB113)</f>
        <v>372229298.2803039</v>
      </c>
      <c r="DP113" s="19">
        <f>SUM(CC113:CE113)</f>
        <v>362572170.77741873</v>
      </c>
      <c r="DQ113" s="19">
        <f>SUM(CF113:CH113)</f>
        <v>408968675.21701586</v>
      </c>
      <c r="DR113" s="19">
        <f>SUM(CI113:CK113)</f>
        <v>449225795.77932978</v>
      </c>
      <c r="DS113" s="19">
        <f t="shared" si="312"/>
        <v>416497216.02402896</v>
      </c>
      <c r="DT113" s="19">
        <f t="shared" si="313"/>
        <v>404719877.78354633</v>
      </c>
      <c r="DU113" s="19">
        <f t="shared" si="314"/>
        <v>455725110.82256234</v>
      </c>
      <c r="DV113" s="19">
        <f t="shared" si="315"/>
        <v>500102140.55367422</v>
      </c>
      <c r="DX113" s="19">
        <f t="shared" si="438"/>
        <v>468919437.98710465</v>
      </c>
      <c r="DY113" s="19">
        <f t="shared" si="439"/>
        <v>634318177.8418417</v>
      </c>
      <c r="DZ113" s="19">
        <f t="shared" si="440"/>
        <v>995411995.32435226</v>
      </c>
      <c r="EA113" s="19">
        <f t="shared" si="441"/>
        <v>1333944834.854856</v>
      </c>
      <c r="EB113" s="19">
        <f t="shared" si="442"/>
        <v>1592995940.0540681</v>
      </c>
      <c r="EC113" s="770">
        <f t="shared" si="316"/>
        <v>1777044345.1838117</v>
      </c>
    </row>
    <row r="114" spans="2:133" x14ac:dyDescent="0.2">
      <c r="B114" s="155" t="s">
        <v>237</v>
      </c>
      <c r="C114" s="19">
        <f>C99-C103</f>
        <v>589104.88108010124</v>
      </c>
      <c r="D114" s="19">
        <f t="shared" ref="D114:BO114" si="446">D99-D103</f>
        <v>351219.42988910852</v>
      </c>
      <c r="E114" s="19">
        <f t="shared" si="446"/>
        <v>639776.54862695397</v>
      </c>
      <c r="F114" s="19">
        <f t="shared" si="446"/>
        <v>447974.44235085428</v>
      </c>
      <c r="G114" s="19">
        <f t="shared" si="446"/>
        <v>302902.41118860047</v>
      </c>
      <c r="H114" s="19">
        <f t="shared" si="446"/>
        <v>682601.31934651174</v>
      </c>
      <c r="I114" s="19">
        <f t="shared" si="446"/>
        <v>1166810.127222796</v>
      </c>
      <c r="J114" s="19">
        <f t="shared" si="446"/>
        <v>774659.30075975531</v>
      </c>
      <c r="K114" s="19">
        <f t="shared" si="446"/>
        <v>1263385.9627815839</v>
      </c>
      <c r="L114" s="19">
        <f t="shared" si="446"/>
        <v>564758.60493173404</v>
      </c>
      <c r="M114" s="19">
        <f t="shared" si="446"/>
        <v>2418217.6305481596</v>
      </c>
      <c r="N114" s="19">
        <f t="shared" si="446"/>
        <v>2569234.8421533941</v>
      </c>
      <c r="O114" s="19">
        <f t="shared" si="446"/>
        <v>3518312.4755514469</v>
      </c>
      <c r="P114" s="19">
        <f t="shared" si="446"/>
        <v>3974087.8768355418</v>
      </c>
      <c r="Q114" s="19">
        <f t="shared" si="446"/>
        <v>2417321.0364227192</v>
      </c>
      <c r="R114" s="19">
        <f t="shared" si="446"/>
        <v>2302152.3119341438</v>
      </c>
      <c r="S114" s="19">
        <f t="shared" si="446"/>
        <v>2608155.363431918</v>
      </c>
      <c r="T114" s="19">
        <f t="shared" si="446"/>
        <v>2965714.8592913579</v>
      </c>
      <c r="U114" s="19">
        <f t="shared" si="446"/>
        <v>1719605.5321189959</v>
      </c>
      <c r="V114" s="19">
        <f t="shared" si="446"/>
        <v>1093750.5311759331</v>
      </c>
      <c r="W114" s="19">
        <f t="shared" si="446"/>
        <v>869996.96815335634</v>
      </c>
      <c r="X114" s="19">
        <f t="shared" si="446"/>
        <v>2339390.5347326091</v>
      </c>
      <c r="Y114" s="19">
        <f t="shared" si="446"/>
        <v>2398139.4778160676</v>
      </c>
      <c r="Z114" s="19">
        <f t="shared" si="446"/>
        <v>1881874.8365578526</v>
      </c>
      <c r="AA114" s="19">
        <f t="shared" si="446"/>
        <v>3822134.6330851289</v>
      </c>
      <c r="AB114" s="19">
        <f t="shared" si="446"/>
        <v>5386882.3941407725</v>
      </c>
      <c r="AC114" s="19">
        <f t="shared" si="446"/>
        <v>4549626.4678568076</v>
      </c>
      <c r="AD114" s="19">
        <f t="shared" si="446"/>
        <v>5336701.2177224513</v>
      </c>
      <c r="AE114" s="19">
        <f t="shared" si="446"/>
        <v>9418615.9650418628</v>
      </c>
      <c r="AF114" s="19">
        <f t="shared" si="446"/>
        <v>14628950.750776323</v>
      </c>
      <c r="AG114" s="19">
        <f t="shared" si="446"/>
        <v>8280229.6610479522</v>
      </c>
      <c r="AH114" s="19">
        <f t="shared" si="446"/>
        <v>11344512.713561017</v>
      </c>
      <c r="AI114" s="19">
        <f t="shared" si="446"/>
        <v>5547957.9804472122</v>
      </c>
      <c r="AJ114" s="19">
        <f t="shared" si="446"/>
        <v>13057423.7276082</v>
      </c>
      <c r="AK114" s="19">
        <f t="shared" si="446"/>
        <v>17421293.400324643</v>
      </c>
      <c r="AL114" s="19">
        <f t="shared" si="446"/>
        <v>20269808.001648553</v>
      </c>
      <c r="AM114" s="19">
        <f t="shared" si="446"/>
        <v>22123894.388533644</v>
      </c>
      <c r="AN114" s="19">
        <f t="shared" si="446"/>
        <v>18414892.942720614</v>
      </c>
      <c r="AO114" s="19">
        <f t="shared" si="446"/>
        <v>27462668.134219363</v>
      </c>
      <c r="AP114" s="19">
        <f t="shared" si="446"/>
        <v>25306100.869188964</v>
      </c>
      <c r="AQ114" s="19">
        <f t="shared" si="446"/>
        <v>26012153.837083228</v>
      </c>
      <c r="AR114" s="19">
        <f t="shared" si="446"/>
        <v>30263179.224198848</v>
      </c>
      <c r="AS114" s="19">
        <f t="shared" si="446"/>
        <v>27964649.090778284</v>
      </c>
      <c r="AT114" s="19">
        <f t="shared" si="446"/>
        <v>27011716.324868433</v>
      </c>
      <c r="AU114" s="19">
        <f t="shared" si="446"/>
        <v>27793717.629159044</v>
      </c>
      <c r="AV114" s="19">
        <f t="shared" si="446"/>
        <v>32181073.911911316</v>
      </c>
      <c r="AW114" s="19">
        <f t="shared" si="446"/>
        <v>27493650.463533625</v>
      </c>
      <c r="AX114" s="19">
        <f t="shared" si="446"/>
        <v>32001556.065681614</v>
      </c>
      <c r="AY114" s="19">
        <f t="shared" si="446"/>
        <v>36054965.759700805</v>
      </c>
      <c r="AZ114" s="19">
        <f t="shared" si="446"/>
        <v>33700431.865396969</v>
      </c>
      <c r="BA114" s="19">
        <f t="shared" si="446"/>
        <v>44181124.672381088</v>
      </c>
      <c r="BB114" s="19">
        <f t="shared" si="446"/>
        <v>35507409.413115159</v>
      </c>
      <c r="BC114" s="19">
        <f t="shared" si="446"/>
        <v>37521577.105028614</v>
      </c>
      <c r="BD114" s="19">
        <f t="shared" si="446"/>
        <v>37478573.425241634</v>
      </c>
      <c r="BE114" s="19">
        <f t="shared" si="446"/>
        <v>43233967.234545484</v>
      </c>
      <c r="BF114" s="19">
        <f t="shared" si="446"/>
        <v>40182044.396421365</v>
      </c>
      <c r="BG114" s="19">
        <f t="shared" si="446"/>
        <v>40214367.422916763</v>
      </c>
      <c r="BH114" s="19">
        <f t="shared" si="446"/>
        <v>33218003.34632086</v>
      </c>
      <c r="BI114" s="19">
        <f t="shared" si="446"/>
        <v>32490652.381024338</v>
      </c>
      <c r="BJ114" s="19">
        <f t="shared" si="446"/>
        <v>36592039.81287802</v>
      </c>
      <c r="BK114" s="19">
        <f t="shared" si="446"/>
        <v>37709616.890692353</v>
      </c>
      <c r="BL114" s="19">
        <f t="shared" si="446"/>
        <v>26638026.973235536</v>
      </c>
      <c r="BM114" s="19">
        <f t="shared" si="446"/>
        <v>31343770.947452661</v>
      </c>
      <c r="BN114" s="19">
        <f t="shared" si="446"/>
        <v>40759352.775689974</v>
      </c>
      <c r="BO114" s="19">
        <f t="shared" si="446"/>
        <v>41174187.501320325</v>
      </c>
      <c r="BP114" s="19">
        <f t="shared" ref="BP114:CK114" si="447">BP99-BP103</f>
        <v>41144731.78115724</v>
      </c>
      <c r="BQ114" s="19">
        <f t="shared" si="447"/>
        <v>41765756.547929265</v>
      </c>
      <c r="BR114" s="19">
        <f t="shared" si="447"/>
        <v>39355296.78124886</v>
      </c>
      <c r="BS114" s="19">
        <f t="shared" si="447"/>
        <v>43051989.661717884</v>
      </c>
      <c r="BT114" s="19">
        <f t="shared" si="447"/>
        <v>41861487.638459221</v>
      </c>
      <c r="BU114" s="19">
        <f t="shared" si="447"/>
        <v>41959673.372336335</v>
      </c>
      <c r="BV114" s="19">
        <f t="shared" si="447"/>
        <v>51505781.348527655</v>
      </c>
      <c r="BW114" s="19">
        <f t="shared" si="447"/>
        <v>55497031.430627786</v>
      </c>
      <c r="BX114" s="19">
        <f t="shared" si="447"/>
        <v>47578351.993447721</v>
      </c>
      <c r="BY114" s="19">
        <f t="shared" si="447"/>
        <v>51412504.901344627</v>
      </c>
      <c r="BZ114" s="19">
        <f t="shared" si="447"/>
        <v>47334048.128682502</v>
      </c>
      <c r="CA114" s="19">
        <f t="shared" si="447"/>
        <v>47815797.85067866</v>
      </c>
      <c r="CB114" s="19">
        <f t="shared" si="447"/>
        <v>47781590.769826949</v>
      </c>
      <c r="CC114" s="19">
        <f t="shared" si="447"/>
        <v>48502790.057785772</v>
      </c>
      <c r="CD114" s="19">
        <f t="shared" si="447"/>
        <v>45703510.608079873</v>
      </c>
      <c r="CE114" s="19">
        <f t="shared" si="447"/>
        <v>49996499.254981183</v>
      </c>
      <c r="CF114" s="19">
        <f t="shared" si="447"/>
        <v>48613963.070554093</v>
      </c>
      <c r="CG114" s="19">
        <f t="shared" si="447"/>
        <v>48727986.673393458</v>
      </c>
      <c r="CH114" s="19">
        <f t="shared" si="447"/>
        <v>59813931.459448755</v>
      </c>
      <c r="CI114" s="19">
        <f t="shared" si="447"/>
        <v>64448990.914867945</v>
      </c>
      <c r="CJ114" s="19">
        <f t="shared" si="447"/>
        <v>55252987.345874876</v>
      </c>
      <c r="CK114" s="19">
        <f t="shared" si="447"/>
        <v>59705609.036751255</v>
      </c>
      <c r="CL114" s="19">
        <f t="shared" ref="CL114:CW114" si="448">CL99-CL103</f>
        <v>55448907.729429424</v>
      </c>
      <c r="CM114" s="19">
        <f t="shared" si="448"/>
        <v>56013247.711740404</v>
      </c>
      <c r="CN114" s="19">
        <f t="shared" si="448"/>
        <v>55973176.233706601</v>
      </c>
      <c r="CO114" s="19">
        <f t="shared" si="448"/>
        <v>56818016.562254936</v>
      </c>
      <c r="CP114" s="19">
        <f t="shared" si="448"/>
        <v>53538833.943146214</v>
      </c>
      <c r="CQ114" s="19">
        <f t="shared" si="448"/>
        <v>58567804.436402515</v>
      </c>
      <c r="CR114" s="19">
        <f t="shared" si="448"/>
        <v>56948248.865865089</v>
      </c>
      <c r="CS114" s="19">
        <f t="shared" si="448"/>
        <v>57081820.459311463</v>
      </c>
      <c r="CT114" s="19">
        <f t="shared" si="448"/>
        <v>70068318.632135987</v>
      </c>
      <c r="CU114" s="19">
        <f t="shared" si="448"/>
        <v>75498003.905731231</v>
      </c>
      <c r="CV114" s="19">
        <f t="shared" si="448"/>
        <v>64725454.894280732</v>
      </c>
      <c r="CW114" s="19">
        <f t="shared" si="448"/>
        <v>69941425.618361935</v>
      </c>
      <c r="CY114" s="19">
        <f>SUM(AD114:AF114)</f>
        <v>29384267.933540635</v>
      </c>
      <c r="CZ114" s="19">
        <f>SUM(AG114:AI114)</f>
        <v>25172700.355056182</v>
      </c>
      <c r="DA114" s="19">
        <f>SUM(AJ114:AL114)</f>
        <v>50748525.129581392</v>
      </c>
      <c r="DB114" s="19">
        <f>SUM(AM114:AO114)</f>
        <v>68001455.465473622</v>
      </c>
      <c r="DC114" s="19">
        <f>SUM(AP114:AR114)</f>
        <v>81581433.930471033</v>
      </c>
      <c r="DD114" s="19">
        <f>SUM(AS114:AU114)</f>
        <v>82770083.044805765</v>
      </c>
      <c r="DE114" s="19">
        <f>SUM(AV114:AX114)</f>
        <v>91676280.441126555</v>
      </c>
      <c r="DF114" s="19">
        <f>SUM(AY114:BA114)</f>
        <v>113936522.29747887</v>
      </c>
      <c r="DG114" s="19">
        <f>SUM(BB114:BD114)</f>
        <v>110507559.94338541</v>
      </c>
      <c r="DH114" s="19">
        <f>SUM(BE114:BG114)</f>
        <v>123630379.05388361</v>
      </c>
      <c r="DI114" s="19">
        <f>SUM(BH114:BJ114)</f>
        <v>102300695.54022321</v>
      </c>
      <c r="DJ114" s="19">
        <f>SUM(BK114:BM114)</f>
        <v>95691414.81138055</v>
      </c>
      <c r="DK114" s="19">
        <f>SUM(BN114:BP114)</f>
        <v>123078272.05816753</v>
      </c>
      <c r="DL114" s="19">
        <f>SUM(BQ114:BS114)</f>
        <v>124173042.99089602</v>
      </c>
      <c r="DM114" s="19">
        <f>SUM(BT114:BV114)</f>
        <v>135326942.3593232</v>
      </c>
      <c r="DN114" s="19">
        <f>SUM(BW114:BY114)</f>
        <v>154487888.32542014</v>
      </c>
      <c r="DO114" s="19">
        <f>SUM(BZ114:CB114)</f>
        <v>142931436.74918813</v>
      </c>
      <c r="DP114" s="19">
        <f>SUM(CC114:CE114)</f>
        <v>144202799.92084682</v>
      </c>
      <c r="DQ114" s="19">
        <f>SUM(CF114:CH114)</f>
        <v>157155881.20339632</v>
      </c>
      <c r="DR114" s="19">
        <f>SUM(CI114:CK114)</f>
        <v>179407587.29749405</v>
      </c>
      <c r="DS114" s="19">
        <f t="shared" si="312"/>
        <v>167435331.67487642</v>
      </c>
      <c r="DT114" s="19">
        <f t="shared" si="313"/>
        <v>168924654.94180366</v>
      </c>
      <c r="DU114" s="19">
        <f t="shared" si="314"/>
        <v>184098387.95731252</v>
      </c>
      <c r="DV114" s="19">
        <f t="shared" si="315"/>
        <v>210164884.41837388</v>
      </c>
      <c r="DX114" s="19">
        <f t="shared" si="438"/>
        <v>173306948.88365182</v>
      </c>
      <c r="DY114" s="19">
        <f t="shared" si="439"/>
        <v>369964319.71388221</v>
      </c>
      <c r="DZ114" s="19">
        <f t="shared" si="440"/>
        <v>432130049.34887284</v>
      </c>
      <c r="EA114" s="19">
        <f t="shared" si="441"/>
        <v>537066145.73380685</v>
      </c>
      <c r="EB114" s="19">
        <f t="shared" si="442"/>
        <v>623697705.17092538</v>
      </c>
      <c r="EC114" s="770">
        <f t="shared" si="316"/>
        <v>730623258.99236655</v>
      </c>
    </row>
    <row r="115" spans="2:133" x14ac:dyDescent="0.2">
      <c r="B115" s="22" t="s">
        <v>39</v>
      </c>
      <c r="C115" s="20">
        <f>C112/C50</f>
        <v>0.15287873281058303</v>
      </c>
      <c r="D115" s="20">
        <f t="shared" ref="D115:BO115" si="449">D112/D50</f>
        <v>0.15970556096058769</v>
      </c>
      <c r="E115" s="20">
        <f t="shared" si="449"/>
        <v>0.19374846589044117</v>
      </c>
      <c r="F115" s="20">
        <f t="shared" si="449"/>
        <v>0.19070350424733226</v>
      </c>
      <c r="G115" s="20">
        <f t="shared" si="449"/>
        <v>0.10132547896799482</v>
      </c>
      <c r="H115" s="20">
        <f t="shared" si="449"/>
        <v>0.22146268090619536</v>
      </c>
      <c r="I115" s="20">
        <f t="shared" si="449"/>
        <v>0.24337910176946734</v>
      </c>
      <c r="J115" s="20">
        <f t="shared" si="449"/>
        <v>0.2174502006504837</v>
      </c>
      <c r="K115" s="20">
        <f t="shared" si="449"/>
        <v>0.18436844066310512</v>
      </c>
      <c r="L115" s="20">
        <f t="shared" si="449"/>
        <v>0.17280398279651044</v>
      </c>
      <c r="M115" s="20">
        <f t="shared" si="449"/>
        <v>0.20393212669601121</v>
      </c>
      <c r="N115" s="20">
        <f t="shared" si="449"/>
        <v>0.19368977041435059</v>
      </c>
      <c r="O115" s="20">
        <f t="shared" si="449"/>
        <v>0.16803007205281936</v>
      </c>
      <c r="P115" s="20">
        <f t="shared" si="449"/>
        <v>0.17702115847234937</v>
      </c>
      <c r="Q115" s="20">
        <f t="shared" si="449"/>
        <v>0.16457678634467071</v>
      </c>
      <c r="R115" s="20">
        <f t="shared" si="449"/>
        <v>0.17234238648502956</v>
      </c>
      <c r="S115" s="20">
        <f t="shared" si="449"/>
        <v>0.15279690144422506</v>
      </c>
      <c r="T115" s="20">
        <f t="shared" si="449"/>
        <v>0.1408560249329362</v>
      </c>
      <c r="U115" s="20">
        <f t="shared" si="449"/>
        <v>0.14672637099733546</v>
      </c>
      <c r="V115" s="20">
        <f t="shared" si="449"/>
        <v>0.13339651265405764</v>
      </c>
      <c r="W115" s="20">
        <f t="shared" si="449"/>
        <v>0.10499516660966457</v>
      </c>
      <c r="X115" s="20">
        <f t="shared" si="449"/>
        <v>0.10921552956017759</v>
      </c>
      <c r="Y115" s="20">
        <f t="shared" si="449"/>
        <v>0.11924648531406044</v>
      </c>
      <c r="Z115" s="20">
        <f t="shared" si="449"/>
        <v>0.12642488746841887</v>
      </c>
      <c r="AA115" s="20">
        <f t="shared" si="449"/>
        <v>0.1374647023388951</v>
      </c>
      <c r="AB115" s="20">
        <f t="shared" si="449"/>
        <v>0.13767103770783401</v>
      </c>
      <c r="AC115" s="20">
        <f t="shared" si="449"/>
        <v>0.11114800975332564</v>
      </c>
      <c r="AD115" s="20">
        <f t="shared" si="449"/>
        <v>8.6872889036991224E-2</v>
      </c>
      <c r="AE115" s="20">
        <f t="shared" si="449"/>
        <v>0.10327736857162793</v>
      </c>
      <c r="AF115" s="20">
        <f t="shared" si="449"/>
        <v>0.11310409981228746</v>
      </c>
      <c r="AG115" s="20">
        <f t="shared" si="449"/>
        <v>0.11319483652261399</v>
      </c>
      <c r="AH115" s="20">
        <f t="shared" si="449"/>
        <v>0.11600444054691994</v>
      </c>
      <c r="AI115" s="20">
        <f t="shared" si="449"/>
        <v>8.7070268890949196E-2</v>
      </c>
      <c r="AJ115" s="20">
        <f t="shared" si="449"/>
        <v>8.273681260890399E-2</v>
      </c>
      <c r="AK115" s="20">
        <f t="shared" si="449"/>
        <v>0.10407199139463502</v>
      </c>
      <c r="AL115" s="20">
        <f t="shared" si="449"/>
        <v>0.11442230303380736</v>
      </c>
      <c r="AM115" s="20">
        <f t="shared" si="449"/>
        <v>0.12200792615052247</v>
      </c>
      <c r="AN115" s="20">
        <f t="shared" si="449"/>
        <v>0.14819834991154748</v>
      </c>
      <c r="AO115" s="20">
        <f t="shared" si="449"/>
        <v>0.14626282441227723</v>
      </c>
      <c r="AP115" s="20">
        <f t="shared" si="449"/>
        <v>0.13758740553628659</v>
      </c>
      <c r="AQ115" s="20">
        <f t="shared" si="449"/>
        <v>0.14687060710303709</v>
      </c>
      <c r="AR115" s="20">
        <f t="shared" si="449"/>
        <v>0.15303909092322365</v>
      </c>
      <c r="AS115" s="20">
        <f t="shared" si="449"/>
        <v>0.14511928772241595</v>
      </c>
      <c r="AT115" s="20">
        <f t="shared" si="449"/>
        <v>0.15014416584837953</v>
      </c>
      <c r="AU115" s="20">
        <f t="shared" si="449"/>
        <v>0.13761655758875724</v>
      </c>
      <c r="AV115" s="20">
        <f t="shared" si="449"/>
        <v>0.14653583432732675</v>
      </c>
      <c r="AW115" s="20">
        <f t="shared" si="449"/>
        <v>0.14959162001931087</v>
      </c>
      <c r="AX115" s="20">
        <f t="shared" si="449"/>
        <v>0.14581396005604719</v>
      </c>
      <c r="AY115" s="20">
        <f t="shared" si="449"/>
        <v>0.14096560819504311</v>
      </c>
      <c r="AZ115" s="20">
        <f t="shared" si="449"/>
        <v>0.1388285101979943</v>
      </c>
      <c r="BA115" s="20">
        <f t="shared" si="449"/>
        <v>0.13813378302873208</v>
      </c>
      <c r="BB115" s="20">
        <f t="shared" si="449"/>
        <v>0.13591881094425837</v>
      </c>
      <c r="BC115" s="20">
        <f t="shared" si="449"/>
        <v>0.1353604327723259</v>
      </c>
      <c r="BD115" s="20">
        <f t="shared" si="449"/>
        <v>0.14313588911002459</v>
      </c>
      <c r="BE115" s="20">
        <f t="shared" si="449"/>
        <v>0.1396391233255492</v>
      </c>
      <c r="BF115" s="20">
        <f t="shared" si="449"/>
        <v>0.15620260412538337</v>
      </c>
      <c r="BG115" s="20">
        <f t="shared" si="449"/>
        <v>0.13260233821038656</v>
      </c>
      <c r="BH115" s="20">
        <f t="shared" si="449"/>
        <v>0.13662384999685989</v>
      </c>
      <c r="BI115" s="20">
        <f t="shared" si="449"/>
        <v>0.14513407032206374</v>
      </c>
      <c r="BJ115" s="20">
        <f t="shared" si="449"/>
        <v>0.13528323727528052</v>
      </c>
      <c r="BK115" s="20">
        <f t="shared" si="449"/>
        <v>0.1320905970949495</v>
      </c>
      <c r="BL115" s="20">
        <f t="shared" si="449"/>
        <v>0.12731191231650432</v>
      </c>
      <c r="BM115" s="20">
        <f t="shared" si="449"/>
        <v>0.11897889086399553</v>
      </c>
      <c r="BN115" s="20">
        <f t="shared" si="449"/>
        <v>0.13980478807801916</v>
      </c>
      <c r="BO115" s="20">
        <f t="shared" si="449"/>
        <v>0.13964804150156626</v>
      </c>
      <c r="BP115" s="20">
        <f t="shared" ref="BP115:EB115" si="450">BP112/BP50</f>
        <v>0.13976825344940275</v>
      </c>
      <c r="BQ115" s="20">
        <f t="shared" si="450"/>
        <v>0.14009829242511709</v>
      </c>
      <c r="BR115" s="20">
        <f t="shared" si="450"/>
        <v>0.1403511375129653</v>
      </c>
      <c r="BS115" s="20">
        <f t="shared" si="450"/>
        <v>0.13897804177928691</v>
      </c>
      <c r="BT115" s="20">
        <f t="shared" si="450"/>
        <v>0.1405979133314755</v>
      </c>
      <c r="BU115" s="20">
        <f t="shared" si="450"/>
        <v>0.14026205642572545</v>
      </c>
      <c r="BV115" s="20">
        <f t="shared" si="450"/>
        <v>0.13880585667560832</v>
      </c>
      <c r="BW115" s="20">
        <f t="shared" si="450"/>
        <v>0.13811683228543711</v>
      </c>
      <c r="BX115" s="20">
        <f t="shared" si="450"/>
        <v>0.13965621686993501</v>
      </c>
      <c r="BY115" s="20">
        <f t="shared" si="450"/>
        <v>0.13971660515866929</v>
      </c>
      <c r="BZ115" s="20">
        <f t="shared" si="450"/>
        <v>0.13847794731762542</v>
      </c>
      <c r="CA115" s="20">
        <f t="shared" si="450"/>
        <v>0.13835162026624256</v>
      </c>
      <c r="CB115" s="20">
        <f t="shared" si="450"/>
        <v>0.13838717334626061</v>
      </c>
      <c r="CC115" s="20">
        <f t="shared" si="450"/>
        <v>0.13871657375959748</v>
      </c>
      <c r="CD115" s="20">
        <f t="shared" si="450"/>
        <v>0.13891559385790139</v>
      </c>
      <c r="CE115" s="20">
        <f t="shared" si="450"/>
        <v>0.13747760768565068</v>
      </c>
      <c r="CF115" s="20">
        <f t="shared" si="450"/>
        <v>0.13909368907080244</v>
      </c>
      <c r="CG115" s="20">
        <f t="shared" si="450"/>
        <v>0.13865326264458971</v>
      </c>
      <c r="CH115" s="20">
        <f t="shared" si="450"/>
        <v>0.13717530468789804</v>
      </c>
      <c r="CI115" s="20">
        <f t="shared" si="450"/>
        <v>0.1364229521867022</v>
      </c>
      <c r="CJ115" s="20">
        <f t="shared" si="450"/>
        <v>0.13787520041752885</v>
      </c>
      <c r="CK115" s="20">
        <f t="shared" si="450"/>
        <v>0.13782174093570709</v>
      </c>
      <c r="CL115" s="20">
        <f t="shared" ref="CL115:CW115" si="451">CL112/CL50</f>
        <v>0.13584386863511413</v>
      </c>
      <c r="CM115" s="20">
        <f t="shared" si="451"/>
        <v>0.13570602553180222</v>
      </c>
      <c r="CN115" s="20">
        <f t="shared" si="451"/>
        <v>0.13573104064521063</v>
      </c>
      <c r="CO115" s="20">
        <f t="shared" si="451"/>
        <v>0.13603908229510922</v>
      </c>
      <c r="CP115" s="20">
        <f t="shared" si="451"/>
        <v>0.13622499023288184</v>
      </c>
      <c r="CQ115" s="20">
        <f t="shared" si="451"/>
        <v>0.1348007775528732</v>
      </c>
      <c r="CR115" s="20">
        <f t="shared" si="451"/>
        <v>0.13636929741831785</v>
      </c>
      <c r="CS115" s="20">
        <f t="shared" si="451"/>
        <v>0.13593103769905679</v>
      </c>
      <c r="CT115" s="20">
        <f t="shared" si="451"/>
        <v>0.1344752377765305</v>
      </c>
      <c r="CU115" s="20">
        <f t="shared" si="451"/>
        <v>0.13373538302661381</v>
      </c>
      <c r="CV115" s="20">
        <f t="shared" si="451"/>
        <v>0.1351477112809569</v>
      </c>
      <c r="CW115" s="20">
        <f t="shared" si="451"/>
        <v>0.13508818499909819</v>
      </c>
      <c r="CY115" s="20">
        <f t="shared" si="450"/>
        <v>0.10143897149757373</v>
      </c>
      <c r="CZ115" s="20">
        <f t="shared" si="450"/>
        <v>0.10525698224655081</v>
      </c>
      <c r="DA115" s="20">
        <f t="shared" si="450"/>
        <v>9.8788842923133793E-2</v>
      </c>
      <c r="DB115" s="20">
        <f t="shared" si="450"/>
        <v>0.13848037422472823</v>
      </c>
      <c r="DC115" s="20">
        <f t="shared" si="450"/>
        <v>0.14606261518581801</v>
      </c>
      <c r="DD115" s="20">
        <f t="shared" si="450"/>
        <v>0.14445505498812417</v>
      </c>
      <c r="DE115" s="20">
        <f t="shared" si="450"/>
        <v>0.14720898789852793</v>
      </c>
      <c r="DF115" s="20">
        <f t="shared" si="450"/>
        <v>0.13923424352683175</v>
      </c>
      <c r="DG115" s="20">
        <f t="shared" si="450"/>
        <v>0.13813848123413847</v>
      </c>
      <c r="DH115" s="20">
        <f t="shared" si="450"/>
        <v>0.14240166571487889</v>
      </c>
      <c r="DI115" s="20">
        <f t="shared" si="450"/>
        <v>0.13869729785345089</v>
      </c>
      <c r="DJ115" s="20">
        <f t="shared" si="450"/>
        <v>0.12589212065552727</v>
      </c>
      <c r="DK115" s="20">
        <f t="shared" si="450"/>
        <v>0.1397405450544206</v>
      </c>
      <c r="DL115" s="20">
        <f t="shared" si="450"/>
        <v>0.13982067500197309</v>
      </c>
      <c r="DM115" s="20">
        <f t="shared" si="450"/>
        <v>0.1398322508909077</v>
      </c>
      <c r="DN115" s="20">
        <f t="shared" si="450"/>
        <v>0.13915032201098093</v>
      </c>
      <c r="DO115" s="20">
        <f t="shared" si="450"/>
        <v>0.13840580077099876</v>
      </c>
      <c r="DP115" s="20">
        <f t="shared" si="450"/>
        <v>0.13838435675051816</v>
      </c>
      <c r="DQ115" s="20">
        <f t="shared" si="450"/>
        <v>0.13825108821107804</v>
      </c>
      <c r="DR115" s="20">
        <f t="shared" si="450"/>
        <v>0.13735731882839958</v>
      </c>
      <c r="DS115" s="20">
        <f t="shared" si="450"/>
        <v>0.13576059237712224</v>
      </c>
      <c r="DT115" s="20">
        <f t="shared" si="450"/>
        <v>0.13570262676687833</v>
      </c>
      <c r="DU115" s="20">
        <f t="shared" si="450"/>
        <v>0.13553602211711932</v>
      </c>
      <c r="DV115" s="20">
        <f t="shared" si="450"/>
        <v>0.13464096223655858</v>
      </c>
      <c r="DW115" s="771"/>
      <c r="DX115" s="20">
        <f t="shared" si="450"/>
        <v>0.11010123546585636</v>
      </c>
      <c r="DY115" s="20">
        <f t="shared" si="450"/>
        <v>0.14390009619766547</v>
      </c>
      <c r="DZ115" s="20">
        <f t="shared" si="450"/>
        <v>0.13542238205203785</v>
      </c>
      <c r="EA115" s="20">
        <f t="shared" si="450"/>
        <v>0.13961212810448648</v>
      </c>
      <c r="EB115" s="20">
        <f t="shared" si="450"/>
        <v>0.13806258922803732</v>
      </c>
      <c r="EC115" s="20">
        <f t="shared" ref="EC115" si="452">EC112/EC50</f>
        <v>0.13537129534476466</v>
      </c>
    </row>
    <row r="116" spans="2:133" x14ac:dyDescent="0.2">
      <c r="B116" s="22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X116" s="19"/>
      <c r="DY116" s="19"/>
      <c r="DZ116" s="19"/>
      <c r="EA116" s="19"/>
      <c r="EB116" s="19"/>
      <c r="EC116" s="770">
        <f t="shared" si="316"/>
        <v>0</v>
      </c>
    </row>
    <row r="117" spans="2:133" x14ac:dyDescent="0.2">
      <c r="B117" s="212" t="s">
        <v>40</v>
      </c>
      <c r="C117" s="199">
        <f>C118+C119</f>
        <v>5254812.4419523375</v>
      </c>
      <c r="D117" s="199">
        <f t="shared" ref="D117:BO117" si="453">D118+D119</f>
        <v>5087741.6869478188</v>
      </c>
      <c r="E117" s="199">
        <f t="shared" si="453"/>
        <v>6949619.4349135542</v>
      </c>
      <c r="F117" s="199">
        <f t="shared" si="453"/>
        <v>6974923.8527266644</v>
      </c>
      <c r="G117" s="199">
        <f t="shared" si="453"/>
        <v>5856523.4907503147</v>
      </c>
      <c r="H117" s="199">
        <f t="shared" si="453"/>
        <v>5540786.2122209547</v>
      </c>
      <c r="I117" s="199">
        <f t="shared" si="453"/>
        <v>7693734.7955847019</v>
      </c>
      <c r="J117" s="199">
        <f t="shared" si="453"/>
        <v>8951846.7672747001</v>
      </c>
      <c r="K117" s="199">
        <f t="shared" si="453"/>
        <v>9938115.9002988208</v>
      </c>
      <c r="L117" s="199">
        <f t="shared" si="453"/>
        <v>12252696.874555666</v>
      </c>
      <c r="M117" s="199">
        <f t="shared" si="453"/>
        <v>12883489.827764755</v>
      </c>
      <c r="N117" s="199">
        <f t="shared" si="453"/>
        <v>14866012.427452596</v>
      </c>
      <c r="O117" s="199">
        <f t="shared" si="453"/>
        <v>15390520.261097422</v>
      </c>
      <c r="P117" s="199">
        <f t="shared" si="453"/>
        <v>15575755.716887195</v>
      </c>
      <c r="Q117" s="199">
        <f t="shared" si="453"/>
        <v>18378220.671992723</v>
      </c>
      <c r="R117" s="199">
        <f t="shared" si="453"/>
        <v>20320008.792502571</v>
      </c>
      <c r="S117" s="199">
        <f t="shared" si="453"/>
        <v>22402797.238206379</v>
      </c>
      <c r="T117" s="199">
        <f t="shared" si="453"/>
        <v>24126332.239411466</v>
      </c>
      <c r="U117" s="199">
        <f t="shared" si="453"/>
        <v>25765761.474661022</v>
      </c>
      <c r="V117" s="199">
        <f t="shared" si="453"/>
        <v>28269664.486482095</v>
      </c>
      <c r="W117" s="199">
        <f t="shared" si="453"/>
        <v>31347028.892294213</v>
      </c>
      <c r="X117" s="199">
        <f t="shared" si="453"/>
        <v>32201258.743581317</v>
      </c>
      <c r="Y117" s="199">
        <f t="shared" si="453"/>
        <v>34052722.147440068</v>
      </c>
      <c r="Z117" s="199">
        <f t="shared" si="453"/>
        <v>36832866.904268987</v>
      </c>
      <c r="AA117" s="199">
        <f t="shared" si="453"/>
        <v>39105398.630914196</v>
      </c>
      <c r="AB117" s="199">
        <f t="shared" si="453"/>
        <v>38072863.698913068</v>
      </c>
      <c r="AC117" s="199">
        <f t="shared" si="453"/>
        <v>39422831.768403634</v>
      </c>
      <c r="AD117" s="199">
        <f t="shared" si="453"/>
        <v>42274980.526456669</v>
      </c>
      <c r="AE117" s="199">
        <f t="shared" si="453"/>
        <v>42043550.291695341</v>
      </c>
      <c r="AF117" s="199">
        <f t="shared" si="453"/>
        <v>44484077.566361383</v>
      </c>
      <c r="AG117" s="199">
        <f t="shared" si="453"/>
        <v>42332385.264757812</v>
      </c>
      <c r="AH117" s="199">
        <f t="shared" si="453"/>
        <v>42277894.432317466</v>
      </c>
      <c r="AI117" s="199">
        <f t="shared" si="453"/>
        <v>41201066.686581858</v>
      </c>
      <c r="AJ117" s="199">
        <f t="shared" si="453"/>
        <v>42456346.303801037</v>
      </c>
      <c r="AK117" s="199">
        <f t="shared" si="453"/>
        <v>43111201.925364003</v>
      </c>
      <c r="AL117" s="199">
        <f t="shared" si="453"/>
        <v>43187200.168765493</v>
      </c>
      <c r="AM117" s="199">
        <f t="shared" si="453"/>
        <v>41527820.001527704</v>
      </c>
      <c r="AN117" s="199">
        <f t="shared" si="453"/>
        <v>37977341.537917741</v>
      </c>
      <c r="AO117" s="199">
        <f t="shared" si="453"/>
        <v>38916178.205179267</v>
      </c>
      <c r="AP117" s="199">
        <f t="shared" si="453"/>
        <v>41294721.425356276</v>
      </c>
      <c r="AQ117" s="199">
        <f t="shared" si="453"/>
        <v>42589395.480413251</v>
      </c>
      <c r="AR117" s="199">
        <f t="shared" si="453"/>
        <v>42225813.91926235</v>
      </c>
      <c r="AS117" s="199">
        <f t="shared" si="453"/>
        <v>42236515.834173396</v>
      </c>
      <c r="AT117" s="199">
        <f t="shared" si="453"/>
        <v>42361778.724999376</v>
      </c>
      <c r="AU117" s="199">
        <f t="shared" si="453"/>
        <v>41091782.505369253</v>
      </c>
      <c r="AV117" s="199">
        <f t="shared" si="453"/>
        <v>41849647.990824513</v>
      </c>
      <c r="AW117" s="199">
        <f t="shared" si="453"/>
        <v>42306003.785773203</v>
      </c>
      <c r="AX117" s="199">
        <f t="shared" si="453"/>
        <v>43712360.463973343</v>
      </c>
      <c r="AY117" s="199">
        <f t="shared" si="453"/>
        <v>44295016.536314175</v>
      </c>
      <c r="AZ117" s="199">
        <f t="shared" si="453"/>
        <v>45422658.018012732</v>
      </c>
      <c r="BA117" s="199">
        <f t="shared" si="453"/>
        <v>51232556.434876338</v>
      </c>
      <c r="BB117" s="199">
        <f t="shared" si="453"/>
        <v>54129273.064397618</v>
      </c>
      <c r="BC117" s="199">
        <f t="shared" si="453"/>
        <v>53566800.724980377</v>
      </c>
      <c r="BD117" s="199">
        <f t="shared" si="453"/>
        <v>56469166.823363863</v>
      </c>
      <c r="BE117" s="199">
        <f t="shared" si="453"/>
        <v>60982658.18272084</v>
      </c>
      <c r="BF117" s="199">
        <f t="shared" si="453"/>
        <v>62017016.600296892</v>
      </c>
      <c r="BG117" s="199">
        <f t="shared" si="453"/>
        <v>62984867.982593589</v>
      </c>
      <c r="BH117" s="199">
        <f t="shared" si="453"/>
        <v>68728100.629002422</v>
      </c>
      <c r="BI117" s="199">
        <f t="shared" si="453"/>
        <v>67041585.470497817</v>
      </c>
      <c r="BJ117" s="199">
        <f t="shared" si="453"/>
        <v>73193394.626778826</v>
      </c>
      <c r="BK117" s="199">
        <f t="shared" si="453"/>
        <v>76651055.093703553</v>
      </c>
      <c r="BL117" s="199">
        <f t="shared" si="453"/>
        <v>74862174.196135953</v>
      </c>
      <c r="BM117" s="199">
        <f t="shared" si="453"/>
        <v>79148561.791932464</v>
      </c>
      <c r="BN117" s="199">
        <f t="shared" si="453"/>
        <v>84626104.75</v>
      </c>
      <c r="BO117" s="199">
        <f t="shared" si="453"/>
        <v>84509425.356387526</v>
      </c>
      <c r="BP117" s="199">
        <f t="shared" ref="BP117:CK117" si="454">BP118+BP119</f>
        <v>84497412.430413932</v>
      </c>
      <c r="BQ117" s="199">
        <f t="shared" si="454"/>
        <v>84970041.858058244</v>
      </c>
      <c r="BR117" s="199">
        <f t="shared" si="454"/>
        <v>84300862.382871628</v>
      </c>
      <c r="BS117" s="199">
        <f t="shared" si="454"/>
        <v>83937089.281963915</v>
      </c>
      <c r="BT117" s="199">
        <f t="shared" si="454"/>
        <v>85186091.111272141</v>
      </c>
      <c r="BU117" s="199">
        <f t="shared" si="454"/>
        <v>84686039.02018559</v>
      </c>
      <c r="BV117" s="199">
        <f t="shared" si="454"/>
        <v>85860574.948147014</v>
      </c>
      <c r="BW117" s="199">
        <f t="shared" si="454"/>
        <v>86059669.123449877</v>
      </c>
      <c r="BX117" s="199">
        <f t="shared" si="454"/>
        <v>85504446.50553441</v>
      </c>
      <c r="BY117" s="199">
        <f t="shared" si="454"/>
        <v>86611240.410479531</v>
      </c>
      <c r="BZ117" s="199">
        <f t="shared" si="454"/>
        <v>94102542.991152629</v>
      </c>
      <c r="CA117" s="199">
        <f t="shared" si="454"/>
        <v>93977082.310128808</v>
      </c>
      <c r="CB117" s="199">
        <f t="shared" si="454"/>
        <v>93926340.312190622</v>
      </c>
      <c r="CC117" s="199">
        <f t="shared" si="454"/>
        <v>94498757.111279011</v>
      </c>
      <c r="CD117" s="199">
        <f t="shared" si="454"/>
        <v>93669131.176801056</v>
      </c>
      <c r="CE117" s="199">
        <f t="shared" si="454"/>
        <v>93210750.043432817</v>
      </c>
      <c r="CF117" s="199">
        <f t="shared" si="454"/>
        <v>94703534.449568734</v>
      </c>
      <c r="CG117" s="199">
        <f t="shared" si="454"/>
        <v>94061084.009634614</v>
      </c>
      <c r="CH117" s="199">
        <f t="shared" si="454"/>
        <v>95445724.698426038</v>
      </c>
      <c r="CI117" s="199">
        <f t="shared" si="454"/>
        <v>95648889.397960141</v>
      </c>
      <c r="CJ117" s="199">
        <f t="shared" si="454"/>
        <v>94946876.634205773</v>
      </c>
      <c r="CK117" s="199">
        <f t="shared" si="454"/>
        <v>96163396.369822606</v>
      </c>
      <c r="CL117" s="199">
        <f t="shared" ref="CL117:CW117" si="455">CL118+CL119</f>
        <v>104256465.200552</v>
      </c>
      <c r="CM117" s="199">
        <f t="shared" si="455"/>
        <v>104105766.15258524</v>
      </c>
      <c r="CN117" s="199">
        <f t="shared" si="455"/>
        <v>104042978.82760538</v>
      </c>
      <c r="CO117" s="199">
        <f t="shared" si="455"/>
        <v>104691574.88725066</v>
      </c>
      <c r="CP117" s="199">
        <f t="shared" si="455"/>
        <v>103737337.67632867</v>
      </c>
      <c r="CQ117" s="199">
        <f t="shared" si="455"/>
        <v>103207999.78781232</v>
      </c>
      <c r="CR117" s="199">
        <f t="shared" si="455"/>
        <v>104904938.87060513</v>
      </c>
      <c r="CS117" s="199">
        <f t="shared" si="455"/>
        <v>104169085.74295452</v>
      </c>
      <c r="CT117" s="199">
        <f t="shared" si="455"/>
        <v>105745697.49422178</v>
      </c>
      <c r="CU117" s="199">
        <f t="shared" si="455"/>
        <v>105975728.31593861</v>
      </c>
      <c r="CV117" s="199">
        <f t="shared" si="455"/>
        <v>105169318.68005656</v>
      </c>
      <c r="CW117" s="199">
        <f t="shared" si="455"/>
        <v>106550799.84108254</v>
      </c>
      <c r="CY117" s="199">
        <f t="shared" ref="CY117:CY128" si="456">SUM(AD117:AF117)</f>
        <v>128802608.38451339</v>
      </c>
      <c r="CZ117" s="199">
        <f t="shared" ref="CZ117:CZ128" si="457">SUM(AG117:AI117)</f>
        <v>125811346.38365713</v>
      </c>
      <c r="DA117" s="199">
        <f t="shared" ref="DA117:DA128" si="458">SUM(AJ117:AL117)</f>
        <v>128754748.39793053</v>
      </c>
      <c r="DB117" s="199">
        <f t="shared" ref="DB117:DB128" si="459">SUM(AM117:AO117)</f>
        <v>118421339.7446247</v>
      </c>
      <c r="DC117" s="199">
        <f t="shared" ref="DC117:DC128" si="460">SUM(AP117:AR117)</f>
        <v>126109930.82503188</v>
      </c>
      <c r="DD117" s="199">
        <f t="shared" ref="DD117:DD128" si="461">SUM(AS117:AU117)</f>
        <v>125690077.06454203</v>
      </c>
      <c r="DE117" s="199">
        <f t="shared" ref="DE117:DE128" si="462">SUM(AV117:AX117)</f>
        <v>127868012.24057105</v>
      </c>
      <c r="DF117" s="199">
        <f t="shared" ref="DF117:DF128" si="463">SUM(AY117:BA117)</f>
        <v>140950230.98920324</v>
      </c>
      <c r="DG117" s="199">
        <f t="shared" ref="DG117:DG128" si="464">SUM(BB117:BD117)</f>
        <v>164165240.61274186</v>
      </c>
      <c r="DH117" s="199">
        <f t="shared" ref="DH117:DH128" si="465">SUM(BE117:BG117)</f>
        <v>185984542.76561132</v>
      </c>
      <c r="DI117" s="199">
        <f t="shared" ref="DI117:DI128" si="466">SUM(BH117:BJ117)</f>
        <v>208963080.72627908</v>
      </c>
      <c r="DJ117" s="199">
        <f t="shared" ref="DJ117:DJ128" si="467">SUM(BK117:BM117)</f>
        <v>230661791.08177197</v>
      </c>
      <c r="DK117" s="199">
        <f t="shared" ref="DK117:DK128" si="468">SUM(BN117:BP117)</f>
        <v>253632942.53680146</v>
      </c>
      <c r="DL117" s="199">
        <f t="shared" ref="DL117:DL128" si="469">SUM(BQ117:BS117)</f>
        <v>253207993.52289379</v>
      </c>
      <c r="DM117" s="199">
        <f t="shared" ref="DM117:DM128" si="470">SUM(BT117:BV117)</f>
        <v>255732705.07960474</v>
      </c>
      <c r="DN117" s="199">
        <f t="shared" ref="DN117:DN128" si="471">SUM(BW117:BY117)</f>
        <v>258175356.03946382</v>
      </c>
      <c r="DO117" s="199">
        <f t="shared" ref="DO117:DO128" si="472">SUM(BZ117:CB117)</f>
        <v>282005965.6134721</v>
      </c>
      <c r="DP117" s="199">
        <f t="shared" ref="DP117:DP128" si="473">SUM(CC117:CE117)</f>
        <v>281378638.33151287</v>
      </c>
      <c r="DQ117" s="199">
        <f t="shared" ref="DQ117:DQ128" si="474">SUM(CF117:CH117)</f>
        <v>284210343.15762937</v>
      </c>
      <c r="DR117" s="199">
        <f t="shared" ref="DR117:DR128" si="475">SUM(CI117:CK117)</f>
        <v>286759162.40198851</v>
      </c>
      <c r="DS117" s="199">
        <f t="shared" si="312"/>
        <v>312405210.18074262</v>
      </c>
      <c r="DT117" s="199">
        <f t="shared" si="313"/>
        <v>311636912.35139167</v>
      </c>
      <c r="DU117" s="199">
        <f t="shared" si="314"/>
        <v>314819722.10778141</v>
      </c>
      <c r="DV117" s="199">
        <f t="shared" si="315"/>
        <v>317695846.83707774</v>
      </c>
      <c r="DX117" s="199">
        <f t="shared" ref="DX117:DX128" si="476">SUM(CY117:DB117)</f>
        <v>501790042.91072583</v>
      </c>
      <c r="DY117" s="199">
        <f t="shared" ref="DY117:DY128" si="477">SUM(DC117:DF117)</f>
        <v>520618251.11934817</v>
      </c>
      <c r="DZ117" s="199">
        <f t="shared" ref="DZ117:DZ128" si="478">SUM(DG117:DJ117)</f>
        <v>789774655.18640423</v>
      </c>
      <c r="EA117" s="199">
        <f t="shared" ref="EA117:EA128" si="479">SUM(DK117:DN117)</f>
        <v>1020748997.1787639</v>
      </c>
      <c r="EB117" s="199">
        <f t="shared" ref="EB117:EB128" si="480">SUM(DO117:DR117)</f>
        <v>1134354109.5046029</v>
      </c>
      <c r="EC117" s="810">
        <f t="shared" si="316"/>
        <v>1256557691.4769936</v>
      </c>
    </row>
    <row r="118" spans="2:133" x14ac:dyDescent="0.2">
      <c r="B118" s="155" t="s">
        <v>229</v>
      </c>
      <c r="C118" s="19">
        <f>'D2C - Retail'!J144</f>
        <v>4908050.1886630198</v>
      </c>
      <c r="D118" s="19">
        <f>'D2C - Retail'!K144</f>
        <v>4842073.2599463137</v>
      </c>
      <c r="E118" s="19">
        <f>'D2C - Retail'!L144</f>
        <v>6641417.4618483</v>
      </c>
      <c r="F118" s="19">
        <f>'D2C - Retail'!M144</f>
        <v>6612852.0581770092</v>
      </c>
      <c r="G118" s="19">
        <f>'D2C - Retail'!N144</f>
        <v>5545336.1756640477</v>
      </c>
      <c r="H118" s="19">
        <f>'D2C - Retail'!O144</f>
        <v>5270055.9035946708</v>
      </c>
      <c r="I118" s="19">
        <f>'D2C - Retail'!P144</f>
        <v>7377320.2604247704</v>
      </c>
      <c r="J118" s="19">
        <f>'D2C - Retail'!Q144</f>
        <v>8680718.3092520908</v>
      </c>
      <c r="K118" s="19">
        <f>'D2C - Retail'!R144</f>
        <v>9629785.936139008</v>
      </c>
      <c r="L118" s="19">
        <f>'D2C - Retail'!S144</f>
        <v>11863484.177410636</v>
      </c>
      <c r="M118" s="19">
        <f>'D2C - Retail'!T144</f>
        <v>12348057.611215478</v>
      </c>
      <c r="N118" s="19">
        <f>'D2C - Retail'!U144</f>
        <v>14391969.399825849</v>
      </c>
      <c r="O118" s="19">
        <f>'D2C - Retail'!V144</f>
        <v>14759884.939914452</v>
      </c>
      <c r="P118" s="19">
        <f>'D2C - Retail'!W144</f>
        <v>14935202.552889163</v>
      </c>
      <c r="Q118" s="19">
        <f>'D2C - Retail'!X144</f>
        <v>17799684.492935322</v>
      </c>
      <c r="R118" s="19">
        <f>'D2C - Retail'!Y144</f>
        <v>19610690.272478756</v>
      </c>
      <c r="S118" s="19">
        <f>'D2C - Retail'!Z144</f>
        <v>21244563.026379734</v>
      </c>
      <c r="T118" s="19">
        <f>'D2C - Retail'!AA144</f>
        <v>23229509.807284642</v>
      </c>
      <c r="U118" s="19">
        <f>'D2C - Retail'!AB144</f>
        <v>24816362.479508013</v>
      </c>
      <c r="V118" s="19">
        <f>'D2C - Retail'!AC144</f>
        <v>26907890.428686913</v>
      </c>
      <c r="W118" s="19">
        <f>'D2C - Retail'!AD144</f>
        <v>29746651.765964255</v>
      </c>
      <c r="X118" s="19">
        <f>'D2C - Retail'!AE144</f>
        <v>30556467.124027137</v>
      </c>
      <c r="Y118" s="19">
        <f>'D2C - Retail'!AF144</f>
        <v>32798455.232446641</v>
      </c>
      <c r="Z118" s="19">
        <f>'D2C - Retail'!AG144</f>
        <v>34694674.393159673</v>
      </c>
      <c r="AA118" s="19">
        <f>'D2C - Retail'!AH144</f>
        <v>37118709.539926551</v>
      </c>
      <c r="AB118" s="19">
        <f>'D2C - Retail'!AI144</f>
        <v>36327612.646911405</v>
      </c>
      <c r="AC118" s="19">
        <f>'D2C - Retail'!AJ144</f>
        <v>37820340.524484076</v>
      </c>
      <c r="AD118" s="19">
        <f>'D2C - Retail'!AK144</f>
        <v>33560306.691862762</v>
      </c>
      <c r="AE118" s="19">
        <f>'D2C - Retail'!AL144</f>
        <v>33655615.960677192</v>
      </c>
      <c r="AF118" s="19">
        <f>'D2C - Retail'!AM144</f>
        <v>35748681.393111899</v>
      </c>
      <c r="AG118" s="19">
        <f>'D2C - Retail'!AN144</f>
        <v>33786521.461260311</v>
      </c>
      <c r="AH118" s="19">
        <f>'D2C - Retail'!AO144</f>
        <v>33970855.458380029</v>
      </c>
      <c r="AI118" s="19">
        <f>'D2C - Retail'!AP144</f>
        <v>33101736.530795939</v>
      </c>
      <c r="AJ118" s="19">
        <f>'D2C - Retail'!AQ144</f>
        <v>34341692.610197678</v>
      </c>
      <c r="AK118" s="19">
        <f>'D2C - Retail'!AR144</f>
        <v>34232569.838750847</v>
      </c>
      <c r="AL118" s="19">
        <f>'D2C - Retail'!AS144</f>
        <v>34191824.531565472</v>
      </c>
      <c r="AM118" s="19">
        <f>'D2C - Retail'!AT144</f>
        <v>32962902.358826149</v>
      </c>
      <c r="AN118" s="19">
        <f>'D2C - Retail'!AU144</f>
        <v>29788910.115486175</v>
      </c>
      <c r="AO118" s="19">
        <f>'D2C - Retail'!AV144</f>
        <v>30664863.381744709</v>
      </c>
      <c r="AP118" s="19">
        <f>'D2C - Retail'!AW144</f>
        <v>32045639.979822855</v>
      </c>
      <c r="AQ118" s="19">
        <f>'D2C - Retail'!AX144</f>
        <v>33515458.603414487</v>
      </c>
      <c r="AR118" s="19">
        <f>'D2C - Retail'!AY144</f>
        <v>33219453.584623754</v>
      </c>
      <c r="AS118" s="19">
        <f>'D2C - Retail'!AZ144</f>
        <v>33045637.937754031</v>
      </c>
      <c r="AT118" s="19">
        <f>'D2C - Retail'!BA144</f>
        <v>33611559.959715486</v>
      </c>
      <c r="AU118" s="19">
        <f>'D2C - Retail'!BB144</f>
        <v>32433756.637189232</v>
      </c>
      <c r="AV118" s="19">
        <f>'D2C - Retail'!BC144</f>
        <v>36029268.106399246</v>
      </c>
      <c r="AW118" s="19">
        <f>'D2C - Retail'!BD144</f>
        <v>35527611.814851917</v>
      </c>
      <c r="AX118" s="19">
        <f>'D2C - Retail'!BE144</f>
        <v>37900266.066264279</v>
      </c>
      <c r="AY118" s="19">
        <f>'D2C - Retail'!BF144</f>
        <v>38274074.065776885</v>
      </c>
      <c r="AZ118" s="19">
        <f>'D2C - Retail'!BG144</f>
        <v>39322574.427611209</v>
      </c>
      <c r="BA118" s="19">
        <f>'D2C - Retail'!BH144</f>
        <v>43267332.325832881</v>
      </c>
      <c r="BB118" s="19">
        <f>'D2C - Retail'!BI144</f>
        <v>47962244.60201177</v>
      </c>
      <c r="BC118" s="19">
        <f>'D2C - Retail'!BJ144</f>
        <v>46057774.51841072</v>
      </c>
      <c r="BD118" s="19">
        <f>'D2C - Retail'!BK144</f>
        <v>48840036.618858472</v>
      </c>
      <c r="BE118" s="19">
        <f>'D2C - Retail'!BL144</f>
        <v>51448249.383244634</v>
      </c>
      <c r="BF118" s="19">
        <f>'D2C - Retail'!BM144</f>
        <v>53609488.703580223</v>
      </c>
      <c r="BG118" s="19">
        <f>'D2C - Retail'!BN144</f>
        <v>54207743.121416062</v>
      </c>
      <c r="BH118" s="19">
        <f>'D2C - Retail'!BO144</f>
        <v>60210748.088856228</v>
      </c>
      <c r="BI118" s="19">
        <f>'D2C - Retail'!BP144</f>
        <v>59330591.007734768</v>
      </c>
      <c r="BJ118" s="19">
        <f>'D2C - Retail'!BQ144</f>
        <v>65092466.588443428</v>
      </c>
      <c r="BK118" s="19">
        <f>'D2C - Retail'!BR144</f>
        <v>68768645.506294087</v>
      </c>
      <c r="BL118" s="19">
        <f>'D2C - Retail'!BS144</f>
        <v>67264783.034790546</v>
      </c>
      <c r="BM118" s="19">
        <f>'D2C - Retail'!BT144</f>
        <v>71904841.624702245</v>
      </c>
      <c r="BN118" s="19">
        <f>'D2C - Retail'!BU144</f>
        <v>76224518.000075042</v>
      </c>
      <c r="BO118" s="19">
        <f>'D2C - Retail'!BV144</f>
        <v>76104859.377995327</v>
      </c>
      <c r="BP118" s="19">
        <f>'D2C - Retail'!BW144</f>
        <v>76093057.994871482</v>
      </c>
      <c r="BQ118" s="19">
        <f>'D2C - Retail'!BX144</f>
        <v>76561227.394100368</v>
      </c>
      <c r="BR118" s="19">
        <f>'D2C - Retail'!BY144</f>
        <v>75909359.17545113</v>
      </c>
      <c r="BS118" s="19">
        <f>'D2C - Retail'!BZ144</f>
        <v>75519037.446900547</v>
      </c>
      <c r="BT118" s="19">
        <f>'D2C - Retail'!CA144</f>
        <v>76776589.133052588</v>
      </c>
      <c r="BU118" s="19">
        <f>'D2C - Retail'!CB144</f>
        <v>76275831.899133563</v>
      </c>
      <c r="BV118" s="19">
        <f>'D2C - Retail'!CC144</f>
        <v>77381810.315207094</v>
      </c>
      <c r="BW118" s="19">
        <f>'D2C - Retail'!CD144</f>
        <v>77552240.434369639</v>
      </c>
      <c r="BX118" s="19">
        <f>'D2C - Retail'!CE144</f>
        <v>77053887.585893705</v>
      </c>
      <c r="BY118" s="19">
        <f>'D2C - Retail'!CF144</f>
        <v>78133145.663230464</v>
      </c>
      <c r="BZ118" s="19">
        <f>'D2C - Retail'!CG144</f>
        <v>85036697.165398851</v>
      </c>
      <c r="CA118" s="19">
        <f>'D2C - Retail'!CH144</f>
        <v>84907707.588255599</v>
      </c>
      <c r="CB118" s="19">
        <f>'D2C - Retail'!CI144</f>
        <v>84857216.162822932</v>
      </c>
      <c r="CC118" s="19">
        <f>'D2C - Retail'!CJ144</f>
        <v>85424350.058253229</v>
      </c>
      <c r="CD118" s="19">
        <f>'D2C - Retail'!CK144</f>
        <v>84615229.307143822</v>
      </c>
      <c r="CE118" s="19">
        <f>'D2C - Retail'!CL144</f>
        <v>84125401.32433258</v>
      </c>
      <c r="CF118" s="19">
        <f>'D2C - Retail'!CM144</f>
        <v>85628313.035900012</v>
      </c>
      <c r="CG118" s="19">
        <f>'D2C - Retail'!CN144</f>
        <v>84985027.354280815</v>
      </c>
      <c r="CH118" s="19">
        <f>'D2C - Retail'!CO144</f>
        <v>86288461.670241043</v>
      </c>
      <c r="CI118" s="19">
        <f>'D2C - Retail'!CP144</f>
        <v>86457673.79527694</v>
      </c>
      <c r="CJ118" s="19">
        <f>'D2C - Retail'!CQ144</f>
        <v>85823023.273423687</v>
      </c>
      <c r="CK118" s="19">
        <f>'D2C - Retail'!CR144</f>
        <v>87006926.821238428</v>
      </c>
      <c r="CL118" s="19">
        <f>'D2C - Retail'!CS144</f>
        <v>94458439.016395465</v>
      </c>
      <c r="CM118" s="19">
        <f>'D2C - Retail'!CT144</f>
        <v>94303559.990975231</v>
      </c>
      <c r="CN118" s="19">
        <f>'D2C - Retail'!CU144</f>
        <v>94241069.469128177</v>
      </c>
      <c r="CO118" s="19">
        <f>'D2C - Retail'!CV144</f>
        <v>94883407.929390445</v>
      </c>
      <c r="CP118" s="19">
        <f>'D2C - Retail'!CW144</f>
        <v>93953459.108168498</v>
      </c>
      <c r="CQ118" s="19">
        <f>'D2C - Retail'!CX144</f>
        <v>93386872.426486924</v>
      </c>
      <c r="CR118" s="19">
        <f>'D2C - Retail'!CY144</f>
        <v>95095807.302563339</v>
      </c>
      <c r="CS118" s="19">
        <f>'D2C - Retail'!CZ144</f>
        <v>94358964.831136778</v>
      </c>
      <c r="CT118" s="19">
        <f>'D2C - Retail'!DA144</f>
        <v>95839387.633785471</v>
      </c>
      <c r="CU118" s="19">
        <f>'D2C - Retail'!DB144</f>
        <v>96029201.631009176</v>
      </c>
      <c r="CV118" s="19">
        <f>'D2C - Retail'!DC144</f>
        <v>95302582.570658997</v>
      </c>
      <c r="CW118" s="19">
        <f>'D2C - Retail'!DD144</f>
        <v>96645429.857233405</v>
      </c>
      <c r="CY118" s="19">
        <f t="shared" si="456"/>
        <v>102964604.04565185</v>
      </c>
      <c r="CZ118" s="19">
        <f t="shared" si="457"/>
        <v>100859113.45043626</v>
      </c>
      <c r="DA118" s="19">
        <f t="shared" si="458"/>
        <v>102766086.980514</v>
      </c>
      <c r="DB118" s="19">
        <f t="shared" si="459"/>
        <v>93416675.856057033</v>
      </c>
      <c r="DC118" s="19">
        <f t="shared" si="460"/>
        <v>98780552.167861104</v>
      </c>
      <c r="DD118" s="19">
        <f t="shared" si="461"/>
        <v>99090954.53465876</v>
      </c>
      <c r="DE118" s="19">
        <f t="shared" si="462"/>
        <v>109457145.98751545</v>
      </c>
      <c r="DF118" s="19">
        <f t="shared" si="463"/>
        <v>120863980.81922096</v>
      </c>
      <c r="DG118" s="19">
        <f t="shared" si="464"/>
        <v>142860055.73928094</v>
      </c>
      <c r="DH118" s="19">
        <f t="shared" si="465"/>
        <v>159265481.20824093</v>
      </c>
      <c r="DI118" s="19">
        <f t="shared" si="466"/>
        <v>184633805.68503442</v>
      </c>
      <c r="DJ118" s="19">
        <f t="shared" si="467"/>
        <v>207938270.16578689</v>
      </c>
      <c r="DK118" s="19">
        <f t="shared" si="468"/>
        <v>228422435.37294185</v>
      </c>
      <c r="DL118" s="19">
        <f t="shared" si="469"/>
        <v>227989624.01645204</v>
      </c>
      <c r="DM118" s="19">
        <f t="shared" si="470"/>
        <v>230434231.34739324</v>
      </c>
      <c r="DN118" s="19">
        <f t="shared" si="471"/>
        <v>232739273.68349379</v>
      </c>
      <c r="DO118" s="19">
        <f t="shared" si="472"/>
        <v>254801620.91647738</v>
      </c>
      <c r="DP118" s="19">
        <f t="shared" si="473"/>
        <v>254164980.68972963</v>
      </c>
      <c r="DQ118" s="19">
        <f t="shared" si="474"/>
        <v>256901802.06042188</v>
      </c>
      <c r="DR118" s="19">
        <f t="shared" si="475"/>
        <v>259287623.88993904</v>
      </c>
      <c r="DS118" s="19">
        <f t="shared" si="312"/>
        <v>283003068.4764989</v>
      </c>
      <c r="DT118" s="19">
        <f t="shared" si="313"/>
        <v>282223739.46404588</v>
      </c>
      <c r="DU118" s="19">
        <f t="shared" si="314"/>
        <v>285294159.76748562</v>
      </c>
      <c r="DV118" s="19">
        <f t="shared" si="315"/>
        <v>287977214.05890155</v>
      </c>
      <c r="DX118" s="19">
        <f t="shared" si="476"/>
        <v>400006480.33265918</v>
      </c>
      <c r="DY118" s="19">
        <f t="shared" si="477"/>
        <v>428192633.5092563</v>
      </c>
      <c r="DZ118" s="19">
        <f t="shared" si="478"/>
        <v>694697612.79834318</v>
      </c>
      <c r="EA118" s="19">
        <f t="shared" si="479"/>
        <v>919585564.42028093</v>
      </c>
      <c r="EB118" s="19">
        <f t="shared" si="480"/>
        <v>1025156027.5565679</v>
      </c>
      <c r="EC118" s="770">
        <f t="shared" si="316"/>
        <v>1138498181.766932</v>
      </c>
    </row>
    <row r="119" spans="2:133" x14ac:dyDescent="0.2">
      <c r="B119" s="155" t="s">
        <v>237</v>
      </c>
      <c r="C119" s="19">
        <f>'D2C Online'!AA134</f>
        <v>346762.253289318</v>
      </c>
      <c r="D119" s="19">
        <f>'D2C Online'!AB134</f>
        <v>245668.42700150507</v>
      </c>
      <c r="E119" s="19">
        <f>'D2C Online'!AC134</f>
        <v>308201.97306525422</v>
      </c>
      <c r="F119" s="19">
        <f>'D2C Online'!AD134</f>
        <v>362071.79454965505</v>
      </c>
      <c r="G119" s="19">
        <f>'D2C Online'!AE134</f>
        <v>311187.31508626702</v>
      </c>
      <c r="H119" s="19">
        <f>'D2C Online'!AF134</f>
        <v>270730.30862628418</v>
      </c>
      <c r="I119" s="19">
        <f>'D2C Online'!AG134</f>
        <v>316414.53515993134</v>
      </c>
      <c r="J119" s="19">
        <f>'D2C Online'!AH134</f>
        <v>271128.45802260912</v>
      </c>
      <c r="K119" s="19">
        <f>'D2C Online'!AI134</f>
        <v>308329.96415981342</v>
      </c>
      <c r="L119" s="19">
        <f>'D2C Online'!AJ134</f>
        <v>389212.69714503048</v>
      </c>
      <c r="M119" s="19">
        <f>'D2C Online'!AK134</f>
        <v>535432.21654927649</v>
      </c>
      <c r="N119" s="19">
        <f>'D2C Online'!AL134</f>
        <v>474043.02762674761</v>
      </c>
      <c r="O119" s="19">
        <f>'D2C Online'!AM134</f>
        <v>630635.32118296949</v>
      </c>
      <c r="P119" s="19">
        <f>'D2C Online'!AN134</f>
        <v>640553.16399803117</v>
      </c>
      <c r="Q119" s="19">
        <f>'D2C Online'!AO134</f>
        <v>578536.17905740114</v>
      </c>
      <c r="R119" s="19">
        <f>'D2C Online'!AP134</f>
        <v>709318.52002381487</v>
      </c>
      <c r="S119" s="19">
        <f>'D2C Online'!AQ134</f>
        <v>1158234.2118266444</v>
      </c>
      <c r="T119" s="19">
        <f>'D2C Online'!AR134</f>
        <v>896822.43212682276</v>
      </c>
      <c r="U119" s="19">
        <f>'D2C Online'!AS134</f>
        <v>949398.99515301082</v>
      </c>
      <c r="V119" s="19">
        <f>'D2C Online'!AT134</f>
        <v>1361774.0577951805</v>
      </c>
      <c r="W119" s="19">
        <f>'D2C Online'!AU134</f>
        <v>1600377.1263299575</v>
      </c>
      <c r="X119" s="19">
        <f>'D2C Online'!AV134</f>
        <v>1644791.6195541818</v>
      </c>
      <c r="Y119" s="19">
        <f>'D2C Online'!AW134</f>
        <v>1254266.9149934249</v>
      </c>
      <c r="Z119" s="19">
        <f>'D2C Online'!AX134</f>
        <v>2138192.511109313</v>
      </c>
      <c r="AA119" s="19">
        <f>'D2C Online'!AY134</f>
        <v>1986689.0909876414</v>
      </c>
      <c r="AB119" s="19">
        <f>'D2C Online'!AZ134</f>
        <v>1745251.0520016593</v>
      </c>
      <c r="AC119" s="19">
        <f>'D2C Online'!BA134</f>
        <v>1602491.2439195565</v>
      </c>
      <c r="AD119" s="19">
        <f>'D2C Online'!BB134</f>
        <v>8714673.8345939089</v>
      </c>
      <c r="AE119" s="19">
        <f>'D2C Online'!BC134</f>
        <v>8387934.3310181526</v>
      </c>
      <c r="AF119" s="19">
        <f>'D2C Online'!BD134</f>
        <v>8735396.1732494812</v>
      </c>
      <c r="AG119" s="19">
        <f>'D2C Online'!BE134</f>
        <v>8545863.803497497</v>
      </c>
      <c r="AH119" s="19">
        <f>'D2C Online'!BF134</f>
        <v>8307038.9739374351</v>
      </c>
      <c r="AI119" s="19">
        <f>'D2C Online'!BG134</f>
        <v>8099330.1557859201</v>
      </c>
      <c r="AJ119" s="19">
        <f>'D2C Online'!BH134</f>
        <v>8114653.693603361</v>
      </c>
      <c r="AK119" s="19">
        <f>'D2C Online'!BI134</f>
        <v>8878632.0866131596</v>
      </c>
      <c r="AL119" s="19">
        <f>'D2C Online'!BJ134</f>
        <v>8995375.6372000221</v>
      </c>
      <c r="AM119" s="19">
        <f>'D2C Online'!BK134</f>
        <v>8564917.642701555</v>
      </c>
      <c r="AN119" s="19">
        <f>'D2C Online'!BL134</f>
        <v>8188431.4224315658</v>
      </c>
      <c r="AO119" s="19">
        <f>'D2C Online'!BM134</f>
        <v>8251314.8234345606</v>
      </c>
      <c r="AP119" s="19">
        <f>'D2C Online'!BN134</f>
        <v>9249081.4455334209</v>
      </c>
      <c r="AQ119" s="19">
        <f>'D2C Online'!BO134</f>
        <v>9073936.8769987635</v>
      </c>
      <c r="AR119" s="19">
        <f>'D2C Online'!BP134</f>
        <v>9006360.3346385956</v>
      </c>
      <c r="AS119" s="19">
        <f>'D2C Online'!BQ134</f>
        <v>9190877.8964193687</v>
      </c>
      <c r="AT119" s="19">
        <f>'D2C Online'!BR134</f>
        <v>8750218.7652838882</v>
      </c>
      <c r="AU119" s="19">
        <f>'D2C Online'!BS134</f>
        <v>8658025.8681800198</v>
      </c>
      <c r="AV119" s="19">
        <f>'D2C Online'!BT134</f>
        <v>5820379.8844252666</v>
      </c>
      <c r="AW119" s="19">
        <f>'D2C Online'!BU134</f>
        <v>6778391.9709212817</v>
      </c>
      <c r="AX119" s="19">
        <f>'D2C Online'!BV134</f>
        <v>5812094.3977090679</v>
      </c>
      <c r="AY119" s="19">
        <f>'D2C Online'!BW134</f>
        <v>6020942.4705372863</v>
      </c>
      <c r="AZ119" s="19">
        <f>'D2C Online'!BX134</f>
        <v>6100083.5904015219</v>
      </c>
      <c r="BA119" s="19">
        <f>'D2C Online'!BY134</f>
        <v>7965224.1090434529</v>
      </c>
      <c r="BB119" s="19">
        <f>'D2C Online'!BZ134</f>
        <v>6167028.4623858444</v>
      </c>
      <c r="BC119" s="19">
        <f>'D2C Online'!CA134</f>
        <v>7509026.2065696586</v>
      </c>
      <c r="BD119" s="19">
        <f>'D2C Online'!CB134</f>
        <v>7629130.2045053942</v>
      </c>
      <c r="BE119" s="19">
        <f>'D2C Online'!CC134</f>
        <v>9534408.79947621</v>
      </c>
      <c r="BF119" s="19">
        <f>'D2C Online'!CD134</f>
        <v>8407527.8967166711</v>
      </c>
      <c r="BG119" s="19">
        <f>'D2C Online'!CE134</f>
        <v>8777124.8611775246</v>
      </c>
      <c r="BH119" s="19">
        <f>'D2C Online'!CF134</f>
        <v>8517352.5401461981</v>
      </c>
      <c r="BI119" s="19">
        <f>'D2C Online'!CG134</f>
        <v>7710994.4627630487</v>
      </c>
      <c r="BJ119" s="19">
        <f>'D2C Online'!CH134</f>
        <v>8100928.0383353913</v>
      </c>
      <c r="BK119" s="19">
        <f>'D2C Online'!CI134</f>
        <v>7882409.5874094702</v>
      </c>
      <c r="BL119" s="19">
        <f>'D2C Online'!CJ134</f>
        <v>7597391.1613454018</v>
      </c>
      <c r="BM119" s="19">
        <f>'D2C Online'!CK134</f>
        <v>7243720.1672302261</v>
      </c>
      <c r="BN119" s="19">
        <f>'D2C Online'!CL134</f>
        <v>8401586.7499249615</v>
      </c>
      <c r="BO119" s="19">
        <f>'D2C Online'!CM134</f>
        <v>8404565.9783921912</v>
      </c>
      <c r="BP119" s="19">
        <f>'D2C Online'!CN134</f>
        <v>8404354.4355424456</v>
      </c>
      <c r="BQ119" s="19">
        <f>'D2C Online'!CO134</f>
        <v>8408814.4639578834</v>
      </c>
      <c r="BR119" s="19">
        <f>'D2C Online'!CP134</f>
        <v>8391503.2074204944</v>
      </c>
      <c r="BS119" s="19">
        <f>'D2C Online'!CQ134</f>
        <v>8418051.8350633737</v>
      </c>
      <c r="BT119" s="19">
        <f>'D2C Online'!CR134</f>
        <v>8409501.978219552</v>
      </c>
      <c r="BU119" s="19">
        <f>'D2C Online'!CS134</f>
        <v>8410207.1210520323</v>
      </c>
      <c r="BV119" s="19">
        <f>'D2C Online'!CT134</f>
        <v>8478764.632939918</v>
      </c>
      <c r="BW119" s="19">
        <f>'D2C Online'!CU134</f>
        <v>8507428.6890802365</v>
      </c>
      <c r="BX119" s="19">
        <f>'D2C Online'!CV134</f>
        <v>8450558.9196407106</v>
      </c>
      <c r="BY119" s="19">
        <f>'D2C Online'!CW134</f>
        <v>8478094.7472490612</v>
      </c>
      <c r="BZ119" s="19">
        <f>'D2C Online'!CX134</f>
        <v>9065845.8257537819</v>
      </c>
      <c r="CA119" s="19">
        <f>'D2C Online'!CY134</f>
        <v>9069374.7218732145</v>
      </c>
      <c r="CB119" s="19">
        <f>'D2C Online'!CZ134</f>
        <v>9069124.1493676919</v>
      </c>
      <c r="CC119" s="19">
        <f>'D2C Online'!DA134</f>
        <v>9074407.0530257784</v>
      </c>
      <c r="CD119" s="19">
        <f>'D2C Online'!DB134</f>
        <v>9053901.8696572408</v>
      </c>
      <c r="CE119" s="19">
        <f>'D2C Online'!DC134</f>
        <v>9085348.7191002313</v>
      </c>
      <c r="CF119" s="19">
        <f>'D2C Online'!DD134</f>
        <v>9075221.4136687238</v>
      </c>
      <c r="CG119" s="19">
        <f>'D2C Online'!DE134</f>
        <v>9076056.6553537957</v>
      </c>
      <c r="CH119" s="19">
        <f>'D2C Online'!DF134</f>
        <v>9157263.0281849969</v>
      </c>
      <c r="CI119" s="19">
        <f>'D2C Online'!DG134</f>
        <v>9191215.6026832052</v>
      </c>
      <c r="CJ119" s="19">
        <f>'D2C Online'!DH134</f>
        <v>9123853.360782085</v>
      </c>
      <c r="CK119" s="19">
        <f>'D2C Online'!DI134</f>
        <v>9156469.5485841781</v>
      </c>
      <c r="CL119" s="19">
        <f>'D2C Online'!DJ134</f>
        <v>9798026.1841565315</v>
      </c>
      <c r="CM119" s="19">
        <f>'D2C Online'!DK134</f>
        <v>9802206.1616099998</v>
      </c>
      <c r="CN119" s="19">
        <f>'D2C Online'!DL134</f>
        <v>9801909.3584772088</v>
      </c>
      <c r="CO119" s="19">
        <f>'D2C Online'!DM134</f>
        <v>9808166.9578602109</v>
      </c>
      <c r="CP119" s="19">
        <f>'D2C Online'!DN134</f>
        <v>9783878.56816018</v>
      </c>
      <c r="CQ119" s="19">
        <f>'D2C Online'!DO134</f>
        <v>9821127.3613254</v>
      </c>
      <c r="CR119" s="19">
        <f>'D2C Online'!DP134</f>
        <v>9809131.568041781</v>
      </c>
      <c r="CS119" s="19">
        <f>'D2C Online'!DQ134</f>
        <v>9810120.9118177481</v>
      </c>
      <c r="CT119" s="19">
        <f>'D2C Online'!DR134</f>
        <v>9906309.8604363054</v>
      </c>
      <c r="CU119" s="19">
        <f>'D2C Online'!DS134</f>
        <v>9946526.6849294323</v>
      </c>
      <c r="CV119" s="19">
        <f>'D2C Online'!DT134</f>
        <v>9866736.1093975566</v>
      </c>
      <c r="CW119" s="19">
        <f>'D2C Online'!DU134</f>
        <v>9905369.9838491343</v>
      </c>
      <c r="CY119" s="19">
        <f t="shared" si="456"/>
        <v>25838004.33886154</v>
      </c>
      <c r="CZ119" s="19">
        <f t="shared" si="457"/>
        <v>24952232.933220848</v>
      </c>
      <c r="DA119" s="19">
        <f t="shared" si="458"/>
        <v>25988661.417416543</v>
      </c>
      <c r="DB119" s="19">
        <f t="shared" si="459"/>
        <v>25004663.888567682</v>
      </c>
      <c r="DC119" s="19">
        <f t="shared" si="460"/>
        <v>27329378.65717078</v>
      </c>
      <c r="DD119" s="19">
        <f t="shared" si="461"/>
        <v>26599122.52988328</v>
      </c>
      <c r="DE119" s="19">
        <f t="shared" si="462"/>
        <v>18410866.253055617</v>
      </c>
      <c r="DF119" s="19">
        <f t="shared" si="463"/>
        <v>20086250.169982262</v>
      </c>
      <c r="DG119" s="19">
        <f t="shared" si="464"/>
        <v>21305184.873460896</v>
      </c>
      <c r="DH119" s="19">
        <f t="shared" si="465"/>
        <v>26719061.557370409</v>
      </c>
      <c r="DI119" s="19">
        <f t="shared" si="466"/>
        <v>24329275.041244637</v>
      </c>
      <c r="DJ119" s="19">
        <f t="shared" si="467"/>
        <v>22723520.9159851</v>
      </c>
      <c r="DK119" s="19">
        <f t="shared" si="468"/>
        <v>25210507.163859598</v>
      </c>
      <c r="DL119" s="19">
        <f t="shared" si="469"/>
        <v>25218369.50644175</v>
      </c>
      <c r="DM119" s="19">
        <f t="shared" si="470"/>
        <v>25298473.7322115</v>
      </c>
      <c r="DN119" s="19">
        <f t="shared" si="471"/>
        <v>25436082.35597001</v>
      </c>
      <c r="DO119" s="19">
        <f t="shared" si="472"/>
        <v>27204344.696994685</v>
      </c>
      <c r="DP119" s="19">
        <f t="shared" si="473"/>
        <v>27213657.641783252</v>
      </c>
      <c r="DQ119" s="19">
        <f t="shared" si="474"/>
        <v>27308541.097207516</v>
      </c>
      <c r="DR119" s="19">
        <f t="shared" si="475"/>
        <v>27471538.512049466</v>
      </c>
      <c r="DS119" s="19">
        <f t="shared" si="312"/>
        <v>29402141.704243738</v>
      </c>
      <c r="DT119" s="19">
        <f t="shared" si="313"/>
        <v>29413172.887345791</v>
      </c>
      <c r="DU119" s="19">
        <f t="shared" si="314"/>
        <v>29525562.340295836</v>
      </c>
      <c r="DV119" s="19">
        <f t="shared" si="315"/>
        <v>29718632.778176125</v>
      </c>
      <c r="DX119" s="19">
        <f t="shared" si="476"/>
        <v>101783562.57806662</v>
      </c>
      <c r="DY119" s="19">
        <f t="shared" si="477"/>
        <v>92425617.610091925</v>
      </c>
      <c r="DZ119" s="19">
        <f t="shared" si="478"/>
        <v>95077042.388061047</v>
      </c>
      <c r="EA119" s="19">
        <f t="shared" si="479"/>
        <v>101163432.75848286</v>
      </c>
      <c r="EB119" s="19">
        <f t="shared" si="480"/>
        <v>109198081.94803491</v>
      </c>
      <c r="EC119" s="770">
        <f t="shared" si="316"/>
        <v>118059509.71006149</v>
      </c>
    </row>
    <row r="120" spans="2:133" x14ac:dyDescent="0.2">
      <c r="B120" s="155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X120" s="19"/>
      <c r="DY120" s="19"/>
      <c r="DZ120" s="19"/>
      <c r="EA120" s="19"/>
      <c r="EB120" s="19"/>
      <c r="EC120" s="770">
        <f t="shared" si="316"/>
        <v>0</v>
      </c>
    </row>
    <row r="121" spans="2:133" x14ac:dyDescent="0.2">
      <c r="B121" s="24" t="s">
        <v>235</v>
      </c>
      <c r="C121" s="19">
        <f>C122+C123</f>
        <v>3338952.8633890105</v>
      </c>
      <c r="D121" s="19">
        <f t="shared" ref="D121:BO121" si="481">D122+D123</f>
        <v>3251255.9059667257</v>
      </c>
      <c r="E121" s="19">
        <f t="shared" si="481"/>
        <v>4019378.0116541726</v>
      </c>
      <c r="F121" s="19">
        <f t="shared" si="481"/>
        <v>4520276.1000233926</v>
      </c>
      <c r="G121" s="19">
        <f t="shared" si="481"/>
        <v>3785722.7019935437</v>
      </c>
      <c r="H121" s="19">
        <f t="shared" si="481"/>
        <v>3063513.7098633205</v>
      </c>
      <c r="I121" s="19">
        <f t="shared" si="481"/>
        <v>4830271.1367936023</v>
      </c>
      <c r="J121" s="19">
        <f t="shared" si="481"/>
        <v>5464931.9458963601</v>
      </c>
      <c r="K121" s="19">
        <f t="shared" si="481"/>
        <v>6146887.3660524944</v>
      </c>
      <c r="L121" s="19">
        <f t="shared" si="481"/>
        <v>7698568.1818814557</v>
      </c>
      <c r="M121" s="19">
        <f t="shared" si="481"/>
        <v>8132596.2797288606</v>
      </c>
      <c r="N121" s="19">
        <f t="shared" si="481"/>
        <v>9121500.7219802532</v>
      </c>
      <c r="O121" s="19">
        <f t="shared" si="481"/>
        <v>9699989.3998332396</v>
      </c>
      <c r="P121" s="19">
        <f t="shared" si="481"/>
        <v>10071745.98823791</v>
      </c>
      <c r="Q121" s="19">
        <f t="shared" si="481"/>
        <v>12189513.365439022</v>
      </c>
      <c r="R121" s="19">
        <f t="shared" si="481"/>
        <v>14299508.113999488</v>
      </c>
      <c r="S121" s="19">
        <f t="shared" si="481"/>
        <v>13102483.497385586</v>
      </c>
      <c r="T121" s="19">
        <f t="shared" si="481"/>
        <v>14166585.515216211</v>
      </c>
      <c r="U121" s="19">
        <f t="shared" si="481"/>
        <v>15561028.853525998</v>
      </c>
      <c r="V121" s="19">
        <f t="shared" si="481"/>
        <v>17083291.36960778</v>
      </c>
      <c r="W121" s="19">
        <f t="shared" si="481"/>
        <v>18111203.432689052</v>
      </c>
      <c r="X121" s="19">
        <f t="shared" si="481"/>
        <v>19105231.877106797</v>
      </c>
      <c r="Y121" s="19">
        <f t="shared" si="481"/>
        <v>19063657.385167312</v>
      </c>
      <c r="Z121" s="19">
        <f t="shared" si="481"/>
        <v>20691606.932760753</v>
      </c>
      <c r="AA121" s="19">
        <f t="shared" si="481"/>
        <v>22102258.082799878</v>
      </c>
      <c r="AB121" s="19">
        <f t="shared" si="481"/>
        <v>23058278.607490227</v>
      </c>
      <c r="AC121" s="19">
        <f t="shared" si="481"/>
        <v>23462783.796134293</v>
      </c>
      <c r="AD121" s="19">
        <f t="shared" si="481"/>
        <v>28729798.57211047</v>
      </c>
      <c r="AE121" s="19">
        <f t="shared" si="481"/>
        <v>28165282.562091935</v>
      </c>
      <c r="AF121" s="19">
        <f t="shared" si="481"/>
        <v>28285903.467258461</v>
      </c>
      <c r="AG121" s="19">
        <f t="shared" si="481"/>
        <v>27915037.01848207</v>
      </c>
      <c r="AH121" s="19">
        <f t="shared" si="481"/>
        <v>26300029.599524442</v>
      </c>
      <c r="AI121" s="19">
        <f t="shared" si="481"/>
        <v>26351958.999090705</v>
      </c>
      <c r="AJ121" s="19">
        <f t="shared" si="481"/>
        <v>27690922.179327488</v>
      </c>
      <c r="AK121" s="19">
        <f t="shared" si="481"/>
        <v>26868420.262551919</v>
      </c>
      <c r="AL121" s="19">
        <f t="shared" si="481"/>
        <v>26316450.38702251</v>
      </c>
      <c r="AM121" s="19">
        <f t="shared" si="481"/>
        <v>23675511.356416769</v>
      </c>
      <c r="AN121" s="19">
        <f t="shared" si="481"/>
        <v>22951502.167756274</v>
      </c>
      <c r="AO121" s="19">
        <f t="shared" si="481"/>
        <v>23610072.054136239</v>
      </c>
      <c r="AP121" s="19">
        <f t="shared" si="481"/>
        <v>26598290.31375055</v>
      </c>
      <c r="AQ121" s="19">
        <f t="shared" si="481"/>
        <v>27396255.7436569</v>
      </c>
      <c r="AR121" s="19">
        <f t="shared" si="481"/>
        <v>27508766.24358109</v>
      </c>
      <c r="AS121" s="19">
        <f t="shared" si="481"/>
        <v>27712384.382422846</v>
      </c>
      <c r="AT121" s="19">
        <f t="shared" si="481"/>
        <v>26978681.68323338</v>
      </c>
      <c r="AU121" s="19">
        <f t="shared" si="481"/>
        <v>25343998.120239027</v>
      </c>
      <c r="AV121" s="19">
        <f t="shared" si="481"/>
        <v>26085542.721573584</v>
      </c>
      <c r="AW121" s="19">
        <f t="shared" si="481"/>
        <v>28116067.974865932</v>
      </c>
      <c r="AX121" s="19">
        <f t="shared" si="481"/>
        <v>27030768.884781849</v>
      </c>
      <c r="AY121" s="19">
        <f t="shared" si="481"/>
        <v>27448321.973583475</v>
      </c>
      <c r="AZ121" s="19">
        <f t="shared" si="481"/>
        <v>28200227.726350442</v>
      </c>
      <c r="BA121" s="19">
        <f t="shared" si="481"/>
        <v>33198491.914743409</v>
      </c>
      <c r="BB121" s="19">
        <f t="shared" si="481"/>
        <v>35039692.990953818</v>
      </c>
      <c r="BC121" s="19">
        <f t="shared" si="481"/>
        <v>35383220.528990738</v>
      </c>
      <c r="BD121" s="19">
        <f t="shared" si="481"/>
        <v>34898466.061385967</v>
      </c>
      <c r="BE121" s="19">
        <f t="shared" si="481"/>
        <v>37090338.237597361</v>
      </c>
      <c r="BF121" s="19">
        <f t="shared" si="481"/>
        <v>38093866.937849946</v>
      </c>
      <c r="BG121" s="19">
        <f t="shared" si="481"/>
        <v>37358606.438829988</v>
      </c>
      <c r="BH121" s="19">
        <f t="shared" si="481"/>
        <v>37506111.341979966</v>
      </c>
      <c r="BI121" s="19">
        <f t="shared" si="481"/>
        <v>39959409.675329618</v>
      </c>
      <c r="BJ121" s="19">
        <f t="shared" si="481"/>
        <v>39721031.120896876</v>
      </c>
      <c r="BK121" s="19">
        <f t="shared" si="481"/>
        <v>45155819.659879372</v>
      </c>
      <c r="BL121" s="19">
        <f t="shared" si="481"/>
        <v>46181330.601745144</v>
      </c>
      <c r="BM121" s="19">
        <f t="shared" si="481"/>
        <v>44388523.608966932</v>
      </c>
      <c r="BN121" s="19">
        <f t="shared" si="481"/>
        <v>52424791.038111165</v>
      </c>
      <c r="BO121" s="19">
        <f t="shared" si="481"/>
        <v>52424791.038111165</v>
      </c>
      <c r="BP121" s="19">
        <f t="shared" ref="BP121:CK121" si="482">BP122+BP123</f>
        <v>52424791.038111165</v>
      </c>
      <c r="BQ121" s="19">
        <f t="shared" si="482"/>
        <v>52424791.038111165</v>
      </c>
      <c r="BR121" s="19">
        <f t="shared" si="482"/>
        <v>52424791.038111165</v>
      </c>
      <c r="BS121" s="19">
        <f t="shared" si="482"/>
        <v>52424791.038111165</v>
      </c>
      <c r="BT121" s="19">
        <f t="shared" si="482"/>
        <v>52424791.038111165</v>
      </c>
      <c r="BU121" s="19">
        <f t="shared" si="482"/>
        <v>52424791.038111165</v>
      </c>
      <c r="BV121" s="19">
        <f t="shared" si="482"/>
        <v>52424791.038111165</v>
      </c>
      <c r="BW121" s="19">
        <f t="shared" si="482"/>
        <v>52424791.038111165</v>
      </c>
      <c r="BX121" s="19">
        <f t="shared" si="482"/>
        <v>52424791.038111165</v>
      </c>
      <c r="BY121" s="19">
        <f t="shared" si="482"/>
        <v>52424791.038111165</v>
      </c>
      <c r="BZ121" s="19">
        <f t="shared" si="482"/>
        <v>59252365.531247579</v>
      </c>
      <c r="CA121" s="19">
        <f t="shared" si="482"/>
        <v>59252365.531247579</v>
      </c>
      <c r="CB121" s="19">
        <f t="shared" si="482"/>
        <v>59252365.531247579</v>
      </c>
      <c r="CC121" s="19">
        <f t="shared" si="482"/>
        <v>59252365.531247579</v>
      </c>
      <c r="CD121" s="19">
        <f t="shared" si="482"/>
        <v>59252365.531247579</v>
      </c>
      <c r="CE121" s="19">
        <f t="shared" si="482"/>
        <v>59252365.531247579</v>
      </c>
      <c r="CF121" s="19">
        <f t="shared" si="482"/>
        <v>59252365.531247579</v>
      </c>
      <c r="CG121" s="19">
        <f t="shared" si="482"/>
        <v>59252365.531247579</v>
      </c>
      <c r="CH121" s="19">
        <f t="shared" si="482"/>
        <v>59252365.531247579</v>
      </c>
      <c r="CI121" s="19">
        <f t="shared" si="482"/>
        <v>59252365.531247579</v>
      </c>
      <c r="CJ121" s="19">
        <f t="shared" si="482"/>
        <v>59252365.531247579</v>
      </c>
      <c r="CK121" s="19">
        <f t="shared" si="482"/>
        <v>59252365.531247579</v>
      </c>
      <c r="CL121" s="19">
        <f t="shared" ref="CL121:CW121" si="483">CL122+CL123</f>
        <v>66984967.631165773</v>
      </c>
      <c r="CM121" s="19">
        <f t="shared" si="483"/>
        <v>66984967.631165773</v>
      </c>
      <c r="CN121" s="19">
        <f t="shared" si="483"/>
        <v>66984967.631165773</v>
      </c>
      <c r="CO121" s="19">
        <f t="shared" si="483"/>
        <v>66984967.631165773</v>
      </c>
      <c r="CP121" s="19">
        <f t="shared" si="483"/>
        <v>66984967.631165773</v>
      </c>
      <c r="CQ121" s="19">
        <f t="shared" si="483"/>
        <v>66984967.631165773</v>
      </c>
      <c r="CR121" s="19">
        <f t="shared" si="483"/>
        <v>66984967.631165773</v>
      </c>
      <c r="CS121" s="19">
        <f t="shared" si="483"/>
        <v>66984967.631165773</v>
      </c>
      <c r="CT121" s="19">
        <f t="shared" si="483"/>
        <v>66984967.631165773</v>
      </c>
      <c r="CU121" s="19">
        <f t="shared" si="483"/>
        <v>66984967.631165773</v>
      </c>
      <c r="CV121" s="19">
        <f t="shared" si="483"/>
        <v>66984967.631165773</v>
      </c>
      <c r="CW121" s="19">
        <f t="shared" si="483"/>
        <v>66984967.631165773</v>
      </c>
      <c r="CY121" s="19">
        <f t="shared" si="456"/>
        <v>85180984.601460874</v>
      </c>
      <c r="CZ121" s="19">
        <f t="shared" si="457"/>
        <v>80567025.617097214</v>
      </c>
      <c r="DA121" s="19">
        <f t="shared" si="458"/>
        <v>80875792.828901917</v>
      </c>
      <c r="DB121" s="19">
        <f t="shared" si="459"/>
        <v>70237085.578309283</v>
      </c>
      <c r="DC121" s="19">
        <f t="shared" si="460"/>
        <v>81503312.30098854</v>
      </c>
      <c r="DD121" s="19">
        <f t="shared" si="461"/>
        <v>80035064.185895264</v>
      </c>
      <c r="DE121" s="19">
        <f t="shared" si="462"/>
        <v>81232379.581221372</v>
      </c>
      <c r="DF121" s="19">
        <f t="shared" si="463"/>
        <v>88847041.614677325</v>
      </c>
      <c r="DG121" s="19">
        <f t="shared" si="464"/>
        <v>105321379.58133051</v>
      </c>
      <c r="DH121" s="19">
        <f t="shared" si="465"/>
        <v>112542811.6142773</v>
      </c>
      <c r="DI121" s="19">
        <f t="shared" si="466"/>
        <v>117186552.13820645</v>
      </c>
      <c r="DJ121" s="19">
        <f t="shared" si="467"/>
        <v>135725673.87059146</v>
      </c>
      <c r="DK121" s="19">
        <f t="shared" si="468"/>
        <v>157274373.11433351</v>
      </c>
      <c r="DL121" s="19">
        <f t="shared" si="469"/>
        <v>157274373.11433351</v>
      </c>
      <c r="DM121" s="19">
        <f t="shared" si="470"/>
        <v>157274373.11433351</v>
      </c>
      <c r="DN121" s="19">
        <f t="shared" si="471"/>
        <v>157274373.11433351</v>
      </c>
      <c r="DO121" s="19">
        <f t="shared" si="472"/>
        <v>177757096.59374273</v>
      </c>
      <c r="DP121" s="19">
        <f t="shared" si="473"/>
        <v>177757096.59374273</v>
      </c>
      <c r="DQ121" s="19">
        <f t="shared" si="474"/>
        <v>177757096.59374273</v>
      </c>
      <c r="DR121" s="19">
        <f t="shared" si="475"/>
        <v>177757096.59374273</v>
      </c>
      <c r="DS121" s="19">
        <f t="shared" si="312"/>
        <v>200954902.89349732</v>
      </c>
      <c r="DT121" s="19">
        <f t="shared" si="313"/>
        <v>200954902.89349732</v>
      </c>
      <c r="DU121" s="19">
        <f t="shared" si="314"/>
        <v>200954902.89349732</v>
      </c>
      <c r="DV121" s="19">
        <f t="shared" si="315"/>
        <v>200954902.89349732</v>
      </c>
      <c r="DX121" s="19">
        <f t="shared" si="476"/>
        <v>316860888.62576926</v>
      </c>
      <c r="DY121" s="19">
        <f t="shared" si="477"/>
        <v>331617797.68278253</v>
      </c>
      <c r="DZ121" s="19">
        <f t="shared" si="478"/>
        <v>470776417.20440573</v>
      </c>
      <c r="EA121" s="19">
        <f t="shared" si="479"/>
        <v>629097492.45733404</v>
      </c>
      <c r="EB121" s="19">
        <f t="shared" si="480"/>
        <v>711028386.37497091</v>
      </c>
      <c r="EC121" s="770">
        <f t="shared" si="316"/>
        <v>803819611.57398927</v>
      </c>
    </row>
    <row r="122" spans="2:133" x14ac:dyDescent="0.2">
      <c r="B122" s="24" t="s">
        <v>188</v>
      </c>
      <c r="C122" s="19">
        <f>'D2C - Retail'!J146+'D2C Online'!AA136</f>
        <v>2960520.329381356</v>
      </c>
      <c r="D122" s="19">
        <f>'D2C - Retail'!K146+'D2C Online'!AB136</f>
        <v>2888452.7541666669</v>
      </c>
      <c r="E122" s="19">
        <f>'D2C - Retail'!L146+'D2C Online'!AC136</f>
        <v>3613819.6596560739</v>
      </c>
      <c r="F122" s="19">
        <f>'D2C - Retail'!M146+'D2C Online'!AD136</f>
        <v>4048883.6498386534</v>
      </c>
      <c r="G122" s="19">
        <f>'D2C - Retail'!N146+'D2C Online'!AE136</f>
        <v>3388179.2131730765</v>
      </c>
      <c r="H122" s="19">
        <f>'D2C - Retail'!O146+'D2C Online'!AF136</f>
        <v>2692545.2355070622</v>
      </c>
      <c r="I122" s="19">
        <f>'D2C - Retail'!P146+'D2C Online'!AG136</f>
        <v>3783840.1583401314</v>
      </c>
      <c r="J122" s="19">
        <f>'D2C - Retail'!Q146+'D2C Online'!AH136</f>
        <v>4346893.8521945886</v>
      </c>
      <c r="K122" s="19">
        <f>'D2C - Retail'!R146+'D2C Online'!AI136</f>
        <v>5000257.6105067916</v>
      </c>
      <c r="L122" s="19">
        <f>'D2C - Retail'!S146+'D2C Online'!AJ136</f>
        <v>6397731.5946376566</v>
      </c>
      <c r="M122" s="19">
        <f>'D2C - Retail'!T146+'D2C Online'!AK136</f>
        <v>6757323.7065418316</v>
      </c>
      <c r="N122" s="19">
        <f>'D2C - Retail'!U146+'D2C Online'!AL136</f>
        <v>7450994.5454147113</v>
      </c>
      <c r="O122" s="19">
        <f>'D2C - Retail'!V146+'D2C Online'!AM136</f>
        <v>7925374.6721481867</v>
      </c>
      <c r="P122" s="19">
        <f>'D2C - Retail'!W146+'D2C Online'!AN136</f>
        <v>8226433.1311297808</v>
      </c>
      <c r="Q122" s="19">
        <f>'D2C - Retail'!X146+'D2C Online'!AO136</f>
        <v>9843950.103401944</v>
      </c>
      <c r="R122" s="19">
        <f>'D2C - Retail'!Y146+'D2C Online'!AP136</f>
        <v>11526389.556748318</v>
      </c>
      <c r="S122" s="19">
        <f>'D2C - Retail'!Z146+'D2C Online'!AQ136</f>
        <v>9984862.7224815227</v>
      </c>
      <c r="T122" s="19">
        <f>'D2C - Retail'!AA146+'D2C Online'!AR136</f>
        <v>11147295.178613648</v>
      </c>
      <c r="U122" s="19">
        <f>'D2C - Retail'!AB146+'D2C Online'!AS136</f>
        <v>12186517.645256767</v>
      </c>
      <c r="V122" s="19">
        <f>'D2C - Retail'!AC146+'D2C Online'!AT136</f>
        <v>13678531.144800087</v>
      </c>
      <c r="W122" s="19">
        <f>'D2C - Retail'!AD146+'D2C Online'!AU136</f>
        <v>13812314.569163414</v>
      </c>
      <c r="X122" s="19">
        <f>'D2C - Retail'!AE146+'D2C Online'!AV136</f>
        <v>14907303.449801171</v>
      </c>
      <c r="Y122" s="19">
        <f>'D2C - Retail'!AF146+'D2C Online'!AW136</f>
        <v>14521196.070744235</v>
      </c>
      <c r="Z122" s="19">
        <f>'D2C - Retail'!AG146+'D2C Online'!AX136</f>
        <v>16214534.555388959</v>
      </c>
      <c r="AA122" s="19">
        <f>'D2C - Retail'!AH146+'D2C Online'!AY136</f>
        <v>17302297.809787057</v>
      </c>
      <c r="AB122" s="19">
        <f>'D2C - Retail'!AI146+'D2C Online'!AZ136</f>
        <v>18248422.565310739</v>
      </c>
      <c r="AC122" s="19">
        <f>'D2C - Retail'!AJ146+'D2C Online'!BA136</f>
        <v>17438067.816518907</v>
      </c>
      <c r="AD122" s="19">
        <f>'D2C - Retail'!AK146+'D2C Online'!BB136</f>
        <v>18114584.155481126</v>
      </c>
      <c r="AE122" s="19">
        <f>'D2C - Retail'!AL146+'D2C Online'!BC136</f>
        <v>17325053.958066553</v>
      </c>
      <c r="AF122" s="19">
        <f>'D2C - Retail'!AM146+'D2C Online'!BD136</f>
        <v>17345638.365077417</v>
      </c>
      <c r="AG122" s="19">
        <f>'D2C - Retail'!AN146+'D2C Online'!BE136</f>
        <v>17109518.710709631</v>
      </c>
      <c r="AH122" s="19">
        <f>'D2C - Retail'!AO146+'D2C Online'!BF136</f>
        <v>16029638.969796877</v>
      </c>
      <c r="AI122" s="19">
        <f>'D2C - Retail'!AP146+'D2C Online'!BG136</f>
        <v>16474438.169228528</v>
      </c>
      <c r="AJ122" s="19">
        <f>'D2C - Retail'!AQ146+'D2C Online'!BH136</f>
        <v>18163281.938638382</v>
      </c>
      <c r="AK122" s="19">
        <f>'D2C - Retail'!AR146+'D2C Online'!BI136</f>
        <v>16760064.358283237</v>
      </c>
      <c r="AL122" s="19">
        <f>'D2C - Retail'!AS146+'D2C Online'!BJ136</f>
        <v>16173981.699542066</v>
      </c>
      <c r="AM122" s="19">
        <f>'D2C - Retail'!AT146+'D2C Online'!BK136</f>
        <v>14171721.738624126</v>
      </c>
      <c r="AN122" s="19">
        <f>'D2C - Retail'!AU146+'D2C Online'!BL136</f>
        <v>13939491.558407735</v>
      </c>
      <c r="AO122" s="19">
        <f>'D2C - Retail'!AV146+'D2C Online'!BM136</f>
        <v>14167941.533852343</v>
      </c>
      <c r="AP122" s="19">
        <f>'D2C - Retail'!AW146+'D2C Online'!BN136</f>
        <v>16254143.867937969</v>
      </c>
      <c r="AQ122" s="19">
        <f>'D2C - Retail'!AX146+'D2C Online'!BO136</f>
        <v>16415147.978328232</v>
      </c>
      <c r="AR122" s="19">
        <f>'D2C - Retail'!AY146+'D2C Online'!BP136</f>
        <v>15864676.058838796</v>
      </c>
      <c r="AS122" s="19">
        <f>'D2C - Retail'!AZ146+'D2C Online'!BQ136</f>
        <v>15938825.212245319</v>
      </c>
      <c r="AT122" s="19">
        <f>'D2C - Retail'!BA146+'D2C Online'!BR136</f>
        <v>15556973.196027217</v>
      </c>
      <c r="AU122" s="19">
        <f>'D2C - Retail'!BB146+'D2C Online'!BS136</f>
        <v>14504868.76171279</v>
      </c>
      <c r="AV122" s="19">
        <f>'D2C - Retail'!BC146+'D2C Online'!BT136</f>
        <v>17057628.106575374</v>
      </c>
      <c r="AW122" s="19">
        <f>'D2C - Retail'!BD146+'D2C Online'!BU136</f>
        <v>17983568.876556892</v>
      </c>
      <c r="AX122" s="19">
        <f>'D2C - Retail'!BE146+'D2C Online'!BV136</f>
        <v>18150449.68829095</v>
      </c>
      <c r="AY122" s="19">
        <f>'D2C - Retail'!BF146+'D2C Online'!BW136</f>
        <v>17918612.277669493</v>
      </c>
      <c r="AZ122" s="19">
        <f>'D2C - Retail'!BG146+'D2C Online'!BX136</f>
        <v>18575150.410773523</v>
      </c>
      <c r="BA122" s="19">
        <f>'D2C - Retail'!BH146+'D2C Online'!BY136</f>
        <v>21446587.604450215</v>
      </c>
      <c r="BB122" s="19">
        <f>'D2C - Retail'!BI146+'D2C Online'!BZ136</f>
        <v>20657592.35004231</v>
      </c>
      <c r="BC122" s="19">
        <f>'D2C - Retail'!BJ146+'D2C Online'!CA136</f>
        <v>20480035.53212795</v>
      </c>
      <c r="BD122" s="19">
        <f>'D2C - Retail'!BK146+'D2C Online'!CB136</f>
        <v>20280914.027277052</v>
      </c>
      <c r="BE122" s="19">
        <f>'D2C - Retail'!BL146+'D2C Online'!CC136</f>
        <v>21732660.04463201</v>
      </c>
      <c r="BF122" s="19">
        <f>'D2C - Retail'!BM146+'D2C Online'!CD136</f>
        <v>22660853.967915911</v>
      </c>
      <c r="BG122" s="19">
        <f>'D2C - Retail'!BN146+'D2C Online'!CE136</f>
        <v>21549895.410087578</v>
      </c>
      <c r="BH122" s="19">
        <f>'D2C - Retail'!BO146+'D2C Online'!CF136</f>
        <v>23263485.018828973</v>
      </c>
      <c r="BI122" s="19">
        <f>'D2C - Retail'!BP146+'D2C Online'!CG136</f>
        <v>24604608.31774186</v>
      </c>
      <c r="BJ122" s="19">
        <f>'D2C - Retail'!BQ146+'D2C Online'!CH136</f>
        <v>24180924.628740732</v>
      </c>
      <c r="BK122" s="19">
        <f>'D2C - Retail'!BR146+'D2C Online'!CI136</f>
        <v>28102943.7892607</v>
      </c>
      <c r="BL122" s="19">
        <f>'D2C - Retail'!BS146+'D2C Online'!CJ136</f>
        <v>28800442.542883001</v>
      </c>
      <c r="BM122" s="19">
        <f>'D2C - Retail'!BT146+'D2C Online'!CK136</f>
        <v>26877472.464568667</v>
      </c>
      <c r="BN122" s="19">
        <f>'D2C - Retail'!BU146+'D2C Online'!CL136</f>
        <v>31930437.287907582</v>
      </c>
      <c r="BO122" s="19">
        <f>'D2C - Retail'!BV146+'D2C Online'!CM136</f>
        <v>31930437.287907582</v>
      </c>
      <c r="BP122" s="19">
        <f>'D2C - Retail'!BW146+'D2C Online'!CN136</f>
        <v>31930437.287907582</v>
      </c>
      <c r="BQ122" s="19">
        <f>'D2C - Retail'!BX146+'D2C Online'!CO136</f>
        <v>31930437.287907582</v>
      </c>
      <c r="BR122" s="19">
        <f>'D2C - Retail'!BY146+'D2C Online'!CP136</f>
        <v>31930437.287907582</v>
      </c>
      <c r="BS122" s="19">
        <f>'D2C - Retail'!BZ146+'D2C Online'!CQ136</f>
        <v>31930437.287907582</v>
      </c>
      <c r="BT122" s="19">
        <f>'D2C - Retail'!CA146+'D2C Online'!CR136</f>
        <v>31930437.287907582</v>
      </c>
      <c r="BU122" s="19">
        <f>'D2C - Retail'!CB146+'D2C Online'!CS136</f>
        <v>31930437.287907582</v>
      </c>
      <c r="BV122" s="19">
        <f>'D2C - Retail'!CC146+'D2C Online'!CT136</f>
        <v>31930437.287907582</v>
      </c>
      <c r="BW122" s="19">
        <f>'D2C - Retail'!CD146+'D2C Online'!CU136</f>
        <v>31930437.287907582</v>
      </c>
      <c r="BX122" s="19">
        <f>'D2C - Retail'!CE146+'D2C Online'!CV136</f>
        <v>31930437.287907582</v>
      </c>
      <c r="BY122" s="19">
        <f>'D2C - Retail'!CF146+'D2C Online'!CW136</f>
        <v>31930437.287907582</v>
      </c>
      <c r="BZ122" s="19">
        <f>'D2C - Retail'!CG146+'D2C Online'!CX136</f>
        <v>36209115.884487197</v>
      </c>
      <c r="CA122" s="19">
        <f>'D2C - Retail'!CH146+'D2C Online'!CY136</f>
        <v>36209115.884487197</v>
      </c>
      <c r="CB122" s="19">
        <f>'D2C - Retail'!CI146+'D2C Online'!CZ136</f>
        <v>36209115.884487197</v>
      </c>
      <c r="CC122" s="19">
        <f>'D2C - Retail'!CJ146+'D2C Online'!DA136</f>
        <v>36209115.884487197</v>
      </c>
      <c r="CD122" s="19">
        <f>'D2C - Retail'!CK146+'D2C Online'!DB136</f>
        <v>36209115.884487197</v>
      </c>
      <c r="CE122" s="19">
        <f>'D2C - Retail'!CL146+'D2C Online'!DC136</f>
        <v>36209115.884487197</v>
      </c>
      <c r="CF122" s="19">
        <f>'D2C - Retail'!CM146+'D2C Online'!DD136</f>
        <v>36209115.884487197</v>
      </c>
      <c r="CG122" s="19">
        <f>'D2C - Retail'!CN146+'D2C Online'!DE136</f>
        <v>36209115.884487197</v>
      </c>
      <c r="CH122" s="19">
        <f>'D2C - Retail'!CO146+'D2C Online'!DF136</f>
        <v>36209115.884487197</v>
      </c>
      <c r="CI122" s="19">
        <f>'D2C - Retail'!CP146+'D2C Online'!DG136</f>
        <v>36209115.884487197</v>
      </c>
      <c r="CJ122" s="19">
        <f>'D2C - Retail'!CQ146+'D2C Online'!DH136</f>
        <v>36209115.884487197</v>
      </c>
      <c r="CK122" s="19">
        <f>'D2C - Retail'!CR146+'D2C Online'!DI136</f>
        <v>36209115.884487197</v>
      </c>
      <c r="CL122" s="19">
        <f>'D2C - Retail'!CS146+'D2C Online'!DJ136</f>
        <v>41061137.413008496</v>
      </c>
      <c r="CM122" s="19">
        <f>'D2C - Retail'!CT146+'D2C Online'!DK136</f>
        <v>41061137.413008496</v>
      </c>
      <c r="CN122" s="19">
        <f>'D2C - Retail'!CU146+'D2C Online'!DL136</f>
        <v>41061137.413008496</v>
      </c>
      <c r="CO122" s="19">
        <f>'D2C - Retail'!CV146+'D2C Online'!DM136</f>
        <v>41061137.413008496</v>
      </c>
      <c r="CP122" s="19">
        <f>'D2C - Retail'!CW146+'D2C Online'!DN136</f>
        <v>41061137.413008496</v>
      </c>
      <c r="CQ122" s="19">
        <f>'D2C - Retail'!CX146+'D2C Online'!DO136</f>
        <v>41061137.413008496</v>
      </c>
      <c r="CR122" s="19">
        <f>'D2C - Retail'!CY146+'D2C Online'!DP136</f>
        <v>41061137.413008496</v>
      </c>
      <c r="CS122" s="19">
        <f>'D2C - Retail'!CZ146+'D2C Online'!DQ136</f>
        <v>41061137.413008496</v>
      </c>
      <c r="CT122" s="19">
        <f>'D2C - Retail'!DA146+'D2C Online'!DR136</f>
        <v>41061137.413008496</v>
      </c>
      <c r="CU122" s="19">
        <f>'D2C - Retail'!DB146+'D2C Online'!DS136</f>
        <v>41061137.413008496</v>
      </c>
      <c r="CV122" s="19">
        <f>'D2C - Retail'!DC146+'D2C Online'!DT136</f>
        <v>41061137.413008496</v>
      </c>
      <c r="CW122" s="19">
        <f>'D2C - Retail'!DD146+'D2C Online'!DU136</f>
        <v>41061137.413008496</v>
      </c>
      <c r="CY122" s="19">
        <f t="shared" si="456"/>
        <v>52785276.478625104</v>
      </c>
      <c r="CZ122" s="19">
        <f t="shared" si="457"/>
        <v>49613595.849735036</v>
      </c>
      <c r="DA122" s="19">
        <f t="shared" si="458"/>
        <v>51097327.996463686</v>
      </c>
      <c r="DB122" s="19">
        <f t="shared" si="459"/>
        <v>42279154.830884203</v>
      </c>
      <c r="DC122" s="19">
        <f t="shared" si="460"/>
        <v>48533967.905104995</v>
      </c>
      <c r="DD122" s="19">
        <f t="shared" si="461"/>
        <v>46000667.169985324</v>
      </c>
      <c r="DE122" s="19">
        <f t="shared" si="462"/>
        <v>53191646.671423212</v>
      </c>
      <c r="DF122" s="19">
        <f t="shared" si="463"/>
        <v>57940350.292893231</v>
      </c>
      <c r="DG122" s="19">
        <f t="shared" si="464"/>
        <v>61418541.909447312</v>
      </c>
      <c r="DH122" s="19">
        <f t="shared" si="465"/>
        <v>65943409.422635503</v>
      </c>
      <c r="DI122" s="19">
        <f t="shared" si="466"/>
        <v>72049017.965311557</v>
      </c>
      <c r="DJ122" s="19">
        <f t="shared" si="467"/>
        <v>83780858.796712369</v>
      </c>
      <c r="DK122" s="19">
        <f t="shared" si="468"/>
        <v>95791311.863722742</v>
      </c>
      <c r="DL122" s="19">
        <f t="shared" si="469"/>
        <v>95791311.863722742</v>
      </c>
      <c r="DM122" s="19">
        <f t="shared" si="470"/>
        <v>95791311.863722742</v>
      </c>
      <c r="DN122" s="19">
        <f t="shared" si="471"/>
        <v>95791311.863722742</v>
      </c>
      <c r="DO122" s="19">
        <f t="shared" si="472"/>
        <v>108627347.65346159</v>
      </c>
      <c r="DP122" s="19">
        <f t="shared" si="473"/>
        <v>108627347.65346159</v>
      </c>
      <c r="DQ122" s="19">
        <f t="shared" si="474"/>
        <v>108627347.65346159</v>
      </c>
      <c r="DR122" s="19">
        <f t="shared" si="475"/>
        <v>108627347.65346159</v>
      </c>
      <c r="DS122" s="19">
        <f t="shared" si="312"/>
        <v>123183412.23902549</v>
      </c>
      <c r="DT122" s="19">
        <f t="shared" si="313"/>
        <v>123183412.23902549</v>
      </c>
      <c r="DU122" s="19">
        <f t="shared" si="314"/>
        <v>123183412.23902549</v>
      </c>
      <c r="DV122" s="19">
        <f t="shared" si="315"/>
        <v>123183412.23902549</v>
      </c>
      <c r="DX122" s="19">
        <f t="shared" si="476"/>
        <v>195775355.15570801</v>
      </c>
      <c r="DY122" s="19">
        <f t="shared" si="477"/>
        <v>205666632.03940678</v>
      </c>
      <c r="DZ122" s="19">
        <f t="shared" si="478"/>
        <v>283191828.09410673</v>
      </c>
      <c r="EA122" s="19">
        <f t="shared" si="479"/>
        <v>383165247.45489097</v>
      </c>
      <c r="EB122" s="19">
        <f t="shared" si="480"/>
        <v>434509390.61384636</v>
      </c>
      <c r="EC122" s="770">
        <f t="shared" si="316"/>
        <v>492733648.95610195</v>
      </c>
    </row>
    <row r="123" spans="2:133" x14ac:dyDescent="0.2">
      <c r="B123" s="24" t="s">
        <v>46</v>
      </c>
      <c r="C123" s="19">
        <f>'D2C - Retail'!J148+'D2C Online'!AA138</f>
        <v>378432.53400765447</v>
      </c>
      <c r="D123" s="19">
        <f>'D2C - Retail'!K148+'D2C Online'!AB138</f>
        <v>362803.15180005861</v>
      </c>
      <c r="E123" s="19">
        <f>'D2C - Retail'!L148+'D2C Online'!AC138</f>
        <v>405558.3519980986</v>
      </c>
      <c r="F123" s="19">
        <f>'D2C - Retail'!M148+'D2C Online'!AD138</f>
        <v>471392.45018473949</v>
      </c>
      <c r="G123" s="19">
        <f>'D2C - Retail'!N148+'D2C Online'!AE138</f>
        <v>397543.48882046709</v>
      </c>
      <c r="H123" s="19">
        <f>'D2C - Retail'!O148+'D2C Online'!AF138</f>
        <v>370968.47435625829</v>
      </c>
      <c r="I123" s="19">
        <f>'D2C - Retail'!P148+'D2C Online'!AG138</f>
        <v>1046430.9784534704</v>
      </c>
      <c r="J123" s="19">
        <f>'D2C - Retail'!Q148+'D2C Online'!AH138</f>
        <v>1118038.0937017717</v>
      </c>
      <c r="K123" s="19">
        <f>'D2C - Retail'!R148+'D2C Online'!AI138</f>
        <v>1146629.755545703</v>
      </c>
      <c r="L123" s="19">
        <f>'D2C - Retail'!S148+'D2C Online'!AJ138</f>
        <v>1300836.5872437996</v>
      </c>
      <c r="M123" s="19">
        <f>'D2C - Retail'!T148+'D2C Online'!AK138</f>
        <v>1375272.5731870288</v>
      </c>
      <c r="N123" s="19">
        <f>'D2C - Retail'!U148+'D2C Online'!AL138</f>
        <v>1670506.1765655424</v>
      </c>
      <c r="O123" s="19">
        <f>'D2C - Retail'!V148+'D2C Online'!AM138</f>
        <v>1774614.7276850524</v>
      </c>
      <c r="P123" s="19">
        <f>'D2C - Retail'!W148+'D2C Online'!AN138</f>
        <v>1845312.8571081301</v>
      </c>
      <c r="Q123" s="19">
        <f>'D2C - Retail'!X148+'D2C Online'!AO138</f>
        <v>2345563.2620370784</v>
      </c>
      <c r="R123" s="19">
        <f>'D2C - Retail'!Y148+'D2C Online'!AP138</f>
        <v>2773118.5572511707</v>
      </c>
      <c r="S123" s="19">
        <f>'D2C - Retail'!Z148+'D2C Online'!AQ138</f>
        <v>3117620.774904063</v>
      </c>
      <c r="T123" s="19">
        <f>'D2C - Retail'!AA148+'D2C Online'!AR138</f>
        <v>3019290.3366025635</v>
      </c>
      <c r="U123" s="19">
        <f>'D2C - Retail'!AB148+'D2C Online'!AS138</f>
        <v>3374511.2082692306</v>
      </c>
      <c r="V123" s="19">
        <f>'D2C - Retail'!AC148+'D2C Online'!AT138</f>
        <v>3404760.2248076927</v>
      </c>
      <c r="W123" s="19">
        <f>'D2C - Retail'!AD148+'D2C Online'!AU138</f>
        <v>4298888.8635256393</v>
      </c>
      <c r="X123" s="19">
        <f>'D2C - Retail'!AE148+'D2C Online'!AV138</f>
        <v>4197928.4273056248</v>
      </c>
      <c r="Y123" s="19">
        <f>'D2C - Retail'!AF148+'D2C Online'!AW138</f>
        <v>4542461.3144230759</v>
      </c>
      <c r="Z123" s="19">
        <f>'D2C - Retail'!AG148+'D2C Online'!AX138</f>
        <v>4477072.3773717936</v>
      </c>
      <c r="AA123" s="19">
        <f>'D2C - Retail'!AH148+'D2C Online'!AY138</f>
        <v>4799960.2730128206</v>
      </c>
      <c r="AB123" s="19">
        <f>'D2C - Retail'!AI148+'D2C Online'!AZ138</f>
        <v>4809856.0421794876</v>
      </c>
      <c r="AC123" s="19">
        <f>'D2C - Retail'!AJ148+'D2C Online'!BA138</f>
        <v>6024715.9796153866</v>
      </c>
      <c r="AD123" s="19">
        <f>'D2C - Retail'!AK148+'D2C Online'!BB138</f>
        <v>10615214.416629344</v>
      </c>
      <c r="AE123" s="19">
        <f>'D2C - Retail'!AL148+'D2C Online'!BC138</f>
        <v>10840228.604025383</v>
      </c>
      <c r="AF123" s="19">
        <f>'D2C - Retail'!AM148+'D2C Online'!BD138</f>
        <v>10940265.102181042</v>
      </c>
      <c r="AG123" s="19">
        <f>'D2C - Retail'!AN148+'D2C Online'!BE138</f>
        <v>10805518.307772439</v>
      </c>
      <c r="AH123" s="19">
        <f>'D2C - Retail'!AO148+'D2C Online'!BF138</f>
        <v>10270390.629727565</v>
      </c>
      <c r="AI123" s="19">
        <f>'D2C - Retail'!AP148+'D2C Online'!BG138</f>
        <v>9877520.8298621774</v>
      </c>
      <c r="AJ123" s="19">
        <f>'D2C - Retail'!AQ148+'D2C Online'!BH138</f>
        <v>9527640.2406891063</v>
      </c>
      <c r="AK123" s="19">
        <f>'D2C - Retail'!AR148+'D2C Online'!BI138</f>
        <v>10108355.904268682</v>
      </c>
      <c r="AL123" s="19">
        <f>'D2C - Retail'!AS148+'D2C Online'!BJ138</f>
        <v>10142468.687480444</v>
      </c>
      <c r="AM123" s="19">
        <f>'D2C - Retail'!AT148+'D2C Online'!BK138</f>
        <v>9503789.6177926417</v>
      </c>
      <c r="AN123" s="19">
        <f>'D2C - Retail'!AU148+'D2C Online'!BL138</f>
        <v>9012010.6093485411</v>
      </c>
      <c r="AO123" s="19">
        <f>'D2C - Retail'!AV148+'D2C Online'!BM138</f>
        <v>9442130.5202838946</v>
      </c>
      <c r="AP123" s="19">
        <f>'D2C - Retail'!AW148+'D2C Online'!BN138</f>
        <v>10344146.445812579</v>
      </c>
      <c r="AQ123" s="19">
        <f>'D2C - Retail'!AX148+'D2C Online'!BO138</f>
        <v>10981107.765328668</v>
      </c>
      <c r="AR123" s="19">
        <f>'D2C - Retail'!AY148+'D2C Online'!BP138</f>
        <v>11644090.184742294</v>
      </c>
      <c r="AS123" s="19">
        <f>'D2C - Retail'!AZ148+'D2C Online'!BQ138</f>
        <v>11773559.170177527</v>
      </c>
      <c r="AT123" s="19">
        <f>'D2C - Retail'!BA148+'D2C Online'!BR138</f>
        <v>11421708.487206161</v>
      </c>
      <c r="AU123" s="19">
        <f>'D2C - Retail'!BB148+'D2C Online'!BS138</f>
        <v>10839129.358526237</v>
      </c>
      <c r="AV123" s="19">
        <f>'D2C - Retail'!BC148+'D2C Online'!BT138</f>
        <v>9027914.6149982102</v>
      </c>
      <c r="AW123" s="19">
        <f>'D2C - Retail'!BD148+'D2C Online'!BU138</f>
        <v>10132499.09830904</v>
      </c>
      <c r="AX123" s="19">
        <f>'D2C - Retail'!BE148+'D2C Online'!BV138</f>
        <v>8880319.1964908987</v>
      </c>
      <c r="AY123" s="19">
        <f>'D2C - Retail'!BF148+'D2C Online'!BW138</f>
        <v>9529709.6959139798</v>
      </c>
      <c r="AZ123" s="19">
        <f>'D2C - Retail'!BG148+'D2C Online'!BX138</f>
        <v>9625077.3155769203</v>
      </c>
      <c r="BA123" s="19">
        <f>'D2C - Retail'!BH148+'D2C Online'!BY138</f>
        <v>11751904.310293194</v>
      </c>
      <c r="BB123" s="19">
        <f>'D2C - Retail'!BI148+'D2C Online'!BZ138</f>
        <v>14382100.640911508</v>
      </c>
      <c r="BC123" s="19">
        <f>'D2C - Retail'!BJ148+'D2C Online'!CA138</f>
        <v>14903184.996862788</v>
      </c>
      <c r="BD123" s="19">
        <f>'D2C - Retail'!BK148+'D2C Online'!CB138</f>
        <v>14617552.034108916</v>
      </c>
      <c r="BE123" s="19">
        <f>'D2C - Retail'!BL148+'D2C Online'!CC138</f>
        <v>15357678.192965353</v>
      </c>
      <c r="BF123" s="19">
        <f>'D2C - Retail'!BM148+'D2C Online'!CD138</f>
        <v>15433012.969934035</v>
      </c>
      <c r="BG123" s="19">
        <f>'D2C - Retail'!BN148+'D2C Online'!CE138</f>
        <v>15808711.028742412</v>
      </c>
      <c r="BH123" s="19">
        <f>'D2C - Retail'!BO148+'D2C Online'!CF138</f>
        <v>14242626.323150994</v>
      </c>
      <c r="BI123" s="19">
        <f>'D2C - Retail'!BP148+'D2C Online'!CG138</f>
        <v>15354801.357587758</v>
      </c>
      <c r="BJ123" s="19">
        <f>'D2C - Retail'!BQ148+'D2C Online'!CH138</f>
        <v>15540106.492156141</v>
      </c>
      <c r="BK123" s="19">
        <f>'D2C - Retail'!BR148+'D2C Online'!CI138</f>
        <v>17052875.870618675</v>
      </c>
      <c r="BL123" s="19">
        <f>'D2C - Retail'!BS148+'D2C Online'!CJ138</f>
        <v>17380888.058862142</v>
      </c>
      <c r="BM123" s="19">
        <f>'D2C - Retail'!BT148+'D2C Online'!CK138</f>
        <v>17511051.144398268</v>
      </c>
      <c r="BN123" s="19">
        <f>'D2C - Retail'!BU148+'D2C Online'!CL138</f>
        <v>20494353.75020358</v>
      </c>
      <c r="BO123" s="19">
        <f>'D2C - Retail'!BV148+'D2C Online'!CM138</f>
        <v>20494353.75020358</v>
      </c>
      <c r="BP123" s="19">
        <f>'D2C - Retail'!BW148+'D2C Online'!CN138</f>
        <v>20494353.75020358</v>
      </c>
      <c r="BQ123" s="19">
        <f>'D2C - Retail'!BX148+'D2C Online'!CO138</f>
        <v>20494353.75020358</v>
      </c>
      <c r="BR123" s="19">
        <f>'D2C - Retail'!BY148+'D2C Online'!CP138</f>
        <v>20494353.75020358</v>
      </c>
      <c r="BS123" s="19">
        <f>'D2C - Retail'!BZ148+'D2C Online'!CQ138</f>
        <v>20494353.75020358</v>
      </c>
      <c r="BT123" s="19">
        <f>'D2C - Retail'!CA148+'D2C Online'!CR138</f>
        <v>20494353.75020358</v>
      </c>
      <c r="BU123" s="19">
        <f>'D2C - Retail'!CB148+'D2C Online'!CS138</f>
        <v>20494353.75020358</v>
      </c>
      <c r="BV123" s="19">
        <f>'D2C - Retail'!CC148+'D2C Online'!CT138</f>
        <v>20494353.75020358</v>
      </c>
      <c r="BW123" s="19">
        <f>'D2C - Retail'!CD148+'D2C Online'!CU138</f>
        <v>20494353.75020358</v>
      </c>
      <c r="BX123" s="19">
        <f>'D2C - Retail'!CE148+'D2C Online'!CV138</f>
        <v>20494353.75020358</v>
      </c>
      <c r="BY123" s="19">
        <f>'D2C - Retail'!CF148+'D2C Online'!CW138</f>
        <v>20494353.75020358</v>
      </c>
      <c r="BZ123" s="19">
        <f>'D2C - Retail'!CG148+'D2C Online'!CX138</f>
        <v>23043249.646760382</v>
      </c>
      <c r="CA123" s="19">
        <f>'D2C - Retail'!CH148+'D2C Online'!CY138</f>
        <v>23043249.646760382</v>
      </c>
      <c r="CB123" s="19">
        <f>'D2C - Retail'!CI148+'D2C Online'!CZ138</f>
        <v>23043249.646760382</v>
      </c>
      <c r="CC123" s="19">
        <f>'D2C - Retail'!CJ148+'D2C Online'!DA138</f>
        <v>23043249.646760382</v>
      </c>
      <c r="CD123" s="19">
        <f>'D2C - Retail'!CK148+'D2C Online'!DB138</f>
        <v>23043249.646760382</v>
      </c>
      <c r="CE123" s="19">
        <f>'D2C - Retail'!CL148+'D2C Online'!DC138</f>
        <v>23043249.646760382</v>
      </c>
      <c r="CF123" s="19">
        <f>'D2C - Retail'!CM148+'D2C Online'!DD138</f>
        <v>23043249.646760382</v>
      </c>
      <c r="CG123" s="19">
        <f>'D2C - Retail'!CN148+'D2C Online'!DE138</f>
        <v>23043249.646760382</v>
      </c>
      <c r="CH123" s="19">
        <f>'D2C - Retail'!CO148+'D2C Online'!DF138</f>
        <v>23043249.646760382</v>
      </c>
      <c r="CI123" s="19">
        <f>'D2C - Retail'!CP148+'D2C Online'!DG138</f>
        <v>23043249.646760382</v>
      </c>
      <c r="CJ123" s="19">
        <f>'D2C - Retail'!CQ148+'D2C Online'!DH138</f>
        <v>23043249.646760382</v>
      </c>
      <c r="CK123" s="19">
        <f>'D2C - Retail'!CR148+'D2C Online'!DI138</f>
        <v>23043249.646760382</v>
      </c>
      <c r="CL123" s="19">
        <f>'D2C - Retail'!CS148+'D2C Online'!DJ138</f>
        <v>25923830.218157273</v>
      </c>
      <c r="CM123" s="19">
        <f>'D2C - Retail'!CT148+'D2C Online'!DK138</f>
        <v>25923830.218157273</v>
      </c>
      <c r="CN123" s="19">
        <f>'D2C - Retail'!CU148+'D2C Online'!DL138</f>
        <v>25923830.218157273</v>
      </c>
      <c r="CO123" s="19">
        <f>'D2C - Retail'!CV148+'D2C Online'!DM138</f>
        <v>25923830.218157273</v>
      </c>
      <c r="CP123" s="19">
        <f>'D2C - Retail'!CW148+'D2C Online'!DN138</f>
        <v>25923830.218157273</v>
      </c>
      <c r="CQ123" s="19">
        <f>'D2C - Retail'!CX148+'D2C Online'!DO138</f>
        <v>25923830.218157273</v>
      </c>
      <c r="CR123" s="19">
        <f>'D2C - Retail'!CY148+'D2C Online'!DP138</f>
        <v>25923830.218157273</v>
      </c>
      <c r="CS123" s="19">
        <f>'D2C - Retail'!CZ148+'D2C Online'!DQ138</f>
        <v>25923830.218157273</v>
      </c>
      <c r="CT123" s="19">
        <f>'D2C - Retail'!DA148+'D2C Online'!DR138</f>
        <v>25923830.218157273</v>
      </c>
      <c r="CU123" s="19">
        <f>'D2C - Retail'!DB148+'D2C Online'!DS138</f>
        <v>25923830.218157273</v>
      </c>
      <c r="CV123" s="19">
        <f>'D2C - Retail'!DC148+'D2C Online'!DT138</f>
        <v>25923830.218157273</v>
      </c>
      <c r="CW123" s="19">
        <f>'D2C - Retail'!DD148+'D2C Online'!DU138</f>
        <v>25923830.218157273</v>
      </c>
      <c r="CY123" s="19">
        <f t="shared" si="456"/>
        <v>32395708.12283577</v>
      </c>
      <c r="CZ123" s="19">
        <f t="shared" si="457"/>
        <v>30953429.767362181</v>
      </c>
      <c r="DA123" s="19">
        <f t="shared" si="458"/>
        <v>29778464.832438231</v>
      </c>
      <c r="DB123" s="19">
        <f t="shared" si="459"/>
        <v>27957930.747425079</v>
      </c>
      <c r="DC123" s="19">
        <f t="shared" si="460"/>
        <v>32969344.395883542</v>
      </c>
      <c r="DD123" s="19">
        <f t="shared" si="461"/>
        <v>34034397.015909925</v>
      </c>
      <c r="DE123" s="19">
        <f t="shared" si="462"/>
        <v>28040732.909798149</v>
      </c>
      <c r="DF123" s="19">
        <f t="shared" si="463"/>
        <v>30906691.321784094</v>
      </c>
      <c r="DG123" s="19">
        <f t="shared" si="464"/>
        <v>43902837.671883211</v>
      </c>
      <c r="DH123" s="19">
        <f t="shared" si="465"/>
        <v>46599402.1916418</v>
      </c>
      <c r="DI123" s="19">
        <f t="shared" si="466"/>
        <v>45137534.172894895</v>
      </c>
      <c r="DJ123" s="19">
        <f t="shared" si="467"/>
        <v>51944815.073879093</v>
      </c>
      <c r="DK123" s="19">
        <f t="shared" si="468"/>
        <v>61483061.250610739</v>
      </c>
      <c r="DL123" s="19">
        <f t="shared" si="469"/>
        <v>61483061.250610739</v>
      </c>
      <c r="DM123" s="19">
        <f t="shared" si="470"/>
        <v>61483061.250610739</v>
      </c>
      <c r="DN123" s="19">
        <f t="shared" si="471"/>
        <v>61483061.250610739</v>
      </c>
      <c r="DO123" s="19">
        <f t="shared" si="472"/>
        <v>69129748.940281153</v>
      </c>
      <c r="DP123" s="19">
        <f t="shared" si="473"/>
        <v>69129748.940281153</v>
      </c>
      <c r="DQ123" s="19">
        <f t="shared" si="474"/>
        <v>69129748.940281153</v>
      </c>
      <c r="DR123" s="19">
        <f t="shared" si="475"/>
        <v>69129748.940281153</v>
      </c>
      <c r="DS123" s="19">
        <f t="shared" si="312"/>
        <v>77771490.654471815</v>
      </c>
      <c r="DT123" s="19">
        <f t="shared" si="313"/>
        <v>77771490.654471815</v>
      </c>
      <c r="DU123" s="19">
        <f t="shared" si="314"/>
        <v>77771490.654471815</v>
      </c>
      <c r="DV123" s="19">
        <f t="shared" si="315"/>
        <v>77771490.654471815</v>
      </c>
      <c r="DX123" s="19">
        <f t="shared" si="476"/>
        <v>121085533.47006126</v>
      </c>
      <c r="DY123" s="19">
        <f t="shared" si="477"/>
        <v>125951165.64337571</v>
      </c>
      <c r="DZ123" s="19">
        <f t="shared" si="478"/>
        <v>187584589.11029899</v>
      </c>
      <c r="EA123" s="19">
        <f t="shared" si="479"/>
        <v>245932245.00244296</v>
      </c>
      <c r="EB123" s="19">
        <f t="shared" si="480"/>
        <v>276518995.76112461</v>
      </c>
      <c r="EC123" s="770">
        <f t="shared" si="316"/>
        <v>311085962.61788726</v>
      </c>
    </row>
    <row r="124" spans="2:133" x14ac:dyDescent="0.2">
      <c r="B124" s="167" t="s">
        <v>189</v>
      </c>
      <c r="C124" s="19">
        <f>'D2C - Retail'!J151</f>
        <v>1534675.82</v>
      </c>
      <c r="D124" s="19">
        <f>'D2C - Retail'!K151</f>
        <v>1449642</v>
      </c>
      <c r="E124" s="19">
        <f>'D2C - Retail'!L151</f>
        <v>2104422.0699999998</v>
      </c>
      <c r="F124" s="19">
        <f>'D2C - Retail'!M151</f>
        <v>2090055</v>
      </c>
      <c r="G124" s="19">
        <f>'D2C - Retail'!N151</f>
        <v>1898300</v>
      </c>
      <c r="H124" s="19">
        <f>'D2C - Retail'!O151</f>
        <v>2127842</v>
      </c>
      <c r="I124" s="19">
        <f>'D2C - Retail'!P151</f>
        <v>2121334</v>
      </c>
      <c r="J124" s="19">
        <f>'D2C - Retail'!Q151</f>
        <v>2330597</v>
      </c>
      <c r="K124" s="19">
        <f>'D2C - Retail'!R151</f>
        <v>2685435</v>
      </c>
      <c r="L124" s="19">
        <f>'D2C - Retail'!S151</f>
        <v>3237564</v>
      </c>
      <c r="M124" s="19">
        <f>'D2C - Retail'!T151</f>
        <v>3472983</v>
      </c>
      <c r="N124" s="19">
        <f>'D2C - Retail'!U151</f>
        <v>4120268</v>
      </c>
      <c r="O124" s="19">
        <f>'D2C - Retail'!V151</f>
        <v>4086677</v>
      </c>
      <c r="P124" s="19">
        <f>'D2C - Retail'!W151</f>
        <v>4095051</v>
      </c>
      <c r="Q124" s="19">
        <f>'D2C - Retail'!X151</f>
        <v>4370421.5999999996</v>
      </c>
      <c r="R124" s="19">
        <f>'D2C - Retail'!Y151</f>
        <v>5137842</v>
      </c>
      <c r="S124" s="19">
        <f>'D2C - Retail'!Z151</f>
        <v>6868017.5999999996</v>
      </c>
      <c r="T124" s="19">
        <f>'D2C - Retail'!AA151</f>
        <v>7524546</v>
      </c>
      <c r="U124" s="19">
        <f>'D2C - Retail'!AB151</f>
        <v>7603693.8399999999</v>
      </c>
      <c r="V124" s="19">
        <f>'D2C - Retail'!AC151</f>
        <v>8243800.7400000002</v>
      </c>
      <c r="W124" s="19">
        <f>'D2C - Retail'!AD151</f>
        <v>9358654.5800000001</v>
      </c>
      <c r="X124" s="19">
        <f>'D2C - Retail'!AE151</f>
        <v>9162073</v>
      </c>
      <c r="Y124" s="19">
        <f>'D2C - Retail'!AF151</f>
        <v>11375135</v>
      </c>
      <c r="Z124" s="19">
        <f>'D2C - Retail'!AG151</f>
        <v>11511652</v>
      </c>
      <c r="AA124" s="19">
        <f>'D2C - Retail'!AH151</f>
        <v>12268574</v>
      </c>
      <c r="AB124" s="19">
        <f>'D2C - Retail'!AI151</f>
        <v>11336802.5</v>
      </c>
      <c r="AC124" s="19">
        <f>'D2C - Retail'!AJ151</f>
        <v>12175187</v>
      </c>
      <c r="AD124" s="19">
        <f>'D2C - Retail'!AK151</f>
        <v>9727985.6500000004</v>
      </c>
      <c r="AE124" s="19">
        <f>'D2C - Retail'!AL151</f>
        <v>9727363.6794999987</v>
      </c>
      <c r="AF124" s="19">
        <f>'D2C - Retail'!AM151</f>
        <v>10040459.25</v>
      </c>
      <c r="AG124" s="19">
        <f>'D2C - Retail'!AN151</f>
        <v>10055240.9285</v>
      </c>
      <c r="AH124" s="19">
        <f>'D2C - Retail'!AO151</f>
        <v>10157488.1</v>
      </c>
      <c r="AI124" s="19">
        <f>'D2C - Retail'!AP151</f>
        <v>10275811.398</v>
      </c>
      <c r="AJ124" s="19">
        <f>'D2C - Retail'!AQ151</f>
        <v>10306887.67</v>
      </c>
      <c r="AK124" s="19">
        <f>'D2C - Retail'!AR151</f>
        <v>11189288.718</v>
      </c>
      <c r="AL124" s="19">
        <f>'D2C - Retail'!AS151</f>
        <v>11618352.3895</v>
      </c>
      <c r="AM124" s="19">
        <f>'D2C - Retail'!AT151</f>
        <v>12617270.800000001</v>
      </c>
      <c r="AN124" s="19">
        <f>'D2C - Retail'!AU151</f>
        <v>10273682.114</v>
      </c>
      <c r="AO124" s="19">
        <f>'D2C - Retail'!AV151</f>
        <v>10875911.5</v>
      </c>
      <c r="AP124" s="19">
        <f>'D2C - Retail'!AW151</f>
        <v>10325357.15</v>
      </c>
      <c r="AQ124" s="19">
        <f>'D2C - Retail'!AX151</f>
        <v>10753704.517999999</v>
      </c>
      <c r="AR124" s="19">
        <f>'D2C - Retail'!AY151</f>
        <v>9961881.3910000008</v>
      </c>
      <c r="AS124" s="19">
        <f>'D2C - Retail'!AZ151</f>
        <v>10079878.85</v>
      </c>
      <c r="AT124" s="19">
        <f>'D2C - Retail'!BA151</f>
        <v>10389011.1</v>
      </c>
      <c r="AU124" s="19">
        <f>'D2C - Retail'!BB151</f>
        <v>10615291.300000001</v>
      </c>
      <c r="AV124" s="19">
        <f>'D2C - Retail'!BC151</f>
        <v>10810704</v>
      </c>
      <c r="AW124" s="19">
        <f>'D2C - Retail'!BD151</f>
        <v>8840074.2635499313</v>
      </c>
      <c r="AX124" s="19">
        <f>'D2C - Retail'!BE151</f>
        <v>11265319</v>
      </c>
      <c r="AY124" s="19">
        <f>'D2C - Retail'!BF151</f>
        <v>10743701</v>
      </c>
      <c r="AZ124" s="19">
        <f>'D2C - Retail'!BG151</f>
        <v>10786985</v>
      </c>
      <c r="BA124" s="19">
        <f>'D2C - Retail'!BH151</f>
        <v>10043565.284698535</v>
      </c>
      <c r="BB124" s="19">
        <f>'D2C - Retail'!BI151</f>
        <v>11071519.567800019</v>
      </c>
      <c r="BC124" s="19">
        <f>'D2C - Retail'!BJ151</f>
        <v>10932260.879650019</v>
      </c>
      <c r="BD124" s="19">
        <f>'D2C - Retail'!BK151</f>
        <v>12794636.603250036</v>
      </c>
      <c r="BE124" s="19">
        <f>'D2C - Retail'!BL151</f>
        <v>14129687.715900028</v>
      </c>
      <c r="BF124" s="19">
        <f>'D2C - Retail'!BM151</f>
        <v>14876627.083740072</v>
      </c>
      <c r="BG124" s="19">
        <f>'D2C - Retail'!BN151</f>
        <v>16106000.562449932</v>
      </c>
      <c r="BH124" s="19">
        <f>'D2C - Retail'!BO151</f>
        <v>18370098.970437493</v>
      </c>
      <c r="BI124" s="19">
        <f>'D2C - Retail'!BP151</f>
        <v>15880469.65130003</v>
      </c>
      <c r="BJ124" s="19">
        <f>'D2C - Retail'!BQ151</f>
        <v>19203842.922494955</v>
      </c>
      <c r="BK124" s="19">
        <f>'D2C - Retail'!BR151</f>
        <v>18606359.86595504</v>
      </c>
      <c r="BL124" s="19">
        <f>'D2C - Retail'!BS151</f>
        <v>17427483.266800035</v>
      </c>
      <c r="BM124" s="19">
        <f>'D2C - Retail'!BT151</f>
        <v>18814496.9323075</v>
      </c>
      <c r="BN124" s="19">
        <f>'D2C - Retail'!BU151</f>
        <v>16468679.851932451</v>
      </c>
      <c r="BO124" s="19">
        <f>'D2C - Retail'!BV151</f>
        <v>16468679.851932451</v>
      </c>
      <c r="BP124" s="19">
        <f>'D2C - Retail'!BW151</f>
        <v>16468679.851932451</v>
      </c>
      <c r="BQ124" s="19">
        <f>'D2C - Retail'!BX151</f>
        <v>16468679.851932451</v>
      </c>
      <c r="BR124" s="19">
        <f>'D2C - Retail'!BY151</f>
        <v>16468679.851932451</v>
      </c>
      <c r="BS124" s="19">
        <f>'D2C - Retail'!BZ151</f>
        <v>16468679.851932451</v>
      </c>
      <c r="BT124" s="19">
        <f>'D2C - Retail'!CA151</f>
        <v>16468679.851932451</v>
      </c>
      <c r="BU124" s="19">
        <f>'D2C - Retail'!CB151</f>
        <v>16468679.851932451</v>
      </c>
      <c r="BV124" s="19">
        <f>'D2C - Retail'!CC151</f>
        <v>16468679.851932451</v>
      </c>
      <c r="BW124" s="19">
        <f>'D2C - Retail'!CD151</f>
        <v>16468679.851932451</v>
      </c>
      <c r="BX124" s="19">
        <f>'D2C - Retail'!CE151</f>
        <v>16468679.851932451</v>
      </c>
      <c r="BY124" s="19">
        <f>'D2C - Retail'!CF151</f>
        <v>16468679.851932451</v>
      </c>
      <c r="BZ124" s="19">
        <f>'D2C - Retail'!CG151</f>
        <v>17292113.844529074</v>
      </c>
      <c r="CA124" s="19">
        <f>'D2C - Retail'!CH151</f>
        <v>17292113.844529074</v>
      </c>
      <c r="CB124" s="19">
        <f>'D2C - Retail'!CI151</f>
        <v>17292113.844529074</v>
      </c>
      <c r="CC124" s="19">
        <f>'D2C - Retail'!CJ151</f>
        <v>17292113.844529074</v>
      </c>
      <c r="CD124" s="19">
        <f>'D2C - Retail'!CK151</f>
        <v>17292113.844529074</v>
      </c>
      <c r="CE124" s="19">
        <f>'D2C - Retail'!CL151</f>
        <v>17292113.844529074</v>
      </c>
      <c r="CF124" s="19">
        <f>'D2C - Retail'!CM151</f>
        <v>17292113.844529074</v>
      </c>
      <c r="CG124" s="19">
        <f>'D2C - Retail'!CN151</f>
        <v>17292113.844529074</v>
      </c>
      <c r="CH124" s="19">
        <f>'D2C - Retail'!CO151</f>
        <v>17292113.844529074</v>
      </c>
      <c r="CI124" s="19">
        <f>'D2C - Retail'!CP151</f>
        <v>17292113.844529074</v>
      </c>
      <c r="CJ124" s="19">
        <f>'D2C - Retail'!CQ151</f>
        <v>17292113.844529074</v>
      </c>
      <c r="CK124" s="19">
        <f>'D2C - Retail'!CR151</f>
        <v>17292113.844529074</v>
      </c>
      <c r="CL124" s="19">
        <f>'D2C - Retail'!CS151</f>
        <v>18156719.536755528</v>
      </c>
      <c r="CM124" s="19">
        <f>'D2C - Retail'!CT151</f>
        <v>18156719.536755528</v>
      </c>
      <c r="CN124" s="19">
        <f>'D2C - Retail'!CU151</f>
        <v>18156719.536755528</v>
      </c>
      <c r="CO124" s="19">
        <f>'D2C - Retail'!CV151</f>
        <v>18156719.536755528</v>
      </c>
      <c r="CP124" s="19">
        <f>'D2C - Retail'!CW151</f>
        <v>18156719.536755528</v>
      </c>
      <c r="CQ124" s="19">
        <f>'D2C - Retail'!CX151</f>
        <v>18156719.536755528</v>
      </c>
      <c r="CR124" s="19">
        <f>'D2C - Retail'!CY151</f>
        <v>18156719.536755528</v>
      </c>
      <c r="CS124" s="19">
        <f>'D2C - Retail'!CZ151</f>
        <v>18156719.536755528</v>
      </c>
      <c r="CT124" s="19">
        <f>'D2C - Retail'!DA151</f>
        <v>18156719.536755528</v>
      </c>
      <c r="CU124" s="19">
        <f>'D2C - Retail'!DB151</f>
        <v>18156719.536755528</v>
      </c>
      <c r="CV124" s="19">
        <f>'D2C - Retail'!DC151</f>
        <v>18156719.536755528</v>
      </c>
      <c r="CW124" s="19">
        <f>'D2C - Retail'!DD151</f>
        <v>18156719.536755528</v>
      </c>
      <c r="CY124" s="19">
        <f t="shared" si="456"/>
        <v>29495808.579499997</v>
      </c>
      <c r="CZ124" s="19">
        <f t="shared" si="457"/>
        <v>30488540.4265</v>
      </c>
      <c r="DA124" s="19">
        <f t="shared" si="458"/>
        <v>33114528.7775</v>
      </c>
      <c r="DB124" s="19">
        <f t="shared" si="459"/>
        <v>33766864.414000005</v>
      </c>
      <c r="DC124" s="19">
        <f t="shared" si="460"/>
        <v>31040943.059</v>
      </c>
      <c r="DD124" s="19">
        <f t="shared" si="461"/>
        <v>31084181.25</v>
      </c>
      <c r="DE124" s="19">
        <f t="shared" si="462"/>
        <v>30916097.263549931</v>
      </c>
      <c r="DF124" s="19">
        <f t="shared" si="463"/>
        <v>31574251.284698535</v>
      </c>
      <c r="DG124" s="19">
        <f t="shared" si="464"/>
        <v>34798417.050700076</v>
      </c>
      <c r="DH124" s="19">
        <f t="shared" si="465"/>
        <v>45112315.362090036</v>
      </c>
      <c r="DI124" s="19">
        <f t="shared" si="466"/>
        <v>53454411.54423248</v>
      </c>
      <c r="DJ124" s="19">
        <f t="shared" si="467"/>
        <v>54848340.065062568</v>
      </c>
      <c r="DK124" s="19">
        <f t="shared" si="468"/>
        <v>49406039.555797353</v>
      </c>
      <c r="DL124" s="19">
        <f t="shared" si="469"/>
        <v>49406039.555797353</v>
      </c>
      <c r="DM124" s="19">
        <f t="shared" si="470"/>
        <v>49406039.555797353</v>
      </c>
      <c r="DN124" s="19">
        <f t="shared" si="471"/>
        <v>49406039.555797353</v>
      </c>
      <c r="DO124" s="19">
        <f t="shared" si="472"/>
        <v>51876341.533587217</v>
      </c>
      <c r="DP124" s="19">
        <f t="shared" si="473"/>
        <v>51876341.533587217</v>
      </c>
      <c r="DQ124" s="19">
        <f t="shared" si="474"/>
        <v>51876341.533587217</v>
      </c>
      <c r="DR124" s="19">
        <f t="shared" si="475"/>
        <v>51876341.533587217</v>
      </c>
      <c r="DS124" s="19">
        <f t="shared" si="312"/>
        <v>54470158.610266581</v>
      </c>
      <c r="DT124" s="19">
        <f t="shared" si="313"/>
        <v>54470158.610266581</v>
      </c>
      <c r="DU124" s="19">
        <f t="shared" si="314"/>
        <v>54470158.610266581</v>
      </c>
      <c r="DV124" s="19">
        <f t="shared" si="315"/>
        <v>54470158.610266581</v>
      </c>
      <c r="DX124" s="19">
        <f t="shared" si="476"/>
        <v>126865742.19750001</v>
      </c>
      <c r="DY124" s="19">
        <f t="shared" si="477"/>
        <v>124615472.85724847</v>
      </c>
      <c r="DZ124" s="19">
        <f t="shared" si="478"/>
        <v>188213484.02208519</v>
      </c>
      <c r="EA124" s="19">
        <f t="shared" si="479"/>
        <v>197624158.22318941</v>
      </c>
      <c r="EB124" s="19">
        <f t="shared" si="480"/>
        <v>207505366.13434887</v>
      </c>
      <c r="EC124" s="770">
        <f t="shared" si="316"/>
        <v>217880634.44106632</v>
      </c>
    </row>
    <row r="125" spans="2:133" x14ac:dyDescent="0.2">
      <c r="B125" s="167" t="s">
        <v>152</v>
      </c>
      <c r="C125" s="19">
        <f>'D2C - Retail'!J152+'D2C Online'!AA139</f>
        <v>100575.43856332704</v>
      </c>
      <c r="D125" s="19">
        <f>'D2C - Retail'!K152+'D2C Online'!AB139</f>
        <v>87202.640981093515</v>
      </c>
      <c r="E125" s="19">
        <f>'D2C - Retail'!L152+'D2C Online'!AC139</f>
        <v>100580.87325938164</v>
      </c>
      <c r="F125" s="19">
        <f>'D2C - Retail'!M152+'D2C Online'!AD139</f>
        <v>103061.75270327201</v>
      </c>
      <c r="G125" s="19">
        <f>'D2C - Retail'!N152+'D2C Online'!AE139</f>
        <v>65776.428756771362</v>
      </c>
      <c r="H125" s="19">
        <f>'D2C - Retail'!O152+'D2C Online'!AF139</f>
        <v>75140.502357635109</v>
      </c>
      <c r="I125" s="19">
        <f>'D2C - Retail'!P152+'D2C Online'!AG139</f>
        <v>260050.65879110061</v>
      </c>
      <c r="J125" s="19">
        <f>'D2C - Retail'!Q152+'D2C Online'!AH139</f>
        <v>265421.82137834036</v>
      </c>
      <c r="K125" s="19">
        <f>'D2C - Retail'!R152+'D2C Online'!AI139</f>
        <v>230659.53424632674</v>
      </c>
      <c r="L125" s="19">
        <f>'D2C - Retail'!S152+'D2C Online'!AJ139</f>
        <v>617271.69267421076</v>
      </c>
      <c r="M125" s="19">
        <f>'D2C - Retail'!T152+'D2C Online'!AK139</f>
        <v>563052.59803589573</v>
      </c>
      <c r="N125" s="19">
        <f>'D2C - Retail'!U152+'D2C Online'!AL139</f>
        <v>443864.70547234168</v>
      </c>
      <c r="O125" s="19">
        <f>'D2C - Retail'!V152+'D2C Online'!AM139</f>
        <v>575221.86126418156</v>
      </c>
      <c r="P125" s="19">
        <f>'D2C - Retail'!W152+'D2C Online'!AN139</f>
        <v>584803.38864928449</v>
      </c>
      <c r="Q125" s="19">
        <f>'D2C - Retail'!X152+'D2C Online'!AO139</f>
        <v>375430.56655370421</v>
      </c>
      <c r="R125" s="19">
        <f>'D2C - Retail'!Y152+'D2C Online'!AP139</f>
        <v>376339.67850308312</v>
      </c>
      <c r="S125" s="19">
        <f>'D2C - Retail'!Z152+'D2C Online'!AQ139</f>
        <v>1078467.1408207947</v>
      </c>
      <c r="T125" s="19">
        <f>'D2C - Retail'!AA152+'D2C Online'!AR139</f>
        <v>1069740.7241952557</v>
      </c>
      <c r="U125" s="19">
        <f>'D2C - Retail'!AB152+'D2C Online'!AS139</f>
        <v>1273434.7811350257</v>
      </c>
      <c r="V125" s="19">
        <f>'D2C - Retail'!AC152+'D2C Online'!AT139</f>
        <v>1370510.376874313</v>
      </c>
      <c r="W125" s="19">
        <f>'D2C - Retail'!AD152+'D2C Online'!AU139</f>
        <v>1814976.8796051606</v>
      </c>
      <c r="X125" s="19">
        <f>'D2C - Retail'!AE152+'D2C Online'!AV139</f>
        <v>1762285.8664745239</v>
      </c>
      <c r="Y125" s="19">
        <f>'D2C - Retail'!AF152+'D2C Online'!AW139</f>
        <v>924725.76227275562</v>
      </c>
      <c r="Z125" s="19">
        <f>'D2C - Retail'!AG152+'D2C Online'!AX139</f>
        <v>843656.29150822759</v>
      </c>
      <c r="AA125" s="19">
        <f>'D2C - Retail'!AH152+'D2C Online'!AY139</f>
        <v>895700.9481143119</v>
      </c>
      <c r="AB125" s="19">
        <f>'D2C - Retail'!AI152+'D2C Online'!AZ139</f>
        <v>1054326.5914228386</v>
      </c>
      <c r="AC125" s="19">
        <f>'D2C - Retail'!AJ152+'D2C Online'!BA139</f>
        <v>991241.97226933774</v>
      </c>
      <c r="AD125" s="19">
        <f>'D2C - Retail'!AK152+'D2C Online'!BB139</f>
        <v>1886246.3043461964</v>
      </c>
      <c r="AE125" s="19">
        <f>'D2C - Retail'!AL152+'D2C Online'!BC139</f>
        <v>1833575.7601034092</v>
      </c>
      <c r="AF125" s="19">
        <f>'D2C - Retail'!AM152+'D2C Online'!BD139</f>
        <v>1700599.8491029188</v>
      </c>
      <c r="AG125" s="19">
        <f>'D2C - Retail'!AN152+'D2C Online'!BE139</f>
        <v>1882660.3177757431</v>
      </c>
      <c r="AH125" s="19">
        <f>'D2C - Retail'!AO152+'D2C Online'!BF139</f>
        <v>2009765.7327930171</v>
      </c>
      <c r="AI125" s="19">
        <f>'D2C - Retail'!AP152+'D2C Online'!BG139</f>
        <v>1790757.2994911559</v>
      </c>
      <c r="AJ125" s="19">
        <f>'D2C - Retail'!AQ152+'D2C Online'!BH139</f>
        <v>2080699.4544735481</v>
      </c>
      <c r="AK125" s="19">
        <f>'D2C - Retail'!AR152+'D2C Online'!BI139</f>
        <v>2014429.9448120869</v>
      </c>
      <c r="AL125" s="19">
        <f>'D2C - Retail'!AS152+'D2C Online'!BJ139</f>
        <v>2194873.3922429858</v>
      </c>
      <c r="AM125" s="19">
        <f>'D2C - Retail'!AT152+'D2C Online'!BK139</f>
        <v>2146146.845110937</v>
      </c>
      <c r="AN125" s="19">
        <f>'D2C - Retail'!AU152+'D2C Online'!BL139</f>
        <v>2039102.2561614646</v>
      </c>
      <c r="AO125" s="19">
        <f>'D2C - Retail'!AV152+'D2C Online'!BM139</f>
        <v>2063355.7610430326</v>
      </c>
      <c r="AP125" s="19">
        <f>'D2C - Retail'!AW152+'D2C Online'!BN139</f>
        <v>2126612.0716057294</v>
      </c>
      <c r="AQ125" s="19">
        <f>'D2C - Retail'!AX152+'D2C Online'!BO139</f>
        <v>2124414.2187563516</v>
      </c>
      <c r="AR125" s="19">
        <f>'D2C - Retail'!AY152+'D2C Online'!BP139</f>
        <v>2195350.2846812569</v>
      </c>
      <c r="AS125" s="19">
        <f>'D2C - Retail'!AZ152+'D2C Online'!BQ139</f>
        <v>2169027.6017505592</v>
      </c>
      <c r="AT125" s="19">
        <f>'D2C - Retail'!BA152+'D2C Online'!BR139</f>
        <v>2117919.9417659962</v>
      </c>
      <c r="AU125" s="19">
        <f>'D2C - Retail'!BB152+'D2C Online'!BS139</f>
        <v>2176877.0851302263</v>
      </c>
      <c r="AV125" s="19">
        <f>'D2C - Retail'!BC152+'D2C Online'!BT139</f>
        <v>2250785.269250928</v>
      </c>
      <c r="AW125" s="19">
        <f>'D2C - Retail'!BD152+'D2C Online'!BU139</f>
        <v>2356757.5473573375</v>
      </c>
      <c r="AX125" s="19">
        <f>'D2C - Retail'!BE152+'D2C Online'!BV139</f>
        <v>2363654.5791914919</v>
      </c>
      <c r="AY125" s="19">
        <f>'D2C - Retail'!BF152+'D2C Online'!BW139</f>
        <v>2322176.562730697</v>
      </c>
      <c r="AZ125" s="19">
        <f>'D2C - Retail'!BG152+'D2C Online'!BX139</f>
        <v>2437629.791662287</v>
      </c>
      <c r="BA125" s="19">
        <f>'D2C - Retail'!BH152+'D2C Online'!BY139</f>
        <v>2554271.2354343939</v>
      </c>
      <c r="BB125" s="19">
        <f>'D2C - Retail'!BI152+'D2C Online'!BZ139</f>
        <v>2501061.8356437813</v>
      </c>
      <c r="BC125" s="19">
        <f>'D2C - Retail'!BJ152+'D2C Online'!CA139</f>
        <v>3276365.3163396167</v>
      </c>
      <c r="BD125" s="19">
        <f>'D2C - Retail'!BK152+'D2C Online'!CB139</f>
        <v>4140714.3787278607</v>
      </c>
      <c r="BE125" s="19">
        <f>'D2C - Retail'!BL152+'D2C Online'!CC139</f>
        <v>4968390.2292234506</v>
      </c>
      <c r="BF125" s="19">
        <f>'D2C - Retail'!BM152+'D2C Online'!CD139</f>
        <v>4601026.8987068702</v>
      </c>
      <c r="BG125" s="19">
        <f>'D2C - Retail'!BN152+'D2C Online'!CE139</f>
        <v>4416278.081313665</v>
      </c>
      <c r="BH125" s="19">
        <f>'D2C - Retail'!BO152+'D2C Online'!CF139</f>
        <v>4400317.556584971</v>
      </c>
      <c r="BI125" s="19">
        <f>'D2C - Retail'!BP152+'D2C Online'!CG139</f>
        <v>4294684.6914952854</v>
      </c>
      <c r="BJ125" s="19">
        <f>'D2C - Retail'!BQ152+'D2C Online'!CH139</f>
        <v>4331752.1233869921</v>
      </c>
      <c r="BK125" s="19">
        <f>'D2C - Retail'!BR152+'D2C Online'!CI139</f>
        <v>3888917.2178691411</v>
      </c>
      <c r="BL125" s="19">
        <f>'D2C - Retail'!BS152+'D2C Online'!CJ139</f>
        <v>3405826.8575907671</v>
      </c>
      <c r="BM125" s="19">
        <f>'D2C - Retail'!BT152+'D2C Online'!CK139</f>
        <v>3220193.9435393885</v>
      </c>
      <c r="BN125" s="19">
        <f>'D2C - Retail'!BU152+'D2C Online'!CL139</f>
        <v>4151483.7989119068</v>
      </c>
      <c r="BO125" s="19">
        <f>'D2C - Retail'!BV152+'D2C Online'!CM139</f>
        <v>4151483.7989119068</v>
      </c>
      <c r="BP125" s="19">
        <f>'D2C - Retail'!BW152+'D2C Online'!CN139</f>
        <v>4151483.7989119068</v>
      </c>
      <c r="BQ125" s="19">
        <f>'D2C - Retail'!BX152+'D2C Online'!CO139</f>
        <v>4151483.7989119068</v>
      </c>
      <c r="BR125" s="19">
        <f>'D2C - Retail'!BY152+'D2C Online'!CP139</f>
        <v>4151483.7989119068</v>
      </c>
      <c r="BS125" s="19">
        <f>'D2C - Retail'!BZ152+'D2C Online'!CQ139</f>
        <v>4151483.7989119068</v>
      </c>
      <c r="BT125" s="19">
        <f>'D2C - Retail'!CA152+'D2C Online'!CR139</f>
        <v>4151483.7989119068</v>
      </c>
      <c r="BU125" s="19">
        <f>'D2C - Retail'!CB152+'D2C Online'!CS139</f>
        <v>4151483.7989119068</v>
      </c>
      <c r="BV125" s="19">
        <f>'D2C - Retail'!CC152+'D2C Online'!CT139</f>
        <v>4151483.7989119068</v>
      </c>
      <c r="BW125" s="19">
        <f>'D2C - Retail'!CD152+'D2C Online'!CU139</f>
        <v>4151483.7989119068</v>
      </c>
      <c r="BX125" s="19">
        <f>'D2C - Retail'!CE152+'D2C Online'!CV139</f>
        <v>4151483.7989119068</v>
      </c>
      <c r="BY125" s="19">
        <f>'D2C - Retail'!CF152+'D2C Online'!CW139</f>
        <v>4151483.7989119068</v>
      </c>
      <c r="BZ125" s="19">
        <f>'D2C - Retail'!CG152+'D2C Online'!CX139</f>
        <v>4359057.9888575021</v>
      </c>
      <c r="CA125" s="19">
        <f>'D2C - Retail'!CH152+'D2C Online'!CY139</f>
        <v>4359057.9888575021</v>
      </c>
      <c r="CB125" s="19">
        <f>'D2C - Retail'!CI152+'D2C Online'!CZ139</f>
        <v>4359057.9888575021</v>
      </c>
      <c r="CC125" s="19">
        <f>'D2C - Retail'!CJ152+'D2C Online'!DA139</f>
        <v>4359057.9888575021</v>
      </c>
      <c r="CD125" s="19">
        <f>'D2C - Retail'!CK152+'D2C Online'!DB139</f>
        <v>4359057.9888575021</v>
      </c>
      <c r="CE125" s="19">
        <f>'D2C - Retail'!CL152+'D2C Online'!DC139</f>
        <v>4359057.9888575021</v>
      </c>
      <c r="CF125" s="19">
        <f>'D2C - Retail'!CM152+'D2C Online'!DD139</f>
        <v>4359057.9888575021</v>
      </c>
      <c r="CG125" s="19">
        <f>'D2C - Retail'!CN152+'D2C Online'!DE139</f>
        <v>4359057.9888575021</v>
      </c>
      <c r="CH125" s="19">
        <f>'D2C - Retail'!CO152+'D2C Online'!DF139</f>
        <v>4359057.9888575021</v>
      </c>
      <c r="CI125" s="19">
        <f>'D2C - Retail'!CP152+'D2C Online'!DG139</f>
        <v>4359057.9888575021</v>
      </c>
      <c r="CJ125" s="19">
        <f>'D2C - Retail'!CQ152+'D2C Online'!DH139</f>
        <v>4359057.9888575021</v>
      </c>
      <c r="CK125" s="19">
        <f>'D2C - Retail'!CR152+'D2C Online'!DI139</f>
        <v>4359057.9888575021</v>
      </c>
      <c r="CL125" s="19">
        <f>'D2C - Retail'!CS152+'D2C Online'!DJ139</f>
        <v>4577010.8883003779</v>
      </c>
      <c r="CM125" s="19">
        <f>'D2C - Retail'!CT152+'D2C Online'!DK139</f>
        <v>4577010.8883003779</v>
      </c>
      <c r="CN125" s="19">
        <f>'D2C - Retail'!CU152+'D2C Online'!DL139</f>
        <v>4577010.8883003779</v>
      </c>
      <c r="CO125" s="19">
        <f>'D2C - Retail'!CV152+'D2C Online'!DM139</f>
        <v>4577010.8883003779</v>
      </c>
      <c r="CP125" s="19">
        <f>'D2C - Retail'!CW152+'D2C Online'!DN139</f>
        <v>4577010.8883003779</v>
      </c>
      <c r="CQ125" s="19">
        <f>'D2C - Retail'!CX152+'D2C Online'!DO139</f>
        <v>4577010.8883003779</v>
      </c>
      <c r="CR125" s="19">
        <f>'D2C - Retail'!CY152+'D2C Online'!DP139</f>
        <v>4577010.8883003779</v>
      </c>
      <c r="CS125" s="19">
        <f>'D2C - Retail'!CZ152+'D2C Online'!DQ139</f>
        <v>4577010.8883003779</v>
      </c>
      <c r="CT125" s="19">
        <f>'D2C - Retail'!DA152+'D2C Online'!DR139</f>
        <v>4577010.8883003779</v>
      </c>
      <c r="CU125" s="19">
        <f>'D2C - Retail'!DB152+'D2C Online'!DS139</f>
        <v>4577010.8883003779</v>
      </c>
      <c r="CV125" s="19">
        <f>'D2C - Retail'!DC152+'D2C Online'!DT139</f>
        <v>4577010.8883003779</v>
      </c>
      <c r="CW125" s="19">
        <f>'D2C - Retail'!DD152+'D2C Online'!DU139</f>
        <v>4577010.8883003779</v>
      </c>
      <c r="CY125" s="19">
        <f t="shared" si="456"/>
        <v>5420421.9135525245</v>
      </c>
      <c r="CZ125" s="19">
        <f t="shared" si="457"/>
        <v>5683183.3500599163</v>
      </c>
      <c r="DA125" s="19">
        <f t="shared" si="458"/>
        <v>6290002.7915286208</v>
      </c>
      <c r="DB125" s="19">
        <f t="shared" si="459"/>
        <v>6248604.862315434</v>
      </c>
      <c r="DC125" s="19">
        <f t="shared" si="460"/>
        <v>6446376.5750433374</v>
      </c>
      <c r="DD125" s="19">
        <f t="shared" si="461"/>
        <v>6463824.6286467817</v>
      </c>
      <c r="DE125" s="19">
        <f t="shared" si="462"/>
        <v>6971197.395799757</v>
      </c>
      <c r="DF125" s="19">
        <f t="shared" si="463"/>
        <v>7314077.5898273773</v>
      </c>
      <c r="DG125" s="19">
        <f t="shared" si="464"/>
        <v>9918141.5307112597</v>
      </c>
      <c r="DH125" s="19">
        <f t="shared" si="465"/>
        <v>13985695.209243987</v>
      </c>
      <c r="DI125" s="19">
        <f t="shared" si="466"/>
        <v>13026754.371467249</v>
      </c>
      <c r="DJ125" s="19">
        <f t="shared" si="467"/>
        <v>10514938.018999297</v>
      </c>
      <c r="DK125" s="19">
        <f t="shared" si="468"/>
        <v>12454451.39673572</v>
      </c>
      <c r="DL125" s="19">
        <f t="shared" si="469"/>
        <v>12454451.39673572</v>
      </c>
      <c r="DM125" s="19">
        <f t="shared" si="470"/>
        <v>12454451.39673572</v>
      </c>
      <c r="DN125" s="19">
        <f t="shared" si="471"/>
        <v>12454451.39673572</v>
      </c>
      <c r="DO125" s="19">
        <f t="shared" si="472"/>
        <v>13077173.966572506</v>
      </c>
      <c r="DP125" s="19">
        <f t="shared" si="473"/>
        <v>13077173.966572506</v>
      </c>
      <c r="DQ125" s="19">
        <f t="shared" si="474"/>
        <v>13077173.966572506</v>
      </c>
      <c r="DR125" s="19">
        <f t="shared" si="475"/>
        <v>13077173.966572506</v>
      </c>
      <c r="DS125" s="19">
        <f t="shared" si="312"/>
        <v>13731032.664901134</v>
      </c>
      <c r="DT125" s="19">
        <f t="shared" si="313"/>
        <v>13731032.664901134</v>
      </c>
      <c r="DU125" s="19">
        <f t="shared" si="314"/>
        <v>13731032.664901134</v>
      </c>
      <c r="DV125" s="19">
        <f t="shared" si="315"/>
        <v>13731032.664901134</v>
      </c>
      <c r="DX125" s="19">
        <f t="shared" si="476"/>
        <v>23642212.917456497</v>
      </c>
      <c r="DY125" s="19">
        <f t="shared" si="477"/>
        <v>27195476.189317252</v>
      </c>
      <c r="DZ125" s="19">
        <f t="shared" si="478"/>
        <v>47445529.130421788</v>
      </c>
      <c r="EA125" s="19">
        <f t="shared" si="479"/>
        <v>49817805.586942881</v>
      </c>
      <c r="EB125" s="19">
        <f t="shared" si="480"/>
        <v>52308695.866290025</v>
      </c>
      <c r="EC125" s="770">
        <f t="shared" si="316"/>
        <v>54924130.659604535</v>
      </c>
    </row>
    <row r="126" spans="2:133" x14ac:dyDescent="0.2">
      <c r="B126" s="167" t="s">
        <v>51</v>
      </c>
      <c r="C126" s="19">
        <f>'D2C - Retail'!J153+'D2C Online'!AA140</f>
        <v>118347.32</v>
      </c>
      <c r="D126" s="19">
        <f>'D2C - Retail'!K153+'D2C Online'!AB140</f>
        <v>68350.679999999993</v>
      </c>
      <c r="E126" s="19">
        <f>'D2C - Retail'!L153+'D2C Online'!AC140</f>
        <v>166981.74</v>
      </c>
      <c r="F126" s="19">
        <f>'D2C - Retail'!M153+'D2C Online'!AD140</f>
        <v>12655</v>
      </c>
      <c r="G126" s="19">
        <f>'D2C - Retail'!N153+'D2C Online'!AE140</f>
        <v>41434.36</v>
      </c>
      <c r="H126" s="19">
        <f>'D2C - Retail'!O153+'D2C Online'!AF140</f>
        <v>38434</v>
      </c>
      <c r="I126" s="19">
        <f>'D2C - Retail'!P153+'D2C Online'!AG140</f>
        <v>208975</v>
      </c>
      <c r="J126" s="19">
        <f>'D2C - Retail'!Q153+'D2C Online'!AH140</f>
        <v>202428</v>
      </c>
      <c r="K126" s="19">
        <f>'D2C - Retail'!R153+'D2C Online'!AI140</f>
        <v>497523</v>
      </c>
      <c r="L126" s="19">
        <f>'D2C - Retail'!S153+'D2C Online'!AJ140</f>
        <v>439249</v>
      </c>
      <c r="M126" s="19">
        <f>'D2C - Retail'!T153+'D2C Online'!AK140</f>
        <v>468433.95</v>
      </c>
      <c r="N126" s="19">
        <f>'D2C - Retail'!U153+'D2C Online'!AL140</f>
        <v>612227</v>
      </c>
      <c r="O126" s="19">
        <f>'D2C - Retail'!V153+'D2C Online'!AM140</f>
        <v>633415</v>
      </c>
      <c r="P126" s="19">
        <f>'D2C - Retail'!W153+'D2C Online'!AN140</f>
        <v>486724</v>
      </c>
      <c r="Q126" s="19">
        <f>'D2C - Retail'!X153+'D2C Online'!AO140</f>
        <v>1119671</v>
      </c>
      <c r="R126" s="19">
        <f>'D2C - Retail'!Y153+'D2C Online'!AP140</f>
        <v>318280</v>
      </c>
      <c r="S126" s="19">
        <f>'D2C - Retail'!Z153+'D2C Online'!AQ140</f>
        <v>744885</v>
      </c>
      <c r="T126" s="19">
        <f>'D2C - Retail'!AA153+'D2C Online'!AR140</f>
        <v>533204</v>
      </c>
      <c r="U126" s="19">
        <f>'D2C - Retail'!AB153+'D2C Online'!AS140</f>
        <v>553265</v>
      </c>
      <c r="V126" s="19">
        <f>'D2C - Retail'!AC153+'D2C Online'!AT140</f>
        <v>234750</v>
      </c>
      <c r="W126" s="19">
        <f>'D2C - Retail'!AD153+'D2C Online'!AU140</f>
        <v>558463</v>
      </c>
      <c r="X126" s="19">
        <f>'D2C - Retail'!AE153+'D2C Online'!AV140</f>
        <v>894226</v>
      </c>
      <c r="Y126" s="19">
        <f>'D2C - Retail'!AF153+'D2C Online'!AW140</f>
        <v>871376</v>
      </c>
      <c r="Z126" s="19">
        <f>'D2C - Retail'!AG153+'D2C Online'!AX140</f>
        <v>1270737</v>
      </c>
      <c r="AA126" s="19">
        <f>'D2C - Retail'!AH153+'D2C Online'!AY140</f>
        <v>1722444</v>
      </c>
      <c r="AB126" s="19">
        <f>'D2C - Retail'!AI153+'D2C Online'!AZ140</f>
        <v>1206793</v>
      </c>
      <c r="AC126" s="19">
        <f>'D2C - Retail'!AJ153+'D2C Online'!BA140</f>
        <v>1070439</v>
      </c>
      <c r="AD126" s="19">
        <f>'D2C - Retail'!AK153+'D2C Online'!BB140</f>
        <v>552325</v>
      </c>
      <c r="AE126" s="19">
        <f>'D2C - Retail'!AL153+'D2C Online'!BC140</f>
        <v>841489</v>
      </c>
      <c r="AF126" s="19">
        <f>'D2C - Retail'!AM153+'D2C Online'!BD140</f>
        <v>722609</v>
      </c>
      <c r="AG126" s="19">
        <f>'D2C - Retail'!AN153+'D2C Online'!BE140</f>
        <v>766745</v>
      </c>
      <c r="AH126" s="19">
        <f>'D2C - Retail'!AO153+'D2C Online'!BF140</f>
        <v>874603</v>
      </c>
      <c r="AI126" s="19">
        <f>'D2C - Retail'!AP153+'D2C Online'!BG140</f>
        <v>793118.99</v>
      </c>
      <c r="AJ126" s="19">
        <f>'D2C - Retail'!AQ153+'D2C Online'!BH140</f>
        <v>675291</v>
      </c>
      <c r="AK126" s="19">
        <f>'D2C - Retail'!AR153+'D2C Online'!BI140</f>
        <v>882538</v>
      </c>
      <c r="AL126" s="19">
        <f>'D2C - Retail'!AS153+'D2C Online'!BJ140</f>
        <v>996202</v>
      </c>
      <c r="AM126" s="19">
        <f>'D2C - Retail'!AT153+'D2C Online'!BK140</f>
        <v>1339028</v>
      </c>
      <c r="AN126" s="19">
        <f>'D2C - Retail'!AU153+'D2C Online'!BL140</f>
        <v>985786</v>
      </c>
      <c r="AO126" s="19">
        <f>'D2C - Retail'!AV153+'D2C Online'!BM140</f>
        <v>787319</v>
      </c>
      <c r="AP126" s="19">
        <f>'D2C - Retail'!AW153+'D2C Online'!BN140</f>
        <v>769190</v>
      </c>
      <c r="AQ126" s="19">
        <f>'D2C - Retail'!AX153+'D2C Online'!BO140</f>
        <v>1109934</v>
      </c>
      <c r="AR126" s="19">
        <f>'D2C - Retail'!AY153+'D2C Online'!BP140</f>
        <v>726456</v>
      </c>
      <c r="AS126" s="19">
        <f>'D2C - Retail'!AZ153+'D2C Online'!BQ140</f>
        <v>998890</v>
      </c>
      <c r="AT126" s="19">
        <f>'D2C - Retail'!BA153+'D2C Online'!BR140</f>
        <v>997179</v>
      </c>
      <c r="AU126" s="19">
        <f>'D2C - Retail'!BB153+'D2C Online'!BS140</f>
        <v>1089605</v>
      </c>
      <c r="AV126" s="19">
        <f>'D2C - Retail'!BC153+'D2C Online'!BT140</f>
        <v>1029330</v>
      </c>
      <c r="AW126" s="19">
        <f>'D2C - Retail'!BD153+'D2C Online'!BU140</f>
        <v>1089190</v>
      </c>
      <c r="AX126" s="19">
        <f>'D2C - Retail'!BE153+'D2C Online'!BV140</f>
        <v>1253021</v>
      </c>
      <c r="AY126" s="19">
        <f>'D2C - Retail'!BF153+'D2C Online'!BW140</f>
        <v>1216745</v>
      </c>
      <c r="AZ126" s="19">
        <f>'D2C - Retail'!BG153+'D2C Online'!BX140</f>
        <v>974138</v>
      </c>
      <c r="BA126" s="19">
        <f>'D2C - Retail'!BH153+'D2C Online'!BY140</f>
        <v>1854171</v>
      </c>
      <c r="BB126" s="19">
        <f>'D2C - Retail'!BI153+'D2C Online'!BZ140</f>
        <v>1360623.67</v>
      </c>
      <c r="BC126" s="19">
        <f>'D2C - Retail'!BJ153+'D2C Online'!CA140</f>
        <v>1673444</v>
      </c>
      <c r="BD126" s="19">
        <f>'D2C - Retail'!BK153+'D2C Online'!CB140</f>
        <v>1900988</v>
      </c>
      <c r="BE126" s="19">
        <f>'D2C - Retail'!BL153+'D2C Online'!CC140</f>
        <v>2019438</v>
      </c>
      <c r="BF126" s="19">
        <f>'D2C - Retail'!BM153+'D2C Online'!CD140</f>
        <v>2144095</v>
      </c>
      <c r="BG126" s="19">
        <f>'D2C - Retail'!BN153+'D2C Online'!CE140</f>
        <v>1884239</v>
      </c>
      <c r="BH126" s="19">
        <f>'D2C - Retail'!BO153+'D2C Online'!CF140</f>
        <v>2064400.7599999998</v>
      </c>
      <c r="BI126" s="19">
        <f>'D2C - Retail'!BP153+'D2C Online'!CG140</f>
        <v>2353762.9300000002</v>
      </c>
      <c r="BJ126" s="19">
        <f>'D2C - Retail'!BQ153+'D2C Online'!CH140</f>
        <v>2610351.46</v>
      </c>
      <c r="BK126" s="19">
        <f>'D2C - Retail'!BR153+'D2C Online'!CI140</f>
        <v>2508414.5</v>
      </c>
      <c r="BL126" s="19">
        <f>'D2C - Retail'!BS153+'D2C Online'!CJ140</f>
        <v>2730754.79</v>
      </c>
      <c r="BM126" s="19">
        <f>'D2C - Retail'!BT153+'D2C Online'!CK140</f>
        <v>2471386</v>
      </c>
      <c r="BN126" s="19">
        <f>'D2C - Retail'!BU153+'D2C Online'!CL140</f>
        <v>2357840.6600833335</v>
      </c>
      <c r="BO126" s="19">
        <f>'D2C - Retail'!BV153+'D2C Online'!CM140</f>
        <v>2357840.6600833335</v>
      </c>
      <c r="BP126" s="19">
        <f>'D2C - Retail'!BW153+'D2C Online'!CN140</f>
        <v>2357840.6600833335</v>
      </c>
      <c r="BQ126" s="19">
        <f>'D2C - Retail'!BX153+'D2C Online'!CO140</f>
        <v>2357840.6600833335</v>
      </c>
      <c r="BR126" s="19">
        <f>'D2C - Retail'!BY153+'D2C Online'!CP140</f>
        <v>2357840.6600833335</v>
      </c>
      <c r="BS126" s="19">
        <f>'D2C - Retail'!BZ153+'D2C Online'!CQ140</f>
        <v>2357840.6600833335</v>
      </c>
      <c r="BT126" s="19">
        <f>'D2C - Retail'!CA153+'D2C Online'!CR140</f>
        <v>2357840.6600833335</v>
      </c>
      <c r="BU126" s="19">
        <f>'D2C - Retail'!CB153+'D2C Online'!CS140</f>
        <v>2357840.6600833335</v>
      </c>
      <c r="BV126" s="19">
        <f>'D2C - Retail'!CC153+'D2C Online'!CT140</f>
        <v>2357840.6600833335</v>
      </c>
      <c r="BW126" s="19">
        <f>'D2C - Retail'!CD153+'D2C Online'!CU140</f>
        <v>2357840.6600833335</v>
      </c>
      <c r="BX126" s="19">
        <f>'D2C - Retail'!CE153+'D2C Online'!CV140</f>
        <v>2357840.6600833335</v>
      </c>
      <c r="BY126" s="19">
        <f>'D2C - Retail'!CF153+'D2C Online'!CW140</f>
        <v>2357840.6600833335</v>
      </c>
      <c r="BZ126" s="19">
        <f>'D2C - Retail'!CG153+'D2C Online'!CX140</f>
        <v>2475732.6930875001</v>
      </c>
      <c r="CA126" s="19">
        <f>'D2C - Retail'!CH153+'D2C Online'!CY140</f>
        <v>2475732.6930875001</v>
      </c>
      <c r="CB126" s="19">
        <f>'D2C - Retail'!CI153+'D2C Online'!CZ140</f>
        <v>2475732.6930875001</v>
      </c>
      <c r="CC126" s="19">
        <f>'D2C - Retail'!CJ153+'D2C Online'!DA140</f>
        <v>2475732.6930875001</v>
      </c>
      <c r="CD126" s="19">
        <f>'D2C - Retail'!CK153+'D2C Online'!DB140</f>
        <v>2475732.6930875001</v>
      </c>
      <c r="CE126" s="19">
        <f>'D2C - Retail'!CL153+'D2C Online'!DC140</f>
        <v>2475732.6930875001</v>
      </c>
      <c r="CF126" s="19">
        <f>'D2C - Retail'!CM153+'D2C Online'!DD140</f>
        <v>2475732.6930875001</v>
      </c>
      <c r="CG126" s="19">
        <f>'D2C - Retail'!CN153+'D2C Online'!DE140</f>
        <v>2475732.6930875001</v>
      </c>
      <c r="CH126" s="19">
        <f>'D2C - Retail'!CO153+'D2C Online'!DF140</f>
        <v>2475732.6930875001</v>
      </c>
      <c r="CI126" s="19">
        <f>'D2C - Retail'!CP153+'D2C Online'!DG140</f>
        <v>2475732.6930875001</v>
      </c>
      <c r="CJ126" s="19">
        <f>'D2C - Retail'!CQ153+'D2C Online'!DH140</f>
        <v>2475732.6930875001</v>
      </c>
      <c r="CK126" s="19">
        <f>'D2C - Retail'!CR153+'D2C Online'!DI140</f>
        <v>2475732.6930875001</v>
      </c>
      <c r="CL126" s="19">
        <f>'D2C - Retail'!CS153+'D2C Online'!DJ140</f>
        <v>2599519.3277418753</v>
      </c>
      <c r="CM126" s="19">
        <f>'D2C - Retail'!CT153+'D2C Online'!DK140</f>
        <v>2599519.3277418753</v>
      </c>
      <c r="CN126" s="19">
        <f>'D2C - Retail'!CU153+'D2C Online'!DL140</f>
        <v>2599519.3277418753</v>
      </c>
      <c r="CO126" s="19">
        <f>'D2C - Retail'!CV153+'D2C Online'!DM140</f>
        <v>2599519.3277418753</v>
      </c>
      <c r="CP126" s="19">
        <f>'D2C - Retail'!CW153+'D2C Online'!DN140</f>
        <v>2599519.3277418753</v>
      </c>
      <c r="CQ126" s="19">
        <f>'D2C - Retail'!CX153+'D2C Online'!DO140</f>
        <v>2599519.3277418753</v>
      </c>
      <c r="CR126" s="19">
        <f>'D2C - Retail'!CY153+'D2C Online'!DP140</f>
        <v>2599519.3277418753</v>
      </c>
      <c r="CS126" s="19">
        <f>'D2C - Retail'!CZ153+'D2C Online'!DQ140</f>
        <v>2599519.3277418753</v>
      </c>
      <c r="CT126" s="19">
        <f>'D2C - Retail'!DA153+'D2C Online'!DR140</f>
        <v>2599519.3277418753</v>
      </c>
      <c r="CU126" s="19">
        <f>'D2C - Retail'!DB153+'D2C Online'!DS140</f>
        <v>2599519.3277418753</v>
      </c>
      <c r="CV126" s="19">
        <f>'D2C - Retail'!DC153+'D2C Online'!DT140</f>
        <v>2599519.3277418753</v>
      </c>
      <c r="CW126" s="19">
        <f>'D2C - Retail'!DD153+'D2C Online'!DU140</f>
        <v>2599519.3277418753</v>
      </c>
      <c r="CY126" s="19">
        <f t="shared" si="456"/>
        <v>2116423</v>
      </c>
      <c r="CZ126" s="19">
        <f t="shared" si="457"/>
        <v>2434466.9900000002</v>
      </c>
      <c r="DA126" s="19">
        <f t="shared" si="458"/>
        <v>2554031</v>
      </c>
      <c r="DB126" s="19">
        <f t="shared" si="459"/>
        <v>3112133</v>
      </c>
      <c r="DC126" s="19">
        <f t="shared" si="460"/>
        <v>2605580</v>
      </c>
      <c r="DD126" s="19">
        <f t="shared" si="461"/>
        <v>3085674</v>
      </c>
      <c r="DE126" s="19">
        <f t="shared" si="462"/>
        <v>3371541</v>
      </c>
      <c r="DF126" s="19">
        <f t="shared" si="463"/>
        <v>4045054</v>
      </c>
      <c r="DG126" s="19">
        <f t="shared" si="464"/>
        <v>4935055.67</v>
      </c>
      <c r="DH126" s="19">
        <f t="shared" si="465"/>
        <v>6047772</v>
      </c>
      <c r="DI126" s="19">
        <f t="shared" si="466"/>
        <v>7028515.1499999994</v>
      </c>
      <c r="DJ126" s="19">
        <f t="shared" si="467"/>
        <v>7710555.29</v>
      </c>
      <c r="DK126" s="19">
        <f t="shared" si="468"/>
        <v>7073521.980250001</v>
      </c>
      <c r="DL126" s="19">
        <f t="shared" si="469"/>
        <v>7073521.980250001</v>
      </c>
      <c r="DM126" s="19">
        <f t="shared" si="470"/>
        <v>7073521.980250001</v>
      </c>
      <c r="DN126" s="19">
        <f t="shared" si="471"/>
        <v>7073521.980250001</v>
      </c>
      <c r="DO126" s="19">
        <f t="shared" si="472"/>
        <v>7427198.0792625006</v>
      </c>
      <c r="DP126" s="19">
        <f t="shared" si="473"/>
        <v>7427198.0792625006</v>
      </c>
      <c r="DQ126" s="19">
        <f t="shared" si="474"/>
        <v>7427198.0792625006</v>
      </c>
      <c r="DR126" s="19">
        <f t="shared" si="475"/>
        <v>7427198.0792625006</v>
      </c>
      <c r="DS126" s="19">
        <f t="shared" si="312"/>
        <v>7798557.9832256259</v>
      </c>
      <c r="DT126" s="19">
        <f t="shared" si="313"/>
        <v>7798557.9832256259</v>
      </c>
      <c r="DU126" s="19">
        <f t="shared" si="314"/>
        <v>7798557.9832256259</v>
      </c>
      <c r="DV126" s="19">
        <f t="shared" si="315"/>
        <v>7798557.9832256259</v>
      </c>
      <c r="DX126" s="19">
        <f t="shared" si="476"/>
        <v>10217053.99</v>
      </c>
      <c r="DY126" s="19">
        <f t="shared" si="477"/>
        <v>13107849</v>
      </c>
      <c r="DZ126" s="19">
        <f t="shared" si="478"/>
        <v>25721898.109999999</v>
      </c>
      <c r="EA126" s="19">
        <f t="shared" si="479"/>
        <v>28294087.921000004</v>
      </c>
      <c r="EB126" s="19">
        <f t="shared" si="480"/>
        <v>29708792.317050003</v>
      </c>
      <c r="EC126" s="770">
        <f t="shared" si="316"/>
        <v>31194231.932902504</v>
      </c>
    </row>
    <row r="127" spans="2:133" x14ac:dyDescent="0.2">
      <c r="B127" s="167" t="s">
        <v>52</v>
      </c>
      <c r="C127" s="19">
        <f>'D2C - Retail'!J154+'D2C Online'!AA141</f>
        <v>162261</v>
      </c>
      <c r="D127" s="19">
        <f>'D2C - Retail'!K154+'D2C Online'!AB141</f>
        <v>231290.46</v>
      </c>
      <c r="E127" s="19">
        <f>'D2C - Retail'!L154+'D2C Online'!AC141</f>
        <v>558256.74</v>
      </c>
      <c r="F127" s="19">
        <f>'D2C - Retail'!M154+'D2C Online'!AD141</f>
        <v>248876</v>
      </c>
      <c r="G127" s="19">
        <f>'D2C - Retail'!N154+'D2C Online'!AE141</f>
        <v>65290</v>
      </c>
      <c r="H127" s="19">
        <f>'D2C - Retail'!O154+'D2C Online'!AF141</f>
        <v>235856</v>
      </c>
      <c r="I127" s="19">
        <f>'D2C - Retail'!P154+'D2C Online'!AG141</f>
        <v>273104</v>
      </c>
      <c r="J127" s="19">
        <f>'D2C - Retail'!Q154+'D2C Online'!AH141</f>
        <v>688468</v>
      </c>
      <c r="K127" s="19">
        <f>'D2C - Retail'!R154+'D2C Online'!AI141</f>
        <v>377611</v>
      </c>
      <c r="L127" s="19">
        <f>'D2C - Retail'!S154+'D2C Online'!AJ141</f>
        <v>260044</v>
      </c>
      <c r="M127" s="19">
        <f>'D2C - Retail'!T154+'D2C Online'!AK141</f>
        <v>246424</v>
      </c>
      <c r="N127" s="19">
        <f>'D2C - Retail'!U154+'D2C Online'!AL141</f>
        <v>568152</v>
      </c>
      <c r="O127" s="19">
        <f>'D2C - Retail'!V154+'D2C Online'!AM141</f>
        <v>395217</v>
      </c>
      <c r="P127" s="19">
        <f>'D2C - Retail'!W154+'D2C Online'!AN141</f>
        <v>337431.33999999997</v>
      </c>
      <c r="Q127" s="19">
        <f>'D2C - Retail'!X154+'D2C Online'!AO141</f>
        <v>323184.14</v>
      </c>
      <c r="R127" s="19">
        <f>'D2C - Retail'!Y154+'D2C Online'!AP141</f>
        <v>188039</v>
      </c>
      <c r="S127" s="19">
        <f>'D2C - Retail'!Z154+'D2C Online'!AQ141</f>
        <v>608944</v>
      </c>
      <c r="T127" s="19">
        <f>'D2C - Retail'!AA154+'D2C Online'!AR141</f>
        <v>832256</v>
      </c>
      <c r="U127" s="19">
        <f>'D2C - Retail'!AB154+'D2C Online'!AS141</f>
        <v>774339</v>
      </c>
      <c r="V127" s="19">
        <f>'D2C - Retail'!AC154+'D2C Online'!AT141</f>
        <v>1337312</v>
      </c>
      <c r="W127" s="19">
        <f>'D2C - Retail'!AD154+'D2C Online'!AU141</f>
        <v>1503731</v>
      </c>
      <c r="X127" s="19">
        <f>'D2C - Retail'!AE154+'D2C Online'!AV141</f>
        <v>1277442</v>
      </c>
      <c r="Y127" s="19">
        <f>'D2C - Retail'!AF154+'D2C Online'!AW141</f>
        <v>1817828</v>
      </c>
      <c r="Z127" s="19">
        <f>'D2C - Retail'!AG154+'D2C Online'!AX141</f>
        <v>2515214.6800000002</v>
      </c>
      <c r="AA127" s="19">
        <f>'D2C - Retail'!AH154+'D2C Online'!AY141</f>
        <v>2116421.6</v>
      </c>
      <c r="AB127" s="19">
        <f>'D2C - Retail'!AI154+'D2C Online'!AZ141</f>
        <v>1416663</v>
      </c>
      <c r="AC127" s="19">
        <f>'D2C - Retail'!AJ154+'D2C Online'!BA141</f>
        <v>1723180</v>
      </c>
      <c r="AD127" s="19">
        <f>'D2C - Retail'!AK154+'D2C Online'!BB141</f>
        <v>1378625</v>
      </c>
      <c r="AE127" s="19">
        <f>'D2C - Retail'!AL154+'D2C Online'!BC141</f>
        <v>1475839.29</v>
      </c>
      <c r="AF127" s="19">
        <f>'D2C - Retail'!AM154+'D2C Online'!BD141</f>
        <v>3734506</v>
      </c>
      <c r="AG127" s="19">
        <f>'D2C - Retail'!AN154+'D2C Online'!BE141</f>
        <v>1712702</v>
      </c>
      <c r="AH127" s="19">
        <f>'D2C - Retail'!AO154+'D2C Online'!BF141</f>
        <v>2936008</v>
      </c>
      <c r="AI127" s="19">
        <f>'D2C - Retail'!AP154+'D2C Online'!BG141</f>
        <v>1989420</v>
      </c>
      <c r="AJ127" s="19">
        <f>'D2C - Retail'!AQ154+'D2C Online'!BH141</f>
        <v>1702546</v>
      </c>
      <c r="AK127" s="19">
        <f>'D2C - Retail'!AR154+'D2C Online'!BI141</f>
        <v>2156525</v>
      </c>
      <c r="AL127" s="19">
        <f>'D2C - Retail'!AS154+'D2C Online'!BJ141</f>
        <v>2061322</v>
      </c>
      <c r="AM127" s="19">
        <f>'D2C - Retail'!AT154+'D2C Online'!BK141</f>
        <v>1749863</v>
      </c>
      <c r="AN127" s="19">
        <f>'D2C - Retail'!AU154+'D2C Online'!BL141</f>
        <v>1727269</v>
      </c>
      <c r="AO127" s="19">
        <f>'D2C - Retail'!AV154+'D2C Online'!BM141</f>
        <v>1579519.89</v>
      </c>
      <c r="AP127" s="19">
        <f>'D2C - Retail'!AW154+'D2C Online'!BN141</f>
        <v>1475271.8900000001</v>
      </c>
      <c r="AQ127" s="19">
        <f>'D2C - Retail'!AX154+'D2C Online'!BO141</f>
        <v>1205087</v>
      </c>
      <c r="AR127" s="19">
        <f>'D2C - Retail'!AY154+'D2C Online'!BP141</f>
        <v>1833360</v>
      </c>
      <c r="AS127" s="19">
        <f>'D2C - Retail'!AZ154+'D2C Online'!BQ141</f>
        <v>1276335</v>
      </c>
      <c r="AT127" s="19">
        <f>'D2C - Retail'!BA154+'D2C Online'!BR141</f>
        <v>1878987</v>
      </c>
      <c r="AU127" s="19">
        <f>'D2C - Retail'!BB154+'D2C Online'!BS141</f>
        <v>1866011</v>
      </c>
      <c r="AV127" s="19">
        <f>'D2C - Retail'!BC154+'D2C Online'!BT141</f>
        <v>1673286</v>
      </c>
      <c r="AW127" s="19">
        <f>'D2C - Retail'!BD154+'D2C Online'!BU141</f>
        <v>1903914</v>
      </c>
      <c r="AX127" s="19">
        <f>'D2C - Retail'!BE154+'D2C Online'!BV141</f>
        <v>1799597</v>
      </c>
      <c r="AY127" s="19">
        <f>'D2C - Retail'!BF154+'D2C Online'!BW141</f>
        <v>2564072</v>
      </c>
      <c r="AZ127" s="19">
        <f>'D2C - Retail'!BG154+'D2C Online'!BX141</f>
        <v>3023677.5</v>
      </c>
      <c r="BA127" s="19">
        <f>'D2C - Retail'!BH154+'D2C Online'!BY141</f>
        <v>3582057</v>
      </c>
      <c r="BB127" s="19">
        <f>'D2C - Retail'!BI154+'D2C Online'!BZ141</f>
        <v>3781142</v>
      </c>
      <c r="BC127" s="19">
        <f>'D2C - Retail'!BJ154+'D2C Online'!CA141</f>
        <v>2301510</v>
      </c>
      <c r="BD127" s="19">
        <f>'D2C - Retail'!BK154+'D2C Online'!CB141</f>
        <v>2734361.78</v>
      </c>
      <c r="BE127" s="19">
        <f>'D2C - Retail'!BL154+'D2C Online'!CC141</f>
        <v>2774804</v>
      </c>
      <c r="BF127" s="19">
        <f>'D2C - Retail'!BM154+'D2C Online'!CD141</f>
        <v>2301400.6799999997</v>
      </c>
      <c r="BG127" s="19">
        <f>'D2C - Retail'!BN154+'D2C Online'!CE141</f>
        <v>3219743.9</v>
      </c>
      <c r="BH127" s="19">
        <f>'D2C - Retail'!BO154+'D2C Online'!CF141</f>
        <v>4640172</v>
      </c>
      <c r="BI127" s="19">
        <f>'D2C - Retail'!BP154+'D2C Online'!CG141</f>
        <v>3563755.98</v>
      </c>
      <c r="BJ127" s="19">
        <f>'D2C - Retail'!BQ154+'D2C Online'!CH141</f>
        <v>4305640</v>
      </c>
      <c r="BK127" s="19">
        <f>'D2C - Retail'!BR154+'D2C Online'!CI141</f>
        <v>4141137.54</v>
      </c>
      <c r="BL127" s="19">
        <f>'D2C - Retail'!BS154+'D2C Online'!CJ141</f>
        <v>2416510.6800000002</v>
      </c>
      <c r="BM127" s="19">
        <f>'D2C - Retail'!BT154+'D2C Online'!CK141</f>
        <v>3325376.68</v>
      </c>
      <c r="BN127" s="19">
        <f>'D2C - Retail'!BU154+'D2C Online'!CL141</f>
        <v>3442099.9625833337</v>
      </c>
      <c r="BO127" s="19">
        <f>'D2C - Retail'!BV154+'D2C Online'!CM141</f>
        <v>3445079.1910505621</v>
      </c>
      <c r="BP127" s="19">
        <f>'D2C - Retail'!BW154+'D2C Online'!CN141</f>
        <v>3444867.6482008183</v>
      </c>
      <c r="BQ127" s="19">
        <f>'D2C - Retail'!BX154+'D2C Online'!CO141</f>
        <v>3449327.6766162552</v>
      </c>
      <c r="BR127" s="19">
        <f>'D2C - Retail'!BY154+'D2C Online'!CP141</f>
        <v>3432016.4200788671</v>
      </c>
      <c r="BS127" s="19">
        <f>'D2C - Retail'!BZ154+'D2C Online'!CQ141</f>
        <v>3458565.0477217454</v>
      </c>
      <c r="BT127" s="19">
        <f>'D2C - Retail'!CA154+'D2C Online'!CR141</f>
        <v>3450015.1908779237</v>
      </c>
      <c r="BU127" s="19">
        <f>'D2C - Retail'!CB154+'D2C Online'!CS141</f>
        <v>3450720.3337104036</v>
      </c>
      <c r="BV127" s="19">
        <f>'D2C - Retail'!CC154+'D2C Online'!CT141</f>
        <v>3519277.8455982888</v>
      </c>
      <c r="BW127" s="19">
        <f>'D2C - Retail'!CD154+'D2C Online'!CU141</f>
        <v>3547941.9017386083</v>
      </c>
      <c r="BX127" s="19">
        <f>'D2C - Retail'!CE154+'D2C Online'!CV141</f>
        <v>3491072.1322990819</v>
      </c>
      <c r="BY127" s="19">
        <f>'D2C - Retail'!CF154+'D2C Online'!CW141</f>
        <v>3518607.959907433</v>
      </c>
      <c r="BZ127" s="19">
        <f>'D2C - Retail'!CG154+'D2C Online'!CX141</f>
        <v>3653576.1259783339</v>
      </c>
      <c r="CA127" s="19">
        <f>'D2C - Retail'!CH154+'D2C Online'!CY141</f>
        <v>3657105.0220977664</v>
      </c>
      <c r="CB127" s="19">
        <f>'D2C - Retail'!CI154+'D2C Online'!CZ141</f>
        <v>3656854.4495922443</v>
      </c>
      <c r="CC127" s="19">
        <f>'D2C - Retail'!CJ154+'D2C Online'!DA141</f>
        <v>3662137.3532503298</v>
      </c>
      <c r="CD127" s="19">
        <f>'D2C - Retail'!CK154+'D2C Online'!DB141</f>
        <v>3641632.1698817932</v>
      </c>
      <c r="CE127" s="19">
        <f>'D2C - Retail'!CL154+'D2C Online'!DC141</f>
        <v>3673079.0193247832</v>
      </c>
      <c r="CF127" s="19">
        <f>'D2C - Retail'!CM154+'D2C Online'!DD141</f>
        <v>3662951.7138932757</v>
      </c>
      <c r="CG127" s="19">
        <f>'D2C - Retail'!CN154+'D2C Online'!DE141</f>
        <v>3663786.9555783486</v>
      </c>
      <c r="CH127" s="19">
        <f>'D2C - Retail'!CO154+'D2C Online'!DF141</f>
        <v>3744993.3284095484</v>
      </c>
      <c r="CI127" s="19">
        <f>'D2C - Retail'!CP154+'D2C Online'!DG141</f>
        <v>3778945.9029077566</v>
      </c>
      <c r="CJ127" s="19">
        <f>'D2C - Retail'!CQ154+'D2C Online'!DH141</f>
        <v>3711583.6610066378</v>
      </c>
      <c r="CK127" s="19">
        <f>'D2C - Retail'!CR154+'D2C Online'!DI141</f>
        <v>3744199.8488087291</v>
      </c>
      <c r="CL127" s="19">
        <f>'D2C - Retail'!CS154+'D2C Online'!DJ141</f>
        <v>3882890.07753463</v>
      </c>
      <c r="CM127" s="19">
        <f>'D2C - Retail'!CT154+'D2C Online'!DK141</f>
        <v>3887070.0549880979</v>
      </c>
      <c r="CN127" s="19">
        <f>'D2C - Retail'!CU154+'D2C Online'!DL141</f>
        <v>3886773.2518553073</v>
      </c>
      <c r="CO127" s="19">
        <f>'D2C - Retail'!CV154+'D2C Online'!DM141</f>
        <v>3893030.8512383094</v>
      </c>
      <c r="CP127" s="19">
        <f>'D2C - Retail'!CW154+'D2C Online'!DN141</f>
        <v>3868742.461538278</v>
      </c>
      <c r="CQ127" s="19">
        <f>'D2C - Retail'!CX154+'D2C Online'!DO141</f>
        <v>3905991.2547034994</v>
      </c>
      <c r="CR127" s="19">
        <f>'D2C - Retail'!CY154+'D2C Online'!DP141</f>
        <v>3893995.4614198785</v>
      </c>
      <c r="CS127" s="19">
        <f>'D2C - Retail'!CZ154+'D2C Online'!DQ141</f>
        <v>3894984.8051958475</v>
      </c>
      <c r="CT127" s="19">
        <f>'D2C - Retail'!DA154+'D2C Online'!DR141</f>
        <v>3991173.7538144039</v>
      </c>
      <c r="CU127" s="19">
        <f>'D2C - Retail'!DB154+'D2C Online'!DS141</f>
        <v>4031390.5783075313</v>
      </c>
      <c r="CV127" s="19">
        <f>'D2C - Retail'!DC154+'D2C Online'!DT141</f>
        <v>3951600.0027756561</v>
      </c>
      <c r="CW127" s="19">
        <f>'D2C - Retail'!DD154+'D2C Online'!DU141</f>
        <v>3990233.8772272337</v>
      </c>
      <c r="CY127" s="19">
        <f t="shared" si="456"/>
        <v>6588970.29</v>
      </c>
      <c r="CZ127" s="19">
        <f t="shared" si="457"/>
        <v>6638130</v>
      </c>
      <c r="DA127" s="19">
        <f t="shared" si="458"/>
        <v>5920393</v>
      </c>
      <c r="DB127" s="19">
        <f t="shared" si="459"/>
        <v>5056651.8899999997</v>
      </c>
      <c r="DC127" s="19">
        <f t="shared" si="460"/>
        <v>4513718.8900000006</v>
      </c>
      <c r="DD127" s="19">
        <f t="shared" si="461"/>
        <v>5021333</v>
      </c>
      <c r="DE127" s="19">
        <f t="shared" si="462"/>
        <v>5376797</v>
      </c>
      <c r="DF127" s="19">
        <f t="shared" si="463"/>
        <v>9169806.5</v>
      </c>
      <c r="DG127" s="19">
        <f t="shared" si="464"/>
        <v>8817013.7799999993</v>
      </c>
      <c r="DH127" s="19">
        <f t="shared" si="465"/>
        <v>8295948.5800000001</v>
      </c>
      <c r="DI127" s="19">
        <f t="shared" si="466"/>
        <v>12509567.98</v>
      </c>
      <c r="DJ127" s="19">
        <f t="shared" si="467"/>
        <v>9883024.9000000004</v>
      </c>
      <c r="DK127" s="19">
        <f t="shared" si="468"/>
        <v>10332046.801834714</v>
      </c>
      <c r="DL127" s="19">
        <f t="shared" si="469"/>
        <v>10339909.144416869</v>
      </c>
      <c r="DM127" s="19">
        <f t="shared" si="470"/>
        <v>10420013.370186616</v>
      </c>
      <c r="DN127" s="19">
        <f t="shared" si="471"/>
        <v>10557621.993945124</v>
      </c>
      <c r="DO127" s="19">
        <f t="shared" si="472"/>
        <v>10967535.597668344</v>
      </c>
      <c r="DP127" s="19">
        <f t="shared" si="473"/>
        <v>10976848.542456906</v>
      </c>
      <c r="DQ127" s="19">
        <f t="shared" si="474"/>
        <v>11071731.997881172</v>
      </c>
      <c r="DR127" s="19">
        <f t="shared" si="475"/>
        <v>11234729.412723124</v>
      </c>
      <c r="DS127" s="19">
        <f t="shared" si="312"/>
        <v>11656733.384378035</v>
      </c>
      <c r="DT127" s="19">
        <f t="shared" si="313"/>
        <v>11667764.567480087</v>
      </c>
      <c r="DU127" s="19">
        <f t="shared" si="314"/>
        <v>11780154.020430129</v>
      </c>
      <c r="DV127" s="19">
        <f t="shared" si="315"/>
        <v>11973224.458310422</v>
      </c>
      <c r="DX127" s="19">
        <f t="shared" si="476"/>
        <v>24204145.18</v>
      </c>
      <c r="DY127" s="19">
        <f t="shared" si="477"/>
        <v>24081655.390000001</v>
      </c>
      <c r="DZ127" s="19">
        <f t="shared" si="478"/>
        <v>39505555.240000002</v>
      </c>
      <c r="EA127" s="19">
        <f t="shared" si="479"/>
        <v>41649591.31038332</v>
      </c>
      <c r="EB127" s="19">
        <f t="shared" si="480"/>
        <v>44250845.55072955</v>
      </c>
      <c r="EC127" s="770">
        <f t="shared" si="316"/>
        <v>47077876.430598676</v>
      </c>
    </row>
    <row r="128" spans="2:133" x14ac:dyDescent="0.2">
      <c r="B128" s="167" t="s">
        <v>283</v>
      </c>
      <c r="C128" s="19">
        <f>'D2C - Retail'!J155</f>
        <v>0</v>
      </c>
      <c r="D128" s="19">
        <f>'D2C - Retail'!K155</f>
        <v>0</v>
      </c>
      <c r="E128" s="19">
        <f>'D2C - Retail'!L155</f>
        <v>0</v>
      </c>
      <c r="F128" s="19">
        <f>'D2C - Retail'!M155</f>
        <v>0</v>
      </c>
      <c r="G128" s="19">
        <f>'D2C - Retail'!N155</f>
        <v>0</v>
      </c>
      <c r="H128" s="19">
        <f>'D2C - Retail'!O155</f>
        <v>0</v>
      </c>
      <c r="I128" s="19">
        <f>'D2C - Retail'!P155</f>
        <v>0</v>
      </c>
      <c r="J128" s="19">
        <f>'D2C - Retail'!Q155</f>
        <v>0</v>
      </c>
      <c r="K128" s="19">
        <f>'D2C - Retail'!R155</f>
        <v>0</v>
      </c>
      <c r="L128" s="19">
        <f>'D2C - Retail'!S155</f>
        <v>0</v>
      </c>
      <c r="M128" s="19">
        <f>'D2C - Retail'!T155</f>
        <v>0</v>
      </c>
      <c r="N128" s="19">
        <f>'D2C - Retail'!U155</f>
        <v>0</v>
      </c>
      <c r="O128" s="19">
        <f>'D2C - Retail'!V155</f>
        <v>0</v>
      </c>
      <c r="P128" s="19">
        <f>'D2C - Retail'!W155</f>
        <v>0</v>
      </c>
      <c r="Q128" s="19">
        <f>'D2C - Retail'!X155</f>
        <v>0</v>
      </c>
      <c r="R128" s="19">
        <f>'D2C - Retail'!Y155</f>
        <v>0</v>
      </c>
      <c r="S128" s="19">
        <f>'D2C - Retail'!Z155</f>
        <v>0</v>
      </c>
      <c r="T128" s="19">
        <f>'D2C - Retail'!AA155</f>
        <v>0</v>
      </c>
      <c r="U128" s="19">
        <f>'D2C - Retail'!AB155</f>
        <v>0</v>
      </c>
      <c r="V128" s="19">
        <f>'D2C - Retail'!AC155</f>
        <v>0</v>
      </c>
      <c r="W128" s="19">
        <f>'D2C - Retail'!AD155</f>
        <v>0</v>
      </c>
      <c r="X128" s="19">
        <f>'D2C - Retail'!AE155</f>
        <v>0</v>
      </c>
      <c r="Y128" s="19">
        <f>'D2C - Retail'!AF155</f>
        <v>0</v>
      </c>
      <c r="Z128" s="19">
        <f>'D2C - Retail'!AG155</f>
        <v>0</v>
      </c>
      <c r="AA128" s="19">
        <f>'D2C - Retail'!AH155</f>
        <v>0</v>
      </c>
      <c r="AB128" s="19">
        <f>'D2C - Retail'!AI155</f>
        <v>0</v>
      </c>
      <c r="AC128" s="19">
        <f>'D2C - Retail'!AJ155</f>
        <v>0</v>
      </c>
      <c r="AD128" s="19">
        <f>'D2C - Retail'!AK155</f>
        <v>0</v>
      </c>
      <c r="AE128" s="19">
        <f>'D2C - Retail'!AL155</f>
        <v>0</v>
      </c>
      <c r="AF128" s="19">
        <f>'D2C - Retail'!AM155</f>
        <v>0</v>
      </c>
      <c r="AG128" s="19">
        <f>'D2C - Retail'!AN155</f>
        <v>0</v>
      </c>
      <c r="AH128" s="19">
        <f>'D2C - Retail'!AO155</f>
        <v>0</v>
      </c>
      <c r="AI128" s="19">
        <f>'D2C - Retail'!AP155</f>
        <v>0</v>
      </c>
      <c r="AJ128" s="19">
        <f>'D2C - Retail'!AQ155</f>
        <v>0</v>
      </c>
      <c r="AK128" s="19">
        <f>'D2C - Retail'!AR155</f>
        <v>0</v>
      </c>
      <c r="AL128" s="19">
        <f>'D2C - Retail'!AS155</f>
        <v>0</v>
      </c>
      <c r="AM128" s="19">
        <f>'D2C - Retail'!AT155</f>
        <v>0</v>
      </c>
      <c r="AN128" s="19">
        <f>'D2C - Retail'!AU155</f>
        <v>0</v>
      </c>
      <c r="AO128" s="19">
        <f>'D2C - Retail'!AV155</f>
        <v>0</v>
      </c>
      <c r="AP128" s="19">
        <f>'D2C - Retail'!AW155</f>
        <v>0</v>
      </c>
      <c r="AQ128" s="19">
        <f>'D2C - Retail'!AX155</f>
        <v>0</v>
      </c>
      <c r="AR128" s="19">
        <f>'D2C - Retail'!AY155</f>
        <v>0</v>
      </c>
      <c r="AS128" s="19">
        <f>'D2C - Retail'!AZ155</f>
        <v>0</v>
      </c>
      <c r="AT128" s="19">
        <f>'D2C - Retail'!BA155</f>
        <v>0</v>
      </c>
      <c r="AU128" s="19">
        <f>'D2C - Retail'!BB155</f>
        <v>0</v>
      </c>
      <c r="AV128" s="19">
        <f>'D2C - Retail'!BC155</f>
        <v>0</v>
      </c>
      <c r="AW128" s="19">
        <f>'D2C - Retail'!BD155</f>
        <v>0</v>
      </c>
      <c r="AX128" s="19">
        <f>'D2C - Retail'!BE155</f>
        <v>0</v>
      </c>
      <c r="AY128" s="19">
        <f>'D2C - Retail'!BF155</f>
        <v>0</v>
      </c>
      <c r="AZ128" s="19">
        <f>'D2C - Retail'!BG155</f>
        <v>0</v>
      </c>
      <c r="BA128" s="19">
        <f>'D2C - Retail'!BH155</f>
        <v>0</v>
      </c>
      <c r="BB128" s="19">
        <f>'D2C - Retail'!BI155</f>
        <v>375233</v>
      </c>
      <c r="BC128" s="19">
        <f>'D2C - Retail'!BJ155</f>
        <v>0</v>
      </c>
      <c r="BD128" s="19">
        <f>'D2C - Retail'!BK155</f>
        <v>0</v>
      </c>
      <c r="BE128" s="19">
        <f>'D2C - Retail'!BL155</f>
        <v>0</v>
      </c>
      <c r="BF128" s="19">
        <f>'D2C - Retail'!BM155</f>
        <v>0</v>
      </c>
      <c r="BG128" s="19">
        <f>'D2C - Retail'!BN155</f>
        <v>0</v>
      </c>
      <c r="BH128" s="19">
        <f>'D2C - Retail'!BO155</f>
        <v>1747000</v>
      </c>
      <c r="BI128" s="19">
        <f>'D2C - Retail'!BP155</f>
        <v>989502.54237288143</v>
      </c>
      <c r="BJ128" s="19">
        <f>'D2C - Retail'!BQ155</f>
        <v>3020777</v>
      </c>
      <c r="BK128" s="19">
        <f>'D2C - Retail'!BR155</f>
        <v>2350406.31</v>
      </c>
      <c r="BL128" s="19">
        <f>'D2C - Retail'!BS155</f>
        <v>2700268</v>
      </c>
      <c r="BM128" s="19">
        <f>'D2C - Retail'!BT155</f>
        <v>6928584.6271186443</v>
      </c>
      <c r="BN128" s="19">
        <f>'D2C - Retail'!BU155</f>
        <v>5781209.4383778051</v>
      </c>
      <c r="BO128" s="19">
        <f>'D2C - Retail'!BV155</f>
        <v>5661550.8162980992</v>
      </c>
      <c r="BP128" s="19">
        <f>'D2C - Retail'!BW155</f>
        <v>5649749.4331742506</v>
      </c>
      <c r="BQ128" s="19">
        <f>'D2C - Retail'!BX155</f>
        <v>6117918.8324031308</v>
      </c>
      <c r="BR128" s="19">
        <f>'D2C - Retail'!BY155</f>
        <v>5466050.6137538999</v>
      </c>
      <c r="BS128" s="19">
        <f>'D2C - Retail'!BZ155</f>
        <v>5075728.8852033094</v>
      </c>
      <c r="BT128" s="19">
        <f>'D2C - Retail'!CA155</f>
        <v>6333280.5713553587</v>
      </c>
      <c r="BU128" s="19">
        <f>'D2C - Retail'!CB155</f>
        <v>5832523.3374363389</v>
      </c>
      <c r="BV128" s="19">
        <f>'D2C - Retail'!CC155</f>
        <v>6938501.7535098642</v>
      </c>
      <c r="BW128" s="19">
        <f>'D2C - Retail'!CD155</f>
        <v>7108931.8726724023</v>
      </c>
      <c r="BX128" s="19">
        <f>'D2C - Retail'!CE155</f>
        <v>6610579.0241964757</v>
      </c>
      <c r="BY128" s="19">
        <f>'D2C - Retail'!CF155</f>
        <v>7689837.1015332406</v>
      </c>
      <c r="BZ128" s="19">
        <f>'D2C - Retail'!CG155</f>
        <v>7069696.8074526303</v>
      </c>
      <c r="CA128" s="19">
        <f>'D2C - Retail'!CH155</f>
        <v>6940707.2303093811</v>
      </c>
      <c r="CB128" s="19">
        <f>'D2C - Retail'!CI155</f>
        <v>6890215.8048767122</v>
      </c>
      <c r="CC128" s="19">
        <f>'D2C - Retail'!CJ155</f>
        <v>7457349.7003070153</v>
      </c>
      <c r="CD128" s="19">
        <f>'D2C - Retail'!CK155</f>
        <v>6648228.9491976043</v>
      </c>
      <c r="CE128" s="19">
        <f>'D2C - Retail'!CL155</f>
        <v>6158400.9663863694</v>
      </c>
      <c r="CF128" s="19">
        <f>'D2C - Retail'!CM155</f>
        <v>7661312.6779537899</v>
      </c>
      <c r="CG128" s="19">
        <f>'D2C - Retail'!CN155</f>
        <v>7018026.9963345928</v>
      </c>
      <c r="CH128" s="19">
        <f>'D2C - Retail'!CO155</f>
        <v>8321461.3122948203</v>
      </c>
      <c r="CI128" s="19">
        <f>'D2C - Retail'!CP155</f>
        <v>8490673.4373307154</v>
      </c>
      <c r="CJ128" s="19">
        <f>'D2C - Retail'!CQ155</f>
        <v>7856022.9154774714</v>
      </c>
      <c r="CK128" s="19">
        <f>'D2C - Retail'!CR155</f>
        <v>9039926.4632922094</v>
      </c>
      <c r="CL128" s="19">
        <f>'D2C - Retail'!CS155</f>
        <v>8055357.7390538156</v>
      </c>
      <c r="CM128" s="19">
        <f>'D2C - Retail'!CT155</f>
        <v>7900478.7136335829</v>
      </c>
      <c r="CN128" s="19">
        <f>'D2C - Retail'!CU155</f>
        <v>7837988.1917865276</v>
      </c>
      <c r="CO128" s="19">
        <f>'D2C - Retail'!CV155</f>
        <v>8480326.6520487908</v>
      </c>
      <c r="CP128" s="19">
        <f>'D2C - Retail'!CW155</f>
        <v>7550377.8308268506</v>
      </c>
      <c r="CQ128" s="19">
        <f>'D2C - Retail'!CX155</f>
        <v>6983791.1491452754</v>
      </c>
      <c r="CR128" s="19">
        <f>'D2C - Retail'!CY155</f>
        <v>8692726.0252216961</v>
      </c>
      <c r="CS128" s="19">
        <f>'D2C - Retail'!CZ155</f>
        <v>7955883.5537951319</v>
      </c>
      <c r="CT128" s="19">
        <f>'D2C - Retail'!DA155</f>
        <v>9436306.3564438205</v>
      </c>
      <c r="CU128" s="19">
        <f>'D2C - Retail'!DB155</f>
        <v>9626120.3536675218</v>
      </c>
      <c r="CV128" s="19">
        <f>'D2C - Retail'!DC155</f>
        <v>8899501.2933173496</v>
      </c>
      <c r="CW128" s="19">
        <f>'D2C - Retail'!DD155</f>
        <v>10242348.579891756</v>
      </c>
      <c r="CY128" s="19">
        <f t="shared" si="456"/>
        <v>0</v>
      </c>
      <c r="CZ128" s="19">
        <f t="shared" si="457"/>
        <v>0</v>
      </c>
      <c r="DA128" s="19">
        <f t="shared" si="458"/>
        <v>0</v>
      </c>
      <c r="DB128" s="19">
        <f t="shared" si="459"/>
        <v>0</v>
      </c>
      <c r="DC128" s="19">
        <f t="shared" si="460"/>
        <v>0</v>
      </c>
      <c r="DD128" s="19">
        <f t="shared" si="461"/>
        <v>0</v>
      </c>
      <c r="DE128" s="19">
        <f t="shared" si="462"/>
        <v>0</v>
      </c>
      <c r="DF128" s="19">
        <f t="shared" si="463"/>
        <v>0</v>
      </c>
      <c r="DG128" s="19">
        <f t="shared" si="464"/>
        <v>375233</v>
      </c>
      <c r="DH128" s="19">
        <f t="shared" si="465"/>
        <v>0</v>
      </c>
      <c r="DI128" s="19">
        <f t="shared" si="466"/>
        <v>5757279.5423728814</v>
      </c>
      <c r="DJ128" s="19">
        <f t="shared" si="467"/>
        <v>11979258.937118646</v>
      </c>
      <c r="DK128" s="19">
        <f t="shared" si="468"/>
        <v>17092509.687850155</v>
      </c>
      <c r="DL128" s="19">
        <f t="shared" si="469"/>
        <v>16659698.33136034</v>
      </c>
      <c r="DM128" s="19">
        <f t="shared" si="470"/>
        <v>19104305.662301563</v>
      </c>
      <c r="DN128" s="19">
        <f t="shared" si="471"/>
        <v>21409347.998402119</v>
      </c>
      <c r="DO128" s="19">
        <f t="shared" si="472"/>
        <v>20900619.842638724</v>
      </c>
      <c r="DP128" s="19">
        <f t="shared" si="473"/>
        <v>20263979.615890991</v>
      </c>
      <c r="DQ128" s="19">
        <f t="shared" si="474"/>
        <v>23000800.986583203</v>
      </c>
      <c r="DR128" s="19">
        <f t="shared" si="475"/>
        <v>25386622.816100396</v>
      </c>
      <c r="DS128" s="19">
        <f t="shared" si="312"/>
        <v>23793824.644473925</v>
      </c>
      <c r="DT128" s="19">
        <f t="shared" si="313"/>
        <v>23014495.632020917</v>
      </c>
      <c r="DU128" s="19">
        <f t="shared" si="314"/>
        <v>26084915.935460649</v>
      </c>
      <c r="DV128" s="19">
        <f t="shared" si="315"/>
        <v>28767970.226876628</v>
      </c>
      <c r="DX128" s="19">
        <f t="shared" si="476"/>
        <v>0</v>
      </c>
      <c r="DY128" s="19">
        <f t="shared" si="477"/>
        <v>0</v>
      </c>
      <c r="DZ128" s="19">
        <f t="shared" si="478"/>
        <v>18111771.479491528</v>
      </c>
      <c r="EA128" s="19">
        <f t="shared" si="479"/>
        <v>74265861.679914176</v>
      </c>
      <c r="EB128" s="19">
        <f t="shared" si="480"/>
        <v>89552023.261213303</v>
      </c>
      <c r="EC128" s="770">
        <f t="shared" si="316"/>
        <v>101661206.43883212</v>
      </c>
    </row>
    <row r="129" spans="2:134" x14ac:dyDescent="0.2">
      <c r="B129" s="22" t="s">
        <v>53</v>
      </c>
      <c r="C129" s="20">
        <f>C117/C50</f>
        <v>0.11868288095607858</v>
      </c>
      <c r="D129" s="20">
        <f t="shared" ref="D129:BO129" si="484">D117/D50</f>
        <v>0.11958921303087444</v>
      </c>
      <c r="E129" s="20">
        <f t="shared" si="484"/>
        <v>0.14321576557061311</v>
      </c>
      <c r="F129" s="20">
        <f t="shared" si="484"/>
        <v>0.24660882554524843</v>
      </c>
      <c r="G129" s="20">
        <f t="shared" si="484"/>
        <v>1.4612876274562556</v>
      </c>
      <c r="H129" s="20">
        <f t="shared" si="484"/>
        <v>0.2405286502024809</v>
      </c>
      <c r="I129" s="20">
        <f t="shared" si="484"/>
        <v>0.23701819760898474</v>
      </c>
      <c r="J129" s="20">
        <f t="shared" si="484"/>
        <v>0.2236121173327579</v>
      </c>
      <c r="K129" s="20">
        <f t="shared" si="484"/>
        <v>0.18626320220295964</v>
      </c>
      <c r="L129" s="20">
        <f t="shared" si="484"/>
        <v>0.20300045905462544</v>
      </c>
      <c r="M129" s="20">
        <f t="shared" si="484"/>
        <v>0.13893294499491263</v>
      </c>
      <c r="N129" s="20">
        <f t="shared" si="484"/>
        <v>0.13421626667308215</v>
      </c>
      <c r="O129" s="20">
        <f t="shared" si="484"/>
        <v>0.13167018362436181</v>
      </c>
      <c r="P129" s="20">
        <f t="shared" si="484"/>
        <v>0.12370510049166222</v>
      </c>
      <c r="Q129" s="20">
        <f t="shared" si="484"/>
        <v>0.13835289013525381</v>
      </c>
      <c r="R129" s="20">
        <f t="shared" si="484"/>
        <v>0.1679755822280565</v>
      </c>
      <c r="S129" s="20">
        <f t="shared" si="484"/>
        <v>0.15083774747146303</v>
      </c>
      <c r="T129" s="20">
        <f t="shared" si="484"/>
        <v>0.12869563445021329</v>
      </c>
      <c r="U129" s="20">
        <f t="shared" si="484"/>
        <v>0.13859199801489475</v>
      </c>
      <c r="V129" s="20">
        <f t="shared" si="484"/>
        <v>0.15366911288893265</v>
      </c>
      <c r="W129" s="20">
        <f t="shared" si="484"/>
        <v>0.17442703533573323</v>
      </c>
      <c r="X129" s="20">
        <f t="shared" si="484"/>
        <v>0.14615226259933589</v>
      </c>
      <c r="Y129" s="20">
        <f t="shared" si="484"/>
        <v>0.15794464855894014</v>
      </c>
      <c r="Z129" s="20">
        <f t="shared" si="484"/>
        <v>0.1468053707230168</v>
      </c>
      <c r="AA129" s="20">
        <f t="shared" si="484"/>
        <v>0.1379065550027796</v>
      </c>
      <c r="AB129" s="20">
        <f t="shared" si="484"/>
        <v>0.12648026851852723</v>
      </c>
      <c r="AC129" s="20">
        <f t="shared" si="484"/>
        <v>9.4130952568380444E-2</v>
      </c>
      <c r="AD129" s="20">
        <f t="shared" si="484"/>
        <v>8.9199003445744149E-2</v>
      </c>
      <c r="AE129" s="20">
        <f t="shared" si="484"/>
        <v>8.577645974371767E-2</v>
      </c>
      <c r="AF129" s="20">
        <f t="shared" si="484"/>
        <v>8.6451481351975182E-2</v>
      </c>
      <c r="AG129" s="20">
        <f t="shared" si="484"/>
        <v>0.10073448380386353</v>
      </c>
      <c r="AH129" s="20">
        <f t="shared" si="484"/>
        <v>9.5410399379814534E-2</v>
      </c>
      <c r="AI129" s="20">
        <f t="shared" si="484"/>
        <v>9.2528726221131216E-2</v>
      </c>
      <c r="AJ129" s="20">
        <f t="shared" si="484"/>
        <v>6.4561186038658069E-2</v>
      </c>
      <c r="AK129" s="20">
        <f t="shared" si="484"/>
        <v>7.8747200057446495E-2</v>
      </c>
      <c r="AL129" s="20">
        <f t="shared" si="484"/>
        <v>8.8099005707671693E-2</v>
      </c>
      <c r="AM129" s="20">
        <f t="shared" si="484"/>
        <v>8.9444073850865863E-2</v>
      </c>
      <c r="AN129" s="20">
        <f t="shared" si="484"/>
        <v>9.7853091312069485E-2</v>
      </c>
      <c r="AO129" s="20">
        <f t="shared" si="484"/>
        <v>7.8130826021936731E-2</v>
      </c>
      <c r="AP129" s="20">
        <f t="shared" si="484"/>
        <v>8.1226669631469017E-2</v>
      </c>
      <c r="AQ129" s="20">
        <f t="shared" si="484"/>
        <v>8.0914075136174837E-2</v>
      </c>
      <c r="AR129" s="20">
        <f t="shared" si="484"/>
        <v>7.5857878744839652E-2</v>
      </c>
      <c r="AS129" s="20">
        <f t="shared" si="484"/>
        <v>7.6872535770167477E-2</v>
      </c>
      <c r="AT129" s="20">
        <f t="shared" si="484"/>
        <v>8.6708520171565107E-2</v>
      </c>
      <c r="AU129" s="20">
        <f t="shared" si="484"/>
        <v>8.9367427670409366E-2</v>
      </c>
      <c r="AV129" s="20">
        <f t="shared" si="484"/>
        <v>7.3232504332391868E-2</v>
      </c>
      <c r="AW129" s="20">
        <f t="shared" si="484"/>
        <v>7.9315656071111504E-2</v>
      </c>
      <c r="AX129" s="20">
        <f t="shared" si="484"/>
        <v>6.8811792530136195E-2</v>
      </c>
      <c r="AY129" s="20">
        <f t="shared" si="484"/>
        <v>6.5394213199444176E-2</v>
      </c>
      <c r="AZ129" s="20">
        <f t="shared" si="484"/>
        <v>7.050676212353589E-2</v>
      </c>
      <c r="BA129" s="20">
        <f t="shared" si="484"/>
        <v>6.1862915056114097E-2</v>
      </c>
      <c r="BB129" s="20">
        <f t="shared" si="484"/>
        <v>7.1131309980335164E-2</v>
      </c>
      <c r="BC129" s="20">
        <f t="shared" si="484"/>
        <v>7.1948533936207676E-2</v>
      </c>
      <c r="BD129" s="20">
        <f t="shared" si="484"/>
        <v>7.5104628124636807E-2</v>
      </c>
      <c r="BE129" s="20">
        <f t="shared" si="484"/>
        <v>7.52738767624926E-2</v>
      </c>
      <c r="BF129" s="20">
        <f t="shared" si="484"/>
        <v>8.8922226498130585E-2</v>
      </c>
      <c r="BG129" s="20">
        <f t="shared" si="484"/>
        <v>8.3551978285350506E-2</v>
      </c>
      <c r="BH129" s="20">
        <f t="shared" si="484"/>
        <v>7.8733198250440117E-2</v>
      </c>
      <c r="BI129" s="20">
        <f t="shared" si="484"/>
        <v>8.2625273797907711E-2</v>
      </c>
      <c r="BJ129" s="20">
        <f t="shared" si="484"/>
        <v>7.3220623707746443E-2</v>
      </c>
      <c r="BK129" s="20">
        <f t="shared" si="484"/>
        <v>7.1094766330371942E-2</v>
      </c>
      <c r="BL129" s="20">
        <f t="shared" si="484"/>
        <v>7.6673493612782029E-2</v>
      </c>
      <c r="BM129" s="20">
        <f t="shared" si="484"/>
        <v>6.7810317344506502E-2</v>
      </c>
      <c r="BN129" s="20">
        <f t="shared" si="484"/>
        <v>8.3235241669503857E-2</v>
      </c>
      <c r="BO129" s="20">
        <f t="shared" si="484"/>
        <v>8.3890915116029363E-2</v>
      </c>
      <c r="BP129" s="20">
        <f t="shared" ref="BP129:EB129" si="485">BP117/BP50</f>
        <v>8.4010357346136572E-2</v>
      </c>
      <c r="BQ129" s="20">
        <f t="shared" si="485"/>
        <v>7.9918808351521348E-2</v>
      </c>
      <c r="BR129" s="20">
        <f t="shared" si="485"/>
        <v>8.7007264168872486E-2</v>
      </c>
      <c r="BS129" s="20">
        <f t="shared" si="485"/>
        <v>8.7413024137626888E-2</v>
      </c>
      <c r="BT129" s="20">
        <f t="shared" si="485"/>
        <v>7.8307120576730782E-2</v>
      </c>
      <c r="BU129" s="20">
        <f t="shared" si="485"/>
        <v>8.1938198771942222E-2</v>
      </c>
      <c r="BV129" s="20">
        <f t="shared" si="485"/>
        <v>6.9003123862875881E-2</v>
      </c>
      <c r="BW129" s="20">
        <f t="shared" si="485"/>
        <v>6.6188500207337048E-2</v>
      </c>
      <c r="BX129" s="20">
        <f t="shared" si="485"/>
        <v>7.2980639915875889E-2</v>
      </c>
      <c r="BY129" s="20">
        <f t="shared" si="485"/>
        <v>6.5303348960712715E-2</v>
      </c>
      <c r="BZ129" s="20">
        <f t="shared" si="485"/>
        <v>7.658289043800745E-2</v>
      </c>
      <c r="CA129" s="20">
        <f t="shared" si="485"/>
        <v>7.7086456643058826E-2</v>
      </c>
      <c r="CB129" s="20">
        <f t="shared" si="485"/>
        <v>7.7419047744918312E-2</v>
      </c>
      <c r="CC129" s="20">
        <f t="shared" si="485"/>
        <v>7.3677065979477235E-2</v>
      </c>
      <c r="CD129" s="20">
        <f t="shared" si="485"/>
        <v>8.0277439416647625E-2</v>
      </c>
      <c r="CE129" s="20">
        <f t="shared" si="485"/>
        <v>8.0804898926455274E-2</v>
      </c>
      <c r="CF129" s="20">
        <f t="shared" si="485"/>
        <v>7.2505510439162354E-2</v>
      </c>
      <c r="CG129" s="20">
        <f t="shared" si="485"/>
        <v>7.608302768420884E-2</v>
      </c>
      <c r="CH129" s="20">
        <f t="shared" si="485"/>
        <v>6.42637104149308E-2</v>
      </c>
      <c r="CI129" s="20">
        <f t="shared" si="485"/>
        <v>6.1794428911612471E-2</v>
      </c>
      <c r="CJ129" s="20">
        <f t="shared" si="485"/>
        <v>6.8276749208407109E-2</v>
      </c>
      <c r="CK129" s="20">
        <f t="shared" si="485"/>
        <v>6.1508110254523643E-2</v>
      </c>
      <c r="CL129" s="20">
        <f t="shared" ref="CL129:CW129" si="486">CL117/CL50</f>
        <v>7.3403192029848727E-2</v>
      </c>
      <c r="CM129" s="20">
        <f t="shared" si="486"/>
        <v>7.3904125732312878E-2</v>
      </c>
      <c r="CN129" s="20">
        <f t="shared" si="486"/>
        <v>7.4243026502425258E-2</v>
      </c>
      <c r="CO129" s="20">
        <f t="shared" si="486"/>
        <v>7.0721902054935185E-2</v>
      </c>
      <c r="CP129" s="20">
        <f t="shared" si="486"/>
        <v>7.7052947426204929E-2</v>
      </c>
      <c r="CQ129" s="20">
        <f t="shared" si="486"/>
        <v>7.7479251220311809E-2</v>
      </c>
      <c r="CR129" s="20">
        <f t="shared" si="486"/>
        <v>6.9704216135629521E-2</v>
      </c>
      <c r="CS129" s="20">
        <f t="shared" si="486"/>
        <v>7.3099977940293118E-2</v>
      </c>
      <c r="CT129" s="20">
        <f t="shared" si="486"/>
        <v>6.1735949477406259E-2</v>
      </c>
      <c r="CU129" s="20">
        <f t="shared" si="486"/>
        <v>5.9340478780322808E-2</v>
      </c>
      <c r="CV129" s="20">
        <f t="shared" si="486"/>
        <v>6.5631768011641389E-2</v>
      </c>
      <c r="CW129" s="20">
        <f t="shared" si="486"/>
        <v>5.9176941049228562E-2</v>
      </c>
      <c r="CY129" s="20">
        <f t="shared" si="485"/>
        <v>8.710836331434163E-2</v>
      </c>
      <c r="CZ129" s="20">
        <f t="shared" si="485"/>
        <v>9.6139581531224844E-2</v>
      </c>
      <c r="DA129" s="20">
        <f t="shared" si="485"/>
        <v>7.5948530950963808E-2</v>
      </c>
      <c r="DB129" s="20">
        <f t="shared" si="485"/>
        <v>8.7688090193295889E-2</v>
      </c>
      <c r="DC129" s="20">
        <f t="shared" si="485"/>
        <v>7.924535308754764E-2</v>
      </c>
      <c r="DD129" s="20">
        <f t="shared" si="485"/>
        <v>8.3916648355155207E-2</v>
      </c>
      <c r="DE129" s="20">
        <f t="shared" si="485"/>
        <v>7.3483319862053947E-2</v>
      </c>
      <c r="DF129" s="20">
        <f t="shared" si="485"/>
        <v>6.5565942380640674E-2</v>
      </c>
      <c r="DG129" s="20">
        <f t="shared" si="485"/>
        <v>7.2724258794886573E-2</v>
      </c>
      <c r="DH129" s="20">
        <f t="shared" si="485"/>
        <v>8.2242585014972044E-2</v>
      </c>
      <c r="DI129" s="20">
        <f t="shared" si="485"/>
        <v>7.7856682304297153E-2</v>
      </c>
      <c r="DJ129" s="20">
        <f t="shared" si="485"/>
        <v>7.1595524581842818E-2</v>
      </c>
      <c r="DK129" s="20">
        <f t="shared" si="485"/>
        <v>8.3710546588129681E-2</v>
      </c>
      <c r="DL129" s="20">
        <f t="shared" si="485"/>
        <v>8.4618877035941328E-2</v>
      </c>
      <c r="DM129" s="20">
        <f t="shared" si="485"/>
        <v>7.5982446228748071E-2</v>
      </c>
      <c r="DN129" s="20">
        <f t="shared" si="485"/>
        <v>6.7974578576597097E-2</v>
      </c>
      <c r="DO129" s="20">
        <f t="shared" si="485"/>
        <v>7.7027660259239017E-2</v>
      </c>
      <c r="DP129" s="20">
        <f t="shared" si="485"/>
        <v>7.8096659471991181E-2</v>
      </c>
      <c r="DQ129" s="20">
        <f t="shared" si="485"/>
        <v>7.0564434494717818E-2</v>
      </c>
      <c r="DR129" s="20">
        <f t="shared" si="485"/>
        <v>6.3697357070115326E-2</v>
      </c>
      <c r="DS129" s="20">
        <f t="shared" si="485"/>
        <v>7.3848206478192624E-2</v>
      </c>
      <c r="DT129" s="20">
        <f t="shared" si="485"/>
        <v>7.493590940187729E-2</v>
      </c>
      <c r="DU129" s="20">
        <f t="shared" si="485"/>
        <v>6.7806784419223734E-2</v>
      </c>
      <c r="DV129" s="20">
        <f t="shared" si="485"/>
        <v>6.1226598337771776E-2</v>
      </c>
      <c r="DW129" s="771"/>
      <c r="DX129" s="20">
        <f t="shared" si="485"/>
        <v>8.6025278310550346E-2</v>
      </c>
      <c r="DY129" s="20">
        <f t="shared" si="485"/>
        <v>7.4597552581740251E-2</v>
      </c>
      <c r="DZ129" s="20">
        <f t="shared" si="485"/>
        <v>7.5761686125186037E-2</v>
      </c>
      <c r="EA129" s="20">
        <f t="shared" si="485"/>
        <v>7.7411498211118798E-2</v>
      </c>
      <c r="EB129" s="20">
        <f t="shared" si="485"/>
        <v>7.1823542085890063E-2</v>
      </c>
      <c r="EC129" s="20">
        <f t="shared" ref="EC129" si="487">EC117/EC50</f>
        <v>6.8962703732490832E-2</v>
      </c>
    </row>
    <row r="130" spans="2:134" x14ac:dyDescent="0.2">
      <c r="B130" s="22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X130" s="19"/>
      <c r="DY130" s="19"/>
      <c r="DZ130" s="19"/>
      <c r="EA130" s="19"/>
      <c r="EB130" s="19"/>
      <c r="EC130" s="770">
        <f t="shared" si="316"/>
        <v>0</v>
      </c>
    </row>
    <row r="131" spans="2:134" x14ac:dyDescent="0.2">
      <c r="B131" s="212" t="s">
        <v>54</v>
      </c>
      <c r="C131" s="199">
        <f>C112-C117</f>
        <v>1514058.1888529351</v>
      </c>
      <c r="D131" s="199">
        <f t="shared" ref="D131:BO131" si="488">D112-D117</f>
        <v>1706689.178039928</v>
      </c>
      <c r="E131" s="199">
        <f t="shared" si="488"/>
        <v>2452125.5382891996</v>
      </c>
      <c r="F131" s="199">
        <f t="shared" si="488"/>
        <v>-1581189.7978632441</v>
      </c>
      <c r="G131" s="199">
        <f t="shared" si="488"/>
        <v>-5450432.9739773925</v>
      </c>
      <c r="H131" s="199">
        <f t="shared" si="488"/>
        <v>-439201.15009399969</v>
      </c>
      <c r="I131" s="199">
        <f t="shared" si="488"/>
        <v>206478.27957759053</v>
      </c>
      <c r="J131" s="199">
        <f t="shared" si="488"/>
        <v>-246679.53861528821</v>
      </c>
      <c r="K131" s="199">
        <f t="shared" si="488"/>
        <v>-101095.4368001502</v>
      </c>
      <c r="L131" s="199">
        <f t="shared" si="488"/>
        <v>-1822598.1950653605</v>
      </c>
      <c r="M131" s="199">
        <f t="shared" si="488"/>
        <v>6027485.3908106592</v>
      </c>
      <c r="N131" s="199">
        <f t="shared" si="488"/>
        <v>6587382.1976838168</v>
      </c>
      <c r="O131" s="199">
        <f t="shared" si="488"/>
        <v>4249994.8290941697</v>
      </c>
      <c r="P131" s="199">
        <f t="shared" si="488"/>
        <v>6713044.9075585902</v>
      </c>
      <c r="Q131" s="199">
        <f t="shared" si="488"/>
        <v>3483472.9577744566</v>
      </c>
      <c r="R131" s="199">
        <f t="shared" si="488"/>
        <v>528252.37882705405</v>
      </c>
      <c r="S131" s="199">
        <f t="shared" si="488"/>
        <v>290978.41850573942</v>
      </c>
      <c r="T131" s="199">
        <f t="shared" si="488"/>
        <v>2279685.8821240626</v>
      </c>
      <c r="U131" s="199">
        <f t="shared" si="488"/>
        <v>1512268.5076592192</v>
      </c>
      <c r="V131" s="199">
        <f t="shared" si="488"/>
        <v>-3729439.1575144567</v>
      </c>
      <c r="W131" s="199">
        <f t="shared" si="488"/>
        <v>-12477898.227260515</v>
      </c>
      <c r="X131" s="199">
        <f t="shared" si="488"/>
        <v>-8138151.7917186841</v>
      </c>
      <c r="Y131" s="199">
        <f t="shared" si="488"/>
        <v>-8343288.6939655393</v>
      </c>
      <c r="Z131" s="199">
        <f t="shared" si="488"/>
        <v>-5113379.8679450825</v>
      </c>
      <c r="AA131" s="199">
        <f t="shared" si="488"/>
        <v>-125293.71469677985</v>
      </c>
      <c r="AB131" s="199">
        <f t="shared" si="488"/>
        <v>3368625.2806149125</v>
      </c>
      <c r="AC131" s="199">
        <f t="shared" si="488"/>
        <v>7126886.1547752768</v>
      </c>
      <c r="AD131" s="199">
        <f t="shared" si="488"/>
        <v>-1102438.7889283299</v>
      </c>
      <c r="AE131" s="199">
        <f t="shared" si="488"/>
        <v>8578115.0522537231</v>
      </c>
      <c r="AF131" s="199">
        <f t="shared" si="488"/>
        <v>13714249.060789272</v>
      </c>
      <c r="AG131" s="199">
        <f t="shared" si="488"/>
        <v>5236304.7082461566</v>
      </c>
      <c r="AH131" s="199">
        <f t="shared" si="488"/>
        <v>9125553.4413147569</v>
      </c>
      <c r="AI131" s="199">
        <f t="shared" si="488"/>
        <v>-2430534.5339913592</v>
      </c>
      <c r="AJ131" s="199">
        <f t="shared" si="488"/>
        <v>11952548.323583543</v>
      </c>
      <c r="AK131" s="199">
        <f t="shared" si="488"/>
        <v>13864393.81030415</v>
      </c>
      <c r="AL131" s="199">
        <f t="shared" si="488"/>
        <v>12903999.331138365</v>
      </c>
      <c r="AM131" s="199">
        <f t="shared" si="488"/>
        <v>15119009.439476497</v>
      </c>
      <c r="AN131" s="199">
        <f t="shared" si="488"/>
        <v>19539281.33501222</v>
      </c>
      <c r="AO131" s="199">
        <f t="shared" si="488"/>
        <v>33935862.780831672</v>
      </c>
      <c r="AP131" s="199">
        <f t="shared" si="488"/>
        <v>28653161.567217954</v>
      </c>
      <c r="AQ131" s="199">
        <f t="shared" si="488"/>
        <v>34716442.346102454</v>
      </c>
      <c r="AR131" s="199">
        <f t="shared" si="488"/>
        <v>42962439.201204926</v>
      </c>
      <c r="AS131" s="199">
        <f t="shared" si="488"/>
        <v>37497202.22681509</v>
      </c>
      <c r="AT131" s="199">
        <f t="shared" si="488"/>
        <v>30991726.996627055</v>
      </c>
      <c r="AU131" s="199">
        <f t="shared" si="488"/>
        <v>22185295.071825512</v>
      </c>
      <c r="AV131" s="199">
        <f t="shared" si="488"/>
        <v>41890122.218398221</v>
      </c>
      <c r="AW131" s="199">
        <f t="shared" si="488"/>
        <v>37484342.235986993</v>
      </c>
      <c r="AX131" s="199">
        <f t="shared" si="488"/>
        <v>48915256.813369066</v>
      </c>
      <c r="AY131" s="199">
        <f t="shared" si="488"/>
        <v>51188568.945590392</v>
      </c>
      <c r="AZ131" s="199">
        <f t="shared" si="488"/>
        <v>44015003.731720239</v>
      </c>
      <c r="BA131" s="199">
        <f t="shared" si="488"/>
        <v>63164685.081518129</v>
      </c>
      <c r="BB131" s="199">
        <f t="shared" si="488"/>
        <v>49301781.898936406</v>
      </c>
      <c r="BC131" s="199">
        <f t="shared" si="488"/>
        <v>47211143.336967357</v>
      </c>
      <c r="BD131" s="199">
        <f t="shared" si="488"/>
        <v>51150890.72024142</v>
      </c>
      <c r="BE131" s="199">
        <f t="shared" si="488"/>
        <v>52145099.984504253</v>
      </c>
      <c r="BF131" s="199">
        <f t="shared" si="488"/>
        <v>46923344.820558421</v>
      </c>
      <c r="BG131" s="199">
        <f t="shared" si="488"/>
        <v>36976149.551192321</v>
      </c>
      <c r="BH131" s="199">
        <f t="shared" si="488"/>
        <v>50534140.961106345</v>
      </c>
      <c r="BI131" s="199">
        <f t="shared" si="488"/>
        <v>50719212.563000098</v>
      </c>
      <c r="BJ131" s="199">
        <f t="shared" si="488"/>
        <v>62039533.896202162</v>
      </c>
      <c r="BK131" s="199">
        <f t="shared" si="488"/>
        <v>65762854.648057356</v>
      </c>
      <c r="BL131" s="199">
        <f t="shared" si="488"/>
        <v>49442146.736652106</v>
      </c>
      <c r="BM131" s="199">
        <f t="shared" si="488"/>
        <v>59724230.199910879</v>
      </c>
      <c r="BN131" s="199">
        <f t="shared" si="488"/>
        <v>57514825.018895596</v>
      </c>
      <c r="BO131" s="199">
        <f t="shared" si="488"/>
        <v>56168212.06262961</v>
      </c>
      <c r="BP131" s="199">
        <f t="shared" ref="BP131:CK131" si="489">BP112-BP117</f>
        <v>56081155.849368811</v>
      </c>
      <c r="BQ131" s="199">
        <f t="shared" si="489"/>
        <v>63983102.178380251</v>
      </c>
      <c r="BR131" s="199">
        <f t="shared" si="489"/>
        <v>51684587.128513753</v>
      </c>
      <c r="BS131" s="199">
        <f t="shared" si="489"/>
        <v>49514560.699782312</v>
      </c>
      <c r="BT131" s="199">
        <f t="shared" si="489"/>
        <v>67762792.296769008</v>
      </c>
      <c r="BU131" s="199">
        <f t="shared" si="489"/>
        <v>60279778.651509136</v>
      </c>
      <c r="BV131" s="199">
        <f t="shared" si="489"/>
        <v>86855528.224534914</v>
      </c>
      <c r="BW131" s="199">
        <f t="shared" si="489"/>
        <v>93522718.294752017</v>
      </c>
      <c r="BX131" s="199">
        <f t="shared" si="489"/>
        <v>78117406.334961534</v>
      </c>
      <c r="BY131" s="199">
        <f t="shared" si="489"/>
        <v>98693627.889822736</v>
      </c>
      <c r="BZ131" s="199">
        <f t="shared" si="489"/>
        <v>76054615.040534511</v>
      </c>
      <c r="CA131" s="199">
        <f t="shared" si="489"/>
        <v>74689142.234401524</v>
      </c>
      <c r="CB131" s="199">
        <f t="shared" si="489"/>
        <v>73967751.867678314</v>
      </c>
      <c r="CC131" s="199">
        <f t="shared" si="489"/>
        <v>83420160.217329204</v>
      </c>
      <c r="CD131" s="199">
        <f t="shared" si="489"/>
        <v>68420032.081694514</v>
      </c>
      <c r="CE131" s="199">
        <f t="shared" si="489"/>
        <v>65373582.055284932</v>
      </c>
      <c r="CF131" s="199">
        <f t="shared" si="489"/>
        <v>86974573.80521293</v>
      </c>
      <c r="CG131" s="199">
        <f t="shared" si="489"/>
        <v>77355282.85676375</v>
      </c>
      <c r="CH131" s="199">
        <f t="shared" si="489"/>
        <v>108289731.62875631</v>
      </c>
      <c r="CI131" s="199">
        <f t="shared" si="489"/>
        <v>115514221.82219966</v>
      </c>
      <c r="CJ131" s="199">
        <f t="shared" si="489"/>
        <v>96784859.230975077</v>
      </c>
      <c r="CK131" s="199">
        <f t="shared" si="489"/>
        <v>119310736.18174084</v>
      </c>
      <c r="CL131" s="199">
        <f t="shared" ref="CL131:CW131" si="490">CL112-CL117</f>
        <v>88686119.05799146</v>
      </c>
      <c r="CM131" s="199">
        <f t="shared" si="490"/>
        <v>87057847.779911608</v>
      </c>
      <c r="CN131" s="199">
        <f t="shared" si="490"/>
        <v>86168310.41229628</v>
      </c>
      <c r="CO131" s="199">
        <f t="shared" si="490"/>
        <v>96690816.675525784</v>
      </c>
      <c r="CP131" s="199">
        <f t="shared" si="490"/>
        <v>79664054.272722438</v>
      </c>
      <c r="CQ131" s="199">
        <f t="shared" si="490"/>
        <v>76356443.620574623</v>
      </c>
      <c r="CR131" s="199">
        <f t="shared" si="490"/>
        <v>100331036.83651631</v>
      </c>
      <c r="CS131" s="199">
        <f t="shared" si="490"/>
        <v>89535650.15679276</v>
      </c>
      <c r="CT131" s="199">
        <f t="shared" si="490"/>
        <v>124592993.8963553</v>
      </c>
      <c r="CU131" s="199">
        <f t="shared" si="490"/>
        <v>132861316.97187351</v>
      </c>
      <c r="CV131" s="199">
        <f t="shared" si="490"/>
        <v>111393378.73297279</v>
      </c>
      <c r="CW131" s="199">
        <f t="shared" si="490"/>
        <v>136681680.67459762</v>
      </c>
      <c r="CY131" s="199">
        <f>SUM(AD131:AF131)</f>
        <v>21189925.324114665</v>
      </c>
      <c r="CZ131" s="199">
        <f>SUM(AG131:AI131)</f>
        <v>11931323.615569554</v>
      </c>
      <c r="DA131" s="199">
        <f>SUM(AJ131:AL131)</f>
        <v>38720941.465026058</v>
      </c>
      <c r="DB131" s="199">
        <f>SUM(AM131:AO131)</f>
        <v>68594153.555320382</v>
      </c>
      <c r="DC131" s="199">
        <f>SUM(AP131:AR131)</f>
        <v>106332043.11452533</v>
      </c>
      <c r="DD131" s="199">
        <f>SUM(AS131:AU131)</f>
        <v>90674224.295267642</v>
      </c>
      <c r="DE131" s="199">
        <f>SUM(AV131:AX131)</f>
        <v>128289721.26775429</v>
      </c>
      <c r="DF131" s="199">
        <f>SUM(AY131:BA131)</f>
        <v>158368257.75882876</v>
      </c>
      <c r="DG131" s="199">
        <f>SUM(BB131:BD131)</f>
        <v>147663815.9561452</v>
      </c>
      <c r="DH131" s="199">
        <f>SUM(BE131:BG131)</f>
        <v>136044594.35625499</v>
      </c>
      <c r="DI131" s="199">
        <f>SUM(BH131:BJ131)</f>
        <v>163292887.42030859</v>
      </c>
      <c r="DJ131" s="199">
        <f>SUM(BK131:BM131)</f>
        <v>174929231.58462036</v>
      </c>
      <c r="DK131" s="199">
        <f>SUM(BN131:BP131)</f>
        <v>169764192.93089402</v>
      </c>
      <c r="DL131" s="199">
        <f>SUM(BQ131:BS131)</f>
        <v>165182250.00667632</v>
      </c>
      <c r="DM131" s="199">
        <f>SUM(BT131:BV131)</f>
        <v>214898099.17281306</v>
      </c>
      <c r="DN131" s="199">
        <f>SUM(BW131:BY131)</f>
        <v>270333752.51953626</v>
      </c>
      <c r="DO131" s="199">
        <f>SUM(BZ131:CB131)</f>
        <v>224711509.14261433</v>
      </c>
      <c r="DP131" s="199">
        <f>SUM(CC131:CE131)</f>
        <v>217213774.35430866</v>
      </c>
      <c r="DQ131" s="199">
        <f>SUM(CF131:CH131)</f>
        <v>272619588.29073298</v>
      </c>
      <c r="DR131" s="199">
        <f>SUM(CI131:CK131)</f>
        <v>331609817.23491555</v>
      </c>
      <c r="DS131" s="199">
        <f t="shared" si="312"/>
        <v>261912277.25019938</v>
      </c>
      <c r="DT131" s="199">
        <f t="shared" si="313"/>
        <v>252711314.56882283</v>
      </c>
      <c r="DU131" s="199">
        <f t="shared" si="314"/>
        <v>314459680.88966441</v>
      </c>
      <c r="DV131" s="199">
        <f t="shared" si="315"/>
        <v>380936376.37944388</v>
      </c>
      <c r="DX131" s="199">
        <f t="shared" ref="DX131:DX133" si="491">SUM(CY131:DB131)</f>
        <v>140436343.96003067</v>
      </c>
      <c r="DY131" s="199">
        <f t="shared" ref="DY131:DY133" si="492">SUM(DC131:DF131)</f>
        <v>483664246.43637598</v>
      </c>
      <c r="DZ131" s="199">
        <f t="shared" ref="DZ131:DZ133" si="493">SUM(DG131:DJ131)</f>
        <v>621930529.31732917</v>
      </c>
      <c r="EA131" s="199">
        <f t="shared" ref="EA131:EA133" si="494">SUM(DK131:DN131)</f>
        <v>820178294.62991965</v>
      </c>
      <c r="EB131" s="199">
        <f t="shared" ref="EB131:EB133" si="495">SUM(DO131:DR131)</f>
        <v>1046154689.0225716</v>
      </c>
      <c r="EC131" s="810">
        <f t="shared" si="316"/>
        <v>1210019649.0881305</v>
      </c>
    </row>
    <row r="132" spans="2:134" x14ac:dyDescent="0.2">
      <c r="B132" s="155" t="s">
        <v>229</v>
      </c>
      <c r="C132" s="213">
        <f>C113-C118</f>
        <v>1271715.5610621506</v>
      </c>
      <c r="D132" s="213">
        <f t="shared" ref="D132:BO132" si="496">D113-D118</f>
        <v>1601138.1751523288</v>
      </c>
      <c r="E132" s="213">
        <f t="shared" si="496"/>
        <v>2120550.9627275001</v>
      </c>
      <c r="F132" s="213">
        <f t="shared" si="496"/>
        <v>-1667092.4456644449</v>
      </c>
      <c r="G132" s="213">
        <f t="shared" si="496"/>
        <v>-5442148.0700797262</v>
      </c>
      <c r="H132" s="213">
        <f t="shared" si="496"/>
        <v>-851072.16081422754</v>
      </c>
      <c r="I132" s="213">
        <f t="shared" si="496"/>
        <v>-643917.31248527672</v>
      </c>
      <c r="J132" s="213">
        <f t="shared" si="496"/>
        <v>-750210.38135242648</v>
      </c>
      <c r="K132" s="213">
        <f t="shared" si="496"/>
        <v>-1056151.4354219195</v>
      </c>
      <c r="L132" s="213">
        <f t="shared" si="496"/>
        <v>-1998144.102852067</v>
      </c>
      <c r="M132" s="213">
        <f t="shared" si="496"/>
        <v>4144699.9768118002</v>
      </c>
      <c r="N132" s="213">
        <f t="shared" si="496"/>
        <v>4492190.3831571862</v>
      </c>
      <c r="O132" s="213">
        <f t="shared" si="496"/>
        <v>1362317.6747256797</v>
      </c>
      <c r="P132" s="213">
        <f t="shared" si="496"/>
        <v>3379510.1947210785</v>
      </c>
      <c r="Q132" s="213">
        <f t="shared" si="496"/>
        <v>1644688.1004091389</v>
      </c>
      <c r="R132" s="213">
        <f t="shared" si="496"/>
        <v>-1064581.4130832851</v>
      </c>
      <c r="S132" s="213">
        <f t="shared" si="496"/>
        <v>-1158942.7330995351</v>
      </c>
      <c r="T132" s="213">
        <f t="shared" si="496"/>
        <v>210793.45495953038</v>
      </c>
      <c r="U132" s="213">
        <f t="shared" si="496"/>
        <v>742061.97069326788</v>
      </c>
      <c r="V132" s="213">
        <f t="shared" si="496"/>
        <v>-3461415.630895216</v>
      </c>
      <c r="W132" s="213">
        <f t="shared" si="496"/>
        <v>-11747518.069083955</v>
      </c>
      <c r="X132" s="213">
        <f t="shared" si="496"/>
        <v>-8832750.7068971209</v>
      </c>
      <c r="Y132" s="213">
        <f t="shared" si="496"/>
        <v>-9487161.2567881756</v>
      </c>
      <c r="Z132" s="213">
        <f t="shared" si="496"/>
        <v>-4857062.1933936663</v>
      </c>
      <c r="AA132" s="213">
        <f t="shared" si="496"/>
        <v>-1960739.2567942366</v>
      </c>
      <c r="AB132" s="213">
        <f t="shared" si="496"/>
        <v>-273006.06152421236</v>
      </c>
      <c r="AC132" s="213">
        <f t="shared" si="496"/>
        <v>4179750.9308379963</v>
      </c>
      <c r="AD132" s="213">
        <f t="shared" si="496"/>
        <v>2275533.8279431015</v>
      </c>
      <c r="AE132" s="213">
        <f t="shared" si="496"/>
        <v>7547433.4182298779</v>
      </c>
      <c r="AF132" s="213">
        <f t="shared" si="496"/>
        <v>7820694.4832624048</v>
      </c>
      <c r="AG132" s="213">
        <f t="shared" si="496"/>
        <v>5501938.8506956771</v>
      </c>
      <c r="AH132" s="213">
        <f t="shared" si="496"/>
        <v>6088079.7016911358</v>
      </c>
      <c r="AI132" s="213">
        <f t="shared" si="496"/>
        <v>120837.6413474381</v>
      </c>
      <c r="AJ132" s="213">
        <f t="shared" si="496"/>
        <v>7009778.2895788848</v>
      </c>
      <c r="AK132" s="213">
        <f t="shared" si="496"/>
        <v>5321732.4965927228</v>
      </c>
      <c r="AL132" s="213">
        <f t="shared" si="496"/>
        <v>1629566.96668984</v>
      </c>
      <c r="AM132" s="213">
        <f t="shared" si="496"/>
        <v>1560032.6936443113</v>
      </c>
      <c r="AN132" s="213">
        <f t="shared" si="496"/>
        <v>9312819.8147232234</v>
      </c>
      <c r="AO132" s="213">
        <f t="shared" si="496"/>
        <v>14724509.470046919</v>
      </c>
      <c r="AP132" s="213">
        <f t="shared" si="496"/>
        <v>12596142.143562321</v>
      </c>
      <c r="AQ132" s="213">
        <f t="shared" si="496"/>
        <v>17778225.386017982</v>
      </c>
      <c r="AR132" s="213">
        <f t="shared" si="496"/>
        <v>21705620.311644755</v>
      </c>
      <c r="AS132" s="213">
        <f t="shared" si="496"/>
        <v>18723431.032456163</v>
      </c>
      <c r="AT132" s="213">
        <f t="shared" si="496"/>
        <v>12730229.43704249</v>
      </c>
      <c r="AU132" s="213">
        <f t="shared" si="496"/>
        <v>3049603.3108464852</v>
      </c>
      <c r="AV132" s="213">
        <f t="shared" si="496"/>
        <v>15529428.190912105</v>
      </c>
      <c r="AW132" s="213">
        <f t="shared" si="496"/>
        <v>16769083.743374594</v>
      </c>
      <c r="AX132" s="213">
        <f t="shared" si="496"/>
        <v>22725795.145396546</v>
      </c>
      <c r="AY132" s="213">
        <f t="shared" si="496"/>
        <v>21154545.656426758</v>
      </c>
      <c r="AZ132" s="213">
        <f t="shared" si="496"/>
        <v>16414655.456724726</v>
      </c>
      <c r="BA132" s="213">
        <f t="shared" si="496"/>
        <v>26948784.518180422</v>
      </c>
      <c r="BB132" s="213">
        <f t="shared" si="496"/>
        <v>19961400.948207095</v>
      </c>
      <c r="BC132" s="213">
        <f t="shared" si="496"/>
        <v>17198592.438508429</v>
      </c>
      <c r="BD132" s="213">
        <f t="shared" si="496"/>
        <v>21301447.499505296</v>
      </c>
      <c r="BE132" s="213">
        <f t="shared" si="496"/>
        <v>18445541.549434975</v>
      </c>
      <c r="BF132" s="213">
        <f t="shared" si="496"/>
        <v>15148828.320853598</v>
      </c>
      <c r="BG132" s="213">
        <f t="shared" si="496"/>
        <v>5538906.9894531965</v>
      </c>
      <c r="BH132" s="213">
        <f t="shared" si="496"/>
        <v>28060051.171880923</v>
      </c>
      <c r="BI132" s="213">
        <f t="shared" si="496"/>
        <v>28012849.559993006</v>
      </c>
      <c r="BJ132" s="213">
        <f t="shared" si="496"/>
        <v>36226707.714879826</v>
      </c>
      <c r="BK132" s="213">
        <f t="shared" si="496"/>
        <v>39225109.209181279</v>
      </c>
      <c r="BL132" s="213">
        <f t="shared" si="496"/>
        <v>33211930.416287333</v>
      </c>
      <c r="BM132" s="213">
        <f t="shared" si="496"/>
        <v>38383016.707824096</v>
      </c>
      <c r="BN132" s="213">
        <f t="shared" si="496"/>
        <v>27498749.396276385</v>
      </c>
      <c r="BO132" s="213">
        <f t="shared" si="496"/>
        <v>25691287.163964286</v>
      </c>
      <c r="BP132" s="213">
        <f t="shared" ref="BP132:CK132" si="497">BP113-BP118</f>
        <v>25628430.316068828</v>
      </c>
      <c r="BQ132" s="213">
        <f t="shared" si="497"/>
        <v>33104756.228549719</v>
      </c>
      <c r="BR132" s="213">
        <f t="shared" si="497"/>
        <v>22933084.073930055</v>
      </c>
      <c r="BS132" s="213">
        <f t="shared" si="497"/>
        <v>16933289.220035955</v>
      </c>
      <c r="BT132" s="213">
        <f t="shared" si="497"/>
        <v>36876625.297722474</v>
      </c>
      <c r="BU132" s="213">
        <f t="shared" si="497"/>
        <v>29091505.532122031</v>
      </c>
      <c r="BV132" s="213">
        <f t="shared" si="497"/>
        <v>46640988.175108522</v>
      </c>
      <c r="BW132" s="213">
        <f t="shared" si="497"/>
        <v>49415006.102396712</v>
      </c>
      <c r="BX132" s="213">
        <f t="shared" si="497"/>
        <v>41667859.696797594</v>
      </c>
      <c r="BY132" s="213">
        <f t="shared" si="497"/>
        <v>58877689.231602415</v>
      </c>
      <c r="BZ132" s="213">
        <f t="shared" si="497"/>
        <v>40642861.815723285</v>
      </c>
      <c r="CA132" s="213">
        <f t="shared" si="497"/>
        <v>38746469.202823475</v>
      </c>
      <c r="CB132" s="213">
        <f t="shared" si="497"/>
        <v>38038346.345279753</v>
      </c>
      <c r="CC132" s="213">
        <f t="shared" si="497"/>
        <v>47005427.010879695</v>
      </c>
      <c r="CD132" s="213">
        <f t="shared" si="497"/>
        <v>34454666.274984911</v>
      </c>
      <c r="CE132" s="213">
        <f t="shared" si="497"/>
        <v>26947096.801824495</v>
      </c>
      <c r="CF132" s="213">
        <f t="shared" si="497"/>
        <v>50531875.954733476</v>
      </c>
      <c r="CG132" s="213">
        <f t="shared" si="497"/>
        <v>40537532.338071182</v>
      </c>
      <c r="CH132" s="213">
        <f t="shared" si="497"/>
        <v>60997464.863789335</v>
      </c>
      <c r="CI132" s="213">
        <f t="shared" si="497"/>
        <v>63689617.852351576</v>
      </c>
      <c r="CJ132" s="213">
        <f t="shared" si="497"/>
        <v>53830545.451696977</v>
      </c>
      <c r="CK132" s="213">
        <f t="shared" si="497"/>
        <v>72418008.585342139</v>
      </c>
      <c r="CL132" s="213">
        <f t="shared" ref="CL132:CW132" si="498">CL113-CL118</f>
        <v>46290935.838982597</v>
      </c>
      <c r="CM132" s="213">
        <f t="shared" si="498"/>
        <v>44039272.585682958</v>
      </c>
      <c r="CN132" s="213">
        <f t="shared" si="498"/>
        <v>43163939.1228645</v>
      </c>
      <c r="CO132" s="213">
        <f t="shared" si="498"/>
        <v>53109047.949315771</v>
      </c>
      <c r="CP132" s="213">
        <f t="shared" si="498"/>
        <v>38958614.627665266</v>
      </c>
      <c r="CQ132" s="213">
        <f t="shared" si="498"/>
        <v>30428475.742519423</v>
      </c>
      <c r="CR132" s="213">
        <f t="shared" si="498"/>
        <v>56705826.729296535</v>
      </c>
      <c r="CS132" s="213">
        <f t="shared" si="498"/>
        <v>45477930.391942188</v>
      </c>
      <c r="CT132" s="213">
        <f t="shared" si="498"/>
        <v>68247193.933838025</v>
      </c>
      <c r="CU132" s="213">
        <f t="shared" si="498"/>
        <v>71203200.002506539</v>
      </c>
      <c r="CV132" s="213">
        <f t="shared" si="498"/>
        <v>60132252.134014681</v>
      </c>
      <c r="CW132" s="213">
        <f t="shared" si="498"/>
        <v>80789474.358251452</v>
      </c>
      <c r="CY132" s="213">
        <f>SUM(AD132:AF132)</f>
        <v>17643661.729435384</v>
      </c>
      <c r="CZ132" s="213">
        <f>SUM(AG132:AI132)</f>
        <v>11710856.193734251</v>
      </c>
      <c r="DA132" s="213">
        <f>SUM(AJ132:AL132)</f>
        <v>13961077.752861448</v>
      </c>
      <c r="DB132" s="213">
        <f>SUM(AM132:AO132)</f>
        <v>25597361.978414454</v>
      </c>
      <c r="DC132" s="213">
        <f>SUM(AP132:AR132)</f>
        <v>52079987.841225058</v>
      </c>
      <c r="DD132" s="213">
        <f>SUM(AS132:AU132)</f>
        <v>34503263.780345142</v>
      </c>
      <c r="DE132" s="213">
        <f>SUM(AV132:AX132)</f>
        <v>55024307.079683244</v>
      </c>
      <c r="DF132" s="213">
        <f>SUM(AY132:BA132)</f>
        <v>64517985.631331906</v>
      </c>
      <c r="DG132" s="213">
        <f>SUM(BB132:BD132)</f>
        <v>58461440.88622082</v>
      </c>
      <c r="DH132" s="213">
        <f>SUM(BE132:BG132)</f>
        <v>39133276.85974177</v>
      </c>
      <c r="DI132" s="213">
        <f>SUM(BH132:BJ132)</f>
        <v>92299608.446753755</v>
      </c>
      <c r="DJ132" s="213">
        <f>SUM(BK132:BM132)</f>
        <v>110820056.33329271</v>
      </c>
      <c r="DK132" s="213">
        <f>SUM(BN132:BP132)</f>
        <v>78818466.876309499</v>
      </c>
      <c r="DL132" s="213">
        <f>SUM(BQ132:BS132)</f>
        <v>72971129.522515729</v>
      </c>
      <c r="DM132" s="213">
        <f>SUM(BT132:BV132)</f>
        <v>112609119.00495303</v>
      </c>
      <c r="DN132" s="213">
        <f>SUM(BW132:BY132)</f>
        <v>149960555.03079671</v>
      </c>
      <c r="DO132" s="213">
        <f>SUM(BZ132:CB132)</f>
        <v>117427677.36382651</v>
      </c>
      <c r="DP132" s="213">
        <f>SUM(CC132:CE132)</f>
        <v>108407190.0876891</v>
      </c>
      <c r="DQ132" s="213">
        <f>SUM(CF132:CH132)</f>
        <v>152066873.15659398</v>
      </c>
      <c r="DR132" s="213">
        <f>SUM(CI132:CK132)</f>
        <v>189938171.88939071</v>
      </c>
      <c r="DS132" s="213">
        <f t="shared" ref="DS132:DS158" si="499">SUM(CL132:CN132)</f>
        <v>133494147.54753006</v>
      </c>
      <c r="DT132" s="213">
        <f t="shared" ref="DT132:DT158" si="500">SUM(CO132:CQ132)</f>
        <v>122496138.31950046</v>
      </c>
      <c r="DU132" s="213">
        <f t="shared" ref="DU132:DU158" si="501">SUM(CR132:CT132)</f>
        <v>170430951.05507675</v>
      </c>
      <c r="DV132" s="213">
        <f t="shared" ref="DV132:DV158" si="502">SUM(CU132:CW132)</f>
        <v>212124926.49477267</v>
      </c>
      <c r="DX132" s="213">
        <f t="shared" si="491"/>
        <v>68912957.654445529</v>
      </c>
      <c r="DY132" s="213">
        <f t="shared" si="492"/>
        <v>206125544.33258533</v>
      </c>
      <c r="DZ132" s="213">
        <f t="shared" si="493"/>
        <v>300714382.52600908</v>
      </c>
      <c r="EA132" s="213">
        <f t="shared" si="494"/>
        <v>414359270.43457496</v>
      </c>
      <c r="EB132" s="213">
        <f t="shared" si="495"/>
        <v>567839912.4975003</v>
      </c>
      <c r="EC132" s="772">
        <f t="shared" ref="EC132:EC158" si="503">SUM(DS132:DV132)</f>
        <v>638546163.41687989</v>
      </c>
    </row>
    <row r="133" spans="2:134" x14ac:dyDescent="0.2">
      <c r="B133" s="155" t="s">
        <v>237</v>
      </c>
      <c r="C133" s="213">
        <f>C114-C119</f>
        <v>242342.62779078324</v>
      </c>
      <c r="D133" s="213">
        <f t="shared" ref="D133:BO133" si="504">D114-D119</f>
        <v>105551.00288760345</v>
      </c>
      <c r="E133" s="213">
        <f t="shared" si="504"/>
        <v>331574.57556169975</v>
      </c>
      <c r="F133" s="213">
        <f t="shared" si="504"/>
        <v>85902.647801199229</v>
      </c>
      <c r="G133" s="213">
        <f t="shared" si="504"/>
        <v>-8284.903897666547</v>
      </c>
      <c r="H133" s="213">
        <f t="shared" si="504"/>
        <v>411871.01072022755</v>
      </c>
      <c r="I133" s="213">
        <f t="shared" si="504"/>
        <v>850395.59206286469</v>
      </c>
      <c r="J133" s="213">
        <f t="shared" si="504"/>
        <v>503530.84273714619</v>
      </c>
      <c r="K133" s="213">
        <f t="shared" si="504"/>
        <v>955055.99862177041</v>
      </c>
      <c r="L133" s="213">
        <f t="shared" si="504"/>
        <v>175545.90778670355</v>
      </c>
      <c r="M133" s="213">
        <f t="shared" si="504"/>
        <v>1882785.4139988832</v>
      </c>
      <c r="N133" s="213">
        <f t="shared" si="504"/>
        <v>2095191.8145266464</v>
      </c>
      <c r="O133" s="213">
        <f t="shared" si="504"/>
        <v>2887677.1543684774</v>
      </c>
      <c r="P133" s="213">
        <f t="shared" si="504"/>
        <v>3333534.7128375107</v>
      </c>
      <c r="Q133" s="213">
        <f t="shared" si="504"/>
        <v>1838784.8573653181</v>
      </c>
      <c r="R133" s="213">
        <f t="shared" si="504"/>
        <v>1592833.7919103289</v>
      </c>
      <c r="S133" s="213">
        <f t="shared" si="504"/>
        <v>1449921.1516052736</v>
      </c>
      <c r="T133" s="213">
        <f t="shared" si="504"/>
        <v>2068892.427164535</v>
      </c>
      <c r="U133" s="213">
        <f t="shared" si="504"/>
        <v>770206.53696598508</v>
      </c>
      <c r="V133" s="213">
        <f t="shared" si="504"/>
        <v>-268023.52661924739</v>
      </c>
      <c r="W133" s="213">
        <f t="shared" si="504"/>
        <v>-730380.15817660117</v>
      </c>
      <c r="X133" s="213">
        <f t="shared" si="504"/>
        <v>694598.91517842724</v>
      </c>
      <c r="Y133" s="213">
        <f t="shared" si="504"/>
        <v>1143872.5628226427</v>
      </c>
      <c r="Z133" s="213">
        <f t="shared" si="504"/>
        <v>-256317.67455146043</v>
      </c>
      <c r="AA133" s="213">
        <f t="shared" si="504"/>
        <v>1835445.5420974875</v>
      </c>
      <c r="AB133" s="213">
        <f t="shared" si="504"/>
        <v>3641631.3421391132</v>
      </c>
      <c r="AC133" s="213">
        <f t="shared" si="504"/>
        <v>2947135.2239372511</v>
      </c>
      <c r="AD133" s="213">
        <f t="shared" si="504"/>
        <v>-3377972.6168714575</v>
      </c>
      <c r="AE133" s="213">
        <f t="shared" si="504"/>
        <v>1030681.6340237102</v>
      </c>
      <c r="AF133" s="213">
        <f t="shared" si="504"/>
        <v>5893554.5775268413</v>
      </c>
      <c r="AG133" s="213">
        <f t="shared" si="504"/>
        <v>-265634.14244954474</v>
      </c>
      <c r="AH133" s="213">
        <f t="shared" si="504"/>
        <v>3037473.739623582</v>
      </c>
      <c r="AI133" s="213">
        <f t="shared" si="504"/>
        <v>-2551372.1753387079</v>
      </c>
      <c r="AJ133" s="213">
        <f t="shared" si="504"/>
        <v>4942770.0340048391</v>
      </c>
      <c r="AK133" s="213">
        <f t="shared" si="504"/>
        <v>8542661.313711483</v>
      </c>
      <c r="AL133" s="213">
        <f t="shared" si="504"/>
        <v>11274432.364448531</v>
      </c>
      <c r="AM133" s="213">
        <f t="shared" si="504"/>
        <v>13558976.745832089</v>
      </c>
      <c r="AN133" s="213">
        <f t="shared" si="504"/>
        <v>10226461.520289049</v>
      </c>
      <c r="AO133" s="213">
        <f t="shared" si="504"/>
        <v>19211353.310784802</v>
      </c>
      <c r="AP133" s="213">
        <f t="shared" si="504"/>
        <v>16057019.423655543</v>
      </c>
      <c r="AQ133" s="213">
        <f t="shared" si="504"/>
        <v>16938216.960084464</v>
      </c>
      <c r="AR133" s="213">
        <f t="shared" si="504"/>
        <v>21256818.889560252</v>
      </c>
      <c r="AS133" s="213">
        <f t="shared" si="504"/>
        <v>18773771.194358915</v>
      </c>
      <c r="AT133" s="213">
        <f t="shared" si="504"/>
        <v>18261497.559584543</v>
      </c>
      <c r="AU133" s="213">
        <f t="shared" si="504"/>
        <v>19135691.760979027</v>
      </c>
      <c r="AV133" s="213">
        <f t="shared" si="504"/>
        <v>26360694.027486049</v>
      </c>
      <c r="AW133" s="213">
        <f t="shared" si="504"/>
        <v>20715258.492612343</v>
      </c>
      <c r="AX133" s="213">
        <f t="shared" si="504"/>
        <v>26189461.667972546</v>
      </c>
      <c r="AY133" s="213">
        <f t="shared" si="504"/>
        <v>30034023.289163519</v>
      </c>
      <c r="AZ133" s="213">
        <f t="shared" si="504"/>
        <v>27600348.274995446</v>
      </c>
      <c r="BA133" s="213">
        <f t="shared" si="504"/>
        <v>36215900.563337639</v>
      </c>
      <c r="BB133" s="213">
        <f t="shared" si="504"/>
        <v>29340380.950729314</v>
      </c>
      <c r="BC133" s="213">
        <f t="shared" si="504"/>
        <v>30012550.898458958</v>
      </c>
      <c r="BD133" s="213">
        <f t="shared" si="504"/>
        <v>29849443.220736239</v>
      </c>
      <c r="BE133" s="213">
        <f t="shared" si="504"/>
        <v>33699558.435069278</v>
      </c>
      <c r="BF133" s="213">
        <f t="shared" si="504"/>
        <v>31774516.499704696</v>
      </c>
      <c r="BG133" s="213">
        <f t="shared" si="504"/>
        <v>31437242.561739236</v>
      </c>
      <c r="BH133" s="213">
        <f t="shared" si="504"/>
        <v>24700650.806174662</v>
      </c>
      <c r="BI133" s="213">
        <f t="shared" si="504"/>
        <v>24779657.91826129</v>
      </c>
      <c r="BJ133" s="213">
        <f t="shared" si="504"/>
        <v>28491111.77454263</v>
      </c>
      <c r="BK133" s="213">
        <f t="shared" si="504"/>
        <v>29827207.303282883</v>
      </c>
      <c r="BL133" s="213">
        <f t="shared" si="504"/>
        <v>19040635.811890133</v>
      </c>
      <c r="BM133" s="213">
        <f t="shared" si="504"/>
        <v>24100050.780222435</v>
      </c>
      <c r="BN133" s="213">
        <f t="shared" si="504"/>
        <v>32357766.025765013</v>
      </c>
      <c r="BO133" s="213">
        <f t="shared" si="504"/>
        <v>32769621.522928134</v>
      </c>
      <c r="BP133" s="213">
        <f t="shared" ref="BP133:CK133" si="505">BP114-BP119</f>
        <v>32740377.345614795</v>
      </c>
      <c r="BQ133" s="213">
        <f t="shared" si="505"/>
        <v>33356942.083971381</v>
      </c>
      <c r="BR133" s="213">
        <f t="shared" si="505"/>
        <v>30963793.573828366</v>
      </c>
      <c r="BS133" s="213">
        <f t="shared" si="505"/>
        <v>34633937.826654509</v>
      </c>
      <c r="BT133" s="213">
        <f t="shared" si="505"/>
        <v>33451985.660239667</v>
      </c>
      <c r="BU133" s="213">
        <f t="shared" si="505"/>
        <v>33549466.251284301</v>
      </c>
      <c r="BV133" s="213">
        <f t="shared" si="505"/>
        <v>43027016.715587735</v>
      </c>
      <c r="BW133" s="213">
        <f t="shared" si="505"/>
        <v>46989602.741547547</v>
      </c>
      <c r="BX133" s="213">
        <f t="shared" si="505"/>
        <v>39127793.073807009</v>
      </c>
      <c r="BY133" s="213">
        <f t="shared" si="505"/>
        <v>42934410.154095568</v>
      </c>
      <c r="BZ133" s="213">
        <f t="shared" si="505"/>
        <v>38268202.302928716</v>
      </c>
      <c r="CA133" s="213">
        <f t="shared" si="505"/>
        <v>38746423.128805444</v>
      </c>
      <c r="CB133" s="213">
        <f t="shared" si="505"/>
        <v>38712466.620459259</v>
      </c>
      <c r="CC133" s="213">
        <f t="shared" si="505"/>
        <v>39428383.004759997</v>
      </c>
      <c r="CD133" s="213">
        <f t="shared" si="505"/>
        <v>36649608.738422632</v>
      </c>
      <c r="CE133" s="213">
        <f t="shared" si="505"/>
        <v>40911150.535880953</v>
      </c>
      <c r="CF133" s="213">
        <f t="shared" si="505"/>
        <v>39538741.656885371</v>
      </c>
      <c r="CG133" s="213">
        <f t="shared" si="505"/>
        <v>39651930.018039659</v>
      </c>
      <c r="CH133" s="213">
        <f t="shared" si="505"/>
        <v>50656668.43126376</v>
      </c>
      <c r="CI133" s="213">
        <f t="shared" si="505"/>
        <v>55257775.312184736</v>
      </c>
      <c r="CJ133" s="213">
        <f t="shared" si="505"/>
        <v>46129133.985092789</v>
      </c>
      <c r="CK133" s="213">
        <f t="shared" si="505"/>
        <v>50549139.488167077</v>
      </c>
      <c r="CL133" s="213">
        <f t="shared" ref="CL133:CW133" si="506">CL114-CL119</f>
        <v>45650881.545272894</v>
      </c>
      <c r="CM133" s="213">
        <f t="shared" si="506"/>
        <v>46211041.550130405</v>
      </c>
      <c r="CN133" s="213">
        <f t="shared" si="506"/>
        <v>46171266.875229388</v>
      </c>
      <c r="CO133" s="213">
        <f t="shared" si="506"/>
        <v>47009849.604394726</v>
      </c>
      <c r="CP133" s="213">
        <f t="shared" si="506"/>
        <v>43754955.374986038</v>
      </c>
      <c r="CQ133" s="213">
        <f t="shared" si="506"/>
        <v>48746677.075077116</v>
      </c>
      <c r="CR133" s="213">
        <f t="shared" si="506"/>
        <v>47139117.29782331</v>
      </c>
      <c r="CS133" s="213">
        <f t="shared" si="506"/>
        <v>47271699.547493711</v>
      </c>
      <c r="CT133" s="213">
        <f t="shared" si="506"/>
        <v>60162008.771699682</v>
      </c>
      <c r="CU133" s="213">
        <f t="shared" si="506"/>
        <v>65551477.2208018</v>
      </c>
      <c r="CV133" s="213">
        <f t="shared" si="506"/>
        <v>54858718.784883171</v>
      </c>
      <c r="CW133" s="213">
        <f t="shared" si="506"/>
        <v>60036055.634512797</v>
      </c>
      <c r="CY133" s="213">
        <f>SUM(AD133:AF133)</f>
        <v>3546263.5946790939</v>
      </c>
      <c r="CZ133" s="213">
        <f>SUM(AG133:AI133)</f>
        <v>220467.42183532938</v>
      </c>
      <c r="DA133" s="213">
        <f>SUM(AJ133:AL133)</f>
        <v>24759863.712164853</v>
      </c>
      <c r="DB133" s="213">
        <f>SUM(AM133:AO133)</f>
        <v>42996791.576905936</v>
      </c>
      <c r="DC133" s="213">
        <f>SUM(AP133:AR133)</f>
        <v>54252055.27330026</v>
      </c>
      <c r="DD133" s="213">
        <f>SUM(AS133:AU133)</f>
        <v>56170960.514922485</v>
      </c>
      <c r="DE133" s="213">
        <f>SUM(AV133:AX133)</f>
        <v>73265414.188070938</v>
      </c>
      <c r="DF133" s="213">
        <f>SUM(AY133:BA133)</f>
        <v>93850272.1274966</v>
      </c>
      <c r="DG133" s="213">
        <f>SUM(BB133:BD133)</f>
        <v>89202375.069924504</v>
      </c>
      <c r="DH133" s="213">
        <f>SUM(BE133:BG133)</f>
        <v>96911317.496513218</v>
      </c>
      <c r="DI133" s="213">
        <f>SUM(BH133:BJ133)</f>
        <v>77971420.498978585</v>
      </c>
      <c r="DJ133" s="213">
        <f>SUM(BK133:BM133)</f>
        <v>72967893.895395443</v>
      </c>
      <c r="DK133" s="213">
        <f>SUM(BN133:BP133)</f>
        <v>97867764.894307941</v>
      </c>
      <c r="DL133" s="213">
        <f>SUM(BQ133:BS133)</f>
        <v>98954673.484454259</v>
      </c>
      <c r="DM133" s="213">
        <f>SUM(BT133:BV133)</f>
        <v>110028468.6271117</v>
      </c>
      <c r="DN133" s="213">
        <f>SUM(BW133:BY133)</f>
        <v>129051805.96945012</v>
      </c>
      <c r="DO133" s="213">
        <f>SUM(BZ133:CB133)</f>
        <v>115727092.05219342</v>
      </c>
      <c r="DP133" s="213">
        <f>SUM(CC133:CE133)</f>
        <v>116989142.27906358</v>
      </c>
      <c r="DQ133" s="213">
        <f>SUM(CF133:CH133)</f>
        <v>129847340.10618879</v>
      </c>
      <c r="DR133" s="213">
        <f>SUM(CI133:CK133)</f>
        <v>151936048.78544462</v>
      </c>
      <c r="DS133" s="213">
        <f t="shared" si="499"/>
        <v>138033189.97063267</v>
      </c>
      <c r="DT133" s="213">
        <f t="shared" si="500"/>
        <v>139511482.05445787</v>
      </c>
      <c r="DU133" s="213">
        <f t="shared" si="501"/>
        <v>154572825.6170167</v>
      </c>
      <c r="DV133" s="213">
        <f t="shared" si="502"/>
        <v>180446251.64019775</v>
      </c>
      <c r="DX133" s="213">
        <f t="shared" si="491"/>
        <v>71523386.305585206</v>
      </c>
      <c r="DY133" s="213">
        <f t="shared" si="492"/>
        <v>277538702.10379028</v>
      </c>
      <c r="DZ133" s="213">
        <f t="shared" si="493"/>
        <v>337053006.96081173</v>
      </c>
      <c r="EA133" s="213">
        <f t="shared" si="494"/>
        <v>435902712.97532403</v>
      </c>
      <c r="EB133" s="213">
        <f t="shared" si="495"/>
        <v>514499623.22289038</v>
      </c>
      <c r="EC133" s="772">
        <f t="shared" si="503"/>
        <v>612563749.282305</v>
      </c>
    </row>
    <row r="134" spans="2:134" x14ac:dyDescent="0.2">
      <c r="B134" s="22" t="s">
        <v>55</v>
      </c>
      <c r="C134" s="20">
        <f>C131/C50</f>
        <v>3.4195851854504439E-2</v>
      </c>
      <c r="D134" s="20">
        <f t="shared" ref="D134:BO134" si="507">D131/D50</f>
        <v>4.0116347929713254E-2</v>
      </c>
      <c r="E134" s="20">
        <f t="shared" si="507"/>
        <v>5.0532700319828067E-2</v>
      </c>
      <c r="F134" s="20">
        <f t="shared" si="507"/>
        <v>-5.5905321297916151E-2</v>
      </c>
      <c r="G134" s="20">
        <f t="shared" si="507"/>
        <v>-1.3599621484882609</v>
      </c>
      <c r="H134" s="20">
        <f t="shared" si="507"/>
        <v>-1.9065969296285536E-2</v>
      </c>
      <c r="I134" s="20">
        <f t="shared" si="507"/>
        <v>6.3609041604826095E-3</v>
      </c>
      <c r="J134" s="20">
        <f t="shared" si="507"/>
        <v>-6.1619166822742075E-3</v>
      </c>
      <c r="K134" s="20">
        <f t="shared" si="507"/>
        <v>-1.894761539854522E-3</v>
      </c>
      <c r="L134" s="20">
        <f t="shared" si="507"/>
        <v>-3.0196476258114995E-2</v>
      </c>
      <c r="M134" s="20">
        <f t="shared" si="507"/>
        <v>6.4999181701098599E-2</v>
      </c>
      <c r="N134" s="20">
        <f t="shared" si="507"/>
        <v>5.9473503741268439E-2</v>
      </c>
      <c r="O134" s="20">
        <f t="shared" si="507"/>
        <v>3.6359888428457547E-2</v>
      </c>
      <c r="P134" s="20">
        <f t="shared" si="507"/>
        <v>5.3316057980687129E-2</v>
      </c>
      <c r="Q134" s="20">
        <f t="shared" si="507"/>
        <v>2.6223896209416887E-2</v>
      </c>
      <c r="R134" s="20">
        <f t="shared" si="507"/>
        <v>4.3668042569730619E-3</v>
      </c>
      <c r="S134" s="20">
        <f t="shared" si="507"/>
        <v>1.9591539727620367E-3</v>
      </c>
      <c r="T134" s="20">
        <f t="shared" si="507"/>
        <v>1.2160390482722922E-2</v>
      </c>
      <c r="U134" s="20">
        <f t="shared" si="507"/>
        <v>8.1343729824407112E-3</v>
      </c>
      <c r="V134" s="20">
        <f t="shared" si="507"/>
        <v>-2.027260023487502E-2</v>
      </c>
      <c r="W134" s="20">
        <f t="shared" si="507"/>
        <v>-6.9431868726068643E-2</v>
      </c>
      <c r="X134" s="20">
        <f t="shared" si="507"/>
        <v>-3.6936733039158294E-2</v>
      </c>
      <c r="Y134" s="20">
        <f t="shared" si="507"/>
        <v>-3.8698163244879687E-2</v>
      </c>
      <c r="Z134" s="20">
        <f t="shared" si="507"/>
        <v>-2.0380483254597934E-2</v>
      </c>
      <c r="AA134" s="20">
        <f t="shared" si="507"/>
        <v>-4.4185266388448277E-4</v>
      </c>
      <c r="AB134" s="20">
        <f t="shared" si="507"/>
        <v>1.1190769189306789E-2</v>
      </c>
      <c r="AC134" s="20">
        <f t="shared" si="507"/>
        <v>1.7017057184945197E-2</v>
      </c>
      <c r="AD134" s="20">
        <f t="shared" si="507"/>
        <v>-2.3261144087529237E-3</v>
      </c>
      <c r="AE134" s="20">
        <f t="shared" si="507"/>
        <v>1.7500908827910264E-2</v>
      </c>
      <c r="AF134" s="20">
        <f t="shared" si="507"/>
        <v>2.6652618460312284E-2</v>
      </c>
      <c r="AG134" s="20">
        <f t="shared" si="507"/>
        <v>1.2460352718750458E-2</v>
      </c>
      <c r="AH134" s="20">
        <f t="shared" si="507"/>
        <v>2.0594041167105396E-2</v>
      </c>
      <c r="AI134" s="20">
        <f t="shared" si="507"/>
        <v>-5.4584573301820257E-3</v>
      </c>
      <c r="AJ134" s="20">
        <f t="shared" si="507"/>
        <v>1.817562657024591E-2</v>
      </c>
      <c r="AK134" s="20">
        <f t="shared" si="507"/>
        <v>2.532479133718853E-2</v>
      </c>
      <c r="AL134" s="20">
        <f t="shared" si="507"/>
        <v>2.632329732613567E-2</v>
      </c>
      <c r="AM134" s="20">
        <f t="shared" si="507"/>
        <v>3.2563852299656616E-2</v>
      </c>
      <c r="AN134" s="20">
        <f t="shared" si="507"/>
        <v>5.0345258599477985E-2</v>
      </c>
      <c r="AO134" s="20">
        <f t="shared" si="507"/>
        <v>6.8131998390340495E-2</v>
      </c>
      <c r="AP134" s="20">
        <f t="shared" si="507"/>
        <v>5.6360735904817591E-2</v>
      </c>
      <c r="AQ134" s="20">
        <f t="shared" si="507"/>
        <v>6.5956531966862256E-2</v>
      </c>
      <c r="AR134" s="20">
        <f t="shared" si="507"/>
        <v>7.7181212178384015E-2</v>
      </c>
      <c r="AS134" s="20">
        <f t="shared" si="507"/>
        <v>6.8246751952248469E-2</v>
      </c>
      <c r="AT134" s="20">
        <f t="shared" si="507"/>
        <v>6.3435645676814423E-2</v>
      </c>
      <c r="AU134" s="20">
        <f t="shared" si="507"/>
        <v>4.8249129918347886E-2</v>
      </c>
      <c r="AV134" s="20">
        <f t="shared" si="507"/>
        <v>7.3303329994934871E-2</v>
      </c>
      <c r="AW134" s="20">
        <f t="shared" si="507"/>
        <v>7.0275963948199363E-2</v>
      </c>
      <c r="AX134" s="20">
        <f t="shared" si="507"/>
        <v>7.7002167525910992E-2</v>
      </c>
      <c r="AY134" s="20">
        <f t="shared" si="507"/>
        <v>7.5571394995598951E-2</v>
      </c>
      <c r="AZ134" s="20">
        <f t="shared" si="507"/>
        <v>6.8321748074458399E-2</v>
      </c>
      <c r="BA134" s="20">
        <f t="shared" si="507"/>
        <v>7.6270867972617992E-2</v>
      </c>
      <c r="BB134" s="20">
        <f t="shared" si="507"/>
        <v>6.4787500963923203E-2</v>
      </c>
      <c r="BC134" s="20">
        <f t="shared" si="507"/>
        <v>6.3411898836118238E-2</v>
      </c>
      <c r="BD134" s="20">
        <f t="shared" si="507"/>
        <v>6.8031260985387781E-2</v>
      </c>
      <c r="BE134" s="20">
        <f t="shared" si="507"/>
        <v>6.4365246563056588E-2</v>
      </c>
      <c r="BF134" s="20">
        <f t="shared" si="507"/>
        <v>6.7280377627252766E-2</v>
      </c>
      <c r="BG134" s="20">
        <f t="shared" si="507"/>
        <v>4.9050359925036036E-2</v>
      </c>
      <c r="BH134" s="20">
        <f t="shared" si="507"/>
        <v>5.7890651746419768E-2</v>
      </c>
      <c r="BI134" s="20">
        <f t="shared" si="507"/>
        <v>6.2508796524156029E-2</v>
      </c>
      <c r="BJ134" s="20">
        <f t="shared" si="507"/>
        <v>6.2062613567534071E-2</v>
      </c>
      <c r="BK134" s="20">
        <f t="shared" si="507"/>
        <v>6.0995830764577548E-2</v>
      </c>
      <c r="BL134" s="20">
        <f t="shared" si="507"/>
        <v>5.0638418703722286E-2</v>
      </c>
      <c r="BM134" s="20">
        <f t="shared" si="507"/>
        <v>5.1168573519489023E-2</v>
      </c>
      <c r="BN134" s="20">
        <f t="shared" si="507"/>
        <v>5.6569546408515296E-2</v>
      </c>
      <c r="BO134" s="20">
        <f t="shared" si="507"/>
        <v>5.5757126385536912E-2</v>
      </c>
      <c r="BP134" s="20">
        <f t="shared" ref="BP134:EB134" si="508">BP131/BP50</f>
        <v>5.5757896103266168E-2</v>
      </c>
      <c r="BQ134" s="20">
        <f t="shared" si="508"/>
        <v>6.0179484073595739E-2</v>
      </c>
      <c r="BR134" s="20">
        <f t="shared" si="508"/>
        <v>5.3343873344092817E-2</v>
      </c>
      <c r="BS134" s="20">
        <f t="shared" si="508"/>
        <v>5.1565017641660035E-2</v>
      </c>
      <c r="BT134" s="20">
        <f t="shared" si="508"/>
        <v>6.2290792754744716E-2</v>
      </c>
      <c r="BU134" s="20">
        <f t="shared" si="508"/>
        <v>5.8323857653783215E-2</v>
      </c>
      <c r="BV134" s="20">
        <f t="shared" si="508"/>
        <v>6.9802732812732443E-2</v>
      </c>
      <c r="BW134" s="20">
        <f t="shared" si="508"/>
        <v>7.1928332078100066E-2</v>
      </c>
      <c r="BX134" s="20">
        <f t="shared" si="508"/>
        <v>6.667557695405911E-2</v>
      </c>
      <c r="BY134" s="20">
        <f t="shared" si="508"/>
        <v>7.4413256197956579E-2</v>
      </c>
      <c r="BZ134" s="20">
        <f t="shared" si="508"/>
        <v>6.189505687961798E-2</v>
      </c>
      <c r="CA134" s="20">
        <f t="shared" si="508"/>
        <v>6.1265163623183731E-2</v>
      </c>
      <c r="CB134" s="20">
        <f t="shared" si="508"/>
        <v>6.0968125601342293E-2</v>
      </c>
      <c r="CC134" s="20">
        <f t="shared" si="508"/>
        <v>6.5039507780120256E-2</v>
      </c>
      <c r="CD134" s="20">
        <f t="shared" si="508"/>
        <v>5.8638154441253768E-2</v>
      </c>
      <c r="CE134" s="20">
        <f t="shared" si="508"/>
        <v>5.667270875919541E-2</v>
      </c>
      <c r="CF134" s="20">
        <f t="shared" si="508"/>
        <v>6.6588178631640085E-2</v>
      </c>
      <c r="CG134" s="20">
        <f t="shared" si="508"/>
        <v>6.2570234960380861E-2</v>
      </c>
      <c r="CH134" s="20">
        <f t="shared" si="508"/>
        <v>7.2911594272967242E-2</v>
      </c>
      <c r="CI134" s="20">
        <f t="shared" si="508"/>
        <v>7.4628523275089717E-2</v>
      </c>
      <c r="CJ134" s="20">
        <f t="shared" si="508"/>
        <v>6.9598451209121739E-2</v>
      </c>
      <c r="CK134" s="20">
        <f t="shared" si="508"/>
        <v>7.6313630681183436E-2</v>
      </c>
      <c r="CL134" s="20">
        <f t="shared" ref="CL134:CW134" si="509">CL131/CL50</f>
        <v>6.2440676605265401E-2</v>
      </c>
      <c r="CM134" s="20">
        <f t="shared" si="509"/>
        <v>6.180189979948935E-2</v>
      </c>
      <c r="CN134" s="20">
        <f t="shared" si="509"/>
        <v>6.1488014142785381E-2</v>
      </c>
      <c r="CO134" s="20">
        <f t="shared" si="509"/>
        <v>6.5317180240174022E-2</v>
      </c>
      <c r="CP134" s="20">
        <f t="shared" si="509"/>
        <v>5.9172042806676921E-2</v>
      </c>
      <c r="CQ134" s="20">
        <f t="shared" si="509"/>
        <v>5.7321526332561407E-2</v>
      </c>
      <c r="CR134" s="20">
        <f t="shared" si="509"/>
        <v>6.6665081282688318E-2</v>
      </c>
      <c r="CS134" s="20">
        <f t="shared" si="509"/>
        <v>6.2831059758763672E-2</v>
      </c>
      <c r="CT134" s="20">
        <f t="shared" si="509"/>
        <v>7.2739288299124238E-2</v>
      </c>
      <c r="CU134" s="20">
        <f t="shared" si="509"/>
        <v>7.4394904246290999E-2</v>
      </c>
      <c r="CV134" s="20">
        <f t="shared" si="509"/>
        <v>6.9515943269315525E-2</v>
      </c>
      <c r="CW134" s="20">
        <f t="shared" si="509"/>
        <v>7.5911243949869617E-2</v>
      </c>
      <c r="CY134" s="20">
        <f t="shared" si="508"/>
        <v>1.4330608183232112E-2</v>
      </c>
      <c r="CZ134" s="20">
        <f t="shared" si="508"/>
        <v>9.1174007153259594E-3</v>
      </c>
      <c r="DA134" s="20">
        <f t="shared" si="508"/>
        <v>2.2840311972170003E-2</v>
      </c>
      <c r="DB134" s="20">
        <f t="shared" si="508"/>
        <v>5.0792284031432308E-2</v>
      </c>
      <c r="DC134" s="20">
        <f t="shared" si="508"/>
        <v>6.6817262098270366E-2</v>
      </c>
      <c r="DD134" s="20">
        <f t="shared" si="508"/>
        <v>6.0538406632968923E-2</v>
      </c>
      <c r="DE134" s="20">
        <f t="shared" si="508"/>
        <v>7.3725668036473985E-2</v>
      </c>
      <c r="DF134" s="20">
        <f t="shared" si="508"/>
        <v>7.3668301146191079E-2</v>
      </c>
      <c r="DG134" s="20">
        <f t="shared" si="508"/>
        <v>6.5414222439251893E-2</v>
      </c>
      <c r="DH134" s="20">
        <f t="shared" si="508"/>
        <v>6.0159080699906844E-2</v>
      </c>
      <c r="DI134" s="20">
        <f t="shared" si="508"/>
        <v>6.0840615549153751E-2</v>
      </c>
      <c r="DJ134" s="20">
        <f t="shared" si="508"/>
        <v>5.4296596073684443E-2</v>
      </c>
      <c r="DK134" s="20">
        <f t="shared" si="508"/>
        <v>5.602999846629092E-2</v>
      </c>
      <c r="DL134" s="20">
        <f t="shared" si="508"/>
        <v>5.5201797966031765E-2</v>
      </c>
      <c r="DM134" s="20">
        <f t="shared" si="508"/>
        <v>6.3849804662159615E-2</v>
      </c>
      <c r="DN134" s="20">
        <f t="shared" si="508"/>
        <v>7.1175743434383806E-2</v>
      </c>
      <c r="DO134" s="20">
        <f t="shared" si="508"/>
        <v>6.137814051175975E-2</v>
      </c>
      <c r="DP134" s="20">
        <f t="shared" si="508"/>
        <v>6.028769727852698E-2</v>
      </c>
      <c r="DQ134" s="20">
        <f t="shared" si="508"/>
        <v>6.7686653716360221E-2</v>
      </c>
      <c r="DR134" s="20">
        <f t="shared" si="508"/>
        <v>7.3659961758284265E-2</v>
      </c>
      <c r="DS134" s="20">
        <f t="shared" si="508"/>
        <v>6.1912385898929632E-2</v>
      </c>
      <c r="DT134" s="20">
        <f t="shared" si="508"/>
        <v>6.0766717365001041E-2</v>
      </c>
      <c r="DU134" s="20">
        <f t="shared" si="508"/>
        <v>6.77292376978956E-2</v>
      </c>
      <c r="DV134" s="20">
        <f t="shared" si="508"/>
        <v>7.3414363898786805E-2</v>
      </c>
      <c r="DW134" s="771"/>
      <c r="DX134" s="20">
        <f t="shared" si="508"/>
        <v>2.4075957155306041E-2</v>
      </c>
      <c r="DY134" s="20">
        <f t="shared" si="508"/>
        <v>6.9302543615925208E-2</v>
      </c>
      <c r="DZ134" s="20">
        <f t="shared" si="508"/>
        <v>5.966069592685181E-2</v>
      </c>
      <c r="EA134" s="20">
        <f t="shared" si="508"/>
        <v>6.2200629893367672E-2</v>
      </c>
      <c r="EB134" s="20">
        <f t="shared" si="508"/>
        <v>6.6239047142147289E-2</v>
      </c>
      <c r="EC134" s="20">
        <f t="shared" ref="EC134" si="510">EC131/EC50</f>
        <v>6.6408591612273846E-2</v>
      </c>
      <c r="ED134" s="771"/>
    </row>
    <row r="135" spans="2:134" x14ac:dyDescent="0.2">
      <c r="B135" s="22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X135" s="19"/>
      <c r="DY135" s="19"/>
      <c r="DZ135" s="19"/>
      <c r="EA135" s="19"/>
      <c r="EB135" s="19"/>
      <c r="EC135" s="770">
        <f t="shared" si="503"/>
        <v>0</v>
      </c>
    </row>
    <row r="136" spans="2:134" x14ac:dyDescent="0.2">
      <c r="B136" s="212" t="s">
        <v>56</v>
      </c>
      <c r="C136" s="199">
        <f>C137+C138</f>
        <v>86695.245296606357</v>
      </c>
      <c r="D136" s="199">
        <f t="shared" ref="D136:BO136" si="511">D137+D138</f>
        <v>70837.879407255998</v>
      </c>
      <c r="E136" s="199">
        <f t="shared" si="511"/>
        <v>168573.09889072456</v>
      </c>
      <c r="F136" s="199">
        <f t="shared" si="511"/>
        <v>60209.734026119921</v>
      </c>
      <c r="G136" s="199">
        <f t="shared" si="511"/>
        <v>2006.3103621730384</v>
      </c>
      <c r="H136" s="199">
        <f t="shared" si="511"/>
        <v>27347.799056945954</v>
      </c>
      <c r="I136" s="199">
        <f t="shared" si="511"/>
        <v>77708.401653868874</v>
      </c>
      <c r="J136" s="199">
        <f t="shared" si="511"/>
        <v>240967.02390998593</v>
      </c>
      <c r="K136" s="199">
        <f t="shared" si="511"/>
        <v>286862.81367395178</v>
      </c>
      <c r="L136" s="199">
        <f t="shared" si="511"/>
        <v>556715.5032757594</v>
      </c>
      <c r="M136" s="199">
        <f t="shared" si="511"/>
        <v>725841.01117507624</v>
      </c>
      <c r="N136" s="199">
        <f t="shared" si="511"/>
        <v>547733.79489841312</v>
      </c>
      <c r="O136" s="199">
        <f t="shared" si="511"/>
        <v>776503.00453808764</v>
      </c>
      <c r="P136" s="199">
        <f t="shared" si="511"/>
        <v>870095.12566163496</v>
      </c>
      <c r="Q136" s="199">
        <f t="shared" si="511"/>
        <v>719906.19161971041</v>
      </c>
      <c r="R136" s="199">
        <f t="shared" si="511"/>
        <v>679856.56081224757</v>
      </c>
      <c r="S136" s="199">
        <f t="shared" si="511"/>
        <v>827732.34751013177</v>
      </c>
      <c r="T136" s="199">
        <f t="shared" si="511"/>
        <v>1291103.5423691687</v>
      </c>
      <c r="U136" s="199">
        <f t="shared" si="511"/>
        <v>3344815.6584359212</v>
      </c>
      <c r="V136" s="199">
        <f t="shared" si="511"/>
        <v>4928604.0396399219</v>
      </c>
      <c r="W136" s="199">
        <f t="shared" si="511"/>
        <v>3346454.2709055487</v>
      </c>
      <c r="X136" s="199">
        <f t="shared" si="511"/>
        <v>3862257.5749145234</v>
      </c>
      <c r="Y136" s="199">
        <f t="shared" si="511"/>
        <v>1418275.8228252886</v>
      </c>
      <c r="Z136" s="199">
        <f t="shared" si="511"/>
        <v>587891.23423558753</v>
      </c>
      <c r="AA136" s="199">
        <f t="shared" si="511"/>
        <v>1346890.5059942929</v>
      </c>
      <c r="AB136" s="199">
        <f t="shared" si="511"/>
        <v>1950425.2504770432</v>
      </c>
      <c r="AC136" s="199">
        <f t="shared" si="511"/>
        <v>3621200.6197417402</v>
      </c>
      <c r="AD136" s="199">
        <f t="shared" si="511"/>
        <v>3858697</v>
      </c>
      <c r="AE136" s="199">
        <f t="shared" si="511"/>
        <v>5295267</v>
      </c>
      <c r="AF136" s="199">
        <f t="shared" si="511"/>
        <v>5368932</v>
      </c>
      <c r="AG136" s="199">
        <f t="shared" si="511"/>
        <v>6488294</v>
      </c>
      <c r="AH136" s="199">
        <f t="shared" si="511"/>
        <v>6465330</v>
      </c>
      <c r="AI136" s="199">
        <f t="shared" si="511"/>
        <v>7027515</v>
      </c>
      <c r="AJ136" s="199">
        <f t="shared" si="511"/>
        <v>12745910</v>
      </c>
      <c r="AK136" s="199">
        <f t="shared" si="511"/>
        <v>10055584</v>
      </c>
      <c r="AL136" s="199">
        <f t="shared" si="511"/>
        <v>7933364</v>
      </c>
      <c r="AM136" s="199">
        <f t="shared" si="511"/>
        <v>7501110</v>
      </c>
      <c r="AN136" s="199">
        <f t="shared" si="511"/>
        <v>6698996</v>
      </c>
      <c r="AO136" s="199">
        <f t="shared" si="511"/>
        <v>9967858</v>
      </c>
      <c r="AP136" s="199">
        <f t="shared" si="511"/>
        <v>8592017</v>
      </c>
      <c r="AQ136" s="199">
        <f t="shared" si="511"/>
        <v>9992560</v>
      </c>
      <c r="AR136" s="199">
        <f t="shared" si="511"/>
        <v>8031862</v>
      </c>
      <c r="AS136" s="199">
        <f t="shared" si="511"/>
        <v>8834028</v>
      </c>
      <c r="AT136" s="199">
        <f t="shared" si="511"/>
        <v>6298726</v>
      </c>
      <c r="AU136" s="199">
        <f t="shared" si="511"/>
        <v>3441300</v>
      </c>
      <c r="AV136" s="199">
        <f t="shared" si="511"/>
        <v>4868965</v>
      </c>
      <c r="AW136" s="199">
        <f t="shared" si="511"/>
        <v>7250147</v>
      </c>
      <c r="AX136" s="199">
        <f t="shared" si="511"/>
        <v>10505819</v>
      </c>
      <c r="AY136" s="199">
        <f t="shared" si="511"/>
        <v>10668875.289999999</v>
      </c>
      <c r="AZ136" s="199">
        <f t="shared" si="511"/>
        <v>10066236</v>
      </c>
      <c r="BA136" s="199">
        <f t="shared" si="511"/>
        <v>8953663</v>
      </c>
      <c r="BB136" s="199">
        <f t="shared" si="511"/>
        <v>8771757</v>
      </c>
      <c r="BC136" s="199">
        <f t="shared" si="511"/>
        <v>8342037</v>
      </c>
      <c r="BD136" s="199">
        <f t="shared" si="511"/>
        <v>9171252</v>
      </c>
      <c r="BE136" s="199">
        <f t="shared" si="511"/>
        <v>9682011</v>
      </c>
      <c r="BF136" s="199">
        <f t="shared" si="511"/>
        <v>9122112</v>
      </c>
      <c r="BG136" s="199">
        <f t="shared" si="511"/>
        <v>6143302</v>
      </c>
      <c r="BH136" s="199">
        <f t="shared" si="511"/>
        <v>5689502</v>
      </c>
      <c r="BI136" s="199">
        <f t="shared" si="511"/>
        <v>7284183</v>
      </c>
      <c r="BJ136" s="199">
        <f t="shared" si="511"/>
        <v>8342376.25</v>
      </c>
      <c r="BK136" s="199">
        <f t="shared" si="511"/>
        <v>8905449</v>
      </c>
      <c r="BL136" s="199">
        <f t="shared" si="511"/>
        <v>8065531</v>
      </c>
      <c r="BM136" s="199">
        <f t="shared" si="511"/>
        <v>9562209</v>
      </c>
      <c r="BN136" s="199">
        <f t="shared" si="511"/>
        <v>9317598.8569989335</v>
      </c>
      <c r="BO136" s="199">
        <f t="shared" si="511"/>
        <v>9292204.8713118732</v>
      </c>
      <c r="BP136" s="199">
        <f t="shared" ref="BP136:CK136" si="512">BP137+BP138</f>
        <v>9289700.3785396367</v>
      </c>
      <c r="BQ136" s="199">
        <f t="shared" si="512"/>
        <v>9389055.4172030296</v>
      </c>
      <c r="BR136" s="199">
        <f t="shared" si="512"/>
        <v>9250715.7645601872</v>
      </c>
      <c r="BS136" s="199">
        <f t="shared" si="512"/>
        <v>9167881.5799783207</v>
      </c>
      <c r="BT136" s="199">
        <f t="shared" si="512"/>
        <v>9839294.9946736787</v>
      </c>
      <c r="BU136" s="199">
        <f t="shared" si="512"/>
        <v>9733024.1567698233</v>
      </c>
      <c r="BV136" s="199">
        <f t="shared" si="512"/>
        <v>9967735.2004024349</v>
      </c>
      <c r="BW136" s="199">
        <f t="shared" si="512"/>
        <v>10003903.927163925</v>
      </c>
      <c r="BX136" s="199">
        <f t="shared" si="512"/>
        <v>9898143.3486000728</v>
      </c>
      <c r="BY136" s="199">
        <f t="shared" si="512"/>
        <v>10127183.794597164</v>
      </c>
      <c r="BZ136" s="199">
        <f t="shared" si="512"/>
        <v>9995577.450832298</v>
      </c>
      <c r="CA136" s="199">
        <f t="shared" si="512"/>
        <v>9968203.2472953927</v>
      </c>
      <c r="CB136" s="199">
        <f t="shared" si="512"/>
        <v>9957487.9431035854</v>
      </c>
      <c r="CC136" s="199">
        <f t="shared" si="512"/>
        <v>10077845.254368715</v>
      </c>
      <c r="CD136" s="199">
        <f t="shared" si="512"/>
        <v>9906133.4260385428</v>
      </c>
      <c r="CE136" s="199">
        <f t="shared" si="512"/>
        <v>9802181.9968106169</v>
      </c>
      <c r="CF136" s="199">
        <f t="shared" si="512"/>
        <v>10545892.556080157</v>
      </c>
      <c r="CG136" s="199">
        <f t="shared" si="512"/>
        <v>10409374.291806256</v>
      </c>
      <c r="CH136" s="199">
        <f t="shared" si="512"/>
        <v>10685989.480818449</v>
      </c>
      <c r="CI136" s="199">
        <f t="shared" si="512"/>
        <v>10721899.724531401</v>
      </c>
      <c r="CJ136" s="199">
        <f t="shared" si="512"/>
        <v>10587214.016237929</v>
      </c>
      <c r="CK136" s="199">
        <f t="shared" si="512"/>
        <v>10838462.352760144</v>
      </c>
      <c r="CL136" s="199">
        <f t="shared" ref="CL136:CW136" si="513">CL137+CL138</f>
        <v>10629516.90731968</v>
      </c>
      <c r="CM136" s="199">
        <f t="shared" si="513"/>
        <v>10596648.437949147</v>
      </c>
      <c r="CN136" s="199">
        <f t="shared" si="513"/>
        <v>10583386.682216208</v>
      </c>
      <c r="CO136" s="199">
        <f t="shared" si="513"/>
        <v>10719703.926913232</v>
      </c>
      <c r="CP136" s="199">
        <f t="shared" si="513"/>
        <v>10522349.932312844</v>
      </c>
      <c r="CQ136" s="199">
        <f t="shared" si="513"/>
        <v>10402108.750899971</v>
      </c>
      <c r="CR136" s="199">
        <f t="shared" si="513"/>
        <v>11210779.713928463</v>
      </c>
      <c r="CS136" s="199">
        <f t="shared" si="513"/>
        <v>11054406.801991034</v>
      </c>
      <c r="CT136" s="199">
        <f t="shared" si="513"/>
        <v>11368582.536324795</v>
      </c>
      <c r="CU136" s="199">
        <f t="shared" si="513"/>
        <v>11408864.915019507</v>
      </c>
      <c r="CV136" s="199">
        <f t="shared" si="513"/>
        <v>11254661.618192421</v>
      </c>
      <c r="CW136" s="199">
        <f t="shared" si="513"/>
        <v>11539641.038667969</v>
      </c>
      <c r="CY136" s="199">
        <f>SUM(AD136:AF136)</f>
        <v>14522896</v>
      </c>
      <c r="CZ136" s="199">
        <f>SUM(AG136:AI136)</f>
        <v>19981139</v>
      </c>
      <c r="DA136" s="199">
        <f>SUM(AJ136:AL136)</f>
        <v>30734858</v>
      </c>
      <c r="DB136" s="199">
        <f>SUM(AM136:AO136)</f>
        <v>24167964</v>
      </c>
      <c r="DC136" s="199">
        <f>SUM(AP136:AR136)</f>
        <v>26616439</v>
      </c>
      <c r="DD136" s="199">
        <f>SUM(AS136:AU136)</f>
        <v>18574054</v>
      </c>
      <c r="DE136" s="199">
        <f>SUM(AV136:AX136)</f>
        <v>22624931</v>
      </c>
      <c r="DF136" s="199">
        <f>SUM(AY136:BA136)</f>
        <v>29688774.289999999</v>
      </c>
      <c r="DG136" s="199">
        <f>SUM(BB136:BD136)</f>
        <v>26285046</v>
      </c>
      <c r="DH136" s="199">
        <f>SUM(BE136:BG136)</f>
        <v>24947425</v>
      </c>
      <c r="DI136" s="199">
        <f>SUM(BH136:BJ136)</f>
        <v>21316061.25</v>
      </c>
      <c r="DJ136" s="199">
        <f>SUM(BK136:BM136)</f>
        <v>26533189</v>
      </c>
      <c r="DK136" s="199">
        <f>SUM(BN136:BP136)</f>
        <v>27899504.106850445</v>
      </c>
      <c r="DL136" s="199">
        <f>SUM(BQ136:BS136)</f>
        <v>27807652.761741538</v>
      </c>
      <c r="DM136" s="199">
        <f>SUM(BT136:BV136)</f>
        <v>29540054.351845939</v>
      </c>
      <c r="DN136" s="199">
        <f>SUM(BW136:BY136)</f>
        <v>30029231.07036116</v>
      </c>
      <c r="DO136" s="199">
        <f>SUM(BZ136:CB136)</f>
        <v>29921268.641231276</v>
      </c>
      <c r="DP136" s="199">
        <f>SUM(CC136:CE136)</f>
        <v>29786160.677217871</v>
      </c>
      <c r="DQ136" s="199">
        <f>SUM(CF136:CH136)</f>
        <v>31641256.328704864</v>
      </c>
      <c r="DR136" s="199">
        <f>SUM(CI136:CK136)</f>
        <v>32147576.093529474</v>
      </c>
      <c r="DS136" s="199">
        <f t="shared" si="499"/>
        <v>31809552.027485035</v>
      </c>
      <c r="DT136" s="199">
        <f t="shared" si="500"/>
        <v>31644162.610126048</v>
      </c>
      <c r="DU136" s="199">
        <f t="shared" si="501"/>
        <v>33633769.052244291</v>
      </c>
      <c r="DV136" s="199">
        <f t="shared" si="502"/>
        <v>34203167.571879894</v>
      </c>
      <c r="DX136" s="199">
        <f t="shared" ref="DX136:DX138" si="514">SUM(CY136:DB136)</f>
        <v>89406857</v>
      </c>
      <c r="DY136" s="199">
        <f t="shared" ref="DY136:DY138" si="515">SUM(DC136:DF136)</f>
        <v>97504198.289999992</v>
      </c>
      <c r="DZ136" s="199">
        <f t="shared" ref="DZ136:DZ138" si="516">SUM(DG136:DJ136)</f>
        <v>99081721.25</v>
      </c>
      <c r="EA136" s="199">
        <f t="shared" ref="EA136:EA138" si="517">SUM(DK136:DN136)</f>
        <v>115276442.29079908</v>
      </c>
      <c r="EB136" s="199">
        <f t="shared" ref="EB136:EB138" si="518">SUM(DO136:DR136)</f>
        <v>123496261.74068348</v>
      </c>
      <c r="EC136" s="810">
        <f t="shared" si="503"/>
        <v>131290651.26173526</v>
      </c>
    </row>
    <row r="137" spans="2:134" x14ac:dyDescent="0.2">
      <c r="B137" s="155" t="s">
        <v>229</v>
      </c>
      <c r="C137" s="232">
        <f>'D2C - Retail'!J161</f>
        <v>47828.500495094064</v>
      </c>
      <c r="D137" s="232">
        <f>'D2C - Retail'!K161</f>
        <v>39522.187020950434</v>
      </c>
      <c r="E137" s="232">
        <f>'D2C - Retail'!L161</f>
        <v>77873.859806466833</v>
      </c>
      <c r="F137" s="232">
        <f>'D2C - Retail'!M161</f>
        <v>26441.484061227355</v>
      </c>
      <c r="G137" s="232">
        <f>'D2C - Retail'!N161</f>
        <v>0</v>
      </c>
      <c r="H137" s="232">
        <f>'D2C - Retail'!O161</f>
        <v>10399.867247007616</v>
      </c>
      <c r="I137" s="232">
        <f>'D2C - Retail'!P161</f>
        <v>41206.150029533375</v>
      </c>
      <c r="J137" s="232">
        <f>'D2C - Retail'!Q161</f>
        <v>211935.56399437413</v>
      </c>
      <c r="K137" s="232">
        <f>'D2C - Retail'!R161</f>
        <v>215179.84220590585</v>
      </c>
      <c r="L137" s="232">
        <f>'D2C - Retail'!S161</f>
        <v>405525.97379392496</v>
      </c>
      <c r="M137" s="232">
        <f>'D2C - Retail'!T161</f>
        <v>448046.5761937013</v>
      </c>
      <c r="N137" s="232">
        <f>'D2C - Retail'!U161</f>
        <v>341329.13411439024</v>
      </c>
      <c r="O137" s="232">
        <f>'D2C - Retail'!V161</f>
        <v>472256.37091919431</v>
      </c>
      <c r="P137" s="232">
        <f>'D2C - Retail'!W161</f>
        <v>584214.93903156242</v>
      </c>
      <c r="Q137" s="232">
        <f>'D2C - Retail'!X161</f>
        <v>586837.14170048281</v>
      </c>
      <c r="R137" s="232">
        <f>'D2C - Retail'!Y161</f>
        <v>531288.9130342335</v>
      </c>
      <c r="S137" s="232">
        <f>'D2C - Retail'!Z161</f>
        <v>750597</v>
      </c>
      <c r="T137" s="232">
        <f>'D2C - Retail'!AA161</f>
        <v>1088971.9486847478</v>
      </c>
      <c r="U137" s="232">
        <f>'D2C - Retail'!AB161</f>
        <v>2723535.6805717899</v>
      </c>
      <c r="V137" s="232">
        <f>'D2C - Retail'!AC161</f>
        <v>4317268.9406789113</v>
      </c>
      <c r="W137" s="232">
        <f>'D2C - Retail'!AD161</f>
        <v>3002268.1213020701</v>
      </c>
      <c r="X137" s="232">
        <f>'D2C - Retail'!AE161</f>
        <v>2904116.0428485167</v>
      </c>
      <c r="Y137" s="232">
        <f>'D2C - Retail'!AF161</f>
        <v>999261.18623588956</v>
      </c>
      <c r="Z137" s="232">
        <f>'D2C - Retail'!AG161</f>
        <v>419917.12626221951</v>
      </c>
      <c r="AA137" s="232">
        <f>'D2C - Retail'!AH161</f>
        <v>1020779.6924305564</v>
      </c>
      <c r="AB137" s="232">
        <f>'D2C - Retail'!AI161</f>
        <v>1274197.6848224055</v>
      </c>
      <c r="AC137" s="232">
        <f>'D2C - Retail'!AJ161</f>
        <v>728169.38350239431</v>
      </c>
      <c r="AD137" s="232">
        <f>'D2C - Retail'!AK161</f>
        <v>0</v>
      </c>
      <c r="AE137" s="232">
        <f>'D2C - Retail'!AL161</f>
        <v>0</v>
      </c>
      <c r="AF137" s="232">
        <f>'D2C - Retail'!AM161</f>
        <v>180000</v>
      </c>
      <c r="AG137" s="232">
        <f>'D2C - Retail'!AN161</f>
        <v>582854</v>
      </c>
      <c r="AH137" s="232">
        <f>'D2C - Retail'!AO161</f>
        <v>247040</v>
      </c>
      <c r="AI137" s="232">
        <f>'D2C - Retail'!AP161</f>
        <v>0</v>
      </c>
      <c r="AJ137" s="232">
        <f>'D2C - Retail'!AQ161</f>
        <v>0</v>
      </c>
      <c r="AK137" s="232">
        <f>'D2C - Retail'!AR161</f>
        <v>342323</v>
      </c>
      <c r="AL137" s="232">
        <f>'D2C - Retail'!AS161</f>
        <v>314374</v>
      </c>
      <c r="AM137" s="232">
        <f>'D2C - Retail'!AT161</f>
        <v>198210</v>
      </c>
      <c r="AN137" s="232">
        <f>'D2C - Retail'!AU161</f>
        <v>0</v>
      </c>
      <c r="AO137" s="232">
        <f>'D2C - Retail'!AV161</f>
        <v>165544</v>
      </c>
      <c r="AP137" s="232">
        <f>'D2C - Retail'!AW161</f>
        <v>0</v>
      </c>
      <c r="AQ137" s="232">
        <f>'D2C - Retail'!AX161</f>
        <v>0</v>
      </c>
      <c r="AR137" s="232">
        <f>'D2C - Retail'!AY161</f>
        <v>248712</v>
      </c>
      <c r="AS137" s="232">
        <f>'D2C - Retail'!AZ161</f>
        <v>233828</v>
      </c>
      <c r="AT137" s="232">
        <f>'D2C - Retail'!BA161</f>
        <v>176926</v>
      </c>
      <c r="AU137" s="232">
        <f>'D2C - Retail'!BB161</f>
        <v>13000</v>
      </c>
      <c r="AV137" s="232">
        <f>'D2C - Retail'!BC161</f>
        <v>0</v>
      </c>
      <c r="AW137" s="232">
        <f>'D2C - Retail'!BD161</f>
        <v>0</v>
      </c>
      <c r="AX137" s="232">
        <f>'D2C - Retail'!BE161</f>
        <v>0</v>
      </c>
      <c r="AY137" s="232">
        <f>'D2C - Retail'!BF161</f>
        <v>0</v>
      </c>
      <c r="AZ137" s="232">
        <f>'D2C - Retail'!BG161</f>
        <v>0</v>
      </c>
      <c r="BA137" s="232">
        <f>'D2C - Retail'!BH161</f>
        <v>0</v>
      </c>
      <c r="BB137" s="232">
        <f>'D2C - Retail'!BI161</f>
        <v>0</v>
      </c>
      <c r="BC137" s="232">
        <f>'D2C - Retail'!BJ161</f>
        <v>0</v>
      </c>
      <c r="BD137" s="232">
        <f>'D2C - Retail'!BK161</f>
        <v>0</v>
      </c>
      <c r="BE137" s="232">
        <f>'D2C - Retail'!BL161</f>
        <v>0</v>
      </c>
      <c r="BF137" s="232">
        <f>'D2C - Retail'!BM161</f>
        <v>0</v>
      </c>
      <c r="BG137" s="232">
        <f>'D2C - Retail'!BN161</f>
        <v>0</v>
      </c>
      <c r="BH137" s="232">
        <f>'D2C - Retail'!BO161</f>
        <v>0</v>
      </c>
      <c r="BI137" s="232">
        <f>'D2C - Retail'!BP161</f>
        <v>505000</v>
      </c>
      <c r="BJ137" s="232">
        <f>'D2C - Retail'!BQ161</f>
        <v>816500</v>
      </c>
      <c r="BK137" s="232">
        <f>'D2C - Retail'!BR161</f>
        <v>957536</v>
      </c>
      <c r="BL137" s="232">
        <f>'D2C - Retail'!BS161</f>
        <v>927000</v>
      </c>
      <c r="BM137" s="232">
        <f>'D2C - Retail'!BT161</f>
        <v>1471500</v>
      </c>
      <c r="BN137" s="232">
        <f>'D2C - Retail'!BU161</f>
        <v>1226889.8569989335</v>
      </c>
      <c r="BO137" s="232">
        <f>'D2C - Retail'!BV161</f>
        <v>1201495.8713118734</v>
      </c>
      <c r="BP137" s="232">
        <f>'D2C - Retail'!BW161</f>
        <v>1198991.3785396363</v>
      </c>
      <c r="BQ137" s="232">
        <f>'D2C - Retail'!BX161</f>
        <v>1298346.4172030289</v>
      </c>
      <c r="BR137" s="232">
        <f>'D2C - Retail'!BY161</f>
        <v>1160006.764560187</v>
      </c>
      <c r="BS137" s="232">
        <f>'D2C - Retail'!BZ161</f>
        <v>1077172.5799783214</v>
      </c>
      <c r="BT137" s="232">
        <f>'D2C - Retail'!CA161</f>
        <v>1344050.5446736782</v>
      </c>
      <c r="BU137" s="232">
        <f>'D2C - Retail'!CB161</f>
        <v>1237779.7067698226</v>
      </c>
      <c r="BV137" s="232">
        <f>'D2C - Retail'!CC161</f>
        <v>1472490.7504024331</v>
      </c>
      <c r="BW137" s="232">
        <f>'D2C - Retail'!CD161</f>
        <v>1508659.4771639239</v>
      </c>
      <c r="BX137" s="232">
        <f>'D2C - Retail'!CE161</f>
        <v>1402898.8986000719</v>
      </c>
      <c r="BY137" s="232">
        <f>'D2C - Retail'!CF161</f>
        <v>1631939.3445971631</v>
      </c>
      <c r="BZ137" s="232">
        <f>'D2C - Retail'!CG161</f>
        <v>1500333.0008322971</v>
      </c>
      <c r="CA137" s="232">
        <f>'D2C - Retail'!CH161</f>
        <v>1472958.7972953918</v>
      </c>
      <c r="CB137" s="232">
        <f>'D2C - Retail'!CI161</f>
        <v>1462243.4931035852</v>
      </c>
      <c r="CC137" s="232">
        <f>'D2C - Retail'!CJ161</f>
        <v>1582600.8043687134</v>
      </c>
      <c r="CD137" s="232">
        <f>'D2C - Retail'!CK161</f>
        <v>1410888.9760385423</v>
      </c>
      <c r="CE137" s="232">
        <f>'D2C - Retail'!CL161</f>
        <v>1306937.5468106153</v>
      </c>
      <c r="CF137" s="232">
        <f>'D2C - Retail'!CM161</f>
        <v>1625885.8835801564</v>
      </c>
      <c r="CG137" s="232">
        <f>'D2C - Retail'!CN161</f>
        <v>1489367.6193062547</v>
      </c>
      <c r="CH137" s="232">
        <f>'D2C - Retail'!CO161</f>
        <v>1765982.8083184469</v>
      </c>
      <c r="CI137" s="232">
        <f>'D2C - Retail'!CP161</f>
        <v>1801893.0520314004</v>
      </c>
      <c r="CJ137" s="232">
        <f>'D2C - Retail'!CQ161</f>
        <v>1667207.3437379277</v>
      </c>
      <c r="CK137" s="232">
        <f>'D2C - Retail'!CR161</f>
        <v>1918455.6802601432</v>
      </c>
      <c r="CL137" s="232">
        <f>'D2C - Retail'!CS161</f>
        <v>1709510.2348196788</v>
      </c>
      <c r="CM137" s="232">
        <f>'D2C - Retail'!CT161</f>
        <v>1676641.7654491449</v>
      </c>
      <c r="CN137" s="232">
        <f>'D2C - Retail'!CU161</f>
        <v>1663380.0097162067</v>
      </c>
      <c r="CO137" s="232">
        <f>'D2C - Retail'!CV161</f>
        <v>1799697.2544132294</v>
      </c>
      <c r="CP137" s="232">
        <f>'D2C - Retail'!CW161</f>
        <v>1602343.2598128433</v>
      </c>
      <c r="CQ137" s="232">
        <f>'D2C - Retail'!CX161</f>
        <v>1482102.0783999688</v>
      </c>
      <c r="CR137" s="232">
        <f>'D2C - Retail'!CY161</f>
        <v>1844772.7078034615</v>
      </c>
      <c r="CS137" s="232">
        <f>'D2C - Retail'!CZ161</f>
        <v>1688399.7958660338</v>
      </c>
      <c r="CT137" s="232">
        <f>'D2C - Retail'!DA161</f>
        <v>2002575.5301997934</v>
      </c>
      <c r="CU137" s="232">
        <f>'D2C - Retail'!DB161</f>
        <v>2042857.9088945061</v>
      </c>
      <c r="CV137" s="232">
        <f>'D2C - Retail'!DC161</f>
        <v>1888654.6120674203</v>
      </c>
      <c r="CW137" s="232">
        <f>'D2C - Retail'!DD161</f>
        <v>2173634.0325429691</v>
      </c>
      <c r="CY137" s="232">
        <f>SUM(AD137:AF137)</f>
        <v>180000</v>
      </c>
      <c r="CZ137" s="232">
        <f>SUM(AG137:AI137)</f>
        <v>829894</v>
      </c>
      <c r="DA137" s="232">
        <f>SUM(AJ137:AL137)</f>
        <v>656697</v>
      </c>
      <c r="DB137" s="232">
        <f>SUM(AM137:AO137)</f>
        <v>363754</v>
      </c>
      <c r="DC137" s="232">
        <f>SUM(AP137:AR137)</f>
        <v>248712</v>
      </c>
      <c r="DD137" s="232">
        <f>SUM(AS137:AU137)</f>
        <v>423754</v>
      </c>
      <c r="DE137" s="232">
        <f>SUM(AV137:AX137)</f>
        <v>0</v>
      </c>
      <c r="DF137" s="232">
        <f>SUM(AY137:BA137)</f>
        <v>0</v>
      </c>
      <c r="DG137" s="232">
        <f>SUM(BB137:BD137)</f>
        <v>0</v>
      </c>
      <c r="DH137" s="232">
        <f>SUM(BE137:BG137)</f>
        <v>0</v>
      </c>
      <c r="DI137" s="232">
        <f>SUM(BH137:BJ137)</f>
        <v>1321500</v>
      </c>
      <c r="DJ137" s="232">
        <f>SUM(BK137:BM137)</f>
        <v>3356036</v>
      </c>
      <c r="DK137" s="232">
        <f>SUM(BN137:BP137)</f>
        <v>3627377.1068504429</v>
      </c>
      <c r="DL137" s="232">
        <f>SUM(BQ137:BS137)</f>
        <v>3535525.7617415376</v>
      </c>
      <c r="DM137" s="232">
        <f>SUM(BT137:BV137)</f>
        <v>4054321.0018459335</v>
      </c>
      <c r="DN137" s="232">
        <f>SUM(BW137:BY137)</f>
        <v>4543497.7203611583</v>
      </c>
      <c r="DO137" s="232">
        <f>SUM(BZ137:CB137)</f>
        <v>4435535.2912312746</v>
      </c>
      <c r="DP137" s="232">
        <f>SUM(CC137:CE137)</f>
        <v>4300427.3272178713</v>
      </c>
      <c r="DQ137" s="232">
        <f>SUM(CF137:CH137)</f>
        <v>4881236.3112048581</v>
      </c>
      <c r="DR137" s="232">
        <f>SUM(CI137:CK137)</f>
        <v>5387556.0760294711</v>
      </c>
      <c r="DS137" s="232">
        <f t="shared" si="499"/>
        <v>5049532.0099850297</v>
      </c>
      <c r="DT137" s="232">
        <f t="shared" si="500"/>
        <v>4884142.5926260408</v>
      </c>
      <c r="DU137" s="232">
        <f t="shared" si="501"/>
        <v>5535748.0338692889</v>
      </c>
      <c r="DV137" s="232">
        <f t="shared" si="502"/>
        <v>6105146.5535048954</v>
      </c>
      <c r="DX137" s="213">
        <f t="shared" si="514"/>
        <v>2030345</v>
      </c>
      <c r="DY137" s="213">
        <f t="shared" si="515"/>
        <v>672466</v>
      </c>
      <c r="DZ137" s="213">
        <f t="shared" si="516"/>
        <v>4677536</v>
      </c>
      <c r="EA137" s="213">
        <f t="shared" si="517"/>
        <v>15760721.590799073</v>
      </c>
      <c r="EB137" s="213">
        <f t="shared" si="518"/>
        <v>19004755.005683474</v>
      </c>
      <c r="EC137" s="772">
        <f t="shared" si="503"/>
        <v>21574569.189985253</v>
      </c>
    </row>
    <row r="138" spans="2:134" x14ac:dyDescent="0.2">
      <c r="B138" s="155" t="s">
        <v>237</v>
      </c>
      <c r="C138" s="232">
        <f>'D2C Online'!AA147</f>
        <v>38866.744801512286</v>
      </c>
      <c r="D138" s="232">
        <f>'D2C Online'!AB147</f>
        <v>31315.692386305567</v>
      </c>
      <c r="E138" s="232">
        <f>'D2C Online'!AC147</f>
        <v>90699.23908425773</v>
      </c>
      <c r="F138" s="232">
        <f>'D2C Online'!AD147</f>
        <v>33768.249964892566</v>
      </c>
      <c r="G138" s="232">
        <f>'D2C Online'!AE147</f>
        <v>2006.3103621730384</v>
      </c>
      <c r="H138" s="232">
        <f>'D2C Online'!AF147</f>
        <v>16947.931809938338</v>
      </c>
      <c r="I138" s="232">
        <f>'D2C Online'!AG147</f>
        <v>36502.251624335498</v>
      </c>
      <c r="J138" s="232">
        <f>'D2C Online'!AH147</f>
        <v>29031.459915611813</v>
      </c>
      <c r="K138" s="232">
        <f>'D2C Online'!AI147</f>
        <v>71682.971468045915</v>
      </c>
      <c r="L138" s="232">
        <f>'D2C Online'!AJ147</f>
        <v>151189.52948183441</v>
      </c>
      <c r="M138" s="232">
        <f>'D2C Online'!AK147</f>
        <v>277794.43498137488</v>
      </c>
      <c r="N138" s="232">
        <f>'D2C Online'!AL147</f>
        <v>206404.66078402294</v>
      </c>
      <c r="O138" s="232">
        <f>'D2C Online'!AM147</f>
        <v>304246.63361889328</v>
      </c>
      <c r="P138" s="232">
        <f>'D2C Online'!AN147</f>
        <v>285880.18663007254</v>
      </c>
      <c r="Q138" s="232">
        <f>'D2C Online'!AO147</f>
        <v>133069.04991922757</v>
      </c>
      <c r="R138" s="232">
        <f>'D2C Online'!AP147</f>
        <v>148567.64777801404</v>
      </c>
      <c r="S138" s="232">
        <f>'D2C Online'!AQ147</f>
        <v>77135.347510131818</v>
      </c>
      <c r="T138" s="232">
        <f>'D2C Online'!AR147</f>
        <v>202131.59368442092</v>
      </c>
      <c r="U138" s="232">
        <f>'D2C Online'!AS147</f>
        <v>621279.97786413156</v>
      </c>
      <c r="V138" s="232">
        <f>'D2C Online'!AT147</f>
        <v>611335.09896101081</v>
      </c>
      <c r="W138" s="232">
        <f>'D2C Online'!AU147</f>
        <v>344186.14960347855</v>
      </c>
      <c r="X138" s="232">
        <f>'D2C Online'!AV147</f>
        <v>958141.53206600668</v>
      </c>
      <c r="Y138" s="232">
        <f>'D2C Online'!AW147</f>
        <v>419014.63658939913</v>
      </c>
      <c r="Z138" s="232">
        <f>'D2C Online'!AX147</f>
        <v>167974.10797336797</v>
      </c>
      <c r="AA138" s="232">
        <f>'D2C Online'!AY147</f>
        <v>326110.81356373656</v>
      </c>
      <c r="AB138" s="232">
        <f>'D2C Online'!AZ147</f>
        <v>676227.56565463776</v>
      </c>
      <c r="AC138" s="232">
        <f>'D2C Online'!BA147</f>
        <v>2893031.2362393457</v>
      </c>
      <c r="AD138" s="232">
        <f>'D2C Online'!BB147</f>
        <v>3858697</v>
      </c>
      <c r="AE138" s="232">
        <f>'D2C Online'!BC147</f>
        <v>5295267</v>
      </c>
      <c r="AF138" s="232">
        <f>'D2C Online'!BD147</f>
        <v>5188932</v>
      </c>
      <c r="AG138" s="232">
        <f>'D2C Online'!BE147</f>
        <v>5905440</v>
      </c>
      <c r="AH138" s="232">
        <f>'D2C Online'!BF147</f>
        <v>6218290</v>
      </c>
      <c r="AI138" s="232">
        <f>'D2C Online'!BG147</f>
        <v>7027515</v>
      </c>
      <c r="AJ138" s="232">
        <f>'D2C Online'!BH147</f>
        <v>12745910</v>
      </c>
      <c r="AK138" s="232">
        <f>'D2C Online'!BI147</f>
        <v>9713261</v>
      </c>
      <c r="AL138" s="232">
        <f>'D2C Online'!BJ147</f>
        <v>7618990</v>
      </c>
      <c r="AM138" s="232">
        <f>'D2C Online'!BK147</f>
        <v>7302900</v>
      </c>
      <c r="AN138" s="232">
        <f>'D2C Online'!BL147</f>
        <v>6698996</v>
      </c>
      <c r="AO138" s="232">
        <f>'D2C Online'!BM147</f>
        <v>9802314</v>
      </c>
      <c r="AP138" s="232">
        <f>'D2C Online'!BN147</f>
        <v>8592017</v>
      </c>
      <c r="AQ138" s="232">
        <f>'D2C Online'!BO147</f>
        <v>9992560</v>
      </c>
      <c r="AR138" s="232">
        <f>'D2C Online'!BP147</f>
        <v>7783150</v>
      </c>
      <c r="AS138" s="232">
        <f>'D2C Online'!BQ147</f>
        <v>8600200</v>
      </c>
      <c r="AT138" s="232">
        <f>'D2C Online'!BR147</f>
        <v>6121800</v>
      </c>
      <c r="AU138" s="232">
        <f>'D2C Online'!BS147</f>
        <v>3428300</v>
      </c>
      <c r="AV138" s="232">
        <f>'D2C Online'!BT147</f>
        <v>4868965</v>
      </c>
      <c r="AW138" s="232">
        <f>'D2C Online'!BU147</f>
        <v>7250147</v>
      </c>
      <c r="AX138" s="232">
        <f>'D2C Online'!BV147</f>
        <v>10505819</v>
      </c>
      <c r="AY138" s="232">
        <f>'D2C Online'!BW147</f>
        <v>10668875.289999999</v>
      </c>
      <c r="AZ138" s="232">
        <f>'D2C Online'!BX147</f>
        <v>10066236</v>
      </c>
      <c r="BA138" s="232">
        <f>'D2C Online'!BY147</f>
        <v>8953663</v>
      </c>
      <c r="BB138" s="232">
        <f>'D2C Online'!BZ147</f>
        <v>8771757</v>
      </c>
      <c r="BC138" s="232">
        <f>'D2C Online'!CA147</f>
        <v>8342037</v>
      </c>
      <c r="BD138" s="232">
        <f>'D2C Online'!CB147</f>
        <v>9171252</v>
      </c>
      <c r="BE138" s="232">
        <f>'D2C Online'!CC147</f>
        <v>9682011</v>
      </c>
      <c r="BF138" s="232">
        <f>'D2C Online'!CD147</f>
        <v>9122112</v>
      </c>
      <c r="BG138" s="232">
        <f>'D2C Online'!CE147</f>
        <v>6143302</v>
      </c>
      <c r="BH138" s="232">
        <f>'D2C Online'!CF147</f>
        <v>5689502</v>
      </c>
      <c r="BI138" s="232">
        <f>'D2C Online'!CG147</f>
        <v>6779183</v>
      </c>
      <c r="BJ138" s="232">
        <f>'D2C Online'!CH147</f>
        <v>7525876.25</v>
      </c>
      <c r="BK138" s="232">
        <f>'D2C Online'!CI147</f>
        <v>7947913</v>
      </c>
      <c r="BL138" s="232">
        <f>'D2C Online'!CJ147</f>
        <v>7138531</v>
      </c>
      <c r="BM138" s="232">
        <f>'D2C Online'!CK147</f>
        <v>8090709</v>
      </c>
      <c r="BN138" s="232">
        <f>'D2C Online'!CL147</f>
        <v>8090709</v>
      </c>
      <c r="BO138" s="232">
        <f>'D2C Online'!CM147</f>
        <v>8090709</v>
      </c>
      <c r="BP138" s="232">
        <f>'D2C Online'!CN147</f>
        <v>8090709</v>
      </c>
      <c r="BQ138" s="232">
        <f>'D2C Online'!CO147</f>
        <v>8090709</v>
      </c>
      <c r="BR138" s="232">
        <f>'D2C Online'!CP147</f>
        <v>8090709</v>
      </c>
      <c r="BS138" s="232">
        <f>'D2C Online'!CQ147</f>
        <v>8090709</v>
      </c>
      <c r="BT138" s="232">
        <f>'D2C Online'!CR147</f>
        <v>8495244.4500000011</v>
      </c>
      <c r="BU138" s="232">
        <f>'D2C Online'!CS147</f>
        <v>8495244.4500000011</v>
      </c>
      <c r="BV138" s="232">
        <f>'D2C Online'!CT147</f>
        <v>8495244.4500000011</v>
      </c>
      <c r="BW138" s="232">
        <f>'D2C Online'!CU147</f>
        <v>8495244.4500000011</v>
      </c>
      <c r="BX138" s="232">
        <f>'D2C Online'!CV147</f>
        <v>8495244.4500000011</v>
      </c>
      <c r="BY138" s="232">
        <f>'D2C Online'!CW147</f>
        <v>8495244.4500000011</v>
      </c>
      <c r="BZ138" s="232">
        <f>'D2C Online'!CX147</f>
        <v>8495244.4500000011</v>
      </c>
      <c r="CA138" s="232">
        <f>'D2C Online'!CY147</f>
        <v>8495244.4500000011</v>
      </c>
      <c r="CB138" s="232">
        <f>'D2C Online'!CZ147</f>
        <v>8495244.4500000011</v>
      </c>
      <c r="CC138" s="232">
        <f>'D2C Online'!DA147</f>
        <v>8495244.4500000011</v>
      </c>
      <c r="CD138" s="232">
        <f>'D2C Online'!DB147</f>
        <v>8495244.4500000011</v>
      </c>
      <c r="CE138" s="232">
        <f>'D2C Online'!DC147</f>
        <v>8495244.4500000011</v>
      </c>
      <c r="CF138" s="232">
        <f>'D2C Online'!DD147</f>
        <v>8920006.6725000013</v>
      </c>
      <c r="CG138" s="232">
        <f>'D2C Online'!DE147</f>
        <v>8920006.6725000013</v>
      </c>
      <c r="CH138" s="232">
        <f>'D2C Online'!DF147</f>
        <v>8920006.6725000013</v>
      </c>
      <c r="CI138" s="232">
        <f>'D2C Online'!DG147</f>
        <v>8920006.6725000013</v>
      </c>
      <c r="CJ138" s="232">
        <f>'D2C Online'!DH147</f>
        <v>8920006.6725000013</v>
      </c>
      <c r="CK138" s="232">
        <f>'D2C Online'!DI147</f>
        <v>8920006.6725000013</v>
      </c>
      <c r="CL138" s="232">
        <f>'D2C Online'!DJ147</f>
        <v>8920006.6725000013</v>
      </c>
      <c r="CM138" s="232">
        <f>'D2C Online'!DK147</f>
        <v>8920006.6725000013</v>
      </c>
      <c r="CN138" s="232">
        <f>'D2C Online'!DL147</f>
        <v>8920006.6725000013</v>
      </c>
      <c r="CO138" s="232">
        <f>'D2C Online'!DM147</f>
        <v>8920006.6725000013</v>
      </c>
      <c r="CP138" s="232">
        <f>'D2C Online'!DN147</f>
        <v>8920006.6725000013</v>
      </c>
      <c r="CQ138" s="232">
        <f>'D2C Online'!DO147</f>
        <v>8920006.6725000013</v>
      </c>
      <c r="CR138" s="232">
        <f>'D2C Online'!DP147</f>
        <v>9366007.0061250012</v>
      </c>
      <c r="CS138" s="232">
        <f>'D2C Online'!DQ147</f>
        <v>9366007.0061250012</v>
      </c>
      <c r="CT138" s="232">
        <f>'D2C Online'!DR147</f>
        <v>9366007.0061250012</v>
      </c>
      <c r="CU138" s="232">
        <f>'D2C Online'!DS147</f>
        <v>9366007.0061250012</v>
      </c>
      <c r="CV138" s="232">
        <f>'D2C Online'!DT147</f>
        <v>9366007.0061250012</v>
      </c>
      <c r="CW138" s="232">
        <f>'D2C Online'!DU147</f>
        <v>9366007.0061250012</v>
      </c>
      <c r="CY138" s="232">
        <f>SUM(AD138:AF138)</f>
        <v>14342896</v>
      </c>
      <c r="CZ138" s="232">
        <f>SUM(AG138:AI138)</f>
        <v>19151245</v>
      </c>
      <c r="DA138" s="232">
        <f>SUM(AJ138:AL138)</f>
        <v>30078161</v>
      </c>
      <c r="DB138" s="232">
        <f>SUM(AM138:AO138)</f>
        <v>23804210</v>
      </c>
      <c r="DC138" s="232">
        <f>SUM(AP138:AR138)</f>
        <v>26367727</v>
      </c>
      <c r="DD138" s="232">
        <f>SUM(AS138:AU138)</f>
        <v>18150300</v>
      </c>
      <c r="DE138" s="232">
        <f>SUM(AV138:AX138)</f>
        <v>22624931</v>
      </c>
      <c r="DF138" s="232">
        <f>SUM(AY138:BA138)</f>
        <v>29688774.289999999</v>
      </c>
      <c r="DG138" s="232">
        <f>SUM(BB138:BD138)</f>
        <v>26285046</v>
      </c>
      <c r="DH138" s="232">
        <f>SUM(BE138:BG138)</f>
        <v>24947425</v>
      </c>
      <c r="DI138" s="232">
        <f>SUM(BH138:BJ138)</f>
        <v>19994561.25</v>
      </c>
      <c r="DJ138" s="232">
        <f>SUM(BK138:BM138)</f>
        <v>23177153</v>
      </c>
      <c r="DK138" s="232">
        <f>SUM(BN138:BP138)</f>
        <v>24272127</v>
      </c>
      <c r="DL138" s="232">
        <f>SUM(BQ138:BS138)</f>
        <v>24272127</v>
      </c>
      <c r="DM138" s="232">
        <f>SUM(BT138:BV138)</f>
        <v>25485733.350000001</v>
      </c>
      <c r="DN138" s="232">
        <f>SUM(BW138:BY138)</f>
        <v>25485733.350000001</v>
      </c>
      <c r="DO138" s="232">
        <f>SUM(BZ138:CB138)</f>
        <v>25485733.350000001</v>
      </c>
      <c r="DP138" s="232">
        <f>SUM(CC138:CE138)</f>
        <v>25485733.350000001</v>
      </c>
      <c r="DQ138" s="232">
        <f>SUM(CF138:CH138)</f>
        <v>26760020.017500006</v>
      </c>
      <c r="DR138" s="232">
        <f>SUM(CI138:CK138)</f>
        <v>26760020.017500006</v>
      </c>
      <c r="DS138" s="232">
        <f t="shared" si="499"/>
        <v>26760020.017500006</v>
      </c>
      <c r="DT138" s="232">
        <f t="shared" si="500"/>
        <v>26760020.017500006</v>
      </c>
      <c r="DU138" s="232">
        <f t="shared" si="501"/>
        <v>28098021.018375002</v>
      </c>
      <c r="DV138" s="232">
        <f t="shared" si="502"/>
        <v>28098021.018375002</v>
      </c>
      <c r="DX138" s="213">
        <f t="shared" si="514"/>
        <v>87376512</v>
      </c>
      <c r="DY138" s="213">
        <f t="shared" si="515"/>
        <v>96831732.289999992</v>
      </c>
      <c r="DZ138" s="213">
        <f t="shared" si="516"/>
        <v>94404185.25</v>
      </c>
      <c r="EA138" s="213">
        <f t="shared" si="517"/>
        <v>99515720.699999988</v>
      </c>
      <c r="EB138" s="213">
        <f t="shared" si="518"/>
        <v>104491506.73500001</v>
      </c>
      <c r="EC138" s="772">
        <f t="shared" si="503"/>
        <v>109716082.07175002</v>
      </c>
    </row>
    <row r="139" spans="2:134" x14ac:dyDescent="0.2">
      <c r="B139" s="22" t="s">
        <v>57</v>
      </c>
      <c r="C139" s="20">
        <f>C136/C50</f>
        <v>1.9580606521462009E-3</v>
      </c>
      <c r="D139" s="20">
        <f t="shared" ref="D139:BO139" si="519">D136/D50</f>
        <v>1.6650700393894854E-3</v>
      </c>
      <c r="E139" s="20">
        <f t="shared" si="519"/>
        <v>3.4739061092985005E-3</v>
      </c>
      <c r="F139" s="20">
        <f t="shared" si="519"/>
        <v>2.1288048598220436E-3</v>
      </c>
      <c r="G139" s="20">
        <f t="shared" si="519"/>
        <v>5.0060356006616648E-4</v>
      </c>
      <c r="H139" s="20">
        <f t="shared" si="519"/>
        <v>1.1871833601280945E-3</v>
      </c>
      <c r="I139" s="20">
        <f t="shared" si="519"/>
        <v>2.3939355577534318E-3</v>
      </c>
      <c r="J139" s="20">
        <f t="shared" si="519"/>
        <v>6.0192212651434202E-3</v>
      </c>
      <c r="K139" s="20">
        <f t="shared" si="519"/>
        <v>5.3764704299991729E-3</v>
      </c>
      <c r="L139" s="20">
        <f t="shared" si="519"/>
        <v>9.2235614644555E-3</v>
      </c>
      <c r="M139" s="20">
        <f t="shared" si="519"/>
        <v>7.8273224591146832E-3</v>
      </c>
      <c r="N139" s="20">
        <f t="shared" si="519"/>
        <v>4.9451583227649708E-3</v>
      </c>
      <c r="O139" s="20">
        <f t="shared" si="519"/>
        <v>6.6431992848764339E-3</v>
      </c>
      <c r="P139" s="20">
        <f t="shared" si="519"/>
        <v>6.9104322713908648E-3</v>
      </c>
      <c r="Q139" s="20">
        <f t="shared" si="519"/>
        <v>5.4195182446925743E-3</v>
      </c>
      <c r="R139" s="20">
        <f t="shared" si="519"/>
        <v>5.6200419399492219E-3</v>
      </c>
      <c r="S139" s="20">
        <f t="shared" si="519"/>
        <v>5.5731113164192783E-3</v>
      </c>
      <c r="T139" s="20">
        <f t="shared" si="519"/>
        <v>6.8870555158271861E-3</v>
      </c>
      <c r="U139" s="20">
        <f t="shared" si="519"/>
        <v>1.7991499515744035E-2</v>
      </c>
      <c r="V139" s="20">
        <f t="shared" si="519"/>
        <v>2.6791057634038624E-2</v>
      </c>
      <c r="W139" s="20">
        <f t="shared" si="519"/>
        <v>1.8620970407314957E-2</v>
      </c>
      <c r="X139" s="20">
        <f t="shared" si="519"/>
        <v>1.7529677575964294E-2</v>
      </c>
      <c r="Y139" s="20">
        <f t="shared" si="519"/>
        <v>6.5783015943887422E-3</v>
      </c>
      <c r="Z139" s="20">
        <f t="shared" si="519"/>
        <v>2.343167878055248E-3</v>
      </c>
      <c r="AA139" s="20">
        <f t="shared" si="519"/>
        <v>4.7498564431148792E-3</v>
      </c>
      <c r="AB139" s="20">
        <f t="shared" si="519"/>
        <v>6.4794261696867004E-3</v>
      </c>
      <c r="AC139" s="20">
        <f t="shared" si="519"/>
        <v>8.6464378251664715E-3</v>
      </c>
      <c r="AD139" s="20">
        <f t="shared" si="519"/>
        <v>8.1417406398018154E-3</v>
      </c>
      <c r="AE139" s="20">
        <f t="shared" si="519"/>
        <v>1.0803304038466381E-2</v>
      </c>
      <c r="AF139" s="20">
        <f t="shared" si="519"/>
        <v>1.0434118229957681E-2</v>
      </c>
      <c r="AG139" s="20">
        <f t="shared" si="519"/>
        <v>1.5439596487888672E-2</v>
      </c>
      <c r="AH139" s="20">
        <f t="shared" si="519"/>
        <v>1.4590596946823473E-2</v>
      </c>
      <c r="AI139" s="20">
        <f t="shared" si="519"/>
        <v>1.5782285842168786E-2</v>
      </c>
      <c r="AJ139" s="20">
        <f t="shared" si="519"/>
        <v>1.938205093895045E-2</v>
      </c>
      <c r="AK139" s="20">
        <f t="shared" si="519"/>
        <v>1.8367594721978332E-2</v>
      </c>
      <c r="AL139" s="20">
        <f t="shared" si="519"/>
        <v>1.6183533027976236E-2</v>
      </c>
      <c r="AM139" s="20">
        <f t="shared" si="519"/>
        <v>1.615615355630964E-2</v>
      </c>
      <c r="AN139" s="20">
        <f t="shared" si="519"/>
        <v>1.7260751825735342E-2</v>
      </c>
      <c r="AO139" s="20">
        <f t="shared" si="519"/>
        <v>2.0012164994807274E-2</v>
      </c>
      <c r="AP139" s="20">
        <f t="shared" si="519"/>
        <v>1.6900487574143849E-2</v>
      </c>
      <c r="AQ139" s="20">
        <f t="shared" si="519"/>
        <v>1.898450873796929E-2</v>
      </c>
      <c r="AR139" s="20">
        <f t="shared" si="519"/>
        <v>1.4429088681541011E-2</v>
      </c>
      <c r="AS139" s="20">
        <f t="shared" si="519"/>
        <v>1.607836536732532E-2</v>
      </c>
      <c r="AT139" s="20">
        <f t="shared" si="519"/>
        <v>1.2892593910459544E-2</v>
      </c>
      <c r="AU139" s="20">
        <f t="shared" si="519"/>
        <v>7.4842245843678122E-3</v>
      </c>
      <c r="AV139" s="20">
        <f t="shared" si="519"/>
        <v>8.5201792028200846E-3</v>
      </c>
      <c r="AW139" s="20">
        <f t="shared" si="519"/>
        <v>1.3592637319963095E-2</v>
      </c>
      <c r="AX139" s="20">
        <f t="shared" si="519"/>
        <v>1.6538210925099307E-2</v>
      </c>
      <c r="AY139" s="20">
        <f t="shared" si="519"/>
        <v>1.575081713177743E-2</v>
      </c>
      <c r="AZ139" s="20">
        <f t="shared" si="519"/>
        <v>1.5625190997187375E-2</v>
      </c>
      <c r="BA139" s="20">
        <f t="shared" si="519"/>
        <v>1.0811478718891468E-2</v>
      </c>
      <c r="BB139" s="20">
        <f t="shared" si="519"/>
        <v>1.15269710992953E-2</v>
      </c>
      <c r="BC139" s="20">
        <f t="shared" si="519"/>
        <v>1.1204651464497555E-2</v>
      </c>
      <c r="BD139" s="20">
        <f t="shared" si="519"/>
        <v>1.2197868494357566E-2</v>
      </c>
      <c r="BE139" s="20">
        <f t="shared" si="519"/>
        <v>1.1950979582480722E-2</v>
      </c>
      <c r="BF139" s="20">
        <f t="shared" si="519"/>
        <v>1.307961191737546E-2</v>
      </c>
      <c r="BG139" s="20">
        <f t="shared" si="519"/>
        <v>8.149338908612162E-3</v>
      </c>
      <c r="BH139" s="20">
        <f t="shared" si="519"/>
        <v>6.5177516156069209E-3</v>
      </c>
      <c r="BI139" s="20">
        <f t="shared" si="519"/>
        <v>8.9773774075482902E-3</v>
      </c>
      <c r="BJ139" s="20">
        <f t="shared" si="519"/>
        <v>8.3454797436899961E-3</v>
      </c>
      <c r="BK139" s="20">
        <f t="shared" si="519"/>
        <v>8.2599099901242267E-3</v>
      </c>
      <c r="BL139" s="20">
        <f t="shared" si="519"/>
        <v>8.2606796590221805E-3</v>
      </c>
      <c r="BM139" s="20">
        <f t="shared" si="519"/>
        <v>8.1923968310260407E-3</v>
      </c>
      <c r="BN139" s="20">
        <f t="shared" si="519"/>
        <v>9.1644604809935932E-3</v>
      </c>
      <c r="BO139" s="20">
        <f t="shared" si="519"/>
        <v>9.2241967900336588E-3</v>
      </c>
      <c r="BP139" s="20">
        <f t="shared" ref="BP139:EB139" si="520">BP136/BP50</f>
        <v>9.2361532263767563E-3</v>
      </c>
      <c r="BQ139" s="20">
        <f t="shared" si="520"/>
        <v>8.830902093031048E-3</v>
      </c>
      <c r="BR139" s="20">
        <f t="shared" si="520"/>
        <v>9.5477015006406145E-3</v>
      </c>
      <c r="BS139" s="20">
        <f t="shared" si="520"/>
        <v>9.547534477273684E-3</v>
      </c>
      <c r="BT139" s="20">
        <f t="shared" si="520"/>
        <v>9.0447495534395003E-3</v>
      </c>
      <c r="BU139" s="20">
        <f t="shared" si="520"/>
        <v>9.4172130050790212E-3</v>
      </c>
      <c r="BV139" s="20">
        <f t="shared" si="520"/>
        <v>8.0107181565124246E-3</v>
      </c>
      <c r="BW139" s="20">
        <f t="shared" si="520"/>
        <v>7.6940035199001928E-3</v>
      </c>
      <c r="BX139" s="20">
        <f t="shared" si="520"/>
        <v>8.4483657292974499E-3</v>
      </c>
      <c r="BY139" s="20">
        <f t="shared" si="520"/>
        <v>7.6357181145720512E-3</v>
      </c>
      <c r="BZ139" s="20">
        <f t="shared" si="520"/>
        <v>8.1346389635153418E-3</v>
      </c>
      <c r="CA139" s="20">
        <f t="shared" si="520"/>
        <v>8.1766048545328721E-3</v>
      </c>
      <c r="CB139" s="20">
        <f t="shared" si="520"/>
        <v>8.2074871854293952E-3</v>
      </c>
      <c r="CC139" s="20">
        <f t="shared" si="520"/>
        <v>7.8573104285671359E-3</v>
      </c>
      <c r="CD139" s="20">
        <f t="shared" si="520"/>
        <v>8.4898729813242171E-3</v>
      </c>
      <c r="CE139" s="20">
        <f t="shared" si="520"/>
        <v>8.4975641236866798E-3</v>
      </c>
      <c r="CF139" s="20">
        <f t="shared" si="520"/>
        <v>8.0739892894106918E-3</v>
      </c>
      <c r="CG139" s="20">
        <f t="shared" si="520"/>
        <v>8.4198127286909171E-3</v>
      </c>
      <c r="CH139" s="20">
        <f t="shared" si="520"/>
        <v>7.1948883584058319E-3</v>
      </c>
      <c r="CI139" s="20">
        <f t="shared" si="520"/>
        <v>6.9269353203710382E-3</v>
      </c>
      <c r="CJ139" s="20">
        <f t="shared" si="520"/>
        <v>7.6133158017121167E-3</v>
      </c>
      <c r="CK139" s="20">
        <f t="shared" si="520"/>
        <v>6.9325061567010087E-3</v>
      </c>
      <c r="CL139" s="20">
        <f t="shared" ref="CL139:CW139" si="521">CL136/CL50</f>
        <v>7.4838569409734707E-3</v>
      </c>
      <c r="CM139" s="20">
        <f t="shared" si="521"/>
        <v>7.5225039634354892E-3</v>
      </c>
      <c r="CN139" s="20">
        <f t="shared" si="521"/>
        <v>7.5520969006004088E-3</v>
      </c>
      <c r="CO139" s="20">
        <f t="shared" si="521"/>
        <v>7.24144088952267E-3</v>
      </c>
      <c r="CP139" s="20">
        <f t="shared" si="521"/>
        <v>7.8156823212905749E-3</v>
      </c>
      <c r="CQ139" s="20">
        <f t="shared" si="521"/>
        <v>7.8089644096286017E-3</v>
      </c>
      <c r="CR139" s="20">
        <f t="shared" si="521"/>
        <v>7.4490164204038577E-3</v>
      </c>
      <c r="CS139" s="20">
        <f t="shared" si="521"/>
        <v>7.7573580261860462E-3</v>
      </c>
      <c r="CT139" s="20">
        <f t="shared" si="521"/>
        <v>6.6371517113556471E-3</v>
      </c>
      <c r="CU139" s="20">
        <f t="shared" si="521"/>
        <v>6.3883260549903046E-3</v>
      </c>
      <c r="CV139" s="20">
        <f t="shared" si="521"/>
        <v>7.0235630471456451E-3</v>
      </c>
      <c r="CW139" s="20">
        <f t="shared" si="521"/>
        <v>6.4089679147693868E-3</v>
      </c>
      <c r="CY139" s="20">
        <f t="shared" si="520"/>
        <v>9.8217397691808244E-3</v>
      </c>
      <c r="CZ139" s="20">
        <f t="shared" si="520"/>
        <v>1.5268720963523297E-2</v>
      </c>
      <c r="DA139" s="20">
        <f t="shared" si="520"/>
        <v>1.8129562933649413E-2</v>
      </c>
      <c r="DB139" s="20">
        <f t="shared" si="520"/>
        <v>1.7895783070774818E-2</v>
      </c>
      <c r="DC139" s="20">
        <f t="shared" si="520"/>
        <v>1.6725321254949951E-2</v>
      </c>
      <c r="DD139" s="20">
        <f t="shared" si="520"/>
        <v>1.2400918150820162E-2</v>
      </c>
      <c r="DE139" s="20">
        <f t="shared" si="520"/>
        <v>1.3002118453221644E-2</v>
      </c>
      <c r="DF139" s="20">
        <f t="shared" si="520"/>
        <v>1.3810353135207657E-2</v>
      </c>
      <c r="DG139" s="20">
        <f t="shared" si="520"/>
        <v>1.1644124423688324E-2</v>
      </c>
      <c r="DH139" s="20">
        <f t="shared" si="520"/>
        <v>1.103178087252586E-2</v>
      </c>
      <c r="DI139" s="20">
        <f t="shared" si="520"/>
        <v>7.9420623152761504E-3</v>
      </c>
      <c r="DJ139" s="20">
        <f t="shared" si="520"/>
        <v>8.235683839855094E-3</v>
      </c>
      <c r="DK139" s="20">
        <f t="shared" si="520"/>
        <v>9.2081206603647197E-3</v>
      </c>
      <c r="DL139" s="20">
        <f t="shared" si="520"/>
        <v>9.292962346748387E-3</v>
      </c>
      <c r="DM139" s="20">
        <f t="shared" si="520"/>
        <v>8.7768421746633896E-3</v>
      </c>
      <c r="DN139" s="20">
        <f t="shared" si="520"/>
        <v>7.9063484536263818E-3</v>
      </c>
      <c r="DO139" s="20">
        <f t="shared" si="520"/>
        <v>8.1727537586250305E-3</v>
      </c>
      <c r="DP139" s="20">
        <f t="shared" si="520"/>
        <v>8.2671508440737822E-3</v>
      </c>
      <c r="DQ139" s="20">
        <f t="shared" si="520"/>
        <v>7.8559679944481785E-3</v>
      </c>
      <c r="DR139" s="20">
        <f t="shared" si="520"/>
        <v>7.1408899935957223E-3</v>
      </c>
      <c r="DS139" s="20">
        <f t="shared" si="520"/>
        <v>7.5193315909983134E-3</v>
      </c>
      <c r="DT139" s="20">
        <f t="shared" si="520"/>
        <v>7.609124620567718E-3</v>
      </c>
      <c r="DU139" s="20">
        <f t="shared" si="520"/>
        <v>7.2441386837597934E-3</v>
      </c>
      <c r="DV139" s="20">
        <f t="shared" si="520"/>
        <v>6.5916618792845588E-3</v>
      </c>
      <c r="DW139" s="771"/>
      <c r="DX139" s="20">
        <f t="shared" si="520"/>
        <v>1.5327625298585165E-2</v>
      </c>
      <c r="DY139" s="20">
        <f t="shared" si="520"/>
        <v>1.3971032600644046E-2</v>
      </c>
      <c r="DZ139" s="20">
        <f t="shared" si="520"/>
        <v>9.5047343147697649E-3</v>
      </c>
      <c r="EA139" s="20">
        <f t="shared" si="520"/>
        <v>8.7423275759687287E-3</v>
      </c>
      <c r="EB139" s="20">
        <f t="shared" si="520"/>
        <v>7.8193739311754867E-3</v>
      </c>
      <c r="EC139" s="20">
        <f t="shared" ref="EC139" si="522">EC136/EC50</f>
        <v>7.2055253389649845E-3</v>
      </c>
      <c r="ED139" s="771"/>
    </row>
    <row r="140" spans="2:134" x14ac:dyDescent="0.2">
      <c r="B140" s="22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X140" s="19"/>
      <c r="DY140" s="19"/>
      <c r="DZ140" s="19"/>
      <c r="EA140" s="19"/>
      <c r="EB140" s="19"/>
      <c r="EC140" s="770">
        <f t="shared" si="503"/>
        <v>0</v>
      </c>
    </row>
    <row r="141" spans="2:134" x14ac:dyDescent="0.2">
      <c r="B141" s="212" t="s">
        <v>153</v>
      </c>
      <c r="C141" s="199">
        <f>C142+C143</f>
        <v>0</v>
      </c>
      <c r="D141" s="199">
        <f t="shared" ref="D141" si="523">D142+D143</f>
        <v>0</v>
      </c>
      <c r="E141" s="199">
        <f t="shared" ref="E141" si="524">E142+E143</f>
        <v>0</v>
      </c>
      <c r="F141" s="199">
        <f t="shared" ref="F141" si="525">F142+F143</f>
        <v>0</v>
      </c>
      <c r="G141" s="199">
        <f t="shared" ref="G141" si="526">G142+G143</f>
        <v>0</v>
      </c>
      <c r="H141" s="199">
        <f t="shared" ref="H141" si="527">H142+H143</f>
        <v>0</v>
      </c>
      <c r="I141" s="199">
        <f t="shared" ref="I141" si="528">I142+I143</f>
        <v>0</v>
      </c>
      <c r="J141" s="199">
        <f t="shared" ref="J141" si="529">J142+J143</f>
        <v>0</v>
      </c>
      <c r="K141" s="199">
        <f t="shared" ref="K141" si="530">K142+K143</f>
        <v>0</v>
      </c>
      <c r="L141" s="199">
        <f t="shared" ref="L141" si="531">L142+L143</f>
        <v>0</v>
      </c>
      <c r="M141" s="199">
        <f t="shared" ref="M141" si="532">M142+M143</f>
        <v>0</v>
      </c>
      <c r="N141" s="199">
        <f t="shared" ref="N141" si="533">N142+N143</f>
        <v>0</v>
      </c>
      <c r="O141" s="199">
        <f t="shared" ref="O141" si="534">O142+O143</f>
        <v>0</v>
      </c>
      <c r="P141" s="199">
        <f t="shared" ref="P141" si="535">P142+P143</f>
        <v>0</v>
      </c>
      <c r="Q141" s="199">
        <f t="shared" ref="Q141" si="536">Q142+Q143</f>
        <v>0</v>
      </c>
      <c r="R141" s="199">
        <f t="shared" ref="R141" si="537">R142+R143</f>
        <v>0</v>
      </c>
      <c r="S141" s="199">
        <f t="shared" ref="S141" si="538">S142+S143</f>
        <v>0</v>
      </c>
      <c r="T141" s="199">
        <f t="shared" ref="T141" si="539">T142+T143</f>
        <v>0</v>
      </c>
      <c r="U141" s="199">
        <f t="shared" ref="U141" si="540">U142+U143</f>
        <v>0</v>
      </c>
      <c r="V141" s="199">
        <f t="shared" ref="V141" si="541">V142+V143</f>
        <v>0</v>
      </c>
      <c r="W141" s="199">
        <f t="shared" ref="W141" si="542">W142+W143</f>
        <v>0</v>
      </c>
      <c r="X141" s="199">
        <f t="shared" ref="X141" si="543">X142+X143</f>
        <v>0</v>
      </c>
      <c r="Y141" s="199">
        <f t="shared" ref="Y141" si="544">Y142+Y143</f>
        <v>0</v>
      </c>
      <c r="Z141" s="199">
        <f t="shared" ref="Z141" si="545">Z142+Z143</f>
        <v>0</v>
      </c>
      <c r="AA141" s="199">
        <f t="shared" ref="AA141" si="546">AA142+AA143</f>
        <v>0</v>
      </c>
      <c r="AB141" s="199">
        <f t="shared" ref="AB141" si="547">AB142+AB143</f>
        <v>0</v>
      </c>
      <c r="AC141" s="199">
        <f t="shared" ref="AC141" si="548">AC142+AC143</f>
        <v>0</v>
      </c>
      <c r="AD141" s="199">
        <f t="shared" ref="AD141" si="549">AD142+AD143</f>
        <v>2577526</v>
      </c>
      <c r="AE141" s="199">
        <f t="shared" ref="AE141" si="550">AE142+AE143</f>
        <v>4592181</v>
      </c>
      <c r="AF141" s="199">
        <f t="shared" ref="AF141" si="551">AF142+AF143</f>
        <v>3583553</v>
      </c>
      <c r="AG141" s="199">
        <f t="shared" ref="AG141" si="552">AG142+AG143</f>
        <v>2830750</v>
      </c>
      <c r="AH141" s="199">
        <f t="shared" ref="AH141" si="553">AH142+AH143</f>
        <v>3860166</v>
      </c>
      <c r="AI141" s="199">
        <f t="shared" ref="AI141" si="554">AI142+AI143</f>
        <v>4028187</v>
      </c>
      <c r="AJ141" s="199">
        <f t="shared" ref="AJ141" si="555">AJ142+AJ143</f>
        <v>3414132</v>
      </c>
      <c r="AK141" s="199">
        <f t="shared" ref="AK141" si="556">AK142+AK143</f>
        <v>7771609</v>
      </c>
      <c r="AL141" s="199">
        <f t="shared" ref="AL141" si="557">AL142+AL143</f>
        <v>3758475</v>
      </c>
      <c r="AM141" s="199">
        <f t="shared" ref="AM141" si="558">AM142+AM143</f>
        <v>4060056</v>
      </c>
      <c r="AN141" s="199">
        <f t="shared" ref="AN141" si="559">AN142+AN143</f>
        <v>12093988</v>
      </c>
      <c r="AO141" s="199">
        <f t="shared" ref="AO141" si="560">AO142+AO143</f>
        <v>3288406</v>
      </c>
      <c r="AP141" s="199">
        <f t="shared" ref="AP141" si="561">AP142+AP143</f>
        <v>6165511</v>
      </c>
      <c r="AQ141" s="199">
        <f t="shared" ref="AQ141" si="562">AQ142+AQ143</f>
        <v>5450781</v>
      </c>
      <c r="AR141" s="199">
        <f t="shared" ref="AR141" si="563">AR142+AR143</f>
        <v>7603834</v>
      </c>
      <c r="AS141" s="199">
        <f t="shared" ref="AS141" si="564">AS142+AS143</f>
        <v>4662930</v>
      </c>
      <c r="AT141" s="199">
        <f t="shared" ref="AT141" si="565">AT142+AT143</f>
        <v>5661283</v>
      </c>
      <c r="AU141" s="199">
        <f t="shared" ref="AU141" si="566">AU142+AU143</f>
        <v>3731264</v>
      </c>
      <c r="AV141" s="199">
        <f t="shared" ref="AV141" si="567">AV142+AV143</f>
        <v>2839923</v>
      </c>
      <c r="AW141" s="199">
        <f t="shared" ref="AW141" si="568">AW142+AW143</f>
        <v>2762011</v>
      </c>
      <c r="AX141" s="199">
        <f t="shared" ref="AX141" si="569">AX142+AX143</f>
        <v>3208090</v>
      </c>
      <c r="AY141" s="199">
        <f t="shared" ref="AY141" si="570">AY142+AY143</f>
        <v>2464000</v>
      </c>
      <c r="AZ141" s="199">
        <f t="shared" ref="AZ141" si="571">AZ142+AZ143</f>
        <v>2550234</v>
      </c>
      <c r="BA141" s="199">
        <f t="shared" ref="BA141" si="572">BA142+BA143</f>
        <v>2574828</v>
      </c>
      <c r="BB141" s="199">
        <f t="shared" ref="BB141" si="573">BB142+BB143</f>
        <v>3707370</v>
      </c>
      <c r="BC141" s="199">
        <f t="shared" ref="BC141" si="574">BC142+BC143</f>
        <v>4143910</v>
      </c>
      <c r="BD141" s="199">
        <f t="shared" ref="BD141" si="575">BD142+BD143</f>
        <v>3165281</v>
      </c>
      <c r="BE141" s="199">
        <f t="shared" ref="BE141" si="576">BE142+BE143</f>
        <v>2730929</v>
      </c>
      <c r="BF141" s="199">
        <f t="shared" ref="BF141" si="577">BF142+BF143</f>
        <v>1991184</v>
      </c>
      <c r="BG141" s="199">
        <f t="shared" ref="BG141" si="578">BG142+BG143</f>
        <v>2719490</v>
      </c>
      <c r="BH141" s="199">
        <f t="shared" ref="BH141" si="579">BH142+BH143</f>
        <v>3554961.5</v>
      </c>
      <c r="BI141" s="199">
        <f t="shared" ref="BI141" si="580">BI142+BI143</f>
        <v>3985494</v>
      </c>
      <c r="BJ141" s="199">
        <f t="shared" ref="BJ141" si="581">BJ142+BJ143</f>
        <v>4407009.5</v>
      </c>
      <c r="BK141" s="199">
        <f t="shared" ref="BK141" si="582">BK142+BK143</f>
        <v>4902167</v>
      </c>
      <c r="BL141" s="199">
        <f t="shared" ref="BL141" si="583">BL142+BL143</f>
        <v>4158966.5</v>
      </c>
      <c r="BM141" s="199">
        <f t="shared" ref="BM141" si="584">BM142+BM143</f>
        <v>4610148.5</v>
      </c>
      <c r="BN141" s="199">
        <f t="shared" ref="BN141" si="585">BN142+BN143</f>
        <v>1082880.25</v>
      </c>
      <c r="BO141" s="199">
        <f t="shared" ref="BO141" si="586">BO142+BO143</f>
        <v>1082880.25</v>
      </c>
      <c r="BP141" s="199">
        <f t="shared" ref="BP141" si="587">BP142+BP143</f>
        <v>1082880.25</v>
      </c>
      <c r="BQ141" s="199">
        <f t="shared" ref="BQ141" si="588">BQ142+BQ143</f>
        <v>1082880.25</v>
      </c>
      <c r="BR141" s="199">
        <f t="shared" ref="BR141" si="589">BR142+BR143</f>
        <v>1082880.25</v>
      </c>
      <c r="BS141" s="199">
        <f t="shared" ref="BS141" si="590">BS142+BS143</f>
        <v>1082880.25</v>
      </c>
      <c r="BT141" s="199">
        <f t="shared" ref="BT141" si="591">BT142+BT143</f>
        <v>1137024.2625</v>
      </c>
      <c r="BU141" s="199">
        <f t="shared" ref="BU141" si="592">BU142+BU143</f>
        <v>1137024.2625</v>
      </c>
      <c r="BV141" s="199">
        <f t="shared" ref="BV141" si="593">BV142+BV143</f>
        <v>1137024.2625</v>
      </c>
      <c r="BW141" s="199">
        <f t="shared" ref="BW141" si="594">BW142+BW143</f>
        <v>1137024.2625</v>
      </c>
      <c r="BX141" s="199">
        <f t="shared" ref="BX141" si="595">BX142+BX143</f>
        <v>1137024.2625</v>
      </c>
      <c r="BY141" s="199">
        <f t="shared" ref="BY141" si="596">BY142+BY143</f>
        <v>1137024.2625</v>
      </c>
      <c r="BZ141" s="199">
        <f t="shared" ref="BZ141" si="597">BZ142+BZ143</f>
        <v>1137024.2625</v>
      </c>
      <c r="CA141" s="199">
        <f t="shared" ref="CA141" si="598">CA142+CA143</f>
        <v>1137024.2625</v>
      </c>
      <c r="CB141" s="199">
        <f t="shared" ref="CB141" si="599">CB142+CB143</f>
        <v>1137024.2625</v>
      </c>
      <c r="CC141" s="199">
        <f t="shared" ref="CC141" si="600">CC142+CC143</f>
        <v>1137024.2625</v>
      </c>
      <c r="CD141" s="199">
        <f t="shared" ref="CD141" si="601">CD142+CD143</f>
        <v>1137024.2625</v>
      </c>
      <c r="CE141" s="199">
        <f t="shared" ref="CE141" si="602">CE142+CE143</f>
        <v>1137024.2625</v>
      </c>
      <c r="CF141" s="199">
        <f t="shared" ref="CF141" si="603">CF142+CF143</f>
        <v>1193875.475625</v>
      </c>
      <c r="CG141" s="199">
        <f t="shared" ref="CG141" si="604">CG142+CG143</f>
        <v>1193875.475625</v>
      </c>
      <c r="CH141" s="199">
        <f t="shared" ref="CH141" si="605">CH142+CH143</f>
        <v>1193875.475625</v>
      </c>
      <c r="CI141" s="199">
        <f t="shared" ref="CI141" si="606">CI142+CI143</f>
        <v>1193875.475625</v>
      </c>
      <c r="CJ141" s="199">
        <f t="shared" ref="CJ141" si="607">CJ142+CJ143</f>
        <v>1193875.475625</v>
      </c>
      <c r="CK141" s="199">
        <f t="shared" ref="CK141:CW141" si="608">CK142+CK143</f>
        <v>1193875.475625</v>
      </c>
      <c r="CL141" s="199">
        <f t="shared" si="608"/>
        <v>1193875.475625</v>
      </c>
      <c r="CM141" s="199">
        <f t="shared" si="608"/>
        <v>1193875.475625</v>
      </c>
      <c r="CN141" s="199">
        <f t="shared" si="608"/>
        <v>1193875.475625</v>
      </c>
      <c r="CO141" s="199">
        <f t="shared" si="608"/>
        <v>1193875.475625</v>
      </c>
      <c r="CP141" s="199">
        <f t="shared" si="608"/>
        <v>1193875.475625</v>
      </c>
      <c r="CQ141" s="199">
        <f t="shared" si="608"/>
        <v>1193875.475625</v>
      </c>
      <c r="CR141" s="199">
        <f t="shared" si="608"/>
        <v>1253569.24940625</v>
      </c>
      <c r="CS141" s="199">
        <f t="shared" si="608"/>
        <v>1253569.24940625</v>
      </c>
      <c r="CT141" s="199">
        <f t="shared" si="608"/>
        <v>1253569.24940625</v>
      </c>
      <c r="CU141" s="199">
        <f t="shared" si="608"/>
        <v>1253569.24940625</v>
      </c>
      <c r="CV141" s="199">
        <f t="shared" si="608"/>
        <v>1253569.24940625</v>
      </c>
      <c r="CW141" s="199">
        <f t="shared" si="608"/>
        <v>1253569.24940625</v>
      </c>
      <c r="CY141" s="199">
        <f>SUM(AD141:AF141)</f>
        <v>10753260</v>
      </c>
      <c r="CZ141" s="199">
        <f>SUM(AG141:AI141)</f>
        <v>10719103</v>
      </c>
      <c r="DA141" s="199">
        <f>SUM(AJ141:AL141)</f>
        <v>14944216</v>
      </c>
      <c r="DB141" s="199">
        <f>SUM(AM141:AO141)</f>
        <v>19442450</v>
      </c>
      <c r="DC141" s="199">
        <f>SUM(AP141:AR141)</f>
        <v>19220126</v>
      </c>
      <c r="DD141" s="199">
        <f>SUM(AS141:AU141)</f>
        <v>14055477</v>
      </c>
      <c r="DE141" s="199">
        <f>SUM(AV141:AX141)</f>
        <v>8810024</v>
      </c>
      <c r="DF141" s="199">
        <f>SUM(AY141:BA141)</f>
        <v>7589062</v>
      </c>
      <c r="DG141" s="199">
        <f>SUM(BB141:BD141)</f>
        <v>11016561</v>
      </c>
      <c r="DH141" s="199">
        <f>SUM(BE141:BG141)</f>
        <v>7441603</v>
      </c>
      <c r="DI141" s="199">
        <f>SUM(BH141:BJ141)</f>
        <v>11947465</v>
      </c>
      <c r="DJ141" s="199">
        <f>SUM(BK141:BM141)</f>
        <v>13671282</v>
      </c>
      <c r="DK141" s="199">
        <f>SUM(BN141:BP141)</f>
        <v>3248640.75</v>
      </c>
      <c r="DL141" s="199">
        <f>SUM(BQ141:BS141)</f>
        <v>3248640.75</v>
      </c>
      <c r="DM141" s="199">
        <f>SUM(BT141:BV141)</f>
        <v>3411072.7874999996</v>
      </c>
      <c r="DN141" s="199">
        <f>SUM(BW141:BY141)</f>
        <v>3411072.7874999996</v>
      </c>
      <c r="DO141" s="199">
        <f>SUM(BZ141:CB141)</f>
        <v>3411072.7874999996</v>
      </c>
      <c r="DP141" s="199">
        <f>SUM(CC141:CE141)</f>
        <v>3411072.7874999996</v>
      </c>
      <c r="DQ141" s="199">
        <f>SUM(CF141:CH141)</f>
        <v>3581626.4268749999</v>
      </c>
      <c r="DR141" s="199">
        <f>SUM(CI141:CK141)</f>
        <v>3581626.4268749999</v>
      </c>
      <c r="DS141" s="199">
        <f t="shared" si="499"/>
        <v>3581626.4268749999</v>
      </c>
      <c r="DT141" s="199">
        <f t="shared" si="500"/>
        <v>3581626.4268749999</v>
      </c>
      <c r="DU141" s="199">
        <f t="shared" si="501"/>
        <v>3760707.7482187496</v>
      </c>
      <c r="DV141" s="199">
        <f t="shared" si="502"/>
        <v>3760707.7482187496</v>
      </c>
      <c r="DX141" s="199">
        <f t="shared" ref="DX141:DX143" si="609">SUM(CY141:DB141)</f>
        <v>55859029</v>
      </c>
      <c r="DY141" s="199">
        <f t="shared" ref="DY141:DY143" si="610">SUM(DC141:DF141)</f>
        <v>49674689</v>
      </c>
      <c r="DZ141" s="199">
        <f t="shared" ref="DZ141:DZ143" si="611">SUM(DG141:DJ141)</f>
        <v>44076911</v>
      </c>
      <c r="EA141" s="199">
        <f t="shared" ref="EA141:EA143" si="612">SUM(DK141:DN141)</f>
        <v>13319427.074999999</v>
      </c>
      <c r="EB141" s="199">
        <f t="shared" ref="EB141:EB143" si="613">SUM(DO141:DR141)</f>
        <v>13985398.428749997</v>
      </c>
      <c r="EC141" s="810">
        <f t="shared" si="503"/>
        <v>14684668.350187499</v>
      </c>
    </row>
    <row r="142" spans="2:134" x14ac:dyDescent="0.2">
      <c r="B142" s="155" t="s">
        <v>229</v>
      </c>
      <c r="C142" s="19">
        <f>'D2C - Retail'!J164</f>
        <v>0</v>
      </c>
      <c r="D142" s="19">
        <f>'D2C - Retail'!K164</f>
        <v>0</v>
      </c>
      <c r="E142" s="19">
        <f>'D2C - Retail'!L164</f>
        <v>0</v>
      </c>
      <c r="F142" s="19">
        <f>'D2C - Retail'!M164</f>
        <v>0</v>
      </c>
      <c r="G142" s="19">
        <f>'D2C - Retail'!N164</f>
        <v>0</v>
      </c>
      <c r="H142" s="19">
        <f>'D2C - Retail'!O164</f>
        <v>0</v>
      </c>
      <c r="I142" s="19">
        <f>'D2C - Retail'!P164</f>
        <v>0</v>
      </c>
      <c r="J142" s="19">
        <f>'D2C - Retail'!Q164</f>
        <v>0</v>
      </c>
      <c r="K142" s="19">
        <f>'D2C - Retail'!R164</f>
        <v>0</v>
      </c>
      <c r="L142" s="19">
        <f>'D2C - Retail'!S164</f>
        <v>0</v>
      </c>
      <c r="M142" s="19">
        <f>'D2C - Retail'!T164</f>
        <v>0</v>
      </c>
      <c r="N142" s="19">
        <f>'D2C - Retail'!U164</f>
        <v>0</v>
      </c>
      <c r="O142" s="19">
        <f>'D2C - Retail'!V164</f>
        <v>0</v>
      </c>
      <c r="P142" s="19">
        <f>'D2C - Retail'!W164</f>
        <v>0</v>
      </c>
      <c r="Q142" s="19">
        <f>'D2C - Retail'!X164</f>
        <v>0</v>
      </c>
      <c r="R142" s="19">
        <f>'D2C - Retail'!Y164</f>
        <v>0</v>
      </c>
      <c r="S142" s="19">
        <f>'D2C - Retail'!Z164</f>
        <v>0</v>
      </c>
      <c r="T142" s="19">
        <f>'D2C - Retail'!AA164</f>
        <v>0</v>
      </c>
      <c r="U142" s="19">
        <f>'D2C - Retail'!AB164</f>
        <v>0</v>
      </c>
      <c r="V142" s="19">
        <f>'D2C - Retail'!AC164</f>
        <v>0</v>
      </c>
      <c r="W142" s="19">
        <f>'D2C - Retail'!AD164</f>
        <v>0</v>
      </c>
      <c r="X142" s="19">
        <f>'D2C - Retail'!AE164</f>
        <v>0</v>
      </c>
      <c r="Y142" s="19">
        <f>'D2C - Retail'!AF164</f>
        <v>0</v>
      </c>
      <c r="Z142" s="19">
        <f>'D2C - Retail'!AG164</f>
        <v>0</v>
      </c>
      <c r="AA142" s="19">
        <f>'D2C - Retail'!AH164</f>
        <v>0</v>
      </c>
      <c r="AB142" s="19">
        <f>'D2C - Retail'!AI164</f>
        <v>0</v>
      </c>
      <c r="AC142" s="19">
        <f>'D2C - Retail'!AJ164</f>
        <v>0</v>
      </c>
      <c r="AD142" s="19">
        <f>'D2C - Retail'!AK164</f>
        <v>1892126</v>
      </c>
      <c r="AE142" s="19">
        <f>'D2C - Retail'!AL164</f>
        <v>4243002</v>
      </c>
      <c r="AF142" s="19">
        <f>'D2C - Retail'!AM164</f>
        <v>2888553</v>
      </c>
      <c r="AG142" s="19">
        <f>'D2C - Retail'!AN164</f>
        <v>2104750</v>
      </c>
      <c r="AH142" s="19">
        <f>'D2C - Retail'!AO164</f>
        <v>3000918</v>
      </c>
      <c r="AI142" s="19">
        <f>'D2C - Retail'!AP164</f>
        <v>3320854</v>
      </c>
      <c r="AJ142" s="19">
        <f>'D2C - Retail'!AQ164</f>
        <v>2475388</v>
      </c>
      <c r="AK142" s="19">
        <f>'D2C - Retail'!AR164</f>
        <v>6460376</v>
      </c>
      <c r="AL142" s="19">
        <f>'D2C - Retail'!AS164</f>
        <v>3062375</v>
      </c>
      <c r="AM142" s="19">
        <f>'D2C - Retail'!AT164</f>
        <v>1250646</v>
      </c>
      <c r="AN142" s="19">
        <f>'D2C - Retail'!AU164</f>
        <v>5979508</v>
      </c>
      <c r="AO142" s="19">
        <f>'D2C - Retail'!AV164</f>
        <v>2356534</v>
      </c>
      <c r="AP142" s="19">
        <f>'D2C - Retail'!AW164</f>
        <v>1627181</v>
      </c>
      <c r="AQ142" s="19">
        <f>'D2C - Retail'!AX164</f>
        <v>2075701</v>
      </c>
      <c r="AR142" s="19">
        <f>'D2C - Retail'!AY164</f>
        <v>1497698</v>
      </c>
      <c r="AS142" s="19">
        <f>'D2C - Retail'!AZ164</f>
        <v>1841441</v>
      </c>
      <c r="AT142" s="19">
        <f>'D2C - Retail'!BA164</f>
        <v>1682855</v>
      </c>
      <c r="AU142" s="19">
        <f>'D2C - Retail'!BB164</f>
        <v>2023170</v>
      </c>
      <c r="AV142" s="19">
        <f>'D2C - Retail'!BC164</f>
        <v>1335647</v>
      </c>
      <c r="AW142" s="19">
        <f>'D2C - Retail'!BD164</f>
        <v>2019684</v>
      </c>
      <c r="AX142" s="19">
        <f>'D2C - Retail'!BE164</f>
        <v>1854515</v>
      </c>
      <c r="AY142" s="19">
        <f>'D2C - Retail'!BF164</f>
        <v>1827988</v>
      </c>
      <c r="AZ142" s="19">
        <f>'D2C - Retail'!BG164</f>
        <v>1668344</v>
      </c>
      <c r="BA142" s="19">
        <f>'D2C - Retail'!BH164</f>
        <v>1569374</v>
      </c>
      <c r="BB142" s="19">
        <f>'D2C - Retail'!BI164</f>
        <v>1590841</v>
      </c>
      <c r="BC142" s="19">
        <f>'D2C - Retail'!BJ164</f>
        <v>1932340</v>
      </c>
      <c r="BD142" s="19">
        <f>'D2C - Retail'!BK164</f>
        <v>1603602</v>
      </c>
      <c r="BE142" s="19">
        <f>'D2C - Retail'!BL164</f>
        <v>1937297</v>
      </c>
      <c r="BF142" s="19">
        <f>'D2C - Retail'!BM164</f>
        <v>1460566</v>
      </c>
      <c r="BG142" s="19">
        <f>'D2C - Retail'!BN164</f>
        <v>1995120</v>
      </c>
      <c r="BH142" s="19">
        <f>'D2C - Retail'!BO164</f>
        <v>1893728.25</v>
      </c>
      <c r="BI142" s="19">
        <f>'D2C - Retail'!BP164</f>
        <v>2341462</v>
      </c>
      <c r="BJ142" s="19">
        <f>'D2C - Retail'!BQ164</f>
        <v>3236282.75</v>
      </c>
      <c r="BK142" s="19">
        <f>'D2C - Retail'!BR164</f>
        <v>3307202</v>
      </c>
      <c r="BL142" s="19">
        <f>'D2C - Retail'!BS164</f>
        <v>3009367.75</v>
      </c>
      <c r="BM142" s="19">
        <f>'D2C - Retail'!BT164</f>
        <v>3527268.25</v>
      </c>
      <c r="BN142" s="19">
        <f>'D2C - Retail'!BU164</f>
        <v>0</v>
      </c>
      <c r="BO142" s="19">
        <f>'D2C - Retail'!BV164</f>
        <v>0</v>
      </c>
      <c r="BP142" s="19">
        <f>'D2C - Retail'!BW164</f>
        <v>0</v>
      </c>
      <c r="BQ142" s="19">
        <f>'D2C - Retail'!BX164</f>
        <v>0</v>
      </c>
      <c r="BR142" s="19">
        <f>'D2C - Retail'!BY164</f>
        <v>0</v>
      </c>
      <c r="BS142" s="19">
        <f>'D2C - Retail'!BZ164</f>
        <v>0</v>
      </c>
      <c r="BT142" s="19">
        <f>'D2C - Retail'!CA164</f>
        <v>0</v>
      </c>
      <c r="BU142" s="19">
        <f>'D2C - Retail'!CB164</f>
        <v>0</v>
      </c>
      <c r="BV142" s="19">
        <f>'D2C - Retail'!CC164</f>
        <v>0</v>
      </c>
      <c r="BW142" s="19">
        <f>'D2C - Retail'!CD164</f>
        <v>0</v>
      </c>
      <c r="BX142" s="19">
        <f>'D2C - Retail'!CE164</f>
        <v>0</v>
      </c>
      <c r="BY142" s="19">
        <f>'D2C - Retail'!CF164</f>
        <v>0</v>
      </c>
      <c r="BZ142" s="19">
        <f>'D2C - Retail'!CG164</f>
        <v>0</v>
      </c>
      <c r="CA142" s="19">
        <f>'D2C - Retail'!CH164</f>
        <v>0</v>
      </c>
      <c r="CB142" s="19">
        <f>'D2C - Retail'!CI164</f>
        <v>0</v>
      </c>
      <c r="CC142" s="19">
        <f>'D2C - Retail'!CJ164</f>
        <v>0</v>
      </c>
      <c r="CD142" s="19">
        <f>'D2C - Retail'!CK164</f>
        <v>0</v>
      </c>
      <c r="CE142" s="19">
        <f>'D2C - Retail'!CL164</f>
        <v>0</v>
      </c>
      <c r="CF142" s="19">
        <f>'D2C - Retail'!CM164</f>
        <v>0</v>
      </c>
      <c r="CG142" s="19">
        <f>'D2C - Retail'!CN164</f>
        <v>0</v>
      </c>
      <c r="CH142" s="19">
        <f>'D2C - Retail'!CO164</f>
        <v>0</v>
      </c>
      <c r="CI142" s="19">
        <f>'D2C - Retail'!CP164</f>
        <v>0</v>
      </c>
      <c r="CJ142" s="19">
        <f>'D2C - Retail'!CQ164</f>
        <v>0</v>
      </c>
      <c r="CK142" s="19">
        <f>'D2C - Retail'!CR164</f>
        <v>0</v>
      </c>
      <c r="CL142" s="19">
        <f>'D2C - Retail'!CS164</f>
        <v>0</v>
      </c>
      <c r="CM142" s="19">
        <f>'D2C - Retail'!CT164</f>
        <v>0</v>
      </c>
      <c r="CN142" s="19">
        <f>'D2C - Retail'!CU164</f>
        <v>0</v>
      </c>
      <c r="CO142" s="19">
        <f>'D2C - Retail'!CV164</f>
        <v>0</v>
      </c>
      <c r="CP142" s="19">
        <f>'D2C - Retail'!CW164</f>
        <v>0</v>
      </c>
      <c r="CQ142" s="19">
        <f>'D2C - Retail'!CX164</f>
        <v>0</v>
      </c>
      <c r="CR142" s="19">
        <f>'D2C - Retail'!CY164</f>
        <v>0</v>
      </c>
      <c r="CS142" s="19">
        <f>'D2C - Retail'!CZ164</f>
        <v>0</v>
      </c>
      <c r="CT142" s="19">
        <f>'D2C - Retail'!DA164</f>
        <v>0</v>
      </c>
      <c r="CU142" s="19">
        <f>'D2C - Retail'!DB164</f>
        <v>0</v>
      </c>
      <c r="CV142" s="19">
        <f>'D2C - Retail'!DC164</f>
        <v>0</v>
      </c>
      <c r="CW142" s="19">
        <f>'D2C - Retail'!DD164</f>
        <v>0</v>
      </c>
      <c r="CY142" s="232">
        <f>SUM(AD142:AF142)</f>
        <v>9023681</v>
      </c>
      <c r="CZ142" s="232">
        <f>SUM(AG142:AI142)</f>
        <v>8426522</v>
      </c>
      <c r="DA142" s="232">
        <f>SUM(AJ142:AL142)</f>
        <v>11998139</v>
      </c>
      <c r="DB142" s="232">
        <f>SUM(AM142:AO142)</f>
        <v>9586688</v>
      </c>
      <c r="DC142" s="232">
        <f>SUM(AP142:AR142)</f>
        <v>5200580</v>
      </c>
      <c r="DD142" s="232">
        <f>SUM(AS142:AU142)</f>
        <v>5547466</v>
      </c>
      <c r="DE142" s="232">
        <f>SUM(AV142:AX142)</f>
        <v>5209846</v>
      </c>
      <c r="DF142" s="232">
        <f>SUM(AY142:BA142)</f>
        <v>5065706</v>
      </c>
      <c r="DG142" s="232">
        <f>SUM(BB142:BD142)</f>
        <v>5126783</v>
      </c>
      <c r="DH142" s="232">
        <f>SUM(BE142:BG142)</f>
        <v>5392983</v>
      </c>
      <c r="DI142" s="232">
        <f>SUM(BH142:BJ142)</f>
        <v>7471473</v>
      </c>
      <c r="DJ142" s="232">
        <f>SUM(BK142:BM142)</f>
        <v>9843838</v>
      </c>
      <c r="DK142" s="232">
        <f>SUM(BN142:BP142)</f>
        <v>0</v>
      </c>
      <c r="DL142" s="232">
        <f>SUM(BQ142:BS142)</f>
        <v>0</v>
      </c>
      <c r="DM142" s="232">
        <f>SUM(BT142:BV142)</f>
        <v>0</v>
      </c>
      <c r="DN142" s="232">
        <f>SUM(BW142:BY142)</f>
        <v>0</v>
      </c>
      <c r="DO142" s="232">
        <f>SUM(BZ142:CB142)</f>
        <v>0</v>
      </c>
      <c r="DP142" s="232">
        <f>SUM(CC142:CE142)</f>
        <v>0</v>
      </c>
      <c r="DQ142" s="232">
        <f>SUM(CF142:CH142)</f>
        <v>0</v>
      </c>
      <c r="DR142" s="232">
        <f>SUM(CI142:CK142)</f>
        <v>0</v>
      </c>
      <c r="DS142" s="232">
        <f t="shared" si="499"/>
        <v>0</v>
      </c>
      <c r="DT142" s="232">
        <f t="shared" si="500"/>
        <v>0</v>
      </c>
      <c r="DU142" s="232">
        <f t="shared" si="501"/>
        <v>0</v>
      </c>
      <c r="DV142" s="232">
        <f t="shared" si="502"/>
        <v>0</v>
      </c>
      <c r="DX142" s="213">
        <f t="shared" si="609"/>
        <v>39035030</v>
      </c>
      <c r="DY142" s="213">
        <f t="shared" si="610"/>
        <v>21023598</v>
      </c>
      <c r="DZ142" s="213">
        <f t="shared" si="611"/>
        <v>27835077</v>
      </c>
      <c r="EA142" s="213">
        <f t="shared" si="612"/>
        <v>0</v>
      </c>
      <c r="EB142" s="213">
        <f t="shared" si="613"/>
        <v>0</v>
      </c>
      <c r="EC142" s="772">
        <f t="shared" si="503"/>
        <v>0</v>
      </c>
    </row>
    <row r="143" spans="2:134" x14ac:dyDescent="0.2">
      <c r="B143" s="155" t="s">
        <v>237</v>
      </c>
      <c r="C143" s="19">
        <f>'D2C Online'!AA150</f>
        <v>0</v>
      </c>
      <c r="D143" s="19">
        <f>'D2C Online'!AB150</f>
        <v>0</v>
      </c>
      <c r="E143" s="19">
        <f>'D2C Online'!AC150</f>
        <v>0</v>
      </c>
      <c r="F143" s="19">
        <f>'D2C Online'!AD150</f>
        <v>0</v>
      </c>
      <c r="G143" s="19">
        <f>'D2C Online'!AE150</f>
        <v>0</v>
      </c>
      <c r="H143" s="19">
        <f>'D2C Online'!AF150</f>
        <v>0</v>
      </c>
      <c r="I143" s="19">
        <f>'D2C Online'!AG150</f>
        <v>0</v>
      </c>
      <c r="J143" s="19">
        <f>'D2C Online'!AH150</f>
        <v>0</v>
      </c>
      <c r="K143" s="19">
        <f>'D2C Online'!AI150</f>
        <v>0</v>
      </c>
      <c r="L143" s="19">
        <f>'D2C Online'!AJ150</f>
        <v>0</v>
      </c>
      <c r="M143" s="19">
        <f>'D2C Online'!AK150</f>
        <v>0</v>
      </c>
      <c r="N143" s="19">
        <f>'D2C Online'!AL150</f>
        <v>0</v>
      </c>
      <c r="O143" s="19">
        <f>'D2C Online'!AM150</f>
        <v>0</v>
      </c>
      <c r="P143" s="19">
        <f>'D2C Online'!AN150</f>
        <v>0</v>
      </c>
      <c r="Q143" s="19">
        <f>'D2C Online'!AO150</f>
        <v>0</v>
      </c>
      <c r="R143" s="19">
        <f>'D2C Online'!AP150</f>
        <v>0</v>
      </c>
      <c r="S143" s="19">
        <f>'D2C Online'!AQ150</f>
        <v>0</v>
      </c>
      <c r="T143" s="19">
        <f>'D2C Online'!AR150</f>
        <v>0</v>
      </c>
      <c r="U143" s="19">
        <f>'D2C Online'!AS150</f>
        <v>0</v>
      </c>
      <c r="V143" s="19">
        <f>'D2C Online'!AT150</f>
        <v>0</v>
      </c>
      <c r="W143" s="19">
        <f>'D2C Online'!AU150</f>
        <v>0</v>
      </c>
      <c r="X143" s="19">
        <f>'D2C Online'!AV150</f>
        <v>0</v>
      </c>
      <c r="Y143" s="19">
        <f>'D2C Online'!AW150</f>
        <v>0</v>
      </c>
      <c r="Z143" s="19">
        <f>'D2C Online'!AX150</f>
        <v>0</v>
      </c>
      <c r="AA143" s="19">
        <f>'D2C Online'!AY150</f>
        <v>0</v>
      </c>
      <c r="AB143" s="19">
        <f>'D2C Online'!AZ150</f>
        <v>0</v>
      </c>
      <c r="AC143" s="19">
        <f>'D2C Online'!BA150</f>
        <v>0</v>
      </c>
      <c r="AD143" s="19">
        <f>'D2C Online'!BB150</f>
        <v>685400</v>
      </c>
      <c r="AE143" s="19">
        <f>'D2C Online'!BC150</f>
        <v>349179</v>
      </c>
      <c r="AF143" s="19">
        <f>'D2C Online'!BD150</f>
        <v>695000</v>
      </c>
      <c r="AG143" s="19">
        <f>'D2C Online'!BE150</f>
        <v>726000</v>
      </c>
      <c r="AH143" s="19">
        <f>'D2C Online'!BF150</f>
        <v>859248</v>
      </c>
      <c r="AI143" s="19">
        <f>'D2C Online'!BG150</f>
        <v>707333</v>
      </c>
      <c r="AJ143" s="19">
        <f>'D2C Online'!BH150</f>
        <v>938744</v>
      </c>
      <c r="AK143" s="19">
        <f>'D2C Online'!BI150</f>
        <v>1311233</v>
      </c>
      <c r="AL143" s="19">
        <f>'D2C Online'!BJ150</f>
        <v>696100</v>
      </c>
      <c r="AM143" s="19">
        <f>'D2C Online'!BK150</f>
        <v>2809410</v>
      </c>
      <c r="AN143" s="19">
        <f>'D2C Online'!BL150</f>
        <v>6114480</v>
      </c>
      <c r="AO143" s="19">
        <f>'D2C Online'!BM150</f>
        <v>931872</v>
      </c>
      <c r="AP143" s="19">
        <f>'D2C Online'!BN150</f>
        <v>4538330</v>
      </c>
      <c r="AQ143" s="19">
        <f>'D2C Online'!BO150</f>
        <v>3375080</v>
      </c>
      <c r="AR143" s="19">
        <f>'D2C Online'!BP150</f>
        <v>6106136</v>
      </c>
      <c r="AS143" s="19">
        <f>'D2C Online'!BQ150</f>
        <v>2821489</v>
      </c>
      <c r="AT143" s="19">
        <f>'D2C Online'!BR150</f>
        <v>3978428</v>
      </c>
      <c r="AU143" s="19">
        <f>'D2C Online'!BS150</f>
        <v>1708094</v>
      </c>
      <c r="AV143" s="19">
        <f>'D2C Online'!BT150</f>
        <v>1504276</v>
      </c>
      <c r="AW143" s="19">
        <f>'D2C Online'!BU150</f>
        <v>742327</v>
      </c>
      <c r="AX143" s="19">
        <f>'D2C Online'!BV150</f>
        <v>1353575</v>
      </c>
      <c r="AY143" s="19">
        <f>'D2C Online'!BW150</f>
        <v>636012</v>
      </c>
      <c r="AZ143" s="19">
        <f>'D2C Online'!BX150</f>
        <v>881890</v>
      </c>
      <c r="BA143" s="19">
        <f>'D2C Online'!BY150</f>
        <v>1005454</v>
      </c>
      <c r="BB143" s="19">
        <f>'D2C Online'!BZ150</f>
        <v>2116529</v>
      </c>
      <c r="BC143" s="19">
        <f>'D2C Online'!CA150</f>
        <v>2211570</v>
      </c>
      <c r="BD143" s="19">
        <f>'D2C Online'!CB150</f>
        <v>1561679</v>
      </c>
      <c r="BE143" s="19">
        <f>'D2C Online'!CC150</f>
        <v>793632</v>
      </c>
      <c r="BF143" s="19">
        <f>'D2C Online'!CD150</f>
        <v>530618</v>
      </c>
      <c r="BG143" s="19">
        <f>'D2C Online'!CE150</f>
        <v>724370</v>
      </c>
      <c r="BH143" s="19">
        <f>'D2C Online'!CF150</f>
        <v>1661233.25</v>
      </c>
      <c r="BI143" s="19">
        <f>'D2C Online'!CG150</f>
        <v>1644032</v>
      </c>
      <c r="BJ143" s="19">
        <f>'D2C Online'!CH150</f>
        <v>1170726.75</v>
      </c>
      <c r="BK143" s="19">
        <f>'D2C Online'!CI150</f>
        <v>1594965</v>
      </c>
      <c r="BL143" s="19">
        <f>'D2C Online'!CJ150</f>
        <v>1149598.75</v>
      </c>
      <c r="BM143" s="19">
        <f>'D2C Online'!CK150</f>
        <v>1082880.25</v>
      </c>
      <c r="BN143" s="19">
        <f>'D2C Online'!CL150</f>
        <v>1082880.25</v>
      </c>
      <c r="BO143" s="19">
        <f>'D2C Online'!CM150</f>
        <v>1082880.25</v>
      </c>
      <c r="BP143" s="19">
        <f>'D2C Online'!CN150</f>
        <v>1082880.25</v>
      </c>
      <c r="BQ143" s="19">
        <f>'D2C Online'!CO150</f>
        <v>1082880.25</v>
      </c>
      <c r="BR143" s="19">
        <f>'D2C Online'!CP150</f>
        <v>1082880.25</v>
      </c>
      <c r="BS143" s="19">
        <f>'D2C Online'!CQ150</f>
        <v>1082880.25</v>
      </c>
      <c r="BT143" s="19">
        <f>'D2C Online'!CR150</f>
        <v>1137024.2625</v>
      </c>
      <c r="BU143" s="19">
        <f>'D2C Online'!CS150</f>
        <v>1137024.2625</v>
      </c>
      <c r="BV143" s="19">
        <f>'D2C Online'!CT150</f>
        <v>1137024.2625</v>
      </c>
      <c r="BW143" s="19">
        <f>'D2C Online'!CU150</f>
        <v>1137024.2625</v>
      </c>
      <c r="BX143" s="19">
        <f>'D2C Online'!CV150</f>
        <v>1137024.2625</v>
      </c>
      <c r="BY143" s="19">
        <f>'D2C Online'!CW150</f>
        <v>1137024.2625</v>
      </c>
      <c r="BZ143" s="19">
        <f>'D2C Online'!CX150</f>
        <v>1137024.2625</v>
      </c>
      <c r="CA143" s="19">
        <f>'D2C Online'!CY150</f>
        <v>1137024.2625</v>
      </c>
      <c r="CB143" s="19">
        <f>'D2C Online'!CZ150</f>
        <v>1137024.2625</v>
      </c>
      <c r="CC143" s="19">
        <f>'D2C Online'!DA150</f>
        <v>1137024.2625</v>
      </c>
      <c r="CD143" s="19">
        <f>'D2C Online'!DB150</f>
        <v>1137024.2625</v>
      </c>
      <c r="CE143" s="19">
        <f>'D2C Online'!DC150</f>
        <v>1137024.2625</v>
      </c>
      <c r="CF143" s="19">
        <f>'D2C Online'!DD150</f>
        <v>1193875.475625</v>
      </c>
      <c r="CG143" s="19">
        <f>'D2C Online'!DE150</f>
        <v>1193875.475625</v>
      </c>
      <c r="CH143" s="19">
        <f>'D2C Online'!DF150</f>
        <v>1193875.475625</v>
      </c>
      <c r="CI143" s="19">
        <f>'D2C Online'!DG150</f>
        <v>1193875.475625</v>
      </c>
      <c r="CJ143" s="19">
        <f>'D2C Online'!DH150</f>
        <v>1193875.475625</v>
      </c>
      <c r="CK143" s="19">
        <f>'D2C Online'!DI150</f>
        <v>1193875.475625</v>
      </c>
      <c r="CL143" s="19">
        <f>'D2C Online'!DJ150</f>
        <v>1193875.475625</v>
      </c>
      <c r="CM143" s="19">
        <f>'D2C Online'!DK150</f>
        <v>1193875.475625</v>
      </c>
      <c r="CN143" s="19">
        <f>'D2C Online'!DL150</f>
        <v>1193875.475625</v>
      </c>
      <c r="CO143" s="19">
        <f>'D2C Online'!DM150</f>
        <v>1193875.475625</v>
      </c>
      <c r="CP143" s="19">
        <f>'D2C Online'!DN150</f>
        <v>1193875.475625</v>
      </c>
      <c r="CQ143" s="19">
        <f>'D2C Online'!DO150</f>
        <v>1193875.475625</v>
      </c>
      <c r="CR143" s="19">
        <f>'D2C Online'!DP150</f>
        <v>1253569.24940625</v>
      </c>
      <c r="CS143" s="19">
        <f>'D2C Online'!DQ150</f>
        <v>1253569.24940625</v>
      </c>
      <c r="CT143" s="19">
        <f>'D2C Online'!DR150</f>
        <v>1253569.24940625</v>
      </c>
      <c r="CU143" s="19">
        <f>'D2C Online'!DS150</f>
        <v>1253569.24940625</v>
      </c>
      <c r="CV143" s="19">
        <f>'D2C Online'!DT150</f>
        <v>1253569.24940625</v>
      </c>
      <c r="CW143" s="19">
        <f>'D2C Online'!DU150</f>
        <v>1253569.24940625</v>
      </c>
      <c r="CY143" s="232">
        <f>SUM(AD143:AF143)</f>
        <v>1729579</v>
      </c>
      <c r="CZ143" s="232">
        <f>SUM(AG143:AI143)</f>
        <v>2292581</v>
      </c>
      <c r="DA143" s="232">
        <f>SUM(AJ143:AL143)</f>
        <v>2946077</v>
      </c>
      <c r="DB143" s="232">
        <f>SUM(AM143:AO143)</f>
        <v>9855762</v>
      </c>
      <c r="DC143" s="232">
        <f>SUM(AP143:AR143)</f>
        <v>14019546</v>
      </c>
      <c r="DD143" s="232">
        <f>SUM(AS143:AU143)</f>
        <v>8508011</v>
      </c>
      <c r="DE143" s="232">
        <f>SUM(AV143:AX143)</f>
        <v>3600178</v>
      </c>
      <c r="DF143" s="232">
        <f>SUM(AY143:BA143)</f>
        <v>2523356</v>
      </c>
      <c r="DG143" s="232">
        <f>SUM(BB143:BD143)</f>
        <v>5889778</v>
      </c>
      <c r="DH143" s="232">
        <f>SUM(BE143:BG143)</f>
        <v>2048620</v>
      </c>
      <c r="DI143" s="232">
        <f>SUM(BH143:BJ143)</f>
        <v>4475992</v>
      </c>
      <c r="DJ143" s="232">
        <f>SUM(BK143:BM143)</f>
        <v>3827444</v>
      </c>
      <c r="DK143" s="232">
        <f>SUM(BN143:BP143)</f>
        <v>3248640.75</v>
      </c>
      <c r="DL143" s="232">
        <f>SUM(BQ143:BS143)</f>
        <v>3248640.75</v>
      </c>
      <c r="DM143" s="232">
        <f>SUM(BT143:BV143)</f>
        <v>3411072.7874999996</v>
      </c>
      <c r="DN143" s="232">
        <f>SUM(BW143:BY143)</f>
        <v>3411072.7874999996</v>
      </c>
      <c r="DO143" s="232">
        <f>SUM(BZ143:CB143)</f>
        <v>3411072.7874999996</v>
      </c>
      <c r="DP143" s="232">
        <f>SUM(CC143:CE143)</f>
        <v>3411072.7874999996</v>
      </c>
      <c r="DQ143" s="232">
        <f>SUM(CF143:CH143)</f>
        <v>3581626.4268749999</v>
      </c>
      <c r="DR143" s="232">
        <f>SUM(CI143:CK143)</f>
        <v>3581626.4268749999</v>
      </c>
      <c r="DS143" s="232">
        <f t="shared" si="499"/>
        <v>3581626.4268749999</v>
      </c>
      <c r="DT143" s="232">
        <f t="shared" si="500"/>
        <v>3581626.4268749999</v>
      </c>
      <c r="DU143" s="232">
        <f t="shared" si="501"/>
        <v>3760707.7482187496</v>
      </c>
      <c r="DV143" s="232">
        <f t="shared" si="502"/>
        <v>3760707.7482187496</v>
      </c>
      <c r="DX143" s="213">
        <f t="shared" si="609"/>
        <v>16823999</v>
      </c>
      <c r="DY143" s="213">
        <f t="shared" si="610"/>
        <v>28651091</v>
      </c>
      <c r="DZ143" s="213">
        <f t="shared" si="611"/>
        <v>16241834</v>
      </c>
      <c r="EA143" s="213">
        <f t="shared" si="612"/>
        <v>13319427.074999999</v>
      </c>
      <c r="EB143" s="213">
        <f t="shared" si="613"/>
        <v>13985398.428749997</v>
      </c>
      <c r="EC143" s="772">
        <f t="shared" si="503"/>
        <v>14684668.350187499</v>
      </c>
    </row>
    <row r="144" spans="2:134" x14ac:dyDescent="0.2">
      <c r="B144" s="22" t="s">
        <v>172</v>
      </c>
      <c r="C144" s="20">
        <f>C141/C50</f>
        <v>0</v>
      </c>
      <c r="D144" s="20">
        <f t="shared" ref="D144:BO144" si="614">D141/D50</f>
        <v>0</v>
      </c>
      <c r="E144" s="20">
        <f t="shared" si="614"/>
        <v>0</v>
      </c>
      <c r="F144" s="20">
        <f t="shared" si="614"/>
        <v>0</v>
      </c>
      <c r="G144" s="20">
        <f t="shared" si="614"/>
        <v>0</v>
      </c>
      <c r="H144" s="20">
        <f t="shared" si="614"/>
        <v>0</v>
      </c>
      <c r="I144" s="20">
        <f t="shared" si="614"/>
        <v>0</v>
      </c>
      <c r="J144" s="20">
        <f t="shared" si="614"/>
        <v>0</v>
      </c>
      <c r="K144" s="20">
        <f t="shared" si="614"/>
        <v>0</v>
      </c>
      <c r="L144" s="20">
        <f t="shared" si="614"/>
        <v>0</v>
      </c>
      <c r="M144" s="20">
        <f t="shared" si="614"/>
        <v>0</v>
      </c>
      <c r="N144" s="20">
        <f t="shared" si="614"/>
        <v>0</v>
      </c>
      <c r="O144" s="20">
        <f t="shared" si="614"/>
        <v>0</v>
      </c>
      <c r="P144" s="20">
        <f t="shared" si="614"/>
        <v>0</v>
      </c>
      <c r="Q144" s="20">
        <f t="shared" si="614"/>
        <v>0</v>
      </c>
      <c r="R144" s="20">
        <f t="shared" si="614"/>
        <v>0</v>
      </c>
      <c r="S144" s="20">
        <f t="shared" si="614"/>
        <v>0</v>
      </c>
      <c r="T144" s="20">
        <f t="shared" si="614"/>
        <v>0</v>
      </c>
      <c r="U144" s="20">
        <f t="shared" si="614"/>
        <v>0</v>
      </c>
      <c r="V144" s="20">
        <f t="shared" si="614"/>
        <v>0</v>
      </c>
      <c r="W144" s="20">
        <f t="shared" si="614"/>
        <v>0</v>
      </c>
      <c r="X144" s="20">
        <f t="shared" si="614"/>
        <v>0</v>
      </c>
      <c r="Y144" s="20">
        <f t="shared" si="614"/>
        <v>0</v>
      </c>
      <c r="Z144" s="20">
        <f t="shared" si="614"/>
        <v>0</v>
      </c>
      <c r="AA144" s="20">
        <f t="shared" si="614"/>
        <v>0</v>
      </c>
      <c r="AB144" s="20">
        <f t="shared" si="614"/>
        <v>0</v>
      </c>
      <c r="AC144" s="20">
        <f t="shared" si="614"/>
        <v>0</v>
      </c>
      <c r="AD144" s="20">
        <f t="shared" si="614"/>
        <v>5.4385063622113409E-3</v>
      </c>
      <c r="AE144" s="20">
        <f t="shared" si="614"/>
        <v>9.3688812183915521E-3</v>
      </c>
      <c r="AF144" s="20">
        <f t="shared" si="614"/>
        <v>6.9643675288343261E-3</v>
      </c>
      <c r="AG144" s="20">
        <f t="shared" si="614"/>
        <v>6.7360754241547714E-3</v>
      </c>
      <c r="AH144" s="20">
        <f t="shared" si="614"/>
        <v>8.7114078096294824E-3</v>
      </c>
      <c r="AI144" s="20">
        <f t="shared" si="614"/>
        <v>9.0464408343074853E-3</v>
      </c>
      <c r="AJ144" s="20">
        <f t="shared" si="614"/>
        <v>5.1916952446942411E-3</v>
      </c>
      <c r="AK144" s="20">
        <f t="shared" si="614"/>
        <v>1.4195671226025193E-2</v>
      </c>
      <c r="AL144" s="20">
        <f t="shared" si="614"/>
        <v>7.6670381312798682E-3</v>
      </c>
      <c r="AM144" s="20">
        <f t="shared" si="614"/>
        <v>8.7446908768457326E-3</v>
      </c>
      <c r="AN144" s="20">
        <f t="shared" si="614"/>
        <v>3.1161583833073089E-2</v>
      </c>
      <c r="AO144" s="20">
        <f t="shared" si="614"/>
        <v>6.6020325973658736E-3</v>
      </c>
      <c r="AP144" s="20">
        <f t="shared" si="614"/>
        <v>1.2127553058117461E-2</v>
      </c>
      <c r="AQ144" s="20">
        <f t="shared" si="614"/>
        <v>1.0355744626327686E-2</v>
      </c>
      <c r="AR144" s="20">
        <f t="shared" si="614"/>
        <v>1.3660144447914658E-2</v>
      </c>
      <c r="AS144" s="20">
        <f t="shared" si="614"/>
        <v>8.4867618964148926E-3</v>
      </c>
      <c r="AT144" s="20">
        <f t="shared" si="614"/>
        <v>1.1587838990168511E-2</v>
      </c>
      <c r="AU144" s="20">
        <f t="shared" si="614"/>
        <v>8.1148454826857827E-3</v>
      </c>
      <c r="AV144" s="20">
        <f t="shared" si="614"/>
        <v>4.9695680462296249E-3</v>
      </c>
      <c r="AW144" s="20">
        <f t="shared" si="614"/>
        <v>5.1782417372707879E-3</v>
      </c>
      <c r="AX144" s="20">
        <f t="shared" si="614"/>
        <v>5.0501602099466813E-3</v>
      </c>
      <c r="AY144" s="20">
        <f t="shared" si="614"/>
        <v>3.6376855439557384E-3</v>
      </c>
      <c r="AZ144" s="20">
        <f t="shared" si="614"/>
        <v>3.958569353780415E-3</v>
      </c>
      <c r="BA144" s="20">
        <f t="shared" si="614"/>
        <v>3.1090848658036252E-3</v>
      </c>
      <c r="BB144" s="20">
        <f t="shared" si="614"/>
        <v>4.8718571255900517E-3</v>
      </c>
      <c r="BC144" s="20">
        <f t="shared" si="614"/>
        <v>5.5659148059695801E-3</v>
      </c>
      <c r="BD144" s="20">
        <f t="shared" si="614"/>
        <v>4.2098593938634131E-3</v>
      </c>
      <c r="BE144" s="20">
        <f t="shared" si="614"/>
        <v>3.3709191943909686E-3</v>
      </c>
      <c r="BF144" s="20">
        <f t="shared" si="614"/>
        <v>2.8550311568293985E-3</v>
      </c>
      <c r="BG144" s="20">
        <f t="shared" si="614"/>
        <v>3.6075136251777448E-3</v>
      </c>
      <c r="BH144" s="20">
        <f t="shared" si="614"/>
        <v>4.0724752465234049E-3</v>
      </c>
      <c r="BI144" s="20">
        <f t="shared" si="614"/>
        <v>4.9119144581512113E-3</v>
      </c>
      <c r="BJ144" s="20">
        <f t="shared" si="614"/>
        <v>4.4086489760635497E-3</v>
      </c>
      <c r="BK144" s="20">
        <f t="shared" si="614"/>
        <v>4.5468182655986587E-3</v>
      </c>
      <c r="BL144" s="20">
        <f t="shared" si="614"/>
        <v>4.2595943117824074E-3</v>
      </c>
      <c r="BM144" s="20">
        <f t="shared" si="614"/>
        <v>3.9497323225166333E-3</v>
      </c>
      <c r="BN144" s="20">
        <f t="shared" si="614"/>
        <v>1.0650826901953414E-3</v>
      </c>
      <c r="BO144" s="20">
        <f t="shared" si="614"/>
        <v>1.0749548319666613E-3</v>
      </c>
      <c r="BP144" s="20">
        <f t="shared" ref="BP144:EB144" si="615">BP141/BP50</f>
        <v>1.0766383744649311E-3</v>
      </c>
      <c r="BQ144" s="20">
        <f t="shared" si="615"/>
        <v>1.018506020180219E-3</v>
      </c>
      <c r="BR144" s="20">
        <f t="shared" si="615"/>
        <v>1.1176451261802052E-3</v>
      </c>
      <c r="BS144" s="20">
        <f t="shared" si="615"/>
        <v>1.1277236111134623E-3</v>
      </c>
      <c r="BT144" s="20">
        <f t="shared" si="615"/>
        <v>1.045206968188662E-3</v>
      </c>
      <c r="BU144" s="20">
        <f t="shared" si="615"/>
        <v>1.1001308020444694E-3</v>
      </c>
      <c r="BV144" s="20">
        <f t="shared" si="615"/>
        <v>9.1378640392013625E-4</v>
      </c>
      <c r="BW144" s="20">
        <f t="shared" si="615"/>
        <v>8.7448547502864981E-4</v>
      </c>
      <c r="BX144" s="20">
        <f t="shared" si="615"/>
        <v>9.7048471358452434E-4</v>
      </c>
      <c r="BY144" s="20">
        <f t="shared" si="615"/>
        <v>8.5729625668599083E-4</v>
      </c>
      <c r="BZ144" s="20">
        <f t="shared" si="615"/>
        <v>9.2533742184396149E-4</v>
      </c>
      <c r="CA144" s="20">
        <f t="shared" si="615"/>
        <v>9.3266538350345648E-4</v>
      </c>
      <c r="CB144" s="20">
        <f t="shared" si="615"/>
        <v>9.3719541688768468E-4</v>
      </c>
      <c r="CC144" s="20">
        <f t="shared" si="615"/>
        <v>8.8649432192881362E-4</v>
      </c>
      <c r="CD144" s="20">
        <f t="shared" si="615"/>
        <v>9.7446613629644495E-4</v>
      </c>
      <c r="CE144" s="20">
        <f t="shared" si="615"/>
        <v>9.8569242888216701E-4</v>
      </c>
      <c r="CF144" s="20">
        <f t="shared" si="615"/>
        <v>9.1403717151744123E-4</v>
      </c>
      <c r="CG144" s="20">
        <f t="shared" si="615"/>
        <v>9.6568800816893442E-4</v>
      </c>
      <c r="CH144" s="20">
        <f t="shared" si="615"/>
        <v>8.0383765830758028E-4</v>
      </c>
      <c r="CI144" s="20">
        <f t="shared" si="615"/>
        <v>7.7130904156007848E-4</v>
      </c>
      <c r="CJ144" s="20">
        <f t="shared" si="615"/>
        <v>8.5852151566141656E-4</v>
      </c>
      <c r="CK144" s="20">
        <f t="shared" si="615"/>
        <v>7.6362760839381754E-4</v>
      </c>
      <c r="CL144" s="20">
        <f t="shared" ref="CL144:CW144" si="616">CL141/CL50</f>
        <v>8.4056437774340407E-4</v>
      </c>
      <c r="CM144" s="20">
        <f t="shared" si="616"/>
        <v>8.475258049587274E-4</v>
      </c>
      <c r="CN144" s="20">
        <f t="shared" si="616"/>
        <v>8.5192609416047112E-4</v>
      </c>
      <c r="CO144" s="20">
        <f t="shared" si="616"/>
        <v>8.0649416673569095E-4</v>
      </c>
      <c r="CP144" s="20">
        <f t="shared" si="616"/>
        <v>8.8677448561280811E-4</v>
      </c>
      <c r="CQ144" s="20">
        <f t="shared" si="616"/>
        <v>8.962539540722876E-4</v>
      </c>
      <c r="CR144" s="20">
        <f t="shared" si="616"/>
        <v>8.3293563527423353E-4</v>
      </c>
      <c r="CS144" s="20">
        <f t="shared" si="616"/>
        <v>8.7968406197156681E-4</v>
      </c>
      <c r="CT144" s="20">
        <f t="shared" si="616"/>
        <v>7.3185282883025233E-4</v>
      </c>
      <c r="CU144" s="20">
        <f t="shared" si="616"/>
        <v>7.0192864560732627E-4</v>
      </c>
      <c r="CV144" s="20">
        <f t="shared" si="616"/>
        <v>7.8230007759059659E-4</v>
      </c>
      <c r="CW144" s="20">
        <f t="shared" si="616"/>
        <v>6.9621620563975364E-4</v>
      </c>
      <c r="CY144" s="20">
        <f t="shared" si="615"/>
        <v>7.2723595480089784E-3</v>
      </c>
      <c r="CZ144" s="20">
        <f t="shared" si="615"/>
        <v>8.1910742268629152E-3</v>
      </c>
      <c r="DA144" s="20">
        <f t="shared" si="615"/>
        <v>8.8151409212969354E-3</v>
      </c>
      <c r="DB144" s="20">
        <f t="shared" si="615"/>
        <v>1.4396656150447173E-2</v>
      </c>
      <c r="DC144" s="20">
        <f t="shared" si="615"/>
        <v>1.2077602939695132E-2</v>
      </c>
      <c r="DD144" s="20">
        <f t="shared" si="615"/>
        <v>9.384102137731231E-3</v>
      </c>
      <c r="DE144" s="20">
        <f t="shared" si="615"/>
        <v>5.0629535897247849E-3</v>
      </c>
      <c r="DF144" s="20">
        <f t="shared" si="615"/>
        <v>3.5302106163502813E-3</v>
      </c>
      <c r="DG144" s="20">
        <f t="shared" si="615"/>
        <v>4.8802732551867052E-3</v>
      </c>
      <c r="DH144" s="20">
        <f t="shared" si="615"/>
        <v>3.2906856573907354E-3</v>
      </c>
      <c r="DI144" s="20">
        <f t="shared" si="615"/>
        <v>4.4514561309763907E-3</v>
      </c>
      <c r="DJ144" s="20">
        <f t="shared" si="615"/>
        <v>4.2434535945717585E-3</v>
      </c>
      <c r="DK144" s="20">
        <f t="shared" si="615"/>
        <v>1.0722009930216891E-3</v>
      </c>
      <c r="DL144" s="20">
        <f t="shared" si="615"/>
        <v>1.0856542415330324E-3</v>
      </c>
      <c r="DM144" s="20">
        <f t="shared" si="615"/>
        <v>1.0134865408704223E-3</v>
      </c>
      <c r="DN144" s="20">
        <f t="shared" si="615"/>
        <v>8.9809592511598394E-4</v>
      </c>
      <c r="DO144" s="20">
        <f t="shared" si="615"/>
        <v>9.3170708365515988E-4</v>
      </c>
      <c r="DP144" s="20">
        <f t="shared" si="615"/>
        <v>9.4674347526589977E-4</v>
      </c>
      <c r="DQ144" s="20">
        <f t="shared" si="615"/>
        <v>8.8925491090800475E-4</v>
      </c>
      <c r="DR144" s="20">
        <f t="shared" si="615"/>
        <v>7.9558098682337404E-4</v>
      </c>
      <c r="DS144" s="20">
        <f t="shared" si="615"/>
        <v>8.4664621229137388E-4</v>
      </c>
      <c r="DT144" s="20">
        <f t="shared" si="615"/>
        <v>8.6123441350568857E-4</v>
      </c>
      <c r="DU144" s="20">
        <f t="shared" si="615"/>
        <v>8.0999213721391627E-4</v>
      </c>
      <c r="DV144" s="20">
        <f t="shared" si="615"/>
        <v>7.2476661265268656E-4</v>
      </c>
      <c r="DW144" s="771"/>
      <c r="DX144" s="20">
        <f t="shared" si="615"/>
        <v>9.5762930806839834E-3</v>
      </c>
      <c r="DY144" s="20">
        <f t="shared" si="615"/>
        <v>7.1177109459606867E-3</v>
      </c>
      <c r="DZ144" s="20">
        <f t="shared" si="615"/>
        <v>4.2282201316799686E-3</v>
      </c>
      <c r="EA144" s="20">
        <f t="shared" si="615"/>
        <v>1.0101178723067774E-3</v>
      </c>
      <c r="EB144" s="20">
        <f t="shared" si="615"/>
        <v>8.8550907006802726E-4</v>
      </c>
      <c r="EC144" s="20">
        <f t="shared" ref="EC144" si="617">EC141/EC50</f>
        <v>8.0592752701510713E-4</v>
      </c>
      <c r="ED144" s="771"/>
    </row>
    <row r="145" spans="2:134" x14ac:dyDescent="0.2">
      <c r="B145" s="22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X145" s="19"/>
      <c r="DY145" s="19"/>
      <c r="DZ145" s="19"/>
      <c r="EA145" s="19"/>
      <c r="EB145" s="19"/>
      <c r="EC145" s="770"/>
    </row>
    <row r="146" spans="2:134" x14ac:dyDescent="0.2">
      <c r="B146" s="212" t="s">
        <v>58</v>
      </c>
      <c r="C146" s="199">
        <f>C131-C136</f>
        <v>1427362.9435563288</v>
      </c>
      <c r="D146" s="199">
        <f t="shared" ref="D146:BO147" si="618">D131-D136</f>
        <v>1635851.2986326721</v>
      </c>
      <c r="E146" s="199">
        <f t="shared" si="618"/>
        <v>2283552.439398475</v>
      </c>
      <c r="F146" s="199">
        <f t="shared" si="618"/>
        <v>-1641399.5318893639</v>
      </c>
      <c r="G146" s="199">
        <f t="shared" si="618"/>
        <v>-5452439.2843395658</v>
      </c>
      <c r="H146" s="199">
        <f t="shared" si="618"/>
        <v>-466548.94915094564</v>
      </c>
      <c r="I146" s="199">
        <f t="shared" si="618"/>
        <v>128769.87792372165</v>
      </c>
      <c r="J146" s="199">
        <f t="shared" si="618"/>
        <v>-487646.56252527412</v>
      </c>
      <c r="K146" s="199">
        <f t="shared" si="618"/>
        <v>-387958.25047410198</v>
      </c>
      <c r="L146" s="199">
        <f t="shared" si="618"/>
        <v>-2379313.69834112</v>
      </c>
      <c r="M146" s="199">
        <f t="shared" si="618"/>
        <v>5301644.3796355827</v>
      </c>
      <c r="N146" s="199">
        <f t="shared" si="618"/>
        <v>6039648.4027854037</v>
      </c>
      <c r="O146" s="199">
        <f t="shared" si="618"/>
        <v>3473491.824556082</v>
      </c>
      <c r="P146" s="199">
        <f t="shared" si="618"/>
        <v>5842949.7818969553</v>
      </c>
      <c r="Q146" s="199">
        <f t="shared" si="618"/>
        <v>2763566.7661547461</v>
      </c>
      <c r="R146" s="199">
        <f t="shared" si="618"/>
        <v>-151604.18198519351</v>
      </c>
      <c r="S146" s="199">
        <f t="shared" si="618"/>
        <v>-536753.92900439235</v>
      </c>
      <c r="T146" s="199">
        <f t="shared" si="618"/>
        <v>988582.33975489391</v>
      </c>
      <c r="U146" s="199">
        <f t="shared" si="618"/>
        <v>-1832547.150776702</v>
      </c>
      <c r="V146" s="199">
        <f t="shared" si="618"/>
        <v>-8658043.1971543785</v>
      </c>
      <c r="W146" s="199">
        <f t="shared" si="618"/>
        <v>-15824352.498166064</v>
      </c>
      <c r="X146" s="199">
        <f t="shared" si="618"/>
        <v>-12000409.366633207</v>
      </c>
      <c r="Y146" s="199">
        <f t="shared" si="618"/>
        <v>-9761564.5167908277</v>
      </c>
      <c r="Z146" s="199">
        <f t="shared" si="618"/>
        <v>-5701271.10218067</v>
      </c>
      <c r="AA146" s="199">
        <f t="shared" si="618"/>
        <v>-1472184.2206910728</v>
      </c>
      <c r="AB146" s="199">
        <f t="shared" si="618"/>
        <v>1418200.0301378693</v>
      </c>
      <c r="AC146" s="199">
        <f t="shared" si="618"/>
        <v>3505685.5350335366</v>
      </c>
      <c r="AD146" s="199">
        <f t="shared" si="618"/>
        <v>-4961135.7889283299</v>
      </c>
      <c r="AE146" s="199">
        <f t="shared" si="618"/>
        <v>3282848.0522537231</v>
      </c>
      <c r="AF146" s="199">
        <f t="shared" si="618"/>
        <v>8345317.0607892722</v>
      </c>
      <c r="AG146" s="199">
        <f t="shared" si="618"/>
        <v>-1251989.2917538434</v>
      </c>
      <c r="AH146" s="199">
        <f t="shared" si="618"/>
        <v>2660223.4413147569</v>
      </c>
      <c r="AI146" s="199">
        <f t="shared" si="618"/>
        <v>-9458049.5339913592</v>
      </c>
      <c r="AJ146" s="199">
        <f t="shared" si="618"/>
        <v>-793361.6764164567</v>
      </c>
      <c r="AK146" s="199">
        <f t="shared" si="618"/>
        <v>3808809.81030415</v>
      </c>
      <c r="AL146" s="199">
        <f t="shared" si="618"/>
        <v>4970635.331138365</v>
      </c>
      <c r="AM146" s="199">
        <f t="shared" si="618"/>
        <v>7617899.4394764975</v>
      </c>
      <c r="AN146" s="199">
        <f t="shared" si="618"/>
        <v>12840285.33501222</v>
      </c>
      <c r="AO146" s="199">
        <f t="shared" si="618"/>
        <v>23968004.780831672</v>
      </c>
      <c r="AP146" s="199">
        <f t="shared" si="618"/>
        <v>20061144.567217954</v>
      </c>
      <c r="AQ146" s="199">
        <f t="shared" si="618"/>
        <v>24723882.346102454</v>
      </c>
      <c r="AR146" s="199">
        <f t="shared" si="618"/>
        <v>34930577.201204926</v>
      </c>
      <c r="AS146" s="199">
        <f t="shared" si="618"/>
        <v>28663174.22681509</v>
      </c>
      <c r="AT146" s="199">
        <f t="shared" si="618"/>
        <v>24693000.996627055</v>
      </c>
      <c r="AU146" s="199">
        <f t="shared" si="618"/>
        <v>18743995.071825512</v>
      </c>
      <c r="AV146" s="199">
        <f t="shared" si="618"/>
        <v>37021157.218398221</v>
      </c>
      <c r="AW146" s="199">
        <f t="shared" si="618"/>
        <v>30234195.235986993</v>
      </c>
      <c r="AX146" s="199">
        <f t="shared" si="618"/>
        <v>38409437.813369066</v>
      </c>
      <c r="AY146" s="199">
        <f t="shared" si="618"/>
        <v>40519693.655590393</v>
      </c>
      <c r="AZ146" s="199">
        <f t="shared" si="618"/>
        <v>33948767.731720239</v>
      </c>
      <c r="BA146" s="199">
        <f t="shared" si="618"/>
        <v>54211022.081518129</v>
      </c>
      <c r="BB146" s="199">
        <f t="shared" si="618"/>
        <v>40530024.898936406</v>
      </c>
      <c r="BC146" s="199">
        <f t="shared" si="618"/>
        <v>38869106.336967357</v>
      </c>
      <c r="BD146" s="199">
        <f t="shared" si="618"/>
        <v>41979638.72024142</v>
      </c>
      <c r="BE146" s="199">
        <f t="shared" si="618"/>
        <v>42463088.984504253</v>
      </c>
      <c r="BF146" s="199">
        <f t="shared" si="618"/>
        <v>37801232.820558421</v>
      </c>
      <c r="BG146" s="199">
        <f t="shared" si="618"/>
        <v>30832847.551192321</v>
      </c>
      <c r="BH146" s="199">
        <f t="shared" si="618"/>
        <v>44844638.961106345</v>
      </c>
      <c r="BI146" s="199">
        <f t="shared" si="618"/>
        <v>43435029.563000098</v>
      </c>
      <c r="BJ146" s="199">
        <f t="shared" si="618"/>
        <v>53697157.646202162</v>
      </c>
      <c r="BK146" s="199">
        <f t="shared" si="618"/>
        <v>56857405.648057356</v>
      </c>
      <c r="BL146" s="199">
        <f t="shared" si="618"/>
        <v>41376615.736652106</v>
      </c>
      <c r="BM146" s="199">
        <f t="shared" si="618"/>
        <v>50162021.199910879</v>
      </c>
      <c r="BN146" s="199">
        <f t="shared" si="618"/>
        <v>48197226.161896661</v>
      </c>
      <c r="BO146" s="199">
        <f t="shared" si="618"/>
        <v>46876007.191317737</v>
      </c>
      <c r="BP146" s="199">
        <f t="shared" ref="BP146:CK148" si="619">BP131-BP136</f>
        <v>46791455.470829174</v>
      </c>
      <c r="BQ146" s="199">
        <f t="shared" si="619"/>
        <v>54594046.761177219</v>
      </c>
      <c r="BR146" s="199">
        <f t="shared" si="619"/>
        <v>42433871.363953568</v>
      </c>
      <c r="BS146" s="199">
        <f t="shared" si="619"/>
        <v>40346679.119803995</v>
      </c>
      <c r="BT146" s="199">
        <f t="shared" si="619"/>
        <v>57923497.302095331</v>
      </c>
      <c r="BU146" s="199">
        <f t="shared" si="619"/>
        <v>50546754.494739309</v>
      </c>
      <c r="BV146" s="199">
        <f t="shared" si="619"/>
        <v>76887793.024132475</v>
      </c>
      <c r="BW146" s="199">
        <f t="shared" si="619"/>
        <v>83518814.367588088</v>
      </c>
      <c r="BX146" s="199">
        <f t="shared" si="619"/>
        <v>68219262.986361459</v>
      </c>
      <c r="BY146" s="199">
        <f t="shared" si="619"/>
        <v>88566444.095225573</v>
      </c>
      <c r="BZ146" s="199">
        <f t="shared" si="619"/>
        <v>66059037.589702211</v>
      </c>
      <c r="CA146" s="199">
        <f t="shared" si="619"/>
        <v>64720938.98710613</v>
      </c>
      <c r="CB146" s="199">
        <f t="shared" si="619"/>
        <v>64010263.924574733</v>
      </c>
      <c r="CC146" s="199">
        <f t="shared" si="619"/>
        <v>73342314.962960482</v>
      </c>
      <c r="CD146" s="199">
        <f t="shared" si="619"/>
        <v>58513898.655655973</v>
      </c>
      <c r="CE146" s="199">
        <f t="shared" si="619"/>
        <v>55571400.058474317</v>
      </c>
      <c r="CF146" s="199">
        <f t="shared" si="619"/>
        <v>76428681.249132767</v>
      </c>
      <c r="CG146" s="199">
        <f t="shared" si="619"/>
        <v>66945908.564957492</v>
      </c>
      <c r="CH146" s="199">
        <f t="shared" si="619"/>
        <v>97603742.147937864</v>
      </c>
      <c r="CI146" s="199">
        <f t="shared" si="619"/>
        <v>104792322.09766826</v>
      </c>
      <c r="CJ146" s="199">
        <f t="shared" si="619"/>
        <v>86197645.214737147</v>
      </c>
      <c r="CK146" s="199">
        <f t="shared" si="619"/>
        <v>108472273.82898068</v>
      </c>
      <c r="CL146" s="199">
        <f t="shared" ref="CL146:CW146" si="620">CL131-CL136</f>
        <v>78056602.15067178</v>
      </c>
      <c r="CM146" s="199">
        <f t="shared" si="620"/>
        <v>76461199.341962457</v>
      </c>
      <c r="CN146" s="199">
        <f t="shared" si="620"/>
        <v>75584923.730080068</v>
      </c>
      <c r="CO146" s="199">
        <f t="shared" si="620"/>
        <v>85971112.748612553</v>
      </c>
      <c r="CP146" s="199">
        <f t="shared" si="620"/>
        <v>69141704.340409592</v>
      </c>
      <c r="CQ146" s="199">
        <f t="shared" si="620"/>
        <v>65954334.869674653</v>
      </c>
      <c r="CR146" s="199">
        <f t="shared" si="620"/>
        <v>89120257.122587845</v>
      </c>
      <c r="CS146" s="199">
        <f t="shared" si="620"/>
        <v>78481243.354801729</v>
      </c>
      <c r="CT146" s="199">
        <f t="shared" si="620"/>
        <v>113224411.3600305</v>
      </c>
      <c r="CU146" s="199">
        <f t="shared" si="620"/>
        <v>121452452.05685399</v>
      </c>
      <c r="CV146" s="199">
        <f t="shared" si="620"/>
        <v>100138717.11478037</v>
      </c>
      <c r="CW146" s="199">
        <f t="shared" si="620"/>
        <v>125142039.63592964</v>
      </c>
      <c r="CY146" s="199">
        <f>SUM(AD146:AF146)</f>
        <v>6667029.3241146654</v>
      </c>
      <c r="CZ146" s="199">
        <f>SUM(AG146:AI146)</f>
        <v>-8049815.3844304457</v>
      </c>
      <c r="DA146" s="199">
        <f>SUM(AJ146:AL146)</f>
        <v>7986083.4650260583</v>
      </c>
      <c r="DB146" s="199">
        <f>SUM(AM146:AO146)</f>
        <v>44426189.55532039</v>
      </c>
      <c r="DC146" s="199">
        <f>SUM(AP146:AR146)</f>
        <v>79715604.114525333</v>
      </c>
      <c r="DD146" s="199">
        <f>SUM(AS146:AU146)</f>
        <v>72100170.295267656</v>
      </c>
      <c r="DE146" s="199">
        <f>SUM(AV146:AX146)</f>
        <v>105664790.26775429</v>
      </c>
      <c r="DF146" s="199">
        <f>SUM(AY146:BA146)</f>
        <v>128679483.46882875</v>
      </c>
      <c r="DG146" s="199">
        <f>SUM(BB146:BD146)</f>
        <v>121378769.9561452</v>
      </c>
      <c r="DH146" s="199">
        <f>SUM(BE146:BG146)</f>
        <v>111097169.35625499</v>
      </c>
      <c r="DI146" s="199">
        <f>SUM(BH146:BJ146)</f>
        <v>141976826.17030859</v>
      </c>
      <c r="DJ146" s="199">
        <f>SUM(BK146:BM146)</f>
        <v>148396042.58462036</v>
      </c>
      <c r="DK146" s="199">
        <f>SUM(BN146:BP146)</f>
        <v>141864688.82404357</v>
      </c>
      <c r="DL146" s="199">
        <f>SUM(BQ146:BS146)</f>
        <v>137374597.2449348</v>
      </c>
      <c r="DM146" s="199">
        <f>SUM(BT146:BV146)</f>
        <v>185358044.82096714</v>
      </c>
      <c r="DN146" s="199">
        <f>SUM(BW146:BY146)</f>
        <v>240304521.44917512</v>
      </c>
      <c r="DO146" s="199">
        <f>SUM(BZ146:CB146)</f>
        <v>194790240.50138307</v>
      </c>
      <c r="DP146" s="199">
        <f>SUM(CC146:CE146)</f>
        <v>187427613.67709076</v>
      </c>
      <c r="DQ146" s="199">
        <f>SUM(CF146:CH146)</f>
        <v>240978331.96202812</v>
      </c>
      <c r="DR146" s="199">
        <f>SUM(CI146:CK146)</f>
        <v>299462241.14138609</v>
      </c>
      <c r="DS146" s="199">
        <f t="shared" si="499"/>
        <v>230102725.2227143</v>
      </c>
      <c r="DT146" s="199">
        <f t="shared" si="500"/>
        <v>221067151.95869681</v>
      </c>
      <c r="DU146" s="199">
        <f t="shared" si="501"/>
        <v>280825911.83742011</v>
      </c>
      <c r="DV146" s="199">
        <f t="shared" si="502"/>
        <v>346733208.80756402</v>
      </c>
      <c r="DX146" s="199">
        <f t="shared" ref="DX146:DX148" si="621">SUM(CY146:DB146)</f>
        <v>51029486.960030667</v>
      </c>
      <c r="DY146" s="199">
        <f t="shared" ref="DY146:DY148" si="622">SUM(DC146:DF146)</f>
        <v>386160048.14637601</v>
      </c>
      <c r="DZ146" s="199">
        <f t="shared" ref="DZ146:DZ148" si="623">SUM(DG146:DJ146)</f>
        <v>522848808.06732917</v>
      </c>
      <c r="EA146" s="199">
        <f t="shared" ref="EA146:EA148" si="624">SUM(DK146:DN146)</f>
        <v>704901852.33912063</v>
      </c>
      <c r="EB146" s="199">
        <f t="shared" ref="EB146:EB148" si="625">SUM(DO146:DR146)</f>
        <v>922658427.28188801</v>
      </c>
      <c r="EC146" s="810">
        <f t="shared" si="503"/>
        <v>1078728997.8263953</v>
      </c>
    </row>
    <row r="147" spans="2:134" x14ac:dyDescent="0.2">
      <c r="B147" s="155" t="s">
        <v>229</v>
      </c>
      <c r="C147" s="213">
        <f t="shared" ref="C147:R148" si="626">C132-C137</f>
        <v>1223887.0605670565</v>
      </c>
      <c r="D147" s="213">
        <f t="shared" si="626"/>
        <v>1561615.9881313783</v>
      </c>
      <c r="E147" s="213">
        <f t="shared" si="626"/>
        <v>2042677.1029210333</v>
      </c>
      <c r="F147" s="213">
        <f t="shared" si="626"/>
        <v>-1693533.9297256724</v>
      </c>
      <c r="G147" s="213">
        <f t="shared" si="626"/>
        <v>-5442148.0700797262</v>
      </c>
      <c r="H147" s="213">
        <f t="shared" si="626"/>
        <v>-861472.02806123521</v>
      </c>
      <c r="I147" s="213">
        <f t="shared" si="626"/>
        <v>-685123.46251481015</v>
      </c>
      <c r="J147" s="213">
        <f t="shared" si="626"/>
        <v>-962145.94534680061</v>
      </c>
      <c r="K147" s="213">
        <f t="shared" si="626"/>
        <v>-1271331.2776278253</v>
      </c>
      <c r="L147" s="213">
        <f t="shared" si="626"/>
        <v>-2403670.0766459918</v>
      </c>
      <c r="M147" s="213">
        <f t="shared" si="626"/>
        <v>3696653.4006180987</v>
      </c>
      <c r="N147" s="213">
        <f t="shared" si="626"/>
        <v>4150861.249042796</v>
      </c>
      <c r="O147" s="213">
        <f t="shared" si="626"/>
        <v>890061.30380648538</v>
      </c>
      <c r="P147" s="213">
        <f t="shared" si="626"/>
        <v>2795295.2556895162</v>
      </c>
      <c r="Q147" s="213">
        <f t="shared" si="626"/>
        <v>1057850.958708656</v>
      </c>
      <c r="R147" s="213">
        <f t="shared" si="626"/>
        <v>-1595870.3261175186</v>
      </c>
      <c r="S147" s="213">
        <f t="shared" si="618"/>
        <v>-1909539.7330995351</v>
      </c>
      <c r="T147" s="213">
        <f t="shared" si="618"/>
        <v>-878178.49372521741</v>
      </c>
      <c r="U147" s="213">
        <f t="shared" si="618"/>
        <v>-1981473.709878522</v>
      </c>
      <c r="V147" s="213">
        <f t="shared" si="618"/>
        <v>-7778684.5715741273</v>
      </c>
      <c r="W147" s="213">
        <f t="shared" si="618"/>
        <v>-14749786.190386025</v>
      </c>
      <c r="X147" s="213">
        <f t="shared" si="618"/>
        <v>-11736866.749745637</v>
      </c>
      <c r="Y147" s="213">
        <f t="shared" si="618"/>
        <v>-10486422.443024065</v>
      </c>
      <c r="Z147" s="213">
        <f t="shared" si="618"/>
        <v>-5276979.3196558859</v>
      </c>
      <c r="AA147" s="213">
        <f t="shared" si="618"/>
        <v>-2981518.9492247929</v>
      </c>
      <c r="AB147" s="213">
        <f t="shared" si="618"/>
        <v>-1547203.7463466178</v>
      </c>
      <c r="AC147" s="213">
        <f t="shared" si="618"/>
        <v>3451581.5473356019</v>
      </c>
      <c r="AD147" s="213">
        <f t="shared" si="618"/>
        <v>2275533.8279431015</v>
      </c>
      <c r="AE147" s="213">
        <f t="shared" si="618"/>
        <v>7547433.4182298779</v>
      </c>
      <c r="AF147" s="213">
        <f t="shared" si="618"/>
        <v>7640694.4832624048</v>
      </c>
      <c r="AG147" s="213">
        <f t="shared" si="618"/>
        <v>4919084.8506956771</v>
      </c>
      <c r="AH147" s="213">
        <f t="shared" si="618"/>
        <v>5841039.7016911358</v>
      </c>
      <c r="AI147" s="213">
        <f t="shared" si="618"/>
        <v>120837.6413474381</v>
      </c>
      <c r="AJ147" s="213">
        <f t="shared" si="618"/>
        <v>7009778.2895788848</v>
      </c>
      <c r="AK147" s="213">
        <f t="shared" si="618"/>
        <v>4979409.4965927228</v>
      </c>
      <c r="AL147" s="213">
        <f t="shared" si="618"/>
        <v>1315192.96668984</v>
      </c>
      <c r="AM147" s="213">
        <f t="shared" si="618"/>
        <v>1361822.6936443113</v>
      </c>
      <c r="AN147" s="213">
        <f t="shared" si="618"/>
        <v>9312819.8147232234</v>
      </c>
      <c r="AO147" s="213">
        <f t="shared" si="618"/>
        <v>14558965.470046919</v>
      </c>
      <c r="AP147" s="213">
        <f t="shared" si="618"/>
        <v>12596142.143562321</v>
      </c>
      <c r="AQ147" s="213">
        <f t="shared" si="618"/>
        <v>17778225.386017982</v>
      </c>
      <c r="AR147" s="213">
        <f t="shared" si="618"/>
        <v>21456908.311644755</v>
      </c>
      <c r="AS147" s="213">
        <f t="shared" si="618"/>
        <v>18489603.032456163</v>
      </c>
      <c r="AT147" s="213">
        <f t="shared" si="618"/>
        <v>12553303.43704249</v>
      </c>
      <c r="AU147" s="213">
        <f t="shared" si="618"/>
        <v>3036603.3108464852</v>
      </c>
      <c r="AV147" s="213">
        <f t="shared" si="618"/>
        <v>15529428.190912105</v>
      </c>
      <c r="AW147" s="213">
        <f t="shared" si="618"/>
        <v>16769083.743374594</v>
      </c>
      <c r="AX147" s="213">
        <f t="shared" si="618"/>
        <v>22725795.145396546</v>
      </c>
      <c r="AY147" s="213">
        <f t="shared" si="618"/>
        <v>21154545.656426758</v>
      </c>
      <c r="AZ147" s="213">
        <f t="shared" si="618"/>
        <v>16414655.456724726</v>
      </c>
      <c r="BA147" s="213">
        <f t="shared" si="618"/>
        <v>26948784.518180422</v>
      </c>
      <c r="BB147" s="213">
        <f t="shared" si="618"/>
        <v>19961400.948207095</v>
      </c>
      <c r="BC147" s="213">
        <f t="shared" si="618"/>
        <v>17198592.438508429</v>
      </c>
      <c r="BD147" s="213">
        <f t="shared" si="618"/>
        <v>21301447.499505296</v>
      </c>
      <c r="BE147" s="213">
        <f t="shared" si="618"/>
        <v>18445541.549434975</v>
      </c>
      <c r="BF147" s="213">
        <f t="shared" si="618"/>
        <v>15148828.320853598</v>
      </c>
      <c r="BG147" s="213">
        <f t="shared" si="618"/>
        <v>5538906.9894531965</v>
      </c>
      <c r="BH147" s="213">
        <f t="shared" si="618"/>
        <v>28060051.171880923</v>
      </c>
      <c r="BI147" s="213">
        <f t="shared" si="618"/>
        <v>27507849.559993006</v>
      </c>
      <c r="BJ147" s="213">
        <f t="shared" si="618"/>
        <v>35410207.714879826</v>
      </c>
      <c r="BK147" s="213">
        <f t="shared" si="618"/>
        <v>38267573.209181279</v>
      </c>
      <c r="BL147" s="213">
        <f t="shared" si="618"/>
        <v>32284930.416287333</v>
      </c>
      <c r="BM147" s="213">
        <f t="shared" si="618"/>
        <v>36911516.707824096</v>
      </c>
      <c r="BN147" s="213">
        <f t="shared" si="618"/>
        <v>26271859.539277449</v>
      </c>
      <c r="BO147" s="213">
        <f t="shared" si="618"/>
        <v>24489791.292652413</v>
      </c>
      <c r="BP147" s="213">
        <f t="shared" si="619"/>
        <v>24429438.937529191</v>
      </c>
      <c r="BQ147" s="213">
        <f t="shared" si="619"/>
        <v>31806409.811346691</v>
      </c>
      <c r="BR147" s="213">
        <f t="shared" si="619"/>
        <v>21773077.30936987</v>
      </c>
      <c r="BS147" s="213">
        <f t="shared" si="619"/>
        <v>15856116.640057635</v>
      </c>
      <c r="BT147" s="213">
        <f t="shared" si="619"/>
        <v>35532574.753048792</v>
      </c>
      <c r="BU147" s="213">
        <f t="shared" si="619"/>
        <v>27853725.825352207</v>
      </c>
      <c r="BV147" s="213">
        <f t="shared" si="619"/>
        <v>45168497.424706087</v>
      </c>
      <c r="BW147" s="213">
        <f t="shared" si="619"/>
        <v>47906346.625232786</v>
      </c>
      <c r="BX147" s="213">
        <f t="shared" si="619"/>
        <v>40264960.798197523</v>
      </c>
      <c r="BY147" s="213">
        <f t="shared" si="619"/>
        <v>57245749.887005255</v>
      </c>
      <c r="BZ147" s="213">
        <f t="shared" si="619"/>
        <v>39142528.814890988</v>
      </c>
      <c r="CA147" s="213">
        <f t="shared" si="619"/>
        <v>37273510.405528083</v>
      </c>
      <c r="CB147" s="213">
        <f t="shared" si="619"/>
        <v>36576102.852176167</v>
      </c>
      <c r="CC147" s="213">
        <f t="shared" si="619"/>
        <v>45422826.206510983</v>
      </c>
      <c r="CD147" s="213">
        <f t="shared" si="619"/>
        <v>33043777.298946369</v>
      </c>
      <c r="CE147" s="213">
        <f t="shared" si="619"/>
        <v>25640159.255013879</v>
      </c>
      <c r="CF147" s="213">
        <f t="shared" si="619"/>
        <v>48905990.07115332</v>
      </c>
      <c r="CG147" s="213">
        <f t="shared" si="619"/>
        <v>39048164.718764931</v>
      </c>
      <c r="CH147" s="213">
        <f t="shared" si="619"/>
        <v>59231482.055470891</v>
      </c>
      <c r="CI147" s="213">
        <f t="shared" si="619"/>
        <v>61887724.800320178</v>
      </c>
      <c r="CJ147" s="213">
        <f t="shared" si="619"/>
        <v>52163338.107959047</v>
      </c>
      <c r="CK147" s="213">
        <f t="shared" si="619"/>
        <v>70499552.905082002</v>
      </c>
      <c r="CL147" s="213">
        <f t="shared" ref="CL147:CW147" si="627">CL132-CL137</f>
        <v>44581425.604162917</v>
      </c>
      <c r="CM147" s="213">
        <f t="shared" si="627"/>
        <v>42362630.820233814</v>
      </c>
      <c r="CN147" s="213">
        <f t="shared" si="627"/>
        <v>41500559.113148294</v>
      </c>
      <c r="CO147" s="213">
        <f t="shared" si="627"/>
        <v>51309350.694902539</v>
      </c>
      <c r="CP147" s="213">
        <f t="shared" si="627"/>
        <v>37356271.36785242</v>
      </c>
      <c r="CQ147" s="213">
        <f t="shared" si="627"/>
        <v>28946373.664119456</v>
      </c>
      <c r="CR147" s="213">
        <f t="shared" si="627"/>
        <v>54861054.021493077</v>
      </c>
      <c r="CS147" s="213">
        <f t="shared" si="627"/>
        <v>43789530.596076153</v>
      </c>
      <c r="CT147" s="213">
        <f t="shared" si="627"/>
        <v>66244618.403638229</v>
      </c>
      <c r="CU147" s="213">
        <f t="shared" si="627"/>
        <v>69160342.09361203</v>
      </c>
      <c r="CV147" s="213">
        <f t="shared" si="627"/>
        <v>58243597.521947257</v>
      </c>
      <c r="CW147" s="213">
        <f t="shared" si="627"/>
        <v>78615840.325708479</v>
      </c>
      <c r="CY147" s="232">
        <f>SUM(AD147:AF147)</f>
        <v>17463661.729435384</v>
      </c>
      <c r="CZ147" s="232">
        <f>SUM(AG147:AI147)</f>
        <v>10880962.193734251</v>
      </c>
      <c r="DA147" s="232">
        <f>SUM(AJ147:AL147)</f>
        <v>13304380.752861448</v>
      </c>
      <c r="DB147" s="232">
        <f>SUM(AM147:AO147)</f>
        <v>25233607.978414454</v>
      </c>
      <c r="DC147" s="232">
        <f>SUM(AP147:AR147)</f>
        <v>51831275.841225058</v>
      </c>
      <c r="DD147" s="232">
        <f>SUM(AS147:AU147)</f>
        <v>34079509.780345142</v>
      </c>
      <c r="DE147" s="232">
        <f>SUM(AV147:AX147)</f>
        <v>55024307.079683244</v>
      </c>
      <c r="DF147" s="232">
        <f>SUM(AY147:BA147)</f>
        <v>64517985.631331906</v>
      </c>
      <c r="DG147" s="232">
        <f>SUM(BB147:BD147)</f>
        <v>58461440.88622082</v>
      </c>
      <c r="DH147" s="232">
        <f>SUM(BE147:BG147)</f>
        <v>39133276.85974177</v>
      </c>
      <c r="DI147" s="232">
        <f>SUM(BH147:BJ147)</f>
        <v>90978108.446753755</v>
      </c>
      <c r="DJ147" s="232">
        <f>SUM(BK147:BM147)</f>
        <v>107464020.33329271</v>
      </c>
      <c r="DK147" s="232">
        <f>SUM(BN147:BP147)</f>
        <v>75191089.769459054</v>
      </c>
      <c r="DL147" s="232">
        <f>SUM(BQ147:BS147)</f>
        <v>69435603.760774195</v>
      </c>
      <c r="DM147" s="232">
        <f>SUM(BT147:BV147)</f>
        <v>108554798.00310709</v>
      </c>
      <c r="DN147" s="232">
        <f>SUM(BW147:BY147)</f>
        <v>145417057.31043556</v>
      </c>
      <c r="DO147" s="232">
        <f>SUM(BZ147:CB147)</f>
        <v>112992142.07259524</v>
      </c>
      <c r="DP147" s="232">
        <f>SUM(CC147:CE147)</f>
        <v>104106762.76047124</v>
      </c>
      <c r="DQ147" s="232">
        <f>SUM(CF147:CH147)</f>
        <v>147185636.84538913</v>
      </c>
      <c r="DR147" s="232">
        <f>SUM(CI147:CK147)</f>
        <v>184550615.81336123</v>
      </c>
      <c r="DS147" s="232">
        <f t="shared" si="499"/>
        <v>128444615.53754503</v>
      </c>
      <c r="DT147" s="232">
        <f t="shared" si="500"/>
        <v>117611995.72687441</v>
      </c>
      <c r="DU147" s="232">
        <f t="shared" si="501"/>
        <v>164895203.02120745</v>
      </c>
      <c r="DV147" s="232">
        <f t="shared" si="502"/>
        <v>206019779.94126776</v>
      </c>
      <c r="DX147" s="213">
        <f t="shared" si="621"/>
        <v>66882612.654445536</v>
      </c>
      <c r="DY147" s="213">
        <f t="shared" si="622"/>
        <v>205453078.33258533</v>
      </c>
      <c r="DZ147" s="213">
        <f t="shared" si="623"/>
        <v>296036846.52600908</v>
      </c>
      <c r="EA147" s="213">
        <f t="shared" si="624"/>
        <v>398598548.84377587</v>
      </c>
      <c r="EB147" s="213">
        <f t="shared" si="625"/>
        <v>548835157.49181676</v>
      </c>
      <c r="EC147" s="772">
        <f t="shared" si="503"/>
        <v>616971594.22689462</v>
      </c>
    </row>
    <row r="148" spans="2:134" x14ac:dyDescent="0.2">
      <c r="B148" s="155" t="s">
        <v>237</v>
      </c>
      <c r="C148" s="213">
        <f t="shared" si="626"/>
        <v>203475.88298927096</v>
      </c>
      <c r="D148" s="213">
        <f t="shared" ref="D148:BO148" si="628">D133-D138</f>
        <v>74235.310501297878</v>
      </c>
      <c r="E148" s="213">
        <f t="shared" si="628"/>
        <v>240875.336477442</v>
      </c>
      <c r="F148" s="213">
        <f t="shared" si="628"/>
        <v>52134.397836306664</v>
      </c>
      <c r="G148" s="213">
        <f t="shared" si="628"/>
        <v>-10291.214259839586</v>
      </c>
      <c r="H148" s="213">
        <f t="shared" si="628"/>
        <v>394923.07891028922</v>
      </c>
      <c r="I148" s="213">
        <f t="shared" si="628"/>
        <v>813893.34043852915</v>
      </c>
      <c r="J148" s="213">
        <f t="shared" si="628"/>
        <v>474499.38282153435</v>
      </c>
      <c r="K148" s="213">
        <f t="shared" si="628"/>
        <v>883373.02715372446</v>
      </c>
      <c r="L148" s="213">
        <f t="shared" si="628"/>
        <v>24356.37830486914</v>
      </c>
      <c r="M148" s="213">
        <f t="shared" si="628"/>
        <v>1604990.9790175082</v>
      </c>
      <c r="N148" s="213">
        <f t="shared" si="628"/>
        <v>1888787.1537426235</v>
      </c>
      <c r="O148" s="213">
        <f t="shared" si="628"/>
        <v>2583430.5207495843</v>
      </c>
      <c r="P148" s="213">
        <f t="shared" si="628"/>
        <v>3047654.5262074382</v>
      </c>
      <c r="Q148" s="213">
        <f t="shared" si="628"/>
        <v>1705715.8074460905</v>
      </c>
      <c r="R148" s="213">
        <f t="shared" si="628"/>
        <v>1444266.1441323149</v>
      </c>
      <c r="S148" s="213">
        <f t="shared" si="628"/>
        <v>1372785.8040951418</v>
      </c>
      <c r="T148" s="213">
        <f t="shared" si="628"/>
        <v>1866760.8334801141</v>
      </c>
      <c r="U148" s="213">
        <f t="shared" si="628"/>
        <v>148926.55910185352</v>
      </c>
      <c r="V148" s="213">
        <f t="shared" si="628"/>
        <v>-879358.6255802582</v>
      </c>
      <c r="W148" s="213">
        <f t="shared" si="628"/>
        <v>-1074566.3077800798</v>
      </c>
      <c r="X148" s="213">
        <f t="shared" si="628"/>
        <v>-263542.61688757944</v>
      </c>
      <c r="Y148" s="213">
        <f t="shared" si="628"/>
        <v>724857.92623324366</v>
      </c>
      <c r="Z148" s="213">
        <f t="shared" si="628"/>
        <v>-424291.78252482839</v>
      </c>
      <c r="AA148" s="213">
        <f t="shared" si="628"/>
        <v>1509334.7285337509</v>
      </c>
      <c r="AB148" s="213">
        <f t="shared" si="628"/>
        <v>2965403.7764844755</v>
      </c>
      <c r="AC148" s="213">
        <f t="shared" si="628"/>
        <v>54103.987697905395</v>
      </c>
      <c r="AD148" s="213">
        <f t="shared" si="628"/>
        <v>-7236669.6168714575</v>
      </c>
      <c r="AE148" s="213">
        <f t="shared" si="628"/>
        <v>-4264585.3659762898</v>
      </c>
      <c r="AF148" s="213">
        <f t="shared" si="628"/>
        <v>704622.57752684131</v>
      </c>
      <c r="AG148" s="213">
        <f t="shared" si="628"/>
        <v>-6171074.1424495447</v>
      </c>
      <c r="AH148" s="213">
        <f t="shared" si="628"/>
        <v>-3180816.260376418</v>
      </c>
      <c r="AI148" s="213">
        <f t="shared" si="628"/>
        <v>-9578887.1753387079</v>
      </c>
      <c r="AJ148" s="213">
        <f t="shared" si="628"/>
        <v>-7803139.9659951609</v>
      </c>
      <c r="AK148" s="213">
        <f t="shared" si="628"/>
        <v>-1170599.686288517</v>
      </c>
      <c r="AL148" s="213">
        <f t="shared" si="628"/>
        <v>3655442.3644485306</v>
      </c>
      <c r="AM148" s="213">
        <f t="shared" si="628"/>
        <v>6256076.7458320893</v>
      </c>
      <c r="AN148" s="213">
        <f t="shared" si="628"/>
        <v>3527465.5202890486</v>
      </c>
      <c r="AO148" s="213">
        <f t="shared" si="628"/>
        <v>9409039.3107848018</v>
      </c>
      <c r="AP148" s="213">
        <f t="shared" si="628"/>
        <v>7465002.4236555435</v>
      </c>
      <c r="AQ148" s="213">
        <f t="shared" si="628"/>
        <v>6945656.9600844644</v>
      </c>
      <c r="AR148" s="213">
        <f t="shared" si="628"/>
        <v>13473668.889560252</v>
      </c>
      <c r="AS148" s="213">
        <f t="shared" si="628"/>
        <v>10173571.194358915</v>
      </c>
      <c r="AT148" s="213">
        <f t="shared" si="628"/>
        <v>12139697.559584543</v>
      </c>
      <c r="AU148" s="213">
        <f t="shared" si="628"/>
        <v>15707391.760979027</v>
      </c>
      <c r="AV148" s="213">
        <f t="shared" si="628"/>
        <v>21491729.027486049</v>
      </c>
      <c r="AW148" s="213">
        <f t="shared" si="628"/>
        <v>13465111.492612343</v>
      </c>
      <c r="AX148" s="213">
        <f t="shared" si="628"/>
        <v>15683642.667972546</v>
      </c>
      <c r="AY148" s="213">
        <f t="shared" si="628"/>
        <v>19365147.99916352</v>
      </c>
      <c r="AZ148" s="213">
        <f t="shared" si="628"/>
        <v>17534112.274995446</v>
      </c>
      <c r="BA148" s="213">
        <f t="shared" si="628"/>
        <v>27262237.563337639</v>
      </c>
      <c r="BB148" s="213">
        <f t="shared" si="628"/>
        <v>20568623.950729314</v>
      </c>
      <c r="BC148" s="213">
        <f t="shared" si="628"/>
        <v>21670513.898458958</v>
      </c>
      <c r="BD148" s="213">
        <f t="shared" si="628"/>
        <v>20678191.220736239</v>
      </c>
      <c r="BE148" s="213">
        <f t="shared" si="628"/>
        <v>24017547.435069278</v>
      </c>
      <c r="BF148" s="213">
        <f t="shared" si="628"/>
        <v>22652404.499704696</v>
      </c>
      <c r="BG148" s="213">
        <f t="shared" si="628"/>
        <v>25293940.561739236</v>
      </c>
      <c r="BH148" s="213">
        <f t="shared" si="628"/>
        <v>19011148.806174662</v>
      </c>
      <c r="BI148" s="213">
        <f t="shared" si="628"/>
        <v>18000474.91826129</v>
      </c>
      <c r="BJ148" s="213">
        <f t="shared" si="628"/>
        <v>20965235.52454263</v>
      </c>
      <c r="BK148" s="213">
        <f t="shared" si="628"/>
        <v>21879294.303282883</v>
      </c>
      <c r="BL148" s="213">
        <f t="shared" si="628"/>
        <v>11902104.811890133</v>
      </c>
      <c r="BM148" s="213">
        <f t="shared" si="628"/>
        <v>16009341.780222435</v>
      </c>
      <c r="BN148" s="213">
        <f t="shared" si="628"/>
        <v>24267057.025765013</v>
      </c>
      <c r="BO148" s="213">
        <f t="shared" si="628"/>
        <v>24678912.522928134</v>
      </c>
      <c r="BP148" s="213">
        <f t="shared" si="619"/>
        <v>24649668.345614795</v>
      </c>
      <c r="BQ148" s="213">
        <f t="shared" si="619"/>
        <v>25266233.083971381</v>
      </c>
      <c r="BR148" s="213">
        <f t="shared" si="619"/>
        <v>22873084.573828366</v>
      </c>
      <c r="BS148" s="213">
        <f t="shared" si="619"/>
        <v>26543228.826654509</v>
      </c>
      <c r="BT148" s="213">
        <f t="shared" si="619"/>
        <v>24956741.210239664</v>
      </c>
      <c r="BU148" s="213">
        <f t="shared" si="619"/>
        <v>25054221.801284298</v>
      </c>
      <c r="BV148" s="213">
        <f t="shared" si="619"/>
        <v>34531772.265587732</v>
      </c>
      <c r="BW148" s="213">
        <f t="shared" si="619"/>
        <v>38494358.291547544</v>
      </c>
      <c r="BX148" s="213">
        <f t="shared" si="619"/>
        <v>30632548.623807006</v>
      </c>
      <c r="BY148" s="213">
        <f t="shared" si="619"/>
        <v>34439165.704095565</v>
      </c>
      <c r="BZ148" s="213">
        <f t="shared" si="619"/>
        <v>29772957.852928713</v>
      </c>
      <c r="CA148" s="213">
        <f t="shared" si="619"/>
        <v>30251178.678805441</v>
      </c>
      <c r="CB148" s="213">
        <f t="shared" si="619"/>
        <v>30217222.170459256</v>
      </c>
      <c r="CC148" s="213">
        <f t="shared" si="619"/>
        <v>30933138.554759994</v>
      </c>
      <c r="CD148" s="213">
        <f t="shared" si="619"/>
        <v>28154364.288422629</v>
      </c>
      <c r="CE148" s="213">
        <f t="shared" si="619"/>
        <v>32415906.08588095</v>
      </c>
      <c r="CF148" s="213">
        <f t="shared" si="619"/>
        <v>30618734.984385371</v>
      </c>
      <c r="CG148" s="213">
        <f t="shared" si="619"/>
        <v>30731923.345539659</v>
      </c>
      <c r="CH148" s="213">
        <f t="shared" si="619"/>
        <v>41736661.75876376</v>
      </c>
      <c r="CI148" s="213">
        <f t="shared" si="619"/>
        <v>46337768.639684737</v>
      </c>
      <c r="CJ148" s="213">
        <f t="shared" si="619"/>
        <v>37209127.31259279</v>
      </c>
      <c r="CK148" s="213">
        <f t="shared" si="619"/>
        <v>41629132.815667078</v>
      </c>
      <c r="CL148" s="213">
        <f t="shared" ref="CL148:CW148" si="629">CL133-CL138</f>
        <v>36730874.872772895</v>
      </c>
      <c r="CM148" s="213">
        <f t="shared" si="629"/>
        <v>37291034.877630405</v>
      </c>
      <c r="CN148" s="213">
        <f t="shared" si="629"/>
        <v>37251260.202729389</v>
      </c>
      <c r="CO148" s="213">
        <f t="shared" si="629"/>
        <v>38089842.931894727</v>
      </c>
      <c r="CP148" s="213">
        <f t="shared" si="629"/>
        <v>34834948.702486038</v>
      </c>
      <c r="CQ148" s="213">
        <f t="shared" si="629"/>
        <v>39826670.402577117</v>
      </c>
      <c r="CR148" s="213">
        <f t="shared" si="629"/>
        <v>37773110.291698307</v>
      </c>
      <c r="CS148" s="213">
        <f t="shared" si="629"/>
        <v>37905692.541368708</v>
      </c>
      <c r="CT148" s="213">
        <f t="shared" si="629"/>
        <v>50796001.765574679</v>
      </c>
      <c r="CU148" s="213">
        <f t="shared" si="629"/>
        <v>56185470.214676797</v>
      </c>
      <c r="CV148" s="213">
        <f t="shared" si="629"/>
        <v>45492711.778758168</v>
      </c>
      <c r="CW148" s="213">
        <f t="shared" si="629"/>
        <v>50670048.628387794</v>
      </c>
      <c r="CY148" s="232">
        <f>SUM(AD148:AF148)</f>
        <v>-10796632.405320905</v>
      </c>
      <c r="CZ148" s="232">
        <f>SUM(AG148:AI148)</f>
        <v>-18930777.578164671</v>
      </c>
      <c r="DA148" s="232">
        <f>SUM(AJ148:AL148)</f>
        <v>-5318297.2878351472</v>
      </c>
      <c r="DB148" s="232">
        <f>SUM(AM148:AO148)</f>
        <v>19192581.57690594</v>
      </c>
      <c r="DC148" s="232">
        <f>SUM(AP148:AR148)</f>
        <v>27884328.27330026</v>
      </c>
      <c r="DD148" s="232">
        <f>SUM(AS148:AU148)</f>
        <v>38020660.514922485</v>
      </c>
      <c r="DE148" s="232">
        <f>SUM(AV148:AX148)</f>
        <v>50640483.188070938</v>
      </c>
      <c r="DF148" s="232">
        <f>SUM(AY148:BA148)</f>
        <v>64161497.837496608</v>
      </c>
      <c r="DG148" s="232">
        <f>SUM(BB148:BD148)</f>
        <v>62917329.069924504</v>
      </c>
      <c r="DH148" s="232">
        <f>SUM(BE148:BG148)</f>
        <v>71963892.496513218</v>
      </c>
      <c r="DI148" s="232">
        <f>SUM(BH148:BJ148)</f>
        <v>57976859.248978585</v>
      </c>
      <c r="DJ148" s="232">
        <f>SUM(BK148:BM148)</f>
        <v>49790740.895395443</v>
      </c>
      <c r="DK148" s="232">
        <f>SUM(BN148:BP148)</f>
        <v>73595637.894307941</v>
      </c>
      <c r="DL148" s="232">
        <f>SUM(BQ148:BS148)</f>
        <v>74682546.484454259</v>
      </c>
      <c r="DM148" s="232">
        <f>SUM(BT148:BV148)</f>
        <v>84542735.277111694</v>
      </c>
      <c r="DN148" s="232">
        <f>SUM(BW148:BY148)</f>
        <v>103566072.61945012</v>
      </c>
      <c r="DO148" s="232">
        <f>SUM(BZ148:CB148)</f>
        <v>90241358.702193409</v>
      </c>
      <c r="DP148" s="232">
        <f>SUM(CC148:CE148)</f>
        <v>91503408.929063573</v>
      </c>
      <c r="DQ148" s="232">
        <f>SUM(CF148:CH148)</f>
        <v>103087320.08868879</v>
      </c>
      <c r="DR148" s="232">
        <f>SUM(CI148:CK148)</f>
        <v>125176028.7679446</v>
      </c>
      <c r="DS148" s="232">
        <f t="shared" si="499"/>
        <v>111273169.95313269</v>
      </c>
      <c r="DT148" s="232">
        <f t="shared" si="500"/>
        <v>112751462.03695787</v>
      </c>
      <c r="DU148" s="232">
        <f t="shared" si="501"/>
        <v>126474804.59864169</v>
      </c>
      <c r="DV148" s="232">
        <f t="shared" si="502"/>
        <v>152348230.62182277</v>
      </c>
      <c r="DX148" s="213">
        <f t="shared" si="621"/>
        <v>-15853125.694414783</v>
      </c>
      <c r="DY148" s="213">
        <f t="shared" si="622"/>
        <v>180706969.81379029</v>
      </c>
      <c r="DZ148" s="213">
        <f t="shared" si="623"/>
        <v>242648821.71081173</v>
      </c>
      <c r="EA148" s="213">
        <f t="shared" si="624"/>
        <v>336386992.27532399</v>
      </c>
      <c r="EB148" s="213">
        <f t="shared" si="625"/>
        <v>410008116.48789036</v>
      </c>
      <c r="EC148" s="772">
        <f t="shared" si="503"/>
        <v>502847667.21055502</v>
      </c>
    </row>
    <row r="149" spans="2:134" x14ac:dyDescent="0.2">
      <c r="B149" s="22" t="s">
        <v>154</v>
      </c>
      <c r="C149" s="20">
        <f>C146/C50</f>
        <v>3.2237791202358236E-2</v>
      </c>
      <c r="D149" s="20">
        <f t="shared" ref="D149:BO149" si="630">D146/D50</f>
        <v>3.8451277890323772E-2</v>
      </c>
      <c r="E149" s="20">
        <f t="shared" si="630"/>
        <v>4.705879421052956E-2</v>
      </c>
      <c r="F149" s="20">
        <f t="shared" si="630"/>
        <v>-5.8034126157738189E-2</v>
      </c>
      <c r="G149" s="20">
        <f t="shared" si="630"/>
        <v>-1.3604627520483272</v>
      </c>
      <c r="H149" s="20">
        <f t="shared" si="630"/>
        <v>-2.0253152656413632E-2</v>
      </c>
      <c r="I149" s="20">
        <f t="shared" si="630"/>
        <v>3.9669686027291777E-3</v>
      </c>
      <c r="J149" s="20">
        <f t="shared" si="630"/>
        <v>-1.2181137947417627E-2</v>
      </c>
      <c r="K149" s="20">
        <f t="shared" si="630"/>
        <v>-7.2712319698536943E-3</v>
      </c>
      <c r="L149" s="20">
        <f t="shared" si="630"/>
        <v>-3.9420037722570495E-2</v>
      </c>
      <c r="M149" s="20">
        <f t="shared" si="630"/>
        <v>5.7171859241983911E-2</v>
      </c>
      <c r="N149" s="20">
        <f t="shared" si="630"/>
        <v>5.4528345418503467E-2</v>
      </c>
      <c r="O149" s="20">
        <f t="shared" si="630"/>
        <v>2.971668914358111E-2</v>
      </c>
      <c r="P149" s="20">
        <f t="shared" si="630"/>
        <v>4.6405625709296267E-2</v>
      </c>
      <c r="Q149" s="20">
        <f t="shared" si="630"/>
        <v>2.0804377964724313E-2</v>
      </c>
      <c r="R149" s="20">
        <f t="shared" si="630"/>
        <v>-1.2532376829761597E-3</v>
      </c>
      <c r="S149" s="20">
        <f t="shared" si="630"/>
        <v>-3.6139573436572421E-3</v>
      </c>
      <c r="T149" s="20">
        <f t="shared" si="630"/>
        <v>5.2733349668957355E-3</v>
      </c>
      <c r="U149" s="20">
        <f t="shared" si="630"/>
        <v>-9.8571265333033224E-3</v>
      </c>
      <c r="V149" s="20">
        <f t="shared" si="630"/>
        <v>-4.7063657868913644E-2</v>
      </c>
      <c r="W149" s="20">
        <f t="shared" si="630"/>
        <v>-8.8052839133383604E-2</v>
      </c>
      <c r="X149" s="20">
        <f t="shared" si="630"/>
        <v>-5.4466410615122585E-2</v>
      </c>
      <c r="Y149" s="20">
        <f t="shared" si="630"/>
        <v>-4.5276464839268428E-2</v>
      </c>
      <c r="Z149" s="20">
        <f t="shared" si="630"/>
        <v>-2.2723651132653181E-2</v>
      </c>
      <c r="AA149" s="20">
        <f t="shared" si="630"/>
        <v>-5.1917091069993626E-3</v>
      </c>
      <c r="AB149" s="20">
        <f t="shared" si="630"/>
        <v>4.7113430196200875E-3</v>
      </c>
      <c r="AC149" s="20">
        <f t="shared" si="630"/>
        <v>8.3706193597787252E-3</v>
      </c>
      <c r="AD149" s="20">
        <f t="shared" si="630"/>
        <v>-1.046785504855474E-2</v>
      </c>
      <c r="AE149" s="20">
        <f t="shared" si="630"/>
        <v>6.6976047894438829E-3</v>
      </c>
      <c r="AF149" s="20">
        <f t="shared" si="630"/>
        <v>1.6218500230354604E-2</v>
      </c>
      <c r="AG149" s="20">
        <f t="shared" si="630"/>
        <v>-2.9792437691382153E-3</v>
      </c>
      <c r="AH149" s="20">
        <f t="shared" si="630"/>
        <v>6.0034442202819231E-3</v>
      </c>
      <c r="AI149" s="20">
        <f t="shared" si="630"/>
        <v>-2.1240743172350814E-2</v>
      </c>
      <c r="AJ149" s="20">
        <f t="shared" si="630"/>
        <v>-1.2064243687045404E-3</v>
      </c>
      <c r="AK149" s="20">
        <f t="shared" si="630"/>
        <v>6.9571966152101958E-3</v>
      </c>
      <c r="AL149" s="20">
        <f t="shared" si="630"/>
        <v>1.0139764298159434E-2</v>
      </c>
      <c r="AM149" s="20">
        <f t="shared" si="630"/>
        <v>1.6407698743346976E-2</v>
      </c>
      <c r="AN149" s="20">
        <f t="shared" si="630"/>
        <v>3.3084506773742646E-2</v>
      </c>
      <c r="AO149" s="20">
        <f t="shared" si="630"/>
        <v>4.8119833395533218E-2</v>
      </c>
      <c r="AP149" s="20">
        <f t="shared" si="630"/>
        <v>3.9460248330673742E-2</v>
      </c>
      <c r="AQ149" s="20">
        <f t="shared" si="630"/>
        <v>4.6972023228892969E-2</v>
      </c>
      <c r="AR149" s="20">
        <f t="shared" si="630"/>
        <v>6.2752123496843004E-2</v>
      </c>
      <c r="AS149" s="20">
        <f t="shared" si="630"/>
        <v>5.2168386584923149E-2</v>
      </c>
      <c r="AT149" s="20">
        <f t="shared" si="630"/>
        <v>5.0543051766354881E-2</v>
      </c>
      <c r="AU149" s="20">
        <f t="shared" si="630"/>
        <v>4.076490533398007E-2</v>
      </c>
      <c r="AV149" s="20">
        <f t="shared" si="630"/>
        <v>6.4783150792114788E-2</v>
      </c>
      <c r="AW149" s="20">
        <f t="shared" si="630"/>
        <v>5.6683326628236261E-2</v>
      </c>
      <c r="AX149" s="20">
        <f t="shared" si="630"/>
        <v>6.0463956600811677E-2</v>
      </c>
      <c r="AY149" s="20">
        <f t="shared" si="630"/>
        <v>5.9820577863821521E-2</v>
      </c>
      <c r="AZ149" s="20">
        <f t="shared" si="630"/>
        <v>5.2696557077271021E-2</v>
      </c>
      <c r="BA149" s="20">
        <f t="shared" si="630"/>
        <v>6.5459389253726519E-2</v>
      </c>
      <c r="BB149" s="20">
        <f t="shared" si="630"/>
        <v>5.3260529864627905E-2</v>
      </c>
      <c r="BC149" s="20">
        <f t="shared" si="630"/>
        <v>5.2207247371620677E-2</v>
      </c>
      <c r="BD149" s="20">
        <f t="shared" si="630"/>
        <v>5.5833392491030212E-2</v>
      </c>
      <c r="BE149" s="20">
        <f t="shared" si="630"/>
        <v>5.2414266980575872E-2</v>
      </c>
      <c r="BF149" s="20">
        <f t="shared" si="630"/>
        <v>5.4200765709877308E-2</v>
      </c>
      <c r="BG149" s="20">
        <f t="shared" si="630"/>
        <v>4.0901021016423872E-2</v>
      </c>
      <c r="BH149" s="20">
        <f t="shared" si="630"/>
        <v>5.1372900130812846E-2</v>
      </c>
      <c r="BI149" s="20">
        <f t="shared" si="630"/>
        <v>5.3531419116607741E-2</v>
      </c>
      <c r="BJ149" s="20">
        <f t="shared" si="630"/>
        <v>5.3717133823844077E-2</v>
      </c>
      <c r="BK149" s="20">
        <f t="shared" si="630"/>
        <v>5.2735920774453326E-2</v>
      </c>
      <c r="BL149" s="20">
        <f t="shared" si="630"/>
        <v>4.2377739044700109E-2</v>
      </c>
      <c r="BM149" s="20">
        <f t="shared" si="630"/>
        <v>4.2976176688462979E-2</v>
      </c>
      <c r="BN149" s="20">
        <f t="shared" si="630"/>
        <v>4.7405085927521705E-2</v>
      </c>
      <c r="BO149" s="20">
        <f t="shared" si="630"/>
        <v>4.6532929595503252E-2</v>
      </c>
      <c r="BP149" s="20">
        <f t="shared" ref="BP149:EB149" si="631">BP146/BP50</f>
        <v>4.6521742876889413E-2</v>
      </c>
      <c r="BQ149" s="20">
        <f t="shared" si="631"/>
        <v>5.1348581980564689E-2</v>
      </c>
      <c r="BR149" s="20">
        <f t="shared" si="631"/>
        <v>4.3796171843452206E-2</v>
      </c>
      <c r="BS149" s="20">
        <f t="shared" si="631"/>
        <v>4.2017483164386353E-2</v>
      </c>
      <c r="BT149" s="20">
        <f t="shared" si="631"/>
        <v>5.3246043201305215E-2</v>
      </c>
      <c r="BU149" s="20">
        <f t="shared" si="631"/>
        <v>4.8906644648704187E-2</v>
      </c>
      <c r="BV149" s="20">
        <f t="shared" si="631"/>
        <v>6.1792014656220015E-2</v>
      </c>
      <c r="BW149" s="20">
        <f t="shared" si="631"/>
        <v>6.4234328558199869E-2</v>
      </c>
      <c r="BX149" s="20">
        <f t="shared" si="631"/>
        <v>5.8227211224761662E-2</v>
      </c>
      <c r="BY149" s="20">
        <f t="shared" si="631"/>
        <v>6.6777538083384533E-2</v>
      </c>
      <c r="BZ149" s="20">
        <f t="shared" si="631"/>
        <v>5.3760417916102636E-2</v>
      </c>
      <c r="CA149" s="20">
        <f t="shared" si="631"/>
        <v>5.3088558768650859E-2</v>
      </c>
      <c r="CB149" s="20">
        <f t="shared" si="631"/>
        <v>5.2760638415912907E-2</v>
      </c>
      <c r="CC149" s="20">
        <f t="shared" si="631"/>
        <v>5.7182197351553117E-2</v>
      </c>
      <c r="CD149" s="20">
        <f t="shared" si="631"/>
        <v>5.0148281459929556E-2</v>
      </c>
      <c r="CE149" s="20">
        <f t="shared" si="631"/>
        <v>4.8175144635508732E-2</v>
      </c>
      <c r="CF149" s="20">
        <f t="shared" si="631"/>
        <v>5.8514189342229385E-2</v>
      </c>
      <c r="CG149" s="20">
        <f t="shared" si="631"/>
        <v>5.4150422231689949E-2</v>
      </c>
      <c r="CH149" s="20">
        <f t="shared" si="631"/>
        <v>6.5716705914561413E-2</v>
      </c>
      <c r="CI149" s="20">
        <f t="shared" si="631"/>
        <v>6.7701587954718687E-2</v>
      </c>
      <c r="CJ149" s="20">
        <f t="shared" si="631"/>
        <v>6.1985135407409624E-2</v>
      </c>
      <c r="CK149" s="20">
        <f t="shared" si="631"/>
        <v>6.9381124524482432E-2</v>
      </c>
      <c r="CL149" s="20">
        <f t="shared" ref="CL149:CW149" si="632">CL146/CL50</f>
        <v>5.4956819664291931E-2</v>
      </c>
      <c r="CM149" s="20">
        <f t="shared" si="632"/>
        <v>5.4279395836053859E-2</v>
      </c>
      <c r="CN149" s="20">
        <f t="shared" si="632"/>
        <v>5.3935917242184966E-2</v>
      </c>
      <c r="CO149" s="20">
        <f t="shared" si="632"/>
        <v>5.8075739350651356E-2</v>
      </c>
      <c r="CP149" s="20">
        <f t="shared" si="632"/>
        <v>5.1356360485386346E-2</v>
      </c>
      <c r="CQ149" s="20">
        <f t="shared" si="632"/>
        <v>4.9512561922932803E-2</v>
      </c>
      <c r="CR149" s="20">
        <f t="shared" si="632"/>
        <v>5.9216064862284458E-2</v>
      </c>
      <c r="CS149" s="20">
        <f t="shared" si="632"/>
        <v>5.5073701732577626E-2</v>
      </c>
      <c r="CT149" s="20">
        <f t="shared" si="632"/>
        <v>6.610213658776859E-2</v>
      </c>
      <c r="CU149" s="20">
        <f t="shared" si="632"/>
        <v>6.8006578191300696E-2</v>
      </c>
      <c r="CV149" s="20">
        <f t="shared" si="632"/>
        <v>6.249238022216988E-2</v>
      </c>
      <c r="CW149" s="20">
        <f t="shared" si="632"/>
        <v>6.950227603510023E-2</v>
      </c>
      <c r="CY149" s="20">
        <f t="shared" si="631"/>
        <v>4.5088684140512864E-3</v>
      </c>
      <c r="CZ149" s="20">
        <f t="shared" si="631"/>
        <v>-6.1513202481973369E-3</v>
      </c>
      <c r="DA149" s="20">
        <f t="shared" si="631"/>
        <v>4.7107490385205905E-3</v>
      </c>
      <c r="DB149" s="20">
        <f t="shared" si="631"/>
        <v>3.2896500960657493E-2</v>
      </c>
      <c r="DC149" s="20">
        <f t="shared" si="631"/>
        <v>5.0091940843320408E-2</v>
      </c>
      <c r="DD149" s="20">
        <f t="shared" si="631"/>
        <v>4.8137488482148771E-2</v>
      </c>
      <c r="DE149" s="20">
        <f t="shared" si="631"/>
        <v>6.0723549583252337E-2</v>
      </c>
      <c r="DF149" s="20">
        <f t="shared" si="631"/>
        <v>5.985794801098341E-2</v>
      </c>
      <c r="DG149" s="20">
        <f t="shared" si="631"/>
        <v>5.3770098015563567E-2</v>
      </c>
      <c r="DH149" s="20">
        <f t="shared" si="631"/>
        <v>4.9127299827380982E-2</v>
      </c>
      <c r="DI149" s="20">
        <f t="shared" si="631"/>
        <v>5.2898553233877606E-2</v>
      </c>
      <c r="DJ149" s="20">
        <f t="shared" si="631"/>
        <v>4.6060912233829347E-2</v>
      </c>
      <c r="DK149" s="20">
        <f t="shared" si="631"/>
        <v>4.6821877805926199E-2</v>
      </c>
      <c r="DL149" s="20">
        <f t="shared" si="631"/>
        <v>4.5908835619283384E-2</v>
      </c>
      <c r="DM149" s="20">
        <f t="shared" si="631"/>
        <v>5.5072962487496234E-2</v>
      </c>
      <c r="DN149" s="20">
        <f t="shared" si="631"/>
        <v>6.326939498075744E-2</v>
      </c>
      <c r="DO149" s="20">
        <f t="shared" si="631"/>
        <v>5.3205386753134722E-2</v>
      </c>
      <c r="DP149" s="20">
        <f t="shared" si="631"/>
        <v>5.202054643445319E-2</v>
      </c>
      <c r="DQ149" s="20">
        <f t="shared" si="631"/>
        <v>5.9830685721912046E-2</v>
      </c>
      <c r="DR149" s="20">
        <f t="shared" si="631"/>
        <v>6.6519071764688548E-2</v>
      </c>
      <c r="DS149" s="20">
        <f t="shared" si="631"/>
        <v>5.4393054307931309E-2</v>
      </c>
      <c r="DT149" s="20">
        <f t="shared" si="631"/>
        <v>5.3157592744433331E-2</v>
      </c>
      <c r="DU149" s="20">
        <f t="shared" si="631"/>
        <v>6.0485099014135797E-2</v>
      </c>
      <c r="DV149" s="20">
        <f t="shared" si="631"/>
        <v>6.6822702019502259E-2</v>
      </c>
      <c r="DW149" s="771"/>
      <c r="DX149" s="20">
        <f t="shared" si="631"/>
        <v>8.7483318567208746E-3</v>
      </c>
      <c r="DY149" s="20">
        <f t="shared" si="631"/>
        <v>5.5331511015281165E-2</v>
      </c>
      <c r="DZ149" s="20">
        <f t="shared" si="631"/>
        <v>5.0155961612082051E-2</v>
      </c>
      <c r="EA149" s="20">
        <f t="shared" si="631"/>
        <v>5.3458302317398954E-2</v>
      </c>
      <c r="EB149" s="20">
        <f t="shared" si="631"/>
        <v>5.8419673210971794E-2</v>
      </c>
      <c r="EC149" s="20">
        <f t="shared" ref="EC149" si="633">EC146/EC50</f>
        <v>5.9203066273308867E-2</v>
      </c>
      <c r="ED149" s="771"/>
    </row>
    <row r="150" spans="2:134" x14ac:dyDescent="0.2">
      <c r="B150" s="22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X150" s="19"/>
      <c r="DY150" s="19"/>
      <c r="DZ150" s="19"/>
      <c r="EA150" s="19"/>
      <c r="EB150" s="19"/>
      <c r="EC150" s="770"/>
    </row>
    <row r="151" spans="2:134" x14ac:dyDescent="0.2">
      <c r="B151" s="212" t="s">
        <v>60</v>
      </c>
      <c r="C151" s="199">
        <f>C152+C153</f>
        <v>0</v>
      </c>
      <c r="D151" s="199">
        <f t="shared" ref="D151" si="634">D152+D153</f>
        <v>0</v>
      </c>
      <c r="E151" s="199">
        <f t="shared" ref="E151" si="635">E152+E153</f>
        <v>0</v>
      </c>
      <c r="F151" s="199">
        <f t="shared" ref="F151" si="636">F152+F153</f>
        <v>0</v>
      </c>
      <c r="G151" s="199">
        <f t="shared" ref="G151" si="637">G152+G153</f>
        <v>0</v>
      </c>
      <c r="H151" s="199">
        <f t="shared" ref="H151" si="638">H152+H153</f>
        <v>0</v>
      </c>
      <c r="I151" s="199">
        <f t="shared" ref="I151" si="639">I152+I153</f>
        <v>0</v>
      </c>
      <c r="J151" s="199">
        <f t="shared" ref="J151" si="640">J152+J153</f>
        <v>0</v>
      </c>
      <c r="K151" s="199">
        <f t="shared" ref="K151" si="641">K152+K153</f>
        <v>0</v>
      </c>
      <c r="L151" s="199">
        <f t="shared" ref="L151" si="642">L152+L153</f>
        <v>0</v>
      </c>
      <c r="M151" s="199">
        <f t="shared" ref="M151" si="643">M152+M153</f>
        <v>0</v>
      </c>
      <c r="N151" s="199">
        <f t="shared" ref="N151" si="644">N152+N153</f>
        <v>0</v>
      </c>
      <c r="O151" s="199">
        <f t="shared" ref="O151" si="645">O152+O153</f>
        <v>0</v>
      </c>
      <c r="P151" s="199">
        <f t="shared" ref="P151" si="646">P152+P153</f>
        <v>0</v>
      </c>
      <c r="Q151" s="199">
        <f t="shared" ref="Q151" si="647">Q152+Q153</f>
        <v>0</v>
      </c>
      <c r="R151" s="199">
        <f t="shared" ref="R151" si="648">R152+R153</f>
        <v>0</v>
      </c>
      <c r="S151" s="199">
        <f t="shared" ref="S151" si="649">S152+S153</f>
        <v>0</v>
      </c>
      <c r="T151" s="199">
        <f t="shared" ref="T151" si="650">T152+T153</f>
        <v>0</v>
      </c>
      <c r="U151" s="199">
        <f t="shared" ref="U151" si="651">U152+U153</f>
        <v>0</v>
      </c>
      <c r="V151" s="199">
        <f t="shared" ref="V151" si="652">V152+V153</f>
        <v>0</v>
      </c>
      <c r="W151" s="199">
        <f t="shared" ref="W151" si="653">W152+W153</f>
        <v>0</v>
      </c>
      <c r="X151" s="199">
        <f t="shared" ref="X151" si="654">X152+X153</f>
        <v>0</v>
      </c>
      <c r="Y151" s="199">
        <f t="shared" ref="Y151" si="655">Y152+Y153</f>
        <v>0</v>
      </c>
      <c r="Z151" s="199">
        <f t="shared" ref="Z151" si="656">Z152+Z153</f>
        <v>0</v>
      </c>
      <c r="AA151" s="199">
        <f t="shared" ref="AA151" si="657">AA152+AA153</f>
        <v>0</v>
      </c>
      <c r="AB151" s="199">
        <f t="shared" ref="AB151" si="658">AB152+AB153</f>
        <v>0</v>
      </c>
      <c r="AC151" s="199">
        <f t="shared" ref="AC151" si="659">AC152+AC153</f>
        <v>0</v>
      </c>
      <c r="AD151" s="199">
        <f t="shared" ref="AD151" si="660">AD152+AD153</f>
        <v>33378933.791765206</v>
      </c>
      <c r="AE151" s="199">
        <f t="shared" ref="AE151" si="661">AE152+AE153</f>
        <v>34595401.367821001</v>
      </c>
      <c r="AF151" s="199">
        <f t="shared" ref="AF151" si="662">AF152+AF153</f>
        <v>34413906.72884807</v>
      </c>
      <c r="AG151" s="199">
        <f t="shared" ref="AG151" si="663">AG152+AG153</f>
        <v>34248380.766669109</v>
      </c>
      <c r="AH151" s="199">
        <f t="shared" ref="AH151" si="664">AH152+AH153</f>
        <v>34233417.481300279</v>
      </c>
      <c r="AI151" s="199">
        <f t="shared" ref="AI151" si="665">AI152+AI153</f>
        <v>35074670.679239526</v>
      </c>
      <c r="AJ151" s="199">
        <f t="shared" ref="AJ151" si="666">AJ152+AJ153</f>
        <v>37946990.22451409</v>
      </c>
      <c r="AK151" s="199">
        <f t="shared" ref="AK151" si="667">AK152+AK153</f>
        <v>34040098.497519232</v>
      </c>
      <c r="AL151" s="199">
        <f t="shared" ref="AL151" si="668">AL152+AL153</f>
        <v>32091119.719582617</v>
      </c>
      <c r="AM151" s="199">
        <f t="shared" ref="AM151" si="669">AM152+AM153</f>
        <v>30604224.584655397</v>
      </c>
      <c r="AN151" s="199">
        <f t="shared" ref="AN151" si="670">AN152+AN153</f>
        <v>28925775.568718046</v>
      </c>
      <c r="AO151" s="199">
        <f t="shared" ref="AO151" si="671">AO152+AO153</f>
        <v>31331229.206124462</v>
      </c>
      <c r="AP151" s="199">
        <f t="shared" ref="AP151" si="672">AP152+AP153</f>
        <v>33120403.984108984</v>
      </c>
      <c r="AQ151" s="199">
        <f t="shared" ref="AQ151" si="673">AQ152+AQ153</f>
        <v>33841325.927996784</v>
      </c>
      <c r="AR151" s="199">
        <f t="shared" ref="AR151" si="674">AR152+AR153</f>
        <v>34209665.931241088</v>
      </c>
      <c r="AS151" s="199">
        <f t="shared" ref="AS151" si="675">AS152+AS153</f>
        <v>34164909.304131389</v>
      </c>
      <c r="AT151" s="199">
        <f t="shared" ref="AT151" si="676">AT152+AT153</f>
        <v>34491791.366576917</v>
      </c>
      <c r="AU151" s="199">
        <f t="shared" ref="AU151" si="677">AU152+AU153</f>
        <v>34133209.824576914</v>
      </c>
      <c r="AV151" s="199">
        <f t="shared" ref="AV151" si="678">AV152+AV153</f>
        <v>37694449.800825752</v>
      </c>
      <c r="AW151" s="199">
        <f t="shared" ref="AW151" si="679">AW152+AW153</f>
        <v>35845554.266429484</v>
      </c>
      <c r="AX151" s="199">
        <f t="shared" ref="AX151" si="680">AX152+AX153</f>
        <v>37136512.578796104</v>
      </c>
      <c r="AY151" s="199">
        <f t="shared" ref="AY151" si="681">AY152+AY153</f>
        <v>37334882.309944242</v>
      </c>
      <c r="AZ151" s="199">
        <f t="shared" ref="AZ151" si="682">AZ152+AZ153</f>
        <v>36035895.84569414</v>
      </c>
      <c r="BA151" s="199">
        <f t="shared" ref="BA151" si="683">BA152+BA153</f>
        <v>39710534.109620854</v>
      </c>
      <c r="BB151" s="199">
        <f t="shared" ref="BB151" si="684">BB152+BB153</f>
        <v>35981048.019093469</v>
      </c>
      <c r="BC151" s="199">
        <f t="shared" ref="BC151" si="685">BC152+BC153</f>
        <v>34770834.090680599</v>
      </c>
      <c r="BD151" s="199">
        <f t="shared" ref="BD151" si="686">BD152+BD153</f>
        <v>35043403.838559054</v>
      </c>
      <c r="BE151" s="199">
        <f t="shared" ref="BE151" si="687">BE152+BE153</f>
        <v>34704549.266413495</v>
      </c>
      <c r="BF151" s="199">
        <f t="shared" ref="BF151" si="688">BF152+BF153</f>
        <v>34562913.293633409</v>
      </c>
      <c r="BG151" s="199">
        <f t="shared" ref="BG151" si="689">BG152+BG153</f>
        <v>36077463.026007622</v>
      </c>
      <c r="BH151" s="199">
        <f t="shared" ref="BH151" si="690">BH152+BH153</f>
        <v>39574651.216700837</v>
      </c>
      <c r="BI151" s="199">
        <f t="shared" ref="BI151" si="691">BI152+BI153</f>
        <v>36076529.506491475</v>
      </c>
      <c r="BJ151" s="199">
        <f t="shared" ref="BJ151" si="692">BJ152+BJ153</f>
        <v>36443022.822318494</v>
      </c>
      <c r="BK151" s="199">
        <f t="shared" ref="BK151" si="693">BK152+BK153</f>
        <v>39028085.777934</v>
      </c>
      <c r="BL151" s="199">
        <f t="shared" ref="BL151" si="694">BL152+BL153</f>
        <v>37949443.999810614</v>
      </c>
      <c r="BM151" s="199">
        <f t="shared" ref="BM151" si="695">BM152+BM153</f>
        <v>40460811.214326322</v>
      </c>
      <c r="BN151" s="199">
        <f t="shared" ref="BN151" si="696">BN152+BN153</f>
        <v>42483851.775042646</v>
      </c>
      <c r="BO151" s="199">
        <f t="shared" ref="BO151" si="697">BO152+BO153</f>
        <v>42483851.775042646</v>
      </c>
      <c r="BP151" s="199">
        <f t="shared" ref="BP151" si="698">BP152+BP153</f>
        <v>42483851.775042646</v>
      </c>
      <c r="BQ151" s="199">
        <f t="shared" ref="BQ151" si="699">BQ152+BQ153</f>
        <v>42483851.775042646</v>
      </c>
      <c r="BR151" s="199">
        <f t="shared" ref="BR151" si="700">BR152+BR153</f>
        <v>42483851.775042646</v>
      </c>
      <c r="BS151" s="199">
        <f t="shared" ref="BS151" si="701">BS152+BS153</f>
        <v>42483851.775042646</v>
      </c>
      <c r="BT151" s="199">
        <f t="shared" ref="BT151" si="702">BT152+BT153</f>
        <v>42483851.775042646</v>
      </c>
      <c r="BU151" s="199">
        <f t="shared" ref="BU151" si="703">BU152+BU153</f>
        <v>42483851.775042646</v>
      </c>
      <c r="BV151" s="199">
        <f t="shared" ref="BV151" si="704">BV152+BV153</f>
        <v>42483851.775042646</v>
      </c>
      <c r="BW151" s="199">
        <f t="shared" ref="BW151" si="705">BW152+BW153</f>
        <v>42483851.775042646</v>
      </c>
      <c r="BX151" s="199">
        <f t="shared" ref="BX151" si="706">BX152+BX153</f>
        <v>42483851.775042646</v>
      </c>
      <c r="BY151" s="199">
        <f t="shared" ref="BY151" si="707">BY152+BY153</f>
        <v>42483851.775042646</v>
      </c>
      <c r="BZ151" s="199">
        <f t="shared" ref="BZ151" si="708">BZ152+BZ153</f>
        <v>44608044.363794774</v>
      </c>
      <c r="CA151" s="199">
        <f t="shared" ref="CA151" si="709">CA152+CA153</f>
        <v>44608044.363794774</v>
      </c>
      <c r="CB151" s="199">
        <f t="shared" ref="CB151" si="710">CB152+CB153</f>
        <v>44608044.363794774</v>
      </c>
      <c r="CC151" s="199">
        <f t="shared" ref="CC151" si="711">CC152+CC153</f>
        <v>44608044.363794774</v>
      </c>
      <c r="CD151" s="199">
        <f t="shared" ref="CD151" si="712">CD152+CD153</f>
        <v>44608044.363794774</v>
      </c>
      <c r="CE151" s="199">
        <f t="shared" ref="CE151" si="713">CE152+CE153</f>
        <v>44608044.363794774</v>
      </c>
      <c r="CF151" s="199">
        <f t="shared" ref="CF151" si="714">CF152+CF153</f>
        <v>44608044.363794774</v>
      </c>
      <c r="CG151" s="199">
        <f t="shared" ref="CG151" si="715">CG152+CG153</f>
        <v>44608044.363794774</v>
      </c>
      <c r="CH151" s="199">
        <f t="shared" ref="CH151" si="716">CH152+CH153</f>
        <v>44608044.363794774</v>
      </c>
      <c r="CI151" s="199">
        <f t="shared" ref="CI151" si="717">CI152+CI153</f>
        <v>44608044.363794774</v>
      </c>
      <c r="CJ151" s="199">
        <f t="shared" ref="CJ151" si="718">CJ152+CJ153</f>
        <v>44608044.363794774</v>
      </c>
      <c r="CK151" s="199">
        <f t="shared" ref="CK151:CW151" si="719">CK152+CK153</f>
        <v>44608044.363794774</v>
      </c>
      <c r="CL151" s="199">
        <f t="shared" si="719"/>
        <v>46838446.58198452</v>
      </c>
      <c r="CM151" s="199">
        <f t="shared" si="719"/>
        <v>46838446.58198452</v>
      </c>
      <c r="CN151" s="199">
        <f t="shared" si="719"/>
        <v>46838446.58198452</v>
      </c>
      <c r="CO151" s="199">
        <f t="shared" si="719"/>
        <v>46838446.58198452</v>
      </c>
      <c r="CP151" s="199">
        <f t="shared" si="719"/>
        <v>46838446.58198452</v>
      </c>
      <c r="CQ151" s="199">
        <f t="shared" si="719"/>
        <v>46838446.58198452</v>
      </c>
      <c r="CR151" s="199">
        <f t="shared" si="719"/>
        <v>46838446.58198452</v>
      </c>
      <c r="CS151" s="199">
        <f t="shared" si="719"/>
        <v>46838446.58198452</v>
      </c>
      <c r="CT151" s="199">
        <f t="shared" si="719"/>
        <v>46838446.58198452</v>
      </c>
      <c r="CU151" s="199">
        <f t="shared" si="719"/>
        <v>46838446.58198452</v>
      </c>
      <c r="CV151" s="199">
        <f t="shared" si="719"/>
        <v>46838446.58198452</v>
      </c>
      <c r="CW151" s="199">
        <f t="shared" si="719"/>
        <v>46838446.58198452</v>
      </c>
      <c r="CY151" s="199">
        <f>SUM(AD151:AF151)</f>
        <v>102388241.88843428</v>
      </c>
      <c r="CZ151" s="199">
        <f>SUM(AG151:AI151)</f>
        <v>103556468.92720892</v>
      </c>
      <c r="DA151" s="199">
        <f>SUM(AJ151:AL151)</f>
        <v>104078208.44161594</v>
      </c>
      <c r="DB151" s="199">
        <f>SUM(AM151:AO151)</f>
        <v>90861229.359497905</v>
      </c>
      <c r="DC151" s="199">
        <f>SUM(AP151:AR151)</f>
        <v>101171395.84334686</v>
      </c>
      <c r="DD151" s="199">
        <f>SUM(AS151:AU151)</f>
        <v>102789910.49528521</v>
      </c>
      <c r="DE151" s="199">
        <f>SUM(AV151:AX151)</f>
        <v>110676516.64605133</v>
      </c>
      <c r="DF151" s="199">
        <f>SUM(AY151:BA151)</f>
        <v>113081312.26525924</v>
      </c>
      <c r="DG151" s="199">
        <f>SUM(BB151:BD151)</f>
        <v>105795285.94833311</v>
      </c>
      <c r="DH151" s="199">
        <f>SUM(BE151:BG151)</f>
        <v>105344925.58605453</v>
      </c>
      <c r="DI151" s="199">
        <f>SUM(BH151:BJ151)</f>
        <v>112094203.5455108</v>
      </c>
      <c r="DJ151" s="199">
        <f>SUM(BK151:BM151)</f>
        <v>117438340.99207094</v>
      </c>
      <c r="DK151" s="199">
        <f>SUM(BN151:BP151)</f>
        <v>127451555.32512793</v>
      </c>
      <c r="DL151" s="199">
        <f>SUM(BQ151:BS151)</f>
        <v>127451555.32512793</v>
      </c>
      <c r="DM151" s="199">
        <f>SUM(BT151:BV151)</f>
        <v>127451555.32512793</v>
      </c>
      <c r="DN151" s="199">
        <f>SUM(BW151:BY151)</f>
        <v>127451555.32512793</v>
      </c>
      <c r="DO151" s="199">
        <f>SUM(BZ151:CB151)</f>
        <v>133824133.09138432</v>
      </c>
      <c r="DP151" s="199">
        <f>SUM(CC151:CE151)</f>
        <v>133824133.09138432</v>
      </c>
      <c r="DQ151" s="199">
        <f>SUM(CF151:CH151)</f>
        <v>133824133.09138432</v>
      </c>
      <c r="DR151" s="199">
        <f>SUM(CI151:CK151)</f>
        <v>133824133.09138432</v>
      </c>
      <c r="DS151" s="199">
        <f t="shared" si="499"/>
        <v>140515339.74595356</v>
      </c>
      <c r="DT151" s="199">
        <f t="shared" si="500"/>
        <v>140515339.74595356</v>
      </c>
      <c r="DU151" s="199">
        <f t="shared" si="501"/>
        <v>140515339.74595356</v>
      </c>
      <c r="DV151" s="199">
        <f t="shared" si="502"/>
        <v>140515339.74595356</v>
      </c>
      <c r="DX151" s="199">
        <f t="shared" ref="DX151:DX153" si="720">SUM(CY151:DB151)</f>
        <v>400884148.61675704</v>
      </c>
      <c r="DY151" s="199">
        <f t="shared" ref="DY151:DY153" si="721">SUM(DC151:DF151)</f>
        <v>427719135.24994266</v>
      </c>
      <c r="DZ151" s="199">
        <f t="shared" ref="DZ151:DZ153" si="722">SUM(DG151:DJ151)</f>
        <v>440672756.07196939</v>
      </c>
      <c r="EA151" s="199">
        <f t="shared" ref="EA151:EA153" si="723">SUM(DK151:DN151)</f>
        <v>509806221.30051172</v>
      </c>
      <c r="EB151" s="199">
        <f t="shared" ref="EB151:EB153" si="724">SUM(DO151:DR151)</f>
        <v>535296532.36553729</v>
      </c>
      <c r="EC151" s="810">
        <f t="shared" si="503"/>
        <v>562061358.98381424</v>
      </c>
    </row>
    <row r="152" spans="2:134" x14ac:dyDescent="0.2">
      <c r="B152" s="155" t="s">
        <v>229</v>
      </c>
      <c r="C152" s="19">
        <f>'D2C - Retail'!J170</f>
        <v>0</v>
      </c>
      <c r="D152" s="19">
        <f>'D2C - Retail'!K170</f>
        <v>0</v>
      </c>
      <c r="E152" s="19">
        <f>'D2C - Retail'!L170</f>
        <v>0</v>
      </c>
      <c r="F152" s="19">
        <f>'D2C - Retail'!M170</f>
        <v>0</v>
      </c>
      <c r="G152" s="19">
        <f>'D2C - Retail'!N170</f>
        <v>0</v>
      </c>
      <c r="H152" s="19">
        <f>'D2C - Retail'!O170</f>
        <v>0</v>
      </c>
      <c r="I152" s="19">
        <f>'D2C - Retail'!P170</f>
        <v>0</v>
      </c>
      <c r="J152" s="19">
        <f>'D2C - Retail'!Q170</f>
        <v>0</v>
      </c>
      <c r="K152" s="19">
        <f>'D2C - Retail'!R170</f>
        <v>0</v>
      </c>
      <c r="L152" s="19">
        <f>'D2C - Retail'!S170</f>
        <v>0</v>
      </c>
      <c r="M152" s="19">
        <f>'D2C - Retail'!T170</f>
        <v>0</v>
      </c>
      <c r="N152" s="19">
        <f>'D2C - Retail'!U170</f>
        <v>0</v>
      </c>
      <c r="O152" s="19">
        <f>'D2C - Retail'!V170</f>
        <v>0</v>
      </c>
      <c r="P152" s="19">
        <f>'D2C - Retail'!W170</f>
        <v>0</v>
      </c>
      <c r="Q152" s="19">
        <f>'D2C - Retail'!X170</f>
        <v>0</v>
      </c>
      <c r="R152" s="19">
        <f>'D2C - Retail'!Y170</f>
        <v>0</v>
      </c>
      <c r="S152" s="19">
        <f>'D2C - Retail'!Z170</f>
        <v>0</v>
      </c>
      <c r="T152" s="19">
        <f>'D2C - Retail'!AA170</f>
        <v>0</v>
      </c>
      <c r="U152" s="19">
        <f>'D2C - Retail'!AB170</f>
        <v>0</v>
      </c>
      <c r="V152" s="19">
        <f>'D2C - Retail'!AC170</f>
        <v>0</v>
      </c>
      <c r="W152" s="19">
        <f>'D2C - Retail'!AD170</f>
        <v>0</v>
      </c>
      <c r="X152" s="19">
        <f>'D2C - Retail'!AE170</f>
        <v>0</v>
      </c>
      <c r="Y152" s="19">
        <f>'D2C - Retail'!AF170</f>
        <v>0</v>
      </c>
      <c r="Z152" s="19">
        <f>'D2C - Retail'!AG170</f>
        <v>0</v>
      </c>
      <c r="AA152" s="19">
        <f>'D2C - Retail'!AH170</f>
        <v>0</v>
      </c>
      <c r="AB152" s="19">
        <f>'D2C - Retail'!AI170</f>
        <v>0</v>
      </c>
      <c r="AC152" s="19">
        <f>'D2C - Retail'!AJ170</f>
        <v>0</v>
      </c>
      <c r="AD152" s="19">
        <f>'D2C - Retail'!AK170</f>
        <v>19045908.039529681</v>
      </c>
      <c r="AE152" s="19">
        <f>'D2C - Retail'!AL170</f>
        <v>18594527.312316075</v>
      </c>
      <c r="AF152" s="19">
        <f>'D2C - Retail'!AM170</f>
        <v>17196719.551983632</v>
      </c>
      <c r="AG152" s="19">
        <f>'D2C - Retail'!AN170</f>
        <v>16734158.254174411</v>
      </c>
      <c r="AH152" s="19">
        <f>'D2C - Retail'!AO170</f>
        <v>16371865.15581014</v>
      </c>
      <c r="AI152" s="19">
        <f>'D2C - Retail'!AP170</f>
        <v>16767992.866612013</v>
      </c>
      <c r="AJ152" s="19">
        <f>'D2C - Retail'!AQ170</f>
        <v>17179798.172649235</v>
      </c>
      <c r="AK152" s="19">
        <f>'D2C - Retail'!AR170</f>
        <v>17020049.248759616</v>
      </c>
      <c r="AL152" s="19">
        <f>'D2C - Retail'!AS170</f>
        <v>16045559.859791309</v>
      </c>
      <c r="AM152" s="19">
        <f>'D2C - Retail'!AT170</f>
        <v>15302112.292327698</v>
      </c>
      <c r="AN152" s="19">
        <f>'D2C - Retail'!AU170</f>
        <v>14462887.784359023</v>
      </c>
      <c r="AO152" s="19">
        <f>'D2C - Retail'!AV170</f>
        <v>15665614.603062231</v>
      </c>
      <c r="AP152" s="19">
        <f>'D2C - Retail'!AW170</f>
        <v>16560201.992054492</v>
      </c>
      <c r="AQ152" s="19">
        <f>'D2C - Retail'!AX170</f>
        <v>16920662.963998392</v>
      </c>
      <c r="AR152" s="19">
        <f>'D2C - Retail'!AY170</f>
        <v>17104832.965620544</v>
      </c>
      <c r="AS152" s="19">
        <f>'D2C - Retail'!AZ170</f>
        <v>17082454.652065694</v>
      </c>
      <c r="AT152" s="19">
        <f>'D2C - Retail'!BA170</f>
        <v>17245895.683288459</v>
      </c>
      <c r="AU152" s="19">
        <f>'D2C - Retail'!BB170</f>
        <v>17066604.912288457</v>
      </c>
      <c r="AV152" s="19">
        <f>'D2C - Retail'!BC170</f>
        <v>18847224.900412876</v>
      </c>
      <c r="AW152" s="19">
        <f>'D2C - Retail'!BD170</f>
        <v>17922777.133214742</v>
      </c>
      <c r="AX152" s="19">
        <f>'D2C - Retail'!BE170</f>
        <v>18568256.289398052</v>
      </c>
      <c r="AY152" s="19">
        <f>'D2C - Retail'!BF170</f>
        <v>18667441.154972121</v>
      </c>
      <c r="AZ152" s="19">
        <f>'D2C - Retail'!BG170</f>
        <v>18017947.92284707</v>
      </c>
      <c r="BA152" s="19">
        <f>'D2C - Retail'!BH170</f>
        <v>19855267.054810427</v>
      </c>
      <c r="BB152" s="19">
        <f>'D2C - Retail'!BI170</f>
        <v>17123056.394830644</v>
      </c>
      <c r="BC152" s="19">
        <f>'D2C - Retail'!BJ170</f>
        <v>16023017.481309216</v>
      </c>
      <c r="BD152" s="19">
        <f>'D2C - Retail'!BK170</f>
        <v>16152730.967196869</v>
      </c>
      <c r="BE152" s="19">
        <f>'D2C - Retail'!BL170</f>
        <v>15991473.130976655</v>
      </c>
      <c r="BF152" s="19">
        <f>'D2C - Retail'!BM170</f>
        <v>15924069.848332882</v>
      </c>
      <c r="BG152" s="19">
        <f>'D2C - Retail'!BN170</f>
        <v>16644830.41279608</v>
      </c>
      <c r="BH152" s="19">
        <f>'D2C - Retail'!BO170</f>
        <v>18309110.746731848</v>
      </c>
      <c r="BI152" s="19">
        <f>'D2C - Retail'!BP170</f>
        <v>16644386.159273721</v>
      </c>
      <c r="BJ152" s="19">
        <f>'D2C - Retail'!BQ170</f>
        <v>16818797.024457648</v>
      </c>
      <c r="BK152" s="19">
        <f>'D2C - Retail'!BR170</f>
        <v>18049005.181532536</v>
      </c>
      <c r="BL152" s="19">
        <f>'D2C - Retail'!BS170</f>
        <v>17535689.282928742</v>
      </c>
      <c r="BM152" s="19">
        <f>'D2C - Retail'!BT170</f>
        <v>18730826.301157393</v>
      </c>
      <c r="BN152" s="19">
        <f>'D2C - Retail'!BU170</f>
        <v>19667367.616215266</v>
      </c>
      <c r="BO152" s="19">
        <f>'D2C - Retail'!BV170</f>
        <v>19667367.616215266</v>
      </c>
      <c r="BP152" s="19">
        <f>'D2C - Retail'!BW170</f>
        <v>19667367.616215266</v>
      </c>
      <c r="BQ152" s="19">
        <f>'D2C - Retail'!BX170</f>
        <v>19667367.616215266</v>
      </c>
      <c r="BR152" s="19">
        <f>'D2C - Retail'!BY170</f>
        <v>19667367.616215266</v>
      </c>
      <c r="BS152" s="19">
        <f>'D2C - Retail'!BZ170</f>
        <v>19667367.616215266</v>
      </c>
      <c r="BT152" s="19">
        <f>'D2C - Retail'!CA170</f>
        <v>19667367.616215266</v>
      </c>
      <c r="BU152" s="19">
        <f>'D2C - Retail'!CB170</f>
        <v>19667367.616215266</v>
      </c>
      <c r="BV152" s="19">
        <f>'D2C - Retail'!CC170</f>
        <v>19667367.616215266</v>
      </c>
      <c r="BW152" s="19">
        <f>'D2C - Retail'!CD170</f>
        <v>19667367.616215266</v>
      </c>
      <c r="BX152" s="19">
        <f>'D2C - Retail'!CE170</f>
        <v>19667367.616215266</v>
      </c>
      <c r="BY152" s="19">
        <f>'D2C - Retail'!CF170</f>
        <v>19667367.616215266</v>
      </c>
      <c r="BZ152" s="19">
        <f>'D2C - Retail'!CG170</f>
        <v>20650735.99702603</v>
      </c>
      <c r="CA152" s="19">
        <f>'D2C - Retail'!CH170</f>
        <v>20650735.99702603</v>
      </c>
      <c r="CB152" s="19">
        <f>'D2C - Retail'!CI170</f>
        <v>20650735.99702603</v>
      </c>
      <c r="CC152" s="19">
        <f>'D2C - Retail'!CJ170</f>
        <v>20650735.99702603</v>
      </c>
      <c r="CD152" s="19">
        <f>'D2C - Retail'!CK170</f>
        <v>20650735.99702603</v>
      </c>
      <c r="CE152" s="19">
        <f>'D2C - Retail'!CL170</f>
        <v>20650735.99702603</v>
      </c>
      <c r="CF152" s="19">
        <f>'D2C - Retail'!CM170</f>
        <v>20650735.99702603</v>
      </c>
      <c r="CG152" s="19">
        <f>'D2C - Retail'!CN170</f>
        <v>20650735.99702603</v>
      </c>
      <c r="CH152" s="19">
        <f>'D2C - Retail'!CO170</f>
        <v>20650735.99702603</v>
      </c>
      <c r="CI152" s="19">
        <f>'D2C - Retail'!CP170</f>
        <v>20650735.99702603</v>
      </c>
      <c r="CJ152" s="19">
        <f>'D2C - Retail'!CQ170</f>
        <v>20650735.99702603</v>
      </c>
      <c r="CK152" s="19">
        <f>'D2C - Retail'!CR170</f>
        <v>20650735.99702603</v>
      </c>
      <c r="CL152" s="19">
        <f>'D2C - Retail'!CS170</f>
        <v>21683272.796877332</v>
      </c>
      <c r="CM152" s="19">
        <f>'D2C - Retail'!CT170</f>
        <v>21683272.796877332</v>
      </c>
      <c r="CN152" s="19">
        <f>'D2C - Retail'!CU170</f>
        <v>21683272.796877332</v>
      </c>
      <c r="CO152" s="19">
        <f>'D2C - Retail'!CV170</f>
        <v>21683272.796877332</v>
      </c>
      <c r="CP152" s="19">
        <f>'D2C - Retail'!CW170</f>
        <v>21683272.796877332</v>
      </c>
      <c r="CQ152" s="19">
        <f>'D2C - Retail'!CX170</f>
        <v>21683272.796877332</v>
      </c>
      <c r="CR152" s="19">
        <f>'D2C - Retail'!CY170</f>
        <v>21683272.796877332</v>
      </c>
      <c r="CS152" s="19">
        <f>'D2C - Retail'!CZ170</f>
        <v>21683272.796877332</v>
      </c>
      <c r="CT152" s="19">
        <f>'D2C - Retail'!DA170</f>
        <v>21683272.796877332</v>
      </c>
      <c r="CU152" s="19">
        <f>'D2C - Retail'!DB170</f>
        <v>21683272.796877332</v>
      </c>
      <c r="CV152" s="19">
        <f>'D2C - Retail'!DC170</f>
        <v>21683272.796877332</v>
      </c>
      <c r="CW152" s="19">
        <f>'D2C - Retail'!DD170</f>
        <v>21683272.796877332</v>
      </c>
      <c r="CY152" s="232">
        <f>SUM(AD152:AF152)</f>
        <v>54837154.903829388</v>
      </c>
      <c r="CZ152" s="232">
        <f>SUM(AG152:AI152)</f>
        <v>49874016.276596561</v>
      </c>
      <c r="DA152" s="232">
        <f>SUM(AJ152:AL152)</f>
        <v>50245407.281200156</v>
      </c>
      <c r="DB152" s="232">
        <f>SUM(AM152:AO152)</f>
        <v>45430614.679748952</v>
      </c>
      <c r="DC152" s="232">
        <f>SUM(AP152:AR152)</f>
        <v>50585697.921673432</v>
      </c>
      <c r="DD152" s="232">
        <f>SUM(AS152:AU152)</f>
        <v>51394955.247642606</v>
      </c>
      <c r="DE152" s="232">
        <f>SUM(AV152:AX152)</f>
        <v>55338258.323025666</v>
      </c>
      <c r="DF152" s="232">
        <f>SUM(AY152:BA152)</f>
        <v>56540656.132629618</v>
      </c>
      <c r="DG152" s="232">
        <f>SUM(BB152:BD152)</f>
        <v>49298804.843336731</v>
      </c>
      <c r="DH152" s="232">
        <f>SUM(BE152:BG152)</f>
        <v>48560373.392105617</v>
      </c>
      <c r="DI152" s="232">
        <f>SUM(BH152:BJ152)</f>
        <v>51772293.930463217</v>
      </c>
      <c r="DJ152" s="232">
        <f>SUM(BK152:BM152)</f>
        <v>54315520.765618674</v>
      </c>
      <c r="DK152" s="232">
        <f>SUM(BN152:BP152)</f>
        <v>59002102.848645799</v>
      </c>
      <c r="DL152" s="232">
        <f>SUM(BQ152:BS152)</f>
        <v>59002102.848645799</v>
      </c>
      <c r="DM152" s="232">
        <f>SUM(BT152:BV152)</f>
        <v>59002102.848645799</v>
      </c>
      <c r="DN152" s="232">
        <f>SUM(BW152:BY152)</f>
        <v>59002102.848645799</v>
      </c>
      <c r="DO152" s="232">
        <f>SUM(BZ152:CB152)</f>
        <v>61952207.991078094</v>
      </c>
      <c r="DP152" s="232">
        <f>SUM(CC152:CE152)</f>
        <v>61952207.991078094</v>
      </c>
      <c r="DQ152" s="232">
        <f>SUM(CF152:CH152)</f>
        <v>61952207.991078094</v>
      </c>
      <c r="DR152" s="232">
        <f>SUM(CI152:CK152)</f>
        <v>61952207.991078094</v>
      </c>
      <c r="DS152" s="232">
        <f t="shared" si="499"/>
        <v>65049818.390631996</v>
      </c>
      <c r="DT152" s="232">
        <f t="shared" si="500"/>
        <v>65049818.390631996</v>
      </c>
      <c r="DU152" s="232">
        <f t="shared" si="501"/>
        <v>65049818.390631996</v>
      </c>
      <c r="DV152" s="232">
        <f t="shared" si="502"/>
        <v>65049818.390631996</v>
      </c>
      <c r="DX152" s="213">
        <f t="shared" si="720"/>
        <v>200387193.14137506</v>
      </c>
      <c r="DY152" s="213">
        <f t="shared" si="721"/>
        <v>213859567.62497133</v>
      </c>
      <c r="DZ152" s="213">
        <f t="shared" si="722"/>
        <v>203946992.93152425</v>
      </c>
      <c r="EA152" s="213">
        <f t="shared" si="723"/>
        <v>236008411.3945832</v>
      </c>
      <c r="EB152" s="213">
        <f t="shared" si="724"/>
        <v>247808831.96431237</v>
      </c>
      <c r="EC152" s="772">
        <f t="shared" si="503"/>
        <v>260199273.56252798</v>
      </c>
    </row>
    <row r="153" spans="2:134" x14ac:dyDescent="0.2">
      <c r="B153" s="155" t="s">
        <v>237</v>
      </c>
      <c r="C153" s="19">
        <f>'D2C Online'!AA156</f>
        <v>0</v>
      </c>
      <c r="D153" s="19">
        <f>'D2C Online'!AB156</f>
        <v>0</v>
      </c>
      <c r="E153" s="19">
        <f>'D2C Online'!AC156</f>
        <v>0</v>
      </c>
      <c r="F153" s="19">
        <f>'D2C Online'!AD156</f>
        <v>0</v>
      </c>
      <c r="G153" s="19">
        <f>'D2C Online'!AE156</f>
        <v>0</v>
      </c>
      <c r="H153" s="19">
        <f>'D2C Online'!AF156</f>
        <v>0</v>
      </c>
      <c r="I153" s="19">
        <f>'D2C Online'!AG156</f>
        <v>0</v>
      </c>
      <c r="J153" s="19">
        <f>'D2C Online'!AH156</f>
        <v>0</v>
      </c>
      <c r="K153" s="19">
        <f>'D2C Online'!AI156</f>
        <v>0</v>
      </c>
      <c r="L153" s="19">
        <f>'D2C Online'!AJ156</f>
        <v>0</v>
      </c>
      <c r="M153" s="19">
        <f>'D2C Online'!AK156</f>
        <v>0</v>
      </c>
      <c r="N153" s="19">
        <f>'D2C Online'!AL156</f>
        <v>0</v>
      </c>
      <c r="O153" s="19">
        <f>'D2C Online'!AM156</f>
        <v>0</v>
      </c>
      <c r="P153" s="19">
        <f>'D2C Online'!AN156</f>
        <v>0</v>
      </c>
      <c r="Q153" s="19">
        <f>'D2C Online'!AO156</f>
        <v>0</v>
      </c>
      <c r="R153" s="19">
        <f>'D2C Online'!AP156</f>
        <v>0</v>
      </c>
      <c r="S153" s="19">
        <f>'D2C Online'!AQ156</f>
        <v>0</v>
      </c>
      <c r="T153" s="19">
        <f>'D2C Online'!AR156</f>
        <v>0</v>
      </c>
      <c r="U153" s="19">
        <f>'D2C Online'!AS156</f>
        <v>0</v>
      </c>
      <c r="V153" s="19">
        <f>'D2C Online'!AT156</f>
        <v>0</v>
      </c>
      <c r="W153" s="19">
        <f>'D2C Online'!AU156</f>
        <v>0</v>
      </c>
      <c r="X153" s="19">
        <f>'D2C Online'!AV156</f>
        <v>0</v>
      </c>
      <c r="Y153" s="19">
        <f>'D2C Online'!AW156</f>
        <v>0</v>
      </c>
      <c r="Z153" s="19">
        <f>'D2C Online'!AX156</f>
        <v>0</v>
      </c>
      <c r="AA153" s="19">
        <f>'D2C Online'!AY156</f>
        <v>0</v>
      </c>
      <c r="AB153" s="19">
        <f>'D2C Online'!AZ156</f>
        <v>0</v>
      </c>
      <c r="AC153" s="19">
        <f>'D2C Online'!BA156</f>
        <v>0</v>
      </c>
      <c r="AD153" s="19">
        <f>'D2C Online'!BB156</f>
        <v>14333025.752235526</v>
      </c>
      <c r="AE153" s="19">
        <f>'D2C Online'!BC156</f>
        <v>16000874.055504926</v>
      </c>
      <c r="AF153" s="19">
        <f>'D2C Online'!BD156</f>
        <v>17217187.176864438</v>
      </c>
      <c r="AG153" s="19">
        <f>'D2C Online'!BE156</f>
        <v>17514222.512494698</v>
      </c>
      <c r="AH153" s="19">
        <f>'D2C Online'!BF156</f>
        <v>17861552.325490139</v>
      </c>
      <c r="AI153" s="19">
        <f>'D2C Online'!BG156</f>
        <v>18306677.812627513</v>
      </c>
      <c r="AJ153" s="19">
        <f>'D2C Online'!BH156</f>
        <v>20767192.051864855</v>
      </c>
      <c r="AK153" s="19">
        <f>'D2C Online'!BI156</f>
        <v>17020049.248759616</v>
      </c>
      <c r="AL153" s="19">
        <f>'D2C Online'!BJ156</f>
        <v>16045559.859791309</v>
      </c>
      <c r="AM153" s="19">
        <f>'D2C Online'!BK156</f>
        <v>15302112.292327698</v>
      </c>
      <c r="AN153" s="19">
        <f>'D2C Online'!BL156</f>
        <v>14462887.784359023</v>
      </c>
      <c r="AO153" s="19">
        <f>'D2C Online'!BM156</f>
        <v>15665614.603062231</v>
      </c>
      <c r="AP153" s="19">
        <f>'D2C Online'!BN156</f>
        <v>16560201.992054492</v>
      </c>
      <c r="AQ153" s="19">
        <f>'D2C Online'!BO156</f>
        <v>16920662.963998392</v>
      </c>
      <c r="AR153" s="19">
        <f>'D2C Online'!BP156</f>
        <v>17104832.965620544</v>
      </c>
      <c r="AS153" s="19">
        <f>'D2C Online'!BQ156</f>
        <v>17082454.652065694</v>
      </c>
      <c r="AT153" s="19">
        <f>'D2C Online'!BR156</f>
        <v>17245895.683288459</v>
      </c>
      <c r="AU153" s="19">
        <f>'D2C Online'!BS156</f>
        <v>17066604.912288457</v>
      </c>
      <c r="AV153" s="19">
        <f>'D2C Online'!BT156</f>
        <v>18847224.900412876</v>
      </c>
      <c r="AW153" s="19">
        <f>'D2C Online'!BU156</f>
        <v>17922777.133214742</v>
      </c>
      <c r="AX153" s="19">
        <f>'D2C Online'!BV156</f>
        <v>18568256.289398052</v>
      </c>
      <c r="AY153" s="19">
        <f>'D2C Online'!BW156</f>
        <v>18667441.154972121</v>
      </c>
      <c r="AZ153" s="19">
        <f>'D2C Online'!BX156</f>
        <v>18017947.92284707</v>
      </c>
      <c r="BA153" s="19">
        <f>'D2C Online'!BY156</f>
        <v>19855267.054810427</v>
      </c>
      <c r="BB153" s="19">
        <f>'D2C Online'!BZ156</f>
        <v>18857991.624262821</v>
      </c>
      <c r="BC153" s="19">
        <f>'D2C Online'!CA156</f>
        <v>18747816.609371383</v>
      </c>
      <c r="BD153" s="19">
        <f>'D2C Online'!CB156</f>
        <v>18890672.871362187</v>
      </c>
      <c r="BE153" s="19">
        <f>'D2C Online'!CC156</f>
        <v>18713076.13543684</v>
      </c>
      <c r="BF153" s="19">
        <f>'D2C Online'!CD156</f>
        <v>18638843.445300527</v>
      </c>
      <c r="BG153" s="19">
        <f>'D2C Online'!CE156</f>
        <v>19432632.613211539</v>
      </c>
      <c r="BH153" s="19">
        <f>'D2C Online'!CF156</f>
        <v>21265540.469968993</v>
      </c>
      <c r="BI153" s="19">
        <f>'D2C Online'!CG156</f>
        <v>19432143.347217754</v>
      </c>
      <c r="BJ153" s="19">
        <f>'D2C Online'!CH156</f>
        <v>19624225.797860842</v>
      </c>
      <c r="BK153" s="19">
        <f>'D2C Online'!CI156</f>
        <v>20979080.596401468</v>
      </c>
      <c r="BL153" s="19">
        <f>'D2C Online'!CJ156</f>
        <v>20413754.716881871</v>
      </c>
      <c r="BM153" s="19">
        <f>'D2C Online'!CK156</f>
        <v>21729984.913168933</v>
      </c>
      <c r="BN153" s="19">
        <f>'D2C Online'!CL156</f>
        <v>22816484.158827379</v>
      </c>
      <c r="BO153" s="19">
        <f>'D2C Online'!CM156</f>
        <v>22816484.158827379</v>
      </c>
      <c r="BP153" s="19">
        <f>'D2C Online'!CN156</f>
        <v>22816484.158827379</v>
      </c>
      <c r="BQ153" s="19">
        <f>'D2C Online'!CO156</f>
        <v>22816484.158827379</v>
      </c>
      <c r="BR153" s="19">
        <f>'D2C Online'!CP156</f>
        <v>22816484.158827379</v>
      </c>
      <c r="BS153" s="19">
        <f>'D2C Online'!CQ156</f>
        <v>22816484.158827379</v>
      </c>
      <c r="BT153" s="19">
        <f>'D2C Online'!CR156</f>
        <v>22816484.158827379</v>
      </c>
      <c r="BU153" s="19">
        <f>'D2C Online'!CS156</f>
        <v>22816484.158827379</v>
      </c>
      <c r="BV153" s="19">
        <f>'D2C Online'!CT156</f>
        <v>22816484.158827379</v>
      </c>
      <c r="BW153" s="19">
        <f>'D2C Online'!CU156</f>
        <v>22816484.158827379</v>
      </c>
      <c r="BX153" s="19">
        <f>'D2C Online'!CV156</f>
        <v>22816484.158827379</v>
      </c>
      <c r="BY153" s="19">
        <f>'D2C Online'!CW156</f>
        <v>22816484.158827379</v>
      </c>
      <c r="BZ153" s="19">
        <f>'D2C Online'!CX156</f>
        <v>23957308.366768748</v>
      </c>
      <c r="CA153" s="19">
        <f>'D2C Online'!CY156</f>
        <v>23957308.366768748</v>
      </c>
      <c r="CB153" s="19">
        <f>'D2C Online'!CZ156</f>
        <v>23957308.366768748</v>
      </c>
      <c r="CC153" s="19">
        <f>'D2C Online'!DA156</f>
        <v>23957308.366768748</v>
      </c>
      <c r="CD153" s="19">
        <f>'D2C Online'!DB156</f>
        <v>23957308.366768748</v>
      </c>
      <c r="CE153" s="19">
        <f>'D2C Online'!DC156</f>
        <v>23957308.366768748</v>
      </c>
      <c r="CF153" s="19">
        <f>'D2C Online'!DD156</f>
        <v>23957308.366768748</v>
      </c>
      <c r="CG153" s="19">
        <f>'D2C Online'!DE156</f>
        <v>23957308.366768748</v>
      </c>
      <c r="CH153" s="19">
        <f>'D2C Online'!DF156</f>
        <v>23957308.366768748</v>
      </c>
      <c r="CI153" s="19">
        <f>'D2C Online'!DG156</f>
        <v>23957308.366768748</v>
      </c>
      <c r="CJ153" s="19">
        <f>'D2C Online'!DH156</f>
        <v>23957308.366768748</v>
      </c>
      <c r="CK153" s="19">
        <f>'D2C Online'!DI156</f>
        <v>23957308.366768748</v>
      </c>
      <c r="CL153" s="19">
        <f>'D2C Online'!DJ156</f>
        <v>25155173.785107184</v>
      </c>
      <c r="CM153" s="19">
        <f>'D2C Online'!DK156</f>
        <v>25155173.785107184</v>
      </c>
      <c r="CN153" s="19">
        <f>'D2C Online'!DL156</f>
        <v>25155173.785107184</v>
      </c>
      <c r="CO153" s="19">
        <f>'D2C Online'!DM156</f>
        <v>25155173.785107184</v>
      </c>
      <c r="CP153" s="19">
        <f>'D2C Online'!DN156</f>
        <v>25155173.785107184</v>
      </c>
      <c r="CQ153" s="19">
        <f>'D2C Online'!DO156</f>
        <v>25155173.785107184</v>
      </c>
      <c r="CR153" s="19">
        <f>'D2C Online'!DP156</f>
        <v>25155173.785107184</v>
      </c>
      <c r="CS153" s="19">
        <f>'D2C Online'!DQ156</f>
        <v>25155173.785107184</v>
      </c>
      <c r="CT153" s="19">
        <f>'D2C Online'!DR156</f>
        <v>25155173.785107184</v>
      </c>
      <c r="CU153" s="19">
        <f>'D2C Online'!DS156</f>
        <v>25155173.785107184</v>
      </c>
      <c r="CV153" s="19">
        <f>'D2C Online'!DT156</f>
        <v>25155173.785107184</v>
      </c>
      <c r="CW153" s="19">
        <f>'D2C Online'!DU156</f>
        <v>25155173.785107184</v>
      </c>
      <c r="CY153" s="232">
        <f>SUM(AD153:AF153)</f>
        <v>47551086.984604888</v>
      </c>
      <c r="CZ153" s="232">
        <f>SUM(AG153:AI153)</f>
        <v>53682452.650612354</v>
      </c>
      <c r="DA153" s="232">
        <f>SUM(AJ153:AL153)</f>
        <v>53832801.160415784</v>
      </c>
      <c r="DB153" s="232">
        <f>SUM(AM153:AO153)</f>
        <v>45430614.679748952</v>
      </c>
      <c r="DC153" s="232">
        <f>SUM(AP153:AR153)</f>
        <v>50585697.921673432</v>
      </c>
      <c r="DD153" s="232">
        <f>SUM(AS153:AU153)</f>
        <v>51394955.247642606</v>
      </c>
      <c r="DE153" s="232">
        <f>SUM(AV153:AX153)</f>
        <v>55338258.323025666</v>
      </c>
      <c r="DF153" s="232">
        <f>SUM(AY153:BA153)</f>
        <v>56540656.132629618</v>
      </c>
      <c r="DG153" s="232">
        <f>SUM(BB153:BD153)</f>
        <v>56496481.104996391</v>
      </c>
      <c r="DH153" s="232">
        <f>SUM(BE153:BG153)</f>
        <v>56784552.19394891</v>
      </c>
      <c r="DI153" s="232">
        <f>SUM(BH153:BJ153)</f>
        <v>60321909.615047589</v>
      </c>
      <c r="DJ153" s="232">
        <f>SUM(BK153:BM153)</f>
        <v>63122820.226452276</v>
      </c>
      <c r="DK153" s="232">
        <f>SUM(BN153:BP153)</f>
        <v>68449452.476482138</v>
      </c>
      <c r="DL153" s="232">
        <f>SUM(BQ153:BS153)</f>
        <v>68449452.476482138</v>
      </c>
      <c r="DM153" s="232">
        <f>SUM(BT153:BV153)</f>
        <v>68449452.476482138</v>
      </c>
      <c r="DN153" s="232">
        <f>SUM(BW153:BY153)</f>
        <v>68449452.476482138</v>
      </c>
      <c r="DO153" s="232">
        <f>SUM(BZ153:CB153)</f>
        <v>71871925.100306243</v>
      </c>
      <c r="DP153" s="232">
        <f>SUM(CC153:CE153)</f>
        <v>71871925.100306243</v>
      </c>
      <c r="DQ153" s="232">
        <f>SUM(CF153:CH153)</f>
        <v>71871925.100306243</v>
      </c>
      <c r="DR153" s="232">
        <f>SUM(CI153:CK153)</f>
        <v>71871925.100306243</v>
      </c>
      <c r="DS153" s="232">
        <f t="shared" si="499"/>
        <v>75465521.355321556</v>
      </c>
      <c r="DT153" s="232">
        <f t="shared" si="500"/>
        <v>75465521.355321556</v>
      </c>
      <c r="DU153" s="232">
        <f t="shared" si="501"/>
        <v>75465521.355321556</v>
      </c>
      <c r="DV153" s="232">
        <f t="shared" si="502"/>
        <v>75465521.355321556</v>
      </c>
      <c r="DX153" s="213">
        <f t="shared" si="720"/>
        <v>200496955.47538197</v>
      </c>
      <c r="DY153" s="213">
        <f t="shared" si="721"/>
        <v>213859567.62497133</v>
      </c>
      <c r="DZ153" s="213">
        <f t="shared" si="722"/>
        <v>236725763.14044517</v>
      </c>
      <c r="EA153" s="213">
        <f t="shared" si="723"/>
        <v>273797809.90592855</v>
      </c>
      <c r="EB153" s="213">
        <f t="shared" si="724"/>
        <v>287487700.40122497</v>
      </c>
      <c r="EC153" s="772">
        <f t="shared" si="503"/>
        <v>301862085.42128623</v>
      </c>
    </row>
    <row r="154" spans="2:134" x14ac:dyDescent="0.2">
      <c r="B154" s="21" t="s">
        <v>62</v>
      </c>
      <c r="C154" s="20">
        <f>C151/C50</f>
        <v>0</v>
      </c>
      <c r="D154" s="20">
        <f t="shared" ref="D154:BO154" si="725">D151/D50</f>
        <v>0</v>
      </c>
      <c r="E154" s="20">
        <f t="shared" si="725"/>
        <v>0</v>
      </c>
      <c r="F154" s="20">
        <f t="shared" si="725"/>
        <v>0</v>
      </c>
      <c r="G154" s="20">
        <f t="shared" si="725"/>
        <v>0</v>
      </c>
      <c r="H154" s="20">
        <f t="shared" si="725"/>
        <v>0</v>
      </c>
      <c r="I154" s="20">
        <f t="shared" si="725"/>
        <v>0</v>
      </c>
      <c r="J154" s="20">
        <f t="shared" si="725"/>
        <v>0</v>
      </c>
      <c r="K154" s="20">
        <f t="shared" si="725"/>
        <v>0</v>
      </c>
      <c r="L154" s="20">
        <f t="shared" si="725"/>
        <v>0</v>
      </c>
      <c r="M154" s="20">
        <f t="shared" si="725"/>
        <v>0</v>
      </c>
      <c r="N154" s="20">
        <f t="shared" si="725"/>
        <v>0</v>
      </c>
      <c r="O154" s="20">
        <f t="shared" si="725"/>
        <v>0</v>
      </c>
      <c r="P154" s="20">
        <f t="shared" si="725"/>
        <v>0</v>
      </c>
      <c r="Q154" s="20">
        <f t="shared" si="725"/>
        <v>0</v>
      </c>
      <c r="R154" s="20">
        <f t="shared" si="725"/>
        <v>0</v>
      </c>
      <c r="S154" s="20">
        <f t="shared" si="725"/>
        <v>0</v>
      </c>
      <c r="T154" s="20">
        <f t="shared" si="725"/>
        <v>0</v>
      </c>
      <c r="U154" s="20">
        <f t="shared" si="725"/>
        <v>0</v>
      </c>
      <c r="V154" s="20">
        <f t="shared" si="725"/>
        <v>0</v>
      </c>
      <c r="W154" s="20">
        <f t="shared" si="725"/>
        <v>0</v>
      </c>
      <c r="X154" s="20">
        <f t="shared" si="725"/>
        <v>0</v>
      </c>
      <c r="Y154" s="20">
        <f t="shared" si="725"/>
        <v>0</v>
      </c>
      <c r="Z154" s="20">
        <f t="shared" si="725"/>
        <v>0</v>
      </c>
      <c r="AA154" s="20">
        <f t="shared" si="725"/>
        <v>0</v>
      </c>
      <c r="AB154" s="20">
        <f t="shared" si="725"/>
        <v>0</v>
      </c>
      <c r="AC154" s="20">
        <f t="shared" si="725"/>
        <v>0</v>
      </c>
      <c r="AD154" s="20">
        <f t="shared" si="725"/>
        <v>7.0428598505057255E-2</v>
      </c>
      <c r="AE154" s="20">
        <f t="shared" si="725"/>
        <v>7.0580886536853751E-2</v>
      </c>
      <c r="AF154" s="20">
        <f t="shared" si="725"/>
        <v>6.6880856670104391E-2</v>
      </c>
      <c r="AG154" s="20">
        <f t="shared" si="725"/>
        <v>8.1497721804982687E-2</v>
      </c>
      <c r="AH154" s="20">
        <f t="shared" si="725"/>
        <v>7.7256071473844834E-2</v>
      </c>
      <c r="AI154" s="20">
        <f t="shared" si="725"/>
        <v>7.8770159648139451E-2</v>
      </c>
      <c r="AJ154" s="20">
        <f t="shared" si="725"/>
        <v>5.7704039767375329E-2</v>
      </c>
      <c r="AK154" s="20">
        <f t="shared" si="725"/>
        <v>6.2177863911102214E-2</v>
      </c>
      <c r="AL154" s="20">
        <f t="shared" si="725"/>
        <v>6.5463742226702912E-2</v>
      </c>
      <c r="AM154" s="20">
        <f t="shared" si="725"/>
        <v>6.5916451280074437E-2</v>
      </c>
      <c r="AN154" s="20">
        <f t="shared" si="725"/>
        <v>7.4530666007049523E-2</v>
      </c>
      <c r="AO154" s="20">
        <f t="shared" si="725"/>
        <v>6.290275487101514E-2</v>
      </c>
      <c r="AP154" s="20">
        <f t="shared" si="725"/>
        <v>6.5147796609813305E-2</v>
      </c>
      <c r="AQ154" s="20">
        <f t="shared" si="725"/>
        <v>6.4293929461971877E-2</v>
      </c>
      <c r="AR154" s="20">
        <f t="shared" si="725"/>
        <v>6.1457019989607627E-2</v>
      </c>
      <c r="AS154" s="20">
        <f t="shared" si="725"/>
        <v>6.2181814969723526E-2</v>
      </c>
      <c r="AT154" s="20">
        <f t="shared" si="725"/>
        <v>7.0599778325580551E-2</v>
      </c>
      <c r="AU154" s="20">
        <f t="shared" si="725"/>
        <v>7.423375123136125E-2</v>
      </c>
      <c r="AV154" s="20">
        <f t="shared" si="725"/>
        <v>6.5961342349912411E-2</v>
      </c>
      <c r="AW154" s="20">
        <f t="shared" si="725"/>
        <v>6.7203550310998075E-2</v>
      </c>
      <c r="AX154" s="20">
        <f t="shared" si="725"/>
        <v>5.846012367533969E-2</v>
      </c>
      <c r="AY154" s="20">
        <f t="shared" si="725"/>
        <v>5.5118734441628653E-2</v>
      </c>
      <c r="AZ154" s="20">
        <f t="shared" si="725"/>
        <v>5.5936276016548984E-2</v>
      </c>
      <c r="BA154" s="20">
        <f t="shared" si="725"/>
        <v>4.7950162346067707E-2</v>
      </c>
      <c r="BB154" s="20">
        <f t="shared" si="725"/>
        <v>4.7282716636866118E-2</v>
      </c>
      <c r="BC154" s="20">
        <f t="shared" si="725"/>
        <v>4.6702631157827024E-2</v>
      </c>
      <c r="BD154" s="20">
        <f t="shared" si="725"/>
        <v>4.6608121946426558E-2</v>
      </c>
      <c r="BE154" s="20">
        <f t="shared" si="725"/>
        <v>4.2837522050130285E-2</v>
      </c>
      <c r="BF154" s="20">
        <f t="shared" si="725"/>
        <v>4.9557546828478127E-2</v>
      </c>
      <c r="BG154" s="20">
        <f t="shared" si="725"/>
        <v>4.7858215852299074E-2</v>
      </c>
      <c r="BH154" s="20">
        <f t="shared" si="725"/>
        <v>4.5335733585247402E-2</v>
      </c>
      <c r="BI154" s="20">
        <f t="shared" si="725"/>
        <v>4.4462449794894748E-2</v>
      </c>
      <c r="BJ154" s="20">
        <f t="shared" si="725"/>
        <v>3.6456580193501967E-2</v>
      </c>
      <c r="BK154" s="20">
        <f t="shared" si="725"/>
        <v>3.619901429030499E-2</v>
      </c>
      <c r="BL154" s="20">
        <f t="shared" si="725"/>
        <v>3.8867645554946956E-2</v>
      </c>
      <c r="BM154" s="20">
        <f t="shared" si="725"/>
        <v>3.4664691137057328E-2</v>
      </c>
      <c r="BN154" s="20">
        <f t="shared" si="725"/>
        <v>4.1785613079952794E-2</v>
      </c>
      <c r="BO154" s="20">
        <f t="shared" si="725"/>
        <v>4.2172919624434473E-2</v>
      </c>
      <c r="BP154" s="20">
        <f t="shared" ref="BP154:EB154" si="726">BP151/BP50</f>
        <v>4.2238968820505304E-2</v>
      </c>
      <c r="BQ154" s="20">
        <f t="shared" si="726"/>
        <v>3.9958304524738558E-2</v>
      </c>
      <c r="BR154" s="20">
        <f t="shared" si="726"/>
        <v>4.3847756829749805E-2</v>
      </c>
      <c r="BS154" s="20">
        <f t="shared" si="726"/>
        <v>4.4243158685145625E-2</v>
      </c>
      <c r="BT154" s="20">
        <f t="shared" si="726"/>
        <v>3.9053184153815569E-2</v>
      </c>
      <c r="BU154" s="20">
        <f t="shared" si="726"/>
        <v>4.1105362012638695E-2</v>
      </c>
      <c r="BV154" s="20">
        <f t="shared" si="726"/>
        <v>3.4142777263904092E-2</v>
      </c>
      <c r="BW154" s="20">
        <f t="shared" si="726"/>
        <v>3.2674334687334709E-2</v>
      </c>
      <c r="BX154" s="20">
        <f t="shared" si="726"/>
        <v>3.6261256757368139E-2</v>
      </c>
      <c r="BY154" s="20">
        <f t="shared" si="726"/>
        <v>3.2032075565622813E-2</v>
      </c>
      <c r="BZ154" s="20">
        <f t="shared" si="726"/>
        <v>3.6303088796308704E-2</v>
      </c>
      <c r="CA154" s="20">
        <f t="shared" si="726"/>
        <v>3.6590581376356388E-2</v>
      </c>
      <c r="CB154" s="20">
        <f t="shared" si="726"/>
        <v>3.6768304875174969E-2</v>
      </c>
      <c r="CC154" s="20">
        <f t="shared" si="726"/>
        <v>3.4779185761528712E-2</v>
      </c>
      <c r="CD154" s="20">
        <f t="shared" si="726"/>
        <v>3.8230519851310124E-2</v>
      </c>
      <c r="CE154" s="20">
        <f t="shared" si="726"/>
        <v>3.8670952807950597E-2</v>
      </c>
      <c r="CF154" s="20">
        <f t="shared" si="726"/>
        <v>3.4152146961442878E-2</v>
      </c>
      <c r="CG154" s="20">
        <f t="shared" si="726"/>
        <v>3.6082032330409644E-2</v>
      </c>
      <c r="CH154" s="20">
        <f t="shared" si="726"/>
        <v>3.0034644864701483E-2</v>
      </c>
      <c r="CI154" s="20">
        <f t="shared" si="726"/>
        <v>2.8819243419081025E-2</v>
      </c>
      <c r="CJ154" s="20">
        <f t="shared" si="726"/>
        <v>3.207785622520485E-2</v>
      </c>
      <c r="CK154" s="20">
        <f t="shared" si="726"/>
        <v>2.8532233828504828E-2</v>
      </c>
      <c r="CL154" s="20">
        <f t="shared" ref="CL154:CW154" si="727">CL151/CL50</f>
        <v>3.2977249729535411E-2</v>
      </c>
      <c r="CM154" s="20">
        <f t="shared" si="727"/>
        <v>3.3250362330821237E-2</v>
      </c>
      <c r="CN154" s="20">
        <f t="shared" si="727"/>
        <v>3.3422995670670398E-2</v>
      </c>
      <c r="CO154" s="20">
        <f t="shared" si="727"/>
        <v>3.1640597967351997E-2</v>
      </c>
      <c r="CP154" s="20">
        <f t="shared" si="727"/>
        <v>3.479017721919319E-2</v>
      </c>
      <c r="CQ154" s="20">
        <f t="shared" si="727"/>
        <v>3.5162078297764646E-2</v>
      </c>
      <c r="CR154" s="20">
        <f t="shared" si="727"/>
        <v>3.1121863652528281E-2</v>
      </c>
      <c r="CS154" s="20">
        <f t="shared" si="727"/>
        <v>3.286857504297757E-2</v>
      </c>
      <c r="CT154" s="20">
        <f t="shared" si="727"/>
        <v>2.7344998806628454E-2</v>
      </c>
      <c r="CU154" s="20">
        <f t="shared" si="727"/>
        <v>2.6226909592123232E-2</v>
      </c>
      <c r="CV154" s="20">
        <f t="shared" si="727"/>
        <v>2.9229913235878084E-2</v>
      </c>
      <c r="CW154" s="20">
        <f t="shared" si="727"/>
        <v>2.6013469597164295E-2</v>
      </c>
      <c r="CY154" s="20">
        <f t="shared" si="726"/>
        <v>6.9244499668119977E-2</v>
      </c>
      <c r="CZ154" s="20">
        <f t="shared" si="726"/>
        <v>7.9133368123675218E-2</v>
      </c>
      <c r="DA154" s="20">
        <f t="shared" si="726"/>
        <v>6.1392586553149442E-2</v>
      </c>
      <c r="DB154" s="20">
        <f t="shared" si="726"/>
        <v>6.7280506134546156E-2</v>
      </c>
      <c r="DC154" s="20">
        <f t="shared" si="726"/>
        <v>6.357439841188689E-2</v>
      </c>
      <c r="DD154" s="20">
        <f t="shared" si="726"/>
        <v>6.8627412560669968E-2</v>
      </c>
      <c r="DE154" s="20">
        <f t="shared" si="726"/>
        <v>6.3603693616653093E-2</v>
      </c>
      <c r="DF154" s="20">
        <f t="shared" si="726"/>
        <v>5.2602133052759278E-2</v>
      </c>
      <c r="DG154" s="20">
        <f t="shared" si="726"/>
        <v>4.6866704095632011E-2</v>
      </c>
      <c r="DH154" s="20">
        <f t="shared" si="726"/>
        <v>4.6583650821593672E-2</v>
      </c>
      <c r="DI154" s="20">
        <f t="shared" si="726"/>
        <v>4.1764711561789847E-2</v>
      </c>
      <c r="DJ154" s="20">
        <f t="shared" si="726"/>
        <v>3.6451896041888927E-2</v>
      </c>
      <c r="DK154" s="20">
        <f t="shared" si="726"/>
        <v>4.2064880267773809E-2</v>
      </c>
      <c r="DL154" s="20">
        <f t="shared" si="726"/>
        <v>4.2592681763505884E-2</v>
      </c>
      <c r="DM154" s="20">
        <f t="shared" si="726"/>
        <v>3.7867979952925346E-2</v>
      </c>
      <c r="DN154" s="20">
        <f t="shared" si="726"/>
        <v>3.3556517148109026E-2</v>
      </c>
      <c r="DO154" s="20">
        <f t="shared" si="726"/>
        <v>3.6552985096702122E-2</v>
      </c>
      <c r="DP154" s="20">
        <f t="shared" si="726"/>
        <v>3.7142896892048076E-2</v>
      </c>
      <c r="DQ154" s="20">
        <f t="shared" si="726"/>
        <v>3.3226180892726928E-2</v>
      </c>
      <c r="DR154" s="20">
        <f t="shared" si="726"/>
        <v>2.9726142030541212E-2</v>
      </c>
      <c r="DS154" s="20">
        <f t="shared" si="726"/>
        <v>3.3215853912644561E-2</v>
      </c>
      <c r="DT154" s="20">
        <f t="shared" si="726"/>
        <v>3.3788182180754946E-2</v>
      </c>
      <c r="DU154" s="20">
        <f t="shared" si="726"/>
        <v>3.0264601232593339E-2</v>
      </c>
      <c r="DV154" s="20">
        <f t="shared" si="726"/>
        <v>2.7080228944047258E-2</v>
      </c>
      <c r="DW154" s="771"/>
      <c r="DX154" s="20">
        <f t="shared" si="726"/>
        <v>6.8726294876241753E-2</v>
      </c>
      <c r="DY154" s="20">
        <f t="shared" si="726"/>
        <v>6.1286365995474198E-2</v>
      </c>
      <c r="DZ154" s="20">
        <f t="shared" si="726"/>
        <v>4.2272958254864934E-2</v>
      </c>
      <c r="EA154" s="20">
        <f t="shared" si="726"/>
        <v>3.8662652128288413E-2</v>
      </c>
      <c r="EB154" s="20">
        <f t="shared" si="726"/>
        <v>3.3893202042153993E-2</v>
      </c>
      <c r="EC154" s="20">
        <f t="shared" ref="EC154" si="728">EC151/EC50</f>
        <v>3.084718771131062E-2</v>
      </c>
      <c r="ED154" s="771"/>
    </row>
    <row r="155" spans="2:134" x14ac:dyDescent="0.2">
      <c r="B155" s="22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X155" s="19"/>
      <c r="DY155" s="19"/>
      <c r="DZ155" s="19"/>
      <c r="EA155" s="19"/>
      <c r="EB155" s="19"/>
      <c r="EC155" s="770"/>
    </row>
    <row r="156" spans="2:134" x14ac:dyDescent="0.2">
      <c r="B156" s="212" t="s">
        <v>63</v>
      </c>
      <c r="C156" s="199">
        <f>C146-C151</f>
        <v>1427362.9435563288</v>
      </c>
      <c r="D156" s="199">
        <f t="shared" ref="D156:BO157" si="729">D146-D151</f>
        <v>1635851.2986326721</v>
      </c>
      <c r="E156" s="199">
        <f t="shared" si="729"/>
        <v>2283552.439398475</v>
      </c>
      <c r="F156" s="199">
        <f t="shared" si="729"/>
        <v>-1641399.5318893639</v>
      </c>
      <c r="G156" s="199">
        <f t="shared" si="729"/>
        <v>-5452439.2843395658</v>
      </c>
      <c r="H156" s="199">
        <f t="shared" si="729"/>
        <v>-466548.94915094564</v>
      </c>
      <c r="I156" s="199">
        <f t="shared" si="729"/>
        <v>128769.87792372165</v>
      </c>
      <c r="J156" s="199">
        <f t="shared" si="729"/>
        <v>-487646.56252527412</v>
      </c>
      <c r="K156" s="199">
        <f t="shared" si="729"/>
        <v>-387958.25047410198</v>
      </c>
      <c r="L156" s="199">
        <f t="shared" si="729"/>
        <v>-2379313.69834112</v>
      </c>
      <c r="M156" s="199">
        <f t="shared" si="729"/>
        <v>5301644.3796355827</v>
      </c>
      <c r="N156" s="199">
        <f t="shared" si="729"/>
        <v>6039648.4027854037</v>
      </c>
      <c r="O156" s="199">
        <f t="shared" si="729"/>
        <v>3473491.824556082</v>
      </c>
      <c r="P156" s="199">
        <f t="shared" si="729"/>
        <v>5842949.7818969553</v>
      </c>
      <c r="Q156" s="199">
        <f t="shared" si="729"/>
        <v>2763566.7661547461</v>
      </c>
      <c r="R156" s="199">
        <f t="shared" si="729"/>
        <v>-151604.18198519351</v>
      </c>
      <c r="S156" s="199">
        <f t="shared" si="729"/>
        <v>-536753.92900439235</v>
      </c>
      <c r="T156" s="199">
        <f t="shared" si="729"/>
        <v>988582.33975489391</v>
      </c>
      <c r="U156" s="199">
        <f t="shared" si="729"/>
        <v>-1832547.150776702</v>
      </c>
      <c r="V156" s="199">
        <f t="shared" si="729"/>
        <v>-8658043.1971543785</v>
      </c>
      <c r="W156" s="199">
        <f t="shared" si="729"/>
        <v>-15824352.498166064</v>
      </c>
      <c r="X156" s="199">
        <f t="shared" si="729"/>
        <v>-12000409.366633207</v>
      </c>
      <c r="Y156" s="199">
        <f t="shared" si="729"/>
        <v>-9761564.5167908277</v>
      </c>
      <c r="Z156" s="199">
        <f t="shared" si="729"/>
        <v>-5701271.10218067</v>
      </c>
      <c r="AA156" s="199">
        <f t="shared" si="729"/>
        <v>-1472184.2206910728</v>
      </c>
      <c r="AB156" s="199">
        <f t="shared" si="729"/>
        <v>1418200.0301378693</v>
      </c>
      <c r="AC156" s="199">
        <f t="shared" si="729"/>
        <v>3505685.5350335366</v>
      </c>
      <c r="AD156" s="199">
        <f t="shared" si="729"/>
        <v>-38340069.580693536</v>
      </c>
      <c r="AE156" s="199">
        <f t="shared" si="729"/>
        <v>-31312553.315567277</v>
      </c>
      <c r="AF156" s="199">
        <f t="shared" si="729"/>
        <v>-26068589.668058798</v>
      </c>
      <c r="AG156" s="199">
        <f t="shared" si="729"/>
        <v>-35500370.058422953</v>
      </c>
      <c r="AH156" s="199">
        <f t="shared" si="729"/>
        <v>-31573194.039985523</v>
      </c>
      <c r="AI156" s="199">
        <f t="shared" si="729"/>
        <v>-44532720.213230886</v>
      </c>
      <c r="AJ156" s="199">
        <f t="shared" si="729"/>
        <v>-38740351.900930546</v>
      </c>
      <c r="AK156" s="199">
        <f t="shared" si="729"/>
        <v>-30231288.687215082</v>
      </c>
      <c r="AL156" s="199">
        <f t="shared" si="729"/>
        <v>-27120484.388444252</v>
      </c>
      <c r="AM156" s="199">
        <f t="shared" si="729"/>
        <v>-22986325.145178899</v>
      </c>
      <c r="AN156" s="199">
        <f t="shared" si="729"/>
        <v>-16085490.233705826</v>
      </c>
      <c r="AO156" s="199">
        <f t="shared" si="729"/>
        <v>-7363224.4252927899</v>
      </c>
      <c r="AP156" s="199">
        <f t="shared" si="729"/>
        <v>-13059259.416891031</v>
      </c>
      <c r="AQ156" s="199">
        <f t="shared" si="729"/>
        <v>-9117443.5818943307</v>
      </c>
      <c r="AR156" s="199">
        <f t="shared" si="729"/>
        <v>720911.26996383816</v>
      </c>
      <c r="AS156" s="199">
        <f t="shared" si="729"/>
        <v>-5501735.0773162991</v>
      </c>
      <c r="AT156" s="199">
        <f t="shared" si="729"/>
        <v>-9798790.3699498624</v>
      </c>
      <c r="AU156" s="199">
        <f t="shared" si="729"/>
        <v>-15389214.752751403</v>
      </c>
      <c r="AV156" s="199">
        <f t="shared" si="729"/>
        <v>-673292.58242753148</v>
      </c>
      <c r="AW156" s="199">
        <f t="shared" si="729"/>
        <v>-5611359.0304424912</v>
      </c>
      <c r="AX156" s="199">
        <f t="shared" si="729"/>
        <v>1272925.2345729619</v>
      </c>
      <c r="AY156" s="199">
        <f t="shared" si="729"/>
        <v>3184811.3456461504</v>
      </c>
      <c r="AZ156" s="199">
        <f t="shared" si="729"/>
        <v>-2087128.1139739007</v>
      </c>
      <c r="BA156" s="199">
        <f t="shared" si="729"/>
        <v>14500487.971897274</v>
      </c>
      <c r="BB156" s="199">
        <f t="shared" si="729"/>
        <v>4548976.879842937</v>
      </c>
      <c r="BC156" s="199">
        <f t="shared" si="729"/>
        <v>4098272.2462867573</v>
      </c>
      <c r="BD156" s="199">
        <f t="shared" si="729"/>
        <v>6936234.8816823661</v>
      </c>
      <c r="BE156" s="199">
        <f t="shared" si="729"/>
        <v>7758539.7180907577</v>
      </c>
      <c r="BF156" s="199">
        <f t="shared" si="729"/>
        <v>3238319.5269250125</v>
      </c>
      <c r="BG156" s="199">
        <f t="shared" si="729"/>
        <v>-5244615.4748153016</v>
      </c>
      <c r="BH156" s="199">
        <f t="shared" si="729"/>
        <v>5269987.744405508</v>
      </c>
      <c r="BI156" s="199">
        <f t="shared" si="729"/>
        <v>7358500.0565086231</v>
      </c>
      <c r="BJ156" s="199">
        <f t="shared" si="729"/>
        <v>17254134.823883668</v>
      </c>
      <c r="BK156" s="199">
        <f t="shared" si="729"/>
        <v>17829319.870123357</v>
      </c>
      <c r="BL156" s="199">
        <f t="shared" si="729"/>
        <v>3427171.7368414924</v>
      </c>
      <c r="BM156" s="199">
        <f t="shared" si="729"/>
        <v>9701209.9855845571</v>
      </c>
      <c r="BN156" s="199">
        <f t="shared" si="729"/>
        <v>5713374.3868540153</v>
      </c>
      <c r="BO156" s="199">
        <f t="shared" si="729"/>
        <v>4392155.4162750915</v>
      </c>
      <c r="BP156" s="199">
        <f t="shared" ref="BP156:CK158" si="730">BP146-BP151</f>
        <v>4307603.6957865283</v>
      </c>
      <c r="BQ156" s="199">
        <f t="shared" si="730"/>
        <v>12110194.986134574</v>
      </c>
      <c r="BR156" s="199">
        <f t="shared" si="730"/>
        <v>-49980.411089077592</v>
      </c>
      <c r="BS156" s="199">
        <f t="shared" si="730"/>
        <v>-2137172.6552386507</v>
      </c>
      <c r="BT156" s="199">
        <f t="shared" si="730"/>
        <v>15439645.527052686</v>
      </c>
      <c r="BU156" s="199">
        <f t="shared" si="730"/>
        <v>8062902.7196966633</v>
      </c>
      <c r="BV156" s="199">
        <f t="shared" si="730"/>
        <v>34403941.24908983</v>
      </c>
      <c r="BW156" s="199">
        <f t="shared" si="730"/>
        <v>41034962.592545442</v>
      </c>
      <c r="BX156" s="199">
        <f t="shared" si="730"/>
        <v>25735411.211318813</v>
      </c>
      <c r="BY156" s="199">
        <f t="shared" si="730"/>
        <v>46082592.320182927</v>
      </c>
      <c r="BZ156" s="199">
        <f t="shared" si="730"/>
        <v>21450993.225907438</v>
      </c>
      <c r="CA156" s="199">
        <f t="shared" si="730"/>
        <v>20112894.623311356</v>
      </c>
      <c r="CB156" s="199">
        <f t="shared" si="730"/>
        <v>19402219.560779959</v>
      </c>
      <c r="CC156" s="199">
        <f t="shared" si="730"/>
        <v>28734270.599165708</v>
      </c>
      <c r="CD156" s="199">
        <f t="shared" si="730"/>
        <v>13905854.291861199</v>
      </c>
      <c r="CE156" s="199">
        <f t="shared" si="730"/>
        <v>10963355.694679543</v>
      </c>
      <c r="CF156" s="199">
        <f t="shared" si="730"/>
        <v>31820636.885337994</v>
      </c>
      <c r="CG156" s="199">
        <f t="shared" si="730"/>
        <v>22337864.201162718</v>
      </c>
      <c r="CH156" s="199">
        <f t="shared" si="730"/>
        <v>52995697.78414309</v>
      </c>
      <c r="CI156" s="199">
        <f t="shared" si="730"/>
        <v>60184277.733873487</v>
      </c>
      <c r="CJ156" s="199">
        <f t="shared" si="730"/>
        <v>41589600.850942373</v>
      </c>
      <c r="CK156" s="199">
        <f t="shared" si="730"/>
        <v>63864229.46518591</v>
      </c>
      <c r="CL156" s="199">
        <f t="shared" ref="CL156:CW156" si="731">CL146-CL151</f>
        <v>31218155.56868726</v>
      </c>
      <c r="CM156" s="199">
        <f t="shared" si="731"/>
        <v>29622752.759977937</v>
      </c>
      <c r="CN156" s="199">
        <f t="shared" si="731"/>
        <v>28746477.148095548</v>
      </c>
      <c r="CO156" s="199">
        <f t="shared" si="731"/>
        <v>39132666.166628033</v>
      </c>
      <c r="CP156" s="199">
        <f t="shared" si="731"/>
        <v>22303257.758425072</v>
      </c>
      <c r="CQ156" s="199">
        <f t="shared" si="731"/>
        <v>19115888.287690133</v>
      </c>
      <c r="CR156" s="199">
        <f t="shared" si="731"/>
        <v>42281810.540603325</v>
      </c>
      <c r="CS156" s="199">
        <f t="shared" si="731"/>
        <v>31642796.772817209</v>
      </c>
      <c r="CT156" s="199">
        <f t="shared" si="731"/>
        <v>66385964.778045982</v>
      </c>
      <c r="CU156" s="199">
        <f t="shared" si="731"/>
        <v>74614005.474869475</v>
      </c>
      <c r="CV156" s="199">
        <f t="shared" si="731"/>
        <v>53300270.532795846</v>
      </c>
      <c r="CW156" s="199">
        <f t="shared" si="731"/>
        <v>78303593.053945124</v>
      </c>
      <c r="CY156" s="199">
        <f>SUM(AD156:AF156)</f>
        <v>-95721212.564319611</v>
      </c>
      <c r="CZ156" s="199">
        <f>SUM(AG156:AI156)</f>
        <v>-111606284.31163937</v>
      </c>
      <c r="DA156" s="199">
        <f>SUM(AJ156:AL156)</f>
        <v>-96092124.976589888</v>
      </c>
      <c r="DB156" s="199">
        <f>SUM(AM156:AO156)</f>
        <v>-46435039.804177515</v>
      </c>
      <c r="DC156" s="199">
        <f>SUM(AP156:AR156)</f>
        <v>-21455791.728821523</v>
      </c>
      <c r="DD156" s="199">
        <f>SUM(AS156:AU156)</f>
        <v>-30689740.200017564</v>
      </c>
      <c r="DE156" s="199">
        <f>SUM(AV156:AX156)</f>
        <v>-5011726.3782970607</v>
      </c>
      <c r="DF156" s="199">
        <f>SUM(AY156:BA156)</f>
        <v>15598171.203569524</v>
      </c>
      <c r="DG156" s="199">
        <f>SUM(BB156:BD156)</f>
        <v>15583484.00781206</v>
      </c>
      <c r="DH156" s="199">
        <f>SUM(BE156:BG156)</f>
        <v>5752243.7702004686</v>
      </c>
      <c r="DI156" s="199">
        <f>SUM(BH156:BJ156)</f>
        <v>29882622.624797799</v>
      </c>
      <c r="DJ156" s="199">
        <f>SUM(BK156:BM156)</f>
        <v>30957701.592549406</v>
      </c>
      <c r="DK156" s="199">
        <f>SUM(BN156:BP156)</f>
        <v>14413133.498915635</v>
      </c>
      <c r="DL156" s="199">
        <f>SUM(BQ156:BS156)</f>
        <v>9923041.9198068455</v>
      </c>
      <c r="DM156" s="199">
        <f>SUM(BT156:BV156)</f>
        <v>57906489.495839179</v>
      </c>
      <c r="DN156" s="199">
        <f>SUM(BW156:BY156)</f>
        <v>112852966.12404719</v>
      </c>
      <c r="DO156" s="199">
        <f>SUM(BZ156:CB156)</f>
        <v>60966107.409998752</v>
      </c>
      <c r="DP156" s="199">
        <f>SUM(CC156:CE156)</f>
        <v>53603480.58570645</v>
      </c>
      <c r="DQ156" s="199">
        <f>SUM(CF156:CH156)</f>
        <v>107154198.87064379</v>
      </c>
      <c r="DR156" s="199">
        <f>SUM(CI156:CK156)</f>
        <v>165638108.05000177</v>
      </c>
      <c r="DS156" s="199">
        <f t="shared" si="499"/>
        <v>89587385.476760745</v>
      </c>
      <c r="DT156" s="199">
        <f t="shared" si="500"/>
        <v>80551812.212743238</v>
      </c>
      <c r="DU156" s="199">
        <f t="shared" si="501"/>
        <v>140310572.09146652</v>
      </c>
      <c r="DV156" s="199">
        <f t="shared" si="502"/>
        <v>206217869.06161046</v>
      </c>
      <c r="DX156" s="199">
        <f t="shared" ref="DX156:DX158" si="732">SUM(CY156:DB156)</f>
        <v>-349854661.65672636</v>
      </c>
      <c r="DY156" s="199">
        <f t="shared" ref="DY156:DY158" si="733">SUM(DC156:DF156)</f>
        <v>-41559087.103566624</v>
      </c>
      <c r="DZ156" s="199">
        <f t="shared" ref="DZ156:DZ158" si="734">SUM(DG156:DJ156)</f>
        <v>82176051.995359734</v>
      </c>
      <c r="EA156" s="199">
        <f t="shared" ref="EA156:EA158" si="735">SUM(DK156:DN156)</f>
        <v>195095631.03860885</v>
      </c>
      <c r="EB156" s="199">
        <f t="shared" ref="EB156:EB158" si="736">SUM(DO156:DR156)</f>
        <v>387361894.91635072</v>
      </c>
      <c r="EC156" s="810">
        <f t="shared" si="503"/>
        <v>516667638.84258091</v>
      </c>
    </row>
    <row r="157" spans="2:134" x14ac:dyDescent="0.2">
      <c r="B157" s="155" t="s">
        <v>229</v>
      </c>
      <c r="C157" s="19">
        <f t="shared" ref="C157:R158" si="737">C147-C152</f>
        <v>1223887.0605670565</v>
      </c>
      <c r="D157" s="19">
        <f t="shared" si="737"/>
        <v>1561615.9881313783</v>
      </c>
      <c r="E157" s="19">
        <f t="shared" si="737"/>
        <v>2042677.1029210333</v>
      </c>
      <c r="F157" s="19">
        <f t="shared" si="737"/>
        <v>-1693533.9297256724</v>
      </c>
      <c r="G157" s="19">
        <f t="shared" si="737"/>
        <v>-5442148.0700797262</v>
      </c>
      <c r="H157" s="19">
        <f t="shared" si="737"/>
        <v>-861472.02806123521</v>
      </c>
      <c r="I157" s="19">
        <f t="shared" si="737"/>
        <v>-685123.46251481015</v>
      </c>
      <c r="J157" s="19">
        <f t="shared" si="737"/>
        <v>-962145.94534680061</v>
      </c>
      <c r="K157" s="19">
        <f t="shared" si="737"/>
        <v>-1271331.2776278253</v>
      </c>
      <c r="L157" s="19">
        <f t="shared" si="737"/>
        <v>-2403670.0766459918</v>
      </c>
      <c r="M157" s="19">
        <f t="shared" si="737"/>
        <v>3696653.4006180987</v>
      </c>
      <c r="N157" s="19">
        <f t="shared" si="737"/>
        <v>4150861.249042796</v>
      </c>
      <c r="O157" s="19">
        <f t="shared" si="737"/>
        <v>890061.30380648538</v>
      </c>
      <c r="P157" s="19">
        <f t="shared" si="737"/>
        <v>2795295.2556895162</v>
      </c>
      <c r="Q157" s="19">
        <f t="shared" si="737"/>
        <v>1057850.958708656</v>
      </c>
      <c r="R157" s="19">
        <f t="shared" si="737"/>
        <v>-1595870.3261175186</v>
      </c>
      <c r="S157" s="19">
        <f t="shared" si="729"/>
        <v>-1909539.7330995351</v>
      </c>
      <c r="T157" s="19">
        <f t="shared" si="729"/>
        <v>-878178.49372521741</v>
      </c>
      <c r="U157" s="19">
        <f t="shared" si="729"/>
        <v>-1981473.709878522</v>
      </c>
      <c r="V157" s="19">
        <f t="shared" si="729"/>
        <v>-7778684.5715741273</v>
      </c>
      <c r="W157" s="19">
        <f t="shared" si="729"/>
        <v>-14749786.190386025</v>
      </c>
      <c r="X157" s="19">
        <f t="shared" si="729"/>
        <v>-11736866.749745637</v>
      </c>
      <c r="Y157" s="19">
        <f t="shared" si="729"/>
        <v>-10486422.443024065</v>
      </c>
      <c r="Z157" s="19">
        <f t="shared" si="729"/>
        <v>-5276979.3196558859</v>
      </c>
      <c r="AA157" s="19">
        <f t="shared" si="729"/>
        <v>-2981518.9492247929</v>
      </c>
      <c r="AB157" s="19">
        <f t="shared" si="729"/>
        <v>-1547203.7463466178</v>
      </c>
      <c r="AC157" s="19">
        <f t="shared" si="729"/>
        <v>3451581.5473356019</v>
      </c>
      <c r="AD157" s="19">
        <f t="shared" si="729"/>
        <v>-16770374.21158658</v>
      </c>
      <c r="AE157" s="19">
        <f t="shared" si="729"/>
        <v>-11047093.894086197</v>
      </c>
      <c r="AF157" s="19">
        <f t="shared" si="729"/>
        <v>-9556025.0687212273</v>
      </c>
      <c r="AG157" s="19">
        <f t="shared" si="729"/>
        <v>-11815073.403478734</v>
      </c>
      <c r="AH157" s="19">
        <f t="shared" si="729"/>
        <v>-10530825.454119004</v>
      </c>
      <c r="AI157" s="19">
        <f t="shared" si="729"/>
        <v>-16647155.225264575</v>
      </c>
      <c r="AJ157" s="19">
        <f t="shared" si="729"/>
        <v>-10170019.88307035</v>
      </c>
      <c r="AK157" s="19">
        <f t="shared" si="729"/>
        <v>-12040639.752166893</v>
      </c>
      <c r="AL157" s="19">
        <f t="shared" si="729"/>
        <v>-14730366.893101469</v>
      </c>
      <c r="AM157" s="19">
        <f t="shared" si="729"/>
        <v>-13940289.598683387</v>
      </c>
      <c r="AN157" s="19">
        <f t="shared" si="729"/>
        <v>-5150067.9696357995</v>
      </c>
      <c r="AO157" s="19">
        <f t="shared" si="729"/>
        <v>-1106649.1330153123</v>
      </c>
      <c r="AP157" s="19">
        <f t="shared" si="729"/>
        <v>-3964059.8484921716</v>
      </c>
      <c r="AQ157" s="19">
        <f t="shared" si="729"/>
        <v>857562.42201958969</v>
      </c>
      <c r="AR157" s="19">
        <f t="shared" si="729"/>
        <v>4352075.3460242115</v>
      </c>
      <c r="AS157" s="19">
        <f t="shared" si="729"/>
        <v>1407148.380390469</v>
      </c>
      <c r="AT157" s="19">
        <f t="shared" si="729"/>
        <v>-4692592.2462459691</v>
      </c>
      <c r="AU157" s="19">
        <f t="shared" si="729"/>
        <v>-14030001.601441972</v>
      </c>
      <c r="AV157" s="19">
        <f t="shared" si="729"/>
        <v>-3317796.709500771</v>
      </c>
      <c r="AW157" s="19">
        <f t="shared" si="729"/>
        <v>-1153693.3898401484</v>
      </c>
      <c r="AX157" s="19">
        <f t="shared" si="729"/>
        <v>4157538.8559984937</v>
      </c>
      <c r="AY157" s="19">
        <f t="shared" si="729"/>
        <v>2487104.5014546365</v>
      </c>
      <c r="AZ157" s="19">
        <f t="shared" si="729"/>
        <v>-1603292.4661223441</v>
      </c>
      <c r="BA157" s="19">
        <f t="shared" si="729"/>
        <v>7093517.4633699954</v>
      </c>
      <c r="BB157" s="19">
        <f t="shared" si="729"/>
        <v>2838344.5533764511</v>
      </c>
      <c r="BC157" s="19">
        <f t="shared" si="729"/>
        <v>1175574.9571992122</v>
      </c>
      <c r="BD157" s="19">
        <f t="shared" si="729"/>
        <v>5148716.5323084276</v>
      </c>
      <c r="BE157" s="19">
        <f t="shared" si="729"/>
        <v>2454068.4184583202</v>
      </c>
      <c r="BF157" s="19">
        <f t="shared" si="729"/>
        <v>-775241.52747928351</v>
      </c>
      <c r="BG157" s="19">
        <f t="shared" si="729"/>
        <v>-11105923.423342884</v>
      </c>
      <c r="BH157" s="19">
        <f t="shared" si="729"/>
        <v>9750940.4251490757</v>
      </c>
      <c r="BI157" s="19">
        <f t="shared" si="729"/>
        <v>10863463.400719285</v>
      </c>
      <c r="BJ157" s="19">
        <f t="shared" si="729"/>
        <v>18591410.690422177</v>
      </c>
      <c r="BK157" s="19">
        <f t="shared" si="729"/>
        <v>20218568.027648743</v>
      </c>
      <c r="BL157" s="19">
        <f t="shared" si="729"/>
        <v>14749241.13335859</v>
      </c>
      <c r="BM157" s="19">
        <f t="shared" si="729"/>
        <v>18180690.406666704</v>
      </c>
      <c r="BN157" s="19">
        <f t="shared" si="729"/>
        <v>6604491.923062183</v>
      </c>
      <c r="BO157" s="19">
        <f t="shared" si="729"/>
        <v>4822423.676437147</v>
      </c>
      <c r="BP157" s="19">
        <f t="shared" si="730"/>
        <v>4762071.3213139251</v>
      </c>
      <c r="BQ157" s="19">
        <f t="shared" si="730"/>
        <v>12139042.195131425</v>
      </c>
      <c r="BR157" s="19">
        <f t="shared" si="730"/>
        <v>2105709.6931546032</v>
      </c>
      <c r="BS157" s="19">
        <f t="shared" si="730"/>
        <v>-3811250.9761576317</v>
      </c>
      <c r="BT157" s="19">
        <f t="shared" si="730"/>
        <v>15865207.136833526</v>
      </c>
      <c r="BU157" s="19">
        <f t="shared" si="730"/>
        <v>8186358.2091369405</v>
      </c>
      <c r="BV157" s="19">
        <f t="shared" si="730"/>
        <v>25501129.80849082</v>
      </c>
      <c r="BW157" s="19">
        <f t="shared" si="730"/>
        <v>28238979.00901752</v>
      </c>
      <c r="BX157" s="19">
        <f t="shared" si="730"/>
        <v>20597593.181982256</v>
      </c>
      <c r="BY157" s="19">
        <f t="shared" si="730"/>
        <v>37578382.270789988</v>
      </c>
      <c r="BZ157" s="19">
        <f t="shared" si="730"/>
        <v>18491792.817864958</v>
      </c>
      <c r="CA157" s="19">
        <f t="shared" si="730"/>
        <v>16622774.408502053</v>
      </c>
      <c r="CB157" s="19">
        <f t="shared" si="730"/>
        <v>15925366.855150137</v>
      </c>
      <c r="CC157" s="19">
        <f t="shared" si="730"/>
        <v>24772090.209484953</v>
      </c>
      <c r="CD157" s="19">
        <f t="shared" si="730"/>
        <v>12393041.301920339</v>
      </c>
      <c r="CE157" s="19">
        <f t="shared" si="730"/>
        <v>4989423.2579878494</v>
      </c>
      <c r="CF157" s="19">
        <f t="shared" si="730"/>
        <v>28255254.07412729</v>
      </c>
      <c r="CG157" s="19">
        <f t="shared" si="730"/>
        <v>18397428.721738901</v>
      </c>
      <c r="CH157" s="19">
        <f t="shared" si="730"/>
        <v>38580746.058444858</v>
      </c>
      <c r="CI157" s="19">
        <f t="shared" si="730"/>
        <v>41236988.803294152</v>
      </c>
      <c r="CJ157" s="19">
        <f t="shared" si="730"/>
        <v>31512602.110933017</v>
      </c>
      <c r="CK157" s="19">
        <f t="shared" si="730"/>
        <v>49848816.908055976</v>
      </c>
      <c r="CL157" s="19">
        <f t="shared" ref="CL157:CW157" si="738">CL147-CL152</f>
        <v>22898152.807285585</v>
      </c>
      <c r="CM157" s="19">
        <f t="shared" si="738"/>
        <v>20679358.023356482</v>
      </c>
      <c r="CN157" s="19">
        <f t="shared" si="738"/>
        <v>19817286.316270962</v>
      </c>
      <c r="CO157" s="19">
        <f t="shared" si="738"/>
        <v>29626077.898025207</v>
      </c>
      <c r="CP157" s="19">
        <f t="shared" si="738"/>
        <v>15672998.570975088</v>
      </c>
      <c r="CQ157" s="19">
        <f t="shared" si="738"/>
        <v>7263100.8672421239</v>
      </c>
      <c r="CR157" s="19">
        <f t="shared" si="738"/>
        <v>33177781.224615745</v>
      </c>
      <c r="CS157" s="19">
        <f t="shared" si="738"/>
        <v>22106257.799198821</v>
      </c>
      <c r="CT157" s="19">
        <f t="shared" si="738"/>
        <v>44561345.606760897</v>
      </c>
      <c r="CU157" s="19">
        <f t="shared" si="738"/>
        <v>47477069.296734698</v>
      </c>
      <c r="CV157" s="19">
        <f t="shared" si="738"/>
        <v>36560324.725069925</v>
      </c>
      <c r="CW157" s="19">
        <f t="shared" si="738"/>
        <v>56932567.528831147</v>
      </c>
      <c r="CY157" s="232">
        <f>SUM(AD157:AF157)</f>
        <v>-37373493.174394004</v>
      </c>
      <c r="CZ157" s="232">
        <f>SUM(AG157:AI157)</f>
        <v>-38993054.082862318</v>
      </c>
      <c r="DA157" s="232">
        <f>SUM(AJ157:AL157)</f>
        <v>-36941026.528338715</v>
      </c>
      <c r="DB157" s="232">
        <f>SUM(AM157:AO157)</f>
        <v>-20197006.701334499</v>
      </c>
      <c r="DC157" s="232">
        <f>SUM(AP157:AR157)</f>
        <v>1245577.9195516296</v>
      </c>
      <c r="DD157" s="232">
        <f>SUM(AS157:AU157)</f>
        <v>-17315445.467297472</v>
      </c>
      <c r="DE157" s="232">
        <f>SUM(AV157:AX157)</f>
        <v>-313951.24334242567</v>
      </c>
      <c r="DF157" s="232">
        <f>SUM(AY157:BA157)</f>
        <v>7977329.4987022877</v>
      </c>
      <c r="DG157" s="232">
        <f>SUM(BB157:BD157)</f>
        <v>9162636.0428840909</v>
      </c>
      <c r="DH157" s="232">
        <f>SUM(BE157:BG157)</f>
        <v>-9427096.5323638469</v>
      </c>
      <c r="DI157" s="232">
        <f>SUM(BH157:BJ157)</f>
        <v>39205814.516290538</v>
      </c>
      <c r="DJ157" s="232">
        <f>SUM(BK157:BM157)</f>
        <v>53148499.567674033</v>
      </c>
      <c r="DK157" s="232">
        <f>SUM(BN157:BP157)</f>
        <v>16188986.920813255</v>
      </c>
      <c r="DL157" s="232">
        <f>SUM(BQ157:BS157)</f>
        <v>10433500.912128396</v>
      </c>
      <c r="DM157" s="232">
        <f>SUM(BT157:BV157)</f>
        <v>49552695.154461287</v>
      </c>
      <c r="DN157" s="232">
        <f>SUM(BW157:BY157)</f>
        <v>86414954.461789757</v>
      </c>
      <c r="DO157" s="232">
        <f>SUM(BZ157:CB157)</f>
        <v>51039934.081517145</v>
      </c>
      <c r="DP157" s="232">
        <f>SUM(CC157:CE157)</f>
        <v>42154554.769393139</v>
      </c>
      <c r="DQ157" s="232">
        <f>SUM(CF157:CH157)</f>
        <v>85233428.854311049</v>
      </c>
      <c r="DR157" s="232">
        <f>SUM(CI157:CK157)</f>
        <v>122598407.82228315</v>
      </c>
      <c r="DS157" s="232">
        <f t="shared" si="499"/>
        <v>63394797.146913029</v>
      </c>
      <c r="DT157" s="232">
        <f t="shared" si="500"/>
        <v>52562177.336242422</v>
      </c>
      <c r="DU157" s="232">
        <f t="shared" si="501"/>
        <v>99845384.630575463</v>
      </c>
      <c r="DV157" s="232">
        <f t="shared" si="502"/>
        <v>140969961.55063578</v>
      </c>
      <c r="DX157" s="213">
        <f t="shared" si="732"/>
        <v>-133504580.48692954</v>
      </c>
      <c r="DY157" s="213">
        <f t="shared" si="733"/>
        <v>-8406489.2923859805</v>
      </c>
      <c r="DZ157" s="213">
        <f t="shared" si="734"/>
        <v>92089853.594484806</v>
      </c>
      <c r="EA157" s="213">
        <f t="shared" si="735"/>
        <v>162590137.4491927</v>
      </c>
      <c r="EB157" s="213">
        <f t="shared" si="736"/>
        <v>301026325.52750444</v>
      </c>
      <c r="EC157" s="772">
        <f t="shared" si="503"/>
        <v>356772320.66436672</v>
      </c>
    </row>
    <row r="158" spans="2:134" x14ac:dyDescent="0.2">
      <c r="B158" s="155" t="s">
        <v>237</v>
      </c>
      <c r="C158" s="19">
        <f t="shared" si="737"/>
        <v>203475.88298927096</v>
      </c>
      <c r="D158" s="19">
        <f t="shared" ref="D158:BO158" si="739">D148-D153</f>
        <v>74235.310501297878</v>
      </c>
      <c r="E158" s="19">
        <f t="shared" si="739"/>
        <v>240875.336477442</v>
      </c>
      <c r="F158" s="19">
        <f t="shared" si="739"/>
        <v>52134.397836306664</v>
      </c>
      <c r="G158" s="19">
        <f t="shared" si="739"/>
        <v>-10291.214259839586</v>
      </c>
      <c r="H158" s="19">
        <f t="shared" si="739"/>
        <v>394923.07891028922</v>
      </c>
      <c r="I158" s="19">
        <f t="shared" si="739"/>
        <v>813893.34043852915</v>
      </c>
      <c r="J158" s="19">
        <f t="shared" si="739"/>
        <v>474499.38282153435</v>
      </c>
      <c r="K158" s="19">
        <f t="shared" si="739"/>
        <v>883373.02715372446</v>
      </c>
      <c r="L158" s="19">
        <f t="shared" si="739"/>
        <v>24356.37830486914</v>
      </c>
      <c r="M158" s="19">
        <f t="shared" si="739"/>
        <v>1604990.9790175082</v>
      </c>
      <c r="N158" s="19">
        <f t="shared" si="739"/>
        <v>1888787.1537426235</v>
      </c>
      <c r="O158" s="19">
        <f t="shared" si="739"/>
        <v>2583430.5207495843</v>
      </c>
      <c r="P158" s="19">
        <f t="shared" si="739"/>
        <v>3047654.5262074382</v>
      </c>
      <c r="Q158" s="19">
        <f t="shared" si="739"/>
        <v>1705715.8074460905</v>
      </c>
      <c r="R158" s="19">
        <f t="shared" si="739"/>
        <v>1444266.1441323149</v>
      </c>
      <c r="S158" s="19">
        <f t="shared" si="739"/>
        <v>1372785.8040951418</v>
      </c>
      <c r="T158" s="19">
        <f t="shared" si="739"/>
        <v>1866760.8334801141</v>
      </c>
      <c r="U158" s="19">
        <f t="shared" si="739"/>
        <v>148926.55910185352</v>
      </c>
      <c r="V158" s="19">
        <f t="shared" si="739"/>
        <v>-879358.6255802582</v>
      </c>
      <c r="W158" s="19">
        <f t="shared" si="739"/>
        <v>-1074566.3077800798</v>
      </c>
      <c r="X158" s="19">
        <f t="shared" si="739"/>
        <v>-263542.61688757944</v>
      </c>
      <c r="Y158" s="19">
        <f t="shared" si="739"/>
        <v>724857.92623324366</v>
      </c>
      <c r="Z158" s="19">
        <f t="shared" si="739"/>
        <v>-424291.78252482839</v>
      </c>
      <c r="AA158" s="19">
        <f t="shared" si="739"/>
        <v>1509334.7285337509</v>
      </c>
      <c r="AB158" s="19">
        <f t="shared" si="739"/>
        <v>2965403.7764844755</v>
      </c>
      <c r="AC158" s="19">
        <f t="shared" si="739"/>
        <v>54103.987697905395</v>
      </c>
      <c r="AD158" s="19">
        <f t="shared" si="739"/>
        <v>-21569695.369106986</v>
      </c>
      <c r="AE158" s="19">
        <f t="shared" si="739"/>
        <v>-20265459.421481214</v>
      </c>
      <c r="AF158" s="19">
        <f t="shared" si="739"/>
        <v>-16512564.599337596</v>
      </c>
      <c r="AG158" s="19">
        <f t="shared" si="739"/>
        <v>-23685296.654944241</v>
      </c>
      <c r="AH158" s="19">
        <f t="shared" si="739"/>
        <v>-21042368.585866556</v>
      </c>
      <c r="AI158" s="19">
        <f t="shared" si="739"/>
        <v>-27885564.987966221</v>
      </c>
      <c r="AJ158" s="19">
        <f t="shared" si="739"/>
        <v>-28570332.017860018</v>
      </c>
      <c r="AK158" s="19">
        <f t="shared" si="739"/>
        <v>-18190648.935048133</v>
      </c>
      <c r="AL158" s="19">
        <f t="shared" si="739"/>
        <v>-12390117.495342778</v>
      </c>
      <c r="AM158" s="19">
        <f t="shared" si="739"/>
        <v>-9046035.546495609</v>
      </c>
      <c r="AN158" s="19">
        <f t="shared" si="739"/>
        <v>-10935422.264069974</v>
      </c>
      <c r="AO158" s="19">
        <f t="shared" si="739"/>
        <v>-6256575.2922774293</v>
      </c>
      <c r="AP158" s="19">
        <f t="shared" si="739"/>
        <v>-9095199.5683989488</v>
      </c>
      <c r="AQ158" s="19">
        <f t="shared" si="739"/>
        <v>-9975006.0039139278</v>
      </c>
      <c r="AR158" s="19">
        <f t="shared" si="739"/>
        <v>-3631164.0760602914</v>
      </c>
      <c r="AS158" s="19">
        <f t="shared" si="739"/>
        <v>-6908883.4577067792</v>
      </c>
      <c r="AT158" s="19">
        <f t="shared" si="739"/>
        <v>-5106198.1237039156</v>
      </c>
      <c r="AU158" s="19">
        <f t="shared" si="739"/>
        <v>-1359213.1513094306</v>
      </c>
      <c r="AV158" s="19">
        <f t="shared" si="739"/>
        <v>2644504.1270731725</v>
      </c>
      <c r="AW158" s="19">
        <f t="shared" si="739"/>
        <v>-4457665.6406023987</v>
      </c>
      <c r="AX158" s="19">
        <f t="shared" si="739"/>
        <v>-2884613.6214255057</v>
      </c>
      <c r="AY158" s="19">
        <f t="shared" si="739"/>
        <v>697706.84419139847</v>
      </c>
      <c r="AZ158" s="19">
        <f t="shared" si="739"/>
        <v>-483835.64785162359</v>
      </c>
      <c r="BA158" s="19">
        <f t="shared" si="739"/>
        <v>7406970.5085272118</v>
      </c>
      <c r="BB158" s="19">
        <f t="shared" si="739"/>
        <v>1710632.3264664933</v>
      </c>
      <c r="BC158" s="19">
        <f t="shared" si="739"/>
        <v>2922697.2890875749</v>
      </c>
      <c r="BD158" s="19">
        <f t="shared" si="739"/>
        <v>1787518.3493740521</v>
      </c>
      <c r="BE158" s="19">
        <f t="shared" si="739"/>
        <v>5304471.2996324375</v>
      </c>
      <c r="BF158" s="19">
        <f t="shared" si="739"/>
        <v>4013561.0544041693</v>
      </c>
      <c r="BG158" s="19">
        <f t="shared" si="739"/>
        <v>5861307.9485276975</v>
      </c>
      <c r="BH158" s="19">
        <f t="shared" si="739"/>
        <v>-2254391.6637943313</v>
      </c>
      <c r="BI158" s="19">
        <f t="shared" si="739"/>
        <v>-1431668.4289564639</v>
      </c>
      <c r="BJ158" s="19">
        <f t="shared" si="739"/>
        <v>1341009.7266817875</v>
      </c>
      <c r="BK158" s="19">
        <f t="shared" si="739"/>
        <v>900213.7068814151</v>
      </c>
      <c r="BL158" s="19">
        <f t="shared" si="739"/>
        <v>-8511649.9049917385</v>
      </c>
      <c r="BM158" s="19">
        <f t="shared" si="739"/>
        <v>-5720643.1329464987</v>
      </c>
      <c r="BN158" s="19">
        <f t="shared" si="739"/>
        <v>1450572.8669376336</v>
      </c>
      <c r="BO158" s="19">
        <f t="shared" si="739"/>
        <v>1862428.3641007543</v>
      </c>
      <c r="BP158" s="19">
        <f t="shared" si="730"/>
        <v>1833184.1867874153</v>
      </c>
      <c r="BQ158" s="19">
        <f t="shared" si="730"/>
        <v>2449748.9251440018</v>
      </c>
      <c r="BR158" s="19">
        <f t="shared" si="730"/>
        <v>56600.415000986308</v>
      </c>
      <c r="BS158" s="19">
        <f t="shared" si="730"/>
        <v>3726744.6678271294</v>
      </c>
      <c r="BT158" s="19">
        <f t="shared" si="730"/>
        <v>2140257.0514122844</v>
      </c>
      <c r="BU158" s="19">
        <f t="shared" si="730"/>
        <v>2237737.642456919</v>
      </c>
      <c r="BV158" s="19">
        <f t="shared" si="730"/>
        <v>11715288.106760353</v>
      </c>
      <c r="BW158" s="19">
        <f t="shared" si="730"/>
        <v>15677874.132720165</v>
      </c>
      <c r="BX158" s="19">
        <f t="shared" si="730"/>
        <v>7816064.4649796262</v>
      </c>
      <c r="BY158" s="19">
        <f t="shared" si="730"/>
        <v>11622681.545268185</v>
      </c>
      <c r="BZ158" s="19">
        <f t="shared" si="730"/>
        <v>5815649.4861599654</v>
      </c>
      <c r="CA158" s="19">
        <f t="shared" si="730"/>
        <v>6293870.3120366931</v>
      </c>
      <c r="CB158" s="19">
        <f t="shared" si="730"/>
        <v>6259913.803690508</v>
      </c>
      <c r="CC158" s="19">
        <f t="shared" si="730"/>
        <v>6975830.1879912466</v>
      </c>
      <c r="CD158" s="19">
        <f t="shared" si="730"/>
        <v>4197055.9216538817</v>
      </c>
      <c r="CE158" s="19">
        <f t="shared" si="730"/>
        <v>8458597.7191122025</v>
      </c>
      <c r="CF158" s="19">
        <f t="shared" si="730"/>
        <v>6661426.6176166236</v>
      </c>
      <c r="CG158" s="19">
        <f t="shared" si="730"/>
        <v>6774614.9787709117</v>
      </c>
      <c r="CH158" s="19">
        <f t="shared" si="730"/>
        <v>17779353.391995013</v>
      </c>
      <c r="CI158" s="19">
        <f t="shared" si="730"/>
        <v>22380460.272915989</v>
      </c>
      <c r="CJ158" s="19">
        <f t="shared" si="730"/>
        <v>13251818.945824042</v>
      </c>
      <c r="CK158" s="19">
        <f t="shared" si="730"/>
        <v>17671824.44889833</v>
      </c>
      <c r="CL158" s="19">
        <f t="shared" ref="CL158:CW158" si="740">CL148-CL153</f>
        <v>11575701.087665711</v>
      </c>
      <c r="CM158" s="19">
        <f t="shared" si="740"/>
        <v>12135861.092523221</v>
      </c>
      <c r="CN158" s="19">
        <f t="shared" si="740"/>
        <v>12096086.417622205</v>
      </c>
      <c r="CO158" s="19">
        <f t="shared" si="740"/>
        <v>12934669.146787543</v>
      </c>
      <c r="CP158" s="19">
        <f t="shared" si="740"/>
        <v>9679774.917378854</v>
      </c>
      <c r="CQ158" s="19">
        <f t="shared" si="740"/>
        <v>14671496.617469933</v>
      </c>
      <c r="CR158" s="19">
        <f t="shared" si="740"/>
        <v>12617936.506591123</v>
      </c>
      <c r="CS158" s="19">
        <f t="shared" si="740"/>
        <v>12750518.756261524</v>
      </c>
      <c r="CT158" s="19">
        <f t="shared" si="740"/>
        <v>25640827.980467495</v>
      </c>
      <c r="CU158" s="19">
        <f t="shared" si="740"/>
        <v>31030296.429569613</v>
      </c>
      <c r="CV158" s="19">
        <f t="shared" si="740"/>
        <v>20337537.993650984</v>
      </c>
      <c r="CW158" s="19">
        <f t="shared" si="740"/>
        <v>25514874.84328061</v>
      </c>
      <c r="CY158" s="232">
        <f>SUM(AD158:AF158)</f>
        <v>-58347719.389925793</v>
      </c>
      <c r="CZ158" s="232">
        <f>SUM(AG158:AI158)</f>
        <v>-72613230.228777021</v>
      </c>
      <c r="DA158" s="232">
        <f>SUM(AJ158:AL158)</f>
        <v>-59151098.448250927</v>
      </c>
      <c r="DB158" s="232">
        <f>SUM(AM158:AO158)</f>
        <v>-26238033.102843013</v>
      </c>
      <c r="DC158" s="232">
        <f>SUM(AP158:AR158)</f>
        <v>-22701369.648373168</v>
      </c>
      <c r="DD158" s="232">
        <f>SUM(AS158:AU158)</f>
        <v>-13374294.732720125</v>
      </c>
      <c r="DE158" s="232">
        <f>SUM(AV158:AX158)</f>
        <v>-4697775.1349547319</v>
      </c>
      <c r="DF158" s="232">
        <f>SUM(AY158:BA158)</f>
        <v>7620841.7048669867</v>
      </c>
      <c r="DG158" s="232">
        <f>SUM(BB158:BD158)</f>
        <v>6420847.9649281204</v>
      </c>
      <c r="DH158" s="232">
        <f>SUM(BE158:BG158)</f>
        <v>15179340.302564304</v>
      </c>
      <c r="DI158" s="232">
        <f>SUM(BH158:BJ158)</f>
        <v>-2345050.3660690077</v>
      </c>
      <c r="DJ158" s="232">
        <f>SUM(BK158:BM158)</f>
        <v>-13332079.331056822</v>
      </c>
      <c r="DK158" s="232">
        <f>SUM(BN158:BP158)</f>
        <v>5146185.4178258032</v>
      </c>
      <c r="DL158" s="232">
        <f>SUM(BQ158:BS158)</f>
        <v>6233094.0079721175</v>
      </c>
      <c r="DM158" s="232">
        <f>SUM(BT158:BV158)</f>
        <v>16093282.800629556</v>
      </c>
      <c r="DN158" s="232">
        <f>SUM(BW158:BY158)</f>
        <v>35116620.142967977</v>
      </c>
      <c r="DO158" s="232">
        <f>SUM(BZ158:CB158)</f>
        <v>18369433.601887167</v>
      </c>
      <c r="DP158" s="232">
        <f>SUM(CC158:CE158)</f>
        <v>19631483.828757331</v>
      </c>
      <c r="DQ158" s="232">
        <f>SUM(CF158:CH158)</f>
        <v>31215394.988382548</v>
      </c>
      <c r="DR158" s="232">
        <f>SUM(CI158:CK158)</f>
        <v>53304103.667638361</v>
      </c>
      <c r="DS158" s="232">
        <f t="shared" si="499"/>
        <v>35807648.597811133</v>
      </c>
      <c r="DT158" s="232">
        <f t="shared" si="500"/>
        <v>37285940.681636333</v>
      </c>
      <c r="DU158" s="232">
        <f t="shared" si="501"/>
        <v>51009283.243320137</v>
      </c>
      <c r="DV158" s="232">
        <f t="shared" si="502"/>
        <v>76882709.266501203</v>
      </c>
      <c r="DX158" s="213">
        <f t="shared" si="732"/>
        <v>-216350081.16979676</v>
      </c>
      <c r="DY158" s="213">
        <f t="shared" si="733"/>
        <v>-33152597.811181042</v>
      </c>
      <c r="DZ158" s="213">
        <f t="shared" si="734"/>
        <v>5923058.5703665949</v>
      </c>
      <c r="EA158" s="213">
        <f t="shared" si="735"/>
        <v>62589182.36939545</v>
      </c>
      <c r="EB158" s="213">
        <f t="shared" si="736"/>
        <v>122520416.08666541</v>
      </c>
      <c r="EC158" s="772">
        <f t="shared" si="503"/>
        <v>200985581.78926879</v>
      </c>
    </row>
    <row r="159" spans="2:134" x14ac:dyDescent="0.2">
      <c r="B159" s="150" t="s">
        <v>59</v>
      </c>
      <c r="C159" s="217">
        <f>C156/C50</f>
        <v>3.2237791202358236E-2</v>
      </c>
      <c r="D159" s="217">
        <f t="shared" ref="D159:BO159" si="741">D156/D50</f>
        <v>3.8451277890323772E-2</v>
      </c>
      <c r="E159" s="217">
        <f t="shared" si="741"/>
        <v>4.705879421052956E-2</v>
      </c>
      <c r="F159" s="217">
        <f t="shared" si="741"/>
        <v>-5.8034126157738189E-2</v>
      </c>
      <c r="G159" s="217">
        <f t="shared" si="741"/>
        <v>-1.3604627520483272</v>
      </c>
      <c r="H159" s="217">
        <f t="shared" si="741"/>
        <v>-2.0253152656413632E-2</v>
      </c>
      <c r="I159" s="217">
        <f t="shared" si="741"/>
        <v>3.9669686027291777E-3</v>
      </c>
      <c r="J159" s="217">
        <f t="shared" si="741"/>
        <v>-1.2181137947417627E-2</v>
      </c>
      <c r="K159" s="217">
        <f t="shared" si="741"/>
        <v>-7.2712319698536943E-3</v>
      </c>
      <c r="L159" s="217">
        <f t="shared" si="741"/>
        <v>-3.9420037722570495E-2</v>
      </c>
      <c r="M159" s="217">
        <f t="shared" si="741"/>
        <v>5.7171859241983911E-2</v>
      </c>
      <c r="N159" s="217">
        <f t="shared" si="741"/>
        <v>5.4528345418503467E-2</v>
      </c>
      <c r="O159" s="217">
        <f t="shared" si="741"/>
        <v>2.971668914358111E-2</v>
      </c>
      <c r="P159" s="217">
        <f t="shared" si="741"/>
        <v>4.6405625709296267E-2</v>
      </c>
      <c r="Q159" s="217">
        <f t="shared" si="741"/>
        <v>2.0804377964724313E-2</v>
      </c>
      <c r="R159" s="217">
        <f t="shared" si="741"/>
        <v>-1.2532376829761597E-3</v>
      </c>
      <c r="S159" s="217">
        <f t="shared" si="741"/>
        <v>-3.6139573436572421E-3</v>
      </c>
      <c r="T159" s="217">
        <f t="shared" si="741"/>
        <v>5.2733349668957355E-3</v>
      </c>
      <c r="U159" s="217">
        <f t="shared" si="741"/>
        <v>-9.8571265333033224E-3</v>
      </c>
      <c r="V159" s="217">
        <f t="shared" si="741"/>
        <v>-4.7063657868913644E-2</v>
      </c>
      <c r="W159" s="217">
        <f t="shared" si="741"/>
        <v>-8.8052839133383604E-2</v>
      </c>
      <c r="X159" s="217">
        <f t="shared" si="741"/>
        <v>-5.4466410615122585E-2</v>
      </c>
      <c r="Y159" s="217">
        <f t="shared" si="741"/>
        <v>-4.5276464839268428E-2</v>
      </c>
      <c r="Z159" s="217">
        <f t="shared" si="741"/>
        <v>-2.2723651132653181E-2</v>
      </c>
      <c r="AA159" s="217">
        <f t="shared" si="741"/>
        <v>-5.1917091069993626E-3</v>
      </c>
      <c r="AB159" s="217">
        <f t="shared" si="741"/>
        <v>4.7113430196200875E-3</v>
      </c>
      <c r="AC159" s="217">
        <f t="shared" si="741"/>
        <v>8.3706193597787252E-3</v>
      </c>
      <c r="AD159" s="217">
        <f t="shared" si="741"/>
        <v>-8.0896453553611997E-2</v>
      </c>
      <c r="AE159" s="217">
        <f t="shared" si="741"/>
        <v>-6.388328174740987E-2</v>
      </c>
      <c r="AF159" s="217">
        <f t="shared" si="741"/>
        <v>-5.0662356439749798E-2</v>
      </c>
      <c r="AG159" s="217">
        <f t="shared" si="741"/>
        <v>-8.4476965574120905E-2</v>
      </c>
      <c r="AH159" s="217">
        <f t="shared" si="741"/>
        <v>-7.1252627253562906E-2</v>
      </c>
      <c r="AI159" s="217">
        <f t="shared" si="741"/>
        <v>-0.10001090282049026</v>
      </c>
      <c r="AJ159" s="217">
        <f t="shared" si="741"/>
        <v>-5.8910464136079865E-2</v>
      </c>
      <c r="AK159" s="217">
        <f t="shared" si="741"/>
        <v>-5.522066729589202E-2</v>
      </c>
      <c r="AL159" s="217">
        <f t="shared" si="741"/>
        <v>-5.5323977928543482E-2</v>
      </c>
      <c r="AM159" s="217">
        <f t="shared" si="741"/>
        <v>-4.9508752536727464E-2</v>
      </c>
      <c r="AN159" s="217">
        <f t="shared" si="741"/>
        <v>-4.1446159233306877E-2</v>
      </c>
      <c r="AO159" s="217">
        <f t="shared" si="741"/>
        <v>-1.478292147548192E-2</v>
      </c>
      <c r="AP159" s="217">
        <f t="shared" si="741"/>
        <v>-2.5687548279139567E-2</v>
      </c>
      <c r="AQ159" s="217">
        <f t="shared" si="741"/>
        <v>-1.7321906233078905E-2</v>
      </c>
      <c r="AR159" s="217">
        <f t="shared" si="741"/>
        <v>1.2951035072353799E-3</v>
      </c>
      <c r="AS159" s="217">
        <f t="shared" si="741"/>
        <v>-1.0013428384800373E-2</v>
      </c>
      <c r="AT159" s="217">
        <f t="shared" si="741"/>
        <v>-2.0056726559225663E-2</v>
      </c>
      <c r="AU159" s="217">
        <f t="shared" si="741"/>
        <v>-3.3468845897381187E-2</v>
      </c>
      <c r="AV159" s="217">
        <f t="shared" si="741"/>
        <v>-1.1781915577976185E-3</v>
      </c>
      <c r="AW159" s="217">
        <f t="shared" si="741"/>
        <v>-1.0520223682761818E-2</v>
      </c>
      <c r="AX159" s="217">
        <f t="shared" si="741"/>
        <v>2.0038329254719843E-3</v>
      </c>
      <c r="AY159" s="217">
        <f t="shared" si="741"/>
        <v>4.7018434221928664E-3</v>
      </c>
      <c r="AZ159" s="217">
        <f t="shared" si="741"/>
        <v>-3.2397189392779644E-3</v>
      </c>
      <c r="BA159" s="217">
        <f t="shared" si="741"/>
        <v>1.7509226907658808E-2</v>
      </c>
      <c r="BB159" s="217">
        <f t="shared" si="741"/>
        <v>5.9778132277617862E-3</v>
      </c>
      <c r="BC159" s="217">
        <f t="shared" si="741"/>
        <v>5.5046162137936568E-3</v>
      </c>
      <c r="BD159" s="217">
        <f t="shared" si="741"/>
        <v>9.2252705446036493E-3</v>
      </c>
      <c r="BE159" s="217">
        <f t="shared" si="741"/>
        <v>9.576744930445585E-3</v>
      </c>
      <c r="BF159" s="217">
        <f t="shared" si="741"/>
        <v>4.6432188813991821E-3</v>
      </c>
      <c r="BG159" s="217">
        <f t="shared" si="741"/>
        <v>-6.9571948358751997E-3</v>
      </c>
      <c r="BH159" s="217">
        <f t="shared" si="741"/>
        <v>6.0371665455654418E-3</v>
      </c>
      <c r="BI159" s="217">
        <f t="shared" si="741"/>
        <v>9.0689693217129944E-3</v>
      </c>
      <c r="BJ159" s="217">
        <f t="shared" si="741"/>
        <v>1.726055363034211E-2</v>
      </c>
      <c r="BK159" s="217">
        <f t="shared" si="741"/>
        <v>1.6536906484148333E-2</v>
      </c>
      <c r="BL159" s="217">
        <f t="shared" si="741"/>
        <v>3.5100934897531522E-3</v>
      </c>
      <c r="BM159" s="217">
        <f t="shared" si="741"/>
        <v>8.3114855514056524E-3</v>
      </c>
      <c r="BN159" s="217">
        <f t="shared" si="741"/>
        <v>5.6194728475689104E-3</v>
      </c>
      <c r="BO159" s="217">
        <f t="shared" si="741"/>
        <v>4.360009971068779E-3</v>
      </c>
      <c r="BP159" s="217">
        <f t="shared" ref="BP159:EB159" si="742">BP156/BP50</f>
        <v>4.2827740563841079E-3</v>
      </c>
      <c r="BQ159" s="217">
        <f t="shared" si="742"/>
        <v>1.1390277455826133E-2</v>
      </c>
      <c r="BR159" s="217">
        <f t="shared" si="742"/>
        <v>-5.1584986297599073E-5</v>
      </c>
      <c r="BS159" s="217">
        <f t="shared" si="742"/>
        <v>-2.2256755207592693E-3</v>
      </c>
      <c r="BT159" s="217">
        <f t="shared" si="742"/>
        <v>1.4192859047489651E-2</v>
      </c>
      <c r="BU159" s="217">
        <f t="shared" si="742"/>
        <v>7.8012826360654951E-3</v>
      </c>
      <c r="BV159" s="217">
        <f t="shared" si="742"/>
        <v>2.7649237392315923E-2</v>
      </c>
      <c r="BW159" s="217">
        <f t="shared" si="742"/>
        <v>3.1559993870865159E-2</v>
      </c>
      <c r="BX159" s="217">
        <f t="shared" si="742"/>
        <v>2.1965954467393519E-2</v>
      </c>
      <c r="BY159" s="217">
        <f t="shared" si="742"/>
        <v>3.474546251776172E-2</v>
      </c>
      <c r="BZ159" s="217">
        <f t="shared" si="742"/>
        <v>1.7457329119793932E-2</v>
      </c>
      <c r="CA159" s="217">
        <f t="shared" si="742"/>
        <v>1.6497977392294472E-2</v>
      </c>
      <c r="CB159" s="217">
        <f t="shared" si="742"/>
        <v>1.5992333540737935E-2</v>
      </c>
      <c r="CC159" s="217">
        <f t="shared" si="742"/>
        <v>2.2403011590024405E-2</v>
      </c>
      <c r="CD159" s="217">
        <f t="shared" si="742"/>
        <v>1.1917761608619428E-2</v>
      </c>
      <c r="CE159" s="217">
        <f t="shared" si="742"/>
        <v>9.5041918275581352E-3</v>
      </c>
      <c r="CF159" s="217">
        <f t="shared" si="742"/>
        <v>2.436204238078651E-2</v>
      </c>
      <c r="CG159" s="217">
        <f t="shared" si="742"/>
        <v>1.8068389901280305E-2</v>
      </c>
      <c r="CH159" s="217">
        <f t="shared" si="742"/>
        <v>3.568206104985993E-2</v>
      </c>
      <c r="CI159" s="217">
        <f t="shared" si="742"/>
        <v>3.8882344535637658E-2</v>
      </c>
      <c r="CJ159" s="217">
        <f t="shared" si="742"/>
        <v>2.9907279182204777E-2</v>
      </c>
      <c r="CK159" s="217">
        <f t="shared" si="742"/>
        <v>4.0848890695977601E-2</v>
      </c>
      <c r="CL159" s="217">
        <f t="shared" ref="CL159:CW159" si="743">CL156/CL50</f>
        <v>2.197956993475652E-2</v>
      </c>
      <c r="CM159" s="217">
        <f t="shared" si="743"/>
        <v>2.1029033505232629E-2</v>
      </c>
      <c r="CN159" s="217">
        <f t="shared" si="743"/>
        <v>2.0512921571514568E-2</v>
      </c>
      <c r="CO159" s="217">
        <f t="shared" si="743"/>
        <v>2.6435141383299356E-2</v>
      </c>
      <c r="CP159" s="217">
        <f t="shared" si="743"/>
        <v>1.6566183266193153E-2</v>
      </c>
      <c r="CQ159" s="217">
        <f t="shared" si="743"/>
        <v>1.4350483625168163E-2</v>
      </c>
      <c r="CR159" s="217">
        <f t="shared" si="743"/>
        <v>2.809420120975618E-2</v>
      </c>
      <c r="CS159" s="217">
        <f t="shared" si="743"/>
        <v>2.2205126689600056E-2</v>
      </c>
      <c r="CT159" s="217">
        <f t="shared" si="743"/>
        <v>3.8757137781140129E-2</v>
      </c>
      <c r="CU159" s="217">
        <f t="shared" si="743"/>
        <v>4.1779668599177464E-2</v>
      </c>
      <c r="CV159" s="217">
        <f t="shared" si="743"/>
        <v>3.3262466986291796E-2</v>
      </c>
      <c r="CW159" s="217">
        <f t="shared" si="743"/>
        <v>4.3488806437935935E-2</v>
      </c>
      <c r="CY159" s="217">
        <f t="shared" si="742"/>
        <v>-6.4735631254068685E-2</v>
      </c>
      <c r="CZ159" s="217">
        <f t="shared" si="742"/>
        <v>-8.5284688371872558E-2</v>
      </c>
      <c r="DA159" s="217">
        <f t="shared" si="742"/>
        <v>-5.6681837514628859E-2</v>
      </c>
      <c r="DB159" s="217">
        <f t="shared" si="742"/>
        <v>-3.4384005173888656E-2</v>
      </c>
      <c r="DC159" s="217">
        <f t="shared" si="742"/>
        <v>-1.3482457568566477E-2</v>
      </c>
      <c r="DD159" s="217">
        <f t="shared" si="742"/>
        <v>-2.04899240785212E-2</v>
      </c>
      <c r="DE159" s="217">
        <f t="shared" si="742"/>
        <v>-2.8801440334007603E-3</v>
      </c>
      <c r="DF159" s="217">
        <f t="shared" si="742"/>
        <v>7.2558149582241365E-3</v>
      </c>
      <c r="DG159" s="217">
        <f t="shared" si="742"/>
        <v>6.9033939199315397E-3</v>
      </c>
      <c r="DH159" s="217">
        <f t="shared" si="742"/>
        <v>2.5436490057873136E-3</v>
      </c>
      <c r="DI159" s="217">
        <f t="shared" si="742"/>
        <v>1.1133841672087759E-2</v>
      </c>
      <c r="DJ159" s="217">
        <f t="shared" si="742"/>
        <v>9.6090161919404216E-3</v>
      </c>
      <c r="DK159" s="217">
        <f t="shared" si="742"/>
        <v>4.7569975381523844E-3</v>
      </c>
      <c r="DL159" s="217">
        <f t="shared" si="742"/>
        <v>3.3161538557774928E-3</v>
      </c>
      <c r="DM159" s="217">
        <f t="shared" si="742"/>
        <v>1.7204982534570881E-2</v>
      </c>
      <c r="DN159" s="217">
        <f t="shared" si="742"/>
        <v>2.9712877832648411E-2</v>
      </c>
      <c r="DO159" s="217">
        <f t="shared" si="742"/>
        <v>1.6652401656432603E-2</v>
      </c>
      <c r="DP159" s="217">
        <f t="shared" si="742"/>
        <v>1.4877649542405115E-2</v>
      </c>
      <c r="DQ159" s="217">
        <f t="shared" si="742"/>
        <v>2.6604504829185117E-2</v>
      </c>
      <c r="DR159" s="217">
        <f t="shared" si="742"/>
        <v>3.6792929734147335E-2</v>
      </c>
      <c r="DS159" s="217">
        <f t="shared" si="742"/>
        <v>2.1177200395286751E-2</v>
      </c>
      <c r="DT159" s="217">
        <f t="shared" si="742"/>
        <v>1.9369410563678382E-2</v>
      </c>
      <c r="DU159" s="217">
        <f t="shared" si="742"/>
        <v>3.0220497781542455E-2</v>
      </c>
      <c r="DV159" s="217">
        <f t="shared" si="742"/>
        <v>3.9742473075454997E-2</v>
      </c>
      <c r="DW159" s="809"/>
      <c r="DX159" s="217">
        <f t="shared" si="742"/>
        <v>-5.997796301952088E-2</v>
      </c>
      <c r="DY159" s="217">
        <f t="shared" si="742"/>
        <v>-5.9548549801930264E-3</v>
      </c>
      <c r="DZ159" s="217">
        <f t="shared" si="742"/>
        <v>7.8830033572171113E-3</v>
      </c>
      <c r="EA159" s="217">
        <f t="shared" si="742"/>
        <v>1.4795650189110532E-2</v>
      </c>
      <c r="EB159" s="217">
        <f t="shared" si="742"/>
        <v>2.4526471168817805E-2</v>
      </c>
      <c r="EC159" s="217">
        <f t="shared" ref="EC159" si="744">EC156/EC50</f>
        <v>2.8355878561998241E-2</v>
      </c>
      <c r="ED159" s="80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A83D-C60B-4F37-ACDF-15318E9E0BB8}">
  <sheetPr>
    <tabColor theme="7" tint="0.59999389629810485"/>
  </sheetPr>
  <dimension ref="B2:EL176"/>
  <sheetViews>
    <sheetView showGridLines="0" zoomScale="88" workbookViewId="0">
      <pane xSplit="2" ySplit="2" topLeftCell="BR74" activePane="bottomRight" state="frozen"/>
      <selection activeCell="B3" sqref="B3"/>
      <selection pane="topRight" activeCell="B3" sqref="B3"/>
      <selection pane="bottomLeft" activeCell="B3" sqref="B3"/>
      <selection pane="bottomRight" activeCell="BU105" sqref="BU105"/>
    </sheetView>
  </sheetViews>
  <sheetFormatPr baseColWidth="10" defaultColWidth="8.6640625" defaultRowHeight="15" x14ac:dyDescent="0.2"/>
  <cols>
    <col min="1" max="1" width="2.6640625" customWidth="1"/>
    <col min="2" max="2" width="33.6640625" bestFit="1" customWidth="1"/>
    <col min="3" max="4" width="15.1640625" bestFit="1" customWidth="1"/>
    <col min="5" max="8" width="17.5" bestFit="1" customWidth="1"/>
    <col min="9" max="13" width="17.6640625" bestFit="1" customWidth="1"/>
    <col min="14" max="14" width="16.1640625" bestFit="1" customWidth="1"/>
    <col min="15" max="15" width="17.5" bestFit="1" customWidth="1"/>
    <col min="16" max="20" width="17.6640625" bestFit="1" customWidth="1"/>
    <col min="21" max="21" width="18.6640625" bestFit="1" customWidth="1"/>
    <col min="22" max="24" width="18.5" bestFit="1" customWidth="1"/>
    <col min="25" max="33" width="18.6640625" bestFit="1" customWidth="1"/>
    <col min="34" max="61" width="19.33203125" bestFit="1" customWidth="1"/>
    <col min="62" max="62" width="18.6640625" bestFit="1" customWidth="1"/>
    <col min="63" max="66" width="19.33203125" bestFit="1" customWidth="1"/>
    <col min="67" max="67" width="18.6640625" bestFit="1" customWidth="1"/>
    <col min="68" max="77" width="19.33203125" bestFit="1" customWidth="1"/>
    <col min="78" max="78" width="21.1640625" bestFit="1" customWidth="1"/>
    <col min="79" max="80" width="20.6640625" bestFit="1" customWidth="1"/>
    <col min="81" max="82" width="21.1640625" bestFit="1" customWidth="1"/>
    <col min="83" max="83" width="20.6640625" bestFit="1" customWidth="1"/>
    <col min="84" max="87" width="21.1640625" bestFit="1" customWidth="1"/>
    <col min="88" max="88" width="20.6640625" bestFit="1" customWidth="1"/>
    <col min="89" max="91" width="21.1640625" bestFit="1" customWidth="1"/>
    <col min="92" max="92" width="20.5" bestFit="1" customWidth="1"/>
    <col min="93" max="93" width="21.1640625" bestFit="1" customWidth="1"/>
    <col min="94" max="96" width="20.6640625" bestFit="1" customWidth="1"/>
    <col min="97" max="108" width="20.6640625" customWidth="1"/>
    <col min="110" max="110" width="14" bestFit="1" customWidth="1"/>
    <col min="111" max="111" width="12.5" bestFit="1" customWidth="1"/>
    <col min="112" max="112" width="14" bestFit="1" customWidth="1"/>
    <col min="113" max="113" width="12.5" bestFit="1" customWidth="1"/>
    <col min="114" max="114" width="14" bestFit="1" customWidth="1"/>
    <col min="115" max="115" width="12.5" bestFit="1" customWidth="1"/>
    <col min="116" max="119" width="14" bestFit="1" customWidth="1"/>
    <col min="120" max="129" width="14.1640625" bestFit="1" customWidth="1"/>
    <col min="130" max="133" width="14.1640625" customWidth="1"/>
    <col min="135" max="137" width="14" bestFit="1" customWidth="1"/>
    <col min="138" max="139" width="15" bestFit="1" customWidth="1"/>
    <col min="140" max="140" width="15" customWidth="1"/>
  </cols>
  <sheetData>
    <row r="2" spans="2:142" x14ac:dyDescent="0.2">
      <c r="B2" s="175" t="s">
        <v>190</v>
      </c>
      <c r="C2" s="124">
        <v>43988</v>
      </c>
      <c r="D2" s="124">
        <v>44019</v>
      </c>
      <c r="E2" s="124">
        <v>44050</v>
      </c>
      <c r="F2" s="124">
        <v>44081</v>
      </c>
      <c r="G2" s="124">
        <v>44112</v>
      </c>
      <c r="H2" s="124">
        <v>44143</v>
      </c>
      <c r="I2" s="124">
        <v>44174</v>
      </c>
      <c r="J2" s="124">
        <v>44205</v>
      </c>
      <c r="K2" s="124">
        <v>44236</v>
      </c>
      <c r="L2" s="124">
        <v>44267</v>
      </c>
      <c r="M2" s="124">
        <v>44298</v>
      </c>
      <c r="N2" s="124">
        <v>44329</v>
      </c>
      <c r="O2" s="124">
        <v>44360</v>
      </c>
      <c r="P2" s="124">
        <v>44391</v>
      </c>
      <c r="Q2" s="124">
        <v>44422</v>
      </c>
      <c r="R2" s="124">
        <v>44453</v>
      </c>
      <c r="S2" s="124">
        <v>44484</v>
      </c>
      <c r="T2" s="124">
        <v>44515</v>
      </c>
      <c r="U2" s="124">
        <v>44546</v>
      </c>
      <c r="V2" s="124">
        <v>44577</v>
      </c>
      <c r="W2" s="124">
        <v>44608</v>
      </c>
      <c r="X2" s="124">
        <v>44639</v>
      </c>
      <c r="Y2" s="124">
        <v>44670</v>
      </c>
      <c r="Z2" s="124">
        <v>44701</v>
      </c>
      <c r="AA2" s="124">
        <v>44732</v>
      </c>
      <c r="AB2" s="124">
        <v>44763</v>
      </c>
      <c r="AC2" s="124">
        <v>44794</v>
      </c>
      <c r="AD2" s="124">
        <v>44825</v>
      </c>
      <c r="AE2" s="124">
        <v>44856</v>
      </c>
      <c r="AF2" s="124">
        <v>44887</v>
      </c>
      <c r="AG2" s="124">
        <v>44918</v>
      </c>
      <c r="AH2" s="124">
        <v>44949</v>
      </c>
      <c r="AI2" s="124">
        <v>44980</v>
      </c>
      <c r="AJ2" s="124">
        <v>45011</v>
      </c>
      <c r="AK2" s="124">
        <v>45042</v>
      </c>
      <c r="AL2" s="124">
        <v>45073</v>
      </c>
      <c r="AM2" s="124">
        <v>45104</v>
      </c>
      <c r="AN2" s="124">
        <v>45135</v>
      </c>
      <c r="AO2" s="124">
        <v>45166</v>
      </c>
      <c r="AP2" s="124">
        <v>45197</v>
      </c>
      <c r="AQ2" s="124">
        <v>45228</v>
      </c>
      <c r="AR2" s="124">
        <v>45259</v>
      </c>
      <c r="AS2" s="124">
        <v>45290</v>
      </c>
      <c r="AT2" s="124">
        <v>45321</v>
      </c>
      <c r="AU2" s="124">
        <v>45351</v>
      </c>
      <c r="AV2" s="124">
        <v>45381</v>
      </c>
      <c r="AW2" s="124">
        <v>45411</v>
      </c>
      <c r="AX2" s="124">
        <v>45441</v>
      </c>
      <c r="AY2" s="124">
        <v>45471</v>
      </c>
      <c r="AZ2" s="124">
        <v>45501</v>
      </c>
      <c r="BA2" s="124">
        <v>45531</v>
      </c>
      <c r="BB2" s="124">
        <v>45561</v>
      </c>
      <c r="BC2" s="124">
        <v>45591</v>
      </c>
      <c r="BD2" s="124">
        <v>45621</v>
      </c>
      <c r="BE2" s="124">
        <v>45651</v>
      </c>
      <c r="BF2" s="124">
        <v>45681</v>
      </c>
      <c r="BG2" s="124">
        <v>45711</v>
      </c>
      <c r="BH2" s="124">
        <v>45741</v>
      </c>
      <c r="BI2" s="124">
        <v>45771</v>
      </c>
      <c r="BJ2" s="124">
        <v>45801</v>
      </c>
      <c r="BK2" s="124">
        <v>45831</v>
      </c>
      <c r="BL2" s="124">
        <v>45861</v>
      </c>
      <c r="BM2" s="124">
        <v>45891</v>
      </c>
      <c r="BN2" s="124">
        <v>45921</v>
      </c>
      <c r="BO2" s="124">
        <v>45951</v>
      </c>
      <c r="BP2" s="124">
        <v>45981</v>
      </c>
      <c r="BQ2" s="124">
        <v>46011</v>
      </c>
      <c r="BR2" s="124">
        <v>46041</v>
      </c>
      <c r="BS2" s="124">
        <v>46071</v>
      </c>
      <c r="BT2" s="124">
        <v>46101</v>
      </c>
      <c r="BU2" s="124">
        <v>46131</v>
      </c>
      <c r="BV2" s="124">
        <v>46161</v>
      </c>
      <c r="BW2" s="124">
        <v>46191</v>
      </c>
      <c r="BX2" s="124">
        <v>46221</v>
      </c>
      <c r="BY2" s="124">
        <v>46251</v>
      </c>
      <c r="BZ2" s="124">
        <v>46281</v>
      </c>
      <c r="CA2" s="124">
        <v>46311</v>
      </c>
      <c r="CB2" s="124">
        <v>46341</v>
      </c>
      <c r="CC2" s="124">
        <v>46371</v>
      </c>
      <c r="CD2" s="124">
        <v>46401</v>
      </c>
      <c r="CE2" s="124">
        <v>46431</v>
      </c>
      <c r="CF2" s="124">
        <v>46461</v>
      </c>
      <c r="CG2" s="124">
        <v>46491</v>
      </c>
      <c r="CH2" s="124">
        <v>46521</v>
      </c>
      <c r="CI2" s="124">
        <v>46551</v>
      </c>
      <c r="CJ2" s="124">
        <v>46581</v>
      </c>
      <c r="CK2" s="124">
        <v>46611</v>
      </c>
      <c r="CL2" s="124">
        <v>46641</v>
      </c>
      <c r="CM2" s="124">
        <v>46671</v>
      </c>
      <c r="CN2" s="124">
        <v>46701</v>
      </c>
      <c r="CO2" s="124">
        <v>46731</v>
      </c>
      <c r="CP2" s="124">
        <v>46761</v>
      </c>
      <c r="CQ2" s="124">
        <v>46791</v>
      </c>
      <c r="CR2" s="124">
        <v>46821</v>
      </c>
      <c r="CS2" s="124">
        <v>46851</v>
      </c>
      <c r="CT2" s="124">
        <v>46881</v>
      </c>
      <c r="CU2" s="124">
        <v>46911</v>
      </c>
      <c r="CV2" s="124">
        <v>46941</v>
      </c>
      <c r="CW2" s="124">
        <v>46971</v>
      </c>
      <c r="CX2" s="124">
        <v>47001</v>
      </c>
      <c r="CY2" s="124">
        <v>47031</v>
      </c>
      <c r="CZ2" s="124">
        <v>47061</v>
      </c>
      <c r="DA2" s="124">
        <v>47091</v>
      </c>
      <c r="DB2" s="124">
        <v>47121</v>
      </c>
      <c r="DC2" s="124">
        <v>47151</v>
      </c>
      <c r="DD2" s="124">
        <v>47181</v>
      </c>
      <c r="DF2" s="124" t="s">
        <v>77</v>
      </c>
      <c r="DG2" s="124" t="s">
        <v>78</v>
      </c>
      <c r="DH2" s="124" t="s">
        <v>79</v>
      </c>
      <c r="DI2" s="124" t="s">
        <v>80</v>
      </c>
      <c r="DJ2" s="124" t="s">
        <v>81</v>
      </c>
      <c r="DK2" s="124" t="s">
        <v>82</v>
      </c>
      <c r="DL2" s="124" t="s">
        <v>83</v>
      </c>
      <c r="DM2" s="124" t="s">
        <v>84</v>
      </c>
      <c r="DN2" s="124" t="s">
        <v>85</v>
      </c>
      <c r="DO2" s="124" t="s">
        <v>86</v>
      </c>
      <c r="DP2" s="124" t="s">
        <v>87</v>
      </c>
      <c r="DQ2" s="124" t="s">
        <v>88</v>
      </c>
      <c r="DR2" s="124" t="s">
        <v>117</v>
      </c>
      <c r="DS2" s="124" t="s">
        <v>118</v>
      </c>
      <c r="DT2" s="124" t="s">
        <v>119</v>
      </c>
      <c r="DU2" s="124" t="s">
        <v>120</v>
      </c>
      <c r="DV2" s="124" t="s">
        <v>121</v>
      </c>
      <c r="DW2" s="124" t="s">
        <v>122</v>
      </c>
      <c r="DX2" s="124" t="s">
        <v>123</v>
      </c>
      <c r="DY2" s="124" t="s">
        <v>124</v>
      </c>
      <c r="DZ2" s="124" t="s">
        <v>583</v>
      </c>
      <c r="EA2" s="124" t="s">
        <v>584</v>
      </c>
      <c r="EB2" s="124" t="s">
        <v>585</v>
      </c>
      <c r="EC2" s="124" t="s">
        <v>581</v>
      </c>
      <c r="EE2" s="124" t="s">
        <v>486</v>
      </c>
      <c r="EF2" s="124" t="s">
        <v>128</v>
      </c>
      <c r="EG2" s="124" t="s">
        <v>125</v>
      </c>
      <c r="EH2" s="124" t="s">
        <v>126</v>
      </c>
      <c r="EI2" s="124" t="s">
        <v>127</v>
      </c>
      <c r="EJ2" s="124" t="s">
        <v>582</v>
      </c>
    </row>
    <row r="3" spans="2:142" x14ac:dyDescent="0.2">
      <c r="B3" s="196" t="s">
        <v>2</v>
      </c>
      <c r="C3" s="199">
        <f>SUM(C4:C7)</f>
        <v>8784488.4499999993</v>
      </c>
      <c r="D3" s="199">
        <f t="shared" ref="D3:BO3" si="0">SUM(D4:D7)</f>
        <v>8220964</v>
      </c>
      <c r="E3" s="199">
        <f t="shared" si="0"/>
        <v>11152693.66</v>
      </c>
      <c r="F3" s="199">
        <f t="shared" si="0"/>
        <v>13666226.199999999</v>
      </c>
      <c r="G3" s="199">
        <f t="shared" si="0"/>
        <v>14105378.369999999</v>
      </c>
      <c r="H3" s="199">
        <f t="shared" si="0"/>
        <v>19649555</v>
      </c>
      <c r="I3" s="199">
        <f t="shared" si="0"/>
        <v>43378772.509999998</v>
      </c>
      <c r="J3" s="199">
        <f t="shared" si="0"/>
        <v>44307804.639999993</v>
      </c>
      <c r="K3" s="199">
        <f t="shared" si="0"/>
        <v>45537527.779999986</v>
      </c>
      <c r="L3" s="199">
        <f t="shared" si="0"/>
        <v>49014180.030000098</v>
      </c>
      <c r="M3" s="199">
        <f t="shared" si="0"/>
        <v>29638478.379999973</v>
      </c>
      <c r="N3" s="199">
        <f t="shared" si="0"/>
        <v>728899.62000000034</v>
      </c>
      <c r="O3" s="199">
        <f t="shared" si="0"/>
        <v>22119751.369999997</v>
      </c>
      <c r="P3" s="199">
        <f t="shared" si="0"/>
        <v>32574556.639999952</v>
      </c>
      <c r="Q3" s="199">
        <f t="shared" si="0"/>
        <v>41207755.070000052</v>
      </c>
      <c r="R3" s="199">
        <f t="shared" si="0"/>
        <v>55565076.070000172</v>
      </c>
      <c r="S3" s="199">
        <f t="shared" si="0"/>
        <v>66150442.44000034</v>
      </c>
      <c r="T3" s="199">
        <f t="shared" si="0"/>
        <v>94292695.270000279</v>
      </c>
      <c r="U3" s="199">
        <f t="shared" si="0"/>
        <v>114426575.24000114</v>
      </c>
      <c r="V3" s="199">
        <f t="shared" si="0"/>
        <v>112899577.48000291</v>
      </c>
      <c r="W3" s="199">
        <f t="shared" si="0"/>
        <v>121681117.4599963</v>
      </c>
      <c r="X3" s="199">
        <f t="shared" si="0"/>
        <v>136308118.46999502</v>
      </c>
      <c r="Y3" s="199">
        <f t="shared" si="0"/>
        <v>120821523.58999594</v>
      </c>
      <c r="Z3" s="199">
        <f t="shared" si="0"/>
        <v>147039713.57000482</v>
      </c>
      <c r="AA3" s="199">
        <f t="shared" si="0"/>
        <v>174069339.44999015</v>
      </c>
      <c r="AB3" s="199">
        <f t="shared" si="0"/>
        <v>176465205.17999822</v>
      </c>
      <c r="AC3" s="199">
        <f t="shared" si="0"/>
        <v>182471278.71000534</v>
      </c>
      <c r="AD3" s="199">
        <f t="shared" si="0"/>
        <v>174539353.44999975</v>
      </c>
      <c r="AE3" s="199">
        <f t="shared" si="0"/>
        <v>191776624.96999565</v>
      </c>
      <c r="AF3" s="199">
        <f t="shared" si="0"/>
        <v>196179147.49999794</v>
      </c>
      <c r="AG3" s="199">
        <f t="shared" si="0"/>
        <v>238775211.24001384</v>
      </c>
      <c r="AH3" s="199">
        <f t="shared" si="0"/>
        <v>261788993.19999886</v>
      </c>
      <c r="AI3" s="199">
        <f t="shared" si="0"/>
        <v>259812967.05000448</v>
      </c>
      <c r="AJ3" s="199">
        <f t="shared" si="0"/>
        <v>330012662.03998053</v>
      </c>
      <c r="AK3" s="199">
        <f t="shared" si="0"/>
        <v>355052087.23952562</v>
      </c>
      <c r="AL3" s="199">
        <f t="shared" si="0"/>
        <v>377828876.41002584</v>
      </c>
      <c r="AM3" s="199">
        <f t="shared" si="0"/>
        <v>373778384.43003833</v>
      </c>
      <c r="AN3" s="199">
        <f t="shared" si="0"/>
        <v>332980790.84004146</v>
      </c>
      <c r="AO3" s="199">
        <f t="shared" si="0"/>
        <v>334194565.95196956</v>
      </c>
      <c r="AP3" s="199">
        <f t="shared" si="0"/>
        <v>314696281.25039017</v>
      </c>
      <c r="AQ3" s="199">
        <f t="shared" si="0"/>
        <v>438333007.70424289</v>
      </c>
      <c r="AR3" s="199">
        <f t="shared" si="0"/>
        <v>380871517.84648663</v>
      </c>
      <c r="AS3" s="199">
        <f t="shared" si="0"/>
        <v>331570422.52705711</v>
      </c>
      <c r="AT3" s="199">
        <f t="shared" si="0"/>
        <v>299879970.71914715</v>
      </c>
      <c r="AU3" s="199">
        <f t="shared" si="0"/>
        <v>279031670.34520602</v>
      </c>
      <c r="AV3" s="199">
        <f t="shared" si="0"/>
        <v>337099434.33302683</v>
      </c>
      <c r="AW3" s="199">
        <f t="shared" si="0"/>
        <v>355053450.1030286</v>
      </c>
      <c r="AX3" s="199">
        <f t="shared" si="0"/>
        <v>354228123.69021481</v>
      </c>
      <c r="AY3" s="199">
        <f t="shared" si="0"/>
        <v>376653140.7750445</v>
      </c>
      <c r="AZ3" s="199">
        <f t="shared" si="0"/>
        <v>363405003.58000946</v>
      </c>
      <c r="BA3" s="199">
        <f t="shared" si="0"/>
        <v>309852765.26000243</v>
      </c>
      <c r="BB3" s="199">
        <f t="shared" si="0"/>
        <v>273180907.97662252</v>
      </c>
      <c r="BC3" s="199">
        <f t="shared" si="0"/>
        <v>365433546.21159124</v>
      </c>
      <c r="BD3" s="199">
        <f t="shared" si="0"/>
        <v>364585249.00000501</v>
      </c>
      <c r="BE3" s="199">
        <f t="shared" si="0"/>
        <v>433160677.27055454</v>
      </c>
      <c r="BF3" s="199">
        <f t="shared" si="0"/>
        <v>450069449.49034607</v>
      </c>
      <c r="BG3" s="199">
        <f t="shared" si="0"/>
        <v>426337810.18006098</v>
      </c>
      <c r="BH3" s="199">
        <f t="shared" si="0"/>
        <v>527896467.0001055</v>
      </c>
      <c r="BI3" s="199">
        <f t="shared" si="0"/>
        <v>517606585.08013833</v>
      </c>
      <c r="BJ3" s="199">
        <f t="shared" si="0"/>
        <v>500661605.62000364</v>
      </c>
      <c r="BK3" s="199">
        <f t="shared" si="0"/>
        <v>506117125.06098431</v>
      </c>
      <c r="BL3" s="199">
        <f t="shared" si="0"/>
        <v>558298024.91000116</v>
      </c>
      <c r="BM3" s="199">
        <f t="shared" si="0"/>
        <v>473005887.96000177</v>
      </c>
      <c r="BN3" s="199">
        <f t="shared" si="0"/>
        <v>447096525.3699975</v>
      </c>
      <c r="BO3" s="199">
        <f t="shared" si="0"/>
        <v>627791340.85999608</v>
      </c>
      <c r="BP3" s="199">
        <f t="shared" ref="BP3:CR3" si="1">SUM(BP4:BP7)</f>
        <v>567296872.5</v>
      </c>
      <c r="BQ3" s="199">
        <f t="shared" si="1"/>
        <v>700534581.04999578</v>
      </c>
      <c r="BR3" s="199">
        <f t="shared" si="1"/>
        <v>748385244.50999868</v>
      </c>
      <c r="BS3" s="199">
        <f t="shared" si="1"/>
        <v>723323798.41999519</v>
      </c>
      <c r="BT3" s="199">
        <f t="shared" si="1"/>
        <v>864519334.05999899</v>
      </c>
      <c r="BU3" s="199">
        <f t="shared" si="1"/>
        <v>737989073.86666751</v>
      </c>
      <c r="BV3" s="199">
        <f t="shared" si="1"/>
        <v>722574647.77873051</v>
      </c>
      <c r="BW3" s="199">
        <f t="shared" si="1"/>
        <v>720997887.15389311</v>
      </c>
      <c r="BX3" s="199">
        <f t="shared" si="1"/>
        <v>781109395.03303659</v>
      </c>
      <c r="BY3" s="199">
        <f t="shared" si="1"/>
        <v>697294898.53641617</v>
      </c>
      <c r="BZ3" s="199">
        <f t="shared" si="1"/>
        <v>647064530.43506396</v>
      </c>
      <c r="CA3" s="199">
        <f t="shared" si="1"/>
        <v>808598278.00979507</v>
      </c>
      <c r="CB3" s="199">
        <f t="shared" si="1"/>
        <v>744198980.9264791</v>
      </c>
      <c r="CC3" s="199">
        <f t="shared" si="1"/>
        <v>886258133.258811</v>
      </c>
      <c r="CD3" s="199">
        <f t="shared" si="1"/>
        <v>908115191.8933655</v>
      </c>
      <c r="CE3" s="199">
        <f t="shared" si="1"/>
        <v>844024817.57253087</v>
      </c>
      <c r="CF3" s="199">
        <f t="shared" si="1"/>
        <v>982610537.43466365</v>
      </c>
      <c r="CG3" s="199">
        <f t="shared" si="1"/>
        <v>900570799.22483706</v>
      </c>
      <c r="CH3" s="199">
        <f t="shared" si="1"/>
        <v>883984984.75429392</v>
      </c>
      <c r="CI3" s="199">
        <f t="shared" si="1"/>
        <v>877476569.44785905</v>
      </c>
      <c r="CJ3" s="199">
        <f t="shared" si="1"/>
        <v>950103982.01738727</v>
      </c>
      <c r="CK3" s="199">
        <f t="shared" si="1"/>
        <v>846373515.76854718</v>
      </c>
      <c r="CL3" s="199">
        <f t="shared" si="1"/>
        <v>783534276.01435351</v>
      </c>
      <c r="CM3" s="199">
        <f t="shared" si="1"/>
        <v>976081630.91126382</v>
      </c>
      <c r="CN3" s="199">
        <f t="shared" si="1"/>
        <v>893618971.76344955</v>
      </c>
      <c r="CO3" s="199">
        <f t="shared" si="1"/>
        <v>1060607450.8975278</v>
      </c>
      <c r="CP3" s="199">
        <f t="shared" si="1"/>
        <v>1082268967.1592412</v>
      </c>
      <c r="CQ3" s="199">
        <f t="shared" si="1"/>
        <v>1000912723.9789027</v>
      </c>
      <c r="CR3" s="199">
        <f t="shared" si="1"/>
        <v>1152585823.4251366</v>
      </c>
      <c r="CS3" s="199">
        <f t="shared" ref="CS3:DD3" si="2">SUM(CS4:CS7)</f>
        <v>1026394846.791955</v>
      </c>
      <c r="CT3" s="199">
        <f t="shared" si="2"/>
        <v>1006491838.4605958</v>
      </c>
      <c r="CU3" s="199">
        <f t="shared" si="2"/>
        <v>998445988.73163915</v>
      </c>
      <c r="CV3" s="199">
        <f t="shared" si="2"/>
        <v>1080709300.7647989</v>
      </c>
      <c r="CW3" s="199">
        <f t="shared" si="2"/>
        <v>961497232.58673429</v>
      </c>
      <c r="CX3" s="199">
        <f t="shared" si="2"/>
        <v>888822963.44401336</v>
      </c>
      <c r="CY3" s="199">
        <f t="shared" si="2"/>
        <v>1107767898.1264563</v>
      </c>
      <c r="CZ3" s="199">
        <f t="shared" si="2"/>
        <v>1013317883.9193017</v>
      </c>
      <c r="DA3" s="199">
        <f t="shared" si="2"/>
        <v>1202983753.2857544</v>
      </c>
      <c r="DB3" s="199">
        <f t="shared" si="2"/>
        <v>1227284970.6029537</v>
      </c>
      <c r="DC3" s="199">
        <f t="shared" si="2"/>
        <v>1134144873.706372</v>
      </c>
      <c r="DD3" s="199">
        <f t="shared" si="2"/>
        <v>1306183304.5721023</v>
      </c>
      <c r="DF3" s="199">
        <f>SUM(AK3:AM3)</f>
        <v>1106659348.0795898</v>
      </c>
      <c r="DG3" s="199">
        <f>SUM(AN3:AP3)</f>
        <v>981871638.04240119</v>
      </c>
      <c r="DH3" s="199">
        <f>SUM(AQ3:AS3)</f>
        <v>1150774948.0777867</v>
      </c>
      <c r="DI3" s="199">
        <f>SUM(AT3:AV3)</f>
        <v>916011075.39738011</v>
      </c>
      <c r="DJ3" s="199">
        <f>SUM(AW3:AY3)</f>
        <v>1085934714.5682878</v>
      </c>
      <c r="DK3" s="199">
        <f>SUM(AZ3:BB3)</f>
        <v>946438676.81663442</v>
      </c>
      <c r="DL3" s="199">
        <f>SUM(BC3:BE3)</f>
        <v>1163179472.4821508</v>
      </c>
      <c r="DM3" s="199">
        <f>SUM(BF3:BH3)</f>
        <v>1404303726.6705127</v>
      </c>
      <c r="DN3" s="199">
        <f>SUM(BI3:BK3)</f>
        <v>1524385315.7611263</v>
      </c>
      <c r="DO3" s="199">
        <f>SUM(BL3:BN3)</f>
        <v>1478400438.2400005</v>
      </c>
      <c r="DP3" s="199">
        <f>SUM(BO3:BQ3)</f>
        <v>1895622794.4099917</v>
      </c>
      <c r="DQ3" s="199">
        <f>SUM(BR3:BT3)</f>
        <v>2336228376.9899931</v>
      </c>
      <c r="DR3" s="199">
        <f>SUM(BU3:BW3)</f>
        <v>2181561608.7992911</v>
      </c>
      <c r="DS3" s="199">
        <f>SUM(BX3:BZ3)</f>
        <v>2125468824.0045166</v>
      </c>
      <c r="DT3" s="199">
        <f>SUM(CA3:CC3)</f>
        <v>2439055392.195085</v>
      </c>
      <c r="DU3" s="199">
        <f>SUM(CD3:CF3)</f>
        <v>2734750546.9005599</v>
      </c>
      <c r="DV3" s="199">
        <f>SUM(CG3:CI3)</f>
        <v>2662032353.42699</v>
      </c>
      <c r="DW3" s="199">
        <f>SUM(CJ3:CL3)</f>
        <v>2580011773.8002882</v>
      </c>
      <c r="DX3" s="199">
        <f>SUM(CM3:CO3)</f>
        <v>2930308053.5722413</v>
      </c>
      <c r="DY3" s="199">
        <f>SUM(CP3:CR3)</f>
        <v>3235767514.5632806</v>
      </c>
      <c r="DZ3" s="199">
        <f>SUM(CS3:CU3)</f>
        <v>3031332673.98419</v>
      </c>
      <c r="EA3" s="199">
        <f>SUM(CV3:CX3)</f>
        <v>2931029496.7955465</v>
      </c>
      <c r="EB3" s="199">
        <f>SUM(CY3:DA3)</f>
        <v>3324069535.3315125</v>
      </c>
      <c r="EC3" s="199">
        <f>SUM(DB3:DD3)</f>
        <v>3667613148.8814278</v>
      </c>
      <c r="EE3" s="199">
        <f>SUM(DF3:DI3)</f>
        <v>4155317009.5971575</v>
      </c>
      <c r="EF3" s="199">
        <f>SUM(DJ3:DM3)</f>
        <v>4599856590.5375862</v>
      </c>
      <c r="EG3" s="199">
        <f>SUM(DN3:DQ3)</f>
        <v>7234636925.4011116</v>
      </c>
      <c r="EH3" s="199">
        <f>SUM(DR3:DU3)</f>
        <v>9480836371.8994541</v>
      </c>
      <c r="EI3" s="199">
        <f>SUM(DV3:DY3)</f>
        <v>11408119695.362799</v>
      </c>
      <c r="EJ3" s="810">
        <f>SUM(DZ3:EC3)</f>
        <v>12954044854.992676</v>
      </c>
    </row>
    <row r="4" spans="2:142" x14ac:dyDescent="0.2">
      <c r="B4" s="167" t="s">
        <v>139</v>
      </c>
      <c r="C4" s="19">
        <f>'P&amp;L - Inputs'!AB377</f>
        <v>4988930.4400000004</v>
      </c>
      <c r="D4" s="19">
        <f>'P&amp;L - Inputs'!AC377</f>
        <v>4117994</v>
      </c>
      <c r="E4" s="19">
        <f>'P&amp;L - Inputs'!AD377</f>
        <v>6819143.1500000004</v>
      </c>
      <c r="F4" s="19">
        <f>'P&amp;L - Inputs'!AE377</f>
        <v>9903184.4000000004</v>
      </c>
      <c r="G4" s="19">
        <f>'P&amp;L - Inputs'!AF377</f>
        <v>10556070.029999999</v>
      </c>
      <c r="H4" s="19">
        <f>'P&amp;L - Inputs'!AG377</f>
        <v>16196801</v>
      </c>
      <c r="I4" s="19">
        <f>'P&amp;L - Inputs'!AH377</f>
        <v>39870979.100000001</v>
      </c>
      <c r="J4" s="19">
        <f>'P&amp;L - Inputs'!AI377</f>
        <v>40759585.979999997</v>
      </c>
      <c r="K4" s="19">
        <f>'P&amp;L - Inputs'!AJ377</f>
        <v>41652311.779999986</v>
      </c>
      <c r="L4" s="19">
        <f>'P&amp;L - Inputs'!AK377</f>
        <v>44495444.060000099</v>
      </c>
      <c r="M4" s="19">
        <f>'P&amp;L - Inputs'!AL377</f>
        <v>26883725.249999974</v>
      </c>
      <c r="N4" s="19">
        <f>'P&amp;L - Inputs'!AM377</f>
        <v>721505.06000000029</v>
      </c>
      <c r="O4" s="19">
        <f>'P&amp;L - Inputs'!AN377</f>
        <v>17421627.459999997</v>
      </c>
      <c r="P4" s="19">
        <f>'P&amp;L - Inputs'!AO377</f>
        <v>25879520.179999951</v>
      </c>
      <c r="Q4" s="19">
        <f>'P&amp;L - Inputs'!AP377</f>
        <v>33983700.790000051</v>
      </c>
      <c r="R4" s="19">
        <f>'P&amp;L - Inputs'!AQ377</f>
        <v>46491626.070000172</v>
      </c>
      <c r="S4" s="19">
        <f>'P&amp;L - Inputs'!AR377</f>
        <v>57472120.100000344</v>
      </c>
      <c r="T4" s="19">
        <f>'P&amp;L - Inputs'!AS377</f>
        <v>84978373.91000028</v>
      </c>
      <c r="U4" s="19">
        <f>'P&amp;L - Inputs'!AT377</f>
        <v>101108531.90000114</v>
      </c>
      <c r="V4" s="19">
        <f>'P&amp;L - Inputs'!AU377</f>
        <v>99854735.73000291</v>
      </c>
      <c r="W4" s="19">
        <f>'P&amp;L - Inputs'!AV377</f>
        <v>108673687.2199963</v>
      </c>
      <c r="X4" s="19">
        <f>'P&amp;L - Inputs'!AW377</f>
        <v>122748740.16999501</v>
      </c>
      <c r="Y4" s="19">
        <f>'P&amp;L - Inputs'!AX377</f>
        <v>106378748.60999593</v>
      </c>
      <c r="Z4" s="19">
        <f>'P&amp;L - Inputs'!AY377</f>
        <v>130881046.39000481</v>
      </c>
      <c r="AA4" s="19">
        <f>'P&amp;L - Inputs'!AZ377</f>
        <v>156933465.87999016</v>
      </c>
      <c r="AB4" s="19">
        <f>'P&amp;L - Inputs'!BA377</f>
        <v>156671218.99999821</v>
      </c>
      <c r="AC4" s="19">
        <f>'P&amp;L - Inputs'!BB377</f>
        <v>161047976.79000536</v>
      </c>
      <c r="AD4" s="19">
        <f>'P&amp;L - Inputs'!BC377</f>
        <v>153516431.93999976</v>
      </c>
      <c r="AE4" s="19">
        <f>'P&amp;L - Inputs'!BD377</f>
        <v>171770291.64999565</v>
      </c>
      <c r="AF4" s="19">
        <f>'P&amp;L - Inputs'!BE377</f>
        <v>176306303.24999794</v>
      </c>
      <c r="AG4" s="19">
        <f>'P&amp;L - Inputs'!BF377</f>
        <v>218562642.15001383</v>
      </c>
      <c r="AH4" s="19">
        <f>'P&amp;L - Inputs'!BG377</f>
        <v>239543162.08999884</v>
      </c>
      <c r="AI4" s="19">
        <f>'P&amp;L - Inputs'!BH377</f>
        <v>237861286.1300045</v>
      </c>
      <c r="AJ4" s="19">
        <f>'P&amp;L - Inputs'!BI377</f>
        <v>307112209.61998051</v>
      </c>
      <c r="AK4" s="19">
        <f>'P&amp;L - Inputs'!BJ377</f>
        <v>331247452.51002562</v>
      </c>
      <c r="AL4" s="19">
        <f>'P&amp;L - Inputs'!BK377</f>
        <v>352862390.41002584</v>
      </c>
      <c r="AM4" s="19">
        <f>'P&amp;L - Inputs'!BL377</f>
        <v>347308513.82003832</v>
      </c>
      <c r="AN4" s="19">
        <f>'P&amp;L - Inputs'!BM377</f>
        <v>305611979.04004145</v>
      </c>
      <c r="AO4" s="19">
        <f>'P&amp;L - Inputs'!BN377</f>
        <v>302944856.08996952</v>
      </c>
      <c r="AP4" s="19">
        <f>'P&amp;L - Inputs'!BO377</f>
        <v>286685390.22003019</v>
      </c>
      <c r="AQ4" s="19">
        <f>'P&amp;L - Inputs'!BP377</f>
        <v>406229554.78254288</v>
      </c>
      <c r="AR4" s="19">
        <f>'P&amp;L - Inputs'!BQ377</f>
        <v>356900249.68254626</v>
      </c>
      <c r="AS4" s="19">
        <f>'P&amp;L - Inputs'!BR377</f>
        <v>308946523.69609708</v>
      </c>
      <c r="AT4" s="19">
        <f>'P&amp;L - Inputs'!BS377</f>
        <v>278499313.80915147</v>
      </c>
      <c r="AU4" s="19">
        <f>'P&amp;L - Inputs'!BT377</f>
        <v>256713670.98305085</v>
      </c>
      <c r="AV4" s="19">
        <f>'P&amp;L - Inputs'!BU377</f>
        <v>311524850.34305489</v>
      </c>
      <c r="AW4" s="19">
        <f>'P&amp;L - Inputs'!BV377</f>
        <v>327982013.98305601</v>
      </c>
      <c r="AX4" s="19">
        <f>'P&amp;L - Inputs'!BW377</f>
        <v>325838078.57000411</v>
      </c>
      <c r="AY4" s="19">
        <f>'P&amp;L - Inputs'!BX377</f>
        <v>345435036.7700063</v>
      </c>
      <c r="AZ4" s="19">
        <f>'P&amp;L - Inputs'!BY377</f>
        <v>331048534.83000529</v>
      </c>
      <c r="BA4" s="19">
        <f>'P&amp;L - Inputs'!BZ377</f>
        <v>278155190.40000242</v>
      </c>
      <c r="BB4" s="19">
        <f>'P&amp;L - Inputs'!CA377</f>
        <v>243418973.07000488</v>
      </c>
      <c r="BC4" s="19">
        <f>'P&amp;L - Inputs'!CB377</f>
        <v>331641015.35000378</v>
      </c>
      <c r="BD4" s="19">
        <f>'P&amp;L - Inputs'!CC377</f>
        <v>335110838.380005</v>
      </c>
      <c r="BE4" s="19">
        <f>'P&amp;L - Inputs'!CD377</f>
        <v>398587891.63436681</v>
      </c>
      <c r="BF4" s="19">
        <f>'P&amp;L - Inputs'!CE377</f>
        <v>415932381.67034614</v>
      </c>
      <c r="BG4" s="19">
        <f>'P&amp;L - Inputs'!CF377</f>
        <v>395855141.99006104</v>
      </c>
      <c r="BH4" s="19">
        <f>'P&amp;L - Inputs'!CG377</f>
        <v>489465459.28010553</v>
      </c>
      <c r="BI4" s="19">
        <f>'P&amp;L - Inputs'!CH377</f>
        <v>481915569.90013832</v>
      </c>
      <c r="BJ4" s="19">
        <f>'P&amp;L - Inputs'!CI377</f>
        <v>463449808.51000363</v>
      </c>
      <c r="BK4" s="19">
        <f>'P&amp;L - Inputs'!CJ377</f>
        <v>471871293.07098442</v>
      </c>
      <c r="BL4" s="19">
        <f>'P&amp;L - Inputs'!CK377</f>
        <v>518723367.32000118</v>
      </c>
      <c r="BM4" s="19">
        <f>'P&amp;L - Inputs'!CL377</f>
        <v>431340424.13000178</v>
      </c>
      <c r="BN4" s="19">
        <f>'P&amp;L - Inputs'!CM377</f>
        <v>407717177.29999751</v>
      </c>
      <c r="BO4" s="19">
        <f>'P&amp;L - Inputs'!CN377</f>
        <v>579535243.67999601</v>
      </c>
      <c r="BP4" s="19">
        <f>'P&amp;L - Inputs'!CO377</f>
        <v>520631637.99000001</v>
      </c>
      <c r="BQ4" s="19">
        <f>'P&amp;L - Inputs'!CP377</f>
        <v>642704999.81999576</v>
      </c>
      <c r="BR4" s="19">
        <f>'P&amp;L - Inputs'!CQ377</f>
        <v>693528857.92999864</v>
      </c>
      <c r="BS4" s="19">
        <f>'P&amp;L - Inputs'!CR377</f>
        <v>670349875.98999512</v>
      </c>
      <c r="BT4" s="19">
        <f>'P&amp;L - Inputs'!CS377</f>
        <v>786420330.02999902</v>
      </c>
      <c r="BU4" s="19">
        <f>'P&amp;L - Inputs'!CT377</f>
        <v>682663923.92343342</v>
      </c>
      <c r="BV4" s="19">
        <f>'P&amp;L - Inputs'!CU377</f>
        <v>666865977.7248261</v>
      </c>
      <c r="BW4" s="19">
        <f>'P&amp;L - Inputs'!CV377</f>
        <v>664632807.68911266</v>
      </c>
      <c r="BX4" s="19">
        <f>'P&amp;L - Inputs'!CW377</f>
        <v>724076395.5251888</v>
      </c>
      <c r="BY4" s="19">
        <f>'P&amp;L - Inputs'!CX377</f>
        <v>639915163.46472633</v>
      </c>
      <c r="BZ4" s="19">
        <f>'P&amp;L - Inputs'!CY377</f>
        <v>588990813.35565341</v>
      </c>
      <c r="CA4" s="19">
        <f>'P&amp;L - Inputs'!CZ377</f>
        <v>749474726.00592625</v>
      </c>
      <c r="CB4" s="19">
        <f>'P&amp;L - Inputs'!DA377</f>
        <v>684655583.61870158</v>
      </c>
      <c r="CC4" s="19">
        <f>'P&amp;L - Inputs'!DB377</f>
        <v>825738234.42716336</v>
      </c>
      <c r="CD4" s="19">
        <f>'P&amp;L - Inputs'!DC377</f>
        <v>847071423.70703781</v>
      </c>
      <c r="CE4" s="19">
        <f>'P&amp;L - Inputs'!DD377</f>
        <v>782560040.80488563</v>
      </c>
      <c r="CF4" s="19">
        <f>'P&amp;L - Inputs'!DE377</f>
        <v>919740774.10984468</v>
      </c>
      <c r="CG4" s="19">
        <f>'P&amp;L - Inputs'!DF377</f>
        <v>837568399.60194206</v>
      </c>
      <c r="CH4" s="19">
        <f>'P&amp;L - Inputs'!DG377</f>
        <v>820382693.70944202</v>
      </c>
      <c r="CI4" s="19">
        <f>'P&amp;L - Inputs'!DH377</f>
        <v>813457221.87999296</v>
      </c>
      <c r="CJ4" s="19">
        <f>'P&amp;L - Inputs'!DI377</f>
        <v>885369584.60267842</v>
      </c>
      <c r="CK4" s="19">
        <f>'P&amp;L - Inputs'!DJ377</f>
        <v>781367378.22737277</v>
      </c>
      <c r="CL4" s="19">
        <f>'P&amp;L - Inputs'!DK377</f>
        <v>717881636.34498239</v>
      </c>
      <c r="CM4" s="19">
        <f>'P&amp;L - Inputs'!DL377</f>
        <v>909483153.97634518</v>
      </c>
      <c r="CN4" s="19">
        <f>'P&amp;L - Inputs'!DM377</f>
        <v>826889451.0786016</v>
      </c>
      <c r="CO4" s="19">
        <f>'P&amp;L - Inputs'!DN377</f>
        <v>993028337.27219105</v>
      </c>
      <c r="CP4" s="19">
        <f>'P&amp;L - Inputs'!DO377</f>
        <v>1014387502.7954702</v>
      </c>
      <c r="CQ4" s="19">
        <f>'P&amp;L - Inputs'!DP377</f>
        <v>932896049.55291963</v>
      </c>
      <c r="CR4" s="19">
        <f>'P&amp;L - Inputs'!DQ377</f>
        <v>1083777227.5460474</v>
      </c>
      <c r="CS4" s="19">
        <f>'P&amp;L - Inputs'!DR377</f>
        <v>957619870.21155381</v>
      </c>
      <c r="CT4" s="19">
        <f>'P&amp;L - Inputs'!DS377</f>
        <v>937129461.66040111</v>
      </c>
      <c r="CU4" s="19">
        <f>'P&amp;L - Inputs'!DT377</f>
        <v>928672344.76081371</v>
      </c>
      <c r="CV4" s="19">
        <f>'P&amp;L - Inputs'!DU377</f>
        <v>1010184322.0710346</v>
      </c>
      <c r="CW4" s="19">
        <f>'P&amp;L - Inputs'!DV377</f>
        <v>890758811.17920506</v>
      </c>
      <c r="CX4" s="19">
        <f>'P&amp;L - Inputs'!DW377</f>
        <v>817475074.62664545</v>
      </c>
      <c r="CY4" s="19">
        <f>'P&amp;L - Inputs'!DX377</f>
        <v>1035374769.5004394</v>
      </c>
      <c r="CZ4" s="19">
        <f>'P&amp;L - Inputs'!DY377</f>
        <v>940838851.04431129</v>
      </c>
      <c r="DA4" s="19">
        <f>'P&amp;L - Inputs'!DZ377</f>
        <v>1129569733.6471174</v>
      </c>
      <c r="DB4" s="19">
        <f>'P&amp;L - Inputs'!EA377</f>
        <v>1153558660.1859212</v>
      </c>
      <c r="DC4" s="19">
        <f>'P&amp;L - Inputs'!EB377</f>
        <v>1060327726.4248391</v>
      </c>
      <c r="DD4" s="19">
        <f>'P&amp;L - Inputs'!EC377</f>
        <v>1231497548.2869132</v>
      </c>
      <c r="DF4" s="19">
        <f t="shared" ref="DF4:DF27" si="3">SUM(AK4:AM4)</f>
        <v>1031418356.7400898</v>
      </c>
      <c r="DG4" s="19">
        <f t="shared" ref="DG4:DG27" si="4">SUM(AN4:AP4)</f>
        <v>895242225.35004115</v>
      </c>
      <c r="DH4" s="19">
        <f t="shared" ref="DH4:DH27" si="5">SUM(AQ4:AS4)</f>
        <v>1072076328.1611862</v>
      </c>
      <c r="DI4" s="19">
        <f t="shared" ref="DI4:DI27" si="6">SUM(AT4:AV4)</f>
        <v>846737835.13525724</v>
      </c>
      <c r="DJ4" s="19">
        <f t="shared" ref="DJ4:DJ27" si="7">SUM(AW4:AY4)</f>
        <v>999255129.32306635</v>
      </c>
      <c r="DK4" s="19">
        <f t="shared" ref="DK4:DK27" si="8">SUM(AZ4:BB4)</f>
        <v>852622698.30001259</v>
      </c>
      <c r="DL4" s="19">
        <f t="shared" ref="DL4:DL27" si="9">SUM(BC4:BE4)</f>
        <v>1065339745.3643756</v>
      </c>
      <c r="DM4" s="19">
        <f t="shared" ref="DM4:DM27" si="10">SUM(BF4:BH4)</f>
        <v>1301252982.9405127</v>
      </c>
      <c r="DN4" s="19">
        <f t="shared" ref="DN4:DN27" si="11">SUM(BI4:BK4)</f>
        <v>1417236671.4811263</v>
      </c>
      <c r="DO4" s="19">
        <f t="shared" ref="DO4:DO27" si="12">SUM(BL4:BN4)</f>
        <v>1357780968.7500005</v>
      </c>
      <c r="DP4" s="19">
        <f t="shared" ref="DP4:DP27" si="13">SUM(BO4:BQ4)</f>
        <v>1742871881.4899917</v>
      </c>
      <c r="DQ4" s="19">
        <f t="shared" ref="DQ4:DQ27" si="14">SUM(BR4:BT4)</f>
        <v>2150299063.9499931</v>
      </c>
      <c r="DR4" s="19">
        <f t="shared" ref="DR4:DR27" si="15">SUM(BU4:BW4)</f>
        <v>2014162709.3373723</v>
      </c>
      <c r="DS4" s="19">
        <f t="shared" ref="DS4:DS27" si="16">SUM(BX4:BZ4)</f>
        <v>1952982372.3455687</v>
      </c>
      <c r="DT4" s="19">
        <f t="shared" ref="DT4:DT27" si="17">SUM(CA4:CC4)</f>
        <v>2259868544.0517912</v>
      </c>
      <c r="DU4" s="19">
        <f t="shared" ref="DU4:DU27" si="18">SUM(CD4:CF4)</f>
        <v>2549372238.621768</v>
      </c>
      <c r="DV4" s="19">
        <f t="shared" ref="DV4:DV27" si="19">SUM(CG4:CI4)</f>
        <v>2471408315.1913772</v>
      </c>
      <c r="DW4" s="19">
        <f t="shared" ref="DW4:DW27" si="20">SUM(CJ4:CL4)</f>
        <v>2384618599.1750336</v>
      </c>
      <c r="DX4" s="19">
        <f t="shared" ref="DX4:DX27" si="21">SUM(CM4:CO4)</f>
        <v>2729400942.3271379</v>
      </c>
      <c r="DY4" s="19">
        <f t="shared" ref="DY4:DY27" si="22">SUM(CP4:CR4)</f>
        <v>3031060779.8944373</v>
      </c>
      <c r="DZ4" s="19">
        <f t="shared" ref="DZ4:DZ67" si="23">SUM(CS4:CU4)</f>
        <v>2823421676.6327686</v>
      </c>
      <c r="EA4" s="19">
        <f t="shared" ref="EA4:EA67" si="24">SUM(CV4:CX4)</f>
        <v>2718418207.8768849</v>
      </c>
      <c r="EB4" s="19">
        <f t="shared" ref="EB4:EB67" si="25">SUM(CY4:DA4)</f>
        <v>3105783354.1918678</v>
      </c>
      <c r="EC4" s="19">
        <f t="shared" ref="EC4:EC67" si="26">SUM(DB4:DD4)</f>
        <v>3445383934.8976736</v>
      </c>
      <c r="EE4" s="19">
        <f>SUM(DF4:DI4)</f>
        <v>3845474745.3865743</v>
      </c>
      <c r="EF4" s="19">
        <f>SUM(DJ4:DM4)</f>
        <v>4218470555.9279671</v>
      </c>
      <c r="EG4" s="19">
        <f>SUM(DN4:DQ4)</f>
        <v>6668188585.6711121</v>
      </c>
      <c r="EH4" s="19">
        <f>SUM(DR4:DU4)</f>
        <v>8776385864.3564987</v>
      </c>
      <c r="EI4" s="19">
        <f>SUM(DV4:DY4)</f>
        <v>10616488636.587986</v>
      </c>
      <c r="EJ4" s="770">
        <f t="shared" ref="EJ4:EJ67" si="27">SUM(DZ4:EC4)</f>
        <v>12093007173.599194</v>
      </c>
      <c r="EL4">
        <f>EH4/EG4-1</f>
        <v>0.31615741690563026</v>
      </c>
    </row>
    <row r="5" spans="2:142" x14ac:dyDescent="0.2">
      <c r="B5" s="167" t="s">
        <v>191</v>
      </c>
      <c r="C5" s="19">
        <f>'P&amp;L - Inputs'!AB378</f>
        <v>3655563.01</v>
      </c>
      <c r="D5" s="19">
        <f>'P&amp;L - Inputs'!AC378</f>
        <v>3972387</v>
      </c>
      <c r="E5" s="19">
        <f>'P&amp;L - Inputs'!AD378</f>
        <v>4122520.4</v>
      </c>
      <c r="F5" s="19">
        <f>'P&amp;L - Inputs'!AE378</f>
        <v>3482649.1</v>
      </c>
      <c r="G5" s="19">
        <f>'P&amp;L - Inputs'!AF378</f>
        <v>3286270</v>
      </c>
      <c r="H5" s="19">
        <f>'P&amp;L - Inputs'!AG378</f>
        <v>3164743</v>
      </c>
      <c r="I5" s="19">
        <f>'P&amp;L - Inputs'!AH378</f>
        <v>3181133</v>
      </c>
      <c r="J5" s="19">
        <f>'P&amp;L - Inputs'!AI378</f>
        <v>3167770</v>
      </c>
      <c r="K5" s="19">
        <f>'P&amp;L - Inputs'!AJ378</f>
        <v>2816768</v>
      </c>
      <c r="L5" s="19">
        <f>'P&amp;L - Inputs'!AK378</f>
        <v>3828115</v>
      </c>
      <c r="M5" s="19">
        <f>'P&amp;L - Inputs'!AL378</f>
        <v>2399609</v>
      </c>
      <c r="N5" s="19">
        <f>'P&amp;L - Inputs'!AM378</f>
        <v>0</v>
      </c>
      <c r="O5" s="19">
        <f>'P&amp;L - Inputs'!AN378</f>
        <v>4316723</v>
      </c>
      <c r="P5" s="19">
        <f>'P&amp;L - Inputs'!AO378</f>
        <v>6004305</v>
      </c>
      <c r="Q5" s="19">
        <f>'P&amp;L - Inputs'!AP378</f>
        <v>5531798</v>
      </c>
      <c r="R5" s="19">
        <f>'P&amp;L - Inputs'!AQ378</f>
        <v>6811484</v>
      </c>
      <c r="S5" s="19">
        <f>'P&amp;L - Inputs'!AR378</f>
        <v>6477790</v>
      </c>
      <c r="T5" s="19">
        <f>'P&amp;L - Inputs'!AS378</f>
        <v>6832610</v>
      </c>
      <c r="U5" s="19">
        <f>'P&amp;L - Inputs'!AT378</f>
        <v>9801213.9399999995</v>
      </c>
      <c r="V5" s="19">
        <f>'P&amp;L - Inputs'!AU378</f>
        <v>9717463</v>
      </c>
      <c r="W5" s="19">
        <f>'P&amp;L - Inputs'!AV378</f>
        <v>9709837</v>
      </c>
      <c r="X5" s="19">
        <f>'P&amp;L - Inputs'!AW378</f>
        <v>8969038</v>
      </c>
      <c r="Y5" s="19">
        <f>'P&amp;L - Inputs'!AX378</f>
        <v>11077045</v>
      </c>
      <c r="Z5" s="19">
        <f>'P&amp;L - Inputs'!AY378</f>
        <v>12723867</v>
      </c>
      <c r="AA5" s="19">
        <f>'P&amp;L - Inputs'!AZ378</f>
        <v>12864451</v>
      </c>
      <c r="AB5" s="19">
        <f>'P&amp;L - Inputs'!BA378</f>
        <v>15111163</v>
      </c>
      <c r="AC5" s="19">
        <f>'P&amp;L - Inputs'!BB378</f>
        <v>15860874</v>
      </c>
      <c r="AD5" s="19">
        <f>'P&amp;L - Inputs'!BC378</f>
        <v>14892958</v>
      </c>
      <c r="AE5" s="19">
        <f>'P&amp;L - Inputs'!BD378</f>
        <v>14209739</v>
      </c>
      <c r="AF5" s="19">
        <f>'P&amp;L - Inputs'!BE378</f>
        <v>14997847</v>
      </c>
      <c r="AG5" s="19">
        <f>'P&amp;L - Inputs'!BF378</f>
        <v>15114599</v>
      </c>
      <c r="AH5" s="19">
        <f>'P&amp;L - Inputs'!BG378</f>
        <v>16055224</v>
      </c>
      <c r="AI5" s="19">
        <f>'P&amp;L - Inputs'!BH378</f>
        <v>15120818</v>
      </c>
      <c r="AJ5" s="19">
        <f>'P&amp;L - Inputs'!BI378</f>
        <v>15916436</v>
      </c>
      <c r="AK5" s="19">
        <f>'P&amp;L - Inputs'!BJ378</f>
        <v>16455088</v>
      </c>
      <c r="AL5" s="19">
        <f>'P&amp;L - Inputs'!BK378</f>
        <v>17261755</v>
      </c>
      <c r="AM5" s="19">
        <f>'P&amp;L - Inputs'!BL378</f>
        <v>18137287</v>
      </c>
      <c r="AN5" s="19">
        <f>'P&amp;L - Inputs'!BM378</f>
        <v>19516288</v>
      </c>
      <c r="AO5" s="19">
        <f>'P&amp;L - Inputs'!BN378</f>
        <v>19725098</v>
      </c>
      <c r="AP5" s="19">
        <f>'P&amp;L - Inputs'!BO378</f>
        <v>17099249</v>
      </c>
      <c r="AQ5" s="19">
        <f>'P&amp;L - Inputs'!BP378</f>
        <v>17511393</v>
      </c>
      <c r="AR5" s="19">
        <f>'P&amp;L - Inputs'!BQ378</f>
        <v>14560657</v>
      </c>
      <c r="AS5" s="19">
        <f>'P&amp;L - Inputs'!BR378</f>
        <v>14625126</v>
      </c>
      <c r="AT5" s="19">
        <f>'P&amp;L - Inputs'!BS378</f>
        <v>14384434</v>
      </c>
      <c r="AU5" s="19">
        <f>'P&amp;L - Inputs'!BT378</f>
        <v>14500412</v>
      </c>
      <c r="AV5" s="19">
        <f>'P&amp;L - Inputs'!BU378</f>
        <v>16891021</v>
      </c>
      <c r="AW5" s="19">
        <f>'P&amp;L - Inputs'!BV378</f>
        <v>17959708</v>
      </c>
      <c r="AX5" s="19">
        <f>'P&amp;L - Inputs'!BW378</f>
        <v>19262795</v>
      </c>
      <c r="AY5" s="19">
        <f>'P&amp;L - Inputs'!BX378</f>
        <v>20797660</v>
      </c>
      <c r="AZ5" s="19">
        <f>'P&amp;L - Inputs'!BY378</f>
        <v>22174516.800000001</v>
      </c>
      <c r="BA5" s="19">
        <f>'P&amp;L - Inputs'!BZ378</f>
        <v>21618496</v>
      </c>
      <c r="BB5" s="19">
        <f>'P&amp;L - Inputs'!CA378</f>
        <v>20817939</v>
      </c>
      <c r="BC5" s="19">
        <f>'P&amp;L - Inputs'!CB378</f>
        <v>21207667.68</v>
      </c>
      <c r="BD5" s="19">
        <f>'P&amp;L - Inputs'!CC378</f>
        <v>19255836.920000002</v>
      </c>
      <c r="BE5" s="19">
        <f>'P&amp;L - Inputs'!CD378</f>
        <v>22400620.879999999</v>
      </c>
      <c r="BF5" s="19">
        <f>'P&amp;L - Inputs'!CE378</f>
        <v>21300170.48</v>
      </c>
      <c r="BG5" s="19">
        <f>'P&amp;L - Inputs'!CF378</f>
        <v>18619942.399999999</v>
      </c>
      <c r="BH5" s="19">
        <f>'P&amp;L - Inputs'!CG378</f>
        <v>24707878.719999999</v>
      </c>
      <c r="BI5" s="19">
        <f>'P&amp;L - Inputs'!CH378</f>
        <v>22799477</v>
      </c>
      <c r="BJ5" s="19">
        <f>'P&amp;L - Inputs'!CI378</f>
        <v>23528850</v>
      </c>
      <c r="BK5" s="19">
        <f>'P&amp;L - Inputs'!CJ378</f>
        <v>23644259.399999999</v>
      </c>
      <c r="BL5" s="19">
        <f>'P&amp;L - Inputs'!CK378</f>
        <v>26714167.710000001</v>
      </c>
      <c r="BM5" s="19">
        <f>'P&amp;L - Inputs'!CL378</f>
        <v>30017121.27</v>
      </c>
      <c r="BN5" s="19">
        <f>'P&amp;L - Inputs'!CM378</f>
        <v>25148103.829999998</v>
      </c>
      <c r="BO5" s="19">
        <f>'P&amp;L - Inputs'!CN378</f>
        <v>25669120.719999999</v>
      </c>
      <c r="BP5" s="19">
        <f>'P&amp;L - Inputs'!CO378</f>
        <v>26616200.09</v>
      </c>
      <c r="BQ5" s="19">
        <f>'P&amp;L - Inputs'!CP378</f>
        <v>32153333.34</v>
      </c>
      <c r="BR5" s="19">
        <f>'P&amp;L - Inputs'!CQ378</f>
        <v>31872046.09</v>
      </c>
      <c r="BS5" s="19">
        <f>'P&amp;L - Inputs'!CR378</f>
        <v>31154044.84</v>
      </c>
      <c r="BT5" s="19">
        <f>'P&amp;L - Inputs'!CS378</f>
        <v>53076996.660000004</v>
      </c>
      <c r="BU5" s="19">
        <f>'P&amp;L - Inputs'!CT378</f>
        <v>33804798.704594932</v>
      </c>
      <c r="BV5" s="19">
        <f>'P&amp;L - Inputs'!CU378</f>
        <v>34088872.643289007</v>
      </c>
      <c r="BW5" s="19">
        <f>'P&amp;L - Inputs'!CV378</f>
        <v>34514983.551330119</v>
      </c>
      <c r="BX5" s="19">
        <f>'P&amp;L - Inputs'!CW378</f>
        <v>34799057.490024194</v>
      </c>
      <c r="BY5" s="19">
        <f>'P&amp;L - Inputs'!CX378</f>
        <v>35225168.398065306</v>
      </c>
      <c r="BZ5" s="19">
        <f>'P&amp;L - Inputs'!CY378</f>
        <v>35793316.275453456</v>
      </c>
      <c r="CA5" s="19">
        <f>'P&amp;L - Inputs'!CZ378</f>
        <v>36077390.21414753</v>
      </c>
      <c r="CB5" s="19">
        <f>'P&amp;L - Inputs'!DA378</f>
        <v>36503501.122188643</v>
      </c>
      <c r="CC5" s="19">
        <f>'P&amp;L - Inputs'!DB378</f>
        <v>36787575.060882717</v>
      </c>
      <c r="CD5" s="19">
        <f>'P&amp;L - Inputs'!DC378</f>
        <v>37071648.999576792</v>
      </c>
      <c r="CE5" s="19">
        <f>'P&amp;L - Inputs'!DD378</f>
        <v>37497759.907617904</v>
      </c>
      <c r="CF5" s="19">
        <f>'P&amp;L - Inputs'!DE378</f>
        <v>38065907.785006054</v>
      </c>
      <c r="CG5" s="19">
        <f>'P&amp;L - Inputs'!DF378</f>
        <v>38349981.723700128</v>
      </c>
      <c r="CH5" s="19">
        <f>'P&amp;L - Inputs'!DG378</f>
        <v>38776092.631741241</v>
      </c>
      <c r="CI5" s="19">
        <f>'P&amp;L - Inputs'!DH378</f>
        <v>39060166.570435315</v>
      </c>
      <c r="CJ5" s="19">
        <f>'P&amp;L - Inputs'!DI378</f>
        <v>39344240.50912939</v>
      </c>
      <c r="CK5" s="19">
        <f>'P&amp;L - Inputs'!DJ378</f>
        <v>39770351.417170502</v>
      </c>
      <c r="CL5" s="19">
        <f>'P&amp;L - Inputs'!DK378</f>
        <v>40338499.294558659</v>
      </c>
      <c r="CM5" s="19">
        <f>'P&amp;L - Inputs'!DL378</f>
        <v>40480536.263905697</v>
      </c>
      <c r="CN5" s="19">
        <f>'P&amp;L - Inputs'!DM378</f>
        <v>40764610.202599771</v>
      </c>
      <c r="CO5" s="19">
        <f>'P&amp;L - Inputs'!DN378</f>
        <v>40906647.171946809</v>
      </c>
      <c r="CP5" s="19">
        <f>'P&amp;L - Inputs'!DO378</f>
        <v>41048684.141293846</v>
      </c>
      <c r="CQ5" s="19">
        <f>'P&amp;L - Inputs'!DP378</f>
        <v>41332758.079987921</v>
      </c>
      <c r="CR5" s="19">
        <f>'P&amp;L - Inputs'!DQ378</f>
        <v>41474795.049334958</v>
      </c>
      <c r="CS5" s="19">
        <f>'P&amp;L - Inputs'!DR378</f>
        <v>41758868.988029033</v>
      </c>
      <c r="CT5" s="19">
        <f>'P&amp;L - Inputs'!DS378</f>
        <v>42184979.896070145</v>
      </c>
      <c r="CU5" s="19">
        <f>'P&amp;L - Inputs'!DT378</f>
        <v>42469053.83476422</v>
      </c>
      <c r="CV5" s="19">
        <f>'P&amp;L - Inputs'!DU378</f>
        <v>42753127.773458295</v>
      </c>
      <c r="CW5" s="19">
        <f>'P&amp;L - Inputs'!DV378</f>
        <v>43179238.681499407</v>
      </c>
      <c r="CX5" s="19">
        <f>'P&amp;L - Inputs'!DW378</f>
        <v>43747386.558887556</v>
      </c>
      <c r="CY5" s="19">
        <f>'P&amp;L - Inputs'!DX378</f>
        <v>43889423.528234594</v>
      </c>
      <c r="CZ5" s="19">
        <f>'P&amp;L - Inputs'!DY378</f>
        <v>44173497.466928668</v>
      </c>
      <c r="DA5" s="19">
        <f>'P&amp;L - Inputs'!DZ378</f>
        <v>44315534.436275706</v>
      </c>
      <c r="DB5" s="19">
        <f>'P&amp;L - Inputs'!EA378</f>
        <v>44457571.405622743</v>
      </c>
      <c r="DC5" s="19">
        <f>'P&amp;L - Inputs'!EB378</f>
        <v>44741645.344316818</v>
      </c>
      <c r="DD5" s="19">
        <f>'P&amp;L - Inputs'!EC378</f>
        <v>44883682.313663855</v>
      </c>
      <c r="DF5" s="19">
        <f t="shared" si="3"/>
        <v>51854130</v>
      </c>
      <c r="DG5" s="19">
        <f t="shared" si="4"/>
        <v>56340635</v>
      </c>
      <c r="DH5" s="19">
        <f t="shared" si="5"/>
        <v>46697176</v>
      </c>
      <c r="DI5" s="19">
        <f t="shared" si="6"/>
        <v>45775867</v>
      </c>
      <c r="DJ5" s="19">
        <f t="shared" si="7"/>
        <v>58020163</v>
      </c>
      <c r="DK5" s="19">
        <f t="shared" si="8"/>
        <v>64610951.799999997</v>
      </c>
      <c r="DL5" s="19">
        <f t="shared" si="9"/>
        <v>62864125.480000004</v>
      </c>
      <c r="DM5" s="19">
        <f t="shared" si="10"/>
        <v>64627991.599999994</v>
      </c>
      <c r="DN5" s="19">
        <f t="shared" si="11"/>
        <v>69972586.400000006</v>
      </c>
      <c r="DO5" s="19">
        <f t="shared" si="12"/>
        <v>81879392.810000002</v>
      </c>
      <c r="DP5" s="19">
        <f t="shared" si="13"/>
        <v>84438654.150000006</v>
      </c>
      <c r="DQ5" s="19">
        <f t="shared" si="14"/>
        <v>116103087.59</v>
      </c>
      <c r="DR5" s="19">
        <f t="shared" si="15"/>
        <v>102408654.89921406</v>
      </c>
      <c r="DS5" s="19">
        <f t="shared" si="16"/>
        <v>105817542.16354296</v>
      </c>
      <c r="DT5" s="19">
        <f t="shared" si="17"/>
        <v>109368466.39721888</v>
      </c>
      <c r="DU5" s="19">
        <f t="shared" si="18"/>
        <v>112635316.69220075</v>
      </c>
      <c r="DV5" s="19">
        <f t="shared" si="19"/>
        <v>116186240.92587668</v>
      </c>
      <c r="DW5" s="19">
        <f t="shared" si="20"/>
        <v>119453091.22085856</v>
      </c>
      <c r="DX5" s="19">
        <f t="shared" si="21"/>
        <v>122151793.63845228</v>
      </c>
      <c r="DY5" s="19">
        <f t="shared" si="22"/>
        <v>123856237.27061673</v>
      </c>
      <c r="DZ5" s="19">
        <f t="shared" si="23"/>
        <v>126412902.7188634</v>
      </c>
      <c r="EA5" s="19">
        <f t="shared" si="24"/>
        <v>129679753.01384525</v>
      </c>
      <c r="EB5" s="19">
        <f t="shared" si="25"/>
        <v>132378455.43143897</v>
      </c>
      <c r="EC5" s="19">
        <f t="shared" si="26"/>
        <v>134082899.06360342</v>
      </c>
      <c r="EE5" s="19">
        <f>SUM(DF5:DI5)</f>
        <v>200667808</v>
      </c>
      <c r="EF5" s="19">
        <f>SUM(DJ5:DM5)</f>
        <v>250123231.88</v>
      </c>
      <c r="EG5" s="19">
        <f>SUM(DN5:DQ5)</f>
        <v>352393720.95000005</v>
      </c>
      <c r="EH5" s="19">
        <f>SUM(DR5:DU5)</f>
        <v>430229980.15217662</v>
      </c>
      <c r="EI5" s="19">
        <f>SUM(DV5:DY5)</f>
        <v>481647363.05580425</v>
      </c>
      <c r="EJ5" s="770">
        <f t="shared" si="27"/>
        <v>522554010.22775102</v>
      </c>
    </row>
    <row r="6" spans="2:142" x14ac:dyDescent="0.2">
      <c r="B6" s="167" t="s">
        <v>140</v>
      </c>
      <c r="C6" s="19">
        <f>'P&amp;L - Inputs'!AB379</f>
        <v>139995</v>
      </c>
      <c r="D6" s="19">
        <f>'P&amp;L - Inputs'!AC379</f>
        <v>130583</v>
      </c>
      <c r="E6" s="19">
        <f>'P&amp;L - Inputs'!AD379</f>
        <v>211030.11</v>
      </c>
      <c r="F6" s="19">
        <f>'P&amp;L - Inputs'!AE379</f>
        <v>280392.7</v>
      </c>
      <c r="G6" s="19">
        <f>'P&amp;L - Inputs'!AF379</f>
        <v>263038.33999999997</v>
      </c>
      <c r="H6" s="19">
        <f>'P&amp;L - Inputs'!AG379</f>
        <v>288011</v>
      </c>
      <c r="I6" s="19">
        <f>'P&amp;L - Inputs'!AH379</f>
        <v>326660.40999999997</v>
      </c>
      <c r="J6" s="19">
        <f>'P&amp;L - Inputs'!AI379</f>
        <v>380448.66</v>
      </c>
      <c r="K6" s="19">
        <f>'P&amp;L - Inputs'!AJ379</f>
        <v>1068448.0000000012</v>
      </c>
      <c r="L6" s="19">
        <f>'P&amp;L - Inputs'!AK379</f>
        <v>690620.97</v>
      </c>
      <c r="M6" s="19">
        <f>'P&amp;L - Inputs'!AL379</f>
        <v>355144.12999999995</v>
      </c>
      <c r="N6" s="19">
        <f>'P&amp;L - Inputs'!AM379</f>
        <v>7394.56</v>
      </c>
      <c r="O6" s="19">
        <f>'P&amp;L - Inputs'!AN379</f>
        <v>381400.91</v>
      </c>
      <c r="P6" s="19">
        <f>'P&amp;L - Inputs'!AO379</f>
        <v>690731.45999999985</v>
      </c>
      <c r="Q6" s="19">
        <f>'P&amp;L - Inputs'!AP379</f>
        <v>1692256.2799999998</v>
      </c>
      <c r="R6" s="19">
        <f>'P&amp;L - Inputs'!AQ379</f>
        <v>2261966</v>
      </c>
      <c r="S6" s="19">
        <f>'P&amp;L - Inputs'!AR379</f>
        <v>2200532.34</v>
      </c>
      <c r="T6" s="19">
        <f>'P&amp;L - Inputs'!AS379</f>
        <v>2481711.3600000069</v>
      </c>
      <c r="U6" s="19">
        <f>'P&amp;L - Inputs'!AT379</f>
        <v>3516829.4000000134</v>
      </c>
      <c r="V6" s="19">
        <f>'P&amp;L - Inputs'!AU379</f>
        <v>3327378.7500000014</v>
      </c>
      <c r="W6" s="19">
        <f>'P&amp;L - Inputs'!AV379</f>
        <v>3297593.2400000012</v>
      </c>
      <c r="X6" s="19">
        <f>'P&amp;L - Inputs'!AW379</f>
        <v>4590340.3</v>
      </c>
      <c r="Y6" s="19">
        <f>'P&amp;L - Inputs'!AX379</f>
        <v>3365729.9800000028</v>
      </c>
      <c r="Z6" s="19">
        <f>'P&amp;L - Inputs'!AY379</f>
        <v>3434800.1800000006</v>
      </c>
      <c r="AA6" s="19">
        <f>'P&amp;L - Inputs'!AZ379</f>
        <v>4271422.5699999984</v>
      </c>
      <c r="AB6" s="19">
        <f>'P&amp;L - Inputs'!BA379</f>
        <v>4682823.1799999941</v>
      </c>
      <c r="AC6" s="19">
        <f>'P&amp;L - Inputs'!BB379</f>
        <v>5562427.9199999981</v>
      </c>
      <c r="AD6" s="19">
        <f>'P&amp;L - Inputs'!BC379</f>
        <v>6129963.5099999988</v>
      </c>
      <c r="AE6" s="19">
        <f>'P&amp;L - Inputs'!BD379</f>
        <v>5796594.3199999984</v>
      </c>
      <c r="AF6" s="19">
        <f>'P&amp;L - Inputs'!BE379</f>
        <v>4874997.2500000009</v>
      </c>
      <c r="AG6" s="19">
        <f>'P&amp;L - Inputs'!BF379</f>
        <v>5097970.09</v>
      </c>
      <c r="AH6" s="19">
        <f>'P&amp;L - Inputs'!BG379</f>
        <v>6190607.1099999994</v>
      </c>
      <c r="AI6" s="19">
        <f>'P&amp;L - Inputs'!BH379</f>
        <v>6830862.9200000018</v>
      </c>
      <c r="AJ6" s="19">
        <f>'P&amp;L - Inputs'!BI379</f>
        <v>6984016.4199999981</v>
      </c>
      <c r="AK6" s="19">
        <f>'P&amp;L - Inputs'!BJ379</f>
        <v>7349546.7295000069</v>
      </c>
      <c r="AL6" s="19">
        <f>'P&amp;L - Inputs'!BK379</f>
        <v>7704730.9999999972</v>
      </c>
      <c r="AM6" s="19">
        <f>'P&amp;L - Inputs'!BL379</f>
        <v>8332583.6100000208</v>
      </c>
      <c r="AN6" s="19">
        <f>'P&amp;L - Inputs'!BM379</f>
        <v>7852523.799999997</v>
      </c>
      <c r="AO6" s="19">
        <f>'P&amp;L - Inputs'!BN379</f>
        <v>11524611.862000061</v>
      </c>
      <c r="AP6" s="19">
        <f>'P&amp;L - Inputs'!BO379</f>
        <v>10911642.03036</v>
      </c>
      <c r="AQ6" s="19">
        <f>'P&amp;L - Inputs'!BP379</f>
        <v>14592059.921699986</v>
      </c>
      <c r="AR6" s="19">
        <f>'P&amp;L - Inputs'!BQ379</f>
        <v>9410611.1639403459</v>
      </c>
      <c r="AS6" s="19">
        <f>'P&amp;L - Inputs'!BR379</f>
        <v>7998772.8309600148</v>
      </c>
      <c r="AT6" s="19">
        <f>'P&amp;L - Inputs'!BS379</f>
        <v>6996222.9099956984</v>
      </c>
      <c r="AU6" s="19">
        <f>'P&amp;L - Inputs'!BT379</f>
        <v>7817587.362155214</v>
      </c>
      <c r="AV6" s="19">
        <f>'P&amp;L - Inputs'!BU379</f>
        <v>8683562.9899719376</v>
      </c>
      <c r="AW6" s="19">
        <f>'P&amp;L - Inputs'!BV379</f>
        <v>9111728.1199725587</v>
      </c>
      <c r="AX6" s="19">
        <f>'P&amp;L - Inputs'!BW379</f>
        <v>9127250.1202107016</v>
      </c>
      <c r="AY6" s="19">
        <f>'P&amp;L - Inputs'!BX379</f>
        <v>10420444.005038187</v>
      </c>
      <c r="AZ6" s="19">
        <f>'P&amp;L - Inputs'!BY379</f>
        <v>10181951.950004138</v>
      </c>
      <c r="BA6" s="19">
        <f>'P&amp;L - Inputs'!BZ379</f>
        <v>10079078.859999996</v>
      </c>
      <c r="BB6" s="19">
        <f>'P&amp;L - Inputs'!CA379</f>
        <v>8943995.9066176694</v>
      </c>
      <c r="BC6" s="19">
        <f>'P&amp;L - Inputs'!CB379</f>
        <v>12584863.181587428</v>
      </c>
      <c r="BD6" s="19">
        <f>'P&amp;L - Inputs'!CC379</f>
        <v>10218573.700000005</v>
      </c>
      <c r="BE6" s="19">
        <f>'P&amp;L - Inputs'!CD379</f>
        <v>12172164.756187756</v>
      </c>
      <c r="BF6" s="19">
        <f>'P&amp;L - Inputs'!CE379</f>
        <v>12836897.339999899</v>
      </c>
      <c r="BG6" s="19">
        <f>'P&amp;L - Inputs'!CF379</f>
        <v>11862725.789999932</v>
      </c>
      <c r="BH6" s="19">
        <f>'P&amp;L - Inputs'!CG379</f>
        <v>13723129</v>
      </c>
      <c r="BI6" s="19">
        <f>'P&amp;L - Inputs'!CH379</f>
        <v>12891538.179999998</v>
      </c>
      <c r="BJ6" s="19">
        <f>'P&amp;L - Inputs'!CI379</f>
        <v>13682947.109999994</v>
      </c>
      <c r="BK6" s="19">
        <f>'P&amp;L - Inputs'!CJ379</f>
        <v>10601572.589999892</v>
      </c>
      <c r="BL6" s="19">
        <f>'P&amp;L - Inputs'!CK379</f>
        <v>12860489.880000001</v>
      </c>
      <c r="BM6" s="19">
        <f>'P&amp;L - Inputs'!CL379</f>
        <v>11648342.560000001</v>
      </c>
      <c r="BN6" s="19">
        <f>'P&amp;L - Inputs'!CM379</f>
        <v>14231244.24</v>
      </c>
      <c r="BO6" s="19">
        <f>'P&amp;L - Inputs'!CN379</f>
        <v>19959634.460000001</v>
      </c>
      <c r="BP6" s="19">
        <f>'P&amp;L - Inputs'!CO379</f>
        <v>17602546.419999998</v>
      </c>
      <c r="BQ6" s="19">
        <f>'P&amp;L - Inputs'!CP379</f>
        <v>22515870.890000023</v>
      </c>
      <c r="BR6" s="19">
        <f>'P&amp;L - Inputs'!CQ379</f>
        <v>19102775.490000013</v>
      </c>
      <c r="BS6" s="19">
        <f>'P&amp;L - Inputs'!CR379</f>
        <v>18503582.590000022</v>
      </c>
      <c r="BT6" s="19">
        <f>'P&amp;L - Inputs'!CS379</f>
        <v>21766579.370000031</v>
      </c>
      <c r="BU6" s="19">
        <f>'P&amp;L - Inputs'!CT379</f>
        <v>18741384.707634021</v>
      </c>
      <c r="BV6" s="19">
        <f>'P&amp;L - Inputs'!CU379</f>
        <v>18898875.335429266</v>
      </c>
      <c r="BW6" s="19">
        <f>'P&amp;L - Inputs'!CV379</f>
        <v>19135111.277122132</v>
      </c>
      <c r="BX6" s="19">
        <f>'P&amp;L - Inputs'!CW379</f>
        <v>19292601.904917378</v>
      </c>
      <c r="BY6" s="19">
        <f>'P&amp;L - Inputs'!CX379</f>
        <v>19528837.846610244</v>
      </c>
      <c r="BZ6" s="19">
        <f>'P&amp;L - Inputs'!CY379</f>
        <v>19843819.102200732</v>
      </c>
      <c r="CA6" s="19">
        <f>'P&amp;L - Inputs'!CZ379</f>
        <v>20001309.729995973</v>
      </c>
      <c r="CB6" s="19">
        <f>'P&amp;L - Inputs'!DA379</f>
        <v>20237545.67168884</v>
      </c>
      <c r="CC6" s="19">
        <f>'P&amp;L - Inputs'!DB379</f>
        <v>20395036.299484085</v>
      </c>
      <c r="CD6" s="19">
        <f>'P&amp;L - Inputs'!DC379</f>
        <v>20552526.927279327</v>
      </c>
      <c r="CE6" s="19">
        <f>'P&amp;L - Inputs'!DD379</f>
        <v>20788762.868972193</v>
      </c>
      <c r="CF6" s="19">
        <f>'P&amp;L - Inputs'!DE379</f>
        <v>21103744.124562681</v>
      </c>
      <c r="CG6" s="19">
        <f>'P&amp;L - Inputs'!DF379</f>
        <v>21261234.752357926</v>
      </c>
      <c r="CH6" s="19">
        <f>'P&amp;L - Inputs'!DG379</f>
        <v>21497470.694050793</v>
      </c>
      <c r="CI6" s="19">
        <f>'P&amp;L - Inputs'!DH379</f>
        <v>21654961.321846034</v>
      </c>
      <c r="CJ6" s="19">
        <f>'P&amp;L - Inputs'!DI379</f>
        <v>21812451.94964128</v>
      </c>
      <c r="CK6" s="19">
        <f>'P&amp;L - Inputs'!DJ379</f>
        <v>22048687.891334146</v>
      </c>
      <c r="CL6" s="19">
        <f>'P&amp;L - Inputs'!DK379</f>
        <v>22363669.146924634</v>
      </c>
      <c r="CM6" s="19">
        <f>'P&amp;L - Inputs'!DL379</f>
        <v>22442414.460822254</v>
      </c>
      <c r="CN6" s="19">
        <f>'P&amp;L - Inputs'!DM379</f>
        <v>22599905.0886175</v>
      </c>
      <c r="CO6" s="19">
        <f>'P&amp;L - Inputs'!DN379</f>
        <v>22678650.402515121</v>
      </c>
      <c r="CP6" s="19">
        <f>'P&amp;L - Inputs'!DO379</f>
        <v>22757395.716412742</v>
      </c>
      <c r="CQ6" s="19">
        <f>'P&amp;L - Inputs'!DP379</f>
        <v>22914886.344207987</v>
      </c>
      <c r="CR6" s="19">
        <f>'P&amp;L - Inputs'!DQ379</f>
        <v>22993631.658105608</v>
      </c>
      <c r="CS6" s="19">
        <f>'P&amp;L - Inputs'!DR379</f>
        <v>23151122.285900854</v>
      </c>
      <c r="CT6" s="19">
        <f>'P&amp;L - Inputs'!DS379</f>
        <v>23387358.22759372</v>
      </c>
      <c r="CU6" s="19">
        <f>'P&amp;L - Inputs'!DT379</f>
        <v>23544848.855388962</v>
      </c>
      <c r="CV6" s="19">
        <f>'P&amp;L - Inputs'!DU379</f>
        <v>23702339.483184207</v>
      </c>
      <c r="CW6" s="19">
        <f>'P&amp;L - Inputs'!DV379</f>
        <v>23938575.424877074</v>
      </c>
      <c r="CX6" s="19">
        <f>'P&amp;L - Inputs'!DW379</f>
        <v>24253556.680467561</v>
      </c>
      <c r="CY6" s="19">
        <f>'P&amp;L - Inputs'!DX379</f>
        <v>24332301.994365182</v>
      </c>
      <c r="CZ6" s="19">
        <f>'P&amp;L - Inputs'!DY379</f>
        <v>24489792.622160427</v>
      </c>
      <c r="DA6" s="19">
        <f>'P&amp;L - Inputs'!DZ379</f>
        <v>24568537.936058048</v>
      </c>
      <c r="DB6" s="19">
        <f>'P&amp;L - Inputs'!EA379</f>
        <v>24647283.249955669</v>
      </c>
      <c r="DC6" s="19">
        <f>'P&amp;L - Inputs'!EB379</f>
        <v>24804773.877750915</v>
      </c>
      <c r="DD6" s="19">
        <f>'P&amp;L - Inputs'!EC379</f>
        <v>24883519.191648535</v>
      </c>
      <c r="DF6" s="19">
        <f t="shared" si="3"/>
        <v>23386861.339500025</v>
      </c>
      <c r="DG6" s="19">
        <f t="shared" si="4"/>
        <v>30288777.692360058</v>
      </c>
      <c r="DH6" s="19">
        <f t="shared" si="5"/>
        <v>32001443.916600347</v>
      </c>
      <c r="DI6" s="19">
        <f t="shared" si="6"/>
        <v>23497373.262122847</v>
      </c>
      <c r="DJ6" s="19">
        <f t="shared" si="7"/>
        <v>28659422.245221447</v>
      </c>
      <c r="DK6" s="19">
        <f t="shared" si="8"/>
        <v>29205026.716621801</v>
      </c>
      <c r="DL6" s="19">
        <f t="shared" si="9"/>
        <v>34975601.637775183</v>
      </c>
      <c r="DM6" s="19">
        <f t="shared" si="10"/>
        <v>38422752.129999831</v>
      </c>
      <c r="DN6" s="19">
        <f t="shared" si="11"/>
        <v>37176057.879999883</v>
      </c>
      <c r="DO6" s="19">
        <f t="shared" si="12"/>
        <v>38740076.68</v>
      </c>
      <c r="DP6" s="19">
        <f t="shared" si="13"/>
        <v>60078051.770000018</v>
      </c>
      <c r="DQ6" s="19">
        <f t="shared" si="14"/>
        <v>59372937.450000063</v>
      </c>
      <c r="DR6" s="19">
        <f t="shared" si="15"/>
        <v>56775371.320185415</v>
      </c>
      <c r="DS6" s="19">
        <f t="shared" si="16"/>
        <v>58665258.853728354</v>
      </c>
      <c r="DT6" s="19">
        <f t="shared" si="17"/>
        <v>60633891.701168895</v>
      </c>
      <c r="DU6" s="19">
        <f t="shared" si="18"/>
        <v>62445033.920814201</v>
      </c>
      <c r="DV6" s="19">
        <f t="shared" si="19"/>
        <v>64413666.768254757</v>
      </c>
      <c r="DW6" s="19">
        <f t="shared" si="20"/>
        <v>66224808.987900063</v>
      </c>
      <c r="DX6" s="19">
        <f t="shared" si="21"/>
        <v>67720969.951954871</v>
      </c>
      <c r="DY6" s="19">
        <f t="shared" si="22"/>
        <v>68665913.718726337</v>
      </c>
      <c r="DZ6" s="19">
        <f t="shared" si="23"/>
        <v>70083329.368883535</v>
      </c>
      <c r="EA6" s="19">
        <f t="shared" si="24"/>
        <v>71894471.588528842</v>
      </c>
      <c r="EB6" s="19">
        <f t="shared" si="25"/>
        <v>73390632.55258365</v>
      </c>
      <c r="EC6" s="19">
        <f t="shared" si="26"/>
        <v>74335576.31935513</v>
      </c>
      <c r="EE6" s="19">
        <f>SUM(DF6:DI6)</f>
        <v>109174456.21058327</v>
      </c>
      <c r="EF6" s="19">
        <f>SUM(DJ6:DM6)</f>
        <v>131262802.72961827</v>
      </c>
      <c r="EG6" s="19">
        <f>SUM(DN6:DQ6)</f>
        <v>195367123.77999997</v>
      </c>
      <c r="EH6" s="19">
        <f>SUM(DR6:DU6)</f>
        <v>238519555.79589689</v>
      </c>
      <c r="EI6" s="19">
        <f>SUM(DV6:DY6)</f>
        <v>267025359.42683601</v>
      </c>
      <c r="EJ6" s="770">
        <f t="shared" si="27"/>
        <v>289704009.82935113</v>
      </c>
    </row>
    <row r="7" spans="2:142" x14ac:dyDescent="0.2">
      <c r="B7" s="167" t="s">
        <v>158</v>
      </c>
      <c r="C7" s="19">
        <f>'P&amp;L - Inputs'!AB380</f>
        <v>0</v>
      </c>
      <c r="D7" s="19">
        <f>'P&amp;L - Inputs'!AC380</f>
        <v>0</v>
      </c>
      <c r="E7" s="19">
        <f>'P&amp;L - Inputs'!AD380</f>
        <v>0</v>
      </c>
      <c r="F7" s="19">
        <f>'P&amp;L - Inputs'!AE380</f>
        <v>0</v>
      </c>
      <c r="G7" s="19">
        <f>'P&amp;L - Inputs'!AF380</f>
        <v>0</v>
      </c>
      <c r="H7" s="19">
        <f>'P&amp;L - Inputs'!AG380</f>
        <v>0</v>
      </c>
      <c r="I7" s="19">
        <f>'P&amp;L - Inputs'!AH380</f>
        <v>0</v>
      </c>
      <c r="J7" s="19">
        <f>'P&amp;L - Inputs'!AI380</f>
        <v>0</v>
      </c>
      <c r="K7" s="19">
        <f>'P&amp;L - Inputs'!AJ380</f>
        <v>0</v>
      </c>
      <c r="L7" s="19">
        <f>'P&amp;L - Inputs'!AK380</f>
        <v>0</v>
      </c>
      <c r="M7" s="19">
        <f>'P&amp;L - Inputs'!AL380</f>
        <v>0</v>
      </c>
      <c r="N7" s="19">
        <f>'P&amp;L - Inputs'!AM380</f>
        <v>0</v>
      </c>
      <c r="O7" s="19">
        <f>'P&amp;L - Inputs'!AN380</f>
        <v>0</v>
      </c>
      <c r="P7" s="19">
        <f>'P&amp;L - Inputs'!AO380</f>
        <v>0</v>
      </c>
      <c r="Q7" s="19">
        <f>'P&amp;L - Inputs'!AP380</f>
        <v>0</v>
      </c>
      <c r="R7" s="19">
        <f>'P&amp;L - Inputs'!AQ380</f>
        <v>0</v>
      </c>
      <c r="S7" s="19">
        <f>'P&amp;L - Inputs'!AR380</f>
        <v>0</v>
      </c>
      <c r="T7" s="19">
        <f>'P&amp;L - Inputs'!AS380</f>
        <v>0</v>
      </c>
      <c r="U7" s="19">
        <f>'P&amp;L - Inputs'!AT380</f>
        <v>0</v>
      </c>
      <c r="V7" s="19">
        <f>'P&amp;L - Inputs'!AU380</f>
        <v>0</v>
      </c>
      <c r="W7" s="19">
        <f>'P&amp;L - Inputs'!AV380</f>
        <v>0</v>
      </c>
      <c r="X7" s="19">
        <f>'P&amp;L - Inputs'!AW380</f>
        <v>0</v>
      </c>
      <c r="Y7" s="19">
        <f>'P&amp;L - Inputs'!AX380</f>
        <v>0</v>
      </c>
      <c r="Z7" s="19">
        <f>'P&amp;L - Inputs'!AY380</f>
        <v>0</v>
      </c>
      <c r="AA7" s="19">
        <f>'P&amp;L - Inputs'!AZ380</f>
        <v>0</v>
      </c>
      <c r="AB7" s="19">
        <f>'P&amp;L - Inputs'!BA380</f>
        <v>0</v>
      </c>
      <c r="AC7" s="19">
        <f>'P&amp;L - Inputs'!BB380</f>
        <v>0</v>
      </c>
      <c r="AD7" s="19">
        <f>'P&amp;L - Inputs'!BC380</f>
        <v>0</v>
      </c>
      <c r="AE7" s="19">
        <f>'P&amp;L - Inputs'!BD380</f>
        <v>0</v>
      </c>
      <c r="AF7" s="19">
        <f>'P&amp;L - Inputs'!BE380</f>
        <v>0</v>
      </c>
      <c r="AG7" s="19">
        <f>'P&amp;L - Inputs'!BF380</f>
        <v>0</v>
      </c>
      <c r="AH7" s="19">
        <f>'P&amp;L - Inputs'!BG380</f>
        <v>0</v>
      </c>
      <c r="AI7" s="19">
        <f>'P&amp;L - Inputs'!BH380</f>
        <v>0</v>
      </c>
      <c r="AJ7" s="19">
        <f>'P&amp;L - Inputs'!BI380</f>
        <v>0</v>
      </c>
      <c r="AK7" s="19">
        <f>'P&amp;L - Inputs'!BJ380</f>
        <v>0</v>
      </c>
      <c r="AL7" s="19">
        <f>'P&amp;L - Inputs'!BK380</f>
        <v>0</v>
      </c>
      <c r="AM7" s="19">
        <f>'P&amp;L - Inputs'!BL380</f>
        <v>0</v>
      </c>
      <c r="AN7" s="19">
        <f>'P&amp;L - Inputs'!BM380</f>
        <v>0</v>
      </c>
      <c r="AO7" s="19">
        <f>'P&amp;L - Inputs'!BN380</f>
        <v>0</v>
      </c>
      <c r="AP7" s="19">
        <f>'P&amp;L - Inputs'!BO380</f>
        <v>0</v>
      </c>
      <c r="AQ7" s="19">
        <f>'P&amp;L - Inputs'!BP380</f>
        <v>0</v>
      </c>
      <c r="AR7" s="19">
        <f>'P&amp;L - Inputs'!BQ380</f>
        <v>0</v>
      </c>
      <c r="AS7" s="19">
        <f>'P&amp;L - Inputs'!BR380</f>
        <v>0</v>
      </c>
      <c r="AT7" s="19">
        <f>'P&amp;L - Inputs'!BS380</f>
        <v>0</v>
      </c>
      <c r="AU7" s="19">
        <f>'P&amp;L - Inputs'!BT380</f>
        <v>0</v>
      </c>
      <c r="AV7" s="19">
        <f>'P&amp;L - Inputs'!BU380</f>
        <v>0</v>
      </c>
      <c r="AW7" s="19">
        <f>'P&amp;L - Inputs'!BV380</f>
        <v>0</v>
      </c>
      <c r="AX7" s="19">
        <f>'P&amp;L - Inputs'!BW380</f>
        <v>0</v>
      </c>
      <c r="AY7" s="19">
        <f>'P&amp;L - Inputs'!BX380</f>
        <v>0</v>
      </c>
      <c r="AZ7" s="19">
        <f>'P&amp;L - Inputs'!BY380</f>
        <v>0</v>
      </c>
      <c r="BA7" s="19">
        <f>'P&amp;L - Inputs'!BZ380</f>
        <v>0</v>
      </c>
      <c r="BB7" s="19">
        <f>'P&amp;L - Inputs'!CA380</f>
        <v>0</v>
      </c>
      <c r="BC7" s="19">
        <f>'P&amp;L - Inputs'!CB380</f>
        <v>0</v>
      </c>
      <c r="BD7" s="19">
        <f>'P&amp;L - Inputs'!CC380</f>
        <v>0</v>
      </c>
      <c r="BE7" s="19">
        <f>'P&amp;L - Inputs'!CD380</f>
        <v>0</v>
      </c>
      <c r="BF7" s="19">
        <f>'P&amp;L - Inputs'!CE380</f>
        <v>0</v>
      </c>
      <c r="BG7" s="19">
        <f>'P&amp;L - Inputs'!CF380</f>
        <v>0</v>
      </c>
      <c r="BH7" s="19">
        <f>'P&amp;L - Inputs'!CG380</f>
        <v>0</v>
      </c>
      <c r="BI7" s="19">
        <f>'P&amp;L - Inputs'!CH380</f>
        <v>0</v>
      </c>
      <c r="BJ7" s="19">
        <f>'P&amp;L - Inputs'!CI380</f>
        <v>0</v>
      </c>
      <c r="BK7" s="19">
        <f>'P&amp;L - Inputs'!CJ380</f>
        <v>0</v>
      </c>
      <c r="BL7" s="19">
        <f>'P&amp;L - Inputs'!CK380</f>
        <v>0</v>
      </c>
      <c r="BM7" s="19">
        <f>'P&amp;L - Inputs'!CL380</f>
        <v>0</v>
      </c>
      <c r="BN7" s="19">
        <f>'P&amp;L - Inputs'!CM380</f>
        <v>0</v>
      </c>
      <c r="BO7" s="19">
        <f>'P&amp;L - Inputs'!CN380</f>
        <v>2627342</v>
      </c>
      <c r="BP7" s="19">
        <f>'P&amp;L - Inputs'!CO380</f>
        <v>2446488</v>
      </c>
      <c r="BQ7" s="19">
        <f>'P&amp;L - Inputs'!CP380</f>
        <v>3160377</v>
      </c>
      <c r="BR7" s="19">
        <f>'P&amp;L - Inputs'!CQ380</f>
        <v>3881565</v>
      </c>
      <c r="BS7" s="19">
        <f>'P&amp;L - Inputs'!CR380</f>
        <v>3316295</v>
      </c>
      <c r="BT7" s="19">
        <f>'P&amp;L - Inputs'!CS380</f>
        <v>3255428</v>
      </c>
      <c r="BU7" s="19">
        <f>'P&amp;L - Inputs'!CT380</f>
        <v>2778966.531005173</v>
      </c>
      <c r="BV7" s="19">
        <f>'P&amp;L - Inputs'!CU380</f>
        <v>2720922.0751860761</v>
      </c>
      <c r="BW7" s="19">
        <f>'P&amp;L - Inputs'!CV380</f>
        <v>2714984.6363282464</v>
      </c>
      <c r="BX7" s="19">
        <f>'P&amp;L - Inputs'!CW380</f>
        <v>2941340.1129061743</v>
      </c>
      <c r="BY7" s="19">
        <f>'P&amp;L - Inputs'!CX380</f>
        <v>2625728.8270143736</v>
      </c>
      <c r="BZ7" s="19">
        <f>'P&amp;L - Inputs'!CY380</f>
        <v>2436581.7017563274</v>
      </c>
      <c r="CA7" s="19">
        <f>'P&amp;L - Inputs'!CZ380</f>
        <v>3044852.0597252287</v>
      </c>
      <c r="CB7" s="19">
        <f>'P&amp;L - Inputs'!DA380</f>
        <v>2802350.5139000025</v>
      </c>
      <c r="CC7" s="19">
        <f>'P&amp;L - Inputs'!DB380</f>
        <v>3337287.4712808109</v>
      </c>
      <c r="CD7" s="19">
        <f>'P&amp;L - Inputs'!DC380</f>
        <v>3419592.2594715077</v>
      </c>
      <c r="CE7" s="19">
        <f>'P&amp;L - Inputs'!DD380</f>
        <v>3178253.991055123</v>
      </c>
      <c r="CF7" s="19">
        <f>'P&amp;L - Inputs'!DE380</f>
        <v>3700111.4152501407</v>
      </c>
      <c r="CG7" s="19">
        <f>'P&amp;L - Inputs'!DF380</f>
        <v>3391183.146836882</v>
      </c>
      <c r="CH7" s="19">
        <f>'P&amp;L - Inputs'!DG380</f>
        <v>3328727.7190598743</v>
      </c>
      <c r="CI7" s="19">
        <f>'P&amp;L - Inputs'!DH380</f>
        <v>3304219.6755847856</v>
      </c>
      <c r="CJ7" s="19">
        <f>'P&amp;L - Inputs'!DI380</f>
        <v>3577704.9559382559</v>
      </c>
      <c r="CK7" s="19">
        <f>'P&amp;L - Inputs'!DJ380</f>
        <v>3187098.2326696552</v>
      </c>
      <c r="CL7" s="19">
        <f>'P&amp;L - Inputs'!DK380</f>
        <v>2950471.2278879234</v>
      </c>
      <c r="CM7" s="19">
        <f>'P&amp;L - Inputs'!DL380</f>
        <v>3675526.210190767</v>
      </c>
      <c r="CN7" s="19">
        <f>'P&amp;L - Inputs'!DM380</f>
        <v>3365005.3936307295</v>
      </c>
      <c r="CO7" s="19">
        <f>'P&amp;L - Inputs'!DN380</f>
        <v>3993816.0508748232</v>
      </c>
      <c r="CP7" s="19">
        <f>'P&amp;L - Inputs'!DO380</f>
        <v>4075384.506064448</v>
      </c>
      <c r="CQ7" s="19">
        <f>'P&amp;L - Inputs'!DP380</f>
        <v>3769030.0017871587</v>
      </c>
      <c r="CR7" s="19">
        <f>'P&amp;L - Inputs'!DQ380</f>
        <v>4340169.1716484381</v>
      </c>
      <c r="CS7" s="19">
        <f>'P&amp;L - Inputs'!DR380</f>
        <v>3864985.3064712896</v>
      </c>
      <c r="CT7" s="19">
        <f>'P&amp;L - Inputs'!DS380</f>
        <v>3790038.6765308622</v>
      </c>
      <c r="CU7" s="19">
        <f>'P&amp;L - Inputs'!DT380</f>
        <v>3759741.2806722517</v>
      </c>
      <c r="CV7" s="19">
        <f>'P&amp;L - Inputs'!DU380</f>
        <v>4069511.4371218691</v>
      </c>
      <c r="CW7" s="19">
        <f>'P&amp;L - Inputs'!DV380</f>
        <v>3620607.3011527751</v>
      </c>
      <c r="CX7" s="19">
        <f>'P&amp;L - Inputs'!DW380</f>
        <v>3346945.578012723</v>
      </c>
      <c r="CY7" s="19">
        <f>'P&amp;L - Inputs'!DX380</f>
        <v>4171403.1034171567</v>
      </c>
      <c r="CZ7" s="19">
        <f>'P&amp;L - Inputs'!DY380</f>
        <v>3815742.7859013085</v>
      </c>
      <c r="DA7" s="19">
        <f>'P&amp;L - Inputs'!DZ380</f>
        <v>4529947.2663034108</v>
      </c>
      <c r="DB7" s="19">
        <f>'P&amp;L - Inputs'!EA380</f>
        <v>4621455.7614540868</v>
      </c>
      <c r="DC7" s="19">
        <f>'P&amp;L - Inputs'!EB380</f>
        <v>4270728.0594651783</v>
      </c>
      <c r="DD7" s="19">
        <f>'P&amp;L - Inputs'!EC380</f>
        <v>4918554.7798766075</v>
      </c>
      <c r="DF7" s="19">
        <f t="shared" si="3"/>
        <v>0</v>
      </c>
      <c r="DG7" s="19">
        <f t="shared" si="4"/>
        <v>0</v>
      </c>
      <c r="DH7" s="19">
        <f t="shared" si="5"/>
        <v>0</v>
      </c>
      <c r="DI7" s="19">
        <f t="shared" si="6"/>
        <v>0</v>
      </c>
      <c r="DJ7" s="19">
        <f t="shared" si="7"/>
        <v>0</v>
      </c>
      <c r="DK7" s="19">
        <f t="shared" si="8"/>
        <v>0</v>
      </c>
      <c r="DL7" s="19">
        <f t="shared" si="9"/>
        <v>0</v>
      </c>
      <c r="DM7" s="19">
        <f t="shared" si="10"/>
        <v>0</v>
      </c>
      <c r="DN7" s="19">
        <f t="shared" si="11"/>
        <v>0</v>
      </c>
      <c r="DO7" s="19">
        <f t="shared" si="12"/>
        <v>0</v>
      </c>
      <c r="DP7" s="19">
        <f t="shared" si="13"/>
        <v>8234207</v>
      </c>
      <c r="DQ7" s="19">
        <f t="shared" si="14"/>
        <v>10453288</v>
      </c>
      <c r="DR7" s="19">
        <f t="shared" si="15"/>
        <v>8214873.242519496</v>
      </c>
      <c r="DS7" s="19">
        <f t="shared" si="16"/>
        <v>8003650.6416768758</v>
      </c>
      <c r="DT7" s="19">
        <f t="shared" si="17"/>
        <v>9184490.0449060425</v>
      </c>
      <c r="DU7" s="19">
        <f t="shared" si="18"/>
        <v>10297957.665776772</v>
      </c>
      <c r="DV7" s="19">
        <f t="shared" si="19"/>
        <v>10024130.541481541</v>
      </c>
      <c r="DW7" s="19">
        <f t="shared" si="20"/>
        <v>9715274.4164958335</v>
      </c>
      <c r="DX7" s="19">
        <f t="shared" si="21"/>
        <v>11034347.654696319</v>
      </c>
      <c r="DY7" s="19">
        <f t="shared" si="22"/>
        <v>12184583.679500043</v>
      </c>
      <c r="DZ7" s="19">
        <f t="shared" si="23"/>
        <v>11414765.263674404</v>
      </c>
      <c r="EA7" s="19">
        <f t="shared" si="24"/>
        <v>11037064.316287367</v>
      </c>
      <c r="EB7" s="19">
        <f t="shared" si="25"/>
        <v>12517093.155621875</v>
      </c>
      <c r="EC7" s="19">
        <f t="shared" si="26"/>
        <v>13810738.600795873</v>
      </c>
      <c r="EE7" s="19">
        <f>SUM(DF7:DI7)</f>
        <v>0</v>
      </c>
      <c r="EF7" s="19">
        <f>SUM(DJ7:DM7)</f>
        <v>0</v>
      </c>
      <c r="EG7" s="19">
        <f>SUM(DN7:DQ7)</f>
        <v>18687495</v>
      </c>
      <c r="EH7" s="19">
        <f>SUM(DR7:DU7)</f>
        <v>35700971.594879188</v>
      </c>
      <c r="EI7" s="19">
        <f>SUM(DV7:DY7)</f>
        <v>42958336.292173743</v>
      </c>
      <c r="EJ7" s="770">
        <f t="shared" si="27"/>
        <v>48779661.336379521</v>
      </c>
    </row>
    <row r="8" spans="2:142" x14ac:dyDescent="0.2">
      <c r="B8" s="15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E8" s="19"/>
      <c r="EF8" s="19"/>
      <c r="EG8" s="19"/>
      <c r="EH8" s="19"/>
      <c r="EI8" s="19"/>
      <c r="EJ8" s="770"/>
    </row>
    <row r="9" spans="2:142" x14ac:dyDescent="0.2">
      <c r="B9" s="176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E9" s="19"/>
      <c r="EF9" s="19"/>
      <c r="EG9" s="19"/>
      <c r="EH9" s="19"/>
      <c r="EI9" s="19"/>
      <c r="EJ9" s="770"/>
    </row>
    <row r="10" spans="2:142" x14ac:dyDescent="0.2">
      <c r="B10" s="167" t="s">
        <v>192</v>
      </c>
      <c r="C10" s="19">
        <f>'P&amp;L - Inputs'!AB391</f>
        <v>4988930.4400000004</v>
      </c>
      <c r="D10" s="19">
        <f>'P&amp;L - Inputs'!AC391</f>
        <v>4117994</v>
      </c>
      <c r="E10" s="19">
        <f>'P&amp;L - Inputs'!AD391</f>
        <v>6785143.1500000004</v>
      </c>
      <c r="F10" s="19">
        <f>'P&amp;L - Inputs'!AE391</f>
        <v>9759345.3800000008</v>
      </c>
      <c r="G10" s="19">
        <f>'P&amp;L - Inputs'!AF391</f>
        <v>10092945</v>
      </c>
      <c r="H10" s="19">
        <f>'P&amp;L - Inputs'!AG391</f>
        <v>15035641.810000001</v>
      </c>
      <c r="I10" s="19">
        <f>'P&amp;L - Inputs'!AH391</f>
        <v>37942541.020000003</v>
      </c>
      <c r="J10" s="19">
        <f>'P&amp;L - Inputs'!AI391</f>
        <v>38903383.919999994</v>
      </c>
      <c r="K10" s="19">
        <f>'P&amp;L - Inputs'!AJ391</f>
        <v>39336791.689999983</v>
      </c>
      <c r="L10" s="19">
        <f>'P&amp;L - Inputs'!AK391</f>
        <v>40750175.060000099</v>
      </c>
      <c r="M10" s="19">
        <f>'P&amp;L - Inputs'!AL391</f>
        <v>23254487.249999974</v>
      </c>
      <c r="N10" s="19">
        <f>'P&amp;L - Inputs'!AM391</f>
        <v>701778.06000000029</v>
      </c>
      <c r="O10" s="19">
        <f>'P&amp;L - Inputs'!AN391</f>
        <v>16188961.459999997</v>
      </c>
      <c r="P10" s="19">
        <f>'P&amp;L - Inputs'!AO391</f>
        <v>24576597.179999951</v>
      </c>
      <c r="Q10" s="19">
        <f>'P&amp;L - Inputs'!AP391</f>
        <v>31535592.790000055</v>
      </c>
      <c r="R10" s="19">
        <f>'P&amp;L - Inputs'!AQ391</f>
        <v>41136480.070000172</v>
      </c>
      <c r="S10" s="19">
        <f>'P&amp;L - Inputs'!AR391</f>
        <v>51417793.100000344</v>
      </c>
      <c r="T10" s="19">
        <f>'P&amp;L - Inputs'!AS391</f>
        <v>77998426.91000028</v>
      </c>
      <c r="U10" s="19">
        <f>'P&amp;L - Inputs'!AT391</f>
        <v>92234676.900001138</v>
      </c>
      <c r="V10" s="19">
        <f>'P&amp;L - Inputs'!AU391</f>
        <v>92943545.73000291</v>
      </c>
      <c r="W10" s="19">
        <f>'P&amp;L - Inputs'!AV391</f>
        <v>102249811.2199963</v>
      </c>
      <c r="X10" s="19">
        <f>'P&amp;L - Inputs'!AW391</f>
        <v>117352812.94999501</v>
      </c>
      <c r="Y10" s="19">
        <f>'P&amp;L - Inputs'!AX391</f>
        <v>101748747.60999593</v>
      </c>
      <c r="Z10" s="19">
        <f>'P&amp;L - Inputs'!AY391</f>
        <v>127717580.61000481</v>
      </c>
      <c r="AA10" s="19">
        <f>'P&amp;L - Inputs'!AZ391</f>
        <v>155622971.1199902</v>
      </c>
      <c r="AB10" s="19">
        <f>'P&amp;L - Inputs'!BA391</f>
        <v>151952033.99999821</v>
      </c>
      <c r="AC10" s="19">
        <f>'P&amp;L - Inputs'!BB391</f>
        <v>157997193.89000535</v>
      </c>
      <c r="AD10" s="19">
        <f>'P&amp;L - Inputs'!BC391</f>
        <v>149798147.93999976</v>
      </c>
      <c r="AE10" s="19">
        <f>'P&amp;L - Inputs'!BD391</f>
        <v>169297268.64999565</v>
      </c>
      <c r="AF10" s="19">
        <f>'P&amp;L - Inputs'!BE391</f>
        <v>172803272.02999794</v>
      </c>
      <c r="AG10" s="19">
        <f>'P&amp;L - Inputs'!BF391</f>
        <v>214996954.15001383</v>
      </c>
      <c r="AH10" s="19">
        <f>'P&amp;L - Inputs'!BG391</f>
        <v>237700437.08999887</v>
      </c>
      <c r="AI10" s="19">
        <f>'P&amp;L - Inputs'!BH391</f>
        <v>236582190.1300045</v>
      </c>
      <c r="AJ10" s="19">
        <f>'P&amp;L - Inputs'!BI391</f>
        <v>305045592.61998051</v>
      </c>
      <c r="AK10" s="19">
        <f>'P&amp;L - Inputs'!BJ391</f>
        <v>328111718.51002562</v>
      </c>
      <c r="AL10" s="19">
        <f>'P&amp;L - Inputs'!BK391</f>
        <v>349168827.41002584</v>
      </c>
      <c r="AM10" s="19">
        <f>'P&amp;L - Inputs'!BL391</f>
        <v>345609150.82003832</v>
      </c>
      <c r="AN10" s="19">
        <f>'P&amp;L - Inputs'!BM391</f>
        <v>304784400.04004145</v>
      </c>
      <c r="AO10" s="19">
        <f>'P&amp;L - Inputs'!BN391</f>
        <v>302408433.08996952</v>
      </c>
      <c r="AP10" s="19">
        <f>'P&amp;L - Inputs'!BO391</f>
        <v>286609732.22003019</v>
      </c>
      <c r="AQ10" s="19">
        <f>'P&amp;L - Inputs'!BP391</f>
        <v>400739491.78254288</v>
      </c>
      <c r="AR10" s="19">
        <f>'P&amp;L - Inputs'!BQ391</f>
        <v>352827429.68254626</v>
      </c>
      <c r="AS10" s="19">
        <f>'P&amp;L - Inputs'!BR391</f>
        <v>305103700.69609708</v>
      </c>
      <c r="AT10" s="19">
        <f>'P&amp;L - Inputs'!BS391</f>
        <v>273933307.80915147</v>
      </c>
      <c r="AU10" s="19">
        <f>'P&amp;L - Inputs'!BT391</f>
        <v>252549245.98305085</v>
      </c>
      <c r="AV10" s="19">
        <f>'P&amp;L - Inputs'!BU391</f>
        <v>308984022.34305489</v>
      </c>
      <c r="AW10" s="19">
        <f>'P&amp;L - Inputs'!BV391</f>
        <v>323489520.98305601</v>
      </c>
      <c r="AX10" s="19">
        <f>'P&amp;L - Inputs'!BW391</f>
        <v>320982620.57000411</v>
      </c>
      <c r="AY10" s="19">
        <f>'P&amp;L - Inputs'!BX391</f>
        <v>341570279.77000636</v>
      </c>
      <c r="AZ10" s="19">
        <f>'P&amp;L - Inputs'!BY391</f>
        <v>326888635.83000529</v>
      </c>
      <c r="BA10" s="19">
        <f>'P&amp;L - Inputs'!BZ391</f>
        <v>272870893.40000242</v>
      </c>
      <c r="BB10" s="19">
        <f>'P&amp;L - Inputs'!CA391</f>
        <v>241378341.07000488</v>
      </c>
      <c r="BC10" s="19">
        <f>'P&amp;L - Inputs'!CB391</f>
        <v>326386354.35000378</v>
      </c>
      <c r="BD10" s="19">
        <f>'P&amp;L - Inputs'!CC391</f>
        <v>332028029.38000494</v>
      </c>
      <c r="BE10" s="19">
        <f>'P&amp;L - Inputs'!CD391</f>
        <v>393468108.63436681</v>
      </c>
      <c r="BF10" s="19">
        <f>'P&amp;L - Inputs'!CE391</f>
        <v>407128548.67034614</v>
      </c>
      <c r="BG10" s="19">
        <f>'P&amp;L - Inputs'!CF391</f>
        <v>391995480.99006099</v>
      </c>
      <c r="BH10" s="19">
        <f>'P&amp;L - Inputs'!CG391</f>
        <v>482842491.28010553</v>
      </c>
      <c r="BI10" s="19">
        <f>'P&amp;L - Inputs'!CH391</f>
        <v>474952212.90013832</v>
      </c>
      <c r="BJ10" s="19">
        <f>'P&amp;L - Inputs'!CI391</f>
        <v>455498684.51000363</v>
      </c>
      <c r="BK10" s="19">
        <f>'P&amp;L - Inputs'!CJ391</f>
        <v>465119968.07098442</v>
      </c>
      <c r="BL10" s="19">
        <f>'P&amp;L - Inputs'!CK391</f>
        <v>508133503.32000118</v>
      </c>
      <c r="BM10" s="19">
        <f>'P&amp;L - Inputs'!CL391</f>
        <v>424501340.13000178</v>
      </c>
      <c r="BN10" s="19">
        <f>'P&amp;L - Inputs'!CM391</f>
        <v>400618944.29999751</v>
      </c>
      <c r="BO10" s="19">
        <f>'P&amp;L - Inputs'!CN391</f>
        <v>570949637.67999613</v>
      </c>
      <c r="BP10" s="19">
        <f>'P&amp;L - Inputs'!CO391</f>
        <v>513438567.99000001</v>
      </c>
      <c r="BQ10" s="19">
        <f>'P&amp;L - Inputs'!CP391</f>
        <v>640055629.81999576</v>
      </c>
      <c r="BR10" s="19">
        <f>'P&amp;L - Inputs'!CQ391</f>
        <v>691118265.92999864</v>
      </c>
      <c r="BS10" s="19">
        <f>'P&amp;L - Inputs'!CR391</f>
        <v>667830111.98999512</v>
      </c>
      <c r="BT10" s="19">
        <f>'P&amp;L - Inputs'!CS391</f>
        <v>780787377.02999902</v>
      </c>
      <c r="BU10" s="19">
        <f>'P&amp;L - Inputs'!CT391</f>
        <v>671971109.94275129</v>
      </c>
      <c r="BV10" s="19">
        <f>'P&amp;L - Inputs'!CU391</f>
        <v>656420612.73633289</v>
      </c>
      <c r="BW10" s="19">
        <f>'P&amp;L - Inputs'!CV391</f>
        <v>654222421.6572367</v>
      </c>
      <c r="BX10" s="19">
        <f>'P&amp;L - Inputs'!CW391</f>
        <v>712734922.90033388</v>
      </c>
      <c r="BY10" s="19">
        <f>'P&amp;L - Inputs'!CX391</f>
        <v>629891938.90787458</v>
      </c>
      <c r="BZ10" s="19">
        <f>'P&amp;L - Inputs'!CY391</f>
        <v>579765235.46463668</v>
      </c>
      <c r="CA10" s="19">
        <f>'P&amp;L - Inputs'!CZ391</f>
        <v>737735430.06899476</v>
      </c>
      <c r="CB10" s="19">
        <f>'P&amp;L - Inputs'!DA391</f>
        <v>673931573.54593372</v>
      </c>
      <c r="CC10" s="19">
        <f>'P&amp;L - Inputs'!DB391</f>
        <v>812804395.34757435</v>
      </c>
      <c r="CD10" s="19">
        <f>'P&amp;L - Inputs'!DC391</f>
        <v>833803435.10439599</v>
      </c>
      <c r="CE10" s="19">
        <f>'P&amp;L - Inputs'!DD391</f>
        <v>770302517.5173651</v>
      </c>
      <c r="CF10" s="19">
        <f>'P&amp;L - Inputs'!DE391</f>
        <v>905334538.97223377</v>
      </c>
      <c r="CG10" s="19">
        <f>'P&amp;L - Inputs'!DF391</f>
        <v>824449260.33123171</v>
      </c>
      <c r="CH10" s="19">
        <f>'P&amp;L - Inputs'!DG391</f>
        <v>807532740.41706645</v>
      </c>
      <c r="CI10" s="19">
        <f>'P&amp;L - Inputs'!DH391</f>
        <v>800715744.77832496</v>
      </c>
      <c r="CJ10" s="19">
        <f>'P&amp;L - Inputs'!DI391</f>
        <v>871501717.94011843</v>
      </c>
      <c r="CK10" s="19">
        <f>'P&amp;L - Inputs'!DJ391</f>
        <v>769128536.04872036</v>
      </c>
      <c r="CL10" s="19">
        <f>'P&amp;L - Inputs'!DK391</f>
        <v>706637194.4921484</v>
      </c>
      <c r="CM10" s="19">
        <f>'P&amp;L - Inputs'!DL391</f>
        <v>895237587.6834296</v>
      </c>
      <c r="CN10" s="19">
        <f>'P&amp;L - Inputs'!DM391</f>
        <v>813937580.07279837</v>
      </c>
      <c r="CO10" s="19">
        <f>'P&amp;L - Inputs'!DN391</f>
        <v>977474172.30772114</v>
      </c>
      <c r="CP10" s="19">
        <f>'P&amp;L - Inputs'!DO391</f>
        <v>998498781.43257451</v>
      </c>
      <c r="CQ10" s="19">
        <f>'P&amp;L - Inputs'!DP391</f>
        <v>918283758.53884041</v>
      </c>
      <c r="CR10" s="19">
        <f>'P&amp;L - Inputs'!DQ391</f>
        <v>1066801629.6207221</v>
      </c>
      <c r="CS10" s="19">
        <f>'P&amp;L - Inputs'!DR391</f>
        <v>942620320.97870839</v>
      </c>
      <c r="CT10" s="19">
        <f>'P&amp;L - Inputs'!DS391</f>
        <v>922450861.16872609</v>
      </c>
      <c r="CU10" s="19">
        <f>'P&amp;L - Inputs'!DT391</f>
        <v>914126211.17510974</v>
      </c>
      <c r="CV10" s="19">
        <f>'P&amp;L - Inputs'!DU391</f>
        <v>994361436.66055775</v>
      </c>
      <c r="CW10" s="19">
        <f>'P&amp;L - Inputs'!DV391</f>
        <v>876806531.09554136</v>
      </c>
      <c r="CX10" s="19">
        <f>'P&amp;L - Inputs'!DW391</f>
        <v>804670664.43225634</v>
      </c>
      <c r="CY10" s="19">
        <f>'P&amp;L - Inputs'!DX391</f>
        <v>1019157316.9259256</v>
      </c>
      <c r="CZ10" s="19">
        <f>'P&amp;L - Inputs'!DY391</f>
        <v>926102149.03404987</v>
      </c>
      <c r="DA10" s="19">
        <f>'P&amp;L - Inputs'!DZ391</f>
        <v>1111876871.0000329</v>
      </c>
      <c r="DB10" s="19">
        <f>'P&amp;L - Inputs'!EA391</f>
        <v>1135490050.2346559</v>
      </c>
      <c r="DC10" s="19">
        <f>'P&amp;L - Inputs'!EB391</f>
        <v>1043719426.5866716</v>
      </c>
      <c r="DD10" s="19">
        <f>'P&amp;L - Inputs'!EC391</f>
        <v>1212208153.110122</v>
      </c>
      <c r="DF10" s="19">
        <f t="shared" si="3"/>
        <v>1022889696.7400898</v>
      </c>
      <c r="DG10" s="19">
        <f t="shared" si="4"/>
        <v>893802565.35004115</v>
      </c>
      <c r="DH10" s="19">
        <f t="shared" si="5"/>
        <v>1058670622.1611862</v>
      </c>
      <c r="DI10" s="19">
        <f t="shared" si="6"/>
        <v>835466576.13525724</v>
      </c>
      <c r="DJ10" s="19">
        <f t="shared" si="7"/>
        <v>986042421.32306647</v>
      </c>
      <c r="DK10" s="19">
        <f t="shared" si="8"/>
        <v>841137870.30001259</v>
      </c>
      <c r="DL10" s="19">
        <f t="shared" si="9"/>
        <v>1051882492.3643756</v>
      </c>
      <c r="DM10" s="19">
        <f t="shared" si="10"/>
        <v>1281966520.9405127</v>
      </c>
      <c r="DN10" s="19">
        <f t="shared" si="11"/>
        <v>1395570865.4811263</v>
      </c>
      <c r="DO10" s="19">
        <f t="shared" si="12"/>
        <v>1333253787.7500005</v>
      </c>
      <c r="DP10" s="19">
        <f t="shared" si="13"/>
        <v>1724443835.4899921</v>
      </c>
      <c r="DQ10" s="19">
        <f t="shared" si="14"/>
        <v>2139735754.9499929</v>
      </c>
      <c r="DR10" s="19">
        <f t="shared" si="15"/>
        <v>1982614144.3363209</v>
      </c>
      <c r="DS10" s="19">
        <f t="shared" si="16"/>
        <v>1922392097.2728453</v>
      </c>
      <c r="DT10" s="19">
        <f t="shared" si="17"/>
        <v>2224471398.962503</v>
      </c>
      <c r="DU10" s="19">
        <f t="shared" si="18"/>
        <v>2509440491.5939951</v>
      </c>
      <c r="DV10" s="19">
        <f t="shared" si="19"/>
        <v>2432697745.5266232</v>
      </c>
      <c r="DW10" s="19">
        <f t="shared" si="20"/>
        <v>2347267448.4809871</v>
      </c>
      <c r="DX10" s="19">
        <f t="shared" si="21"/>
        <v>2686649340.0639491</v>
      </c>
      <c r="DY10" s="19">
        <f t="shared" si="22"/>
        <v>2983584169.5921373</v>
      </c>
      <c r="DZ10" s="19">
        <f t="shared" si="23"/>
        <v>2779197393.3225441</v>
      </c>
      <c r="EA10" s="19">
        <f t="shared" si="24"/>
        <v>2675838632.1883554</v>
      </c>
      <c r="EB10" s="19">
        <f t="shared" si="25"/>
        <v>3057136336.9600086</v>
      </c>
      <c r="EC10" s="19">
        <f t="shared" si="26"/>
        <v>3391417629.9314489</v>
      </c>
      <c r="EE10" s="19">
        <f>SUM(DF10:DI10)</f>
        <v>3810829460.3865743</v>
      </c>
      <c r="EF10" s="19">
        <f>SUM(DJ10:DM10)</f>
        <v>4161029304.9279671</v>
      </c>
      <c r="EG10" s="19">
        <f>SUM(DN10:DQ10)</f>
        <v>6593004243.6711121</v>
      </c>
      <c r="EH10" s="19">
        <f>SUM(DR10:DU10)</f>
        <v>8638918132.1656647</v>
      </c>
      <c r="EI10" s="19">
        <f>SUM(DV10:DY10)</f>
        <v>10450198703.663696</v>
      </c>
      <c r="EJ10" s="770">
        <f t="shared" si="27"/>
        <v>11903589992.402357</v>
      </c>
    </row>
    <row r="11" spans="2:142" x14ac:dyDescent="0.2">
      <c r="B11" s="167" t="s">
        <v>193</v>
      </c>
      <c r="C11" s="19">
        <f>'P&amp;L - Inputs'!AB392</f>
        <v>0</v>
      </c>
      <c r="D11" s="19">
        <f>'P&amp;L - Inputs'!AC392</f>
        <v>0</v>
      </c>
      <c r="E11" s="19">
        <f>'P&amp;L - Inputs'!AD392</f>
        <v>34000</v>
      </c>
      <c r="F11" s="19">
        <f>'P&amp;L - Inputs'!AE392</f>
        <v>143839.02000000002</v>
      </c>
      <c r="G11" s="19">
        <f>'P&amp;L - Inputs'!AF392</f>
        <v>463125.03</v>
      </c>
      <c r="H11" s="19">
        <f>'P&amp;L - Inputs'!AG392</f>
        <v>1161159.19</v>
      </c>
      <c r="I11" s="19">
        <f>'P&amp;L - Inputs'!AH392</f>
        <v>1928438.08</v>
      </c>
      <c r="J11" s="19">
        <f>'P&amp;L - Inputs'!AI392</f>
        <v>1856202.06</v>
      </c>
      <c r="K11" s="19">
        <f>'P&amp;L - Inputs'!AJ392</f>
        <v>2315520.09</v>
      </c>
      <c r="L11" s="19">
        <f>'P&amp;L - Inputs'!AK392</f>
        <v>3745269</v>
      </c>
      <c r="M11" s="19">
        <f>'P&amp;L - Inputs'!AL392</f>
        <v>3629238</v>
      </c>
      <c r="N11" s="19">
        <f>'P&amp;L - Inputs'!AM392</f>
        <v>19727</v>
      </c>
      <c r="O11" s="19">
        <f>'P&amp;L - Inputs'!AN392</f>
        <v>1232666</v>
      </c>
      <c r="P11" s="19">
        <f>'P&amp;L - Inputs'!AO392</f>
        <v>1302923</v>
      </c>
      <c r="Q11" s="19">
        <f>'P&amp;L - Inputs'!AP392</f>
        <v>2448108</v>
      </c>
      <c r="R11" s="19">
        <f>'P&amp;L - Inputs'!AQ392</f>
        <v>5355146</v>
      </c>
      <c r="S11" s="19">
        <f>'P&amp;L - Inputs'!AR392</f>
        <v>6054327</v>
      </c>
      <c r="T11" s="19">
        <f>'P&amp;L - Inputs'!AS392</f>
        <v>6979947</v>
      </c>
      <c r="U11" s="19">
        <f>'P&amp;L - Inputs'!AT392</f>
        <v>8873855</v>
      </c>
      <c r="V11" s="19">
        <f>'P&amp;L - Inputs'!AU392</f>
        <v>6911190</v>
      </c>
      <c r="W11" s="19">
        <f>'P&amp;L - Inputs'!AV392</f>
        <v>6423876</v>
      </c>
      <c r="X11" s="19">
        <f>'P&amp;L - Inputs'!AW392</f>
        <v>5395927.2200000007</v>
      </c>
      <c r="Y11" s="19">
        <f>'P&amp;L - Inputs'!AX392</f>
        <v>4630001</v>
      </c>
      <c r="Z11" s="19">
        <f>'P&amp;L - Inputs'!AY392</f>
        <v>3163465.78</v>
      </c>
      <c r="AA11" s="19">
        <f>'P&amp;L - Inputs'!AZ392</f>
        <v>1310494.76</v>
      </c>
      <c r="AB11" s="19">
        <f>'P&amp;L - Inputs'!BA392</f>
        <v>4719185</v>
      </c>
      <c r="AC11" s="19">
        <f>'P&amp;L - Inputs'!BB392</f>
        <v>3050782.9</v>
      </c>
      <c r="AD11" s="19">
        <f>'P&amp;L - Inputs'!BC392</f>
        <v>3718284</v>
      </c>
      <c r="AE11" s="19">
        <f>'P&amp;L - Inputs'!BD392</f>
        <v>2473023</v>
      </c>
      <c r="AF11" s="19">
        <f>'P&amp;L - Inputs'!BE392</f>
        <v>3503031.2199999997</v>
      </c>
      <c r="AG11" s="19">
        <f>'P&amp;L - Inputs'!BF392</f>
        <v>3565688</v>
      </c>
      <c r="AH11" s="19">
        <f>'P&amp;L - Inputs'!BG392</f>
        <v>1842725</v>
      </c>
      <c r="AI11" s="19">
        <f>'P&amp;L - Inputs'!BH392</f>
        <v>1279096</v>
      </c>
      <c r="AJ11" s="19">
        <f>'P&amp;L - Inputs'!BI392</f>
        <v>2066617</v>
      </c>
      <c r="AK11" s="19">
        <f>'P&amp;L - Inputs'!BJ392</f>
        <v>3135734</v>
      </c>
      <c r="AL11" s="19">
        <f>'P&amp;L - Inputs'!BK392</f>
        <v>3693563</v>
      </c>
      <c r="AM11" s="19">
        <f>'P&amp;L - Inputs'!BL392</f>
        <v>1699363</v>
      </c>
      <c r="AN11" s="19">
        <f>'P&amp;L - Inputs'!BM392</f>
        <v>827579</v>
      </c>
      <c r="AO11" s="19">
        <f>'P&amp;L - Inputs'!BN392</f>
        <v>536423</v>
      </c>
      <c r="AP11" s="19">
        <f>'P&amp;L - Inputs'!BO392</f>
        <v>75658</v>
      </c>
      <c r="AQ11" s="19">
        <f>'P&amp;L - Inputs'!BP392</f>
        <v>5490063</v>
      </c>
      <c r="AR11" s="19">
        <f>'P&amp;L - Inputs'!BQ392</f>
        <v>4072820</v>
      </c>
      <c r="AS11" s="19">
        <f>'P&amp;L - Inputs'!BR392</f>
        <v>3842823</v>
      </c>
      <c r="AT11" s="19">
        <f>'P&amp;L - Inputs'!BS392</f>
        <v>4566006</v>
      </c>
      <c r="AU11" s="19">
        <f>'P&amp;L - Inputs'!BT392</f>
        <v>4164425</v>
      </c>
      <c r="AV11" s="19">
        <f>'P&amp;L - Inputs'!BU392</f>
        <v>2540828</v>
      </c>
      <c r="AW11" s="19">
        <f>'P&amp;L - Inputs'!BV392</f>
        <v>4492493</v>
      </c>
      <c r="AX11" s="19">
        <f>'P&amp;L - Inputs'!BW392</f>
        <v>4855458</v>
      </c>
      <c r="AY11" s="19">
        <f>'P&amp;L - Inputs'!BX392</f>
        <v>3864757</v>
      </c>
      <c r="AZ11" s="19">
        <f>'P&amp;L - Inputs'!BY392</f>
        <v>4159899</v>
      </c>
      <c r="BA11" s="19">
        <f>'P&amp;L - Inputs'!BZ392</f>
        <v>5284297</v>
      </c>
      <c r="BB11" s="19">
        <f>'P&amp;L - Inputs'!CA392</f>
        <v>2040632</v>
      </c>
      <c r="BC11" s="19">
        <f>'P&amp;L - Inputs'!CB392</f>
        <v>5254661</v>
      </c>
      <c r="BD11" s="19">
        <f>'P&amp;L - Inputs'!CC392</f>
        <v>3082809</v>
      </c>
      <c r="BE11" s="19">
        <f>'P&amp;L - Inputs'!CD392</f>
        <v>5119783</v>
      </c>
      <c r="BF11" s="19">
        <f>'P&amp;L - Inputs'!CE392</f>
        <v>8803833</v>
      </c>
      <c r="BG11" s="19">
        <f>'P&amp;L - Inputs'!CF392</f>
        <v>3859661</v>
      </c>
      <c r="BH11" s="19">
        <f>'P&amp;L - Inputs'!CG392</f>
        <v>6622968</v>
      </c>
      <c r="BI11" s="19">
        <f>'P&amp;L - Inputs'!CH392</f>
        <v>6963357</v>
      </c>
      <c r="BJ11" s="19">
        <f>'P&amp;L - Inputs'!CI392</f>
        <v>7951124</v>
      </c>
      <c r="BK11" s="19">
        <f>'P&amp;L - Inputs'!CJ392</f>
        <v>6751325</v>
      </c>
      <c r="BL11" s="19">
        <f>'P&amp;L - Inputs'!CK392</f>
        <v>10589864</v>
      </c>
      <c r="BM11" s="19">
        <f>'P&amp;L - Inputs'!CL392</f>
        <v>6839084</v>
      </c>
      <c r="BN11" s="19">
        <f>'P&amp;L - Inputs'!CM392</f>
        <v>7098233</v>
      </c>
      <c r="BO11" s="19">
        <f>'P&amp;L - Inputs'!CN392</f>
        <v>11212948</v>
      </c>
      <c r="BP11" s="19">
        <f>'P&amp;L - Inputs'!CO392</f>
        <v>9639558</v>
      </c>
      <c r="BQ11" s="19">
        <f>'P&amp;L - Inputs'!CP392</f>
        <v>5809747</v>
      </c>
      <c r="BR11" s="19">
        <f>'P&amp;L - Inputs'!CQ392</f>
        <v>6292157</v>
      </c>
      <c r="BS11" s="19">
        <f>'P&amp;L - Inputs'!CR392</f>
        <v>5836059</v>
      </c>
      <c r="BT11" s="19">
        <f>'P&amp;L - Inputs'!CS392</f>
        <v>8888381</v>
      </c>
      <c r="BU11" s="19">
        <f>'P&amp;L - Inputs'!CT392</f>
        <v>10692813.980682004</v>
      </c>
      <c r="BV11" s="19">
        <f>'P&amp;L - Inputs'!CU392</f>
        <v>10445364.988493171</v>
      </c>
      <c r="BW11" s="19">
        <f>'P&amp;L - Inputs'!CV392</f>
        <v>10410386.031875866</v>
      </c>
      <c r="BX11" s="19">
        <f>'P&amp;L - Inputs'!CW392</f>
        <v>11341472.62485479</v>
      </c>
      <c r="BY11" s="19">
        <f>'P&amp;L - Inputs'!CX392</f>
        <v>10023224.556851609</v>
      </c>
      <c r="BZ11" s="19">
        <f>'P&amp;L - Inputs'!CY392</f>
        <v>9225577.8910165001</v>
      </c>
      <c r="CA11" s="19">
        <f>'P&amp;L - Inputs'!CZ392</f>
        <v>11739295.936931364</v>
      </c>
      <c r="CB11" s="19">
        <f>'P&amp;L - Inputs'!DA392</f>
        <v>10724010.07276774</v>
      </c>
      <c r="CC11" s="19">
        <f>'P&amp;L - Inputs'!DB392</f>
        <v>12933839.079588963</v>
      </c>
      <c r="CD11" s="19">
        <f>'P&amp;L - Inputs'!DC392</f>
        <v>13267988.602641774</v>
      </c>
      <c r="CE11" s="19">
        <f>'P&amp;L - Inputs'!DD392</f>
        <v>12257523.287520435</v>
      </c>
      <c r="CF11" s="19">
        <f>'P&amp;L - Inputs'!DE392</f>
        <v>14406235.137610808</v>
      </c>
      <c r="CG11" s="19">
        <f>'P&amp;L - Inputs'!DF392</f>
        <v>13119139.270710293</v>
      </c>
      <c r="CH11" s="19">
        <f>'P&amp;L - Inputs'!DG392</f>
        <v>12849953.292375477</v>
      </c>
      <c r="CI11" s="19">
        <f>'P&amp;L - Inputs'!DH392</f>
        <v>12741477.101667825</v>
      </c>
      <c r="CJ11" s="19">
        <f>'P&amp;L - Inputs'!DI392</f>
        <v>13867866.662559945</v>
      </c>
      <c r="CK11" s="19">
        <f>'P&amp;L - Inputs'!DJ392</f>
        <v>12238842.178652441</v>
      </c>
      <c r="CL11" s="19">
        <f>'P&amp;L - Inputs'!DK392</f>
        <v>11244441.852833945</v>
      </c>
      <c r="CM11" s="19">
        <f>'P&amp;L - Inputs'!DL392</f>
        <v>14245566.292915406</v>
      </c>
      <c r="CN11" s="19">
        <f>'P&amp;L - Inputs'!DM392</f>
        <v>12951871.005803175</v>
      </c>
      <c r="CO11" s="19">
        <f>'P&amp;L - Inputs'!DN392</f>
        <v>15554164.964470012</v>
      </c>
      <c r="CP11" s="19">
        <f>'P&amp;L - Inputs'!DO392</f>
        <v>15888721.362895774</v>
      </c>
      <c r="CQ11" s="19">
        <f>'P&amp;L - Inputs'!DP392</f>
        <v>14612291.01407926</v>
      </c>
      <c r="CR11" s="19">
        <f>'P&amp;L - Inputs'!DQ392</f>
        <v>16975597.925325442</v>
      </c>
      <c r="CS11" s="19">
        <f>'P&amp;L - Inputs'!DR392</f>
        <v>14999549.232845437</v>
      </c>
      <c r="CT11" s="19">
        <f>'P&amp;L - Inputs'!DS392</f>
        <v>14678600.491675066</v>
      </c>
      <c r="CU11" s="19">
        <f>'P&amp;L - Inputs'!DT392</f>
        <v>14546133.585704049</v>
      </c>
      <c r="CV11" s="19">
        <f>'P&amp;L - Inputs'!DU392</f>
        <v>15822885.410476793</v>
      </c>
      <c r="CW11" s="19">
        <f>'P&amp;L - Inputs'!DV392</f>
        <v>13952280.083663782</v>
      </c>
      <c r="CX11" s="19">
        <f>'P&amp;L - Inputs'!DW392</f>
        <v>12804410.194389079</v>
      </c>
      <c r="CY11" s="19">
        <f>'P&amp;L - Inputs'!DX392</f>
        <v>16217452.574513698</v>
      </c>
      <c r="CZ11" s="19">
        <f>'P&amp;L - Inputs'!DY392</f>
        <v>14736702.010261416</v>
      </c>
      <c r="DA11" s="19">
        <f>'P&amp;L - Inputs'!DZ392</f>
        <v>17692862.647084642</v>
      </c>
      <c r="DB11" s="19">
        <f>'P&amp;L - Inputs'!EA392</f>
        <v>18068609.951265384</v>
      </c>
      <c r="DC11" s="19">
        <f>'P&amp;L - Inputs'!EB392</f>
        <v>16608299.838167405</v>
      </c>
      <c r="DD11" s="19">
        <f>'P&amp;L - Inputs'!EC392</f>
        <v>19289395.176791035</v>
      </c>
      <c r="DF11" s="19">
        <f t="shared" si="3"/>
        <v>8528660</v>
      </c>
      <c r="DG11" s="19">
        <f t="shared" si="4"/>
        <v>1439660</v>
      </c>
      <c r="DH11" s="19">
        <f t="shared" si="5"/>
        <v>13405706</v>
      </c>
      <c r="DI11" s="19">
        <f t="shared" si="6"/>
        <v>11271259</v>
      </c>
      <c r="DJ11" s="19">
        <f t="shared" si="7"/>
        <v>13212708</v>
      </c>
      <c r="DK11" s="19">
        <f t="shared" si="8"/>
        <v>11484828</v>
      </c>
      <c r="DL11" s="19">
        <f t="shared" si="9"/>
        <v>13457253</v>
      </c>
      <c r="DM11" s="19">
        <f t="shared" si="10"/>
        <v>19286462</v>
      </c>
      <c r="DN11" s="19">
        <f t="shared" si="11"/>
        <v>21665806</v>
      </c>
      <c r="DO11" s="19">
        <f t="shared" si="12"/>
        <v>24527181</v>
      </c>
      <c r="DP11" s="19">
        <f t="shared" si="13"/>
        <v>26662253</v>
      </c>
      <c r="DQ11" s="19">
        <f t="shared" si="14"/>
        <v>21016597</v>
      </c>
      <c r="DR11" s="19">
        <f t="shared" si="15"/>
        <v>31548565.001051039</v>
      </c>
      <c r="DS11" s="19">
        <f t="shared" si="16"/>
        <v>30590275.072722897</v>
      </c>
      <c r="DT11" s="19">
        <f t="shared" si="17"/>
        <v>35397145.089288071</v>
      </c>
      <c r="DU11" s="19">
        <f t="shared" si="18"/>
        <v>39931747.027773015</v>
      </c>
      <c r="DV11" s="19">
        <f t="shared" si="19"/>
        <v>38710569.664753601</v>
      </c>
      <c r="DW11" s="19">
        <f t="shared" si="20"/>
        <v>37351150.694046333</v>
      </c>
      <c r="DX11" s="19">
        <f t="shared" si="21"/>
        <v>42751602.263188593</v>
      </c>
      <c r="DY11" s="19">
        <f t="shared" si="22"/>
        <v>47476610.302300476</v>
      </c>
      <c r="DZ11" s="19">
        <f t="shared" si="23"/>
        <v>44224283.310224555</v>
      </c>
      <c r="EA11" s="19">
        <f t="shared" si="24"/>
        <v>42579575.688529655</v>
      </c>
      <c r="EB11" s="19">
        <f t="shared" si="25"/>
        <v>48647017.231859758</v>
      </c>
      <c r="EC11" s="19">
        <f t="shared" si="26"/>
        <v>53966304.966223821</v>
      </c>
      <c r="EE11" s="19">
        <f>SUM(DF11:DI11)</f>
        <v>34645285</v>
      </c>
      <c r="EF11" s="19">
        <f>SUM(DJ11:DM11)</f>
        <v>57441251</v>
      </c>
      <c r="EG11" s="19">
        <f>SUM(DN11:DQ11)</f>
        <v>93871837</v>
      </c>
      <c r="EH11" s="19">
        <f>SUM(DR11:DU11)</f>
        <v>137467732.19083503</v>
      </c>
      <c r="EI11" s="19">
        <f>SUM(DV11:DY11)</f>
        <v>166289932.92428902</v>
      </c>
      <c r="EJ11" s="770">
        <f t="shared" si="27"/>
        <v>189417181.19683778</v>
      </c>
    </row>
    <row r="12" spans="2:142" x14ac:dyDescent="0.2">
      <c r="B12" s="167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E12" s="10"/>
      <c r="EF12" s="10"/>
      <c r="EG12" s="10"/>
      <c r="EH12" s="10"/>
      <c r="EI12" s="10"/>
      <c r="EJ12" s="812"/>
    </row>
    <row r="13" spans="2:142" x14ac:dyDescent="0.2">
      <c r="B13" s="176" t="s">
        <v>5</v>
      </c>
      <c r="C13" s="158">
        <f>SUM(C14:C15)</f>
        <v>365</v>
      </c>
      <c r="D13" s="158">
        <f t="shared" ref="D13:BO13" si="28">SUM(D14:D15)</f>
        <v>278</v>
      </c>
      <c r="E13" s="158">
        <f t="shared" si="28"/>
        <v>536</v>
      </c>
      <c r="F13" s="158">
        <f t="shared" si="28"/>
        <v>926</v>
      </c>
      <c r="G13" s="158">
        <f t="shared" si="28"/>
        <v>827</v>
      </c>
      <c r="H13" s="158">
        <f t="shared" si="28"/>
        <v>1258</v>
      </c>
      <c r="I13" s="158">
        <f t="shared" si="28"/>
        <v>2110</v>
      </c>
      <c r="J13" s="158">
        <f t="shared" si="28"/>
        <v>2095</v>
      </c>
      <c r="K13" s="158">
        <f t="shared" si="28"/>
        <v>2427</v>
      </c>
      <c r="L13" s="158">
        <f t="shared" si="28"/>
        <v>3136</v>
      </c>
      <c r="M13" s="158">
        <f t="shared" si="28"/>
        <v>1808</v>
      </c>
      <c r="N13" s="158">
        <f t="shared" si="28"/>
        <v>52</v>
      </c>
      <c r="O13" s="158">
        <f t="shared" si="28"/>
        <v>1290</v>
      </c>
      <c r="P13" s="158">
        <f t="shared" si="28"/>
        <v>1959</v>
      </c>
      <c r="Q13" s="158">
        <f t="shared" si="28"/>
        <v>2540</v>
      </c>
      <c r="R13" s="158">
        <f t="shared" si="28"/>
        <v>3673</v>
      </c>
      <c r="S13" s="158">
        <f t="shared" si="28"/>
        <v>4009</v>
      </c>
      <c r="T13" s="158">
        <f t="shared" si="28"/>
        <v>5579</v>
      </c>
      <c r="U13" s="158">
        <f t="shared" si="28"/>
        <v>6925</v>
      </c>
      <c r="V13" s="158">
        <f t="shared" si="28"/>
        <v>6865</v>
      </c>
      <c r="W13" s="158">
        <f t="shared" si="28"/>
        <v>6978</v>
      </c>
      <c r="X13" s="158">
        <f t="shared" si="28"/>
        <v>7566</v>
      </c>
      <c r="Y13" s="158">
        <f t="shared" si="28"/>
        <v>6552</v>
      </c>
      <c r="Z13" s="158">
        <f t="shared" si="28"/>
        <v>8769</v>
      </c>
      <c r="AA13" s="158">
        <f t="shared" si="28"/>
        <v>9095</v>
      </c>
      <c r="AB13" s="158">
        <f t="shared" si="28"/>
        <v>9732</v>
      </c>
      <c r="AC13" s="158">
        <f t="shared" si="28"/>
        <v>10287</v>
      </c>
      <c r="AD13" s="158">
        <f t="shared" si="28"/>
        <v>10390</v>
      </c>
      <c r="AE13" s="158">
        <f t="shared" si="28"/>
        <v>10594</v>
      </c>
      <c r="AF13" s="158">
        <f t="shared" si="28"/>
        <v>10187</v>
      </c>
      <c r="AG13" s="158">
        <f t="shared" si="28"/>
        <v>11572</v>
      </c>
      <c r="AH13" s="158">
        <f t="shared" si="28"/>
        <v>11976</v>
      </c>
      <c r="AI13" s="158">
        <f t="shared" si="28"/>
        <v>11023</v>
      </c>
      <c r="AJ13" s="158">
        <f t="shared" si="28"/>
        <v>12932</v>
      </c>
      <c r="AK13" s="158">
        <f t="shared" si="28"/>
        <v>13201</v>
      </c>
      <c r="AL13" s="158">
        <f t="shared" si="28"/>
        <v>14628</v>
      </c>
      <c r="AM13" s="158">
        <f t="shared" si="28"/>
        <v>14693</v>
      </c>
      <c r="AN13" s="158">
        <f t="shared" si="28"/>
        <v>13222</v>
      </c>
      <c r="AO13" s="158">
        <f t="shared" si="28"/>
        <v>13379</v>
      </c>
      <c r="AP13" s="158">
        <f t="shared" si="28"/>
        <v>12636</v>
      </c>
      <c r="AQ13" s="158">
        <f t="shared" si="28"/>
        <v>15254</v>
      </c>
      <c r="AR13" s="158">
        <f t="shared" si="28"/>
        <v>13790</v>
      </c>
      <c r="AS13" s="158">
        <f t="shared" si="28"/>
        <v>12255</v>
      </c>
      <c r="AT13" s="158">
        <f t="shared" si="28"/>
        <v>11040</v>
      </c>
      <c r="AU13" s="158">
        <f t="shared" si="28"/>
        <v>9729</v>
      </c>
      <c r="AV13" s="158">
        <f t="shared" si="28"/>
        <v>12176</v>
      </c>
      <c r="AW13" s="158">
        <f t="shared" si="28"/>
        <v>12948</v>
      </c>
      <c r="AX13" s="158">
        <f t="shared" si="28"/>
        <v>12532</v>
      </c>
      <c r="AY13" s="158">
        <f t="shared" si="28"/>
        <v>13565</v>
      </c>
      <c r="AZ13" s="158">
        <f t="shared" si="28"/>
        <v>12910</v>
      </c>
      <c r="BA13" s="158">
        <f t="shared" si="28"/>
        <v>10609</v>
      </c>
      <c r="BB13" s="158">
        <f t="shared" si="28"/>
        <v>9299</v>
      </c>
      <c r="BC13" s="158">
        <f t="shared" si="28"/>
        <v>11327</v>
      </c>
      <c r="BD13" s="158">
        <f t="shared" si="28"/>
        <v>11093</v>
      </c>
      <c r="BE13" s="158">
        <f t="shared" si="28"/>
        <v>13078</v>
      </c>
      <c r="BF13" s="158">
        <f t="shared" si="28"/>
        <v>13361</v>
      </c>
      <c r="BG13" s="158">
        <f t="shared" si="28"/>
        <v>12631</v>
      </c>
      <c r="BH13" s="158">
        <f t="shared" si="28"/>
        <v>15511</v>
      </c>
      <c r="BI13" s="158">
        <f t="shared" si="28"/>
        <v>15328</v>
      </c>
      <c r="BJ13" s="158">
        <f t="shared" si="28"/>
        <v>15252</v>
      </c>
      <c r="BK13" s="158">
        <f t="shared" si="28"/>
        <v>15331</v>
      </c>
      <c r="BL13" s="158">
        <f t="shared" si="28"/>
        <v>16995</v>
      </c>
      <c r="BM13" s="158">
        <f t="shared" si="28"/>
        <v>14763</v>
      </c>
      <c r="BN13" s="158">
        <f t="shared" si="28"/>
        <v>13644</v>
      </c>
      <c r="BO13" s="158">
        <f t="shared" si="28"/>
        <v>17482</v>
      </c>
      <c r="BP13" s="158">
        <f t="shared" ref="BP13:CR13" si="29">SUM(BP14:BP15)</f>
        <v>15861</v>
      </c>
      <c r="BQ13" s="158">
        <f t="shared" si="29"/>
        <v>19815</v>
      </c>
      <c r="BR13" s="158">
        <f t="shared" si="29"/>
        <v>21208</v>
      </c>
      <c r="BS13" s="158">
        <f t="shared" si="29"/>
        <v>20145</v>
      </c>
      <c r="BT13" s="158">
        <f t="shared" si="29"/>
        <v>23622</v>
      </c>
      <c r="BU13" s="158">
        <f t="shared" si="29"/>
        <v>20817.756521739131</v>
      </c>
      <c r="BV13" s="158">
        <f t="shared" si="29"/>
        <v>20336</v>
      </c>
      <c r="BW13" s="158">
        <f t="shared" si="29"/>
        <v>20267.89974093264</v>
      </c>
      <c r="BX13" s="158">
        <f t="shared" si="29"/>
        <v>22080.624999999996</v>
      </c>
      <c r="BY13" s="158">
        <f t="shared" si="29"/>
        <v>19514.138071065987</v>
      </c>
      <c r="BZ13" s="158">
        <f t="shared" si="29"/>
        <v>17961.205970149251</v>
      </c>
      <c r="CA13" s="158">
        <f t="shared" si="29"/>
        <v>22855.144117647058</v>
      </c>
      <c r="CB13" s="158">
        <f t="shared" si="29"/>
        <v>20878.491951219512</v>
      </c>
      <c r="CC13" s="158">
        <f t="shared" si="29"/>
        <v>25180.790887850464</v>
      </c>
      <c r="CD13" s="158">
        <f t="shared" si="29"/>
        <v>25831.343999999997</v>
      </c>
      <c r="CE13" s="158">
        <f t="shared" si="29"/>
        <v>23864.076923076922</v>
      </c>
      <c r="CF13" s="158">
        <f t="shared" si="29"/>
        <v>28047.387341772155</v>
      </c>
      <c r="CG13" s="158">
        <f t="shared" si="29"/>
        <v>24797.621739130434</v>
      </c>
      <c r="CH13" s="158">
        <f t="shared" si="29"/>
        <v>24288.809999999998</v>
      </c>
      <c r="CI13" s="158">
        <f t="shared" si="29"/>
        <v>24083.769753886008</v>
      </c>
      <c r="CJ13" s="158">
        <f t="shared" si="29"/>
        <v>26212.856250000001</v>
      </c>
      <c r="CK13" s="158">
        <f t="shared" si="29"/>
        <v>23133.695939086298</v>
      </c>
      <c r="CL13" s="158">
        <f t="shared" si="29"/>
        <v>21254.093731343288</v>
      </c>
      <c r="CM13" s="158">
        <f t="shared" si="29"/>
        <v>26926.779044117648</v>
      </c>
      <c r="CN13" s="158">
        <f t="shared" si="29"/>
        <v>24481.453500000003</v>
      </c>
      <c r="CO13" s="158">
        <f t="shared" si="29"/>
        <v>29400.274766355145</v>
      </c>
      <c r="CP13" s="158">
        <f t="shared" si="29"/>
        <v>30032.648800000006</v>
      </c>
      <c r="CQ13" s="158">
        <f t="shared" si="29"/>
        <v>27619.957211538462</v>
      </c>
      <c r="CR13" s="158">
        <f t="shared" si="29"/>
        <v>32087.048354430382</v>
      </c>
      <c r="CS13" s="158">
        <f t="shared" ref="CS13:DD13" si="30">SUM(CS14:CS15)</f>
        <v>28351.947521739137</v>
      </c>
      <c r="CT13" s="158">
        <f t="shared" si="30"/>
        <v>27745.294500000004</v>
      </c>
      <c r="CU13" s="158">
        <f t="shared" si="30"/>
        <v>27494.907324481868</v>
      </c>
      <c r="CV13" s="158">
        <f t="shared" si="30"/>
        <v>29908.206562500007</v>
      </c>
      <c r="CW13" s="158">
        <f t="shared" si="30"/>
        <v>26372.413370558381</v>
      </c>
      <c r="CX13" s="158">
        <f t="shared" si="30"/>
        <v>24202.725044776125</v>
      </c>
      <c r="CY13" s="158">
        <f t="shared" si="30"/>
        <v>30654.012143382359</v>
      </c>
      <c r="CZ13" s="158">
        <f t="shared" si="30"/>
        <v>27855.117214024394</v>
      </c>
      <c r="DA13" s="158">
        <f t="shared" si="30"/>
        <v>33442.812546728979</v>
      </c>
      <c r="DB13" s="158">
        <f t="shared" si="30"/>
        <v>34153.045080000004</v>
      </c>
      <c r="DC13" s="158">
        <f t="shared" si="30"/>
        <v>31392.786418269228</v>
      </c>
      <c r="DD13" s="158">
        <f t="shared" si="30"/>
        <v>36460.557000000008</v>
      </c>
      <c r="DF13" s="158">
        <f t="shared" si="3"/>
        <v>42522</v>
      </c>
      <c r="DG13" s="158">
        <f t="shared" si="4"/>
        <v>39237</v>
      </c>
      <c r="DH13" s="158">
        <f t="shared" si="5"/>
        <v>41299</v>
      </c>
      <c r="DI13" s="158">
        <f t="shared" si="6"/>
        <v>32945</v>
      </c>
      <c r="DJ13" s="158">
        <f t="shared" si="7"/>
        <v>39045</v>
      </c>
      <c r="DK13" s="158">
        <f t="shared" si="8"/>
        <v>32818</v>
      </c>
      <c r="DL13" s="158">
        <f t="shared" si="9"/>
        <v>35498</v>
      </c>
      <c r="DM13" s="158">
        <f t="shared" si="10"/>
        <v>41503</v>
      </c>
      <c r="DN13" s="158">
        <f t="shared" si="11"/>
        <v>45911</v>
      </c>
      <c r="DO13" s="158">
        <f t="shared" si="12"/>
        <v>45402</v>
      </c>
      <c r="DP13" s="158">
        <f t="shared" si="13"/>
        <v>53158</v>
      </c>
      <c r="DQ13" s="158">
        <f t="shared" si="14"/>
        <v>64975</v>
      </c>
      <c r="DR13" s="158">
        <f t="shared" si="15"/>
        <v>61421.656262671771</v>
      </c>
      <c r="DS13" s="158">
        <f t="shared" si="16"/>
        <v>59555.969041215241</v>
      </c>
      <c r="DT13" s="158">
        <f t="shared" si="17"/>
        <v>68914.426956717041</v>
      </c>
      <c r="DU13" s="158">
        <f t="shared" si="18"/>
        <v>77742.808264849067</v>
      </c>
      <c r="DV13" s="158">
        <f t="shared" si="19"/>
        <v>73170.201493016444</v>
      </c>
      <c r="DW13" s="158">
        <f t="shared" si="20"/>
        <v>70600.645920429582</v>
      </c>
      <c r="DX13" s="158">
        <f t="shared" si="21"/>
        <v>80808.507310472793</v>
      </c>
      <c r="DY13" s="158">
        <f t="shared" si="22"/>
        <v>89739.654365968847</v>
      </c>
      <c r="DZ13" s="158">
        <f t="shared" si="23"/>
        <v>83592.149346221006</v>
      </c>
      <c r="EA13" s="158">
        <f t="shared" si="24"/>
        <v>80483.344977834524</v>
      </c>
      <c r="EB13" s="158">
        <f t="shared" si="25"/>
        <v>91951.941904135732</v>
      </c>
      <c r="EC13" s="158">
        <f t="shared" si="26"/>
        <v>102006.38849826923</v>
      </c>
      <c r="EE13" s="158">
        <f>SUM(DF13:DI13)</f>
        <v>156003</v>
      </c>
      <c r="EF13" s="158">
        <f>SUM(DJ13:DM13)</f>
        <v>148864</v>
      </c>
      <c r="EG13" s="158">
        <f>SUM(DN13:DQ13)</f>
        <v>209446</v>
      </c>
      <c r="EH13" s="158">
        <f>SUM(DR13:DU13)</f>
        <v>267634.86052545311</v>
      </c>
      <c r="EI13" s="158">
        <f>SUM(DV13:DY13)</f>
        <v>314319.00908988767</v>
      </c>
      <c r="EJ13" s="780">
        <f t="shared" si="27"/>
        <v>358033.8247264605</v>
      </c>
    </row>
    <row r="14" spans="2:142" x14ac:dyDescent="0.2">
      <c r="B14" s="167" t="s">
        <v>192</v>
      </c>
      <c r="C14" s="19">
        <f>'P&amp;L - Inputs'!AB395</f>
        <v>365</v>
      </c>
      <c r="D14" s="19">
        <f>'P&amp;L - Inputs'!AC395</f>
        <v>278</v>
      </c>
      <c r="E14" s="19">
        <f>'P&amp;L - Inputs'!AD395</f>
        <v>535</v>
      </c>
      <c r="F14" s="19">
        <f>'P&amp;L - Inputs'!AE395</f>
        <v>915</v>
      </c>
      <c r="G14" s="19">
        <f>'P&amp;L - Inputs'!AF395</f>
        <v>789</v>
      </c>
      <c r="H14" s="19">
        <f>'P&amp;L - Inputs'!AG395</f>
        <v>1176</v>
      </c>
      <c r="I14" s="19">
        <f>'P&amp;L - Inputs'!AH395</f>
        <v>1987</v>
      </c>
      <c r="J14" s="19">
        <f>'P&amp;L - Inputs'!AI395</f>
        <v>1998</v>
      </c>
      <c r="K14" s="19">
        <f>'P&amp;L - Inputs'!AJ395</f>
        <v>2274</v>
      </c>
      <c r="L14" s="19">
        <f>'P&amp;L - Inputs'!AK395</f>
        <v>2777</v>
      </c>
      <c r="M14" s="19">
        <f>'P&amp;L - Inputs'!AL395</f>
        <v>1543</v>
      </c>
      <c r="N14" s="19">
        <f>'P&amp;L - Inputs'!AM395</f>
        <v>50</v>
      </c>
      <c r="O14" s="19">
        <f>'P&amp;L - Inputs'!AN395</f>
        <v>1180</v>
      </c>
      <c r="P14" s="19">
        <f>'P&amp;L - Inputs'!AO395</f>
        <v>1853</v>
      </c>
      <c r="Q14" s="19">
        <f>'P&amp;L - Inputs'!AP395</f>
        <v>2349</v>
      </c>
      <c r="R14" s="19">
        <f>'P&amp;L - Inputs'!AQ395</f>
        <v>3147</v>
      </c>
      <c r="S14" s="19">
        <f>'P&amp;L - Inputs'!AR395</f>
        <v>3541</v>
      </c>
      <c r="T14" s="19">
        <f>'P&amp;L - Inputs'!AS395</f>
        <v>5012</v>
      </c>
      <c r="U14" s="19">
        <f>'P&amp;L - Inputs'!AT395</f>
        <v>6196</v>
      </c>
      <c r="V14" s="19">
        <f>'P&amp;L - Inputs'!AU395</f>
        <v>6259</v>
      </c>
      <c r="W14" s="19">
        <f>'P&amp;L - Inputs'!AV395</f>
        <v>6499</v>
      </c>
      <c r="X14" s="19">
        <f>'P&amp;L - Inputs'!AW395</f>
        <v>7137</v>
      </c>
      <c r="Y14" s="19">
        <f>'P&amp;L - Inputs'!AX395</f>
        <v>6209</v>
      </c>
      <c r="Z14" s="19">
        <f>'P&amp;L - Inputs'!AY395</f>
        <v>8564</v>
      </c>
      <c r="AA14" s="19">
        <f>'P&amp;L - Inputs'!AZ395</f>
        <v>9023</v>
      </c>
      <c r="AB14" s="19">
        <f>'P&amp;L - Inputs'!BA395</f>
        <v>9392</v>
      </c>
      <c r="AC14" s="19">
        <f>'P&amp;L - Inputs'!BB395</f>
        <v>10042</v>
      </c>
      <c r="AD14" s="19">
        <f>'P&amp;L - Inputs'!BC395</f>
        <v>10047</v>
      </c>
      <c r="AE14" s="19">
        <f>'P&amp;L - Inputs'!BD395</f>
        <v>10402</v>
      </c>
      <c r="AF14" s="19">
        <f>'P&amp;L - Inputs'!BE395</f>
        <v>9961</v>
      </c>
      <c r="AG14" s="19">
        <f>'P&amp;L - Inputs'!BF395</f>
        <v>11350</v>
      </c>
      <c r="AH14" s="19">
        <f>'P&amp;L - Inputs'!BG395</f>
        <v>11851</v>
      </c>
      <c r="AI14" s="19">
        <f>'P&amp;L - Inputs'!BH395</f>
        <v>10944</v>
      </c>
      <c r="AJ14" s="19">
        <f>'P&amp;L - Inputs'!BI395</f>
        <v>12804</v>
      </c>
      <c r="AK14" s="19">
        <f>'P&amp;L - Inputs'!BJ395</f>
        <v>13045</v>
      </c>
      <c r="AL14" s="19">
        <f>'P&amp;L - Inputs'!BK395</f>
        <v>14417</v>
      </c>
      <c r="AM14" s="19">
        <f>'P&amp;L - Inputs'!BL395</f>
        <v>14594</v>
      </c>
      <c r="AN14" s="19">
        <f>'P&amp;L - Inputs'!BM395</f>
        <v>13172</v>
      </c>
      <c r="AO14" s="19">
        <f>'P&amp;L - Inputs'!BN395</f>
        <v>13348</v>
      </c>
      <c r="AP14" s="19">
        <f>'P&amp;L - Inputs'!BO395</f>
        <v>12633</v>
      </c>
      <c r="AQ14" s="19">
        <f>'P&amp;L - Inputs'!BP395</f>
        <v>14998</v>
      </c>
      <c r="AR14" s="19">
        <f>'P&amp;L - Inputs'!BQ395</f>
        <v>13606</v>
      </c>
      <c r="AS14" s="19">
        <f>'P&amp;L - Inputs'!BR395</f>
        <v>12058</v>
      </c>
      <c r="AT14" s="19">
        <f>'P&amp;L - Inputs'!BS395</f>
        <v>10831</v>
      </c>
      <c r="AU14" s="19">
        <f>'P&amp;L - Inputs'!BT395</f>
        <v>9543</v>
      </c>
      <c r="AV14" s="19">
        <f>'P&amp;L - Inputs'!BU395</f>
        <v>12029</v>
      </c>
      <c r="AW14" s="19">
        <f>'P&amp;L - Inputs'!BV395</f>
        <v>12736</v>
      </c>
      <c r="AX14" s="19">
        <f>'P&amp;L - Inputs'!BW395</f>
        <v>12288</v>
      </c>
      <c r="AY14" s="19">
        <f>'P&amp;L - Inputs'!BX395</f>
        <v>13388</v>
      </c>
      <c r="AZ14" s="19">
        <f>'P&amp;L - Inputs'!BY395</f>
        <v>12704</v>
      </c>
      <c r="BA14" s="19">
        <f>'P&amp;L - Inputs'!BZ395</f>
        <v>10374</v>
      </c>
      <c r="BB14" s="19">
        <f>'P&amp;L - Inputs'!CA395</f>
        <v>9214</v>
      </c>
      <c r="BC14" s="19">
        <f>'P&amp;L - Inputs'!CB395</f>
        <v>11081</v>
      </c>
      <c r="BD14" s="19">
        <f>'P&amp;L - Inputs'!CC395</f>
        <v>10975</v>
      </c>
      <c r="BE14" s="19">
        <f>'P&amp;L - Inputs'!CD395</f>
        <v>12841</v>
      </c>
      <c r="BF14" s="19">
        <f>'P&amp;L - Inputs'!CE395</f>
        <v>12975</v>
      </c>
      <c r="BG14" s="19">
        <f>'P&amp;L - Inputs'!CF395</f>
        <v>12495</v>
      </c>
      <c r="BH14" s="19">
        <f>'P&amp;L - Inputs'!CG395</f>
        <v>15262</v>
      </c>
      <c r="BI14" s="19">
        <f>'P&amp;L - Inputs'!CH395</f>
        <v>15028</v>
      </c>
      <c r="BJ14" s="19">
        <f>'P&amp;L - Inputs'!CI395</f>
        <v>14902</v>
      </c>
      <c r="BK14" s="19">
        <f>'P&amp;L - Inputs'!CJ395</f>
        <v>15014</v>
      </c>
      <c r="BL14" s="19">
        <f>'P&amp;L - Inputs'!CK395</f>
        <v>16548</v>
      </c>
      <c r="BM14" s="19">
        <f>'P&amp;L - Inputs'!CL395</f>
        <v>14488</v>
      </c>
      <c r="BN14" s="19">
        <f>'P&amp;L - Inputs'!CM395</f>
        <v>13347</v>
      </c>
      <c r="BO14" s="19">
        <f>'P&amp;L - Inputs'!CN395</f>
        <v>17081</v>
      </c>
      <c r="BP14" s="19">
        <f>'P&amp;L - Inputs'!CO395</f>
        <v>15504</v>
      </c>
      <c r="BQ14" s="19">
        <f>'P&amp;L - Inputs'!CP395</f>
        <v>19578</v>
      </c>
      <c r="BR14" s="19">
        <f>'P&amp;L - Inputs'!CQ395</f>
        <v>20973</v>
      </c>
      <c r="BS14" s="19">
        <f>'P&amp;L - Inputs'!CR395</f>
        <v>19919</v>
      </c>
      <c r="BT14" s="19">
        <f>'P&amp;L - Inputs'!CS395</f>
        <v>23252</v>
      </c>
      <c r="BU14" s="19">
        <f>'P&amp;L - Inputs'!CT395</f>
        <v>20491.680409934732</v>
      </c>
      <c r="BV14" s="19">
        <f>'P&amp;L - Inputs'!CU395</f>
        <v>20017.469816272966</v>
      </c>
      <c r="BW14" s="19">
        <f>'P&amp;L - Inputs'!CV395</f>
        <v>19950.436236396821</v>
      </c>
      <c r="BX14" s="19">
        <f>'P&amp;L - Inputs'!CW395</f>
        <v>21734.768118702901</v>
      </c>
      <c r="BY14" s="19">
        <f>'P&amp;L - Inputs'!CX395</f>
        <v>19208.481010432068</v>
      </c>
      <c r="BZ14" s="19">
        <f>'P&amp;L - Inputs'!CY395</f>
        <v>17679.873051304308</v>
      </c>
      <c r="CA14" s="19">
        <f>'P&amp;L - Inputs'!CZ395</f>
        <v>22497.155660974066</v>
      </c>
      <c r="CB14" s="19">
        <f>'P&amp;L - Inputs'!DA395</f>
        <v>20551.464518235378</v>
      </c>
      <c r="CC14" s="19">
        <f>'P&amp;L - Inputs'!DB395</f>
        <v>24786.374977745279</v>
      </c>
      <c r="CD14" s="19">
        <f>'P&amp;L - Inputs'!DC395</f>
        <v>25426.738239268478</v>
      </c>
      <c r="CE14" s="19">
        <f>'P&amp;L - Inputs'!DD395</f>
        <v>23490.285183954984</v>
      </c>
      <c r="CF14" s="19">
        <f>'P&amp;L - Inputs'!DE395</f>
        <v>27608.070886075951</v>
      </c>
      <c r="CG14" s="19">
        <f>'P&amp;L - Inputs'!DF395</f>
        <v>24409.207547128139</v>
      </c>
      <c r="CH14" s="19">
        <f>'P&amp;L - Inputs'!DG395</f>
        <v>23908.365511811022</v>
      </c>
      <c r="CI14" s="19">
        <f>'P&amp;L - Inputs'!DH395</f>
        <v>23706.536885841906</v>
      </c>
      <c r="CJ14" s="19">
        <f>'P&amp;L - Inputs'!DI395</f>
        <v>25802.274723774448</v>
      </c>
      <c r="CK14" s="19">
        <f>'P&amp;L - Inputs'!DJ395</f>
        <v>22771.344423657378</v>
      </c>
      <c r="CL14" s="19">
        <f>'P&amp;L - Inputs'!DK395</f>
        <v>20921.183110710106</v>
      </c>
      <c r="CM14" s="19">
        <f>'P&amp;L - Inputs'!DL395</f>
        <v>26505.015084828701</v>
      </c>
      <c r="CN14" s="19">
        <f>'P&amp;L - Inputs'!DM395</f>
        <v>24097.991566421137</v>
      </c>
      <c r="CO14" s="19">
        <f>'P&amp;L - Inputs'!DN395</f>
        <v>28939.767541583686</v>
      </c>
      <c r="CP14" s="19">
        <f>'P&amp;L - Inputs'!DO395</f>
        <v>29562.236470138014</v>
      </c>
      <c r="CQ14" s="19">
        <f>'P&amp;L - Inputs'!DP395</f>
        <v>27187.335749838807</v>
      </c>
      <c r="CR14" s="19">
        <f>'P&amp;L - Inputs'!DQ395</f>
        <v>31584.457215189876</v>
      </c>
      <c r="CS14" s="19">
        <f>'P&amp;L - Inputs'!DR395</f>
        <v>27907.860628883176</v>
      </c>
      <c r="CT14" s="19">
        <f>'P&amp;L - Inputs'!DS395</f>
        <v>27310.709834645673</v>
      </c>
      <c r="CU14" s="19">
        <f>'P&amp;L - Inputs'!DT395</f>
        <v>27064.244564763881</v>
      </c>
      <c r="CV14" s="19">
        <f>'P&amp;L - Inputs'!DU395</f>
        <v>29439.743416783091</v>
      </c>
      <c r="CW14" s="19">
        <f>'P&amp;L - Inputs'!DV395</f>
        <v>25959.332642969413</v>
      </c>
      <c r="CX14" s="19">
        <f>'P&amp;L - Inputs'!DW395</f>
        <v>23823.628936632565</v>
      </c>
      <c r="CY14" s="19">
        <f>'P&amp;L - Inputs'!DX395</f>
        <v>30173.867172886574</v>
      </c>
      <c r="CZ14" s="19">
        <f>'P&amp;L - Inputs'!DY395</f>
        <v>27418.812355452341</v>
      </c>
      <c r="DA14" s="19">
        <f>'P&amp;L - Inputs'!DZ395</f>
        <v>32918.985578551445</v>
      </c>
      <c r="DB14" s="19">
        <f>'P&amp;L - Inputs'!EA395</f>
        <v>33618.093480660405</v>
      </c>
      <c r="DC14" s="19">
        <f>'P&amp;L - Inputs'!EB395</f>
        <v>30901.069756904417</v>
      </c>
      <c r="DD14" s="19">
        <f>'P&amp;L - Inputs'!EC395</f>
        <v>35889.462000000007</v>
      </c>
      <c r="DF14" s="19">
        <f t="shared" si="3"/>
        <v>42056</v>
      </c>
      <c r="DG14" s="19">
        <f t="shared" si="4"/>
        <v>39153</v>
      </c>
      <c r="DH14" s="19">
        <f t="shared" si="5"/>
        <v>40662</v>
      </c>
      <c r="DI14" s="19">
        <f t="shared" si="6"/>
        <v>32403</v>
      </c>
      <c r="DJ14" s="19">
        <f t="shared" si="7"/>
        <v>38412</v>
      </c>
      <c r="DK14" s="19">
        <f t="shared" si="8"/>
        <v>32292</v>
      </c>
      <c r="DL14" s="19">
        <f t="shared" si="9"/>
        <v>34897</v>
      </c>
      <c r="DM14" s="19">
        <f t="shared" si="10"/>
        <v>40732</v>
      </c>
      <c r="DN14" s="19">
        <f t="shared" si="11"/>
        <v>44944</v>
      </c>
      <c r="DO14" s="19">
        <f t="shared" si="12"/>
        <v>44383</v>
      </c>
      <c r="DP14" s="19">
        <f t="shared" si="13"/>
        <v>52163</v>
      </c>
      <c r="DQ14" s="19">
        <f t="shared" si="14"/>
        <v>64144</v>
      </c>
      <c r="DR14" s="19">
        <f t="shared" si="15"/>
        <v>60459.586462604522</v>
      </c>
      <c r="DS14" s="19">
        <f t="shared" si="16"/>
        <v>58623.122180439284</v>
      </c>
      <c r="DT14" s="19">
        <f t="shared" si="17"/>
        <v>67834.995156954727</v>
      </c>
      <c r="DU14" s="19">
        <f t="shared" si="18"/>
        <v>76525.094309299413</v>
      </c>
      <c r="DV14" s="19">
        <f t="shared" si="19"/>
        <v>72024.10994478107</v>
      </c>
      <c r="DW14" s="19">
        <f t="shared" si="20"/>
        <v>69494.802258141935</v>
      </c>
      <c r="DX14" s="19">
        <f t="shared" si="21"/>
        <v>79542.774192833516</v>
      </c>
      <c r="DY14" s="19">
        <f t="shared" si="22"/>
        <v>88334.029435166696</v>
      </c>
      <c r="DZ14" s="19">
        <f t="shared" si="23"/>
        <v>82282.815028292738</v>
      </c>
      <c r="EA14" s="19">
        <f t="shared" si="24"/>
        <v>79222.704996385073</v>
      </c>
      <c r="EB14" s="19">
        <f t="shared" si="25"/>
        <v>90511.665106890359</v>
      </c>
      <c r="EC14" s="19">
        <f t="shared" si="26"/>
        <v>100408.62523756482</v>
      </c>
      <c r="EE14" s="19">
        <f>SUM(DF14:DI14)</f>
        <v>154274</v>
      </c>
      <c r="EF14" s="19">
        <f>SUM(DJ14:DM14)</f>
        <v>146333</v>
      </c>
      <c r="EG14" s="19">
        <f>SUM(DN14:DQ14)</f>
        <v>205634</v>
      </c>
      <c r="EH14" s="19">
        <f>SUM(DR14:DU14)</f>
        <v>263442.79810929793</v>
      </c>
      <c r="EI14" s="19">
        <f>SUM(DV14:DY14)</f>
        <v>309395.71583092323</v>
      </c>
      <c r="EJ14" s="770">
        <f t="shared" si="27"/>
        <v>352425.81036913302</v>
      </c>
    </row>
    <row r="15" spans="2:142" x14ac:dyDescent="0.2">
      <c r="B15" s="167" t="s">
        <v>193</v>
      </c>
      <c r="C15" s="19">
        <f>'P&amp;L - Inputs'!AB396</f>
        <v>0</v>
      </c>
      <c r="D15" s="19">
        <f>'P&amp;L - Inputs'!AC396</f>
        <v>0</v>
      </c>
      <c r="E15" s="19">
        <f>'P&amp;L - Inputs'!AD396</f>
        <v>1</v>
      </c>
      <c r="F15" s="19">
        <f>'P&amp;L - Inputs'!AE396</f>
        <v>11</v>
      </c>
      <c r="G15" s="19">
        <f>'P&amp;L - Inputs'!AF396</f>
        <v>38</v>
      </c>
      <c r="H15" s="19">
        <f>'P&amp;L - Inputs'!AG396</f>
        <v>82</v>
      </c>
      <c r="I15" s="19">
        <f>'P&amp;L - Inputs'!AH396</f>
        <v>123</v>
      </c>
      <c r="J15" s="19">
        <f>'P&amp;L - Inputs'!AI396</f>
        <v>97</v>
      </c>
      <c r="K15" s="19">
        <f>'P&amp;L - Inputs'!AJ396</f>
        <v>153</v>
      </c>
      <c r="L15" s="19">
        <f>'P&amp;L - Inputs'!AK396</f>
        <v>359</v>
      </c>
      <c r="M15" s="19">
        <f>'P&amp;L - Inputs'!AL396</f>
        <v>265</v>
      </c>
      <c r="N15" s="19">
        <f>'P&amp;L - Inputs'!AM396</f>
        <v>2</v>
      </c>
      <c r="O15" s="19">
        <f>'P&amp;L - Inputs'!AN396</f>
        <v>110</v>
      </c>
      <c r="P15" s="19">
        <f>'P&amp;L - Inputs'!AO396</f>
        <v>106</v>
      </c>
      <c r="Q15" s="19">
        <f>'P&amp;L - Inputs'!AP396</f>
        <v>191</v>
      </c>
      <c r="R15" s="19">
        <f>'P&amp;L - Inputs'!AQ396</f>
        <v>526</v>
      </c>
      <c r="S15" s="19">
        <f>'P&amp;L - Inputs'!AR396</f>
        <v>468</v>
      </c>
      <c r="T15" s="19">
        <f>'P&amp;L - Inputs'!AS396</f>
        <v>567</v>
      </c>
      <c r="U15" s="19">
        <f>'P&amp;L - Inputs'!AT396</f>
        <v>729</v>
      </c>
      <c r="V15" s="19">
        <f>'P&amp;L - Inputs'!AU396</f>
        <v>606</v>
      </c>
      <c r="W15" s="19">
        <f>'P&amp;L - Inputs'!AV396</f>
        <v>479</v>
      </c>
      <c r="X15" s="19">
        <f>'P&amp;L - Inputs'!AW396</f>
        <v>429</v>
      </c>
      <c r="Y15" s="19">
        <f>'P&amp;L - Inputs'!AX396</f>
        <v>343</v>
      </c>
      <c r="Z15" s="19">
        <f>'P&amp;L - Inputs'!AY396</f>
        <v>205</v>
      </c>
      <c r="AA15" s="19">
        <f>'P&amp;L - Inputs'!AZ396</f>
        <v>72</v>
      </c>
      <c r="AB15" s="19">
        <f>'P&amp;L - Inputs'!BA396</f>
        <v>340</v>
      </c>
      <c r="AC15" s="19">
        <f>'P&amp;L - Inputs'!BB396</f>
        <v>245</v>
      </c>
      <c r="AD15" s="19">
        <f>'P&amp;L - Inputs'!BC396</f>
        <v>343</v>
      </c>
      <c r="AE15" s="19">
        <f>'P&amp;L - Inputs'!BD396</f>
        <v>192</v>
      </c>
      <c r="AF15" s="19">
        <f>'P&amp;L - Inputs'!BE396</f>
        <v>226</v>
      </c>
      <c r="AG15" s="19">
        <f>'P&amp;L - Inputs'!BF396</f>
        <v>222</v>
      </c>
      <c r="AH15" s="19">
        <f>'P&amp;L - Inputs'!BG396</f>
        <v>125</v>
      </c>
      <c r="AI15" s="19">
        <f>'P&amp;L - Inputs'!BH396</f>
        <v>79</v>
      </c>
      <c r="AJ15" s="19">
        <f>'P&amp;L - Inputs'!BI396</f>
        <v>128</v>
      </c>
      <c r="AK15" s="19">
        <f>'P&amp;L - Inputs'!BJ396</f>
        <v>156</v>
      </c>
      <c r="AL15" s="19">
        <f>'P&amp;L - Inputs'!BK396</f>
        <v>211</v>
      </c>
      <c r="AM15" s="19">
        <f>'P&amp;L - Inputs'!BL396</f>
        <v>99</v>
      </c>
      <c r="AN15" s="19">
        <f>'P&amp;L - Inputs'!BM396</f>
        <v>50</v>
      </c>
      <c r="AO15" s="19">
        <f>'P&amp;L - Inputs'!BN396</f>
        <v>31</v>
      </c>
      <c r="AP15" s="19">
        <f>'P&amp;L - Inputs'!BO396</f>
        <v>3</v>
      </c>
      <c r="AQ15" s="19">
        <f>'P&amp;L - Inputs'!BP396</f>
        <v>256</v>
      </c>
      <c r="AR15" s="19">
        <f>'P&amp;L - Inputs'!BQ396</f>
        <v>184</v>
      </c>
      <c r="AS15" s="19">
        <f>'P&amp;L - Inputs'!BR396</f>
        <v>197</v>
      </c>
      <c r="AT15" s="19">
        <f>'P&amp;L - Inputs'!BS396</f>
        <v>209</v>
      </c>
      <c r="AU15" s="19">
        <f>'P&amp;L - Inputs'!BT396</f>
        <v>186</v>
      </c>
      <c r="AV15" s="19">
        <f>'P&amp;L - Inputs'!BU396</f>
        <v>147</v>
      </c>
      <c r="AW15" s="19">
        <f>'P&amp;L - Inputs'!BV396</f>
        <v>212</v>
      </c>
      <c r="AX15" s="19">
        <f>'P&amp;L - Inputs'!BW396</f>
        <v>244</v>
      </c>
      <c r="AY15" s="19">
        <f>'P&amp;L - Inputs'!BX396</f>
        <v>177</v>
      </c>
      <c r="AZ15" s="19">
        <f>'P&amp;L - Inputs'!BY396</f>
        <v>206</v>
      </c>
      <c r="BA15" s="19">
        <f>'P&amp;L - Inputs'!BZ396</f>
        <v>235</v>
      </c>
      <c r="BB15" s="19">
        <f>'P&amp;L - Inputs'!CA396</f>
        <v>85</v>
      </c>
      <c r="BC15" s="19">
        <f>'P&amp;L - Inputs'!CB396</f>
        <v>246</v>
      </c>
      <c r="BD15" s="19">
        <f>'P&amp;L - Inputs'!CC396</f>
        <v>118</v>
      </c>
      <c r="BE15" s="19">
        <f>'P&amp;L - Inputs'!CD396</f>
        <v>237</v>
      </c>
      <c r="BF15" s="19">
        <f>'P&amp;L - Inputs'!CE396</f>
        <v>386</v>
      </c>
      <c r="BG15" s="19">
        <f>'P&amp;L - Inputs'!CF396</f>
        <v>136</v>
      </c>
      <c r="BH15" s="19">
        <f>'P&amp;L - Inputs'!CG396</f>
        <v>249</v>
      </c>
      <c r="BI15" s="19">
        <f>'P&amp;L - Inputs'!CH396</f>
        <v>300</v>
      </c>
      <c r="BJ15" s="19">
        <f>'P&amp;L - Inputs'!CI396</f>
        <v>350</v>
      </c>
      <c r="BK15" s="19">
        <f>'P&amp;L - Inputs'!CJ396</f>
        <v>317</v>
      </c>
      <c r="BL15" s="19">
        <f>'P&amp;L - Inputs'!CK396</f>
        <v>447</v>
      </c>
      <c r="BM15" s="19">
        <f>'P&amp;L - Inputs'!CL396</f>
        <v>275</v>
      </c>
      <c r="BN15" s="19">
        <f>'P&amp;L - Inputs'!CM396</f>
        <v>297</v>
      </c>
      <c r="BO15" s="19">
        <f>'P&amp;L - Inputs'!CN396</f>
        <v>401</v>
      </c>
      <c r="BP15" s="19">
        <f>'P&amp;L - Inputs'!CO396</f>
        <v>357</v>
      </c>
      <c r="BQ15" s="19">
        <f>'P&amp;L - Inputs'!CP396</f>
        <v>237</v>
      </c>
      <c r="BR15" s="19">
        <f>'P&amp;L - Inputs'!CQ396</f>
        <v>235</v>
      </c>
      <c r="BS15" s="19">
        <f>'P&amp;L - Inputs'!CR396</f>
        <v>226</v>
      </c>
      <c r="BT15" s="19">
        <f>'P&amp;L - Inputs'!CS396</f>
        <v>370</v>
      </c>
      <c r="BU15" s="19">
        <f>'P&amp;L - Inputs'!CT396</f>
        <v>326.0761118043975</v>
      </c>
      <c r="BV15" s="19">
        <f>'P&amp;L - Inputs'!CU396</f>
        <v>318.53018372703411</v>
      </c>
      <c r="BW15" s="19">
        <f>'P&amp;L - Inputs'!CV396</f>
        <v>317.46350453581732</v>
      </c>
      <c r="BX15" s="19">
        <f>'P&amp;L - Inputs'!CW396</f>
        <v>345.85688129709592</v>
      </c>
      <c r="BY15" s="19">
        <f>'P&amp;L - Inputs'!CX396</f>
        <v>305.65706063391821</v>
      </c>
      <c r="BZ15" s="19">
        <f>'P&amp;L - Inputs'!CY396</f>
        <v>281.33291884494218</v>
      </c>
      <c r="CA15" s="19">
        <f>'P&amp;L - Inputs'!CZ396</f>
        <v>357.98845667299179</v>
      </c>
      <c r="CB15" s="19">
        <f>'P&amp;L - Inputs'!DA396</f>
        <v>327.02743298413429</v>
      </c>
      <c r="CC15" s="19">
        <f>'P&amp;L - Inputs'!DB396</f>
        <v>394.41591010518471</v>
      </c>
      <c r="CD15" s="19">
        <f>'P&amp;L - Inputs'!DC396</f>
        <v>404.60576073152146</v>
      </c>
      <c r="CE15" s="19">
        <f>'P&amp;L - Inputs'!DD396</f>
        <v>373.79173912193983</v>
      </c>
      <c r="CF15" s="19">
        <f>'P&amp;L - Inputs'!DE396</f>
        <v>439.31645569620258</v>
      </c>
      <c r="CG15" s="19">
        <f>'P&amp;L - Inputs'!DF396</f>
        <v>388.41419200229711</v>
      </c>
      <c r="CH15" s="19">
        <f>'P&amp;L - Inputs'!DG396</f>
        <v>380.44448818897638</v>
      </c>
      <c r="CI15" s="19">
        <f>'P&amp;L - Inputs'!DH396</f>
        <v>377.23286804410395</v>
      </c>
      <c r="CJ15" s="19">
        <f>'P&amp;L - Inputs'!DI396</f>
        <v>410.58152622555247</v>
      </c>
      <c r="CK15" s="19">
        <f>'P&amp;L - Inputs'!DJ396</f>
        <v>362.35151542891924</v>
      </c>
      <c r="CL15" s="19">
        <f>'P&amp;L - Inputs'!DK396</f>
        <v>332.91062063318162</v>
      </c>
      <c r="CM15" s="19">
        <f>'P&amp;L - Inputs'!DL396</f>
        <v>421.76395928894806</v>
      </c>
      <c r="CN15" s="19">
        <f>'P&amp;L - Inputs'!DM396</f>
        <v>383.46193357886722</v>
      </c>
      <c r="CO15" s="19">
        <f>'P&amp;L - Inputs'!DN396</f>
        <v>460.50722477145888</v>
      </c>
      <c r="CP15" s="19">
        <f>'P&amp;L - Inputs'!DO396</f>
        <v>470.41232986199316</v>
      </c>
      <c r="CQ15" s="19">
        <f>'P&amp;L - Inputs'!DP396</f>
        <v>432.62146169965416</v>
      </c>
      <c r="CR15" s="19">
        <f>'P&amp;L - Inputs'!DQ396</f>
        <v>502.59113924050638</v>
      </c>
      <c r="CS15" s="19">
        <f>'P&amp;L - Inputs'!DR396</f>
        <v>444.08689285595972</v>
      </c>
      <c r="CT15" s="19">
        <f>'P&amp;L - Inputs'!DS396</f>
        <v>434.58466535433075</v>
      </c>
      <c r="CU15" s="19">
        <f>'P&amp;L - Inputs'!DT396</f>
        <v>430.66275971798706</v>
      </c>
      <c r="CV15" s="19">
        <f>'P&amp;L - Inputs'!DU396</f>
        <v>468.46314571691653</v>
      </c>
      <c r="CW15" s="19">
        <f>'P&amp;L - Inputs'!DV396</f>
        <v>413.08072758896793</v>
      </c>
      <c r="CX15" s="19">
        <f>'P&amp;L - Inputs'!DW396</f>
        <v>379.09610814355966</v>
      </c>
      <c r="CY15" s="19">
        <f>'P&amp;L - Inputs'!DX396</f>
        <v>480.14497049578671</v>
      </c>
      <c r="CZ15" s="19">
        <f>'P&amp;L - Inputs'!DY396</f>
        <v>436.30485857205258</v>
      </c>
      <c r="DA15" s="19">
        <f>'P&amp;L - Inputs'!DZ396</f>
        <v>523.82696817753458</v>
      </c>
      <c r="DB15" s="19">
        <f>'P&amp;L - Inputs'!EA396</f>
        <v>534.95159933959872</v>
      </c>
      <c r="DC15" s="19">
        <f>'P&amp;L - Inputs'!EB396</f>
        <v>491.71666136481309</v>
      </c>
      <c r="DD15" s="19">
        <f>'P&amp;L - Inputs'!EC396</f>
        <v>571.09500000000014</v>
      </c>
      <c r="DF15" s="19">
        <f t="shared" si="3"/>
        <v>466</v>
      </c>
      <c r="DG15" s="19">
        <f t="shared" si="4"/>
        <v>84</v>
      </c>
      <c r="DH15" s="19">
        <f t="shared" si="5"/>
        <v>637</v>
      </c>
      <c r="DI15" s="19">
        <f t="shared" si="6"/>
        <v>542</v>
      </c>
      <c r="DJ15" s="19">
        <f t="shared" si="7"/>
        <v>633</v>
      </c>
      <c r="DK15" s="19">
        <f t="shared" si="8"/>
        <v>526</v>
      </c>
      <c r="DL15" s="19">
        <f t="shared" si="9"/>
        <v>601</v>
      </c>
      <c r="DM15" s="19">
        <f t="shared" si="10"/>
        <v>771</v>
      </c>
      <c r="DN15" s="19">
        <f t="shared" si="11"/>
        <v>967</v>
      </c>
      <c r="DO15" s="19">
        <f t="shared" si="12"/>
        <v>1019</v>
      </c>
      <c r="DP15" s="19">
        <f t="shared" si="13"/>
        <v>995</v>
      </c>
      <c r="DQ15" s="19">
        <f t="shared" si="14"/>
        <v>831</v>
      </c>
      <c r="DR15" s="19">
        <f t="shared" si="15"/>
        <v>962.06980006724893</v>
      </c>
      <c r="DS15" s="19">
        <f t="shared" si="16"/>
        <v>932.84686077595643</v>
      </c>
      <c r="DT15" s="19">
        <f t="shared" si="17"/>
        <v>1079.4317997623107</v>
      </c>
      <c r="DU15" s="19">
        <f t="shared" si="18"/>
        <v>1217.713955549664</v>
      </c>
      <c r="DV15" s="19">
        <f t="shared" si="19"/>
        <v>1146.0915482353776</v>
      </c>
      <c r="DW15" s="19">
        <f t="shared" si="20"/>
        <v>1105.8436622876534</v>
      </c>
      <c r="DX15" s="19">
        <f t="shared" si="21"/>
        <v>1265.733117639274</v>
      </c>
      <c r="DY15" s="19">
        <f t="shared" si="22"/>
        <v>1405.6249308021538</v>
      </c>
      <c r="DZ15" s="19">
        <f t="shared" si="23"/>
        <v>1309.3343179282774</v>
      </c>
      <c r="EA15" s="19">
        <f t="shared" si="24"/>
        <v>1260.6399814494441</v>
      </c>
      <c r="EB15" s="19">
        <f t="shared" si="25"/>
        <v>1440.2767972453739</v>
      </c>
      <c r="EC15" s="19">
        <f t="shared" si="26"/>
        <v>1597.763260704412</v>
      </c>
      <c r="EE15" s="19">
        <f>SUM(DF15:DI15)</f>
        <v>1729</v>
      </c>
      <c r="EF15" s="19">
        <f>SUM(DJ15:DM15)</f>
        <v>2531</v>
      </c>
      <c r="EG15" s="19">
        <f>SUM(DN15:DQ15)</f>
        <v>3812</v>
      </c>
      <c r="EH15" s="19">
        <f>SUM(DR15:DU15)</f>
        <v>4192.0624161551805</v>
      </c>
      <c r="EI15" s="19">
        <f>SUM(DV15:DY15)</f>
        <v>4923.2932589644588</v>
      </c>
      <c r="EJ15" s="770">
        <f t="shared" si="27"/>
        <v>5608.0143573275072</v>
      </c>
    </row>
    <row r="16" spans="2:142" x14ac:dyDescent="0.2">
      <c r="B16" s="177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E16" s="10"/>
      <c r="EF16" s="10"/>
      <c r="EG16" s="10"/>
      <c r="EH16" s="10"/>
      <c r="EI16" s="10"/>
      <c r="EJ16" s="812"/>
    </row>
    <row r="17" spans="2:140" x14ac:dyDescent="0.2">
      <c r="B17" s="196" t="s">
        <v>6</v>
      </c>
      <c r="C17" s="199">
        <f>C22+C23</f>
        <v>34164.439999999995</v>
      </c>
      <c r="D17" s="199">
        <f t="shared" ref="D17:BO17" si="31">D22+D23</f>
        <v>80549</v>
      </c>
      <c r="E17" s="199">
        <f t="shared" si="31"/>
        <v>1024004.1200000001</v>
      </c>
      <c r="F17" s="199">
        <f t="shared" si="31"/>
        <v>1222796</v>
      </c>
      <c r="G17" s="199">
        <f t="shared" si="31"/>
        <v>1313040</v>
      </c>
      <c r="H17" s="199">
        <f t="shared" si="31"/>
        <v>1433419</v>
      </c>
      <c r="I17" s="199">
        <f t="shared" si="31"/>
        <v>2250634</v>
      </c>
      <c r="J17" s="199">
        <f t="shared" si="31"/>
        <v>2068956.62</v>
      </c>
      <c r="K17" s="199">
        <f t="shared" si="31"/>
        <v>4367845.8299999973</v>
      </c>
      <c r="L17" s="199">
        <f t="shared" si="31"/>
        <v>2991728.5800000005</v>
      </c>
      <c r="M17" s="199">
        <f t="shared" si="31"/>
        <v>3273000.3599999584</v>
      </c>
      <c r="N17" s="199">
        <f t="shared" si="31"/>
        <v>68026.060000000056</v>
      </c>
      <c r="O17" s="199">
        <f t="shared" si="31"/>
        <v>2261112.4200000074</v>
      </c>
      <c r="P17" s="199">
        <f t="shared" si="31"/>
        <v>2935903.5299998708</v>
      </c>
      <c r="Q17" s="199">
        <f t="shared" si="31"/>
        <v>3832517.8299999163</v>
      </c>
      <c r="R17" s="199">
        <f t="shared" si="31"/>
        <v>5223546.9300000295</v>
      </c>
      <c r="S17" s="199">
        <f t="shared" si="31"/>
        <v>5010994.1099999994</v>
      </c>
      <c r="T17" s="199">
        <f t="shared" si="31"/>
        <v>8870323.5000004321</v>
      </c>
      <c r="U17" s="199">
        <f t="shared" si="31"/>
        <v>11043675.230001688</v>
      </c>
      <c r="V17" s="199">
        <f t="shared" si="31"/>
        <v>11543984.63000071</v>
      </c>
      <c r="W17" s="199">
        <f t="shared" si="31"/>
        <v>12557387.539999999</v>
      </c>
      <c r="X17" s="199">
        <f t="shared" si="31"/>
        <v>14143405.550000001</v>
      </c>
      <c r="Y17" s="199">
        <f t="shared" si="31"/>
        <v>10998459.319999956</v>
      </c>
      <c r="Z17" s="199">
        <f t="shared" si="31"/>
        <v>13431049.749999998</v>
      </c>
      <c r="AA17" s="199">
        <f t="shared" si="31"/>
        <v>15045215.310000077</v>
      </c>
      <c r="AB17" s="199">
        <f t="shared" si="31"/>
        <v>12127726.770000031</v>
      </c>
      <c r="AC17" s="199">
        <f t="shared" si="31"/>
        <v>10761139.590000037</v>
      </c>
      <c r="AD17" s="199">
        <f t="shared" si="31"/>
        <v>9409463.5900000054</v>
      </c>
      <c r="AE17" s="199">
        <f t="shared" si="31"/>
        <v>8817711.4900000021</v>
      </c>
      <c r="AF17" s="199">
        <f t="shared" si="31"/>
        <v>7108167.8299999889</v>
      </c>
      <c r="AG17" s="199">
        <f t="shared" si="31"/>
        <v>10576661.069999991</v>
      </c>
      <c r="AH17" s="199">
        <f t="shared" si="31"/>
        <v>11054463.079999998</v>
      </c>
      <c r="AI17" s="199">
        <f t="shared" si="31"/>
        <v>11038924.030000005</v>
      </c>
      <c r="AJ17" s="199">
        <f t="shared" si="31"/>
        <v>16531850.890000023</v>
      </c>
      <c r="AK17" s="199">
        <f t="shared" si="31"/>
        <v>20375512.290000118</v>
      </c>
      <c r="AL17" s="199">
        <f t="shared" si="31"/>
        <v>23840624.250000108</v>
      </c>
      <c r="AM17" s="199">
        <f t="shared" si="31"/>
        <v>25619441.960000113</v>
      </c>
      <c r="AN17" s="199">
        <f t="shared" si="31"/>
        <v>25770806.62000015</v>
      </c>
      <c r="AO17" s="199">
        <f t="shared" si="31"/>
        <v>24796270.190000203</v>
      </c>
      <c r="AP17" s="199">
        <f t="shared" si="31"/>
        <v>24223043.080000162</v>
      </c>
      <c r="AQ17" s="199">
        <f t="shared" si="31"/>
        <v>27710283.940000098</v>
      </c>
      <c r="AR17" s="199">
        <f t="shared" si="31"/>
        <v>22343150.619999979</v>
      </c>
      <c r="AS17" s="199">
        <f t="shared" si="31"/>
        <v>20604913.030000005</v>
      </c>
      <c r="AT17" s="199">
        <f t="shared" si="31"/>
        <v>18608746.679999955</v>
      </c>
      <c r="AU17" s="199">
        <f t="shared" si="31"/>
        <v>19194313.129999984</v>
      </c>
      <c r="AV17" s="199">
        <f t="shared" si="31"/>
        <v>24341100</v>
      </c>
      <c r="AW17" s="199">
        <f t="shared" si="31"/>
        <v>24604390.750000104</v>
      </c>
      <c r="AX17" s="199">
        <f t="shared" si="31"/>
        <v>22977350.029999942</v>
      </c>
      <c r="AY17" s="199">
        <f t="shared" si="31"/>
        <v>22085517.069999963</v>
      </c>
      <c r="AZ17" s="199">
        <f t="shared" si="31"/>
        <v>27306813.12000002</v>
      </c>
      <c r="BA17" s="199">
        <f t="shared" si="31"/>
        <v>23290863.169999931</v>
      </c>
      <c r="BB17" s="199">
        <f t="shared" si="31"/>
        <v>25601906.309999935</v>
      </c>
      <c r="BC17" s="199">
        <f t="shared" si="31"/>
        <v>17912273.679999981</v>
      </c>
      <c r="BD17" s="199">
        <f t="shared" si="31"/>
        <v>25796588.840000004</v>
      </c>
      <c r="BE17" s="199">
        <f t="shared" si="31"/>
        <v>30517008.910000134</v>
      </c>
      <c r="BF17" s="199">
        <f t="shared" si="31"/>
        <v>36379918.180026025</v>
      </c>
      <c r="BG17" s="199">
        <f t="shared" si="31"/>
        <v>35443697.910057932</v>
      </c>
      <c r="BH17" s="199">
        <f t="shared" si="31"/>
        <v>39465340.150000237</v>
      </c>
      <c r="BI17" s="199">
        <f t="shared" si="31"/>
        <v>42482265.380003251</v>
      </c>
      <c r="BJ17" s="199">
        <f t="shared" si="31"/>
        <v>45465982.810000286</v>
      </c>
      <c r="BK17" s="199">
        <f t="shared" si="31"/>
        <v>40341959.620006375</v>
      </c>
      <c r="BL17" s="199">
        <f t="shared" si="31"/>
        <v>46870170.000000142</v>
      </c>
      <c r="BM17" s="199">
        <f t="shared" si="31"/>
        <v>38785726.240000106</v>
      </c>
      <c r="BN17" s="199">
        <f t="shared" si="31"/>
        <v>39860910.350000069</v>
      </c>
      <c r="BO17" s="199">
        <f t="shared" si="31"/>
        <v>37443084.069999993</v>
      </c>
      <c r="BP17" s="199">
        <f t="shared" ref="BP17:CR17" si="32">BP22+BP23</f>
        <v>38780500.059999987</v>
      </c>
      <c r="BQ17" s="199">
        <f t="shared" si="32"/>
        <v>40195593.830000013</v>
      </c>
      <c r="BR17" s="199">
        <f t="shared" si="32"/>
        <v>50230534.250000067</v>
      </c>
      <c r="BS17" s="199">
        <f t="shared" si="32"/>
        <v>47794579.180000052</v>
      </c>
      <c r="BT17" s="199">
        <f t="shared" si="32"/>
        <v>53161003.69000002</v>
      </c>
      <c r="BU17" s="199">
        <f t="shared" si="32"/>
        <v>59347698.7296855</v>
      </c>
      <c r="BV17" s="199">
        <f t="shared" si="32"/>
        <v>57974297.091359176</v>
      </c>
      <c r="BW17" s="199">
        <f t="shared" si="32"/>
        <v>57780155.438567594</v>
      </c>
      <c r="BX17" s="199">
        <f t="shared" si="32"/>
        <v>62947910.784465604</v>
      </c>
      <c r="BY17" s="199">
        <f t="shared" si="32"/>
        <v>55631315.795327604</v>
      </c>
      <c r="BZ17" s="199">
        <f t="shared" si="32"/>
        <v>51204184.256123461</v>
      </c>
      <c r="CA17" s="199">
        <f t="shared" si="32"/>
        <v>65155926.197005339</v>
      </c>
      <c r="CB17" s="199">
        <f t="shared" si="32"/>
        <v>59520844.571181715</v>
      </c>
      <c r="CC17" s="199">
        <f t="shared" si="32"/>
        <v>71785928.989360392</v>
      </c>
      <c r="CD17" s="199">
        <f t="shared" si="32"/>
        <v>73640539.502611056</v>
      </c>
      <c r="CE17" s="199">
        <f t="shared" si="32"/>
        <v>68032213.087603778</v>
      </c>
      <c r="CF17" s="199">
        <f t="shared" si="32"/>
        <v>79958082.532864183</v>
      </c>
      <c r="CG17" s="199">
        <f t="shared" si="32"/>
        <v>70693582.3103607</v>
      </c>
      <c r="CH17" s="199">
        <f t="shared" si="32"/>
        <v>69243051.088492125</v>
      </c>
      <c r="CI17" s="199">
        <f t="shared" si="32"/>
        <v>68658518.036569536</v>
      </c>
      <c r="CJ17" s="199">
        <f t="shared" si="32"/>
        <v>74728162.65984419</v>
      </c>
      <c r="CK17" s="199">
        <f t="shared" si="32"/>
        <v>65950027.596073888</v>
      </c>
      <c r="CL17" s="199">
        <f t="shared" si="32"/>
        <v>60591618.036412805</v>
      </c>
      <c r="CM17" s="199">
        <f t="shared" si="32"/>
        <v>76763428.797062412</v>
      </c>
      <c r="CN17" s="199">
        <f t="shared" si="32"/>
        <v>69792243.235508233</v>
      </c>
      <c r="CO17" s="199">
        <f t="shared" si="32"/>
        <v>83814922.495685697</v>
      </c>
      <c r="CP17" s="199">
        <f t="shared" si="32"/>
        <v>85617707.70907025</v>
      </c>
      <c r="CQ17" s="199">
        <f t="shared" si="32"/>
        <v>78739555.715595976</v>
      </c>
      <c r="CR17" s="199">
        <f t="shared" si="32"/>
        <v>91474433.226030439</v>
      </c>
      <c r="CS17" s="199">
        <f t="shared" ref="CS17:DD17" si="33">CS22+CS23</f>
        <v>80826329.108179078</v>
      </c>
      <c r="CT17" s="199">
        <f t="shared" si="33"/>
        <v>79096869.897239104</v>
      </c>
      <c r="CU17" s="199">
        <f t="shared" si="33"/>
        <v>78383060.863930956</v>
      </c>
      <c r="CV17" s="199">
        <f t="shared" si="33"/>
        <v>85262945.157558724</v>
      </c>
      <c r="CW17" s="199">
        <f t="shared" si="33"/>
        <v>75183031.459524244</v>
      </c>
      <c r="CX17" s="199">
        <f t="shared" si="33"/>
        <v>68997638.285126418</v>
      </c>
      <c r="CY17" s="199">
        <f t="shared" si="33"/>
        <v>87389103.414761066</v>
      </c>
      <c r="CZ17" s="199">
        <f t="shared" si="33"/>
        <v>79409954.803328276</v>
      </c>
      <c r="DA17" s="199">
        <f t="shared" si="33"/>
        <v>95339474.338842466</v>
      </c>
      <c r="DB17" s="199">
        <f t="shared" si="33"/>
        <v>97364220.20271948</v>
      </c>
      <c r="DC17" s="199">
        <f t="shared" si="33"/>
        <v>89495216.67674695</v>
      </c>
      <c r="DD17" s="199">
        <f t="shared" si="33"/>
        <v>103942523.78218117</v>
      </c>
      <c r="DF17" s="199">
        <f t="shared" si="3"/>
        <v>69835578.500000343</v>
      </c>
      <c r="DG17" s="199">
        <f t="shared" si="4"/>
        <v>74790119.890000522</v>
      </c>
      <c r="DH17" s="199">
        <f t="shared" si="5"/>
        <v>70658347.590000078</v>
      </c>
      <c r="DI17" s="199">
        <f t="shared" si="6"/>
        <v>62144159.809999943</v>
      </c>
      <c r="DJ17" s="199">
        <f t="shared" si="7"/>
        <v>69667257.850000009</v>
      </c>
      <c r="DK17" s="199">
        <f t="shared" si="8"/>
        <v>76199582.599999875</v>
      </c>
      <c r="DL17" s="199">
        <f t="shared" si="9"/>
        <v>74225871.430000111</v>
      </c>
      <c r="DM17" s="199">
        <f t="shared" si="10"/>
        <v>111288956.2400842</v>
      </c>
      <c r="DN17" s="199">
        <f t="shared" si="11"/>
        <v>128290207.81000993</v>
      </c>
      <c r="DO17" s="199">
        <f t="shared" si="12"/>
        <v>125516806.59000032</v>
      </c>
      <c r="DP17" s="199">
        <f t="shared" si="13"/>
        <v>116419177.95999999</v>
      </c>
      <c r="DQ17" s="199">
        <f t="shared" si="14"/>
        <v>151186117.12000015</v>
      </c>
      <c r="DR17" s="199">
        <f t="shared" si="15"/>
        <v>175102151.25961226</v>
      </c>
      <c r="DS17" s="199">
        <f t="shared" si="16"/>
        <v>169783410.83591667</v>
      </c>
      <c r="DT17" s="199">
        <f t="shared" si="17"/>
        <v>196462699.75754744</v>
      </c>
      <c r="DU17" s="199">
        <f t="shared" si="18"/>
        <v>221630835.12307903</v>
      </c>
      <c r="DV17" s="199">
        <f t="shared" si="19"/>
        <v>208595151.43542236</v>
      </c>
      <c r="DW17" s="199">
        <f t="shared" si="20"/>
        <v>201269808.29233089</v>
      </c>
      <c r="DX17" s="199">
        <f t="shared" si="21"/>
        <v>230370594.52825636</v>
      </c>
      <c r="DY17" s="199">
        <f t="shared" si="22"/>
        <v>255831696.65069667</v>
      </c>
      <c r="DZ17" s="199">
        <f t="shared" si="23"/>
        <v>238306259.86934912</v>
      </c>
      <c r="EA17" s="199">
        <f t="shared" si="24"/>
        <v>229443614.90220937</v>
      </c>
      <c r="EB17" s="199">
        <f t="shared" si="25"/>
        <v>262138532.55693179</v>
      </c>
      <c r="EC17" s="199">
        <f t="shared" si="26"/>
        <v>290801960.66164756</v>
      </c>
      <c r="EE17" s="199">
        <f>SUM(DF17:DI17)</f>
        <v>277428205.79000092</v>
      </c>
      <c r="EF17" s="199">
        <f>SUM(DJ17:DM17)</f>
        <v>331381668.12008417</v>
      </c>
      <c r="EG17" s="199">
        <f>SUM(DN17:DQ17)</f>
        <v>521412309.48001039</v>
      </c>
      <c r="EH17" s="199">
        <f>SUM(DR17:DU17)</f>
        <v>762979096.97615552</v>
      </c>
      <c r="EI17" s="199">
        <f>SUM(DV17:DY17)</f>
        <v>896067250.90670621</v>
      </c>
      <c r="EJ17" s="810">
        <f t="shared" si="27"/>
        <v>1020690367.9901378</v>
      </c>
    </row>
    <row r="18" spans="2:140" x14ac:dyDescent="0.2">
      <c r="B18" s="167" t="s">
        <v>139</v>
      </c>
      <c r="C18" s="19">
        <f>'P&amp;L - Inputs'!AB399</f>
        <v>34164.439999999995</v>
      </c>
      <c r="D18" s="19">
        <f>'P&amp;L - Inputs'!AC399</f>
        <v>80549</v>
      </c>
      <c r="E18" s="19">
        <f>'P&amp;L - Inputs'!AD399</f>
        <v>1024004.1200000001</v>
      </c>
      <c r="F18" s="19">
        <f>'P&amp;L - Inputs'!AE399</f>
        <v>1222796</v>
      </c>
      <c r="G18" s="19">
        <f>'P&amp;L - Inputs'!AF399</f>
        <v>1313040</v>
      </c>
      <c r="H18" s="19">
        <f>'P&amp;L - Inputs'!AG399</f>
        <v>1433419</v>
      </c>
      <c r="I18" s="19">
        <f>'P&amp;L - Inputs'!AH399</f>
        <v>2250634</v>
      </c>
      <c r="J18" s="19">
        <f>'P&amp;L - Inputs'!AI399</f>
        <v>2068956.62</v>
      </c>
      <c r="K18" s="19">
        <f>'P&amp;L - Inputs'!AJ399</f>
        <v>4367845.8299999973</v>
      </c>
      <c r="L18" s="19">
        <f>'P&amp;L - Inputs'!AK399</f>
        <v>2991728.5800000005</v>
      </c>
      <c r="M18" s="19">
        <f>'P&amp;L - Inputs'!AL399</f>
        <v>3273000.3599999584</v>
      </c>
      <c r="N18" s="19">
        <f>'P&amp;L - Inputs'!AM399</f>
        <v>68026.060000000056</v>
      </c>
      <c r="O18" s="19">
        <f>'P&amp;L - Inputs'!AN399</f>
        <v>2261112.4200000074</v>
      </c>
      <c r="P18" s="19">
        <f>'P&amp;L - Inputs'!AO399</f>
        <v>2935903.5299998708</v>
      </c>
      <c r="Q18" s="19">
        <f>'P&amp;L - Inputs'!AP399</f>
        <v>3832517.8299999163</v>
      </c>
      <c r="R18" s="19">
        <f>'P&amp;L - Inputs'!AQ399</f>
        <v>5223546.9300000295</v>
      </c>
      <c r="S18" s="19">
        <f>'P&amp;L - Inputs'!AR399</f>
        <v>5010994.1099999994</v>
      </c>
      <c r="T18" s="19">
        <f>'P&amp;L - Inputs'!AS399</f>
        <v>8870323.5000004321</v>
      </c>
      <c r="U18" s="19">
        <f>'P&amp;L - Inputs'!AT399</f>
        <v>11043675.230001688</v>
      </c>
      <c r="V18" s="19">
        <f>'P&amp;L - Inputs'!AU399</f>
        <v>11543984.63000071</v>
      </c>
      <c r="W18" s="19">
        <f>'P&amp;L - Inputs'!AV399</f>
        <v>12557387.539999999</v>
      </c>
      <c r="X18" s="19">
        <f>'P&amp;L - Inputs'!AW399</f>
        <v>14143405.550000001</v>
      </c>
      <c r="Y18" s="19">
        <f>'P&amp;L - Inputs'!AX399</f>
        <v>10998459.319999956</v>
      </c>
      <c r="Z18" s="19">
        <f>'P&amp;L - Inputs'!AY399</f>
        <v>13431049.749999998</v>
      </c>
      <c r="AA18" s="19">
        <f>'P&amp;L - Inputs'!AZ399</f>
        <v>15045215.310000077</v>
      </c>
      <c r="AB18" s="19">
        <f>'P&amp;L - Inputs'!BA399</f>
        <v>12127726.770000031</v>
      </c>
      <c r="AC18" s="19">
        <f>'P&amp;L - Inputs'!BB399</f>
        <v>10761139.590000037</v>
      </c>
      <c r="AD18" s="19">
        <f>'P&amp;L - Inputs'!BC399</f>
        <v>9409463.5900000054</v>
      </c>
      <c r="AE18" s="19">
        <f>'P&amp;L - Inputs'!BD399</f>
        <v>8817711.4900000021</v>
      </c>
      <c r="AF18" s="19">
        <f>'P&amp;L - Inputs'!BE399</f>
        <v>7108167.8299999889</v>
      </c>
      <c r="AG18" s="19">
        <f>'P&amp;L - Inputs'!BF399</f>
        <v>10576661.069999991</v>
      </c>
      <c r="AH18" s="19">
        <f>'P&amp;L - Inputs'!BG399</f>
        <v>11054463.079999998</v>
      </c>
      <c r="AI18" s="19">
        <f>'P&amp;L - Inputs'!BH399</f>
        <v>11038924.030000005</v>
      </c>
      <c r="AJ18" s="19">
        <f>'P&amp;L - Inputs'!BI399</f>
        <v>16531850.890000023</v>
      </c>
      <c r="AK18" s="19">
        <f>'P&amp;L - Inputs'!BJ399</f>
        <v>20375512.290000118</v>
      </c>
      <c r="AL18" s="19">
        <f>'P&amp;L - Inputs'!BK399</f>
        <v>23840624.250000108</v>
      </c>
      <c r="AM18" s="19">
        <f>'P&amp;L - Inputs'!BL399</f>
        <v>25619441.960000113</v>
      </c>
      <c r="AN18" s="19">
        <f>'P&amp;L - Inputs'!BM399</f>
        <v>25770806.62000015</v>
      </c>
      <c r="AO18" s="19">
        <f>'P&amp;L - Inputs'!BN399</f>
        <v>24796270.190000203</v>
      </c>
      <c r="AP18" s="19">
        <f>'P&amp;L - Inputs'!BO399</f>
        <v>24223043.080000162</v>
      </c>
      <c r="AQ18" s="19">
        <f>'P&amp;L - Inputs'!BP399</f>
        <v>27710283.940000098</v>
      </c>
      <c r="AR18" s="19">
        <f>'P&amp;L - Inputs'!BQ399</f>
        <v>22343150.619999979</v>
      </c>
      <c r="AS18" s="19">
        <f>'P&amp;L - Inputs'!BR399</f>
        <v>20604913.030000005</v>
      </c>
      <c r="AT18" s="19">
        <f>'P&amp;L - Inputs'!BS399</f>
        <v>18608746.679999955</v>
      </c>
      <c r="AU18" s="19">
        <f>'P&amp;L - Inputs'!BT399</f>
        <v>19194313.129999984</v>
      </c>
      <c r="AV18" s="19">
        <f>'P&amp;L - Inputs'!BU399</f>
        <v>24341100</v>
      </c>
      <c r="AW18" s="19">
        <f>'P&amp;L - Inputs'!BV399</f>
        <v>24604390.750000104</v>
      </c>
      <c r="AX18" s="19">
        <f>'P&amp;L - Inputs'!BW399</f>
        <v>22977350.029999942</v>
      </c>
      <c r="AY18" s="19">
        <f>'P&amp;L - Inputs'!BX399</f>
        <v>22085517.069999963</v>
      </c>
      <c r="AZ18" s="19">
        <f>'P&amp;L - Inputs'!BY399</f>
        <v>27306813.12000002</v>
      </c>
      <c r="BA18" s="19">
        <f>'P&amp;L - Inputs'!BZ399</f>
        <v>23290863.169999931</v>
      </c>
      <c r="BB18" s="19">
        <f>'P&amp;L - Inputs'!CA399</f>
        <v>25601906.309999935</v>
      </c>
      <c r="BC18" s="19">
        <f>'P&amp;L - Inputs'!CB399</f>
        <v>17912273.679999981</v>
      </c>
      <c r="BD18" s="19">
        <f>'P&amp;L - Inputs'!CC399</f>
        <v>25796588.840000004</v>
      </c>
      <c r="BE18" s="19">
        <f>'P&amp;L - Inputs'!CD399</f>
        <v>30517008.910000134</v>
      </c>
      <c r="BF18" s="19">
        <f>'P&amp;L - Inputs'!CE399</f>
        <v>36379918.180026025</v>
      </c>
      <c r="BG18" s="19">
        <f>'P&amp;L - Inputs'!CF399</f>
        <v>35443697.910057932</v>
      </c>
      <c r="BH18" s="19">
        <f>'P&amp;L - Inputs'!CG399</f>
        <v>39465340.150000237</v>
      </c>
      <c r="BI18" s="19">
        <f>'P&amp;L - Inputs'!CH399</f>
        <v>42482265.380003251</v>
      </c>
      <c r="BJ18" s="19">
        <f>'P&amp;L - Inputs'!CI399</f>
        <v>45465982.810000286</v>
      </c>
      <c r="BK18" s="19">
        <f>'P&amp;L - Inputs'!CJ399</f>
        <v>40341959.620006375</v>
      </c>
      <c r="BL18" s="19">
        <f>'P&amp;L - Inputs'!CK399</f>
        <v>46870170.000000142</v>
      </c>
      <c r="BM18" s="19">
        <f>'P&amp;L - Inputs'!CL399</f>
        <v>38785726.240000106</v>
      </c>
      <c r="BN18" s="19">
        <f>'P&amp;L - Inputs'!CM399</f>
        <v>39860910.350000069</v>
      </c>
      <c r="BO18" s="19">
        <f>'P&amp;L - Inputs'!CN399</f>
        <v>37443084.069999993</v>
      </c>
      <c r="BP18" s="19">
        <f>'P&amp;L - Inputs'!CO399</f>
        <v>38780500.059999987</v>
      </c>
      <c r="BQ18" s="19">
        <f>'P&amp;L - Inputs'!CP399</f>
        <v>40195593.830000013</v>
      </c>
      <c r="BR18" s="19">
        <f>'P&amp;L - Inputs'!CQ399</f>
        <v>50230534.250000067</v>
      </c>
      <c r="BS18" s="19">
        <f>'P&amp;L - Inputs'!CR399</f>
        <v>47794579.180000052</v>
      </c>
      <c r="BT18" s="19">
        <f>'P&amp;L - Inputs'!CS399</f>
        <v>53161003.69000002</v>
      </c>
      <c r="BU18" s="19">
        <f>'P&amp;L - Inputs'!CT399</f>
        <v>59347698.7296855</v>
      </c>
      <c r="BV18" s="19">
        <f>'P&amp;L - Inputs'!CU399</f>
        <v>57974297.091359176</v>
      </c>
      <c r="BW18" s="19">
        <f>'P&amp;L - Inputs'!CV399</f>
        <v>57780155.438567594</v>
      </c>
      <c r="BX18" s="19">
        <f>'P&amp;L - Inputs'!CW399</f>
        <v>62947910.784465604</v>
      </c>
      <c r="BY18" s="19">
        <f>'P&amp;L - Inputs'!CX399</f>
        <v>55631315.795327604</v>
      </c>
      <c r="BZ18" s="19">
        <f>'P&amp;L - Inputs'!CY399</f>
        <v>51204184.256123461</v>
      </c>
      <c r="CA18" s="19">
        <f>'P&amp;L - Inputs'!CZ399</f>
        <v>65155926.197005339</v>
      </c>
      <c r="CB18" s="19">
        <f>'P&amp;L - Inputs'!DA399</f>
        <v>59520844.571181715</v>
      </c>
      <c r="CC18" s="19">
        <f>'P&amp;L - Inputs'!DB399</f>
        <v>71785928.989360392</v>
      </c>
      <c r="CD18" s="19">
        <f>'P&amp;L - Inputs'!DC399</f>
        <v>73640539.502611056</v>
      </c>
      <c r="CE18" s="19">
        <f>'P&amp;L - Inputs'!DD399</f>
        <v>68032213.087603778</v>
      </c>
      <c r="CF18" s="19">
        <f>'P&amp;L - Inputs'!DE399</f>
        <v>79958082.532864183</v>
      </c>
      <c r="CG18" s="19">
        <f>'P&amp;L - Inputs'!DF399</f>
        <v>70693582.3103607</v>
      </c>
      <c r="CH18" s="19">
        <f>'P&amp;L - Inputs'!DG399</f>
        <v>69243051.088492125</v>
      </c>
      <c r="CI18" s="19">
        <f>'P&amp;L - Inputs'!DH399</f>
        <v>68658518.036569536</v>
      </c>
      <c r="CJ18" s="19">
        <f>'P&amp;L - Inputs'!DI399</f>
        <v>74728162.65984419</v>
      </c>
      <c r="CK18" s="19">
        <f>'P&amp;L - Inputs'!DJ399</f>
        <v>65950027.596073888</v>
      </c>
      <c r="CL18" s="19">
        <f>'P&amp;L - Inputs'!DK399</f>
        <v>60591618.036412805</v>
      </c>
      <c r="CM18" s="19">
        <f>'P&amp;L - Inputs'!DL399</f>
        <v>76763428.797062412</v>
      </c>
      <c r="CN18" s="19">
        <f>'P&amp;L - Inputs'!DM399</f>
        <v>69792243.235508233</v>
      </c>
      <c r="CO18" s="19">
        <f>'P&amp;L - Inputs'!DN399</f>
        <v>83814922.495685697</v>
      </c>
      <c r="CP18" s="19">
        <f>'P&amp;L - Inputs'!DO399</f>
        <v>85617707.70907025</v>
      </c>
      <c r="CQ18" s="19">
        <f>'P&amp;L - Inputs'!DP399</f>
        <v>78739555.715595976</v>
      </c>
      <c r="CR18" s="19">
        <f>'P&amp;L - Inputs'!DQ399</f>
        <v>91474433.226030439</v>
      </c>
      <c r="CS18" s="19">
        <f>'P&amp;L - Inputs'!DR399</f>
        <v>80826329.108179078</v>
      </c>
      <c r="CT18" s="19">
        <f>'P&amp;L - Inputs'!DS399</f>
        <v>79096869.897239104</v>
      </c>
      <c r="CU18" s="19">
        <f>'P&amp;L - Inputs'!DT399</f>
        <v>78383060.863930956</v>
      </c>
      <c r="CV18" s="19">
        <f>'P&amp;L - Inputs'!DU399</f>
        <v>85262945.157558724</v>
      </c>
      <c r="CW18" s="19">
        <f>'P&amp;L - Inputs'!DV399</f>
        <v>75183031.459524244</v>
      </c>
      <c r="CX18" s="19">
        <f>'P&amp;L - Inputs'!DW399</f>
        <v>68997638.285126418</v>
      </c>
      <c r="CY18" s="19">
        <f>'P&amp;L - Inputs'!DX399</f>
        <v>87389103.414761066</v>
      </c>
      <c r="CZ18" s="19">
        <f>'P&amp;L - Inputs'!DY399</f>
        <v>79409954.803328276</v>
      </c>
      <c r="DA18" s="19">
        <f>'P&amp;L - Inputs'!DZ399</f>
        <v>95339474.338842466</v>
      </c>
      <c r="DB18" s="19">
        <f>'P&amp;L - Inputs'!EA399</f>
        <v>97364220.20271948</v>
      </c>
      <c r="DC18" s="19">
        <f>'P&amp;L - Inputs'!EB399</f>
        <v>89495216.67674695</v>
      </c>
      <c r="DD18" s="19">
        <f>'P&amp;L - Inputs'!EC399</f>
        <v>103942523.78218117</v>
      </c>
      <c r="DF18" s="19">
        <f t="shared" si="3"/>
        <v>69835578.500000343</v>
      </c>
      <c r="DG18" s="19">
        <f t="shared" si="4"/>
        <v>74790119.890000522</v>
      </c>
      <c r="DH18" s="19">
        <f t="shared" si="5"/>
        <v>70658347.590000078</v>
      </c>
      <c r="DI18" s="19">
        <f t="shared" si="6"/>
        <v>62144159.809999943</v>
      </c>
      <c r="DJ18" s="19">
        <f t="shared" si="7"/>
        <v>69667257.850000009</v>
      </c>
      <c r="DK18" s="19">
        <f t="shared" si="8"/>
        <v>76199582.599999875</v>
      </c>
      <c r="DL18" s="19">
        <f t="shared" si="9"/>
        <v>74225871.430000111</v>
      </c>
      <c r="DM18" s="19">
        <f t="shared" si="10"/>
        <v>111288956.2400842</v>
      </c>
      <c r="DN18" s="19">
        <f t="shared" si="11"/>
        <v>128290207.81000993</v>
      </c>
      <c r="DO18" s="19">
        <f t="shared" si="12"/>
        <v>125516806.59000032</v>
      </c>
      <c r="DP18" s="19">
        <f t="shared" si="13"/>
        <v>116419177.95999999</v>
      </c>
      <c r="DQ18" s="19">
        <f t="shared" si="14"/>
        <v>151186117.12000015</v>
      </c>
      <c r="DR18" s="19">
        <f t="shared" si="15"/>
        <v>175102151.25961226</v>
      </c>
      <c r="DS18" s="19">
        <f t="shared" si="16"/>
        <v>169783410.83591667</v>
      </c>
      <c r="DT18" s="19">
        <f t="shared" si="17"/>
        <v>196462699.75754744</v>
      </c>
      <c r="DU18" s="19">
        <f t="shared" si="18"/>
        <v>221630835.12307903</v>
      </c>
      <c r="DV18" s="19">
        <f t="shared" si="19"/>
        <v>208595151.43542236</v>
      </c>
      <c r="DW18" s="19">
        <f t="shared" si="20"/>
        <v>201269808.29233089</v>
      </c>
      <c r="DX18" s="19">
        <f t="shared" si="21"/>
        <v>230370594.52825636</v>
      </c>
      <c r="DY18" s="19">
        <f t="shared" si="22"/>
        <v>255831696.65069667</v>
      </c>
      <c r="DZ18" s="19">
        <f t="shared" si="23"/>
        <v>238306259.86934912</v>
      </c>
      <c r="EA18" s="19">
        <f t="shared" si="24"/>
        <v>229443614.90220937</v>
      </c>
      <c r="EB18" s="19">
        <f t="shared" si="25"/>
        <v>262138532.55693179</v>
      </c>
      <c r="EC18" s="19">
        <f t="shared" si="26"/>
        <v>290801960.66164756</v>
      </c>
      <c r="EE18" s="19">
        <f>SUM(DF18:DI18)</f>
        <v>277428205.79000092</v>
      </c>
      <c r="EF18" s="19">
        <f>SUM(DJ18:DM18)</f>
        <v>331381668.12008417</v>
      </c>
      <c r="EG18" s="19">
        <f>SUM(DN18:DQ18)</f>
        <v>521412309.48001039</v>
      </c>
      <c r="EH18" s="19">
        <f>SUM(DR18:DU18)</f>
        <v>762979096.97615552</v>
      </c>
      <c r="EI18" s="19">
        <f>SUM(DV18:DY18)</f>
        <v>896067250.90670621</v>
      </c>
      <c r="EJ18" s="770">
        <f t="shared" si="27"/>
        <v>1020690367.9901378</v>
      </c>
    </row>
    <row r="19" spans="2:140" x14ac:dyDescent="0.2">
      <c r="B19" s="167" t="s">
        <v>191</v>
      </c>
      <c r="C19" s="19">
        <f>'P&amp;L - Inputs'!AB400</f>
        <v>0</v>
      </c>
      <c r="D19" s="19">
        <f>'P&amp;L - Inputs'!AC400</f>
        <v>0</v>
      </c>
      <c r="E19" s="19">
        <f>'P&amp;L - Inputs'!AD400</f>
        <v>0</v>
      </c>
      <c r="F19" s="19">
        <f>'P&amp;L - Inputs'!AE400</f>
        <v>0</v>
      </c>
      <c r="G19" s="19">
        <f>'P&amp;L - Inputs'!AF400</f>
        <v>0</v>
      </c>
      <c r="H19" s="19">
        <f>'P&amp;L - Inputs'!AG400</f>
        <v>0</v>
      </c>
      <c r="I19" s="19">
        <f>'P&amp;L - Inputs'!AH400</f>
        <v>0</v>
      </c>
      <c r="J19" s="19">
        <f>'P&amp;L - Inputs'!AI400</f>
        <v>0</v>
      </c>
      <c r="K19" s="19">
        <f>'P&amp;L - Inputs'!AJ400</f>
        <v>0</v>
      </c>
      <c r="L19" s="19">
        <f>'P&amp;L - Inputs'!AK400</f>
        <v>0</v>
      </c>
      <c r="M19" s="19">
        <f>'P&amp;L - Inputs'!AL400</f>
        <v>0</v>
      </c>
      <c r="N19" s="19">
        <f>'P&amp;L - Inputs'!AM400</f>
        <v>0</v>
      </c>
      <c r="O19" s="19">
        <f>'P&amp;L - Inputs'!AN400</f>
        <v>0</v>
      </c>
      <c r="P19" s="19">
        <f>'P&amp;L - Inputs'!AO400</f>
        <v>0</v>
      </c>
      <c r="Q19" s="19">
        <f>'P&amp;L - Inputs'!AP400</f>
        <v>0</v>
      </c>
      <c r="R19" s="19">
        <f>'P&amp;L - Inputs'!AQ400</f>
        <v>0</v>
      </c>
      <c r="S19" s="19">
        <f>'P&amp;L - Inputs'!AR400</f>
        <v>0</v>
      </c>
      <c r="T19" s="19">
        <f>'P&amp;L - Inputs'!AS400</f>
        <v>0</v>
      </c>
      <c r="U19" s="19">
        <f>'P&amp;L - Inputs'!AT400</f>
        <v>0</v>
      </c>
      <c r="V19" s="19">
        <f>'P&amp;L - Inputs'!AU400</f>
        <v>0</v>
      </c>
      <c r="W19" s="19">
        <f>'P&amp;L - Inputs'!AV400</f>
        <v>0</v>
      </c>
      <c r="X19" s="19">
        <f>'P&amp;L - Inputs'!AW400</f>
        <v>0</v>
      </c>
      <c r="Y19" s="19">
        <f>'P&amp;L - Inputs'!AX400</f>
        <v>0</v>
      </c>
      <c r="Z19" s="19">
        <f>'P&amp;L - Inputs'!AY400</f>
        <v>0</v>
      </c>
      <c r="AA19" s="19">
        <f>'P&amp;L - Inputs'!AZ400</f>
        <v>0</v>
      </c>
      <c r="AB19" s="19">
        <f>'P&amp;L - Inputs'!BA400</f>
        <v>0</v>
      </c>
      <c r="AC19" s="19">
        <f>'P&amp;L - Inputs'!BB400</f>
        <v>0</v>
      </c>
      <c r="AD19" s="19">
        <f>'P&amp;L - Inputs'!BC400</f>
        <v>0</v>
      </c>
      <c r="AE19" s="19">
        <f>'P&amp;L - Inputs'!BD400</f>
        <v>0</v>
      </c>
      <c r="AF19" s="19">
        <f>'P&amp;L - Inputs'!BE400</f>
        <v>0</v>
      </c>
      <c r="AG19" s="19">
        <f>'P&amp;L - Inputs'!BF400</f>
        <v>0</v>
      </c>
      <c r="AH19" s="19">
        <f>'P&amp;L - Inputs'!BG400</f>
        <v>0</v>
      </c>
      <c r="AI19" s="19">
        <f>'P&amp;L - Inputs'!BH400</f>
        <v>0</v>
      </c>
      <c r="AJ19" s="19">
        <f>'P&amp;L - Inputs'!BI400</f>
        <v>0</v>
      </c>
      <c r="AK19" s="19">
        <f>'P&amp;L - Inputs'!BJ400</f>
        <v>0</v>
      </c>
      <c r="AL19" s="19">
        <f>'P&amp;L - Inputs'!BK400</f>
        <v>0</v>
      </c>
      <c r="AM19" s="19">
        <f>'P&amp;L - Inputs'!BL400</f>
        <v>0</v>
      </c>
      <c r="AN19" s="19">
        <f>'P&amp;L - Inputs'!BM400</f>
        <v>0</v>
      </c>
      <c r="AO19" s="19">
        <f>'P&amp;L - Inputs'!BN400</f>
        <v>0</v>
      </c>
      <c r="AP19" s="19">
        <f>'P&amp;L - Inputs'!BO400</f>
        <v>0</v>
      </c>
      <c r="AQ19" s="19">
        <f>'P&amp;L - Inputs'!BP400</f>
        <v>0</v>
      </c>
      <c r="AR19" s="19">
        <f>'P&amp;L - Inputs'!BQ400</f>
        <v>0</v>
      </c>
      <c r="AS19" s="19">
        <f>'P&amp;L - Inputs'!BR400</f>
        <v>0</v>
      </c>
      <c r="AT19" s="19">
        <f>'P&amp;L - Inputs'!BS400</f>
        <v>0</v>
      </c>
      <c r="AU19" s="19">
        <f>'P&amp;L - Inputs'!BT400</f>
        <v>0</v>
      </c>
      <c r="AV19" s="19">
        <f>'P&amp;L - Inputs'!BU400</f>
        <v>0</v>
      </c>
      <c r="AW19" s="19">
        <f>'P&amp;L - Inputs'!BV400</f>
        <v>0</v>
      </c>
      <c r="AX19" s="19">
        <f>'P&amp;L - Inputs'!BW400</f>
        <v>0</v>
      </c>
      <c r="AY19" s="19">
        <f>'P&amp;L - Inputs'!BX400</f>
        <v>0</v>
      </c>
      <c r="AZ19" s="19">
        <f>'P&amp;L - Inputs'!BY400</f>
        <v>0</v>
      </c>
      <c r="BA19" s="19">
        <f>'P&amp;L - Inputs'!BZ400</f>
        <v>0</v>
      </c>
      <c r="BB19" s="19">
        <f>'P&amp;L - Inputs'!CA400</f>
        <v>0</v>
      </c>
      <c r="BC19" s="19">
        <f>'P&amp;L - Inputs'!CB400</f>
        <v>0</v>
      </c>
      <c r="BD19" s="19">
        <f>'P&amp;L - Inputs'!CC400</f>
        <v>0</v>
      </c>
      <c r="BE19" s="19">
        <f>'P&amp;L - Inputs'!CD400</f>
        <v>0</v>
      </c>
      <c r="BF19" s="19">
        <f>'P&amp;L - Inputs'!CE400</f>
        <v>0</v>
      </c>
      <c r="BG19" s="19">
        <f>'P&amp;L - Inputs'!CF400</f>
        <v>0</v>
      </c>
      <c r="BH19" s="19">
        <f>'P&amp;L - Inputs'!CG400</f>
        <v>0</v>
      </c>
      <c r="BI19" s="19">
        <f>'P&amp;L - Inputs'!CH400</f>
        <v>0</v>
      </c>
      <c r="BJ19" s="19">
        <f>'P&amp;L - Inputs'!CI400</f>
        <v>0</v>
      </c>
      <c r="BK19" s="19">
        <f>'P&amp;L - Inputs'!CJ400</f>
        <v>0</v>
      </c>
      <c r="BL19" s="19">
        <f>'P&amp;L - Inputs'!CK400</f>
        <v>0</v>
      </c>
      <c r="BM19" s="19">
        <f>'P&amp;L - Inputs'!CL400</f>
        <v>0</v>
      </c>
      <c r="BN19" s="19">
        <f>'P&amp;L - Inputs'!CM400</f>
        <v>0</v>
      </c>
      <c r="BO19" s="19">
        <f>'P&amp;L - Inputs'!CN400</f>
        <v>0</v>
      </c>
      <c r="BP19" s="19">
        <f>'P&amp;L - Inputs'!CO400</f>
        <v>0</v>
      </c>
      <c r="BQ19" s="19">
        <f>'P&amp;L - Inputs'!CP400</f>
        <v>0</v>
      </c>
      <c r="BR19" s="19">
        <f>'P&amp;L - Inputs'!CQ400</f>
        <v>0</v>
      </c>
      <c r="BS19" s="19">
        <f>'P&amp;L - Inputs'!CR400</f>
        <v>0</v>
      </c>
      <c r="BT19" s="19">
        <f>'P&amp;L - Inputs'!CS400</f>
        <v>0</v>
      </c>
      <c r="BU19" s="19">
        <f>'P&amp;L - Inputs'!CT400</f>
        <v>0</v>
      </c>
      <c r="BV19" s="19">
        <f>'P&amp;L - Inputs'!CU400</f>
        <v>0</v>
      </c>
      <c r="BW19" s="19">
        <f>'P&amp;L - Inputs'!CV400</f>
        <v>0</v>
      </c>
      <c r="BX19" s="19">
        <f>'P&amp;L - Inputs'!CW400</f>
        <v>0</v>
      </c>
      <c r="BY19" s="19">
        <f>'P&amp;L - Inputs'!CX400</f>
        <v>0</v>
      </c>
      <c r="BZ19" s="19">
        <f>'P&amp;L - Inputs'!CY400</f>
        <v>0</v>
      </c>
      <c r="CA19" s="19">
        <f>'P&amp;L - Inputs'!CZ400</f>
        <v>0</v>
      </c>
      <c r="CB19" s="19">
        <f>'P&amp;L - Inputs'!DA400</f>
        <v>0</v>
      </c>
      <c r="CC19" s="19">
        <f>'P&amp;L - Inputs'!DB400</f>
        <v>0</v>
      </c>
      <c r="CD19" s="19">
        <f>'P&amp;L - Inputs'!DC400</f>
        <v>0</v>
      </c>
      <c r="CE19" s="19">
        <f>'P&amp;L - Inputs'!DD400</f>
        <v>0</v>
      </c>
      <c r="CF19" s="19">
        <f>'P&amp;L - Inputs'!DE400</f>
        <v>0</v>
      </c>
      <c r="CG19" s="19">
        <f>'P&amp;L - Inputs'!DF400</f>
        <v>0</v>
      </c>
      <c r="CH19" s="19">
        <f>'P&amp;L - Inputs'!DG400</f>
        <v>0</v>
      </c>
      <c r="CI19" s="19">
        <f>'P&amp;L - Inputs'!DH400</f>
        <v>0</v>
      </c>
      <c r="CJ19" s="19">
        <f>'P&amp;L - Inputs'!DI400</f>
        <v>0</v>
      </c>
      <c r="CK19" s="19">
        <f>'P&amp;L - Inputs'!DJ400</f>
        <v>0</v>
      </c>
      <c r="CL19" s="19">
        <f>'P&amp;L - Inputs'!DK400</f>
        <v>0</v>
      </c>
      <c r="CM19" s="19">
        <f>'P&amp;L - Inputs'!DL400</f>
        <v>0</v>
      </c>
      <c r="CN19" s="19">
        <f>'P&amp;L - Inputs'!DM400</f>
        <v>0</v>
      </c>
      <c r="CO19" s="19">
        <f>'P&amp;L - Inputs'!DN400</f>
        <v>0</v>
      </c>
      <c r="CP19" s="19">
        <f>'P&amp;L - Inputs'!DO400</f>
        <v>0</v>
      </c>
      <c r="CQ19" s="19">
        <f>'P&amp;L - Inputs'!DP400</f>
        <v>0</v>
      </c>
      <c r="CR19" s="19">
        <f>'P&amp;L - Inputs'!DQ400</f>
        <v>0</v>
      </c>
      <c r="CS19" s="19">
        <f>'P&amp;L - Inputs'!DR400</f>
        <v>0</v>
      </c>
      <c r="CT19" s="19">
        <f>'P&amp;L - Inputs'!DS400</f>
        <v>0</v>
      </c>
      <c r="CU19" s="19">
        <f>'P&amp;L - Inputs'!DT400</f>
        <v>0</v>
      </c>
      <c r="CV19" s="19">
        <f>'P&amp;L - Inputs'!DU400</f>
        <v>0</v>
      </c>
      <c r="CW19" s="19">
        <f>'P&amp;L - Inputs'!DV400</f>
        <v>0</v>
      </c>
      <c r="CX19" s="19">
        <f>'P&amp;L - Inputs'!DW400</f>
        <v>0</v>
      </c>
      <c r="CY19" s="19">
        <f>'P&amp;L - Inputs'!DX400</f>
        <v>0</v>
      </c>
      <c r="CZ19" s="19">
        <f>'P&amp;L - Inputs'!DY400</f>
        <v>0</v>
      </c>
      <c r="DA19" s="19">
        <f>'P&amp;L - Inputs'!DZ400</f>
        <v>0</v>
      </c>
      <c r="DB19" s="19">
        <f>'P&amp;L - Inputs'!EA400</f>
        <v>0</v>
      </c>
      <c r="DC19" s="19">
        <f>'P&amp;L - Inputs'!EB400</f>
        <v>0</v>
      </c>
      <c r="DD19" s="19">
        <f>'P&amp;L - Inputs'!EC400</f>
        <v>0</v>
      </c>
      <c r="DF19" s="19">
        <f t="shared" si="3"/>
        <v>0</v>
      </c>
      <c r="DG19" s="19">
        <f t="shared" si="4"/>
        <v>0</v>
      </c>
      <c r="DH19" s="19">
        <f t="shared" si="5"/>
        <v>0</v>
      </c>
      <c r="DI19" s="19">
        <f t="shared" si="6"/>
        <v>0</v>
      </c>
      <c r="DJ19" s="19">
        <f t="shared" si="7"/>
        <v>0</v>
      </c>
      <c r="DK19" s="19">
        <f t="shared" si="8"/>
        <v>0</v>
      </c>
      <c r="DL19" s="19">
        <f t="shared" si="9"/>
        <v>0</v>
      </c>
      <c r="DM19" s="19">
        <f t="shared" si="10"/>
        <v>0</v>
      </c>
      <c r="DN19" s="19">
        <f t="shared" si="11"/>
        <v>0</v>
      </c>
      <c r="DO19" s="19">
        <f t="shared" si="12"/>
        <v>0</v>
      </c>
      <c r="DP19" s="19">
        <f t="shared" si="13"/>
        <v>0</v>
      </c>
      <c r="DQ19" s="19">
        <f t="shared" si="14"/>
        <v>0</v>
      </c>
      <c r="DR19" s="19">
        <f t="shared" si="15"/>
        <v>0</v>
      </c>
      <c r="DS19" s="19">
        <f t="shared" si="16"/>
        <v>0</v>
      </c>
      <c r="DT19" s="19">
        <f t="shared" si="17"/>
        <v>0</v>
      </c>
      <c r="DU19" s="19">
        <f t="shared" si="18"/>
        <v>0</v>
      </c>
      <c r="DV19" s="19">
        <f t="shared" si="19"/>
        <v>0</v>
      </c>
      <c r="DW19" s="19">
        <f t="shared" si="20"/>
        <v>0</v>
      </c>
      <c r="DX19" s="19">
        <f t="shared" si="21"/>
        <v>0</v>
      </c>
      <c r="DY19" s="19">
        <f t="shared" si="22"/>
        <v>0</v>
      </c>
      <c r="DZ19" s="19">
        <f t="shared" si="23"/>
        <v>0</v>
      </c>
      <c r="EA19" s="19">
        <f t="shared" si="24"/>
        <v>0</v>
      </c>
      <c r="EB19" s="19">
        <f t="shared" si="25"/>
        <v>0</v>
      </c>
      <c r="EC19" s="19">
        <f t="shared" si="26"/>
        <v>0</v>
      </c>
      <c r="EE19" s="19">
        <f>SUM(DF19:DI19)</f>
        <v>0</v>
      </c>
      <c r="EF19" s="19">
        <f>SUM(DJ19:DM19)</f>
        <v>0</v>
      </c>
      <c r="EG19" s="19">
        <f>SUM(DN19:DQ19)</f>
        <v>0</v>
      </c>
      <c r="EH19" s="19">
        <f>SUM(DR19:DU19)</f>
        <v>0</v>
      </c>
      <c r="EI19" s="19">
        <f>SUM(DV19:DY19)</f>
        <v>0</v>
      </c>
      <c r="EJ19" s="770">
        <f t="shared" si="27"/>
        <v>0</v>
      </c>
    </row>
    <row r="20" spans="2:140" x14ac:dyDescent="0.2">
      <c r="B20" s="167" t="s">
        <v>140</v>
      </c>
      <c r="C20" s="19">
        <f>'P&amp;L - Inputs'!AB401</f>
        <v>0</v>
      </c>
      <c r="D20" s="19">
        <f>'P&amp;L - Inputs'!AC401</f>
        <v>0</v>
      </c>
      <c r="E20" s="19">
        <f>'P&amp;L - Inputs'!AD401</f>
        <v>0</v>
      </c>
      <c r="F20" s="19">
        <f>'P&amp;L - Inputs'!AE401</f>
        <v>0</v>
      </c>
      <c r="G20" s="19">
        <f>'P&amp;L - Inputs'!AF401</f>
        <v>0</v>
      </c>
      <c r="H20" s="19">
        <f>'P&amp;L - Inputs'!AG401</f>
        <v>0</v>
      </c>
      <c r="I20" s="19">
        <f>'P&amp;L - Inputs'!AH401</f>
        <v>0</v>
      </c>
      <c r="J20" s="19">
        <f>'P&amp;L - Inputs'!AI401</f>
        <v>0</v>
      </c>
      <c r="K20" s="19">
        <f>'P&amp;L - Inputs'!AJ401</f>
        <v>0</v>
      </c>
      <c r="L20" s="19">
        <f>'P&amp;L - Inputs'!AK401</f>
        <v>0</v>
      </c>
      <c r="M20" s="19">
        <f>'P&amp;L - Inputs'!AL401</f>
        <v>0</v>
      </c>
      <c r="N20" s="19">
        <f>'P&amp;L - Inputs'!AM401</f>
        <v>0</v>
      </c>
      <c r="O20" s="19">
        <f>'P&amp;L - Inputs'!AN401</f>
        <v>0</v>
      </c>
      <c r="P20" s="19">
        <f>'P&amp;L - Inputs'!AO401</f>
        <v>0</v>
      </c>
      <c r="Q20" s="19">
        <f>'P&amp;L - Inputs'!AP401</f>
        <v>0</v>
      </c>
      <c r="R20" s="19">
        <f>'P&amp;L - Inputs'!AQ401</f>
        <v>0</v>
      </c>
      <c r="S20" s="19">
        <f>'P&amp;L - Inputs'!AR401</f>
        <v>0</v>
      </c>
      <c r="T20" s="19">
        <f>'P&amp;L - Inputs'!AS401</f>
        <v>0</v>
      </c>
      <c r="U20" s="19">
        <f>'P&amp;L - Inputs'!AT401</f>
        <v>0</v>
      </c>
      <c r="V20" s="19">
        <f>'P&amp;L - Inputs'!AU401</f>
        <v>0</v>
      </c>
      <c r="W20" s="19">
        <f>'P&amp;L - Inputs'!AV401</f>
        <v>0</v>
      </c>
      <c r="X20" s="19">
        <f>'P&amp;L - Inputs'!AW401</f>
        <v>0</v>
      </c>
      <c r="Y20" s="19">
        <f>'P&amp;L - Inputs'!AX401</f>
        <v>0</v>
      </c>
      <c r="Z20" s="19">
        <f>'P&amp;L - Inputs'!AY401</f>
        <v>0</v>
      </c>
      <c r="AA20" s="19">
        <f>'P&amp;L - Inputs'!AZ401</f>
        <v>0</v>
      </c>
      <c r="AB20" s="19">
        <f>'P&amp;L - Inputs'!BA401</f>
        <v>0</v>
      </c>
      <c r="AC20" s="19">
        <f>'P&amp;L - Inputs'!BB401</f>
        <v>0</v>
      </c>
      <c r="AD20" s="19">
        <f>'P&amp;L - Inputs'!BC401</f>
        <v>0</v>
      </c>
      <c r="AE20" s="19">
        <f>'P&amp;L - Inputs'!BD401</f>
        <v>0</v>
      </c>
      <c r="AF20" s="19">
        <f>'P&amp;L - Inputs'!BE401</f>
        <v>0</v>
      </c>
      <c r="AG20" s="19">
        <f>'P&amp;L - Inputs'!BF401</f>
        <v>0</v>
      </c>
      <c r="AH20" s="19">
        <f>'P&amp;L - Inputs'!BG401</f>
        <v>0</v>
      </c>
      <c r="AI20" s="19">
        <f>'P&amp;L - Inputs'!BH401</f>
        <v>0</v>
      </c>
      <c r="AJ20" s="19">
        <f>'P&amp;L - Inputs'!BI401</f>
        <v>0</v>
      </c>
      <c r="AK20" s="19">
        <f>'P&amp;L - Inputs'!BJ401</f>
        <v>0</v>
      </c>
      <c r="AL20" s="19">
        <f>'P&amp;L - Inputs'!BK401</f>
        <v>0</v>
      </c>
      <c r="AM20" s="19">
        <f>'P&amp;L - Inputs'!BL401</f>
        <v>0</v>
      </c>
      <c r="AN20" s="19">
        <f>'P&amp;L - Inputs'!BM401</f>
        <v>0</v>
      </c>
      <c r="AO20" s="19">
        <f>'P&amp;L - Inputs'!BN401</f>
        <v>0</v>
      </c>
      <c r="AP20" s="19">
        <f>'P&amp;L - Inputs'!BO401</f>
        <v>0</v>
      </c>
      <c r="AQ20" s="19">
        <f>'P&amp;L - Inputs'!BP401</f>
        <v>0</v>
      </c>
      <c r="AR20" s="19">
        <f>'P&amp;L - Inputs'!BQ401</f>
        <v>0</v>
      </c>
      <c r="AS20" s="19">
        <f>'P&amp;L - Inputs'!BR401</f>
        <v>0</v>
      </c>
      <c r="AT20" s="19">
        <f>'P&amp;L - Inputs'!BS401</f>
        <v>0</v>
      </c>
      <c r="AU20" s="19">
        <f>'P&amp;L - Inputs'!BT401</f>
        <v>0</v>
      </c>
      <c r="AV20" s="19">
        <f>'P&amp;L - Inputs'!BU401</f>
        <v>0</v>
      </c>
      <c r="AW20" s="19">
        <f>'P&amp;L - Inputs'!BV401</f>
        <v>0</v>
      </c>
      <c r="AX20" s="19">
        <f>'P&amp;L - Inputs'!BW401</f>
        <v>0</v>
      </c>
      <c r="AY20" s="19">
        <f>'P&amp;L - Inputs'!BX401</f>
        <v>0</v>
      </c>
      <c r="AZ20" s="19">
        <f>'P&amp;L - Inputs'!BY401</f>
        <v>0</v>
      </c>
      <c r="BA20" s="19">
        <f>'P&amp;L - Inputs'!BZ401</f>
        <v>0</v>
      </c>
      <c r="BB20" s="19">
        <f>'P&amp;L - Inputs'!CA401</f>
        <v>0</v>
      </c>
      <c r="BC20" s="19">
        <f>'P&amp;L - Inputs'!CB401</f>
        <v>0</v>
      </c>
      <c r="BD20" s="19">
        <f>'P&amp;L - Inputs'!CC401</f>
        <v>0</v>
      </c>
      <c r="BE20" s="19">
        <f>'P&amp;L - Inputs'!CD401</f>
        <v>0</v>
      </c>
      <c r="BF20" s="19">
        <f>'P&amp;L - Inputs'!CE401</f>
        <v>0</v>
      </c>
      <c r="BG20" s="19">
        <f>'P&amp;L - Inputs'!CF401</f>
        <v>189310.02000000002</v>
      </c>
      <c r="BH20" s="19">
        <f>'P&amp;L - Inputs'!CG401</f>
        <v>176254.53</v>
      </c>
      <c r="BI20" s="19">
        <f>'P&amp;L - Inputs'!CH401</f>
        <v>232064.62000000002</v>
      </c>
      <c r="BJ20" s="19">
        <f>'P&amp;L - Inputs'!CI401</f>
        <v>161752.22000000003</v>
      </c>
      <c r="BK20" s="19">
        <f>'P&amp;L - Inputs'!CJ401</f>
        <v>134035.85</v>
      </c>
      <c r="BL20" s="19">
        <f>'P&amp;L - Inputs'!CK401</f>
        <v>171468.63000000006</v>
      </c>
      <c r="BM20" s="19">
        <f>'P&amp;L - Inputs'!CL401</f>
        <v>173021</v>
      </c>
      <c r="BN20" s="19">
        <f>'P&amp;L - Inputs'!CM401</f>
        <v>146805.84000000003</v>
      </c>
      <c r="BO20" s="19">
        <f>'P&amp;L - Inputs'!CN401</f>
        <v>137460.01999999999</v>
      </c>
      <c r="BP20" s="19">
        <f>'P&amp;L - Inputs'!CO401</f>
        <v>127817.29</v>
      </c>
      <c r="BQ20" s="19">
        <f>'P&amp;L - Inputs'!CP401</f>
        <v>249906.49000000008</v>
      </c>
      <c r="BR20" s="19">
        <f>'P&amp;L - Inputs'!CQ401</f>
        <v>8681</v>
      </c>
      <c r="BS20" s="19">
        <f>'P&amp;L - Inputs'!CR401</f>
        <v>118368.23</v>
      </c>
      <c r="BT20" s="19">
        <f>'P&amp;L - Inputs'!CS401</f>
        <v>122594.40999999999</v>
      </c>
      <c r="BU20" s="19">
        <f>'P&amp;L - Inputs'!CT401</f>
        <v>185382.32830615735</v>
      </c>
      <c r="BV20" s="19">
        <f>'P&amp;L - Inputs'!CU401</f>
        <v>186940.16299780575</v>
      </c>
      <c r="BW20" s="19">
        <f>'P&amp;L - Inputs'!CV401</f>
        <v>189276.9150352783</v>
      </c>
      <c r="BX20" s="19">
        <f>'P&amp;L - Inputs'!CW401</f>
        <v>190834.7497269267</v>
      </c>
      <c r="BY20" s="19">
        <f>'P&amp;L - Inputs'!CX401</f>
        <v>193171.50176439929</v>
      </c>
      <c r="BZ20" s="19">
        <f>'P&amp;L - Inputs'!CY401</f>
        <v>196287.17114769603</v>
      </c>
      <c r="CA20" s="19">
        <f>'P&amp;L - Inputs'!CZ401</f>
        <v>197845.00583934441</v>
      </c>
      <c r="CB20" s="19">
        <f>'P&amp;L - Inputs'!DA401</f>
        <v>200181.75787681699</v>
      </c>
      <c r="CC20" s="19">
        <f>'P&amp;L - Inputs'!DB401</f>
        <v>201739.59256846539</v>
      </c>
      <c r="CD20" s="19">
        <f>'P&amp;L - Inputs'!DC401</f>
        <v>203297.42726011373</v>
      </c>
      <c r="CE20" s="19">
        <f>'P&amp;L - Inputs'!DD401</f>
        <v>205634.17929758632</v>
      </c>
      <c r="CF20" s="19">
        <f>'P&amp;L - Inputs'!DE401</f>
        <v>208749.84868088306</v>
      </c>
      <c r="CG20" s="19">
        <f>'P&amp;L - Inputs'!DF401</f>
        <v>210307.68337253146</v>
      </c>
      <c r="CH20" s="19">
        <f>'P&amp;L - Inputs'!DG401</f>
        <v>212644.43541000405</v>
      </c>
      <c r="CI20" s="19">
        <f>'P&amp;L - Inputs'!DH401</f>
        <v>214202.27010165242</v>
      </c>
      <c r="CJ20" s="19">
        <f>'P&amp;L - Inputs'!DI401</f>
        <v>215760.10479330079</v>
      </c>
      <c r="CK20" s="19">
        <f>'P&amp;L - Inputs'!DJ401</f>
        <v>218096.85683077338</v>
      </c>
      <c r="CL20" s="19">
        <f>'P&amp;L - Inputs'!DK401</f>
        <v>221212.52621407015</v>
      </c>
      <c r="CM20" s="19">
        <f>'P&amp;L - Inputs'!DL401</f>
        <v>221991.44355989431</v>
      </c>
      <c r="CN20" s="19">
        <f>'P&amp;L - Inputs'!DM401</f>
        <v>223549.27825154271</v>
      </c>
      <c r="CO20" s="19">
        <f>'P&amp;L - Inputs'!DN401</f>
        <v>224328.1955973669</v>
      </c>
      <c r="CP20" s="19">
        <f>'P&amp;L - Inputs'!DO401</f>
        <v>225107.11294319108</v>
      </c>
      <c r="CQ20" s="19">
        <f>'P&amp;L - Inputs'!DP401</f>
        <v>226664.94763483948</v>
      </c>
      <c r="CR20" s="19">
        <f>'P&amp;L - Inputs'!DQ401</f>
        <v>227443.86498066367</v>
      </c>
      <c r="CS20" s="19">
        <f>'P&amp;L - Inputs'!DR401</f>
        <v>229001.69967231207</v>
      </c>
      <c r="CT20" s="19">
        <f>'P&amp;L - Inputs'!DS401</f>
        <v>231338.45170978463</v>
      </c>
      <c r="CU20" s="19">
        <f>'P&amp;L - Inputs'!DT401</f>
        <v>232896.286401433</v>
      </c>
      <c r="CV20" s="19">
        <f>'P&amp;L - Inputs'!DU401</f>
        <v>234454.1210930814</v>
      </c>
      <c r="CW20" s="19">
        <f>'P&amp;L - Inputs'!DV401</f>
        <v>236790.87313055395</v>
      </c>
      <c r="CX20" s="19">
        <f>'P&amp;L - Inputs'!DW401</f>
        <v>239906.54251385073</v>
      </c>
      <c r="CY20" s="19">
        <f>'P&amp;L - Inputs'!DX401</f>
        <v>240685.45985967491</v>
      </c>
      <c r="CZ20" s="19">
        <f>'P&amp;L - Inputs'!DY401</f>
        <v>242243.29455132331</v>
      </c>
      <c r="DA20" s="19">
        <f>'P&amp;L - Inputs'!DZ401</f>
        <v>243022.21189714747</v>
      </c>
      <c r="DB20" s="19">
        <f>'P&amp;L - Inputs'!EA401</f>
        <v>243801.12924297166</v>
      </c>
      <c r="DC20" s="19">
        <f>'P&amp;L - Inputs'!EB401</f>
        <v>245358.96393462006</v>
      </c>
      <c r="DD20" s="19">
        <f>'P&amp;L - Inputs'!EC401</f>
        <v>246137.88128044424</v>
      </c>
      <c r="DF20" s="19">
        <f t="shared" si="3"/>
        <v>0</v>
      </c>
      <c r="DG20" s="19">
        <f t="shared" si="4"/>
        <v>0</v>
      </c>
      <c r="DH20" s="19">
        <f t="shared" si="5"/>
        <v>0</v>
      </c>
      <c r="DI20" s="19">
        <f t="shared" si="6"/>
        <v>0</v>
      </c>
      <c r="DJ20" s="19">
        <f t="shared" si="7"/>
        <v>0</v>
      </c>
      <c r="DK20" s="19">
        <f t="shared" si="8"/>
        <v>0</v>
      </c>
      <c r="DL20" s="19">
        <f t="shared" si="9"/>
        <v>0</v>
      </c>
      <c r="DM20" s="19">
        <f t="shared" si="10"/>
        <v>365564.55000000005</v>
      </c>
      <c r="DN20" s="19">
        <f t="shared" si="11"/>
        <v>527852.69000000006</v>
      </c>
      <c r="DO20" s="19">
        <f t="shared" si="12"/>
        <v>491295.47000000009</v>
      </c>
      <c r="DP20" s="19">
        <f t="shared" si="13"/>
        <v>515183.80000000005</v>
      </c>
      <c r="DQ20" s="19">
        <f t="shared" si="14"/>
        <v>249643.63999999998</v>
      </c>
      <c r="DR20" s="19">
        <f t="shared" si="15"/>
        <v>561599.40633924142</v>
      </c>
      <c r="DS20" s="19">
        <f t="shared" si="16"/>
        <v>580293.42263902212</v>
      </c>
      <c r="DT20" s="19">
        <f t="shared" si="17"/>
        <v>599766.35628462676</v>
      </c>
      <c r="DU20" s="19">
        <f t="shared" si="18"/>
        <v>617681.45523858315</v>
      </c>
      <c r="DV20" s="19">
        <f t="shared" si="19"/>
        <v>637154.38888418791</v>
      </c>
      <c r="DW20" s="19">
        <f t="shared" si="20"/>
        <v>655069.4878381443</v>
      </c>
      <c r="DX20" s="19">
        <f t="shared" si="21"/>
        <v>669868.91740880394</v>
      </c>
      <c r="DY20" s="19">
        <f t="shared" si="22"/>
        <v>679215.92555869417</v>
      </c>
      <c r="DZ20" s="19">
        <f t="shared" si="23"/>
        <v>693236.43778352975</v>
      </c>
      <c r="EA20" s="19">
        <f t="shared" si="24"/>
        <v>711151.53673748602</v>
      </c>
      <c r="EB20" s="19">
        <f t="shared" si="25"/>
        <v>725950.96630814567</v>
      </c>
      <c r="EC20" s="19">
        <f t="shared" si="26"/>
        <v>735297.9744580359</v>
      </c>
      <c r="EE20" s="19">
        <f>SUM(DF20:DI20)</f>
        <v>0</v>
      </c>
      <c r="EF20" s="19">
        <f>SUM(DJ20:DM20)</f>
        <v>365564.55000000005</v>
      </c>
      <c r="EG20" s="19">
        <f>SUM(DN20:DQ20)</f>
        <v>1783975.6</v>
      </c>
      <c r="EH20" s="19">
        <f>SUM(DR20:DU20)</f>
        <v>2359340.6405014736</v>
      </c>
      <c r="EI20" s="19">
        <f>SUM(DV20:DY20)</f>
        <v>2641308.7196898302</v>
      </c>
      <c r="EJ20" s="770">
        <f t="shared" si="27"/>
        <v>2865636.9152871976</v>
      </c>
    </row>
    <row r="21" spans="2:140" x14ac:dyDescent="0.2">
      <c r="B21" s="15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E21" s="10"/>
      <c r="EF21" s="10"/>
      <c r="EG21" s="10"/>
      <c r="EH21" s="10"/>
      <c r="EI21" s="10"/>
      <c r="EJ21" s="812"/>
    </row>
    <row r="22" spans="2:140" x14ac:dyDescent="0.2">
      <c r="B22" s="167" t="s">
        <v>192</v>
      </c>
      <c r="C22" s="19">
        <f>'P&amp;L - Inputs'!AB404</f>
        <v>34164.439999999995</v>
      </c>
      <c r="D22" s="19">
        <f>'P&amp;L - Inputs'!AC404</f>
        <v>80549</v>
      </c>
      <c r="E22" s="19">
        <f>'P&amp;L - Inputs'!AD404</f>
        <v>1024004.1200000001</v>
      </c>
      <c r="F22" s="19">
        <f>'P&amp;L - Inputs'!AE404</f>
        <v>1222796</v>
      </c>
      <c r="G22" s="19">
        <f>'P&amp;L - Inputs'!AF404</f>
        <v>1304920</v>
      </c>
      <c r="H22" s="19">
        <f>'P&amp;L - Inputs'!AG404</f>
        <v>1381028</v>
      </c>
      <c r="I22" s="19">
        <f>'P&amp;L - Inputs'!AH404</f>
        <v>2191488</v>
      </c>
      <c r="J22" s="19">
        <f>'P&amp;L - Inputs'!AI404</f>
        <v>1889108.62</v>
      </c>
      <c r="K22" s="19">
        <f>'P&amp;L - Inputs'!AJ404</f>
        <v>4228422.8299999973</v>
      </c>
      <c r="L22" s="19">
        <f>'P&amp;L - Inputs'!AK404</f>
        <v>2864265.5800000005</v>
      </c>
      <c r="M22" s="19">
        <f>'P&amp;L - Inputs'!AL404</f>
        <v>3046378.3599999584</v>
      </c>
      <c r="N22" s="19">
        <f>'P&amp;L - Inputs'!AM404</f>
        <v>68026.060000000056</v>
      </c>
      <c r="O22" s="19">
        <f>'P&amp;L - Inputs'!AN404</f>
        <v>2186662.4200000074</v>
      </c>
      <c r="P22" s="19">
        <f>'P&amp;L - Inputs'!AO404</f>
        <v>2778928.5299998708</v>
      </c>
      <c r="Q22" s="19">
        <f>'P&amp;L - Inputs'!AP404</f>
        <v>3445900.8299999163</v>
      </c>
      <c r="R22" s="19">
        <f>'P&amp;L - Inputs'!AQ404</f>
        <v>4231724.9300000295</v>
      </c>
      <c r="S22" s="19">
        <f>'P&amp;L - Inputs'!AR404</f>
        <v>4589567.1099999994</v>
      </c>
      <c r="T22" s="19">
        <f>'P&amp;L - Inputs'!AS404</f>
        <v>7992704.5000004321</v>
      </c>
      <c r="U22" s="19">
        <f>'P&amp;L - Inputs'!AT404</f>
        <v>9722879.230001688</v>
      </c>
      <c r="V22" s="19">
        <f>'P&amp;L - Inputs'!AU404</f>
        <v>10530933.63000071</v>
      </c>
      <c r="W22" s="19">
        <f>'P&amp;L - Inputs'!AV404</f>
        <v>11590259.539999999</v>
      </c>
      <c r="X22" s="19">
        <f>'P&amp;L - Inputs'!AW404</f>
        <v>13060725.550000001</v>
      </c>
      <c r="Y22" s="19">
        <f>'P&amp;L - Inputs'!AX404</f>
        <v>10051140.049999956</v>
      </c>
      <c r="Z22" s="19">
        <f>'P&amp;L - Inputs'!AY404</f>
        <v>12938031.029999997</v>
      </c>
      <c r="AA22" s="19">
        <f>'P&amp;L - Inputs'!AZ404</f>
        <v>14369104.310000077</v>
      </c>
      <c r="AB22" s="19">
        <f>'P&amp;L - Inputs'!BA404</f>
        <v>12127726.770000031</v>
      </c>
      <c r="AC22" s="19">
        <f>'P&amp;L - Inputs'!BB404</f>
        <v>10761139.590000037</v>
      </c>
      <c r="AD22" s="19">
        <f>'P&amp;L - Inputs'!BC404</f>
        <v>9409463.5900000054</v>
      </c>
      <c r="AE22" s="19">
        <f>'P&amp;L - Inputs'!BD404</f>
        <v>8817711.4900000021</v>
      </c>
      <c r="AF22" s="19">
        <f>'P&amp;L - Inputs'!BE404</f>
        <v>7052958.8299999889</v>
      </c>
      <c r="AG22" s="19">
        <f>'P&amp;L - Inputs'!BF404</f>
        <v>10443114.069999991</v>
      </c>
      <c r="AH22" s="19">
        <f>'P&amp;L - Inputs'!BG404</f>
        <v>11054463.079999998</v>
      </c>
      <c r="AI22" s="19">
        <f>'P&amp;L - Inputs'!BH404</f>
        <v>10976426.030000005</v>
      </c>
      <c r="AJ22" s="19">
        <f>'P&amp;L - Inputs'!BI404</f>
        <v>16470712.890000023</v>
      </c>
      <c r="AK22" s="19">
        <f>'P&amp;L - Inputs'!BJ404</f>
        <v>20288599.290000118</v>
      </c>
      <c r="AL22" s="19">
        <f>'P&amp;L - Inputs'!BK404</f>
        <v>23793191.250000108</v>
      </c>
      <c r="AM22" s="19">
        <f>'P&amp;L - Inputs'!BL404</f>
        <v>25594927.960000113</v>
      </c>
      <c r="AN22" s="19">
        <f>'P&amp;L - Inputs'!BM404</f>
        <v>25608054.62000015</v>
      </c>
      <c r="AO22" s="19">
        <f>'P&amp;L - Inputs'!BN404</f>
        <v>24796270.190000203</v>
      </c>
      <c r="AP22" s="19">
        <f>'P&amp;L - Inputs'!BO404</f>
        <v>24165197.080000162</v>
      </c>
      <c r="AQ22" s="19">
        <f>'P&amp;L - Inputs'!BP404</f>
        <v>27189867.940000098</v>
      </c>
      <c r="AR22" s="19">
        <f>'P&amp;L - Inputs'!BQ404</f>
        <v>22205123.619999979</v>
      </c>
      <c r="AS22" s="19">
        <f>'P&amp;L - Inputs'!BR404</f>
        <v>19643200.030000005</v>
      </c>
      <c r="AT22" s="19">
        <f>'P&amp;L - Inputs'!BS404</f>
        <v>18022779.679999955</v>
      </c>
      <c r="AU22" s="19">
        <f>'P&amp;L - Inputs'!BT404</f>
        <v>19048169.129999984</v>
      </c>
      <c r="AV22" s="19">
        <f>'P&amp;L - Inputs'!BU404</f>
        <v>23031848</v>
      </c>
      <c r="AW22" s="19">
        <f>'P&amp;L - Inputs'!BV404</f>
        <v>24140338.750000104</v>
      </c>
      <c r="AX22" s="19">
        <f>'P&amp;L - Inputs'!BW404</f>
        <v>22876036.029999942</v>
      </c>
      <c r="AY22" s="19">
        <f>'P&amp;L - Inputs'!BX404</f>
        <v>22043922.069999963</v>
      </c>
      <c r="AZ22" s="19">
        <f>'P&amp;L - Inputs'!BY404</f>
        <v>26084919.12000002</v>
      </c>
      <c r="BA22" s="19">
        <f>'P&amp;L - Inputs'!BZ404</f>
        <v>23190951.169999931</v>
      </c>
      <c r="BB22" s="19">
        <f>'P&amp;L - Inputs'!CA404</f>
        <v>25506390.309999935</v>
      </c>
      <c r="BC22" s="19">
        <f>'P&amp;L - Inputs'!CB404</f>
        <v>17326306.679999981</v>
      </c>
      <c r="BD22" s="19">
        <f>'P&amp;L - Inputs'!CC404</f>
        <v>25348796.840000004</v>
      </c>
      <c r="BE22" s="19">
        <f>'P&amp;L - Inputs'!CD404</f>
        <v>30175866.910000134</v>
      </c>
      <c r="BF22" s="19">
        <f>'P&amp;L - Inputs'!CE404</f>
        <v>35649575.180026025</v>
      </c>
      <c r="BG22" s="19">
        <f>'P&amp;L - Inputs'!CF404</f>
        <v>31453889.910057928</v>
      </c>
      <c r="BH22" s="19">
        <f>'P&amp;L - Inputs'!CG404</f>
        <v>39391842.150000237</v>
      </c>
      <c r="BI22" s="19">
        <f>'P&amp;L - Inputs'!CH404</f>
        <v>41501082.380003251</v>
      </c>
      <c r="BJ22" s="19">
        <f>'P&amp;L - Inputs'!CI404</f>
        <v>45297221.810000286</v>
      </c>
      <c r="BK22" s="19">
        <f>'P&amp;L - Inputs'!CJ404</f>
        <v>40182170.620006375</v>
      </c>
      <c r="BL22" s="19">
        <f>'P&amp;L - Inputs'!CK404</f>
        <v>46787026.000000142</v>
      </c>
      <c r="BM22" s="19">
        <f>'P&amp;L - Inputs'!CL404</f>
        <v>38701118.240000106</v>
      </c>
      <c r="BN22" s="19">
        <f>'P&amp;L - Inputs'!CM404</f>
        <v>36979568.350000069</v>
      </c>
      <c r="BO22" s="19">
        <f>'P&amp;L - Inputs'!CN404</f>
        <v>37344961.069999993</v>
      </c>
      <c r="BP22" s="19">
        <f>'P&amp;L - Inputs'!CO404</f>
        <v>38751262.059999987</v>
      </c>
      <c r="BQ22" s="19">
        <f>'P&amp;L - Inputs'!CP404</f>
        <v>39009244.830000013</v>
      </c>
      <c r="BR22" s="19">
        <f>'P&amp;L - Inputs'!CQ404</f>
        <v>50214428.250000067</v>
      </c>
      <c r="BS22" s="19">
        <f>'P&amp;L - Inputs'!CR404</f>
        <v>47794579.180000052</v>
      </c>
      <c r="BT22" s="19">
        <f>'P&amp;L - Inputs'!CS404</f>
        <v>53055548.69000002</v>
      </c>
      <c r="BU22" s="19">
        <f>'P&amp;L - Inputs'!CT404</f>
        <v>56685764.982164018</v>
      </c>
      <c r="BV22" s="19">
        <f>'P&amp;L - Inputs'!CU404</f>
        <v>55373964.791715465</v>
      </c>
      <c r="BW22" s="19">
        <f>'P&amp;L - Inputs'!CV404</f>
        <v>55188531.011822529</v>
      </c>
      <c r="BX22" s="19">
        <f>'P&amp;L - Inputs'!CW404</f>
        <v>60124496.033097565</v>
      </c>
      <c r="BY22" s="19">
        <f>'P&amp;L - Inputs'!CX404</f>
        <v>53136073.686461553</v>
      </c>
      <c r="BZ22" s="19">
        <f>'P&amp;L - Inputs'!CY404</f>
        <v>48907513.129808918</v>
      </c>
      <c r="CA22" s="19">
        <f>'P&amp;L - Inputs'!CZ404</f>
        <v>62233474.905594558</v>
      </c>
      <c r="CB22" s="19">
        <f>'P&amp;L - Inputs'!DA404</f>
        <v>56851144.679924466</v>
      </c>
      <c r="CC22" s="19">
        <f>'P&amp;L - Inputs'!DB404</f>
        <v>68566100.907325983</v>
      </c>
      <c r="CD22" s="19">
        <f>'P&amp;L - Inputs'!DC404</f>
        <v>70337526.21846433</v>
      </c>
      <c r="CE22" s="19">
        <f>'P&amp;L - Inputs'!DD404</f>
        <v>64980751.146993086</v>
      </c>
      <c r="CF22" s="19">
        <f>'P&amp;L - Inputs'!DE404</f>
        <v>76371707.275909603</v>
      </c>
      <c r="CG22" s="19">
        <f>'P&amp;L - Inputs'!DF404</f>
        <v>67522749.464048341</v>
      </c>
      <c r="CH22" s="19">
        <f>'P&amp;L - Inputs'!DG404</f>
        <v>66137279.198105164</v>
      </c>
      <c r="CI22" s="19">
        <f>'P&amp;L - Inputs'!DH404</f>
        <v>65578964.31960395</v>
      </c>
      <c r="CJ22" s="19">
        <f>'P&amp;L - Inputs'!DI404</f>
        <v>71376366.005005851</v>
      </c>
      <c r="CK22" s="19">
        <f>'P&amp;L - Inputs'!DJ404</f>
        <v>62991958.321853653</v>
      </c>
      <c r="CL22" s="19">
        <f>'P&amp;L - Inputs'!DK404</f>
        <v>57873890.53694059</v>
      </c>
      <c r="CM22" s="19">
        <f>'P&amp;L - Inputs'!DL404</f>
        <v>73320343.958658174</v>
      </c>
      <c r="CN22" s="19">
        <f>'P&amp;L - Inputs'!DM404</f>
        <v>66661838.324106008</v>
      </c>
      <c r="CO22" s="19">
        <f>'P&amp;L - Inputs'!DN404</f>
        <v>80055555.653959036</v>
      </c>
      <c r="CP22" s="19">
        <f>'P&amp;L - Inputs'!DO404</f>
        <v>81777480.195375517</v>
      </c>
      <c r="CQ22" s="19">
        <f>'P&amp;L - Inputs'!DP404</f>
        <v>75207835.276377797</v>
      </c>
      <c r="CR22" s="19">
        <f>'P&amp;L - Inputs'!DQ404</f>
        <v>87371512.876096576</v>
      </c>
      <c r="CS22" s="19">
        <f>'P&amp;L - Inputs'!DR404</f>
        <v>77201010.220561951</v>
      </c>
      <c r="CT22" s="19">
        <f>'P&amp;L - Inputs'!DS404</f>
        <v>75549122.776297078</v>
      </c>
      <c r="CU22" s="19">
        <f>'P&amp;L - Inputs'!DT404</f>
        <v>74867330.356871516</v>
      </c>
      <c r="CV22" s="19">
        <f>'P&amp;L - Inputs'!DU404</f>
        <v>81438629.876830712</v>
      </c>
      <c r="CW22" s="19">
        <f>'P&amp;L - Inputs'!DV404</f>
        <v>71810832.486913174</v>
      </c>
      <c r="CX22" s="19">
        <f>'P&amp;L - Inputs'!DW404</f>
        <v>65902873.942417562</v>
      </c>
      <c r="CY22" s="19">
        <f>'P&amp;L - Inputs'!DX404</f>
        <v>83469423.148725078</v>
      </c>
      <c r="CZ22" s="19">
        <f>'P&amp;L - Inputs'!DY404</f>
        <v>75848164.824866965</v>
      </c>
      <c r="DA22" s="19">
        <f>'P&amp;L - Inputs'!DZ404</f>
        <v>91063194.556378394</v>
      </c>
      <c r="DB22" s="19">
        <f>'P&amp;L - Inputs'!EA404</f>
        <v>92997124.104533419</v>
      </c>
      <c r="DC22" s="19">
        <f>'P&amp;L - Inputs'!EB404</f>
        <v>85481070.507429391</v>
      </c>
      <c r="DD22" s="19">
        <f>'P&amp;L - Inputs'!EC404</f>
        <v>99280369.768112496</v>
      </c>
      <c r="DF22" s="19">
        <f t="shared" si="3"/>
        <v>69676718.500000343</v>
      </c>
      <c r="DG22" s="19">
        <f t="shared" si="4"/>
        <v>74569521.890000522</v>
      </c>
      <c r="DH22" s="19">
        <f t="shared" si="5"/>
        <v>69038191.590000078</v>
      </c>
      <c r="DI22" s="19">
        <f t="shared" si="6"/>
        <v>60102796.809999943</v>
      </c>
      <c r="DJ22" s="19">
        <f t="shared" si="7"/>
        <v>69060296.850000009</v>
      </c>
      <c r="DK22" s="19">
        <f t="shared" si="8"/>
        <v>74782260.599999875</v>
      </c>
      <c r="DL22" s="19">
        <f t="shared" si="9"/>
        <v>72850970.430000111</v>
      </c>
      <c r="DM22" s="19">
        <f t="shared" si="10"/>
        <v>106495307.2400842</v>
      </c>
      <c r="DN22" s="19">
        <f t="shared" si="11"/>
        <v>126980474.81000993</v>
      </c>
      <c r="DO22" s="19">
        <f t="shared" si="12"/>
        <v>122467712.59000032</v>
      </c>
      <c r="DP22" s="19">
        <f t="shared" si="13"/>
        <v>115105467.95999999</v>
      </c>
      <c r="DQ22" s="19">
        <f t="shared" si="14"/>
        <v>151064556.12000015</v>
      </c>
      <c r="DR22" s="19">
        <f t="shared" si="15"/>
        <v>167248260.78570202</v>
      </c>
      <c r="DS22" s="19">
        <f t="shared" si="16"/>
        <v>162168082.84936804</v>
      </c>
      <c r="DT22" s="19">
        <f t="shared" si="17"/>
        <v>187650720.492845</v>
      </c>
      <c r="DU22" s="19">
        <f t="shared" si="18"/>
        <v>211689984.64136702</v>
      </c>
      <c r="DV22" s="19">
        <f t="shared" si="19"/>
        <v>199238992.98175746</v>
      </c>
      <c r="DW22" s="19">
        <f t="shared" si="20"/>
        <v>192242214.86380011</v>
      </c>
      <c r="DX22" s="19">
        <f t="shared" si="21"/>
        <v>220037737.93672323</v>
      </c>
      <c r="DY22" s="19">
        <f t="shared" si="22"/>
        <v>244356828.34784988</v>
      </c>
      <c r="DZ22" s="19">
        <f t="shared" si="23"/>
        <v>227617463.35373053</v>
      </c>
      <c r="EA22" s="19">
        <f t="shared" si="24"/>
        <v>219152336.30616146</v>
      </c>
      <c r="EB22" s="19">
        <f t="shared" si="25"/>
        <v>250380782.52997044</v>
      </c>
      <c r="EC22" s="19">
        <f t="shared" si="26"/>
        <v>277758564.38007528</v>
      </c>
      <c r="EE22" s="19">
        <f>SUM(DF22:DI22)</f>
        <v>273387228.79000092</v>
      </c>
      <c r="EF22" s="19">
        <f>SUM(DJ22:DM22)</f>
        <v>323188835.12008417</v>
      </c>
      <c r="EG22" s="19">
        <f>SUM(DN22:DQ22)</f>
        <v>515618211.48001039</v>
      </c>
      <c r="EH22" s="19">
        <f>SUM(DR22:DU22)</f>
        <v>728757048.7692821</v>
      </c>
      <c r="EI22" s="19">
        <f>SUM(DV22:DY22)</f>
        <v>855875774.13013065</v>
      </c>
      <c r="EJ22" s="770">
        <f t="shared" si="27"/>
        <v>974909146.56993771</v>
      </c>
    </row>
    <row r="23" spans="2:140" x14ac:dyDescent="0.2">
      <c r="B23" s="167" t="s">
        <v>193</v>
      </c>
      <c r="C23" s="19">
        <f>'P&amp;L - Inputs'!AB405</f>
        <v>0</v>
      </c>
      <c r="D23" s="19">
        <f>'P&amp;L - Inputs'!AC405</f>
        <v>0</v>
      </c>
      <c r="E23" s="19">
        <f>'P&amp;L - Inputs'!AD405</f>
        <v>0</v>
      </c>
      <c r="F23" s="19">
        <f>'P&amp;L - Inputs'!AE405</f>
        <v>0</v>
      </c>
      <c r="G23" s="19">
        <f>'P&amp;L - Inputs'!AF405</f>
        <v>8120</v>
      </c>
      <c r="H23" s="19">
        <f>'P&amp;L - Inputs'!AG405</f>
        <v>52391</v>
      </c>
      <c r="I23" s="19">
        <f>'P&amp;L - Inputs'!AH405</f>
        <v>59146</v>
      </c>
      <c r="J23" s="19">
        <f>'P&amp;L - Inputs'!AI405</f>
        <v>179848</v>
      </c>
      <c r="K23" s="19">
        <f>'P&amp;L - Inputs'!AJ405</f>
        <v>139423</v>
      </c>
      <c r="L23" s="19">
        <f>'P&amp;L - Inputs'!AK405</f>
        <v>127463</v>
      </c>
      <c r="M23" s="19">
        <f>'P&amp;L - Inputs'!AL405</f>
        <v>226622</v>
      </c>
      <c r="N23" s="19">
        <f>'P&amp;L - Inputs'!AM405</f>
        <v>0</v>
      </c>
      <c r="O23" s="19">
        <f>'P&amp;L - Inputs'!AN405</f>
        <v>74450</v>
      </c>
      <c r="P23" s="19">
        <f>'P&amp;L - Inputs'!AO405</f>
        <v>156975</v>
      </c>
      <c r="Q23" s="19">
        <f>'P&amp;L - Inputs'!AP405</f>
        <v>386617</v>
      </c>
      <c r="R23" s="19">
        <f>'P&amp;L - Inputs'!AQ405</f>
        <v>991822</v>
      </c>
      <c r="S23" s="19">
        <f>'P&amp;L - Inputs'!AR405</f>
        <v>421427</v>
      </c>
      <c r="T23" s="19">
        <f>'P&amp;L - Inputs'!AS405</f>
        <v>877619</v>
      </c>
      <c r="U23" s="19">
        <f>'P&amp;L - Inputs'!AT405</f>
        <v>1320796</v>
      </c>
      <c r="V23" s="19">
        <f>'P&amp;L - Inputs'!AU405</f>
        <v>1013051</v>
      </c>
      <c r="W23" s="19">
        <f>'P&amp;L - Inputs'!AV405</f>
        <v>967128</v>
      </c>
      <c r="X23" s="19">
        <f>'P&amp;L - Inputs'!AW405</f>
        <v>1082680</v>
      </c>
      <c r="Y23" s="19">
        <f>'P&amp;L - Inputs'!AX405</f>
        <v>947319.27</v>
      </c>
      <c r="Z23" s="19">
        <f>'P&amp;L - Inputs'!AY405</f>
        <v>493018.72</v>
      </c>
      <c r="AA23" s="19">
        <f>'P&amp;L - Inputs'!AZ405</f>
        <v>676111</v>
      </c>
      <c r="AB23" s="19">
        <f>'P&amp;L - Inputs'!BA405</f>
        <v>0</v>
      </c>
      <c r="AC23" s="19">
        <f>'P&amp;L - Inputs'!BB405</f>
        <v>0</v>
      </c>
      <c r="AD23" s="19">
        <f>'P&amp;L - Inputs'!BC405</f>
        <v>0</v>
      </c>
      <c r="AE23" s="19">
        <f>'P&amp;L - Inputs'!BD405</f>
        <v>0</v>
      </c>
      <c r="AF23" s="19">
        <f>'P&amp;L - Inputs'!BE405</f>
        <v>55209</v>
      </c>
      <c r="AG23" s="19">
        <f>'P&amp;L - Inputs'!BF405</f>
        <v>133547</v>
      </c>
      <c r="AH23" s="19">
        <f>'P&amp;L - Inputs'!BG405</f>
        <v>0</v>
      </c>
      <c r="AI23" s="19">
        <f>'P&amp;L - Inputs'!BH405</f>
        <v>62498</v>
      </c>
      <c r="AJ23" s="19">
        <f>'P&amp;L - Inputs'!BI405</f>
        <v>61138</v>
      </c>
      <c r="AK23" s="19">
        <f>'P&amp;L - Inputs'!BJ405</f>
        <v>86913</v>
      </c>
      <c r="AL23" s="19">
        <f>'P&amp;L - Inputs'!BK405</f>
        <v>47433</v>
      </c>
      <c r="AM23" s="19">
        <f>'P&amp;L - Inputs'!BL405</f>
        <v>24514</v>
      </c>
      <c r="AN23" s="19">
        <f>'P&amp;L - Inputs'!BM405</f>
        <v>162752</v>
      </c>
      <c r="AO23" s="19">
        <f>'P&amp;L - Inputs'!BN405</f>
        <v>0</v>
      </c>
      <c r="AP23" s="19">
        <f>'P&amp;L - Inputs'!BO405</f>
        <v>57846</v>
      </c>
      <c r="AQ23" s="19">
        <f>'P&amp;L - Inputs'!BP405</f>
        <v>520416</v>
      </c>
      <c r="AR23" s="19">
        <f>'P&amp;L - Inputs'!BQ405</f>
        <v>138027</v>
      </c>
      <c r="AS23" s="19">
        <f>'P&amp;L - Inputs'!BR405</f>
        <v>961713</v>
      </c>
      <c r="AT23" s="19">
        <f>'P&amp;L - Inputs'!BS405</f>
        <v>585967</v>
      </c>
      <c r="AU23" s="19">
        <f>'P&amp;L - Inputs'!BT405</f>
        <v>146144</v>
      </c>
      <c r="AV23" s="19">
        <f>'P&amp;L - Inputs'!BU405</f>
        <v>1309252</v>
      </c>
      <c r="AW23" s="19">
        <f>'P&amp;L - Inputs'!BV405</f>
        <v>464052</v>
      </c>
      <c r="AX23" s="19">
        <f>'P&amp;L - Inputs'!BW405</f>
        <v>101314</v>
      </c>
      <c r="AY23" s="19">
        <f>'P&amp;L - Inputs'!BX405</f>
        <v>41595</v>
      </c>
      <c r="AZ23" s="19">
        <f>'P&amp;L - Inputs'!BY405</f>
        <v>1221894</v>
      </c>
      <c r="BA23" s="19">
        <f>'P&amp;L - Inputs'!BZ405</f>
        <v>99912</v>
      </c>
      <c r="BB23" s="19">
        <f>'P&amp;L - Inputs'!CA405</f>
        <v>95516</v>
      </c>
      <c r="BC23" s="19">
        <f>'P&amp;L - Inputs'!CB405</f>
        <v>585967</v>
      </c>
      <c r="BD23" s="19">
        <f>'P&amp;L - Inputs'!CC405</f>
        <v>447792</v>
      </c>
      <c r="BE23" s="19">
        <f>'P&amp;L - Inputs'!CD405</f>
        <v>341142</v>
      </c>
      <c r="BF23" s="19">
        <f>'P&amp;L - Inputs'!CE405</f>
        <v>730343</v>
      </c>
      <c r="BG23" s="19">
        <f>'P&amp;L - Inputs'!CF405</f>
        <v>3989808</v>
      </c>
      <c r="BH23" s="19">
        <f>'P&amp;L - Inputs'!CG405</f>
        <v>73498</v>
      </c>
      <c r="BI23" s="19">
        <f>'P&amp;L - Inputs'!CH405</f>
        <v>981183</v>
      </c>
      <c r="BJ23" s="19">
        <f>'P&amp;L - Inputs'!CI405</f>
        <v>168761</v>
      </c>
      <c r="BK23" s="19">
        <f>'P&amp;L - Inputs'!CJ405</f>
        <v>159789</v>
      </c>
      <c r="BL23" s="19">
        <f>'P&amp;L - Inputs'!CK405</f>
        <v>83144</v>
      </c>
      <c r="BM23" s="19">
        <f>'P&amp;L - Inputs'!CL405</f>
        <v>84608</v>
      </c>
      <c r="BN23" s="19">
        <f>'P&amp;L - Inputs'!CM405</f>
        <v>2881342</v>
      </c>
      <c r="BO23" s="19">
        <f>'P&amp;L - Inputs'!CN405</f>
        <v>98123</v>
      </c>
      <c r="BP23" s="19">
        <f>'P&amp;L - Inputs'!CO405</f>
        <v>29238</v>
      </c>
      <c r="BQ23" s="19">
        <f>'P&amp;L - Inputs'!CP405</f>
        <v>1186349</v>
      </c>
      <c r="BR23" s="19">
        <f>'P&amp;L - Inputs'!CQ405</f>
        <v>16106</v>
      </c>
      <c r="BS23" s="19">
        <f>'P&amp;L - Inputs'!CR405</f>
        <v>0</v>
      </c>
      <c r="BT23" s="19">
        <f>'P&amp;L - Inputs'!CS405</f>
        <v>105455</v>
      </c>
      <c r="BU23" s="19">
        <f>'P&amp;L - Inputs'!CT405</f>
        <v>2661933.747521481</v>
      </c>
      <c r="BV23" s="19">
        <f>'P&amp;L - Inputs'!CU405</f>
        <v>2600332.2996437135</v>
      </c>
      <c r="BW23" s="19">
        <f>'P&amp;L - Inputs'!CV405</f>
        <v>2591624.4267450627</v>
      </c>
      <c r="BX23" s="19">
        <f>'P&amp;L - Inputs'!CW405</f>
        <v>2823414.7513680398</v>
      </c>
      <c r="BY23" s="19">
        <f>'P&amp;L - Inputs'!CX405</f>
        <v>2495242.108866048</v>
      </c>
      <c r="BZ23" s="19">
        <f>'P&amp;L - Inputs'!CY405</f>
        <v>2296671.1263145455</v>
      </c>
      <c r="CA23" s="19">
        <f>'P&amp;L - Inputs'!CZ405</f>
        <v>2922451.2914107819</v>
      </c>
      <c r="CB23" s="19">
        <f>'P&amp;L - Inputs'!DA405</f>
        <v>2669699.8912572474</v>
      </c>
      <c r="CC23" s="19">
        <f>'P&amp;L - Inputs'!DB405</f>
        <v>3219828.0820344049</v>
      </c>
      <c r="CD23" s="19">
        <f>'P&amp;L - Inputs'!DC405</f>
        <v>3303013.2841467261</v>
      </c>
      <c r="CE23" s="19">
        <f>'P&amp;L - Inputs'!DD405</f>
        <v>3051461.9406106947</v>
      </c>
      <c r="CF23" s="19">
        <f>'P&amp;L - Inputs'!DE405</f>
        <v>3586375.2569545805</v>
      </c>
      <c r="CG23" s="19">
        <f>'P&amp;L - Inputs'!DF405</f>
        <v>3170832.846312352</v>
      </c>
      <c r="CH23" s="19">
        <f>'P&amp;L - Inputs'!DG405</f>
        <v>3105771.89038696</v>
      </c>
      <c r="CI23" s="19">
        <f>'P&amp;L - Inputs'!DH405</f>
        <v>3079553.7169655841</v>
      </c>
      <c r="CJ23" s="19">
        <f>'P&amp;L - Inputs'!DI405</f>
        <v>3351796.654838345</v>
      </c>
      <c r="CK23" s="19">
        <f>'P&amp;L - Inputs'!DJ405</f>
        <v>2958069.2742202352</v>
      </c>
      <c r="CL23" s="19">
        <f>'P&amp;L - Inputs'!DK405</f>
        <v>2717727.4994722125</v>
      </c>
      <c r="CM23" s="19">
        <f>'P&amp;L - Inputs'!DL405</f>
        <v>3443084.8384042382</v>
      </c>
      <c r="CN23" s="19">
        <f>'P&amp;L - Inputs'!DM405</f>
        <v>3130404.9114022241</v>
      </c>
      <c r="CO23" s="19">
        <f>'P&amp;L - Inputs'!DN405</f>
        <v>3759366.8417266565</v>
      </c>
      <c r="CP23" s="19">
        <f>'P&amp;L - Inputs'!DO405</f>
        <v>3840227.5136947292</v>
      </c>
      <c r="CQ23" s="19">
        <f>'P&amp;L - Inputs'!DP405</f>
        <v>3531720.4392181723</v>
      </c>
      <c r="CR23" s="19">
        <f>'P&amp;L - Inputs'!DQ405</f>
        <v>4102920.3499338594</v>
      </c>
      <c r="CS23" s="19">
        <f>'P&amp;L - Inputs'!DR405</f>
        <v>3625318.8876171219</v>
      </c>
      <c r="CT23" s="19">
        <f>'P&amp;L - Inputs'!DS405</f>
        <v>3547747.1209420273</v>
      </c>
      <c r="CU23" s="19">
        <f>'P&amp;L - Inputs'!DT405</f>
        <v>3515730.5070594363</v>
      </c>
      <c r="CV23" s="19">
        <f>'P&amp;L - Inputs'!DU405</f>
        <v>3824315.2807280105</v>
      </c>
      <c r="CW23" s="19">
        <f>'P&amp;L - Inputs'!DV405</f>
        <v>3372198.9726110678</v>
      </c>
      <c r="CX23" s="19">
        <f>'P&amp;L - Inputs'!DW405</f>
        <v>3094764.3427088507</v>
      </c>
      <c r="CY23" s="19">
        <f>'P&amp;L - Inputs'!DX405</f>
        <v>3919680.2660359833</v>
      </c>
      <c r="CZ23" s="19">
        <f>'P&amp;L - Inputs'!DY405</f>
        <v>3561789.9784613112</v>
      </c>
      <c r="DA23" s="19">
        <f>'P&amp;L - Inputs'!DZ405</f>
        <v>4276279.7824640721</v>
      </c>
      <c r="DB23" s="19">
        <f>'P&amp;L - Inputs'!EA405</f>
        <v>4367096.0981860645</v>
      </c>
      <c r="DC23" s="19">
        <f>'P&amp;L - Inputs'!EB405</f>
        <v>4014146.1693175626</v>
      </c>
      <c r="DD23" s="19">
        <f>'P&amp;L - Inputs'!EC405</f>
        <v>4662154.0140686817</v>
      </c>
      <c r="DF23" s="19">
        <f t="shared" si="3"/>
        <v>158860</v>
      </c>
      <c r="DG23" s="19">
        <f t="shared" si="4"/>
        <v>220598</v>
      </c>
      <c r="DH23" s="19">
        <f t="shared" si="5"/>
        <v>1620156</v>
      </c>
      <c r="DI23" s="19">
        <f t="shared" si="6"/>
        <v>2041363</v>
      </c>
      <c r="DJ23" s="19">
        <f t="shared" si="7"/>
        <v>606961</v>
      </c>
      <c r="DK23" s="19">
        <f t="shared" si="8"/>
        <v>1417322</v>
      </c>
      <c r="DL23" s="19">
        <f t="shared" si="9"/>
        <v>1374901</v>
      </c>
      <c r="DM23" s="19">
        <f t="shared" si="10"/>
        <v>4793649</v>
      </c>
      <c r="DN23" s="19">
        <f t="shared" si="11"/>
        <v>1309733</v>
      </c>
      <c r="DO23" s="19">
        <f t="shared" si="12"/>
        <v>3049094</v>
      </c>
      <c r="DP23" s="19">
        <f t="shared" si="13"/>
        <v>1313710</v>
      </c>
      <c r="DQ23" s="19">
        <f t="shared" si="14"/>
        <v>121561</v>
      </c>
      <c r="DR23" s="19">
        <f t="shared" si="15"/>
        <v>7853890.4739102572</v>
      </c>
      <c r="DS23" s="19">
        <f t="shared" si="16"/>
        <v>7615327.9865486324</v>
      </c>
      <c r="DT23" s="19">
        <f t="shared" si="17"/>
        <v>8811979.2647024337</v>
      </c>
      <c r="DU23" s="19">
        <f t="shared" si="18"/>
        <v>9940850.4817120023</v>
      </c>
      <c r="DV23" s="19">
        <f t="shared" si="19"/>
        <v>9356158.4536648951</v>
      </c>
      <c r="DW23" s="19">
        <f t="shared" si="20"/>
        <v>9027593.4285307918</v>
      </c>
      <c r="DX23" s="19">
        <f t="shared" si="21"/>
        <v>10332856.591533119</v>
      </c>
      <c r="DY23" s="19">
        <f t="shared" si="22"/>
        <v>11474868.302846761</v>
      </c>
      <c r="DZ23" s="19">
        <f t="shared" si="23"/>
        <v>10688796.515618585</v>
      </c>
      <c r="EA23" s="19">
        <f t="shared" si="24"/>
        <v>10291278.596047929</v>
      </c>
      <c r="EB23" s="19">
        <f t="shared" si="25"/>
        <v>11757750.026961368</v>
      </c>
      <c r="EC23" s="19">
        <f t="shared" si="26"/>
        <v>13043396.281572308</v>
      </c>
      <c r="EE23" s="19">
        <f>SUM(DF23:DI23)</f>
        <v>4040977</v>
      </c>
      <c r="EF23" s="19">
        <f>SUM(DJ23:DM23)</f>
        <v>8192833</v>
      </c>
      <c r="EG23" s="19">
        <f>SUM(DN23:DQ23)</f>
        <v>5794098</v>
      </c>
      <c r="EH23" s="19">
        <f>SUM(DR23:DU23)</f>
        <v>34222048.206873327</v>
      </c>
      <c r="EI23" s="19">
        <f>SUM(DV23:DY23)</f>
        <v>40191476.776575565</v>
      </c>
      <c r="EJ23" s="770">
        <f t="shared" si="27"/>
        <v>45781221.420200191</v>
      </c>
    </row>
    <row r="24" spans="2:140" x14ac:dyDescent="0.2">
      <c r="B24" s="167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E24" s="10"/>
      <c r="EF24" s="10"/>
      <c r="EG24" s="10"/>
      <c r="EH24" s="10"/>
      <c r="EI24" s="10"/>
      <c r="EJ24" s="812"/>
    </row>
    <row r="25" spans="2:140" x14ac:dyDescent="0.2">
      <c r="B25" s="176" t="s">
        <v>5</v>
      </c>
      <c r="C25" s="169">
        <f>SUM(C26:C27)</f>
        <v>4</v>
      </c>
      <c r="D25" s="169">
        <f t="shared" ref="D25:BO25" si="34">SUM(D26:D27)</f>
        <v>4</v>
      </c>
      <c r="E25" s="169">
        <f t="shared" si="34"/>
        <v>73</v>
      </c>
      <c r="F25" s="169">
        <f t="shared" si="34"/>
        <v>156</v>
      </c>
      <c r="G25" s="169">
        <f t="shared" si="34"/>
        <v>97</v>
      </c>
      <c r="H25" s="169">
        <f t="shared" si="34"/>
        <v>99</v>
      </c>
      <c r="I25" s="169">
        <f t="shared" si="34"/>
        <v>116</v>
      </c>
      <c r="J25" s="169">
        <f t="shared" si="34"/>
        <v>131</v>
      </c>
      <c r="K25" s="169">
        <f t="shared" si="34"/>
        <v>255</v>
      </c>
      <c r="L25" s="169">
        <f t="shared" si="34"/>
        <v>175</v>
      </c>
      <c r="M25" s="169">
        <f t="shared" si="34"/>
        <v>184</v>
      </c>
      <c r="N25" s="169">
        <f t="shared" si="34"/>
        <v>4</v>
      </c>
      <c r="O25" s="169">
        <f t="shared" si="34"/>
        <v>156</v>
      </c>
      <c r="P25" s="169">
        <f t="shared" si="34"/>
        <v>207</v>
      </c>
      <c r="Q25" s="169">
        <f t="shared" si="34"/>
        <v>270</v>
      </c>
      <c r="R25" s="169">
        <f t="shared" si="34"/>
        <v>386</v>
      </c>
      <c r="S25" s="169">
        <f t="shared" si="34"/>
        <v>356</v>
      </c>
      <c r="T25" s="169">
        <f t="shared" si="34"/>
        <v>642</v>
      </c>
      <c r="U25" s="169">
        <f t="shared" si="34"/>
        <v>851</v>
      </c>
      <c r="V25" s="169">
        <f t="shared" si="34"/>
        <v>875</v>
      </c>
      <c r="W25" s="169">
        <f t="shared" si="34"/>
        <v>880</v>
      </c>
      <c r="X25" s="169">
        <f t="shared" si="34"/>
        <v>876</v>
      </c>
      <c r="Y25" s="169">
        <f t="shared" si="34"/>
        <v>703</v>
      </c>
      <c r="Z25" s="169">
        <f t="shared" si="34"/>
        <v>819</v>
      </c>
      <c r="AA25" s="169">
        <f t="shared" si="34"/>
        <v>887</v>
      </c>
      <c r="AB25" s="169">
        <f t="shared" si="34"/>
        <v>646</v>
      </c>
      <c r="AC25" s="169">
        <f t="shared" si="34"/>
        <v>590</v>
      </c>
      <c r="AD25" s="169">
        <f t="shared" si="34"/>
        <v>545</v>
      </c>
      <c r="AE25" s="169">
        <f t="shared" si="34"/>
        <v>534</v>
      </c>
      <c r="AF25" s="169">
        <f t="shared" si="34"/>
        <v>438</v>
      </c>
      <c r="AG25" s="169">
        <f t="shared" si="34"/>
        <v>592</v>
      </c>
      <c r="AH25" s="169">
        <f t="shared" si="34"/>
        <v>529</v>
      </c>
      <c r="AI25" s="169">
        <f t="shared" si="34"/>
        <v>546</v>
      </c>
      <c r="AJ25" s="169">
        <f t="shared" si="34"/>
        <v>721</v>
      </c>
      <c r="AK25" s="169">
        <f t="shared" si="34"/>
        <v>816</v>
      </c>
      <c r="AL25" s="169">
        <f t="shared" si="34"/>
        <v>899</v>
      </c>
      <c r="AM25" s="169">
        <f t="shared" si="34"/>
        <v>1006</v>
      </c>
      <c r="AN25" s="169">
        <f t="shared" si="34"/>
        <v>1008</v>
      </c>
      <c r="AO25" s="169">
        <f t="shared" si="34"/>
        <v>1012</v>
      </c>
      <c r="AP25" s="169">
        <f t="shared" si="34"/>
        <v>993</v>
      </c>
      <c r="AQ25" s="169">
        <f t="shared" si="34"/>
        <v>1106</v>
      </c>
      <c r="AR25" s="169">
        <f t="shared" si="34"/>
        <v>865</v>
      </c>
      <c r="AS25" s="169">
        <f t="shared" si="34"/>
        <v>832</v>
      </c>
      <c r="AT25" s="169">
        <f t="shared" si="34"/>
        <v>753</v>
      </c>
      <c r="AU25" s="169">
        <f t="shared" si="34"/>
        <v>739</v>
      </c>
      <c r="AV25" s="169">
        <f t="shared" si="34"/>
        <v>933</v>
      </c>
      <c r="AW25" s="169">
        <f t="shared" si="34"/>
        <v>919</v>
      </c>
      <c r="AX25" s="169">
        <f t="shared" si="34"/>
        <v>887</v>
      </c>
      <c r="AY25" s="169">
        <f t="shared" si="34"/>
        <v>876</v>
      </c>
      <c r="AZ25" s="169">
        <f t="shared" si="34"/>
        <v>1074</v>
      </c>
      <c r="BA25" s="169">
        <f t="shared" si="34"/>
        <v>861</v>
      </c>
      <c r="BB25" s="169">
        <f t="shared" si="34"/>
        <v>925</v>
      </c>
      <c r="BC25" s="169">
        <f t="shared" si="34"/>
        <v>726</v>
      </c>
      <c r="BD25" s="169">
        <f t="shared" si="34"/>
        <v>859</v>
      </c>
      <c r="BE25" s="169">
        <f t="shared" si="34"/>
        <v>991</v>
      </c>
      <c r="BF25" s="169">
        <f t="shared" si="34"/>
        <v>1172</v>
      </c>
      <c r="BG25" s="169">
        <f t="shared" si="34"/>
        <v>1164</v>
      </c>
      <c r="BH25" s="169">
        <f t="shared" si="34"/>
        <v>1227</v>
      </c>
      <c r="BI25" s="169">
        <f t="shared" si="34"/>
        <v>1315</v>
      </c>
      <c r="BJ25" s="169">
        <f t="shared" si="34"/>
        <v>1411</v>
      </c>
      <c r="BK25" s="169">
        <f t="shared" si="34"/>
        <v>1249</v>
      </c>
      <c r="BL25" s="169">
        <f t="shared" si="34"/>
        <v>1428</v>
      </c>
      <c r="BM25" s="169">
        <f t="shared" si="34"/>
        <v>1207</v>
      </c>
      <c r="BN25" s="169">
        <f t="shared" si="34"/>
        <v>1239</v>
      </c>
      <c r="BO25" s="169">
        <f t="shared" si="34"/>
        <v>1097</v>
      </c>
      <c r="BP25" s="169">
        <f t="shared" ref="BP25:CR25" si="35">SUM(BP26:BP27)</f>
        <v>1109</v>
      </c>
      <c r="BQ25" s="169">
        <f t="shared" si="35"/>
        <v>1205</v>
      </c>
      <c r="BR25" s="169">
        <f t="shared" si="35"/>
        <v>1429</v>
      </c>
      <c r="BS25" s="169">
        <f t="shared" si="35"/>
        <v>1319</v>
      </c>
      <c r="BT25" s="169">
        <f t="shared" si="35"/>
        <v>1446</v>
      </c>
      <c r="BU25" s="169">
        <f t="shared" si="35"/>
        <v>1569.1135056323556</v>
      </c>
      <c r="BV25" s="169">
        <f t="shared" si="35"/>
        <v>1532.8016838518506</v>
      </c>
      <c r="BW25" s="169">
        <f t="shared" si="35"/>
        <v>1527.6687082534438</v>
      </c>
      <c r="BX25" s="169">
        <f t="shared" si="35"/>
        <v>1664.3007071450268</v>
      </c>
      <c r="BY25" s="169">
        <f t="shared" si="35"/>
        <v>1470.8548236746385</v>
      </c>
      <c r="BZ25" s="169">
        <f t="shared" si="35"/>
        <v>1353.8044234389597</v>
      </c>
      <c r="CA25" s="169">
        <f t="shared" si="35"/>
        <v>1722.6791595301991</v>
      </c>
      <c r="CB25" s="169">
        <f t="shared" si="35"/>
        <v>1573.6913660069126</v>
      </c>
      <c r="CC25" s="169">
        <f t="shared" si="35"/>
        <v>1897.9720040134996</v>
      </c>
      <c r="CD25" s="169">
        <f t="shared" si="35"/>
        <v>1947.0066669628441</v>
      </c>
      <c r="CE25" s="169">
        <f t="shared" si="35"/>
        <v>1798.7262633390244</v>
      </c>
      <c r="CF25" s="169">
        <f t="shared" si="35"/>
        <v>2114.0382840830766</v>
      </c>
      <c r="CG25" s="169">
        <f t="shared" si="35"/>
        <v>1869.0910875914826</v>
      </c>
      <c r="CH25" s="169">
        <f t="shared" si="35"/>
        <v>1830.740011150554</v>
      </c>
      <c r="CI25" s="169">
        <f t="shared" si="35"/>
        <v>1815.2853477702963</v>
      </c>
      <c r="CJ25" s="169">
        <f t="shared" si="35"/>
        <v>1975.762696625025</v>
      </c>
      <c r="CK25" s="169">
        <f t="shared" si="35"/>
        <v>1743.6746700013864</v>
      </c>
      <c r="CL25" s="169">
        <f t="shared" si="35"/>
        <v>1602.0019010694361</v>
      </c>
      <c r="CM25" s="169">
        <f t="shared" si="35"/>
        <v>2029.5737735803627</v>
      </c>
      <c r="CN25" s="169">
        <f t="shared" si="35"/>
        <v>1845.2602846154991</v>
      </c>
      <c r="CO25" s="169">
        <f t="shared" si="35"/>
        <v>2216.010556037384</v>
      </c>
      <c r="CP25" s="169">
        <f t="shared" si="35"/>
        <v>2263.6749926815141</v>
      </c>
      <c r="CQ25" s="169">
        <f t="shared" si="35"/>
        <v>2081.8212491031777</v>
      </c>
      <c r="CR25" s="169">
        <f t="shared" si="35"/>
        <v>2418.5229026114598</v>
      </c>
      <c r="CS25" s="169">
        <f t="shared" ref="CS25:DD25" si="36">SUM(CS26:CS27)</f>
        <v>2136.9941434795951</v>
      </c>
      <c r="CT25" s="169">
        <f t="shared" si="36"/>
        <v>2091.2683973527487</v>
      </c>
      <c r="CU25" s="169">
        <f t="shared" si="36"/>
        <v>2072.3957633908531</v>
      </c>
      <c r="CV25" s="169">
        <f t="shared" si="36"/>
        <v>2254.2953078279397</v>
      </c>
      <c r="CW25" s="169">
        <f t="shared" si="36"/>
        <v>1987.7891238015809</v>
      </c>
      <c r="CX25" s="169">
        <f t="shared" si="36"/>
        <v>1824.2514605839988</v>
      </c>
      <c r="CY25" s="169">
        <f t="shared" si="36"/>
        <v>2310.5095117128026</v>
      </c>
      <c r="CZ25" s="169">
        <f t="shared" si="36"/>
        <v>2099.5461531051956</v>
      </c>
      <c r="DA25" s="169">
        <f t="shared" si="36"/>
        <v>2520.7120074925242</v>
      </c>
      <c r="DB25" s="169">
        <f t="shared" si="36"/>
        <v>2574.2449354490641</v>
      </c>
      <c r="DC25" s="169">
        <f t="shared" si="36"/>
        <v>2366.193739315725</v>
      </c>
      <c r="DD25" s="169">
        <f t="shared" si="36"/>
        <v>2748.1708872824743</v>
      </c>
      <c r="DF25" s="169">
        <f t="shared" si="3"/>
        <v>2721</v>
      </c>
      <c r="DG25" s="169">
        <f t="shared" si="4"/>
        <v>3013</v>
      </c>
      <c r="DH25" s="169">
        <f t="shared" si="5"/>
        <v>2803</v>
      </c>
      <c r="DI25" s="169">
        <f t="shared" si="6"/>
        <v>2425</v>
      </c>
      <c r="DJ25" s="169">
        <f t="shared" si="7"/>
        <v>2682</v>
      </c>
      <c r="DK25" s="169">
        <f t="shared" si="8"/>
        <v>2860</v>
      </c>
      <c r="DL25" s="169">
        <f t="shared" si="9"/>
        <v>2576</v>
      </c>
      <c r="DM25" s="169">
        <f t="shared" si="10"/>
        <v>3563</v>
      </c>
      <c r="DN25" s="169">
        <f t="shared" si="11"/>
        <v>3975</v>
      </c>
      <c r="DO25" s="169">
        <f t="shared" si="12"/>
        <v>3874</v>
      </c>
      <c r="DP25" s="169">
        <f t="shared" si="13"/>
        <v>3411</v>
      </c>
      <c r="DQ25" s="169">
        <f t="shared" si="14"/>
        <v>4194</v>
      </c>
      <c r="DR25" s="169">
        <f t="shared" si="15"/>
        <v>4629.5838977376497</v>
      </c>
      <c r="DS25" s="169">
        <f t="shared" si="16"/>
        <v>4488.9599542586247</v>
      </c>
      <c r="DT25" s="169">
        <f t="shared" si="17"/>
        <v>5194.3425295506113</v>
      </c>
      <c r="DU25" s="169">
        <f t="shared" si="18"/>
        <v>5859.7712143849458</v>
      </c>
      <c r="DV25" s="169">
        <f t="shared" si="19"/>
        <v>5515.1164465123329</v>
      </c>
      <c r="DW25" s="169">
        <f t="shared" si="20"/>
        <v>5321.4392676958478</v>
      </c>
      <c r="DX25" s="169">
        <f t="shared" si="21"/>
        <v>6090.8446142332459</v>
      </c>
      <c r="DY25" s="169">
        <f t="shared" si="22"/>
        <v>6764.0191443961521</v>
      </c>
      <c r="DZ25" s="169">
        <f t="shared" si="23"/>
        <v>6300.6583042231969</v>
      </c>
      <c r="EA25" s="169">
        <f t="shared" si="24"/>
        <v>6066.3358922135194</v>
      </c>
      <c r="EB25" s="169">
        <f t="shared" si="25"/>
        <v>6930.7676723105224</v>
      </c>
      <c r="EC25" s="169">
        <f t="shared" si="26"/>
        <v>7688.6095620472643</v>
      </c>
      <c r="EE25" s="169">
        <f>SUM(DF25:DI25)</f>
        <v>10962</v>
      </c>
      <c r="EF25" s="169">
        <f>SUM(DJ25:DM25)</f>
        <v>11681</v>
      </c>
      <c r="EG25" s="169">
        <f>SUM(DN25:DQ25)</f>
        <v>15454</v>
      </c>
      <c r="EH25" s="169">
        <f>SUM(DR25:DU25)</f>
        <v>20172.657595931829</v>
      </c>
      <c r="EI25" s="169">
        <f>SUM(DV25:DY25)</f>
        <v>23691.419472837581</v>
      </c>
      <c r="EJ25" s="813">
        <f t="shared" si="27"/>
        <v>26986.371430794505</v>
      </c>
    </row>
    <row r="26" spans="2:140" x14ac:dyDescent="0.2">
      <c r="B26" s="167" t="s">
        <v>192</v>
      </c>
      <c r="C26" s="19">
        <f>'P&amp;L - Inputs'!AB408</f>
        <v>4</v>
      </c>
      <c r="D26" s="19">
        <f>'P&amp;L - Inputs'!AC408</f>
        <v>4</v>
      </c>
      <c r="E26" s="19">
        <f>'P&amp;L - Inputs'!AD408</f>
        <v>73</v>
      </c>
      <c r="F26" s="19">
        <f>'P&amp;L - Inputs'!AE408</f>
        <v>156</v>
      </c>
      <c r="G26" s="19">
        <f>'P&amp;L - Inputs'!AF408</f>
        <v>96</v>
      </c>
      <c r="H26" s="19">
        <f>'P&amp;L - Inputs'!AG408</f>
        <v>94</v>
      </c>
      <c r="I26" s="19">
        <f>'P&amp;L - Inputs'!AH408</f>
        <v>111</v>
      </c>
      <c r="J26" s="19">
        <f>'P&amp;L - Inputs'!AI408</f>
        <v>121</v>
      </c>
      <c r="K26" s="19">
        <f>'P&amp;L - Inputs'!AJ408</f>
        <v>243</v>
      </c>
      <c r="L26" s="19">
        <f>'P&amp;L - Inputs'!AK408</f>
        <v>165</v>
      </c>
      <c r="M26" s="19">
        <f>'P&amp;L - Inputs'!AL408</f>
        <v>178</v>
      </c>
      <c r="N26" s="19">
        <f>'P&amp;L - Inputs'!AM408</f>
        <v>4</v>
      </c>
      <c r="O26" s="19">
        <f>'P&amp;L - Inputs'!AN408</f>
        <v>152</v>
      </c>
      <c r="P26" s="19">
        <f>'P&amp;L - Inputs'!AO408</f>
        <v>196</v>
      </c>
      <c r="Q26" s="19">
        <f>'P&amp;L - Inputs'!AP408</f>
        <v>249</v>
      </c>
      <c r="R26" s="19">
        <f>'P&amp;L - Inputs'!AQ408</f>
        <v>309</v>
      </c>
      <c r="S26" s="19">
        <f>'P&amp;L - Inputs'!AR408</f>
        <v>327</v>
      </c>
      <c r="T26" s="19">
        <f>'P&amp;L - Inputs'!AS408</f>
        <v>579</v>
      </c>
      <c r="U26" s="19">
        <f>'P&amp;L - Inputs'!AT408</f>
        <v>727</v>
      </c>
      <c r="V26" s="19">
        <f>'P&amp;L - Inputs'!AU408</f>
        <v>811</v>
      </c>
      <c r="W26" s="19">
        <f>'P&amp;L - Inputs'!AV408</f>
        <v>785</v>
      </c>
      <c r="X26" s="19">
        <f>'P&amp;L - Inputs'!AW408</f>
        <v>806</v>
      </c>
      <c r="Y26" s="19">
        <f>'P&amp;L - Inputs'!AX408</f>
        <v>613</v>
      </c>
      <c r="Z26" s="19">
        <f>'P&amp;L - Inputs'!AY408</f>
        <v>779</v>
      </c>
      <c r="AA26" s="19">
        <f>'P&amp;L - Inputs'!AZ408</f>
        <v>831</v>
      </c>
      <c r="AB26" s="19">
        <f>'P&amp;L - Inputs'!BA408</f>
        <v>646</v>
      </c>
      <c r="AC26" s="19">
        <f>'P&amp;L - Inputs'!BB408</f>
        <v>590</v>
      </c>
      <c r="AD26" s="19">
        <f>'P&amp;L - Inputs'!BC408</f>
        <v>545</v>
      </c>
      <c r="AE26" s="19">
        <f>'P&amp;L - Inputs'!BD408</f>
        <v>534</v>
      </c>
      <c r="AF26" s="19">
        <f>'P&amp;L - Inputs'!BE408</f>
        <v>436</v>
      </c>
      <c r="AG26" s="19">
        <f>'P&amp;L - Inputs'!BF408</f>
        <v>580</v>
      </c>
      <c r="AH26" s="19">
        <f>'P&amp;L - Inputs'!BG408</f>
        <v>529</v>
      </c>
      <c r="AI26" s="19">
        <f>'P&amp;L - Inputs'!BH408</f>
        <v>544</v>
      </c>
      <c r="AJ26" s="19">
        <f>'P&amp;L - Inputs'!BI408</f>
        <v>715</v>
      </c>
      <c r="AK26" s="19">
        <f>'P&amp;L - Inputs'!BJ408</f>
        <v>812</v>
      </c>
      <c r="AL26" s="19">
        <f>'P&amp;L - Inputs'!BK408</f>
        <v>897</v>
      </c>
      <c r="AM26" s="19">
        <f>'P&amp;L - Inputs'!BL408</f>
        <v>1005</v>
      </c>
      <c r="AN26" s="19">
        <f>'P&amp;L - Inputs'!BM408</f>
        <v>1000</v>
      </c>
      <c r="AO26" s="19">
        <f>'P&amp;L - Inputs'!BN408</f>
        <v>1012</v>
      </c>
      <c r="AP26" s="19">
        <f>'P&amp;L - Inputs'!BO408</f>
        <v>989</v>
      </c>
      <c r="AQ26" s="19">
        <f>'P&amp;L - Inputs'!BP408</f>
        <v>1043</v>
      </c>
      <c r="AR26" s="19">
        <f>'P&amp;L - Inputs'!BQ408</f>
        <v>859</v>
      </c>
      <c r="AS26" s="19">
        <f>'P&amp;L - Inputs'!BR408</f>
        <v>781</v>
      </c>
      <c r="AT26" s="19">
        <f>'P&amp;L - Inputs'!BS408</f>
        <v>724</v>
      </c>
      <c r="AU26" s="19">
        <f>'P&amp;L - Inputs'!BT408</f>
        <v>733</v>
      </c>
      <c r="AV26" s="19">
        <f>'P&amp;L - Inputs'!BU408</f>
        <v>872</v>
      </c>
      <c r="AW26" s="19">
        <f>'P&amp;L - Inputs'!BV408</f>
        <v>901</v>
      </c>
      <c r="AX26" s="19">
        <f>'P&amp;L - Inputs'!BW408</f>
        <v>881</v>
      </c>
      <c r="AY26" s="19">
        <f>'P&amp;L - Inputs'!BX408</f>
        <v>873</v>
      </c>
      <c r="AZ26" s="19">
        <f>'P&amp;L - Inputs'!BY408</f>
        <v>1017</v>
      </c>
      <c r="BA26" s="19">
        <f>'P&amp;L - Inputs'!BZ408</f>
        <v>855</v>
      </c>
      <c r="BB26" s="19">
        <f>'P&amp;L - Inputs'!CA408</f>
        <v>921</v>
      </c>
      <c r="BC26" s="19">
        <f>'P&amp;L - Inputs'!CB408</f>
        <v>697</v>
      </c>
      <c r="BD26" s="19">
        <f>'P&amp;L - Inputs'!CC408</f>
        <v>841</v>
      </c>
      <c r="BE26" s="19">
        <f>'P&amp;L - Inputs'!CD408</f>
        <v>977</v>
      </c>
      <c r="BF26" s="19">
        <f>'P&amp;L - Inputs'!CE408</f>
        <v>1138</v>
      </c>
      <c r="BG26" s="19">
        <f>'P&amp;L - Inputs'!CF408</f>
        <v>1010</v>
      </c>
      <c r="BH26" s="19">
        <f>'P&amp;L - Inputs'!CG408</f>
        <v>1223</v>
      </c>
      <c r="BI26" s="19">
        <f>'P&amp;L - Inputs'!CH408</f>
        <v>1274</v>
      </c>
      <c r="BJ26" s="19">
        <f>'P&amp;L - Inputs'!CI408</f>
        <v>1400</v>
      </c>
      <c r="BK26" s="19">
        <f>'P&amp;L - Inputs'!CJ408</f>
        <v>1239</v>
      </c>
      <c r="BL26" s="19">
        <f>'P&amp;L - Inputs'!CK408</f>
        <v>1420</v>
      </c>
      <c r="BM26" s="19">
        <f>'P&amp;L - Inputs'!CL408</f>
        <v>1202</v>
      </c>
      <c r="BN26" s="19">
        <f>'P&amp;L - Inputs'!CM408</f>
        <v>1122</v>
      </c>
      <c r="BO26" s="19">
        <f>'P&amp;L - Inputs'!CN408</f>
        <v>1092</v>
      </c>
      <c r="BP26" s="19">
        <f>'P&amp;L - Inputs'!CO408</f>
        <v>1107</v>
      </c>
      <c r="BQ26" s="19">
        <f>'P&amp;L - Inputs'!CP408</f>
        <v>1140</v>
      </c>
      <c r="BR26" s="19">
        <f>'P&amp;L - Inputs'!CQ408</f>
        <v>1428</v>
      </c>
      <c r="BS26" s="19">
        <f>'P&amp;L - Inputs'!CR408</f>
        <v>1319</v>
      </c>
      <c r="BT26" s="19">
        <f>'P&amp;L - Inputs'!CS408</f>
        <v>1445</v>
      </c>
      <c r="BU26" s="19">
        <f>'P&amp;L - Inputs'!CT408</f>
        <v>1543.8711392436448</v>
      </c>
      <c r="BV26" s="19">
        <f>'P&amp;L - Inputs'!CU408</f>
        <v>1508.1434666061657</v>
      </c>
      <c r="BW26" s="19">
        <f>'P&amp;L - Inputs'!CV408</f>
        <v>1503.0930653086327</v>
      </c>
      <c r="BX26" s="19">
        <f>'P&amp;L - Inputs'!CW408</f>
        <v>1637.5270619753521</v>
      </c>
      <c r="BY26" s="19">
        <f>'P&amp;L - Inputs'!CX408</f>
        <v>1447.1931470460665</v>
      </c>
      <c r="BZ26" s="19">
        <f>'P&amp;L - Inputs'!CY408</f>
        <v>1332.0257393906495</v>
      </c>
      <c r="CA26" s="19">
        <f>'P&amp;L - Inputs'!CZ408</f>
        <v>1694.9663788046689</v>
      </c>
      <c r="CB26" s="19">
        <f>'P&amp;L - Inputs'!DA408</f>
        <v>1548.3753554691739</v>
      </c>
      <c r="CC26" s="19">
        <f>'P&amp;L - Inputs'!DB408</f>
        <v>1867.4392831180048</v>
      </c>
      <c r="CD26" s="19">
        <f>'P&amp;L - Inputs'!DC408</f>
        <v>1915.6851242749988</v>
      </c>
      <c r="CE26" s="19">
        <f>'P&amp;L - Inputs'!DD408</f>
        <v>1769.7901110407863</v>
      </c>
      <c r="CF26" s="19">
        <f>'P&amp;L - Inputs'!DE408</f>
        <v>2080.0296997868877</v>
      </c>
      <c r="CG26" s="19">
        <f>'P&amp;L - Inputs'!DF408</f>
        <v>1839.0229746872831</v>
      </c>
      <c r="CH26" s="19">
        <f>'P&amp;L - Inputs'!DG408</f>
        <v>1801.2888529277388</v>
      </c>
      <c r="CI26" s="19">
        <f>'P&amp;L - Inputs'!DH408</f>
        <v>1786.0828090858756</v>
      </c>
      <c r="CJ26" s="19">
        <f>'P&amp;L - Inputs'!DI408</f>
        <v>1943.9785550021684</v>
      </c>
      <c r="CK26" s="19">
        <f>'P&amp;L - Inputs'!DJ408</f>
        <v>1715.62413399816</v>
      </c>
      <c r="CL26" s="19">
        <f>'P&amp;L - Inputs'!DK408</f>
        <v>1576.2304582789359</v>
      </c>
      <c r="CM26" s="19">
        <f>'P&amp;L - Inputs'!DL408</f>
        <v>1996.923971879123</v>
      </c>
      <c r="CN26" s="19">
        <f>'P&amp;L - Inputs'!DM408</f>
        <v>1815.5755384071426</v>
      </c>
      <c r="CO26" s="19">
        <f>'P&amp;L - Inputs'!DN408</f>
        <v>2180.3615413702119</v>
      </c>
      <c r="CP26" s="19">
        <f>'P&amp;L - Inputs'!DO408</f>
        <v>2227.2591990852434</v>
      </c>
      <c r="CQ26" s="19">
        <f>'P&amp;L - Inputs'!DP408</f>
        <v>2048.3309410170918</v>
      </c>
      <c r="CR26" s="19">
        <f>'P&amp;L - Inputs'!DQ408</f>
        <v>2379.6160669949991</v>
      </c>
      <c r="CS26" s="19">
        <f>'P&amp;L - Inputs'!DR408</f>
        <v>2102.6162677257939</v>
      </c>
      <c r="CT26" s="19">
        <f>'P&amp;L - Inputs'!DS408</f>
        <v>2057.6261127674561</v>
      </c>
      <c r="CU26" s="19">
        <f>'P&amp;L - Inputs'!DT408</f>
        <v>2039.057083318221</v>
      </c>
      <c r="CV26" s="19">
        <f>'P&amp;L - Inputs'!DU408</f>
        <v>2218.0304054456155</v>
      </c>
      <c r="CW26" s="19">
        <f>'P&amp;L - Inputs'!DV408</f>
        <v>1955.8115127579028</v>
      </c>
      <c r="CX26" s="19">
        <f>'P&amp;L - Inputs'!DW408</f>
        <v>1794.9046838289009</v>
      </c>
      <c r="CY26" s="19">
        <f>'P&amp;L - Inputs'!DX408</f>
        <v>2273.340290091865</v>
      </c>
      <c r="CZ26" s="19">
        <f>'P&amp;L - Inputs'!DY408</f>
        <v>2065.7707040656878</v>
      </c>
      <c r="DA26" s="19">
        <f>'P&amp;L - Inputs'!DZ408</f>
        <v>2480.1612533086159</v>
      </c>
      <c r="DB26" s="19">
        <f>'P&amp;L - Inputs'!EA408</f>
        <v>2532.8329957763499</v>
      </c>
      <c r="DC26" s="19">
        <f>'P&amp;L - Inputs'!EB408</f>
        <v>2328.1287241972614</v>
      </c>
      <c r="DD26" s="19">
        <f>'P&amp;L - Inputs'!EC408</f>
        <v>2703.9609966744547</v>
      </c>
      <c r="DF26" s="19">
        <f t="shared" si="3"/>
        <v>2714</v>
      </c>
      <c r="DG26" s="19">
        <f t="shared" si="4"/>
        <v>3001</v>
      </c>
      <c r="DH26" s="19">
        <f t="shared" si="5"/>
        <v>2683</v>
      </c>
      <c r="DI26" s="19">
        <f t="shared" si="6"/>
        <v>2329</v>
      </c>
      <c r="DJ26" s="19">
        <f t="shared" si="7"/>
        <v>2655</v>
      </c>
      <c r="DK26" s="19">
        <f t="shared" si="8"/>
        <v>2793</v>
      </c>
      <c r="DL26" s="19">
        <f t="shared" si="9"/>
        <v>2515</v>
      </c>
      <c r="DM26" s="19">
        <f t="shared" si="10"/>
        <v>3371</v>
      </c>
      <c r="DN26" s="19">
        <f t="shared" si="11"/>
        <v>3913</v>
      </c>
      <c r="DO26" s="19">
        <f t="shared" si="12"/>
        <v>3744</v>
      </c>
      <c r="DP26" s="19">
        <f t="shared" si="13"/>
        <v>3339</v>
      </c>
      <c r="DQ26" s="19">
        <f t="shared" si="14"/>
        <v>4192</v>
      </c>
      <c r="DR26" s="19">
        <f t="shared" si="15"/>
        <v>4555.1076711584428</v>
      </c>
      <c r="DS26" s="19">
        <f t="shared" si="16"/>
        <v>4416.7459484120682</v>
      </c>
      <c r="DT26" s="19">
        <f t="shared" si="17"/>
        <v>5110.7810173918479</v>
      </c>
      <c r="DU26" s="19">
        <f t="shared" si="18"/>
        <v>5765.5049351026728</v>
      </c>
      <c r="DV26" s="19">
        <f t="shared" si="19"/>
        <v>5426.3946367008975</v>
      </c>
      <c r="DW26" s="19">
        <f t="shared" si="20"/>
        <v>5235.8331472792643</v>
      </c>
      <c r="DX26" s="19">
        <f t="shared" si="21"/>
        <v>5992.8610516564777</v>
      </c>
      <c r="DY26" s="19">
        <f t="shared" si="22"/>
        <v>6655.2062070973334</v>
      </c>
      <c r="DZ26" s="19">
        <f t="shared" si="23"/>
        <v>6199.2994638114706</v>
      </c>
      <c r="EA26" s="19">
        <f t="shared" si="24"/>
        <v>5968.7466020324191</v>
      </c>
      <c r="EB26" s="19">
        <f t="shared" si="25"/>
        <v>6819.2722474661678</v>
      </c>
      <c r="EC26" s="19">
        <f t="shared" si="26"/>
        <v>7564.9227166480659</v>
      </c>
      <c r="EE26" s="19">
        <f>SUM(DF26:DI26)</f>
        <v>10727</v>
      </c>
      <c r="EF26" s="19">
        <f>SUM(DJ26:DM26)</f>
        <v>11334</v>
      </c>
      <c r="EG26" s="19">
        <f>SUM(DN26:DQ26)</f>
        <v>15188</v>
      </c>
      <c r="EH26" s="19">
        <f>SUM(DR26:DU26)</f>
        <v>19848.139572065033</v>
      </c>
      <c r="EI26" s="19">
        <f>SUM(DV26:DY26)</f>
        <v>23310.295042733971</v>
      </c>
      <c r="EJ26" s="770">
        <f t="shared" si="27"/>
        <v>26552.241029958124</v>
      </c>
    </row>
    <row r="27" spans="2:140" x14ac:dyDescent="0.2">
      <c r="B27" s="167" t="s">
        <v>193</v>
      </c>
      <c r="C27" s="19">
        <f>'P&amp;L - Inputs'!AB409</f>
        <v>0</v>
      </c>
      <c r="D27" s="19">
        <f>'P&amp;L - Inputs'!AC409</f>
        <v>0</v>
      </c>
      <c r="E27" s="19">
        <f>'P&amp;L - Inputs'!AD409</f>
        <v>0</v>
      </c>
      <c r="F27" s="19">
        <f>'P&amp;L - Inputs'!AE409</f>
        <v>0</v>
      </c>
      <c r="G27" s="19">
        <f>'P&amp;L - Inputs'!AF409</f>
        <v>1</v>
      </c>
      <c r="H27" s="19">
        <f>'P&amp;L - Inputs'!AG409</f>
        <v>5</v>
      </c>
      <c r="I27" s="19">
        <f>'P&amp;L - Inputs'!AH409</f>
        <v>5</v>
      </c>
      <c r="J27" s="19">
        <f>'P&amp;L - Inputs'!AI409</f>
        <v>10</v>
      </c>
      <c r="K27" s="19">
        <f>'P&amp;L - Inputs'!AJ409</f>
        <v>12</v>
      </c>
      <c r="L27" s="19">
        <f>'P&amp;L - Inputs'!AK409</f>
        <v>10</v>
      </c>
      <c r="M27" s="19">
        <f>'P&amp;L - Inputs'!AL409</f>
        <v>6</v>
      </c>
      <c r="N27" s="19">
        <f>'P&amp;L - Inputs'!AM409</f>
        <v>0</v>
      </c>
      <c r="O27" s="19">
        <f>'P&amp;L - Inputs'!AN409</f>
        <v>4</v>
      </c>
      <c r="P27" s="19">
        <f>'P&amp;L - Inputs'!AO409</f>
        <v>11</v>
      </c>
      <c r="Q27" s="19">
        <f>'P&amp;L - Inputs'!AP409</f>
        <v>21</v>
      </c>
      <c r="R27" s="19">
        <f>'P&amp;L - Inputs'!AQ409</f>
        <v>77</v>
      </c>
      <c r="S27" s="19">
        <f>'P&amp;L - Inputs'!AR409</f>
        <v>29</v>
      </c>
      <c r="T27" s="19">
        <f>'P&amp;L - Inputs'!AS409</f>
        <v>63</v>
      </c>
      <c r="U27" s="19">
        <f>'P&amp;L - Inputs'!AT409</f>
        <v>124</v>
      </c>
      <c r="V27" s="19">
        <f>'P&amp;L - Inputs'!AU409</f>
        <v>64</v>
      </c>
      <c r="W27" s="19">
        <f>'P&amp;L - Inputs'!AV409</f>
        <v>95</v>
      </c>
      <c r="X27" s="19">
        <f>'P&amp;L - Inputs'!AW409</f>
        <v>70</v>
      </c>
      <c r="Y27" s="19">
        <f>'P&amp;L - Inputs'!AX409</f>
        <v>90</v>
      </c>
      <c r="Z27" s="19">
        <f>'P&amp;L - Inputs'!AY409</f>
        <v>40</v>
      </c>
      <c r="AA27" s="19">
        <f>'P&amp;L - Inputs'!AZ409</f>
        <v>56</v>
      </c>
      <c r="AB27" s="19">
        <f>'P&amp;L - Inputs'!BA409</f>
        <v>0</v>
      </c>
      <c r="AC27" s="19">
        <f>'P&amp;L - Inputs'!BB409</f>
        <v>0</v>
      </c>
      <c r="AD27" s="19">
        <f>'P&amp;L - Inputs'!BC409</f>
        <v>0</v>
      </c>
      <c r="AE27" s="19">
        <f>'P&amp;L - Inputs'!BD409</f>
        <v>0</v>
      </c>
      <c r="AF27" s="19">
        <f>'P&amp;L - Inputs'!BE409</f>
        <v>2</v>
      </c>
      <c r="AG27" s="19">
        <f>'P&amp;L - Inputs'!BF409</f>
        <v>12</v>
      </c>
      <c r="AH27" s="19">
        <f>'P&amp;L - Inputs'!BG409</f>
        <v>0</v>
      </c>
      <c r="AI27" s="19">
        <f>'P&amp;L - Inputs'!BH409</f>
        <v>2</v>
      </c>
      <c r="AJ27" s="19">
        <f>'P&amp;L - Inputs'!BI409</f>
        <v>6</v>
      </c>
      <c r="AK27" s="19">
        <f>'P&amp;L - Inputs'!BJ409</f>
        <v>4</v>
      </c>
      <c r="AL27" s="19">
        <f>'P&amp;L - Inputs'!BK409</f>
        <v>2</v>
      </c>
      <c r="AM27" s="19">
        <f>'P&amp;L - Inputs'!BL409</f>
        <v>1</v>
      </c>
      <c r="AN27" s="19">
        <f>'P&amp;L - Inputs'!BM409</f>
        <v>8</v>
      </c>
      <c r="AO27" s="19">
        <f>'P&amp;L - Inputs'!BN409</f>
        <v>0</v>
      </c>
      <c r="AP27" s="19">
        <f>'P&amp;L - Inputs'!BO409</f>
        <v>4</v>
      </c>
      <c r="AQ27" s="19">
        <f>'P&amp;L - Inputs'!BP409</f>
        <v>63</v>
      </c>
      <c r="AR27" s="19">
        <f>'P&amp;L - Inputs'!BQ409</f>
        <v>6</v>
      </c>
      <c r="AS27" s="19">
        <f>'P&amp;L - Inputs'!BR409</f>
        <v>51</v>
      </c>
      <c r="AT27" s="19">
        <f>'P&amp;L - Inputs'!BS409</f>
        <v>29</v>
      </c>
      <c r="AU27" s="19">
        <f>'P&amp;L - Inputs'!BT409</f>
        <v>6</v>
      </c>
      <c r="AV27" s="19">
        <f>'P&amp;L - Inputs'!BU409</f>
        <v>61</v>
      </c>
      <c r="AW27" s="19">
        <f>'P&amp;L - Inputs'!BV409</f>
        <v>18</v>
      </c>
      <c r="AX27" s="19">
        <f>'P&amp;L - Inputs'!BW409</f>
        <v>6</v>
      </c>
      <c r="AY27" s="19">
        <f>'P&amp;L - Inputs'!BX409</f>
        <v>3</v>
      </c>
      <c r="AZ27" s="19">
        <f>'P&amp;L - Inputs'!BY409</f>
        <v>57</v>
      </c>
      <c r="BA27" s="19">
        <f>'P&amp;L - Inputs'!BZ409</f>
        <v>6</v>
      </c>
      <c r="BB27" s="19">
        <f>'P&amp;L - Inputs'!CA409</f>
        <v>4</v>
      </c>
      <c r="BC27" s="19">
        <f>'P&amp;L - Inputs'!CB409</f>
        <v>29</v>
      </c>
      <c r="BD27" s="19">
        <f>'P&amp;L - Inputs'!CC409</f>
        <v>18</v>
      </c>
      <c r="BE27" s="19">
        <f>'P&amp;L - Inputs'!CD409</f>
        <v>14</v>
      </c>
      <c r="BF27" s="19">
        <f>'P&amp;L - Inputs'!CE409</f>
        <v>34</v>
      </c>
      <c r="BG27" s="19">
        <f>'P&amp;L - Inputs'!CF409</f>
        <v>154</v>
      </c>
      <c r="BH27" s="19">
        <f>'P&amp;L - Inputs'!CG409</f>
        <v>4</v>
      </c>
      <c r="BI27" s="19">
        <f>'P&amp;L - Inputs'!CH409</f>
        <v>41</v>
      </c>
      <c r="BJ27" s="19">
        <f>'P&amp;L - Inputs'!CI409</f>
        <v>11</v>
      </c>
      <c r="BK27" s="19">
        <f>'P&amp;L - Inputs'!CJ409</f>
        <v>10</v>
      </c>
      <c r="BL27" s="19">
        <f>'P&amp;L - Inputs'!CK409</f>
        <v>8</v>
      </c>
      <c r="BM27" s="19">
        <f>'P&amp;L - Inputs'!CL409</f>
        <v>5</v>
      </c>
      <c r="BN27" s="19">
        <f>'P&amp;L - Inputs'!CM409</f>
        <v>117</v>
      </c>
      <c r="BO27" s="19">
        <f>'P&amp;L - Inputs'!CN409</f>
        <v>5</v>
      </c>
      <c r="BP27" s="19">
        <f>'P&amp;L - Inputs'!CO409</f>
        <v>2</v>
      </c>
      <c r="BQ27" s="19">
        <f>'P&amp;L - Inputs'!CP409</f>
        <v>65</v>
      </c>
      <c r="BR27" s="19">
        <f>'P&amp;L - Inputs'!CQ409</f>
        <v>1</v>
      </c>
      <c r="BS27" s="19">
        <f>'P&amp;L - Inputs'!CR409</f>
        <v>0</v>
      </c>
      <c r="BT27" s="19">
        <f>'P&amp;L - Inputs'!CS409</f>
        <v>1</v>
      </c>
      <c r="BU27" s="19">
        <f>'P&amp;L - Inputs'!CT409</f>
        <v>25.242366388710643</v>
      </c>
      <c r="BV27" s="19">
        <f>'P&amp;L - Inputs'!CU409</f>
        <v>24.658217245685019</v>
      </c>
      <c r="BW27" s="19">
        <f>'P&amp;L - Inputs'!CV409</f>
        <v>24.575642944811182</v>
      </c>
      <c r="BX27" s="19">
        <f>'P&amp;L - Inputs'!CW409</f>
        <v>26.773645169674655</v>
      </c>
      <c r="BY27" s="19">
        <f>'P&amp;L - Inputs'!CX409</f>
        <v>23.661676628571893</v>
      </c>
      <c r="BZ27" s="19">
        <f>'P&amp;L - Inputs'!CY409</f>
        <v>21.778684048310147</v>
      </c>
      <c r="CA27" s="19">
        <f>'P&amp;L - Inputs'!CZ409</f>
        <v>27.712780725530159</v>
      </c>
      <c r="CB27" s="19">
        <f>'P&amp;L - Inputs'!DA409</f>
        <v>25.316010537738833</v>
      </c>
      <c r="CC27" s="19">
        <f>'P&amp;L - Inputs'!DB409</f>
        <v>30.532720895494819</v>
      </c>
      <c r="CD27" s="19">
        <f>'P&amp;L - Inputs'!DC409</f>
        <v>31.321542687845312</v>
      </c>
      <c r="CE27" s="19">
        <f>'P&amp;L - Inputs'!DD409</f>
        <v>28.936152298238071</v>
      </c>
      <c r="CF27" s="19">
        <f>'P&amp;L - Inputs'!DE409</f>
        <v>34.008584296188722</v>
      </c>
      <c r="CG27" s="19">
        <f>'P&amp;L - Inputs'!DF409</f>
        <v>30.068112904199449</v>
      </c>
      <c r="CH27" s="19">
        <f>'P&amp;L - Inputs'!DG409</f>
        <v>29.451158222815046</v>
      </c>
      <c r="CI27" s="19">
        <f>'P&amp;L - Inputs'!DH409</f>
        <v>29.202538684420698</v>
      </c>
      <c r="CJ27" s="19">
        <f>'P&amp;L - Inputs'!DI409</f>
        <v>31.78414162285663</v>
      </c>
      <c r="CK27" s="19">
        <f>'P&amp;L - Inputs'!DJ409</f>
        <v>28.050536003226362</v>
      </c>
      <c r="CL27" s="19">
        <f>'P&amp;L - Inputs'!DK409</f>
        <v>25.771442790500341</v>
      </c>
      <c r="CM27" s="19">
        <f>'P&amp;L - Inputs'!DL409</f>
        <v>32.649801701239767</v>
      </c>
      <c r="CN27" s="19">
        <f>'P&amp;L - Inputs'!DM409</f>
        <v>29.684746208356412</v>
      </c>
      <c r="CO27" s="19">
        <f>'P&amp;L - Inputs'!DN409</f>
        <v>35.649014667172331</v>
      </c>
      <c r="CP27" s="19">
        <f>'P&amp;L - Inputs'!DO409</f>
        <v>36.415793596270738</v>
      </c>
      <c r="CQ27" s="19">
        <f>'P&amp;L - Inputs'!DP409</f>
        <v>33.490308086085761</v>
      </c>
      <c r="CR27" s="19">
        <f>'P&amp;L - Inputs'!DQ409</f>
        <v>38.906835616460683</v>
      </c>
      <c r="CS27" s="19">
        <f>'P&amp;L - Inputs'!DR409</f>
        <v>34.377875753801369</v>
      </c>
      <c r="CT27" s="19">
        <f>'P&amp;L - Inputs'!DS409</f>
        <v>33.642284585292579</v>
      </c>
      <c r="CU27" s="19">
        <f>'P&amp;L - Inputs'!DT409</f>
        <v>33.338680072632286</v>
      </c>
      <c r="CV27" s="19">
        <f>'P&amp;L - Inputs'!DU409</f>
        <v>36.26490238232433</v>
      </c>
      <c r="CW27" s="19">
        <f>'P&amp;L - Inputs'!DV409</f>
        <v>31.977611043678053</v>
      </c>
      <c r="CX27" s="19">
        <f>'P&amp;L - Inputs'!DW409</f>
        <v>29.346776755097927</v>
      </c>
      <c r="CY27" s="19">
        <f>'P&amp;L - Inputs'!DX409</f>
        <v>37.169221620937698</v>
      </c>
      <c r="CZ27" s="19">
        <f>'P&amp;L - Inputs'!DY409</f>
        <v>33.775449039507969</v>
      </c>
      <c r="DA27" s="19">
        <f>'P&amp;L - Inputs'!DZ409</f>
        <v>40.550754183908531</v>
      </c>
      <c r="DB27" s="19">
        <f>'P&amp;L - Inputs'!EA409</f>
        <v>41.411939672714105</v>
      </c>
      <c r="DC27" s="19">
        <f>'P&amp;L - Inputs'!EB409</f>
        <v>38.065015118463457</v>
      </c>
      <c r="DD27" s="19">
        <f>'P&amp;L - Inputs'!EC409</f>
        <v>44.209890608019371</v>
      </c>
      <c r="DF27" s="19">
        <f t="shared" si="3"/>
        <v>7</v>
      </c>
      <c r="DG27" s="19">
        <f t="shared" si="4"/>
        <v>12</v>
      </c>
      <c r="DH27" s="19">
        <f t="shared" si="5"/>
        <v>120</v>
      </c>
      <c r="DI27" s="19">
        <f t="shared" si="6"/>
        <v>96</v>
      </c>
      <c r="DJ27" s="19">
        <f t="shared" si="7"/>
        <v>27</v>
      </c>
      <c r="DK27" s="19">
        <f t="shared" si="8"/>
        <v>67</v>
      </c>
      <c r="DL27" s="19">
        <f t="shared" si="9"/>
        <v>61</v>
      </c>
      <c r="DM27" s="19">
        <f t="shared" si="10"/>
        <v>192</v>
      </c>
      <c r="DN27" s="19">
        <f t="shared" si="11"/>
        <v>62</v>
      </c>
      <c r="DO27" s="19">
        <f t="shared" si="12"/>
        <v>130</v>
      </c>
      <c r="DP27" s="19">
        <f t="shared" si="13"/>
        <v>72</v>
      </c>
      <c r="DQ27" s="19">
        <f t="shared" si="14"/>
        <v>2</v>
      </c>
      <c r="DR27" s="19">
        <f t="shared" si="15"/>
        <v>74.476226579206838</v>
      </c>
      <c r="DS27" s="19">
        <f t="shared" si="16"/>
        <v>72.214005846556688</v>
      </c>
      <c r="DT27" s="19">
        <f t="shared" si="17"/>
        <v>83.561512158763804</v>
      </c>
      <c r="DU27" s="19">
        <f t="shared" si="18"/>
        <v>94.266279282272109</v>
      </c>
      <c r="DV27" s="19">
        <f t="shared" si="19"/>
        <v>88.721809811435193</v>
      </c>
      <c r="DW27" s="19">
        <f t="shared" si="20"/>
        <v>85.606120416583337</v>
      </c>
      <c r="DX27" s="19">
        <f t="shared" si="21"/>
        <v>97.98356257676852</v>
      </c>
      <c r="DY27" s="19">
        <f t="shared" si="22"/>
        <v>108.81293729881719</v>
      </c>
      <c r="DZ27" s="19">
        <f t="shared" si="23"/>
        <v>101.35884041172623</v>
      </c>
      <c r="EA27" s="19">
        <f t="shared" si="24"/>
        <v>97.589290181100296</v>
      </c>
      <c r="EB27" s="19">
        <f t="shared" si="25"/>
        <v>111.4954248443542</v>
      </c>
      <c r="EC27" s="19">
        <f t="shared" si="26"/>
        <v>123.68684539919693</v>
      </c>
      <c r="EE27" s="19">
        <f>SUM(DF27:DI27)</f>
        <v>235</v>
      </c>
      <c r="EF27" s="19">
        <f>SUM(DJ27:DM27)</f>
        <v>347</v>
      </c>
      <c r="EG27" s="19">
        <f>SUM(DN27:DQ27)</f>
        <v>266</v>
      </c>
      <c r="EH27" s="19">
        <f>SUM(DR27:DU27)</f>
        <v>324.51802386679947</v>
      </c>
      <c r="EI27" s="19">
        <f>SUM(DV27:DY27)</f>
        <v>381.12443010360425</v>
      </c>
      <c r="EJ27" s="770">
        <f t="shared" si="27"/>
        <v>434.1304008363777</v>
      </c>
    </row>
    <row r="28" spans="2:140" x14ac:dyDescent="0.2">
      <c r="B28" s="167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E28" s="10"/>
      <c r="EF28" s="10"/>
      <c r="EG28" s="10"/>
      <c r="EH28" s="10"/>
      <c r="EI28" s="10"/>
      <c r="EJ28" s="812"/>
    </row>
    <row r="29" spans="2:140" x14ac:dyDescent="0.2">
      <c r="B29" s="167" t="s">
        <v>194</v>
      </c>
      <c r="C29" s="161">
        <f>IFERROR(C26/C14,0)</f>
        <v>1.0958904109589041E-2</v>
      </c>
      <c r="D29" s="161">
        <f t="shared" ref="D29:BO29" si="37">IFERROR(D26/D14,0)</f>
        <v>1.4388489208633094E-2</v>
      </c>
      <c r="E29" s="161">
        <f t="shared" si="37"/>
        <v>0.13644859813084112</v>
      </c>
      <c r="F29" s="161">
        <f t="shared" si="37"/>
        <v>0.17049180327868851</v>
      </c>
      <c r="G29" s="161">
        <f t="shared" si="37"/>
        <v>0.12167300380228137</v>
      </c>
      <c r="H29" s="161">
        <f t="shared" si="37"/>
        <v>7.9931972789115652E-2</v>
      </c>
      <c r="I29" s="161">
        <f t="shared" si="37"/>
        <v>5.5863110216406643E-2</v>
      </c>
      <c r="J29" s="161">
        <f t="shared" si="37"/>
        <v>6.0560560560560563E-2</v>
      </c>
      <c r="K29" s="161">
        <f t="shared" si="37"/>
        <v>0.10686015831134564</v>
      </c>
      <c r="L29" s="161">
        <f t="shared" si="37"/>
        <v>5.9416636658264313E-2</v>
      </c>
      <c r="M29" s="161">
        <f t="shared" si="37"/>
        <v>0.11535968891769281</v>
      </c>
      <c r="N29" s="161">
        <f t="shared" si="37"/>
        <v>0.08</v>
      </c>
      <c r="O29" s="161">
        <f t="shared" si="37"/>
        <v>0.12881355932203389</v>
      </c>
      <c r="P29" s="161">
        <f t="shared" si="37"/>
        <v>0.105774419859687</v>
      </c>
      <c r="Q29" s="161">
        <f t="shared" si="37"/>
        <v>0.10600255427841634</v>
      </c>
      <c r="R29" s="161">
        <f t="shared" si="37"/>
        <v>9.8188751191611065E-2</v>
      </c>
      <c r="S29" s="161">
        <f t="shared" si="37"/>
        <v>9.2346794690765316E-2</v>
      </c>
      <c r="T29" s="161">
        <f t="shared" si="37"/>
        <v>0.11552274541101357</v>
      </c>
      <c r="U29" s="161">
        <f t="shared" si="37"/>
        <v>0.11733376371852808</v>
      </c>
      <c r="V29" s="161">
        <f t="shared" si="37"/>
        <v>0.12957341428343186</v>
      </c>
      <c r="W29" s="161">
        <f t="shared" si="37"/>
        <v>0.12078781350977073</v>
      </c>
      <c r="X29" s="161">
        <f t="shared" si="37"/>
        <v>0.11293260473588343</v>
      </c>
      <c r="Y29" s="161">
        <f t="shared" si="37"/>
        <v>9.8727653406345622E-2</v>
      </c>
      <c r="Z29" s="161">
        <f t="shared" si="37"/>
        <v>9.0962167211583372E-2</v>
      </c>
      <c r="AA29" s="161">
        <f t="shared" si="37"/>
        <v>9.2097971849717394E-2</v>
      </c>
      <c r="AB29" s="161">
        <f t="shared" si="37"/>
        <v>6.8781942078364564E-2</v>
      </c>
      <c r="AC29" s="161">
        <f t="shared" si="37"/>
        <v>5.8753236407090223E-2</v>
      </c>
      <c r="AD29" s="161">
        <f t="shared" si="37"/>
        <v>5.4245048273116353E-2</v>
      </c>
      <c r="AE29" s="161">
        <f t="shared" si="37"/>
        <v>5.1336281484329935E-2</v>
      </c>
      <c r="AF29" s="161">
        <f t="shared" si="37"/>
        <v>4.3770705752434497E-2</v>
      </c>
      <c r="AG29" s="161">
        <f t="shared" si="37"/>
        <v>5.1101321585903081E-2</v>
      </c>
      <c r="AH29" s="161">
        <f t="shared" si="37"/>
        <v>4.4637583326301578E-2</v>
      </c>
      <c r="AI29" s="161">
        <f t="shared" si="37"/>
        <v>4.9707602339181284E-2</v>
      </c>
      <c r="AJ29" s="161">
        <f t="shared" si="37"/>
        <v>5.5841924398625432E-2</v>
      </c>
      <c r="AK29" s="161">
        <f t="shared" si="37"/>
        <v>6.2246071291682636E-2</v>
      </c>
      <c r="AL29" s="161">
        <f t="shared" si="37"/>
        <v>6.2218214607754736E-2</v>
      </c>
      <c r="AM29" s="161">
        <f t="shared" si="37"/>
        <v>6.8863916678086889E-2</v>
      </c>
      <c r="AN29" s="161">
        <f t="shared" si="37"/>
        <v>7.5918615244457935E-2</v>
      </c>
      <c r="AO29" s="161">
        <f t="shared" si="37"/>
        <v>7.5816601738088102E-2</v>
      </c>
      <c r="AP29" s="161">
        <f t="shared" si="37"/>
        <v>7.828702604290351E-2</v>
      </c>
      <c r="AQ29" s="161">
        <f t="shared" si="37"/>
        <v>6.954260568075743E-2</v>
      </c>
      <c r="AR29" s="161">
        <f t="shared" si="37"/>
        <v>6.3133911509628104E-2</v>
      </c>
      <c r="AS29" s="161">
        <f t="shared" si="37"/>
        <v>6.4770276994526449E-2</v>
      </c>
      <c r="AT29" s="161">
        <f t="shared" si="37"/>
        <v>6.6845166651278737E-2</v>
      </c>
      <c r="AU29" s="161">
        <f t="shared" si="37"/>
        <v>7.6810227391805513E-2</v>
      </c>
      <c r="AV29" s="161">
        <f t="shared" si="37"/>
        <v>7.2491478925928998E-2</v>
      </c>
      <c r="AW29" s="161">
        <f t="shared" si="37"/>
        <v>7.0744346733668348E-2</v>
      </c>
      <c r="AX29" s="161">
        <f t="shared" si="37"/>
        <v>7.1695963541666671E-2</v>
      </c>
      <c r="AY29" s="161">
        <f t="shared" si="37"/>
        <v>6.5207648640573643E-2</v>
      </c>
      <c r="AZ29" s="161">
        <f t="shared" si="37"/>
        <v>8.0053526448362722E-2</v>
      </c>
      <c r="BA29" s="161">
        <f t="shared" si="37"/>
        <v>8.2417582417582416E-2</v>
      </c>
      <c r="BB29" s="161">
        <f t="shared" si="37"/>
        <v>9.9956587801172128E-2</v>
      </c>
      <c r="BC29" s="161">
        <f t="shared" si="37"/>
        <v>6.2900460247270099E-2</v>
      </c>
      <c r="BD29" s="161">
        <f t="shared" si="37"/>
        <v>7.6628701594533027E-2</v>
      </c>
      <c r="BE29" s="161">
        <f t="shared" si="37"/>
        <v>7.6084417101471846E-2</v>
      </c>
      <c r="BF29" s="161">
        <f t="shared" si="37"/>
        <v>8.7707129094412334E-2</v>
      </c>
      <c r="BG29" s="161">
        <f t="shared" si="37"/>
        <v>8.0832332933173268E-2</v>
      </c>
      <c r="BH29" s="161">
        <f t="shared" si="37"/>
        <v>8.0133665312540958E-2</v>
      </c>
      <c r="BI29" s="161">
        <f t="shared" si="37"/>
        <v>8.4775086505190306E-2</v>
      </c>
      <c r="BJ29" s="161">
        <f t="shared" si="37"/>
        <v>9.3947121191786331E-2</v>
      </c>
      <c r="BK29" s="161">
        <f t="shared" si="37"/>
        <v>8.252297855335021E-2</v>
      </c>
      <c r="BL29" s="161">
        <f t="shared" si="37"/>
        <v>8.5810974135847234E-2</v>
      </c>
      <c r="BM29" s="161">
        <f t="shared" si="37"/>
        <v>8.2965212589729428E-2</v>
      </c>
      <c r="BN29" s="161">
        <f t="shared" si="37"/>
        <v>8.406383456956619E-2</v>
      </c>
      <c r="BO29" s="161">
        <f t="shared" si="37"/>
        <v>6.393068321526843E-2</v>
      </c>
      <c r="BP29" s="161">
        <f t="shared" ref="BP29:CR29" si="38">IFERROR(BP26/BP14,0)</f>
        <v>7.1400928792569665E-2</v>
      </c>
      <c r="BQ29" s="161">
        <f t="shared" si="38"/>
        <v>5.8228623965675762E-2</v>
      </c>
      <c r="BR29" s="161">
        <f t="shared" si="38"/>
        <v>6.8087541124302681E-2</v>
      </c>
      <c r="BS29" s="161">
        <f t="shared" si="38"/>
        <v>6.6218183643757214E-2</v>
      </c>
      <c r="BT29" s="161">
        <f t="shared" si="38"/>
        <v>6.2145191811457078E-2</v>
      </c>
      <c r="BU29" s="161">
        <f t="shared" si="38"/>
        <v>7.5341363341541706E-2</v>
      </c>
      <c r="BV29" s="161">
        <f t="shared" si="38"/>
        <v>7.5341363341541706E-2</v>
      </c>
      <c r="BW29" s="161">
        <f t="shared" si="38"/>
        <v>7.5341363341541706E-2</v>
      </c>
      <c r="BX29" s="161">
        <f t="shared" si="38"/>
        <v>7.5341363341541706E-2</v>
      </c>
      <c r="BY29" s="161">
        <f t="shared" si="38"/>
        <v>7.5341363341541706E-2</v>
      </c>
      <c r="BZ29" s="161">
        <f t="shared" si="38"/>
        <v>7.5341363341541706E-2</v>
      </c>
      <c r="CA29" s="161">
        <f t="shared" si="38"/>
        <v>7.5341363341541706E-2</v>
      </c>
      <c r="CB29" s="161">
        <f t="shared" si="38"/>
        <v>7.5341363341541706E-2</v>
      </c>
      <c r="CC29" s="161">
        <f t="shared" si="38"/>
        <v>7.5341363341541706E-2</v>
      </c>
      <c r="CD29" s="161">
        <f t="shared" si="38"/>
        <v>7.5341363341541706E-2</v>
      </c>
      <c r="CE29" s="161">
        <f t="shared" si="38"/>
        <v>7.5341363341541706E-2</v>
      </c>
      <c r="CF29" s="161">
        <f t="shared" si="38"/>
        <v>7.5341363341541706E-2</v>
      </c>
      <c r="CG29" s="161">
        <f t="shared" si="38"/>
        <v>7.5341363341541706E-2</v>
      </c>
      <c r="CH29" s="161">
        <f t="shared" si="38"/>
        <v>7.5341363341541706E-2</v>
      </c>
      <c r="CI29" s="161">
        <f t="shared" si="38"/>
        <v>7.5341363341541706E-2</v>
      </c>
      <c r="CJ29" s="161">
        <f t="shared" si="38"/>
        <v>7.5341363341541706E-2</v>
      </c>
      <c r="CK29" s="161">
        <f t="shared" si="38"/>
        <v>7.5341363341541706E-2</v>
      </c>
      <c r="CL29" s="161">
        <f t="shared" si="38"/>
        <v>7.5341363341541706E-2</v>
      </c>
      <c r="CM29" s="161">
        <f t="shared" si="38"/>
        <v>7.5341363341541706E-2</v>
      </c>
      <c r="CN29" s="161">
        <f t="shared" si="38"/>
        <v>7.5341363341541706E-2</v>
      </c>
      <c r="CO29" s="161">
        <f t="shared" si="38"/>
        <v>7.534136334154172E-2</v>
      </c>
      <c r="CP29" s="161">
        <f t="shared" si="38"/>
        <v>7.5341363341541706E-2</v>
      </c>
      <c r="CQ29" s="161">
        <f t="shared" si="38"/>
        <v>7.5341363341541706E-2</v>
      </c>
      <c r="CR29" s="161">
        <f t="shared" si="38"/>
        <v>7.5341363341541706E-2</v>
      </c>
      <c r="CS29" s="161">
        <f t="shared" ref="CS29:DD29" si="39">IFERROR(CS26/CS14,0)</f>
        <v>7.5341363341541706E-2</v>
      </c>
      <c r="CT29" s="161">
        <f t="shared" si="39"/>
        <v>7.5341363341541706E-2</v>
      </c>
      <c r="CU29" s="161">
        <f t="shared" si="39"/>
        <v>7.5341363341541706E-2</v>
      </c>
      <c r="CV29" s="161">
        <f t="shared" si="39"/>
        <v>7.534136334154172E-2</v>
      </c>
      <c r="CW29" s="161">
        <f t="shared" si="39"/>
        <v>7.5341363341541706E-2</v>
      </c>
      <c r="CX29" s="161">
        <f t="shared" si="39"/>
        <v>7.5341363341541706E-2</v>
      </c>
      <c r="CY29" s="161">
        <f t="shared" si="39"/>
        <v>7.5341363341541692E-2</v>
      </c>
      <c r="CZ29" s="161">
        <f t="shared" si="39"/>
        <v>7.5341363341541706E-2</v>
      </c>
      <c r="DA29" s="161">
        <f t="shared" si="39"/>
        <v>7.5341363341541706E-2</v>
      </c>
      <c r="DB29" s="161">
        <f t="shared" si="39"/>
        <v>7.5341363341541706E-2</v>
      </c>
      <c r="DC29" s="161">
        <f t="shared" si="39"/>
        <v>7.5341363341541706E-2</v>
      </c>
      <c r="DD29" s="161">
        <f t="shared" si="39"/>
        <v>7.5341363341541706E-2</v>
      </c>
      <c r="DF29" s="161"/>
      <c r="DG29" s="161">
        <f t="shared" ref="DG29:EI29" si="40">IFERROR(DG26/DG14,0)</f>
        <v>7.6648021862947918E-2</v>
      </c>
      <c r="DH29" s="161">
        <f t="shared" si="40"/>
        <v>6.598298165363238E-2</v>
      </c>
      <c r="DI29" s="161">
        <f t="shared" si="40"/>
        <v>7.1876060858562477E-2</v>
      </c>
      <c r="DJ29" s="161">
        <f t="shared" si="40"/>
        <v>6.911902530459231E-2</v>
      </c>
      <c r="DK29" s="161">
        <f t="shared" si="40"/>
        <v>8.6492010405053887E-2</v>
      </c>
      <c r="DL29" s="161">
        <f t="shared" si="40"/>
        <v>7.2069232312233139E-2</v>
      </c>
      <c r="DM29" s="161">
        <f t="shared" si="40"/>
        <v>8.2760483158204848E-2</v>
      </c>
      <c r="DN29" s="161">
        <f t="shared" si="40"/>
        <v>8.7063901744393019E-2</v>
      </c>
      <c r="DO29" s="161">
        <f t="shared" si="40"/>
        <v>8.4356623031340824E-2</v>
      </c>
      <c r="DP29" s="161">
        <f t="shared" si="40"/>
        <v>6.4010888944270844E-2</v>
      </c>
      <c r="DQ29" s="161">
        <f t="shared" si="40"/>
        <v>6.5352955849338992E-2</v>
      </c>
      <c r="DR29" s="161">
        <f t="shared" si="40"/>
        <v>7.5341363341541692E-2</v>
      </c>
      <c r="DS29" s="161">
        <f t="shared" si="40"/>
        <v>7.5341363341541692E-2</v>
      </c>
      <c r="DT29" s="161">
        <f t="shared" si="40"/>
        <v>7.5341363341541706E-2</v>
      </c>
      <c r="DU29" s="161">
        <f t="shared" si="40"/>
        <v>7.5341363341541706E-2</v>
      </c>
      <c r="DV29" s="161">
        <f t="shared" si="40"/>
        <v>7.5341363341541706E-2</v>
      </c>
      <c r="DW29" s="161">
        <f t="shared" si="40"/>
        <v>7.5341363341541706E-2</v>
      </c>
      <c r="DX29" s="161">
        <f t="shared" si="40"/>
        <v>7.534136334154172E-2</v>
      </c>
      <c r="DY29" s="161">
        <f t="shared" si="40"/>
        <v>7.5341363341541692E-2</v>
      </c>
      <c r="DZ29" s="161">
        <f t="shared" ref="DZ29:EC29" si="41">IFERROR(DZ26/DZ14,0)</f>
        <v>7.5341363341541692E-2</v>
      </c>
      <c r="EA29" s="161">
        <f t="shared" si="41"/>
        <v>7.5341363341541706E-2</v>
      </c>
      <c r="EB29" s="161">
        <f t="shared" si="41"/>
        <v>7.5341363341541692E-2</v>
      </c>
      <c r="EC29" s="161">
        <f t="shared" si="41"/>
        <v>7.5341363341541706E-2</v>
      </c>
      <c r="ED29" s="805"/>
      <c r="EE29" s="161">
        <f t="shared" si="40"/>
        <v>6.9532131143290515E-2</v>
      </c>
      <c r="EF29" s="161">
        <f t="shared" si="40"/>
        <v>7.7453479392891558E-2</v>
      </c>
      <c r="EG29" s="161">
        <f t="shared" si="40"/>
        <v>7.3859381230730325E-2</v>
      </c>
      <c r="EH29" s="161">
        <f t="shared" si="40"/>
        <v>7.5341363341541706E-2</v>
      </c>
      <c r="EI29" s="161">
        <f t="shared" si="40"/>
        <v>7.5341363341541692E-2</v>
      </c>
      <c r="EJ29" s="161">
        <f t="shared" ref="EJ29" si="42">IFERROR(EJ26/EJ14,0)</f>
        <v>7.5341363341541692E-2</v>
      </c>
    </row>
    <row r="30" spans="2:140" x14ac:dyDescent="0.2">
      <c r="B30" s="167" t="s">
        <v>195</v>
      </c>
      <c r="C30" s="161">
        <f>IFERROR(C27/C15,0)</f>
        <v>0</v>
      </c>
      <c r="D30" s="161">
        <f t="shared" ref="D30:BO30" si="43">IFERROR(D27/D15,0)</f>
        <v>0</v>
      </c>
      <c r="E30" s="161">
        <f t="shared" si="43"/>
        <v>0</v>
      </c>
      <c r="F30" s="161">
        <f t="shared" si="43"/>
        <v>0</v>
      </c>
      <c r="G30" s="161">
        <f t="shared" si="43"/>
        <v>2.6315789473684209E-2</v>
      </c>
      <c r="H30" s="161">
        <f t="shared" si="43"/>
        <v>6.097560975609756E-2</v>
      </c>
      <c r="I30" s="161">
        <f t="shared" si="43"/>
        <v>4.065040650406504E-2</v>
      </c>
      <c r="J30" s="161">
        <f t="shared" si="43"/>
        <v>0.10309278350515463</v>
      </c>
      <c r="K30" s="161">
        <f t="shared" si="43"/>
        <v>7.8431372549019607E-2</v>
      </c>
      <c r="L30" s="161">
        <f t="shared" si="43"/>
        <v>2.7855153203342618E-2</v>
      </c>
      <c r="M30" s="161">
        <f t="shared" si="43"/>
        <v>2.2641509433962263E-2</v>
      </c>
      <c r="N30" s="161">
        <f t="shared" si="43"/>
        <v>0</v>
      </c>
      <c r="O30" s="161">
        <f t="shared" si="43"/>
        <v>3.6363636363636362E-2</v>
      </c>
      <c r="P30" s="161">
        <f t="shared" si="43"/>
        <v>0.10377358490566038</v>
      </c>
      <c r="Q30" s="161">
        <f t="shared" si="43"/>
        <v>0.1099476439790576</v>
      </c>
      <c r="R30" s="161">
        <f t="shared" si="43"/>
        <v>0.14638783269961977</v>
      </c>
      <c r="S30" s="161">
        <f t="shared" si="43"/>
        <v>6.1965811965811968E-2</v>
      </c>
      <c r="T30" s="161">
        <f t="shared" si="43"/>
        <v>0.1111111111111111</v>
      </c>
      <c r="U30" s="161">
        <f t="shared" si="43"/>
        <v>0.17009602194787379</v>
      </c>
      <c r="V30" s="161">
        <f t="shared" si="43"/>
        <v>0.10561056105610561</v>
      </c>
      <c r="W30" s="161">
        <f t="shared" si="43"/>
        <v>0.19832985386221294</v>
      </c>
      <c r="X30" s="161">
        <f t="shared" si="43"/>
        <v>0.16317016317016317</v>
      </c>
      <c r="Y30" s="161">
        <f t="shared" si="43"/>
        <v>0.26239067055393583</v>
      </c>
      <c r="Z30" s="161">
        <f t="shared" si="43"/>
        <v>0.1951219512195122</v>
      </c>
      <c r="AA30" s="161">
        <f t="shared" si="43"/>
        <v>0.77777777777777779</v>
      </c>
      <c r="AB30" s="161">
        <f t="shared" si="43"/>
        <v>0</v>
      </c>
      <c r="AC30" s="161">
        <f t="shared" si="43"/>
        <v>0</v>
      </c>
      <c r="AD30" s="161">
        <f t="shared" si="43"/>
        <v>0</v>
      </c>
      <c r="AE30" s="161">
        <f t="shared" si="43"/>
        <v>0</v>
      </c>
      <c r="AF30" s="161">
        <f t="shared" si="43"/>
        <v>8.8495575221238937E-3</v>
      </c>
      <c r="AG30" s="161">
        <f t="shared" si="43"/>
        <v>5.4054054054054057E-2</v>
      </c>
      <c r="AH30" s="161">
        <f t="shared" si="43"/>
        <v>0</v>
      </c>
      <c r="AI30" s="161">
        <f t="shared" si="43"/>
        <v>2.5316455696202531E-2</v>
      </c>
      <c r="AJ30" s="161">
        <f t="shared" si="43"/>
        <v>4.6875E-2</v>
      </c>
      <c r="AK30" s="161">
        <f t="shared" si="43"/>
        <v>2.564102564102564E-2</v>
      </c>
      <c r="AL30" s="161">
        <f t="shared" si="43"/>
        <v>9.4786729857819912E-3</v>
      </c>
      <c r="AM30" s="161">
        <f t="shared" si="43"/>
        <v>1.0101010101010102E-2</v>
      </c>
      <c r="AN30" s="161">
        <f t="shared" si="43"/>
        <v>0.16</v>
      </c>
      <c r="AO30" s="161">
        <f t="shared" si="43"/>
        <v>0</v>
      </c>
      <c r="AP30" s="161">
        <f t="shared" si="43"/>
        <v>1.3333333333333333</v>
      </c>
      <c r="AQ30" s="161">
        <f t="shared" si="43"/>
        <v>0.24609375</v>
      </c>
      <c r="AR30" s="161">
        <f t="shared" si="43"/>
        <v>3.2608695652173912E-2</v>
      </c>
      <c r="AS30" s="161">
        <f t="shared" si="43"/>
        <v>0.25888324873096447</v>
      </c>
      <c r="AT30" s="161">
        <f t="shared" si="43"/>
        <v>0.13875598086124402</v>
      </c>
      <c r="AU30" s="161">
        <f t="shared" si="43"/>
        <v>3.2258064516129031E-2</v>
      </c>
      <c r="AV30" s="161">
        <f t="shared" si="43"/>
        <v>0.41496598639455784</v>
      </c>
      <c r="AW30" s="161">
        <f t="shared" si="43"/>
        <v>8.4905660377358486E-2</v>
      </c>
      <c r="AX30" s="161">
        <f t="shared" si="43"/>
        <v>2.4590163934426229E-2</v>
      </c>
      <c r="AY30" s="161">
        <f t="shared" si="43"/>
        <v>1.6949152542372881E-2</v>
      </c>
      <c r="AZ30" s="161">
        <f t="shared" si="43"/>
        <v>0.27669902912621358</v>
      </c>
      <c r="BA30" s="161">
        <f t="shared" si="43"/>
        <v>2.553191489361702E-2</v>
      </c>
      <c r="BB30" s="161">
        <f t="shared" si="43"/>
        <v>4.7058823529411764E-2</v>
      </c>
      <c r="BC30" s="161">
        <f t="shared" si="43"/>
        <v>0.11788617886178862</v>
      </c>
      <c r="BD30" s="161">
        <f t="shared" si="43"/>
        <v>0.15254237288135594</v>
      </c>
      <c r="BE30" s="161">
        <f t="shared" si="43"/>
        <v>5.9071729957805907E-2</v>
      </c>
      <c r="BF30" s="161">
        <f t="shared" si="43"/>
        <v>8.8082901554404139E-2</v>
      </c>
      <c r="BG30" s="161">
        <f t="shared" si="43"/>
        <v>1.1323529411764706</v>
      </c>
      <c r="BH30" s="161">
        <f t="shared" si="43"/>
        <v>1.6064257028112448E-2</v>
      </c>
      <c r="BI30" s="161">
        <f t="shared" si="43"/>
        <v>0.13666666666666666</v>
      </c>
      <c r="BJ30" s="161">
        <f t="shared" si="43"/>
        <v>3.1428571428571431E-2</v>
      </c>
      <c r="BK30" s="161">
        <f t="shared" si="43"/>
        <v>3.1545741324921134E-2</v>
      </c>
      <c r="BL30" s="161">
        <f t="shared" si="43"/>
        <v>1.7897091722595078E-2</v>
      </c>
      <c r="BM30" s="161">
        <f t="shared" si="43"/>
        <v>1.8181818181818181E-2</v>
      </c>
      <c r="BN30" s="161">
        <f t="shared" si="43"/>
        <v>0.39393939393939392</v>
      </c>
      <c r="BO30" s="161">
        <f t="shared" si="43"/>
        <v>1.2468827930174564E-2</v>
      </c>
      <c r="BP30" s="161">
        <f t="shared" ref="BP30:CR30" si="44">IFERROR(BP27/BP15,0)</f>
        <v>5.6022408963585435E-3</v>
      </c>
      <c r="BQ30" s="161">
        <f t="shared" si="44"/>
        <v>0.27426160337552741</v>
      </c>
      <c r="BR30" s="161">
        <f t="shared" si="44"/>
        <v>4.2553191489361703E-3</v>
      </c>
      <c r="BS30" s="161">
        <f t="shared" si="44"/>
        <v>0</v>
      </c>
      <c r="BT30" s="161">
        <f t="shared" si="44"/>
        <v>2.7027027027027029E-3</v>
      </c>
      <c r="BU30" s="161">
        <f t="shared" si="44"/>
        <v>7.741249810980548E-2</v>
      </c>
      <c r="BV30" s="161">
        <f t="shared" si="44"/>
        <v>7.741249810980548E-2</v>
      </c>
      <c r="BW30" s="161">
        <f t="shared" si="44"/>
        <v>7.741249810980548E-2</v>
      </c>
      <c r="BX30" s="161">
        <f t="shared" si="44"/>
        <v>7.741249810980548E-2</v>
      </c>
      <c r="BY30" s="161">
        <f t="shared" si="44"/>
        <v>7.741249810980548E-2</v>
      </c>
      <c r="BZ30" s="161">
        <f t="shared" si="44"/>
        <v>7.741249810980548E-2</v>
      </c>
      <c r="CA30" s="161">
        <f t="shared" si="44"/>
        <v>7.741249810980548E-2</v>
      </c>
      <c r="CB30" s="161">
        <f t="shared" si="44"/>
        <v>7.741249810980548E-2</v>
      </c>
      <c r="CC30" s="161">
        <f t="shared" si="44"/>
        <v>7.741249810980548E-2</v>
      </c>
      <c r="CD30" s="161">
        <f t="shared" si="44"/>
        <v>7.741249810980548E-2</v>
      </c>
      <c r="CE30" s="161">
        <f t="shared" si="44"/>
        <v>7.741249810980548E-2</v>
      </c>
      <c r="CF30" s="161">
        <f t="shared" si="44"/>
        <v>7.741249810980548E-2</v>
      </c>
      <c r="CG30" s="161">
        <f t="shared" si="44"/>
        <v>7.741249810980548E-2</v>
      </c>
      <c r="CH30" s="161">
        <f t="shared" si="44"/>
        <v>7.741249810980548E-2</v>
      </c>
      <c r="CI30" s="161">
        <f t="shared" si="44"/>
        <v>7.741249810980548E-2</v>
      </c>
      <c r="CJ30" s="161">
        <f t="shared" si="44"/>
        <v>7.741249810980548E-2</v>
      </c>
      <c r="CK30" s="161">
        <f t="shared" si="44"/>
        <v>7.741249810980548E-2</v>
      </c>
      <c r="CL30" s="161">
        <f t="shared" si="44"/>
        <v>7.741249810980548E-2</v>
      </c>
      <c r="CM30" s="161">
        <f t="shared" si="44"/>
        <v>7.741249810980548E-2</v>
      </c>
      <c r="CN30" s="161">
        <f t="shared" si="44"/>
        <v>7.741249810980548E-2</v>
      </c>
      <c r="CO30" s="161">
        <f t="shared" si="44"/>
        <v>7.741249810980548E-2</v>
      </c>
      <c r="CP30" s="161">
        <f t="shared" si="44"/>
        <v>7.741249810980548E-2</v>
      </c>
      <c r="CQ30" s="161">
        <f t="shared" si="44"/>
        <v>7.741249810980548E-2</v>
      </c>
      <c r="CR30" s="161">
        <f t="shared" si="44"/>
        <v>7.741249810980548E-2</v>
      </c>
      <c r="CS30" s="161">
        <f t="shared" ref="CS30:DD30" si="45">IFERROR(CS27/CS15,0)</f>
        <v>7.741249810980548E-2</v>
      </c>
      <c r="CT30" s="161">
        <f t="shared" si="45"/>
        <v>7.741249810980548E-2</v>
      </c>
      <c r="CU30" s="161">
        <f t="shared" si="45"/>
        <v>7.741249810980548E-2</v>
      </c>
      <c r="CV30" s="161">
        <f t="shared" si="45"/>
        <v>7.741249810980548E-2</v>
      </c>
      <c r="CW30" s="161">
        <f t="shared" si="45"/>
        <v>7.741249810980548E-2</v>
      </c>
      <c r="CX30" s="161">
        <f t="shared" si="45"/>
        <v>7.741249810980548E-2</v>
      </c>
      <c r="CY30" s="161">
        <f t="shared" si="45"/>
        <v>7.741249810980548E-2</v>
      </c>
      <c r="CZ30" s="161">
        <f t="shared" si="45"/>
        <v>7.741249810980548E-2</v>
      </c>
      <c r="DA30" s="161">
        <f t="shared" si="45"/>
        <v>7.741249810980548E-2</v>
      </c>
      <c r="DB30" s="161">
        <f t="shared" si="45"/>
        <v>7.741249810980548E-2</v>
      </c>
      <c r="DC30" s="161">
        <f t="shared" si="45"/>
        <v>7.741249810980548E-2</v>
      </c>
      <c r="DD30" s="161">
        <f t="shared" si="45"/>
        <v>7.741249810980548E-2</v>
      </c>
      <c r="DF30" s="161"/>
      <c r="DG30" s="161">
        <f t="shared" ref="DG30:EI30" si="46">IFERROR(DG27/DG15,0)</f>
        <v>0.14285714285714285</v>
      </c>
      <c r="DH30" s="161">
        <f t="shared" si="46"/>
        <v>0.18838304552590268</v>
      </c>
      <c r="DI30" s="161">
        <f t="shared" si="46"/>
        <v>0.17712177121771217</v>
      </c>
      <c r="DJ30" s="161">
        <f t="shared" si="46"/>
        <v>4.2654028436018961E-2</v>
      </c>
      <c r="DK30" s="161">
        <f t="shared" si="46"/>
        <v>0.12737642585551331</v>
      </c>
      <c r="DL30" s="161">
        <f t="shared" si="46"/>
        <v>0.10149750415973377</v>
      </c>
      <c r="DM30" s="161">
        <f t="shared" si="46"/>
        <v>0.24902723735408561</v>
      </c>
      <c r="DN30" s="161">
        <f t="shared" si="46"/>
        <v>6.4115822130299899E-2</v>
      </c>
      <c r="DO30" s="161">
        <f t="shared" si="46"/>
        <v>0.12757605495583907</v>
      </c>
      <c r="DP30" s="161">
        <f t="shared" si="46"/>
        <v>7.2361809045226128E-2</v>
      </c>
      <c r="DQ30" s="161">
        <f t="shared" si="46"/>
        <v>2.4067388688327317E-3</v>
      </c>
      <c r="DR30" s="161">
        <f t="shared" si="46"/>
        <v>7.7412498109805467E-2</v>
      </c>
      <c r="DS30" s="161">
        <f t="shared" si="46"/>
        <v>7.7412498109805467E-2</v>
      </c>
      <c r="DT30" s="161">
        <f t="shared" si="46"/>
        <v>7.741249810980548E-2</v>
      </c>
      <c r="DU30" s="161">
        <f t="shared" si="46"/>
        <v>7.7412498109805467E-2</v>
      </c>
      <c r="DV30" s="161">
        <f t="shared" si="46"/>
        <v>7.7412498109805467E-2</v>
      </c>
      <c r="DW30" s="161">
        <f t="shared" si="46"/>
        <v>7.741249810980548E-2</v>
      </c>
      <c r="DX30" s="161">
        <f t="shared" si="46"/>
        <v>7.7412498109805494E-2</v>
      </c>
      <c r="DY30" s="161">
        <f t="shared" si="46"/>
        <v>7.741249810980548E-2</v>
      </c>
      <c r="DZ30" s="161">
        <f t="shared" ref="DZ30:EC30" si="47">IFERROR(DZ27/DZ15,0)</f>
        <v>7.7412498109805494E-2</v>
      </c>
      <c r="EA30" s="161">
        <f t="shared" si="47"/>
        <v>7.7412498109805467E-2</v>
      </c>
      <c r="EB30" s="161">
        <f t="shared" si="47"/>
        <v>7.741249810980548E-2</v>
      </c>
      <c r="EC30" s="161">
        <f t="shared" si="47"/>
        <v>7.741249810980548E-2</v>
      </c>
      <c r="ED30" s="805"/>
      <c r="EE30" s="161">
        <f t="shared" si="46"/>
        <v>0.1359167148640833</v>
      </c>
      <c r="EF30" s="161">
        <f t="shared" si="46"/>
        <v>0.13709996048992493</v>
      </c>
      <c r="EG30" s="161">
        <f t="shared" si="46"/>
        <v>6.9779643231899266E-2</v>
      </c>
      <c r="EH30" s="161">
        <f t="shared" si="46"/>
        <v>7.7412498109805467E-2</v>
      </c>
      <c r="EI30" s="161">
        <f t="shared" si="46"/>
        <v>7.741249810980548E-2</v>
      </c>
      <c r="EJ30" s="161">
        <f t="shared" ref="EJ30" si="48">IFERROR(EJ27/EJ15,0)</f>
        <v>7.7412498109805494E-2</v>
      </c>
    </row>
    <row r="31" spans="2:140" x14ac:dyDescent="0.2">
      <c r="B31" s="167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E31" s="10"/>
      <c r="EF31" s="10"/>
      <c r="EG31" s="10"/>
      <c r="EH31" s="10"/>
      <c r="EI31" s="10"/>
      <c r="EJ31" s="812"/>
    </row>
    <row r="32" spans="2:140" x14ac:dyDescent="0.2">
      <c r="B32" s="196" t="s">
        <v>10</v>
      </c>
      <c r="C32" s="198">
        <f>SUM(C33:C36)</f>
        <v>8750324.0099999998</v>
      </c>
      <c r="D32" s="198">
        <f t="shared" ref="D32:BO32" si="49">SUM(D33:D36)</f>
        <v>8140415</v>
      </c>
      <c r="E32" s="198">
        <f t="shared" si="49"/>
        <v>10128689.539999999</v>
      </c>
      <c r="F32" s="198">
        <f t="shared" si="49"/>
        <v>12443430.199999999</v>
      </c>
      <c r="G32" s="198">
        <f t="shared" si="49"/>
        <v>12792338.369999999</v>
      </c>
      <c r="H32" s="198">
        <f t="shared" si="49"/>
        <v>18216136</v>
      </c>
      <c r="I32" s="198">
        <f t="shared" si="49"/>
        <v>41128138.509999998</v>
      </c>
      <c r="J32" s="198">
        <f t="shared" si="49"/>
        <v>42238848.019999996</v>
      </c>
      <c r="K32" s="198">
        <f t="shared" si="49"/>
        <v>41169681.949999988</v>
      </c>
      <c r="L32" s="198">
        <f t="shared" si="49"/>
        <v>46022451.4500001</v>
      </c>
      <c r="M32" s="198">
        <f t="shared" si="49"/>
        <v>26365478.020000014</v>
      </c>
      <c r="N32" s="198">
        <f t="shared" si="49"/>
        <v>660873.56000000029</v>
      </c>
      <c r="O32" s="198">
        <f t="shared" si="49"/>
        <v>19858638.949999992</v>
      </c>
      <c r="P32" s="198">
        <f t="shared" si="49"/>
        <v>29638653.110000081</v>
      </c>
      <c r="Q32" s="198">
        <f t="shared" si="49"/>
        <v>37375237.240000144</v>
      </c>
      <c r="R32" s="198">
        <f t="shared" si="49"/>
        <v>50341529.140000142</v>
      </c>
      <c r="S32" s="198">
        <f t="shared" si="49"/>
        <v>61139448.330000341</v>
      </c>
      <c r="T32" s="198">
        <f t="shared" si="49"/>
        <v>85422371.769999862</v>
      </c>
      <c r="U32" s="198">
        <f t="shared" si="49"/>
        <v>103382900.00999945</v>
      </c>
      <c r="V32" s="198">
        <f t="shared" si="49"/>
        <v>101355592.8500022</v>
      </c>
      <c r="W32" s="198">
        <f t="shared" si="49"/>
        <v>109123729.91999631</v>
      </c>
      <c r="X32" s="198">
        <f t="shared" si="49"/>
        <v>122164712.91999501</v>
      </c>
      <c r="Y32" s="198">
        <f t="shared" si="49"/>
        <v>109823064.26999599</v>
      </c>
      <c r="Z32" s="198">
        <f t="shared" si="49"/>
        <v>133608663.82000482</v>
      </c>
      <c r="AA32" s="198">
        <f t="shared" si="49"/>
        <v>159024124.13999009</v>
      </c>
      <c r="AB32" s="198">
        <f t="shared" si="49"/>
        <v>164337478.40999818</v>
      </c>
      <c r="AC32" s="198">
        <f t="shared" si="49"/>
        <v>171710139.12000531</v>
      </c>
      <c r="AD32" s="198">
        <f t="shared" si="49"/>
        <v>165129889.85999975</v>
      </c>
      <c r="AE32" s="198">
        <f t="shared" si="49"/>
        <v>182958913.47999564</v>
      </c>
      <c r="AF32" s="198">
        <f t="shared" si="49"/>
        <v>189070979.66999796</v>
      </c>
      <c r="AG32" s="198">
        <f t="shared" si="49"/>
        <v>228198550.17001384</v>
      </c>
      <c r="AH32" s="198">
        <f t="shared" si="49"/>
        <v>250734530.11999887</v>
      </c>
      <c r="AI32" s="198">
        <f t="shared" si="49"/>
        <v>248774043.02000451</v>
      </c>
      <c r="AJ32" s="198">
        <f t="shared" si="49"/>
        <v>313480811.14998049</v>
      </c>
      <c r="AK32" s="198">
        <f t="shared" si="49"/>
        <v>334676574.94952548</v>
      </c>
      <c r="AL32" s="198">
        <f t="shared" si="49"/>
        <v>353988252.16002572</v>
      </c>
      <c r="AM32" s="198">
        <f t="shared" si="49"/>
        <v>348158942.47003824</v>
      </c>
      <c r="AN32" s="198">
        <f t="shared" si="49"/>
        <v>307209984.22004133</v>
      </c>
      <c r="AO32" s="198">
        <f t="shared" si="49"/>
        <v>309398295.76196939</v>
      </c>
      <c r="AP32" s="198">
        <f t="shared" si="49"/>
        <v>290473238.17039001</v>
      </c>
      <c r="AQ32" s="198">
        <f t="shared" si="49"/>
        <v>410622723.76424277</v>
      </c>
      <c r="AR32" s="198">
        <f t="shared" si="49"/>
        <v>358528367.22648662</v>
      </c>
      <c r="AS32" s="198">
        <f t="shared" si="49"/>
        <v>310965509.49705708</v>
      </c>
      <c r="AT32" s="198">
        <f t="shared" si="49"/>
        <v>281271224.0391472</v>
      </c>
      <c r="AU32" s="198">
        <f t="shared" si="49"/>
        <v>259837357.21520609</v>
      </c>
      <c r="AV32" s="198">
        <f t="shared" si="49"/>
        <v>312758334.33302683</v>
      </c>
      <c r="AW32" s="198">
        <f t="shared" si="49"/>
        <v>330449059.35302848</v>
      </c>
      <c r="AX32" s="198">
        <f t="shared" si="49"/>
        <v>331250773.66021484</v>
      </c>
      <c r="AY32" s="198">
        <f t="shared" si="49"/>
        <v>354567623.70504457</v>
      </c>
      <c r="AZ32" s="198">
        <f t="shared" si="49"/>
        <v>336098190.46000946</v>
      </c>
      <c r="BA32" s="198">
        <f t="shared" si="49"/>
        <v>286561902.09000254</v>
      </c>
      <c r="BB32" s="198">
        <f t="shared" si="49"/>
        <v>246572389.66662261</v>
      </c>
      <c r="BC32" s="198">
        <f t="shared" si="49"/>
        <v>347521272.53159118</v>
      </c>
      <c r="BD32" s="198">
        <f t="shared" si="49"/>
        <v>338788660.16000497</v>
      </c>
      <c r="BE32" s="198">
        <f t="shared" si="49"/>
        <v>402643668.3605544</v>
      </c>
      <c r="BF32" s="198">
        <f t="shared" si="49"/>
        <v>413689531.31032002</v>
      </c>
      <c r="BG32" s="198">
        <f t="shared" si="49"/>
        <v>390704802.25000298</v>
      </c>
      <c r="BH32" s="198">
        <f t="shared" si="49"/>
        <v>488254872.32010531</v>
      </c>
      <c r="BI32" s="198">
        <f t="shared" si="49"/>
        <v>474892255.08013505</v>
      </c>
      <c r="BJ32" s="198">
        <f t="shared" si="49"/>
        <v>455033870.59000331</v>
      </c>
      <c r="BK32" s="198">
        <f t="shared" si="49"/>
        <v>465641129.59097791</v>
      </c>
      <c r="BL32" s="198">
        <f t="shared" si="49"/>
        <v>511256386.28000104</v>
      </c>
      <c r="BM32" s="198">
        <f t="shared" si="49"/>
        <v>434047140.72000164</v>
      </c>
      <c r="BN32" s="198">
        <f t="shared" si="49"/>
        <v>407088809.17999738</v>
      </c>
      <c r="BO32" s="198">
        <f t="shared" si="49"/>
        <v>590210796.76999617</v>
      </c>
      <c r="BP32" s="198">
        <f t="shared" ref="BP32:CR32" si="50">SUM(BP33:BP36)</f>
        <v>528388555.14999998</v>
      </c>
      <c r="BQ32" s="198">
        <f t="shared" si="50"/>
        <v>660089080.72999573</v>
      </c>
      <c r="BR32" s="198">
        <f t="shared" si="50"/>
        <v>698146029.25999856</v>
      </c>
      <c r="BS32" s="198">
        <f t="shared" si="50"/>
        <v>675410851.0099951</v>
      </c>
      <c r="BT32" s="198">
        <f t="shared" si="50"/>
        <v>811235735.95999897</v>
      </c>
      <c r="BU32" s="198">
        <f t="shared" si="50"/>
        <v>678455992.80867589</v>
      </c>
      <c r="BV32" s="198">
        <f t="shared" si="50"/>
        <v>664413410.52437353</v>
      </c>
      <c r="BW32" s="198">
        <f t="shared" si="50"/>
        <v>663028454.80029023</v>
      </c>
      <c r="BX32" s="198">
        <f t="shared" si="50"/>
        <v>717970649.49884415</v>
      </c>
      <c r="BY32" s="198">
        <f t="shared" si="50"/>
        <v>641470411.23932433</v>
      </c>
      <c r="BZ32" s="198">
        <f t="shared" si="50"/>
        <v>595664059.00779283</v>
      </c>
      <c r="CA32" s="198">
        <f t="shared" si="50"/>
        <v>743244506.80695033</v>
      </c>
      <c r="CB32" s="198">
        <f t="shared" si="50"/>
        <v>684477954.59742069</v>
      </c>
      <c r="CC32" s="198">
        <f t="shared" si="50"/>
        <v>814270464.67688215</v>
      </c>
      <c r="CD32" s="198">
        <f t="shared" si="50"/>
        <v>834271354.9634943</v>
      </c>
      <c r="CE32" s="198">
        <f t="shared" si="50"/>
        <v>775786970.30562949</v>
      </c>
      <c r="CF32" s="198">
        <f t="shared" si="50"/>
        <v>902443705.05311847</v>
      </c>
      <c r="CG32" s="198">
        <f t="shared" si="50"/>
        <v>829666909.23110378</v>
      </c>
      <c r="CH32" s="198">
        <f t="shared" si="50"/>
        <v>814529289.23039174</v>
      </c>
      <c r="CI32" s="198">
        <f t="shared" si="50"/>
        <v>808603849.14118779</v>
      </c>
      <c r="CJ32" s="198">
        <f t="shared" si="50"/>
        <v>875160059.25274992</v>
      </c>
      <c r="CK32" s="198">
        <f t="shared" si="50"/>
        <v>780205391.31564248</v>
      </c>
      <c r="CL32" s="198">
        <f t="shared" si="50"/>
        <v>722721445.45172668</v>
      </c>
      <c r="CM32" s="198">
        <f t="shared" si="50"/>
        <v>899096210.67064154</v>
      </c>
      <c r="CN32" s="198">
        <f t="shared" si="50"/>
        <v>823603179.24968982</v>
      </c>
      <c r="CO32" s="198">
        <f t="shared" si="50"/>
        <v>976568200.20624471</v>
      </c>
      <c r="CP32" s="198">
        <f t="shared" si="50"/>
        <v>996426152.33722782</v>
      </c>
      <c r="CQ32" s="198">
        <f t="shared" si="50"/>
        <v>921946503.31567192</v>
      </c>
      <c r="CR32" s="198">
        <f t="shared" si="50"/>
        <v>1060883946.3341253</v>
      </c>
      <c r="CS32" s="198">
        <f t="shared" ref="CS32:DD32" si="51">SUM(CS33:CS36)</f>
        <v>945339515.98410356</v>
      </c>
      <c r="CT32" s="198">
        <f t="shared" si="51"/>
        <v>927163630.11164689</v>
      </c>
      <c r="CU32" s="198">
        <f t="shared" si="51"/>
        <v>919830031.5813067</v>
      </c>
      <c r="CV32" s="198">
        <f t="shared" si="51"/>
        <v>995211901.48614717</v>
      </c>
      <c r="CW32" s="198">
        <f t="shared" si="51"/>
        <v>886077410.25407946</v>
      </c>
      <c r="CX32" s="198">
        <f t="shared" si="51"/>
        <v>819585418.61637306</v>
      </c>
      <c r="CY32" s="198">
        <f t="shared" si="51"/>
        <v>1020138109.2518356</v>
      </c>
      <c r="CZ32" s="198">
        <f t="shared" si="51"/>
        <v>933665685.8214221</v>
      </c>
      <c r="DA32" s="198">
        <f t="shared" si="51"/>
        <v>1107401256.7350147</v>
      </c>
      <c r="DB32" s="198">
        <f t="shared" si="51"/>
        <v>1129676949.2709913</v>
      </c>
      <c r="DC32" s="198">
        <f t="shared" si="51"/>
        <v>1044404298.0656905</v>
      </c>
      <c r="DD32" s="198">
        <f t="shared" si="51"/>
        <v>1201994642.9086406</v>
      </c>
      <c r="DF32" s="198">
        <f t="shared" ref="DF32:DF60" si="52">SUM(AK32:AM32)</f>
        <v>1036823769.5795894</v>
      </c>
      <c r="DG32" s="198">
        <f t="shared" ref="DG32:DG60" si="53">SUM(AN32:AP32)</f>
        <v>907081518.15240073</v>
      </c>
      <c r="DH32" s="198">
        <f t="shared" ref="DH32:DH60" si="54">SUM(AQ32:AS32)</f>
        <v>1080116600.4877863</v>
      </c>
      <c r="DI32" s="198">
        <f t="shared" ref="DI32:DI60" si="55">SUM(AT32:AV32)</f>
        <v>853866915.58738017</v>
      </c>
      <c r="DJ32" s="198">
        <f t="shared" ref="DJ32:DJ60" si="56">SUM(AW32:AY32)</f>
        <v>1016267456.7182879</v>
      </c>
      <c r="DK32" s="198">
        <f t="shared" ref="DK32:DK60" si="57">SUM(AZ32:BB32)</f>
        <v>869232482.21663463</v>
      </c>
      <c r="DL32" s="198">
        <f t="shared" ref="DL32:DL60" si="58">SUM(BC32:BE32)</f>
        <v>1088953601.0521505</v>
      </c>
      <c r="DM32" s="198">
        <f t="shared" ref="DM32:DM60" si="59">SUM(BF32:BH32)</f>
        <v>1292649205.8804283</v>
      </c>
      <c r="DN32" s="198">
        <f t="shared" ref="DN32:DN60" si="60">SUM(BI32:BK32)</f>
        <v>1395567255.2611163</v>
      </c>
      <c r="DO32" s="198">
        <f t="shared" ref="DO32:DO60" si="61">SUM(BL32:BN32)</f>
        <v>1352392336.1800001</v>
      </c>
      <c r="DP32" s="198">
        <f t="shared" ref="DP32:DP60" si="62">SUM(BO32:BQ32)</f>
        <v>1778688432.649992</v>
      </c>
      <c r="DQ32" s="198">
        <f t="shared" ref="DQ32:DQ60" si="63">SUM(BR32:BT32)</f>
        <v>2184792616.2299929</v>
      </c>
      <c r="DR32" s="198">
        <f t="shared" ref="DR32:DR60" si="64">SUM(BU32:BW32)</f>
        <v>2005897858.1333394</v>
      </c>
      <c r="DS32" s="198">
        <f t="shared" ref="DS32:DS60" si="65">SUM(BX32:BZ32)</f>
        <v>1955105119.7459612</v>
      </c>
      <c r="DT32" s="198">
        <f t="shared" ref="DT32:DT60" si="66">SUM(CA32:CC32)</f>
        <v>2241992926.0812531</v>
      </c>
      <c r="DU32" s="198">
        <f t="shared" ref="DU32:DU60" si="67">SUM(CD32:CF32)</f>
        <v>2512502030.3222423</v>
      </c>
      <c r="DV32" s="198">
        <f t="shared" ref="DV32:DV60" si="68">SUM(CG32:CI32)</f>
        <v>2452800047.6026831</v>
      </c>
      <c r="DW32" s="198">
        <f t="shared" ref="DW32:DW60" si="69">SUM(CJ32:CL32)</f>
        <v>2378086896.0201187</v>
      </c>
      <c r="DX32" s="198">
        <f t="shared" ref="DX32:DX60" si="70">SUM(CM32:CO32)</f>
        <v>2699267590.1265764</v>
      </c>
      <c r="DY32" s="198">
        <f t="shared" ref="DY32:DY60" si="71">SUM(CP32:CR32)</f>
        <v>2979256601.9870253</v>
      </c>
      <c r="DZ32" s="198">
        <f t="shared" si="23"/>
        <v>2792333177.6770573</v>
      </c>
      <c r="EA32" s="198">
        <f t="shared" si="24"/>
        <v>2700874730.3565998</v>
      </c>
      <c r="EB32" s="198">
        <f t="shared" si="25"/>
        <v>3061205051.8082724</v>
      </c>
      <c r="EC32" s="198">
        <f t="shared" si="26"/>
        <v>3376075890.2453222</v>
      </c>
      <c r="EE32" s="198">
        <f>SUM(DF32:DI32)</f>
        <v>3877888803.8071566</v>
      </c>
      <c r="EF32" s="198">
        <f>SUM(DJ32:DM32)</f>
        <v>4267102745.8675013</v>
      </c>
      <c r="EG32" s="198">
        <f>SUM(DN32:DQ32)</f>
        <v>6711440640.3211012</v>
      </c>
      <c r="EH32" s="198">
        <f>SUM(DR32:DU32)</f>
        <v>8715497934.2827969</v>
      </c>
      <c r="EI32" s="198">
        <f>SUM(DV32:DY32)</f>
        <v>10509411135.736404</v>
      </c>
      <c r="EJ32" s="814">
        <f t="shared" si="27"/>
        <v>11930488850.087252</v>
      </c>
    </row>
    <row r="33" spans="2:140" x14ac:dyDescent="0.2">
      <c r="B33" s="167" t="s">
        <v>139</v>
      </c>
      <c r="C33" s="19">
        <f>'P&amp;L - Inputs'!AB417</f>
        <v>4954766</v>
      </c>
      <c r="D33" s="19">
        <f>'P&amp;L - Inputs'!AC417</f>
        <v>4037445</v>
      </c>
      <c r="E33" s="19">
        <f>'P&amp;L - Inputs'!AD417</f>
        <v>5795139.0300000003</v>
      </c>
      <c r="F33" s="19">
        <f>'P&amp;L - Inputs'!AE417</f>
        <v>8680388.4000000004</v>
      </c>
      <c r="G33" s="19">
        <f>'P&amp;L - Inputs'!AF417</f>
        <v>9243030.0299999993</v>
      </c>
      <c r="H33" s="19">
        <f>'P&amp;L - Inputs'!AG417</f>
        <v>14763382</v>
      </c>
      <c r="I33" s="19">
        <f>'P&amp;L - Inputs'!AH417</f>
        <v>37620345.100000001</v>
      </c>
      <c r="J33" s="19">
        <f>'P&amp;L - Inputs'!AI417</f>
        <v>38690629.359999999</v>
      </c>
      <c r="K33" s="19">
        <f>'P&amp;L - Inputs'!AJ417</f>
        <v>37284465.949999988</v>
      </c>
      <c r="L33" s="19">
        <f>'P&amp;L - Inputs'!AK417</f>
        <v>41503715.480000101</v>
      </c>
      <c r="M33" s="19">
        <f>'P&amp;L - Inputs'!AL417</f>
        <v>23610724.890000015</v>
      </c>
      <c r="N33" s="19">
        <f>'P&amp;L - Inputs'!AM417</f>
        <v>653479.00000000023</v>
      </c>
      <c r="O33" s="19">
        <f>'P&amp;L - Inputs'!AN417</f>
        <v>15160515.03999999</v>
      </c>
      <c r="P33" s="19">
        <f>'P&amp;L - Inputs'!AO417</f>
        <v>22943616.65000008</v>
      </c>
      <c r="Q33" s="19">
        <f>'P&amp;L - Inputs'!AP417</f>
        <v>30151182.960000139</v>
      </c>
      <c r="R33" s="19">
        <f>'P&amp;L - Inputs'!AQ417</f>
        <v>41268079.140000142</v>
      </c>
      <c r="S33" s="19">
        <f>'P&amp;L - Inputs'!AR417</f>
        <v>52461125.990000345</v>
      </c>
      <c r="T33" s="19">
        <f>'P&amp;L - Inputs'!AS417</f>
        <v>76108050.409999847</v>
      </c>
      <c r="U33" s="19">
        <f>'P&amp;L - Inputs'!AT417</f>
        <v>90064856.66999945</v>
      </c>
      <c r="V33" s="19">
        <f>'P&amp;L - Inputs'!AU417</f>
        <v>88310751.100002199</v>
      </c>
      <c r="W33" s="19">
        <f>'P&amp;L - Inputs'!AV417</f>
        <v>96116299.679996312</v>
      </c>
      <c r="X33" s="19">
        <f>'P&amp;L - Inputs'!AW417</f>
        <v>108605334.61999501</v>
      </c>
      <c r="Y33" s="19">
        <f>'P&amp;L - Inputs'!AX417</f>
        <v>95380289.289995983</v>
      </c>
      <c r="Z33" s="19">
        <f>'P&amp;L - Inputs'!AY417</f>
        <v>117449996.64000481</v>
      </c>
      <c r="AA33" s="19">
        <f>'P&amp;L - Inputs'!AZ417</f>
        <v>141888250.5699901</v>
      </c>
      <c r="AB33" s="19">
        <f>'P&amp;L - Inputs'!BA417</f>
        <v>144543492.22999817</v>
      </c>
      <c r="AC33" s="19">
        <f>'P&amp;L - Inputs'!BB417</f>
        <v>150286837.20000532</v>
      </c>
      <c r="AD33" s="19">
        <f>'P&amp;L - Inputs'!BC417</f>
        <v>144106968.34999976</v>
      </c>
      <c r="AE33" s="19">
        <f>'P&amp;L - Inputs'!BD417</f>
        <v>162952580.15999565</v>
      </c>
      <c r="AF33" s="19">
        <f>'P&amp;L - Inputs'!BE417</f>
        <v>169198135.41999796</v>
      </c>
      <c r="AG33" s="19">
        <f>'P&amp;L - Inputs'!BF417</f>
        <v>207985981.08001384</v>
      </c>
      <c r="AH33" s="19">
        <f>'P&amp;L - Inputs'!BG417</f>
        <v>228488699.00999886</v>
      </c>
      <c r="AI33" s="19">
        <f>'P&amp;L - Inputs'!BH417</f>
        <v>226822362.10000449</v>
      </c>
      <c r="AJ33" s="19">
        <f>'P&amp;L - Inputs'!BI417</f>
        <v>290580358.72998047</v>
      </c>
      <c r="AK33" s="19">
        <f>'P&amp;L - Inputs'!BJ417</f>
        <v>310871940.22002548</v>
      </c>
      <c r="AL33" s="19">
        <f>'P&amp;L - Inputs'!BK417</f>
        <v>329021766.16002572</v>
      </c>
      <c r="AM33" s="19">
        <f>'P&amp;L - Inputs'!BL417</f>
        <v>321689071.86003822</v>
      </c>
      <c r="AN33" s="19">
        <f>'P&amp;L - Inputs'!BM417</f>
        <v>279841172.42004132</v>
      </c>
      <c r="AO33" s="19">
        <f>'P&amp;L - Inputs'!BN417</f>
        <v>278148585.89996934</v>
      </c>
      <c r="AP33" s="19">
        <f>'P&amp;L - Inputs'!BO417</f>
        <v>262462347.14003003</v>
      </c>
      <c r="AQ33" s="19">
        <f>'P&amp;L - Inputs'!BP417</f>
        <v>378519270.84254277</v>
      </c>
      <c r="AR33" s="19">
        <f>'P&amp;L - Inputs'!BQ417</f>
        <v>334557099.06254625</v>
      </c>
      <c r="AS33" s="19">
        <f>'P&amp;L - Inputs'!BR417</f>
        <v>288341610.66609704</v>
      </c>
      <c r="AT33" s="19">
        <f>'P&amp;L - Inputs'!BS417</f>
        <v>259890567.12915152</v>
      </c>
      <c r="AU33" s="19">
        <f>'P&amp;L - Inputs'!BT417</f>
        <v>237519357.85305086</v>
      </c>
      <c r="AV33" s="19">
        <f>'P&amp;L - Inputs'!BU417</f>
        <v>287183750.34305489</v>
      </c>
      <c r="AW33" s="19">
        <f>'P&amp;L - Inputs'!BV417</f>
        <v>303377623.23305589</v>
      </c>
      <c r="AX33" s="19">
        <f>'P&amp;L - Inputs'!BW417</f>
        <v>302860728.54000413</v>
      </c>
      <c r="AY33" s="19">
        <f>'P&amp;L - Inputs'!BX417</f>
        <v>323349519.70000637</v>
      </c>
      <c r="AZ33" s="19">
        <f>'P&amp;L - Inputs'!BY417</f>
        <v>303741721.71000528</v>
      </c>
      <c r="BA33" s="19">
        <f>'P&amp;L - Inputs'!BZ417</f>
        <v>254864327.23000249</v>
      </c>
      <c r="BB33" s="19">
        <f>'P&amp;L - Inputs'!CA417</f>
        <v>217817066.76000494</v>
      </c>
      <c r="BC33" s="19">
        <f>'P&amp;L - Inputs'!CB417</f>
        <v>313728741.67000377</v>
      </c>
      <c r="BD33" s="19">
        <f>'P&amp;L - Inputs'!CC417</f>
        <v>309314249.54000497</v>
      </c>
      <c r="BE33" s="19">
        <f>'P&amp;L - Inputs'!CD417</f>
        <v>368070882.72436666</v>
      </c>
      <c r="BF33" s="19">
        <f>'P&amp;L - Inputs'!CE417</f>
        <v>379552463.49032009</v>
      </c>
      <c r="BG33" s="19">
        <f>'P&amp;L - Inputs'!CF417</f>
        <v>360411444.08000308</v>
      </c>
      <c r="BH33" s="19">
        <f>'P&amp;L - Inputs'!CG417</f>
        <v>450000119.13010532</v>
      </c>
      <c r="BI33" s="19">
        <f>'P&amp;L - Inputs'!CH417</f>
        <v>439433304.52013505</v>
      </c>
      <c r="BJ33" s="19">
        <f>'P&amp;L - Inputs'!CI417</f>
        <v>417983825.70000333</v>
      </c>
      <c r="BK33" s="19">
        <f>'P&amp;L - Inputs'!CJ417</f>
        <v>431529333.45097804</v>
      </c>
      <c r="BL33" s="19">
        <f>'P&amp;L - Inputs'!CK417</f>
        <v>471853197.32000107</v>
      </c>
      <c r="BM33" s="19">
        <f>'P&amp;L - Inputs'!CL417</f>
        <v>392554697.89000165</v>
      </c>
      <c r="BN33" s="19">
        <f>'P&amp;L - Inputs'!CM417</f>
        <v>367856266.94999743</v>
      </c>
      <c r="BO33" s="19">
        <f>'P&amp;L - Inputs'!CN417</f>
        <v>542092159.60999608</v>
      </c>
      <c r="BP33" s="19">
        <f>'P&amp;L - Inputs'!CO417</f>
        <v>481851137.93000001</v>
      </c>
      <c r="BQ33" s="19">
        <f>'P&amp;L - Inputs'!CP417</f>
        <v>602509405.98999572</v>
      </c>
      <c r="BR33" s="19">
        <f>'P&amp;L - Inputs'!CQ417</f>
        <v>643298323.67999852</v>
      </c>
      <c r="BS33" s="19">
        <f>'P&amp;L - Inputs'!CR417</f>
        <v>622555296.80999506</v>
      </c>
      <c r="BT33" s="19">
        <f>'P&amp;L - Inputs'!CS417</f>
        <v>733259326.33999896</v>
      </c>
      <c r="BU33" s="19">
        <f>'P&amp;L - Inputs'!CT417</f>
        <v>623316225.19374788</v>
      </c>
      <c r="BV33" s="19">
        <f>'P&amp;L - Inputs'!CU417</f>
        <v>608891680.63346696</v>
      </c>
      <c r="BW33" s="19">
        <f>'P&amp;L - Inputs'!CV417</f>
        <v>606852652.25054502</v>
      </c>
      <c r="BX33" s="19">
        <f>'P&amp;L - Inputs'!CW417</f>
        <v>661128484.74072325</v>
      </c>
      <c r="BY33" s="19">
        <f>'P&amp;L - Inputs'!CX417</f>
        <v>584283847.66939878</v>
      </c>
      <c r="BZ33" s="19">
        <f>'P&amp;L - Inputs'!CY417</f>
        <v>537786629.09952998</v>
      </c>
      <c r="CA33" s="19">
        <f>'P&amp;L - Inputs'!CZ417</f>
        <v>684318799.80892086</v>
      </c>
      <c r="CB33" s="19">
        <f>'P&amp;L - Inputs'!DA417</f>
        <v>625134739.04751992</v>
      </c>
      <c r="CC33" s="19">
        <f>'P&amp;L - Inputs'!DB417</f>
        <v>753952305.43780303</v>
      </c>
      <c r="CD33" s="19">
        <f>'P&amp;L - Inputs'!DC417</f>
        <v>773430884.20442677</v>
      </c>
      <c r="CE33" s="19">
        <f>'P&amp;L - Inputs'!DD417</f>
        <v>714527827.71728182</v>
      </c>
      <c r="CF33" s="19">
        <f>'P&amp;L - Inputs'!DE417</f>
        <v>839782691.57698047</v>
      </c>
      <c r="CG33" s="19">
        <f>'P&amp;L - Inputs'!DF417</f>
        <v>766874817.29158139</v>
      </c>
      <c r="CH33" s="19">
        <f>'P&amp;L - Inputs'!DG417</f>
        <v>751139642.62094986</v>
      </c>
      <c r="CI33" s="19">
        <f>'P&amp;L - Inputs'!DH417</f>
        <v>744798703.84342337</v>
      </c>
      <c r="CJ33" s="19">
        <f>'P&amp;L - Inputs'!DI417</f>
        <v>810641421.94283426</v>
      </c>
      <c r="CK33" s="19">
        <f>'P&amp;L - Inputs'!DJ417</f>
        <v>715417350.6312989</v>
      </c>
      <c r="CL33" s="19">
        <f>'P&amp;L - Inputs'!DK417</f>
        <v>657290018.30856955</v>
      </c>
      <c r="CM33" s="19">
        <f>'P&amp;L - Inputs'!DL417</f>
        <v>832719725.17928278</v>
      </c>
      <c r="CN33" s="19">
        <f>'P&amp;L - Inputs'!DM417</f>
        <v>757097207.8430934</v>
      </c>
      <c r="CO33" s="19">
        <f>'P&amp;L - Inputs'!DN417</f>
        <v>909213414.77650535</v>
      </c>
      <c r="CP33" s="19">
        <f>'P&amp;L - Inputs'!DO417</f>
        <v>928769795.08640003</v>
      </c>
      <c r="CQ33" s="19">
        <f>'P&amp;L - Inputs'!DP417</f>
        <v>854156493.83732367</v>
      </c>
      <c r="CR33" s="19">
        <f>'P&amp;L - Inputs'!DQ417</f>
        <v>992302794.32001698</v>
      </c>
      <c r="CS33" s="19">
        <f>'P&amp;L - Inputs'!DR417</f>
        <v>876793541.10337472</v>
      </c>
      <c r="CT33" s="19">
        <f>'P&amp;L - Inputs'!DS417</f>
        <v>858032591.76316202</v>
      </c>
      <c r="CU33" s="19">
        <f>'P&amp;L - Inputs'!DT417</f>
        <v>850289283.89688277</v>
      </c>
      <c r="CV33" s="19">
        <f>'P&amp;L - Inputs'!DU417</f>
        <v>924921376.91347587</v>
      </c>
      <c r="CW33" s="19">
        <f>'P&amp;L - Inputs'!DV417</f>
        <v>815575779.71968079</v>
      </c>
      <c r="CX33" s="19">
        <f>'P&amp;L - Inputs'!DW417</f>
        <v>748477436.341519</v>
      </c>
      <c r="CY33" s="19">
        <f>'P&amp;L - Inputs'!DX417</f>
        <v>947985666.08567834</v>
      </c>
      <c r="CZ33" s="19">
        <f>'P&amp;L - Inputs'!DY417</f>
        <v>861428896.24098301</v>
      </c>
      <c r="DA33" s="19">
        <f>'P&amp;L - Inputs'!DZ417</f>
        <v>1034230259.3082749</v>
      </c>
      <c r="DB33" s="19">
        <f>'P&amp;L - Inputs'!EA417</f>
        <v>1056194439.9832017</v>
      </c>
      <c r="DC33" s="19">
        <f>'P&amp;L - Inputs'!EB417</f>
        <v>970832509.74809217</v>
      </c>
      <c r="DD33" s="19">
        <f>'P&amp;L - Inputs'!EC417</f>
        <v>1127555024.5047319</v>
      </c>
      <c r="DF33" s="19">
        <f t="shared" si="52"/>
        <v>961582778.24008942</v>
      </c>
      <c r="DG33" s="19">
        <f t="shared" si="53"/>
        <v>820452105.46004069</v>
      </c>
      <c r="DH33" s="19">
        <f t="shared" si="54"/>
        <v>1001417980.5711861</v>
      </c>
      <c r="DI33" s="19">
        <f t="shared" si="55"/>
        <v>784593675.3252573</v>
      </c>
      <c r="DJ33" s="19">
        <f t="shared" si="56"/>
        <v>929587871.47306645</v>
      </c>
      <c r="DK33" s="19">
        <f t="shared" si="57"/>
        <v>776423115.70001268</v>
      </c>
      <c r="DL33" s="19">
        <f t="shared" si="58"/>
        <v>991113873.93437541</v>
      </c>
      <c r="DM33" s="19">
        <f t="shared" si="59"/>
        <v>1189964026.7004285</v>
      </c>
      <c r="DN33" s="19">
        <f t="shared" si="60"/>
        <v>1288946463.6711164</v>
      </c>
      <c r="DO33" s="19">
        <f t="shared" si="61"/>
        <v>1232264162.1600001</v>
      </c>
      <c r="DP33" s="19">
        <f t="shared" si="62"/>
        <v>1626452703.5299919</v>
      </c>
      <c r="DQ33" s="19">
        <f t="shared" si="63"/>
        <v>1999112946.8299925</v>
      </c>
      <c r="DR33" s="19">
        <f t="shared" si="64"/>
        <v>1839060558.0777597</v>
      </c>
      <c r="DS33" s="19">
        <f t="shared" si="65"/>
        <v>1783198961.5096519</v>
      </c>
      <c r="DT33" s="19">
        <f t="shared" si="66"/>
        <v>2063405844.2942438</v>
      </c>
      <c r="DU33" s="19">
        <f t="shared" si="67"/>
        <v>2327741403.4986892</v>
      </c>
      <c r="DV33" s="19">
        <f t="shared" si="68"/>
        <v>2262813163.7559547</v>
      </c>
      <c r="DW33" s="19">
        <f t="shared" si="69"/>
        <v>2183348790.8827028</v>
      </c>
      <c r="DX33" s="19">
        <f t="shared" si="70"/>
        <v>2499030347.7988815</v>
      </c>
      <c r="DY33" s="19">
        <f t="shared" si="71"/>
        <v>2775229083.2437406</v>
      </c>
      <c r="DZ33" s="19">
        <f t="shared" si="23"/>
        <v>2585115416.7634192</v>
      </c>
      <c r="EA33" s="19">
        <f t="shared" si="24"/>
        <v>2488974592.9746757</v>
      </c>
      <c r="EB33" s="19">
        <f t="shared" si="25"/>
        <v>2843644821.6349363</v>
      </c>
      <c r="EC33" s="19">
        <f t="shared" si="26"/>
        <v>3154581974.2360258</v>
      </c>
      <c r="EE33" s="19">
        <f>SUM(DF33:DI33)</f>
        <v>3568046539.5965734</v>
      </c>
      <c r="EF33" s="19">
        <f>SUM(DJ33:DM33)</f>
        <v>3887088887.8078828</v>
      </c>
      <c r="EG33" s="19">
        <f>SUM(DN33:DQ33)</f>
        <v>6146776276.1911011</v>
      </c>
      <c r="EH33" s="19">
        <f>SUM(DR33:DU33)</f>
        <v>8013406767.3803444</v>
      </c>
      <c r="EI33" s="19">
        <f>SUM(DV33:DY33)</f>
        <v>9720421385.6812801</v>
      </c>
      <c r="EJ33" s="770">
        <f t="shared" si="27"/>
        <v>11072316805.609056</v>
      </c>
    </row>
    <row r="34" spans="2:140" x14ac:dyDescent="0.2">
      <c r="B34" s="167" t="s">
        <v>191</v>
      </c>
      <c r="C34" s="19">
        <f>'P&amp;L - Inputs'!AB418</f>
        <v>3655563.01</v>
      </c>
      <c r="D34" s="19">
        <f>'P&amp;L - Inputs'!AC418</f>
        <v>3972387</v>
      </c>
      <c r="E34" s="19">
        <f>'P&amp;L - Inputs'!AD418</f>
        <v>4122520.4</v>
      </c>
      <c r="F34" s="19">
        <f>'P&amp;L - Inputs'!AE418</f>
        <v>3482649.1</v>
      </c>
      <c r="G34" s="19">
        <f>'P&amp;L - Inputs'!AF418</f>
        <v>3286270</v>
      </c>
      <c r="H34" s="19">
        <f>'P&amp;L - Inputs'!AG418</f>
        <v>3164743</v>
      </c>
      <c r="I34" s="19">
        <f>'P&amp;L - Inputs'!AH418</f>
        <v>3181133</v>
      </c>
      <c r="J34" s="19">
        <f>'P&amp;L - Inputs'!AI418</f>
        <v>3167770</v>
      </c>
      <c r="K34" s="19">
        <f>'P&amp;L - Inputs'!AJ418</f>
        <v>2816768</v>
      </c>
      <c r="L34" s="19">
        <f>'P&amp;L - Inputs'!AK418</f>
        <v>3828115</v>
      </c>
      <c r="M34" s="19">
        <f>'P&amp;L - Inputs'!AL418</f>
        <v>2399609</v>
      </c>
      <c r="N34" s="19">
        <f>'P&amp;L - Inputs'!AM418</f>
        <v>0</v>
      </c>
      <c r="O34" s="19">
        <f>'P&amp;L - Inputs'!AN418</f>
        <v>4316723</v>
      </c>
      <c r="P34" s="19">
        <f>'P&amp;L - Inputs'!AO418</f>
        <v>6004305</v>
      </c>
      <c r="Q34" s="19">
        <f>'P&amp;L - Inputs'!AP418</f>
        <v>5531798</v>
      </c>
      <c r="R34" s="19">
        <f>'P&amp;L - Inputs'!AQ418</f>
        <v>6811484</v>
      </c>
      <c r="S34" s="19">
        <f>'P&amp;L - Inputs'!AR418</f>
        <v>6477790</v>
      </c>
      <c r="T34" s="19">
        <f>'P&amp;L - Inputs'!AS418</f>
        <v>6832610</v>
      </c>
      <c r="U34" s="19">
        <f>'P&amp;L - Inputs'!AT418</f>
        <v>9801213.9399999995</v>
      </c>
      <c r="V34" s="19">
        <f>'P&amp;L - Inputs'!AU418</f>
        <v>9717463</v>
      </c>
      <c r="W34" s="19">
        <f>'P&amp;L - Inputs'!AV418</f>
        <v>9709837</v>
      </c>
      <c r="X34" s="19">
        <f>'P&amp;L - Inputs'!AW418</f>
        <v>8969038</v>
      </c>
      <c r="Y34" s="19">
        <f>'P&amp;L - Inputs'!AX418</f>
        <v>11077045</v>
      </c>
      <c r="Z34" s="19">
        <f>'P&amp;L - Inputs'!AY418</f>
        <v>12723867</v>
      </c>
      <c r="AA34" s="19">
        <f>'P&amp;L - Inputs'!AZ418</f>
        <v>12864451</v>
      </c>
      <c r="AB34" s="19">
        <f>'P&amp;L - Inputs'!BA418</f>
        <v>15111163</v>
      </c>
      <c r="AC34" s="19">
        <f>'P&amp;L - Inputs'!BB418</f>
        <v>15860874</v>
      </c>
      <c r="AD34" s="19">
        <f>'P&amp;L - Inputs'!BC418</f>
        <v>14892958</v>
      </c>
      <c r="AE34" s="19">
        <f>'P&amp;L - Inputs'!BD418</f>
        <v>14209739</v>
      </c>
      <c r="AF34" s="19">
        <f>'P&amp;L - Inputs'!BE418</f>
        <v>14997847</v>
      </c>
      <c r="AG34" s="19">
        <f>'P&amp;L - Inputs'!BF418</f>
        <v>15114599</v>
      </c>
      <c r="AH34" s="19">
        <f>'P&amp;L - Inputs'!BG418</f>
        <v>16055224</v>
      </c>
      <c r="AI34" s="19">
        <f>'P&amp;L - Inputs'!BH418</f>
        <v>15120818</v>
      </c>
      <c r="AJ34" s="19">
        <f>'P&amp;L - Inputs'!BI418</f>
        <v>15916436</v>
      </c>
      <c r="AK34" s="19">
        <f>'P&amp;L - Inputs'!BJ418</f>
        <v>16455088</v>
      </c>
      <c r="AL34" s="19">
        <f>'P&amp;L - Inputs'!BK418</f>
        <v>17261755</v>
      </c>
      <c r="AM34" s="19">
        <f>'P&amp;L - Inputs'!BL418</f>
        <v>18137287</v>
      </c>
      <c r="AN34" s="19">
        <f>'P&amp;L - Inputs'!BM418</f>
        <v>19516288</v>
      </c>
      <c r="AO34" s="19">
        <f>'P&amp;L - Inputs'!BN418</f>
        <v>19725098</v>
      </c>
      <c r="AP34" s="19">
        <f>'P&amp;L - Inputs'!BO418</f>
        <v>17099249</v>
      </c>
      <c r="AQ34" s="19">
        <f>'P&amp;L - Inputs'!BP418</f>
        <v>17511393</v>
      </c>
      <c r="AR34" s="19">
        <f>'P&amp;L - Inputs'!BQ418</f>
        <v>14560657</v>
      </c>
      <c r="AS34" s="19">
        <f>'P&amp;L - Inputs'!BR418</f>
        <v>14625126</v>
      </c>
      <c r="AT34" s="19">
        <f>'P&amp;L - Inputs'!BS418</f>
        <v>14384434</v>
      </c>
      <c r="AU34" s="19">
        <f>'P&amp;L - Inputs'!BT418</f>
        <v>14500412</v>
      </c>
      <c r="AV34" s="19">
        <f>'P&amp;L - Inputs'!BU418</f>
        <v>16891021</v>
      </c>
      <c r="AW34" s="19">
        <f>'P&amp;L - Inputs'!BV418</f>
        <v>17959708</v>
      </c>
      <c r="AX34" s="19">
        <f>'P&amp;L - Inputs'!BW418</f>
        <v>19262795</v>
      </c>
      <c r="AY34" s="19">
        <f>'P&amp;L - Inputs'!BX418</f>
        <v>20797660</v>
      </c>
      <c r="AZ34" s="19">
        <f>'P&amp;L - Inputs'!BY418</f>
        <v>22174516.800000001</v>
      </c>
      <c r="BA34" s="19">
        <f>'P&amp;L - Inputs'!BZ418</f>
        <v>21618496</v>
      </c>
      <c r="BB34" s="19">
        <f>'P&amp;L - Inputs'!CA418</f>
        <v>20817939</v>
      </c>
      <c r="BC34" s="19">
        <f>'P&amp;L - Inputs'!CB418</f>
        <v>21207667.68</v>
      </c>
      <c r="BD34" s="19">
        <f>'P&amp;L - Inputs'!CC418</f>
        <v>19255836.920000002</v>
      </c>
      <c r="BE34" s="19">
        <f>'P&amp;L - Inputs'!CD418</f>
        <v>22400620.879999999</v>
      </c>
      <c r="BF34" s="19">
        <f>'P&amp;L - Inputs'!CE418</f>
        <v>21300170.48</v>
      </c>
      <c r="BG34" s="19">
        <f>'P&amp;L - Inputs'!CF418</f>
        <v>18619942.399999999</v>
      </c>
      <c r="BH34" s="19">
        <f>'P&amp;L - Inputs'!CG418</f>
        <v>24707878.719999999</v>
      </c>
      <c r="BI34" s="19">
        <f>'P&amp;L - Inputs'!CH418</f>
        <v>22799477</v>
      </c>
      <c r="BJ34" s="19">
        <f>'P&amp;L - Inputs'!CI418</f>
        <v>23528850</v>
      </c>
      <c r="BK34" s="19">
        <f>'P&amp;L - Inputs'!CJ418</f>
        <v>23644259.399999999</v>
      </c>
      <c r="BL34" s="19">
        <f>'P&amp;L - Inputs'!CK418</f>
        <v>26714167.710000001</v>
      </c>
      <c r="BM34" s="19">
        <f>'P&amp;L - Inputs'!CL418</f>
        <v>30017121.27</v>
      </c>
      <c r="BN34" s="19">
        <f>'P&amp;L - Inputs'!CM418</f>
        <v>25148103.829999998</v>
      </c>
      <c r="BO34" s="19">
        <f>'P&amp;L - Inputs'!CN418</f>
        <v>25669120.719999999</v>
      </c>
      <c r="BP34" s="19">
        <f>'P&amp;L - Inputs'!CO418</f>
        <v>26616200.09</v>
      </c>
      <c r="BQ34" s="19">
        <f>'P&amp;L - Inputs'!CP418</f>
        <v>32153333.34</v>
      </c>
      <c r="BR34" s="19">
        <f>'P&amp;L - Inputs'!CQ418</f>
        <v>31872046.09</v>
      </c>
      <c r="BS34" s="19">
        <f>'P&amp;L - Inputs'!CR418</f>
        <v>31154044.84</v>
      </c>
      <c r="BT34" s="19">
        <f>'P&amp;L - Inputs'!CS418</f>
        <v>53076996.660000004</v>
      </c>
      <c r="BU34" s="19">
        <f>'P&amp;L - Inputs'!CT418</f>
        <v>33804798.704594932</v>
      </c>
      <c r="BV34" s="19">
        <f>'P&amp;L - Inputs'!CU418</f>
        <v>34088872.643289007</v>
      </c>
      <c r="BW34" s="19">
        <f>'P&amp;L - Inputs'!CV418</f>
        <v>34514983.551330119</v>
      </c>
      <c r="BX34" s="19">
        <f>'P&amp;L - Inputs'!CW418</f>
        <v>34799057.490024194</v>
      </c>
      <c r="BY34" s="19">
        <f>'P&amp;L - Inputs'!CX418</f>
        <v>35225168.398065306</v>
      </c>
      <c r="BZ34" s="19">
        <f>'P&amp;L - Inputs'!CY418</f>
        <v>35793316.275453456</v>
      </c>
      <c r="CA34" s="19">
        <f>'P&amp;L - Inputs'!CZ418</f>
        <v>36077390.21414753</v>
      </c>
      <c r="CB34" s="19">
        <f>'P&amp;L - Inputs'!DA418</f>
        <v>36503501.122188643</v>
      </c>
      <c r="CC34" s="19">
        <f>'P&amp;L - Inputs'!DB418</f>
        <v>36787575.060882717</v>
      </c>
      <c r="CD34" s="19">
        <f>'P&amp;L - Inputs'!DC418</f>
        <v>37071648.999576792</v>
      </c>
      <c r="CE34" s="19">
        <f>'P&amp;L - Inputs'!DD418</f>
        <v>37497759.907617904</v>
      </c>
      <c r="CF34" s="19">
        <f>'P&amp;L - Inputs'!DE418</f>
        <v>38065907.785006054</v>
      </c>
      <c r="CG34" s="19">
        <f>'P&amp;L - Inputs'!DF418</f>
        <v>38349981.723700128</v>
      </c>
      <c r="CH34" s="19">
        <f>'P&amp;L - Inputs'!DG418</f>
        <v>38776092.631741241</v>
      </c>
      <c r="CI34" s="19">
        <f>'P&amp;L - Inputs'!DH418</f>
        <v>39060166.570435315</v>
      </c>
      <c r="CJ34" s="19">
        <f>'P&amp;L - Inputs'!DI418</f>
        <v>39344240.50912939</v>
      </c>
      <c r="CK34" s="19">
        <f>'P&amp;L - Inputs'!DJ418</f>
        <v>39770351.417170502</v>
      </c>
      <c r="CL34" s="19">
        <f>'P&amp;L - Inputs'!DK418</f>
        <v>40338499.294558659</v>
      </c>
      <c r="CM34" s="19">
        <f>'P&amp;L - Inputs'!DL418</f>
        <v>40480536.263905697</v>
      </c>
      <c r="CN34" s="19">
        <f>'P&amp;L - Inputs'!DM418</f>
        <v>40764610.202599771</v>
      </c>
      <c r="CO34" s="19">
        <f>'P&amp;L - Inputs'!DN418</f>
        <v>40906647.171946809</v>
      </c>
      <c r="CP34" s="19">
        <f>'P&amp;L - Inputs'!DO418</f>
        <v>41048684.141293846</v>
      </c>
      <c r="CQ34" s="19">
        <f>'P&amp;L - Inputs'!DP418</f>
        <v>41332758.079987921</v>
      </c>
      <c r="CR34" s="19">
        <f>'P&amp;L - Inputs'!DQ418</f>
        <v>41474795.049334958</v>
      </c>
      <c r="CS34" s="19">
        <f>'P&amp;L - Inputs'!DR418</f>
        <v>41758868.988029033</v>
      </c>
      <c r="CT34" s="19">
        <f>'P&amp;L - Inputs'!DS418</f>
        <v>42184979.896070145</v>
      </c>
      <c r="CU34" s="19">
        <f>'P&amp;L - Inputs'!DT418</f>
        <v>42469053.83476422</v>
      </c>
      <c r="CV34" s="19">
        <f>'P&amp;L - Inputs'!DU418</f>
        <v>42753127.773458295</v>
      </c>
      <c r="CW34" s="19">
        <f>'P&amp;L - Inputs'!DV418</f>
        <v>43179238.681499407</v>
      </c>
      <c r="CX34" s="19">
        <f>'P&amp;L - Inputs'!DW418</f>
        <v>43747386.558887556</v>
      </c>
      <c r="CY34" s="19">
        <f>'P&amp;L - Inputs'!DX418</f>
        <v>43889423.528234594</v>
      </c>
      <c r="CZ34" s="19">
        <f>'P&amp;L - Inputs'!DY418</f>
        <v>44173497.466928668</v>
      </c>
      <c r="DA34" s="19">
        <f>'P&amp;L - Inputs'!DZ418</f>
        <v>44315534.436275706</v>
      </c>
      <c r="DB34" s="19">
        <f>'P&amp;L - Inputs'!EA418</f>
        <v>44457571.405622743</v>
      </c>
      <c r="DC34" s="19">
        <f>'P&amp;L - Inputs'!EB418</f>
        <v>44741645.344316818</v>
      </c>
      <c r="DD34" s="19">
        <f>'P&amp;L - Inputs'!EC418</f>
        <v>44883682.313663855</v>
      </c>
      <c r="DF34" s="19">
        <f t="shared" si="52"/>
        <v>51854130</v>
      </c>
      <c r="DG34" s="19">
        <f t="shared" si="53"/>
        <v>56340635</v>
      </c>
      <c r="DH34" s="19">
        <f t="shared" si="54"/>
        <v>46697176</v>
      </c>
      <c r="DI34" s="19">
        <f t="shared" si="55"/>
        <v>45775867</v>
      </c>
      <c r="DJ34" s="19">
        <f t="shared" si="56"/>
        <v>58020163</v>
      </c>
      <c r="DK34" s="19">
        <f t="shared" si="57"/>
        <v>64610951.799999997</v>
      </c>
      <c r="DL34" s="19">
        <f t="shared" si="58"/>
        <v>62864125.480000004</v>
      </c>
      <c r="DM34" s="19">
        <f t="shared" si="59"/>
        <v>64627991.599999994</v>
      </c>
      <c r="DN34" s="19">
        <f t="shared" si="60"/>
        <v>69972586.400000006</v>
      </c>
      <c r="DO34" s="19">
        <f t="shared" si="61"/>
        <v>81879392.810000002</v>
      </c>
      <c r="DP34" s="19">
        <f t="shared" si="62"/>
        <v>84438654.150000006</v>
      </c>
      <c r="DQ34" s="19">
        <f t="shared" si="63"/>
        <v>116103087.59</v>
      </c>
      <c r="DR34" s="19">
        <f t="shared" si="64"/>
        <v>102408654.89921406</v>
      </c>
      <c r="DS34" s="19">
        <f t="shared" si="65"/>
        <v>105817542.16354296</v>
      </c>
      <c r="DT34" s="19">
        <f t="shared" si="66"/>
        <v>109368466.39721888</v>
      </c>
      <c r="DU34" s="19">
        <f t="shared" si="67"/>
        <v>112635316.69220075</v>
      </c>
      <c r="DV34" s="19">
        <f t="shared" si="68"/>
        <v>116186240.92587668</v>
      </c>
      <c r="DW34" s="19">
        <f t="shared" si="69"/>
        <v>119453091.22085856</v>
      </c>
      <c r="DX34" s="19">
        <f t="shared" si="70"/>
        <v>122151793.63845228</v>
      </c>
      <c r="DY34" s="19">
        <f t="shared" si="71"/>
        <v>123856237.27061673</v>
      </c>
      <c r="DZ34" s="19">
        <f t="shared" si="23"/>
        <v>126412902.7188634</v>
      </c>
      <c r="EA34" s="19">
        <f t="shared" si="24"/>
        <v>129679753.01384525</v>
      </c>
      <c r="EB34" s="19">
        <f t="shared" si="25"/>
        <v>132378455.43143897</v>
      </c>
      <c r="EC34" s="19">
        <f t="shared" si="26"/>
        <v>134082899.06360342</v>
      </c>
      <c r="EE34" s="19">
        <f>SUM(DF34:DI34)</f>
        <v>200667808</v>
      </c>
      <c r="EF34" s="19">
        <f>SUM(DJ34:DM34)</f>
        <v>250123231.88</v>
      </c>
      <c r="EG34" s="19">
        <f>SUM(DN34:DQ34)</f>
        <v>352393720.95000005</v>
      </c>
      <c r="EH34" s="19">
        <f>SUM(DR34:DU34)</f>
        <v>430229980.15217662</v>
      </c>
      <c r="EI34" s="19">
        <f>SUM(DV34:DY34)</f>
        <v>481647363.05580425</v>
      </c>
      <c r="EJ34" s="770">
        <f t="shared" si="27"/>
        <v>522554010.22775102</v>
      </c>
    </row>
    <row r="35" spans="2:140" x14ac:dyDescent="0.2">
      <c r="B35" s="167" t="s">
        <v>140</v>
      </c>
      <c r="C35" s="19">
        <f>'P&amp;L - Inputs'!AB419</f>
        <v>139995</v>
      </c>
      <c r="D35" s="19">
        <f>'P&amp;L - Inputs'!AC419</f>
        <v>130583</v>
      </c>
      <c r="E35" s="19">
        <f>'P&amp;L - Inputs'!AD419</f>
        <v>211030.11</v>
      </c>
      <c r="F35" s="19">
        <f>'P&amp;L - Inputs'!AE419</f>
        <v>280392.7</v>
      </c>
      <c r="G35" s="19">
        <f>'P&amp;L - Inputs'!AF419</f>
        <v>263038.33999999997</v>
      </c>
      <c r="H35" s="19">
        <f>'P&amp;L - Inputs'!AG419</f>
        <v>288011</v>
      </c>
      <c r="I35" s="19">
        <f>'P&amp;L - Inputs'!AH419</f>
        <v>326660.40999999997</v>
      </c>
      <c r="J35" s="19">
        <f>'P&amp;L - Inputs'!AI419</f>
        <v>380448.66</v>
      </c>
      <c r="K35" s="19">
        <f>'P&amp;L - Inputs'!AJ419</f>
        <v>1068448.0000000012</v>
      </c>
      <c r="L35" s="19">
        <f>'P&amp;L - Inputs'!AK419</f>
        <v>690620.97</v>
      </c>
      <c r="M35" s="19">
        <f>'P&amp;L - Inputs'!AL419</f>
        <v>355144.12999999995</v>
      </c>
      <c r="N35" s="19">
        <f>'P&amp;L - Inputs'!AM419</f>
        <v>7394.56</v>
      </c>
      <c r="O35" s="19">
        <f>'P&amp;L - Inputs'!AN419</f>
        <v>381400.91</v>
      </c>
      <c r="P35" s="19">
        <f>'P&amp;L - Inputs'!AO419</f>
        <v>690731.45999999985</v>
      </c>
      <c r="Q35" s="19">
        <f>'P&amp;L - Inputs'!AP419</f>
        <v>1692256.2799999998</v>
      </c>
      <c r="R35" s="19">
        <f>'P&amp;L - Inputs'!AQ419</f>
        <v>2261966</v>
      </c>
      <c r="S35" s="19">
        <f>'P&amp;L - Inputs'!AR419</f>
        <v>2200532.34</v>
      </c>
      <c r="T35" s="19">
        <f>'P&amp;L - Inputs'!AS419</f>
        <v>2481711.3600000069</v>
      </c>
      <c r="U35" s="19">
        <f>'P&amp;L - Inputs'!AT419</f>
        <v>3516829.4000000134</v>
      </c>
      <c r="V35" s="19">
        <f>'P&amp;L - Inputs'!AU419</f>
        <v>3327378.7500000014</v>
      </c>
      <c r="W35" s="19">
        <f>'P&amp;L - Inputs'!AV419</f>
        <v>3297593.2400000012</v>
      </c>
      <c r="X35" s="19">
        <f>'P&amp;L - Inputs'!AW419</f>
        <v>4590340.3</v>
      </c>
      <c r="Y35" s="19">
        <f>'P&amp;L - Inputs'!AX419</f>
        <v>3365729.9800000028</v>
      </c>
      <c r="Z35" s="19">
        <f>'P&amp;L - Inputs'!AY419</f>
        <v>3434800.1800000006</v>
      </c>
      <c r="AA35" s="19">
        <f>'P&amp;L - Inputs'!AZ419</f>
        <v>4271422.5699999984</v>
      </c>
      <c r="AB35" s="19">
        <f>'P&amp;L - Inputs'!BA419</f>
        <v>4682823.1799999941</v>
      </c>
      <c r="AC35" s="19">
        <f>'P&amp;L - Inputs'!BB419</f>
        <v>5562427.9199999981</v>
      </c>
      <c r="AD35" s="19">
        <f>'P&amp;L - Inputs'!BC419</f>
        <v>6129963.5099999988</v>
      </c>
      <c r="AE35" s="19">
        <f>'P&amp;L - Inputs'!BD419</f>
        <v>5796594.3199999984</v>
      </c>
      <c r="AF35" s="19">
        <f>'P&amp;L - Inputs'!BE419</f>
        <v>4874997.2500000009</v>
      </c>
      <c r="AG35" s="19">
        <f>'P&amp;L - Inputs'!BF419</f>
        <v>5097970.09</v>
      </c>
      <c r="AH35" s="19">
        <f>'P&amp;L - Inputs'!BG419</f>
        <v>6190607.1099999994</v>
      </c>
      <c r="AI35" s="19">
        <f>'P&amp;L - Inputs'!BH419</f>
        <v>6830862.9200000018</v>
      </c>
      <c r="AJ35" s="19">
        <f>'P&amp;L - Inputs'!BI419</f>
        <v>6984016.4199999981</v>
      </c>
      <c r="AK35" s="19">
        <f>'P&amp;L - Inputs'!BJ419</f>
        <v>7349546.7295000069</v>
      </c>
      <c r="AL35" s="19">
        <f>'P&amp;L - Inputs'!BK419</f>
        <v>7704730.9999999972</v>
      </c>
      <c r="AM35" s="19">
        <f>'P&amp;L - Inputs'!BL419</f>
        <v>8332583.6100000208</v>
      </c>
      <c r="AN35" s="19">
        <f>'P&amp;L - Inputs'!BM419</f>
        <v>7852523.799999997</v>
      </c>
      <c r="AO35" s="19">
        <f>'P&amp;L - Inputs'!BN419</f>
        <v>11524611.862000061</v>
      </c>
      <c r="AP35" s="19">
        <f>'P&amp;L - Inputs'!BO419</f>
        <v>10911642.03036</v>
      </c>
      <c r="AQ35" s="19">
        <f>'P&amp;L - Inputs'!BP419</f>
        <v>14592059.921699986</v>
      </c>
      <c r="AR35" s="19">
        <f>'P&amp;L - Inputs'!BQ419</f>
        <v>9410611.1639403459</v>
      </c>
      <c r="AS35" s="19">
        <f>'P&amp;L - Inputs'!BR419</f>
        <v>7998772.8309600148</v>
      </c>
      <c r="AT35" s="19">
        <f>'P&amp;L - Inputs'!BS419</f>
        <v>6996222.9099956984</v>
      </c>
      <c r="AU35" s="19">
        <f>'P&amp;L - Inputs'!BT419</f>
        <v>7817587.362155214</v>
      </c>
      <c r="AV35" s="19">
        <f>'P&amp;L - Inputs'!BU419</f>
        <v>8683562.9899719376</v>
      </c>
      <c r="AW35" s="19">
        <f>'P&amp;L - Inputs'!BV419</f>
        <v>9111728.1199725587</v>
      </c>
      <c r="AX35" s="19">
        <f>'P&amp;L - Inputs'!BW419</f>
        <v>9127250.1202107016</v>
      </c>
      <c r="AY35" s="19">
        <f>'P&amp;L - Inputs'!BX419</f>
        <v>10420444.005038187</v>
      </c>
      <c r="AZ35" s="19">
        <f>'P&amp;L - Inputs'!BY419</f>
        <v>10181951.950004138</v>
      </c>
      <c r="BA35" s="19">
        <f>'P&amp;L - Inputs'!BZ419</f>
        <v>10079078.859999996</v>
      </c>
      <c r="BB35" s="19">
        <f>'P&amp;L - Inputs'!CA419</f>
        <v>7937383.9066176694</v>
      </c>
      <c r="BC35" s="19">
        <f>'P&amp;L - Inputs'!CB419</f>
        <v>12584863.181587428</v>
      </c>
      <c r="BD35" s="19">
        <f>'P&amp;L - Inputs'!CC419</f>
        <v>10218573.700000005</v>
      </c>
      <c r="BE35" s="19">
        <f>'P&amp;L - Inputs'!CD419</f>
        <v>12172164.756187756</v>
      </c>
      <c r="BF35" s="19">
        <f>'P&amp;L - Inputs'!CE419</f>
        <v>12836897.339999899</v>
      </c>
      <c r="BG35" s="19">
        <f>'P&amp;L - Inputs'!CF419</f>
        <v>11673415.769999932</v>
      </c>
      <c r="BH35" s="19">
        <f>'P&amp;L - Inputs'!CG419</f>
        <v>13546874.470000001</v>
      </c>
      <c r="BI35" s="19">
        <f>'P&amp;L - Inputs'!CH419</f>
        <v>12659473.559999999</v>
      </c>
      <c r="BJ35" s="19">
        <f>'P&amp;L - Inputs'!CI419</f>
        <v>13521194.889999993</v>
      </c>
      <c r="BK35" s="19">
        <f>'P&amp;L - Inputs'!CJ419</f>
        <v>10467536.739999892</v>
      </c>
      <c r="BL35" s="19">
        <f>'P&amp;L - Inputs'!CK419</f>
        <v>12689021.25</v>
      </c>
      <c r="BM35" s="19">
        <f>'P&amp;L - Inputs'!CL419</f>
        <v>11475321.560000001</v>
      </c>
      <c r="BN35" s="19">
        <f>'P&amp;L - Inputs'!CM419</f>
        <v>14084438.4</v>
      </c>
      <c r="BO35" s="19">
        <f>'P&amp;L - Inputs'!CN419</f>
        <v>19822174.440000001</v>
      </c>
      <c r="BP35" s="19">
        <f>'P&amp;L - Inputs'!CO419</f>
        <v>17474729.129999999</v>
      </c>
      <c r="BQ35" s="19">
        <f>'P&amp;L - Inputs'!CP419</f>
        <v>22265964.400000025</v>
      </c>
      <c r="BR35" s="19">
        <f>'P&amp;L - Inputs'!CQ419</f>
        <v>19094094.490000013</v>
      </c>
      <c r="BS35" s="19">
        <f>'P&amp;L - Inputs'!CR419</f>
        <v>18385214.360000022</v>
      </c>
      <c r="BT35" s="19">
        <f>'P&amp;L - Inputs'!CS419</f>
        <v>21643984.960000031</v>
      </c>
      <c r="BU35" s="19">
        <f>'P&amp;L - Inputs'!CT419</f>
        <v>18556002.379327863</v>
      </c>
      <c r="BV35" s="19">
        <f>'P&amp;L - Inputs'!CU419</f>
        <v>18711935.172431462</v>
      </c>
      <c r="BW35" s="19">
        <f>'P&amp;L - Inputs'!CV419</f>
        <v>18945834.362086855</v>
      </c>
      <c r="BX35" s="19">
        <f>'P&amp;L - Inputs'!CW419</f>
        <v>19101767.155190453</v>
      </c>
      <c r="BY35" s="19">
        <f>'P&amp;L - Inputs'!CX419</f>
        <v>19335666.344845846</v>
      </c>
      <c r="BZ35" s="19">
        <f>'P&amp;L - Inputs'!CY419</f>
        <v>19647531.931053035</v>
      </c>
      <c r="CA35" s="19">
        <f>'P&amp;L - Inputs'!CZ419</f>
        <v>19803464.724156629</v>
      </c>
      <c r="CB35" s="19">
        <f>'P&amp;L - Inputs'!DA419</f>
        <v>20037363.913812023</v>
      </c>
      <c r="CC35" s="19">
        <f>'P&amp;L - Inputs'!DB419</f>
        <v>20193296.706915621</v>
      </c>
      <c r="CD35" s="19">
        <f>'P&amp;L - Inputs'!DC419</f>
        <v>20349229.500019215</v>
      </c>
      <c r="CE35" s="19">
        <f>'P&amp;L - Inputs'!DD419</f>
        <v>20583128.689674608</v>
      </c>
      <c r="CF35" s="19">
        <f>'P&amp;L - Inputs'!DE419</f>
        <v>20894994.275881797</v>
      </c>
      <c r="CG35" s="19">
        <f>'P&amp;L - Inputs'!DF419</f>
        <v>21050927.068985395</v>
      </c>
      <c r="CH35" s="19">
        <f>'P&amp;L - Inputs'!DG419</f>
        <v>21284826.258640788</v>
      </c>
      <c r="CI35" s="19">
        <f>'P&amp;L - Inputs'!DH419</f>
        <v>21440759.051744383</v>
      </c>
      <c r="CJ35" s="19">
        <f>'P&amp;L - Inputs'!DI419</f>
        <v>21596691.844847981</v>
      </c>
      <c r="CK35" s="19">
        <f>'P&amp;L - Inputs'!DJ419</f>
        <v>21830591.034503374</v>
      </c>
      <c r="CL35" s="19">
        <f>'P&amp;L - Inputs'!DK419</f>
        <v>22142456.620710563</v>
      </c>
      <c r="CM35" s="19">
        <f>'P&amp;L - Inputs'!DL419</f>
        <v>22220423.017262362</v>
      </c>
      <c r="CN35" s="19">
        <f>'P&amp;L - Inputs'!DM419</f>
        <v>22376355.810365956</v>
      </c>
      <c r="CO35" s="19">
        <f>'P&amp;L - Inputs'!DN419</f>
        <v>22454322.206917755</v>
      </c>
      <c r="CP35" s="19">
        <f>'P&amp;L - Inputs'!DO419</f>
        <v>22532288.603469551</v>
      </c>
      <c r="CQ35" s="19">
        <f>'P&amp;L - Inputs'!DP419</f>
        <v>22688221.396573149</v>
      </c>
      <c r="CR35" s="19">
        <f>'P&amp;L - Inputs'!DQ419</f>
        <v>22766187.793124944</v>
      </c>
      <c r="CS35" s="19">
        <f>'P&amp;L - Inputs'!DR419</f>
        <v>22922120.586228542</v>
      </c>
      <c r="CT35" s="19">
        <f>'P&amp;L - Inputs'!DS419</f>
        <v>23156019.775883935</v>
      </c>
      <c r="CU35" s="19">
        <f>'P&amp;L - Inputs'!DT419</f>
        <v>23311952.56898753</v>
      </c>
      <c r="CV35" s="19">
        <f>'P&amp;L - Inputs'!DU419</f>
        <v>23467885.362091124</v>
      </c>
      <c r="CW35" s="19">
        <f>'P&amp;L - Inputs'!DV419</f>
        <v>23701784.551746521</v>
      </c>
      <c r="CX35" s="19">
        <f>'P&amp;L - Inputs'!DW419</f>
        <v>24013650.13795371</v>
      </c>
      <c r="CY35" s="19">
        <f>'P&amp;L - Inputs'!DX419</f>
        <v>24091616.534505505</v>
      </c>
      <c r="CZ35" s="19">
        <f>'P&amp;L - Inputs'!DY419</f>
        <v>24247549.327609103</v>
      </c>
      <c r="DA35" s="19">
        <f>'P&amp;L - Inputs'!DZ419</f>
        <v>24325515.724160902</v>
      </c>
      <c r="DB35" s="19">
        <f>'P&amp;L - Inputs'!EA419</f>
        <v>24403482.120712698</v>
      </c>
      <c r="DC35" s="19">
        <f>'P&amp;L - Inputs'!EB419</f>
        <v>24559414.913816296</v>
      </c>
      <c r="DD35" s="19">
        <f>'P&amp;L - Inputs'!EC419</f>
        <v>24637381.310368091</v>
      </c>
      <c r="DF35" s="19">
        <f t="shared" si="52"/>
        <v>23386861.339500025</v>
      </c>
      <c r="DG35" s="19">
        <f t="shared" si="53"/>
        <v>30288777.692360058</v>
      </c>
      <c r="DH35" s="19">
        <f t="shared" si="54"/>
        <v>32001443.916600347</v>
      </c>
      <c r="DI35" s="19">
        <f t="shared" si="55"/>
        <v>23497373.262122847</v>
      </c>
      <c r="DJ35" s="19">
        <f t="shared" si="56"/>
        <v>28659422.245221447</v>
      </c>
      <c r="DK35" s="19">
        <f t="shared" si="57"/>
        <v>28198414.716621801</v>
      </c>
      <c r="DL35" s="19">
        <f t="shared" si="58"/>
        <v>34975601.637775183</v>
      </c>
      <c r="DM35" s="19">
        <f t="shared" si="59"/>
        <v>38057187.579999834</v>
      </c>
      <c r="DN35" s="19">
        <f t="shared" si="60"/>
        <v>36648205.189999886</v>
      </c>
      <c r="DO35" s="19">
        <f t="shared" si="61"/>
        <v>38248781.210000001</v>
      </c>
      <c r="DP35" s="19">
        <f t="shared" si="62"/>
        <v>59562867.970000029</v>
      </c>
      <c r="DQ35" s="19">
        <f t="shared" si="63"/>
        <v>59123293.810000069</v>
      </c>
      <c r="DR35" s="19">
        <f t="shared" si="64"/>
        <v>56213771.91384618</v>
      </c>
      <c r="DS35" s="19">
        <f t="shared" si="65"/>
        <v>58084965.431089334</v>
      </c>
      <c r="DT35" s="19">
        <f t="shared" si="66"/>
        <v>60034125.344884276</v>
      </c>
      <c r="DU35" s="19">
        <f t="shared" si="67"/>
        <v>61827352.465575621</v>
      </c>
      <c r="DV35" s="19">
        <f t="shared" si="68"/>
        <v>63776512.37937057</v>
      </c>
      <c r="DW35" s="19">
        <f t="shared" si="69"/>
        <v>65569739.500061914</v>
      </c>
      <c r="DX35" s="19">
        <f t="shared" si="70"/>
        <v>67051101.03454607</v>
      </c>
      <c r="DY35" s="19">
        <f t="shared" si="71"/>
        <v>67986697.793167651</v>
      </c>
      <c r="DZ35" s="19">
        <f t="shared" si="23"/>
        <v>69390092.931100011</v>
      </c>
      <c r="EA35" s="19">
        <f t="shared" si="24"/>
        <v>71183320.051791355</v>
      </c>
      <c r="EB35" s="19">
        <f t="shared" si="25"/>
        <v>72664681.586275518</v>
      </c>
      <c r="EC35" s="19">
        <f t="shared" si="26"/>
        <v>73600278.344897091</v>
      </c>
      <c r="EE35" s="19">
        <f>SUM(DF35:DI35)</f>
        <v>109174456.21058327</v>
      </c>
      <c r="EF35" s="19">
        <f>SUM(DJ35:DM35)</f>
        <v>129890626.17961827</v>
      </c>
      <c r="EG35" s="19">
        <f>SUM(DN35:DQ35)</f>
        <v>193583148.17999998</v>
      </c>
      <c r="EH35" s="19">
        <f>SUM(DR35:DU35)</f>
        <v>236160215.15539539</v>
      </c>
      <c r="EI35" s="19">
        <f>SUM(DV35:DY35)</f>
        <v>264384050.7071462</v>
      </c>
      <c r="EJ35" s="770">
        <f t="shared" si="27"/>
        <v>286838372.91406399</v>
      </c>
    </row>
    <row r="36" spans="2:140" x14ac:dyDescent="0.2">
      <c r="B36" s="167" t="s">
        <v>158</v>
      </c>
      <c r="C36" s="19">
        <f>'P&amp;L - Inputs'!AB420</f>
        <v>0</v>
      </c>
      <c r="D36" s="19">
        <f>'P&amp;L - Inputs'!AC420</f>
        <v>0</v>
      </c>
      <c r="E36" s="19">
        <f>'P&amp;L - Inputs'!AD420</f>
        <v>0</v>
      </c>
      <c r="F36" s="19">
        <f>'P&amp;L - Inputs'!AE420</f>
        <v>0</v>
      </c>
      <c r="G36" s="19">
        <f>'P&amp;L - Inputs'!AF420</f>
        <v>0</v>
      </c>
      <c r="H36" s="19">
        <f>'P&amp;L - Inputs'!AG420</f>
        <v>0</v>
      </c>
      <c r="I36" s="19">
        <f>'P&amp;L - Inputs'!AH420</f>
        <v>0</v>
      </c>
      <c r="J36" s="19">
        <f>'P&amp;L - Inputs'!AI420</f>
        <v>0</v>
      </c>
      <c r="K36" s="19">
        <f>'P&amp;L - Inputs'!AJ420</f>
        <v>0</v>
      </c>
      <c r="L36" s="19">
        <f>'P&amp;L - Inputs'!AK420</f>
        <v>0</v>
      </c>
      <c r="M36" s="19">
        <f>'P&amp;L - Inputs'!AL420</f>
        <v>0</v>
      </c>
      <c r="N36" s="19">
        <f>'P&amp;L - Inputs'!AM420</f>
        <v>0</v>
      </c>
      <c r="O36" s="19">
        <f>'P&amp;L - Inputs'!AN420</f>
        <v>0</v>
      </c>
      <c r="P36" s="19">
        <f>'P&amp;L - Inputs'!AO420</f>
        <v>0</v>
      </c>
      <c r="Q36" s="19">
        <f>'P&amp;L - Inputs'!AP420</f>
        <v>0</v>
      </c>
      <c r="R36" s="19">
        <f>'P&amp;L - Inputs'!AQ420</f>
        <v>0</v>
      </c>
      <c r="S36" s="19">
        <f>'P&amp;L - Inputs'!AR420</f>
        <v>0</v>
      </c>
      <c r="T36" s="19">
        <f>'P&amp;L - Inputs'!AS420</f>
        <v>0</v>
      </c>
      <c r="U36" s="19">
        <f>'P&amp;L - Inputs'!AT420</f>
        <v>0</v>
      </c>
      <c r="V36" s="19">
        <f>'P&amp;L - Inputs'!AU420</f>
        <v>0</v>
      </c>
      <c r="W36" s="19">
        <f>'P&amp;L - Inputs'!AV420</f>
        <v>0</v>
      </c>
      <c r="X36" s="19">
        <f>'P&amp;L - Inputs'!AW420</f>
        <v>0</v>
      </c>
      <c r="Y36" s="19">
        <f>'P&amp;L - Inputs'!AX420</f>
        <v>0</v>
      </c>
      <c r="Z36" s="19">
        <f>'P&amp;L - Inputs'!AY420</f>
        <v>0</v>
      </c>
      <c r="AA36" s="19">
        <f>'P&amp;L - Inputs'!AZ420</f>
        <v>0</v>
      </c>
      <c r="AB36" s="19">
        <f>'P&amp;L - Inputs'!BA420</f>
        <v>0</v>
      </c>
      <c r="AC36" s="19">
        <f>'P&amp;L - Inputs'!BB420</f>
        <v>0</v>
      </c>
      <c r="AD36" s="19">
        <f>'P&amp;L - Inputs'!BC420</f>
        <v>0</v>
      </c>
      <c r="AE36" s="19">
        <f>'P&amp;L - Inputs'!BD420</f>
        <v>0</v>
      </c>
      <c r="AF36" s="19">
        <f>'P&amp;L - Inputs'!BE420</f>
        <v>0</v>
      </c>
      <c r="AG36" s="19">
        <f>'P&amp;L - Inputs'!BF420</f>
        <v>0</v>
      </c>
      <c r="AH36" s="19">
        <f>'P&amp;L - Inputs'!BG420</f>
        <v>0</v>
      </c>
      <c r="AI36" s="19">
        <f>'P&amp;L - Inputs'!BH420</f>
        <v>0</v>
      </c>
      <c r="AJ36" s="19">
        <f>'P&amp;L - Inputs'!BI420</f>
        <v>0</v>
      </c>
      <c r="AK36" s="19">
        <f>'P&amp;L - Inputs'!BJ420</f>
        <v>0</v>
      </c>
      <c r="AL36" s="19">
        <f>'P&amp;L - Inputs'!BK420</f>
        <v>0</v>
      </c>
      <c r="AM36" s="19">
        <f>'P&amp;L - Inputs'!BL420</f>
        <v>0</v>
      </c>
      <c r="AN36" s="19">
        <f>'P&amp;L - Inputs'!BM420</f>
        <v>0</v>
      </c>
      <c r="AO36" s="19">
        <f>'P&amp;L - Inputs'!BN420</f>
        <v>0</v>
      </c>
      <c r="AP36" s="19">
        <f>'P&amp;L - Inputs'!BO420</f>
        <v>0</v>
      </c>
      <c r="AQ36" s="19">
        <f>'P&amp;L - Inputs'!BP420</f>
        <v>0</v>
      </c>
      <c r="AR36" s="19">
        <f>'P&amp;L - Inputs'!BQ420</f>
        <v>0</v>
      </c>
      <c r="AS36" s="19">
        <f>'P&amp;L - Inputs'!BR420</f>
        <v>0</v>
      </c>
      <c r="AT36" s="19">
        <f>'P&amp;L - Inputs'!BS420</f>
        <v>0</v>
      </c>
      <c r="AU36" s="19">
        <f>'P&amp;L - Inputs'!BT420</f>
        <v>0</v>
      </c>
      <c r="AV36" s="19">
        <f>'P&amp;L - Inputs'!BU420</f>
        <v>0</v>
      </c>
      <c r="AW36" s="19">
        <f>'P&amp;L - Inputs'!BV420</f>
        <v>0</v>
      </c>
      <c r="AX36" s="19">
        <f>'P&amp;L - Inputs'!BW420</f>
        <v>0</v>
      </c>
      <c r="AY36" s="19">
        <f>'P&amp;L - Inputs'!BX420</f>
        <v>0</v>
      </c>
      <c r="AZ36" s="19">
        <f>'P&amp;L - Inputs'!BY420</f>
        <v>0</v>
      </c>
      <c r="BA36" s="19">
        <f>'P&amp;L - Inputs'!BZ420</f>
        <v>0</v>
      </c>
      <c r="BB36" s="19">
        <f>'P&amp;L - Inputs'!CA420</f>
        <v>0</v>
      </c>
      <c r="BC36" s="19">
        <f>'P&amp;L - Inputs'!CB420</f>
        <v>0</v>
      </c>
      <c r="BD36" s="19">
        <f>'P&amp;L - Inputs'!CC420</f>
        <v>0</v>
      </c>
      <c r="BE36" s="19">
        <f>'P&amp;L - Inputs'!CD420</f>
        <v>0</v>
      </c>
      <c r="BF36" s="19">
        <f>'P&amp;L - Inputs'!CE420</f>
        <v>0</v>
      </c>
      <c r="BG36" s="19">
        <f>'P&amp;L - Inputs'!CF420</f>
        <v>0</v>
      </c>
      <c r="BH36" s="19">
        <f>'P&amp;L - Inputs'!CG420</f>
        <v>0</v>
      </c>
      <c r="BI36" s="19">
        <f>'P&amp;L - Inputs'!CH420</f>
        <v>0</v>
      </c>
      <c r="BJ36" s="19">
        <f>'P&amp;L - Inputs'!CI420</f>
        <v>0</v>
      </c>
      <c r="BK36" s="19">
        <f>'P&amp;L - Inputs'!CJ420</f>
        <v>0</v>
      </c>
      <c r="BL36" s="19">
        <f>'P&amp;L - Inputs'!CK420</f>
        <v>0</v>
      </c>
      <c r="BM36" s="19">
        <f>'P&amp;L - Inputs'!CL420</f>
        <v>0</v>
      </c>
      <c r="BN36" s="19">
        <f>'P&amp;L - Inputs'!CM420</f>
        <v>0</v>
      </c>
      <c r="BO36" s="19">
        <f>'P&amp;L - Inputs'!CN420</f>
        <v>2627342</v>
      </c>
      <c r="BP36" s="19">
        <f>'P&amp;L - Inputs'!CO420</f>
        <v>2446488</v>
      </c>
      <c r="BQ36" s="19">
        <f>'P&amp;L - Inputs'!CP420</f>
        <v>3160377</v>
      </c>
      <c r="BR36" s="19">
        <f>'P&amp;L - Inputs'!CQ420</f>
        <v>3881565</v>
      </c>
      <c r="BS36" s="19">
        <f>'P&amp;L - Inputs'!CR420</f>
        <v>3316295</v>
      </c>
      <c r="BT36" s="19">
        <f>'P&amp;L - Inputs'!CS420</f>
        <v>3255428</v>
      </c>
      <c r="BU36" s="19">
        <f>'P&amp;L - Inputs'!CT420</f>
        <v>2778966.531005173</v>
      </c>
      <c r="BV36" s="19">
        <f>'P&amp;L - Inputs'!CU420</f>
        <v>2720922.0751860761</v>
      </c>
      <c r="BW36" s="19">
        <f>'P&amp;L - Inputs'!CV420</f>
        <v>2714984.6363282464</v>
      </c>
      <c r="BX36" s="19">
        <f>'P&amp;L - Inputs'!CW420</f>
        <v>2941340.1129061743</v>
      </c>
      <c r="BY36" s="19">
        <f>'P&amp;L - Inputs'!CX420</f>
        <v>2625728.8270143736</v>
      </c>
      <c r="BZ36" s="19">
        <f>'P&amp;L - Inputs'!CY420</f>
        <v>2436581.7017563274</v>
      </c>
      <c r="CA36" s="19">
        <f>'P&amp;L - Inputs'!CZ420</f>
        <v>3044852.0597252287</v>
      </c>
      <c r="CB36" s="19">
        <f>'P&amp;L - Inputs'!DA420</f>
        <v>2802350.5139000025</v>
      </c>
      <c r="CC36" s="19">
        <f>'P&amp;L - Inputs'!DB420</f>
        <v>3337287.4712808109</v>
      </c>
      <c r="CD36" s="19">
        <f>'P&amp;L - Inputs'!DC420</f>
        <v>3419592.2594715077</v>
      </c>
      <c r="CE36" s="19">
        <f>'P&amp;L - Inputs'!DD420</f>
        <v>3178253.991055123</v>
      </c>
      <c r="CF36" s="19">
        <f>'P&amp;L - Inputs'!DE420</f>
        <v>3700111.4152501407</v>
      </c>
      <c r="CG36" s="19">
        <f>'P&amp;L - Inputs'!DF420</f>
        <v>3391183.146836882</v>
      </c>
      <c r="CH36" s="19">
        <f>'P&amp;L - Inputs'!DG420</f>
        <v>3328727.7190598743</v>
      </c>
      <c r="CI36" s="19">
        <f>'P&amp;L - Inputs'!DH420</f>
        <v>3304219.6755847856</v>
      </c>
      <c r="CJ36" s="19">
        <f>'P&amp;L - Inputs'!DI420</f>
        <v>3577704.9559382559</v>
      </c>
      <c r="CK36" s="19">
        <f>'P&amp;L - Inputs'!DJ420</f>
        <v>3187098.2326696552</v>
      </c>
      <c r="CL36" s="19">
        <f>'P&amp;L - Inputs'!DK420</f>
        <v>2950471.2278879234</v>
      </c>
      <c r="CM36" s="19">
        <f>'P&amp;L - Inputs'!DL420</f>
        <v>3675526.210190767</v>
      </c>
      <c r="CN36" s="19">
        <f>'P&amp;L - Inputs'!DM420</f>
        <v>3365005.3936307295</v>
      </c>
      <c r="CO36" s="19">
        <f>'P&amp;L - Inputs'!DN420</f>
        <v>3993816.0508748232</v>
      </c>
      <c r="CP36" s="19">
        <f>'P&amp;L - Inputs'!DO420</f>
        <v>4075384.506064448</v>
      </c>
      <c r="CQ36" s="19">
        <f>'P&amp;L - Inputs'!DP420</f>
        <v>3769030.0017871587</v>
      </c>
      <c r="CR36" s="19">
        <f>'P&amp;L - Inputs'!DQ420</f>
        <v>4340169.1716484381</v>
      </c>
      <c r="CS36" s="19">
        <f>'P&amp;L - Inputs'!DR420</f>
        <v>3864985.3064712896</v>
      </c>
      <c r="CT36" s="19">
        <f>'P&amp;L - Inputs'!DS420</f>
        <v>3790038.6765308622</v>
      </c>
      <c r="CU36" s="19">
        <f>'P&amp;L - Inputs'!DT420</f>
        <v>3759741.2806722517</v>
      </c>
      <c r="CV36" s="19">
        <f>'P&amp;L - Inputs'!DU420</f>
        <v>4069511.4371218691</v>
      </c>
      <c r="CW36" s="19">
        <f>'P&amp;L - Inputs'!DV420</f>
        <v>3620607.3011527751</v>
      </c>
      <c r="CX36" s="19">
        <f>'P&amp;L - Inputs'!DW420</f>
        <v>3346945.578012723</v>
      </c>
      <c r="CY36" s="19">
        <f>'P&amp;L - Inputs'!DX420</f>
        <v>4171403.1034171567</v>
      </c>
      <c r="CZ36" s="19">
        <f>'P&amp;L - Inputs'!DY420</f>
        <v>3815742.7859013085</v>
      </c>
      <c r="DA36" s="19">
        <f>'P&amp;L - Inputs'!DZ420</f>
        <v>4529947.2663034108</v>
      </c>
      <c r="DB36" s="19">
        <f>'P&amp;L - Inputs'!EA420</f>
        <v>4621455.7614540868</v>
      </c>
      <c r="DC36" s="19">
        <f>'P&amp;L - Inputs'!EB420</f>
        <v>4270728.0594651783</v>
      </c>
      <c r="DD36" s="19">
        <f>'P&amp;L - Inputs'!EC420</f>
        <v>4918554.7798766075</v>
      </c>
      <c r="DF36" s="19">
        <f t="shared" si="52"/>
        <v>0</v>
      </c>
      <c r="DG36" s="19">
        <f t="shared" si="53"/>
        <v>0</v>
      </c>
      <c r="DH36" s="19">
        <f t="shared" si="54"/>
        <v>0</v>
      </c>
      <c r="DI36" s="19">
        <f t="shared" si="55"/>
        <v>0</v>
      </c>
      <c r="DJ36" s="19">
        <f t="shared" si="56"/>
        <v>0</v>
      </c>
      <c r="DK36" s="19">
        <f t="shared" si="57"/>
        <v>0</v>
      </c>
      <c r="DL36" s="19">
        <f t="shared" si="58"/>
        <v>0</v>
      </c>
      <c r="DM36" s="19">
        <f t="shared" si="59"/>
        <v>0</v>
      </c>
      <c r="DN36" s="19">
        <f t="shared" si="60"/>
        <v>0</v>
      </c>
      <c r="DO36" s="19">
        <f t="shared" si="61"/>
        <v>0</v>
      </c>
      <c r="DP36" s="19">
        <f t="shared" si="62"/>
        <v>8234207</v>
      </c>
      <c r="DQ36" s="19">
        <f t="shared" si="63"/>
        <v>10453288</v>
      </c>
      <c r="DR36" s="19">
        <f t="shared" si="64"/>
        <v>8214873.242519496</v>
      </c>
      <c r="DS36" s="19">
        <f t="shared" si="65"/>
        <v>8003650.6416768758</v>
      </c>
      <c r="DT36" s="19">
        <f t="shared" si="66"/>
        <v>9184490.0449060425</v>
      </c>
      <c r="DU36" s="19">
        <f t="shared" si="67"/>
        <v>10297957.665776772</v>
      </c>
      <c r="DV36" s="19">
        <f t="shared" si="68"/>
        <v>10024130.541481541</v>
      </c>
      <c r="DW36" s="19">
        <f t="shared" si="69"/>
        <v>9715274.4164958335</v>
      </c>
      <c r="DX36" s="19">
        <f t="shared" si="70"/>
        <v>11034347.654696319</v>
      </c>
      <c r="DY36" s="19">
        <f t="shared" si="71"/>
        <v>12184583.679500043</v>
      </c>
      <c r="DZ36" s="19">
        <f t="shared" si="23"/>
        <v>11414765.263674404</v>
      </c>
      <c r="EA36" s="19">
        <f t="shared" si="24"/>
        <v>11037064.316287367</v>
      </c>
      <c r="EB36" s="19">
        <f t="shared" si="25"/>
        <v>12517093.155621875</v>
      </c>
      <c r="EC36" s="19">
        <f t="shared" si="26"/>
        <v>13810738.600795873</v>
      </c>
      <c r="EE36" s="19">
        <f>SUM(DF36:DI36)</f>
        <v>0</v>
      </c>
      <c r="EF36" s="19">
        <f>SUM(DJ36:DM36)</f>
        <v>0</v>
      </c>
      <c r="EG36" s="19">
        <f>SUM(DN36:DQ36)</f>
        <v>18687495</v>
      </c>
      <c r="EH36" s="19">
        <f>SUM(DR36:DU36)</f>
        <v>35700971.594879188</v>
      </c>
      <c r="EI36" s="19">
        <f>SUM(DV36:DY36)</f>
        <v>42958336.292173743</v>
      </c>
      <c r="EJ36" s="770">
        <f t="shared" si="27"/>
        <v>48779661.336379521</v>
      </c>
    </row>
    <row r="37" spans="2:140" x14ac:dyDescent="0.2">
      <c r="B37" s="167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E37" s="10"/>
      <c r="EF37" s="10"/>
      <c r="EG37" s="10"/>
      <c r="EH37" s="10"/>
      <c r="EI37" s="10"/>
      <c r="EJ37" s="812"/>
    </row>
    <row r="38" spans="2:140" x14ac:dyDescent="0.2">
      <c r="B38" s="176" t="s">
        <v>192</v>
      </c>
      <c r="C38" s="158">
        <f>SUM(C39:C41)</f>
        <v>8750324.0099999998</v>
      </c>
      <c r="D38" s="158">
        <f t="shared" ref="D38:BO38" si="72">SUM(D39:D41)</f>
        <v>8140415</v>
      </c>
      <c r="E38" s="158">
        <f t="shared" si="72"/>
        <v>10094689.539999999</v>
      </c>
      <c r="F38" s="158">
        <f t="shared" si="72"/>
        <v>12299591.18</v>
      </c>
      <c r="G38" s="158">
        <f t="shared" si="72"/>
        <v>12337333.34</v>
      </c>
      <c r="H38" s="158">
        <f t="shared" si="72"/>
        <v>17107367.810000002</v>
      </c>
      <c r="I38" s="158">
        <f t="shared" si="72"/>
        <v>39258846.43</v>
      </c>
      <c r="J38" s="158">
        <f t="shared" si="72"/>
        <v>40562493.959999993</v>
      </c>
      <c r="K38" s="158">
        <f t="shared" si="72"/>
        <v>38993584.859999985</v>
      </c>
      <c r="L38" s="158">
        <f t="shared" si="72"/>
        <v>42268739.4500001</v>
      </c>
      <c r="M38" s="158">
        <f t="shared" si="72"/>
        <v>22886433.020000014</v>
      </c>
      <c r="N38" s="158">
        <f t="shared" si="72"/>
        <v>641146.56000000029</v>
      </c>
      <c r="O38" s="158">
        <f t="shared" si="72"/>
        <v>18665020.949999992</v>
      </c>
      <c r="P38" s="158">
        <f t="shared" si="72"/>
        <v>28435655.110000081</v>
      </c>
      <c r="Q38" s="158">
        <f t="shared" si="72"/>
        <v>35188851.360000141</v>
      </c>
      <c r="R38" s="158">
        <f t="shared" si="72"/>
        <v>45729395.140000142</v>
      </c>
      <c r="S38" s="158">
        <f t="shared" si="72"/>
        <v>55209029.130000345</v>
      </c>
      <c r="T38" s="158">
        <f t="shared" si="72"/>
        <v>79117435.569999859</v>
      </c>
      <c r="U38" s="158">
        <f t="shared" si="72"/>
        <v>95371383.069999456</v>
      </c>
      <c r="V38" s="158">
        <f t="shared" si="72"/>
        <v>94901986.850002199</v>
      </c>
      <c r="W38" s="158">
        <f t="shared" si="72"/>
        <v>103215470.75999631</v>
      </c>
      <c r="X38" s="158">
        <f t="shared" si="72"/>
        <v>117567548.69999501</v>
      </c>
      <c r="Y38" s="158">
        <f t="shared" si="72"/>
        <v>105591158.53999598</v>
      </c>
      <c r="Z38" s="158">
        <f t="shared" si="72"/>
        <v>130480296.12000482</v>
      </c>
      <c r="AA38" s="158">
        <f t="shared" si="72"/>
        <v>158201607.97999009</v>
      </c>
      <c r="AB38" s="158">
        <f t="shared" si="72"/>
        <v>159553028.52999815</v>
      </c>
      <c r="AC38" s="158">
        <f t="shared" si="72"/>
        <v>168137980.30000532</v>
      </c>
      <c r="AD38" s="158">
        <f t="shared" si="72"/>
        <v>161336246.54999974</v>
      </c>
      <c r="AE38" s="158">
        <f t="shared" si="72"/>
        <v>180420687.47999564</v>
      </c>
      <c r="AF38" s="158">
        <f t="shared" si="72"/>
        <v>185529494.44999796</v>
      </c>
      <c r="AG38" s="158">
        <f t="shared" si="72"/>
        <v>224736196.17001384</v>
      </c>
      <c r="AH38" s="158">
        <f t="shared" si="72"/>
        <v>248782292.71999887</v>
      </c>
      <c r="AI38" s="158">
        <f t="shared" si="72"/>
        <v>247557445.02000451</v>
      </c>
      <c r="AJ38" s="158">
        <f t="shared" si="72"/>
        <v>311441422.55998045</v>
      </c>
      <c r="AK38" s="158">
        <f t="shared" si="72"/>
        <v>331558744.21002549</v>
      </c>
      <c r="AL38" s="158">
        <f t="shared" si="72"/>
        <v>350281930.3600257</v>
      </c>
      <c r="AM38" s="158">
        <f t="shared" si="72"/>
        <v>346484331.07003826</v>
      </c>
      <c r="AN38" s="158">
        <f t="shared" si="72"/>
        <v>306545157.22004133</v>
      </c>
      <c r="AO38" s="158">
        <f t="shared" si="72"/>
        <v>308769267.2099694</v>
      </c>
      <c r="AP38" s="158">
        <f t="shared" si="72"/>
        <v>290344775.85003</v>
      </c>
      <c r="AQ38" s="158">
        <f t="shared" si="72"/>
        <v>405567023.63424277</v>
      </c>
      <c r="AR38" s="158">
        <f t="shared" si="72"/>
        <v>354593574.22648662</v>
      </c>
      <c r="AS38" s="158">
        <f t="shared" si="72"/>
        <v>308084399.49705708</v>
      </c>
      <c r="AT38" s="158">
        <f t="shared" si="72"/>
        <v>277291185.0391472</v>
      </c>
      <c r="AU38" s="158">
        <f t="shared" si="72"/>
        <v>255819076.21520609</v>
      </c>
      <c r="AV38" s="158">
        <f t="shared" si="72"/>
        <v>311526758.33302683</v>
      </c>
      <c r="AW38" s="158">
        <f t="shared" si="72"/>
        <v>326420618.35302848</v>
      </c>
      <c r="AX38" s="158">
        <f t="shared" si="72"/>
        <v>326496629.66021484</v>
      </c>
      <c r="AY38" s="158">
        <f t="shared" si="72"/>
        <v>350744461.70504457</v>
      </c>
      <c r="AZ38" s="158">
        <f t="shared" si="72"/>
        <v>333160185.46000946</v>
      </c>
      <c r="BA38" s="158">
        <f t="shared" si="72"/>
        <v>281377517.09000254</v>
      </c>
      <c r="BB38" s="158">
        <f t="shared" si="72"/>
        <v>244627273.66662261</v>
      </c>
      <c r="BC38" s="158">
        <f t="shared" si="72"/>
        <v>342852578.53159118</v>
      </c>
      <c r="BD38" s="158">
        <f t="shared" si="72"/>
        <v>336153643.16000497</v>
      </c>
      <c r="BE38" s="158">
        <f t="shared" si="72"/>
        <v>397865027.3605544</v>
      </c>
      <c r="BF38" s="158">
        <f t="shared" si="72"/>
        <v>405616041.31032002</v>
      </c>
      <c r="BG38" s="158">
        <f t="shared" si="72"/>
        <v>390600435.25000298</v>
      </c>
      <c r="BH38" s="158">
        <f t="shared" si="72"/>
        <v>481705402.32010531</v>
      </c>
      <c r="BI38" s="158">
        <f t="shared" si="72"/>
        <v>468910081.08013505</v>
      </c>
      <c r="BJ38" s="158">
        <f t="shared" si="72"/>
        <v>446965190.95000333</v>
      </c>
      <c r="BK38" s="158">
        <f t="shared" si="72"/>
        <v>458975308.59097791</v>
      </c>
      <c r="BL38" s="158">
        <f t="shared" si="72"/>
        <v>500345758.40000105</v>
      </c>
      <c r="BM38" s="158">
        <f t="shared" si="72"/>
        <v>426936181.32000166</v>
      </c>
      <c r="BN38" s="158">
        <f t="shared" si="72"/>
        <v>402558608.17999738</v>
      </c>
      <c r="BO38" s="158">
        <f t="shared" si="72"/>
        <v>578715530.76999617</v>
      </c>
      <c r="BP38" s="158">
        <f t="shared" ref="BP38:CR38" si="73">SUM(BP39:BP41)</f>
        <v>518778235.14999998</v>
      </c>
      <c r="BQ38" s="158">
        <f t="shared" si="73"/>
        <v>654974293.79999578</v>
      </c>
      <c r="BR38" s="158">
        <f t="shared" si="73"/>
        <v>691678380.45999861</v>
      </c>
      <c r="BS38" s="158">
        <f t="shared" si="73"/>
        <v>669368686.40999508</v>
      </c>
      <c r="BT38" s="158">
        <f t="shared" si="73"/>
        <v>802061507.8999989</v>
      </c>
      <c r="BU38" s="158">
        <f t="shared" si="73"/>
        <v>675677026.27767074</v>
      </c>
      <c r="BV38" s="158">
        <f t="shared" si="73"/>
        <v>661692488.4491874</v>
      </c>
      <c r="BW38" s="158">
        <f t="shared" si="73"/>
        <v>660313470.16396201</v>
      </c>
      <c r="BX38" s="158">
        <f t="shared" si="73"/>
        <v>715029309.38593793</v>
      </c>
      <c r="BY38" s="158">
        <f t="shared" si="73"/>
        <v>638844682.41231</v>
      </c>
      <c r="BZ38" s="158">
        <f t="shared" si="73"/>
        <v>593227477.30603647</v>
      </c>
      <c r="CA38" s="158">
        <f t="shared" si="73"/>
        <v>740199654.74722505</v>
      </c>
      <c r="CB38" s="158">
        <f t="shared" si="73"/>
        <v>681675604.08352065</v>
      </c>
      <c r="CC38" s="158">
        <f t="shared" si="73"/>
        <v>810933177.20560133</v>
      </c>
      <c r="CD38" s="158">
        <f t="shared" si="73"/>
        <v>830851762.70402277</v>
      </c>
      <c r="CE38" s="158">
        <f t="shared" si="73"/>
        <v>772608716.31457436</v>
      </c>
      <c r="CF38" s="158">
        <f t="shared" si="73"/>
        <v>898743593.63786829</v>
      </c>
      <c r="CG38" s="158">
        <f t="shared" si="73"/>
        <v>826275726.0842669</v>
      </c>
      <c r="CH38" s="158">
        <f t="shared" si="73"/>
        <v>811200561.51133192</v>
      </c>
      <c r="CI38" s="158">
        <f t="shared" si="73"/>
        <v>805299629.46560299</v>
      </c>
      <c r="CJ38" s="158">
        <f t="shared" si="73"/>
        <v>871582354.2968117</v>
      </c>
      <c r="CK38" s="158">
        <f t="shared" si="73"/>
        <v>777018293.08297276</v>
      </c>
      <c r="CL38" s="158">
        <f t="shared" si="73"/>
        <v>719770974.22383881</v>
      </c>
      <c r="CM38" s="158">
        <f t="shared" si="73"/>
        <v>895420684.46045077</v>
      </c>
      <c r="CN38" s="158">
        <f t="shared" si="73"/>
        <v>820238173.85605907</v>
      </c>
      <c r="CO38" s="158">
        <f t="shared" si="73"/>
        <v>972574384.15536988</v>
      </c>
      <c r="CP38" s="158">
        <f t="shared" si="73"/>
        <v>992350767.83116341</v>
      </c>
      <c r="CQ38" s="158">
        <f t="shared" si="73"/>
        <v>918177473.31388474</v>
      </c>
      <c r="CR38" s="158">
        <f t="shared" si="73"/>
        <v>1056543777.1624769</v>
      </c>
      <c r="CS38" s="158">
        <f t="shared" ref="CS38:DD38" si="74">SUM(CS39:CS41)</f>
        <v>941474530.67763221</v>
      </c>
      <c r="CT38" s="158">
        <f t="shared" si="74"/>
        <v>923373591.43511605</v>
      </c>
      <c r="CU38" s="158">
        <f t="shared" si="74"/>
        <v>916070290.3006345</v>
      </c>
      <c r="CV38" s="158">
        <f t="shared" si="74"/>
        <v>991142390.0490253</v>
      </c>
      <c r="CW38" s="158">
        <f t="shared" si="74"/>
        <v>882456802.95292664</v>
      </c>
      <c r="CX38" s="158">
        <f t="shared" si="74"/>
        <v>816238473.03836036</v>
      </c>
      <c r="CY38" s="158">
        <f t="shared" si="74"/>
        <v>1015966706.1484184</v>
      </c>
      <c r="CZ38" s="158">
        <f t="shared" si="74"/>
        <v>929849943.03552079</v>
      </c>
      <c r="DA38" s="158">
        <f t="shared" si="74"/>
        <v>1102871309.4687114</v>
      </c>
      <c r="DB38" s="158">
        <f t="shared" si="74"/>
        <v>1125055493.5095372</v>
      </c>
      <c r="DC38" s="158">
        <f t="shared" si="74"/>
        <v>1040133570.0062253</v>
      </c>
      <c r="DD38" s="158">
        <f t="shared" si="74"/>
        <v>1197076088.1287639</v>
      </c>
      <c r="DF38" s="158">
        <f t="shared" si="52"/>
        <v>1028325005.6400895</v>
      </c>
      <c r="DG38" s="158">
        <f t="shared" si="53"/>
        <v>905659200.28004074</v>
      </c>
      <c r="DH38" s="158">
        <f t="shared" si="54"/>
        <v>1068244997.3577865</v>
      </c>
      <c r="DI38" s="158">
        <f t="shared" si="55"/>
        <v>844637019.58738017</v>
      </c>
      <c r="DJ38" s="158">
        <f t="shared" si="56"/>
        <v>1003661709.7182879</v>
      </c>
      <c r="DK38" s="158">
        <f t="shared" si="57"/>
        <v>859164976.21663463</v>
      </c>
      <c r="DL38" s="158">
        <f t="shared" si="58"/>
        <v>1076871249.0521505</v>
      </c>
      <c r="DM38" s="158">
        <f t="shared" si="59"/>
        <v>1277921878.8804283</v>
      </c>
      <c r="DN38" s="158">
        <f t="shared" si="60"/>
        <v>1374850580.6211162</v>
      </c>
      <c r="DO38" s="158">
        <f t="shared" si="61"/>
        <v>1329840547.9000001</v>
      </c>
      <c r="DP38" s="158">
        <f t="shared" si="62"/>
        <v>1752468059.7199922</v>
      </c>
      <c r="DQ38" s="158">
        <f t="shared" si="63"/>
        <v>2163108574.7699928</v>
      </c>
      <c r="DR38" s="158">
        <f t="shared" si="64"/>
        <v>1997682984.89082</v>
      </c>
      <c r="DS38" s="158">
        <f t="shared" si="65"/>
        <v>1947101469.1042843</v>
      </c>
      <c r="DT38" s="158">
        <f t="shared" si="66"/>
        <v>2232808436.0363469</v>
      </c>
      <c r="DU38" s="158">
        <f t="shared" si="67"/>
        <v>2502204072.6564655</v>
      </c>
      <c r="DV38" s="158">
        <f t="shared" si="68"/>
        <v>2442775917.0612016</v>
      </c>
      <c r="DW38" s="158">
        <f t="shared" si="69"/>
        <v>2368371621.6036234</v>
      </c>
      <c r="DX38" s="158">
        <f t="shared" si="70"/>
        <v>2688233242.4718795</v>
      </c>
      <c r="DY38" s="158">
        <f t="shared" si="71"/>
        <v>2967072018.3075252</v>
      </c>
      <c r="DZ38" s="158">
        <f t="shared" si="23"/>
        <v>2780918412.4133825</v>
      </c>
      <c r="EA38" s="158">
        <f t="shared" si="24"/>
        <v>2689837666.0403123</v>
      </c>
      <c r="EB38" s="158">
        <f t="shared" si="25"/>
        <v>3048687958.6526508</v>
      </c>
      <c r="EC38" s="158">
        <f t="shared" si="26"/>
        <v>3362265151.6445265</v>
      </c>
      <c r="EE38" s="158">
        <f>SUM(DF38:DI38)</f>
        <v>3846866222.8652973</v>
      </c>
      <c r="EF38" s="158">
        <f>SUM(DJ38:DM38)</f>
        <v>4217619813.8675013</v>
      </c>
      <c r="EG38" s="158">
        <f>SUM(DN38:DQ38)</f>
        <v>6620267763.0111008</v>
      </c>
      <c r="EH38" s="158">
        <f>SUM(DR38:DU38)</f>
        <v>8679796962.6879158</v>
      </c>
      <c r="EI38" s="158">
        <f>SUM(DV38:DY38)</f>
        <v>10466452799.444231</v>
      </c>
      <c r="EJ38" s="780">
        <f t="shared" si="27"/>
        <v>11881709188.750874</v>
      </c>
    </row>
    <row r="39" spans="2:140" x14ac:dyDescent="0.2">
      <c r="B39" s="167" t="s">
        <v>139</v>
      </c>
      <c r="C39" s="19">
        <f>'P&amp;L - Inputs'!AB423</f>
        <v>4954766</v>
      </c>
      <c r="D39" s="19">
        <f>'P&amp;L - Inputs'!AC423</f>
        <v>4037445</v>
      </c>
      <c r="E39" s="19">
        <f>'P&amp;L - Inputs'!AD423</f>
        <v>5761139.0300000003</v>
      </c>
      <c r="F39" s="19">
        <f>'P&amp;L - Inputs'!AE423</f>
        <v>8536549.3800000008</v>
      </c>
      <c r="G39" s="19">
        <f>'P&amp;L - Inputs'!AF423</f>
        <v>8788025</v>
      </c>
      <c r="H39" s="19">
        <f>'P&amp;L - Inputs'!AG423</f>
        <v>13654613.810000001</v>
      </c>
      <c r="I39" s="19">
        <f>'P&amp;L - Inputs'!AH423</f>
        <v>35751053.020000003</v>
      </c>
      <c r="J39" s="19">
        <f>'P&amp;L - Inputs'!AI423</f>
        <v>37014275.299999997</v>
      </c>
      <c r="K39" s="19">
        <f>'P&amp;L - Inputs'!AJ423</f>
        <v>35108368.859999985</v>
      </c>
      <c r="L39" s="19">
        <f>'P&amp;L - Inputs'!AK423</f>
        <v>37885909.480000101</v>
      </c>
      <c r="M39" s="19">
        <f>'P&amp;L - Inputs'!AL423</f>
        <v>20208108.890000015</v>
      </c>
      <c r="N39" s="19">
        <f>'P&amp;L - Inputs'!AM423</f>
        <v>633752.00000000023</v>
      </c>
      <c r="O39" s="19">
        <f>'P&amp;L - Inputs'!AN423</f>
        <v>14002299.03999999</v>
      </c>
      <c r="P39" s="19">
        <f>'P&amp;L - Inputs'!AO423</f>
        <v>21797668.65000008</v>
      </c>
      <c r="Q39" s="19">
        <f>'P&amp;L - Inputs'!AP423</f>
        <v>28089691.960000139</v>
      </c>
      <c r="R39" s="19">
        <f>'P&amp;L - Inputs'!AQ423</f>
        <v>36904755.140000142</v>
      </c>
      <c r="S39" s="19">
        <f>'P&amp;L - Inputs'!AR423</f>
        <v>46828225.990000345</v>
      </c>
      <c r="T39" s="19">
        <f>'P&amp;L - Inputs'!AS423</f>
        <v>70005722.409999847</v>
      </c>
      <c r="U39" s="19">
        <f>'P&amp;L - Inputs'!AT423</f>
        <v>82511797.66999945</v>
      </c>
      <c r="V39" s="19">
        <f>'P&amp;L - Inputs'!AU423</f>
        <v>82412612.100002199</v>
      </c>
      <c r="W39" s="19">
        <f>'P&amp;L - Inputs'!AV423</f>
        <v>90659551.679996312</v>
      </c>
      <c r="X39" s="19">
        <f>'P&amp;L - Inputs'!AW423</f>
        <v>104292087.39999501</v>
      </c>
      <c r="Y39" s="19">
        <f>'P&amp;L - Inputs'!AX423</f>
        <v>91697607.559995979</v>
      </c>
      <c r="Z39" s="19">
        <f>'P&amp;L - Inputs'!AY423</f>
        <v>114779549.58000481</v>
      </c>
      <c r="AA39" s="19">
        <f>'P&amp;L - Inputs'!AZ423</f>
        <v>141253866.80999011</v>
      </c>
      <c r="AB39" s="19">
        <f>'P&amp;L - Inputs'!BA423</f>
        <v>139824307.22999817</v>
      </c>
      <c r="AC39" s="19">
        <f>'P&amp;L - Inputs'!BB423</f>
        <v>147236054.30000532</v>
      </c>
      <c r="AD39" s="19">
        <f>'P&amp;L - Inputs'!BC423</f>
        <v>140388684.34999976</v>
      </c>
      <c r="AE39" s="19">
        <f>'P&amp;L - Inputs'!BD423</f>
        <v>160479557.15999565</v>
      </c>
      <c r="AF39" s="19">
        <f>'P&amp;L - Inputs'!BE423</f>
        <v>165750313.19999796</v>
      </c>
      <c r="AG39" s="19">
        <f>'P&amp;L - Inputs'!BF423</f>
        <v>204553840.08001384</v>
      </c>
      <c r="AH39" s="19">
        <f>'P&amp;L - Inputs'!BG423</f>
        <v>226645974.00999886</v>
      </c>
      <c r="AI39" s="19">
        <f>'P&amp;L - Inputs'!BH423</f>
        <v>225605764.10000449</v>
      </c>
      <c r="AJ39" s="19">
        <f>'P&amp;L - Inputs'!BI423</f>
        <v>288574879.72998047</v>
      </c>
      <c r="AK39" s="19">
        <f>'P&amp;L - Inputs'!BJ423</f>
        <v>307823119.22002548</v>
      </c>
      <c r="AL39" s="19">
        <f>'P&amp;L - Inputs'!BK423</f>
        <v>325375636.16002572</v>
      </c>
      <c r="AM39" s="19">
        <f>'P&amp;L - Inputs'!BL423</f>
        <v>320014222.86003822</v>
      </c>
      <c r="AN39" s="19">
        <f>'P&amp;L - Inputs'!BM423</f>
        <v>279176345.42004132</v>
      </c>
      <c r="AO39" s="19">
        <f>'P&amp;L - Inputs'!BN423</f>
        <v>277612162.89996934</v>
      </c>
      <c r="AP39" s="19">
        <f>'P&amp;L - Inputs'!BO423</f>
        <v>262444535.14003003</v>
      </c>
      <c r="AQ39" s="19">
        <f>'P&amp;L - Inputs'!BP423</f>
        <v>373549623.84254277</v>
      </c>
      <c r="AR39" s="19">
        <f>'P&amp;L - Inputs'!BQ423</f>
        <v>330622306.06254625</v>
      </c>
      <c r="AS39" s="19">
        <f>'P&amp;L - Inputs'!BR423</f>
        <v>285460500.66609704</v>
      </c>
      <c r="AT39" s="19">
        <f>'P&amp;L - Inputs'!BS423</f>
        <v>255910528.12915152</v>
      </c>
      <c r="AU39" s="19">
        <f>'P&amp;L - Inputs'!BT423</f>
        <v>233501076.85305086</v>
      </c>
      <c r="AV39" s="19">
        <f>'P&amp;L - Inputs'!BU423</f>
        <v>285952174.34305489</v>
      </c>
      <c r="AW39" s="19">
        <f>'P&amp;L - Inputs'!BV423</f>
        <v>299349182.23305589</v>
      </c>
      <c r="AX39" s="19">
        <f>'P&amp;L - Inputs'!BW423</f>
        <v>298106584.54000413</v>
      </c>
      <c r="AY39" s="19">
        <f>'P&amp;L - Inputs'!BX423</f>
        <v>319526357.70000637</v>
      </c>
      <c r="AZ39" s="19">
        <f>'P&amp;L - Inputs'!BY423</f>
        <v>300803716.71000528</v>
      </c>
      <c r="BA39" s="19">
        <f>'P&amp;L - Inputs'!BZ423</f>
        <v>249679942.23000249</v>
      </c>
      <c r="BB39" s="19">
        <f>'P&amp;L - Inputs'!CA423</f>
        <v>215871950.76000494</v>
      </c>
      <c r="BC39" s="19">
        <f>'P&amp;L - Inputs'!CB423</f>
        <v>309060047.67000377</v>
      </c>
      <c r="BD39" s="19">
        <f>'P&amp;L - Inputs'!CC423</f>
        <v>306679232.54000497</v>
      </c>
      <c r="BE39" s="19">
        <f>'P&amp;L - Inputs'!CD423</f>
        <v>363292241.72436666</v>
      </c>
      <c r="BF39" s="19">
        <f>'P&amp;L - Inputs'!CE423</f>
        <v>371478973.49032009</v>
      </c>
      <c r="BG39" s="19">
        <f>'P&amp;L - Inputs'!CF423</f>
        <v>360541591.08000308</v>
      </c>
      <c r="BH39" s="19">
        <f>'P&amp;L - Inputs'!CG423</f>
        <v>443450649.13010532</v>
      </c>
      <c r="BI39" s="19">
        <f>'P&amp;L - Inputs'!CH423</f>
        <v>433451130.52013505</v>
      </c>
      <c r="BJ39" s="19">
        <f>'P&amp;L - Inputs'!CI423</f>
        <v>410201462.70000333</v>
      </c>
      <c r="BK39" s="19">
        <f>'P&amp;L - Inputs'!CJ423</f>
        <v>424937797.45097804</v>
      </c>
      <c r="BL39" s="19">
        <f>'P&amp;L - Inputs'!CK423</f>
        <v>461346477.32000107</v>
      </c>
      <c r="BM39" s="19">
        <f>'P&amp;L - Inputs'!CL423</f>
        <v>385800221.89000165</v>
      </c>
      <c r="BN39" s="19">
        <f>'P&amp;L - Inputs'!CM423</f>
        <v>363639375.94999743</v>
      </c>
      <c r="BO39" s="19">
        <f>'P&amp;L - Inputs'!CN423</f>
        <v>533604676.60999614</v>
      </c>
      <c r="BP39" s="19">
        <f>'P&amp;L - Inputs'!CO423</f>
        <v>474687305.93000001</v>
      </c>
      <c r="BQ39" s="19">
        <f>'P&amp;L - Inputs'!CP423</f>
        <v>601046384.98999572</v>
      </c>
      <c r="BR39" s="19">
        <f>'P&amp;L - Inputs'!CQ423</f>
        <v>640903837.67999852</v>
      </c>
      <c r="BS39" s="19">
        <f>'P&amp;L - Inputs'!CR423</f>
        <v>620035532.80999506</v>
      </c>
      <c r="BT39" s="19">
        <f>'P&amp;L - Inputs'!CS423</f>
        <v>727731828.33999896</v>
      </c>
      <c r="BU39" s="19">
        <f>'P&amp;L - Inputs'!CT423</f>
        <v>623316225.19374788</v>
      </c>
      <c r="BV39" s="19">
        <f>'P&amp;L - Inputs'!CU423</f>
        <v>608891680.63346696</v>
      </c>
      <c r="BW39" s="19">
        <f>'P&amp;L - Inputs'!CV423</f>
        <v>606852652.25054502</v>
      </c>
      <c r="BX39" s="19">
        <f>'P&amp;L - Inputs'!CW423</f>
        <v>661128484.74072325</v>
      </c>
      <c r="BY39" s="19">
        <f>'P&amp;L - Inputs'!CX423</f>
        <v>584283847.66939878</v>
      </c>
      <c r="BZ39" s="19">
        <f>'P&amp;L - Inputs'!CY423</f>
        <v>537786629.09952998</v>
      </c>
      <c r="CA39" s="19">
        <f>'P&amp;L - Inputs'!CZ423</f>
        <v>684318799.80892086</v>
      </c>
      <c r="CB39" s="19">
        <f>'P&amp;L - Inputs'!DA423</f>
        <v>625134739.04751992</v>
      </c>
      <c r="CC39" s="19">
        <f>'P&amp;L - Inputs'!DB423</f>
        <v>753952305.43780303</v>
      </c>
      <c r="CD39" s="19">
        <f>'P&amp;L - Inputs'!DC423</f>
        <v>773430884.20442677</v>
      </c>
      <c r="CE39" s="19">
        <f>'P&amp;L - Inputs'!DD423</f>
        <v>714527827.71728182</v>
      </c>
      <c r="CF39" s="19">
        <f>'P&amp;L - Inputs'!DE423</f>
        <v>839782691.57698047</v>
      </c>
      <c r="CG39" s="19">
        <f>'P&amp;L - Inputs'!DF423</f>
        <v>766874817.29158139</v>
      </c>
      <c r="CH39" s="19">
        <f>'P&amp;L - Inputs'!DG423</f>
        <v>751139642.62094986</v>
      </c>
      <c r="CI39" s="19">
        <f>'P&amp;L - Inputs'!DH423</f>
        <v>744798703.84342337</v>
      </c>
      <c r="CJ39" s="19">
        <f>'P&amp;L - Inputs'!DI423</f>
        <v>810641421.94283426</v>
      </c>
      <c r="CK39" s="19">
        <f>'P&amp;L - Inputs'!DJ423</f>
        <v>715417350.6312989</v>
      </c>
      <c r="CL39" s="19">
        <f>'P&amp;L - Inputs'!DK423</f>
        <v>657290018.30856955</v>
      </c>
      <c r="CM39" s="19">
        <f>'P&amp;L - Inputs'!DL423</f>
        <v>832719725.17928278</v>
      </c>
      <c r="CN39" s="19">
        <f>'P&amp;L - Inputs'!DM423</f>
        <v>757097207.8430934</v>
      </c>
      <c r="CO39" s="19">
        <f>'P&amp;L - Inputs'!DN423</f>
        <v>909213414.77650535</v>
      </c>
      <c r="CP39" s="19">
        <f>'P&amp;L - Inputs'!DO423</f>
        <v>928769795.08640003</v>
      </c>
      <c r="CQ39" s="19">
        <f>'P&amp;L - Inputs'!DP423</f>
        <v>854156493.83732367</v>
      </c>
      <c r="CR39" s="19">
        <f>'P&amp;L - Inputs'!DQ423</f>
        <v>992302794.32001698</v>
      </c>
      <c r="CS39" s="19">
        <f>'P&amp;L - Inputs'!DR423</f>
        <v>876793541.10337472</v>
      </c>
      <c r="CT39" s="19">
        <f>'P&amp;L - Inputs'!DS423</f>
        <v>858032591.76316202</v>
      </c>
      <c r="CU39" s="19">
        <f>'P&amp;L - Inputs'!DT423</f>
        <v>850289283.89688277</v>
      </c>
      <c r="CV39" s="19">
        <f>'P&amp;L - Inputs'!DU423</f>
        <v>924921376.91347587</v>
      </c>
      <c r="CW39" s="19">
        <f>'P&amp;L - Inputs'!DV423</f>
        <v>815575779.71968079</v>
      </c>
      <c r="CX39" s="19">
        <f>'P&amp;L - Inputs'!DW423</f>
        <v>748477436.341519</v>
      </c>
      <c r="CY39" s="19">
        <f>'P&amp;L - Inputs'!DX423</f>
        <v>947985666.08567834</v>
      </c>
      <c r="CZ39" s="19">
        <f>'P&amp;L - Inputs'!DY423</f>
        <v>861428896.24098301</v>
      </c>
      <c r="DA39" s="19">
        <f>'P&amp;L - Inputs'!DZ423</f>
        <v>1034230259.3082749</v>
      </c>
      <c r="DB39" s="19">
        <f>'P&amp;L - Inputs'!EA423</f>
        <v>1056194439.9832017</v>
      </c>
      <c r="DC39" s="19">
        <f>'P&amp;L - Inputs'!EB423</f>
        <v>970832509.74809217</v>
      </c>
      <c r="DD39" s="19">
        <f>'P&amp;L - Inputs'!EC423</f>
        <v>1127555024.5047319</v>
      </c>
      <c r="DF39" s="19">
        <f t="shared" si="52"/>
        <v>953212978.24008942</v>
      </c>
      <c r="DG39" s="19">
        <f t="shared" si="53"/>
        <v>819233043.46004069</v>
      </c>
      <c r="DH39" s="19">
        <f t="shared" si="54"/>
        <v>989632430.57118607</v>
      </c>
      <c r="DI39" s="19">
        <f t="shared" si="55"/>
        <v>775363779.3252573</v>
      </c>
      <c r="DJ39" s="19">
        <f t="shared" si="56"/>
        <v>916982124.47306645</v>
      </c>
      <c r="DK39" s="19">
        <f t="shared" si="57"/>
        <v>766355609.70001268</v>
      </c>
      <c r="DL39" s="19">
        <f t="shared" si="58"/>
        <v>979031521.93437541</v>
      </c>
      <c r="DM39" s="19">
        <f t="shared" si="59"/>
        <v>1175471213.7004285</v>
      </c>
      <c r="DN39" s="19">
        <f t="shared" si="60"/>
        <v>1268590390.6711164</v>
      </c>
      <c r="DO39" s="19">
        <f t="shared" si="61"/>
        <v>1210786075.1600001</v>
      </c>
      <c r="DP39" s="19">
        <f t="shared" si="62"/>
        <v>1609338367.5299919</v>
      </c>
      <c r="DQ39" s="19">
        <f t="shared" si="63"/>
        <v>1988671198.8299925</v>
      </c>
      <c r="DR39" s="19">
        <f t="shared" si="64"/>
        <v>1839060558.0777597</v>
      </c>
      <c r="DS39" s="19">
        <f t="shared" si="65"/>
        <v>1783198961.5096519</v>
      </c>
      <c r="DT39" s="19">
        <f t="shared" si="66"/>
        <v>2063405844.2942438</v>
      </c>
      <c r="DU39" s="19">
        <f t="shared" si="67"/>
        <v>2327741403.4986892</v>
      </c>
      <c r="DV39" s="19">
        <f t="shared" si="68"/>
        <v>2262813163.7559547</v>
      </c>
      <c r="DW39" s="19">
        <f t="shared" si="69"/>
        <v>2183348790.8827028</v>
      </c>
      <c r="DX39" s="19">
        <f t="shared" si="70"/>
        <v>2499030347.7988815</v>
      </c>
      <c r="DY39" s="19">
        <f t="shared" si="71"/>
        <v>2775229083.2437406</v>
      </c>
      <c r="DZ39" s="19">
        <f t="shared" si="23"/>
        <v>2585115416.7634192</v>
      </c>
      <c r="EA39" s="19">
        <f t="shared" si="24"/>
        <v>2488974592.9746757</v>
      </c>
      <c r="EB39" s="19">
        <f t="shared" si="25"/>
        <v>2843644821.6349363</v>
      </c>
      <c r="EC39" s="19">
        <f t="shared" si="26"/>
        <v>3154581974.2360258</v>
      </c>
      <c r="EE39" s="19">
        <f>SUM(DF39:DI39)</f>
        <v>3537442231.5965734</v>
      </c>
      <c r="EF39" s="19">
        <f>SUM(DJ39:DM39)</f>
        <v>3837840469.8078828</v>
      </c>
      <c r="EG39" s="19">
        <f>SUM(DN39:DQ39)</f>
        <v>6077386032.1911011</v>
      </c>
      <c r="EH39" s="19">
        <f>SUM(DR39:DU39)</f>
        <v>8013406767.3803444</v>
      </c>
      <c r="EI39" s="19">
        <f>SUM(DV39:DY39)</f>
        <v>9720421385.6812801</v>
      </c>
      <c r="EJ39" s="770">
        <f t="shared" si="27"/>
        <v>11072316805.609056</v>
      </c>
    </row>
    <row r="40" spans="2:140" x14ac:dyDescent="0.2">
      <c r="B40" s="167" t="s">
        <v>191</v>
      </c>
      <c r="C40" s="19">
        <f>'P&amp;L - Inputs'!AB424</f>
        <v>3655563.01</v>
      </c>
      <c r="D40" s="19">
        <f>'P&amp;L - Inputs'!AC424</f>
        <v>3972387</v>
      </c>
      <c r="E40" s="19">
        <f>'P&amp;L - Inputs'!AD424</f>
        <v>4122520.4</v>
      </c>
      <c r="F40" s="19">
        <f>'P&amp;L - Inputs'!AE424</f>
        <v>3482649.1</v>
      </c>
      <c r="G40" s="19">
        <f>'P&amp;L - Inputs'!AF424</f>
        <v>3286270</v>
      </c>
      <c r="H40" s="19">
        <f>'P&amp;L - Inputs'!AG424</f>
        <v>3164743</v>
      </c>
      <c r="I40" s="19">
        <f>'P&amp;L - Inputs'!AH424</f>
        <v>3181133</v>
      </c>
      <c r="J40" s="19">
        <f>'P&amp;L - Inputs'!AI424</f>
        <v>3167770</v>
      </c>
      <c r="K40" s="19">
        <f>'P&amp;L - Inputs'!AJ424</f>
        <v>2816768</v>
      </c>
      <c r="L40" s="19">
        <f>'P&amp;L - Inputs'!AK424</f>
        <v>3785862</v>
      </c>
      <c r="M40" s="19">
        <f>'P&amp;L - Inputs'!AL424</f>
        <v>2399609</v>
      </c>
      <c r="N40" s="19">
        <f>'P&amp;L - Inputs'!AM424</f>
        <v>0</v>
      </c>
      <c r="O40" s="19">
        <f>'P&amp;L - Inputs'!AN424</f>
        <v>4316723</v>
      </c>
      <c r="P40" s="19">
        <f>'P&amp;L - Inputs'!AO424</f>
        <v>6004305</v>
      </c>
      <c r="Q40" s="19">
        <f>'P&amp;L - Inputs'!AP424</f>
        <v>5531798</v>
      </c>
      <c r="R40" s="19">
        <f>'P&amp;L - Inputs'!AQ424</f>
        <v>6766296</v>
      </c>
      <c r="S40" s="19">
        <f>'P&amp;L - Inputs'!AR424</f>
        <v>6376552</v>
      </c>
      <c r="T40" s="19">
        <f>'P&amp;L - Inputs'!AS424</f>
        <v>6766194</v>
      </c>
      <c r="U40" s="19">
        <f>'P&amp;L - Inputs'!AT424</f>
        <v>9614808</v>
      </c>
      <c r="V40" s="19">
        <f>'P&amp;L - Inputs'!AU424</f>
        <v>9353804</v>
      </c>
      <c r="W40" s="19">
        <f>'P&amp;L - Inputs'!AV424</f>
        <v>9491599</v>
      </c>
      <c r="X40" s="19">
        <f>'P&amp;L - Inputs'!AW424</f>
        <v>8812633</v>
      </c>
      <c r="Y40" s="19">
        <f>'P&amp;L - Inputs'!AX424</f>
        <v>10571348</v>
      </c>
      <c r="Z40" s="19">
        <f>'P&amp;L - Inputs'!AY424</f>
        <v>12359869</v>
      </c>
      <c r="AA40" s="19">
        <f>'P&amp;L - Inputs'!AZ424</f>
        <v>12789191</v>
      </c>
      <c r="AB40" s="19">
        <f>'P&amp;L - Inputs'!BA424</f>
        <v>15111163</v>
      </c>
      <c r="AC40" s="19">
        <f>'P&amp;L - Inputs'!BB424</f>
        <v>15393068</v>
      </c>
      <c r="AD40" s="19">
        <f>'P&amp;L - Inputs'!BC424</f>
        <v>14892958</v>
      </c>
      <c r="AE40" s="19">
        <f>'P&amp;L - Inputs'!BD424</f>
        <v>14209739</v>
      </c>
      <c r="AF40" s="19">
        <f>'P&amp;L - Inputs'!BE424</f>
        <v>14997847</v>
      </c>
      <c r="AG40" s="19">
        <f>'P&amp;L - Inputs'!BF424</f>
        <v>15114599</v>
      </c>
      <c r="AH40" s="19">
        <f>'P&amp;L - Inputs'!BG424</f>
        <v>16055224</v>
      </c>
      <c r="AI40" s="19">
        <f>'P&amp;L - Inputs'!BH424</f>
        <v>15120818</v>
      </c>
      <c r="AJ40" s="19">
        <f>'P&amp;L - Inputs'!BI424</f>
        <v>15916436</v>
      </c>
      <c r="AK40" s="19">
        <f>'P&amp;L - Inputs'!BJ424</f>
        <v>16455088</v>
      </c>
      <c r="AL40" s="19">
        <f>'P&amp;L - Inputs'!BK424</f>
        <v>17261755</v>
      </c>
      <c r="AM40" s="19">
        <f>'P&amp;L - Inputs'!BL424</f>
        <v>18137287</v>
      </c>
      <c r="AN40" s="19">
        <f>'P&amp;L - Inputs'!BM424</f>
        <v>19516288</v>
      </c>
      <c r="AO40" s="19">
        <f>'P&amp;L - Inputs'!BN424</f>
        <v>19725098</v>
      </c>
      <c r="AP40" s="19">
        <f>'P&amp;L - Inputs'!BO424</f>
        <v>17099249</v>
      </c>
      <c r="AQ40" s="19">
        <f>'P&amp;L - Inputs'!BP424</f>
        <v>17511393</v>
      </c>
      <c r="AR40" s="19">
        <f>'P&amp;L - Inputs'!BQ424</f>
        <v>14560657</v>
      </c>
      <c r="AS40" s="19">
        <f>'P&amp;L - Inputs'!BR424</f>
        <v>14625126</v>
      </c>
      <c r="AT40" s="19">
        <f>'P&amp;L - Inputs'!BS424</f>
        <v>14384434</v>
      </c>
      <c r="AU40" s="19">
        <f>'P&amp;L - Inputs'!BT424</f>
        <v>14500412</v>
      </c>
      <c r="AV40" s="19">
        <f>'P&amp;L - Inputs'!BU424</f>
        <v>16891021</v>
      </c>
      <c r="AW40" s="19">
        <f>'P&amp;L - Inputs'!BV424</f>
        <v>17959708</v>
      </c>
      <c r="AX40" s="19">
        <f>'P&amp;L - Inputs'!BW424</f>
        <v>19262795</v>
      </c>
      <c r="AY40" s="19">
        <f>'P&amp;L - Inputs'!BX424</f>
        <v>20797660</v>
      </c>
      <c r="AZ40" s="19">
        <f>'P&amp;L - Inputs'!BY424</f>
        <v>22174516.800000001</v>
      </c>
      <c r="BA40" s="19">
        <f>'P&amp;L - Inputs'!BZ424</f>
        <v>21618496</v>
      </c>
      <c r="BB40" s="19">
        <f>'P&amp;L - Inputs'!CA424</f>
        <v>20817939</v>
      </c>
      <c r="BC40" s="19">
        <f>'P&amp;L - Inputs'!CB424</f>
        <v>21207667.68</v>
      </c>
      <c r="BD40" s="19">
        <f>'P&amp;L - Inputs'!CC424</f>
        <v>19255836.920000002</v>
      </c>
      <c r="BE40" s="19">
        <f>'P&amp;L - Inputs'!CD424</f>
        <v>22400620.879999999</v>
      </c>
      <c r="BF40" s="19">
        <f>'P&amp;L - Inputs'!CE424</f>
        <v>21300170.48</v>
      </c>
      <c r="BG40" s="19">
        <f>'P&amp;L - Inputs'!CF424</f>
        <v>18619942.399999999</v>
      </c>
      <c r="BH40" s="19">
        <f>'P&amp;L - Inputs'!CG424</f>
        <v>24707878.719999999</v>
      </c>
      <c r="BI40" s="19">
        <f>'P&amp;L - Inputs'!CH424</f>
        <v>22799477</v>
      </c>
      <c r="BJ40" s="19">
        <f>'P&amp;L - Inputs'!CI424</f>
        <v>23528850</v>
      </c>
      <c r="BK40" s="19">
        <f>'P&amp;L - Inputs'!CJ424</f>
        <v>23644259.399999999</v>
      </c>
      <c r="BL40" s="19">
        <f>'P&amp;L - Inputs'!CK424</f>
        <v>26714167.710000001</v>
      </c>
      <c r="BM40" s="19">
        <f>'P&amp;L - Inputs'!CL424</f>
        <v>30017121.27</v>
      </c>
      <c r="BN40" s="19">
        <f>'P&amp;L - Inputs'!CM424</f>
        <v>25148103.829999998</v>
      </c>
      <c r="BO40" s="19">
        <f>'P&amp;L - Inputs'!CN424</f>
        <v>25669120.719999999</v>
      </c>
      <c r="BP40" s="19">
        <f>'P&amp;L - Inputs'!CO424</f>
        <v>26616200.09</v>
      </c>
      <c r="BQ40" s="19">
        <f>'P&amp;L - Inputs'!CP424</f>
        <v>32153333.34</v>
      </c>
      <c r="BR40" s="19">
        <f>'P&amp;L - Inputs'!CQ424</f>
        <v>31872046.09</v>
      </c>
      <c r="BS40" s="19">
        <f>'P&amp;L - Inputs'!CR424</f>
        <v>31154044.84</v>
      </c>
      <c r="BT40" s="19">
        <f>'P&amp;L - Inputs'!CS424</f>
        <v>53076996.660000004</v>
      </c>
      <c r="BU40" s="19">
        <f>'P&amp;L - Inputs'!CT424</f>
        <v>33804798.704594932</v>
      </c>
      <c r="BV40" s="19">
        <f>'P&amp;L - Inputs'!CU424</f>
        <v>34088872.643289007</v>
      </c>
      <c r="BW40" s="19">
        <f>'P&amp;L - Inputs'!CV424</f>
        <v>34514983.551330119</v>
      </c>
      <c r="BX40" s="19">
        <f>'P&amp;L - Inputs'!CW424</f>
        <v>34799057.490024194</v>
      </c>
      <c r="BY40" s="19">
        <f>'P&amp;L - Inputs'!CX424</f>
        <v>35225168.398065306</v>
      </c>
      <c r="BZ40" s="19">
        <f>'P&amp;L - Inputs'!CY424</f>
        <v>35793316.275453456</v>
      </c>
      <c r="CA40" s="19">
        <f>'P&amp;L - Inputs'!CZ424</f>
        <v>36077390.21414753</v>
      </c>
      <c r="CB40" s="19">
        <f>'P&amp;L - Inputs'!DA424</f>
        <v>36503501.122188643</v>
      </c>
      <c r="CC40" s="19">
        <f>'P&amp;L - Inputs'!DB424</f>
        <v>36787575.060882717</v>
      </c>
      <c r="CD40" s="19">
        <f>'P&amp;L - Inputs'!DC424</f>
        <v>37071648.999576792</v>
      </c>
      <c r="CE40" s="19">
        <f>'P&amp;L - Inputs'!DD424</f>
        <v>37497759.907617904</v>
      </c>
      <c r="CF40" s="19">
        <f>'P&amp;L - Inputs'!DE424</f>
        <v>38065907.785006054</v>
      </c>
      <c r="CG40" s="19">
        <f>'P&amp;L - Inputs'!DF424</f>
        <v>38349981.723700128</v>
      </c>
      <c r="CH40" s="19">
        <f>'P&amp;L - Inputs'!DG424</f>
        <v>38776092.631741241</v>
      </c>
      <c r="CI40" s="19">
        <f>'P&amp;L - Inputs'!DH424</f>
        <v>39060166.570435315</v>
      </c>
      <c r="CJ40" s="19">
        <f>'P&amp;L - Inputs'!DI424</f>
        <v>39344240.50912939</v>
      </c>
      <c r="CK40" s="19">
        <f>'P&amp;L - Inputs'!DJ424</f>
        <v>39770351.417170502</v>
      </c>
      <c r="CL40" s="19">
        <f>'P&amp;L - Inputs'!DK424</f>
        <v>40338499.294558659</v>
      </c>
      <c r="CM40" s="19">
        <f>'P&amp;L - Inputs'!DL424</f>
        <v>40480536.263905697</v>
      </c>
      <c r="CN40" s="19">
        <f>'P&amp;L - Inputs'!DM424</f>
        <v>40764610.202599771</v>
      </c>
      <c r="CO40" s="19">
        <f>'P&amp;L - Inputs'!DN424</f>
        <v>40906647.171946809</v>
      </c>
      <c r="CP40" s="19">
        <f>'P&amp;L - Inputs'!DO424</f>
        <v>41048684.141293846</v>
      </c>
      <c r="CQ40" s="19">
        <f>'P&amp;L - Inputs'!DP424</f>
        <v>41332758.079987921</v>
      </c>
      <c r="CR40" s="19">
        <f>'P&amp;L - Inputs'!DQ424</f>
        <v>41474795.049334958</v>
      </c>
      <c r="CS40" s="19">
        <f>'P&amp;L - Inputs'!DR424</f>
        <v>41758868.988029033</v>
      </c>
      <c r="CT40" s="19">
        <f>'P&amp;L - Inputs'!DS424</f>
        <v>42184979.896070145</v>
      </c>
      <c r="CU40" s="19">
        <f>'P&amp;L - Inputs'!DT424</f>
        <v>42469053.83476422</v>
      </c>
      <c r="CV40" s="19">
        <f>'P&amp;L - Inputs'!DU424</f>
        <v>42753127.773458295</v>
      </c>
      <c r="CW40" s="19">
        <f>'P&amp;L - Inputs'!DV424</f>
        <v>43179238.681499407</v>
      </c>
      <c r="CX40" s="19">
        <f>'P&amp;L - Inputs'!DW424</f>
        <v>43747386.558887556</v>
      </c>
      <c r="CY40" s="19">
        <f>'P&amp;L - Inputs'!DX424</f>
        <v>43889423.528234594</v>
      </c>
      <c r="CZ40" s="19">
        <f>'P&amp;L - Inputs'!DY424</f>
        <v>44173497.466928668</v>
      </c>
      <c r="DA40" s="19">
        <f>'P&amp;L - Inputs'!DZ424</f>
        <v>44315534.436275706</v>
      </c>
      <c r="DB40" s="19">
        <f>'P&amp;L - Inputs'!EA424</f>
        <v>44457571.405622743</v>
      </c>
      <c r="DC40" s="19">
        <f>'P&amp;L - Inputs'!EB424</f>
        <v>44741645.344316818</v>
      </c>
      <c r="DD40" s="19">
        <f>'P&amp;L - Inputs'!EC424</f>
        <v>44883682.313663855</v>
      </c>
      <c r="DF40" s="19">
        <f t="shared" si="52"/>
        <v>51854130</v>
      </c>
      <c r="DG40" s="19">
        <f t="shared" si="53"/>
        <v>56340635</v>
      </c>
      <c r="DH40" s="19">
        <f t="shared" si="54"/>
        <v>46697176</v>
      </c>
      <c r="DI40" s="19">
        <f t="shared" si="55"/>
        <v>45775867</v>
      </c>
      <c r="DJ40" s="19">
        <f t="shared" si="56"/>
        <v>58020163</v>
      </c>
      <c r="DK40" s="19">
        <f t="shared" si="57"/>
        <v>64610951.799999997</v>
      </c>
      <c r="DL40" s="19">
        <f t="shared" si="58"/>
        <v>62864125.480000004</v>
      </c>
      <c r="DM40" s="19">
        <f t="shared" si="59"/>
        <v>64627991.599999994</v>
      </c>
      <c r="DN40" s="19">
        <f t="shared" si="60"/>
        <v>69972586.400000006</v>
      </c>
      <c r="DO40" s="19">
        <f t="shared" si="61"/>
        <v>81879392.810000002</v>
      </c>
      <c r="DP40" s="19">
        <f t="shared" si="62"/>
        <v>84438654.150000006</v>
      </c>
      <c r="DQ40" s="19">
        <f t="shared" si="63"/>
        <v>116103087.59</v>
      </c>
      <c r="DR40" s="19">
        <f t="shared" si="64"/>
        <v>102408654.89921406</v>
      </c>
      <c r="DS40" s="19">
        <f t="shared" si="65"/>
        <v>105817542.16354296</v>
      </c>
      <c r="DT40" s="19">
        <f t="shared" si="66"/>
        <v>109368466.39721888</v>
      </c>
      <c r="DU40" s="19">
        <f t="shared" si="67"/>
        <v>112635316.69220075</v>
      </c>
      <c r="DV40" s="19">
        <f t="shared" si="68"/>
        <v>116186240.92587668</v>
      </c>
      <c r="DW40" s="19">
        <f t="shared" si="69"/>
        <v>119453091.22085856</v>
      </c>
      <c r="DX40" s="19">
        <f t="shared" si="70"/>
        <v>122151793.63845228</v>
      </c>
      <c r="DY40" s="19">
        <f t="shared" si="71"/>
        <v>123856237.27061673</v>
      </c>
      <c r="DZ40" s="19">
        <f t="shared" si="23"/>
        <v>126412902.7188634</v>
      </c>
      <c r="EA40" s="19">
        <f t="shared" si="24"/>
        <v>129679753.01384525</v>
      </c>
      <c r="EB40" s="19">
        <f t="shared" si="25"/>
        <v>132378455.43143897</v>
      </c>
      <c r="EC40" s="19">
        <f t="shared" si="26"/>
        <v>134082899.06360342</v>
      </c>
      <c r="EE40" s="19">
        <f>SUM(DF40:DI40)</f>
        <v>200667808</v>
      </c>
      <c r="EF40" s="19">
        <f>SUM(DJ40:DM40)</f>
        <v>250123231.88</v>
      </c>
      <c r="EG40" s="19">
        <f>SUM(DN40:DQ40)</f>
        <v>352393720.95000005</v>
      </c>
      <c r="EH40" s="19">
        <f>SUM(DR40:DU40)</f>
        <v>430229980.15217662</v>
      </c>
      <c r="EI40" s="19">
        <f>SUM(DV40:DY40)</f>
        <v>481647363.05580425</v>
      </c>
      <c r="EJ40" s="770">
        <f t="shared" si="27"/>
        <v>522554010.22775102</v>
      </c>
    </row>
    <row r="41" spans="2:140" x14ac:dyDescent="0.2">
      <c r="B41" s="167" t="s">
        <v>140</v>
      </c>
      <c r="C41" s="19">
        <f>'P&amp;L - Inputs'!AB425</f>
        <v>139995</v>
      </c>
      <c r="D41" s="19">
        <f>'P&amp;L - Inputs'!AC425</f>
        <v>130583</v>
      </c>
      <c r="E41" s="19">
        <f>'P&amp;L - Inputs'!AD425</f>
        <v>211030.11</v>
      </c>
      <c r="F41" s="19">
        <f>'P&amp;L - Inputs'!AE425</f>
        <v>280392.7</v>
      </c>
      <c r="G41" s="19">
        <f>'P&amp;L - Inputs'!AF425</f>
        <v>263038.33999999997</v>
      </c>
      <c r="H41" s="19">
        <f>'P&amp;L - Inputs'!AG425</f>
        <v>288011</v>
      </c>
      <c r="I41" s="19">
        <f>'P&amp;L - Inputs'!AH425</f>
        <v>326660.40999999997</v>
      </c>
      <c r="J41" s="19">
        <f>'P&amp;L - Inputs'!AI425</f>
        <v>380448.66</v>
      </c>
      <c r="K41" s="19">
        <f>'P&amp;L - Inputs'!AJ425</f>
        <v>1068448.0000000012</v>
      </c>
      <c r="L41" s="19">
        <f>'P&amp;L - Inputs'!AK425</f>
        <v>596967.97</v>
      </c>
      <c r="M41" s="19">
        <f>'P&amp;L - Inputs'!AL425</f>
        <v>278715.12999999995</v>
      </c>
      <c r="N41" s="19">
        <f>'P&amp;L - Inputs'!AM425</f>
        <v>7394.56</v>
      </c>
      <c r="O41" s="19">
        <f>'P&amp;L - Inputs'!AN425</f>
        <v>345998.91</v>
      </c>
      <c r="P41" s="19">
        <f>'P&amp;L - Inputs'!AO425</f>
        <v>633681.45999999985</v>
      </c>
      <c r="Q41" s="19">
        <f>'P&amp;L - Inputs'!AP425</f>
        <v>1567361.4</v>
      </c>
      <c r="R41" s="19">
        <f>'P&amp;L - Inputs'!AQ425</f>
        <v>2058344</v>
      </c>
      <c r="S41" s="19">
        <f>'P&amp;L - Inputs'!AR425</f>
        <v>2004251.14</v>
      </c>
      <c r="T41" s="19">
        <f>'P&amp;L - Inputs'!AS425</f>
        <v>2345519.1600000067</v>
      </c>
      <c r="U41" s="19">
        <f>'P&amp;L - Inputs'!AT425</f>
        <v>3244777.4000000134</v>
      </c>
      <c r="V41" s="19">
        <f>'P&amp;L - Inputs'!AU425</f>
        <v>3135570.7500000014</v>
      </c>
      <c r="W41" s="19">
        <f>'P&amp;L - Inputs'!AV425</f>
        <v>3064320.080000001</v>
      </c>
      <c r="X41" s="19">
        <f>'P&amp;L - Inputs'!AW425</f>
        <v>4462828.3</v>
      </c>
      <c r="Y41" s="19">
        <f>'P&amp;L - Inputs'!AX425</f>
        <v>3322202.9800000028</v>
      </c>
      <c r="Z41" s="19">
        <f>'P&amp;L - Inputs'!AY425</f>
        <v>3340877.5400000005</v>
      </c>
      <c r="AA41" s="19">
        <f>'P&amp;L - Inputs'!AZ425</f>
        <v>4158550.1699999981</v>
      </c>
      <c r="AB41" s="19">
        <f>'P&amp;L - Inputs'!BA425</f>
        <v>4617558.2999999942</v>
      </c>
      <c r="AC41" s="19">
        <f>'P&amp;L - Inputs'!BB425</f>
        <v>5508857.9999999981</v>
      </c>
      <c r="AD41" s="19">
        <f>'P&amp;L - Inputs'!BC425</f>
        <v>6054604.1999999993</v>
      </c>
      <c r="AE41" s="19">
        <f>'P&amp;L - Inputs'!BD425</f>
        <v>5731391.3199999984</v>
      </c>
      <c r="AF41" s="19">
        <f>'P&amp;L - Inputs'!BE425</f>
        <v>4781334.2500000009</v>
      </c>
      <c r="AG41" s="19">
        <f>'P&amp;L - Inputs'!BF425</f>
        <v>5067757.09</v>
      </c>
      <c r="AH41" s="19">
        <f>'P&amp;L - Inputs'!BG425</f>
        <v>6081094.709999999</v>
      </c>
      <c r="AI41" s="19">
        <f>'P&amp;L - Inputs'!BH425</f>
        <v>6830862.9200000018</v>
      </c>
      <c r="AJ41" s="19">
        <f>'P&amp;L - Inputs'!BI425</f>
        <v>6950106.8299999982</v>
      </c>
      <c r="AK41" s="19">
        <f>'P&amp;L - Inputs'!BJ425</f>
        <v>7280536.9900000067</v>
      </c>
      <c r="AL41" s="19">
        <f>'P&amp;L - Inputs'!BK425</f>
        <v>7644539.1999999974</v>
      </c>
      <c r="AM41" s="19">
        <f>'P&amp;L - Inputs'!BL425</f>
        <v>8332821.2100000205</v>
      </c>
      <c r="AN41" s="19">
        <f>'P&amp;L - Inputs'!BM425</f>
        <v>7852523.799999997</v>
      </c>
      <c r="AO41" s="19">
        <f>'P&amp;L - Inputs'!BN425</f>
        <v>11432006.310000062</v>
      </c>
      <c r="AP41" s="19">
        <f>'P&amp;L - Inputs'!BO425</f>
        <v>10800991.710000001</v>
      </c>
      <c r="AQ41" s="19">
        <f>'P&amp;L - Inputs'!BP425</f>
        <v>14506006.791699985</v>
      </c>
      <c r="AR41" s="19">
        <f>'P&amp;L - Inputs'!BQ425</f>
        <v>9410611.1639403459</v>
      </c>
      <c r="AS41" s="19">
        <f>'P&amp;L - Inputs'!BR425</f>
        <v>7998772.8309600148</v>
      </c>
      <c r="AT41" s="19">
        <f>'P&amp;L - Inputs'!BS425</f>
        <v>6996222.9099956984</v>
      </c>
      <c r="AU41" s="19">
        <f>'P&amp;L - Inputs'!BT425</f>
        <v>7817587.362155214</v>
      </c>
      <c r="AV41" s="19">
        <f>'P&amp;L - Inputs'!BU425</f>
        <v>8683562.9899719376</v>
      </c>
      <c r="AW41" s="19">
        <f>'P&amp;L - Inputs'!BV425</f>
        <v>9111728.1199725587</v>
      </c>
      <c r="AX41" s="19">
        <f>'P&amp;L - Inputs'!BW425</f>
        <v>9127250.1202107016</v>
      </c>
      <c r="AY41" s="19">
        <f>'P&amp;L - Inputs'!BX425</f>
        <v>10420444.005038187</v>
      </c>
      <c r="AZ41" s="19">
        <f>'P&amp;L - Inputs'!BY425</f>
        <v>10181951.950004138</v>
      </c>
      <c r="BA41" s="19">
        <f>'P&amp;L - Inputs'!BZ425</f>
        <v>10079078.859999996</v>
      </c>
      <c r="BB41" s="19">
        <f>'P&amp;L - Inputs'!CA425</f>
        <v>7937383.9066176694</v>
      </c>
      <c r="BC41" s="19">
        <f>'P&amp;L - Inputs'!CB425</f>
        <v>12584863.181587428</v>
      </c>
      <c r="BD41" s="19">
        <f>'P&amp;L - Inputs'!CC425</f>
        <v>10218573.700000005</v>
      </c>
      <c r="BE41" s="19">
        <f>'P&amp;L - Inputs'!CD425</f>
        <v>12172164.756187756</v>
      </c>
      <c r="BF41" s="19">
        <f>'P&amp;L - Inputs'!CE425</f>
        <v>12836897.339999899</v>
      </c>
      <c r="BG41" s="19">
        <f>'P&amp;L - Inputs'!CF425</f>
        <v>11438901.769999932</v>
      </c>
      <c r="BH41" s="19">
        <f>'P&amp;L - Inputs'!CG425</f>
        <v>13546874.470000001</v>
      </c>
      <c r="BI41" s="19">
        <f>'P&amp;L - Inputs'!CH425</f>
        <v>12659473.559999999</v>
      </c>
      <c r="BJ41" s="19">
        <f>'P&amp;L - Inputs'!CI425</f>
        <v>13234878.249999993</v>
      </c>
      <c r="BK41" s="19">
        <f>'P&amp;L - Inputs'!CJ425</f>
        <v>10393251.739999892</v>
      </c>
      <c r="BL41" s="19">
        <f>'P&amp;L - Inputs'!CK425</f>
        <v>12285113.369999999</v>
      </c>
      <c r="BM41" s="19">
        <f>'P&amp;L - Inputs'!CL425</f>
        <v>11118838.16</v>
      </c>
      <c r="BN41" s="19">
        <f>'P&amp;L - Inputs'!CM425</f>
        <v>13771128.4</v>
      </c>
      <c r="BO41" s="19">
        <f>'P&amp;L - Inputs'!CN425</f>
        <v>19441733.440000001</v>
      </c>
      <c r="BP41" s="19">
        <f>'P&amp;L - Inputs'!CO425</f>
        <v>17474729.129999999</v>
      </c>
      <c r="BQ41" s="19">
        <f>'P&amp;L - Inputs'!CP425</f>
        <v>21774575.470000025</v>
      </c>
      <c r="BR41" s="19">
        <f>'P&amp;L - Inputs'!CQ425</f>
        <v>18902496.690000013</v>
      </c>
      <c r="BS41" s="19">
        <f>'P&amp;L - Inputs'!CR425</f>
        <v>18179108.76000002</v>
      </c>
      <c r="BT41" s="19">
        <f>'P&amp;L - Inputs'!CS425</f>
        <v>21252682.900000032</v>
      </c>
      <c r="BU41" s="19">
        <f>'P&amp;L - Inputs'!CT425</f>
        <v>18556002.379327863</v>
      </c>
      <c r="BV41" s="19">
        <f>'P&amp;L - Inputs'!CU425</f>
        <v>18711935.172431462</v>
      </c>
      <c r="BW41" s="19">
        <f>'P&amp;L - Inputs'!CV425</f>
        <v>18945834.362086855</v>
      </c>
      <c r="BX41" s="19">
        <f>'P&amp;L - Inputs'!CW425</f>
        <v>19101767.155190453</v>
      </c>
      <c r="BY41" s="19">
        <f>'P&amp;L - Inputs'!CX425</f>
        <v>19335666.344845846</v>
      </c>
      <c r="BZ41" s="19">
        <f>'P&amp;L - Inputs'!CY425</f>
        <v>19647531.931053035</v>
      </c>
      <c r="CA41" s="19">
        <f>'P&amp;L - Inputs'!CZ425</f>
        <v>19803464.724156629</v>
      </c>
      <c r="CB41" s="19">
        <f>'P&amp;L - Inputs'!DA425</f>
        <v>20037363.913812023</v>
      </c>
      <c r="CC41" s="19">
        <f>'P&amp;L - Inputs'!DB425</f>
        <v>20193296.706915621</v>
      </c>
      <c r="CD41" s="19">
        <f>'P&amp;L - Inputs'!DC425</f>
        <v>20349229.500019215</v>
      </c>
      <c r="CE41" s="19">
        <f>'P&amp;L - Inputs'!DD425</f>
        <v>20583128.689674608</v>
      </c>
      <c r="CF41" s="19">
        <f>'P&amp;L - Inputs'!DE425</f>
        <v>20894994.275881797</v>
      </c>
      <c r="CG41" s="19">
        <f>'P&amp;L - Inputs'!DF425</f>
        <v>21050927.068985395</v>
      </c>
      <c r="CH41" s="19">
        <f>'P&amp;L - Inputs'!DG425</f>
        <v>21284826.258640788</v>
      </c>
      <c r="CI41" s="19">
        <f>'P&amp;L - Inputs'!DH425</f>
        <v>21440759.051744383</v>
      </c>
      <c r="CJ41" s="19">
        <f>'P&amp;L - Inputs'!DI425</f>
        <v>21596691.844847981</v>
      </c>
      <c r="CK41" s="19">
        <f>'P&amp;L - Inputs'!DJ425</f>
        <v>21830591.034503374</v>
      </c>
      <c r="CL41" s="19">
        <f>'P&amp;L - Inputs'!DK425</f>
        <v>22142456.620710563</v>
      </c>
      <c r="CM41" s="19">
        <f>'P&amp;L - Inputs'!DL425</f>
        <v>22220423.017262362</v>
      </c>
      <c r="CN41" s="19">
        <f>'P&amp;L - Inputs'!DM425</f>
        <v>22376355.810365956</v>
      </c>
      <c r="CO41" s="19">
        <f>'P&amp;L - Inputs'!DN425</f>
        <v>22454322.206917755</v>
      </c>
      <c r="CP41" s="19">
        <f>'P&amp;L - Inputs'!DO425</f>
        <v>22532288.603469551</v>
      </c>
      <c r="CQ41" s="19">
        <f>'P&amp;L - Inputs'!DP425</f>
        <v>22688221.396573149</v>
      </c>
      <c r="CR41" s="19">
        <f>'P&amp;L - Inputs'!DQ425</f>
        <v>22766187.793124944</v>
      </c>
      <c r="CS41" s="19">
        <f>'P&amp;L - Inputs'!DR425</f>
        <v>22922120.586228542</v>
      </c>
      <c r="CT41" s="19">
        <f>'P&amp;L - Inputs'!DS425</f>
        <v>23156019.775883935</v>
      </c>
      <c r="CU41" s="19">
        <f>'P&amp;L - Inputs'!DT425</f>
        <v>23311952.56898753</v>
      </c>
      <c r="CV41" s="19">
        <f>'P&amp;L - Inputs'!DU425</f>
        <v>23467885.362091124</v>
      </c>
      <c r="CW41" s="19">
        <f>'P&amp;L - Inputs'!DV425</f>
        <v>23701784.551746521</v>
      </c>
      <c r="CX41" s="19">
        <f>'P&amp;L - Inputs'!DW425</f>
        <v>24013650.13795371</v>
      </c>
      <c r="CY41" s="19">
        <f>'P&amp;L - Inputs'!DX425</f>
        <v>24091616.534505505</v>
      </c>
      <c r="CZ41" s="19">
        <f>'P&amp;L - Inputs'!DY425</f>
        <v>24247549.327609103</v>
      </c>
      <c r="DA41" s="19">
        <f>'P&amp;L - Inputs'!DZ425</f>
        <v>24325515.724160902</v>
      </c>
      <c r="DB41" s="19">
        <f>'P&amp;L - Inputs'!EA425</f>
        <v>24403482.120712698</v>
      </c>
      <c r="DC41" s="19">
        <f>'P&amp;L - Inputs'!EB425</f>
        <v>24559414.913816296</v>
      </c>
      <c r="DD41" s="19">
        <f>'P&amp;L - Inputs'!EC425</f>
        <v>24637381.310368091</v>
      </c>
      <c r="DF41" s="19">
        <f t="shared" si="52"/>
        <v>23257897.400000025</v>
      </c>
      <c r="DG41" s="19">
        <f t="shared" si="53"/>
        <v>30085521.82000006</v>
      </c>
      <c r="DH41" s="19">
        <f t="shared" si="54"/>
        <v>31915390.786600344</v>
      </c>
      <c r="DI41" s="19">
        <f t="shared" si="55"/>
        <v>23497373.262122847</v>
      </c>
      <c r="DJ41" s="19">
        <f t="shared" si="56"/>
        <v>28659422.245221447</v>
      </c>
      <c r="DK41" s="19">
        <f t="shared" si="57"/>
        <v>28198414.716621801</v>
      </c>
      <c r="DL41" s="19">
        <f t="shared" si="58"/>
        <v>34975601.637775183</v>
      </c>
      <c r="DM41" s="19">
        <f t="shared" si="59"/>
        <v>37822673.579999834</v>
      </c>
      <c r="DN41" s="19">
        <f t="shared" si="60"/>
        <v>36287603.549999885</v>
      </c>
      <c r="DO41" s="19">
        <f t="shared" si="61"/>
        <v>37175079.93</v>
      </c>
      <c r="DP41" s="19">
        <f t="shared" si="62"/>
        <v>58691038.040000021</v>
      </c>
      <c r="DQ41" s="19">
        <f t="shared" si="63"/>
        <v>58334288.350000069</v>
      </c>
      <c r="DR41" s="19">
        <f t="shared" si="64"/>
        <v>56213771.91384618</v>
      </c>
      <c r="DS41" s="19">
        <f t="shared" si="65"/>
        <v>58084965.431089334</v>
      </c>
      <c r="DT41" s="19">
        <f t="shared" si="66"/>
        <v>60034125.344884276</v>
      </c>
      <c r="DU41" s="19">
        <f t="shared" si="67"/>
        <v>61827352.465575621</v>
      </c>
      <c r="DV41" s="19">
        <f t="shared" si="68"/>
        <v>63776512.37937057</v>
      </c>
      <c r="DW41" s="19">
        <f t="shared" si="69"/>
        <v>65569739.500061914</v>
      </c>
      <c r="DX41" s="19">
        <f t="shared" si="70"/>
        <v>67051101.03454607</v>
      </c>
      <c r="DY41" s="19">
        <f t="shared" si="71"/>
        <v>67986697.793167651</v>
      </c>
      <c r="DZ41" s="19">
        <f t="shared" si="23"/>
        <v>69390092.931100011</v>
      </c>
      <c r="EA41" s="19">
        <f t="shared" si="24"/>
        <v>71183320.051791355</v>
      </c>
      <c r="EB41" s="19">
        <f t="shared" si="25"/>
        <v>72664681.586275518</v>
      </c>
      <c r="EC41" s="19">
        <f t="shared" si="26"/>
        <v>73600278.344897091</v>
      </c>
      <c r="EE41" s="19">
        <f>SUM(DF41:DI41)</f>
        <v>108756183.26872328</v>
      </c>
      <c r="EF41" s="19">
        <f>SUM(DJ41:DM41)</f>
        <v>129656112.17961827</v>
      </c>
      <c r="EG41" s="19">
        <f>SUM(DN41:DQ41)</f>
        <v>190488009.86999997</v>
      </c>
      <c r="EH41" s="19">
        <f>SUM(DR41:DU41)</f>
        <v>236160215.15539539</v>
      </c>
      <c r="EI41" s="19">
        <f>SUM(DV41:DY41)</f>
        <v>264384050.7071462</v>
      </c>
      <c r="EJ41" s="770">
        <f t="shared" si="27"/>
        <v>286838372.91406399</v>
      </c>
    </row>
    <row r="42" spans="2:140" x14ac:dyDescent="0.2">
      <c r="B42" s="167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E42" s="10"/>
      <c r="EF42" s="10"/>
      <c r="EG42" s="10"/>
      <c r="EH42" s="10"/>
      <c r="EI42" s="10"/>
      <c r="EJ42" s="812"/>
    </row>
    <row r="43" spans="2:140" x14ac:dyDescent="0.2">
      <c r="B43" s="176" t="s">
        <v>193</v>
      </c>
      <c r="C43" s="158">
        <f>SUM(C44:C46)</f>
        <v>0</v>
      </c>
      <c r="D43" s="158">
        <f t="shared" ref="D43" si="75">SUM(D44:D46)</f>
        <v>0</v>
      </c>
      <c r="E43" s="158">
        <f t="shared" ref="E43" si="76">SUM(E44:E46)</f>
        <v>34000</v>
      </c>
      <c r="F43" s="158">
        <f t="shared" ref="F43" si="77">SUM(F44:F46)</f>
        <v>143839.02000000002</v>
      </c>
      <c r="G43" s="158">
        <f t="shared" ref="G43" si="78">SUM(G44:G46)</f>
        <v>455005.03</v>
      </c>
      <c r="H43" s="158">
        <f t="shared" ref="H43" si="79">SUM(H44:H46)</f>
        <v>1108768.19</v>
      </c>
      <c r="I43" s="158">
        <f t="shared" ref="I43" si="80">SUM(I44:I46)</f>
        <v>1869292.08</v>
      </c>
      <c r="J43" s="158">
        <f t="shared" ref="J43" si="81">SUM(J44:J46)</f>
        <v>1676354.06</v>
      </c>
      <c r="K43" s="158">
        <f t="shared" ref="K43" si="82">SUM(K44:K46)</f>
        <v>2176097.09</v>
      </c>
      <c r="L43" s="158">
        <f t="shared" ref="L43" si="83">SUM(L44:L46)</f>
        <v>3753712</v>
      </c>
      <c r="M43" s="158">
        <f t="shared" ref="M43" si="84">SUM(M44:M46)</f>
        <v>3479045</v>
      </c>
      <c r="N43" s="158">
        <f t="shared" ref="N43" si="85">SUM(N44:N46)</f>
        <v>19727</v>
      </c>
      <c r="O43" s="158">
        <f t="shared" ref="O43" si="86">SUM(O44:O46)</f>
        <v>1193618</v>
      </c>
      <c r="P43" s="158">
        <f t="shared" ref="P43" si="87">SUM(P44:P46)</f>
        <v>1202998</v>
      </c>
      <c r="Q43" s="158">
        <f t="shared" ref="Q43" si="88">SUM(Q44:Q46)</f>
        <v>2186385.88</v>
      </c>
      <c r="R43" s="158">
        <f t="shared" ref="R43" si="89">SUM(R44:R46)</f>
        <v>4612134</v>
      </c>
      <c r="S43" s="158">
        <f t="shared" ref="S43" si="90">SUM(S44:S46)</f>
        <v>5930419.2000000002</v>
      </c>
      <c r="T43" s="158">
        <f t="shared" ref="T43" si="91">SUM(T44:T46)</f>
        <v>6304936.2000000002</v>
      </c>
      <c r="U43" s="158">
        <f t="shared" ref="U43" si="92">SUM(U44:U46)</f>
        <v>8011516.9400000004</v>
      </c>
      <c r="V43" s="158">
        <f t="shared" ref="V43" si="93">SUM(V44:V46)</f>
        <v>6453606</v>
      </c>
      <c r="W43" s="158">
        <f t="shared" ref="W43" si="94">SUM(W44:W46)</f>
        <v>5908259.1600000001</v>
      </c>
      <c r="X43" s="158">
        <f t="shared" ref="X43" si="95">SUM(X44:X46)</f>
        <v>4597164.2200000007</v>
      </c>
      <c r="Y43" s="158">
        <f t="shared" ref="Y43" si="96">SUM(Y44:Y46)</f>
        <v>4231905.7300000004</v>
      </c>
      <c r="Z43" s="158">
        <f t="shared" ref="Z43" si="97">SUM(Z44:Z46)</f>
        <v>3128367.6999999997</v>
      </c>
      <c r="AA43" s="158">
        <f t="shared" ref="AA43" si="98">SUM(AA44:AA46)</f>
        <v>822516.16</v>
      </c>
      <c r="AB43" s="158">
        <f t="shared" ref="AB43" si="99">SUM(AB44:AB46)</f>
        <v>4784449.88</v>
      </c>
      <c r="AC43" s="158">
        <f t="shared" ref="AC43" si="100">SUM(AC44:AC46)</f>
        <v>3572158.82</v>
      </c>
      <c r="AD43" s="158">
        <f t="shared" ref="AD43" si="101">SUM(AD44:AD46)</f>
        <v>3793643.31</v>
      </c>
      <c r="AE43" s="158">
        <f t="shared" ref="AE43" si="102">SUM(AE44:AE46)</f>
        <v>2538226</v>
      </c>
      <c r="AF43" s="158">
        <f t="shared" ref="AF43" si="103">SUM(AF44:AF46)</f>
        <v>3541485.2199999997</v>
      </c>
      <c r="AG43" s="158">
        <f t="shared" ref="AG43" si="104">SUM(AG44:AG46)</f>
        <v>3462354</v>
      </c>
      <c r="AH43" s="158">
        <f t="shared" ref="AH43" si="105">SUM(AH44:AH46)</f>
        <v>1952237.4</v>
      </c>
      <c r="AI43" s="158">
        <f t="shared" ref="AI43" si="106">SUM(AI44:AI46)</f>
        <v>1216598</v>
      </c>
      <c r="AJ43" s="158">
        <f t="shared" ref="AJ43" si="107">SUM(AJ44:AJ46)</f>
        <v>2039388.59</v>
      </c>
      <c r="AK43" s="158">
        <f t="shared" ref="AK43" si="108">SUM(AK44:AK46)</f>
        <v>3117830.7395000001</v>
      </c>
      <c r="AL43" s="158">
        <f t="shared" ref="AL43" si="109">SUM(AL44:AL46)</f>
        <v>3706321.8</v>
      </c>
      <c r="AM43" s="158">
        <f t="shared" ref="AM43" si="110">SUM(AM44:AM46)</f>
        <v>1674611.4</v>
      </c>
      <c r="AN43" s="158">
        <f t="shared" ref="AN43" si="111">SUM(AN44:AN46)</f>
        <v>664827</v>
      </c>
      <c r="AO43" s="158">
        <f t="shared" ref="AO43" si="112">SUM(AO44:AO46)</f>
        <v>629028.55200000014</v>
      </c>
      <c r="AP43" s="158">
        <f t="shared" ref="AP43" si="113">SUM(AP44:AP46)</f>
        <v>128462.32035999997</v>
      </c>
      <c r="AQ43" s="158">
        <f t="shared" ref="AQ43" si="114">SUM(AQ44:AQ46)</f>
        <v>5055700.13</v>
      </c>
      <c r="AR43" s="158">
        <f t="shared" ref="AR43" si="115">SUM(AR44:AR46)</f>
        <v>3934793</v>
      </c>
      <c r="AS43" s="158">
        <f t="shared" ref="AS43" si="116">SUM(AS44:AS46)</f>
        <v>2881110</v>
      </c>
      <c r="AT43" s="158">
        <f t="shared" ref="AT43" si="117">SUM(AT44:AT46)</f>
        <v>3980039</v>
      </c>
      <c r="AU43" s="158">
        <f t="shared" ref="AU43" si="118">SUM(AU44:AU46)</f>
        <v>4018281</v>
      </c>
      <c r="AV43" s="158">
        <f t="shared" ref="AV43" si="119">SUM(AV44:AV46)</f>
        <v>1231576</v>
      </c>
      <c r="AW43" s="158">
        <f t="shared" ref="AW43" si="120">SUM(AW44:AW46)</f>
        <v>4028441</v>
      </c>
      <c r="AX43" s="158">
        <f t="shared" ref="AX43" si="121">SUM(AX44:AX46)</f>
        <v>4754144</v>
      </c>
      <c r="AY43" s="158">
        <f t="shared" ref="AY43" si="122">SUM(AY44:AY46)</f>
        <v>3823162</v>
      </c>
      <c r="AZ43" s="158">
        <f t="shared" ref="AZ43" si="123">SUM(AZ44:AZ46)</f>
        <v>2938005</v>
      </c>
      <c r="BA43" s="158">
        <f t="shared" ref="BA43" si="124">SUM(BA44:BA46)</f>
        <v>5184385</v>
      </c>
      <c r="BB43" s="158">
        <f t="shared" ref="BB43" si="125">SUM(BB44:BB46)</f>
        <v>1945116</v>
      </c>
      <c r="BC43" s="158">
        <f t="shared" ref="BC43" si="126">SUM(BC44:BC46)</f>
        <v>4668694</v>
      </c>
      <c r="BD43" s="158">
        <f t="shared" ref="BD43" si="127">SUM(BD44:BD46)</f>
        <v>2635017</v>
      </c>
      <c r="BE43" s="158">
        <f t="shared" ref="BE43" si="128">SUM(BE44:BE46)</f>
        <v>4778641</v>
      </c>
      <c r="BF43" s="158">
        <f t="shared" ref="BF43" si="129">SUM(BF44:BF46)</f>
        <v>8073490</v>
      </c>
      <c r="BG43" s="158">
        <f t="shared" ref="BG43" si="130">SUM(BG44:BG46)</f>
        <v>104367</v>
      </c>
      <c r="BH43" s="158">
        <f t="shared" ref="BH43" si="131">SUM(BH44:BH46)</f>
        <v>6549470</v>
      </c>
      <c r="BI43" s="158">
        <f t="shared" ref="BI43" si="132">SUM(BI44:BI46)</f>
        <v>5982174</v>
      </c>
      <c r="BJ43" s="158">
        <f t="shared" ref="BJ43" si="133">SUM(BJ44:BJ46)</f>
        <v>8068679.6399999997</v>
      </c>
      <c r="BK43" s="158">
        <f t="shared" ref="BK43" si="134">SUM(BK44:BK46)</f>
        <v>6665821</v>
      </c>
      <c r="BL43" s="158">
        <f t="shared" ref="BL43" si="135">SUM(BL44:BL46)</f>
        <v>10910627.880000001</v>
      </c>
      <c r="BM43" s="158">
        <f t="shared" ref="BM43" si="136">SUM(BM44:BM46)</f>
        <v>7110959.4000000004</v>
      </c>
      <c r="BN43" s="158">
        <f t="shared" ref="BN43" si="137">SUM(BN44:BN46)</f>
        <v>4530201</v>
      </c>
      <c r="BO43" s="158">
        <f t="shared" ref="BO43" si="138">SUM(BO44:BO46)</f>
        <v>11495266</v>
      </c>
      <c r="BP43" s="158">
        <f t="shared" ref="BP43" si="139">SUM(BP44:BP46)</f>
        <v>9610320</v>
      </c>
      <c r="BQ43" s="158">
        <f t="shared" ref="BQ43" si="140">SUM(BQ44:BQ46)</f>
        <v>5114786.93</v>
      </c>
      <c r="BR43" s="158">
        <f t="shared" ref="BR43" si="141">SUM(BR44:BR46)</f>
        <v>6467648.7999999998</v>
      </c>
      <c r="BS43" s="158">
        <f t="shared" ref="BS43" si="142">SUM(BS44:BS46)</f>
        <v>6042164.5999999996</v>
      </c>
      <c r="BT43" s="158">
        <f t="shared" ref="BT43" si="143">SUM(BT44:BT46)</f>
        <v>9174228.0600000005</v>
      </c>
      <c r="BU43" s="158">
        <f t="shared" ref="BU43" si="144">SUM(BU44:BU46)</f>
        <v>8030880.2331605237</v>
      </c>
      <c r="BV43" s="158">
        <f t="shared" ref="BV43" si="145">SUM(BV44:BV46)</f>
        <v>7845032.6888494566</v>
      </c>
      <c r="BW43" s="158">
        <f t="shared" ref="BW43" si="146">SUM(BW44:BW46)</f>
        <v>7818761.6051308028</v>
      </c>
      <c r="BX43" s="158">
        <f t="shared" ref="BX43" si="147">SUM(BX44:BX46)</f>
        <v>8518057.8734867498</v>
      </c>
      <c r="BY43" s="158">
        <f t="shared" ref="BY43" si="148">SUM(BY44:BY46)</f>
        <v>7527982.4479855606</v>
      </c>
      <c r="BZ43" s="158">
        <f t="shared" ref="BZ43" si="149">SUM(BZ44:BZ46)</f>
        <v>6928906.764701955</v>
      </c>
      <c r="CA43" s="158">
        <f t="shared" ref="CA43" si="150">SUM(CA44:CA46)</f>
        <v>8816844.6455205828</v>
      </c>
      <c r="CB43" s="158">
        <f t="shared" ref="CB43" si="151">SUM(CB44:CB46)</f>
        <v>8054310.1815104932</v>
      </c>
      <c r="CC43" s="158">
        <f t="shared" ref="CC43" si="152">SUM(CC44:CC46)</f>
        <v>9714010.9975545574</v>
      </c>
      <c r="CD43" s="158">
        <f t="shared" ref="CD43" si="153">SUM(CD44:CD46)</f>
        <v>9964975.3184950482</v>
      </c>
      <c r="CE43" s="158">
        <f t="shared" ref="CE43" si="154">SUM(CE44:CE46)</f>
        <v>9206061.3469097391</v>
      </c>
      <c r="CF43" s="158">
        <f t="shared" ref="CF43" si="155">SUM(CF44:CF46)</f>
        <v>10819859.880656227</v>
      </c>
      <c r="CG43" s="158">
        <f t="shared" ref="CG43" si="156">SUM(CG44:CG46)</f>
        <v>9948306.4243979417</v>
      </c>
      <c r="CH43" s="158">
        <f t="shared" ref="CH43" si="157">SUM(CH44:CH46)</f>
        <v>9744181.4019885175</v>
      </c>
      <c r="CI43" s="158">
        <f t="shared" ref="CI43" si="158">SUM(CI44:CI46)</f>
        <v>9661923.384702241</v>
      </c>
      <c r="CJ43" s="158">
        <f t="shared" ref="CJ43" si="159">SUM(CJ44:CJ46)</f>
        <v>10516070.007721599</v>
      </c>
      <c r="CK43" s="158">
        <f t="shared" ref="CK43" si="160">SUM(CK44:CK46)</f>
        <v>9280772.9044322055</v>
      </c>
      <c r="CL43" s="158">
        <f t="shared" ref="CL43" si="161">SUM(CL44:CL46)</f>
        <v>8526714.3533617333</v>
      </c>
      <c r="CM43" s="158">
        <f t="shared" ref="CM43" si="162">SUM(CM44:CM46)</f>
        <v>10802481.454511167</v>
      </c>
      <c r="CN43" s="158">
        <f t="shared" ref="CN43" si="163">SUM(CN44:CN46)</f>
        <v>9821466.0944009516</v>
      </c>
      <c r="CO43" s="158">
        <f t="shared" ref="CO43" si="164">SUM(CO44:CO46)</f>
        <v>11794798.122743355</v>
      </c>
      <c r="CP43" s="158">
        <f t="shared" ref="CP43" si="165">SUM(CP44:CP46)</f>
        <v>12048493.849201044</v>
      </c>
      <c r="CQ43" s="158">
        <f t="shared" ref="CQ43" si="166">SUM(CQ44:CQ46)</f>
        <v>11080570.574861087</v>
      </c>
      <c r="CR43" s="158">
        <f t="shared" ref="CR43:DD43" si="167">SUM(CR44:CR46)</f>
        <v>12872677.575391583</v>
      </c>
      <c r="CS43" s="158">
        <f t="shared" si="167"/>
        <v>11374230.345228314</v>
      </c>
      <c r="CT43" s="158">
        <f t="shared" si="167"/>
        <v>11130853.370733038</v>
      </c>
      <c r="CU43" s="158">
        <f t="shared" si="167"/>
        <v>11030403.078644613</v>
      </c>
      <c r="CV43" s="158">
        <f t="shared" si="167"/>
        <v>11998570.129748782</v>
      </c>
      <c r="CW43" s="158">
        <f t="shared" si="167"/>
        <v>10580081.111052714</v>
      </c>
      <c r="CX43" s="158">
        <f t="shared" si="167"/>
        <v>9709645.8516802285</v>
      </c>
      <c r="CY43" s="158">
        <f t="shared" si="167"/>
        <v>12297772.308477715</v>
      </c>
      <c r="CZ43" s="158">
        <f t="shared" si="167"/>
        <v>11174912.031800106</v>
      </c>
      <c r="DA43" s="158">
        <f t="shared" si="167"/>
        <v>13416582.86462057</v>
      </c>
      <c r="DB43" s="158">
        <f t="shared" si="167"/>
        <v>13701513.853079319</v>
      </c>
      <c r="DC43" s="158">
        <f t="shared" si="167"/>
        <v>12594153.668849843</v>
      </c>
      <c r="DD43" s="158">
        <f t="shared" si="167"/>
        <v>14627241.162722353</v>
      </c>
      <c r="DF43" s="158">
        <f t="shared" si="52"/>
        <v>8498763.9395000003</v>
      </c>
      <c r="DG43" s="158">
        <f t="shared" si="53"/>
        <v>1422317.8723600002</v>
      </c>
      <c r="DH43" s="158">
        <f t="shared" si="54"/>
        <v>11871603.129999999</v>
      </c>
      <c r="DI43" s="158">
        <f t="shared" si="55"/>
        <v>9229896</v>
      </c>
      <c r="DJ43" s="158">
        <f t="shared" si="56"/>
        <v>12605747</v>
      </c>
      <c r="DK43" s="158">
        <f t="shared" si="57"/>
        <v>10067506</v>
      </c>
      <c r="DL43" s="158">
        <f t="shared" si="58"/>
        <v>12082352</v>
      </c>
      <c r="DM43" s="158">
        <f t="shared" si="59"/>
        <v>14727327</v>
      </c>
      <c r="DN43" s="158">
        <f t="shared" si="60"/>
        <v>20716674.640000001</v>
      </c>
      <c r="DO43" s="158">
        <f t="shared" si="61"/>
        <v>22551788.280000001</v>
      </c>
      <c r="DP43" s="158">
        <f t="shared" si="62"/>
        <v>26220372.93</v>
      </c>
      <c r="DQ43" s="158">
        <f t="shared" si="63"/>
        <v>21684041.460000001</v>
      </c>
      <c r="DR43" s="158">
        <f t="shared" si="64"/>
        <v>23694674.527140781</v>
      </c>
      <c r="DS43" s="158">
        <f t="shared" si="65"/>
        <v>22974947.086174265</v>
      </c>
      <c r="DT43" s="158">
        <f t="shared" si="66"/>
        <v>26585165.824585631</v>
      </c>
      <c r="DU43" s="158">
        <f t="shared" si="67"/>
        <v>29990896.546061017</v>
      </c>
      <c r="DV43" s="158">
        <f t="shared" si="68"/>
        <v>29354411.211088702</v>
      </c>
      <c r="DW43" s="158">
        <f t="shared" si="69"/>
        <v>28323557.265515536</v>
      </c>
      <c r="DX43" s="158">
        <f t="shared" si="70"/>
        <v>32418745.671655476</v>
      </c>
      <c r="DY43" s="158">
        <f t="shared" si="71"/>
        <v>36001741.999453716</v>
      </c>
      <c r="DZ43" s="158">
        <f t="shared" si="23"/>
        <v>33535486.794605963</v>
      </c>
      <c r="EA43" s="158">
        <f t="shared" si="24"/>
        <v>32288297.092481725</v>
      </c>
      <c r="EB43" s="158">
        <f t="shared" si="25"/>
        <v>36889267.204898387</v>
      </c>
      <c r="EC43" s="158">
        <f t="shared" si="26"/>
        <v>40922908.684651509</v>
      </c>
      <c r="EE43" s="158">
        <f>SUM(DF43:DI43)</f>
        <v>31022580.941859998</v>
      </c>
      <c r="EF43" s="158">
        <f>SUM(DJ43:DM43)</f>
        <v>49482932</v>
      </c>
      <c r="EG43" s="158">
        <f>SUM(DN43:DQ43)</f>
        <v>91172877.310000002</v>
      </c>
      <c r="EH43" s="158">
        <f>SUM(DR43:DU43)</f>
        <v>103245683.9839617</v>
      </c>
      <c r="EI43" s="158">
        <f>SUM(DV43:DY43)</f>
        <v>126098456.14771342</v>
      </c>
      <c r="EJ43" s="780">
        <f t="shared" si="27"/>
        <v>143635959.77663758</v>
      </c>
    </row>
    <row r="44" spans="2:140" x14ac:dyDescent="0.2">
      <c r="B44" s="167" t="s">
        <v>139</v>
      </c>
      <c r="C44" s="19">
        <f>'P&amp;L - Inputs'!AB429</f>
        <v>0</v>
      </c>
      <c r="D44" s="19">
        <f>'P&amp;L - Inputs'!AC429</f>
        <v>0</v>
      </c>
      <c r="E44" s="19">
        <f>'P&amp;L - Inputs'!AD429</f>
        <v>34000</v>
      </c>
      <c r="F44" s="19">
        <f>'P&amp;L - Inputs'!AE429</f>
        <v>143839.02000000002</v>
      </c>
      <c r="G44" s="19">
        <f>'P&amp;L - Inputs'!AF429</f>
        <v>455005.03</v>
      </c>
      <c r="H44" s="19">
        <f>'P&amp;L - Inputs'!AG429</f>
        <v>1108768.19</v>
      </c>
      <c r="I44" s="19">
        <f>'P&amp;L - Inputs'!AH429</f>
        <v>1869292.08</v>
      </c>
      <c r="J44" s="19">
        <f>'P&amp;L - Inputs'!AI429</f>
        <v>1676354.06</v>
      </c>
      <c r="K44" s="19">
        <f>'P&amp;L - Inputs'!AJ429</f>
        <v>2176097.09</v>
      </c>
      <c r="L44" s="19">
        <f>'P&amp;L - Inputs'!AK429</f>
        <v>3617806</v>
      </c>
      <c r="M44" s="19">
        <f>'P&amp;L - Inputs'!AL429</f>
        <v>3402616</v>
      </c>
      <c r="N44" s="19">
        <f>'P&amp;L - Inputs'!AM429</f>
        <v>19727</v>
      </c>
      <c r="O44" s="19">
        <f>'P&amp;L - Inputs'!AN429</f>
        <v>1158216</v>
      </c>
      <c r="P44" s="19">
        <f>'P&amp;L - Inputs'!AO429</f>
        <v>1145948</v>
      </c>
      <c r="Q44" s="19">
        <f>'P&amp;L - Inputs'!AP429</f>
        <v>2061491</v>
      </c>
      <c r="R44" s="19">
        <f>'P&amp;L - Inputs'!AQ429</f>
        <v>4363324</v>
      </c>
      <c r="S44" s="19">
        <f>'P&amp;L - Inputs'!AR429</f>
        <v>5632900</v>
      </c>
      <c r="T44" s="19">
        <f>'P&amp;L - Inputs'!AS429</f>
        <v>6102328</v>
      </c>
      <c r="U44" s="19">
        <f>'P&amp;L - Inputs'!AT429</f>
        <v>7553059</v>
      </c>
      <c r="V44" s="19">
        <f>'P&amp;L - Inputs'!AU429</f>
        <v>5898139</v>
      </c>
      <c r="W44" s="19">
        <f>'P&amp;L - Inputs'!AV429</f>
        <v>5456748</v>
      </c>
      <c r="X44" s="19">
        <f>'P&amp;L - Inputs'!AW429</f>
        <v>4313247.2200000007</v>
      </c>
      <c r="Y44" s="19">
        <f>'P&amp;L - Inputs'!AX429</f>
        <v>3682681.73</v>
      </c>
      <c r="Z44" s="19">
        <f>'P&amp;L - Inputs'!AY429</f>
        <v>2670447.0599999996</v>
      </c>
      <c r="AA44" s="19">
        <f>'P&amp;L - Inputs'!AZ429</f>
        <v>634383.76</v>
      </c>
      <c r="AB44" s="19">
        <f>'P&amp;L - Inputs'!BA429</f>
        <v>4719185</v>
      </c>
      <c r="AC44" s="19">
        <f>'P&amp;L - Inputs'!BB429</f>
        <v>3050782.9</v>
      </c>
      <c r="AD44" s="19">
        <f>'P&amp;L - Inputs'!BC429</f>
        <v>3718284</v>
      </c>
      <c r="AE44" s="19">
        <f>'P&amp;L - Inputs'!BD429</f>
        <v>2473023</v>
      </c>
      <c r="AF44" s="19">
        <f>'P&amp;L - Inputs'!BE429</f>
        <v>3447822.2199999997</v>
      </c>
      <c r="AG44" s="19">
        <f>'P&amp;L - Inputs'!BF429</f>
        <v>3432141</v>
      </c>
      <c r="AH44" s="19">
        <f>'P&amp;L - Inputs'!BG429</f>
        <v>1842725</v>
      </c>
      <c r="AI44" s="19">
        <f>'P&amp;L - Inputs'!BH429</f>
        <v>1216598</v>
      </c>
      <c r="AJ44" s="19">
        <f>'P&amp;L - Inputs'!BI429</f>
        <v>2005479</v>
      </c>
      <c r="AK44" s="19">
        <f>'P&amp;L - Inputs'!BJ429</f>
        <v>3048821</v>
      </c>
      <c r="AL44" s="19">
        <f>'P&amp;L - Inputs'!BK429</f>
        <v>3646130</v>
      </c>
      <c r="AM44" s="19">
        <f>'P&amp;L - Inputs'!BL429</f>
        <v>1674849</v>
      </c>
      <c r="AN44" s="19">
        <f>'P&amp;L - Inputs'!BM429</f>
        <v>664827</v>
      </c>
      <c r="AO44" s="19">
        <f>'P&amp;L - Inputs'!BN429</f>
        <v>536423</v>
      </c>
      <c r="AP44" s="19">
        <f>'P&amp;L - Inputs'!BO429</f>
        <v>17812</v>
      </c>
      <c r="AQ44" s="19">
        <f>'P&amp;L - Inputs'!BP429</f>
        <v>4969647</v>
      </c>
      <c r="AR44" s="19">
        <f>'P&amp;L - Inputs'!BQ429</f>
        <v>3934793</v>
      </c>
      <c r="AS44" s="19">
        <f>'P&amp;L - Inputs'!BR429</f>
        <v>2881110</v>
      </c>
      <c r="AT44" s="19">
        <f>'P&amp;L - Inputs'!BS429</f>
        <v>3980039</v>
      </c>
      <c r="AU44" s="19">
        <f>'P&amp;L - Inputs'!BT429</f>
        <v>4018281</v>
      </c>
      <c r="AV44" s="19">
        <f>'P&amp;L - Inputs'!BU429</f>
        <v>1231576</v>
      </c>
      <c r="AW44" s="19">
        <f>'P&amp;L - Inputs'!BV429</f>
        <v>4028441</v>
      </c>
      <c r="AX44" s="19">
        <f>'P&amp;L - Inputs'!BW429</f>
        <v>4754144</v>
      </c>
      <c r="AY44" s="19">
        <f>'P&amp;L - Inputs'!BX429</f>
        <v>3823162</v>
      </c>
      <c r="AZ44" s="19">
        <f>'P&amp;L - Inputs'!BY429</f>
        <v>2938005</v>
      </c>
      <c r="BA44" s="19">
        <f>'P&amp;L - Inputs'!BZ429</f>
        <v>5184385</v>
      </c>
      <c r="BB44" s="19">
        <f>'P&amp;L - Inputs'!CA429</f>
        <v>1945116</v>
      </c>
      <c r="BC44" s="19">
        <f>'P&amp;L - Inputs'!CB429</f>
        <v>4668694</v>
      </c>
      <c r="BD44" s="19">
        <f>'P&amp;L - Inputs'!CC429</f>
        <v>2635017</v>
      </c>
      <c r="BE44" s="19">
        <f>'P&amp;L - Inputs'!CD429</f>
        <v>4778641</v>
      </c>
      <c r="BF44" s="19">
        <f>'P&amp;L - Inputs'!CE429</f>
        <v>8073490</v>
      </c>
      <c r="BG44" s="19">
        <f>'P&amp;L - Inputs'!CF429</f>
        <v>-130147</v>
      </c>
      <c r="BH44" s="19">
        <f>'P&amp;L - Inputs'!CG429</f>
        <v>6549470</v>
      </c>
      <c r="BI44" s="19">
        <f>'P&amp;L - Inputs'!CH429</f>
        <v>5982174</v>
      </c>
      <c r="BJ44" s="19">
        <f>'P&amp;L - Inputs'!CI429</f>
        <v>7782363</v>
      </c>
      <c r="BK44" s="19">
        <f>'P&amp;L - Inputs'!CJ429</f>
        <v>6591536</v>
      </c>
      <c r="BL44" s="19">
        <f>'P&amp;L - Inputs'!CK429</f>
        <v>10506720</v>
      </c>
      <c r="BM44" s="19">
        <f>'P&amp;L - Inputs'!CL429</f>
        <v>6754476</v>
      </c>
      <c r="BN44" s="19">
        <f>'P&amp;L - Inputs'!CM429</f>
        <v>4216891</v>
      </c>
      <c r="BO44" s="19">
        <f>'P&amp;L - Inputs'!CN429</f>
        <v>11114825</v>
      </c>
      <c r="BP44" s="19">
        <f>'P&amp;L - Inputs'!CO429</f>
        <v>9610320</v>
      </c>
      <c r="BQ44" s="19">
        <f>'P&amp;L - Inputs'!CP429</f>
        <v>4623398</v>
      </c>
      <c r="BR44" s="19">
        <f>'P&amp;L - Inputs'!CQ429</f>
        <v>6276051</v>
      </c>
      <c r="BS44" s="19">
        <f>'P&amp;L - Inputs'!CR429</f>
        <v>5836059</v>
      </c>
      <c r="BT44" s="19">
        <f>'P&amp;L - Inputs'!CS429</f>
        <v>8782926</v>
      </c>
      <c r="BU44" s="19">
        <f>'P&amp;L - Inputs'!CT429</f>
        <v>8030880.2331605237</v>
      </c>
      <c r="BV44" s="19">
        <f>'P&amp;L - Inputs'!CU429</f>
        <v>7845032.6888494566</v>
      </c>
      <c r="BW44" s="19">
        <f>'P&amp;L - Inputs'!CV429</f>
        <v>7818761.6051308028</v>
      </c>
      <c r="BX44" s="19">
        <f>'P&amp;L - Inputs'!CW429</f>
        <v>8518057.8734867498</v>
      </c>
      <c r="BY44" s="19">
        <f>'P&amp;L - Inputs'!CX429</f>
        <v>7527982.4479855606</v>
      </c>
      <c r="BZ44" s="19">
        <f>'P&amp;L - Inputs'!CY429</f>
        <v>6928906.764701955</v>
      </c>
      <c r="CA44" s="19">
        <f>'P&amp;L - Inputs'!CZ429</f>
        <v>8816844.6455205828</v>
      </c>
      <c r="CB44" s="19">
        <f>'P&amp;L - Inputs'!DA429</f>
        <v>8054310.1815104932</v>
      </c>
      <c r="CC44" s="19">
        <f>'P&amp;L - Inputs'!DB429</f>
        <v>9714010.9975545574</v>
      </c>
      <c r="CD44" s="19">
        <f>'P&amp;L - Inputs'!DC429</f>
        <v>9964975.3184950482</v>
      </c>
      <c r="CE44" s="19">
        <f>'P&amp;L - Inputs'!DD429</f>
        <v>9206061.3469097391</v>
      </c>
      <c r="CF44" s="19">
        <f>'P&amp;L - Inputs'!DE429</f>
        <v>10819859.880656227</v>
      </c>
      <c r="CG44" s="19">
        <f>'P&amp;L - Inputs'!DF429</f>
        <v>9948306.4243979417</v>
      </c>
      <c r="CH44" s="19">
        <f>'P&amp;L - Inputs'!DG429</f>
        <v>9744181.4019885175</v>
      </c>
      <c r="CI44" s="19">
        <f>'P&amp;L - Inputs'!DH429</f>
        <v>9661923.384702241</v>
      </c>
      <c r="CJ44" s="19">
        <f>'P&amp;L - Inputs'!DI429</f>
        <v>10516070.007721599</v>
      </c>
      <c r="CK44" s="19">
        <f>'P&amp;L - Inputs'!DJ429</f>
        <v>9280772.9044322055</v>
      </c>
      <c r="CL44" s="19">
        <f>'P&amp;L - Inputs'!DK429</f>
        <v>8526714.3533617333</v>
      </c>
      <c r="CM44" s="19">
        <f>'P&amp;L - Inputs'!DL429</f>
        <v>10802481.454511167</v>
      </c>
      <c r="CN44" s="19">
        <f>'P&amp;L - Inputs'!DM429</f>
        <v>9821466.0944009516</v>
      </c>
      <c r="CO44" s="19">
        <f>'P&amp;L - Inputs'!DN429</f>
        <v>11794798.122743355</v>
      </c>
      <c r="CP44" s="19">
        <f>'P&amp;L - Inputs'!DO429</f>
        <v>12048493.849201044</v>
      </c>
      <c r="CQ44" s="19">
        <f>'P&amp;L - Inputs'!DP429</f>
        <v>11080570.574861087</v>
      </c>
      <c r="CR44" s="19">
        <f>'P&amp;L - Inputs'!DQ429</f>
        <v>12872677.575391583</v>
      </c>
      <c r="CS44" s="19">
        <f>'P&amp;L - Inputs'!DR429</f>
        <v>11374230.345228314</v>
      </c>
      <c r="CT44" s="19">
        <f>'P&amp;L - Inputs'!DS429</f>
        <v>11130853.370733038</v>
      </c>
      <c r="CU44" s="19">
        <f>'P&amp;L - Inputs'!DT429</f>
        <v>11030403.078644613</v>
      </c>
      <c r="CV44" s="19">
        <f>'P&amp;L - Inputs'!DU429</f>
        <v>11998570.129748782</v>
      </c>
      <c r="CW44" s="19">
        <f>'P&amp;L - Inputs'!DV429</f>
        <v>10580081.111052714</v>
      </c>
      <c r="CX44" s="19">
        <f>'P&amp;L - Inputs'!DW429</f>
        <v>9709645.8516802285</v>
      </c>
      <c r="CY44" s="19">
        <f>'P&amp;L - Inputs'!DX429</f>
        <v>12297772.308477715</v>
      </c>
      <c r="CZ44" s="19">
        <f>'P&amp;L - Inputs'!DY429</f>
        <v>11174912.031800106</v>
      </c>
      <c r="DA44" s="19">
        <f>'P&amp;L - Inputs'!DZ429</f>
        <v>13416582.86462057</v>
      </c>
      <c r="DB44" s="19">
        <f>'P&amp;L - Inputs'!EA429</f>
        <v>13701513.853079319</v>
      </c>
      <c r="DC44" s="19">
        <f>'P&amp;L - Inputs'!EB429</f>
        <v>12594153.668849843</v>
      </c>
      <c r="DD44" s="19">
        <f>'P&amp;L - Inputs'!EC429</f>
        <v>14627241.162722353</v>
      </c>
      <c r="DF44" s="19">
        <f t="shared" si="52"/>
        <v>8369800</v>
      </c>
      <c r="DG44" s="19">
        <f t="shared" si="53"/>
        <v>1219062</v>
      </c>
      <c r="DH44" s="19">
        <f t="shared" si="54"/>
        <v>11785550</v>
      </c>
      <c r="DI44" s="19">
        <f t="shared" si="55"/>
        <v>9229896</v>
      </c>
      <c r="DJ44" s="19">
        <f t="shared" si="56"/>
        <v>12605747</v>
      </c>
      <c r="DK44" s="19">
        <f t="shared" si="57"/>
        <v>10067506</v>
      </c>
      <c r="DL44" s="19">
        <f t="shared" si="58"/>
        <v>12082352</v>
      </c>
      <c r="DM44" s="19">
        <f t="shared" si="59"/>
        <v>14492813</v>
      </c>
      <c r="DN44" s="19">
        <f t="shared" si="60"/>
        <v>20356073</v>
      </c>
      <c r="DO44" s="19">
        <f t="shared" si="61"/>
        <v>21478087</v>
      </c>
      <c r="DP44" s="19">
        <f t="shared" si="62"/>
        <v>25348543</v>
      </c>
      <c r="DQ44" s="19">
        <f t="shared" si="63"/>
        <v>20895036</v>
      </c>
      <c r="DR44" s="19">
        <f t="shared" si="64"/>
        <v>23694674.527140781</v>
      </c>
      <c r="DS44" s="19">
        <f t="shared" si="65"/>
        <v>22974947.086174265</v>
      </c>
      <c r="DT44" s="19">
        <f t="shared" si="66"/>
        <v>26585165.824585631</v>
      </c>
      <c r="DU44" s="19">
        <f t="shared" si="67"/>
        <v>29990896.546061017</v>
      </c>
      <c r="DV44" s="19">
        <f t="shared" si="68"/>
        <v>29354411.211088702</v>
      </c>
      <c r="DW44" s="19">
        <f t="shared" si="69"/>
        <v>28323557.265515536</v>
      </c>
      <c r="DX44" s="19">
        <f t="shared" si="70"/>
        <v>32418745.671655476</v>
      </c>
      <c r="DY44" s="19">
        <f t="shared" si="71"/>
        <v>36001741.999453716</v>
      </c>
      <c r="DZ44" s="19">
        <f t="shared" si="23"/>
        <v>33535486.794605963</v>
      </c>
      <c r="EA44" s="19">
        <f t="shared" si="24"/>
        <v>32288297.092481725</v>
      </c>
      <c r="EB44" s="19">
        <f t="shared" si="25"/>
        <v>36889267.204898387</v>
      </c>
      <c r="EC44" s="19">
        <f t="shared" si="26"/>
        <v>40922908.684651509</v>
      </c>
      <c r="EE44" s="19">
        <f>SUM(DF44:DI44)</f>
        <v>30604308</v>
      </c>
      <c r="EF44" s="19">
        <f>SUM(DJ44:DM44)</f>
        <v>49248418</v>
      </c>
      <c r="EG44" s="19">
        <f>SUM(DN44:DQ44)</f>
        <v>88077739</v>
      </c>
      <c r="EH44" s="19">
        <f>SUM(DR44:DU44)</f>
        <v>103245683.9839617</v>
      </c>
      <c r="EI44" s="19">
        <f>SUM(DV44:DY44)</f>
        <v>126098456.14771342</v>
      </c>
      <c r="EJ44" s="770">
        <f t="shared" si="27"/>
        <v>143635959.77663758</v>
      </c>
    </row>
    <row r="45" spans="2:140" x14ac:dyDescent="0.2">
      <c r="B45" s="167" t="s">
        <v>191</v>
      </c>
      <c r="C45" s="19">
        <f>'P&amp;L - Inputs'!AB430</f>
        <v>0</v>
      </c>
      <c r="D45" s="19">
        <f>'P&amp;L - Inputs'!AC430</f>
        <v>0</v>
      </c>
      <c r="E45" s="19">
        <f>'P&amp;L - Inputs'!AD430</f>
        <v>0</v>
      </c>
      <c r="F45" s="19">
        <f>'P&amp;L - Inputs'!AE430</f>
        <v>0</v>
      </c>
      <c r="G45" s="19">
        <f>'P&amp;L - Inputs'!AF430</f>
        <v>0</v>
      </c>
      <c r="H45" s="19">
        <f>'P&amp;L - Inputs'!AG430</f>
        <v>0</v>
      </c>
      <c r="I45" s="19">
        <f>'P&amp;L - Inputs'!AH430</f>
        <v>0</v>
      </c>
      <c r="J45" s="19">
        <f>'P&amp;L - Inputs'!AI430</f>
        <v>0</v>
      </c>
      <c r="K45" s="19">
        <f>'P&amp;L - Inputs'!AJ430</f>
        <v>0</v>
      </c>
      <c r="L45" s="19">
        <f>'P&amp;L - Inputs'!AK430</f>
        <v>42253</v>
      </c>
      <c r="M45" s="19">
        <f>'P&amp;L - Inputs'!AL430</f>
        <v>0</v>
      </c>
      <c r="N45" s="19">
        <f>'P&amp;L - Inputs'!AM430</f>
        <v>0</v>
      </c>
      <c r="O45" s="19">
        <f>'P&amp;L - Inputs'!AN430</f>
        <v>0</v>
      </c>
      <c r="P45" s="19">
        <f>'P&amp;L - Inputs'!AO430</f>
        <v>0</v>
      </c>
      <c r="Q45" s="19">
        <f>'P&amp;L - Inputs'!AP430</f>
        <v>0</v>
      </c>
      <c r="R45" s="19">
        <f>'P&amp;L - Inputs'!AQ430</f>
        <v>45188</v>
      </c>
      <c r="S45" s="19">
        <f>'P&amp;L - Inputs'!AR430</f>
        <v>101238</v>
      </c>
      <c r="T45" s="19">
        <f>'P&amp;L - Inputs'!AS430</f>
        <v>66416</v>
      </c>
      <c r="U45" s="19">
        <f>'P&amp;L - Inputs'!AT430</f>
        <v>186405.94</v>
      </c>
      <c r="V45" s="19">
        <f>'P&amp;L - Inputs'!AU430</f>
        <v>363659</v>
      </c>
      <c r="W45" s="19">
        <f>'P&amp;L - Inputs'!AV430</f>
        <v>218238</v>
      </c>
      <c r="X45" s="19">
        <f>'P&amp;L - Inputs'!AW430</f>
        <v>156405</v>
      </c>
      <c r="Y45" s="19">
        <f>'P&amp;L - Inputs'!AX430</f>
        <v>505697</v>
      </c>
      <c r="Z45" s="19">
        <f>'P&amp;L - Inputs'!AY430</f>
        <v>363998</v>
      </c>
      <c r="AA45" s="19">
        <f>'P&amp;L - Inputs'!AZ430</f>
        <v>75260</v>
      </c>
      <c r="AB45" s="19">
        <f>'P&amp;L - Inputs'!BA430</f>
        <v>0</v>
      </c>
      <c r="AC45" s="19">
        <f>'P&amp;L - Inputs'!BB430</f>
        <v>467806</v>
      </c>
      <c r="AD45" s="19">
        <f>'P&amp;L - Inputs'!BC430</f>
        <v>0</v>
      </c>
      <c r="AE45" s="19">
        <f>'P&amp;L - Inputs'!BD430</f>
        <v>0</v>
      </c>
      <c r="AF45" s="19">
        <f>'P&amp;L - Inputs'!BE430</f>
        <v>0</v>
      </c>
      <c r="AG45" s="19">
        <f>'P&amp;L - Inputs'!BF430</f>
        <v>0</v>
      </c>
      <c r="AH45" s="19">
        <f>'P&amp;L - Inputs'!BG430</f>
        <v>0</v>
      </c>
      <c r="AI45" s="19">
        <f>'P&amp;L - Inputs'!BH430</f>
        <v>0</v>
      </c>
      <c r="AJ45" s="19">
        <f>'P&amp;L - Inputs'!BI430</f>
        <v>0</v>
      </c>
      <c r="AK45" s="19">
        <f>'P&amp;L - Inputs'!BJ430</f>
        <v>0</v>
      </c>
      <c r="AL45" s="19">
        <f>'P&amp;L - Inputs'!BK430</f>
        <v>0</v>
      </c>
      <c r="AM45" s="19">
        <f>'P&amp;L - Inputs'!BL430</f>
        <v>0</v>
      </c>
      <c r="AN45" s="19">
        <f>'P&amp;L - Inputs'!BM430</f>
        <v>0</v>
      </c>
      <c r="AO45" s="19">
        <f>'P&amp;L - Inputs'!BN430</f>
        <v>0</v>
      </c>
      <c r="AP45" s="19">
        <f>'P&amp;L - Inputs'!BO430</f>
        <v>0</v>
      </c>
      <c r="AQ45" s="19">
        <f>'P&amp;L - Inputs'!BP430</f>
        <v>0</v>
      </c>
      <c r="AR45" s="19">
        <f>'P&amp;L - Inputs'!BQ430</f>
        <v>0</v>
      </c>
      <c r="AS45" s="19">
        <f>'P&amp;L - Inputs'!BR430</f>
        <v>0</v>
      </c>
      <c r="AT45" s="19">
        <f>'P&amp;L - Inputs'!BS430</f>
        <v>0</v>
      </c>
      <c r="AU45" s="19">
        <f>'P&amp;L - Inputs'!BT430</f>
        <v>0</v>
      </c>
      <c r="AV45" s="19">
        <f>'P&amp;L - Inputs'!BU430</f>
        <v>0</v>
      </c>
      <c r="AW45" s="19">
        <f>'P&amp;L - Inputs'!BV430</f>
        <v>0</v>
      </c>
      <c r="AX45" s="19">
        <f>'P&amp;L - Inputs'!BW430</f>
        <v>0</v>
      </c>
      <c r="AY45" s="19">
        <f>'P&amp;L - Inputs'!BX430</f>
        <v>0</v>
      </c>
      <c r="AZ45" s="19">
        <f>'P&amp;L - Inputs'!BY430</f>
        <v>0</v>
      </c>
      <c r="BA45" s="19">
        <f>'P&amp;L - Inputs'!BZ430</f>
        <v>0</v>
      </c>
      <c r="BB45" s="19">
        <f>'P&amp;L - Inputs'!CA430</f>
        <v>0</v>
      </c>
      <c r="BC45" s="19">
        <f>'P&amp;L - Inputs'!CB430</f>
        <v>0</v>
      </c>
      <c r="BD45" s="19">
        <f>'P&amp;L - Inputs'!CC430</f>
        <v>0</v>
      </c>
      <c r="BE45" s="19">
        <f>'P&amp;L - Inputs'!CD430</f>
        <v>0</v>
      </c>
      <c r="BF45" s="19">
        <f>'P&amp;L - Inputs'!CE430</f>
        <v>0</v>
      </c>
      <c r="BG45" s="19">
        <f>'P&amp;L - Inputs'!CF430</f>
        <v>0</v>
      </c>
      <c r="BH45" s="19">
        <f>'P&amp;L - Inputs'!CG430</f>
        <v>0</v>
      </c>
      <c r="BI45" s="19">
        <f>'P&amp;L - Inputs'!CH430</f>
        <v>0</v>
      </c>
      <c r="BJ45" s="19">
        <f>'P&amp;L - Inputs'!CI430</f>
        <v>0</v>
      </c>
      <c r="BK45" s="19">
        <f>'P&amp;L - Inputs'!CJ430</f>
        <v>0</v>
      </c>
      <c r="BL45" s="19">
        <f>'P&amp;L - Inputs'!CK430</f>
        <v>0</v>
      </c>
      <c r="BM45" s="19">
        <f>'P&amp;L - Inputs'!CL430</f>
        <v>0</v>
      </c>
      <c r="BN45" s="19">
        <f>'P&amp;L - Inputs'!CM430</f>
        <v>0</v>
      </c>
      <c r="BO45" s="19">
        <f>'P&amp;L - Inputs'!CN430</f>
        <v>0</v>
      </c>
      <c r="BP45" s="19">
        <f>'P&amp;L - Inputs'!CO430</f>
        <v>0</v>
      </c>
      <c r="BQ45" s="19">
        <f>'P&amp;L - Inputs'!CP430</f>
        <v>0</v>
      </c>
      <c r="BR45" s="19">
        <f>'P&amp;L - Inputs'!CQ430</f>
        <v>0</v>
      </c>
      <c r="BS45" s="19">
        <f>'P&amp;L - Inputs'!CR430</f>
        <v>0</v>
      </c>
      <c r="BT45" s="19">
        <f>'P&amp;L - Inputs'!CS430</f>
        <v>0</v>
      </c>
      <c r="BU45" s="19">
        <f>'P&amp;L - Inputs'!CT430</f>
        <v>0</v>
      </c>
      <c r="BV45" s="19">
        <f>'P&amp;L - Inputs'!CU430</f>
        <v>0</v>
      </c>
      <c r="BW45" s="19">
        <f>'P&amp;L - Inputs'!CV430</f>
        <v>0</v>
      </c>
      <c r="BX45" s="19">
        <f>'P&amp;L - Inputs'!CW430</f>
        <v>0</v>
      </c>
      <c r="BY45" s="19">
        <f>'P&amp;L - Inputs'!CX430</f>
        <v>0</v>
      </c>
      <c r="BZ45" s="19">
        <f>'P&amp;L - Inputs'!CY430</f>
        <v>0</v>
      </c>
      <c r="CA45" s="19">
        <f>'P&amp;L - Inputs'!CZ430</f>
        <v>0</v>
      </c>
      <c r="CB45" s="19">
        <f>'P&amp;L - Inputs'!DA430</f>
        <v>0</v>
      </c>
      <c r="CC45" s="19">
        <f>'P&amp;L - Inputs'!DB430</f>
        <v>0</v>
      </c>
      <c r="CD45" s="19">
        <f>'P&amp;L - Inputs'!DC430</f>
        <v>0</v>
      </c>
      <c r="CE45" s="19">
        <f>'P&amp;L - Inputs'!DD430</f>
        <v>0</v>
      </c>
      <c r="CF45" s="19">
        <f>'P&amp;L - Inputs'!DE430</f>
        <v>0</v>
      </c>
      <c r="CG45" s="19">
        <f>'P&amp;L - Inputs'!DF430</f>
        <v>0</v>
      </c>
      <c r="CH45" s="19">
        <f>'P&amp;L - Inputs'!DG430</f>
        <v>0</v>
      </c>
      <c r="CI45" s="19">
        <f>'P&amp;L - Inputs'!DH430</f>
        <v>0</v>
      </c>
      <c r="CJ45" s="19">
        <f>'P&amp;L - Inputs'!DI430</f>
        <v>0</v>
      </c>
      <c r="CK45" s="19">
        <f>'P&amp;L - Inputs'!DJ430</f>
        <v>0</v>
      </c>
      <c r="CL45" s="19">
        <f>'P&amp;L - Inputs'!DK430</f>
        <v>0</v>
      </c>
      <c r="CM45" s="19">
        <f>'P&amp;L - Inputs'!DL430</f>
        <v>0</v>
      </c>
      <c r="CN45" s="19">
        <f>'P&amp;L - Inputs'!DM430</f>
        <v>0</v>
      </c>
      <c r="CO45" s="19">
        <f>'P&amp;L - Inputs'!DN430</f>
        <v>0</v>
      </c>
      <c r="CP45" s="19">
        <f>'P&amp;L - Inputs'!DO430</f>
        <v>0</v>
      </c>
      <c r="CQ45" s="19">
        <f>'P&amp;L - Inputs'!DP430</f>
        <v>0</v>
      </c>
      <c r="CR45" s="19">
        <f>'P&amp;L - Inputs'!DQ430</f>
        <v>0</v>
      </c>
      <c r="CS45" s="19">
        <f>'P&amp;L - Inputs'!DR430</f>
        <v>0</v>
      </c>
      <c r="CT45" s="19">
        <f>'P&amp;L - Inputs'!DS430</f>
        <v>0</v>
      </c>
      <c r="CU45" s="19">
        <f>'P&amp;L - Inputs'!DT430</f>
        <v>0</v>
      </c>
      <c r="CV45" s="19">
        <f>'P&amp;L - Inputs'!DU430</f>
        <v>0</v>
      </c>
      <c r="CW45" s="19">
        <f>'P&amp;L - Inputs'!DV430</f>
        <v>0</v>
      </c>
      <c r="CX45" s="19">
        <f>'P&amp;L - Inputs'!DW430</f>
        <v>0</v>
      </c>
      <c r="CY45" s="19">
        <f>'P&amp;L - Inputs'!DX430</f>
        <v>0</v>
      </c>
      <c r="CZ45" s="19">
        <f>'P&amp;L - Inputs'!DY430</f>
        <v>0</v>
      </c>
      <c r="DA45" s="19">
        <f>'P&amp;L - Inputs'!DZ430</f>
        <v>0</v>
      </c>
      <c r="DB45" s="19">
        <f>'P&amp;L - Inputs'!EA430</f>
        <v>0</v>
      </c>
      <c r="DC45" s="19">
        <f>'P&amp;L - Inputs'!EB430</f>
        <v>0</v>
      </c>
      <c r="DD45" s="19">
        <f>'P&amp;L - Inputs'!EC430</f>
        <v>0</v>
      </c>
      <c r="DF45" s="19">
        <f t="shared" si="52"/>
        <v>0</v>
      </c>
      <c r="DG45" s="19">
        <f t="shared" si="53"/>
        <v>0</v>
      </c>
      <c r="DH45" s="19">
        <f t="shared" si="54"/>
        <v>0</v>
      </c>
      <c r="DI45" s="19">
        <f t="shared" si="55"/>
        <v>0</v>
      </c>
      <c r="DJ45" s="19">
        <f t="shared" si="56"/>
        <v>0</v>
      </c>
      <c r="DK45" s="19">
        <f t="shared" si="57"/>
        <v>0</v>
      </c>
      <c r="DL45" s="19">
        <f t="shared" si="58"/>
        <v>0</v>
      </c>
      <c r="DM45" s="19">
        <f t="shared" si="59"/>
        <v>0</v>
      </c>
      <c r="DN45" s="19">
        <f t="shared" si="60"/>
        <v>0</v>
      </c>
      <c r="DO45" s="19">
        <f t="shared" si="61"/>
        <v>0</v>
      </c>
      <c r="DP45" s="19">
        <f t="shared" si="62"/>
        <v>0</v>
      </c>
      <c r="DQ45" s="19">
        <f t="shared" si="63"/>
        <v>0</v>
      </c>
      <c r="DR45" s="19">
        <f t="shared" si="64"/>
        <v>0</v>
      </c>
      <c r="DS45" s="19">
        <f t="shared" si="65"/>
        <v>0</v>
      </c>
      <c r="DT45" s="19">
        <f t="shared" si="66"/>
        <v>0</v>
      </c>
      <c r="DU45" s="19">
        <f t="shared" si="67"/>
        <v>0</v>
      </c>
      <c r="DV45" s="19">
        <f t="shared" si="68"/>
        <v>0</v>
      </c>
      <c r="DW45" s="19">
        <f t="shared" si="69"/>
        <v>0</v>
      </c>
      <c r="DX45" s="19">
        <f t="shared" si="70"/>
        <v>0</v>
      </c>
      <c r="DY45" s="19">
        <f t="shared" si="71"/>
        <v>0</v>
      </c>
      <c r="DZ45" s="19">
        <f t="shared" si="23"/>
        <v>0</v>
      </c>
      <c r="EA45" s="19">
        <f t="shared" si="24"/>
        <v>0</v>
      </c>
      <c r="EB45" s="19">
        <f t="shared" si="25"/>
        <v>0</v>
      </c>
      <c r="EC45" s="19">
        <f t="shared" si="26"/>
        <v>0</v>
      </c>
      <c r="EE45" s="19">
        <f>SUM(DF45:DI45)</f>
        <v>0</v>
      </c>
      <c r="EF45" s="19">
        <f>SUM(DJ45:DM45)</f>
        <v>0</v>
      </c>
      <c r="EG45" s="19">
        <f>SUM(DN45:DQ45)</f>
        <v>0</v>
      </c>
      <c r="EH45" s="19">
        <f>SUM(DR45:DU45)</f>
        <v>0</v>
      </c>
      <c r="EI45" s="19">
        <f>SUM(DV45:DY45)</f>
        <v>0</v>
      </c>
      <c r="EJ45" s="770">
        <f t="shared" si="27"/>
        <v>0</v>
      </c>
    </row>
    <row r="46" spans="2:140" x14ac:dyDescent="0.2">
      <c r="B46" s="167" t="s">
        <v>140</v>
      </c>
      <c r="C46" s="19">
        <f>'P&amp;L - Inputs'!AB431</f>
        <v>0</v>
      </c>
      <c r="D46" s="19">
        <f>'P&amp;L - Inputs'!AC431</f>
        <v>0</v>
      </c>
      <c r="E46" s="19">
        <f>'P&amp;L - Inputs'!AD431</f>
        <v>0</v>
      </c>
      <c r="F46" s="19">
        <f>'P&amp;L - Inputs'!AE431</f>
        <v>0</v>
      </c>
      <c r="G46" s="19">
        <f>'P&amp;L - Inputs'!AF431</f>
        <v>0</v>
      </c>
      <c r="H46" s="19">
        <f>'P&amp;L - Inputs'!AG431</f>
        <v>0</v>
      </c>
      <c r="I46" s="19">
        <f>'P&amp;L - Inputs'!AH431</f>
        <v>0</v>
      </c>
      <c r="J46" s="19">
        <f>'P&amp;L - Inputs'!AI431</f>
        <v>0</v>
      </c>
      <c r="K46" s="19">
        <f>'P&amp;L - Inputs'!AJ431</f>
        <v>0</v>
      </c>
      <c r="L46" s="19">
        <f>'P&amp;L - Inputs'!AK431</f>
        <v>93653</v>
      </c>
      <c r="M46" s="19">
        <f>'P&amp;L - Inputs'!AL431</f>
        <v>76429</v>
      </c>
      <c r="N46" s="19">
        <f>'P&amp;L - Inputs'!AM431</f>
        <v>0</v>
      </c>
      <c r="O46" s="19">
        <f>'P&amp;L - Inputs'!AN431</f>
        <v>35402</v>
      </c>
      <c r="P46" s="19">
        <f>'P&amp;L - Inputs'!AO431</f>
        <v>57050</v>
      </c>
      <c r="Q46" s="19">
        <f>'P&amp;L - Inputs'!AP431</f>
        <v>124894.88</v>
      </c>
      <c r="R46" s="19">
        <f>'P&amp;L - Inputs'!AQ431</f>
        <v>203622</v>
      </c>
      <c r="S46" s="19">
        <f>'P&amp;L - Inputs'!AR431</f>
        <v>196281.2</v>
      </c>
      <c r="T46" s="19">
        <f>'P&amp;L - Inputs'!AS431</f>
        <v>136192.20000000001</v>
      </c>
      <c r="U46" s="19">
        <f>'P&amp;L - Inputs'!AT431</f>
        <v>272052</v>
      </c>
      <c r="V46" s="19">
        <f>'P&amp;L - Inputs'!AU431</f>
        <v>191808</v>
      </c>
      <c r="W46" s="19">
        <f>'P&amp;L - Inputs'!AV431</f>
        <v>233273.16</v>
      </c>
      <c r="X46" s="19">
        <f>'P&amp;L - Inputs'!AW431</f>
        <v>127512</v>
      </c>
      <c r="Y46" s="19">
        <f>'P&amp;L - Inputs'!AX431</f>
        <v>43527</v>
      </c>
      <c r="Z46" s="19">
        <f>'P&amp;L - Inputs'!AY431</f>
        <v>93922.64</v>
      </c>
      <c r="AA46" s="19">
        <f>'P&amp;L - Inputs'!AZ431</f>
        <v>112872.4</v>
      </c>
      <c r="AB46" s="19">
        <f>'P&amp;L - Inputs'!BA431</f>
        <v>65264.87999999999</v>
      </c>
      <c r="AC46" s="19">
        <f>'P&amp;L - Inputs'!BB431</f>
        <v>53569.919999999998</v>
      </c>
      <c r="AD46" s="19">
        <f>'P&amp;L - Inputs'!BC431</f>
        <v>75359.31</v>
      </c>
      <c r="AE46" s="19">
        <f>'P&amp;L - Inputs'!BD431</f>
        <v>65203</v>
      </c>
      <c r="AF46" s="19">
        <f>'P&amp;L - Inputs'!BE431</f>
        <v>93663</v>
      </c>
      <c r="AG46" s="19">
        <f>'P&amp;L - Inputs'!BF431</f>
        <v>30213.000000000015</v>
      </c>
      <c r="AH46" s="19">
        <f>'P&amp;L - Inputs'!BG431</f>
        <v>109512.4</v>
      </c>
      <c r="AI46" s="19">
        <f>'P&amp;L - Inputs'!BH431</f>
        <v>0</v>
      </c>
      <c r="AJ46" s="19">
        <f>'P&amp;L - Inputs'!BI431</f>
        <v>33909.590000000004</v>
      </c>
      <c r="AK46" s="19">
        <f>'P&amp;L - Inputs'!BJ431</f>
        <v>69009.739499999967</v>
      </c>
      <c r="AL46" s="19">
        <f>'P&amp;L - Inputs'!BK431</f>
        <v>60191.800000000025</v>
      </c>
      <c r="AM46" s="19">
        <f>'P&amp;L - Inputs'!BL431</f>
        <v>-237.6</v>
      </c>
      <c r="AN46" s="19">
        <f>'P&amp;L - Inputs'!BM431</f>
        <v>0</v>
      </c>
      <c r="AO46" s="19">
        <f>'P&amp;L - Inputs'!BN431</f>
        <v>92605.552000000098</v>
      </c>
      <c r="AP46" s="19">
        <f>'P&amp;L - Inputs'!BO431</f>
        <v>110650.32035999997</v>
      </c>
      <c r="AQ46" s="19">
        <f>'P&amp;L - Inputs'!BP431</f>
        <v>86053.13</v>
      </c>
      <c r="AR46" s="19">
        <f>'P&amp;L - Inputs'!BQ431</f>
        <v>0</v>
      </c>
      <c r="AS46" s="19">
        <f>'P&amp;L - Inputs'!BR431</f>
        <v>0</v>
      </c>
      <c r="AT46" s="19">
        <f>'P&amp;L - Inputs'!BS431</f>
        <v>0</v>
      </c>
      <c r="AU46" s="19">
        <f>'P&amp;L - Inputs'!BT431</f>
        <v>0</v>
      </c>
      <c r="AV46" s="19">
        <f>'P&amp;L - Inputs'!BU431</f>
        <v>0</v>
      </c>
      <c r="AW46" s="19">
        <f>'P&amp;L - Inputs'!BV431</f>
        <v>0</v>
      </c>
      <c r="AX46" s="19">
        <f>'P&amp;L - Inputs'!BW431</f>
        <v>0</v>
      </c>
      <c r="AY46" s="19">
        <f>'P&amp;L - Inputs'!BX431</f>
        <v>0</v>
      </c>
      <c r="AZ46" s="19">
        <f>'P&amp;L - Inputs'!BY431</f>
        <v>0</v>
      </c>
      <c r="BA46" s="19">
        <f>'P&amp;L - Inputs'!BZ431</f>
        <v>0</v>
      </c>
      <c r="BB46" s="19">
        <f>'P&amp;L - Inputs'!CA431</f>
        <v>0</v>
      </c>
      <c r="BC46" s="19">
        <f>'P&amp;L - Inputs'!CB431</f>
        <v>0</v>
      </c>
      <c r="BD46" s="19">
        <f>'P&amp;L - Inputs'!CC431</f>
        <v>0</v>
      </c>
      <c r="BE46" s="19">
        <f>'P&amp;L - Inputs'!CD431</f>
        <v>0</v>
      </c>
      <c r="BF46" s="19">
        <f>'P&amp;L - Inputs'!CE431</f>
        <v>0</v>
      </c>
      <c r="BG46" s="19">
        <f>'P&amp;L - Inputs'!CF431</f>
        <v>234514</v>
      </c>
      <c r="BH46" s="19">
        <f>'P&amp;L - Inputs'!CG431</f>
        <v>0</v>
      </c>
      <c r="BI46" s="19">
        <f>'P&amp;L - Inputs'!CH431</f>
        <v>0</v>
      </c>
      <c r="BJ46" s="19">
        <f>'P&amp;L - Inputs'!CI431</f>
        <v>286316.64</v>
      </c>
      <c r="BK46" s="19">
        <f>'P&amp;L - Inputs'!CJ431</f>
        <v>74285</v>
      </c>
      <c r="BL46" s="19">
        <f>'P&amp;L - Inputs'!CK431</f>
        <v>403907.88000000105</v>
      </c>
      <c r="BM46" s="19">
        <f>'P&amp;L - Inputs'!CL431</f>
        <v>356483.4</v>
      </c>
      <c r="BN46" s="19">
        <f>'P&amp;L - Inputs'!CM431</f>
        <v>313310</v>
      </c>
      <c r="BO46" s="19">
        <f>'P&amp;L - Inputs'!CN431</f>
        <v>380441</v>
      </c>
      <c r="BP46" s="19">
        <f>'P&amp;L - Inputs'!CO431</f>
        <v>0</v>
      </c>
      <c r="BQ46" s="19">
        <f>'P&amp;L - Inputs'!CP431</f>
        <v>491388.93000000005</v>
      </c>
      <c r="BR46" s="19">
        <f>'P&amp;L - Inputs'!CQ431</f>
        <v>191597.8</v>
      </c>
      <c r="BS46" s="19">
        <f>'P&amp;L - Inputs'!CR431</f>
        <v>206105.60000000003</v>
      </c>
      <c r="BT46" s="19">
        <f>'P&amp;L - Inputs'!CS431</f>
        <v>391302.05999999994</v>
      </c>
      <c r="BU46" s="19">
        <f>'P&amp;L - Inputs'!CT431</f>
        <v>0</v>
      </c>
      <c r="BV46" s="19">
        <f>'P&amp;L - Inputs'!CU431</f>
        <v>0</v>
      </c>
      <c r="BW46" s="19">
        <f>'P&amp;L - Inputs'!CV431</f>
        <v>0</v>
      </c>
      <c r="BX46" s="19">
        <f>'P&amp;L - Inputs'!CW431</f>
        <v>0</v>
      </c>
      <c r="BY46" s="19">
        <f>'P&amp;L - Inputs'!CX431</f>
        <v>0</v>
      </c>
      <c r="BZ46" s="19">
        <f>'P&amp;L - Inputs'!CY431</f>
        <v>0</v>
      </c>
      <c r="CA46" s="19">
        <f>'P&amp;L - Inputs'!CZ431</f>
        <v>0</v>
      </c>
      <c r="CB46" s="19">
        <f>'P&amp;L - Inputs'!DA431</f>
        <v>0</v>
      </c>
      <c r="CC46" s="19">
        <f>'P&amp;L - Inputs'!DB431</f>
        <v>0</v>
      </c>
      <c r="CD46" s="19">
        <f>'P&amp;L - Inputs'!DC431</f>
        <v>0</v>
      </c>
      <c r="CE46" s="19">
        <f>'P&amp;L - Inputs'!DD431</f>
        <v>0</v>
      </c>
      <c r="CF46" s="19">
        <f>'P&amp;L - Inputs'!DE431</f>
        <v>0</v>
      </c>
      <c r="CG46" s="19">
        <f>'P&amp;L - Inputs'!DF431</f>
        <v>0</v>
      </c>
      <c r="CH46" s="19">
        <f>'P&amp;L - Inputs'!DG431</f>
        <v>0</v>
      </c>
      <c r="CI46" s="19">
        <f>'P&amp;L - Inputs'!DH431</f>
        <v>0</v>
      </c>
      <c r="CJ46" s="19">
        <f>'P&amp;L - Inputs'!DI431</f>
        <v>0</v>
      </c>
      <c r="CK46" s="19">
        <f>'P&amp;L - Inputs'!DJ431</f>
        <v>0</v>
      </c>
      <c r="CL46" s="19">
        <f>'P&amp;L - Inputs'!DK431</f>
        <v>0</v>
      </c>
      <c r="CM46" s="19">
        <f>'P&amp;L - Inputs'!DL431</f>
        <v>0</v>
      </c>
      <c r="CN46" s="19">
        <f>'P&amp;L - Inputs'!DM431</f>
        <v>0</v>
      </c>
      <c r="CO46" s="19">
        <f>'P&amp;L - Inputs'!DN431</f>
        <v>0</v>
      </c>
      <c r="CP46" s="19">
        <f>'P&amp;L - Inputs'!DO431</f>
        <v>0</v>
      </c>
      <c r="CQ46" s="19">
        <f>'P&amp;L - Inputs'!DP431</f>
        <v>0</v>
      </c>
      <c r="CR46" s="19">
        <f>'P&amp;L - Inputs'!DQ431</f>
        <v>0</v>
      </c>
      <c r="CS46" s="19">
        <f>'P&amp;L - Inputs'!DR431</f>
        <v>0</v>
      </c>
      <c r="CT46" s="19">
        <f>'P&amp;L - Inputs'!DS431</f>
        <v>0</v>
      </c>
      <c r="CU46" s="19">
        <f>'P&amp;L - Inputs'!DT431</f>
        <v>0</v>
      </c>
      <c r="CV46" s="19">
        <f>'P&amp;L - Inputs'!DU431</f>
        <v>0</v>
      </c>
      <c r="CW46" s="19">
        <f>'P&amp;L - Inputs'!DV431</f>
        <v>0</v>
      </c>
      <c r="CX46" s="19">
        <f>'P&amp;L - Inputs'!DW431</f>
        <v>0</v>
      </c>
      <c r="CY46" s="19">
        <f>'P&amp;L - Inputs'!DX431</f>
        <v>0</v>
      </c>
      <c r="CZ46" s="19">
        <f>'P&amp;L - Inputs'!DY431</f>
        <v>0</v>
      </c>
      <c r="DA46" s="19">
        <f>'P&amp;L - Inputs'!DZ431</f>
        <v>0</v>
      </c>
      <c r="DB46" s="19">
        <f>'P&amp;L - Inputs'!EA431</f>
        <v>0</v>
      </c>
      <c r="DC46" s="19">
        <f>'P&amp;L - Inputs'!EB431</f>
        <v>0</v>
      </c>
      <c r="DD46" s="19">
        <f>'P&amp;L - Inputs'!EC431</f>
        <v>0</v>
      </c>
      <c r="DF46" s="19">
        <f t="shared" si="52"/>
        <v>128963.93949999998</v>
      </c>
      <c r="DG46" s="19">
        <f t="shared" si="53"/>
        <v>203255.87236000007</v>
      </c>
      <c r="DH46" s="19">
        <f t="shared" si="54"/>
        <v>86053.13</v>
      </c>
      <c r="DI46" s="19">
        <f t="shared" si="55"/>
        <v>0</v>
      </c>
      <c r="DJ46" s="19">
        <f t="shared" si="56"/>
        <v>0</v>
      </c>
      <c r="DK46" s="19">
        <f t="shared" si="57"/>
        <v>0</v>
      </c>
      <c r="DL46" s="19">
        <f t="shared" si="58"/>
        <v>0</v>
      </c>
      <c r="DM46" s="19">
        <f t="shared" si="59"/>
        <v>234514</v>
      </c>
      <c r="DN46" s="19">
        <f t="shared" si="60"/>
        <v>360601.64</v>
      </c>
      <c r="DO46" s="19">
        <f t="shared" si="61"/>
        <v>1073701.2800000012</v>
      </c>
      <c r="DP46" s="19">
        <f t="shared" si="62"/>
        <v>871829.93</v>
      </c>
      <c r="DQ46" s="19">
        <f t="shared" si="63"/>
        <v>789005.46</v>
      </c>
      <c r="DR46" s="19">
        <f t="shared" si="64"/>
        <v>0</v>
      </c>
      <c r="DS46" s="19">
        <f t="shared" si="65"/>
        <v>0</v>
      </c>
      <c r="DT46" s="19">
        <f t="shared" si="66"/>
        <v>0</v>
      </c>
      <c r="DU46" s="19">
        <f t="shared" si="67"/>
        <v>0</v>
      </c>
      <c r="DV46" s="19">
        <f t="shared" si="68"/>
        <v>0</v>
      </c>
      <c r="DW46" s="19">
        <f t="shared" si="69"/>
        <v>0</v>
      </c>
      <c r="DX46" s="19">
        <f t="shared" si="70"/>
        <v>0</v>
      </c>
      <c r="DY46" s="19">
        <f t="shared" si="71"/>
        <v>0</v>
      </c>
      <c r="DZ46" s="19">
        <f t="shared" si="23"/>
        <v>0</v>
      </c>
      <c r="EA46" s="19">
        <f t="shared" si="24"/>
        <v>0</v>
      </c>
      <c r="EB46" s="19">
        <f t="shared" si="25"/>
        <v>0</v>
      </c>
      <c r="EC46" s="19">
        <f t="shared" si="26"/>
        <v>0</v>
      </c>
      <c r="EE46" s="19">
        <f>SUM(DF46:DI46)</f>
        <v>418272.94186000002</v>
      </c>
      <c r="EF46" s="19">
        <f>SUM(DJ46:DM46)</f>
        <v>234514</v>
      </c>
      <c r="EG46" s="19">
        <f>SUM(DN46:DQ46)</f>
        <v>3095138.3100000015</v>
      </c>
      <c r="EH46" s="19">
        <f>SUM(DR46:DU46)</f>
        <v>0</v>
      </c>
      <c r="EI46" s="19">
        <f>SUM(DV46:DY46)</f>
        <v>0</v>
      </c>
      <c r="EJ46" s="770">
        <f t="shared" si="27"/>
        <v>0</v>
      </c>
    </row>
    <row r="47" spans="2:140" x14ac:dyDescent="0.2">
      <c r="B47" s="167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E47" s="10"/>
      <c r="EF47" s="10"/>
      <c r="EG47" s="10"/>
      <c r="EH47" s="10"/>
      <c r="EI47" s="10"/>
      <c r="EJ47" s="812"/>
    </row>
    <row r="48" spans="2:140" x14ac:dyDescent="0.2">
      <c r="B48" s="21" t="s">
        <v>141</v>
      </c>
      <c r="C48" s="125">
        <f t="shared" ref="C48:BN48" si="168">C49+C52+C53</f>
        <v>2038</v>
      </c>
      <c r="D48" s="125">
        <f t="shared" si="168"/>
        <v>2032</v>
      </c>
      <c r="E48" s="125">
        <f t="shared" si="168"/>
        <v>2469</v>
      </c>
      <c r="F48" s="125">
        <f t="shared" si="168"/>
        <v>2657</v>
      </c>
      <c r="G48" s="125">
        <f t="shared" si="168"/>
        <v>2604</v>
      </c>
      <c r="H48" s="125">
        <f t="shared" si="168"/>
        <v>2902</v>
      </c>
      <c r="I48" s="125">
        <f t="shared" si="168"/>
        <v>3837</v>
      </c>
      <c r="J48" s="125">
        <f t="shared" si="168"/>
        <v>3752</v>
      </c>
      <c r="K48" s="125">
        <f t="shared" si="168"/>
        <v>4252</v>
      </c>
      <c r="L48" s="125">
        <f t="shared" si="168"/>
        <v>5420</v>
      </c>
      <c r="M48" s="125">
        <f t="shared" si="168"/>
        <v>3142</v>
      </c>
      <c r="N48" s="125">
        <f t="shared" si="168"/>
        <v>56</v>
      </c>
      <c r="O48" s="125">
        <f t="shared" si="168"/>
        <v>3309</v>
      </c>
      <c r="P48" s="125">
        <f t="shared" si="168"/>
        <v>4902</v>
      </c>
      <c r="Q48" s="125">
        <f t="shared" si="168"/>
        <v>6877</v>
      </c>
      <c r="R48" s="125">
        <f t="shared" si="168"/>
        <v>8734</v>
      </c>
      <c r="S48" s="125">
        <f t="shared" si="168"/>
        <v>9400</v>
      </c>
      <c r="T48" s="125">
        <f t="shared" si="168"/>
        <v>10712</v>
      </c>
      <c r="U48" s="125">
        <f t="shared" si="168"/>
        <v>13767</v>
      </c>
      <c r="V48" s="125">
        <f t="shared" si="168"/>
        <v>13487</v>
      </c>
      <c r="W48" s="125">
        <f t="shared" si="168"/>
        <v>13473</v>
      </c>
      <c r="X48" s="125">
        <f t="shared" si="168"/>
        <v>14827</v>
      </c>
      <c r="Y48" s="125">
        <f t="shared" si="168"/>
        <v>14318</v>
      </c>
      <c r="Z48" s="125">
        <f t="shared" si="168"/>
        <v>16319</v>
      </c>
      <c r="AA48" s="125">
        <f t="shared" si="168"/>
        <v>17178</v>
      </c>
      <c r="AB48" s="125">
        <f t="shared" si="168"/>
        <v>19475</v>
      </c>
      <c r="AC48" s="125">
        <f t="shared" si="168"/>
        <v>20858</v>
      </c>
      <c r="AD48" s="125">
        <f t="shared" si="168"/>
        <v>21313</v>
      </c>
      <c r="AE48" s="125">
        <f t="shared" si="168"/>
        <v>21303</v>
      </c>
      <c r="AF48" s="125">
        <f t="shared" si="168"/>
        <v>20221</v>
      </c>
      <c r="AG48" s="125">
        <f t="shared" si="168"/>
        <v>21543</v>
      </c>
      <c r="AH48" s="125">
        <f t="shared" si="168"/>
        <v>23760</v>
      </c>
      <c r="AI48" s="125">
        <f t="shared" si="168"/>
        <v>23316</v>
      </c>
      <c r="AJ48" s="125">
        <f t="shared" si="168"/>
        <v>25341</v>
      </c>
      <c r="AK48" s="125">
        <f t="shared" si="168"/>
        <v>26847</v>
      </c>
      <c r="AL48" s="125">
        <f t="shared" si="168"/>
        <v>28141</v>
      </c>
      <c r="AM48" s="125">
        <f t="shared" si="168"/>
        <v>28001</v>
      </c>
      <c r="AN48" s="125">
        <f t="shared" si="168"/>
        <v>27447</v>
      </c>
      <c r="AO48" s="125">
        <f t="shared" si="168"/>
        <v>32361</v>
      </c>
      <c r="AP48" s="125">
        <f t="shared" si="168"/>
        <v>29924</v>
      </c>
      <c r="AQ48" s="125">
        <f t="shared" si="168"/>
        <v>35677</v>
      </c>
      <c r="AR48" s="125">
        <f t="shared" si="168"/>
        <v>29318</v>
      </c>
      <c r="AS48" s="125">
        <f t="shared" si="168"/>
        <v>25187</v>
      </c>
      <c r="AT48" s="125">
        <f t="shared" si="168"/>
        <v>23645</v>
      </c>
      <c r="AU48" s="125">
        <f t="shared" si="168"/>
        <v>21850</v>
      </c>
      <c r="AV48" s="125">
        <f t="shared" si="168"/>
        <v>41006</v>
      </c>
      <c r="AW48" s="125">
        <f t="shared" si="168"/>
        <v>26988</v>
      </c>
      <c r="AX48" s="125">
        <f t="shared" si="168"/>
        <v>26849</v>
      </c>
      <c r="AY48" s="125">
        <f t="shared" si="168"/>
        <v>28441</v>
      </c>
      <c r="AZ48" s="125">
        <f t="shared" si="168"/>
        <v>28838</v>
      </c>
      <c r="BA48" s="125">
        <f t="shared" si="168"/>
        <v>27203</v>
      </c>
      <c r="BB48" s="125">
        <f t="shared" si="168"/>
        <v>23449</v>
      </c>
      <c r="BC48" s="125">
        <f t="shared" si="168"/>
        <v>29058</v>
      </c>
      <c r="BD48" s="125">
        <f t="shared" si="168"/>
        <v>26164</v>
      </c>
      <c r="BE48" s="125">
        <f t="shared" si="168"/>
        <v>28017</v>
      </c>
      <c r="BF48" s="125">
        <f t="shared" si="168"/>
        <v>30442</v>
      </c>
      <c r="BG48" s="125">
        <f t="shared" si="168"/>
        <v>28214</v>
      </c>
      <c r="BH48" s="125">
        <f t="shared" si="168"/>
        <v>33578</v>
      </c>
      <c r="BI48" s="125">
        <f t="shared" si="168"/>
        <v>33507</v>
      </c>
      <c r="BJ48" s="125">
        <f t="shared" si="168"/>
        <v>32505</v>
      </c>
      <c r="BK48" s="125">
        <f t="shared" si="168"/>
        <v>29494</v>
      </c>
      <c r="BL48" s="125">
        <f t="shared" si="168"/>
        <v>33374</v>
      </c>
      <c r="BM48" s="125">
        <f t="shared" si="168"/>
        <v>31270</v>
      </c>
      <c r="BN48" s="125">
        <f t="shared" si="168"/>
        <v>30313</v>
      </c>
      <c r="BO48" s="125">
        <f t="shared" ref="BO48:BT48" si="169">BO49+BO52+BO53</f>
        <v>38065</v>
      </c>
      <c r="BP48" s="125">
        <f t="shared" si="169"/>
        <v>35164</v>
      </c>
      <c r="BQ48" s="125">
        <f t="shared" si="169"/>
        <v>48114</v>
      </c>
      <c r="BR48" s="125">
        <f t="shared" si="169"/>
        <v>43678</v>
      </c>
      <c r="BS48" s="125">
        <f t="shared" si="169"/>
        <v>40638</v>
      </c>
      <c r="BT48" s="125">
        <f t="shared" si="169"/>
        <v>49825</v>
      </c>
      <c r="BU48" s="125">
        <f t="shared" ref="BU48:CR48" si="170">BU49+BU52+BU53</f>
        <v>46897.643016106769</v>
      </c>
      <c r="BV48" s="125">
        <f t="shared" si="170"/>
        <v>46452.198316148148</v>
      </c>
      <c r="BW48" s="125">
        <f t="shared" si="170"/>
        <v>46389.231032679192</v>
      </c>
      <c r="BX48" s="125">
        <f t="shared" si="170"/>
        <v>48065.324292854973</v>
      </c>
      <c r="BY48" s="125">
        <f t="shared" si="170"/>
        <v>45692.283247391344</v>
      </c>
      <c r="BZ48" s="125">
        <f t="shared" si="170"/>
        <v>44256.401546710287</v>
      </c>
      <c r="CA48" s="125">
        <f t="shared" si="170"/>
        <v>48781.464958116863</v>
      </c>
      <c r="CB48" s="125">
        <f t="shared" si="170"/>
        <v>46953.800585212601</v>
      </c>
      <c r="CC48" s="125">
        <f t="shared" si="170"/>
        <v>50931.818883836968</v>
      </c>
      <c r="CD48" s="125">
        <f t="shared" si="170"/>
        <v>51533.337333037154</v>
      </c>
      <c r="CE48" s="125">
        <f t="shared" si="170"/>
        <v>49714.350659737902</v>
      </c>
      <c r="CF48" s="125">
        <f t="shared" si="170"/>
        <v>53582.349057689076</v>
      </c>
      <c r="CG48" s="125">
        <f t="shared" si="170"/>
        <v>50577.530651538953</v>
      </c>
      <c r="CH48" s="125">
        <f t="shared" si="170"/>
        <v>50107.069988849442</v>
      </c>
      <c r="CI48" s="125">
        <f t="shared" si="170"/>
        <v>49917.48440611572</v>
      </c>
      <c r="CJ48" s="125">
        <f t="shared" si="170"/>
        <v>51886.093553374973</v>
      </c>
      <c r="CK48" s="125">
        <f t="shared" si="170"/>
        <v>49039.021269084915</v>
      </c>
      <c r="CL48" s="125">
        <f t="shared" si="170"/>
        <v>47301.09183027385</v>
      </c>
      <c r="CM48" s="125">
        <f t="shared" si="170"/>
        <v>52546.205270537292</v>
      </c>
      <c r="CN48" s="125">
        <f t="shared" si="170"/>
        <v>50285.193215384505</v>
      </c>
      <c r="CO48" s="125">
        <f t="shared" si="170"/>
        <v>54833.264210317757</v>
      </c>
      <c r="CP48" s="125">
        <f t="shared" si="170"/>
        <v>55417.973807318493</v>
      </c>
      <c r="CQ48" s="125">
        <f t="shared" si="170"/>
        <v>53187.135962435284</v>
      </c>
      <c r="CR48" s="125">
        <f t="shared" si="170"/>
        <v>57317.525451818918</v>
      </c>
      <c r="CS48" s="125">
        <f t="shared" ref="CS48:DD48" si="171">CS49+CS52+CS53</f>
        <v>53863.953378259539</v>
      </c>
      <c r="CT48" s="125">
        <f t="shared" si="171"/>
        <v>53303.026102647258</v>
      </c>
      <c r="CU48" s="125">
        <f t="shared" si="171"/>
        <v>53071.511561091014</v>
      </c>
      <c r="CV48" s="125">
        <f t="shared" si="171"/>
        <v>55302.911254672064</v>
      </c>
      <c r="CW48" s="125">
        <f t="shared" si="171"/>
        <v>52033.624246756801</v>
      </c>
      <c r="CX48" s="125">
        <f t="shared" si="171"/>
        <v>50027.473584192128</v>
      </c>
      <c r="CY48" s="125">
        <f t="shared" si="171"/>
        <v>55992.502631669558</v>
      </c>
      <c r="CZ48" s="125">
        <f t="shared" si="171"/>
        <v>53404.571060919196</v>
      </c>
      <c r="DA48" s="125">
        <f t="shared" si="171"/>
        <v>58571.10053923646</v>
      </c>
      <c r="DB48" s="125">
        <f t="shared" si="171"/>
        <v>59227.800144550944</v>
      </c>
      <c r="DC48" s="125">
        <f t="shared" si="171"/>
        <v>56675.592678953508</v>
      </c>
      <c r="DD48" s="125">
        <f t="shared" si="171"/>
        <v>61361.386112717533</v>
      </c>
      <c r="DF48" s="125">
        <f t="shared" si="52"/>
        <v>82989</v>
      </c>
      <c r="DG48" s="125">
        <f t="shared" si="53"/>
        <v>89732</v>
      </c>
      <c r="DH48" s="125">
        <f t="shared" si="54"/>
        <v>90182</v>
      </c>
      <c r="DI48" s="125">
        <f t="shared" si="55"/>
        <v>86501</v>
      </c>
      <c r="DJ48" s="125">
        <f t="shared" si="56"/>
        <v>82278</v>
      </c>
      <c r="DK48" s="125">
        <f t="shared" si="57"/>
        <v>79490</v>
      </c>
      <c r="DL48" s="125">
        <f t="shared" si="58"/>
        <v>83239</v>
      </c>
      <c r="DM48" s="125">
        <f t="shared" si="59"/>
        <v>92234</v>
      </c>
      <c r="DN48" s="125">
        <f t="shared" si="60"/>
        <v>95506</v>
      </c>
      <c r="DO48" s="125">
        <f t="shared" si="61"/>
        <v>94957</v>
      </c>
      <c r="DP48" s="125">
        <f t="shared" si="62"/>
        <v>121343</v>
      </c>
      <c r="DQ48" s="125">
        <f t="shared" si="63"/>
        <v>134141</v>
      </c>
      <c r="DR48" s="125">
        <f t="shared" si="64"/>
        <v>139739.07236493411</v>
      </c>
      <c r="DS48" s="125">
        <f t="shared" si="65"/>
        <v>138014.00908695662</v>
      </c>
      <c r="DT48" s="125">
        <f t="shared" si="66"/>
        <v>146667.08442716644</v>
      </c>
      <c r="DU48" s="125">
        <f t="shared" si="67"/>
        <v>154830.03705046413</v>
      </c>
      <c r="DV48" s="125">
        <f t="shared" si="68"/>
        <v>150602.0850465041</v>
      </c>
      <c r="DW48" s="125">
        <f t="shared" si="69"/>
        <v>148226.20665273373</v>
      </c>
      <c r="DX48" s="125">
        <f t="shared" si="70"/>
        <v>157664.66269623954</v>
      </c>
      <c r="DY48" s="125">
        <f t="shared" si="71"/>
        <v>165922.63522157271</v>
      </c>
      <c r="DZ48" s="125">
        <f t="shared" si="23"/>
        <v>160238.4910419978</v>
      </c>
      <c r="EA48" s="125">
        <f t="shared" si="24"/>
        <v>157364.00908562099</v>
      </c>
      <c r="EB48" s="125">
        <f t="shared" si="25"/>
        <v>167968.17423182522</v>
      </c>
      <c r="EC48" s="125">
        <f t="shared" si="26"/>
        <v>177264.77893622199</v>
      </c>
      <c r="EE48" s="125">
        <f t="shared" ref="EE48:EE54" si="172">SUM(DF48:DI48)</f>
        <v>349404</v>
      </c>
      <c r="EF48" s="125">
        <f t="shared" ref="EF48:EF54" si="173">SUM(DJ48:DM48)</f>
        <v>337241</v>
      </c>
      <c r="EG48" s="125">
        <f t="shared" ref="EG48:EG54" si="174">SUM(DN48:DQ48)</f>
        <v>445947</v>
      </c>
      <c r="EH48" s="125">
        <f t="shared" ref="EH48:EH54" si="175">SUM(DR48:DU48)</f>
        <v>579250.20292952133</v>
      </c>
      <c r="EI48" s="125">
        <f t="shared" ref="EI48:EI54" si="176">SUM(DV48:DY48)</f>
        <v>622415.58961705002</v>
      </c>
      <c r="EJ48" s="668">
        <f t="shared" si="27"/>
        <v>662835.45329566603</v>
      </c>
    </row>
    <row r="49" spans="2:140" x14ac:dyDescent="0.2">
      <c r="B49" s="173" t="s">
        <v>139</v>
      </c>
      <c r="C49" s="126">
        <f t="shared" ref="C49:BN49" si="177">C50+C51</f>
        <v>361</v>
      </c>
      <c r="D49" s="126">
        <f t="shared" si="177"/>
        <v>274</v>
      </c>
      <c r="E49" s="126">
        <f t="shared" si="177"/>
        <v>463</v>
      </c>
      <c r="F49" s="126">
        <f t="shared" si="177"/>
        <v>770</v>
      </c>
      <c r="G49" s="126">
        <f t="shared" si="177"/>
        <v>730</v>
      </c>
      <c r="H49" s="126">
        <f t="shared" si="177"/>
        <v>1159</v>
      </c>
      <c r="I49" s="126">
        <f t="shared" si="177"/>
        <v>1994</v>
      </c>
      <c r="J49" s="126">
        <f t="shared" si="177"/>
        <v>1964</v>
      </c>
      <c r="K49" s="126">
        <f t="shared" si="177"/>
        <v>2172</v>
      </c>
      <c r="L49" s="126">
        <f t="shared" si="177"/>
        <v>2961</v>
      </c>
      <c r="M49" s="126">
        <f t="shared" si="177"/>
        <v>1624</v>
      </c>
      <c r="N49" s="126">
        <f t="shared" si="177"/>
        <v>48</v>
      </c>
      <c r="O49" s="126">
        <f t="shared" si="177"/>
        <v>1134</v>
      </c>
      <c r="P49" s="126">
        <f t="shared" si="177"/>
        <v>1752</v>
      </c>
      <c r="Q49" s="126">
        <f t="shared" si="177"/>
        <v>2270</v>
      </c>
      <c r="R49" s="126">
        <f t="shared" si="177"/>
        <v>3287</v>
      </c>
      <c r="S49" s="126">
        <f t="shared" si="177"/>
        <v>3653</v>
      </c>
      <c r="T49" s="126">
        <f t="shared" si="177"/>
        <v>4937</v>
      </c>
      <c r="U49" s="126">
        <f t="shared" si="177"/>
        <v>6074</v>
      </c>
      <c r="V49" s="126">
        <f t="shared" si="177"/>
        <v>5990</v>
      </c>
      <c r="W49" s="126">
        <f t="shared" si="177"/>
        <v>6098</v>
      </c>
      <c r="X49" s="126">
        <f t="shared" si="177"/>
        <v>6690</v>
      </c>
      <c r="Y49" s="126">
        <f t="shared" si="177"/>
        <v>5849</v>
      </c>
      <c r="Z49" s="126">
        <f t="shared" si="177"/>
        <v>7950</v>
      </c>
      <c r="AA49" s="126">
        <f t="shared" si="177"/>
        <v>8208</v>
      </c>
      <c r="AB49" s="126">
        <f t="shared" si="177"/>
        <v>9086</v>
      </c>
      <c r="AC49" s="126">
        <f t="shared" si="177"/>
        <v>9697</v>
      </c>
      <c r="AD49" s="126">
        <f t="shared" si="177"/>
        <v>9845</v>
      </c>
      <c r="AE49" s="126">
        <f t="shared" si="177"/>
        <v>10060</v>
      </c>
      <c r="AF49" s="126">
        <f t="shared" si="177"/>
        <v>9749</v>
      </c>
      <c r="AG49" s="126">
        <f t="shared" si="177"/>
        <v>10980</v>
      </c>
      <c r="AH49" s="126">
        <f t="shared" si="177"/>
        <v>11447</v>
      </c>
      <c r="AI49" s="126">
        <f t="shared" si="177"/>
        <v>10477</v>
      </c>
      <c r="AJ49" s="126">
        <f t="shared" si="177"/>
        <v>12211</v>
      </c>
      <c r="AK49" s="126">
        <f t="shared" si="177"/>
        <v>12385</v>
      </c>
      <c r="AL49" s="126">
        <f t="shared" si="177"/>
        <v>13729</v>
      </c>
      <c r="AM49" s="126">
        <f t="shared" si="177"/>
        <v>13687</v>
      </c>
      <c r="AN49" s="126">
        <f t="shared" si="177"/>
        <v>12214</v>
      </c>
      <c r="AO49" s="126">
        <f t="shared" si="177"/>
        <v>12367</v>
      </c>
      <c r="AP49" s="126">
        <f t="shared" si="177"/>
        <v>11643</v>
      </c>
      <c r="AQ49" s="126">
        <f t="shared" si="177"/>
        <v>14148</v>
      </c>
      <c r="AR49" s="126">
        <f t="shared" si="177"/>
        <v>12925</v>
      </c>
      <c r="AS49" s="126">
        <f t="shared" si="177"/>
        <v>11423</v>
      </c>
      <c r="AT49" s="126">
        <f t="shared" si="177"/>
        <v>10287</v>
      </c>
      <c r="AU49" s="126">
        <f t="shared" si="177"/>
        <v>8990</v>
      </c>
      <c r="AV49" s="126">
        <f t="shared" si="177"/>
        <v>11243</v>
      </c>
      <c r="AW49" s="126">
        <f t="shared" si="177"/>
        <v>12029</v>
      </c>
      <c r="AX49" s="126">
        <f t="shared" si="177"/>
        <v>11645</v>
      </c>
      <c r="AY49" s="126">
        <f t="shared" si="177"/>
        <v>12689</v>
      </c>
      <c r="AZ49" s="126">
        <f t="shared" si="177"/>
        <v>11836</v>
      </c>
      <c r="BA49" s="126">
        <f t="shared" si="177"/>
        <v>9748</v>
      </c>
      <c r="BB49" s="126">
        <f t="shared" si="177"/>
        <v>8374</v>
      </c>
      <c r="BC49" s="126">
        <f t="shared" si="177"/>
        <v>10601</v>
      </c>
      <c r="BD49" s="126">
        <f t="shared" si="177"/>
        <v>10234</v>
      </c>
      <c r="BE49" s="126">
        <f t="shared" si="177"/>
        <v>12087</v>
      </c>
      <c r="BF49" s="126">
        <f t="shared" si="177"/>
        <v>12189</v>
      </c>
      <c r="BG49" s="126">
        <f t="shared" si="177"/>
        <v>11467</v>
      </c>
      <c r="BH49" s="126">
        <f t="shared" si="177"/>
        <v>14284</v>
      </c>
      <c r="BI49" s="126">
        <f t="shared" si="177"/>
        <v>14013</v>
      </c>
      <c r="BJ49" s="126">
        <f t="shared" si="177"/>
        <v>13841</v>
      </c>
      <c r="BK49" s="126">
        <f t="shared" si="177"/>
        <v>14082</v>
      </c>
      <c r="BL49" s="126">
        <f t="shared" si="177"/>
        <v>15567</v>
      </c>
      <c r="BM49" s="126">
        <f t="shared" si="177"/>
        <v>13556</v>
      </c>
      <c r="BN49" s="126">
        <f t="shared" si="177"/>
        <v>12405</v>
      </c>
      <c r="BO49" s="126">
        <f t="shared" ref="BO49:BT49" si="178">BO50+BO51</f>
        <v>16385</v>
      </c>
      <c r="BP49" s="126">
        <f t="shared" si="178"/>
        <v>14752</v>
      </c>
      <c r="BQ49" s="126">
        <f t="shared" si="178"/>
        <v>18610</v>
      </c>
      <c r="BR49" s="126">
        <f t="shared" si="178"/>
        <v>19779</v>
      </c>
      <c r="BS49" s="126">
        <f t="shared" si="178"/>
        <v>18826</v>
      </c>
      <c r="BT49" s="126">
        <f t="shared" si="178"/>
        <v>22176</v>
      </c>
      <c r="BU49" s="126">
        <f t="shared" ref="BU49:CR49" si="179">BU50+BU51</f>
        <v>19248.643016106773</v>
      </c>
      <c r="BV49" s="126">
        <f t="shared" si="179"/>
        <v>18803.198316148151</v>
      </c>
      <c r="BW49" s="126">
        <f t="shared" si="179"/>
        <v>18740.231032679196</v>
      </c>
      <c r="BX49" s="126">
        <f t="shared" si="179"/>
        <v>20416.32429285497</v>
      </c>
      <c r="BY49" s="126">
        <f t="shared" si="179"/>
        <v>18043.283247391348</v>
      </c>
      <c r="BZ49" s="126">
        <f t="shared" si="179"/>
        <v>16607.401546710291</v>
      </c>
      <c r="CA49" s="126">
        <f t="shared" si="179"/>
        <v>21132.46495811686</v>
      </c>
      <c r="CB49" s="126">
        <f t="shared" si="179"/>
        <v>19304.800585212601</v>
      </c>
      <c r="CC49" s="126">
        <f t="shared" si="179"/>
        <v>23282.818883836964</v>
      </c>
      <c r="CD49" s="126">
        <f t="shared" si="179"/>
        <v>23884.337333037154</v>
      </c>
      <c r="CE49" s="126">
        <f t="shared" si="179"/>
        <v>22065.350659737898</v>
      </c>
      <c r="CF49" s="126">
        <f t="shared" si="179"/>
        <v>25933.34905768908</v>
      </c>
      <c r="CG49" s="126">
        <f t="shared" si="179"/>
        <v>22928.530651538953</v>
      </c>
      <c r="CH49" s="126">
        <f t="shared" si="179"/>
        <v>22458.069988849446</v>
      </c>
      <c r="CI49" s="126">
        <f t="shared" si="179"/>
        <v>22268.484406115716</v>
      </c>
      <c r="CJ49" s="126">
        <f t="shared" si="179"/>
        <v>24237.093553374973</v>
      </c>
      <c r="CK49" s="126">
        <f t="shared" si="179"/>
        <v>21390.021269084911</v>
      </c>
      <c r="CL49" s="126">
        <f t="shared" si="179"/>
        <v>19652.09183027385</v>
      </c>
      <c r="CM49" s="126">
        <f t="shared" si="179"/>
        <v>24897.205270537288</v>
      </c>
      <c r="CN49" s="126">
        <f t="shared" si="179"/>
        <v>22636.193215384505</v>
      </c>
      <c r="CO49" s="126">
        <f t="shared" si="179"/>
        <v>27184.264210317757</v>
      </c>
      <c r="CP49" s="126">
        <f t="shared" si="179"/>
        <v>27768.973807318493</v>
      </c>
      <c r="CQ49" s="126">
        <f t="shared" si="179"/>
        <v>25538.135962435284</v>
      </c>
      <c r="CR49" s="126">
        <f t="shared" si="179"/>
        <v>29668.525451818921</v>
      </c>
      <c r="CS49" s="126">
        <f t="shared" ref="CS49:DD49" si="180">CS50+CS51</f>
        <v>26214.953378259543</v>
      </c>
      <c r="CT49" s="126">
        <f t="shared" si="180"/>
        <v>25654.026102647254</v>
      </c>
      <c r="CU49" s="126">
        <f t="shared" si="180"/>
        <v>25422.511561091014</v>
      </c>
      <c r="CV49" s="126">
        <f t="shared" si="180"/>
        <v>27653.911254672064</v>
      </c>
      <c r="CW49" s="126">
        <f t="shared" si="180"/>
        <v>24384.624246756801</v>
      </c>
      <c r="CX49" s="126">
        <f t="shared" si="180"/>
        <v>22378.473584192128</v>
      </c>
      <c r="CY49" s="126">
        <f t="shared" si="180"/>
        <v>28343.502631669555</v>
      </c>
      <c r="CZ49" s="126">
        <f t="shared" si="180"/>
        <v>25755.571060919196</v>
      </c>
      <c r="DA49" s="126">
        <f t="shared" si="180"/>
        <v>30922.100539236457</v>
      </c>
      <c r="DB49" s="126">
        <f t="shared" si="180"/>
        <v>31578.80014455094</v>
      </c>
      <c r="DC49" s="126">
        <f t="shared" si="180"/>
        <v>29026.592678953508</v>
      </c>
      <c r="DD49" s="126">
        <f t="shared" si="180"/>
        <v>33712.386112717533</v>
      </c>
      <c r="DF49" s="126">
        <f t="shared" si="52"/>
        <v>39801</v>
      </c>
      <c r="DG49" s="126">
        <f t="shared" si="53"/>
        <v>36224</v>
      </c>
      <c r="DH49" s="126">
        <f t="shared" si="54"/>
        <v>38496</v>
      </c>
      <c r="DI49" s="126">
        <f t="shared" si="55"/>
        <v>30520</v>
      </c>
      <c r="DJ49" s="126">
        <f t="shared" si="56"/>
        <v>36363</v>
      </c>
      <c r="DK49" s="126">
        <f t="shared" si="57"/>
        <v>29958</v>
      </c>
      <c r="DL49" s="126">
        <f t="shared" si="58"/>
        <v>32922</v>
      </c>
      <c r="DM49" s="126">
        <f t="shared" si="59"/>
        <v>37940</v>
      </c>
      <c r="DN49" s="126">
        <f t="shared" si="60"/>
        <v>41936</v>
      </c>
      <c r="DO49" s="126">
        <f t="shared" si="61"/>
        <v>41528</v>
      </c>
      <c r="DP49" s="126">
        <f t="shared" si="62"/>
        <v>49747</v>
      </c>
      <c r="DQ49" s="126">
        <f t="shared" si="63"/>
        <v>60781</v>
      </c>
      <c r="DR49" s="126">
        <f t="shared" si="64"/>
        <v>56792.072364934123</v>
      </c>
      <c r="DS49" s="126">
        <f t="shared" si="65"/>
        <v>55067.009086956605</v>
      </c>
      <c r="DT49" s="126">
        <f t="shared" si="66"/>
        <v>63720.084427166425</v>
      </c>
      <c r="DU49" s="126">
        <f t="shared" si="67"/>
        <v>71883.037050464132</v>
      </c>
      <c r="DV49" s="126">
        <f t="shared" si="68"/>
        <v>67655.085046504115</v>
      </c>
      <c r="DW49" s="126">
        <f t="shared" si="69"/>
        <v>65279.206652733737</v>
      </c>
      <c r="DX49" s="126">
        <f t="shared" si="70"/>
        <v>74717.662696239538</v>
      </c>
      <c r="DY49" s="126">
        <f t="shared" si="71"/>
        <v>82975.635221572695</v>
      </c>
      <c r="DZ49" s="126">
        <f t="shared" si="23"/>
        <v>77291.491041997811</v>
      </c>
      <c r="EA49" s="126">
        <f t="shared" si="24"/>
        <v>74417.009085620986</v>
      </c>
      <c r="EB49" s="126">
        <f t="shared" si="25"/>
        <v>85021.174231825207</v>
      </c>
      <c r="EC49" s="126">
        <f t="shared" si="26"/>
        <v>94317.778936221977</v>
      </c>
      <c r="EE49" s="126">
        <f t="shared" si="172"/>
        <v>145041</v>
      </c>
      <c r="EF49" s="126">
        <f t="shared" si="173"/>
        <v>137183</v>
      </c>
      <c r="EG49" s="126">
        <f t="shared" si="174"/>
        <v>193992</v>
      </c>
      <c r="EH49" s="126">
        <f t="shared" si="175"/>
        <v>247462.20292952127</v>
      </c>
      <c r="EI49" s="126">
        <f t="shared" si="176"/>
        <v>290627.58961705008</v>
      </c>
      <c r="EJ49" s="815">
        <f t="shared" si="27"/>
        <v>331047.45329566597</v>
      </c>
    </row>
    <row r="50" spans="2:140" x14ac:dyDescent="0.2">
      <c r="B50" s="173" t="s">
        <v>192</v>
      </c>
      <c r="C50" s="19">
        <f>'P&amp;L - Inputs'!AB435</f>
        <v>361</v>
      </c>
      <c r="D50" s="19">
        <f>'P&amp;L - Inputs'!AC435</f>
        <v>274</v>
      </c>
      <c r="E50" s="19">
        <f>'P&amp;L - Inputs'!AD435</f>
        <v>462</v>
      </c>
      <c r="F50" s="19">
        <f>'P&amp;L - Inputs'!AE435</f>
        <v>759</v>
      </c>
      <c r="G50" s="19">
        <f>'P&amp;L - Inputs'!AF435</f>
        <v>693</v>
      </c>
      <c r="H50" s="19">
        <f>'P&amp;L - Inputs'!AG435</f>
        <v>1082</v>
      </c>
      <c r="I50" s="19">
        <f>'P&amp;L - Inputs'!AH435</f>
        <v>1876</v>
      </c>
      <c r="J50" s="19">
        <f>'P&amp;L - Inputs'!AI435</f>
        <v>1877</v>
      </c>
      <c r="K50" s="19">
        <f>'P&amp;L - Inputs'!AJ435</f>
        <v>2031</v>
      </c>
      <c r="L50" s="19">
        <f>'P&amp;L - Inputs'!AK435</f>
        <v>2612</v>
      </c>
      <c r="M50" s="19">
        <f>'P&amp;L - Inputs'!AL435</f>
        <v>1365</v>
      </c>
      <c r="N50" s="19">
        <f>'P&amp;L - Inputs'!AM435</f>
        <v>46</v>
      </c>
      <c r="O50" s="19">
        <f>'P&amp;L - Inputs'!AN435</f>
        <v>1028</v>
      </c>
      <c r="P50" s="19">
        <f>'P&amp;L - Inputs'!AO435</f>
        <v>1657</v>
      </c>
      <c r="Q50" s="19">
        <f>'P&amp;L - Inputs'!AP435</f>
        <v>2100</v>
      </c>
      <c r="R50" s="19">
        <f>'P&amp;L - Inputs'!AQ435</f>
        <v>2838</v>
      </c>
      <c r="S50" s="19">
        <f>'P&amp;L - Inputs'!AR435</f>
        <v>3214</v>
      </c>
      <c r="T50" s="19">
        <f>'P&amp;L - Inputs'!AS435</f>
        <v>4433</v>
      </c>
      <c r="U50" s="19">
        <f>'P&amp;L - Inputs'!AT435</f>
        <v>5469</v>
      </c>
      <c r="V50" s="19">
        <f>'P&amp;L - Inputs'!AU435</f>
        <v>5448</v>
      </c>
      <c r="W50" s="19">
        <f>'P&amp;L - Inputs'!AV435</f>
        <v>5714</v>
      </c>
      <c r="X50" s="19">
        <f>'P&amp;L - Inputs'!AW435</f>
        <v>6331</v>
      </c>
      <c r="Y50" s="19">
        <f>'P&amp;L - Inputs'!AX435</f>
        <v>5596</v>
      </c>
      <c r="Z50" s="19">
        <f>'P&amp;L - Inputs'!AY435</f>
        <v>7785</v>
      </c>
      <c r="AA50" s="19">
        <f>'P&amp;L - Inputs'!AZ435</f>
        <v>8192</v>
      </c>
      <c r="AB50" s="19">
        <f>'P&amp;L - Inputs'!BA435</f>
        <v>8746</v>
      </c>
      <c r="AC50" s="19">
        <f>'P&amp;L - Inputs'!BB435</f>
        <v>9452</v>
      </c>
      <c r="AD50" s="19">
        <f>'P&amp;L - Inputs'!BC435</f>
        <v>9502</v>
      </c>
      <c r="AE50" s="19">
        <f>'P&amp;L - Inputs'!BD435</f>
        <v>9868</v>
      </c>
      <c r="AF50" s="19">
        <f>'P&amp;L - Inputs'!BE435</f>
        <v>9525</v>
      </c>
      <c r="AG50" s="19">
        <f>'P&amp;L - Inputs'!BF435</f>
        <v>10770</v>
      </c>
      <c r="AH50" s="19">
        <f>'P&amp;L - Inputs'!BG435</f>
        <v>11322</v>
      </c>
      <c r="AI50" s="19">
        <f>'P&amp;L - Inputs'!BH435</f>
        <v>10400</v>
      </c>
      <c r="AJ50" s="19">
        <f>'P&amp;L - Inputs'!BI435</f>
        <v>12089</v>
      </c>
      <c r="AK50" s="19">
        <f>'P&amp;L - Inputs'!BJ435</f>
        <v>12233</v>
      </c>
      <c r="AL50" s="19">
        <f>'P&amp;L - Inputs'!BK435</f>
        <v>13520</v>
      </c>
      <c r="AM50" s="19">
        <f>'P&amp;L - Inputs'!BL435</f>
        <v>13589</v>
      </c>
      <c r="AN50" s="19">
        <f>'P&amp;L - Inputs'!BM435</f>
        <v>12172</v>
      </c>
      <c r="AO50" s="19">
        <f>'P&amp;L - Inputs'!BN435</f>
        <v>12336</v>
      </c>
      <c r="AP50" s="19">
        <f>'P&amp;L - Inputs'!BO435</f>
        <v>11644</v>
      </c>
      <c r="AQ50" s="19">
        <f>'P&amp;L - Inputs'!BP435</f>
        <v>13955</v>
      </c>
      <c r="AR50" s="19">
        <f>'P&amp;L - Inputs'!BQ435</f>
        <v>12747</v>
      </c>
      <c r="AS50" s="19">
        <f>'P&amp;L - Inputs'!BR435</f>
        <v>11277</v>
      </c>
      <c r="AT50" s="19">
        <f>'P&amp;L - Inputs'!BS435</f>
        <v>10107</v>
      </c>
      <c r="AU50" s="19">
        <f>'P&amp;L - Inputs'!BT435</f>
        <v>8810</v>
      </c>
      <c r="AV50" s="19">
        <f>'P&amp;L - Inputs'!BU435</f>
        <v>11157</v>
      </c>
      <c r="AW50" s="19">
        <f>'P&amp;L - Inputs'!BV435</f>
        <v>11835</v>
      </c>
      <c r="AX50" s="19">
        <f>'P&amp;L - Inputs'!BW435</f>
        <v>11407</v>
      </c>
      <c r="AY50" s="19">
        <f>'P&amp;L - Inputs'!BX435</f>
        <v>12515</v>
      </c>
      <c r="AZ50" s="19">
        <f>'P&amp;L - Inputs'!BY435</f>
        <v>11687</v>
      </c>
      <c r="BA50" s="19">
        <f>'P&amp;L - Inputs'!BZ435</f>
        <v>9519</v>
      </c>
      <c r="BB50" s="19">
        <f>'P&amp;L - Inputs'!CA435</f>
        <v>8293</v>
      </c>
      <c r="BC50" s="19">
        <f>'P&amp;L - Inputs'!CB435</f>
        <v>10384</v>
      </c>
      <c r="BD50" s="19">
        <f>'P&amp;L - Inputs'!CC435</f>
        <v>10134</v>
      </c>
      <c r="BE50" s="19">
        <f>'P&amp;L - Inputs'!CD435</f>
        <v>11864</v>
      </c>
      <c r="BF50" s="19">
        <f>'P&amp;L - Inputs'!CE435</f>
        <v>11837</v>
      </c>
      <c r="BG50" s="19">
        <f>'P&amp;L - Inputs'!CF435</f>
        <v>11485</v>
      </c>
      <c r="BH50" s="19">
        <f>'P&amp;L - Inputs'!CG435</f>
        <v>14039</v>
      </c>
      <c r="BI50" s="19">
        <f>'P&amp;L - Inputs'!CH435</f>
        <v>13754</v>
      </c>
      <c r="BJ50" s="19">
        <f>'P&amp;L - Inputs'!CI435</f>
        <v>13502</v>
      </c>
      <c r="BK50" s="19">
        <f>'P&amp;L - Inputs'!CJ435</f>
        <v>13775</v>
      </c>
      <c r="BL50" s="19">
        <f>'P&amp;L - Inputs'!CK435</f>
        <v>15128</v>
      </c>
      <c r="BM50" s="19">
        <f>'P&amp;L - Inputs'!CL435</f>
        <v>13286</v>
      </c>
      <c r="BN50" s="19">
        <f>'P&amp;L - Inputs'!CM435</f>
        <v>12225</v>
      </c>
      <c r="BO50" s="19">
        <f>'P&amp;L - Inputs'!CN435</f>
        <v>15989</v>
      </c>
      <c r="BP50" s="19">
        <f>'P&amp;L - Inputs'!CO435</f>
        <v>14397</v>
      </c>
      <c r="BQ50" s="19">
        <f>'P&amp;L - Inputs'!CP435</f>
        <v>18438</v>
      </c>
      <c r="BR50" s="19">
        <f>'P&amp;L - Inputs'!CQ435</f>
        <v>19545</v>
      </c>
      <c r="BS50" s="19">
        <f>'P&amp;L - Inputs'!CR435</f>
        <v>18600</v>
      </c>
      <c r="BT50" s="19">
        <f>'P&amp;L - Inputs'!CS435</f>
        <v>21807</v>
      </c>
      <c r="BU50" s="19">
        <f>'P&amp;L - Inputs'!CT435</f>
        <v>18947.809270691087</v>
      </c>
      <c r="BV50" s="19">
        <f>'P&amp;L - Inputs'!CU435</f>
        <v>18509.326349666801</v>
      </c>
      <c r="BW50" s="19">
        <f>'P&amp;L - Inputs'!CV435</f>
        <v>18447.343171088189</v>
      </c>
      <c r="BX50" s="19">
        <f>'P&amp;L - Inputs'!CW435</f>
        <v>20097.241056727547</v>
      </c>
      <c r="BY50" s="19">
        <f>'P&amp;L - Inputs'!CX435</f>
        <v>17761.287863386002</v>
      </c>
      <c r="BZ50" s="19">
        <f>'P&amp;L - Inputs'!CY435</f>
        <v>16347.847311913658</v>
      </c>
      <c r="CA50" s="19">
        <f>'P&amp;L - Inputs'!CZ435</f>
        <v>20802.189282169398</v>
      </c>
      <c r="CB50" s="19">
        <f>'P&amp;L - Inputs'!DA435</f>
        <v>19003.089162766206</v>
      </c>
      <c r="CC50" s="19">
        <f>'P&amp;L - Inputs'!DB435</f>
        <v>22918.935694627275</v>
      </c>
      <c r="CD50" s="19">
        <f>'P&amp;L - Inputs'!DC435</f>
        <v>23511.05311499348</v>
      </c>
      <c r="CE50" s="19">
        <f>'P&amp;L - Inputs'!DD435</f>
        <v>21720.495072914196</v>
      </c>
      <c r="CF50" s="19">
        <f>'P&amp;L - Inputs'!DE435</f>
        <v>25528.041186289065</v>
      </c>
      <c r="CG50" s="19">
        <f>'P&amp;L - Inputs'!DF435</f>
        <v>22570.184572440856</v>
      </c>
      <c r="CH50" s="19">
        <f>'P&amp;L - Inputs'!DG435</f>
        <v>22107.076658883285</v>
      </c>
      <c r="CI50" s="19">
        <f>'P&amp;L - Inputs'!DH435</f>
        <v>21920.454076756032</v>
      </c>
      <c r="CJ50" s="19">
        <f>'P&amp;L - Inputs'!DI435</f>
        <v>23858.296168772278</v>
      </c>
      <c r="CK50" s="19">
        <f>'P&amp;L - Inputs'!DJ435</f>
        <v>21055.720289659217</v>
      </c>
      <c r="CL50" s="19">
        <f>'P&amp;L - Inputs'!DK435</f>
        <v>19344.95265243117</v>
      </c>
      <c r="CM50" s="19">
        <f>'P&amp;L - Inputs'!DL435</f>
        <v>24508.09111294958</v>
      </c>
      <c r="CN50" s="19">
        <f>'P&amp;L - Inputs'!DM435</f>
        <v>22282.416028013995</v>
      </c>
      <c r="CO50" s="19">
        <f>'P&amp;L - Inputs'!DN435</f>
        <v>26759.406000213472</v>
      </c>
      <c r="CP50" s="19">
        <f>'P&amp;L - Inputs'!DO435</f>
        <v>27334.977271052769</v>
      </c>
      <c r="CQ50" s="19">
        <f>'P&amp;L - Inputs'!DP435</f>
        <v>25139.004808821715</v>
      </c>
      <c r="CR50" s="19">
        <f>'P&amp;L - Inputs'!DQ435</f>
        <v>29204.841148194875</v>
      </c>
      <c r="CS50" s="19">
        <f>'P&amp;L - Inputs'!DR435</f>
        <v>25805.244361157384</v>
      </c>
      <c r="CT50" s="19">
        <f>'P&amp;L - Inputs'!DS435</f>
        <v>25253.083721878218</v>
      </c>
      <c r="CU50" s="19">
        <f>'P&amp;L - Inputs'!DT435</f>
        <v>25025.187481445661</v>
      </c>
      <c r="CV50" s="19">
        <f>'P&amp;L - Inputs'!DU435</f>
        <v>27221.713011337473</v>
      </c>
      <c r="CW50" s="19">
        <f>'P&amp;L - Inputs'!DV435</f>
        <v>24003.521130211509</v>
      </c>
      <c r="CX50" s="19">
        <f>'P&amp;L - Inputs'!DW435</f>
        <v>22028.724252803666</v>
      </c>
      <c r="CY50" s="19">
        <f>'P&amp;L - Inputs'!DX435</f>
        <v>27900.526882794707</v>
      </c>
      <c r="CZ50" s="19">
        <f>'P&amp;L - Inputs'!DY435</f>
        <v>25353.041651386651</v>
      </c>
      <c r="DA50" s="19">
        <f>'P&amp;L - Inputs'!DZ435</f>
        <v>30438.824325242829</v>
      </c>
      <c r="DB50" s="19">
        <f>'P&amp;L - Inputs'!EA435</f>
        <v>31085.260484884056</v>
      </c>
      <c r="DC50" s="19">
        <f>'P&amp;L - Inputs'!EB435</f>
        <v>28572.941032707156</v>
      </c>
      <c r="DD50" s="19">
        <f>'P&amp;L - Inputs'!EC435</f>
        <v>33185.501003325553</v>
      </c>
      <c r="DF50" s="19">
        <f t="shared" si="52"/>
        <v>39342</v>
      </c>
      <c r="DG50" s="19">
        <f t="shared" si="53"/>
        <v>36152</v>
      </c>
      <c r="DH50" s="19">
        <f t="shared" si="54"/>
        <v>37979</v>
      </c>
      <c r="DI50" s="19">
        <f t="shared" si="55"/>
        <v>30074</v>
      </c>
      <c r="DJ50" s="19">
        <f t="shared" si="56"/>
        <v>35757</v>
      </c>
      <c r="DK50" s="19">
        <f t="shared" si="57"/>
        <v>29499</v>
      </c>
      <c r="DL50" s="19">
        <f t="shared" si="58"/>
        <v>32382</v>
      </c>
      <c r="DM50" s="19">
        <f t="shared" si="59"/>
        <v>37361</v>
      </c>
      <c r="DN50" s="19">
        <f t="shared" si="60"/>
        <v>41031</v>
      </c>
      <c r="DO50" s="19">
        <f t="shared" si="61"/>
        <v>40639</v>
      </c>
      <c r="DP50" s="19">
        <f t="shared" si="62"/>
        <v>48824</v>
      </c>
      <c r="DQ50" s="19">
        <f t="shared" si="63"/>
        <v>59952</v>
      </c>
      <c r="DR50" s="19">
        <f t="shared" si="64"/>
        <v>55904.478791446076</v>
      </c>
      <c r="DS50" s="19">
        <f t="shared" si="65"/>
        <v>54206.376232027207</v>
      </c>
      <c r="DT50" s="19">
        <f t="shared" si="66"/>
        <v>62724.214139562879</v>
      </c>
      <c r="DU50" s="19">
        <f t="shared" si="67"/>
        <v>70759.589374196745</v>
      </c>
      <c r="DV50" s="19">
        <f t="shared" si="68"/>
        <v>66597.715308080165</v>
      </c>
      <c r="DW50" s="19">
        <f t="shared" si="69"/>
        <v>64258.969110862658</v>
      </c>
      <c r="DX50" s="19">
        <f t="shared" si="70"/>
        <v>73549.913141177036</v>
      </c>
      <c r="DY50" s="19">
        <f t="shared" si="71"/>
        <v>81678.823228069363</v>
      </c>
      <c r="DZ50" s="19">
        <f t="shared" si="23"/>
        <v>76083.515564481262</v>
      </c>
      <c r="EA50" s="19">
        <f t="shared" si="24"/>
        <v>73253.958394352638</v>
      </c>
      <c r="EB50" s="19">
        <f t="shared" si="25"/>
        <v>83692.392859424188</v>
      </c>
      <c r="EC50" s="19">
        <f t="shared" si="26"/>
        <v>92843.702520916762</v>
      </c>
      <c r="EE50" s="19">
        <f t="shared" si="172"/>
        <v>143547</v>
      </c>
      <c r="EF50" s="19">
        <f t="shared" si="173"/>
        <v>134999</v>
      </c>
      <c r="EG50" s="19">
        <f t="shared" si="174"/>
        <v>190446</v>
      </c>
      <c r="EH50" s="19">
        <f t="shared" si="175"/>
        <v>243594.6585372329</v>
      </c>
      <c r="EI50" s="19">
        <f t="shared" si="176"/>
        <v>286085.42078818922</v>
      </c>
      <c r="EJ50" s="770">
        <f t="shared" si="27"/>
        <v>325873.56933917484</v>
      </c>
    </row>
    <row r="51" spans="2:140" x14ac:dyDescent="0.2">
      <c r="B51" s="173" t="s">
        <v>193</v>
      </c>
      <c r="C51" s="19">
        <f>'P&amp;L - Inputs'!AB436</f>
        <v>0</v>
      </c>
      <c r="D51" s="19">
        <f>'P&amp;L - Inputs'!AC436</f>
        <v>0</v>
      </c>
      <c r="E51" s="19">
        <f>'P&amp;L - Inputs'!AD436</f>
        <v>1</v>
      </c>
      <c r="F51" s="19">
        <f>'P&amp;L - Inputs'!AE436</f>
        <v>11</v>
      </c>
      <c r="G51" s="19">
        <f>'P&amp;L - Inputs'!AF436</f>
        <v>37</v>
      </c>
      <c r="H51" s="19">
        <f>'P&amp;L - Inputs'!AG436</f>
        <v>77</v>
      </c>
      <c r="I51" s="19">
        <f>'P&amp;L - Inputs'!AH436</f>
        <v>118</v>
      </c>
      <c r="J51" s="19">
        <f>'P&amp;L - Inputs'!AI436</f>
        <v>87</v>
      </c>
      <c r="K51" s="19">
        <f>'P&amp;L - Inputs'!AJ436</f>
        <v>141</v>
      </c>
      <c r="L51" s="19">
        <f>'P&amp;L - Inputs'!AK436</f>
        <v>349</v>
      </c>
      <c r="M51" s="19">
        <f>'P&amp;L - Inputs'!AL436</f>
        <v>259</v>
      </c>
      <c r="N51" s="19">
        <f>'P&amp;L - Inputs'!AM436</f>
        <v>2</v>
      </c>
      <c r="O51" s="19">
        <f>'P&amp;L - Inputs'!AN436</f>
        <v>106</v>
      </c>
      <c r="P51" s="19">
        <f>'P&amp;L - Inputs'!AO436</f>
        <v>95</v>
      </c>
      <c r="Q51" s="19">
        <f>'P&amp;L - Inputs'!AP436</f>
        <v>170</v>
      </c>
      <c r="R51" s="19">
        <f>'P&amp;L - Inputs'!AQ436</f>
        <v>449</v>
      </c>
      <c r="S51" s="19">
        <f>'P&amp;L - Inputs'!AR436</f>
        <v>439</v>
      </c>
      <c r="T51" s="19">
        <f>'P&amp;L - Inputs'!AS436</f>
        <v>504</v>
      </c>
      <c r="U51" s="19">
        <f>'P&amp;L - Inputs'!AT436</f>
        <v>605</v>
      </c>
      <c r="V51" s="19">
        <f>'P&amp;L - Inputs'!AU436</f>
        <v>542</v>
      </c>
      <c r="W51" s="19">
        <f>'P&amp;L - Inputs'!AV436</f>
        <v>384</v>
      </c>
      <c r="X51" s="19">
        <f>'P&amp;L - Inputs'!AW436</f>
        <v>359</v>
      </c>
      <c r="Y51" s="19">
        <f>'P&amp;L - Inputs'!AX436</f>
        <v>253</v>
      </c>
      <c r="Z51" s="19">
        <f>'P&amp;L - Inputs'!AY436</f>
        <v>165</v>
      </c>
      <c r="AA51" s="19">
        <f>'P&amp;L - Inputs'!AZ436</f>
        <v>16</v>
      </c>
      <c r="AB51" s="19">
        <f>'P&amp;L - Inputs'!BA436</f>
        <v>340</v>
      </c>
      <c r="AC51" s="19">
        <f>'P&amp;L - Inputs'!BB436</f>
        <v>245</v>
      </c>
      <c r="AD51" s="19">
        <f>'P&amp;L - Inputs'!BC436</f>
        <v>343</v>
      </c>
      <c r="AE51" s="19">
        <f>'P&amp;L - Inputs'!BD436</f>
        <v>192</v>
      </c>
      <c r="AF51" s="19">
        <f>'P&amp;L - Inputs'!BE436</f>
        <v>224</v>
      </c>
      <c r="AG51" s="19">
        <f>'P&amp;L - Inputs'!BF436</f>
        <v>210</v>
      </c>
      <c r="AH51" s="19">
        <f>'P&amp;L - Inputs'!BG436</f>
        <v>125</v>
      </c>
      <c r="AI51" s="19">
        <f>'P&amp;L - Inputs'!BH436</f>
        <v>77</v>
      </c>
      <c r="AJ51" s="19">
        <f>'P&amp;L - Inputs'!BI436</f>
        <v>122</v>
      </c>
      <c r="AK51" s="19">
        <f>'P&amp;L - Inputs'!BJ436</f>
        <v>152</v>
      </c>
      <c r="AL51" s="19">
        <f>'P&amp;L - Inputs'!BK436</f>
        <v>209</v>
      </c>
      <c r="AM51" s="19">
        <f>'P&amp;L - Inputs'!BL436</f>
        <v>98</v>
      </c>
      <c r="AN51" s="19">
        <f>'P&amp;L - Inputs'!BM436</f>
        <v>42</v>
      </c>
      <c r="AO51" s="19">
        <f>'P&amp;L - Inputs'!BN436</f>
        <v>31</v>
      </c>
      <c r="AP51" s="19">
        <f>'P&amp;L - Inputs'!BO436</f>
        <v>-1</v>
      </c>
      <c r="AQ51" s="19">
        <f>'P&amp;L - Inputs'!BP436</f>
        <v>193</v>
      </c>
      <c r="AR51" s="19">
        <f>'P&amp;L - Inputs'!BQ436</f>
        <v>178</v>
      </c>
      <c r="AS51" s="19">
        <f>'P&amp;L - Inputs'!BR436</f>
        <v>146</v>
      </c>
      <c r="AT51" s="19">
        <f>'P&amp;L - Inputs'!BS436</f>
        <v>180</v>
      </c>
      <c r="AU51" s="19">
        <f>'P&amp;L - Inputs'!BT436</f>
        <v>180</v>
      </c>
      <c r="AV51" s="19">
        <f>'P&amp;L - Inputs'!BU436</f>
        <v>86</v>
      </c>
      <c r="AW51" s="19">
        <f>'P&amp;L - Inputs'!BV436</f>
        <v>194</v>
      </c>
      <c r="AX51" s="19">
        <f>'P&amp;L - Inputs'!BW436</f>
        <v>238</v>
      </c>
      <c r="AY51" s="19">
        <f>'P&amp;L - Inputs'!BX436</f>
        <v>174</v>
      </c>
      <c r="AZ51" s="19">
        <f>'P&amp;L - Inputs'!BY436</f>
        <v>149</v>
      </c>
      <c r="BA51" s="19">
        <f>'P&amp;L - Inputs'!BZ436</f>
        <v>229</v>
      </c>
      <c r="BB51" s="19">
        <f>'P&amp;L - Inputs'!CA436</f>
        <v>81</v>
      </c>
      <c r="BC51" s="19">
        <f>'P&amp;L - Inputs'!CB436</f>
        <v>217</v>
      </c>
      <c r="BD51" s="19">
        <f>'P&amp;L - Inputs'!CC436</f>
        <v>100</v>
      </c>
      <c r="BE51" s="19">
        <f>'P&amp;L - Inputs'!CD436</f>
        <v>223</v>
      </c>
      <c r="BF51" s="19">
        <f>'P&amp;L - Inputs'!CE436</f>
        <v>352</v>
      </c>
      <c r="BG51" s="19">
        <f>'P&amp;L - Inputs'!CF436</f>
        <v>-18</v>
      </c>
      <c r="BH51" s="19">
        <f>'P&amp;L - Inputs'!CG436</f>
        <v>245</v>
      </c>
      <c r="BI51" s="19">
        <f>'P&amp;L - Inputs'!CH436</f>
        <v>259</v>
      </c>
      <c r="BJ51" s="19">
        <f>'P&amp;L - Inputs'!CI436</f>
        <v>339</v>
      </c>
      <c r="BK51" s="19">
        <f>'P&amp;L - Inputs'!CJ436</f>
        <v>307</v>
      </c>
      <c r="BL51" s="19">
        <f>'P&amp;L - Inputs'!CK436</f>
        <v>439</v>
      </c>
      <c r="BM51" s="19">
        <f>'P&amp;L - Inputs'!CL436</f>
        <v>270</v>
      </c>
      <c r="BN51" s="19">
        <f>'P&amp;L - Inputs'!CM436</f>
        <v>180</v>
      </c>
      <c r="BO51" s="19">
        <f>'P&amp;L - Inputs'!CN436</f>
        <v>396</v>
      </c>
      <c r="BP51" s="19">
        <f>'P&amp;L - Inputs'!CO436</f>
        <v>355</v>
      </c>
      <c r="BQ51" s="19">
        <f>'P&amp;L - Inputs'!CP436</f>
        <v>172</v>
      </c>
      <c r="BR51" s="19">
        <f>'P&amp;L - Inputs'!CQ436</f>
        <v>234</v>
      </c>
      <c r="BS51" s="19">
        <f>'P&amp;L - Inputs'!CR436</f>
        <v>226</v>
      </c>
      <c r="BT51" s="19">
        <f>'P&amp;L - Inputs'!CS436</f>
        <v>369</v>
      </c>
      <c r="BU51" s="19">
        <f>'P&amp;L - Inputs'!CT436</f>
        <v>300.83374541568685</v>
      </c>
      <c r="BV51" s="19">
        <f>'P&amp;L - Inputs'!CU436</f>
        <v>293.87196648134909</v>
      </c>
      <c r="BW51" s="19">
        <f>'P&amp;L - Inputs'!CV436</f>
        <v>292.88786159100613</v>
      </c>
      <c r="BX51" s="19">
        <f>'P&amp;L - Inputs'!CW436</f>
        <v>319.08323612742129</v>
      </c>
      <c r="BY51" s="19">
        <f>'P&amp;L - Inputs'!CX436</f>
        <v>281.9953840053463</v>
      </c>
      <c r="BZ51" s="19">
        <f>'P&amp;L - Inputs'!CY436</f>
        <v>259.55423479663204</v>
      </c>
      <c r="CA51" s="19">
        <f>'P&amp;L - Inputs'!CZ436</f>
        <v>330.27567594746165</v>
      </c>
      <c r="CB51" s="19">
        <f>'P&amp;L - Inputs'!DA436</f>
        <v>301.71142244639543</v>
      </c>
      <c r="CC51" s="19">
        <f>'P&amp;L - Inputs'!DB436</f>
        <v>363.88318920968987</v>
      </c>
      <c r="CD51" s="19">
        <f>'P&amp;L - Inputs'!DC436</f>
        <v>373.28421804367616</v>
      </c>
      <c r="CE51" s="19">
        <f>'P&amp;L - Inputs'!DD436</f>
        <v>344.85558682370174</v>
      </c>
      <c r="CF51" s="19">
        <f>'P&amp;L - Inputs'!DE436</f>
        <v>405.30787140001388</v>
      </c>
      <c r="CG51" s="19">
        <f>'P&amp;L - Inputs'!DF436</f>
        <v>358.34607909809768</v>
      </c>
      <c r="CH51" s="19">
        <f>'P&amp;L - Inputs'!DG436</f>
        <v>350.99332996616135</v>
      </c>
      <c r="CI51" s="19">
        <f>'P&amp;L - Inputs'!DH436</f>
        <v>348.03032935968326</v>
      </c>
      <c r="CJ51" s="19">
        <f>'P&amp;L - Inputs'!DI436</f>
        <v>378.79738460269584</v>
      </c>
      <c r="CK51" s="19">
        <f>'P&amp;L - Inputs'!DJ436</f>
        <v>334.3009794256929</v>
      </c>
      <c r="CL51" s="19">
        <f>'P&amp;L - Inputs'!DK436</f>
        <v>307.13917784268131</v>
      </c>
      <c r="CM51" s="19">
        <f>'P&amp;L - Inputs'!DL436</f>
        <v>389.11415758770829</v>
      </c>
      <c r="CN51" s="19">
        <f>'P&amp;L - Inputs'!DM436</f>
        <v>353.77718737051083</v>
      </c>
      <c r="CO51" s="19">
        <f>'P&amp;L - Inputs'!DN436</f>
        <v>424.85821010428657</v>
      </c>
      <c r="CP51" s="19">
        <f>'P&amp;L - Inputs'!DO436</f>
        <v>433.9965362657224</v>
      </c>
      <c r="CQ51" s="19">
        <f>'P&amp;L - Inputs'!DP436</f>
        <v>399.13115361356842</v>
      </c>
      <c r="CR51" s="19">
        <f>'P&amp;L - Inputs'!DQ436</f>
        <v>463.6843036240457</v>
      </c>
      <c r="CS51" s="19">
        <f>'P&amp;L - Inputs'!DR436</f>
        <v>409.70901710215833</v>
      </c>
      <c r="CT51" s="19">
        <f>'P&amp;L - Inputs'!DS436</f>
        <v>400.94238076903815</v>
      </c>
      <c r="CU51" s="19">
        <f>'P&amp;L - Inputs'!DT436</f>
        <v>397.3240796453548</v>
      </c>
      <c r="CV51" s="19">
        <f>'P&amp;L - Inputs'!DU436</f>
        <v>432.19824333459218</v>
      </c>
      <c r="CW51" s="19">
        <f>'P&amp;L - Inputs'!DV436</f>
        <v>381.10311654528988</v>
      </c>
      <c r="CX51" s="19">
        <f>'P&amp;L - Inputs'!DW436</f>
        <v>349.74933138846171</v>
      </c>
      <c r="CY51" s="19">
        <f>'P&amp;L - Inputs'!DX436</f>
        <v>442.97574887484899</v>
      </c>
      <c r="CZ51" s="19">
        <f>'P&amp;L - Inputs'!DY436</f>
        <v>402.52940953254461</v>
      </c>
      <c r="DA51" s="19">
        <f>'P&amp;L - Inputs'!DZ436</f>
        <v>483.27621399362607</v>
      </c>
      <c r="DB51" s="19">
        <f>'P&amp;L - Inputs'!EA436</f>
        <v>493.53965966688463</v>
      </c>
      <c r="DC51" s="19">
        <f>'P&amp;L - Inputs'!EB436</f>
        <v>453.65164624634963</v>
      </c>
      <c r="DD51" s="19">
        <f>'P&amp;L - Inputs'!EC436</f>
        <v>526.88510939198079</v>
      </c>
      <c r="DF51" s="19">
        <f t="shared" si="52"/>
        <v>459</v>
      </c>
      <c r="DG51" s="19">
        <f t="shared" si="53"/>
        <v>72</v>
      </c>
      <c r="DH51" s="19">
        <f t="shared" si="54"/>
        <v>517</v>
      </c>
      <c r="DI51" s="19">
        <f t="shared" si="55"/>
        <v>446</v>
      </c>
      <c r="DJ51" s="19">
        <f t="shared" si="56"/>
        <v>606</v>
      </c>
      <c r="DK51" s="19">
        <f t="shared" si="57"/>
        <v>459</v>
      </c>
      <c r="DL51" s="19">
        <f t="shared" si="58"/>
        <v>540</v>
      </c>
      <c r="DM51" s="19">
        <f t="shared" si="59"/>
        <v>579</v>
      </c>
      <c r="DN51" s="19">
        <f t="shared" si="60"/>
        <v>905</v>
      </c>
      <c r="DO51" s="19">
        <f t="shared" si="61"/>
        <v>889</v>
      </c>
      <c r="DP51" s="19">
        <f t="shared" si="62"/>
        <v>923</v>
      </c>
      <c r="DQ51" s="19">
        <f t="shared" si="63"/>
        <v>829</v>
      </c>
      <c r="DR51" s="19">
        <f t="shared" si="64"/>
        <v>887.59357348804201</v>
      </c>
      <c r="DS51" s="19">
        <f t="shared" si="65"/>
        <v>860.63285492939963</v>
      </c>
      <c r="DT51" s="19">
        <f t="shared" si="66"/>
        <v>995.87028760354701</v>
      </c>
      <c r="DU51" s="19">
        <f t="shared" si="67"/>
        <v>1123.4476762673919</v>
      </c>
      <c r="DV51" s="19">
        <f t="shared" si="68"/>
        <v>1057.3697384239422</v>
      </c>
      <c r="DW51" s="19">
        <f t="shared" si="69"/>
        <v>1020.23754187107</v>
      </c>
      <c r="DX51" s="19">
        <f t="shared" si="70"/>
        <v>1167.7495550625058</v>
      </c>
      <c r="DY51" s="19">
        <f t="shared" si="71"/>
        <v>1296.8119935033365</v>
      </c>
      <c r="DZ51" s="19">
        <f t="shared" si="23"/>
        <v>1207.9754775165511</v>
      </c>
      <c r="EA51" s="19">
        <f t="shared" si="24"/>
        <v>1163.0506912683438</v>
      </c>
      <c r="EB51" s="19">
        <f t="shared" si="25"/>
        <v>1328.7813724010196</v>
      </c>
      <c r="EC51" s="19">
        <f t="shared" si="26"/>
        <v>1474.0764153052151</v>
      </c>
      <c r="EE51" s="19">
        <f t="shared" si="172"/>
        <v>1494</v>
      </c>
      <c r="EF51" s="19">
        <f t="shared" si="173"/>
        <v>2184</v>
      </c>
      <c r="EG51" s="19">
        <f t="shared" si="174"/>
        <v>3546</v>
      </c>
      <c r="EH51" s="19">
        <f t="shared" si="175"/>
        <v>3867.5443922883805</v>
      </c>
      <c r="EI51" s="19">
        <f t="shared" si="176"/>
        <v>4542.1688288608548</v>
      </c>
      <c r="EJ51" s="770">
        <f t="shared" si="27"/>
        <v>5173.8839564911295</v>
      </c>
    </row>
    <row r="52" spans="2:140" x14ac:dyDescent="0.2">
      <c r="B52" s="173" t="s">
        <v>191</v>
      </c>
      <c r="C52" s="19">
        <f>'P&amp;L - Inputs'!AB437</f>
        <v>1482</v>
      </c>
      <c r="D52" s="19">
        <f>'P&amp;L - Inputs'!AC437</f>
        <v>1588</v>
      </c>
      <c r="E52" s="19">
        <f>'P&amp;L - Inputs'!AD437</f>
        <v>1718</v>
      </c>
      <c r="F52" s="19">
        <f>'P&amp;L - Inputs'!AE437</f>
        <v>1453</v>
      </c>
      <c r="G52" s="19">
        <f>'P&amp;L - Inputs'!AF437</f>
        <v>1381</v>
      </c>
      <c r="H52" s="19">
        <f>'P&amp;L - Inputs'!AG437</f>
        <v>1308</v>
      </c>
      <c r="I52" s="19">
        <f>'P&amp;L - Inputs'!AH437</f>
        <v>1396</v>
      </c>
      <c r="J52" s="19">
        <f>'P&amp;L - Inputs'!AI437</f>
        <v>1309</v>
      </c>
      <c r="K52" s="19">
        <f>'P&amp;L - Inputs'!AJ437</f>
        <v>1161</v>
      </c>
      <c r="L52" s="19">
        <f>'P&amp;L - Inputs'!AK437</f>
        <v>1581</v>
      </c>
      <c r="M52" s="19">
        <f>'P&amp;L - Inputs'!AL437</f>
        <v>1004</v>
      </c>
      <c r="N52" s="19">
        <f>'P&amp;L - Inputs'!AM437</f>
        <v>0</v>
      </c>
      <c r="O52" s="19">
        <f>'P&amp;L - Inputs'!AN437</f>
        <v>1629</v>
      </c>
      <c r="P52" s="19">
        <f>'P&amp;L - Inputs'!AO437</f>
        <v>2261</v>
      </c>
      <c r="Q52" s="19">
        <f>'P&amp;L - Inputs'!AP437</f>
        <v>2125</v>
      </c>
      <c r="R52" s="19">
        <f>'P&amp;L - Inputs'!AQ437</f>
        <v>2534</v>
      </c>
      <c r="S52" s="19">
        <f>'P&amp;L - Inputs'!AR437</f>
        <v>2778</v>
      </c>
      <c r="T52" s="19">
        <f>'P&amp;L - Inputs'!AS437</f>
        <v>2507</v>
      </c>
      <c r="U52" s="19">
        <f>'P&amp;L - Inputs'!AT437</f>
        <v>3493</v>
      </c>
      <c r="V52" s="19">
        <f>'P&amp;L - Inputs'!AU437</f>
        <v>3337</v>
      </c>
      <c r="W52" s="19">
        <f>'P&amp;L - Inputs'!AV437</f>
        <v>3485</v>
      </c>
      <c r="X52" s="19">
        <f>'P&amp;L - Inputs'!AW437</f>
        <v>3181</v>
      </c>
      <c r="Y52" s="19">
        <f>'P&amp;L - Inputs'!AX437</f>
        <v>4062</v>
      </c>
      <c r="Z52" s="19">
        <f>'P&amp;L - Inputs'!AY437</f>
        <v>4193</v>
      </c>
      <c r="AA52" s="19">
        <f>'P&amp;L - Inputs'!AZ437</f>
        <v>4333</v>
      </c>
      <c r="AB52" s="19">
        <f>'P&amp;L - Inputs'!BA437</f>
        <v>5144</v>
      </c>
      <c r="AC52" s="19">
        <f>'P&amp;L - Inputs'!BB437</f>
        <v>5144</v>
      </c>
      <c r="AD52" s="19">
        <f>'P&amp;L - Inputs'!BC437</f>
        <v>5382</v>
      </c>
      <c r="AE52" s="19">
        <f>'P&amp;L - Inputs'!BD437</f>
        <v>5218</v>
      </c>
      <c r="AF52" s="19">
        <f>'P&amp;L - Inputs'!BE437</f>
        <v>5535</v>
      </c>
      <c r="AG52" s="19">
        <f>'P&amp;L - Inputs'!BF437</f>
        <v>5356</v>
      </c>
      <c r="AH52" s="19">
        <f>'P&amp;L - Inputs'!BG437</f>
        <v>5655</v>
      </c>
      <c r="AI52" s="19">
        <f>'P&amp;L - Inputs'!BH437</f>
        <v>5655</v>
      </c>
      <c r="AJ52" s="19">
        <f>'P&amp;L - Inputs'!BI437</f>
        <v>5767</v>
      </c>
      <c r="AK52" s="19">
        <f>'P&amp;L - Inputs'!BJ437</f>
        <v>6399</v>
      </c>
      <c r="AL52" s="19">
        <f>'P&amp;L - Inputs'!BK437</f>
        <v>6161</v>
      </c>
      <c r="AM52" s="19">
        <f>'P&amp;L - Inputs'!BL437</f>
        <v>6127</v>
      </c>
      <c r="AN52" s="19">
        <f>'P&amp;L - Inputs'!BM437</f>
        <v>6755</v>
      </c>
      <c r="AO52" s="19">
        <f>'P&amp;L - Inputs'!BN437</f>
        <v>6654</v>
      </c>
      <c r="AP52" s="19">
        <f>'P&amp;L - Inputs'!BO437</f>
        <v>6016</v>
      </c>
      <c r="AQ52" s="19">
        <f>'P&amp;L - Inputs'!BP437</f>
        <v>6108</v>
      </c>
      <c r="AR52" s="19">
        <f>'P&amp;L - Inputs'!BQ437</f>
        <v>6108</v>
      </c>
      <c r="AS52" s="19">
        <f>'P&amp;L - Inputs'!BR437</f>
        <v>5056</v>
      </c>
      <c r="AT52" s="19">
        <f>'P&amp;L - Inputs'!BS437</f>
        <v>5056</v>
      </c>
      <c r="AU52" s="19">
        <f>'P&amp;L - Inputs'!BT437</f>
        <v>4727</v>
      </c>
      <c r="AV52" s="19">
        <f>'P&amp;L - Inputs'!BU437</f>
        <v>4727</v>
      </c>
      <c r="AW52" s="19">
        <f>'P&amp;L - Inputs'!BV437</f>
        <v>5680</v>
      </c>
      <c r="AX52" s="19">
        <f>'P&amp;L - Inputs'!BW437</f>
        <v>5846</v>
      </c>
      <c r="AY52" s="19">
        <f>'P&amp;L - Inputs'!BX437</f>
        <v>5937</v>
      </c>
      <c r="AZ52" s="19">
        <f>'P&amp;L - Inputs'!BY437</f>
        <v>6152</v>
      </c>
      <c r="BA52" s="19">
        <f>'P&amp;L - Inputs'!BZ437</f>
        <v>6020</v>
      </c>
      <c r="BB52" s="19">
        <f>'P&amp;L - Inputs'!CA437</f>
        <v>5632</v>
      </c>
      <c r="BC52" s="19">
        <f>'P&amp;L - Inputs'!CB437</f>
        <v>5494</v>
      </c>
      <c r="BD52" s="19">
        <f>'P&amp;L - Inputs'!CC437</f>
        <v>5200</v>
      </c>
      <c r="BE52" s="19">
        <f>'P&amp;L - Inputs'!CD437</f>
        <v>5200</v>
      </c>
      <c r="BF52" s="19">
        <f>'P&amp;L - Inputs'!CE437</f>
        <v>5756</v>
      </c>
      <c r="BG52" s="19">
        <f>'P&amp;L - Inputs'!CF437</f>
        <v>5064</v>
      </c>
      <c r="BH52" s="19">
        <f>'P&amp;L - Inputs'!CG437</f>
        <v>6200</v>
      </c>
      <c r="BI52" s="19">
        <f>'P&amp;L - Inputs'!CH437</f>
        <v>5983</v>
      </c>
      <c r="BJ52" s="19">
        <f>'P&amp;L - Inputs'!CI437</f>
        <v>6182</v>
      </c>
      <c r="BK52" s="19">
        <f>'P&amp;L - Inputs'!CJ437</f>
        <v>5870</v>
      </c>
      <c r="BL52" s="19">
        <f>'P&amp;L - Inputs'!CK437</f>
        <v>6286</v>
      </c>
      <c r="BM52" s="19">
        <f>'P&amp;L - Inputs'!CL437</f>
        <v>6550</v>
      </c>
      <c r="BN52" s="19">
        <f>'P&amp;L - Inputs'!CM437</f>
        <v>6485</v>
      </c>
      <c r="BO52" s="19">
        <f>'P&amp;L - Inputs'!CN437</f>
        <v>6445</v>
      </c>
      <c r="BP52" s="19">
        <f>'P&amp;L - Inputs'!CO437</f>
        <v>6652</v>
      </c>
      <c r="BQ52" s="19">
        <f>'P&amp;L - Inputs'!CP437</f>
        <v>7592</v>
      </c>
      <c r="BR52" s="19">
        <f>'P&amp;L - Inputs'!CQ437</f>
        <v>8007</v>
      </c>
      <c r="BS52" s="19">
        <f>'P&amp;L - Inputs'!CR437</f>
        <v>7062</v>
      </c>
      <c r="BT52" s="19">
        <f>'P&amp;L - Inputs'!CS437</f>
        <v>10010</v>
      </c>
      <c r="BU52" s="19">
        <f>'P&amp;L - Inputs'!CT437</f>
        <v>10010</v>
      </c>
      <c r="BV52" s="19">
        <f>'P&amp;L - Inputs'!CU437</f>
        <v>10010</v>
      </c>
      <c r="BW52" s="19">
        <f>'P&amp;L - Inputs'!CV437</f>
        <v>10010</v>
      </c>
      <c r="BX52" s="19">
        <f>'P&amp;L - Inputs'!CW437</f>
        <v>10010</v>
      </c>
      <c r="BY52" s="19">
        <f>'P&amp;L - Inputs'!CX437</f>
        <v>10010</v>
      </c>
      <c r="BZ52" s="19">
        <f>'P&amp;L - Inputs'!CY437</f>
        <v>10010</v>
      </c>
      <c r="CA52" s="19">
        <f>'P&amp;L - Inputs'!CZ437</f>
        <v>10010</v>
      </c>
      <c r="CB52" s="19">
        <f>'P&amp;L - Inputs'!DA437</f>
        <v>10010</v>
      </c>
      <c r="CC52" s="19">
        <f>'P&amp;L - Inputs'!DB437</f>
        <v>10010</v>
      </c>
      <c r="CD52" s="19">
        <f>'P&amp;L - Inputs'!DC437</f>
        <v>10010</v>
      </c>
      <c r="CE52" s="19">
        <f>'P&amp;L - Inputs'!DD437</f>
        <v>10010</v>
      </c>
      <c r="CF52" s="19">
        <f>'P&amp;L - Inputs'!DE437</f>
        <v>10010</v>
      </c>
      <c r="CG52" s="19">
        <f>'P&amp;L - Inputs'!DF437</f>
        <v>10010</v>
      </c>
      <c r="CH52" s="19">
        <f>'P&amp;L - Inputs'!DG437</f>
        <v>10010</v>
      </c>
      <c r="CI52" s="19">
        <f>'P&amp;L - Inputs'!DH437</f>
        <v>10010</v>
      </c>
      <c r="CJ52" s="19">
        <f>'P&amp;L - Inputs'!DI437</f>
        <v>10010</v>
      </c>
      <c r="CK52" s="19">
        <f>'P&amp;L - Inputs'!DJ437</f>
        <v>10010</v>
      </c>
      <c r="CL52" s="19">
        <f>'P&amp;L - Inputs'!DK437</f>
        <v>10010</v>
      </c>
      <c r="CM52" s="19">
        <f>'P&amp;L - Inputs'!DL437</f>
        <v>10010</v>
      </c>
      <c r="CN52" s="19">
        <f>'P&amp;L - Inputs'!DM437</f>
        <v>10010</v>
      </c>
      <c r="CO52" s="19">
        <f>'P&amp;L - Inputs'!DN437</f>
        <v>10010</v>
      </c>
      <c r="CP52" s="19">
        <f>'P&amp;L - Inputs'!DO437</f>
        <v>10010</v>
      </c>
      <c r="CQ52" s="19">
        <f>'P&amp;L - Inputs'!DP437</f>
        <v>10010</v>
      </c>
      <c r="CR52" s="19">
        <f>'P&amp;L - Inputs'!DQ437</f>
        <v>10010</v>
      </c>
      <c r="CS52" s="19">
        <f>'P&amp;L - Inputs'!DR437</f>
        <v>10010</v>
      </c>
      <c r="CT52" s="19">
        <f>'P&amp;L - Inputs'!DS437</f>
        <v>10010</v>
      </c>
      <c r="CU52" s="19">
        <f>'P&amp;L - Inputs'!DT437</f>
        <v>10010</v>
      </c>
      <c r="CV52" s="19">
        <f>'P&amp;L - Inputs'!DU437</f>
        <v>10010</v>
      </c>
      <c r="CW52" s="19">
        <f>'P&amp;L - Inputs'!DV437</f>
        <v>10010</v>
      </c>
      <c r="CX52" s="19">
        <f>'P&amp;L - Inputs'!DW437</f>
        <v>10010</v>
      </c>
      <c r="CY52" s="19">
        <f>'P&amp;L - Inputs'!DX437</f>
        <v>10010</v>
      </c>
      <c r="CZ52" s="19">
        <f>'P&amp;L - Inputs'!DY437</f>
        <v>10010</v>
      </c>
      <c r="DA52" s="19">
        <f>'P&amp;L - Inputs'!DZ437</f>
        <v>10010</v>
      </c>
      <c r="DB52" s="19">
        <f>'P&amp;L - Inputs'!EA437</f>
        <v>10010</v>
      </c>
      <c r="DC52" s="19">
        <f>'P&amp;L - Inputs'!EB437</f>
        <v>10010</v>
      </c>
      <c r="DD52" s="19">
        <f>'P&amp;L - Inputs'!EC437</f>
        <v>10010</v>
      </c>
      <c r="DF52" s="19">
        <f t="shared" si="52"/>
        <v>18687</v>
      </c>
      <c r="DG52" s="19">
        <f t="shared" si="53"/>
        <v>19425</v>
      </c>
      <c r="DH52" s="19">
        <f t="shared" si="54"/>
        <v>17272</v>
      </c>
      <c r="DI52" s="19">
        <f t="shared" si="55"/>
        <v>14510</v>
      </c>
      <c r="DJ52" s="19">
        <f t="shared" si="56"/>
        <v>17463</v>
      </c>
      <c r="DK52" s="19">
        <f t="shared" si="57"/>
        <v>17804</v>
      </c>
      <c r="DL52" s="19">
        <f t="shared" si="58"/>
        <v>15894</v>
      </c>
      <c r="DM52" s="19">
        <f t="shared" si="59"/>
        <v>17020</v>
      </c>
      <c r="DN52" s="19">
        <f t="shared" si="60"/>
        <v>18035</v>
      </c>
      <c r="DO52" s="19">
        <f t="shared" si="61"/>
        <v>19321</v>
      </c>
      <c r="DP52" s="19">
        <f t="shared" si="62"/>
        <v>20689</v>
      </c>
      <c r="DQ52" s="19">
        <f t="shared" si="63"/>
        <v>25079</v>
      </c>
      <c r="DR52" s="19">
        <f t="shared" si="64"/>
        <v>30030</v>
      </c>
      <c r="DS52" s="19">
        <f t="shared" si="65"/>
        <v>30030</v>
      </c>
      <c r="DT52" s="19">
        <f t="shared" si="66"/>
        <v>30030</v>
      </c>
      <c r="DU52" s="19">
        <f t="shared" si="67"/>
        <v>30030</v>
      </c>
      <c r="DV52" s="19">
        <f t="shared" si="68"/>
        <v>30030</v>
      </c>
      <c r="DW52" s="19">
        <f t="shared" si="69"/>
        <v>30030</v>
      </c>
      <c r="DX52" s="19">
        <f t="shared" si="70"/>
        <v>30030</v>
      </c>
      <c r="DY52" s="19">
        <f t="shared" si="71"/>
        <v>30030</v>
      </c>
      <c r="DZ52" s="19">
        <f t="shared" si="23"/>
        <v>30030</v>
      </c>
      <c r="EA52" s="19">
        <f t="shared" si="24"/>
        <v>30030</v>
      </c>
      <c r="EB52" s="19">
        <f t="shared" si="25"/>
        <v>30030</v>
      </c>
      <c r="EC52" s="19">
        <f t="shared" si="26"/>
        <v>30030</v>
      </c>
      <c r="EE52" s="19">
        <f t="shared" si="172"/>
        <v>69894</v>
      </c>
      <c r="EF52" s="19">
        <f t="shared" si="173"/>
        <v>68181</v>
      </c>
      <c r="EG52" s="19">
        <f t="shared" si="174"/>
        <v>83124</v>
      </c>
      <c r="EH52" s="19">
        <f t="shared" si="175"/>
        <v>120120</v>
      </c>
      <c r="EI52" s="19">
        <f t="shared" si="176"/>
        <v>120120</v>
      </c>
      <c r="EJ52" s="770">
        <f t="shared" si="27"/>
        <v>120120</v>
      </c>
    </row>
    <row r="53" spans="2:140" x14ac:dyDescent="0.2">
      <c r="B53" s="173" t="s">
        <v>140</v>
      </c>
      <c r="C53" s="19">
        <f>'P&amp;L - Inputs'!AB438</f>
        <v>195</v>
      </c>
      <c r="D53" s="19">
        <f>'P&amp;L - Inputs'!AC438</f>
        <v>170</v>
      </c>
      <c r="E53" s="19">
        <f>'P&amp;L - Inputs'!AD438</f>
        <v>288</v>
      </c>
      <c r="F53" s="19">
        <f>'P&amp;L - Inputs'!AE438</f>
        <v>434</v>
      </c>
      <c r="G53" s="19">
        <f>'P&amp;L - Inputs'!AF438</f>
        <v>493</v>
      </c>
      <c r="H53" s="19">
        <f>'P&amp;L - Inputs'!AG438</f>
        <v>435</v>
      </c>
      <c r="I53" s="19">
        <f>'P&amp;L - Inputs'!AH438</f>
        <v>447</v>
      </c>
      <c r="J53" s="19">
        <f>'P&amp;L - Inputs'!AI438</f>
        <v>479</v>
      </c>
      <c r="K53" s="19">
        <f>'P&amp;L - Inputs'!AJ438</f>
        <v>919</v>
      </c>
      <c r="L53" s="19">
        <f>'P&amp;L - Inputs'!AK438</f>
        <v>878</v>
      </c>
      <c r="M53" s="19">
        <f>'P&amp;L - Inputs'!AL438</f>
        <v>514</v>
      </c>
      <c r="N53" s="19">
        <f>'P&amp;L - Inputs'!AM438</f>
        <v>8</v>
      </c>
      <c r="O53" s="19">
        <f>'P&amp;L - Inputs'!AN438</f>
        <v>546</v>
      </c>
      <c r="P53" s="19">
        <f>'P&amp;L - Inputs'!AO438</f>
        <v>889</v>
      </c>
      <c r="Q53" s="19">
        <f>'P&amp;L - Inputs'!AP438</f>
        <v>2482</v>
      </c>
      <c r="R53" s="19">
        <f>'P&amp;L - Inputs'!AQ438</f>
        <v>2913</v>
      </c>
      <c r="S53" s="19">
        <f>'P&amp;L - Inputs'!AR438</f>
        <v>2969</v>
      </c>
      <c r="T53" s="19">
        <f>'P&amp;L - Inputs'!AS438</f>
        <v>3268</v>
      </c>
      <c r="U53" s="19">
        <f>'P&amp;L - Inputs'!AT438</f>
        <v>4200</v>
      </c>
      <c r="V53" s="19">
        <f>'P&amp;L - Inputs'!AU438</f>
        <v>4160</v>
      </c>
      <c r="W53" s="19">
        <f>'P&amp;L - Inputs'!AV438</f>
        <v>3890</v>
      </c>
      <c r="X53" s="19">
        <f>'P&amp;L - Inputs'!AW438</f>
        <v>4956</v>
      </c>
      <c r="Y53" s="19">
        <f>'P&amp;L - Inputs'!AX438</f>
        <v>4407</v>
      </c>
      <c r="Z53" s="19">
        <f>'P&amp;L - Inputs'!AY438</f>
        <v>4176</v>
      </c>
      <c r="AA53" s="19">
        <f>'P&amp;L - Inputs'!AZ438</f>
        <v>4637</v>
      </c>
      <c r="AB53" s="19">
        <f>'P&amp;L - Inputs'!BA438</f>
        <v>5245</v>
      </c>
      <c r="AC53" s="19">
        <f>'P&amp;L - Inputs'!BB438</f>
        <v>6017</v>
      </c>
      <c r="AD53" s="19">
        <f>'P&amp;L - Inputs'!BC438</f>
        <v>6086</v>
      </c>
      <c r="AE53" s="19">
        <f>'P&amp;L - Inputs'!BD438</f>
        <v>6025</v>
      </c>
      <c r="AF53" s="19">
        <f>'P&amp;L - Inputs'!BE438</f>
        <v>4937</v>
      </c>
      <c r="AG53" s="19">
        <f>'P&amp;L - Inputs'!BF438</f>
        <v>5207</v>
      </c>
      <c r="AH53" s="19">
        <f>'P&amp;L - Inputs'!BG438</f>
        <v>6658</v>
      </c>
      <c r="AI53" s="19">
        <f>'P&amp;L - Inputs'!BH438</f>
        <v>7184</v>
      </c>
      <c r="AJ53" s="19">
        <f>'P&amp;L - Inputs'!BI438</f>
        <v>7363</v>
      </c>
      <c r="AK53" s="19">
        <f>'P&amp;L - Inputs'!BJ438</f>
        <v>8063</v>
      </c>
      <c r="AL53" s="19">
        <f>'P&amp;L - Inputs'!BK438</f>
        <v>8251</v>
      </c>
      <c r="AM53" s="19">
        <f>'P&amp;L - Inputs'!BL438</f>
        <v>8187</v>
      </c>
      <c r="AN53" s="19">
        <f>'P&amp;L - Inputs'!BM438</f>
        <v>8478</v>
      </c>
      <c r="AO53" s="19">
        <f>'P&amp;L - Inputs'!BN438</f>
        <v>13340</v>
      </c>
      <c r="AP53" s="19">
        <f>'P&amp;L - Inputs'!BO438</f>
        <v>12265</v>
      </c>
      <c r="AQ53" s="19">
        <f>'P&amp;L - Inputs'!BP438</f>
        <v>15421</v>
      </c>
      <c r="AR53" s="19">
        <f>'P&amp;L - Inputs'!BQ438</f>
        <v>10285</v>
      </c>
      <c r="AS53" s="19">
        <f>'P&amp;L - Inputs'!BR438</f>
        <v>8708</v>
      </c>
      <c r="AT53" s="19">
        <f>'P&amp;L - Inputs'!BS438</f>
        <v>8302</v>
      </c>
      <c r="AU53" s="19">
        <f>'P&amp;L - Inputs'!BT438</f>
        <v>8133</v>
      </c>
      <c r="AV53" s="19">
        <f>'P&amp;L - Inputs'!BU438</f>
        <v>25036</v>
      </c>
      <c r="AW53" s="19">
        <f>'P&amp;L - Inputs'!BV438</f>
        <v>9279</v>
      </c>
      <c r="AX53" s="19">
        <f>'P&amp;L - Inputs'!BW438</f>
        <v>9358</v>
      </c>
      <c r="AY53" s="19">
        <f>'P&amp;L - Inputs'!BX438</f>
        <v>9815</v>
      </c>
      <c r="AZ53" s="19">
        <f>'P&amp;L - Inputs'!BY438</f>
        <v>10850</v>
      </c>
      <c r="BA53" s="19">
        <f>'P&amp;L - Inputs'!BZ438</f>
        <v>11435</v>
      </c>
      <c r="BB53" s="19">
        <f>'P&amp;L - Inputs'!CA438</f>
        <v>9443</v>
      </c>
      <c r="BC53" s="19">
        <f>'P&amp;L - Inputs'!CB438</f>
        <v>12963</v>
      </c>
      <c r="BD53" s="19">
        <f>'P&amp;L - Inputs'!CC438</f>
        <v>10730</v>
      </c>
      <c r="BE53" s="19">
        <f>'P&amp;L - Inputs'!CD438</f>
        <v>10730</v>
      </c>
      <c r="BF53" s="19">
        <f>'P&amp;L - Inputs'!CE438</f>
        <v>12497</v>
      </c>
      <c r="BG53" s="19">
        <f>'P&amp;L - Inputs'!CF438</f>
        <v>11683</v>
      </c>
      <c r="BH53" s="19">
        <f>'P&amp;L - Inputs'!CG438</f>
        <v>13094</v>
      </c>
      <c r="BI53" s="19">
        <f>'P&amp;L - Inputs'!CH438</f>
        <v>13511</v>
      </c>
      <c r="BJ53" s="19">
        <f>'P&amp;L - Inputs'!CI438</f>
        <v>12482</v>
      </c>
      <c r="BK53" s="19">
        <f>'P&amp;L - Inputs'!CJ438</f>
        <v>9542</v>
      </c>
      <c r="BL53" s="19">
        <f>'P&amp;L - Inputs'!CK438</f>
        <v>11521</v>
      </c>
      <c r="BM53" s="19">
        <f>'P&amp;L - Inputs'!CL438</f>
        <v>11164</v>
      </c>
      <c r="BN53" s="19">
        <f>'P&amp;L - Inputs'!CM438</f>
        <v>11423</v>
      </c>
      <c r="BO53" s="19">
        <f>'P&amp;L - Inputs'!CN438</f>
        <v>15235</v>
      </c>
      <c r="BP53" s="19">
        <f>'P&amp;L - Inputs'!CO438</f>
        <v>13760</v>
      </c>
      <c r="BQ53" s="19">
        <f>'P&amp;L - Inputs'!CP438</f>
        <v>21912</v>
      </c>
      <c r="BR53" s="19">
        <f>'P&amp;L - Inputs'!CQ438</f>
        <v>15892</v>
      </c>
      <c r="BS53" s="19">
        <f>'P&amp;L - Inputs'!CR438</f>
        <v>14750</v>
      </c>
      <c r="BT53" s="19">
        <f>'P&amp;L - Inputs'!CS438</f>
        <v>17639</v>
      </c>
      <c r="BU53" s="19">
        <f>'P&amp;L - Inputs'!CT438</f>
        <v>17639</v>
      </c>
      <c r="BV53" s="19">
        <f>'P&amp;L - Inputs'!CU438</f>
        <v>17639</v>
      </c>
      <c r="BW53" s="19">
        <f>'P&amp;L - Inputs'!CV438</f>
        <v>17639</v>
      </c>
      <c r="BX53" s="19">
        <f>'P&amp;L - Inputs'!CW438</f>
        <v>17639</v>
      </c>
      <c r="BY53" s="19">
        <f>'P&amp;L - Inputs'!CX438</f>
        <v>17639</v>
      </c>
      <c r="BZ53" s="19">
        <f>'P&amp;L - Inputs'!CY438</f>
        <v>17639</v>
      </c>
      <c r="CA53" s="19">
        <f>'P&amp;L - Inputs'!CZ438</f>
        <v>17639</v>
      </c>
      <c r="CB53" s="19">
        <f>'P&amp;L - Inputs'!DA438</f>
        <v>17639</v>
      </c>
      <c r="CC53" s="19">
        <f>'P&amp;L - Inputs'!DB438</f>
        <v>17639</v>
      </c>
      <c r="CD53" s="19">
        <f>'P&amp;L - Inputs'!DC438</f>
        <v>17639</v>
      </c>
      <c r="CE53" s="19">
        <f>'P&amp;L - Inputs'!DD438</f>
        <v>17639</v>
      </c>
      <c r="CF53" s="19">
        <f>'P&amp;L - Inputs'!DE438</f>
        <v>17639</v>
      </c>
      <c r="CG53" s="19">
        <f>'P&amp;L - Inputs'!DF438</f>
        <v>17639</v>
      </c>
      <c r="CH53" s="19">
        <f>'P&amp;L - Inputs'!DG438</f>
        <v>17639</v>
      </c>
      <c r="CI53" s="19">
        <f>'P&amp;L - Inputs'!DH438</f>
        <v>17639</v>
      </c>
      <c r="CJ53" s="19">
        <f>'P&amp;L - Inputs'!DI438</f>
        <v>17639</v>
      </c>
      <c r="CK53" s="19">
        <f>'P&amp;L - Inputs'!DJ438</f>
        <v>17639</v>
      </c>
      <c r="CL53" s="19">
        <f>'P&amp;L - Inputs'!DK438</f>
        <v>17639</v>
      </c>
      <c r="CM53" s="19">
        <f>'P&amp;L - Inputs'!DL438</f>
        <v>17639</v>
      </c>
      <c r="CN53" s="19">
        <f>'P&amp;L - Inputs'!DM438</f>
        <v>17639</v>
      </c>
      <c r="CO53" s="19">
        <f>'P&amp;L - Inputs'!DN438</f>
        <v>17639</v>
      </c>
      <c r="CP53" s="19">
        <f>'P&amp;L - Inputs'!DO438</f>
        <v>17639</v>
      </c>
      <c r="CQ53" s="19">
        <f>'P&amp;L - Inputs'!DP438</f>
        <v>17639</v>
      </c>
      <c r="CR53" s="19">
        <f>'P&amp;L - Inputs'!DQ438</f>
        <v>17639</v>
      </c>
      <c r="CS53" s="19">
        <f>'P&amp;L - Inputs'!DR438</f>
        <v>17639</v>
      </c>
      <c r="CT53" s="19">
        <f>'P&amp;L - Inputs'!DS438</f>
        <v>17639</v>
      </c>
      <c r="CU53" s="19">
        <f>'P&amp;L - Inputs'!DT438</f>
        <v>17639</v>
      </c>
      <c r="CV53" s="19">
        <f>'P&amp;L - Inputs'!DU438</f>
        <v>17639</v>
      </c>
      <c r="CW53" s="19">
        <f>'P&amp;L - Inputs'!DV438</f>
        <v>17639</v>
      </c>
      <c r="CX53" s="19">
        <f>'P&amp;L - Inputs'!DW438</f>
        <v>17639</v>
      </c>
      <c r="CY53" s="19">
        <f>'P&amp;L - Inputs'!DX438</f>
        <v>17639</v>
      </c>
      <c r="CZ53" s="19">
        <f>'P&amp;L - Inputs'!DY438</f>
        <v>17639</v>
      </c>
      <c r="DA53" s="19">
        <f>'P&amp;L - Inputs'!DZ438</f>
        <v>17639</v>
      </c>
      <c r="DB53" s="19">
        <f>'P&amp;L - Inputs'!EA438</f>
        <v>17639</v>
      </c>
      <c r="DC53" s="19">
        <f>'P&amp;L - Inputs'!EB438</f>
        <v>17639</v>
      </c>
      <c r="DD53" s="19">
        <f>'P&amp;L - Inputs'!EC438</f>
        <v>17639</v>
      </c>
      <c r="DF53" s="19">
        <f t="shared" si="52"/>
        <v>24501</v>
      </c>
      <c r="DG53" s="19">
        <f t="shared" si="53"/>
        <v>34083</v>
      </c>
      <c r="DH53" s="19">
        <f t="shared" si="54"/>
        <v>34414</v>
      </c>
      <c r="DI53" s="19">
        <f t="shared" si="55"/>
        <v>41471</v>
      </c>
      <c r="DJ53" s="19">
        <f t="shared" si="56"/>
        <v>28452</v>
      </c>
      <c r="DK53" s="19">
        <f t="shared" si="57"/>
        <v>31728</v>
      </c>
      <c r="DL53" s="19">
        <f t="shared" si="58"/>
        <v>34423</v>
      </c>
      <c r="DM53" s="19">
        <f t="shared" si="59"/>
        <v>37274</v>
      </c>
      <c r="DN53" s="19">
        <f t="shared" si="60"/>
        <v>35535</v>
      </c>
      <c r="DO53" s="19">
        <f t="shared" si="61"/>
        <v>34108</v>
      </c>
      <c r="DP53" s="19">
        <f t="shared" si="62"/>
        <v>50907</v>
      </c>
      <c r="DQ53" s="19">
        <f t="shared" si="63"/>
        <v>48281</v>
      </c>
      <c r="DR53" s="19">
        <f t="shared" si="64"/>
        <v>52917</v>
      </c>
      <c r="DS53" s="19">
        <f t="shared" si="65"/>
        <v>52917</v>
      </c>
      <c r="DT53" s="19">
        <f t="shared" si="66"/>
        <v>52917</v>
      </c>
      <c r="DU53" s="19">
        <f t="shared" si="67"/>
        <v>52917</v>
      </c>
      <c r="DV53" s="19">
        <f t="shared" si="68"/>
        <v>52917</v>
      </c>
      <c r="DW53" s="19">
        <f t="shared" si="69"/>
        <v>52917</v>
      </c>
      <c r="DX53" s="19">
        <f t="shared" si="70"/>
        <v>52917</v>
      </c>
      <c r="DY53" s="19">
        <f t="shared" si="71"/>
        <v>52917</v>
      </c>
      <c r="DZ53" s="19">
        <f t="shared" si="23"/>
        <v>52917</v>
      </c>
      <c r="EA53" s="19">
        <f t="shared" si="24"/>
        <v>52917</v>
      </c>
      <c r="EB53" s="19">
        <f t="shared" si="25"/>
        <v>52917</v>
      </c>
      <c r="EC53" s="19">
        <f t="shared" si="26"/>
        <v>52917</v>
      </c>
      <c r="EE53" s="19">
        <f t="shared" si="172"/>
        <v>134469</v>
      </c>
      <c r="EF53" s="19">
        <f t="shared" si="173"/>
        <v>131877</v>
      </c>
      <c r="EG53" s="19">
        <f t="shared" si="174"/>
        <v>168831</v>
      </c>
      <c r="EH53" s="19">
        <f t="shared" si="175"/>
        <v>211668</v>
      </c>
      <c r="EI53" s="19">
        <f t="shared" si="176"/>
        <v>211668</v>
      </c>
      <c r="EJ53" s="770">
        <f t="shared" si="27"/>
        <v>211668</v>
      </c>
    </row>
    <row r="54" spans="2:140" x14ac:dyDescent="0.2">
      <c r="B54" s="21" t="s">
        <v>218</v>
      </c>
      <c r="C54" s="158">
        <f>C33/C49</f>
        <v>13725.113573407201</v>
      </c>
      <c r="D54" s="158">
        <f t="shared" ref="D54:BO54" si="181">D33/D49</f>
        <v>14735.200729927008</v>
      </c>
      <c r="E54" s="158">
        <f t="shared" si="181"/>
        <v>12516.498984881209</v>
      </c>
      <c r="F54" s="158">
        <f t="shared" si="181"/>
        <v>11273.231688311689</v>
      </c>
      <c r="G54" s="158">
        <f t="shared" si="181"/>
        <v>12661.684972602739</v>
      </c>
      <c r="H54" s="158">
        <f t="shared" si="181"/>
        <v>12738.034512510785</v>
      </c>
      <c r="I54" s="158">
        <f t="shared" si="181"/>
        <v>18866.772868605818</v>
      </c>
      <c r="J54" s="158">
        <f t="shared" si="181"/>
        <v>19699.913116089614</v>
      </c>
      <c r="K54" s="158">
        <f t="shared" si="181"/>
        <v>17165.960382136276</v>
      </c>
      <c r="L54" s="158">
        <f t="shared" si="181"/>
        <v>14016.79009793992</v>
      </c>
      <c r="M54" s="158">
        <f t="shared" si="181"/>
        <v>14538.623700738926</v>
      </c>
      <c r="N54" s="158">
        <f t="shared" si="181"/>
        <v>13614.145833333338</v>
      </c>
      <c r="O54" s="158">
        <f t="shared" si="181"/>
        <v>13369.060881834206</v>
      </c>
      <c r="P54" s="158">
        <f t="shared" si="181"/>
        <v>13095.671603881325</v>
      </c>
      <c r="Q54" s="158">
        <f t="shared" si="181"/>
        <v>13282.459453744554</v>
      </c>
      <c r="R54" s="158">
        <f t="shared" si="181"/>
        <v>12554.937371463384</v>
      </c>
      <c r="S54" s="158">
        <f t="shared" si="181"/>
        <v>14361.107580071268</v>
      </c>
      <c r="T54" s="158">
        <f t="shared" si="181"/>
        <v>15415.849789345726</v>
      </c>
      <c r="U54" s="158">
        <f t="shared" si="181"/>
        <v>14827.931621666028</v>
      </c>
      <c r="V54" s="158">
        <f t="shared" si="181"/>
        <v>14743.030233723239</v>
      </c>
      <c r="W54" s="158">
        <f t="shared" si="181"/>
        <v>15761.938287962661</v>
      </c>
      <c r="X54" s="158">
        <f t="shared" si="181"/>
        <v>16233.981258594173</v>
      </c>
      <c r="Y54" s="158">
        <f t="shared" si="181"/>
        <v>16307.110495810562</v>
      </c>
      <c r="Z54" s="158">
        <f t="shared" si="181"/>
        <v>14773.584483019473</v>
      </c>
      <c r="AA54" s="158">
        <f t="shared" si="181"/>
        <v>17286.580235135247</v>
      </c>
      <c r="AB54" s="158">
        <f t="shared" si="181"/>
        <v>15908.374667620314</v>
      </c>
      <c r="AC54" s="158">
        <f t="shared" si="181"/>
        <v>15498.281654120379</v>
      </c>
      <c r="AD54" s="158">
        <f t="shared" si="181"/>
        <v>14637.579314372753</v>
      </c>
      <c r="AE54" s="158">
        <f t="shared" si="181"/>
        <v>16198.069598409111</v>
      </c>
      <c r="AF54" s="158">
        <f t="shared" si="181"/>
        <v>17355.434959482816</v>
      </c>
      <c r="AG54" s="158">
        <f t="shared" si="181"/>
        <v>18942.256928963008</v>
      </c>
      <c r="AH54" s="158">
        <f t="shared" si="181"/>
        <v>19960.574736612114</v>
      </c>
      <c r="AI54" s="158">
        <f t="shared" si="181"/>
        <v>21649.552553212226</v>
      </c>
      <c r="AJ54" s="158">
        <f t="shared" si="181"/>
        <v>23796.606234541025</v>
      </c>
      <c r="AK54" s="158">
        <f t="shared" si="181"/>
        <v>25100.681487285063</v>
      </c>
      <c r="AL54" s="158">
        <f t="shared" si="181"/>
        <v>23965.457510381362</v>
      </c>
      <c r="AM54" s="158">
        <f t="shared" si="181"/>
        <v>23503.256510560255</v>
      </c>
      <c r="AN54" s="158">
        <f t="shared" si="181"/>
        <v>22911.509122322033</v>
      </c>
      <c r="AO54" s="158">
        <f t="shared" si="181"/>
        <v>22491.193167297595</v>
      </c>
      <c r="AP54" s="158">
        <f t="shared" si="181"/>
        <v>22542.501686853047</v>
      </c>
      <c r="AQ54" s="158">
        <f t="shared" si="181"/>
        <v>26754.260025625019</v>
      </c>
      <c r="AR54" s="158">
        <f t="shared" si="181"/>
        <v>25884.495091879788</v>
      </c>
      <c r="AS54" s="158">
        <f t="shared" si="181"/>
        <v>25242.196504079231</v>
      </c>
      <c r="AT54" s="158">
        <f t="shared" si="181"/>
        <v>25263.980473330565</v>
      </c>
      <c r="AU54" s="158">
        <f t="shared" si="181"/>
        <v>26420.395756735357</v>
      </c>
      <c r="AV54" s="158">
        <f t="shared" si="181"/>
        <v>25543.33810753846</v>
      </c>
      <c r="AW54" s="158">
        <f t="shared" si="181"/>
        <v>25220.519015134749</v>
      </c>
      <c r="AX54" s="158">
        <f t="shared" si="181"/>
        <v>26007.791201374333</v>
      </c>
      <c r="AY54" s="158">
        <f t="shared" si="181"/>
        <v>25482.66370084375</v>
      </c>
      <c r="AZ54" s="158">
        <f t="shared" si="181"/>
        <v>25662.53140503593</v>
      </c>
      <c r="BA54" s="158">
        <f t="shared" si="181"/>
        <v>26145.294135207478</v>
      </c>
      <c r="BB54" s="158">
        <f t="shared" si="181"/>
        <v>26011.113775973841</v>
      </c>
      <c r="BC54" s="158">
        <f t="shared" si="181"/>
        <v>29594.259189699442</v>
      </c>
      <c r="BD54" s="158">
        <f t="shared" si="181"/>
        <v>30224.17916161862</v>
      </c>
      <c r="BE54" s="158">
        <f t="shared" si="181"/>
        <v>30451.798024684922</v>
      </c>
      <c r="BF54" s="158">
        <f t="shared" si="181"/>
        <v>31138.933750949225</v>
      </c>
      <c r="BG54" s="158">
        <f t="shared" si="181"/>
        <v>31430.316916368978</v>
      </c>
      <c r="BH54" s="158">
        <f t="shared" si="181"/>
        <v>31503.788793762622</v>
      </c>
      <c r="BI54" s="158">
        <f t="shared" si="181"/>
        <v>31358.974132600801</v>
      </c>
      <c r="BJ54" s="158">
        <f t="shared" si="181"/>
        <v>30198.961469547237</v>
      </c>
      <c r="BK54" s="158">
        <f t="shared" si="181"/>
        <v>30644.037313661272</v>
      </c>
      <c r="BL54" s="158">
        <f t="shared" si="181"/>
        <v>30311.119504079212</v>
      </c>
      <c r="BM54" s="158">
        <f t="shared" si="181"/>
        <v>28958.003680289294</v>
      </c>
      <c r="BN54" s="158">
        <f t="shared" si="181"/>
        <v>29653.870773881292</v>
      </c>
      <c r="BO54" s="158">
        <f t="shared" si="181"/>
        <v>33084.660336282948</v>
      </c>
      <c r="BP54" s="158">
        <f t="shared" ref="BP54:CR54" si="182">BP33/BP49</f>
        <v>32663.444816296094</v>
      </c>
      <c r="BQ54" s="158">
        <f t="shared" si="182"/>
        <v>32375.572594841255</v>
      </c>
      <c r="BR54" s="158">
        <f t="shared" si="182"/>
        <v>32524.309807371381</v>
      </c>
      <c r="BS54" s="158">
        <f t="shared" si="182"/>
        <v>33068.909848613359</v>
      </c>
      <c r="BT54" s="158">
        <f t="shared" si="182"/>
        <v>33065.445812590144</v>
      </c>
      <c r="BU54" s="158">
        <f t="shared" si="182"/>
        <v>32382.346364477369</v>
      </c>
      <c r="BV54" s="158">
        <f t="shared" si="182"/>
        <v>32382.346364477362</v>
      </c>
      <c r="BW54" s="158">
        <f t="shared" si="182"/>
        <v>32382.346364477362</v>
      </c>
      <c r="BX54" s="158">
        <f t="shared" si="182"/>
        <v>32382.346364477376</v>
      </c>
      <c r="BY54" s="158">
        <f t="shared" si="182"/>
        <v>32382.346364477376</v>
      </c>
      <c r="BZ54" s="158">
        <f t="shared" si="182"/>
        <v>32382.34636447738</v>
      </c>
      <c r="CA54" s="158">
        <f t="shared" si="182"/>
        <v>32382.346364477369</v>
      </c>
      <c r="CB54" s="158">
        <f t="shared" si="182"/>
        <v>32382.346364477373</v>
      </c>
      <c r="CC54" s="158">
        <f t="shared" si="182"/>
        <v>32382.346364477373</v>
      </c>
      <c r="CD54" s="158">
        <f t="shared" si="182"/>
        <v>32382.346364477369</v>
      </c>
      <c r="CE54" s="158">
        <f t="shared" si="182"/>
        <v>32382.346364477369</v>
      </c>
      <c r="CF54" s="158">
        <f t="shared" si="182"/>
        <v>32382.346364477366</v>
      </c>
      <c r="CG54" s="158">
        <f t="shared" si="182"/>
        <v>33446.313195830939</v>
      </c>
      <c r="CH54" s="158">
        <f t="shared" si="182"/>
        <v>33446.313195830931</v>
      </c>
      <c r="CI54" s="158">
        <f t="shared" si="182"/>
        <v>33446.313195830931</v>
      </c>
      <c r="CJ54" s="158">
        <f t="shared" si="182"/>
        <v>33446.313195830939</v>
      </c>
      <c r="CK54" s="158">
        <f t="shared" si="182"/>
        <v>33446.313195830931</v>
      </c>
      <c r="CL54" s="158">
        <f t="shared" si="182"/>
        <v>33446.313195830931</v>
      </c>
      <c r="CM54" s="158">
        <f t="shared" si="182"/>
        <v>33446.313195830931</v>
      </c>
      <c r="CN54" s="158">
        <f t="shared" si="182"/>
        <v>33446.313195830931</v>
      </c>
      <c r="CO54" s="158">
        <f t="shared" si="182"/>
        <v>33446.313195830931</v>
      </c>
      <c r="CP54" s="158">
        <f t="shared" si="182"/>
        <v>33446.313195830931</v>
      </c>
      <c r="CQ54" s="158">
        <f t="shared" si="182"/>
        <v>33446.313195830931</v>
      </c>
      <c r="CR54" s="158">
        <f t="shared" si="182"/>
        <v>33446.313195830931</v>
      </c>
      <c r="CS54" s="158">
        <f t="shared" ref="CS54:DD54" si="183">CS33/CS49</f>
        <v>33446.313195830931</v>
      </c>
      <c r="CT54" s="158">
        <f t="shared" si="183"/>
        <v>33446.313195830931</v>
      </c>
      <c r="CU54" s="158">
        <f t="shared" si="183"/>
        <v>33446.313195830931</v>
      </c>
      <c r="CV54" s="158">
        <f t="shared" si="183"/>
        <v>33446.313195830931</v>
      </c>
      <c r="CW54" s="158">
        <f t="shared" si="183"/>
        <v>33446.313195830931</v>
      </c>
      <c r="CX54" s="158">
        <f t="shared" si="183"/>
        <v>33446.313195830924</v>
      </c>
      <c r="CY54" s="158">
        <f t="shared" si="183"/>
        <v>33446.313195830939</v>
      </c>
      <c r="CZ54" s="158">
        <f t="shared" si="183"/>
        <v>33446.313195830931</v>
      </c>
      <c r="DA54" s="158">
        <f t="shared" si="183"/>
        <v>33446.313195830924</v>
      </c>
      <c r="DB54" s="158">
        <f t="shared" si="183"/>
        <v>33446.313195830931</v>
      </c>
      <c r="DC54" s="158">
        <f t="shared" si="183"/>
        <v>33446.313195830931</v>
      </c>
      <c r="DD54" s="158">
        <f t="shared" si="183"/>
        <v>33446.313195830931</v>
      </c>
      <c r="DF54" s="158">
        <f t="shared" si="52"/>
        <v>72569.395508226677</v>
      </c>
      <c r="DG54" s="158">
        <f t="shared" si="53"/>
        <v>67945.20397647268</v>
      </c>
      <c r="DH54" s="158">
        <f t="shared" si="54"/>
        <v>77880.951621584041</v>
      </c>
      <c r="DI54" s="158">
        <f t="shared" si="55"/>
        <v>77227.714337604382</v>
      </c>
      <c r="DJ54" s="158">
        <f t="shared" si="56"/>
        <v>76710.973917352836</v>
      </c>
      <c r="DK54" s="158">
        <f t="shared" si="57"/>
        <v>77818.939316217249</v>
      </c>
      <c r="DL54" s="158">
        <f t="shared" si="58"/>
        <v>90270.236376002984</v>
      </c>
      <c r="DM54" s="158">
        <f t="shared" si="59"/>
        <v>94073.039461080829</v>
      </c>
      <c r="DN54" s="158">
        <f t="shared" si="60"/>
        <v>92201.972915809311</v>
      </c>
      <c r="DO54" s="158">
        <f t="shared" si="61"/>
        <v>88922.993958249805</v>
      </c>
      <c r="DP54" s="158">
        <f t="shared" si="62"/>
        <v>98123.677747420297</v>
      </c>
      <c r="DQ54" s="158">
        <f t="shared" si="63"/>
        <v>98658.66546857488</v>
      </c>
      <c r="DR54" s="158">
        <f t="shared" si="64"/>
        <v>97147.039093432089</v>
      </c>
      <c r="DS54" s="158">
        <f t="shared" si="65"/>
        <v>97147.039093432133</v>
      </c>
      <c r="DT54" s="158">
        <f t="shared" si="66"/>
        <v>97147.039093432119</v>
      </c>
      <c r="DU54" s="158">
        <f t="shared" si="67"/>
        <v>97147.039093432104</v>
      </c>
      <c r="DV54" s="158">
        <f t="shared" si="68"/>
        <v>100338.93958749282</v>
      </c>
      <c r="DW54" s="158">
        <f t="shared" si="69"/>
        <v>100338.93958749282</v>
      </c>
      <c r="DX54" s="158">
        <f t="shared" si="70"/>
        <v>100338.93958749279</v>
      </c>
      <c r="DY54" s="158">
        <f t="shared" si="71"/>
        <v>100338.93958749279</v>
      </c>
      <c r="DZ54" s="158">
        <f t="shared" si="23"/>
        <v>100338.93958749279</v>
      </c>
      <c r="EA54" s="158">
        <f t="shared" si="24"/>
        <v>100338.93958749279</v>
      </c>
      <c r="EB54" s="158">
        <f t="shared" si="25"/>
        <v>100338.9395874928</v>
      </c>
      <c r="EC54" s="158">
        <f t="shared" si="26"/>
        <v>100338.93958749279</v>
      </c>
      <c r="EE54" s="158">
        <f t="shared" si="172"/>
        <v>295623.26544388779</v>
      </c>
      <c r="EF54" s="158">
        <f t="shared" si="173"/>
        <v>338873.18907065387</v>
      </c>
      <c r="EG54" s="158">
        <f t="shared" si="174"/>
        <v>377907.31009005429</v>
      </c>
      <c r="EH54" s="158">
        <f t="shared" si="175"/>
        <v>388588.15637372842</v>
      </c>
      <c r="EI54" s="158">
        <f t="shared" si="176"/>
        <v>401355.75834997121</v>
      </c>
      <c r="EJ54" s="780">
        <f t="shared" si="27"/>
        <v>401355.75834997115</v>
      </c>
    </row>
    <row r="55" spans="2:140" x14ac:dyDescent="0.2">
      <c r="B55" s="21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E55" s="10"/>
      <c r="EF55" s="10"/>
      <c r="EG55" s="10"/>
      <c r="EH55" s="10"/>
      <c r="EI55" s="10"/>
      <c r="EJ55" s="812"/>
    </row>
    <row r="56" spans="2:140" x14ac:dyDescent="0.2">
      <c r="B56" s="196" t="s">
        <v>11</v>
      </c>
      <c r="C56" s="198">
        <f>SUM(C57:C60)</f>
        <v>888152.52503898321</v>
      </c>
      <c r="D56" s="198">
        <f t="shared" ref="D56:BO56" si="184">SUM(D57:D60)</f>
        <v>848998.26764237287</v>
      </c>
      <c r="E56" s="198">
        <f t="shared" si="184"/>
        <v>968637.04489227221</v>
      </c>
      <c r="F56" s="198">
        <f t="shared" si="184"/>
        <v>993545.30463050876</v>
      </c>
      <c r="G56" s="198">
        <f t="shared" si="184"/>
        <v>927420.91627118655</v>
      </c>
      <c r="H56" s="198">
        <f t="shared" si="184"/>
        <v>1155164.2444355933</v>
      </c>
      <c r="I56" s="198">
        <f t="shared" si="184"/>
        <v>1863369.0803389829</v>
      </c>
      <c r="J56" s="198">
        <f t="shared" si="184"/>
        <v>1975272.4591652551</v>
      </c>
      <c r="K56" s="198">
        <f t="shared" si="184"/>
        <v>2027289.6272881362</v>
      </c>
      <c r="L56" s="198">
        <f t="shared" si="184"/>
        <v>2502105.213711868</v>
      </c>
      <c r="M56" s="198">
        <f t="shared" si="184"/>
        <v>1499461.788139032</v>
      </c>
      <c r="N56" s="198">
        <f t="shared" si="184"/>
        <v>32761.38305084746</v>
      </c>
      <c r="O56" s="198">
        <f t="shared" si="184"/>
        <v>1494339.3640192198</v>
      </c>
      <c r="P56" s="198">
        <f t="shared" si="184"/>
        <v>2303413.9515451347</v>
      </c>
      <c r="Q56" s="198">
        <f t="shared" si="184"/>
        <v>2423693.2490906771</v>
      </c>
      <c r="R56" s="198">
        <f t="shared" si="184"/>
        <v>3349477.27938837</v>
      </c>
      <c r="S56" s="198">
        <f t="shared" si="184"/>
        <v>3891610.9269881346</v>
      </c>
      <c r="T56" s="198">
        <f t="shared" si="184"/>
        <v>5385659.9589347402</v>
      </c>
      <c r="U56" s="198">
        <f t="shared" si="184"/>
        <v>6502913.5765486863</v>
      </c>
      <c r="V56" s="198">
        <f t="shared" si="184"/>
        <v>6183202.6852550693</v>
      </c>
      <c r="W56" s="198">
        <f t="shared" si="184"/>
        <v>6745929.2407220406</v>
      </c>
      <c r="X56" s="198">
        <f t="shared" si="184"/>
        <v>7413325.0733044343</v>
      </c>
      <c r="Y56" s="198">
        <f t="shared" si="184"/>
        <v>6596292.4466476431</v>
      </c>
      <c r="Z56" s="198">
        <f t="shared" si="184"/>
        <v>7657682.93268253</v>
      </c>
      <c r="AA56" s="198">
        <f t="shared" si="184"/>
        <v>8912419.4791251086</v>
      </c>
      <c r="AB56" s="198">
        <f t="shared" si="184"/>
        <v>9410266.5861905385</v>
      </c>
      <c r="AC56" s="198">
        <f t="shared" si="184"/>
        <v>9375461.2703593168</v>
      </c>
      <c r="AD56" s="198">
        <f t="shared" si="184"/>
        <v>8618396.1040220652</v>
      </c>
      <c r="AE56" s="198">
        <f t="shared" si="184"/>
        <v>9256480.0817644</v>
      </c>
      <c r="AF56" s="198">
        <f t="shared" si="184"/>
        <v>9496298.3806372955</v>
      </c>
      <c r="AG56" s="198">
        <f t="shared" si="184"/>
        <v>11161744.187459795</v>
      </c>
      <c r="AH56" s="198">
        <f t="shared" si="184"/>
        <v>12171373.710559329</v>
      </c>
      <c r="AI56" s="198">
        <f t="shared" si="184"/>
        <v>12259723.616298351</v>
      </c>
      <c r="AJ56" s="198">
        <f t="shared" si="184"/>
        <v>14577283.198250851</v>
      </c>
      <c r="AK56" s="198">
        <f t="shared" si="184"/>
        <v>15118317.028525339</v>
      </c>
      <c r="AL56" s="198">
        <f t="shared" si="184"/>
        <v>17008041.492915288</v>
      </c>
      <c r="AM56" s="198">
        <f t="shared" si="184"/>
        <v>18161418.909478027</v>
      </c>
      <c r="AN56" s="198">
        <f t="shared" si="184"/>
        <v>16288819.490074512</v>
      </c>
      <c r="AO56" s="198">
        <f t="shared" si="184"/>
        <v>17329059.819762744</v>
      </c>
      <c r="AP56" s="198">
        <f t="shared" si="184"/>
        <v>14332286.679461636</v>
      </c>
      <c r="AQ56" s="198">
        <f t="shared" si="184"/>
        <v>19034022.401574094</v>
      </c>
      <c r="AR56" s="198">
        <f t="shared" si="184"/>
        <v>17591349.382435046</v>
      </c>
      <c r="AS56" s="198">
        <f t="shared" si="184"/>
        <v>15843544.623512549</v>
      </c>
      <c r="AT56" s="198">
        <f t="shared" si="184"/>
        <v>15566640.48926053</v>
      </c>
      <c r="AU56" s="198">
        <f t="shared" si="184"/>
        <v>16476820.221844532</v>
      </c>
      <c r="AV56" s="198">
        <f t="shared" si="184"/>
        <v>19704056.253788359</v>
      </c>
      <c r="AW56" s="198">
        <f t="shared" si="184"/>
        <v>19610842.112265389</v>
      </c>
      <c r="AX56" s="198">
        <f t="shared" si="184"/>
        <v>19547029.130729429</v>
      </c>
      <c r="AY56" s="198">
        <f t="shared" si="184"/>
        <v>20760167.840995714</v>
      </c>
      <c r="AZ56" s="198">
        <f t="shared" si="184"/>
        <v>20025753.756929744</v>
      </c>
      <c r="BA56" s="198">
        <f t="shared" si="184"/>
        <v>17469884.420706972</v>
      </c>
      <c r="BB56" s="198">
        <f t="shared" si="184"/>
        <v>14836749.05975257</v>
      </c>
      <c r="BC56" s="198">
        <f t="shared" si="184"/>
        <v>19780247.29107172</v>
      </c>
      <c r="BD56" s="198">
        <f t="shared" si="184"/>
        <v>18974341.863184527</v>
      </c>
      <c r="BE56" s="198">
        <f t="shared" si="184"/>
        <v>22129213.146051686</v>
      </c>
      <c r="BF56" s="198">
        <f t="shared" si="184"/>
        <v>22312465.377308547</v>
      </c>
      <c r="BG56" s="198">
        <f t="shared" si="184"/>
        <v>20958109.545093831</v>
      </c>
      <c r="BH56" s="198">
        <f t="shared" si="184"/>
        <v>27954232.751413494</v>
      </c>
      <c r="BI56" s="198">
        <f t="shared" si="184"/>
        <v>28502145.987916529</v>
      </c>
      <c r="BJ56" s="198">
        <f t="shared" si="184"/>
        <v>27890314.2234613</v>
      </c>
      <c r="BK56" s="198">
        <f t="shared" si="184"/>
        <v>26944577.815681636</v>
      </c>
      <c r="BL56" s="198">
        <f t="shared" si="184"/>
        <v>29254341.303050846</v>
      </c>
      <c r="BM56" s="198">
        <f t="shared" si="184"/>
        <v>26952099.135932207</v>
      </c>
      <c r="BN56" s="198">
        <f t="shared" si="184"/>
        <v>24642036.90593221</v>
      </c>
      <c r="BO56" s="198">
        <f t="shared" si="184"/>
        <v>32554875.189152531</v>
      </c>
      <c r="BP56" s="198">
        <f t="shared" ref="BP56:CR56" si="185">SUM(BP57:BP60)</f>
        <v>29671928.965762734</v>
      </c>
      <c r="BQ56" s="198">
        <f t="shared" si="185"/>
        <v>36715665.247796625</v>
      </c>
      <c r="BR56" s="198">
        <f t="shared" si="185"/>
        <v>38595488.74067796</v>
      </c>
      <c r="BS56" s="198">
        <f t="shared" si="185"/>
        <v>36695782.659152538</v>
      </c>
      <c r="BT56" s="198">
        <f t="shared" si="185"/>
        <v>44315859.640338995</v>
      </c>
      <c r="BU56" s="198">
        <f t="shared" si="185"/>
        <v>39022613.680257671</v>
      </c>
      <c r="BV56" s="198">
        <f t="shared" si="185"/>
        <v>38214929.36563465</v>
      </c>
      <c r="BW56" s="198">
        <f t="shared" si="185"/>
        <v>38135271.152341507</v>
      </c>
      <c r="BX56" s="198">
        <f t="shared" si="185"/>
        <v>41295370.055133231</v>
      </c>
      <c r="BY56" s="198">
        <f t="shared" si="185"/>
        <v>36895321.598503649</v>
      </c>
      <c r="BZ56" s="198">
        <f t="shared" si="185"/>
        <v>34260687.066302046</v>
      </c>
      <c r="CA56" s="198">
        <f t="shared" si="185"/>
        <v>42749041.30337631</v>
      </c>
      <c r="CB56" s="198">
        <f t="shared" si="185"/>
        <v>39368977.616858244</v>
      </c>
      <c r="CC56" s="198">
        <f t="shared" si="185"/>
        <v>46834226.701702066</v>
      </c>
      <c r="CD56" s="198">
        <f t="shared" si="185"/>
        <v>47984613.791194215</v>
      </c>
      <c r="CE56" s="198">
        <f t="shared" si="185"/>
        <v>44620779.477661923</v>
      </c>
      <c r="CF56" s="198">
        <f t="shared" si="185"/>
        <v>51905668.818226576</v>
      </c>
      <c r="CG56" s="198">
        <f t="shared" si="185"/>
        <v>47719780.83381559</v>
      </c>
      <c r="CH56" s="198">
        <f t="shared" si="185"/>
        <v>46849113.460268028</v>
      </c>
      <c r="CI56" s="198">
        <f t="shared" si="185"/>
        <v>46508301.142391242</v>
      </c>
      <c r="CJ56" s="198">
        <f t="shared" si="185"/>
        <v>50336400.97898294</v>
      </c>
      <c r="CK56" s="198">
        <f t="shared" si="185"/>
        <v>44874912.889376201</v>
      </c>
      <c r="CL56" s="198">
        <f t="shared" si="185"/>
        <v>41568620.608018167</v>
      </c>
      <c r="CM56" s="198">
        <f t="shared" si="185"/>
        <v>51713131.672901273</v>
      </c>
      <c r="CN56" s="198">
        <f t="shared" si="185"/>
        <v>47371014.524675123</v>
      </c>
      <c r="CO56" s="198">
        <f t="shared" si="185"/>
        <v>56169072.147645272</v>
      </c>
      <c r="CP56" s="198">
        <f t="shared" si="185"/>
        <v>57311237.892663509</v>
      </c>
      <c r="CQ56" s="198">
        <f t="shared" si="185"/>
        <v>53027407.251301706</v>
      </c>
      <c r="CR56" s="198">
        <f t="shared" si="185"/>
        <v>61018643.561540678</v>
      </c>
      <c r="CS56" s="198">
        <f t="shared" ref="CS56:DD56" si="186">SUM(CS57:CS60)</f>
        <v>54372898.345570818</v>
      </c>
      <c r="CT56" s="198">
        <f t="shared" si="186"/>
        <v>53327479.659295991</v>
      </c>
      <c r="CU56" s="198">
        <f t="shared" si="186"/>
        <v>52905674.582225539</v>
      </c>
      <c r="CV56" s="198">
        <f t="shared" si="186"/>
        <v>57241398.076411784</v>
      </c>
      <c r="CW56" s="198">
        <f t="shared" si="186"/>
        <v>50964332.009222664</v>
      </c>
      <c r="CX56" s="198">
        <f t="shared" si="186"/>
        <v>47139925.81337256</v>
      </c>
      <c r="CY56" s="198">
        <f t="shared" si="186"/>
        <v>58675073.637486242</v>
      </c>
      <c r="CZ56" s="198">
        <f t="shared" si="186"/>
        <v>53701457.059126586</v>
      </c>
      <c r="DA56" s="198">
        <f t="shared" si="186"/>
        <v>63694170.128420666</v>
      </c>
      <c r="DB56" s="198">
        <f t="shared" si="186"/>
        <v>64975396.550628342</v>
      </c>
      <c r="DC56" s="198">
        <f t="shared" si="186"/>
        <v>60070787.024370998</v>
      </c>
      <c r="DD56" s="198">
        <f t="shared" si="186"/>
        <v>69134878.449205995</v>
      </c>
      <c r="DF56" s="198">
        <f t="shared" si="52"/>
        <v>50287777.430918649</v>
      </c>
      <c r="DG56" s="198">
        <f t="shared" si="53"/>
        <v>47950165.989298888</v>
      </c>
      <c r="DH56" s="198">
        <f t="shared" si="54"/>
        <v>52468916.407521695</v>
      </c>
      <c r="DI56" s="198">
        <f t="shared" si="55"/>
        <v>51747516.964893423</v>
      </c>
      <c r="DJ56" s="198">
        <f t="shared" si="56"/>
        <v>59918039.083990529</v>
      </c>
      <c r="DK56" s="198">
        <f t="shared" si="57"/>
        <v>52332387.237389281</v>
      </c>
      <c r="DL56" s="198">
        <f t="shared" si="58"/>
        <v>60883802.30030793</v>
      </c>
      <c r="DM56" s="198">
        <f t="shared" si="59"/>
        <v>71224807.673815876</v>
      </c>
      <c r="DN56" s="198">
        <f t="shared" si="60"/>
        <v>83337038.027059466</v>
      </c>
      <c r="DO56" s="198">
        <f t="shared" si="61"/>
        <v>80848477.344915271</v>
      </c>
      <c r="DP56" s="198">
        <f t="shared" si="62"/>
        <v>98942469.402711898</v>
      </c>
      <c r="DQ56" s="198">
        <f t="shared" si="63"/>
        <v>119607131.04016948</v>
      </c>
      <c r="DR56" s="198">
        <f t="shared" si="64"/>
        <v>115372814.19823384</v>
      </c>
      <c r="DS56" s="198">
        <f t="shared" si="65"/>
        <v>112451378.71993892</v>
      </c>
      <c r="DT56" s="198">
        <f t="shared" si="66"/>
        <v>128952245.62193662</v>
      </c>
      <c r="DU56" s="198">
        <f t="shared" si="67"/>
        <v>144511062.08708271</v>
      </c>
      <c r="DV56" s="198">
        <f t="shared" si="68"/>
        <v>141077195.43647486</v>
      </c>
      <c r="DW56" s="198">
        <f t="shared" si="69"/>
        <v>136779934.47637731</v>
      </c>
      <c r="DX56" s="198">
        <f t="shared" si="70"/>
        <v>155253218.34522167</v>
      </c>
      <c r="DY56" s="198">
        <f t="shared" si="71"/>
        <v>171357288.70550591</v>
      </c>
      <c r="DZ56" s="198">
        <f t="shared" si="23"/>
        <v>160606052.58709234</v>
      </c>
      <c r="EA56" s="198">
        <f t="shared" si="24"/>
        <v>155345655.89900699</v>
      </c>
      <c r="EB56" s="198">
        <f t="shared" si="25"/>
        <v>176070700.82503349</v>
      </c>
      <c r="EC56" s="198">
        <f t="shared" si="26"/>
        <v>194181062.02420533</v>
      </c>
      <c r="EE56" s="198">
        <f>SUM(DF56:DI56)</f>
        <v>202454376.79263267</v>
      </c>
      <c r="EF56" s="198">
        <f>SUM(DJ56:DM56)</f>
        <v>244359036.29550362</v>
      </c>
      <c r="EG56" s="198">
        <f>SUM(DN56:DQ56)</f>
        <v>382735115.81485611</v>
      </c>
      <c r="EH56" s="198">
        <f>SUM(DR56:DU56)</f>
        <v>501287500.62719214</v>
      </c>
      <c r="EI56" s="198">
        <f>SUM(DV56:DY56)</f>
        <v>604467636.96357965</v>
      </c>
      <c r="EJ56" s="814">
        <f t="shared" si="27"/>
        <v>686203471.33533812</v>
      </c>
    </row>
    <row r="57" spans="2:140" x14ac:dyDescent="0.2">
      <c r="B57" s="167" t="s">
        <v>139</v>
      </c>
      <c r="C57" s="19">
        <f>'P&amp;L - Inputs'!AB445</f>
        <v>309190.48329661018</v>
      </c>
      <c r="D57" s="19">
        <f>'P&amp;L - Inputs'!AC445</f>
        <v>223532.74221864401</v>
      </c>
      <c r="E57" s="19">
        <f>'P&amp;L - Inputs'!AD445</f>
        <v>307586.96709566202</v>
      </c>
      <c r="F57" s="19">
        <f>'P&amp;L - Inputs'!AE445</f>
        <v>419521.97920677997</v>
      </c>
      <c r="G57" s="19">
        <f>'P&amp;L - Inputs'!AF445</f>
        <v>386001</v>
      </c>
      <c r="H57" s="19">
        <f>'P&amp;L - Inputs'!AG445</f>
        <v>628472.95629999996</v>
      </c>
      <c r="I57" s="19">
        <f>'P&amp;L - Inputs'!AH445</f>
        <v>1328281.95</v>
      </c>
      <c r="J57" s="19">
        <f>'P&amp;L - Inputs'!AI445</f>
        <v>1434018.76526695</v>
      </c>
      <c r="K57" s="19">
        <f>'P&amp;L - Inputs'!AJ445</f>
        <v>1487716.034067797</v>
      </c>
      <c r="L57" s="19">
        <f>'P&amp;L - Inputs'!AK445</f>
        <v>1812806.5064237323</v>
      </c>
      <c r="M57" s="19">
        <f>'P&amp;L - Inputs'!AL445</f>
        <v>1079245.2089864896</v>
      </c>
      <c r="N57" s="19">
        <f>'P&amp;L - Inputs'!AM445</f>
        <v>31633.38305084746</v>
      </c>
      <c r="O57" s="19">
        <f>'P&amp;L - Inputs'!AN445</f>
        <v>777673.88944294839</v>
      </c>
      <c r="P57" s="19">
        <f>'P&amp;L - Inputs'!AO445</f>
        <v>1282133.4769688635</v>
      </c>
      <c r="Q57" s="19">
        <f>'P&amp;L - Inputs'!AP445</f>
        <v>1321715.8945144059</v>
      </c>
      <c r="R57" s="19">
        <f>'P&amp;L - Inputs'!AQ445</f>
        <v>1965380.3641341326</v>
      </c>
      <c r="S57" s="19">
        <f>'P&amp;L - Inputs'!AR445</f>
        <v>2567799.0446152533</v>
      </c>
      <c r="T57" s="19">
        <f>'P&amp;L - Inputs'!AS445</f>
        <v>3964831.2769008409</v>
      </c>
      <c r="U57" s="19">
        <f>'P&amp;L - Inputs'!AT445</f>
        <v>4471347.6433283444</v>
      </c>
      <c r="V57" s="19">
        <f>'P&amp;L - Inputs'!AU445</f>
        <v>4193311.5708482899</v>
      </c>
      <c r="W57" s="19">
        <f>'P&amp;L - Inputs'!AV445</f>
        <v>4761744.9668237353</v>
      </c>
      <c r="X57" s="19">
        <f>'P&amp;L - Inputs'!AW445</f>
        <v>5344945.3326264685</v>
      </c>
      <c r="Y57" s="19">
        <f>'P&amp;L - Inputs'!AX445</f>
        <v>4393157.2802069653</v>
      </c>
      <c r="Z57" s="19">
        <f>'P&amp;L - Inputs'!AY445</f>
        <v>5192801.4984452417</v>
      </c>
      <c r="AA57" s="19">
        <f>'P&amp;L - Inputs'!AZ445</f>
        <v>6298472.6633623969</v>
      </c>
      <c r="AB57" s="19">
        <f>'P&amp;L - Inputs'!BA445</f>
        <v>6390844.9655125728</v>
      </c>
      <c r="AC57" s="19">
        <f>'P&amp;L - Inputs'!BB445</f>
        <v>6107499.9605288077</v>
      </c>
      <c r="AD57" s="19">
        <f>'P&amp;L - Inputs'!BC445</f>
        <v>5411509.7719881665</v>
      </c>
      <c r="AE57" s="19">
        <f>'P&amp;L - Inputs'!BD445</f>
        <v>6204666.5244762637</v>
      </c>
      <c r="AF57" s="19">
        <f>'P&amp;L - Inputs'!BE445</f>
        <v>6464847.5628406843</v>
      </c>
      <c r="AG57" s="19">
        <f>'P&amp;L - Inputs'!BF445</f>
        <v>8078470.9364428455</v>
      </c>
      <c r="AH57" s="19">
        <f>'P&amp;L - Inputs'!BG445</f>
        <v>8777941.846322041</v>
      </c>
      <c r="AI57" s="19">
        <f>'P&amp;L - Inputs'!BH445</f>
        <v>8911162.120027164</v>
      </c>
      <c r="AJ57" s="19">
        <f>'P&amp;L - Inputs'!BI445</f>
        <v>11083993.846047461</v>
      </c>
      <c r="AK57" s="19">
        <f>'P&amp;L - Inputs'!BJ445</f>
        <v>11487101.561313475</v>
      </c>
      <c r="AL57" s="19">
        <f>'P&amp;L - Inputs'!BK445</f>
        <v>13199594.475966137</v>
      </c>
      <c r="AM57" s="19">
        <f>'P&amp;L - Inputs'!BL445</f>
        <v>14123642.03676616</v>
      </c>
      <c r="AN57" s="19">
        <f>'P&amp;L - Inputs'!BM445</f>
        <v>12113915.995159259</v>
      </c>
      <c r="AO57" s="19">
        <f>'P&amp;L - Inputs'!BN445</f>
        <v>12562154.925559344</v>
      </c>
      <c r="AP57" s="19">
        <f>'P&amp;L - Inputs'!BO445</f>
        <v>10059438.895169431</v>
      </c>
      <c r="AQ57" s="19">
        <f>'P&amp;L - Inputs'!BP445</f>
        <v>14136885.51521308</v>
      </c>
      <c r="AR57" s="19">
        <f>'P&amp;L - Inputs'!BQ445</f>
        <v>13934715.255732279</v>
      </c>
      <c r="AS57" s="19">
        <f>'P&amp;L - Inputs'!BR445</f>
        <v>12392441.412010174</v>
      </c>
      <c r="AT57" s="19">
        <f>'P&amp;L - Inputs'!BS445</f>
        <v>12305184.350447627</v>
      </c>
      <c r="AU57" s="19">
        <f>'P&amp;L - Inputs'!BT445</f>
        <v>13072379.641176786</v>
      </c>
      <c r="AV57" s="19">
        <f>'P&amp;L - Inputs'!BU445</f>
        <v>15802848.526504504</v>
      </c>
      <c r="AW57" s="19">
        <f>'P&amp;L - Inputs'!BV445</f>
        <v>15481301.009218726</v>
      </c>
      <c r="AX57" s="19">
        <f>'P&amp;L - Inputs'!BW445</f>
        <v>15216344.281883731</v>
      </c>
      <c r="AY57" s="19">
        <f>'P&amp;L - Inputs'!BX445</f>
        <v>15998084.179210229</v>
      </c>
      <c r="AZ57" s="19">
        <f>'P&amp;L - Inputs'!BY445</f>
        <v>15090021.235742671</v>
      </c>
      <c r="BA57" s="19">
        <f>'P&amp;L - Inputs'!BZ445</f>
        <v>12634661.136978159</v>
      </c>
      <c r="BB57" s="19">
        <f>'P&amp;L - Inputs'!CA445</f>
        <v>10450343.870607503</v>
      </c>
      <c r="BC57" s="19">
        <f>'P&amp;L - Inputs'!CB445</f>
        <v>14625454.447778724</v>
      </c>
      <c r="BD57" s="19">
        <f>'P&amp;L - Inputs'!CC445</f>
        <v>14478245.327930288</v>
      </c>
      <c r="BE57" s="19">
        <f>'P&amp;L - Inputs'!CD445</f>
        <v>16855398.387989145</v>
      </c>
      <c r="BF57" s="19">
        <f>'P&amp;L - Inputs'!CE445</f>
        <v>17105116.048833985</v>
      </c>
      <c r="BG57" s="19">
        <f>'P&amp;L - Inputs'!CF445</f>
        <v>16337088.807297232</v>
      </c>
      <c r="BH57" s="19">
        <f>'P&amp;L - Inputs'!CG445</f>
        <v>22118761.925820276</v>
      </c>
      <c r="BI57" s="19">
        <f>'P&amp;L - Inputs'!CH445</f>
        <v>23093153.529611446</v>
      </c>
      <c r="BJ57" s="19">
        <f>'P&amp;L - Inputs'!CI445</f>
        <v>22238612.460579943</v>
      </c>
      <c r="BK57" s="19">
        <f>'P&amp;L - Inputs'!CJ445</f>
        <v>21741083.489240974</v>
      </c>
      <c r="BL57" s="19">
        <f>'P&amp;L - Inputs'!CK445</f>
        <v>23243685.359999999</v>
      </c>
      <c r="BM57" s="19">
        <f>'P&amp;L - Inputs'!CL445</f>
        <v>20622743.450000003</v>
      </c>
      <c r="BN57" s="19">
        <f>'P&amp;L - Inputs'!CM445</f>
        <v>18657411.820000008</v>
      </c>
      <c r="BO57" s="19">
        <f>'P&amp;L - Inputs'!CN445</f>
        <v>25214744.096949145</v>
      </c>
      <c r="BP57" s="19">
        <f>'P&amp;L - Inputs'!CO445</f>
        <v>22573000.915254261</v>
      </c>
      <c r="BQ57" s="19">
        <f>'P&amp;L - Inputs'!CP445</f>
        <v>27932325.033220347</v>
      </c>
      <c r="BR57" s="19">
        <f>'P&amp;L - Inputs'!CQ445</f>
        <v>30228889.584406771</v>
      </c>
      <c r="BS57" s="19">
        <f>'P&amp;L - Inputs'!CR445</f>
        <v>28633071.001525421</v>
      </c>
      <c r="BT57" s="19">
        <f>'P&amp;L - Inputs'!CS445</f>
        <v>32421153.0881356</v>
      </c>
      <c r="BU57" s="19">
        <f>'P&amp;L - Inputs'!CT445</f>
        <v>28548653.739195086</v>
      </c>
      <c r="BV57" s="19">
        <f>'P&amp;L - Inputs'!CU445</f>
        <v>27957757.905879404</v>
      </c>
      <c r="BW57" s="19">
        <f>'P&amp;L - Inputs'!CV445</f>
        <v>27899480.549897496</v>
      </c>
      <c r="BX57" s="19">
        <f>'P&amp;L - Inputs'!CW445</f>
        <v>30211385.387862094</v>
      </c>
      <c r="BY57" s="19">
        <f>'P&amp;L - Inputs'!CX445</f>
        <v>26992342.684744824</v>
      </c>
      <c r="BZ57" s="19">
        <f>'P&amp;L - Inputs'!CY445</f>
        <v>25064863.669488527</v>
      </c>
      <c r="CA57" s="19">
        <f>'P&amp;L - Inputs'!CZ445</f>
        <v>31274880.453998864</v>
      </c>
      <c r="CB57" s="19">
        <f>'P&amp;L - Inputs'!DA445</f>
        <v>28802051.017367586</v>
      </c>
      <c r="CC57" s="19">
        <f>'P&amp;L - Inputs'!DB445</f>
        <v>34263571.687057436</v>
      </c>
      <c r="CD57" s="19">
        <f>'P&amp;L - Inputs'!DC445</f>
        <v>35105186.319871418</v>
      </c>
      <c r="CE57" s="19">
        <f>'P&amp;L - Inputs'!DD445</f>
        <v>32644230.171727974</v>
      </c>
      <c r="CF57" s="19">
        <f>'P&amp;L - Inputs'!DE445</f>
        <v>37973800.994846664</v>
      </c>
      <c r="CG57" s="19">
        <f>'P&amp;L - Inputs'!DF445</f>
        <v>34911436.499296106</v>
      </c>
      <c r="CH57" s="19">
        <f>'P&amp;L - Inputs'!DG445</f>
        <v>34274462.728828266</v>
      </c>
      <c r="CI57" s="19">
        <f>'P&amp;L - Inputs'!DH445</f>
        <v>34025126.973595671</v>
      </c>
      <c r="CJ57" s="19">
        <f>'P&amp;L - Inputs'!DI445</f>
        <v>36825736.32307183</v>
      </c>
      <c r="CK57" s="19">
        <f>'P&amp;L - Inputs'!DJ445</f>
        <v>32830152.284327578</v>
      </c>
      <c r="CL57" s="19">
        <f>'P&amp;L - Inputs'!DK445</f>
        <v>30411293.458661117</v>
      </c>
      <c r="CM57" s="19">
        <f>'P&amp;L - Inputs'!DL445</f>
        <v>37832942.252301544</v>
      </c>
      <c r="CN57" s="19">
        <f>'P&amp;L - Inputs'!DM445</f>
        <v>34656281.6632533</v>
      </c>
      <c r="CO57" s="19">
        <f>'P&amp;L - Inputs'!DN445</f>
        <v>41092875.139890008</v>
      </c>
      <c r="CP57" s="19">
        <f>'P&amp;L - Inputs'!DO445</f>
        <v>41928475.098274961</v>
      </c>
      <c r="CQ57" s="19">
        <f>'P&amp;L - Inputs'!DP445</f>
        <v>38794456.483846143</v>
      </c>
      <c r="CR57" s="19">
        <f>'P&amp;L - Inputs'!DQ445</f>
        <v>44640785.492928259</v>
      </c>
      <c r="CS57" s="19">
        <f>'P&amp;L - Inputs'!DR445</f>
        <v>39778807.754475996</v>
      </c>
      <c r="CT57" s="19">
        <f>'P&amp;L - Inputs'!DS445</f>
        <v>39013987.224219114</v>
      </c>
      <c r="CU57" s="19">
        <f>'P&amp;L - Inputs'!DT445</f>
        <v>38705397.769156262</v>
      </c>
      <c r="CV57" s="19">
        <f>'P&amp;L - Inputs'!DU445</f>
        <v>41877380.808494255</v>
      </c>
      <c r="CW57" s="19">
        <f>'P&amp;L - Inputs'!DV445</f>
        <v>37285125.991362542</v>
      </c>
      <c r="CX57" s="19">
        <f>'P&amp;L - Inputs'!DW445</f>
        <v>34487218.881962687</v>
      </c>
      <c r="CY57" s="19">
        <f>'P&amp;L - Inputs'!DX445</f>
        <v>42926247.17871815</v>
      </c>
      <c r="CZ57" s="19">
        <f>'P&amp;L - Inputs'!DY445</f>
        <v>39287586.306575038</v>
      </c>
      <c r="DA57" s="19">
        <f>'P&amp;L - Inputs'!DZ445</f>
        <v>46598180.81641265</v>
      </c>
      <c r="DB57" s="19">
        <f>'P&amp;L - Inputs'!EA445</f>
        <v>47535516.531257913</v>
      </c>
      <c r="DC57" s="19">
        <f>'P&amp;L - Inputs'!EB445</f>
        <v>43947340.704841718</v>
      </c>
      <c r="DD57" s="19">
        <f>'P&amp;L - Inputs'!EC445</f>
        <v>50578562.530942447</v>
      </c>
      <c r="DF57" s="19">
        <f t="shared" si="52"/>
        <v>38810338.074045777</v>
      </c>
      <c r="DG57" s="19">
        <f t="shared" si="53"/>
        <v>34735509.815888032</v>
      </c>
      <c r="DH57" s="19">
        <f t="shared" si="54"/>
        <v>40464042.182955533</v>
      </c>
      <c r="DI57" s="19">
        <f t="shared" si="55"/>
        <v>41180412.518128917</v>
      </c>
      <c r="DJ57" s="19">
        <f t="shared" si="56"/>
        <v>46695729.470312685</v>
      </c>
      <c r="DK57" s="19">
        <f t="shared" si="57"/>
        <v>38175026.243328333</v>
      </c>
      <c r="DL57" s="19">
        <f t="shared" si="58"/>
        <v>45959098.163698152</v>
      </c>
      <c r="DM57" s="19">
        <f t="shared" si="59"/>
        <v>55560966.781951495</v>
      </c>
      <c r="DN57" s="19">
        <f t="shared" si="60"/>
        <v>67072849.479432359</v>
      </c>
      <c r="DO57" s="19">
        <f t="shared" si="61"/>
        <v>62523840.63000001</v>
      </c>
      <c r="DP57" s="19">
        <f t="shared" si="62"/>
        <v>75720070.045423761</v>
      </c>
      <c r="DQ57" s="19">
        <f t="shared" si="63"/>
        <v>91283113.674067795</v>
      </c>
      <c r="DR57" s="19">
        <f t="shared" si="64"/>
        <v>84405892.194971979</v>
      </c>
      <c r="DS57" s="19">
        <f t="shared" si="65"/>
        <v>82268591.742095441</v>
      </c>
      <c r="DT57" s="19">
        <f t="shared" si="66"/>
        <v>94340503.158423886</v>
      </c>
      <c r="DU57" s="19">
        <f t="shared" si="67"/>
        <v>105723217.48644605</v>
      </c>
      <c r="DV57" s="19">
        <f t="shared" si="68"/>
        <v>103211026.20172006</v>
      </c>
      <c r="DW57" s="19">
        <f t="shared" si="69"/>
        <v>100067182.06606051</v>
      </c>
      <c r="DX57" s="19">
        <f t="shared" si="70"/>
        <v>113582099.05544487</v>
      </c>
      <c r="DY57" s="19">
        <f t="shared" si="71"/>
        <v>125363717.07504937</v>
      </c>
      <c r="DZ57" s="19">
        <f t="shared" si="23"/>
        <v>117498192.74785137</v>
      </c>
      <c r="EA57" s="19">
        <f t="shared" si="24"/>
        <v>113649725.68181948</v>
      </c>
      <c r="EB57" s="19">
        <f t="shared" si="25"/>
        <v>128812014.30170584</v>
      </c>
      <c r="EC57" s="19">
        <f t="shared" si="26"/>
        <v>142061419.76704207</v>
      </c>
      <c r="EE57" s="19">
        <f>SUM(DF57:DI57)</f>
        <v>155190302.59101826</v>
      </c>
      <c r="EF57" s="19">
        <f>SUM(DJ57:DM57)</f>
        <v>186390820.65929067</v>
      </c>
      <c r="EG57" s="19">
        <f>SUM(DN57:DQ57)</f>
        <v>296599873.82892394</v>
      </c>
      <c r="EH57" s="19">
        <f>SUM(DR57:DU57)</f>
        <v>366738204.58193731</v>
      </c>
      <c r="EI57" s="19">
        <f>SUM(DV57:DY57)</f>
        <v>442224024.39827478</v>
      </c>
      <c r="EJ57" s="770">
        <f t="shared" si="27"/>
        <v>502021352.49841881</v>
      </c>
    </row>
    <row r="58" spans="2:140" x14ac:dyDescent="0.2">
      <c r="B58" s="167" t="s">
        <v>191</v>
      </c>
      <c r="C58" s="19">
        <f>'P&amp;L - Inputs'!AB446</f>
        <v>557628.25576271198</v>
      </c>
      <c r="D58" s="19">
        <f>'P&amp;L - Inputs'!AC446</f>
        <v>605957.3389830509</v>
      </c>
      <c r="E58" s="19">
        <f>'P&amp;L - Inputs'!AD446</f>
        <v>628859.04406779667</v>
      </c>
      <c r="F58" s="19">
        <f>'P&amp;L - Inputs'!AE446</f>
        <v>531251.55762711866</v>
      </c>
      <c r="G58" s="19">
        <f>'P&amp;L - Inputs'!AF446</f>
        <v>501295.42372881359</v>
      </c>
      <c r="H58" s="19">
        <f>'P&amp;L - Inputs'!AG446</f>
        <v>482757.40677966102</v>
      </c>
      <c r="I58" s="19">
        <f>'P&amp;L - Inputs'!AH446</f>
        <v>485257.57627118647</v>
      </c>
      <c r="J58" s="19">
        <f>'P&amp;L - Inputs'!AI446</f>
        <v>483219.15254237287</v>
      </c>
      <c r="K58" s="19">
        <f>'P&amp;L - Inputs'!AJ446</f>
        <v>376590</v>
      </c>
      <c r="L58" s="19">
        <f>'P&amp;L - Inputs'!AK446</f>
        <v>583949.74576271186</v>
      </c>
      <c r="M58" s="19">
        <f>'P&amp;L - Inputs'!AL446</f>
        <v>366042.05084745766</v>
      </c>
      <c r="N58" s="19">
        <f>'P&amp;L - Inputs'!AM446</f>
        <v>0</v>
      </c>
      <c r="O58" s="19">
        <f>'P&amp;L - Inputs'!AN446</f>
        <v>658483.16949152539</v>
      </c>
      <c r="P58" s="19">
        <f>'P&amp;L - Inputs'!AO446</f>
        <v>915910.93220338982</v>
      </c>
      <c r="Q58" s="19">
        <f>'P&amp;L - Inputs'!AP446</f>
        <v>843833.59322033892</v>
      </c>
      <c r="R58" s="19">
        <f>'P&amp;L - Inputs'!AQ446</f>
        <v>1039039.9322033899</v>
      </c>
      <c r="S58" s="19">
        <f>'P&amp;L - Inputs'!AR446</f>
        <v>988137.45762711868</v>
      </c>
      <c r="T58" s="19">
        <f>'P&amp;L - Inputs'!AS446</f>
        <v>1042262.5423728814</v>
      </c>
      <c r="U58" s="19">
        <f>'P&amp;L - Inputs'!AT446</f>
        <v>1495100.4315254237</v>
      </c>
      <c r="V58" s="19">
        <f>'P&amp;L - Inputs'!AU446</f>
        <v>1482324.8644067796</v>
      </c>
      <c r="W58" s="19">
        <f>'P&amp;L - Inputs'!AV446</f>
        <v>1481161.5762711866</v>
      </c>
      <c r="X58" s="19">
        <f>'P&amp;L - Inputs'!AW446</f>
        <v>1368158.3389830508</v>
      </c>
      <c r="Y58" s="19">
        <f>'P&amp;L - Inputs'!AX446</f>
        <v>1689718.7288135593</v>
      </c>
      <c r="Z58" s="19">
        <f>'P&amp;L - Inputs'!AY446</f>
        <v>1940928.8644067796</v>
      </c>
      <c r="AA58" s="19">
        <f>'P&amp;L - Inputs'!AZ446</f>
        <v>1962373.8813559322</v>
      </c>
      <c r="AB58" s="19">
        <f>'P&amp;L - Inputs'!BA446</f>
        <v>2305092.661016949</v>
      </c>
      <c r="AC58" s="19">
        <f>'P&amp;L - Inputs'!BB446</f>
        <v>2419455.3559322031</v>
      </c>
      <c r="AD58" s="19">
        <f>'P&amp;L - Inputs'!BC446</f>
        <v>2271807.1525423732</v>
      </c>
      <c r="AE58" s="19">
        <f>'P&amp;L - Inputs'!BD446</f>
        <v>2167587.3050847459</v>
      </c>
      <c r="AF58" s="19">
        <f>'P&amp;L - Inputs'!BE446</f>
        <v>2287807.1694915257</v>
      </c>
      <c r="AG58" s="19">
        <f>'P&amp;L - Inputs'!BF446</f>
        <v>2305616.7966101696</v>
      </c>
      <c r="AH58" s="19">
        <f>'P&amp;L - Inputs'!BG446</f>
        <v>2449101.9661016949</v>
      </c>
      <c r="AI58" s="19">
        <f>'P&amp;L - Inputs'!BH446</f>
        <v>2306565.4576271186</v>
      </c>
      <c r="AJ58" s="19">
        <f>'P&amp;L - Inputs'!BI446</f>
        <v>2427930.9152542371</v>
      </c>
      <c r="AK58" s="19">
        <f>'P&amp;L - Inputs'!BJ446</f>
        <v>2510098.1694915257</v>
      </c>
      <c r="AL58" s="19">
        <f>'P&amp;L - Inputs'!BK446</f>
        <v>2633149.0677966098</v>
      </c>
      <c r="AM58" s="19">
        <f>'P&amp;L - Inputs'!BL446</f>
        <v>2766704.7966101696</v>
      </c>
      <c r="AN58" s="19">
        <f>'P&amp;L - Inputs'!BM446</f>
        <v>2977060.881355932</v>
      </c>
      <c r="AO58" s="19">
        <f>'P&amp;L - Inputs'!BN446</f>
        <v>3008913.2542372881</v>
      </c>
      <c r="AP58" s="19">
        <f>'P&amp;L - Inputs'!BO446</f>
        <v>2608360.0169491526</v>
      </c>
      <c r="AQ58" s="19">
        <f>'P&amp;L - Inputs'!BP446</f>
        <v>2671229.440677966</v>
      </c>
      <c r="AR58" s="19">
        <f>'P&amp;L - Inputs'!BQ446</f>
        <v>2221117.1694915257</v>
      </c>
      <c r="AS58" s="19">
        <f>'P&amp;L - Inputs'!BR446</f>
        <v>2230951.4237288139</v>
      </c>
      <c r="AT58" s="19">
        <f>'P&amp;L - Inputs'!BS446</f>
        <v>2194235.6949152541</v>
      </c>
      <c r="AU58" s="19">
        <f>'P&amp;L - Inputs'!BT446</f>
        <v>2211927.2542372881</v>
      </c>
      <c r="AV58" s="19">
        <f>'P&amp;L - Inputs'!BU446</f>
        <v>2576596.4237288139</v>
      </c>
      <c r="AW58" s="19">
        <f>'P&amp;L - Inputs'!BV446</f>
        <v>2739616.4745762711</v>
      </c>
      <c r="AX58" s="19">
        <f>'P&amp;L - Inputs'!BW446</f>
        <v>2938392.4576271186</v>
      </c>
      <c r="AY58" s="19">
        <f>'P&amp;L - Inputs'!BX446</f>
        <v>3172524.4067796608</v>
      </c>
      <c r="AZ58" s="19">
        <f>'P&amp;L - Inputs'!BY446</f>
        <v>3382553.410169492</v>
      </c>
      <c r="BA58" s="19">
        <f>'P&amp;L - Inputs'!BZ446</f>
        <v>3297736.677966102</v>
      </c>
      <c r="BB58" s="19">
        <f>'P&amp;L - Inputs'!CA446</f>
        <v>3175617.8135593222</v>
      </c>
      <c r="BC58" s="19">
        <f>'P&amp;L - Inputs'!CB446</f>
        <v>3235067.9511864404</v>
      </c>
      <c r="BD58" s="19">
        <f>'P&amp;L - Inputs'!CC446</f>
        <v>2937331.0555932205</v>
      </c>
      <c r="BE58" s="19">
        <f>'P&amp;L - Inputs'!CD446</f>
        <v>3417043.8630508478</v>
      </c>
      <c r="BF58" s="19">
        <f>'P&amp;L - Inputs'!CE446</f>
        <v>3249178.5477966098</v>
      </c>
      <c r="BG58" s="19">
        <f>'P&amp;L - Inputs'!CF446</f>
        <v>2840330.1966101695</v>
      </c>
      <c r="BH58" s="19">
        <f>'P&amp;L - Inputs'!CG446</f>
        <v>3768998.4488135595</v>
      </c>
      <c r="BI58" s="19">
        <f>'P&amp;L - Inputs'!CH446</f>
        <v>3477886.3220338984</v>
      </c>
      <c r="BJ58" s="19">
        <f>'P&amp;L - Inputs'!CI446</f>
        <v>3589146.6101694917</v>
      </c>
      <c r="BK58" s="19">
        <f>'P&amp;L - Inputs'!CJ446</f>
        <v>3606751.4338983051</v>
      </c>
      <c r="BL58" s="19">
        <f>'P&amp;L - Inputs'!CK446</f>
        <v>4075042.5320338984</v>
      </c>
      <c r="BM58" s="19">
        <f>'P&amp;L - Inputs'!CL446</f>
        <v>4578882.9055932201</v>
      </c>
      <c r="BN58" s="19">
        <f>'P&amp;L - Inputs'!CM446</f>
        <v>3836151.4316949151</v>
      </c>
      <c r="BO58" s="19">
        <f>'P&amp;L - Inputs'!CN446</f>
        <v>3915628.5844067796</v>
      </c>
      <c r="BP58" s="19">
        <f>'P&amp;L - Inputs'!CO446</f>
        <v>4060098.3188135591</v>
      </c>
      <c r="BQ58" s="19">
        <f>'P&amp;L - Inputs'!CP446</f>
        <v>4904745.7637288133</v>
      </c>
      <c r="BR58" s="19">
        <f>'P&amp;L - Inputs'!CQ446</f>
        <v>4861837.5391525421</v>
      </c>
      <c r="BS58" s="19">
        <f>'P&amp;L - Inputs'!CR446</f>
        <v>4752311.9247457627</v>
      </c>
      <c r="BT58" s="19">
        <f>'P&amp;L - Inputs'!CS446</f>
        <v>8096491.0159322042</v>
      </c>
      <c r="BU58" s="19">
        <f>'P&amp;L - Inputs'!CT446</f>
        <v>7129416.9546652744</v>
      </c>
      <c r="BV58" s="19">
        <f>'P&amp;L - Inputs'!CU446</f>
        <v>6981853.3318420341</v>
      </c>
      <c r="BW58" s="19">
        <f>'P&amp;L - Inputs'!CV446</f>
        <v>6967299.8060048399</v>
      </c>
      <c r="BX58" s="19">
        <f>'P&amp;L - Inputs'!CW446</f>
        <v>7544648.6960762562</v>
      </c>
      <c r="BY58" s="19">
        <f>'P&amp;L - Inputs'!CX446</f>
        <v>6740761.4853148125</v>
      </c>
      <c r="BZ58" s="19">
        <f>'P&amp;L - Inputs'!CY446</f>
        <v>6259414.739626999</v>
      </c>
      <c r="CA58" s="19">
        <f>'P&amp;L - Inputs'!CZ446</f>
        <v>7810233.8905650843</v>
      </c>
      <c r="CB58" s="19">
        <f>'P&amp;L - Inputs'!DA446</f>
        <v>7192697.5166060561</v>
      </c>
      <c r="CC58" s="19">
        <f>'P&amp;L - Inputs'!DB446</f>
        <v>8556595.738093242</v>
      </c>
      <c r="CD58" s="19">
        <f>'P&amp;L - Inputs'!DC446</f>
        <v>8766771.0299754143</v>
      </c>
      <c r="CE58" s="19">
        <f>'P&amp;L - Inputs'!DD446</f>
        <v>8152199.7564034685</v>
      </c>
      <c r="CF58" s="19">
        <f>'P&amp;L - Inputs'!DE446</f>
        <v>9483146.3199279401</v>
      </c>
      <c r="CG58" s="19">
        <f>'P&amp;L - Inputs'!DF446</f>
        <v>8718386.1475080289</v>
      </c>
      <c r="CH58" s="19">
        <f>'P&amp;L - Inputs'!DG446</f>
        <v>8559315.5433269404</v>
      </c>
      <c r="CI58" s="19">
        <f>'P&amp;L - Inputs'!DH446</f>
        <v>8497049.2600549199</v>
      </c>
      <c r="CJ58" s="19">
        <f>'P&amp;L - Inputs'!DI446</f>
        <v>9196441.6714083347</v>
      </c>
      <c r="CK58" s="19">
        <f>'P&amp;L - Inputs'!DJ446</f>
        <v>8198629.8358714487</v>
      </c>
      <c r="CL58" s="19">
        <f>'P&amp;L - Inputs'!DK446</f>
        <v>7594571.4701008731</v>
      </c>
      <c r="CM58" s="19">
        <f>'P&amp;L - Inputs'!DL446</f>
        <v>9447969.8553391602</v>
      </c>
      <c r="CN58" s="19">
        <f>'P&amp;L - Inputs'!DM446</f>
        <v>8654666.6730008628</v>
      </c>
      <c r="CO58" s="19">
        <f>'P&amp;L - Inputs'!DN446</f>
        <v>10262068.516949089</v>
      </c>
      <c r="CP58" s="19">
        <f>'P&amp;L - Inputs'!DO446</f>
        <v>10470741.772264391</v>
      </c>
      <c r="CQ58" s="19">
        <f>'P&amp;L - Inputs'!DP446</f>
        <v>9688087.5129754785</v>
      </c>
      <c r="CR58" s="19">
        <f>'P&amp;L - Inputs'!DQ446</f>
        <v>11148083.404223997</v>
      </c>
      <c r="CS58" s="19">
        <f>'P&amp;L - Inputs'!DR446</f>
        <v>9933908.233710194</v>
      </c>
      <c r="CT58" s="19">
        <f>'P&amp;L - Inputs'!DS446</f>
        <v>9742910.629917644</v>
      </c>
      <c r="CU58" s="19">
        <f>'P&amp;L - Inputs'!DT446</f>
        <v>9665846.9997705072</v>
      </c>
      <c r="CV58" s="19">
        <f>'P&amp;L - Inputs'!DU446</f>
        <v>10457982.063902065</v>
      </c>
      <c r="CW58" s="19">
        <f>'P&amp;L - Inputs'!DV446</f>
        <v>9311164.4362654779</v>
      </c>
      <c r="CX58" s="19">
        <f>'P&amp;L - Inputs'!DW446</f>
        <v>8612446.8516969439</v>
      </c>
      <c r="CY58" s="19">
        <f>'P&amp;L - Inputs'!DX446</f>
        <v>10719914.053808335</v>
      </c>
      <c r="CZ58" s="19">
        <f>'P&amp;L - Inputs'!DY446</f>
        <v>9811236.1612841599</v>
      </c>
      <c r="DA58" s="19">
        <f>'P&amp;L - Inputs'!DZ446</f>
        <v>11636901.109385092</v>
      </c>
      <c r="DB58" s="19">
        <f>'P&amp;L - Inputs'!EA446</f>
        <v>11870980.698520195</v>
      </c>
      <c r="DC58" s="19">
        <f>'P&amp;L - Inputs'!EB446</f>
        <v>10974910.368659066</v>
      </c>
      <c r="DD58" s="19">
        <f>'P&amp;L - Inputs'!EC446</f>
        <v>12630916.488914102</v>
      </c>
      <c r="DF58" s="19">
        <f t="shared" si="52"/>
        <v>7909952.0338983051</v>
      </c>
      <c r="DG58" s="19">
        <f t="shared" si="53"/>
        <v>8594334.1525423732</v>
      </c>
      <c r="DH58" s="19">
        <f t="shared" si="54"/>
        <v>7123298.0338983051</v>
      </c>
      <c r="DI58" s="19">
        <f t="shared" si="55"/>
        <v>6982759.3728813566</v>
      </c>
      <c r="DJ58" s="19">
        <f t="shared" si="56"/>
        <v>8850533.3389830515</v>
      </c>
      <c r="DK58" s="19">
        <f t="shared" si="57"/>
        <v>9855907.9016949162</v>
      </c>
      <c r="DL58" s="19">
        <f t="shared" si="58"/>
        <v>9589442.8698305096</v>
      </c>
      <c r="DM58" s="19">
        <f t="shared" si="59"/>
        <v>9858507.1932203397</v>
      </c>
      <c r="DN58" s="19">
        <f t="shared" si="60"/>
        <v>10673784.366101695</v>
      </c>
      <c r="DO58" s="19">
        <f t="shared" si="61"/>
        <v>12490076.869322034</v>
      </c>
      <c r="DP58" s="19">
        <f t="shared" si="62"/>
        <v>12880472.666949153</v>
      </c>
      <c r="DQ58" s="19">
        <f t="shared" si="63"/>
        <v>17710640.479830511</v>
      </c>
      <c r="DR58" s="19">
        <f t="shared" si="64"/>
        <v>21078570.092512149</v>
      </c>
      <c r="DS58" s="19">
        <f t="shared" si="65"/>
        <v>20544824.921018068</v>
      </c>
      <c r="DT58" s="19">
        <f t="shared" si="66"/>
        <v>23559527.145264383</v>
      </c>
      <c r="DU58" s="19">
        <f t="shared" si="67"/>
        <v>26402117.106306821</v>
      </c>
      <c r="DV58" s="19">
        <f t="shared" si="68"/>
        <v>25774750.950889889</v>
      </c>
      <c r="DW58" s="19">
        <f t="shared" si="69"/>
        <v>24989642.977380656</v>
      </c>
      <c r="DX58" s="19">
        <f t="shared" si="70"/>
        <v>28364705.045289114</v>
      </c>
      <c r="DY58" s="19">
        <f t="shared" si="71"/>
        <v>31306912.689463865</v>
      </c>
      <c r="DZ58" s="19">
        <f t="shared" si="23"/>
        <v>29342665.863398343</v>
      </c>
      <c r="EA58" s="19">
        <f t="shared" si="24"/>
        <v>28381593.351864487</v>
      </c>
      <c r="EB58" s="19">
        <f t="shared" si="25"/>
        <v>32168051.324477587</v>
      </c>
      <c r="EC58" s="19">
        <f t="shared" si="26"/>
        <v>35476807.556093365</v>
      </c>
      <c r="EE58" s="19">
        <f>SUM(DF58:DI58)</f>
        <v>30610343.593220342</v>
      </c>
      <c r="EF58" s="19">
        <f>SUM(DJ58:DM58)</f>
        <v>38154391.303728819</v>
      </c>
      <c r="EG58" s="19">
        <f>SUM(DN58:DQ58)</f>
        <v>53754974.382203393</v>
      </c>
      <c r="EH58" s="19">
        <f>SUM(DR58:DU58)</f>
        <v>91585039.265101418</v>
      </c>
      <c r="EI58" s="19">
        <f>SUM(DV58:DY58)</f>
        <v>110436011.66302353</v>
      </c>
      <c r="EJ58" s="770">
        <f t="shared" si="27"/>
        <v>125369118.09583378</v>
      </c>
    </row>
    <row r="59" spans="2:140" x14ac:dyDescent="0.2">
      <c r="B59" s="167" t="s">
        <v>140</v>
      </c>
      <c r="C59" s="19">
        <f>'P&amp;L - Inputs'!AB447</f>
        <v>21333.785979661014</v>
      </c>
      <c r="D59" s="19">
        <f>'P&amp;L - Inputs'!AC447</f>
        <v>19508.186440677975</v>
      </c>
      <c r="E59" s="19">
        <f>'P&amp;L - Inputs'!AD447</f>
        <v>32191.033728813556</v>
      </c>
      <c r="F59" s="19">
        <f>'P&amp;L - Inputs'!AE447</f>
        <v>42771.767796610169</v>
      </c>
      <c r="G59" s="19">
        <f>'P&amp;L - Inputs'!AF447</f>
        <v>40124.492542372878</v>
      </c>
      <c r="H59" s="19">
        <f>'P&amp;L - Inputs'!AG447</f>
        <v>43933.881355932208</v>
      </c>
      <c r="I59" s="19">
        <f>'P&amp;L - Inputs'!AH447</f>
        <v>49829.554067796606</v>
      </c>
      <c r="J59" s="19">
        <f>'P&amp;L - Inputs'!AI447</f>
        <v>58034.541355932197</v>
      </c>
      <c r="K59" s="19">
        <f>'P&amp;L - Inputs'!AJ447</f>
        <v>162983.59322033916</v>
      </c>
      <c r="L59" s="19">
        <f>'P&amp;L - Inputs'!AK447</f>
        <v>105348.96152542371</v>
      </c>
      <c r="M59" s="19">
        <f>'P&amp;L - Inputs'!AL447</f>
        <v>54174.528305084743</v>
      </c>
      <c r="N59" s="19">
        <f>'P&amp;L - Inputs'!AM447</f>
        <v>1128</v>
      </c>
      <c r="O59" s="19">
        <f>'P&amp;L - Inputs'!AN447</f>
        <v>58182.305084745763</v>
      </c>
      <c r="P59" s="19">
        <f>'P&amp;L - Inputs'!AO447</f>
        <v>105369.54237288136</v>
      </c>
      <c r="Q59" s="19">
        <f>'P&amp;L - Inputs'!AP447</f>
        <v>258143.76135593219</v>
      </c>
      <c r="R59" s="19">
        <f>'P&amp;L - Inputs'!AQ447</f>
        <v>345056.98305084743</v>
      </c>
      <c r="S59" s="19">
        <f>'P&amp;L - Inputs'!AR447</f>
        <v>335674.42474576272</v>
      </c>
      <c r="T59" s="19">
        <f>'P&amp;L - Inputs'!AS447</f>
        <v>378566.13966101798</v>
      </c>
      <c r="U59" s="19">
        <f>'P&amp;L - Inputs'!AT447</f>
        <v>536465.50169491733</v>
      </c>
      <c r="V59" s="19">
        <f>'P&amp;L - Inputs'!AU447</f>
        <v>507566.25000000017</v>
      </c>
      <c r="W59" s="19">
        <f>'P&amp;L - Inputs'!AV447</f>
        <v>503022.69762711873</v>
      </c>
      <c r="X59" s="19">
        <f>'P&amp;L - Inputs'!AW447</f>
        <v>700221.40169491526</v>
      </c>
      <c r="Y59" s="19">
        <f>'P&amp;L - Inputs'!AX447</f>
        <v>513416.43762711901</v>
      </c>
      <c r="Z59" s="19">
        <f>'P&amp;L - Inputs'!AY447</f>
        <v>523952.56983050855</v>
      </c>
      <c r="AA59" s="19">
        <f>'P&amp;L - Inputs'!AZ447</f>
        <v>651572.93440677936</v>
      </c>
      <c r="AB59" s="19">
        <f>'P&amp;L - Inputs'!BA447</f>
        <v>714328.95966101601</v>
      </c>
      <c r="AC59" s="19">
        <f>'P&amp;L - Inputs'!BB447</f>
        <v>848505.95389830472</v>
      </c>
      <c r="AD59" s="19">
        <f>'P&amp;L - Inputs'!BC447</f>
        <v>935079.1794915254</v>
      </c>
      <c r="AE59" s="19">
        <f>'P&amp;L - Inputs'!BD447</f>
        <v>884226.25220338954</v>
      </c>
      <c r="AF59" s="19">
        <f>'P&amp;L - Inputs'!BE447</f>
        <v>743643.64830508491</v>
      </c>
      <c r="AG59" s="19">
        <f>'P&amp;L - Inputs'!BF447</f>
        <v>777656.45440677961</v>
      </c>
      <c r="AH59" s="19">
        <f>'P&amp;L - Inputs'!BG447</f>
        <v>944329.89813559304</v>
      </c>
      <c r="AI59" s="19">
        <f>'P&amp;L - Inputs'!BH447</f>
        <v>1041996.0386440681</v>
      </c>
      <c r="AJ59" s="19">
        <f>'P&amp;L - Inputs'!BI447</f>
        <v>1065358.4369491523</v>
      </c>
      <c r="AK59" s="19">
        <f>'P&amp;L - Inputs'!BJ447</f>
        <v>1121117.2977203398</v>
      </c>
      <c r="AL59" s="19">
        <f>'P&amp;L - Inputs'!BK447</f>
        <v>1175297.949152542</v>
      </c>
      <c r="AM59" s="19">
        <f>'P&amp;L - Inputs'!BL447</f>
        <v>1271072.0761016982</v>
      </c>
      <c r="AN59" s="19">
        <f>'P&amp;L - Inputs'!BM447</f>
        <v>1197842.6135593215</v>
      </c>
      <c r="AO59" s="19">
        <f>'P&amp;L - Inputs'!BN447</f>
        <v>1757991.6399661112</v>
      </c>
      <c r="AP59" s="19">
        <f>'P&amp;L - Inputs'!BO447</f>
        <v>1664487.767343051</v>
      </c>
      <c r="AQ59" s="19">
        <f>'P&amp;L - Inputs'!BP447</f>
        <v>2225907.4456830486</v>
      </c>
      <c r="AR59" s="19">
        <f>'P&amp;L - Inputs'!BQ447</f>
        <v>1435516.9572112393</v>
      </c>
      <c r="AS59" s="19">
        <f>'P&amp;L - Inputs'!BR447</f>
        <v>1220151.7877735614</v>
      </c>
      <c r="AT59" s="19">
        <f>'P&amp;L - Inputs'!BS447</f>
        <v>1067220.4438976489</v>
      </c>
      <c r="AU59" s="19">
        <f>'P&amp;L - Inputs'!BT447</f>
        <v>1192513.3264304565</v>
      </c>
      <c r="AV59" s="19">
        <f>'P&amp;L - Inputs'!BU447</f>
        <v>1324611.3035550413</v>
      </c>
      <c r="AW59" s="19">
        <f>'P&amp;L - Inputs'!BV447</f>
        <v>1389924.6284703903</v>
      </c>
      <c r="AX59" s="19">
        <f>'P&amp;L - Inputs'!BW447</f>
        <v>1392292.3912185817</v>
      </c>
      <c r="AY59" s="19">
        <f>'P&amp;L - Inputs'!BX447</f>
        <v>1589559.2550058251</v>
      </c>
      <c r="AZ59" s="19">
        <f>'P&amp;L - Inputs'!BY447</f>
        <v>1553179.1110175806</v>
      </c>
      <c r="BA59" s="19">
        <f>'P&amp;L - Inputs'!BZ447</f>
        <v>1537486.6057627113</v>
      </c>
      <c r="BB59" s="19">
        <f>'P&amp;L - Inputs'!CA447</f>
        <v>1210787.3755857463</v>
      </c>
      <c r="BC59" s="19">
        <f>'P&amp;L - Inputs'!CB447</f>
        <v>1919724.892106557</v>
      </c>
      <c r="BD59" s="19">
        <f>'P&amp;L - Inputs'!CC447</f>
        <v>1558765.4796610177</v>
      </c>
      <c r="BE59" s="19">
        <f>'P&amp;L - Inputs'!CD447</f>
        <v>1856770.8950116916</v>
      </c>
      <c r="BF59" s="19">
        <f>'P&amp;L - Inputs'!CE447</f>
        <v>1958170.7806779507</v>
      </c>
      <c r="BG59" s="19">
        <f>'P&amp;L - Inputs'!CF447</f>
        <v>1780690.5411864305</v>
      </c>
      <c r="BH59" s="19">
        <f>'P&amp;L - Inputs'!CG447</f>
        <v>2066472.376779661</v>
      </c>
      <c r="BI59" s="19">
        <f>'P&amp;L - Inputs'!CH447</f>
        <v>1931106.1362711862</v>
      </c>
      <c r="BJ59" s="19">
        <f>'P&amp;L - Inputs'!CI447</f>
        <v>2062555.1527118634</v>
      </c>
      <c r="BK59" s="19">
        <f>'P&amp;L - Inputs'!CJ447</f>
        <v>1596742.8925423566</v>
      </c>
      <c r="BL59" s="19">
        <f>'P&amp;L - Inputs'!CK447</f>
        <v>1935613.4110169492</v>
      </c>
      <c r="BM59" s="19">
        <f>'P&amp;L - Inputs'!CL447</f>
        <v>1750472.7803389831</v>
      </c>
      <c r="BN59" s="19">
        <f>'P&amp;L - Inputs'!CM447</f>
        <v>2148473.6542372885</v>
      </c>
      <c r="BO59" s="19">
        <f>'P&amp;L - Inputs'!CN447</f>
        <v>3023721.5247457633</v>
      </c>
      <c r="BP59" s="19">
        <f>'P&amp;L - Inputs'!CO447</f>
        <v>2665636.6469491525</v>
      </c>
      <c r="BQ59" s="19">
        <f>'P&amp;L - Inputs'!CP447</f>
        <v>3396503.0440678005</v>
      </c>
      <c r="BR59" s="19">
        <f>'P&amp;L - Inputs'!CQ447</f>
        <v>2912658.4815254258</v>
      </c>
      <c r="BS59" s="19">
        <f>'P&amp;L - Inputs'!CR447</f>
        <v>2804524.2244067825</v>
      </c>
      <c r="BT59" s="19">
        <f>'P&amp;L - Inputs'!CS447</f>
        <v>3301624.824406785</v>
      </c>
      <c r="BU59" s="19">
        <f>'P&amp;L - Inputs'!CT447</f>
        <v>2907266.8585378923</v>
      </c>
      <c r="BV59" s="19">
        <f>'P&amp;L - Inputs'!CU447</f>
        <v>2847092.6769901202</v>
      </c>
      <c r="BW59" s="19">
        <f>'P&amp;L - Inputs'!CV447</f>
        <v>2841157.9724258627</v>
      </c>
      <c r="BX59" s="19">
        <f>'P&amp;L - Inputs'!CW447</f>
        <v>3076591.9924294059</v>
      </c>
      <c r="BY59" s="19">
        <f>'P&amp;L - Inputs'!CX447</f>
        <v>2748779.1206741813</v>
      </c>
      <c r="BZ59" s="19">
        <f>'P&amp;L - Inputs'!CY447</f>
        <v>2552493.3023384311</v>
      </c>
      <c r="CA59" s="19">
        <f>'P&amp;L - Inputs'!CZ447</f>
        <v>3184893.5602806811</v>
      </c>
      <c r="CB59" s="19">
        <f>'P&amp;L - Inputs'!DA447</f>
        <v>2933071.7008819361</v>
      </c>
      <c r="CC59" s="19">
        <f>'P&amp;L - Inputs'!DB447</f>
        <v>3489248.4714317005</v>
      </c>
      <c r="CD59" s="19">
        <f>'P&amp;L - Inputs'!DC447</f>
        <v>3574954.7310680831</v>
      </c>
      <c r="CE59" s="19">
        <f>'P&amp;L - Inputs'!DD447</f>
        <v>3324341.9941182593</v>
      </c>
      <c r="CF59" s="19">
        <f>'P&amp;L - Inputs'!DE447</f>
        <v>3867081.5840769531</v>
      </c>
      <c r="CG59" s="19">
        <f>'P&amp;L - Inputs'!DF447</f>
        <v>3555224.118292009</v>
      </c>
      <c r="CH59" s="19">
        <f>'P&amp;L - Inputs'!DG447</f>
        <v>3490357.5662802546</v>
      </c>
      <c r="CI59" s="19">
        <f>'P&amp;L - Inputs'!DH447</f>
        <v>3464966.3312168289</v>
      </c>
      <c r="CJ59" s="19">
        <f>'P&amp;L - Inputs'!DI447</f>
        <v>3750167.8268749202</v>
      </c>
      <c r="CK59" s="19">
        <f>'P&amp;L - Inputs'!DJ447</f>
        <v>3343275.4682206847</v>
      </c>
      <c r="CL59" s="19">
        <f>'P&amp;L - Inputs'!DK447</f>
        <v>3096949.7337890384</v>
      </c>
      <c r="CM59" s="19">
        <f>'P&amp;L - Inputs'!DL447</f>
        <v>3852737.161475528</v>
      </c>
      <c r="CN59" s="19">
        <f>'P&amp;L - Inputs'!DM447</f>
        <v>3529240.2941369489</v>
      </c>
      <c r="CO59" s="19">
        <f>'P&amp;L - Inputs'!DN447</f>
        <v>4184714.1062283306</v>
      </c>
      <c r="CP59" s="19">
        <f>'P&amp;L - Inputs'!DO447</f>
        <v>4269807.8583961586</v>
      </c>
      <c r="CQ59" s="19">
        <f>'P&amp;L - Inputs'!DP447</f>
        <v>3950653.4585072254</v>
      </c>
      <c r="CR59" s="19">
        <f>'P&amp;L - Inputs'!DQ447</f>
        <v>4546017.3845083239</v>
      </c>
      <c r="CS59" s="19">
        <f>'P&amp;L - Inputs'!DR447</f>
        <v>4050895.3771772063</v>
      </c>
      <c r="CT59" s="19">
        <f>'P&amp;L - Inputs'!DS447</f>
        <v>3973009.4845302799</v>
      </c>
      <c r="CU59" s="19">
        <f>'P&amp;L - Inputs'!DT447</f>
        <v>3941584.1184238996</v>
      </c>
      <c r="CV59" s="19">
        <f>'P&amp;L - Inputs'!DU447</f>
        <v>4264604.6450783955</v>
      </c>
      <c r="CW59" s="19">
        <f>'P&amp;L - Inputs'!DV447</f>
        <v>3796950.0103704105</v>
      </c>
      <c r="CX59" s="19">
        <f>'P&amp;L - Inputs'!DW447</f>
        <v>3512023.6987223746</v>
      </c>
      <c r="CY59" s="19">
        <f>'P&amp;L - Inputs'!DX447</f>
        <v>4371416.4921463476</v>
      </c>
      <c r="CZ59" s="19">
        <f>'P&amp;L - Inputs'!DY447</f>
        <v>4000871.5880090045</v>
      </c>
      <c r="DA59" s="19">
        <f>'P&amp;L - Inputs'!DZ447</f>
        <v>4745349.7455019467</v>
      </c>
      <c r="DB59" s="19">
        <f>'P&amp;L - Inputs'!EA447</f>
        <v>4840803.810831557</v>
      </c>
      <c r="DC59" s="19">
        <f>'P&amp;L - Inputs'!EB447</f>
        <v>4475400.0773299458</v>
      </c>
      <c r="DD59" s="19">
        <f>'P&amp;L - Inputs'!EC447</f>
        <v>5150693.967639301</v>
      </c>
      <c r="DF59" s="19">
        <f t="shared" si="52"/>
        <v>3567487.3229745803</v>
      </c>
      <c r="DG59" s="19">
        <f t="shared" si="53"/>
        <v>4620322.0208684839</v>
      </c>
      <c r="DH59" s="19">
        <f t="shared" si="54"/>
        <v>4881576.190667849</v>
      </c>
      <c r="DI59" s="19">
        <f t="shared" si="55"/>
        <v>3584345.073883147</v>
      </c>
      <c r="DJ59" s="19">
        <f t="shared" si="56"/>
        <v>4371776.2746947976</v>
      </c>
      <c r="DK59" s="19">
        <f t="shared" si="57"/>
        <v>4301453.0923660379</v>
      </c>
      <c r="DL59" s="19">
        <f t="shared" si="58"/>
        <v>5335261.2667792663</v>
      </c>
      <c r="DM59" s="19">
        <f t="shared" si="59"/>
        <v>5805333.698644042</v>
      </c>
      <c r="DN59" s="19">
        <f t="shared" si="60"/>
        <v>5590404.1815254064</v>
      </c>
      <c r="DO59" s="19">
        <f t="shared" si="61"/>
        <v>5834559.8455932215</v>
      </c>
      <c r="DP59" s="19">
        <f t="shared" si="62"/>
        <v>9085861.2157627158</v>
      </c>
      <c r="DQ59" s="19">
        <f t="shared" si="63"/>
        <v>9018807.5303389933</v>
      </c>
      <c r="DR59" s="19">
        <f t="shared" si="64"/>
        <v>8595517.5079538748</v>
      </c>
      <c r="DS59" s="19">
        <f t="shared" si="65"/>
        <v>8377864.4154420178</v>
      </c>
      <c r="DT59" s="19">
        <f t="shared" si="66"/>
        <v>9607213.7325943187</v>
      </c>
      <c r="DU59" s="19">
        <f t="shared" si="67"/>
        <v>10766378.309263296</v>
      </c>
      <c r="DV59" s="19">
        <f t="shared" si="68"/>
        <v>10510548.015789092</v>
      </c>
      <c r="DW59" s="19">
        <f t="shared" si="69"/>
        <v>10190393.028884644</v>
      </c>
      <c r="DX59" s="19">
        <f t="shared" si="70"/>
        <v>11566691.561840808</v>
      </c>
      <c r="DY59" s="19">
        <f t="shared" si="71"/>
        <v>12766478.701411709</v>
      </c>
      <c r="DZ59" s="19">
        <f t="shared" si="23"/>
        <v>11965488.980131386</v>
      </c>
      <c r="EA59" s="19">
        <f t="shared" si="24"/>
        <v>11573578.354171179</v>
      </c>
      <c r="EB59" s="19">
        <f t="shared" si="25"/>
        <v>13117637.825657299</v>
      </c>
      <c r="EC59" s="19">
        <f t="shared" si="26"/>
        <v>14466897.855800804</v>
      </c>
      <c r="EE59" s="19">
        <f>SUM(DF59:DI59)</f>
        <v>16653730.60839406</v>
      </c>
      <c r="EF59" s="19">
        <f>SUM(DJ59:DM59)</f>
        <v>19813824.332484145</v>
      </c>
      <c r="EG59" s="19">
        <f>SUM(DN59:DQ59)</f>
        <v>29529632.773220338</v>
      </c>
      <c r="EH59" s="19">
        <f>SUM(DR59:DU59)</f>
        <v>37346973.96525351</v>
      </c>
      <c r="EI59" s="19">
        <f>SUM(DV59:DY59)</f>
        <v>45034111.307926252</v>
      </c>
      <c r="EJ59" s="770">
        <f t="shared" si="27"/>
        <v>51123603.015760675</v>
      </c>
    </row>
    <row r="60" spans="2:140" x14ac:dyDescent="0.2">
      <c r="B60" s="167" t="s">
        <v>158</v>
      </c>
      <c r="C60" s="19">
        <f>'P&amp;L - Inputs'!AB448</f>
        <v>0</v>
      </c>
      <c r="D60" s="19">
        <f>'P&amp;L - Inputs'!AC448</f>
        <v>0</v>
      </c>
      <c r="E60" s="19">
        <f>'P&amp;L - Inputs'!AD448</f>
        <v>0</v>
      </c>
      <c r="F60" s="19">
        <f>'P&amp;L - Inputs'!AE448</f>
        <v>0</v>
      </c>
      <c r="G60" s="19">
        <f>'P&amp;L - Inputs'!AF448</f>
        <v>0</v>
      </c>
      <c r="H60" s="19">
        <f>'P&amp;L - Inputs'!AG448</f>
        <v>0</v>
      </c>
      <c r="I60" s="19">
        <f>'P&amp;L - Inputs'!AH448</f>
        <v>0</v>
      </c>
      <c r="J60" s="19">
        <f>'P&amp;L - Inputs'!AI448</f>
        <v>0</v>
      </c>
      <c r="K60" s="19">
        <f>'P&amp;L - Inputs'!AJ448</f>
        <v>0</v>
      </c>
      <c r="L60" s="19">
        <f>'P&amp;L - Inputs'!AK448</f>
        <v>0</v>
      </c>
      <c r="M60" s="19">
        <f>'P&amp;L - Inputs'!AL448</f>
        <v>0</v>
      </c>
      <c r="N60" s="19">
        <f>'P&amp;L - Inputs'!AM448</f>
        <v>0</v>
      </c>
      <c r="O60" s="19">
        <f>'P&amp;L - Inputs'!AN448</f>
        <v>0</v>
      </c>
      <c r="P60" s="19">
        <f>'P&amp;L - Inputs'!AO448</f>
        <v>0</v>
      </c>
      <c r="Q60" s="19">
        <f>'P&amp;L - Inputs'!AP448</f>
        <v>0</v>
      </c>
      <c r="R60" s="19">
        <f>'P&amp;L - Inputs'!AQ448</f>
        <v>0</v>
      </c>
      <c r="S60" s="19">
        <f>'P&amp;L - Inputs'!AR448</f>
        <v>0</v>
      </c>
      <c r="T60" s="19">
        <f>'P&amp;L - Inputs'!AS448</f>
        <v>0</v>
      </c>
      <c r="U60" s="19">
        <f>'P&amp;L - Inputs'!AT448</f>
        <v>0</v>
      </c>
      <c r="V60" s="19">
        <f>'P&amp;L - Inputs'!AU448</f>
        <v>0</v>
      </c>
      <c r="W60" s="19">
        <f>'P&amp;L - Inputs'!AV448</f>
        <v>0</v>
      </c>
      <c r="X60" s="19">
        <f>'P&amp;L - Inputs'!AW448</f>
        <v>0</v>
      </c>
      <c r="Y60" s="19">
        <f>'P&amp;L - Inputs'!AX448</f>
        <v>0</v>
      </c>
      <c r="Z60" s="19">
        <f>'P&amp;L - Inputs'!AY448</f>
        <v>0</v>
      </c>
      <c r="AA60" s="19">
        <f>'P&amp;L - Inputs'!AZ448</f>
        <v>0</v>
      </c>
      <c r="AB60" s="19">
        <f>'P&amp;L - Inputs'!BA448</f>
        <v>0</v>
      </c>
      <c r="AC60" s="19">
        <f>'P&amp;L - Inputs'!BB448</f>
        <v>0</v>
      </c>
      <c r="AD60" s="19">
        <f>'P&amp;L - Inputs'!BC448</f>
        <v>0</v>
      </c>
      <c r="AE60" s="19">
        <f>'P&amp;L - Inputs'!BD448</f>
        <v>0</v>
      </c>
      <c r="AF60" s="19">
        <f>'P&amp;L - Inputs'!BE448</f>
        <v>0</v>
      </c>
      <c r="AG60" s="19">
        <f>'P&amp;L - Inputs'!BF448</f>
        <v>0</v>
      </c>
      <c r="AH60" s="19">
        <f>'P&amp;L - Inputs'!BG448</f>
        <v>0</v>
      </c>
      <c r="AI60" s="19">
        <f>'P&amp;L - Inputs'!BH448</f>
        <v>0</v>
      </c>
      <c r="AJ60" s="19">
        <f>'P&amp;L - Inputs'!BI448</f>
        <v>0</v>
      </c>
      <c r="AK60" s="19">
        <f>'P&amp;L - Inputs'!BJ448</f>
        <v>0</v>
      </c>
      <c r="AL60" s="19">
        <f>'P&amp;L - Inputs'!BK448</f>
        <v>0</v>
      </c>
      <c r="AM60" s="19">
        <f>'P&amp;L - Inputs'!BL448</f>
        <v>0</v>
      </c>
      <c r="AN60" s="19">
        <f>'P&amp;L - Inputs'!BM448</f>
        <v>0</v>
      </c>
      <c r="AO60" s="19">
        <f>'P&amp;L - Inputs'!BN448</f>
        <v>0</v>
      </c>
      <c r="AP60" s="19">
        <f>'P&amp;L - Inputs'!BO448</f>
        <v>0</v>
      </c>
      <c r="AQ60" s="19">
        <f>'P&amp;L - Inputs'!BP448</f>
        <v>0</v>
      </c>
      <c r="AR60" s="19">
        <f>'P&amp;L - Inputs'!BQ448</f>
        <v>0</v>
      </c>
      <c r="AS60" s="19">
        <f>'P&amp;L - Inputs'!BR448</f>
        <v>0</v>
      </c>
      <c r="AT60" s="19">
        <f>'P&amp;L - Inputs'!BS448</f>
        <v>0</v>
      </c>
      <c r="AU60" s="19">
        <f>'P&amp;L - Inputs'!BT448</f>
        <v>0</v>
      </c>
      <c r="AV60" s="19">
        <f>'P&amp;L - Inputs'!BU448</f>
        <v>0</v>
      </c>
      <c r="AW60" s="19">
        <f>'P&amp;L - Inputs'!BV448</f>
        <v>0</v>
      </c>
      <c r="AX60" s="19">
        <f>'P&amp;L - Inputs'!BW448</f>
        <v>0</v>
      </c>
      <c r="AY60" s="19">
        <f>'P&amp;L - Inputs'!BX448</f>
        <v>0</v>
      </c>
      <c r="AZ60" s="19">
        <f>'P&amp;L - Inputs'!BY448</f>
        <v>0</v>
      </c>
      <c r="BA60" s="19">
        <f>'P&amp;L - Inputs'!BZ448</f>
        <v>0</v>
      </c>
      <c r="BB60" s="19">
        <f>'P&amp;L - Inputs'!CA448</f>
        <v>0</v>
      </c>
      <c r="BC60" s="19">
        <f>'P&amp;L - Inputs'!CB448</f>
        <v>0</v>
      </c>
      <c r="BD60" s="19">
        <f>'P&amp;L - Inputs'!CC448</f>
        <v>0</v>
      </c>
      <c r="BE60" s="19">
        <f>'P&amp;L - Inputs'!CD448</f>
        <v>0</v>
      </c>
      <c r="BF60" s="19">
        <f>'P&amp;L - Inputs'!CE448</f>
        <v>0</v>
      </c>
      <c r="BG60" s="19">
        <f>'P&amp;L - Inputs'!CF448</f>
        <v>0</v>
      </c>
      <c r="BH60" s="19">
        <f>'P&amp;L - Inputs'!CG448</f>
        <v>0</v>
      </c>
      <c r="BI60" s="19">
        <f>'P&amp;L - Inputs'!CH448</f>
        <v>0</v>
      </c>
      <c r="BJ60" s="19">
        <f>'P&amp;L - Inputs'!CI448</f>
        <v>0</v>
      </c>
      <c r="BK60" s="19">
        <f>'P&amp;L - Inputs'!CJ448</f>
        <v>0</v>
      </c>
      <c r="BL60" s="19">
        <f>'P&amp;L - Inputs'!CK448</f>
        <v>0</v>
      </c>
      <c r="BM60" s="19">
        <f>'P&amp;L - Inputs'!CL448</f>
        <v>0</v>
      </c>
      <c r="BN60" s="19">
        <f>'P&amp;L - Inputs'!CM448</f>
        <v>0</v>
      </c>
      <c r="BO60" s="19">
        <f>'P&amp;L - Inputs'!CN448</f>
        <v>400780.98305084743</v>
      </c>
      <c r="BP60" s="19">
        <f>'P&amp;L - Inputs'!CO448</f>
        <v>373193.0847457627</v>
      </c>
      <c r="BQ60" s="19">
        <f>'P&amp;L - Inputs'!CP448</f>
        <v>482091.40677966102</v>
      </c>
      <c r="BR60" s="19">
        <f>'P&amp;L - Inputs'!CQ448</f>
        <v>592103.13559322036</v>
      </c>
      <c r="BS60" s="19">
        <f>'P&amp;L - Inputs'!CR448</f>
        <v>505875.50847457623</v>
      </c>
      <c r="BT60" s="19">
        <f>'P&amp;L - Inputs'!CS448</f>
        <v>496590.71186440677</v>
      </c>
      <c r="BU60" s="19">
        <f>'P&amp;L - Inputs'!CT448</f>
        <v>437276.12785941799</v>
      </c>
      <c r="BV60" s="19">
        <f>'P&amp;L - Inputs'!CU448</f>
        <v>428225.45092309004</v>
      </c>
      <c r="BW60" s="19">
        <f>'P&amp;L - Inputs'!CV448</f>
        <v>427332.8240133081</v>
      </c>
      <c r="BX60" s="19">
        <f>'P&amp;L - Inputs'!CW448</f>
        <v>462743.97876547318</v>
      </c>
      <c r="BY60" s="19">
        <f>'P&amp;L - Inputs'!CX448</f>
        <v>413438.30776983203</v>
      </c>
      <c r="BZ60" s="19">
        <f>'P&amp;L - Inputs'!CY448</f>
        <v>383915.35484808346</v>
      </c>
      <c r="CA60" s="19">
        <f>'P&amp;L - Inputs'!CZ448</f>
        <v>479033.39853168151</v>
      </c>
      <c r="CB60" s="19">
        <f>'P&amp;L - Inputs'!DA448</f>
        <v>441157.38200266543</v>
      </c>
      <c r="CC60" s="19">
        <f>'P&amp;L - Inputs'!DB448</f>
        <v>524810.80511968443</v>
      </c>
      <c r="CD60" s="19">
        <f>'P&amp;L - Inputs'!DC448</f>
        <v>537701.71027930197</v>
      </c>
      <c r="CE60" s="19">
        <f>'P&amp;L - Inputs'!DD448</f>
        <v>500007.55541221739</v>
      </c>
      <c r="CF60" s="19">
        <f>'P&amp;L - Inputs'!DE448</f>
        <v>581639.91937501554</v>
      </c>
      <c r="CG60" s="19">
        <f>'P&amp;L - Inputs'!DF448</f>
        <v>534734.068719437</v>
      </c>
      <c r="CH60" s="19">
        <f>'P&amp;L - Inputs'!DG448</f>
        <v>524977.62183256377</v>
      </c>
      <c r="CI60" s="19">
        <f>'P&amp;L - Inputs'!DH448</f>
        <v>521158.57752381853</v>
      </c>
      <c r="CJ60" s="19">
        <f>'P&amp;L - Inputs'!DI448</f>
        <v>564055.15762785613</v>
      </c>
      <c r="CK60" s="19">
        <f>'P&amp;L - Inputs'!DJ448</f>
        <v>502855.30095649761</v>
      </c>
      <c r="CL60" s="19">
        <f>'P&amp;L - Inputs'!DK448</f>
        <v>465805.94546714029</v>
      </c>
      <c r="CM60" s="19">
        <f>'P&amp;L - Inputs'!DL448</f>
        <v>579482.40378503455</v>
      </c>
      <c r="CN60" s="19">
        <f>'P&amp;L - Inputs'!DM448</f>
        <v>530825.894284009</v>
      </c>
      <c r="CO60" s="19">
        <f>'P&amp;L - Inputs'!DN448</f>
        <v>629414.38457785093</v>
      </c>
      <c r="CP60" s="19">
        <f>'P&amp;L - Inputs'!DO448</f>
        <v>642213.16372800083</v>
      </c>
      <c r="CQ60" s="19">
        <f>'P&amp;L - Inputs'!DP448</f>
        <v>594209.79597285949</v>
      </c>
      <c r="CR60" s="19">
        <f>'P&amp;L - Inputs'!DQ448</f>
        <v>683757.27988008829</v>
      </c>
      <c r="CS60" s="19">
        <f>'P&amp;L - Inputs'!DR448</f>
        <v>609286.98020742019</v>
      </c>
      <c r="CT60" s="19">
        <f>'P&amp;L - Inputs'!DS448</f>
        <v>597572.32062895608</v>
      </c>
      <c r="CU60" s="19">
        <f>'P&amp;L - Inputs'!DT448</f>
        <v>592845.69487487117</v>
      </c>
      <c r="CV60" s="19">
        <f>'P&amp;L - Inputs'!DU448</f>
        <v>641430.55893706612</v>
      </c>
      <c r="CW60" s="19">
        <f>'P&amp;L - Inputs'!DV448</f>
        <v>571091.57122423488</v>
      </c>
      <c r="CX60" s="19">
        <f>'P&amp;L - Inputs'!DW448</f>
        <v>528236.38099055341</v>
      </c>
      <c r="CY60" s="19">
        <f>'P&amp;L - Inputs'!DX448</f>
        <v>657495.91281341296</v>
      </c>
      <c r="CZ60" s="19">
        <f>'P&amp;L - Inputs'!DY448</f>
        <v>601763.00325838709</v>
      </c>
      <c r="DA60" s="19">
        <f>'P&amp;L - Inputs'!DZ448</f>
        <v>713738.45712097059</v>
      </c>
      <c r="DB60" s="19">
        <f>'P&amp;L - Inputs'!EA448</f>
        <v>728095.51001867512</v>
      </c>
      <c r="DC60" s="19">
        <f>'P&amp;L - Inputs'!EB448</f>
        <v>673135.87354026944</v>
      </c>
      <c r="DD60" s="19">
        <f>'P&amp;L - Inputs'!EC448</f>
        <v>774705.46171013662</v>
      </c>
      <c r="DF60" s="19">
        <f t="shared" si="52"/>
        <v>0</v>
      </c>
      <c r="DG60" s="19">
        <f t="shared" si="53"/>
        <v>0</v>
      </c>
      <c r="DH60" s="19">
        <f t="shared" si="54"/>
        <v>0</v>
      </c>
      <c r="DI60" s="19">
        <f t="shared" si="55"/>
        <v>0</v>
      </c>
      <c r="DJ60" s="19">
        <f t="shared" si="56"/>
        <v>0</v>
      </c>
      <c r="DK60" s="19">
        <f t="shared" si="57"/>
        <v>0</v>
      </c>
      <c r="DL60" s="19">
        <f t="shared" si="58"/>
        <v>0</v>
      </c>
      <c r="DM60" s="19">
        <f t="shared" si="59"/>
        <v>0</v>
      </c>
      <c r="DN60" s="19">
        <f t="shared" si="60"/>
        <v>0</v>
      </c>
      <c r="DO60" s="19">
        <f t="shared" si="61"/>
        <v>0</v>
      </c>
      <c r="DP60" s="19">
        <f t="shared" si="62"/>
        <v>1256065.4745762711</v>
      </c>
      <c r="DQ60" s="19">
        <f t="shared" si="63"/>
        <v>1594569.3559322034</v>
      </c>
      <c r="DR60" s="19">
        <f t="shared" si="64"/>
        <v>1292834.4027958161</v>
      </c>
      <c r="DS60" s="19">
        <f t="shared" si="65"/>
        <v>1260097.6413833885</v>
      </c>
      <c r="DT60" s="19">
        <f t="shared" si="66"/>
        <v>1445001.5856540315</v>
      </c>
      <c r="DU60" s="19">
        <f t="shared" si="67"/>
        <v>1619349.1850665349</v>
      </c>
      <c r="DV60" s="19">
        <f t="shared" si="68"/>
        <v>1580870.2680758194</v>
      </c>
      <c r="DW60" s="19">
        <f t="shared" si="69"/>
        <v>1532716.4040514941</v>
      </c>
      <c r="DX60" s="19">
        <f t="shared" si="70"/>
        <v>1739722.6826468944</v>
      </c>
      <c r="DY60" s="19">
        <f t="shared" si="71"/>
        <v>1920180.2395809486</v>
      </c>
      <c r="DZ60" s="19">
        <f t="shared" si="23"/>
        <v>1799704.9957112474</v>
      </c>
      <c r="EA60" s="19">
        <f t="shared" si="24"/>
        <v>1740758.5111518544</v>
      </c>
      <c r="EB60" s="19">
        <f t="shared" si="25"/>
        <v>1972997.3731927706</v>
      </c>
      <c r="EC60" s="19">
        <f t="shared" si="26"/>
        <v>2175936.8452690812</v>
      </c>
      <c r="EE60" s="19">
        <f>SUM(DF60:DI60)</f>
        <v>0</v>
      </c>
      <c r="EF60" s="19">
        <f>SUM(DJ60:DM60)</f>
        <v>0</v>
      </c>
      <c r="EG60" s="19">
        <f>SUM(DN60:DQ60)</f>
        <v>2850634.8305084743</v>
      </c>
      <c r="EH60" s="19">
        <f>SUM(DR60:DU60)</f>
        <v>5617282.8148997715</v>
      </c>
      <c r="EI60" s="19">
        <f>SUM(DV60:DY60)</f>
        <v>6773489.5943551566</v>
      </c>
      <c r="EJ60" s="770">
        <f t="shared" si="27"/>
        <v>7689397.7253249539</v>
      </c>
    </row>
    <row r="61" spans="2:140" x14ac:dyDescent="0.2">
      <c r="B61" s="167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E61" s="19"/>
      <c r="EF61" s="19"/>
      <c r="EG61" s="19"/>
      <c r="EH61" s="19"/>
      <c r="EI61" s="19"/>
      <c r="EJ61" s="770"/>
    </row>
    <row r="62" spans="2:140" x14ac:dyDescent="0.2">
      <c r="B62" s="21" t="s">
        <v>12</v>
      </c>
      <c r="C62" s="20">
        <f>C56/C32</f>
        <v>0.10149938722543181</v>
      </c>
      <c r="D62" s="20">
        <f t="shared" ref="D62:BO62" si="187">D56/D32</f>
        <v>0.10429422426772748</v>
      </c>
      <c r="E62" s="20">
        <f t="shared" si="187"/>
        <v>9.5633007712098594E-2</v>
      </c>
      <c r="F62" s="20">
        <f t="shared" si="187"/>
        <v>7.98449694868308E-2</v>
      </c>
      <c r="G62" s="20">
        <f t="shared" si="187"/>
        <v>7.2498153929865652E-2</v>
      </c>
      <c r="H62" s="20">
        <f t="shared" si="187"/>
        <v>6.3414340145220335E-2</v>
      </c>
      <c r="I62" s="20">
        <f t="shared" si="187"/>
        <v>4.5306428830614802E-2</v>
      </c>
      <c r="J62" s="20">
        <f t="shared" si="187"/>
        <v>4.6764354421549761E-2</v>
      </c>
      <c r="K62" s="20">
        <f t="shared" si="187"/>
        <v>4.9242295088658967E-2</v>
      </c>
      <c r="L62" s="20">
        <f t="shared" si="187"/>
        <v>5.4367056401378691E-2</v>
      </c>
      <c r="M62" s="20">
        <f t="shared" si="187"/>
        <v>5.6872163933518967E-2</v>
      </c>
      <c r="N62" s="20">
        <f t="shared" si="187"/>
        <v>4.9572845751080501E-2</v>
      </c>
      <c r="O62" s="20">
        <f t="shared" si="187"/>
        <v>7.5248830888242746E-2</v>
      </c>
      <c r="P62" s="20">
        <f t="shared" si="187"/>
        <v>7.7716552874258743E-2</v>
      </c>
      <c r="Q62" s="20">
        <f t="shared" si="187"/>
        <v>6.4847568285045287E-2</v>
      </c>
      <c r="R62" s="20">
        <f t="shared" si="187"/>
        <v>6.6535072267539797E-2</v>
      </c>
      <c r="S62" s="20">
        <f t="shared" si="187"/>
        <v>6.3651390931484267E-2</v>
      </c>
      <c r="T62" s="20">
        <f t="shared" si="187"/>
        <v>6.3047417758847243E-2</v>
      </c>
      <c r="U62" s="20">
        <f t="shared" si="187"/>
        <v>6.290124939346553E-2</v>
      </c>
      <c r="V62" s="20">
        <f t="shared" si="187"/>
        <v>6.100504679998954E-2</v>
      </c>
      <c r="W62" s="20">
        <f t="shared" si="187"/>
        <v>6.1819085964783242E-2</v>
      </c>
      <c r="X62" s="20">
        <f t="shared" si="187"/>
        <v>6.0683031098836042E-2</v>
      </c>
      <c r="Y62" s="20">
        <f t="shared" si="187"/>
        <v>6.0062906553316517E-2</v>
      </c>
      <c r="Z62" s="20">
        <f t="shared" si="187"/>
        <v>5.7314269252769584E-2</v>
      </c>
      <c r="AA62" s="20">
        <f t="shared" si="187"/>
        <v>5.6044449402402878E-2</v>
      </c>
      <c r="AB62" s="20">
        <f t="shared" si="187"/>
        <v>5.7261841165125386E-2</v>
      </c>
      <c r="AC62" s="20">
        <f t="shared" si="187"/>
        <v>5.4600510595399179E-2</v>
      </c>
      <c r="AD62" s="20">
        <f t="shared" si="187"/>
        <v>5.2191617830841558E-2</v>
      </c>
      <c r="AE62" s="20">
        <f t="shared" si="187"/>
        <v>5.0593217382527172E-2</v>
      </c>
      <c r="AF62" s="20">
        <f t="shared" si="187"/>
        <v>5.02261023728338E-2</v>
      </c>
      <c r="AG62" s="20">
        <f t="shared" si="187"/>
        <v>4.8912423760554158E-2</v>
      </c>
      <c r="AH62" s="20">
        <f t="shared" si="187"/>
        <v>4.85428700416103E-2</v>
      </c>
      <c r="AI62" s="20">
        <f t="shared" si="187"/>
        <v>4.9280557840644647E-2</v>
      </c>
      <c r="AJ62" s="20">
        <f t="shared" si="187"/>
        <v>4.6501357275347086E-2</v>
      </c>
      <c r="AK62" s="20">
        <f t="shared" si="187"/>
        <v>4.5172916660825221E-2</v>
      </c>
      <c r="AL62" s="20">
        <f t="shared" si="187"/>
        <v>4.8046909435928251E-2</v>
      </c>
      <c r="AM62" s="20">
        <f t="shared" si="187"/>
        <v>5.2164160370635773E-2</v>
      </c>
      <c r="AN62" s="20">
        <f t="shared" si="187"/>
        <v>5.3021777698499306E-2</v>
      </c>
      <c r="AO62" s="20">
        <f t="shared" si="187"/>
        <v>5.6008905210953641E-2</v>
      </c>
      <c r="AP62" s="20">
        <f t="shared" si="187"/>
        <v>4.934116054799649E-2</v>
      </c>
      <c r="AQ62" s="20">
        <f t="shared" si="187"/>
        <v>4.6354040582767146E-2</v>
      </c>
      <c r="AR62" s="20">
        <f t="shared" si="187"/>
        <v>4.906543244686238E-2</v>
      </c>
      <c r="AS62" s="20">
        <f t="shared" si="187"/>
        <v>5.0949523788465324E-2</v>
      </c>
      <c r="AT62" s="20">
        <f t="shared" si="187"/>
        <v>5.5343878643959586E-2</v>
      </c>
      <c r="AU62" s="20">
        <f t="shared" si="187"/>
        <v>6.3412052825790835E-2</v>
      </c>
      <c r="AV62" s="20">
        <f t="shared" si="187"/>
        <v>6.300089906735265E-2</v>
      </c>
      <c r="AW62" s="20">
        <f t="shared" si="187"/>
        <v>5.9346037028099236E-2</v>
      </c>
      <c r="AX62" s="20">
        <f t="shared" si="187"/>
        <v>5.9009761440678384E-2</v>
      </c>
      <c r="AY62" s="20">
        <f t="shared" si="187"/>
        <v>5.8550658472600839E-2</v>
      </c>
      <c r="AZ62" s="20">
        <f t="shared" si="187"/>
        <v>5.9583045447287236E-2</v>
      </c>
      <c r="BA62" s="20">
        <f t="shared" si="187"/>
        <v>6.0963736956282773E-2</v>
      </c>
      <c r="BB62" s="20">
        <f t="shared" si="187"/>
        <v>6.017198064962808E-2</v>
      </c>
      <c r="BC62" s="20">
        <f t="shared" si="187"/>
        <v>5.6918090645152124E-2</v>
      </c>
      <c r="BD62" s="20">
        <f t="shared" si="187"/>
        <v>5.6006425522693762E-2</v>
      </c>
      <c r="BE62" s="20">
        <f t="shared" si="187"/>
        <v>5.4959794192605285E-2</v>
      </c>
      <c r="BF62" s="20">
        <f t="shared" si="187"/>
        <v>5.3935291295953404E-2</v>
      </c>
      <c r="BG62" s="20">
        <f t="shared" si="187"/>
        <v>5.3641801750067102E-2</v>
      </c>
      <c r="BH62" s="20">
        <f t="shared" si="187"/>
        <v>5.7253361586705048E-2</v>
      </c>
      <c r="BI62" s="20">
        <f t="shared" si="187"/>
        <v>6.0018131866789393E-2</v>
      </c>
      <c r="BJ62" s="20">
        <f t="shared" si="187"/>
        <v>6.1292831206824945E-2</v>
      </c>
      <c r="BK62" s="20">
        <f t="shared" si="187"/>
        <v>5.7865545166402979E-2</v>
      </c>
      <c r="BL62" s="20">
        <f t="shared" si="187"/>
        <v>5.722049071291023E-2</v>
      </c>
      <c r="BM62" s="20">
        <f t="shared" si="187"/>
        <v>6.2094866219424463E-2</v>
      </c>
      <c r="BN62" s="20">
        <f t="shared" si="187"/>
        <v>6.0532336802794663E-2</v>
      </c>
      <c r="BO62" s="20">
        <f t="shared" si="187"/>
        <v>5.5158047543883024E-2</v>
      </c>
      <c r="BP62" s="20">
        <f t="shared" ref="BP62:EJ62" si="188">BP56/BP32</f>
        <v>5.6155510327697028E-2</v>
      </c>
      <c r="BQ62" s="20">
        <f t="shared" si="188"/>
        <v>5.5622288445057434E-2</v>
      </c>
      <c r="BR62" s="20">
        <f t="shared" si="188"/>
        <v>5.528283070174779E-2</v>
      </c>
      <c r="BS62" s="20">
        <f t="shared" si="188"/>
        <v>5.4331052875858363E-2</v>
      </c>
      <c r="BT62" s="20">
        <f t="shared" si="188"/>
        <v>5.4627597966818556E-2</v>
      </c>
      <c r="BU62" s="20">
        <f t="shared" si="188"/>
        <v>5.7516794153017407E-2</v>
      </c>
      <c r="BV62" s="20">
        <f t="shared" si="188"/>
        <v>5.7516794153017421E-2</v>
      </c>
      <c r="BW62" s="20">
        <f t="shared" si="188"/>
        <v>5.7516794153017421E-2</v>
      </c>
      <c r="BX62" s="20">
        <f t="shared" si="188"/>
        <v>5.7516794153017407E-2</v>
      </c>
      <c r="BY62" s="20">
        <f t="shared" si="188"/>
        <v>5.7516794153017421E-2</v>
      </c>
      <c r="BZ62" s="20">
        <f t="shared" si="188"/>
        <v>5.7516794153017428E-2</v>
      </c>
      <c r="CA62" s="20">
        <f t="shared" si="188"/>
        <v>5.7516794153017407E-2</v>
      </c>
      <c r="CB62" s="20">
        <f t="shared" si="188"/>
        <v>5.7516794153017414E-2</v>
      </c>
      <c r="CC62" s="20">
        <f t="shared" si="188"/>
        <v>5.7516794153017414E-2</v>
      </c>
      <c r="CD62" s="20">
        <f t="shared" si="188"/>
        <v>5.75167941530174E-2</v>
      </c>
      <c r="CE62" s="20">
        <f t="shared" si="188"/>
        <v>5.7516794153017414E-2</v>
      </c>
      <c r="CF62" s="20">
        <f t="shared" si="188"/>
        <v>5.7516794153017414E-2</v>
      </c>
      <c r="CG62" s="20">
        <f t="shared" si="188"/>
        <v>5.7516794153017428E-2</v>
      </c>
      <c r="CH62" s="20">
        <f t="shared" si="188"/>
        <v>5.7516794153017414E-2</v>
      </c>
      <c r="CI62" s="20">
        <f t="shared" si="188"/>
        <v>5.7516794153017407E-2</v>
      </c>
      <c r="CJ62" s="20">
        <f t="shared" si="188"/>
        <v>5.7516794153017414E-2</v>
      </c>
      <c r="CK62" s="20">
        <f t="shared" si="188"/>
        <v>5.7516794153017407E-2</v>
      </c>
      <c r="CL62" s="20">
        <f t="shared" si="188"/>
        <v>5.7516794153017414E-2</v>
      </c>
      <c r="CM62" s="20">
        <f t="shared" si="188"/>
        <v>5.7516794153017421E-2</v>
      </c>
      <c r="CN62" s="20">
        <f t="shared" si="188"/>
        <v>5.7516794153017428E-2</v>
      </c>
      <c r="CO62" s="20">
        <f t="shared" si="188"/>
        <v>5.7516794153017414E-2</v>
      </c>
      <c r="CP62" s="20">
        <f t="shared" si="188"/>
        <v>5.7516794153017421E-2</v>
      </c>
      <c r="CQ62" s="20">
        <f t="shared" si="188"/>
        <v>5.7516794153017435E-2</v>
      </c>
      <c r="CR62" s="20">
        <f t="shared" si="188"/>
        <v>5.7516794153017435E-2</v>
      </c>
      <c r="CS62" s="20">
        <f t="shared" ref="CS62:DD62" si="189">CS56/CS32</f>
        <v>5.7516794153017435E-2</v>
      </c>
      <c r="CT62" s="20">
        <f t="shared" si="189"/>
        <v>5.7516794153017435E-2</v>
      </c>
      <c r="CU62" s="20">
        <f t="shared" si="189"/>
        <v>5.7516794153017428E-2</v>
      </c>
      <c r="CV62" s="20">
        <f t="shared" si="189"/>
        <v>5.7516794153017428E-2</v>
      </c>
      <c r="CW62" s="20">
        <f t="shared" si="189"/>
        <v>5.7516794153017428E-2</v>
      </c>
      <c r="CX62" s="20">
        <f t="shared" si="189"/>
        <v>5.7516794153017442E-2</v>
      </c>
      <c r="CY62" s="20">
        <f t="shared" si="189"/>
        <v>5.7516794153017435E-2</v>
      </c>
      <c r="CZ62" s="20">
        <f t="shared" si="189"/>
        <v>5.7516794153017435E-2</v>
      </c>
      <c r="DA62" s="20">
        <f t="shared" si="189"/>
        <v>5.7516794153017449E-2</v>
      </c>
      <c r="DB62" s="20">
        <f t="shared" si="189"/>
        <v>5.7516794153017449E-2</v>
      </c>
      <c r="DC62" s="20">
        <f t="shared" si="189"/>
        <v>5.7516794153017449E-2</v>
      </c>
      <c r="DD62" s="20">
        <f t="shared" si="189"/>
        <v>5.7516794153017449E-2</v>
      </c>
      <c r="DF62" s="20">
        <f t="shared" si="188"/>
        <v>4.850175980370252E-2</v>
      </c>
      <c r="DG62" s="20">
        <f t="shared" si="188"/>
        <v>5.2862025109900512E-2</v>
      </c>
      <c r="DH62" s="20">
        <f t="shared" si="188"/>
        <v>4.8577085458946248E-2</v>
      </c>
      <c r="DI62" s="20">
        <f t="shared" si="188"/>
        <v>6.0603726435865E-2</v>
      </c>
      <c r="DJ62" s="20">
        <f t="shared" si="188"/>
        <v>5.8958927286205498E-2</v>
      </c>
      <c r="DK62" s="20">
        <f t="shared" si="188"/>
        <v>6.0205282600503111E-2</v>
      </c>
      <c r="DL62" s="20">
        <f t="shared" si="188"/>
        <v>5.5910373262443691E-2</v>
      </c>
      <c r="DM62" s="20">
        <f t="shared" si="188"/>
        <v>5.509987346126468E-2</v>
      </c>
      <c r="DN62" s="20">
        <f t="shared" si="188"/>
        <v>5.9715529805453027E-2</v>
      </c>
      <c r="DO62" s="20">
        <f t="shared" si="188"/>
        <v>5.9781821577961483E-2</v>
      </c>
      <c r="DP62" s="20">
        <f t="shared" si="188"/>
        <v>5.5626644659346962E-2</v>
      </c>
      <c r="DQ62" s="20">
        <f t="shared" si="188"/>
        <v>5.4745301751595837E-2</v>
      </c>
      <c r="DR62" s="20">
        <f t="shared" si="188"/>
        <v>5.7516794153017428E-2</v>
      </c>
      <c r="DS62" s="20">
        <f t="shared" si="188"/>
        <v>5.7516794153017421E-2</v>
      </c>
      <c r="DT62" s="20">
        <f t="shared" si="188"/>
        <v>5.7516794153017414E-2</v>
      </c>
      <c r="DU62" s="20">
        <f t="shared" si="188"/>
        <v>5.7516794153017407E-2</v>
      </c>
      <c r="DV62" s="20">
        <f t="shared" si="188"/>
        <v>5.7516794153017421E-2</v>
      </c>
      <c r="DW62" s="20">
        <f t="shared" si="188"/>
        <v>5.7516794153017421E-2</v>
      </c>
      <c r="DX62" s="20">
        <f t="shared" si="188"/>
        <v>5.7516794153017414E-2</v>
      </c>
      <c r="DY62" s="20">
        <f t="shared" si="188"/>
        <v>5.7516794153017428E-2</v>
      </c>
      <c r="DZ62" s="20">
        <f t="shared" si="188"/>
        <v>5.7516794153017428E-2</v>
      </c>
      <c r="EA62" s="20">
        <f t="shared" si="188"/>
        <v>5.7516794153017421E-2</v>
      </c>
      <c r="EB62" s="20">
        <f t="shared" si="188"/>
        <v>5.7516794153017442E-2</v>
      </c>
      <c r="EC62" s="20">
        <f t="shared" si="188"/>
        <v>5.7516794153017449E-2</v>
      </c>
      <c r="ED62" s="771"/>
      <c r="EE62" s="20">
        <f t="shared" si="188"/>
        <v>5.2207370307748649E-2</v>
      </c>
      <c r="EF62" s="20">
        <f t="shared" si="188"/>
        <v>5.7265796220199866E-2</v>
      </c>
      <c r="EG62" s="20">
        <f t="shared" si="188"/>
        <v>5.7027266771228505E-2</v>
      </c>
      <c r="EH62" s="20">
        <f t="shared" si="188"/>
        <v>5.7516794153017414E-2</v>
      </c>
      <c r="EI62" s="20">
        <f t="shared" si="188"/>
        <v>5.7516794153017407E-2</v>
      </c>
      <c r="EJ62" s="20">
        <f t="shared" si="188"/>
        <v>5.7516794153017435E-2</v>
      </c>
    </row>
    <row r="63" spans="2:140" x14ac:dyDescent="0.2">
      <c r="B63" s="21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E63" s="10"/>
      <c r="EF63" s="10"/>
      <c r="EG63" s="10"/>
      <c r="EH63" s="10"/>
      <c r="EI63" s="10"/>
      <c r="EJ63" s="812"/>
    </row>
    <row r="64" spans="2:140" x14ac:dyDescent="0.2">
      <c r="B64" s="176" t="s">
        <v>192</v>
      </c>
      <c r="C64" s="158">
        <f>SUM(C65:C67)</f>
        <v>888152.52503898321</v>
      </c>
      <c r="D64" s="158">
        <f t="shared" ref="D64:BO64" si="190">SUM(D65:D67)</f>
        <v>848998.26764237287</v>
      </c>
      <c r="E64" s="158">
        <f t="shared" si="190"/>
        <v>968637.04489227221</v>
      </c>
      <c r="F64" s="158">
        <f t="shared" si="190"/>
        <v>992801.80463050876</v>
      </c>
      <c r="G64" s="158">
        <f t="shared" si="190"/>
        <v>920672.42627118656</v>
      </c>
      <c r="H64" s="158">
        <f t="shared" si="190"/>
        <v>1154298.6844355932</v>
      </c>
      <c r="I64" s="158">
        <f t="shared" si="190"/>
        <v>1859897.1203389829</v>
      </c>
      <c r="J64" s="158">
        <f t="shared" si="190"/>
        <v>1971042.9991652551</v>
      </c>
      <c r="K64" s="158">
        <f t="shared" si="190"/>
        <v>2016876.0072881361</v>
      </c>
      <c r="L64" s="158">
        <f t="shared" si="190"/>
        <v>2358171.4008305124</v>
      </c>
      <c r="M64" s="158">
        <f t="shared" si="190"/>
        <v>1346224.5525458117</v>
      </c>
      <c r="N64" s="158">
        <f t="shared" si="190"/>
        <v>32364.925423728815</v>
      </c>
      <c r="O64" s="158">
        <f t="shared" si="190"/>
        <v>1434321.914866677</v>
      </c>
      <c r="P64" s="158">
        <f t="shared" si="190"/>
        <v>2241932.5322231008</v>
      </c>
      <c r="Q64" s="158">
        <f t="shared" si="190"/>
        <v>2336398.2440906772</v>
      </c>
      <c r="R64" s="158">
        <f t="shared" si="190"/>
        <v>3113300.5033050478</v>
      </c>
      <c r="S64" s="158">
        <f t="shared" si="190"/>
        <v>3606699.3388932189</v>
      </c>
      <c r="T64" s="158">
        <f t="shared" si="190"/>
        <v>5077058.4446338927</v>
      </c>
      <c r="U64" s="158">
        <f t="shared" si="190"/>
        <v>6170759.1280741096</v>
      </c>
      <c r="V64" s="158">
        <f t="shared" si="190"/>
        <v>5869041.2347347308</v>
      </c>
      <c r="W64" s="158">
        <f t="shared" si="190"/>
        <v>6479021.3495186511</v>
      </c>
      <c r="X64" s="158">
        <f t="shared" si="190"/>
        <v>7207845.7565349434</v>
      </c>
      <c r="Y64" s="158">
        <f t="shared" si="190"/>
        <v>6346496.2552917106</v>
      </c>
      <c r="Z64" s="158">
        <f t="shared" si="190"/>
        <v>7489939.1799706658</v>
      </c>
      <c r="AA64" s="158">
        <f t="shared" si="190"/>
        <v>8867924.7360742614</v>
      </c>
      <c r="AB64" s="158">
        <f t="shared" si="190"/>
        <v>9228444.3714447748</v>
      </c>
      <c r="AC64" s="158">
        <f t="shared" si="190"/>
        <v>9195203.7452745698</v>
      </c>
      <c r="AD64" s="158">
        <f t="shared" si="190"/>
        <v>8488097.8702932503</v>
      </c>
      <c r="AE64" s="158">
        <f t="shared" si="190"/>
        <v>9165790.5902389754</v>
      </c>
      <c r="AF64" s="158">
        <f t="shared" si="190"/>
        <v>9358038.2877559382</v>
      </c>
      <c r="AG64" s="158">
        <f t="shared" si="190"/>
        <v>11038785.864069965</v>
      </c>
      <c r="AH64" s="158">
        <f t="shared" si="190"/>
        <v>12096769.903779669</v>
      </c>
      <c r="AI64" s="158">
        <f t="shared" si="190"/>
        <v>12221156.099349197</v>
      </c>
      <c r="AJ64" s="158">
        <f t="shared" si="190"/>
        <v>14533793.887911867</v>
      </c>
      <c r="AK64" s="158">
        <f t="shared" si="190"/>
        <v>15053914.593686357</v>
      </c>
      <c r="AL64" s="158">
        <f t="shared" si="190"/>
        <v>16905881.30308478</v>
      </c>
      <c r="AM64" s="158">
        <f t="shared" si="190"/>
        <v>18120441.58303735</v>
      </c>
      <c r="AN64" s="158">
        <f t="shared" si="190"/>
        <v>16268983.184989765</v>
      </c>
      <c r="AO64" s="158">
        <f t="shared" si="190"/>
        <v>17300572.142339014</v>
      </c>
      <c r="AP64" s="158">
        <f t="shared" si="190"/>
        <v>14313267.342457566</v>
      </c>
      <c r="AQ64" s="158">
        <f t="shared" si="190"/>
        <v>18903576.497629616</v>
      </c>
      <c r="AR64" s="158">
        <f t="shared" si="190"/>
        <v>17493503.86758931</v>
      </c>
      <c r="AS64" s="158">
        <f t="shared" si="190"/>
        <v>15758254.345519518</v>
      </c>
      <c r="AT64" s="158">
        <f t="shared" si="190"/>
        <v>15406007.993743721</v>
      </c>
      <c r="AU64" s="158">
        <f t="shared" si="190"/>
        <v>16312854.32107166</v>
      </c>
      <c r="AV64" s="158">
        <f t="shared" si="190"/>
        <v>19636907.256832119</v>
      </c>
      <c r="AW64" s="158">
        <f t="shared" si="190"/>
        <v>19465110.555589914</v>
      </c>
      <c r="AX64" s="158">
        <f t="shared" si="190"/>
        <v>19372932.33760795</v>
      </c>
      <c r="AY64" s="158">
        <f t="shared" si="190"/>
        <v>20633654.849739995</v>
      </c>
      <c r="AZ64" s="158">
        <f t="shared" si="190"/>
        <v>19936820.151244905</v>
      </c>
      <c r="BA64" s="158">
        <f t="shared" si="190"/>
        <v>17280345.21113693</v>
      </c>
      <c r="BB64" s="158">
        <f t="shared" si="190"/>
        <v>14762436.869752571</v>
      </c>
      <c r="BC64" s="158">
        <f t="shared" si="190"/>
        <v>19581804.488759257</v>
      </c>
      <c r="BD64" s="158">
        <f t="shared" si="190"/>
        <v>18895326.329475418</v>
      </c>
      <c r="BE64" s="158">
        <f t="shared" si="190"/>
        <v>21972860.948443685</v>
      </c>
      <c r="BF64" s="158">
        <f t="shared" si="190"/>
        <v>22105006.001549546</v>
      </c>
      <c r="BG64" s="158">
        <f t="shared" si="190"/>
        <v>21024606.002042934</v>
      </c>
      <c r="BH64" s="158">
        <f t="shared" si="190"/>
        <v>27729045.697578065</v>
      </c>
      <c r="BI64" s="158">
        <f t="shared" si="190"/>
        <v>28284570.495545529</v>
      </c>
      <c r="BJ64" s="158">
        <f t="shared" si="190"/>
        <v>27552711.060241282</v>
      </c>
      <c r="BK64" s="158">
        <f t="shared" si="190"/>
        <v>26717325.464342143</v>
      </c>
      <c r="BL64" s="158">
        <f t="shared" si="190"/>
        <v>28892756.126610167</v>
      </c>
      <c r="BM64" s="158">
        <f t="shared" si="190"/>
        <v>26674183.222203393</v>
      </c>
      <c r="BN64" s="158">
        <f t="shared" si="190"/>
        <v>24446204.185084749</v>
      </c>
      <c r="BO64" s="158">
        <f t="shared" si="190"/>
        <v>32165112.996271178</v>
      </c>
      <c r="BP64" s="158">
        <f t="shared" ref="BP64:CR64" si="191">SUM(BP65:BP67)</f>
        <v>29331682.245762736</v>
      </c>
      <c r="BQ64" s="158">
        <f t="shared" si="191"/>
        <v>36556711.13440679</v>
      </c>
      <c r="BR64" s="158">
        <f t="shared" si="191"/>
        <v>38376833.857627109</v>
      </c>
      <c r="BS64" s="158">
        <f t="shared" si="191"/>
        <v>36504411.731864408</v>
      </c>
      <c r="BT64" s="158">
        <f t="shared" si="191"/>
        <v>44094572.085593231</v>
      </c>
      <c r="BU64" s="158">
        <f t="shared" si="191"/>
        <v>37148388.849380612</v>
      </c>
      <c r="BV64" s="158">
        <f t="shared" si="191"/>
        <v>36379496.964459501</v>
      </c>
      <c r="BW64" s="158">
        <f t="shared" si="191"/>
        <v>36303664.67124851</v>
      </c>
      <c r="BX64" s="158">
        <f t="shared" si="191"/>
        <v>39311986.558790341</v>
      </c>
      <c r="BY64" s="158">
        <f t="shared" si="191"/>
        <v>35123268.899786167</v>
      </c>
      <c r="BZ64" s="158">
        <f t="shared" si="191"/>
        <v>32615173.750645839</v>
      </c>
      <c r="CA64" s="158">
        <f t="shared" si="191"/>
        <v>40695839.143124506</v>
      </c>
      <c r="CB64" s="158">
        <f t="shared" si="191"/>
        <v>37478117.203961581</v>
      </c>
      <c r="CC64" s="158">
        <f t="shared" si="191"/>
        <v>44584816.363930047</v>
      </c>
      <c r="CD64" s="158">
        <f t="shared" si="191"/>
        <v>45679951.284361646</v>
      </c>
      <c r="CE64" s="158">
        <f t="shared" si="191"/>
        <v>42477679.234419286</v>
      </c>
      <c r="CF64" s="158">
        <f t="shared" si="191"/>
        <v>49412681.183940589</v>
      </c>
      <c r="CG64" s="158">
        <f t="shared" si="191"/>
        <v>45427838.041475229</v>
      </c>
      <c r="CH64" s="158">
        <f t="shared" si="191"/>
        <v>44598988.123424329</v>
      </c>
      <c r="CI64" s="158">
        <f t="shared" si="191"/>
        <v>44274544.747773387</v>
      </c>
      <c r="CJ64" s="158">
        <f t="shared" si="191"/>
        <v>47918784.020139307</v>
      </c>
      <c r="CK64" s="158">
        <f t="shared" si="191"/>
        <v>42719606.822236359</v>
      </c>
      <c r="CL64" s="158">
        <f t="shared" si="191"/>
        <v>39572113.106823511</v>
      </c>
      <c r="CM64" s="158">
        <f t="shared" si="191"/>
        <v>49229391.443250753</v>
      </c>
      <c r="CN64" s="158">
        <f t="shared" si="191"/>
        <v>45095822.698380262</v>
      </c>
      <c r="CO64" s="158">
        <f t="shared" si="191"/>
        <v>53471316.671576232</v>
      </c>
      <c r="CP64" s="158">
        <f t="shared" si="191"/>
        <v>54558625.112113766</v>
      </c>
      <c r="CQ64" s="158">
        <f t="shared" si="191"/>
        <v>50480543.419940718</v>
      </c>
      <c r="CR64" s="158">
        <f t="shared" si="191"/>
        <v>58087967.060818858</v>
      </c>
      <c r="CS64" s="158">
        <f t="shared" ref="CS64:DD64" si="192">SUM(CS65:CS67)</f>
        <v>51761411.656313486</v>
      </c>
      <c r="CT64" s="158">
        <f t="shared" si="192"/>
        <v>50766203.590899013</v>
      </c>
      <c r="CU64" s="158">
        <f t="shared" si="192"/>
        <v>50364657.473305576</v>
      </c>
      <c r="CV64" s="158">
        <f t="shared" si="192"/>
        <v>54492139.646210663</v>
      </c>
      <c r="CW64" s="158">
        <f t="shared" si="192"/>
        <v>48516556.026726827</v>
      </c>
      <c r="CX64" s="158">
        <f t="shared" si="192"/>
        <v>44875832.99250073</v>
      </c>
      <c r="CY64" s="158">
        <f t="shared" si="192"/>
        <v>55856956.920190237</v>
      </c>
      <c r="CZ64" s="158">
        <f t="shared" si="192"/>
        <v>51122219.156222753</v>
      </c>
      <c r="DA64" s="158">
        <f t="shared" si="192"/>
        <v>60634990.233015805</v>
      </c>
      <c r="DB64" s="158">
        <f t="shared" si="192"/>
        <v>61854680.377972722</v>
      </c>
      <c r="DC64" s="158">
        <f t="shared" si="192"/>
        <v>57185635.31275297</v>
      </c>
      <c r="DD64" s="158">
        <f t="shared" si="192"/>
        <v>65814385.697724186</v>
      </c>
      <c r="DE64" s="189"/>
      <c r="DF64" s="158">
        <f t="shared" ref="DF64:DF88" si="193">SUM(AK64:AM64)</f>
        <v>50080237.479808487</v>
      </c>
      <c r="DG64" s="158">
        <f t="shared" ref="DG64:DG88" si="194">SUM(AN64:AP64)</f>
        <v>47882822.669786349</v>
      </c>
      <c r="DH64" s="158">
        <f t="shared" ref="DH64:DH88" si="195">SUM(AQ64:AS64)</f>
        <v>52155334.710738443</v>
      </c>
      <c r="DI64" s="158">
        <f t="shared" ref="DI64:DI88" si="196">SUM(AT64:AV64)</f>
        <v>51355769.571647495</v>
      </c>
      <c r="DJ64" s="158">
        <f t="shared" ref="DJ64:DJ88" si="197">SUM(AW64:AY64)</f>
        <v>59471697.742937863</v>
      </c>
      <c r="DK64" s="158">
        <f t="shared" ref="DK64:DK88" si="198">SUM(AZ64:BB64)</f>
        <v>51979602.232134402</v>
      </c>
      <c r="DL64" s="158">
        <f t="shared" ref="DL64:DL88" si="199">SUM(BC64:BE64)</f>
        <v>60449991.766678363</v>
      </c>
      <c r="DM64" s="158">
        <f t="shared" ref="DM64:DM88" si="200">SUM(BF64:BH64)</f>
        <v>70858657.701170534</v>
      </c>
      <c r="DN64" s="158">
        <f t="shared" ref="DN64:DN88" si="201">SUM(BI64:BK64)</f>
        <v>82554607.02012895</v>
      </c>
      <c r="DO64" s="158">
        <f t="shared" ref="DO64:DO88" si="202">SUM(BL64:BN64)</f>
        <v>80013143.533898309</v>
      </c>
      <c r="DP64" s="158">
        <f t="shared" ref="DP64:DP88" si="203">SUM(BO64:BQ64)</f>
        <v>98053506.376440704</v>
      </c>
      <c r="DQ64" s="158">
        <f t="shared" ref="DQ64:DQ88" si="204">SUM(BR64:BT64)</f>
        <v>118975817.67508474</v>
      </c>
      <c r="DR64" s="158">
        <f t="shared" ref="DR64:DR88" si="205">SUM(BU64:BW64)</f>
        <v>109831550.48508863</v>
      </c>
      <c r="DS64" s="158">
        <f t="shared" ref="DS64:DS88" si="206">SUM(BX64:BZ64)</f>
        <v>107050429.20922235</v>
      </c>
      <c r="DT64" s="158">
        <f t="shared" ref="DT64:DT88" si="207">SUM(CA64:CC64)</f>
        <v>122758772.71101613</v>
      </c>
      <c r="DU64" s="158">
        <f t="shared" ref="DU64:DU88" si="208">SUM(CD64:CF64)</f>
        <v>137570311.70272154</v>
      </c>
      <c r="DV64" s="158">
        <f t="shared" ref="DV64:DV88" si="209">SUM(CG64:CI64)</f>
        <v>134301370.91267294</v>
      </c>
      <c r="DW64" s="158">
        <f t="shared" ref="DW64:DW88" si="210">SUM(CJ64:CL64)</f>
        <v>130210503.94919917</v>
      </c>
      <c r="DX64" s="158">
        <f t="shared" ref="DX64:DX88" si="211">SUM(CM64:CO64)</f>
        <v>147796530.81320724</v>
      </c>
      <c r="DY64" s="158">
        <f t="shared" ref="DY64:DY88" si="212">SUM(CP64:CR64)</f>
        <v>163127135.59287333</v>
      </c>
      <c r="DZ64" s="158">
        <f t="shared" si="23"/>
        <v>152892272.72051808</v>
      </c>
      <c r="EA64" s="158">
        <f t="shared" si="24"/>
        <v>147884528.66543821</v>
      </c>
      <c r="EB64" s="158">
        <f t="shared" si="25"/>
        <v>167614166.30942881</v>
      </c>
      <c r="EC64" s="158">
        <f t="shared" si="26"/>
        <v>184854701.38844988</v>
      </c>
      <c r="EE64" s="158">
        <f>SUM(DF64:DI64)</f>
        <v>201474164.43198079</v>
      </c>
      <c r="EF64" s="158">
        <f>SUM(DJ64:DM64)</f>
        <v>242759949.44292116</v>
      </c>
      <c r="EG64" s="158">
        <f>SUM(DN64:DQ64)</f>
        <v>379597074.60555267</v>
      </c>
      <c r="EH64" s="158">
        <f>SUM(DR64:DU64)</f>
        <v>477211064.10804862</v>
      </c>
      <c r="EI64" s="158">
        <f>SUM(DV64:DY64)</f>
        <v>575435541.26795268</v>
      </c>
      <c r="EJ64" s="780">
        <f t="shared" si="27"/>
        <v>653245669.08383501</v>
      </c>
    </row>
    <row r="65" spans="2:140" x14ac:dyDescent="0.2">
      <c r="B65" s="167" t="s">
        <v>139</v>
      </c>
      <c r="C65" s="19">
        <f>'P&amp;L - Inputs'!AB452</f>
        <v>309190.48329661018</v>
      </c>
      <c r="D65" s="19">
        <f>'P&amp;L - Inputs'!AC452</f>
        <v>223532.74221864401</v>
      </c>
      <c r="E65" s="19">
        <f>'P&amp;L - Inputs'!AD452</f>
        <v>307586.96709566202</v>
      </c>
      <c r="F65" s="19">
        <f>'P&amp;L - Inputs'!AE452</f>
        <v>418778.47920677997</v>
      </c>
      <c r="G65" s="19">
        <f>'P&amp;L - Inputs'!AF452</f>
        <v>379252.51</v>
      </c>
      <c r="H65" s="19">
        <f>'P&amp;L - Inputs'!AG452</f>
        <v>627607.39629999991</v>
      </c>
      <c r="I65" s="19">
        <f>'P&amp;L - Inputs'!AH452</f>
        <v>1324809.99</v>
      </c>
      <c r="J65" s="19">
        <f>'P&amp;L - Inputs'!AI452</f>
        <v>1429789.30526695</v>
      </c>
      <c r="K65" s="19">
        <f>'P&amp;L - Inputs'!AJ452</f>
        <v>1477302.4140677969</v>
      </c>
      <c r="L65" s="19">
        <f>'P&amp;L - Inputs'!AK452</f>
        <v>1689604.11727119</v>
      </c>
      <c r="M65" s="19">
        <f>'P&amp;L - Inputs'!AL452</f>
        <v>937666.63441021845</v>
      </c>
      <c r="N65" s="19">
        <f>'P&amp;L - Inputs'!AM452</f>
        <v>31236.925423728815</v>
      </c>
      <c r="O65" s="19">
        <f>'P&amp;L - Inputs'!AN452</f>
        <v>723056.74537515175</v>
      </c>
      <c r="P65" s="19">
        <f>'P&amp;L - Inputs'!AO452</f>
        <v>1229354.6000197111</v>
      </c>
      <c r="Q65" s="19">
        <f>'P&amp;L - Inputs'!AP452</f>
        <v>1253472.6508703381</v>
      </c>
      <c r="R65" s="19">
        <f>'P&amp;L - Inputs'!AQ452</f>
        <v>1767157.6558474207</v>
      </c>
      <c r="S65" s="19">
        <f>'P&amp;L - Inputs'!AR452</f>
        <v>2328271.7412661002</v>
      </c>
      <c r="T65" s="19">
        <f>'P&amp;L - Inputs'!AS452</f>
        <v>3687136.0981932138</v>
      </c>
      <c r="U65" s="19">
        <f>'P&amp;L - Inputs'!AT452</f>
        <v>4209127.4568876671</v>
      </c>
      <c r="V65" s="19">
        <f>'P&amp;L - Inputs'!AU452</f>
        <v>3963882.3745652386</v>
      </c>
      <c r="W65" s="19">
        <f>'P&amp;L - Inputs'!AV452</f>
        <v>4563711.6593491593</v>
      </c>
      <c r="X65" s="19">
        <f>'P&amp;L - Inputs'!AW452</f>
        <v>5182775.3887383332</v>
      </c>
      <c r="Y65" s="19">
        <f>'P&amp;L - Inputs'!AX452</f>
        <v>4227141.0210544225</v>
      </c>
      <c r="Z65" s="19">
        <f>'P&amp;L - Inputs'!AY452</f>
        <v>5094910.0467503266</v>
      </c>
      <c r="AA65" s="19">
        <f>'P&amp;L - Inputs'!AZ452</f>
        <v>6282676.083023414</v>
      </c>
      <c r="AB65" s="19">
        <f>'P&amp;L - Inputs'!BA452</f>
        <v>6218978.4104278274</v>
      </c>
      <c r="AC65" s="19">
        <f>'P&amp;L - Inputs'!BB452</f>
        <v>6006774.3554440616</v>
      </c>
      <c r="AD65" s="19">
        <f>'P&amp;L - Inputs'!BC452</f>
        <v>5292707.0262254542</v>
      </c>
      <c r="AE65" s="19">
        <f>'P&amp;L - Inputs'!BD452</f>
        <v>6123923.2532898234</v>
      </c>
      <c r="AF65" s="19">
        <f>'P&amp;L - Inputs'!BE452</f>
        <v>6340875.0462305145</v>
      </c>
      <c r="AG65" s="19">
        <f>'P&amp;L - Inputs'!BF452</f>
        <v>7960121.3757648794</v>
      </c>
      <c r="AH65" s="19">
        <f>'P&amp;L - Inputs'!BG452</f>
        <v>8720043.3208983131</v>
      </c>
      <c r="AI65" s="19">
        <f>'P&amp;L - Inputs'!BH452</f>
        <v>8872594.6030780114</v>
      </c>
      <c r="AJ65" s="19">
        <f>'P&amp;L - Inputs'!BI452</f>
        <v>11045677.185030513</v>
      </c>
      <c r="AK65" s="19">
        <f>'P&amp;L - Inputs'!BJ452</f>
        <v>11433226.035889747</v>
      </c>
      <c r="AL65" s="19">
        <f>'P&amp;L - Inputs'!BK452</f>
        <v>13106616.086135628</v>
      </c>
      <c r="AM65" s="19">
        <f>'P&amp;L - Inputs'!BL452</f>
        <v>14082628.466257686</v>
      </c>
      <c r="AN65" s="19">
        <f>'P&amp;L - Inputs'!BM452</f>
        <v>12094079.690074513</v>
      </c>
      <c r="AO65" s="19">
        <f>'P&amp;L - Inputs'!BN452</f>
        <v>12547793.518779682</v>
      </c>
      <c r="AP65" s="19">
        <f>'P&amp;L - Inputs'!BO452</f>
        <v>10057298.420593159</v>
      </c>
      <c r="AQ65" s="19">
        <f>'P&amp;L - Inputs'!BP452</f>
        <v>14019566.359912667</v>
      </c>
      <c r="AR65" s="19">
        <f>'P&amp;L - Inputs'!BQ452</f>
        <v>13836869.740886545</v>
      </c>
      <c r="AS65" s="19">
        <f>'P&amp;L - Inputs'!BR452</f>
        <v>12307151.134017143</v>
      </c>
      <c r="AT65" s="19">
        <f>'P&amp;L - Inputs'!BS452</f>
        <v>12144551.854930818</v>
      </c>
      <c r="AU65" s="19">
        <f>'P&amp;L - Inputs'!BT452</f>
        <v>12908413.740403915</v>
      </c>
      <c r="AV65" s="19">
        <f>'P&amp;L - Inputs'!BU452</f>
        <v>15735699.529548265</v>
      </c>
      <c r="AW65" s="19">
        <f>'P&amp;L - Inputs'!BV452</f>
        <v>15335569.452543253</v>
      </c>
      <c r="AX65" s="19">
        <f>'P&amp;L - Inputs'!BW452</f>
        <v>15042247.488762252</v>
      </c>
      <c r="AY65" s="19">
        <f>'P&amp;L - Inputs'!BX452</f>
        <v>15871571.18795451</v>
      </c>
      <c r="AZ65" s="19">
        <f>'P&amp;L - Inputs'!BY452</f>
        <v>15001087.63005783</v>
      </c>
      <c r="BA65" s="19">
        <f>'P&amp;L - Inputs'!BZ452</f>
        <v>12445121.927408114</v>
      </c>
      <c r="BB65" s="19">
        <f>'P&amp;L - Inputs'!CA452</f>
        <v>10376031.680607503</v>
      </c>
      <c r="BC65" s="19">
        <f>'P&amp;L - Inputs'!CB452</f>
        <v>14427011.645466261</v>
      </c>
      <c r="BD65" s="19">
        <f>'P&amp;L - Inputs'!CC452</f>
        <v>14399229.794221181</v>
      </c>
      <c r="BE65" s="19">
        <f>'P&amp;L - Inputs'!CD452</f>
        <v>16699046.190381143</v>
      </c>
      <c r="BF65" s="19">
        <f>'P&amp;L - Inputs'!CE452</f>
        <v>16897656.673074983</v>
      </c>
      <c r="BG65" s="19">
        <f>'P&amp;L - Inputs'!CF452</f>
        <v>16439358.586280232</v>
      </c>
      <c r="BH65" s="19">
        <f>'P&amp;L - Inputs'!CG452</f>
        <v>21893574.871984843</v>
      </c>
      <c r="BI65" s="19">
        <f>'P&amp;L - Inputs'!CH452</f>
        <v>22875578.037240446</v>
      </c>
      <c r="BJ65" s="19">
        <f>'P&amp;L - Inputs'!CI452</f>
        <v>21944684.717020944</v>
      </c>
      <c r="BK65" s="19">
        <f>'P&amp;L - Inputs'!CJ452</f>
        <v>21525162.748070974</v>
      </c>
      <c r="BL65" s="19">
        <f>'P&amp;L - Inputs'!CK452</f>
        <v>22943713.25</v>
      </c>
      <c r="BM65" s="19">
        <f>'P&amp;L - Inputs'!CL452</f>
        <v>20399206.360000003</v>
      </c>
      <c r="BN65" s="19">
        <f>'P&amp;L - Inputs'!CM452</f>
        <v>18509372.150000006</v>
      </c>
      <c r="BO65" s="19">
        <f>'P&amp;L - Inputs'!CN452</f>
        <v>25283796.259999994</v>
      </c>
      <c r="BP65" s="19">
        <f>'P&amp;L - Inputs'!CO452</f>
        <v>22605947.280000024</v>
      </c>
      <c r="BQ65" s="19">
        <f>'P&amp;L - Inputs'!CP452</f>
        <v>28330419.960000008</v>
      </c>
      <c r="BR65" s="19">
        <f>'P&amp;L - Inputs'!CQ452</f>
        <v>30631564.61999999</v>
      </c>
      <c r="BS65" s="19">
        <f>'P&amp;L - Inputs'!CR452</f>
        <v>28979015.419999998</v>
      </c>
      <c r="BT65" s="19">
        <f>'P&amp;L - Inputs'!CS452</f>
        <v>32756146.390000008</v>
      </c>
      <c r="BU65" s="19">
        <f>'P&amp;L - Inputs'!CT452</f>
        <v>27596096.42975821</v>
      </c>
      <c r="BV65" s="19">
        <f>'P&amp;L - Inputs'!CU452</f>
        <v>27024916.487436287</v>
      </c>
      <c r="BW65" s="19">
        <f>'P&amp;L - Inputs'!CV452</f>
        <v>26968583.619692679</v>
      </c>
      <c r="BX65" s="19">
        <f>'P&amp;L - Inputs'!CW452</f>
        <v>29203349.203657988</v>
      </c>
      <c r="BY65" s="19">
        <f>'P&amp;L - Inputs'!CX452</f>
        <v>26091713.409610964</v>
      </c>
      <c r="BZ65" s="19">
        <f>'P&amp;L - Inputs'!CY452</f>
        <v>24228546.856915656</v>
      </c>
      <c r="CA65" s="19">
        <f>'P&amp;L - Inputs'!CZ452</f>
        <v>30231359.584315252</v>
      </c>
      <c r="CB65" s="19">
        <f>'P&amp;L - Inputs'!DA452</f>
        <v>27841038.828351457</v>
      </c>
      <c r="CC65" s="19">
        <f>'P&amp;L - Inputs'!DB452</f>
        <v>33120329.839085057</v>
      </c>
      <c r="CD65" s="19">
        <f>'P&amp;L - Inputs'!DC452</f>
        <v>33933863.07172025</v>
      </c>
      <c r="CE65" s="19">
        <f>'P&amp;L - Inputs'!DD452</f>
        <v>31555019.438882533</v>
      </c>
      <c r="CF65" s="19">
        <f>'P&amp;L - Inputs'!DE452</f>
        <v>36706763.255162254</v>
      </c>
      <c r="CG65" s="19">
        <f>'P&amp;L - Inputs'!DF452</f>
        <v>33746577.927534826</v>
      </c>
      <c r="CH65" s="19">
        <f>'P&amp;L - Inputs'!DG452</f>
        <v>33130857.489238854</v>
      </c>
      <c r="CI65" s="19">
        <f>'P&amp;L - Inputs'!DH452</f>
        <v>32889841.096394431</v>
      </c>
      <c r="CJ65" s="19">
        <f>'P&amp;L - Inputs'!DI452</f>
        <v>35597005.02700454</v>
      </c>
      <c r="CK65" s="19">
        <f>'P&amp;L - Inputs'!DJ452</f>
        <v>31734738.055199586</v>
      </c>
      <c r="CL65" s="19">
        <f>'P&amp;L - Inputs'!DK452</f>
        <v>29396587.121258371</v>
      </c>
      <c r="CM65" s="19">
        <f>'P&amp;L - Inputs'!DL452</f>
        <v>36570604.419871427</v>
      </c>
      <c r="CN65" s="19">
        <f>'P&amp;L - Inputs'!DM452</f>
        <v>33499936.613927465</v>
      </c>
      <c r="CO65" s="19">
        <f>'P&amp;L - Inputs'!DN452</f>
        <v>39721766.052299693</v>
      </c>
      <c r="CP65" s="19">
        <f>'P&amp;L - Inputs'!DO452</f>
        <v>40529485.29674989</v>
      </c>
      <c r="CQ65" s="19">
        <f>'P&amp;L - Inputs'!DP452</f>
        <v>37500036.668925606</v>
      </c>
      <c r="CR65" s="19">
        <f>'P&amp;L - Inputs'!DQ452</f>
        <v>43151296.46452225</v>
      </c>
      <c r="CS65" s="19">
        <f>'P&amp;L - Inputs'!DR452</f>
        <v>38451543.974076115</v>
      </c>
      <c r="CT65" s="19">
        <f>'P&amp;L - Inputs'!DS452</f>
        <v>37712242.524093874</v>
      </c>
      <c r="CU65" s="19">
        <f>'P&amp;L - Inputs'!DT452</f>
        <v>37413949.496446505</v>
      </c>
      <c r="CV65" s="19">
        <f>'P&amp;L - Inputs'!DU452</f>
        <v>40480095.824283712</v>
      </c>
      <c r="CW65" s="19">
        <f>'P&amp;L - Inputs'!DV452</f>
        <v>36041066.652494766</v>
      </c>
      <c r="CX65" s="19">
        <f>'P&amp;L - Inputs'!DW452</f>
        <v>33336514.798741344</v>
      </c>
      <c r="CY65" s="19">
        <f>'P&amp;L - Inputs'!DX452</f>
        <v>41493965.611596651</v>
      </c>
      <c r="CZ65" s="19">
        <f>'P&amp;L - Inputs'!DY452</f>
        <v>37976712.671399683</v>
      </c>
      <c r="DA65" s="19">
        <f>'P&amp;L - Inputs'!DZ452</f>
        <v>45043381.134836227</v>
      </c>
      <c r="DB65" s="19">
        <f>'P&amp;L - Inputs'!EA452</f>
        <v>45949441.610059716</v>
      </c>
      <c r="DC65" s="19">
        <f>'P&amp;L - Inputs'!EB452</f>
        <v>42480989.22637473</v>
      </c>
      <c r="DD65" s="19">
        <f>'P&amp;L - Inputs'!EC452</f>
        <v>48890953.024736047</v>
      </c>
      <c r="DF65" s="19">
        <f t="shared" si="193"/>
        <v>38622470.588283062</v>
      </c>
      <c r="DG65" s="19">
        <f t="shared" si="194"/>
        <v>34699171.629447356</v>
      </c>
      <c r="DH65" s="19">
        <f t="shared" si="195"/>
        <v>40163587.234816357</v>
      </c>
      <c r="DI65" s="19">
        <f t="shared" si="196"/>
        <v>40788665.124882996</v>
      </c>
      <c r="DJ65" s="19">
        <f t="shared" si="197"/>
        <v>46249388.129260011</v>
      </c>
      <c r="DK65" s="19">
        <f t="shared" si="198"/>
        <v>37822241.238073446</v>
      </c>
      <c r="DL65" s="19">
        <f t="shared" si="199"/>
        <v>45525287.630068585</v>
      </c>
      <c r="DM65" s="19">
        <f t="shared" si="200"/>
        <v>55230590.131340057</v>
      </c>
      <c r="DN65" s="19">
        <f t="shared" si="201"/>
        <v>66345425.50233236</v>
      </c>
      <c r="DO65" s="19">
        <f t="shared" si="202"/>
        <v>61852291.760000005</v>
      </c>
      <c r="DP65" s="19">
        <f t="shared" si="203"/>
        <v>76220163.50000003</v>
      </c>
      <c r="DQ65" s="19">
        <f t="shared" si="204"/>
        <v>92366726.430000007</v>
      </c>
      <c r="DR65" s="19">
        <f t="shared" si="205"/>
        <v>81589596.536887184</v>
      </c>
      <c r="DS65" s="19">
        <f t="shared" si="206"/>
        <v>79523609.470184609</v>
      </c>
      <c r="DT65" s="19">
        <f t="shared" si="207"/>
        <v>91192728.251751766</v>
      </c>
      <c r="DU65" s="19">
        <f t="shared" si="208"/>
        <v>102195645.76576504</v>
      </c>
      <c r="DV65" s="19">
        <f t="shared" si="209"/>
        <v>99767276.513168111</v>
      </c>
      <c r="DW65" s="19">
        <f t="shared" si="210"/>
        <v>96728330.203462511</v>
      </c>
      <c r="DX65" s="19">
        <f t="shared" si="211"/>
        <v>109792307.08609858</v>
      </c>
      <c r="DY65" s="19">
        <f t="shared" si="212"/>
        <v>121180818.43019775</v>
      </c>
      <c r="DZ65" s="19">
        <f t="shared" si="23"/>
        <v>113577735.99461649</v>
      </c>
      <c r="EA65" s="19">
        <f t="shared" si="24"/>
        <v>109857677.27551982</v>
      </c>
      <c r="EB65" s="19">
        <f t="shared" si="25"/>
        <v>124514059.41783255</v>
      </c>
      <c r="EC65" s="19">
        <f t="shared" si="26"/>
        <v>137321383.8611705</v>
      </c>
      <c r="EE65" s="19">
        <f>SUM(DF65:DI65)</f>
        <v>154273894.57742977</v>
      </c>
      <c r="EF65" s="19">
        <f>SUM(DJ65:DM65)</f>
        <v>184827507.1287421</v>
      </c>
      <c r="EG65" s="19">
        <f>SUM(DN65:DQ65)</f>
        <v>296784607.19233239</v>
      </c>
      <c r="EH65" s="19">
        <f>SUM(DR65:DU65)</f>
        <v>354501580.02458858</v>
      </c>
      <c r="EI65" s="19">
        <f>SUM(DV65:DY65)</f>
        <v>427468732.23292696</v>
      </c>
      <c r="EJ65" s="770">
        <f t="shared" si="27"/>
        <v>485270856.54913938</v>
      </c>
    </row>
    <row r="66" spans="2:140" x14ac:dyDescent="0.2">
      <c r="B66" s="167" t="s">
        <v>191</v>
      </c>
      <c r="C66" s="19">
        <f>'P&amp;L - Inputs'!AB453</f>
        <v>557628.25576271198</v>
      </c>
      <c r="D66" s="19">
        <f>'P&amp;L - Inputs'!AC453</f>
        <v>605957.3389830509</v>
      </c>
      <c r="E66" s="19">
        <f>'P&amp;L - Inputs'!AD453</f>
        <v>628859.04406779667</v>
      </c>
      <c r="F66" s="19">
        <f>'P&amp;L - Inputs'!AE453</f>
        <v>531251.55762711866</v>
      </c>
      <c r="G66" s="19">
        <f>'P&amp;L - Inputs'!AF453</f>
        <v>501295.42372881359</v>
      </c>
      <c r="H66" s="19">
        <f>'P&amp;L - Inputs'!AG453</f>
        <v>482757.40677966102</v>
      </c>
      <c r="I66" s="19">
        <f>'P&amp;L - Inputs'!AH453</f>
        <v>485257.57627118647</v>
      </c>
      <c r="J66" s="19">
        <f>'P&amp;L - Inputs'!AI453</f>
        <v>483219.15254237287</v>
      </c>
      <c r="K66" s="19">
        <f>'P&amp;L - Inputs'!AJ453</f>
        <v>376590</v>
      </c>
      <c r="L66" s="19">
        <f>'P&amp;L - Inputs'!AK453</f>
        <v>577504.37288135593</v>
      </c>
      <c r="M66" s="19">
        <f>'P&amp;L - Inputs'!AL453</f>
        <v>366042.05084745766</v>
      </c>
      <c r="N66" s="19">
        <f>'P&amp;L - Inputs'!AM453</f>
        <v>0</v>
      </c>
      <c r="O66" s="19">
        <f>'P&amp;L - Inputs'!AN453</f>
        <v>658483.16949152539</v>
      </c>
      <c r="P66" s="19">
        <f>'P&amp;L - Inputs'!AO453</f>
        <v>915910.93220338982</v>
      </c>
      <c r="Q66" s="19">
        <f>'P&amp;L - Inputs'!AP453</f>
        <v>843833.59322033892</v>
      </c>
      <c r="R66" s="19">
        <f>'P&amp;L - Inputs'!AQ453</f>
        <v>1032146.8474576272</v>
      </c>
      <c r="S66" s="19">
        <f>'P&amp;L - Inputs'!AR453</f>
        <v>972694.37288135593</v>
      </c>
      <c r="T66" s="19">
        <f>'P&amp;L - Inputs'!AS453</f>
        <v>1032131.2881355933</v>
      </c>
      <c r="U66" s="19">
        <f>'P&amp;L - Inputs'!AT453</f>
        <v>1466665.6271186441</v>
      </c>
      <c r="V66" s="19">
        <f>'P&amp;L - Inputs'!AU453</f>
        <v>1426851.4576271186</v>
      </c>
      <c r="W66" s="19">
        <f>'P&amp;L - Inputs'!AV453</f>
        <v>1447871.0338983051</v>
      </c>
      <c r="X66" s="19">
        <f>'P&amp;L - Inputs'!AW453</f>
        <v>1344299.9491525423</v>
      </c>
      <c r="Y66" s="19">
        <f>'P&amp;L - Inputs'!AX453</f>
        <v>1612578.5084745763</v>
      </c>
      <c r="Z66" s="19">
        <f>'P&amp;L - Inputs'!AY453</f>
        <v>1885403.7457627119</v>
      </c>
      <c r="AA66" s="19">
        <f>'P&amp;L - Inputs'!AZ453</f>
        <v>1950893.5423728814</v>
      </c>
      <c r="AB66" s="19">
        <f>'P&amp;L - Inputs'!BA453</f>
        <v>2305092.661016949</v>
      </c>
      <c r="AC66" s="19">
        <f>'P&amp;L - Inputs'!BB453</f>
        <v>2348095.1186440676</v>
      </c>
      <c r="AD66" s="19">
        <f>'P&amp;L - Inputs'!BC453</f>
        <v>2271807.1525423732</v>
      </c>
      <c r="AE66" s="19">
        <f>'P&amp;L - Inputs'!BD453</f>
        <v>2167587.3050847459</v>
      </c>
      <c r="AF66" s="19">
        <f>'P&amp;L - Inputs'!BE453</f>
        <v>2287807.1694915257</v>
      </c>
      <c r="AG66" s="19">
        <f>'P&amp;L - Inputs'!BF453</f>
        <v>2305616.7966101696</v>
      </c>
      <c r="AH66" s="19">
        <f>'P&amp;L - Inputs'!BG453</f>
        <v>2449101.9661016949</v>
      </c>
      <c r="AI66" s="19">
        <f>'P&amp;L - Inputs'!BH453</f>
        <v>2306565.4576271186</v>
      </c>
      <c r="AJ66" s="19">
        <f>'P&amp;L - Inputs'!BI453</f>
        <v>2427930.9152542371</v>
      </c>
      <c r="AK66" s="19">
        <f>'P&amp;L - Inputs'!BJ453</f>
        <v>2510098.1694915257</v>
      </c>
      <c r="AL66" s="19">
        <f>'P&amp;L - Inputs'!BK453</f>
        <v>2633149.0677966098</v>
      </c>
      <c r="AM66" s="19">
        <f>'P&amp;L - Inputs'!BL453</f>
        <v>2766704.7966101696</v>
      </c>
      <c r="AN66" s="19">
        <f>'P&amp;L - Inputs'!BM453</f>
        <v>2977060.881355932</v>
      </c>
      <c r="AO66" s="19">
        <f>'P&amp;L - Inputs'!BN453</f>
        <v>3008913.2542372881</v>
      </c>
      <c r="AP66" s="19">
        <f>'P&amp;L - Inputs'!BO453</f>
        <v>2608360.0169491526</v>
      </c>
      <c r="AQ66" s="19">
        <f>'P&amp;L - Inputs'!BP453</f>
        <v>2671229.440677966</v>
      </c>
      <c r="AR66" s="19">
        <f>'P&amp;L - Inputs'!BQ453</f>
        <v>2221117.1694915257</v>
      </c>
      <c r="AS66" s="19">
        <f>'P&amp;L - Inputs'!BR453</f>
        <v>2230951.4237288139</v>
      </c>
      <c r="AT66" s="19">
        <f>'P&amp;L - Inputs'!BS453</f>
        <v>2194235.6949152541</v>
      </c>
      <c r="AU66" s="19">
        <f>'P&amp;L - Inputs'!BT453</f>
        <v>2211927.2542372881</v>
      </c>
      <c r="AV66" s="19">
        <f>'P&amp;L - Inputs'!BU453</f>
        <v>2576596.4237288139</v>
      </c>
      <c r="AW66" s="19">
        <f>'P&amp;L - Inputs'!BV453</f>
        <v>2739616.4745762711</v>
      </c>
      <c r="AX66" s="19">
        <f>'P&amp;L - Inputs'!BW453</f>
        <v>2938392.4576271186</v>
      </c>
      <c r="AY66" s="19">
        <f>'P&amp;L - Inputs'!BX453</f>
        <v>3172524.4067796608</v>
      </c>
      <c r="AZ66" s="19">
        <f>'P&amp;L - Inputs'!BY453</f>
        <v>3382553.410169492</v>
      </c>
      <c r="BA66" s="19">
        <f>'P&amp;L - Inputs'!BZ453</f>
        <v>3297736.677966102</v>
      </c>
      <c r="BB66" s="19">
        <f>'P&amp;L - Inputs'!CA453</f>
        <v>3175617.8135593222</v>
      </c>
      <c r="BC66" s="19">
        <f>'P&amp;L - Inputs'!CB453</f>
        <v>3235067.9511864404</v>
      </c>
      <c r="BD66" s="19">
        <f>'P&amp;L - Inputs'!CC453</f>
        <v>2937331.0555932205</v>
      </c>
      <c r="BE66" s="19">
        <f>'P&amp;L - Inputs'!CD453</f>
        <v>3417043.8630508478</v>
      </c>
      <c r="BF66" s="19">
        <f>'P&amp;L - Inputs'!CE453</f>
        <v>3249178.5477966098</v>
      </c>
      <c r="BG66" s="19">
        <f>'P&amp;L - Inputs'!CF453</f>
        <v>2840330.1966101695</v>
      </c>
      <c r="BH66" s="19">
        <f>'P&amp;L - Inputs'!CG453</f>
        <v>3768998.4488135595</v>
      </c>
      <c r="BI66" s="19">
        <f>'P&amp;L - Inputs'!CH453</f>
        <v>3477886.3220338984</v>
      </c>
      <c r="BJ66" s="19">
        <f>'P&amp;L - Inputs'!CI453</f>
        <v>3589146.6101694917</v>
      </c>
      <c r="BK66" s="19">
        <f>'P&amp;L - Inputs'!CJ453</f>
        <v>3606751.4338983051</v>
      </c>
      <c r="BL66" s="19">
        <f>'P&amp;L - Inputs'!CK453</f>
        <v>4075042.5320338984</v>
      </c>
      <c r="BM66" s="19">
        <f>'P&amp;L - Inputs'!CL453</f>
        <v>4578882.9055932201</v>
      </c>
      <c r="BN66" s="19">
        <f>'P&amp;L - Inputs'!CM453</f>
        <v>3836151.4316949151</v>
      </c>
      <c r="BO66" s="19">
        <f>'P&amp;L - Inputs'!CN453</f>
        <v>3915628.5844067796</v>
      </c>
      <c r="BP66" s="19">
        <f>'P&amp;L - Inputs'!CO453</f>
        <v>4060098.3188135591</v>
      </c>
      <c r="BQ66" s="19">
        <f>'P&amp;L - Inputs'!CP453</f>
        <v>4904745.7637288133</v>
      </c>
      <c r="BR66" s="19">
        <f>'P&amp;L - Inputs'!CQ453</f>
        <v>4861837.5391525421</v>
      </c>
      <c r="BS66" s="19">
        <f>'P&amp;L - Inputs'!CR453</f>
        <v>4752311.9247457627</v>
      </c>
      <c r="BT66" s="19">
        <f>'P&amp;L - Inputs'!CS453</f>
        <v>8096491.0159322042</v>
      </c>
      <c r="BU66" s="19">
        <f>'P&amp;L - Inputs'!CT453</f>
        <v>6821057.1584985536</v>
      </c>
      <c r="BV66" s="19">
        <f>'P&amp;L - Inputs'!CU453</f>
        <v>6679875.9213521127</v>
      </c>
      <c r="BW66" s="19">
        <f>'P&amp;L - Inputs'!CV453</f>
        <v>6665951.8610503478</v>
      </c>
      <c r="BX66" s="19">
        <f>'P&amp;L - Inputs'!CW453</f>
        <v>7218329.398318083</v>
      </c>
      <c r="BY66" s="19">
        <f>'P&amp;L - Inputs'!CX453</f>
        <v>6449211.7203287696</v>
      </c>
      <c r="BZ66" s="19">
        <f>'P&amp;L - Inputs'!CY453</f>
        <v>5988684.0662061777</v>
      </c>
      <c r="CA66" s="19">
        <f>'P&amp;L - Inputs'!CZ453</f>
        <v>7472427.5670152875</v>
      </c>
      <c r="CB66" s="19">
        <f>'P&amp;L - Inputs'!DA453</f>
        <v>6881600.7250713464</v>
      </c>
      <c r="CC66" s="19">
        <f>'P&amp;L - Inputs'!DB453</f>
        <v>8186507.9546942217</v>
      </c>
      <c r="CD66" s="19">
        <f>'P&amp;L - Inputs'!DC453</f>
        <v>8387592.796322722</v>
      </c>
      <c r="CE66" s="19">
        <f>'P&amp;L - Inputs'!DD453</f>
        <v>7799602.8089700593</v>
      </c>
      <c r="CF66" s="19">
        <f>'P&amp;L - Inputs'!DE453</f>
        <v>9072983.5976707358</v>
      </c>
      <c r="CG66" s="19">
        <f>'P&amp;L - Inputs'!DF453</f>
        <v>8341300.6449426142</v>
      </c>
      <c r="CH66" s="19">
        <f>'P&amp;L - Inputs'!DG453</f>
        <v>8189110.1235780176</v>
      </c>
      <c r="CI66" s="19">
        <f>'P&amp;L - Inputs'!DH453</f>
        <v>8129536.9663413968</v>
      </c>
      <c r="CJ66" s="19">
        <f>'P&amp;L - Inputs'!DI453</f>
        <v>8798679.4283964522</v>
      </c>
      <c r="CK66" s="19">
        <f>'P&amp;L - Inputs'!DJ453</f>
        <v>7844024.7060113735</v>
      </c>
      <c r="CL66" s="19">
        <f>'P&amp;L - Inputs'!DK453</f>
        <v>7266092.9247464119</v>
      </c>
      <c r="CM66" s="19">
        <f>'P&amp;L - Inputs'!DL453</f>
        <v>9039328.5769138224</v>
      </c>
      <c r="CN66" s="19">
        <f>'P&amp;L - Inputs'!DM453</f>
        <v>8280337.149542273</v>
      </c>
      <c r="CO66" s="19">
        <f>'P&amp;L - Inputs'!DN453</f>
        <v>9818216.0425802525</v>
      </c>
      <c r="CP66" s="19">
        <f>'P&amp;L - Inputs'!DO453</f>
        <v>10017863.813359633</v>
      </c>
      <c r="CQ66" s="19">
        <f>'P&amp;L - Inputs'!DP453</f>
        <v>9269060.724425599</v>
      </c>
      <c r="CR66" s="19">
        <f>'P&amp;L - Inputs'!DQ453</f>
        <v>10665909.230931101</v>
      </c>
      <c r="CS66" s="19">
        <f>'P&amp;L - Inputs'!DR453</f>
        <v>9504249.2675472908</v>
      </c>
      <c r="CT66" s="19">
        <f>'P&amp;L - Inputs'!DS453</f>
        <v>9321512.6453396715</v>
      </c>
      <c r="CU66" s="19">
        <f>'P&amp;L - Inputs'!DT453</f>
        <v>9247782.1524511836</v>
      </c>
      <c r="CV66" s="19">
        <f>'P&amp;L - Inputs'!DU453</f>
        <v>10005655.984778609</v>
      </c>
      <c r="CW66" s="19">
        <f>'P&amp;L - Inputs'!DV453</f>
        <v>8908440.2323229946</v>
      </c>
      <c r="CX66" s="19">
        <f>'P&amp;L - Inputs'!DW453</f>
        <v>8239943.4096099809</v>
      </c>
      <c r="CY66" s="19">
        <f>'P&amp;L - Inputs'!DX453</f>
        <v>10256258.956403209</v>
      </c>
      <c r="CZ66" s="19">
        <f>'P&amp;L - Inputs'!DY453</f>
        <v>9386882.9775560834</v>
      </c>
      <c r="DA66" s="19">
        <f>'P&amp;L - Inputs'!DZ453</f>
        <v>11133584.712417435</v>
      </c>
      <c r="DB66" s="19">
        <f>'P&amp;L - Inputs'!EA453</f>
        <v>11357539.948488116</v>
      </c>
      <c r="DC66" s="19">
        <f>'P&amp;L - Inputs'!EB453</f>
        <v>10500226.233091263</v>
      </c>
      <c r="DD66" s="19">
        <f>'P&amp;L - Inputs'!EC453</f>
        <v>12084607.182180161</v>
      </c>
      <c r="DF66" s="19">
        <f t="shared" si="193"/>
        <v>7909952.0338983051</v>
      </c>
      <c r="DG66" s="19">
        <f t="shared" si="194"/>
        <v>8594334.1525423732</v>
      </c>
      <c r="DH66" s="19">
        <f t="shared" si="195"/>
        <v>7123298.0338983051</v>
      </c>
      <c r="DI66" s="19">
        <f t="shared" si="196"/>
        <v>6982759.3728813566</v>
      </c>
      <c r="DJ66" s="19">
        <f t="shared" si="197"/>
        <v>8850533.3389830515</v>
      </c>
      <c r="DK66" s="19">
        <f t="shared" si="198"/>
        <v>9855907.9016949162</v>
      </c>
      <c r="DL66" s="19">
        <f t="shared" si="199"/>
        <v>9589442.8698305096</v>
      </c>
      <c r="DM66" s="19">
        <f t="shared" si="200"/>
        <v>9858507.1932203397</v>
      </c>
      <c r="DN66" s="19">
        <f t="shared" si="201"/>
        <v>10673784.366101695</v>
      </c>
      <c r="DO66" s="19">
        <f t="shared" si="202"/>
        <v>12490076.869322034</v>
      </c>
      <c r="DP66" s="19">
        <f t="shared" si="203"/>
        <v>12880472.666949153</v>
      </c>
      <c r="DQ66" s="19">
        <f t="shared" si="204"/>
        <v>17710640.479830511</v>
      </c>
      <c r="DR66" s="19">
        <f t="shared" si="205"/>
        <v>20166884.940901015</v>
      </c>
      <c r="DS66" s="19">
        <f t="shared" si="206"/>
        <v>19656225.184853032</v>
      </c>
      <c r="DT66" s="19">
        <f t="shared" si="207"/>
        <v>22540536.246780857</v>
      </c>
      <c r="DU66" s="19">
        <f t="shared" si="208"/>
        <v>25260179.202963516</v>
      </c>
      <c r="DV66" s="19">
        <f t="shared" si="209"/>
        <v>24659947.73486203</v>
      </c>
      <c r="DW66" s="19">
        <f t="shared" si="210"/>
        <v>23908797.059154239</v>
      </c>
      <c r="DX66" s="19">
        <f t="shared" si="211"/>
        <v>27137881.769036345</v>
      </c>
      <c r="DY66" s="19">
        <f t="shared" si="212"/>
        <v>29952833.768716335</v>
      </c>
      <c r="DZ66" s="19">
        <f t="shared" si="23"/>
        <v>28073544.065338146</v>
      </c>
      <c r="EA66" s="19">
        <f t="shared" si="24"/>
        <v>27154039.626711585</v>
      </c>
      <c r="EB66" s="19">
        <f t="shared" si="25"/>
        <v>30776726.646376725</v>
      </c>
      <c r="EC66" s="19">
        <f t="shared" si="26"/>
        <v>33942373.36375954</v>
      </c>
      <c r="EE66" s="19">
        <f>SUM(DF66:DI66)</f>
        <v>30610343.593220342</v>
      </c>
      <c r="EF66" s="19">
        <f>SUM(DJ66:DM66)</f>
        <v>38154391.303728819</v>
      </c>
      <c r="EG66" s="19">
        <f>SUM(DN66:DQ66)</f>
        <v>53754974.382203393</v>
      </c>
      <c r="EH66" s="19">
        <f>SUM(DR66:DU66)</f>
        <v>87623825.575498417</v>
      </c>
      <c r="EI66" s="19">
        <f>SUM(DV66:DY66)</f>
        <v>105659460.33176896</v>
      </c>
      <c r="EJ66" s="770">
        <f t="shared" si="27"/>
        <v>119946683.70218599</v>
      </c>
    </row>
    <row r="67" spans="2:140" x14ac:dyDescent="0.2">
      <c r="B67" s="167" t="s">
        <v>140</v>
      </c>
      <c r="C67" s="19">
        <f>'P&amp;L - Inputs'!AB454</f>
        <v>21333.785979661014</v>
      </c>
      <c r="D67" s="19">
        <f>'P&amp;L - Inputs'!AC454</f>
        <v>19508.186440677975</v>
      </c>
      <c r="E67" s="19">
        <f>'P&amp;L - Inputs'!AD454</f>
        <v>32191.033728813556</v>
      </c>
      <c r="F67" s="19">
        <f>'P&amp;L - Inputs'!AE454</f>
        <v>42771.767796610169</v>
      </c>
      <c r="G67" s="19">
        <f>'P&amp;L - Inputs'!AF454</f>
        <v>40124.492542372878</v>
      </c>
      <c r="H67" s="19">
        <f>'P&amp;L - Inputs'!AG454</f>
        <v>43933.881355932208</v>
      </c>
      <c r="I67" s="19">
        <f>'P&amp;L - Inputs'!AH454</f>
        <v>49829.554067796606</v>
      </c>
      <c r="J67" s="19">
        <f>'P&amp;L - Inputs'!AI454</f>
        <v>58034.541355932197</v>
      </c>
      <c r="K67" s="19">
        <f>'P&amp;L - Inputs'!AJ454</f>
        <v>162983.59322033916</v>
      </c>
      <c r="L67" s="19">
        <f>'P&amp;L - Inputs'!AK454</f>
        <v>91062.910677966094</v>
      </c>
      <c r="M67" s="19">
        <f>'P&amp;L - Inputs'!AL454</f>
        <v>42515.867288135589</v>
      </c>
      <c r="N67" s="19">
        <f>'P&amp;L - Inputs'!AM454</f>
        <v>1128</v>
      </c>
      <c r="O67" s="19">
        <f>'P&amp;L - Inputs'!AN454</f>
        <v>52782</v>
      </c>
      <c r="P67" s="19">
        <f>'P&amp;L - Inputs'!AO454</f>
        <v>96667</v>
      </c>
      <c r="Q67" s="19">
        <f>'P&amp;L - Inputs'!AP454</f>
        <v>239092</v>
      </c>
      <c r="R67" s="19">
        <f>'P&amp;L - Inputs'!AQ454</f>
        <v>313996</v>
      </c>
      <c r="S67" s="19">
        <f>'P&amp;L - Inputs'!AR454</f>
        <v>305733.22474576271</v>
      </c>
      <c r="T67" s="19">
        <f>'P&amp;L - Inputs'!AS454</f>
        <v>357791.05830508575</v>
      </c>
      <c r="U67" s="19">
        <f>'P&amp;L - Inputs'!AT454</f>
        <v>494966.04406779865</v>
      </c>
      <c r="V67" s="19">
        <f>'P&amp;L - Inputs'!AU454</f>
        <v>478307.40254237305</v>
      </c>
      <c r="W67" s="19">
        <f>'P&amp;L - Inputs'!AV454</f>
        <v>467438.65627118654</v>
      </c>
      <c r="X67" s="19">
        <f>'P&amp;L - Inputs'!AW454</f>
        <v>680770.41864406783</v>
      </c>
      <c r="Y67" s="19">
        <f>'P&amp;L - Inputs'!AX454</f>
        <v>506776.72576271225</v>
      </c>
      <c r="Z67" s="19">
        <f>'P&amp;L - Inputs'!AY454</f>
        <v>509625.38745762722</v>
      </c>
      <c r="AA67" s="19">
        <f>'P&amp;L - Inputs'!AZ454</f>
        <v>634355.1106779658</v>
      </c>
      <c r="AB67" s="19">
        <f>'P&amp;L - Inputs'!BA454</f>
        <v>704373.29999999912</v>
      </c>
      <c r="AC67" s="19">
        <f>'P&amp;L - Inputs'!BB454</f>
        <v>840334.27118644037</v>
      </c>
      <c r="AD67" s="19">
        <f>'P&amp;L - Inputs'!BC454</f>
        <v>923583.69152542367</v>
      </c>
      <c r="AE67" s="19">
        <f>'P&amp;L - Inputs'!BD454</f>
        <v>874280.03186440654</v>
      </c>
      <c r="AF67" s="19">
        <f>'P&amp;L - Inputs'!BE454</f>
        <v>729356.07203389844</v>
      </c>
      <c r="AG67" s="19">
        <f>'P&amp;L - Inputs'!BF454</f>
        <v>773047.69169491518</v>
      </c>
      <c r="AH67" s="19">
        <f>'P&amp;L - Inputs'!BG454</f>
        <v>927624.61677966081</v>
      </c>
      <c r="AI67" s="19">
        <f>'P&amp;L - Inputs'!BH454</f>
        <v>1041996.0386440681</v>
      </c>
      <c r="AJ67" s="19">
        <f>'P&amp;L - Inputs'!BI454</f>
        <v>1060185.7876271184</v>
      </c>
      <c r="AK67" s="19">
        <f>'P&amp;L - Inputs'!BJ454</f>
        <v>1110590.3883050857</v>
      </c>
      <c r="AL67" s="19">
        <f>'P&amp;L - Inputs'!BK454</f>
        <v>1166116.149152542</v>
      </c>
      <c r="AM67" s="19">
        <f>'P&amp;L - Inputs'!BL454</f>
        <v>1271108.3201694947</v>
      </c>
      <c r="AN67" s="19">
        <f>'P&amp;L - Inputs'!BM454</f>
        <v>1197842.6135593215</v>
      </c>
      <c r="AO67" s="19">
        <f>'P&amp;L - Inputs'!BN454</f>
        <v>1743865.3693220434</v>
      </c>
      <c r="AP67" s="19">
        <f>'P&amp;L - Inputs'!BO454</f>
        <v>1647608.9049152543</v>
      </c>
      <c r="AQ67" s="19">
        <f>'P&amp;L - Inputs'!BP454</f>
        <v>2212780.6970389807</v>
      </c>
      <c r="AR67" s="19">
        <f>'P&amp;L - Inputs'!BQ454</f>
        <v>1435516.9572112393</v>
      </c>
      <c r="AS67" s="19">
        <f>'P&amp;L - Inputs'!BR454</f>
        <v>1220151.7877735614</v>
      </c>
      <c r="AT67" s="19">
        <f>'P&amp;L - Inputs'!BS454</f>
        <v>1067220.4438976489</v>
      </c>
      <c r="AU67" s="19">
        <f>'P&amp;L - Inputs'!BT454</f>
        <v>1192513.3264304565</v>
      </c>
      <c r="AV67" s="19">
        <f>'P&amp;L - Inputs'!BU454</f>
        <v>1324611.3035550413</v>
      </c>
      <c r="AW67" s="19">
        <f>'P&amp;L - Inputs'!BV454</f>
        <v>1389924.6284703903</v>
      </c>
      <c r="AX67" s="19">
        <f>'P&amp;L - Inputs'!BW454</f>
        <v>1392292.3912185817</v>
      </c>
      <c r="AY67" s="19">
        <f>'P&amp;L - Inputs'!BX454</f>
        <v>1589559.2550058251</v>
      </c>
      <c r="AZ67" s="19">
        <f>'P&amp;L - Inputs'!BY454</f>
        <v>1553179.1110175806</v>
      </c>
      <c r="BA67" s="19">
        <f>'P&amp;L - Inputs'!BZ454</f>
        <v>1537486.6057627113</v>
      </c>
      <c r="BB67" s="19">
        <f>'P&amp;L - Inputs'!CA454</f>
        <v>1210787.3755857463</v>
      </c>
      <c r="BC67" s="19">
        <f>'P&amp;L - Inputs'!CB454</f>
        <v>1919724.892106557</v>
      </c>
      <c r="BD67" s="19">
        <f>'P&amp;L - Inputs'!CC454</f>
        <v>1558765.4796610177</v>
      </c>
      <c r="BE67" s="19">
        <f>'P&amp;L - Inputs'!CD454</f>
        <v>1856770.8950116916</v>
      </c>
      <c r="BF67" s="19">
        <f>'P&amp;L - Inputs'!CE454</f>
        <v>1958170.7806779507</v>
      </c>
      <c r="BG67" s="19">
        <f>'P&amp;L - Inputs'!CF454</f>
        <v>1744917.2191525323</v>
      </c>
      <c r="BH67" s="19">
        <f>'P&amp;L - Inputs'!CG454</f>
        <v>2066472.376779661</v>
      </c>
      <c r="BI67" s="19">
        <f>'P&amp;L - Inputs'!CH454</f>
        <v>1931106.1362711862</v>
      </c>
      <c r="BJ67" s="19">
        <f>'P&amp;L - Inputs'!CI454</f>
        <v>2018879.7330508465</v>
      </c>
      <c r="BK67" s="19">
        <f>'P&amp;L - Inputs'!CJ454</f>
        <v>1585411.2823728651</v>
      </c>
      <c r="BL67" s="19">
        <f>'P&amp;L - Inputs'!CK454</f>
        <v>1874000.344576271</v>
      </c>
      <c r="BM67" s="19">
        <f>'P&amp;L - Inputs'!CL454</f>
        <v>1696093.9566101695</v>
      </c>
      <c r="BN67" s="19">
        <f>'P&amp;L - Inputs'!CM454</f>
        <v>2100680.6033898308</v>
      </c>
      <c r="BO67" s="19">
        <f>'P&amp;L - Inputs'!CN454</f>
        <v>2965688.1518644071</v>
      </c>
      <c r="BP67" s="19">
        <f>'P&amp;L - Inputs'!CO454</f>
        <v>2665636.6469491525</v>
      </c>
      <c r="BQ67" s="19">
        <f>'P&amp;L - Inputs'!CP454</f>
        <v>3321545.4106779699</v>
      </c>
      <c r="BR67" s="19">
        <f>'P&amp;L - Inputs'!CQ454</f>
        <v>2883431.6984745786</v>
      </c>
      <c r="BS67" s="19">
        <f>'P&amp;L - Inputs'!CR454</f>
        <v>2773084.3871186469</v>
      </c>
      <c r="BT67" s="19">
        <f>'P&amp;L - Inputs'!CS454</f>
        <v>3241934.679661022</v>
      </c>
      <c r="BU67" s="19">
        <f>'P&amp;L - Inputs'!CT454</f>
        <v>2731235.2611238537</v>
      </c>
      <c r="BV67" s="19">
        <f>'P&amp;L - Inputs'!CU454</f>
        <v>2674704.5556711047</v>
      </c>
      <c r="BW67" s="19">
        <f>'P&amp;L - Inputs'!CV454</f>
        <v>2669129.1905054846</v>
      </c>
      <c r="BX67" s="19">
        <f>'P&amp;L - Inputs'!CW454</f>
        <v>2890307.9568142663</v>
      </c>
      <c r="BY67" s="19">
        <f>'P&amp;L - Inputs'!CX454</f>
        <v>2582343.7698464352</v>
      </c>
      <c r="BZ67" s="19">
        <f>'P&amp;L - Inputs'!CY454</f>
        <v>2397942.8275240073</v>
      </c>
      <c r="CA67" s="19">
        <f>'P&amp;L - Inputs'!CZ454</f>
        <v>2992051.9917939655</v>
      </c>
      <c r="CB67" s="19">
        <f>'P&amp;L - Inputs'!DA454</f>
        <v>2755477.6505387831</v>
      </c>
      <c r="CC67" s="19">
        <f>'P&amp;L - Inputs'!DB454</f>
        <v>3277978.5701507726</v>
      </c>
      <c r="CD67" s="19">
        <f>'P&amp;L - Inputs'!DC454</f>
        <v>3358495.4163186704</v>
      </c>
      <c r="CE67" s="19">
        <f>'P&amp;L - Inputs'!DD454</f>
        <v>3123056.9865666963</v>
      </c>
      <c r="CF67" s="19">
        <f>'P&amp;L - Inputs'!DE454</f>
        <v>3632934.3311076039</v>
      </c>
      <c r="CG67" s="19">
        <f>'P&amp;L - Inputs'!DF454</f>
        <v>3339959.4689977914</v>
      </c>
      <c r="CH67" s="19">
        <f>'P&amp;L - Inputs'!DG454</f>
        <v>3279020.510607461</v>
      </c>
      <c r="CI67" s="19">
        <f>'P&amp;L - Inputs'!DH454</f>
        <v>3255166.6850375617</v>
      </c>
      <c r="CJ67" s="19">
        <f>'P&amp;L - Inputs'!DI454</f>
        <v>3523099.5647383216</v>
      </c>
      <c r="CK67" s="19">
        <f>'P&amp;L - Inputs'!DJ454</f>
        <v>3140844.0610253946</v>
      </c>
      <c r="CL67" s="19">
        <f>'P&amp;L - Inputs'!DK454</f>
        <v>2909433.0608187295</v>
      </c>
      <c r="CM67" s="19">
        <f>'P&amp;L - Inputs'!DL454</f>
        <v>3619458.4464654983</v>
      </c>
      <c r="CN67" s="19">
        <f>'P&amp;L - Inputs'!DM454</f>
        <v>3315548.9349105172</v>
      </c>
      <c r="CO67" s="19">
        <f>'P&amp;L - Inputs'!DN454</f>
        <v>3931334.5766962869</v>
      </c>
      <c r="CP67" s="19">
        <f>'P&amp;L - Inputs'!DO454</f>
        <v>4011276.0020042439</v>
      </c>
      <c r="CQ67" s="19">
        <f>'P&amp;L - Inputs'!DP454</f>
        <v>3711446.0265895128</v>
      </c>
      <c r="CR67" s="19">
        <f>'P&amp;L - Inputs'!DQ454</f>
        <v>4270761.3653655043</v>
      </c>
      <c r="CS67" s="19">
        <f>'P&amp;L - Inputs'!DR454</f>
        <v>3805618.4146900848</v>
      </c>
      <c r="CT67" s="19">
        <f>'P&amp;L - Inputs'!DS454</f>
        <v>3732448.4214654607</v>
      </c>
      <c r="CU67" s="19">
        <f>'P&amp;L - Inputs'!DT454</f>
        <v>3702925.8244078802</v>
      </c>
      <c r="CV67" s="19">
        <f>'P&amp;L - Inputs'!DU454</f>
        <v>4006387.8371483455</v>
      </c>
      <c r="CW67" s="19">
        <f>'P&amp;L - Inputs'!DV454</f>
        <v>3567049.1419090633</v>
      </c>
      <c r="CX67" s="19">
        <f>'P&amp;L - Inputs'!DW454</f>
        <v>3299374.7841494014</v>
      </c>
      <c r="CY67" s="19">
        <f>'P&amp;L - Inputs'!DX454</f>
        <v>4106732.3521903781</v>
      </c>
      <c r="CZ67" s="19">
        <f>'P&amp;L - Inputs'!DY454</f>
        <v>3758623.5072669913</v>
      </c>
      <c r="DA67" s="19">
        <f>'P&amp;L - Inputs'!DZ454</f>
        <v>4458024.385762142</v>
      </c>
      <c r="DB67" s="19">
        <f>'P&amp;L - Inputs'!EA454</f>
        <v>4547698.8194248863</v>
      </c>
      <c r="DC67" s="19">
        <f>'P&amp;L - Inputs'!EB454</f>
        <v>4204419.8532869741</v>
      </c>
      <c r="DD67" s="19">
        <f>'P&amp;L - Inputs'!EC454</f>
        <v>4838825.4908079775</v>
      </c>
      <c r="DF67" s="19">
        <f t="shared" si="193"/>
        <v>3547814.8576271227</v>
      </c>
      <c r="DG67" s="19">
        <f t="shared" si="194"/>
        <v>4589316.887796619</v>
      </c>
      <c r="DH67" s="19">
        <f t="shared" si="195"/>
        <v>4868449.4420237811</v>
      </c>
      <c r="DI67" s="19">
        <f t="shared" si="196"/>
        <v>3584345.073883147</v>
      </c>
      <c r="DJ67" s="19">
        <f t="shared" si="197"/>
        <v>4371776.2746947976</v>
      </c>
      <c r="DK67" s="19">
        <f t="shared" si="198"/>
        <v>4301453.0923660379</v>
      </c>
      <c r="DL67" s="19">
        <f t="shared" si="199"/>
        <v>5335261.2667792663</v>
      </c>
      <c r="DM67" s="19">
        <f t="shared" si="200"/>
        <v>5769560.376610144</v>
      </c>
      <c r="DN67" s="19">
        <f t="shared" si="201"/>
        <v>5535397.1516948976</v>
      </c>
      <c r="DO67" s="19">
        <f t="shared" si="202"/>
        <v>5670774.9045762718</v>
      </c>
      <c r="DP67" s="19">
        <f t="shared" si="203"/>
        <v>8952870.2094915286</v>
      </c>
      <c r="DQ67" s="19">
        <f t="shared" si="204"/>
        <v>8898450.7652542479</v>
      </c>
      <c r="DR67" s="19">
        <f t="shared" si="205"/>
        <v>8075069.0073004421</v>
      </c>
      <c r="DS67" s="19">
        <f t="shared" si="206"/>
        <v>7870594.5541847087</v>
      </c>
      <c r="DT67" s="19">
        <f t="shared" si="207"/>
        <v>9025508.2124835216</v>
      </c>
      <c r="DU67" s="19">
        <f t="shared" si="208"/>
        <v>10114486.73399297</v>
      </c>
      <c r="DV67" s="19">
        <f t="shared" si="209"/>
        <v>9874146.6646428145</v>
      </c>
      <c r="DW67" s="19">
        <f t="shared" si="210"/>
        <v>9573376.6865824461</v>
      </c>
      <c r="DX67" s="19">
        <f t="shared" si="211"/>
        <v>10866341.958072301</v>
      </c>
      <c r="DY67" s="19">
        <f t="shared" si="212"/>
        <v>11993483.393959261</v>
      </c>
      <c r="DZ67" s="19">
        <f t="shared" si="23"/>
        <v>11240992.660563424</v>
      </c>
      <c r="EA67" s="19">
        <f t="shared" si="24"/>
        <v>10872811.76320681</v>
      </c>
      <c r="EB67" s="19">
        <f t="shared" si="25"/>
        <v>12323380.245219512</v>
      </c>
      <c r="EC67" s="19">
        <f t="shared" si="26"/>
        <v>13590944.163519837</v>
      </c>
      <c r="EE67" s="19">
        <f>SUM(DF67:DI67)</f>
        <v>16589926.261330668</v>
      </c>
      <c r="EF67" s="19">
        <f>SUM(DJ67:DM67)</f>
        <v>19778051.010450248</v>
      </c>
      <c r="EG67" s="19">
        <f>SUM(DN67:DQ67)</f>
        <v>29057493.031016946</v>
      </c>
      <c r="EH67" s="19">
        <f>SUM(DR67:DU67)</f>
        <v>35085658.507961646</v>
      </c>
      <c r="EI67" s="19">
        <f>SUM(DV67:DY67)</f>
        <v>42307348.703256823</v>
      </c>
      <c r="EJ67" s="770">
        <f t="shared" si="27"/>
        <v>48028128.832509585</v>
      </c>
    </row>
    <row r="68" spans="2:140" x14ac:dyDescent="0.2">
      <c r="B68" s="167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E68" s="10"/>
      <c r="EF68" s="10"/>
      <c r="EG68" s="10"/>
      <c r="EH68" s="10"/>
      <c r="EI68" s="10"/>
      <c r="EJ68" s="812"/>
    </row>
    <row r="69" spans="2:140" x14ac:dyDescent="0.2">
      <c r="B69" s="176" t="s">
        <v>193</v>
      </c>
      <c r="C69" s="158">
        <f>SUM(C70:C72)</f>
        <v>0</v>
      </c>
      <c r="D69" s="158">
        <f t="shared" ref="D69" si="213">SUM(D70:D72)</f>
        <v>0</v>
      </c>
      <c r="E69" s="158">
        <f t="shared" ref="E69" si="214">SUM(E70:E72)</f>
        <v>0</v>
      </c>
      <c r="F69" s="158">
        <f t="shared" ref="F69" si="215">SUM(F70:F72)</f>
        <v>743.5</v>
      </c>
      <c r="G69" s="158">
        <f t="shared" ref="G69" si="216">SUM(G70:G72)</f>
        <v>6748.49</v>
      </c>
      <c r="H69" s="158">
        <f t="shared" ref="H69" si="217">SUM(H70:H72)</f>
        <v>865.56</v>
      </c>
      <c r="I69" s="158">
        <f t="shared" ref="I69" si="218">SUM(I70:I72)</f>
        <v>3471.96</v>
      </c>
      <c r="J69" s="158">
        <f t="shared" ref="J69" si="219">SUM(J70:J72)</f>
        <v>4229.46</v>
      </c>
      <c r="K69" s="158">
        <f t="shared" ref="K69" si="220">SUM(K70:K72)</f>
        <v>10413.620000000001</v>
      </c>
      <c r="L69" s="158">
        <f t="shared" ref="L69" si="221">SUM(L70:L72)</f>
        <v>143933.81288135584</v>
      </c>
      <c r="M69" s="158">
        <f t="shared" ref="M69" si="222">SUM(M70:M72)</f>
        <v>153237.23559322028</v>
      </c>
      <c r="N69" s="158">
        <f t="shared" ref="N69" si="223">SUM(N70:N72)</f>
        <v>396.4576271186441</v>
      </c>
      <c r="O69" s="158">
        <f t="shared" ref="O69" si="224">SUM(O70:O72)</f>
        <v>60017.449152542373</v>
      </c>
      <c r="P69" s="158">
        <f t="shared" ref="P69" si="225">SUM(P70:P72)</f>
        <v>61481.419322033886</v>
      </c>
      <c r="Q69" s="158">
        <f t="shared" ref="Q69" si="226">SUM(Q70:Q72)</f>
        <v>87295.004999999976</v>
      </c>
      <c r="R69" s="158">
        <f t="shared" ref="R69" si="227">SUM(R70:R72)</f>
        <v>236176.77608332218</v>
      </c>
      <c r="S69" s="158">
        <f t="shared" ref="S69" si="228">SUM(S70:S72)</f>
        <v>284911.58809491573</v>
      </c>
      <c r="T69" s="158">
        <f t="shared" ref="T69" si="229">SUM(T70:T72)</f>
        <v>308601.51430084737</v>
      </c>
      <c r="U69" s="158">
        <f t="shared" ref="U69" si="230">SUM(U70:U72)</f>
        <v>332154.44847457611</v>
      </c>
      <c r="V69" s="158">
        <f t="shared" ref="V69" si="231">SUM(V70:V72)</f>
        <v>314161.45052033931</v>
      </c>
      <c r="W69" s="158">
        <f t="shared" ref="W69" si="232">SUM(W70:W72)</f>
        <v>266907.89120338985</v>
      </c>
      <c r="X69" s="158">
        <f t="shared" ref="X69" si="233">SUM(X70:X72)</f>
        <v>205479.3167694913</v>
      </c>
      <c r="Y69" s="158">
        <f t="shared" ref="Y69" si="234">SUM(Y70:Y72)</f>
        <v>249796.19135593224</v>
      </c>
      <c r="Z69" s="158">
        <f t="shared" ref="Z69" si="235">SUM(Z70:Z72)</f>
        <v>167743.75271186445</v>
      </c>
      <c r="AA69" s="158">
        <f t="shared" ref="AA69" si="236">SUM(AA70:AA72)</f>
        <v>44494.743050847457</v>
      </c>
      <c r="AB69" s="158">
        <f t="shared" ref="AB69" si="237">SUM(AB70:AB72)</f>
        <v>181822.2147457627</v>
      </c>
      <c r="AC69" s="158">
        <f t="shared" ref="AC69" si="238">SUM(AC70:AC72)</f>
        <v>180257.52508474578</v>
      </c>
      <c r="AD69" s="158">
        <f t="shared" ref="AD69" si="239">SUM(AD70:AD72)</f>
        <v>130298.23372881357</v>
      </c>
      <c r="AE69" s="158">
        <f t="shared" ref="AE69" si="240">SUM(AE70:AE72)</f>
        <v>90689.491525423728</v>
      </c>
      <c r="AF69" s="158">
        <f t="shared" ref="AF69" si="241">SUM(AF70:AF72)</f>
        <v>138260.09288135593</v>
      </c>
      <c r="AG69" s="158">
        <f t="shared" ref="AG69" si="242">SUM(AG70:AG72)</f>
        <v>122958.32338983053</v>
      </c>
      <c r="AH69" s="158">
        <f t="shared" ref="AH69" si="243">SUM(AH70:AH72)</f>
        <v>74603.806779661012</v>
      </c>
      <c r="AI69" s="158">
        <f t="shared" ref="AI69" si="244">SUM(AI70:AI72)</f>
        <v>38567.516949152538</v>
      </c>
      <c r="AJ69" s="158">
        <f t="shared" ref="AJ69" si="245">SUM(AJ70:AJ72)</f>
        <v>43489.310338983058</v>
      </c>
      <c r="AK69" s="158">
        <f t="shared" ref="AK69" si="246">SUM(AK70:AK72)</f>
        <v>64402.434838983034</v>
      </c>
      <c r="AL69" s="158">
        <f t="shared" ref="AL69" si="247">SUM(AL70:AL72)</f>
        <v>102160.18983050843</v>
      </c>
      <c r="AM69" s="158">
        <f t="shared" ref="AM69" si="248">SUM(AM70:AM72)</f>
        <v>40977.326440677971</v>
      </c>
      <c r="AN69" s="158">
        <f t="shared" ref="AN69" si="249">SUM(AN70:AN72)</f>
        <v>19836.305084745767</v>
      </c>
      <c r="AO69" s="158">
        <f t="shared" ref="AO69" si="250">SUM(AO70:AO72)</f>
        <v>28487.677423728826</v>
      </c>
      <c r="AP69" s="158">
        <f t="shared" ref="AP69" si="251">SUM(AP70:AP72)</f>
        <v>19019.337004067791</v>
      </c>
      <c r="AQ69" s="158">
        <f t="shared" ref="AQ69" si="252">SUM(AQ70:AQ72)</f>
        <v>130445.9039444798</v>
      </c>
      <c r="AR69" s="158">
        <f t="shared" ref="AR69" si="253">SUM(AR70:AR72)</f>
        <v>97845.514845734637</v>
      </c>
      <c r="AS69" s="158">
        <f t="shared" ref="AS69" si="254">SUM(AS70:AS72)</f>
        <v>85290.277993031603</v>
      </c>
      <c r="AT69" s="158">
        <f t="shared" ref="AT69" si="255">SUM(AT70:AT72)</f>
        <v>160632.49551680812</v>
      </c>
      <c r="AU69" s="158">
        <f t="shared" ref="AU69" si="256">SUM(AU70:AU72)</f>
        <v>163965.90077287055</v>
      </c>
      <c r="AV69" s="158">
        <f t="shared" ref="AV69" si="257">SUM(AV70:AV72)</f>
        <v>67148.996956238771</v>
      </c>
      <c r="AW69" s="158">
        <f t="shared" ref="AW69" si="258">SUM(AW70:AW72)</f>
        <v>145731.55667547364</v>
      </c>
      <c r="AX69" s="158">
        <f t="shared" ref="AX69" si="259">SUM(AX70:AX72)</f>
        <v>174096.79312148038</v>
      </c>
      <c r="AY69" s="158">
        <f t="shared" ref="AY69" si="260">SUM(AY70:AY72)</f>
        <v>126512.99125571871</v>
      </c>
      <c r="AZ69" s="158">
        <f t="shared" ref="AZ69" si="261">SUM(AZ70:AZ72)</f>
        <v>88933.605684841168</v>
      </c>
      <c r="BA69" s="158">
        <f t="shared" ref="BA69" si="262">SUM(BA70:BA72)</f>
        <v>189539.20957004445</v>
      </c>
      <c r="BB69" s="158">
        <f t="shared" ref="BB69" si="263">SUM(BB70:BB72)</f>
        <v>74312.19</v>
      </c>
      <c r="BC69" s="158">
        <f t="shared" ref="BC69" si="264">SUM(BC70:BC72)</f>
        <v>198442.80231246431</v>
      </c>
      <c r="BD69" s="158">
        <f t="shared" ref="BD69" si="265">SUM(BD70:BD72)</f>
        <v>79015.533709106589</v>
      </c>
      <c r="BE69" s="158">
        <f t="shared" ref="BE69" si="266">SUM(BE70:BE72)</f>
        <v>156352.1976079999</v>
      </c>
      <c r="BF69" s="158">
        <f t="shared" ref="BF69" si="267">SUM(BF70:BF72)</f>
        <v>207459.37575899999</v>
      </c>
      <c r="BG69" s="158">
        <f t="shared" ref="BG69" si="268">SUM(BG70:BG72)</f>
        <v>-66496.456949101557</v>
      </c>
      <c r="BH69" s="158">
        <f t="shared" ref="BH69" si="269">SUM(BH70:BH72)</f>
        <v>225187.05383543344</v>
      </c>
      <c r="BI69" s="158">
        <f t="shared" ref="BI69" si="270">SUM(BI70:BI72)</f>
        <v>217575.49237100009</v>
      </c>
      <c r="BJ69" s="158">
        <f t="shared" ref="BJ69" si="271">SUM(BJ70:BJ72)</f>
        <v>337603.16322001687</v>
      </c>
      <c r="BK69" s="158">
        <f t="shared" ref="BK69" si="272">SUM(BK70:BK72)</f>
        <v>227252.35133949152</v>
      </c>
      <c r="BL69" s="158">
        <f t="shared" ref="BL69" si="273">SUM(BL70:BL72)</f>
        <v>361585.17644067819</v>
      </c>
      <c r="BM69" s="158">
        <f t="shared" ref="BM69" si="274">SUM(BM70:BM72)</f>
        <v>277915.91372881358</v>
      </c>
      <c r="BN69" s="158">
        <f t="shared" ref="BN69" si="275">SUM(BN70:BN72)</f>
        <v>195832.72084745762</v>
      </c>
      <c r="BO69" s="158">
        <f t="shared" ref="BO69" si="276">SUM(BO70:BO72)</f>
        <v>389762.19288135594</v>
      </c>
      <c r="BP69" s="158">
        <f t="shared" ref="BP69" si="277">SUM(BP70:BP72)</f>
        <v>340246.72</v>
      </c>
      <c r="BQ69" s="158">
        <f t="shared" ref="BQ69" si="278">SUM(BQ70:BQ72)</f>
        <v>158954.11338983051</v>
      </c>
      <c r="BR69" s="158">
        <f t="shared" ref="BR69" si="279">SUM(BR70:BR72)</f>
        <v>218654.88305084745</v>
      </c>
      <c r="BS69" s="158">
        <f t="shared" ref="BS69" si="280">SUM(BS70:BS72)</f>
        <v>191370.9272881356</v>
      </c>
      <c r="BT69" s="158">
        <f t="shared" ref="BT69" si="281">SUM(BT70:BT72)</f>
        <v>221287.55474576267</v>
      </c>
      <c r="BU69" s="158">
        <f t="shared" ref="BU69" si="282">SUM(BU70:BU72)</f>
        <v>141458.16271532021</v>
      </c>
      <c r="BV69" s="158">
        <f t="shared" ref="BV69" si="283">SUM(BV70:BV72)</f>
        <v>138184.59227221433</v>
      </c>
      <c r="BW69" s="158">
        <f t="shared" ref="BW69" si="284">SUM(BW70:BW72)</f>
        <v>137721.84608157433</v>
      </c>
      <c r="BX69" s="158">
        <f t="shared" ref="BX69" si="285">SUM(BX70:BX72)</f>
        <v>150039.44545341574</v>
      </c>
      <c r="BY69" s="158">
        <f t="shared" ref="BY69" si="286">SUM(BY70:BY72)</f>
        <v>132599.98096449394</v>
      </c>
      <c r="BZ69" s="158">
        <f t="shared" ref="BZ69" si="287">SUM(BZ70:BZ72)</f>
        <v>122047.69491061846</v>
      </c>
      <c r="CA69" s="158">
        <f t="shared" ref="CA69" si="288">SUM(CA70:CA72)</f>
        <v>155302.35893094793</v>
      </c>
      <c r="CB69" s="158">
        <f t="shared" ref="CB69" si="289">SUM(CB70:CB72)</f>
        <v>141870.86435572273</v>
      </c>
      <c r="CC69" s="158">
        <f t="shared" ref="CC69" si="290">SUM(CC70:CC72)</f>
        <v>171105.29710510952</v>
      </c>
      <c r="CD69" s="158">
        <f t="shared" ref="CD69" si="291">SUM(CD70:CD72)</f>
        <v>175525.85260047749</v>
      </c>
      <c r="CE69" s="158">
        <f t="shared" ref="CE69" si="292">SUM(CE70:CE72)</f>
        <v>162158.13038789065</v>
      </c>
      <c r="CF69" s="158">
        <f t="shared" ref="CF69" si="293">SUM(CF70:CF72)</f>
        <v>190584.02754345254</v>
      </c>
      <c r="CG69" s="158">
        <f t="shared" ref="CG69" si="294">SUM(CG70:CG72)</f>
        <v>175232.24205405984</v>
      </c>
      <c r="CH69" s="158">
        <f t="shared" ref="CH69" si="295">SUM(CH70:CH72)</f>
        <v>171636.72701760949</v>
      </c>
      <c r="CI69" s="158">
        <f t="shared" ref="CI69" si="296">SUM(CI70:CI72)</f>
        <v>170187.81137497857</v>
      </c>
      <c r="CJ69" s="158">
        <f t="shared" ref="CJ69" si="297">SUM(CJ70:CJ72)</f>
        <v>185232.98805223839</v>
      </c>
      <c r="CK69" s="158">
        <f t="shared" ref="CK69" si="298">SUM(CK70:CK72)</f>
        <v>163474.12058496632</v>
      </c>
      <c r="CL69" s="158">
        <f t="shared" ref="CL69" si="299">SUM(CL70:CL72)</f>
        <v>150191.92310258315</v>
      </c>
      <c r="CM69" s="158">
        <f t="shared" ref="CM69" si="300">SUM(CM70:CM72)</f>
        <v>190277.9191017884</v>
      </c>
      <c r="CN69" s="158">
        <f t="shared" ref="CN69" si="301">SUM(CN70:CN72)</f>
        <v>172998.04112979604</v>
      </c>
      <c r="CO69" s="158">
        <f t="shared" ref="CO69" si="302">SUM(CO70:CO72)</f>
        <v>207756.86146483128</v>
      </c>
      <c r="CP69" s="158">
        <f t="shared" ref="CP69" si="303">SUM(CP70:CP72)</f>
        <v>212225.52869824984</v>
      </c>
      <c r="CQ69" s="158">
        <f t="shared" ref="CQ69" si="304">SUM(CQ70:CQ72)</f>
        <v>195176.25837391298</v>
      </c>
      <c r="CR69" s="158">
        <f t="shared" ref="CR69:DD69" si="305">SUM(CR70:CR72)</f>
        <v>226742.93055980114</v>
      </c>
      <c r="CS69" s="158">
        <f t="shared" si="305"/>
        <v>200348.86341514176</v>
      </c>
      <c r="CT69" s="158">
        <f t="shared" si="305"/>
        <v>196061.95355473083</v>
      </c>
      <c r="CU69" s="158">
        <f t="shared" si="305"/>
        <v>194292.59411336188</v>
      </c>
      <c r="CV69" s="158">
        <f t="shared" si="305"/>
        <v>211346.15838956664</v>
      </c>
      <c r="CW69" s="158">
        <f t="shared" si="305"/>
        <v>186360.49746686162</v>
      </c>
      <c r="CX69" s="158">
        <f t="shared" si="305"/>
        <v>171028.40820906829</v>
      </c>
      <c r="CY69" s="158">
        <f t="shared" si="305"/>
        <v>216616.38895640441</v>
      </c>
      <c r="CZ69" s="158">
        <f t="shared" si="305"/>
        <v>196838.01509036549</v>
      </c>
      <c r="DA69" s="158">
        <f t="shared" si="305"/>
        <v>236323.42991624566</v>
      </c>
      <c r="DB69" s="158">
        <f t="shared" si="305"/>
        <v>241342.28376013774</v>
      </c>
      <c r="DC69" s="158">
        <f t="shared" si="305"/>
        <v>221836.93284251448</v>
      </c>
      <c r="DD69" s="158">
        <f t="shared" si="305"/>
        <v>257648.30260185621</v>
      </c>
      <c r="DF69" s="158">
        <f t="shared" si="193"/>
        <v>207539.95111016944</v>
      </c>
      <c r="DG69" s="158">
        <f t="shared" si="194"/>
        <v>67343.319512542395</v>
      </c>
      <c r="DH69" s="158">
        <f t="shared" si="195"/>
        <v>313581.69678324601</v>
      </c>
      <c r="DI69" s="158">
        <f t="shared" si="196"/>
        <v>391747.3932459174</v>
      </c>
      <c r="DJ69" s="158">
        <f t="shared" si="197"/>
        <v>446341.34105267271</v>
      </c>
      <c r="DK69" s="158">
        <f t="shared" si="198"/>
        <v>352785.00525488559</v>
      </c>
      <c r="DL69" s="158">
        <f t="shared" si="199"/>
        <v>433810.5336295708</v>
      </c>
      <c r="DM69" s="158">
        <f t="shared" si="200"/>
        <v>366149.97264533187</v>
      </c>
      <c r="DN69" s="158">
        <f t="shared" si="201"/>
        <v>782431.00693050853</v>
      </c>
      <c r="DO69" s="158">
        <f t="shared" si="202"/>
        <v>835333.81101694936</v>
      </c>
      <c r="DP69" s="158">
        <f t="shared" si="203"/>
        <v>888963.02627118654</v>
      </c>
      <c r="DQ69" s="158">
        <f t="shared" si="204"/>
        <v>631313.36508474569</v>
      </c>
      <c r="DR69" s="158">
        <f t="shared" si="205"/>
        <v>417364.60106910887</v>
      </c>
      <c r="DS69" s="158">
        <f t="shared" si="206"/>
        <v>404687.12132852816</v>
      </c>
      <c r="DT69" s="158">
        <f t="shared" si="207"/>
        <v>468278.52039178018</v>
      </c>
      <c r="DU69" s="158">
        <f t="shared" si="208"/>
        <v>528268.01053182071</v>
      </c>
      <c r="DV69" s="158">
        <f t="shared" si="209"/>
        <v>517056.7804466479</v>
      </c>
      <c r="DW69" s="158">
        <f t="shared" si="210"/>
        <v>498899.0317397879</v>
      </c>
      <c r="DX69" s="158">
        <f t="shared" si="211"/>
        <v>571032.82169641578</v>
      </c>
      <c r="DY69" s="158">
        <f t="shared" si="212"/>
        <v>634144.71763196401</v>
      </c>
      <c r="DZ69" s="158">
        <f t="shared" ref="DZ69:DZ127" si="306">SUM(CS69:CU69)</f>
        <v>590703.41108323447</v>
      </c>
      <c r="EA69" s="158">
        <f t="shared" ref="EA69:EA127" si="307">SUM(CV69:CX69)</f>
        <v>568735.06406549655</v>
      </c>
      <c r="EB69" s="158">
        <f t="shared" ref="EB69:EB127" si="308">SUM(CY69:DA69)</f>
        <v>649777.83396301558</v>
      </c>
      <c r="EC69" s="158">
        <f t="shared" ref="EC69:EC127" si="309">SUM(DB69:DD69)</f>
        <v>720827.5192045084</v>
      </c>
      <c r="EE69" s="158">
        <f>SUM(DF69:DI69)</f>
        <v>980212.36065187526</v>
      </c>
      <c r="EF69" s="158">
        <f>SUM(DJ69:DM69)</f>
        <v>1599086.852582461</v>
      </c>
      <c r="EG69" s="158">
        <f>SUM(DN69:DQ69)</f>
        <v>3138041.2093033902</v>
      </c>
      <c r="EH69" s="158">
        <f>SUM(DR69:DU69)</f>
        <v>1818598.2533212379</v>
      </c>
      <c r="EI69" s="158">
        <f>SUM(DV69:DY69)</f>
        <v>2221133.3515148154</v>
      </c>
      <c r="EJ69" s="780">
        <f t="shared" ref="EJ69:EJ127" si="310">SUM(DZ69:EC69)</f>
        <v>2530043.828316255</v>
      </c>
    </row>
    <row r="70" spans="2:140" x14ac:dyDescent="0.2">
      <c r="B70" s="167" t="s">
        <v>139</v>
      </c>
      <c r="C70" s="19">
        <f>'P&amp;L - Inputs'!AB457</f>
        <v>0</v>
      </c>
      <c r="D70" s="19">
        <f>'P&amp;L - Inputs'!AC457</f>
        <v>0</v>
      </c>
      <c r="E70" s="19">
        <f>'P&amp;L - Inputs'!AD457</f>
        <v>0</v>
      </c>
      <c r="F70" s="19">
        <f>'P&amp;L - Inputs'!AE457</f>
        <v>743.5</v>
      </c>
      <c r="G70" s="19">
        <f>'P&amp;L - Inputs'!AF457</f>
        <v>6748.49</v>
      </c>
      <c r="H70" s="19">
        <f>'P&amp;L - Inputs'!AG457</f>
        <v>865.56</v>
      </c>
      <c r="I70" s="19">
        <f>'P&amp;L - Inputs'!AH457</f>
        <v>3471.96</v>
      </c>
      <c r="J70" s="19">
        <f>'P&amp;L - Inputs'!AI457</f>
        <v>4229.46</v>
      </c>
      <c r="K70" s="19">
        <f>'P&amp;L - Inputs'!AJ457</f>
        <v>10413.620000000001</v>
      </c>
      <c r="L70" s="19">
        <f>'P&amp;L - Inputs'!AK457</f>
        <v>123202.3891525423</v>
      </c>
      <c r="M70" s="19">
        <f>'P&amp;L - Inputs'!AL457</f>
        <v>141578.57457627112</v>
      </c>
      <c r="N70" s="19">
        <f>'P&amp;L - Inputs'!AM457</f>
        <v>396.4576271186441</v>
      </c>
      <c r="O70" s="19">
        <f>'P&amp;L - Inputs'!AN457</f>
        <v>54617.144067796609</v>
      </c>
      <c r="P70" s="19">
        <f>'P&amp;L - Inputs'!AO457</f>
        <v>52778.876949152531</v>
      </c>
      <c r="Q70" s="19">
        <f>'P&amp;L - Inputs'!AP457</f>
        <v>68243.24364406777</v>
      </c>
      <c r="R70" s="19">
        <f>'P&amp;L - Inputs'!AQ457</f>
        <v>198222.708286712</v>
      </c>
      <c r="S70" s="19">
        <f>'P&amp;L - Inputs'!AR457</f>
        <v>239527.30334915299</v>
      </c>
      <c r="T70" s="19">
        <f>'P&amp;L - Inputs'!AS457</f>
        <v>277695.178707627</v>
      </c>
      <c r="U70" s="19">
        <f>'P&amp;L - Inputs'!AT457</f>
        <v>262220.18644067785</v>
      </c>
      <c r="V70" s="19">
        <f>'P&amp;L - Inputs'!AU457</f>
        <v>229429.19628305116</v>
      </c>
      <c r="W70" s="19">
        <f>'P&amp;L - Inputs'!AV457</f>
        <v>198033.30747457632</v>
      </c>
      <c r="X70" s="19">
        <f>'P&amp;L - Inputs'!AW457</f>
        <v>162169.94388813537</v>
      </c>
      <c r="Y70" s="19">
        <f>'P&amp;L - Inputs'!AX457</f>
        <v>166016.25915254242</v>
      </c>
      <c r="Z70" s="19">
        <f>'P&amp;L - Inputs'!AY457</f>
        <v>97891.451694915275</v>
      </c>
      <c r="AA70" s="19">
        <f>'P&amp;L - Inputs'!AZ457</f>
        <v>15796.580338983051</v>
      </c>
      <c r="AB70" s="19">
        <f>'P&amp;L - Inputs'!BA457</f>
        <v>171866.55508474575</v>
      </c>
      <c r="AC70" s="19">
        <f>'P&amp;L - Inputs'!BB457</f>
        <v>100725.60508474577</v>
      </c>
      <c r="AD70" s="19">
        <f>'P&amp;L - Inputs'!BC457</f>
        <v>118802.74576271189</v>
      </c>
      <c r="AE70" s="19">
        <f>'P&amp;L - Inputs'!BD457</f>
        <v>80743.271186440674</v>
      </c>
      <c r="AF70" s="19">
        <f>'P&amp;L - Inputs'!BE457</f>
        <v>123972.51661016949</v>
      </c>
      <c r="AG70" s="19">
        <f>'P&amp;L - Inputs'!BF457</f>
        <v>118349.56067796613</v>
      </c>
      <c r="AH70" s="19">
        <f>'P&amp;L - Inputs'!BG457</f>
        <v>57898.525423728817</v>
      </c>
      <c r="AI70" s="19">
        <f>'P&amp;L - Inputs'!BH457</f>
        <v>38567.516949152538</v>
      </c>
      <c r="AJ70" s="19">
        <f>'P&amp;L - Inputs'!BI457</f>
        <v>38316.661016949161</v>
      </c>
      <c r="AK70" s="19">
        <f>'P&amp;L - Inputs'!BJ457</f>
        <v>53875.525423728803</v>
      </c>
      <c r="AL70" s="19">
        <f>'P&amp;L - Inputs'!BK457</f>
        <v>92978.389830508429</v>
      </c>
      <c r="AM70" s="19">
        <f>'P&amp;L - Inputs'!BL457</f>
        <v>41013.570508474579</v>
      </c>
      <c r="AN70" s="19">
        <f>'P&amp;L - Inputs'!BM457</f>
        <v>19836.305084745767</v>
      </c>
      <c r="AO70" s="19">
        <f>'P&amp;L - Inputs'!BN457</f>
        <v>14361.406779661016</v>
      </c>
      <c r="AP70" s="19">
        <f>'P&amp;L - Inputs'!BO457</f>
        <v>2140.4745762711864</v>
      </c>
      <c r="AQ70" s="19">
        <f>'P&amp;L - Inputs'!BP457</f>
        <v>117319.15530041199</v>
      </c>
      <c r="AR70" s="19">
        <f>'P&amp;L - Inputs'!BQ457</f>
        <v>97845.514845734637</v>
      </c>
      <c r="AS70" s="19">
        <f>'P&amp;L - Inputs'!BR457</f>
        <v>85290.277993031603</v>
      </c>
      <c r="AT70" s="19">
        <f>'P&amp;L - Inputs'!BS457</f>
        <v>160632.49551680812</v>
      </c>
      <c r="AU70" s="19">
        <f>'P&amp;L - Inputs'!BT457</f>
        <v>163965.90077287055</v>
      </c>
      <c r="AV70" s="19">
        <f>'P&amp;L - Inputs'!BU457</f>
        <v>67148.996956238771</v>
      </c>
      <c r="AW70" s="19">
        <f>'P&amp;L - Inputs'!BV457</f>
        <v>145731.55667547364</v>
      </c>
      <c r="AX70" s="19">
        <f>'P&amp;L - Inputs'!BW457</f>
        <v>174096.79312148038</v>
      </c>
      <c r="AY70" s="19">
        <f>'P&amp;L - Inputs'!BX457</f>
        <v>126512.99125571871</v>
      </c>
      <c r="AZ70" s="19">
        <f>'P&amp;L - Inputs'!BY457</f>
        <v>88933.605684841168</v>
      </c>
      <c r="BA70" s="19">
        <f>'P&amp;L - Inputs'!BZ457</f>
        <v>189539.20957004445</v>
      </c>
      <c r="BB70" s="19">
        <f>'P&amp;L - Inputs'!CA457</f>
        <v>74312.19</v>
      </c>
      <c r="BC70" s="19">
        <f>'P&amp;L - Inputs'!CB457</f>
        <v>198442.80231246431</v>
      </c>
      <c r="BD70" s="19">
        <f>'P&amp;L - Inputs'!CC457</f>
        <v>79015.533709106589</v>
      </c>
      <c r="BE70" s="19">
        <f>'P&amp;L - Inputs'!CD457</f>
        <v>156352.1976079999</v>
      </c>
      <c r="BF70" s="19">
        <f>'P&amp;L - Inputs'!CE457</f>
        <v>207459.37575899999</v>
      </c>
      <c r="BG70" s="19">
        <f>'P&amp;L - Inputs'!CF457</f>
        <v>-102269.77898299987</v>
      </c>
      <c r="BH70" s="19">
        <f>'P&amp;L - Inputs'!CG457</f>
        <v>225187.05383543344</v>
      </c>
      <c r="BI70" s="19">
        <f>'P&amp;L - Inputs'!CH457</f>
        <v>217575.49237100009</v>
      </c>
      <c r="BJ70" s="19">
        <f>'P&amp;L - Inputs'!CI457</f>
        <v>293927.74355899991</v>
      </c>
      <c r="BK70" s="19">
        <f>'P&amp;L - Inputs'!CJ457</f>
        <v>215920.74116999999</v>
      </c>
      <c r="BL70" s="19">
        <f>'P&amp;L - Inputs'!CK457</f>
        <v>299972.11000000004</v>
      </c>
      <c r="BM70" s="19">
        <f>'P&amp;L - Inputs'!CL457</f>
        <v>223537.09</v>
      </c>
      <c r="BN70" s="19">
        <f>'P&amp;L - Inputs'!CM457</f>
        <v>148039.66999999998</v>
      </c>
      <c r="BO70" s="19">
        <f>'P&amp;L - Inputs'!CN457</f>
        <v>331728.82</v>
      </c>
      <c r="BP70" s="19">
        <f>'P&amp;L - Inputs'!CO457</f>
        <v>340246.72</v>
      </c>
      <c r="BQ70" s="19">
        <f>'P&amp;L - Inputs'!CP457</f>
        <v>83996.479999999981</v>
      </c>
      <c r="BR70" s="19">
        <f>'P&amp;L - Inputs'!CQ457</f>
        <v>189428.1</v>
      </c>
      <c r="BS70" s="19">
        <f>'P&amp;L - Inputs'!CR457</f>
        <v>159931.09</v>
      </c>
      <c r="BT70" s="19">
        <f>'P&amp;L - Inputs'!CS457</f>
        <v>161597.40999999997</v>
      </c>
      <c r="BU70" s="19">
        <f>'P&amp;L - Inputs'!CT457</f>
        <v>141458.16271532021</v>
      </c>
      <c r="BV70" s="19">
        <f>'P&amp;L - Inputs'!CU457</f>
        <v>138184.59227221433</v>
      </c>
      <c r="BW70" s="19">
        <f>'P&amp;L - Inputs'!CV457</f>
        <v>137721.84608157433</v>
      </c>
      <c r="BX70" s="19">
        <f>'P&amp;L - Inputs'!CW457</f>
        <v>150039.44545341574</v>
      </c>
      <c r="BY70" s="19">
        <f>'P&amp;L - Inputs'!CX457</f>
        <v>132599.98096449394</v>
      </c>
      <c r="BZ70" s="19">
        <f>'P&amp;L - Inputs'!CY457</f>
        <v>122047.69491061846</v>
      </c>
      <c r="CA70" s="19">
        <f>'P&amp;L - Inputs'!CZ457</f>
        <v>155302.35893094793</v>
      </c>
      <c r="CB70" s="19">
        <f>'P&amp;L - Inputs'!DA457</f>
        <v>141870.86435572273</v>
      </c>
      <c r="CC70" s="19">
        <f>'P&amp;L - Inputs'!DB457</f>
        <v>171105.29710510952</v>
      </c>
      <c r="CD70" s="19">
        <f>'P&amp;L - Inputs'!DC457</f>
        <v>175525.85260047749</v>
      </c>
      <c r="CE70" s="19">
        <f>'P&amp;L - Inputs'!DD457</f>
        <v>162158.13038789065</v>
      </c>
      <c r="CF70" s="19">
        <f>'P&amp;L - Inputs'!DE457</f>
        <v>190584.02754345254</v>
      </c>
      <c r="CG70" s="19">
        <f>'P&amp;L - Inputs'!DF457</f>
        <v>175232.24205405984</v>
      </c>
      <c r="CH70" s="19">
        <f>'P&amp;L - Inputs'!DG457</f>
        <v>171636.72701760949</v>
      </c>
      <c r="CI70" s="19">
        <f>'P&amp;L - Inputs'!DH457</f>
        <v>170187.81137497857</v>
      </c>
      <c r="CJ70" s="19">
        <f>'P&amp;L - Inputs'!DI457</f>
        <v>185232.98805223839</v>
      </c>
      <c r="CK70" s="19">
        <f>'P&amp;L - Inputs'!DJ457</f>
        <v>163474.12058496632</v>
      </c>
      <c r="CL70" s="19">
        <f>'P&amp;L - Inputs'!DK457</f>
        <v>150191.92310258315</v>
      </c>
      <c r="CM70" s="19">
        <f>'P&amp;L - Inputs'!DL457</f>
        <v>190277.9191017884</v>
      </c>
      <c r="CN70" s="19">
        <f>'P&amp;L - Inputs'!DM457</f>
        <v>172998.04112979604</v>
      </c>
      <c r="CO70" s="19">
        <f>'P&amp;L - Inputs'!DN457</f>
        <v>207756.86146483128</v>
      </c>
      <c r="CP70" s="19">
        <f>'P&amp;L - Inputs'!DO457</f>
        <v>212225.52869824984</v>
      </c>
      <c r="CQ70" s="19">
        <f>'P&amp;L - Inputs'!DP457</f>
        <v>195176.25837391298</v>
      </c>
      <c r="CR70" s="19">
        <f>'P&amp;L - Inputs'!DQ457</f>
        <v>226742.93055980114</v>
      </c>
      <c r="CS70" s="19">
        <f>'P&amp;L - Inputs'!DR457</f>
        <v>200348.86341514176</v>
      </c>
      <c r="CT70" s="19">
        <f>'P&amp;L - Inputs'!DS457</f>
        <v>196061.95355473083</v>
      </c>
      <c r="CU70" s="19">
        <f>'P&amp;L - Inputs'!DT457</f>
        <v>194292.59411336188</v>
      </c>
      <c r="CV70" s="19">
        <f>'P&amp;L - Inputs'!DU457</f>
        <v>211346.15838956664</v>
      </c>
      <c r="CW70" s="19">
        <f>'P&amp;L - Inputs'!DV457</f>
        <v>186360.49746686162</v>
      </c>
      <c r="CX70" s="19">
        <f>'P&amp;L - Inputs'!DW457</f>
        <v>171028.40820906829</v>
      </c>
      <c r="CY70" s="19">
        <f>'P&amp;L - Inputs'!DX457</f>
        <v>216616.38895640441</v>
      </c>
      <c r="CZ70" s="19">
        <f>'P&amp;L - Inputs'!DY457</f>
        <v>196838.01509036549</v>
      </c>
      <c r="DA70" s="19">
        <f>'P&amp;L - Inputs'!DZ457</f>
        <v>236323.42991624566</v>
      </c>
      <c r="DB70" s="19">
        <f>'P&amp;L - Inputs'!EA457</f>
        <v>241342.28376013774</v>
      </c>
      <c r="DC70" s="19">
        <f>'P&amp;L - Inputs'!EB457</f>
        <v>221836.93284251448</v>
      </c>
      <c r="DD70" s="19">
        <f>'P&amp;L - Inputs'!EC457</f>
        <v>257648.30260185621</v>
      </c>
      <c r="DF70" s="19">
        <f t="shared" si="193"/>
        <v>187867.48576271182</v>
      </c>
      <c r="DG70" s="19">
        <f t="shared" si="194"/>
        <v>36338.186440677964</v>
      </c>
      <c r="DH70" s="19">
        <f t="shared" si="195"/>
        <v>300454.94813917822</v>
      </c>
      <c r="DI70" s="19">
        <f t="shared" si="196"/>
        <v>391747.3932459174</v>
      </c>
      <c r="DJ70" s="19">
        <f t="shared" si="197"/>
        <v>446341.34105267271</v>
      </c>
      <c r="DK70" s="19">
        <f t="shared" si="198"/>
        <v>352785.00525488559</v>
      </c>
      <c r="DL70" s="19">
        <f t="shared" si="199"/>
        <v>433810.5336295708</v>
      </c>
      <c r="DM70" s="19">
        <f t="shared" si="200"/>
        <v>330376.65061143355</v>
      </c>
      <c r="DN70" s="19">
        <f t="shared" si="201"/>
        <v>727423.97710000002</v>
      </c>
      <c r="DO70" s="19">
        <f t="shared" si="202"/>
        <v>671548.87000000011</v>
      </c>
      <c r="DP70" s="19">
        <f t="shared" si="203"/>
        <v>755972.02</v>
      </c>
      <c r="DQ70" s="19">
        <f t="shared" si="204"/>
        <v>510956.6</v>
      </c>
      <c r="DR70" s="19">
        <f t="shared" si="205"/>
        <v>417364.60106910887</v>
      </c>
      <c r="DS70" s="19">
        <f t="shared" si="206"/>
        <v>404687.12132852816</v>
      </c>
      <c r="DT70" s="19">
        <f t="shared" si="207"/>
        <v>468278.52039178018</v>
      </c>
      <c r="DU70" s="19">
        <f t="shared" si="208"/>
        <v>528268.01053182071</v>
      </c>
      <c r="DV70" s="19">
        <f t="shared" si="209"/>
        <v>517056.7804466479</v>
      </c>
      <c r="DW70" s="19">
        <f t="shared" si="210"/>
        <v>498899.0317397879</v>
      </c>
      <c r="DX70" s="19">
        <f t="shared" si="211"/>
        <v>571032.82169641578</v>
      </c>
      <c r="DY70" s="19">
        <f t="shared" si="212"/>
        <v>634144.71763196401</v>
      </c>
      <c r="DZ70" s="19">
        <f t="shared" si="306"/>
        <v>590703.41108323447</v>
      </c>
      <c r="EA70" s="19">
        <f t="shared" si="307"/>
        <v>568735.06406549655</v>
      </c>
      <c r="EB70" s="19">
        <f t="shared" si="308"/>
        <v>649777.83396301558</v>
      </c>
      <c r="EC70" s="19">
        <f t="shared" si="309"/>
        <v>720827.5192045084</v>
      </c>
      <c r="EE70" s="19">
        <f>SUM(DF70:DI70)</f>
        <v>916408.01358848542</v>
      </c>
      <c r="EF70" s="19">
        <f>SUM(DJ70:DM70)</f>
        <v>1563313.5305485628</v>
      </c>
      <c r="EG70" s="19">
        <f>SUM(DN70:DQ70)</f>
        <v>2665901.4671000005</v>
      </c>
      <c r="EH70" s="19">
        <f>SUM(DR70:DU70)</f>
        <v>1818598.2533212379</v>
      </c>
      <c r="EI70" s="19">
        <f>SUM(DV70:DY70)</f>
        <v>2221133.3515148154</v>
      </c>
      <c r="EJ70" s="770">
        <f t="shared" si="310"/>
        <v>2530043.828316255</v>
      </c>
    </row>
    <row r="71" spans="2:140" x14ac:dyDescent="0.2">
      <c r="B71" s="167" t="s">
        <v>191</v>
      </c>
      <c r="C71" s="19">
        <f>'P&amp;L - Inputs'!AB458</f>
        <v>0</v>
      </c>
      <c r="D71" s="19">
        <f>'P&amp;L - Inputs'!AC458</f>
        <v>0</v>
      </c>
      <c r="E71" s="19">
        <f>'P&amp;L - Inputs'!AD458</f>
        <v>0</v>
      </c>
      <c r="F71" s="19">
        <f>'P&amp;L - Inputs'!AE458</f>
        <v>0</v>
      </c>
      <c r="G71" s="19">
        <f>'P&amp;L - Inputs'!AF458</f>
        <v>0</v>
      </c>
      <c r="H71" s="19">
        <f>'P&amp;L - Inputs'!AG458</f>
        <v>0</v>
      </c>
      <c r="I71" s="19">
        <f>'P&amp;L - Inputs'!AH458</f>
        <v>0</v>
      </c>
      <c r="J71" s="19">
        <f>'P&amp;L - Inputs'!AI458</f>
        <v>0</v>
      </c>
      <c r="K71" s="19">
        <f>'P&amp;L - Inputs'!AJ458</f>
        <v>0</v>
      </c>
      <c r="L71" s="19">
        <f>'P&amp;L - Inputs'!AK458</f>
        <v>6445.3728813559328</v>
      </c>
      <c r="M71" s="19">
        <f>'P&amp;L - Inputs'!AL458</f>
        <v>0</v>
      </c>
      <c r="N71" s="19">
        <f>'P&amp;L - Inputs'!AM458</f>
        <v>0</v>
      </c>
      <c r="O71" s="19">
        <f>'P&amp;L - Inputs'!AN458</f>
        <v>0</v>
      </c>
      <c r="P71" s="19">
        <f>'P&amp;L - Inputs'!AO458</f>
        <v>0</v>
      </c>
      <c r="Q71" s="19">
        <f>'P&amp;L - Inputs'!AP458</f>
        <v>0</v>
      </c>
      <c r="R71" s="19">
        <f>'P&amp;L - Inputs'!AQ458</f>
        <v>6893.0847457627124</v>
      </c>
      <c r="S71" s="19">
        <f>'P&amp;L - Inputs'!AR458</f>
        <v>15443.084745762711</v>
      </c>
      <c r="T71" s="19">
        <f>'P&amp;L - Inputs'!AS458</f>
        <v>10131.254237288134</v>
      </c>
      <c r="U71" s="19">
        <f>'P&amp;L - Inputs'!AT458</f>
        <v>28434.804406779662</v>
      </c>
      <c r="V71" s="19">
        <f>'P&amp;L - Inputs'!AU458</f>
        <v>55473.406779661018</v>
      </c>
      <c r="W71" s="19">
        <f>'P&amp;L - Inputs'!AV458</f>
        <v>33290.542372881355</v>
      </c>
      <c r="X71" s="19">
        <f>'P&amp;L - Inputs'!AW458</f>
        <v>23858.389830508473</v>
      </c>
      <c r="Y71" s="19">
        <f>'P&amp;L - Inputs'!AX458</f>
        <v>77140.220338983054</v>
      </c>
      <c r="Z71" s="19">
        <f>'P&amp;L - Inputs'!AY458</f>
        <v>55525.118644067799</v>
      </c>
      <c r="AA71" s="19">
        <f>'P&amp;L - Inputs'!AZ458</f>
        <v>11480.338983050848</v>
      </c>
      <c r="AB71" s="19">
        <f>'P&amp;L - Inputs'!BA458</f>
        <v>0</v>
      </c>
      <c r="AC71" s="19">
        <f>'P&amp;L - Inputs'!BB458</f>
        <v>71360.237288135599</v>
      </c>
      <c r="AD71" s="19">
        <f>'P&amp;L - Inputs'!BC458</f>
        <v>0</v>
      </c>
      <c r="AE71" s="19">
        <f>'P&amp;L - Inputs'!BD458</f>
        <v>0</v>
      </c>
      <c r="AF71" s="19">
        <f>'P&amp;L - Inputs'!BE458</f>
        <v>0</v>
      </c>
      <c r="AG71" s="19">
        <f>'P&amp;L - Inputs'!BF458</f>
        <v>0</v>
      </c>
      <c r="AH71" s="19">
        <f>'P&amp;L - Inputs'!BG458</f>
        <v>0</v>
      </c>
      <c r="AI71" s="19">
        <f>'P&amp;L - Inputs'!BH458</f>
        <v>0</v>
      </c>
      <c r="AJ71" s="19">
        <f>'P&amp;L - Inputs'!BI458</f>
        <v>0</v>
      </c>
      <c r="AK71" s="19">
        <f>'P&amp;L - Inputs'!BJ458</f>
        <v>0</v>
      </c>
      <c r="AL71" s="19">
        <f>'P&amp;L - Inputs'!BK458</f>
        <v>0</v>
      </c>
      <c r="AM71" s="19">
        <f>'P&amp;L - Inputs'!BL458</f>
        <v>0</v>
      </c>
      <c r="AN71" s="19">
        <f>'P&amp;L - Inputs'!BM458</f>
        <v>0</v>
      </c>
      <c r="AO71" s="19">
        <f>'P&amp;L - Inputs'!BN458</f>
        <v>0</v>
      </c>
      <c r="AP71" s="19">
        <f>'P&amp;L - Inputs'!BO458</f>
        <v>0</v>
      </c>
      <c r="AQ71" s="19">
        <f>'P&amp;L - Inputs'!BP458</f>
        <v>0</v>
      </c>
      <c r="AR71" s="19">
        <f>'P&amp;L - Inputs'!BQ458</f>
        <v>0</v>
      </c>
      <c r="AS71" s="19">
        <f>'P&amp;L - Inputs'!BR458</f>
        <v>0</v>
      </c>
      <c r="AT71" s="19">
        <f>'P&amp;L - Inputs'!BS458</f>
        <v>0</v>
      </c>
      <c r="AU71" s="19">
        <f>'P&amp;L - Inputs'!BT458</f>
        <v>0</v>
      </c>
      <c r="AV71" s="19">
        <f>'P&amp;L - Inputs'!BU458</f>
        <v>0</v>
      </c>
      <c r="AW71" s="19">
        <f>'P&amp;L - Inputs'!BV458</f>
        <v>0</v>
      </c>
      <c r="AX71" s="19">
        <f>'P&amp;L - Inputs'!BW458</f>
        <v>0</v>
      </c>
      <c r="AY71" s="19">
        <f>'P&amp;L - Inputs'!BX458</f>
        <v>0</v>
      </c>
      <c r="AZ71" s="19">
        <f>'P&amp;L - Inputs'!BY458</f>
        <v>0</v>
      </c>
      <c r="BA71" s="19">
        <f>'P&amp;L - Inputs'!BZ458</f>
        <v>0</v>
      </c>
      <c r="BB71" s="19">
        <f>'P&amp;L - Inputs'!CA458</f>
        <v>0</v>
      </c>
      <c r="BC71" s="19">
        <f>'P&amp;L - Inputs'!CB458</f>
        <v>0</v>
      </c>
      <c r="BD71" s="19">
        <f>'P&amp;L - Inputs'!CC458</f>
        <v>0</v>
      </c>
      <c r="BE71" s="19">
        <f>'P&amp;L - Inputs'!CD458</f>
        <v>0</v>
      </c>
      <c r="BF71" s="19">
        <f>'P&amp;L - Inputs'!CE458</f>
        <v>0</v>
      </c>
      <c r="BG71" s="19">
        <f>'P&amp;L - Inputs'!CF458</f>
        <v>0</v>
      </c>
      <c r="BH71" s="19">
        <f>'P&amp;L - Inputs'!CG458</f>
        <v>0</v>
      </c>
      <c r="BI71" s="19">
        <f>'P&amp;L - Inputs'!CH458</f>
        <v>0</v>
      </c>
      <c r="BJ71" s="19">
        <f>'P&amp;L - Inputs'!CI458</f>
        <v>0</v>
      </c>
      <c r="BK71" s="19">
        <f>'P&amp;L - Inputs'!CJ458</f>
        <v>0</v>
      </c>
      <c r="BL71" s="19">
        <f>'P&amp;L - Inputs'!CK458</f>
        <v>0</v>
      </c>
      <c r="BM71" s="19">
        <f>'P&amp;L - Inputs'!CL458</f>
        <v>0</v>
      </c>
      <c r="BN71" s="19">
        <f>'P&amp;L - Inputs'!CM458</f>
        <v>0</v>
      </c>
      <c r="BO71" s="19">
        <f>'P&amp;L - Inputs'!CN458</f>
        <v>0</v>
      </c>
      <c r="BP71" s="19">
        <f>'P&amp;L - Inputs'!CO458</f>
        <v>0</v>
      </c>
      <c r="BQ71" s="19">
        <f>'P&amp;L - Inputs'!CP458</f>
        <v>0</v>
      </c>
      <c r="BR71" s="19">
        <f>'P&amp;L - Inputs'!CQ458</f>
        <v>0</v>
      </c>
      <c r="BS71" s="19">
        <f>'P&amp;L - Inputs'!CR458</f>
        <v>0</v>
      </c>
      <c r="BT71" s="19">
        <f>'P&amp;L - Inputs'!CS458</f>
        <v>0</v>
      </c>
      <c r="BU71" s="19">
        <f>'P&amp;L - Inputs'!CT458</f>
        <v>0</v>
      </c>
      <c r="BV71" s="19">
        <f>'P&amp;L - Inputs'!CU458</f>
        <v>0</v>
      </c>
      <c r="BW71" s="19">
        <f>'P&amp;L - Inputs'!CV458</f>
        <v>0</v>
      </c>
      <c r="BX71" s="19">
        <f>'P&amp;L - Inputs'!CW458</f>
        <v>0</v>
      </c>
      <c r="BY71" s="19">
        <f>'P&amp;L - Inputs'!CX458</f>
        <v>0</v>
      </c>
      <c r="BZ71" s="19">
        <f>'P&amp;L - Inputs'!CY458</f>
        <v>0</v>
      </c>
      <c r="CA71" s="19">
        <f>'P&amp;L - Inputs'!CZ458</f>
        <v>0</v>
      </c>
      <c r="CB71" s="19">
        <f>'P&amp;L - Inputs'!DA458</f>
        <v>0</v>
      </c>
      <c r="CC71" s="19">
        <f>'P&amp;L - Inputs'!DB458</f>
        <v>0</v>
      </c>
      <c r="CD71" s="19">
        <f>'P&amp;L - Inputs'!DC458</f>
        <v>0</v>
      </c>
      <c r="CE71" s="19">
        <f>'P&amp;L - Inputs'!DD458</f>
        <v>0</v>
      </c>
      <c r="CF71" s="19">
        <f>'P&amp;L - Inputs'!DE458</f>
        <v>0</v>
      </c>
      <c r="CG71" s="19">
        <f>'P&amp;L - Inputs'!DF458</f>
        <v>0</v>
      </c>
      <c r="CH71" s="19">
        <f>'P&amp;L - Inputs'!DG458</f>
        <v>0</v>
      </c>
      <c r="CI71" s="19">
        <f>'P&amp;L - Inputs'!DH458</f>
        <v>0</v>
      </c>
      <c r="CJ71" s="19">
        <f>'P&amp;L - Inputs'!DI458</f>
        <v>0</v>
      </c>
      <c r="CK71" s="19">
        <f>'P&amp;L - Inputs'!DJ458</f>
        <v>0</v>
      </c>
      <c r="CL71" s="19">
        <f>'P&amp;L - Inputs'!DK458</f>
        <v>0</v>
      </c>
      <c r="CM71" s="19">
        <f>'P&amp;L - Inputs'!DL458</f>
        <v>0</v>
      </c>
      <c r="CN71" s="19">
        <f>'P&amp;L - Inputs'!DM458</f>
        <v>0</v>
      </c>
      <c r="CO71" s="19">
        <f>'P&amp;L - Inputs'!DN458</f>
        <v>0</v>
      </c>
      <c r="CP71" s="19">
        <f>'P&amp;L - Inputs'!DO458</f>
        <v>0</v>
      </c>
      <c r="CQ71" s="19">
        <f>'P&amp;L - Inputs'!DP458</f>
        <v>0</v>
      </c>
      <c r="CR71" s="19">
        <f>'P&amp;L - Inputs'!DQ458</f>
        <v>0</v>
      </c>
      <c r="CS71" s="19">
        <f>'P&amp;L - Inputs'!DR458</f>
        <v>0</v>
      </c>
      <c r="CT71" s="19">
        <f>'P&amp;L - Inputs'!DS458</f>
        <v>0</v>
      </c>
      <c r="CU71" s="19">
        <f>'P&amp;L - Inputs'!DT458</f>
        <v>0</v>
      </c>
      <c r="CV71" s="19">
        <f>'P&amp;L - Inputs'!DU458</f>
        <v>0</v>
      </c>
      <c r="CW71" s="19">
        <f>'P&amp;L - Inputs'!DV458</f>
        <v>0</v>
      </c>
      <c r="CX71" s="19">
        <f>'P&amp;L - Inputs'!DW458</f>
        <v>0</v>
      </c>
      <c r="CY71" s="19">
        <f>'P&amp;L - Inputs'!DX458</f>
        <v>0</v>
      </c>
      <c r="CZ71" s="19">
        <f>'P&amp;L - Inputs'!DY458</f>
        <v>0</v>
      </c>
      <c r="DA71" s="19">
        <f>'P&amp;L - Inputs'!DZ458</f>
        <v>0</v>
      </c>
      <c r="DB71" s="19">
        <f>'P&amp;L - Inputs'!EA458</f>
        <v>0</v>
      </c>
      <c r="DC71" s="19">
        <f>'P&amp;L - Inputs'!EB458</f>
        <v>0</v>
      </c>
      <c r="DD71" s="19">
        <f>'P&amp;L - Inputs'!EC458</f>
        <v>0</v>
      </c>
      <c r="DF71" s="19">
        <f t="shared" si="193"/>
        <v>0</v>
      </c>
      <c r="DG71" s="19">
        <f t="shared" si="194"/>
        <v>0</v>
      </c>
      <c r="DH71" s="19">
        <f t="shared" si="195"/>
        <v>0</v>
      </c>
      <c r="DI71" s="19">
        <f t="shared" si="196"/>
        <v>0</v>
      </c>
      <c r="DJ71" s="19">
        <f t="shared" si="197"/>
        <v>0</v>
      </c>
      <c r="DK71" s="19">
        <f t="shared" si="198"/>
        <v>0</v>
      </c>
      <c r="DL71" s="19">
        <f t="shared" si="199"/>
        <v>0</v>
      </c>
      <c r="DM71" s="19">
        <f t="shared" si="200"/>
        <v>0</v>
      </c>
      <c r="DN71" s="19">
        <f t="shared" si="201"/>
        <v>0</v>
      </c>
      <c r="DO71" s="19">
        <f t="shared" si="202"/>
        <v>0</v>
      </c>
      <c r="DP71" s="19">
        <f t="shared" si="203"/>
        <v>0</v>
      </c>
      <c r="DQ71" s="19">
        <f t="shared" si="204"/>
        <v>0</v>
      </c>
      <c r="DR71" s="19">
        <f t="shared" si="205"/>
        <v>0</v>
      </c>
      <c r="DS71" s="19">
        <f t="shared" si="206"/>
        <v>0</v>
      </c>
      <c r="DT71" s="19">
        <f t="shared" si="207"/>
        <v>0</v>
      </c>
      <c r="DU71" s="19">
        <f t="shared" si="208"/>
        <v>0</v>
      </c>
      <c r="DV71" s="19">
        <f t="shared" si="209"/>
        <v>0</v>
      </c>
      <c r="DW71" s="19">
        <f t="shared" si="210"/>
        <v>0</v>
      </c>
      <c r="DX71" s="19">
        <f t="shared" si="211"/>
        <v>0</v>
      </c>
      <c r="DY71" s="19">
        <f t="shared" si="212"/>
        <v>0</v>
      </c>
      <c r="DZ71" s="19">
        <f t="shared" si="306"/>
        <v>0</v>
      </c>
      <c r="EA71" s="19">
        <f t="shared" si="307"/>
        <v>0</v>
      </c>
      <c r="EB71" s="19">
        <f t="shared" si="308"/>
        <v>0</v>
      </c>
      <c r="EC71" s="19">
        <f t="shared" si="309"/>
        <v>0</v>
      </c>
      <c r="EE71" s="19">
        <f>SUM(DF71:DI71)</f>
        <v>0</v>
      </c>
      <c r="EF71" s="19">
        <f>SUM(DJ71:DM71)</f>
        <v>0</v>
      </c>
      <c r="EG71" s="19">
        <f>SUM(DN71:DQ71)</f>
        <v>0</v>
      </c>
      <c r="EH71" s="19">
        <f>SUM(DR71:DU71)</f>
        <v>0</v>
      </c>
      <c r="EI71" s="19">
        <f>SUM(DV71:DY71)</f>
        <v>0</v>
      </c>
      <c r="EJ71" s="770">
        <f t="shared" si="310"/>
        <v>0</v>
      </c>
    </row>
    <row r="72" spans="2:140" x14ac:dyDescent="0.2">
      <c r="B72" s="167" t="s">
        <v>140</v>
      </c>
      <c r="C72" s="19">
        <f>'P&amp;L - Inputs'!AB459</f>
        <v>0</v>
      </c>
      <c r="D72" s="19">
        <f>'P&amp;L - Inputs'!AC459</f>
        <v>0</v>
      </c>
      <c r="E72" s="19">
        <f>'P&amp;L - Inputs'!AD459</f>
        <v>0</v>
      </c>
      <c r="F72" s="19">
        <f>'P&amp;L - Inputs'!AE459</f>
        <v>0</v>
      </c>
      <c r="G72" s="19">
        <f>'P&amp;L - Inputs'!AF459</f>
        <v>0</v>
      </c>
      <c r="H72" s="19">
        <f>'P&amp;L - Inputs'!AG459</f>
        <v>0</v>
      </c>
      <c r="I72" s="19">
        <f>'P&amp;L - Inputs'!AH459</f>
        <v>0</v>
      </c>
      <c r="J72" s="19">
        <f>'P&amp;L - Inputs'!AI459</f>
        <v>0</v>
      </c>
      <c r="K72" s="19">
        <f>'P&amp;L - Inputs'!AJ459</f>
        <v>0</v>
      </c>
      <c r="L72" s="19">
        <f>'P&amp;L - Inputs'!AK459</f>
        <v>14286.050847457627</v>
      </c>
      <c r="M72" s="19">
        <f>'P&amp;L - Inputs'!AL459</f>
        <v>11658.661016949152</v>
      </c>
      <c r="N72" s="19">
        <f>'P&amp;L - Inputs'!AM459</f>
        <v>0</v>
      </c>
      <c r="O72" s="19">
        <f>'P&amp;L - Inputs'!AN459</f>
        <v>5400.3050847457635</v>
      </c>
      <c r="P72" s="19">
        <f>'P&amp;L - Inputs'!AO459</f>
        <v>8702.5423728813566</v>
      </c>
      <c r="Q72" s="19">
        <f>'P&amp;L - Inputs'!AP459</f>
        <v>19051.761355932202</v>
      </c>
      <c r="R72" s="19">
        <f>'P&amp;L - Inputs'!AQ459</f>
        <v>31060.983050847455</v>
      </c>
      <c r="S72" s="19">
        <f>'P&amp;L - Inputs'!AR459</f>
        <v>29941.200000000004</v>
      </c>
      <c r="T72" s="19">
        <f>'P&amp;L - Inputs'!AS459</f>
        <v>20775.081355932205</v>
      </c>
      <c r="U72" s="19">
        <f>'P&amp;L - Inputs'!AT459</f>
        <v>41499.457627118645</v>
      </c>
      <c r="V72" s="19">
        <f>'P&amp;L - Inputs'!AU459</f>
        <v>29258.847457627122</v>
      </c>
      <c r="W72" s="19">
        <f>'P&amp;L - Inputs'!AV459</f>
        <v>35584.041355932204</v>
      </c>
      <c r="X72" s="19">
        <f>'P&amp;L - Inputs'!AW459</f>
        <v>19450.983050847459</v>
      </c>
      <c r="Y72" s="19">
        <f>'P&amp;L - Inputs'!AX459</f>
        <v>6639.7118644067805</v>
      </c>
      <c r="Z72" s="19">
        <f>'P&amp;L - Inputs'!AY459</f>
        <v>14327.182372881356</v>
      </c>
      <c r="AA72" s="19">
        <f>'P&amp;L - Inputs'!AZ459</f>
        <v>17217.823728813557</v>
      </c>
      <c r="AB72" s="19">
        <f>'P&amp;L - Inputs'!BA459</f>
        <v>9955.6596610169472</v>
      </c>
      <c r="AC72" s="19">
        <f>'P&amp;L - Inputs'!BB459</f>
        <v>8171.682711864406</v>
      </c>
      <c r="AD72" s="19">
        <f>'P&amp;L - Inputs'!BC459</f>
        <v>11495.487966101695</v>
      </c>
      <c r="AE72" s="19">
        <f>'P&amp;L - Inputs'!BD459</f>
        <v>9946.220338983052</v>
      </c>
      <c r="AF72" s="19">
        <f>'P&amp;L - Inputs'!BE459</f>
        <v>14287.576271186441</v>
      </c>
      <c r="AG72" s="19">
        <f>'P&amp;L - Inputs'!BF459</f>
        <v>4608.7627118644086</v>
      </c>
      <c r="AH72" s="19">
        <f>'P&amp;L - Inputs'!BG459</f>
        <v>16705.281355932202</v>
      </c>
      <c r="AI72" s="19">
        <f>'P&amp;L - Inputs'!BH459</f>
        <v>0</v>
      </c>
      <c r="AJ72" s="19">
        <f>'P&amp;L - Inputs'!BI459</f>
        <v>5172.6493220338989</v>
      </c>
      <c r="AK72" s="19">
        <f>'P&amp;L - Inputs'!BJ459</f>
        <v>10526.909415254233</v>
      </c>
      <c r="AL72" s="19">
        <f>'P&amp;L - Inputs'!BK459</f>
        <v>9181.8000000000029</v>
      </c>
      <c r="AM72" s="19">
        <f>'P&amp;L - Inputs'!BL459</f>
        <v>-36.244067796610167</v>
      </c>
      <c r="AN72" s="19">
        <f>'P&amp;L - Inputs'!BM459</f>
        <v>0</v>
      </c>
      <c r="AO72" s="19">
        <f>'P&amp;L - Inputs'!BN459</f>
        <v>14126.270644067812</v>
      </c>
      <c r="AP72" s="19">
        <f>'P&amp;L - Inputs'!BO459</f>
        <v>16878.862427796605</v>
      </c>
      <c r="AQ72" s="19">
        <f>'P&amp;L - Inputs'!BP459</f>
        <v>13126.748644067799</v>
      </c>
      <c r="AR72" s="19">
        <f>'P&amp;L - Inputs'!BQ459</f>
        <v>0</v>
      </c>
      <c r="AS72" s="19">
        <f>'P&amp;L - Inputs'!BR459</f>
        <v>0</v>
      </c>
      <c r="AT72" s="19">
        <f>'P&amp;L - Inputs'!BS459</f>
        <v>0</v>
      </c>
      <c r="AU72" s="19">
        <f>'P&amp;L - Inputs'!BT459</f>
        <v>0</v>
      </c>
      <c r="AV72" s="19">
        <f>'P&amp;L - Inputs'!BU459</f>
        <v>0</v>
      </c>
      <c r="AW72" s="19">
        <f>'P&amp;L - Inputs'!BV459</f>
        <v>0</v>
      </c>
      <c r="AX72" s="19">
        <f>'P&amp;L - Inputs'!BW459</f>
        <v>0</v>
      </c>
      <c r="AY72" s="19">
        <f>'P&amp;L - Inputs'!BX459</f>
        <v>0</v>
      </c>
      <c r="AZ72" s="19">
        <f>'P&amp;L - Inputs'!BY459</f>
        <v>0</v>
      </c>
      <c r="BA72" s="19">
        <f>'P&amp;L - Inputs'!BZ459</f>
        <v>0</v>
      </c>
      <c r="BB72" s="19">
        <f>'P&amp;L - Inputs'!CA459</f>
        <v>0</v>
      </c>
      <c r="BC72" s="19">
        <f>'P&amp;L - Inputs'!CB459</f>
        <v>0</v>
      </c>
      <c r="BD72" s="19">
        <f>'P&amp;L - Inputs'!CC459</f>
        <v>0</v>
      </c>
      <c r="BE72" s="19">
        <f>'P&amp;L - Inputs'!CD459</f>
        <v>0</v>
      </c>
      <c r="BF72" s="19">
        <f>'P&amp;L - Inputs'!CE459</f>
        <v>0</v>
      </c>
      <c r="BG72" s="19">
        <f>'P&amp;L - Inputs'!CF459</f>
        <v>35773.322033898308</v>
      </c>
      <c r="BH72" s="19">
        <f>'P&amp;L - Inputs'!CG459</f>
        <v>0</v>
      </c>
      <c r="BI72" s="19">
        <f>'P&amp;L - Inputs'!CH459</f>
        <v>0</v>
      </c>
      <c r="BJ72" s="19">
        <f>'P&amp;L - Inputs'!CI459</f>
        <v>43675.419661016953</v>
      </c>
      <c r="BK72" s="19">
        <f>'P&amp;L - Inputs'!CJ459</f>
        <v>11331.610169491527</v>
      </c>
      <c r="BL72" s="19">
        <f>'P&amp;L - Inputs'!CK459</f>
        <v>61613.066440678129</v>
      </c>
      <c r="BM72" s="19">
        <f>'P&amp;L - Inputs'!CL459</f>
        <v>54378.823728813564</v>
      </c>
      <c r="BN72" s="19">
        <f>'P&amp;L - Inputs'!CM459</f>
        <v>47793.050847457627</v>
      </c>
      <c r="BO72" s="19">
        <f>'P&amp;L - Inputs'!CN459</f>
        <v>58033.372881355928</v>
      </c>
      <c r="BP72" s="19">
        <f>'P&amp;L - Inputs'!CO459</f>
        <v>0</v>
      </c>
      <c r="BQ72" s="19">
        <f>'P&amp;L - Inputs'!CP459</f>
        <v>74957.633389830517</v>
      </c>
      <c r="BR72" s="19">
        <f>'P&amp;L - Inputs'!CQ459</f>
        <v>29226.783050847458</v>
      </c>
      <c r="BS72" s="19">
        <f>'P&amp;L - Inputs'!CR459</f>
        <v>31439.837288135601</v>
      </c>
      <c r="BT72" s="19">
        <f>'P&amp;L - Inputs'!CS459</f>
        <v>59690.1447457627</v>
      </c>
      <c r="BU72" s="19">
        <f>'P&amp;L - Inputs'!CT459</f>
        <v>0</v>
      </c>
      <c r="BV72" s="19">
        <f>'P&amp;L - Inputs'!CU459</f>
        <v>0</v>
      </c>
      <c r="BW72" s="19">
        <f>'P&amp;L - Inputs'!CV459</f>
        <v>0</v>
      </c>
      <c r="BX72" s="19">
        <f>'P&amp;L - Inputs'!CW459</f>
        <v>0</v>
      </c>
      <c r="BY72" s="19">
        <f>'P&amp;L - Inputs'!CX459</f>
        <v>0</v>
      </c>
      <c r="BZ72" s="19">
        <f>'P&amp;L - Inputs'!CY459</f>
        <v>0</v>
      </c>
      <c r="CA72" s="19">
        <f>'P&amp;L - Inputs'!CZ459</f>
        <v>0</v>
      </c>
      <c r="CB72" s="19">
        <f>'P&amp;L - Inputs'!DA459</f>
        <v>0</v>
      </c>
      <c r="CC72" s="19">
        <f>'P&amp;L - Inputs'!DB459</f>
        <v>0</v>
      </c>
      <c r="CD72" s="19">
        <f>'P&amp;L - Inputs'!DC459</f>
        <v>0</v>
      </c>
      <c r="CE72" s="19">
        <f>'P&amp;L - Inputs'!DD459</f>
        <v>0</v>
      </c>
      <c r="CF72" s="19">
        <f>'P&amp;L - Inputs'!DE459</f>
        <v>0</v>
      </c>
      <c r="CG72" s="19">
        <f>'P&amp;L - Inputs'!DF459</f>
        <v>0</v>
      </c>
      <c r="CH72" s="19">
        <f>'P&amp;L - Inputs'!DG459</f>
        <v>0</v>
      </c>
      <c r="CI72" s="19">
        <f>'P&amp;L - Inputs'!DH459</f>
        <v>0</v>
      </c>
      <c r="CJ72" s="19">
        <f>'P&amp;L - Inputs'!DI459</f>
        <v>0</v>
      </c>
      <c r="CK72" s="19">
        <f>'P&amp;L - Inputs'!DJ459</f>
        <v>0</v>
      </c>
      <c r="CL72" s="19">
        <f>'P&amp;L - Inputs'!DK459</f>
        <v>0</v>
      </c>
      <c r="CM72" s="19">
        <f>'P&amp;L - Inputs'!DL459</f>
        <v>0</v>
      </c>
      <c r="CN72" s="19">
        <f>'P&amp;L - Inputs'!DM459</f>
        <v>0</v>
      </c>
      <c r="CO72" s="19">
        <f>'P&amp;L - Inputs'!DN459</f>
        <v>0</v>
      </c>
      <c r="CP72" s="19">
        <f>'P&amp;L - Inputs'!DO459</f>
        <v>0</v>
      </c>
      <c r="CQ72" s="19">
        <f>'P&amp;L - Inputs'!DP459</f>
        <v>0</v>
      </c>
      <c r="CR72" s="19">
        <f>'P&amp;L - Inputs'!DQ459</f>
        <v>0</v>
      </c>
      <c r="CS72" s="19">
        <f>'P&amp;L - Inputs'!DR459</f>
        <v>0</v>
      </c>
      <c r="CT72" s="19">
        <f>'P&amp;L - Inputs'!DS459</f>
        <v>0</v>
      </c>
      <c r="CU72" s="19">
        <f>'P&amp;L - Inputs'!DT459</f>
        <v>0</v>
      </c>
      <c r="CV72" s="19">
        <f>'P&amp;L - Inputs'!DU459</f>
        <v>0</v>
      </c>
      <c r="CW72" s="19">
        <f>'P&amp;L - Inputs'!DV459</f>
        <v>0</v>
      </c>
      <c r="CX72" s="19">
        <f>'P&amp;L - Inputs'!DW459</f>
        <v>0</v>
      </c>
      <c r="CY72" s="19">
        <f>'P&amp;L - Inputs'!DX459</f>
        <v>0</v>
      </c>
      <c r="CZ72" s="19">
        <f>'P&amp;L - Inputs'!DY459</f>
        <v>0</v>
      </c>
      <c r="DA72" s="19">
        <f>'P&amp;L - Inputs'!DZ459</f>
        <v>0</v>
      </c>
      <c r="DB72" s="19">
        <f>'P&amp;L - Inputs'!EA459</f>
        <v>0</v>
      </c>
      <c r="DC72" s="19">
        <f>'P&amp;L - Inputs'!EB459</f>
        <v>0</v>
      </c>
      <c r="DD72" s="19">
        <f>'P&amp;L - Inputs'!EC459</f>
        <v>0</v>
      </c>
      <c r="DF72" s="19">
        <f t="shared" si="193"/>
        <v>19672.465347457623</v>
      </c>
      <c r="DG72" s="19">
        <f t="shared" si="194"/>
        <v>31005.133071864417</v>
      </c>
      <c r="DH72" s="19">
        <f t="shared" si="195"/>
        <v>13126.748644067799</v>
      </c>
      <c r="DI72" s="19">
        <f t="shared" si="196"/>
        <v>0</v>
      </c>
      <c r="DJ72" s="19">
        <f t="shared" si="197"/>
        <v>0</v>
      </c>
      <c r="DK72" s="19">
        <f t="shared" si="198"/>
        <v>0</v>
      </c>
      <c r="DL72" s="19">
        <f t="shared" si="199"/>
        <v>0</v>
      </c>
      <c r="DM72" s="19">
        <f t="shared" si="200"/>
        <v>35773.322033898308</v>
      </c>
      <c r="DN72" s="19">
        <f t="shared" si="201"/>
        <v>55007.02983050848</v>
      </c>
      <c r="DO72" s="19">
        <f t="shared" si="202"/>
        <v>163784.94101694933</v>
      </c>
      <c r="DP72" s="19">
        <f t="shared" si="203"/>
        <v>132991.00627118646</v>
      </c>
      <c r="DQ72" s="19">
        <f t="shared" si="204"/>
        <v>120356.76508474577</v>
      </c>
      <c r="DR72" s="19">
        <f t="shared" si="205"/>
        <v>0</v>
      </c>
      <c r="DS72" s="19">
        <f t="shared" si="206"/>
        <v>0</v>
      </c>
      <c r="DT72" s="19">
        <f t="shared" si="207"/>
        <v>0</v>
      </c>
      <c r="DU72" s="19">
        <f t="shared" si="208"/>
        <v>0</v>
      </c>
      <c r="DV72" s="19">
        <f t="shared" si="209"/>
        <v>0</v>
      </c>
      <c r="DW72" s="19">
        <f t="shared" si="210"/>
        <v>0</v>
      </c>
      <c r="DX72" s="19">
        <f t="shared" si="211"/>
        <v>0</v>
      </c>
      <c r="DY72" s="19">
        <f t="shared" si="212"/>
        <v>0</v>
      </c>
      <c r="DZ72" s="19">
        <f t="shared" si="306"/>
        <v>0</v>
      </c>
      <c r="EA72" s="19">
        <f t="shared" si="307"/>
        <v>0</v>
      </c>
      <c r="EB72" s="19">
        <f t="shared" si="308"/>
        <v>0</v>
      </c>
      <c r="EC72" s="19">
        <f t="shared" si="309"/>
        <v>0</v>
      </c>
      <c r="EE72" s="19">
        <f>SUM(DF72:DI72)</f>
        <v>63804.347063389832</v>
      </c>
      <c r="EF72" s="19">
        <f>SUM(DJ72:DM72)</f>
        <v>35773.322033898308</v>
      </c>
      <c r="EG72" s="19">
        <f>SUM(DN72:DQ72)</f>
        <v>472139.74220339005</v>
      </c>
      <c r="EH72" s="19">
        <f>SUM(DR72:DU72)</f>
        <v>0</v>
      </c>
      <c r="EI72" s="19">
        <f>SUM(DV72:DY72)</f>
        <v>0</v>
      </c>
      <c r="EJ72" s="770">
        <f t="shared" si="310"/>
        <v>0</v>
      </c>
    </row>
    <row r="73" spans="2:140" x14ac:dyDescent="0.2">
      <c r="B73" s="167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E73" s="10"/>
      <c r="EF73" s="10"/>
      <c r="EG73" s="10"/>
      <c r="EH73" s="10"/>
      <c r="EI73" s="10"/>
      <c r="EJ73" s="812"/>
    </row>
    <row r="74" spans="2:140" x14ac:dyDescent="0.2">
      <c r="B74" s="196" t="s">
        <v>13</v>
      </c>
      <c r="C74" s="197">
        <f>SUM(C75:C78)</f>
        <v>7862171.4849610161</v>
      </c>
      <c r="D74" s="197">
        <f t="shared" ref="D74:BO74" si="311">SUM(D75:D78)</f>
        <v>7291416.7323576268</v>
      </c>
      <c r="E74" s="197">
        <f t="shared" si="311"/>
        <v>9160052.4951077271</v>
      </c>
      <c r="F74" s="197">
        <f t="shared" si="311"/>
        <v>11449884.895369492</v>
      </c>
      <c r="G74" s="197">
        <f t="shared" si="311"/>
        <v>11864917.453728812</v>
      </c>
      <c r="H74" s="197">
        <f t="shared" si="311"/>
        <v>17060971.755564407</v>
      </c>
      <c r="I74" s="197">
        <f t="shared" si="311"/>
        <v>39264769.429661021</v>
      </c>
      <c r="J74" s="197">
        <f t="shared" si="311"/>
        <v>40263575.560834743</v>
      </c>
      <c r="K74" s="197">
        <f t="shared" si="311"/>
        <v>39142392.322711855</v>
      </c>
      <c r="L74" s="197">
        <f t="shared" si="311"/>
        <v>43520346.236288227</v>
      </c>
      <c r="M74" s="197">
        <f t="shared" si="311"/>
        <v>24866016.231860984</v>
      </c>
      <c r="N74" s="197">
        <f t="shared" si="311"/>
        <v>628112.17694915284</v>
      </c>
      <c r="O74" s="197">
        <f t="shared" si="311"/>
        <v>18364299.585980769</v>
      </c>
      <c r="P74" s="197">
        <f t="shared" si="311"/>
        <v>27335239.158454947</v>
      </c>
      <c r="Q74" s="197">
        <f t="shared" si="311"/>
        <v>34951543.990909465</v>
      </c>
      <c r="R74" s="197">
        <f t="shared" si="311"/>
        <v>46992051.860611774</v>
      </c>
      <c r="S74" s="197">
        <f t="shared" si="311"/>
        <v>57247837.403012209</v>
      </c>
      <c r="T74" s="197">
        <f t="shared" si="311"/>
        <v>80036711.811065108</v>
      </c>
      <c r="U74" s="197">
        <f t="shared" si="311"/>
        <v>96879986.433450788</v>
      </c>
      <c r="V74" s="197">
        <f t="shared" si="311"/>
        <v>95172390.164747134</v>
      </c>
      <c r="W74" s="197">
        <f t="shared" si="311"/>
        <v>102377800.67927426</v>
      </c>
      <c r="X74" s="197">
        <f t="shared" si="311"/>
        <v>114751387.8466906</v>
      </c>
      <c r="Y74" s="197">
        <f t="shared" si="311"/>
        <v>103226771.82334834</v>
      </c>
      <c r="Z74" s="197">
        <f t="shared" si="311"/>
        <v>125950980.88732228</v>
      </c>
      <c r="AA74" s="197">
        <f t="shared" si="311"/>
        <v>150111704.66086498</v>
      </c>
      <c r="AB74" s="197">
        <f t="shared" si="311"/>
        <v>154927211.82380763</v>
      </c>
      <c r="AC74" s="197">
        <f t="shared" si="311"/>
        <v>162334677.849646</v>
      </c>
      <c r="AD74" s="197">
        <f t="shared" si="311"/>
        <v>156511493.75597769</v>
      </c>
      <c r="AE74" s="197">
        <f t="shared" si="311"/>
        <v>173702433.39823127</v>
      </c>
      <c r="AF74" s="197">
        <f t="shared" si="311"/>
        <v>179574681.28936067</v>
      </c>
      <c r="AG74" s="197">
        <f t="shared" si="311"/>
        <v>217036805.98255402</v>
      </c>
      <c r="AH74" s="197">
        <f t="shared" si="311"/>
        <v>238563156.40943953</v>
      </c>
      <c r="AI74" s="197">
        <f t="shared" si="311"/>
        <v>236514319.40370616</v>
      </c>
      <c r="AJ74" s="197">
        <f t="shared" si="311"/>
        <v>298903527.9517296</v>
      </c>
      <c r="AK74" s="197">
        <f t="shared" si="311"/>
        <v>319558257.92100018</v>
      </c>
      <c r="AL74" s="197">
        <f t="shared" si="311"/>
        <v>336980210.66711044</v>
      </c>
      <c r="AM74" s="197">
        <f t="shared" si="311"/>
        <v>329997523.56056017</v>
      </c>
      <c r="AN74" s="197">
        <f t="shared" si="311"/>
        <v>290921164.72996676</v>
      </c>
      <c r="AO74" s="197">
        <f t="shared" si="311"/>
        <v>292069235.94220668</v>
      </c>
      <c r="AP74" s="197">
        <f t="shared" si="311"/>
        <v>276140951.49092841</v>
      </c>
      <c r="AQ74" s="197">
        <f t="shared" si="311"/>
        <v>391588701.36266869</v>
      </c>
      <c r="AR74" s="197">
        <f t="shared" si="311"/>
        <v>340937017.84405154</v>
      </c>
      <c r="AS74" s="197">
        <f t="shared" si="311"/>
        <v>295121964.87354445</v>
      </c>
      <c r="AT74" s="197">
        <f t="shared" si="311"/>
        <v>265704583.54988667</v>
      </c>
      <c r="AU74" s="197">
        <f t="shared" si="311"/>
        <v>243360536.99336153</v>
      </c>
      <c r="AV74" s="197">
        <f t="shared" si="311"/>
        <v>293054278.07923847</v>
      </c>
      <c r="AW74" s="197">
        <f t="shared" si="311"/>
        <v>310838217.24076301</v>
      </c>
      <c r="AX74" s="197">
        <f t="shared" si="311"/>
        <v>311703744.5294854</v>
      </c>
      <c r="AY74" s="197">
        <f t="shared" si="311"/>
        <v>333807455.86404884</v>
      </c>
      <c r="AZ74" s="197">
        <f t="shared" si="311"/>
        <v>316072436.7030797</v>
      </c>
      <c r="BA74" s="197">
        <f t="shared" si="311"/>
        <v>269092017.66929555</v>
      </c>
      <c r="BB74" s="197">
        <f t="shared" si="311"/>
        <v>231735640.60687006</v>
      </c>
      <c r="BC74" s="197">
        <f t="shared" si="311"/>
        <v>327741025.24051946</v>
      </c>
      <c r="BD74" s="197">
        <f t="shared" si="311"/>
        <v>319814318.29682046</v>
      </c>
      <c r="BE74" s="197">
        <f t="shared" si="311"/>
        <v>380514455.21450275</v>
      </c>
      <c r="BF74" s="197">
        <f t="shared" si="311"/>
        <v>391377065.93301147</v>
      </c>
      <c r="BG74" s="197">
        <f t="shared" si="311"/>
        <v>369746692.70490921</v>
      </c>
      <c r="BH74" s="197">
        <f t="shared" si="311"/>
        <v>460300639.56869185</v>
      </c>
      <c r="BI74" s="197">
        <f t="shared" si="311"/>
        <v>446390109.09221852</v>
      </c>
      <c r="BJ74" s="197">
        <f t="shared" si="311"/>
        <v>427143556.36654204</v>
      </c>
      <c r="BK74" s="197">
        <f t="shared" si="311"/>
        <v>438696551.77529627</v>
      </c>
      <c r="BL74" s="197">
        <f t="shared" si="311"/>
        <v>482002044.97695023</v>
      </c>
      <c r="BM74" s="197">
        <f t="shared" si="311"/>
        <v>407095041.58406943</v>
      </c>
      <c r="BN74" s="197">
        <f t="shared" si="311"/>
        <v>382446772.2740652</v>
      </c>
      <c r="BO74" s="197">
        <f t="shared" si="311"/>
        <v>557655921.58084357</v>
      </c>
      <c r="BP74" s="197">
        <f t="shared" ref="BP74:CR74" si="312">SUM(BP75:BP78)</f>
        <v>498716626.18423724</v>
      </c>
      <c r="BQ74" s="197">
        <f t="shared" si="312"/>
        <v>623373415.48219919</v>
      </c>
      <c r="BR74" s="197">
        <f t="shared" si="312"/>
        <v>659550540.51932061</v>
      </c>
      <c r="BS74" s="197">
        <f t="shared" si="312"/>
        <v>638715068.3508426</v>
      </c>
      <c r="BT74" s="197">
        <f t="shared" si="312"/>
        <v>766919876.31966007</v>
      </c>
      <c r="BU74" s="197">
        <f t="shared" si="312"/>
        <v>639917770.52199888</v>
      </c>
      <c r="BV74" s="197">
        <f t="shared" si="312"/>
        <v>626672846.69054782</v>
      </c>
      <c r="BW74" s="197">
        <f t="shared" si="312"/>
        <v>625366560.37482357</v>
      </c>
      <c r="BX74" s="197">
        <f t="shared" si="312"/>
        <v>677187882.77708423</v>
      </c>
      <c r="BY74" s="197">
        <f t="shared" si="312"/>
        <v>605033074.75663447</v>
      </c>
      <c r="BZ74" s="197">
        <f t="shared" si="312"/>
        <v>561828653.08972585</v>
      </c>
      <c r="CA74" s="197">
        <f t="shared" si="312"/>
        <v>701026113.39561045</v>
      </c>
      <c r="CB74" s="197">
        <f t="shared" si="312"/>
        <v>645597667.82244015</v>
      </c>
      <c r="CC74" s="197">
        <f t="shared" si="312"/>
        <v>768017595.65986013</v>
      </c>
      <c r="CD74" s="197">
        <f t="shared" si="312"/>
        <v>786882378.72070217</v>
      </c>
      <c r="CE74" s="197">
        <f t="shared" si="312"/>
        <v>731720072.78295255</v>
      </c>
      <c r="CF74" s="197">
        <f t="shared" si="312"/>
        <v>851182346.21011841</v>
      </c>
      <c r="CG74" s="197">
        <f t="shared" si="312"/>
        <v>782539478.54914796</v>
      </c>
      <c r="CH74" s="197">
        <f t="shared" si="312"/>
        <v>768261718.24554539</v>
      </c>
      <c r="CI74" s="197">
        <f t="shared" si="312"/>
        <v>762672859.93868947</v>
      </c>
      <c r="CJ74" s="197">
        <f t="shared" si="312"/>
        <v>825448488.77891541</v>
      </c>
      <c r="CK74" s="197">
        <f t="shared" si="312"/>
        <v>735887514.96332145</v>
      </c>
      <c r="CL74" s="197">
        <f t="shared" si="312"/>
        <v>681668820.0620333</v>
      </c>
      <c r="CM74" s="197">
        <f t="shared" si="312"/>
        <v>848024998.99117577</v>
      </c>
      <c r="CN74" s="197">
        <f t="shared" si="312"/>
        <v>776820185.60769987</v>
      </c>
      <c r="CO74" s="197">
        <f t="shared" si="312"/>
        <v>921096360.06250036</v>
      </c>
      <c r="CP74" s="197">
        <f t="shared" si="312"/>
        <v>939826324.25986111</v>
      </c>
      <c r="CQ74" s="197">
        <f t="shared" si="312"/>
        <v>869577330.28483772</v>
      </c>
      <c r="CR74" s="197">
        <f t="shared" si="312"/>
        <v>1000622732.9650203</v>
      </c>
      <c r="CS74" s="197">
        <f t="shared" ref="CS74:DD74" si="313">SUM(CS75:CS78)</f>
        <v>891641553.5671829</v>
      </c>
      <c r="CT74" s="197">
        <f t="shared" si="313"/>
        <v>874498109.49999392</v>
      </c>
      <c r="CU74" s="197">
        <f t="shared" si="313"/>
        <v>867581080.14041674</v>
      </c>
      <c r="CV74" s="197">
        <f t="shared" si="313"/>
        <v>938681046.29678893</v>
      </c>
      <c r="CW74" s="197">
        <f t="shared" si="313"/>
        <v>835745703.31726062</v>
      </c>
      <c r="CX74" s="197">
        <f t="shared" si="313"/>
        <v>773030645.15966046</v>
      </c>
      <c r="CY74" s="197">
        <f t="shared" si="313"/>
        <v>962191374.85171044</v>
      </c>
      <c r="CZ74" s="197">
        <f t="shared" si="313"/>
        <v>880630830.02676558</v>
      </c>
      <c r="DA74" s="197">
        <f t="shared" si="313"/>
        <v>1044497728.3633016</v>
      </c>
      <c r="DB74" s="197">
        <f t="shared" si="313"/>
        <v>1065508098.4618016</v>
      </c>
      <c r="DC74" s="197">
        <f t="shared" si="313"/>
        <v>985079175.40093029</v>
      </c>
      <c r="DD74" s="197">
        <f t="shared" si="313"/>
        <v>1133717942.2429998</v>
      </c>
      <c r="DF74" s="197">
        <f t="shared" si="193"/>
        <v>986535992.14867091</v>
      </c>
      <c r="DG74" s="197">
        <f t="shared" si="194"/>
        <v>859131352.16310191</v>
      </c>
      <c r="DH74" s="197">
        <f t="shared" si="195"/>
        <v>1027647684.0802647</v>
      </c>
      <c r="DI74" s="197">
        <f t="shared" si="196"/>
        <v>802119398.62248659</v>
      </c>
      <c r="DJ74" s="197">
        <f t="shared" si="197"/>
        <v>956349417.63429725</v>
      </c>
      <c r="DK74" s="197">
        <f t="shared" si="198"/>
        <v>816900094.97924531</v>
      </c>
      <c r="DL74" s="197">
        <f t="shared" si="199"/>
        <v>1028069798.7518427</v>
      </c>
      <c r="DM74" s="197">
        <f t="shared" si="200"/>
        <v>1221424398.2066126</v>
      </c>
      <c r="DN74" s="197">
        <f t="shared" si="201"/>
        <v>1312230217.2340567</v>
      </c>
      <c r="DO74" s="197">
        <f t="shared" si="202"/>
        <v>1271543858.8350849</v>
      </c>
      <c r="DP74" s="197">
        <f t="shared" si="203"/>
        <v>1679745963.2472801</v>
      </c>
      <c r="DQ74" s="197">
        <f t="shared" si="204"/>
        <v>2065185485.1898232</v>
      </c>
      <c r="DR74" s="197">
        <f t="shared" si="205"/>
        <v>1891957177.5873704</v>
      </c>
      <c r="DS74" s="197">
        <f t="shared" si="206"/>
        <v>1844049610.6234446</v>
      </c>
      <c r="DT74" s="197">
        <f t="shared" si="207"/>
        <v>2114641376.8779106</v>
      </c>
      <c r="DU74" s="197">
        <f t="shared" si="208"/>
        <v>2369784797.7137733</v>
      </c>
      <c r="DV74" s="197">
        <f t="shared" si="209"/>
        <v>2313474056.7333832</v>
      </c>
      <c r="DW74" s="197">
        <f t="shared" si="210"/>
        <v>2243004823.8042703</v>
      </c>
      <c r="DX74" s="197">
        <f t="shared" si="211"/>
        <v>2545941544.661376</v>
      </c>
      <c r="DY74" s="197">
        <f t="shared" si="212"/>
        <v>2810026387.5097189</v>
      </c>
      <c r="DZ74" s="197">
        <f t="shared" si="306"/>
        <v>2633720743.2075934</v>
      </c>
      <c r="EA74" s="197">
        <f t="shared" si="307"/>
        <v>2547457394.7737098</v>
      </c>
      <c r="EB74" s="197">
        <f t="shared" si="308"/>
        <v>2887319933.2417779</v>
      </c>
      <c r="EC74" s="197">
        <f t="shared" si="309"/>
        <v>3184305216.105732</v>
      </c>
      <c r="EE74" s="197">
        <f>SUM(DF74:DI74)</f>
        <v>3675434427.014524</v>
      </c>
      <c r="EF74" s="197">
        <f>SUM(DJ74:DM74)</f>
        <v>4022743709.5719976</v>
      </c>
      <c r="EG74" s="197">
        <f>SUM(DN74:DQ74)</f>
        <v>6328705524.5062447</v>
      </c>
      <c r="EH74" s="197">
        <f>SUM(DR74:DU74)</f>
        <v>8220432962.8024998</v>
      </c>
      <c r="EI74" s="197">
        <f>SUM(DV74:DY74)</f>
        <v>9912446812.7087479</v>
      </c>
      <c r="EJ74" s="811">
        <f t="shared" si="310"/>
        <v>11252803287.328814</v>
      </c>
    </row>
    <row r="75" spans="2:140" x14ac:dyDescent="0.2">
      <c r="B75" s="24" t="s">
        <v>139</v>
      </c>
      <c r="C75" s="165">
        <f>C33-C57</f>
        <v>4645575.5167033896</v>
      </c>
      <c r="D75" s="165">
        <f t="shared" ref="D75:BH75" si="314">D33-D57</f>
        <v>3813912.2577813561</v>
      </c>
      <c r="E75" s="165">
        <f t="shared" si="314"/>
        <v>5487552.0629043384</v>
      </c>
      <c r="F75" s="165">
        <f t="shared" si="314"/>
        <v>8260866.4207932204</v>
      </c>
      <c r="G75" s="165">
        <f t="shared" si="314"/>
        <v>8857029.0299999993</v>
      </c>
      <c r="H75" s="165">
        <f t="shared" si="314"/>
        <v>14134909.0437</v>
      </c>
      <c r="I75" s="165">
        <f t="shared" si="314"/>
        <v>36292063.149999999</v>
      </c>
      <c r="J75" s="165">
        <f t="shared" si="314"/>
        <v>37256610.594733052</v>
      </c>
      <c r="K75" s="165">
        <f t="shared" si="314"/>
        <v>35796749.915932193</v>
      </c>
      <c r="L75" s="165">
        <f t="shared" si="314"/>
        <v>39690908.973576367</v>
      </c>
      <c r="M75" s="165">
        <f t="shared" si="314"/>
        <v>22531479.681013525</v>
      </c>
      <c r="N75" s="165">
        <f t="shared" si="314"/>
        <v>621845.61694915278</v>
      </c>
      <c r="O75" s="165">
        <f t="shared" si="314"/>
        <v>14382841.150557041</v>
      </c>
      <c r="P75" s="165">
        <f t="shared" si="314"/>
        <v>21661483.173031218</v>
      </c>
      <c r="Q75" s="165">
        <f t="shared" si="314"/>
        <v>28829467.065485734</v>
      </c>
      <c r="R75" s="165">
        <f t="shared" si="314"/>
        <v>39302698.775866009</v>
      </c>
      <c r="S75" s="165">
        <f t="shared" si="314"/>
        <v>49893326.945385091</v>
      </c>
      <c r="T75" s="165">
        <f t="shared" si="314"/>
        <v>72143219.133099005</v>
      </c>
      <c r="U75" s="165">
        <f t="shared" si="314"/>
        <v>85593509.026671112</v>
      </c>
      <c r="V75" s="165">
        <f t="shared" si="314"/>
        <v>84117439.529153913</v>
      </c>
      <c r="W75" s="165">
        <f t="shared" si="314"/>
        <v>91354554.71317257</v>
      </c>
      <c r="X75" s="165">
        <f t="shared" si="314"/>
        <v>103260389.28736855</v>
      </c>
      <c r="Y75" s="165">
        <f t="shared" si="314"/>
        <v>90987132.00978902</v>
      </c>
      <c r="Z75" s="165">
        <f t="shared" si="314"/>
        <v>112257195.14155957</v>
      </c>
      <c r="AA75" s="165">
        <f t="shared" si="314"/>
        <v>135589777.90662771</v>
      </c>
      <c r="AB75" s="165">
        <f t="shared" si="314"/>
        <v>138152647.2644856</v>
      </c>
      <c r="AC75" s="165">
        <f t="shared" si="314"/>
        <v>144179337.2394765</v>
      </c>
      <c r="AD75" s="165">
        <f t="shared" si="314"/>
        <v>138695458.5780116</v>
      </c>
      <c r="AE75" s="165">
        <f t="shared" si="314"/>
        <v>156747913.63551939</v>
      </c>
      <c r="AF75" s="165">
        <f t="shared" si="314"/>
        <v>162733287.85715729</v>
      </c>
      <c r="AG75" s="165">
        <f t="shared" si="314"/>
        <v>199907510.14357099</v>
      </c>
      <c r="AH75" s="165">
        <f t="shared" si="314"/>
        <v>219710757.16367683</v>
      </c>
      <c r="AI75" s="165">
        <f t="shared" si="314"/>
        <v>217911199.97997734</v>
      </c>
      <c r="AJ75" s="165">
        <f t="shared" si="314"/>
        <v>279496364.88393301</v>
      </c>
      <c r="AK75" s="165">
        <f t="shared" si="314"/>
        <v>299384838.65871203</v>
      </c>
      <c r="AL75" s="165">
        <f t="shared" si="314"/>
        <v>315822171.68405956</v>
      </c>
      <c r="AM75" s="165">
        <f t="shared" si="314"/>
        <v>307565429.82327205</v>
      </c>
      <c r="AN75" s="165">
        <f t="shared" si="314"/>
        <v>267727256.42488205</v>
      </c>
      <c r="AO75" s="165">
        <f t="shared" si="314"/>
        <v>265586430.97441</v>
      </c>
      <c r="AP75" s="165">
        <f t="shared" si="314"/>
        <v>252402908.24486059</v>
      </c>
      <c r="AQ75" s="165">
        <f t="shared" si="314"/>
        <v>364382385.3273297</v>
      </c>
      <c r="AR75" s="165">
        <f t="shared" si="314"/>
        <v>320622383.80681396</v>
      </c>
      <c r="AS75" s="165">
        <f t="shared" si="314"/>
        <v>275949169.25408685</v>
      </c>
      <c r="AT75" s="165">
        <f t="shared" si="314"/>
        <v>247585382.7787039</v>
      </c>
      <c r="AU75" s="165">
        <f t="shared" si="314"/>
        <v>224446978.21187407</v>
      </c>
      <c r="AV75" s="165">
        <f t="shared" si="314"/>
        <v>271380901.81655037</v>
      </c>
      <c r="AW75" s="165">
        <f t="shared" si="314"/>
        <v>287896322.22383714</v>
      </c>
      <c r="AX75" s="165">
        <f t="shared" si="314"/>
        <v>287644384.25812042</v>
      </c>
      <c r="AY75" s="165">
        <f t="shared" si="314"/>
        <v>307351435.52079612</v>
      </c>
      <c r="AZ75" s="165">
        <f t="shared" si="314"/>
        <v>288651700.4742626</v>
      </c>
      <c r="BA75" s="165">
        <f t="shared" si="314"/>
        <v>242229666.09302434</v>
      </c>
      <c r="BB75" s="165">
        <f t="shared" si="314"/>
        <v>207366722.88939744</v>
      </c>
      <c r="BC75" s="165">
        <f t="shared" si="314"/>
        <v>299103287.22222507</v>
      </c>
      <c r="BD75" s="165">
        <f t="shared" si="314"/>
        <v>294836004.2120747</v>
      </c>
      <c r="BE75" s="165">
        <f t="shared" si="314"/>
        <v>351215484.3363775</v>
      </c>
      <c r="BF75" s="165">
        <f t="shared" si="314"/>
        <v>362447347.44148612</v>
      </c>
      <c r="BG75" s="165">
        <f t="shared" si="314"/>
        <v>344074355.27270585</v>
      </c>
      <c r="BH75" s="165">
        <f t="shared" si="314"/>
        <v>427881357.20428503</v>
      </c>
      <c r="BI75" s="165">
        <f t="shared" ref="BI75:BO75" si="315">BI33-BI57</f>
        <v>416340150.99052358</v>
      </c>
      <c r="BJ75" s="165">
        <f t="shared" si="315"/>
        <v>395745213.23942339</v>
      </c>
      <c r="BK75" s="165">
        <f t="shared" si="315"/>
        <v>409788249.96173704</v>
      </c>
      <c r="BL75" s="165">
        <f t="shared" si="315"/>
        <v>448609511.96000105</v>
      </c>
      <c r="BM75" s="165">
        <f t="shared" si="315"/>
        <v>371931954.44000167</v>
      </c>
      <c r="BN75" s="165">
        <f t="shared" si="315"/>
        <v>349198855.12999743</v>
      </c>
      <c r="BO75" s="165">
        <f t="shared" si="315"/>
        <v>516877415.51304692</v>
      </c>
      <c r="BP75" s="165">
        <f t="shared" ref="BP75:BS75" si="316">BP33-BP57</f>
        <v>459278137.01474577</v>
      </c>
      <c r="BQ75" s="165">
        <f t="shared" si="316"/>
        <v>574577080.95677543</v>
      </c>
      <c r="BR75" s="165">
        <f t="shared" si="316"/>
        <v>613069434.09559178</v>
      </c>
      <c r="BS75" s="165">
        <f t="shared" si="316"/>
        <v>593922225.80846965</v>
      </c>
      <c r="BT75" s="165">
        <f t="shared" ref="BT75:CR78" si="317">BT33-BT57</f>
        <v>700838173.25186336</v>
      </c>
      <c r="BU75" s="165">
        <f t="shared" si="317"/>
        <v>594767571.45455277</v>
      </c>
      <c r="BV75" s="165">
        <f t="shared" si="317"/>
        <v>580933922.72758758</v>
      </c>
      <c r="BW75" s="165">
        <f t="shared" si="317"/>
        <v>578953171.70064747</v>
      </c>
      <c r="BX75" s="165">
        <f t="shared" si="317"/>
        <v>630917099.35286117</v>
      </c>
      <c r="BY75" s="165">
        <f t="shared" si="317"/>
        <v>557291504.98465395</v>
      </c>
      <c r="BZ75" s="165">
        <f t="shared" si="317"/>
        <v>512721765.43004143</v>
      </c>
      <c r="CA75" s="165">
        <f t="shared" si="317"/>
        <v>653043919.35492206</v>
      </c>
      <c r="CB75" s="165">
        <f t="shared" si="317"/>
        <v>596332688.03015232</v>
      </c>
      <c r="CC75" s="165">
        <f t="shared" si="317"/>
        <v>719688733.75074553</v>
      </c>
      <c r="CD75" s="165">
        <f t="shared" si="317"/>
        <v>738325697.88455534</v>
      </c>
      <c r="CE75" s="165">
        <f t="shared" si="317"/>
        <v>681883597.5455538</v>
      </c>
      <c r="CF75" s="165">
        <f t="shared" si="317"/>
        <v>801808890.58213377</v>
      </c>
      <c r="CG75" s="165">
        <f t="shared" si="317"/>
        <v>731963380.79228532</v>
      </c>
      <c r="CH75" s="165">
        <f t="shared" si="317"/>
        <v>716865179.89212155</v>
      </c>
      <c r="CI75" s="165">
        <f t="shared" si="317"/>
        <v>710773576.86982775</v>
      </c>
      <c r="CJ75" s="165">
        <f t="shared" si="317"/>
        <v>773815685.61976242</v>
      </c>
      <c r="CK75" s="165">
        <f t="shared" si="317"/>
        <v>682587198.34697127</v>
      </c>
      <c r="CL75" s="165">
        <f t="shared" si="317"/>
        <v>626878724.84990847</v>
      </c>
      <c r="CM75" s="165">
        <f t="shared" si="317"/>
        <v>794886782.92698121</v>
      </c>
      <c r="CN75" s="165">
        <f t="shared" si="317"/>
        <v>722440926.17984009</v>
      </c>
      <c r="CO75" s="165">
        <f t="shared" si="317"/>
        <v>868120539.6366154</v>
      </c>
      <c r="CP75" s="165">
        <f t="shared" si="317"/>
        <v>886841319.98812509</v>
      </c>
      <c r="CQ75" s="165">
        <f t="shared" si="317"/>
        <v>815362037.35347748</v>
      </c>
      <c r="CR75" s="165">
        <f t="shared" si="317"/>
        <v>947662008.82708871</v>
      </c>
      <c r="CS75" s="165">
        <f t="shared" ref="CS75:DD75" si="318">CS33-CS57</f>
        <v>837014733.34889877</v>
      </c>
      <c r="CT75" s="165">
        <f t="shared" si="318"/>
        <v>819018604.53894293</v>
      </c>
      <c r="CU75" s="165">
        <f t="shared" si="318"/>
        <v>811583886.12772655</v>
      </c>
      <c r="CV75" s="165">
        <f t="shared" si="318"/>
        <v>883043996.10498166</v>
      </c>
      <c r="CW75" s="165">
        <f t="shared" si="318"/>
        <v>778290653.72831821</v>
      </c>
      <c r="CX75" s="165">
        <f t="shared" si="318"/>
        <v>713990217.45955634</v>
      </c>
      <c r="CY75" s="165">
        <f t="shared" si="318"/>
        <v>905059418.90696025</v>
      </c>
      <c r="CZ75" s="165">
        <f t="shared" si="318"/>
        <v>822141309.93440795</v>
      </c>
      <c r="DA75" s="165">
        <f t="shared" si="318"/>
        <v>987632078.49186218</v>
      </c>
      <c r="DB75" s="165">
        <f t="shared" si="318"/>
        <v>1008658923.4519439</v>
      </c>
      <c r="DC75" s="165">
        <f t="shared" si="318"/>
        <v>926885169.04325044</v>
      </c>
      <c r="DD75" s="165">
        <f t="shared" si="318"/>
        <v>1076976461.9737895</v>
      </c>
      <c r="DF75" s="165">
        <f t="shared" si="193"/>
        <v>922772440.16604352</v>
      </c>
      <c r="DG75" s="165">
        <f t="shared" si="194"/>
        <v>785716595.64415264</v>
      </c>
      <c r="DH75" s="165">
        <f t="shared" si="195"/>
        <v>960953938.38823044</v>
      </c>
      <c r="DI75" s="165">
        <f t="shared" si="196"/>
        <v>743413262.80712831</v>
      </c>
      <c r="DJ75" s="165">
        <f t="shared" si="197"/>
        <v>882892142.00275373</v>
      </c>
      <c r="DK75" s="165">
        <f t="shared" si="198"/>
        <v>738248089.45668435</v>
      </c>
      <c r="DL75" s="165">
        <f t="shared" si="199"/>
        <v>945154775.77067721</v>
      </c>
      <c r="DM75" s="165">
        <f t="shared" si="200"/>
        <v>1134403059.9184771</v>
      </c>
      <c r="DN75" s="165">
        <f t="shared" si="201"/>
        <v>1221873614.191684</v>
      </c>
      <c r="DO75" s="165">
        <f t="shared" si="202"/>
        <v>1169740321.5300002</v>
      </c>
      <c r="DP75" s="165">
        <f t="shared" si="203"/>
        <v>1550732633.4845681</v>
      </c>
      <c r="DQ75" s="165">
        <f t="shared" si="204"/>
        <v>1907829833.1559248</v>
      </c>
      <c r="DR75" s="165">
        <f t="shared" si="205"/>
        <v>1754654665.8827877</v>
      </c>
      <c r="DS75" s="165">
        <f t="shared" si="206"/>
        <v>1700930369.7675567</v>
      </c>
      <c r="DT75" s="165">
        <f t="shared" si="207"/>
        <v>1969065341.1358199</v>
      </c>
      <c r="DU75" s="165">
        <f t="shared" si="208"/>
        <v>2222018186.0122428</v>
      </c>
      <c r="DV75" s="165">
        <f t="shared" si="209"/>
        <v>2159602137.5542345</v>
      </c>
      <c r="DW75" s="165">
        <f t="shared" si="210"/>
        <v>2083281608.8166423</v>
      </c>
      <c r="DX75" s="165">
        <f t="shared" si="211"/>
        <v>2385448248.7434368</v>
      </c>
      <c r="DY75" s="165">
        <f t="shared" si="212"/>
        <v>2649865366.1686912</v>
      </c>
      <c r="DZ75" s="165">
        <f t="shared" si="306"/>
        <v>2467617224.0155683</v>
      </c>
      <c r="EA75" s="165">
        <f t="shared" si="307"/>
        <v>2375324867.2928562</v>
      </c>
      <c r="EB75" s="165">
        <f t="shared" si="308"/>
        <v>2714832807.3332305</v>
      </c>
      <c r="EC75" s="165">
        <f t="shared" si="309"/>
        <v>3012520554.4689837</v>
      </c>
      <c r="EE75" s="165">
        <f>SUM(DF75:DI75)</f>
        <v>3412856237.0055552</v>
      </c>
      <c r="EF75" s="165">
        <f>SUM(DJ75:DM75)</f>
        <v>3700698067.1485925</v>
      </c>
      <c r="EG75" s="165">
        <f>SUM(DN75:DQ75)</f>
        <v>5850176402.3621769</v>
      </c>
      <c r="EH75" s="165">
        <f>SUM(DR75:DU75)</f>
        <v>7646668562.7984066</v>
      </c>
      <c r="EI75" s="165">
        <f>SUM(DV75:DY75)</f>
        <v>9278197361.2830048</v>
      </c>
      <c r="EJ75" s="804">
        <f t="shared" si="310"/>
        <v>10570295453.110638</v>
      </c>
    </row>
    <row r="76" spans="2:140" x14ac:dyDescent="0.2">
      <c r="B76" s="24" t="s">
        <v>191</v>
      </c>
      <c r="C76" s="165">
        <f>C34-C58</f>
        <v>3097934.7542372877</v>
      </c>
      <c r="D76" s="165">
        <f t="shared" ref="D76:BH76" si="319">D34-D58</f>
        <v>3366429.661016949</v>
      </c>
      <c r="E76" s="165">
        <f t="shared" si="319"/>
        <v>3493661.3559322031</v>
      </c>
      <c r="F76" s="165">
        <f t="shared" si="319"/>
        <v>2951397.5423728814</v>
      </c>
      <c r="G76" s="165">
        <f t="shared" si="319"/>
        <v>2784974.5762711866</v>
      </c>
      <c r="H76" s="165">
        <f t="shared" si="319"/>
        <v>2681985.5932203392</v>
      </c>
      <c r="I76" s="165">
        <f t="shared" si="319"/>
        <v>2695875.4237288134</v>
      </c>
      <c r="J76" s="165">
        <f t="shared" si="319"/>
        <v>2684550.8474576273</v>
      </c>
      <c r="K76" s="165">
        <f t="shared" si="319"/>
        <v>2440178</v>
      </c>
      <c r="L76" s="165">
        <f t="shared" si="319"/>
        <v>3244165.2542372881</v>
      </c>
      <c r="M76" s="165">
        <f t="shared" si="319"/>
        <v>2033566.9491525423</v>
      </c>
      <c r="N76" s="165">
        <f t="shared" si="319"/>
        <v>0</v>
      </c>
      <c r="O76" s="165">
        <f t="shared" si="319"/>
        <v>3658239.8305084747</v>
      </c>
      <c r="P76" s="165">
        <f t="shared" si="319"/>
        <v>5088394.0677966103</v>
      </c>
      <c r="Q76" s="165">
        <f t="shared" si="319"/>
        <v>4687964.4067796608</v>
      </c>
      <c r="R76" s="165">
        <f t="shared" si="319"/>
        <v>5772444.0677966103</v>
      </c>
      <c r="S76" s="165">
        <f t="shared" si="319"/>
        <v>5489652.5423728814</v>
      </c>
      <c r="T76" s="165">
        <f t="shared" si="319"/>
        <v>5790347.4576271186</v>
      </c>
      <c r="U76" s="165">
        <f t="shared" si="319"/>
        <v>8306113.5084745754</v>
      </c>
      <c r="V76" s="165">
        <f t="shared" si="319"/>
        <v>8235138.1355932206</v>
      </c>
      <c r="W76" s="165">
        <f t="shared" si="319"/>
        <v>8228675.4237288134</v>
      </c>
      <c r="X76" s="165">
        <f t="shared" si="319"/>
        <v>7600879.6610169495</v>
      </c>
      <c r="Y76" s="165">
        <f t="shared" si="319"/>
        <v>9387326.2711864412</v>
      </c>
      <c r="Z76" s="165">
        <f t="shared" si="319"/>
        <v>10782938.135593221</v>
      </c>
      <c r="AA76" s="165">
        <f t="shared" si="319"/>
        <v>10902077.118644068</v>
      </c>
      <c r="AB76" s="165">
        <f t="shared" si="319"/>
        <v>12806070.338983051</v>
      </c>
      <c r="AC76" s="165">
        <f t="shared" si="319"/>
        <v>13441418.644067798</v>
      </c>
      <c r="AD76" s="165">
        <f t="shared" si="319"/>
        <v>12621150.847457627</v>
      </c>
      <c r="AE76" s="165">
        <f t="shared" si="319"/>
        <v>12042151.694915254</v>
      </c>
      <c r="AF76" s="165">
        <f t="shared" si="319"/>
        <v>12710039.830508474</v>
      </c>
      <c r="AG76" s="165">
        <f t="shared" si="319"/>
        <v>12808982.203389831</v>
      </c>
      <c r="AH76" s="165">
        <f t="shared" si="319"/>
        <v>13606122.033898305</v>
      </c>
      <c r="AI76" s="165">
        <f t="shared" si="319"/>
        <v>12814252.542372882</v>
      </c>
      <c r="AJ76" s="165">
        <f t="shared" si="319"/>
        <v>13488505.084745763</v>
      </c>
      <c r="AK76" s="165">
        <f t="shared" si="319"/>
        <v>13944989.830508474</v>
      </c>
      <c r="AL76" s="165">
        <f t="shared" si="319"/>
        <v>14628605.93220339</v>
      </c>
      <c r="AM76" s="165">
        <f t="shared" si="319"/>
        <v>15370582.203389831</v>
      </c>
      <c r="AN76" s="165">
        <f t="shared" si="319"/>
        <v>16539227.118644068</v>
      </c>
      <c r="AO76" s="165">
        <f t="shared" si="319"/>
        <v>16716184.745762711</v>
      </c>
      <c r="AP76" s="165">
        <f t="shared" si="319"/>
        <v>14490888.983050847</v>
      </c>
      <c r="AQ76" s="165">
        <f t="shared" si="319"/>
        <v>14840163.559322033</v>
      </c>
      <c r="AR76" s="165">
        <f t="shared" si="319"/>
        <v>12339539.830508474</v>
      </c>
      <c r="AS76" s="165">
        <f t="shared" si="319"/>
        <v>12394174.576271186</v>
      </c>
      <c r="AT76" s="165">
        <f t="shared" si="319"/>
        <v>12190198.305084746</v>
      </c>
      <c r="AU76" s="165">
        <f t="shared" si="319"/>
        <v>12288484.745762711</v>
      </c>
      <c r="AV76" s="165">
        <f t="shared" si="319"/>
        <v>14314424.576271186</v>
      </c>
      <c r="AW76" s="165">
        <f t="shared" si="319"/>
        <v>15220091.525423728</v>
      </c>
      <c r="AX76" s="165">
        <f t="shared" si="319"/>
        <v>16324402.542372882</v>
      </c>
      <c r="AY76" s="165">
        <f t="shared" si="319"/>
        <v>17625135.593220338</v>
      </c>
      <c r="AZ76" s="165">
        <f t="shared" si="319"/>
        <v>18791963.389830507</v>
      </c>
      <c r="BA76" s="165">
        <f t="shared" si="319"/>
        <v>18320759.322033897</v>
      </c>
      <c r="BB76" s="165">
        <f t="shared" si="319"/>
        <v>17642321.186440676</v>
      </c>
      <c r="BC76" s="165">
        <f t="shared" si="319"/>
        <v>17972599.728813559</v>
      </c>
      <c r="BD76" s="165">
        <f t="shared" si="319"/>
        <v>16318505.864406781</v>
      </c>
      <c r="BE76" s="165">
        <f t="shared" si="319"/>
        <v>18983577.016949151</v>
      </c>
      <c r="BF76" s="165">
        <f t="shared" si="319"/>
        <v>18050991.93220339</v>
      </c>
      <c r="BG76" s="165">
        <f t="shared" si="319"/>
        <v>15779612.203389829</v>
      </c>
      <c r="BH76" s="165">
        <f t="shared" si="319"/>
        <v>20938880.271186441</v>
      </c>
      <c r="BI76" s="165">
        <f t="shared" ref="BI76:BS76" si="320">BI34-BI58</f>
        <v>19321590.677966103</v>
      </c>
      <c r="BJ76" s="165">
        <f t="shared" si="320"/>
        <v>19939703.389830507</v>
      </c>
      <c r="BK76" s="165">
        <f t="shared" si="320"/>
        <v>20037507.966101695</v>
      </c>
      <c r="BL76" s="165">
        <f t="shared" si="320"/>
        <v>22639125.177966103</v>
      </c>
      <c r="BM76" s="165">
        <f t="shared" si="320"/>
        <v>25438238.364406779</v>
      </c>
      <c r="BN76" s="165">
        <f t="shared" si="320"/>
        <v>21311952.398305085</v>
      </c>
      <c r="BO76" s="165">
        <f t="shared" si="320"/>
        <v>21753492.135593221</v>
      </c>
      <c r="BP76" s="165">
        <f t="shared" si="320"/>
        <v>22556101.771186441</v>
      </c>
      <c r="BQ76" s="165">
        <f t="shared" si="320"/>
        <v>27248587.576271188</v>
      </c>
      <c r="BR76" s="165">
        <f t="shared" si="320"/>
        <v>27010208.550847456</v>
      </c>
      <c r="BS76" s="165">
        <f t="shared" si="320"/>
        <v>26401732.915254235</v>
      </c>
      <c r="BT76" s="165">
        <f t="shared" si="317"/>
        <v>44980505.644067802</v>
      </c>
      <c r="BU76" s="165">
        <f t="shared" ref="BU76:CR76" si="321">BU87+BU82</f>
        <v>26983741.546096377</v>
      </c>
      <c r="BV76" s="165">
        <f t="shared" si="321"/>
        <v>27408996.721936896</v>
      </c>
      <c r="BW76" s="165">
        <f t="shared" si="321"/>
        <v>27849031.690279771</v>
      </c>
      <c r="BX76" s="165">
        <f t="shared" si="321"/>
        <v>27580728.091706112</v>
      </c>
      <c r="BY76" s="165">
        <f t="shared" si="321"/>
        <v>28775956.677736536</v>
      </c>
      <c r="BZ76" s="165">
        <f t="shared" si="321"/>
        <v>29804632.209247276</v>
      </c>
      <c r="CA76" s="165">
        <f t="shared" si="321"/>
        <v>28604962.647132244</v>
      </c>
      <c r="CB76" s="165">
        <f t="shared" si="321"/>
        <v>29621900.397117294</v>
      </c>
      <c r="CC76" s="165">
        <f t="shared" si="321"/>
        <v>28601067.106188495</v>
      </c>
      <c r="CD76" s="165">
        <f t="shared" si="321"/>
        <v>28684056.20325407</v>
      </c>
      <c r="CE76" s="165">
        <f t="shared" si="321"/>
        <v>29698157.098647844</v>
      </c>
      <c r="CF76" s="165">
        <f t="shared" si="321"/>
        <v>28992924.18733532</v>
      </c>
      <c r="CG76" s="165">
        <f t="shared" si="321"/>
        <v>30008681.078757513</v>
      </c>
      <c r="CH76" s="165">
        <f t="shared" si="321"/>
        <v>30586982.508163221</v>
      </c>
      <c r="CI76" s="165">
        <f t="shared" si="321"/>
        <v>30930629.604093917</v>
      </c>
      <c r="CJ76" s="165">
        <f t="shared" si="321"/>
        <v>30545561.080732938</v>
      </c>
      <c r="CK76" s="165">
        <f t="shared" si="321"/>
        <v>31926326.711159129</v>
      </c>
      <c r="CL76" s="165">
        <f t="shared" si="321"/>
        <v>33072406.369812246</v>
      </c>
      <c r="CM76" s="165">
        <f t="shared" si="321"/>
        <v>31441207.686991874</v>
      </c>
      <c r="CN76" s="165">
        <f t="shared" si="321"/>
        <v>32484273.053057499</v>
      </c>
      <c r="CO76" s="165">
        <f t="shared" si="321"/>
        <v>31088431.129366554</v>
      </c>
      <c r="CP76" s="165">
        <f t="shared" si="321"/>
        <v>31030820.327934213</v>
      </c>
      <c r="CQ76" s="165">
        <f t="shared" si="321"/>
        <v>32063697.355562322</v>
      </c>
      <c r="CR76" s="165">
        <f t="shared" si="321"/>
        <v>30808885.818403855</v>
      </c>
      <c r="CS76" s="165">
        <f t="shared" ref="CS76:DD76" si="322">CS87+CS82</f>
        <v>32254619.720481742</v>
      </c>
      <c r="CT76" s="165">
        <f t="shared" si="322"/>
        <v>32863467.250730474</v>
      </c>
      <c r="CU76" s="165">
        <f t="shared" si="322"/>
        <v>33221271.682313036</v>
      </c>
      <c r="CV76" s="165">
        <f t="shared" si="322"/>
        <v>32747471.788679685</v>
      </c>
      <c r="CW76" s="165">
        <f t="shared" si="322"/>
        <v>34270798.449176416</v>
      </c>
      <c r="CX76" s="165">
        <f t="shared" si="322"/>
        <v>35507443.149277575</v>
      </c>
      <c r="CY76" s="165">
        <f t="shared" si="322"/>
        <v>33633164.571831383</v>
      </c>
      <c r="CZ76" s="165">
        <f t="shared" si="322"/>
        <v>34786614.489372581</v>
      </c>
      <c r="DA76" s="165">
        <f t="shared" si="322"/>
        <v>33181949.723858271</v>
      </c>
      <c r="DB76" s="165">
        <f t="shared" si="322"/>
        <v>33100031.457134627</v>
      </c>
      <c r="DC76" s="165">
        <f t="shared" si="322"/>
        <v>34241419.111225553</v>
      </c>
      <c r="DD76" s="165">
        <f t="shared" si="322"/>
        <v>32799075.131483696</v>
      </c>
      <c r="DF76" s="165">
        <f t="shared" si="193"/>
        <v>43944177.966101691</v>
      </c>
      <c r="DG76" s="165">
        <f t="shared" si="194"/>
        <v>47746300.847457625</v>
      </c>
      <c r="DH76" s="165">
        <f t="shared" si="195"/>
        <v>39573877.966101691</v>
      </c>
      <c r="DI76" s="165">
        <f t="shared" si="196"/>
        <v>38793107.62711864</v>
      </c>
      <c r="DJ76" s="165">
        <f t="shared" si="197"/>
        <v>49169629.661016949</v>
      </c>
      <c r="DK76" s="165">
        <f t="shared" si="198"/>
        <v>54755043.898305081</v>
      </c>
      <c r="DL76" s="165">
        <f t="shared" si="199"/>
        <v>53274682.610169485</v>
      </c>
      <c r="DM76" s="165">
        <f t="shared" si="200"/>
        <v>54769484.406779662</v>
      </c>
      <c r="DN76" s="165">
        <f t="shared" si="201"/>
        <v>59298802.033898309</v>
      </c>
      <c r="DO76" s="165">
        <f t="shared" si="202"/>
        <v>69389315.940677971</v>
      </c>
      <c r="DP76" s="165">
        <f t="shared" si="203"/>
        <v>71558181.483050853</v>
      </c>
      <c r="DQ76" s="165">
        <f t="shared" si="204"/>
        <v>98392447.1101695</v>
      </c>
      <c r="DR76" s="165">
        <f t="shared" si="205"/>
        <v>82241769.958313048</v>
      </c>
      <c r="DS76" s="165">
        <f t="shared" si="206"/>
        <v>86161316.978689924</v>
      </c>
      <c r="DT76" s="165">
        <f t="shared" si="207"/>
        <v>86827930.150438026</v>
      </c>
      <c r="DU76" s="165">
        <f t="shared" si="208"/>
        <v>87375137.489237234</v>
      </c>
      <c r="DV76" s="165">
        <f t="shared" si="209"/>
        <v>91526293.191014647</v>
      </c>
      <c r="DW76" s="165">
        <f t="shared" si="210"/>
        <v>95544294.161704317</v>
      </c>
      <c r="DX76" s="165">
        <f t="shared" si="211"/>
        <v>95013911.869415939</v>
      </c>
      <c r="DY76" s="165">
        <f t="shared" si="212"/>
        <v>93903403.50190039</v>
      </c>
      <c r="DZ76" s="165">
        <f t="shared" si="306"/>
        <v>98339358.653525248</v>
      </c>
      <c r="EA76" s="165">
        <f t="shared" si="307"/>
        <v>102525713.38713369</v>
      </c>
      <c r="EB76" s="165">
        <f t="shared" si="308"/>
        <v>101601728.78506222</v>
      </c>
      <c r="EC76" s="165">
        <f t="shared" si="309"/>
        <v>100140525.69984388</v>
      </c>
      <c r="EE76" s="165">
        <f>SUM(DF76:DI76)</f>
        <v>170057464.40677965</v>
      </c>
      <c r="EF76" s="165">
        <f>SUM(DJ76:DM76)</f>
        <v>211968840.57627118</v>
      </c>
      <c r="EG76" s="165">
        <f>SUM(DN76:DQ76)</f>
        <v>298638746.56779659</v>
      </c>
      <c r="EH76" s="165">
        <f>SUM(DR76:DU76)</f>
        <v>342606154.57667822</v>
      </c>
      <c r="EI76" s="165">
        <f>SUM(DV76:DY76)</f>
        <v>375987902.72403526</v>
      </c>
      <c r="EJ76" s="804">
        <f t="shared" si="310"/>
        <v>402607326.52556503</v>
      </c>
    </row>
    <row r="77" spans="2:140" x14ac:dyDescent="0.2">
      <c r="B77" s="24" t="s">
        <v>140</v>
      </c>
      <c r="C77" s="165">
        <f>C35-C59</f>
        <v>118661.21402033899</v>
      </c>
      <c r="D77" s="165">
        <f t="shared" ref="D77:BH77" si="323">D35-D59</f>
        <v>111074.81355932202</v>
      </c>
      <c r="E77" s="165">
        <f t="shared" si="323"/>
        <v>178839.07627118644</v>
      </c>
      <c r="F77" s="165">
        <f t="shared" si="323"/>
        <v>237620.93220338985</v>
      </c>
      <c r="G77" s="165">
        <f t="shared" si="323"/>
        <v>222913.8474576271</v>
      </c>
      <c r="H77" s="165">
        <f t="shared" si="323"/>
        <v>244077.11864406778</v>
      </c>
      <c r="I77" s="165">
        <f t="shared" si="323"/>
        <v>276830.85593220335</v>
      </c>
      <c r="J77" s="165">
        <f t="shared" si="323"/>
        <v>322414.11864406778</v>
      </c>
      <c r="K77" s="165">
        <f t="shared" si="323"/>
        <v>905464.40677966201</v>
      </c>
      <c r="L77" s="165">
        <f t="shared" si="323"/>
        <v>585272.00847457629</v>
      </c>
      <c r="M77" s="165">
        <f t="shared" si="323"/>
        <v>300969.60169491521</v>
      </c>
      <c r="N77" s="165">
        <f t="shared" si="323"/>
        <v>6266.56</v>
      </c>
      <c r="O77" s="165">
        <f t="shared" si="323"/>
        <v>323218.60491525423</v>
      </c>
      <c r="P77" s="165">
        <f t="shared" si="323"/>
        <v>585361.91762711853</v>
      </c>
      <c r="Q77" s="165">
        <f t="shared" si="323"/>
        <v>1434112.5186440677</v>
      </c>
      <c r="R77" s="165">
        <f t="shared" si="323"/>
        <v>1916909.0169491526</v>
      </c>
      <c r="S77" s="165">
        <f t="shared" si="323"/>
        <v>1864857.9152542371</v>
      </c>
      <c r="T77" s="165">
        <f t="shared" si="323"/>
        <v>2103145.220338989</v>
      </c>
      <c r="U77" s="165">
        <f t="shared" si="323"/>
        <v>2980363.8983050962</v>
      </c>
      <c r="V77" s="165">
        <f t="shared" si="323"/>
        <v>2819812.5000000014</v>
      </c>
      <c r="W77" s="165">
        <f t="shared" si="323"/>
        <v>2794570.5423728824</v>
      </c>
      <c r="X77" s="165">
        <f t="shared" si="323"/>
        <v>3890118.8983050846</v>
      </c>
      <c r="Y77" s="165">
        <f t="shared" si="323"/>
        <v>2852313.5423728838</v>
      </c>
      <c r="Z77" s="165">
        <f t="shared" si="323"/>
        <v>2910847.6101694922</v>
      </c>
      <c r="AA77" s="165">
        <f t="shared" si="323"/>
        <v>3619849.6355932192</v>
      </c>
      <c r="AB77" s="165">
        <f t="shared" si="323"/>
        <v>3968494.2203389779</v>
      </c>
      <c r="AC77" s="165">
        <f t="shared" si="323"/>
        <v>4713921.966101693</v>
      </c>
      <c r="AD77" s="165">
        <f t="shared" si="323"/>
        <v>5194884.3305084733</v>
      </c>
      <c r="AE77" s="165">
        <f t="shared" si="323"/>
        <v>4912368.0677966084</v>
      </c>
      <c r="AF77" s="165">
        <f t="shared" si="323"/>
        <v>4131353.6016949159</v>
      </c>
      <c r="AG77" s="165">
        <f t="shared" si="323"/>
        <v>4320313.6355932206</v>
      </c>
      <c r="AH77" s="165">
        <f t="shared" si="323"/>
        <v>5246277.2118644062</v>
      </c>
      <c r="AI77" s="165">
        <f t="shared" si="323"/>
        <v>5788866.8813559338</v>
      </c>
      <c r="AJ77" s="165">
        <f t="shared" si="323"/>
        <v>5918657.9830508456</v>
      </c>
      <c r="AK77" s="165">
        <f t="shared" si="323"/>
        <v>6228429.4317796668</v>
      </c>
      <c r="AL77" s="165">
        <f t="shared" si="323"/>
        <v>6529433.0508474549</v>
      </c>
      <c r="AM77" s="165">
        <f t="shared" si="323"/>
        <v>7061511.5338983228</v>
      </c>
      <c r="AN77" s="165">
        <f t="shared" si="323"/>
        <v>6654681.1864406755</v>
      </c>
      <c r="AO77" s="165">
        <f t="shared" si="323"/>
        <v>9766620.2220339496</v>
      </c>
      <c r="AP77" s="165">
        <f t="shared" si="323"/>
        <v>9247154.2630169485</v>
      </c>
      <c r="AQ77" s="165">
        <f t="shared" si="323"/>
        <v>12366152.476016937</v>
      </c>
      <c r="AR77" s="165">
        <f t="shared" si="323"/>
        <v>7975094.2067291066</v>
      </c>
      <c r="AS77" s="165">
        <f t="shared" si="323"/>
        <v>6778621.0431864532</v>
      </c>
      <c r="AT77" s="165">
        <f t="shared" si="323"/>
        <v>5929002.4660980497</v>
      </c>
      <c r="AU77" s="165">
        <f t="shared" si="323"/>
        <v>6625074.0357247572</v>
      </c>
      <c r="AV77" s="165">
        <f t="shared" si="323"/>
        <v>7358951.6864168961</v>
      </c>
      <c r="AW77" s="165">
        <f t="shared" si="323"/>
        <v>7721803.4915021686</v>
      </c>
      <c r="AX77" s="165">
        <f t="shared" si="323"/>
        <v>7734957.7289921194</v>
      </c>
      <c r="AY77" s="165">
        <f t="shared" si="323"/>
        <v>8830884.7500323616</v>
      </c>
      <c r="AZ77" s="165">
        <f t="shared" si="323"/>
        <v>8628772.838986557</v>
      </c>
      <c r="BA77" s="165">
        <f t="shared" si="323"/>
        <v>8541592.2542372849</v>
      </c>
      <c r="BB77" s="165">
        <f t="shared" si="323"/>
        <v>6726596.5310319234</v>
      </c>
      <c r="BC77" s="165">
        <f t="shared" si="323"/>
        <v>10665138.289480871</v>
      </c>
      <c r="BD77" s="165">
        <f t="shared" si="323"/>
        <v>8659808.2203389872</v>
      </c>
      <c r="BE77" s="165">
        <f t="shared" si="323"/>
        <v>10315393.861176064</v>
      </c>
      <c r="BF77" s="165">
        <f t="shared" si="323"/>
        <v>10878726.559321949</v>
      </c>
      <c r="BG77" s="165">
        <f t="shared" si="323"/>
        <v>9892725.2288135029</v>
      </c>
      <c r="BH77" s="165">
        <f t="shared" si="323"/>
        <v>11480402.09322034</v>
      </c>
      <c r="BI77" s="165">
        <f t="shared" ref="BI77:BS77" si="324">BI35-BI59</f>
        <v>10728367.423728812</v>
      </c>
      <c r="BJ77" s="165">
        <f t="shared" si="324"/>
        <v>11458639.73728813</v>
      </c>
      <c r="BK77" s="165">
        <f t="shared" si="324"/>
        <v>8870793.8474575356</v>
      </c>
      <c r="BL77" s="165">
        <f t="shared" si="324"/>
        <v>10753407.838983051</v>
      </c>
      <c r="BM77" s="165">
        <f t="shared" si="324"/>
        <v>9724848.7796610184</v>
      </c>
      <c r="BN77" s="165">
        <f t="shared" si="324"/>
        <v>11935964.745762711</v>
      </c>
      <c r="BO77" s="165">
        <f t="shared" si="324"/>
        <v>16798452.915254239</v>
      </c>
      <c r="BP77" s="165">
        <f t="shared" si="324"/>
        <v>14809092.483050846</v>
      </c>
      <c r="BQ77" s="165">
        <f t="shared" si="324"/>
        <v>18869461.355932225</v>
      </c>
      <c r="BR77" s="165">
        <f t="shared" si="324"/>
        <v>16181436.008474588</v>
      </c>
      <c r="BS77" s="165">
        <f t="shared" si="324"/>
        <v>15580690.135593239</v>
      </c>
      <c r="BT77" s="165">
        <f t="shared" si="317"/>
        <v>18342360.135593247</v>
      </c>
      <c r="BU77" s="165">
        <f t="shared" ref="BU77:CR77" si="325">BU88+BU83</f>
        <v>15824767.118204009</v>
      </c>
      <c r="BV77" s="165">
        <f t="shared" si="325"/>
        <v>16037230.616760356</v>
      </c>
      <c r="BW77" s="165">
        <f t="shared" si="325"/>
        <v>16276705.171581371</v>
      </c>
      <c r="BX77" s="165">
        <f t="shared" si="325"/>
        <v>16211459.198376186</v>
      </c>
      <c r="BY77" s="165">
        <f t="shared" si="325"/>
        <v>16753322.574999411</v>
      </c>
      <c r="BZ77" s="165">
        <f t="shared" si="325"/>
        <v>17249589.103529029</v>
      </c>
      <c r="CA77" s="165">
        <f t="shared" si="325"/>
        <v>16811412.732362665</v>
      </c>
      <c r="CB77" s="165">
        <f t="shared" si="325"/>
        <v>17281886.263273239</v>
      </c>
      <c r="CC77" s="165">
        <f t="shared" si="325"/>
        <v>16915318.136764847</v>
      </c>
      <c r="CD77" s="165">
        <f t="shared" si="325"/>
        <v>16990734.083700545</v>
      </c>
      <c r="CE77" s="165">
        <f t="shared" si="325"/>
        <v>17460071.703107912</v>
      </c>
      <c r="CF77" s="165">
        <f t="shared" si="325"/>
        <v>17262059.944774192</v>
      </c>
      <c r="CG77" s="165">
        <f t="shared" si="325"/>
        <v>17710967.599987604</v>
      </c>
      <c r="CH77" s="165">
        <f t="shared" si="325"/>
        <v>18005805.748033326</v>
      </c>
      <c r="CI77" s="165">
        <f t="shared" si="325"/>
        <v>18185592.366706822</v>
      </c>
      <c r="CJ77" s="165">
        <f t="shared" si="325"/>
        <v>18073592.280109659</v>
      </c>
      <c r="CK77" s="165">
        <f t="shared" si="325"/>
        <v>18689746.973477978</v>
      </c>
      <c r="CL77" s="165">
        <f t="shared" si="325"/>
        <v>19233023.559891835</v>
      </c>
      <c r="CM77" s="165">
        <f t="shared" si="325"/>
        <v>18600964.570796862</v>
      </c>
      <c r="CN77" s="165">
        <f t="shared" si="325"/>
        <v>19060806.875455439</v>
      </c>
      <c r="CO77" s="165">
        <f t="shared" si="325"/>
        <v>18522987.630221467</v>
      </c>
      <c r="CP77" s="165">
        <f t="shared" si="325"/>
        <v>18521012.601465307</v>
      </c>
      <c r="CQ77" s="165">
        <f t="shared" si="325"/>
        <v>18976775.369983636</v>
      </c>
      <c r="CR77" s="165">
        <f t="shared" si="325"/>
        <v>18495426.427759439</v>
      </c>
      <c r="CS77" s="165">
        <f t="shared" ref="CS77:DD77" si="326">CS88+CS83</f>
        <v>19116502.171538457</v>
      </c>
      <c r="CT77" s="165">
        <f t="shared" si="326"/>
        <v>19423571.354418475</v>
      </c>
      <c r="CU77" s="165">
        <f t="shared" si="326"/>
        <v>19609026.74457965</v>
      </c>
      <c r="CV77" s="165">
        <f t="shared" si="326"/>
        <v>19461497.524942778</v>
      </c>
      <c r="CW77" s="165">
        <f t="shared" si="326"/>
        <v>20134735.409837458</v>
      </c>
      <c r="CX77" s="165">
        <f t="shared" si="326"/>
        <v>20714275.353804309</v>
      </c>
      <c r="CY77" s="165">
        <f t="shared" si="326"/>
        <v>19984884.182315126</v>
      </c>
      <c r="CZ77" s="165">
        <f t="shared" si="326"/>
        <v>20488925.820342112</v>
      </c>
      <c r="DA77" s="165">
        <f t="shared" si="326"/>
        <v>19867491.338398762</v>
      </c>
      <c r="DB77" s="165">
        <f t="shared" si="326"/>
        <v>19855783.301287811</v>
      </c>
      <c r="DC77" s="165">
        <f t="shared" si="326"/>
        <v>20354995.060529321</v>
      </c>
      <c r="DD77" s="165">
        <f t="shared" si="326"/>
        <v>19798555.819560114</v>
      </c>
      <c r="DF77" s="165">
        <f t="shared" si="193"/>
        <v>19819374.016525444</v>
      </c>
      <c r="DG77" s="165">
        <f t="shared" si="194"/>
        <v>25668455.671491571</v>
      </c>
      <c r="DH77" s="165">
        <f t="shared" si="195"/>
        <v>27119867.725932498</v>
      </c>
      <c r="DI77" s="165">
        <f t="shared" si="196"/>
        <v>19913028.188239701</v>
      </c>
      <c r="DJ77" s="165">
        <f t="shared" si="197"/>
        <v>24287645.970526651</v>
      </c>
      <c r="DK77" s="165">
        <f t="shared" si="198"/>
        <v>23896961.624255762</v>
      </c>
      <c r="DL77" s="165">
        <f t="shared" si="199"/>
        <v>29640340.370995924</v>
      </c>
      <c r="DM77" s="165">
        <f t="shared" si="200"/>
        <v>32251853.881355792</v>
      </c>
      <c r="DN77" s="165">
        <f t="shared" si="201"/>
        <v>31057801.008474477</v>
      </c>
      <c r="DO77" s="165">
        <f t="shared" si="202"/>
        <v>32414221.364406779</v>
      </c>
      <c r="DP77" s="165">
        <f t="shared" si="203"/>
        <v>50477006.754237309</v>
      </c>
      <c r="DQ77" s="165">
        <f t="shared" si="204"/>
        <v>50104486.279661074</v>
      </c>
      <c r="DR77" s="165">
        <f t="shared" si="205"/>
        <v>48138702.906545736</v>
      </c>
      <c r="DS77" s="165">
        <f t="shared" si="206"/>
        <v>50214370.876904622</v>
      </c>
      <c r="DT77" s="165">
        <f t="shared" si="207"/>
        <v>51008617.132400751</v>
      </c>
      <c r="DU77" s="165">
        <f t="shared" si="208"/>
        <v>51712865.731582657</v>
      </c>
      <c r="DV77" s="165">
        <f t="shared" si="209"/>
        <v>53902365.714727744</v>
      </c>
      <c r="DW77" s="165">
        <f t="shared" si="210"/>
        <v>55996362.813479468</v>
      </c>
      <c r="DX77" s="165">
        <f t="shared" si="211"/>
        <v>56184759.076473773</v>
      </c>
      <c r="DY77" s="165">
        <f t="shared" si="212"/>
        <v>55993214.399208382</v>
      </c>
      <c r="DZ77" s="165">
        <f t="shared" si="306"/>
        <v>58149100.270536579</v>
      </c>
      <c r="EA77" s="165">
        <f t="shared" si="307"/>
        <v>60310508.288584545</v>
      </c>
      <c r="EB77" s="165">
        <f t="shared" si="308"/>
        <v>60341301.341055997</v>
      </c>
      <c r="EC77" s="165">
        <f t="shared" si="309"/>
        <v>60009334.181377247</v>
      </c>
      <c r="EE77" s="165">
        <f>SUM(DF77:DI77)</f>
        <v>92520725.602189213</v>
      </c>
      <c r="EF77" s="165">
        <f>SUM(DJ77:DM77)</f>
        <v>110076801.84713413</v>
      </c>
      <c r="EG77" s="165">
        <f>SUM(DN77:DQ77)</f>
        <v>164053515.40677965</v>
      </c>
      <c r="EH77" s="165">
        <f>SUM(DR77:DU77)</f>
        <v>201074556.64743376</v>
      </c>
      <c r="EI77" s="165">
        <f>SUM(DV77:DY77)</f>
        <v>222076702.00388938</v>
      </c>
      <c r="EJ77" s="804">
        <f t="shared" si="310"/>
        <v>238810244.08155435</v>
      </c>
    </row>
    <row r="78" spans="2:140" x14ac:dyDescent="0.2">
      <c r="B78" s="24" t="s">
        <v>158</v>
      </c>
      <c r="C78" s="165">
        <f>C36-C60</f>
        <v>0</v>
      </c>
      <c r="D78" s="165">
        <f t="shared" ref="D78:BH78" si="327">D36-D60</f>
        <v>0</v>
      </c>
      <c r="E78" s="165">
        <f t="shared" si="327"/>
        <v>0</v>
      </c>
      <c r="F78" s="165">
        <f t="shared" si="327"/>
        <v>0</v>
      </c>
      <c r="G78" s="165">
        <f t="shared" si="327"/>
        <v>0</v>
      </c>
      <c r="H78" s="165">
        <f t="shared" si="327"/>
        <v>0</v>
      </c>
      <c r="I78" s="165">
        <f t="shared" si="327"/>
        <v>0</v>
      </c>
      <c r="J78" s="165">
        <f t="shared" si="327"/>
        <v>0</v>
      </c>
      <c r="K78" s="165">
        <f t="shared" si="327"/>
        <v>0</v>
      </c>
      <c r="L78" s="165">
        <f t="shared" si="327"/>
        <v>0</v>
      </c>
      <c r="M78" s="165">
        <f t="shared" si="327"/>
        <v>0</v>
      </c>
      <c r="N78" s="165">
        <f t="shared" si="327"/>
        <v>0</v>
      </c>
      <c r="O78" s="165">
        <f t="shared" si="327"/>
        <v>0</v>
      </c>
      <c r="P78" s="165">
        <f t="shared" si="327"/>
        <v>0</v>
      </c>
      <c r="Q78" s="165">
        <f t="shared" si="327"/>
        <v>0</v>
      </c>
      <c r="R78" s="165">
        <f t="shared" si="327"/>
        <v>0</v>
      </c>
      <c r="S78" s="165">
        <f t="shared" si="327"/>
        <v>0</v>
      </c>
      <c r="T78" s="165">
        <f t="shared" si="327"/>
        <v>0</v>
      </c>
      <c r="U78" s="165">
        <f t="shared" si="327"/>
        <v>0</v>
      </c>
      <c r="V78" s="165">
        <f t="shared" si="327"/>
        <v>0</v>
      </c>
      <c r="W78" s="165">
        <f t="shared" si="327"/>
        <v>0</v>
      </c>
      <c r="X78" s="165">
        <f t="shared" si="327"/>
        <v>0</v>
      </c>
      <c r="Y78" s="165">
        <f t="shared" si="327"/>
        <v>0</v>
      </c>
      <c r="Z78" s="165">
        <f t="shared" si="327"/>
        <v>0</v>
      </c>
      <c r="AA78" s="165">
        <f t="shared" si="327"/>
        <v>0</v>
      </c>
      <c r="AB78" s="165">
        <f t="shared" si="327"/>
        <v>0</v>
      </c>
      <c r="AC78" s="165">
        <f t="shared" si="327"/>
        <v>0</v>
      </c>
      <c r="AD78" s="165">
        <f t="shared" si="327"/>
        <v>0</v>
      </c>
      <c r="AE78" s="165">
        <f t="shared" si="327"/>
        <v>0</v>
      </c>
      <c r="AF78" s="165">
        <f t="shared" si="327"/>
        <v>0</v>
      </c>
      <c r="AG78" s="165">
        <f t="shared" si="327"/>
        <v>0</v>
      </c>
      <c r="AH78" s="165">
        <f t="shared" si="327"/>
        <v>0</v>
      </c>
      <c r="AI78" s="165">
        <f t="shared" si="327"/>
        <v>0</v>
      </c>
      <c r="AJ78" s="165">
        <f t="shared" si="327"/>
        <v>0</v>
      </c>
      <c r="AK78" s="165">
        <f t="shared" si="327"/>
        <v>0</v>
      </c>
      <c r="AL78" s="165">
        <f t="shared" si="327"/>
        <v>0</v>
      </c>
      <c r="AM78" s="165">
        <f t="shared" si="327"/>
        <v>0</v>
      </c>
      <c r="AN78" s="165">
        <f t="shared" si="327"/>
        <v>0</v>
      </c>
      <c r="AO78" s="165">
        <f t="shared" si="327"/>
        <v>0</v>
      </c>
      <c r="AP78" s="165">
        <f t="shared" si="327"/>
        <v>0</v>
      </c>
      <c r="AQ78" s="165">
        <f t="shared" si="327"/>
        <v>0</v>
      </c>
      <c r="AR78" s="165">
        <f t="shared" si="327"/>
        <v>0</v>
      </c>
      <c r="AS78" s="165">
        <f t="shared" si="327"/>
        <v>0</v>
      </c>
      <c r="AT78" s="165">
        <f t="shared" si="327"/>
        <v>0</v>
      </c>
      <c r="AU78" s="165">
        <f t="shared" si="327"/>
        <v>0</v>
      </c>
      <c r="AV78" s="165">
        <f t="shared" si="327"/>
        <v>0</v>
      </c>
      <c r="AW78" s="165">
        <f t="shared" si="327"/>
        <v>0</v>
      </c>
      <c r="AX78" s="165">
        <f t="shared" si="327"/>
        <v>0</v>
      </c>
      <c r="AY78" s="165">
        <f t="shared" si="327"/>
        <v>0</v>
      </c>
      <c r="AZ78" s="165">
        <f t="shared" si="327"/>
        <v>0</v>
      </c>
      <c r="BA78" s="165">
        <f t="shared" si="327"/>
        <v>0</v>
      </c>
      <c r="BB78" s="165">
        <f t="shared" si="327"/>
        <v>0</v>
      </c>
      <c r="BC78" s="165">
        <f t="shared" si="327"/>
        <v>0</v>
      </c>
      <c r="BD78" s="165">
        <f t="shared" si="327"/>
        <v>0</v>
      </c>
      <c r="BE78" s="165">
        <f t="shared" si="327"/>
        <v>0</v>
      </c>
      <c r="BF78" s="165">
        <f t="shared" si="327"/>
        <v>0</v>
      </c>
      <c r="BG78" s="165">
        <f t="shared" si="327"/>
        <v>0</v>
      </c>
      <c r="BH78" s="165">
        <f t="shared" si="327"/>
        <v>0</v>
      </c>
      <c r="BI78" s="165">
        <f t="shared" ref="BI78:BO78" si="328">BI36-BI60</f>
        <v>0</v>
      </c>
      <c r="BJ78" s="165">
        <f t="shared" si="328"/>
        <v>0</v>
      </c>
      <c r="BK78" s="165">
        <f t="shared" si="328"/>
        <v>0</v>
      </c>
      <c r="BL78" s="165">
        <f t="shared" si="328"/>
        <v>0</v>
      </c>
      <c r="BM78" s="165">
        <f t="shared" si="328"/>
        <v>0</v>
      </c>
      <c r="BN78" s="165">
        <f t="shared" si="328"/>
        <v>0</v>
      </c>
      <c r="BO78" s="165">
        <f t="shared" si="328"/>
        <v>2226561.0169491526</v>
      </c>
      <c r="BP78" s="165">
        <f t="shared" ref="BP78:BS78" si="329">BP36-BP60</f>
        <v>2073294.9152542374</v>
      </c>
      <c r="BQ78" s="165">
        <f t="shared" si="329"/>
        <v>2678285.5932203392</v>
      </c>
      <c r="BR78" s="165">
        <f t="shared" si="329"/>
        <v>3289461.8644067794</v>
      </c>
      <c r="BS78" s="165">
        <f t="shared" si="329"/>
        <v>2810419.4915254237</v>
      </c>
      <c r="BT78" s="165">
        <f t="shared" si="317"/>
        <v>2758837.2881355933</v>
      </c>
      <c r="BU78" s="165">
        <f t="shared" ref="BU78:CR78" si="330">BU36-BU60</f>
        <v>2341690.4031457552</v>
      </c>
      <c r="BV78" s="165">
        <f t="shared" si="330"/>
        <v>2292696.6242629862</v>
      </c>
      <c r="BW78" s="165">
        <f t="shared" si="330"/>
        <v>2287651.8123149383</v>
      </c>
      <c r="BX78" s="165">
        <f t="shared" si="330"/>
        <v>2478596.134140701</v>
      </c>
      <c r="BY78" s="165">
        <f t="shared" si="330"/>
        <v>2212290.5192445414</v>
      </c>
      <c r="BZ78" s="165">
        <f t="shared" si="330"/>
        <v>2052666.3469082438</v>
      </c>
      <c r="CA78" s="165">
        <f t="shared" si="330"/>
        <v>2565818.6611935473</v>
      </c>
      <c r="CB78" s="165">
        <f t="shared" si="330"/>
        <v>2361193.1318973368</v>
      </c>
      <c r="CC78" s="165">
        <f t="shared" si="330"/>
        <v>2812476.6661611265</v>
      </c>
      <c r="CD78" s="165">
        <f t="shared" si="330"/>
        <v>2881890.549192206</v>
      </c>
      <c r="CE78" s="165">
        <f t="shared" si="330"/>
        <v>2678246.4356429055</v>
      </c>
      <c r="CF78" s="165">
        <f t="shared" si="330"/>
        <v>3118471.4958751253</v>
      </c>
      <c r="CG78" s="165">
        <f t="shared" si="330"/>
        <v>2856449.0781174451</v>
      </c>
      <c r="CH78" s="165">
        <f t="shared" si="330"/>
        <v>2803750.0972273108</v>
      </c>
      <c r="CI78" s="165">
        <f t="shared" si="330"/>
        <v>2783061.0980609669</v>
      </c>
      <c r="CJ78" s="165">
        <f t="shared" si="330"/>
        <v>3013649.7983104</v>
      </c>
      <c r="CK78" s="165">
        <f t="shared" si="330"/>
        <v>2684242.9317131578</v>
      </c>
      <c r="CL78" s="165">
        <f t="shared" si="330"/>
        <v>2484665.2824207833</v>
      </c>
      <c r="CM78" s="165">
        <f t="shared" si="330"/>
        <v>3096043.8064057324</v>
      </c>
      <c r="CN78" s="165">
        <f t="shared" si="330"/>
        <v>2834179.4993467205</v>
      </c>
      <c r="CO78" s="165">
        <f t="shared" si="330"/>
        <v>3364401.6662969724</v>
      </c>
      <c r="CP78" s="165">
        <f t="shared" si="330"/>
        <v>3433171.342336447</v>
      </c>
      <c r="CQ78" s="165">
        <f t="shared" si="330"/>
        <v>3174820.2058142992</v>
      </c>
      <c r="CR78" s="165">
        <f t="shared" si="330"/>
        <v>3656411.8917683498</v>
      </c>
      <c r="CS78" s="165">
        <f t="shared" ref="CS78:DD78" si="331">CS36-CS60</f>
        <v>3255698.3262638692</v>
      </c>
      <c r="CT78" s="165">
        <f t="shared" si="331"/>
        <v>3192466.3559019063</v>
      </c>
      <c r="CU78" s="165">
        <f t="shared" si="331"/>
        <v>3166895.5857973807</v>
      </c>
      <c r="CV78" s="165">
        <f t="shared" si="331"/>
        <v>3428080.8781848028</v>
      </c>
      <c r="CW78" s="165">
        <f t="shared" si="331"/>
        <v>3049515.7299285401</v>
      </c>
      <c r="CX78" s="165">
        <f t="shared" si="331"/>
        <v>2818709.1970221698</v>
      </c>
      <c r="CY78" s="165">
        <f t="shared" si="331"/>
        <v>3513907.1906037438</v>
      </c>
      <c r="CZ78" s="165">
        <f t="shared" si="331"/>
        <v>3213979.7826429214</v>
      </c>
      <c r="DA78" s="165">
        <f t="shared" si="331"/>
        <v>3816208.8091824399</v>
      </c>
      <c r="DB78" s="165">
        <f t="shared" si="331"/>
        <v>3893360.2514354116</v>
      </c>
      <c r="DC78" s="165">
        <f t="shared" si="331"/>
        <v>3597592.1859249091</v>
      </c>
      <c r="DD78" s="165">
        <f t="shared" si="331"/>
        <v>4143849.3181664711</v>
      </c>
      <c r="DF78" s="165">
        <f t="shared" si="193"/>
        <v>0</v>
      </c>
      <c r="DG78" s="165">
        <f t="shared" si="194"/>
        <v>0</v>
      </c>
      <c r="DH78" s="165">
        <f t="shared" si="195"/>
        <v>0</v>
      </c>
      <c r="DI78" s="165">
        <f t="shared" si="196"/>
        <v>0</v>
      </c>
      <c r="DJ78" s="165">
        <f t="shared" si="197"/>
        <v>0</v>
      </c>
      <c r="DK78" s="165">
        <f t="shared" si="198"/>
        <v>0</v>
      </c>
      <c r="DL78" s="165">
        <f t="shared" si="199"/>
        <v>0</v>
      </c>
      <c r="DM78" s="165">
        <f t="shared" si="200"/>
        <v>0</v>
      </c>
      <c r="DN78" s="165">
        <f t="shared" si="201"/>
        <v>0</v>
      </c>
      <c r="DO78" s="165">
        <f t="shared" si="202"/>
        <v>0</v>
      </c>
      <c r="DP78" s="165">
        <f t="shared" si="203"/>
        <v>6978141.5254237289</v>
      </c>
      <c r="DQ78" s="165">
        <f t="shared" si="204"/>
        <v>8858718.6440677959</v>
      </c>
      <c r="DR78" s="165">
        <f t="shared" si="205"/>
        <v>6922038.8397236802</v>
      </c>
      <c r="DS78" s="165">
        <f t="shared" si="206"/>
        <v>6743553.0002934858</v>
      </c>
      <c r="DT78" s="165">
        <f t="shared" si="207"/>
        <v>7739488.4592520101</v>
      </c>
      <c r="DU78" s="165">
        <f t="shared" si="208"/>
        <v>8678608.4807102364</v>
      </c>
      <c r="DV78" s="165">
        <f t="shared" si="209"/>
        <v>8443260.2734057233</v>
      </c>
      <c r="DW78" s="165">
        <f t="shared" si="210"/>
        <v>8182558.0124443406</v>
      </c>
      <c r="DX78" s="165">
        <f t="shared" si="211"/>
        <v>9294624.9720494244</v>
      </c>
      <c r="DY78" s="165">
        <f t="shared" si="212"/>
        <v>10264403.439919095</v>
      </c>
      <c r="DZ78" s="165">
        <f t="shared" si="306"/>
        <v>9615060.2679631561</v>
      </c>
      <c r="EA78" s="165">
        <f t="shared" si="307"/>
        <v>9296305.8051355127</v>
      </c>
      <c r="EB78" s="165">
        <f t="shared" si="308"/>
        <v>10544095.782429107</v>
      </c>
      <c r="EC78" s="165">
        <f t="shared" si="309"/>
        <v>11634801.755526792</v>
      </c>
      <c r="EE78" s="165">
        <f>SUM(DF78:DI78)</f>
        <v>0</v>
      </c>
      <c r="EF78" s="165">
        <f>SUM(DJ78:DM78)</f>
        <v>0</v>
      </c>
      <c r="EG78" s="165">
        <f>SUM(DN78:DQ78)</f>
        <v>15836860.169491526</v>
      </c>
      <c r="EH78" s="165">
        <f>SUM(DR78:DU78)</f>
        <v>30083688.779979415</v>
      </c>
      <c r="EI78" s="165">
        <f>SUM(DV78:DY78)</f>
        <v>36184846.697818577</v>
      </c>
      <c r="EJ78" s="804">
        <f t="shared" si="310"/>
        <v>41090263.611054569</v>
      </c>
    </row>
    <row r="79" spans="2:140" x14ac:dyDescent="0.2">
      <c r="B79" s="21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E79" s="10"/>
      <c r="EF79" s="10"/>
      <c r="EG79" s="10"/>
      <c r="EH79" s="10"/>
      <c r="EI79" s="10"/>
      <c r="EJ79" s="812"/>
    </row>
    <row r="80" spans="2:140" x14ac:dyDescent="0.2">
      <c r="B80" s="176" t="s">
        <v>192</v>
      </c>
      <c r="C80" s="169">
        <f>SUM(C81:C83)</f>
        <v>8750324.0099999998</v>
      </c>
      <c r="D80" s="169">
        <f t="shared" ref="D80:BO80" si="332">SUM(D81:D83)</f>
        <v>8140415</v>
      </c>
      <c r="E80" s="169">
        <f t="shared" si="332"/>
        <v>10094689.539999999</v>
      </c>
      <c r="F80" s="169">
        <f t="shared" si="332"/>
        <v>12299591.18</v>
      </c>
      <c r="G80" s="169">
        <f t="shared" si="332"/>
        <v>12337333.34</v>
      </c>
      <c r="H80" s="169">
        <f t="shared" si="332"/>
        <v>17107367.810000002</v>
      </c>
      <c r="I80" s="169">
        <f t="shared" si="332"/>
        <v>39258846.43</v>
      </c>
      <c r="J80" s="169">
        <f t="shared" si="332"/>
        <v>40562493.959999993</v>
      </c>
      <c r="K80" s="169">
        <f t="shared" si="332"/>
        <v>38993584.859999985</v>
      </c>
      <c r="L80" s="169">
        <f t="shared" si="332"/>
        <v>42268739.4500001</v>
      </c>
      <c r="M80" s="169">
        <f t="shared" si="332"/>
        <v>22886433.020000014</v>
      </c>
      <c r="N80" s="169">
        <f t="shared" si="332"/>
        <v>641146.56000000029</v>
      </c>
      <c r="O80" s="169">
        <f t="shared" si="332"/>
        <v>18665020.949999992</v>
      </c>
      <c r="P80" s="169">
        <f t="shared" si="332"/>
        <v>28435655.110000081</v>
      </c>
      <c r="Q80" s="169">
        <f t="shared" si="332"/>
        <v>35188851.360000141</v>
      </c>
      <c r="R80" s="169">
        <f t="shared" si="332"/>
        <v>45729395.140000142</v>
      </c>
      <c r="S80" s="169">
        <f t="shared" si="332"/>
        <v>55209029.130000345</v>
      </c>
      <c r="T80" s="169">
        <f t="shared" si="332"/>
        <v>79117435.569999859</v>
      </c>
      <c r="U80" s="169">
        <f t="shared" si="332"/>
        <v>95371383.069999456</v>
      </c>
      <c r="V80" s="169">
        <f t="shared" si="332"/>
        <v>94901986.850002199</v>
      </c>
      <c r="W80" s="169">
        <f t="shared" si="332"/>
        <v>103215470.75999631</v>
      </c>
      <c r="X80" s="169">
        <f t="shared" si="332"/>
        <v>117567548.69999501</v>
      </c>
      <c r="Y80" s="169">
        <f t="shared" si="332"/>
        <v>105591158.53999598</v>
      </c>
      <c r="Z80" s="169">
        <f t="shared" si="332"/>
        <v>130480296.12000482</v>
      </c>
      <c r="AA80" s="169">
        <f t="shared" si="332"/>
        <v>158201607.97999009</v>
      </c>
      <c r="AB80" s="169">
        <f t="shared" si="332"/>
        <v>159553028.52999815</v>
      </c>
      <c r="AC80" s="169">
        <f t="shared" si="332"/>
        <v>168137980.30000532</v>
      </c>
      <c r="AD80" s="169">
        <f t="shared" si="332"/>
        <v>161336246.54999974</v>
      </c>
      <c r="AE80" s="169">
        <f t="shared" si="332"/>
        <v>180420687.47999564</v>
      </c>
      <c r="AF80" s="169">
        <f t="shared" si="332"/>
        <v>185529494.44999796</v>
      </c>
      <c r="AG80" s="169">
        <f t="shared" si="332"/>
        <v>224736196.17001384</v>
      </c>
      <c r="AH80" s="169">
        <f t="shared" si="332"/>
        <v>248782292.71999887</v>
      </c>
      <c r="AI80" s="169">
        <f t="shared" si="332"/>
        <v>247557445.02000451</v>
      </c>
      <c r="AJ80" s="169">
        <f t="shared" si="332"/>
        <v>311441422.55998045</v>
      </c>
      <c r="AK80" s="169">
        <f t="shared" si="332"/>
        <v>331558744.21002549</v>
      </c>
      <c r="AL80" s="169">
        <f t="shared" si="332"/>
        <v>350281930.3600257</v>
      </c>
      <c r="AM80" s="169">
        <f t="shared" si="332"/>
        <v>346484331.07003826</v>
      </c>
      <c r="AN80" s="169">
        <f t="shared" si="332"/>
        <v>306545157.22004133</v>
      </c>
      <c r="AO80" s="169">
        <f t="shared" si="332"/>
        <v>308769267.2099694</v>
      </c>
      <c r="AP80" s="169">
        <f t="shared" si="332"/>
        <v>290344775.85003</v>
      </c>
      <c r="AQ80" s="169">
        <f t="shared" si="332"/>
        <v>405567023.63424277</v>
      </c>
      <c r="AR80" s="169">
        <f t="shared" si="332"/>
        <v>354593574.22648662</v>
      </c>
      <c r="AS80" s="169">
        <f t="shared" si="332"/>
        <v>308084399.49705708</v>
      </c>
      <c r="AT80" s="169">
        <f t="shared" si="332"/>
        <v>277291185.0391472</v>
      </c>
      <c r="AU80" s="169">
        <f t="shared" si="332"/>
        <v>255819076.21520609</v>
      </c>
      <c r="AV80" s="169">
        <f t="shared" si="332"/>
        <v>311526758.33302683</v>
      </c>
      <c r="AW80" s="169">
        <f t="shared" si="332"/>
        <v>326420618.35302848</v>
      </c>
      <c r="AX80" s="169">
        <f t="shared" si="332"/>
        <v>326496629.66021484</v>
      </c>
      <c r="AY80" s="169">
        <f t="shared" si="332"/>
        <v>350744461.70504457</v>
      </c>
      <c r="AZ80" s="169">
        <f t="shared" si="332"/>
        <v>333160185.46000946</v>
      </c>
      <c r="BA80" s="169">
        <f t="shared" si="332"/>
        <v>281377517.09000254</v>
      </c>
      <c r="BB80" s="169">
        <f t="shared" si="332"/>
        <v>244627273.66662261</v>
      </c>
      <c r="BC80" s="169">
        <f t="shared" si="332"/>
        <v>342852578.53159118</v>
      </c>
      <c r="BD80" s="169">
        <f t="shared" si="332"/>
        <v>336153643.16000497</v>
      </c>
      <c r="BE80" s="169">
        <f t="shared" si="332"/>
        <v>397865027.3605544</v>
      </c>
      <c r="BF80" s="169">
        <f t="shared" si="332"/>
        <v>405616041.31032002</v>
      </c>
      <c r="BG80" s="169">
        <f t="shared" si="332"/>
        <v>390600435.25000298</v>
      </c>
      <c r="BH80" s="169">
        <f t="shared" si="332"/>
        <v>481705402.32010531</v>
      </c>
      <c r="BI80" s="169">
        <f t="shared" si="332"/>
        <v>468910081.08013505</v>
      </c>
      <c r="BJ80" s="169">
        <f t="shared" si="332"/>
        <v>446965190.95000333</v>
      </c>
      <c r="BK80" s="169">
        <f t="shared" si="332"/>
        <v>458975308.59097791</v>
      </c>
      <c r="BL80" s="169">
        <f t="shared" si="332"/>
        <v>500345758.40000105</v>
      </c>
      <c r="BM80" s="169">
        <f t="shared" si="332"/>
        <v>426936181.32000166</v>
      </c>
      <c r="BN80" s="169">
        <f t="shared" si="332"/>
        <v>402558608.17999738</v>
      </c>
      <c r="BO80" s="169">
        <f t="shared" si="332"/>
        <v>578715530.76999617</v>
      </c>
      <c r="BP80" s="169">
        <f t="shared" ref="BP80:CR80" si="333">SUM(BP81:BP83)</f>
        <v>518778235.14999998</v>
      </c>
      <c r="BQ80" s="169">
        <f t="shared" si="333"/>
        <v>654974293.79999578</v>
      </c>
      <c r="BR80" s="169">
        <f t="shared" si="333"/>
        <v>691678380.45999861</v>
      </c>
      <c r="BS80" s="169">
        <f t="shared" si="333"/>
        <v>669368686.40999508</v>
      </c>
      <c r="BT80" s="169">
        <f t="shared" si="333"/>
        <v>802061507.8999989</v>
      </c>
      <c r="BU80" s="169">
        <f t="shared" si="333"/>
        <v>638528637.42829001</v>
      </c>
      <c r="BV80" s="169">
        <f t="shared" si="333"/>
        <v>625312991.48472798</v>
      </c>
      <c r="BW80" s="169">
        <f t="shared" si="333"/>
        <v>624009805.49271345</v>
      </c>
      <c r="BX80" s="169">
        <f t="shared" si="333"/>
        <v>675717322.8271476</v>
      </c>
      <c r="BY80" s="169">
        <f t="shared" si="333"/>
        <v>603721413.51252377</v>
      </c>
      <c r="BZ80" s="169">
        <f t="shared" si="333"/>
        <v>560612303.5553906</v>
      </c>
      <c r="CA80" s="169">
        <f t="shared" si="333"/>
        <v>699503815.60410047</v>
      </c>
      <c r="CB80" s="169">
        <f t="shared" si="333"/>
        <v>644197486.87955892</v>
      </c>
      <c r="CC80" s="169">
        <f t="shared" si="333"/>
        <v>766348360.84167135</v>
      </c>
      <c r="CD80" s="169">
        <f t="shared" si="333"/>
        <v>785171811.41966116</v>
      </c>
      <c r="CE80" s="169">
        <f t="shared" si="333"/>
        <v>730131037.08015501</v>
      </c>
      <c r="CF80" s="169">
        <f t="shared" si="333"/>
        <v>849330912.45392776</v>
      </c>
      <c r="CG80" s="169">
        <f t="shared" si="333"/>
        <v>780847888.04279172</v>
      </c>
      <c r="CH80" s="169">
        <f t="shared" si="333"/>
        <v>766601573.38790751</v>
      </c>
      <c r="CI80" s="169">
        <f t="shared" si="333"/>
        <v>761025084.7178297</v>
      </c>
      <c r="CJ80" s="169">
        <f t="shared" si="333"/>
        <v>823663570.27667224</v>
      </c>
      <c r="CK80" s="169">
        <f t="shared" si="333"/>
        <v>734298686.26073635</v>
      </c>
      <c r="CL80" s="169">
        <f t="shared" si="333"/>
        <v>680198861.11701524</v>
      </c>
      <c r="CM80" s="169">
        <f t="shared" si="333"/>
        <v>846191293.01720011</v>
      </c>
      <c r="CN80" s="169">
        <f t="shared" si="333"/>
        <v>775142351.15767884</v>
      </c>
      <c r="CO80" s="169">
        <f t="shared" si="333"/>
        <v>919103067.48379362</v>
      </c>
      <c r="CP80" s="169">
        <f t="shared" si="333"/>
        <v>937792142.71904981</v>
      </c>
      <c r="CQ80" s="169">
        <f t="shared" si="333"/>
        <v>867696929.89394403</v>
      </c>
      <c r="CR80" s="169">
        <f t="shared" si="333"/>
        <v>998455810.10165799</v>
      </c>
      <c r="CS80" s="169">
        <f t="shared" ref="CS80:DD80" si="334">SUM(CS81:CS83)</f>
        <v>889713119.02131879</v>
      </c>
      <c r="CT80" s="169">
        <f t="shared" si="334"/>
        <v>872607387.84421718</v>
      </c>
      <c r="CU80" s="169">
        <f t="shared" si="334"/>
        <v>865705632.82732904</v>
      </c>
      <c r="CV80" s="169">
        <f t="shared" si="334"/>
        <v>936650250.40281463</v>
      </c>
      <c r="CW80" s="169">
        <f t="shared" si="334"/>
        <v>833940246.92619991</v>
      </c>
      <c r="CX80" s="169">
        <f t="shared" si="334"/>
        <v>771362640.04585958</v>
      </c>
      <c r="CY80" s="169">
        <f t="shared" si="334"/>
        <v>960109749.22822809</v>
      </c>
      <c r="CZ80" s="169">
        <f t="shared" si="334"/>
        <v>878727723.87929797</v>
      </c>
      <c r="DA80" s="169">
        <f t="shared" si="334"/>
        <v>1042236319.2356957</v>
      </c>
      <c r="DB80" s="169">
        <f t="shared" si="334"/>
        <v>1063200813.1315644</v>
      </c>
      <c r="DC80" s="169">
        <f t="shared" si="334"/>
        <v>982947934.69347239</v>
      </c>
      <c r="DD80" s="169">
        <f t="shared" si="334"/>
        <v>1131261702.4310396</v>
      </c>
      <c r="DF80" s="169">
        <f t="shared" si="193"/>
        <v>1028325005.6400895</v>
      </c>
      <c r="DG80" s="169">
        <f t="shared" si="194"/>
        <v>905659200.28004074</v>
      </c>
      <c r="DH80" s="169">
        <f t="shared" si="195"/>
        <v>1068244997.3577865</v>
      </c>
      <c r="DI80" s="169">
        <f t="shared" si="196"/>
        <v>844637019.58738017</v>
      </c>
      <c r="DJ80" s="169">
        <f t="shared" si="197"/>
        <v>1003661709.7182879</v>
      </c>
      <c r="DK80" s="169">
        <f t="shared" si="198"/>
        <v>859164976.21663463</v>
      </c>
      <c r="DL80" s="169">
        <f t="shared" si="199"/>
        <v>1076871249.0521505</v>
      </c>
      <c r="DM80" s="169">
        <f t="shared" si="200"/>
        <v>1277921878.8804283</v>
      </c>
      <c r="DN80" s="169">
        <f t="shared" si="201"/>
        <v>1374850580.6211162</v>
      </c>
      <c r="DO80" s="169">
        <f t="shared" si="202"/>
        <v>1329840547.9000001</v>
      </c>
      <c r="DP80" s="169">
        <f t="shared" si="203"/>
        <v>1752468059.7199922</v>
      </c>
      <c r="DQ80" s="169">
        <f t="shared" si="204"/>
        <v>2163108574.7699928</v>
      </c>
      <c r="DR80" s="169">
        <f t="shared" si="205"/>
        <v>1887851434.4057314</v>
      </c>
      <c r="DS80" s="169">
        <f t="shared" si="206"/>
        <v>1840051039.895062</v>
      </c>
      <c r="DT80" s="169">
        <f t="shared" si="207"/>
        <v>2110049663.3253307</v>
      </c>
      <c r="DU80" s="169">
        <f t="shared" si="208"/>
        <v>2364633760.9537439</v>
      </c>
      <c r="DV80" s="169">
        <f t="shared" si="209"/>
        <v>2308474546.1485291</v>
      </c>
      <c r="DW80" s="169">
        <f t="shared" si="210"/>
        <v>2238161117.6544237</v>
      </c>
      <c r="DX80" s="169">
        <f t="shared" si="211"/>
        <v>2540436711.6586728</v>
      </c>
      <c r="DY80" s="169">
        <f t="shared" si="212"/>
        <v>2803944882.7146516</v>
      </c>
      <c r="DZ80" s="169">
        <f t="shared" si="306"/>
        <v>2628026139.6928649</v>
      </c>
      <c r="EA80" s="169">
        <f t="shared" si="307"/>
        <v>2541953137.3748741</v>
      </c>
      <c r="EB80" s="169">
        <f t="shared" si="308"/>
        <v>2881073792.3432217</v>
      </c>
      <c r="EC80" s="169">
        <f t="shared" si="309"/>
        <v>3177410450.2560763</v>
      </c>
      <c r="EE80" s="169">
        <f>SUM(DF80:DI80)</f>
        <v>3846866222.8652973</v>
      </c>
      <c r="EF80" s="169">
        <f>SUM(DJ80:DM80)</f>
        <v>4217619813.8675013</v>
      </c>
      <c r="EG80" s="169">
        <f>SUM(DN80:DQ80)</f>
        <v>6620267763.0111008</v>
      </c>
      <c r="EH80" s="169">
        <f>SUM(DR80:DU80)</f>
        <v>8202585898.5798683</v>
      </c>
      <c r="EI80" s="169">
        <f>SUM(DV80:DY80)</f>
        <v>9891017258.1762772</v>
      </c>
      <c r="EJ80" s="813">
        <f t="shared" si="310"/>
        <v>11228463519.667038</v>
      </c>
    </row>
    <row r="81" spans="2:140" x14ac:dyDescent="0.2">
      <c r="B81" s="167" t="s">
        <v>139</v>
      </c>
      <c r="C81" s="165">
        <v>4954766</v>
      </c>
      <c r="D81" s="165">
        <v>4037445</v>
      </c>
      <c r="E81" s="165">
        <v>5761139.0300000003</v>
      </c>
      <c r="F81" s="165">
        <v>8536549.3800000008</v>
      </c>
      <c r="G81" s="165">
        <v>8788025</v>
      </c>
      <c r="H81" s="165">
        <v>13654613.810000001</v>
      </c>
      <c r="I81" s="165">
        <v>35751053.020000003</v>
      </c>
      <c r="J81" s="165">
        <v>37014275.299999997</v>
      </c>
      <c r="K81" s="165">
        <v>35108368.859999985</v>
      </c>
      <c r="L81" s="165">
        <v>37885909.480000101</v>
      </c>
      <c r="M81" s="165">
        <v>20208108.890000015</v>
      </c>
      <c r="N81" s="165">
        <v>633752.00000000023</v>
      </c>
      <c r="O81" s="165">
        <v>14002299.03999999</v>
      </c>
      <c r="P81" s="165">
        <v>21797668.65000008</v>
      </c>
      <c r="Q81" s="165">
        <v>28089691.960000139</v>
      </c>
      <c r="R81" s="165">
        <v>36904755.140000142</v>
      </c>
      <c r="S81" s="165">
        <v>46828225.990000345</v>
      </c>
      <c r="T81" s="165">
        <v>70005722.409999847</v>
      </c>
      <c r="U81" s="165">
        <v>82511797.66999945</v>
      </c>
      <c r="V81" s="165">
        <v>82412612.100002199</v>
      </c>
      <c r="W81" s="165">
        <v>90659551.679996312</v>
      </c>
      <c r="X81" s="165">
        <v>104292087.39999501</v>
      </c>
      <c r="Y81" s="165">
        <v>91697607.559995979</v>
      </c>
      <c r="Z81" s="165">
        <v>114779549.58000481</v>
      </c>
      <c r="AA81" s="165">
        <v>141253866.80999011</v>
      </c>
      <c r="AB81" s="165">
        <v>139824307.22999817</v>
      </c>
      <c r="AC81" s="165">
        <v>147236054.30000532</v>
      </c>
      <c r="AD81" s="165">
        <v>140388684.34999976</v>
      </c>
      <c r="AE81" s="165">
        <v>160479557.15999565</v>
      </c>
      <c r="AF81" s="165">
        <v>165750313.19999796</v>
      </c>
      <c r="AG81" s="165">
        <v>204553840.08001384</v>
      </c>
      <c r="AH81" s="165">
        <v>226645974.00999886</v>
      </c>
      <c r="AI81" s="165">
        <v>225605764.10000449</v>
      </c>
      <c r="AJ81" s="165">
        <v>288574879.72998047</v>
      </c>
      <c r="AK81" s="165">
        <v>307823119.22002548</v>
      </c>
      <c r="AL81" s="165">
        <v>325375636.16002572</v>
      </c>
      <c r="AM81" s="165">
        <v>320014222.86003822</v>
      </c>
      <c r="AN81" s="165">
        <v>279176345.42004132</v>
      </c>
      <c r="AO81" s="165">
        <v>277612162.89996934</v>
      </c>
      <c r="AP81" s="165">
        <v>262444535.14003003</v>
      </c>
      <c r="AQ81" s="165">
        <v>373549623.84254277</v>
      </c>
      <c r="AR81" s="165">
        <v>330622306.06254625</v>
      </c>
      <c r="AS81" s="165">
        <v>285460500.66609704</v>
      </c>
      <c r="AT81" s="165">
        <v>255910528.12915152</v>
      </c>
      <c r="AU81" s="165">
        <v>233501076.85305086</v>
      </c>
      <c r="AV81" s="165">
        <v>285952174.34305489</v>
      </c>
      <c r="AW81" s="165">
        <v>299349182.23305589</v>
      </c>
      <c r="AX81" s="165">
        <v>298106584.54000413</v>
      </c>
      <c r="AY81" s="165">
        <v>319526357.70000637</v>
      </c>
      <c r="AZ81" s="165">
        <v>300803716.71000528</v>
      </c>
      <c r="BA81" s="165">
        <v>249679942.23000249</v>
      </c>
      <c r="BB81" s="165">
        <v>215871950.76000494</v>
      </c>
      <c r="BC81" s="165">
        <v>309060047.67000377</v>
      </c>
      <c r="BD81" s="165">
        <v>306679232.54000497</v>
      </c>
      <c r="BE81" s="165">
        <v>363292241.72436666</v>
      </c>
      <c r="BF81" s="165">
        <v>371478973.49032009</v>
      </c>
      <c r="BG81" s="165">
        <v>360541591.08000308</v>
      </c>
      <c r="BH81" s="165">
        <v>443450649.13010532</v>
      </c>
      <c r="BI81" s="165">
        <v>433451130.52013505</v>
      </c>
      <c r="BJ81" s="165">
        <v>410201462.70000333</v>
      </c>
      <c r="BK81" s="165">
        <v>424937797.45097804</v>
      </c>
      <c r="BL81" s="165">
        <v>461346477.32000107</v>
      </c>
      <c r="BM81" s="165">
        <v>385800221.89000165</v>
      </c>
      <c r="BN81" s="165">
        <v>363639375.94999743</v>
      </c>
      <c r="BO81" s="165">
        <v>533604676.60999614</v>
      </c>
      <c r="BP81" s="165">
        <v>474687305.93000001</v>
      </c>
      <c r="BQ81" s="165">
        <v>601046384.98999572</v>
      </c>
      <c r="BR81" s="165">
        <v>640903837.67999852</v>
      </c>
      <c r="BS81" s="165">
        <v>620035532.80999506</v>
      </c>
      <c r="BT81" s="165">
        <v>727731828.33999896</v>
      </c>
      <c r="BU81" s="165">
        <f t="shared" ref="BU81:CR81" si="335">BU39-BU65</f>
        <v>595720128.76398969</v>
      </c>
      <c r="BV81" s="165">
        <f t="shared" si="335"/>
        <v>581866764.14603066</v>
      </c>
      <c r="BW81" s="165">
        <f t="shared" si="335"/>
        <v>579884068.63085234</v>
      </c>
      <c r="BX81" s="165">
        <f t="shared" si="335"/>
        <v>631925135.53706527</v>
      </c>
      <c r="BY81" s="165">
        <f t="shared" si="335"/>
        <v>558192134.2597878</v>
      </c>
      <c r="BZ81" s="165">
        <f t="shared" si="335"/>
        <v>513558082.24261433</v>
      </c>
      <c r="CA81" s="165">
        <f t="shared" si="335"/>
        <v>654087440.22460556</v>
      </c>
      <c r="CB81" s="165">
        <f t="shared" si="335"/>
        <v>597293700.21916842</v>
      </c>
      <c r="CC81" s="165">
        <f t="shared" si="335"/>
        <v>720831975.59871793</v>
      </c>
      <c r="CD81" s="165">
        <f t="shared" si="335"/>
        <v>739497021.13270652</v>
      </c>
      <c r="CE81" s="165">
        <f t="shared" si="335"/>
        <v>682972808.27839923</v>
      </c>
      <c r="CF81" s="165">
        <f t="shared" si="335"/>
        <v>803075928.32181823</v>
      </c>
      <c r="CG81" s="165">
        <f t="shared" si="335"/>
        <v>733128239.36404657</v>
      </c>
      <c r="CH81" s="165">
        <f t="shared" si="335"/>
        <v>718008785.13171101</v>
      </c>
      <c r="CI81" s="165">
        <f t="shared" si="335"/>
        <v>711908862.74702895</v>
      </c>
      <c r="CJ81" s="165">
        <f t="shared" si="335"/>
        <v>775044416.91582966</v>
      </c>
      <c r="CK81" s="165">
        <f t="shared" si="335"/>
        <v>683682612.57609928</v>
      </c>
      <c r="CL81" s="165">
        <f t="shared" si="335"/>
        <v>627893431.18731117</v>
      </c>
      <c r="CM81" s="165">
        <f t="shared" si="335"/>
        <v>796149120.75941133</v>
      </c>
      <c r="CN81" s="165">
        <f t="shared" si="335"/>
        <v>723597271.22916591</v>
      </c>
      <c r="CO81" s="165">
        <f t="shared" si="335"/>
        <v>869491648.72420561</v>
      </c>
      <c r="CP81" s="165">
        <f t="shared" si="335"/>
        <v>888240309.7896502</v>
      </c>
      <c r="CQ81" s="165">
        <f t="shared" si="335"/>
        <v>816656457.16839802</v>
      </c>
      <c r="CR81" s="165">
        <f t="shared" si="335"/>
        <v>949151497.85549474</v>
      </c>
      <c r="CS81" s="165">
        <f t="shared" ref="CS81:DD81" si="336">CS39-CS65</f>
        <v>838341997.12929857</v>
      </c>
      <c r="CT81" s="165">
        <f t="shared" si="336"/>
        <v>820320349.23906815</v>
      </c>
      <c r="CU81" s="165">
        <f t="shared" si="336"/>
        <v>812875334.40043628</v>
      </c>
      <c r="CV81" s="165">
        <f t="shared" si="336"/>
        <v>884441281.08919215</v>
      </c>
      <c r="CW81" s="165">
        <f t="shared" si="336"/>
        <v>779534713.067186</v>
      </c>
      <c r="CX81" s="165">
        <f t="shared" si="336"/>
        <v>715140921.54277766</v>
      </c>
      <c r="CY81" s="165">
        <f t="shared" si="336"/>
        <v>906491700.47408164</v>
      </c>
      <c r="CZ81" s="165">
        <f t="shared" si="336"/>
        <v>823452183.5695833</v>
      </c>
      <c r="DA81" s="165">
        <f t="shared" si="336"/>
        <v>989186878.17343867</v>
      </c>
      <c r="DB81" s="165">
        <f t="shared" si="336"/>
        <v>1010244998.373142</v>
      </c>
      <c r="DC81" s="165">
        <f t="shared" si="336"/>
        <v>928351520.52171743</v>
      </c>
      <c r="DD81" s="165">
        <f t="shared" si="336"/>
        <v>1078664071.4799957</v>
      </c>
      <c r="DF81" s="165">
        <f t="shared" si="193"/>
        <v>953212978.24008942</v>
      </c>
      <c r="DG81" s="165">
        <f t="shared" si="194"/>
        <v>819233043.46004069</v>
      </c>
      <c r="DH81" s="165">
        <f t="shared" si="195"/>
        <v>989632430.57118607</v>
      </c>
      <c r="DI81" s="165">
        <f t="shared" si="196"/>
        <v>775363779.3252573</v>
      </c>
      <c r="DJ81" s="165">
        <f t="shared" si="197"/>
        <v>916982124.47306645</v>
      </c>
      <c r="DK81" s="165">
        <f t="shared" si="198"/>
        <v>766355609.70001268</v>
      </c>
      <c r="DL81" s="165">
        <f t="shared" si="199"/>
        <v>979031521.93437541</v>
      </c>
      <c r="DM81" s="165">
        <f t="shared" si="200"/>
        <v>1175471213.7004285</v>
      </c>
      <c r="DN81" s="165">
        <f t="shared" si="201"/>
        <v>1268590390.6711164</v>
      </c>
      <c r="DO81" s="165">
        <f t="shared" si="202"/>
        <v>1210786075.1600001</v>
      </c>
      <c r="DP81" s="165">
        <f t="shared" si="203"/>
        <v>1609338367.5299919</v>
      </c>
      <c r="DQ81" s="165">
        <f t="shared" si="204"/>
        <v>1988671198.8299925</v>
      </c>
      <c r="DR81" s="165">
        <f t="shared" si="205"/>
        <v>1757470961.5408726</v>
      </c>
      <c r="DS81" s="165">
        <f t="shared" si="206"/>
        <v>1703675352.0394673</v>
      </c>
      <c r="DT81" s="165">
        <f t="shared" si="207"/>
        <v>1972213116.0424919</v>
      </c>
      <c r="DU81" s="165">
        <f t="shared" si="208"/>
        <v>2225545757.732924</v>
      </c>
      <c r="DV81" s="165">
        <f t="shared" si="209"/>
        <v>2163045887.2427864</v>
      </c>
      <c r="DW81" s="165">
        <f t="shared" si="210"/>
        <v>2086620460.6792402</v>
      </c>
      <c r="DX81" s="165">
        <f t="shared" si="211"/>
        <v>2389238040.7127829</v>
      </c>
      <c r="DY81" s="165">
        <f t="shared" si="212"/>
        <v>2654048264.8135433</v>
      </c>
      <c r="DZ81" s="165">
        <f t="shared" si="306"/>
        <v>2471537680.7688031</v>
      </c>
      <c r="EA81" s="165">
        <f t="shared" si="307"/>
        <v>2379116915.6991558</v>
      </c>
      <c r="EB81" s="165">
        <f t="shared" si="308"/>
        <v>2719130762.2171035</v>
      </c>
      <c r="EC81" s="165">
        <f t="shared" si="309"/>
        <v>3017260590.374855</v>
      </c>
      <c r="EE81" s="165">
        <f>SUM(DF81:DI81)</f>
        <v>3537442231.5965734</v>
      </c>
      <c r="EF81" s="165">
        <f>SUM(DJ81:DM81)</f>
        <v>3837840469.8078828</v>
      </c>
      <c r="EG81" s="165">
        <f>SUM(DN81:DQ81)</f>
        <v>6077386032.1911011</v>
      </c>
      <c r="EH81" s="165">
        <f>SUM(DR81:DU81)</f>
        <v>7658905187.3557549</v>
      </c>
      <c r="EI81" s="165">
        <f>SUM(DV81:DY81)</f>
        <v>9292952653.4483528</v>
      </c>
      <c r="EJ81" s="804">
        <f t="shared" si="310"/>
        <v>10587045949.059917</v>
      </c>
    </row>
    <row r="82" spans="2:140" x14ac:dyDescent="0.2">
      <c r="B82" s="167" t="s">
        <v>191</v>
      </c>
      <c r="C82" s="165">
        <v>3655563.01</v>
      </c>
      <c r="D82" s="165">
        <v>3972387</v>
      </c>
      <c r="E82" s="165">
        <v>4122520.4</v>
      </c>
      <c r="F82" s="165">
        <v>3482649.1</v>
      </c>
      <c r="G82" s="165">
        <v>3286270</v>
      </c>
      <c r="H82" s="165">
        <v>3164743</v>
      </c>
      <c r="I82" s="165">
        <v>3181133</v>
      </c>
      <c r="J82" s="165">
        <v>3167770</v>
      </c>
      <c r="K82" s="165">
        <v>2816768</v>
      </c>
      <c r="L82" s="165">
        <v>3785862</v>
      </c>
      <c r="M82" s="165">
        <v>2399609</v>
      </c>
      <c r="N82" s="165">
        <v>0</v>
      </c>
      <c r="O82" s="165">
        <v>4316723</v>
      </c>
      <c r="P82" s="165">
        <v>6004305</v>
      </c>
      <c r="Q82" s="165">
        <v>5531798</v>
      </c>
      <c r="R82" s="165">
        <v>6766296</v>
      </c>
      <c r="S82" s="165">
        <v>6376552</v>
      </c>
      <c r="T82" s="165">
        <v>6766194</v>
      </c>
      <c r="U82" s="165">
        <v>9614808</v>
      </c>
      <c r="V82" s="165">
        <v>9353804</v>
      </c>
      <c r="W82" s="165">
        <v>9491599</v>
      </c>
      <c r="X82" s="165">
        <v>8812633</v>
      </c>
      <c r="Y82" s="165">
        <v>10571348</v>
      </c>
      <c r="Z82" s="165">
        <v>12359869</v>
      </c>
      <c r="AA82" s="165">
        <v>12789191</v>
      </c>
      <c r="AB82" s="165">
        <v>15111163</v>
      </c>
      <c r="AC82" s="165">
        <v>15393068</v>
      </c>
      <c r="AD82" s="165">
        <v>14892958</v>
      </c>
      <c r="AE82" s="165">
        <v>14209739</v>
      </c>
      <c r="AF82" s="165">
        <v>14997847</v>
      </c>
      <c r="AG82" s="165">
        <v>15114599</v>
      </c>
      <c r="AH82" s="165">
        <v>16055224</v>
      </c>
      <c r="AI82" s="165">
        <v>15120818</v>
      </c>
      <c r="AJ82" s="165">
        <v>15916436</v>
      </c>
      <c r="AK82" s="165">
        <v>16455088</v>
      </c>
      <c r="AL82" s="165">
        <v>17261755</v>
      </c>
      <c r="AM82" s="165">
        <v>18137287</v>
      </c>
      <c r="AN82" s="165">
        <v>19516288</v>
      </c>
      <c r="AO82" s="165">
        <v>19725098</v>
      </c>
      <c r="AP82" s="165">
        <v>17099249</v>
      </c>
      <c r="AQ82" s="165">
        <v>17511393</v>
      </c>
      <c r="AR82" s="165">
        <v>14560657</v>
      </c>
      <c r="AS82" s="165">
        <v>14625126</v>
      </c>
      <c r="AT82" s="165">
        <v>14384434</v>
      </c>
      <c r="AU82" s="165">
        <v>14500412</v>
      </c>
      <c r="AV82" s="165">
        <v>16891021</v>
      </c>
      <c r="AW82" s="165">
        <v>17959708</v>
      </c>
      <c r="AX82" s="165">
        <v>19262795</v>
      </c>
      <c r="AY82" s="165">
        <v>20797660</v>
      </c>
      <c r="AZ82" s="165">
        <v>22174516.800000001</v>
      </c>
      <c r="BA82" s="165">
        <v>21618496</v>
      </c>
      <c r="BB82" s="165">
        <v>20817939</v>
      </c>
      <c r="BC82" s="165">
        <v>21207667.68</v>
      </c>
      <c r="BD82" s="165">
        <v>19255836.920000002</v>
      </c>
      <c r="BE82" s="165">
        <v>22400620.879999999</v>
      </c>
      <c r="BF82" s="165">
        <v>21300170.48</v>
      </c>
      <c r="BG82" s="165">
        <v>18619942.399999999</v>
      </c>
      <c r="BH82" s="165">
        <v>24707878.719999999</v>
      </c>
      <c r="BI82" s="165">
        <v>22799477</v>
      </c>
      <c r="BJ82" s="165">
        <v>23528850</v>
      </c>
      <c r="BK82" s="165">
        <v>23644259.399999999</v>
      </c>
      <c r="BL82" s="165">
        <v>26714167.710000001</v>
      </c>
      <c r="BM82" s="165">
        <v>30017121.27</v>
      </c>
      <c r="BN82" s="165">
        <v>25148103.829999998</v>
      </c>
      <c r="BO82" s="165">
        <v>25669120.719999999</v>
      </c>
      <c r="BP82" s="165">
        <v>26616200.09</v>
      </c>
      <c r="BQ82" s="165">
        <v>32153333.34</v>
      </c>
      <c r="BR82" s="165">
        <v>31872046.09</v>
      </c>
      <c r="BS82" s="165">
        <v>31154044.84</v>
      </c>
      <c r="BT82" s="165">
        <v>53076996.660000004</v>
      </c>
      <c r="BU82" s="165">
        <f t="shared" ref="BU82:CR82" si="337">BU40-BU66</f>
        <v>26983741.546096377</v>
      </c>
      <c r="BV82" s="165">
        <f t="shared" si="337"/>
        <v>27408996.721936896</v>
      </c>
      <c r="BW82" s="165">
        <f t="shared" si="337"/>
        <v>27849031.690279771</v>
      </c>
      <c r="BX82" s="165">
        <f t="shared" si="337"/>
        <v>27580728.091706112</v>
      </c>
      <c r="BY82" s="165">
        <f t="shared" si="337"/>
        <v>28775956.677736536</v>
      </c>
      <c r="BZ82" s="165">
        <f t="shared" si="337"/>
        <v>29804632.209247276</v>
      </c>
      <c r="CA82" s="165">
        <f t="shared" si="337"/>
        <v>28604962.647132244</v>
      </c>
      <c r="CB82" s="165">
        <f t="shared" si="337"/>
        <v>29621900.397117294</v>
      </c>
      <c r="CC82" s="165">
        <f t="shared" si="337"/>
        <v>28601067.106188495</v>
      </c>
      <c r="CD82" s="165">
        <f t="shared" si="337"/>
        <v>28684056.20325407</v>
      </c>
      <c r="CE82" s="165">
        <f t="shared" si="337"/>
        <v>29698157.098647844</v>
      </c>
      <c r="CF82" s="165">
        <f t="shared" si="337"/>
        <v>28992924.18733532</v>
      </c>
      <c r="CG82" s="165">
        <f t="shared" si="337"/>
        <v>30008681.078757513</v>
      </c>
      <c r="CH82" s="165">
        <f t="shared" si="337"/>
        <v>30586982.508163221</v>
      </c>
      <c r="CI82" s="165">
        <f t="shared" si="337"/>
        <v>30930629.604093917</v>
      </c>
      <c r="CJ82" s="165">
        <f t="shared" si="337"/>
        <v>30545561.080732938</v>
      </c>
      <c r="CK82" s="165">
        <f t="shared" si="337"/>
        <v>31926326.711159129</v>
      </c>
      <c r="CL82" s="165">
        <f t="shared" si="337"/>
        <v>33072406.369812246</v>
      </c>
      <c r="CM82" s="165">
        <f t="shared" si="337"/>
        <v>31441207.686991874</v>
      </c>
      <c r="CN82" s="165">
        <f t="shared" si="337"/>
        <v>32484273.053057499</v>
      </c>
      <c r="CO82" s="165">
        <f t="shared" si="337"/>
        <v>31088431.129366554</v>
      </c>
      <c r="CP82" s="165">
        <f t="shared" si="337"/>
        <v>31030820.327934213</v>
      </c>
      <c r="CQ82" s="165">
        <f t="shared" si="337"/>
        <v>32063697.355562322</v>
      </c>
      <c r="CR82" s="165">
        <f t="shared" si="337"/>
        <v>30808885.818403855</v>
      </c>
      <c r="CS82" s="165">
        <f t="shared" ref="CS82:DD82" si="338">CS40-CS66</f>
        <v>32254619.720481742</v>
      </c>
      <c r="CT82" s="165">
        <f t="shared" si="338"/>
        <v>32863467.250730474</v>
      </c>
      <c r="CU82" s="165">
        <f t="shared" si="338"/>
        <v>33221271.682313036</v>
      </c>
      <c r="CV82" s="165">
        <f t="shared" si="338"/>
        <v>32747471.788679685</v>
      </c>
      <c r="CW82" s="165">
        <f t="shared" si="338"/>
        <v>34270798.449176416</v>
      </c>
      <c r="CX82" s="165">
        <f t="shared" si="338"/>
        <v>35507443.149277575</v>
      </c>
      <c r="CY82" s="165">
        <f t="shared" si="338"/>
        <v>33633164.571831383</v>
      </c>
      <c r="CZ82" s="165">
        <f t="shared" si="338"/>
        <v>34786614.489372581</v>
      </c>
      <c r="DA82" s="165">
        <f t="shared" si="338"/>
        <v>33181949.723858271</v>
      </c>
      <c r="DB82" s="165">
        <f t="shared" si="338"/>
        <v>33100031.457134627</v>
      </c>
      <c r="DC82" s="165">
        <f t="shared" si="338"/>
        <v>34241419.111225553</v>
      </c>
      <c r="DD82" s="165">
        <f t="shared" si="338"/>
        <v>32799075.131483696</v>
      </c>
      <c r="DF82" s="165">
        <f t="shared" si="193"/>
        <v>51854130</v>
      </c>
      <c r="DG82" s="165">
        <f t="shared" si="194"/>
        <v>56340635</v>
      </c>
      <c r="DH82" s="165">
        <f t="shared" si="195"/>
        <v>46697176</v>
      </c>
      <c r="DI82" s="165">
        <f t="shared" si="196"/>
        <v>45775867</v>
      </c>
      <c r="DJ82" s="165">
        <f t="shared" si="197"/>
        <v>58020163</v>
      </c>
      <c r="DK82" s="165">
        <f t="shared" si="198"/>
        <v>64610951.799999997</v>
      </c>
      <c r="DL82" s="165">
        <f t="shared" si="199"/>
        <v>62864125.480000004</v>
      </c>
      <c r="DM82" s="165">
        <f t="shared" si="200"/>
        <v>64627991.599999994</v>
      </c>
      <c r="DN82" s="165">
        <f t="shared" si="201"/>
        <v>69972586.400000006</v>
      </c>
      <c r="DO82" s="165">
        <f t="shared" si="202"/>
        <v>81879392.810000002</v>
      </c>
      <c r="DP82" s="165">
        <f t="shared" si="203"/>
        <v>84438654.150000006</v>
      </c>
      <c r="DQ82" s="165">
        <f t="shared" si="204"/>
        <v>116103087.59</v>
      </c>
      <c r="DR82" s="165">
        <f t="shared" si="205"/>
        <v>82241769.958313048</v>
      </c>
      <c r="DS82" s="165">
        <f t="shared" si="206"/>
        <v>86161316.978689924</v>
      </c>
      <c r="DT82" s="165">
        <f t="shared" si="207"/>
        <v>86827930.150438026</v>
      </c>
      <c r="DU82" s="165">
        <f t="shared" si="208"/>
        <v>87375137.489237234</v>
      </c>
      <c r="DV82" s="165">
        <f t="shared" si="209"/>
        <v>91526293.191014647</v>
      </c>
      <c r="DW82" s="165">
        <f t="shared" si="210"/>
        <v>95544294.161704317</v>
      </c>
      <c r="DX82" s="165">
        <f t="shared" si="211"/>
        <v>95013911.869415939</v>
      </c>
      <c r="DY82" s="165">
        <f t="shared" si="212"/>
        <v>93903403.50190039</v>
      </c>
      <c r="DZ82" s="165">
        <f t="shared" si="306"/>
        <v>98339358.653525248</v>
      </c>
      <c r="EA82" s="165">
        <f t="shared" si="307"/>
        <v>102525713.38713369</v>
      </c>
      <c r="EB82" s="165">
        <f t="shared" si="308"/>
        <v>101601728.78506222</v>
      </c>
      <c r="EC82" s="165">
        <f t="shared" si="309"/>
        <v>100140525.69984388</v>
      </c>
      <c r="EE82" s="165">
        <f>SUM(DF82:DI82)</f>
        <v>200667808</v>
      </c>
      <c r="EF82" s="165">
        <f>SUM(DJ82:DM82)</f>
        <v>250123231.88</v>
      </c>
      <c r="EG82" s="165">
        <f>SUM(DN82:DQ82)</f>
        <v>352393720.95000005</v>
      </c>
      <c r="EH82" s="165">
        <f>SUM(DR82:DU82)</f>
        <v>342606154.57667822</v>
      </c>
      <c r="EI82" s="165">
        <f>SUM(DV82:DY82)</f>
        <v>375987902.72403526</v>
      </c>
      <c r="EJ82" s="804">
        <f t="shared" si="310"/>
        <v>402607326.52556503</v>
      </c>
    </row>
    <row r="83" spans="2:140" x14ac:dyDescent="0.2">
      <c r="B83" s="167" t="s">
        <v>140</v>
      </c>
      <c r="C83" s="165">
        <v>139995</v>
      </c>
      <c r="D83" s="165">
        <v>130583</v>
      </c>
      <c r="E83" s="165">
        <v>211030.11</v>
      </c>
      <c r="F83" s="165">
        <v>280392.7</v>
      </c>
      <c r="G83" s="165">
        <v>263038.33999999997</v>
      </c>
      <c r="H83" s="165">
        <v>288011</v>
      </c>
      <c r="I83" s="165">
        <v>326660.40999999997</v>
      </c>
      <c r="J83" s="165">
        <v>380448.66</v>
      </c>
      <c r="K83" s="165">
        <v>1068448.0000000012</v>
      </c>
      <c r="L83" s="165">
        <v>596967.97</v>
      </c>
      <c r="M83" s="165">
        <v>278715.12999999995</v>
      </c>
      <c r="N83" s="165">
        <v>7394.56</v>
      </c>
      <c r="O83" s="165">
        <v>345998.91</v>
      </c>
      <c r="P83" s="165">
        <v>633681.45999999985</v>
      </c>
      <c r="Q83" s="165">
        <v>1567361.4</v>
      </c>
      <c r="R83" s="165">
        <v>2058344</v>
      </c>
      <c r="S83" s="165">
        <v>2004251.14</v>
      </c>
      <c r="T83" s="165">
        <v>2345519.1600000067</v>
      </c>
      <c r="U83" s="165">
        <v>3244777.4000000134</v>
      </c>
      <c r="V83" s="165">
        <v>3135570.7500000014</v>
      </c>
      <c r="W83" s="165">
        <v>3064320.080000001</v>
      </c>
      <c r="X83" s="165">
        <v>4462828.3</v>
      </c>
      <c r="Y83" s="165">
        <v>3322202.9800000028</v>
      </c>
      <c r="Z83" s="165">
        <v>3340877.5400000005</v>
      </c>
      <c r="AA83" s="165">
        <v>4158550.1699999981</v>
      </c>
      <c r="AB83" s="165">
        <v>4617558.2999999942</v>
      </c>
      <c r="AC83" s="165">
        <v>5508857.9999999981</v>
      </c>
      <c r="AD83" s="165">
        <v>6054604.1999999993</v>
      </c>
      <c r="AE83" s="165">
        <v>5731391.3199999984</v>
      </c>
      <c r="AF83" s="165">
        <v>4781334.2500000009</v>
      </c>
      <c r="AG83" s="165">
        <v>5067757.09</v>
      </c>
      <c r="AH83" s="165">
        <v>6081094.709999999</v>
      </c>
      <c r="AI83" s="165">
        <v>6830862.9200000018</v>
      </c>
      <c r="AJ83" s="165">
        <v>6950106.8299999982</v>
      </c>
      <c r="AK83" s="165">
        <v>7280536.9900000067</v>
      </c>
      <c r="AL83" s="165">
        <v>7644539.1999999974</v>
      </c>
      <c r="AM83" s="165">
        <v>8332821.2100000205</v>
      </c>
      <c r="AN83" s="165">
        <v>7852523.799999997</v>
      </c>
      <c r="AO83" s="165">
        <v>11432006.310000062</v>
      </c>
      <c r="AP83" s="165">
        <v>10800991.710000001</v>
      </c>
      <c r="AQ83" s="165">
        <v>14506006.791699985</v>
      </c>
      <c r="AR83" s="165">
        <v>9410611.1639403459</v>
      </c>
      <c r="AS83" s="165">
        <v>7998772.8309600148</v>
      </c>
      <c r="AT83" s="165">
        <v>6996222.9099956984</v>
      </c>
      <c r="AU83" s="165">
        <v>7817587.362155214</v>
      </c>
      <c r="AV83" s="165">
        <v>8683562.9899719376</v>
      </c>
      <c r="AW83" s="165">
        <v>9111728.1199725587</v>
      </c>
      <c r="AX83" s="165">
        <v>9127250.1202107016</v>
      </c>
      <c r="AY83" s="165">
        <v>10420444.005038187</v>
      </c>
      <c r="AZ83" s="165">
        <v>10181951.950004138</v>
      </c>
      <c r="BA83" s="165">
        <v>10079078.859999996</v>
      </c>
      <c r="BB83" s="165">
        <v>7937383.9066176694</v>
      </c>
      <c r="BC83" s="165">
        <v>12584863.181587428</v>
      </c>
      <c r="BD83" s="165">
        <v>10218573.700000005</v>
      </c>
      <c r="BE83" s="165">
        <v>12172164.756187756</v>
      </c>
      <c r="BF83" s="165">
        <v>12836897.339999899</v>
      </c>
      <c r="BG83" s="165">
        <v>11438901.769999932</v>
      </c>
      <c r="BH83" s="165">
        <v>13546874.470000001</v>
      </c>
      <c r="BI83" s="165">
        <v>12659473.559999999</v>
      </c>
      <c r="BJ83" s="165">
        <v>13234878.249999993</v>
      </c>
      <c r="BK83" s="165">
        <v>10393251.739999892</v>
      </c>
      <c r="BL83" s="165">
        <v>12285113.369999999</v>
      </c>
      <c r="BM83" s="165">
        <v>11118838.16</v>
      </c>
      <c r="BN83" s="165">
        <v>13771128.4</v>
      </c>
      <c r="BO83" s="165">
        <v>19441733.440000001</v>
      </c>
      <c r="BP83" s="165">
        <v>17474729.129999999</v>
      </c>
      <c r="BQ83" s="165">
        <v>21774575.470000025</v>
      </c>
      <c r="BR83" s="165">
        <v>18902496.690000013</v>
      </c>
      <c r="BS83" s="165">
        <v>18179108.76000002</v>
      </c>
      <c r="BT83" s="165">
        <v>21252682.900000032</v>
      </c>
      <c r="BU83" s="165">
        <f t="shared" ref="BU83:CR83" si="339">BU41-BU67</f>
        <v>15824767.118204009</v>
      </c>
      <c r="BV83" s="165">
        <f t="shared" si="339"/>
        <v>16037230.616760356</v>
      </c>
      <c r="BW83" s="165">
        <f t="shared" si="339"/>
        <v>16276705.171581371</v>
      </c>
      <c r="BX83" s="165">
        <f t="shared" si="339"/>
        <v>16211459.198376186</v>
      </c>
      <c r="BY83" s="165">
        <f t="shared" si="339"/>
        <v>16753322.574999411</v>
      </c>
      <c r="BZ83" s="165">
        <f t="shared" si="339"/>
        <v>17249589.103529029</v>
      </c>
      <c r="CA83" s="165">
        <f t="shared" si="339"/>
        <v>16811412.732362665</v>
      </c>
      <c r="CB83" s="165">
        <f t="shared" si="339"/>
        <v>17281886.263273239</v>
      </c>
      <c r="CC83" s="165">
        <f t="shared" si="339"/>
        <v>16915318.136764847</v>
      </c>
      <c r="CD83" s="165">
        <f t="shared" si="339"/>
        <v>16990734.083700545</v>
      </c>
      <c r="CE83" s="165">
        <f t="shared" si="339"/>
        <v>17460071.703107912</v>
      </c>
      <c r="CF83" s="165">
        <f t="shared" si="339"/>
        <v>17262059.944774192</v>
      </c>
      <c r="CG83" s="165">
        <f t="shared" si="339"/>
        <v>17710967.599987604</v>
      </c>
      <c r="CH83" s="165">
        <f t="shared" si="339"/>
        <v>18005805.748033326</v>
      </c>
      <c r="CI83" s="165">
        <f t="shared" si="339"/>
        <v>18185592.366706822</v>
      </c>
      <c r="CJ83" s="165">
        <f t="shared" si="339"/>
        <v>18073592.280109659</v>
      </c>
      <c r="CK83" s="165">
        <f t="shared" si="339"/>
        <v>18689746.973477978</v>
      </c>
      <c r="CL83" s="165">
        <f t="shared" si="339"/>
        <v>19233023.559891835</v>
      </c>
      <c r="CM83" s="165">
        <f t="shared" si="339"/>
        <v>18600964.570796862</v>
      </c>
      <c r="CN83" s="165">
        <f t="shared" si="339"/>
        <v>19060806.875455439</v>
      </c>
      <c r="CO83" s="165">
        <f t="shared" si="339"/>
        <v>18522987.630221467</v>
      </c>
      <c r="CP83" s="165">
        <f t="shared" si="339"/>
        <v>18521012.601465307</v>
      </c>
      <c r="CQ83" s="165">
        <f t="shared" si="339"/>
        <v>18976775.369983636</v>
      </c>
      <c r="CR83" s="165">
        <f t="shared" si="339"/>
        <v>18495426.427759439</v>
      </c>
      <c r="CS83" s="165">
        <f t="shared" ref="CS83:DD83" si="340">CS41-CS67</f>
        <v>19116502.171538457</v>
      </c>
      <c r="CT83" s="165">
        <f t="shared" si="340"/>
        <v>19423571.354418475</v>
      </c>
      <c r="CU83" s="165">
        <f t="shared" si="340"/>
        <v>19609026.74457965</v>
      </c>
      <c r="CV83" s="165">
        <f t="shared" si="340"/>
        <v>19461497.524942778</v>
      </c>
      <c r="CW83" s="165">
        <f t="shared" si="340"/>
        <v>20134735.409837458</v>
      </c>
      <c r="CX83" s="165">
        <f t="shared" si="340"/>
        <v>20714275.353804309</v>
      </c>
      <c r="CY83" s="165">
        <f t="shared" si="340"/>
        <v>19984884.182315126</v>
      </c>
      <c r="CZ83" s="165">
        <f t="shared" si="340"/>
        <v>20488925.820342112</v>
      </c>
      <c r="DA83" s="165">
        <f t="shared" si="340"/>
        <v>19867491.338398762</v>
      </c>
      <c r="DB83" s="165">
        <f t="shared" si="340"/>
        <v>19855783.301287811</v>
      </c>
      <c r="DC83" s="165">
        <f t="shared" si="340"/>
        <v>20354995.060529321</v>
      </c>
      <c r="DD83" s="165">
        <f t="shared" si="340"/>
        <v>19798555.819560114</v>
      </c>
      <c r="DF83" s="165">
        <f t="shared" si="193"/>
        <v>23257897.400000025</v>
      </c>
      <c r="DG83" s="165">
        <f t="shared" si="194"/>
        <v>30085521.82000006</v>
      </c>
      <c r="DH83" s="165">
        <f t="shared" si="195"/>
        <v>31915390.786600344</v>
      </c>
      <c r="DI83" s="165">
        <f t="shared" si="196"/>
        <v>23497373.262122847</v>
      </c>
      <c r="DJ83" s="165">
        <f t="shared" si="197"/>
        <v>28659422.245221447</v>
      </c>
      <c r="DK83" s="165">
        <f t="shared" si="198"/>
        <v>28198414.716621801</v>
      </c>
      <c r="DL83" s="165">
        <f t="shared" si="199"/>
        <v>34975601.637775183</v>
      </c>
      <c r="DM83" s="165">
        <f t="shared" si="200"/>
        <v>37822673.579999834</v>
      </c>
      <c r="DN83" s="165">
        <f t="shared" si="201"/>
        <v>36287603.549999885</v>
      </c>
      <c r="DO83" s="165">
        <f t="shared" si="202"/>
        <v>37175079.93</v>
      </c>
      <c r="DP83" s="165">
        <f t="shared" si="203"/>
        <v>58691038.040000021</v>
      </c>
      <c r="DQ83" s="165">
        <f t="shared" si="204"/>
        <v>58334288.350000069</v>
      </c>
      <c r="DR83" s="165">
        <f t="shared" si="205"/>
        <v>48138702.906545736</v>
      </c>
      <c r="DS83" s="165">
        <f t="shared" si="206"/>
        <v>50214370.876904622</v>
      </c>
      <c r="DT83" s="165">
        <f t="shared" si="207"/>
        <v>51008617.132400751</v>
      </c>
      <c r="DU83" s="165">
        <f t="shared" si="208"/>
        <v>51712865.731582657</v>
      </c>
      <c r="DV83" s="165">
        <f t="shared" si="209"/>
        <v>53902365.714727744</v>
      </c>
      <c r="DW83" s="165">
        <f t="shared" si="210"/>
        <v>55996362.813479468</v>
      </c>
      <c r="DX83" s="165">
        <f t="shared" si="211"/>
        <v>56184759.076473773</v>
      </c>
      <c r="DY83" s="165">
        <f t="shared" si="212"/>
        <v>55993214.399208382</v>
      </c>
      <c r="DZ83" s="165">
        <f t="shared" si="306"/>
        <v>58149100.270536579</v>
      </c>
      <c r="EA83" s="165">
        <f t="shared" si="307"/>
        <v>60310508.288584545</v>
      </c>
      <c r="EB83" s="165">
        <f t="shared" si="308"/>
        <v>60341301.341055997</v>
      </c>
      <c r="EC83" s="165">
        <f t="shared" si="309"/>
        <v>60009334.181377247</v>
      </c>
      <c r="EE83" s="165">
        <f>SUM(DF83:DI83)</f>
        <v>108756183.26872328</v>
      </c>
      <c r="EF83" s="165">
        <f>SUM(DJ83:DM83)</f>
        <v>129656112.17961827</v>
      </c>
      <c r="EG83" s="165">
        <f>SUM(DN83:DQ83)</f>
        <v>190488009.86999997</v>
      </c>
      <c r="EH83" s="165">
        <f>SUM(DR83:DU83)</f>
        <v>201074556.64743376</v>
      </c>
      <c r="EI83" s="165">
        <f>SUM(DV83:DY83)</f>
        <v>222076702.00388938</v>
      </c>
      <c r="EJ83" s="804">
        <f t="shared" si="310"/>
        <v>238810244.08155435</v>
      </c>
    </row>
    <row r="84" spans="2:140" x14ac:dyDescent="0.2">
      <c r="B84" s="167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E84" s="10"/>
      <c r="EF84" s="10"/>
      <c r="EG84" s="10"/>
      <c r="EH84" s="10"/>
      <c r="EI84" s="10"/>
      <c r="EJ84" s="812"/>
    </row>
    <row r="85" spans="2:140" x14ac:dyDescent="0.2">
      <c r="B85" s="176" t="s">
        <v>193</v>
      </c>
      <c r="C85" s="169">
        <f>SUM(C86:C88)</f>
        <v>0</v>
      </c>
      <c r="D85" s="169">
        <f t="shared" ref="D85:BO85" si="341">SUM(D86:D88)</f>
        <v>0</v>
      </c>
      <c r="E85" s="169">
        <f t="shared" si="341"/>
        <v>34000</v>
      </c>
      <c r="F85" s="169">
        <f t="shared" si="341"/>
        <v>143839.02000000002</v>
      </c>
      <c r="G85" s="169">
        <f t="shared" si="341"/>
        <v>455005.03</v>
      </c>
      <c r="H85" s="169">
        <f t="shared" si="341"/>
        <v>1108768.19</v>
      </c>
      <c r="I85" s="169">
        <f t="shared" si="341"/>
        <v>1869292.08</v>
      </c>
      <c r="J85" s="169">
        <f t="shared" si="341"/>
        <v>1676354.06</v>
      </c>
      <c r="K85" s="169">
        <f t="shared" si="341"/>
        <v>2176097.09</v>
      </c>
      <c r="L85" s="169">
        <f t="shared" si="341"/>
        <v>3753712</v>
      </c>
      <c r="M85" s="169">
        <f t="shared" si="341"/>
        <v>3479045</v>
      </c>
      <c r="N85" s="169">
        <f t="shared" si="341"/>
        <v>19727</v>
      </c>
      <c r="O85" s="169">
        <f t="shared" si="341"/>
        <v>1193618</v>
      </c>
      <c r="P85" s="169">
        <f t="shared" si="341"/>
        <v>1202998</v>
      </c>
      <c r="Q85" s="169">
        <f t="shared" si="341"/>
        <v>2186385.88</v>
      </c>
      <c r="R85" s="169">
        <f t="shared" si="341"/>
        <v>4612134</v>
      </c>
      <c r="S85" s="169">
        <f t="shared" si="341"/>
        <v>5930419.2000000002</v>
      </c>
      <c r="T85" s="169">
        <f t="shared" si="341"/>
        <v>6304936.2000000002</v>
      </c>
      <c r="U85" s="169">
        <f t="shared" si="341"/>
        <v>8011516.9400000004</v>
      </c>
      <c r="V85" s="169">
        <f t="shared" si="341"/>
        <v>6453606</v>
      </c>
      <c r="W85" s="169">
        <f t="shared" si="341"/>
        <v>5908259.1600000001</v>
      </c>
      <c r="X85" s="169">
        <f t="shared" si="341"/>
        <v>4597164.2200000007</v>
      </c>
      <c r="Y85" s="169">
        <f t="shared" si="341"/>
        <v>4231905.7300000004</v>
      </c>
      <c r="Z85" s="169">
        <f t="shared" si="341"/>
        <v>3128367.6999999997</v>
      </c>
      <c r="AA85" s="169">
        <f t="shared" si="341"/>
        <v>822516.16</v>
      </c>
      <c r="AB85" s="169">
        <f t="shared" si="341"/>
        <v>4784449.88</v>
      </c>
      <c r="AC85" s="169">
        <f t="shared" si="341"/>
        <v>3572158.82</v>
      </c>
      <c r="AD85" s="169">
        <f t="shared" si="341"/>
        <v>3793643.31</v>
      </c>
      <c r="AE85" s="169">
        <f t="shared" si="341"/>
        <v>2538226</v>
      </c>
      <c r="AF85" s="169">
        <f t="shared" si="341"/>
        <v>3541485.2199999997</v>
      </c>
      <c r="AG85" s="169">
        <f t="shared" si="341"/>
        <v>3462354</v>
      </c>
      <c r="AH85" s="169">
        <f t="shared" si="341"/>
        <v>1952237.4</v>
      </c>
      <c r="AI85" s="169">
        <f t="shared" si="341"/>
        <v>1216598</v>
      </c>
      <c r="AJ85" s="169">
        <f t="shared" si="341"/>
        <v>2039388.59</v>
      </c>
      <c r="AK85" s="169">
        <f t="shared" si="341"/>
        <v>3117830.7395000001</v>
      </c>
      <c r="AL85" s="169">
        <f t="shared" si="341"/>
        <v>3706321.8</v>
      </c>
      <c r="AM85" s="169">
        <f t="shared" si="341"/>
        <v>1674611.4</v>
      </c>
      <c r="AN85" s="169">
        <f t="shared" si="341"/>
        <v>664827</v>
      </c>
      <c r="AO85" s="169">
        <f t="shared" si="341"/>
        <v>629028.55200000014</v>
      </c>
      <c r="AP85" s="169">
        <f t="shared" si="341"/>
        <v>128462.32035999997</v>
      </c>
      <c r="AQ85" s="169">
        <f t="shared" si="341"/>
        <v>5055700.13</v>
      </c>
      <c r="AR85" s="169">
        <f t="shared" si="341"/>
        <v>3934793</v>
      </c>
      <c r="AS85" s="169">
        <f t="shared" si="341"/>
        <v>2881110</v>
      </c>
      <c r="AT85" s="169">
        <f t="shared" si="341"/>
        <v>3980039</v>
      </c>
      <c r="AU85" s="169">
        <f t="shared" si="341"/>
        <v>4018281</v>
      </c>
      <c r="AV85" s="169">
        <f t="shared" si="341"/>
        <v>1231576</v>
      </c>
      <c r="AW85" s="169">
        <f t="shared" si="341"/>
        <v>4028441</v>
      </c>
      <c r="AX85" s="169">
        <f t="shared" si="341"/>
        <v>4754144</v>
      </c>
      <c r="AY85" s="169">
        <f t="shared" si="341"/>
        <v>3823162</v>
      </c>
      <c r="AZ85" s="169">
        <f t="shared" si="341"/>
        <v>2938005</v>
      </c>
      <c r="BA85" s="169">
        <f t="shared" si="341"/>
        <v>5184385</v>
      </c>
      <c r="BB85" s="169">
        <f t="shared" si="341"/>
        <v>1945116</v>
      </c>
      <c r="BC85" s="169">
        <f t="shared" si="341"/>
        <v>4668694</v>
      </c>
      <c r="BD85" s="169">
        <f t="shared" si="341"/>
        <v>2635017</v>
      </c>
      <c r="BE85" s="169">
        <f t="shared" si="341"/>
        <v>4778641</v>
      </c>
      <c r="BF85" s="169">
        <f t="shared" si="341"/>
        <v>8073490</v>
      </c>
      <c r="BG85" s="169">
        <f t="shared" si="341"/>
        <v>104367</v>
      </c>
      <c r="BH85" s="169">
        <f t="shared" si="341"/>
        <v>6549470</v>
      </c>
      <c r="BI85" s="169">
        <f t="shared" si="341"/>
        <v>5982174</v>
      </c>
      <c r="BJ85" s="169">
        <f t="shared" si="341"/>
        <v>8068679.6399999997</v>
      </c>
      <c r="BK85" s="169">
        <f t="shared" si="341"/>
        <v>6665821</v>
      </c>
      <c r="BL85" s="169">
        <f t="shared" si="341"/>
        <v>10910627.880000001</v>
      </c>
      <c r="BM85" s="169">
        <f t="shared" si="341"/>
        <v>7110959.4000000004</v>
      </c>
      <c r="BN85" s="169">
        <f t="shared" si="341"/>
        <v>4530201</v>
      </c>
      <c r="BO85" s="169">
        <f t="shared" si="341"/>
        <v>11495266</v>
      </c>
      <c r="BP85" s="169">
        <f t="shared" ref="BP85:CR85" si="342">SUM(BP86:BP88)</f>
        <v>9610320</v>
      </c>
      <c r="BQ85" s="169">
        <f t="shared" si="342"/>
        <v>5114786.93</v>
      </c>
      <c r="BR85" s="169">
        <f t="shared" si="342"/>
        <v>6467648.7999999998</v>
      </c>
      <c r="BS85" s="169">
        <f t="shared" si="342"/>
        <v>6042164.5999999996</v>
      </c>
      <c r="BT85" s="169">
        <f t="shared" si="342"/>
        <v>9174228.0600000005</v>
      </c>
      <c r="BU85" s="169">
        <f t="shared" si="342"/>
        <v>7889422.0704452032</v>
      </c>
      <c r="BV85" s="169">
        <f t="shared" si="342"/>
        <v>7706848.096577242</v>
      </c>
      <c r="BW85" s="169">
        <f t="shared" si="342"/>
        <v>7681039.7590492284</v>
      </c>
      <c r="BX85" s="169">
        <f t="shared" si="342"/>
        <v>8368018.4280333342</v>
      </c>
      <c r="BY85" s="169">
        <f t="shared" si="342"/>
        <v>7395382.4670210667</v>
      </c>
      <c r="BZ85" s="169">
        <f t="shared" si="342"/>
        <v>6806859.0697913365</v>
      </c>
      <c r="CA85" s="169">
        <f t="shared" si="342"/>
        <v>8661542.2865896355</v>
      </c>
      <c r="CB85" s="169">
        <f t="shared" si="342"/>
        <v>7912439.3171547707</v>
      </c>
      <c r="CC85" s="169">
        <f t="shared" si="342"/>
        <v>9542905.7004494481</v>
      </c>
      <c r="CD85" s="169">
        <f t="shared" si="342"/>
        <v>9789449.4658945706</v>
      </c>
      <c r="CE85" s="169">
        <f t="shared" si="342"/>
        <v>9043903.216521848</v>
      </c>
      <c r="CF85" s="169">
        <f t="shared" si="342"/>
        <v>10629275.853112776</v>
      </c>
      <c r="CG85" s="169">
        <f t="shared" si="342"/>
        <v>9773074.1823438816</v>
      </c>
      <c r="CH85" s="169">
        <f t="shared" si="342"/>
        <v>9572544.6749709081</v>
      </c>
      <c r="CI85" s="169">
        <f t="shared" si="342"/>
        <v>9491735.573327262</v>
      </c>
      <c r="CJ85" s="169">
        <f t="shared" si="342"/>
        <v>10330837.019669361</v>
      </c>
      <c r="CK85" s="169">
        <f t="shared" si="342"/>
        <v>9117298.7838472389</v>
      </c>
      <c r="CL85" s="169">
        <f t="shared" si="342"/>
        <v>8376522.4302591505</v>
      </c>
      <c r="CM85" s="169">
        <f t="shared" si="342"/>
        <v>10612203.53540938</v>
      </c>
      <c r="CN85" s="169">
        <f t="shared" si="342"/>
        <v>9648468.0532711558</v>
      </c>
      <c r="CO85" s="169">
        <f t="shared" si="342"/>
        <v>11587041.261278523</v>
      </c>
      <c r="CP85" s="169">
        <f t="shared" si="342"/>
        <v>11836268.320502793</v>
      </c>
      <c r="CQ85" s="169">
        <f t="shared" si="342"/>
        <v>10885394.316487174</v>
      </c>
      <c r="CR85" s="169">
        <f t="shared" si="342"/>
        <v>12645934.644831782</v>
      </c>
      <c r="CS85" s="169">
        <f t="shared" ref="CS85:DD85" si="343">SUM(CS86:CS88)</f>
        <v>11173881.481813172</v>
      </c>
      <c r="CT85" s="169">
        <f t="shared" si="343"/>
        <v>10934791.417178307</v>
      </c>
      <c r="CU85" s="169">
        <f t="shared" si="343"/>
        <v>10836110.484531252</v>
      </c>
      <c r="CV85" s="169">
        <f t="shared" si="343"/>
        <v>11787223.971359216</v>
      </c>
      <c r="CW85" s="169">
        <f t="shared" si="343"/>
        <v>10393720.613585852</v>
      </c>
      <c r="CX85" s="169">
        <f t="shared" si="343"/>
        <v>9538617.4434711598</v>
      </c>
      <c r="CY85" s="169">
        <f t="shared" si="343"/>
        <v>12081155.919521309</v>
      </c>
      <c r="CZ85" s="169">
        <f t="shared" si="343"/>
        <v>10978074.016709741</v>
      </c>
      <c r="DA85" s="169">
        <f t="shared" si="343"/>
        <v>13180259.434704324</v>
      </c>
      <c r="DB85" s="169">
        <f t="shared" si="343"/>
        <v>13460171.569319181</v>
      </c>
      <c r="DC85" s="169">
        <f t="shared" si="343"/>
        <v>12372316.736007329</v>
      </c>
      <c r="DD85" s="169">
        <f t="shared" si="343"/>
        <v>14369592.860120496</v>
      </c>
      <c r="DF85" s="169">
        <f t="shared" si="193"/>
        <v>8498763.9395000003</v>
      </c>
      <c r="DG85" s="169">
        <f t="shared" si="194"/>
        <v>1422317.8723600002</v>
      </c>
      <c r="DH85" s="169">
        <f t="shared" si="195"/>
        <v>11871603.129999999</v>
      </c>
      <c r="DI85" s="169">
        <f t="shared" si="196"/>
        <v>9229896</v>
      </c>
      <c r="DJ85" s="169">
        <f t="shared" si="197"/>
        <v>12605747</v>
      </c>
      <c r="DK85" s="169">
        <f t="shared" si="198"/>
        <v>10067506</v>
      </c>
      <c r="DL85" s="169">
        <f t="shared" si="199"/>
        <v>12082352</v>
      </c>
      <c r="DM85" s="169">
        <f t="shared" si="200"/>
        <v>14727327</v>
      </c>
      <c r="DN85" s="169">
        <f t="shared" si="201"/>
        <v>20716674.640000001</v>
      </c>
      <c r="DO85" s="169">
        <f t="shared" si="202"/>
        <v>22551788.280000001</v>
      </c>
      <c r="DP85" s="169">
        <f t="shared" si="203"/>
        <v>26220372.93</v>
      </c>
      <c r="DQ85" s="169">
        <f t="shared" si="204"/>
        <v>21684041.460000001</v>
      </c>
      <c r="DR85" s="169">
        <f t="shared" si="205"/>
        <v>23277309.926071674</v>
      </c>
      <c r="DS85" s="169">
        <f t="shared" si="206"/>
        <v>22570259.964845736</v>
      </c>
      <c r="DT85" s="169">
        <f t="shared" si="207"/>
        <v>26116887.304193854</v>
      </c>
      <c r="DU85" s="169">
        <f t="shared" si="208"/>
        <v>29462628.535529193</v>
      </c>
      <c r="DV85" s="169">
        <f t="shared" si="209"/>
        <v>28837354.43064205</v>
      </c>
      <c r="DW85" s="169">
        <f t="shared" si="210"/>
        <v>27824658.23377575</v>
      </c>
      <c r="DX85" s="169">
        <f t="shared" si="211"/>
        <v>31847712.849959061</v>
      </c>
      <c r="DY85" s="169">
        <f t="shared" si="212"/>
        <v>35367597.28182175</v>
      </c>
      <c r="DZ85" s="169">
        <f t="shared" si="306"/>
        <v>32944783.383522734</v>
      </c>
      <c r="EA85" s="169">
        <f t="shared" si="307"/>
        <v>31719562.028416228</v>
      </c>
      <c r="EB85" s="169">
        <f t="shared" si="308"/>
        <v>36239489.370935373</v>
      </c>
      <c r="EC85" s="169">
        <f t="shared" si="309"/>
        <v>40202081.165447004</v>
      </c>
      <c r="EE85" s="169">
        <f>SUM(DF85:DI85)</f>
        <v>31022580.941859998</v>
      </c>
      <c r="EF85" s="169">
        <f>SUM(DJ85:DM85)</f>
        <v>49482932</v>
      </c>
      <c r="EG85" s="169">
        <f>SUM(DN85:DQ85)</f>
        <v>91172877.310000002</v>
      </c>
      <c r="EH85" s="169">
        <f>SUM(DR85:DU85)</f>
        <v>101427085.73064046</v>
      </c>
      <c r="EI85" s="169">
        <f>SUM(DV85:DY85)</f>
        <v>123877322.79619861</v>
      </c>
      <c r="EJ85" s="813">
        <f t="shared" si="310"/>
        <v>141105915.94832134</v>
      </c>
    </row>
    <row r="86" spans="2:140" x14ac:dyDescent="0.2">
      <c r="B86" s="167" t="s">
        <v>139</v>
      </c>
      <c r="C86" s="165">
        <v>0</v>
      </c>
      <c r="D86" s="165">
        <v>0</v>
      </c>
      <c r="E86" s="165">
        <v>34000</v>
      </c>
      <c r="F86" s="165">
        <v>143839.02000000002</v>
      </c>
      <c r="G86" s="165">
        <v>455005.03</v>
      </c>
      <c r="H86" s="165">
        <v>1108768.19</v>
      </c>
      <c r="I86" s="165">
        <v>1869292.08</v>
      </c>
      <c r="J86" s="165">
        <v>1676354.06</v>
      </c>
      <c r="K86" s="165">
        <v>2176097.09</v>
      </c>
      <c r="L86" s="165">
        <v>3617806</v>
      </c>
      <c r="M86" s="165">
        <v>3402616</v>
      </c>
      <c r="N86" s="165">
        <v>19727</v>
      </c>
      <c r="O86" s="165">
        <v>1158216</v>
      </c>
      <c r="P86" s="165">
        <v>1145948</v>
      </c>
      <c r="Q86" s="165">
        <v>2061491</v>
      </c>
      <c r="R86" s="165">
        <v>4363324</v>
      </c>
      <c r="S86" s="165">
        <v>5632900</v>
      </c>
      <c r="T86" s="165">
        <v>6102328</v>
      </c>
      <c r="U86" s="165">
        <v>7553059</v>
      </c>
      <c r="V86" s="165">
        <v>5898139</v>
      </c>
      <c r="W86" s="165">
        <v>5456748</v>
      </c>
      <c r="X86" s="165">
        <v>4313247.2200000007</v>
      </c>
      <c r="Y86" s="165">
        <v>3682681.73</v>
      </c>
      <c r="Z86" s="165">
        <v>2670447.0599999996</v>
      </c>
      <c r="AA86" s="165">
        <v>634383.76</v>
      </c>
      <c r="AB86" s="165">
        <v>4719185</v>
      </c>
      <c r="AC86" s="165">
        <v>3050782.9</v>
      </c>
      <c r="AD86" s="165">
        <v>3718284</v>
      </c>
      <c r="AE86" s="165">
        <v>2473023</v>
      </c>
      <c r="AF86" s="165">
        <v>3447822.2199999997</v>
      </c>
      <c r="AG86" s="165">
        <v>3432141</v>
      </c>
      <c r="AH86" s="165">
        <v>1842725</v>
      </c>
      <c r="AI86" s="165">
        <v>1216598</v>
      </c>
      <c r="AJ86" s="165">
        <v>2005479</v>
      </c>
      <c r="AK86" s="165">
        <v>3048821</v>
      </c>
      <c r="AL86" s="165">
        <v>3646130</v>
      </c>
      <c r="AM86" s="165">
        <v>1674849</v>
      </c>
      <c r="AN86" s="165">
        <v>664827</v>
      </c>
      <c r="AO86" s="165">
        <v>536423</v>
      </c>
      <c r="AP86" s="165">
        <v>17812</v>
      </c>
      <c r="AQ86" s="165">
        <v>4969647</v>
      </c>
      <c r="AR86" s="165">
        <v>3934793</v>
      </c>
      <c r="AS86" s="165">
        <v>2881110</v>
      </c>
      <c r="AT86" s="165">
        <v>3980039</v>
      </c>
      <c r="AU86" s="165">
        <v>4018281</v>
      </c>
      <c r="AV86" s="165">
        <v>1231576</v>
      </c>
      <c r="AW86" s="165">
        <v>4028441</v>
      </c>
      <c r="AX86" s="165">
        <v>4754144</v>
      </c>
      <c r="AY86" s="165">
        <v>3823162</v>
      </c>
      <c r="AZ86" s="165">
        <v>2938005</v>
      </c>
      <c r="BA86" s="165">
        <v>5184385</v>
      </c>
      <c r="BB86" s="165">
        <v>1945116</v>
      </c>
      <c r="BC86" s="165">
        <v>4668694</v>
      </c>
      <c r="BD86" s="165">
        <v>2635017</v>
      </c>
      <c r="BE86" s="165">
        <v>4778641</v>
      </c>
      <c r="BF86" s="165">
        <v>8073490</v>
      </c>
      <c r="BG86" s="165">
        <v>-130147</v>
      </c>
      <c r="BH86" s="165">
        <v>6549470</v>
      </c>
      <c r="BI86" s="165">
        <v>5982174</v>
      </c>
      <c r="BJ86" s="165">
        <v>7782363</v>
      </c>
      <c r="BK86" s="165">
        <v>6591536</v>
      </c>
      <c r="BL86" s="165">
        <v>10506720</v>
      </c>
      <c r="BM86" s="165">
        <v>6754476</v>
      </c>
      <c r="BN86" s="165">
        <v>4216891</v>
      </c>
      <c r="BO86" s="165">
        <v>11114825</v>
      </c>
      <c r="BP86" s="165">
        <v>9610320</v>
      </c>
      <c r="BQ86" s="165">
        <v>4623398</v>
      </c>
      <c r="BR86" s="165">
        <v>6276051</v>
      </c>
      <c r="BS86" s="165">
        <v>5836059</v>
      </c>
      <c r="BT86" s="165">
        <v>8782926</v>
      </c>
      <c r="BU86" s="165">
        <f t="shared" ref="BU86:CR88" si="344">BU44-BU70</f>
        <v>7889422.0704452032</v>
      </c>
      <c r="BV86" s="165">
        <f t="shared" si="344"/>
        <v>7706848.096577242</v>
      </c>
      <c r="BW86" s="165">
        <f t="shared" si="344"/>
        <v>7681039.7590492284</v>
      </c>
      <c r="BX86" s="165">
        <f t="shared" si="344"/>
        <v>8368018.4280333342</v>
      </c>
      <c r="BY86" s="165">
        <f t="shared" si="344"/>
        <v>7395382.4670210667</v>
      </c>
      <c r="BZ86" s="165">
        <f t="shared" si="344"/>
        <v>6806859.0697913365</v>
      </c>
      <c r="CA86" s="165">
        <f t="shared" si="344"/>
        <v>8661542.2865896355</v>
      </c>
      <c r="CB86" s="165">
        <f t="shared" si="344"/>
        <v>7912439.3171547707</v>
      </c>
      <c r="CC86" s="165">
        <f t="shared" si="344"/>
        <v>9542905.7004494481</v>
      </c>
      <c r="CD86" s="165">
        <f t="shared" si="344"/>
        <v>9789449.4658945706</v>
      </c>
      <c r="CE86" s="165">
        <f t="shared" si="344"/>
        <v>9043903.216521848</v>
      </c>
      <c r="CF86" s="165">
        <f t="shared" si="344"/>
        <v>10629275.853112776</v>
      </c>
      <c r="CG86" s="165">
        <f t="shared" si="344"/>
        <v>9773074.1823438816</v>
      </c>
      <c r="CH86" s="165">
        <f t="shared" si="344"/>
        <v>9572544.6749709081</v>
      </c>
      <c r="CI86" s="165">
        <f t="shared" si="344"/>
        <v>9491735.573327262</v>
      </c>
      <c r="CJ86" s="165">
        <f t="shared" si="344"/>
        <v>10330837.019669361</v>
      </c>
      <c r="CK86" s="165">
        <f t="shared" si="344"/>
        <v>9117298.7838472389</v>
      </c>
      <c r="CL86" s="165">
        <f t="shared" si="344"/>
        <v>8376522.4302591505</v>
      </c>
      <c r="CM86" s="165">
        <f t="shared" si="344"/>
        <v>10612203.53540938</v>
      </c>
      <c r="CN86" s="165">
        <f t="shared" si="344"/>
        <v>9648468.0532711558</v>
      </c>
      <c r="CO86" s="165">
        <f t="shared" si="344"/>
        <v>11587041.261278523</v>
      </c>
      <c r="CP86" s="165">
        <f t="shared" si="344"/>
        <v>11836268.320502793</v>
      </c>
      <c r="CQ86" s="165">
        <f t="shared" si="344"/>
        <v>10885394.316487174</v>
      </c>
      <c r="CR86" s="165">
        <f t="shared" si="344"/>
        <v>12645934.644831782</v>
      </c>
      <c r="CS86" s="165">
        <f t="shared" ref="CS86:DD86" si="345">CS44-CS70</f>
        <v>11173881.481813172</v>
      </c>
      <c r="CT86" s="165">
        <f t="shared" si="345"/>
        <v>10934791.417178307</v>
      </c>
      <c r="CU86" s="165">
        <f t="shared" si="345"/>
        <v>10836110.484531252</v>
      </c>
      <c r="CV86" s="165">
        <f t="shared" si="345"/>
        <v>11787223.971359216</v>
      </c>
      <c r="CW86" s="165">
        <f t="shared" si="345"/>
        <v>10393720.613585852</v>
      </c>
      <c r="CX86" s="165">
        <f t="shared" si="345"/>
        <v>9538617.4434711598</v>
      </c>
      <c r="CY86" s="165">
        <f t="shared" si="345"/>
        <v>12081155.919521309</v>
      </c>
      <c r="CZ86" s="165">
        <f t="shared" si="345"/>
        <v>10978074.016709741</v>
      </c>
      <c r="DA86" s="165">
        <f t="shared" si="345"/>
        <v>13180259.434704324</v>
      </c>
      <c r="DB86" s="165">
        <f t="shared" si="345"/>
        <v>13460171.569319181</v>
      </c>
      <c r="DC86" s="165">
        <f t="shared" si="345"/>
        <v>12372316.736007329</v>
      </c>
      <c r="DD86" s="165">
        <f t="shared" si="345"/>
        <v>14369592.860120496</v>
      </c>
      <c r="DF86" s="165">
        <f t="shared" si="193"/>
        <v>8369800</v>
      </c>
      <c r="DG86" s="165">
        <f t="shared" si="194"/>
        <v>1219062</v>
      </c>
      <c r="DH86" s="165">
        <f t="shared" si="195"/>
        <v>11785550</v>
      </c>
      <c r="DI86" s="165">
        <f t="shared" si="196"/>
        <v>9229896</v>
      </c>
      <c r="DJ86" s="165">
        <f t="shared" si="197"/>
        <v>12605747</v>
      </c>
      <c r="DK86" s="165">
        <f t="shared" si="198"/>
        <v>10067506</v>
      </c>
      <c r="DL86" s="165">
        <f t="shared" si="199"/>
        <v>12082352</v>
      </c>
      <c r="DM86" s="165">
        <f t="shared" si="200"/>
        <v>14492813</v>
      </c>
      <c r="DN86" s="165">
        <f t="shared" si="201"/>
        <v>20356073</v>
      </c>
      <c r="DO86" s="165">
        <f t="shared" si="202"/>
        <v>21478087</v>
      </c>
      <c r="DP86" s="165">
        <f t="shared" si="203"/>
        <v>25348543</v>
      </c>
      <c r="DQ86" s="165">
        <f t="shared" si="204"/>
        <v>20895036</v>
      </c>
      <c r="DR86" s="165">
        <f t="shared" si="205"/>
        <v>23277309.926071674</v>
      </c>
      <c r="DS86" s="165">
        <f t="shared" si="206"/>
        <v>22570259.964845736</v>
      </c>
      <c r="DT86" s="165">
        <f t="shared" si="207"/>
        <v>26116887.304193854</v>
      </c>
      <c r="DU86" s="165">
        <f t="shared" si="208"/>
        <v>29462628.535529193</v>
      </c>
      <c r="DV86" s="165">
        <f t="shared" si="209"/>
        <v>28837354.43064205</v>
      </c>
      <c r="DW86" s="165">
        <f t="shared" si="210"/>
        <v>27824658.23377575</v>
      </c>
      <c r="DX86" s="165">
        <f t="shared" si="211"/>
        <v>31847712.849959061</v>
      </c>
      <c r="DY86" s="165">
        <f t="shared" si="212"/>
        <v>35367597.28182175</v>
      </c>
      <c r="DZ86" s="165">
        <f t="shared" si="306"/>
        <v>32944783.383522734</v>
      </c>
      <c r="EA86" s="165">
        <f t="shared" si="307"/>
        <v>31719562.028416228</v>
      </c>
      <c r="EB86" s="165">
        <f t="shared" si="308"/>
        <v>36239489.370935373</v>
      </c>
      <c r="EC86" s="165">
        <f t="shared" si="309"/>
        <v>40202081.165447004</v>
      </c>
      <c r="EE86" s="165">
        <f>SUM(DF86:DI86)</f>
        <v>30604308</v>
      </c>
      <c r="EF86" s="165">
        <f>SUM(DJ86:DM86)</f>
        <v>49248418</v>
      </c>
      <c r="EG86" s="165">
        <f>SUM(DN86:DQ86)</f>
        <v>88077739</v>
      </c>
      <c r="EH86" s="165">
        <f>SUM(DR86:DU86)</f>
        <v>101427085.73064046</v>
      </c>
      <c r="EI86" s="165">
        <f>SUM(DV86:DY86)</f>
        <v>123877322.79619861</v>
      </c>
      <c r="EJ86" s="804">
        <f t="shared" si="310"/>
        <v>141105915.94832134</v>
      </c>
    </row>
    <row r="87" spans="2:140" x14ac:dyDescent="0.2">
      <c r="B87" s="167" t="s">
        <v>191</v>
      </c>
      <c r="C87" s="165">
        <v>0</v>
      </c>
      <c r="D87" s="165">
        <v>0</v>
      </c>
      <c r="E87" s="165">
        <v>0</v>
      </c>
      <c r="F87" s="165">
        <v>0</v>
      </c>
      <c r="G87" s="165">
        <v>0</v>
      </c>
      <c r="H87" s="165">
        <v>0</v>
      </c>
      <c r="I87" s="165">
        <v>0</v>
      </c>
      <c r="J87" s="165">
        <v>0</v>
      </c>
      <c r="K87" s="165">
        <v>0</v>
      </c>
      <c r="L87" s="165">
        <v>42253</v>
      </c>
      <c r="M87" s="165">
        <v>0</v>
      </c>
      <c r="N87" s="165">
        <v>0</v>
      </c>
      <c r="O87" s="165">
        <v>0</v>
      </c>
      <c r="P87" s="165">
        <v>0</v>
      </c>
      <c r="Q87" s="165">
        <v>0</v>
      </c>
      <c r="R87" s="165">
        <v>45188</v>
      </c>
      <c r="S87" s="165">
        <v>101238</v>
      </c>
      <c r="T87" s="165">
        <v>66416</v>
      </c>
      <c r="U87" s="165">
        <v>186405.94</v>
      </c>
      <c r="V87" s="165">
        <v>363659</v>
      </c>
      <c r="W87" s="165">
        <v>218238</v>
      </c>
      <c r="X87" s="165">
        <v>156405</v>
      </c>
      <c r="Y87" s="165">
        <v>505697</v>
      </c>
      <c r="Z87" s="165">
        <v>363998</v>
      </c>
      <c r="AA87" s="165">
        <v>75260</v>
      </c>
      <c r="AB87" s="165">
        <v>0</v>
      </c>
      <c r="AC87" s="165">
        <v>467806</v>
      </c>
      <c r="AD87" s="165">
        <v>0</v>
      </c>
      <c r="AE87" s="165">
        <v>0</v>
      </c>
      <c r="AF87" s="165">
        <v>0</v>
      </c>
      <c r="AG87" s="165">
        <v>0</v>
      </c>
      <c r="AH87" s="165">
        <v>0</v>
      </c>
      <c r="AI87" s="165">
        <v>0</v>
      </c>
      <c r="AJ87" s="165">
        <v>0</v>
      </c>
      <c r="AK87" s="165">
        <v>0</v>
      </c>
      <c r="AL87" s="165">
        <v>0</v>
      </c>
      <c r="AM87" s="165">
        <v>0</v>
      </c>
      <c r="AN87" s="165">
        <v>0</v>
      </c>
      <c r="AO87" s="165">
        <v>0</v>
      </c>
      <c r="AP87" s="165">
        <v>0</v>
      </c>
      <c r="AQ87" s="165">
        <v>0</v>
      </c>
      <c r="AR87" s="165">
        <v>0</v>
      </c>
      <c r="AS87" s="165">
        <v>0</v>
      </c>
      <c r="AT87" s="165">
        <v>0</v>
      </c>
      <c r="AU87" s="165">
        <v>0</v>
      </c>
      <c r="AV87" s="165">
        <v>0</v>
      </c>
      <c r="AW87" s="165">
        <v>0</v>
      </c>
      <c r="AX87" s="165">
        <v>0</v>
      </c>
      <c r="AY87" s="165">
        <v>0</v>
      </c>
      <c r="AZ87" s="165">
        <v>0</v>
      </c>
      <c r="BA87" s="165">
        <v>0</v>
      </c>
      <c r="BB87" s="165">
        <v>0</v>
      </c>
      <c r="BC87" s="165">
        <v>0</v>
      </c>
      <c r="BD87" s="165">
        <v>0</v>
      </c>
      <c r="BE87" s="165">
        <v>0</v>
      </c>
      <c r="BF87" s="165">
        <v>0</v>
      </c>
      <c r="BG87" s="165">
        <v>0</v>
      </c>
      <c r="BH87" s="165">
        <v>0</v>
      </c>
      <c r="BI87" s="165">
        <v>0</v>
      </c>
      <c r="BJ87" s="165">
        <v>0</v>
      </c>
      <c r="BK87" s="165">
        <v>0</v>
      </c>
      <c r="BL87" s="165">
        <v>0</v>
      </c>
      <c r="BM87" s="165">
        <v>0</v>
      </c>
      <c r="BN87" s="165">
        <v>0</v>
      </c>
      <c r="BO87" s="165">
        <v>0</v>
      </c>
      <c r="BP87" s="165">
        <v>0</v>
      </c>
      <c r="BQ87" s="165">
        <v>0</v>
      </c>
      <c r="BR87" s="165">
        <v>0</v>
      </c>
      <c r="BS87" s="165">
        <v>0</v>
      </c>
      <c r="BT87" s="165">
        <v>0</v>
      </c>
      <c r="BU87" s="165">
        <f t="shared" si="344"/>
        <v>0</v>
      </c>
      <c r="BV87" s="165">
        <f t="shared" si="344"/>
        <v>0</v>
      </c>
      <c r="BW87" s="165">
        <f t="shared" si="344"/>
        <v>0</v>
      </c>
      <c r="BX87" s="165">
        <f t="shared" si="344"/>
        <v>0</v>
      </c>
      <c r="BY87" s="165">
        <f t="shared" si="344"/>
        <v>0</v>
      </c>
      <c r="BZ87" s="165">
        <f t="shared" si="344"/>
        <v>0</v>
      </c>
      <c r="CA87" s="165">
        <f t="shared" si="344"/>
        <v>0</v>
      </c>
      <c r="CB87" s="165">
        <f t="shared" si="344"/>
        <v>0</v>
      </c>
      <c r="CC87" s="165">
        <f t="shared" si="344"/>
        <v>0</v>
      </c>
      <c r="CD87" s="165">
        <f t="shared" si="344"/>
        <v>0</v>
      </c>
      <c r="CE87" s="165">
        <f t="shared" si="344"/>
        <v>0</v>
      </c>
      <c r="CF87" s="165">
        <f t="shared" si="344"/>
        <v>0</v>
      </c>
      <c r="CG87" s="165">
        <f t="shared" si="344"/>
        <v>0</v>
      </c>
      <c r="CH87" s="165">
        <f t="shared" si="344"/>
        <v>0</v>
      </c>
      <c r="CI87" s="165">
        <f t="shared" si="344"/>
        <v>0</v>
      </c>
      <c r="CJ87" s="165">
        <f t="shared" si="344"/>
        <v>0</v>
      </c>
      <c r="CK87" s="165">
        <f t="shared" si="344"/>
        <v>0</v>
      </c>
      <c r="CL87" s="165">
        <f t="shared" si="344"/>
        <v>0</v>
      </c>
      <c r="CM87" s="165">
        <f t="shared" si="344"/>
        <v>0</v>
      </c>
      <c r="CN87" s="165">
        <f t="shared" si="344"/>
        <v>0</v>
      </c>
      <c r="CO87" s="165">
        <f t="shared" si="344"/>
        <v>0</v>
      </c>
      <c r="CP87" s="165">
        <f t="shared" si="344"/>
        <v>0</v>
      </c>
      <c r="CQ87" s="165">
        <f t="shared" si="344"/>
        <v>0</v>
      </c>
      <c r="CR87" s="165">
        <f t="shared" si="344"/>
        <v>0</v>
      </c>
      <c r="CS87" s="165">
        <f t="shared" ref="CS87:DD87" si="346">CS45-CS71</f>
        <v>0</v>
      </c>
      <c r="CT87" s="165">
        <f t="shared" si="346"/>
        <v>0</v>
      </c>
      <c r="CU87" s="165">
        <f t="shared" si="346"/>
        <v>0</v>
      </c>
      <c r="CV87" s="165">
        <f t="shared" si="346"/>
        <v>0</v>
      </c>
      <c r="CW87" s="165">
        <f t="shared" si="346"/>
        <v>0</v>
      </c>
      <c r="CX87" s="165">
        <f t="shared" si="346"/>
        <v>0</v>
      </c>
      <c r="CY87" s="165">
        <f t="shared" si="346"/>
        <v>0</v>
      </c>
      <c r="CZ87" s="165">
        <f t="shared" si="346"/>
        <v>0</v>
      </c>
      <c r="DA87" s="165">
        <f t="shared" si="346"/>
        <v>0</v>
      </c>
      <c r="DB87" s="165">
        <f t="shared" si="346"/>
        <v>0</v>
      </c>
      <c r="DC87" s="165">
        <f t="shared" si="346"/>
        <v>0</v>
      </c>
      <c r="DD87" s="165">
        <f t="shared" si="346"/>
        <v>0</v>
      </c>
      <c r="DF87" s="165">
        <f t="shared" si="193"/>
        <v>0</v>
      </c>
      <c r="DG87" s="165">
        <f t="shared" si="194"/>
        <v>0</v>
      </c>
      <c r="DH87" s="165">
        <f t="shared" si="195"/>
        <v>0</v>
      </c>
      <c r="DI87" s="165">
        <f t="shared" si="196"/>
        <v>0</v>
      </c>
      <c r="DJ87" s="165">
        <f t="shared" si="197"/>
        <v>0</v>
      </c>
      <c r="DK87" s="165">
        <f t="shared" si="198"/>
        <v>0</v>
      </c>
      <c r="DL87" s="165">
        <f t="shared" si="199"/>
        <v>0</v>
      </c>
      <c r="DM87" s="165">
        <f t="shared" si="200"/>
        <v>0</v>
      </c>
      <c r="DN87" s="165">
        <f t="shared" si="201"/>
        <v>0</v>
      </c>
      <c r="DO87" s="165">
        <f t="shared" si="202"/>
        <v>0</v>
      </c>
      <c r="DP87" s="165">
        <f t="shared" si="203"/>
        <v>0</v>
      </c>
      <c r="DQ87" s="165">
        <f t="shared" si="204"/>
        <v>0</v>
      </c>
      <c r="DR87" s="165">
        <f t="shared" si="205"/>
        <v>0</v>
      </c>
      <c r="DS87" s="165">
        <f t="shared" si="206"/>
        <v>0</v>
      </c>
      <c r="DT87" s="165">
        <f t="shared" si="207"/>
        <v>0</v>
      </c>
      <c r="DU87" s="165">
        <f t="shared" si="208"/>
        <v>0</v>
      </c>
      <c r="DV87" s="165">
        <f t="shared" si="209"/>
        <v>0</v>
      </c>
      <c r="DW87" s="165">
        <f t="shared" si="210"/>
        <v>0</v>
      </c>
      <c r="DX87" s="165">
        <f t="shared" si="211"/>
        <v>0</v>
      </c>
      <c r="DY87" s="165">
        <f t="shared" si="212"/>
        <v>0</v>
      </c>
      <c r="DZ87" s="165">
        <f t="shared" si="306"/>
        <v>0</v>
      </c>
      <c r="EA87" s="165">
        <f t="shared" si="307"/>
        <v>0</v>
      </c>
      <c r="EB87" s="165">
        <f t="shared" si="308"/>
        <v>0</v>
      </c>
      <c r="EC87" s="165">
        <f t="shared" si="309"/>
        <v>0</v>
      </c>
      <c r="EE87" s="165">
        <f>SUM(DF87:DI87)</f>
        <v>0</v>
      </c>
      <c r="EF87" s="165">
        <f>SUM(DJ87:DM87)</f>
        <v>0</v>
      </c>
      <c r="EG87" s="165">
        <f>SUM(DN87:DQ87)</f>
        <v>0</v>
      </c>
      <c r="EH87" s="165">
        <f>SUM(DR87:DU87)</f>
        <v>0</v>
      </c>
      <c r="EI87" s="165">
        <f>SUM(DV87:DY87)</f>
        <v>0</v>
      </c>
      <c r="EJ87" s="804">
        <f t="shared" si="310"/>
        <v>0</v>
      </c>
    </row>
    <row r="88" spans="2:140" x14ac:dyDescent="0.2">
      <c r="B88" s="167" t="s">
        <v>140</v>
      </c>
      <c r="C88" s="165">
        <v>0</v>
      </c>
      <c r="D88" s="165">
        <v>0</v>
      </c>
      <c r="E88" s="165">
        <v>0</v>
      </c>
      <c r="F88" s="165">
        <v>0</v>
      </c>
      <c r="G88" s="165">
        <v>0</v>
      </c>
      <c r="H88" s="165">
        <v>0</v>
      </c>
      <c r="I88" s="165">
        <v>0</v>
      </c>
      <c r="J88" s="165">
        <v>0</v>
      </c>
      <c r="K88" s="165">
        <v>0</v>
      </c>
      <c r="L88" s="165">
        <v>93653</v>
      </c>
      <c r="M88" s="165">
        <v>76429</v>
      </c>
      <c r="N88" s="165">
        <v>0</v>
      </c>
      <c r="O88" s="165">
        <v>35402</v>
      </c>
      <c r="P88" s="165">
        <v>57050</v>
      </c>
      <c r="Q88" s="165">
        <v>124894.88</v>
      </c>
      <c r="R88" s="165">
        <v>203622</v>
      </c>
      <c r="S88" s="165">
        <v>196281.2</v>
      </c>
      <c r="T88" s="165">
        <v>136192.20000000001</v>
      </c>
      <c r="U88" s="165">
        <v>272052</v>
      </c>
      <c r="V88" s="165">
        <v>191808</v>
      </c>
      <c r="W88" s="165">
        <v>233273.16</v>
      </c>
      <c r="X88" s="165">
        <v>127512</v>
      </c>
      <c r="Y88" s="165">
        <v>43527</v>
      </c>
      <c r="Z88" s="165">
        <v>93922.64</v>
      </c>
      <c r="AA88" s="165">
        <v>112872.4</v>
      </c>
      <c r="AB88" s="165">
        <v>65264.87999999999</v>
      </c>
      <c r="AC88" s="165">
        <v>53569.919999999998</v>
      </c>
      <c r="AD88" s="165">
        <v>75359.31</v>
      </c>
      <c r="AE88" s="165">
        <v>65203</v>
      </c>
      <c r="AF88" s="165">
        <v>93663</v>
      </c>
      <c r="AG88" s="165">
        <v>30213.000000000015</v>
      </c>
      <c r="AH88" s="165">
        <v>109512.4</v>
      </c>
      <c r="AI88" s="165">
        <v>0</v>
      </c>
      <c r="AJ88" s="165">
        <v>33909.590000000004</v>
      </c>
      <c r="AK88" s="165">
        <v>69009.739499999967</v>
      </c>
      <c r="AL88" s="165">
        <v>60191.800000000025</v>
      </c>
      <c r="AM88" s="165">
        <v>-237.6</v>
      </c>
      <c r="AN88" s="165">
        <v>0</v>
      </c>
      <c r="AO88" s="165">
        <v>92605.552000000098</v>
      </c>
      <c r="AP88" s="165">
        <v>110650.32035999997</v>
      </c>
      <c r="AQ88" s="165">
        <v>86053.13</v>
      </c>
      <c r="AR88" s="165">
        <v>0</v>
      </c>
      <c r="AS88" s="165">
        <v>0</v>
      </c>
      <c r="AT88" s="165">
        <v>0</v>
      </c>
      <c r="AU88" s="165">
        <v>0</v>
      </c>
      <c r="AV88" s="165">
        <v>0</v>
      </c>
      <c r="AW88" s="165">
        <v>0</v>
      </c>
      <c r="AX88" s="165">
        <v>0</v>
      </c>
      <c r="AY88" s="165">
        <v>0</v>
      </c>
      <c r="AZ88" s="165">
        <v>0</v>
      </c>
      <c r="BA88" s="165">
        <v>0</v>
      </c>
      <c r="BB88" s="165">
        <v>0</v>
      </c>
      <c r="BC88" s="165">
        <v>0</v>
      </c>
      <c r="BD88" s="165">
        <v>0</v>
      </c>
      <c r="BE88" s="165">
        <v>0</v>
      </c>
      <c r="BF88" s="165">
        <v>0</v>
      </c>
      <c r="BG88" s="165">
        <v>234514</v>
      </c>
      <c r="BH88" s="165">
        <v>0</v>
      </c>
      <c r="BI88" s="165">
        <v>0</v>
      </c>
      <c r="BJ88" s="165">
        <v>286316.64</v>
      </c>
      <c r="BK88" s="165">
        <v>74285</v>
      </c>
      <c r="BL88" s="165">
        <v>403907.88000000105</v>
      </c>
      <c r="BM88" s="165">
        <v>356483.4</v>
      </c>
      <c r="BN88" s="165">
        <v>313310</v>
      </c>
      <c r="BO88" s="165">
        <v>380441</v>
      </c>
      <c r="BP88" s="165">
        <v>0</v>
      </c>
      <c r="BQ88" s="165">
        <v>491388.93000000005</v>
      </c>
      <c r="BR88" s="165">
        <v>191597.8</v>
      </c>
      <c r="BS88" s="165">
        <v>206105.60000000003</v>
      </c>
      <c r="BT88" s="165">
        <v>391302.05999999994</v>
      </c>
      <c r="BU88" s="165">
        <f t="shared" si="344"/>
        <v>0</v>
      </c>
      <c r="BV88" s="165">
        <f t="shared" si="344"/>
        <v>0</v>
      </c>
      <c r="BW88" s="165">
        <f t="shared" si="344"/>
        <v>0</v>
      </c>
      <c r="BX88" s="165">
        <f t="shared" si="344"/>
        <v>0</v>
      </c>
      <c r="BY88" s="165">
        <f t="shared" si="344"/>
        <v>0</v>
      </c>
      <c r="BZ88" s="165">
        <f t="shared" si="344"/>
        <v>0</v>
      </c>
      <c r="CA88" s="165">
        <f t="shared" si="344"/>
        <v>0</v>
      </c>
      <c r="CB88" s="165">
        <f t="shared" si="344"/>
        <v>0</v>
      </c>
      <c r="CC88" s="165">
        <f t="shared" si="344"/>
        <v>0</v>
      </c>
      <c r="CD88" s="165">
        <f t="shared" si="344"/>
        <v>0</v>
      </c>
      <c r="CE88" s="165">
        <f t="shared" si="344"/>
        <v>0</v>
      </c>
      <c r="CF88" s="165">
        <f t="shared" si="344"/>
        <v>0</v>
      </c>
      <c r="CG88" s="165">
        <f t="shared" si="344"/>
        <v>0</v>
      </c>
      <c r="CH88" s="165">
        <f t="shared" si="344"/>
        <v>0</v>
      </c>
      <c r="CI88" s="165">
        <f t="shared" si="344"/>
        <v>0</v>
      </c>
      <c r="CJ88" s="165">
        <f t="shared" si="344"/>
        <v>0</v>
      </c>
      <c r="CK88" s="165">
        <f t="shared" si="344"/>
        <v>0</v>
      </c>
      <c r="CL88" s="165">
        <f t="shared" si="344"/>
        <v>0</v>
      </c>
      <c r="CM88" s="165">
        <f t="shared" si="344"/>
        <v>0</v>
      </c>
      <c r="CN88" s="165">
        <f t="shared" si="344"/>
        <v>0</v>
      </c>
      <c r="CO88" s="165">
        <f t="shared" si="344"/>
        <v>0</v>
      </c>
      <c r="CP88" s="165">
        <f t="shared" si="344"/>
        <v>0</v>
      </c>
      <c r="CQ88" s="165">
        <f t="shared" si="344"/>
        <v>0</v>
      </c>
      <c r="CR88" s="165">
        <f t="shared" si="344"/>
        <v>0</v>
      </c>
      <c r="CS88" s="165">
        <f t="shared" ref="CS88:DD88" si="347">CS46-CS72</f>
        <v>0</v>
      </c>
      <c r="CT88" s="165">
        <f t="shared" si="347"/>
        <v>0</v>
      </c>
      <c r="CU88" s="165">
        <f t="shared" si="347"/>
        <v>0</v>
      </c>
      <c r="CV88" s="165">
        <f t="shared" si="347"/>
        <v>0</v>
      </c>
      <c r="CW88" s="165">
        <f t="shared" si="347"/>
        <v>0</v>
      </c>
      <c r="CX88" s="165">
        <f t="shared" si="347"/>
        <v>0</v>
      </c>
      <c r="CY88" s="165">
        <f t="shared" si="347"/>
        <v>0</v>
      </c>
      <c r="CZ88" s="165">
        <f t="shared" si="347"/>
        <v>0</v>
      </c>
      <c r="DA88" s="165">
        <f t="shared" si="347"/>
        <v>0</v>
      </c>
      <c r="DB88" s="165">
        <f t="shared" si="347"/>
        <v>0</v>
      </c>
      <c r="DC88" s="165">
        <f t="shared" si="347"/>
        <v>0</v>
      </c>
      <c r="DD88" s="165">
        <f t="shared" si="347"/>
        <v>0</v>
      </c>
      <c r="DF88" s="165">
        <f t="shared" si="193"/>
        <v>128963.93949999998</v>
      </c>
      <c r="DG88" s="165">
        <f t="shared" si="194"/>
        <v>203255.87236000007</v>
      </c>
      <c r="DH88" s="165">
        <f t="shared" si="195"/>
        <v>86053.13</v>
      </c>
      <c r="DI88" s="165">
        <f t="shared" si="196"/>
        <v>0</v>
      </c>
      <c r="DJ88" s="165">
        <f t="shared" si="197"/>
        <v>0</v>
      </c>
      <c r="DK88" s="165">
        <f t="shared" si="198"/>
        <v>0</v>
      </c>
      <c r="DL88" s="165">
        <f t="shared" si="199"/>
        <v>0</v>
      </c>
      <c r="DM88" s="165">
        <f t="shared" si="200"/>
        <v>234514</v>
      </c>
      <c r="DN88" s="165">
        <f t="shared" si="201"/>
        <v>360601.64</v>
      </c>
      <c r="DO88" s="165">
        <f t="shared" si="202"/>
        <v>1073701.2800000012</v>
      </c>
      <c r="DP88" s="165">
        <f t="shared" si="203"/>
        <v>871829.93</v>
      </c>
      <c r="DQ88" s="165">
        <f t="shared" si="204"/>
        <v>789005.46</v>
      </c>
      <c r="DR88" s="165">
        <f t="shared" si="205"/>
        <v>0</v>
      </c>
      <c r="DS88" s="165">
        <f t="shared" si="206"/>
        <v>0</v>
      </c>
      <c r="DT88" s="165">
        <f t="shared" si="207"/>
        <v>0</v>
      </c>
      <c r="DU88" s="165">
        <f t="shared" si="208"/>
        <v>0</v>
      </c>
      <c r="DV88" s="165">
        <f t="shared" si="209"/>
        <v>0</v>
      </c>
      <c r="DW88" s="165">
        <f t="shared" si="210"/>
        <v>0</v>
      </c>
      <c r="DX88" s="165">
        <f t="shared" si="211"/>
        <v>0</v>
      </c>
      <c r="DY88" s="165">
        <f t="shared" si="212"/>
        <v>0</v>
      </c>
      <c r="DZ88" s="165">
        <f t="shared" si="306"/>
        <v>0</v>
      </c>
      <c r="EA88" s="165">
        <f t="shared" si="307"/>
        <v>0</v>
      </c>
      <c r="EB88" s="165">
        <f t="shared" si="308"/>
        <v>0</v>
      </c>
      <c r="EC88" s="165">
        <f t="shared" si="309"/>
        <v>0</v>
      </c>
      <c r="EE88" s="165">
        <f>SUM(DF88:DI88)</f>
        <v>418272.94186000002</v>
      </c>
      <c r="EF88" s="165">
        <f>SUM(DJ88:DM88)</f>
        <v>234514</v>
      </c>
      <c r="EG88" s="165">
        <f>SUM(DN88:DQ88)</f>
        <v>3095138.3100000015</v>
      </c>
      <c r="EH88" s="165">
        <f>SUM(DR88:DU88)</f>
        <v>0</v>
      </c>
      <c r="EI88" s="165">
        <f>SUM(DV88:DY88)</f>
        <v>0</v>
      </c>
      <c r="EJ88" s="804">
        <f t="shared" si="310"/>
        <v>0</v>
      </c>
    </row>
    <row r="89" spans="2:140" x14ac:dyDescent="0.2">
      <c r="B89" s="21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E89" s="10"/>
      <c r="EF89" s="10"/>
      <c r="EG89" s="10"/>
      <c r="EH89" s="10"/>
      <c r="EI89" s="10"/>
      <c r="EJ89" s="812"/>
    </row>
    <row r="90" spans="2:140" hidden="1" x14ac:dyDescent="0.2">
      <c r="B90" s="21" t="s">
        <v>15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>
        <f t="shared" si="306"/>
        <v>0</v>
      </c>
      <c r="EA90" s="10">
        <f t="shared" si="307"/>
        <v>0</v>
      </c>
      <c r="EB90" s="10">
        <f t="shared" si="308"/>
        <v>0</v>
      </c>
      <c r="EC90" s="10">
        <f t="shared" si="309"/>
        <v>0</v>
      </c>
      <c r="EE90" s="10"/>
      <c r="EF90" s="10"/>
      <c r="EG90" s="10"/>
      <c r="EH90" s="10"/>
      <c r="EI90" s="10"/>
      <c r="EJ90" s="812">
        <f t="shared" si="310"/>
        <v>0</v>
      </c>
    </row>
    <row r="91" spans="2:140" hidden="1" x14ac:dyDescent="0.2">
      <c r="B91" s="21" t="s">
        <v>16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>
        <f t="shared" si="306"/>
        <v>0</v>
      </c>
      <c r="EA91" s="10">
        <f t="shared" si="307"/>
        <v>0</v>
      </c>
      <c r="EB91" s="10">
        <f t="shared" si="308"/>
        <v>0</v>
      </c>
      <c r="EC91" s="10">
        <f t="shared" si="309"/>
        <v>0</v>
      </c>
      <c r="EE91" s="10"/>
      <c r="EF91" s="10"/>
      <c r="EG91" s="10"/>
      <c r="EH91" s="10"/>
      <c r="EI91" s="10"/>
      <c r="EJ91" s="812">
        <f t="shared" si="310"/>
        <v>0</v>
      </c>
    </row>
    <row r="92" spans="2:140" hidden="1" x14ac:dyDescent="0.2">
      <c r="B92" s="21" t="s">
        <v>17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>
        <f t="shared" si="306"/>
        <v>0</v>
      </c>
      <c r="EA92" s="10">
        <f t="shared" si="307"/>
        <v>0</v>
      </c>
      <c r="EB92" s="10">
        <f t="shared" si="308"/>
        <v>0</v>
      </c>
      <c r="EC92" s="10">
        <f t="shared" si="309"/>
        <v>0</v>
      </c>
      <c r="EE92" s="10"/>
      <c r="EF92" s="10"/>
      <c r="EG92" s="10"/>
      <c r="EH92" s="10"/>
      <c r="EI92" s="10"/>
      <c r="EJ92" s="812">
        <f t="shared" si="310"/>
        <v>0</v>
      </c>
    </row>
    <row r="93" spans="2:140" hidden="1" x14ac:dyDescent="0.2">
      <c r="B93" s="21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>
        <f t="shared" si="306"/>
        <v>0</v>
      </c>
      <c r="EA93" s="10">
        <f t="shared" si="307"/>
        <v>0</v>
      </c>
      <c r="EB93" s="10">
        <f t="shared" si="308"/>
        <v>0</v>
      </c>
      <c r="EC93" s="10">
        <f t="shared" si="309"/>
        <v>0</v>
      </c>
      <c r="EE93" s="10"/>
      <c r="EF93" s="10"/>
      <c r="EG93" s="10"/>
      <c r="EH93" s="10"/>
      <c r="EI93" s="10"/>
      <c r="EJ93" s="812">
        <f t="shared" si="310"/>
        <v>0</v>
      </c>
    </row>
    <row r="94" spans="2:140" x14ac:dyDescent="0.2">
      <c r="B94" s="21" t="s">
        <v>196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>
        <f t="shared" si="306"/>
        <v>0</v>
      </c>
      <c r="EA94" s="10">
        <f t="shared" si="307"/>
        <v>0</v>
      </c>
      <c r="EB94" s="10">
        <f t="shared" si="308"/>
        <v>0</v>
      </c>
      <c r="EC94" s="10">
        <f t="shared" si="309"/>
        <v>0</v>
      </c>
      <c r="EE94" s="10"/>
      <c r="EF94" s="10"/>
      <c r="EG94" s="10"/>
      <c r="EH94" s="10"/>
      <c r="EI94" s="10"/>
      <c r="EJ94" s="812">
        <f t="shared" si="310"/>
        <v>0</v>
      </c>
    </row>
    <row r="95" spans="2:140" x14ac:dyDescent="0.2">
      <c r="B95" s="21" t="s">
        <v>197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65">
        <f>N99+N100</f>
        <v>41</v>
      </c>
      <c r="P95" s="165">
        <f t="shared" ref="P95:CA95" si="348">O99+O100</f>
        <v>47</v>
      </c>
      <c r="Q95" s="165">
        <f t="shared" si="348"/>
        <v>47</v>
      </c>
      <c r="R95" s="165">
        <f t="shared" si="348"/>
        <v>52</v>
      </c>
      <c r="S95" s="165">
        <f t="shared" si="348"/>
        <v>58</v>
      </c>
      <c r="T95" s="165">
        <f t="shared" si="348"/>
        <v>66</v>
      </c>
      <c r="U95" s="165">
        <f t="shared" si="348"/>
        <v>73</v>
      </c>
      <c r="V95" s="165">
        <f t="shared" si="348"/>
        <v>78</v>
      </c>
      <c r="W95" s="165">
        <f t="shared" si="348"/>
        <v>84</v>
      </c>
      <c r="X95" s="165">
        <f t="shared" si="348"/>
        <v>86</v>
      </c>
      <c r="Y95" s="165">
        <f t="shared" si="348"/>
        <v>97</v>
      </c>
      <c r="Z95" s="165">
        <f t="shared" si="348"/>
        <v>102</v>
      </c>
      <c r="AA95" s="165">
        <f t="shared" si="348"/>
        <v>127</v>
      </c>
      <c r="AB95" s="165">
        <f t="shared" si="348"/>
        <v>138</v>
      </c>
      <c r="AC95" s="165">
        <f t="shared" si="348"/>
        <v>142</v>
      </c>
      <c r="AD95" s="165">
        <f t="shared" si="348"/>
        <v>150</v>
      </c>
      <c r="AE95" s="165">
        <f t="shared" si="348"/>
        <v>157</v>
      </c>
      <c r="AF95" s="165">
        <f t="shared" si="348"/>
        <v>163</v>
      </c>
      <c r="AG95" s="165">
        <f t="shared" si="348"/>
        <v>185</v>
      </c>
      <c r="AH95" s="165">
        <f t="shared" si="348"/>
        <v>188</v>
      </c>
      <c r="AI95" s="165">
        <f t="shared" si="348"/>
        <v>191</v>
      </c>
      <c r="AJ95" s="165">
        <f t="shared" si="348"/>
        <v>191</v>
      </c>
      <c r="AK95" s="165">
        <f t="shared" si="348"/>
        <v>195</v>
      </c>
      <c r="AL95" s="165">
        <f t="shared" si="348"/>
        <v>198</v>
      </c>
      <c r="AM95" s="165">
        <f t="shared" si="348"/>
        <v>200</v>
      </c>
      <c r="AN95" s="165">
        <f t="shared" si="348"/>
        <v>200</v>
      </c>
      <c r="AO95" s="165">
        <f t="shared" si="348"/>
        <v>197</v>
      </c>
      <c r="AP95" s="165">
        <f t="shared" si="348"/>
        <v>196</v>
      </c>
      <c r="AQ95" s="165">
        <f t="shared" si="348"/>
        <v>194</v>
      </c>
      <c r="AR95" s="165">
        <f t="shared" si="348"/>
        <v>194</v>
      </c>
      <c r="AS95" s="165">
        <f t="shared" si="348"/>
        <v>195</v>
      </c>
      <c r="AT95" s="165">
        <f t="shared" si="348"/>
        <v>194</v>
      </c>
      <c r="AU95" s="165">
        <f t="shared" si="348"/>
        <v>189</v>
      </c>
      <c r="AV95" s="165">
        <f t="shared" si="348"/>
        <v>186</v>
      </c>
      <c r="AW95" s="165">
        <f t="shared" si="348"/>
        <v>185</v>
      </c>
      <c r="AX95" s="165">
        <f t="shared" si="348"/>
        <v>185</v>
      </c>
      <c r="AY95" s="165">
        <f t="shared" si="348"/>
        <v>185</v>
      </c>
      <c r="AZ95" s="165">
        <f t="shared" si="348"/>
        <v>184</v>
      </c>
      <c r="BA95" s="165">
        <f t="shared" si="348"/>
        <v>183</v>
      </c>
      <c r="BB95" s="165">
        <f t="shared" si="348"/>
        <v>181</v>
      </c>
      <c r="BC95" s="165">
        <f t="shared" si="348"/>
        <v>182</v>
      </c>
      <c r="BD95" s="165">
        <f t="shared" si="348"/>
        <v>179</v>
      </c>
      <c r="BE95" s="165">
        <f t="shared" si="348"/>
        <v>179</v>
      </c>
      <c r="BF95" s="165">
        <f t="shared" si="348"/>
        <v>179</v>
      </c>
      <c r="BG95" s="165">
        <f t="shared" si="348"/>
        <v>179</v>
      </c>
      <c r="BH95" s="165">
        <f t="shared" si="348"/>
        <v>181</v>
      </c>
      <c r="BI95" s="165">
        <f t="shared" si="348"/>
        <v>183</v>
      </c>
      <c r="BJ95" s="165">
        <f t="shared" si="348"/>
        <v>184</v>
      </c>
      <c r="BK95" s="165">
        <f t="shared" si="348"/>
        <v>189</v>
      </c>
      <c r="BL95" s="165">
        <f t="shared" si="348"/>
        <v>193</v>
      </c>
      <c r="BM95" s="165">
        <f t="shared" si="348"/>
        <v>198</v>
      </c>
      <c r="BN95" s="165">
        <f t="shared" si="348"/>
        <v>197</v>
      </c>
      <c r="BO95" s="165">
        <f t="shared" si="348"/>
        <v>201</v>
      </c>
      <c r="BP95" s="165">
        <f t="shared" si="348"/>
        <v>204</v>
      </c>
      <c r="BQ95" s="165">
        <f t="shared" si="348"/>
        <v>205</v>
      </c>
      <c r="BR95" s="165">
        <f t="shared" si="348"/>
        <v>214</v>
      </c>
      <c r="BS95" s="165">
        <f t="shared" si="348"/>
        <v>225</v>
      </c>
      <c r="BT95" s="165">
        <f t="shared" si="348"/>
        <v>234</v>
      </c>
      <c r="BU95" s="165">
        <f t="shared" si="348"/>
        <v>237</v>
      </c>
      <c r="BV95" s="165">
        <f t="shared" si="348"/>
        <v>238</v>
      </c>
      <c r="BW95" s="165">
        <f t="shared" si="348"/>
        <v>240</v>
      </c>
      <c r="BX95" s="165">
        <f t="shared" si="348"/>
        <v>243</v>
      </c>
      <c r="BY95" s="165">
        <f t="shared" si="348"/>
        <v>245</v>
      </c>
      <c r="BZ95" s="165">
        <f t="shared" si="348"/>
        <v>248</v>
      </c>
      <c r="CA95" s="165">
        <f t="shared" si="348"/>
        <v>252</v>
      </c>
      <c r="CB95" s="165">
        <f t="shared" ref="CB95:CR95" si="349">CA99+CA100</f>
        <v>254</v>
      </c>
      <c r="CC95" s="165">
        <f t="shared" si="349"/>
        <v>257</v>
      </c>
      <c r="CD95" s="165">
        <f t="shared" si="349"/>
        <v>259</v>
      </c>
      <c r="CE95" s="165">
        <f t="shared" si="349"/>
        <v>261</v>
      </c>
      <c r="CF95" s="165">
        <f t="shared" si="349"/>
        <v>264</v>
      </c>
      <c r="CG95" s="165">
        <f t="shared" si="349"/>
        <v>268</v>
      </c>
      <c r="CH95" s="165">
        <f t="shared" si="349"/>
        <v>270</v>
      </c>
      <c r="CI95" s="165">
        <f t="shared" si="349"/>
        <v>273</v>
      </c>
      <c r="CJ95" s="165">
        <f t="shared" si="349"/>
        <v>275</v>
      </c>
      <c r="CK95" s="165">
        <f t="shared" si="349"/>
        <v>277</v>
      </c>
      <c r="CL95" s="165">
        <f t="shared" si="349"/>
        <v>280</v>
      </c>
      <c r="CM95" s="165">
        <f t="shared" si="349"/>
        <v>284</v>
      </c>
      <c r="CN95" s="165">
        <f t="shared" si="349"/>
        <v>285</v>
      </c>
      <c r="CO95" s="165">
        <f t="shared" si="349"/>
        <v>287</v>
      </c>
      <c r="CP95" s="165">
        <f t="shared" si="349"/>
        <v>288</v>
      </c>
      <c r="CQ95" s="165">
        <f t="shared" si="349"/>
        <v>289</v>
      </c>
      <c r="CR95" s="165">
        <f t="shared" si="349"/>
        <v>291</v>
      </c>
      <c r="CS95" s="165">
        <f t="shared" ref="CS95" si="350">CR99+CR100</f>
        <v>292</v>
      </c>
      <c r="CT95" s="165">
        <f t="shared" ref="CT95" si="351">CS99+CS100</f>
        <v>294</v>
      </c>
      <c r="CU95" s="165">
        <f t="shared" ref="CU95" si="352">CT99+CT100</f>
        <v>297</v>
      </c>
      <c r="CV95" s="165">
        <f t="shared" ref="CV95" si="353">CU99+CU100</f>
        <v>299</v>
      </c>
      <c r="CW95" s="165">
        <f t="shared" ref="CW95" si="354">CV99+CV100</f>
        <v>301</v>
      </c>
      <c r="CX95" s="165">
        <f t="shared" ref="CX95" si="355">CW99+CW100</f>
        <v>304</v>
      </c>
      <c r="CY95" s="165">
        <f t="shared" ref="CY95" si="356">CX99+CX100</f>
        <v>308</v>
      </c>
      <c r="CZ95" s="165">
        <f t="shared" ref="CZ95" si="357">CY99+CY100</f>
        <v>309</v>
      </c>
      <c r="DA95" s="165">
        <f t="shared" ref="DA95" si="358">CZ99+CZ100</f>
        <v>311</v>
      </c>
      <c r="DB95" s="165">
        <f t="shared" ref="DB95" si="359">DA99+DA100</f>
        <v>312</v>
      </c>
      <c r="DC95" s="165">
        <f t="shared" ref="DC95" si="360">DB99+DB100</f>
        <v>313</v>
      </c>
      <c r="DD95" s="165">
        <f t="shared" ref="DD95" si="361">DC99+DC100</f>
        <v>315</v>
      </c>
      <c r="DF95" s="165">
        <f>AM95</f>
        <v>200</v>
      </c>
      <c r="DG95" s="165">
        <f>AP95</f>
        <v>196</v>
      </c>
      <c r="DH95" s="165">
        <f>AS95</f>
        <v>195</v>
      </c>
      <c r="DI95" s="165">
        <f>AV95</f>
        <v>186</v>
      </c>
      <c r="DJ95" s="165">
        <f>AY95</f>
        <v>185</v>
      </c>
      <c r="DK95" s="165">
        <f>BB95</f>
        <v>181</v>
      </c>
      <c r="DL95" s="165">
        <f>BE95</f>
        <v>179</v>
      </c>
      <c r="DM95" s="165">
        <f>BH95</f>
        <v>181</v>
      </c>
      <c r="DN95" s="165">
        <f>BK95</f>
        <v>189</v>
      </c>
      <c r="DO95" s="165">
        <f>BN95</f>
        <v>197</v>
      </c>
      <c r="DP95" s="165">
        <f>BQ95</f>
        <v>205</v>
      </c>
      <c r="DQ95" s="165">
        <f>BT95</f>
        <v>234</v>
      </c>
      <c r="DR95" s="165">
        <f>BW95</f>
        <v>240</v>
      </c>
      <c r="DS95" s="165">
        <f>BZ95</f>
        <v>248</v>
      </c>
      <c r="DT95" s="165">
        <f>CC95</f>
        <v>257</v>
      </c>
      <c r="DU95" s="165">
        <f>CF95</f>
        <v>264</v>
      </c>
      <c r="DV95" s="165">
        <f>CI95</f>
        <v>273</v>
      </c>
      <c r="DW95" s="165">
        <f>CL95</f>
        <v>280</v>
      </c>
      <c r="DX95" s="165">
        <f>CO95</f>
        <v>287</v>
      </c>
      <c r="DY95" s="165">
        <f>CR95</f>
        <v>291</v>
      </c>
      <c r="DZ95" s="165">
        <f t="shared" si="306"/>
        <v>883</v>
      </c>
      <c r="EA95" s="165">
        <f t="shared" si="307"/>
        <v>904</v>
      </c>
      <c r="EB95" s="165">
        <f t="shared" si="308"/>
        <v>928</v>
      </c>
      <c r="EC95" s="165">
        <f t="shared" si="309"/>
        <v>940</v>
      </c>
      <c r="EE95" s="165">
        <f t="shared" ref="EE95:EE100" si="362">DI95</f>
        <v>186</v>
      </c>
      <c r="EF95" s="165">
        <f t="shared" ref="EF95:EF100" si="363">DM95</f>
        <v>181</v>
      </c>
      <c r="EG95" s="165">
        <f t="shared" ref="EG95:EG100" si="364">DQ95</f>
        <v>234</v>
      </c>
      <c r="EH95" s="165">
        <f t="shared" ref="EH95:EH100" si="365">DU95</f>
        <v>264</v>
      </c>
      <c r="EI95" s="165">
        <f t="shared" ref="EI95:EI100" si="366">DY95</f>
        <v>291</v>
      </c>
      <c r="EJ95" s="804">
        <f t="shared" si="310"/>
        <v>3655</v>
      </c>
    </row>
    <row r="96" spans="2:140" x14ac:dyDescent="0.2">
      <c r="B96" s="156" t="s">
        <v>198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9">
        <f>'P&amp;L - Inputs'!AN480</f>
        <v>0</v>
      </c>
      <c r="P96" s="19">
        <f>'P&amp;L - Inputs'!AO480</f>
        <v>0</v>
      </c>
      <c r="Q96" s="19">
        <f>'P&amp;L - Inputs'!AP480</f>
        <v>0</v>
      </c>
      <c r="R96" s="19">
        <f>'P&amp;L - Inputs'!AQ480</f>
        <v>0</v>
      </c>
      <c r="S96" s="19">
        <f>'P&amp;L - Inputs'!AR480</f>
        <v>0</v>
      </c>
      <c r="T96" s="19">
        <f>'P&amp;L - Inputs'!AS480</f>
        <v>0</v>
      </c>
      <c r="U96" s="19">
        <f>'P&amp;L - Inputs'!AT480</f>
        <v>0</v>
      </c>
      <c r="V96" s="19">
        <f>'P&amp;L - Inputs'!AU480</f>
        <v>0</v>
      </c>
      <c r="W96" s="19">
        <f>'P&amp;L - Inputs'!AV480</f>
        <v>0</v>
      </c>
      <c r="X96" s="19">
        <f>'P&amp;L - Inputs'!AW480</f>
        <v>0</v>
      </c>
      <c r="Y96" s="19">
        <f>'P&amp;L - Inputs'!AX480</f>
        <v>5</v>
      </c>
      <c r="Z96" s="19">
        <f>'P&amp;L - Inputs'!AY480</f>
        <v>28</v>
      </c>
      <c r="AA96" s="19">
        <f>'P&amp;L - Inputs'!AZ480</f>
        <v>13</v>
      </c>
      <c r="AB96" s="19">
        <f>'P&amp;L - Inputs'!BA480</f>
        <v>4</v>
      </c>
      <c r="AC96" s="19">
        <f>'P&amp;L - Inputs'!BB480</f>
        <v>8</v>
      </c>
      <c r="AD96" s="19">
        <f>'P&amp;L - Inputs'!BC480</f>
        <v>7</v>
      </c>
      <c r="AE96" s="19">
        <f>'P&amp;L - Inputs'!BD480</f>
        <v>6</v>
      </c>
      <c r="AF96" s="19">
        <f>'P&amp;L - Inputs'!BE480</f>
        <v>10</v>
      </c>
      <c r="AG96" s="19">
        <f>'P&amp;L - Inputs'!BF480</f>
        <v>4</v>
      </c>
      <c r="AH96" s="19">
        <f>'P&amp;L - Inputs'!BG480</f>
        <v>6</v>
      </c>
      <c r="AI96" s="19">
        <f>'P&amp;L - Inputs'!BH480</f>
        <v>0</v>
      </c>
      <c r="AJ96" s="19">
        <f>'P&amp;L - Inputs'!BI480</f>
        <v>5</v>
      </c>
      <c r="AK96" s="19">
        <f>'P&amp;L - Inputs'!BJ480</f>
        <v>3</v>
      </c>
      <c r="AL96" s="19">
        <f>'P&amp;L - Inputs'!BK480</f>
        <v>2</v>
      </c>
      <c r="AM96" s="19">
        <f>'P&amp;L - Inputs'!BL480</f>
        <v>1</v>
      </c>
      <c r="AN96" s="19">
        <f>'P&amp;L - Inputs'!BM480</f>
        <v>0</v>
      </c>
      <c r="AO96" s="19">
        <f>'P&amp;L - Inputs'!BN480</f>
        <v>0</v>
      </c>
      <c r="AP96" s="19">
        <f>'P&amp;L - Inputs'!BO480</f>
        <v>0</v>
      </c>
      <c r="AQ96" s="19">
        <f>'P&amp;L - Inputs'!BP480</f>
        <v>0</v>
      </c>
      <c r="AR96" s="19">
        <f>'P&amp;L - Inputs'!BQ480</f>
        <v>1</v>
      </c>
      <c r="AS96" s="19">
        <f>'P&amp;L - Inputs'!BR480</f>
        <v>1</v>
      </c>
      <c r="AT96" s="19">
        <f>'P&amp;L - Inputs'!BS480</f>
        <v>0</v>
      </c>
      <c r="AU96" s="19">
        <f>'P&amp;L - Inputs'!BT480</f>
        <v>0</v>
      </c>
      <c r="AV96" s="19">
        <f>'P&amp;L - Inputs'!BU480</f>
        <v>0</v>
      </c>
      <c r="AW96" s="19">
        <f>'P&amp;L - Inputs'!BV480</f>
        <v>0</v>
      </c>
      <c r="AX96" s="19">
        <f>'P&amp;L - Inputs'!BW480</f>
        <v>0</v>
      </c>
      <c r="AY96" s="19">
        <f>'P&amp;L - Inputs'!BX480</f>
        <v>0</v>
      </c>
      <c r="AZ96" s="19">
        <f>'P&amp;L - Inputs'!BY480</f>
        <v>1</v>
      </c>
      <c r="BA96" s="19">
        <f>'P&amp;L - Inputs'!BZ480</f>
        <v>0</v>
      </c>
      <c r="BB96" s="19">
        <f>'P&amp;L - Inputs'!CA480</f>
        <v>1</v>
      </c>
      <c r="BC96" s="19">
        <f>'P&amp;L - Inputs'!CB480</f>
        <v>0</v>
      </c>
      <c r="BD96" s="19">
        <f>'P&amp;L - Inputs'!CC480</f>
        <v>0</v>
      </c>
      <c r="BE96" s="19">
        <f>'P&amp;L - Inputs'!CD480</f>
        <v>2</v>
      </c>
      <c r="BF96" s="19">
        <f>'P&amp;L - Inputs'!CE480</f>
        <v>1</v>
      </c>
      <c r="BG96" s="19">
        <f>'P&amp;L - Inputs'!CF480</f>
        <v>5</v>
      </c>
      <c r="BH96" s="19">
        <f>'P&amp;L - Inputs'!CG480</f>
        <v>3</v>
      </c>
      <c r="BI96" s="19">
        <f>'P&amp;L - Inputs'!CH480</f>
        <v>1</v>
      </c>
      <c r="BJ96" s="19">
        <f>'P&amp;L - Inputs'!CI480</f>
        <v>7</v>
      </c>
      <c r="BK96" s="19">
        <f>'P&amp;L - Inputs'!CJ480</f>
        <v>7</v>
      </c>
      <c r="BL96" s="19">
        <f>'P&amp;L - Inputs'!CK480</f>
        <v>5</v>
      </c>
      <c r="BM96" s="19">
        <f>'P&amp;L - Inputs'!CL480</f>
        <v>3</v>
      </c>
      <c r="BN96" s="19">
        <f>'P&amp;L - Inputs'!CM480</f>
        <v>5</v>
      </c>
      <c r="BO96" s="19">
        <f>'P&amp;L - Inputs'!CN480</f>
        <v>5</v>
      </c>
      <c r="BP96" s="19">
        <f>'P&amp;L - Inputs'!CO480</f>
        <v>4</v>
      </c>
      <c r="BQ96" s="19">
        <f>'P&amp;L - Inputs'!CP480</f>
        <v>10</v>
      </c>
      <c r="BR96" s="19">
        <f>'P&amp;L - Inputs'!CQ480</f>
        <v>12</v>
      </c>
      <c r="BS96" s="19">
        <f>'P&amp;L - Inputs'!CR480</f>
        <v>9</v>
      </c>
      <c r="BT96" s="19">
        <f>'P&amp;L - Inputs'!CS480</f>
        <v>5</v>
      </c>
      <c r="BU96" s="19">
        <f>'P&amp;L - Inputs'!CT480</f>
        <v>2</v>
      </c>
      <c r="BV96" s="19">
        <f>'P&amp;L - Inputs'!CU480</f>
        <v>2</v>
      </c>
      <c r="BW96" s="19">
        <f>'P&amp;L - Inputs'!CV480</f>
        <v>3</v>
      </c>
      <c r="BX96" s="19">
        <f>'P&amp;L - Inputs'!CW480</f>
        <v>3</v>
      </c>
      <c r="BY96" s="19">
        <f>'P&amp;L - Inputs'!CX480</f>
        <v>3</v>
      </c>
      <c r="BZ96" s="19">
        <f>'P&amp;L - Inputs'!CY480</f>
        <v>4</v>
      </c>
      <c r="CA96" s="19">
        <f>'P&amp;L - Inputs'!CZ480</f>
        <v>3</v>
      </c>
      <c r="CB96" s="19">
        <f>'P&amp;L - Inputs'!DA480</f>
        <v>3</v>
      </c>
      <c r="CC96" s="19">
        <f>'P&amp;L - Inputs'!DB480</f>
        <v>2</v>
      </c>
      <c r="CD96" s="19">
        <f>'P&amp;L - Inputs'!DC480</f>
        <v>3</v>
      </c>
      <c r="CE96" s="19">
        <f>'P&amp;L - Inputs'!DD480</f>
        <v>3</v>
      </c>
      <c r="CF96" s="19">
        <f>'P&amp;L - Inputs'!DE480</f>
        <v>4</v>
      </c>
      <c r="CG96" s="19">
        <f>'P&amp;L - Inputs'!DF480</f>
        <v>3</v>
      </c>
      <c r="CH96" s="19">
        <f>'P&amp;L - Inputs'!DG480</f>
        <v>3</v>
      </c>
      <c r="CI96" s="19">
        <f>'P&amp;L - Inputs'!DH480</f>
        <v>2</v>
      </c>
      <c r="CJ96" s="19">
        <f>'P&amp;L - Inputs'!DI480</f>
        <v>3</v>
      </c>
      <c r="CK96" s="19">
        <f>'P&amp;L - Inputs'!DJ480</f>
        <v>3</v>
      </c>
      <c r="CL96" s="19">
        <f>'P&amp;L - Inputs'!DK480</f>
        <v>4</v>
      </c>
      <c r="CM96" s="19">
        <f>'P&amp;L - Inputs'!DL480</f>
        <v>2</v>
      </c>
      <c r="CN96" s="19">
        <f>'P&amp;L - Inputs'!DM480</f>
        <v>2</v>
      </c>
      <c r="CO96" s="19">
        <f>'P&amp;L - Inputs'!DN480</f>
        <v>1</v>
      </c>
      <c r="CP96" s="19">
        <f>'P&amp;L - Inputs'!DO480</f>
        <v>2</v>
      </c>
      <c r="CQ96" s="19">
        <f>'P&amp;L - Inputs'!DP480</f>
        <v>2</v>
      </c>
      <c r="CR96" s="19">
        <f>'P&amp;L - Inputs'!DQ480</f>
        <v>1</v>
      </c>
      <c r="CS96" s="19">
        <f>'P&amp;L - Inputs'!DR480</f>
        <v>3</v>
      </c>
      <c r="CT96" s="19">
        <f>'P&amp;L - Inputs'!DS480</f>
        <v>3</v>
      </c>
      <c r="CU96" s="19">
        <f>'P&amp;L - Inputs'!DT480</f>
        <v>2</v>
      </c>
      <c r="CV96" s="19">
        <f>'P&amp;L - Inputs'!DU480</f>
        <v>3</v>
      </c>
      <c r="CW96" s="19">
        <f>'P&amp;L - Inputs'!DV480</f>
        <v>3</v>
      </c>
      <c r="CX96" s="19">
        <f>'P&amp;L - Inputs'!DW480</f>
        <v>4</v>
      </c>
      <c r="CY96" s="19">
        <f>'P&amp;L - Inputs'!DX480</f>
        <v>2</v>
      </c>
      <c r="CZ96" s="19">
        <f>'P&amp;L - Inputs'!DY480</f>
        <v>2</v>
      </c>
      <c r="DA96" s="19">
        <f>'P&amp;L - Inputs'!DZ480</f>
        <v>1</v>
      </c>
      <c r="DB96" s="19">
        <f>'P&amp;L - Inputs'!EA480</f>
        <v>2</v>
      </c>
      <c r="DC96" s="19">
        <f>'P&amp;L - Inputs'!EB480</f>
        <v>2</v>
      </c>
      <c r="DD96" s="19">
        <f>'P&amp;L - Inputs'!EC480</f>
        <v>1</v>
      </c>
      <c r="DF96" s="165">
        <f t="shared" ref="DF96:DF100" si="367">AM96</f>
        <v>1</v>
      </c>
      <c r="DG96" s="165">
        <f t="shared" ref="DG96:DG100" si="368">AP96</f>
        <v>0</v>
      </c>
      <c r="DH96" s="165">
        <f t="shared" ref="DH96:DH100" si="369">AS96</f>
        <v>1</v>
      </c>
      <c r="DI96" s="165">
        <f t="shared" ref="DI96:DI100" si="370">AV96</f>
        <v>0</v>
      </c>
      <c r="DJ96" s="165">
        <f t="shared" ref="DJ96:DJ100" si="371">AY96</f>
        <v>0</v>
      </c>
      <c r="DK96" s="165">
        <f t="shared" ref="DK96:DK100" si="372">BB96</f>
        <v>1</v>
      </c>
      <c r="DL96" s="165">
        <f t="shared" ref="DL96:DL100" si="373">BE96</f>
        <v>2</v>
      </c>
      <c r="DM96" s="165">
        <f t="shared" ref="DM96:DM100" si="374">BH96</f>
        <v>3</v>
      </c>
      <c r="DN96" s="165">
        <f t="shared" ref="DN96:DN100" si="375">BK96</f>
        <v>7</v>
      </c>
      <c r="DO96" s="165">
        <f t="shared" ref="DO96:DO100" si="376">BN96</f>
        <v>5</v>
      </c>
      <c r="DP96" s="165">
        <f t="shared" ref="DP96:DP100" si="377">BQ96</f>
        <v>10</v>
      </c>
      <c r="DQ96" s="165">
        <f t="shared" ref="DQ96:DQ100" si="378">BT96</f>
        <v>5</v>
      </c>
      <c r="DR96" s="165">
        <f t="shared" ref="DR96:DR100" si="379">BW96</f>
        <v>3</v>
      </c>
      <c r="DS96" s="165">
        <f t="shared" ref="DS96:DS100" si="380">BZ96</f>
        <v>4</v>
      </c>
      <c r="DT96" s="165">
        <f t="shared" ref="DT96:DT100" si="381">CC96</f>
        <v>2</v>
      </c>
      <c r="DU96" s="165">
        <f t="shared" ref="DU96:DU100" si="382">CF96</f>
        <v>4</v>
      </c>
      <c r="DV96" s="165">
        <f t="shared" ref="DV96:DV100" si="383">CI96</f>
        <v>2</v>
      </c>
      <c r="DW96" s="165">
        <f t="shared" ref="DW96:DW100" si="384">CL96</f>
        <v>4</v>
      </c>
      <c r="DX96" s="165">
        <f t="shared" ref="DX96:DX100" si="385">CO96</f>
        <v>1</v>
      </c>
      <c r="DY96" s="165">
        <f t="shared" ref="DY96:DY100" si="386">CR96</f>
        <v>1</v>
      </c>
      <c r="DZ96" s="165">
        <f t="shared" si="306"/>
        <v>8</v>
      </c>
      <c r="EA96" s="165">
        <f t="shared" si="307"/>
        <v>10</v>
      </c>
      <c r="EB96" s="165">
        <f t="shared" si="308"/>
        <v>5</v>
      </c>
      <c r="EC96" s="165">
        <f t="shared" si="309"/>
        <v>5</v>
      </c>
      <c r="EE96" s="165">
        <f t="shared" si="362"/>
        <v>0</v>
      </c>
      <c r="EF96" s="165">
        <f t="shared" si="363"/>
        <v>3</v>
      </c>
      <c r="EG96" s="165">
        <f t="shared" si="364"/>
        <v>5</v>
      </c>
      <c r="EH96" s="165">
        <f t="shared" si="365"/>
        <v>4</v>
      </c>
      <c r="EI96" s="165">
        <f t="shared" si="366"/>
        <v>1</v>
      </c>
      <c r="EJ96" s="804">
        <f t="shared" si="310"/>
        <v>28</v>
      </c>
    </row>
    <row r="97" spans="2:140" x14ac:dyDescent="0.2">
      <c r="B97" s="156" t="s">
        <v>199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9">
        <f>'P&amp;L - Inputs'!AN481</f>
        <v>0</v>
      </c>
      <c r="P97" s="19">
        <f>'P&amp;L - Inputs'!AO481</f>
        <v>0</v>
      </c>
      <c r="Q97" s="19">
        <f>'P&amp;L - Inputs'!AP481</f>
        <v>0</v>
      </c>
      <c r="R97" s="19">
        <f>'P&amp;L - Inputs'!AQ481</f>
        <v>0</v>
      </c>
      <c r="S97" s="19">
        <f>'P&amp;L - Inputs'!AR481</f>
        <v>0</v>
      </c>
      <c r="T97" s="19">
        <f>'P&amp;L - Inputs'!AS481</f>
        <v>0</v>
      </c>
      <c r="U97" s="19">
        <f>'P&amp;L - Inputs'!AT481</f>
        <v>0</v>
      </c>
      <c r="V97" s="19">
        <f>'P&amp;L - Inputs'!AU481</f>
        <v>0</v>
      </c>
      <c r="W97" s="19">
        <f>'P&amp;L - Inputs'!AV481</f>
        <v>0</v>
      </c>
      <c r="X97" s="19">
        <f>'P&amp;L - Inputs'!AW481</f>
        <v>0</v>
      </c>
      <c r="Y97" s="19">
        <f>'P&amp;L - Inputs'!AX481</f>
        <v>0</v>
      </c>
      <c r="Z97" s="19">
        <f>'P&amp;L - Inputs'!AY481</f>
        <v>3</v>
      </c>
      <c r="AA97" s="19">
        <f>'P&amp;L - Inputs'!AZ481</f>
        <v>2</v>
      </c>
      <c r="AB97" s="19">
        <f>'P&amp;L - Inputs'!BA481</f>
        <v>0</v>
      </c>
      <c r="AC97" s="19">
        <f>'P&amp;L - Inputs'!BB481</f>
        <v>0</v>
      </c>
      <c r="AD97" s="19">
        <f>'P&amp;L - Inputs'!BC481</f>
        <v>0</v>
      </c>
      <c r="AE97" s="19">
        <f>'P&amp;L - Inputs'!BD481</f>
        <v>0</v>
      </c>
      <c r="AF97" s="19">
        <f>'P&amp;L - Inputs'!BE481</f>
        <v>0</v>
      </c>
      <c r="AG97" s="19">
        <f>'P&amp;L - Inputs'!BF481</f>
        <v>1</v>
      </c>
      <c r="AH97" s="19">
        <f>'P&amp;L - Inputs'!BG481</f>
        <v>3</v>
      </c>
      <c r="AI97" s="19">
        <f>'P&amp;L - Inputs'!BH481</f>
        <v>0</v>
      </c>
      <c r="AJ97" s="19">
        <f>'P&amp;L - Inputs'!BI481</f>
        <v>1</v>
      </c>
      <c r="AK97" s="19">
        <f>'P&amp;L - Inputs'!BJ481</f>
        <v>0</v>
      </c>
      <c r="AL97" s="19">
        <f>'P&amp;L - Inputs'!BK481</f>
        <v>0</v>
      </c>
      <c r="AM97" s="19">
        <f>'P&amp;L - Inputs'!BL481</f>
        <v>1</v>
      </c>
      <c r="AN97" s="19">
        <f>'P&amp;L - Inputs'!BM481</f>
        <v>3</v>
      </c>
      <c r="AO97" s="19">
        <f>'P&amp;L - Inputs'!BN481</f>
        <v>1</v>
      </c>
      <c r="AP97" s="19">
        <f>'P&amp;L - Inputs'!BO481</f>
        <v>2</v>
      </c>
      <c r="AQ97" s="19">
        <f>'P&amp;L - Inputs'!BP481</f>
        <v>0</v>
      </c>
      <c r="AR97" s="19">
        <f>'P&amp;L - Inputs'!BQ481</f>
        <v>0</v>
      </c>
      <c r="AS97" s="19">
        <f>'P&amp;L - Inputs'!BR481</f>
        <v>2</v>
      </c>
      <c r="AT97" s="19">
        <f>'P&amp;L - Inputs'!BS481</f>
        <v>5</v>
      </c>
      <c r="AU97" s="19">
        <f>'P&amp;L - Inputs'!BT481</f>
        <v>3</v>
      </c>
      <c r="AV97" s="19">
        <f>'P&amp;L - Inputs'!BU481</f>
        <v>1</v>
      </c>
      <c r="AW97" s="19">
        <f>'P&amp;L - Inputs'!BV481</f>
        <v>0</v>
      </c>
      <c r="AX97" s="19">
        <f>'P&amp;L - Inputs'!BW481</f>
        <v>0</v>
      </c>
      <c r="AY97" s="19">
        <f>'P&amp;L - Inputs'!BX481</f>
        <v>1</v>
      </c>
      <c r="AZ97" s="19">
        <f>'P&amp;L - Inputs'!BY481</f>
        <v>2</v>
      </c>
      <c r="BA97" s="19">
        <f>'P&amp;L - Inputs'!BZ481</f>
        <v>2</v>
      </c>
      <c r="BB97" s="19">
        <f>'P&amp;L - Inputs'!CA481</f>
        <v>0</v>
      </c>
      <c r="BC97" s="19">
        <f>'P&amp;L - Inputs'!CB481</f>
        <v>3</v>
      </c>
      <c r="BD97" s="19">
        <f>'P&amp;L - Inputs'!CC481</f>
        <v>0</v>
      </c>
      <c r="BE97" s="19">
        <f>'P&amp;L - Inputs'!CD481</f>
        <v>2</v>
      </c>
      <c r="BF97" s="19">
        <f>'P&amp;L - Inputs'!CE481</f>
        <v>1</v>
      </c>
      <c r="BG97" s="19">
        <f>'P&amp;L - Inputs'!CF481</f>
        <v>3</v>
      </c>
      <c r="BH97" s="19">
        <f>'P&amp;L - Inputs'!CG481</f>
        <v>1</v>
      </c>
      <c r="BI97" s="19">
        <f>'P&amp;L - Inputs'!CH481</f>
        <v>0</v>
      </c>
      <c r="BJ97" s="19">
        <f>'P&amp;L - Inputs'!CI481</f>
        <v>2</v>
      </c>
      <c r="BK97" s="19">
        <f>'P&amp;L - Inputs'!CJ481</f>
        <v>3</v>
      </c>
      <c r="BL97" s="19">
        <f>'P&amp;L - Inputs'!CK481</f>
        <v>0</v>
      </c>
      <c r="BM97" s="19">
        <f>'P&amp;L - Inputs'!CL481</f>
        <v>4</v>
      </c>
      <c r="BN97" s="19">
        <f>'P&amp;L - Inputs'!CM481</f>
        <v>1</v>
      </c>
      <c r="BO97" s="19">
        <f>'P&amp;L - Inputs'!CN481</f>
        <v>2</v>
      </c>
      <c r="BP97" s="19">
        <f>'P&amp;L - Inputs'!CO481</f>
        <v>3</v>
      </c>
      <c r="BQ97" s="19">
        <f>'P&amp;L - Inputs'!CP481</f>
        <v>1</v>
      </c>
      <c r="BR97" s="19">
        <f>'P&amp;L - Inputs'!CQ481</f>
        <v>1</v>
      </c>
      <c r="BS97" s="19">
        <f>'P&amp;L - Inputs'!CR481</f>
        <v>0</v>
      </c>
      <c r="BT97" s="19">
        <f>'P&amp;L - Inputs'!CS481</f>
        <v>2</v>
      </c>
      <c r="BU97" s="19">
        <f>'P&amp;L - Inputs'!CT481</f>
        <v>1</v>
      </c>
      <c r="BV97" s="19">
        <f>'P&amp;L - Inputs'!CU481</f>
        <v>0</v>
      </c>
      <c r="BW97" s="19">
        <f>'P&amp;L - Inputs'!CV481</f>
        <v>0</v>
      </c>
      <c r="BX97" s="19">
        <f>'P&amp;L - Inputs'!CW481</f>
        <v>1</v>
      </c>
      <c r="BY97" s="19">
        <f>'P&amp;L - Inputs'!CX481</f>
        <v>0</v>
      </c>
      <c r="BZ97" s="19">
        <f>'P&amp;L - Inputs'!CY481</f>
        <v>0</v>
      </c>
      <c r="CA97" s="19">
        <f>'P&amp;L - Inputs'!CZ481</f>
        <v>1</v>
      </c>
      <c r="CB97" s="19">
        <f>'P&amp;L - Inputs'!DA481</f>
        <v>0</v>
      </c>
      <c r="CC97" s="19">
        <f>'P&amp;L - Inputs'!DB481</f>
        <v>0</v>
      </c>
      <c r="CD97" s="19">
        <f>'P&amp;L - Inputs'!DC481</f>
        <v>1</v>
      </c>
      <c r="CE97" s="19">
        <f>'P&amp;L - Inputs'!DD481</f>
        <v>0</v>
      </c>
      <c r="CF97" s="19">
        <f>'P&amp;L - Inputs'!DE481</f>
        <v>0</v>
      </c>
      <c r="CG97" s="19">
        <f>'P&amp;L - Inputs'!DF481</f>
        <v>1</v>
      </c>
      <c r="CH97" s="19">
        <f>'P&amp;L - Inputs'!DG481</f>
        <v>0</v>
      </c>
      <c r="CI97" s="19">
        <f>'P&amp;L - Inputs'!DH481</f>
        <v>0</v>
      </c>
      <c r="CJ97" s="19">
        <f>'P&amp;L - Inputs'!DI481</f>
        <v>1</v>
      </c>
      <c r="CK97" s="19">
        <f>'P&amp;L - Inputs'!DJ481</f>
        <v>0</v>
      </c>
      <c r="CL97" s="19">
        <f>'P&amp;L - Inputs'!DK481</f>
        <v>0</v>
      </c>
      <c r="CM97" s="19">
        <f>'P&amp;L - Inputs'!DL481</f>
        <v>1</v>
      </c>
      <c r="CN97" s="19">
        <f>'P&amp;L - Inputs'!DM481</f>
        <v>0</v>
      </c>
      <c r="CO97" s="19">
        <f>'P&amp;L - Inputs'!DN481</f>
        <v>0</v>
      </c>
      <c r="CP97" s="19">
        <f>'P&amp;L - Inputs'!DO481</f>
        <v>1</v>
      </c>
      <c r="CQ97" s="19">
        <f>'P&amp;L - Inputs'!DP481</f>
        <v>0</v>
      </c>
      <c r="CR97" s="19">
        <f>'P&amp;L - Inputs'!DQ481</f>
        <v>0</v>
      </c>
      <c r="CS97" s="19">
        <f>'P&amp;L - Inputs'!DR481</f>
        <v>1</v>
      </c>
      <c r="CT97" s="19">
        <f>'P&amp;L - Inputs'!DS481</f>
        <v>0</v>
      </c>
      <c r="CU97" s="19">
        <f>'P&amp;L - Inputs'!DT481</f>
        <v>0</v>
      </c>
      <c r="CV97" s="19">
        <f>'P&amp;L - Inputs'!DU481</f>
        <v>1</v>
      </c>
      <c r="CW97" s="19">
        <f>'P&amp;L - Inputs'!DV481</f>
        <v>0</v>
      </c>
      <c r="CX97" s="19">
        <f>'P&amp;L - Inputs'!DW481</f>
        <v>0</v>
      </c>
      <c r="CY97" s="19">
        <f>'P&amp;L - Inputs'!DX481</f>
        <v>1</v>
      </c>
      <c r="CZ97" s="19">
        <f>'P&amp;L - Inputs'!DY481</f>
        <v>0</v>
      </c>
      <c r="DA97" s="19">
        <f>'P&amp;L - Inputs'!DZ481</f>
        <v>0</v>
      </c>
      <c r="DB97" s="19">
        <f>'P&amp;L - Inputs'!EA481</f>
        <v>1</v>
      </c>
      <c r="DC97" s="19">
        <f>'P&amp;L - Inputs'!EB481</f>
        <v>0</v>
      </c>
      <c r="DD97" s="19">
        <f>'P&amp;L - Inputs'!EC481</f>
        <v>0</v>
      </c>
      <c r="DF97" s="165">
        <f t="shared" si="367"/>
        <v>1</v>
      </c>
      <c r="DG97" s="165">
        <f t="shared" si="368"/>
        <v>2</v>
      </c>
      <c r="DH97" s="165">
        <f t="shared" si="369"/>
        <v>2</v>
      </c>
      <c r="DI97" s="165">
        <f t="shared" si="370"/>
        <v>1</v>
      </c>
      <c r="DJ97" s="165">
        <f t="shared" si="371"/>
        <v>1</v>
      </c>
      <c r="DK97" s="165">
        <f t="shared" si="372"/>
        <v>0</v>
      </c>
      <c r="DL97" s="165">
        <f t="shared" si="373"/>
        <v>2</v>
      </c>
      <c r="DM97" s="165">
        <f t="shared" si="374"/>
        <v>1</v>
      </c>
      <c r="DN97" s="165">
        <f t="shared" si="375"/>
        <v>3</v>
      </c>
      <c r="DO97" s="165">
        <f t="shared" si="376"/>
        <v>1</v>
      </c>
      <c r="DP97" s="165">
        <f t="shared" si="377"/>
        <v>1</v>
      </c>
      <c r="DQ97" s="165">
        <f t="shared" si="378"/>
        <v>2</v>
      </c>
      <c r="DR97" s="165">
        <f t="shared" si="379"/>
        <v>0</v>
      </c>
      <c r="DS97" s="165">
        <f t="shared" si="380"/>
        <v>0</v>
      </c>
      <c r="DT97" s="165">
        <f t="shared" si="381"/>
        <v>0</v>
      </c>
      <c r="DU97" s="165">
        <f t="shared" si="382"/>
        <v>0</v>
      </c>
      <c r="DV97" s="165">
        <f t="shared" si="383"/>
        <v>0</v>
      </c>
      <c r="DW97" s="165">
        <f t="shared" si="384"/>
        <v>0</v>
      </c>
      <c r="DX97" s="165">
        <f t="shared" si="385"/>
        <v>0</v>
      </c>
      <c r="DY97" s="165">
        <f t="shared" si="386"/>
        <v>0</v>
      </c>
      <c r="DZ97" s="165">
        <f t="shared" si="306"/>
        <v>1</v>
      </c>
      <c r="EA97" s="165">
        <f t="shared" si="307"/>
        <v>1</v>
      </c>
      <c r="EB97" s="165">
        <f t="shared" si="308"/>
        <v>1</v>
      </c>
      <c r="EC97" s="165">
        <f t="shared" si="309"/>
        <v>1</v>
      </c>
      <c r="EE97" s="165">
        <f t="shared" si="362"/>
        <v>1</v>
      </c>
      <c r="EF97" s="165">
        <f t="shared" si="363"/>
        <v>1</v>
      </c>
      <c r="EG97" s="165">
        <f t="shared" si="364"/>
        <v>2</v>
      </c>
      <c r="EH97" s="165">
        <f t="shared" si="365"/>
        <v>0</v>
      </c>
      <c r="EI97" s="165">
        <f t="shared" si="366"/>
        <v>0</v>
      </c>
      <c r="EJ97" s="804">
        <f t="shared" si="310"/>
        <v>4</v>
      </c>
    </row>
    <row r="98" spans="2:140" x14ac:dyDescent="0.2">
      <c r="B98" s="21" t="s">
        <v>200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27">
        <f>O99+O100</f>
        <v>47</v>
      </c>
      <c r="P98" s="127">
        <f t="shared" ref="P98:CA98" si="387">P99+P100</f>
        <v>47</v>
      </c>
      <c r="Q98" s="127">
        <f t="shared" si="387"/>
        <v>52</v>
      </c>
      <c r="R98" s="127">
        <f t="shared" si="387"/>
        <v>58</v>
      </c>
      <c r="S98" s="127">
        <f t="shared" si="387"/>
        <v>66</v>
      </c>
      <c r="T98" s="127">
        <f t="shared" si="387"/>
        <v>73</v>
      </c>
      <c r="U98" s="127">
        <f t="shared" si="387"/>
        <v>78</v>
      </c>
      <c r="V98" s="127">
        <f t="shared" si="387"/>
        <v>84</v>
      </c>
      <c r="W98" s="127">
        <f t="shared" si="387"/>
        <v>86</v>
      </c>
      <c r="X98" s="127">
        <f t="shared" si="387"/>
        <v>97</v>
      </c>
      <c r="Y98" s="127">
        <f t="shared" si="387"/>
        <v>102</v>
      </c>
      <c r="Z98" s="127">
        <f t="shared" si="387"/>
        <v>127</v>
      </c>
      <c r="AA98" s="127">
        <f t="shared" si="387"/>
        <v>138</v>
      </c>
      <c r="AB98" s="127">
        <f t="shared" si="387"/>
        <v>142</v>
      </c>
      <c r="AC98" s="127">
        <f t="shared" si="387"/>
        <v>150</v>
      </c>
      <c r="AD98" s="127">
        <f t="shared" si="387"/>
        <v>157</v>
      </c>
      <c r="AE98" s="127">
        <f t="shared" si="387"/>
        <v>163</v>
      </c>
      <c r="AF98" s="127">
        <f t="shared" si="387"/>
        <v>185</v>
      </c>
      <c r="AG98" s="127">
        <f t="shared" si="387"/>
        <v>188</v>
      </c>
      <c r="AH98" s="127">
        <f t="shared" si="387"/>
        <v>191</v>
      </c>
      <c r="AI98" s="127">
        <f t="shared" si="387"/>
        <v>191</v>
      </c>
      <c r="AJ98" s="127">
        <f t="shared" si="387"/>
        <v>195</v>
      </c>
      <c r="AK98" s="127">
        <f t="shared" si="387"/>
        <v>198</v>
      </c>
      <c r="AL98" s="127">
        <f t="shared" si="387"/>
        <v>200</v>
      </c>
      <c r="AM98" s="127">
        <f t="shared" si="387"/>
        <v>200</v>
      </c>
      <c r="AN98" s="127">
        <f t="shared" si="387"/>
        <v>197</v>
      </c>
      <c r="AO98" s="127">
        <f t="shared" si="387"/>
        <v>196</v>
      </c>
      <c r="AP98" s="127">
        <f t="shared" si="387"/>
        <v>194</v>
      </c>
      <c r="AQ98" s="127">
        <f t="shared" si="387"/>
        <v>194</v>
      </c>
      <c r="AR98" s="127">
        <f t="shared" si="387"/>
        <v>195</v>
      </c>
      <c r="AS98" s="127">
        <f t="shared" si="387"/>
        <v>194</v>
      </c>
      <c r="AT98" s="127">
        <f t="shared" si="387"/>
        <v>189</v>
      </c>
      <c r="AU98" s="127">
        <f t="shared" si="387"/>
        <v>186</v>
      </c>
      <c r="AV98" s="127">
        <f t="shared" si="387"/>
        <v>185</v>
      </c>
      <c r="AW98" s="127">
        <f t="shared" si="387"/>
        <v>185</v>
      </c>
      <c r="AX98" s="127">
        <f t="shared" si="387"/>
        <v>185</v>
      </c>
      <c r="AY98" s="127">
        <f t="shared" si="387"/>
        <v>184</v>
      </c>
      <c r="AZ98" s="127">
        <f t="shared" si="387"/>
        <v>183</v>
      </c>
      <c r="BA98" s="127">
        <f t="shared" si="387"/>
        <v>181</v>
      </c>
      <c r="BB98" s="127">
        <f t="shared" si="387"/>
        <v>182</v>
      </c>
      <c r="BC98" s="127">
        <f t="shared" si="387"/>
        <v>179</v>
      </c>
      <c r="BD98" s="127">
        <f t="shared" si="387"/>
        <v>179</v>
      </c>
      <c r="BE98" s="127">
        <f t="shared" si="387"/>
        <v>179</v>
      </c>
      <c r="BF98" s="127">
        <f t="shared" si="387"/>
        <v>179</v>
      </c>
      <c r="BG98" s="127">
        <f t="shared" si="387"/>
        <v>181</v>
      </c>
      <c r="BH98" s="127">
        <f t="shared" si="387"/>
        <v>183</v>
      </c>
      <c r="BI98" s="127">
        <f t="shared" si="387"/>
        <v>184</v>
      </c>
      <c r="BJ98" s="127">
        <f t="shared" si="387"/>
        <v>189</v>
      </c>
      <c r="BK98" s="127">
        <f t="shared" si="387"/>
        <v>193</v>
      </c>
      <c r="BL98" s="127">
        <f t="shared" si="387"/>
        <v>198</v>
      </c>
      <c r="BM98" s="127">
        <f t="shared" si="387"/>
        <v>197</v>
      </c>
      <c r="BN98" s="127">
        <f t="shared" si="387"/>
        <v>201</v>
      </c>
      <c r="BO98" s="127">
        <f t="shared" si="387"/>
        <v>204</v>
      </c>
      <c r="BP98" s="127">
        <f t="shared" si="387"/>
        <v>205</v>
      </c>
      <c r="BQ98" s="127">
        <f t="shared" si="387"/>
        <v>214</v>
      </c>
      <c r="BR98" s="127">
        <f t="shared" si="387"/>
        <v>225</v>
      </c>
      <c r="BS98" s="127">
        <f t="shared" si="387"/>
        <v>234</v>
      </c>
      <c r="BT98" s="127">
        <f t="shared" si="387"/>
        <v>237</v>
      </c>
      <c r="BU98" s="127">
        <f t="shared" si="387"/>
        <v>238</v>
      </c>
      <c r="BV98" s="127">
        <f t="shared" si="387"/>
        <v>240</v>
      </c>
      <c r="BW98" s="127">
        <f t="shared" si="387"/>
        <v>243</v>
      </c>
      <c r="BX98" s="127">
        <f t="shared" si="387"/>
        <v>245</v>
      </c>
      <c r="BY98" s="127">
        <f t="shared" si="387"/>
        <v>248</v>
      </c>
      <c r="BZ98" s="127">
        <f t="shared" si="387"/>
        <v>252</v>
      </c>
      <c r="CA98" s="127">
        <f t="shared" si="387"/>
        <v>254</v>
      </c>
      <c r="CB98" s="127">
        <f t="shared" ref="CB98:CR98" si="388">CB99+CB100</f>
        <v>257</v>
      </c>
      <c r="CC98" s="127">
        <f t="shared" si="388"/>
        <v>259</v>
      </c>
      <c r="CD98" s="127">
        <f t="shared" si="388"/>
        <v>261</v>
      </c>
      <c r="CE98" s="127">
        <f t="shared" si="388"/>
        <v>264</v>
      </c>
      <c r="CF98" s="127">
        <f t="shared" si="388"/>
        <v>268</v>
      </c>
      <c r="CG98" s="127">
        <f t="shared" si="388"/>
        <v>270</v>
      </c>
      <c r="CH98" s="127">
        <f t="shared" si="388"/>
        <v>273</v>
      </c>
      <c r="CI98" s="127">
        <f t="shared" si="388"/>
        <v>275</v>
      </c>
      <c r="CJ98" s="127">
        <f t="shared" si="388"/>
        <v>277</v>
      </c>
      <c r="CK98" s="127">
        <f t="shared" si="388"/>
        <v>280</v>
      </c>
      <c r="CL98" s="127">
        <f t="shared" si="388"/>
        <v>284</v>
      </c>
      <c r="CM98" s="127">
        <f t="shared" si="388"/>
        <v>285</v>
      </c>
      <c r="CN98" s="127">
        <f t="shared" si="388"/>
        <v>287</v>
      </c>
      <c r="CO98" s="127">
        <f t="shared" si="388"/>
        <v>288</v>
      </c>
      <c r="CP98" s="127">
        <f t="shared" si="388"/>
        <v>289</v>
      </c>
      <c r="CQ98" s="127">
        <f t="shared" si="388"/>
        <v>291</v>
      </c>
      <c r="CR98" s="127">
        <f t="shared" si="388"/>
        <v>292</v>
      </c>
      <c r="CS98" s="127">
        <f t="shared" ref="CS98:DD98" si="389">CS99+CS100</f>
        <v>294</v>
      </c>
      <c r="CT98" s="127">
        <f t="shared" si="389"/>
        <v>297</v>
      </c>
      <c r="CU98" s="127">
        <f t="shared" si="389"/>
        <v>299</v>
      </c>
      <c r="CV98" s="127">
        <f t="shared" si="389"/>
        <v>301</v>
      </c>
      <c r="CW98" s="127">
        <f t="shared" si="389"/>
        <v>304</v>
      </c>
      <c r="CX98" s="127">
        <f t="shared" si="389"/>
        <v>308</v>
      </c>
      <c r="CY98" s="127">
        <f t="shared" si="389"/>
        <v>309</v>
      </c>
      <c r="CZ98" s="127">
        <f t="shared" si="389"/>
        <v>311</v>
      </c>
      <c r="DA98" s="127">
        <f t="shared" si="389"/>
        <v>312</v>
      </c>
      <c r="DB98" s="127">
        <f t="shared" si="389"/>
        <v>313</v>
      </c>
      <c r="DC98" s="127">
        <f t="shared" si="389"/>
        <v>315</v>
      </c>
      <c r="DD98" s="127">
        <f t="shared" si="389"/>
        <v>316</v>
      </c>
      <c r="DF98" s="165">
        <f t="shared" si="367"/>
        <v>200</v>
      </c>
      <c r="DG98" s="165">
        <f t="shared" si="368"/>
        <v>194</v>
      </c>
      <c r="DH98" s="165">
        <f t="shared" si="369"/>
        <v>194</v>
      </c>
      <c r="DI98" s="165">
        <f t="shared" si="370"/>
        <v>185</v>
      </c>
      <c r="DJ98" s="165">
        <f t="shared" si="371"/>
        <v>184</v>
      </c>
      <c r="DK98" s="165">
        <f t="shared" si="372"/>
        <v>182</v>
      </c>
      <c r="DL98" s="165">
        <f t="shared" si="373"/>
        <v>179</v>
      </c>
      <c r="DM98" s="165">
        <f t="shared" si="374"/>
        <v>183</v>
      </c>
      <c r="DN98" s="165">
        <f t="shared" si="375"/>
        <v>193</v>
      </c>
      <c r="DO98" s="165">
        <f t="shared" si="376"/>
        <v>201</v>
      </c>
      <c r="DP98" s="165">
        <f t="shared" si="377"/>
        <v>214</v>
      </c>
      <c r="DQ98" s="165">
        <f t="shared" si="378"/>
        <v>237</v>
      </c>
      <c r="DR98" s="165">
        <f t="shared" si="379"/>
        <v>243</v>
      </c>
      <c r="DS98" s="165">
        <f t="shared" si="380"/>
        <v>252</v>
      </c>
      <c r="DT98" s="165">
        <f t="shared" si="381"/>
        <v>259</v>
      </c>
      <c r="DU98" s="165">
        <f t="shared" si="382"/>
        <v>268</v>
      </c>
      <c r="DV98" s="165">
        <f t="shared" si="383"/>
        <v>275</v>
      </c>
      <c r="DW98" s="165">
        <f t="shared" si="384"/>
        <v>284</v>
      </c>
      <c r="DX98" s="165">
        <f t="shared" si="385"/>
        <v>288</v>
      </c>
      <c r="DY98" s="165">
        <f t="shared" si="386"/>
        <v>292</v>
      </c>
      <c r="DZ98" s="165">
        <f t="shared" si="306"/>
        <v>890</v>
      </c>
      <c r="EA98" s="165">
        <f t="shared" si="307"/>
        <v>913</v>
      </c>
      <c r="EB98" s="165">
        <f t="shared" si="308"/>
        <v>932</v>
      </c>
      <c r="EC98" s="165">
        <f t="shared" si="309"/>
        <v>944</v>
      </c>
      <c r="EE98" s="165">
        <f t="shared" si="362"/>
        <v>185</v>
      </c>
      <c r="EF98" s="165">
        <f t="shared" si="363"/>
        <v>183</v>
      </c>
      <c r="EG98" s="165">
        <f t="shared" si="364"/>
        <v>237</v>
      </c>
      <c r="EH98" s="165">
        <f t="shared" si="365"/>
        <v>268</v>
      </c>
      <c r="EI98" s="165">
        <f t="shared" si="366"/>
        <v>292</v>
      </c>
      <c r="EJ98" s="804">
        <f t="shared" si="310"/>
        <v>3679</v>
      </c>
    </row>
    <row r="99" spans="2:140" x14ac:dyDescent="0.2">
      <c r="B99" s="173" t="s">
        <v>192</v>
      </c>
      <c r="C99" s="10"/>
      <c r="D99" s="10"/>
      <c r="E99" s="10"/>
      <c r="F99" s="10"/>
      <c r="G99" s="10"/>
      <c r="H99" s="10"/>
      <c r="I99" s="10"/>
      <c r="J99" s="10"/>
      <c r="K99" s="19">
        <f>'P&amp;L - Inputs'!AJ483</f>
        <v>30</v>
      </c>
      <c r="L99" s="19">
        <f>'P&amp;L - Inputs'!AK483</f>
        <v>33</v>
      </c>
      <c r="M99" s="19">
        <f>'P&amp;L - Inputs'!AL483</f>
        <v>33</v>
      </c>
      <c r="N99" s="19">
        <f>'P&amp;L - Inputs'!AM483</f>
        <v>33</v>
      </c>
      <c r="O99" s="19">
        <f>'P&amp;L - Inputs'!AN483</f>
        <v>38</v>
      </c>
      <c r="P99" s="19">
        <f>'P&amp;L - Inputs'!AO483</f>
        <v>38</v>
      </c>
      <c r="Q99" s="19">
        <f>'P&amp;L - Inputs'!AP483</f>
        <v>43</v>
      </c>
      <c r="R99" s="19">
        <f>'P&amp;L - Inputs'!AQ483</f>
        <v>48</v>
      </c>
      <c r="S99" s="19">
        <f>'P&amp;L - Inputs'!AR483</f>
        <v>56</v>
      </c>
      <c r="T99" s="19">
        <f>'P&amp;L - Inputs'!AS483</f>
        <v>61</v>
      </c>
      <c r="U99" s="19">
        <f>'P&amp;L - Inputs'!AT483</f>
        <v>66</v>
      </c>
      <c r="V99" s="19">
        <f>'P&amp;L - Inputs'!AU483</f>
        <v>70</v>
      </c>
      <c r="W99" s="19">
        <f>'P&amp;L - Inputs'!AV483</f>
        <v>72</v>
      </c>
      <c r="X99" s="19">
        <f>'P&amp;L - Inputs'!AW483</f>
        <v>83</v>
      </c>
      <c r="Y99" s="19">
        <f>'P&amp;L - Inputs'!AX483</f>
        <v>90</v>
      </c>
      <c r="Z99" s="19">
        <f>'P&amp;L - Inputs'!AY483</f>
        <v>117</v>
      </c>
      <c r="AA99" s="19">
        <f>'P&amp;L - Inputs'!AZ483</f>
        <v>130</v>
      </c>
      <c r="AB99" s="19">
        <f>'P&amp;L - Inputs'!BA483</f>
        <v>134</v>
      </c>
      <c r="AC99" s="19">
        <f>'P&amp;L - Inputs'!BB483</f>
        <v>142</v>
      </c>
      <c r="AD99" s="19">
        <f>'P&amp;L - Inputs'!BC483</f>
        <v>149</v>
      </c>
      <c r="AE99" s="19">
        <f>'P&amp;L - Inputs'!BD483</f>
        <v>155</v>
      </c>
      <c r="AF99" s="19">
        <f>'P&amp;L - Inputs'!BE483</f>
        <v>177</v>
      </c>
      <c r="AG99" s="19">
        <f>'P&amp;L - Inputs'!BF483</f>
        <v>181</v>
      </c>
      <c r="AH99" s="19">
        <f>'P&amp;L - Inputs'!BG483</f>
        <v>184</v>
      </c>
      <c r="AI99" s="19">
        <f>'P&amp;L - Inputs'!BH483</f>
        <v>184</v>
      </c>
      <c r="AJ99" s="19">
        <f>'P&amp;L - Inputs'!BI483</f>
        <v>188</v>
      </c>
      <c r="AK99" s="19">
        <f>'P&amp;L - Inputs'!BJ483</f>
        <v>191</v>
      </c>
      <c r="AL99" s="19">
        <f>'P&amp;L - Inputs'!BK483</f>
        <v>193</v>
      </c>
      <c r="AM99" s="19">
        <f>'P&amp;L - Inputs'!BL483</f>
        <v>193</v>
      </c>
      <c r="AN99" s="19">
        <f>'P&amp;L - Inputs'!BM483</f>
        <v>190</v>
      </c>
      <c r="AO99" s="19">
        <f>'P&amp;L - Inputs'!BN483</f>
        <v>190</v>
      </c>
      <c r="AP99" s="19">
        <f>'P&amp;L - Inputs'!BO483</f>
        <v>188</v>
      </c>
      <c r="AQ99" s="19">
        <f>'P&amp;L - Inputs'!BP483</f>
        <v>188</v>
      </c>
      <c r="AR99" s="19">
        <f>'P&amp;L - Inputs'!BQ483</f>
        <v>189</v>
      </c>
      <c r="AS99" s="19">
        <f>'P&amp;L - Inputs'!BR483</f>
        <v>188</v>
      </c>
      <c r="AT99" s="19">
        <f>'P&amp;L - Inputs'!BS483</f>
        <v>183</v>
      </c>
      <c r="AU99" s="19">
        <f>'P&amp;L - Inputs'!BT483</f>
        <v>180</v>
      </c>
      <c r="AV99" s="19">
        <f>'P&amp;L - Inputs'!BU483</f>
        <v>179</v>
      </c>
      <c r="AW99" s="19">
        <f>'P&amp;L - Inputs'!BV483</f>
        <v>179</v>
      </c>
      <c r="AX99" s="19">
        <f>'P&amp;L - Inputs'!BW483</f>
        <v>179</v>
      </c>
      <c r="AY99" s="19">
        <f>'P&amp;L - Inputs'!BX483</f>
        <v>178</v>
      </c>
      <c r="AZ99" s="19">
        <f>'P&amp;L - Inputs'!BY483</f>
        <v>180</v>
      </c>
      <c r="BA99" s="19">
        <f>'P&amp;L - Inputs'!BZ483</f>
        <v>178</v>
      </c>
      <c r="BB99" s="19">
        <f>'P&amp;L - Inputs'!CA483</f>
        <v>179</v>
      </c>
      <c r="BC99" s="19">
        <f>'P&amp;L - Inputs'!CB483</f>
        <v>176</v>
      </c>
      <c r="BD99" s="19">
        <f>'P&amp;L - Inputs'!CC483</f>
        <v>176</v>
      </c>
      <c r="BE99" s="19">
        <f>'P&amp;L - Inputs'!CD483</f>
        <v>176</v>
      </c>
      <c r="BF99" s="19">
        <f>'P&amp;L - Inputs'!CE483</f>
        <v>176</v>
      </c>
      <c r="BG99" s="19">
        <f>'P&amp;L - Inputs'!CF483</f>
        <v>177</v>
      </c>
      <c r="BH99" s="19">
        <f>'P&amp;L - Inputs'!CG483</f>
        <v>179</v>
      </c>
      <c r="BI99" s="19">
        <f>'P&amp;L - Inputs'!CH483</f>
        <v>180</v>
      </c>
      <c r="BJ99" s="19">
        <f>'P&amp;L - Inputs'!CI483</f>
        <v>185</v>
      </c>
      <c r="BK99" s="19">
        <f>'P&amp;L - Inputs'!CJ483</f>
        <v>189</v>
      </c>
      <c r="BL99" s="19">
        <f>'P&amp;L - Inputs'!CK483</f>
        <v>194</v>
      </c>
      <c r="BM99" s="19">
        <f>'P&amp;L - Inputs'!CL483</f>
        <v>193</v>
      </c>
      <c r="BN99" s="19">
        <f>'P&amp;L - Inputs'!CM483</f>
        <v>197</v>
      </c>
      <c r="BO99" s="19">
        <f>'P&amp;L - Inputs'!CN483</f>
        <v>200</v>
      </c>
      <c r="BP99" s="19">
        <f>'P&amp;L - Inputs'!CO483</f>
        <v>201</v>
      </c>
      <c r="BQ99" s="19">
        <f>'P&amp;L - Inputs'!CP483</f>
        <v>210</v>
      </c>
      <c r="BR99" s="19">
        <f>'P&amp;L - Inputs'!CQ483</f>
        <v>221</v>
      </c>
      <c r="BS99" s="19">
        <f>'P&amp;L - Inputs'!CR483</f>
        <v>230</v>
      </c>
      <c r="BT99" s="19">
        <f>'P&amp;L - Inputs'!CS483</f>
        <v>233</v>
      </c>
      <c r="BU99" s="19">
        <f>'P&amp;L - Inputs'!CT483</f>
        <v>238</v>
      </c>
      <c r="BV99" s="19">
        <f>'P&amp;L - Inputs'!CU483</f>
        <v>240</v>
      </c>
      <c r="BW99" s="19">
        <f>'P&amp;L - Inputs'!CV483</f>
        <v>243</v>
      </c>
      <c r="BX99" s="19">
        <f>'P&amp;L - Inputs'!CW483</f>
        <v>245</v>
      </c>
      <c r="BY99" s="19">
        <f>'P&amp;L - Inputs'!CX483</f>
        <v>248</v>
      </c>
      <c r="BZ99" s="19">
        <f>'P&amp;L - Inputs'!CY483</f>
        <v>252</v>
      </c>
      <c r="CA99" s="19">
        <f>'P&amp;L - Inputs'!CZ483</f>
        <v>254</v>
      </c>
      <c r="CB99" s="19">
        <f>'P&amp;L - Inputs'!DA483</f>
        <v>257</v>
      </c>
      <c r="CC99" s="19">
        <f>'P&amp;L - Inputs'!DB483</f>
        <v>259</v>
      </c>
      <c r="CD99" s="19">
        <f>'P&amp;L - Inputs'!DC483</f>
        <v>261</v>
      </c>
      <c r="CE99" s="19">
        <f>'P&amp;L - Inputs'!DD483</f>
        <v>264</v>
      </c>
      <c r="CF99" s="19">
        <f>'P&amp;L - Inputs'!DE483</f>
        <v>268</v>
      </c>
      <c r="CG99" s="19">
        <f>'P&amp;L - Inputs'!DF483</f>
        <v>270</v>
      </c>
      <c r="CH99" s="19">
        <f>'P&amp;L - Inputs'!DG483</f>
        <v>273</v>
      </c>
      <c r="CI99" s="19">
        <f>'P&amp;L - Inputs'!DH483</f>
        <v>275</v>
      </c>
      <c r="CJ99" s="19">
        <f>'P&amp;L - Inputs'!DI483</f>
        <v>277</v>
      </c>
      <c r="CK99" s="19">
        <f>'P&amp;L - Inputs'!DJ483</f>
        <v>280</v>
      </c>
      <c r="CL99" s="19">
        <f>'P&amp;L - Inputs'!DK483</f>
        <v>284</v>
      </c>
      <c r="CM99" s="19">
        <f>'P&amp;L - Inputs'!DL483</f>
        <v>285</v>
      </c>
      <c r="CN99" s="19">
        <f>'P&amp;L - Inputs'!DM483</f>
        <v>287</v>
      </c>
      <c r="CO99" s="19">
        <f>'P&amp;L - Inputs'!DN483</f>
        <v>288</v>
      </c>
      <c r="CP99" s="19">
        <f>'P&amp;L - Inputs'!DO483</f>
        <v>289</v>
      </c>
      <c r="CQ99" s="19">
        <f>'P&amp;L - Inputs'!DP483</f>
        <v>291</v>
      </c>
      <c r="CR99" s="19">
        <f>'P&amp;L - Inputs'!DQ483</f>
        <v>292</v>
      </c>
      <c r="CS99" s="19">
        <f>'P&amp;L - Inputs'!DR483</f>
        <v>294</v>
      </c>
      <c r="CT99" s="19">
        <f>'P&amp;L - Inputs'!DS483</f>
        <v>297</v>
      </c>
      <c r="CU99" s="19">
        <f>'P&amp;L - Inputs'!DT483</f>
        <v>299</v>
      </c>
      <c r="CV99" s="19">
        <f>'P&amp;L - Inputs'!DU483</f>
        <v>301</v>
      </c>
      <c r="CW99" s="19">
        <f>'P&amp;L - Inputs'!DV483</f>
        <v>304</v>
      </c>
      <c r="CX99" s="19">
        <f>'P&amp;L - Inputs'!DW483</f>
        <v>308</v>
      </c>
      <c r="CY99" s="19">
        <f>'P&amp;L - Inputs'!DX483</f>
        <v>309</v>
      </c>
      <c r="CZ99" s="19">
        <f>'P&amp;L - Inputs'!DY483</f>
        <v>311</v>
      </c>
      <c r="DA99" s="19">
        <f>'P&amp;L - Inputs'!DZ483</f>
        <v>312</v>
      </c>
      <c r="DB99" s="19">
        <f>'P&amp;L - Inputs'!EA483</f>
        <v>313</v>
      </c>
      <c r="DC99" s="19">
        <f>'P&amp;L - Inputs'!EB483</f>
        <v>315</v>
      </c>
      <c r="DD99" s="19">
        <f>'P&amp;L - Inputs'!EC483</f>
        <v>316</v>
      </c>
      <c r="DF99" s="165">
        <f t="shared" si="367"/>
        <v>193</v>
      </c>
      <c r="DG99" s="165">
        <f t="shared" si="368"/>
        <v>188</v>
      </c>
      <c r="DH99" s="165">
        <f t="shared" si="369"/>
        <v>188</v>
      </c>
      <c r="DI99" s="165">
        <f t="shared" si="370"/>
        <v>179</v>
      </c>
      <c r="DJ99" s="165">
        <f t="shared" si="371"/>
        <v>178</v>
      </c>
      <c r="DK99" s="165">
        <f t="shared" si="372"/>
        <v>179</v>
      </c>
      <c r="DL99" s="165">
        <f t="shared" si="373"/>
        <v>176</v>
      </c>
      <c r="DM99" s="165">
        <f t="shared" si="374"/>
        <v>179</v>
      </c>
      <c r="DN99" s="165">
        <f t="shared" si="375"/>
        <v>189</v>
      </c>
      <c r="DO99" s="165">
        <f t="shared" si="376"/>
        <v>197</v>
      </c>
      <c r="DP99" s="165">
        <f t="shared" si="377"/>
        <v>210</v>
      </c>
      <c r="DQ99" s="165">
        <f t="shared" si="378"/>
        <v>233</v>
      </c>
      <c r="DR99" s="165">
        <f t="shared" si="379"/>
        <v>243</v>
      </c>
      <c r="DS99" s="165">
        <f t="shared" si="380"/>
        <v>252</v>
      </c>
      <c r="DT99" s="165">
        <f t="shared" si="381"/>
        <v>259</v>
      </c>
      <c r="DU99" s="165">
        <f t="shared" si="382"/>
        <v>268</v>
      </c>
      <c r="DV99" s="165">
        <f t="shared" si="383"/>
        <v>275</v>
      </c>
      <c r="DW99" s="165">
        <f t="shared" si="384"/>
        <v>284</v>
      </c>
      <c r="DX99" s="165">
        <f t="shared" si="385"/>
        <v>288</v>
      </c>
      <c r="DY99" s="165">
        <f t="shared" si="386"/>
        <v>292</v>
      </c>
      <c r="DZ99" s="165">
        <f t="shared" si="306"/>
        <v>890</v>
      </c>
      <c r="EA99" s="165">
        <f t="shared" si="307"/>
        <v>913</v>
      </c>
      <c r="EB99" s="165">
        <f t="shared" si="308"/>
        <v>932</v>
      </c>
      <c r="EC99" s="165">
        <f t="shared" si="309"/>
        <v>944</v>
      </c>
      <c r="EE99" s="165">
        <f t="shared" si="362"/>
        <v>179</v>
      </c>
      <c r="EF99" s="165">
        <f t="shared" si="363"/>
        <v>179</v>
      </c>
      <c r="EG99" s="165">
        <f t="shared" si="364"/>
        <v>233</v>
      </c>
      <c r="EH99" s="165">
        <f t="shared" si="365"/>
        <v>268</v>
      </c>
      <c r="EI99" s="165">
        <f t="shared" si="366"/>
        <v>292</v>
      </c>
      <c r="EJ99" s="804">
        <f t="shared" si="310"/>
        <v>3679</v>
      </c>
    </row>
    <row r="100" spans="2:140" x14ac:dyDescent="0.2">
      <c r="B100" s="173" t="s">
        <v>193</v>
      </c>
      <c r="C100" s="10"/>
      <c r="D100" s="10"/>
      <c r="E100" s="10"/>
      <c r="F100" s="10"/>
      <c r="G100" s="10"/>
      <c r="H100" s="10"/>
      <c r="I100" s="10"/>
      <c r="J100" s="10"/>
      <c r="K100" s="19">
        <f>'P&amp;L - Inputs'!AJ484</f>
        <v>6</v>
      </c>
      <c r="L100" s="19">
        <f>'P&amp;L - Inputs'!AK484</f>
        <v>6</v>
      </c>
      <c r="M100" s="19">
        <f>'P&amp;L - Inputs'!AL484</f>
        <v>8</v>
      </c>
      <c r="N100" s="19">
        <f>'P&amp;L - Inputs'!AM484</f>
        <v>8</v>
      </c>
      <c r="O100" s="19">
        <f>'P&amp;L - Inputs'!AN484</f>
        <v>9</v>
      </c>
      <c r="P100" s="19">
        <f>'P&amp;L - Inputs'!AO484</f>
        <v>9</v>
      </c>
      <c r="Q100" s="19">
        <f>'P&amp;L - Inputs'!AP484</f>
        <v>9</v>
      </c>
      <c r="R100" s="19">
        <f>'P&amp;L - Inputs'!AQ484</f>
        <v>10</v>
      </c>
      <c r="S100" s="19">
        <f>'P&amp;L - Inputs'!AR484</f>
        <v>10</v>
      </c>
      <c r="T100" s="19">
        <f>'P&amp;L - Inputs'!AS484</f>
        <v>12</v>
      </c>
      <c r="U100" s="19">
        <f>'P&amp;L - Inputs'!AT484</f>
        <v>12</v>
      </c>
      <c r="V100" s="19">
        <f>'P&amp;L - Inputs'!AU484</f>
        <v>14</v>
      </c>
      <c r="W100" s="19">
        <f>'P&amp;L - Inputs'!AV484</f>
        <v>14</v>
      </c>
      <c r="X100" s="19">
        <f>'P&amp;L - Inputs'!AW484</f>
        <v>14</v>
      </c>
      <c r="Y100" s="19">
        <f>'P&amp;L - Inputs'!AX484</f>
        <v>12</v>
      </c>
      <c r="Z100" s="19">
        <f>'P&amp;L - Inputs'!AY484</f>
        <v>10</v>
      </c>
      <c r="AA100" s="19">
        <f>'P&amp;L - Inputs'!AZ484</f>
        <v>8</v>
      </c>
      <c r="AB100" s="19">
        <f>'P&amp;L - Inputs'!BA484</f>
        <v>8</v>
      </c>
      <c r="AC100" s="19">
        <f>'P&amp;L - Inputs'!BB484</f>
        <v>8</v>
      </c>
      <c r="AD100" s="19">
        <f>'P&amp;L - Inputs'!BC484</f>
        <v>8</v>
      </c>
      <c r="AE100" s="19">
        <f>'P&amp;L - Inputs'!BD484</f>
        <v>8</v>
      </c>
      <c r="AF100" s="19">
        <f>'P&amp;L - Inputs'!BE484</f>
        <v>8</v>
      </c>
      <c r="AG100" s="19">
        <f>'P&amp;L - Inputs'!BF484</f>
        <v>7</v>
      </c>
      <c r="AH100" s="19">
        <f>'P&amp;L - Inputs'!BG484</f>
        <v>7</v>
      </c>
      <c r="AI100" s="19">
        <f>'P&amp;L - Inputs'!BH484</f>
        <v>7</v>
      </c>
      <c r="AJ100" s="19">
        <f>'P&amp;L - Inputs'!BI484</f>
        <v>7</v>
      </c>
      <c r="AK100" s="19">
        <f>'P&amp;L - Inputs'!BJ484</f>
        <v>7</v>
      </c>
      <c r="AL100" s="19">
        <f>'P&amp;L - Inputs'!BK484</f>
        <v>7</v>
      </c>
      <c r="AM100" s="19">
        <f>'P&amp;L - Inputs'!BL484</f>
        <v>7</v>
      </c>
      <c r="AN100" s="19">
        <f>'P&amp;L - Inputs'!BM484</f>
        <v>7</v>
      </c>
      <c r="AO100" s="19">
        <f>'P&amp;L - Inputs'!BN484</f>
        <v>6</v>
      </c>
      <c r="AP100" s="19">
        <f>'P&amp;L - Inputs'!BO484</f>
        <v>6</v>
      </c>
      <c r="AQ100" s="19">
        <f>'P&amp;L - Inputs'!BP484</f>
        <v>6</v>
      </c>
      <c r="AR100" s="19">
        <f>'P&amp;L - Inputs'!BQ484</f>
        <v>6</v>
      </c>
      <c r="AS100" s="19">
        <f>'P&amp;L - Inputs'!BR484</f>
        <v>6</v>
      </c>
      <c r="AT100" s="19">
        <f>'P&amp;L - Inputs'!BS484</f>
        <v>6</v>
      </c>
      <c r="AU100" s="19">
        <f>'P&amp;L - Inputs'!BT484</f>
        <v>6</v>
      </c>
      <c r="AV100" s="19">
        <f>'P&amp;L - Inputs'!BU484</f>
        <v>6</v>
      </c>
      <c r="AW100" s="19">
        <f>'P&amp;L - Inputs'!BV484</f>
        <v>6</v>
      </c>
      <c r="AX100" s="19">
        <f>'P&amp;L - Inputs'!BW484</f>
        <v>6</v>
      </c>
      <c r="AY100" s="19">
        <f>'P&amp;L - Inputs'!BX484</f>
        <v>6</v>
      </c>
      <c r="AZ100" s="19">
        <f>'P&amp;L - Inputs'!BY484</f>
        <v>3</v>
      </c>
      <c r="BA100" s="19">
        <f>'P&amp;L - Inputs'!BZ484</f>
        <v>3</v>
      </c>
      <c r="BB100" s="19">
        <f>'P&amp;L - Inputs'!CA484</f>
        <v>3</v>
      </c>
      <c r="BC100" s="19">
        <f>'P&amp;L - Inputs'!CB484</f>
        <v>3</v>
      </c>
      <c r="BD100" s="19">
        <f>'P&amp;L - Inputs'!CC484</f>
        <v>3</v>
      </c>
      <c r="BE100" s="19">
        <f>'P&amp;L - Inputs'!CD484</f>
        <v>3</v>
      </c>
      <c r="BF100" s="19">
        <f>'P&amp;L - Inputs'!CE484</f>
        <v>3</v>
      </c>
      <c r="BG100" s="19">
        <f>'P&amp;L - Inputs'!CF484</f>
        <v>4</v>
      </c>
      <c r="BH100" s="19">
        <f>'P&amp;L - Inputs'!CG484</f>
        <v>4</v>
      </c>
      <c r="BI100" s="19">
        <f>'P&amp;L - Inputs'!CH484</f>
        <v>4</v>
      </c>
      <c r="BJ100" s="19">
        <f>'P&amp;L - Inputs'!CI484</f>
        <v>4</v>
      </c>
      <c r="BK100" s="19">
        <f>'P&amp;L - Inputs'!CJ484</f>
        <v>4</v>
      </c>
      <c r="BL100" s="19">
        <f>'P&amp;L - Inputs'!CK484</f>
        <v>4</v>
      </c>
      <c r="BM100" s="19">
        <f>'P&amp;L - Inputs'!CL484</f>
        <v>4</v>
      </c>
      <c r="BN100" s="19">
        <f>'P&amp;L - Inputs'!CM484</f>
        <v>4</v>
      </c>
      <c r="BO100" s="19">
        <f>'P&amp;L - Inputs'!CN484</f>
        <v>4</v>
      </c>
      <c r="BP100" s="19">
        <f>'P&amp;L - Inputs'!CO484</f>
        <v>4</v>
      </c>
      <c r="BQ100" s="19">
        <f>'P&amp;L - Inputs'!CP484</f>
        <v>4</v>
      </c>
      <c r="BR100" s="19">
        <f>'P&amp;L - Inputs'!CQ484</f>
        <v>4</v>
      </c>
      <c r="BS100" s="19">
        <f>'P&amp;L - Inputs'!CR484</f>
        <v>4</v>
      </c>
      <c r="BT100" s="19">
        <f>'P&amp;L - Inputs'!CS484</f>
        <v>4</v>
      </c>
      <c r="BU100" s="19">
        <f>'P&amp;L - Inputs'!CT484</f>
        <v>0</v>
      </c>
      <c r="BV100" s="19">
        <f>'P&amp;L - Inputs'!CU484</f>
        <v>0</v>
      </c>
      <c r="BW100" s="19">
        <f>'P&amp;L - Inputs'!CV484</f>
        <v>0</v>
      </c>
      <c r="BX100" s="19">
        <f>'P&amp;L - Inputs'!CW484</f>
        <v>0</v>
      </c>
      <c r="BY100" s="19">
        <f>'P&amp;L - Inputs'!CX484</f>
        <v>0</v>
      </c>
      <c r="BZ100" s="19">
        <f>'P&amp;L - Inputs'!CY484</f>
        <v>0</v>
      </c>
      <c r="CA100" s="19">
        <f>'P&amp;L - Inputs'!CZ484</f>
        <v>0</v>
      </c>
      <c r="CB100" s="19">
        <f>'P&amp;L - Inputs'!DA484</f>
        <v>0</v>
      </c>
      <c r="CC100" s="19">
        <f>'P&amp;L - Inputs'!DB484</f>
        <v>0</v>
      </c>
      <c r="CD100" s="19">
        <f>'P&amp;L - Inputs'!DC484</f>
        <v>0</v>
      </c>
      <c r="CE100" s="19">
        <f>'P&amp;L - Inputs'!DD484</f>
        <v>0</v>
      </c>
      <c r="CF100" s="19">
        <f>'P&amp;L - Inputs'!DE484</f>
        <v>0</v>
      </c>
      <c r="CG100" s="19">
        <f>'P&amp;L - Inputs'!DF484</f>
        <v>0</v>
      </c>
      <c r="CH100" s="19">
        <f>'P&amp;L - Inputs'!DG484</f>
        <v>0</v>
      </c>
      <c r="CI100" s="19">
        <f>'P&amp;L - Inputs'!DH484</f>
        <v>0</v>
      </c>
      <c r="CJ100" s="19">
        <f>'P&amp;L - Inputs'!DI484</f>
        <v>0</v>
      </c>
      <c r="CK100" s="19">
        <f>'P&amp;L - Inputs'!DJ484</f>
        <v>0</v>
      </c>
      <c r="CL100" s="19">
        <f>'P&amp;L - Inputs'!DK484</f>
        <v>0</v>
      </c>
      <c r="CM100" s="19">
        <f>'P&amp;L - Inputs'!DL484</f>
        <v>0</v>
      </c>
      <c r="CN100" s="19">
        <f>'P&amp;L - Inputs'!DM484</f>
        <v>0</v>
      </c>
      <c r="CO100" s="19">
        <f>'P&amp;L - Inputs'!DN484</f>
        <v>0</v>
      </c>
      <c r="CP100" s="19">
        <f>'P&amp;L - Inputs'!DO484</f>
        <v>0</v>
      </c>
      <c r="CQ100" s="19">
        <f>'P&amp;L - Inputs'!DP484</f>
        <v>0</v>
      </c>
      <c r="CR100" s="19">
        <f>'P&amp;L - Inputs'!DQ484</f>
        <v>0</v>
      </c>
      <c r="CS100" s="19">
        <f>'P&amp;L - Inputs'!DR484</f>
        <v>0</v>
      </c>
      <c r="CT100" s="19">
        <f>'P&amp;L - Inputs'!DS484</f>
        <v>0</v>
      </c>
      <c r="CU100" s="19">
        <f>'P&amp;L - Inputs'!DT484</f>
        <v>0</v>
      </c>
      <c r="CV100" s="19">
        <f>'P&amp;L - Inputs'!DU484</f>
        <v>0</v>
      </c>
      <c r="CW100" s="19">
        <f>'P&amp;L - Inputs'!DV484</f>
        <v>0</v>
      </c>
      <c r="CX100" s="19">
        <f>'P&amp;L - Inputs'!DW484</f>
        <v>0</v>
      </c>
      <c r="CY100" s="19">
        <f>'P&amp;L - Inputs'!DX484</f>
        <v>0</v>
      </c>
      <c r="CZ100" s="19">
        <f>'P&amp;L - Inputs'!DY484</f>
        <v>0</v>
      </c>
      <c r="DA100" s="19">
        <f>'P&amp;L - Inputs'!DZ484</f>
        <v>0</v>
      </c>
      <c r="DB100" s="19">
        <f>'P&amp;L - Inputs'!EA484</f>
        <v>0</v>
      </c>
      <c r="DC100" s="19">
        <f>'P&amp;L - Inputs'!EB484</f>
        <v>0</v>
      </c>
      <c r="DD100" s="19">
        <f>'P&amp;L - Inputs'!EC484</f>
        <v>0</v>
      </c>
      <c r="DF100" s="165">
        <f t="shared" si="367"/>
        <v>7</v>
      </c>
      <c r="DG100" s="165">
        <f t="shared" si="368"/>
        <v>6</v>
      </c>
      <c r="DH100" s="165">
        <f t="shared" si="369"/>
        <v>6</v>
      </c>
      <c r="DI100" s="165">
        <f t="shared" si="370"/>
        <v>6</v>
      </c>
      <c r="DJ100" s="165">
        <f t="shared" si="371"/>
        <v>6</v>
      </c>
      <c r="DK100" s="165">
        <f t="shared" si="372"/>
        <v>3</v>
      </c>
      <c r="DL100" s="165">
        <f t="shared" si="373"/>
        <v>3</v>
      </c>
      <c r="DM100" s="165">
        <f t="shared" si="374"/>
        <v>4</v>
      </c>
      <c r="DN100" s="165">
        <f t="shared" si="375"/>
        <v>4</v>
      </c>
      <c r="DO100" s="165">
        <f t="shared" si="376"/>
        <v>4</v>
      </c>
      <c r="DP100" s="165">
        <f t="shared" si="377"/>
        <v>4</v>
      </c>
      <c r="DQ100" s="165">
        <f t="shared" si="378"/>
        <v>4</v>
      </c>
      <c r="DR100" s="165">
        <f t="shared" si="379"/>
        <v>0</v>
      </c>
      <c r="DS100" s="165">
        <f t="shared" si="380"/>
        <v>0</v>
      </c>
      <c r="DT100" s="165">
        <f t="shared" si="381"/>
        <v>0</v>
      </c>
      <c r="DU100" s="165">
        <f t="shared" si="382"/>
        <v>0</v>
      </c>
      <c r="DV100" s="165">
        <f t="shared" si="383"/>
        <v>0</v>
      </c>
      <c r="DW100" s="165">
        <f t="shared" si="384"/>
        <v>0</v>
      </c>
      <c r="DX100" s="165">
        <f t="shared" si="385"/>
        <v>0</v>
      </c>
      <c r="DY100" s="165">
        <f t="shared" si="386"/>
        <v>0</v>
      </c>
      <c r="DZ100" s="165">
        <f t="shared" si="306"/>
        <v>0</v>
      </c>
      <c r="EA100" s="165">
        <f t="shared" si="307"/>
        <v>0</v>
      </c>
      <c r="EB100" s="165">
        <f t="shared" si="308"/>
        <v>0</v>
      </c>
      <c r="EC100" s="165">
        <f t="shared" si="309"/>
        <v>0</v>
      </c>
      <c r="EE100" s="165">
        <f t="shared" si="362"/>
        <v>6</v>
      </c>
      <c r="EF100" s="165">
        <f t="shared" si="363"/>
        <v>4</v>
      </c>
      <c r="EG100" s="165">
        <f t="shared" si="364"/>
        <v>4</v>
      </c>
      <c r="EH100" s="165">
        <f t="shared" si="365"/>
        <v>0</v>
      </c>
      <c r="EI100" s="165">
        <f t="shared" si="366"/>
        <v>0</v>
      </c>
      <c r="EJ100" s="804">
        <f t="shared" si="310"/>
        <v>0</v>
      </c>
    </row>
    <row r="101" spans="2:140" x14ac:dyDescent="0.2">
      <c r="B101" s="21"/>
      <c r="C101" s="10"/>
      <c r="D101" s="165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E101" s="10"/>
      <c r="EF101" s="10"/>
      <c r="EG101" s="10"/>
      <c r="EH101" s="10"/>
      <c r="EI101" s="10"/>
      <c r="EJ101" s="812"/>
    </row>
    <row r="102" spans="2:140" x14ac:dyDescent="0.2">
      <c r="B102" s="196" t="s">
        <v>18</v>
      </c>
      <c r="C102" s="198">
        <f>C103+C107+C110+C111+C112+C113+C114+C115+C116</f>
        <v>5804540.1507027065</v>
      </c>
      <c r="D102" s="198">
        <f t="shared" ref="D102:BO102" si="390">D103+D107+D110+D111+D112+D113+D114+D115+D116</f>
        <v>5158352.165744788</v>
      </c>
      <c r="E102" s="198">
        <f t="shared" si="390"/>
        <v>6931074.854548553</v>
      </c>
      <c r="F102" s="198">
        <f t="shared" si="390"/>
        <v>9055443.7951604314</v>
      </c>
      <c r="G102" s="198">
        <f t="shared" si="390"/>
        <v>9739839.6095205974</v>
      </c>
      <c r="H102" s="198">
        <f t="shared" si="390"/>
        <v>14316377.029019073</v>
      </c>
      <c r="I102" s="198">
        <f t="shared" si="390"/>
        <v>33621392.978916191</v>
      </c>
      <c r="J102" s="198">
        <f t="shared" si="390"/>
        <v>33351702.244746905</v>
      </c>
      <c r="K102" s="198">
        <f t="shared" si="390"/>
        <v>32030523.624879539</v>
      </c>
      <c r="L102" s="198">
        <f t="shared" si="390"/>
        <v>33879111.585640885</v>
      </c>
      <c r="M102" s="198">
        <f t="shared" si="390"/>
        <v>19370416.08806064</v>
      </c>
      <c r="N102" s="198">
        <f t="shared" si="390"/>
        <v>504577.97326422721</v>
      </c>
      <c r="O102" s="198">
        <f t="shared" si="390"/>
        <v>13585599.06642</v>
      </c>
      <c r="P102" s="198">
        <f t="shared" si="390"/>
        <v>20028037.856196847</v>
      </c>
      <c r="Q102" s="198">
        <f t="shared" si="390"/>
        <v>26183271.138574556</v>
      </c>
      <c r="R102" s="198">
        <f t="shared" si="390"/>
        <v>37245465.87729612</v>
      </c>
      <c r="S102" s="198">
        <f t="shared" si="390"/>
        <v>45865825.928433366</v>
      </c>
      <c r="T102" s="198">
        <f t="shared" si="390"/>
        <v>61757216.820567317</v>
      </c>
      <c r="U102" s="198">
        <f t="shared" si="390"/>
        <v>75855003.837421417</v>
      </c>
      <c r="V102" s="198">
        <f t="shared" si="390"/>
        <v>77247545.990484193</v>
      </c>
      <c r="W102" s="198">
        <f t="shared" si="390"/>
        <v>81864187.79118979</v>
      </c>
      <c r="X102" s="198">
        <f t="shared" si="390"/>
        <v>92409737.194651693</v>
      </c>
      <c r="Y102" s="198">
        <f t="shared" si="390"/>
        <v>82193295.098882124</v>
      </c>
      <c r="Z102" s="198">
        <f t="shared" si="390"/>
        <v>102882536.34528242</v>
      </c>
      <c r="AA102" s="198">
        <f t="shared" si="390"/>
        <v>123190827.18646382</v>
      </c>
      <c r="AB102" s="198">
        <f t="shared" si="390"/>
        <v>125314345.19586803</v>
      </c>
      <c r="AC102" s="198">
        <f t="shared" si="390"/>
        <v>135369132.84690616</v>
      </c>
      <c r="AD102" s="198">
        <f t="shared" si="390"/>
        <v>134920285.05698666</v>
      </c>
      <c r="AE102" s="198">
        <f t="shared" si="390"/>
        <v>148046358.79124653</v>
      </c>
      <c r="AF102" s="198">
        <f t="shared" si="390"/>
        <v>152376156.15576515</v>
      </c>
      <c r="AG102" s="198">
        <f t="shared" si="390"/>
        <v>182845666.56358379</v>
      </c>
      <c r="AH102" s="198">
        <f t="shared" si="390"/>
        <v>198792281.18380678</v>
      </c>
      <c r="AI102" s="198">
        <f t="shared" si="390"/>
        <v>194939845.44047904</v>
      </c>
      <c r="AJ102" s="198">
        <f t="shared" si="390"/>
        <v>249165395.97480801</v>
      </c>
      <c r="AK102" s="198">
        <f t="shared" si="390"/>
        <v>273092518.175313</v>
      </c>
      <c r="AL102" s="198">
        <f t="shared" si="390"/>
        <v>284626348.74032611</v>
      </c>
      <c r="AM102" s="198">
        <f t="shared" si="390"/>
        <v>274536238.48426723</v>
      </c>
      <c r="AN102" s="198">
        <f t="shared" si="390"/>
        <v>241686097.55465701</v>
      </c>
      <c r="AO102" s="198">
        <f t="shared" si="390"/>
        <v>241615525.54571018</v>
      </c>
      <c r="AP102" s="198">
        <f t="shared" si="390"/>
        <v>232838923.9062891</v>
      </c>
      <c r="AQ102" s="198">
        <f t="shared" si="390"/>
        <v>335282077.62678415</v>
      </c>
      <c r="AR102" s="198">
        <f t="shared" si="390"/>
        <v>287622823.76350564</v>
      </c>
      <c r="AS102" s="198">
        <f t="shared" si="390"/>
        <v>245826953.97463968</v>
      </c>
      <c r="AT102" s="198">
        <f t="shared" si="390"/>
        <v>218690762.99197665</v>
      </c>
      <c r="AU102" s="198">
        <f t="shared" si="390"/>
        <v>189845418.77819806</v>
      </c>
      <c r="AV102" s="198">
        <f t="shared" si="390"/>
        <v>231963494.91623446</v>
      </c>
      <c r="AW102" s="198">
        <f t="shared" si="390"/>
        <v>252325448.15113145</v>
      </c>
      <c r="AX102" s="198">
        <f t="shared" si="390"/>
        <v>246534146.4617331</v>
      </c>
      <c r="AY102" s="198">
        <f t="shared" si="390"/>
        <v>264951485.26799598</v>
      </c>
      <c r="AZ102" s="198">
        <f t="shared" si="390"/>
        <v>250051355.57436565</v>
      </c>
      <c r="BA102" s="198">
        <f t="shared" si="390"/>
        <v>210924446.41332749</v>
      </c>
      <c r="BB102" s="198">
        <f t="shared" si="390"/>
        <v>184888608.55294722</v>
      </c>
      <c r="BC102" s="198">
        <f t="shared" si="390"/>
        <v>261345290.7657153</v>
      </c>
      <c r="BD102" s="198">
        <f t="shared" si="390"/>
        <v>253750532.77981362</v>
      </c>
      <c r="BE102" s="198">
        <f t="shared" si="390"/>
        <v>305040111.87439108</v>
      </c>
      <c r="BF102" s="198">
        <f t="shared" si="390"/>
        <v>315959944.0201655</v>
      </c>
      <c r="BG102" s="198">
        <f t="shared" si="390"/>
        <v>298119345.17532617</v>
      </c>
      <c r="BH102" s="198">
        <f t="shared" si="390"/>
        <v>369932079.68220657</v>
      </c>
      <c r="BI102" s="198">
        <f t="shared" si="390"/>
        <v>358143407.57613909</v>
      </c>
      <c r="BJ102" s="198">
        <f t="shared" si="390"/>
        <v>344417552.49137747</v>
      </c>
      <c r="BK102" s="198">
        <f t="shared" si="390"/>
        <v>347515121.54129481</v>
      </c>
      <c r="BL102" s="198">
        <f t="shared" si="390"/>
        <v>386749518.97166145</v>
      </c>
      <c r="BM102" s="198">
        <f t="shared" si="390"/>
        <v>317639672.81357008</v>
      </c>
      <c r="BN102" s="198">
        <f t="shared" si="390"/>
        <v>301382585.77817637</v>
      </c>
      <c r="BO102" s="198">
        <f t="shared" si="390"/>
        <v>436753712.08764595</v>
      </c>
      <c r="BP102" s="198">
        <f t="shared" ref="BP102:BT102" si="391">BP103+BP107+BP110+BP111+BP112+BP113+BP114+BP115+BP116</f>
        <v>391541295.03506422</v>
      </c>
      <c r="BQ102" s="198">
        <f t="shared" si="391"/>
        <v>504016748.924815</v>
      </c>
      <c r="BR102" s="198">
        <f t="shared" si="391"/>
        <v>531672975.5949136</v>
      </c>
      <c r="BS102" s="198">
        <f t="shared" si="391"/>
        <v>519872405.42068732</v>
      </c>
      <c r="BT102" s="198">
        <f t="shared" si="391"/>
        <v>633234495.10530257</v>
      </c>
      <c r="BU102" s="198">
        <f>'P&amp;L - Inputs'!CT488</f>
        <v>515398347.0888983</v>
      </c>
      <c r="BV102" s="198">
        <f>'P&amp;L - Inputs'!CU488</f>
        <v>504466190.69538665</v>
      </c>
      <c r="BW102" s="198">
        <f>'P&amp;L - Inputs'!CV488</f>
        <v>503280961.05862111</v>
      </c>
      <c r="BX102" s="198">
        <f>'P&amp;L - Inputs'!CW488</f>
        <v>545678249.39519083</v>
      </c>
      <c r="BY102" s="198">
        <f>'P&amp;L - Inputs'!CX488</f>
        <v>486424319.91536379</v>
      </c>
      <c r="BZ102" s="198">
        <f>'P&amp;L - Inputs'!CY488</f>
        <v>450860447.03182423</v>
      </c>
      <c r="CA102" s="198">
        <f>'P&amp;L - Inputs'!CZ488</f>
        <v>564872761.38852143</v>
      </c>
      <c r="CB102" s="198">
        <f>'P&amp;L - Inputs'!DA488</f>
        <v>519328054.02154654</v>
      </c>
      <c r="CC102" s="198">
        <f>'P&amp;L - Inputs'!DB488</f>
        <v>619589206.41217113</v>
      </c>
      <c r="CD102" s="198">
        <f>'P&amp;L - Inputs'!DC488</f>
        <v>634974732.96691096</v>
      </c>
      <c r="CE102" s="198">
        <f>'P&amp;L - Inputs'!DD488</f>
        <v>589648158.34616339</v>
      </c>
      <c r="CF102" s="198">
        <f>'P&amp;L - Inputs'!DE488</f>
        <v>687408782.07312334</v>
      </c>
      <c r="CG102" s="198">
        <f>'P&amp;L - Inputs'!DF488</f>
        <v>631739909.91018367</v>
      </c>
      <c r="CH102" s="198">
        <f>'P&amp;L - Inputs'!DG488</f>
        <v>619909316.09552789</v>
      </c>
      <c r="CI102" s="198">
        <f>'P&amp;L - Inputs'!DH488</f>
        <v>615246679.40086043</v>
      </c>
      <c r="CJ102" s="198">
        <f>'P&amp;L - Inputs'!DI488</f>
        <v>666679700.11226881</v>
      </c>
      <c r="CK102" s="198">
        <f>'P&amp;L - Inputs'!DJ488</f>
        <v>593076371.21497416</v>
      </c>
      <c r="CL102" s="198">
        <f>'P&amp;L - Inputs'!DK488</f>
        <v>548434340.93623567</v>
      </c>
      <c r="CM102" s="198">
        <f>'P&amp;L - Inputs'!DL488</f>
        <v>684897518.92755127</v>
      </c>
      <c r="CN102" s="198">
        <f>'P&amp;L - Inputs'!DM488</f>
        <v>626394499.74845707</v>
      </c>
      <c r="CO102" s="198">
        <f>'P&amp;L - Inputs'!DN488</f>
        <v>744740195.72235405</v>
      </c>
      <c r="CP102" s="198">
        <f>'P&amp;L - Inputs'!DO488</f>
        <v>760070459.36980295</v>
      </c>
      <c r="CQ102" s="198">
        <f>'P&amp;L - Inputs'!DP488</f>
        <v>702351726.30644155</v>
      </c>
      <c r="CR102" s="198">
        <f>'P&amp;L - Inputs'!DQ488</f>
        <v>809841071.68576467</v>
      </c>
      <c r="CS102" s="198">
        <f>'P&amp;L - Inputs'!DR488</f>
        <v>722691502.38073027</v>
      </c>
      <c r="CT102" s="198">
        <f>'P&amp;L - Inputs'!DS488</f>
        <v>708459214.353122</v>
      </c>
      <c r="CU102" s="198">
        <f>'P&amp;L - Inputs'!DT488</f>
        <v>702686005.6423105</v>
      </c>
      <c r="CV102" s="198">
        <f>'P&amp;L - Inputs'!DU488</f>
        <v>761149525.05814278</v>
      </c>
      <c r="CW102" s="198">
        <f>'P&amp;L - Inputs'!DV488</f>
        <v>676278899.19844258</v>
      </c>
      <c r="CX102" s="198">
        <f>'P&amp;L - Inputs'!DW488</f>
        <v>624485411.88236094</v>
      </c>
      <c r="CY102" s="198">
        <f>'P&amp;L - Inputs'!DX488</f>
        <v>780195404.98428488</v>
      </c>
      <c r="CZ102" s="198">
        <f>'P&amp;L - Inputs'!DY488</f>
        <v>712963084.99065697</v>
      </c>
      <c r="DA102" s="198">
        <f>'P&amp;L - Inputs'!DZ488</f>
        <v>847846936.8483547</v>
      </c>
      <c r="DB102" s="198">
        <f>'P&amp;L - Inputs'!EA488</f>
        <v>865107238.80061066</v>
      </c>
      <c r="DC102" s="198">
        <f>'P&amp;L - Inputs'!EB488</f>
        <v>798806660.3989296</v>
      </c>
      <c r="DD102" s="198">
        <f>'P&amp;L - Inputs'!EC488</f>
        <v>921152150.1187669</v>
      </c>
      <c r="DF102" s="198">
        <f t="shared" ref="DF102:DF116" si="392">SUM(AK102:AM102)</f>
        <v>832255105.3999064</v>
      </c>
      <c r="DG102" s="198">
        <f t="shared" ref="DG102:DG116" si="393">SUM(AN102:AP102)</f>
        <v>716140547.00665629</v>
      </c>
      <c r="DH102" s="198">
        <f t="shared" ref="DH102:DH116" si="394">SUM(AQ102:AS102)</f>
        <v>868731855.36492944</v>
      </c>
      <c r="DI102" s="198">
        <f t="shared" ref="DI102:DI116" si="395">SUM(AT102:AV102)</f>
        <v>640499676.68640924</v>
      </c>
      <c r="DJ102" s="198">
        <f t="shared" ref="DJ102:DJ116" si="396">SUM(AW102:AY102)</f>
        <v>763811079.88086057</v>
      </c>
      <c r="DK102" s="198">
        <f t="shared" ref="DK102:DK116" si="397">SUM(AZ102:BB102)</f>
        <v>645864410.54064035</v>
      </c>
      <c r="DL102" s="198">
        <f t="shared" ref="DL102:DL116" si="398">SUM(BC102:BE102)</f>
        <v>820135935.41991997</v>
      </c>
      <c r="DM102" s="198">
        <f t="shared" ref="DM102:DM116" si="399">SUM(BF102:BH102)</f>
        <v>984011368.87769818</v>
      </c>
      <c r="DN102" s="198">
        <f t="shared" ref="DN102:DN116" si="400">SUM(BI102:BK102)</f>
        <v>1050076081.6088114</v>
      </c>
      <c r="DO102" s="198">
        <f t="shared" ref="DO102:DO116" si="401">SUM(BL102:BN102)</f>
        <v>1005771777.5634079</v>
      </c>
      <c r="DP102" s="198">
        <f t="shared" ref="DP102:DP116" si="402">SUM(BO102:BQ102)</f>
        <v>1332311756.0475252</v>
      </c>
      <c r="DQ102" s="198">
        <f t="shared" ref="DQ102:DQ116" si="403">SUM(BR102:BT102)</f>
        <v>1684779876.1209035</v>
      </c>
      <c r="DR102" s="198">
        <f t="shared" ref="DR102:DR116" si="404">SUM(BU102:BW102)</f>
        <v>1523145498.842906</v>
      </c>
      <c r="DS102" s="198">
        <f t="shared" ref="DS102:DS116" si="405">SUM(BX102:BZ102)</f>
        <v>1482963016.3423789</v>
      </c>
      <c r="DT102" s="198">
        <f t="shared" ref="DT102:DT116" si="406">SUM(CA102:CC102)</f>
        <v>1703790021.8222392</v>
      </c>
      <c r="DU102" s="198">
        <f t="shared" ref="DU102:DU116" si="407">SUM(CD102:CF102)</f>
        <v>1912031673.3861976</v>
      </c>
      <c r="DV102" s="198">
        <f t="shared" ref="DV102:DV116" si="408">SUM(CG102:CI102)</f>
        <v>1866895905.4065719</v>
      </c>
      <c r="DW102" s="198">
        <f t="shared" ref="DW102:DW116" si="409">SUM(CJ102:CL102)</f>
        <v>1808190412.2634785</v>
      </c>
      <c r="DX102" s="198">
        <f t="shared" ref="DX102:DX116" si="410">SUM(CM102:CO102)</f>
        <v>2056032214.3983622</v>
      </c>
      <c r="DY102" s="198">
        <f t="shared" ref="DY102:DY116" si="411">SUM(CP102:CR102)</f>
        <v>2272263257.362009</v>
      </c>
      <c r="DZ102" s="198">
        <f t="shared" si="306"/>
        <v>2133836722.376163</v>
      </c>
      <c r="EA102" s="198">
        <f t="shared" si="307"/>
        <v>2061913836.1389463</v>
      </c>
      <c r="EB102" s="198">
        <f t="shared" si="308"/>
        <v>2341005426.8232965</v>
      </c>
      <c r="EC102" s="198">
        <f t="shared" si="309"/>
        <v>2585066049.3183069</v>
      </c>
      <c r="EE102" s="198">
        <f t="shared" ref="EE102:EE116" si="412">SUM(DF102:DI102)</f>
        <v>3057627184.457901</v>
      </c>
      <c r="EF102" s="198">
        <f t="shared" ref="EF102:EF116" si="413">SUM(DJ102:DM102)</f>
        <v>3213822794.7191191</v>
      </c>
      <c r="EG102" s="198">
        <f t="shared" ref="EG102:EG116" si="414">SUM(DN102:DQ102)</f>
        <v>5072939491.3406487</v>
      </c>
      <c r="EH102" s="198">
        <f t="shared" ref="EH102:EH116" si="415">SUM(DR102:DU102)</f>
        <v>6621930210.3937206</v>
      </c>
      <c r="EI102" s="198">
        <f t="shared" ref="EI102:EI116" si="416">SUM(DV102:DY102)</f>
        <v>8003381789.4304218</v>
      </c>
      <c r="EJ102" s="814">
        <f t="shared" si="310"/>
        <v>9121822034.6567116</v>
      </c>
    </row>
    <row r="103" spans="2:140" x14ac:dyDescent="0.2">
      <c r="B103" s="167" t="s">
        <v>19</v>
      </c>
      <c r="C103" s="126">
        <f>SUM(C104:C106)</f>
        <v>4581423.4823615896</v>
      </c>
      <c r="D103" s="126">
        <f t="shared" ref="D103:BO103" si="417">SUM(D104:D106)</f>
        <v>4179698.8702537958</v>
      </c>
      <c r="E103" s="126">
        <f t="shared" si="417"/>
        <v>5574409.064434655</v>
      </c>
      <c r="F103" s="126">
        <f t="shared" si="417"/>
        <v>7527605.9021780258</v>
      </c>
      <c r="G103" s="126">
        <f t="shared" si="417"/>
        <v>8300368.4140230091</v>
      </c>
      <c r="H103" s="126">
        <f t="shared" si="417"/>
        <v>12244836.90593343</v>
      </c>
      <c r="I103" s="126">
        <f t="shared" si="417"/>
        <v>30994427.425028682</v>
      </c>
      <c r="J103" s="126">
        <f t="shared" si="417"/>
        <v>31096746.37986017</v>
      </c>
      <c r="K103" s="126">
        <f t="shared" si="417"/>
        <v>29781328.775421232</v>
      </c>
      <c r="L103" s="126">
        <f t="shared" si="417"/>
        <v>31541922.851203389</v>
      </c>
      <c r="M103" s="126">
        <f t="shared" si="417"/>
        <v>17714085.106990628</v>
      </c>
      <c r="N103" s="126">
        <f t="shared" si="417"/>
        <v>451354.55</v>
      </c>
      <c r="O103" s="126">
        <f t="shared" si="417"/>
        <v>11927072.381323151</v>
      </c>
      <c r="P103" s="126">
        <f t="shared" si="417"/>
        <v>17392497.241415035</v>
      </c>
      <c r="Q103" s="126">
        <f t="shared" si="417"/>
        <v>23397584.719631318</v>
      </c>
      <c r="R103" s="126">
        <f t="shared" si="417"/>
        <v>32969609.370732732</v>
      </c>
      <c r="S103" s="126">
        <f t="shared" si="417"/>
        <v>40182971.537842385</v>
      </c>
      <c r="T103" s="126">
        <f t="shared" si="417"/>
        <v>55368387.192294076</v>
      </c>
      <c r="U103" s="126">
        <f t="shared" si="417"/>
        <v>67763008.494263798</v>
      </c>
      <c r="V103" s="126">
        <f t="shared" si="417"/>
        <v>68606288.964532971</v>
      </c>
      <c r="W103" s="126">
        <f t="shared" si="417"/>
        <v>72450123.688667595</v>
      </c>
      <c r="X103" s="126">
        <f t="shared" si="417"/>
        <v>82258721.956153244</v>
      </c>
      <c r="Y103" s="126">
        <f t="shared" si="417"/>
        <v>74640395.52208963</v>
      </c>
      <c r="Z103" s="126">
        <f t="shared" si="417"/>
        <v>92576472.315427542</v>
      </c>
      <c r="AA103" s="126">
        <f t="shared" si="417"/>
        <v>109621903.26441725</v>
      </c>
      <c r="AB103" s="126">
        <f t="shared" si="417"/>
        <v>113656952.11977561</v>
      </c>
      <c r="AC103" s="126">
        <f t="shared" si="417"/>
        <v>123586337.96370861</v>
      </c>
      <c r="AD103" s="126">
        <f t="shared" si="417"/>
        <v>121721740.78589328</v>
      </c>
      <c r="AE103" s="126">
        <f t="shared" si="417"/>
        <v>134713014.48340517</v>
      </c>
      <c r="AF103" s="126">
        <f t="shared" si="417"/>
        <v>138442634.60987118</v>
      </c>
      <c r="AG103" s="126">
        <f t="shared" si="417"/>
        <v>166407402.88047829</v>
      </c>
      <c r="AH103" s="126">
        <f t="shared" si="417"/>
        <v>182958093.96254012</v>
      </c>
      <c r="AI103" s="126">
        <f t="shared" si="417"/>
        <v>180211513.09159341</v>
      </c>
      <c r="AJ103" s="126">
        <f t="shared" si="417"/>
        <v>230211768.57917359</v>
      </c>
      <c r="AK103" s="126">
        <f t="shared" si="417"/>
        <v>247876167.43639615</v>
      </c>
      <c r="AL103" s="126">
        <f t="shared" si="417"/>
        <v>255315567.18419826</v>
      </c>
      <c r="AM103" s="126">
        <f t="shared" si="417"/>
        <v>245907963.52862915</v>
      </c>
      <c r="AN103" s="126">
        <f t="shared" si="417"/>
        <v>214534967.34228292</v>
      </c>
      <c r="AO103" s="126">
        <f t="shared" si="417"/>
        <v>212600322.55672026</v>
      </c>
      <c r="AP103" s="126">
        <f t="shared" si="417"/>
        <v>207618396.0862332</v>
      </c>
      <c r="AQ103" s="126">
        <f t="shared" si="417"/>
        <v>302449654.10741007</v>
      </c>
      <c r="AR103" s="126">
        <f t="shared" si="417"/>
        <v>256402455.91563061</v>
      </c>
      <c r="AS103" s="126">
        <f t="shared" si="417"/>
        <v>218211362.12842044</v>
      </c>
      <c r="AT103" s="126">
        <f t="shared" si="417"/>
        <v>191146337.25621331</v>
      </c>
      <c r="AU103" s="126">
        <f t="shared" si="417"/>
        <v>163187161.04964858</v>
      </c>
      <c r="AV103" s="126">
        <f t="shared" si="417"/>
        <v>201428006.9065598</v>
      </c>
      <c r="AW103" s="126">
        <f t="shared" si="417"/>
        <v>221388296.62932208</v>
      </c>
      <c r="AX103" s="126">
        <f t="shared" si="417"/>
        <v>217516102.49981633</v>
      </c>
      <c r="AY103" s="126">
        <f t="shared" si="417"/>
        <v>232047634.82729393</v>
      </c>
      <c r="AZ103" s="126">
        <f t="shared" si="417"/>
        <v>218188849.78757885</v>
      </c>
      <c r="BA103" s="126">
        <f t="shared" si="417"/>
        <v>183475632.14191887</v>
      </c>
      <c r="BB103" s="126">
        <f t="shared" si="417"/>
        <v>159385532.80809826</v>
      </c>
      <c r="BC103" s="126">
        <f t="shared" si="417"/>
        <v>236059259.91480386</v>
      </c>
      <c r="BD103" s="126">
        <f t="shared" si="417"/>
        <v>227093177.15813661</v>
      </c>
      <c r="BE103" s="126">
        <f t="shared" si="417"/>
        <v>273308442.95220208</v>
      </c>
      <c r="BF103" s="126">
        <f t="shared" si="417"/>
        <v>284177325.64258623</v>
      </c>
      <c r="BG103" s="126">
        <f t="shared" si="417"/>
        <v>269489440.62377191</v>
      </c>
      <c r="BH103" s="126">
        <f t="shared" si="417"/>
        <v>336088607.7354793</v>
      </c>
      <c r="BI103" s="126">
        <f t="shared" si="417"/>
        <v>324391297.96819758</v>
      </c>
      <c r="BJ103" s="126">
        <f t="shared" si="417"/>
        <v>314446685.31638229</v>
      </c>
      <c r="BK103" s="126">
        <f t="shared" si="417"/>
        <v>316923535.32446235</v>
      </c>
      <c r="BL103" s="126">
        <f t="shared" si="417"/>
        <v>351835026.08909029</v>
      </c>
      <c r="BM103" s="126">
        <f t="shared" si="417"/>
        <v>283380141.66763228</v>
      </c>
      <c r="BN103" s="126">
        <f t="shared" si="417"/>
        <v>265894140.67207053</v>
      </c>
      <c r="BO103" s="126">
        <f t="shared" si="417"/>
        <v>398335093.5928576</v>
      </c>
      <c r="BP103" s="126">
        <f t="shared" ref="BP103:CR103" si="418">SUM(BP104:BP106)</f>
        <v>357319750.50009412</v>
      </c>
      <c r="BQ103" s="126">
        <f t="shared" si="418"/>
        <v>455028809.40839982</v>
      </c>
      <c r="BR103" s="126">
        <f t="shared" si="418"/>
        <v>478904123.64780003</v>
      </c>
      <c r="BS103" s="126">
        <f t="shared" si="418"/>
        <v>467511856.62919992</v>
      </c>
      <c r="BT103" s="126">
        <f t="shared" si="418"/>
        <v>567489139.55989969</v>
      </c>
      <c r="BU103" s="126">
        <f t="shared" si="418"/>
        <v>467222525.78715229</v>
      </c>
      <c r="BV103" s="126">
        <f t="shared" si="418"/>
        <v>457367967.29231501</v>
      </c>
      <c r="BW103" s="126">
        <f t="shared" si="418"/>
        <v>456321576.3415786</v>
      </c>
      <c r="BX103" s="126">
        <f t="shared" si="418"/>
        <v>494616857.58913291</v>
      </c>
      <c r="BY103" s="126">
        <f t="shared" si="418"/>
        <v>441141670.39564621</v>
      </c>
      <c r="BZ103" s="126">
        <f t="shared" si="418"/>
        <v>409063558.63156217</v>
      </c>
      <c r="CA103" s="126">
        <f t="shared" si="418"/>
        <v>512018279.77145213</v>
      </c>
      <c r="CB103" s="126">
        <f t="shared" si="418"/>
        <v>470920810.94851422</v>
      </c>
      <c r="CC103" s="126">
        <f t="shared" si="418"/>
        <v>561459947.25924921</v>
      </c>
      <c r="CD103" s="126">
        <f t="shared" si="418"/>
        <v>575366975.3093884</v>
      </c>
      <c r="CE103" s="126">
        <f t="shared" si="418"/>
        <v>534466453.1605919</v>
      </c>
      <c r="CF103" s="126">
        <f t="shared" si="418"/>
        <v>622763739.60329866</v>
      </c>
      <c r="CG103" s="126">
        <f t="shared" si="418"/>
        <v>571975796.76539326</v>
      </c>
      <c r="CH103" s="126">
        <f t="shared" si="418"/>
        <v>561329084.23726487</v>
      </c>
      <c r="CI103" s="126">
        <f t="shared" si="418"/>
        <v>557139599.51124585</v>
      </c>
      <c r="CJ103" s="126">
        <f t="shared" si="418"/>
        <v>603546510.36769724</v>
      </c>
      <c r="CK103" s="126">
        <f t="shared" si="418"/>
        <v>537182869.20413053</v>
      </c>
      <c r="CL103" s="126">
        <f t="shared" si="418"/>
        <v>496949373.30754364</v>
      </c>
      <c r="CM103" s="126">
        <f t="shared" si="418"/>
        <v>620042596.75415504</v>
      </c>
      <c r="CN103" s="126">
        <f t="shared" si="418"/>
        <v>567290898.54387987</v>
      </c>
      <c r="CO103" s="126">
        <f t="shared" si="418"/>
        <v>674042762.79265237</v>
      </c>
      <c r="CP103" s="126">
        <f t="shared" si="418"/>
        <v>687878173.14630342</v>
      </c>
      <c r="CQ103" s="126">
        <f t="shared" si="418"/>
        <v>635833874.624282</v>
      </c>
      <c r="CR103" s="126">
        <f t="shared" si="418"/>
        <v>732793675.91016376</v>
      </c>
      <c r="CS103" s="126">
        <f t="shared" ref="CS103:DD103" si="419">SUM(CS104:CS106)</f>
        <v>652083778.37311399</v>
      </c>
      <c r="CT103" s="126">
        <f t="shared" si="419"/>
        <v>639316180.05519319</v>
      </c>
      <c r="CU103" s="126">
        <f t="shared" si="419"/>
        <v>634143719.06782818</v>
      </c>
      <c r="CV103" s="126">
        <f t="shared" si="419"/>
        <v>686711452.32470977</v>
      </c>
      <c r="CW103" s="126">
        <f t="shared" si="419"/>
        <v>610449472.10934043</v>
      </c>
      <c r="CX103" s="126">
        <f t="shared" si="419"/>
        <v>563927837.82002556</v>
      </c>
      <c r="CY103" s="126">
        <f t="shared" si="419"/>
        <v>703898655.46255636</v>
      </c>
      <c r="CZ103" s="126">
        <f t="shared" si="419"/>
        <v>643482704.85423267</v>
      </c>
      <c r="DA103" s="126">
        <f t="shared" si="419"/>
        <v>764733617.60950077</v>
      </c>
      <c r="DB103" s="126">
        <f t="shared" si="419"/>
        <v>780256750.98833025</v>
      </c>
      <c r="DC103" s="126">
        <f t="shared" si="419"/>
        <v>720678310.97672319</v>
      </c>
      <c r="DD103" s="126">
        <f t="shared" si="419"/>
        <v>830658919.55464482</v>
      </c>
      <c r="DF103" s="126">
        <f t="shared" si="392"/>
        <v>749099698.14922357</v>
      </c>
      <c r="DG103" s="126">
        <f t="shared" si="393"/>
        <v>634753685.98523641</v>
      </c>
      <c r="DH103" s="126">
        <f t="shared" si="394"/>
        <v>777063472.15146112</v>
      </c>
      <c r="DI103" s="126">
        <f t="shared" si="395"/>
        <v>555761505.21242166</v>
      </c>
      <c r="DJ103" s="126">
        <f t="shared" si="396"/>
        <v>670952033.95643234</v>
      </c>
      <c r="DK103" s="126">
        <f t="shared" si="397"/>
        <v>561050014.73759604</v>
      </c>
      <c r="DL103" s="126">
        <f t="shared" si="398"/>
        <v>736460880.02514255</v>
      </c>
      <c r="DM103" s="126">
        <f t="shared" si="399"/>
        <v>889755374.00183749</v>
      </c>
      <c r="DN103" s="126">
        <f t="shared" si="400"/>
        <v>955761518.60904217</v>
      </c>
      <c r="DO103" s="126">
        <f t="shared" si="401"/>
        <v>901109308.42879307</v>
      </c>
      <c r="DP103" s="126">
        <f t="shared" si="402"/>
        <v>1210683653.5013516</v>
      </c>
      <c r="DQ103" s="126">
        <f t="shared" si="403"/>
        <v>1513905119.8368998</v>
      </c>
      <c r="DR103" s="126">
        <f t="shared" si="404"/>
        <v>1380912069.4210458</v>
      </c>
      <c r="DS103" s="126">
        <f t="shared" si="405"/>
        <v>1344822086.6163414</v>
      </c>
      <c r="DT103" s="126">
        <f t="shared" si="406"/>
        <v>1544399037.9792156</v>
      </c>
      <c r="DU103" s="126">
        <f t="shared" si="407"/>
        <v>1732597168.0732789</v>
      </c>
      <c r="DV103" s="126">
        <f t="shared" si="408"/>
        <v>1690444480.5139041</v>
      </c>
      <c r="DW103" s="126">
        <f t="shared" si="409"/>
        <v>1637678752.8793716</v>
      </c>
      <c r="DX103" s="126">
        <f t="shared" si="410"/>
        <v>1861376258.0906873</v>
      </c>
      <c r="DY103" s="126">
        <f t="shared" si="411"/>
        <v>2056505723.6807494</v>
      </c>
      <c r="DZ103" s="126">
        <f t="shared" si="306"/>
        <v>1925543677.4961352</v>
      </c>
      <c r="EA103" s="126">
        <f t="shared" si="307"/>
        <v>1861088762.2540755</v>
      </c>
      <c r="EB103" s="126">
        <f t="shared" si="308"/>
        <v>2112114977.92629</v>
      </c>
      <c r="EC103" s="126">
        <f t="shared" si="309"/>
        <v>2331593981.5196981</v>
      </c>
      <c r="EE103" s="126">
        <f t="shared" si="412"/>
        <v>2716678361.4983425</v>
      </c>
      <c r="EF103" s="126">
        <f t="shared" si="413"/>
        <v>2858218302.7210083</v>
      </c>
      <c r="EG103" s="126">
        <f t="shared" si="414"/>
        <v>4581459600.3760862</v>
      </c>
      <c r="EH103" s="126">
        <f t="shared" si="415"/>
        <v>6002730362.0898819</v>
      </c>
      <c r="EI103" s="126">
        <f t="shared" si="416"/>
        <v>7246005215.1647129</v>
      </c>
      <c r="EJ103" s="815">
        <f t="shared" si="310"/>
        <v>8230341399.1961985</v>
      </c>
    </row>
    <row r="104" spans="2:140" x14ac:dyDescent="0.2">
      <c r="B104" s="21" t="s">
        <v>139</v>
      </c>
      <c r="C104" s="19">
        <f>'P&amp;L - Inputs'!AB490</f>
        <v>3016588.4394999999</v>
      </c>
      <c r="D104" s="19">
        <f>'P&amp;L - Inputs'!AC490</f>
        <v>2579462.8898</v>
      </c>
      <c r="E104" s="19">
        <f>'P&amp;L - Inputs'!AD490</f>
        <v>3805119.1323728804</v>
      </c>
      <c r="F104" s="19">
        <f>'P&amp;L - Inputs'!AE490</f>
        <v>5982890.9252000004</v>
      </c>
      <c r="G104" s="19">
        <f>'P&amp;L - Inputs'!AF490</f>
        <v>6765945.9840595499</v>
      </c>
      <c r="H104" s="19">
        <f>'P&amp;L - Inputs'!AG490</f>
        <v>10682541</v>
      </c>
      <c r="I104" s="19">
        <f>'P&amp;L - Inputs'!AH490</f>
        <v>29249134.649999999</v>
      </c>
      <c r="J104" s="19">
        <f>'P&amp;L - Inputs'!AI490</f>
        <v>29400194.583250001</v>
      </c>
      <c r="K104" s="19">
        <f>'P&amp;L - Inputs'!AJ490</f>
        <v>27685780.759999998</v>
      </c>
      <c r="L104" s="19">
        <f>'P&amp;L - Inputs'!AK490</f>
        <v>29727988.919</v>
      </c>
      <c r="M104" s="19">
        <f>'P&amp;L - Inputs'!AL490</f>
        <v>16527027.859532999</v>
      </c>
      <c r="N104" s="19">
        <f>'P&amp;L - Inputs'!AM490</f>
        <v>447442.55</v>
      </c>
      <c r="O104" s="19">
        <f>'P&amp;L - Inputs'!AN490</f>
        <v>10046446.554373998</v>
      </c>
      <c r="P104" s="19">
        <f>'P&amp;L - Inputs'!AO490</f>
        <v>14574475.682093</v>
      </c>
      <c r="Q104" s="19">
        <f>'P&amp;L - Inputs'!AP490</f>
        <v>20091907.728105888</v>
      </c>
      <c r="R104" s="19">
        <f>'P&amp;L - Inputs'!AQ490</f>
        <v>28534317.787342899</v>
      </c>
      <c r="S104" s="19">
        <f>'P&amp;L - Inputs'!AR490</f>
        <v>35942922.525300004</v>
      </c>
      <c r="T104" s="19">
        <f>'P&amp;L - Inputs'!AS490</f>
        <v>50644317.83365</v>
      </c>
      <c r="U104" s="19">
        <f>'P&amp;L - Inputs'!AT490</f>
        <v>61119668.795958698</v>
      </c>
      <c r="V104" s="19">
        <f>'P&amp;L - Inputs'!AU490</f>
        <v>61460549.125549905</v>
      </c>
      <c r="W104" s="19">
        <f>'P&amp;L - Inputs'!AV490</f>
        <v>65148052.544599786</v>
      </c>
      <c r="X104" s="19">
        <f>'P&amp;L - Inputs'!AW490</f>
        <v>74266073.820559993</v>
      </c>
      <c r="Y104" s="19">
        <f>'P&amp;L - Inputs'!AX490</f>
        <v>66674042.115309991</v>
      </c>
      <c r="Z104" s="19">
        <f>'P&amp;L - Inputs'!AY490</f>
        <v>83695796.467969909</v>
      </c>
      <c r="AA104" s="19">
        <f>'P&amp;L - Inputs'!AZ490</f>
        <v>100912121.20017992</v>
      </c>
      <c r="AB104" s="19">
        <f>'P&amp;L - Inputs'!BA490</f>
        <v>102950660.83163998</v>
      </c>
      <c r="AC104" s="19">
        <f>'P&amp;L - Inputs'!BB490</f>
        <v>110952768.81320006</v>
      </c>
      <c r="AD104" s="19">
        <f>'P&amp;L - Inputs'!BC490</f>
        <v>109469974.23029999</v>
      </c>
      <c r="AE104" s="19">
        <f>'P&amp;L - Inputs'!BD490</f>
        <v>122993851.47510006</v>
      </c>
      <c r="AF104" s="19">
        <f>'P&amp;L - Inputs'!BE490</f>
        <v>127703306.53359999</v>
      </c>
      <c r="AG104" s="19">
        <f>'P&amp;L - Inputs'!BF490</f>
        <v>155446509.73220801</v>
      </c>
      <c r="AH104" s="19">
        <f>'P&amp;L - Inputs'!BG490</f>
        <v>171320677.74299991</v>
      </c>
      <c r="AI104" s="19">
        <f>'P&amp;L - Inputs'!BH490</f>
        <v>168757197.94160008</v>
      </c>
      <c r="AJ104" s="19">
        <f>'P&amp;L - Inputs'!BI490</f>
        <v>218230864.92480001</v>
      </c>
      <c r="AK104" s="19">
        <f>'P&amp;L - Inputs'!BJ490</f>
        <v>235959267.66250002</v>
      </c>
      <c r="AL104" s="19">
        <f>'P&amp;L - Inputs'!BK490</f>
        <v>242925469.69200006</v>
      </c>
      <c r="AM104" s="19">
        <f>'P&amp;L - Inputs'!BL490</f>
        <v>231862872.70120001</v>
      </c>
      <c r="AN104" s="19">
        <f>'P&amp;L - Inputs'!BM490</f>
        <v>200951008.65840009</v>
      </c>
      <c r="AO104" s="19">
        <f>'P&amp;L - Inputs'!BN490</f>
        <v>196083388.3179999</v>
      </c>
      <c r="AP104" s="19">
        <f>'P&amp;L - Inputs'!BO490</f>
        <v>192724834.43499997</v>
      </c>
      <c r="AQ104" s="19">
        <f>'P&amp;L - Inputs'!BP490</f>
        <v>284554121.03000003</v>
      </c>
      <c r="AR104" s="19">
        <f>'P&amp;L - Inputs'!BQ490</f>
        <v>242971643.78999999</v>
      </c>
      <c r="AS104" s="19">
        <f>'P&amp;L - Inputs'!BR490</f>
        <v>206626204.22999999</v>
      </c>
      <c r="AT104" s="19">
        <f>'P&amp;L - Inputs'!BS490</f>
        <v>179492891.28</v>
      </c>
      <c r="AU104" s="19">
        <f>'P&amp;L - Inputs'!BT490</f>
        <v>151877250.40000001</v>
      </c>
      <c r="AV104" s="19">
        <f>'P&amp;L - Inputs'!BU490</f>
        <v>188097782.39439693</v>
      </c>
      <c r="AW104" s="19">
        <f>'P&amp;L - Inputs'!BV490</f>
        <v>206433016.21906242</v>
      </c>
      <c r="AX104" s="19">
        <f>'P&amp;L - Inputs'!BW490</f>
        <v>203161171.43014422</v>
      </c>
      <c r="AY104" s="19">
        <f>'P&amp;L - Inputs'!BX490</f>
        <v>216882120.9505454</v>
      </c>
      <c r="AZ104" s="19">
        <f>'P&amp;L - Inputs'!BY490</f>
        <v>201817368.23777595</v>
      </c>
      <c r="BA104" s="19">
        <f>'P&amp;L - Inputs'!BZ490</f>
        <v>168754716.50582135</v>
      </c>
      <c r="BB104" s="19">
        <f>'P&amp;L - Inputs'!CA490</f>
        <v>145549045.6898213</v>
      </c>
      <c r="BC104" s="19">
        <f>'P&amp;L - Inputs'!CB490</f>
        <v>218890767.22632602</v>
      </c>
      <c r="BD104" s="19">
        <f>'P&amp;L - Inputs'!CC490</f>
        <v>211716082.20927611</v>
      </c>
      <c r="BE104" s="19">
        <f>'P&amp;L - Inputs'!CD490</f>
        <v>254472410.89583594</v>
      </c>
      <c r="BF104" s="19">
        <f>'P&amp;L - Inputs'!CE490</f>
        <v>266828331.53479978</v>
      </c>
      <c r="BG104" s="19">
        <f>'P&amp;L - Inputs'!CF490</f>
        <v>253683475.89409417</v>
      </c>
      <c r="BH104" s="19">
        <f>'P&amp;L - Inputs'!CG490</f>
        <v>316189275.70848185</v>
      </c>
      <c r="BI104" s="19">
        <f>'P&amp;L - Inputs'!CH490</f>
        <v>306303823.28256714</v>
      </c>
      <c r="BJ104" s="19">
        <f>'P&amp;L - Inputs'!CI490</f>
        <v>295863548.4768573</v>
      </c>
      <c r="BK104" s="19">
        <f>'P&amp;L - Inputs'!CJ490</f>
        <v>300326688.50130987</v>
      </c>
      <c r="BL104" s="19">
        <f>'P&amp;L - Inputs'!CK490</f>
        <v>332068805.05180216</v>
      </c>
      <c r="BM104" s="19">
        <f>'P&amp;L - Inputs'!CL490</f>
        <v>261511405.81186956</v>
      </c>
      <c r="BN104" s="19">
        <f>'P&amp;L - Inputs'!CM490</f>
        <v>244811796.45207053</v>
      </c>
      <c r="BO104" s="19">
        <f>'P&amp;L - Inputs'!CN490</f>
        <v>373436062.67553508</v>
      </c>
      <c r="BP104" s="19">
        <f>'P&amp;L - Inputs'!CO490</f>
        <v>333092036.8300941</v>
      </c>
      <c r="BQ104" s="19">
        <f>'P&amp;L - Inputs'!CP490</f>
        <v>425038199.77839994</v>
      </c>
      <c r="BR104" s="19">
        <f>'P&amp;L - Inputs'!CQ490</f>
        <v>450801238.2378</v>
      </c>
      <c r="BS104" s="19">
        <f>'P&amp;L - Inputs'!CR490</f>
        <v>440672803.06919992</v>
      </c>
      <c r="BT104" s="19">
        <f>'P&amp;L - Inputs'!CS490</f>
        <v>530422086.01989996</v>
      </c>
      <c r="BU104" s="19">
        <f>'P&amp;L - Inputs'!CT490</f>
        <v>440652090.21070051</v>
      </c>
      <c r="BV104" s="19">
        <f>'P&amp;L - Inputs'!CU490</f>
        <v>430405546.86228836</v>
      </c>
      <c r="BW104" s="19">
        <f>'P&amp;L - Inputs'!CV490</f>
        <v>428939327.32363814</v>
      </c>
      <c r="BX104" s="19">
        <f>'P&amp;L - Inputs'!CW490</f>
        <v>467432071.78706765</v>
      </c>
      <c r="BY104" s="19">
        <f>'P&amp;L - Inputs'!CX490</f>
        <v>412895225.15235138</v>
      </c>
      <c r="BZ104" s="19">
        <f>'P&amp;L - Inputs'!CY490</f>
        <v>379881723.02987915</v>
      </c>
      <c r="CA104" s="19">
        <f>'P&amp;L - Inputs'!CZ490</f>
        <v>483825465.20224702</v>
      </c>
      <c r="CB104" s="19">
        <f>'P&amp;L - Inputs'!DA490</f>
        <v>441817864.38317072</v>
      </c>
      <c r="CC104" s="19">
        <f>'P&amp;L - Inputs'!DB490</f>
        <v>533194030.72189021</v>
      </c>
      <c r="CD104" s="19">
        <f>'P&amp;L - Inputs'!DC490</f>
        <v>546999962.14136338</v>
      </c>
      <c r="CE104" s="19">
        <f>'P&amp;L - Inputs'!DD490</f>
        <v>505191719.0083338</v>
      </c>
      <c r="CF104" s="19">
        <f>'P&amp;L - Inputs'!DE490</f>
        <v>594027245.0457716</v>
      </c>
      <c r="CG104" s="19">
        <f>'P&amp;L - Inputs'!DF490</f>
        <v>542345456.35981309</v>
      </c>
      <c r="CH104" s="19">
        <f>'P&amp;L - Inputs'!DG490</f>
        <v>531161404.08026212</v>
      </c>
      <c r="CI104" s="19">
        <f>'P&amp;L - Inputs'!DH490</f>
        <v>526649292.32141662</v>
      </c>
      <c r="CJ104" s="19">
        <f>'P&amp;L - Inputs'!DI490</f>
        <v>573352903.63510537</v>
      </c>
      <c r="CK104" s="19">
        <f>'P&amp;L - Inputs'!DJ490</f>
        <v>505769917.11144382</v>
      </c>
      <c r="CL104" s="19">
        <f>'P&amp;L - Inputs'!DK490</f>
        <v>464501250.3639676</v>
      </c>
      <c r="CM104" s="19">
        <f>'P&amp;L - Inputs'!DL490</f>
        <v>588965529.30501127</v>
      </c>
      <c r="CN104" s="19">
        <f>'P&amp;L - Inputs'!DM490</f>
        <v>535296776.07068801</v>
      </c>
      <c r="CO104" s="19">
        <f>'P&amp;L - Inputs'!DN490</f>
        <v>643219668.66058028</v>
      </c>
      <c r="CP104" s="19">
        <f>'P&amp;L - Inputs'!DO490</f>
        <v>657088759.25942445</v>
      </c>
      <c r="CQ104" s="19">
        <f>'P&amp;L - Inputs'!DP490</f>
        <v>604136064.67153478</v>
      </c>
      <c r="CR104" s="19">
        <f>'P&amp;L - Inputs'!DQ490</f>
        <v>702147034.10479057</v>
      </c>
      <c r="CS104" s="19">
        <f>'P&amp;L - Inputs'!DR490</f>
        <v>620177857.92842495</v>
      </c>
      <c r="CT104" s="19">
        <f>'P&amp;L - Inputs'!DS490</f>
        <v>606846959.05974436</v>
      </c>
      <c r="CU104" s="19">
        <f>'P&amp;L - Inputs'!DT490</f>
        <v>601339838.87374902</v>
      </c>
      <c r="CV104" s="19">
        <f>'P&amp;L - Inputs'!DU490</f>
        <v>654279684.4157275</v>
      </c>
      <c r="CW104" s="19">
        <f>'P&amp;L - Inputs'!DV490</f>
        <v>576677197.76919937</v>
      </c>
      <c r="CX104" s="19">
        <f>'P&amp;L - Inputs'!DW490</f>
        <v>529043422.38391918</v>
      </c>
      <c r="CY104" s="19">
        <f>'P&amp;L - Inputs'!DX490</f>
        <v>670591886.48317003</v>
      </c>
      <c r="CZ104" s="19">
        <f>'P&amp;L - Inputs'!DY490</f>
        <v>609165066.21941483</v>
      </c>
      <c r="DA104" s="19">
        <f>'P&amp;L - Inputs'!DZ490</f>
        <v>731764483.58098853</v>
      </c>
      <c r="DB104" s="19">
        <f>'P&amp;L - Inputs'!EA490</f>
        <v>747341955.85575235</v>
      </c>
      <c r="DC104" s="19">
        <f>'P&amp;L - Inputs'!EB490</f>
        <v>686762897.77540886</v>
      </c>
      <c r="DD104" s="19">
        <f>'P&amp;L - Inputs'!EC490</f>
        <v>797954056.28681684</v>
      </c>
      <c r="DF104" s="19">
        <f t="shared" si="392"/>
        <v>710747610.05570006</v>
      </c>
      <c r="DG104" s="19">
        <f t="shared" si="393"/>
        <v>589759231.41139996</v>
      </c>
      <c r="DH104" s="19">
        <f t="shared" si="394"/>
        <v>734151969.05000007</v>
      </c>
      <c r="DI104" s="19">
        <f t="shared" si="395"/>
        <v>519467924.07439697</v>
      </c>
      <c r="DJ104" s="19">
        <f t="shared" si="396"/>
        <v>626476308.59975207</v>
      </c>
      <c r="DK104" s="19">
        <f t="shared" si="397"/>
        <v>516121130.43341857</v>
      </c>
      <c r="DL104" s="19">
        <f t="shared" si="398"/>
        <v>685079260.33143806</v>
      </c>
      <c r="DM104" s="19">
        <f t="shared" si="399"/>
        <v>836701083.13737583</v>
      </c>
      <c r="DN104" s="19">
        <f t="shared" si="400"/>
        <v>902494060.26073432</v>
      </c>
      <c r="DO104" s="19">
        <f t="shared" si="401"/>
        <v>838392007.31574225</v>
      </c>
      <c r="DP104" s="19">
        <f t="shared" si="402"/>
        <v>1131566299.284029</v>
      </c>
      <c r="DQ104" s="19">
        <f t="shared" si="403"/>
        <v>1421896127.3269</v>
      </c>
      <c r="DR104" s="19">
        <f t="shared" si="404"/>
        <v>1299996964.3966269</v>
      </c>
      <c r="DS104" s="19">
        <f t="shared" si="405"/>
        <v>1260209019.9692981</v>
      </c>
      <c r="DT104" s="19">
        <f t="shared" si="406"/>
        <v>1458837360.307308</v>
      </c>
      <c r="DU104" s="19">
        <f t="shared" si="407"/>
        <v>1646218926.1954689</v>
      </c>
      <c r="DV104" s="19">
        <f t="shared" si="408"/>
        <v>1600156152.7614918</v>
      </c>
      <c r="DW104" s="19">
        <f t="shared" si="409"/>
        <v>1543624071.1105168</v>
      </c>
      <c r="DX104" s="19">
        <f t="shared" si="410"/>
        <v>1767481974.0362797</v>
      </c>
      <c r="DY104" s="19">
        <f t="shared" si="411"/>
        <v>1963371858.0357499</v>
      </c>
      <c r="DZ104" s="19">
        <f t="shared" si="306"/>
        <v>1828364655.8619182</v>
      </c>
      <c r="EA104" s="19">
        <f t="shared" si="307"/>
        <v>1760000304.5688462</v>
      </c>
      <c r="EB104" s="19">
        <f t="shared" si="308"/>
        <v>2011521436.2835732</v>
      </c>
      <c r="EC104" s="19">
        <f t="shared" si="309"/>
        <v>2232058909.9179783</v>
      </c>
      <c r="EE104" s="19">
        <f t="shared" si="412"/>
        <v>2554126734.5914974</v>
      </c>
      <c r="EF104" s="19">
        <f t="shared" si="413"/>
        <v>2664377782.5019846</v>
      </c>
      <c r="EG104" s="19">
        <f t="shared" si="414"/>
        <v>4294348494.1874056</v>
      </c>
      <c r="EH104" s="19">
        <f t="shared" si="415"/>
        <v>5665262270.8687019</v>
      </c>
      <c r="EI104" s="19">
        <f t="shared" si="416"/>
        <v>6874634055.9440384</v>
      </c>
      <c r="EJ104" s="770">
        <f t="shared" si="310"/>
        <v>7831945306.6323156</v>
      </c>
    </row>
    <row r="105" spans="2:140" x14ac:dyDescent="0.2">
      <c r="B105" s="21" t="s">
        <v>191</v>
      </c>
      <c r="C105" s="19">
        <f>'P&amp;L - Inputs'!AB491</f>
        <v>1493204.5515423729</v>
      </c>
      <c r="D105" s="19">
        <f>'P&amp;L - Inputs'!AC491</f>
        <v>1534867.4921223356</v>
      </c>
      <c r="E105" s="19">
        <f>'P&amp;L - Inputs'!AD491</f>
        <v>1658514.2286719438</v>
      </c>
      <c r="F105" s="19">
        <f>'P&amp;L - Inputs'!AE491</f>
        <v>1418737.4132492114</v>
      </c>
      <c r="G105" s="19">
        <f>'P&amp;L - Inputs'!AF491</f>
        <v>1408194.4299634593</v>
      </c>
      <c r="H105" s="19">
        <f>'P&amp;L - Inputs'!AG491</f>
        <v>1406578.90593343</v>
      </c>
      <c r="I105" s="19">
        <f>'P&amp;L - Inputs'!AH491</f>
        <v>1582012.0970625801</v>
      </c>
      <c r="J105" s="19">
        <f>'P&amp;L - Inputs'!AI491</f>
        <v>1485715</v>
      </c>
      <c r="K105" s="19">
        <f>'P&amp;L - Inputs'!AJ491</f>
        <v>1498234.8352941177</v>
      </c>
      <c r="L105" s="19">
        <f>'P&amp;L - Inputs'!AK491</f>
        <v>1433161.9322033899</v>
      </c>
      <c r="M105" s="19">
        <f>'P&amp;L - Inputs'!AL491</f>
        <v>992380.67118644062</v>
      </c>
      <c r="N105" s="19">
        <f>'P&amp;L - Inputs'!AM491</f>
        <v>0</v>
      </c>
      <c r="O105" s="19">
        <f>'P&amp;L - Inputs'!AN491</f>
        <v>1663035.8269491526</v>
      </c>
      <c r="P105" s="19">
        <f>'P&amp;L - Inputs'!AO491</f>
        <v>2442429.1525423727</v>
      </c>
      <c r="Q105" s="19">
        <f>'P&amp;L - Inputs'!AP491</f>
        <v>2250222.9152542371</v>
      </c>
      <c r="R105" s="19">
        <f>'P&amp;L - Inputs'!AQ491</f>
        <v>3164717.2698305082</v>
      </c>
      <c r="S105" s="19">
        <f>'P&amp;L - Inputs'!AR491</f>
        <v>2914981.1057627122</v>
      </c>
      <c r="T105" s="19">
        <f>'P&amp;L - Inputs'!AS491</f>
        <v>3117549.7738983054</v>
      </c>
      <c r="U105" s="19">
        <f>'P&amp;L - Inputs'!AT491</f>
        <v>4413298.1389830504</v>
      </c>
      <c r="V105" s="19">
        <f>'P&amp;L - Inputs'!AU491</f>
        <v>5020352.4067796608</v>
      </c>
      <c r="W105" s="19">
        <f>'P&amp;L - Inputs'!AV491</f>
        <v>5098079.8135593217</v>
      </c>
      <c r="X105" s="19">
        <f>'P&amp;L - Inputs'!AW491</f>
        <v>4709894.4576271186</v>
      </c>
      <c r="Y105" s="19">
        <f>'P&amp;L - Inputs'!AX491</f>
        <v>5811571.1525423722</v>
      </c>
      <c r="Z105" s="19">
        <f>'P&amp;L - Inputs'!AY491</f>
        <v>6679252.1864406783</v>
      </c>
      <c r="AA105" s="19">
        <f>'P&amp;L - Inputs'!AZ491</f>
        <v>5999331.3983050846</v>
      </c>
      <c r="AB105" s="19">
        <f>'P&amp;L - Inputs'!BA491</f>
        <v>7683642.2033898309</v>
      </c>
      <c r="AC105" s="19">
        <f>'P&amp;L - Inputs'!BB491</f>
        <v>9022049.7776271198</v>
      </c>
      <c r="AD105" s="19">
        <f>'P&amp;L - Inputs'!BC491</f>
        <v>8451217.4199999999</v>
      </c>
      <c r="AE105" s="19">
        <f>'P&amp;L - Inputs'!BD491</f>
        <v>8116440.1100000003</v>
      </c>
      <c r="AF105" s="19">
        <f>'P&amp;L - Inputs'!BE491</f>
        <v>8334999.5</v>
      </c>
      <c r="AG105" s="19">
        <f>'P&amp;L - Inputs'!BF491</f>
        <v>7549331.7457627123</v>
      </c>
      <c r="AH105" s="19">
        <f>'P&amp;L - Inputs'!BG491</f>
        <v>7646263.2949152542</v>
      </c>
      <c r="AI105" s="19">
        <f>'P&amp;L - Inputs'!BH491</f>
        <v>7389750.5355932219</v>
      </c>
      <c r="AJ105" s="19">
        <f>'P&amp;L - Inputs'!BI491</f>
        <v>7769988.792203391</v>
      </c>
      <c r="AK105" s="19">
        <f>'P&amp;L - Inputs'!BJ491</f>
        <v>7596791.181016949</v>
      </c>
      <c r="AL105" s="19">
        <f>'P&amp;L - Inputs'!BK491</f>
        <v>7967068.5741525432</v>
      </c>
      <c r="AM105" s="19">
        <f>'P&amp;L - Inputs'!BL491</f>
        <v>9381201.4791525435</v>
      </c>
      <c r="AN105" s="19">
        <f>'P&amp;L - Inputs'!BM491</f>
        <v>9045001</v>
      </c>
      <c r="AO105" s="19">
        <f>'P&amp;L - Inputs'!BN491</f>
        <v>9356313</v>
      </c>
      <c r="AP105" s="19">
        <f>'P&amp;L - Inputs'!BO491</f>
        <v>8190096</v>
      </c>
      <c r="AQ105" s="19">
        <f>'P&amp;L - Inputs'!BP491</f>
        <v>8417901</v>
      </c>
      <c r="AR105" s="19">
        <f>'P&amp;L - Inputs'!BQ491</f>
        <v>6659183</v>
      </c>
      <c r="AS105" s="19">
        <f>'P&amp;L - Inputs'!BR491</f>
        <v>6770948</v>
      </c>
      <c r="AT105" s="19">
        <f>'P&amp;L - Inputs'!BS491</f>
        <v>7543142.6800000099</v>
      </c>
      <c r="AU105" s="19">
        <f>'P&amp;L - Inputs'!BT491</f>
        <v>6915080</v>
      </c>
      <c r="AV105" s="19">
        <f>'P&amp;L - Inputs'!BU491</f>
        <v>7824016.2881355938</v>
      </c>
      <c r="AW105" s="19">
        <f>'P&amp;L - Inputs'!BV491</f>
        <v>9098050</v>
      </c>
      <c r="AX105" s="19">
        <f>'P&amp;L - Inputs'!BW491</f>
        <v>8587754.8474576399</v>
      </c>
      <c r="AY105" s="19">
        <f>'P&amp;L - Inputs'!BX491</f>
        <v>8912585.3599999994</v>
      </c>
      <c r="AZ105" s="19">
        <f>'P&amp;L - Inputs'!BY491</f>
        <v>9777810.0338983089</v>
      </c>
      <c r="BA105" s="19">
        <f>'P&amp;L - Inputs'!BZ491</f>
        <v>9622882.1610169467</v>
      </c>
      <c r="BB105" s="19">
        <f>'P&amp;L - Inputs'!CA491</f>
        <v>9414839.762711864</v>
      </c>
      <c r="BC105" s="19">
        <f>'P&amp;L - Inputs'!CB491</f>
        <v>9449536.4830508474</v>
      </c>
      <c r="BD105" s="19">
        <f>'P&amp;L - Inputs'!CC491</f>
        <v>9067613.152542375</v>
      </c>
      <c r="BE105" s="19">
        <f>'P&amp;L - Inputs'!CD491</f>
        <v>11020478.90677966</v>
      </c>
      <c r="BF105" s="19">
        <f>'P&amp;L - Inputs'!CE491</f>
        <v>9950606.8644067775</v>
      </c>
      <c r="BG105" s="19">
        <f>'P&amp;L - Inputs'!CF491</f>
        <v>8471241.5338983033</v>
      </c>
      <c r="BH105" s="19">
        <f>'P&amp;L - Inputs'!CG491</f>
        <v>11503485.101694912</v>
      </c>
      <c r="BI105" s="19">
        <f>'P&amp;L - Inputs'!CH491</f>
        <v>10441750.262711899</v>
      </c>
      <c r="BJ105" s="19">
        <f>'P&amp;L - Inputs'!CI491</f>
        <v>10507442.652542373</v>
      </c>
      <c r="BK105" s="19">
        <f>'P&amp;L - Inputs'!CJ491</f>
        <v>10533246.16101695</v>
      </c>
      <c r="BL105" s="19">
        <f>'P&amp;L - Inputs'!CK491</f>
        <v>12272744.23728814</v>
      </c>
      <c r="BM105" s="19">
        <f>'P&amp;L - Inputs'!CL491</f>
        <v>14696501.745762713</v>
      </c>
      <c r="BN105" s="19">
        <f>'P&amp;L - Inputs'!CM491</f>
        <v>12260923.950000001</v>
      </c>
      <c r="BO105" s="19">
        <f>'P&amp;L - Inputs'!CN491</f>
        <v>12736403.220000001</v>
      </c>
      <c r="BP105" s="19">
        <f>'P&amp;L - Inputs'!CO491</f>
        <v>13118044.939999999</v>
      </c>
      <c r="BQ105" s="19">
        <f>'P&amp;L - Inputs'!CP491</f>
        <v>15285503.109999999</v>
      </c>
      <c r="BR105" s="19">
        <f>'P&amp;L - Inputs'!CQ491</f>
        <v>15699652.48</v>
      </c>
      <c r="BS105" s="19">
        <f>'P&amp;L - Inputs'!CR491</f>
        <v>15065057.01</v>
      </c>
      <c r="BT105" s="19">
        <f>'P&amp;L - Inputs'!CS491</f>
        <v>24705811.659999996</v>
      </c>
      <c r="BU105" s="19">
        <f>'P&amp;L - Inputs'!CT491</f>
        <v>15104913.274207599</v>
      </c>
      <c r="BV105" s="19">
        <f>'P&amp;L - Inputs'!CU491</f>
        <v>15342961.898395086</v>
      </c>
      <c r="BW105" s="19">
        <f>'P&amp;L - Inputs'!CV491</f>
        <v>15589283.929870345</v>
      </c>
      <c r="BX105" s="19">
        <f>'P&amp;L - Inputs'!CW491</f>
        <v>15439093.39455523</v>
      </c>
      <c r="BY105" s="19">
        <f>'P&amp;L - Inputs'!CX491</f>
        <v>16108156.434015563</v>
      </c>
      <c r="BZ105" s="19">
        <f>'P&amp;L - Inputs'!CY491</f>
        <v>16683986.685881319</v>
      </c>
      <c r="CA105" s="19">
        <f>'P&amp;L - Inputs'!CZ491</f>
        <v>16012437.684327988</v>
      </c>
      <c r="CB105" s="19">
        <f>'P&amp;L - Inputs'!DA491</f>
        <v>16581697.380673328</v>
      </c>
      <c r="CC105" s="19">
        <f>'P&amp;L - Inputs'!DB491</f>
        <v>16010257.044997044</v>
      </c>
      <c r="CD105" s="19">
        <f>'P&amp;L - Inputs'!DC491</f>
        <v>16056712.541605581</v>
      </c>
      <c r="CE105" s="19">
        <f>'P&amp;L - Inputs'!DD491</f>
        <v>16624384.228278521</v>
      </c>
      <c r="CF105" s="19">
        <f>'P&amp;L - Inputs'!DE491</f>
        <v>16229610.14013752</v>
      </c>
      <c r="CG105" s="19">
        <f>'P&amp;L - Inputs'!DF491</f>
        <v>16798208.817470707</v>
      </c>
      <c r="CH105" s="19">
        <f>'P&amp;L - Inputs'!DG491</f>
        <v>17121929.415023908</v>
      </c>
      <c r="CI105" s="19">
        <f>'P&amp;L - Inputs'!DH491</f>
        <v>17314295.606054131</v>
      </c>
      <c r="CJ105" s="19">
        <f>'P&amp;L - Inputs'!DI491</f>
        <v>17098742.598326918</v>
      </c>
      <c r="CK105" s="19">
        <f>'P&amp;L - Inputs'!DJ491</f>
        <v>17871665.251175683</v>
      </c>
      <c r="CL105" s="19">
        <f>'P&amp;L - Inputs'!DK491</f>
        <v>18513215.787068401</v>
      </c>
      <c r="CM105" s="19">
        <f>'P&amp;L - Inputs'!DL491</f>
        <v>17600106.143066205</v>
      </c>
      <c r="CN105" s="19">
        <f>'P&amp;L - Inputs'!DM491</f>
        <v>18183991.512218434</v>
      </c>
      <c r="CO105" s="19">
        <f>'P&amp;L - Inputs'!DN491</f>
        <v>17402629.477385834</v>
      </c>
      <c r="CP105" s="19">
        <f>'P&amp;L - Inputs'!DO491</f>
        <v>17370380.200249579</v>
      </c>
      <c r="CQ105" s="19">
        <f>'P&amp;L - Inputs'!DP491</f>
        <v>17948562.358516693</v>
      </c>
      <c r="CR105" s="19">
        <f>'P&amp;L - Inputs'!DQ491</f>
        <v>17246146.075293887</v>
      </c>
      <c r="CS105" s="19">
        <f>'P&amp;L - Inputs'!DR491</f>
        <v>18055436.557533458</v>
      </c>
      <c r="CT105" s="19">
        <f>'P&amp;L - Inputs'!DS491</f>
        <v>18396256.199832208</v>
      </c>
      <c r="CU105" s="19">
        <f>'P&amp;L - Inputs'!DT491</f>
        <v>18596547.360305604</v>
      </c>
      <c r="CV105" s="19">
        <f>'P&amp;L - Inputs'!DU491</f>
        <v>18331324.455971349</v>
      </c>
      <c r="CW105" s="19">
        <f>'P&amp;L - Inputs'!DV491</f>
        <v>19184049.681484789</v>
      </c>
      <c r="CX105" s="19">
        <f>'P&amp;L - Inputs'!DW491</f>
        <v>19876296.563338678</v>
      </c>
      <c r="CY105" s="19">
        <f>'P&amp;L - Inputs'!DX491</f>
        <v>18827116.066421062</v>
      </c>
      <c r="CZ105" s="19">
        <f>'P&amp;L - Inputs'!DY491</f>
        <v>19472792.313387718</v>
      </c>
      <c r="DA105" s="19">
        <f>'P&amp;L - Inputs'!DZ491</f>
        <v>18574535.780806273</v>
      </c>
      <c r="DB105" s="19">
        <f>'P&amp;L - Inputs'!EA491</f>
        <v>18528679.711798191</v>
      </c>
      <c r="DC105" s="19">
        <f>'P&amp;L - Inputs'!EB491</f>
        <v>19167603.765300654</v>
      </c>
      <c r="DD105" s="19">
        <f>'P&amp;L - Inputs'!EC491</f>
        <v>18360210.888061658</v>
      </c>
      <c r="DF105" s="19">
        <f t="shared" si="392"/>
        <v>24945061.234322034</v>
      </c>
      <c r="DG105" s="19">
        <f t="shared" si="393"/>
        <v>26591410</v>
      </c>
      <c r="DH105" s="19">
        <f t="shared" si="394"/>
        <v>21848032</v>
      </c>
      <c r="DI105" s="19">
        <f t="shared" si="395"/>
        <v>22282238.968135603</v>
      </c>
      <c r="DJ105" s="19">
        <f t="shared" si="396"/>
        <v>26598390.207457639</v>
      </c>
      <c r="DK105" s="19">
        <f t="shared" si="397"/>
        <v>28815531.957627121</v>
      </c>
      <c r="DL105" s="19">
        <f t="shared" si="398"/>
        <v>29537628.542372882</v>
      </c>
      <c r="DM105" s="19">
        <f t="shared" si="399"/>
        <v>29925333.499999993</v>
      </c>
      <c r="DN105" s="19">
        <f t="shared" si="400"/>
        <v>31482439.076271221</v>
      </c>
      <c r="DO105" s="19">
        <f t="shared" si="401"/>
        <v>39230169.933050856</v>
      </c>
      <c r="DP105" s="19">
        <f t="shared" si="402"/>
        <v>41139951.269999996</v>
      </c>
      <c r="DQ105" s="19">
        <f t="shared" si="403"/>
        <v>55470521.149999999</v>
      </c>
      <c r="DR105" s="19">
        <f t="shared" si="404"/>
        <v>46037159.102473028</v>
      </c>
      <c r="DS105" s="19">
        <f t="shared" si="405"/>
        <v>48231236.514452107</v>
      </c>
      <c r="DT105" s="19">
        <f t="shared" si="406"/>
        <v>48604392.10999836</v>
      </c>
      <c r="DU105" s="19">
        <f t="shared" si="407"/>
        <v>48910706.910021618</v>
      </c>
      <c r="DV105" s="19">
        <f t="shared" si="408"/>
        <v>51234433.83854875</v>
      </c>
      <c r="DW105" s="19">
        <f t="shared" si="409"/>
        <v>53483623.636571005</v>
      </c>
      <c r="DX105" s="19">
        <f t="shared" si="410"/>
        <v>53186727.132670477</v>
      </c>
      <c r="DY105" s="19">
        <f t="shared" si="411"/>
        <v>52565088.634060159</v>
      </c>
      <c r="DZ105" s="19">
        <f t="shared" si="306"/>
        <v>55048240.117671266</v>
      </c>
      <c r="EA105" s="19">
        <f t="shared" si="307"/>
        <v>57391670.700794816</v>
      </c>
      <c r="EB105" s="19">
        <f t="shared" si="308"/>
        <v>56874444.160615057</v>
      </c>
      <c r="EC105" s="19">
        <f t="shared" si="309"/>
        <v>56056494.365160502</v>
      </c>
      <c r="EE105" s="19">
        <f t="shared" si="412"/>
        <v>95666742.202457637</v>
      </c>
      <c r="EF105" s="19">
        <f t="shared" si="413"/>
        <v>114876884.20745763</v>
      </c>
      <c r="EG105" s="19">
        <f t="shared" si="414"/>
        <v>167323081.42932206</v>
      </c>
      <c r="EH105" s="19">
        <f t="shared" si="415"/>
        <v>191783494.63694513</v>
      </c>
      <c r="EI105" s="19">
        <f t="shared" si="416"/>
        <v>210469873.24185038</v>
      </c>
      <c r="EJ105" s="770">
        <f t="shared" si="310"/>
        <v>225370849.34424165</v>
      </c>
    </row>
    <row r="106" spans="2:140" x14ac:dyDescent="0.2">
      <c r="B106" s="21" t="s">
        <v>140</v>
      </c>
      <c r="C106" s="19">
        <f>'P&amp;L - Inputs'!AB492</f>
        <v>71630.49131921705</v>
      </c>
      <c r="D106" s="19">
        <f>'P&amp;L - Inputs'!AC492</f>
        <v>65368.488331460532</v>
      </c>
      <c r="E106" s="19">
        <f>'P&amp;L - Inputs'!AD492</f>
        <v>110775.703389831</v>
      </c>
      <c r="F106" s="19">
        <f>'P&amp;L - Inputs'!AE492</f>
        <v>125977.56372881384</v>
      </c>
      <c r="G106" s="19">
        <f>'P&amp;L - Inputs'!AF492</f>
        <v>126228</v>
      </c>
      <c r="H106" s="19">
        <f>'P&amp;L - Inputs'!AG492</f>
        <v>155717</v>
      </c>
      <c r="I106" s="19">
        <f>'P&amp;L - Inputs'!AH492</f>
        <v>163280.67796610188</v>
      </c>
      <c r="J106" s="19">
        <f>'P&amp;L - Inputs'!AI492</f>
        <v>210836.79661016999</v>
      </c>
      <c r="K106" s="19">
        <f>'P&amp;L - Inputs'!AJ492</f>
        <v>597313.18012711953</v>
      </c>
      <c r="L106" s="19">
        <f>'P&amp;L - Inputs'!AK492</f>
        <v>380772</v>
      </c>
      <c r="M106" s="19">
        <f>'P&amp;L - Inputs'!AL492</f>
        <v>194676.57627118658</v>
      </c>
      <c r="N106" s="19">
        <f>'P&amp;L - Inputs'!AM492</f>
        <v>3912</v>
      </c>
      <c r="O106" s="19">
        <f>'P&amp;L - Inputs'!AN492</f>
        <v>217590</v>
      </c>
      <c r="P106" s="19">
        <f>'P&amp;L - Inputs'!AO492</f>
        <v>375592.40677966166</v>
      </c>
      <c r="Q106" s="19">
        <f>'P&amp;L - Inputs'!AP492</f>
        <v>1055454.0762711952</v>
      </c>
      <c r="R106" s="19">
        <f>'P&amp;L - Inputs'!AQ492</f>
        <v>1270574.3135593217</v>
      </c>
      <c r="S106" s="19">
        <f>'P&amp;L - Inputs'!AR492</f>
        <v>1325067.9067796662</v>
      </c>
      <c r="T106" s="19">
        <f>'P&amp;L - Inputs'!AS492</f>
        <v>1606519.5847457757</v>
      </c>
      <c r="U106" s="19">
        <f>'P&amp;L - Inputs'!AT492</f>
        <v>2230041.5593220489</v>
      </c>
      <c r="V106" s="19">
        <f>'P&amp;L - Inputs'!AU492</f>
        <v>2125387.432203399</v>
      </c>
      <c r="W106" s="19">
        <f>'P&amp;L - Inputs'!AV492</f>
        <v>2203991.3305084929</v>
      </c>
      <c r="X106" s="19">
        <f>'P&amp;L - Inputs'!AW492</f>
        <v>3282753.6779661272</v>
      </c>
      <c r="Y106" s="19">
        <f>'P&amp;L - Inputs'!AX492</f>
        <v>2154782.2542372616</v>
      </c>
      <c r="Z106" s="19">
        <f>'P&amp;L - Inputs'!AY492</f>
        <v>2201423.661016956</v>
      </c>
      <c r="AA106" s="19">
        <f>'P&amp;L - Inputs'!AZ492</f>
        <v>2710450.665932232</v>
      </c>
      <c r="AB106" s="19">
        <f>'P&amp;L - Inputs'!BA492</f>
        <v>3022649.0847458108</v>
      </c>
      <c r="AC106" s="19">
        <f>'P&amp;L - Inputs'!BB492</f>
        <v>3611519.3728814237</v>
      </c>
      <c r="AD106" s="19">
        <f>'P&amp;L - Inputs'!BC492</f>
        <v>3800549.135593276</v>
      </c>
      <c r="AE106" s="19">
        <f>'P&amp;L - Inputs'!BD492</f>
        <v>3602722.898305133</v>
      </c>
      <c r="AF106" s="19">
        <f>'P&amp;L - Inputs'!BE492</f>
        <v>2404328.5762712169</v>
      </c>
      <c r="AG106" s="19">
        <f>'P&amp;L - Inputs'!BF492</f>
        <v>3411561.4025075859</v>
      </c>
      <c r="AH106" s="19">
        <f>'P&amp;L - Inputs'!BG492</f>
        <v>3991152.9246249441</v>
      </c>
      <c r="AI106" s="19">
        <f>'P&amp;L - Inputs'!BH492</f>
        <v>4064564.6144001209</v>
      </c>
      <c r="AJ106" s="19">
        <f>'P&amp;L - Inputs'!BI492</f>
        <v>4210914.8621701878</v>
      </c>
      <c r="AK106" s="19">
        <f>'P&amp;L - Inputs'!BJ492</f>
        <v>4320108.5928791743</v>
      </c>
      <c r="AL106" s="19">
        <f>'P&amp;L - Inputs'!BK492</f>
        <v>4423028.9180456558</v>
      </c>
      <c r="AM106" s="19">
        <f>'P&amp;L - Inputs'!BL492</f>
        <v>4663889.3482766226</v>
      </c>
      <c r="AN106" s="19">
        <f>'P&amp;L - Inputs'!BM492</f>
        <v>4538957.6838828316</v>
      </c>
      <c r="AO106" s="19">
        <f>'P&amp;L - Inputs'!BN492</f>
        <v>7160621.2387203481</v>
      </c>
      <c r="AP106" s="19">
        <f>'P&amp;L - Inputs'!BO492</f>
        <v>6703465.6512332354</v>
      </c>
      <c r="AQ106" s="19">
        <f>'P&amp;L - Inputs'!BP492</f>
        <v>9477632.0774100609</v>
      </c>
      <c r="AR106" s="19">
        <f>'P&amp;L - Inputs'!BQ492</f>
        <v>6771629.125630605</v>
      </c>
      <c r="AS106" s="19">
        <f>'P&amp;L - Inputs'!BR492</f>
        <v>4814209.8984204624</v>
      </c>
      <c r="AT106" s="19">
        <f>'P&amp;L - Inputs'!BS492</f>
        <v>4110303.2962132972</v>
      </c>
      <c r="AU106" s="19">
        <f>'P&amp;L - Inputs'!BT492</f>
        <v>4394830.6496485798</v>
      </c>
      <c r="AV106" s="19">
        <f>'P&amp;L - Inputs'!BU492</f>
        <v>5506208.2240272742</v>
      </c>
      <c r="AW106" s="19">
        <f>'P&amp;L - Inputs'!BV492</f>
        <v>5857230.4102596575</v>
      </c>
      <c r="AX106" s="19">
        <f>'P&amp;L - Inputs'!BW492</f>
        <v>5767176.2222144613</v>
      </c>
      <c r="AY106" s="19">
        <f>'P&amp;L - Inputs'!BX492</f>
        <v>6252928.5167485429</v>
      </c>
      <c r="AZ106" s="19">
        <f>'P&amp;L - Inputs'!BY492</f>
        <v>6593671.5159045653</v>
      </c>
      <c r="BA106" s="19">
        <f>'P&amp;L - Inputs'!BZ492</f>
        <v>5098033.4750805767</v>
      </c>
      <c r="BB106" s="19">
        <f>'P&amp;L - Inputs'!CA492</f>
        <v>4421647.3555650916</v>
      </c>
      <c r="BC106" s="19">
        <f>'P&amp;L - Inputs'!CB492</f>
        <v>7718956.2054269779</v>
      </c>
      <c r="BD106" s="19">
        <f>'P&amp;L - Inputs'!CC492</f>
        <v>6309481.7963181045</v>
      </c>
      <c r="BE106" s="19">
        <f>'P&amp;L - Inputs'!CD492</f>
        <v>7815553.149586509</v>
      </c>
      <c r="BF106" s="19">
        <f>'P&amp;L - Inputs'!CE492</f>
        <v>7398387.2433796432</v>
      </c>
      <c r="BG106" s="19">
        <f>'P&amp;L - Inputs'!CF492</f>
        <v>7334723.1957794409</v>
      </c>
      <c r="BH106" s="19">
        <f>'P&amp;L - Inputs'!CG492</f>
        <v>8395846.9253025576</v>
      </c>
      <c r="BI106" s="19">
        <f>'P&amp;L - Inputs'!CH492</f>
        <v>7645724.4229185609</v>
      </c>
      <c r="BJ106" s="19">
        <f>'P&amp;L - Inputs'!CI492</f>
        <v>8075694.1869826149</v>
      </c>
      <c r="BK106" s="19">
        <f>'P&amp;L - Inputs'!CJ492</f>
        <v>6063600.6621355666</v>
      </c>
      <c r="BL106" s="19">
        <f>'P&amp;L - Inputs'!CK492</f>
        <v>7493476.8000000007</v>
      </c>
      <c r="BM106" s="19">
        <f>'P&amp;L - Inputs'!CL492</f>
        <v>7172234.1100000087</v>
      </c>
      <c r="BN106" s="19">
        <f>'P&amp;L - Inputs'!CM492</f>
        <v>8821420.2700000014</v>
      </c>
      <c r="BO106" s="19">
        <f>'P&amp;L - Inputs'!CN492</f>
        <v>12162627.697322497</v>
      </c>
      <c r="BP106" s="19">
        <f>'P&amp;L - Inputs'!CO492</f>
        <v>11109668.729999999</v>
      </c>
      <c r="BQ106" s="19">
        <f>'P&amp;L - Inputs'!CP492</f>
        <v>14705106.519999884</v>
      </c>
      <c r="BR106" s="19">
        <f>'P&amp;L - Inputs'!CQ492</f>
        <v>12403232.930000007</v>
      </c>
      <c r="BS106" s="19">
        <f>'P&amp;L - Inputs'!CR492</f>
        <v>11773996.550000008</v>
      </c>
      <c r="BT106" s="19">
        <f>'P&amp;L - Inputs'!CS492</f>
        <v>12361241.8799998</v>
      </c>
      <c r="BU106" s="19">
        <f>'P&amp;L - Inputs'!CT492</f>
        <v>11465522.302244177</v>
      </c>
      <c r="BV106" s="19">
        <f>'P&amp;L - Inputs'!CU492</f>
        <v>11619458.531631615</v>
      </c>
      <c r="BW106" s="19">
        <f>'P&amp;L - Inputs'!CV492</f>
        <v>11792965.088070087</v>
      </c>
      <c r="BX106" s="19">
        <f>'P&amp;L - Inputs'!CW492</f>
        <v>11745692.407510059</v>
      </c>
      <c r="BY106" s="19">
        <f>'P&amp;L - Inputs'!CX492</f>
        <v>12138288.809279289</v>
      </c>
      <c r="BZ106" s="19">
        <f>'P&amp;L - Inputs'!CY492</f>
        <v>12497848.915801691</v>
      </c>
      <c r="CA106" s="19">
        <f>'P&amp;L - Inputs'!CZ492</f>
        <v>12180376.884877134</v>
      </c>
      <c r="CB106" s="19">
        <f>'P&amp;L - Inputs'!DA492</f>
        <v>12521249.184670128</v>
      </c>
      <c r="CC106" s="19">
        <f>'P&amp;L - Inputs'!DB492</f>
        <v>12255659.492361858</v>
      </c>
      <c r="CD106" s="19">
        <f>'P&amp;L - Inputs'!DC492</f>
        <v>12310300.62641946</v>
      </c>
      <c r="CE106" s="19">
        <f>'P&amp;L - Inputs'!DD492</f>
        <v>12650349.923979554</v>
      </c>
      <c r="CF106" s="19">
        <f>'P&amp;L - Inputs'!DE492</f>
        <v>12506884.417389559</v>
      </c>
      <c r="CG106" s="19">
        <f>'P&amp;L - Inputs'!DF492</f>
        <v>12832131.58810948</v>
      </c>
      <c r="CH106" s="19">
        <f>'P&amp;L - Inputs'!DG492</f>
        <v>13045750.741978852</v>
      </c>
      <c r="CI106" s="19">
        <f>'P&amp;L - Inputs'!DH492</f>
        <v>13176011.583775051</v>
      </c>
      <c r="CJ106" s="19">
        <f>'P&amp;L - Inputs'!DI492</f>
        <v>13094864.134264981</v>
      </c>
      <c r="CK106" s="19">
        <f>'P&amp;L - Inputs'!DJ492</f>
        <v>13541286.84151103</v>
      </c>
      <c r="CL106" s="19">
        <f>'P&amp;L - Inputs'!DK492</f>
        <v>13934907.156507621</v>
      </c>
      <c r="CM106" s="19">
        <f>'P&amp;L - Inputs'!DL492</f>
        <v>13476961.306077642</v>
      </c>
      <c r="CN106" s="19">
        <f>'P&amp;L - Inputs'!DM492</f>
        <v>13810130.960973432</v>
      </c>
      <c r="CO106" s="19">
        <f>'P&amp;L - Inputs'!DN492</f>
        <v>13420464.654686198</v>
      </c>
      <c r="CP106" s="19">
        <f>'P&amp;L - Inputs'!DO492</f>
        <v>13419033.686629469</v>
      </c>
      <c r="CQ106" s="19">
        <f>'P&amp;L - Inputs'!DP492</f>
        <v>13749247.594230562</v>
      </c>
      <c r="CR106" s="19">
        <f>'P&amp;L - Inputs'!DQ492</f>
        <v>13400495.730079304</v>
      </c>
      <c r="CS106" s="19">
        <f>'P&amp;L - Inputs'!DR492</f>
        <v>13850483.88715554</v>
      </c>
      <c r="CT106" s="19">
        <f>'P&amp;L - Inputs'!DS492</f>
        <v>14072964.795616601</v>
      </c>
      <c r="CU106" s="19">
        <f>'P&amp;L - Inputs'!DT492</f>
        <v>14207332.833773592</v>
      </c>
      <c r="CV106" s="19">
        <f>'P&amp;L - Inputs'!DU492</f>
        <v>14100443.453010861</v>
      </c>
      <c r="CW106" s="19">
        <f>'P&amp;L - Inputs'!DV492</f>
        <v>14588224.658656288</v>
      </c>
      <c r="CX106" s="19">
        <f>'P&amp;L - Inputs'!DW492</f>
        <v>15008118.872767629</v>
      </c>
      <c r="CY106" s="19">
        <f>'P&amp;L - Inputs'!DX492</f>
        <v>14479652.91296535</v>
      </c>
      <c r="CZ106" s="19">
        <f>'P&amp;L - Inputs'!DY492</f>
        <v>14844846.321430117</v>
      </c>
      <c r="DA106" s="19">
        <f>'P&amp;L - Inputs'!DZ492</f>
        <v>14394598.247705942</v>
      </c>
      <c r="DB106" s="19">
        <f>'P&amp;L - Inputs'!EA492</f>
        <v>14386115.420779744</v>
      </c>
      <c r="DC106" s="19">
        <f>'P&amp;L - Inputs'!EB492</f>
        <v>14747809.436013738</v>
      </c>
      <c r="DD106" s="19">
        <f>'P&amp;L - Inputs'!EC492</f>
        <v>14344652.379766306</v>
      </c>
      <c r="DF106" s="19">
        <f t="shared" si="392"/>
        <v>13407026.859201454</v>
      </c>
      <c r="DG106" s="19">
        <f t="shared" si="393"/>
        <v>18403044.573836416</v>
      </c>
      <c r="DH106" s="19">
        <f t="shared" si="394"/>
        <v>21063471.101461127</v>
      </c>
      <c r="DI106" s="19">
        <f t="shared" si="395"/>
        <v>14011342.16988915</v>
      </c>
      <c r="DJ106" s="19">
        <f t="shared" si="396"/>
        <v>17877335.149222661</v>
      </c>
      <c r="DK106" s="19">
        <f t="shared" si="397"/>
        <v>16113352.346550234</v>
      </c>
      <c r="DL106" s="19">
        <f t="shared" si="398"/>
        <v>21843991.151331592</v>
      </c>
      <c r="DM106" s="19">
        <f t="shared" si="399"/>
        <v>23128957.364461642</v>
      </c>
      <c r="DN106" s="19">
        <f t="shared" si="400"/>
        <v>21785019.272036742</v>
      </c>
      <c r="DO106" s="19">
        <f t="shared" si="401"/>
        <v>23487131.180000011</v>
      </c>
      <c r="DP106" s="19">
        <f t="shared" si="402"/>
        <v>37977402.947322384</v>
      </c>
      <c r="DQ106" s="19">
        <f t="shared" si="403"/>
        <v>36538471.359999813</v>
      </c>
      <c r="DR106" s="19">
        <f t="shared" si="404"/>
        <v>34877945.921945877</v>
      </c>
      <c r="DS106" s="19">
        <f t="shared" si="405"/>
        <v>36381830.132591039</v>
      </c>
      <c r="DT106" s="19">
        <f t="shared" si="406"/>
        <v>36957285.561909124</v>
      </c>
      <c r="DU106" s="19">
        <f t="shared" si="407"/>
        <v>37467534.96778857</v>
      </c>
      <c r="DV106" s="19">
        <f t="shared" si="408"/>
        <v>39053893.913863383</v>
      </c>
      <c r="DW106" s="19">
        <f t="shared" si="409"/>
        <v>40571058.132283628</v>
      </c>
      <c r="DX106" s="19">
        <f t="shared" si="410"/>
        <v>40707556.921737269</v>
      </c>
      <c r="DY106" s="19">
        <f t="shared" si="411"/>
        <v>40568777.01093933</v>
      </c>
      <c r="DZ106" s="19">
        <f t="shared" si="306"/>
        <v>42130781.516545735</v>
      </c>
      <c r="EA106" s="19">
        <f t="shared" si="307"/>
        <v>43696786.984434776</v>
      </c>
      <c r="EB106" s="19">
        <f t="shared" si="308"/>
        <v>43719097.482101411</v>
      </c>
      <c r="EC106" s="19">
        <f t="shared" si="309"/>
        <v>43478577.236559786</v>
      </c>
      <c r="EE106" s="19">
        <f t="shared" si="412"/>
        <v>66884884.704388149</v>
      </c>
      <c r="EF106" s="19">
        <f t="shared" si="413"/>
        <v>78963636.011566132</v>
      </c>
      <c r="EG106" s="19">
        <f t="shared" si="414"/>
        <v>119788024.75935894</v>
      </c>
      <c r="EH106" s="19">
        <f t="shared" si="415"/>
        <v>145684596.5842346</v>
      </c>
      <c r="EI106" s="19">
        <f t="shared" si="416"/>
        <v>160901285.9788236</v>
      </c>
      <c r="EJ106" s="770">
        <f t="shared" si="310"/>
        <v>173025243.21964172</v>
      </c>
    </row>
    <row r="107" spans="2:140" x14ac:dyDescent="0.2">
      <c r="B107" s="167" t="s">
        <v>142</v>
      </c>
      <c r="C107" s="19">
        <f>'P&amp;L - Inputs'!AB493</f>
        <v>242879.47799999992</v>
      </c>
      <c r="D107" s="19">
        <f>'P&amp;L - Inputs'!AC493</f>
        <v>165048.18999999997</v>
      </c>
      <c r="E107" s="19">
        <f>'P&amp;L - Inputs'!AD493</f>
        <v>167578.13800000001</v>
      </c>
      <c r="F107" s="19">
        <f>'P&amp;L - Inputs'!AE493</f>
        <v>172644.91</v>
      </c>
      <c r="G107" s="19">
        <f>'P&amp;L - Inputs'!AF493</f>
        <v>294572.14199999999</v>
      </c>
      <c r="H107" s="19">
        <f>'P&amp;L - Inputs'!AG493</f>
        <v>808315.56649999996</v>
      </c>
      <c r="I107" s="19">
        <f>'P&amp;L - Inputs'!AH493</f>
        <v>972338.17999999993</v>
      </c>
      <c r="J107" s="19">
        <f>'P&amp;L - Inputs'!AI493</f>
        <v>872059.652249999</v>
      </c>
      <c r="K107" s="19">
        <f>'P&amp;L - Inputs'!AJ493</f>
        <v>1019590.04</v>
      </c>
      <c r="L107" s="19">
        <f>'P&amp;L - Inputs'!AK493</f>
        <v>884067.36199999996</v>
      </c>
      <c r="M107" s="19">
        <f>'P&amp;L - Inputs'!AL493</f>
        <v>687539.97635660158</v>
      </c>
      <c r="N107" s="19">
        <f>'P&amp;L - Inputs'!AM493</f>
        <v>26248</v>
      </c>
      <c r="O107" s="19">
        <f>'P&amp;L - Inputs'!AN493</f>
        <v>621932.5388199999</v>
      </c>
      <c r="P107" s="19">
        <f>'P&amp;L - Inputs'!AO493</f>
        <v>1032627.9611099999</v>
      </c>
      <c r="Q107" s="19">
        <f>'P&amp;L - Inputs'!AP493</f>
        <v>1223622</v>
      </c>
      <c r="R107" s="19">
        <f>'P&amp;L - Inputs'!AQ493</f>
        <v>2084398.1706549004</v>
      </c>
      <c r="S107" s="19">
        <f>'P&amp;L - Inputs'!AR493</f>
        <v>3499105.7680029003</v>
      </c>
      <c r="T107" s="19">
        <f>'P&amp;L - Inputs'!AS493</f>
        <v>3370694.3531751139</v>
      </c>
      <c r="U107" s="19">
        <f>'P&amp;L - Inputs'!AT493</f>
        <v>4292459.4795945743</v>
      </c>
      <c r="V107" s="19">
        <f>'P&amp;L - Inputs'!AU493</f>
        <v>5151854.6280100141</v>
      </c>
      <c r="W107" s="19">
        <f>'P&amp;L - Inputs'!AV493</f>
        <v>6049484.7551354878</v>
      </c>
      <c r="X107" s="19">
        <f>'P&amp;L - Inputs'!AW493</f>
        <v>6163409</v>
      </c>
      <c r="Y107" s="19">
        <f>'P&amp;L - Inputs'!AX493</f>
        <v>3445986</v>
      </c>
      <c r="Z107" s="19">
        <f>'P&amp;L - Inputs'!AY493</f>
        <v>5377379.477969991</v>
      </c>
      <c r="AA107" s="19">
        <f>'P&amp;L - Inputs'!AZ493</f>
        <v>7670715.2058800114</v>
      </c>
      <c r="AB107" s="19">
        <f>'P&amp;L - Inputs'!BA493</f>
        <v>5744093.6860600011</v>
      </c>
      <c r="AC107" s="19">
        <f>'P&amp;L - Inputs'!BB493</f>
        <v>5621813.7255999949</v>
      </c>
      <c r="AD107" s="19">
        <f>'P&amp;L - Inputs'!BC493</f>
        <v>5566681.8153000018</v>
      </c>
      <c r="AE107" s="19">
        <f>'P&amp;L - Inputs'!BD493</f>
        <v>5484609.8373000007</v>
      </c>
      <c r="AF107" s="19">
        <f>'P&amp;L - Inputs'!BE493</f>
        <v>5987554.801599999</v>
      </c>
      <c r="AG107" s="19">
        <f>'P&amp;L - Inputs'!BF493</f>
        <v>7308851.8207560014</v>
      </c>
      <c r="AH107" s="19">
        <f>'P&amp;L - Inputs'!BG493</f>
        <v>6765741.7791999998</v>
      </c>
      <c r="AI107" s="19">
        <f>'P&amp;L - Inputs'!BH493</f>
        <v>5437638.1402999787</v>
      </c>
      <c r="AJ107" s="19">
        <f>'P&amp;L - Inputs'!BI493</f>
        <v>9002365.6451000534</v>
      </c>
      <c r="AK107" s="19">
        <f>'P&amp;L - Inputs'!BJ493</f>
        <v>10193434.916525492</v>
      </c>
      <c r="AL107" s="19">
        <f>'P&amp;L - Inputs'!BK493</f>
        <v>11826350.658644153</v>
      </c>
      <c r="AM107" s="19">
        <f>'P&amp;L - Inputs'!BL493</f>
        <v>11428219.726101739</v>
      </c>
      <c r="AN107" s="19">
        <f>'P&amp;L - Inputs'!BM493</f>
        <v>8819950.3784745634</v>
      </c>
      <c r="AO107" s="19">
        <f>'P&amp;L - Inputs'!BN493</f>
        <v>11127735.32364404</v>
      </c>
      <c r="AP107" s="19">
        <f>'P&amp;L - Inputs'!BO493</f>
        <v>10943599.05084742</v>
      </c>
      <c r="AQ107" s="19">
        <f>'P&amp;L - Inputs'!BP493</f>
        <v>14690717.122203326</v>
      </c>
      <c r="AR107" s="19">
        <f>'P&amp;L - Inputs'!BQ493</f>
        <v>13457957.721525371</v>
      </c>
      <c r="AS107" s="19">
        <f>'P&amp;L - Inputs'!BR493</f>
        <v>12958226.430170059</v>
      </c>
      <c r="AT107" s="19">
        <f>'P&amp;L - Inputs'!BS493</f>
        <v>12759101.006271316</v>
      </c>
      <c r="AU107" s="19">
        <f>'P&amp;L - Inputs'!BT493</f>
        <v>13756847.74</v>
      </c>
      <c r="AV107" s="19">
        <f>'P&amp;L - Inputs'!BU493</f>
        <v>17034233.296610177</v>
      </c>
      <c r="AW107" s="19">
        <f>'P&amp;L - Inputs'!BV493</f>
        <v>17528072.380000032</v>
      </c>
      <c r="AX107" s="19">
        <f>'P&amp;L - Inputs'!BW493</f>
        <v>16211726.588644078</v>
      </c>
      <c r="AY107" s="19">
        <f>'P&amp;L - Inputs'!BX493</f>
        <v>18368505.433728803</v>
      </c>
      <c r="AZ107" s="19">
        <f>'P&amp;L - Inputs'!BY493</f>
        <v>18782024.695932288</v>
      </c>
      <c r="BA107" s="19">
        <f>'P&amp;L - Inputs'!BZ493</f>
        <v>15426205.65206782</v>
      </c>
      <c r="BB107" s="19">
        <f>'P&amp;L - Inputs'!CA493</f>
        <v>14064065.498135602</v>
      </c>
      <c r="BC107" s="19">
        <f>'P&amp;L - Inputs'!CB493</f>
        <v>10964218.175762687</v>
      </c>
      <c r="BD107" s="19">
        <f>'P&amp;L - Inputs'!CC493</f>
        <v>12903312.305423699</v>
      </c>
      <c r="BE107" s="19">
        <f>'P&amp;L - Inputs'!CD493</f>
        <v>16037200.735423816</v>
      </c>
      <c r="BF107" s="19">
        <f>'P&amp;L - Inputs'!CE493</f>
        <v>16980578.136440687</v>
      </c>
      <c r="BG107" s="19">
        <f>'P&amp;L - Inputs'!CF493</f>
        <v>14789569.236960266</v>
      </c>
      <c r="BH107" s="19">
        <f>'P&amp;L - Inputs'!CG493</f>
        <v>18703316.006908122</v>
      </c>
      <c r="BI107" s="19">
        <f>'P&amp;L - Inputs'!CH493</f>
        <v>17420824.23066606</v>
      </c>
      <c r="BJ107" s="19">
        <f>'P&amp;L - Inputs'!CI493</f>
        <v>14839976.388945393</v>
      </c>
      <c r="BK107" s="19">
        <f>'P&amp;L - Inputs'!CJ493</f>
        <v>15219324.988418624</v>
      </c>
      <c r="BL107" s="19">
        <f>'P&amp;L - Inputs'!CK493</f>
        <v>18731876.627118628</v>
      </c>
      <c r="BM107" s="19">
        <f>'P&amp;L - Inputs'!CL493</f>
        <v>18207474.728813607</v>
      </c>
      <c r="BN107" s="19">
        <f>'P&amp;L - Inputs'!CM493</f>
        <v>19593820.245762698</v>
      </c>
      <c r="BO107" s="19">
        <f>'P&amp;L - Inputs'!CN493</f>
        <v>20629178.076271165</v>
      </c>
      <c r="BP107" s="19">
        <f>'P&amp;L - Inputs'!CO493</f>
        <v>16615977.10169491</v>
      </c>
      <c r="BQ107" s="19">
        <f>'P&amp;L - Inputs'!CP493</f>
        <v>27177616.627118696</v>
      </c>
      <c r="BR107" s="19">
        <f>'P&amp;L - Inputs'!CQ493</f>
        <v>29350165.466101747</v>
      </c>
      <c r="BS107" s="19">
        <f>'P&amp;L - Inputs'!CR493</f>
        <v>28559573.017793998</v>
      </c>
      <c r="BT107" s="19">
        <f>'P&amp;L - Inputs'!CS493</f>
        <v>37140163.843689226</v>
      </c>
      <c r="BU107" s="19">
        <f>'P&amp;L - Inputs'!CT493</f>
        <v>25735981.522933841</v>
      </c>
      <c r="BV107" s="19">
        <f>'P&amp;L - Inputs'!CU493</f>
        <v>25140409.328154642</v>
      </c>
      <c r="BW107" s="19">
        <f>'P&amp;L - Inputs'!CV493</f>
        <v>25056220.284669846</v>
      </c>
      <c r="BX107" s="19">
        <f>'P&amp;L - Inputs'!CW493</f>
        <v>27297204.500466388</v>
      </c>
      <c r="BY107" s="19">
        <f>'P&amp;L - Inputs'!CX493</f>
        <v>24124381.333237853</v>
      </c>
      <c r="BZ107" s="19">
        <f>'P&amp;L - Inputs'!CY493</f>
        <v>22204566.783873279</v>
      </c>
      <c r="CA107" s="19">
        <f>'P&amp;L - Inputs'!CZ493</f>
        <v>28254704.876652874</v>
      </c>
      <c r="CB107" s="19">
        <f>'P&amp;L - Inputs'!DA493</f>
        <v>25811065.785220332</v>
      </c>
      <c r="CC107" s="19">
        <f>'P&amp;L - Inputs'!DB493</f>
        <v>31129789.050316051</v>
      </c>
      <c r="CD107" s="19">
        <f>'P&amp;L - Inputs'!DC493</f>
        <v>31934036.273425031</v>
      </c>
      <c r="CE107" s="19">
        <f>'P&amp;L - Inputs'!DD493</f>
        <v>29501999.512427371</v>
      </c>
      <c r="CF107" s="19">
        <f>'P&amp;L - Inputs'!DE493</f>
        <v>34673623.050622307</v>
      </c>
      <c r="CG107" s="19">
        <f>'P&amp;L - Inputs'!DF493</f>
        <v>32188900.419492994</v>
      </c>
      <c r="CH107" s="19">
        <f>'P&amp;L - Inputs'!DG493</f>
        <v>31528430.21088044</v>
      </c>
      <c r="CI107" s="19">
        <f>'P&amp;L - Inputs'!DH493</f>
        <v>31262274.845919099</v>
      </c>
      <c r="CJ107" s="19">
        <f>'P&amp;L - Inputs'!DI493</f>
        <v>34025965.40983136</v>
      </c>
      <c r="CK107" s="19">
        <f>'P&amp;L - Inputs'!DJ493</f>
        <v>30029018.216010191</v>
      </c>
      <c r="CL107" s="19">
        <f>'P&amp;L - Inputs'!DK493</f>
        <v>27589174.228962563</v>
      </c>
      <c r="CM107" s="19">
        <f>'P&amp;L - Inputs'!DL493</f>
        <v>34952682.897855483</v>
      </c>
      <c r="CN107" s="19">
        <f>'P&amp;L - Inputs'!DM493</f>
        <v>31778493.805816952</v>
      </c>
      <c r="CO107" s="19">
        <f>'P&amp;L - Inputs'!DN493</f>
        <v>38163438.684387475</v>
      </c>
      <c r="CP107" s="19">
        <f>'P&amp;L - Inputs'!DO493</f>
        <v>38984300.661032066</v>
      </c>
      <c r="CQ107" s="19">
        <f>'P&amp;L - Inputs'!DP493</f>
        <v>35852472.532474592</v>
      </c>
      <c r="CR107" s="19">
        <f>'P&amp;L - Inputs'!DQ493</f>
        <v>41651042.7936076</v>
      </c>
      <c r="CS107" s="19">
        <f>'P&amp;L - Inputs'!DR493</f>
        <v>38642774.953601345</v>
      </c>
      <c r="CT107" s="19">
        <f>'P&amp;L - Inputs'!DS493</f>
        <v>37815926.774088725</v>
      </c>
      <c r="CU107" s="19">
        <f>'P&amp;L - Inputs'!DT493</f>
        <v>37474657.262800433</v>
      </c>
      <c r="CV107" s="19">
        <f>'P&amp;L - Inputs'!DU493</f>
        <v>40763905.004209623</v>
      </c>
      <c r="CW107" s="19">
        <f>'P&amp;L - Inputs'!DV493</f>
        <v>35944734.804564208</v>
      </c>
      <c r="CX107" s="19">
        <f>'P&amp;L - Inputs'!DW493</f>
        <v>32987520.749749366</v>
      </c>
      <c r="CY107" s="19">
        <f>'P&amp;L - Inputs'!DX493</f>
        <v>41780413.559718154</v>
      </c>
      <c r="CZ107" s="19">
        <f>'P&amp;L - Inputs'!DY493</f>
        <v>37965611.532766551</v>
      </c>
      <c r="DA107" s="19">
        <f>'P&amp;L - Inputs'!DZ493</f>
        <v>45581457.078665301</v>
      </c>
      <c r="DB107" s="19">
        <f>'P&amp;L - Inputs'!EA493</f>
        <v>46549480.736541867</v>
      </c>
      <c r="DC107" s="19">
        <f>'P&amp;L - Inputs'!EB493</f>
        <v>42787338.675676189</v>
      </c>
      <c r="DD107" s="19">
        <f>'P&amp;L - Inputs'!EC493</f>
        <v>49694543.8317293</v>
      </c>
      <c r="DF107" s="19">
        <f t="shared" si="392"/>
        <v>33448005.301271386</v>
      </c>
      <c r="DG107" s="19">
        <f t="shared" si="393"/>
        <v>30891284.752966024</v>
      </c>
      <c r="DH107" s="19">
        <f t="shared" si="394"/>
        <v>41106901.273898758</v>
      </c>
      <c r="DI107" s="19">
        <f t="shared" si="395"/>
        <v>43550182.042881489</v>
      </c>
      <c r="DJ107" s="19">
        <f t="shared" si="396"/>
        <v>52108304.402372912</v>
      </c>
      <c r="DK107" s="19">
        <f t="shared" si="397"/>
        <v>48272295.846135713</v>
      </c>
      <c r="DL107" s="19">
        <f t="shared" si="398"/>
        <v>39904731.216610201</v>
      </c>
      <c r="DM107" s="19">
        <f t="shared" si="399"/>
        <v>50473463.380309075</v>
      </c>
      <c r="DN107" s="19">
        <f t="shared" si="400"/>
        <v>47480125.608030081</v>
      </c>
      <c r="DO107" s="19">
        <f t="shared" si="401"/>
        <v>56533171.601694934</v>
      </c>
      <c r="DP107" s="19">
        <f t="shared" si="402"/>
        <v>64422771.805084765</v>
      </c>
      <c r="DQ107" s="19">
        <f t="shared" si="403"/>
        <v>95049902.327584982</v>
      </c>
      <c r="DR107" s="19">
        <f t="shared" si="404"/>
        <v>75932611.135758325</v>
      </c>
      <c r="DS107" s="19">
        <f t="shared" si="405"/>
        <v>73626152.617577523</v>
      </c>
      <c r="DT107" s="19">
        <f t="shared" si="406"/>
        <v>85195559.712189257</v>
      </c>
      <c r="DU107" s="19">
        <f t="shared" si="407"/>
        <v>96109658.836474717</v>
      </c>
      <c r="DV107" s="19">
        <f t="shared" si="408"/>
        <v>94979605.476292536</v>
      </c>
      <c r="DW107" s="19">
        <f t="shared" si="409"/>
        <v>91644157.854804114</v>
      </c>
      <c r="DX107" s="19">
        <f t="shared" si="410"/>
        <v>104894615.38805991</v>
      </c>
      <c r="DY107" s="19">
        <f t="shared" si="411"/>
        <v>116487815.98711425</v>
      </c>
      <c r="DZ107" s="19">
        <f t="shared" si="306"/>
        <v>113933358.9904905</v>
      </c>
      <c r="EA107" s="19">
        <f t="shared" si="307"/>
        <v>109696160.55852319</v>
      </c>
      <c r="EB107" s="19">
        <f t="shared" si="308"/>
        <v>125327482.17115001</v>
      </c>
      <c r="EC107" s="19">
        <f t="shared" si="309"/>
        <v>139031363.24394736</v>
      </c>
      <c r="EE107" s="19">
        <f t="shared" si="412"/>
        <v>148996373.37101766</v>
      </c>
      <c r="EF107" s="19">
        <f t="shared" si="413"/>
        <v>190758794.8454279</v>
      </c>
      <c r="EG107" s="19">
        <f t="shared" si="414"/>
        <v>263485971.34239477</v>
      </c>
      <c r="EH107" s="19">
        <f t="shared" si="415"/>
        <v>330863982.30199981</v>
      </c>
      <c r="EI107" s="19">
        <f t="shared" si="416"/>
        <v>408006194.70627081</v>
      </c>
      <c r="EJ107" s="770">
        <f t="shared" si="310"/>
        <v>487988364.96411109</v>
      </c>
    </row>
    <row r="108" spans="2:140" x14ac:dyDescent="0.2">
      <c r="B108" s="21" t="s">
        <v>192</v>
      </c>
      <c r="C108" s="19">
        <f>'P&amp;L - Inputs'!AB494</f>
        <v>0</v>
      </c>
      <c r="D108" s="19">
        <f>'P&amp;L - Inputs'!AC494</f>
        <v>0</v>
      </c>
      <c r="E108" s="19">
        <f>'P&amp;L - Inputs'!AD494</f>
        <v>0</v>
      </c>
      <c r="F108" s="19">
        <f>'P&amp;L - Inputs'!AE494</f>
        <v>0</v>
      </c>
      <c r="G108" s="19">
        <f>'P&amp;L - Inputs'!AF494</f>
        <v>0</v>
      </c>
      <c r="H108" s="19">
        <f>'P&amp;L - Inputs'!AG494</f>
        <v>0</v>
      </c>
      <c r="I108" s="19">
        <f>'P&amp;L - Inputs'!AH494</f>
        <v>0</v>
      </c>
      <c r="J108" s="19">
        <f>'P&amp;L - Inputs'!AI494</f>
        <v>0</v>
      </c>
      <c r="K108" s="19">
        <f>'P&amp;L - Inputs'!AJ494</f>
        <v>0</v>
      </c>
      <c r="L108" s="19">
        <f>'P&amp;L - Inputs'!AK494</f>
        <v>0</v>
      </c>
      <c r="M108" s="19">
        <f>'P&amp;L - Inputs'!AL494</f>
        <v>0</v>
      </c>
      <c r="N108" s="19">
        <f>'P&amp;L - Inputs'!AM494</f>
        <v>25948.319999999992</v>
      </c>
      <c r="O108" s="19">
        <f>'P&amp;L - Inputs'!AN494</f>
        <v>522462.53882000002</v>
      </c>
      <c r="P108" s="19">
        <f>'P&amp;L - Inputs'!AO494</f>
        <v>1003263.9611099999</v>
      </c>
      <c r="Q108" s="19">
        <f>'P&amp;L - Inputs'!AP494</f>
        <v>1140509</v>
      </c>
      <c r="R108" s="19">
        <f>'P&amp;L - Inputs'!AQ494</f>
        <v>1687093.7680029003</v>
      </c>
      <c r="S108" s="19">
        <f>'P&amp;L - Inputs'!AR494</f>
        <v>3244601.7680029003</v>
      </c>
      <c r="T108" s="19">
        <f>'P&amp;L - Inputs'!AS494</f>
        <v>3063177.3796811141</v>
      </c>
      <c r="U108" s="19">
        <f>'P&amp;L - Inputs'!AT494</f>
        <v>3931110.7077145749</v>
      </c>
      <c r="V108" s="19">
        <f>'P&amp;L - Inputs'!AU494</f>
        <v>4633404.6280100141</v>
      </c>
      <c r="W108" s="19">
        <f>'P&amp;L - Inputs'!AV494</f>
        <v>5667920.7551354878</v>
      </c>
      <c r="X108" s="19">
        <f>'P&amp;L - Inputs'!AW494</f>
        <v>5820862</v>
      </c>
      <c r="Y108" s="19">
        <f>'P&amp;L - Inputs'!AX494</f>
        <v>3219363</v>
      </c>
      <c r="Z108" s="19">
        <f>'P&amp;L - Inputs'!AY494</f>
        <v>5251130.4979699906</v>
      </c>
      <c r="AA108" s="19">
        <f>'P&amp;L - Inputs'!AZ494</f>
        <v>7653244.5958800111</v>
      </c>
      <c r="AB108" s="19">
        <f>'P&amp;L - Inputs'!BA494</f>
        <v>5633137.4968100013</v>
      </c>
      <c r="AC108" s="19">
        <f>'P&amp;L - Inputs'!BB494</f>
        <v>5537154.385599995</v>
      </c>
      <c r="AD108" s="19">
        <f>'P&amp;L - Inputs'!BC494</f>
        <v>5361094.5253000017</v>
      </c>
      <c r="AE108" s="19">
        <f>'P&amp;L - Inputs'!BD494</f>
        <v>5384194.3173000002</v>
      </c>
      <c r="AF108" s="19">
        <f>'P&amp;L - Inputs'!BE494</f>
        <v>5821916.3215999985</v>
      </c>
      <c r="AG108" s="19">
        <f>'P&amp;L - Inputs'!BF494</f>
        <v>7150709.7197560016</v>
      </c>
      <c r="AH108" s="19">
        <f>'P&amp;L - Inputs'!BG494</f>
        <v>6698135.6792000001</v>
      </c>
      <c r="AI108" s="19">
        <f>'P&amp;L - Inputs'!BH494</f>
        <v>5411971.1502999784</v>
      </c>
      <c r="AJ108" s="19">
        <f>'P&amp;L - Inputs'!BI494</f>
        <v>8936043.2751000542</v>
      </c>
      <c r="AK108" s="19">
        <f>'P&amp;L - Inputs'!BJ494</f>
        <v>10140763.789406849</v>
      </c>
      <c r="AL108" s="19">
        <f>'P&amp;L - Inputs'!BK494</f>
        <v>11653229.201017033</v>
      </c>
      <c r="AM108" s="19">
        <f>'P&amp;L - Inputs'!BL494</f>
        <v>11361324.76847462</v>
      </c>
      <c r="AN108" s="19">
        <f>'P&amp;L - Inputs'!BM494</f>
        <v>8803522.514067784</v>
      </c>
      <c r="AO108" s="19">
        <f>'P&amp;L - Inputs'!BN494</f>
        <v>11106162.137203362</v>
      </c>
      <c r="AP108" s="19">
        <f>'P&amp;L - Inputs'!BO494</f>
        <v>10945162.864406742</v>
      </c>
      <c r="AQ108" s="19">
        <f>'P&amp;L - Inputs'!BP494</f>
        <v>14498257.039660953</v>
      </c>
      <c r="AR108" s="19">
        <f>'P&amp;L - Inputs'!BQ494</f>
        <v>13317157.68033893</v>
      </c>
      <c r="AS108" s="19">
        <f>'P&amp;L - Inputs'!BR494</f>
        <v>12769896.745424297</v>
      </c>
      <c r="AT108" s="19">
        <f>'P&amp;L - Inputs'!BS494</f>
        <v>12420482.063220467</v>
      </c>
      <c r="AU108" s="19">
        <f>'P&amp;L - Inputs'!BT494</f>
        <v>13330782.140000001</v>
      </c>
      <c r="AV108" s="19">
        <f>'P&amp;L - Inputs'!BU494</f>
        <v>16967732.838983059</v>
      </c>
      <c r="AW108" s="19">
        <f>'P&amp;L - Inputs'!BV494</f>
        <v>17288817.667796642</v>
      </c>
      <c r="AX108" s="19">
        <f>'P&amp;L - Inputs'!BW494</f>
        <v>15992223.552372891</v>
      </c>
      <c r="AY108" s="19">
        <f>'P&amp;L - Inputs'!BX494</f>
        <v>18021071.299830496</v>
      </c>
      <c r="AZ108" s="19">
        <f>'P&amp;L - Inputs'!BY494</f>
        <v>18679914.759661101</v>
      </c>
      <c r="BA108" s="19">
        <f>'P&amp;L - Inputs'!BZ494</f>
        <v>15056487.269355955</v>
      </c>
      <c r="BB108" s="19">
        <f>'P&amp;L - Inputs'!CA494</f>
        <v>13949207.598474585</v>
      </c>
      <c r="BC108" s="19">
        <f>'P&amp;L - Inputs'!CB494</f>
        <v>10632814.885254212</v>
      </c>
      <c r="BD108" s="19">
        <f>'P&amp;L - Inputs'!CC494</f>
        <v>12820144.33559319</v>
      </c>
      <c r="BE108" s="19">
        <f>'P&amp;L - Inputs'!CD494</f>
        <v>15726395.264067885</v>
      </c>
      <c r="BF108" s="19">
        <f>'P&amp;L - Inputs'!CE494</f>
        <v>16477324.986440688</v>
      </c>
      <c r="BG108" s="19">
        <f>'P&amp;L - Inputs'!CF494</f>
        <v>14783435.65746874</v>
      </c>
      <c r="BH108" s="19">
        <f>'P&amp;L - Inputs'!CG494</f>
        <v>18426310.73462363</v>
      </c>
      <c r="BI108" s="19">
        <f>'P&amp;L - Inputs'!CH494</f>
        <v>17101782.073114194</v>
      </c>
      <c r="BJ108" s="19">
        <f>'P&amp;L - Inputs'!CI494</f>
        <v>14510739.573691156</v>
      </c>
      <c r="BK108" s="19">
        <f>'P&amp;L - Inputs'!CJ494</f>
        <v>14963535.772104302</v>
      </c>
      <c r="BL108" s="19">
        <f>'P&amp;L - Inputs'!CK494</f>
        <v>18175573.203389816</v>
      </c>
      <c r="BM108" s="19">
        <f>'P&amp;L - Inputs'!CL494</f>
        <v>17849611.016949199</v>
      </c>
      <c r="BN108" s="19">
        <f>'P&amp;L - Inputs'!CM494</f>
        <v>19251599.423728801</v>
      </c>
      <c r="BO108" s="19">
        <f>'P&amp;L - Inputs'!CN494</f>
        <v>20237330.618644048</v>
      </c>
      <c r="BP108" s="19">
        <f>'P&amp;L - Inputs'!CO494</f>
        <v>16299861.813559316</v>
      </c>
      <c r="BQ108" s="19">
        <f>'P&amp;L - Inputs'!CP494</f>
        <v>26989076.940678019</v>
      </c>
      <c r="BR108" s="19">
        <f>'P&amp;L - Inputs'!CQ494</f>
        <v>29120717.262711916</v>
      </c>
      <c r="BS108" s="19">
        <f>'P&amp;L - Inputs'!CR494</f>
        <v>28323012.172274273</v>
      </c>
      <c r="BT108" s="19">
        <f>'P&amp;L - Inputs'!CS494</f>
        <v>36615808.969718389</v>
      </c>
      <c r="BU108" s="19">
        <f>'P&amp;L - Inputs'!CT494</f>
        <v>25386149.477503069</v>
      </c>
      <c r="BV108" s="19">
        <f>'P&amp;L - Inputs'!CU494</f>
        <v>24798672.96148847</v>
      </c>
      <c r="BW108" s="19">
        <f>'P&amp;L - Inputs'!CV494</f>
        <v>24715628.308990233</v>
      </c>
      <c r="BX108" s="19">
        <f>'P&amp;L - Inputs'!CW494</f>
        <v>26926150.578297906</v>
      </c>
      <c r="BY108" s="19">
        <f>'P&amp;L - Inputs'!CX494</f>
        <v>23796455.947565738</v>
      </c>
      <c r="BZ108" s="19">
        <f>'P&amp;L - Inputs'!CY494</f>
        <v>21902737.64986553</v>
      </c>
      <c r="CA108" s="19">
        <f>'P&amp;L - Inputs'!CZ494</f>
        <v>27870635.545889869</v>
      </c>
      <c r="CB108" s="19">
        <f>'P&amp;L - Inputs'!DA494</f>
        <v>25460213.111101594</v>
      </c>
      <c r="CC108" s="19">
        <f>'P&amp;L - Inputs'!DB494</f>
        <v>30706638.382151481</v>
      </c>
      <c r="CD108" s="19">
        <f>'P&amp;L - Inputs'!DC494</f>
        <v>31499953.383738562</v>
      </c>
      <c r="CE108" s="19">
        <f>'P&amp;L - Inputs'!DD494</f>
        <v>29100975.567623358</v>
      </c>
      <c r="CF108" s="19">
        <f>'P&amp;L - Inputs'!DE494</f>
        <v>34202300.654641971</v>
      </c>
      <c r="CG108" s="19">
        <f>'P&amp;L - Inputs'!DF494</f>
        <v>31751353.13325936</v>
      </c>
      <c r="CH108" s="19">
        <f>'P&amp;L - Inputs'!DG494</f>
        <v>31099860.769296683</v>
      </c>
      <c r="CI108" s="19">
        <f>'P&amp;L - Inputs'!DH494</f>
        <v>30837323.283670694</v>
      </c>
      <c r="CJ108" s="19">
        <f>'P&amp;L - Inputs'!DI494</f>
        <v>33563446.695848346</v>
      </c>
      <c r="CK108" s="19">
        <f>'P&amp;L - Inputs'!DJ494</f>
        <v>29620830.447635263</v>
      </c>
      <c r="CL108" s="19">
        <f>'P&amp;L - Inputs'!DK494</f>
        <v>27214151.529957935</v>
      </c>
      <c r="CM108" s="19">
        <f>'P&amp;L - Inputs'!DL494</f>
        <v>34477567.210483946</v>
      </c>
      <c r="CN108" s="19">
        <f>'P&amp;L - Inputs'!DM494</f>
        <v>31346525.222108912</v>
      </c>
      <c r="CO108" s="19">
        <f>'P&amp;L - Inputs'!DN494</f>
        <v>37644678.838226803</v>
      </c>
      <c r="CP108" s="19">
        <f>'P&amp;L - Inputs'!DO494</f>
        <v>38454382.74716568</v>
      </c>
      <c r="CQ108" s="19">
        <f>'P&amp;L - Inputs'!DP494</f>
        <v>35365125.905006379</v>
      </c>
      <c r="CR108" s="19">
        <f>'P&amp;L - Inputs'!DQ494</f>
        <v>41084875.55876451</v>
      </c>
      <c r="CS108" s="19">
        <f>'P&amp;L - Inputs'!DR494</f>
        <v>38117499.43647787</v>
      </c>
      <c r="CT108" s="19">
        <f>'P&amp;L - Inputs'!DS494</f>
        <v>37301890.695789129</v>
      </c>
      <c r="CU108" s="19">
        <f>'P&amp;L - Inputs'!DT494</f>
        <v>36965260.098741226</v>
      </c>
      <c r="CV108" s="19">
        <f>'P&amp;L - Inputs'!DU494</f>
        <v>40209796.731530748</v>
      </c>
      <c r="CW108" s="19">
        <f>'P&amp;L - Inputs'!DV494</f>
        <v>35456134.045819417</v>
      </c>
      <c r="CX108" s="19">
        <f>'P&amp;L - Inputs'!DW494</f>
        <v>32539117.728971191</v>
      </c>
      <c r="CY108" s="19">
        <f>'P&amp;L - Inputs'!DX494</f>
        <v>41212487.77373191</v>
      </c>
      <c r="CZ108" s="19">
        <f>'P&amp;L - Inputs'!DY494</f>
        <v>37449540.772974379</v>
      </c>
      <c r="DA108" s="19">
        <f>'P&amp;L - Inputs'!DZ494</f>
        <v>44961863.287407145</v>
      </c>
      <c r="DB108" s="19">
        <f>'P&amp;L - Inputs'!EA494</f>
        <v>45916728.492556408</v>
      </c>
      <c r="DC108" s="19">
        <f>'P&amp;L - Inputs'!EB494</f>
        <v>42205725.645137124</v>
      </c>
      <c r="DD108" s="19">
        <f>'P&amp;L - Inputs'!EC494</f>
        <v>49019040.396979354</v>
      </c>
      <c r="DF108" s="19">
        <f t="shared" si="392"/>
        <v>33155317.7588985</v>
      </c>
      <c r="DG108" s="19">
        <f t="shared" si="393"/>
        <v>30854847.515677888</v>
      </c>
      <c r="DH108" s="19">
        <f t="shared" si="394"/>
        <v>40585311.46542418</v>
      </c>
      <c r="DI108" s="19">
        <f t="shared" si="395"/>
        <v>42718997.042203531</v>
      </c>
      <c r="DJ108" s="19">
        <f t="shared" si="396"/>
        <v>51302112.520000026</v>
      </c>
      <c r="DK108" s="19">
        <f t="shared" si="397"/>
        <v>47685609.627491638</v>
      </c>
      <c r="DL108" s="19">
        <f t="shared" si="398"/>
        <v>39179354.484915286</v>
      </c>
      <c r="DM108" s="19">
        <f t="shared" si="399"/>
        <v>49687071.378533058</v>
      </c>
      <c r="DN108" s="19">
        <f t="shared" si="400"/>
        <v>46576057.418909654</v>
      </c>
      <c r="DO108" s="19">
        <f t="shared" si="401"/>
        <v>55276783.644067816</v>
      </c>
      <c r="DP108" s="19">
        <f t="shared" si="402"/>
        <v>63526269.372881383</v>
      </c>
      <c r="DQ108" s="19">
        <f t="shared" si="403"/>
        <v>94059538.404704571</v>
      </c>
      <c r="DR108" s="19">
        <f t="shared" si="404"/>
        <v>74900450.747981772</v>
      </c>
      <c r="DS108" s="19">
        <f t="shared" si="405"/>
        <v>72625344.175729185</v>
      </c>
      <c r="DT108" s="19">
        <f t="shared" si="406"/>
        <v>84037487.039142951</v>
      </c>
      <c r="DU108" s="19">
        <f t="shared" si="407"/>
        <v>94803229.606003895</v>
      </c>
      <c r="DV108" s="19">
        <f t="shared" si="408"/>
        <v>93688537.18622674</v>
      </c>
      <c r="DW108" s="19">
        <f t="shared" si="409"/>
        <v>90398428.673441544</v>
      </c>
      <c r="DX108" s="19">
        <f t="shared" si="410"/>
        <v>103468771.27081966</v>
      </c>
      <c r="DY108" s="19">
        <f t="shared" si="411"/>
        <v>114904384.21093658</v>
      </c>
      <c r="DZ108" s="19">
        <f t="shared" si="306"/>
        <v>112384650.23100823</v>
      </c>
      <c r="EA108" s="19">
        <f t="shared" si="307"/>
        <v>108205048.50632134</v>
      </c>
      <c r="EB108" s="19">
        <f t="shared" si="308"/>
        <v>123623891.83411343</v>
      </c>
      <c r="EC108" s="19">
        <f t="shared" si="309"/>
        <v>137141494.53467289</v>
      </c>
      <c r="EE108" s="19">
        <f t="shared" si="412"/>
        <v>147314473.78220409</v>
      </c>
      <c r="EF108" s="19">
        <f t="shared" si="413"/>
        <v>187854148.01094002</v>
      </c>
      <c r="EG108" s="19">
        <f t="shared" si="414"/>
        <v>259438648.84056342</v>
      </c>
      <c r="EH108" s="19">
        <f t="shared" si="415"/>
        <v>326366511.56885779</v>
      </c>
      <c r="EI108" s="19">
        <f t="shared" si="416"/>
        <v>402460121.34142447</v>
      </c>
      <c r="EJ108" s="770">
        <f t="shared" si="310"/>
        <v>481355085.10611594</v>
      </c>
    </row>
    <row r="109" spans="2:140" x14ac:dyDescent="0.2">
      <c r="B109" s="21" t="s">
        <v>193</v>
      </c>
      <c r="C109" s="19">
        <f>'P&amp;L - Inputs'!AB495</f>
        <v>0</v>
      </c>
      <c r="D109" s="19">
        <f>'P&amp;L - Inputs'!AC495</f>
        <v>0</v>
      </c>
      <c r="E109" s="19">
        <f>'P&amp;L - Inputs'!AD495</f>
        <v>0</v>
      </c>
      <c r="F109" s="19">
        <f>'P&amp;L - Inputs'!AE495</f>
        <v>0</v>
      </c>
      <c r="G109" s="19">
        <f>'P&amp;L - Inputs'!AF495</f>
        <v>0</v>
      </c>
      <c r="H109" s="19">
        <f>'P&amp;L - Inputs'!AG495</f>
        <v>0</v>
      </c>
      <c r="I109" s="19">
        <f>'P&amp;L - Inputs'!AH495</f>
        <v>0</v>
      </c>
      <c r="J109" s="19">
        <f>'P&amp;L - Inputs'!AI495</f>
        <v>0</v>
      </c>
      <c r="K109" s="19">
        <f>'P&amp;L - Inputs'!AJ495</f>
        <v>0</v>
      </c>
      <c r="L109" s="19">
        <f>'P&amp;L - Inputs'!AK495</f>
        <v>0</v>
      </c>
      <c r="M109" s="19">
        <f>'P&amp;L - Inputs'!AL495</f>
        <v>0</v>
      </c>
      <c r="N109" s="19">
        <f>'P&amp;L - Inputs'!AM495</f>
        <v>299.68000000000757</v>
      </c>
      <c r="O109" s="19">
        <f>'P&amp;L - Inputs'!AN495</f>
        <v>99469.999999999884</v>
      </c>
      <c r="P109" s="19">
        <f>'P&amp;L - Inputs'!AO495</f>
        <v>29364</v>
      </c>
      <c r="Q109" s="19">
        <f>'P&amp;L - Inputs'!AP495</f>
        <v>83113</v>
      </c>
      <c r="R109" s="19">
        <f>'P&amp;L - Inputs'!AQ495</f>
        <v>397304.40265200002</v>
      </c>
      <c r="S109" s="19">
        <f>'P&amp;L - Inputs'!AR495</f>
        <v>254504</v>
      </c>
      <c r="T109" s="19">
        <f>'P&amp;L - Inputs'!AS495</f>
        <v>307516.97349399998</v>
      </c>
      <c r="U109" s="19">
        <f>'P&amp;L - Inputs'!AT495</f>
        <v>361348.77187999961</v>
      </c>
      <c r="V109" s="19">
        <f>'P&amp;L - Inputs'!AU495</f>
        <v>518450</v>
      </c>
      <c r="W109" s="19">
        <f>'P&amp;L - Inputs'!AV495</f>
        <v>381564</v>
      </c>
      <c r="X109" s="19">
        <f>'P&amp;L - Inputs'!AW495</f>
        <v>342547</v>
      </c>
      <c r="Y109" s="19">
        <f>'P&amp;L - Inputs'!AX495</f>
        <v>226623</v>
      </c>
      <c r="Z109" s="19">
        <f>'P&amp;L - Inputs'!AY495</f>
        <v>126248.98</v>
      </c>
      <c r="AA109" s="19">
        <f>'P&amp;L - Inputs'!AZ495</f>
        <v>17470.609999999986</v>
      </c>
      <c r="AB109" s="19">
        <f>'P&amp;L - Inputs'!BA495</f>
        <v>110956.18924999998</v>
      </c>
      <c r="AC109" s="19">
        <f>'P&amp;L - Inputs'!BB495</f>
        <v>84659.34</v>
      </c>
      <c r="AD109" s="19">
        <f>'P&amp;L - Inputs'!BC495</f>
        <v>205587.29000000007</v>
      </c>
      <c r="AE109" s="19">
        <f>'P&amp;L - Inputs'!BD495</f>
        <v>100415.52000000002</v>
      </c>
      <c r="AF109" s="19">
        <f>'P&amp;L - Inputs'!BE495</f>
        <v>165638.48000000004</v>
      </c>
      <c r="AG109" s="19">
        <f>'P&amp;L - Inputs'!BF495</f>
        <v>158142.101</v>
      </c>
      <c r="AH109" s="19">
        <f>'P&amp;L - Inputs'!BG495</f>
        <v>67606.099999999991</v>
      </c>
      <c r="AI109" s="19">
        <f>'P&amp;L - Inputs'!BH495</f>
        <v>25666.989999999991</v>
      </c>
      <c r="AJ109" s="19">
        <f>'P&amp;L - Inputs'!BI495</f>
        <v>66322.369999999981</v>
      </c>
      <c r="AK109" s="19">
        <f>'P&amp;L - Inputs'!BJ495</f>
        <v>52671.127118644072</v>
      </c>
      <c r="AL109" s="19">
        <f>'P&amp;L - Inputs'!BK495</f>
        <v>173121.45762711862</v>
      </c>
      <c r="AM109" s="19">
        <f>'P&amp;L - Inputs'!BL495</f>
        <v>66894.957627118652</v>
      </c>
      <c r="AN109" s="19">
        <f>'P&amp;L - Inputs'!BM495</f>
        <v>16427.864406779663</v>
      </c>
      <c r="AO109" s="19">
        <f>'P&amp;L - Inputs'!BN495</f>
        <v>21573.186440677968</v>
      </c>
      <c r="AP109" s="19">
        <f>'P&amp;L - Inputs'!BO495</f>
        <v>-1563.8135593220341</v>
      </c>
      <c r="AQ109" s="19">
        <f>'P&amp;L - Inputs'!BP495</f>
        <v>192460.08254237295</v>
      </c>
      <c r="AR109" s="19">
        <f>'P&amp;L - Inputs'!BQ495</f>
        <v>140800.04118644071</v>
      </c>
      <c r="AS109" s="19">
        <f>'P&amp;L - Inputs'!BR495</f>
        <v>188329.68474576273</v>
      </c>
      <c r="AT109" s="19">
        <f>'P&amp;L - Inputs'!BS495</f>
        <v>338618.94305084751</v>
      </c>
      <c r="AU109" s="19">
        <f>'P&amp;L - Inputs'!BT495</f>
        <v>426065.6</v>
      </c>
      <c r="AV109" s="19">
        <f>'P&amp;L - Inputs'!BU495</f>
        <v>66500.457627118682</v>
      </c>
      <c r="AW109" s="19">
        <f>'P&amp;L - Inputs'!BV495</f>
        <v>239254.71220338982</v>
      </c>
      <c r="AX109" s="19">
        <f>'P&amp;L - Inputs'!BW495</f>
        <v>219503.03627118649</v>
      </c>
      <c r="AY109" s="19">
        <f>'P&amp;L - Inputs'!BX495</f>
        <v>347434.13389830512</v>
      </c>
      <c r="AZ109" s="19">
        <f>'P&amp;L - Inputs'!BY495</f>
        <v>102109.93627118634</v>
      </c>
      <c r="BA109" s="19">
        <f>'P&amp;L - Inputs'!BZ495</f>
        <v>369718.38271186437</v>
      </c>
      <c r="BB109" s="19">
        <f>'P&amp;L - Inputs'!CA495</f>
        <v>114857.89966101694</v>
      </c>
      <c r="BC109" s="19">
        <f>'P&amp;L - Inputs'!CB495</f>
        <v>331403.29050847463</v>
      </c>
      <c r="BD109" s="19">
        <f>'P&amp;L - Inputs'!CC495</f>
        <v>83167.969830508417</v>
      </c>
      <c r="BE109" s="19">
        <f>'P&amp;L - Inputs'!CD495</f>
        <v>310805.47135593207</v>
      </c>
      <c r="BF109" s="19">
        <f>'P&amp;L - Inputs'!CE495</f>
        <v>503253.15</v>
      </c>
      <c r="BG109" s="19">
        <f>'P&amp;L - Inputs'!CF495</f>
        <v>6133.5794915254519</v>
      </c>
      <c r="BH109" s="19">
        <f>'P&amp;L - Inputs'!CG495</f>
        <v>277005.27228449151</v>
      </c>
      <c r="BI109" s="19">
        <f>'P&amp;L - Inputs'!CH495</f>
        <v>319042.15755186439</v>
      </c>
      <c r="BJ109" s="19">
        <f>'P&amp;L - Inputs'!CI495</f>
        <v>329236.81525423727</v>
      </c>
      <c r="BK109" s="19">
        <f>'P&amp;L - Inputs'!CJ495</f>
        <v>255789.21631432202</v>
      </c>
      <c r="BL109" s="19">
        <f>'P&amp;L - Inputs'!CK495</f>
        <v>556303.42372881353</v>
      </c>
      <c r="BM109" s="19">
        <f>'P&amp;L - Inputs'!CL495</f>
        <v>357863.71186440683</v>
      </c>
      <c r="BN109" s="19">
        <f>'P&amp;L - Inputs'!CM495</f>
        <v>342220.82203389832</v>
      </c>
      <c r="BO109" s="19">
        <f>'P&amp;L - Inputs'!CN495</f>
        <v>391847.45762711868</v>
      </c>
      <c r="BP109" s="19">
        <f>'P&amp;L - Inputs'!CO495</f>
        <v>316115.28813559323</v>
      </c>
      <c r="BQ109" s="19">
        <f>'P&amp;L - Inputs'!CP495</f>
        <v>188539.68644067796</v>
      </c>
      <c r="BR109" s="19">
        <f>'P&amp;L - Inputs'!CQ495</f>
        <v>229448.20338983051</v>
      </c>
      <c r="BS109" s="19">
        <f>'P&amp;L - Inputs'!CR495</f>
        <v>236560.84551972419</v>
      </c>
      <c r="BT109" s="19">
        <f>'P&amp;L - Inputs'!CS495</f>
        <v>524354.8739708385</v>
      </c>
      <c r="BU109" s="19">
        <f>'P&amp;L - Inputs'!CT495</f>
        <v>349832.04543077137</v>
      </c>
      <c r="BV109" s="19">
        <f>'P&amp;L - Inputs'!CU495</f>
        <v>341736.36666617345</v>
      </c>
      <c r="BW109" s="19">
        <f>'P&amp;L - Inputs'!CV495</f>
        <v>340591.97567961243</v>
      </c>
      <c r="BX109" s="19">
        <f>'P&amp;L - Inputs'!CW495</f>
        <v>371053.92216848332</v>
      </c>
      <c r="BY109" s="19">
        <f>'P&amp;L - Inputs'!CX495</f>
        <v>327925.38567211555</v>
      </c>
      <c r="BZ109" s="19">
        <f>'P&amp;L - Inputs'!CY495</f>
        <v>301829.13400774932</v>
      </c>
      <c r="CA109" s="19">
        <f>'P&amp;L - Inputs'!CZ495</f>
        <v>384069.33076300519</v>
      </c>
      <c r="CB109" s="19">
        <f>'P&amp;L - Inputs'!DA495</f>
        <v>350852.67411874031</v>
      </c>
      <c r="CC109" s="19">
        <f>'P&amp;L - Inputs'!DB495</f>
        <v>423150.66816457058</v>
      </c>
      <c r="CD109" s="19">
        <f>'P&amp;L - Inputs'!DC495</f>
        <v>434082.88968647033</v>
      </c>
      <c r="CE109" s="19">
        <f>'P&amp;L - Inputs'!DD495</f>
        <v>401023.94480401184</v>
      </c>
      <c r="CF109" s="19">
        <f>'P&amp;L - Inputs'!DE495</f>
        <v>471322.39598033251</v>
      </c>
      <c r="CG109" s="19">
        <f>'P&amp;L - Inputs'!DF495</f>
        <v>437547.28623363411</v>
      </c>
      <c r="CH109" s="19">
        <f>'P&amp;L - Inputs'!DG495</f>
        <v>428569.44158375653</v>
      </c>
      <c r="CI109" s="19">
        <f>'P&amp;L - Inputs'!DH495</f>
        <v>424951.56224840548</v>
      </c>
      <c r="CJ109" s="19">
        <f>'P&amp;L - Inputs'!DI495</f>
        <v>462518.71398301452</v>
      </c>
      <c r="CK109" s="19">
        <f>'P&amp;L - Inputs'!DJ495</f>
        <v>408187.76837492787</v>
      </c>
      <c r="CL109" s="19">
        <f>'P&amp;L - Inputs'!DK495</f>
        <v>375022.69900462864</v>
      </c>
      <c r="CM109" s="19">
        <f>'P&amp;L - Inputs'!DL495</f>
        <v>475115.68737153854</v>
      </c>
      <c r="CN109" s="19">
        <f>'P&amp;L - Inputs'!DM495</f>
        <v>431968.58370804106</v>
      </c>
      <c r="CO109" s="19">
        <f>'P&amp;L - Inputs'!DN495</f>
        <v>518759.84616067359</v>
      </c>
      <c r="CP109" s="19">
        <f>'P&amp;L - Inputs'!DO495</f>
        <v>529917.91386638861</v>
      </c>
      <c r="CQ109" s="19">
        <f>'P&amp;L - Inputs'!DP495</f>
        <v>487346.62746821635</v>
      </c>
      <c r="CR109" s="19">
        <f>'P&amp;L - Inputs'!DQ495</f>
        <v>566167.23484309122</v>
      </c>
      <c r="CS109" s="19">
        <f>'P&amp;L - Inputs'!DR495</f>
        <v>525275.51712347765</v>
      </c>
      <c r="CT109" s="19">
        <f>'P&amp;L - Inputs'!DS495</f>
        <v>514036.07829959411</v>
      </c>
      <c r="CU109" s="19">
        <f>'P&amp;L - Inputs'!DT495</f>
        <v>509397.16405920452</v>
      </c>
      <c r="CV109" s="19">
        <f>'P&amp;L - Inputs'!DU495</f>
        <v>554108.2726788749</v>
      </c>
      <c r="CW109" s="19">
        <f>'P&amp;L - Inputs'!DV495</f>
        <v>488600.75874478859</v>
      </c>
      <c r="CX109" s="19">
        <f>'P&amp;L - Inputs'!DW495</f>
        <v>448403.02077817509</v>
      </c>
      <c r="CY109" s="19">
        <f>'P&amp;L - Inputs'!DX495</f>
        <v>567925.78598624724</v>
      </c>
      <c r="CZ109" s="19">
        <f>'P&amp;L - Inputs'!DY495</f>
        <v>516070.75979217363</v>
      </c>
      <c r="DA109" s="19">
        <f>'P&amp;L - Inputs'!DZ495</f>
        <v>619593.79125815467</v>
      </c>
      <c r="DB109" s="19">
        <f>'P&amp;L - Inputs'!EA495</f>
        <v>632752.24398546026</v>
      </c>
      <c r="DC109" s="19">
        <f>'P&amp;L - Inputs'!EB495</f>
        <v>581613.03053906583</v>
      </c>
      <c r="DD109" s="19">
        <f>'P&amp;L - Inputs'!EC495</f>
        <v>675503.43474994728</v>
      </c>
      <c r="DF109" s="19">
        <f t="shared" si="392"/>
        <v>292687.54237288132</v>
      </c>
      <c r="DG109" s="19">
        <f t="shared" si="393"/>
        <v>36437.237288135599</v>
      </c>
      <c r="DH109" s="19">
        <f t="shared" si="394"/>
        <v>521589.80847457639</v>
      </c>
      <c r="DI109" s="19">
        <f t="shared" si="395"/>
        <v>831185.00067796616</v>
      </c>
      <c r="DJ109" s="19">
        <f t="shared" si="396"/>
        <v>806191.8823728814</v>
      </c>
      <c r="DK109" s="19">
        <f t="shared" si="397"/>
        <v>586686.21864406765</v>
      </c>
      <c r="DL109" s="19">
        <f t="shared" si="398"/>
        <v>725376.7316949151</v>
      </c>
      <c r="DM109" s="19">
        <f t="shared" si="399"/>
        <v>786392.00177601702</v>
      </c>
      <c r="DN109" s="19">
        <f t="shared" si="400"/>
        <v>904068.18912042375</v>
      </c>
      <c r="DO109" s="19">
        <f t="shared" si="401"/>
        <v>1256387.9576271186</v>
      </c>
      <c r="DP109" s="19">
        <f t="shared" si="402"/>
        <v>896502.43220338982</v>
      </c>
      <c r="DQ109" s="19">
        <f t="shared" si="403"/>
        <v>990363.92288039322</v>
      </c>
      <c r="DR109" s="19">
        <f t="shared" si="404"/>
        <v>1032160.3877765574</v>
      </c>
      <c r="DS109" s="19">
        <f t="shared" si="405"/>
        <v>1000808.4418483481</v>
      </c>
      <c r="DT109" s="19">
        <f t="shared" si="406"/>
        <v>1158072.673046316</v>
      </c>
      <c r="DU109" s="19">
        <f t="shared" si="407"/>
        <v>1306429.2304708147</v>
      </c>
      <c r="DV109" s="19">
        <f t="shared" si="408"/>
        <v>1291068.2900657961</v>
      </c>
      <c r="DW109" s="19">
        <f t="shared" si="409"/>
        <v>1245729.181362571</v>
      </c>
      <c r="DX109" s="19">
        <f t="shared" si="410"/>
        <v>1425844.1172402531</v>
      </c>
      <c r="DY109" s="19">
        <f t="shared" si="411"/>
        <v>1583431.7761776962</v>
      </c>
      <c r="DZ109" s="19">
        <f t="shared" si="306"/>
        <v>1548708.7594822762</v>
      </c>
      <c r="EA109" s="19">
        <f t="shared" si="307"/>
        <v>1491112.0522018387</v>
      </c>
      <c r="EB109" s="19">
        <f t="shared" si="308"/>
        <v>1703590.3370365754</v>
      </c>
      <c r="EC109" s="19">
        <f t="shared" si="309"/>
        <v>1889868.7092744736</v>
      </c>
      <c r="EE109" s="19">
        <f t="shared" si="412"/>
        <v>1681899.5888135596</v>
      </c>
      <c r="EF109" s="19">
        <f t="shared" si="413"/>
        <v>2904646.8344878815</v>
      </c>
      <c r="EG109" s="19">
        <f t="shared" si="414"/>
        <v>4047322.5018313257</v>
      </c>
      <c r="EH109" s="19">
        <f t="shared" si="415"/>
        <v>4497470.733142036</v>
      </c>
      <c r="EI109" s="19">
        <f t="shared" si="416"/>
        <v>5546073.3648463162</v>
      </c>
      <c r="EJ109" s="770">
        <f t="shared" si="310"/>
        <v>6633279.8579951636</v>
      </c>
    </row>
    <row r="110" spans="2:140" x14ac:dyDescent="0.2">
      <c r="B110" s="167" t="s">
        <v>22</v>
      </c>
      <c r="C110" s="19">
        <f>'P&amp;L - Inputs'!AB496</f>
        <v>0</v>
      </c>
      <c r="D110" s="19">
        <f>'P&amp;L - Inputs'!AC496</f>
        <v>0</v>
      </c>
      <c r="E110" s="19">
        <f>'P&amp;L - Inputs'!AD496</f>
        <v>0</v>
      </c>
      <c r="F110" s="19">
        <f>'P&amp;L - Inputs'!AE496</f>
        <v>0</v>
      </c>
      <c r="G110" s="19">
        <f>'P&amp;L - Inputs'!AF496</f>
        <v>0</v>
      </c>
      <c r="H110" s="19">
        <f>'P&amp;L - Inputs'!AG496</f>
        <v>0</v>
      </c>
      <c r="I110" s="19">
        <f>'P&amp;L - Inputs'!AH496</f>
        <v>0</v>
      </c>
      <c r="J110" s="19">
        <f>'P&amp;L - Inputs'!AI496</f>
        <v>0</v>
      </c>
      <c r="K110" s="19">
        <f>'P&amp;L - Inputs'!AJ496</f>
        <v>0</v>
      </c>
      <c r="L110" s="19">
        <f>'P&amp;L - Inputs'!AK496</f>
        <v>0</v>
      </c>
      <c r="M110" s="19">
        <f>'P&amp;L - Inputs'!AL496</f>
        <v>0</v>
      </c>
      <c r="N110" s="19">
        <f>'P&amp;L - Inputs'!AM496</f>
        <v>0</v>
      </c>
      <c r="O110" s="19">
        <f>'P&amp;L - Inputs'!AN496</f>
        <v>0</v>
      </c>
      <c r="P110" s="19">
        <f>'P&amp;L - Inputs'!AO496</f>
        <v>0</v>
      </c>
      <c r="Q110" s="19">
        <f>'P&amp;L - Inputs'!AP496</f>
        <v>0</v>
      </c>
      <c r="R110" s="19">
        <f>'P&amp;L - Inputs'!AQ496</f>
        <v>0</v>
      </c>
      <c r="S110" s="19">
        <f>'P&amp;L - Inputs'!AR496</f>
        <v>0</v>
      </c>
      <c r="T110" s="19">
        <f>'P&amp;L - Inputs'!AS496</f>
        <v>0</v>
      </c>
      <c r="U110" s="19">
        <f>'P&amp;L - Inputs'!AT496</f>
        <v>0</v>
      </c>
      <c r="V110" s="19">
        <f>'P&amp;L - Inputs'!AU496</f>
        <v>0</v>
      </c>
      <c r="W110" s="19">
        <f>'P&amp;L - Inputs'!AV496</f>
        <v>0</v>
      </c>
      <c r="X110" s="19">
        <f>'P&amp;L - Inputs'!AW496</f>
        <v>0</v>
      </c>
      <c r="Y110" s="19">
        <f>'P&amp;L - Inputs'!AX496</f>
        <v>0</v>
      </c>
      <c r="Z110" s="19">
        <f>'P&amp;L - Inputs'!AY496</f>
        <v>0</v>
      </c>
      <c r="AA110" s="19">
        <f>'P&amp;L - Inputs'!AZ496</f>
        <v>0</v>
      </c>
      <c r="AB110" s="19">
        <f>'P&amp;L - Inputs'!BA496</f>
        <v>0</v>
      </c>
      <c r="AC110" s="19">
        <f>'P&amp;L - Inputs'!BB496</f>
        <v>0</v>
      </c>
      <c r="AD110" s="19">
        <f>'P&amp;L - Inputs'!BC496</f>
        <v>1145560.9660158316</v>
      </c>
      <c r="AE110" s="19">
        <f>'P&amp;L - Inputs'!BD496</f>
        <v>1021456.3965239698</v>
      </c>
      <c r="AF110" s="19">
        <f>'P&amp;L - Inputs'!BE496</f>
        <v>885612.32337997097</v>
      </c>
      <c r="AG110" s="19">
        <f>'P&amp;L - Inputs'!BF496</f>
        <v>1406706.5843739272</v>
      </c>
      <c r="AH110" s="19">
        <f>'P&amp;L - Inputs'!BG496</f>
        <v>737991.41760402091</v>
      </c>
      <c r="AI110" s="19">
        <f>'P&amp;L - Inputs'!BH496</f>
        <v>1875358.5525625155</v>
      </c>
      <c r="AJ110" s="19">
        <f>'P&amp;L - Inputs'!BI496</f>
        <v>2202317.561701043</v>
      </c>
      <c r="AK110" s="19">
        <f>'P&amp;L - Inputs'!BJ496</f>
        <v>3307781.7060213033</v>
      </c>
      <c r="AL110" s="19">
        <f>'P&amp;L - Inputs'!BK496</f>
        <v>4753326.9103376027</v>
      </c>
      <c r="AM110" s="19">
        <f>'P&amp;L - Inputs'!BL496</f>
        <v>5662159.0100047411</v>
      </c>
      <c r="AN110" s="19">
        <f>'P&amp;L - Inputs'!BM496</f>
        <v>4719606.8776168674</v>
      </c>
      <c r="AO110" s="19">
        <f>'P&amp;L - Inputs'!BN496</f>
        <v>4628338.1312341839</v>
      </c>
      <c r="AP110" s="19">
        <f>'P&amp;L - Inputs'!BO496</f>
        <v>2046539.4181662432</v>
      </c>
      <c r="AQ110" s="19">
        <f>'P&amp;L - Inputs'!BP496</f>
        <v>4177157.5921919737</v>
      </c>
      <c r="AR110" s="19">
        <f>'P&amp;L - Inputs'!BQ496</f>
        <v>3023469.5814251569</v>
      </c>
      <c r="AS110" s="19">
        <f>'P&amp;L - Inputs'!BR496</f>
        <v>2229044.0461680302</v>
      </c>
      <c r="AT110" s="19">
        <f>'P&amp;L - Inputs'!BS496</f>
        <v>3644717.3724851445</v>
      </c>
      <c r="AU110" s="19">
        <f>'P&amp;L - Inputs'!BT496</f>
        <v>1940457.8080902759</v>
      </c>
      <c r="AV110" s="19">
        <f>'P&amp;L - Inputs'!BU496</f>
        <v>2243817.5870567067</v>
      </c>
      <c r="AW110" s="19">
        <f>'P&amp;L - Inputs'!BV496</f>
        <v>1870326.1282596861</v>
      </c>
      <c r="AX110" s="19">
        <f>'P&amp;L - Inputs'!BW496</f>
        <v>1231851.5105066872</v>
      </c>
      <c r="AY110" s="19">
        <f>'P&amp;L - Inputs'!BX496</f>
        <v>1895191.101301542</v>
      </c>
      <c r="AZ110" s="19">
        <f>'P&amp;L - Inputs'!BY496</f>
        <v>703912.26041779399</v>
      </c>
      <c r="BA110" s="19">
        <f>'P&amp;L - Inputs'!BZ496</f>
        <v>647072.07447519596</v>
      </c>
      <c r="BB110" s="19">
        <f>'P&amp;L - Inputs'!CA496</f>
        <v>585286.77786220424</v>
      </c>
      <c r="BC110" s="19">
        <f>'P&amp;L - Inputs'!CB496</f>
        <v>1469057.6457404839</v>
      </c>
      <c r="BD110" s="19">
        <f>'P&amp;L - Inputs'!CC496</f>
        <v>840915.47650283319</v>
      </c>
      <c r="BE110" s="19">
        <f>'P&amp;L - Inputs'!CD496</f>
        <v>1834992.8051618361</v>
      </c>
      <c r="BF110" s="19">
        <f>'P&amp;L - Inputs'!CE496</f>
        <v>1568715.9067643117</v>
      </c>
      <c r="BG110" s="19">
        <f>'P&amp;L - Inputs'!CF496</f>
        <v>1413352.3362239616</v>
      </c>
      <c r="BH110" s="19">
        <f>'P&amp;L - Inputs'!CG496</f>
        <v>1280914.812751926</v>
      </c>
      <c r="BI110" s="19">
        <f>'P&amp;L - Inputs'!CH496</f>
        <v>1483276.1335675498</v>
      </c>
      <c r="BJ110" s="19">
        <f>'P&amp;L - Inputs'!CI496</f>
        <v>1275675.1163306662</v>
      </c>
      <c r="BK110" s="19">
        <f>'P&amp;L - Inputs'!CJ496</f>
        <v>1100287.7783898131</v>
      </c>
      <c r="BL110" s="19">
        <f>'P&amp;L - Inputs'!CK496</f>
        <v>1777135.7426796656</v>
      </c>
      <c r="BM110" s="19">
        <f>'P&amp;L - Inputs'!CL496</f>
        <v>1454408.0428596938</v>
      </c>
      <c r="BN110" s="19">
        <f>'P&amp;L - Inputs'!CM496</f>
        <v>1381878.7094001982</v>
      </c>
      <c r="BO110" s="19">
        <f>'P&amp;L - Inputs'!CN496</f>
        <v>890279.15404659603</v>
      </c>
      <c r="BP110" s="19">
        <f>'P&amp;L - Inputs'!CO496</f>
        <v>1021633.8650002765</v>
      </c>
      <c r="BQ110" s="19">
        <f>'P&amp;L - Inputs'!CP496</f>
        <v>1074154.83552083</v>
      </c>
      <c r="BR110" s="19">
        <f>'P&amp;L - Inputs'!CQ496</f>
        <v>2049219.745874271</v>
      </c>
      <c r="BS110" s="19">
        <f>'P&amp;L - Inputs'!CR496</f>
        <v>2160949.167100565</v>
      </c>
      <c r="BT110" s="19">
        <f>'P&amp;L - Inputs'!CS496</f>
        <v>2823024.1995815616</v>
      </c>
      <c r="BU110" s="19">
        <f>'P&amp;L - Inputs'!CT496</f>
        <v>1877254.5997204524</v>
      </c>
      <c r="BV110" s="19">
        <f>'P&amp;L - Inputs'!CU496</f>
        <v>1838399.4603089364</v>
      </c>
      <c r="BW110" s="19">
        <f>'P&amp;L - Inputs'!CV496</f>
        <v>1834567.3554546756</v>
      </c>
      <c r="BX110" s="19">
        <f>'P&amp;L - Inputs'!CW496</f>
        <v>1986589.7250848936</v>
      </c>
      <c r="BY110" s="19">
        <f>'P&amp;L - Inputs'!CX496</f>
        <v>1774917.3017079919</v>
      </c>
      <c r="BZ110" s="19">
        <f>'P&amp;L - Inputs'!CY496</f>
        <v>1648173.3620353902</v>
      </c>
      <c r="CA110" s="19">
        <f>'P&amp;L - Inputs'!CZ496</f>
        <v>2056521.2540082443</v>
      </c>
      <c r="CB110" s="19">
        <f>'P&amp;L - Inputs'!DA496</f>
        <v>1893917.0739075583</v>
      </c>
      <c r="CC110" s="19">
        <f>'P&amp;L - Inputs'!DB496</f>
        <v>2253046.6108834995</v>
      </c>
      <c r="CD110" s="19">
        <f>'P&amp;L - Inputs'!DC496</f>
        <v>2308388.0975635871</v>
      </c>
      <c r="CE110" s="19">
        <f>'P&amp;L - Inputs'!DD496</f>
        <v>2146564.6612987127</v>
      </c>
      <c r="CF110" s="19">
        <f>'P&amp;L - Inputs'!DE496</f>
        <v>2497017.6610665945</v>
      </c>
      <c r="CG110" s="19">
        <f>'P&amp;L - Inputs'!DF496</f>
        <v>2295647.8210800532</v>
      </c>
      <c r="CH110" s="19">
        <f>'P&amp;L - Inputs'!DG496</f>
        <v>2253762.7657833705</v>
      </c>
      <c r="CI110" s="19">
        <f>'P&amp;L - Inputs'!DH496</f>
        <v>2237367.3624252593</v>
      </c>
      <c r="CJ110" s="19">
        <f>'P&amp;L - Inputs'!DI496</f>
        <v>2421525.1455331235</v>
      </c>
      <c r="CK110" s="19">
        <f>'P&amp;L - Inputs'!DJ496</f>
        <v>2158790.2164599407</v>
      </c>
      <c r="CL110" s="19">
        <f>'P&amp;L - Inputs'!DK496</f>
        <v>1999734.9454815199</v>
      </c>
      <c r="CM110" s="19">
        <f>'P&amp;L - Inputs'!DL496</f>
        <v>2487755.3075850839</v>
      </c>
      <c r="CN110" s="19">
        <f>'P&amp;L - Inputs'!DM496</f>
        <v>2278869.7763435799</v>
      </c>
      <c r="CO110" s="19">
        <f>'P&amp;L - Inputs'!DN496</f>
        <v>2702116.5192874591</v>
      </c>
      <c r="CP110" s="19">
        <f>'P&amp;L - Inputs'!DO496</f>
        <v>2757062.5030713021</v>
      </c>
      <c r="CQ110" s="19">
        <f>'P&amp;L - Inputs'!DP496</f>
        <v>2550980.9514404219</v>
      </c>
      <c r="CR110" s="19">
        <f>'P&amp;L - Inputs'!DQ496</f>
        <v>2935414.0712659871</v>
      </c>
      <c r="CS110" s="19">
        <f>'P&amp;L - Inputs'!DR496</f>
        <v>2615708.2750967946</v>
      </c>
      <c r="CT110" s="19">
        <f>'P&amp;L - Inputs'!DS496</f>
        <v>2565416.4865066316</v>
      </c>
      <c r="CU110" s="19">
        <f>'P&amp;L - Inputs'!DT496</f>
        <v>2545124.7775092782</v>
      </c>
      <c r="CV110" s="19">
        <f>'P&amp;L - Inputs'!DU496</f>
        <v>2753702.7302642716</v>
      </c>
      <c r="CW110" s="19">
        <f>'P&amp;L - Inputs'!DV496</f>
        <v>2451732.9226052435</v>
      </c>
      <c r="CX110" s="19">
        <f>'P&amp;L - Inputs'!DW496</f>
        <v>2267752.8288784302</v>
      </c>
      <c r="CY110" s="19">
        <f>'P&amp;L - Inputs'!DX496</f>
        <v>2822672.3298812089</v>
      </c>
      <c r="CZ110" s="19">
        <f>'P&amp;L - Inputs'!DY496</f>
        <v>2583407.3571278537</v>
      </c>
      <c r="DA110" s="19">
        <f>'P&amp;L - Inputs'!DZ496</f>
        <v>3064125.1974735777</v>
      </c>
      <c r="DB110" s="19">
        <f>'P&amp;L - Inputs'!EA496</f>
        <v>3125760.9508877462</v>
      </c>
      <c r="DC110" s="19">
        <f>'P&amp;L - Inputs'!EB496</f>
        <v>2889815.6892904313</v>
      </c>
      <c r="DD110" s="19">
        <f>'P&amp;L - Inputs'!EC496</f>
        <v>3325860.477550392</v>
      </c>
      <c r="DF110" s="19">
        <f t="shared" si="392"/>
        <v>13723267.626363646</v>
      </c>
      <c r="DG110" s="19">
        <f t="shared" si="393"/>
        <v>11394484.427017294</v>
      </c>
      <c r="DH110" s="19">
        <f t="shared" si="394"/>
        <v>9429671.2197851613</v>
      </c>
      <c r="DI110" s="19">
        <f t="shared" si="395"/>
        <v>7828992.7676321268</v>
      </c>
      <c r="DJ110" s="19">
        <f t="shared" si="396"/>
        <v>4997368.740067916</v>
      </c>
      <c r="DK110" s="19">
        <f t="shared" si="397"/>
        <v>1936271.1127551943</v>
      </c>
      <c r="DL110" s="19">
        <f t="shared" si="398"/>
        <v>4144965.9274051529</v>
      </c>
      <c r="DM110" s="19">
        <f t="shared" si="399"/>
        <v>4262983.0557402</v>
      </c>
      <c r="DN110" s="19">
        <f t="shared" si="400"/>
        <v>3859239.0282880291</v>
      </c>
      <c r="DO110" s="19">
        <f t="shared" si="401"/>
        <v>4613422.4949395573</v>
      </c>
      <c r="DP110" s="19">
        <f t="shared" si="402"/>
        <v>2986067.8545677024</v>
      </c>
      <c r="DQ110" s="19">
        <f t="shared" si="403"/>
        <v>7033193.1125563979</v>
      </c>
      <c r="DR110" s="19">
        <f t="shared" si="404"/>
        <v>5550221.4154840643</v>
      </c>
      <c r="DS110" s="19">
        <f t="shared" si="405"/>
        <v>5409680.3888282757</v>
      </c>
      <c r="DT110" s="19">
        <f t="shared" si="406"/>
        <v>6203484.9387993021</v>
      </c>
      <c r="DU110" s="19">
        <f t="shared" si="407"/>
        <v>6951970.4199288944</v>
      </c>
      <c r="DV110" s="19">
        <f t="shared" si="408"/>
        <v>6786777.949288683</v>
      </c>
      <c r="DW110" s="19">
        <f t="shared" si="409"/>
        <v>6580050.3074745843</v>
      </c>
      <c r="DX110" s="19">
        <f t="shared" si="410"/>
        <v>7468741.6032161228</v>
      </c>
      <c r="DY110" s="19">
        <f t="shared" si="411"/>
        <v>8243457.5257777115</v>
      </c>
      <c r="DZ110" s="19">
        <f t="shared" si="306"/>
        <v>7726249.5391127039</v>
      </c>
      <c r="EA110" s="19">
        <f t="shared" si="307"/>
        <v>7473188.4817479458</v>
      </c>
      <c r="EB110" s="19">
        <f t="shared" si="308"/>
        <v>8470204.8844826408</v>
      </c>
      <c r="EC110" s="19">
        <f t="shared" si="309"/>
        <v>9341437.1177285686</v>
      </c>
      <c r="EE110" s="19">
        <f t="shared" si="412"/>
        <v>42376416.040798232</v>
      </c>
      <c r="EF110" s="19">
        <f t="shared" si="413"/>
        <v>15341588.835968463</v>
      </c>
      <c r="EG110" s="19">
        <f t="shared" si="414"/>
        <v>18491922.490351688</v>
      </c>
      <c r="EH110" s="19">
        <f t="shared" si="415"/>
        <v>24115357.163040537</v>
      </c>
      <c r="EI110" s="19">
        <f t="shared" si="416"/>
        <v>29079027.385757104</v>
      </c>
      <c r="EJ110" s="770">
        <f t="shared" si="310"/>
        <v>33011080.023071859</v>
      </c>
    </row>
    <row r="111" spans="2:140" x14ac:dyDescent="0.2">
      <c r="B111" s="167" t="s">
        <v>143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F111" s="19">
        <f t="shared" si="392"/>
        <v>0</v>
      </c>
      <c r="DG111" s="19">
        <f t="shared" si="393"/>
        <v>0</v>
      </c>
      <c r="DH111" s="19">
        <f t="shared" si="394"/>
        <v>0</v>
      </c>
      <c r="DI111" s="19">
        <f t="shared" si="395"/>
        <v>0</v>
      </c>
      <c r="DJ111" s="19">
        <f t="shared" si="396"/>
        <v>0</v>
      </c>
      <c r="DK111" s="19">
        <f t="shared" si="397"/>
        <v>0</v>
      </c>
      <c r="DL111" s="19">
        <f t="shared" si="398"/>
        <v>0</v>
      </c>
      <c r="DM111" s="19">
        <f t="shared" si="399"/>
        <v>0</v>
      </c>
      <c r="DN111" s="19">
        <f t="shared" si="400"/>
        <v>0</v>
      </c>
      <c r="DO111" s="19">
        <f t="shared" si="401"/>
        <v>0</v>
      </c>
      <c r="DP111" s="19">
        <f t="shared" si="402"/>
        <v>0</v>
      </c>
      <c r="DQ111" s="19">
        <f t="shared" si="403"/>
        <v>0</v>
      </c>
      <c r="DR111" s="19">
        <f t="shared" si="404"/>
        <v>0</v>
      </c>
      <c r="DS111" s="19">
        <f t="shared" si="405"/>
        <v>0</v>
      </c>
      <c r="DT111" s="19">
        <f t="shared" si="406"/>
        <v>0</v>
      </c>
      <c r="DU111" s="19">
        <f t="shared" si="407"/>
        <v>0</v>
      </c>
      <c r="DV111" s="19">
        <f t="shared" si="408"/>
        <v>0</v>
      </c>
      <c r="DW111" s="19">
        <f t="shared" si="409"/>
        <v>0</v>
      </c>
      <c r="DX111" s="19">
        <f t="shared" si="410"/>
        <v>0</v>
      </c>
      <c r="DY111" s="19">
        <f t="shared" si="411"/>
        <v>0</v>
      </c>
      <c r="DZ111" s="19">
        <f t="shared" si="306"/>
        <v>0</v>
      </c>
      <c r="EA111" s="19">
        <f t="shared" si="307"/>
        <v>0</v>
      </c>
      <c r="EB111" s="19">
        <f t="shared" si="308"/>
        <v>0</v>
      </c>
      <c r="EC111" s="19">
        <f t="shared" si="309"/>
        <v>0</v>
      </c>
      <c r="EE111" s="19">
        <f t="shared" si="412"/>
        <v>0</v>
      </c>
      <c r="EF111" s="19">
        <f t="shared" si="413"/>
        <v>0</v>
      </c>
      <c r="EG111" s="19">
        <f t="shared" si="414"/>
        <v>0</v>
      </c>
      <c r="EH111" s="19">
        <f t="shared" si="415"/>
        <v>0</v>
      </c>
      <c r="EI111" s="19">
        <f t="shared" si="416"/>
        <v>0</v>
      </c>
      <c r="EJ111" s="770">
        <f t="shared" si="310"/>
        <v>0</v>
      </c>
    </row>
    <row r="112" spans="2:140" x14ac:dyDescent="0.2">
      <c r="B112" s="167" t="s">
        <v>36</v>
      </c>
      <c r="C112" s="19">
        <f>'P&amp;L - Inputs'!AB497</f>
        <v>30473.553780964798</v>
      </c>
      <c r="D112" s="19">
        <f>'P&amp;L - Inputs'!AC497</f>
        <v>22661.912731619846</v>
      </c>
      <c r="E112" s="19">
        <f>'P&amp;L - Inputs'!AD497</f>
        <v>38398.33279483037</v>
      </c>
      <c r="F112" s="19">
        <f>'P&amp;L - Inputs'!AE497</f>
        <v>61826.470588235294</v>
      </c>
      <c r="G112" s="19">
        <f>'P&amp;L - Inputs'!AF497</f>
        <v>47991.553170731706</v>
      </c>
      <c r="H112" s="19">
        <f>'P&amp;L - Inputs'!AG497</f>
        <v>68568.506283918876</v>
      </c>
      <c r="I112" s="19">
        <f>'P&amp;L - Inputs'!AH497</f>
        <v>115789.65839768339</v>
      </c>
      <c r="J112" s="19">
        <f>'P&amp;L - Inputs'!AI497</f>
        <v>114596.72157709964</v>
      </c>
      <c r="K112" s="19">
        <f>'P&amp;L - Inputs'!AJ497</f>
        <v>122530.76627491058</v>
      </c>
      <c r="L112" s="19">
        <f>'P&amp;L - Inputs'!AK497</f>
        <v>141619.92589096059</v>
      </c>
      <c r="M112" s="19">
        <f>'P&amp;L - Inputs'!AL497</f>
        <v>90845.479005757617</v>
      </c>
      <c r="N112" s="19">
        <f>'P&amp;L - Inputs'!AM497</f>
        <v>3176.8732394366198</v>
      </c>
      <c r="O112" s="19">
        <f>'P&amp;L - Inputs'!AN497</f>
        <v>130826.85963003265</v>
      </c>
      <c r="P112" s="19">
        <f>'P&amp;L - Inputs'!AO497</f>
        <v>99105.627879503838</v>
      </c>
      <c r="Q112" s="19">
        <f>'P&amp;L - Inputs'!AP497</f>
        <v>128993.30872011252</v>
      </c>
      <c r="R112" s="19">
        <f>'P&amp;L - Inputs'!AQ497</f>
        <v>187718.98376109067</v>
      </c>
      <c r="S112" s="19">
        <f>'P&amp;L - Inputs'!AR497</f>
        <v>233139.01111772881</v>
      </c>
      <c r="T112" s="19">
        <f>'P&amp;L - Inputs'!AS497</f>
        <v>313671.99712157127</v>
      </c>
      <c r="U112" s="19">
        <f>'P&amp;L - Inputs'!AT497</f>
        <v>346384.94567205495</v>
      </c>
      <c r="V112" s="19">
        <f>'P&amp;L - Inputs'!AU497</f>
        <v>311839.20583468396</v>
      </c>
      <c r="W112" s="19">
        <f>'P&amp;L - Inputs'!AV497</f>
        <v>316330.01421289943</v>
      </c>
      <c r="X112" s="19">
        <f>'P&amp;L - Inputs'!AW497</f>
        <v>365791.47839593334</v>
      </c>
      <c r="Y112" s="19">
        <f>'P&amp;L - Inputs'!AX497</f>
        <v>365791.47839593334</v>
      </c>
      <c r="Z112" s="19">
        <f>'P&amp;L - Inputs'!AY497</f>
        <v>484750.00954954111</v>
      </c>
      <c r="AA112" s="19">
        <f>'P&amp;L - Inputs'!AZ497</f>
        <v>426816</v>
      </c>
      <c r="AB112" s="19">
        <f>'P&amp;L - Inputs'!BA497</f>
        <v>472472</v>
      </c>
      <c r="AC112" s="19">
        <f>'P&amp;L - Inputs'!BB497</f>
        <v>504244</v>
      </c>
      <c r="AD112" s="19">
        <f>'P&amp;L - Inputs'!BC497</f>
        <v>511940</v>
      </c>
      <c r="AE112" s="19">
        <f>'P&amp;L - Inputs'!BD497</f>
        <v>523120</v>
      </c>
      <c r="AF112" s="19">
        <f>'P&amp;L - Inputs'!BE497</f>
        <v>506948</v>
      </c>
      <c r="AG112" s="19">
        <f>'P&amp;L - Inputs'!BF497</f>
        <v>570960</v>
      </c>
      <c r="AH112" s="19">
        <f>'P&amp;L - Inputs'!BG497</f>
        <v>595244</v>
      </c>
      <c r="AI112" s="19">
        <f>'P&amp;L - Inputs'!BH497</f>
        <v>544804</v>
      </c>
      <c r="AJ112" s="19">
        <f>'P&amp;L - Inputs'!BI497</f>
        <v>634972</v>
      </c>
      <c r="AK112" s="19">
        <f>'P&amp;L - Inputs'!BJ497</f>
        <v>644020</v>
      </c>
      <c r="AL112" s="19">
        <f>'P&amp;L - Inputs'!BK497</f>
        <v>755095</v>
      </c>
      <c r="AM112" s="19">
        <f>'P&amp;L - Inputs'!BL497</f>
        <v>752785</v>
      </c>
      <c r="AN112" s="19">
        <f>'P&amp;L - Inputs'!BM497</f>
        <v>671770</v>
      </c>
      <c r="AO112" s="19">
        <f>'P&amp;L - Inputs'!BN497</f>
        <v>680185</v>
      </c>
      <c r="AP112" s="19">
        <f>'P&amp;L - Inputs'!BO497</f>
        <v>640365</v>
      </c>
      <c r="AQ112" s="19">
        <f>'P&amp;L - Inputs'!BP497</f>
        <v>778140</v>
      </c>
      <c r="AR112" s="19">
        <f>'P&amp;L - Inputs'!BQ497</f>
        <v>710875</v>
      </c>
      <c r="AS112" s="19">
        <f>'P&amp;L - Inputs'!BR497</f>
        <v>628265</v>
      </c>
      <c r="AT112" s="19">
        <f>'P&amp;L - Inputs'!BS497</f>
        <v>565785</v>
      </c>
      <c r="AU112" s="19">
        <f>'P&amp;L - Inputs'!BT497</f>
        <v>494450</v>
      </c>
      <c r="AV112" s="19">
        <f>'P&amp;L - Inputs'!BU497</f>
        <v>618365</v>
      </c>
      <c r="AW112" s="19">
        <f>'P&amp;L - Inputs'!BV497</f>
        <v>661595</v>
      </c>
      <c r="AX112" s="19">
        <f>'P&amp;L - Inputs'!BW497</f>
        <v>640475</v>
      </c>
      <c r="AY112" s="19">
        <f>'P&amp;L - Inputs'!BX497</f>
        <v>697895</v>
      </c>
      <c r="AZ112" s="19">
        <f>'P&amp;L - Inputs'!BY497</f>
        <v>650980</v>
      </c>
      <c r="BA112" s="19">
        <f>'P&amp;L - Inputs'!BZ497</f>
        <v>536140</v>
      </c>
      <c r="BB112" s="19">
        <f>'P&amp;L - Inputs'!CA497</f>
        <v>460570</v>
      </c>
      <c r="BC112" s="19">
        <f>'P&amp;L - Inputs'!CB497</f>
        <v>583055</v>
      </c>
      <c r="BD112" s="19">
        <f>'P&amp;L - Inputs'!CC497</f>
        <v>562870</v>
      </c>
      <c r="BE112" s="19">
        <f>'P&amp;L - Inputs'!CD497</f>
        <v>664785</v>
      </c>
      <c r="BF112" s="19">
        <f>'P&amp;L - Inputs'!CE497</f>
        <v>670395</v>
      </c>
      <c r="BG112" s="19">
        <f>'P&amp;L - Inputs'!CF497</f>
        <v>630685</v>
      </c>
      <c r="BH112" s="19">
        <f>'P&amp;L - Inputs'!CG497</f>
        <v>785620</v>
      </c>
      <c r="BI112" s="19">
        <f>'P&amp;L - Inputs'!CH497</f>
        <v>770715</v>
      </c>
      <c r="BJ112" s="19">
        <f>'P&amp;L - Inputs'!CI497</f>
        <v>761255</v>
      </c>
      <c r="BK112" s="19">
        <f>'P&amp;L - Inputs'!CJ497</f>
        <v>774510</v>
      </c>
      <c r="BL112" s="19">
        <f>'P&amp;L - Inputs'!CK497</f>
        <v>856185</v>
      </c>
      <c r="BM112" s="19">
        <f>'P&amp;L - Inputs'!CL497</f>
        <v>745580</v>
      </c>
      <c r="BN112" s="19">
        <f>'P&amp;L - Inputs'!CM497</f>
        <v>682275</v>
      </c>
      <c r="BO112" s="19">
        <f>'P&amp;L - Inputs'!CN497</f>
        <v>901175</v>
      </c>
      <c r="BP112" s="19">
        <f>'P&amp;L - Inputs'!CO497</f>
        <v>811360</v>
      </c>
      <c r="BQ112" s="19">
        <f>'P&amp;L - Inputs'!CP497</f>
        <v>1023550</v>
      </c>
      <c r="BR112" s="19">
        <f>'P&amp;L - Inputs'!CQ497</f>
        <v>1087845</v>
      </c>
      <c r="BS112" s="19">
        <f>'P&amp;L - Inputs'!CR497</f>
        <v>1035430</v>
      </c>
      <c r="BT112" s="19">
        <f>'P&amp;L - Inputs'!CS497</f>
        <v>1219680</v>
      </c>
      <c r="BU112" s="19">
        <f>'P&amp;L - Inputs'!CT497</f>
        <v>1111609.1341801661</v>
      </c>
      <c r="BV112" s="19">
        <f>'P&amp;L - Inputs'!CU497</f>
        <v>1085884.7027575558</v>
      </c>
      <c r="BW112" s="19">
        <f>'P&amp;L - Inputs'!CV497</f>
        <v>1082248.3421372236</v>
      </c>
      <c r="BX112" s="19">
        <f>'P&amp;L - Inputs'!CW497</f>
        <v>1179042.7279123745</v>
      </c>
      <c r="BY112" s="19">
        <f>'P&amp;L - Inputs'!CX497</f>
        <v>1041999.6075368504</v>
      </c>
      <c r="BZ112" s="19">
        <f>'P&amp;L - Inputs'!CY497</f>
        <v>959077.43932251935</v>
      </c>
      <c r="CA112" s="19">
        <f>'P&amp;L - Inputs'!CZ497</f>
        <v>1220399.8513312486</v>
      </c>
      <c r="CB112" s="19">
        <f>'P&amp;L - Inputs'!DA497</f>
        <v>1114852.2337960277</v>
      </c>
      <c r="CC112" s="19">
        <f>'P&amp;L - Inputs'!DB497</f>
        <v>1344582.7905415846</v>
      </c>
      <c r="CD112" s="19">
        <f>'P&amp;L - Inputs'!DC497</f>
        <v>1379320.4809828957</v>
      </c>
      <c r="CE112" s="19">
        <f>'P&amp;L - Inputs'!DD497</f>
        <v>1274274.0005998637</v>
      </c>
      <c r="CF112" s="19">
        <f>'P&amp;L - Inputs'!DE497</f>
        <v>1497650.9080815443</v>
      </c>
      <c r="CG112" s="19">
        <f>'P&amp;L - Inputs'!DF497</f>
        <v>1324122.6451263744</v>
      </c>
      <c r="CH112" s="19">
        <f>'P&amp;L - Inputs'!DG497</f>
        <v>1296953.5418560554</v>
      </c>
      <c r="CI112" s="19">
        <f>'P&amp;L - Inputs'!DH497</f>
        <v>1286004.9744531827</v>
      </c>
      <c r="CJ112" s="19">
        <f>'P&amp;L - Inputs'!DI497</f>
        <v>1399692.1527074047</v>
      </c>
      <c r="CK112" s="19">
        <f>'P&amp;L - Inputs'!DJ497</f>
        <v>1235273.7282896535</v>
      </c>
      <c r="CL112" s="19">
        <f>'P&amp;L - Inputs'!DK497</f>
        <v>1134908.3031983147</v>
      </c>
      <c r="CM112" s="19">
        <f>'P&amp;L - Inputs'!DL497</f>
        <v>1437813.6043735284</v>
      </c>
      <c r="CN112" s="19">
        <f>'P&amp;L - Inputs'!DM497</f>
        <v>1307240.158188455</v>
      </c>
      <c r="CO112" s="19">
        <f>'P&amp;L - Inputs'!DN497</f>
        <v>1569891.2581458504</v>
      </c>
      <c r="CP112" s="19">
        <f>'P&amp;L - Inputs'!DO497</f>
        <v>1603658.2373726428</v>
      </c>
      <c r="CQ112" s="19">
        <f>'P&amp;L - Inputs'!DP497</f>
        <v>1474827.3518306378</v>
      </c>
      <c r="CR112" s="19">
        <f>'P&amp;L - Inputs'!DQ497</f>
        <v>1713357.3448425427</v>
      </c>
      <c r="CS112" s="19">
        <f>'P&amp;L - Inputs'!DR497</f>
        <v>1589609.235474213</v>
      </c>
      <c r="CT112" s="19">
        <f>'P&amp;L - Inputs'!DS497</f>
        <v>1555596.0077992729</v>
      </c>
      <c r="CU112" s="19">
        <f>'P&amp;L - Inputs'!DT497</f>
        <v>1541557.5447856565</v>
      </c>
      <c r="CV112" s="19">
        <f>'P&amp;L - Inputs'!DU497</f>
        <v>1676864.0437051775</v>
      </c>
      <c r="CW112" s="19">
        <f>'P&amp;L - Inputs'!DV497</f>
        <v>1478622.6527627155</v>
      </c>
      <c r="CX112" s="19">
        <f>'P&amp;L - Inputs'!DW497</f>
        <v>1356974.6919614503</v>
      </c>
      <c r="CY112" s="19">
        <f>'P&amp;L - Inputs'!DX497</f>
        <v>1718679.1408278628</v>
      </c>
      <c r="CZ112" s="19">
        <f>'P&amp;L - Inputs'!DY497</f>
        <v>1561753.4402064879</v>
      </c>
      <c r="DA112" s="19">
        <f>'P&amp;L - Inputs'!DZ497</f>
        <v>1875038.8714479508</v>
      </c>
      <c r="DB112" s="19">
        <f>'P&amp;L - Inputs'!EA497</f>
        <v>1914859.4937652077</v>
      </c>
      <c r="DC112" s="19">
        <f>'P&amp;L - Inputs'!EB497</f>
        <v>1760100.0135700435</v>
      </c>
      <c r="DD112" s="19">
        <f>'P&amp;L - Inputs'!EC497</f>
        <v>2044234.8129099095</v>
      </c>
      <c r="DF112" s="19">
        <f t="shared" si="392"/>
        <v>2151900</v>
      </c>
      <c r="DG112" s="19">
        <f t="shared" si="393"/>
        <v>1992320</v>
      </c>
      <c r="DH112" s="19">
        <f t="shared" si="394"/>
        <v>2117280</v>
      </c>
      <c r="DI112" s="19">
        <f t="shared" si="395"/>
        <v>1678600</v>
      </c>
      <c r="DJ112" s="19">
        <f t="shared" si="396"/>
        <v>1999965</v>
      </c>
      <c r="DK112" s="19">
        <f t="shared" si="397"/>
        <v>1647690</v>
      </c>
      <c r="DL112" s="19">
        <f t="shared" si="398"/>
        <v>1810710</v>
      </c>
      <c r="DM112" s="19">
        <f t="shared" si="399"/>
        <v>2086700</v>
      </c>
      <c r="DN112" s="19">
        <f t="shared" si="400"/>
        <v>2306480</v>
      </c>
      <c r="DO112" s="19">
        <f t="shared" si="401"/>
        <v>2284040</v>
      </c>
      <c r="DP112" s="19">
        <f t="shared" si="402"/>
        <v>2736085</v>
      </c>
      <c r="DQ112" s="19">
        <f t="shared" si="403"/>
        <v>3342955</v>
      </c>
      <c r="DR112" s="19">
        <f t="shared" si="404"/>
        <v>3279742.1790749454</v>
      </c>
      <c r="DS112" s="19">
        <f t="shared" si="405"/>
        <v>3180119.7747717444</v>
      </c>
      <c r="DT112" s="19">
        <f t="shared" si="406"/>
        <v>3679834.875668861</v>
      </c>
      <c r="DU112" s="19">
        <f t="shared" si="407"/>
        <v>4151245.3896643035</v>
      </c>
      <c r="DV112" s="19">
        <f t="shared" si="408"/>
        <v>3907081.1614356125</v>
      </c>
      <c r="DW112" s="19">
        <f t="shared" si="409"/>
        <v>3769874.1841953727</v>
      </c>
      <c r="DX112" s="19">
        <f t="shared" si="410"/>
        <v>4314945.0207078336</v>
      </c>
      <c r="DY112" s="19">
        <f t="shared" si="411"/>
        <v>4791842.9340458233</v>
      </c>
      <c r="DZ112" s="19">
        <f t="shared" si="306"/>
        <v>4686762.7880591424</v>
      </c>
      <c r="EA112" s="19">
        <f t="shared" si="307"/>
        <v>4512461.3884293437</v>
      </c>
      <c r="EB112" s="19">
        <f t="shared" si="308"/>
        <v>5155471.4524823017</v>
      </c>
      <c r="EC112" s="19">
        <f t="shared" si="309"/>
        <v>5719194.3202451607</v>
      </c>
      <c r="EE112" s="19">
        <f t="shared" si="412"/>
        <v>7940100</v>
      </c>
      <c r="EF112" s="19">
        <f t="shared" si="413"/>
        <v>7545065</v>
      </c>
      <c r="EG112" s="19">
        <f t="shared" si="414"/>
        <v>10669560</v>
      </c>
      <c r="EH112" s="19">
        <f t="shared" si="415"/>
        <v>14290942.219179854</v>
      </c>
      <c r="EI112" s="19">
        <f t="shared" si="416"/>
        <v>16783743.300384641</v>
      </c>
      <c r="EJ112" s="770">
        <f t="shared" si="310"/>
        <v>20073889.949215949</v>
      </c>
    </row>
    <row r="113" spans="2:140" x14ac:dyDescent="0.2">
      <c r="B113" s="167" t="s">
        <v>201</v>
      </c>
      <c r="C113" s="19">
        <f>'P&amp;L - Inputs'!AB498</f>
        <v>48329.992829204697</v>
      </c>
      <c r="D113" s="19">
        <f>'P&amp;L - Inputs'!AC498</f>
        <v>76632.952181709508</v>
      </c>
      <c r="E113" s="19">
        <f>'P&amp;L - Inputs'!AD498</f>
        <v>179422.47307485191</v>
      </c>
      <c r="F113" s="19">
        <f>'P&amp;L - Inputs'!AE498</f>
        <v>266366.7230110435</v>
      </c>
      <c r="G113" s="19">
        <f>'P&amp;L - Inputs'!AF498</f>
        <v>200528.08000000002</v>
      </c>
      <c r="H113" s="19">
        <f>'P&amp;L - Inputs'!AG498</f>
        <v>262484.48214795772</v>
      </c>
      <c r="I113" s="19">
        <f>'P&amp;L - Inputs'!AH498</f>
        <v>531516.64314671815</v>
      </c>
      <c r="J113" s="19">
        <f>'P&amp;L - Inputs'!AI498</f>
        <v>463795.53263119992</v>
      </c>
      <c r="K113" s="19">
        <f>'P&amp;L - Inputs'!AJ498</f>
        <v>382584.0932038835</v>
      </c>
      <c r="L113" s="19">
        <f>'P&amp;L - Inputs'!AK498</f>
        <v>423617.94477224449</v>
      </c>
      <c r="M113" s="19">
        <f>'P&amp;L - Inputs'!AL498</f>
        <v>245450.91756775731</v>
      </c>
      <c r="N113" s="19">
        <f>'P&amp;L - Inputs'!AM498</f>
        <v>5135.0462776659961</v>
      </c>
      <c r="O113" s="19">
        <f>'P&amp;L - Inputs'!AN498</f>
        <v>154571.01414581068</v>
      </c>
      <c r="P113" s="19">
        <f>'P&amp;L - Inputs'!AO498</f>
        <v>294561.18150029535</v>
      </c>
      <c r="Q113" s="19">
        <f>'P&amp;L - Inputs'!AP498</f>
        <v>395182.83735056262</v>
      </c>
      <c r="R113" s="19">
        <f>'P&amp;L - Inputs'!AQ498</f>
        <v>651212.96487179119</v>
      </c>
      <c r="S113" s="19">
        <f>'P&amp;L - Inputs'!AR498</f>
        <v>695837.30163457093</v>
      </c>
      <c r="T113" s="19">
        <f>'P&amp;L - Inputs'!AS498</f>
        <v>969874.61894995905</v>
      </c>
      <c r="U113" s="19">
        <f>'P&amp;L - Inputs'!AT498</f>
        <v>1217907.4706433846</v>
      </c>
      <c r="V113" s="19">
        <f>'P&amp;L - Inputs'!AU498</f>
        <v>1198000</v>
      </c>
      <c r="W113" s="19">
        <f>'P&amp;L - Inputs'!AV498</f>
        <v>1222719.7490917614</v>
      </c>
      <c r="X113" s="19">
        <f>'P&amp;L - Inputs'!AW498</f>
        <v>1341422.617485058</v>
      </c>
      <c r="Y113" s="19">
        <f>'P&amp;L - Inputs'!AX498</f>
        <v>1313752.0164068909</v>
      </c>
      <c r="Z113" s="19">
        <f>'P&amp;L - Inputs'!AY498</f>
        <v>1758286.2380757062</v>
      </c>
      <c r="AA113" s="19">
        <f>'P&amp;L - Inputs'!AZ498</f>
        <v>1823653.0203328256</v>
      </c>
      <c r="AB113" s="19">
        <f>'P&amp;L - Inputs'!BA498</f>
        <v>1906664.8235673269</v>
      </c>
      <c r="AC113" s="19">
        <f>'P&amp;L - Inputs'!BB498</f>
        <v>2062662.8499355444</v>
      </c>
      <c r="AD113" s="19">
        <f>'P&amp;L - Inputs'!BC498</f>
        <v>2157209.0955967591</v>
      </c>
      <c r="AE113" s="19">
        <f>'P&amp;L - Inputs'!BD498</f>
        <v>2124219.9117543655</v>
      </c>
      <c r="AF113" s="19">
        <f>'P&amp;L - Inputs'!BE498</f>
        <v>1996212.68973397</v>
      </c>
      <c r="AG113" s="19">
        <f>'P&amp;L - Inputs'!BF498</f>
        <v>2320320.2585257236</v>
      </c>
      <c r="AH113" s="19">
        <f>'P&amp;L - Inputs'!BG498</f>
        <v>2401326.9457400679</v>
      </c>
      <c r="AI113" s="19">
        <f>'P&amp;L - Inputs'!BH498</f>
        <v>2210239.3890191023</v>
      </c>
      <c r="AJ113" s="19">
        <f>'P&amp;L - Inputs'!BI498</f>
        <v>2593016.037267081</v>
      </c>
      <c r="AK113" s="19">
        <f>'P&amp;L - Inputs'!BJ498</f>
        <v>5693764.0076669184</v>
      </c>
      <c r="AL113" s="19">
        <f>'P&amp;L - Inputs'!BK498</f>
        <v>5850848.7321087439</v>
      </c>
      <c r="AM113" s="19">
        <f>'P&amp;L - Inputs'!BL498</f>
        <v>4662639.0367899155</v>
      </c>
      <c r="AN113" s="19">
        <f>'P&amp;L - Inputs'!BM498</f>
        <v>3964755.4104787186</v>
      </c>
      <c r="AO113" s="19">
        <f>'P&amp;L - Inputs'!BN498</f>
        <v>4158305.9072211357</v>
      </c>
      <c r="AP113" s="19">
        <f>'P&amp;L - Inputs'!BO498</f>
        <v>3875987.5283054663</v>
      </c>
      <c r="AQ113" s="19">
        <f>'P&amp;L - Inputs'!BP498</f>
        <v>4261047.3134916304</v>
      </c>
      <c r="AR113" s="19">
        <f>'P&amp;L - Inputs'!BQ498</f>
        <v>4782149.9611072242</v>
      </c>
      <c r="AS113" s="19">
        <f>'P&amp;L - Inputs'!BR498</f>
        <v>3765060.2978610448</v>
      </c>
      <c r="AT113" s="19">
        <f>'P&amp;L - Inputs'!BS498</f>
        <v>3141924.6180676036</v>
      </c>
      <c r="AU113" s="19">
        <f>'P&amp;L - Inputs'!BT498</f>
        <v>3251958.5964618446</v>
      </c>
      <c r="AV113" s="19">
        <f>'P&amp;L - Inputs'!BU498</f>
        <v>3282458.0559924697</v>
      </c>
      <c r="AW113" s="19">
        <f>'P&amp;L - Inputs'!BV498</f>
        <v>3711565.1972149378</v>
      </c>
      <c r="AX113" s="19">
        <f>'P&amp;L - Inputs'!BW498</f>
        <v>3513112.9199183532</v>
      </c>
      <c r="AY113" s="19">
        <f>'P&amp;L - Inputs'!BX498</f>
        <v>3728590.1343549374</v>
      </c>
      <c r="AZ113" s="19">
        <f>'P&amp;L - Inputs'!BY498</f>
        <v>3604764.5714536672</v>
      </c>
      <c r="BA113" s="19">
        <f>'P&amp;L - Inputs'!BZ498</f>
        <v>2986745.5531296739</v>
      </c>
      <c r="BB113" s="19">
        <f>'P&amp;L - Inputs'!CA498</f>
        <v>2816783.9778142357</v>
      </c>
      <c r="BC113" s="19">
        <f>'P&amp;L - Inputs'!CB498</f>
        <v>3940047.1792390901</v>
      </c>
      <c r="BD113" s="19">
        <f>'P&amp;L - Inputs'!CC498</f>
        <v>4236091.6100921864</v>
      </c>
      <c r="BE113" s="19">
        <f>'P&amp;L - Inputs'!CD498</f>
        <v>3797788.2679079878</v>
      </c>
      <c r="BF113" s="19">
        <f>'P&amp;L - Inputs'!CE498</f>
        <v>3635973.468715624</v>
      </c>
      <c r="BG113" s="19">
        <f>'P&amp;L - Inputs'!CF498</f>
        <v>3524601.7384014572</v>
      </c>
      <c r="BH113" s="19">
        <f>'P&amp;L - Inputs'!CG498</f>
        <v>3893012.4957495434</v>
      </c>
      <c r="BI113" s="19">
        <f>'P&amp;L - Inputs'!CH498</f>
        <v>4307446.9468938839</v>
      </c>
      <c r="BJ113" s="19">
        <f>'P&amp;L - Inputs'!CI498</f>
        <v>3817535.1184280869</v>
      </c>
      <c r="BK113" s="19">
        <f>'P&amp;L - Inputs'!CJ498</f>
        <v>3015497.7850636616</v>
      </c>
      <c r="BL113" s="19">
        <f>'P&amp;L - Inputs'!CK498</f>
        <v>3107386.3315112768</v>
      </c>
      <c r="BM113" s="19">
        <f>'P&amp;L - Inputs'!CL498</f>
        <v>3022218.4105804395</v>
      </c>
      <c r="BN113" s="19">
        <f>'P&amp;L - Inputs'!CM498</f>
        <v>3092656.673037882</v>
      </c>
      <c r="BO113" s="19">
        <f>'P&amp;L - Inputs'!CN498</f>
        <v>4414982.7026129495</v>
      </c>
      <c r="BP113" s="19">
        <f>'P&amp;L - Inputs'!CO498</f>
        <v>4212649.95816842</v>
      </c>
      <c r="BQ113" s="19">
        <f>'P&amp;L - Inputs'!CP498</f>
        <v>6743376.8678644737</v>
      </c>
      <c r="BR113" s="19">
        <f>'P&amp;L - Inputs'!CQ498</f>
        <v>7873894.6989637678</v>
      </c>
      <c r="BS113" s="19">
        <f>'P&amp;L - Inputs'!CR498</f>
        <v>8275692.823781549</v>
      </c>
      <c r="BT113" s="19">
        <f>'P&amp;L - Inputs'!CS498</f>
        <v>8523041.4400484189</v>
      </c>
      <c r="BU113" s="19">
        <f>'P&amp;L - Inputs'!CT498</f>
        <v>6077796.5101157976</v>
      </c>
      <c r="BV113" s="19">
        <f>'P&amp;L - Inputs'!CU498</f>
        <v>5937146.4788074773</v>
      </c>
      <c r="BW113" s="19">
        <f>'P&amp;L - Inputs'!CV498</f>
        <v>5917264.4364526551</v>
      </c>
      <c r="BX113" s="19">
        <f>'P&amp;L - Inputs'!CW498</f>
        <v>6446494.14676526</v>
      </c>
      <c r="BY113" s="19">
        <f>'P&amp;L - Inputs'!CX498</f>
        <v>5697201.816266343</v>
      </c>
      <c r="BZ113" s="19">
        <f>'P&amp;L - Inputs'!CY498</f>
        <v>5243819.3735644892</v>
      </c>
      <c r="CA113" s="19">
        <f>'P&amp;L - Inputs'!CZ498</f>
        <v>6672616.9561725836</v>
      </c>
      <c r="CB113" s="19">
        <f>'P&amp;L - Inputs'!DA498</f>
        <v>6095528.3719017105</v>
      </c>
      <c r="CC113" s="19">
        <f>'P&amp;L - Inputs'!DB498</f>
        <v>7351595.3950328864</v>
      </c>
      <c r="CD113" s="19">
        <f>'P&amp;L - Inputs'!DC498</f>
        <v>7541526.0165452715</v>
      </c>
      <c r="CE113" s="19">
        <f>'P&amp;L - Inputs'!DD498</f>
        <v>6967177.4328204617</v>
      </c>
      <c r="CF113" s="19">
        <f>'P&amp;L - Inputs'!DE498</f>
        <v>8188505.4581014924</v>
      </c>
      <c r="CG113" s="19">
        <f>'P&amp;L - Inputs'!DF498</f>
        <v>7601714.6056668917</v>
      </c>
      <c r="CH113" s="19">
        <f>'P&amp;L - Inputs'!DG498</f>
        <v>7445738.291906965</v>
      </c>
      <c r="CI113" s="19">
        <f>'P&amp;L - Inputs'!DH498</f>
        <v>7382883.1741851438</v>
      </c>
      <c r="CJ113" s="19">
        <f>'P&amp;L - Inputs'!DI498</f>
        <v>8035554.9539428977</v>
      </c>
      <c r="CK113" s="19">
        <f>'P&amp;L - Inputs'!DJ498</f>
        <v>7091637.9059734708</v>
      </c>
      <c r="CL113" s="19">
        <f>'P&amp;L - Inputs'!DK498</f>
        <v>6515445.5716538802</v>
      </c>
      <c r="CM113" s="19">
        <f>'P&amp;L - Inputs'!DL498</f>
        <v>8254408.0918951901</v>
      </c>
      <c r="CN113" s="19">
        <f>'P&amp;L - Inputs'!DM498</f>
        <v>7504793.1852770811</v>
      </c>
      <c r="CO113" s="19">
        <f>'P&amp;L - Inputs'!DN498</f>
        <v>9012658.5707754549</v>
      </c>
      <c r="CP113" s="19">
        <f>'P&amp;L - Inputs'!DO498</f>
        <v>9206512.9241635874</v>
      </c>
      <c r="CQ113" s="19">
        <f>'P&amp;L - Inputs'!DP498</f>
        <v>8466901.961470481</v>
      </c>
      <c r="CR113" s="19">
        <f>'P&amp;L - Inputs'!DQ498</f>
        <v>9836289.410920199</v>
      </c>
      <c r="CS113" s="19">
        <f>'P&amp;L - Inputs'!DR498</f>
        <v>9125858.3841031063</v>
      </c>
      <c r="CT113" s="19">
        <f>'P&amp;L - Inputs'!DS498</f>
        <v>8930590.3320430275</v>
      </c>
      <c r="CU113" s="19">
        <f>'P&amp;L - Inputs'!DT498</f>
        <v>8849996.2951352634</v>
      </c>
      <c r="CV113" s="19">
        <f>'P&amp;L - Inputs'!DU498</f>
        <v>9626783.3947773874</v>
      </c>
      <c r="CW113" s="19">
        <f>'P&amp;L - Inputs'!DV498</f>
        <v>8488690.573450245</v>
      </c>
      <c r="CX113" s="19">
        <f>'P&amp;L - Inputs'!DW498</f>
        <v>7790316.3829806643</v>
      </c>
      <c r="CY113" s="19">
        <f>'P&amp;L - Inputs'!DX498</f>
        <v>9866841.5462672431</v>
      </c>
      <c r="CZ113" s="19">
        <f>'P&amp;L - Inputs'!DY498</f>
        <v>8965939.809703283</v>
      </c>
      <c r="DA113" s="19">
        <f>'P&amp;L - Inputs'!DZ498</f>
        <v>10764494.080469936</v>
      </c>
      <c r="DB113" s="19">
        <f>'P&amp;L - Inputs'!EA498</f>
        <v>10993102.062812045</v>
      </c>
      <c r="DC113" s="19">
        <f>'P&amp;L - Inputs'!EB498</f>
        <v>10104636.477471409</v>
      </c>
      <c r="DD113" s="19">
        <f>'P&amp;L - Inputs'!EC498</f>
        <v>11735838.588597564</v>
      </c>
      <c r="DF113" s="19">
        <f t="shared" si="392"/>
        <v>16207251.776565578</v>
      </c>
      <c r="DG113" s="19">
        <f t="shared" si="393"/>
        <v>11999048.846005321</v>
      </c>
      <c r="DH113" s="19">
        <f t="shared" si="394"/>
        <v>12808257.572459901</v>
      </c>
      <c r="DI113" s="19">
        <f t="shared" si="395"/>
        <v>9676341.2705219183</v>
      </c>
      <c r="DJ113" s="19">
        <f t="shared" si="396"/>
        <v>10953268.251488229</v>
      </c>
      <c r="DK113" s="19">
        <f t="shared" si="397"/>
        <v>9408294.102397576</v>
      </c>
      <c r="DL113" s="19">
        <f t="shared" si="398"/>
        <v>11973927.057239264</v>
      </c>
      <c r="DM113" s="19">
        <f t="shared" si="399"/>
        <v>11053587.702866625</v>
      </c>
      <c r="DN113" s="19">
        <f t="shared" si="400"/>
        <v>11140479.850385632</v>
      </c>
      <c r="DO113" s="19">
        <f t="shared" si="401"/>
        <v>9222261.4151295982</v>
      </c>
      <c r="DP113" s="19">
        <f t="shared" si="402"/>
        <v>15371009.528645843</v>
      </c>
      <c r="DQ113" s="19">
        <f t="shared" si="403"/>
        <v>24672628.962793738</v>
      </c>
      <c r="DR113" s="19">
        <f t="shared" si="404"/>
        <v>17932207.425375931</v>
      </c>
      <c r="DS113" s="19">
        <f t="shared" si="405"/>
        <v>17387515.336596094</v>
      </c>
      <c r="DT113" s="19">
        <f t="shared" si="406"/>
        <v>20119740.723107181</v>
      </c>
      <c r="DU113" s="19">
        <f t="shared" si="407"/>
        <v>22697208.907467224</v>
      </c>
      <c r="DV113" s="19">
        <f t="shared" si="408"/>
        <v>22430336.071759</v>
      </c>
      <c r="DW113" s="19">
        <f t="shared" si="409"/>
        <v>21642638.431570247</v>
      </c>
      <c r="DX113" s="19">
        <f t="shared" si="410"/>
        <v>24771859.847947724</v>
      </c>
      <c r="DY113" s="19">
        <f t="shared" si="411"/>
        <v>27509704.296554267</v>
      </c>
      <c r="DZ113" s="19">
        <f t="shared" si="306"/>
        <v>26906445.011281397</v>
      </c>
      <c r="EA113" s="19">
        <f t="shared" si="307"/>
        <v>25905790.351208296</v>
      </c>
      <c r="EB113" s="19">
        <f t="shared" si="308"/>
        <v>29597275.43644046</v>
      </c>
      <c r="EC113" s="19">
        <f t="shared" si="309"/>
        <v>32833577.128881022</v>
      </c>
      <c r="EE113" s="19">
        <f t="shared" si="412"/>
        <v>50690899.465552717</v>
      </c>
      <c r="EF113" s="19">
        <f t="shared" si="413"/>
        <v>43389077.113991693</v>
      </c>
      <c r="EG113" s="19">
        <f t="shared" si="414"/>
        <v>60406379.756954812</v>
      </c>
      <c r="EH113" s="19">
        <f t="shared" si="415"/>
        <v>78136672.39254643</v>
      </c>
      <c r="EI113" s="19">
        <f t="shared" si="416"/>
        <v>96354538.647831231</v>
      </c>
      <c r="EJ113" s="770">
        <f t="shared" si="310"/>
        <v>115243087.92781118</v>
      </c>
    </row>
    <row r="114" spans="2:140" x14ac:dyDescent="0.2">
      <c r="B114" s="167" t="s">
        <v>26</v>
      </c>
      <c r="C114" s="19">
        <f>'P&amp;L - Inputs'!AB499</f>
        <v>234629.76140808343</v>
      </c>
      <c r="D114" s="19">
        <f>'P&amp;L - Inputs'!AC499</f>
        <v>164475.4196054991</v>
      </c>
      <c r="E114" s="19">
        <f>'P&amp;L - Inputs'!AD499</f>
        <v>242206.84383414109</v>
      </c>
      <c r="F114" s="19">
        <f>'P&amp;L - Inputs'!AE499</f>
        <v>292470.36511156184</v>
      </c>
      <c r="G114" s="19">
        <f>'P&amp;L - Inputs'!AF499</f>
        <v>246204.00195121951</v>
      </c>
      <c r="H114" s="19">
        <f>'P&amp;L - Inputs'!AG499</f>
        <v>262083.35289917164</v>
      </c>
      <c r="I114" s="19">
        <f>'P&amp;L - Inputs'!AH499</f>
        <v>296300.8888030888</v>
      </c>
      <c r="J114" s="19">
        <f>'P&amp;L - Inputs'!AI499</f>
        <v>279462.14472608338</v>
      </c>
      <c r="K114" s="19">
        <f>'P&amp;L - Inputs'!AJ499</f>
        <v>179726.08824228027</v>
      </c>
      <c r="L114" s="19">
        <f>'P&amp;L - Inputs'!AK499</f>
        <v>204464.7026877251</v>
      </c>
      <c r="M114" s="19">
        <f>'P&amp;L - Inputs'!AL499</f>
        <v>162088.66153846151</v>
      </c>
      <c r="N114" s="19">
        <f>'P&amp;L - Inputs'!AM499</f>
        <v>9200.5772934617326</v>
      </c>
      <c r="O114" s="19">
        <f>'P&amp;L - Inputs'!AN499</f>
        <v>81281.287343980686</v>
      </c>
      <c r="P114" s="19">
        <f>'P&amp;L - Inputs'!AO499</f>
        <v>174851.46811719085</v>
      </c>
      <c r="Q114" s="19">
        <f>'P&amp;L - Inputs'!AP499</f>
        <v>139746.69569661657</v>
      </c>
      <c r="R114" s="19">
        <f>'P&amp;L - Inputs'!AQ499</f>
        <v>211780.54111224838</v>
      </c>
      <c r="S114" s="19">
        <f>'P&amp;L - Inputs'!AR499</f>
        <v>149088.87498006696</v>
      </c>
      <c r="T114" s="19">
        <f>'P&amp;L - Inputs'!AS499</f>
        <v>298607.28937293735</v>
      </c>
      <c r="U114" s="19">
        <f>'P&amp;L - Inputs'!AT499</f>
        <v>346579.23435208539</v>
      </c>
      <c r="V114" s="19">
        <f>'P&amp;L - Inputs'!AU499</f>
        <v>317942.27253769652</v>
      </c>
      <c r="W114" s="19">
        <f>'P&amp;L - Inputs'!AV499</f>
        <v>213917.54209969507</v>
      </c>
      <c r="X114" s="19">
        <f>'P&amp;L - Inputs'!AW499</f>
        <v>399625.11971401656</v>
      </c>
      <c r="Y114" s="19">
        <f>'P&amp;L - Inputs'!AX499</f>
        <v>377633.71872887085</v>
      </c>
      <c r="Z114" s="19">
        <f>'P&amp;L - Inputs'!AY499</f>
        <v>407343.76964239101</v>
      </c>
      <c r="AA114" s="19">
        <f>'P&amp;L - Inputs'!AZ499</f>
        <v>968320.95344872796</v>
      </c>
      <c r="AB114" s="19">
        <f>'P&amp;L - Inputs'!BA499</f>
        <v>774845.44400734326</v>
      </c>
      <c r="AC114" s="19">
        <f>'P&amp;L - Inputs'!BB499</f>
        <v>725985.61556664074</v>
      </c>
      <c r="AD114" s="19">
        <f>'P&amp;L - Inputs'!BC499</f>
        <v>843093.94764208829</v>
      </c>
      <c r="AE114" s="19">
        <f>'P&amp;L - Inputs'!BD499</f>
        <v>1081919.4573148706</v>
      </c>
      <c r="AF114" s="19">
        <f>'P&amp;L - Inputs'!BE499</f>
        <v>1226692.2856117487</v>
      </c>
      <c r="AG114" s="19">
        <f>'P&amp;L - Inputs'!BF499</f>
        <v>1377854.546033704</v>
      </c>
      <c r="AH114" s="19">
        <f>'P&amp;L - Inputs'!BG499</f>
        <v>1549846.5585242372</v>
      </c>
      <c r="AI114" s="19">
        <f>'P&amp;L - Inputs'!BH499</f>
        <v>1340848.5306053644</v>
      </c>
      <c r="AJ114" s="19">
        <f>'P&amp;L - Inputs'!BI499</f>
        <v>1266906.7578780442</v>
      </c>
      <c r="AK114" s="19">
        <f>'P&amp;L - Inputs'!BJ499</f>
        <v>1710228.5037031143</v>
      </c>
      <c r="AL114" s="19">
        <f>'P&amp;L - Inputs'!BK499</f>
        <v>2138036.6997781433</v>
      </c>
      <c r="AM114" s="19">
        <f>'P&amp;L - Inputs'!BL499</f>
        <v>1940284.0086976634</v>
      </c>
      <c r="AN114" s="19">
        <f>'P&amp;L - Inputs'!BM499</f>
        <v>3561852.9684139416</v>
      </c>
      <c r="AO114" s="19">
        <f>'P&amp;L - Inputs'!BN499</f>
        <v>3029199.0930056307</v>
      </c>
      <c r="AP114" s="19">
        <f>'P&amp;L - Inputs'!BO499</f>
        <v>2864729.2469020109</v>
      </c>
      <c r="AQ114" s="19">
        <f>'P&amp;L - Inputs'!BP499</f>
        <v>2915726.6810436808</v>
      </c>
      <c r="AR114" s="19">
        <f>'P&amp;L - Inputs'!BQ499</f>
        <v>3630473.6394760818</v>
      </c>
      <c r="AS114" s="19">
        <f>'P&amp;L - Inputs'!BR499</f>
        <v>2799067.6957343519</v>
      </c>
      <c r="AT114" s="19">
        <f>'P&amp;L - Inputs'!BS499</f>
        <v>2437169.7436076915</v>
      </c>
      <c r="AU114" s="19">
        <f>'P&amp;L - Inputs'!BT499</f>
        <v>2330746.292940055</v>
      </c>
      <c r="AV114" s="19">
        <f>'P&amp;L - Inputs'!BU499</f>
        <v>2205992.7852887241</v>
      </c>
      <c r="AW114" s="19">
        <f>'P&amp;L - Inputs'!BV499</f>
        <v>1994881.6753093915</v>
      </c>
      <c r="AX114" s="19">
        <f>'P&amp;L - Inputs'!BW499</f>
        <v>2276379.6561824409</v>
      </c>
      <c r="AY114" s="19">
        <f>'P&amp;L - Inputs'!BX499</f>
        <v>2641757.0462307497</v>
      </c>
      <c r="AZ114" s="19">
        <f>'P&amp;L - Inputs'!BY499</f>
        <v>2509164.2952237898</v>
      </c>
      <c r="BA114" s="19">
        <f>'P&amp;L - Inputs'!BZ499</f>
        <v>2260182.0984067898</v>
      </c>
      <c r="BB114" s="19">
        <f>'P&amp;L - Inputs'!CA499</f>
        <v>2137462.2546025021</v>
      </c>
      <c r="BC114" s="19">
        <f>'P&amp;L - Inputs'!CB499</f>
        <v>2402970.4339774749</v>
      </c>
      <c r="BD114" s="19">
        <f>'P&amp;L - Inputs'!CC499</f>
        <v>2300714.882329647</v>
      </c>
      <c r="BE114" s="19">
        <f>'P&amp;L - Inputs'!CD499</f>
        <v>2673811.530157967</v>
      </c>
      <c r="BF114" s="19">
        <f>'P&amp;L - Inputs'!CE499</f>
        <v>2457359.9550361764</v>
      </c>
      <c r="BG114" s="19">
        <f>'P&amp;L - Inputs'!CF499</f>
        <v>2312315.9039933137</v>
      </c>
      <c r="BH114" s="19">
        <f>'P&amp;L - Inputs'!CG499</f>
        <v>2365963.1648922716</v>
      </c>
      <c r="BI114" s="19">
        <f>'P&amp;L - Inputs'!CH499</f>
        <v>2712405.9746223367</v>
      </c>
      <c r="BJ114" s="19">
        <f>'P&amp;L - Inputs'!CI499</f>
        <v>2482998.8624117658</v>
      </c>
      <c r="BK114" s="19">
        <f>'P&amp;L - Inputs'!CJ499</f>
        <v>2749577.053829758</v>
      </c>
      <c r="BL114" s="19">
        <f>'P&amp;L - Inputs'!CK499</f>
        <v>2752991.2265224713</v>
      </c>
      <c r="BM114" s="19">
        <f>'P&amp;L - Inputs'!CL499</f>
        <v>2674149.4771391298</v>
      </c>
      <c r="BN114" s="19">
        <f>'P&amp;L - Inputs'!CM499</f>
        <v>2776411.3086972293</v>
      </c>
      <c r="BO114" s="19">
        <f>'P&amp;L - Inputs'!CN499</f>
        <v>3027654.7169564497</v>
      </c>
      <c r="BP114" s="19">
        <f>'P&amp;L - Inputs'!CO499</f>
        <v>3069205.8760576602</v>
      </c>
      <c r="BQ114" s="19">
        <f>'P&amp;L - Inputs'!CP499</f>
        <v>3306449.8736430588</v>
      </c>
      <c r="BR114" s="19">
        <f>'P&amp;L - Inputs'!CQ499</f>
        <v>3091993.0237708632</v>
      </c>
      <c r="BS114" s="19">
        <f>'P&amp;L - Inputs'!CR499</f>
        <v>3134708.1364840087</v>
      </c>
      <c r="BT114" s="19">
        <f>'P&amp;L - Inputs'!CS499</f>
        <v>3470850.2859327286</v>
      </c>
      <c r="BU114" s="19">
        <f>'P&amp;L - Inputs'!CT499</f>
        <v>2893884.4790844116</v>
      </c>
      <c r="BV114" s="19">
        <f>'P&amp;L - Inputs'!CU499</f>
        <v>2833987.2840569546</v>
      </c>
      <c r="BW114" s="19">
        <f>'P&amp;L - Inputs'!CV499</f>
        <v>2828079.8974075248</v>
      </c>
      <c r="BX114" s="19">
        <f>'P&amp;L - Inputs'!CW499</f>
        <v>3062430.1959829195</v>
      </c>
      <c r="BY114" s="19">
        <f>'P&amp;L - Inputs'!CX499</f>
        <v>2736126.2728220345</v>
      </c>
      <c r="BZ114" s="19">
        <f>'P&amp;L - Inputs'!CY499</f>
        <v>2540743.9736436643</v>
      </c>
      <c r="CA114" s="19">
        <f>'P&amp;L - Inputs'!CZ499</f>
        <v>3170233.2431455487</v>
      </c>
      <c r="CB114" s="19">
        <f>'P&amp;L - Inputs'!DA499</f>
        <v>2919570.5396967498</v>
      </c>
      <c r="CC114" s="19">
        <f>'P&amp;L - Inputs'!DB499</f>
        <v>3473187.1845515342</v>
      </c>
      <c r="CD114" s="19">
        <f>'P&amp;L - Inputs'!DC499</f>
        <v>3558498.9314913531</v>
      </c>
      <c r="CE114" s="19">
        <f>'P&amp;L - Inputs'!DD499</f>
        <v>3309039.7848051437</v>
      </c>
      <c r="CF114" s="19">
        <f>'P&amp;L - Inputs'!DE499</f>
        <v>3849281.10147464</v>
      </c>
      <c r="CG114" s="19">
        <f>'P&amp;L - Inputs'!DF499</f>
        <v>3538859.1402875208</v>
      </c>
      <c r="CH114" s="19">
        <f>'P&amp;L - Inputs'!DG499</f>
        <v>3474291.1741487174</v>
      </c>
      <c r="CI114" s="19">
        <f>'P&amp;L - Inputs'!DH499</f>
        <v>3449016.8169499487</v>
      </c>
      <c r="CJ114" s="19">
        <f>'P&amp;L - Inputs'!DI499</f>
        <v>3732905.5075504687</v>
      </c>
      <c r="CK114" s="19">
        <f>'P&amp;L - Inputs'!DJ499</f>
        <v>3327886.106627733</v>
      </c>
      <c r="CL114" s="19">
        <f>'P&amp;L - Inputs'!DK499</f>
        <v>3082694.2290478037</v>
      </c>
      <c r="CM114" s="19">
        <f>'P&amp;L - Inputs'!DL499</f>
        <v>3835002.7073857784</v>
      </c>
      <c r="CN114" s="19">
        <f>'P&amp;L - Inputs'!DM499</f>
        <v>3512994.9217316075</v>
      </c>
      <c r="CO114" s="19">
        <f>'P&amp;L - Inputs'!DN499</f>
        <v>4165451.5359866554</v>
      </c>
      <c r="CP114" s="19">
        <f>'P&amp;L - Inputs'!DO499</f>
        <v>4250153.5948782759</v>
      </c>
      <c r="CQ114" s="19">
        <f>'P&amp;L - Inputs'!DP499</f>
        <v>3932468.2879523826</v>
      </c>
      <c r="CR114" s="19">
        <f>'P&amp;L - Inputs'!DQ499</f>
        <v>4525091.7066803835</v>
      </c>
      <c r="CS114" s="19">
        <f>'P&amp;L - Inputs'!DR499</f>
        <v>4032248.7851368045</v>
      </c>
      <c r="CT114" s="19">
        <f>'P&amp;L - Inputs'!DS499</f>
        <v>3954721.4074182254</v>
      </c>
      <c r="CU114" s="19">
        <f>'P&amp;L - Inputs'!DT499</f>
        <v>3923440.69475928</v>
      </c>
      <c r="CV114" s="19">
        <f>'P&amp;L - Inputs'!DU499</f>
        <v>4244974.3323632367</v>
      </c>
      <c r="CW114" s="19">
        <f>'P&amp;L - Inputs'!DV499</f>
        <v>3779472.3489526235</v>
      </c>
      <c r="CX114" s="19">
        <f>'P&amp;L - Inputs'!DW499</f>
        <v>3495857.5756683801</v>
      </c>
      <c r="CY114" s="19">
        <f>'P&amp;L - Inputs'!DX499</f>
        <v>4351294.5160452165</v>
      </c>
      <c r="CZ114" s="19">
        <f>'P&amp;L - Inputs'!DY499</f>
        <v>3982455.2594294134</v>
      </c>
      <c r="DA114" s="19">
        <f>'P&amp;L - Inputs'!DZ499</f>
        <v>4723506.525039644</v>
      </c>
      <c r="DB114" s="19">
        <f>'P&amp;L - Inputs'!EA499</f>
        <v>4818521.2077515665</v>
      </c>
      <c r="DC114" s="19">
        <f>'P&amp;L - Inputs'!EB499</f>
        <v>4454799.456556147</v>
      </c>
      <c r="DD114" s="19">
        <f>'P&amp;L - Inputs'!EC499</f>
        <v>5126984.9156404166</v>
      </c>
      <c r="DF114" s="19">
        <f t="shared" si="392"/>
        <v>5788549.2121789213</v>
      </c>
      <c r="DG114" s="19">
        <f t="shared" si="393"/>
        <v>9455781.308321584</v>
      </c>
      <c r="DH114" s="19">
        <f t="shared" si="394"/>
        <v>9345268.016254114</v>
      </c>
      <c r="DI114" s="19">
        <f t="shared" si="395"/>
        <v>6973908.8218364706</v>
      </c>
      <c r="DJ114" s="19">
        <f t="shared" si="396"/>
        <v>6913018.3777225818</v>
      </c>
      <c r="DK114" s="19">
        <f t="shared" si="397"/>
        <v>6906808.6482330812</v>
      </c>
      <c r="DL114" s="19">
        <f t="shared" si="398"/>
        <v>7377496.8464650884</v>
      </c>
      <c r="DM114" s="19">
        <f t="shared" si="399"/>
        <v>7135639.0239217617</v>
      </c>
      <c r="DN114" s="19">
        <f t="shared" si="400"/>
        <v>7944981.89086386</v>
      </c>
      <c r="DO114" s="19">
        <f t="shared" si="401"/>
        <v>8203552.0123588303</v>
      </c>
      <c r="DP114" s="19">
        <f t="shared" si="402"/>
        <v>9403310.4666571692</v>
      </c>
      <c r="DQ114" s="19">
        <f t="shared" si="403"/>
        <v>9697551.4461876005</v>
      </c>
      <c r="DR114" s="19">
        <f t="shared" si="404"/>
        <v>8555951.66054889</v>
      </c>
      <c r="DS114" s="19">
        <f t="shared" si="405"/>
        <v>8339300.4424486179</v>
      </c>
      <c r="DT114" s="19">
        <f t="shared" si="406"/>
        <v>9562990.9673938341</v>
      </c>
      <c r="DU114" s="19">
        <f t="shared" si="407"/>
        <v>10716819.817771137</v>
      </c>
      <c r="DV114" s="19">
        <f t="shared" si="408"/>
        <v>10462167.131386187</v>
      </c>
      <c r="DW114" s="19">
        <f t="shared" si="409"/>
        <v>10143485.843226004</v>
      </c>
      <c r="DX114" s="19">
        <f t="shared" si="410"/>
        <v>11513449.165104043</v>
      </c>
      <c r="DY114" s="19">
        <f t="shared" si="411"/>
        <v>12707713.589511042</v>
      </c>
      <c r="DZ114" s="19">
        <f t="shared" si="306"/>
        <v>11910410.88731431</v>
      </c>
      <c r="EA114" s="19">
        <f t="shared" si="307"/>
        <v>11520304.256984239</v>
      </c>
      <c r="EB114" s="19">
        <f t="shared" si="308"/>
        <v>13057256.300514273</v>
      </c>
      <c r="EC114" s="19">
        <f t="shared" si="309"/>
        <v>14400305.579948131</v>
      </c>
      <c r="EE114" s="19">
        <f t="shared" si="412"/>
        <v>31563507.358591091</v>
      </c>
      <c r="EF114" s="19">
        <f t="shared" si="413"/>
        <v>28332962.896342512</v>
      </c>
      <c r="EG114" s="19">
        <f t="shared" si="414"/>
        <v>35249395.816067457</v>
      </c>
      <c r="EH114" s="19">
        <f t="shared" si="415"/>
        <v>37175062.888162479</v>
      </c>
      <c r="EI114" s="19">
        <f t="shared" si="416"/>
        <v>44826815.729227275</v>
      </c>
      <c r="EJ114" s="770">
        <f t="shared" si="310"/>
        <v>50888277.024760947</v>
      </c>
    </row>
    <row r="115" spans="2:140" x14ac:dyDescent="0.2">
      <c r="B115" s="25" t="s">
        <v>202</v>
      </c>
      <c r="C115" s="19">
        <f>'P&amp;L - Inputs'!AB500</f>
        <v>202113.66918727109</v>
      </c>
      <c r="D115" s="19">
        <f>'P&amp;L - Inputs'!AC500</f>
        <v>135974.85644835344</v>
      </c>
      <c r="E115" s="19">
        <f>'P&amp;L - Inputs'!AD500</f>
        <v>205010.79902024515</v>
      </c>
      <c r="F115" s="19">
        <f>'P&amp;L - Inputs'!AE500</f>
        <v>291819.79291563312</v>
      </c>
      <c r="G115" s="19">
        <f>'P&amp;L - Inputs'!AF500</f>
        <v>232429.23193495983</v>
      </c>
      <c r="H115" s="19">
        <f>'P&amp;L - Inputs'!AG500</f>
        <v>267790.37627154146</v>
      </c>
      <c r="I115" s="19">
        <f>'P&amp;L - Inputs'!AH500</f>
        <v>306638.86998069502</v>
      </c>
      <c r="J115" s="19">
        <f>'P&amp;L - Inputs'!AI500</f>
        <v>122359.1865837081</v>
      </c>
      <c r="K115" s="19">
        <f>'P&amp;L - Inputs'!AJ500</f>
        <v>178737.16173723279</v>
      </c>
      <c r="L115" s="19">
        <f>'P&amp;L - Inputs'!AK500</f>
        <v>196794.01095097006</v>
      </c>
      <c r="M115" s="19">
        <f>'P&amp;L - Inputs'!AL500</f>
        <v>165370.90422855029</v>
      </c>
      <c r="N115" s="19">
        <f>'P&amp;L - Inputs'!AM500</f>
        <v>9462.9264536629107</v>
      </c>
      <c r="O115" s="19">
        <f>'P&amp;L - Inputs'!AN500</f>
        <v>121179.01058075135</v>
      </c>
      <c r="P115" s="19">
        <f>'P&amp;L - Inputs'!AO500</f>
        <v>271135.26600532787</v>
      </c>
      <c r="Q115" s="19">
        <f>'P&amp;L - Inputs'!AP500</f>
        <v>194946.91615899646</v>
      </c>
      <c r="R115" s="19">
        <f>'P&amp;L - Inputs'!AQ500</f>
        <v>274879.23599386308</v>
      </c>
      <c r="S115" s="19">
        <f>'P&amp;L - Inputs'!AR500</f>
        <v>282235.55349977879</v>
      </c>
      <c r="T115" s="19">
        <f>'P&amp;L - Inputs'!AS500</f>
        <v>567429.25100960024</v>
      </c>
      <c r="U115" s="19">
        <f>'P&amp;L - Inputs'!AT500</f>
        <v>642747.18662435492</v>
      </c>
      <c r="V115" s="19">
        <f>'P&amp;L - Inputs'!AU500</f>
        <v>426350.19922983687</v>
      </c>
      <c r="W115" s="19">
        <f>'P&amp;L - Inputs'!AV500</f>
        <v>377310.728423019</v>
      </c>
      <c r="X115" s="19">
        <f>'P&amp;L - Inputs'!AW500</f>
        <v>740635.07375087903</v>
      </c>
      <c r="Y115" s="19">
        <f>'P&amp;L - Inputs'!AX500</f>
        <v>641637.42258282623</v>
      </c>
      <c r="Z115" s="19">
        <f>'P&amp;L - Inputs'!AY500</f>
        <v>660863.81427825638</v>
      </c>
      <c r="AA115" s="19">
        <f>'P&amp;L - Inputs'!AZ500</f>
        <v>1044107.1745883987</v>
      </c>
      <c r="AB115" s="19">
        <f>'P&amp;L - Inputs'!BA500</f>
        <v>838406.57161029731</v>
      </c>
      <c r="AC115" s="19">
        <f>'P&amp;L - Inputs'!BB500</f>
        <v>851875.89548521326</v>
      </c>
      <c r="AD115" s="19">
        <f>'P&amp;L - Inputs'!BC500</f>
        <v>1080885.8194200525</v>
      </c>
      <c r="AE115" s="19">
        <f>'P&amp;L - Inputs'!BD500</f>
        <v>1291695.9507108473</v>
      </c>
      <c r="AF115" s="19">
        <f>'P&amp;L - Inputs'!BE500</f>
        <v>1423995.4709920136</v>
      </c>
      <c r="AG115" s="19">
        <f>'P&amp;L - Inputs'!BF500</f>
        <v>1532223.1429076775</v>
      </c>
      <c r="AH115" s="19">
        <f>'P&amp;L - Inputs'!BG500</f>
        <v>1743118.215113577</v>
      </c>
      <c r="AI115" s="19">
        <f>'P&amp;L - Inputs'!BH500</f>
        <v>1397305.8550427346</v>
      </c>
      <c r="AJ115" s="19">
        <f>'P&amp;L - Inputs'!BI500</f>
        <v>1230773.6309763563</v>
      </c>
      <c r="AK115" s="19">
        <f>'P&amp;L - Inputs'!BJ500</f>
        <v>1575373.1304237449</v>
      </c>
      <c r="AL115" s="19">
        <f>'P&amp;L - Inputs'!BK500</f>
        <v>1792832.6654286357</v>
      </c>
      <c r="AM115" s="19">
        <f>'P&amp;L - Inputs'!BL500</f>
        <v>1876600.8435355201</v>
      </c>
      <c r="AN115" s="19">
        <f>'P&amp;L - Inputs'!BM500</f>
        <v>2932310.5095933704</v>
      </c>
      <c r="AO115" s="19">
        <f>'P&amp;L - Inputs'!BN500</f>
        <v>2884011.8220205451</v>
      </c>
      <c r="AP115" s="19">
        <f>'P&amp;L - Inputs'!BO500</f>
        <v>2675674.2283771355</v>
      </c>
      <c r="AQ115" s="19">
        <f>'P&amp;L - Inputs'!BP500</f>
        <v>3783610.2765450827</v>
      </c>
      <c r="AR115" s="19">
        <f>'P&amp;L - Inputs'!BQ500</f>
        <v>3764510.9697649484</v>
      </c>
      <c r="AS115" s="19">
        <f>'P&amp;L - Inputs'!BR500</f>
        <v>3376802.1898450786</v>
      </c>
      <c r="AT115" s="19">
        <f>'P&amp;L - Inputs'!BS500</f>
        <v>3167198.2495689103</v>
      </c>
      <c r="AU115" s="19">
        <f>'P&amp;L - Inputs'!BT500</f>
        <v>3040524.5791929034</v>
      </c>
      <c r="AV115" s="19">
        <f>'P&amp;L - Inputs'!BU500</f>
        <v>3003457.5982859205</v>
      </c>
      <c r="AW115" s="19">
        <f>'P&amp;L - Inputs'!BV500</f>
        <v>2887697.4122117646</v>
      </c>
      <c r="AX115" s="19">
        <f>'P&amp;L - Inputs'!BW500</f>
        <v>2695837.9053092622</v>
      </c>
      <c r="AY115" s="19">
        <f>'P&amp;L - Inputs'!BX500</f>
        <v>2928141.3861029176</v>
      </c>
      <c r="AZ115" s="19">
        <f>'P&amp;L - Inputs'!BY500</f>
        <v>2792865.4552846616</v>
      </c>
      <c r="BA115" s="19">
        <f>'P&amp;L - Inputs'!BZ500</f>
        <v>2844354.9950240464</v>
      </c>
      <c r="BB115" s="19">
        <f>'P&amp;L - Inputs'!CA500</f>
        <v>2792559.0584683805</v>
      </c>
      <c r="BC115" s="19">
        <f>'P&amp;L - Inputs'!CB500</f>
        <v>3230792.4568696725</v>
      </c>
      <c r="BD115" s="19">
        <f>'P&amp;L - Inputs'!CC500</f>
        <v>3365675.4676676029</v>
      </c>
      <c r="BE115" s="19">
        <f>'P&amp;L - Inputs'!CD500</f>
        <v>3875554.0309949908</v>
      </c>
      <c r="BF115" s="19">
        <f>'P&amp;L - Inputs'!CE500</f>
        <v>3761947.1207919768</v>
      </c>
      <c r="BG115" s="19">
        <f>'P&amp;L - Inputs'!CF500</f>
        <v>3592438.5054667667</v>
      </c>
      <c r="BH115" s="19">
        <f>'P&amp;L - Inputs'!CG500</f>
        <v>3673813.4257474286</v>
      </c>
      <c r="BI115" s="19">
        <f>'P&amp;L - Inputs'!CH500</f>
        <v>4159202.7204967909</v>
      </c>
      <c r="BJ115" s="19">
        <f>'P&amp;L - Inputs'!CI500</f>
        <v>3802471.1804046417</v>
      </c>
      <c r="BK115" s="19">
        <f>'P&amp;L - Inputs'!CJ500</f>
        <v>4726762.4162153481</v>
      </c>
      <c r="BL115" s="19">
        <f>'P&amp;L - Inputs'!CK500</f>
        <v>4293049.1780442744</v>
      </c>
      <c r="BM115" s="19">
        <f>'P&amp;L - Inputs'!CL500</f>
        <v>4339964.73188393</v>
      </c>
      <c r="BN115" s="19">
        <f>'P&amp;L - Inputs'!CM500</f>
        <v>4764610.3094621273</v>
      </c>
      <c r="BO115" s="19">
        <f>'P&amp;L - Inputs'!CN500</f>
        <v>5292325.0245622471</v>
      </c>
      <c r="BP115" s="19">
        <f>'P&amp;L - Inputs'!CO500</f>
        <v>5107302.4683708549</v>
      </c>
      <c r="BQ115" s="19">
        <f>'P&amp;L - Inputs'!CP500</f>
        <v>5575503.1758274436</v>
      </c>
      <c r="BR115" s="19">
        <f>'P&amp;L - Inputs'!CQ500</f>
        <v>5264202.7297758125</v>
      </c>
      <c r="BS115" s="19">
        <f>'P&amp;L - Inputs'!CR500</f>
        <v>5233935.7090391088</v>
      </c>
      <c r="BT115" s="19">
        <f>'P&amp;L - Inputs'!CS500</f>
        <v>5821519.9295407217</v>
      </c>
      <c r="BU115" s="19">
        <f>'P&amp;L - Inputs'!CT500</f>
        <v>4853797.9978733649</v>
      </c>
      <c r="BV115" s="19">
        <f>'P&amp;L - Inputs'!CU500</f>
        <v>4753334.8012932148</v>
      </c>
      <c r="BW115" s="19">
        <f>'P&amp;L - Inputs'!CV500</f>
        <v>4743426.5752742076</v>
      </c>
      <c r="BX115" s="19">
        <f>'P&amp;L - Inputs'!CW500</f>
        <v>5136493.0636732755</v>
      </c>
      <c r="BY115" s="19">
        <f>'P&amp;L - Inputs'!CX500</f>
        <v>4589196.3970704582</v>
      </c>
      <c r="BZ115" s="19">
        <f>'P&amp;L - Inputs'!CY500</f>
        <v>4261489.3930673432</v>
      </c>
      <c r="CA115" s="19">
        <f>'P&amp;L - Inputs'!CZ500</f>
        <v>5317306.8515989659</v>
      </c>
      <c r="CB115" s="19">
        <f>'P&amp;L - Inputs'!DA500</f>
        <v>4896880.2115811026</v>
      </c>
      <c r="CC115" s="19">
        <f>'P&amp;L - Inputs'!DB500</f>
        <v>5825439.5171812</v>
      </c>
      <c r="CD115" s="19">
        <f>'P&amp;L - Inputs'!DC500</f>
        <v>5968529.5366634512</v>
      </c>
      <c r="CE115" s="19">
        <f>'P&amp;L - Inputs'!DD500</f>
        <v>5550121.5748087298</v>
      </c>
      <c r="CF115" s="19">
        <f>'P&amp;L - Inputs'!DE500</f>
        <v>6456246.9713720754</v>
      </c>
      <c r="CG115" s="19">
        <f>'P&amp;L - Inputs'!DF500</f>
        <v>5935588.4915343896</v>
      </c>
      <c r="CH115" s="19">
        <f>'P&amp;L - Inputs'!DG500</f>
        <v>5827291.1952751987</v>
      </c>
      <c r="CI115" s="19">
        <f>'P&amp;L - Inputs'!DH500</f>
        <v>5784899.5154221961</v>
      </c>
      <c r="CJ115" s="19">
        <f>'P&amp;L - Inputs'!DI500</f>
        <v>6261054.7897653021</v>
      </c>
      <c r="CK115" s="19">
        <f>'P&amp;L - Inputs'!DJ500</f>
        <v>5581731.7651224434</v>
      </c>
      <c r="CL115" s="19">
        <f>'P&amp;L - Inputs'!DK500</f>
        <v>5170481.1249901848</v>
      </c>
      <c r="CM115" s="19">
        <f>'P&amp;L - Inputs'!DL500</f>
        <v>6432298.3856070712</v>
      </c>
      <c r="CN115" s="19">
        <f>'P&amp;L - Inputs'!DM500</f>
        <v>5892207.4605531627</v>
      </c>
      <c r="CO115" s="19">
        <f>'P&amp;L - Inputs'!DN500</f>
        <v>6986547.1381937675</v>
      </c>
      <c r="CP115" s="19">
        <f>'P&amp;L - Inputs'!DO500</f>
        <v>7128614.5520229377</v>
      </c>
      <c r="CQ115" s="19">
        <f>'P&amp;L - Inputs'!DP500</f>
        <v>6595773.5496071996</v>
      </c>
      <c r="CR115" s="19">
        <f>'P&amp;L - Inputs'!DQ500</f>
        <v>7589757.3744988283</v>
      </c>
      <c r="CS115" s="19">
        <f>'P&amp;L - Inputs'!DR500</f>
        <v>6763131.431706829</v>
      </c>
      <c r="CT115" s="19">
        <f>'P&amp;L - Inputs'!DS500</f>
        <v>6633097.8268858548</v>
      </c>
      <c r="CU115" s="19">
        <f>'P&amp;L - Inputs'!DT500</f>
        <v>6580631.9245413085</v>
      </c>
      <c r="CV115" s="19">
        <f>'P&amp;L - Inputs'!DU500</f>
        <v>7119927.5798208173</v>
      </c>
      <c r="CW115" s="19">
        <f>'P&amp;L - Inputs'!DV500</f>
        <v>6339159.5113596413</v>
      </c>
      <c r="CX115" s="19">
        <f>'P&amp;L - Inputs'!DW500</f>
        <v>5863463.6676990436</v>
      </c>
      <c r="CY115" s="19">
        <f>'P&amp;L - Inputs'!DX500</f>
        <v>7298254.2194703724</v>
      </c>
      <c r="CZ115" s="19">
        <f>'P&amp;L - Inputs'!DY500</f>
        <v>6679614.7201268096</v>
      </c>
      <c r="DA115" s="19">
        <f>'P&amp;L - Inputs'!DZ500</f>
        <v>7922550.7030028366</v>
      </c>
      <c r="DB115" s="19">
        <f>'P&amp;L - Inputs'!EA500</f>
        <v>8081915.0729522593</v>
      </c>
      <c r="DC115" s="19">
        <f>'P&amp;L - Inputs'!EB500</f>
        <v>7471858.9630781421</v>
      </c>
      <c r="DD115" s="19">
        <f>'P&amp;L - Inputs'!EC500</f>
        <v>8599289.0519720428</v>
      </c>
      <c r="DF115" s="19">
        <f t="shared" si="392"/>
        <v>5244806.6393879009</v>
      </c>
      <c r="DG115" s="19">
        <f t="shared" si="393"/>
        <v>8491996.5599910505</v>
      </c>
      <c r="DH115" s="19">
        <f t="shared" si="394"/>
        <v>10924923.436155111</v>
      </c>
      <c r="DI115" s="19">
        <f t="shared" si="395"/>
        <v>9211180.4270477351</v>
      </c>
      <c r="DJ115" s="19">
        <f t="shared" si="396"/>
        <v>8511676.703623943</v>
      </c>
      <c r="DK115" s="19">
        <f t="shared" si="397"/>
        <v>8429779.5087770894</v>
      </c>
      <c r="DL115" s="19">
        <f t="shared" si="398"/>
        <v>10472021.955532266</v>
      </c>
      <c r="DM115" s="19">
        <f t="shared" si="399"/>
        <v>11028199.052006172</v>
      </c>
      <c r="DN115" s="19">
        <f t="shared" si="400"/>
        <v>12688436.317116782</v>
      </c>
      <c r="DO115" s="19">
        <f t="shared" si="401"/>
        <v>13397624.219390333</v>
      </c>
      <c r="DP115" s="19">
        <f t="shared" si="402"/>
        <v>15975130.668760546</v>
      </c>
      <c r="DQ115" s="19">
        <f t="shared" si="403"/>
        <v>16319658.368355643</v>
      </c>
      <c r="DR115" s="19">
        <f t="shared" si="404"/>
        <v>14350559.374440785</v>
      </c>
      <c r="DS115" s="19">
        <f t="shared" si="405"/>
        <v>13987178.853811076</v>
      </c>
      <c r="DT115" s="19">
        <f t="shared" si="406"/>
        <v>16039626.580361269</v>
      </c>
      <c r="DU115" s="19">
        <f t="shared" si="407"/>
        <v>17974898.082844257</v>
      </c>
      <c r="DV115" s="19">
        <f t="shared" si="408"/>
        <v>17547779.202231783</v>
      </c>
      <c r="DW115" s="19">
        <f t="shared" si="409"/>
        <v>17013267.679877929</v>
      </c>
      <c r="DX115" s="19">
        <f t="shared" si="410"/>
        <v>19311052.984354001</v>
      </c>
      <c r="DY115" s="19">
        <f t="shared" si="411"/>
        <v>21314145.476128966</v>
      </c>
      <c r="DZ115" s="19">
        <f t="shared" si="306"/>
        <v>19976861.183133993</v>
      </c>
      <c r="EA115" s="19">
        <f t="shared" si="307"/>
        <v>19322550.758879501</v>
      </c>
      <c r="EB115" s="19">
        <f t="shared" si="308"/>
        <v>21900419.642600019</v>
      </c>
      <c r="EC115" s="19">
        <f t="shared" si="309"/>
        <v>24153063.088002443</v>
      </c>
      <c r="EE115" s="19">
        <f t="shared" si="412"/>
        <v>33872907.0625818</v>
      </c>
      <c r="EF115" s="19">
        <f t="shared" si="413"/>
        <v>38441677.21993947</v>
      </c>
      <c r="EG115" s="19">
        <f t="shared" si="414"/>
        <v>58380849.5736233</v>
      </c>
      <c r="EH115" s="19">
        <f t="shared" si="415"/>
        <v>62352262.891457386</v>
      </c>
      <c r="EI115" s="19">
        <f t="shared" si="416"/>
        <v>75186245.342592686</v>
      </c>
      <c r="EJ115" s="770">
        <f t="shared" si="310"/>
        <v>85352894.67261596</v>
      </c>
    </row>
    <row r="116" spans="2:140" x14ac:dyDescent="0.2">
      <c r="B116" s="190" t="s">
        <v>203</v>
      </c>
      <c r="C116" s="19">
        <f>'P&amp;L - Inputs'!AB501</f>
        <v>464690.21313559316</v>
      </c>
      <c r="D116" s="19">
        <f>'P&amp;L - Inputs'!AC501</f>
        <v>413859.96452380955</v>
      </c>
      <c r="E116" s="19">
        <f>'P&amp;L - Inputs'!AD501</f>
        <v>524049.20338983042</v>
      </c>
      <c r="F116" s="19">
        <f>'P&amp;L - Inputs'!AE501</f>
        <v>442709.63135593222</v>
      </c>
      <c r="G116" s="19">
        <f>'P&amp;L - Inputs'!AF501</f>
        <v>417746.18644067796</v>
      </c>
      <c r="H116" s="19">
        <f>'P&amp;L - Inputs'!AG501</f>
        <v>402297.83898305084</v>
      </c>
      <c r="I116" s="19">
        <f>'P&amp;L - Inputs'!AH501</f>
        <v>404381.31355932198</v>
      </c>
      <c r="J116" s="19">
        <f>'P&amp;L - Inputs'!AI501</f>
        <v>402682.62711864407</v>
      </c>
      <c r="K116" s="19">
        <f>'P&amp;L - Inputs'!AJ501</f>
        <v>366026.7</v>
      </c>
      <c r="L116" s="19">
        <f>'P&amp;L - Inputs'!AK501</f>
        <v>486624.78813559317</v>
      </c>
      <c r="M116" s="19">
        <f>'P&amp;L - Inputs'!AL501</f>
        <v>305035.04237288132</v>
      </c>
      <c r="N116" s="19">
        <f>'P&amp;L - Inputs'!AM501</f>
        <v>0</v>
      </c>
      <c r="O116" s="19">
        <f>'P&amp;L - Inputs'!AN501</f>
        <v>548735.97457627114</v>
      </c>
      <c r="P116" s="19">
        <f>'P&amp;L - Inputs'!AO501</f>
        <v>763259.1101694915</v>
      </c>
      <c r="Q116" s="19">
        <f>'P&amp;L - Inputs'!AP501</f>
        <v>703194.6610169491</v>
      </c>
      <c r="R116" s="19">
        <f>'P&amp;L - Inputs'!AQ501</f>
        <v>865866.6101694915</v>
      </c>
      <c r="S116" s="19">
        <f>'P&amp;L - Inputs'!AR501</f>
        <v>823447.88135593222</v>
      </c>
      <c r="T116" s="19">
        <f>'P&amp;L - Inputs'!AS501</f>
        <v>868552.11864406778</v>
      </c>
      <c r="U116" s="19">
        <f>'P&amp;L - Inputs'!AT501</f>
        <v>1245917.0262711863</v>
      </c>
      <c r="V116" s="19">
        <f>'P&amp;L - Inputs'!AU501</f>
        <v>1235270.720338983</v>
      </c>
      <c r="W116" s="19">
        <f>'P&amp;L - Inputs'!AV501</f>
        <v>1234301.3135593219</v>
      </c>
      <c r="X116" s="19">
        <f>'P&amp;L - Inputs'!AW501</f>
        <v>1140131.9491525423</v>
      </c>
      <c r="Y116" s="19">
        <f>'P&amp;L - Inputs'!AX501</f>
        <v>1408098.9406779662</v>
      </c>
      <c r="Z116" s="19">
        <f>'P&amp;L - Inputs'!AY501</f>
        <v>1617440.720338983</v>
      </c>
      <c r="AA116" s="19">
        <f>'P&amp;L - Inputs'!AZ501</f>
        <v>1635311.5677966101</v>
      </c>
      <c r="AB116" s="19">
        <f>'P&amp;L - Inputs'!BA501</f>
        <v>1920910.5508474577</v>
      </c>
      <c r="AC116" s="19">
        <f>'P&amp;L - Inputs'!BB501</f>
        <v>2016212.7966101696</v>
      </c>
      <c r="AD116" s="19">
        <f>'P&amp;L - Inputs'!BC501</f>
        <v>1893172.6271186438</v>
      </c>
      <c r="AE116" s="19">
        <f>'P&amp;L - Inputs'!BD501</f>
        <v>1806322.7542372879</v>
      </c>
      <c r="AF116" s="19">
        <f>'P&amp;L - Inputs'!BE501</f>
        <v>1906505.9745762711</v>
      </c>
      <c r="AG116" s="19">
        <f>'P&amp;L - Inputs'!BF501</f>
        <v>1921347.3305084745</v>
      </c>
      <c r="AH116" s="19">
        <f>'P&amp;L - Inputs'!BG501</f>
        <v>2040918.3050847456</v>
      </c>
      <c r="AI116" s="19">
        <f>'P&amp;L - Inputs'!BH501</f>
        <v>1922137.8813559322</v>
      </c>
      <c r="AJ116" s="19">
        <f>'P&amp;L - Inputs'!BI501</f>
        <v>2023275.7627118644</v>
      </c>
      <c r="AK116" s="19">
        <f>'P&amp;L - Inputs'!BJ501</f>
        <v>2091748.4745762711</v>
      </c>
      <c r="AL116" s="19">
        <f>'P&amp;L - Inputs'!BK501</f>
        <v>2194290.8898305083</v>
      </c>
      <c r="AM116" s="19">
        <f>'P&amp;L - Inputs'!BL501</f>
        <v>2305587.3305084747</v>
      </c>
      <c r="AN116" s="19">
        <f>'P&amp;L - Inputs'!BM501</f>
        <v>2480884.0677966103</v>
      </c>
      <c r="AO116" s="19">
        <f>'P&amp;L - Inputs'!BN501</f>
        <v>2507427.7118644067</v>
      </c>
      <c r="AP116" s="19">
        <f>'P&amp;L - Inputs'!BO501</f>
        <v>2173633.3474576268</v>
      </c>
      <c r="AQ116" s="19">
        <f>'P&amp;L - Inputs'!BP501</f>
        <v>2226024.5338983047</v>
      </c>
      <c r="AR116" s="19">
        <f>'P&amp;L - Inputs'!BQ501</f>
        <v>1850930.9745762711</v>
      </c>
      <c r="AS116" s="19">
        <f>'P&amp;L - Inputs'!BR501</f>
        <v>1859126.1864406778</v>
      </c>
      <c r="AT116" s="19">
        <f>'P&amp;L - Inputs'!BS501</f>
        <v>1828529.7457627119</v>
      </c>
      <c r="AU116" s="19">
        <f>'P&amp;L - Inputs'!BT501</f>
        <v>1843272.7118644067</v>
      </c>
      <c r="AV116" s="19">
        <f>'P&amp;L - Inputs'!BU501</f>
        <v>2147163.6864406778</v>
      </c>
      <c r="AW116" s="19">
        <f>'P&amp;L - Inputs'!BV501</f>
        <v>2283013.7288135593</v>
      </c>
      <c r="AX116" s="19">
        <f>'P&amp;L - Inputs'!BW501</f>
        <v>2448660.3813559324</v>
      </c>
      <c r="AY116" s="19">
        <f>'P&amp;L - Inputs'!BX501</f>
        <v>2643770.3389830505</v>
      </c>
      <c r="AZ116" s="19">
        <f>'P&amp;L - Inputs'!BY501</f>
        <v>2818794.5084745758</v>
      </c>
      <c r="BA116" s="19">
        <f>'P&amp;L - Inputs'!BZ501</f>
        <v>2748113.8983050846</v>
      </c>
      <c r="BB116" s="19">
        <f>'P&amp;L - Inputs'!CA501</f>
        <v>2646348.1779661016</v>
      </c>
      <c r="BC116" s="19">
        <f>'P&amp;L - Inputs'!CB501</f>
        <v>2695889.9593220339</v>
      </c>
      <c r="BD116" s="19">
        <f>'P&amp;L - Inputs'!CC501</f>
        <v>2447775.8796610171</v>
      </c>
      <c r="BE116" s="19">
        <f>'P&amp;L - Inputs'!CD501</f>
        <v>2847536.5525423726</v>
      </c>
      <c r="BF116" s="19">
        <f>'P&amp;L - Inputs'!CE501</f>
        <v>2707648.7898305082</v>
      </c>
      <c r="BG116" s="19">
        <f>'P&amp;L - Inputs'!CF501</f>
        <v>2366941.8305084743</v>
      </c>
      <c r="BH116" s="19">
        <f>'P&amp;L - Inputs'!CG501</f>
        <v>3140832.0406779661</v>
      </c>
      <c r="BI116" s="19">
        <f>'P&amp;L - Inputs'!CH501</f>
        <v>2898238.6016949154</v>
      </c>
      <c r="BJ116" s="19">
        <f>'P&amp;L - Inputs'!CI501</f>
        <v>2990955.5084745758</v>
      </c>
      <c r="BK116" s="19">
        <f>'P&amp;L - Inputs'!CJ501</f>
        <v>3005626.1949152541</v>
      </c>
      <c r="BL116" s="19">
        <f>'P&amp;L - Inputs'!CK501</f>
        <v>3395868.7766949153</v>
      </c>
      <c r="BM116" s="19">
        <f>'P&amp;L - Inputs'!CL501</f>
        <v>3815735.7546610166</v>
      </c>
      <c r="BN116" s="19">
        <f>'P&amp;L - Inputs'!CM501</f>
        <v>3196792.8597457628</v>
      </c>
      <c r="BO116" s="19">
        <f>'P&amp;L - Inputs'!CN501</f>
        <v>3263023.8203389831</v>
      </c>
      <c r="BP116" s="19">
        <f>'P&amp;L - Inputs'!CO501</f>
        <v>3383415.2656779662</v>
      </c>
      <c r="BQ116" s="19">
        <f>'P&amp;L - Inputs'!CP501</f>
        <v>4087288.136440678</v>
      </c>
      <c r="BR116" s="19">
        <f>'P&amp;L - Inputs'!CQ501</f>
        <v>4051531.2826271183</v>
      </c>
      <c r="BS116" s="19">
        <f>'P&amp;L - Inputs'!CR501</f>
        <v>3960259.9372881353</v>
      </c>
      <c r="BT116" s="19">
        <f>'P&amp;L - Inputs'!CS501</f>
        <v>6747075.8466101699</v>
      </c>
      <c r="BU116" s="19">
        <f>'P&amp;L - Inputs'!CT501</f>
        <v>5625497.0578379268</v>
      </c>
      <c r="BV116" s="19">
        <f>'P&amp;L - Inputs'!CU501</f>
        <v>5509061.3476929544</v>
      </c>
      <c r="BW116" s="19">
        <f>'P&amp;L - Inputs'!CV501</f>
        <v>5497577.8256463548</v>
      </c>
      <c r="BX116" s="19">
        <f>'P&amp;L - Inputs'!CW501</f>
        <v>5953137.4461728893</v>
      </c>
      <c r="BY116" s="19">
        <f>'P&amp;L - Inputs'!CX501</f>
        <v>5318826.7910760771</v>
      </c>
      <c r="BZ116" s="19">
        <f>'P&amp;L - Inputs'!CY501</f>
        <v>4939018.0747553483</v>
      </c>
      <c r="CA116" s="19">
        <f>'P&amp;L - Inputs'!CZ501</f>
        <v>6162698.5841597123</v>
      </c>
      <c r="CB116" s="19">
        <f>'P&amp;L - Inputs'!DA501</f>
        <v>5675428.8569289083</v>
      </c>
      <c r="CC116" s="19">
        <f>'P&amp;L - Inputs'!DB501</f>
        <v>6751618.604415318</v>
      </c>
      <c r="CD116" s="19">
        <f>'P&amp;L - Inputs'!DC501</f>
        <v>6917458.3208509954</v>
      </c>
      <c r="CE116" s="19">
        <f>'P&amp;L - Inputs'!DD501</f>
        <v>6432528.2188111143</v>
      </c>
      <c r="CF116" s="19">
        <f>'P&amp;L - Inputs'!DE501</f>
        <v>7482717.3191059129</v>
      </c>
      <c r="CG116" s="19">
        <f>'P&amp;L - Inputs'!DF501</f>
        <v>6879280.0216022758</v>
      </c>
      <c r="CH116" s="19">
        <f>'P&amp;L - Inputs'!DG501</f>
        <v>6753764.6784123024</v>
      </c>
      <c r="CI116" s="19">
        <f>'P&amp;L - Inputs'!DH501</f>
        <v>6704633.2002596557</v>
      </c>
      <c r="CJ116" s="19">
        <f>'P&amp;L - Inputs'!DI501</f>
        <v>7256491.7852408923</v>
      </c>
      <c r="CK116" s="19">
        <f>'P&amp;L - Inputs'!DJ501</f>
        <v>6469164.0723603154</v>
      </c>
      <c r="CL116" s="19">
        <f>'P&amp;L - Inputs'!DK501</f>
        <v>5992529.2253576973</v>
      </c>
      <c r="CM116" s="19">
        <f>'P&amp;L - Inputs'!DL501</f>
        <v>7454961.1786939241</v>
      </c>
      <c r="CN116" s="19">
        <f>'P&amp;L - Inputs'!DM501</f>
        <v>6829001.8966663415</v>
      </c>
      <c r="CO116" s="19">
        <f>'P&amp;L - Inputs'!DN501</f>
        <v>8097329.2229250353</v>
      </c>
      <c r="CP116" s="19">
        <f>'P&amp;L - Inputs'!DO501</f>
        <v>8261983.7509587118</v>
      </c>
      <c r="CQ116" s="19">
        <f>'P&amp;L - Inputs'!DP501</f>
        <v>7644427.0473838067</v>
      </c>
      <c r="CR116" s="19">
        <f>'P&amp;L - Inputs'!DQ501</f>
        <v>8796443.073785454</v>
      </c>
      <c r="CS116" s="19">
        <f>'P&amp;L - Inputs'!DR501</f>
        <v>7838392.942497272</v>
      </c>
      <c r="CT116" s="19">
        <f>'P&amp;L - Inputs'!DS501</f>
        <v>7687685.4631870603</v>
      </c>
      <c r="CU116" s="19">
        <f>'P&amp;L - Inputs'!DT501</f>
        <v>7626878.074951008</v>
      </c>
      <c r="CV116" s="19">
        <f>'P&amp;L - Inputs'!DU501</f>
        <v>8251915.6482923133</v>
      </c>
      <c r="CW116" s="19">
        <f>'P&amp;L - Inputs'!DV501</f>
        <v>7347014.2754072985</v>
      </c>
      <c r="CX116" s="19">
        <f>'P&amp;L - Inputs'!DW501</f>
        <v>6795688.1653980035</v>
      </c>
      <c r="CY116" s="19">
        <f>'P&amp;L - Inputs'!DX501</f>
        <v>8458594.2095184345</v>
      </c>
      <c r="CZ116" s="19">
        <f>'P&amp;L - Inputs'!DY501</f>
        <v>7741598.0170637155</v>
      </c>
      <c r="DA116" s="19">
        <f>'P&amp;L - Inputs'!DZ501</f>
        <v>9182146.7827547267</v>
      </c>
      <c r="DB116" s="19">
        <f>'P&amp;L - Inputs'!EA501</f>
        <v>9366848.2875696104</v>
      </c>
      <c r="DC116" s="19">
        <f>'P&amp;L - Inputs'!EB501</f>
        <v>8659800.1465640441</v>
      </c>
      <c r="DD116" s="19">
        <f>'P&amp;L - Inputs'!EC501</f>
        <v>9966478.8857224137</v>
      </c>
      <c r="DF116" s="19">
        <f t="shared" si="392"/>
        <v>6591626.6949152537</v>
      </c>
      <c r="DG116" s="19">
        <f t="shared" si="393"/>
        <v>7161945.1271186434</v>
      </c>
      <c r="DH116" s="19">
        <f t="shared" si="394"/>
        <v>5936081.6949152537</v>
      </c>
      <c r="DI116" s="19">
        <f t="shared" si="395"/>
        <v>5818966.1440677959</v>
      </c>
      <c r="DJ116" s="19">
        <f t="shared" si="396"/>
        <v>7375444.4491525423</v>
      </c>
      <c r="DK116" s="19">
        <f t="shared" si="397"/>
        <v>8213256.584745761</v>
      </c>
      <c r="DL116" s="19">
        <f t="shared" si="398"/>
        <v>7991202.3915254241</v>
      </c>
      <c r="DM116" s="19">
        <f t="shared" si="399"/>
        <v>8215422.6610169485</v>
      </c>
      <c r="DN116" s="19">
        <f t="shared" si="400"/>
        <v>8894820.3050847445</v>
      </c>
      <c r="DO116" s="19">
        <f t="shared" si="401"/>
        <v>10408397.391101696</v>
      </c>
      <c r="DP116" s="19">
        <f t="shared" si="402"/>
        <v>10733727.222457627</v>
      </c>
      <c r="DQ116" s="19">
        <f t="shared" si="403"/>
        <v>14758867.066525424</v>
      </c>
      <c r="DR116" s="19">
        <f t="shared" si="404"/>
        <v>16632136.231177237</v>
      </c>
      <c r="DS116" s="19">
        <f t="shared" si="405"/>
        <v>16210982.312004315</v>
      </c>
      <c r="DT116" s="19">
        <f t="shared" si="406"/>
        <v>18589746.045503937</v>
      </c>
      <c r="DU116" s="19">
        <f t="shared" si="407"/>
        <v>20832703.858768024</v>
      </c>
      <c r="DV116" s="19">
        <f t="shared" si="408"/>
        <v>20337677.900274232</v>
      </c>
      <c r="DW116" s="19">
        <f t="shared" si="409"/>
        <v>19718185.082958903</v>
      </c>
      <c r="DX116" s="19">
        <f t="shared" si="410"/>
        <v>22381292.298285298</v>
      </c>
      <c r="DY116" s="19">
        <f t="shared" si="411"/>
        <v>24702853.872127973</v>
      </c>
      <c r="DZ116" s="19">
        <f t="shared" si="306"/>
        <v>23152956.480635341</v>
      </c>
      <c r="EA116" s="19">
        <f t="shared" si="307"/>
        <v>22394618.089097615</v>
      </c>
      <c r="EB116" s="19">
        <f t="shared" si="308"/>
        <v>25382339.009336878</v>
      </c>
      <c r="EC116" s="19">
        <f t="shared" si="309"/>
        <v>27993127.31985607</v>
      </c>
      <c r="EE116" s="19">
        <f t="shared" si="412"/>
        <v>25508619.661016949</v>
      </c>
      <c r="EF116" s="19">
        <f t="shared" si="413"/>
        <v>31795326.086440675</v>
      </c>
      <c r="EG116" s="19">
        <f t="shared" si="414"/>
        <v>44795811.985169485</v>
      </c>
      <c r="EH116" s="19">
        <f t="shared" si="415"/>
        <v>72265568.447453514</v>
      </c>
      <c r="EI116" s="19">
        <f t="shared" si="416"/>
        <v>87140009.15364641</v>
      </c>
      <c r="EJ116" s="770">
        <f t="shared" si="310"/>
        <v>98923040.8989259</v>
      </c>
    </row>
    <row r="117" spans="2:140" x14ac:dyDescent="0.2">
      <c r="B117" s="13" t="s">
        <v>219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>
        <f t="shared" si="306"/>
        <v>0</v>
      </c>
      <c r="EA117" s="10">
        <f t="shared" si="307"/>
        <v>0</v>
      </c>
      <c r="EB117" s="10">
        <f t="shared" si="308"/>
        <v>0</v>
      </c>
      <c r="EC117" s="10">
        <f t="shared" si="309"/>
        <v>0</v>
      </c>
      <c r="EE117" s="10"/>
      <c r="EF117" s="10"/>
      <c r="EG117" s="10"/>
      <c r="EH117" s="10"/>
      <c r="EI117" s="10"/>
      <c r="EJ117" s="812">
        <f t="shared" si="310"/>
        <v>0</v>
      </c>
    </row>
    <row r="118" spans="2:140" x14ac:dyDescent="0.2">
      <c r="B118" s="21" t="s">
        <v>27</v>
      </c>
      <c r="C118" s="161">
        <f>C102/C74</f>
        <v>0.73828714647165794</v>
      </c>
      <c r="D118" s="161">
        <f t="shared" ref="D118:BO118" si="420">D102/D74</f>
        <v>0.70745540339961777</v>
      </c>
      <c r="E118" s="161">
        <f t="shared" si="420"/>
        <v>0.75666322417369947</v>
      </c>
      <c r="F118" s="161">
        <f t="shared" si="420"/>
        <v>0.79087640425298866</v>
      </c>
      <c r="G118" s="161">
        <f t="shared" si="420"/>
        <v>0.82089400516306488</v>
      </c>
      <c r="H118" s="161">
        <f t="shared" si="420"/>
        <v>0.83913022271722659</v>
      </c>
      <c r="I118" s="161">
        <f t="shared" si="420"/>
        <v>0.85627379116909408</v>
      </c>
      <c r="J118" s="161">
        <f t="shared" si="420"/>
        <v>0.82833433892018349</v>
      </c>
      <c r="K118" s="161">
        <f t="shared" si="420"/>
        <v>0.81830776618868672</v>
      </c>
      <c r="L118" s="161">
        <f t="shared" si="420"/>
        <v>0.77846603980810547</v>
      </c>
      <c r="M118" s="161">
        <f t="shared" si="420"/>
        <v>0.77899153235656637</v>
      </c>
      <c r="N118" s="161">
        <f t="shared" si="420"/>
        <v>0.80332461585930059</v>
      </c>
      <c r="O118" s="161">
        <f t="shared" si="420"/>
        <v>0.73978313209348812</v>
      </c>
      <c r="P118" s="161">
        <f t="shared" si="420"/>
        <v>0.73268200582039023</v>
      </c>
      <c r="Q118" s="161">
        <f t="shared" si="420"/>
        <v>0.74913060050750702</v>
      </c>
      <c r="R118" s="161">
        <f t="shared" si="420"/>
        <v>0.7925907552999375</v>
      </c>
      <c r="S118" s="161">
        <f t="shared" si="420"/>
        <v>0.80118006214886373</v>
      </c>
      <c r="T118" s="161">
        <f t="shared" si="420"/>
        <v>0.77161111973654761</v>
      </c>
      <c r="U118" s="161">
        <f t="shared" si="420"/>
        <v>0.78297909227648432</v>
      </c>
      <c r="V118" s="161">
        <f t="shared" si="420"/>
        <v>0.81165919923588836</v>
      </c>
      <c r="W118" s="161">
        <f t="shared" si="420"/>
        <v>0.79962831051285399</v>
      </c>
      <c r="X118" s="161">
        <f t="shared" si="420"/>
        <v>0.80530387412928162</v>
      </c>
      <c r="Y118" s="161">
        <f t="shared" si="420"/>
        <v>0.79624009980220301</v>
      </c>
      <c r="Z118" s="161">
        <f t="shared" si="420"/>
        <v>0.816845852413986</v>
      </c>
      <c r="AA118" s="161">
        <f t="shared" si="420"/>
        <v>0.82066103682440161</v>
      </c>
      <c r="AB118" s="161">
        <f t="shared" si="420"/>
        <v>0.80885948775985783</v>
      </c>
      <c r="AC118" s="161">
        <f t="shared" si="420"/>
        <v>0.83388918892785635</v>
      </c>
      <c r="AD118" s="161">
        <f t="shared" si="420"/>
        <v>0.86204713672559663</v>
      </c>
      <c r="AE118" s="161">
        <f t="shared" si="420"/>
        <v>0.85229870356412651</v>
      </c>
      <c r="AF118" s="161">
        <f t="shared" si="420"/>
        <v>0.84853919863141103</v>
      </c>
      <c r="AG118" s="161">
        <f t="shared" si="420"/>
        <v>0.84246386568313858</v>
      </c>
      <c r="AH118" s="161">
        <f t="shared" si="420"/>
        <v>0.83328995212749835</v>
      </c>
      <c r="AI118" s="161">
        <f t="shared" si="420"/>
        <v>0.82422005539434728</v>
      </c>
      <c r="AJ118" s="161">
        <f t="shared" si="420"/>
        <v>0.83359804309518259</v>
      </c>
      <c r="AK118" s="161">
        <f t="shared" si="420"/>
        <v>0.85459383823160584</v>
      </c>
      <c r="AL118" s="161">
        <f t="shared" si="420"/>
        <v>0.84463817081976167</v>
      </c>
      <c r="AM118" s="161">
        <f t="shared" si="420"/>
        <v>0.83193423854250581</v>
      </c>
      <c r="AN118" s="161">
        <f t="shared" si="420"/>
        <v>0.83076148061963873</v>
      </c>
      <c r="AO118" s="161">
        <f t="shared" si="420"/>
        <v>0.82725428019238545</v>
      </c>
      <c r="AP118" s="161">
        <f t="shared" si="420"/>
        <v>0.84318867827881072</v>
      </c>
      <c r="AQ118" s="161">
        <f t="shared" si="420"/>
        <v>0.85620978455214325</v>
      </c>
      <c r="AR118" s="161">
        <f t="shared" si="420"/>
        <v>0.84362450748914442</v>
      </c>
      <c r="AS118" s="161">
        <f t="shared" si="420"/>
        <v>0.83296732616961611</v>
      </c>
      <c r="AT118" s="161">
        <f t="shared" si="420"/>
        <v>0.82305980600788897</v>
      </c>
      <c r="AU118" s="161">
        <f t="shared" si="420"/>
        <v>0.78009944062285141</v>
      </c>
      <c r="AV118" s="161">
        <f t="shared" si="420"/>
        <v>0.7915376511020058</v>
      </c>
      <c r="AW118" s="161">
        <f t="shared" si="420"/>
        <v>0.81175812418101123</v>
      </c>
      <c r="AX118" s="161">
        <f t="shared" si="420"/>
        <v>0.79092455829773445</v>
      </c>
      <c r="AY118" s="161">
        <f t="shared" si="420"/>
        <v>0.79372548639507889</v>
      </c>
      <c r="AZ118" s="161">
        <f t="shared" si="420"/>
        <v>0.79112040955746277</v>
      </c>
      <c r="BA118" s="161">
        <f t="shared" si="420"/>
        <v>0.78383761896849014</v>
      </c>
      <c r="BB118" s="161">
        <f t="shared" si="420"/>
        <v>0.79784278356475646</v>
      </c>
      <c r="BC118" s="161">
        <f t="shared" si="420"/>
        <v>0.79741402704748876</v>
      </c>
      <c r="BD118" s="161">
        <f t="shared" si="420"/>
        <v>0.793430807385888</v>
      </c>
      <c r="BE118" s="161">
        <f t="shared" si="420"/>
        <v>0.80165183659694228</v>
      </c>
      <c r="BF118" s="161">
        <f t="shared" si="420"/>
        <v>0.80730316495919963</v>
      </c>
      <c r="BG118" s="161">
        <f t="shared" si="420"/>
        <v>0.80627995072629888</v>
      </c>
      <c r="BH118" s="161">
        <f t="shared" si="420"/>
        <v>0.80367492000193208</v>
      </c>
      <c r="BI118" s="161">
        <f t="shared" si="420"/>
        <v>0.80231035652752603</v>
      </c>
      <c r="BJ118" s="161">
        <f t="shared" si="420"/>
        <v>0.80632739826660194</v>
      </c>
      <c r="BK118" s="161">
        <f t="shared" si="420"/>
        <v>0.79215375670263921</v>
      </c>
      <c r="BL118" s="161">
        <f t="shared" si="420"/>
        <v>0.80238148987553815</v>
      </c>
      <c r="BM118" s="161">
        <f t="shared" si="420"/>
        <v>0.78025925242809457</v>
      </c>
      <c r="BN118" s="161">
        <f t="shared" si="420"/>
        <v>0.78803799019175036</v>
      </c>
      <c r="BO118" s="161">
        <f t="shared" si="420"/>
        <v>0.78319568605949008</v>
      </c>
      <c r="BP118" s="161">
        <f t="shared" ref="BP118:BT118" si="421">BP102/BP74</f>
        <v>0.78509773782921766</v>
      </c>
      <c r="BQ118" s="161">
        <f t="shared" si="421"/>
        <v>0.80853102876538618</v>
      </c>
      <c r="BR118" s="161">
        <f t="shared" si="421"/>
        <v>0.80611407759029652</v>
      </c>
      <c r="BS118" s="161">
        <f t="shared" si="421"/>
        <v>0.81393477495840816</v>
      </c>
      <c r="BT118" s="161">
        <f t="shared" si="421"/>
        <v>0.82568533514101272</v>
      </c>
      <c r="BU118" s="161">
        <f>BT118</f>
        <v>0.82568533514101272</v>
      </c>
      <c r="BV118" s="161">
        <f t="shared" ref="BV118:CR118" si="422">BU118</f>
        <v>0.82568533514101272</v>
      </c>
      <c r="BW118" s="161">
        <f t="shared" si="422"/>
        <v>0.82568533514101272</v>
      </c>
      <c r="BX118" s="161">
        <f t="shared" si="422"/>
        <v>0.82568533514101272</v>
      </c>
      <c r="BY118" s="161">
        <f t="shared" si="422"/>
        <v>0.82568533514101272</v>
      </c>
      <c r="BZ118" s="161">
        <f t="shared" si="422"/>
        <v>0.82568533514101272</v>
      </c>
      <c r="CA118" s="161">
        <f t="shared" si="422"/>
        <v>0.82568533514101272</v>
      </c>
      <c r="CB118" s="161">
        <f t="shared" si="422"/>
        <v>0.82568533514101272</v>
      </c>
      <c r="CC118" s="161">
        <f t="shared" si="422"/>
        <v>0.82568533514101272</v>
      </c>
      <c r="CD118" s="161">
        <f t="shared" si="422"/>
        <v>0.82568533514101272</v>
      </c>
      <c r="CE118" s="161">
        <f t="shared" si="422"/>
        <v>0.82568533514101272</v>
      </c>
      <c r="CF118" s="161">
        <f t="shared" si="422"/>
        <v>0.82568533514101272</v>
      </c>
      <c r="CG118" s="161">
        <f t="shared" si="422"/>
        <v>0.82568533514101272</v>
      </c>
      <c r="CH118" s="161">
        <f t="shared" si="422"/>
        <v>0.82568533514101272</v>
      </c>
      <c r="CI118" s="161">
        <f t="shared" si="422"/>
        <v>0.82568533514101272</v>
      </c>
      <c r="CJ118" s="161">
        <f t="shared" si="422"/>
        <v>0.82568533514101272</v>
      </c>
      <c r="CK118" s="161">
        <f t="shared" si="422"/>
        <v>0.82568533514101272</v>
      </c>
      <c r="CL118" s="161">
        <f t="shared" si="422"/>
        <v>0.82568533514101272</v>
      </c>
      <c r="CM118" s="161">
        <f t="shared" si="422"/>
        <v>0.82568533514101272</v>
      </c>
      <c r="CN118" s="161">
        <f t="shared" si="422"/>
        <v>0.82568533514101272</v>
      </c>
      <c r="CO118" s="161">
        <f t="shared" si="422"/>
        <v>0.82568533514101272</v>
      </c>
      <c r="CP118" s="161">
        <f t="shared" si="422"/>
        <v>0.82568533514101272</v>
      </c>
      <c r="CQ118" s="161">
        <f t="shared" si="422"/>
        <v>0.82568533514101272</v>
      </c>
      <c r="CR118" s="161">
        <f t="shared" si="422"/>
        <v>0.82568533514101272</v>
      </c>
      <c r="CS118" s="161">
        <f t="shared" ref="CS118" si="423">CR118</f>
        <v>0.82568533514101272</v>
      </c>
      <c r="CT118" s="161">
        <f t="shared" ref="CT118" si="424">CS118</f>
        <v>0.82568533514101272</v>
      </c>
      <c r="CU118" s="161">
        <f t="shared" ref="CU118" si="425">CT118</f>
        <v>0.82568533514101272</v>
      </c>
      <c r="CV118" s="161">
        <f t="shared" ref="CV118" si="426">CU118</f>
        <v>0.82568533514101272</v>
      </c>
      <c r="CW118" s="161">
        <f t="shared" ref="CW118" si="427">CV118</f>
        <v>0.82568533514101272</v>
      </c>
      <c r="CX118" s="161">
        <f t="shared" ref="CX118" si="428">CW118</f>
        <v>0.82568533514101272</v>
      </c>
      <c r="CY118" s="161">
        <f t="shared" ref="CY118" si="429">CX118</f>
        <v>0.82568533514101272</v>
      </c>
      <c r="CZ118" s="161">
        <f t="shared" ref="CZ118" si="430">CY118</f>
        <v>0.82568533514101272</v>
      </c>
      <c r="DA118" s="161">
        <f t="shared" ref="DA118" si="431">CZ118</f>
        <v>0.82568533514101272</v>
      </c>
      <c r="DB118" s="161">
        <f t="shared" ref="DB118" si="432">DA118</f>
        <v>0.82568533514101272</v>
      </c>
      <c r="DC118" s="161">
        <f t="shared" ref="DC118" si="433">DB118</f>
        <v>0.82568533514101272</v>
      </c>
      <c r="DD118" s="161">
        <f t="shared" ref="DD118" si="434">DC118</f>
        <v>0.82568533514101272</v>
      </c>
      <c r="DF118" s="161">
        <f t="shared" ref="DF118" si="435">DE118</f>
        <v>0</v>
      </c>
      <c r="DG118" s="161">
        <f t="shared" ref="DG118" si="436">DF118</f>
        <v>0</v>
      </c>
      <c r="DH118" s="161">
        <f t="shared" ref="DH118" si="437">DG118</f>
        <v>0</v>
      </c>
      <c r="DI118" s="161">
        <f t="shared" ref="DI118" si="438">DH118</f>
        <v>0</v>
      </c>
      <c r="DJ118" s="161">
        <f t="shared" ref="DJ118" si="439">DI118</f>
        <v>0</v>
      </c>
      <c r="DK118" s="161">
        <f t="shared" ref="DK118" si="440">DJ118</f>
        <v>0</v>
      </c>
      <c r="DL118" s="161">
        <f t="shared" ref="DL118" si="441">DK118</f>
        <v>0</v>
      </c>
      <c r="DM118" s="161">
        <f t="shared" ref="DM118" si="442">DL118</f>
        <v>0</v>
      </c>
      <c r="DN118" s="161">
        <f t="shared" ref="DN118" si="443">DM118</f>
        <v>0</v>
      </c>
      <c r="DO118" s="161">
        <f t="shared" ref="DO118" si="444">DN118</f>
        <v>0</v>
      </c>
      <c r="DP118" s="161">
        <f t="shared" ref="DP118" si="445">DO118</f>
        <v>0</v>
      </c>
      <c r="DQ118" s="161">
        <f t="shared" ref="DQ118" si="446">DP118</f>
        <v>0</v>
      </c>
      <c r="DR118" s="161">
        <f t="shared" ref="DR118" si="447">DQ118</f>
        <v>0</v>
      </c>
      <c r="DS118" s="161">
        <f t="shared" ref="DS118" si="448">DR118</f>
        <v>0</v>
      </c>
      <c r="DT118" s="161">
        <f t="shared" ref="DT118" si="449">DS118</f>
        <v>0</v>
      </c>
      <c r="DU118" s="161">
        <f t="shared" ref="DU118" si="450">DT118</f>
        <v>0</v>
      </c>
      <c r="DV118" s="161">
        <f t="shared" ref="DV118" si="451">DU118</f>
        <v>0</v>
      </c>
      <c r="DW118" s="161">
        <f t="shared" ref="DW118" si="452">DV118</f>
        <v>0</v>
      </c>
      <c r="DX118" s="161">
        <f t="shared" ref="DX118" si="453">DW118</f>
        <v>0</v>
      </c>
      <c r="DY118" s="161">
        <f t="shared" ref="DY118" si="454">DX118</f>
        <v>0</v>
      </c>
      <c r="DZ118" s="161">
        <f t="shared" ref="DZ118" si="455">DY118</f>
        <v>0</v>
      </c>
      <c r="EA118" s="161">
        <f t="shared" ref="EA118" si="456">DZ118</f>
        <v>0</v>
      </c>
      <c r="EB118" s="161">
        <f t="shared" ref="EB118" si="457">EA118</f>
        <v>0</v>
      </c>
      <c r="EC118" s="161">
        <f t="shared" ref="EC118" si="458">EB118</f>
        <v>0</v>
      </c>
      <c r="ED118" s="805"/>
      <c r="EE118" s="161">
        <f>ED118</f>
        <v>0</v>
      </c>
      <c r="EF118" s="161">
        <f t="shared" ref="EF118" si="459">EE118</f>
        <v>0</v>
      </c>
      <c r="EG118" s="161">
        <f t="shared" ref="EG118" si="460">EF118</f>
        <v>0</v>
      </c>
      <c r="EH118" s="161">
        <f t="shared" ref="EH118" si="461">EG118</f>
        <v>0</v>
      </c>
      <c r="EI118" s="161">
        <f t="shared" ref="EI118:EJ118" si="462">EH118</f>
        <v>0</v>
      </c>
      <c r="EJ118" s="161">
        <f t="shared" si="462"/>
        <v>0</v>
      </c>
    </row>
    <row r="119" spans="2:140" x14ac:dyDescent="0.2">
      <c r="B119" s="21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E119" s="10"/>
      <c r="EF119" s="10"/>
      <c r="EG119" s="10"/>
      <c r="EH119" s="10"/>
      <c r="EI119" s="10"/>
      <c r="EJ119" s="812"/>
    </row>
    <row r="120" spans="2:140" x14ac:dyDescent="0.2">
      <c r="B120" s="21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E120" s="10"/>
      <c r="EF120" s="10"/>
      <c r="EG120" s="10"/>
      <c r="EH120" s="10"/>
      <c r="EI120" s="10"/>
      <c r="EJ120" s="812"/>
    </row>
    <row r="121" spans="2:140" x14ac:dyDescent="0.2">
      <c r="B121" s="196" t="s">
        <v>28</v>
      </c>
      <c r="C121" s="182">
        <f t="shared" ref="C121:AH121" si="463">C74-C102+C114+C115</f>
        <v>2494374.7648536642</v>
      </c>
      <c r="D121" s="182">
        <f t="shared" si="463"/>
        <v>2433514.8426666912</v>
      </c>
      <c r="E121" s="182">
        <f t="shared" si="463"/>
        <v>2676195.2834135606</v>
      </c>
      <c r="F121" s="182">
        <f t="shared" si="463"/>
        <v>2978731.258236256</v>
      </c>
      <c r="G121" s="182">
        <f t="shared" si="463"/>
        <v>2603711.0780943939</v>
      </c>
      <c r="H121" s="182">
        <f t="shared" si="463"/>
        <v>3274468.4557160465</v>
      </c>
      <c r="I121" s="182">
        <f t="shared" si="463"/>
        <v>6246316.2095286138</v>
      </c>
      <c r="J121" s="182">
        <f t="shared" si="463"/>
        <v>7313694.6473976299</v>
      </c>
      <c r="K121" s="182">
        <f t="shared" si="463"/>
        <v>7470331.9478118289</v>
      </c>
      <c r="L121" s="182">
        <f t="shared" si="463"/>
        <v>10042493.364286037</v>
      </c>
      <c r="M121" s="182">
        <f t="shared" si="463"/>
        <v>5823059.7095673559</v>
      </c>
      <c r="N121" s="182">
        <f t="shared" si="463"/>
        <v>142197.70743205029</v>
      </c>
      <c r="O121" s="182">
        <f t="shared" si="463"/>
        <v>4981160.8174855011</v>
      </c>
      <c r="P121" s="182">
        <f t="shared" si="463"/>
        <v>7753188.0363806188</v>
      </c>
      <c r="Q121" s="182">
        <f t="shared" si="463"/>
        <v>9102966.4641905222</v>
      </c>
      <c r="R121" s="182">
        <f t="shared" si="463"/>
        <v>10233245.760421764</v>
      </c>
      <c r="S121" s="182">
        <f t="shared" si="463"/>
        <v>11813335.903058689</v>
      </c>
      <c r="T121" s="182">
        <f t="shared" si="463"/>
        <v>19145531.530880325</v>
      </c>
      <c r="U121" s="182">
        <f t="shared" si="463"/>
        <v>22014309.017005812</v>
      </c>
      <c r="V121" s="182">
        <f t="shared" si="463"/>
        <v>18669136.646030474</v>
      </c>
      <c r="W121" s="182">
        <f t="shared" si="463"/>
        <v>21104841.158607185</v>
      </c>
      <c r="X121" s="182">
        <f t="shared" si="463"/>
        <v>23481910.8455038</v>
      </c>
      <c r="Y121" s="182">
        <f t="shared" si="463"/>
        <v>22052747.865777917</v>
      </c>
      <c r="Z121" s="182">
        <f t="shared" si="463"/>
        <v>24136652.125960503</v>
      </c>
      <c r="AA121" s="182">
        <f t="shared" si="463"/>
        <v>28933305.602438286</v>
      </c>
      <c r="AB121" s="182">
        <f t="shared" si="463"/>
        <v>31226118.643557239</v>
      </c>
      <c r="AC121" s="182">
        <f t="shared" si="463"/>
        <v>28543406.513791703</v>
      </c>
      <c r="AD121" s="182">
        <f t="shared" si="463"/>
        <v>23515188.466053169</v>
      </c>
      <c r="AE121" s="182">
        <f t="shared" si="463"/>
        <v>28029690.015010454</v>
      </c>
      <c r="AF121" s="182">
        <f t="shared" si="463"/>
        <v>29849212.890199289</v>
      </c>
      <c r="AG121" s="182">
        <f t="shared" si="463"/>
        <v>37101217.107911609</v>
      </c>
      <c r="AH121" s="182">
        <f t="shared" si="463"/>
        <v>43063839.999270573</v>
      </c>
      <c r="AI121" s="182">
        <f t="shared" ref="AI121:BN121" si="464">AI74-AI102+AI114+AI115</f>
        <v>44312628.348875217</v>
      </c>
      <c r="AJ121" s="182">
        <f t="shared" si="464"/>
        <v>52235812.365775988</v>
      </c>
      <c r="AK121" s="182">
        <f t="shared" si="464"/>
        <v>49751341.379814051</v>
      </c>
      <c r="AL121" s="182">
        <f t="shared" si="464"/>
        <v>56284731.291991115</v>
      </c>
      <c r="AM121" s="182">
        <f t="shared" si="464"/>
        <v>59278169.928526118</v>
      </c>
      <c r="AN121" s="182">
        <f t="shared" si="464"/>
        <v>55729230.653317057</v>
      </c>
      <c r="AO121" s="182">
        <f t="shared" si="464"/>
        <v>56366921.311522678</v>
      </c>
      <c r="AP121" s="182">
        <f t="shared" si="464"/>
        <v>48842431.059918456</v>
      </c>
      <c r="AQ121" s="182">
        <f t="shared" si="464"/>
        <v>63005960.693473317</v>
      </c>
      <c r="AR121" s="182">
        <f t="shared" si="464"/>
        <v>60709178.689786933</v>
      </c>
      <c r="AS121" s="182">
        <f t="shared" si="464"/>
        <v>55470880.7844842</v>
      </c>
      <c r="AT121" s="182">
        <f t="shared" si="464"/>
        <v>52618188.551086627</v>
      </c>
      <c r="AU121" s="182">
        <f t="shared" si="464"/>
        <v>58886389.087296434</v>
      </c>
      <c r="AV121" s="182">
        <f t="shared" si="464"/>
        <v>66300233.546578653</v>
      </c>
      <c r="AW121" s="182">
        <f t="shared" si="464"/>
        <v>63395348.177152708</v>
      </c>
      <c r="AX121" s="182">
        <f t="shared" si="464"/>
        <v>70141815.629244</v>
      </c>
      <c r="AY121" s="182">
        <f t="shared" si="464"/>
        <v>74425869.028386518</v>
      </c>
      <c r="AZ121" s="182">
        <f t="shared" si="464"/>
        <v>71323110.879222497</v>
      </c>
      <c r="BA121" s="182">
        <f t="shared" si="464"/>
        <v>63272108.349398904</v>
      </c>
      <c r="BB121" s="182">
        <f t="shared" si="464"/>
        <v>51777053.36699371</v>
      </c>
      <c r="BC121" s="182">
        <f t="shared" si="464"/>
        <v>72029497.365651309</v>
      </c>
      <c r="BD121" s="182">
        <f t="shared" si="464"/>
        <v>71730175.867004097</v>
      </c>
      <c r="BE121" s="182">
        <f t="shared" si="464"/>
        <v>82023708.901264638</v>
      </c>
      <c r="BF121" s="182">
        <f t="shared" si="464"/>
        <v>81636428.988674119</v>
      </c>
      <c r="BG121" s="182">
        <f t="shared" si="464"/>
        <v>77532101.939043105</v>
      </c>
      <c r="BH121" s="182">
        <f t="shared" si="464"/>
        <v>96408336.477124974</v>
      </c>
      <c r="BI121" s="182">
        <f t="shared" si="464"/>
        <v>95118310.211198553</v>
      </c>
      <c r="BJ121" s="182">
        <f t="shared" si="464"/>
        <v>89011473.917980984</v>
      </c>
      <c r="BK121" s="182">
        <f t="shared" si="464"/>
        <v>98657769.704046562</v>
      </c>
      <c r="BL121" s="182">
        <f t="shared" si="464"/>
        <v>102298566.40985553</v>
      </c>
      <c r="BM121" s="182">
        <f t="shared" si="464"/>
        <v>96469482.979522407</v>
      </c>
      <c r="BN121" s="182">
        <f t="shared" si="464"/>
        <v>88605208.114048183</v>
      </c>
      <c r="BO121" s="182">
        <f t="shared" ref="BO121:CR121" si="465">BO74-BO102+BO114+BO115</f>
        <v>129222189.23471633</v>
      </c>
      <c r="BP121" s="182">
        <f t="shared" si="465"/>
        <v>115351839.49360153</v>
      </c>
      <c r="BQ121" s="182">
        <f t="shared" si="465"/>
        <v>128238619.60685469</v>
      </c>
      <c r="BR121" s="182">
        <f t="shared" si="465"/>
        <v>136233760.67795369</v>
      </c>
      <c r="BS121" s="182">
        <f t="shared" si="465"/>
        <v>127211306.7756784</v>
      </c>
      <c r="BT121" s="182">
        <f t="shared" si="465"/>
        <v>142977751.42983094</v>
      </c>
      <c r="BU121" s="182">
        <f t="shared" si="465"/>
        <v>132267105.91005836</v>
      </c>
      <c r="BV121" s="182">
        <f t="shared" si="465"/>
        <v>129793978.08051135</v>
      </c>
      <c r="BW121" s="182">
        <f t="shared" si="465"/>
        <v>129657105.78888421</v>
      </c>
      <c r="BX121" s="182">
        <f t="shared" si="465"/>
        <v>139708556.64154962</v>
      </c>
      <c r="BY121" s="182">
        <f t="shared" si="465"/>
        <v>125934077.51116318</v>
      </c>
      <c r="BZ121" s="182">
        <f t="shared" si="465"/>
        <v>117770439.42461263</v>
      </c>
      <c r="CA121" s="182">
        <f t="shared" si="465"/>
        <v>144640892.10183355</v>
      </c>
      <c r="CB121" s="182">
        <f t="shared" si="465"/>
        <v>134086064.55217145</v>
      </c>
      <c r="CC121" s="182">
        <f t="shared" si="465"/>
        <v>157727015.94942173</v>
      </c>
      <c r="CD121" s="182">
        <f t="shared" si="465"/>
        <v>161434674.221946</v>
      </c>
      <c r="CE121" s="182">
        <f t="shared" si="465"/>
        <v>150931075.79640302</v>
      </c>
      <c r="CF121" s="182">
        <f t="shared" si="465"/>
        <v>174079092.20984179</v>
      </c>
      <c r="CG121" s="182">
        <f t="shared" si="465"/>
        <v>160274016.2707862</v>
      </c>
      <c r="CH121" s="182">
        <f t="shared" si="465"/>
        <v>157653984.5194414</v>
      </c>
      <c r="CI121" s="182">
        <f t="shared" si="465"/>
        <v>156660096.8702012</v>
      </c>
      <c r="CJ121" s="182">
        <f t="shared" si="465"/>
        <v>168762748.96396238</v>
      </c>
      <c r="CK121" s="182">
        <f t="shared" si="465"/>
        <v>151720761.62009746</v>
      </c>
      <c r="CL121" s="182">
        <f t="shared" si="465"/>
        <v>141487654.47983563</v>
      </c>
      <c r="CM121" s="182">
        <f t="shared" si="465"/>
        <v>173394781.15661734</v>
      </c>
      <c r="CN121" s="182">
        <f t="shared" si="465"/>
        <v>159830888.24152759</v>
      </c>
      <c r="CO121" s="182">
        <f t="shared" si="465"/>
        <v>187508163.01432672</v>
      </c>
      <c r="CP121" s="182">
        <f t="shared" si="465"/>
        <v>191134633.03695938</v>
      </c>
      <c r="CQ121" s="182">
        <f t="shared" si="465"/>
        <v>177753845.81595576</v>
      </c>
      <c r="CR121" s="182">
        <f t="shared" si="465"/>
        <v>202896510.36043483</v>
      </c>
      <c r="CS121" s="182">
        <f t="shared" ref="CS121:DD121" si="466">CS74-CS102+CS114+CS115</f>
        <v>179745431.40329626</v>
      </c>
      <c r="CT121" s="182">
        <f t="shared" si="466"/>
        <v>176626714.38117599</v>
      </c>
      <c r="CU121" s="182">
        <f t="shared" si="466"/>
        <v>175399147.11740682</v>
      </c>
      <c r="CV121" s="182">
        <f t="shared" si="466"/>
        <v>188896423.15083021</v>
      </c>
      <c r="CW121" s="182">
        <f t="shared" si="466"/>
        <v>169585435.9791303</v>
      </c>
      <c r="CX121" s="182">
        <f t="shared" si="466"/>
        <v>157904554.52066696</v>
      </c>
      <c r="CY121" s="182">
        <f t="shared" si="466"/>
        <v>193645518.60294116</v>
      </c>
      <c r="CZ121" s="182">
        <f t="shared" si="466"/>
        <v>178329815.01566485</v>
      </c>
      <c r="DA121" s="182">
        <f t="shared" si="466"/>
        <v>209296848.74298942</v>
      </c>
      <c r="DB121" s="182">
        <f t="shared" si="466"/>
        <v>213301295.94189483</v>
      </c>
      <c r="DC121" s="182">
        <f t="shared" si="466"/>
        <v>198199173.42163497</v>
      </c>
      <c r="DD121" s="182">
        <f t="shared" si="466"/>
        <v>226292066.09184533</v>
      </c>
      <c r="DF121" s="198">
        <f t="shared" ref="DF121" si="467">SUM(AK121:AM121)</f>
        <v>165314242.60033131</v>
      </c>
      <c r="DG121" s="198">
        <f t="shared" ref="DG121" si="468">SUM(AN121:AP121)</f>
        <v>160938583.02475819</v>
      </c>
      <c r="DH121" s="198">
        <f t="shared" ref="DH121" si="469">SUM(AQ121:AS121)</f>
        <v>179186020.16774446</v>
      </c>
      <c r="DI121" s="198">
        <f t="shared" ref="DI121" si="470">SUM(AT121:AV121)</f>
        <v>177804811.18496171</v>
      </c>
      <c r="DJ121" s="198">
        <f t="shared" ref="DJ121" si="471">SUM(AW121:AY121)</f>
        <v>207963032.83478323</v>
      </c>
      <c r="DK121" s="198">
        <f t="shared" ref="DK121" si="472">SUM(AZ121:BB121)</f>
        <v>186372272.59561509</v>
      </c>
      <c r="DL121" s="198">
        <f t="shared" ref="DL121" si="473">SUM(BC121:BE121)</f>
        <v>225783382.13392004</v>
      </c>
      <c r="DM121" s="198">
        <f t="shared" ref="DM121" si="474">SUM(BF121:BH121)</f>
        <v>255576867.4048422</v>
      </c>
      <c r="DN121" s="198">
        <f t="shared" ref="DN121" si="475">SUM(BI121:BK121)</f>
        <v>282787553.83322608</v>
      </c>
      <c r="DO121" s="198">
        <f t="shared" ref="DO121" si="476">SUM(BL121:BN121)</f>
        <v>287373257.50342613</v>
      </c>
      <c r="DP121" s="198">
        <f t="shared" ref="DP121" si="477">SUM(BO121:BQ121)</f>
        <v>372812648.33517253</v>
      </c>
      <c r="DQ121" s="198">
        <f t="shared" ref="DQ121" si="478">SUM(BR121:BT121)</f>
        <v>406422818.88346303</v>
      </c>
      <c r="DR121" s="198">
        <f t="shared" ref="DR121" si="479">SUM(BU121:BW121)</f>
        <v>391718189.77945393</v>
      </c>
      <c r="DS121" s="198">
        <f t="shared" ref="DS121" si="480">SUM(BX121:BZ121)</f>
        <v>383413073.5773254</v>
      </c>
      <c r="DT121" s="198">
        <f t="shared" ref="DT121" si="481">SUM(CA121:CC121)</f>
        <v>436453972.60342669</v>
      </c>
      <c r="DU121" s="198">
        <f t="shared" ref="DU121" si="482">SUM(CD121:CF121)</f>
        <v>486444842.22819084</v>
      </c>
      <c r="DV121" s="198">
        <f t="shared" ref="DV121" si="483">SUM(CG121:CI121)</f>
        <v>474588097.66042876</v>
      </c>
      <c r="DW121" s="198">
        <f t="shared" ref="DW121" si="484">SUM(CJ121:CL121)</f>
        <v>461971165.06389546</v>
      </c>
      <c r="DX121" s="198">
        <f t="shared" ref="DX121" si="485">SUM(CM121:CO121)</f>
        <v>520733832.41247165</v>
      </c>
      <c r="DY121" s="198">
        <f t="shared" ref="DY121" si="486">SUM(CP121:CR121)</f>
        <v>571784989.21335006</v>
      </c>
      <c r="DZ121" s="198">
        <f t="shared" si="306"/>
        <v>531771292.90187907</v>
      </c>
      <c r="EA121" s="198">
        <f t="shared" si="307"/>
        <v>516386413.65062749</v>
      </c>
      <c r="EB121" s="198">
        <f t="shared" si="308"/>
        <v>581272182.36159539</v>
      </c>
      <c r="EC121" s="198">
        <f t="shared" si="309"/>
        <v>637792535.45537519</v>
      </c>
      <c r="EE121" s="198">
        <f>SUM(DF121:DI121)</f>
        <v>683243656.97779572</v>
      </c>
      <c r="EF121" s="198">
        <f>SUM(DJ121:DM121)</f>
        <v>875695554.96916056</v>
      </c>
      <c r="EG121" s="198">
        <f>SUM(DN121:DQ121)</f>
        <v>1349396278.5552878</v>
      </c>
      <c r="EH121" s="198">
        <f>SUM(DR121:DU121)</f>
        <v>1698030078.1883969</v>
      </c>
      <c r="EI121" s="198">
        <f>SUM(DV121:DY121)</f>
        <v>2029078084.3501461</v>
      </c>
      <c r="EJ121" s="814">
        <f t="shared" si="310"/>
        <v>2267222424.3694773</v>
      </c>
    </row>
    <row r="122" spans="2:140" x14ac:dyDescent="0.2">
      <c r="B122" s="21" t="s">
        <v>29</v>
      </c>
      <c r="C122" s="161">
        <f t="shared" ref="C122:AH122" si="487">C121/C74</f>
        <v>0.31726282867589123</v>
      </c>
      <c r="D122" s="161">
        <f t="shared" si="487"/>
        <v>0.33375061829442737</v>
      </c>
      <c r="E122" s="161">
        <f t="shared" si="487"/>
        <v>0.29215938280297893</v>
      </c>
      <c r="F122" s="161">
        <f t="shared" si="487"/>
        <v>0.2601538168685783</v>
      </c>
      <c r="G122" s="161">
        <f t="shared" si="487"/>
        <v>0.21944620249137262</v>
      </c>
      <c r="H122" s="161">
        <f t="shared" si="487"/>
        <v>0.19192742961127546</v>
      </c>
      <c r="I122" s="161">
        <f t="shared" si="487"/>
        <v>0.15908195311622231</v>
      </c>
      <c r="J122" s="161">
        <f t="shared" si="487"/>
        <v>0.18164543375804457</v>
      </c>
      <c r="K122" s="161">
        <f t="shared" si="487"/>
        <v>0.19085016281637102</v>
      </c>
      <c r="L122" s="161">
        <f t="shared" si="487"/>
        <v>0.23075398595777677</v>
      </c>
      <c r="M122" s="161">
        <f t="shared" si="487"/>
        <v>0.23417742734786093</v>
      </c>
      <c r="N122" s="161">
        <f t="shared" si="487"/>
        <v>0.22638903153052792</v>
      </c>
      <c r="O122" s="161">
        <f t="shared" si="487"/>
        <v>0.27124153546744023</v>
      </c>
      <c r="P122" s="161">
        <f t="shared" si="487"/>
        <v>0.28363344441354604</v>
      </c>
      <c r="Q122" s="161">
        <f t="shared" si="487"/>
        <v>0.260445331587014</v>
      </c>
      <c r="R122" s="161">
        <f t="shared" si="487"/>
        <v>0.21776545937546429</v>
      </c>
      <c r="S122" s="161">
        <f t="shared" si="487"/>
        <v>0.20635427361029199</v>
      </c>
      <c r="T122" s="161">
        <f t="shared" si="487"/>
        <v>0.23920937152035082</v>
      </c>
      <c r="U122" s="161">
        <f t="shared" si="487"/>
        <v>0.22723278385394877</v>
      </c>
      <c r="V122" s="161">
        <f t="shared" si="487"/>
        <v>0.19616126708295828</v>
      </c>
      <c r="W122" s="161">
        <f t="shared" si="487"/>
        <v>0.20614665502264229</v>
      </c>
      <c r="X122" s="161">
        <f t="shared" si="487"/>
        <v>0.20463291369404568</v>
      </c>
      <c r="Y122" s="161">
        <f t="shared" si="487"/>
        <v>0.21363399703631841</v>
      </c>
      <c r="Z122" s="161">
        <f t="shared" si="487"/>
        <v>0.19163528506025318</v>
      </c>
      <c r="AA122" s="161">
        <f t="shared" si="487"/>
        <v>0.19274516712607404</v>
      </c>
      <c r="AB122" s="161">
        <f t="shared" si="487"/>
        <v>0.20155347970161255</v>
      </c>
      <c r="AC122" s="161">
        <f t="shared" si="487"/>
        <v>0.17583061667346603</v>
      </c>
      <c r="AD122" s="161">
        <f t="shared" si="487"/>
        <v>0.15024576088141162</v>
      </c>
      <c r="AE122" s="161">
        <f t="shared" si="487"/>
        <v>0.16136613325818766</v>
      </c>
      <c r="AF122" s="161">
        <f t="shared" si="487"/>
        <v>0.16622172277227243</v>
      </c>
      <c r="AG122" s="161">
        <f t="shared" si="487"/>
        <v>0.17094435637287209</v>
      </c>
      <c r="AH122" s="161">
        <f t="shared" si="487"/>
        <v>0.18051337284187027</v>
      </c>
      <c r="AI122" s="161">
        <f t="shared" ref="AI122:BN122" si="488">AI121/AI74</f>
        <v>0.18735706345643291</v>
      </c>
      <c r="AJ122" s="161">
        <f t="shared" si="488"/>
        <v>0.1747580991222413</v>
      </c>
      <c r="AK122" s="161">
        <f t="shared" si="488"/>
        <v>0.15568786018389599</v>
      </c>
      <c r="AL122" s="161">
        <f t="shared" si="488"/>
        <v>0.16702681495915081</v>
      </c>
      <c r="AM122" s="161">
        <f t="shared" si="488"/>
        <v>0.1796321659900201</v>
      </c>
      <c r="AN122" s="161">
        <f t="shared" si="488"/>
        <v>0.19156127985753449</v>
      </c>
      <c r="AO122" s="161">
        <f t="shared" si="488"/>
        <v>0.19299164162115418</v>
      </c>
      <c r="AP122" s="161">
        <f t="shared" si="488"/>
        <v>0.17687500095951178</v>
      </c>
      <c r="AQ122" s="161">
        <f t="shared" si="488"/>
        <v>0.16089831109585701</v>
      </c>
      <c r="AR122" s="161">
        <f t="shared" si="488"/>
        <v>0.17806567052673641</v>
      </c>
      <c r="AS122" s="161">
        <f t="shared" si="488"/>
        <v>0.18795917412739063</v>
      </c>
      <c r="AT122" s="161">
        <f t="shared" si="488"/>
        <v>0.19803267165395902</v>
      </c>
      <c r="AU122" s="161">
        <f t="shared" si="488"/>
        <v>0.24197180781575428</v>
      </c>
      <c r="AV122" s="161">
        <f t="shared" si="488"/>
        <v>0.22623874997194834</v>
      </c>
      <c r="AW122" s="161">
        <f t="shared" si="488"/>
        <v>0.20394965824954908</v>
      </c>
      <c r="AX122" s="161">
        <f t="shared" si="488"/>
        <v>0.22502718321566068</v>
      </c>
      <c r="AY122" s="161">
        <f t="shared" si="488"/>
        <v>0.22296047533071955</v>
      </c>
      <c r="AZ122" s="161">
        <f t="shared" si="488"/>
        <v>0.22565432032981683</v>
      </c>
      <c r="BA122" s="161">
        <f t="shared" si="488"/>
        <v>0.23513186640548386</v>
      </c>
      <c r="BB122" s="161">
        <f t="shared" si="488"/>
        <v>0.22343154998255682</v>
      </c>
      <c r="BC122" s="161">
        <f t="shared" si="488"/>
        <v>0.21977565156144546</v>
      </c>
      <c r="BD122" s="161">
        <f t="shared" si="488"/>
        <v>0.22428694327697718</v>
      </c>
      <c r="BE122" s="161">
        <f t="shared" si="488"/>
        <v>0.21556003399404738</v>
      </c>
      <c r="BF122" s="161">
        <f t="shared" si="488"/>
        <v>0.20858766671485829</v>
      </c>
      <c r="BG122" s="161">
        <f t="shared" si="488"/>
        <v>0.20968977807982891</v>
      </c>
      <c r="BH122" s="161">
        <f t="shared" si="488"/>
        <v>0.20944645344716648</v>
      </c>
      <c r="BI122" s="161">
        <f t="shared" si="488"/>
        <v>0.21308337320607684</v>
      </c>
      <c r="BJ122" s="161">
        <f t="shared" si="488"/>
        <v>0.20838772490248716</v>
      </c>
      <c r="BK122" s="161">
        <f t="shared" si="488"/>
        <v>0.22488840932257845</v>
      </c>
      <c r="BL122" s="161">
        <f t="shared" si="488"/>
        <v>0.212236789191937</v>
      </c>
      <c r="BM122" s="161">
        <f t="shared" si="488"/>
        <v>0.23697041998876922</v>
      </c>
      <c r="BN122" s="161">
        <f t="shared" si="488"/>
        <v>0.23167984288949051</v>
      </c>
      <c r="BO122" s="161">
        <f t="shared" ref="BO122:CR122" si="489">BO121/BO74</f>
        <v>0.2317238717171641</v>
      </c>
      <c r="BP122" s="161">
        <f t="shared" si="489"/>
        <v>0.23129736094057537</v>
      </c>
      <c r="BQ122" s="161">
        <f t="shared" si="489"/>
        <v>0.20571717757270422</v>
      </c>
      <c r="BR122" s="161">
        <f t="shared" si="489"/>
        <v>0.20655545300696015</v>
      </c>
      <c r="BS122" s="161">
        <f t="shared" si="489"/>
        <v>0.19916753663591658</v>
      </c>
      <c r="BT122" s="161">
        <f t="shared" si="489"/>
        <v>0.18643114599658173</v>
      </c>
      <c r="BU122" s="161">
        <f t="shared" si="489"/>
        <v>0.20669390975369284</v>
      </c>
      <c r="BV122" s="161">
        <f t="shared" si="489"/>
        <v>0.20711600760420987</v>
      </c>
      <c r="BW122" s="161">
        <f t="shared" si="489"/>
        <v>0.20732977105646985</v>
      </c>
      <c r="BX122" s="161">
        <f t="shared" si="489"/>
        <v>0.20630693518705309</v>
      </c>
      <c r="BY122" s="161">
        <f t="shared" si="489"/>
        <v>0.20814412098349877</v>
      </c>
      <c r="BZ122" s="161">
        <f t="shared" si="489"/>
        <v>0.2096198525599304</v>
      </c>
      <c r="CA122" s="161">
        <f t="shared" si="489"/>
        <v>0.20632739542500933</v>
      </c>
      <c r="CB122" s="161">
        <f t="shared" si="489"/>
        <v>0.20769291965448886</v>
      </c>
      <c r="CC122" s="161">
        <f t="shared" si="489"/>
        <v>0.20536901347150374</v>
      </c>
      <c r="CD122" s="161">
        <f t="shared" si="489"/>
        <v>0.20515731269062512</v>
      </c>
      <c r="CE122" s="161">
        <f t="shared" si="489"/>
        <v>0.20626887441035549</v>
      </c>
      <c r="CF122" s="161">
        <f t="shared" si="489"/>
        <v>0.20451445331887738</v>
      </c>
      <c r="CG122" s="161">
        <f t="shared" si="489"/>
        <v>0.20481269081521497</v>
      </c>
      <c r="CH122" s="161">
        <f t="shared" si="489"/>
        <v>0.20520869486959567</v>
      </c>
      <c r="CI122" s="161">
        <f t="shared" si="489"/>
        <v>0.20540929813969644</v>
      </c>
      <c r="CJ122" s="161">
        <f t="shared" si="489"/>
        <v>0.20444976428948683</v>
      </c>
      <c r="CK122" s="161">
        <f t="shared" si="489"/>
        <v>0.20617384931127636</v>
      </c>
      <c r="CL122" s="161">
        <f t="shared" si="489"/>
        <v>0.20756069562776827</v>
      </c>
      <c r="CM122" s="161">
        <f t="shared" si="489"/>
        <v>0.20446895004615498</v>
      </c>
      <c r="CN122" s="161">
        <f t="shared" si="489"/>
        <v>0.20575017385328787</v>
      </c>
      <c r="CO122" s="161">
        <f t="shared" si="489"/>
        <v>0.20357062642349763</v>
      </c>
      <c r="CP122" s="161">
        <f t="shared" si="489"/>
        <v>0.20337229135125909</v>
      </c>
      <c r="CQ122" s="161">
        <f t="shared" si="489"/>
        <v>0.20441407523552957</v>
      </c>
      <c r="CR122" s="161">
        <f t="shared" si="489"/>
        <v>0.20277023864850338</v>
      </c>
      <c r="CS122" s="161">
        <f t="shared" ref="CS122:DD122" si="490">CS121/CS74</f>
        <v>0.20158933899411732</v>
      </c>
      <c r="CT122" s="161">
        <f t="shared" si="490"/>
        <v>0.20197495278996624</v>
      </c>
      <c r="CU122" s="161">
        <f t="shared" si="490"/>
        <v>0.20217032290402034</v>
      </c>
      <c r="CV122" s="161">
        <f t="shared" si="490"/>
        <v>0.20123600438727254</v>
      </c>
      <c r="CW122" s="161">
        <f t="shared" si="490"/>
        <v>0.20291511557404121</v>
      </c>
      <c r="CX122" s="161">
        <f t="shared" si="490"/>
        <v>0.20426687545880359</v>
      </c>
      <c r="CY122" s="161">
        <f t="shared" si="490"/>
        <v>0.20125468141177749</v>
      </c>
      <c r="CZ122" s="161">
        <f t="shared" si="490"/>
        <v>0.20250235278526957</v>
      </c>
      <c r="DA122" s="161">
        <f t="shared" si="490"/>
        <v>0.20038037715118026</v>
      </c>
      <c r="DB122" s="161">
        <f t="shared" si="490"/>
        <v>0.20018740002992258</v>
      </c>
      <c r="DC122" s="161">
        <f t="shared" si="490"/>
        <v>0.20120126216348783</v>
      </c>
      <c r="DD122" s="161">
        <f t="shared" si="490"/>
        <v>0.19960173307669338</v>
      </c>
      <c r="DF122" s="161">
        <f t="shared" ref="DF122:EI122" si="491">DF121/DF74</f>
        <v>0.16757041194237388</v>
      </c>
      <c r="DG122" s="161">
        <f t="shared" si="491"/>
        <v>0.18732709802703695</v>
      </c>
      <c r="DH122" s="161">
        <f t="shared" si="491"/>
        <v>0.17436522549857572</v>
      </c>
      <c r="DI122" s="161">
        <f t="shared" si="491"/>
        <v>0.22166875840468811</v>
      </c>
      <c r="DJ122" s="161">
        <f t="shared" si="491"/>
        <v>0.21745507342830542</v>
      </c>
      <c r="DK122" s="161">
        <f t="shared" si="491"/>
        <v>0.22814573500612725</v>
      </c>
      <c r="DL122" s="161">
        <f t="shared" si="491"/>
        <v>0.21961872861943688</v>
      </c>
      <c r="DM122" s="161">
        <f t="shared" si="491"/>
        <v>0.20924493384944612</v>
      </c>
      <c r="DN122" s="161">
        <f t="shared" si="491"/>
        <v>0.2155014799379418</v>
      </c>
      <c r="DO122" s="161">
        <f t="shared" si="491"/>
        <v>0.2260034174257276</v>
      </c>
      <c r="DP122" s="161">
        <f t="shared" si="491"/>
        <v>0.22194585163011923</v>
      </c>
      <c r="DQ122" s="161">
        <f t="shared" si="491"/>
        <v>0.19679724741339946</v>
      </c>
      <c r="DR122" s="161">
        <f t="shared" si="491"/>
        <v>0.20704389846654678</v>
      </c>
      <c r="DS122" s="161">
        <f t="shared" si="491"/>
        <v>0.2079190664765789</v>
      </c>
      <c r="DT122" s="161">
        <f t="shared" si="491"/>
        <v>0.20639621326610666</v>
      </c>
      <c r="DU122" s="161">
        <f t="shared" si="491"/>
        <v>0.20526962730855719</v>
      </c>
      <c r="DV122" s="161">
        <f t="shared" si="491"/>
        <v>0.20514087732219716</v>
      </c>
      <c r="DW122" s="161">
        <f t="shared" si="491"/>
        <v>0.20596084331212661</v>
      </c>
      <c r="DX122" s="161">
        <f t="shared" si="491"/>
        <v>0.20453487375010884</v>
      </c>
      <c r="DY122" s="161">
        <f t="shared" si="491"/>
        <v>0.20348029177052432</v>
      </c>
      <c r="DZ122" s="161">
        <f t="shared" ref="DZ122:EC122" si="492">DZ121/DZ74</f>
        <v>0.20190876131166352</v>
      </c>
      <c r="EA122" s="161">
        <f t="shared" si="492"/>
        <v>0.20270659470499133</v>
      </c>
      <c r="EB122" s="161">
        <f t="shared" si="492"/>
        <v>0.20131893790826433</v>
      </c>
      <c r="EC122" s="161">
        <f t="shared" si="492"/>
        <v>0.20029252605231354</v>
      </c>
      <c r="ED122" s="805"/>
      <c r="EE122" s="161">
        <f t="shared" si="491"/>
        <v>0.1858946664796792</v>
      </c>
      <c r="EF122" s="161">
        <f t="shared" si="491"/>
        <v>0.21768614114925328</v>
      </c>
      <c r="EG122" s="161">
        <f t="shared" si="491"/>
        <v>0.21321837038081584</v>
      </c>
      <c r="EH122" s="161">
        <f t="shared" si="491"/>
        <v>0.20656212219867148</v>
      </c>
      <c r="EI122" s="161">
        <f t="shared" si="491"/>
        <v>0.20470002237476473</v>
      </c>
      <c r="EJ122" s="161">
        <f t="shared" ref="EJ122" si="493">EJ121/EJ74</f>
        <v>0.20148067699028174</v>
      </c>
    </row>
    <row r="123" spans="2:140" x14ac:dyDescent="0.2">
      <c r="B123" s="173" t="s">
        <v>144</v>
      </c>
      <c r="C123" s="161">
        <f t="shared" ref="C123:AH123" si="494">(C75-C104-C107-C110-C112-C113)/C75</f>
        <v>0.28140841708260811</v>
      </c>
      <c r="D123" s="161">
        <f t="shared" si="494"/>
        <v>0.25435989280790661</v>
      </c>
      <c r="E123" s="161">
        <f t="shared" si="494"/>
        <v>0.23635930407470396</v>
      </c>
      <c r="F123" s="161">
        <f t="shared" si="494"/>
        <v>0.21512723986442309</v>
      </c>
      <c r="G123" s="161">
        <f t="shared" si="494"/>
        <v>0.17477545410842102</v>
      </c>
      <c r="H123" s="161">
        <f t="shared" si="494"/>
        <v>0.16363738044703155</v>
      </c>
      <c r="I123" s="161">
        <f t="shared" si="494"/>
        <v>0.14943443683651805</v>
      </c>
      <c r="J123" s="161">
        <f t="shared" si="494"/>
        <v>0.17194167700081553</v>
      </c>
      <c r="K123" s="161">
        <f t="shared" si="494"/>
        <v>0.18399056539828573</v>
      </c>
      <c r="L123" s="161">
        <f t="shared" si="494"/>
        <v>0.21449785459892023</v>
      </c>
      <c r="M123" s="161">
        <f t="shared" si="494"/>
        <v>0.22105141424632652</v>
      </c>
      <c r="N123" s="161">
        <f t="shared" si="494"/>
        <v>0.22488402847982911</v>
      </c>
      <c r="O123" s="161">
        <f t="shared" si="494"/>
        <v>0.23841354762194492</v>
      </c>
      <c r="P123" s="161">
        <f t="shared" si="494"/>
        <v>0.26132618321796486</v>
      </c>
      <c r="Q123" s="161">
        <f t="shared" si="494"/>
        <v>0.24245197371952892</v>
      </c>
      <c r="R123" s="161">
        <f t="shared" si="494"/>
        <v>0.19960590782769899</v>
      </c>
      <c r="S123" s="161">
        <f t="shared" si="494"/>
        <v>0.19085362557107768</v>
      </c>
      <c r="T123" s="161">
        <f t="shared" si="494"/>
        <v>0.23348916963526647</v>
      </c>
      <c r="U123" s="161">
        <f t="shared" si="494"/>
        <v>0.21750584298397296</v>
      </c>
      <c r="V123" s="161">
        <f t="shared" si="494"/>
        <v>0.1901531556273251</v>
      </c>
      <c r="W123" s="161">
        <f t="shared" si="494"/>
        <v>0.20379900825511962</v>
      </c>
      <c r="X123" s="161">
        <f t="shared" si="494"/>
        <v>0.20456723547827593</v>
      </c>
      <c r="Y123" s="161">
        <f t="shared" si="494"/>
        <v>0.21088213218559163</v>
      </c>
      <c r="Z123" s="161">
        <f t="shared" si="494"/>
        <v>0.1865446835865375</v>
      </c>
      <c r="AA123" s="161">
        <f t="shared" si="494"/>
        <v>0.18258361996346958</v>
      </c>
      <c r="AB123" s="161">
        <f t="shared" si="494"/>
        <v>0.19600605894563508</v>
      </c>
      <c r="AC123" s="161">
        <f t="shared" si="494"/>
        <v>0.17365767057975842</v>
      </c>
      <c r="AD123" s="161">
        <f t="shared" si="494"/>
        <v>0.14307672849747541</v>
      </c>
      <c r="AE123" s="161">
        <f t="shared" si="494"/>
        <v>0.15694407309333674</v>
      </c>
      <c r="AF123" s="161">
        <f t="shared" si="494"/>
        <v>0.15764232288701385</v>
      </c>
      <c r="AG123" s="161">
        <f t="shared" si="494"/>
        <v>0.16434681080321539</v>
      </c>
      <c r="AH123" s="161">
        <f t="shared" si="494"/>
        <v>0.17245298212643392</v>
      </c>
      <c r="AI123" s="161">
        <f t="shared" ref="AI123:BN123" si="495">(AI75-AI104-AI107-AI110-AI112-AI113)/AI75</f>
        <v>0.1793664665243781</v>
      </c>
      <c r="AJ123" s="161">
        <f t="shared" si="495"/>
        <v>0.16756149488567829</v>
      </c>
      <c r="AK123" s="161">
        <f t="shared" si="495"/>
        <v>0.14558709973849218</v>
      </c>
      <c r="AL123" s="161">
        <f t="shared" si="495"/>
        <v>0.15740212419506347</v>
      </c>
      <c r="AM123" s="161">
        <f t="shared" si="495"/>
        <v>0.17296077254112285</v>
      </c>
      <c r="AN123" s="161">
        <f t="shared" si="495"/>
        <v>0.18152864130794197</v>
      </c>
      <c r="AO123" s="161">
        <f t="shared" si="495"/>
        <v>0.18415277510552941</v>
      </c>
      <c r="AP123" s="161">
        <f t="shared" si="495"/>
        <v>0.16708041561720074</v>
      </c>
      <c r="AQ123" s="161">
        <f t="shared" si="495"/>
        <v>0.15346845654794194</v>
      </c>
      <c r="AR123" s="161">
        <f t="shared" si="495"/>
        <v>0.17365065748591993</v>
      </c>
      <c r="AS123" s="161">
        <f t="shared" si="495"/>
        <v>0.18025917376140474</v>
      </c>
      <c r="AT123" s="161">
        <f t="shared" si="495"/>
        <v>0.19379562300237266</v>
      </c>
      <c r="AU123" s="161">
        <f t="shared" si="495"/>
        <v>0.23669738880232061</v>
      </c>
      <c r="AV123" s="161">
        <f t="shared" si="495"/>
        <v>0.22147559050829491</v>
      </c>
      <c r="AW123" s="161">
        <f t="shared" si="495"/>
        <v>0.20039070611831289</v>
      </c>
      <c r="AX123" s="161">
        <f t="shared" si="495"/>
        <v>0.2186242814060145</v>
      </c>
      <c r="AY123" s="161">
        <f t="shared" si="495"/>
        <v>0.21401927988201858</v>
      </c>
      <c r="AZ123" s="161">
        <f t="shared" si="495"/>
        <v>0.21857709691306151</v>
      </c>
      <c r="BA123" s="161">
        <f t="shared" si="495"/>
        <v>0.22242852073634548</v>
      </c>
      <c r="BB123" s="161">
        <f t="shared" si="495"/>
        <v>0.21165869978653271</v>
      </c>
      <c r="BC123" s="161">
        <f t="shared" si="495"/>
        <v>0.21148594715429966</v>
      </c>
      <c r="BD123" s="161">
        <f t="shared" si="495"/>
        <v>0.21902593878707569</v>
      </c>
      <c r="BE123" s="161">
        <f t="shared" si="495"/>
        <v>0.21185941380871232</v>
      </c>
      <c r="BF123" s="161">
        <f t="shared" si="495"/>
        <v>0.20075565156815695</v>
      </c>
      <c r="BG123" s="161">
        <f t="shared" si="495"/>
        <v>0.20353935128794948</v>
      </c>
      <c r="BH123" s="161">
        <f t="shared" si="495"/>
        <v>0.20339567666380684</v>
      </c>
      <c r="BI123" s="161">
        <f t="shared" si="495"/>
        <v>0.20669172836704772</v>
      </c>
      <c r="BJ123" s="161">
        <f t="shared" si="495"/>
        <v>0.20009647745493805</v>
      </c>
      <c r="BK123" s="161">
        <f t="shared" si="495"/>
        <v>0.21804417505113452</v>
      </c>
      <c r="BL123" s="161">
        <f t="shared" si="495"/>
        <v>0.2052299845463337</v>
      </c>
      <c r="BM123" s="161">
        <f t="shared" si="495"/>
        <v>0.23388920045027037</v>
      </c>
      <c r="BN123" s="161">
        <f t="shared" si="495"/>
        <v>0.22805466535702013</v>
      </c>
      <c r="BO123" s="161">
        <f t="shared" ref="BO123:CR123" si="496">(BO75-BO104-BO107-BO110-BO112-BO113)/BO75</f>
        <v>0.22559650393863609</v>
      </c>
      <c r="BP123" s="161">
        <f t="shared" si="496"/>
        <v>0.22540693953490817</v>
      </c>
      <c r="BQ123" s="161">
        <f t="shared" si="496"/>
        <v>0.19757172120203562</v>
      </c>
      <c r="BR123" s="161">
        <f t="shared" si="496"/>
        <v>0.19884708675240176</v>
      </c>
      <c r="BS123" s="161">
        <f t="shared" si="496"/>
        <v>0.19062727880991026</v>
      </c>
      <c r="BT123" s="161">
        <f t="shared" si="496"/>
        <v>0.17223687629421408</v>
      </c>
      <c r="BU123" s="161">
        <f t="shared" si="496"/>
        <v>0.20060414387609041</v>
      </c>
      <c r="BV123" s="161">
        <f t="shared" si="496"/>
        <v>0.20058483647874772</v>
      </c>
      <c r="BW123" s="161">
        <f t="shared" si="496"/>
        <v>0.20057501994019231</v>
      </c>
      <c r="BX123" s="161">
        <f t="shared" si="496"/>
        <v>0.2006217561632023</v>
      </c>
      <c r="BY123" s="161">
        <f t="shared" si="496"/>
        <v>0.20053738263358414</v>
      </c>
      <c r="BZ123" s="161">
        <f t="shared" si="496"/>
        <v>0.20046819224683585</v>
      </c>
      <c r="CA123" s="161">
        <f t="shared" si="496"/>
        <v>0.20062082707075227</v>
      </c>
      <c r="CB123" s="161">
        <f t="shared" si="496"/>
        <v>0.20055828329187395</v>
      </c>
      <c r="CC123" s="161">
        <f t="shared" si="496"/>
        <v>0.200664096031407</v>
      </c>
      <c r="CD123" s="161">
        <f t="shared" si="496"/>
        <v>0.20067358524725473</v>
      </c>
      <c r="CE123" s="161">
        <f t="shared" si="496"/>
        <v>0.20062348386512469</v>
      </c>
      <c r="CF123" s="161">
        <f t="shared" si="496"/>
        <v>0.20070225006067804</v>
      </c>
      <c r="CG123" s="161">
        <f t="shared" si="496"/>
        <v>0.19974706765091066</v>
      </c>
      <c r="CH123" s="161">
        <f t="shared" si="496"/>
        <v>0.19972917504931556</v>
      </c>
      <c r="CI123" s="161">
        <f t="shared" si="496"/>
        <v>0.19972007796995869</v>
      </c>
      <c r="CJ123" s="161">
        <f t="shared" si="496"/>
        <v>0.1997633896485782</v>
      </c>
      <c r="CK123" s="161">
        <f t="shared" si="496"/>
        <v>0.19968519992592826</v>
      </c>
      <c r="CL123" s="161">
        <f t="shared" si="496"/>
        <v>0.19962108534885439</v>
      </c>
      <c r="CM123" s="161">
        <f t="shared" si="496"/>
        <v>0.19976252861515634</v>
      </c>
      <c r="CN123" s="161">
        <f t="shared" si="496"/>
        <v>0.19970456815954404</v>
      </c>
      <c r="CO123" s="161">
        <f t="shared" si="496"/>
        <v>0.19980262881010061</v>
      </c>
      <c r="CP123" s="161">
        <f t="shared" si="496"/>
        <v>0.1998114233168948</v>
      </c>
      <c r="CQ123" s="161">
        <f t="shared" si="496"/>
        <v>0.19976499079281287</v>
      </c>
      <c r="CR123" s="161">
        <f t="shared" si="496"/>
        <v>0.19983799006151365</v>
      </c>
      <c r="CS123" s="161">
        <f t="shared" ref="CS123:DD123" si="497">(CS75-CS104-CS107-CS110-CS112-CS113)/CS75</f>
        <v>0.19696537946540227</v>
      </c>
      <c r="CT123" s="161">
        <f t="shared" si="497"/>
        <v>0.19694804853616871</v>
      </c>
      <c r="CU123" s="161">
        <f t="shared" si="497"/>
        <v>0.19693923709642575</v>
      </c>
      <c r="CV123" s="161">
        <f t="shared" si="497"/>
        <v>0.1969811892539251</v>
      </c>
      <c r="CW123" s="161">
        <f t="shared" si="497"/>
        <v>0.19690545462882053</v>
      </c>
      <c r="CX123" s="161">
        <f t="shared" si="497"/>
        <v>0.1968433558125442</v>
      </c>
      <c r="CY123" s="161">
        <f t="shared" si="497"/>
        <v>0.19698035523723192</v>
      </c>
      <c r="CZ123" s="161">
        <f t="shared" si="497"/>
        <v>0.19692421438852842</v>
      </c>
      <c r="DA123" s="161">
        <f t="shared" si="497"/>
        <v>0.19701919765501033</v>
      </c>
      <c r="DB123" s="161">
        <f t="shared" si="497"/>
        <v>0.19702771643763983</v>
      </c>
      <c r="DC123" s="161">
        <f t="shared" si="497"/>
        <v>0.19698274016003153</v>
      </c>
      <c r="DD123" s="161">
        <f t="shared" si="497"/>
        <v>0.19705345053432594</v>
      </c>
      <c r="DF123" s="161">
        <f t="shared" ref="DF123:EI123" si="498">(DF75-DF104-DF107-DF110-DF112-DF113)/DF75</f>
        <v>0.15875463877072735</v>
      </c>
      <c r="DG123" s="161">
        <f t="shared" si="498"/>
        <v>0.17777431071345801</v>
      </c>
      <c r="DH123" s="161">
        <f t="shared" si="498"/>
        <v>0.16789551801275246</v>
      </c>
      <c r="DI123" s="161">
        <f t="shared" si="498"/>
        <v>0.21685276644508908</v>
      </c>
      <c r="DJ123" s="161">
        <f t="shared" si="498"/>
        <v>0.21107553022993306</v>
      </c>
      <c r="DK123" s="161">
        <f t="shared" si="498"/>
        <v>0.21789749307765147</v>
      </c>
      <c r="DL123" s="161">
        <f t="shared" si="498"/>
        <v>0.21397678604869505</v>
      </c>
      <c r="DM123" s="161">
        <f t="shared" si="498"/>
        <v>0.20259575345177713</v>
      </c>
      <c r="DN123" s="161">
        <f t="shared" si="498"/>
        <v>0.208362981643293</v>
      </c>
      <c r="DO123" s="161">
        <f t="shared" si="498"/>
        <v>0.22115628053594383</v>
      </c>
      <c r="DP123" s="161">
        <f t="shared" si="498"/>
        <v>0.21515662520270362</v>
      </c>
      <c r="DQ123" s="161">
        <f t="shared" si="498"/>
        <v>0.18651297942933867</v>
      </c>
      <c r="DR123" s="161">
        <f t="shared" si="498"/>
        <v>0.20058814202815842</v>
      </c>
      <c r="DS123" s="161">
        <f t="shared" si="498"/>
        <v>0.2005478223821125</v>
      </c>
      <c r="DT123" s="161">
        <f t="shared" si="498"/>
        <v>0.20061770035060481</v>
      </c>
      <c r="DU123" s="161">
        <f t="shared" si="498"/>
        <v>0.20066855396150299</v>
      </c>
      <c r="DV123" s="161">
        <f t="shared" si="498"/>
        <v>0.19973224541371548</v>
      </c>
      <c r="DW123" s="161">
        <f t="shared" si="498"/>
        <v>0.19969495010537328</v>
      </c>
      <c r="DX123" s="161">
        <f t="shared" si="498"/>
        <v>0.19975956849964616</v>
      </c>
      <c r="DY123" s="161">
        <f t="shared" si="498"/>
        <v>0.19980663702736348</v>
      </c>
      <c r="DZ123" s="161">
        <f t="shared" ref="DZ123:EC123" si="499">(DZ75-DZ104-DZ107-DZ110-DZ112-DZ113)/DZ75</f>
        <v>0.19695102915266416</v>
      </c>
      <c r="EA123" s="161">
        <f t="shared" si="499"/>
        <v>0.19691494346084051</v>
      </c>
      <c r="EB123" s="161">
        <f t="shared" si="499"/>
        <v>0.19697748445525656</v>
      </c>
      <c r="EC123" s="161">
        <f t="shared" si="499"/>
        <v>0.1970230781860427</v>
      </c>
      <c r="ED123" s="805"/>
      <c r="EE123" s="161">
        <f t="shared" si="498"/>
        <v>0.17836254188977674</v>
      </c>
      <c r="EF123" s="161">
        <f t="shared" si="498"/>
        <v>0.21057804357750903</v>
      </c>
      <c r="EG123" s="161">
        <f t="shared" si="498"/>
        <v>0.20559620631258491</v>
      </c>
      <c r="EH123" s="161">
        <f t="shared" si="498"/>
        <v>0.20061015136917992</v>
      </c>
      <c r="EI123" s="161">
        <f t="shared" si="498"/>
        <v>0.1997521424832506</v>
      </c>
      <c r="EJ123" s="161">
        <f t="shared" ref="EJ123" si="500">(EJ75-EJ104-EJ107-EJ110-EJ112-EJ113)/EJ75</f>
        <v>0.196970248641575</v>
      </c>
    </row>
    <row r="124" spans="2:140" x14ac:dyDescent="0.2">
      <c r="B124" s="173" t="s">
        <v>220</v>
      </c>
      <c r="C124" s="161">
        <f t="shared" ref="C124:AH124" si="501">IFERROR((C76-C105-C116)/C76,0)</f>
        <v>0.36799999999999994</v>
      </c>
      <c r="D124" s="161">
        <f t="shared" si="501"/>
        <v>0.42112931120697672</v>
      </c>
      <c r="E124" s="161">
        <f t="shared" si="501"/>
        <v>0.37527905263176048</v>
      </c>
      <c r="F124" s="161">
        <f t="shared" si="501"/>
        <v>0.36929979174931249</v>
      </c>
      <c r="G124" s="161">
        <f t="shared" si="501"/>
        <v>0.34436004121484787</v>
      </c>
      <c r="H124" s="161">
        <f t="shared" si="501"/>
        <v>0.32554568917556748</v>
      </c>
      <c r="I124" s="161">
        <f t="shared" si="501"/>
        <v>0.26317314474627612</v>
      </c>
      <c r="J124" s="161">
        <f t="shared" si="501"/>
        <v>0.29656850086969705</v>
      </c>
      <c r="K124" s="161">
        <f t="shared" si="501"/>
        <v>0.23601412057066426</v>
      </c>
      <c r="L124" s="161">
        <f t="shared" si="501"/>
        <v>0.40823399244798031</v>
      </c>
      <c r="M124" s="161">
        <f t="shared" si="501"/>
        <v>0.36199999999999999</v>
      </c>
      <c r="N124" s="161">
        <f t="shared" si="501"/>
        <v>0</v>
      </c>
      <c r="O124" s="161">
        <f t="shared" si="501"/>
        <v>0.39540000000000003</v>
      </c>
      <c r="P124" s="161">
        <f t="shared" si="501"/>
        <v>0.37000000000000005</v>
      </c>
      <c r="Q124" s="161">
        <f t="shared" si="501"/>
        <v>0.37000000000000005</v>
      </c>
      <c r="R124" s="161">
        <f t="shared" si="501"/>
        <v>0.30175436389485766</v>
      </c>
      <c r="S124" s="161">
        <f t="shared" si="501"/>
        <v>0.31900444367600672</v>
      </c>
      <c r="T124" s="161">
        <f t="shared" si="501"/>
        <v>0.3115953884094072</v>
      </c>
      <c r="U124" s="161">
        <f t="shared" si="501"/>
        <v>0.31866869391078712</v>
      </c>
      <c r="V124" s="161">
        <f t="shared" si="501"/>
        <v>0.24037423245141251</v>
      </c>
      <c r="W124" s="161">
        <f t="shared" si="501"/>
        <v>0.23044951938946046</v>
      </c>
      <c r="X124" s="161">
        <f t="shared" si="501"/>
        <v>0.23034876650093361</v>
      </c>
      <c r="Y124" s="161">
        <f t="shared" si="501"/>
        <v>0.23091305397784348</v>
      </c>
      <c r="Z124" s="161">
        <f t="shared" si="501"/>
        <v>0.23057214996038547</v>
      </c>
      <c r="AA124" s="161">
        <f t="shared" si="501"/>
        <v>0.29970748848901524</v>
      </c>
      <c r="AB124" s="161">
        <f t="shared" si="501"/>
        <v>0.25</v>
      </c>
      <c r="AC124" s="161">
        <f t="shared" si="501"/>
        <v>0.1787873834947557</v>
      </c>
      <c r="AD124" s="161">
        <f t="shared" si="501"/>
        <v>0.18039248780531042</v>
      </c>
      <c r="AE124" s="161">
        <f t="shared" si="501"/>
        <v>0.17599751974332531</v>
      </c>
      <c r="AF124" s="161">
        <f t="shared" si="501"/>
        <v>0.19421924626914783</v>
      </c>
      <c r="AG124" s="161">
        <f t="shared" si="501"/>
        <v>0.26062204428976249</v>
      </c>
      <c r="AH124" s="161">
        <f t="shared" si="501"/>
        <v>0.28802772929234749</v>
      </c>
      <c r="AI124" s="161">
        <f t="shared" ref="AI124:BN124" si="502">IFERROR((AI76-AI105-AI116)/AI76,0)</f>
        <v>0.27331786335897962</v>
      </c>
      <c r="AJ124" s="161">
        <f t="shared" si="502"/>
        <v>0.2739547864358578</v>
      </c>
      <c r="AK124" s="161">
        <f t="shared" si="502"/>
        <v>0.30523150082211653</v>
      </c>
      <c r="AL124" s="161">
        <f t="shared" si="502"/>
        <v>0.3053774562609653</v>
      </c>
      <c r="AM124" s="161">
        <f t="shared" si="502"/>
        <v>0.23966518281372506</v>
      </c>
      <c r="AN124" s="161">
        <f t="shared" si="502"/>
        <v>0.30311827843491551</v>
      </c>
      <c r="AO124" s="161">
        <f t="shared" si="502"/>
        <v>0.29028418312547805</v>
      </c>
      <c r="AP124" s="161">
        <f t="shared" si="502"/>
        <v>0.28481065864354627</v>
      </c>
      <c r="AQ124" s="161">
        <f t="shared" si="502"/>
        <v>0.28276224912546932</v>
      </c>
      <c r="AR124" s="161">
        <f t="shared" si="502"/>
        <v>0.31033781717404646</v>
      </c>
      <c r="AS124" s="161">
        <f t="shared" si="502"/>
        <v>0.30369915855767665</v>
      </c>
      <c r="AT124" s="161">
        <f t="shared" si="502"/>
        <v>0.23121247159255545</v>
      </c>
      <c r="AU124" s="161">
        <f t="shared" si="502"/>
        <v>0.28727154787050185</v>
      </c>
      <c r="AV124" s="161">
        <f t="shared" si="502"/>
        <v>0.30341733812301802</v>
      </c>
      <c r="AW124" s="161">
        <f t="shared" si="502"/>
        <v>0.25223421227115717</v>
      </c>
      <c r="AX124" s="161">
        <f t="shared" si="502"/>
        <v>0.32393144556643966</v>
      </c>
      <c r="AY124" s="161">
        <f t="shared" si="502"/>
        <v>0.34432528828724002</v>
      </c>
      <c r="AZ124" s="161">
        <f t="shared" si="502"/>
        <v>0.32968129614441005</v>
      </c>
      <c r="BA124" s="161">
        <f t="shared" si="502"/>
        <v>0.32475527668529774</v>
      </c>
      <c r="BB124" s="161">
        <f t="shared" si="502"/>
        <v>0.31634914628196387</v>
      </c>
      <c r="BC124" s="161">
        <f t="shared" si="502"/>
        <v>0.32422539723613775</v>
      </c>
      <c r="BD124" s="161">
        <f t="shared" si="502"/>
        <v>0.29433557656033571</v>
      </c>
      <c r="BE124" s="161">
        <f t="shared" si="502"/>
        <v>0.26947300569643856</v>
      </c>
      <c r="BF124" s="161">
        <f t="shared" si="502"/>
        <v>0.29875013507403642</v>
      </c>
      <c r="BG124" s="161">
        <f t="shared" si="502"/>
        <v>0.31315274262072912</v>
      </c>
      <c r="BH124" s="161">
        <f t="shared" si="502"/>
        <v>0.30061603329741471</v>
      </c>
      <c r="BI124" s="161">
        <f t="shared" si="502"/>
        <v>0.30958123030628992</v>
      </c>
      <c r="BJ124" s="161">
        <f t="shared" si="502"/>
        <v>0.3230391697851786</v>
      </c>
      <c r="BK124" s="161">
        <f t="shared" si="502"/>
        <v>0.32432354468247793</v>
      </c>
      <c r="BL124" s="161">
        <f t="shared" si="502"/>
        <v>0.30789671019475667</v>
      </c>
      <c r="BM124" s="161">
        <f t="shared" si="502"/>
        <v>0.27226731524278508</v>
      </c>
      <c r="BN124" s="161">
        <f t="shared" si="502"/>
        <v>0.2746925987421453</v>
      </c>
      <c r="BO124" s="161">
        <f t="shared" ref="BO124:CR124" si="503">IFERROR((BO76-BO105-BO116)/BO76,0)</f>
        <v>0.2645122474767807</v>
      </c>
      <c r="BP124" s="161">
        <f t="shared" si="503"/>
        <v>0.26842588435395254</v>
      </c>
      <c r="BQ124" s="161">
        <f t="shared" si="503"/>
        <v>0.28903503008313608</v>
      </c>
      <c r="BR124" s="161">
        <f t="shared" si="503"/>
        <v>0.26875115660640031</v>
      </c>
      <c r="BS124" s="161">
        <f t="shared" si="503"/>
        <v>0.27939135630389622</v>
      </c>
      <c r="BT124" s="161">
        <f t="shared" si="503"/>
        <v>0.30074402107664411</v>
      </c>
      <c r="BU124" s="161">
        <f t="shared" si="503"/>
        <v>0.23174440814177949</v>
      </c>
      <c r="BV124" s="161">
        <f t="shared" si="503"/>
        <v>0.2392270517001798</v>
      </c>
      <c r="BW124" s="161">
        <f t="shared" si="503"/>
        <v>0.24281526230311595</v>
      </c>
      <c r="BX124" s="161">
        <f t="shared" si="503"/>
        <v>0.22437758823484272</v>
      </c>
      <c r="BY124" s="161">
        <f t="shared" si="503"/>
        <v>0.25538589507019488</v>
      </c>
      <c r="BZ124" s="161">
        <f t="shared" si="503"/>
        <v>0.27450858615434121</v>
      </c>
      <c r="CA124" s="161">
        <f t="shared" si="503"/>
        <v>0.22478010050081845</v>
      </c>
      <c r="CB124" s="161">
        <f t="shared" si="503"/>
        <v>0.24862598485517065</v>
      </c>
      <c r="CC124" s="161">
        <f t="shared" si="503"/>
        <v>0.20415991596036254</v>
      </c>
      <c r="CD124" s="161">
        <f t="shared" si="503"/>
        <v>0.19906129385389137</v>
      </c>
      <c r="CE124" s="161">
        <f t="shared" si="503"/>
        <v>0.2236248070712975</v>
      </c>
      <c r="CF124" s="161">
        <f t="shared" si="503"/>
        <v>0.18213398186301455</v>
      </c>
      <c r="CG124" s="161">
        <f t="shared" si="503"/>
        <v>0.21097869056851828</v>
      </c>
      <c r="CH124" s="161">
        <f t="shared" si="503"/>
        <v>0.2194164923897238</v>
      </c>
      <c r="CI124" s="161">
        <f t="shared" si="503"/>
        <v>0.22345813474373347</v>
      </c>
      <c r="CJ124" s="161">
        <f t="shared" si="503"/>
        <v>0.2026587981410421</v>
      </c>
      <c r="CK124" s="161">
        <f t="shared" si="503"/>
        <v>0.23759380326618629</v>
      </c>
      <c r="CL124" s="161">
        <f t="shared" si="503"/>
        <v>0.25902745816541511</v>
      </c>
      <c r="CM124" s="161">
        <f t="shared" si="503"/>
        <v>0.20311371079660764</v>
      </c>
      <c r="CN124" s="161">
        <f t="shared" si="503"/>
        <v>0.22999682437004723</v>
      </c>
      <c r="CO124" s="161">
        <f t="shared" si="503"/>
        <v>0.17976051624479494</v>
      </c>
      <c r="CP124" s="161">
        <f t="shared" si="503"/>
        <v>0.17397079160895354</v>
      </c>
      <c r="CQ124" s="161">
        <f t="shared" si="503"/>
        <v>0.20180791622084412</v>
      </c>
      <c r="CR124" s="161">
        <f t="shared" si="503"/>
        <v>0.15470525930143636</v>
      </c>
      <c r="CS124" s="161">
        <f t="shared" ref="CS124:DD124" si="504">IFERROR((CS76-CS105-CS116)/CS76,0)</f>
        <v>0.19720555615206645</v>
      </c>
      <c r="CT124" s="161">
        <f t="shared" si="504"/>
        <v>0.20629367972609503</v>
      </c>
      <c r="CU124" s="161">
        <f t="shared" si="504"/>
        <v>0.21064353929539878</v>
      </c>
      <c r="CV124" s="161">
        <f t="shared" si="504"/>
        <v>0.18823534605034475</v>
      </c>
      <c r="CW124" s="161">
        <f t="shared" si="504"/>
        <v>0.22584050686074189</v>
      </c>
      <c r="CX124" s="161">
        <f t="shared" si="504"/>
        <v>0.24883398062190962</v>
      </c>
      <c r="CY124" s="161">
        <f t="shared" si="504"/>
        <v>0.18872604991824166</v>
      </c>
      <c r="CZ124" s="161">
        <f t="shared" si="504"/>
        <v>0.21767637552756064</v>
      </c>
      <c r="DA124" s="161">
        <f t="shared" si="504"/>
        <v>0.16350055392906676</v>
      </c>
      <c r="DB124" s="161">
        <f t="shared" si="504"/>
        <v>0.15723560457961461</v>
      </c>
      <c r="DC124" s="161">
        <f t="shared" si="504"/>
        <v>0.18731744670179609</v>
      </c>
      <c r="DD124" s="161">
        <f t="shared" si="504"/>
        <v>0.13635705701367784</v>
      </c>
      <c r="DF124" s="161">
        <f t="shared" ref="DF124:EI124" si="505">IFERROR((DF76-DF105-DF116)/DF76,0)</f>
        <v>0.28234661816715462</v>
      </c>
      <c r="DG124" s="161">
        <f t="shared" si="505"/>
        <v>0.29306868745799547</v>
      </c>
      <c r="DH124" s="161">
        <f t="shared" si="505"/>
        <v>0.29791784068484134</v>
      </c>
      <c r="DI124" s="161">
        <f t="shared" si="505"/>
        <v>0.27561345736171389</v>
      </c>
      <c r="DJ124" s="161">
        <f t="shared" si="505"/>
        <v>0.3090483924562567</v>
      </c>
      <c r="DK124" s="161">
        <f t="shared" si="505"/>
        <v>0.32373739648268107</v>
      </c>
      <c r="DL124" s="161">
        <f t="shared" si="505"/>
        <v>0.29555974629617948</v>
      </c>
      <c r="DM124" s="161">
        <f t="shared" si="505"/>
        <v>0.30361301417882852</v>
      </c>
      <c r="DN124" s="161">
        <f t="shared" si="505"/>
        <v>0.31908810976865598</v>
      </c>
      <c r="DO124" s="161">
        <f t="shared" si="505"/>
        <v>0.28463673908257936</v>
      </c>
      <c r="DP124" s="161">
        <f t="shared" si="505"/>
        <v>0.27508389093503821</v>
      </c>
      <c r="DQ124" s="161">
        <f t="shared" si="505"/>
        <v>0.28623191841249818</v>
      </c>
      <c r="DR124" s="161">
        <f t="shared" si="505"/>
        <v>0.23798703061210547</v>
      </c>
      <c r="DS124" s="161">
        <f t="shared" si="505"/>
        <v>0.25207481633092071</v>
      </c>
      <c r="DT124" s="161">
        <f t="shared" si="505"/>
        <v>0.22612299937264693</v>
      </c>
      <c r="DU124" s="161">
        <f t="shared" si="505"/>
        <v>0.20179340745094046</v>
      </c>
      <c r="DV124" s="161">
        <f t="shared" si="505"/>
        <v>0.21801583737852737</v>
      </c>
      <c r="DW124" s="161">
        <f t="shared" si="505"/>
        <v>0.2338442670826662</v>
      </c>
      <c r="DX124" s="161">
        <f t="shared" si="505"/>
        <v>0.20466363352333047</v>
      </c>
      <c r="DY124" s="161">
        <f t="shared" si="505"/>
        <v>0.17715503778705524</v>
      </c>
      <c r="DZ124" s="161">
        <f t="shared" ref="DZ124:EC124" si="506">IFERROR((DZ76-DZ105-DZ116)/DZ76,0)</f>
        <v>0.20478232043561057</v>
      </c>
      <c r="EA124" s="161">
        <f t="shared" si="506"/>
        <v>0.22179240549517509</v>
      </c>
      <c r="EB124" s="161">
        <f t="shared" si="506"/>
        <v>0.19039976825625077</v>
      </c>
      <c r="EC124" s="161">
        <f t="shared" si="506"/>
        <v>0.16068323890227387</v>
      </c>
      <c r="ED124" s="805"/>
      <c r="EE124" s="161">
        <f t="shared" si="505"/>
        <v>0.28744461593510795</v>
      </c>
      <c r="EF124" s="161">
        <f t="shared" si="505"/>
        <v>0.3080482494731468</v>
      </c>
      <c r="EG124" s="161">
        <f t="shared" si="505"/>
        <v>0.28971409151579536</v>
      </c>
      <c r="EH124" s="161">
        <f t="shared" si="505"/>
        <v>0.22929270371498192</v>
      </c>
      <c r="EI124" s="161">
        <f t="shared" si="505"/>
        <v>0.20845888859904566</v>
      </c>
      <c r="EJ124" s="161">
        <f t="shared" ref="EJ124" si="507">IFERROR((EJ76-EJ105-EJ116)/EJ76,0)</f>
        <v>0.19451567600179945</v>
      </c>
    </row>
    <row r="125" spans="2:140" x14ac:dyDescent="0.2">
      <c r="B125" s="173" t="s">
        <v>145</v>
      </c>
      <c r="C125" s="161">
        <f t="shared" ref="C125:AH125" si="508">IFERROR((C77-C106)/C77,0)</f>
        <v>0.39634452663749664</v>
      </c>
      <c r="D125" s="161">
        <f t="shared" si="508"/>
        <v>0.41149135220876143</v>
      </c>
      <c r="E125" s="161">
        <f t="shared" si="508"/>
        <v>0.38058445782926148</v>
      </c>
      <c r="F125" s="161">
        <f t="shared" si="508"/>
        <v>0.46983810491499844</v>
      </c>
      <c r="G125" s="161">
        <f t="shared" si="508"/>
        <v>0.433736389911828</v>
      </c>
      <c r="H125" s="161">
        <f t="shared" si="508"/>
        <v>0.36201721462027486</v>
      </c>
      <c r="I125" s="161">
        <f t="shared" si="508"/>
        <v>0.41017890720213007</v>
      </c>
      <c r="J125" s="161">
        <f t="shared" si="508"/>
        <v>0.34606834993189201</v>
      </c>
      <c r="K125" s="161">
        <f t="shared" si="508"/>
        <v>0.34032395348205968</v>
      </c>
      <c r="L125" s="161">
        <f t="shared" si="508"/>
        <v>0.34941019818729224</v>
      </c>
      <c r="M125" s="161">
        <f t="shared" si="508"/>
        <v>0.35316864170048312</v>
      </c>
      <c r="N125" s="161">
        <f t="shared" si="508"/>
        <v>0.37573405504774554</v>
      </c>
      <c r="O125" s="161">
        <f t="shared" si="508"/>
        <v>0.32680236628998921</v>
      </c>
      <c r="P125" s="161">
        <f t="shared" si="508"/>
        <v>0.35835865732058464</v>
      </c>
      <c r="Q125" s="161">
        <f t="shared" si="508"/>
        <v>0.26403677357958527</v>
      </c>
      <c r="R125" s="161">
        <f t="shared" si="508"/>
        <v>0.33717547242722129</v>
      </c>
      <c r="S125" s="161">
        <f t="shared" si="508"/>
        <v>0.28945369191892617</v>
      </c>
      <c r="T125" s="161">
        <f t="shared" si="508"/>
        <v>0.23613473325116668</v>
      </c>
      <c r="U125" s="161">
        <f t="shared" si="508"/>
        <v>0.25175527706859835</v>
      </c>
      <c r="V125" s="161">
        <f t="shared" si="508"/>
        <v>0.24626639813696904</v>
      </c>
      <c r="W125" s="161">
        <f t="shared" si="508"/>
        <v>0.21133093722619936</v>
      </c>
      <c r="X125" s="161">
        <f t="shared" si="508"/>
        <v>0.15613024594276154</v>
      </c>
      <c r="Y125" s="161">
        <f t="shared" si="508"/>
        <v>0.24454930279345624</v>
      </c>
      <c r="Z125" s="161">
        <f t="shared" si="508"/>
        <v>0.24371730992514171</v>
      </c>
      <c r="AA125" s="161">
        <f t="shared" si="508"/>
        <v>0.25122562018020267</v>
      </c>
      <c r="AB125" s="161">
        <f t="shared" si="508"/>
        <v>0.23833854431376128</v>
      </c>
      <c r="AC125" s="161">
        <f t="shared" si="508"/>
        <v>0.23386101873297052</v>
      </c>
      <c r="AD125" s="161">
        <f t="shared" si="508"/>
        <v>0.26840543623398067</v>
      </c>
      <c r="AE125" s="161">
        <f t="shared" si="508"/>
        <v>0.26660159650433179</v>
      </c>
      <c r="AF125" s="161">
        <f t="shared" si="508"/>
        <v>0.41802885734960454</v>
      </c>
      <c r="AG125" s="161">
        <f t="shared" si="508"/>
        <v>0.21034404206185697</v>
      </c>
      <c r="AH125" s="161">
        <f t="shared" si="508"/>
        <v>0.23924093915605726</v>
      </c>
      <c r="AI125" s="161">
        <f t="shared" ref="AI125:BN125" si="509">IFERROR((AI77-AI106)/AI77,0)</f>
        <v>0.29786524760298638</v>
      </c>
      <c r="AJ125" s="161">
        <f t="shared" si="509"/>
        <v>0.28853553048192532</v>
      </c>
      <c r="AK125" s="161">
        <f t="shared" si="509"/>
        <v>0.30638877100598738</v>
      </c>
      <c r="AL125" s="161">
        <f t="shared" si="509"/>
        <v>0.32260138306011255</v>
      </c>
      <c r="AM125" s="161">
        <f t="shared" si="509"/>
        <v>0.33953384825785132</v>
      </c>
      <c r="AN125" s="161">
        <f t="shared" si="509"/>
        <v>0.31793010713552461</v>
      </c>
      <c r="AO125" s="161">
        <f t="shared" si="509"/>
        <v>0.2668271033447524</v>
      </c>
      <c r="AP125" s="161">
        <f t="shared" si="509"/>
        <v>0.275077990421003</v>
      </c>
      <c r="AQ125" s="161">
        <f t="shared" si="509"/>
        <v>0.23358279013694086</v>
      </c>
      <c r="AR125" s="161">
        <f t="shared" si="509"/>
        <v>0.15090292978395911</v>
      </c>
      <c r="AS125" s="161">
        <f t="shared" si="509"/>
        <v>0.28979509729940178</v>
      </c>
      <c r="AT125" s="161">
        <f t="shared" si="509"/>
        <v>0.30674623265617579</v>
      </c>
      <c r="AU125" s="161">
        <f t="shared" si="509"/>
        <v>0.33663674912158131</v>
      </c>
      <c r="AV125" s="161">
        <f t="shared" si="509"/>
        <v>0.25176730889664672</v>
      </c>
      <c r="AW125" s="161">
        <f t="shared" si="509"/>
        <v>0.24146860034634013</v>
      </c>
      <c r="AX125" s="161">
        <f t="shared" si="509"/>
        <v>0.25440106794663297</v>
      </c>
      <c r="AY125" s="161">
        <f t="shared" si="509"/>
        <v>0.29192502294567613</v>
      </c>
      <c r="AZ125" s="161">
        <f t="shared" si="509"/>
        <v>0.23585060831442781</v>
      </c>
      <c r="BA125" s="161">
        <f t="shared" si="509"/>
        <v>0.40315185701453249</v>
      </c>
      <c r="BB125" s="161">
        <f t="shared" si="509"/>
        <v>0.34266202303547866</v>
      </c>
      <c r="BC125" s="161">
        <f t="shared" si="509"/>
        <v>0.27624415212316006</v>
      </c>
      <c r="BD125" s="161">
        <f t="shared" si="509"/>
        <v>0.27140629032647096</v>
      </c>
      <c r="BE125" s="161">
        <f t="shared" si="509"/>
        <v>0.24234079136795528</v>
      </c>
      <c r="BF125" s="161">
        <f t="shared" si="509"/>
        <v>0.31992157326171722</v>
      </c>
      <c r="BG125" s="161">
        <f t="shared" si="509"/>
        <v>0.25857405051376925</v>
      </c>
      <c r="BH125" s="161">
        <f t="shared" si="509"/>
        <v>0.26868006389247828</v>
      </c>
      <c r="BI125" s="161">
        <f t="shared" si="509"/>
        <v>0.28733570347265669</v>
      </c>
      <c r="BJ125" s="161">
        <f t="shared" si="509"/>
        <v>0.29523098970438033</v>
      </c>
      <c r="BK125" s="161">
        <f t="shared" si="509"/>
        <v>0.31645343512593754</v>
      </c>
      <c r="BL125" s="161">
        <f t="shared" si="509"/>
        <v>0.30315329687071013</v>
      </c>
      <c r="BM125" s="161">
        <f t="shared" si="509"/>
        <v>0.26248373907876715</v>
      </c>
      <c r="BN125" s="161">
        <f t="shared" si="509"/>
        <v>0.26093780788590037</v>
      </c>
      <c r="BO125" s="161">
        <f t="shared" ref="BO125:CR125" si="510">IFERROR((BO77-BO106)/BO77,0)</f>
        <v>0.27596739064715115</v>
      </c>
      <c r="BP125" s="161">
        <f t="shared" si="510"/>
        <v>0.24980759336096214</v>
      </c>
      <c r="BQ125" s="161">
        <f t="shared" si="510"/>
        <v>0.22069283046191146</v>
      </c>
      <c r="BR125" s="161">
        <f t="shared" si="510"/>
        <v>0.23348997434441848</v>
      </c>
      <c r="BS125" s="161">
        <f t="shared" si="510"/>
        <v>0.24432124331239002</v>
      </c>
      <c r="BT125" s="161">
        <f t="shared" si="510"/>
        <v>0.32608226048223315</v>
      </c>
      <c r="BU125" s="161">
        <f t="shared" si="510"/>
        <v>0.2754697610017387</v>
      </c>
      <c r="BV125" s="161">
        <f t="shared" si="510"/>
        <v>0.27546976100173864</v>
      </c>
      <c r="BW125" s="161">
        <f t="shared" si="510"/>
        <v>0.27546976100173864</v>
      </c>
      <c r="BX125" s="161">
        <f t="shared" si="510"/>
        <v>0.27546976100173876</v>
      </c>
      <c r="BY125" s="161">
        <f t="shared" si="510"/>
        <v>0.2754697610017387</v>
      </c>
      <c r="BZ125" s="161">
        <f t="shared" si="510"/>
        <v>0.2754697610017387</v>
      </c>
      <c r="CA125" s="161">
        <f t="shared" si="510"/>
        <v>0.27546976100173876</v>
      </c>
      <c r="CB125" s="161">
        <f t="shared" si="510"/>
        <v>0.27546976100173876</v>
      </c>
      <c r="CC125" s="161">
        <f t="shared" si="510"/>
        <v>0.2754697610017387</v>
      </c>
      <c r="CD125" s="161">
        <f t="shared" si="510"/>
        <v>0.2754697610017387</v>
      </c>
      <c r="CE125" s="161">
        <f t="shared" si="510"/>
        <v>0.2754697610017387</v>
      </c>
      <c r="CF125" s="161">
        <f t="shared" si="510"/>
        <v>0.2754697610017387</v>
      </c>
      <c r="CG125" s="161">
        <f t="shared" si="510"/>
        <v>0.27546976100173876</v>
      </c>
      <c r="CH125" s="161">
        <f t="shared" si="510"/>
        <v>0.27546976100173876</v>
      </c>
      <c r="CI125" s="161">
        <f t="shared" si="510"/>
        <v>0.27546976100173864</v>
      </c>
      <c r="CJ125" s="161">
        <f t="shared" si="510"/>
        <v>0.2754697610017387</v>
      </c>
      <c r="CK125" s="161">
        <f t="shared" si="510"/>
        <v>0.27546976100173876</v>
      </c>
      <c r="CL125" s="161">
        <f t="shared" si="510"/>
        <v>0.27546976100173876</v>
      </c>
      <c r="CM125" s="161">
        <f t="shared" si="510"/>
        <v>0.27546976100173864</v>
      </c>
      <c r="CN125" s="161">
        <f t="shared" si="510"/>
        <v>0.27546976100173864</v>
      </c>
      <c r="CO125" s="161">
        <f t="shared" si="510"/>
        <v>0.2754697610017387</v>
      </c>
      <c r="CP125" s="161">
        <f t="shared" si="510"/>
        <v>0.2754697610017387</v>
      </c>
      <c r="CQ125" s="161">
        <f t="shared" si="510"/>
        <v>0.2754697610017387</v>
      </c>
      <c r="CR125" s="161">
        <f t="shared" si="510"/>
        <v>0.2754697610017387</v>
      </c>
      <c r="CS125" s="161">
        <f t="shared" ref="CS125:DD125" si="511">IFERROR((CS77-CS106)/CS77,0)</f>
        <v>0.27546976100173864</v>
      </c>
      <c r="CT125" s="161">
        <f t="shared" si="511"/>
        <v>0.27546976100173864</v>
      </c>
      <c r="CU125" s="161">
        <f t="shared" si="511"/>
        <v>0.27546976100173864</v>
      </c>
      <c r="CV125" s="161">
        <f t="shared" si="511"/>
        <v>0.27546976100173876</v>
      </c>
      <c r="CW125" s="161">
        <f t="shared" si="511"/>
        <v>0.2754697610017387</v>
      </c>
      <c r="CX125" s="161">
        <f t="shared" si="511"/>
        <v>0.2754697610017387</v>
      </c>
      <c r="CY125" s="161">
        <f t="shared" si="511"/>
        <v>0.2754697610017387</v>
      </c>
      <c r="CZ125" s="161">
        <f t="shared" si="511"/>
        <v>0.27546976100173876</v>
      </c>
      <c r="DA125" s="161">
        <f t="shared" si="511"/>
        <v>0.27546976100173864</v>
      </c>
      <c r="DB125" s="161">
        <f t="shared" si="511"/>
        <v>0.2754697610017387</v>
      </c>
      <c r="DC125" s="161">
        <f t="shared" si="511"/>
        <v>0.2754697610017387</v>
      </c>
      <c r="DD125" s="161">
        <f t="shared" si="511"/>
        <v>0.27546976100173876</v>
      </c>
      <c r="DF125" s="161">
        <f t="shared" ref="DF125:EI125" si="512">IFERROR((DF77-DF106)/DF77,0)</f>
        <v>0.32353933842599464</v>
      </c>
      <c r="DG125" s="161">
        <f t="shared" si="512"/>
        <v>0.28304823596085743</v>
      </c>
      <c r="DH125" s="161">
        <f t="shared" si="512"/>
        <v>0.22331954881476565</v>
      </c>
      <c r="DI125" s="161">
        <f t="shared" si="512"/>
        <v>0.29637310621776686</v>
      </c>
      <c r="DJ125" s="161">
        <f t="shared" si="512"/>
        <v>0.26393298177530167</v>
      </c>
      <c r="DK125" s="161">
        <f t="shared" si="512"/>
        <v>0.32571543613331377</v>
      </c>
      <c r="DL125" s="161">
        <f t="shared" si="512"/>
        <v>0.26303170348520433</v>
      </c>
      <c r="DM125" s="161">
        <f t="shared" si="512"/>
        <v>0.28286425178702457</v>
      </c>
      <c r="DN125" s="161">
        <f t="shared" si="512"/>
        <v>0.29856530196415226</v>
      </c>
      <c r="DO125" s="161">
        <f t="shared" si="512"/>
        <v>0.27540659033720849</v>
      </c>
      <c r="DP125" s="161">
        <f t="shared" si="512"/>
        <v>0.24762965577125157</v>
      </c>
      <c r="DQ125" s="161">
        <f t="shared" si="512"/>
        <v>0.27075449579388494</v>
      </c>
      <c r="DR125" s="161">
        <f t="shared" si="512"/>
        <v>0.2754697610017387</v>
      </c>
      <c r="DS125" s="161">
        <f t="shared" si="512"/>
        <v>0.27546976100173864</v>
      </c>
      <c r="DT125" s="161">
        <f t="shared" si="512"/>
        <v>0.27546976100173864</v>
      </c>
      <c r="DU125" s="161">
        <f t="shared" si="512"/>
        <v>0.27546976100173887</v>
      </c>
      <c r="DV125" s="161">
        <f t="shared" si="512"/>
        <v>0.27546976100173859</v>
      </c>
      <c r="DW125" s="161">
        <f t="shared" si="512"/>
        <v>0.27546976100173876</v>
      </c>
      <c r="DX125" s="161">
        <f t="shared" si="512"/>
        <v>0.27546976100173881</v>
      </c>
      <c r="DY125" s="161">
        <f t="shared" si="512"/>
        <v>0.27546976100173881</v>
      </c>
      <c r="DZ125" s="161">
        <f t="shared" ref="DZ125:EC125" si="513">IFERROR((DZ77-DZ106)/DZ77,0)</f>
        <v>0.27546976100173859</v>
      </c>
      <c r="EA125" s="161">
        <f t="shared" si="513"/>
        <v>0.27546976100173876</v>
      </c>
      <c r="EB125" s="161">
        <f t="shared" si="513"/>
        <v>0.27546976100173864</v>
      </c>
      <c r="EC125" s="161">
        <f t="shared" si="513"/>
        <v>0.27546976100173876</v>
      </c>
      <c r="ED125" s="805"/>
      <c r="EE125" s="161">
        <f t="shared" si="512"/>
        <v>0.27708214274093923</v>
      </c>
      <c r="EF125" s="161">
        <f t="shared" si="512"/>
        <v>0.28264961657203191</v>
      </c>
      <c r="EG125" s="161">
        <f t="shared" si="512"/>
        <v>0.26982348130524364</v>
      </c>
      <c r="EH125" s="161">
        <f t="shared" si="512"/>
        <v>0.27546976100173876</v>
      </c>
      <c r="EI125" s="161">
        <f t="shared" si="512"/>
        <v>0.27546976100173881</v>
      </c>
      <c r="EJ125" s="161">
        <f t="shared" ref="EJ125" si="514">IFERROR((EJ77-EJ106)/EJ77,0)</f>
        <v>0.27546976100173859</v>
      </c>
    </row>
    <row r="126" spans="2:140" x14ac:dyDescent="0.2">
      <c r="B126" s="2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E126" s="10"/>
      <c r="EF126" s="10"/>
      <c r="EG126" s="10"/>
      <c r="EH126" s="10"/>
      <c r="EI126" s="10"/>
      <c r="EJ126" s="812"/>
    </row>
    <row r="127" spans="2:140" x14ac:dyDescent="0.2">
      <c r="B127" s="196" t="s">
        <v>30</v>
      </c>
      <c r="C127" s="198">
        <f t="shared" ref="C127:AH127" si="515">C74-C102</f>
        <v>2057631.3342583096</v>
      </c>
      <c r="D127" s="198">
        <f t="shared" si="515"/>
        <v>2133064.5666128388</v>
      </c>
      <c r="E127" s="198">
        <f t="shared" si="515"/>
        <v>2228977.6405591741</v>
      </c>
      <c r="F127" s="198">
        <f t="shared" si="515"/>
        <v>2394441.1002090611</v>
      </c>
      <c r="G127" s="198">
        <f t="shared" si="515"/>
        <v>2125077.8442082144</v>
      </c>
      <c r="H127" s="198">
        <f t="shared" si="515"/>
        <v>2744594.7265453339</v>
      </c>
      <c r="I127" s="198">
        <f t="shared" si="515"/>
        <v>5643376.4507448301</v>
      </c>
      <c r="J127" s="198">
        <f t="shared" si="515"/>
        <v>6911873.3160878383</v>
      </c>
      <c r="K127" s="198">
        <f t="shared" si="515"/>
        <v>7111868.6978323162</v>
      </c>
      <c r="L127" s="198">
        <f t="shared" si="515"/>
        <v>9641234.6506473422</v>
      </c>
      <c r="M127" s="198">
        <f t="shared" si="515"/>
        <v>5495600.1438003443</v>
      </c>
      <c r="N127" s="198">
        <f t="shared" si="515"/>
        <v>123534.20368492563</v>
      </c>
      <c r="O127" s="198">
        <f t="shared" si="515"/>
        <v>4778700.5195607692</v>
      </c>
      <c r="P127" s="198">
        <f t="shared" si="515"/>
        <v>7307201.3022581004</v>
      </c>
      <c r="Q127" s="198">
        <f t="shared" si="515"/>
        <v>8768272.8523349091</v>
      </c>
      <c r="R127" s="198">
        <f t="shared" si="515"/>
        <v>9746585.9833156541</v>
      </c>
      <c r="S127" s="198">
        <f t="shared" si="515"/>
        <v>11382011.474578843</v>
      </c>
      <c r="T127" s="198">
        <f t="shared" si="515"/>
        <v>18279494.99049779</v>
      </c>
      <c r="U127" s="198">
        <f t="shared" si="515"/>
        <v>21024982.596029371</v>
      </c>
      <c r="V127" s="198">
        <f t="shared" si="515"/>
        <v>17924844.174262941</v>
      </c>
      <c r="W127" s="198">
        <f t="shared" si="515"/>
        <v>20513612.888084471</v>
      </c>
      <c r="X127" s="198">
        <f t="shared" si="515"/>
        <v>22341650.652038902</v>
      </c>
      <c r="Y127" s="198">
        <f t="shared" si="515"/>
        <v>21033476.72446622</v>
      </c>
      <c r="Z127" s="198">
        <f t="shared" si="515"/>
        <v>23068444.542039856</v>
      </c>
      <c r="AA127" s="198">
        <f t="shared" si="515"/>
        <v>26920877.474401161</v>
      </c>
      <c r="AB127" s="198">
        <f t="shared" si="515"/>
        <v>29612866.627939597</v>
      </c>
      <c r="AC127" s="198">
        <f t="shared" si="515"/>
        <v>26965545.002739847</v>
      </c>
      <c r="AD127" s="198">
        <f t="shared" si="515"/>
        <v>21591208.69899103</v>
      </c>
      <c r="AE127" s="198">
        <f t="shared" si="515"/>
        <v>25656074.606984735</v>
      </c>
      <c r="AF127" s="198">
        <f t="shared" si="515"/>
        <v>27198525.133595526</v>
      </c>
      <c r="AG127" s="198">
        <f t="shared" si="515"/>
        <v>34191139.418970227</v>
      </c>
      <c r="AH127" s="198">
        <f t="shared" si="515"/>
        <v>39770875.225632757</v>
      </c>
      <c r="AI127" s="198">
        <f t="shared" ref="AI127:BN127" si="516">AI74-AI102</f>
        <v>41574473.963227123</v>
      </c>
      <c r="AJ127" s="198">
        <f t="shared" si="516"/>
        <v>49738131.976921588</v>
      </c>
      <c r="AK127" s="198">
        <f t="shared" si="516"/>
        <v>46465739.745687187</v>
      </c>
      <c r="AL127" s="198">
        <f t="shared" si="516"/>
        <v>52353861.926784337</v>
      </c>
      <c r="AM127" s="198">
        <f t="shared" si="516"/>
        <v>55461285.076292932</v>
      </c>
      <c r="AN127" s="198">
        <f t="shared" si="516"/>
        <v>49235067.175309747</v>
      </c>
      <c r="AO127" s="198">
        <f t="shared" si="516"/>
        <v>50453710.396496505</v>
      </c>
      <c r="AP127" s="198">
        <f t="shared" si="516"/>
        <v>43302027.584639311</v>
      </c>
      <c r="AQ127" s="198">
        <f t="shared" si="516"/>
        <v>56306623.735884547</v>
      </c>
      <c r="AR127" s="198">
        <f t="shared" si="516"/>
        <v>53314194.080545902</v>
      </c>
      <c r="AS127" s="198">
        <f t="shared" si="516"/>
        <v>49295010.898904771</v>
      </c>
      <c r="AT127" s="198">
        <f t="shared" si="516"/>
        <v>47013820.557910025</v>
      </c>
      <c r="AU127" s="198">
        <f t="shared" si="516"/>
        <v>53515118.215163469</v>
      </c>
      <c r="AV127" s="198">
        <f t="shared" si="516"/>
        <v>61090783.163004011</v>
      </c>
      <c r="AW127" s="198">
        <f t="shared" si="516"/>
        <v>58512769.089631557</v>
      </c>
      <c r="AX127" s="198">
        <f t="shared" si="516"/>
        <v>65169598.067752302</v>
      </c>
      <c r="AY127" s="198">
        <f t="shared" si="516"/>
        <v>68855970.596052855</v>
      </c>
      <c r="AZ127" s="198">
        <f t="shared" si="516"/>
        <v>66021081.128714055</v>
      </c>
      <c r="BA127" s="198">
        <f t="shared" si="516"/>
        <v>58167571.255968064</v>
      </c>
      <c r="BB127" s="198">
        <f t="shared" si="516"/>
        <v>46847032.053922832</v>
      </c>
      <c r="BC127" s="198">
        <f t="shared" si="516"/>
        <v>66395734.474804163</v>
      </c>
      <c r="BD127" s="198">
        <f t="shared" si="516"/>
        <v>66063785.517006844</v>
      </c>
      <c r="BE127" s="198">
        <f t="shared" si="516"/>
        <v>75474343.340111673</v>
      </c>
      <c r="BF127" s="198">
        <f t="shared" si="516"/>
        <v>75417121.912845969</v>
      </c>
      <c r="BG127" s="198">
        <f t="shared" si="516"/>
        <v>71627347.529583037</v>
      </c>
      <c r="BH127" s="198">
        <f t="shared" si="516"/>
        <v>90368559.886485279</v>
      </c>
      <c r="BI127" s="198">
        <f t="shared" si="516"/>
        <v>88246701.516079426</v>
      </c>
      <c r="BJ127" s="198">
        <f t="shared" si="516"/>
        <v>82726003.875164568</v>
      </c>
      <c r="BK127" s="198">
        <f t="shared" si="516"/>
        <v>91181430.234001458</v>
      </c>
      <c r="BL127" s="198">
        <f t="shared" si="516"/>
        <v>95252526.00528878</v>
      </c>
      <c r="BM127" s="198">
        <f t="shared" si="516"/>
        <v>89455368.770499349</v>
      </c>
      <c r="BN127" s="198">
        <f t="shared" si="516"/>
        <v>81064186.495888829</v>
      </c>
      <c r="BO127" s="198">
        <f t="shared" ref="BO127:CR127" si="517">BO74-BO102</f>
        <v>120902209.49319762</v>
      </c>
      <c r="BP127" s="198">
        <f t="shared" si="517"/>
        <v>107175331.14917302</v>
      </c>
      <c r="BQ127" s="198">
        <f t="shared" si="517"/>
        <v>119356666.55738419</v>
      </c>
      <c r="BR127" s="198">
        <f t="shared" si="517"/>
        <v>127877564.92440701</v>
      </c>
      <c r="BS127" s="198">
        <f t="shared" si="517"/>
        <v>118842662.93015528</v>
      </c>
      <c r="BT127" s="198">
        <f t="shared" si="517"/>
        <v>133685381.2143575</v>
      </c>
      <c r="BU127" s="198">
        <f t="shared" si="517"/>
        <v>124519423.43310058</v>
      </c>
      <c r="BV127" s="198">
        <f t="shared" si="517"/>
        <v>122206655.99516118</v>
      </c>
      <c r="BW127" s="198">
        <f t="shared" si="517"/>
        <v>122085599.31620246</v>
      </c>
      <c r="BX127" s="198">
        <f t="shared" si="517"/>
        <v>131509633.3818934</v>
      </c>
      <c r="BY127" s="198">
        <f t="shared" si="517"/>
        <v>118608754.84127069</v>
      </c>
      <c r="BZ127" s="198">
        <f t="shared" si="517"/>
        <v>110968206.05790162</v>
      </c>
      <c r="CA127" s="198">
        <f t="shared" si="517"/>
        <v>136153352.00708902</v>
      </c>
      <c r="CB127" s="198">
        <f t="shared" si="517"/>
        <v>126269613.8008936</v>
      </c>
      <c r="CC127" s="198">
        <f t="shared" si="517"/>
        <v>148428389.24768901</v>
      </c>
      <c r="CD127" s="198">
        <f t="shared" si="517"/>
        <v>151907645.75379121</v>
      </c>
      <c r="CE127" s="198">
        <f t="shared" si="517"/>
        <v>142071914.43678916</v>
      </c>
      <c r="CF127" s="198">
        <f t="shared" si="517"/>
        <v>163773564.13699508</v>
      </c>
      <c r="CG127" s="198">
        <f t="shared" si="517"/>
        <v>150799568.6389643</v>
      </c>
      <c r="CH127" s="198">
        <f t="shared" si="517"/>
        <v>148352402.1500175</v>
      </c>
      <c r="CI127" s="198">
        <f t="shared" si="517"/>
        <v>147426180.53782904</v>
      </c>
      <c r="CJ127" s="198">
        <f t="shared" si="517"/>
        <v>158768788.6666466</v>
      </c>
      <c r="CK127" s="198">
        <f t="shared" si="517"/>
        <v>142811143.74834728</v>
      </c>
      <c r="CL127" s="198">
        <f t="shared" si="517"/>
        <v>133234479.12579763</v>
      </c>
      <c r="CM127" s="198">
        <f t="shared" si="517"/>
        <v>163127480.0636245</v>
      </c>
      <c r="CN127" s="198">
        <f t="shared" si="517"/>
        <v>150425685.8592428</v>
      </c>
      <c r="CO127" s="198">
        <f t="shared" si="517"/>
        <v>176356164.3401463</v>
      </c>
      <c r="CP127" s="198">
        <f t="shared" si="517"/>
        <v>179755864.89005816</v>
      </c>
      <c r="CQ127" s="198">
        <f t="shared" si="517"/>
        <v>167225603.97839618</v>
      </c>
      <c r="CR127" s="198">
        <f t="shared" si="517"/>
        <v>190781661.27925563</v>
      </c>
      <c r="CS127" s="198">
        <f t="shared" ref="CS127:DD127" si="518">CS74-CS102</f>
        <v>168950051.18645263</v>
      </c>
      <c r="CT127" s="198">
        <f t="shared" si="518"/>
        <v>166038895.14687192</v>
      </c>
      <c r="CU127" s="198">
        <f t="shared" si="518"/>
        <v>164895074.49810624</v>
      </c>
      <c r="CV127" s="198">
        <f t="shared" si="518"/>
        <v>177531521.23864615</v>
      </c>
      <c r="CW127" s="198">
        <f t="shared" si="518"/>
        <v>159466804.11881804</v>
      </c>
      <c r="CX127" s="198">
        <f t="shared" si="518"/>
        <v>148545233.27729952</v>
      </c>
      <c r="CY127" s="198">
        <f t="shared" si="518"/>
        <v>181995969.86742556</v>
      </c>
      <c r="CZ127" s="198">
        <f t="shared" si="518"/>
        <v>167667745.03610861</v>
      </c>
      <c r="DA127" s="198">
        <f t="shared" si="518"/>
        <v>196650791.51494694</v>
      </c>
      <c r="DB127" s="198">
        <f t="shared" si="518"/>
        <v>200400859.66119099</v>
      </c>
      <c r="DC127" s="198">
        <f t="shared" si="518"/>
        <v>186272515.00200069</v>
      </c>
      <c r="DD127" s="198">
        <f t="shared" si="518"/>
        <v>212565792.12423289</v>
      </c>
      <c r="DF127" s="198">
        <f t="shared" ref="DF127" si="519">SUM(AK127:AM127)</f>
        <v>154280886.74876446</v>
      </c>
      <c r="DG127" s="198">
        <f t="shared" ref="DG127" si="520">SUM(AN127:AP127)</f>
        <v>142990805.15644556</v>
      </c>
      <c r="DH127" s="198">
        <f t="shared" ref="DH127" si="521">SUM(AQ127:AS127)</f>
        <v>158915828.71533522</v>
      </c>
      <c r="DI127" s="198">
        <f t="shared" ref="DI127" si="522">SUM(AT127:AV127)</f>
        <v>161619721.93607751</v>
      </c>
      <c r="DJ127" s="198">
        <f t="shared" ref="DJ127" si="523">SUM(AW127:AY127)</f>
        <v>192538337.75343671</v>
      </c>
      <c r="DK127" s="198">
        <f t="shared" ref="DK127" si="524">SUM(AZ127:BB127)</f>
        <v>171035684.43860495</v>
      </c>
      <c r="DL127" s="198">
        <f t="shared" ref="DL127" si="525">SUM(BC127:BE127)</f>
        <v>207933863.33192268</v>
      </c>
      <c r="DM127" s="198">
        <f t="shared" ref="DM127" si="526">SUM(BF127:BH127)</f>
        <v>237413029.32891428</v>
      </c>
      <c r="DN127" s="198">
        <f t="shared" ref="DN127" si="527">SUM(BI127:BK127)</f>
        <v>262154135.62524545</v>
      </c>
      <c r="DO127" s="198">
        <f t="shared" ref="DO127" si="528">SUM(BL127:BN127)</f>
        <v>265772081.27167696</v>
      </c>
      <c r="DP127" s="198">
        <f t="shared" ref="DP127" si="529">SUM(BO127:BQ127)</f>
        <v>347434207.19975483</v>
      </c>
      <c r="DQ127" s="198">
        <f t="shared" ref="DQ127" si="530">SUM(BR127:BT127)</f>
        <v>380405609.06891978</v>
      </c>
      <c r="DR127" s="198">
        <f t="shared" ref="DR127" si="531">SUM(BU127:BW127)</f>
        <v>368811678.74446422</v>
      </c>
      <c r="DS127" s="198">
        <f t="shared" ref="DS127" si="532">SUM(BX127:BZ127)</f>
        <v>361086594.2810657</v>
      </c>
      <c r="DT127" s="198">
        <f t="shared" ref="DT127" si="533">SUM(CA127:CC127)</f>
        <v>410851355.05567163</v>
      </c>
      <c r="DU127" s="198">
        <f t="shared" ref="DU127" si="534">SUM(CD127:CF127)</f>
        <v>457753124.32757545</v>
      </c>
      <c r="DV127" s="198">
        <f t="shared" ref="DV127" si="535">SUM(CG127:CI127)</f>
        <v>446578151.32681084</v>
      </c>
      <c r="DW127" s="198">
        <f t="shared" ref="DW127" si="536">SUM(CJ127:CL127)</f>
        <v>434814411.54079151</v>
      </c>
      <c r="DX127" s="198">
        <f t="shared" ref="DX127" si="537">SUM(CM127:CO127)</f>
        <v>489909330.2630136</v>
      </c>
      <c r="DY127" s="198">
        <f t="shared" ref="DY127" si="538">SUM(CP127:CR127)</f>
        <v>537763130.14770997</v>
      </c>
      <c r="DZ127" s="198">
        <f t="shared" si="306"/>
        <v>499884020.83143079</v>
      </c>
      <c r="EA127" s="198">
        <f t="shared" si="307"/>
        <v>485543558.63476372</v>
      </c>
      <c r="EB127" s="198">
        <f t="shared" si="308"/>
        <v>546314506.41848111</v>
      </c>
      <c r="EC127" s="198">
        <f t="shared" si="309"/>
        <v>599239166.78742456</v>
      </c>
      <c r="EE127" s="198">
        <f>SUM(DF127:DI127)</f>
        <v>617807242.55662274</v>
      </c>
      <c r="EF127" s="198">
        <f>SUM(DJ127:DM127)</f>
        <v>808920914.85287857</v>
      </c>
      <c r="EG127" s="198">
        <f>SUM(DN127:DQ127)</f>
        <v>1255766033.165597</v>
      </c>
      <c r="EH127" s="198">
        <f>SUM(DR127:DU127)</f>
        <v>1598502752.408777</v>
      </c>
      <c r="EI127" s="198">
        <f>SUM(DV127:DY127)</f>
        <v>1909065023.278326</v>
      </c>
      <c r="EJ127" s="814">
        <f t="shared" si="310"/>
        <v>2130981252.6721001</v>
      </c>
    </row>
    <row r="128" spans="2:140" x14ac:dyDescent="0.2">
      <c r="B128" s="21" t="s">
        <v>31</v>
      </c>
      <c r="C128" s="161">
        <f t="shared" ref="C128:AH128" si="539">C127/C74</f>
        <v>0.261712853528342</v>
      </c>
      <c r="D128" s="161">
        <f t="shared" si="539"/>
        <v>0.29254459660038218</v>
      </c>
      <c r="E128" s="161">
        <f t="shared" si="539"/>
        <v>0.24333677582630056</v>
      </c>
      <c r="F128" s="161">
        <f t="shared" si="539"/>
        <v>0.20912359574701134</v>
      </c>
      <c r="G128" s="161">
        <f t="shared" si="539"/>
        <v>0.17910599483693515</v>
      </c>
      <c r="H128" s="161">
        <f t="shared" si="539"/>
        <v>0.16086977728277341</v>
      </c>
      <c r="I128" s="161">
        <f t="shared" si="539"/>
        <v>0.14372620883090589</v>
      </c>
      <c r="J128" s="161">
        <f t="shared" si="539"/>
        <v>0.17166566107981646</v>
      </c>
      <c r="K128" s="161">
        <f t="shared" si="539"/>
        <v>0.18169223381131328</v>
      </c>
      <c r="L128" s="161">
        <f t="shared" si="539"/>
        <v>0.2215339601918945</v>
      </c>
      <c r="M128" s="161">
        <f t="shared" si="539"/>
        <v>0.22100846764343365</v>
      </c>
      <c r="N128" s="161">
        <f t="shared" si="539"/>
        <v>0.19667538414069946</v>
      </c>
      <c r="O128" s="161">
        <f t="shared" si="539"/>
        <v>0.26021686790651188</v>
      </c>
      <c r="P128" s="161">
        <f t="shared" si="539"/>
        <v>0.26731799417960977</v>
      </c>
      <c r="Q128" s="161">
        <f t="shared" si="539"/>
        <v>0.25086939949249298</v>
      </c>
      <c r="R128" s="161">
        <f t="shared" si="539"/>
        <v>0.20740924470006247</v>
      </c>
      <c r="S128" s="161">
        <f t="shared" si="539"/>
        <v>0.19881993785113627</v>
      </c>
      <c r="T128" s="161">
        <f t="shared" si="539"/>
        <v>0.22838888026345233</v>
      </c>
      <c r="U128" s="161">
        <f t="shared" si="539"/>
        <v>0.21702090772351565</v>
      </c>
      <c r="V128" s="161">
        <f t="shared" si="539"/>
        <v>0.18834080076411167</v>
      </c>
      <c r="W128" s="161">
        <f t="shared" si="539"/>
        <v>0.20037168948714604</v>
      </c>
      <c r="X128" s="161">
        <f t="shared" si="539"/>
        <v>0.19469612587071844</v>
      </c>
      <c r="Y128" s="161">
        <f t="shared" si="539"/>
        <v>0.20375990019779697</v>
      </c>
      <c r="Z128" s="161">
        <f t="shared" si="539"/>
        <v>0.18315414758601403</v>
      </c>
      <c r="AA128" s="161">
        <f t="shared" si="539"/>
        <v>0.17933896317559836</v>
      </c>
      <c r="AB128" s="161">
        <f t="shared" si="539"/>
        <v>0.19114051224014214</v>
      </c>
      <c r="AC128" s="161">
        <f t="shared" si="539"/>
        <v>0.16611081107214362</v>
      </c>
      <c r="AD128" s="161">
        <f t="shared" si="539"/>
        <v>0.1379528632744034</v>
      </c>
      <c r="AE128" s="161">
        <f t="shared" si="539"/>
        <v>0.14770129643587351</v>
      </c>
      <c r="AF128" s="161">
        <f t="shared" si="539"/>
        <v>0.15146080136858897</v>
      </c>
      <c r="AG128" s="161">
        <f t="shared" si="539"/>
        <v>0.15753613431686145</v>
      </c>
      <c r="AH128" s="161">
        <f t="shared" si="539"/>
        <v>0.16671004787250163</v>
      </c>
      <c r="AI128" s="161">
        <f t="shared" ref="AI128:BN128" si="540">AI127/AI74</f>
        <v>0.17577994460565272</v>
      </c>
      <c r="AJ128" s="161">
        <f t="shared" si="540"/>
        <v>0.16640195690481738</v>
      </c>
      <c r="AK128" s="161">
        <f t="shared" si="540"/>
        <v>0.14540616176839419</v>
      </c>
      <c r="AL128" s="161">
        <f t="shared" si="540"/>
        <v>0.15536182918023833</v>
      </c>
      <c r="AM128" s="161">
        <f t="shared" si="540"/>
        <v>0.16806576145749422</v>
      </c>
      <c r="AN128" s="161">
        <f t="shared" si="540"/>
        <v>0.16923851938036125</v>
      </c>
      <c r="AO128" s="161">
        <f t="shared" si="540"/>
        <v>0.17274571980761458</v>
      </c>
      <c r="AP128" s="161">
        <f t="shared" si="540"/>
        <v>0.15681132172118933</v>
      </c>
      <c r="AQ128" s="161">
        <f t="shared" si="540"/>
        <v>0.1437902154478567</v>
      </c>
      <c r="AR128" s="161">
        <f t="shared" si="540"/>
        <v>0.15637549251085553</v>
      </c>
      <c r="AS128" s="161">
        <f t="shared" si="540"/>
        <v>0.16703267383038392</v>
      </c>
      <c r="AT128" s="161">
        <f t="shared" si="540"/>
        <v>0.17694019399211106</v>
      </c>
      <c r="AU128" s="161">
        <f t="shared" si="540"/>
        <v>0.21990055937714861</v>
      </c>
      <c r="AV128" s="161">
        <f t="shared" si="540"/>
        <v>0.20846234889799414</v>
      </c>
      <c r="AW128" s="161">
        <f t="shared" si="540"/>
        <v>0.18824187581898874</v>
      </c>
      <c r="AX128" s="161">
        <f t="shared" si="540"/>
        <v>0.20907544170226555</v>
      </c>
      <c r="AY128" s="161">
        <f t="shared" si="540"/>
        <v>0.20627451360492113</v>
      </c>
      <c r="AZ128" s="161">
        <f t="shared" si="540"/>
        <v>0.20887959044253721</v>
      </c>
      <c r="BA128" s="161">
        <f t="shared" si="540"/>
        <v>0.21616238103150992</v>
      </c>
      <c r="BB128" s="161">
        <f t="shared" si="540"/>
        <v>0.20215721643524351</v>
      </c>
      <c r="BC128" s="161">
        <f t="shared" si="540"/>
        <v>0.20258597295251118</v>
      </c>
      <c r="BD128" s="161">
        <f t="shared" si="540"/>
        <v>0.20656919261411205</v>
      </c>
      <c r="BE128" s="161">
        <f t="shared" si="540"/>
        <v>0.19834816340305769</v>
      </c>
      <c r="BF128" s="161">
        <f t="shared" si="540"/>
        <v>0.1926968350408004</v>
      </c>
      <c r="BG128" s="161">
        <f t="shared" si="540"/>
        <v>0.19372004927370112</v>
      </c>
      <c r="BH128" s="161">
        <f t="shared" si="540"/>
        <v>0.19632507999806798</v>
      </c>
      <c r="BI128" s="161">
        <f t="shared" si="540"/>
        <v>0.19768964347247395</v>
      </c>
      <c r="BJ128" s="161">
        <f t="shared" si="540"/>
        <v>0.19367260173339806</v>
      </c>
      <c r="BK128" s="161">
        <f t="shared" si="540"/>
        <v>0.20784624329736079</v>
      </c>
      <c r="BL128" s="161">
        <f t="shared" si="540"/>
        <v>0.19761851012446191</v>
      </c>
      <c r="BM128" s="161">
        <f t="shared" si="540"/>
        <v>0.21974074757190543</v>
      </c>
      <c r="BN128" s="161">
        <f t="shared" si="540"/>
        <v>0.21196200980824967</v>
      </c>
      <c r="BO128" s="161">
        <f t="shared" ref="BO128:CR128" si="541">BO127/BO74</f>
        <v>0.21680431394050997</v>
      </c>
      <c r="BP128" s="161">
        <f t="shared" si="541"/>
        <v>0.21490226217078237</v>
      </c>
      <c r="BQ128" s="161">
        <f t="shared" si="541"/>
        <v>0.19146897123461387</v>
      </c>
      <c r="BR128" s="161">
        <f t="shared" si="541"/>
        <v>0.19388592240970351</v>
      </c>
      <c r="BS128" s="161">
        <f t="shared" si="541"/>
        <v>0.1860652250415919</v>
      </c>
      <c r="BT128" s="161">
        <f t="shared" si="541"/>
        <v>0.17431466485898725</v>
      </c>
      <c r="BU128" s="161">
        <f t="shared" si="541"/>
        <v>0.19458660029323235</v>
      </c>
      <c r="BV128" s="161">
        <f t="shared" si="541"/>
        <v>0.19500869814374938</v>
      </c>
      <c r="BW128" s="161">
        <f t="shared" si="541"/>
        <v>0.19522246159600937</v>
      </c>
      <c r="BX128" s="161">
        <f t="shared" si="541"/>
        <v>0.19419962572659255</v>
      </c>
      <c r="BY128" s="161">
        <f t="shared" si="541"/>
        <v>0.19603681152303828</v>
      </c>
      <c r="BZ128" s="161">
        <f t="shared" si="541"/>
        <v>0.19751254309946994</v>
      </c>
      <c r="CA128" s="161">
        <f t="shared" si="541"/>
        <v>0.19422008596454884</v>
      </c>
      <c r="CB128" s="161">
        <f t="shared" si="541"/>
        <v>0.1955856101940284</v>
      </c>
      <c r="CC128" s="161">
        <f t="shared" si="541"/>
        <v>0.19326170401104328</v>
      </c>
      <c r="CD128" s="161">
        <f t="shared" si="541"/>
        <v>0.19305000323016466</v>
      </c>
      <c r="CE128" s="161">
        <f t="shared" si="541"/>
        <v>0.19416156494989503</v>
      </c>
      <c r="CF128" s="161">
        <f t="shared" si="541"/>
        <v>0.1924071438584169</v>
      </c>
      <c r="CG128" s="161">
        <f t="shared" si="541"/>
        <v>0.19270538135475451</v>
      </c>
      <c r="CH128" s="161">
        <f t="shared" si="541"/>
        <v>0.19310138540913521</v>
      </c>
      <c r="CI128" s="161">
        <f t="shared" si="541"/>
        <v>0.19330198867923593</v>
      </c>
      <c r="CJ128" s="161">
        <f t="shared" si="541"/>
        <v>0.19234245482902634</v>
      </c>
      <c r="CK128" s="161">
        <f t="shared" si="541"/>
        <v>0.19406653985081587</v>
      </c>
      <c r="CL128" s="161">
        <f t="shared" si="541"/>
        <v>0.19545338616730779</v>
      </c>
      <c r="CM128" s="161">
        <f t="shared" si="541"/>
        <v>0.19236164058569452</v>
      </c>
      <c r="CN128" s="161">
        <f t="shared" si="541"/>
        <v>0.19364286439282735</v>
      </c>
      <c r="CO128" s="161">
        <f t="shared" si="541"/>
        <v>0.19146331696303714</v>
      </c>
      <c r="CP128" s="161">
        <f t="shared" si="541"/>
        <v>0.1912649818907986</v>
      </c>
      <c r="CQ128" s="161">
        <f t="shared" si="541"/>
        <v>0.19230676577506908</v>
      </c>
      <c r="CR128" s="161">
        <f t="shared" si="541"/>
        <v>0.1906629291880429</v>
      </c>
      <c r="CS128" s="161">
        <f t="shared" ref="CS128:DD128" si="542">CS127/CS74</f>
        <v>0.18948202953365684</v>
      </c>
      <c r="CT128" s="161">
        <f t="shared" si="542"/>
        <v>0.18986764332950576</v>
      </c>
      <c r="CU128" s="161">
        <f t="shared" si="542"/>
        <v>0.19006301344355989</v>
      </c>
      <c r="CV128" s="161">
        <f t="shared" si="542"/>
        <v>0.18912869492681206</v>
      </c>
      <c r="CW128" s="161">
        <f t="shared" si="542"/>
        <v>0.19080780611358075</v>
      </c>
      <c r="CX128" s="161">
        <f t="shared" si="542"/>
        <v>0.19215956599834311</v>
      </c>
      <c r="CY128" s="161">
        <f t="shared" si="542"/>
        <v>0.18914737195131701</v>
      </c>
      <c r="CZ128" s="161">
        <f t="shared" si="542"/>
        <v>0.19039504332480908</v>
      </c>
      <c r="DA128" s="161">
        <f t="shared" si="542"/>
        <v>0.18827306769071978</v>
      </c>
      <c r="DB128" s="161">
        <f t="shared" si="542"/>
        <v>0.18808009056946209</v>
      </c>
      <c r="DC128" s="161">
        <f t="shared" si="542"/>
        <v>0.18909395270302734</v>
      </c>
      <c r="DD128" s="161">
        <f t="shared" si="542"/>
        <v>0.18749442361623292</v>
      </c>
      <c r="DF128" s="161">
        <f t="shared" ref="DF128:EI128" si="543">DF127/DF74</f>
        <v>0.15638647548250256</v>
      </c>
      <c r="DG128" s="161">
        <f t="shared" si="543"/>
        <v>0.16643648819988524</v>
      </c>
      <c r="DH128" s="161">
        <f t="shared" si="543"/>
        <v>0.15464038033381394</v>
      </c>
      <c r="DI128" s="161">
        <f t="shared" si="543"/>
        <v>0.20149085312440249</v>
      </c>
      <c r="DJ128" s="161">
        <f t="shared" si="543"/>
        <v>0.20132635018455389</v>
      </c>
      <c r="DK128" s="161">
        <f t="shared" si="543"/>
        <v>0.20937160552411296</v>
      </c>
      <c r="DL128" s="161">
        <f t="shared" si="543"/>
        <v>0.20225656233105055</v>
      </c>
      <c r="DM128" s="161">
        <f t="shared" si="543"/>
        <v>0.19437390449830705</v>
      </c>
      <c r="DN128" s="161">
        <f t="shared" si="543"/>
        <v>0.19977754831604078</v>
      </c>
      <c r="DO128" s="161">
        <f t="shared" si="543"/>
        <v>0.20901526866337272</v>
      </c>
      <c r="DP128" s="161">
        <f t="shared" si="543"/>
        <v>0.20683735207679618</v>
      </c>
      <c r="DQ128" s="161">
        <f t="shared" si="543"/>
        <v>0.18419924592582274</v>
      </c>
      <c r="DR128" s="161">
        <f t="shared" si="543"/>
        <v>0.19493658900608629</v>
      </c>
      <c r="DS128" s="161">
        <f t="shared" si="543"/>
        <v>0.19581175701611842</v>
      </c>
      <c r="DT128" s="161">
        <f t="shared" si="543"/>
        <v>0.1942889038056462</v>
      </c>
      <c r="DU128" s="161">
        <f t="shared" si="543"/>
        <v>0.1931623178480967</v>
      </c>
      <c r="DV128" s="161">
        <f t="shared" si="543"/>
        <v>0.1930335678617367</v>
      </c>
      <c r="DW128" s="161">
        <f t="shared" si="543"/>
        <v>0.19385353385166612</v>
      </c>
      <c r="DX128" s="161">
        <f t="shared" si="543"/>
        <v>0.19242756428964836</v>
      </c>
      <c r="DY128" s="161">
        <f t="shared" si="543"/>
        <v>0.19137298231006381</v>
      </c>
      <c r="DZ128" s="161">
        <f t="shared" ref="DZ128:EC128" si="544">DZ127/DZ74</f>
        <v>0.18980145185120306</v>
      </c>
      <c r="EA128" s="161">
        <f t="shared" si="544"/>
        <v>0.19059928524453085</v>
      </c>
      <c r="EB128" s="161">
        <f t="shared" si="544"/>
        <v>0.18921162844780384</v>
      </c>
      <c r="EC128" s="161">
        <f t="shared" si="544"/>
        <v>0.18818521659185303</v>
      </c>
      <c r="ED128" s="805"/>
      <c r="EE128" s="161">
        <f t="shared" si="543"/>
        <v>0.16809094402983382</v>
      </c>
      <c r="EF128" s="161">
        <f t="shared" si="543"/>
        <v>0.20108686340819465</v>
      </c>
      <c r="EG128" s="161">
        <f t="shared" si="543"/>
        <v>0.19842383696049276</v>
      </c>
      <c r="EH128" s="161">
        <f t="shared" si="543"/>
        <v>0.194454812738211</v>
      </c>
      <c r="EI128" s="161">
        <f t="shared" si="543"/>
        <v>0.19259271291430424</v>
      </c>
      <c r="EJ128" s="161">
        <f t="shared" ref="EJ128" si="545">EJ127/EJ74</f>
        <v>0.18937336752982123</v>
      </c>
    </row>
    <row r="129" spans="2:140" x14ac:dyDescent="0.2">
      <c r="B129" s="173" t="s">
        <v>144</v>
      </c>
      <c r="C129" s="161">
        <f>(C75-C104-C107-C110-C111-C112-C113-C114-C115)/C75</f>
        <v>0.18739564535496697</v>
      </c>
      <c r="D129" s="161">
        <f t="shared" ref="D129:BO129" si="546">(D75-D104-D107-D110-D111-D112-D113-D114-D115)/D75</f>
        <v>0.17558244441725285</v>
      </c>
      <c r="E129" s="161">
        <f t="shared" si="546"/>
        <v>0.15486255694084769</v>
      </c>
      <c r="F129" s="161">
        <f t="shared" si="546"/>
        <v>0.1443973517068694</v>
      </c>
      <c r="G129" s="161">
        <f t="shared" si="546"/>
        <v>0.12073552353294459</v>
      </c>
      <c r="H129" s="161">
        <f t="shared" si="546"/>
        <v>0.12615049407708492</v>
      </c>
      <c r="I129" s="161">
        <f t="shared" si="546"/>
        <v>0.13282089364136401</v>
      </c>
      <c r="J129" s="161">
        <f t="shared" si="546"/>
        <v>0.16115644117567052</v>
      </c>
      <c r="K129" s="161">
        <f t="shared" si="546"/>
        <v>0.17397671635273396</v>
      </c>
      <c r="L129" s="161">
        <f t="shared" si="546"/>
        <v>0.20438826718922329</v>
      </c>
      <c r="M129" s="161">
        <f t="shared" si="546"/>
        <v>0.20651798943788174</v>
      </c>
      <c r="N129" s="161">
        <f t="shared" si="546"/>
        <v>0.19487094607090266</v>
      </c>
      <c r="O129" s="161">
        <f t="shared" si="546"/>
        <v>0.22433703131995608</v>
      </c>
      <c r="P129" s="161">
        <f t="shared" si="546"/>
        <v>0.24073725444702196</v>
      </c>
      <c r="Q129" s="161">
        <f t="shared" si="546"/>
        <v>0.23084254607747917</v>
      </c>
      <c r="R129" s="161">
        <f t="shared" si="546"/>
        <v>0.18722355770254812</v>
      </c>
      <c r="S129" s="161">
        <f t="shared" si="546"/>
        <v>0.18220869337499485</v>
      </c>
      <c r="T129" s="161">
        <f t="shared" si="546"/>
        <v>0.22148476297322436</v>
      </c>
      <c r="U129" s="161">
        <f t="shared" si="546"/>
        <v>0.20594741487153087</v>
      </c>
      <c r="V129" s="161">
        <f t="shared" si="546"/>
        <v>0.1813049016156279</v>
      </c>
      <c r="W129" s="161">
        <f t="shared" si="546"/>
        <v>0.19732720975115883</v>
      </c>
      <c r="X129" s="161">
        <f t="shared" si="546"/>
        <v>0.19352466434975144</v>
      </c>
      <c r="Y129" s="161">
        <f t="shared" si="546"/>
        <v>0.19967976632574633</v>
      </c>
      <c r="Z129" s="161">
        <f t="shared" si="546"/>
        <v>0.17702896762219683</v>
      </c>
      <c r="AA129" s="161">
        <f t="shared" si="546"/>
        <v>0.16774158571054115</v>
      </c>
      <c r="AB129" s="161">
        <f t="shared" si="546"/>
        <v>0.18432874368920601</v>
      </c>
      <c r="AC129" s="161">
        <f t="shared" si="546"/>
        <v>0.16271392828448702</v>
      </c>
      <c r="AD129" s="161">
        <f t="shared" si="546"/>
        <v>0.12920475470115991</v>
      </c>
      <c r="AE129" s="161">
        <f t="shared" si="546"/>
        <v>0.14180118951056062</v>
      </c>
      <c r="AF129" s="161">
        <f t="shared" si="546"/>
        <v>0.14135378234618451</v>
      </c>
      <c r="AG129" s="161">
        <f t="shared" si="546"/>
        <v>0.14978969042864115</v>
      </c>
      <c r="AH129" s="161">
        <f t="shared" si="546"/>
        <v>0.15746525546185067</v>
      </c>
      <c r="AI129" s="161">
        <f t="shared" si="546"/>
        <v>0.166801006897247</v>
      </c>
      <c r="AJ129" s="161">
        <f t="shared" si="546"/>
        <v>0.1586251339784743</v>
      </c>
      <c r="AK129" s="161">
        <f t="shared" si="546"/>
        <v>0.13461259064562414</v>
      </c>
      <c r="AL129" s="161">
        <f t="shared" si="546"/>
        <v>0.14495565995778018</v>
      </c>
      <c r="AM129" s="161">
        <f t="shared" si="546"/>
        <v>0.16055077947257032</v>
      </c>
      <c r="AN129" s="161">
        <f t="shared" si="546"/>
        <v>0.15727200205227687</v>
      </c>
      <c r="AO129" s="161">
        <f t="shared" si="546"/>
        <v>0.16188804232783743</v>
      </c>
      <c r="AP129" s="161">
        <f t="shared" si="546"/>
        <v>0.14512978313913</v>
      </c>
      <c r="AQ129" s="161">
        <f t="shared" si="546"/>
        <v>0.13508299877788355</v>
      </c>
      <c r="AR129" s="161">
        <f t="shared" si="546"/>
        <v>0.15058618980453445</v>
      </c>
      <c r="AS129" s="161">
        <f t="shared" si="546"/>
        <v>0.15787871180069904</v>
      </c>
      <c r="AT129" s="161">
        <f t="shared" si="546"/>
        <v>0.17115952094223655</v>
      </c>
      <c r="AU129" s="161">
        <f t="shared" si="546"/>
        <v>0.21276625408656347</v>
      </c>
      <c r="AV129" s="161">
        <f t="shared" si="546"/>
        <v>0.20227950725886951</v>
      </c>
      <c r="AW129" s="161">
        <f t="shared" si="546"/>
        <v>0.18343120121805584</v>
      </c>
      <c r="AX129" s="161">
        <f t="shared" si="546"/>
        <v>0.20133829275612022</v>
      </c>
      <c r="AY129" s="161">
        <f t="shared" si="546"/>
        <v>0.19589703352616322</v>
      </c>
      <c r="AZ129" s="161">
        <f t="shared" si="546"/>
        <v>0.20020883598891984</v>
      </c>
      <c r="BA129" s="161">
        <f t="shared" si="546"/>
        <v>0.20135539135560923</v>
      </c>
      <c r="BB129" s="161">
        <f t="shared" si="546"/>
        <v>0.18788429064133738</v>
      </c>
      <c r="BC129" s="161">
        <f t="shared" si="546"/>
        <v>0.19265043737716564</v>
      </c>
      <c r="BD129" s="161">
        <f t="shared" si="546"/>
        <v>0.19980715183756378</v>
      </c>
      <c r="BE129" s="161">
        <f t="shared" si="546"/>
        <v>0.19321170078567176</v>
      </c>
      <c r="BF129" s="161">
        <f t="shared" si="546"/>
        <v>0.18359645004625255</v>
      </c>
      <c r="BG129" s="161">
        <f t="shared" si="546"/>
        <v>0.18637807693264305</v>
      </c>
      <c r="BH129" s="161">
        <f t="shared" si="546"/>
        <v>0.18928013624834511</v>
      </c>
      <c r="BI129" s="161">
        <f t="shared" si="546"/>
        <v>0.19018693372072129</v>
      </c>
      <c r="BJ129" s="161">
        <f t="shared" si="546"/>
        <v>0.18421385946604088</v>
      </c>
      <c r="BK129" s="161">
        <f t="shared" si="546"/>
        <v>0.19979977816873687</v>
      </c>
      <c r="BL129" s="161">
        <f t="shared" si="546"/>
        <v>0.18952358462230581</v>
      </c>
      <c r="BM129" s="161">
        <f t="shared" si="546"/>
        <v>0.21503060514731007</v>
      </c>
      <c r="BN129" s="161">
        <f t="shared" si="546"/>
        <v>0.20645945819246045</v>
      </c>
      <c r="BO129" s="161">
        <f t="shared" si="546"/>
        <v>0.20949988316974374</v>
      </c>
      <c r="BP129" s="161">
        <f t="shared" ref="BP129:CR129" si="547">(BP75-BP104-BP107-BP110-BP111-BP112-BP113-BP114-BP115)/BP75</f>
        <v>0.20760398379750933</v>
      </c>
      <c r="BQ129" s="161">
        <f t="shared" si="547"/>
        <v>0.18211347661859273</v>
      </c>
      <c r="BR129" s="161">
        <f t="shared" si="547"/>
        <v>0.18521698991700195</v>
      </c>
      <c r="BS129" s="161">
        <f t="shared" si="547"/>
        <v>0.17653680789996679</v>
      </c>
      <c r="BT129" s="161">
        <f t="shared" si="547"/>
        <v>0.15897793782578393</v>
      </c>
      <c r="BU129" s="161">
        <f t="shared" si="547"/>
        <v>0.18757774020379506</v>
      </c>
      <c r="BV129" s="161">
        <f t="shared" si="547"/>
        <v>0.18752427694088092</v>
      </c>
      <c r="BW129" s="161">
        <f t="shared" si="547"/>
        <v>0.18749709439667933</v>
      </c>
      <c r="BX129" s="161">
        <f t="shared" si="547"/>
        <v>0.18762650961168878</v>
      </c>
      <c r="BY129" s="161">
        <f t="shared" si="547"/>
        <v>0.18739287458999895</v>
      </c>
      <c r="BZ129" s="161">
        <f t="shared" si="547"/>
        <v>0.18720128253995869</v>
      </c>
      <c r="CA129" s="161">
        <f t="shared" si="547"/>
        <v>0.18762393690273949</v>
      </c>
      <c r="CB129" s="161">
        <f t="shared" si="547"/>
        <v>0.18745074968157047</v>
      </c>
      <c r="CC129" s="161">
        <f t="shared" si="547"/>
        <v>0.18774375107439789</v>
      </c>
      <c r="CD129" s="161">
        <f t="shared" si="547"/>
        <v>0.18777002724371841</v>
      </c>
      <c r="CE129" s="161">
        <f t="shared" si="547"/>
        <v>0.18763129371492529</v>
      </c>
      <c r="CF129" s="161">
        <f t="shared" si="547"/>
        <v>0.1878494017150272</v>
      </c>
      <c r="CG129" s="161">
        <f t="shared" si="547"/>
        <v>0.18680318564746037</v>
      </c>
      <c r="CH129" s="161">
        <f t="shared" si="547"/>
        <v>0.18675381701780441</v>
      </c>
      <c r="CI129" s="161">
        <f t="shared" si="547"/>
        <v>0.18672871668014068</v>
      </c>
      <c r="CJ129" s="161">
        <f t="shared" si="547"/>
        <v>0.18684822072264537</v>
      </c>
      <c r="CK129" s="161">
        <f t="shared" si="547"/>
        <v>0.18663248242210356</v>
      </c>
      <c r="CL129" s="161">
        <f t="shared" si="547"/>
        <v>0.18645557976240459</v>
      </c>
      <c r="CM129" s="161">
        <f t="shared" si="547"/>
        <v>0.18684584498986576</v>
      </c>
      <c r="CN129" s="161">
        <f t="shared" si="547"/>
        <v>0.18668592256312402</v>
      </c>
      <c r="CO129" s="161">
        <f t="shared" si="547"/>
        <v>0.18695648802088657</v>
      </c>
      <c r="CP129" s="161">
        <f t="shared" si="547"/>
        <v>0.18698075351110185</v>
      </c>
      <c r="CQ129" s="161">
        <f t="shared" si="547"/>
        <v>0.18685263854284498</v>
      </c>
      <c r="CR129" s="161">
        <f t="shared" si="547"/>
        <v>0.18705405552754026</v>
      </c>
      <c r="CS129" s="161">
        <f t="shared" ref="CS129:DD129" si="548">(CS75-CS104-CS107-CS110-CS111-CS112-CS113-CS114-CS115)/CS75</f>
        <v>0.1840679001418887</v>
      </c>
      <c r="CT129" s="161">
        <f t="shared" si="548"/>
        <v>0.18402060198534909</v>
      </c>
      <c r="CU129" s="161">
        <f t="shared" si="548"/>
        <v>0.18399655452368741</v>
      </c>
      <c r="CV129" s="161">
        <f t="shared" si="548"/>
        <v>0.18411104692544147</v>
      </c>
      <c r="CW129" s="161">
        <f t="shared" si="548"/>
        <v>0.18390435817232317</v>
      </c>
      <c r="CX129" s="161">
        <f t="shared" si="548"/>
        <v>0.18373488315493725</v>
      </c>
      <c r="CY129" s="161">
        <f t="shared" si="548"/>
        <v>0.18410877079520185</v>
      </c>
      <c r="CZ129" s="161">
        <f t="shared" si="548"/>
        <v>0.18395555577629194</v>
      </c>
      <c r="DA129" s="161">
        <f t="shared" si="548"/>
        <v>0.1842147763493017</v>
      </c>
      <c r="DB129" s="161">
        <f t="shared" si="548"/>
        <v>0.18423802511507209</v>
      </c>
      <c r="DC129" s="161">
        <f t="shared" si="548"/>
        <v>0.18411527953171528</v>
      </c>
      <c r="DD129" s="161">
        <f t="shared" si="548"/>
        <v>0.18430825650988447</v>
      </c>
      <c r="DF129" s="161">
        <f t="shared" ref="DF129:EI129" si="549">(DF75-DF104-DF107-DF110-DF111-DF112-DF113-DF114-DF115)/DF75</f>
        <v>0.14679789258790737</v>
      </c>
      <c r="DG129" s="161">
        <f t="shared" si="549"/>
        <v>0.15493175149069077</v>
      </c>
      <c r="DH129" s="161">
        <f t="shared" si="549"/>
        <v>0.14680169588178996</v>
      </c>
      <c r="DI129" s="161">
        <f t="shared" si="549"/>
        <v>0.19508144481468218</v>
      </c>
      <c r="DJ129" s="161">
        <f t="shared" si="549"/>
        <v>0.19360488534871673</v>
      </c>
      <c r="DK129" s="161">
        <f t="shared" si="549"/>
        <v>0.19712319189619204</v>
      </c>
      <c r="DL129" s="161">
        <f t="shared" si="549"/>
        <v>0.19509149946963408</v>
      </c>
      <c r="DM129" s="161">
        <f t="shared" si="549"/>
        <v>0.18658395066517916</v>
      </c>
      <c r="DN129" s="161">
        <f t="shared" si="549"/>
        <v>0.19147627751257942</v>
      </c>
      <c r="DO129" s="161">
        <f t="shared" si="549"/>
        <v>0.2026896381246647</v>
      </c>
      <c r="DP129" s="161">
        <f t="shared" si="549"/>
        <v>0.19879117277884434</v>
      </c>
      <c r="DQ129" s="161">
        <f t="shared" si="549"/>
        <v>0.17287590899339436</v>
      </c>
      <c r="DR129" s="161">
        <f t="shared" si="549"/>
        <v>0.18753343019204613</v>
      </c>
      <c r="DS129" s="161">
        <f t="shared" si="549"/>
        <v>0.18742178283746566</v>
      </c>
      <c r="DT129" s="161">
        <f t="shared" si="549"/>
        <v>0.18761527883980483</v>
      </c>
      <c r="DU129" s="161">
        <f t="shared" si="549"/>
        <v>0.18775609533212195</v>
      </c>
      <c r="DV129" s="161">
        <f t="shared" si="549"/>
        <v>0.1867622886580052</v>
      </c>
      <c r="DW129" s="161">
        <f t="shared" si="549"/>
        <v>0.18665938477029134</v>
      </c>
      <c r="DX129" s="161">
        <f t="shared" si="549"/>
        <v>0.18683767754447864</v>
      </c>
      <c r="DY129" s="161">
        <f t="shared" si="549"/>
        <v>0.18696754735133569</v>
      </c>
      <c r="DZ129" s="161">
        <f t="shared" ref="DZ129:EC129" si="550">(DZ75-DZ104-DZ107-DZ110-DZ111-DZ112-DZ113-DZ114-DZ115)/DZ75</f>
        <v>0.18402873644044276</v>
      </c>
      <c r="EA129" s="161">
        <f t="shared" si="550"/>
        <v>0.18393025431766022</v>
      </c>
      <c r="EB129" s="161">
        <f t="shared" si="550"/>
        <v>0.18410093609150924</v>
      </c>
      <c r="EC129" s="161">
        <f t="shared" si="550"/>
        <v>0.1842253667776482</v>
      </c>
      <c r="ED129" s="805"/>
      <c r="EE129" s="161">
        <f t="shared" si="549"/>
        <v>0.15918903738887025</v>
      </c>
      <c r="EF129" s="161">
        <f t="shared" si="549"/>
        <v>0.19253424781123293</v>
      </c>
      <c r="EG129" s="161">
        <f t="shared" si="549"/>
        <v>0.1895915187698495</v>
      </c>
      <c r="EH129" s="161">
        <f t="shared" si="549"/>
        <v>0.18759437528809969</v>
      </c>
      <c r="EI129" s="161">
        <f t="shared" si="549"/>
        <v>0.18681718794427704</v>
      </c>
      <c r="EJ129" s="161">
        <f t="shared" ref="EJ129" si="551">(EJ75-EJ104-EJ107-EJ110-EJ111-EJ112-EJ113-EJ114-EJ115)/EJ75</f>
        <v>0.18408118869980356</v>
      </c>
    </row>
    <row r="130" spans="2:140" x14ac:dyDescent="0.2">
      <c r="B130" s="173" t="s">
        <v>220</v>
      </c>
      <c r="C130" s="161">
        <f>IFERROR((C76-C105-C116)/C76,0)</f>
        <v>0.36799999999999994</v>
      </c>
      <c r="D130" s="161">
        <f t="shared" ref="D130:BO130" si="552">IFERROR((D76-D105-D116)/D76,0)</f>
        <v>0.42112931120697672</v>
      </c>
      <c r="E130" s="161">
        <f t="shared" si="552"/>
        <v>0.37527905263176048</v>
      </c>
      <c r="F130" s="161">
        <f t="shared" si="552"/>
        <v>0.36929979174931249</v>
      </c>
      <c r="G130" s="161">
        <f t="shared" si="552"/>
        <v>0.34436004121484787</v>
      </c>
      <c r="H130" s="161">
        <f t="shared" si="552"/>
        <v>0.32554568917556748</v>
      </c>
      <c r="I130" s="161">
        <f t="shared" si="552"/>
        <v>0.26317314474627612</v>
      </c>
      <c r="J130" s="161">
        <f t="shared" si="552"/>
        <v>0.29656850086969705</v>
      </c>
      <c r="K130" s="161">
        <f t="shared" si="552"/>
        <v>0.23601412057066426</v>
      </c>
      <c r="L130" s="161">
        <f t="shared" si="552"/>
        <v>0.40823399244798031</v>
      </c>
      <c r="M130" s="161">
        <f t="shared" si="552"/>
        <v>0.36199999999999999</v>
      </c>
      <c r="N130" s="161">
        <f t="shared" si="552"/>
        <v>0</v>
      </c>
      <c r="O130" s="161">
        <f t="shared" si="552"/>
        <v>0.39540000000000003</v>
      </c>
      <c r="P130" s="161">
        <f t="shared" si="552"/>
        <v>0.37000000000000005</v>
      </c>
      <c r="Q130" s="161">
        <f t="shared" si="552"/>
        <v>0.37000000000000005</v>
      </c>
      <c r="R130" s="161">
        <f t="shared" si="552"/>
        <v>0.30175436389485766</v>
      </c>
      <c r="S130" s="161">
        <f t="shared" si="552"/>
        <v>0.31900444367600672</v>
      </c>
      <c r="T130" s="161">
        <f t="shared" si="552"/>
        <v>0.3115953884094072</v>
      </c>
      <c r="U130" s="161">
        <f t="shared" si="552"/>
        <v>0.31866869391078712</v>
      </c>
      <c r="V130" s="161">
        <f t="shared" si="552"/>
        <v>0.24037423245141251</v>
      </c>
      <c r="W130" s="161">
        <f t="shared" si="552"/>
        <v>0.23044951938946046</v>
      </c>
      <c r="X130" s="161">
        <f t="shared" si="552"/>
        <v>0.23034876650093361</v>
      </c>
      <c r="Y130" s="161">
        <f t="shared" si="552"/>
        <v>0.23091305397784348</v>
      </c>
      <c r="Z130" s="161">
        <f t="shared" si="552"/>
        <v>0.23057214996038547</v>
      </c>
      <c r="AA130" s="161">
        <f t="shared" si="552"/>
        <v>0.29970748848901524</v>
      </c>
      <c r="AB130" s="161">
        <f t="shared" si="552"/>
        <v>0.25</v>
      </c>
      <c r="AC130" s="161">
        <f t="shared" si="552"/>
        <v>0.1787873834947557</v>
      </c>
      <c r="AD130" s="161">
        <f t="shared" si="552"/>
        <v>0.18039248780531042</v>
      </c>
      <c r="AE130" s="161">
        <f t="shared" si="552"/>
        <v>0.17599751974332531</v>
      </c>
      <c r="AF130" s="161">
        <f t="shared" si="552"/>
        <v>0.19421924626914783</v>
      </c>
      <c r="AG130" s="161">
        <f t="shared" si="552"/>
        <v>0.26062204428976249</v>
      </c>
      <c r="AH130" s="161">
        <f t="shared" si="552"/>
        <v>0.28802772929234749</v>
      </c>
      <c r="AI130" s="161">
        <f t="shared" si="552"/>
        <v>0.27331786335897962</v>
      </c>
      <c r="AJ130" s="161">
        <f t="shared" si="552"/>
        <v>0.2739547864358578</v>
      </c>
      <c r="AK130" s="161">
        <f t="shared" si="552"/>
        <v>0.30523150082211653</v>
      </c>
      <c r="AL130" s="161">
        <f t="shared" si="552"/>
        <v>0.3053774562609653</v>
      </c>
      <c r="AM130" s="161">
        <f t="shared" si="552"/>
        <v>0.23966518281372506</v>
      </c>
      <c r="AN130" s="161">
        <f t="shared" si="552"/>
        <v>0.30311827843491551</v>
      </c>
      <c r="AO130" s="161">
        <f t="shared" si="552"/>
        <v>0.29028418312547805</v>
      </c>
      <c r="AP130" s="161">
        <f t="shared" si="552"/>
        <v>0.28481065864354627</v>
      </c>
      <c r="AQ130" s="161">
        <f t="shared" si="552"/>
        <v>0.28276224912546932</v>
      </c>
      <c r="AR130" s="161">
        <f t="shared" si="552"/>
        <v>0.31033781717404646</v>
      </c>
      <c r="AS130" s="161">
        <f t="shared" si="552"/>
        <v>0.30369915855767665</v>
      </c>
      <c r="AT130" s="161">
        <f t="shared" si="552"/>
        <v>0.23121247159255545</v>
      </c>
      <c r="AU130" s="161">
        <f t="shared" si="552"/>
        <v>0.28727154787050185</v>
      </c>
      <c r="AV130" s="161">
        <f t="shared" si="552"/>
        <v>0.30341733812301802</v>
      </c>
      <c r="AW130" s="161">
        <f t="shared" si="552"/>
        <v>0.25223421227115717</v>
      </c>
      <c r="AX130" s="161">
        <f t="shared" si="552"/>
        <v>0.32393144556643966</v>
      </c>
      <c r="AY130" s="161">
        <f t="shared" si="552"/>
        <v>0.34432528828724002</v>
      </c>
      <c r="AZ130" s="161">
        <f t="shared" si="552"/>
        <v>0.32968129614441005</v>
      </c>
      <c r="BA130" s="161">
        <f t="shared" si="552"/>
        <v>0.32475527668529774</v>
      </c>
      <c r="BB130" s="161">
        <f t="shared" si="552"/>
        <v>0.31634914628196387</v>
      </c>
      <c r="BC130" s="161">
        <f t="shared" si="552"/>
        <v>0.32422539723613775</v>
      </c>
      <c r="BD130" s="161">
        <f t="shared" si="552"/>
        <v>0.29433557656033571</v>
      </c>
      <c r="BE130" s="161">
        <f t="shared" si="552"/>
        <v>0.26947300569643856</v>
      </c>
      <c r="BF130" s="161">
        <f t="shared" si="552"/>
        <v>0.29875013507403642</v>
      </c>
      <c r="BG130" s="161">
        <f t="shared" si="552"/>
        <v>0.31315274262072912</v>
      </c>
      <c r="BH130" s="161">
        <f t="shared" si="552"/>
        <v>0.30061603329741471</v>
      </c>
      <c r="BI130" s="161">
        <f t="shared" si="552"/>
        <v>0.30958123030628992</v>
      </c>
      <c r="BJ130" s="161">
        <f t="shared" si="552"/>
        <v>0.3230391697851786</v>
      </c>
      <c r="BK130" s="161">
        <f t="shared" si="552"/>
        <v>0.32432354468247793</v>
      </c>
      <c r="BL130" s="161">
        <f t="shared" si="552"/>
        <v>0.30789671019475667</v>
      </c>
      <c r="BM130" s="161">
        <f t="shared" si="552"/>
        <v>0.27226731524278508</v>
      </c>
      <c r="BN130" s="161">
        <f t="shared" si="552"/>
        <v>0.2746925987421453</v>
      </c>
      <c r="BO130" s="161">
        <f t="shared" si="552"/>
        <v>0.2645122474767807</v>
      </c>
      <c r="BP130" s="161">
        <f t="shared" ref="BP130:CR130" si="553">IFERROR((BP76-BP105-BP116)/BP76,0)</f>
        <v>0.26842588435395254</v>
      </c>
      <c r="BQ130" s="161">
        <f t="shared" si="553"/>
        <v>0.28903503008313608</v>
      </c>
      <c r="BR130" s="161">
        <f t="shared" si="553"/>
        <v>0.26875115660640031</v>
      </c>
      <c r="BS130" s="161">
        <f t="shared" si="553"/>
        <v>0.27939135630389622</v>
      </c>
      <c r="BT130" s="161">
        <f t="shared" si="553"/>
        <v>0.30074402107664411</v>
      </c>
      <c r="BU130" s="161">
        <f t="shared" si="553"/>
        <v>0.23174440814177949</v>
      </c>
      <c r="BV130" s="161">
        <f t="shared" si="553"/>
        <v>0.2392270517001798</v>
      </c>
      <c r="BW130" s="161">
        <f t="shared" si="553"/>
        <v>0.24281526230311595</v>
      </c>
      <c r="BX130" s="161">
        <f t="shared" si="553"/>
        <v>0.22437758823484272</v>
      </c>
      <c r="BY130" s="161">
        <f t="shared" si="553"/>
        <v>0.25538589507019488</v>
      </c>
      <c r="BZ130" s="161">
        <f t="shared" si="553"/>
        <v>0.27450858615434121</v>
      </c>
      <c r="CA130" s="161">
        <f t="shared" si="553"/>
        <v>0.22478010050081845</v>
      </c>
      <c r="CB130" s="161">
        <f t="shared" si="553"/>
        <v>0.24862598485517065</v>
      </c>
      <c r="CC130" s="161">
        <f t="shared" si="553"/>
        <v>0.20415991596036254</v>
      </c>
      <c r="CD130" s="161">
        <f t="shared" si="553"/>
        <v>0.19906129385389137</v>
      </c>
      <c r="CE130" s="161">
        <f t="shared" si="553"/>
        <v>0.2236248070712975</v>
      </c>
      <c r="CF130" s="161">
        <f t="shared" si="553"/>
        <v>0.18213398186301455</v>
      </c>
      <c r="CG130" s="161">
        <f t="shared" si="553"/>
        <v>0.21097869056851828</v>
      </c>
      <c r="CH130" s="161">
        <f t="shared" si="553"/>
        <v>0.2194164923897238</v>
      </c>
      <c r="CI130" s="161">
        <f t="shared" si="553"/>
        <v>0.22345813474373347</v>
      </c>
      <c r="CJ130" s="161">
        <f t="shared" si="553"/>
        <v>0.2026587981410421</v>
      </c>
      <c r="CK130" s="161">
        <f t="shared" si="553"/>
        <v>0.23759380326618629</v>
      </c>
      <c r="CL130" s="161">
        <f t="shared" si="553"/>
        <v>0.25902745816541511</v>
      </c>
      <c r="CM130" s="161">
        <f t="shared" si="553"/>
        <v>0.20311371079660764</v>
      </c>
      <c r="CN130" s="161">
        <f t="shared" si="553"/>
        <v>0.22999682437004723</v>
      </c>
      <c r="CO130" s="161">
        <f t="shared" si="553"/>
        <v>0.17976051624479494</v>
      </c>
      <c r="CP130" s="161">
        <f t="shared" si="553"/>
        <v>0.17397079160895354</v>
      </c>
      <c r="CQ130" s="161">
        <f t="shared" si="553"/>
        <v>0.20180791622084412</v>
      </c>
      <c r="CR130" s="161">
        <f t="shared" si="553"/>
        <v>0.15470525930143636</v>
      </c>
      <c r="CS130" s="161">
        <f t="shared" ref="CS130:DD130" si="554">IFERROR((CS76-CS105-CS116)/CS76,0)</f>
        <v>0.19720555615206645</v>
      </c>
      <c r="CT130" s="161">
        <f t="shared" si="554"/>
        <v>0.20629367972609503</v>
      </c>
      <c r="CU130" s="161">
        <f t="shared" si="554"/>
        <v>0.21064353929539878</v>
      </c>
      <c r="CV130" s="161">
        <f t="shared" si="554"/>
        <v>0.18823534605034475</v>
      </c>
      <c r="CW130" s="161">
        <f t="shared" si="554"/>
        <v>0.22584050686074189</v>
      </c>
      <c r="CX130" s="161">
        <f t="shared" si="554"/>
        <v>0.24883398062190962</v>
      </c>
      <c r="CY130" s="161">
        <f t="shared" si="554"/>
        <v>0.18872604991824166</v>
      </c>
      <c r="CZ130" s="161">
        <f t="shared" si="554"/>
        <v>0.21767637552756064</v>
      </c>
      <c r="DA130" s="161">
        <f t="shared" si="554"/>
        <v>0.16350055392906676</v>
      </c>
      <c r="DB130" s="161">
        <f t="shared" si="554"/>
        <v>0.15723560457961461</v>
      </c>
      <c r="DC130" s="161">
        <f t="shared" si="554"/>
        <v>0.18731744670179609</v>
      </c>
      <c r="DD130" s="161">
        <f t="shared" si="554"/>
        <v>0.13635705701367784</v>
      </c>
      <c r="DF130" s="161">
        <f t="shared" ref="DF130:EI130" si="555">IFERROR((DF76-DF105-DF116)/DF76,0)</f>
        <v>0.28234661816715462</v>
      </c>
      <c r="DG130" s="161">
        <f t="shared" si="555"/>
        <v>0.29306868745799547</v>
      </c>
      <c r="DH130" s="161">
        <f t="shared" si="555"/>
        <v>0.29791784068484134</v>
      </c>
      <c r="DI130" s="161">
        <f t="shared" si="555"/>
        <v>0.27561345736171389</v>
      </c>
      <c r="DJ130" s="161">
        <f t="shared" si="555"/>
        <v>0.3090483924562567</v>
      </c>
      <c r="DK130" s="161">
        <f t="shared" si="555"/>
        <v>0.32373739648268107</v>
      </c>
      <c r="DL130" s="161">
        <f t="shared" si="555"/>
        <v>0.29555974629617948</v>
      </c>
      <c r="DM130" s="161">
        <f t="shared" si="555"/>
        <v>0.30361301417882852</v>
      </c>
      <c r="DN130" s="161">
        <f t="shared" si="555"/>
        <v>0.31908810976865598</v>
      </c>
      <c r="DO130" s="161">
        <f t="shared" si="555"/>
        <v>0.28463673908257936</v>
      </c>
      <c r="DP130" s="161">
        <f t="shared" si="555"/>
        <v>0.27508389093503821</v>
      </c>
      <c r="DQ130" s="161">
        <f t="shared" si="555"/>
        <v>0.28623191841249818</v>
      </c>
      <c r="DR130" s="161">
        <f t="shared" si="555"/>
        <v>0.23798703061210547</v>
      </c>
      <c r="DS130" s="161">
        <f t="shared" si="555"/>
        <v>0.25207481633092071</v>
      </c>
      <c r="DT130" s="161">
        <f t="shared" si="555"/>
        <v>0.22612299937264693</v>
      </c>
      <c r="DU130" s="161">
        <f t="shared" si="555"/>
        <v>0.20179340745094046</v>
      </c>
      <c r="DV130" s="161">
        <f t="shared" si="555"/>
        <v>0.21801583737852737</v>
      </c>
      <c r="DW130" s="161">
        <f t="shared" si="555"/>
        <v>0.2338442670826662</v>
      </c>
      <c r="DX130" s="161">
        <f t="shared" si="555"/>
        <v>0.20466363352333047</v>
      </c>
      <c r="DY130" s="161">
        <f t="shared" si="555"/>
        <v>0.17715503778705524</v>
      </c>
      <c r="DZ130" s="161">
        <f t="shared" ref="DZ130:EC130" si="556">IFERROR((DZ76-DZ105-DZ116)/DZ76,0)</f>
        <v>0.20478232043561057</v>
      </c>
      <c r="EA130" s="161">
        <f t="shared" si="556"/>
        <v>0.22179240549517509</v>
      </c>
      <c r="EB130" s="161">
        <f t="shared" si="556"/>
        <v>0.19039976825625077</v>
      </c>
      <c r="EC130" s="161">
        <f t="shared" si="556"/>
        <v>0.16068323890227387</v>
      </c>
      <c r="ED130" s="805"/>
      <c r="EE130" s="161">
        <f t="shared" si="555"/>
        <v>0.28744461593510795</v>
      </c>
      <c r="EF130" s="161">
        <f t="shared" si="555"/>
        <v>0.3080482494731468</v>
      </c>
      <c r="EG130" s="161">
        <f t="shared" si="555"/>
        <v>0.28971409151579536</v>
      </c>
      <c r="EH130" s="161">
        <f t="shared" si="555"/>
        <v>0.22929270371498192</v>
      </c>
      <c r="EI130" s="161">
        <f t="shared" si="555"/>
        <v>0.20845888859904566</v>
      </c>
      <c r="EJ130" s="161">
        <f t="shared" ref="EJ130" si="557">IFERROR((EJ76-EJ105-EJ116)/EJ76,0)</f>
        <v>0.19451567600179945</v>
      </c>
    </row>
    <row r="131" spans="2:140" x14ac:dyDescent="0.2">
      <c r="B131" s="173" t="s">
        <v>145</v>
      </c>
      <c r="C131" s="161">
        <f>IFERROR((C77-C106)/C77,0)</f>
        <v>0.39634452663749664</v>
      </c>
      <c r="D131" s="161">
        <f t="shared" ref="D131:BO131" si="558">IFERROR((D77-D106)/D77,0)</f>
        <v>0.41149135220876143</v>
      </c>
      <c r="E131" s="161">
        <f t="shared" si="558"/>
        <v>0.38058445782926148</v>
      </c>
      <c r="F131" s="161">
        <f t="shared" si="558"/>
        <v>0.46983810491499844</v>
      </c>
      <c r="G131" s="161">
        <f t="shared" si="558"/>
        <v>0.433736389911828</v>
      </c>
      <c r="H131" s="161">
        <f t="shared" si="558"/>
        <v>0.36201721462027486</v>
      </c>
      <c r="I131" s="161">
        <f t="shared" si="558"/>
        <v>0.41017890720213007</v>
      </c>
      <c r="J131" s="161">
        <f t="shared" si="558"/>
        <v>0.34606834993189201</v>
      </c>
      <c r="K131" s="161">
        <f t="shared" si="558"/>
        <v>0.34032395348205968</v>
      </c>
      <c r="L131" s="161">
        <f t="shared" si="558"/>
        <v>0.34941019818729224</v>
      </c>
      <c r="M131" s="161">
        <f t="shared" si="558"/>
        <v>0.35316864170048312</v>
      </c>
      <c r="N131" s="161">
        <f t="shared" si="558"/>
        <v>0.37573405504774554</v>
      </c>
      <c r="O131" s="161">
        <f t="shared" si="558"/>
        <v>0.32680236628998921</v>
      </c>
      <c r="P131" s="161">
        <f t="shared" si="558"/>
        <v>0.35835865732058464</v>
      </c>
      <c r="Q131" s="161">
        <f t="shared" si="558"/>
        <v>0.26403677357958527</v>
      </c>
      <c r="R131" s="161">
        <f t="shared" si="558"/>
        <v>0.33717547242722129</v>
      </c>
      <c r="S131" s="161">
        <f t="shared" si="558"/>
        <v>0.28945369191892617</v>
      </c>
      <c r="T131" s="161">
        <f t="shared" si="558"/>
        <v>0.23613473325116668</v>
      </c>
      <c r="U131" s="161">
        <f t="shared" si="558"/>
        <v>0.25175527706859835</v>
      </c>
      <c r="V131" s="161">
        <f t="shared" si="558"/>
        <v>0.24626639813696904</v>
      </c>
      <c r="W131" s="161">
        <f t="shared" si="558"/>
        <v>0.21133093722619936</v>
      </c>
      <c r="X131" s="161">
        <f t="shared" si="558"/>
        <v>0.15613024594276154</v>
      </c>
      <c r="Y131" s="161">
        <f t="shared" si="558"/>
        <v>0.24454930279345624</v>
      </c>
      <c r="Z131" s="161">
        <f t="shared" si="558"/>
        <v>0.24371730992514171</v>
      </c>
      <c r="AA131" s="161">
        <f t="shared" si="558"/>
        <v>0.25122562018020267</v>
      </c>
      <c r="AB131" s="161">
        <f t="shared" si="558"/>
        <v>0.23833854431376128</v>
      </c>
      <c r="AC131" s="161">
        <f t="shared" si="558"/>
        <v>0.23386101873297052</v>
      </c>
      <c r="AD131" s="161">
        <f t="shared" si="558"/>
        <v>0.26840543623398067</v>
      </c>
      <c r="AE131" s="161">
        <f t="shared" si="558"/>
        <v>0.26660159650433179</v>
      </c>
      <c r="AF131" s="161">
        <f t="shared" si="558"/>
        <v>0.41802885734960454</v>
      </c>
      <c r="AG131" s="161">
        <f t="shared" si="558"/>
        <v>0.21034404206185697</v>
      </c>
      <c r="AH131" s="161">
        <f t="shared" si="558"/>
        <v>0.23924093915605726</v>
      </c>
      <c r="AI131" s="161">
        <f t="shared" si="558"/>
        <v>0.29786524760298638</v>
      </c>
      <c r="AJ131" s="161">
        <f t="shared" si="558"/>
        <v>0.28853553048192532</v>
      </c>
      <c r="AK131" s="161">
        <f t="shared" si="558"/>
        <v>0.30638877100598738</v>
      </c>
      <c r="AL131" s="161">
        <f t="shared" si="558"/>
        <v>0.32260138306011255</v>
      </c>
      <c r="AM131" s="161">
        <f t="shared" si="558"/>
        <v>0.33953384825785132</v>
      </c>
      <c r="AN131" s="161">
        <f t="shared" si="558"/>
        <v>0.31793010713552461</v>
      </c>
      <c r="AO131" s="161">
        <f t="shared" si="558"/>
        <v>0.2668271033447524</v>
      </c>
      <c r="AP131" s="161">
        <f t="shared" si="558"/>
        <v>0.275077990421003</v>
      </c>
      <c r="AQ131" s="161">
        <f t="shared" si="558"/>
        <v>0.23358279013694086</v>
      </c>
      <c r="AR131" s="161">
        <f t="shared" si="558"/>
        <v>0.15090292978395911</v>
      </c>
      <c r="AS131" s="161">
        <f t="shared" si="558"/>
        <v>0.28979509729940178</v>
      </c>
      <c r="AT131" s="161">
        <f t="shared" si="558"/>
        <v>0.30674623265617579</v>
      </c>
      <c r="AU131" s="161">
        <f t="shared" si="558"/>
        <v>0.33663674912158131</v>
      </c>
      <c r="AV131" s="161">
        <f t="shared" si="558"/>
        <v>0.25176730889664672</v>
      </c>
      <c r="AW131" s="161">
        <f t="shared" si="558"/>
        <v>0.24146860034634013</v>
      </c>
      <c r="AX131" s="161">
        <f t="shared" si="558"/>
        <v>0.25440106794663297</v>
      </c>
      <c r="AY131" s="161">
        <f t="shared" si="558"/>
        <v>0.29192502294567613</v>
      </c>
      <c r="AZ131" s="161">
        <f t="shared" si="558"/>
        <v>0.23585060831442781</v>
      </c>
      <c r="BA131" s="161">
        <f t="shared" si="558"/>
        <v>0.40315185701453249</v>
      </c>
      <c r="BB131" s="161">
        <f t="shared" si="558"/>
        <v>0.34266202303547866</v>
      </c>
      <c r="BC131" s="161">
        <f t="shared" si="558"/>
        <v>0.27624415212316006</v>
      </c>
      <c r="BD131" s="161">
        <f t="shared" si="558"/>
        <v>0.27140629032647096</v>
      </c>
      <c r="BE131" s="161">
        <f t="shared" si="558"/>
        <v>0.24234079136795528</v>
      </c>
      <c r="BF131" s="161">
        <f t="shared" si="558"/>
        <v>0.31992157326171722</v>
      </c>
      <c r="BG131" s="161">
        <f t="shared" si="558"/>
        <v>0.25857405051376925</v>
      </c>
      <c r="BH131" s="161">
        <f t="shared" si="558"/>
        <v>0.26868006389247828</v>
      </c>
      <c r="BI131" s="161">
        <f t="shared" si="558"/>
        <v>0.28733570347265669</v>
      </c>
      <c r="BJ131" s="161">
        <f t="shared" si="558"/>
        <v>0.29523098970438033</v>
      </c>
      <c r="BK131" s="161">
        <f t="shared" si="558"/>
        <v>0.31645343512593754</v>
      </c>
      <c r="BL131" s="161">
        <f t="shared" si="558"/>
        <v>0.30315329687071013</v>
      </c>
      <c r="BM131" s="161">
        <f t="shared" si="558"/>
        <v>0.26248373907876715</v>
      </c>
      <c r="BN131" s="161">
        <f t="shared" si="558"/>
        <v>0.26093780788590037</v>
      </c>
      <c r="BO131" s="161">
        <f t="shared" si="558"/>
        <v>0.27596739064715115</v>
      </c>
      <c r="BP131" s="161">
        <f t="shared" ref="BP131:CR131" si="559">IFERROR((BP77-BP106)/BP77,0)</f>
        <v>0.24980759336096214</v>
      </c>
      <c r="BQ131" s="161">
        <f t="shared" si="559"/>
        <v>0.22069283046191146</v>
      </c>
      <c r="BR131" s="161">
        <f t="shared" si="559"/>
        <v>0.23348997434441848</v>
      </c>
      <c r="BS131" s="161">
        <f t="shared" si="559"/>
        <v>0.24432124331239002</v>
      </c>
      <c r="BT131" s="161">
        <f t="shared" si="559"/>
        <v>0.32608226048223315</v>
      </c>
      <c r="BU131" s="161">
        <f t="shared" si="559"/>
        <v>0.2754697610017387</v>
      </c>
      <c r="BV131" s="161">
        <f t="shared" si="559"/>
        <v>0.27546976100173864</v>
      </c>
      <c r="BW131" s="161">
        <f t="shared" si="559"/>
        <v>0.27546976100173864</v>
      </c>
      <c r="BX131" s="161">
        <f t="shared" si="559"/>
        <v>0.27546976100173876</v>
      </c>
      <c r="BY131" s="161">
        <f t="shared" si="559"/>
        <v>0.2754697610017387</v>
      </c>
      <c r="BZ131" s="161">
        <f t="shared" si="559"/>
        <v>0.2754697610017387</v>
      </c>
      <c r="CA131" s="161">
        <f t="shared" si="559"/>
        <v>0.27546976100173876</v>
      </c>
      <c r="CB131" s="161">
        <f t="shared" si="559"/>
        <v>0.27546976100173876</v>
      </c>
      <c r="CC131" s="161">
        <f t="shared" si="559"/>
        <v>0.2754697610017387</v>
      </c>
      <c r="CD131" s="161">
        <f t="shared" si="559"/>
        <v>0.2754697610017387</v>
      </c>
      <c r="CE131" s="161">
        <f t="shared" si="559"/>
        <v>0.2754697610017387</v>
      </c>
      <c r="CF131" s="161">
        <f t="shared" si="559"/>
        <v>0.2754697610017387</v>
      </c>
      <c r="CG131" s="161">
        <f t="shared" si="559"/>
        <v>0.27546976100173876</v>
      </c>
      <c r="CH131" s="161">
        <f t="shared" si="559"/>
        <v>0.27546976100173876</v>
      </c>
      <c r="CI131" s="161">
        <f t="shared" si="559"/>
        <v>0.27546976100173864</v>
      </c>
      <c r="CJ131" s="161">
        <f t="shared" si="559"/>
        <v>0.2754697610017387</v>
      </c>
      <c r="CK131" s="161">
        <f t="shared" si="559"/>
        <v>0.27546976100173876</v>
      </c>
      <c r="CL131" s="161">
        <f t="shared" si="559"/>
        <v>0.27546976100173876</v>
      </c>
      <c r="CM131" s="161">
        <f t="shared" si="559"/>
        <v>0.27546976100173864</v>
      </c>
      <c r="CN131" s="161">
        <f t="shared" si="559"/>
        <v>0.27546976100173864</v>
      </c>
      <c r="CO131" s="161">
        <f t="shared" si="559"/>
        <v>0.2754697610017387</v>
      </c>
      <c r="CP131" s="161">
        <f t="shared" si="559"/>
        <v>0.2754697610017387</v>
      </c>
      <c r="CQ131" s="161">
        <f t="shared" si="559"/>
        <v>0.2754697610017387</v>
      </c>
      <c r="CR131" s="161">
        <f t="shared" si="559"/>
        <v>0.2754697610017387</v>
      </c>
      <c r="CS131" s="161">
        <f t="shared" ref="CS131:DD131" si="560">IFERROR((CS77-CS106)/CS77,0)</f>
        <v>0.27546976100173864</v>
      </c>
      <c r="CT131" s="161">
        <f t="shared" si="560"/>
        <v>0.27546976100173864</v>
      </c>
      <c r="CU131" s="161">
        <f t="shared" si="560"/>
        <v>0.27546976100173864</v>
      </c>
      <c r="CV131" s="161">
        <f t="shared" si="560"/>
        <v>0.27546976100173876</v>
      </c>
      <c r="CW131" s="161">
        <f t="shared" si="560"/>
        <v>0.2754697610017387</v>
      </c>
      <c r="CX131" s="161">
        <f t="shared" si="560"/>
        <v>0.2754697610017387</v>
      </c>
      <c r="CY131" s="161">
        <f t="shared" si="560"/>
        <v>0.2754697610017387</v>
      </c>
      <c r="CZ131" s="161">
        <f t="shared" si="560"/>
        <v>0.27546976100173876</v>
      </c>
      <c r="DA131" s="161">
        <f t="shared" si="560"/>
        <v>0.27546976100173864</v>
      </c>
      <c r="DB131" s="161">
        <f t="shared" si="560"/>
        <v>0.2754697610017387</v>
      </c>
      <c r="DC131" s="161">
        <f t="shared" si="560"/>
        <v>0.2754697610017387</v>
      </c>
      <c r="DD131" s="161">
        <f t="shared" si="560"/>
        <v>0.27546976100173876</v>
      </c>
      <c r="DF131" s="161">
        <f t="shared" ref="DF131:EI131" si="561">IFERROR((DF77-DF106)/DF77,0)</f>
        <v>0.32353933842599464</v>
      </c>
      <c r="DG131" s="161">
        <f t="shared" si="561"/>
        <v>0.28304823596085743</v>
      </c>
      <c r="DH131" s="161">
        <f t="shared" si="561"/>
        <v>0.22331954881476565</v>
      </c>
      <c r="DI131" s="161">
        <f t="shared" si="561"/>
        <v>0.29637310621776686</v>
      </c>
      <c r="DJ131" s="161">
        <f t="shared" si="561"/>
        <v>0.26393298177530167</v>
      </c>
      <c r="DK131" s="161">
        <f t="shared" si="561"/>
        <v>0.32571543613331377</v>
      </c>
      <c r="DL131" s="161">
        <f t="shared" si="561"/>
        <v>0.26303170348520433</v>
      </c>
      <c r="DM131" s="161">
        <f t="shared" si="561"/>
        <v>0.28286425178702457</v>
      </c>
      <c r="DN131" s="161">
        <f t="shared" si="561"/>
        <v>0.29856530196415226</v>
      </c>
      <c r="DO131" s="161">
        <f t="shared" si="561"/>
        <v>0.27540659033720849</v>
      </c>
      <c r="DP131" s="161">
        <f t="shared" si="561"/>
        <v>0.24762965577125157</v>
      </c>
      <c r="DQ131" s="161">
        <f t="shared" si="561"/>
        <v>0.27075449579388494</v>
      </c>
      <c r="DR131" s="161">
        <f t="shared" si="561"/>
        <v>0.2754697610017387</v>
      </c>
      <c r="DS131" s="161">
        <f t="shared" si="561"/>
        <v>0.27546976100173864</v>
      </c>
      <c r="DT131" s="161">
        <f t="shared" si="561"/>
        <v>0.27546976100173864</v>
      </c>
      <c r="DU131" s="161">
        <f t="shared" si="561"/>
        <v>0.27546976100173887</v>
      </c>
      <c r="DV131" s="161">
        <f t="shared" si="561"/>
        <v>0.27546976100173859</v>
      </c>
      <c r="DW131" s="161">
        <f t="shared" si="561"/>
        <v>0.27546976100173876</v>
      </c>
      <c r="DX131" s="161">
        <f t="shared" si="561"/>
        <v>0.27546976100173881</v>
      </c>
      <c r="DY131" s="161">
        <f t="shared" si="561"/>
        <v>0.27546976100173881</v>
      </c>
      <c r="DZ131" s="161">
        <f t="shared" ref="DZ131:EC131" si="562">IFERROR((DZ77-DZ106)/DZ77,0)</f>
        <v>0.27546976100173859</v>
      </c>
      <c r="EA131" s="161">
        <f t="shared" si="562"/>
        <v>0.27546976100173876</v>
      </c>
      <c r="EB131" s="161">
        <f t="shared" si="562"/>
        <v>0.27546976100173864</v>
      </c>
      <c r="EC131" s="161">
        <f t="shared" si="562"/>
        <v>0.27546976100173876</v>
      </c>
      <c r="ED131" s="805"/>
      <c r="EE131" s="161">
        <f t="shared" si="561"/>
        <v>0.27708214274093923</v>
      </c>
      <c r="EF131" s="161">
        <f t="shared" si="561"/>
        <v>0.28264961657203191</v>
      </c>
      <c r="EG131" s="161">
        <f t="shared" si="561"/>
        <v>0.26982348130524364</v>
      </c>
      <c r="EH131" s="161">
        <f t="shared" si="561"/>
        <v>0.27546976100173876</v>
      </c>
      <c r="EI131" s="161">
        <f t="shared" si="561"/>
        <v>0.27546976100173881</v>
      </c>
      <c r="EJ131" s="161">
        <f t="shared" ref="EJ131" si="563">IFERROR((EJ77-EJ106)/EJ77,0)</f>
        <v>0.27546976100173859</v>
      </c>
    </row>
    <row r="132" spans="2:140" x14ac:dyDescent="0.2">
      <c r="B132" s="173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E132" s="10"/>
      <c r="EF132" s="10"/>
      <c r="EG132" s="10"/>
      <c r="EH132" s="10"/>
      <c r="EI132" s="10"/>
      <c r="EJ132" s="812"/>
    </row>
    <row r="133" spans="2:140" x14ac:dyDescent="0.2">
      <c r="B133" s="196" t="s">
        <v>32</v>
      </c>
      <c r="C133" s="182">
        <f>SUM(C134:C138)</f>
        <v>130198.43457584418</v>
      </c>
      <c r="D133" s="182">
        <f t="shared" ref="D133:BO133" si="564">SUM(D134:D138)</f>
        <v>119517.15188823857</v>
      </c>
      <c r="E133" s="182">
        <f t="shared" si="564"/>
        <v>168519.29332913319</v>
      </c>
      <c r="F133" s="182">
        <f t="shared" si="564"/>
        <v>248525.96453366976</v>
      </c>
      <c r="G133" s="182">
        <f t="shared" si="564"/>
        <v>211234.88328682928</v>
      </c>
      <c r="H133" s="182">
        <f t="shared" si="564"/>
        <v>304303.50745044276</v>
      </c>
      <c r="I133" s="182">
        <f t="shared" si="564"/>
        <v>658433.14062084944</v>
      </c>
      <c r="J133" s="182">
        <f t="shared" si="564"/>
        <v>732107.56636266806</v>
      </c>
      <c r="K133" s="182">
        <f t="shared" si="564"/>
        <v>668657.26273367391</v>
      </c>
      <c r="L133" s="182">
        <f t="shared" si="564"/>
        <v>879266.22607154236</v>
      </c>
      <c r="M133" s="182">
        <f t="shared" si="564"/>
        <v>549840.53128778003</v>
      </c>
      <c r="N133" s="182">
        <f t="shared" si="564"/>
        <v>20346.098100603627</v>
      </c>
      <c r="O133" s="182">
        <f t="shared" si="564"/>
        <v>359716.77678032639</v>
      </c>
      <c r="P133" s="182">
        <f t="shared" si="564"/>
        <v>573798.3543186069</v>
      </c>
      <c r="Q133" s="182">
        <f t="shared" si="564"/>
        <v>837764.92443524487</v>
      </c>
      <c r="R133" s="182">
        <f t="shared" si="564"/>
        <v>1172951.4825985655</v>
      </c>
      <c r="S133" s="182">
        <f t="shared" si="564"/>
        <v>1516671.4000202734</v>
      </c>
      <c r="T133" s="182">
        <f t="shared" si="564"/>
        <v>1786737.4024705118</v>
      </c>
      <c r="U133" s="182">
        <f t="shared" si="564"/>
        <v>2140822.8130463362</v>
      </c>
      <c r="V133" s="182">
        <f t="shared" si="564"/>
        <v>1802641.5596228095</v>
      </c>
      <c r="W133" s="182">
        <f t="shared" si="564"/>
        <v>2198900.1404742305</v>
      </c>
      <c r="X133" s="182">
        <f t="shared" si="564"/>
        <v>2897278.0586944404</v>
      </c>
      <c r="Y133" s="182">
        <f t="shared" si="564"/>
        <v>2487367.86507075</v>
      </c>
      <c r="Z133" s="182">
        <f t="shared" si="564"/>
        <v>2982824.248759659</v>
      </c>
      <c r="AA133" s="182">
        <f t="shared" si="564"/>
        <v>3480574.2121569877</v>
      </c>
      <c r="AB133" s="182">
        <f t="shared" si="564"/>
        <v>4054442.1777383164</v>
      </c>
      <c r="AC133" s="182">
        <f t="shared" si="564"/>
        <v>3519070.2049481506</v>
      </c>
      <c r="AD133" s="182">
        <f t="shared" si="564"/>
        <v>3592075.0021107318</v>
      </c>
      <c r="AE133" s="182">
        <f t="shared" si="564"/>
        <v>3932358.1898547178</v>
      </c>
      <c r="AF133" s="182">
        <f t="shared" si="564"/>
        <v>3887231.1579370624</v>
      </c>
      <c r="AG133" s="182">
        <f t="shared" si="564"/>
        <v>4353527.2192042209</v>
      </c>
      <c r="AH133" s="182">
        <f t="shared" si="564"/>
        <v>4612904.942500446</v>
      </c>
      <c r="AI133" s="182">
        <f t="shared" si="564"/>
        <v>5519867.3778399294</v>
      </c>
      <c r="AJ133" s="182">
        <f t="shared" si="564"/>
        <v>7738040.5215995191</v>
      </c>
      <c r="AK133" s="182">
        <f t="shared" si="564"/>
        <v>10629899.225881325</v>
      </c>
      <c r="AL133" s="182">
        <f t="shared" si="564"/>
        <v>11150812.547877267</v>
      </c>
      <c r="AM133" s="182">
        <f t="shared" si="564"/>
        <v>11891909.199918626</v>
      </c>
      <c r="AN133" s="182">
        <f t="shared" si="564"/>
        <v>9946606.8633537591</v>
      </c>
      <c r="AO133" s="182">
        <f t="shared" si="564"/>
        <v>10394775.23642534</v>
      </c>
      <c r="AP133" s="182">
        <f t="shared" si="564"/>
        <v>10079453.412495932</v>
      </c>
      <c r="AQ133" s="182">
        <f t="shared" si="564"/>
        <v>14955152.836107988</v>
      </c>
      <c r="AR133" s="182">
        <f t="shared" si="564"/>
        <v>13759891.745202333</v>
      </c>
      <c r="AS133" s="182">
        <f t="shared" si="564"/>
        <v>13473619.400649462</v>
      </c>
      <c r="AT133" s="182">
        <f t="shared" si="564"/>
        <v>12490885.505439561</v>
      </c>
      <c r="AU133" s="182">
        <f t="shared" si="564"/>
        <v>14413388.284954067</v>
      </c>
      <c r="AV133" s="182">
        <f t="shared" si="564"/>
        <v>15701410.311212385</v>
      </c>
      <c r="AW133" s="182">
        <f t="shared" si="564"/>
        <v>13870986.96624638</v>
      </c>
      <c r="AX133" s="182">
        <f t="shared" si="564"/>
        <v>13875914.078319829</v>
      </c>
      <c r="AY133" s="182">
        <f t="shared" si="564"/>
        <v>13930896.699784346</v>
      </c>
      <c r="AZ133" s="182">
        <f t="shared" si="564"/>
        <v>14252012.158503862</v>
      </c>
      <c r="BA133" s="182">
        <f t="shared" si="564"/>
        <v>11825781.859210091</v>
      </c>
      <c r="BB133" s="182">
        <f t="shared" si="564"/>
        <v>11363672.105887113</v>
      </c>
      <c r="BC133" s="182">
        <f t="shared" si="564"/>
        <v>14837038.177492809</v>
      </c>
      <c r="BD133" s="182">
        <f t="shared" si="564"/>
        <v>13767089.958780337</v>
      </c>
      <c r="BE133" s="182">
        <f t="shared" si="564"/>
        <v>14848282.128450846</v>
      </c>
      <c r="BF133" s="182">
        <f t="shared" si="564"/>
        <v>15988502.190642331</v>
      </c>
      <c r="BG133" s="182">
        <f t="shared" si="564"/>
        <v>15890117.645247098</v>
      </c>
      <c r="BH133" s="182">
        <f t="shared" si="564"/>
        <v>20152443.042471968</v>
      </c>
      <c r="BI133" s="182">
        <f t="shared" si="564"/>
        <v>20323055.965860557</v>
      </c>
      <c r="BJ133" s="182">
        <f t="shared" si="564"/>
        <v>19469636.918245416</v>
      </c>
      <c r="BK133" s="182">
        <f t="shared" si="564"/>
        <v>21039946.11563769</v>
      </c>
      <c r="BL133" s="182">
        <f t="shared" si="564"/>
        <v>25358735.072609171</v>
      </c>
      <c r="BM133" s="182">
        <f t="shared" si="564"/>
        <v>20697051.746065527</v>
      </c>
      <c r="BN133" s="182">
        <f t="shared" si="564"/>
        <v>21317536.385019571</v>
      </c>
      <c r="BO133" s="182">
        <f t="shared" si="564"/>
        <v>32631410.232460476</v>
      </c>
      <c r="BP133" s="182">
        <f t="shared" ref="BP133:CR133" si="565">SUM(BP134:BP138)</f>
        <v>19831890.581445239</v>
      </c>
      <c r="BQ133" s="182">
        <f t="shared" si="565"/>
        <v>18037492.254060939</v>
      </c>
      <c r="BR133" s="182">
        <f t="shared" si="565"/>
        <v>19883810.208931644</v>
      </c>
      <c r="BS133" s="182">
        <f t="shared" si="565"/>
        <v>18365949.479077406</v>
      </c>
      <c r="BT133" s="182">
        <f t="shared" si="565"/>
        <v>23397522.881831151</v>
      </c>
      <c r="BU133" s="182">
        <f t="shared" si="565"/>
        <v>20796156.036749162</v>
      </c>
      <c r="BV133" s="182">
        <f t="shared" si="565"/>
        <v>20410509.453201562</v>
      </c>
      <c r="BW133" s="182">
        <f t="shared" si="565"/>
        <v>20364111.005262148</v>
      </c>
      <c r="BX133" s="182">
        <f t="shared" si="565"/>
        <v>21843649.759243317</v>
      </c>
      <c r="BY133" s="182">
        <f t="shared" si="565"/>
        <v>19766311.591889493</v>
      </c>
      <c r="BZ133" s="182">
        <f t="shared" si="565"/>
        <v>18515879.390965119</v>
      </c>
      <c r="CA133" s="182">
        <f t="shared" si="565"/>
        <v>22500137.576313961</v>
      </c>
      <c r="CB133" s="182">
        <f t="shared" si="565"/>
        <v>20902276.369638007</v>
      </c>
      <c r="CC133" s="182">
        <f t="shared" si="565"/>
        <v>24405590.757373396</v>
      </c>
      <c r="CD133" s="182">
        <f t="shared" si="565"/>
        <v>24940399.217024859</v>
      </c>
      <c r="CE133" s="182">
        <f t="shared" si="565"/>
        <v>23350167.154097859</v>
      </c>
      <c r="CF133" s="182">
        <f t="shared" si="565"/>
        <v>26762729.24216219</v>
      </c>
      <c r="CG133" s="182">
        <f t="shared" si="565"/>
        <v>25120009.657842167</v>
      </c>
      <c r="CH133" s="182">
        <f t="shared" si="565"/>
        <v>24698225.358938418</v>
      </c>
      <c r="CI133" s="182">
        <f t="shared" si="565"/>
        <v>24530618.029726364</v>
      </c>
      <c r="CJ133" s="182">
        <f t="shared" si="565"/>
        <v>26339011.597513683</v>
      </c>
      <c r="CK133" s="182">
        <f t="shared" si="565"/>
        <v>23741248.166218542</v>
      </c>
      <c r="CL133" s="182">
        <f t="shared" si="565"/>
        <v>22161980.999640558</v>
      </c>
      <c r="CM133" s="182">
        <f t="shared" si="565"/>
        <v>26967291.072991014</v>
      </c>
      <c r="CN133" s="182">
        <f t="shared" si="565"/>
        <v>24903126.166890807</v>
      </c>
      <c r="CO133" s="182">
        <f t="shared" si="565"/>
        <v>29070237.806115925</v>
      </c>
      <c r="CP133" s="182">
        <f t="shared" si="565"/>
        <v>29608573.242429651</v>
      </c>
      <c r="CQ133" s="182">
        <f t="shared" si="565"/>
        <v>27572035.253275502</v>
      </c>
      <c r="CR133" s="182">
        <f t="shared" si="565"/>
        <v>31356725.872675054</v>
      </c>
      <c r="CS133" s="182">
        <f t="shared" ref="CS133:DD133" si="566">SUM(CS134:CS138)</f>
        <v>28200676.331074566</v>
      </c>
      <c r="CT133" s="182">
        <f t="shared" si="566"/>
        <v>27696062.57021375</v>
      </c>
      <c r="CU133" s="182">
        <f t="shared" si="566"/>
        <v>27490065.906113558</v>
      </c>
      <c r="CV133" s="182">
        <f t="shared" si="566"/>
        <v>29539065.35993994</v>
      </c>
      <c r="CW133" s="182">
        <f t="shared" si="566"/>
        <v>26554730.382984288</v>
      </c>
      <c r="CX133" s="182">
        <f t="shared" si="566"/>
        <v>24729885.108293183</v>
      </c>
      <c r="CY133" s="182">
        <f t="shared" si="566"/>
        <v>30194335.835565683</v>
      </c>
      <c r="CZ133" s="182">
        <f t="shared" si="566"/>
        <v>27830849.813029654</v>
      </c>
      <c r="DA133" s="182">
        <f t="shared" si="566"/>
        <v>32564209.947323438</v>
      </c>
      <c r="DB133" s="182">
        <f t="shared" si="566"/>
        <v>33168458.027675282</v>
      </c>
      <c r="DC133" s="182">
        <f t="shared" si="566"/>
        <v>30837680.297327012</v>
      </c>
      <c r="DD133" s="182">
        <f t="shared" si="566"/>
        <v>35130887.908748046</v>
      </c>
      <c r="DF133" s="182">
        <f t="shared" ref="DF133:DF138" si="567">SUM(AK133:AM133)</f>
        <v>33672620.973677218</v>
      </c>
      <c r="DG133" s="182">
        <f t="shared" ref="DG133:DG138" si="568">SUM(AN133:AP133)</f>
        <v>30420835.512275033</v>
      </c>
      <c r="DH133" s="182">
        <f t="shared" ref="DH133:DH138" si="569">SUM(AQ133:AS133)</f>
        <v>42188663.981959783</v>
      </c>
      <c r="DI133" s="182">
        <f t="shared" ref="DI133:DI138" si="570">SUM(AT133:AV133)</f>
        <v>42605684.101606011</v>
      </c>
      <c r="DJ133" s="182">
        <f t="shared" ref="DJ133:DJ138" si="571">SUM(AW133:AY133)</f>
        <v>41677797.744350553</v>
      </c>
      <c r="DK133" s="182">
        <f t="shared" ref="DK133:DK138" si="572">SUM(AZ133:BB133)</f>
        <v>37441466.123601064</v>
      </c>
      <c r="DL133" s="182">
        <f t="shared" ref="DL133:DL138" si="573">SUM(BC133:BE133)</f>
        <v>43452410.264723994</v>
      </c>
      <c r="DM133" s="182">
        <f t="shared" ref="DM133:DM138" si="574">SUM(BF133:BH133)</f>
        <v>52031062.878361396</v>
      </c>
      <c r="DN133" s="182">
        <f t="shared" ref="DN133:DN138" si="575">SUM(BI133:BK133)</f>
        <v>60832638.999743663</v>
      </c>
      <c r="DO133" s="182">
        <f t="shared" ref="DO133:DO138" si="576">SUM(BL133:BN133)</f>
        <v>67373323.203694269</v>
      </c>
      <c r="DP133" s="182">
        <f t="shared" ref="DP133:DP138" si="577">SUM(BO133:BQ133)</f>
        <v>70500793.067966655</v>
      </c>
      <c r="DQ133" s="182">
        <f t="shared" ref="DQ133:DQ138" si="578">SUM(BR133:BT133)</f>
        <v>61647282.569840208</v>
      </c>
      <c r="DR133" s="182">
        <f t="shared" ref="DR133:DR138" si="579">SUM(BU133:BW133)</f>
        <v>61570776.495212868</v>
      </c>
      <c r="DS133" s="182">
        <f t="shared" ref="DS133:DS138" si="580">SUM(BX133:BZ133)</f>
        <v>60125840.742097929</v>
      </c>
      <c r="DT133" s="182">
        <f t="shared" ref="DT133:DT138" si="581">SUM(CA133:CC133)</f>
        <v>67808004.703325361</v>
      </c>
      <c r="DU133" s="182">
        <f t="shared" ref="DU133:DU138" si="582">SUM(CD133:CF133)</f>
        <v>75053295.613284916</v>
      </c>
      <c r="DV133" s="182">
        <f t="shared" ref="DV133:DV138" si="583">SUM(CG133:CI133)</f>
        <v>74348853.046506941</v>
      </c>
      <c r="DW133" s="182">
        <f t="shared" ref="DW133:DW138" si="584">SUM(CJ133:CL133)</f>
        <v>72242240.763372779</v>
      </c>
      <c r="DX133" s="182">
        <f t="shared" ref="DX133:DX138" si="585">SUM(CM133:CO133)</f>
        <v>80940655.045997739</v>
      </c>
      <c r="DY133" s="182">
        <f t="shared" ref="DY133:DY138" si="586">SUM(CP133:CR133)</f>
        <v>88537334.368380219</v>
      </c>
      <c r="DZ133" s="182">
        <f t="shared" ref="DZ133:DZ175" si="587">SUM(CS133:CU133)</f>
        <v>83386804.807401866</v>
      </c>
      <c r="EA133" s="182">
        <f t="shared" ref="EA133:EA175" si="588">SUM(CV133:CX133)</f>
        <v>80823680.851217419</v>
      </c>
      <c r="EB133" s="182">
        <f t="shared" ref="EB133:EB175" si="589">SUM(CY133:DA133)</f>
        <v>90589395.595918775</v>
      </c>
      <c r="EC133" s="182">
        <f t="shared" ref="EC133:EC175" si="590">SUM(DB133:DD133)</f>
        <v>99137026.233750343</v>
      </c>
      <c r="EE133" s="182">
        <f t="shared" ref="EE133:EE138" si="591">SUM(DF133:DI133)</f>
        <v>148887804.56951803</v>
      </c>
      <c r="EF133" s="182">
        <f t="shared" ref="EF133:EF138" si="592">SUM(DJ133:DM133)</f>
        <v>174602737.01103702</v>
      </c>
      <c r="EG133" s="182">
        <f t="shared" ref="EG133:EG138" si="593">SUM(DN133:DQ133)</f>
        <v>260354037.84124476</v>
      </c>
      <c r="EH133" s="182">
        <f t="shared" ref="EH133:EH138" si="594">SUM(DR133:DU133)</f>
        <v>264557917.55392107</v>
      </c>
      <c r="EI133" s="182">
        <f t="shared" ref="EI133:EI138" si="595">SUM(DV133:DY133)</f>
        <v>316069083.22425771</v>
      </c>
      <c r="EJ133" s="816">
        <f t="shared" ref="EJ133:EJ175" si="596">SUM(DZ133:EC133)</f>
        <v>353936907.4882884</v>
      </c>
    </row>
    <row r="134" spans="2:140" x14ac:dyDescent="0.2">
      <c r="B134" s="167" t="s">
        <v>204</v>
      </c>
      <c r="C134" s="19">
        <f>'P&amp;L - Inputs'!AB544</f>
        <v>13510.436766623206</v>
      </c>
      <c r="D134" s="19">
        <f>'P&amp;L - Inputs'!AC544</f>
        <v>11328.991034070532</v>
      </c>
      <c r="E134" s="19">
        <f>'P&amp;L - Inputs'!AD544</f>
        <v>16270.57296715132</v>
      </c>
      <c r="F134" s="19">
        <f>'P&amp;L - Inputs'!AE544</f>
        <v>25879.948163173314</v>
      </c>
      <c r="G134" s="19">
        <f>'P&amp;L - Inputs'!AF544</f>
        <v>25524.218536585366</v>
      </c>
      <c r="H134" s="19">
        <f>'P&amp;L - Inputs'!AG544</f>
        <v>32038.560411311053</v>
      </c>
      <c r="I134" s="19">
        <f>'P&amp;L - Inputs'!AH544</f>
        <v>87721.792277992266</v>
      </c>
      <c r="J134" s="19">
        <f>'P&amp;L - Inputs'!AI544</f>
        <v>107042.33144297416</v>
      </c>
      <c r="K134" s="19">
        <f>'P&amp;L - Inputs'!AJ544</f>
        <v>91533.20756259581</v>
      </c>
      <c r="L134" s="19">
        <f>'P&amp;L - Inputs'!AK544</f>
        <v>201995.88388010385</v>
      </c>
      <c r="M134" s="19">
        <f>'P&amp;L - Inputs'!AL544</f>
        <v>104496.1100968965</v>
      </c>
      <c r="N134" s="19">
        <f>'P&amp;L - Inputs'!AM544</f>
        <v>4098.0845070422538</v>
      </c>
      <c r="O134" s="19">
        <f>'P&amp;L - Inputs'!AN544</f>
        <v>79376.095756256807</v>
      </c>
      <c r="P134" s="19">
        <f>'P&amp;L - Inputs'!AO544</f>
        <v>100600</v>
      </c>
      <c r="Q134" s="19">
        <f>'P&amp;L - Inputs'!AP544</f>
        <v>170000</v>
      </c>
      <c r="R134" s="19">
        <f>'P&amp;L - Inputs'!AQ544</f>
        <v>185000</v>
      </c>
      <c r="S134" s="19">
        <f>'P&amp;L - Inputs'!AR544</f>
        <v>223000</v>
      </c>
      <c r="T134" s="19">
        <f>'P&amp;L - Inputs'!AS544</f>
        <v>46095</v>
      </c>
      <c r="U134" s="19">
        <f>'P&amp;L - Inputs'!AT544</f>
        <v>214807</v>
      </c>
      <c r="V134" s="19">
        <f>'P&amp;L - Inputs'!AU544</f>
        <v>64758</v>
      </c>
      <c r="W134" s="19">
        <f>'P&amp;L - Inputs'!AV544</f>
        <v>328698.74437308684</v>
      </c>
      <c r="X134" s="19">
        <f>'P&amp;L - Inputs'!AW544</f>
        <v>644912.89499129762</v>
      </c>
      <c r="Y134" s="19">
        <f>'P&amp;L - Inputs'!AX544</f>
        <v>145700</v>
      </c>
      <c r="Z134" s="19">
        <f>'P&amp;L - Inputs'!AY544</f>
        <v>320210</v>
      </c>
      <c r="AA134" s="19">
        <f>'P&amp;L - Inputs'!AZ544</f>
        <v>134390</v>
      </c>
      <c r="AB134" s="19">
        <f>'P&amp;L - Inputs'!BA544</f>
        <v>255217</v>
      </c>
      <c r="AC134" s="19">
        <f>'P&amp;L - Inputs'!BB544</f>
        <v>337808</v>
      </c>
      <c r="AD134" s="19">
        <f>'P&amp;L - Inputs'!BC544</f>
        <v>433362</v>
      </c>
      <c r="AE134" s="19">
        <f>'P&amp;L - Inputs'!BD544</f>
        <v>525349</v>
      </c>
      <c r="AF134" s="19">
        <f>'P&amp;L - Inputs'!BE544</f>
        <v>481819</v>
      </c>
      <c r="AG134" s="19">
        <f>'P&amp;L - Inputs'!BF544</f>
        <v>500802</v>
      </c>
      <c r="AH134" s="19">
        <f>'P&amp;L - Inputs'!BG544</f>
        <v>412757</v>
      </c>
      <c r="AI134" s="19">
        <f>'P&amp;L - Inputs'!BH544</f>
        <v>787035</v>
      </c>
      <c r="AJ134" s="19">
        <f>'P&amp;L - Inputs'!BI544</f>
        <v>634896.6</v>
      </c>
      <c r="AK134" s="19">
        <f>'P&amp;L - Inputs'!BJ544</f>
        <v>579201</v>
      </c>
      <c r="AL134" s="19">
        <f>'P&amp;L - Inputs'!BK544</f>
        <v>735915</v>
      </c>
      <c r="AM134" s="19">
        <f>'P&amp;L - Inputs'!BL544</f>
        <v>1279556</v>
      </c>
      <c r="AN134" s="19">
        <f>'P&amp;L - Inputs'!BM544</f>
        <v>1328067</v>
      </c>
      <c r="AO134" s="19">
        <f>'P&amp;L - Inputs'!BN544</f>
        <v>1026904</v>
      </c>
      <c r="AP134" s="19">
        <f>'P&amp;L - Inputs'!BO544</f>
        <v>918170</v>
      </c>
      <c r="AQ134" s="19">
        <f>'P&amp;L - Inputs'!BP544</f>
        <v>1115015</v>
      </c>
      <c r="AR134" s="19">
        <f>'P&amp;L - Inputs'!BQ544</f>
        <v>1087756</v>
      </c>
      <c r="AS134" s="19">
        <f>'P&amp;L - Inputs'!BR544</f>
        <v>961509</v>
      </c>
      <c r="AT134" s="19">
        <f>'P&amp;L - Inputs'!BS544</f>
        <v>1034233</v>
      </c>
      <c r="AU134" s="19">
        <f>'P&amp;L - Inputs'!BT544</f>
        <v>1161335</v>
      </c>
      <c r="AV134" s="19">
        <f>'P&amp;L - Inputs'!BU544</f>
        <v>1050422</v>
      </c>
      <c r="AW134" s="19">
        <f>'P&amp;L - Inputs'!BV544</f>
        <v>1353093</v>
      </c>
      <c r="AX134" s="19">
        <f>'P&amp;L - Inputs'!BW544</f>
        <v>1425791</v>
      </c>
      <c r="AY134" s="19">
        <f>'P&amp;L - Inputs'!BX544</f>
        <v>1591436</v>
      </c>
      <c r="AZ134" s="19">
        <f>'P&amp;L - Inputs'!BY544</f>
        <v>1571554</v>
      </c>
      <c r="BA134" s="19">
        <f>'P&amp;L - Inputs'!BZ544</f>
        <v>1709875</v>
      </c>
      <c r="BB134" s="19">
        <f>'P&amp;L - Inputs'!CA544</f>
        <v>1828395</v>
      </c>
      <c r="BC134" s="19">
        <f>'P&amp;L - Inputs'!CB544</f>
        <v>1782340</v>
      </c>
      <c r="BD134" s="19">
        <f>'P&amp;L - Inputs'!CC544</f>
        <v>1578114</v>
      </c>
      <c r="BE134" s="19">
        <f>'P&amp;L - Inputs'!CD544</f>
        <v>1360319</v>
      </c>
      <c r="BF134" s="19">
        <f>'P&amp;L - Inputs'!CE544</f>
        <v>1586553</v>
      </c>
      <c r="BG134" s="19">
        <f>'P&amp;L - Inputs'!CF544</f>
        <v>2362312.0310290344</v>
      </c>
      <c r="BH134" s="19">
        <f>'P&amp;L - Inputs'!CG544</f>
        <v>3246662.3507916653</v>
      </c>
      <c r="BI134" s="19">
        <f>'P&amp;L - Inputs'!CH544</f>
        <v>2900915.5172532042</v>
      </c>
      <c r="BJ134" s="19">
        <f>'P&amp;L - Inputs'!CI544</f>
        <v>3248053.8272532043</v>
      </c>
      <c r="BK134" s="19">
        <f>'P&amp;L - Inputs'!CJ544</f>
        <v>2993456.163881409</v>
      </c>
      <c r="BL134" s="19">
        <f>'P&amp;L - Inputs'!CK544</f>
        <v>4025647.8363237176</v>
      </c>
      <c r="BM134" s="19">
        <f>'P&amp;L - Inputs'!CL544</f>
        <v>3442296.7470737179</v>
      </c>
      <c r="BN134" s="19">
        <f>'P&amp;L - Inputs'!CM544</f>
        <v>3542814.7569679478</v>
      </c>
      <c r="BO134" s="19">
        <f>'P&amp;L - Inputs'!CN544</f>
        <v>3749869.8766054595</v>
      </c>
      <c r="BP134" s="19">
        <f>'P&amp;L - Inputs'!CO544</f>
        <v>3432070.7456182796</v>
      </c>
      <c r="BQ134" s="19">
        <f>'P&amp;L - Inputs'!CP544</f>
        <v>3053041.87736311</v>
      </c>
      <c r="BR134" s="19">
        <f>'P&amp;L - Inputs'!CQ544</f>
        <v>4048236.7716185898</v>
      </c>
      <c r="BS134" s="19">
        <f>'P&amp;L - Inputs'!CR544</f>
        <v>3636708.9938044869</v>
      </c>
      <c r="BT134" s="19">
        <f>'P&amp;L - Inputs'!CS544</f>
        <v>3513630.6601987178</v>
      </c>
      <c r="BU134" s="19">
        <f>'P&amp;L - Inputs'!CT544</f>
        <v>4436740.5566064017</v>
      </c>
      <c r="BV134" s="19">
        <f>'P&amp;L - Inputs'!CU544</f>
        <v>4334067.211561868</v>
      </c>
      <c r="BW134" s="19">
        <f>'P&amp;L - Inputs'!CV544</f>
        <v>4319553.4871360846</v>
      </c>
      <c r="BX134" s="19">
        <f>'P&amp;L - Inputs'!CW544</f>
        <v>4705886.7438676851</v>
      </c>
      <c r="BY134" s="19">
        <f>'P&amp;L - Inputs'!CX544</f>
        <v>4158909.6172156879</v>
      </c>
      <c r="BZ134" s="19">
        <f>'P&amp;L - Inputs'!CY544</f>
        <v>3827944.2306910465</v>
      </c>
      <c r="CA134" s="19">
        <f>'P&amp;L - Inputs'!CZ544</f>
        <v>4870954.501171086</v>
      </c>
      <c r="CB134" s="19">
        <f>'P&amp;L - Inputs'!DA544</f>
        <v>4449684.6672226023</v>
      </c>
      <c r="CC134" s="19">
        <f>'P&amp;L - Inputs'!DB544</f>
        <v>5366603.0757390112</v>
      </c>
      <c r="CD134" s="19">
        <f>'P&amp;L - Inputs'!DC544</f>
        <v>5505250.8389543351</v>
      </c>
      <c r="CE134" s="19">
        <f>'P&amp;L - Inputs'!DD544</f>
        <v>5085981.1824595742</v>
      </c>
      <c r="CF134" s="19">
        <f>'P&amp;L - Inputs'!DE544</f>
        <v>5977540.413451517</v>
      </c>
      <c r="CG134" s="19">
        <f>'P&amp;L - Inputs'!DF544</f>
        <v>5549188.0049908012</v>
      </c>
      <c r="CH134" s="19">
        <f>'P&amp;L - Inputs'!DG544</f>
        <v>5435326.6020996654</v>
      </c>
      <c r="CI134" s="19">
        <f>'P&amp;L - Inputs'!DH544</f>
        <v>5389442.8925147001</v>
      </c>
      <c r="CJ134" s="19">
        <f>'P&amp;L - Inputs'!DI544</f>
        <v>5865887.8262310699</v>
      </c>
      <c r="CK134" s="19">
        <f>'P&amp;L - Inputs'!DJ544</f>
        <v>5176836.2856229171</v>
      </c>
      <c r="CL134" s="19">
        <f>'P&amp;L - Inputs'!DK544</f>
        <v>4756220.7066336274</v>
      </c>
      <c r="CM134" s="19">
        <f>'P&amp;L - Inputs'!DL544</f>
        <v>6025648.7842488978</v>
      </c>
      <c r="CN134" s="19">
        <f>'P&amp;L - Inputs'!DM544</f>
        <v>5478436.1797311595</v>
      </c>
      <c r="CO134" s="19">
        <f>'P&amp;L - Inputs'!DN544</f>
        <v>6579165.2842032863</v>
      </c>
      <c r="CP134" s="19">
        <f>'P&amp;L - Inputs'!DO544</f>
        <v>6720677.338830376</v>
      </c>
      <c r="CQ134" s="19">
        <f>'P&amp;L - Inputs'!DP544</f>
        <v>6180767.529604353</v>
      </c>
      <c r="CR134" s="19">
        <f>'P&amp;L - Inputs'!DQ544</f>
        <v>7180408.9003822645</v>
      </c>
      <c r="CS134" s="19">
        <f>'P&amp;L - Inputs'!DR544</f>
        <v>6344571.6190394843</v>
      </c>
      <c r="CT134" s="19">
        <f>'P&amp;L - Inputs'!DS544</f>
        <v>6208815.3877830803</v>
      </c>
      <c r="CU134" s="19">
        <f>'P&amp;L - Inputs'!DT544</f>
        <v>6152783.9858363271</v>
      </c>
      <c r="CV134" s="19">
        <f>'P&amp;L - Inputs'!DU544</f>
        <v>6692829.7742972197</v>
      </c>
      <c r="CW134" s="19">
        <f>'P&amp;L - Inputs'!DV544</f>
        <v>5901593.3656101255</v>
      </c>
      <c r="CX134" s="19">
        <f>'P&amp;L - Inputs'!DW544</f>
        <v>5416062.5933989976</v>
      </c>
      <c r="CY134" s="19">
        <f>'P&amp;L - Inputs'!DX544</f>
        <v>6859725.4317528242</v>
      </c>
      <c r="CZ134" s="19">
        <f>'P&amp;L - Inputs'!DY544</f>
        <v>6233391.4093770385</v>
      </c>
      <c r="DA134" s="19">
        <f>'P&amp;L - Inputs'!DZ544</f>
        <v>7483800.5107812406</v>
      </c>
      <c r="DB134" s="19">
        <f>'P&amp;L - Inputs'!EA544</f>
        <v>7642735.6657667924</v>
      </c>
      <c r="DC134" s="19">
        <f>'P&amp;L - Inputs'!EB544</f>
        <v>7025047.6302977316</v>
      </c>
      <c r="DD134" s="19">
        <f>'P&amp;L - Inputs'!EC544</f>
        <v>8159108.4696809445</v>
      </c>
      <c r="DF134" s="19">
        <f t="shared" si="567"/>
        <v>2594672</v>
      </c>
      <c r="DG134" s="19">
        <f t="shared" si="568"/>
        <v>3273141</v>
      </c>
      <c r="DH134" s="19">
        <f t="shared" si="569"/>
        <v>3164280</v>
      </c>
      <c r="DI134" s="19">
        <f t="shared" si="570"/>
        <v>3245990</v>
      </c>
      <c r="DJ134" s="19">
        <f t="shared" si="571"/>
        <v>4370320</v>
      </c>
      <c r="DK134" s="19">
        <f t="shared" si="572"/>
        <v>5109824</v>
      </c>
      <c r="DL134" s="19">
        <f t="shared" si="573"/>
        <v>4720773</v>
      </c>
      <c r="DM134" s="19">
        <f t="shared" si="574"/>
        <v>7195527.3818206992</v>
      </c>
      <c r="DN134" s="19">
        <f t="shared" si="575"/>
        <v>9142425.5083878189</v>
      </c>
      <c r="DO134" s="19">
        <f t="shared" si="576"/>
        <v>11010759.340365384</v>
      </c>
      <c r="DP134" s="19">
        <f t="shared" si="577"/>
        <v>10234982.499586849</v>
      </c>
      <c r="DQ134" s="19">
        <f t="shared" si="578"/>
        <v>11198576.425621795</v>
      </c>
      <c r="DR134" s="19">
        <f t="shared" si="579"/>
        <v>13090361.255304355</v>
      </c>
      <c r="DS134" s="19">
        <f t="shared" si="580"/>
        <v>12692740.591774419</v>
      </c>
      <c r="DT134" s="19">
        <f t="shared" si="581"/>
        <v>14687242.244132699</v>
      </c>
      <c r="DU134" s="19">
        <f t="shared" si="582"/>
        <v>16568772.434865426</v>
      </c>
      <c r="DV134" s="19">
        <f t="shared" si="583"/>
        <v>16373957.499605166</v>
      </c>
      <c r="DW134" s="19">
        <f t="shared" si="584"/>
        <v>15798944.818487614</v>
      </c>
      <c r="DX134" s="19">
        <f t="shared" si="585"/>
        <v>18083250.248183344</v>
      </c>
      <c r="DY134" s="19">
        <f t="shared" si="586"/>
        <v>20081853.768816993</v>
      </c>
      <c r="DZ134" s="19">
        <f t="shared" si="587"/>
        <v>18706170.992658891</v>
      </c>
      <c r="EA134" s="19">
        <f t="shared" si="588"/>
        <v>18010485.733306341</v>
      </c>
      <c r="EB134" s="19">
        <f t="shared" si="589"/>
        <v>20576917.351911101</v>
      </c>
      <c r="EC134" s="19">
        <f t="shared" si="590"/>
        <v>22826891.765745468</v>
      </c>
      <c r="EE134" s="19">
        <f t="shared" si="591"/>
        <v>12278083</v>
      </c>
      <c r="EF134" s="19">
        <f t="shared" si="592"/>
        <v>21396444.381820701</v>
      </c>
      <c r="EG134" s="19">
        <f t="shared" si="593"/>
        <v>41586743.773961842</v>
      </c>
      <c r="EH134" s="19">
        <f t="shared" si="594"/>
        <v>57039116.526076898</v>
      </c>
      <c r="EI134" s="19">
        <f t="shared" si="595"/>
        <v>70338006.335093111</v>
      </c>
      <c r="EJ134" s="770">
        <f t="shared" si="596"/>
        <v>80120465.84362179</v>
      </c>
    </row>
    <row r="135" spans="2:140" x14ac:dyDescent="0.2">
      <c r="B135" s="167" t="s">
        <v>34</v>
      </c>
      <c r="C135" s="19">
        <f>'P&amp;L - Inputs'!AB545</f>
        <v>47004.365058670141</v>
      </c>
      <c r="D135" s="19">
        <f>'P&amp;L - Inputs'!AC545</f>
        <v>50979.476987447699</v>
      </c>
      <c r="E135" s="19">
        <f>'P&amp;L - Inputs'!AD545</f>
        <v>69935.439418416805</v>
      </c>
      <c r="F135" s="19">
        <f>'P&amp;L - Inputs'!AE545</f>
        <v>98733.020058598166</v>
      </c>
      <c r="G135" s="19">
        <f>'P&amp;L - Inputs'!AF545</f>
        <v>74794.304390243909</v>
      </c>
      <c r="H135" s="19">
        <f>'P&amp;L - Inputs'!AG545</f>
        <v>95104.363039131684</v>
      </c>
      <c r="I135" s="19">
        <f>'P&amp;L - Inputs'!AH545</f>
        <v>119267.20714285715</v>
      </c>
      <c r="J135" s="19">
        <f>'P&amp;L - Inputs'!AI545</f>
        <v>160777.68259969394</v>
      </c>
      <c r="K135" s="19">
        <f>'P&amp;L - Inputs'!AJ545</f>
        <v>129710.46377107818</v>
      </c>
      <c r="L135" s="19">
        <f>'P&amp;L - Inputs'!AK545</f>
        <v>179225.75643143733</v>
      </c>
      <c r="M135" s="19">
        <f>'P&amp;L - Inputs'!AL545</f>
        <v>162015.72251088332</v>
      </c>
      <c r="N135" s="19">
        <f>'P&amp;L - Inputs'!AM545</f>
        <v>8406.2655935613693</v>
      </c>
      <c r="O135" s="19">
        <f>'P&amp;L - Inputs'!AN545</f>
        <v>98414.50054406964</v>
      </c>
      <c r="P135" s="19">
        <f>'P&amp;L - Inputs'!AO545</f>
        <v>124652.95451860601</v>
      </c>
      <c r="Q135" s="19">
        <f>'P&amp;L - Inputs'!AP545</f>
        <v>190199.72891524315</v>
      </c>
      <c r="R135" s="19">
        <f>'P&amp;L - Inputs'!AQ545</f>
        <v>325540.53291856381</v>
      </c>
      <c r="S135" s="19">
        <f>'P&amp;L - Inputs'!AR545</f>
        <v>455709.88814026938</v>
      </c>
      <c r="T135" s="19">
        <f>'P&amp;L - Inputs'!AS545</f>
        <v>525660.79755051364</v>
      </c>
      <c r="U135" s="19">
        <f>'P&amp;L - Inputs'!AT545</f>
        <v>486038.53300634277</v>
      </c>
      <c r="V135" s="19">
        <f>'P&amp;L - Inputs'!AU545</f>
        <v>330306.54642278305</v>
      </c>
      <c r="W135" s="19">
        <f>'P&amp;L - Inputs'!AV545</f>
        <v>370479.79994118802</v>
      </c>
      <c r="X135" s="19">
        <f>'P&amp;L - Inputs'!AW545</f>
        <v>501150.14826320251</v>
      </c>
      <c r="Y135" s="19">
        <f>'P&amp;L - Inputs'!AX545</f>
        <v>828569.75469079753</v>
      </c>
      <c r="Z135" s="19">
        <f>'P&amp;L - Inputs'!AY545</f>
        <v>797607.28907960106</v>
      </c>
      <c r="AA135" s="19">
        <f>'P&amp;L - Inputs'!AZ545</f>
        <v>888793.44531710655</v>
      </c>
      <c r="AB135" s="19">
        <f>'P&amp;L - Inputs'!BA545</f>
        <v>1088584.2709783379</v>
      </c>
      <c r="AC135" s="19">
        <f>'P&amp;L - Inputs'!BB545</f>
        <v>319620.15854808694</v>
      </c>
      <c r="AD135" s="19">
        <f>'P&amp;L - Inputs'!BC545</f>
        <v>589407.38191073481</v>
      </c>
      <c r="AE135" s="19">
        <f>'P&amp;L - Inputs'!BD545</f>
        <v>620557.54857475276</v>
      </c>
      <c r="AF135" s="19">
        <f>'P&amp;L - Inputs'!BE545</f>
        <v>652449.07457707881</v>
      </c>
      <c r="AG135" s="19">
        <f>'P&amp;L - Inputs'!BF545</f>
        <v>519490.55056411063</v>
      </c>
      <c r="AH135" s="19">
        <f>'P&amp;L - Inputs'!BG545</f>
        <v>352512.84844045265</v>
      </c>
      <c r="AI135" s="19">
        <f>'P&amp;L - Inputs'!BH545</f>
        <v>654398.20523990283</v>
      </c>
      <c r="AJ135" s="19">
        <f>'P&amp;L - Inputs'!BI545</f>
        <v>896576.76921963668</v>
      </c>
      <c r="AK135" s="19">
        <f>'P&amp;L - Inputs'!BJ545</f>
        <v>1141488.82368107</v>
      </c>
      <c r="AL135" s="19">
        <f>'P&amp;L - Inputs'!BK545</f>
        <v>1165029.5478772665</v>
      </c>
      <c r="AM135" s="19">
        <f>'P&amp;L - Inputs'!BL545</f>
        <v>1485434.1999186259</v>
      </c>
      <c r="AN135" s="19">
        <f>'P&amp;L - Inputs'!BM545</f>
        <v>1263859.3548791823</v>
      </c>
      <c r="AO135" s="19">
        <f>'P&amp;L - Inputs'!BN545</f>
        <v>1491289.2364253395</v>
      </c>
      <c r="AP135" s="19">
        <f>'P&amp;L - Inputs'!BO545</f>
        <v>1256220.0724959313</v>
      </c>
      <c r="AQ135" s="19">
        <f>'P&amp;L - Inputs'!BP545</f>
        <v>1865643.9604939683</v>
      </c>
      <c r="AR135" s="19">
        <f>'P&amp;L - Inputs'!BQ545</f>
        <v>1523020.9107346784</v>
      </c>
      <c r="AS135" s="19">
        <f>'P&amp;L - Inputs'!BR545</f>
        <v>1599487.1203228172</v>
      </c>
      <c r="AT135" s="19">
        <f>'P&amp;L - Inputs'!BS545</f>
        <v>1321970.520725904</v>
      </c>
      <c r="AU135" s="19">
        <f>'P&amp;L - Inputs'!BT545</f>
        <v>1342322</v>
      </c>
      <c r="AV135" s="19">
        <f>'P&amp;L - Inputs'!BU545</f>
        <v>1870181.3211902163</v>
      </c>
      <c r="AW135" s="19">
        <f>'P&amp;L - Inputs'!BV545</f>
        <v>1652364.5263353116</v>
      </c>
      <c r="AX135" s="19">
        <f>'P&amp;L - Inputs'!BW545</f>
        <v>1985859.6124212109</v>
      </c>
      <c r="AY135" s="19">
        <f>'P&amp;L - Inputs'!BX545</f>
        <v>1959255.1665935058</v>
      </c>
      <c r="AZ135" s="19">
        <f>'P&amp;L - Inputs'!BY545</f>
        <v>1897481.8248453261</v>
      </c>
      <c r="BA135" s="19">
        <f>'P&amp;L - Inputs'!BZ545</f>
        <v>1709924.0962773007</v>
      </c>
      <c r="BB135" s="19">
        <f>'P&amp;L - Inputs'!CA545</f>
        <v>1605632.2795286635</v>
      </c>
      <c r="BC135" s="19">
        <f>'P&amp;L - Inputs'!CB545</f>
        <v>1924672.6722316141</v>
      </c>
      <c r="BD135" s="19">
        <f>'P&amp;L - Inputs'!CC545</f>
        <v>1732549.408549661</v>
      </c>
      <c r="BE135" s="19">
        <f>'P&amp;L - Inputs'!CD545</f>
        <v>1677638.9368858053</v>
      </c>
      <c r="BF135" s="19">
        <f>'P&amp;L - Inputs'!CE545</f>
        <v>1580006.0444322545</v>
      </c>
      <c r="BG135" s="19">
        <f>'P&amp;L - Inputs'!CF545</f>
        <v>1486963.8581756293</v>
      </c>
      <c r="BH135" s="19">
        <f>'P&amp;L - Inputs'!CG545</f>
        <v>1768357.5815214207</v>
      </c>
      <c r="BI135" s="19">
        <f>'P&amp;L - Inputs'!CH545</f>
        <v>1983409.2775165744</v>
      </c>
      <c r="BJ135" s="19">
        <f>'P&amp;L - Inputs'!CI545</f>
        <v>1930912.6109394145</v>
      </c>
      <c r="BK135" s="19">
        <f>'P&amp;L - Inputs'!CJ545</f>
        <v>2179083.2734942152</v>
      </c>
      <c r="BL135" s="19">
        <f>'P&amp;L - Inputs'!CK545</f>
        <v>2346087.6154143666</v>
      </c>
      <c r="BM135" s="19">
        <f>'P&amp;L - Inputs'!CL545</f>
        <v>2101921.2875715555</v>
      </c>
      <c r="BN135" s="19">
        <f>'P&amp;L - Inputs'!CM545</f>
        <v>2291072.4821865028</v>
      </c>
      <c r="BO135" s="19">
        <f>'P&amp;L - Inputs'!CN545</f>
        <v>2790491.636189945</v>
      </c>
      <c r="BP135" s="19">
        <f>'P&amp;L - Inputs'!CO545</f>
        <v>2467279.4074160452</v>
      </c>
      <c r="BQ135" s="19">
        <f>'P&amp;L - Inputs'!CP545</f>
        <v>2591541.0915533206</v>
      </c>
      <c r="BR135" s="19">
        <f>'P&amp;L - Inputs'!CQ545</f>
        <v>2663783.6196500105</v>
      </c>
      <c r="BS135" s="19">
        <f>'P&amp;L - Inputs'!CR545</f>
        <v>2796921.592690214</v>
      </c>
      <c r="BT135" s="19">
        <f>'P&amp;L - Inputs'!CS545</f>
        <v>3011945.2409653887</v>
      </c>
      <c r="BU135" s="19">
        <f>'P&amp;L - Inputs'!CT545</f>
        <v>3162542.5030136583</v>
      </c>
      <c r="BV135" s="19">
        <f>'P&amp;L - Inputs'!CU545</f>
        <v>3162542.5030136583</v>
      </c>
      <c r="BW135" s="19">
        <f>'P&amp;L - Inputs'!CV545</f>
        <v>3162542.5030136583</v>
      </c>
      <c r="BX135" s="19">
        <f>'P&amp;L - Inputs'!CW545</f>
        <v>3162542.5030136583</v>
      </c>
      <c r="BY135" s="19">
        <f>'P&amp;L - Inputs'!CX545</f>
        <v>3162542.5030136583</v>
      </c>
      <c r="BZ135" s="19">
        <f>'P&amp;L - Inputs'!CY545</f>
        <v>3162542.5030136583</v>
      </c>
      <c r="CA135" s="19">
        <f>'P&amp;L - Inputs'!CZ545</f>
        <v>3162542.5030136583</v>
      </c>
      <c r="CB135" s="19">
        <f>'P&amp;L - Inputs'!DA545</f>
        <v>3162542.5030136583</v>
      </c>
      <c r="CC135" s="19">
        <f>'P&amp;L - Inputs'!DB545</f>
        <v>3162542.5030136583</v>
      </c>
      <c r="CD135" s="19">
        <f>'P&amp;L - Inputs'!DC545</f>
        <v>3162542.5030136583</v>
      </c>
      <c r="CE135" s="19">
        <f>'P&amp;L - Inputs'!DD545</f>
        <v>3162542.5030136583</v>
      </c>
      <c r="CF135" s="19">
        <f>'P&amp;L - Inputs'!DE545</f>
        <v>3162542.5030136583</v>
      </c>
      <c r="CG135" s="19">
        <f>'P&amp;L - Inputs'!DF545</f>
        <v>3320669.6281643412</v>
      </c>
      <c r="CH135" s="19">
        <f>'P&amp;L - Inputs'!DG545</f>
        <v>3320669.6281643412</v>
      </c>
      <c r="CI135" s="19">
        <f>'P&amp;L - Inputs'!DH545</f>
        <v>3320669.6281643412</v>
      </c>
      <c r="CJ135" s="19">
        <f>'P&amp;L - Inputs'!DI545</f>
        <v>3320669.6281643412</v>
      </c>
      <c r="CK135" s="19">
        <f>'P&amp;L - Inputs'!DJ545</f>
        <v>3320669.6281643412</v>
      </c>
      <c r="CL135" s="19">
        <f>'P&amp;L - Inputs'!DK545</f>
        <v>3320669.6281643412</v>
      </c>
      <c r="CM135" s="19">
        <f>'P&amp;L - Inputs'!DL545</f>
        <v>3320669.6281643412</v>
      </c>
      <c r="CN135" s="19">
        <f>'P&amp;L - Inputs'!DM545</f>
        <v>3320669.6281643412</v>
      </c>
      <c r="CO135" s="19">
        <f>'P&amp;L - Inputs'!DN545</f>
        <v>3320669.6281643412</v>
      </c>
      <c r="CP135" s="19">
        <f>'P&amp;L - Inputs'!DO545</f>
        <v>3320669.6281643412</v>
      </c>
      <c r="CQ135" s="19">
        <f>'P&amp;L - Inputs'!DP545</f>
        <v>3320669.6281643412</v>
      </c>
      <c r="CR135" s="19">
        <f>'P&amp;L - Inputs'!DQ545</f>
        <v>3320669.6281643412</v>
      </c>
      <c r="CS135" s="19">
        <f>'P&amp;L - Inputs'!DR545</f>
        <v>3320669.6281643412</v>
      </c>
      <c r="CT135" s="19">
        <f>'P&amp;L - Inputs'!DS545</f>
        <v>3320669.6281643412</v>
      </c>
      <c r="CU135" s="19">
        <f>'P&amp;L - Inputs'!DT545</f>
        <v>3320669.6281643412</v>
      </c>
      <c r="CV135" s="19">
        <f>'P&amp;L - Inputs'!DU545</f>
        <v>3320669.6281643412</v>
      </c>
      <c r="CW135" s="19">
        <f>'P&amp;L - Inputs'!DV545</f>
        <v>3320669.6281643412</v>
      </c>
      <c r="CX135" s="19">
        <f>'P&amp;L - Inputs'!DW545</f>
        <v>3320669.6281643412</v>
      </c>
      <c r="CY135" s="19">
        <f>'P&amp;L - Inputs'!DX545</f>
        <v>3320669.6281643412</v>
      </c>
      <c r="CZ135" s="19">
        <f>'P&amp;L - Inputs'!DY545</f>
        <v>3320669.6281643412</v>
      </c>
      <c r="DA135" s="19">
        <f>'P&amp;L - Inputs'!DZ545</f>
        <v>3320669.6281643412</v>
      </c>
      <c r="DB135" s="19">
        <f>'P&amp;L - Inputs'!EA545</f>
        <v>3320669.6281643412</v>
      </c>
      <c r="DC135" s="19">
        <f>'P&amp;L - Inputs'!EB545</f>
        <v>3320669.6281643412</v>
      </c>
      <c r="DD135" s="19">
        <f>'P&amp;L - Inputs'!EC545</f>
        <v>3320669.6281643412</v>
      </c>
      <c r="DF135" s="19">
        <f t="shared" si="567"/>
        <v>3791952.5714769624</v>
      </c>
      <c r="DG135" s="19">
        <f t="shared" si="568"/>
        <v>4011368.6638004533</v>
      </c>
      <c r="DH135" s="19">
        <f t="shared" si="569"/>
        <v>4988151.9915514635</v>
      </c>
      <c r="DI135" s="19">
        <f t="shared" si="570"/>
        <v>4534473.8419161206</v>
      </c>
      <c r="DJ135" s="19">
        <f t="shared" si="571"/>
        <v>5597479.305350028</v>
      </c>
      <c r="DK135" s="19">
        <f t="shared" si="572"/>
        <v>5213038.2006512899</v>
      </c>
      <c r="DL135" s="19">
        <f t="shared" si="573"/>
        <v>5334861.0176670812</v>
      </c>
      <c r="DM135" s="19">
        <f t="shared" si="574"/>
        <v>4835327.4841293041</v>
      </c>
      <c r="DN135" s="19">
        <f t="shared" si="575"/>
        <v>6093405.1619502045</v>
      </c>
      <c r="DO135" s="19">
        <f t="shared" si="576"/>
        <v>6739081.3851724248</v>
      </c>
      <c r="DP135" s="19">
        <f t="shared" si="577"/>
        <v>7849312.1351593118</v>
      </c>
      <c r="DQ135" s="19">
        <f t="shared" si="578"/>
        <v>8472650.4533056132</v>
      </c>
      <c r="DR135" s="19">
        <f t="shared" si="579"/>
        <v>9487627.5090409741</v>
      </c>
      <c r="DS135" s="19">
        <f t="shared" si="580"/>
        <v>9487627.5090409741</v>
      </c>
      <c r="DT135" s="19">
        <f t="shared" si="581"/>
        <v>9487627.5090409741</v>
      </c>
      <c r="DU135" s="19">
        <f t="shared" si="582"/>
        <v>9487627.5090409741</v>
      </c>
      <c r="DV135" s="19">
        <f t="shared" si="583"/>
        <v>9962008.8844930232</v>
      </c>
      <c r="DW135" s="19">
        <f t="shared" si="584"/>
        <v>9962008.8844930232</v>
      </c>
      <c r="DX135" s="19">
        <f t="shared" si="585"/>
        <v>9962008.8844930232</v>
      </c>
      <c r="DY135" s="19">
        <f t="shared" si="586"/>
        <v>9962008.8844930232</v>
      </c>
      <c r="DZ135" s="19">
        <f t="shared" si="587"/>
        <v>9962008.8844930232</v>
      </c>
      <c r="EA135" s="19">
        <f t="shared" si="588"/>
        <v>9962008.8844930232</v>
      </c>
      <c r="EB135" s="19">
        <f t="shared" si="589"/>
        <v>9962008.8844930232</v>
      </c>
      <c r="EC135" s="19">
        <f t="shared" si="590"/>
        <v>9962008.8844930232</v>
      </c>
      <c r="EE135" s="19">
        <f t="shared" si="591"/>
        <v>17325947.068745002</v>
      </c>
      <c r="EF135" s="19">
        <f t="shared" si="592"/>
        <v>20980706.007797703</v>
      </c>
      <c r="EG135" s="19">
        <f t="shared" si="593"/>
        <v>29154449.135587554</v>
      </c>
      <c r="EH135" s="19">
        <f t="shared" si="594"/>
        <v>37950510.036163896</v>
      </c>
      <c r="EI135" s="19">
        <f t="shared" si="595"/>
        <v>39848035.537972093</v>
      </c>
      <c r="EJ135" s="770">
        <f t="shared" si="596"/>
        <v>39848035.537972093</v>
      </c>
    </row>
    <row r="136" spans="2:140" x14ac:dyDescent="0.2">
      <c r="B136" s="25" t="s">
        <v>35</v>
      </c>
      <c r="C136" s="19">
        <f>'P&amp;L - Inputs'!AB546</f>
        <v>0</v>
      </c>
      <c r="D136" s="19">
        <f>'P&amp;L - Inputs'!AC546</f>
        <v>0</v>
      </c>
      <c r="E136" s="19">
        <f>'P&amp;L - Inputs'!AD546</f>
        <v>0</v>
      </c>
      <c r="F136" s="19">
        <f>'P&amp;L - Inputs'!AE546</f>
        <v>0</v>
      </c>
      <c r="G136" s="19">
        <f>'P&amp;L - Inputs'!AF546</f>
        <v>0</v>
      </c>
      <c r="H136" s="19">
        <f>'P&amp;L - Inputs'!AG546</f>
        <v>0</v>
      </c>
      <c r="I136" s="19">
        <f>'P&amp;L - Inputs'!AH546</f>
        <v>0</v>
      </c>
      <c r="J136" s="19">
        <f>'P&amp;L - Inputs'!AI546</f>
        <v>0</v>
      </c>
      <c r="K136" s="19">
        <f>'P&amp;L - Inputs'!AJ546</f>
        <v>0</v>
      </c>
      <c r="L136" s="19">
        <f>'P&amp;L - Inputs'!AK546</f>
        <v>0</v>
      </c>
      <c r="M136" s="19">
        <f>'P&amp;L - Inputs'!AL546</f>
        <v>0</v>
      </c>
      <c r="N136" s="19">
        <f>'P&amp;L - Inputs'!AM546</f>
        <v>0</v>
      </c>
      <c r="O136" s="19">
        <f>'P&amp;L - Inputs'!AN546</f>
        <v>0</v>
      </c>
      <c r="P136" s="19">
        <f>'P&amp;L - Inputs'!AO546</f>
        <v>73222</v>
      </c>
      <c r="Q136" s="19">
        <f>'P&amp;L - Inputs'!AP546</f>
        <v>115751</v>
      </c>
      <c r="R136" s="19">
        <f>'P&amp;L - Inputs'!AQ546</f>
        <v>167194</v>
      </c>
      <c r="S136" s="19">
        <f>'P&amp;L - Inputs'!AR546</f>
        <v>208428</v>
      </c>
      <c r="T136" s="19">
        <f>'P&amp;L - Inputs'!AS546</f>
        <v>301685</v>
      </c>
      <c r="U136" s="19">
        <f>'P&amp;L - Inputs'!AT546</f>
        <v>359199</v>
      </c>
      <c r="V136" s="19">
        <f>'P&amp;L - Inputs'!AU546</f>
        <v>347848</v>
      </c>
      <c r="W136" s="19">
        <f>'P&amp;L - Inputs'!AV546</f>
        <v>346326</v>
      </c>
      <c r="X136" s="19">
        <f>'P&amp;L - Inputs'!AW546</f>
        <v>447951</v>
      </c>
      <c r="Y136" s="19">
        <f>'P&amp;L - Inputs'!AX546</f>
        <v>368534.63890000037</v>
      </c>
      <c r="Z136" s="19">
        <f>'P&amp;L - Inputs'!AY546</f>
        <v>455607</v>
      </c>
      <c r="AA136" s="19">
        <f>'P&amp;L - Inputs'!AZ546</f>
        <v>754731.76</v>
      </c>
      <c r="AB136" s="19">
        <f>'P&amp;L - Inputs'!BA546</f>
        <v>976119</v>
      </c>
      <c r="AC136" s="19">
        <f>'P&amp;L - Inputs'!BB546</f>
        <v>1058200</v>
      </c>
      <c r="AD136" s="19">
        <f>'P&amp;L - Inputs'!BC546</f>
        <v>840022</v>
      </c>
      <c r="AE136" s="19">
        <f>'P&amp;L - Inputs'!BD546</f>
        <v>1482831</v>
      </c>
      <c r="AF136" s="19">
        <f>'P&amp;L - Inputs'!BE546</f>
        <v>1399378</v>
      </c>
      <c r="AG136" s="19">
        <f>'P&amp;L - Inputs'!BF546</f>
        <v>1669346.82</v>
      </c>
      <c r="AH136" s="19">
        <f>'P&amp;L - Inputs'!BG546</f>
        <v>2276702.9</v>
      </c>
      <c r="AI136" s="19">
        <f>'P&amp;L - Inputs'!BH546</f>
        <v>2522486</v>
      </c>
      <c r="AJ136" s="19">
        <f>'P&amp;L - Inputs'!BI546</f>
        <v>1640645</v>
      </c>
      <c r="AK136" s="19">
        <f>'P&amp;L - Inputs'!BJ546</f>
        <v>2430023</v>
      </c>
      <c r="AL136" s="19">
        <f>'P&amp;L - Inputs'!BK546</f>
        <v>2399321</v>
      </c>
      <c r="AM136" s="19">
        <f>'P&amp;L - Inputs'!BL546</f>
        <v>3143209</v>
      </c>
      <c r="AN136" s="19">
        <f>'P&amp;L - Inputs'!BM546</f>
        <v>2116100</v>
      </c>
      <c r="AO136" s="19">
        <f>'P&amp;L - Inputs'!BN546</f>
        <v>2082088</v>
      </c>
      <c r="AP136" s="19">
        <f>'P&amp;L - Inputs'!BO546</f>
        <v>2198534.6765617398</v>
      </c>
      <c r="AQ136" s="19">
        <f>'P&amp;L - Inputs'!BP546</f>
        <v>2720433.3535000002</v>
      </c>
      <c r="AR136" s="19">
        <f>'P&amp;L - Inputs'!BQ546</f>
        <v>2312010</v>
      </c>
      <c r="AS136" s="19">
        <f>'P&amp;L - Inputs'!BR546</f>
        <v>2667882.08</v>
      </c>
      <c r="AT136" s="19">
        <f>'P&amp;L - Inputs'!BS546</f>
        <v>1216408.1399999997</v>
      </c>
      <c r="AU136" s="19">
        <f>'P&amp;L - Inputs'!BT546</f>
        <v>2909246.2259999989</v>
      </c>
      <c r="AV136" s="19">
        <f>'P&amp;L - Inputs'!BU546</f>
        <v>2778561.7992893499</v>
      </c>
      <c r="AW136" s="19">
        <f>'P&amp;L - Inputs'!BV546</f>
        <v>2137178</v>
      </c>
      <c r="AX136" s="19">
        <f>'P&amp;L - Inputs'!BW546</f>
        <v>2009119.9210932199</v>
      </c>
      <c r="AY136" s="19">
        <f>'P&amp;L - Inputs'!BX546</f>
        <v>2068588.2542372914</v>
      </c>
      <c r="AZ136" s="19">
        <f>'P&amp;L - Inputs'!BY546</f>
        <v>2008603</v>
      </c>
      <c r="BA136" s="19">
        <f>'P&amp;L - Inputs'!BZ546</f>
        <v>1815868</v>
      </c>
      <c r="BB136" s="19">
        <f>'P&amp;L - Inputs'!CA546</f>
        <v>1615945.9499999993</v>
      </c>
      <c r="BC136" s="19">
        <f>'P&amp;L - Inputs'!CB546</f>
        <v>1942714.3900000004</v>
      </c>
      <c r="BD136" s="19">
        <f>'P&amp;L - Inputs'!CC546</f>
        <v>1917448.4400000004</v>
      </c>
      <c r="BE136" s="19">
        <f>'P&amp;L - Inputs'!CD546</f>
        <v>2458041</v>
      </c>
      <c r="BF136" s="19">
        <f>'P&amp;L - Inputs'!CE546</f>
        <v>2325582</v>
      </c>
      <c r="BG136" s="19">
        <f>'P&amp;L - Inputs'!CF546</f>
        <v>2200382.4357627099</v>
      </c>
      <c r="BH136" s="19">
        <f>'P&amp;L - Inputs'!CG546</f>
        <v>3325040.03779661</v>
      </c>
      <c r="BI136" s="19">
        <f>'P&amp;L - Inputs'!CH546</f>
        <v>2492928.02661017</v>
      </c>
      <c r="BJ136" s="19">
        <f>'P&amp;L - Inputs'!CI546</f>
        <v>2561378</v>
      </c>
      <c r="BK136" s="19">
        <f>'P&amp;L - Inputs'!CJ546</f>
        <v>2632442.4745762702</v>
      </c>
      <c r="BL136" s="19">
        <f>'P&amp;L - Inputs'!CK546</f>
        <v>2773306</v>
      </c>
      <c r="BM136" s="19">
        <f>'P&amp;L - Inputs'!CL546</f>
        <v>2838782</v>
      </c>
      <c r="BN136" s="19">
        <f>'P&amp;L - Inputs'!CM546</f>
        <v>2503576</v>
      </c>
      <c r="BO136" s="19">
        <f>'P&amp;L - Inputs'!CN546</f>
        <v>3408948</v>
      </c>
      <c r="BP136" s="19">
        <f>'P&amp;L - Inputs'!CO546</f>
        <v>3286270.24</v>
      </c>
      <c r="BQ136" s="19">
        <f>'P&amp;L - Inputs'!CP546</f>
        <v>3764523.71</v>
      </c>
      <c r="BR136" s="19">
        <f>'P&amp;L - Inputs'!CQ546</f>
        <v>4054392.99</v>
      </c>
      <c r="BS136" s="19">
        <f>'P&amp;L - Inputs'!CR546</f>
        <v>3802343</v>
      </c>
      <c r="BT136" s="19">
        <f>'P&amp;L - Inputs'!CS546</f>
        <v>4613604</v>
      </c>
      <c r="BU136" s="19">
        <f>'P&amp;L - Inputs'!CT546</f>
        <v>4020972.6987557579</v>
      </c>
      <c r="BV136" s="19">
        <f>'P&amp;L - Inputs'!CU546</f>
        <v>3927920.8937095371</v>
      </c>
      <c r="BW136" s="19">
        <f>'P&amp;L - Inputs'!CV546</f>
        <v>3914767.2533447789</v>
      </c>
      <c r="BX136" s="19">
        <f>'P&amp;L - Inputs'!CW546</f>
        <v>4264897.1421943903</v>
      </c>
      <c r="BY136" s="19">
        <f>'P&amp;L - Inputs'!CX546</f>
        <v>3769177.35307203</v>
      </c>
      <c r="BZ136" s="19">
        <f>'P&amp;L - Inputs'!CY546</f>
        <v>3469226.8000771888</v>
      </c>
      <c r="CA136" s="19">
        <f>'P&amp;L - Inputs'!CZ546</f>
        <v>4414496.3664657995</v>
      </c>
      <c r="CB136" s="19">
        <f>'P&amp;L - Inputs'!DA546</f>
        <v>4032703.8141395319</v>
      </c>
      <c r="CC136" s="19">
        <f>'P&amp;L - Inputs'!DB546</f>
        <v>4863697.6125353342</v>
      </c>
      <c r="CD136" s="19">
        <f>'P&amp;L - Inputs'!DC546</f>
        <v>4989352.6657257313</v>
      </c>
      <c r="CE136" s="19">
        <f>'P&amp;L - Inputs'!DD546</f>
        <v>4609372.853818127</v>
      </c>
      <c r="CF136" s="19">
        <f>'P&amp;L - Inputs'!DE546</f>
        <v>5417383.8883610955</v>
      </c>
      <c r="CG136" s="19">
        <f>'P&amp;L - Inputs'!DF546</f>
        <v>5029172.4710173123</v>
      </c>
      <c r="CH136" s="19">
        <f>'P&amp;L - Inputs'!DG546</f>
        <v>4925981.0432955446</v>
      </c>
      <c r="CI136" s="19">
        <f>'P&amp;L - Inputs'!DH546</f>
        <v>4884397.1054463806</v>
      </c>
      <c r="CJ136" s="19">
        <f>'P&amp;L - Inputs'!DI546</f>
        <v>5316194.2877453081</v>
      </c>
      <c r="CK136" s="19">
        <f>'P&amp;L - Inputs'!DJ546</f>
        <v>4691713.9068279676</v>
      </c>
      <c r="CL136" s="19">
        <f>'P&amp;L - Inputs'!DK546</f>
        <v>4310514.2990959082</v>
      </c>
      <c r="CM136" s="19">
        <f>'P&amp;L - Inputs'!DL546</f>
        <v>5460984.0139690358</v>
      </c>
      <c r="CN136" s="19">
        <f>'P&amp;L - Inputs'!DM546</f>
        <v>4965050.8136595152</v>
      </c>
      <c r="CO136" s="19">
        <f>'P&amp;L - Inputs'!DN546</f>
        <v>5962630.3703946695</v>
      </c>
      <c r="CP136" s="19">
        <f>'P&amp;L - Inputs'!DO546</f>
        <v>6090881.301667423</v>
      </c>
      <c r="CQ136" s="19">
        <f>'P&amp;L - Inputs'!DP546</f>
        <v>5601566.5502209673</v>
      </c>
      <c r="CR136" s="19">
        <f>'P&amp;L - Inputs'!DQ546</f>
        <v>6507531.3252988327</v>
      </c>
      <c r="CS136" s="19">
        <f>'P&amp;L - Inputs'!DR546</f>
        <v>5750020.5251964619</v>
      </c>
      <c r="CT136" s="19">
        <f>'P&amp;L - Inputs'!DS546</f>
        <v>5626986.0379183721</v>
      </c>
      <c r="CU136" s="19">
        <f>'P&amp;L - Inputs'!DT546</f>
        <v>5576205.350017786</v>
      </c>
      <c r="CV136" s="19">
        <f>'P&amp;L - Inputs'!DU546</f>
        <v>6065643.3380574184</v>
      </c>
      <c r="CW136" s="19">
        <f>'P&amp;L - Inputs'!DV546</f>
        <v>5348553.8537838841</v>
      </c>
      <c r="CX136" s="19">
        <f>'P&amp;L - Inputs'!DW546</f>
        <v>4908522.2687592153</v>
      </c>
      <c r="CY136" s="19">
        <f>'P&amp;L - Inputs'!DX546</f>
        <v>6216899.169586855</v>
      </c>
      <c r="CZ136" s="19">
        <f>'P&amp;L - Inputs'!DY546</f>
        <v>5649259.0355418622</v>
      </c>
      <c r="DA136" s="19">
        <f>'P&amp;L - Inputs'!DZ546</f>
        <v>6782492.0463239392</v>
      </c>
      <c r="DB136" s="19">
        <f>'P&amp;L - Inputs'!EA546</f>
        <v>6926533.3556851149</v>
      </c>
      <c r="DC136" s="19">
        <f>'P&amp;L - Inputs'!EB546</f>
        <v>6366728.9913593987</v>
      </c>
      <c r="DD136" s="19">
        <f>'P&amp;L - Inputs'!EC546</f>
        <v>7394516.7593635377</v>
      </c>
      <c r="DF136" s="19">
        <f t="shared" si="567"/>
        <v>7972553</v>
      </c>
      <c r="DG136" s="19">
        <f t="shared" si="568"/>
        <v>6396722.6765617393</v>
      </c>
      <c r="DH136" s="19">
        <f t="shared" si="569"/>
        <v>7700325.4335000003</v>
      </c>
      <c r="DI136" s="19">
        <f t="shared" si="570"/>
        <v>6904216.165289348</v>
      </c>
      <c r="DJ136" s="19">
        <f t="shared" si="571"/>
        <v>6214886.1753305113</v>
      </c>
      <c r="DK136" s="19">
        <f t="shared" si="572"/>
        <v>5440416.9499999993</v>
      </c>
      <c r="DL136" s="19">
        <f t="shared" si="573"/>
        <v>6318203.830000001</v>
      </c>
      <c r="DM136" s="19">
        <f t="shared" si="574"/>
        <v>7851004.47355932</v>
      </c>
      <c r="DN136" s="19">
        <f t="shared" si="575"/>
        <v>7686748.5011864398</v>
      </c>
      <c r="DO136" s="19">
        <f t="shared" si="576"/>
        <v>8115664</v>
      </c>
      <c r="DP136" s="19">
        <f t="shared" si="577"/>
        <v>10459741.949999999</v>
      </c>
      <c r="DQ136" s="19">
        <f t="shared" si="578"/>
        <v>12470339.99</v>
      </c>
      <c r="DR136" s="19">
        <f t="shared" si="579"/>
        <v>11863660.845810074</v>
      </c>
      <c r="DS136" s="19">
        <f t="shared" si="580"/>
        <v>11503301.29534361</v>
      </c>
      <c r="DT136" s="19">
        <f t="shared" si="581"/>
        <v>13310897.793140665</v>
      </c>
      <c r="DU136" s="19">
        <f t="shared" si="582"/>
        <v>15016109.407904953</v>
      </c>
      <c r="DV136" s="19">
        <f t="shared" si="583"/>
        <v>14839550.619759236</v>
      </c>
      <c r="DW136" s="19">
        <f t="shared" si="584"/>
        <v>14318422.493669184</v>
      </c>
      <c r="DX136" s="19">
        <f t="shared" si="585"/>
        <v>16388665.198023221</v>
      </c>
      <c r="DY136" s="19">
        <f t="shared" si="586"/>
        <v>18199979.177187223</v>
      </c>
      <c r="DZ136" s="19">
        <f t="shared" si="587"/>
        <v>16953211.913132619</v>
      </c>
      <c r="EA136" s="19">
        <f t="shared" si="588"/>
        <v>16322719.460600518</v>
      </c>
      <c r="EB136" s="19">
        <f t="shared" si="589"/>
        <v>18648650.251452658</v>
      </c>
      <c r="EC136" s="19">
        <f t="shared" si="590"/>
        <v>20687779.106408052</v>
      </c>
      <c r="EE136" s="19">
        <f t="shared" si="591"/>
        <v>28973817.275351085</v>
      </c>
      <c r="EF136" s="19">
        <f t="shared" si="592"/>
        <v>25824511.428889833</v>
      </c>
      <c r="EG136" s="19">
        <f t="shared" si="593"/>
        <v>38732494.441186443</v>
      </c>
      <c r="EH136" s="19">
        <f t="shared" si="594"/>
        <v>51693969.342199303</v>
      </c>
      <c r="EI136" s="19">
        <f t="shared" si="595"/>
        <v>63746617.488638863</v>
      </c>
      <c r="EJ136" s="770">
        <f t="shared" si="596"/>
        <v>72612360.731593847</v>
      </c>
    </row>
    <row r="137" spans="2:140" x14ac:dyDescent="0.2">
      <c r="B137" s="25" t="s">
        <v>148</v>
      </c>
      <c r="C137" s="19">
        <f>'P&amp;L - Inputs'!AB547</f>
        <v>0</v>
      </c>
      <c r="D137" s="19">
        <f>'P&amp;L - Inputs'!AC547</f>
        <v>0</v>
      </c>
      <c r="E137" s="19">
        <f>'P&amp;L - Inputs'!AD547</f>
        <v>0</v>
      </c>
      <c r="F137" s="19">
        <f>'P&amp;L - Inputs'!AE547</f>
        <v>0</v>
      </c>
      <c r="G137" s="19">
        <f>'P&amp;L - Inputs'!AF547</f>
        <v>0</v>
      </c>
      <c r="H137" s="19">
        <f>'P&amp;L - Inputs'!AG547</f>
        <v>0</v>
      </c>
      <c r="I137" s="19">
        <f>'P&amp;L - Inputs'!AH547</f>
        <v>0</v>
      </c>
      <c r="J137" s="19">
        <f>'P&amp;L - Inputs'!AI547</f>
        <v>0</v>
      </c>
      <c r="K137" s="19">
        <f>'P&amp;L - Inputs'!AJ547</f>
        <v>0</v>
      </c>
      <c r="L137" s="19">
        <f>'P&amp;L - Inputs'!AK547</f>
        <v>0</v>
      </c>
      <c r="M137" s="19">
        <f>'P&amp;L - Inputs'!AL547</f>
        <v>0</v>
      </c>
      <c r="N137" s="19">
        <f>'P&amp;L - Inputs'!AM547</f>
        <v>0</v>
      </c>
      <c r="O137" s="19">
        <f>'P&amp;L - Inputs'!AN547</f>
        <v>0</v>
      </c>
      <c r="P137" s="19">
        <f>'P&amp;L - Inputs'!AO547</f>
        <v>0</v>
      </c>
      <c r="Q137" s="19">
        <f>'P&amp;L - Inputs'!AP547</f>
        <v>0</v>
      </c>
      <c r="R137" s="19">
        <f>'P&amp;L - Inputs'!AQ547</f>
        <v>0</v>
      </c>
      <c r="S137" s="19">
        <f>'P&amp;L - Inputs'!AR547</f>
        <v>0</v>
      </c>
      <c r="T137" s="19">
        <f>'P&amp;L - Inputs'!AS547</f>
        <v>0</v>
      </c>
      <c r="U137" s="19">
        <f>'P&amp;L - Inputs'!AT547</f>
        <v>0</v>
      </c>
      <c r="V137" s="19">
        <f>'P&amp;L - Inputs'!AU547</f>
        <v>0</v>
      </c>
      <c r="W137" s="19">
        <f>'P&amp;L - Inputs'!AV547</f>
        <v>0</v>
      </c>
      <c r="X137" s="19">
        <f>'P&amp;L - Inputs'!AW547</f>
        <v>0</v>
      </c>
      <c r="Y137" s="19">
        <f>'P&amp;L - Inputs'!AX547</f>
        <v>0</v>
      </c>
      <c r="Z137" s="19">
        <f>'P&amp;L - Inputs'!AY547</f>
        <v>0</v>
      </c>
      <c r="AA137" s="19">
        <f>'P&amp;L - Inputs'!AZ547</f>
        <v>0</v>
      </c>
      <c r="AB137" s="19">
        <f>'P&amp;L - Inputs'!BA547</f>
        <v>0</v>
      </c>
      <c r="AC137" s="19">
        <f>'P&amp;L - Inputs'!BB547</f>
        <v>0</v>
      </c>
      <c r="AD137" s="19">
        <f>'P&amp;L - Inputs'!BC547</f>
        <v>0</v>
      </c>
      <c r="AE137" s="19">
        <f>'P&amp;L - Inputs'!BD547</f>
        <v>0</v>
      </c>
      <c r="AF137" s="19">
        <f>'P&amp;L - Inputs'!BE547</f>
        <v>0</v>
      </c>
      <c r="AG137" s="19">
        <f>'P&amp;L - Inputs'!BF547</f>
        <v>0</v>
      </c>
      <c r="AH137" s="19">
        <f>'P&amp;L - Inputs'!BG547</f>
        <v>0</v>
      </c>
      <c r="AI137" s="19">
        <f>'P&amp;L - Inputs'!BH547</f>
        <v>195014</v>
      </c>
      <c r="AJ137" s="19">
        <f>'P&amp;L - Inputs'!BI547</f>
        <v>2822440</v>
      </c>
      <c r="AK137" s="19">
        <f>'P&amp;L - Inputs'!BJ547</f>
        <v>3370467</v>
      </c>
      <c r="AL137" s="19">
        <f>'P&amp;L - Inputs'!BK547</f>
        <v>3490097</v>
      </c>
      <c r="AM137" s="19">
        <f>'P&amp;L - Inputs'!BL547</f>
        <v>3026921</v>
      </c>
      <c r="AN137" s="19">
        <f>'P&amp;L - Inputs'!BM547</f>
        <v>2383900</v>
      </c>
      <c r="AO137" s="19">
        <f>'P&amp;L - Inputs'!BN547</f>
        <v>3026921</v>
      </c>
      <c r="AP137" s="19">
        <f>'P&amp;L - Inputs'!BO547</f>
        <v>2219677.6634382601</v>
      </c>
      <c r="AQ137" s="19">
        <f>'P&amp;L - Inputs'!BP547</f>
        <v>4352234.6464999998</v>
      </c>
      <c r="AR137" s="19">
        <f>'P&amp;L - Inputs'!BQ547</f>
        <v>4643767</v>
      </c>
      <c r="AS137" s="19">
        <f>'P&amp;L - Inputs'!BR547</f>
        <v>3085961</v>
      </c>
      <c r="AT137" s="19">
        <f>'P&amp;L - Inputs'!BS547</f>
        <v>3544246</v>
      </c>
      <c r="AU137" s="19">
        <f>'P&amp;L - Inputs'!BT547</f>
        <v>2939200.7740000011</v>
      </c>
      <c r="AV137" s="19">
        <f>'P&amp;L - Inputs'!BU547</f>
        <v>4096742</v>
      </c>
      <c r="AW137" s="19">
        <f>'P&amp;L - Inputs'!BV547</f>
        <v>4305000</v>
      </c>
      <c r="AX137" s="19">
        <f>'P&amp;L - Inputs'!BW547</f>
        <v>5143849.0789067801</v>
      </c>
      <c r="AY137" s="19">
        <f>'P&amp;L - Inputs'!BX547</f>
        <v>5432684.7457627086</v>
      </c>
      <c r="AZ137" s="19">
        <f>'P&amp;L - Inputs'!BY547</f>
        <v>5350974</v>
      </c>
      <c r="BA137" s="19">
        <f>'P&amp;L - Inputs'!BZ547</f>
        <v>4481833</v>
      </c>
      <c r="BB137" s="19">
        <f>'P&amp;L - Inputs'!CA547</f>
        <v>3867279.6610169504</v>
      </c>
      <c r="BC137" s="19">
        <f>'P&amp;L - Inputs'!CB547</f>
        <v>6149559.3220338989</v>
      </c>
      <c r="BD137" s="19">
        <f>'P&amp;L - Inputs'!CC547</f>
        <v>6139005.0847457591</v>
      </c>
      <c r="BE137" s="19">
        <f>'P&amp;L - Inputs'!CD547</f>
        <v>6955117</v>
      </c>
      <c r="BF137" s="19">
        <f>'P&amp;L - Inputs'!CE547</f>
        <v>7682982</v>
      </c>
      <c r="BG137" s="19">
        <f>'P&amp;L - Inputs'!CF547</f>
        <v>7212930</v>
      </c>
      <c r="BH137" s="19">
        <f>'P&amp;L - Inputs'!CG547</f>
        <v>7803542.7457627105</v>
      </c>
      <c r="BI137" s="19">
        <f>'P&amp;L - Inputs'!CH547</f>
        <v>8775355.4067796599</v>
      </c>
      <c r="BJ137" s="19">
        <f>'P&amp;L - Inputs'!CI547</f>
        <v>7907621.35749372</v>
      </c>
      <c r="BK137" s="19">
        <f>'P&amp;L - Inputs'!CJ547</f>
        <v>9403506.5254237298</v>
      </c>
      <c r="BL137" s="19">
        <f>'P&amp;L - Inputs'!CK547</f>
        <v>11161248</v>
      </c>
      <c r="BM137" s="19">
        <f>'P&amp;L - Inputs'!CL547</f>
        <v>8389289</v>
      </c>
      <c r="BN137" s="19">
        <f>'P&amp;L - Inputs'!CM547</f>
        <v>7987698</v>
      </c>
      <c r="BO137" s="19">
        <f>'P&amp;L - Inputs'!CN547</f>
        <v>12776272</v>
      </c>
      <c r="BP137" s="19">
        <f>'P&amp;L - Inputs'!CO547</f>
        <v>5426820.3599999994</v>
      </c>
      <c r="BQ137" s="19">
        <f>'P&amp;L - Inputs'!CP547</f>
        <v>2826787</v>
      </c>
      <c r="BR137" s="19">
        <f>'P&amp;L - Inputs'!CQ547</f>
        <v>3619890.91</v>
      </c>
      <c r="BS137" s="19">
        <f>'P&amp;L - Inputs'!CR547</f>
        <v>3098780.7899999991</v>
      </c>
      <c r="BT137" s="19">
        <f>'P&amp;L - Inputs'!CS547</f>
        <v>3881005.4499999993</v>
      </c>
      <c r="BU137" s="19">
        <f>'P&amp;L - Inputs'!CT547</f>
        <v>3281926.6968031176</v>
      </c>
      <c r="BV137" s="19">
        <f>'P&amp;L - Inputs'!CU547</f>
        <v>3213997.8610652001</v>
      </c>
      <c r="BW137" s="19">
        <f>'P&amp;L - Inputs'!CV547</f>
        <v>3207298.3503925293</v>
      </c>
      <c r="BX137" s="19">
        <f>'P&amp;L - Inputs'!CW547</f>
        <v>3473072.7815618445</v>
      </c>
      <c r="BY137" s="19">
        <f>'P&amp;L - Inputs'!CX547</f>
        <v>3103014.6246335753</v>
      </c>
      <c r="BZ137" s="19">
        <f>'P&amp;L - Inputs'!CY547</f>
        <v>2881433.4287044471</v>
      </c>
      <c r="CA137" s="19">
        <f>'P&amp;L - Inputs'!CZ547</f>
        <v>3595331.1858059894</v>
      </c>
      <c r="CB137" s="19">
        <f>'P&amp;L - Inputs'!DA547</f>
        <v>3311057.0123594617</v>
      </c>
      <c r="CC137" s="19">
        <f>'P&amp;L - Inputs'!DB547</f>
        <v>3938908.3518567248</v>
      </c>
      <c r="CD137" s="19">
        <f>'P&amp;L - Inputs'!DC547</f>
        <v>4035659.5877323491</v>
      </c>
      <c r="CE137" s="19">
        <f>'P&amp;L - Inputs'!DD547</f>
        <v>3752750.3564937115</v>
      </c>
      <c r="CF137" s="19">
        <f>'P&amp;L - Inputs'!DE547</f>
        <v>4365432.8642815314</v>
      </c>
      <c r="CG137" s="19">
        <f>'P&amp;L - Inputs'!DF547</f>
        <v>4013386.288456806</v>
      </c>
      <c r="CH137" s="19">
        <f>'P&amp;L - Inputs'!DG547</f>
        <v>3940160.3758950639</v>
      </c>
      <c r="CI137" s="19">
        <f>'P&amp;L - Inputs'!DH547</f>
        <v>3911496.9692405518</v>
      </c>
      <c r="CJ137" s="19">
        <f>'P&amp;L - Inputs'!DI547</f>
        <v>4233452.4167838842</v>
      </c>
      <c r="CK137" s="19">
        <f>'P&amp;L - Inputs'!DJ547</f>
        <v>3774123.7897365158</v>
      </c>
      <c r="CL137" s="19">
        <f>'P&amp;L - Inputs'!DK547</f>
        <v>3496054.027558777</v>
      </c>
      <c r="CM137" s="19">
        <f>'P&amp;L - Inputs'!DL547</f>
        <v>4349239.8741720794</v>
      </c>
      <c r="CN137" s="19">
        <f>'P&amp;L - Inputs'!DM547</f>
        <v>3984053.9256814062</v>
      </c>
      <c r="CO137" s="19">
        <f>'P&amp;L - Inputs'!DN547</f>
        <v>4723998.7286981801</v>
      </c>
      <c r="CP137" s="19">
        <f>'P&amp;L - Inputs'!DO547</f>
        <v>4820058.5231923098</v>
      </c>
      <c r="CQ137" s="19">
        <f>'P&amp;L - Inputs'!DP547</f>
        <v>4459774.6564665539</v>
      </c>
      <c r="CR137" s="19">
        <f>'P&amp;L - Inputs'!DQ547</f>
        <v>5131863.2049664296</v>
      </c>
      <c r="CS137" s="19">
        <f>'P&amp;L - Inputs'!DR547</f>
        <v>4572934.7635463811</v>
      </c>
      <c r="CT137" s="19">
        <f>'P&amp;L - Inputs'!DS547</f>
        <v>4485011.7063176958</v>
      </c>
      <c r="CU137" s="19">
        <f>'P&amp;L - Inputs'!DT547</f>
        <v>4449536.5494092554</v>
      </c>
      <c r="CV137" s="19">
        <f>'P&amp;L - Inputs'!DU547</f>
        <v>4814184.7711331965</v>
      </c>
      <c r="CW137" s="19">
        <f>'P&amp;L - Inputs'!DV547</f>
        <v>4286263.4260304887</v>
      </c>
      <c r="CX137" s="19">
        <f>'P&amp;L - Inputs'!DW547</f>
        <v>3964618.6254944922</v>
      </c>
      <c r="CY137" s="19">
        <f>'P&amp;L - Inputs'!DX547</f>
        <v>4934761.4740931233</v>
      </c>
      <c r="CZ137" s="19">
        <f>'P&amp;L - Inputs'!DY547</f>
        <v>4516464.4025046229</v>
      </c>
      <c r="DA137" s="19">
        <f>'P&amp;L - Inputs'!DZ547</f>
        <v>5356883.5518811159</v>
      </c>
      <c r="DB137" s="19">
        <f>'P&amp;L - Inputs'!EA547</f>
        <v>5464638.7943706829</v>
      </c>
      <c r="DC137" s="19">
        <f>'P&amp;L - Inputs'!EB547</f>
        <v>5052145.4367111875</v>
      </c>
      <c r="DD137" s="19">
        <f>'P&amp;L - Inputs'!EC547</f>
        <v>5814464.5338679245</v>
      </c>
      <c r="DF137" s="19">
        <f t="shared" si="567"/>
        <v>9887485</v>
      </c>
      <c r="DG137" s="19">
        <f t="shared" si="568"/>
        <v>7630498.6634382606</v>
      </c>
      <c r="DH137" s="19">
        <f t="shared" si="569"/>
        <v>12081962.646499999</v>
      </c>
      <c r="DI137" s="19">
        <f t="shared" si="570"/>
        <v>10580188.774</v>
      </c>
      <c r="DJ137" s="19">
        <f t="shared" si="571"/>
        <v>14881533.824669488</v>
      </c>
      <c r="DK137" s="19">
        <f t="shared" si="572"/>
        <v>13700086.66101695</v>
      </c>
      <c r="DL137" s="19">
        <f t="shared" si="573"/>
        <v>19243681.406779658</v>
      </c>
      <c r="DM137" s="19">
        <f t="shared" si="574"/>
        <v>22699454.74576271</v>
      </c>
      <c r="DN137" s="19">
        <f t="shared" si="575"/>
        <v>26086483.289697111</v>
      </c>
      <c r="DO137" s="19">
        <f t="shared" si="576"/>
        <v>27538235</v>
      </c>
      <c r="DP137" s="19">
        <f t="shared" si="577"/>
        <v>21029879.359999999</v>
      </c>
      <c r="DQ137" s="19">
        <f t="shared" si="578"/>
        <v>10599677.149999999</v>
      </c>
      <c r="DR137" s="19">
        <f t="shared" si="579"/>
        <v>9703222.9082608465</v>
      </c>
      <c r="DS137" s="19">
        <f t="shared" si="580"/>
        <v>9457520.834899867</v>
      </c>
      <c r="DT137" s="19">
        <f t="shared" si="581"/>
        <v>10845296.550022176</v>
      </c>
      <c r="DU137" s="19">
        <f t="shared" si="582"/>
        <v>12153842.808507591</v>
      </c>
      <c r="DV137" s="19">
        <f t="shared" si="583"/>
        <v>11865043.633592421</v>
      </c>
      <c r="DW137" s="19">
        <f t="shared" si="584"/>
        <v>11503630.234079177</v>
      </c>
      <c r="DX137" s="19">
        <f t="shared" si="585"/>
        <v>13057292.528551664</v>
      </c>
      <c r="DY137" s="19">
        <f t="shared" si="586"/>
        <v>14411696.384625293</v>
      </c>
      <c r="DZ137" s="19">
        <f t="shared" si="587"/>
        <v>13507483.019273333</v>
      </c>
      <c r="EA137" s="19">
        <f t="shared" si="588"/>
        <v>13065066.822658177</v>
      </c>
      <c r="EB137" s="19">
        <f t="shared" si="589"/>
        <v>14808109.428478863</v>
      </c>
      <c r="EC137" s="19">
        <f t="shared" si="590"/>
        <v>16331248.764949795</v>
      </c>
      <c r="EE137" s="19">
        <f t="shared" si="591"/>
        <v>40180135.083938256</v>
      </c>
      <c r="EF137" s="19">
        <f t="shared" si="592"/>
        <v>70524756.638228804</v>
      </c>
      <c r="EG137" s="19">
        <f t="shared" si="593"/>
        <v>85254274.799697101</v>
      </c>
      <c r="EH137" s="19">
        <f t="shared" si="594"/>
        <v>42159883.101690479</v>
      </c>
      <c r="EI137" s="19">
        <f t="shared" si="595"/>
        <v>50837662.780848555</v>
      </c>
      <c r="EJ137" s="770">
        <f t="shared" si="596"/>
        <v>57711908.035360172</v>
      </c>
    </row>
    <row r="138" spans="2:140" x14ac:dyDescent="0.2">
      <c r="B138" s="167" t="s">
        <v>149</v>
      </c>
      <c r="C138" s="19">
        <f>'P&amp;L - Inputs'!AB548</f>
        <v>69683.632750550838</v>
      </c>
      <c r="D138" s="19">
        <f>'P&amp;L - Inputs'!AC548</f>
        <v>57208.683866720341</v>
      </c>
      <c r="E138" s="19">
        <f>'P&amp;L - Inputs'!AD548</f>
        <v>82313.280943565071</v>
      </c>
      <c r="F138" s="19">
        <f>'P&amp;L - Inputs'!AE548</f>
        <v>123912.9963118983</v>
      </c>
      <c r="G138" s="19">
        <f>'P&amp;L - Inputs'!AF548</f>
        <v>110916.36035999999</v>
      </c>
      <c r="H138" s="19">
        <f>'P&amp;L - Inputs'!AG548</f>
        <v>177160.584</v>
      </c>
      <c r="I138" s="19">
        <f>'P&amp;L - Inputs'!AH548</f>
        <v>451444.14120000001</v>
      </c>
      <c r="J138" s="19">
        <f>'P&amp;L - Inputs'!AI548</f>
        <v>464287.55232000002</v>
      </c>
      <c r="K138" s="19">
        <f>'P&amp;L - Inputs'!AJ548</f>
        <v>447413.59139999986</v>
      </c>
      <c r="L138" s="19">
        <f>'P&amp;L - Inputs'!AK548</f>
        <v>498044.58576000121</v>
      </c>
      <c r="M138" s="19">
        <f>'P&amp;L - Inputs'!AL548</f>
        <v>283328.69868000021</v>
      </c>
      <c r="N138" s="19">
        <f>'P&amp;L - Inputs'!AM548</f>
        <v>7841.7480000000032</v>
      </c>
      <c r="O138" s="19">
        <f>'P&amp;L - Inputs'!AN548</f>
        <v>181926.18047999989</v>
      </c>
      <c r="P138" s="19">
        <f>'P&amp;L - Inputs'!AO548</f>
        <v>275323.39980000095</v>
      </c>
      <c r="Q138" s="19">
        <f>'P&amp;L - Inputs'!AP548</f>
        <v>361814.1955200017</v>
      </c>
      <c r="R138" s="19">
        <f>'P&amp;L - Inputs'!AQ548</f>
        <v>495216.94968000171</v>
      </c>
      <c r="S138" s="19">
        <f>'P&amp;L - Inputs'!AR548</f>
        <v>629533.5118800042</v>
      </c>
      <c r="T138" s="19">
        <f>'P&amp;L - Inputs'!AS548</f>
        <v>913296.60491999821</v>
      </c>
      <c r="U138" s="19">
        <f>'P&amp;L - Inputs'!AT548</f>
        <v>1080778.2800399933</v>
      </c>
      <c r="V138" s="19">
        <f>'P&amp;L - Inputs'!AU548</f>
        <v>1059729.0132000265</v>
      </c>
      <c r="W138" s="19">
        <f>'P&amp;L - Inputs'!AV548</f>
        <v>1153395.5961599557</v>
      </c>
      <c r="X138" s="19">
        <f>'P&amp;L - Inputs'!AW548</f>
        <v>1303264.0154399402</v>
      </c>
      <c r="Y138" s="19">
        <f>'P&amp;L - Inputs'!AX548</f>
        <v>1144563.4714799519</v>
      </c>
      <c r="Z138" s="19">
        <f>'P&amp;L - Inputs'!AY548</f>
        <v>1409399.9596800578</v>
      </c>
      <c r="AA138" s="19">
        <f>'P&amp;L - Inputs'!AZ548</f>
        <v>1702659.0068398812</v>
      </c>
      <c r="AB138" s="19">
        <f>'P&amp;L - Inputs'!BA548</f>
        <v>1734521.906759978</v>
      </c>
      <c r="AC138" s="19">
        <f>'P&amp;L - Inputs'!BB548</f>
        <v>1803442.0464000639</v>
      </c>
      <c r="AD138" s="19">
        <f>'P&amp;L - Inputs'!BC548</f>
        <v>1729283.6201999972</v>
      </c>
      <c r="AE138" s="19">
        <f>'P&amp;L - Inputs'!BD548</f>
        <v>1303620.6412799652</v>
      </c>
      <c r="AF138" s="19">
        <f>'P&amp;L - Inputs'!BE548</f>
        <v>1353585.0833599837</v>
      </c>
      <c r="AG138" s="19">
        <f>'P&amp;L - Inputs'!BF548</f>
        <v>1663887.8486401108</v>
      </c>
      <c r="AH138" s="19">
        <f>'P&amp;L - Inputs'!BG548</f>
        <v>1570932.1940599931</v>
      </c>
      <c r="AI138" s="19">
        <f>'P&amp;L - Inputs'!BH548</f>
        <v>1360934.1726000269</v>
      </c>
      <c r="AJ138" s="19">
        <f>'P&amp;L - Inputs'!BI548</f>
        <v>1743482.1523798828</v>
      </c>
      <c r="AK138" s="19">
        <f>'P&amp;L - Inputs'!BJ548</f>
        <v>3108719.4022002551</v>
      </c>
      <c r="AL138" s="19">
        <f>'P&amp;L - Inputs'!BK548</f>
        <v>3360450</v>
      </c>
      <c r="AM138" s="19">
        <f>'P&amp;L - Inputs'!BL548</f>
        <v>2956789</v>
      </c>
      <c r="AN138" s="19">
        <f>'P&amp;L - Inputs'!BM548</f>
        <v>2854680.5084745763</v>
      </c>
      <c r="AO138" s="19">
        <f>'P&amp;L - Inputs'!BN548</f>
        <v>2767573</v>
      </c>
      <c r="AP138" s="19">
        <f>'P&amp;L - Inputs'!BO548</f>
        <v>3486851</v>
      </c>
      <c r="AQ138" s="19">
        <f>'P&amp;L - Inputs'!BP548</f>
        <v>4901825.875614021</v>
      </c>
      <c r="AR138" s="19">
        <f>'P&amp;L - Inputs'!BQ548</f>
        <v>4193337.8344676523</v>
      </c>
      <c r="AS138" s="19">
        <f>'P&amp;L - Inputs'!BR548</f>
        <v>5158780.2003266439</v>
      </c>
      <c r="AT138" s="19">
        <f>'P&amp;L - Inputs'!BS548</f>
        <v>5374027.8447136562</v>
      </c>
      <c r="AU138" s="19">
        <f>'P&amp;L - Inputs'!BT548</f>
        <v>6061284.2849540683</v>
      </c>
      <c r="AV138" s="19">
        <f>'P&amp;L - Inputs'!BU548</f>
        <v>5905503.1907328181</v>
      </c>
      <c r="AW138" s="19">
        <f>'P&amp;L - Inputs'!BV548</f>
        <v>4423351.4399110675</v>
      </c>
      <c r="AX138" s="19">
        <f>'P&amp;L - Inputs'!BW548</f>
        <v>3311294.4658986172</v>
      </c>
      <c r="AY138" s="19">
        <f>'P&amp;L - Inputs'!BX548</f>
        <v>2878932.5331908399</v>
      </c>
      <c r="AZ138" s="19">
        <f>'P&amp;L - Inputs'!BY548</f>
        <v>3423399.3336585369</v>
      </c>
      <c r="BA138" s="19">
        <f>'P&amp;L - Inputs'!BZ548</f>
        <v>2108281.7629327904</v>
      </c>
      <c r="BB138" s="19">
        <f>'P&amp;L - Inputs'!CA548</f>
        <v>2446419.2153414991</v>
      </c>
      <c r="BC138" s="19">
        <f>'P&amp;L - Inputs'!CB548</f>
        <v>3037751.7932272963</v>
      </c>
      <c r="BD138" s="19">
        <f>'P&amp;L - Inputs'!CC548</f>
        <v>2399973.0254849158</v>
      </c>
      <c r="BE138" s="19">
        <f>'P&amp;L - Inputs'!CD548</f>
        <v>2397166.1915650405</v>
      </c>
      <c r="BF138" s="19">
        <f>'P&amp;L - Inputs'!CE548</f>
        <v>2813379.1462100763</v>
      </c>
      <c r="BG138" s="19">
        <f>'P&amp;L - Inputs'!CF548</f>
        <v>2627529.320279724</v>
      </c>
      <c r="BH138" s="19">
        <f>'P&amp;L - Inputs'!CG548</f>
        <v>4008840.3265995607</v>
      </c>
      <c r="BI138" s="19">
        <f>'P&amp;L - Inputs'!CH548</f>
        <v>4170447.7377009476</v>
      </c>
      <c r="BJ138" s="19">
        <f>'P&amp;L - Inputs'!CI548</f>
        <v>3821671.122559078</v>
      </c>
      <c r="BK138" s="19">
        <f>'P&amp;L - Inputs'!CJ548</f>
        <v>3831457.6782620652</v>
      </c>
      <c r="BL138" s="19">
        <f>'P&amp;L - Inputs'!CK548</f>
        <v>5052445.6208710903</v>
      </c>
      <c r="BM138" s="19">
        <f>'P&amp;L - Inputs'!CL548</f>
        <v>3924762.7114202529</v>
      </c>
      <c r="BN138" s="19">
        <f>'P&amp;L - Inputs'!CM548</f>
        <v>4992375.14586512</v>
      </c>
      <c r="BO138" s="19">
        <f>'P&amp;L - Inputs'!CN548</f>
        <v>9905828.719665071</v>
      </c>
      <c r="BP138" s="19">
        <f>'P&amp;L - Inputs'!CO548</f>
        <v>5219449.8284109151</v>
      </c>
      <c r="BQ138" s="19">
        <f>'P&amp;L - Inputs'!CP548</f>
        <v>5801598.5751445089</v>
      </c>
      <c r="BR138" s="19">
        <f>'P&amp;L - Inputs'!CQ548</f>
        <v>5497505.9176630434</v>
      </c>
      <c r="BS138" s="19">
        <f>'P&amp;L - Inputs'!CR548</f>
        <v>5031195.1025827043</v>
      </c>
      <c r="BT138" s="19">
        <f>'P&amp;L - Inputs'!CS548</f>
        <v>8377337.5306670433</v>
      </c>
      <c r="BU138" s="19">
        <f>'P&amp;L - Inputs'!CT548</f>
        <v>5893973.5815702258</v>
      </c>
      <c r="BV138" s="19">
        <f>'P&amp;L - Inputs'!CU548</f>
        <v>5771980.9838512978</v>
      </c>
      <c r="BW138" s="19">
        <f>'P&amp;L - Inputs'!CV548</f>
        <v>5759949.4113750961</v>
      </c>
      <c r="BX138" s="19">
        <f>'P&amp;L - Inputs'!CW548</f>
        <v>6237250.5886057373</v>
      </c>
      <c r="BY138" s="19">
        <f>'P&amp;L - Inputs'!CX548</f>
        <v>5572667.493954543</v>
      </c>
      <c r="BZ138" s="19">
        <f>'P&amp;L - Inputs'!CY548</f>
        <v>5174732.4284787755</v>
      </c>
      <c r="CA138" s="19">
        <f>'P&amp;L - Inputs'!CZ548</f>
        <v>6456813.019857428</v>
      </c>
      <c r="CB138" s="19">
        <f>'P&amp;L - Inputs'!DA548</f>
        <v>5946288.37290275</v>
      </c>
      <c r="CC138" s="19">
        <f>'P&amp;L - Inputs'!DB548</f>
        <v>7073839.2142286673</v>
      </c>
      <c r="CD138" s="19">
        <f>'P&amp;L - Inputs'!DC548</f>
        <v>7247593.6215987867</v>
      </c>
      <c r="CE138" s="19">
        <f>'P&amp;L - Inputs'!DD548</f>
        <v>6739520.2583127869</v>
      </c>
      <c r="CF138" s="19">
        <f>'P&amp;L - Inputs'!DE548</f>
        <v>7839829.5730543882</v>
      </c>
      <c r="CG138" s="19">
        <f>'P&amp;L - Inputs'!DF548</f>
        <v>7207593.2652129065</v>
      </c>
      <c r="CH138" s="19">
        <f>'P&amp;L - Inputs'!DG548</f>
        <v>7076087.7094838014</v>
      </c>
      <c r="CI138" s="19">
        <f>'P&amp;L - Inputs'!DH548</f>
        <v>7024611.4343603924</v>
      </c>
      <c r="CJ138" s="19">
        <f>'P&amp;L - Inputs'!DI548</f>
        <v>7602807.4385890812</v>
      </c>
      <c r="CK138" s="19">
        <f>'P&amp;L - Inputs'!DJ548</f>
        <v>6777904.5558667984</v>
      </c>
      <c r="CL138" s="19">
        <f>'P&amp;L - Inputs'!DK548</f>
        <v>6278522.3381879041</v>
      </c>
      <c r="CM138" s="19">
        <f>'P&amp;L - Inputs'!DL548</f>
        <v>7810748.7724366579</v>
      </c>
      <c r="CN138" s="19">
        <f>'P&amp;L - Inputs'!DM548</f>
        <v>7154915.6196543863</v>
      </c>
      <c r="CO138" s="19">
        <f>'P&amp;L - Inputs'!DN548</f>
        <v>8483773.7946554478</v>
      </c>
      <c r="CP138" s="19">
        <f>'P&amp;L - Inputs'!DO548</f>
        <v>8656286.4505752046</v>
      </c>
      <c r="CQ138" s="19">
        <f>'P&amp;L - Inputs'!DP548</f>
        <v>8009256.8888192857</v>
      </c>
      <c r="CR138" s="19">
        <f>'P&amp;L - Inputs'!DQ548</f>
        <v>9216252.8138631843</v>
      </c>
      <c r="CS138" s="19">
        <f>'P&amp;L - Inputs'!DR548</f>
        <v>8212479.7951279003</v>
      </c>
      <c r="CT138" s="19">
        <f>'P&amp;L - Inputs'!DS548</f>
        <v>8054579.8100302601</v>
      </c>
      <c r="CU138" s="19">
        <f>'P&amp;L - Inputs'!DT548</f>
        <v>7990870.3926858455</v>
      </c>
      <c r="CV138" s="19">
        <f>'P&amp;L - Inputs'!DU548</f>
        <v>8645737.8482877649</v>
      </c>
      <c r="CW138" s="19">
        <f>'P&amp;L - Inputs'!DV548</f>
        <v>7697650.1093954537</v>
      </c>
      <c r="CX138" s="19">
        <f>'P&amp;L - Inputs'!DW548</f>
        <v>7120011.9924761355</v>
      </c>
      <c r="CY138" s="19">
        <f>'P&amp;L - Inputs'!DX548</f>
        <v>8862280.1319685392</v>
      </c>
      <c r="CZ138" s="19">
        <f>'P&amp;L - Inputs'!DY548</f>
        <v>8111065.337441789</v>
      </c>
      <c r="DA138" s="19">
        <f>'P&amp;L - Inputs'!DZ548</f>
        <v>9620364.2101728022</v>
      </c>
      <c r="DB138" s="19">
        <f>'P&amp;L - Inputs'!EA548</f>
        <v>9813880.5836883523</v>
      </c>
      <c r="DC138" s="19">
        <f>'P&amp;L - Inputs'!EB548</f>
        <v>9073088.6107943524</v>
      </c>
      <c r="DD138" s="19">
        <f>'P&amp;L - Inputs'!EC548</f>
        <v>10442128.517671291</v>
      </c>
      <c r="DF138" s="19">
        <f t="shared" si="567"/>
        <v>9425958.4022002555</v>
      </c>
      <c r="DG138" s="19">
        <f t="shared" si="568"/>
        <v>9109104.5084745772</v>
      </c>
      <c r="DH138" s="19">
        <f t="shared" si="569"/>
        <v>14253943.910408318</v>
      </c>
      <c r="DI138" s="19">
        <f t="shared" si="570"/>
        <v>17340815.320400544</v>
      </c>
      <c r="DJ138" s="19">
        <f t="shared" si="571"/>
        <v>10613578.439000525</v>
      </c>
      <c r="DK138" s="19">
        <f t="shared" si="572"/>
        <v>7978100.3119328264</v>
      </c>
      <c r="DL138" s="19">
        <f t="shared" si="573"/>
        <v>7834891.0102772526</v>
      </c>
      <c r="DM138" s="19">
        <f t="shared" si="574"/>
        <v>9449748.79308936</v>
      </c>
      <c r="DN138" s="19">
        <f t="shared" si="575"/>
        <v>11823576.538522091</v>
      </c>
      <c r="DO138" s="19">
        <f t="shared" si="576"/>
        <v>13969583.478156462</v>
      </c>
      <c r="DP138" s="19">
        <f t="shared" si="577"/>
        <v>20926877.123220496</v>
      </c>
      <c r="DQ138" s="19">
        <f t="shared" si="578"/>
        <v>18906038.55091279</v>
      </c>
      <c r="DR138" s="19">
        <f t="shared" si="579"/>
        <v>17425903.97679662</v>
      </c>
      <c r="DS138" s="19">
        <f t="shared" si="580"/>
        <v>16984650.511039056</v>
      </c>
      <c r="DT138" s="19">
        <f t="shared" si="581"/>
        <v>19476940.606988847</v>
      </c>
      <c r="DU138" s="19">
        <f t="shared" si="582"/>
        <v>21826943.45296596</v>
      </c>
      <c r="DV138" s="19">
        <f t="shared" si="583"/>
        <v>21308292.409057099</v>
      </c>
      <c r="DW138" s="19">
        <f t="shared" si="584"/>
        <v>20659234.332643785</v>
      </c>
      <c r="DX138" s="19">
        <f t="shared" si="585"/>
        <v>23449438.186746493</v>
      </c>
      <c r="DY138" s="19">
        <f t="shared" si="586"/>
        <v>25881796.153257675</v>
      </c>
      <c r="DZ138" s="19">
        <f t="shared" si="587"/>
        <v>24257929.997844007</v>
      </c>
      <c r="EA138" s="19">
        <f t="shared" si="588"/>
        <v>23463399.950159356</v>
      </c>
      <c r="EB138" s="19">
        <f t="shared" si="589"/>
        <v>26593709.679583132</v>
      </c>
      <c r="EC138" s="19">
        <f t="shared" si="590"/>
        <v>29329097.712153997</v>
      </c>
      <c r="EE138" s="19">
        <f t="shared" si="591"/>
        <v>50129822.141483694</v>
      </c>
      <c r="EF138" s="19">
        <f t="shared" si="592"/>
        <v>35876318.554299966</v>
      </c>
      <c r="EG138" s="19">
        <f t="shared" si="593"/>
        <v>65626075.690811835</v>
      </c>
      <c r="EH138" s="19">
        <f t="shared" si="594"/>
        <v>75714438.547790483</v>
      </c>
      <c r="EI138" s="19">
        <f t="shared" si="595"/>
        <v>91298761.081705064</v>
      </c>
      <c r="EJ138" s="770">
        <f t="shared" si="596"/>
        <v>103644137.3397405</v>
      </c>
    </row>
    <row r="139" spans="2:140" x14ac:dyDescent="0.2">
      <c r="B139" s="21" t="s">
        <v>37</v>
      </c>
      <c r="C139" s="161">
        <f t="shared" ref="C139:AH139" si="597">C133/C74</f>
        <v>1.6560111265048267E-2</v>
      </c>
      <c r="D139" s="161">
        <f t="shared" si="597"/>
        <v>1.6391485533647939E-2</v>
      </c>
      <c r="E139" s="161">
        <f t="shared" si="597"/>
        <v>1.8397197332563026E-2</v>
      </c>
      <c r="F139" s="161">
        <f t="shared" si="597"/>
        <v>2.17055426150334E-2</v>
      </c>
      <c r="G139" s="161">
        <f t="shared" si="597"/>
        <v>1.7803316720121306E-2</v>
      </c>
      <c r="H139" s="161">
        <f t="shared" si="597"/>
        <v>1.7836235345222624E-2</v>
      </c>
      <c r="I139" s="161">
        <f t="shared" si="597"/>
        <v>1.6769056591567862E-2</v>
      </c>
      <c r="J139" s="161">
        <f t="shared" si="597"/>
        <v>1.8182875121374096E-2</v>
      </c>
      <c r="K139" s="161">
        <f t="shared" si="597"/>
        <v>1.7082687670719972E-2</v>
      </c>
      <c r="L139" s="161">
        <f t="shared" si="597"/>
        <v>2.0203566885651079E-2</v>
      </c>
      <c r="M139" s="161">
        <f t="shared" si="597"/>
        <v>2.2112127900216917E-2</v>
      </c>
      <c r="N139" s="161">
        <f t="shared" si="597"/>
        <v>3.2392459256924563E-2</v>
      </c>
      <c r="O139" s="161">
        <f t="shared" si="597"/>
        <v>1.9587829914021481E-2</v>
      </c>
      <c r="P139" s="161">
        <f t="shared" si="597"/>
        <v>2.0991159103911763E-2</v>
      </c>
      <c r="Q139" s="161">
        <f t="shared" si="597"/>
        <v>2.3969325207868895E-2</v>
      </c>
      <c r="R139" s="161">
        <f t="shared" si="597"/>
        <v>2.4960635600202865E-2</v>
      </c>
      <c r="S139" s="161">
        <f t="shared" si="597"/>
        <v>2.6493077622185789E-2</v>
      </c>
      <c r="T139" s="161">
        <f t="shared" si="597"/>
        <v>2.2323973112342362E-2</v>
      </c>
      <c r="U139" s="161">
        <f t="shared" si="597"/>
        <v>2.2097678703918062E-2</v>
      </c>
      <c r="V139" s="161">
        <f t="shared" si="597"/>
        <v>1.8940803698450425E-2</v>
      </c>
      <c r="W139" s="161">
        <f t="shared" si="597"/>
        <v>2.1478290468095435E-2</v>
      </c>
      <c r="X139" s="161">
        <f t="shared" si="597"/>
        <v>2.5248305167038528E-2</v>
      </c>
      <c r="Y139" s="161">
        <f t="shared" si="597"/>
        <v>2.4096150844737981E-2</v>
      </c>
      <c r="Z139" s="161">
        <f t="shared" si="597"/>
        <v>2.3682421746505811E-2</v>
      </c>
      <c r="AA139" s="161">
        <f t="shared" si="597"/>
        <v>2.3186561101416859E-2</v>
      </c>
      <c r="AB139" s="161">
        <f t="shared" si="597"/>
        <v>2.6169980922068535E-2</v>
      </c>
      <c r="AC139" s="161">
        <f t="shared" si="597"/>
        <v>2.1677870998133283E-2</v>
      </c>
      <c r="AD139" s="161">
        <f t="shared" si="597"/>
        <v>2.2950870354040937E-2</v>
      </c>
      <c r="AE139" s="161">
        <f t="shared" si="597"/>
        <v>2.2638474965053421E-2</v>
      </c>
      <c r="AF139" s="161">
        <f t="shared" si="597"/>
        <v>2.1646877666865003E-2</v>
      </c>
      <c r="AG139" s="161">
        <f t="shared" si="597"/>
        <v>2.0058935163071692E-2</v>
      </c>
      <c r="AH139" s="161">
        <f t="shared" si="597"/>
        <v>1.9336200157342994E-2</v>
      </c>
      <c r="AI139" s="161">
        <f t="shared" ref="AI139:BN139" si="598">AI133/AI74</f>
        <v>2.333840670516896E-2</v>
      </c>
      <c r="AJ139" s="161">
        <f t="shared" si="598"/>
        <v>2.5888086951081912E-2</v>
      </c>
      <c r="AK139" s="161">
        <f t="shared" si="598"/>
        <v>3.326435465957886E-2</v>
      </c>
      <c r="AL139" s="161">
        <f t="shared" si="598"/>
        <v>3.309040767053445E-2</v>
      </c>
      <c r="AM139" s="161">
        <f t="shared" si="598"/>
        <v>3.6036358914482147E-2</v>
      </c>
      <c r="AN139" s="161">
        <f t="shared" si="598"/>
        <v>3.4190042077503049E-2</v>
      </c>
      <c r="AO139" s="161">
        <f t="shared" si="598"/>
        <v>3.5590106581722326E-2</v>
      </c>
      <c r="AP139" s="161">
        <f t="shared" si="598"/>
        <v>3.6501117846068749E-2</v>
      </c>
      <c r="AQ139" s="161">
        <f t="shared" si="598"/>
        <v>3.8190971251382759E-2</v>
      </c>
      <c r="AR139" s="161">
        <f t="shared" si="598"/>
        <v>4.0359042946449021E-2</v>
      </c>
      <c r="AS139" s="161">
        <f t="shared" si="598"/>
        <v>4.5654410732941263E-2</v>
      </c>
      <c r="AT139" s="161">
        <f t="shared" si="598"/>
        <v>4.7010425407638355E-2</v>
      </c>
      <c r="AU139" s="161">
        <f t="shared" si="598"/>
        <v>5.9226481265313942E-2</v>
      </c>
      <c r="AV139" s="161">
        <f t="shared" si="598"/>
        <v>5.3578505709331106E-2</v>
      </c>
      <c r="AW139" s="161">
        <f t="shared" si="598"/>
        <v>4.462445798774628E-2</v>
      </c>
      <c r="AX139" s="161">
        <f t="shared" si="598"/>
        <v>4.451635349862551E-2</v>
      </c>
      <c r="AY139" s="161">
        <f t="shared" si="598"/>
        <v>4.1733329963300883E-2</v>
      </c>
      <c r="AZ139" s="161">
        <f t="shared" si="598"/>
        <v>4.5090968093153549E-2</v>
      </c>
      <c r="BA139" s="161">
        <f t="shared" si="598"/>
        <v>4.39469812655073E-2</v>
      </c>
      <c r="BB139" s="161">
        <f t="shared" si="598"/>
        <v>4.9037222224979686E-2</v>
      </c>
      <c r="BC139" s="161">
        <f t="shared" si="598"/>
        <v>4.5270616233058843E-2</v>
      </c>
      <c r="BD139" s="161">
        <f t="shared" si="598"/>
        <v>4.3047134450068823E-2</v>
      </c>
      <c r="BE139" s="161">
        <f t="shared" si="598"/>
        <v>3.9021598062761127E-2</v>
      </c>
      <c r="BF139" s="161">
        <f t="shared" si="598"/>
        <v>4.0851913876269234E-2</v>
      </c>
      <c r="BG139" s="161">
        <f t="shared" si="598"/>
        <v>4.2975685675514151E-2</v>
      </c>
      <c r="BH139" s="161">
        <f t="shared" si="598"/>
        <v>4.3781045060800022E-2</v>
      </c>
      <c r="BI139" s="161">
        <f t="shared" si="598"/>
        <v>4.5527567819971727E-2</v>
      </c>
      <c r="BJ139" s="161">
        <f t="shared" si="598"/>
        <v>4.5581015160013456E-2</v>
      </c>
      <c r="BK139" s="161">
        <f t="shared" si="598"/>
        <v>4.7960135611949173E-2</v>
      </c>
      <c r="BL139" s="161">
        <f t="shared" si="598"/>
        <v>5.2611260339822517E-2</v>
      </c>
      <c r="BM139" s="161">
        <f t="shared" si="598"/>
        <v>5.0840834772956492E-2</v>
      </c>
      <c r="BN139" s="161">
        <f t="shared" si="598"/>
        <v>5.5739877887486029E-2</v>
      </c>
      <c r="BO139" s="161">
        <f t="shared" ref="BO139:EJ139" si="599">BO133/BO74</f>
        <v>5.851531198656857E-2</v>
      </c>
      <c r="BP139" s="161">
        <f t="shared" si="599"/>
        <v>3.9765850064358774E-2</v>
      </c>
      <c r="BQ139" s="161">
        <f t="shared" si="599"/>
        <v>2.8935292725161151E-2</v>
      </c>
      <c r="BR139" s="161">
        <f t="shared" si="599"/>
        <v>3.0147515599449615E-2</v>
      </c>
      <c r="BS139" s="161">
        <f t="shared" si="599"/>
        <v>2.8754526688243236E-2</v>
      </c>
      <c r="BT139" s="161">
        <f t="shared" si="599"/>
        <v>3.0508431981333631E-2</v>
      </c>
      <c r="BU139" s="161">
        <f t="shared" si="599"/>
        <v>3.2498169287883898E-2</v>
      </c>
      <c r="BV139" s="161">
        <f t="shared" si="599"/>
        <v>3.2569640700070589E-2</v>
      </c>
      <c r="BW139" s="161">
        <f t="shared" si="599"/>
        <v>3.2563479238571037E-2</v>
      </c>
      <c r="BX139" s="161">
        <f t="shared" si="599"/>
        <v>3.2256409653499039E-2</v>
      </c>
      <c r="BY139" s="161">
        <f t="shared" si="599"/>
        <v>3.2669803381972458E-2</v>
      </c>
      <c r="BZ139" s="161">
        <f t="shared" si="599"/>
        <v>3.2956452628641698E-2</v>
      </c>
      <c r="CA139" s="161">
        <f t="shared" si="599"/>
        <v>3.2096004908188702E-2</v>
      </c>
      <c r="CB139" s="161">
        <f t="shared" si="599"/>
        <v>3.2376629302488122E-2</v>
      </c>
      <c r="CC139" s="161">
        <f t="shared" si="599"/>
        <v>3.1777384913173466E-2</v>
      </c>
      <c r="CD139" s="161">
        <f t="shared" si="599"/>
        <v>3.1695206159747115E-2</v>
      </c>
      <c r="CE139" s="161">
        <f t="shared" si="599"/>
        <v>3.1911338806505769E-2</v>
      </c>
      <c r="CF139" s="161">
        <f t="shared" si="599"/>
        <v>3.1441828371233257E-2</v>
      </c>
      <c r="CG139" s="161">
        <f t="shared" si="599"/>
        <v>3.2100629228847891E-2</v>
      </c>
      <c r="CH139" s="161">
        <f t="shared" si="599"/>
        <v>3.2148192175110536E-2</v>
      </c>
      <c r="CI139" s="161">
        <f t="shared" si="599"/>
        <v>3.2164010702699392E-2</v>
      </c>
      <c r="CJ139" s="161">
        <f t="shared" si="599"/>
        <v>3.1908728352603735E-2</v>
      </c>
      <c r="CK139" s="161">
        <f t="shared" si="599"/>
        <v>3.2262061365998129E-2</v>
      </c>
      <c r="CL139" s="161">
        <f t="shared" si="599"/>
        <v>3.2511360865271455E-2</v>
      </c>
      <c r="CM139" s="161">
        <f t="shared" si="599"/>
        <v>3.180011332811148E-2</v>
      </c>
      <c r="CN139" s="161">
        <f t="shared" si="599"/>
        <v>3.2057774280684147E-2</v>
      </c>
      <c r="CO139" s="161">
        <f t="shared" si="599"/>
        <v>3.1560474089967511E-2</v>
      </c>
      <c r="CP139" s="161">
        <f t="shared" si="599"/>
        <v>3.150430295272609E-2</v>
      </c>
      <c r="CQ139" s="161">
        <f t="shared" si="599"/>
        <v>3.1707398862668185E-2</v>
      </c>
      <c r="CR139" s="161">
        <f t="shared" si="599"/>
        <v>3.1337211158255003E-2</v>
      </c>
      <c r="CS139" s="161">
        <f t="shared" ref="CS139:DD139" si="600">CS133/CS74</f>
        <v>3.1627817499366599E-2</v>
      </c>
      <c r="CT139" s="161">
        <f t="shared" si="600"/>
        <v>3.1670808969557804E-2</v>
      </c>
      <c r="CU139" s="161">
        <f t="shared" si="600"/>
        <v>3.1685875286335576E-2</v>
      </c>
      <c r="CV139" s="161">
        <f t="shared" si="600"/>
        <v>3.1468692668798579E-2</v>
      </c>
      <c r="CW139" s="161">
        <f t="shared" si="600"/>
        <v>3.1773696565333992E-2</v>
      </c>
      <c r="CX139" s="161">
        <f t="shared" si="600"/>
        <v>3.1990821144206406E-2</v>
      </c>
      <c r="CY139" s="161">
        <f t="shared" si="600"/>
        <v>3.1380800768681938E-2</v>
      </c>
      <c r="CZ139" s="161">
        <f t="shared" si="600"/>
        <v>3.1603310790497503E-2</v>
      </c>
      <c r="DA139" s="161">
        <f t="shared" si="600"/>
        <v>3.1176908348427557E-2</v>
      </c>
      <c r="DB139" s="161">
        <f t="shared" si="600"/>
        <v>3.1129240665142038E-2</v>
      </c>
      <c r="DC139" s="161">
        <f t="shared" si="600"/>
        <v>3.1304773329286939E-2</v>
      </c>
      <c r="DD139" s="161">
        <f t="shared" si="600"/>
        <v>3.0987326388469676E-2</v>
      </c>
      <c r="DF139" s="161">
        <f t="shared" si="599"/>
        <v>3.4132176871052015E-2</v>
      </c>
      <c r="DG139" s="161">
        <f t="shared" si="599"/>
        <v>3.5408829436479217E-2</v>
      </c>
      <c r="DH139" s="161">
        <f t="shared" si="599"/>
        <v>4.1053626291892298E-2</v>
      </c>
      <c r="DI139" s="161">
        <f t="shared" si="599"/>
        <v>5.3116386631185515E-2</v>
      </c>
      <c r="DJ139" s="161">
        <f t="shared" si="599"/>
        <v>4.3580094237363684E-2</v>
      </c>
      <c r="DK139" s="161">
        <f t="shared" si="599"/>
        <v>4.5833592569911902E-2</v>
      </c>
      <c r="DL139" s="161">
        <f t="shared" si="599"/>
        <v>4.2266011818923796E-2</v>
      </c>
      <c r="DM139" s="161">
        <f t="shared" si="599"/>
        <v>4.2598676557269795E-2</v>
      </c>
      <c r="DN139" s="161">
        <f t="shared" si="599"/>
        <v>4.6358206205590842E-2</v>
      </c>
      <c r="DO139" s="161">
        <f t="shared" si="599"/>
        <v>5.2985449723627953E-2</v>
      </c>
      <c r="DP139" s="161">
        <f t="shared" si="599"/>
        <v>4.1971104327987029E-2</v>
      </c>
      <c r="DQ139" s="161">
        <f t="shared" si="599"/>
        <v>2.9850724311174331E-2</v>
      </c>
      <c r="DR139" s="161">
        <f t="shared" si="599"/>
        <v>3.2543430276645115E-2</v>
      </c>
      <c r="DS139" s="161">
        <f t="shared" si="599"/>
        <v>3.2605327099508086E-2</v>
      </c>
      <c r="DT139" s="161">
        <f t="shared" si="599"/>
        <v>3.2065959478877762E-2</v>
      </c>
      <c r="DU139" s="161">
        <f t="shared" si="599"/>
        <v>3.1670933025518544E-2</v>
      </c>
      <c r="DV139" s="161">
        <f t="shared" si="599"/>
        <v>3.2137318691823694E-2</v>
      </c>
      <c r="DW139" s="161">
        <f t="shared" si="599"/>
        <v>3.220779554136028E-2</v>
      </c>
      <c r="DX139" s="161">
        <f t="shared" si="599"/>
        <v>3.1792031995284201E-2</v>
      </c>
      <c r="DY139" s="161">
        <f t="shared" si="599"/>
        <v>3.1507652298896426E-2</v>
      </c>
      <c r="DZ139" s="161">
        <f t="shared" si="599"/>
        <v>3.1661217318676528E-2</v>
      </c>
      <c r="EA139" s="161">
        <f t="shared" si="599"/>
        <v>3.1727196308379071E-2</v>
      </c>
      <c r="EB139" s="161">
        <f t="shared" si="599"/>
        <v>3.1374907419493447E-2</v>
      </c>
      <c r="EC139" s="161">
        <f t="shared" si="599"/>
        <v>3.1133016311479921E-2</v>
      </c>
      <c r="ED139" s="805"/>
      <c r="EE139" s="161">
        <f t="shared" si="599"/>
        <v>4.0508899703172334E-2</v>
      </c>
      <c r="EF139" s="161">
        <f t="shared" si="599"/>
        <v>4.3403892869330718E-2</v>
      </c>
      <c r="EG139" s="161">
        <f t="shared" si="599"/>
        <v>4.1138592534143412E-2</v>
      </c>
      <c r="EH139" s="161">
        <f t="shared" si="599"/>
        <v>3.2182966365767715E-2</v>
      </c>
      <c r="EI139" s="161">
        <f t="shared" si="599"/>
        <v>3.1886081125704055E-2</v>
      </c>
      <c r="EJ139" s="161">
        <f t="shared" si="599"/>
        <v>3.1453220895351297E-2</v>
      </c>
    </row>
    <row r="140" spans="2:140" x14ac:dyDescent="0.2">
      <c r="B140" s="2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E140" s="10"/>
      <c r="EF140" s="10"/>
      <c r="EG140" s="10"/>
      <c r="EH140" s="10"/>
      <c r="EI140" s="10"/>
      <c r="EJ140" s="812"/>
    </row>
    <row r="141" spans="2:140" x14ac:dyDescent="0.2">
      <c r="B141" s="196" t="s">
        <v>38</v>
      </c>
      <c r="C141" s="198">
        <f>C127-C133</f>
        <v>1927432.8996824655</v>
      </c>
      <c r="D141" s="198">
        <f t="shared" ref="D141:BO141" si="601">D127-D133</f>
        <v>2013547.4147246003</v>
      </c>
      <c r="E141" s="198">
        <f t="shared" si="601"/>
        <v>2060458.3472300409</v>
      </c>
      <c r="F141" s="198">
        <f t="shared" si="601"/>
        <v>2145915.1356753912</v>
      </c>
      <c r="G141" s="198">
        <f t="shared" si="601"/>
        <v>1913842.9609213851</v>
      </c>
      <c r="H141" s="198">
        <f t="shared" si="601"/>
        <v>2440291.2190948911</v>
      </c>
      <c r="I141" s="198">
        <f t="shared" si="601"/>
        <v>4984943.310123981</v>
      </c>
      <c r="J141" s="198">
        <f t="shared" si="601"/>
        <v>6179765.7497251704</v>
      </c>
      <c r="K141" s="198">
        <f t="shared" si="601"/>
        <v>6443211.4350986425</v>
      </c>
      <c r="L141" s="198">
        <f t="shared" si="601"/>
        <v>8761968.4245758001</v>
      </c>
      <c r="M141" s="198">
        <f t="shared" si="601"/>
        <v>4945759.6125125643</v>
      </c>
      <c r="N141" s="198">
        <f t="shared" si="601"/>
        <v>103188.10558432199</v>
      </c>
      <c r="O141" s="198">
        <f t="shared" si="601"/>
        <v>4418983.7427804433</v>
      </c>
      <c r="P141" s="198">
        <f t="shared" si="601"/>
        <v>6733402.9479394937</v>
      </c>
      <c r="Q141" s="198">
        <f t="shared" si="601"/>
        <v>7930507.9278996643</v>
      </c>
      <c r="R141" s="198">
        <f t="shared" si="601"/>
        <v>8573634.5007170886</v>
      </c>
      <c r="S141" s="198">
        <f t="shared" si="601"/>
        <v>9865340.0745585691</v>
      </c>
      <c r="T141" s="198">
        <f t="shared" si="601"/>
        <v>16492757.588027278</v>
      </c>
      <c r="U141" s="198">
        <f t="shared" si="601"/>
        <v>18884159.782983035</v>
      </c>
      <c r="V141" s="198">
        <f t="shared" si="601"/>
        <v>16122202.614640132</v>
      </c>
      <c r="W141" s="198">
        <f t="shared" si="601"/>
        <v>18314712.747610241</v>
      </c>
      <c r="X141" s="198">
        <f t="shared" si="601"/>
        <v>19444372.593344461</v>
      </c>
      <c r="Y141" s="198">
        <f t="shared" si="601"/>
        <v>18546108.85939547</v>
      </c>
      <c r="Z141" s="198">
        <f t="shared" si="601"/>
        <v>20085620.293280199</v>
      </c>
      <c r="AA141" s="198">
        <f t="shared" si="601"/>
        <v>23440303.262244172</v>
      </c>
      <c r="AB141" s="198">
        <f t="shared" si="601"/>
        <v>25558424.45020128</v>
      </c>
      <c r="AC141" s="198">
        <f t="shared" si="601"/>
        <v>23446474.797791697</v>
      </c>
      <c r="AD141" s="198">
        <f t="shared" si="601"/>
        <v>17999133.6968803</v>
      </c>
      <c r="AE141" s="198">
        <f t="shared" si="601"/>
        <v>21723716.417130016</v>
      </c>
      <c r="AF141" s="198">
        <f t="shared" si="601"/>
        <v>23311293.975658465</v>
      </c>
      <c r="AG141" s="198">
        <f t="shared" si="601"/>
        <v>29837612.199766006</v>
      </c>
      <c r="AH141" s="198">
        <f t="shared" si="601"/>
        <v>35157970.283132315</v>
      </c>
      <c r="AI141" s="198">
        <f t="shared" si="601"/>
        <v>36054606.585387193</v>
      </c>
      <c r="AJ141" s="198">
        <f t="shared" si="601"/>
        <v>42000091.455322072</v>
      </c>
      <c r="AK141" s="198">
        <f t="shared" si="601"/>
        <v>35835840.519805863</v>
      </c>
      <c r="AL141" s="198">
        <f t="shared" si="601"/>
        <v>41203049.37890707</v>
      </c>
      <c r="AM141" s="198">
        <f t="shared" si="601"/>
        <v>43569375.876374304</v>
      </c>
      <c r="AN141" s="198">
        <f t="shared" si="601"/>
        <v>39288460.311955988</v>
      </c>
      <c r="AO141" s="198">
        <f t="shared" si="601"/>
        <v>40058935.160071164</v>
      </c>
      <c r="AP141" s="198">
        <f t="shared" si="601"/>
        <v>33222574.172143377</v>
      </c>
      <c r="AQ141" s="198">
        <f t="shared" si="601"/>
        <v>41351470.899776563</v>
      </c>
      <c r="AR141" s="198">
        <f t="shared" si="601"/>
        <v>39554302.33534357</v>
      </c>
      <c r="AS141" s="198">
        <f t="shared" si="601"/>
        <v>35821391.498255312</v>
      </c>
      <c r="AT141" s="198">
        <f t="shared" si="601"/>
        <v>34522935.052470461</v>
      </c>
      <c r="AU141" s="198">
        <f t="shared" si="601"/>
        <v>39101729.930209398</v>
      </c>
      <c r="AV141" s="198">
        <f t="shared" si="601"/>
        <v>45389372.851791628</v>
      </c>
      <c r="AW141" s="198">
        <f t="shared" si="601"/>
        <v>44641782.123385176</v>
      </c>
      <c r="AX141" s="198">
        <f t="shared" si="601"/>
        <v>51293683.989432469</v>
      </c>
      <c r="AY141" s="198">
        <f t="shared" si="601"/>
        <v>54925073.896268509</v>
      </c>
      <c r="AZ141" s="198">
        <f t="shared" si="601"/>
        <v>51769068.970210195</v>
      </c>
      <c r="BA141" s="198">
        <f t="shared" si="601"/>
        <v>46341789.396757975</v>
      </c>
      <c r="BB141" s="198">
        <f t="shared" si="601"/>
        <v>35483359.948035717</v>
      </c>
      <c r="BC141" s="198">
        <f t="shared" si="601"/>
        <v>51558696.297311351</v>
      </c>
      <c r="BD141" s="198">
        <f t="shared" si="601"/>
        <v>52296695.558226511</v>
      </c>
      <c r="BE141" s="198">
        <f t="shared" si="601"/>
        <v>60626061.211660825</v>
      </c>
      <c r="BF141" s="198">
        <f t="shared" si="601"/>
        <v>59428619.722203642</v>
      </c>
      <c r="BG141" s="198">
        <f t="shared" si="601"/>
        <v>55737229.884335935</v>
      </c>
      <c r="BH141" s="198">
        <f t="shared" si="601"/>
        <v>70216116.844013304</v>
      </c>
      <c r="BI141" s="198">
        <f t="shared" si="601"/>
        <v>67923645.550218865</v>
      </c>
      <c r="BJ141" s="198">
        <f t="shared" si="601"/>
        <v>63256366.956919149</v>
      </c>
      <c r="BK141" s="198">
        <f t="shared" si="601"/>
        <v>70141484.118363768</v>
      </c>
      <c r="BL141" s="198">
        <f t="shared" si="601"/>
        <v>69893790.932679608</v>
      </c>
      <c r="BM141" s="198">
        <f t="shared" si="601"/>
        <v>68758317.024433821</v>
      </c>
      <c r="BN141" s="198">
        <f t="shared" si="601"/>
        <v>59746650.110869259</v>
      </c>
      <c r="BO141" s="198">
        <f t="shared" si="601"/>
        <v>88270799.260737151</v>
      </c>
      <c r="BP141" s="198">
        <f t="shared" ref="BP141:CR141" si="602">BP127-BP133</f>
        <v>87343440.567727774</v>
      </c>
      <c r="BQ141" s="198">
        <f t="shared" si="602"/>
        <v>101319174.30332325</v>
      </c>
      <c r="BR141" s="198">
        <f t="shared" si="602"/>
        <v>107993754.71547537</v>
      </c>
      <c r="BS141" s="198">
        <f t="shared" si="602"/>
        <v>100476713.45107788</v>
      </c>
      <c r="BT141" s="198">
        <f t="shared" si="602"/>
        <v>110287858.33252634</v>
      </c>
      <c r="BU141" s="198">
        <f t="shared" si="602"/>
        <v>103723267.39635143</v>
      </c>
      <c r="BV141" s="198">
        <f t="shared" si="602"/>
        <v>101796146.54195961</v>
      </c>
      <c r="BW141" s="198">
        <f t="shared" si="602"/>
        <v>101721488.31094031</v>
      </c>
      <c r="BX141" s="198">
        <f t="shared" si="602"/>
        <v>109665983.62265009</v>
      </c>
      <c r="BY141" s="198">
        <f t="shared" si="602"/>
        <v>98842443.249381185</v>
      </c>
      <c r="BZ141" s="198">
        <f t="shared" si="602"/>
        <v>92452326.666936502</v>
      </c>
      <c r="CA141" s="198">
        <f t="shared" si="602"/>
        <v>113653214.43077506</v>
      </c>
      <c r="CB141" s="198">
        <f t="shared" si="602"/>
        <v>105367337.43125559</v>
      </c>
      <c r="CC141" s="198">
        <f t="shared" si="602"/>
        <v>124022798.49031562</v>
      </c>
      <c r="CD141" s="198">
        <f t="shared" si="602"/>
        <v>126967246.53676635</v>
      </c>
      <c r="CE141" s="198">
        <f t="shared" si="602"/>
        <v>118721747.2826913</v>
      </c>
      <c r="CF141" s="198">
        <f t="shared" si="602"/>
        <v>137010834.89483288</v>
      </c>
      <c r="CG141" s="198">
        <f t="shared" si="602"/>
        <v>125679558.98112214</v>
      </c>
      <c r="CH141" s="198">
        <f t="shared" si="602"/>
        <v>123654176.79107907</v>
      </c>
      <c r="CI141" s="198">
        <f t="shared" si="602"/>
        <v>122895562.50810269</v>
      </c>
      <c r="CJ141" s="198">
        <f t="shared" si="602"/>
        <v>132429777.06913292</v>
      </c>
      <c r="CK141" s="198">
        <f t="shared" si="602"/>
        <v>119069895.58212873</v>
      </c>
      <c r="CL141" s="198">
        <f t="shared" si="602"/>
        <v>111072498.12615708</v>
      </c>
      <c r="CM141" s="198">
        <f t="shared" si="602"/>
        <v>136160188.99063349</v>
      </c>
      <c r="CN141" s="198">
        <f t="shared" si="602"/>
        <v>125522559.692352</v>
      </c>
      <c r="CO141" s="198">
        <f t="shared" si="602"/>
        <v>147285926.53403038</v>
      </c>
      <c r="CP141" s="198">
        <f t="shared" si="602"/>
        <v>150147291.64762852</v>
      </c>
      <c r="CQ141" s="198">
        <f t="shared" si="602"/>
        <v>139653568.72512066</v>
      </c>
      <c r="CR141" s="198">
        <f t="shared" si="602"/>
        <v>159424935.40658057</v>
      </c>
      <c r="CS141" s="198">
        <f t="shared" ref="CS141:DD141" si="603">CS127-CS133</f>
        <v>140749374.85537806</v>
      </c>
      <c r="CT141" s="198">
        <f t="shared" si="603"/>
        <v>138342832.57665819</v>
      </c>
      <c r="CU141" s="198">
        <f t="shared" si="603"/>
        <v>137405008.59199268</v>
      </c>
      <c r="CV141" s="198">
        <f t="shared" si="603"/>
        <v>147992455.87870622</v>
      </c>
      <c r="CW141" s="198">
        <f t="shared" si="603"/>
        <v>132912073.73583376</v>
      </c>
      <c r="CX141" s="198">
        <f t="shared" si="603"/>
        <v>123815348.16900635</v>
      </c>
      <c r="CY141" s="198">
        <f t="shared" si="603"/>
        <v>151801634.03185987</v>
      </c>
      <c r="CZ141" s="198">
        <f t="shared" si="603"/>
        <v>139836895.22307897</v>
      </c>
      <c r="DA141" s="198">
        <f t="shared" si="603"/>
        <v>164086581.5676235</v>
      </c>
      <c r="DB141" s="198">
        <f t="shared" si="603"/>
        <v>167232401.63351572</v>
      </c>
      <c r="DC141" s="198">
        <f t="shared" si="603"/>
        <v>155434834.70467368</v>
      </c>
      <c r="DD141" s="198">
        <f t="shared" si="603"/>
        <v>177434904.21548486</v>
      </c>
      <c r="DF141" s="182">
        <f t="shared" ref="DF141" si="604">SUM(AK141:AM141)</f>
        <v>120608265.77508724</v>
      </c>
      <c r="DG141" s="182">
        <f t="shared" ref="DG141" si="605">SUM(AN141:AP141)</f>
        <v>112569969.64417052</v>
      </c>
      <c r="DH141" s="182">
        <f t="shared" ref="DH141" si="606">SUM(AQ141:AS141)</f>
        <v>116727164.73337545</v>
      </c>
      <c r="DI141" s="182">
        <f t="shared" ref="DI141" si="607">SUM(AT141:AV141)</f>
        <v>119014037.83447149</v>
      </c>
      <c r="DJ141" s="182">
        <f t="shared" ref="DJ141" si="608">SUM(AW141:AY141)</f>
        <v>150860540.00908616</v>
      </c>
      <c r="DK141" s="182">
        <f t="shared" ref="DK141" si="609">SUM(AZ141:BB141)</f>
        <v>133594218.31500389</v>
      </c>
      <c r="DL141" s="182">
        <f t="shared" ref="DL141" si="610">SUM(BC141:BE141)</f>
        <v>164481453.06719869</v>
      </c>
      <c r="DM141" s="182">
        <f t="shared" ref="DM141" si="611">SUM(BF141:BH141)</f>
        <v>185381966.45055288</v>
      </c>
      <c r="DN141" s="182">
        <f t="shared" ref="DN141" si="612">SUM(BI141:BK141)</f>
        <v>201321496.62550178</v>
      </c>
      <c r="DO141" s="182">
        <f t="shared" ref="DO141" si="613">SUM(BL141:BN141)</f>
        <v>198398758.0679827</v>
      </c>
      <c r="DP141" s="182">
        <f t="shared" ref="DP141" si="614">SUM(BO141:BQ141)</f>
        <v>276933414.13178819</v>
      </c>
      <c r="DQ141" s="182">
        <f t="shared" ref="DQ141" si="615">SUM(BR141:BT141)</f>
        <v>318758326.49907959</v>
      </c>
      <c r="DR141" s="182">
        <f t="shared" ref="DR141" si="616">SUM(BU141:BW141)</f>
        <v>307240902.24925137</v>
      </c>
      <c r="DS141" s="182">
        <f t="shared" ref="DS141" si="617">SUM(BX141:BZ141)</f>
        <v>300960753.53896779</v>
      </c>
      <c r="DT141" s="182">
        <f t="shared" ref="DT141" si="618">SUM(CA141:CC141)</f>
        <v>343043350.3523463</v>
      </c>
      <c r="DU141" s="182">
        <f t="shared" ref="DU141" si="619">SUM(CD141:CF141)</f>
        <v>382699828.7142905</v>
      </c>
      <c r="DV141" s="182">
        <f t="shared" ref="DV141" si="620">SUM(CG141:CI141)</f>
        <v>372229298.2803039</v>
      </c>
      <c r="DW141" s="182">
        <f t="shared" ref="DW141" si="621">SUM(CJ141:CL141)</f>
        <v>362572170.77741873</v>
      </c>
      <c r="DX141" s="182">
        <f t="shared" ref="DX141" si="622">SUM(CM141:CO141)</f>
        <v>408968675.21701586</v>
      </c>
      <c r="DY141" s="182">
        <f t="shared" ref="DY141" si="623">SUM(CP141:CR141)</f>
        <v>449225795.77932978</v>
      </c>
      <c r="DZ141" s="182">
        <f t="shared" si="587"/>
        <v>416497216.02402896</v>
      </c>
      <c r="EA141" s="182">
        <f t="shared" si="588"/>
        <v>404719877.78354633</v>
      </c>
      <c r="EB141" s="182">
        <f t="shared" si="589"/>
        <v>455725110.82256234</v>
      </c>
      <c r="EC141" s="182">
        <f t="shared" si="590"/>
        <v>500102140.55367422</v>
      </c>
      <c r="EE141" s="182">
        <f>SUM(DF141:DI141)</f>
        <v>468919437.98710465</v>
      </c>
      <c r="EF141" s="182">
        <f>SUM(DJ141:DM141)</f>
        <v>634318177.8418417</v>
      </c>
      <c r="EG141" s="182">
        <f>SUM(DN141:DQ141)</f>
        <v>995411995.32435226</v>
      </c>
      <c r="EH141" s="182">
        <f>SUM(DR141:DU141)</f>
        <v>1333944834.854856</v>
      </c>
      <c r="EI141" s="182">
        <f>SUM(DV141:DY141)</f>
        <v>1592995940.0540681</v>
      </c>
      <c r="EJ141" s="816">
        <f t="shared" si="596"/>
        <v>1777044345.1838117</v>
      </c>
    </row>
    <row r="142" spans="2:140" x14ac:dyDescent="0.2">
      <c r="B142" s="21" t="s">
        <v>39</v>
      </c>
      <c r="C142" s="161">
        <f>C141/C74</f>
        <v>0.24515274226329375</v>
      </c>
      <c r="D142" s="161">
        <f t="shared" ref="D142:BO142" si="624">D141/D74</f>
        <v>0.27615311106673424</v>
      </c>
      <c r="E142" s="161">
        <f t="shared" si="624"/>
        <v>0.22493957849373752</v>
      </c>
      <c r="F142" s="161">
        <f t="shared" si="624"/>
        <v>0.18741805313197793</v>
      </c>
      <c r="G142" s="161">
        <f t="shared" si="624"/>
        <v>0.16130267811681384</v>
      </c>
      <c r="H142" s="161">
        <f t="shared" si="624"/>
        <v>0.1430335419375508</v>
      </c>
      <c r="I142" s="161">
        <f t="shared" si="624"/>
        <v>0.12695715223933807</v>
      </c>
      <c r="J142" s="161">
        <f t="shared" si="624"/>
        <v>0.15348278595844239</v>
      </c>
      <c r="K142" s="161">
        <f t="shared" si="624"/>
        <v>0.16460954614059331</v>
      </c>
      <c r="L142" s="161">
        <f t="shared" si="624"/>
        <v>0.20133039330624344</v>
      </c>
      <c r="M142" s="161">
        <f t="shared" si="624"/>
        <v>0.19889633974321674</v>
      </c>
      <c r="N142" s="161">
        <f t="shared" si="624"/>
        <v>0.16428292488377488</v>
      </c>
      <c r="O142" s="161">
        <f t="shared" si="624"/>
        <v>0.24062903799249047</v>
      </c>
      <c r="P142" s="161">
        <f t="shared" si="624"/>
        <v>0.246326835075698</v>
      </c>
      <c r="Q142" s="161">
        <f t="shared" si="624"/>
        <v>0.22690007428462408</v>
      </c>
      <c r="R142" s="161">
        <f t="shared" si="624"/>
        <v>0.18244860909985963</v>
      </c>
      <c r="S142" s="161">
        <f t="shared" si="624"/>
        <v>0.1723268602289505</v>
      </c>
      <c r="T142" s="161">
        <f t="shared" si="624"/>
        <v>0.20606490715110998</v>
      </c>
      <c r="U142" s="161">
        <f t="shared" si="624"/>
        <v>0.19492322901959758</v>
      </c>
      <c r="V142" s="161">
        <f t="shared" si="624"/>
        <v>0.16939999706566125</v>
      </c>
      <c r="W142" s="161">
        <f t="shared" si="624"/>
        <v>0.1788933990190506</v>
      </c>
      <c r="X142" s="161">
        <f t="shared" si="624"/>
        <v>0.16944782070367989</v>
      </c>
      <c r="Y142" s="161">
        <f t="shared" si="624"/>
        <v>0.17966374935305901</v>
      </c>
      <c r="Z142" s="161">
        <f t="shared" si="624"/>
        <v>0.15947172583950822</v>
      </c>
      <c r="AA142" s="161">
        <f t="shared" si="624"/>
        <v>0.15615240207418149</v>
      </c>
      <c r="AB142" s="161">
        <f t="shared" si="624"/>
        <v>0.1649705313180736</v>
      </c>
      <c r="AC142" s="161">
        <f t="shared" si="624"/>
        <v>0.14443294007401036</v>
      </c>
      <c r="AD142" s="161">
        <f t="shared" si="624"/>
        <v>0.11500199292036246</v>
      </c>
      <c r="AE142" s="161">
        <f t="shared" si="624"/>
        <v>0.1250628214708201</v>
      </c>
      <c r="AF142" s="161">
        <f t="shared" si="624"/>
        <v>0.12981392370172398</v>
      </c>
      <c r="AG142" s="161">
        <f t="shared" si="624"/>
        <v>0.13747719915378975</v>
      </c>
      <c r="AH142" s="161">
        <f t="shared" si="624"/>
        <v>0.14737384771515866</v>
      </c>
      <c r="AI142" s="161">
        <f t="shared" si="624"/>
        <v>0.15244153790048376</v>
      </c>
      <c r="AJ142" s="161">
        <f t="shared" si="624"/>
        <v>0.14051386995373549</v>
      </c>
      <c r="AK142" s="161">
        <f t="shared" si="624"/>
        <v>0.11214180710881534</v>
      </c>
      <c r="AL142" s="161">
        <f t="shared" si="624"/>
        <v>0.12227142150970387</v>
      </c>
      <c r="AM142" s="161">
        <f t="shared" si="624"/>
        <v>0.13202940254301207</v>
      </c>
      <c r="AN142" s="161">
        <f t="shared" si="624"/>
        <v>0.13504847730285821</v>
      </c>
      <c r="AO142" s="161">
        <f t="shared" si="624"/>
        <v>0.13715561322589223</v>
      </c>
      <c r="AP142" s="161">
        <f t="shared" si="624"/>
        <v>0.12031020387512058</v>
      </c>
      <c r="AQ142" s="161">
        <f t="shared" si="624"/>
        <v>0.10559924419647396</v>
      </c>
      <c r="AR142" s="161">
        <f t="shared" si="624"/>
        <v>0.11601644956440652</v>
      </c>
      <c r="AS142" s="161">
        <f t="shared" si="624"/>
        <v>0.12137826309744267</v>
      </c>
      <c r="AT142" s="161">
        <f t="shared" si="624"/>
        <v>0.12992976858447267</v>
      </c>
      <c r="AU142" s="161">
        <f t="shared" si="624"/>
        <v>0.16067407811183465</v>
      </c>
      <c r="AV142" s="161">
        <f t="shared" si="624"/>
        <v>0.15488384318866305</v>
      </c>
      <c r="AW142" s="161">
        <f t="shared" si="624"/>
        <v>0.14361741783124246</v>
      </c>
      <c r="AX142" s="161">
        <f t="shared" si="624"/>
        <v>0.16455908820364004</v>
      </c>
      <c r="AY142" s="161">
        <f t="shared" si="624"/>
        <v>0.16454118364162026</v>
      </c>
      <c r="AZ142" s="161">
        <f t="shared" si="624"/>
        <v>0.16378862234938366</v>
      </c>
      <c r="BA142" s="161">
        <f t="shared" si="624"/>
        <v>0.17221539976600261</v>
      </c>
      <c r="BB142" s="161">
        <f t="shared" si="624"/>
        <v>0.15311999421026382</v>
      </c>
      <c r="BC142" s="161">
        <f t="shared" si="624"/>
        <v>0.15731535671945232</v>
      </c>
      <c r="BD142" s="161">
        <f t="shared" si="624"/>
        <v>0.16352205816404322</v>
      </c>
      <c r="BE142" s="161">
        <f t="shared" si="624"/>
        <v>0.15932656534029657</v>
      </c>
      <c r="BF142" s="161">
        <f t="shared" si="624"/>
        <v>0.15184492116453116</v>
      </c>
      <c r="BG142" s="161">
        <f t="shared" si="624"/>
        <v>0.15074436359818696</v>
      </c>
      <c r="BH142" s="161">
        <f t="shared" si="624"/>
        <v>0.15254403493726792</v>
      </c>
      <c r="BI142" s="161">
        <f t="shared" si="624"/>
        <v>0.1521620756525022</v>
      </c>
      <c r="BJ142" s="161">
        <f t="shared" si="624"/>
        <v>0.14809158657338461</v>
      </c>
      <c r="BK142" s="161">
        <f t="shared" si="624"/>
        <v>0.15988610768541162</v>
      </c>
      <c r="BL142" s="161">
        <f t="shared" si="624"/>
        <v>0.14500724978463939</v>
      </c>
      <c r="BM142" s="161">
        <f t="shared" si="624"/>
        <v>0.16889991279894895</v>
      </c>
      <c r="BN142" s="161">
        <f t="shared" si="624"/>
        <v>0.15622213192076362</v>
      </c>
      <c r="BO142" s="161">
        <f t="shared" si="624"/>
        <v>0.15828900195394141</v>
      </c>
      <c r="BP142" s="161">
        <f t="shared" ref="BP142:EJ142" si="625">BP141/BP74</f>
        <v>0.17513641210642358</v>
      </c>
      <c r="BQ142" s="161">
        <f t="shared" si="625"/>
        <v>0.16253367850945272</v>
      </c>
      <c r="BR142" s="161">
        <f t="shared" si="625"/>
        <v>0.16373840681025389</v>
      </c>
      <c r="BS142" s="161">
        <f t="shared" si="625"/>
        <v>0.15731069835334868</v>
      </c>
      <c r="BT142" s="161">
        <f t="shared" si="625"/>
        <v>0.14380623287765362</v>
      </c>
      <c r="BU142" s="161">
        <f t="shared" si="625"/>
        <v>0.16208843100534848</v>
      </c>
      <c r="BV142" s="161">
        <f t="shared" si="625"/>
        <v>0.16243905744367879</v>
      </c>
      <c r="BW142" s="161">
        <f t="shared" si="625"/>
        <v>0.16265898235743831</v>
      </c>
      <c r="BX142" s="161">
        <f t="shared" si="625"/>
        <v>0.16194321607309353</v>
      </c>
      <c r="BY142" s="161">
        <f t="shared" si="625"/>
        <v>0.16336700814106581</v>
      </c>
      <c r="BZ142" s="161">
        <f t="shared" si="625"/>
        <v>0.16455609047082825</v>
      </c>
      <c r="CA142" s="161">
        <f t="shared" si="625"/>
        <v>0.16212408105636014</v>
      </c>
      <c r="CB142" s="161">
        <f t="shared" si="625"/>
        <v>0.16320898089154026</v>
      </c>
      <c r="CC142" s="161">
        <f t="shared" si="625"/>
        <v>0.16148431909786981</v>
      </c>
      <c r="CD142" s="161">
        <f t="shared" si="625"/>
        <v>0.16135479707041755</v>
      </c>
      <c r="CE142" s="161">
        <f t="shared" si="625"/>
        <v>0.16225022614338927</v>
      </c>
      <c r="CF142" s="161">
        <f t="shared" si="625"/>
        <v>0.16096531548718365</v>
      </c>
      <c r="CG142" s="161">
        <f t="shared" si="625"/>
        <v>0.16060475212590664</v>
      </c>
      <c r="CH142" s="161">
        <f t="shared" si="625"/>
        <v>0.16095319323402466</v>
      </c>
      <c r="CI142" s="161">
        <f t="shared" si="625"/>
        <v>0.16113797797653653</v>
      </c>
      <c r="CJ142" s="161">
        <f t="shared" si="625"/>
        <v>0.16043372647642262</v>
      </c>
      <c r="CK142" s="161">
        <f t="shared" si="625"/>
        <v>0.16180447848481774</v>
      </c>
      <c r="CL142" s="161">
        <f t="shared" si="625"/>
        <v>0.16294202530203633</v>
      </c>
      <c r="CM142" s="161">
        <f t="shared" si="625"/>
        <v>0.16056152725758302</v>
      </c>
      <c r="CN142" s="161">
        <f t="shared" si="625"/>
        <v>0.1615850901121432</v>
      </c>
      <c r="CO142" s="161">
        <f t="shared" si="625"/>
        <v>0.15990284287306963</v>
      </c>
      <c r="CP142" s="161">
        <f t="shared" si="625"/>
        <v>0.15976067893807253</v>
      </c>
      <c r="CQ142" s="161">
        <f t="shared" si="625"/>
        <v>0.1605993669124009</v>
      </c>
      <c r="CR142" s="161">
        <f t="shared" si="625"/>
        <v>0.1593257180297879</v>
      </c>
      <c r="CS142" s="161">
        <f t="shared" ref="CS142:DD142" si="626">CS141/CS74</f>
        <v>0.15785421203429026</v>
      </c>
      <c r="CT142" s="161">
        <f t="shared" si="626"/>
        <v>0.15819683435994797</v>
      </c>
      <c r="CU142" s="161">
        <f t="shared" si="626"/>
        <v>0.15837713815722432</v>
      </c>
      <c r="CV142" s="161">
        <f t="shared" si="626"/>
        <v>0.15766000225801349</v>
      </c>
      <c r="CW142" s="161">
        <f t="shared" si="626"/>
        <v>0.15903410954824676</v>
      </c>
      <c r="CX142" s="161">
        <f t="shared" si="626"/>
        <v>0.16016874485413671</v>
      </c>
      <c r="CY142" s="161">
        <f t="shared" si="626"/>
        <v>0.15776657118263507</v>
      </c>
      <c r="CZ142" s="161">
        <f t="shared" si="626"/>
        <v>0.15879173253431159</v>
      </c>
      <c r="DA142" s="161">
        <f t="shared" si="626"/>
        <v>0.15709615934229224</v>
      </c>
      <c r="DB142" s="161">
        <f t="shared" si="626"/>
        <v>0.15695084990432007</v>
      </c>
      <c r="DC142" s="161">
        <f t="shared" si="626"/>
        <v>0.1577891793737404</v>
      </c>
      <c r="DD142" s="161">
        <f t="shared" si="626"/>
        <v>0.15650709722776326</v>
      </c>
      <c r="DF142" s="161">
        <f t="shared" si="625"/>
        <v>0.12225429861145054</v>
      </c>
      <c r="DG142" s="161">
        <f t="shared" si="625"/>
        <v>0.13102765876340602</v>
      </c>
      <c r="DH142" s="161">
        <f t="shared" si="625"/>
        <v>0.11358675404192167</v>
      </c>
      <c r="DI142" s="161">
        <f t="shared" si="625"/>
        <v>0.14837446649321698</v>
      </c>
      <c r="DJ142" s="161">
        <f t="shared" si="625"/>
        <v>0.15774625594719022</v>
      </c>
      <c r="DK142" s="161">
        <f t="shared" si="625"/>
        <v>0.16353801295420106</v>
      </c>
      <c r="DL142" s="161">
        <f t="shared" si="625"/>
        <v>0.15999055051212677</v>
      </c>
      <c r="DM142" s="161">
        <f t="shared" si="625"/>
        <v>0.15177522794103726</v>
      </c>
      <c r="DN142" s="161">
        <f t="shared" si="625"/>
        <v>0.15341934211044994</v>
      </c>
      <c r="DO142" s="161">
        <f t="shared" si="625"/>
        <v>0.1560298189397448</v>
      </c>
      <c r="DP142" s="161">
        <f t="shared" si="625"/>
        <v>0.16486624774880917</v>
      </c>
      <c r="DQ142" s="161">
        <f t="shared" si="625"/>
        <v>0.1543485216146484</v>
      </c>
      <c r="DR142" s="161">
        <f t="shared" si="625"/>
        <v>0.16239315872944118</v>
      </c>
      <c r="DS142" s="161">
        <f t="shared" si="625"/>
        <v>0.16320642991661033</v>
      </c>
      <c r="DT142" s="161">
        <f t="shared" si="625"/>
        <v>0.16222294432676845</v>
      </c>
      <c r="DU142" s="161">
        <f t="shared" si="625"/>
        <v>0.16149138482257816</v>
      </c>
      <c r="DV142" s="161">
        <f t="shared" si="625"/>
        <v>0.16089624916991302</v>
      </c>
      <c r="DW142" s="161">
        <f t="shared" si="625"/>
        <v>0.16164573831030585</v>
      </c>
      <c r="DX142" s="161">
        <f t="shared" si="625"/>
        <v>0.16063553229436417</v>
      </c>
      <c r="DY142" s="161">
        <f t="shared" si="625"/>
        <v>0.1598653300111674</v>
      </c>
      <c r="DZ142" s="161">
        <f t="shared" si="625"/>
        <v>0.15814023453252654</v>
      </c>
      <c r="EA142" s="161">
        <f t="shared" si="625"/>
        <v>0.15887208893615179</v>
      </c>
      <c r="EB142" s="161">
        <f t="shared" si="625"/>
        <v>0.15783672102831042</v>
      </c>
      <c r="EC142" s="161">
        <f t="shared" si="625"/>
        <v>0.15705220028037312</v>
      </c>
      <c r="ED142" s="805"/>
      <c r="EE142" s="161">
        <f t="shared" si="625"/>
        <v>0.12758204432666148</v>
      </c>
      <c r="EF142" s="161">
        <f t="shared" si="625"/>
        <v>0.15768297053886399</v>
      </c>
      <c r="EG142" s="161">
        <f t="shared" si="625"/>
        <v>0.15728524442634936</v>
      </c>
      <c r="EH142" s="161">
        <f t="shared" si="625"/>
        <v>0.1622718463724433</v>
      </c>
      <c r="EI142" s="161">
        <f t="shared" si="625"/>
        <v>0.16070663178860017</v>
      </c>
      <c r="EJ142" s="161">
        <f t="shared" si="625"/>
        <v>0.15792014663446993</v>
      </c>
    </row>
    <row r="143" spans="2:140" x14ac:dyDescent="0.2">
      <c r="B143" s="2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E143" s="10"/>
      <c r="EF143" s="10"/>
      <c r="EG143" s="10"/>
      <c r="EH143" s="10"/>
      <c r="EI143" s="10"/>
      <c r="EJ143" s="812"/>
    </row>
    <row r="144" spans="2:140" x14ac:dyDescent="0.2">
      <c r="B144" s="196" t="s">
        <v>40</v>
      </c>
      <c r="C144" s="182">
        <f>C145+C151+C152+C153+C154</f>
        <v>2240857.6542378473</v>
      </c>
      <c r="D144" s="182">
        <f t="shared" ref="D144:BH144" si="627">D145+D151+D152+D153+D154</f>
        <v>2026974.0666548617</v>
      </c>
      <c r="E144" s="182">
        <f t="shared" si="627"/>
        <v>2542869.6639973726</v>
      </c>
      <c r="F144" s="182">
        <f t="shared" si="627"/>
        <v>2908084.9770540576</v>
      </c>
      <c r="G144" s="182">
        <f t="shared" si="627"/>
        <v>3384986.5566213136</v>
      </c>
      <c r="H144" s="182">
        <f t="shared" si="627"/>
        <v>3364116.5159450411</v>
      </c>
      <c r="I144" s="182">
        <f t="shared" si="627"/>
        <v>3717117.6155816047</v>
      </c>
      <c r="J144" s="182">
        <f t="shared" si="627"/>
        <v>4908050.1886630198</v>
      </c>
      <c r="K144" s="182">
        <f t="shared" si="627"/>
        <v>4842073.2599463137</v>
      </c>
      <c r="L144" s="182">
        <f t="shared" si="627"/>
        <v>6641417.4618483</v>
      </c>
      <c r="M144" s="182">
        <f t="shared" si="627"/>
        <v>6612852.0581770092</v>
      </c>
      <c r="N144" s="182">
        <f t="shared" si="627"/>
        <v>5545336.1756640477</v>
      </c>
      <c r="O144" s="182">
        <f t="shared" si="627"/>
        <v>5270055.9035946708</v>
      </c>
      <c r="P144" s="182">
        <f t="shared" si="627"/>
        <v>7377320.2604247704</v>
      </c>
      <c r="Q144" s="182">
        <f t="shared" si="627"/>
        <v>8680718.3092520908</v>
      </c>
      <c r="R144" s="182">
        <f t="shared" si="627"/>
        <v>9629785.936139008</v>
      </c>
      <c r="S144" s="182">
        <f t="shared" si="627"/>
        <v>11863484.177410636</v>
      </c>
      <c r="T144" s="182">
        <f t="shared" si="627"/>
        <v>12348057.611215478</v>
      </c>
      <c r="U144" s="182">
        <f t="shared" si="627"/>
        <v>14391969.399825849</v>
      </c>
      <c r="V144" s="182">
        <f t="shared" si="627"/>
        <v>14759884.939914452</v>
      </c>
      <c r="W144" s="182">
        <f t="shared" si="627"/>
        <v>14935202.552889163</v>
      </c>
      <c r="X144" s="182">
        <f t="shared" si="627"/>
        <v>17799684.492935322</v>
      </c>
      <c r="Y144" s="182">
        <f t="shared" si="627"/>
        <v>19610690.272478756</v>
      </c>
      <c r="Z144" s="182">
        <f t="shared" si="627"/>
        <v>21244563.026379734</v>
      </c>
      <c r="AA144" s="182">
        <f t="shared" si="627"/>
        <v>23229509.807284642</v>
      </c>
      <c r="AB144" s="182">
        <f t="shared" si="627"/>
        <v>24816362.479508013</v>
      </c>
      <c r="AC144" s="182">
        <f t="shared" si="627"/>
        <v>26907890.428686913</v>
      </c>
      <c r="AD144" s="182">
        <f t="shared" si="627"/>
        <v>29746651.765964255</v>
      </c>
      <c r="AE144" s="182">
        <f t="shared" si="627"/>
        <v>30556467.124027137</v>
      </c>
      <c r="AF144" s="182">
        <f t="shared" si="627"/>
        <v>32798455.232446641</v>
      </c>
      <c r="AG144" s="182">
        <f t="shared" si="627"/>
        <v>34694674.393159673</v>
      </c>
      <c r="AH144" s="182">
        <f t="shared" si="627"/>
        <v>37118709.539926551</v>
      </c>
      <c r="AI144" s="182">
        <f t="shared" si="627"/>
        <v>36327612.646911405</v>
      </c>
      <c r="AJ144" s="182">
        <f t="shared" si="627"/>
        <v>37820340.524484076</v>
      </c>
      <c r="AK144" s="182">
        <f t="shared" si="627"/>
        <v>33560306.691862762</v>
      </c>
      <c r="AL144" s="182">
        <f t="shared" si="627"/>
        <v>33655615.960677192</v>
      </c>
      <c r="AM144" s="182">
        <f t="shared" si="627"/>
        <v>35748681.393111899</v>
      </c>
      <c r="AN144" s="182">
        <f t="shared" si="627"/>
        <v>33786521.461260311</v>
      </c>
      <c r="AO144" s="182">
        <f t="shared" si="627"/>
        <v>33970855.458380029</v>
      </c>
      <c r="AP144" s="182">
        <f t="shared" si="627"/>
        <v>33101736.530795939</v>
      </c>
      <c r="AQ144" s="182">
        <f t="shared" si="627"/>
        <v>34341692.610197678</v>
      </c>
      <c r="AR144" s="182">
        <f t="shared" si="627"/>
        <v>34232569.838750847</v>
      </c>
      <c r="AS144" s="182">
        <f t="shared" si="627"/>
        <v>34191824.531565472</v>
      </c>
      <c r="AT144" s="182">
        <f t="shared" si="627"/>
        <v>32962902.358826149</v>
      </c>
      <c r="AU144" s="182">
        <f t="shared" si="627"/>
        <v>29788910.115486175</v>
      </c>
      <c r="AV144" s="182">
        <f t="shared" si="627"/>
        <v>30664863.381744709</v>
      </c>
      <c r="AW144" s="182">
        <f t="shared" si="627"/>
        <v>32045639.979822855</v>
      </c>
      <c r="AX144" s="182">
        <f t="shared" si="627"/>
        <v>33515458.603414487</v>
      </c>
      <c r="AY144" s="182">
        <f t="shared" si="627"/>
        <v>33219453.584623754</v>
      </c>
      <c r="AZ144" s="182">
        <f t="shared" si="627"/>
        <v>33045637.937754031</v>
      </c>
      <c r="BA144" s="182">
        <f t="shared" si="627"/>
        <v>33611559.959715486</v>
      </c>
      <c r="BB144" s="182">
        <f t="shared" si="627"/>
        <v>32433756.637189232</v>
      </c>
      <c r="BC144" s="182">
        <f t="shared" si="627"/>
        <v>36029268.106399246</v>
      </c>
      <c r="BD144" s="182">
        <f t="shared" si="627"/>
        <v>35527611.814851917</v>
      </c>
      <c r="BE144" s="182">
        <f t="shared" si="627"/>
        <v>37900266.066264279</v>
      </c>
      <c r="BF144" s="182">
        <f t="shared" si="627"/>
        <v>38274074.065776885</v>
      </c>
      <c r="BG144" s="182">
        <f t="shared" si="627"/>
        <v>39322574.427611209</v>
      </c>
      <c r="BH144" s="182">
        <f t="shared" si="627"/>
        <v>43267332.325832881</v>
      </c>
      <c r="BI144" s="182">
        <f t="shared" ref="BI144:CQ144" si="628">BI145+BI151+BI152+BI153+BI154+BI155</f>
        <v>47962244.60201177</v>
      </c>
      <c r="BJ144" s="182">
        <f t="shared" si="628"/>
        <v>46057774.51841072</v>
      </c>
      <c r="BK144" s="182">
        <f t="shared" si="628"/>
        <v>48840036.618858472</v>
      </c>
      <c r="BL144" s="182">
        <f t="shared" si="628"/>
        <v>51448249.383244634</v>
      </c>
      <c r="BM144" s="182">
        <f t="shared" si="628"/>
        <v>53609488.703580223</v>
      </c>
      <c r="BN144" s="182">
        <f t="shared" si="628"/>
        <v>54207743.121416062</v>
      </c>
      <c r="BO144" s="182">
        <f t="shared" si="628"/>
        <v>60210748.088856228</v>
      </c>
      <c r="BP144" s="182">
        <f t="shared" si="628"/>
        <v>59330591.007734768</v>
      </c>
      <c r="BQ144" s="182">
        <f t="shared" si="628"/>
        <v>65092466.588443428</v>
      </c>
      <c r="BR144" s="182">
        <f t="shared" si="628"/>
        <v>68768645.506294087</v>
      </c>
      <c r="BS144" s="182">
        <f t="shared" si="628"/>
        <v>67264783.034790546</v>
      </c>
      <c r="BT144" s="182">
        <f t="shared" si="628"/>
        <v>71904841.624702245</v>
      </c>
      <c r="BU144" s="182">
        <f t="shared" si="628"/>
        <v>76224518.000075042</v>
      </c>
      <c r="BV144" s="182">
        <f t="shared" si="628"/>
        <v>76104859.377995327</v>
      </c>
      <c r="BW144" s="182">
        <f t="shared" si="628"/>
        <v>76093057.994871482</v>
      </c>
      <c r="BX144" s="182">
        <f t="shared" si="628"/>
        <v>76561227.394100368</v>
      </c>
      <c r="BY144" s="182">
        <f t="shared" si="628"/>
        <v>75909359.17545113</v>
      </c>
      <c r="BZ144" s="182">
        <f t="shared" si="628"/>
        <v>75519037.446900547</v>
      </c>
      <c r="CA144" s="182">
        <f t="shared" si="628"/>
        <v>76776589.133052588</v>
      </c>
      <c r="CB144" s="182">
        <f t="shared" si="628"/>
        <v>76275831.899133563</v>
      </c>
      <c r="CC144" s="182">
        <f t="shared" si="628"/>
        <v>77381810.315207094</v>
      </c>
      <c r="CD144" s="182">
        <f t="shared" si="628"/>
        <v>77552240.434369639</v>
      </c>
      <c r="CE144" s="182">
        <f t="shared" si="628"/>
        <v>77053887.585893705</v>
      </c>
      <c r="CF144" s="182">
        <f t="shared" si="628"/>
        <v>78133145.663230464</v>
      </c>
      <c r="CG144" s="182">
        <f t="shared" si="628"/>
        <v>85036697.165398851</v>
      </c>
      <c r="CH144" s="182">
        <f t="shared" si="628"/>
        <v>84907707.588255599</v>
      </c>
      <c r="CI144" s="182">
        <f t="shared" si="628"/>
        <v>84857216.162822932</v>
      </c>
      <c r="CJ144" s="182">
        <f t="shared" si="628"/>
        <v>85424350.058253229</v>
      </c>
      <c r="CK144" s="182">
        <f t="shared" si="628"/>
        <v>84615229.307143822</v>
      </c>
      <c r="CL144" s="182">
        <f t="shared" si="628"/>
        <v>84125401.32433258</v>
      </c>
      <c r="CM144" s="182">
        <f t="shared" si="628"/>
        <v>85628313.035900012</v>
      </c>
      <c r="CN144" s="182">
        <f t="shared" si="628"/>
        <v>84985027.354280815</v>
      </c>
      <c r="CO144" s="182">
        <f t="shared" si="628"/>
        <v>86288461.670241043</v>
      </c>
      <c r="CP144" s="182">
        <f t="shared" si="628"/>
        <v>86457673.79527694</v>
      </c>
      <c r="CQ144" s="182">
        <f t="shared" si="628"/>
        <v>85823023.273423687</v>
      </c>
      <c r="CR144" s="182">
        <f>CR145+CR151+CR152+CR153+CR154+CR155</f>
        <v>87006926.821238428</v>
      </c>
      <c r="CS144" s="182">
        <f t="shared" ref="CS144:DD144" si="629">CS145+CS151+CS152+CS153+CS154+CS155</f>
        <v>94458439.016395465</v>
      </c>
      <c r="CT144" s="182">
        <f t="shared" si="629"/>
        <v>94303559.990975231</v>
      </c>
      <c r="CU144" s="182">
        <f t="shared" si="629"/>
        <v>94241069.469128177</v>
      </c>
      <c r="CV144" s="182">
        <f t="shared" si="629"/>
        <v>94883407.929390445</v>
      </c>
      <c r="CW144" s="182">
        <f t="shared" si="629"/>
        <v>93953459.108168498</v>
      </c>
      <c r="CX144" s="182">
        <f t="shared" si="629"/>
        <v>93386872.426486924</v>
      </c>
      <c r="CY144" s="182">
        <f t="shared" si="629"/>
        <v>95095807.302563339</v>
      </c>
      <c r="CZ144" s="182">
        <f t="shared" si="629"/>
        <v>94358964.831136778</v>
      </c>
      <c r="DA144" s="182">
        <f t="shared" si="629"/>
        <v>95839387.633785471</v>
      </c>
      <c r="DB144" s="182">
        <f t="shared" si="629"/>
        <v>96029201.631009176</v>
      </c>
      <c r="DC144" s="182">
        <f t="shared" si="629"/>
        <v>95302582.570658997</v>
      </c>
      <c r="DD144" s="182">
        <f t="shared" si="629"/>
        <v>96645429.857233405</v>
      </c>
      <c r="DF144" s="182">
        <f t="shared" ref="DF144:DF148" si="630">SUM(AK144:AM144)</f>
        <v>102964604.04565185</v>
      </c>
      <c r="DG144" s="182">
        <f t="shared" ref="DG144:DG148" si="631">SUM(AN144:AP144)</f>
        <v>100859113.45043626</v>
      </c>
      <c r="DH144" s="182">
        <f t="shared" ref="DH144:DH148" si="632">SUM(AQ144:AS144)</f>
        <v>102766086.980514</v>
      </c>
      <c r="DI144" s="182">
        <f t="shared" ref="DI144:DI148" si="633">SUM(AT144:AV144)</f>
        <v>93416675.856057033</v>
      </c>
      <c r="DJ144" s="182">
        <f t="shared" ref="DJ144:DJ148" si="634">SUM(AW144:AY144)</f>
        <v>98780552.167861104</v>
      </c>
      <c r="DK144" s="182">
        <f t="shared" ref="DK144:DK148" si="635">SUM(AZ144:BB144)</f>
        <v>99090954.53465876</v>
      </c>
      <c r="DL144" s="182">
        <f t="shared" ref="DL144:DL148" si="636">SUM(BC144:BE144)</f>
        <v>109457145.98751545</v>
      </c>
      <c r="DM144" s="182">
        <f t="shared" ref="DM144:DM148" si="637">SUM(BF144:BH144)</f>
        <v>120863980.81922096</v>
      </c>
      <c r="DN144" s="182">
        <f t="shared" ref="DN144:DN148" si="638">SUM(BI144:BK144)</f>
        <v>142860055.73928094</v>
      </c>
      <c r="DO144" s="182">
        <f t="shared" ref="DO144:DO148" si="639">SUM(BL144:BN144)</f>
        <v>159265481.20824093</v>
      </c>
      <c r="DP144" s="182">
        <f t="shared" ref="DP144:DP148" si="640">SUM(BO144:BQ144)</f>
        <v>184633805.68503442</v>
      </c>
      <c r="DQ144" s="182">
        <f t="shared" ref="DQ144:DQ148" si="641">SUM(BR144:BT144)</f>
        <v>207938270.16578689</v>
      </c>
      <c r="DR144" s="182">
        <f t="shared" ref="DR144:DR148" si="642">SUM(BU144:BW144)</f>
        <v>228422435.37294185</v>
      </c>
      <c r="DS144" s="182">
        <f t="shared" ref="DS144:DS148" si="643">SUM(BX144:BZ144)</f>
        <v>227989624.01645204</v>
      </c>
      <c r="DT144" s="182">
        <f t="shared" ref="DT144:DT148" si="644">SUM(CA144:CC144)</f>
        <v>230434231.34739324</v>
      </c>
      <c r="DU144" s="182">
        <f t="shared" ref="DU144:DU148" si="645">SUM(CD144:CF144)</f>
        <v>232739273.68349379</v>
      </c>
      <c r="DV144" s="182">
        <f t="shared" ref="DV144:DV148" si="646">SUM(CG144:CI144)</f>
        <v>254801620.91647738</v>
      </c>
      <c r="DW144" s="182">
        <f t="shared" ref="DW144:DW148" si="647">SUM(CJ144:CL144)</f>
        <v>254164980.68972963</v>
      </c>
      <c r="DX144" s="182">
        <f t="shared" ref="DX144:DX148" si="648">SUM(CM144:CO144)</f>
        <v>256901802.06042188</v>
      </c>
      <c r="DY144" s="182">
        <f t="shared" ref="DY144:DY148" si="649">SUM(CP144:CR144)</f>
        <v>259287623.88993904</v>
      </c>
      <c r="DZ144" s="182">
        <f t="shared" si="587"/>
        <v>283003068.4764989</v>
      </c>
      <c r="EA144" s="182">
        <f t="shared" si="588"/>
        <v>282223739.46404588</v>
      </c>
      <c r="EB144" s="182">
        <f t="shared" si="589"/>
        <v>285294159.76748562</v>
      </c>
      <c r="EC144" s="182">
        <f t="shared" si="590"/>
        <v>287977214.05890155</v>
      </c>
      <c r="EE144" s="182">
        <f>SUM(DF144:DI144)</f>
        <v>400006480.33265918</v>
      </c>
      <c r="EF144" s="182">
        <f>SUM(DJ144:DM144)</f>
        <v>428192633.5092563</v>
      </c>
      <c r="EG144" s="182">
        <f>SUM(DN144:DQ144)</f>
        <v>694697612.79834318</v>
      </c>
      <c r="EH144" s="182">
        <f>SUM(DR144:DU144)</f>
        <v>919585564.42028093</v>
      </c>
      <c r="EI144" s="182">
        <f>SUM(DV144:DY144)</f>
        <v>1025156027.5565679</v>
      </c>
      <c r="EJ144" s="816">
        <f t="shared" si="596"/>
        <v>1138498181.766932</v>
      </c>
    </row>
    <row r="145" spans="2:140" x14ac:dyDescent="0.2">
      <c r="B145" s="167" t="s">
        <v>205</v>
      </c>
      <c r="C145" s="165">
        <f>C146+C148</f>
        <v>1459440.69172155</v>
      </c>
      <c r="D145" s="165">
        <f t="shared" ref="D145:BO145" si="650">D146+D148</f>
        <v>1154468.1180595239</v>
      </c>
      <c r="E145" s="165">
        <f t="shared" si="650"/>
        <v>1480572.4041696934</v>
      </c>
      <c r="F145" s="165">
        <f t="shared" si="650"/>
        <v>1599600.8019357345</v>
      </c>
      <c r="G145" s="165">
        <f t="shared" si="650"/>
        <v>1968448.7982676551</v>
      </c>
      <c r="H145" s="165">
        <f t="shared" si="650"/>
        <v>1928938.7359336156</v>
      </c>
      <c r="I145" s="165">
        <f t="shared" si="650"/>
        <v>2081674.136440678</v>
      </c>
      <c r="J145" s="165">
        <f t="shared" si="650"/>
        <v>3012470.829381356</v>
      </c>
      <c r="K145" s="165">
        <f t="shared" si="650"/>
        <v>3020909.2157051284</v>
      </c>
      <c r="L145" s="165">
        <f t="shared" si="650"/>
        <v>3736276.1211945354</v>
      </c>
      <c r="M145" s="165">
        <f t="shared" si="650"/>
        <v>4180313.1862489097</v>
      </c>
      <c r="N145" s="165">
        <f t="shared" si="650"/>
        <v>3479608.7495833328</v>
      </c>
      <c r="O145" s="165">
        <f t="shared" si="650"/>
        <v>2801849.5717121903</v>
      </c>
      <c r="P145" s="165">
        <f t="shared" si="650"/>
        <v>4614539.1653273106</v>
      </c>
      <c r="Q145" s="165">
        <f t="shared" si="650"/>
        <v>5296853.8591817673</v>
      </c>
      <c r="R145" s="165">
        <f t="shared" si="650"/>
        <v>5964889.1656991001</v>
      </c>
      <c r="S145" s="165">
        <f t="shared" si="650"/>
        <v>7523289.3854709901</v>
      </c>
      <c r="T145" s="165">
        <f t="shared" si="650"/>
        <v>7835700.5988495238</v>
      </c>
      <c r="U145" s="165">
        <f t="shared" si="650"/>
        <v>8839654.7849659938</v>
      </c>
      <c r="V145" s="165">
        <f t="shared" si="650"/>
        <v>9327022.7896481864</v>
      </c>
      <c r="W145" s="165">
        <f t="shared" si="650"/>
        <v>9673779.3780528568</v>
      </c>
      <c r="X145" s="165">
        <f t="shared" si="650"/>
        <v>11805409.654940408</v>
      </c>
      <c r="Y145" s="165">
        <f t="shared" si="650"/>
        <v>13791080.42110729</v>
      </c>
      <c r="Z145" s="165">
        <f t="shared" si="650"/>
        <v>12510007.830302035</v>
      </c>
      <c r="AA145" s="165">
        <f t="shared" si="650"/>
        <v>13791765.745985441</v>
      </c>
      <c r="AB145" s="165">
        <f t="shared" si="650"/>
        <v>15194193.084295228</v>
      </c>
      <c r="AC145" s="165">
        <f t="shared" si="650"/>
        <v>16321891.061915472</v>
      </c>
      <c r="AD145" s="165">
        <f t="shared" si="650"/>
        <v>17354464.555894181</v>
      </c>
      <c r="AE145" s="165">
        <f t="shared" si="650"/>
        <v>18325302.115055513</v>
      </c>
      <c r="AF145" s="165">
        <f t="shared" si="650"/>
        <v>18147264.688244235</v>
      </c>
      <c r="AG145" s="165">
        <f t="shared" si="650"/>
        <v>19057744.868145369</v>
      </c>
      <c r="AH145" s="165">
        <f t="shared" si="650"/>
        <v>20644418.078184493</v>
      </c>
      <c r="AI145" s="165">
        <f t="shared" si="650"/>
        <v>21932382.987490226</v>
      </c>
      <c r="AJ145" s="165">
        <f t="shared" si="650"/>
        <v>22488692.214595832</v>
      </c>
      <c r="AK145" s="165">
        <f t="shared" si="650"/>
        <v>21541047.936010804</v>
      </c>
      <c r="AL145" s="165">
        <f t="shared" si="650"/>
        <v>21246819.361235246</v>
      </c>
      <c r="AM145" s="165">
        <f t="shared" si="650"/>
        <v>21361178.582725372</v>
      </c>
      <c r="AN145" s="165">
        <f t="shared" si="650"/>
        <v>20924648.241706219</v>
      </c>
      <c r="AO145" s="165">
        <f t="shared" si="650"/>
        <v>19673523.736174874</v>
      </c>
      <c r="AP145" s="165">
        <f t="shared" si="650"/>
        <v>19821939.054981522</v>
      </c>
      <c r="AQ145" s="165">
        <f t="shared" si="650"/>
        <v>21344528.708096717</v>
      </c>
      <c r="AR145" s="165">
        <f t="shared" si="650"/>
        <v>19711090.034517206</v>
      </c>
      <c r="AS145" s="165">
        <f t="shared" si="650"/>
        <v>19278073.331518285</v>
      </c>
      <c r="AT145" s="165">
        <f t="shared" si="650"/>
        <v>16976127.006800406</v>
      </c>
      <c r="AU145" s="165">
        <f t="shared" si="650"/>
        <v>16752938.704511404</v>
      </c>
      <c r="AV145" s="165">
        <f t="shared" si="650"/>
        <v>17196874.038323492</v>
      </c>
      <c r="AW145" s="165">
        <f t="shared" si="650"/>
        <v>19322721.650203995</v>
      </c>
      <c r="AX145" s="165">
        <f t="shared" si="650"/>
        <v>20196260.339408364</v>
      </c>
      <c r="AY145" s="165">
        <f t="shared" si="650"/>
        <v>20446467.470890082</v>
      </c>
      <c r="AZ145" s="165">
        <f t="shared" si="650"/>
        <v>20467429.117867108</v>
      </c>
      <c r="BA145" s="165">
        <f t="shared" si="650"/>
        <v>20144389.106440678</v>
      </c>
      <c r="BB145" s="165">
        <f t="shared" si="650"/>
        <v>18661506.053744838</v>
      </c>
      <c r="BC145" s="165">
        <f t="shared" si="650"/>
        <v>22279103.657154363</v>
      </c>
      <c r="BD145" s="165">
        <f t="shared" si="650"/>
        <v>23448325.737646632</v>
      </c>
      <c r="BE145" s="165">
        <f t="shared" si="650"/>
        <v>23337887.378435697</v>
      </c>
      <c r="BF145" s="165">
        <f t="shared" si="650"/>
        <v>23491831.785250138</v>
      </c>
      <c r="BG145" s="165">
        <f t="shared" si="650"/>
        <v>24281095.406158134</v>
      </c>
      <c r="BH145" s="165">
        <f t="shared" si="650"/>
        <v>27489355.314313743</v>
      </c>
      <c r="BI145" s="165">
        <f t="shared" si="650"/>
        <v>31095875.74977307</v>
      </c>
      <c r="BJ145" s="165">
        <f t="shared" si="650"/>
        <v>30859620.116371527</v>
      </c>
      <c r="BK145" s="165">
        <f t="shared" si="650"/>
        <v>30755932.78321293</v>
      </c>
      <c r="BL145" s="165">
        <f t="shared" si="650"/>
        <v>32050466.840055082</v>
      </c>
      <c r="BM145" s="165">
        <f t="shared" si="650"/>
        <v>33498093.314590022</v>
      </c>
      <c r="BN145" s="165">
        <f t="shared" si="650"/>
        <v>32382937.675164543</v>
      </c>
      <c r="BO145" s="165">
        <f t="shared" si="650"/>
        <v>32855128.479595669</v>
      </c>
      <c r="BP145" s="165">
        <f t="shared" ref="BP145:CR145" si="651">BP146+BP148</f>
        <v>35838426.923145674</v>
      </c>
      <c r="BQ145" s="165">
        <f t="shared" si="651"/>
        <v>35414957.202505291</v>
      </c>
      <c r="BR145" s="165">
        <f t="shared" si="651"/>
        <v>40711997.49362608</v>
      </c>
      <c r="BS145" s="165">
        <f t="shared" si="651"/>
        <v>41607560.769335561</v>
      </c>
      <c r="BT145" s="165">
        <f t="shared" si="651"/>
        <v>40098668.912980206</v>
      </c>
      <c r="BU145" s="165">
        <f t="shared" si="651"/>
        <v>47637218.668620497</v>
      </c>
      <c r="BV145" s="165">
        <f t="shared" si="651"/>
        <v>47637218.668620497</v>
      </c>
      <c r="BW145" s="165">
        <f t="shared" si="651"/>
        <v>47637218.668620497</v>
      </c>
      <c r="BX145" s="165">
        <f t="shared" si="651"/>
        <v>47637218.668620497</v>
      </c>
      <c r="BY145" s="165">
        <f t="shared" si="651"/>
        <v>47637218.668620497</v>
      </c>
      <c r="BZ145" s="165">
        <f t="shared" si="651"/>
        <v>47637218.668620497</v>
      </c>
      <c r="CA145" s="165">
        <f t="shared" si="651"/>
        <v>47637218.668620497</v>
      </c>
      <c r="CB145" s="165">
        <f t="shared" si="651"/>
        <v>47637218.668620497</v>
      </c>
      <c r="CC145" s="165">
        <f t="shared" si="651"/>
        <v>47637218.668620497</v>
      </c>
      <c r="CD145" s="165">
        <f t="shared" si="651"/>
        <v>47637218.668620497</v>
      </c>
      <c r="CE145" s="165">
        <f t="shared" si="651"/>
        <v>47637218.668620497</v>
      </c>
      <c r="CF145" s="165">
        <f t="shared" si="651"/>
        <v>47637218.668620497</v>
      </c>
      <c r="CG145" s="165">
        <f t="shared" si="651"/>
        <v>54020605.970215641</v>
      </c>
      <c r="CH145" s="165">
        <f t="shared" si="651"/>
        <v>54020605.970215641</v>
      </c>
      <c r="CI145" s="165">
        <f t="shared" si="651"/>
        <v>54020605.970215641</v>
      </c>
      <c r="CJ145" s="165">
        <f t="shared" si="651"/>
        <v>54020605.970215641</v>
      </c>
      <c r="CK145" s="165">
        <f t="shared" si="651"/>
        <v>54020605.970215641</v>
      </c>
      <c r="CL145" s="165">
        <f t="shared" si="651"/>
        <v>54020605.970215641</v>
      </c>
      <c r="CM145" s="165">
        <f t="shared" si="651"/>
        <v>54020605.970215641</v>
      </c>
      <c r="CN145" s="165">
        <f t="shared" si="651"/>
        <v>54020605.970215641</v>
      </c>
      <c r="CO145" s="165">
        <f t="shared" si="651"/>
        <v>54020605.970215641</v>
      </c>
      <c r="CP145" s="165">
        <f t="shared" si="651"/>
        <v>54020605.970215641</v>
      </c>
      <c r="CQ145" s="165">
        <f t="shared" si="651"/>
        <v>54020605.970215641</v>
      </c>
      <c r="CR145" s="165">
        <f t="shared" si="651"/>
        <v>54020605.970215641</v>
      </c>
      <c r="CS145" s="165">
        <f t="shared" ref="CS145:DD145" si="652">CS146+CS148</f>
        <v>61259367.170224547</v>
      </c>
      <c r="CT145" s="165">
        <f t="shared" si="652"/>
        <v>61259367.170224547</v>
      </c>
      <c r="CU145" s="165">
        <f t="shared" si="652"/>
        <v>61259367.170224547</v>
      </c>
      <c r="CV145" s="165">
        <f t="shared" si="652"/>
        <v>61259367.170224547</v>
      </c>
      <c r="CW145" s="165">
        <f t="shared" si="652"/>
        <v>61259367.170224547</v>
      </c>
      <c r="CX145" s="165">
        <f t="shared" si="652"/>
        <v>61259367.170224547</v>
      </c>
      <c r="CY145" s="165">
        <f t="shared" si="652"/>
        <v>61259367.170224547</v>
      </c>
      <c r="CZ145" s="165">
        <f t="shared" si="652"/>
        <v>61259367.170224547</v>
      </c>
      <c r="DA145" s="165">
        <f t="shared" si="652"/>
        <v>61259367.170224547</v>
      </c>
      <c r="DB145" s="165">
        <f t="shared" si="652"/>
        <v>61259367.170224547</v>
      </c>
      <c r="DC145" s="165">
        <f t="shared" si="652"/>
        <v>61259367.170224547</v>
      </c>
      <c r="DD145" s="165">
        <f t="shared" si="652"/>
        <v>61259367.170224547</v>
      </c>
      <c r="DF145" s="165">
        <f t="shared" si="630"/>
        <v>64149045.87997143</v>
      </c>
      <c r="DG145" s="165">
        <f t="shared" si="631"/>
        <v>60420111.032862611</v>
      </c>
      <c r="DH145" s="165">
        <f t="shared" si="632"/>
        <v>60333692.074132212</v>
      </c>
      <c r="DI145" s="165">
        <f t="shared" si="633"/>
        <v>50925939.749635302</v>
      </c>
      <c r="DJ145" s="165">
        <f t="shared" si="634"/>
        <v>59965449.460502438</v>
      </c>
      <c r="DK145" s="165">
        <f t="shared" si="635"/>
        <v>59273324.278052628</v>
      </c>
      <c r="DL145" s="165">
        <f t="shared" si="636"/>
        <v>69065316.773236692</v>
      </c>
      <c r="DM145" s="165">
        <f t="shared" si="637"/>
        <v>75262282.505722016</v>
      </c>
      <c r="DN145" s="165">
        <f t="shared" si="638"/>
        <v>92711428.649357527</v>
      </c>
      <c r="DO145" s="165">
        <f t="shared" si="639"/>
        <v>97931497.829809636</v>
      </c>
      <c r="DP145" s="165">
        <f t="shared" si="640"/>
        <v>104108512.60524663</v>
      </c>
      <c r="DQ145" s="165">
        <f t="shared" si="641"/>
        <v>122418227.17594185</v>
      </c>
      <c r="DR145" s="165">
        <f t="shared" si="642"/>
        <v>142911656.00586149</v>
      </c>
      <c r="DS145" s="165">
        <f t="shared" si="643"/>
        <v>142911656.00586149</v>
      </c>
      <c r="DT145" s="165">
        <f t="shared" si="644"/>
        <v>142911656.00586149</v>
      </c>
      <c r="DU145" s="165">
        <f t="shared" si="645"/>
        <v>142911656.00586149</v>
      </c>
      <c r="DV145" s="165">
        <f t="shared" si="646"/>
        <v>162061817.91064692</v>
      </c>
      <c r="DW145" s="165">
        <f t="shared" si="647"/>
        <v>162061817.91064692</v>
      </c>
      <c r="DX145" s="165">
        <f t="shared" si="648"/>
        <v>162061817.91064692</v>
      </c>
      <c r="DY145" s="165">
        <f t="shared" si="649"/>
        <v>162061817.91064692</v>
      </c>
      <c r="DZ145" s="165">
        <f t="shared" si="587"/>
        <v>183778101.51067364</v>
      </c>
      <c r="EA145" s="165">
        <f t="shared" si="588"/>
        <v>183778101.51067364</v>
      </c>
      <c r="EB145" s="165">
        <f t="shared" si="589"/>
        <v>183778101.51067364</v>
      </c>
      <c r="EC145" s="165">
        <f t="shared" si="590"/>
        <v>183778101.51067364</v>
      </c>
      <c r="EE145" s="165">
        <f>SUM(DF145:DI145)</f>
        <v>235828788.73660156</v>
      </c>
      <c r="EF145" s="165">
        <f>SUM(DJ145:DM145)</f>
        <v>263566373.01751378</v>
      </c>
      <c r="EG145" s="165">
        <f>SUM(DN145:DQ145)</f>
        <v>417169666.26035559</v>
      </c>
      <c r="EH145" s="165">
        <f>SUM(DR145:DU145)</f>
        <v>571646624.02344596</v>
      </c>
      <c r="EI145" s="165">
        <f>SUM(DV145:DY145)</f>
        <v>648247271.64258766</v>
      </c>
      <c r="EJ145" s="804">
        <f t="shared" si="596"/>
        <v>735112406.04269457</v>
      </c>
    </row>
    <row r="146" spans="2:140" x14ac:dyDescent="0.2">
      <c r="B146" s="9" t="s">
        <v>188</v>
      </c>
      <c r="C146" s="19">
        <f>'P&amp;L - Inputs'!AB562</f>
        <v>1287299.44172155</v>
      </c>
      <c r="D146" s="19">
        <f>'P&amp;L - Inputs'!AC562</f>
        <v>1017326.8680595239</v>
      </c>
      <c r="E146" s="19">
        <f>'P&amp;L - Inputs'!AD562</f>
        <v>1310940.9041696934</v>
      </c>
      <c r="F146" s="19">
        <f>'P&amp;L - Inputs'!AE562</f>
        <v>1428469.3019357345</v>
      </c>
      <c r="G146" s="19">
        <f>'P&amp;L - Inputs'!AF562</f>
        <v>1831317.2982676551</v>
      </c>
      <c r="H146" s="19">
        <f>'P&amp;L - Inputs'!AG562</f>
        <v>1771807.2359336156</v>
      </c>
      <c r="I146" s="19">
        <f>'P&amp;L - Inputs'!AH562</f>
        <v>1914542.636440678</v>
      </c>
      <c r="J146" s="19">
        <f>'P&amp;L - Inputs'!AI562</f>
        <v>2753835.329381356</v>
      </c>
      <c r="K146" s="19">
        <f>'P&amp;L - Inputs'!AJ562</f>
        <v>2809237.8310897439</v>
      </c>
      <c r="L146" s="19">
        <f>'P&amp;L - Inputs'!AK562</f>
        <v>3534604.7365791509</v>
      </c>
      <c r="M146" s="19">
        <f>'P&amp;L - Inputs'!AL562</f>
        <v>3961565.1883001919</v>
      </c>
      <c r="N146" s="19">
        <f>'P&amp;L - Inputs'!AM562</f>
        <v>3300860.751634615</v>
      </c>
      <c r="O146" s="19">
        <f>'P&amp;L - Inputs'!AN562</f>
        <v>2605226.7739686007</v>
      </c>
      <c r="P146" s="19">
        <f>'P&amp;L - Inputs'!AO562</f>
        <v>3696521.6968016699</v>
      </c>
      <c r="Q146" s="19">
        <f>'P&amp;L - Inputs'!AP562</f>
        <v>4259575.3906561267</v>
      </c>
      <c r="R146" s="19">
        <f>'P&amp;L - Inputs'!AQ562</f>
        <v>4912939.1489683297</v>
      </c>
      <c r="S146" s="19">
        <f>'P&amp;L - Inputs'!AR562</f>
        <v>6323019.2484838106</v>
      </c>
      <c r="T146" s="19">
        <f>'P&amp;L - Inputs'!AS562</f>
        <v>6698186.2450033696</v>
      </c>
      <c r="U146" s="19">
        <f>'P&amp;L - Inputs'!AT562</f>
        <v>7406278.0069531733</v>
      </c>
      <c r="V146" s="19">
        <f>'P&amp;L - Inputs'!AU562</f>
        <v>7776530.9413789557</v>
      </c>
      <c r="W146" s="19">
        <f>'P&amp;L - Inputs'!AV562</f>
        <v>8052589.4003605498</v>
      </c>
      <c r="X146" s="19">
        <f>'P&amp;L - Inputs'!AW562</f>
        <v>9591170.4880173281</v>
      </c>
      <c r="Y146" s="19">
        <f>'P&amp;L - Inputs'!AX562</f>
        <v>11209056.441363702</v>
      </c>
      <c r="Z146" s="19">
        <f>'P&amp;L - Inputs'!AY562</f>
        <v>9672472.9147892147</v>
      </c>
      <c r="AA146" s="19">
        <f>'P&amp;L - Inputs'!AZ562</f>
        <v>10772475.409382878</v>
      </c>
      <c r="AB146" s="19">
        <f>'P&amp;L - Inputs'!BA562</f>
        <v>11819681.876025997</v>
      </c>
      <c r="AC146" s="19">
        <f>'P&amp;L - Inputs'!BB562</f>
        <v>12917130.837107779</v>
      </c>
      <c r="AD146" s="19">
        <f>'P&amp;L - Inputs'!BC562</f>
        <v>13055575.692368541</v>
      </c>
      <c r="AE146" s="19">
        <f>'P&amp;L - Inputs'!BD562</f>
        <v>14127373.687749889</v>
      </c>
      <c r="AF146" s="19">
        <f>'P&amp;L - Inputs'!BE562</f>
        <v>13604803.373821158</v>
      </c>
      <c r="AG146" s="19">
        <f>'P&amp;L - Inputs'!BF562</f>
        <v>14580672.490773574</v>
      </c>
      <c r="AH146" s="19">
        <f>'P&amp;L - Inputs'!BG562</f>
        <v>15844457.805171674</v>
      </c>
      <c r="AI146" s="19">
        <f>'P&amp;L - Inputs'!BH562</f>
        <v>17122526.945310738</v>
      </c>
      <c r="AJ146" s="19">
        <f>'P&amp;L - Inputs'!BI562</f>
        <v>16463976.234980445</v>
      </c>
      <c r="AK146" s="19">
        <f>'P&amp;L - Inputs'!BJ562</f>
        <v>16443898.26985395</v>
      </c>
      <c r="AL146" s="19">
        <f>'P&amp;L - Inputs'!BK562</f>
        <v>15593216.541990658</v>
      </c>
      <c r="AM146" s="19">
        <f>'P&amp;L - Inputs'!BL562</f>
        <v>15577146.180013314</v>
      </c>
      <c r="AN146" s="19">
        <f>'P&amp;L - Inputs'!BM562</f>
        <v>15307494.709433783</v>
      </c>
      <c r="AO146" s="19">
        <f>'P&amp;L - Inputs'!BN562</f>
        <v>14458085.219610773</v>
      </c>
      <c r="AP146" s="19">
        <f>'P&amp;L - Inputs'!BO562</f>
        <v>14828018.104234731</v>
      </c>
      <c r="AQ146" s="19">
        <f>'P&amp;L - Inputs'!BP562</f>
        <v>16453575.064215306</v>
      </c>
      <c r="AR146" s="19">
        <f>'P&amp;L - Inputs'!BQ562</f>
        <v>15055742.145398621</v>
      </c>
      <c r="AS146" s="19">
        <f>'P&amp;L - Inputs'!BR562</f>
        <v>14587915.06539401</v>
      </c>
      <c r="AT146" s="19">
        <f>'P&amp;L - Inputs'!BS562</f>
        <v>12694701.707854895</v>
      </c>
      <c r="AU146" s="19">
        <f>'P&amp;L - Inputs'!BT562</f>
        <v>12510331.769017816</v>
      </c>
      <c r="AV146" s="19">
        <f>'P&amp;L - Inputs'!BU562</f>
        <v>12708764.495390803</v>
      </c>
      <c r="AW146" s="19">
        <f>'P&amp;L - Inputs'!BV562</f>
        <v>14210589.110309768</v>
      </c>
      <c r="AX146" s="19">
        <f>'P&amp;L - Inputs'!BW562</f>
        <v>14676911.078328231</v>
      </c>
      <c r="AY146" s="19">
        <f>'P&amp;L - Inputs'!BX562</f>
        <v>14168556.428069565</v>
      </c>
      <c r="AZ146" s="19">
        <f>'P&amp;L - Inputs'!BY562</f>
        <v>14084571.353783779</v>
      </c>
      <c r="BA146" s="19">
        <f>'P&amp;L - Inputs'!BZ562</f>
        <v>14110927.714488756</v>
      </c>
      <c r="BB146" s="19">
        <f>'P&amp;L - Inputs'!CA562</f>
        <v>12988870.345879456</v>
      </c>
      <c r="BC146" s="19">
        <f>'P&amp;L - Inputs'!CB562</f>
        <v>15314329.105806144</v>
      </c>
      <c r="BD146" s="19">
        <f>'P&amp;L - Inputs'!CC562</f>
        <v>16455233.375787662</v>
      </c>
      <c r="BE146" s="19">
        <f>'P&amp;L - Inputs'!CD562</f>
        <v>16268910.181944797</v>
      </c>
      <c r="BF146" s="19">
        <f>'P&amp;L - Inputs'!CE562</f>
        <v>15979579.089336159</v>
      </c>
      <c r="BG146" s="19">
        <f>'P&amp;L - Inputs'!CF562</f>
        <v>16673475.090581216</v>
      </c>
      <c r="BH146" s="19">
        <f>'P&amp;L - Inputs'!CG562</f>
        <v>18652744.719322015</v>
      </c>
      <c r="BI146" s="19">
        <f>'P&amp;L - Inputs'!CH562</f>
        <v>19320363.541061539</v>
      </c>
      <c r="BJ146" s="19">
        <f>'P&amp;L - Inputs'!CI562</f>
        <v>19090199.519858718</v>
      </c>
      <c r="BK146" s="19">
        <f>'P&amp;L - Inputs'!CJ562</f>
        <v>18865375.205853976</v>
      </c>
      <c r="BL146" s="19">
        <f>'P&amp;L - Inputs'!CK562</f>
        <v>20220791.751189701</v>
      </c>
      <c r="BM146" s="19">
        <f>'P&amp;L - Inputs'!CL562</f>
        <v>21051588.260915913</v>
      </c>
      <c r="BN146" s="19">
        <f>'P&amp;L - Inputs'!CM562</f>
        <v>19672841.673972197</v>
      </c>
      <c r="BO146" s="19">
        <f>'P&amp;L - Inputs'!CN562</f>
        <v>20757605.186007179</v>
      </c>
      <c r="BP146" s="19">
        <f>'P&amp;L - Inputs'!CO562</f>
        <v>22353605.914257884</v>
      </c>
      <c r="BQ146" s="19">
        <f>'P&amp;L - Inputs'!CP562</f>
        <v>22013295.787854195</v>
      </c>
      <c r="BR146" s="19">
        <f>'P&amp;L - Inputs'!CQ562</f>
        <v>25850254.117052365</v>
      </c>
      <c r="BS146" s="19">
        <f>'P&amp;L - Inputs'!CR562</f>
        <v>26499989.443673387</v>
      </c>
      <c r="BT146" s="19">
        <f>'P&amp;L - Inputs'!CS562</f>
        <v>24825117.836274438</v>
      </c>
      <c r="BU146" s="19">
        <f>'P&amp;L - Inputs'!CT562</f>
        <v>29492239.989494037</v>
      </c>
      <c r="BV146" s="19">
        <f>'P&amp;L - Inputs'!CU562</f>
        <v>29492239.989494037</v>
      </c>
      <c r="BW146" s="19">
        <f>'P&amp;L - Inputs'!CV562</f>
        <v>29492239.989494037</v>
      </c>
      <c r="BX146" s="19">
        <f>'P&amp;L - Inputs'!CW562</f>
        <v>29492239.989494037</v>
      </c>
      <c r="BY146" s="19">
        <f>'P&amp;L - Inputs'!CX562</f>
        <v>29492239.989494037</v>
      </c>
      <c r="BZ146" s="19">
        <f>'P&amp;L - Inputs'!CY562</f>
        <v>29492239.989494037</v>
      </c>
      <c r="CA146" s="19">
        <f>'P&amp;L - Inputs'!CZ562</f>
        <v>29492239.989494037</v>
      </c>
      <c r="CB146" s="19">
        <f>'P&amp;L - Inputs'!DA562</f>
        <v>29492239.989494037</v>
      </c>
      <c r="CC146" s="19">
        <f>'P&amp;L - Inputs'!DB562</f>
        <v>29492239.989494037</v>
      </c>
      <c r="CD146" s="19">
        <f>'P&amp;L - Inputs'!DC562</f>
        <v>29492239.989494037</v>
      </c>
      <c r="CE146" s="19">
        <f>'P&amp;L - Inputs'!DD562</f>
        <v>29492239.989494037</v>
      </c>
      <c r="CF146" s="19">
        <f>'P&amp;L - Inputs'!DE562</f>
        <v>29492239.989494037</v>
      </c>
      <c r="CG146" s="19">
        <f>'P&amp;L - Inputs'!DF562</f>
        <v>33444200.148086239</v>
      </c>
      <c r="CH146" s="19">
        <f>'P&amp;L - Inputs'!DG562</f>
        <v>33444200.148086239</v>
      </c>
      <c r="CI146" s="19">
        <f>'P&amp;L - Inputs'!DH562</f>
        <v>33444200.148086239</v>
      </c>
      <c r="CJ146" s="19">
        <f>'P&amp;L - Inputs'!DI562</f>
        <v>33444200.148086239</v>
      </c>
      <c r="CK146" s="19">
        <f>'P&amp;L - Inputs'!DJ562</f>
        <v>33444200.148086239</v>
      </c>
      <c r="CL146" s="19">
        <f>'P&amp;L - Inputs'!DK562</f>
        <v>33444200.148086239</v>
      </c>
      <c r="CM146" s="19">
        <f>'P&amp;L - Inputs'!DL562</f>
        <v>33444200.148086239</v>
      </c>
      <c r="CN146" s="19">
        <f>'P&amp;L - Inputs'!DM562</f>
        <v>33444200.148086239</v>
      </c>
      <c r="CO146" s="19">
        <f>'P&amp;L - Inputs'!DN562</f>
        <v>33444200.148086239</v>
      </c>
      <c r="CP146" s="19">
        <f>'P&amp;L - Inputs'!DO562</f>
        <v>33444200.148086239</v>
      </c>
      <c r="CQ146" s="19">
        <f>'P&amp;L - Inputs'!DP562</f>
        <v>33444200.148086239</v>
      </c>
      <c r="CR146" s="19">
        <f>'P&amp;L - Inputs'!DQ562</f>
        <v>33444200.148086239</v>
      </c>
      <c r="CS146" s="19">
        <f>'P&amp;L - Inputs'!DR562</f>
        <v>37925722.967929803</v>
      </c>
      <c r="CT146" s="19">
        <f>'P&amp;L - Inputs'!DS562</f>
        <v>37925722.967929803</v>
      </c>
      <c r="CU146" s="19">
        <f>'P&amp;L - Inputs'!DT562</f>
        <v>37925722.967929803</v>
      </c>
      <c r="CV146" s="19">
        <f>'P&amp;L - Inputs'!DU562</f>
        <v>37925722.967929803</v>
      </c>
      <c r="CW146" s="19">
        <f>'P&amp;L - Inputs'!DV562</f>
        <v>37925722.967929803</v>
      </c>
      <c r="CX146" s="19">
        <f>'P&amp;L - Inputs'!DW562</f>
        <v>37925722.967929803</v>
      </c>
      <c r="CY146" s="19">
        <f>'P&amp;L - Inputs'!DX562</f>
        <v>37925722.967929803</v>
      </c>
      <c r="CZ146" s="19">
        <f>'P&amp;L - Inputs'!DY562</f>
        <v>37925722.967929803</v>
      </c>
      <c r="DA146" s="19">
        <f>'P&amp;L - Inputs'!DZ562</f>
        <v>37925722.967929803</v>
      </c>
      <c r="DB146" s="19">
        <f>'P&amp;L - Inputs'!EA562</f>
        <v>37925722.967929803</v>
      </c>
      <c r="DC146" s="19">
        <f>'P&amp;L - Inputs'!EB562</f>
        <v>37925722.967929803</v>
      </c>
      <c r="DD146" s="19">
        <f>'P&amp;L - Inputs'!EC562</f>
        <v>37925722.967929803</v>
      </c>
      <c r="DF146" s="19">
        <f t="shared" si="630"/>
        <v>47614260.991857924</v>
      </c>
      <c r="DG146" s="19">
        <f t="shared" si="631"/>
        <v>44593598.033279285</v>
      </c>
      <c r="DH146" s="19">
        <f t="shared" si="632"/>
        <v>46097232.275007933</v>
      </c>
      <c r="DI146" s="19">
        <f t="shared" si="633"/>
        <v>37913797.972263515</v>
      </c>
      <c r="DJ146" s="19">
        <f t="shared" si="634"/>
        <v>43056056.616707563</v>
      </c>
      <c r="DK146" s="19">
        <f t="shared" si="635"/>
        <v>41184369.414151989</v>
      </c>
      <c r="DL146" s="19">
        <f t="shared" si="636"/>
        <v>48038472.663538605</v>
      </c>
      <c r="DM146" s="19">
        <f t="shared" si="637"/>
        <v>51305798.899239391</v>
      </c>
      <c r="DN146" s="19">
        <f t="shared" si="638"/>
        <v>57275938.26677423</v>
      </c>
      <c r="DO146" s="19">
        <f t="shared" si="639"/>
        <v>60945221.686077811</v>
      </c>
      <c r="DP146" s="19">
        <f t="shared" si="640"/>
        <v>65124506.888119258</v>
      </c>
      <c r="DQ146" s="19">
        <f t="shared" si="641"/>
        <v>77175361.397000194</v>
      </c>
      <c r="DR146" s="19">
        <f t="shared" si="642"/>
        <v>88476719.968482107</v>
      </c>
      <c r="DS146" s="19">
        <f t="shared" si="643"/>
        <v>88476719.968482107</v>
      </c>
      <c r="DT146" s="19">
        <f t="shared" si="644"/>
        <v>88476719.968482107</v>
      </c>
      <c r="DU146" s="19">
        <f t="shared" si="645"/>
        <v>88476719.968482107</v>
      </c>
      <c r="DV146" s="19">
        <f t="shared" si="646"/>
        <v>100332600.44425872</v>
      </c>
      <c r="DW146" s="19">
        <f t="shared" si="647"/>
        <v>100332600.44425872</v>
      </c>
      <c r="DX146" s="19">
        <f t="shared" si="648"/>
        <v>100332600.44425872</v>
      </c>
      <c r="DY146" s="19">
        <f t="shared" si="649"/>
        <v>100332600.44425872</v>
      </c>
      <c r="DZ146" s="19">
        <f t="shared" si="587"/>
        <v>113777168.9037894</v>
      </c>
      <c r="EA146" s="19">
        <f t="shared" si="588"/>
        <v>113777168.9037894</v>
      </c>
      <c r="EB146" s="19">
        <f t="shared" si="589"/>
        <v>113777168.9037894</v>
      </c>
      <c r="EC146" s="19">
        <f t="shared" si="590"/>
        <v>113777168.9037894</v>
      </c>
      <c r="EE146" s="19">
        <f>SUM(DF146:DI146)</f>
        <v>176218889.27240866</v>
      </c>
      <c r="EF146" s="19">
        <f>SUM(DJ146:DM146)</f>
        <v>183584697.59363756</v>
      </c>
      <c r="EG146" s="19">
        <f>SUM(DN146:DQ146)</f>
        <v>260521028.23797148</v>
      </c>
      <c r="EH146" s="19">
        <f>SUM(DR146:DU146)</f>
        <v>353906879.87392843</v>
      </c>
      <c r="EI146" s="19">
        <f>SUM(DV146:DY146)</f>
        <v>401330401.77703488</v>
      </c>
      <c r="EJ146" s="770">
        <f t="shared" si="596"/>
        <v>455108675.6151576</v>
      </c>
    </row>
    <row r="147" spans="2:140" x14ac:dyDescent="0.2">
      <c r="B147" s="13" t="s">
        <v>45</v>
      </c>
      <c r="C147" s="19">
        <f>'P&amp;L - Inputs'!AB563</f>
        <v>41</v>
      </c>
      <c r="D147" s="19">
        <f>'P&amp;L - Inputs'!AC563</f>
        <v>45</v>
      </c>
      <c r="E147" s="19">
        <f>'P&amp;L - Inputs'!AD563</f>
        <v>52</v>
      </c>
      <c r="F147" s="19">
        <f>'P&amp;L - Inputs'!AE563</f>
        <v>52</v>
      </c>
      <c r="G147" s="19">
        <f>'P&amp;L - Inputs'!AF563</f>
        <v>63</v>
      </c>
      <c r="H147" s="19">
        <f>'P&amp;L - Inputs'!AG563</f>
        <v>62</v>
      </c>
      <c r="I147" s="19">
        <f>'P&amp;L - Inputs'!AH563</f>
        <v>62</v>
      </c>
      <c r="J147" s="19">
        <f>'P&amp;L - Inputs'!AI563</f>
        <v>58</v>
      </c>
      <c r="K147" s="19">
        <f>'P&amp;L - Inputs'!AJ563</f>
        <v>68</v>
      </c>
      <c r="L147" s="19">
        <f>'P&amp;L - Inputs'!AK563</f>
        <v>106</v>
      </c>
      <c r="M147" s="19">
        <f>'P&amp;L - Inputs'!AL563</f>
        <v>103</v>
      </c>
      <c r="N147" s="19">
        <f>'P&amp;L - Inputs'!AM563</f>
        <v>101</v>
      </c>
      <c r="O147" s="19">
        <f>'P&amp;L - Inputs'!AN563</f>
        <v>99</v>
      </c>
      <c r="P147" s="19">
        <f>'P&amp;L - Inputs'!AO563</f>
        <v>119</v>
      </c>
      <c r="Q147" s="19">
        <f>'P&amp;L - Inputs'!AP563</f>
        <v>129</v>
      </c>
      <c r="R147" s="19">
        <f>'P&amp;L - Inputs'!AQ563</f>
        <v>168</v>
      </c>
      <c r="S147" s="19">
        <f>'P&amp;L - Inputs'!AR563</f>
        <v>196</v>
      </c>
      <c r="T147" s="19">
        <f>'P&amp;L - Inputs'!AS563</f>
        <v>200</v>
      </c>
      <c r="U147" s="19">
        <f>'P&amp;L - Inputs'!AT563</f>
        <v>217</v>
      </c>
      <c r="V147" s="19">
        <f>'P&amp;L - Inputs'!AU563</f>
        <v>228</v>
      </c>
      <c r="W147" s="19">
        <f>'P&amp;L - Inputs'!AV563</f>
        <v>239</v>
      </c>
      <c r="X147" s="19">
        <f>'P&amp;L - Inputs'!AW563</f>
        <v>263</v>
      </c>
      <c r="Y147" s="19">
        <f>'P&amp;L - Inputs'!AX563</f>
        <v>337</v>
      </c>
      <c r="Z147" s="19">
        <f>'P&amp;L - Inputs'!AY563</f>
        <v>278</v>
      </c>
      <c r="AA147" s="19">
        <f>'P&amp;L - Inputs'!AZ563</f>
        <v>421</v>
      </c>
      <c r="AB147" s="19">
        <f>'P&amp;L - Inputs'!BA563</f>
        <v>457</v>
      </c>
      <c r="AC147" s="19">
        <f>'P&amp;L - Inputs'!BB563</f>
        <v>479</v>
      </c>
      <c r="AD147" s="19">
        <f>'P&amp;L - Inputs'!BC563</f>
        <v>505</v>
      </c>
      <c r="AE147" s="19">
        <f>'P&amp;L - Inputs'!BD563</f>
        <v>503</v>
      </c>
      <c r="AF147" s="19">
        <f>'P&amp;L - Inputs'!BE563</f>
        <v>540</v>
      </c>
      <c r="AG147" s="19">
        <f>'P&amp;L - Inputs'!BF563</f>
        <v>582</v>
      </c>
      <c r="AH147" s="19">
        <f>'P&amp;L - Inputs'!BG563</f>
        <v>602</v>
      </c>
      <c r="AI147" s="19">
        <f>'P&amp;L - Inputs'!BH563</f>
        <v>596</v>
      </c>
      <c r="AJ147" s="19">
        <f>'P&amp;L - Inputs'!BI563</f>
        <v>586</v>
      </c>
      <c r="AK147" s="19">
        <f>'P&amp;L - Inputs'!BJ563</f>
        <v>600</v>
      </c>
      <c r="AL147" s="19">
        <f>'P&amp;L - Inputs'!BK563</f>
        <v>585</v>
      </c>
      <c r="AM147" s="19">
        <f>'P&amp;L - Inputs'!BL563</f>
        <v>583</v>
      </c>
      <c r="AN147" s="19">
        <f>'P&amp;L - Inputs'!BM563</f>
        <v>582</v>
      </c>
      <c r="AO147" s="19">
        <f>'P&amp;L - Inputs'!BN563</f>
        <v>570</v>
      </c>
      <c r="AP147" s="19">
        <f>'P&amp;L - Inputs'!BO563</f>
        <v>570</v>
      </c>
      <c r="AQ147" s="19">
        <f>'P&amp;L - Inputs'!BP563</f>
        <v>566</v>
      </c>
      <c r="AR147" s="19">
        <f>'P&amp;L - Inputs'!BQ563</f>
        <v>572</v>
      </c>
      <c r="AS147" s="19">
        <f>'P&amp;L - Inputs'!BR563</f>
        <v>571</v>
      </c>
      <c r="AT147" s="19">
        <f>'P&amp;L - Inputs'!BS563</f>
        <v>526</v>
      </c>
      <c r="AU147" s="19">
        <f>'P&amp;L - Inputs'!BT563</f>
        <v>526</v>
      </c>
      <c r="AV147" s="19">
        <f>'P&amp;L - Inputs'!BU563</f>
        <v>523</v>
      </c>
      <c r="AW147" s="19">
        <f>'P&amp;L - Inputs'!BV563</f>
        <v>531</v>
      </c>
      <c r="AX147" s="19">
        <f>'P&amp;L - Inputs'!BW563</f>
        <v>548</v>
      </c>
      <c r="AY147" s="19">
        <f>'P&amp;L - Inputs'!BX563</f>
        <v>545</v>
      </c>
      <c r="AZ147" s="19">
        <f>'P&amp;L - Inputs'!BY563</f>
        <v>555</v>
      </c>
      <c r="BA147" s="19">
        <f>'P&amp;L - Inputs'!BZ563</f>
        <v>533</v>
      </c>
      <c r="BB147" s="19">
        <f>'P&amp;L - Inputs'!CA563</f>
        <v>535</v>
      </c>
      <c r="BC147" s="19">
        <f>'P&amp;L - Inputs'!CB563</f>
        <v>537</v>
      </c>
      <c r="BD147" s="19">
        <f>'P&amp;L - Inputs'!CC563</f>
        <v>546</v>
      </c>
      <c r="BE147" s="19">
        <f>'P&amp;L - Inputs'!CD563</f>
        <v>538</v>
      </c>
      <c r="BF147" s="19">
        <f>'P&amp;L - Inputs'!CE563</f>
        <v>545</v>
      </c>
      <c r="BG147" s="19">
        <f>'P&amp;L - Inputs'!CF563</f>
        <v>549</v>
      </c>
      <c r="BH147" s="19">
        <f>'P&amp;L - Inputs'!CG563</f>
        <v>560</v>
      </c>
      <c r="BI147" s="19">
        <f>'P&amp;L - Inputs'!CH563</f>
        <v>576</v>
      </c>
      <c r="BJ147" s="19">
        <f>'P&amp;L - Inputs'!CI563</f>
        <v>580</v>
      </c>
      <c r="BK147" s="19">
        <f>'P&amp;L - Inputs'!CJ563</f>
        <v>608</v>
      </c>
      <c r="BL147" s="19">
        <f>'P&amp;L - Inputs'!CK563</f>
        <v>619</v>
      </c>
      <c r="BM147" s="19">
        <f>'P&amp;L - Inputs'!CL563</f>
        <v>642</v>
      </c>
      <c r="BN147" s="19">
        <f>'P&amp;L - Inputs'!CM563</f>
        <v>622</v>
      </c>
      <c r="BO147" s="19">
        <f>'P&amp;L - Inputs'!CN563</f>
        <v>647</v>
      </c>
      <c r="BP147" s="19">
        <f>'P&amp;L - Inputs'!CO563</f>
        <v>672</v>
      </c>
      <c r="BQ147" s="19">
        <f>'P&amp;L - Inputs'!CP563</f>
        <v>709</v>
      </c>
      <c r="BR147" s="19">
        <f>'P&amp;L - Inputs'!CQ563</f>
        <v>750</v>
      </c>
      <c r="BS147" s="19">
        <f>'P&amp;L - Inputs'!CR563</f>
        <v>776</v>
      </c>
      <c r="BT147" s="19">
        <f>'P&amp;L - Inputs'!CS563</f>
        <v>801</v>
      </c>
      <c r="BU147" s="19">
        <f>'P&amp;L - Inputs'!CT563</f>
        <v>881.1</v>
      </c>
      <c r="BV147" s="19">
        <f>'P&amp;L - Inputs'!CU563</f>
        <v>881.1</v>
      </c>
      <c r="BW147" s="19">
        <f>'P&amp;L - Inputs'!CV563</f>
        <v>881.1</v>
      </c>
      <c r="BX147" s="19">
        <f>'P&amp;L - Inputs'!CW563</f>
        <v>881.1</v>
      </c>
      <c r="BY147" s="19">
        <f>'P&amp;L - Inputs'!CX563</f>
        <v>881.1</v>
      </c>
      <c r="BZ147" s="19">
        <f>'P&amp;L - Inputs'!CY563</f>
        <v>881.1</v>
      </c>
      <c r="CA147" s="19">
        <f>'P&amp;L - Inputs'!CZ563</f>
        <v>881.1</v>
      </c>
      <c r="CB147" s="19">
        <f>'P&amp;L - Inputs'!DA563</f>
        <v>881.1</v>
      </c>
      <c r="CC147" s="19">
        <f>'P&amp;L - Inputs'!DB563</f>
        <v>881.1</v>
      </c>
      <c r="CD147" s="19">
        <f>'P&amp;L - Inputs'!DC563</f>
        <v>881.1</v>
      </c>
      <c r="CE147" s="19">
        <f>'P&amp;L - Inputs'!DD563</f>
        <v>881.1</v>
      </c>
      <c r="CF147" s="19">
        <f>'P&amp;L - Inputs'!DE563</f>
        <v>881.1</v>
      </c>
      <c r="CG147" s="19">
        <f>'P&amp;L - Inputs'!DF563</f>
        <v>925.15500000000009</v>
      </c>
      <c r="CH147" s="19">
        <f>'P&amp;L - Inputs'!DG563</f>
        <v>925.15500000000009</v>
      </c>
      <c r="CI147" s="19">
        <f>'P&amp;L - Inputs'!DH563</f>
        <v>925.15500000000009</v>
      </c>
      <c r="CJ147" s="19">
        <f>'P&amp;L - Inputs'!DI563</f>
        <v>925.15500000000009</v>
      </c>
      <c r="CK147" s="19">
        <f>'P&amp;L - Inputs'!DJ563</f>
        <v>925.15500000000009</v>
      </c>
      <c r="CL147" s="19">
        <f>'P&amp;L - Inputs'!DK563</f>
        <v>925.15500000000009</v>
      </c>
      <c r="CM147" s="19">
        <f>'P&amp;L - Inputs'!DL563</f>
        <v>925.15500000000009</v>
      </c>
      <c r="CN147" s="19">
        <f>'P&amp;L - Inputs'!DM563</f>
        <v>925.15500000000009</v>
      </c>
      <c r="CO147" s="19">
        <f>'P&amp;L - Inputs'!DN563</f>
        <v>925.15500000000009</v>
      </c>
      <c r="CP147" s="19">
        <f>'P&amp;L - Inputs'!DO563</f>
        <v>925.15500000000009</v>
      </c>
      <c r="CQ147" s="19">
        <f>'P&amp;L - Inputs'!DP563</f>
        <v>925.15500000000009</v>
      </c>
      <c r="CR147" s="19">
        <f>'P&amp;L - Inputs'!DQ563</f>
        <v>925.15500000000009</v>
      </c>
      <c r="CS147" s="19">
        <f>'P&amp;L - Inputs'!DR563</f>
        <v>971.41275000000019</v>
      </c>
      <c r="CT147" s="19">
        <f>'P&amp;L - Inputs'!DS563</f>
        <v>971.41275000000019</v>
      </c>
      <c r="CU147" s="19">
        <f>'P&amp;L - Inputs'!DT563</f>
        <v>971.41275000000019</v>
      </c>
      <c r="CV147" s="19">
        <f>'P&amp;L - Inputs'!DU563</f>
        <v>971.41275000000019</v>
      </c>
      <c r="CW147" s="19">
        <f>'P&amp;L - Inputs'!DV563</f>
        <v>971.41275000000019</v>
      </c>
      <c r="CX147" s="19">
        <f>'P&amp;L - Inputs'!DW563</f>
        <v>971.41275000000019</v>
      </c>
      <c r="CY147" s="19">
        <f>'P&amp;L - Inputs'!DX563</f>
        <v>971.41275000000019</v>
      </c>
      <c r="CZ147" s="19">
        <f>'P&amp;L - Inputs'!DY563</f>
        <v>971.41275000000019</v>
      </c>
      <c r="DA147" s="19">
        <f>'P&amp;L - Inputs'!DZ563</f>
        <v>971.41275000000019</v>
      </c>
      <c r="DB147" s="19">
        <f>'P&amp;L - Inputs'!EA563</f>
        <v>971.41275000000019</v>
      </c>
      <c r="DC147" s="19">
        <f>'P&amp;L - Inputs'!EB563</f>
        <v>971.41275000000019</v>
      </c>
      <c r="DD147" s="19">
        <f>'P&amp;L - Inputs'!EC563</f>
        <v>971.41275000000019</v>
      </c>
      <c r="DF147" s="19">
        <f t="shared" si="630"/>
        <v>1768</v>
      </c>
      <c r="DG147" s="19">
        <f t="shared" si="631"/>
        <v>1722</v>
      </c>
      <c r="DH147" s="19">
        <f t="shared" si="632"/>
        <v>1709</v>
      </c>
      <c r="DI147" s="19">
        <f t="shared" si="633"/>
        <v>1575</v>
      </c>
      <c r="DJ147" s="19">
        <f t="shared" si="634"/>
        <v>1624</v>
      </c>
      <c r="DK147" s="19">
        <f t="shared" si="635"/>
        <v>1623</v>
      </c>
      <c r="DL147" s="19">
        <f t="shared" si="636"/>
        <v>1621</v>
      </c>
      <c r="DM147" s="19">
        <f t="shared" si="637"/>
        <v>1654</v>
      </c>
      <c r="DN147" s="19">
        <f t="shared" si="638"/>
        <v>1764</v>
      </c>
      <c r="DO147" s="19">
        <f t="shared" si="639"/>
        <v>1883</v>
      </c>
      <c r="DP147" s="19">
        <f t="shared" si="640"/>
        <v>2028</v>
      </c>
      <c r="DQ147" s="19">
        <f t="shared" si="641"/>
        <v>2327</v>
      </c>
      <c r="DR147" s="19">
        <f t="shared" si="642"/>
        <v>2643.3</v>
      </c>
      <c r="DS147" s="19">
        <f t="shared" si="643"/>
        <v>2643.3</v>
      </c>
      <c r="DT147" s="19">
        <f t="shared" si="644"/>
        <v>2643.3</v>
      </c>
      <c r="DU147" s="19">
        <f t="shared" si="645"/>
        <v>2643.3</v>
      </c>
      <c r="DV147" s="19">
        <f t="shared" si="646"/>
        <v>2775.4650000000001</v>
      </c>
      <c r="DW147" s="19">
        <f t="shared" si="647"/>
        <v>2775.4650000000001</v>
      </c>
      <c r="DX147" s="19">
        <f t="shared" si="648"/>
        <v>2775.4650000000001</v>
      </c>
      <c r="DY147" s="19">
        <f t="shared" si="649"/>
        <v>2775.4650000000001</v>
      </c>
      <c r="DZ147" s="19">
        <f t="shared" si="587"/>
        <v>2914.2382500000003</v>
      </c>
      <c r="EA147" s="19">
        <f t="shared" si="588"/>
        <v>2914.2382500000003</v>
      </c>
      <c r="EB147" s="19">
        <f t="shared" si="589"/>
        <v>2914.2382500000003</v>
      </c>
      <c r="EC147" s="19">
        <f t="shared" si="590"/>
        <v>2914.2382500000003</v>
      </c>
      <c r="EE147" s="19">
        <f>SUM(DF147:DI147)</f>
        <v>6774</v>
      </c>
      <c r="EF147" s="19">
        <f>SUM(DJ147:DM147)</f>
        <v>6522</v>
      </c>
      <c r="EG147" s="19">
        <f>SUM(DN147:DQ147)</f>
        <v>8002</v>
      </c>
      <c r="EH147" s="19">
        <f>SUM(DR147:DU147)</f>
        <v>10573.2</v>
      </c>
      <c r="EI147" s="19">
        <f>SUM(DV147:DY147)</f>
        <v>11101.86</v>
      </c>
      <c r="EJ147" s="770">
        <f t="shared" si="596"/>
        <v>11656.953000000001</v>
      </c>
    </row>
    <row r="148" spans="2:140" x14ac:dyDescent="0.2">
      <c r="B148" s="9" t="s">
        <v>46</v>
      </c>
      <c r="C148" s="19">
        <f>'P&amp;L - Inputs'!AB564</f>
        <v>172141.25</v>
      </c>
      <c r="D148" s="19">
        <f>'P&amp;L - Inputs'!AC564</f>
        <v>137141.25</v>
      </c>
      <c r="E148" s="19">
        <f>'P&amp;L - Inputs'!AD564</f>
        <v>169631.5</v>
      </c>
      <c r="F148" s="19">
        <f>'P&amp;L - Inputs'!AE564</f>
        <v>171131.5</v>
      </c>
      <c r="G148" s="19">
        <f>'P&amp;L - Inputs'!AF564</f>
        <v>137131.5</v>
      </c>
      <c r="H148" s="19">
        <f>'P&amp;L - Inputs'!AG564</f>
        <v>157131.5</v>
      </c>
      <c r="I148" s="19">
        <f>'P&amp;L - Inputs'!AH564</f>
        <v>167131.5</v>
      </c>
      <c r="J148" s="19">
        <f>'P&amp;L - Inputs'!AI564</f>
        <v>258635.5</v>
      </c>
      <c r="K148" s="19">
        <f>'P&amp;L - Inputs'!AJ564</f>
        <v>211671.38461538462</v>
      </c>
      <c r="L148" s="19">
        <f>'P&amp;L - Inputs'!AK564</f>
        <v>201671.38461538462</v>
      </c>
      <c r="M148" s="19">
        <f>'P&amp;L - Inputs'!AL564</f>
        <v>218747.99794871797</v>
      </c>
      <c r="N148" s="19">
        <f>'P&amp;L - Inputs'!AM564</f>
        <v>178747.99794871794</v>
      </c>
      <c r="O148" s="19">
        <f>'P&amp;L - Inputs'!AN564</f>
        <v>196622.79774358982</v>
      </c>
      <c r="P148" s="19">
        <f>'P&amp;L - Inputs'!AO564</f>
        <v>918017.46852564102</v>
      </c>
      <c r="Q148" s="19">
        <f>'P&amp;L - Inputs'!AP564</f>
        <v>1037278.468525641</v>
      </c>
      <c r="R148" s="19">
        <f>'P&amp;L - Inputs'!AQ564</f>
        <v>1051950.01673077</v>
      </c>
      <c r="S148" s="19">
        <f>'P&amp;L - Inputs'!AR564</f>
        <v>1200270.1369871795</v>
      </c>
      <c r="T148" s="19">
        <f>'P&amp;L - Inputs'!AS564</f>
        <v>1137514.3538461539</v>
      </c>
      <c r="U148" s="19">
        <f>'P&amp;L - Inputs'!AT564</f>
        <v>1433376.7780128201</v>
      </c>
      <c r="V148" s="19">
        <f>'P&amp;L - Inputs'!AU564</f>
        <v>1550491.84826923</v>
      </c>
      <c r="W148" s="19">
        <f>'P&amp;L - Inputs'!AV564</f>
        <v>1621189.9776923077</v>
      </c>
      <c r="X148" s="19">
        <f>'P&amp;L - Inputs'!AW564</f>
        <v>2214239.1669230801</v>
      </c>
      <c r="Y148" s="19">
        <f>'P&amp;L - Inputs'!AX564</f>
        <v>2582023.9797435892</v>
      </c>
      <c r="Z148" s="19">
        <f>'P&amp;L - Inputs'!AY564</f>
        <v>2837534.9155128202</v>
      </c>
      <c r="AA148" s="19">
        <f>'P&amp;L - Inputs'!AZ564</f>
        <v>3019290.3366025635</v>
      </c>
      <c r="AB148" s="19">
        <f>'P&amp;L - Inputs'!BA564</f>
        <v>3374511.2082692306</v>
      </c>
      <c r="AC148" s="19">
        <f>'P&amp;L - Inputs'!BB564</f>
        <v>3404760.2248076927</v>
      </c>
      <c r="AD148" s="19">
        <f>'P&amp;L - Inputs'!BC564</f>
        <v>4298888.8635256393</v>
      </c>
      <c r="AE148" s="19">
        <f>'P&amp;L - Inputs'!BD564</f>
        <v>4197928.4273056248</v>
      </c>
      <c r="AF148" s="19">
        <f>'P&amp;L - Inputs'!BE564</f>
        <v>4542461.3144230759</v>
      </c>
      <c r="AG148" s="19">
        <f>'P&amp;L - Inputs'!BF564</f>
        <v>4477072.3773717936</v>
      </c>
      <c r="AH148" s="19">
        <f>'P&amp;L - Inputs'!BG564</f>
        <v>4799960.2730128206</v>
      </c>
      <c r="AI148" s="19">
        <f>'P&amp;L - Inputs'!BH564</f>
        <v>4809856.0421794876</v>
      </c>
      <c r="AJ148" s="19">
        <f>'P&amp;L - Inputs'!BI564</f>
        <v>6024715.9796153866</v>
      </c>
      <c r="AK148" s="19">
        <f>'P&amp;L - Inputs'!BJ564</f>
        <v>5097149.6661568535</v>
      </c>
      <c r="AL148" s="19">
        <f>'P&amp;L - Inputs'!BK564</f>
        <v>5653602.8192445878</v>
      </c>
      <c r="AM148" s="19">
        <f>'P&amp;L - Inputs'!BL564</f>
        <v>5784032.4027120583</v>
      </c>
      <c r="AN148" s="19">
        <f>'P&amp;L - Inputs'!BM564</f>
        <v>5617153.5322724367</v>
      </c>
      <c r="AO148" s="19">
        <f>'P&amp;L - Inputs'!BN564</f>
        <v>5215438.5165641028</v>
      </c>
      <c r="AP148" s="19">
        <f>'P&amp;L - Inputs'!BO564</f>
        <v>4993920.9507467933</v>
      </c>
      <c r="AQ148" s="19">
        <f>'P&amp;L - Inputs'!BP564</f>
        <v>4890953.6438814094</v>
      </c>
      <c r="AR148" s="19">
        <f>'P&amp;L - Inputs'!BQ564</f>
        <v>4655347.8891185876</v>
      </c>
      <c r="AS148" s="19">
        <f>'P&amp;L - Inputs'!BR564</f>
        <v>4690158.2661242764</v>
      </c>
      <c r="AT148" s="19">
        <f>'P&amp;L - Inputs'!BS564</f>
        <v>4281425.2989455117</v>
      </c>
      <c r="AU148" s="19">
        <f>'P&amp;L - Inputs'!BT564</f>
        <v>4242606.9354935884</v>
      </c>
      <c r="AV148" s="19">
        <f>'P&amp;L - Inputs'!BU564</f>
        <v>4488109.5429326911</v>
      </c>
      <c r="AW148" s="19">
        <f>'P&amp;L - Inputs'!BV564</f>
        <v>5112132.5398942269</v>
      </c>
      <c r="AX148" s="19">
        <f>'P&amp;L - Inputs'!BW564</f>
        <v>5519349.2610801328</v>
      </c>
      <c r="AY148" s="19">
        <f>'P&amp;L - Inputs'!BX564</f>
        <v>6277911.0428205151</v>
      </c>
      <c r="AZ148" s="19">
        <f>'P&amp;L - Inputs'!BY564</f>
        <v>6382857.7640833305</v>
      </c>
      <c r="BA148" s="19">
        <f>'P&amp;L - Inputs'!BZ564</f>
        <v>6033461.3919519233</v>
      </c>
      <c r="BB148" s="19">
        <f>'P&amp;L - Inputs'!CA564</f>
        <v>5672635.7078653835</v>
      </c>
      <c r="BC148" s="19">
        <f>'P&amp;L - Inputs'!CB564</f>
        <v>6964774.5513482196</v>
      </c>
      <c r="BD148" s="19">
        <f>'P&amp;L - Inputs'!CC564</f>
        <v>6993092.3618589714</v>
      </c>
      <c r="BE148" s="19">
        <f>'P&amp;L - Inputs'!CD564</f>
        <v>7068977.1964908997</v>
      </c>
      <c r="BF148" s="19">
        <f>'P&amp;L - Inputs'!CE564</f>
        <v>7512252.6959139798</v>
      </c>
      <c r="BG148" s="19">
        <f>'P&amp;L - Inputs'!CF564</f>
        <v>7607620.3155769203</v>
      </c>
      <c r="BH148" s="19">
        <f>'P&amp;L - Inputs'!CG564</f>
        <v>8836610.5949917287</v>
      </c>
      <c r="BI148" s="19">
        <f>'P&amp;L - Inputs'!CH564</f>
        <v>11775512.208711529</v>
      </c>
      <c r="BJ148" s="19">
        <f>'P&amp;L - Inputs'!CI564</f>
        <v>11769420.596512808</v>
      </c>
      <c r="BK148" s="19">
        <f>'P&amp;L - Inputs'!CJ564</f>
        <v>11890557.577358952</v>
      </c>
      <c r="BL148" s="19">
        <f>'P&amp;L - Inputs'!CK564</f>
        <v>11829675.088865381</v>
      </c>
      <c r="BM148" s="19">
        <f>'P&amp;L - Inputs'!CL564</f>
        <v>12446505.053674107</v>
      </c>
      <c r="BN148" s="19">
        <f>'P&amp;L - Inputs'!CM564</f>
        <v>12710096.001192344</v>
      </c>
      <c r="BO148" s="19">
        <f>'P&amp;L - Inputs'!CN564</f>
        <v>12097523.293588487</v>
      </c>
      <c r="BP148" s="19">
        <f>'P&amp;L - Inputs'!CO564</f>
        <v>13484821.008887788</v>
      </c>
      <c r="BQ148" s="19">
        <f>'P&amp;L - Inputs'!CP564</f>
        <v>13401661.414651098</v>
      </c>
      <c r="BR148" s="19">
        <f>'P&amp;L - Inputs'!CQ564</f>
        <v>14861743.376573715</v>
      </c>
      <c r="BS148" s="19">
        <f>'P&amp;L - Inputs'!CR564</f>
        <v>15107571.325662175</v>
      </c>
      <c r="BT148" s="19">
        <f>'P&amp;L - Inputs'!CS564</f>
        <v>15273551.076705769</v>
      </c>
      <c r="BU148" s="19">
        <f>'P&amp;L - Inputs'!CT564</f>
        <v>18144978.679126456</v>
      </c>
      <c r="BV148" s="19">
        <f>'P&amp;L - Inputs'!CU564</f>
        <v>18144978.679126456</v>
      </c>
      <c r="BW148" s="19">
        <f>'P&amp;L - Inputs'!CV564</f>
        <v>18144978.679126456</v>
      </c>
      <c r="BX148" s="19">
        <f>'P&amp;L - Inputs'!CW564</f>
        <v>18144978.679126456</v>
      </c>
      <c r="BY148" s="19">
        <f>'P&amp;L - Inputs'!CX564</f>
        <v>18144978.679126456</v>
      </c>
      <c r="BZ148" s="19">
        <f>'P&amp;L - Inputs'!CY564</f>
        <v>18144978.679126456</v>
      </c>
      <c r="CA148" s="19">
        <f>'P&amp;L - Inputs'!CZ564</f>
        <v>18144978.679126456</v>
      </c>
      <c r="CB148" s="19">
        <f>'P&amp;L - Inputs'!DA564</f>
        <v>18144978.679126456</v>
      </c>
      <c r="CC148" s="19">
        <f>'P&amp;L - Inputs'!DB564</f>
        <v>18144978.679126456</v>
      </c>
      <c r="CD148" s="19">
        <f>'P&amp;L - Inputs'!DC564</f>
        <v>18144978.679126456</v>
      </c>
      <c r="CE148" s="19">
        <f>'P&amp;L - Inputs'!DD564</f>
        <v>18144978.679126456</v>
      </c>
      <c r="CF148" s="19">
        <f>'P&amp;L - Inputs'!DE564</f>
        <v>18144978.679126456</v>
      </c>
      <c r="CG148" s="19">
        <f>'P&amp;L - Inputs'!DF564</f>
        <v>20576405.822129402</v>
      </c>
      <c r="CH148" s="19">
        <f>'P&amp;L - Inputs'!DG564</f>
        <v>20576405.822129402</v>
      </c>
      <c r="CI148" s="19">
        <f>'P&amp;L - Inputs'!DH564</f>
        <v>20576405.822129402</v>
      </c>
      <c r="CJ148" s="19">
        <f>'P&amp;L - Inputs'!DI564</f>
        <v>20576405.822129402</v>
      </c>
      <c r="CK148" s="19">
        <f>'P&amp;L - Inputs'!DJ564</f>
        <v>20576405.822129402</v>
      </c>
      <c r="CL148" s="19">
        <f>'P&amp;L - Inputs'!DK564</f>
        <v>20576405.822129402</v>
      </c>
      <c r="CM148" s="19">
        <f>'P&amp;L - Inputs'!DL564</f>
        <v>20576405.822129402</v>
      </c>
      <c r="CN148" s="19">
        <f>'P&amp;L - Inputs'!DM564</f>
        <v>20576405.822129402</v>
      </c>
      <c r="CO148" s="19">
        <f>'P&amp;L - Inputs'!DN564</f>
        <v>20576405.822129402</v>
      </c>
      <c r="CP148" s="19">
        <f>'P&amp;L - Inputs'!DO564</f>
        <v>20576405.822129402</v>
      </c>
      <c r="CQ148" s="19">
        <f>'P&amp;L - Inputs'!DP564</f>
        <v>20576405.822129402</v>
      </c>
      <c r="CR148" s="19">
        <f>'P&amp;L - Inputs'!DQ564</f>
        <v>20576405.822129402</v>
      </c>
      <c r="CS148" s="19">
        <f>'P&amp;L - Inputs'!DR564</f>
        <v>23333644.202294745</v>
      </c>
      <c r="CT148" s="19">
        <f>'P&amp;L - Inputs'!DS564</f>
        <v>23333644.202294745</v>
      </c>
      <c r="CU148" s="19">
        <f>'P&amp;L - Inputs'!DT564</f>
        <v>23333644.202294745</v>
      </c>
      <c r="CV148" s="19">
        <f>'P&amp;L - Inputs'!DU564</f>
        <v>23333644.202294745</v>
      </c>
      <c r="CW148" s="19">
        <f>'P&amp;L - Inputs'!DV564</f>
        <v>23333644.202294745</v>
      </c>
      <c r="CX148" s="19">
        <f>'P&amp;L - Inputs'!DW564</f>
        <v>23333644.202294745</v>
      </c>
      <c r="CY148" s="19">
        <f>'P&amp;L - Inputs'!DX564</f>
        <v>23333644.202294745</v>
      </c>
      <c r="CZ148" s="19">
        <f>'P&amp;L - Inputs'!DY564</f>
        <v>23333644.202294745</v>
      </c>
      <c r="DA148" s="19">
        <f>'P&amp;L - Inputs'!DZ564</f>
        <v>23333644.202294745</v>
      </c>
      <c r="DB148" s="19">
        <f>'P&amp;L - Inputs'!EA564</f>
        <v>23333644.202294745</v>
      </c>
      <c r="DC148" s="19">
        <f>'P&amp;L - Inputs'!EB564</f>
        <v>23333644.202294745</v>
      </c>
      <c r="DD148" s="19">
        <f>'P&amp;L - Inputs'!EC564</f>
        <v>23333644.202294745</v>
      </c>
      <c r="DF148" s="19">
        <f t="shared" si="630"/>
        <v>16534784.888113499</v>
      </c>
      <c r="DG148" s="19">
        <f t="shared" si="631"/>
        <v>15826512.999583334</v>
      </c>
      <c r="DH148" s="19">
        <f t="shared" si="632"/>
        <v>14236459.799124273</v>
      </c>
      <c r="DI148" s="19">
        <f t="shared" si="633"/>
        <v>13012141.777371792</v>
      </c>
      <c r="DJ148" s="19">
        <f t="shared" si="634"/>
        <v>16909392.843794875</v>
      </c>
      <c r="DK148" s="19">
        <f t="shared" si="635"/>
        <v>18088954.863900639</v>
      </c>
      <c r="DL148" s="19">
        <f t="shared" si="636"/>
        <v>21026844.109698091</v>
      </c>
      <c r="DM148" s="19">
        <f t="shared" si="637"/>
        <v>23956483.606482629</v>
      </c>
      <c r="DN148" s="19">
        <f t="shared" si="638"/>
        <v>35435490.38258329</v>
      </c>
      <c r="DO148" s="19">
        <f t="shared" si="639"/>
        <v>36986276.143731833</v>
      </c>
      <c r="DP148" s="19">
        <f t="shared" si="640"/>
        <v>38984005.717127375</v>
      </c>
      <c r="DQ148" s="19">
        <f t="shared" si="641"/>
        <v>45242865.778941661</v>
      </c>
      <c r="DR148" s="19">
        <f t="shared" si="642"/>
        <v>54434936.037379369</v>
      </c>
      <c r="DS148" s="19">
        <f t="shared" si="643"/>
        <v>54434936.037379369</v>
      </c>
      <c r="DT148" s="19">
        <f t="shared" si="644"/>
        <v>54434936.037379369</v>
      </c>
      <c r="DU148" s="19">
        <f t="shared" si="645"/>
        <v>54434936.037379369</v>
      </c>
      <c r="DV148" s="19">
        <f t="shared" si="646"/>
        <v>61729217.466388211</v>
      </c>
      <c r="DW148" s="19">
        <f t="shared" si="647"/>
        <v>61729217.466388211</v>
      </c>
      <c r="DX148" s="19">
        <f t="shared" si="648"/>
        <v>61729217.466388211</v>
      </c>
      <c r="DY148" s="19">
        <f t="shared" si="649"/>
        <v>61729217.466388211</v>
      </c>
      <c r="DZ148" s="19">
        <f t="shared" si="587"/>
        <v>70000932.606884241</v>
      </c>
      <c r="EA148" s="19">
        <f t="shared" si="588"/>
        <v>70000932.606884241</v>
      </c>
      <c r="EB148" s="19">
        <f t="shared" si="589"/>
        <v>70000932.606884241</v>
      </c>
      <c r="EC148" s="19">
        <f t="shared" si="590"/>
        <v>70000932.606884241</v>
      </c>
      <c r="EE148" s="19">
        <f>SUM(DF148:DI148)</f>
        <v>59609899.464192897</v>
      </c>
      <c r="EF148" s="19">
        <f>SUM(DJ148:DM148)</f>
        <v>79981675.423876226</v>
      </c>
      <c r="EG148" s="19">
        <f>SUM(DN148:DQ148)</f>
        <v>156648638.02238417</v>
      </c>
      <c r="EH148" s="19">
        <f>SUM(DR148:DU148)</f>
        <v>217739744.14951748</v>
      </c>
      <c r="EI148" s="19">
        <f>SUM(DV148:DY148)</f>
        <v>246916869.86555284</v>
      </c>
      <c r="EJ148" s="770">
        <f t="shared" si="596"/>
        <v>280003730.42753696</v>
      </c>
    </row>
    <row r="149" spans="2:140" x14ac:dyDescent="0.2">
      <c r="B149" s="13" t="s">
        <v>47</v>
      </c>
      <c r="C149" s="19">
        <f>'P&amp;L - Inputs'!AB565</f>
        <v>0</v>
      </c>
      <c r="D149" s="19">
        <f>'P&amp;L - Inputs'!AC565</f>
        <v>0</v>
      </c>
      <c r="E149" s="19">
        <f>'P&amp;L - Inputs'!AD565</f>
        <v>0</v>
      </c>
      <c r="F149" s="19">
        <f>'P&amp;L - Inputs'!AE565</f>
        <v>0</v>
      </c>
      <c r="G149" s="19">
        <f>'P&amp;L - Inputs'!AF565</f>
        <v>0</v>
      </c>
      <c r="H149" s="19">
        <f>'P&amp;L - Inputs'!AG565</f>
        <v>0</v>
      </c>
      <c r="I149" s="19">
        <f>'P&amp;L - Inputs'!AH565</f>
        <v>0</v>
      </c>
      <c r="J149" s="19">
        <f>'P&amp;L - Inputs'!AI565</f>
        <v>0</v>
      </c>
      <c r="K149" s="19">
        <f>'P&amp;L - Inputs'!AJ565</f>
        <v>0</v>
      </c>
      <c r="L149" s="19">
        <f>'P&amp;L - Inputs'!AK565</f>
        <v>0</v>
      </c>
      <c r="M149" s="19">
        <f>'P&amp;L - Inputs'!AL565</f>
        <v>0</v>
      </c>
      <c r="N149" s="19">
        <f>'P&amp;L - Inputs'!AM565</f>
        <v>0</v>
      </c>
      <c r="O149" s="19">
        <f>'P&amp;L - Inputs'!AN565</f>
        <v>0</v>
      </c>
      <c r="P149" s="19">
        <f>'P&amp;L - Inputs'!AO565</f>
        <v>0</v>
      </c>
      <c r="Q149" s="19">
        <f>'P&amp;L - Inputs'!AP565</f>
        <v>0</v>
      </c>
      <c r="R149" s="19">
        <f>'P&amp;L - Inputs'!AQ565</f>
        <v>0</v>
      </c>
      <c r="S149" s="19">
        <f>'P&amp;L - Inputs'!AR565</f>
        <v>0</v>
      </c>
      <c r="T149" s="19">
        <f>'P&amp;L - Inputs'!AS565</f>
        <v>0</v>
      </c>
      <c r="U149" s="19">
        <f>'P&amp;L - Inputs'!AT565</f>
        <v>0</v>
      </c>
      <c r="V149" s="19">
        <f>'P&amp;L - Inputs'!AU565</f>
        <v>0</v>
      </c>
      <c r="W149" s="19">
        <f>'P&amp;L - Inputs'!AV565</f>
        <v>0</v>
      </c>
      <c r="X149" s="19">
        <f>'P&amp;L - Inputs'!AW565</f>
        <v>0</v>
      </c>
      <c r="Y149" s="19">
        <f>'P&amp;L - Inputs'!AX565</f>
        <v>0</v>
      </c>
      <c r="Z149" s="19">
        <f>'P&amp;L - Inputs'!AY565</f>
        <v>45</v>
      </c>
      <c r="AA149" s="19">
        <f>'P&amp;L - Inputs'!AZ565</f>
        <v>50</v>
      </c>
      <c r="AB149" s="19">
        <f>'P&amp;L - Inputs'!BA565</f>
        <v>50</v>
      </c>
      <c r="AC149" s="19">
        <f>'P&amp;L - Inputs'!BB565</f>
        <v>55</v>
      </c>
      <c r="AD149" s="19">
        <f>'P&amp;L - Inputs'!BC565</f>
        <v>67</v>
      </c>
      <c r="AE149" s="19">
        <f>'P&amp;L - Inputs'!BD565</f>
        <v>66</v>
      </c>
      <c r="AF149" s="19">
        <f>'P&amp;L - Inputs'!BE565</f>
        <v>73</v>
      </c>
      <c r="AG149" s="19">
        <f>'P&amp;L - Inputs'!BF565</f>
        <v>73</v>
      </c>
      <c r="AH149" s="19">
        <f>'P&amp;L - Inputs'!BG565</f>
        <v>74</v>
      </c>
      <c r="AI149" s="19">
        <f>'P&amp;L - Inputs'!BH565</f>
        <v>73</v>
      </c>
      <c r="AJ149" s="19">
        <f>'P&amp;L - Inputs'!BI565</f>
        <v>73</v>
      </c>
      <c r="AK149" s="19">
        <f>'P&amp;L - Inputs'!BJ565</f>
        <v>78</v>
      </c>
      <c r="AL149" s="19">
        <f>'P&amp;L - Inputs'!BK565</f>
        <v>100</v>
      </c>
      <c r="AM149" s="19">
        <f>'P&amp;L - Inputs'!BL565</f>
        <v>105</v>
      </c>
      <c r="AN149" s="19">
        <f>'P&amp;L - Inputs'!BM565</f>
        <v>103</v>
      </c>
      <c r="AO149" s="19">
        <f>'P&amp;L - Inputs'!BN565</f>
        <v>105</v>
      </c>
      <c r="AP149" s="19">
        <f>'P&amp;L - Inputs'!BO565</f>
        <v>106</v>
      </c>
      <c r="AQ149" s="19">
        <f>'P&amp;L - Inputs'!BP565</f>
        <v>101</v>
      </c>
      <c r="AR149" s="19">
        <f>'P&amp;L - Inputs'!BQ565</f>
        <v>98</v>
      </c>
      <c r="AS149" s="19">
        <f>'P&amp;L - Inputs'!BR565</f>
        <v>97</v>
      </c>
      <c r="AT149" s="19">
        <f>'P&amp;L - Inputs'!BS565</f>
        <v>90</v>
      </c>
      <c r="AU149" s="19">
        <f>'P&amp;L - Inputs'!BT565</f>
        <v>85</v>
      </c>
      <c r="AV149" s="19">
        <f>'P&amp;L - Inputs'!BU565</f>
        <v>94</v>
      </c>
      <c r="AW149" s="19">
        <f>'P&amp;L - Inputs'!BV565</f>
        <v>76</v>
      </c>
      <c r="AX149" s="19">
        <f>'P&amp;L - Inputs'!BW565</f>
        <v>76</v>
      </c>
      <c r="AY149" s="19">
        <f>'P&amp;L - Inputs'!BX565</f>
        <v>82</v>
      </c>
      <c r="AZ149" s="19">
        <f>'P&amp;L - Inputs'!BY565</f>
        <v>79</v>
      </c>
      <c r="BA149" s="19">
        <f>'P&amp;L - Inputs'!BZ565</f>
        <v>78</v>
      </c>
      <c r="BB149" s="19">
        <f>'P&amp;L - Inputs'!CA565</f>
        <v>77</v>
      </c>
      <c r="BC149" s="19">
        <f>'P&amp;L - Inputs'!CB565</f>
        <v>76</v>
      </c>
      <c r="BD149" s="19">
        <f>'P&amp;L - Inputs'!CC565</f>
        <v>73</v>
      </c>
      <c r="BE149" s="19">
        <f>'P&amp;L - Inputs'!CD565</f>
        <v>79</v>
      </c>
      <c r="BF149" s="19">
        <f>'P&amp;L - Inputs'!CE565</f>
        <v>82</v>
      </c>
      <c r="BG149" s="19">
        <f>'P&amp;L - Inputs'!CF565</f>
        <v>84</v>
      </c>
      <c r="BH149" s="19">
        <f>'P&amp;L - Inputs'!CG565</f>
        <v>85</v>
      </c>
      <c r="BI149" s="19">
        <f>'P&amp;L - Inputs'!CH565</f>
        <v>112.5</v>
      </c>
      <c r="BJ149" s="19">
        <f>'P&amp;L - Inputs'!CI565</f>
        <v>115.5</v>
      </c>
      <c r="BK149" s="19">
        <f>'P&amp;L - Inputs'!CJ565</f>
        <v>121.8</v>
      </c>
      <c r="BL149" s="19">
        <f>'P&amp;L - Inputs'!CK565</f>
        <v>128.5</v>
      </c>
      <c r="BM149" s="19">
        <f>'P&amp;L - Inputs'!CL565</f>
        <v>131</v>
      </c>
      <c r="BN149" s="19">
        <f>'P&amp;L - Inputs'!CM565</f>
        <v>150</v>
      </c>
      <c r="BO149" s="19">
        <f>'P&amp;L - Inputs'!CN565</f>
        <v>138.30000000000001</v>
      </c>
      <c r="BP149" s="19">
        <f>'P&amp;L - Inputs'!CO565</f>
        <v>143.12</v>
      </c>
      <c r="BQ149" s="19">
        <f>'P&amp;L - Inputs'!CP565</f>
        <v>145.12</v>
      </c>
      <c r="BR149" s="19">
        <f>'P&amp;L - Inputs'!CQ565</f>
        <v>149.35</v>
      </c>
      <c r="BS149" s="19">
        <f>'P&amp;L - Inputs'!CR565</f>
        <v>153.76</v>
      </c>
      <c r="BT149" s="19">
        <f>'P&amp;L - Inputs'!CS565</f>
        <v>159.35</v>
      </c>
      <c r="BU149" s="19">
        <f>'P&amp;L - Inputs'!CT565</f>
        <v>175.285</v>
      </c>
      <c r="BV149" s="19">
        <f>'P&amp;L - Inputs'!CU565</f>
        <v>175.285</v>
      </c>
      <c r="BW149" s="19">
        <f>'P&amp;L - Inputs'!CV565</f>
        <v>175.285</v>
      </c>
      <c r="BX149" s="19">
        <f>'P&amp;L - Inputs'!CW565</f>
        <v>175.285</v>
      </c>
      <c r="BY149" s="19">
        <f>'P&amp;L - Inputs'!CX565</f>
        <v>175.285</v>
      </c>
      <c r="BZ149" s="19">
        <f>'P&amp;L - Inputs'!CY565</f>
        <v>175.285</v>
      </c>
      <c r="CA149" s="19">
        <f>'P&amp;L - Inputs'!CZ565</f>
        <v>175.285</v>
      </c>
      <c r="CB149" s="19">
        <f>'P&amp;L - Inputs'!DA565</f>
        <v>175.285</v>
      </c>
      <c r="CC149" s="19">
        <f>'P&amp;L - Inputs'!DB565</f>
        <v>175.285</v>
      </c>
      <c r="CD149" s="19">
        <f>'P&amp;L - Inputs'!DC565</f>
        <v>175.285</v>
      </c>
      <c r="CE149" s="19">
        <f>'P&amp;L - Inputs'!DD565</f>
        <v>175.285</v>
      </c>
      <c r="CF149" s="19">
        <f>'P&amp;L - Inputs'!DE565</f>
        <v>175.285</v>
      </c>
      <c r="CG149" s="19">
        <f>'P&amp;L - Inputs'!DF565</f>
        <v>184.04925</v>
      </c>
      <c r="CH149" s="19">
        <f>'P&amp;L - Inputs'!DG565</f>
        <v>184.04925</v>
      </c>
      <c r="CI149" s="19">
        <f>'P&amp;L - Inputs'!DH565</f>
        <v>184.04925</v>
      </c>
      <c r="CJ149" s="19">
        <f>'P&amp;L - Inputs'!DI565</f>
        <v>184.04925</v>
      </c>
      <c r="CK149" s="19">
        <f>'P&amp;L - Inputs'!DJ565</f>
        <v>184.04925</v>
      </c>
      <c r="CL149" s="19">
        <f>'P&amp;L - Inputs'!DK565</f>
        <v>184.04925</v>
      </c>
      <c r="CM149" s="19">
        <f>'P&amp;L - Inputs'!DL565</f>
        <v>184.04925</v>
      </c>
      <c r="CN149" s="19">
        <f>'P&amp;L - Inputs'!DM565</f>
        <v>184.04925</v>
      </c>
      <c r="CO149" s="19">
        <f>'P&amp;L - Inputs'!DN565</f>
        <v>184.04925</v>
      </c>
      <c r="CP149" s="19">
        <f>'P&amp;L - Inputs'!DO565</f>
        <v>184.04925</v>
      </c>
      <c r="CQ149" s="19">
        <f>'P&amp;L - Inputs'!DP565</f>
        <v>184.04925</v>
      </c>
      <c r="CR149" s="19">
        <f>'P&amp;L - Inputs'!DQ565</f>
        <v>184.04925</v>
      </c>
      <c r="CS149" s="19">
        <f>'P&amp;L - Inputs'!DR565</f>
        <v>193.2517125</v>
      </c>
      <c r="CT149" s="19">
        <f>'P&amp;L - Inputs'!DS565</f>
        <v>193.2517125</v>
      </c>
      <c r="CU149" s="19">
        <f>'P&amp;L - Inputs'!DT565</f>
        <v>193.2517125</v>
      </c>
      <c r="CV149" s="19">
        <f>'P&amp;L - Inputs'!DU565</f>
        <v>193.2517125</v>
      </c>
      <c r="CW149" s="19">
        <f>'P&amp;L - Inputs'!DV565</f>
        <v>193.2517125</v>
      </c>
      <c r="CX149" s="19">
        <f>'P&amp;L - Inputs'!DW565</f>
        <v>193.2517125</v>
      </c>
      <c r="CY149" s="19">
        <f>'P&amp;L - Inputs'!DX565</f>
        <v>193.2517125</v>
      </c>
      <c r="CZ149" s="19">
        <f>'P&amp;L - Inputs'!DY565</f>
        <v>193.2517125</v>
      </c>
      <c r="DA149" s="19">
        <f>'P&amp;L - Inputs'!DZ565</f>
        <v>193.2517125</v>
      </c>
      <c r="DB149" s="19">
        <f>'P&amp;L - Inputs'!EA565</f>
        <v>193.2517125</v>
      </c>
      <c r="DC149" s="19">
        <f>'P&amp;L - Inputs'!EB565</f>
        <v>193.2517125</v>
      </c>
      <c r="DD149" s="19">
        <f>'P&amp;L - Inputs'!EC565</f>
        <v>193.2517125</v>
      </c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>
        <f t="shared" si="587"/>
        <v>579.75513750000005</v>
      </c>
      <c r="EA149" s="19">
        <f t="shared" si="588"/>
        <v>579.75513750000005</v>
      </c>
      <c r="EB149" s="19">
        <f t="shared" si="589"/>
        <v>579.75513750000005</v>
      </c>
      <c r="EC149" s="19">
        <f t="shared" si="590"/>
        <v>579.75513750000005</v>
      </c>
      <c r="EE149" s="19"/>
      <c r="EF149" s="19"/>
      <c r="EG149" s="19"/>
      <c r="EH149" s="19"/>
      <c r="EI149" s="19"/>
      <c r="EJ149" s="770">
        <f t="shared" si="596"/>
        <v>2319.0205500000002</v>
      </c>
    </row>
    <row r="150" spans="2:140" x14ac:dyDescent="0.2">
      <c r="B150" s="191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E150" s="10"/>
      <c r="EF150" s="10"/>
      <c r="EG150" s="10"/>
      <c r="EH150" s="10"/>
      <c r="EI150" s="10"/>
      <c r="EJ150" s="812"/>
    </row>
    <row r="151" spans="2:140" x14ac:dyDescent="0.2">
      <c r="B151" s="167" t="s">
        <v>189</v>
      </c>
      <c r="C151" s="19">
        <f>'P&amp;L - Inputs'!AB566</f>
        <v>594143</v>
      </c>
      <c r="D151" s="19">
        <f>'P&amp;L - Inputs'!AC566</f>
        <v>751364</v>
      </c>
      <c r="E151" s="19">
        <f>'P&amp;L - Inputs'!AD566</f>
        <v>761465</v>
      </c>
      <c r="F151" s="19">
        <f>'P&amp;L - Inputs'!AE566</f>
        <v>981243</v>
      </c>
      <c r="G151" s="19">
        <f>'P&amp;L - Inputs'!AF566</f>
        <v>1139124</v>
      </c>
      <c r="H151" s="19">
        <f>'P&amp;L - Inputs'!AG566</f>
        <v>1165796</v>
      </c>
      <c r="I151" s="19">
        <f>'P&amp;L - Inputs'!AH566</f>
        <v>1349848.38</v>
      </c>
      <c r="J151" s="19">
        <f>'P&amp;L - Inputs'!AI566</f>
        <v>1534675.82</v>
      </c>
      <c r="K151" s="19">
        <f>'P&amp;L - Inputs'!AJ566</f>
        <v>1449642</v>
      </c>
      <c r="L151" s="19">
        <f>'P&amp;L - Inputs'!AK566</f>
        <v>2104422.0699999998</v>
      </c>
      <c r="M151" s="19">
        <f>'P&amp;L - Inputs'!AL566</f>
        <v>2090055</v>
      </c>
      <c r="N151" s="19">
        <f>'P&amp;L - Inputs'!AM566</f>
        <v>1898300</v>
      </c>
      <c r="O151" s="19">
        <f>'P&amp;L - Inputs'!AN566</f>
        <v>2127842</v>
      </c>
      <c r="P151" s="19">
        <f>'P&amp;L - Inputs'!AO566</f>
        <v>2121334</v>
      </c>
      <c r="Q151" s="19">
        <f>'P&amp;L - Inputs'!AP566</f>
        <v>2330597</v>
      </c>
      <c r="R151" s="19">
        <f>'P&amp;L - Inputs'!AQ566</f>
        <v>2685435</v>
      </c>
      <c r="S151" s="19">
        <f>'P&amp;L - Inputs'!AR566</f>
        <v>3237564</v>
      </c>
      <c r="T151" s="19">
        <f>'P&amp;L - Inputs'!AS566</f>
        <v>3472983</v>
      </c>
      <c r="U151" s="19">
        <f>'P&amp;L - Inputs'!AT566</f>
        <v>4120268</v>
      </c>
      <c r="V151" s="19">
        <f>'P&amp;L - Inputs'!AU566</f>
        <v>4086677</v>
      </c>
      <c r="W151" s="19">
        <f>'P&amp;L - Inputs'!AV566</f>
        <v>4095051</v>
      </c>
      <c r="X151" s="19">
        <f>'P&amp;L - Inputs'!AW566</f>
        <v>4370421.5999999996</v>
      </c>
      <c r="Y151" s="19">
        <f>'P&amp;L - Inputs'!AX566</f>
        <v>5137842</v>
      </c>
      <c r="Z151" s="19">
        <f>'P&amp;L - Inputs'!AY566</f>
        <v>6868017.5999999996</v>
      </c>
      <c r="AA151" s="19">
        <f>'P&amp;L - Inputs'!AZ566</f>
        <v>7524546</v>
      </c>
      <c r="AB151" s="19">
        <f>'P&amp;L - Inputs'!BA566</f>
        <v>7603693.8399999999</v>
      </c>
      <c r="AC151" s="19">
        <f>'P&amp;L - Inputs'!BB566</f>
        <v>8243800.7400000002</v>
      </c>
      <c r="AD151" s="19">
        <f>'P&amp;L - Inputs'!BC566</f>
        <v>9358654.5800000001</v>
      </c>
      <c r="AE151" s="19">
        <f>'P&amp;L - Inputs'!BD566</f>
        <v>9162073</v>
      </c>
      <c r="AF151" s="19">
        <f>'P&amp;L - Inputs'!BE566</f>
        <v>11375135</v>
      </c>
      <c r="AG151" s="19">
        <f>'P&amp;L - Inputs'!BF566</f>
        <v>11511652</v>
      </c>
      <c r="AH151" s="19">
        <f>'P&amp;L - Inputs'!BG566</f>
        <v>12268574</v>
      </c>
      <c r="AI151" s="19">
        <f>'P&amp;L - Inputs'!BH566</f>
        <v>11336802.5</v>
      </c>
      <c r="AJ151" s="19">
        <f>'P&amp;L - Inputs'!BI566</f>
        <v>12175187</v>
      </c>
      <c r="AK151" s="19">
        <f>'P&amp;L - Inputs'!BJ566</f>
        <v>9727985.6500000004</v>
      </c>
      <c r="AL151" s="19">
        <f>'P&amp;L - Inputs'!BK566</f>
        <v>9727363.6794999987</v>
      </c>
      <c r="AM151" s="19">
        <f>'P&amp;L - Inputs'!BL566</f>
        <v>10040459.25</v>
      </c>
      <c r="AN151" s="19">
        <f>'P&amp;L - Inputs'!BM566</f>
        <v>10055240.9285</v>
      </c>
      <c r="AO151" s="19">
        <f>'P&amp;L - Inputs'!BN566</f>
        <v>10157488.1</v>
      </c>
      <c r="AP151" s="19">
        <f>'P&amp;L - Inputs'!BO566</f>
        <v>10275811.398</v>
      </c>
      <c r="AQ151" s="19">
        <f>'P&amp;L - Inputs'!BP566</f>
        <v>10306887.67</v>
      </c>
      <c r="AR151" s="19">
        <f>'P&amp;L - Inputs'!BQ566</f>
        <v>11189288.718</v>
      </c>
      <c r="AS151" s="19">
        <f>'P&amp;L - Inputs'!BR566</f>
        <v>11618352.3895</v>
      </c>
      <c r="AT151" s="19">
        <f>'P&amp;L - Inputs'!BS566</f>
        <v>12617270.800000001</v>
      </c>
      <c r="AU151" s="19">
        <f>'P&amp;L - Inputs'!BT566</f>
        <v>10273682.114</v>
      </c>
      <c r="AV151" s="19">
        <f>'P&amp;L - Inputs'!BU566</f>
        <v>10875911.5</v>
      </c>
      <c r="AW151" s="19">
        <f>'P&amp;L - Inputs'!BV566</f>
        <v>10325357.15</v>
      </c>
      <c r="AX151" s="19">
        <f>'P&amp;L - Inputs'!BW566</f>
        <v>10753704.517999999</v>
      </c>
      <c r="AY151" s="19">
        <f>'P&amp;L - Inputs'!BX566</f>
        <v>9961881.3910000008</v>
      </c>
      <c r="AZ151" s="19">
        <f>'P&amp;L - Inputs'!BY566</f>
        <v>10079878.85</v>
      </c>
      <c r="BA151" s="19">
        <f>'P&amp;L - Inputs'!BZ566</f>
        <v>10389011.1</v>
      </c>
      <c r="BB151" s="19">
        <f>'P&amp;L - Inputs'!CA566</f>
        <v>10615291.300000001</v>
      </c>
      <c r="BC151" s="19">
        <f>'P&amp;L - Inputs'!CB566</f>
        <v>10810704</v>
      </c>
      <c r="BD151" s="19">
        <f>'P&amp;L - Inputs'!CC566</f>
        <v>8840074.2635499313</v>
      </c>
      <c r="BE151" s="19">
        <f>'P&amp;L - Inputs'!CD566</f>
        <v>11265319</v>
      </c>
      <c r="BF151" s="19">
        <f>'P&amp;L - Inputs'!CE566</f>
        <v>10743701</v>
      </c>
      <c r="BG151" s="19">
        <f>'P&amp;L - Inputs'!CF566</f>
        <v>10786985</v>
      </c>
      <c r="BH151" s="19">
        <f>'P&amp;L - Inputs'!CG566</f>
        <v>10043565.284698535</v>
      </c>
      <c r="BI151" s="19">
        <f>'P&amp;L - Inputs'!CH566</f>
        <v>11071519.567800019</v>
      </c>
      <c r="BJ151" s="19">
        <f>'P&amp;L - Inputs'!CI566</f>
        <v>10932260.879650019</v>
      </c>
      <c r="BK151" s="19">
        <f>'P&amp;L - Inputs'!CJ566</f>
        <v>12794636.603250036</v>
      </c>
      <c r="BL151" s="19">
        <f>'P&amp;L - Inputs'!CK566</f>
        <v>14129687.715900028</v>
      </c>
      <c r="BM151" s="19">
        <f>'P&amp;L - Inputs'!CL566</f>
        <v>14876627.083740072</v>
      </c>
      <c r="BN151" s="19">
        <f>'P&amp;L - Inputs'!CM566</f>
        <v>16106000.562449932</v>
      </c>
      <c r="BO151" s="19">
        <f>'P&amp;L - Inputs'!CN566</f>
        <v>18370098.970437493</v>
      </c>
      <c r="BP151" s="19">
        <f>'P&amp;L - Inputs'!CO566</f>
        <v>15880469.65130003</v>
      </c>
      <c r="BQ151" s="19">
        <f>'P&amp;L - Inputs'!CP566</f>
        <v>19203842.922494955</v>
      </c>
      <c r="BR151" s="19">
        <f>'P&amp;L - Inputs'!CQ566</f>
        <v>18606359.86595504</v>
      </c>
      <c r="BS151" s="19">
        <f>'P&amp;L - Inputs'!CR566</f>
        <v>17427483.266800035</v>
      </c>
      <c r="BT151" s="19">
        <f>'P&amp;L - Inputs'!CS566</f>
        <v>18814496.9323075</v>
      </c>
      <c r="BU151" s="19">
        <f>'P&amp;L - Inputs'!CT566</f>
        <v>16468679.851932451</v>
      </c>
      <c r="BV151" s="19">
        <f>'P&amp;L - Inputs'!CU566</f>
        <v>16468679.851932451</v>
      </c>
      <c r="BW151" s="19">
        <f>'P&amp;L - Inputs'!CV566</f>
        <v>16468679.851932451</v>
      </c>
      <c r="BX151" s="19">
        <f>'P&amp;L - Inputs'!CW566</f>
        <v>16468679.851932451</v>
      </c>
      <c r="BY151" s="19">
        <f>'P&amp;L - Inputs'!CX566</f>
        <v>16468679.851932451</v>
      </c>
      <c r="BZ151" s="19">
        <f>'P&amp;L - Inputs'!CY566</f>
        <v>16468679.851932451</v>
      </c>
      <c r="CA151" s="19">
        <f>'P&amp;L - Inputs'!CZ566</f>
        <v>16468679.851932451</v>
      </c>
      <c r="CB151" s="19">
        <f>'P&amp;L - Inputs'!DA566</f>
        <v>16468679.851932451</v>
      </c>
      <c r="CC151" s="19">
        <f>'P&amp;L - Inputs'!DB566</f>
        <v>16468679.851932451</v>
      </c>
      <c r="CD151" s="19">
        <f>'P&amp;L - Inputs'!DC566</f>
        <v>16468679.851932451</v>
      </c>
      <c r="CE151" s="19">
        <f>'P&amp;L - Inputs'!DD566</f>
        <v>16468679.851932451</v>
      </c>
      <c r="CF151" s="19">
        <f>'P&amp;L - Inputs'!DE566</f>
        <v>16468679.851932451</v>
      </c>
      <c r="CG151" s="19">
        <f>'P&amp;L - Inputs'!DF566</f>
        <v>17292113.844529074</v>
      </c>
      <c r="CH151" s="19">
        <f>'P&amp;L - Inputs'!DG566</f>
        <v>17292113.844529074</v>
      </c>
      <c r="CI151" s="19">
        <f>'P&amp;L - Inputs'!DH566</f>
        <v>17292113.844529074</v>
      </c>
      <c r="CJ151" s="19">
        <f>'P&amp;L - Inputs'!DI566</f>
        <v>17292113.844529074</v>
      </c>
      <c r="CK151" s="19">
        <f>'P&amp;L - Inputs'!DJ566</f>
        <v>17292113.844529074</v>
      </c>
      <c r="CL151" s="19">
        <f>'P&amp;L - Inputs'!DK566</f>
        <v>17292113.844529074</v>
      </c>
      <c r="CM151" s="19">
        <f>'P&amp;L - Inputs'!DL566</f>
        <v>17292113.844529074</v>
      </c>
      <c r="CN151" s="19">
        <f>'P&amp;L - Inputs'!DM566</f>
        <v>17292113.844529074</v>
      </c>
      <c r="CO151" s="19">
        <f>'P&amp;L - Inputs'!DN566</f>
        <v>17292113.844529074</v>
      </c>
      <c r="CP151" s="19">
        <f>'P&amp;L - Inputs'!DO566</f>
        <v>17292113.844529074</v>
      </c>
      <c r="CQ151" s="19">
        <f>'P&amp;L - Inputs'!DP566</f>
        <v>17292113.844529074</v>
      </c>
      <c r="CR151" s="19">
        <f>'P&amp;L - Inputs'!DQ566</f>
        <v>17292113.844529074</v>
      </c>
      <c r="CS151" s="19">
        <f>'P&amp;L - Inputs'!DR566</f>
        <v>18156719.536755528</v>
      </c>
      <c r="CT151" s="19">
        <f>'P&amp;L - Inputs'!DS566</f>
        <v>18156719.536755528</v>
      </c>
      <c r="CU151" s="19">
        <f>'P&amp;L - Inputs'!DT566</f>
        <v>18156719.536755528</v>
      </c>
      <c r="CV151" s="19">
        <f>'P&amp;L - Inputs'!DU566</f>
        <v>18156719.536755528</v>
      </c>
      <c r="CW151" s="19">
        <f>'P&amp;L - Inputs'!DV566</f>
        <v>18156719.536755528</v>
      </c>
      <c r="CX151" s="19">
        <f>'P&amp;L - Inputs'!DW566</f>
        <v>18156719.536755528</v>
      </c>
      <c r="CY151" s="19">
        <f>'P&amp;L - Inputs'!DX566</f>
        <v>18156719.536755528</v>
      </c>
      <c r="CZ151" s="19">
        <f>'P&amp;L - Inputs'!DY566</f>
        <v>18156719.536755528</v>
      </c>
      <c r="DA151" s="19">
        <f>'P&amp;L - Inputs'!DZ566</f>
        <v>18156719.536755528</v>
      </c>
      <c r="DB151" s="19">
        <f>'P&amp;L - Inputs'!EA566</f>
        <v>18156719.536755528</v>
      </c>
      <c r="DC151" s="19">
        <f>'P&amp;L - Inputs'!EB566</f>
        <v>18156719.536755528</v>
      </c>
      <c r="DD151" s="19">
        <f>'P&amp;L - Inputs'!EC566</f>
        <v>18156719.536755528</v>
      </c>
      <c r="DF151" s="19">
        <f t="shared" ref="DF151:DF155" si="653">SUM(AK151:AM151)</f>
        <v>29495808.579499997</v>
      </c>
      <c r="DG151" s="19">
        <f t="shared" ref="DG151:DG155" si="654">SUM(AN151:AP151)</f>
        <v>30488540.4265</v>
      </c>
      <c r="DH151" s="19">
        <f t="shared" ref="DH151:DH155" si="655">SUM(AQ151:AS151)</f>
        <v>33114528.7775</v>
      </c>
      <c r="DI151" s="19">
        <f t="shared" ref="DI151:DI155" si="656">SUM(AT151:AV151)</f>
        <v>33766864.414000005</v>
      </c>
      <c r="DJ151" s="19">
        <f t="shared" ref="DJ151:DJ155" si="657">SUM(AW151:AY151)</f>
        <v>31040943.059</v>
      </c>
      <c r="DK151" s="19">
        <f t="shared" ref="DK151:DK155" si="658">SUM(AZ151:BB151)</f>
        <v>31084181.25</v>
      </c>
      <c r="DL151" s="19">
        <f t="shared" ref="DL151:DL155" si="659">SUM(BC151:BE151)</f>
        <v>30916097.263549931</v>
      </c>
      <c r="DM151" s="19">
        <f t="shared" ref="DM151:DM155" si="660">SUM(BF151:BH151)</f>
        <v>31574251.284698535</v>
      </c>
      <c r="DN151" s="19">
        <f t="shared" ref="DN151:DN155" si="661">SUM(BI151:BK151)</f>
        <v>34798417.050700076</v>
      </c>
      <c r="DO151" s="19">
        <f t="shared" ref="DO151:DO155" si="662">SUM(BL151:BN151)</f>
        <v>45112315.362090036</v>
      </c>
      <c r="DP151" s="19">
        <f t="shared" ref="DP151:DP155" si="663">SUM(BO151:BQ151)</f>
        <v>53454411.54423248</v>
      </c>
      <c r="DQ151" s="19">
        <f t="shared" ref="DQ151:DQ155" si="664">SUM(BR151:BT151)</f>
        <v>54848340.065062568</v>
      </c>
      <c r="DR151" s="19">
        <f t="shared" ref="DR151:DR155" si="665">SUM(BU151:BW151)</f>
        <v>49406039.555797353</v>
      </c>
      <c r="DS151" s="19">
        <f t="shared" ref="DS151:DS155" si="666">SUM(BX151:BZ151)</f>
        <v>49406039.555797353</v>
      </c>
      <c r="DT151" s="19">
        <f t="shared" ref="DT151:DT155" si="667">SUM(CA151:CC151)</f>
        <v>49406039.555797353</v>
      </c>
      <c r="DU151" s="19">
        <f t="shared" ref="DU151:DU155" si="668">SUM(CD151:CF151)</f>
        <v>49406039.555797353</v>
      </c>
      <c r="DV151" s="19">
        <f t="shared" ref="DV151:DV155" si="669">SUM(CG151:CI151)</f>
        <v>51876341.533587217</v>
      </c>
      <c r="DW151" s="19">
        <f t="shared" ref="DW151:DW155" si="670">SUM(CJ151:CL151)</f>
        <v>51876341.533587217</v>
      </c>
      <c r="DX151" s="19">
        <f t="shared" ref="DX151:DX155" si="671">SUM(CM151:CO151)</f>
        <v>51876341.533587217</v>
      </c>
      <c r="DY151" s="19">
        <f t="shared" ref="DY151:DY155" si="672">SUM(CP151:CR151)</f>
        <v>51876341.533587217</v>
      </c>
      <c r="DZ151" s="19">
        <f t="shared" si="587"/>
        <v>54470158.610266581</v>
      </c>
      <c r="EA151" s="19">
        <f t="shared" si="588"/>
        <v>54470158.610266581</v>
      </c>
      <c r="EB151" s="19">
        <f t="shared" si="589"/>
        <v>54470158.610266581</v>
      </c>
      <c r="EC151" s="19">
        <f t="shared" si="590"/>
        <v>54470158.610266581</v>
      </c>
      <c r="EE151" s="19">
        <f>SUM(DF151:DI151)</f>
        <v>126865742.19750001</v>
      </c>
      <c r="EF151" s="19">
        <f>SUM(DJ151:DM151)</f>
        <v>124615472.85724847</v>
      </c>
      <c r="EG151" s="19">
        <f>SUM(DN151:DQ151)</f>
        <v>188213484.02208519</v>
      </c>
      <c r="EH151" s="19">
        <f>SUM(DR151:DU151)</f>
        <v>197624158.22318941</v>
      </c>
      <c r="EI151" s="19">
        <f>SUM(DV151:DY151)</f>
        <v>207505366.13434887</v>
      </c>
      <c r="EJ151" s="770">
        <f t="shared" si="596"/>
        <v>217880634.44106632</v>
      </c>
    </row>
    <row r="152" spans="2:140" x14ac:dyDescent="0.2">
      <c r="B152" s="167" t="s">
        <v>152</v>
      </c>
      <c r="C152" s="19">
        <f>'P&amp;L - Inputs'!AB567</f>
        <v>187273.96251629727</v>
      </c>
      <c r="D152" s="19">
        <f>'P&amp;L - Inputs'!AC567</f>
        <v>89246.948595337715</v>
      </c>
      <c r="E152" s="19">
        <f>'P&amp;L - Inputs'!AD567</f>
        <v>55517.259827679052</v>
      </c>
      <c r="F152" s="19">
        <f>'P&amp;L - Inputs'!AE567</f>
        <v>61237.17511832319</v>
      </c>
      <c r="G152" s="19">
        <f>'P&amp;L - Inputs'!AF567</f>
        <v>73096.758353658544</v>
      </c>
      <c r="H152" s="19">
        <f>'P&amp;L - Inputs'!AG567</f>
        <v>71862.960011425312</v>
      </c>
      <c r="I152" s="19">
        <f>'P&amp;L - Inputs'!AH567</f>
        <v>74181.099140926643</v>
      </c>
      <c r="J152" s="19">
        <f>'P&amp;L - Inputs'!AI567</f>
        <v>80295.219281663522</v>
      </c>
      <c r="K152" s="19">
        <f>'P&amp;L - Inputs'!AJ567</f>
        <v>71880.90424118549</v>
      </c>
      <c r="L152" s="19">
        <f>'P&amp;L - Inputs'!AK567</f>
        <v>75480.790653764459</v>
      </c>
      <c r="M152" s="19">
        <f>'P&amp;L - Inputs'!AL567</f>
        <v>80952.871928099979</v>
      </c>
      <c r="N152" s="19">
        <f>'P&amp;L - Inputs'!AM567</f>
        <v>60703.06608071502</v>
      </c>
      <c r="O152" s="19">
        <f>'P&amp;L - Inputs'!AN567</f>
        <v>66074.331882480954</v>
      </c>
      <c r="P152" s="19">
        <f>'P&amp;L - Inputs'!AO567</f>
        <v>159368.09509746014</v>
      </c>
      <c r="Q152" s="19">
        <f>'P&amp;L - Inputs'!AP567</f>
        <v>162371.45007032348</v>
      </c>
      <c r="R152" s="19">
        <f>'P&amp;L - Inputs'!AQ567</f>
        <v>104327.77043990781</v>
      </c>
      <c r="S152" s="19">
        <f>'P&amp;L - Inputs'!AR567</f>
        <v>403337.79193964659</v>
      </c>
      <c r="T152" s="19">
        <f>'P&amp;L - Inputs'!AS567</f>
        <v>324516.06236595556</v>
      </c>
      <c r="U152" s="19">
        <f>'P&amp;L - Inputs'!AT567</f>
        <v>251667.61485985466</v>
      </c>
      <c r="V152" s="19">
        <f>'P&amp;L - Inputs'!AU567</f>
        <v>317553.15026626538</v>
      </c>
      <c r="W152" s="19">
        <f>'P&amp;L - Inputs'!AV567</f>
        <v>342216.83483630663</v>
      </c>
      <c r="X152" s="19">
        <f>'P&amp;L - Inputs'!AW567</f>
        <v>180998.09799491669</v>
      </c>
      <c r="Y152" s="19">
        <f>'P&amp;L - Inputs'!AX567</f>
        <v>175448.85137146502</v>
      </c>
      <c r="Z152" s="19">
        <f>'P&amp;L - Inputs'!AY567</f>
        <v>512708.59607770067</v>
      </c>
      <c r="AA152" s="19">
        <f>'P&amp;L - Inputs'!AZ567</f>
        <v>547738.06129920215</v>
      </c>
      <c r="AB152" s="19">
        <f>'P&amp;L - Inputs'!BA567</f>
        <v>690871.55521278409</v>
      </c>
      <c r="AC152" s="19">
        <f>'P&amp;L - Inputs'!BB567</f>
        <v>770136.6267714405</v>
      </c>
      <c r="AD152" s="19">
        <f>'P&amp;L - Inputs'!BC567</f>
        <v>971338.63007007481</v>
      </c>
      <c r="AE152" s="19">
        <f>'P&amp;L - Inputs'!BD567</f>
        <v>897424.00897162419</v>
      </c>
      <c r="AF152" s="19">
        <f>'P&amp;L - Inputs'!BE567</f>
        <v>586851.54420240759</v>
      </c>
      <c r="AG152" s="19">
        <f>'P&amp;L - Inputs'!BF567</f>
        <v>539325.84501429996</v>
      </c>
      <c r="AH152" s="19">
        <f>'P&amp;L - Inputs'!BG567</f>
        <v>566851.86174205563</v>
      </c>
      <c r="AI152" s="19">
        <f>'P&amp;L - Inputs'!BH567</f>
        <v>634971.15942117933</v>
      </c>
      <c r="AJ152" s="19">
        <f>'P&amp;L - Inputs'!BI567</f>
        <v>562842.30988824298</v>
      </c>
      <c r="AK152" s="19">
        <f>'P&amp;L - Inputs'!BJ567</f>
        <v>560323.10585195338</v>
      </c>
      <c r="AL152" s="19">
        <f>'P&amp;L - Inputs'!BK567</f>
        <v>564104.62994194741</v>
      </c>
      <c r="AM152" s="19">
        <f>'P&amp;L - Inputs'!BL567</f>
        <v>489928.56038652291</v>
      </c>
      <c r="AN152" s="19">
        <f>'P&amp;L - Inputs'!BM567</f>
        <v>527185.29105409409</v>
      </c>
      <c r="AO152" s="19">
        <f>'P&amp;L - Inputs'!BN567</f>
        <v>529232.62220514962</v>
      </c>
      <c r="AP152" s="19">
        <f>'P&amp;L - Inputs'!BO567</f>
        <v>421447.08781441633</v>
      </c>
      <c r="AQ152" s="19">
        <f>'P&amp;L - Inputs'!BP567</f>
        <v>512439.23210096051</v>
      </c>
      <c r="AR152" s="19">
        <f>'P&amp;L - Inputs'!BQ567</f>
        <v>493128.08623363811</v>
      </c>
      <c r="AS152" s="19">
        <f>'P&amp;L - Inputs'!BR567</f>
        <v>437874.81054718851</v>
      </c>
      <c r="AT152" s="19">
        <f>'P&amp;L - Inputs'!BS567</f>
        <v>447600.55202574207</v>
      </c>
      <c r="AU152" s="19">
        <f>'P&amp;L - Inputs'!BT567</f>
        <v>424667.2969747723</v>
      </c>
      <c r="AV152" s="19">
        <f>'P&amp;L - Inputs'!BU567</f>
        <v>441813.95342121588</v>
      </c>
      <c r="AW152" s="19">
        <f>'P&amp;L - Inputs'!BV567</f>
        <v>475758.2896188611</v>
      </c>
      <c r="AX152" s="19">
        <f>'P&amp;L - Inputs'!BW567</f>
        <v>458048.24600612384</v>
      </c>
      <c r="AY152" s="19">
        <f>'P&amp;L - Inputs'!BX567</f>
        <v>460877.72273367038</v>
      </c>
      <c r="AZ152" s="19">
        <f>'P&amp;L - Inputs'!BY567</f>
        <v>439680.46988692688</v>
      </c>
      <c r="BA152" s="19">
        <f>'P&amp;L - Inputs'!BZ567</f>
        <v>418569.25327480596</v>
      </c>
      <c r="BB152" s="19">
        <f>'P&amp;L - Inputs'!CA567</f>
        <v>410932.28344439372</v>
      </c>
      <c r="BC152" s="19">
        <f>'P&amp;L - Inputs'!CB567</f>
        <v>453419.9492448814</v>
      </c>
      <c r="BD152" s="19">
        <f>'P&amp;L - Inputs'!CC567</f>
        <v>462374.81365535478</v>
      </c>
      <c r="BE152" s="19">
        <f>'P&amp;L - Inputs'!CD567</f>
        <v>495430.68782857864</v>
      </c>
      <c r="BF152" s="19">
        <f>'P&amp;L - Inputs'!CE567</f>
        <v>508960.78052674478</v>
      </c>
      <c r="BG152" s="19">
        <f>'P&amp;L - Inputs'!CF567</f>
        <v>508601.52145307208</v>
      </c>
      <c r="BH152" s="19">
        <f>'P&amp;L - Inputs'!CG567</f>
        <v>549420.22682060662</v>
      </c>
      <c r="BI152" s="19">
        <f>'P&amp;L - Inputs'!CH567</f>
        <v>547147.61443868652</v>
      </c>
      <c r="BJ152" s="19">
        <f>'P&amp;L - Inputs'!CI567</f>
        <v>542176.02238917036</v>
      </c>
      <c r="BK152" s="19">
        <f>'P&amp;L - Inputs'!CJ567</f>
        <v>897249.45239550702</v>
      </c>
      <c r="BL152" s="19">
        <f>'P&amp;L - Inputs'!CK567</f>
        <v>769552.82728952088</v>
      </c>
      <c r="BM152" s="19">
        <f>'P&amp;L - Inputs'!CL567</f>
        <v>1040509.1252501275</v>
      </c>
      <c r="BN152" s="19">
        <f>'P&amp;L - Inputs'!CM567</f>
        <v>866415.48380158911</v>
      </c>
      <c r="BO152" s="19">
        <f>'P&amp;L - Inputs'!CN567</f>
        <v>892740.37882307195</v>
      </c>
      <c r="BP152" s="19">
        <f>'P&amp;L - Inputs'!CO567</f>
        <v>869644.46091618203</v>
      </c>
      <c r="BQ152" s="19">
        <f>'P&amp;L - Inputs'!CP567</f>
        <v>856580.5034431821</v>
      </c>
      <c r="BR152" s="19">
        <f>'P&amp;L - Inputs'!CQ567</f>
        <v>775347.97671296517</v>
      </c>
      <c r="BS152" s="19">
        <f>'P&amp;L - Inputs'!CR567</f>
        <v>691119.7086549456</v>
      </c>
      <c r="BT152" s="19">
        <f>'P&amp;L - Inputs'!CS567</f>
        <v>739423.15229589108</v>
      </c>
      <c r="BU152" s="19">
        <f>'P&amp;L - Inputs'!CT567</f>
        <v>830191.83681094856</v>
      </c>
      <c r="BV152" s="19">
        <f>'P&amp;L - Inputs'!CU567</f>
        <v>830191.83681094856</v>
      </c>
      <c r="BW152" s="19">
        <f>'P&amp;L - Inputs'!CV567</f>
        <v>830191.83681094856</v>
      </c>
      <c r="BX152" s="19">
        <f>'P&amp;L - Inputs'!CW567</f>
        <v>830191.83681094856</v>
      </c>
      <c r="BY152" s="19">
        <f>'P&amp;L - Inputs'!CX567</f>
        <v>830191.83681094856</v>
      </c>
      <c r="BZ152" s="19">
        <f>'P&amp;L - Inputs'!CY567</f>
        <v>830191.83681094856</v>
      </c>
      <c r="CA152" s="19">
        <f>'P&amp;L - Inputs'!CZ567</f>
        <v>830191.83681094856</v>
      </c>
      <c r="CB152" s="19">
        <f>'P&amp;L - Inputs'!DA567</f>
        <v>830191.83681094856</v>
      </c>
      <c r="CC152" s="19">
        <f>'P&amp;L - Inputs'!DB567</f>
        <v>830191.83681094856</v>
      </c>
      <c r="CD152" s="19">
        <f>'P&amp;L - Inputs'!DC567</f>
        <v>830191.83681094856</v>
      </c>
      <c r="CE152" s="19">
        <f>'P&amp;L - Inputs'!DD567</f>
        <v>830191.83681094856</v>
      </c>
      <c r="CF152" s="19">
        <f>'P&amp;L - Inputs'!DE567</f>
        <v>830191.83681094856</v>
      </c>
      <c r="CG152" s="19">
        <f>'P&amp;L - Inputs'!DF567</f>
        <v>871701.42865149607</v>
      </c>
      <c r="CH152" s="19">
        <f>'P&amp;L - Inputs'!DG567</f>
        <v>871701.42865149607</v>
      </c>
      <c r="CI152" s="19">
        <f>'P&amp;L - Inputs'!DH567</f>
        <v>871701.42865149607</v>
      </c>
      <c r="CJ152" s="19">
        <f>'P&amp;L - Inputs'!DI567</f>
        <v>871701.42865149607</v>
      </c>
      <c r="CK152" s="19">
        <f>'P&amp;L - Inputs'!DJ567</f>
        <v>871701.42865149607</v>
      </c>
      <c r="CL152" s="19">
        <f>'P&amp;L - Inputs'!DK567</f>
        <v>871701.42865149607</v>
      </c>
      <c r="CM152" s="19">
        <f>'P&amp;L - Inputs'!DL567</f>
        <v>871701.42865149607</v>
      </c>
      <c r="CN152" s="19">
        <f>'P&amp;L - Inputs'!DM567</f>
        <v>871701.42865149607</v>
      </c>
      <c r="CO152" s="19">
        <f>'P&amp;L - Inputs'!DN567</f>
        <v>871701.42865149607</v>
      </c>
      <c r="CP152" s="19">
        <f>'P&amp;L - Inputs'!DO567</f>
        <v>871701.42865149607</v>
      </c>
      <c r="CQ152" s="19">
        <f>'P&amp;L - Inputs'!DP567</f>
        <v>871701.42865149607</v>
      </c>
      <c r="CR152" s="19">
        <f>'P&amp;L - Inputs'!DQ567</f>
        <v>871701.42865149607</v>
      </c>
      <c r="CS152" s="19">
        <f>'P&amp;L - Inputs'!DR567</f>
        <v>915286.50008407095</v>
      </c>
      <c r="CT152" s="19">
        <f>'P&amp;L - Inputs'!DS567</f>
        <v>915286.50008407095</v>
      </c>
      <c r="CU152" s="19">
        <f>'P&amp;L - Inputs'!DT567</f>
        <v>915286.50008407095</v>
      </c>
      <c r="CV152" s="19">
        <f>'P&amp;L - Inputs'!DU567</f>
        <v>915286.50008407095</v>
      </c>
      <c r="CW152" s="19">
        <f>'P&amp;L - Inputs'!DV567</f>
        <v>915286.50008407095</v>
      </c>
      <c r="CX152" s="19">
        <f>'P&amp;L - Inputs'!DW567</f>
        <v>915286.50008407095</v>
      </c>
      <c r="CY152" s="19">
        <f>'P&amp;L - Inputs'!DX567</f>
        <v>915286.50008407095</v>
      </c>
      <c r="CZ152" s="19">
        <f>'P&amp;L - Inputs'!DY567</f>
        <v>915286.50008407095</v>
      </c>
      <c r="DA152" s="19">
        <f>'P&amp;L - Inputs'!DZ567</f>
        <v>915286.50008407095</v>
      </c>
      <c r="DB152" s="19">
        <f>'P&amp;L - Inputs'!EA567</f>
        <v>915286.50008407095</v>
      </c>
      <c r="DC152" s="19">
        <f>'P&amp;L - Inputs'!EB567</f>
        <v>915286.50008407095</v>
      </c>
      <c r="DD152" s="19">
        <f>'P&amp;L - Inputs'!EC567</f>
        <v>915286.50008407095</v>
      </c>
      <c r="DF152" s="19">
        <f t="shared" si="653"/>
        <v>1614356.2961804236</v>
      </c>
      <c r="DG152" s="19">
        <f t="shared" si="654"/>
        <v>1477865.0010736599</v>
      </c>
      <c r="DH152" s="19">
        <f t="shared" si="655"/>
        <v>1443442.1288817869</v>
      </c>
      <c r="DI152" s="19">
        <f t="shared" si="656"/>
        <v>1314081.8024217302</v>
      </c>
      <c r="DJ152" s="19">
        <f t="shared" si="657"/>
        <v>1394684.2583586553</v>
      </c>
      <c r="DK152" s="19">
        <f t="shared" si="658"/>
        <v>1269182.0066061264</v>
      </c>
      <c r="DL152" s="19">
        <f t="shared" si="659"/>
        <v>1411225.4507288148</v>
      </c>
      <c r="DM152" s="19">
        <f t="shared" si="660"/>
        <v>1566982.5288004235</v>
      </c>
      <c r="DN152" s="19">
        <f t="shared" si="661"/>
        <v>1986573.0892233639</v>
      </c>
      <c r="DO152" s="19">
        <f t="shared" si="662"/>
        <v>2676477.4363412373</v>
      </c>
      <c r="DP152" s="19">
        <f t="shared" si="663"/>
        <v>2618965.3431824362</v>
      </c>
      <c r="DQ152" s="19">
        <f t="shared" si="664"/>
        <v>2205890.8376638019</v>
      </c>
      <c r="DR152" s="19">
        <f t="shared" si="665"/>
        <v>2490575.5104328459</v>
      </c>
      <c r="DS152" s="19">
        <f t="shared" si="666"/>
        <v>2490575.5104328459</v>
      </c>
      <c r="DT152" s="19">
        <f t="shared" si="667"/>
        <v>2490575.5104328459</v>
      </c>
      <c r="DU152" s="19">
        <f t="shared" si="668"/>
        <v>2490575.5104328459</v>
      </c>
      <c r="DV152" s="19">
        <f t="shared" si="669"/>
        <v>2615104.2859544884</v>
      </c>
      <c r="DW152" s="19">
        <f t="shared" si="670"/>
        <v>2615104.2859544884</v>
      </c>
      <c r="DX152" s="19">
        <f t="shared" si="671"/>
        <v>2615104.2859544884</v>
      </c>
      <c r="DY152" s="19">
        <f t="shared" si="672"/>
        <v>2615104.2859544884</v>
      </c>
      <c r="DZ152" s="19">
        <f t="shared" si="587"/>
        <v>2745859.5002522129</v>
      </c>
      <c r="EA152" s="19">
        <f t="shared" si="588"/>
        <v>2745859.5002522129</v>
      </c>
      <c r="EB152" s="19">
        <f t="shared" si="589"/>
        <v>2745859.5002522129</v>
      </c>
      <c r="EC152" s="19">
        <f t="shared" si="590"/>
        <v>2745859.5002522129</v>
      </c>
      <c r="EE152" s="19">
        <f>SUM(DF152:DI152)</f>
        <v>5849745.2285576006</v>
      </c>
      <c r="EF152" s="19">
        <f>SUM(DJ152:DM152)</f>
        <v>5642074.24449402</v>
      </c>
      <c r="EG152" s="19">
        <f>SUM(DN152:DQ152)</f>
        <v>9487906.7064108402</v>
      </c>
      <c r="EH152" s="19">
        <f>SUM(DR152:DU152)</f>
        <v>9962302.0417313837</v>
      </c>
      <c r="EI152" s="19">
        <f>SUM(DV152:DY152)</f>
        <v>10460417.143817954</v>
      </c>
      <c r="EJ152" s="770">
        <f t="shared" si="596"/>
        <v>10983438.001008851</v>
      </c>
    </row>
    <row r="153" spans="2:140" x14ac:dyDescent="0.2">
      <c r="B153" s="167" t="s">
        <v>51</v>
      </c>
      <c r="C153" s="19">
        <f>'P&amp;L - Inputs'!AB568</f>
        <v>0</v>
      </c>
      <c r="D153" s="19">
        <f>'P&amp;L - Inputs'!AC568</f>
        <v>22898</v>
      </c>
      <c r="E153" s="19">
        <f>'P&amp;L - Inputs'!AD568</f>
        <v>99844</v>
      </c>
      <c r="F153" s="19">
        <f>'P&amp;L - Inputs'!AE568</f>
        <v>107328</v>
      </c>
      <c r="G153" s="19">
        <f>'P&amp;L - Inputs'!AF568</f>
        <v>119086</v>
      </c>
      <c r="H153" s="19">
        <f>'P&amp;L - Inputs'!AG568</f>
        <v>112192.32000000001</v>
      </c>
      <c r="I153" s="19">
        <f>'P&amp;L - Inputs'!AH568</f>
        <v>117186</v>
      </c>
      <c r="J153" s="19">
        <f>'P&amp;L - Inputs'!AI568</f>
        <v>118347.32</v>
      </c>
      <c r="K153" s="19">
        <f>'P&amp;L - Inputs'!AJ568</f>
        <v>68350.679999999993</v>
      </c>
      <c r="L153" s="19">
        <f>'P&amp;L - Inputs'!AK568</f>
        <v>166981.74</v>
      </c>
      <c r="M153" s="19">
        <f>'P&amp;L - Inputs'!AL568</f>
        <v>12655</v>
      </c>
      <c r="N153" s="19">
        <f>'P&amp;L - Inputs'!AM568</f>
        <v>41434.36</v>
      </c>
      <c r="O153" s="19">
        <f>'P&amp;L - Inputs'!AN568</f>
        <v>38434</v>
      </c>
      <c r="P153" s="19">
        <f>'P&amp;L - Inputs'!AO568</f>
        <v>208975</v>
      </c>
      <c r="Q153" s="19">
        <f>'P&amp;L - Inputs'!AP568</f>
        <v>202428</v>
      </c>
      <c r="R153" s="19">
        <f>'P&amp;L - Inputs'!AQ568</f>
        <v>497523</v>
      </c>
      <c r="S153" s="19">
        <f>'P&amp;L - Inputs'!AR568</f>
        <v>439249</v>
      </c>
      <c r="T153" s="19">
        <f>'P&amp;L - Inputs'!AS568</f>
        <v>468433.95</v>
      </c>
      <c r="U153" s="19">
        <f>'P&amp;L - Inputs'!AT568</f>
        <v>612227</v>
      </c>
      <c r="V153" s="19">
        <f>'P&amp;L - Inputs'!AU568</f>
        <v>633415</v>
      </c>
      <c r="W153" s="19">
        <f>'P&amp;L - Inputs'!AV568</f>
        <v>486724</v>
      </c>
      <c r="X153" s="19">
        <f>'P&amp;L - Inputs'!AW568</f>
        <v>1119671</v>
      </c>
      <c r="Y153" s="19">
        <f>'P&amp;L - Inputs'!AX568</f>
        <v>318280</v>
      </c>
      <c r="Z153" s="19">
        <f>'P&amp;L - Inputs'!AY568</f>
        <v>744885</v>
      </c>
      <c r="AA153" s="19">
        <f>'P&amp;L - Inputs'!AZ568</f>
        <v>533204</v>
      </c>
      <c r="AB153" s="19">
        <f>'P&amp;L - Inputs'!BA568</f>
        <v>553265</v>
      </c>
      <c r="AC153" s="19">
        <f>'P&amp;L - Inputs'!BB568</f>
        <v>234750</v>
      </c>
      <c r="AD153" s="19">
        <f>'P&amp;L - Inputs'!BC568</f>
        <v>558463</v>
      </c>
      <c r="AE153" s="19">
        <f>'P&amp;L - Inputs'!BD568</f>
        <v>894226</v>
      </c>
      <c r="AF153" s="19">
        <f>'P&amp;L - Inputs'!BE568</f>
        <v>871376</v>
      </c>
      <c r="AG153" s="19">
        <f>'P&amp;L - Inputs'!BF568</f>
        <v>1270737</v>
      </c>
      <c r="AH153" s="19">
        <f>'P&amp;L - Inputs'!BG568</f>
        <v>1722444</v>
      </c>
      <c r="AI153" s="19">
        <f>'P&amp;L - Inputs'!BH568</f>
        <v>1206793</v>
      </c>
      <c r="AJ153" s="19">
        <f>'P&amp;L - Inputs'!BI568</f>
        <v>1070439</v>
      </c>
      <c r="AK153" s="19">
        <f>'P&amp;L - Inputs'!BJ568</f>
        <v>552325</v>
      </c>
      <c r="AL153" s="19">
        <f>'P&amp;L - Inputs'!BK568</f>
        <v>841489</v>
      </c>
      <c r="AM153" s="19">
        <f>'P&amp;L - Inputs'!BL568</f>
        <v>722609</v>
      </c>
      <c r="AN153" s="19">
        <f>'P&amp;L - Inputs'!BM568</f>
        <v>766745</v>
      </c>
      <c r="AO153" s="19">
        <f>'P&amp;L - Inputs'!BN568</f>
        <v>874603</v>
      </c>
      <c r="AP153" s="19">
        <f>'P&amp;L - Inputs'!BO568</f>
        <v>793118.99</v>
      </c>
      <c r="AQ153" s="19">
        <f>'P&amp;L - Inputs'!BP568</f>
        <v>675291</v>
      </c>
      <c r="AR153" s="19">
        <f>'P&amp;L - Inputs'!BQ568</f>
        <v>882538</v>
      </c>
      <c r="AS153" s="19">
        <f>'P&amp;L - Inputs'!BR568</f>
        <v>996202</v>
      </c>
      <c r="AT153" s="19">
        <f>'P&amp;L - Inputs'!BS568</f>
        <v>1339028</v>
      </c>
      <c r="AU153" s="19">
        <f>'P&amp;L - Inputs'!BT568</f>
        <v>985786</v>
      </c>
      <c r="AV153" s="19">
        <f>'P&amp;L - Inputs'!BU568</f>
        <v>787319</v>
      </c>
      <c r="AW153" s="19">
        <f>'P&amp;L - Inputs'!BV568</f>
        <v>769190</v>
      </c>
      <c r="AX153" s="19">
        <f>'P&amp;L - Inputs'!BW568</f>
        <v>1109934</v>
      </c>
      <c r="AY153" s="19">
        <f>'P&amp;L - Inputs'!BX568</f>
        <v>726456</v>
      </c>
      <c r="AZ153" s="19">
        <f>'P&amp;L - Inputs'!BY568</f>
        <v>998890</v>
      </c>
      <c r="BA153" s="19">
        <f>'P&amp;L - Inputs'!BZ568</f>
        <v>997179</v>
      </c>
      <c r="BB153" s="19">
        <f>'P&amp;L - Inputs'!CA568</f>
        <v>1089605</v>
      </c>
      <c r="BC153" s="19">
        <f>'P&amp;L - Inputs'!CB568</f>
        <v>1029330</v>
      </c>
      <c r="BD153" s="19">
        <f>'P&amp;L - Inputs'!CC568</f>
        <v>1089190</v>
      </c>
      <c r="BE153" s="19">
        <f>'P&amp;L - Inputs'!CD568</f>
        <v>1253021</v>
      </c>
      <c r="BF153" s="19">
        <f>'P&amp;L - Inputs'!CE568</f>
        <v>1216745</v>
      </c>
      <c r="BG153" s="19">
        <f>'P&amp;L - Inputs'!CF568</f>
        <v>974138</v>
      </c>
      <c r="BH153" s="19">
        <f>'P&amp;L - Inputs'!CG568</f>
        <v>1854171</v>
      </c>
      <c r="BI153" s="19">
        <f>'P&amp;L - Inputs'!CH568</f>
        <v>1360623.67</v>
      </c>
      <c r="BJ153" s="19">
        <f>'P&amp;L - Inputs'!CI568</f>
        <v>1673444</v>
      </c>
      <c r="BK153" s="19">
        <f>'P&amp;L - Inputs'!CJ568</f>
        <v>1900988</v>
      </c>
      <c r="BL153" s="19">
        <f>'P&amp;L - Inputs'!CK568</f>
        <v>2019438</v>
      </c>
      <c r="BM153" s="19">
        <f>'P&amp;L - Inputs'!CL568</f>
        <v>2144095</v>
      </c>
      <c r="BN153" s="19">
        <f>'P&amp;L - Inputs'!CM568</f>
        <v>1884239</v>
      </c>
      <c r="BO153" s="19">
        <f>'P&amp;L - Inputs'!CN568</f>
        <v>2064400.7599999998</v>
      </c>
      <c r="BP153" s="19">
        <f>'P&amp;L - Inputs'!CO568</f>
        <v>2353762.9300000002</v>
      </c>
      <c r="BQ153" s="19">
        <f>'P&amp;L - Inputs'!CP568</f>
        <v>2610351.46</v>
      </c>
      <c r="BR153" s="19">
        <f>'P&amp;L - Inputs'!CQ568</f>
        <v>2508414.5</v>
      </c>
      <c r="BS153" s="19">
        <f>'P&amp;L - Inputs'!CR568</f>
        <v>2730754.79</v>
      </c>
      <c r="BT153" s="19">
        <f>'P&amp;L - Inputs'!CS568</f>
        <v>2471386</v>
      </c>
      <c r="BU153" s="19">
        <f>'P&amp;L - Inputs'!CT568</f>
        <v>2357840.6600833335</v>
      </c>
      <c r="BV153" s="19">
        <f>'P&amp;L - Inputs'!CU568</f>
        <v>2357840.6600833335</v>
      </c>
      <c r="BW153" s="19">
        <f>'P&amp;L - Inputs'!CV568</f>
        <v>2357840.6600833335</v>
      </c>
      <c r="BX153" s="19">
        <f>'P&amp;L - Inputs'!CW568</f>
        <v>2357840.6600833335</v>
      </c>
      <c r="BY153" s="19">
        <f>'P&amp;L - Inputs'!CX568</f>
        <v>2357840.6600833335</v>
      </c>
      <c r="BZ153" s="19">
        <f>'P&amp;L - Inputs'!CY568</f>
        <v>2357840.6600833335</v>
      </c>
      <c r="CA153" s="19">
        <f>'P&amp;L - Inputs'!CZ568</f>
        <v>2357840.6600833335</v>
      </c>
      <c r="CB153" s="19">
        <f>'P&amp;L - Inputs'!DA568</f>
        <v>2357840.6600833335</v>
      </c>
      <c r="CC153" s="19">
        <f>'P&amp;L - Inputs'!DB568</f>
        <v>2357840.6600833335</v>
      </c>
      <c r="CD153" s="19">
        <f>'P&amp;L - Inputs'!DC568</f>
        <v>2357840.6600833335</v>
      </c>
      <c r="CE153" s="19">
        <f>'P&amp;L - Inputs'!DD568</f>
        <v>2357840.6600833335</v>
      </c>
      <c r="CF153" s="19">
        <f>'P&amp;L - Inputs'!DE568</f>
        <v>2357840.6600833335</v>
      </c>
      <c r="CG153" s="19">
        <f>'P&amp;L - Inputs'!DF568</f>
        <v>2475732.6930875001</v>
      </c>
      <c r="CH153" s="19">
        <f>'P&amp;L - Inputs'!DG568</f>
        <v>2475732.6930875001</v>
      </c>
      <c r="CI153" s="19">
        <f>'P&amp;L - Inputs'!DH568</f>
        <v>2475732.6930875001</v>
      </c>
      <c r="CJ153" s="19">
        <f>'P&amp;L - Inputs'!DI568</f>
        <v>2475732.6930875001</v>
      </c>
      <c r="CK153" s="19">
        <f>'P&amp;L - Inputs'!DJ568</f>
        <v>2475732.6930875001</v>
      </c>
      <c r="CL153" s="19">
        <f>'P&amp;L - Inputs'!DK568</f>
        <v>2475732.6930875001</v>
      </c>
      <c r="CM153" s="19">
        <f>'P&amp;L - Inputs'!DL568</f>
        <v>2475732.6930875001</v>
      </c>
      <c r="CN153" s="19">
        <f>'P&amp;L - Inputs'!DM568</f>
        <v>2475732.6930875001</v>
      </c>
      <c r="CO153" s="19">
        <f>'P&amp;L - Inputs'!DN568</f>
        <v>2475732.6930875001</v>
      </c>
      <c r="CP153" s="19">
        <f>'P&amp;L - Inputs'!DO568</f>
        <v>2475732.6930875001</v>
      </c>
      <c r="CQ153" s="19">
        <f>'P&amp;L - Inputs'!DP568</f>
        <v>2475732.6930875001</v>
      </c>
      <c r="CR153" s="19">
        <f>'P&amp;L - Inputs'!DQ568</f>
        <v>2475732.6930875001</v>
      </c>
      <c r="CS153" s="19">
        <f>'P&amp;L - Inputs'!DR568</f>
        <v>2599519.3277418753</v>
      </c>
      <c r="CT153" s="19">
        <f>'P&amp;L - Inputs'!DS568</f>
        <v>2599519.3277418753</v>
      </c>
      <c r="CU153" s="19">
        <f>'P&amp;L - Inputs'!DT568</f>
        <v>2599519.3277418753</v>
      </c>
      <c r="CV153" s="19">
        <f>'P&amp;L - Inputs'!DU568</f>
        <v>2599519.3277418753</v>
      </c>
      <c r="CW153" s="19">
        <f>'P&amp;L - Inputs'!DV568</f>
        <v>2599519.3277418753</v>
      </c>
      <c r="CX153" s="19">
        <f>'P&amp;L - Inputs'!DW568</f>
        <v>2599519.3277418753</v>
      </c>
      <c r="CY153" s="19">
        <f>'P&amp;L - Inputs'!DX568</f>
        <v>2599519.3277418753</v>
      </c>
      <c r="CZ153" s="19">
        <f>'P&amp;L - Inputs'!DY568</f>
        <v>2599519.3277418753</v>
      </c>
      <c r="DA153" s="19">
        <f>'P&amp;L - Inputs'!DZ568</f>
        <v>2599519.3277418753</v>
      </c>
      <c r="DB153" s="19">
        <f>'P&amp;L - Inputs'!EA568</f>
        <v>2599519.3277418753</v>
      </c>
      <c r="DC153" s="19">
        <f>'P&amp;L - Inputs'!EB568</f>
        <v>2599519.3277418753</v>
      </c>
      <c r="DD153" s="19">
        <f>'P&amp;L - Inputs'!EC568</f>
        <v>2599519.3277418753</v>
      </c>
      <c r="DF153" s="19">
        <f t="shared" si="653"/>
        <v>2116423</v>
      </c>
      <c r="DG153" s="19">
        <f t="shared" si="654"/>
        <v>2434466.9900000002</v>
      </c>
      <c r="DH153" s="19">
        <f t="shared" si="655"/>
        <v>2554031</v>
      </c>
      <c r="DI153" s="19">
        <f t="shared" si="656"/>
        <v>3112133</v>
      </c>
      <c r="DJ153" s="19">
        <f t="shared" si="657"/>
        <v>2605580</v>
      </c>
      <c r="DK153" s="19">
        <f t="shared" si="658"/>
        <v>3085674</v>
      </c>
      <c r="DL153" s="19">
        <f t="shared" si="659"/>
        <v>3371541</v>
      </c>
      <c r="DM153" s="19">
        <f t="shared" si="660"/>
        <v>4045054</v>
      </c>
      <c r="DN153" s="19">
        <f t="shared" si="661"/>
        <v>4935055.67</v>
      </c>
      <c r="DO153" s="19">
        <f t="shared" si="662"/>
        <v>6047772</v>
      </c>
      <c r="DP153" s="19">
        <f t="shared" si="663"/>
        <v>7028515.1499999994</v>
      </c>
      <c r="DQ153" s="19">
        <f t="shared" si="664"/>
        <v>7710555.29</v>
      </c>
      <c r="DR153" s="19">
        <f t="shared" si="665"/>
        <v>7073521.980250001</v>
      </c>
      <c r="DS153" s="19">
        <f t="shared" si="666"/>
        <v>7073521.980250001</v>
      </c>
      <c r="DT153" s="19">
        <f t="shared" si="667"/>
        <v>7073521.980250001</v>
      </c>
      <c r="DU153" s="19">
        <f t="shared" si="668"/>
        <v>7073521.980250001</v>
      </c>
      <c r="DV153" s="19">
        <f t="shared" si="669"/>
        <v>7427198.0792625006</v>
      </c>
      <c r="DW153" s="19">
        <f t="shared" si="670"/>
        <v>7427198.0792625006</v>
      </c>
      <c r="DX153" s="19">
        <f t="shared" si="671"/>
        <v>7427198.0792625006</v>
      </c>
      <c r="DY153" s="19">
        <f t="shared" si="672"/>
        <v>7427198.0792625006</v>
      </c>
      <c r="DZ153" s="19">
        <f t="shared" si="587"/>
        <v>7798557.9832256259</v>
      </c>
      <c r="EA153" s="19">
        <f t="shared" si="588"/>
        <v>7798557.9832256259</v>
      </c>
      <c r="EB153" s="19">
        <f t="shared" si="589"/>
        <v>7798557.9832256259</v>
      </c>
      <c r="EC153" s="19">
        <f t="shared" si="590"/>
        <v>7798557.9832256259</v>
      </c>
      <c r="EE153" s="19">
        <f>SUM(DF153:DI153)</f>
        <v>10217053.99</v>
      </c>
      <c r="EF153" s="19">
        <f>SUM(DJ153:DM153)</f>
        <v>13107849</v>
      </c>
      <c r="EG153" s="19">
        <f>SUM(DN153:DQ153)</f>
        <v>25721898.109999999</v>
      </c>
      <c r="EH153" s="19">
        <f>SUM(DR153:DU153)</f>
        <v>28294087.921000004</v>
      </c>
      <c r="EI153" s="19">
        <f>SUM(DV153:DY153)</f>
        <v>29708792.317050003</v>
      </c>
      <c r="EJ153" s="770">
        <f t="shared" si="596"/>
        <v>31194231.932902504</v>
      </c>
    </row>
    <row r="154" spans="2:140" x14ac:dyDescent="0.2">
      <c r="B154" s="167" t="s">
        <v>52</v>
      </c>
      <c r="C154" s="19">
        <f>'P&amp;L - Inputs'!AB569</f>
        <v>0</v>
      </c>
      <c r="D154" s="19">
        <f>'P&amp;L - Inputs'!AC569</f>
        <v>8997</v>
      </c>
      <c r="E154" s="19">
        <f>'P&amp;L - Inputs'!AD569</f>
        <v>145471</v>
      </c>
      <c r="F154" s="19">
        <f>'P&amp;L - Inputs'!AE569</f>
        <v>158676</v>
      </c>
      <c r="G154" s="19">
        <f>'P&amp;L - Inputs'!AF569</f>
        <v>85231</v>
      </c>
      <c r="H154" s="19">
        <f>'P&amp;L - Inputs'!AG569</f>
        <v>85326.5</v>
      </c>
      <c r="I154" s="19">
        <f>'P&amp;L - Inputs'!AH569</f>
        <v>94228</v>
      </c>
      <c r="J154" s="19">
        <f>'P&amp;L - Inputs'!AI569</f>
        <v>162261</v>
      </c>
      <c r="K154" s="19">
        <f>'P&amp;L - Inputs'!AJ569</f>
        <v>231290.46</v>
      </c>
      <c r="L154" s="19">
        <f>'P&amp;L - Inputs'!AK569</f>
        <v>558256.74</v>
      </c>
      <c r="M154" s="19">
        <f>'P&amp;L - Inputs'!AL569</f>
        <v>248876</v>
      </c>
      <c r="N154" s="19">
        <f>'P&amp;L - Inputs'!AM569</f>
        <v>65290</v>
      </c>
      <c r="O154" s="19">
        <f>'P&amp;L - Inputs'!AN569</f>
        <v>235856</v>
      </c>
      <c r="P154" s="19">
        <f>'P&amp;L - Inputs'!AO569</f>
        <v>273104</v>
      </c>
      <c r="Q154" s="19">
        <f>'P&amp;L - Inputs'!AP569</f>
        <v>688468</v>
      </c>
      <c r="R154" s="19">
        <f>'P&amp;L - Inputs'!AQ569</f>
        <v>377611</v>
      </c>
      <c r="S154" s="19">
        <f>'P&amp;L - Inputs'!AR569</f>
        <v>260044</v>
      </c>
      <c r="T154" s="19">
        <f>'P&amp;L - Inputs'!AS569</f>
        <v>246424</v>
      </c>
      <c r="U154" s="19">
        <f>'P&amp;L - Inputs'!AT569</f>
        <v>568152</v>
      </c>
      <c r="V154" s="19">
        <f>'P&amp;L - Inputs'!AU569</f>
        <v>395217</v>
      </c>
      <c r="W154" s="19">
        <f>'P&amp;L - Inputs'!AV569</f>
        <v>337431.33999999997</v>
      </c>
      <c r="X154" s="19">
        <f>'P&amp;L - Inputs'!AW569</f>
        <v>323184.14</v>
      </c>
      <c r="Y154" s="19">
        <f>'P&amp;L - Inputs'!AX569</f>
        <v>188039</v>
      </c>
      <c r="Z154" s="19">
        <f>'P&amp;L - Inputs'!AY569</f>
        <v>608944</v>
      </c>
      <c r="AA154" s="19">
        <f>'P&amp;L - Inputs'!AZ569</f>
        <v>832256</v>
      </c>
      <c r="AB154" s="19">
        <f>'P&amp;L - Inputs'!BA569</f>
        <v>774339</v>
      </c>
      <c r="AC154" s="19">
        <f>'P&amp;L - Inputs'!BB569</f>
        <v>1337312</v>
      </c>
      <c r="AD154" s="19">
        <f>'P&amp;L - Inputs'!BC569</f>
        <v>1503731</v>
      </c>
      <c r="AE154" s="19">
        <f>'P&amp;L - Inputs'!BD569</f>
        <v>1277442</v>
      </c>
      <c r="AF154" s="19">
        <f>'P&amp;L - Inputs'!BE569</f>
        <v>1817828</v>
      </c>
      <c r="AG154" s="19">
        <f>'P&amp;L - Inputs'!BF569</f>
        <v>2315214.6800000002</v>
      </c>
      <c r="AH154" s="19">
        <f>'P&amp;L - Inputs'!BG569</f>
        <v>1916421.6</v>
      </c>
      <c r="AI154" s="19">
        <f>'P&amp;L - Inputs'!BH569</f>
        <v>1216663</v>
      </c>
      <c r="AJ154" s="19">
        <f>'P&amp;L - Inputs'!BI569</f>
        <v>1523180</v>
      </c>
      <c r="AK154" s="19">
        <f>'P&amp;L - Inputs'!BJ569</f>
        <v>1178625</v>
      </c>
      <c r="AL154" s="19">
        <f>'P&amp;L - Inputs'!BK569</f>
        <v>1275839.29</v>
      </c>
      <c r="AM154" s="19">
        <f>'P&amp;L - Inputs'!BL569</f>
        <v>3134506</v>
      </c>
      <c r="AN154" s="19">
        <f>'P&amp;L - Inputs'!BM569</f>
        <v>1512702</v>
      </c>
      <c r="AO154" s="19">
        <f>'P&amp;L - Inputs'!BN569</f>
        <v>2736008</v>
      </c>
      <c r="AP154" s="19">
        <f>'P&amp;L - Inputs'!BO569</f>
        <v>1789420</v>
      </c>
      <c r="AQ154" s="19">
        <f>'P&amp;L - Inputs'!BP569</f>
        <v>1502546</v>
      </c>
      <c r="AR154" s="19">
        <f>'P&amp;L - Inputs'!BQ569</f>
        <v>1956525</v>
      </c>
      <c r="AS154" s="19">
        <f>'P&amp;L - Inputs'!BR569</f>
        <v>1861322</v>
      </c>
      <c r="AT154" s="19">
        <f>'P&amp;L - Inputs'!BS569</f>
        <v>1582876</v>
      </c>
      <c r="AU154" s="19">
        <f>'P&amp;L - Inputs'!BT569</f>
        <v>1351836</v>
      </c>
      <c r="AV154" s="19">
        <f>'P&amp;L - Inputs'!BU569</f>
        <v>1362944.89</v>
      </c>
      <c r="AW154" s="19">
        <f>'P&amp;L - Inputs'!BV569</f>
        <v>1152612.8900000001</v>
      </c>
      <c r="AX154" s="19">
        <f>'P&amp;L - Inputs'!BW569</f>
        <v>997511.5</v>
      </c>
      <c r="AY154" s="19">
        <f>'P&amp;L - Inputs'!BX569</f>
        <v>1623771</v>
      </c>
      <c r="AZ154" s="19">
        <f>'P&amp;L - Inputs'!BY569</f>
        <v>1059759.5</v>
      </c>
      <c r="BA154" s="19">
        <f>'P&amp;L - Inputs'!BZ569</f>
        <v>1662411.5</v>
      </c>
      <c r="BB154" s="19">
        <f>'P&amp;L - Inputs'!CA569</f>
        <v>1656422</v>
      </c>
      <c r="BC154" s="19">
        <f>'P&amp;L - Inputs'!CB569</f>
        <v>1456710.5</v>
      </c>
      <c r="BD154" s="19">
        <f>'P&amp;L - Inputs'!CC569</f>
        <v>1687647</v>
      </c>
      <c r="BE154" s="19">
        <f>'P&amp;L - Inputs'!CD569</f>
        <v>1548608</v>
      </c>
      <c r="BF154" s="19">
        <f>'P&amp;L - Inputs'!CE569</f>
        <v>2312835.5</v>
      </c>
      <c r="BG154" s="19">
        <f>'P&amp;L - Inputs'!CF569</f>
        <v>2771754.5</v>
      </c>
      <c r="BH154" s="19">
        <f>'P&amp;L - Inputs'!CG569</f>
        <v>3330820.5</v>
      </c>
      <c r="BI154" s="19">
        <f>'P&amp;L - Inputs'!CH569</f>
        <v>3511845</v>
      </c>
      <c r="BJ154" s="19">
        <f>'P&amp;L - Inputs'!CI569</f>
        <v>2050273.5</v>
      </c>
      <c r="BK154" s="19">
        <f>'P&amp;L - Inputs'!CJ569</f>
        <v>2491229.7799999998</v>
      </c>
      <c r="BL154" s="19">
        <f>'P&amp;L - Inputs'!CK569</f>
        <v>2479104</v>
      </c>
      <c r="BM154" s="19">
        <f>'P&amp;L - Inputs'!CL569</f>
        <v>2050164.1799999997</v>
      </c>
      <c r="BN154" s="19">
        <f>'P&amp;L - Inputs'!CM569</f>
        <v>2968150.4</v>
      </c>
      <c r="BO154" s="19">
        <f>'P&amp;L - Inputs'!CN569</f>
        <v>4281379.5</v>
      </c>
      <c r="BP154" s="19">
        <f>'P&amp;L - Inputs'!CO569</f>
        <v>3398784.5</v>
      </c>
      <c r="BQ154" s="19">
        <f>'P&amp;L - Inputs'!CP569</f>
        <v>3985957.5</v>
      </c>
      <c r="BR154" s="19">
        <f>'P&amp;L - Inputs'!CQ569</f>
        <v>3816119.36</v>
      </c>
      <c r="BS154" s="19">
        <f>'P&amp;L - Inputs'!CR569</f>
        <v>2107596.5</v>
      </c>
      <c r="BT154" s="19">
        <f>'P&amp;L - Inputs'!CS569</f>
        <v>2852282</v>
      </c>
      <c r="BU154" s="19">
        <f>'P&amp;L - Inputs'!CT569</f>
        <v>3149377.5442500003</v>
      </c>
      <c r="BV154" s="19">
        <f>'P&amp;L - Inputs'!CU569</f>
        <v>3149377.5442500003</v>
      </c>
      <c r="BW154" s="19">
        <f>'P&amp;L - Inputs'!CV569</f>
        <v>3149377.5442500003</v>
      </c>
      <c r="BX154" s="19">
        <f>'P&amp;L - Inputs'!CW569</f>
        <v>3149377.5442500003</v>
      </c>
      <c r="BY154" s="19">
        <f>'P&amp;L - Inputs'!CX569</f>
        <v>3149377.5442500003</v>
      </c>
      <c r="BZ154" s="19">
        <f>'P&amp;L - Inputs'!CY569</f>
        <v>3149377.5442500003</v>
      </c>
      <c r="CA154" s="19">
        <f>'P&amp;L - Inputs'!CZ569</f>
        <v>3149377.5442500003</v>
      </c>
      <c r="CB154" s="19">
        <f>'P&amp;L - Inputs'!DA569</f>
        <v>3149377.5442500003</v>
      </c>
      <c r="CC154" s="19">
        <f>'P&amp;L - Inputs'!DB569</f>
        <v>3149377.5442500003</v>
      </c>
      <c r="CD154" s="19">
        <f>'P&amp;L - Inputs'!DC569</f>
        <v>3149377.5442500003</v>
      </c>
      <c r="CE154" s="19">
        <f>'P&amp;L - Inputs'!DD569</f>
        <v>3149377.5442500003</v>
      </c>
      <c r="CF154" s="19">
        <f>'P&amp;L - Inputs'!DE569</f>
        <v>3149377.5442500003</v>
      </c>
      <c r="CG154" s="19">
        <f>'P&amp;L - Inputs'!DF569</f>
        <v>3306846.4214625005</v>
      </c>
      <c r="CH154" s="19">
        <f>'P&amp;L - Inputs'!DG569</f>
        <v>3306846.4214625005</v>
      </c>
      <c r="CI154" s="19">
        <f>'P&amp;L - Inputs'!DH569</f>
        <v>3306846.4214625005</v>
      </c>
      <c r="CJ154" s="19">
        <f>'P&amp;L - Inputs'!DI569</f>
        <v>3306846.4214625005</v>
      </c>
      <c r="CK154" s="19">
        <f>'P&amp;L - Inputs'!DJ569</f>
        <v>3306846.4214625005</v>
      </c>
      <c r="CL154" s="19">
        <f>'P&amp;L - Inputs'!DK569</f>
        <v>3306846.4214625005</v>
      </c>
      <c r="CM154" s="19">
        <f>'P&amp;L - Inputs'!DL569</f>
        <v>3306846.4214625005</v>
      </c>
      <c r="CN154" s="19">
        <f>'P&amp;L - Inputs'!DM569</f>
        <v>3306846.4214625005</v>
      </c>
      <c r="CO154" s="19">
        <f>'P&amp;L - Inputs'!DN569</f>
        <v>3306846.4214625005</v>
      </c>
      <c r="CP154" s="19">
        <f>'P&amp;L - Inputs'!DO569</f>
        <v>3306846.4214625005</v>
      </c>
      <c r="CQ154" s="19">
        <f>'P&amp;L - Inputs'!DP569</f>
        <v>3306846.4214625005</v>
      </c>
      <c r="CR154" s="19">
        <f>'P&amp;L - Inputs'!DQ569</f>
        <v>3306846.4214625005</v>
      </c>
      <c r="CS154" s="19">
        <f>'P&amp;L - Inputs'!DR569</f>
        <v>3472188.7425356256</v>
      </c>
      <c r="CT154" s="19">
        <f>'P&amp;L - Inputs'!DS569</f>
        <v>3472188.7425356256</v>
      </c>
      <c r="CU154" s="19">
        <f>'P&amp;L - Inputs'!DT569</f>
        <v>3472188.7425356256</v>
      </c>
      <c r="CV154" s="19">
        <f>'P&amp;L - Inputs'!DU569</f>
        <v>3472188.7425356256</v>
      </c>
      <c r="CW154" s="19">
        <f>'P&amp;L - Inputs'!DV569</f>
        <v>3472188.7425356256</v>
      </c>
      <c r="CX154" s="19">
        <f>'P&amp;L - Inputs'!DW569</f>
        <v>3472188.7425356256</v>
      </c>
      <c r="CY154" s="19">
        <f>'P&amp;L - Inputs'!DX569</f>
        <v>3472188.7425356256</v>
      </c>
      <c r="CZ154" s="19">
        <f>'P&amp;L - Inputs'!DY569</f>
        <v>3472188.7425356256</v>
      </c>
      <c r="DA154" s="19">
        <f>'P&amp;L - Inputs'!DZ569</f>
        <v>3472188.7425356256</v>
      </c>
      <c r="DB154" s="19">
        <f>'P&amp;L - Inputs'!EA569</f>
        <v>3472188.7425356256</v>
      </c>
      <c r="DC154" s="19">
        <f>'P&amp;L - Inputs'!EB569</f>
        <v>3472188.7425356256</v>
      </c>
      <c r="DD154" s="19">
        <f>'P&amp;L - Inputs'!EC569</f>
        <v>3472188.7425356256</v>
      </c>
      <c r="DF154" s="19">
        <f t="shared" si="653"/>
        <v>5588970.29</v>
      </c>
      <c r="DG154" s="19">
        <f t="shared" si="654"/>
        <v>6038130</v>
      </c>
      <c r="DH154" s="19">
        <f t="shared" si="655"/>
        <v>5320393</v>
      </c>
      <c r="DI154" s="19">
        <f t="shared" si="656"/>
        <v>4297656.8899999997</v>
      </c>
      <c r="DJ154" s="19">
        <f t="shared" si="657"/>
        <v>3773895.39</v>
      </c>
      <c r="DK154" s="19">
        <f t="shared" si="658"/>
        <v>4378593</v>
      </c>
      <c r="DL154" s="19">
        <f t="shared" si="659"/>
        <v>4692965.5</v>
      </c>
      <c r="DM154" s="19">
        <f t="shared" si="660"/>
        <v>8415410.5</v>
      </c>
      <c r="DN154" s="19">
        <f t="shared" si="661"/>
        <v>8053348.2799999993</v>
      </c>
      <c r="DO154" s="19">
        <f t="shared" si="662"/>
        <v>7497418.5800000001</v>
      </c>
      <c r="DP154" s="19">
        <f t="shared" si="663"/>
        <v>11666121.5</v>
      </c>
      <c r="DQ154" s="19">
        <f t="shared" si="664"/>
        <v>8775997.8599999994</v>
      </c>
      <c r="DR154" s="19">
        <f t="shared" si="665"/>
        <v>9448132.6327500008</v>
      </c>
      <c r="DS154" s="19">
        <f t="shared" si="666"/>
        <v>9448132.6327500008</v>
      </c>
      <c r="DT154" s="19">
        <f t="shared" si="667"/>
        <v>9448132.6327500008</v>
      </c>
      <c r="DU154" s="19">
        <f t="shared" si="668"/>
        <v>9448132.6327500008</v>
      </c>
      <c r="DV154" s="19">
        <f t="shared" si="669"/>
        <v>9920539.2643875014</v>
      </c>
      <c r="DW154" s="19">
        <f t="shared" si="670"/>
        <v>9920539.2643875014</v>
      </c>
      <c r="DX154" s="19">
        <f t="shared" si="671"/>
        <v>9920539.2643875014</v>
      </c>
      <c r="DY154" s="19">
        <f t="shared" si="672"/>
        <v>9920539.2643875014</v>
      </c>
      <c r="DZ154" s="19">
        <f t="shared" si="587"/>
        <v>10416566.227606878</v>
      </c>
      <c r="EA154" s="19">
        <f t="shared" si="588"/>
        <v>10416566.227606878</v>
      </c>
      <c r="EB154" s="19">
        <f t="shared" si="589"/>
        <v>10416566.227606878</v>
      </c>
      <c r="EC154" s="19">
        <f t="shared" si="590"/>
        <v>10416566.227606878</v>
      </c>
      <c r="EE154" s="19">
        <f>SUM(DF154:DI154)</f>
        <v>21245150.18</v>
      </c>
      <c r="EF154" s="19">
        <f>SUM(DJ154:DM154)</f>
        <v>21260864.390000001</v>
      </c>
      <c r="EG154" s="19">
        <f>SUM(DN154:DQ154)</f>
        <v>35992886.219999999</v>
      </c>
      <c r="EH154" s="19">
        <f>SUM(DR154:DU154)</f>
        <v>37792530.531000003</v>
      </c>
      <c r="EI154" s="19">
        <f>SUM(DV154:DY154)</f>
        <v>39682157.057550006</v>
      </c>
      <c r="EJ154" s="770">
        <f t="shared" si="596"/>
        <v>41666264.910427511</v>
      </c>
    </row>
    <row r="155" spans="2:140" x14ac:dyDescent="0.2">
      <c r="B155" s="167" t="s">
        <v>284</v>
      </c>
      <c r="C155" s="19">
        <v>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0</v>
      </c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>
        <v>0</v>
      </c>
      <c r="BC155" s="19">
        <v>0</v>
      </c>
      <c r="BD155" s="19">
        <v>0</v>
      </c>
      <c r="BE155" s="19">
        <v>0</v>
      </c>
      <c r="BF155" s="19">
        <v>0</v>
      </c>
      <c r="BG155" s="19">
        <v>0</v>
      </c>
      <c r="BH155" s="19">
        <v>0</v>
      </c>
      <c r="BI155" s="19">
        <v>375233</v>
      </c>
      <c r="BJ155" s="19">
        <v>0</v>
      </c>
      <c r="BK155" s="19">
        <v>0</v>
      </c>
      <c r="BL155" s="19">
        <v>0</v>
      </c>
      <c r="BM155" s="19">
        <v>0</v>
      </c>
      <c r="BN155" s="19">
        <v>0</v>
      </c>
      <c r="BO155" s="19">
        <v>1747000</v>
      </c>
      <c r="BP155" s="19">
        <v>989502.54237288143</v>
      </c>
      <c r="BQ155" s="19">
        <v>3020777</v>
      </c>
      <c r="BR155" s="19">
        <v>2350406.31</v>
      </c>
      <c r="BS155" s="19">
        <v>2700268</v>
      </c>
      <c r="BT155" s="19">
        <v>6928584.6271186443</v>
      </c>
      <c r="BU155" s="19">
        <f>BT155/BT74*BU74</f>
        <v>5781209.4383778051</v>
      </c>
      <c r="BV155" s="19">
        <f t="shared" ref="BV155:CR155" si="673">BU155/BU74*BV74</f>
        <v>5661550.8162980992</v>
      </c>
      <c r="BW155" s="19">
        <f t="shared" si="673"/>
        <v>5649749.4331742506</v>
      </c>
      <c r="BX155" s="19">
        <f t="shared" si="673"/>
        <v>6117918.8324031308</v>
      </c>
      <c r="BY155" s="19">
        <f t="shared" si="673"/>
        <v>5466050.6137538999</v>
      </c>
      <c r="BZ155" s="19">
        <f t="shared" si="673"/>
        <v>5075728.8852033094</v>
      </c>
      <c r="CA155" s="19">
        <f t="shared" si="673"/>
        <v>6333280.5713553587</v>
      </c>
      <c r="CB155" s="19">
        <f t="shared" si="673"/>
        <v>5832523.3374363389</v>
      </c>
      <c r="CC155" s="19">
        <f t="shared" si="673"/>
        <v>6938501.7535098642</v>
      </c>
      <c r="CD155" s="19">
        <f t="shared" si="673"/>
        <v>7108931.8726724023</v>
      </c>
      <c r="CE155" s="19">
        <f t="shared" si="673"/>
        <v>6610579.0241964757</v>
      </c>
      <c r="CF155" s="19">
        <f t="shared" si="673"/>
        <v>7689837.1015332406</v>
      </c>
      <c r="CG155" s="19">
        <f t="shared" si="673"/>
        <v>7069696.8074526303</v>
      </c>
      <c r="CH155" s="19">
        <f t="shared" si="673"/>
        <v>6940707.2303093811</v>
      </c>
      <c r="CI155" s="19">
        <f t="shared" si="673"/>
        <v>6890215.8048767122</v>
      </c>
      <c r="CJ155" s="19">
        <f t="shared" si="673"/>
        <v>7457349.7003070153</v>
      </c>
      <c r="CK155" s="19">
        <f t="shared" si="673"/>
        <v>6648228.9491976043</v>
      </c>
      <c r="CL155" s="19">
        <f t="shared" si="673"/>
        <v>6158400.9663863694</v>
      </c>
      <c r="CM155" s="19">
        <f t="shared" si="673"/>
        <v>7661312.6779537899</v>
      </c>
      <c r="CN155" s="19">
        <f t="shared" si="673"/>
        <v>7018026.9963345928</v>
      </c>
      <c r="CO155" s="19">
        <f t="shared" si="673"/>
        <v>8321461.3122948203</v>
      </c>
      <c r="CP155" s="19">
        <f t="shared" si="673"/>
        <v>8490673.4373307154</v>
      </c>
      <c r="CQ155" s="19">
        <f t="shared" si="673"/>
        <v>7856022.9154774714</v>
      </c>
      <c r="CR155" s="19">
        <f t="shared" si="673"/>
        <v>9039926.4632922094</v>
      </c>
      <c r="CS155" s="19">
        <f t="shared" ref="CS155" si="674">CR155/CR74*CS74</f>
        <v>8055357.7390538156</v>
      </c>
      <c r="CT155" s="19">
        <f t="shared" ref="CT155" si="675">CS155/CS74*CT74</f>
        <v>7900478.7136335829</v>
      </c>
      <c r="CU155" s="19">
        <f t="shared" ref="CU155" si="676">CT155/CT74*CU74</f>
        <v>7837988.1917865276</v>
      </c>
      <c r="CV155" s="19">
        <f t="shared" ref="CV155" si="677">CU155/CU74*CV74</f>
        <v>8480326.6520487908</v>
      </c>
      <c r="CW155" s="19">
        <f t="shared" ref="CW155" si="678">CV155/CV74*CW74</f>
        <v>7550377.8308268506</v>
      </c>
      <c r="CX155" s="19">
        <f t="shared" ref="CX155" si="679">CW155/CW74*CX74</f>
        <v>6983791.1491452754</v>
      </c>
      <c r="CY155" s="19">
        <f t="shared" ref="CY155" si="680">CX155/CX74*CY74</f>
        <v>8692726.0252216961</v>
      </c>
      <c r="CZ155" s="19">
        <f t="shared" ref="CZ155" si="681">CY155/CY74*CZ74</f>
        <v>7955883.5537951319</v>
      </c>
      <c r="DA155" s="19">
        <f t="shared" ref="DA155" si="682">CZ155/CZ74*DA74</f>
        <v>9436306.3564438205</v>
      </c>
      <c r="DB155" s="19">
        <f t="shared" ref="DB155" si="683">DA155/DA74*DB74</f>
        <v>9626120.3536675218</v>
      </c>
      <c r="DC155" s="19">
        <f t="shared" ref="DC155" si="684">DB155/DB74*DC74</f>
        <v>8899501.2933173496</v>
      </c>
      <c r="DD155" s="19">
        <f t="shared" ref="DD155" si="685">DC155/DC74*DD74</f>
        <v>10242348.579891756</v>
      </c>
      <c r="DF155" s="19">
        <f t="shared" si="653"/>
        <v>0</v>
      </c>
      <c r="DG155" s="19">
        <f t="shared" si="654"/>
        <v>0</v>
      </c>
      <c r="DH155" s="19">
        <f t="shared" si="655"/>
        <v>0</v>
      </c>
      <c r="DI155" s="19">
        <f t="shared" si="656"/>
        <v>0</v>
      </c>
      <c r="DJ155" s="19">
        <f t="shared" si="657"/>
        <v>0</v>
      </c>
      <c r="DK155" s="19">
        <f t="shared" si="658"/>
        <v>0</v>
      </c>
      <c r="DL155" s="19">
        <f t="shared" si="659"/>
        <v>0</v>
      </c>
      <c r="DM155" s="19">
        <f t="shared" si="660"/>
        <v>0</v>
      </c>
      <c r="DN155" s="19">
        <f t="shared" si="661"/>
        <v>375233</v>
      </c>
      <c r="DO155" s="19">
        <f t="shared" si="662"/>
        <v>0</v>
      </c>
      <c r="DP155" s="19">
        <f t="shared" si="663"/>
        <v>5757279.5423728814</v>
      </c>
      <c r="DQ155" s="19">
        <f t="shared" si="664"/>
        <v>11979258.937118646</v>
      </c>
      <c r="DR155" s="19">
        <f t="shared" si="665"/>
        <v>17092509.687850155</v>
      </c>
      <c r="DS155" s="19">
        <f t="shared" si="666"/>
        <v>16659698.33136034</v>
      </c>
      <c r="DT155" s="19">
        <f t="shared" si="667"/>
        <v>19104305.662301563</v>
      </c>
      <c r="DU155" s="19">
        <f t="shared" si="668"/>
        <v>21409347.998402119</v>
      </c>
      <c r="DV155" s="19">
        <f t="shared" si="669"/>
        <v>20900619.842638724</v>
      </c>
      <c r="DW155" s="19">
        <f t="shared" si="670"/>
        <v>20263979.615890991</v>
      </c>
      <c r="DX155" s="19">
        <f t="shared" si="671"/>
        <v>23000800.986583203</v>
      </c>
      <c r="DY155" s="19">
        <f t="shared" si="672"/>
        <v>25386622.816100396</v>
      </c>
      <c r="DZ155" s="19">
        <f t="shared" si="587"/>
        <v>23793824.644473925</v>
      </c>
      <c r="EA155" s="19">
        <f t="shared" si="588"/>
        <v>23014495.632020917</v>
      </c>
      <c r="EB155" s="19">
        <f t="shared" si="589"/>
        <v>26084915.935460649</v>
      </c>
      <c r="EC155" s="19">
        <f t="shared" si="590"/>
        <v>28767970.226876628</v>
      </c>
      <c r="EE155" s="19">
        <f>SUM(DF155:DI155)</f>
        <v>0</v>
      </c>
      <c r="EF155" s="19">
        <f>SUM(DJ155:DM155)</f>
        <v>0</v>
      </c>
      <c r="EG155" s="19">
        <f>SUM(DN155:DQ155)</f>
        <v>18111771.479491528</v>
      </c>
      <c r="EH155" s="19">
        <f>SUM(DR155:DU155)</f>
        <v>74265861.679914176</v>
      </c>
      <c r="EI155" s="19">
        <f>SUM(DV155:DY155)</f>
        <v>89552023.261213303</v>
      </c>
      <c r="EJ155" s="770">
        <f t="shared" si="596"/>
        <v>101661206.43883212</v>
      </c>
    </row>
    <row r="156" spans="2:140" x14ac:dyDescent="0.2">
      <c r="B156" s="21" t="s">
        <v>53</v>
      </c>
      <c r="C156" s="161">
        <f>C144/C74</f>
        <v>0.28501765174217114</v>
      </c>
      <c r="D156" s="161">
        <f t="shared" ref="D156:BO156" si="686">D144/D74</f>
        <v>0.27799454359255288</v>
      </c>
      <c r="E156" s="161">
        <f t="shared" si="686"/>
        <v>0.27760426759076856</v>
      </c>
      <c r="F156" s="161">
        <f t="shared" si="686"/>
        <v>0.25398377395305793</v>
      </c>
      <c r="G156" s="161">
        <f t="shared" si="686"/>
        <v>0.28529373000884273</v>
      </c>
      <c r="H156" s="161">
        <f t="shared" si="686"/>
        <v>0.19718199901760228</v>
      </c>
      <c r="I156" s="161">
        <f t="shared" si="686"/>
        <v>9.4668010778478043E-2</v>
      </c>
      <c r="J156" s="161">
        <f t="shared" si="686"/>
        <v>0.12189802123379194</v>
      </c>
      <c r="K156" s="161">
        <f t="shared" si="686"/>
        <v>0.12370407051325692</v>
      </c>
      <c r="L156" s="161">
        <f t="shared" si="686"/>
        <v>0.15260488567323344</v>
      </c>
      <c r="M156" s="161">
        <f t="shared" si="686"/>
        <v>0.26593934454622931</v>
      </c>
      <c r="N156" s="161">
        <f t="shared" si="686"/>
        <v>8.8285761352354033</v>
      </c>
      <c r="O156" s="161">
        <f t="shared" si="686"/>
        <v>0.28697287794290888</v>
      </c>
      <c r="P156" s="161">
        <f t="shared" si="686"/>
        <v>0.26988314306161548</v>
      </c>
      <c r="Q156" s="161">
        <f t="shared" si="686"/>
        <v>0.24836437301624947</v>
      </c>
      <c r="R156" s="161">
        <f t="shared" si="686"/>
        <v>0.20492371698735271</v>
      </c>
      <c r="S156" s="161">
        <f t="shared" si="686"/>
        <v>0.20723025909073756</v>
      </c>
      <c r="T156" s="161">
        <f t="shared" si="686"/>
        <v>0.15427992144860148</v>
      </c>
      <c r="U156" s="161">
        <f t="shared" si="686"/>
        <v>0.14855461824111671</v>
      </c>
      <c r="V156" s="161">
        <f t="shared" si="686"/>
        <v>0.15508578606005916</v>
      </c>
      <c r="W156" s="161">
        <f t="shared" si="686"/>
        <v>0.1458832134876355</v>
      </c>
      <c r="X156" s="161">
        <f t="shared" si="686"/>
        <v>0.1551152001465633</v>
      </c>
      <c r="Y156" s="161">
        <f t="shared" si="686"/>
        <v>0.18997678534439175</v>
      </c>
      <c r="Z156" s="161">
        <f t="shared" si="686"/>
        <v>0.16867326381035058</v>
      </c>
      <c r="AA156" s="161">
        <f t="shared" si="686"/>
        <v>0.15474815811175527</v>
      </c>
      <c r="AB156" s="161">
        <f t="shared" si="686"/>
        <v>0.16018078546285752</v>
      </c>
      <c r="AC156" s="161">
        <f t="shared" si="686"/>
        <v>0.16575565236658146</v>
      </c>
      <c r="AD156" s="161">
        <f t="shared" si="686"/>
        <v>0.19006049365513855</v>
      </c>
      <c r="AE156" s="161">
        <f t="shared" si="686"/>
        <v>0.17591271766454297</v>
      </c>
      <c r="AF156" s="161">
        <f t="shared" si="686"/>
        <v>0.18264520920739544</v>
      </c>
      <c r="AG156" s="161">
        <f t="shared" si="686"/>
        <v>0.1598561784766982</v>
      </c>
      <c r="AH156" s="161">
        <f t="shared" si="686"/>
        <v>0.15559280024037203</v>
      </c>
      <c r="AI156" s="161">
        <f t="shared" si="686"/>
        <v>0.15359582767969251</v>
      </c>
      <c r="AJ156" s="161">
        <f t="shared" si="686"/>
        <v>0.12653025805232965</v>
      </c>
      <c r="AK156" s="161">
        <f t="shared" si="686"/>
        <v>0.10502093392986075</v>
      </c>
      <c r="AL156" s="161">
        <f t="shared" si="686"/>
        <v>9.9874161435326111E-2</v>
      </c>
      <c r="AM156" s="161">
        <f t="shared" si="686"/>
        <v>0.10833015050354282</v>
      </c>
      <c r="AN156" s="161">
        <f t="shared" si="686"/>
        <v>0.11613634742807724</v>
      </c>
      <c r="AO156" s="161">
        <f t="shared" si="686"/>
        <v>0.11631096766761846</v>
      </c>
      <c r="AP156" s="161">
        <f t="shared" si="686"/>
        <v>0.11987260981058571</v>
      </c>
      <c r="AQ156" s="161">
        <f t="shared" si="686"/>
        <v>8.7698374571824597E-2</v>
      </c>
      <c r="AR156" s="161">
        <f t="shared" si="686"/>
        <v>0.10040731292607602</v>
      </c>
      <c r="AS156" s="161">
        <f t="shared" si="686"/>
        <v>0.1158565901599909</v>
      </c>
      <c r="AT156" s="161">
        <f t="shared" si="686"/>
        <v>0.12405846341991042</v>
      </c>
      <c r="AU156" s="161">
        <f t="shared" si="686"/>
        <v>0.12240649401714118</v>
      </c>
      <c r="AV156" s="161">
        <f t="shared" si="686"/>
        <v>0.10463885251131971</v>
      </c>
      <c r="AW156" s="161">
        <f t="shared" si="686"/>
        <v>0.10309427284805706</v>
      </c>
      <c r="AX156" s="161">
        <f t="shared" si="686"/>
        <v>0.10752343913611251</v>
      </c>
      <c r="AY156" s="161">
        <f t="shared" si="686"/>
        <v>9.9516811266651808E-2</v>
      </c>
      <c r="AZ156" s="161">
        <f t="shared" si="686"/>
        <v>0.10455083740439315</v>
      </c>
      <c r="BA156" s="161">
        <f t="shared" si="686"/>
        <v>0.12490730959185452</v>
      </c>
      <c r="BB156" s="161">
        <f t="shared" si="686"/>
        <v>0.13996015697996045</v>
      </c>
      <c r="BC156" s="161">
        <f t="shared" si="686"/>
        <v>0.10993212729458703</v>
      </c>
      <c r="BD156" s="161">
        <f t="shared" si="686"/>
        <v>0.1110882464676852</v>
      </c>
      <c r="BE156" s="161">
        <f t="shared" si="686"/>
        <v>9.9602697208701907E-2</v>
      </c>
      <c r="BF156" s="161">
        <f t="shared" si="686"/>
        <v>9.7793349169641733E-2</v>
      </c>
      <c r="BG156" s="161">
        <f t="shared" si="686"/>
        <v>0.10635003694000349</v>
      </c>
      <c r="BH156" s="161">
        <f t="shared" si="686"/>
        <v>9.3997984374679502E-2</v>
      </c>
      <c r="BI156" s="161">
        <f t="shared" si="686"/>
        <v>0.10744468487339037</v>
      </c>
      <c r="BJ156" s="161">
        <f t="shared" si="686"/>
        <v>0.10782738925104479</v>
      </c>
      <c r="BK156" s="161">
        <f t="shared" si="686"/>
        <v>0.11132988490840637</v>
      </c>
      <c r="BL156" s="161">
        <f t="shared" si="686"/>
        <v>0.10673865374514113</v>
      </c>
      <c r="BM156" s="161">
        <f t="shared" si="686"/>
        <v>0.13168789404797823</v>
      </c>
      <c r="BN156" s="161">
        <f t="shared" si="686"/>
        <v>0.14173931394188954</v>
      </c>
      <c r="BO156" s="161">
        <f t="shared" si="686"/>
        <v>0.10797114449743624</v>
      </c>
      <c r="BP156" s="161">
        <f t="shared" ref="BP156:EJ156" si="687">BP144/BP74</f>
        <v>0.11896653909792994</v>
      </c>
      <c r="BQ156" s="161">
        <f t="shared" si="687"/>
        <v>0.10441970249580235</v>
      </c>
      <c r="BR156" s="161">
        <f t="shared" si="687"/>
        <v>0.10426592244492233</v>
      </c>
      <c r="BS156" s="161">
        <f t="shared" si="687"/>
        <v>0.10531266032045823</v>
      </c>
      <c r="BT156" s="161">
        <f t="shared" si="687"/>
        <v>9.3757958093045393E-2</v>
      </c>
      <c r="BU156" s="161">
        <f t="shared" si="687"/>
        <v>0.11911611383740221</v>
      </c>
      <c r="BV156" s="161">
        <f t="shared" si="687"/>
        <v>0.12144272690272799</v>
      </c>
      <c r="BW156" s="161">
        <f t="shared" si="687"/>
        <v>0.12167752933457759</v>
      </c>
      <c r="BX156" s="161">
        <f t="shared" si="687"/>
        <v>0.11305758614600415</v>
      </c>
      <c r="BY156" s="161">
        <f t="shared" si="687"/>
        <v>0.1254631562183349</v>
      </c>
      <c r="BZ156" s="161">
        <f t="shared" si="687"/>
        <v>0.13441649341234277</v>
      </c>
      <c r="CA156" s="161">
        <f t="shared" si="687"/>
        <v>0.10952029841108817</v>
      </c>
      <c r="CB156" s="161">
        <f t="shared" si="687"/>
        <v>0.11814762614680299</v>
      </c>
      <c r="CC156" s="161">
        <f t="shared" si="687"/>
        <v>0.10075525710934098</v>
      </c>
      <c r="CD156" s="161">
        <f t="shared" si="687"/>
        <v>9.855633132928017E-2</v>
      </c>
      <c r="CE156" s="161">
        <f t="shared" si="687"/>
        <v>0.10530514393685346</v>
      </c>
      <c r="CF156" s="161">
        <f t="shared" si="687"/>
        <v>9.1793663262775105E-2</v>
      </c>
      <c r="CG156" s="161">
        <f t="shared" si="687"/>
        <v>0.10866761294019246</v>
      </c>
      <c r="CH156" s="161">
        <f t="shared" si="687"/>
        <v>0.11051924828710274</v>
      </c>
      <c r="CI156" s="161">
        <f t="shared" si="687"/>
        <v>0.11126292886526017</v>
      </c>
      <c r="CJ156" s="161">
        <f t="shared" si="687"/>
        <v>0.10348840808300629</v>
      </c>
      <c r="CK156" s="161">
        <f t="shared" si="687"/>
        <v>0.11498391749635985</v>
      </c>
      <c r="CL156" s="161">
        <f t="shared" si="687"/>
        <v>0.12341095682897303</v>
      </c>
      <c r="CM156" s="161">
        <f t="shared" si="687"/>
        <v>0.10097380753841553</v>
      </c>
      <c r="CN156" s="161">
        <f t="shared" si="687"/>
        <v>0.10940115734479498</v>
      </c>
      <c r="CO156" s="161">
        <f t="shared" si="687"/>
        <v>9.3680167908150244E-2</v>
      </c>
      <c r="CP156" s="161">
        <f t="shared" si="687"/>
        <v>9.1993245521575187E-2</v>
      </c>
      <c r="CQ156" s="161">
        <f t="shared" si="687"/>
        <v>9.869510195868561E-2</v>
      </c>
      <c r="CR156" s="161">
        <f t="shared" si="687"/>
        <v>8.6952778459691474E-2</v>
      </c>
      <c r="CS156" s="161">
        <f t="shared" ref="CS156:DD156" si="688">CS144/CS74</f>
        <v>0.10593768161487806</v>
      </c>
      <c r="CT156" s="161">
        <f t="shared" si="688"/>
        <v>0.10783735146653954</v>
      </c>
      <c r="CU156" s="161">
        <f t="shared" si="688"/>
        <v>0.10862508603100865</v>
      </c>
      <c r="CV156" s="161">
        <f t="shared" si="688"/>
        <v>0.10108162757063972</v>
      </c>
      <c r="CW156" s="161">
        <f t="shared" si="688"/>
        <v>0.11241871628564325</v>
      </c>
      <c r="CX156" s="161">
        <f t="shared" si="688"/>
        <v>0.12080617115405426</v>
      </c>
      <c r="CY156" s="161">
        <f t="shared" si="688"/>
        <v>9.8832529357498311E-2</v>
      </c>
      <c r="CZ156" s="161">
        <f t="shared" si="688"/>
        <v>0.10714928618643622</v>
      </c>
      <c r="DA156" s="161">
        <f t="shared" si="688"/>
        <v>9.1756434725773009E-2</v>
      </c>
      <c r="DB156" s="161">
        <f t="shared" si="688"/>
        <v>9.0125266780834157E-2</v>
      </c>
      <c r="DC156" s="161">
        <f t="shared" si="688"/>
        <v>9.6746114373873093E-2</v>
      </c>
      <c r="DD156" s="161">
        <f t="shared" si="688"/>
        <v>8.5246449982105454E-2</v>
      </c>
      <c r="DF156" s="161">
        <f t="shared" si="687"/>
        <v>0.10436984039618809</v>
      </c>
      <c r="DG156" s="161">
        <f t="shared" si="687"/>
        <v>0.11739661600812894</v>
      </c>
      <c r="DH156" s="161">
        <f t="shared" si="687"/>
        <v>0.10000128309780479</v>
      </c>
      <c r="DI156" s="161">
        <f t="shared" si="687"/>
        <v>0.11646230725311646</v>
      </c>
      <c r="DJ156" s="161">
        <f t="shared" si="687"/>
        <v>0.1032891852563811</v>
      </c>
      <c r="DK156" s="161">
        <f t="shared" si="687"/>
        <v>0.12130119110486372</v>
      </c>
      <c r="DL156" s="161">
        <f t="shared" si="687"/>
        <v>0.10646859398107501</v>
      </c>
      <c r="DM156" s="161">
        <f t="shared" si="687"/>
        <v>9.8953304843658413E-2</v>
      </c>
      <c r="DN156" s="161">
        <f t="shared" si="687"/>
        <v>0.10886813446531053</v>
      </c>
      <c r="DO156" s="161">
        <f t="shared" si="687"/>
        <v>0.1252536277861078</v>
      </c>
      <c r="DP156" s="161">
        <f t="shared" si="687"/>
        <v>0.10991769572590659</v>
      </c>
      <c r="DQ156" s="161">
        <f t="shared" si="687"/>
        <v>0.10068745478650025</v>
      </c>
      <c r="DR156" s="161">
        <f t="shared" si="687"/>
        <v>0.12073340669593106</v>
      </c>
      <c r="DS156" s="161">
        <f t="shared" si="687"/>
        <v>0.12363529847733994</v>
      </c>
      <c r="DT156" s="161">
        <f t="shared" si="687"/>
        <v>0.10897083253313142</v>
      </c>
      <c r="DU156" s="161">
        <f t="shared" si="687"/>
        <v>9.8211143015191391E-2</v>
      </c>
      <c r="DV156" s="161">
        <f t="shared" si="687"/>
        <v>0.11013809304447369</v>
      </c>
      <c r="DW156" s="161">
        <f t="shared" si="687"/>
        <v>0.11331450471811765</v>
      </c>
      <c r="DX156" s="161">
        <f t="shared" si="687"/>
        <v>0.10090640242668698</v>
      </c>
      <c r="DY156" s="161">
        <f t="shared" si="687"/>
        <v>9.2272309271701547E-2</v>
      </c>
      <c r="DZ156" s="161">
        <f t="shared" si="687"/>
        <v>0.10745371133457038</v>
      </c>
      <c r="EA156" s="161">
        <f t="shared" si="687"/>
        <v>0.11078644143099232</v>
      </c>
      <c r="EB156" s="161">
        <f t="shared" si="687"/>
        <v>9.8809334041194283E-2</v>
      </c>
      <c r="EC156" s="161">
        <f t="shared" si="687"/>
        <v>9.0436435741886978E-2</v>
      </c>
      <c r="ED156" s="805"/>
      <c r="EE156" s="161">
        <f t="shared" si="687"/>
        <v>0.10883243553268228</v>
      </c>
      <c r="EF156" s="161">
        <f t="shared" si="687"/>
        <v>0.10644293159675691</v>
      </c>
      <c r="EG156" s="161">
        <f t="shared" si="687"/>
        <v>0.10976930592019327</v>
      </c>
      <c r="EH156" s="161">
        <f t="shared" si="687"/>
        <v>0.11186583098255411</v>
      </c>
      <c r="EI156" s="161">
        <f t="shared" si="687"/>
        <v>0.1034210873386191</v>
      </c>
      <c r="EJ156" s="161">
        <f t="shared" si="687"/>
        <v>0.10117462757470706</v>
      </c>
    </row>
    <row r="157" spans="2:140" x14ac:dyDescent="0.2">
      <c r="B157" s="21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E157" s="10"/>
      <c r="EF157" s="10"/>
      <c r="EG157" s="10"/>
      <c r="EH157" s="10"/>
      <c r="EI157" s="10"/>
      <c r="EJ157" s="812"/>
    </row>
    <row r="158" spans="2:140" x14ac:dyDescent="0.2">
      <c r="B158" s="196" t="s">
        <v>54</v>
      </c>
      <c r="C158" s="198">
        <f>C141-C144</f>
        <v>-313424.75455538183</v>
      </c>
      <c r="D158" s="198">
        <f t="shared" ref="D158:BO158" si="689">D141-D144</f>
        <v>-13426.651930261403</v>
      </c>
      <c r="E158" s="198">
        <f t="shared" si="689"/>
        <v>-482411.31676733168</v>
      </c>
      <c r="F158" s="198">
        <f t="shared" si="689"/>
        <v>-762169.84137866646</v>
      </c>
      <c r="G158" s="198">
        <f t="shared" si="689"/>
        <v>-1471143.5956999285</v>
      </c>
      <c r="H158" s="198">
        <f t="shared" si="689"/>
        <v>-923825.29685014999</v>
      </c>
      <c r="I158" s="198">
        <f t="shared" si="689"/>
        <v>1267825.6945423763</v>
      </c>
      <c r="J158" s="198">
        <f t="shared" si="689"/>
        <v>1271715.5610621506</v>
      </c>
      <c r="K158" s="198">
        <f t="shared" si="689"/>
        <v>1601138.1751523288</v>
      </c>
      <c r="L158" s="198">
        <f t="shared" si="689"/>
        <v>2120550.9627275001</v>
      </c>
      <c r="M158" s="198">
        <f t="shared" si="689"/>
        <v>-1667092.4456644449</v>
      </c>
      <c r="N158" s="198">
        <f t="shared" si="689"/>
        <v>-5442148.0700797262</v>
      </c>
      <c r="O158" s="198">
        <f t="shared" si="689"/>
        <v>-851072.16081422754</v>
      </c>
      <c r="P158" s="198">
        <f t="shared" si="689"/>
        <v>-643917.31248527672</v>
      </c>
      <c r="Q158" s="198">
        <f t="shared" si="689"/>
        <v>-750210.38135242648</v>
      </c>
      <c r="R158" s="198">
        <f t="shared" si="689"/>
        <v>-1056151.4354219195</v>
      </c>
      <c r="S158" s="198">
        <f t="shared" si="689"/>
        <v>-1998144.102852067</v>
      </c>
      <c r="T158" s="198">
        <f t="shared" si="689"/>
        <v>4144699.9768118002</v>
      </c>
      <c r="U158" s="198">
        <f t="shared" si="689"/>
        <v>4492190.3831571862</v>
      </c>
      <c r="V158" s="198">
        <f t="shared" si="689"/>
        <v>1362317.6747256797</v>
      </c>
      <c r="W158" s="198">
        <f t="shared" si="689"/>
        <v>3379510.1947210785</v>
      </c>
      <c r="X158" s="198">
        <f t="shared" si="689"/>
        <v>1644688.1004091389</v>
      </c>
      <c r="Y158" s="198">
        <f t="shared" si="689"/>
        <v>-1064581.4130832851</v>
      </c>
      <c r="Z158" s="198">
        <f t="shared" si="689"/>
        <v>-1158942.7330995351</v>
      </c>
      <c r="AA158" s="198">
        <f t="shared" si="689"/>
        <v>210793.45495953038</v>
      </c>
      <c r="AB158" s="198">
        <f t="shared" si="689"/>
        <v>742061.97069326788</v>
      </c>
      <c r="AC158" s="198">
        <f t="shared" si="689"/>
        <v>-3461415.630895216</v>
      </c>
      <c r="AD158" s="198">
        <f t="shared" si="689"/>
        <v>-11747518.069083955</v>
      </c>
      <c r="AE158" s="198">
        <f t="shared" si="689"/>
        <v>-8832750.7068971209</v>
      </c>
      <c r="AF158" s="198">
        <f t="shared" si="689"/>
        <v>-9487161.2567881756</v>
      </c>
      <c r="AG158" s="198">
        <f t="shared" si="689"/>
        <v>-4857062.1933936663</v>
      </c>
      <c r="AH158" s="198">
        <f t="shared" si="689"/>
        <v>-1960739.2567942366</v>
      </c>
      <c r="AI158" s="198">
        <f t="shared" si="689"/>
        <v>-273006.06152421236</v>
      </c>
      <c r="AJ158" s="198">
        <f t="shared" si="689"/>
        <v>4179750.9308379963</v>
      </c>
      <c r="AK158" s="198">
        <f t="shared" si="689"/>
        <v>2275533.8279431015</v>
      </c>
      <c r="AL158" s="198">
        <f t="shared" si="689"/>
        <v>7547433.4182298779</v>
      </c>
      <c r="AM158" s="198">
        <f t="shared" si="689"/>
        <v>7820694.4832624048</v>
      </c>
      <c r="AN158" s="198">
        <f t="shared" si="689"/>
        <v>5501938.8506956771</v>
      </c>
      <c r="AO158" s="198">
        <f t="shared" si="689"/>
        <v>6088079.7016911358</v>
      </c>
      <c r="AP158" s="198">
        <f t="shared" si="689"/>
        <v>120837.6413474381</v>
      </c>
      <c r="AQ158" s="198">
        <f t="shared" si="689"/>
        <v>7009778.2895788848</v>
      </c>
      <c r="AR158" s="198">
        <f t="shared" si="689"/>
        <v>5321732.4965927228</v>
      </c>
      <c r="AS158" s="198">
        <f t="shared" si="689"/>
        <v>1629566.96668984</v>
      </c>
      <c r="AT158" s="198">
        <f t="shared" si="689"/>
        <v>1560032.6936443113</v>
      </c>
      <c r="AU158" s="198">
        <f t="shared" si="689"/>
        <v>9312819.8147232234</v>
      </c>
      <c r="AV158" s="198">
        <f t="shared" si="689"/>
        <v>14724509.470046919</v>
      </c>
      <c r="AW158" s="198">
        <f t="shared" si="689"/>
        <v>12596142.143562321</v>
      </c>
      <c r="AX158" s="198">
        <f t="shared" si="689"/>
        <v>17778225.386017982</v>
      </c>
      <c r="AY158" s="198">
        <f t="shared" si="689"/>
        <v>21705620.311644755</v>
      </c>
      <c r="AZ158" s="198">
        <f t="shared" si="689"/>
        <v>18723431.032456163</v>
      </c>
      <c r="BA158" s="198">
        <f t="shared" si="689"/>
        <v>12730229.43704249</v>
      </c>
      <c r="BB158" s="198">
        <f t="shared" si="689"/>
        <v>3049603.3108464852</v>
      </c>
      <c r="BC158" s="198">
        <f t="shared" si="689"/>
        <v>15529428.190912105</v>
      </c>
      <c r="BD158" s="198">
        <f t="shared" si="689"/>
        <v>16769083.743374594</v>
      </c>
      <c r="BE158" s="198">
        <f t="shared" si="689"/>
        <v>22725795.145396546</v>
      </c>
      <c r="BF158" s="198">
        <f t="shared" si="689"/>
        <v>21154545.656426758</v>
      </c>
      <c r="BG158" s="198">
        <f t="shared" si="689"/>
        <v>16414655.456724726</v>
      </c>
      <c r="BH158" s="198">
        <f t="shared" si="689"/>
        <v>26948784.518180422</v>
      </c>
      <c r="BI158" s="198">
        <f t="shared" si="689"/>
        <v>19961400.948207095</v>
      </c>
      <c r="BJ158" s="198">
        <f t="shared" si="689"/>
        <v>17198592.438508429</v>
      </c>
      <c r="BK158" s="198">
        <f t="shared" si="689"/>
        <v>21301447.499505296</v>
      </c>
      <c r="BL158" s="198">
        <f t="shared" si="689"/>
        <v>18445541.549434975</v>
      </c>
      <c r="BM158" s="198">
        <f t="shared" si="689"/>
        <v>15148828.320853598</v>
      </c>
      <c r="BN158" s="198">
        <f t="shared" si="689"/>
        <v>5538906.9894531965</v>
      </c>
      <c r="BO158" s="198">
        <f t="shared" si="689"/>
        <v>28060051.171880923</v>
      </c>
      <c r="BP158" s="198">
        <f t="shared" ref="BP158:CR158" si="690">BP141-BP144</f>
        <v>28012849.559993006</v>
      </c>
      <c r="BQ158" s="198">
        <f t="shared" si="690"/>
        <v>36226707.714879826</v>
      </c>
      <c r="BR158" s="198">
        <f t="shared" si="690"/>
        <v>39225109.209181279</v>
      </c>
      <c r="BS158" s="198">
        <f t="shared" si="690"/>
        <v>33211930.416287333</v>
      </c>
      <c r="BT158" s="198">
        <f t="shared" si="690"/>
        <v>38383016.707824096</v>
      </c>
      <c r="BU158" s="198">
        <f t="shared" si="690"/>
        <v>27498749.396276385</v>
      </c>
      <c r="BV158" s="198">
        <f t="shared" si="690"/>
        <v>25691287.163964286</v>
      </c>
      <c r="BW158" s="198">
        <f t="shared" si="690"/>
        <v>25628430.316068828</v>
      </c>
      <c r="BX158" s="198">
        <f t="shared" si="690"/>
        <v>33104756.228549719</v>
      </c>
      <c r="BY158" s="198">
        <f t="shared" si="690"/>
        <v>22933084.073930055</v>
      </c>
      <c r="BZ158" s="198">
        <f t="shared" si="690"/>
        <v>16933289.220035955</v>
      </c>
      <c r="CA158" s="198">
        <f t="shared" si="690"/>
        <v>36876625.297722474</v>
      </c>
      <c r="CB158" s="198">
        <f t="shared" si="690"/>
        <v>29091505.532122031</v>
      </c>
      <c r="CC158" s="198">
        <f t="shared" si="690"/>
        <v>46640988.175108522</v>
      </c>
      <c r="CD158" s="198">
        <f t="shared" si="690"/>
        <v>49415006.102396712</v>
      </c>
      <c r="CE158" s="198">
        <f t="shared" si="690"/>
        <v>41667859.696797594</v>
      </c>
      <c r="CF158" s="198">
        <f t="shared" si="690"/>
        <v>58877689.231602415</v>
      </c>
      <c r="CG158" s="198">
        <f t="shared" si="690"/>
        <v>40642861.815723285</v>
      </c>
      <c r="CH158" s="198">
        <f t="shared" si="690"/>
        <v>38746469.202823475</v>
      </c>
      <c r="CI158" s="198">
        <f t="shared" si="690"/>
        <v>38038346.345279753</v>
      </c>
      <c r="CJ158" s="198">
        <f t="shared" si="690"/>
        <v>47005427.010879695</v>
      </c>
      <c r="CK158" s="198">
        <f t="shared" si="690"/>
        <v>34454666.274984911</v>
      </c>
      <c r="CL158" s="198">
        <f t="shared" si="690"/>
        <v>26947096.801824495</v>
      </c>
      <c r="CM158" s="198">
        <f t="shared" si="690"/>
        <v>50531875.954733476</v>
      </c>
      <c r="CN158" s="198">
        <f t="shared" si="690"/>
        <v>40537532.338071182</v>
      </c>
      <c r="CO158" s="198">
        <f t="shared" si="690"/>
        <v>60997464.863789335</v>
      </c>
      <c r="CP158" s="198">
        <f t="shared" si="690"/>
        <v>63689617.852351576</v>
      </c>
      <c r="CQ158" s="198">
        <f t="shared" si="690"/>
        <v>53830545.451696977</v>
      </c>
      <c r="CR158" s="198">
        <f t="shared" si="690"/>
        <v>72418008.585342139</v>
      </c>
      <c r="CS158" s="198">
        <f t="shared" ref="CS158:DD158" si="691">CS141-CS144</f>
        <v>46290935.838982597</v>
      </c>
      <c r="CT158" s="198">
        <f t="shared" si="691"/>
        <v>44039272.585682958</v>
      </c>
      <c r="CU158" s="198">
        <f t="shared" si="691"/>
        <v>43163939.1228645</v>
      </c>
      <c r="CV158" s="198">
        <f t="shared" si="691"/>
        <v>53109047.949315771</v>
      </c>
      <c r="CW158" s="198">
        <f t="shared" si="691"/>
        <v>38958614.627665266</v>
      </c>
      <c r="CX158" s="198">
        <f t="shared" si="691"/>
        <v>30428475.742519423</v>
      </c>
      <c r="CY158" s="198">
        <f t="shared" si="691"/>
        <v>56705826.729296535</v>
      </c>
      <c r="CZ158" s="198">
        <f t="shared" si="691"/>
        <v>45477930.391942188</v>
      </c>
      <c r="DA158" s="198">
        <f t="shared" si="691"/>
        <v>68247193.933838025</v>
      </c>
      <c r="DB158" s="198">
        <f t="shared" si="691"/>
        <v>71203200.002506539</v>
      </c>
      <c r="DC158" s="198">
        <f t="shared" si="691"/>
        <v>60132252.134014681</v>
      </c>
      <c r="DD158" s="198">
        <f t="shared" si="691"/>
        <v>80789474.358251452</v>
      </c>
      <c r="DF158" s="198">
        <f t="shared" ref="DF158" si="692">SUM(AK158:AM158)</f>
        <v>17643661.729435384</v>
      </c>
      <c r="DG158" s="198">
        <f t="shared" ref="DG158" si="693">SUM(AN158:AP158)</f>
        <v>11710856.193734251</v>
      </c>
      <c r="DH158" s="198">
        <f t="shared" ref="DH158" si="694">SUM(AQ158:AS158)</f>
        <v>13961077.752861448</v>
      </c>
      <c r="DI158" s="198">
        <f t="shared" ref="DI158" si="695">SUM(AT158:AV158)</f>
        <v>25597361.978414454</v>
      </c>
      <c r="DJ158" s="198">
        <f t="shared" ref="DJ158" si="696">SUM(AW158:AY158)</f>
        <v>52079987.841225058</v>
      </c>
      <c r="DK158" s="198">
        <f t="shared" ref="DK158" si="697">SUM(AZ158:BB158)</f>
        <v>34503263.780345142</v>
      </c>
      <c r="DL158" s="198">
        <f t="shared" ref="DL158" si="698">SUM(BC158:BE158)</f>
        <v>55024307.079683244</v>
      </c>
      <c r="DM158" s="198">
        <f t="shared" ref="DM158" si="699">SUM(BF158:BH158)</f>
        <v>64517985.631331906</v>
      </c>
      <c r="DN158" s="198">
        <f t="shared" ref="DN158" si="700">SUM(BI158:BK158)</f>
        <v>58461440.88622082</v>
      </c>
      <c r="DO158" s="198">
        <f t="shared" ref="DO158" si="701">SUM(BL158:BN158)</f>
        <v>39133276.85974177</v>
      </c>
      <c r="DP158" s="198">
        <f t="shared" ref="DP158" si="702">SUM(BO158:BQ158)</f>
        <v>92299608.446753755</v>
      </c>
      <c r="DQ158" s="198">
        <f t="shared" ref="DQ158" si="703">SUM(BR158:BT158)</f>
        <v>110820056.33329271</v>
      </c>
      <c r="DR158" s="198">
        <f t="shared" ref="DR158" si="704">SUM(BU158:BW158)</f>
        <v>78818466.876309499</v>
      </c>
      <c r="DS158" s="198">
        <f t="shared" ref="DS158" si="705">SUM(BX158:BZ158)</f>
        <v>72971129.522515729</v>
      </c>
      <c r="DT158" s="198">
        <f t="shared" ref="DT158" si="706">SUM(CA158:CC158)</f>
        <v>112609119.00495303</v>
      </c>
      <c r="DU158" s="198">
        <f t="shared" ref="DU158" si="707">SUM(CD158:CF158)</f>
        <v>149960555.03079671</v>
      </c>
      <c r="DV158" s="198">
        <f t="shared" ref="DV158" si="708">SUM(CG158:CI158)</f>
        <v>117427677.36382651</v>
      </c>
      <c r="DW158" s="198">
        <f t="shared" ref="DW158" si="709">SUM(CJ158:CL158)</f>
        <v>108407190.0876891</v>
      </c>
      <c r="DX158" s="198">
        <f t="shared" ref="DX158" si="710">SUM(CM158:CO158)</f>
        <v>152066873.15659398</v>
      </c>
      <c r="DY158" s="198">
        <f t="shared" ref="DY158" si="711">SUM(CP158:CR158)</f>
        <v>189938171.88939071</v>
      </c>
      <c r="DZ158" s="198">
        <f t="shared" si="587"/>
        <v>133494147.54753006</v>
      </c>
      <c r="EA158" s="198">
        <f t="shared" si="588"/>
        <v>122496138.31950046</v>
      </c>
      <c r="EB158" s="198">
        <f t="shared" si="589"/>
        <v>170430951.05507675</v>
      </c>
      <c r="EC158" s="198">
        <f t="shared" si="590"/>
        <v>212124926.49477267</v>
      </c>
      <c r="EE158" s="198">
        <f>SUM(DF158:DI158)</f>
        <v>68912957.654445529</v>
      </c>
      <c r="EF158" s="198">
        <f>SUM(DJ158:DM158)</f>
        <v>206125544.33258533</v>
      </c>
      <c r="EG158" s="198">
        <f>SUM(DN158:DQ158)</f>
        <v>300714382.52600908</v>
      </c>
      <c r="EH158" s="198">
        <f>SUM(DR158:DU158)</f>
        <v>414359270.43457496</v>
      </c>
      <c r="EI158" s="198">
        <f>SUM(DV158:DY158)</f>
        <v>567839912.4975003</v>
      </c>
      <c r="EJ158" s="814">
        <f t="shared" si="596"/>
        <v>638546163.41687989</v>
      </c>
    </row>
    <row r="159" spans="2:140" x14ac:dyDescent="0.2">
      <c r="B159" s="21" t="s">
        <v>55</v>
      </c>
      <c r="C159" s="161">
        <f>C158/C74</f>
        <v>-3.9864909478877379E-2</v>
      </c>
      <c r="D159" s="161">
        <f t="shared" ref="D159:BO159" si="712">D158/D74</f>
        <v>-1.8414325258186131E-3</v>
      </c>
      <c r="E159" s="161">
        <f t="shared" si="712"/>
        <v>-5.2664689097031016E-2</v>
      </c>
      <c r="F159" s="161">
        <f t="shared" si="712"/>
        <v>-6.6565720821080004E-2</v>
      </c>
      <c r="G159" s="161">
        <f t="shared" si="712"/>
        <v>-0.1239910518920289</v>
      </c>
      <c r="H159" s="161">
        <f t="shared" si="712"/>
        <v>-5.414845708005149E-2</v>
      </c>
      <c r="I159" s="161">
        <f t="shared" si="712"/>
        <v>3.228914146086001E-2</v>
      </c>
      <c r="J159" s="161">
        <f t="shared" si="712"/>
        <v>3.1584764724650438E-2</v>
      </c>
      <c r="K159" s="161">
        <f t="shared" si="712"/>
        <v>4.0905475627336388E-2</v>
      </c>
      <c r="L159" s="161">
        <f t="shared" si="712"/>
        <v>4.872550763301E-2</v>
      </c>
      <c r="M159" s="161">
        <f t="shared" si="712"/>
        <v>-6.704300480301259E-2</v>
      </c>
      <c r="N159" s="161">
        <f t="shared" si="712"/>
        <v>-8.6642932103516301</v>
      </c>
      <c r="O159" s="161">
        <f t="shared" si="712"/>
        <v>-4.6343839950418395E-2</v>
      </c>
      <c r="P159" s="161">
        <f t="shared" si="712"/>
        <v>-2.3556307985917489E-2</v>
      </c>
      <c r="Q159" s="161">
        <f t="shared" si="712"/>
        <v>-2.1464298731625375E-2</v>
      </c>
      <c r="R159" s="161">
        <f t="shared" si="712"/>
        <v>-2.2475107887493077E-2</v>
      </c>
      <c r="S159" s="161">
        <f t="shared" si="712"/>
        <v>-3.4903398861787061E-2</v>
      </c>
      <c r="T159" s="161">
        <f t="shared" si="712"/>
        <v>5.1784985702508501E-2</v>
      </c>
      <c r="U159" s="161">
        <f t="shared" si="712"/>
        <v>4.6368610778480868E-2</v>
      </c>
      <c r="V159" s="161">
        <f t="shared" si="712"/>
        <v>1.4314211005602092E-2</v>
      </c>
      <c r="W159" s="161">
        <f t="shared" si="712"/>
        <v>3.3010185531415104E-2</v>
      </c>
      <c r="X159" s="161">
        <f t="shared" si="712"/>
        <v>1.4332620557116612E-2</v>
      </c>
      <c r="Y159" s="161">
        <f t="shared" si="712"/>
        <v>-1.0313035991332752E-2</v>
      </c>
      <c r="Z159" s="161">
        <f t="shared" si="712"/>
        <v>-9.2015379708423502E-3</v>
      </c>
      <c r="AA159" s="161">
        <f t="shared" si="712"/>
        <v>1.4042439624262391E-3</v>
      </c>
      <c r="AB159" s="161">
        <f t="shared" si="712"/>
        <v>4.7897458552160904E-3</v>
      </c>
      <c r="AC159" s="161">
        <f t="shared" si="712"/>
        <v>-2.13227122925711E-2</v>
      </c>
      <c r="AD159" s="161">
        <f t="shared" si="712"/>
        <v>-7.5058500734776087E-2</v>
      </c>
      <c r="AE159" s="161">
        <f t="shared" si="712"/>
        <v>-5.084989619372287E-2</v>
      </c>
      <c r="AF159" s="161">
        <f t="shared" si="712"/>
        <v>-5.2831285505671476E-2</v>
      </c>
      <c r="AG159" s="161">
        <f t="shared" si="712"/>
        <v>-2.2378979322908436E-2</v>
      </c>
      <c r="AH159" s="161">
        <f t="shared" si="712"/>
        <v>-8.2189525252133761E-3</v>
      </c>
      <c r="AI159" s="161">
        <f t="shared" si="712"/>
        <v>-1.1542897792087526E-3</v>
      </c>
      <c r="AJ159" s="161">
        <f t="shared" si="712"/>
        <v>1.398361190140583E-2</v>
      </c>
      <c r="AK159" s="161">
        <f t="shared" si="712"/>
        <v>7.1208731789545844E-3</v>
      </c>
      <c r="AL159" s="161">
        <f t="shared" si="712"/>
        <v>2.2397260074377756E-2</v>
      </c>
      <c r="AM159" s="161">
        <f t="shared" si="712"/>
        <v>2.3699252039469241E-2</v>
      </c>
      <c r="AN159" s="161">
        <f t="shared" si="712"/>
        <v>1.8912129874780959E-2</v>
      </c>
      <c r="AO159" s="161">
        <f t="shared" si="712"/>
        <v>2.0844645558273783E-2</v>
      </c>
      <c r="AP159" s="161">
        <f t="shared" si="712"/>
        <v>4.3759406453485681E-4</v>
      </c>
      <c r="AQ159" s="161">
        <f t="shared" si="712"/>
        <v>1.790086962464936E-2</v>
      </c>
      <c r="AR159" s="161">
        <f t="shared" si="712"/>
        <v>1.5609136638330495E-2</v>
      </c>
      <c r="AS159" s="161">
        <f t="shared" si="712"/>
        <v>5.5216729374517621E-3</v>
      </c>
      <c r="AT159" s="161">
        <f t="shared" si="712"/>
        <v>5.8713051645622495E-3</v>
      </c>
      <c r="AU159" s="161">
        <f t="shared" si="712"/>
        <v>3.8267584094693469E-2</v>
      </c>
      <c r="AV159" s="161">
        <f t="shared" si="712"/>
        <v>5.0244990677343337E-2</v>
      </c>
      <c r="AW159" s="161">
        <f t="shared" si="712"/>
        <v>4.0523144983185405E-2</v>
      </c>
      <c r="AX159" s="161">
        <f t="shared" si="712"/>
        <v>5.7035649067527526E-2</v>
      </c>
      <c r="AY159" s="161">
        <f t="shared" si="712"/>
        <v>6.5024372374968442E-2</v>
      </c>
      <c r="AZ159" s="161">
        <f t="shared" si="712"/>
        <v>5.9237784944990518E-2</v>
      </c>
      <c r="BA159" s="161">
        <f t="shared" si="712"/>
        <v>4.730809017414811E-2</v>
      </c>
      <c r="BB159" s="161">
        <f t="shared" si="712"/>
        <v>1.315983723030335E-2</v>
      </c>
      <c r="BC159" s="161">
        <f t="shared" si="712"/>
        <v>4.7383229424865309E-2</v>
      </c>
      <c r="BD159" s="161">
        <f t="shared" si="712"/>
        <v>5.2433811696358024E-2</v>
      </c>
      <c r="BE159" s="161">
        <f t="shared" si="712"/>
        <v>5.9723868131594665E-2</v>
      </c>
      <c r="BF159" s="161">
        <f t="shared" si="712"/>
        <v>5.4051571994889434E-2</v>
      </c>
      <c r="BG159" s="161">
        <f t="shared" si="712"/>
        <v>4.4394326658183478E-2</v>
      </c>
      <c r="BH159" s="161">
        <f t="shared" si="712"/>
        <v>5.8546050562588423E-2</v>
      </c>
      <c r="BI159" s="161">
        <f t="shared" si="712"/>
        <v>4.4717390779111826E-2</v>
      </c>
      <c r="BJ159" s="161">
        <f t="shared" si="712"/>
        <v>4.0264197322339816E-2</v>
      </c>
      <c r="BK159" s="161">
        <f t="shared" si="712"/>
        <v>4.8556222777005234E-2</v>
      </c>
      <c r="BL159" s="161">
        <f t="shared" si="712"/>
        <v>3.8268596039498247E-2</v>
      </c>
      <c r="BM159" s="161">
        <f t="shared" si="712"/>
        <v>3.7212018750970723E-2</v>
      </c>
      <c r="BN159" s="161">
        <f t="shared" si="712"/>
        <v>1.4482817978874091E-2</v>
      </c>
      <c r="BO159" s="161">
        <f t="shared" si="712"/>
        <v>5.0317857456505188E-2</v>
      </c>
      <c r="BP159" s="161">
        <f t="shared" ref="BP159:EJ159" si="713">BP158/BP74</f>
        <v>5.6169873008493652E-2</v>
      </c>
      <c r="BQ159" s="161">
        <f t="shared" si="713"/>
        <v>5.8113976013650363E-2</v>
      </c>
      <c r="BR159" s="161">
        <f t="shared" si="713"/>
        <v>5.947248436533157E-2</v>
      </c>
      <c r="BS159" s="161">
        <f t="shared" si="713"/>
        <v>5.1998038032890444E-2</v>
      </c>
      <c r="BT159" s="161">
        <f t="shared" si="713"/>
        <v>5.0048274784608215E-2</v>
      </c>
      <c r="BU159" s="161">
        <f t="shared" si="713"/>
        <v>4.2972317167946257E-2</v>
      </c>
      <c r="BV159" s="161">
        <f t="shared" si="713"/>
        <v>4.0996330540950802E-2</v>
      </c>
      <c r="BW159" s="161">
        <f t="shared" si="713"/>
        <v>4.0981453022860728E-2</v>
      </c>
      <c r="BX159" s="161">
        <f t="shared" si="713"/>
        <v>4.888562992708937E-2</v>
      </c>
      <c r="BY159" s="161">
        <f t="shared" si="713"/>
        <v>3.7903851922730915E-2</v>
      </c>
      <c r="BZ159" s="161">
        <f t="shared" si="713"/>
        <v>3.0139597058485471E-2</v>
      </c>
      <c r="CA159" s="161">
        <f t="shared" si="713"/>
        <v>5.260378264527197E-2</v>
      </c>
      <c r="CB159" s="161">
        <f t="shared" si="713"/>
        <v>4.506135474473727E-2</v>
      </c>
      <c r="CC159" s="161">
        <f t="shared" si="713"/>
        <v>6.0729061988528836E-2</v>
      </c>
      <c r="CD159" s="161">
        <f t="shared" si="713"/>
        <v>6.2798465741137385E-2</v>
      </c>
      <c r="CE159" s="161">
        <f t="shared" si="713"/>
        <v>5.6945082206535803E-2</v>
      </c>
      <c r="CF159" s="161">
        <f t="shared" si="713"/>
        <v>6.9171652224408534E-2</v>
      </c>
      <c r="CG159" s="161">
        <f t="shared" si="713"/>
        <v>5.1937139185714166E-2</v>
      </c>
      <c r="CH159" s="161">
        <f t="shared" si="713"/>
        <v>5.0433944946921917E-2</v>
      </c>
      <c r="CI159" s="161">
        <f t="shared" si="713"/>
        <v>4.9875049111276389E-2</v>
      </c>
      <c r="CJ159" s="161">
        <f t="shared" si="713"/>
        <v>5.6945318393416343E-2</v>
      </c>
      <c r="CK159" s="161">
        <f t="shared" si="713"/>
        <v>4.6820560988457889E-2</v>
      </c>
      <c r="CL159" s="161">
        <f t="shared" si="713"/>
        <v>3.9531068473063286E-2</v>
      </c>
      <c r="CM159" s="161">
        <f t="shared" si="713"/>
        <v>5.9587719719167494E-2</v>
      </c>
      <c r="CN159" s="161">
        <f t="shared" si="713"/>
        <v>5.2183932767348229E-2</v>
      </c>
      <c r="CO159" s="161">
        <f t="shared" si="713"/>
        <v>6.6222674964919404E-2</v>
      </c>
      <c r="CP159" s="161">
        <f t="shared" si="713"/>
        <v>6.7767433416497339E-2</v>
      </c>
      <c r="CQ159" s="161">
        <f t="shared" si="713"/>
        <v>6.1904264953715281E-2</v>
      </c>
      <c r="CR159" s="161">
        <f t="shared" si="713"/>
        <v>7.2372939570096412E-2</v>
      </c>
      <c r="CS159" s="161">
        <f t="shared" ref="CS159:DD159" si="714">CS158/CS74</f>
        <v>5.1916530419412195E-2</v>
      </c>
      <c r="CT159" s="161">
        <f t="shared" si="714"/>
        <v>5.0359482893408435E-2</v>
      </c>
      <c r="CU159" s="161">
        <f t="shared" si="714"/>
        <v>4.9752052126215661E-2</v>
      </c>
      <c r="CV159" s="161">
        <f t="shared" si="714"/>
        <v>5.657837468737377E-2</v>
      </c>
      <c r="CW159" s="161">
        <f t="shared" si="714"/>
        <v>4.6615393262603513E-2</v>
      </c>
      <c r="CX159" s="161">
        <f t="shared" si="714"/>
        <v>3.9362573700082455E-2</v>
      </c>
      <c r="CY159" s="161">
        <f t="shared" si="714"/>
        <v>5.893404182513675E-2</v>
      </c>
      <c r="CZ159" s="161">
        <f t="shared" si="714"/>
        <v>5.1642446347875362E-2</v>
      </c>
      <c r="DA159" s="161">
        <f t="shared" si="714"/>
        <v>6.5339724616519226E-2</v>
      </c>
      <c r="DB159" s="161">
        <f t="shared" si="714"/>
        <v>6.682558312348591E-2</v>
      </c>
      <c r="DC159" s="161">
        <f t="shared" si="714"/>
        <v>6.1043064999867315E-2</v>
      </c>
      <c r="DD159" s="161">
        <f t="shared" si="714"/>
        <v>7.1260647245657796E-2</v>
      </c>
      <c r="DF159" s="161">
        <f t="shared" si="713"/>
        <v>1.7884458215262446E-2</v>
      </c>
      <c r="DG159" s="161">
        <f t="shared" si="713"/>
        <v>1.3631042755277078E-2</v>
      </c>
      <c r="DH159" s="161">
        <f t="shared" si="713"/>
        <v>1.3585470944116889E-2</v>
      </c>
      <c r="DI159" s="161">
        <f t="shared" si="713"/>
        <v>3.1912159240100511E-2</v>
      </c>
      <c r="DJ159" s="161">
        <f t="shared" si="713"/>
        <v>5.4457070690809121E-2</v>
      </c>
      <c r="DK159" s="161">
        <f t="shared" si="713"/>
        <v>4.2236821849337344E-2</v>
      </c>
      <c r="DL159" s="161">
        <f t="shared" si="713"/>
        <v>5.3521956531051747E-2</v>
      </c>
      <c r="DM159" s="161">
        <f t="shared" si="713"/>
        <v>5.2821923097378827E-2</v>
      </c>
      <c r="DN159" s="161">
        <f t="shared" si="713"/>
        <v>4.4551207645139382E-2</v>
      </c>
      <c r="DO159" s="161">
        <f t="shared" si="713"/>
        <v>3.0776191153636979E-2</v>
      </c>
      <c r="DP159" s="161">
        <f t="shared" si="713"/>
        <v>5.4948552022902566E-2</v>
      </c>
      <c r="DQ159" s="161">
        <f t="shared" si="713"/>
        <v>5.3661066828148175E-2</v>
      </c>
      <c r="DR159" s="161">
        <f t="shared" si="713"/>
        <v>4.1659752033510106E-2</v>
      </c>
      <c r="DS159" s="161">
        <f t="shared" si="713"/>
        <v>3.95711314392704E-2</v>
      </c>
      <c r="DT159" s="161">
        <f t="shared" si="713"/>
        <v>5.3252111793637029E-2</v>
      </c>
      <c r="DU159" s="161">
        <f t="shared" si="713"/>
        <v>6.328024180738677E-2</v>
      </c>
      <c r="DV159" s="161">
        <f t="shared" si="713"/>
        <v>5.0758156125439317E-2</v>
      </c>
      <c r="DW159" s="161">
        <f t="shared" si="713"/>
        <v>4.8331233592188189E-2</v>
      </c>
      <c r="DX159" s="161">
        <f t="shared" si="713"/>
        <v>5.9729129867677186E-2</v>
      </c>
      <c r="DY159" s="161">
        <f t="shared" si="713"/>
        <v>6.7593020739465839E-2</v>
      </c>
      <c r="DZ159" s="161">
        <f t="shared" si="713"/>
        <v>5.068652319795617E-2</v>
      </c>
      <c r="EA159" s="161">
        <f t="shared" si="713"/>
        <v>4.8085647505159465E-2</v>
      </c>
      <c r="EB159" s="161">
        <f t="shared" si="713"/>
        <v>5.9027386987116133E-2</v>
      </c>
      <c r="EC159" s="161">
        <f t="shared" si="713"/>
        <v>6.6615764538486139E-2</v>
      </c>
      <c r="ED159" s="805"/>
      <c r="EE159" s="161">
        <f t="shared" si="713"/>
        <v>1.8749608793979231E-2</v>
      </c>
      <c r="EF159" s="161">
        <f t="shared" si="713"/>
        <v>5.1240038942107054E-2</v>
      </c>
      <c r="EG159" s="161">
        <f t="shared" si="713"/>
        <v>4.7515938506156097E-2</v>
      </c>
      <c r="EH159" s="161">
        <f t="shared" si="713"/>
        <v>5.0406015389889161E-2</v>
      </c>
      <c r="EI159" s="161">
        <f t="shared" si="713"/>
        <v>5.7285544449981081E-2</v>
      </c>
      <c r="EJ159" s="161">
        <f t="shared" si="713"/>
        <v>5.6745519059762911E-2</v>
      </c>
    </row>
    <row r="160" spans="2:140" x14ac:dyDescent="0.2">
      <c r="B160" s="21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E160" s="10"/>
      <c r="EF160" s="10"/>
      <c r="EG160" s="10"/>
      <c r="EH160" s="10"/>
      <c r="EI160" s="10"/>
      <c r="EJ160" s="812"/>
    </row>
    <row r="161" spans="2:140" x14ac:dyDescent="0.2">
      <c r="B161" s="196" t="s">
        <v>56</v>
      </c>
      <c r="C161" s="197">
        <f>'P&amp;L - Inputs'!AB590</f>
        <v>3197.81518904824</v>
      </c>
      <c r="D161" s="197">
        <f>'P&amp;L - Inputs'!AC590</f>
        <v>3197.81518904824</v>
      </c>
      <c r="E161" s="197">
        <f>'P&amp;L - Inputs'!AD590</f>
        <v>17574.92649434572</v>
      </c>
      <c r="F161" s="197">
        <f>'P&amp;L - Inputs'!AE590</f>
        <v>58403.982420554428</v>
      </c>
      <c r="G161" s="197">
        <f>'P&amp;L - Inputs'!AF590</f>
        <v>32848.860487804879</v>
      </c>
      <c r="H161" s="197">
        <f>'P&amp;L - Inputs'!AG590</f>
        <v>23827.303913167667</v>
      </c>
      <c r="I161" s="197">
        <f>'P&amp;L - Inputs'!AH590</f>
        <v>44753.370173745177</v>
      </c>
      <c r="J161" s="197">
        <f>'P&amp;L - Inputs'!AI590</f>
        <v>47828.500495094064</v>
      </c>
      <c r="K161" s="197">
        <f>'P&amp;L - Inputs'!AJ590</f>
        <v>39522.187020950434</v>
      </c>
      <c r="L161" s="197">
        <f>'P&amp;L - Inputs'!AK590</f>
        <v>77873.859806466833</v>
      </c>
      <c r="M161" s="197">
        <f>'P&amp;L - Inputs'!AL590</f>
        <v>26441.484061227355</v>
      </c>
      <c r="N161" s="197">
        <f>'P&amp;L - Inputs'!AM590</f>
        <v>0</v>
      </c>
      <c r="O161" s="197">
        <f>'P&amp;L - Inputs'!AN590</f>
        <v>10399.867247007616</v>
      </c>
      <c r="P161" s="197">
        <f>'P&amp;L - Inputs'!AO590</f>
        <v>41206.150029533375</v>
      </c>
      <c r="Q161" s="197">
        <f>'P&amp;L - Inputs'!AP590</f>
        <v>211935.56399437413</v>
      </c>
      <c r="R161" s="197">
        <f>'P&amp;L - Inputs'!AQ590</f>
        <v>215179.84220590585</v>
      </c>
      <c r="S161" s="197">
        <f>'P&amp;L - Inputs'!AR590</f>
        <v>405525.97379392496</v>
      </c>
      <c r="T161" s="197">
        <f>'P&amp;L - Inputs'!AS590</f>
        <v>448046.5761937013</v>
      </c>
      <c r="U161" s="197">
        <f>'P&amp;L - Inputs'!AT590</f>
        <v>341329.13411439024</v>
      </c>
      <c r="V161" s="197">
        <f>'P&amp;L - Inputs'!AU590</f>
        <v>472256.37091919431</v>
      </c>
      <c r="W161" s="197">
        <f>'P&amp;L - Inputs'!AV590</f>
        <v>584214.93903156242</v>
      </c>
      <c r="X161" s="197">
        <f>'P&amp;L - Inputs'!AW590</f>
        <v>586837.14170048281</v>
      </c>
      <c r="Y161" s="197">
        <f>'P&amp;L - Inputs'!AX590</f>
        <v>531288.9130342335</v>
      </c>
      <c r="Z161" s="197">
        <f>'P&amp;L - Inputs'!AY590</f>
        <v>750597</v>
      </c>
      <c r="AA161" s="197">
        <f>'P&amp;L - Inputs'!AZ590</f>
        <v>1088971.9486847478</v>
      </c>
      <c r="AB161" s="197">
        <f>'P&amp;L - Inputs'!BA590</f>
        <v>2723535.6805717899</v>
      </c>
      <c r="AC161" s="197">
        <f>'P&amp;L - Inputs'!BB590</f>
        <v>4317268.9406789113</v>
      </c>
      <c r="AD161" s="197">
        <f>'P&amp;L - Inputs'!BC590</f>
        <v>3002268.1213020701</v>
      </c>
      <c r="AE161" s="197">
        <f>'P&amp;L - Inputs'!BD590</f>
        <v>2904116.0428485167</v>
      </c>
      <c r="AF161" s="197">
        <f>'P&amp;L - Inputs'!BE590</f>
        <v>999261.18623588956</v>
      </c>
      <c r="AG161" s="197">
        <f>'P&amp;L - Inputs'!BF590</f>
        <v>419917.12626221951</v>
      </c>
      <c r="AH161" s="197">
        <f>'P&amp;L - Inputs'!BG590</f>
        <v>1020779.6924305564</v>
      </c>
      <c r="AI161" s="197">
        <f>'P&amp;L - Inputs'!BH590</f>
        <v>1274197.6848224055</v>
      </c>
      <c r="AJ161" s="197">
        <f>'P&amp;L - Inputs'!BI590</f>
        <v>728169.38350239431</v>
      </c>
      <c r="AK161" s="197">
        <f>'P&amp;L - Inputs'!BJ590</f>
        <v>0</v>
      </c>
      <c r="AL161" s="197">
        <f>'P&amp;L - Inputs'!BK590</f>
        <v>0</v>
      </c>
      <c r="AM161" s="197">
        <f>'P&amp;L - Inputs'!BL590</f>
        <v>180000</v>
      </c>
      <c r="AN161" s="197">
        <f>'P&amp;L - Inputs'!BM590</f>
        <v>582854</v>
      </c>
      <c r="AO161" s="197">
        <f>'P&amp;L - Inputs'!BN590</f>
        <v>247040</v>
      </c>
      <c r="AP161" s="197">
        <f>'P&amp;L - Inputs'!BO590</f>
        <v>0</v>
      </c>
      <c r="AQ161" s="197">
        <f>'P&amp;L - Inputs'!BP590</f>
        <v>0</v>
      </c>
      <c r="AR161" s="197">
        <f>'P&amp;L - Inputs'!BQ590</f>
        <v>342323</v>
      </c>
      <c r="AS161" s="197">
        <f>'P&amp;L - Inputs'!BR590</f>
        <v>314374</v>
      </c>
      <c r="AT161" s="197">
        <f>'P&amp;L - Inputs'!BS590</f>
        <v>198210</v>
      </c>
      <c r="AU161" s="197">
        <f>'P&amp;L - Inputs'!BT590</f>
        <v>0</v>
      </c>
      <c r="AV161" s="197">
        <f>'P&amp;L - Inputs'!BU590</f>
        <v>165544</v>
      </c>
      <c r="AW161" s="197">
        <f>'P&amp;L - Inputs'!BV590</f>
        <v>0</v>
      </c>
      <c r="AX161" s="197">
        <f>'P&amp;L - Inputs'!BW590</f>
        <v>0</v>
      </c>
      <c r="AY161" s="197">
        <f>'P&amp;L - Inputs'!BX590</f>
        <v>248712</v>
      </c>
      <c r="AZ161" s="197">
        <f>'P&amp;L - Inputs'!BY590</f>
        <v>233828</v>
      </c>
      <c r="BA161" s="197">
        <f>'P&amp;L - Inputs'!BZ590</f>
        <v>176926</v>
      </c>
      <c r="BB161" s="197">
        <f>'P&amp;L - Inputs'!CA590</f>
        <v>13000</v>
      </c>
      <c r="BC161" s="197">
        <f>'P&amp;L - Inputs'!CB590</f>
        <v>0</v>
      </c>
      <c r="BD161" s="197">
        <f>'P&amp;L - Inputs'!CC590</f>
        <v>0</v>
      </c>
      <c r="BE161" s="197">
        <f>'P&amp;L - Inputs'!CD590</f>
        <v>0</v>
      </c>
      <c r="BF161" s="197">
        <f>'P&amp;L - Inputs'!CE590</f>
        <v>0</v>
      </c>
      <c r="BG161" s="197">
        <f>'P&amp;L - Inputs'!CF590</f>
        <v>0</v>
      </c>
      <c r="BH161" s="197">
        <f>'P&amp;L - Inputs'!CG590</f>
        <v>0</v>
      </c>
      <c r="BI161" s="197">
        <f>'P&amp;L - Inputs'!CH590</f>
        <v>0</v>
      </c>
      <c r="BJ161" s="197">
        <f>'P&amp;L - Inputs'!CI590</f>
        <v>0</v>
      </c>
      <c r="BK161" s="197">
        <f>'P&amp;L - Inputs'!CJ590</f>
        <v>0</v>
      </c>
      <c r="BL161" s="197">
        <f>'P&amp;L - Inputs'!CK590</f>
        <v>0</v>
      </c>
      <c r="BM161" s="197">
        <f>'P&amp;L - Inputs'!CL590</f>
        <v>0</v>
      </c>
      <c r="BN161" s="197">
        <f>'P&amp;L - Inputs'!CM590</f>
        <v>0</v>
      </c>
      <c r="BO161" s="197">
        <f>'P&amp;L - Inputs'!CN590</f>
        <v>0</v>
      </c>
      <c r="BP161" s="197">
        <f>'P&amp;L - Inputs'!CO590</f>
        <v>505000</v>
      </c>
      <c r="BQ161" s="197">
        <f>'P&amp;L - Inputs'!CP590</f>
        <v>816500</v>
      </c>
      <c r="BR161" s="197">
        <f>'P&amp;L - Inputs'!CQ590</f>
        <v>957536</v>
      </c>
      <c r="BS161" s="197">
        <f>'P&amp;L - Inputs'!CR590</f>
        <v>927000</v>
      </c>
      <c r="BT161" s="197">
        <f>'P&amp;L - Inputs'!CS590</f>
        <v>1471500</v>
      </c>
      <c r="BU161" s="197">
        <f>'P&amp;L - Inputs'!CT590</f>
        <v>1226889.8569989335</v>
      </c>
      <c r="BV161" s="197">
        <f>'P&amp;L - Inputs'!CU590</f>
        <v>1201495.8713118734</v>
      </c>
      <c r="BW161" s="197">
        <f>'P&amp;L - Inputs'!CV590</f>
        <v>1198991.3785396363</v>
      </c>
      <c r="BX161" s="197">
        <f>'P&amp;L - Inputs'!CW590</f>
        <v>1298346.4172030289</v>
      </c>
      <c r="BY161" s="197">
        <f>'P&amp;L - Inputs'!CX590</f>
        <v>1160006.764560187</v>
      </c>
      <c r="BZ161" s="197">
        <f>'P&amp;L - Inputs'!CY590</f>
        <v>1077172.5799783214</v>
      </c>
      <c r="CA161" s="197">
        <f>'P&amp;L - Inputs'!CZ590</f>
        <v>1344050.5446736782</v>
      </c>
      <c r="CB161" s="197">
        <f>'P&amp;L - Inputs'!DA590</f>
        <v>1237779.7067698226</v>
      </c>
      <c r="CC161" s="197">
        <f>'P&amp;L - Inputs'!DB590</f>
        <v>1472490.7504024331</v>
      </c>
      <c r="CD161" s="197">
        <f>'P&amp;L - Inputs'!DC590</f>
        <v>1508659.4771639239</v>
      </c>
      <c r="CE161" s="197">
        <f>'P&amp;L - Inputs'!DD590</f>
        <v>1402898.8986000719</v>
      </c>
      <c r="CF161" s="197">
        <f>'P&amp;L - Inputs'!DE590</f>
        <v>1631939.3445971631</v>
      </c>
      <c r="CG161" s="197">
        <f>'P&amp;L - Inputs'!DF590</f>
        <v>1500333.0008322971</v>
      </c>
      <c r="CH161" s="197">
        <f>'P&amp;L - Inputs'!DG590</f>
        <v>1472958.7972953918</v>
      </c>
      <c r="CI161" s="197">
        <f>'P&amp;L - Inputs'!DH590</f>
        <v>1462243.4931035852</v>
      </c>
      <c r="CJ161" s="197">
        <f>'P&amp;L - Inputs'!DI590</f>
        <v>1582600.8043687134</v>
      </c>
      <c r="CK161" s="197">
        <f>'P&amp;L - Inputs'!DJ590</f>
        <v>1410888.9760385423</v>
      </c>
      <c r="CL161" s="197">
        <f>'P&amp;L - Inputs'!DK590</f>
        <v>1306937.5468106153</v>
      </c>
      <c r="CM161" s="197">
        <f>'P&amp;L - Inputs'!DL590</f>
        <v>1625885.8835801564</v>
      </c>
      <c r="CN161" s="197">
        <f>'P&amp;L - Inputs'!DM590</f>
        <v>1489367.6193062547</v>
      </c>
      <c r="CO161" s="197">
        <f>'P&amp;L - Inputs'!DN590</f>
        <v>1765982.8083184469</v>
      </c>
      <c r="CP161" s="197">
        <f>'P&amp;L - Inputs'!DO590</f>
        <v>1801893.0520314004</v>
      </c>
      <c r="CQ161" s="197">
        <f>'P&amp;L - Inputs'!DP590</f>
        <v>1667207.3437379277</v>
      </c>
      <c r="CR161" s="197">
        <f>'P&amp;L - Inputs'!DQ590</f>
        <v>1918455.6802601432</v>
      </c>
      <c r="CS161" s="197">
        <f>'P&amp;L - Inputs'!DR590</f>
        <v>1709510.2348196788</v>
      </c>
      <c r="CT161" s="197">
        <f>'P&amp;L - Inputs'!DS590</f>
        <v>1676641.7654491449</v>
      </c>
      <c r="CU161" s="197">
        <f>'P&amp;L - Inputs'!DT590</f>
        <v>1663380.0097162067</v>
      </c>
      <c r="CV161" s="197">
        <f>'P&amp;L - Inputs'!DU590</f>
        <v>1799697.2544132294</v>
      </c>
      <c r="CW161" s="197">
        <f>'P&amp;L - Inputs'!DV590</f>
        <v>1602343.2598128433</v>
      </c>
      <c r="CX161" s="197">
        <f>'P&amp;L - Inputs'!DW590</f>
        <v>1482102.0783999688</v>
      </c>
      <c r="CY161" s="197">
        <f>'P&amp;L - Inputs'!DX590</f>
        <v>1844772.7078034615</v>
      </c>
      <c r="CZ161" s="197">
        <f>'P&amp;L - Inputs'!DY590</f>
        <v>1688399.7958660338</v>
      </c>
      <c r="DA161" s="197">
        <f>'P&amp;L - Inputs'!DZ590</f>
        <v>2002575.5301997934</v>
      </c>
      <c r="DB161" s="197">
        <f>'P&amp;L - Inputs'!EA590</f>
        <v>2042857.9088945061</v>
      </c>
      <c r="DC161" s="197">
        <f>'P&amp;L - Inputs'!EB590</f>
        <v>1888654.6120674203</v>
      </c>
      <c r="DD161" s="197">
        <f>'P&amp;L - Inputs'!EC590</f>
        <v>2173634.0325429691</v>
      </c>
      <c r="DF161" s="198">
        <f t="shared" ref="DF161" si="715">SUM(AK161:AM161)</f>
        <v>180000</v>
      </c>
      <c r="DG161" s="198">
        <f t="shared" ref="DG161" si="716">SUM(AN161:AP161)</f>
        <v>829894</v>
      </c>
      <c r="DH161" s="198">
        <f t="shared" ref="DH161" si="717">SUM(AQ161:AS161)</f>
        <v>656697</v>
      </c>
      <c r="DI161" s="198">
        <f t="shared" ref="DI161" si="718">SUM(AT161:AV161)</f>
        <v>363754</v>
      </c>
      <c r="DJ161" s="198">
        <f t="shared" ref="DJ161" si="719">SUM(AW161:AY161)</f>
        <v>248712</v>
      </c>
      <c r="DK161" s="198">
        <f t="shared" ref="DK161" si="720">SUM(AZ161:BB161)</f>
        <v>423754</v>
      </c>
      <c r="DL161" s="198">
        <f t="shared" ref="DL161" si="721">SUM(BC161:BE161)</f>
        <v>0</v>
      </c>
      <c r="DM161" s="198">
        <f t="shared" ref="DM161" si="722">SUM(BF161:BH161)</f>
        <v>0</v>
      </c>
      <c r="DN161" s="198">
        <f t="shared" ref="DN161" si="723">SUM(BI161:BK161)</f>
        <v>0</v>
      </c>
      <c r="DO161" s="198">
        <f t="shared" ref="DO161" si="724">SUM(BL161:BN161)</f>
        <v>0</v>
      </c>
      <c r="DP161" s="198">
        <f t="shared" ref="DP161" si="725">SUM(BO161:BQ161)</f>
        <v>1321500</v>
      </c>
      <c r="DQ161" s="198">
        <f t="shared" ref="DQ161" si="726">SUM(BR161:BT161)</f>
        <v>3356036</v>
      </c>
      <c r="DR161" s="198">
        <f t="shared" ref="DR161" si="727">SUM(BU161:BW161)</f>
        <v>3627377.1068504429</v>
      </c>
      <c r="DS161" s="198">
        <f t="shared" ref="DS161" si="728">SUM(BX161:BZ161)</f>
        <v>3535525.7617415376</v>
      </c>
      <c r="DT161" s="198">
        <f t="shared" ref="DT161" si="729">SUM(CA161:CC161)</f>
        <v>4054321.0018459335</v>
      </c>
      <c r="DU161" s="198">
        <f t="shared" ref="DU161" si="730">SUM(CD161:CF161)</f>
        <v>4543497.7203611583</v>
      </c>
      <c r="DV161" s="198">
        <f t="shared" ref="DV161" si="731">SUM(CG161:CI161)</f>
        <v>4435535.2912312746</v>
      </c>
      <c r="DW161" s="198">
        <f t="shared" ref="DW161" si="732">SUM(CJ161:CL161)</f>
        <v>4300427.3272178713</v>
      </c>
      <c r="DX161" s="198">
        <f t="shared" ref="DX161" si="733">SUM(CM161:CO161)</f>
        <v>4881236.3112048581</v>
      </c>
      <c r="DY161" s="198">
        <f t="shared" ref="DY161" si="734">SUM(CP161:CR161)</f>
        <v>5387556.0760294711</v>
      </c>
      <c r="DZ161" s="198">
        <f t="shared" si="587"/>
        <v>5049532.0099850297</v>
      </c>
      <c r="EA161" s="198">
        <f t="shared" si="588"/>
        <v>4884142.5926260408</v>
      </c>
      <c r="EB161" s="198">
        <f t="shared" si="589"/>
        <v>5535748.0338692889</v>
      </c>
      <c r="EC161" s="198">
        <f t="shared" si="590"/>
        <v>6105146.5535048954</v>
      </c>
      <c r="EE161" s="198">
        <f>SUM(DF161:DI161)</f>
        <v>2030345</v>
      </c>
      <c r="EF161" s="198">
        <f>SUM(DJ161:DM161)</f>
        <v>672466</v>
      </c>
      <c r="EG161" s="198">
        <f>SUM(DN161:DQ161)</f>
        <v>4677536</v>
      </c>
      <c r="EH161" s="198">
        <f>SUM(DR161:DU161)</f>
        <v>15760721.590799073</v>
      </c>
      <c r="EI161" s="198">
        <f>SUM(DV161:DY161)</f>
        <v>19004755.005683474</v>
      </c>
      <c r="EJ161" s="814">
        <f t="shared" si="596"/>
        <v>21574569.189985253</v>
      </c>
    </row>
    <row r="162" spans="2:140" x14ac:dyDescent="0.2">
      <c r="B162" s="21" t="s">
        <v>206</v>
      </c>
      <c r="C162" s="161">
        <f t="shared" ref="C162:AH162" si="735">C161/C74</f>
        <v>4.0673434752283273E-4</v>
      </c>
      <c r="D162" s="161">
        <f t="shared" si="735"/>
        <v>4.3857254446273426E-4</v>
      </c>
      <c r="E162" s="161">
        <f t="shared" si="735"/>
        <v>1.9186491020365085E-3</v>
      </c>
      <c r="F162" s="161">
        <f t="shared" si="735"/>
        <v>5.1008357685913405E-3</v>
      </c>
      <c r="G162" s="161">
        <f t="shared" si="735"/>
        <v>2.7685705034114164E-3</v>
      </c>
      <c r="H162" s="161">
        <f t="shared" si="735"/>
        <v>1.3965971138423831E-3</v>
      </c>
      <c r="I162" s="161">
        <f t="shared" si="735"/>
        <v>1.139784362007179E-3</v>
      </c>
      <c r="J162" s="161">
        <f t="shared" si="735"/>
        <v>1.1878850755027799E-3</v>
      </c>
      <c r="K162" s="161">
        <f t="shared" si="735"/>
        <v>1.0097028994831827E-3</v>
      </c>
      <c r="L162" s="161">
        <f t="shared" si="735"/>
        <v>1.7893667339791035E-3</v>
      </c>
      <c r="M162" s="161">
        <f t="shared" si="735"/>
        <v>1.0633582723776924E-3</v>
      </c>
      <c r="N162" s="161">
        <f t="shared" si="735"/>
        <v>0</v>
      </c>
      <c r="O162" s="161">
        <f t="shared" si="735"/>
        <v>5.6630895168726346E-4</v>
      </c>
      <c r="P162" s="161">
        <f t="shared" si="735"/>
        <v>1.5074369677423537E-3</v>
      </c>
      <c r="Q162" s="161">
        <f t="shared" si="735"/>
        <v>6.0636967582747238E-3</v>
      </c>
      <c r="R162" s="161">
        <f t="shared" si="735"/>
        <v>4.5790688783748819E-3</v>
      </c>
      <c r="S162" s="161">
        <f t="shared" si="735"/>
        <v>7.0836907067617439E-3</v>
      </c>
      <c r="T162" s="161">
        <f t="shared" si="735"/>
        <v>5.5980132873444544E-3</v>
      </c>
      <c r="U162" s="161">
        <f t="shared" si="735"/>
        <v>3.5232161634215081E-3</v>
      </c>
      <c r="V162" s="161">
        <f t="shared" si="735"/>
        <v>4.9621152742061019E-3</v>
      </c>
      <c r="W162" s="161">
        <f t="shared" si="735"/>
        <v>5.7064611190639986E-3</v>
      </c>
      <c r="X162" s="161">
        <f t="shared" si="735"/>
        <v>5.1139873139007712E-3</v>
      </c>
      <c r="Y162" s="161">
        <f t="shared" si="735"/>
        <v>5.1468132118228649E-3</v>
      </c>
      <c r="Z162" s="161">
        <f t="shared" si="735"/>
        <v>5.9594375106256283E-3</v>
      </c>
      <c r="AA162" s="161">
        <f t="shared" si="735"/>
        <v>7.2544106480235673E-3</v>
      </c>
      <c r="AB162" s="161">
        <f t="shared" si="735"/>
        <v>1.7579453270411625E-2</v>
      </c>
      <c r="AC162" s="161">
        <f t="shared" si="735"/>
        <v>2.6594865606457515E-2</v>
      </c>
      <c r="AD162" s="161">
        <f t="shared" si="735"/>
        <v>1.9182413056404706E-2</v>
      </c>
      <c r="AE162" s="161">
        <f t="shared" si="735"/>
        <v>1.6718913984299359E-2</v>
      </c>
      <c r="AF162" s="161">
        <f t="shared" si="735"/>
        <v>5.5645995251731133E-3</v>
      </c>
      <c r="AG162" s="161">
        <f t="shared" si="735"/>
        <v>1.934773801895949E-3</v>
      </c>
      <c r="AH162" s="161">
        <f t="shared" si="735"/>
        <v>4.2788656379052076E-3</v>
      </c>
      <c r="AI162" s="161">
        <f t="shared" ref="AI162:BN162" si="736">AI161/AI74</f>
        <v>5.3874018623264758E-3</v>
      </c>
      <c r="AJ162" s="161">
        <f t="shared" si="736"/>
        <v>2.4361351252434448E-3</v>
      </c>
      <c r="AK162" s="161">
        <f t="shared" si="736"/>
        <v>0</v>
      </c>
      <c r="AL162" s="161">
        <f t="shared" si="736"/>
        <v>0</v>
      </c>
      <c r="AM162" s="161">
        <f t="shared" si="736"/>
        <v>5.4545863877359356E-4</v>
      </c>
      <c r="AN162" s="161">
        <f t="shared" si="736"/>
        <v>2.0034774731532701E-3</v>
      </c>
      <c r="AO162" s="161">
        <f t="shared" si="736"/>
        <v>8.458268437723552E-4</v>
      </c>
      <c r="AP162" s="161">
        <f t="shared" si="736"/>
        <v>0</v>
      </c>
      <c r="AQ162" s="161">
        <f t="shared" si="736"/>
        <v>0</v>
      </c>
      <c r="AR162" s="161">
        <f t="shared" si="736"/>
        <v>1.0040652146390933E-3</v>
      </c>
      <c r="AS162" s="161">
        <f t="shared" si="736"/>
        <v>1.0652341655921977E-3</v>
      </c>
      <c r="AT162" s="161">
        <f t="shared" si="736"/>
        <v>7.4597885121837054E-4</v>
      </c>
      <c r="AU162" s="161">
        <f t="shared" si="736"/>
        <v>0</v>
      </c>
      <c r="AV162" s="161">
        <f t="shared" si="736"/>
        <v>5.6489194112784393E-4</v>
      </c>
      <c r="AW162" s="161">
        <f t="shared" si="736"/>
        <v>0</v>
      </c>
      <c r="AX162" s="161">
        <f t="shared" si="736"/>
        <v>0</v>
      </c>
      <c r="AY162" s="161">
        <f t="shared" si="736"/>
        <v>7.4507622772001223E-4</v>
      </c>
      <c r="AZ162" s="161">
        <f t="shared" si="736"/>
        <v>7.3979244264079692E-4</v>
      </c>
      <c r="BA162" s="161">
        <f t="shared" si="736"/>
        <v>6.5749256158700224E-4</v>
      </c>
      <c r="BB162" s="161">
        <f t="shared" si="736"/>
        <v>5.6098405778047594E-5</v>
      </c>
      <c r="BC162" s="161">
        <f t="shared" si="736"/>
        <v>0</v>
      </c>
      <c r="BD162" s="161">
        <f t="shared" si="736"/>
        <v>0</v>
      </c>
      <c r="BE162" s="161">
        <f t="shared" si="736"/>
        <v>0</v>
      </c>
      <c r="BF162" s="161">
        <f t="shared" si="736"/>
        <v>0</v>
      </c>
      <c r="BG162" s="161">
        <f t="shared" si="736"/>
        <v>0</v>
      </c>
      <c r="BH162" s="161">
        <f t="shared" si="736"/>
        <v>0</v>
      </c>
      <c r="BI162" s="161">
        <f t="shared" si="736"/>
        <v>0</v>
      </c>
      <c r="BJ162" s="161">
        <f t="shared" si="736"/>
        <v>0</v>
      </c>
      <c r="BK162" s="161">
        <f t="shared" si="736"/>
        <v>0</v>
      </c>
      <c r="BL162" s="161">
        <f t="shared" si="736"/>
        <v>0</v>
      </c>
      <c r="BM162" s="161">
        <f t="shared" si="736"/>
        <v>0</v>
      </c>
      <c r="BN162" s="161">
        <f t="shared" si="736"/>
        <v>0</v>
      </c>
      <c r="BO162" s="161">
        <f t="shared" ref="BO162:EJ162" si="737">BO161/BO74</f>
        <v>0</v>
      </c>
      <c r="BP162" s="161">
        <f t="shared" si="737"/>
        <v>1.0125990863064621E-3</v>
      </c>
      <c r="BQ162" s="161">
        <f t="shared" si="737"/>
        <v>1.3098088236060102E-3</v>
      </c>
      <c r="BR162" s="161">
        <f t="shared" si="737"/>
        <v>1.4518007964121292E-3</v>
      </c>
      <c r="BS162" s="161">
        <f t="shared" si="737"/>
        <v>1.451351386453911E-3</v>
      </c>
      <c r="BT162" s="161">
        <f t="shared" si="737"/>
        <v>1.9187141257330821E-3</v>
      </c>
      <c r="BU162" s="161">
        <f t="shared" si="737"/>
        <v>1.9172617381732109E-3</v>
      </c>
      <c r="BV162" s="161">
        <f t="shared" si="737"/>
        <v>1.9172617381732102E-3</v>
      </c>
      <c r="BW162" s="161">
        <f t="shared" si="737"/>
        <v>1.9172617381732107E-3</v>
      </c>
      <c r="BX162" s="161">
        <f t="shared" si="737"/>
        <v>1.9172617381732107E-3</v>
      </c>
      <c r="BY162" s="161">
        <f t="shared" si="737"/>
        <v>1.9172617381732105E-3</v>
      </c>
      <c r="BZ162" s="161">
        <f t="shared" si="737"/>
        <v>1.9172617381732105E-3</v>
      </c>
      <c r="CA162" s="161">
        <f t="shared" si="737"/>
        <v>1.9172617381732105E-3</v>
      </c>
      <c r="CB162" s="161">
        <f t="shared" si="737"/>
        <v>1.9172617381732107E-3</v>
      </c>
      <c r="CC162" s="161">
        <f t="shared" si="737"/>
        <v>1.91726173817321E-3</v>
      </c>
      <c r="CD162" s="161">
        <f t="shared" si="737"/>
        <v>1.9172617381732105E-3</v>
      </c>
      <c r="CE162" s="161">
        <f t="shared" si="737"/>
        <v>1.9172617381732107E-3</v>
      </c>
      <c r="CF162" s="161">
        <f t="shared" si="737"/>
        <v>1.9172617381732107E-3</v>
      </c>
      <c r="CG162" s="161">
        <f t="shared" si="737"/>
        <v>1.9172617381732105E-3</v>
      </c>
      <c r="CH162" s="161">
        <f t="shared" si="737"/>
        <v>1.9172617381732107E-3</v>
      </c>
      <c r="CI162" s="161">
        <f t="shared" si="737"/>
        <v>1.9172617381732105E-3</v>
      </c>
      <c r="CJ162" s="161">
        <f t="shared" si="737"/>
        <v>1.9172617381732107E-3</v>
      </c>
      <c r="CK162" s="161">
        <f t="shared" si="737"/>
        <v>1.9172617381732109E-3</v>
      </c>
      <c r="CL162" s="161">
        <f t="shared" si="737"/>
        <v>1.9172617381732105E-3</v>
      </c>
      <c r="CM162" s="161">
        <f t="shared" si="737"/>
        <v>1.91726173817321E-3</v>
      </c>
      <c r="CN162" s="161">
        <f t="shared" si="737"/>
        <v>1.9172617381732105E-3</v>
      </c>
      <c r="CO162" s="161">
        <f t="shared" si="737"/>
        <v>1.9172617381732107E-3</v>
      </c>
      <c r="CP162" s="161">
        <f t="shared" si="737"/>
        <v>1.9172617381732102E-3</v>
      </c>
      <c r="CQ162" s="161">
        <f t="shared" si="737"/>
        <v>1.9172617381732102E-3</v>
      </c>
      <c r="CR162" s="161">
        <f t="shared" si="737"/>
        <v>1.9172617381732107E-3</v>
      </c>
      <c r="CS162" s="161">
        <f t="shared" ref="CS162:DD162" si="738">CS161/CS74</f>
        <v>1.9172617381732105E-3</v>
      </c>
      <c r="CT162" s="161">
        <f t="shared" si="738"/>
        <v>1.9172617381732105E-3</v>
      </c>
      <c r="CU162" s="161">
        <f t="shared" si="738"/>
        <v>1.9172617381732102E-3</v>
      </c>
      <c r="CV162" s="161">
        <f t="shared" si="738"/>
        <v>1.9172617381732105E-3</v>
      </c>
      <c r="CW162" s="161">
        <f t="shared" si="738"/>
        <v>1.9172617381732105E-3</v>
      </c>
      <c r="CX162" s="161">
        <f t="shared" si="738"/>
        <v>1.9172617381732102E-3</v>
      </c>
      <c r="CY162" s="161">
        <f t="shared" si="738"/>
        <v>1.9172617381732105E-3</v>
      </c>
      <c r="CZ162" s="161">
        <f t="shared" si="738"/>
        <v>1.9172617381732107E-3</v>
      </c>
      <c r="DA162" s="161">
        <f t="shared" si="738"/>
        <v>1.9172617381732102E-3</v>
      </c>
      <c r="DB162" s="161">
        <f t="shared" si="738"/>
        <v>1.9172617381732105E-3</v>
      </c>
      <c r="DC162" s="161">
        <f t="shared" si="738"/>
        <v>1.9172617381732102E-3</v>
      </c>
      <c r="DD162" s="161">
        <f t="shared" si="738"/>
        <v>1.9172617381732105E-3</v>
      </c>
      <c r="DF162" s="161">
        <f t="shared" si="737"/>
        <v>1.8245659705527905E-4</v>
      </c>
      <c r="DG162" s="161">
        <f t="shared" si="737"/>
        <v>9.6596870537958048E-4</v>
      </c>
      <c r="DH162" s="161">
        <f t="shared" si="737"/>
        <v>6.3902931926299023E-4</v>
      </c>
      <c r="DI162" s="161">
        <f t="shared" si="737"/>
        <v>4.5349108951197296E-4</v>
      </c>
      <c r="DJ162" s="161">
        <f t="shared" si="737"/>
        <v>2.6006394254438298E-4</v>
      </c>
      <c r="DK162" s="161">
        <f t="shared" si="737"/>
        <v>5.1873417888483194E-4</v>
      </c>
      <c r="DL162" s="161">
        <f t="shared" si="737"/>
        <v>0</v>
      </c>
      <c r="DM162" s="161">
        <f t="shared" si="737"/>
        <v>0</v>
      </c>
      <c r="DN162" s="161">
        <f t="shared" si="737"/>
        <v>0</v>
      </c>
      <c r="DO162" s="161">
        <f t="shared" si="737"/>
        <v>0</v>
      </c>
      <c r="DP162" s="161">
        <f t="shared" si="737"/>
        <v>7.8672610556258164E-4</v>
      </c>
      <c r="DQ162" s="161">
        <f t="shared" si="737"/>
        <v>1.6250530637888574E-3</v>
      </c>
      <c r="DR162" s="161">
        <f t="shared" si="737"/>
        <v>1.9172617381732102E-3</v>
      </c>
      <c r="DS162" s="161">
        <f t="shared" si="737"/>
        <v>1.9172617381732107E-3</v>
      </c>
      <c r="DT162" s="161">
        <f t="shared" si="737"/>
        <v>1.9172617381732102E-3</v>
      </c>
      <c r="DU162" s="161">
        <f t="shared" si="737"/>
        <v>1.9172617381732102E-3</v>
      </c>
      <c r="DV162" s="161">
        <f t="shared" si="737"/>
        <v>1.9172617381732105E-3</v>
      </c>
      <c r="DW162" s="161">
        <f t="shared" si="737"/>
        <v>1.9172617381732107E-3</v>
      </c>
      <c r="DX162" s="161">
        <f t="shared" si="737"/>
        <v>1.9172617381732105E-3</v>
      </c>
      <c r="DY162" s="161">
        <f t="shared" si="737"/>
        <v>1.9172617381732105E-3</v>
      </c>
      <c r="DZ162" s="161">
        <f t="shared" si="737"/>
        <v>1.9172617381732102E-3</v>
      </c>
      <c r="EA162" s="161">
        <f t="shared" si="737"/>
        <v>1.9172617381732102E-3</v>
      </c>
      <c r="EB162" s="161">
        <f t="shared" si="737"/>
        <v>1.9172617381732105E-3</v>
      </c>
      <c r="EC162" s="161">
        <f t="shared" si="737"/>
        <v>1.9172617381732102E-3</v>
      </c>
      <c r="ED162" s="805"/>
      <c r="EE162" s="161">
        <f t="shared" si="737"/>
        <v>5.5240952881023249E-4</v>
      </c>
      <c r="EF162" s="161">
        <f t="shared" si="737"/>
        <v>1.6716600622602117E-4</v>
      </c>
      <c r="EG162" s="161">
        <f t="shared" si="737"/>
        <v>7.3909837989577401E-4</v>
      </c>
      <c r="EH162" s="161">
        <f t="shared" si="737"/>
        <v>1.9172617381732102E-3</v>
      </c>
      <c r="EI162" s="161">
        <f t="shared" si="737"/>
        <v>1.9172617381732105E-3</v>
      </c>
      <c r="EJ162" s="161">
        <f t="shared" si="737"/>
        <v>1.91726173817321E-3</v>
      </c>
    </row>
    <row r="163" spans="2:140" x14ac:dyDescent="0.2">
      <c r="B163" s="21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E163" s="10"/>
      <c r="EF163" s="10"/>
      <c r="EG163" s="10"/>
      <c r="EH163" s="10"/>
      <c r="EI163" s="10"/>
      <c r="EJ163" s="812"/>
    </row>
    <row r="164" spans="2:140" x14ac:dyDescent="0.2">
      <c r="B164" s="196" t="s">
        <v>153</v>
      </c>
      <c r="C164" s="197">
        <f>'P&amp;L - Inputs'!AB593</f>
        <v>0</v>
      </c>
      <c r="D164" s="197">
        <f>'P&amp;L - Inputs'!AC593</f>
        <v>0</v>
      </c>
      <c r="E164" s="197">
        <f>'P&amp;L - Inputs'!AD593</f>
        <v>0</v>
      </c>
      <c r="F164" s="197">
        <f>'P&amp;L - Inputs'!AE593</f>
        <v>0</v>
      </c>
      <c r="G164" s="197">
        <f>'P&amp;L - Inputs'!AF593</f>
        <v>0</v>
      </c>
      <c r="H164" s="197">
        <f>'P&amp;L - Inputs'!AG593</f>
        <v>0</v>
      </c>
      <c r="I164" s="197">
        <f>'P&amp;L - Inputs'!AH593</f>
        <v>0</v>
      </c>
      <c r="J164" s="197">
        <f>'P&amp;L - Inputs'!AI593</f>
        <v>0</v>
      </c>
      <c r="K164" s="197">
        <f>'P&amp;L - Inputs'!AJ593</f>
        <v>0</v>
      </c>
      <c r="L164" s="197">
        <f>'P&amp;L - Inputs'!AK593</f>
        <v>0</v>
      </c>
      <c r="M164" s="197">
        <f>'P&amp;L - Inputs'!AL593</f>
        <v>0</v>
      </c>
      <c r="N164" s="197">
        <f>'P&amp;L - Inputs'!AM593</f>
        <v>0</v>
      </c>
      <c r="O164" s="197">
        <f>'P&amp;L - Inputs'!AN593</f>
        <v>0</v>
      </c>
      <c r="P164" s="197">
        <f>'P&amp;L - Inputs'!AO593</f>
        <v>0</v>
      </c>
      <c r="Q164" s="197">
        <f>'P&amp;L - Inputs'!AP593</f>
        <v>0</v>
      </c>
      <c r="R164" s="197">
        <f>'P&amp;L - Inputs'!AQ593</f>
        <v>0</v>
      </c>
      <c r="S164" s="197">
        <f>'P&amp;L - Inputs'!AR593</f>
        <v>0</v>
      </c>
      <c r="T164" s="197">
        <f>'P&amp;L - Inputs'!AS593</f>
        <v>0</v>
      </c>
      <c r="U164" s="197">
        <f>'P&amp;L - Inputs'!AT593</f>
        <v>0</v>
      </c>
      <c r="V164" s="197">
        <f>'P&amp;L - Inputs'!AU593</f>
        <v>0</v>
      </c>
      <c r="W164" s="197">
        <f>'P&amp;L - Inputs'!AV593</f>
        <v>0</v>
      </c>
      <c r="X164" s="197">
        <f>'P&amp;L - Inputs'!AW593</f>
        <v>0</v>
      </c>
      <c r="Y164" s="197">
        <f>'P&amp;L - Inputs'!AX593</f>
        <v>0</v>
      </c>
      <c r="Z164" s="197">
        <f>'P&amp;L - Inputs'!AY593</f>
        <v>0</v>
      </c>
      <c r="AA164" s="197">
        <f>'P&amp;L - Inputs'!AZ593</f>
        <v>0</v>
      </c>
      <c r="AB164" s="197">
        <f>'P&amp;L - Inputs'!BA593</f>
        <v>0</v>
      </c>
      <c r="AC164" s="197">
        <f>'P&amp;L - Inputs'!BB593</f>
        <v>0</v>
      </c>
      <c r="AD164" s="197">
        <f>'P&amp;L - Inputs'!BC593</f>
        <v>0</v>
      </c>
      <c r="AE164" s="197">
        <f>'P&amp;L - Inputs'!BD593</f>
        <v>0</v>
      </c>
      <c r="AF164" s="197">
        <f>'P&amp;L - Inputs'!BE593</f>
        <v>0</v>
      </c>
      <c r="AG164" s="197">
        <f>'P&amp;L - Inputs'!BF593</f>
        <v>0</v>
      </c>
      <c r="AH164" s="197">
        <f>'P&amp;L - Inputs'!BG593</f>
        <v>0</v>
      </c>
      <c r="AI164" s="197">
        <f>'P&amp;L - Inputs'!BH593</f>
        <v>0</v>
      </c>
      <c r="AJ164" s="197">
        <f>'P&amp;L - Inputs'!BI593</f>
        <v>0</v>
      </c>
      <c r="AK164" s="197">
        <f>'P&amp;L - Inputs'!BJ593</f>
        <v>1892126</v>
      </c>
      <c r="AL164" s="197">
        <f>'P&amp;L - Inputs'!BK593</f>
        <v>4243002</v>
      </c>
      <c r="AM164" s="197">
        <f>'P&amp;L - Inputs'!BL593</f>
        <v>2888553</v>
      </c>
      <c r="AN164" s="197">
        <f>'P&amp;L - Inputs'!BM593</f>
        <v>2104750</v>
      </c>
      <c r="AO164" s="197">
        <f>'P&amp;L - Inputs'!BN593</f>
        <v>3000918</v>
      </c>
      <c r="AP164" s="197">
        <f>'P&amp;L - Inputs'!BO593</f>
        <v>3320854</v>
      </c>
      <c r="AQ164" s="197">
        <f>'P&amp;L - Inputs'!BP593</f>
        <v>2475388</v>
      </c>
      <c r="AR164" s="197">
        <f>'P&amp;L - Inputs'!BQ593</f>
        <v>6460376</v>
      </c>
      <c r="AS164" s="197">
        <f>'P&amp;L - Inputs'!BR593</f>
        <v>3062375</v>
      </c>
      <c r="AT164" s="197">
        <f>'P&amp;L - Inputs'!BS593</f>
        <v>1250646</v>
      </c>
      <c r="AU164" s="197">
        <f>'P&amp;L - Inputs'!BT593</f>
        <v>5979508</v>
      </c>
      <c r="AV164" s="197">
        <f>'P&amp;L - Inputs'!BU593</f>
        <v>2356534</v>
      </c>
      <c r="AW164" s="197">
        <f>'P&amp;L - Inputs'!BV593</f>
        <v>1627181</v>
      </c>
      <c r="AX164" s="197">
        <f>'P&amp;L - Inputs'!BW593</f>
        <v>2075701</v>
      </c>
      <c r="AY164" s="197">
        <f>'P&amp;L - Inputs'!BX593</f>
        <v>1497698</v>
      </c>
      <c r="AZ164" s="197">
        <f>'P&amp;L - Inputs'!BY593</f>
        <v>1841441</v>
      </c>
      <c r="BA164" s="197">
        <f>'P&amp;L - Inputs'!BZ593</f>
        <v>1682855</v>
      </c>
      <c r="BB164" s="197">
        <f>'P&amp;L - Inputs'!CA593</f>
        <v>2023170</v>
      </c>
      <c r="BC164" s="197">
        <f>'P&amp;L - Inputs'!CB593</f>
        <v>1335647</v>
      </c>
      <c r="BD164" s="197">
        <f>'P&amp;L - Inputs'!CC593</f>
        <v>2019684</v>
      </c>
      <c r="BE164" s="197">
        <f>'P&amp;L - Inputs'!CD593</f>
        <v>1854515</v>
      </c>
      <c r="BF164" s="197">
        <f>'P&amp;L - Inputs'!CE593</f>
        <v>1827988</v>
      </c>
      <c r="BG164" s="197">
        <f>'P&amp;L - Inputs'!CF593</f>
        <v>1668344</v>
      </c>
      <c r="BH164" s="197">
        <f>'P&amp;L - Inputs'!CG593</f>
        <v>1569374</v>
      </c>
      <c r="BI164" s="197">
        <f>'P&amp;L - Inputs'!CH593</f>
        <v>1590841</v>
      </c>
      <c r="BJ164" s="197">
        <f>'P&amp;L - Inputs'!CI593</f>
        <v>1932340</v>
      </c>
      <c r="BK164" s="197">
        <f>'P&amp;L - Inputs'!CJ593</f>
        <v>1603602</v>
      </c>
      <c r="BL164" s="197">
        <f>'P&amp;L - Inputs'!CK593</f>
        <v>1937297</v>
      </c>
      <c r="BM164" s="197">
        <f>'P&amp;L - Inputs'!CL593</f>
        <v>1460566</v>
      </c>
      <c r="BN164" s="197">
        <f>'P&amp;L - Inputs'!CM593</f>
        <v>1995120</v>
      </c>
      <c r="BO164" s="197">
        <f>'P&amp;L - Inputs'!CN593</f>
        <v>1893728.25</v>
      </c>
      <c r="BP164" s="197">
        <f>'P&amp;L - Inputs'!CO593</f>
        <v>2341462</v>
      </c>
      <c r="BQ164" s="197">
        <f>'P&amp;L - Inputs'!CP593</f>
        <v>3236282.75</v>
      </c>
      <c r="BR164" s="197">
        <f>'P&amp;L - Inputs'!CQ593</f>
        <v>3307202</v>
      </c>
      <c r="BS164" s="197">
        <f>'P&amp;L - Inputs'!CR593</f>
        <v>3009367.75</v>
      </c>
      <c r="BT164" s="197">
        <f>'P&amp;L - Inputs'!CS593</f>
        <v>3527268.25</v>
      </c>
      <c r="BU164" s="197">
        <f>'P&amp;L - Inputs'!CT593</f>
        <v>0</v>
      </c>
      <c r="BV164" s="197">
        <f>'P&amp;L - Inputs'!CU593</f>
        <v>0</v>
      </c>
      <c r="BW164" s="197">
        <f>'P&amp;L - Inputs'!CV593</f>
        <v>0</v>
      </c>
      <c r="BX164" s="197">
        <f>'P&amp;L - Inputs'!CW593</f>
        <v>0</v>
      </c>
      <c r="BY164" s="197">
        <f>'P&amp;L - Inputs'!CX593</f>
        <v>0</v>
      </c>
      <c r="BZ164" s="197">
        <f>'P&amp;L - Inputs'!CY593</f>
        <v>0</v>
      </c>
      <c r="CA164" s="197">
        <f>'P&amp;L - Inputs'!CZ593</f>
        <v>0</v>
      </c>
      <c r="CB164" s="197">
        <f>'P&amp;L - Inputs'!DA593</f>
        <v>0</v>
      </c>
      <c r="CC164" s="197">
        <f>'P&amp;L - Inputs'!DB593</f>
        <v>0</v>
      </c>
      <c r="CD164" s="197">
        <f>'P&amp;L - Inputs'!DC593</f>
        <v>0</v>
      </c>
      <c r="CE164" s="197">
        <f>'P&amp;L - Inputs'!DD593</f>
        <v>0</v>
      </c>
      <c r="CF164" s="197">
        <f>'P&amp;L - Inputs'!DE593</f>
        <v>0</v>
      </c>
      <c r="CG164" s="197">
        <f>'P&amp;L - Inputs'!DF593</f>
        <v>0</v>
      </c>
      <c r="CH164" s="197">
        <f>'P&amp;L - Inputs'!DG593</f>
        <v>0</v>
      </c>
      <c r="CI164" s="197">
        <f>'P&amp;L - Inputs'!DH593</f>
        <v>0</v>
      </c>
      <c r="CJ164" s="197">
        <f>'P&amp;L - Inputs'!DI593</f>
        <v>0</v>
      </c>
      <c r="CK164" s="197">
        <f>'P&amp;L - Inputs'!DJ593</f>
        <v>0</v>
      </c>
      <c r="CL164" s="197">
        <f>'P&amp;L - Inputs'!DK593</f>
        <v>0</v>
      </c>
      <c r="CM164" s="197">
        <f>'P&amp;L - Inputs'!DL593</f>
        <v>0</v>
      </c>
      <c r="CN164" s="197">
        <f>'P&amp;L - Inputs'!DM593</f>
        <v>0</v>
      </c>
      <c r="CO164" s="197">
        <f>'P&amp;L - Inputs'!DN593</f>
        <v>0</v>
      </c>
      <c r="CP164" s="197">
        <f>'P&amp;L - Inputs'!DO593</f>
        <v>0</v>
      </c>
      <c r="CQ164" s="197">
        <f>'P&amp;L - Inputs'!DP593</f>
        <v>0</v>
      </c>
      <c r="CR164" s="197">
        <f>'P&amp;L - Inputs'!DQ593</f>
        <v>0</v>
      </c>
      <c r="CS164" s="197">
        <f>'P&amp;L - Inputs'!DR593</f>
        <v>0</v>
      </c>
      <c r="CT164" s="197">
        <f>'P&amp;L - Inputs'!DS593</f>
        <v>0</v>
      </c>
      <c r="CU164" s="197">
        <f>'P&amp;L - Inputs'!DT593</f>
        <v>0</v>
      </c>
      <c r="CV164" s="197">
        <f>'P&amp;L - Inputs'!DU593</f>
        <v>0</v>
      </c>
      <c r="CW164" s="197">
        <f>'P&amp;L - Inputs'!DV593</f>
        <v>0</v>
      </c>
      <c r="CX164" s="197">
        <f>'P&amp;L - Inputs'!DW593</f>
        <v>0</v>
      </c>
      <c r="CY164" s="197">
        <f>'P&amp;L - Inputs'!DX593</f>
        <v>0</v>
      </c>
      <c r="CZ164" s="197">
        <f>'P&amp;L - Inputs'!DY593</f>
        <v>0</v>
      </c>
      <c r="DA164" s="197">
        <f>'P&amp;L - Inputs'!DZ593</f>
        <v>0</v>
      </c>
      <c r="DB164" s="197">
        <f>'P&amp;L - Inputs'!EA593</f>
        <v>0</v>
      </c>
      <c r="DC164" s="197">
        <f>'P&amp;L - Inputs'!EB593</f>
        <v>0</v>
      </c>
      <c r="DD164" s="197">
        <f>'P&amp;L - Inputs'!EC593</f>
        <v>0</v>
      </c>
      <c r="DF164" s="198">
        <f t="shared" ref="DF164" si="739">SUM(AK164:AM164)</f>
        <v>9023681</v>
      </c>
      <c r="DG164" s="198">
        <f t="shared" ref="DG164" si="740">SUM(AN164:AP164)</f>
        <v>8426522</v>
      </c>
      <c r="DH164" s="198">
        <f t="shared" ref="DH164" si="741">SUM(AQ164:AS164)</f>
        <v>11998139</v>
      </c>
      <c r="DI164" s="198">
        <f t="shared" ref="DI164" si="742">SUM(AT164:AV164)</f>
        <v>9586688</v>
      </c>
      <c r="DJ164" s="198">
        <f t="shared" ref="DJ164" si="743">SUM(AW164:AY164)</f>
        <v>5200580</v>
      </c>
      <c r="DK164" s="198">
        <f t="shared" ref="DK164" si="744">SUM(AZ164:BB164)</f>
        <v>5547466</v>
      </c>
      <c r="DL164" s="198">
        <f t="shared" ref="DL164" si="745">SUM(BC164:BE164)</f>
        <v>5209846</v>
      </c>
      <c r="DM164" s="198">
        <f t="shared" ref="DM164" si="746">SUM(BF164:BH164)</f>
        <v>5065706</v>
      </c>
      <c r="DN164" s="198">
        <f t="shared" ref="DN164" si="747">SUM(BI164:BK164)</f>
        <v>5126783</v>
      </c>
      <c r="DO164" s="198">
        <f t="shared" ref="DO164" si="748">SUM(BL164:BN164)</f>
        <v>5392983</v>
      </c>
      <c r="DP164" s="198">
        <f t="shared" ref="DP164" si="749">SUM(BO164:BQ164)</f>
        <v>7471473</v>
      </c>
      <c r="DQ164" s="198">
        <f t="shared" ref="DQ164" si="750">SUM(BR164:BT164)</f>
        <v>9843838</v>
      </c>
      <c r="DR164" s="198">
        <f t="shared" ref="DR164" si="751">SUM(BU164:BW164)</f>
        <v>0</v>
      </c>
      <c r="DS164" s="198">
        <f t="shared" ref="DS164" si="752">SUM(BX164:BZ164)</f>
        <v>0</v>
      </c>
      <c r="DT164" s="198">
        <f t="shared" ref="DT164" si="753">SUM(CA164:CC164)</f>
        <v>0</v>
      </c>
      <c r="DU164" s="198">
        <f t="shared" ref="DU164" si="754">SUM(CD164:CF164)</f>
        <v>0</v>
      </c>
      <c r="DV164" s="198">
        <f t="shared" ref="DV164" si="755">SUM(CG164:CI164)</f>
        <v>0</v>
      </c>
      <c r="DW164" s="198">
        <f t="shared" ref="DW164" si="756">SUM(CJ164:CL164)</f>
        <v>0</v>
      </c>
      <c r="DX164" s="198">
        <f t="shared" ref="DX164" si="757">SUM(CM164:CO164)</f>
        <v>0</v>
      </c>
      <c r="DY164" s="198">
        <f t="shared" ref="DY164" si="758">SUM(CP164:CR164)</f>
        <v>0</v>
      </c>
      <c r="DZ164" s="198">
        <f t="shared" si="587"/>
        <v>0</v>
      </c>
      <c r="EA164" s="198">
        <f t="shared" si="588"/>
        <v>0</v>
      </c>
      <c r="EB164" s="198">
        <f t="shared" si="589"/>
        <v>0</v>
      </c>
      <c r="EC164" s="198">
        <f t="shared" si="590"/>
        <v>0</v>
      </c>
      <c r="EE164" s="198">
        <f>SUM(DF164:DI164)</f>
        <v>39035030</v>
      </c>
      <c r="EF164" s="198">
        <f>SUM(DJ164:DM164)</f>
        <v>21023598</v>
      </c>
      <c r="EG164" s="198">
        <f>SUM(DN164:DQ164)</f>
        <v>27835077</v>
      </c>
      <c r="EH164" s="198">
        <f>SUM(DR164:DU164)</f>
        <v>0</v>
      </c>
      <c r="EI164" s="198">
        <f>SUM(DV164:DY164)</f>
        <v>0</v>
      </c>
      <c r="EJ164" s="814">
        <f t="shared" si="596"/>
        <v>0</v>
      </c>
    </row>
    <row r="165" spans="2:140" x14ac:dyDescent="0.2">
      <c r="B165" s="21" t="s">
        <v>207</v>
      </c>
      <c r="C165" s="161">
        <f t="shared" ref="C165:AH165" si="759">C164/C74</f>
        <v>0</v>
      </c>
      <c r="D165" s="161">
        <f t="shared" si="759"/>
        <v>0</v>
      </c>
      <c r="E165" s="161">
        <f t="shared" si="759"/>
        <v>0</v>
      </c>
      <c r="F165" s="161">
        <f t="shared" si="759"/>
        <v>0</v>
      </c>
      <c r="G165" s="161">
        <f t="shared" si="759"/>
        <v>0</v>
      </c>
      <c r="H165" s="161">
        <f t="shared" si="759"/>
        <v>0</v>
      </c>
      <c r="I165" s="161">
        <f t="shared" si="759"/>
        <v>0</v>
      </c>
      <c r="J165" s="161">
        <f t="shared" si="759"/>
        <v>0</v>
      </c>
      <c r="K165" s="161">
        <f t="shared" si="759"/>
        <v>0</v>
      </c>
      <c r="L165" s="161">
        <f t="shared" si="759"/>
        <v>0</v>
      </c>
      <c r="M165" s="161">
        <f t="shared" si="759"/>
        <v>0</v>
      </c>
      <c r="N165" s="161">
        <f t="shared" si="759"/>
        <v>0</v>
      </c>
      <c r="O165" s="161">
        <f t="shared" si="759"/>
        <v>0</v>
      </c>
      <c r="P165" s="161">
        <f t="shared" si="759"/>
        <v>0</v>
      </c>
      <c r="Q165" s="161">
        <f t="shared" si="759"/>
        <v>0</v>
      </c>
      <c r="R165" s="161">
        <f t="shared" si="759"/>
        <v>0</v>
      </c>
      <c r="S165" s="161">
        <f t="shared" si="759"/>
        <v>0</v>
      </c>
      <c r="T165" s="161">
        <f t="shared" si="759"/>
        <v>0</v>
      </c>
      <c r="U165" s="161">
        <f t="shared" si="759"/>
        <v>0</v>
      </c>
      <c r="V165" s="161">
        <f t="shared" si="759"/>
        <v>0</v>
      </c>
      <c r="W165" s="161">
        <f t="shared" si="759"/>
        <v>0</v>
      </c>
      <c r="X165" s="161">
        <f t="shared" si="759"/>
        <v>0</v>
      </c>
      <c r="Y165" s="161">
        <f t="shared" si="759"/>
        <v>0</v>
      </c>
      <c r="Z165" s="161">
        <f t="shared" si="759"/>
        <v>0</v>
      </c>
      <c r="AA165" s="161">
        <f t="shared" si="759"/>
        <v>0</v>
      </c>
      <c r="AB165" s="161">
        <f t="shared" si="759"/>
        <v>0</v>
      </c>
      <c r="AC165" s="161">
        <f t="shared" si="759"/>
        <v>0</v>
      </c>
      <c r="AD165" s="161">
        <f t="shared" si="759"/>
        <v>0</v>
      </c>
      <c r="AE165" s="161">
        <f t="shared" si="759"/>
        <v>0</v>
      </c>
      <c r="AF165" s="161">
        <f t="shared" si="759"/>
        <v>0</v>
      </c>
      <c r="AG165" s="161">
        <f t="shared" si="759"/>
        <v>0</v>
      </c>
      <c r="AH165" s="161">
        <f t="shared" si="759"/>
        <v>0</v>
      </c>
      <c r="AI165" s="161">
        <f t="shared" ref="AI165:BN165" si="760">AI164/AI74</f>
        <v>0</v>
      </c>
      <c r="AJ165" s="161">
        <f t="shared" si="760"/>
        <v>0</v>
      </c>
      <c r="AK165" s="161">
        <f t="shared" si="760"/>
        <v>5.9210674520192288E-3</v>
      </c>
      <c r="AL165" s="161">
        <f t="shared" si="760"/>
        <v>1.2591249769831427E-2</v>
      </c>
      <c r="AM165" s="161">
        <f t="shared" si="760"/>
        <v>8.7532565966965542E-3</v>
      </c>
      <c r="AN165" s="161">
        <f t="shared" si="760"/>
        <v>7.2347778545216214E-3</v>
      </c>
      <c r="AO165" s="161">
        <f t="shared" si="760"/>
        <v>1.0274680215186401E-2</v>
      </c>
      <c r="AP165" s="161">
        <f t="shared" si="760"/>
        <v>1.2025938138005924E-2</v>
      </c>
      <c r="AQ165" s="161">
        <f t="shared" si="760"/>
        <v>6.3213979141533679E-3</v>
      </c>
      <c r="AR165" s="161">
        <f t="shared" si="760"/>
        <v>1.8948883992864186E-2</v>
      </c>
      <c r="AS165" s="161">
        <f t="shared" si="760"/>
        <v>1.0376642081900559E-2</v>
      </c>
      <c r="AT165" s="161">
        <f t="shared" si="760"/>
        <v>4.7069041237114686E-3</v>
      </c>
      <c r="AU165" s="161">
        <f t="shared" si="760"/>
        <v>2.4570573659455357E-2</v>
      </c>
      <c r="AV165" s="161">
        <f t="shared" si="760"/>
        <v>8.0412885129860501E-3</v>
      </c>
      <c r="AW165" s="161">
        <f t="shared" si="760"/>
        <v>5.2348164084973173E-3</v>
      </c>
      <c r="AX165" s="161">
        <f t="shared" si="760"/>
        <v>6.6592109861665473E-3</v>
      </c>
      <c r="AY165" s="161">
        <f t="shared" si="760"/>
        <v>4.4867122459061361E-3</v>
      </c>
      <c r="AZ165" s="161">
        <f t="shared" si="760"/>
        <v>5.8260094401393833E-3</v>
      </c>
      <c r="BA165" s="161">
        <f t="shared" si="760"/>
        <v>6.2538272765421399E-3</v>
      </c>
      <c r="BB165" s="161">
        <f t="shared" si="760"/>
        <v>8.7305085859978888E-3</v>
      </c>
      <c r="BC165" s="161">
        <f t="shared" si="760"/>
        <v>4.0753122042619114E-3</v>
      </c>
      <c r="BD165" s="161">
        <f t="shared" si="760"/>
        <v>6.3151769150170643E-3</v>
      </c>
      <c r="BE165" s="161">
        <f t="shared" si="760"/>
        <v>4.8737044666399779E-3</v>
      </c>
      <c r="BF165" s="161">
        <f t="shared" si="760"/>
        <v>4.6706569166034898E-3</v>
      </c>
      <c r="BG165" s="161">
        <f t="shared" si="760"/>
        <v>4.5121269044899534E-3</v>
      </c>
      <c r="BH165" s="161">
        <f t="shared" si="760"/>
        <v>3.4094543111443977E-3</v>
      </c>
      <c r="BI165" s="161">
        <f t="shared" si="760"/>
        <v>3.5637908806607373E-3</v>
      </c>
      <c r="BJ165" s="161">
        <f t="shared" si="760"/>
        <v>4.5238655042283095E-3</v>
      </c>
      <c r="BK165" s="161">
        <f t="shared" si="760"/>
        <v>3.6553786290560524E-3</v>
      </c>
      <c r="BL165" s="161">
        <f t="shared" si="760"/>
        <v>4.0192713292173752E-3</v>
      </c>
      <c r="BM165" s="161">
        <f t="shared" si="760"/>
        <v>3.5877764423676421E-3</v>
      </c>
      <c r="BN165" s="161">
        <f t="shared" si="760"/>
        <v>5.2167259462978996E-3</v>
      </c>
      <c r="BO165" s="161">
        <f t="shared" ref="BO165:EJ165" si="761">BO164/BO74</f>
        <v>3.3958722156695784E-3</v>
      </c>
      <c r="BP165" s="161">
        <f t="shared" si="761"/>
        <v>4.6949748154877253E-3</v>
      </c>
      <c r="BQ165" s="161">
        <f t="shared" si="761"/>
        <v>5.1915636272307705E-3</v>
      </c>
      <c r="BR165" s="161">
        <f t="shared" si="761"/>
        <v>5.0143268738677051E-3</v>
      </c>
      <c r="BS165" s="161">
        <f t="shared" si="761"/>
        <v>4.7115966087510107E-3</v>
      </c>
      <c r="BT165" s="161">
        <f t="shared" si="761"/>
        <v>4.5992656585285823E-3</v>
      </c>
      <c r="BU165" s="161">
        <f t="shared" si="761"/>
        <v>0</v>
      </c>
      <c r="BV165" s="161">
        <f t="shared" si="761"/>
        <v>0</v>
      </c>
      <c r="BW165" s="161">
        <f t="shared" si="761"/>
        <v>0</v>
      </c>
      <c r="BX165" s="161">
        <f t="shared" si="761"/>
        <v>0</v>
      </c>
      <c r="BY165" s="161">
        <f t="shared" si="761"/>
        <v>0</v>
      </c>
      <c r="BZ165" s="161">
        <f t="shared" si="761"/>
        <v>0</v>
      </c>
      <c r="CA165" s="161">
        <f t="shared" si="761"/>
        <v>0</v>
      </c>
      <c r="CB165" s="161">
        <f t="shared" si="761"/>
        <v>0</v>
      </c>
      <c r="CC165" s="161">
        <f t="shared" si="761"/>
        <v>0</v>
      </c>
      <c r="CD165" s="161">
        <f t="shared" si="761"/>
        <v>0</v>
      </c>
      <c r="CE165" s="161">
        <f t="shared" si="761"/>
        <v>0</v>
      </c>
      <c r="CF165" s="161">
        <f t="shared" si="761"/>
        <v>0</v>
      </c>
      <c r="CG165" s="161">
        <f t="shared" si="761"/>
        <v>0</v>
      </c>
      <c r="CH165" s="161">
        <f t="shared" si="761"/>
        <v>0</v>
      </c>
      <c r="CI165" s="161">
        <f t="shared" si="761"/>
        <v>0</v>
      </c>
      <c r="CJ165" s="161">
        <f t="shared" si="761"/>
        <v>0</v>
      </c>
      <c r="CK165" s="161">
        <f t="shared" si="761"/>
        <v>0</v>
      </c>
      <c r="CL165" s="161">
        <f t="shared" si="761"/>
        <v>0</v>
      </c>
      <c r="CM165" s="161">
        <f t="shared" si="761"/>
        <v>0</v>
      </c>
      <c r="CN165" s="161">
        <f t="shared" si="761"/>
        <v>0</v>
      </c>
      <c r="CO165" s="161">
        <f t="shared" si="761"/>
        <v>0</v>
      </c>
      <c r="CP165" s="161">
        <f t="shared" si="761"/>
        <v>0</v>
      </c>
      <c r="CQ165" s="161">
        <f t="shared" si="761"/>
        <v>0</v>
      </c>
      <c r="CR165" s="161">
        <f t="shared" si="761"/>
        <v>0</v>
      </c>
      <c r="CS165" s="161">
        <f t="shared" ref="CS165:DD165" si="762">CS164/CS74</f>
        <v>0</v>
      </c>
      <c r="CT165" s="161">
        <f t="shared" si="762"/>
        <v>0</v>
      </c>
      <c r="CU165" s="161">
        <f t="shared" si="762"/>
        <v>0</v>
      </c>
      <c r="CV165" s="161">
        <f t="shared" si="762"/>
        <v>0</v>
      </c>
      <c r="CW165" s="161">
        <f t="shared" si="762"/>
        <v>0</v>
      </c>
      <c r="CX165" s="161">
        <f t="shared" si="762"/>
        <v>0</v>
      </c>
      <c r="CY165" s="161">
        <f t="shared" si="762"/>
        <v>0</v>
      </c>
      <c r="CZ165" s="161">
        <f t="shared" si="762"/>
        <v>0</v>
      </c>
      <c r="DA165" s="161">
        <f t="shared" si="762"/>
        <v>0</v>
      </c>
      <c r="DB165" s="161">
        <f t="shared" si="762"/>
        <v>0</v>
      </c>
      <c r="DC165" s="161">
        <f t="shared" si="762"/>
        <v>0</v>
      </c>
      <c r="DD165" s="161">
        <f t="shared" si="762"/>
        <v>0</v>
      </c>
      <c r="DF165" s="161">
        <f t="shared" si="761"/>
        <v>9.1468340454020983E-3</v>
      </c>
      <c r="DG165" s="161">
        <f t="shared" si="761"/>
        <v>9.8081882110155668E-3</v>
      </c>
      <c r="DH165" s="161">
        <f t="shared" si="761"/>
        <v>1.1675342810447945E-2</v>
      </c>
      <c r="DI165" s="161">
        <f t="shared" si="761"/>
        <v>1.1951696987335829E-2</v>
      </c>
      <c r="DJ165" s="161">
        <f t="shared" si="761"/>
        <v>5.4379496699695521E-3</v>
      </c>
      <c r="DK165" s="161">
        <f t="shared" si="761"/>
        <v>6.7908744705690634E-3</v>
      </c>
      <c r="DL165" s="161">
        <f t="shared" si="761"/>
        <v>5.0675995018287286E-3</v>
      </c>
      <c r="DM165" s="161">
        <f t="shared" si="761"/>
        <v>4.1473758076536306E-3</v>
      </c>
      <c r="DN165" s="161">
        <f t="shared" si="761"/>
        <v>3.9069234442766672E-3</v>
      </c>
      <c r="DO165" s="161">
        <f t="shared" si="761"/>
        <v>4.2412874416622483E-3</v>
      </c>
      <c r="DP165" s="161">
        <f t="shared" si="761"/>
        <v>4.4479779463533695E-3</v>
      </c>
      <c r="DQ165" s="161">
        <f t="shared" si="761"/>
        <v>4.7665636189067034E-3</v>
      </c>
      <c r="DR165" s="161">
        <f t="shared" si="761"/>
        <v>0</v>
      </c>
      <c r="DS165" s="161">
        <f t="shared" si="761"/>
        <v>0</v>
      </c>
      <c r="DT165" s="161">
        <f t="shared" si="761"/>
        <v>0</v>
      </c>
      <c r="DU165" s="161">
        <f t="shared" si="761"/>
        <v>0</v>
      </c>
      <c r="DV165" s="161">
        <f t="shared" si="761"/>
        <v>0</v>
      </c>
      <c r="DW165" s="161">
        <f t="shared" si="761"/>
        <v>0</v>
      </c>
      <c r="DX165" s="161">
        <f t="shared" si="761"/>
        <v>0</v>
      </c>
      <c r="DY165" s="161">
        <f t="shared" si="761"/>
        <v>0</v>
      </c>
      <c r="DZ165" s="161">
        <f t="shared" si="761"/>
        <v>0</v>
      </c>
      <c r="EA165" s="161">
        <f t="shared" si="761"/>
        <v>0</v>
      </c>
      <c r="EB165" s="161">
        <f t="shared" si="761"/>
        <v>0</v>
      </c>
      <c r="EC165" s="161">
        <f t="shared" si="761"/>
        <v>0</v>
      </c>
      <c r="ED165" s="805"/>
      <c r="EE165" s="161">
        <f t="shared" si="761"/>
        <v>1.0620521403699021E-2</v>
      </c>
      <c r="EF165" s="161">
        <f t="shared" si="761"/>
        <v>5.2261837983799417E-3</v>
      </c>
      <c r="EG165" s="161">
        <f t="shared" si="761"/>
        <v>4.3982259708902549E-3</v>
      </c>
      <c r="EH165" s="161">
        <f t="shared" si="761"/>
        <v>0</v>
      </c>
      <c r="EI165" s="161">
        <f t="shared" si="761"/>
        <v>0</v>
      </c>
      <c r="EJ165" s="161">
        <f t="shared" si="761"/>
        <v>0</v>
      </c>
    </row>
    <row r="166" spans="2:140" x14ac:dyDescent="0.2">
      <c r="B166" s="21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E166" s="10"/>
      <c r="EF166" s="10"/>
      <c r="EG166" s="10"/>
      <c r="EH166" s="10"/>
      <c r="EI166" s="10"/>
      <c r="EJ166" s="812"/>
    </row>
    <row r="167" spans="2:140" x14ac:dyDescent="0.2">
      <c r="B167" s="193" t="s">
        <v>58</v>
      </c>
      <c r="C167" s="195">
        <f>C158-C161-C164</f>
        <v>-316622.56974443007</v>
      </c>
      <c r="D167" s="195">
        <f t="shared" ref="D167:BO167" si="763">D158-D161-D164</f>
        <v>-16624.467119309644</v>
      </c>
      <c r="E167" s="195">
        <f t="shared" si="763"/>
        <v>-499986.24326167739</v>
      </c>
      <c r="F167" s="195">
        <f t="shared" si="763"/>
        <v>-820573.82379922085</v>
      </c>
      <c r="G167" s="195">
        <f t="shared" si="763"/>
        <v>-1503992.4561877334</v>
      </c>
      <c r="H167" s="195">
        <f t="shared" si="763"/>
        <v>-947652.60076331766</v>
      </c>
      <c r="I167" s="195">
        <f t="shared" si="763"/>
        <v>1223072.3243686312</v>
      </c>
      <c r="J167" s="195">
        <f t="shared" si="763"/>
        <v>1223887.0605670565</v>
      </c>
      <c r="K167" s="195">
        <f t="shared" si="763"/>
        <v>1561615.9881313783</v>
      </c>
      <c r="L167" s="195">
        <f t="shared" si="763"/>
        <v>2042677.1029210333</v>
      </c>
      <c r="M167" s="195">
        <f t="shared" si="763"/>
        <v>-1693533.9297256724</v>
      </c>
      <c r="N167" s="195">
        <f t="shared" si="763"/>
        <v>-5442148.0700797262</v>
      </c>
      <c r="O167" s="195">
        <f t="shared" si="763"/>
        <v>-861472.02806123521</v>
      </c>
      <c r="P167" s="195">
        <f t="shared" si="763"/>
        <v>-685123.46251481015</v>
      </c>
      <c r="Q167" s="195">
        <f t="shared" si="763"/>
        <v>-962145.94534680061</v>
      </c>
      <c r="R167" s="195">
        <f t="shared" si="763"/>
        <v>-1271331.2776278253</v>
      </c>
      <c r="S167" s="195">
        <f t="shared" si="763"/>
        <v>-2403670.0766459918</v>
      </c>
      <c r="T167" s="195">
        <f t="shared" si="763"/>
        <v>3696653.4006180987</v>
      </c>
      <c r="U167" s="195">
        <f t="shared" si="763"/>
        <v>4150861.249042796</v>
      </c>
      <c r="V167" s="195">
        <f t="shared" si="763"/>
        <v>890061.30380648538</v>
      </c>
      <c r="W167" s="195">
        <f t="shared" si="763"/>
        <v>2795295.2556895162</v>
      </c>
      <c r="X167" s="195">
        <f t="shared" si="763"/>
        <v>1057850.958708656</v>
      </c>
      <c r="Y167" s="195">
        <f t="shared" si="763"/>
        <v>-1595870.3261175186</v>
      </c>
      <c r="Z167" s="195">
        <f t="shared" si="763"/>
        <v>-1909539.7330995351</v>
      </c>
      <c r="AA167" s="195">
        <f t="shared" si="763"/>
        <v>-878178.49372521741</v>
      </c>
      <c r="AB167" s="195">
        <f t="shared" si="763"/>
        <v>-1981473.709878522</v>
      </c>
      <c r="AC167" s="195">
        <f t="shared" si="763"/>
        <v>-7778684.5715741273</v>
      </c>
      <c r="AD167" s="195">
        <f t="shared" si="763"/>
        <v>-14749786.190386025</v>
      </c>
      <c r="AE167" s="195">
        <f t="shared" si="763"/>
        <v>-11736866.749745637</v>
      </c>
      <c r="AF167" s="195">
        <f t="shared" si="763"/>
        <v>-10486422.443024065</v>
      </c>
      <c r="AG167" s="195">
        <f t="shared" si="763"/>
        <v>-5276979.3196558859</v>
      </c>
      <c r="AH167" s="195">
        <f t="shared" si="763"/>
        <v>-2981518.9492247929</v>
      </c>
      <c r="AI167" s="195">
        <f t="shared" si="763"/>
        <v>-1547203.7463466178</v>
      </c>
      <c r="AJ167" s="195">
        <f t="shared" si="763"/>
        <v>3451581.5473356019</v>
      </c>
      <c r="AK167" s="195">
        <f t="shared" si="763"/>
        <v>383407.82794310153</v>
      </c>
      <c r="AL167" s="195">
        <f t="shared" si="763"/>
        <v>3304431.4182298779</v>
      </c>
      <c r="AM167" s="195">
        <f t="shared" si="763"/>
        <v>4752141.4832624048</v>
      </c>
      <c r="AN167" s="195">
        <f t="shared" si="763"/>
        <v>2814334.8506956771</v>
      </c>
      <c r="AO167" s="195">
        <f t="shared" si="763"/>
        <v>2840121.7016911358</v>
      </c>
      <c r="AP167" s="195">
        <f t="shared" si="763"/>
        <v>-3200016.3586525619</v>
      </c>
      <c r="AQ167" s="195">
        <f t="shared" si="763"/>
        <v>4534390.2895788848</v>
      </c>
      <c r="AR167" s="195">
        <f t="shared" si="763"/>
        <v>-1480966.5034072772</v>
      </c>
      <c r="AS167" s="195">
        <f t="shared" si="763"/>
        <v>-1747182.03331016</v>
      </c>
      <c r="AT167" s="195">
        <f t="shared" si="763"/>
        <v>111176.69364431128</v>
      </c>
      <c r="AU167" s="195">
        <f t="shared" si="763"/>
        <v>3333311.8147232234</v>
      </c>
      <c r="AV167" s="195">
        <f t="shared" si="763"/>
        <v>12202431.470046919</v>
      </c>
      <c r="AW167" s="195">
        <f t="shared" si="763"/>
        <v>10968961.143562321</v>
      </c>
      <c r="AX167" s="195">
        <f t="shared" si="763"/>
        <v>15702524.386017982</v>
      </c>
      <c r="AY167" s="195">
        <f t="shared" si="763"/>
        <v>19959210.311644755</v>
      </c>
      <c r="AZ167" s="195">
        <f t="shared" si="763"/>
        <v>16648162.032456163</v>
      </c>
      <c r="BA167" s="195">
        <f t="shared" si="763"/>
        <v>10870448.43704249</v>
      </c>
      <c r="BB167" s="195">
        <f t="shared" si="763"/>
        <v>1013433.3108464852</v>
      </c>
      <c r="BC167" s="195">
        <f t="shared" si="763"/>
        <v>14193781.190912105</v>
      </c>
      <c r="BD167" s="195">
        <f t="shared" si="763"/>
        <v>14749399.743374594</v>
      </c>
      <c r="BE167" s="195">
        <f t="shared" si="763"/>
        <v>20871280.145396546</v>
      </c>
      <c r="BF167" s="195">
        <f t="shared" si="763"/>
        <v>19326557.656426758</v>
      </c>
      <c r="BG167" s="195">
        <f t="shared" si="763"/>
        <v>14746311.456724726</v>
      </c>
      <c r="BH167" s="195">
        <f t="shared" si="763"/>
        <v>25379410.518180422</v>
      </c>
      <c r="BI167" s="195">
        <f t="shared" si="763"/>
        <v>18370559.948207095</v>
      </c>
      <c r="BJ167" s="195">
        <f t="shared" si="763"/>
        <v>15266252.438508429</v>
      </c>
      <c r="BK167" s="195">
        <f t="shared" si="763"/>
        <v>19697845.499505296</v>
      </c>
      <c r="BL167" s="195">
        <f t="shared" si="763"/>
        <v>16508244.549434975</v>
      </c>
      <c r="BM167" s="195">
        <f t="shared" si="763"/>
        <v>13688262.320853598</v>
      </c>
      <c r="BN167" s="195">
        <f t="shared" si="763"/>
        <v>3543786.9894531965</v>
      </c>
      <c r="BO167" s="195">
        <f t="shared" si="763"/>
        <v>26166322.921880923</v>
      </c>
      <c r="BP167" s="195">
        <f t="shared" ref="BP167:CR167" si="764">BP158-BP161-BP164</f>
        <v>25166387.559993006</v>
      </c>
      <c r="BQ167" s="195">
        <f t="shared" si="764"/>
        <v>32173924.964879826</v>
      </c>
      <c r="BR167" s="195">
        <f t="shared" si="764"/>
        <v>34960371.209181279</v>
      </c>
      <c r="BS167" s="195">
        <f t="shared" si="764"/>
        <v>29275562.666287333</v>
      </c>
      <c r="BT167" s="195">
        <f t="shared" si="764"/>
        <v>33384248.457824096</v>
      </c>
      <c r="BU167" s="195">
        <f t="shared" si="764"/>
        <v>26271859.539277449</v>
      </c>
      <c r="BV167" s="195">
        <f t="shared" si="764"/>
        <v>24489791.292652413</v>
      </c>
      <c r="BW167" s="195">
        <f t="shared" si="764"/>
        <v>24429438.937529191</v>
      </c>
      <c r="BX167" s="195">
        <f t="shared" si="764"/>
        <v>31806409.811346691</v>
      </c>
      <c r="BY167" s="195">
        <f t="shared" si="764"/>
        <v>21773077.30936987</v>
      </c>
      <c r="BZ167" s="195">
        <f t="shared" si="764"/>
        <v>15856116.640057635</v>
      </c>
      <c r="CA167" s="195">
        <f t="shared" si="764"/>
        <v>35532574.753048792</v>
      </c>
      <c r="CB167" s="195">
        <f t="shared" si="764"/>
        <v>27853725.825352207</v>
      </c>
      <c r="CC167" s="195">
        <f t="shared" si="764"/>
        <v>45168497.424706087</v>
      </c>
      <c r="CD167" s="195">
        <f t="shared" si="764"/>
        <v>47906346.625232786</v>
      </c>
      <c r="CE167" s="195">
        <f t="shared" si="764"/>
        <v>40264960.798197523</v>
      </c>
      <c r="CF167" s="195">
        <f t="shared" si="764"/>
        <v>57245749.887005255</v>
      </c>
      <c r="CG167" s="195">
        <f t="shared" si="764"/>
        <v>39142528.814890988</v>
      </c>
      <c r="CH167" s="195">
        <f t="shared" si="764"/>
        <v>37273510.405528083</v>
      </c>
      <c r="CI167" s="195">
        <f t="shared" si="764"/>
        <v>36576102.852176167</v>
      </c>
      <c r="CJ167" s="195">
        <f t="shared" si="764"/>
        <v>45422826.206510983</v>
      </c>
      <c r="CK167" s="195">
        <f t="shared" si="764"/>
        <v>33043777.298946369</v>
      </c>
      <c r="CL167" s="195">
        <f t="shared" si="764"/>
        <v>25640159.255013879</v>
      </c>
      <c r="CM167" s="195">
        <f t="shared" si="764"/>
        <v>48905990.07115332</v>
      </c>
      <c r="CN167" s="195">
        <f t="shared" si="764"/>
        <v>39048164.718764931</v>
      </c>
      <c r="CO167" s="195">
        <f t="shared" si="764"/>
        <v>59231482.055470891</v>
      </c>
      <c r="CP167" s="195">
        <f t="shared" si="764"/>
        <v>61887724.800320178</v>
      </c>
      <c r="CQ167" s="195">
        <f t="shared" si="764"/>
        <v>52163338.107959047</v>
      </c>
      <c r="CR167" s="195">
        <f t="shared" si="764"/>
        <v>70499552.905082002</v>
      </c>
      <c r="CS167" s="195">
        <f t="shared" ref="CS167:DD167" si="765">CS158-CS161-CS164</f>
        <v>44581425.604162917</v>
      </c>
      <c r="CT167" s="195">
        <f t="shared" si="765"/>
        <v>42362630.820233814</v>
      </c>
      <c r="CU167" s="195">
        <f t="shared" si="765"/>
        <v>41500559.113148294</v>
      </c>
      <c r="CV167" s="195">
        <f t="shared" si="765"/>
        <v>51309350.694902539</v>
      </c>
      <c r="CW167" s="195">
        <f t="shared" si="765"/>
        <v>37356271.36785242</v>
      </c>
      <c r="CX167" s="195">
        <f t="shared" si="765"/>
        <v>28946373.664119456</v>
      </c>
      <c r="CY167" s="195">
        <f t="shared" si="765"/>
        <v>54861054.021493077</v>
      </c>
      <c r="CZ167" s="195">
        <f t="shared" si="765"/>
        <v>43789530.596076153</v>
      </c>
      <c r="DA167" s="195">
        <f t="shared" si="765"/>
        <v>66244618.403638229</v>
      </c>
      <c r="DB167" s="195">
        <f t="shared" si="765"/>
        <v>69160342.09361203</v>
      </c>
      <c r="DC167" s="195">
        <f t="shared" si="765"/>
        <v>58243597.521947257</v>
      </c>
      <c r="DD167" s="195">
        <f t="shared" si="765"/>
        <v>78615840.325708479</v>
      </c>
      <c r="DF167" s="198">
        <f t="shared" ref="DF167" si="766">SUM(AK167:AM167)</f>
        <v>8439980.7294353843</v>
      </c>
      <c r="DG167" s="198">
        <f t="shared" ref="DG167" si="767">SUM(AN167:AP167)</f>
        <v>2454440.193734251</v>
      </c>
      <c r="DH167" s="198">
        <f t="shared" ref="DH167" si="768">SUM(AQ167:AS167)</f>
        <v>1306241.7528614476</v>
      </c>
      <c r="DI167" s="198">
        <f t="shared" ref="DI167" si="769">SUM(AT167:AV167)</f>
        <v>15646919.978414454</v>
      </c>
      <c r="DJ167" s="198">
        <f t="shared" ref="DJ167" si="770">SUM(AW167:AY167)</f>
        <v>46630695.841225058</v>
      </c>
      <c r="DK167" s="198">
        <f t="shared" ref="DK167" si="771">SUM(AZ167:BB167)</f>
        <v>28532043.780345138</v>
      </c>
      <c r="DL167" s="198">
        <f t="shared" ref="DL167" si="772">SUM(BC167:BE167)</f>
        <v>49814461.079683244</v>
      </c>
      <c r="DM167" s="198">
        <f t="shared" ref="DM167" si="773">SUM(BF167:BH167)</f>
        <v>59452279.631331906</v>
      </c>
      <c r="DN167" s="198">
        <f t="shared" ref="DN167" si="774">SUM(BI167:BK167)</f>
        <v>53334657.88622082</v>
      </c>
      <c r="DO167" s="198">
        <f t="shared" ref="DO167" si="775">SUM(BL167:BN167)</f>
        <v>33740293.85974177</v>
      </c>
      <c r="DP167" s="198">
        <f t="shared" ref="DP167" si="776">SUM(BO167:BQ167)</f>
        <v>83506635.446753755</v>
      </c>
      <c r="DQ167" s="198">
        <f t="shared" ref="DQ167" si="777">SUM(BR167:BT167)</f>
        <v>97620182.333292708</v>
      </c>
      <c r="DR167" s="198">
        <f t="shared" ref="DR167" si="778">SUM(BU167:BW167)</f>
        <v>75191089.769459054</v>
      </c>
      <c r="DS167" s="198">
        <f t="shared" ref="DS167" si="779">SUM(BX167:BZ167)</f>
        <v>69435603.760774195</v>
      </c>
      <c r="DT167" s="198">
        <f t="shared" ref="DT167" si="780">SUM(CA167:CC167)</f>
        <v>108554798.00310709</v>
      </c>
      <c r="DU167" s="198">
        <f t="shared" ref="DU167" si="781">SUM(CD167:CF167)</f>
        <v>145417057.31043556</v>
      </c>
      <c r="DV167" s="198">
        <f t="shared" ref="DV167" si="782">SUM(CG167:CI167)</f>
        <v>112992142.07259524</v>
      </c>
      <c r="DW167" s="198">
        <f t="shared" ref="DW167" si="783">SUM(CJ167:CL167)</f>
        <v>104106762.76047124</v>
      </c>
      <c r="DX167" s="198">
        <f t="shared" ref="DX167" si="784">SUM(CM167:CO167)</f>
        <v>147185636.84538913</v>
      </c>
      <c r="DY167" s="198">
        <f t="shared" ref="DY167" si="785">SUM(CP167:CR167)</f>
        <v>184550615.81336123</v>
      </c>
      <c r="DZ167" s="198">
        <f t="shared" si="587"/>
        <v>128444615.53754503</v>
      </c>
      <c r="EA167" s="198">
        <f t="shared" si="588"/>
        <v>117611995.72687441</v>
      </c>
      <c r="EB167" s="198">
        <f t="shared" si="589"/>
        <v>164895203.02120745</v>
      </c>
      <c r="EC167" s="198">
        <f t="shared" si="590"/>
        <v>206019779.94126776</v>
      </c>
      <c r="EE167" s="198">
        <f>SUM(DF167:DI167)</f>
        <v>27847582.654445536</v>
      </c>
      <c r="EF167" s="198">
        <f>SUM(DJ167:DM167)</f>
        <v>184429480.33258533</v>
      </c>
      <c r="EG167" s="198">
        <f>SUM(DN167:DQ167)</f>
        <v>268201769.52600908</v>
      </c>
      <c r="EH167" s="198">
        <f>SUM(DR167:DU167)</f>
        <v>398598548.84377587</v>
      </c>
      <c r="EI167" s="198">
        <f>SUM(DV167:DY167)</f>
        <v>548835157.49181676</v>
      </c>
      <c r="EJ167" s="814">
        <f t="shared" si="596"/>
        <v>616971594.22689462</v>
      </c>
    </row>
    <row r="168" spans="2:140" x14ac:dyDescent="0.2">
      <c r="B168" s="21" t="s">
        <v>154</v>
      </c>
      <c r="C168" s="161">
        <f>C167/C74</f>
        <v>-4.0271643826400208E-2</v>
      </c>
      <c r="D168" s="161">
        <f t="shared" ref="D168:BO168" si="786">D167/D74</f>
        <v>-2.2800050702813475E-3</v>
      </c>
      <c r="E168" s="161">
        <f t="shared" si="786"/>
        <v>-5.4583338199067521E-2</v>
      </c>
      <c r="F168" s="161">
        <f t="shared" si="786"/>
        <v>-7.1666556589671346E-2</v>
      </c>
      <c r="G168" s="161">
        <f t="shared" si="786"/>
        <v>-0.12675962239544031</v>
      </c>
      <c r="H168" s="161">
        <f t="shared" si="786"/>
        <v>-5.5545054193893877E-2</v>
      </c>
      <c r="I168" s="161">
        <f t="shared" si="786"/>
        <v>3.1149357098852835E-2</v>
      </c>
      <c r="J168" s="161">
        <f t="shared" si="786"/>
        <v>3.0396879649147657E-2</v>
      </c>
      <c r="K168" s="161">
        <f t="shared" si="786"/>
        <v>3.9895772727853204E-2</v>
      </c>
      <c r="L168" s="161">
        <f t="shared" si="786"/>
        <v>4.69361408990309E-2</v>
      </c>
      <c r="M168" s="161">
        <f t="shared" si="786"/>
        <v>-6.810636307539028E-2</v>
      </c>
      <c r="N168" s="161">
        <f t="shared" si="786"/>
        <v>-8.6642932103516301</v>
      </c>
      <c r="O168" s="161">
        <f t="shared" si="786"/>
        <v>-4.691014890210566E-2</v>
      </c>
      <c r="P168" s="161">
        <f t="shared" si="786"/>
        <v>-2.5063744953659844E-2</v>
      </c>
      <c r="Q168" s="161">
        <f t="shared" si="786"/>
        <v>-2.7527995489900099E-2</v>
      </c>
      <c r="R168" s="161">
        <f t="shared" si="786"/>
        <v>-2.7054176765867959E-2</v>
      </c>
      <c r="S168" s="161">
        <f t="shared" si="786"/>
        <v>-4.1987089568548804E-2</v>
      </c>
      <c r="T168" s="161">
        <f t="shared" si="786"/>
        <v>4.6186972415164049E-2</v>
      </c>
      <c r="U168" s="161">
        <f t="shared" si="786"/>
        <v>4.284539461505936E-2</v>
      </c>
      <c r="V168" s="161">
        <f t="shared" si="786"/>
        <v>9.3520957313959902E-3</v>
      </c>
      <c r="W168" s="161">
        <f t="shared" si="786"/>
        <v>2.7303724412351106E-2</v>
      </c>
      <c r="X168" s="161">
        <f t="shared" si="786"/>
        <v>9.2186332432158402E-3</v>
      </c>
      <c r="Y168" s="161">
        <f t="shared" si="786"/>
        <v>-1.5459849203155617E-2</v>
      </c>
      <c r="Z168" s="161">
        <f t="shared" si="786"/>
        <v>-1.5160975481467978E-2</v>
      </c>
      <c r="AA168" s="161">
        <f t="shared" si="786"/>
        <v>-5.8501666855973276E-3</v>
      </c>
      <c r="AB168" s="161">
        <f t="shared" si="786"/>
        <v>-1.2789707415195537E-2</v>
      </c>
      <c r="AC168" s="161">
        <f t="shared" si="786"/>
        <v>-4.7917577899028618E-2</v>
      </c>
      <c r="AD168" s="161">
        <f t="shared" si="786"/>
        <v>-9.4240913791180797E-2</v>
      </c>
      <c r="AE168" s="161">
        <f t="shared" si="786"/>
        <v>-6.7568810178022229E-2</v>
      </c>
      <c r="AF168" s="161">
        <f t="shared" si="786"/>
        <v>-5.8395885030844592E-2</v>
      </c>
      <c r="AG168" s="161">
        <f t="shared" si="786"/>
        <v>-2.4313753124804386E-2</v>
      </c>
      <c r="AH168" s="161">
        <f t="shared" si="786"/>
        <v>-1.2497818163118584E-2</v>
      </c>
      <c r="AI168" s="161">
        <f t="shared" si="786"/>
        <v>-6.5416916415352282E-3</v>
      </c>
      <c r="AJ168" s="161">
        <f t="shared" si="786"/>
        <v>1.1547476776162385E-2</v>
      </c>
      <c r="AK168" s="161">
        <f t="shared" si="786"/>
        <v>1.1998057269353558E-3</v>
      </c>
      <c r="AL168" s="161">
        <f t="shared" si="786"/>
        <v>9.8060103045463295E-3</v>
      </c>
      <c r="AM168" s="161">
        <f t="shared" si="786"/>
        <v>1.4400536803999093E-2</v>
      </c>
      <c r="AN168" s="161">
        <f t="shared" si="786"/>
        <v>9.6738745471060678E-3</v>
      </c>
      <c r="AO168" s="161">
        <f t="shared" si="786"/>
        <v>9.7241384993150253E-3</v>
      </c>
      <c r="AP168" s="161">
        <f t="shared" si="786"/>
        <v>-1.1588344073471068E-2</v>
      </c>
      <c r="AQ168" s="161">
        <f t="shared" si="786"/>
        <v>1.1579471710495991E-2</v>
      </c>
      <c r="AR168" s="161">
        <f t="shared" si="786"/>
        <v>-4.3438125691727851E-3</v>
      </c>
      <c r="AS168" s="161">
        <f t="shared" si="786"/>
        <v>-5.9202033100409944E-3</v>
      </c>
      <c r="AT168" s="161">
        <f t="shared" si="786"/>
        <v>4.1842218963241025E-4</v>
      </c>
      <c r="AU168" s="161">
        <f t="shared" si="786"/>
        <v>1.3697010435238112E-2</v>
      </c>
      <c r="AV168" s="161">
        <f t="shared" si="786"/>
        <v>4.163881022322944E-2</v>
      </c>
      <c r="AW168" s="161">
        <f t="shared" si="786"/>
        <v>3.528832857468809E-2</v>
      </c>
      <c r="AX168" s="161">
        <f t="shared" si="786"/>
        <v>5.0376438081360976E-2</v>
      </c>
      <c r="AY168" s="161">
        <f t="shared" si="786"/>
        <v>5.9792583901342296E-2</v>
      </c>
      <c r="AZ168" s="161">
        <f t="shared" si="786"/>
        <v>5.267198306221034E-2</v>
      </c>
      <c r="BA168" s="161">
        <f t="shared" si="786"/>
        <v>4.0396770336018968E-2</v>
      </c>
      <c r="BB168" s="161">
        <f t="shared" si="786"/>
        <v>4.3732302385274128E-3</v>
      </c>
      <c r="BC168" s="161">
        <f t="shared" si="786"/>
        <v>4.3307917220603398E-2</v>
      </c>
      <c r="BD168" s="161">
        <f t="shared" si="786"/>
        <v>4.6118634781340963E-2</v>
      </c>
      <c r="BE168" s="161">
        <f t="shared" si="786"/>
        <v>5.4850163664954682E-2</v>
      </c>
      <c r="BF168" s="161">
        <f t="shared" si="786"/>
        <v>4.9380915078285945E-2</v>
      </c>
      <c r="BG168" s="161">
        <f t="shared" si="786"/>
        <v>3.9882199753693524E-2</v>
      </c>
      <c r="BH168" s="161">
        <f t="shared" si="786"/>
        <v>5.5136596251444028E-2</v>
      </c>
      <c r="BI168" s="161">
        <f t="shared" si="786"/>
        <v>4.115359989845109E-2</v>
      </c>
      <c r="BJ168" s="161">
        <f t="shared" si="786"/>
        <v>3.5740331818111509E-2</v>
      </c>
      <c r="BK168" s="161">
        <f t="shared" si="786"/>
        <v>4.4900844147949183E-2</v>
      </c>
      <c r="BL168" s="161">
        <f t="shared" si="786"/>
        <v>3.4249324710280873E-2</v>
      </c>
      <c r="BM168" s="161">
        <f t="shared" si="786"/>
        <v>3.3624242308603079E-2</v>
      </c>
      <c r="BN168" s="161">
        <f t="shared" si="786"/>
        <v>9.2660920325761918E-3</v>
      </c>
      <c r="BO168" s="161">
        <f t="shared" si="786"/>
        <v>4.6921985240835615E-2</v>
      </c>
      <c r="BP168" s="161">
        <f t="shared" ref="BP168:EJ168" si="787">BP167/BP74</f>
        <v>5.0462299106699464E-2</v>
      </c>
      <c r="BQ168" s="161">
        <f t="shared" si="787"/>
        <v>5.161260356281358E-2</v>
      </c>
      <c r="BR168" s="161">
        <f t="shared" si="787"/>
        <v>5.3006356695051736E-2</v>
      </c>
      <c r="BS168" s="161">
        <f t="shared" si="787"/>
        <v>4.5835090037685523E-2</v>
      </c>
      <c r="BT168" s="161">
        <f t="shared" si="787"/>
        <v>4.3530295000346553E-2</v>
      </c>
      <c r="BU168" s="161">
        <f t="shared" si="787"/>
        <v>4.1055055429773044E-2</v>
      </c>
      <c r="BV168" s="161">
        <f t="shared" si="787"/>
        <v>3.9079068802777596E-2</v>
      </c>
      <c r="BW168" s="161">
        <f t="shared" si="787"/>
        <v>3.9064191284687515E-2</v>
      </c>
      <c r="BX168" s="161">
        <f t="shared" si="787"/>
        <v>4.6968368188916164E-2</v>
      </c>
      <c r="BY168" s="161">
        <f t="shared" si="787"/>
        <v>3.5986590184557701E-2</v>
      </c>
      <c r="BZ168" s="161">
        <f t="shared" si="787"/>
        <v>2.8222335320312261E-2</v>
      </c>
      <c r="CA168" s="161">
        <f t="shared" si="787"/>
        <v>5.0686520907098756E-2</v>
      </c>
      <c r="CB168" s="161">
        <f t="shared" si="787"/>
        <v>4.3144093006564056E-2</v>
      </c>
      <c r="CC168" s="161">
        <f t="shared" si="787"/>
        <v>5.8811800250355623E-2</v>
      </c>
      <c r="CD168" s="161">
        <f t="shared" si="787"/>
        <v>6.0881204002964179E-2</v>
      </c>
      <c r="CE168" s="161">
        <f t="shared" si="787"/>
        <v>5.5027820468362597E-2</v>
      </c>
      <c r="CF168" s="161">
        <f t="shared" si="787"/>
        <v>6.7254390486235327E-2</v>
      </c>
      <c r="CG168" s="161">
        <f t="shared" si="787"/>
        <v>5.001987744754096E-2</v>
      </c>
      <c r="CH168" s="161">
        <f t="shared" si="787"/>
        <v>4.8516683208748711E-2</v>
      </c>
      <c r="CI168" s="161">
        <f t="shared" si="787"/>
        <v>4.7957787373103175E-2</v>
      </c>
      <c r="CJ168" s="161">
        <f t="shared" si="787"/>
        <v>5.5028056655243136E-2</v>
      </c>
      <c r="CK168" s="161">
        <f t="shared" si="787"/>
        <v>4.4903299250284683E-2</v>
      </c>
      <c r="CL168" s="161">
        <f t="shared" si="787"/>
        <v>3.7613806734890079E-2</v>
      </c>
      <c r="CM168" s="161">
        <f t="shared" si="787"/>
        <v>5.767045798099428E-2</v>
      </c>
      <c r="CN168" s="161">
        <f t="shared" si="787"/>
        <v>5.0266671029175022E-2</v>
      </c>
      <c r="CO168" s="161">
        <f t="shared" si="787"/>
        <v>6.4305413226746197E-2</v>
      </c>
      <c r="CP168" s="161">
        <f t="shared" si="787"/>
        <v>6.5850171678324132E-2</v>
      </c>
      <c r="CQ168" s="161">
        <f t="shared" si="787"/>
        <v>5.9987003215542067E-2</v>
      </c>
      <c r="CR168" s="161">
        <f t="shared" si="787"/>
        <v>7.0455677831923219E-2</v>
      </c>
      <c r="CS168" s="161">
        <f t="shared" ref="CS168:DD168" si="788">CS167/CS74</f>
        <v>4.9999268681238981E-2</v>
      </c>
      <c r="CT168" s="161">
        <f t="shared" si="788"/>
        <v>4.8442221155235221E-2</v>
      </c>
      <c r="CU168" s="161">
        <f t="shared" si="788"/>
        <v>4.7834790388042454E-2</v>
      </c>
      <c r="CV168" s="161">
        <f t="shared" si="788"/>
        <v>5.4661112949200556E-2</v>
      </c>
      <c r="CW168" s="161">
        <f t="shared" si="788"/>
        <v>4.46981315244303E-2</v>
      </c>
      <c r="CX168" s="161">
        <f t="shared" si="788"/>
        <v>3.7445311961909249E-2</v>
      </c>
      <c r="CY168" s="161">
        <f t="shared" si="788"/>
        <v>5.7016780086963544E-2</v>
      </c>
      <c r="CZ168" s="161">
        <f t="shared" si="788"/>
        <v>4.9725184609702149E-2</v>
      </c>
      <c r="DA168" s="161">
        <f t="shared" si="788"/>
        <v>6.3422462878346006E-2</v>
      </c>
      <c r="DB168" s="161">
        <f t="shared" si="788"/>
        <v>6.4908321385312703E-2</v>
      </c>
      <c r="DC168" s="161">
        <f t="shared" si="788"/>
        <v>5.9125803261694101E-2</v>
      </c>
      <c r="DD168" s="161">
        <f t="shared" si="788"/>
        <v>6.934338550748459E-2</v>
      </c>
      <c r="DF168" s="161">
        <f t="shared" si="787"/>
        <v>8.5551675728050679E-3</v>
      </c>
      <c r="DG168" s="161">
        <f t="shared" si="787"/>
        <v>2.8568858388819309E-3</v>
      </c>
      <c r="DH168" s="161">
        <f t="shared" si="787"/>
        <v>1.2710988144059529E-3</v>
      </c>
      <c r="DI168" s="161">
        <f t="shared" si="787"/>
        <v>1.9506971163252711E-2</v>
      </c>
      <c r="DJ168" s="161">
        <f t="shared" si="787"/>
        <v>4.8759057078295184E-2</v>
      </c>
      <c r="DK168" s="161">
        <f t="shared" si="787"/>
        <v>3.4927213199883449E-2</v>
      </c>
      <c r="DL168" s="161">
        <f t="shared" si="787"/>
        <v>4.8454357029223016E-2</v>
      </c>
      <c r="DM168" s="161">
        <f t="shared" si="787"/>
        <v>4.8674547289725201E-2</v>
      </c>
      <c r="DN168" s="161">
        <f t="shared" si="787"/>
        <v>4.0644284200862718E-2</v>
      </c>
      <c r="DO168" s="161">
        <f t="shared" si="787"/>
        <v>2.6534903711974731E-2</v>
      </c>
      <c r="DP168" s="161">
        <f t="shared" si="787"/>
        <v>4.9713847970986616E-2</v>
      </c>
      <c r="DQ168" s="161">
        <f t="shared" si="787"/>
        <v>4.7269450145452613E-2</v>
      </c>
      <c r="DR168" s="161">
        <f t="shared" si="787"/>
        <v>3.9742490295336899E-2</v>
      </c>
      <c r="DS168" s="161">
        <f t="shared" si="787"/>
        <v>3.7653869701097194E-2</v>
      </c>
      <c r="DT168" s="161">
        <f t="shared" si="787"/>
        <v>5.1334850055463815E-2</v>
      </c>
      <c r="DU168" s="161">
        <f t="shared" si="787"/>
        <v>6.1362980069213563E-2</v>
      </c>
      <c r="DV168" s="161">
        <f t="shared" si="787"/>
        <v>4.8840894387266104E-2</v>
      </c>
      <c r="DW168" s="161">
        <f t="shared" si="787"/>
        <v>4.6413971854014982E-2</v>
      </c>
      <c r="DX168" s="161">
        <f t="shared" si="787"/>
        <v>5.7811868129503979E-2</v>
      </c>
      <c r="DY168" s="161">
        <f t="shared" si="787"/>
        <v>6.5675759001292633E-2</v>
      </c>
      <c r="DZ168" s="161">
        <f t="shared" si="787"/>
        <v>4.8769261459782963E-2</v>
      </c>
      <c r="EA168" s="161">
        <f t="shared" si="787"/>
        <v>4.6168385766986252E-2</v>
      </c>
      <c r="EB168" s="161">
        <f t="shared" si="787"/>
        <v>5.711012524894292E-2</v>
      </c>
      <c r="EC168" s="161">
        <f t="shared" si="787"/>
        <v>6.4698502800312932E-2</v>
      </c>
      <c r="ED168" s="805"/>
      <c r="EE168" s="161">
        <f t="shared" si="787"/>
        <v>7.5766778614699774E-3</v>
      </c>
      <c r="EF168" s="161">
        <f t="shared" si="787"/>
        <v>4.584668913750109E-2</v>
      </c>
      <c r="EG168" s="161">
        <f t="shared" si="787"/>
        <v>4.2378614155370066E-2</v>
      </c>
      <c r="EH168" s="161">
        <f t="shared" si="787"/>
        <v>4.8488753651715948E-2</v>
      </c>
      <c r="EI168" s="161">
        <f t="shared" si="787"/>
        <v>5.5368282711807867E-2</v>
      </c>
      <c r="EJ168" s="161">
        <f t="shared" si="787"/>
        <v>5.4828257321589698E-2</v>
      </c>
    </row>
    <row r="169" spans="2:140" x14ac:dyDescent="0.2">
      <c r="B169" s="21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E169" s="10"/>
      <c r="EF169" s="10"/>
      <c r="EG169" s="10"/>
      <c r="EH169" s="10"/>
      <c r="EI169" s="10"/>
      <c r="EJ169" s="812"/>
    </row>
    <row r="170" spans="2:140" x14ac:dyDescent="0.2">
      <c r="B170" s="193" t="s">
        <v>60</v>
      </c>
      <c r="C170" s="194">
        <f t="shared" ref="C170:BN170" si="789">SUM(C171:C172)</f>
        <v>0</v>
      </c>
      <c r="D170" s="194">
        <f t="shared" si="789"/>
        <v>0</v>
      </c>
      <c r="E170" s="194">
        <f t="shared" si="789"/>
        <v>0</v>
      </c>
      <c r="F170" s="194">
        <f t="shared" si="789"/>
        <v>0</v>
      </c>
      <c r="G170" s="194">
        <f t="shared" si="789"/>
        <v>0</v>
      </c>
      <c r="H170" s="194">
        <f t="shared" si="789"/>
        <v>0</v>
      </c>
      <c r="I170" s="194">
        <f t="shared" si="789"/>
        <v>0</v>
      </c>
      <c r="J170" s="194">
        <f t="shared" si="789"/>
        <v>0</v>
      </c>
      <c r="K170" s="194">
        <f t="shared" si="789"/>
        <v>0</v>
      </c>
      <c r="L170" s="194">
        <f t="shared" si="789"/>
        <v>0</v>
      </c>
      <c r="M170" s="194">
        <f t="shared" si="789"/>
        <v>0</v>
      </c>
      <c r="N170" s="194">
        <f t="shared" si="789"/>
        <v>0</v>
      </c>
      <c r="O170" s="194">
        <f t="shared" si="789"/>
        <v>0</v>
      </c>
      <c r="P170" s="194">
        <f t="shared" si="789"/>
        <v>0</v>
      </c>
      <c r="Q170" s="194">
        <f t="shared" si="789"/>
        <v>0</v>
      </c>
      <c r="R170" s="194">
        <f t="shared" si="789"/>
        <v>0</v>
      </c>
      <c r="S170" s="194">
        <f t="shared" si="789"/>
        <v>0</v>
      </c>
      <c r="T170" s="194">
        <f t="shared" si="789"/>
        <v>0</v>
      </c>
      <c r="U170" s="194">
        <f t="shared" si="789"/>
        <v>0</v>
      </c>
      <c r="V170" s="194">
        <f t="shared" si="789"/>
        <v>0</v>
      </c>
      <c r="W170" s="194">
        <f t="shared" si="789"/>
        <v>0</v>
      </c>
      <c r="X170" s="194">
        <f t="shared" si="789"/>
        <v>0</v>
      </c>
      <c r="Y170" s="194">
        <f t="shared" si="789"/>
        <v>0</v>
      </c>
      <c r="Z170" s="194">
        <f t="shared" si="789"/>
        <v>0</v>
      </c>
      <c r="AA170" s="194">
        <f t="shared" si="789"/>
        <v>0</v>
      </c>
      <c r="AB170" s="194">
        <f t="shared" si="789"/>
        <v>0</v>
      </c>
      <c r="AC170" s="194">
        <f t="shared" si="789"/>
        <v>0</v>
      </c>
      <c r="AD170" s="194">
        <f t="shared" si="789"/>
        <v>0</v>
      </c>
      <c r="AE170" s="194">
        <f t="shared" si="789"/>
        <v>0</v>
      </c>
      <c r="AF170" s="194">
        <f t="shared" si="789"/>
        <v>0</v>
      </c>
      <c r="AG170" s="194">
        <f t="shared" si="789"/>
        <v>0</v>
      </c>
      <c r="AH170" s="194">
        <f t="shared" si="789"/>
        <v>0</v>
      </c>
      <c r="AI170" s="194">
        <f t="shared" si="789"/>
        <v>0</v>
      </c>
      <c r="AJ170" s="194">
        <f t="shared" si="789"/>
        <v>0</v>
      </c>
      <c r="AK170" s="194">
        <f t="shared" si="789"/>
        <v>19045908.039529681</v>
      </c>
      <c r="AL170" s="194">
        <f t="shared" si="789"/>
        <v>18594527.312316075</v>
      </c>
      <c r="AM170" s="194">
        <f t="shared" si="789"/>
        <v>17196719.551983632</v>
      </c>
      <c r="AN170" s="194">
        <f t="shared" si="789"/>
        <v>16734158.254174411</v>
      </c>
      <c r="AO170" s="194">
        <f t="shared" si="789"/>
        <v>16371865.15581014</v>
      </c>
      <c r="AP170" s="194">
        <f t="shared" si="789"/>
        <v>16767992.866612013</v>
      </c>
      <c r="AQ170" s="194">
        <f t="shared" si="789"/>
        <v>17179798.172649235</v>
      </c>
      <c r="AR170" s="194">
        <f t="shared" si="789"/>
        <v>17020049.248759616</v>
      </c>
      <c r="AS170" s="194">
        <f t="shared" si="789"/>
        <v>16045559.859791309</v>
      </c>
      <c r="AT170" s="194">
        <f t="shared" si="789"/>
        <v>15302112.292327698</v>
      </c>
      <c r="AU170" s="194">
        <f t="shared" si="789"/>
        <v>14462887.784359023</v>
      </c>
      <c r="AV170" s="194">
        <f t="shared" si="789"/>
        <v>15665614.603062231</v>
      </c>
      <c r="AW170" s="194">
        <f t="shared" si="789"/>
        <v>16560201.992054492</v>
      </c>
      <c r="AX170" s="194">
        <f t="shared" si="789"/>
        <v>16920662.963998392</v>
      </c>
      <c r="AY170" s="194">
        <f t="shared" si="789"/>
        <v>17104832.965620544</v>
      </c>
      <c r="AZ170" s="194">
        <f t="shared" si="789"/>
        <v>17082454.652065694</v>
      </c>
      <c r="BA170" s="194">
        <f t="shared" si="789"/>
        <v>17245895.683288459</v>
      </c>
      <c r="BB170" s="194">
        <f t="shared" si="789"/>
        <v>17066604.912288457</v>
      </c>
      <c r="BC170" s="194">
        <f t="shared" si="789"/>
        <v>18847224.900412876</v>
      </c>
      <c r="BD170" s="194">
        <f t="shared" si="789"/>
        <v>17922777.133214742</v>
      </c>
      <c r="BE170" s="194">
        <f t="shared" si="789"/>
        <v>18568256.289398052</v>
      </c>
      <c r="BF170" s="194">
        <f t="shared" si="789"/>
        <v>18667441.154972121</v>
      </c>
      <c r="BG170" s="194">
        <f t="shared" si="789"/>
        <v>18017947.92284707</v>
      </c>
      <c r="BH170" s="194">
        <f t="shared" si="789"/>
        <v>19855267.054810427</v>
      </c>
      <c r="BI170" s="194">
        <f t="shared" si="789"/>
        <v>17123056.394830644</v>
      </c>
      <c r="BJ170" s="194">
        <f t="shared" si="789"/>
        <v>16023017.481309216</v>
      </c>
      <c r="BK170" s="194">
        <f t="shared" si="789"/>
        <v>16152730.967196869</v>
      </c>
      <c r="BL170" s="194">
        <f t="shared" si="789"/>
        <v>15991473.130976655</v>
      </c>
      <c r="BM170" s="194">
        <f t="shared" si="789"/>
        <v>15924069.848332882</v>
      </c>
      <c r="BN170" s="194">
        <f t="shared" si="789"/>
        <v>16644830.41279608</v>
      </c>
      <c r="BO170" s="194">
        <f t="shared" ref="BO170:CQ170" si="790">SUM(BO171:BO172)</f>
        <v>18309110.746731848</v>
      </c>
      <c r="BP170" s="194">
        <f t="shared" si="790"/>
        <v>16644386.159273721</v>
      </c>
      <c r="BQ170" s="194">
        <f t="shared" si="790"/>
        <v>16818797.024457648</v>
      </c>
      <c r="BR170" s="194">
        <f t="shared" si="790"/>
        <v>18049005.181532536</v>
      </c>
      <c r="BS170" s="194">
        <f t="shared" si="790"/>
        <v>17535689.282928742</v>
      </c>
      <c r="BT170" s="194">
        <f t="shared" si="790"/>
        <v>18730826.301157393</v>
      </c>
      <c r="BU170" s="194">
        <f t="shared" si="790"/>
        <v>19667367.616215266</v>
      </c>
      <c r="BV170" s="194">
        <f t="shared" si="790"/>
        <v>19667367.616215266</v>
      </c>
      <c r="BW170" s="194">
        <f t="shared" si="790"/>
        <v>19667367.616215266</v>
      </c>
      <c r="BX170" s="194">
        <f t="shared" si="790"/>
        <v>19667367.616215266</v>
      </c>
      <c r="BY170" s="194">
        <f t="shared" si="790"/>
        <v>19667367.616215266</v>
      </c>
      <c r="BZ170" s="194">
        <f t="shared" si="790"/>
        <v>19667367.616215266</v>
      </c>
      <c r="CA170" s="194">
        <f t="shared" si="790"/>
        <v>19667367.616215266</v>
      </c>
      <c r="CB170" s="194">
        <f t="shared" si="790"/>
        <v>19667367.616215266</v>
      </c>
      <c r="CC170" s="194">
        <f t="shared" si="790"/>
        <v>19667367.616215266</v>
      </c>
      <c r="CD170" s="194">
        <f t="shared" si="790"/>
        <v>19667367.616215266</v>
      </c>
      <c r="CE170" s="194">
        <f t="shared" si="790"/>
        <v>19667367.616215266</v>
      </c>
      <c r="CF170" s="194">
        <f t="shared" si="790"/>
        <v>19667367.616215266</v>
      </c>
      <c r="CG170" s="194">
        <f t="shared" si="790"/>
        <v>20650735.99702603</v>
      </c>
      <c r="CH170" s="194">
        <f t="shared" si="790"/>
        <v>20650735.99702603</v>
      </c>
      <c r="CI170" s="194">
        <f t="shared" si="790"/>
        <v>20650735.99702603</v>
      </c>
      <c r="CJ170" s="194">
        <f t="shared" si="790"/>
        <v>20650735.99702603</v>
      </c>
      <c r="CK170" s="194">
        <f t="shared" si="790"/>
        <v>20650735.99702603</v>
      </c>
      <c r="CL170" s="194">
        <f t="shared" si="790"/>
        <v>20650735.99702603</v>
      </c>
      <c r="CM170" s="194">
        <f t="shared" si="790"/>
        <v>20650735.99702603</v>
      </c>
      <c r="CN170" s="194">
        <f t="shared" si="790"/>
        <v>20650735.99702603</v>
      </c>
      <c r="CO170" s="194">
        <f t="shared" si="790"/>
        <v>20650735.99702603</v>
      </c>
      <c r="CP170" s="194">
        <f t="shared" si="790"/>
        <v>20650735.99702603</v>
      </c>
      <c r="CQ170" s="194">
        <f t="shared" si="790"/>
        <v>20650735.99702603</v>
      </c>
      <c r="CR170" s="194">
        <f>SUM(CR171:CR172)</f>
        <v>20650735.99702603</v>
      </c>
      <c r="CS170" s="194">
        <f t="shared" ref="CS170:DD170" si="791">SUM(CS171:CS172)</f>
        <v>21683272.796877332</v>
      </c>
      <c r="CT170" s="194">
        <f t="shared" si="791"/>
        <v>21683272.796877332</v>
      </c>
      <c r="CU170" s="194">
        <f t="shared" si="791"/>
        <v>21683272.796877332</v>
      </c>
      <c r="CV170" s="194">
        <f t="shared" si="791"/>
        <v>21683272.796877332</v>
      </c>
      <c r="CW170" s="194">
        <f t="shared" si="791"/>
        <v>21683272.796877332</v>
      </c>
      <c r="CX170" s="194">
        <f t="shared" si="791"/>
        <v>21683272.796877332</v>
      </c>
      <c r="CY170" s="194">
        <f t="shared" si="791"/>
        <v>21683272.796877332</v>
      </c>
      <c r="CZ170" s="194">
        <f t="shared" si="791"/>
        <v>21683272.796877332</v>
      </c>
      <c r="DA170" s="194">
        <f t="shared" si="791"/>
        <v>21683272.796877332</v>
      </c>
      <c r="DB170" s="194">
        <f t="shared" si="791"/>
        <v>21683272.796877332</v>
      </c>
      <c r="DC170" s="194">
        <f t="shared" si="791"/>
        <v>21683272.796877332</v>
      </c>
      <c r="DD170" s="194">
        <f t="shared" si="791"/>
        <v>21683272.796877332</v>
      </c>
      <c r="DF170" s="194">
        <f t="shared" ref="DF170:DF172" si="792">SUM(AK170:AM170)</f>
        <v>54837154.903829388</v>
      </c>
      <c r="DG170" s="194">
        <f t="shared" ref="DG170:DG172" si="793">SUM(AN170:AP170)</f>
        <v>49874016.276596561</v>
      </c>
      <c r="DH170" s="194">
        <f t="shared" ref="DH170:DH172" si="794">SUM(AQ170:AS170)</f>
        <v>50245407.281200156</v>
      </c>
      <c r="DI170" s="194">
        <f t="shared" ref="DI170:DI172" si="795">SUM(AT170:AV170)</f>
        <v>45430614.679748952</v>
      </c>
      <c r="DJ170" s="194">
        <f t="shared" ref="DJ170:DJ172" si="796">SUM(AW170:AY170)</f>
        <v>50585697.921673432</v>
      </c>
      <c r="DK170" s="194">
        <f t="shared" ref="DK170:DK172" si="797">SUM(AZ170:BB170)</f>
        <v>51394955.247642606</v>
      </c>
      <c r="DL170" s="194">
        <f t="shared" ref="DL170:DL172" si="798">SUM(BC170:BE170)</f>
        <v>55338258.323025666</v>
      </c>
      <c r="DM170" s="194">
        <f t="shared" ref="DM170:DM172" si="799">SUM(BF170:BH170)</f>
        <v>56540656.132629618</v>
      </c>
      <c r="DN170" s="194">
        <f t="shared" ref="DN170:DN172" si="800">SUM(BI170:BK170)</f>
        <v>49298804.843336731</v>
      </c>
      <c r="DO170" s="194">
        <f t="shared" ref="DO170:DO172" si="801">SUM(BL170:BN170)</f>
        <v>48560373.392105617</v>
      </c>
      <c r="DP170" s="194">
        <f t="shared" ref="DP170:DP172" si="802">SUM(BO170:BQ170)</f>
        <v>51772293.930463217</v>
      </c>
      <c r="DQ170" s="194">
        <f t="shared" ref="DQ170:DQ172" si="803">SUM(BR170:BT170)</f>
        <v>54315520.765618674</v>
      </c>
      <c r="DR170" s="194">
        <f t="shared" ref="DR170:DR172" si="804">SUM(BU170:BW170)</f>
        <v>59002102.848645799</v>
      </c>
      <c r="DS170" s="194">
        <f t="shared" ref="DS170:DS172" si="805">SUM(BX170:BZ170)</f>
        <v>59002102.848645799</v>
      </c>
      <c r="DT170" s="194">
        <f t="shared" ref="DT170:DT172" si="806">SUM(CA170:CC170)</f>
        <v>59002102.848645799</v>
      </c>
      <c r="DU170" s="194">
        <f t="shared" ref="DU170:DU172" si="807">SUM(CD170:CF170)</f>
        <v>59002102.848645799</v>
      </c>
      <c r="DV170" s="194">
        <f t="shared" ref="DV170:DV172" si="808">SUM(CG170:CI170)</f>
        <v>61952207.991078094</v>
      </c>
      <c r="DW170" s="194">
        <f t="shared" ref="DW170:DW172" si="809">SUM(CJ170:CL170)</f>
        <v>61952207.991078094</v>
      </c>
      <c r="DX170" s="194">
        <f t="shared" ref="DX170:DX172" si="810">SUM(CM170:CO170)</f>
        <v>61952207.991078094</v>
      </c>
      <c r="DY170" s="194">
        <f t="shared" ref="DY170:DY172" si="811">SUM(CP170:CR170)</f>
        <v>61952207.991078094</v>
      </c>
      <c r="DZ170" s="194">
        <f t="shared" si="587"/>
        <v>65049818.390631996</v>
      </c>
      <c r="EA170" s="194">
        <f t="shared" si="588"/>
        <v>65049818.390631996</v>
      </c>
      <c r="EB170" s="194">
        <f t="shared" si="589"/>
        <v>65049818.390631996</v>
      </c>
      <c r="EC170" s="194">
        <f t="shared" si="590"/>
        <v>65049818.390631996</v>
      </c>
      <c r="EE170" s="194">
        <f>SUM(DF170:DI170)</f>
        <v>200387193.14137506</v>
      </c>
      <c r="EF170" s="194">
        <f>SUM(DJ170:DM170)</f>
        <v>213859567.62497133</v>
      </c>
      <c r="EG170" s="194">
        <f>SUM(DN170:DQ170)</f>
        <v>203946992.93152425</v>
      </c>
      <c r="EH170" s="194">
        <f>SUM(DR170:DU170)</f>
        <v>236008411.3945832</v>
      </c>
      <c r="EI170" s="194">
        <f>SUM(DV170:DY170)</f>
        <v>247808831.96431237</v>
      </c>
      <c r="EJ170" s="817">
        <f t="shared" si="596"/>
        <v>260199273.56252798</v>
      </c>
    </row>
    <row r="171" spans="2:140" x14ac:dyDescent="0.2">
      <c r="B171" s="155" t="s">
        <v>61</v>
      </c>
      <c r="C171" s="19">
        <f>'P&amp;L - Inputs'!AB597</f>
        <v>0</v>
      </c>
      <c r="D171" s="19">
        <f>'P&amp;L - Inputs'!AC597</f>
        <v>0</v>
      </c>
      <c r="E171" s="19">
        <f>'P&amp;L - Inputs'!AD597</f>
        <v>0</v>
      </c>
      <c r="F171" s="19">
        <f>'P&amp;L - Inputs'!AE597</f>
        <v>0</v>
      </c>
      <c r="G171" s="19">
        <f>'P&amp;L - Inputs'!AF597</f>
        <v>0</v>
      </c>
      <c r="H171" s="19">
        <f>'P&amp;L - Inputs'!AG597</f>
        <v>0</v>
      </c>
      <c r="I171" s="19">
        <f>'P&amp;L - Inputs'!AH597</f>
        <v>0</v>
      </c>
      <c r="J171" s="19">
        <f>'P&amp;L - Inputs'!AI597</f>
        <v>0</v>
      </c>
      <c r="K171" s="19">
        <f>'P&amp;L - Inputs'!AJ597</f>
        <v>0</v>
      </c>
      <c r="L171" s="19">
        <f>'P&amp;L - Inputs'!AK597</f>
        <v>0</v>
      </c>
      <c r="M171" s="19">
        <f>'P&amp;L - Inputs'!AL597</f>
        <v>0</v>
      </c>
      <c r="N171" s="19">
        <f>'P&amp;L - Inputs'!AM597</f>
        <v>0</v>
      </c>
      <c r="O171" s="19">
        <f>'P&amp;L - Inputs'!AN597</f>
        <v>0</v>
      </c>
      <c r="P171" s="19">
        <f>'P&amp;L - Inputs'!AO597</f>
        <v>0</v>
      </c>
      <c r="Q171" s="19">
        <f>'P&amp;L - Inputs'!AP597</f>
        <v>0</v>
      </c>
      <c r="R171" s="19">
        <f>'P&amp;L - Inputs'!AQ597</f>
        <v>0</v>
      </c>
      <c r="S171" s="19">
        <f>'P&amp;L - Inputs'!AR597</f>
        <v>0</v>
      </c>
      <c r="T171" s="19">
        <f>'P&amp;L - Inputs'!AS597</f>
        <v>0</v>
      </c>
      <c r="U171" s="19">
        <f>'P&amp;L - Inputs'!AT597</f>
        <v>0</v>
      </c>
      <c r="V171" s="19">
        <f>'P&amp;L - Inputs'!AU597</f>
        <v>0</v>
      </c>
      <c r="W171" s="19">
        <f>'P&amp;L - Inputs'!AV597</f>
        <v>0</v>
      </c>
      <c r="X171" s="19">
        <f>'P&amp;L - Inputs'!AW597</f>
        <v>0</v>
      </c>
      <c r="Y171" s="19">
        <f>'P&amp;L - Inputs'!AX597</f>
        <v>0</v>
      </c>
      <c r="Z171" s="19">
        <f>'P&amp;L - Inputs'!AY597</f>
        <v>0</v>
      </c>
      <c r="AA171" s="19">
        <f>'P&amp;L - Inputs'!AZ597</f>
        <v>0</v>
      </c>
      <c r="AB171" s="19">
        <f>'P&amp;L - Inputs'!BA597</f>
        <v>0</v>
      </c>
      <c r="AC171" s="19">
        <f>'P&amp;L - Inputs'!BB597</f>
        <v>0</v>
      </c>
      <c r="AD171" s="19">
        <f>'P&amp;L - Inputs'!BC597</f>
        <v>0</v>
      </c>
      <c r="AE171" s="19">
        <f>'P&amp;L - Inputs'!BD597</f>
        <v>0</v>
      </c>
      <c r="AF171" s="19">
        <f>'P&amp;L - Inputs'!BE597</f>
        <v>0</v>
      </c>
      <c r="AG171" s="19">
        <f>'P&amp;L - Inputs'!BF597</f>
        <v>0</v>
      </c>
      <c r="AH171" s="19">
        <f>'P&amp;L - Inputs'!BG597</f>
        <v>0</v>
      </c>
      <c r="AI171" s="19">
        <f>'P&amp;L - Inputs'!BH597</f>
        <v>0</v>
      </c>
      <c r="AJ171" s="19">
        <f>'P&amp;L - Inputs'!BI597</f>
        <v>0</v>
      </c>
      <c r="AK171" s="19">
        <f>'P&amp;L - Inputs'!BJ597</f>
        <v>9584489.7293827534</v>
      </c>
      <c r="AL171" s="19">
        <f>'P&amp;L - Inputs'!BK597</f>
        <v>9239535.8703687657</v>
      </c>
      <c r="AM171" s="19">
        <f>'P&amp;L - Inputs'!BL597</f>
        <v>8860995.2425241265</v>
      </c>
      <c r="AN171" s="19">
        <f>'P&amp;L - Inputs'!BM597</f>
        <v>8524143.3855000697</v>
      </c>
      <c r="AO171" s="19">
        <f>'P&amp;L - Inputs'!BN597</f>
        <v>8482579.189658694</v>
      </c>
      <c r="AP171" s="19">
        <f>'P&amp;L - Inputs'!BO597</f>
        <v>8753643.6441339683</v>
      </c>
      <c r="AQ171" s="19">
        <f>'P&amp;L - Inputs'!BP597</f>
        <v>8508485.7513870317</v>
      </c>
      <c r="AR171" s="19">
        <f>'P&amp;L - Inputs'!BQ597</f>
        <v>8479036.413798077</v>
      </c>
      <c r="AS171" s="19">
        <f>'P&amp;L - Inputs'!BR597</f>
        <v>8149860.6222467488</v>
      </c>
      <c r="AT171" s="19">
        <f>'P&amp;L - Inputs'!BS597</f>
        <v>7509747.9416001337</v>
      </c>
      <c r="AU171" s="19">
        <f>'P&amp;L - Inputs'!BT597</f>
        <v>7164985.4308359241</v>
      </c>
      <c r="AV171" s="19">
        <f>'P&amp;L - Inputs'!BU597</f>
        <v>7532717.8436663998</v>
      </c>
      <c r="AW171" s="19">
        <f>'P&amp;L - Inputs'!BV597</f>
        <v>7471982.7186663998</v>
      </c>
      <c r="AX171" s="19">
        <f>'P&amp;L - Inputs'!BW597</f>
        <v>8141671.491479164</v>
      </c>
      <c r="AY171" s="19">
        <f>'P&amp;L - Inputs'!BX597</f>
        <v>8296095.5118144555</v>
      </c>
      <c r="AZ171" s="19">
        <f>'P&amp;L - Inputs'!BY597</f>
        <v>8207153.3165416569</v>
      </c>
      <c r="BA171" s="19">
        <f>'P&amp;L - Inputs'!BZ597</f>
        <v>8191353.2230608957</v>
      </c>
      <c r="BB171" s="19">
        <f>'P&amp;L - Inputs'!CA597</f>
        <v>8315518.3767580083</v>
      </c>
      <c r="BC171" s="19">
        <f>'P&amp;L - Inputs'!CB597</f>
        <v>8429013.8408843949</v>
      </c>
      <c r="BD171" s="19">
        <f>'P&amp;L - Inputs'!CC597</f>
        <v>8459551.5365624987</v>
      </c>
      <c r="BE171" s="19">
        <f>'P&amp;L - Inputs'!CD597</f>
        <v>9078027.5997309238</v>
      </c>
      <c r="BF171" s="19">
        <f>'P&amp;L - Inputs'!CE597</f>
        <v>8660010.8658722993</v>
      </c>
      <c r="BG171" s="19">
        <f>'P&amp;L - Inputs'!CF597</f>
        <v>8389614.7459228486</v>
      </c>
      <c r="BH171" s="19">
        <f>'P&amp;L - Inputs'!CG597</f>
        <v>9129283.2745387629</v>
      </c>
      <c r="BI171" s="19">
        <f>'P&amp;L - Inputs'!CH597</f>
        <v>8154025.3937666025</v>
      </c>
      <c r="BJ171" s="19">
        <f>'P&amp;L - Inputs'!CI597</f>
        <v>8558808.8494231049</v>
      </c>
      <c r="BK171" s="19">
        <f>'P&amp;L - Inputs'!CJ597</f>
        <v>8477770.2427085955</v>
      </c>
      <c r="BL171" s="19">
        <f>'P&amp;L - Inputs'!CK597</f>
        <v>8383372.1953497259</v>
      </c>
      <c r="BM171" s="19">
        <f>'P&amp;L - Inputs'!CL597</f>
        <v>8569018.3411221281</v>
      </c>
      <c r="BN171" s="19">
        <f>'P&amp;L - Inputs'!CM597</f>
        <v>8511362.8769679498</v>
      </c>
      <c r="BO171" s="19">
        <f>'P&amp;L - Inputs'!CN597</f>
        <v>9211035.0709362645</v>
      </c>
      <c r="BP171" s="19">
        <f>'P&amp;L - Inputs'!CO597</f>
        <v>8730119.7479787171</v>
      </c>
      <c r="BQ171" s="19">
        <f>'P&amp;L - Inputs'!CP597</f>
        <v>8551540.3148145955</v>
      </c>
      <c r="BR171" s="19">
        <f>'P&amp;L - Inputs'!CQ597</f>
        <v>9359553.62604676</v>
      </c>
      <c r="BS171" s="19">
        <f>'P&amp;L - Inputs'!CR597</f>
        <v>9317503.3970018141</v>
      </c>
      <c r="BT171" s="19">
        <f>'P&amp;L - Inputs'!CS597</f>
        <v>9450411.6179564297</v>
      </c>
      <c r="BU171" s="19">
        <f>'P&amp;L - Inputs'!CT597</f>
        <v>9922932.1988542508</v>
      </c>
      <c r="BV171" s="19">
        <f>'P&amp;L - Inputs'!CU597</f>
        <v>9922932.1988542508</v>
      </c>
      <c r="BW171" s="19">
        <f>'P&amp;L - Inputs'!CV597</f>
        <v>9922932.1988542508</v>
      </c>
      <c r="BX171" s="19">
        <f>'P&amp;L - Inputs'!CW597</f>
        <v>9922932.1988542508</v>
      </c>
      <c r="BY171" s="19">
        <f>'P&amp;L - Inputs'!CX597</f>
        <v>9922932.1988542508</v>
      </c>
      <c r="BZ171" s="19">
        <f>'P&amp;L - Inputs'!CY597</f>
        <v>9922932.1988542508</v>
      </c>
      <c r="CA171" s="19">
        <f>'P&amp;L - Inputs'!CZ597</f>
        <v>9922932.1988542508</v>
      </c>
      <c r="CB171" s="19">
        <f>'P&amp;L - Inputs'!DA597</f>
        <v>9922932.1988542508</v>
      </c>
      <c r="CC171" s="19">
        <f>'P&amp;L - Inputs'!DB597</f>
        <v>9922932.1988542508</v>
      </c>
      <c r="CD171" s="19">
        <f>'P&amp;L - Inputs'!DC597</f>
        <v>9922932.1988542508</v>
      </c>
      <c r="CE171" s="19">
        <f>'P&amp;L - Inputs'!DD597</f>
        <v>9922932.1988542508</v>
      </c>
      <c r="CF171" s="19">
        <f>'P&amp;L - Inputs'!DE597</f>
        <v>9922932.1988542508</v>
      </c>
      <c r="CG171" s="19">
        <f>'P&amp;L - Inputs'!DF597</f>
        <v>10419078.808796965</v>
      </c>
      <c r="CH171" s="19">
        <f>'P&amp;L - Inputs'!DG597</f>
        <v>10419078.808796965</v>
      </c>
      <c r="CI171" s="19">
        <f>'P&amp;L - Inputs'!DH597</f>
        <v>10419078.808796965</v>
      </c>
      <c r="CJ171" s="19">
        <f>'P&amp;L - Inputs'!DI597</f>
        <v>10419078.808796965</v>
      </c>
      <c r="CK171" s="19">
        <f>'P&amp;L - Inputs'!DJ597</f>
        <v>10419078.808796965</v>
      </c>
      <c r="CL171" s="19">
        <f>'P&amp;L - Inputs'!DK597</f>
        <v>10419078.808796965</v>
      </c>
      <c r="CM171" s="19">
        <f>'P&amp;L - Inputs'!DL597</f>
        <v>10419078.808796965</v>
      </c>
      <c r="CN171" s="19">
        <f>'P&amp;L - Inputs'!DM597</f>
        <v>10419078.808796965</v>
      </c>
      <c r="CO171" s="19">
        <f>'P&amp;L - Inputs'!DN597</f>
        <v>10419078.808796965</v>
      </c>
      <c r="CP171" s="19">
        <f>'P&amp;L - Inputs'!DO597</f>
        <v>10419078.808796965</v>
      </c>
      <c r="CQ171" s="19">
        <f>'P&amp;L - Inputs'!DP597</f>
        <v>10419078.808796965</v>
      </c>
      <c r="CR171" s="19">
        <f>'P&amp;L - Inputs'!DQ597</f>
        <v>10419078.808796965</v>
      </c>
      <c r="CS171" s="19">
        <f>'P&amp;L - Inputs'!DR597</f>
        <v>10940032.749236813</v>
      </c>
      <c r="CT171" s="19">
        <f>'P&amp;L - Inputs'!DS597</f>
        <v>10940032.749236813</v>
      </c>
      <c r="CU171" s="19">
        <f>'P&amp;L - Inputs'!DT597</f>
        <v>10940032.749236813</v>
      </c>
      <c r="CV171" s="19">
        <f>'P&amp;L - Inputs'!DU597</f>
        <v>10940032.749236813</v>
      </c>
      <c r="CW171" s="19">
        <f>'P&amp;L - Inputs'!DV597</f>
        <v>10940032.749236813</v>
      </c>
      <c r="CX171" s="19">
        <f>'P&amp;L - Inputs'!DW597</f>
        <v>10940032.749236813</v>
      </c>
      <c r="CY171" s="19">
        <f>'P&amp;L - Inputs'!DX597</f>
        <v>10940032.749236813</v>
      </c>
      <c r="CZ171" s="19">
        <f>'P&amp;L - Inputs'!DY597</f>
        <v>10940032.749236813</v>
      </c>
      <c r="DA171" s="19">
        <f>'P&amp;L - Inputs'!DZ597</f>
        <v>10940032.749236813</v>
      </c>
      <c r="DB171" s="19">
        <f>'P&amp;L - Inputs'!EA597</f>
        <v>10940032.749236813</v>
      </c>
      <c r="DC171" s="19">
        <f>'P&amp;L - Inputs'!EB597</f>
        <v>10940032.749236813</v>
      </c>
      <c r="DD171" s="19">
        <f>'P&amp;L - Inputs'!EC597</f>
        <v>10940032.749236813</v>
      </c>
      <c r="DF171" s="19">
        <f t="shared" si="792"/>
        <v>27685020.842275642</v>
      </c>
      <c r="DG171" s="19">
        <f t="shared" si="793"/>
        <v>25760366.21929273</v>
      </c>
      <c r="DH171" s="19">
        <f t="shared" si="794"/>
        <v>25137382.787431858</v>
      </c>
      <c r="DI171" s="19">
        <f t="shared" si="795"/>
        <v>22207451.216102459</v>
      </c>
      <c r="DJ171" s="19">
        <f t="shared" si="796"/>
        <v>23909749.721960019</v>
      </c>
      <c r="DK171" s="19">
        <f t="shared" si="797"/>
        <v>24714024.916360561</v>
      </c>
      <c r="DL171" s="19">
        <f t="shared" si="798"/>
        <v>25966592.977177817</v>
      </c>
      <c r="DM171" s="19">
        <f t="shared" si="799"/>
        <v>26178908.886333913</v>
      </c>
      <c r="DN171" s="19">
        <f t="shared" si="800"/>
        <v>25190604.485898301</v>
      </c>
      <c r="DO171" s="19">
        <f t="shared" si="801"/>
        <v>25463753.413439803</v>
      </c>
      <c r="DP171" s="19">
        <f t="shared" si="802"/>
        <v>26492695.133729577</v>
      </c>
      <c r="DQ171" s="19">
        <f t="shared" si="803"/>
        <v>28127468.641005002</v>
      </c>
      <c r="DR171" s="19">
        <f t="shared" si="804"/>
        <v>29768796.596562751</v>
      </c>
      <c r="DS171" s="19">
        <f t="shared" si="805"/>
        <v>29768796.596562751</v>
      </c>
      <c r="DT171" s="19">
        <f t="shared" si="806"/>
        <v>29768796.596562751</v>
      </c>
      <c r="DU171" s="19">
        <f t="shared" si="807"/>
        <v>29768796.596562751</v>
      </c>
      <c r="DV171" s="19">
        <f t="shared" si="808"/>
        <v>31257236.426390894</v>
      </c>
      <c r="DW171" s="19">
        <f t="shared" si="809"/>
        <v>31257236.426390894</v>
      </c>
      <c r="DX171" s="19">
        <f t="shared" si="810"/>
        <v>31257236.426390894</v>
      </c>
      <c r="DY171" s="19">
        <f t="shared" si="811"/>
        <v>31257236.426390894</v>
      </c>
      <c r="DZ171" s="19">
        <f t="shared" si="587"/>
        <v>32820098.247710437</v>
      </c>
      <c r="EA171" s="19">
        <f t="shared" si="588"/>
        <v>32820098.247710437</v>
      </c>
      <c r="EB171" s="19">
        <f t="shared" si="589"/>
        <v>32820098.247710437</v>
      </c>
      <c r="EC171" s="19">
        <f t="shared" si="590"/>
        <v>32820098.247710437</v>
      </c>
      <c r="EE171" s="19">
        <f>SUM(DF171:DI171)</f>
        <v>100790221.0651027</v>
      </c>
      <c r="EF171" s="19">
        <f>SUM(DJ171:DM171)</f>
        <v>100769276.50183231</v>
      </c>
      <c r="EG171" s="19">
        <f>SUM(DN171:DQ171)</f>
        <v>105274521.67407268</v>
      </c>
      <c r="EH171" s="19">
        <f>SUM(DR171:DU171)</f>
        <v>119075186.386251</v>
      </c>
      <c r="EI171" s="19">
        <f>SUM(DV171:DY171)</f>
        <v>125028945.70556358</v>
      </c>
      <c r="EJ171" s="770">
        <f t="shared" si="596"/>
        <v>131280392.99084175</v>
      </c>
    </row>
    <row r="172" spans="2:140" x14ac:dyDescent="0.2">
      <c r="B172" s="155" t="s">
        <v>52</v>
      </c>
      <c r="C172" s="19">
        <f>'P&amp;L - Inputs'!AB598</f>
        <v>0</v>
      </c>
      <c r="D172" s="19">
        <f>'P&amp;L - Inputs'!AC598</f>
        <v>0</v>
      </c>
      <c r="E172" s="19">
        <f>'P&amp;L - Inputs'!AD598</f>
        <v>0</v>
      </c>
      <c r="F172" s="19">
        <f>'P&amp;L - Inputs'!AE598</f>
        <v>0</v>
      </c>
      <c r="G172" s="19">
        <f>'P&amp;L - Inputs'!AF598</f>
        <v>0</v>
      </c>
      <c r="H172" s="19">
        <f>'P&amp;L - Inputs'!AG598</f>
        <v>0</v>
      </c>
      <c r="I172" s="19">
        <f>'P&amp;L - Inputs'!AH598</f>
        <v>0</v>
      </c>
      <c r="J172" s="19">
        <f>'P&amp;L - Inputs'!AI598</f>
        <v>0</v>
      </c>
      <c r="K172" s="19">
        <f>'P&amp;L - Inputs'!AJ598</f>
        <v>0</v>
      </c>
      <c r="L172" s="19">
        <f>'P&amp;L - Inputs'!AK598</f>
        <v>0</v>
      </c>
      <c r="M172" s="19">
        <f>'P&amp;L - Inputs'!AL598</f>
        <v>0</v>
      </c>
      <c r="N172" s="19">
        <f>'P&amp;L - Inputs'!AM598</f>
        <v>0</v>
      </c>
      <c r="O172" s="19">
        <f>'P&amp;L - Inputs'!AN598</f>
        <v>0</v>
      </c>
      <c r="P172" s="19">
        <f>'P&amp;L - Inputs'!AO598</f>
        <v>0</v>
      </c>
      <c r="Q172" s="19">
        <f>'P&amp;L - Inputs'!AP598</f>
        <v>0</v>
      </c>
      <c r="R172" s="19">
        <f>'P&amp;L - Inputs'!AQ598</f>
        <v>0</v>
      </c>
      <c r="S172" s="19">
        <f>'P&amp;L - Inputs'!AR598</f>
        <v>0</v>
      </c>
      <c r="T172" s="19">
        <f>'P&amp;L - Inputs'!AS598</f>
        <v>0</v>
      </c>
      <c r="U172" s="19">
        <f>'P&amp;L - Inputs'!AT598</f>
        <v>0</v>
      </c>
      <c r="V172" s="19">
        <f>'P&amp;L - Inputs'!AU598</f>
        <v>0</v>
      </c>
      <c r="W172" s="19">
        <f>'P&amp;L - Inputs'!AV598</f>
        <v>0</v>
      </c>
      <c r="X172" s="19">
        <f>'P&amp;L - Inputs'!AW598</f>
        <v>0</v>
      </c>
      <c r="Y172" s="19">
        <f>'P&amp;L - Inputs'!AX598</f>
        <v>0</v>
      </c>
      <c r="Z172" s="19">
        <f>'P&amp;L - Inputs'!AY598</f>
        <v>0</v>
      </c>
      <c r="AA172" s="19">
        <f>'P&amp;L - Inputs'!AZ598</f>
        <v>0</v>
      </c>
      <c r="AB172" s="19">
        <f>'P&amp;L - Inputs'!BA598</f>
        <v>0</v>
      </c>
      <c r="AC172" s="19">
        <f>'P&amp;L - Inputs'!BB598</f>
        <v>0</v>
      </c>
      <c r="AD172" s="19">
        <f>'P&amp;L - Inputs'!BC598</f>
        <v>0</v>
      </c>
      <c r="AE172" s="19">
        <f>'P&amp;L - Inputs'!BD598</f>
        <v>0</v>
      </c>
      <c r="AF172" s="19">
        <f>'P&amp;L - Inputs'!BE598</f>
        <v>0</v>
      </c>
      <c r="AG172" s="19">
        <f>'P&amp;L - Inputs'!BF598</f>
        <v>0</v>
      </c>
      <c r="AH172" s="19">
        <f>'P&amp;L - Inputs'!BG598</f>
        <v>0</v>
      </c>
      <c r="AI172" s="19">
        <f>'P&amp;L - Inputs'!BH598</f>
        <v>0</v>
      </c>
      <c r="AJ172" s="19">
        <f>'P&amp;L - Inputs'!BI598</f>
        <v>0</v>
      </c>
      <c r="AK172" s="19">
        <f>'P&amp;L - Inputs'!BJ598</f>
        <v>9461418.3101469278</v>
      </c>
      <c r="AL172" s="19">
        <f>'P&amp;L - Inputs'!BK598</f>
        <v>9354991.4419473093</v>
      </c>
      <c r="AM172" s="19">
        <f>'P&amp;L - Inputs'!BL598</f>
        <v>8335724.3094595056</v>
      </c>
      <c r="AN172" s="19">
        <f>'P&amp;L - Inputs'!BM598</f>
        <v>8210014.8686743416</v>
      </c>
      <c r="AO172" s="19">
        <f>'P&amp;L - Inputs'!BN598</f>
        <v>7889285.9661514461</v>
      </c>
      <c r="AP172" s="19">
        <f>'P&amp;L - Inputs'!BO598</f>
        <v>8014349.2224780442</v>
      </c>
      <c r="AQ172" s="19">
        <f>'P&amp;L - Inputs'!BP598</f>
        <v>8671312.4212622028</v>
      </c>
      <c r="AR172" s="19">
        <f>'P&amp;L - Inputs'!BQ598</f>
        <v>8541012.8349615391</v>
      </c>
      <c r="AS172" s="19">
        <f>'P&amp;L - Inputs'!BR598</f>
        <v>7895699.2375445599</v>
      </c>
      <c r="AT172" s="19">
        <f>'P&amp;L - Inputs'!BS598</f>
        <v>7792364.3507275647</v>
      </c>
      <c r="AU172" s="19">
        <f>'P&amp;L - Inputs'!BT598</f>
        <v>7297902.3535230989</v>
      </c>
      <c r="AV172" s="19">
        <f>'P&amp;L - Inputs'!BU598</f>
        <v>8132896.7593958313</v>
      </c>
      <c r="AW172" s="19">
        <f>'P&amp;L - Inputs'!BV598</f>
        <v>9088219.2733880915</v>
      </c>
      <c r="AX172" s="19">
        <f>'P&amp;L - Inputs'!BW598</f>
        <v>8778991.4725192282</v>
      </c>
      <c r="AY172" s="19">
        <f>'P&amp;L - Inputs'!BX598</f>
        <v>8808737.4538060892</v>
      </c>
      <c r="AZ172" s="19">
        <f>'P&amp;L - Inputs'!BY598</f>
        <v>8875301.3355240375</v>
      </c>
      <c r="BA172" s="19">
        <f>'P&amp;L - Inputs'!BZ598</f>
        <v>9054542.4602275621</v>
      </c>
      <c r="BB172" s="19">
        <f>'P&amp;L - Inputs'!CA598</f>
        <v>8751086.5355304498</v>
      </c>
      <c r="BC172" s="19">
        <f>'P&amp;L - Inputs'!CB598</f>
        <v>10418211.059528481</v>
      </c>
      <c r="BD172" s="19">
        <f>'P&amp;L - Inputs'!CC598</f>
        <v>9463225.5966522433</v>
      </c>
      <c r="BE172" s="19">
        <f>'P&amp;L - Inputs'!CD598</f>
        <v>9490228.6896671299</v>
      </c>
      <c r="BF172" s="19">
        <f>'P&amp;L - Inputs'!CE598</f>
        <v>10007430.289099822</v>
      </c>
      <c r="BG172" s="19">
        <f>'P&amp;L - Inputs'!CF598</f>
        <v>9628333.1769242231</v>
      </c>
      <c r="BH172" s="19">
        <f>'P&amp;L - Inputs'!CG598</f>
        <v>10725983.780271662</v>
      </c>
      <c r="BI172" s="19">
        <f>'P&amp;L - Inputs'!CH598</f>
        <v>8969031.0010640416</v>
      </c>
      <c r="BJ172" s="19">
        <f>'P&amp;L - Inputs'!CI598</f>
        <v>7464208.6318861116</v>
      </c>
      <c r="BK172" s="19">
        <f>'P&amp;L - Inputs'!CJ598</f>
        <v>7674960.7244882733</v>
      </c>
      <c r="BL172" s="19">
        <f>'P&amp;L - Inputs'!CK598</f>
        <v>7608100.9356269278</v>
      </c>
      <c r="BM172" s="19">
        <f>'P&amp;L - Inputs'!CL598</f>
        <v>7355051.5072107529</v>
      </c>
      <c r="BN172" s="19">
        <f>'P&amp;L - Inputs'!CM598</f>
        <v>8133467.5358281303</v>
      </c>
      <c r="BO172" s="19">
        <f>'P&amp;L - Inputs'!CN598</f>
        <v>9098075.6757955831</v>
      </c>
      <c r="BP172" s="19">
        <f>'P&amp;L - Inputs'!CO598</f>
        <v>7914266.4112950042</v>
      </c>
      <c r="BQ172" s="19">
        <f>'P&amp;L - Inputs'!CP598</f>
        <v>8267256.709643051</v>
      </c>
      <c r="BR172" s="19">
        <f>'P&amp;L - Inputs'!CQ598</f>
        <v>8689451.5554857757</v>
      </c>
      <c r="BS172" s="19">
        <f>'P&amp;L - Inputs'!CR598</f>
        <v>8218185.8859269284</v>
      </c>
      <c r="BT172" s="19">
        <f>'P&amp;L - Inputs'!CS598</f>
        <v>9280414.6832009647</v>
      </c>
      <c r="BU172" s="19">
        <f>'P&amp;L - Inputs'!CT598</f>
        <v>9744435.4173610136</v>
      </c>
      <c r="BV172" s="19">
        <f>'P&amp;L - Inputs'!CU598</f>
        <v>9744435.4173610136</v>
      </c>
      <c r="BW172" s="19">
        <f>'P&amp;L - Inputs'!CV598</f>
        <v>9744435.4173610136</v>
      </c>
      <c r="BX172" s="19">
        <f>'P&amp;L - Inputs'!CW598</f>
        <v>9744435.4173610136</v>
      </c>
      <c r="BY172" s="19">
        <f>'P&amp;L - Inputs'!CX598</f>
        <v>9744435.4173610136</v>
      </c>
      <c r="BZ172" s="19">
        <f>'P&amp;L - Inputs'!CY598</f>
        <v>9744435.4173610136</v>
      </c>
      <c r="CA172" s="19">
        <f>'P&amp;L - Inputs'!CZ598</f>
        <v>9744435.4173610136</v>
      </c>
      <c r="CB172" s="19">
        <f>'P&amp;L - Inputs'!DA598</f>
        <v>9744435.4173610136</v>
      </c>
      <c r="CC172" s="19">
        <f>'P&amp;L - Inputs'!DB598</f>
        <v>9744435.4173610136</v>
      </c>
      <c r="CD172" s="19">
        <f>'P&amp;L - Inputs'!DC598</f>
        <v>9744435.4173610136</v>
      </c>
      <c r="CE172" s="19">
        <f>'P&amp;L - Inputs'!DD598</f>
        <v>9744435.4173610136</v>
      </c>
      <c r="CF172" s="19">
        <f>'P&amp;L - Inputs'!DE598</f>
        <v>9744435.4173610136</v>
      </c>
      <c r="CG172" s="19">
        <f>'P&amp;L - Inputs'!DF598</f>
        <v>10231657.188229065</v>
      </c>
      <c r="CH172" s="19">
        <f>'P&amp;L - Inputs'!DG598</f>
        <v>10231657.188229065</v>
      </c>
      <c r="CI172" s="19">
        <f>'P&amp;L - Inputs'!DH598</f>
        <v>10231657.188229065</v>
      </c>
      <c r="CJ172" s="19">
        <f>'P&amp;L - Inputs'!DI598</f>
        <v>10231657.188229065</v>
      </c>
      <c r="CK172" s="19">
        <f>'P&amp;L - Inputs'!DJ598</f>
        <v>10231657.188229065</v>
      </c>
      <c r="CL172" s="19">
        <f>'P&amp;L - Inputs'!DK598</f>
        <v>10231657.188229065</v>
      </c>
      <c r="CM172" s="19">
        <f>'P&amp;L - Inputs'!DL598</f>
        <v>10231657.188229065</v>
      </c>
      <c r="CN172" s="19">
        <f>'P&amp;L - Inputs'!DM598</f>
        <v>10231657.188229065</v>
      </c>
      <c r="CO172" s="19">
        <f>'P&amp;L - Inputs'!DN598</f>
        <v>10231657.188229065</v>
      </c>
      <c r="CP172" s="19">
        <f>'P&amp;L - Inputs'!DO598</f>
        <v>10231657.188229065</v>
      </c>
      <c r="CQ172" s="19">
        <f>'P&amp;L - Inputs'!DP598</f>
        <v>10231657.188229065</v>
      </c>
      <c r="CR172" s="19">
        <f>'P&amp;L - Inputs'!DQ598</f>
        <v>10231657.188229065</v>
      </c>
      <c r="CS172" s="19">
        <f>'P&amp;L - Inputs'!DR598</f>
        <v>10743240.047640519</v>
      </c>
      <c r="CT172" s="19">
        <f>'P&amp;L - Inputs'!DS598</f>
        <v>10743240.047640519</v>
      </c>
      <c r="CU172" s="19">
        <f>'P&amp;L - Inputs'!DT598</f>
        <v>10743240.047640519</v>
      </c>
      <c r="CV172" s="19">
        <f>'P&amp;L - Inputs'!DU598</f>
        <v>10743240.047640519</v>
      </c>
      <c r="CW172" s="19">
        <f>'P&amp;L - Inputs'!DV598</f>
        <v>10743240.047640519</v>
      </c>
      <c r="CX172" s="19">
        <f>'P&amp;L - Inputs'!DW598</f>
        <v>10743240.047640519</v>
      </c>
      <c r="CY172" s="19">
        <f>'P&amp;L - Inputs'!DX598</f>
        <v>10743240.047640519</v>
      </c>
      <c r="CZ172" s="19">
        <f>'P&amp;L - Inputs'!DY598</f>
        <v>10743240.047640519</v>
      </c>
      <c r="DA172" s="19">
        <f>'P&amp;L - Inputs'!DZ598</f>
        <v>10743240.047640519</v>
      </c>
      <c r="DB172" s="19">
        <f>'P&amp;L - Inputs'!EA598</f>
        <v>10743240.047640519</v>
      </c>
      <c r="DC172" s="19">
        <f>'P&amp;L - Inputs'!EB598</f>
        <v>10743240.047640519</v>
      </c>
      <c r="DD172" s="19">
        <f>'P&amp;L - Inputs'!EC598</f>
        <v>10743240.047640519</v>
      </c>
      <c r="DF172" s="19">
        <f t="shared" si="792"/>
        <v>27152134.061553746</v>
      </c>
      <c r="DG172" s="19">
        <f t="shared" si="793"/>
        <v>24113650.057303831</v>
      </c>
      <c r="DH172" s="19">
        <f t="shared" si="794"/>
        <v>25108024.493768301</v>
      </c>
      <c r="DI172" s="19">
        <f t="shared" si="795"/>
        <v>23223163.463646494</v>
      </c>
      <c r="DJ172" s="19">
        <f t="shared" si="796"/>
        <v>26675948.199713409</v>
      </c>
      <c r="DK172" s="19">
        <f t="shared" si="797"/>
        <v>26680930.331282049</v>
      </c>
      <c r="DL172" s="19">
        <f t="shared" si="798"/>
        <v>29371665.345847853</v>
      </c>
      <c r="DM172" s="19">
        <f t="shared" si="799"/>
        <v>30361747.246295705</v>
      </c>
      <c r="DN172" s="19">
        <f t="shared" si="800"/>
        <v>24108200.357438426</v>
      </c>
      <c r="DO172" s="19">
        <f t="shared" si="801"/>
        <v>23096619.978665814</v>
      </c>
      <c r="DP172" s="19">
        <f t="shared" si="802"/>
        <v>25279598.79673364</v>
      </c>
      <c r="DQ172" s="19">
        <f t="shared" si="803"/>
        <v>26188052.124613665</v>
      </c>
      <c r="DR172" s="19">
        <f t="shared" si="804"/>
        <v>29233306.252083041</v>
      </c>
      <c r="DS172" s="19">
        <f t="shared" si="805"/>
        <v>29233306.252083041</v>
      </c>
      <c r="DT172" s="19">
        <f t="shared" si="806"/>
        <v>29233306.252083041</v>
      </c>
      <c r="DU172" s="19">
        <f t="shared" si="807"/>
        <v>29233306.252083041</v>
      </c>
      <c r="DV172" s="19">
        <f t="shared" si="808"/>
        <v>30694971.564687196</v>
      </c>
      <c r="DW172" s="19">
        <f t="shared" si="809"/>
        <v>30694971.564687196</v>
      </c>
      <c r="DX172" s="19">
        <f t="shared" si="810"/>
        <v>30694971.564687196</v>
      </c>
      <c r="DY172" s="19">
        <f t="shared" si="811"/>
        <v>30694971.564687196</v>
      </c>
      <c r="DZ172" s="19">
        <f t="shared" si="587"/>
        <v>32229720.14292156</v>
      </c>
      <c r="EA172" s="19">
        <f t="shared" si="588"/>
        <v>32229720.14292156</v>
      </c>
      <c r="EB172" s="19">
        <f t="shared" si="589"/>
        <v>32229720.14292156</v>
      </c>
      <c r="EC172" s="19">
        <f t="shared" si="590"/>
        <v>32229720.14292156</v>
      </c>
      <c r="EE172" s="19">
        <f>SUM(DF172:DI172)</f>
        <v>99596972.076272368</v>
      </c>
      <c r="EF172" s="19">
        <f>SUM(DJ172:DM172)</f>
        <v>113090291.12313901</v>
      </c>
      <c r="EG172" s="19">
        <f>SUM(DN172:DQ172)</f>
        <v>98672471.257451564</v>
      </c>
      <c r="EH172" s="19">
        <f>SUM(DR172:DU172)</f>
        <v>116933225.00833216</v>
      </c>
      <c r="EI172" s="19">
        <f>SUM(DV172:DY172)</f>
        <v>122779886.25874878</v>
      </c>
      <c r="EJ172" s="770">
        <f t="shared" si="596"/>
        <v>128918880.57168624</v>
      </c>
    </row>
    <row r="173" spans="2:140" x14ac:dyDescent="0.2">
      <c r="B173" s="21" t="s">
        <v>62</v>
      </c>
      <c r="C173" s="161">
        <f t="shared" ref="C173:AH173" si="812">C170/C74</f>
        <v>0</v>
      </c>
      <c r="D173" s="161">
        <f t="shared" si="812"/>
        <v>0</v>
      </c>
      <c r="E173" s="161">
        <f t="shared" si="812"/>
        <v>0</v>
      </c>
      <c r="F173" s="161">
        <f t="shared" si="812"/>
        <v>0</v>
      </c>
      <c r="G173" s="161">
        <f t="shared" si="812"/>
        <v>0</v>
      </c>
      <c r="H173" s="161">
        <f t="shared" si="812"/>
        <v>0</v>
      </c>
      <c r="I173" s="161">
        <f t="shared" si="812"/>
        <v>0</v>
      </c>
      <c r="J173" s="161">
        <f t="shared" si="812"/>
        <v>0</v>
      </c>
      <c r="K173" s="161">
        <f t="shared" si="812"/>
        <v>0</v>
      </c>
      <c r="L173" s="161">
        <f t="shared" si="812"/>
        <v>0</v>
      </c>
      <c r="M173" s="161">
        <f t="shared" si="812"/>
        <v>0</v>
      </c>
      <c r="N173" s="161">
        <f t="shared" si="812"/>
        <v>0</v>
      </c>
      <c r="O173" s="161">
        <f t="shared" si="812"/>
        <v>0</v>
      </c>
      <c r="P173" s="161">
        <f t="shared" si="812"/>
        <v>0</v>
      </c>
      <c r="Q173" s="161">
        <f t="shared" si="812"/>
        <v>0</v>
      </c>
      <c r="R173" s="161">
        <f t="shared" si="812"/>
        <v>0</v>
      </c>
      <c r="S173" s="161">
        <f t="shared" si="812"/>
        <v>0</v>
      </c>
      <c r="T173" s="161">
        <f t="shared" si="812"/>
        <v>0</v>
      </c>
      <c r="U173" s="161">
        <f t="shared" si="812"/>
        <v>0</v>
      </c>
      <c r="V173" s="161">
        <f t="shared" si="812"/>
        <v>0</v>
      </c>
      <c r="W173" s="161">
        <f t="shared" si="812"/>
        <v>0</v>
      </c>
      <c r="X173" s="161">
        <f t="shared" si="812"/>
        <v>0</v>
      </c>
      <c r="Y173" s="161">
        <f t="shared" si="812"/>
        <v>0</v>
      </c>
      <c r="Z173" s="161">
        <f t="shared" si="812"/>
        <v>0</v>
      </c>
      <c r="AA173" s="161">
        <f t="shared" si="812"/>
        <v>0</v>
      </c>
      <c r="AB173" s="161">
        <f t="shared" si="812"/>
        <v>0</v>
      </c>
      <c r="AC173" s="161">
        <f t="shared" si="812"/>
        <v>0</v>
      </c>
      <c r="AD173" s="161">
        <f t="shared" si="812"/>
        <v>0</v>
      </c>
      <c r="AE173" s="161">
        <f t="shared" si="812"/>
        <v>0</v>
      </c>
      <c r="AF173" s="161">
        <f t="shared" si="812"/>
        <v>0</v>
      </c>
      <c r="AG173" s="161">
        <f t="shared" si="812"/>
        <v>0</v>
      </c>
      <c r="AH173" s="161">
        <f t="shared" si="812"/>
        <v>0</v>
      </c>
      <c r="AI173" s="161">
        <f t="shared" ref="AI173:BN173" si="813">AI170/AI74</f>
        <v>0</v>
      </c>
      <c r="AJ173" s="161">
        <f t="shared" si="813"/>
        <v>0</v>
      </c>
      <c r="AK173" s="161">
        <f t="shared" si="813"/>
        <v>5.960073810465611E-2</v>
      </c>
      <c r="AL173" s="161">
        <f t="shared" si="813"/>
        <v>5.5179879184908222E-2</v>
      </c>
      <c r="AM173" s="161">
        <f t="shared" si="813"/>
        <v>5.2111662434423514E-2</v>
      </c>
      <c r="AN173" s="161">
        <f t="shared" si="813"/>
        <v>5.7521281649298595E-2</v>
      </c>
      <c r="AO173" s="161">
        <f t="shared" si="813"/>
        <v>5.6054740250184136E-2</v>
      </c>
      <c r="AP173" s="161">
        <f t="shared" si="813"/>
        <v>6.07225866937844E-2</v>
      </c>
      <c r="AQ173" s="161">
        <f t="shared" si="813"/>
        <v>4.3872047668551642E-2</v>
      </c>
      <c r="AR173" s="161">
        <f t="shared" si="813"/>
        <v>4.9921388285694396E-2</v>
      </c>
      <c r="AS173" s="161">
        <f t="shared" si="813"/>
        <v>5.4369249902041693E-2</v>
      </c>
      <c r="AT173" s="161">
        <f t="shared" si="813"/>
        <v>5.7590697487740893E-2</v>
      </c>
      <c r="AU173" s="161">
        <f t="shared" si="813"/>
        <v>5.9429881126345258E-2</v>
      </c>
      <c r="AV173" s="161">
        <f t="shared" si="813"/>
        <v>5.3456358684606645E-2</v>
      </c>
      <c r="AW173" s="161">
        <f t="shared" si="813"/>
        <v>5.3275952162689232E-2</v>
      </c>
      <c r="AX173" s="161">
        <f t="shared" si="813"/>
        <v>5.4284439186125313E-2</v>
      </c>
      <c r="AY173" s="161">
        <f t="shared" si="813"/>
        <v>5.1241614485048832E-2</v>
      </c>
      <c r="AZ173" s="161">
        <f t="shared" si="813"/>
        <v>5.4046011826437916E-2</v>
      </c>
      <c r="BA173" s="161">
        <f t="shared" si="813"/>
        <v>6.4089213171990289E-2</v>
      </c>
      <c r="BB173" s="161">
        <f t="shared" si="813"/>
        <v>7.3646871355629098E-2</v>
      </c>
      <c r="BC173" s="161">
        <f t="shared" si="813"/>
        <v>5.7506456161786443E-2</v>
      </c>
      <c r="BD173" s="161">
        <f t="shared" si="813"/>
        <v>5.6041196743982453E-2</v>
      </c>
      <c r="BE173" s="161">
        <f t="shared" si="813"/>
        <v>4.8797768481438623E-2</v>
      </c>
      <c r="BF173" s="161">
        <f t="shared" si="813"/>
        <v>4.7696819205464792E-2</v>
      </c>
      <c r="BG173" s="161">
        <f t="shared" si="813"/>
        <v>4.8730518158351714E-2</v>
      </c>
      <c r="BH173" s="161">
        <f t="shared" si="813"/>
        <v>4.3135432254482832E-2</v>
      </c>
      <c r="BI173" s="161">
        <f t="shared" si="813"/>
        <v>3.835895116415592E-2</v>
      </c>
      <c r="BJ173" s="161">
        <f t="shared" si="813"/>
        <v>3.7512019653550582E-2</v>
      </c>
      <c r="BK173" s="161">
        <f t="shared" si="813"/>
        <v>3.6819826601852165E-2</v>
      </c>
      <c r="BL173" s="161">
        <f t="shared" si="813"/>
        <v>3.3177189386699349E-2</v>
      </c>
      <c r="BM173" s="161">
        <f t="shared" si="813"/>
        <v>3.9116344395573766E-2</v>
      </c>
      <c r="BN173" s="161">
        <f t="shared" si="813"/>
        <v>4.3521952908176793E-2</v>
      </c>
      <c r="BO173" s="161">
        <f t="shared" ref="BO173:EJ173" si="814">BO170/BO74</f>
        <v>3.2832271725599473E-2</v>
      </c>
      <c r="BP173" s="161">
        <f t="shared" si="814"/>
        <v>3.3374436073292067E-2</v>
      </c>
      <c r="BQ173" s="161">
        <f t="shared" si="814"/>
        <v>2.6980292400579472E-2</v>
      </c>
      <c r="BR173" s="161">
        <f t="shared" si="814"/>
        <v>2.736561350904361E-2</v>
      </c>
      <c r="BS173" s="161">
        <f t="shared" si="814"/>
        <v>2.7454635332474241E-2</v>
      </c>
      <c r="BT173" s="161">
        <f t="shared" si="814"/>
        <v>2.4423446150651326E-2</v>
      </c>
      <c r="BU173" s="161">
        <f t="shared" si="814"/>
        <v>3.0734210741127008E-2</v>
      </c>
      <c r="BV173" s="161">
        <f t="shared" si="814"/>
        <v>3.1383787761155461E-2</v>
      </c>
      <c r="BW173" s="161">
        <f t="shared" si="814"/>
        <v>3.1449343253063151E-2</v>
      </c>
      <c r="BX173" s="161">
        <f t="shared" si="814"/>
        <v>2.9042704567543692E-2</v>
      </c>
      <c r="BY173" s="161">
        <f t="shared" si="814"/>
        <v>3.2506268560815739E-2</v>
      </c>
      <c r="BZ173" s="161">
        <f t="shared" si="814"/>
        <v>3.5005988939966586E-2</v>
      </c>
      <c r="CA173" s="161">
        <f t="shared" si="814"/>
        <v>2.8055114125422557E-2</v>
      </c>
      <c r="CB173" s="161">
        <f t="shared" si="814"/>
        <v>3.0463814534138645E-2</v>
      </c>
      <c r="CC173" s="161">
        <f t="shared" si="814"/>
        <v>2.5607964879134821E-2</v>
      </c>
      <c r="CD173" s="161">
        <f t="shared" si="814"/>
        <v>2.4994037416608671E-2</v>
      </c>
      <c r="CE173" s="161">
        <f t="shared" si="814"/>
        <v>2.6878267178614253E-2</v>
      </c>
      <c r="CF173" s="161">
        <f t="shared" si="814"/>
        <v>2.3105939289958303E-2</v>
      </c>
      <c r="CG173" s="161">
        <f t="shared" si="814"/>
        <v>2.6389385536577815E-2</v>
      </c>
      <c r="CH173" s="161">
        <f t="shared" si="814"/>
        <v>2.6879819085851957E-2</v>
      </c>
      <c r="CI173" s="161">
        <f t="shared" si="814"/>
        <v>2.7076794103681783E-2</v>
      </c>
      <c r="CJ173" s="161">
        <f t="shared" si="814"/>
        <v>2.5017595013802289E-2</v>
      </c>
      <c r="CK173" s="161">
        <f t="shared" si="814"/>
        <v>2.8062354065152631E-2</v>
      </c>
      <c r="CL173" s="161">
        <f t="shared" si="814"/>
        <v>3.0294382534830872E-2</v>
      </c>
      <c r="CM173" s="161">
        <f t="shared" si="814"/>
        <v>2.4351565132622835E-2</v>
      </c>
      <c r="CN173" s="161">
        <f t="shared" si="814"/>
        <v>2.6583675835960847E-2</v>
      </c>
      <c r="CO173" s="161">
        <f t="shared" si="814"/>
        <v>2.2419734668829641E-2</v>
      </c>
      <c r="CP173" s="161">
        <f t="shared" si="814"/>
        <v>2.1972927831415075E-2</v>
      </c>
      <c r="CQ173" s="161">
        <f t="shared" si="814"/>
        <v>2.3748015590817781E-2</v>
      </c>
      <c r="CR173" s="161">
        <f t="shared" si="814"/>
        <v>2.0637884106264791E-2</v>
      </c>
      <c r="CS173" s="161">
        <f t="shared" ref="CS173:DD173" si="815">CS170/CS74</f>
        <v>2.431837402611985E-2</v>
      </c>
      <c r="CT173" s="161">
        <f t="shared" si="815"/>
        <v>2.4795105399684665E-2</v>
      </c>
      <c r="CU173" s="161">
        <f t="shared" si="815"/>
        <v>2.499279121366723E-2</v>
      </c>
      <c r="CV173" s="161">
        <f t="shared" si="815"/>
        <v>2.3099723684014379E-2</v>
      </c>
      <c r="CW173" s="161">
        <f t="shared" si="815"/>
        <v>2.5944821146924955E-2</v>
      </c>
      <c r="CX173" s="161">
        <f t="shared" si="815"/>
        <v>2.8049693673397522E-2</v>
      </c>
      <c r="CY173" s="161">
        <f t="shared" si="815"/>
        <v>2.2535301566405208E-2</v>
      </c>
      <c r="CZ173" s="161">
        <f t="shared" si="815"/>
        <v>2.4622432076581168E-2</v>
      </c>
      <c r="DA173" s="161">
        <f t="shared" si="815"/>
        <v>2.0759521258944629E-2</v>
      </c>
      <c r="DB173" s="161">
        <f t="shared" si="815"/>
        <v>2.0350171742645536E-2</v>
      </c>
      <c r="DC173" s="161">
        <f t="shared" si="815"/>
        <v>2.2011705595189515E-2</v>
      </c>
      <c r="DD173" s="161">
        <f t="shared" si="815"/>
        <v>1.9125808976770842E-2</v>
      </c>
      <c r="DF173" s="161">
        <f t="shared" si="814"/>
        <v>5.5585559310810662E-2</v>
      </c>
      <c r="DG173" s="161">
        <f t="shared" si="814"/>
        <v>5.8051677605554575E-2</v>
      </c>
      <c r="DH173" s="161">
        <f t="shared" si="814"/>
        <v>4.8893612139231685E-2</v>
      </c>
      <c r="DI173" s="161">
        <f t="shared" si="814"/>
        <v>5.6638219643819682E-2</v>
      </c>
      <c r="DJ173" s="161">
        <f t="shared" si="814"/>
        <v>5.289457701224546E-2</v>
      </c>
      <c r="DK173" s="161">
        <f t="shared" si="814"/>
        <v>6.2914615340996349E-2</v>
      </c>
      <c r="DL173" s="161">
        <f t="shared" si="814"/>
        <v>5.3827335838685902E-2</v>
      </c>
      <c r="DM173" s="161">
        <f t="shared" si="814"/>
        <v>4.6290753824507577E-2</v>
      </c>
      <c r="DN173" s="161">
        <f t="shared" si="814"/>
        <v>3.7568716369944348E-2</v>
      </c>
      <c r="DO173" s="161">
        <f t="shared" si="814"/>
        <v>3.819008920116513E-2</v>
      </c>
      <c r="DP173" s="161">
        <f t="shared" si="814"/>
        <v>3.0821502217143099E-2</v>
      </c>
      <c r="DQ173" s="161">
        <f t="shared" si="814"/>
        <v>2.630055322155541E-2</v>
      </c>
      <c r="DR173" s="161">
        <f t="shared" si="814"/>
        <v>3.1185749628797339E-2</v>
      </c>
      <c r="DS173" s="161">
        <f t="shared" si="814"/>
        <v>3.1995941165974436E-2</v>
      </c>
      <c r="DT173" s="161">
        <f t="shared" si="814"/>
        <v>2.7901706404590183E-2</v>
      </c>
      <c r="DU173" s="161">
        <f t="shared" si="814"/>
        <v>2.4897662819665104E-2</v>
      </c>
      <c r="DV173" s="161">
        <f t="shared" si="814"/>
        <v>2.6778864370994668E-2</v>
      </c>
      <c r="DW173" s="161">
        <f t="shared" si="814"/>
        <v>2.7620184911597043E-2</v>
      </c>
      <c r="DX173" s="161">
        <f t="shared" si="814"/>
        <v>2.4333711872131014E-2</v>
      </c>
      <c r="DY173" s="161">
        <f t="shared" si="814"/>
        <v>2.2046842074668532E-2</v>
      </c>
      <c r="DZ173" s="161">
        <f t="shared" si="814"/>
        <v>2.4698829045712793E-2</v>
      </c>
      <c r="EA173" s="161">
        <f t="shared" si="814"/>
        <v>2.5535193846258755E-2</v>
      </c>
      <c r="EB173" s="161">
        <f t="shared" si="814"/>
        <v>2.2529480589148436E-2</v>
      </c>
      <c r="EC173" s="161">
        <f t="shared" si="814"/>
        <v>2.0428261104375265E-2</v>
      </c>
      <c r="ED173" s="805"/>
      <c r="EE173" s="161">
        <f t="shared" si="814"/>
        <v>5.4520682417437454E-2</v>
      </c>
      <c r="EF173" s="161">
        <f t="shared" si="814"/>
        <v>5.316261314786197E-2</v>
      </c>
      <c r="EG173" s="161">
        <f t="shared" si="814"/>
        <v>3.2225704315328507E-2</v>
      </c>
      <c r="EH173" s="161">
        <f t="shared" si="814"/>
        <v>2.8709973363023875E-2</v>
      </c>
      <c r="EI173" s="161">
        <f t="shared" si="814"/>
        <v>2.4999764099273316E-2</v>
      </c>
      <c r="EJ173" s="161">
        <f t="shared" si="814"/>
        <v>2.3123062486618301E-2</v>
      </c>
    </row>
    <row r="174" spans="2:140" x14ac:dyDescent="0.2">
      <c r="B174" s="21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E174" s="10"/>
      <c r="EF174" s="10"/>
      <c r="EG174" s="10"/>
      <c r="EH174" s="10"/>
      <c r="EI174" s="10"/>
      <c r="EJ174" s="812"/>
    </row>
    <row r="175" spans="2:140" x14ac:dyDescent="0.2">
      <c r="B175" s="193" t="s">
        <v>63</v>
      </c>
      <c r="C175" s="182">
        <f>C167-C170</f>
        <v>-316622.56974443007</v>
      </c>
      <c r="D175" s="182">
        <f t="shared" ref="D175:BO175" si="816">D167-D170</f>
        <v>-16624.467119309644</v>
      </c>
      <c r="E175" s="182">
        <f t="shared" si="816"/>
        <v>-499986.24326167739</v>
      </c>
      <c r="F175" s="182">
        <f t="shared" si="816"/>
        <v>-820573.82379922085</v>
      </c>
      <c r="G175" s="182">
        <f t="shared" si="816"/>
        <v>-1503992.4561877334</v>
      </c>
      <c r="H175" s="182">
        <f t="shared" si="816"/>
        <v>-947652.60076331766</v>
      </c>
      <c r="I175" s="182">
        <f t="shared" si="816"/>
        <v>1223072.3243686312</v>
      </c>
      <c r="J175" s="182">
        <f t="shared" si="816"/>
        <v>1223887.0605670565</v>
      </c>
      <c r="K175" s="182">
        <f t="shared" si="816"/>
        <v>1561615.9881313783</v>
      </c>
      <c r="L175" s="182">
        <f t="shared" si="816"/>
        <v>2042677.1029210333</v>
      </c>
      <c r="M175" s="182">
        <f t="shared" si="816"/>
        <v>-1693533.9297256724</v>
      </c>
      <c r="N175" s="182">
        <f t="shared" si="816"/>
        <v>-5442148.0700797262</v>
      </c>
      <c r="O175" s="182">
        <f t="shared" si="816"/>
        <v>-861472.02806123521</v>
      </c>
      <c r="P175" s="182">
        <f t="shared" si="816"/>
        <v>-685123.46251481015</v>
      </c>
      <c r="Q175" s="182">
        <f t="shared" si="816"/>
        <v>-962145.94534680061</v>
      </c>
      <c r="R175" s="182">
        <f t="shared" si="816"/>
        <v>-1271331.2776278253</v>
      </c>
      <c r="S175" s="182">
        <f t="shared" si="816"/>
        <v>-2403670.0766459918</v>
      </c>
      <c r="T175" s="182">
        <f t="shared" si="816"/>
        <v>3696653.4006180987</v>
      </c>
      <c r="U175" s="182">
        <f t="shared" si="816"/>
        <v>4150861.249042796</v>
      </c>
      <c r="V175" s="182">
        <f t="shared" si="816"/>
        <v>890061.30380648538</v>
      </c>
      <c r="W175" s="182">
        <f t="shared" si="816"/>
        <v>2795295.2556895162</v>
      </c>
      <c r="X175" s="182">
        <f t="shared" si="816"/>
        <v>1057850.958708656</v>
      </c>
      <c r="Y175" s="182">
        <f t="shared" si="816"/>
        <v>-1595870.3261175186</v>
      </c>
      <c r="Z175" s="182">
        <f t="shared" si="816"/>
        <v>-1909539.7330995351</v>
      </c>
      <c r="AA175" s="182">
        <f t="shared" si="816"/>
        <v>-878178.49372521741</v>
      </c>
      <c r="AB175" s="182">
        <f t="shared" si="816"/>
        <v>-1981473.709878522</v>
      </c>
      <c r="AC175" s="182">
        <f t="shared" si="816"/>
        <v>-7778684.5715741273</v>
      </c>
      <c r="AD175" s="182">
        <f t="shared" si="816"/>
        <v>-14749786.190386025</v>
      </c>
      <c r="AE175" s="182">
        <f t="shared" si="816"/>
        <v>-11736866.749745637</v>
      </c>
      <c r="AF175" s="182">
        <f t="shared" si="816"/>
        <v>-10486422.443024065</v>
      </c>
      <c r="AG175" s="182">
        <f t="shared" si="816"/>
        <v>-5276979.3196558859</v>
      </c>
      <c r="AH175" s="182">
        <f t="shared" si="816"/>
        <v>-2981518.9492247929</v>
      </c>
      <c r="AI175" s="182">
        <f t="shared" si="816"/>
        <v>-1547203.7463466178</v>
      </c>
      <c r="AJ175" s="182">
        <f t="shared" si="816"/>
        <v>3451581.5473356019</v>
      </c>
      <c r="AK175" s="182">
        <f t="shared" si="816"/>
        <v>-18662500.21158658</v>
      </c>
      <c r="AL175" s="182">
        <f t="shared" si="816"/>
        <v>-15290095.894086197</v>
      </c>
      <c r="AM175" s="182">
        <f t="shared" si="816"/>
        <v>-12444578.068721227</v>
      </c>
      <c r="AN175" s="182">
        <f t="shared" si="816"/>
        <v>-13919823.403478734</v>
      </c>
      <c r="AO175" s="182">
        <f t="shared" si="816"/>
        <v>-13531743.454119004</v>
      </c>
      <c r="AP175" s="182">
        <f t="shared" si="816"/>
        <v>-19968009.225264575</v>
      </c>
      <c r="AQ175" s="182">
        <f t="shared" si="816"/>
        <v>-12645407.88307035</v>
      </c>
      <c r="AR175" s="182">
        <f t="shared" si="816"/>
        <v>-18501015.752166893</v>
      </c>
      <c r="AS175" s="182">
        <f t="shared" si="816"/>
        <v>-17792741.893101469</v>
      </c>
      <c r="AT175" s="182">
        <f t="shared" si="816"/>
        <v>-15190935.598683387</v>
      </c>
      <c r="AU175" s="182">
        <f t="shared" si="816"/>
        <v>-11129575.9696358</v>
      </c>
      <c r="AV175" s="182">
        <f t="shared" si="816"/>
        <v>-3463183.1330153123</v>
      </c>
      <c r="AW175" s="182">
        <f t="shared" si="816"/>
        <v>-5591240.8484921716</v>
      </c>
      <c r="AX175" s="182">
        <f t="shared" si="816"/>
        <v>-1218138.5779804103</v>
      </c>
      <c r="AY175" s="182">
        <f t="shared" si="816"/>
        <v>2854377.3460242115</v>
      </c>
      <c r="AZ175" s="182">
        <f t="shared" si="816"/>
        <v>-434292.61960953102</v>
      </c>
      <c r="BA175" s="182">
        <f t="shared" si="816"/>
        <v>-6375447.2462459691</v>
      </c>
      <c r="BB175" s="182">
        <f t="shared" si="816"/>
        <v>-16053171.601441972</v>
      </c>
      <c r="BC175" s="182">
        <f t="shared" si="816"/>
        <v>-4653443.709500771</v>
      </c>
      <c r="BD175" s="182">
        <f t="shared" si="816"/>
        <v>-3173377.3898401484</v>
      </c>
      <c r="BE175" s="182">
        <f t="shared" si="816"/>
        <v>2303023.8559984937</v>
      </c>
      <c r="BF175" s="182">
        <f t="shared" si="816"/>
        <v>659116.50145463645</v>
      </c>
      <c r="BG175" s="182">
        <f t="shared" si="816"/>
        <v>-3271636.4661223441</v>
      </c>
      <c r="BH175" s="182">
        <f t="shared" si="816"/>
        <v>5524143.4633699954</v>
      </c>
      <c r="BI175" s="182">
        <f t="shared" si="816"/>
        <v>1247503.5533764511</v>
      </c>
      <c r="BJ175" s="182">
        <f t="shared" si="816"/>
        <v>-756765.04280078784</v>
      </c>
      <c r="BK175" s="182">
        <f t="shared" si="816"/>
        <v>3545114.5323084276</v>
      </c>
      <c r="BL175" s="182">
        <f t="shared" si="816"/>
        <v>516771.4184583202</v>
      </c>
      <c r="BM175" s="182">
        <f t="shared" si="816"/>
        <v>-2235807.5274792835</v>
      </c>
      <c r="BN175" s="182">
        <f t="shared" si="816"/>
        <v>-13101043.423342884</v>
      </c>
      <c r="BO175" s="182">
        <f t="shared" si="816"/>
        <v>7857212.1751490757</v>
      </c>
      <c r="BP175" s="182">
        <f t="shared" ref="BP175:CR175" si="817">BP167-BP170</f>
        <v>8522001.400719285</v>
      </c>
      <c r="BQ175" s="182">
        <f t="shared" si="817"/>
        <v>15355127.940422177</v>
      </c>
      <c r="BR175" s="182">
        <f t="shared" si="817"/>
        <v>16911366.027648743</v>
      </c>
      <c r="BS175" s="182">
        <f t="shared" si="817"/>
        <v>11739873.38335859</v>
      </c>
      <c r="BT175" s="182">
        <f t="shared" si="817"/>
        <v>14653422.156666704</v>
      </c>
      <c r="BU175" s="182">
        <f t="shared" si="817"/>
        <v>6604491.923062183</v>
      </c>
      <c r="BV175" s="182">
        <f t="shared" si="817"/>
        <v>4822423.676437147</v>
      </c>
      <c r="BW175" s="182">
        <f t="shared" si="817"/>
        <v>4762071.3213139251</v>
      </c>
      <c r="BX175" s="182">
        <f t="shared" si="817"/>
        <v>12139042.195131425</v>
      </c>
      <c r="BY175" s="182">
        <f t="shared" si="817"/>
        <v>2105709.6931546032</v>
      </c>
      <c r="BZ175" s="182">
        <f t="shared" si="817"/>
        <v>-3811250.9761576317</v>
      </c>
      <c r="CA175" s="182">
        <f t="shared" si="817"/>
        <v>15865207.136833526</v>
      </c>
      <c r="CB175" s="182">
        <f t="shared" si="817"/>
        <v>8186358.2091369405</v>
      </c>
      <c r="CC175" s="182">
        <f t="shared" si="817"/>
        <v>25501129.80849082</v>
      </c>
      <c r="CD175" s="182">
        <f t="shared" si="817"/>
        <v>28238979.00901752</v>
      </c>
      <c r="CE175" s="182">
        <f t="shared" si="817"/>
        <v>20597593.181982256</v>
      </c>
      <c r="CF175" s="182">
        <f t="shared" si="817"/>
        <v>37578382.270789988</v>
      </c>
      <c r="CG175" s="182">
        <f t="shared" si="817"/>
        <v>18491792.817864958</v>
      </c>
      <c r="CH175" s="182">
        <f t="shared" si="817"/>
        <v>16622774.408502053</v>
      </c>
      <c r="CI175" s="182">
        <f t="shared" si="817"/>
        <v>15925366.855150137</v>
      </c>
      <c r="CJ175" s="182">
        <f t="shared" si="817"/>
        <v>24772090.209484953</v>
      </c>
      <c r="CK175" s="182">
        <f t="shared" si="817"/>
        <v>12393041.301920339</v>
      </c>
      <c r="CL175" s="182">
        <f t="shared" si="817"/>
        <v>4989423.2579878494</v>
      </c>
      <c r="CM175" s="182">
        <f t="shared" si="817"/>
        <v>28255254.07412729</v>
      </c>
      <c r="CN175" s="182">
        <f t="shared" si="817"/>
        <v>18397428.721738901</v>
      </c>
      <c r="CO175" s="182">
        <f t="shared" si="817"/>
        <v>38580746.058444858</v>
      </c>
      <c r="CP175" s="182">
        <f t="shared" si="817"/>
        <v>41236988.803294152</v>
      </c>
      <c r="CQ175" s="182">
        <f t="shared" si="817"/>
        <v>31512602.110933017</v>
      </c>
      <c r="CR175" s="182">
        <f t="shared" si="817"/>
        <v>49848816.908055976</v>
      </c>
      <c r="CS175" s="182">
        <f t="shared" ref="CS175:DD175" si="818">CS167-CS170</f>
        <v>22898152.807285585</v>
      </c>
      <c r="CT175" s="182">
        <f t="shared" si="818"/>
        <v>20679358.023356482</v>
      </c>
      <c r="CU175" s="182">
        <f t="shared" si="818"/>
        <v>19817286.316270962</v>
      </c>
      <c r="CV175" s="182">
        <f t="shared" si="818"/>
        <v>29626077.898025207</v>
      </c>
      <c r="CW175" s="182">
        <f t="shared" si="818"/>
        <v>15672998.570975088</v>
      </c>
      <c r="CX175" s="182">
        <f t="shared" si="818"/>
        <v>7263100.8672421239</v>
      </c>
      <c r="CY175" s="182">
        <f t="shared" si="818"/>
        <v>33177781.224615745</v>
      </c>
      <c r="CZ175" s="182">
        <f t="shared" si="818"/>
        <v>22106257.799198821</v>
      </c>
      <c r="DA175" s="182">
        <f t="shared" si="818"/>
        <v>44561345.606760897</v>
      </c>
      <c r="DB175" s="182">
        <f t="shared" si="818"/>
        <v>47477069.296734698</v>
      </c>
      <c r="DC175" s="182">
        <f t="shared" si="818"/>
        <v>36560324.725069925</v>
      </c>
      <c r="DD175" s="182">
        <f t="shared" si="818"/>
        <v>56932567.528831147</v>
      </c>
      <c r="DF175" s="182">
        <f t="shared" ref="DF175" si="819">SUM(AK175:AM175)</f>
        <v>-46397174.174394004</v>
      </c>
      <c r="DG175" s="182">
        <f t="shared" ref="DG175" si="820">SUM(AN175:AP175)</f>
        <v>-47419576.082862318</v>
      </c>
      <c r="DH175" s="182">
        <f t="shared" ref="DH175" si="821">SUM(AQ175:AS175)</f>
        <v>-48939165.528338715</v>
      </c>
      <c r="DI175" s="182">
        <f t="shared" ref="DI175" si="822">SUM(AT175:AV175)</f>
        <v>-29783694.701334499</v>
      </c>
      <c r="DJ175" s="182">
        <f t="shared" ref="DJ175" si="823">SUM(AW175:AY175)</f>
        <v>-3955002.0804483704</v>
      </c>
      <c r="DK175" s="182">
        <f t="shared" ref="DK175" si="824">SUM(AZ175:BB175)</f>
        <v>-22862911.467297472</v>
      </c>
      <c r="DL175" s="182">
        <f t="shared" ref="DL175" si="825">SUM(BC175:BE175)</f>
        <v>-5523797.2433424257</v>
      </c>
      <c r="DM175" s="182">
        <f t="shared" ref="DM175" si="826">SUM(BF175:BH175)</f>
        <v>2911623.4987022877</v>
      </c>
      <c r="DN175" s="182">
        <f t="shared" ref="DN175" si="827">SUM(BI175:BK175)</f>
        <v>4035853.0428840909</v>
      </c>
      <c r="DO175" s="182">
        <f t="shared" ref="DO175" si="828">SUM(BL175:BN175)</f>
        <v>-14820079.532363847</v>
      </c>
      <c r="DP175" s="182">
        <f t="shared" ref="DP175" si="829">SUM(BO175:BQ175)</f>
        <v>31734341.516290538</v>
      </c>
      <c r="DQ175" s="182">
        <f t="shared" ref="DQ175" si="830">SUM(BR175:BT175)</f>
        <v>43304661.567674041</v>
      </c>
      <c r="DR175" s="182">
        <f t="shared" ref="DR175" si="831">SUM(BU175:BW175)</f>
        <v>16188986.920813255</v>
      </c>
      <c r="DS175" s="182">
        <f t="shared" ref="DS175" si="832">SUM(BX175:BZ175)</f>
        <v>10433500.912128396</v>
      </c>
      <c r="DT175" s="182">
        <f t="shared" ref="DT175" si="833">SUM(CA175:CC175)</f>
        <v>49552695.154461287</v>
      </c>
      <c r="DU175" s="182">
        <f t="shared" ref="DU175" si="834">SUM(CD175:CF175)</f>
        <v>86414954.461789757</v>
      </c>
      <c r="DV175" s="182">
        <f t="shared" ref="DV175" si="835">SUM(CG175:CI175)</f>
        <v>51039934.081517145</v>
      </c>
      <c r="DW175" s="182">
        <f t="shared" ref="DW175" si="836">SUM(CJ175:CL175)</f>
        <v>42154554.769393139</v>
      </c>
      <c r="DX175" s="182">
        <f t="shared" ref="DX175" si="837">SUM(CM175:CO175)</f>
        <v>85233428.854311049</v>
      </c>
      <c r="DY175" s="182">
        <f t="shared" ref="DY175" si="838">SUM(CP175:CR175)</f>
        <v>122598407.82228315</v>
      </c>
      <c r="DZ175" s="182">
        <f t="shared" si="587"/>
        <v>63394797.146913029</v>
      </c>
      <c r="EA175" s="182">
        <f t="shared" si="588"/>
        <v>52562177.336242422</v>
      </c>
      <c r="EB175" s="182">
        <f t="shared" si="589"/>
        <v>99845384.630575463</v>
      </c>
      <c r="EC175" s="182">
        <f t="shared" si="590"/>
        <v>140969961.55063578</v>
      </c>
      <c r="EE175" s="182">
        <f>SUM(DF175:DI175)</f>
        <v>-172539610.48692957</v>
      </c>
      <c r="EF175" s="182">
        <f>SUM(DJ175:DM175)</f>
        <v>-29430087.29238598</v>
      </c>
      <c r="EG175" s="182">
        <f>SUM(DN175:DQ175)</f>
        <v>64254776.594484821</v>
      </c>
      <c r="EH175" s="182">
        <f>SUM(DR175:DU175)</f>
        <v>162590137.4491927</v>
      </c>
      <c r="EI175" s="182">
        <f>SUM(DV175:DY175)</f>
        <v>301026325.52750444</v>
      </c>
      <c r="EJ175" s="816">
        <f t="shared" si="596"/>
        <v>356772320.66436672</v>
      </c>
    </row>
    <row r="176" spans="2:140" x14ac:dyDescent="0.2">
      <c r="B176" s="192" t="s">
        <v>213</v>
      </c>
      <c r="C176" s="166">
        <f>C175/C74</f>
        <v>-4.0271643826400208E-2</v>
      </c>
      <c r="D176" s="166">
        <f t="shared" ref="D176:BO176" si="839">D175/D74</f>
        <v>-2.2800050702813475E-3</v>
      </c>
      <c r="E176" s="166">
        <f t="shared" si="839"/>
        <v>-5.4583338199067521E-2</v>
      </c>
      <c r="F176" s="166">
        <f t="shared" si="839"/>
        <v>-7.1666556589671346E-2</v>
      </c>
      <c r="G176" s="166">
        <f t="shared" si="839"/>
        <v>-0.12675962239544031</v>
      </c>
      <c r="H176" s="166">
        <f t="shared" si="839"/>
        <v>-5.5545054193893877E-2</v>
      </c>
      <c r="I176" s="166">
        <f t="shared" si="839"/>
        <v>3.1149357098852835E-2</v>
      </c>
      <c r="J176" s="166">
        <f t="shared" si="839"/>
        <v>3.0396879649147657E-2</v>
      </c>
      <c r="K176" s="166">
        <f t="shared" si="839"/>
        <v>3.9895772727853204E-2</v>
      </c>
      <c r="L176" s="166">
        <f t="shared" si="839"/>
        <v>4.69361408990309E-2</v>
      </c>
      <c r="M176" s="166">
        <f t="shared" si="839"/>
        <v>-6.810636307539028E-2</v>
      </c>
      <c r="N176" s="166">
        <f t="shared" si="839"/>
        <v>-8.6642932103516301</v>
      </c>
      <c r="O176" s="166">
        <f t="shared" si="839"/>
        <v>-4.691014890210566E-2</v>
      </c>
      <c r="P176" s="166">
        <f t="shared" si="839"/>
        <v>-2.5063744953659844E-2</v>
      </c>
      <c r="Q176" s="166">
        <f t="shared" si="839"/>
        <v>-2.7527995489900099E-2</v>
      </c>
      <c r="R176" s="166">
        <f t="shared" si="839"/>
        <v>-2.7054176765867959E-2</v>
      </c>
      <c r="S176" s="166">
        <f t="shared" si="839"/>
        <v>-4.1987089568548804E-2</v>
      </c>
      <c r="T176" s="166">
        <f t="shared" si="839"/>
        <v>4.6186972415164049E-2</v>
      </c>
      <c r="U176" s="166">
        <f t="shared" si="839"/>
        <v>4.284539461505936E-2</v>
      </c>
      <c r="V176" s="166">
        <f t="shared" si="839"/>
        <v>9.3520957313959902E-3</v>
      </c>
      <c r="W176" s="166">
        <f t="shared" si="839"/>
        <v>2.7303724412351106E-2</v>
      </c>
      <c r="X176" s="166">
        <f t="shared" si="839"/>
        <v>9.2186332432158402E-3</v>
      </c>
      <c r="Y176" s="166">
        <f t="shared" si="839"/>
        <v>-1.5459849203155617E-2</v>
      </c>
      <c r="Z176" s="166">
        <f t="shared" si="839"/>
        <v>-1.5160975481467978E-2</v>
      </c>
      <c r="AA176" s="166">
        <f t="shared" si="839"/>
        <v>-5.8501666855973276E-3</v>
      </c>
      <c r="AB176" s="166">
        <f t="shared" si="839"/>
        <v>-1.2789707415195537E-2</v>
      </c>
      <c r="AC176" s="166">
        <f t="shared" si="839"/>
        <v>-4.7917577899028618E-2</v>
      </c>
      <c r="AD176" s="166">
        <f t="shared" si="839"/>
        <v>-9.4240913791180797E-2</v>
      </c>
      <c r="AE176" s="166">
        <f t="shared" si="839"/>
        <v>-6.7568810178022229E-2</v>
      </c>
      <c r="AF176" s="166">
        <f t="shared" si="839"/>
        <v>-5.8395885030844592E-2</v>
      </c>
      <c r="AG176" s="166">
        <f t="shared" si="839"/>
        <v>-2.4313753124804386E-2</v>
      </c>
      <c r="AH176" s="166">
        <f t="shared" si="839"/>
        <v>-1.2497818163118584E-2</v>
      </c>
      <c r="AI176" s="166">
        <f t="shared" si="839"/>
        <v>-6.5416916415352282E-3</v>
      </c>
      <c r="AJ176" s="166">
        <f t="shared" si="839"/>
        <v>1.1547476776162385E-2</v>
      </c>
      <c r="AK176" s="166">
        <f t="shared" si="839"/>
        <v>-5.8400932377720753E-2</v>
      </c>
      <c r="AL176" s="166">
        <f t="shared" si="839"/>
        <v>-4.5373868880361892E-2</v>
      </c>
      <c r="AM176" s="166">
        <f t="shared" si="839"/>
        <v>-3.7711125630424419E-2</v>
      </c>
      <c r="AN176" s="166">
        <f t="shared" si="839"/>
        <v>-4.7847407102192527E-2</v>
      </c>
      <c r="AO176" s="166">
        <f t="shared" si="839"/>
        <v>-4.6330601750869109E-2</v>
      </c>
      <c r="AP176" s="166">
        <f t="shared" si="839"/>
        <v>-7.2310930767255463E-2</v>
      </c>
      <c r="AQ176" s="166">
        <f t="shared" si="839"/>
        <v>-3.2292575958055653E-2</v>
      </c>
      <c r="AR176" s="166">
        <f t="shared" si="839"/>
        <v>-5.4265200854867184E-2</v>
      </c>
      <c r="AS176" s="166">
        <f t="shared" si="839"/>
        <v>-6.0289453212082685E-2</v>
      </c>
      <c r="AT176" s="166">
        <f t="shared" si="839"/>
        <v>-5.7172275298108484E-2</v>
      </c>
      <c r="AU176" s="166">
        <f t="shared" si="839"/>
        <v>-4.5732870691107146E-2</v>
      </c>
      <c r="AV176" s="166">
        <f t="shared" si="839"/>
        <v>-1.1817548461377204E-2</v>
      </c>
      <c r="AW176" s="166">
        <f t="shared" si="839"/>
        <v>-1.7987623588001142E-2</v>
      </c>
      <c r="AX176" s="166">
        <f t="shared" si="839"/>
        <v>-3.9080011047643391E-3</v>
      </c>
      <c r="AY176" s="166">
        <f t="shared" si="839"/>
        <v>8.5509694162934635E-3</v>
      </c>
      <c r="AZ176" s="166">
        <f t="shared" si="839"/>
        <v>-1.3740287642275749E-3</v>
      </c>
      <c r="BA176" s="166">
        <f t="shared" si="839"/>
        <v>-2.3692442835971321E-2</v>
      </c>
      <c r="BB176" s="166">
        <f t="shared" si="839"/>
        <v>-6.9273641117101686E-2</v>
      </c>
      <c r="BC176" s="166">
        <f t="shared" si="839"/>
        <v>-1.4198538941183045E-2</v>
      </c>
      <c r="BD176" s="166">
        <f t="shared" si="839"/>
        <v>-9.9225619626414872E-3</v>
      </c>
      <c r="BE176" s="166">
        <f t="shared" si="839"/>
        <v>6.0523951835160595E-3</v>
      </c>
      <c r="BF176" s="166">
        <f t="shared" si="839"/>
        <v>1.6840958728211518E-3</v>
      </c>
      <c r="BG176" s="166">
        <f t="shared" si="839"/>
        <v>-8.8483184046581898E-3</v>
      </c>
      <c r="BH176" s="166">
        <f t="shared" si="839"/>
        <v>1.2001163996961193E-2</v>
      </c>
      <c r="BI176" s="166">
        <f t="shared" si="839"/>
        <v>2.7946487342951696E-3</v>
      </c>
      <c r="BJ176" s="166">
        <f t="shared" si="839"/>
        <v>-1.7716878354390761E-3</v>
      </c>
      <c r="BK176" s="166">
        <f t="shared" si="839"/>
        <v>8.0810175460970177E-3</v>
      </c>
      <c r="BL176" s="166">
        <f t="shared" si="839"/>
        <v>1.0721353235815269E-3</v>
      </c>
      <c r="BM176" s="166">
        <f t="shared" si="839"/>
        <v>-5.4921020869706802E-3</v>
      </c>
      <c r="BN176" s="166">
        <f t="shared" si="839"/>
        <v>-3.4255860875600605E-2</v>
      </c>
      <c r="BO176" s="166">
        <f t="shared" si="839"/>
        <v>1.4089713515236139E-2</v>
      </c>
      <c r="BP176" s="166">
        <f t="shared" ref="BP176:EJ176" si="840">BP175/BP74</f>
        <v>1.70878630334074E-2</v>
      </c>
      <c r="BQ176" s="166">
        <f t="shared" si="840"/>
        <v>2.4632311162234112E-2</v>
      </c>
      <c r="BR176" s="166">
        <f t="shared" si="840"/>
        <v>2.5640743186008123E-2</v>
      </c>
      <c r="BS176" s="166">
        <f t="shared" si="840"/>
        <v>1.8380454705211283E-2</v>
      </c>
      <c r="BT176" s="166">
        <f t="shared" si="840"/>
        <v>1.9106848849695227E-2</v>
      </c>
      <c r="BU176" s="166">
        <f t="shared" si="840"/>
        <v>1.0320844688646033E-2</v>
      </c>
      <c r="BV176" s="166">
        <f t="shared" si="840"/>
        <v>7.6952810416221346E-3</v>
      </c>
      <c r="BW176" s="166">
        <f t="shared" si="840"/>
        <v>7.614848031624365E-3</v>
      </c>
      <c r="BX176" s="166">
        <f t="shared" si="840"/>
        <v>1.7925663621372472E-2</v>
      </c>
      <c r="BY176" s="166">
        <f t="shared" si="840"/>
        <v>3.4803216237419641E-3</v>
      </c>
      <c r="BZ176" s="166">
        <f t="shared" si="840"/>
        <v>-6.7836536196543232E-3</v>
      </c>
      <c r="CA176" s="166">
        <f t="shared" si="840"/>
        <v>2.2631406781676199E-2</v>
      </c>
      <c r="CB176" s="166">
        <f t="shared" si="840"/>
        <v>1.2680278472425413E-2</v>
      </c>
      <c r="CC176" s="166">
        <f t="shared" si="840"/>
        <v>3.3203835371220805E-2</v>
      </c>
      <c r="CD176" s="166">
        <f t="shared" si="840"/>
        <v>3.5887166586355504E-2</v>
      </c>
      <c r="CE176" s="166">
        <f t="shared" si="840"/>
        <v>2.8149553289748341E-2</v>
      </c>
      <c r="CF176" s="166">
        <f t="shared" si="840"/>
        <v>4.4148451196277028E-2</v>
      </c>
      <c r="CG176" s="166">
        <f t="shared" si="840"/>
        <v>2.3630491910963145E-2</v>
      </c>
      <c r="CH176" s="166">
        <f t="shared" si="840"/>
        <v>2.1636864122896751E-2</v>
      </c>
      <c r="CI176" s="166">
        <f t="shared" si="840"/>
        <v>2.0880993269421388E-2</v>
      </c>
      <c r="CJ176" s="166">
        <f t="shared" si="840"/>
        <v>3.0010461641440844E-2</v>
      </c>
      <c r="CK176" s="166">
        <f t="shared" si="840"/>
        <v>1.6840945185132052E-2</v>
      </c>
      <c r="CL176" s="166">
        <f t="shared" si="840"/>
        <v>7.3194242000592042E-3</v>
      </c>
      <c r="CM176" s="166">
        <f t="shared" si="840"/>
        <v>3.3318892848371445E-2</v>
      </c>
      <c r="CN176" s="166">
        <f t="shared" si="840"/>
        <v>2.3682995193214176E-2</v>
      </c>
      <c r="CO176" s="166">
        <f t="shared" si="840"/>
        <v>4.1885678557916556E-2</v>
      </c>
      <c r="CP176" s="166">
        <f t="shared" si="840"/>
        <v>4.387724384690906E-2</v>
      </c>
      <c r="CQ176" s="166">
        <f t="shared" si="840"/>
        <v>3.6238987624724286E-2</v>
      </c>
      <c r="CR176" s="166">
        <f t="shared" si="840"/>
        <v>4.9817793725658428E-2</v>
      </c>
      <c r="CS176" s="166">
        <f t="shared" ref="CS176:DD176" si="841">CS175/CS74</f>
        <v>2.5680894655119128E-2</v>
      </c>
      <c r="CT176" s="166">
        <f t="shared" si="841"/>
        <v>2.3647115755550556E-2</v>
      </c>
      <c r="CU176" s="166">
        <f t="shared" si="841"/>
        <v>2.2841999174375221E-2</v>
      </c>
      <c r="CV176" s="166">
        <f t="shared" si="841"/>
        <v>3.1561389265186181E-2</v>
      </c>
      <c r="CW176" s="166">
        <f t="shared" si="841"/>
        <v>1.8753310377505345E-2</v>
      </c>
      <c r="CX176" s="166">
        <f t="shared" si="841"/>
        <v>9.3956182885117246E-3</v>
      </c>
      <c r="CY176" s="166">
        <f t="shared" si="841"/>
        <v>3.4481478520558335E-2</v>
      </c>
      <c r="CZ176" s="166">
        <f t="shared" si="841"/>
        <v>2.510275253312098E-2</v>
      </c>
      <c r="DA176" s="166">
        <f t="shared" si="841"/>
        <v>4.266294161940138E-2</v>
      </c>
      <c r="DB176" s="166">
        <f t="shared" si="841"/>
        <v>4.4558149642667168E-2</v>
      </c>
      <c r="DC176" s="166">
        <f t="shared" si="841"/>
        <v>3.7114097666504579E-2</v>
      </c>
      <c r="DD176" s="166">
        <f t="shared" si="841"/>
        <v>5.0217576530713744E-2</v>
      </c>
      <c r="DF176" s="166">
        <f t="shared" si="840"/>
        <v>-4.7030391738005592E-2</v>
      </c>
      <c r="DG176" s="166">
        <f t="shared" si="840"/>
        <v>-5.5194791766672649E-2</v>
      </c>
      <c r="DH176" s="166">
        <f t="shared" si="840"/>
        <v>-4.7622513324825741E-2</v>
      </c>
      <c r="DI176" s="166">
        <f t="shared" si="840"/>
        <v>-3.7131248480566974E-2</v>
      </c>
      <c r="DJ176" s="166">
        <f t="shared" si="840"/>
        <v>-4.135519933950272E-3</v>
      </c>
      <c r="DK176" s="166">
        <f t="shared" si="840"/>
        <v>-2.7987402141112915E-2</v>
      </c>
      <c r="DL176" s="166">
        <f t="shared" si="840"/>
        <v>-5.372978809462887E-3</v>
      </c>
      <c r="DM176" s="166">
        <f t="shared" si="840"/>
        <v>2.3837934652176204E-3</v>
      </c>
      <c r="DN176" s="166">
        <f t="shared" si="840"/>
        <v>3.0755678309183714E-3</v>
      </c>
      <c r="DO176" s="166">
        <f t="shared" si="840"/>
        <v>-1.1655185489190398E-2</v>
      </c>
      <c r="DP176" s="166">
        <f t="shared" si="840"/>
        <v>1.8892345753843517E-2</v>
      </c>
      <c r="DQ176" s="166">
        <f t="shared" si="840"/>
        <v>2.0968896923897206E-2</v>
      </c>
      <c r="DR176" s="166">
        <f t="shared" si="840"/>
        <v>8.5567406665395564E-3</v>
      </c>
      <c r="DS176" s="166">
        <f t="shared" si="840"/>
        <v>5.6579285351227573E-3</v>
      </c>
      <c r="DT176" s="166">
        <f t="shared" si="840"/>
        <v>2.3433143650873633E-2</v>
      </c>
      <c r="DU176" s="166">
        <f t="shared" si="840"/>
        <v>3.6465317249548455E-2</v>
      </c>
      <c r="DV176" s="166">
        <f t="shared" si="840"/>
        <v>2.2062030016271435E-2</v>
      </c>
      <c r="DW176" s="166">
        <f t="shared" si="840"/>
        <v>1.8793786942417935E-2</v>
      </c>
      <c r="DX176" s="166">
        <f t="shared" si="840"/>
        <v>3.3478156257372972E-2</v>
      </c>
      <c r="DY176" s="166">
        <f t="shared" si="840"/>
        <v>4.3628916926624101E-2</v>
      </c>
      <c r="DZ176" s="166">
        <f t="shared" si="840"/>
        <v>2.4070432414070166E-2</v>
      </c>
      <c r="EA176" s="166">
        <f t="shared" si="840"/>
        <v>2.0633191920727496E-2</v>
      </c>
      <c r="EB176" s="166">
        <f t="shared" si="840"/>
        <v>3.4580644659794491E-2</v>
      </c>
      <c r="EC176" s="166">
        <f t="shared" si="840"/>
        <v>4.427024169593767E-2</v>
      </c>
      <c r="ED176" s="806"/>
      <c r="EE176" s="166">
        <f t="shared" si="840"/>
        <v>-4.6944004555967485E-2</v>
      </c>
      <c r="EF176" s="166">
        <f t="shared" si="840"/>
        <v>-7.315924010360882E-3</v>
      </c>
      <c r="EG176" s="166">
        <f t="shared" si="840"/>
        <v>1.0152909840041559E-2</v>
      </c>
      <c r="EH176" s="166">
        <f t="shared" si="840"/>
        <v>1.977878028869208E-2</v>
      </c>
      <c r="EI176" s="166">
        <f t="shared" si="840"/>
        <v>3.0368518612534555E-2</v>
      </c>
      <c r="EJ176" s="166">
        <f t="shared" si="840"/>
        <v>3.1705194834971404E-2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9D3E-66EB-4655-AECA-238F1CA96CE4}">
  <sheetPr>
    <tabColor theme="7" tint="0.59999389629810485"/>
  </sheetPr>
  <dimension ref="B2:FA162"/>
  <sheetViews>
    <sheetView showGridLines="0" zoomScale="107" zoomScaleNormal="110" workbookViewId="0">
      <pane xSplit="2" ySplit="2" topLeftCell="CG3" activePane="bottomRight" state="frozen"/>
      <selection activeCell="B3" sqref="B3"/>
      <selection pane="topRight" activeCell="B3" sqref="B3"/>
      <selection pane="bottomLeft" activeCell="B3" sqref="B3"/>
      <selection pane="bottomRight" activeCell="CL8" sqref="CL8"/>
    </sheetView>
  </sheetViews>
  <sheetFormatPr baseColWidth="10" defaultColWidth="8.6640625" defaultRowHeight="15" x14ac:dyDescent="0.2"/>
  <cols>
    <col min="1" max="1" width="1.6640625" style="113" customWidth="1"/>
    <col min="2" max="2" width="33.6640625" style="113" bestFit="1" customWidth="1"/>
    <col min="3" max="125" width="15.83203125" style="113" customWidth="1"/>
    <col min="126" max="126" width="8.6640625" style="113"/>
    <col min="127" max="150" width="20.1640625" style="113" customWidth="1"/>
    <col min="151" max="151" width="8.6640625" style="113"/>
    <col min="152" max="157" width="20.83203125" style="113" customWidth="1"/>
    <col min="158" max="16384" width="8.6640625" style="113"/>
  </cols>
  <sheetData>
    <row r="2" spans="2:157" x14ac:dyDescent="0.2">
      <c r="B2" s="112" t="s">
        <v>131</v>
      </c>
      <c r="C2" s="111">
        <v>43466</v>
      </c>
      <c r="D2" s="111">
        <v>43497</v>
      </c>
      <c r="E2" s="111">
        <v>43525</v>
      </c>
      <c r="F2" s="111">
        <v>43556</v>
      </c>
      <c r="G2" s="111">
        <v>43586</v>
      </c>
      <c r="H2" s="111">
        <v>43617</v>
      </c>
      <c r="I2" s="111">
        <v>43647</v>
      </c>
      <c r="J2" s="111">
        <f t="shared" ref="J2:BK2" si="0">I2+31</f>
        <v>43678</v>
      </c>
      <c r="K2" s="111">
        <f t="shared" si="0"/>
        <v>43709</v>
      </c>
      <c r="L2" s="111">
        <f t="shared" si="0"/>
        <v>43740</v>
      </c>
      <c r="M2" s="111">
        <f t="shared" si="0"/>
        <v>43771</v>
      </c>
      <c r="N2" s="111">
        <f t="shared" si="0"/>
        <v>43802</v>
      </c>
      <c r="O2" s="111">
        <f t="shared" si="0"/>
        <v>43833</v>
      </c>
      <c r="P2" s="111">
        <f t="shared" si="0"/>
        <v>43864</v>
      </c>
      <c r="Q2" s="111">
        <f t="shared" si="0"/>
        <v>43895</v>
      </c>
      <c r="R2" s="111">
        <f t="shared" si="0"/>
        <v>43926</v>
      </c>
      <c r="S2" s="111">
        <f t="shared" si="0"/>
        <v>43957</v>
      </c>
      <c r="T2" s="111">
        <f t="shared" si="0"/>
        <v>43988</v>
      </c>
      <c r="U2" s="111">
        <f t="shared" si="0"/>
        <v>44019</v>
      </c>
      <c r="V2" s="111">
        <f t="shared" si="0"/>
        <v>44050</v>
      </c>
      <c r="W2" s="111">
        <f t="shared" si="0"/>
        <v>44081</v>
      </c>
      <c r="X2" s="111">
        <f t="shared" si="0"/>
        <v>44112</v>
      </c>
      <c r="Y2" s="111">
        <f t="shared" si="0"/>
        <v>44143</v>
      </c>
      <c r="Z2" s="111">
        <f t="shared" si="0"/>
        <v>44174</v>
      </c>
      <c r="AA2" s="111">
        <f t="shared" si="0"/>
        <v>44205</v>
      </c>
      <c r="AB2" s="111">
        <f t="shared" si="0"/>
        <v>44236</v>
      </c>
      <c r="AC2" s="111">
        <f t="shared" si="0"/>
        <v>44267</v>
      </c>
      <c r="AD2" s="111">
        <f t="shared" si="0"/>
        <v>44298</v>
      </c>
      <c r="AE2" s="111">
        <f t="shared" si="0"/>
        <v>44329</v>
      </c>
      <c r="AF2" s="111">
        <f t="shared" si="0"/>
        <v>44360</v>
      </c>
      <c r="AG2" s="111">
        <f t="shared" si="0"/>
        <v>44391</v>
      </c>
      <c r="AH2" s="111">
        <f t="shared" si="0"/>
        <v>44422</v>
      </c>
      <c r="AI2" s="111">
        <f t="shared" si="0"/>
        <v>44453</v>
      </c>
      <c r="AJ2" s="111">
        <f t="shared" si="0"/>
        <v>44484</v>
      </c>
      <c r="AK2" s="111">
        <f t="shared" si="0"/>
        <v>44515</v>
      </c>
      <c r="AL2" s="111">
        <f t="shared" si="0"/>
        <v>44546</v>
      </c>
      <c r="AM2" s="111">
        <f t="shared" si="0"/>
        <v>44577</v>
      </c>
      <c r="AN2" s="111">
        <f t="shared" si="0"/>
        <v>44608</v>
      </c>
      <c r="AO2" s="111">
        <f t="shared" si="0"/>
        <v>44639</v>
      </c>
      <c r="AP2" s="111">
        <f t="shared" si="0"/>
        <v>44670</v>
      </c>
      <c r="AQ2" s="111">
        <f t="shared" si="0"/>
        <v>44701</v>
      </c>
      <c r="AR2" s="111">
        <f t="shared" si="0"/>
        <v>44732</v>
      </c>
      <c r="AS2" s="111">
        <f t="shared" si="0"/>
        <v>44763</v>
      </c>
      <c r="AT2" s="111">
        <f t="shared" si="0"/>
        <v>44794</v>
      </c>
      <c r="AU2" s="111">
        <f t="shared" si="0"/>
        <v>44825</v>
      </c>
      <c r="AV2" s="111">
        <f t="shared" si="0"/>
        <v>44856</v>
      </c>
      <c r="AW2" s="111">
        <f t="shared" si="0"/>
        <v>44887</v>
      </c>
      <c r="AX2" s="111">
        <f t="shared" si="0"/>
        <v>44918</v>
      </c>
      <c r="AY2" s="111">
        <f t="shared" si="0"/>
        <v>44949</v>
      </c>
      <c r="AZ2" s="111">
        <f t="shared" si="0"/>
        <v>44980</v>
      </c>
      <c r="BA2" s="111">
        <f t="shared" si="0"/>
        <v>45011</v>
      </c>
      <c r="BB2" s="111">
        <f t="shared" si="0"/>
        <v>45042</v>
      </c>
      <c r="BC2" s="111">
        <f t="shared" si="0"/>
        <v>45073</v>
      </c>
      <c r="BD2" s="111">
        <f t="shared" si="0"/>
        <v>45104</v>
      </c>
      <c r="BE2" s="111">
        <f t="shared" si="0"/>
        <v>45135</v>
      </c>
      <c r="BF2" s="111">
        <f t="shared" si="0"/>
        <v>45166</v>
      </c>
      <c r="BG2" s="111">
        <f t="shared" si="0"/>
        <v>45197</v>
      </c>
      <c r="BH2" s="111">
        <f t="shared" si="0"/>
        <v>45228</v>
      </c>
      <c r="BI2" s="111">
        <f t="shared" si="0"/>
        <v>45259</v>
      </c>
      <c r="BJ2" s="111">
        <f t="shared" si="0"/>
        <v>45290</v>
      </c>
      <c r="BK2" s="111">
        <f t="shared" si="0"/>
        <v>45321</v>
      </c>
      <c r="BL2" s="111">
        <f t="shared" ref="BL2:DU2" si="1">BK2+30</f>
        <v>45351</v>
      </c>
      <c r="BM2" s="111">
        <f t="shared" si="1"/>
        <v>45381</v>
      </c>
      <c r="BN2" s="111">
        <f t="shared" si="1"/>
        <v>45411</v>
      </c>
      <c r="BO2" s="111">
        <f t="shared" si="1"/>
        <v>45441</v>
      </c>
      <c r="BP2" s="111">
        <f t="shared" si="1"/>
        <v>45471</v>
      </c>
      <c r="BQ2" s="111">
        <f t="shared" si="1"/>
        <v>45501</v>
      </c>
      <c r="BR2" s="111">
        <f t="shared" si="1"/>
        <v>45531</v>
      </c>
      <c r="BS2" s="111">
        <f t="shared" si="1"/>
        <v>45561</v>
      </c>
      <c r="BT2" s="111">
        <f t="shared" si="1"/>
        <v>45591</v>
      </c>
      <c r="BU2" s="111">
        <f t="shared" si="1"/>
        <v>45621</v>
      </c>
      <c r="BV2" s="111">
        <f t="shared" si="1"/>
        <v>45651</v>
      </c>
      <c r="BW2" s="111">
        <f t="shared" si="1"/>
        <v>45681</v>
      </c>
      <c r="BX2" s="111">
        <f t="shared" si="1"/>
        <v>45711</v>
      </c>
      <c r="BY2" s="111">
        <f t="shared" si="1"/>
        <v>45741</v>
      </c>
      <c r="BZ2" s="111">
        <f t="shared" si="1"/>
        <v>45771</v>
      </c>
      <c r="CA2" s="111">
        <f t="shared" si="1"/>
        <v>45801</v>
      </c>
      <c r="CB2" s="111">
        <f t="shared" si="1"/>
        <v>45831</v>
      </c>
      <c r="CC2" s="111">
        <f t="shared" si="1"/>
        <v>45861</v>
      </c>
      <c r="CD2" s="111">
        <f t="shared" si="1"/>
        <v>45891</v>
      </c>
      <c r="CE2" s="111">
        <f t="shared" si="1"/>
        <v>45921</v>
      </c>
      <c r="CF2" s="111">
        <f t="shared" si="1"/>
        <v>45951</v>
      </c>
      <c r="CG2" s="111">
        <f t="shared" si="1"/>
        <v>45981</v>
      </c>
      <c r="CH2" s="111">
        <f t="shared" si="1"/>
        <v>46011</v>
      </c>
      <c r="CI2" s="111">
        <f t="shared" si="1"/>
        <v>46041</v>
      </c>
      <c r="CJ2" s="111">
        <f t="shared" si="1"/>
        <v>46071</v>
      </c>
      <c r="CK2" s="111">
        <f t="shared" si="1"/>
        <v>46101</v>
      </c>
      <c r="CL2" s="111">
        <f t="shared" si="1"/>
        <v>46131</v>
      </c>
      <c r="CM2" s="111">
        <f t="shared" si="1"/>
        <v>46161</v>
      </c>
      <c r="CN2" s="111">
        <f t="shared" si="1"/>
        <v>46191</v>
      </c>
      <c r="CO2" s="111">
        <f t="shared" si="1"/>
        <v>46221</v>
      </c>
      <c r="CP2" s="111">
        <f t="shared" si="1"/>
        <v>46251</v>
      </c>
      <c r="CQ2" s="111">
        <f t="shared" si="1"/>
        <v>46281</v>
      </c>
      <c r="CR2" s="111">
        <f t="shared" si="1"/>
        <v>46311</v>
      </c>
      <c r="CS2" s="111">
        <f t="shared" si="1"/>
        <v>46341</v>
      </c>
      <c r="CT2" s="111">
        <f t="shared" si="1"/>
        <v>46371</v>
      </c>
      <c r="CU2" s="111">
        <f t="shared" si="1"/>
        <v>46401</v>
      </c>
      <c r="CV2" s="111">
        <f t="shared" si="1"/>
        <v>46431</v>
      </c>
      <c r="CW2" s="111">
        <f t="shared" si="1"/>
        <v>46461</v>
      </c>
      <c r="CX2" s="111">
        <f t="shared" si="1"/>
        <v>46491</v>
      </c>
      <c r="CY2" s="111">
        <f t="shared" si="1"/>
        <v>46521</v>
      </c>
      <c r="CZ2" s="111">
        <f t="shared" si="1"/>
        <v>46551</v>
      </c>
      <c r="DA2" s="111">
        <f t="shared" si="1"/>
        <v>46581</v>
      </c>
      <c r="DB2" s="111">
        <f t="shared" si="1"/>
        <v>46611</v>
      </c>
      <c r="DC2" s="111">
        <f t="shared" si="1"/>
        <v>46641</v>
      </c>
      <c r="DD2" s="111">
        <f t="shared" si="1"/>
        <v>46671</v>
      </c>
      <c r="DE2" s="111">
        <f t="shared" si="1"/>
        <v>46701</v>
      </c>
      <c r="DF2" s="111">
        <f t="shared" si="1"/>
        <v>46731</v>
      </c>
      <c r="DG2" s="111">
        <f t="shared" si="1"/>
        <v>46761</v>
      </c>
      <c r="DH2" s="111">
        <f t="shared" si="1"/>
        <v>46791</v>
      </c>
      <c r="DI2" s="111">
        <f t="shared" si="1"/>
        <v>46821</v>
      </c>
      <c r="DJ2" s="111">
        <f t="shared" si="1"/>
        <v>46851</v>
      </c>
      <c r="DK2" s="111">
        <f t="shared" si="1"/>
        <v>46881</v>
      </c>
      <c r="DL2" s="111">
        <f t="shared" si="1"/>
        <v>46911</v>
      </c>
      <c r="DM2" s="111">
        <f t="shared" si="1"/>
        <v>46941</v>
      </c>
      <c r="DN2" s="111">
        <f t="shared" si="1"/>
        <v>46971</v>
      </c>
      <c r="DO2" s="111">
        <f t="shared" si="1"/>
        <v>47001</v>
      </c>
      <c r="DP2" s="111">
        <f t="shared" si="1"/>
        <v>47031</v>
      </c>
      <c r="DQ2" s="111">
        <f t="shared" si="1"/>
        <v>47061</v>
      </c>
      <c r="DR2" s="111">
        <f t="shared" si="1"/>
        <v>47091</v>
      </c>
      <c r="DS2" s="111">
        <f t="shared" si="1"/>
        <v>47121</v>
      </c>
      <c r="DT2" s="111">
        <f t="shared" si="1"/>
        <v>47151</v>
      </c>
      <c r="DU2" s="111">
        <f t="shared" si="1"/>
        <v>47181</v>
      </c>
      <c r="DV2" s="39"/>
      <c r="DW2" s="111" t="s">
        <v>77</v>
      </c>
      <c r="DX2" s="675" t="s">
        <v>78</v>
      </c>
      <c r="DY2" s="111" t="s">
        <v>79</v>
      </c>
      <c r="DZ2" s="111" t="s">
        <v>80</v>
      </c>
      <c r="EA2" s="111" t="s">
        <v>81</v>
      </c>
      <c r="EB2" s="111" t="s">
        <v>82</v>
      </c>
      <c r="EC2" s="111" t="s">
        <v>83</v>
      </c>
      <c r="ED2" s="111" t="s">
        <v>84</v>
      </c>
      <c r="EE2" s="111" t="s">
        <v>85</v>
      </c>
      <c r="EF2" s="111" t="s">
        <v>86</v>
      </c>
      <c r="EG2" s="111" t="s">
        <v>87</v>
      </c>
      <c r="EH2" s="111" t="s">
        <v>88</v>
      </c>
      <c r="EI2" s="111" t="s">
        <v>117</v>
      </c>
      <c r="EJ2" s="111" t="s">
        <v>118</v>
      </c>
      <c r="EK2" s="111" t="s">
        <v>119</v>
      </c>
      <c r="EL2" s="111" t="s">
        <v>120</v>
      </c>
      <c r="EM2" s="111" t="s">
        <v>121</v>
      </c>
      <c r="EN2" s="111" t="s">
        <v>122</v>
      </c>
      <c r="EO2" s="643" t="s">
        <v>123</v>
      </c>
      <c r="EP2" s="111" t="s">
        <v>124</v>
      </c>
      <c r="EQ2" s="111" t="s">
        <v>583</v>
      </c>
      <c r="ER2" s="111" t="s">
        <v>584</v>
      </c>
      <c r="ES2" s="111" t="s">
        <v>585</v>
      </c>
      <c r="ET2" s="111" t="s">
        <v>581</v>
      </c>
      <c r="EU2" s="60"/>
      <c r="EV2" s="111" t="s">
        <v>486</v>
      </c>
      <c r="EW2" s="111" t="s">
        <v>128</v>
      </c>
      <c r="EX2" s="111" t="s">
        <v>125</v>
      </c>
      <c r="EY2" s="111" t="s">
        <v>126</v>
      </c>
      <c r="EZ2" s="111" t="s">
        <v>127</v>
      </c>
      <c r="FA2" s="111" t="s">
        <v>582</v>
      </c>
    </row>
    <row r="3" spans="2:157" x14ac:dyDescent="0.2">
      <c r="B3" s="61" t="s">
        <v>2</v>
      </c>
      <c r="C3" s="61">
        <f t="shared" ref="C3:BF3" si="2">SUM(C4:C5)</f>
        <v>590804.63071428565</v>
      </c>
      <c r="D3" s="61">
        <f t="shared" si="2"/>
        <v>3765480.3707142859</v>
      </c>
      <c r="E3" s="61">
        <f t="shared" si="2"/>
        <v>20372817.199285716</v>
      </c>
      <c r="F3" s="61">
        <f t="shared" si="2"/>
        <v>26331762.631428573</v>
      </c>
      <c r="G3" s="61">
        <f t="shared" si="2"/>
        <v>28979750.864642859</v>
      </c>
      <c r="H3" s="61">
        <f t="shared" si="2"/>
        <v>20037428.975000001</v>
      </c>
      <c r="I3" s="61">
        <f t="shared" si="2"/>
        <v>39843556.579642855</v>
      </c>
      <c r="J3" s="61">
        <f t="shared" si="2"/>
        <v>26529236.465714287</v>
      </c>
      <c r="K3" s="61">
        <f t="shared" si="2"/>
        <v>41731558.912857145</v>
      </c>
      <c r="L3" s="61">
        <f t="shared" si="2"/>
        <v>34579467.400357142</v>
      </c>
      <c r="M3" s="61">
        <f t="shared" si="2"/>
        <v>14310639.342857143</v>
      </c>
      <c r="N3" s="61">
        <f t="shared" si="2"/>
        <v>19194474.905357141</v>
      </c>
      <c r="O3" s="61">
        <f t="shared" si="2"/>
        <v>27559547.121071428</v>
      </c>
      <c r="P3" s="61">
        <f t="shared" si="2"/>
        <v>24073865.376428571</v>
      </c>
      <c r="Q3" s="61">
        <f t="shared" si="2"/>
        <v>21898913.805357143</v>
      </c>
      <c r="R3" s="61">
        <f t="shared" si="2"/>
        <v>0</v>
      </c>
      <c r="S3" s="61">
        <f t="shared" si="2"/>
        <v>26448165.739152543</v>
      </c>
      <c r="T3" s="61">
        <f t="shared" si="2"/>
        <v>21427418.026000001</v>
      </c>
      <c r="U3" s="61">
        <f t="shared" si="2"/>
        <v>14451598</v>
      </c>
      <c r="V3" s="61">
        <f t="shared" si="2"/>
        <v>13976624.02</v>
      </c>
      <c r="W3" s="61">
        <f t="shared" si="2"/>
        <v>17198803.025999997</v>
      </c>
      <c r="X3" s="61">
        <f t="shared" si="2"/>
        <v>29977510.026000001</v>
      </c>
      <c r="Y3" s="61">
        <f t="shared" si="2"/>
        <v>23482672</v>
      </c>
      <c r="Z3" s="61">
        <f t="shared" si="2"/>
        <v>37602094.950000003</v>
      </c>
      <c r="AA3" s="61">
        <f t="shared" si="2"/>
        <v>51027456.450000003</v>
      </c>
      <c r="AB3" s="61">
        <f t="shared" si="2"/>
        <v>34941666</v>
      </c>
      <c r="AC3" s="61">
        <f t="shared" si="2"/>
        <v>39703152</v>
      </c>
      <c r="AD3" s="61">
        <f t="shared" si="2"/>
        <v>27181836.079999998</v>
      </c>
      <c r="AE3" s="61">
        <f t="shared" si="2"/>
        <v>15422768.899999997</v>
      </c>
      <c r="AF3" s="61">
        <f t="shared" si="2"/>
        <v>22663955.899999991</v>
      </c>
      <c r="AG3" s="61">
        <f t="shared" si="2"/>
        <v>21224141</v>
      </c>
      <c r="AH3" s="61">
        <f t="shared" si="2"/>
        <v>12739590</v>
      </c>
      <c r="AI3" s="61">
        <f t="shared" si="2"/>
        <v>15609635</v>
      </c>
      <c r="AJ3" s="61">
        <f t="shared" si="2"/>
        <v>23186713</v>
      </c>
      <c r="AK3" s="61">
        <f t="shared" si="2"/>
        <v>47294129</v>
      </c>
      <c r="AL3" s="61">
        <f t="shared" si="2"/>
        <v>63914193</v>
      </c>
      <c r="AM3" s="61">
        <f t="shared" si="2"/>
        <v>69656889</v>
      </c>
      <c r="AN3" s="61">
        <f t="shared" si="2"/>
        <v>58890647</v>
      </c>
      <c r="AO3" s="61">
        <f t="shared" si="2"/>
        <v>39800955.399999999</v>
      </c>
      <c r="AP3" s="61">
        <f t="shared" si="2"/>
        <v>28946004.209999993</v>
      </c>
      <c r="AQ3" s="61">
        <f t="shared" si="2"/>
        <v>41128733.179999992</v>
      </c>
      <c r="AR3" s="61">
        <f t="shared" si="2"/>
        <v>61224145.060000002</v>
      </c>
      <c r="AS3" s="61">
        <f t="shared" si="2"/>
        <v>62155013.400000401</v>
      </c>
      <c r="AT3" s="61">
        <f t="shared" si="2"/>
        <v>49288291.220000073</v>
      </c>
      <c r="AU3" s="61">
        <f t="shared" si="2"/>
        <v>66069308.580000088</v>
      </c>
      <c r="AV3" s="61">
        <f t="shared" si="2"/>
        <v>98030780.550000161</v>
      </c>
      <c r="AW3" s="61">
        <f t="shared" si="2"/>
        <v>93276680.109999999</v>
      </c>
      <c r="AX3" s="61">
        <f t="shared" si="2"/>
        <v>91650372.090000212</v>
      </c>
      <c r="AY3" s="61">
        <f t="shared" si="2"/>
        <v>89341205.750000358</v>
      </c>
      <c r="AZ3" s="61">
        <f t="shared" si="2"/>
        <v>122456019.92000024</v>
      </c>
      <c r="BA3" s="61">
        <f t="shared" si="2"/>
        <v>228795374.60000095</v>
      </c>
      <c r="BB3" s="61">
        <f t="shared" si="2"/>
        <v>252174853.04230279</v>
      </c>
      <c r="BC3" s="61">
        <f t="shared" si="2"/>
        <v>223961114.9779605</v>
      </c>
      <c r="BD3" s="61">
        <f t="shared" si="2"/>
        <v>254596340.13318229</v>
      </c>
      <c r="BE3" s="61">
        <f t="shared" si="2"/>
        <v>218694752.89905122</v>
      </c>
      <c r="BF3" s="61">
        <f t="shared" si="2"/>
        <v>222556498.25425178</v>
      </c>
      <c r="BG3" s="61">
        <f t="shared" ref="BG3:DR3" si="3">SUM(BG4:BG5)</f>
        <v>255759965.27878931</v>
      </c>
      <c r="BH3" s="61">
        <f t="shared" si="3"/>
        <v>387371877.53215408</v>
      </c>
      <c r="BI3" s="61">
        <f t="shared" si="3"/>
        <v>302891530.21127993</v>
      </c>
      <c r="BJ3" s="61">
        <f t="shared" si="3"/>
        <v>272757893.06306797</v>
      </c>
      <c r="BK3" s="61">
        <f t="shared" si="3"/>
        <v>278091728.85167193</v>
      </c>
      <c r="BL3" s="61">
        <f t="shared" si="3"/>
        <v>231852458</v>
      </c>
      <c r="BM3" s="61">
        <f t="shared" si="3"/>
        <v>278533560.31716239</v>
      </c>
      <c r="BN3" s="61">
        <f t="shared" si="3"/>
        <v>275363218.8877117</v>
      </c>
      <c r="BO3" s="61">
        <f t="shared" si="3"/>
        <v>298185179.29365683</v>
      </c>
      <c r="BP3" s="61">
        <f t="shared" si="3"/>
        <v>305543953.87704253</v>
      </c>
      <c r="BQ3" s="61">
        <f t="shared" si="3"/>
        <v>321805524.56689703</v>
      </c>
      <c r="BR3" s="61">
        <f t="shared" si="3"/>
        <v>312831578.98424667</v>
      </c>
      <c r="BS3" s="61">
        <f t="shared" si="3"/>
        <v>322902748.88117516</v>
      </c>
      <c r="BT3" s="61">
        <f t="shared" si="3"/>
        <v>328284149.9342829</v>
      </c>
      <c r="BU3" s="61">
        <f t="shared" si="3"/>
        <v>301372361.33225411</v>
      </c>
      <c r="BV3" s="61">
        <f t="shared" si="3"/>
        <v>340051005.91368407</v>
      </c>
      <c r="BW3" s="61">
        <f t="shared" si="3"/>
        <v>389801836.33157235</v>
      </c>
      <c r="BX3" s="61">
        <f t="shared" si="3"/>
        <v>377296304.1417616</v>
      </c>
      <c r="BY3" s="61">
        <f t="shared" si="3"/>
        <v>511408792.90617436</v>
      </c>
      <c r="BZ3" s="61">
        <f t="shared" si="3"/>
        <v>463859744.50764561</v>
      </c>
      <c r="CA3" s="61">
        <f t="shared" si="3"/>
        <v>463692851.46933931</v>
      </c>
      <c r="CB3" s="61">
        <f t="shared" si="3"/>
        <v>457837690.40383381</v>
      </c>
      <c r="CC3" s="61">
        <f t="shared" si="3"/>
        <v>465130672.15745705</v>
      </c>
      <c r="CD3" s="61">
        <f t="shared" si="3"/>
        <v>422840430</v>
      </c>
      <c r="CE3" s="61">
        <f t="shared" si="3"/>
        <v>451918104.03670436</v>
      </c>
      <c r="CF3" s="61">
        <f t="shared" si="3"/>
        <v>464918845.62749183</v>
      </c>
      <c r="CG3" s="61">
        <f t="shared" si="3"/>
        <v>448242146.97059989</v>
      </c>
      <c r="CH3" s="61">
        <f t="shared" si="3"/>
        <v>527734280.64499974</v>
      </c>
      <c r="CI3" s="61">
        <f t="shared" si="3"/>
        <v>577401974.45063937</v>
      </c>
      <c r="CJ3" s="61">
        <f t="shared" si="3"/>
        <v>476815410.4677586</v>
      </c>
      <c r="CK3" s="61">
        <f t="shared" si="3"/>
        <v>548884954.49144971</v>
      </c>
      <c r="CL3" s="61">
        <f t="shared" si="3"/>
        <v>518628007.2790212</v>
      </c>
      <c r="CM3" s="61">
        <f t="shared" si="3"/>
        <v>523906425.41995186</v>
      </c>
      <c r="CN3" s="61">
        <f t="shared" si="3"/>
        <v>523531626.49870235</v>
      </c>
      <c r="CO3" s="61">
        <f t="shared" si="3"/>
        <v>531433637.08837974</v>
      </c>
      <c r="CP3" s="61">
        <f t="shared" si="3"/>
        <v>500762592.03279406</v>
      </c>
      <c r="CQ3" s="61">
        <f t="shared" si="3"/>
        <v>547799856.64960861</v>
      </c>
      <c r="CR3" s="61">
        <f t="shared" si="3"/>
        <v>532651733.58244061</v>
      </c>
      <c r="CS3" s="61">
        <f t="shared" si="3"/>
        <v>533901063.31993902</v>
      </c>
      <c r="CT3" s="61">
        <f t="shared" si="3"/>
        <v>655367147.0482204</v>
      </c>
      <c r="CU3" s="61">
        <f t="shared" si="3"/>
        <v>706152400.87753022</v>
      </c>
      <c r="CV3" s="61">
        <f t="shared" si="3"/>
        <v>605393957.54828465</v>
      </c>
      <c r="CW3" s="61">
        <f t="shared" si="3"/>
        <v>654180283.79759693</v>
      </c>
      <c r="CX3" s="61">
        <f t="shared" si="3"/>
        <v>614314874.62200058</v>
      </c>
      <c r="CY3" s="61">
        <f t="shared" si="3"/>
        <v>620567160.90993297</v>
      </c>
      <c r="CZ3" s="61">
        <f t="shared" si="3"/>
        <v>620123211.587713</v>
      </c>
      <c r="DA3" s="61">
        <f t="shared" si="3"/>
        <v>629483143.13118577</v>
      </c>
      <c r="DB3" s="61">
        <f t="shared" si="3"/>
        <v>593153290.26284456</v>
      </c>
      <c r="DC3" s="61">
        <f t="shared" si="3"/>
        <v>648868930.20146143</v>
      </c>
      <c r="DD3" s="61">
        <f t="shared" si="3"/>
        <v>630925978.42840087</v>
      </c>
      <c r="DE3" s="61">
        <f t="shared" si="3"/>
        <v>632405809.50246775</v>
      </c>
      <c r="DF3" s="61">
        <f t="shared" si="3"/>
        <v>776282385.67861712</v>
      </c>
      <c r="DG3" s="61">
        <f t="shared" si="3"/>
        <v>836437518.8394345</v>
      </c>
      <c r="DH3" s="61">
        <f t="shared" si="3"/>
        <v>717089142.7159431</v>
      </c>
      <c r="DI3" s="61">
        <f t="shared" si="3"/>
        <v>774876546.15825355</v>
      </c>
      <c r="DJ3" s="61">
        <f t="shared" si="3"/>
        <v>727655968.98975968</v>
      </c>
      <c r="DK3" s="61">
        <f t="shared" si="3"/>
        <v>735061802.09781563</v>
      </c>
      <c r="DL3" s="61">
        <f t="shared" si="3"/>
        <v>734535944.125646</v>
      </c>
      <c r="DM3" s="61">
        <f t="shared" si="3"/>
        <v>745622783.03888953</v>
      </c>
      <c r="DN3" s="61">
        <f t="shared" si="3"/>
        <v>702590072.31633937</v>
      </c>
      <c r="DO3" s="61">
        <f t="shared" si="3"/>
        <v>768585247.82363105</v>
      </c>
      <c r="DP3" s="61">
        <f t="shared" si="3"/>
        <v>747331821.44844079</v>
      </c>
      <c r="DQ3" s="61">
        <f t="shared" si="3"/>
        <v>749084681.35567296</v>
      </c>
      <c r="DR3" s="61">
        <f t="shared" si="3"/>
        <v>919506485.83632195</v>
      </c>
      <c r="DS3" s="61">
        <f t="shared" ref="DS3:DU3" si="4">SUM(DS4:DS5)</f>
        <v>990760241.06531012</v>
      </c>
      <c r="DT3" s="61">
        <f t="shared" si="4"/>
        <v>849392089.5470345</v>
      </c>
      <c r="DU3" s="61">
        <f t="shared" si="4"/>
        <v>917841268.92445123</v>
      </c>
      <c r="DW3" s="625">
        <f>SUM(BB3:BD3)</f>
        <v>730732308.1534456</v>
      </c>
      <c r="DX3" s="61">
        <f>SUM(BE3:BG3)</f>
        <v>697011216.43209231</v>
      </c>
      <c r="DY3" s="61">
        <f>SUM(BH3:BJ3)</f>
        <v>963021300.80650187</v>
      </c>
      <c r="DZ3" s="61">
        <f>SUM(BK3:BM3)</f>
        <v>788477747.16883433</v>
      </c>
      <c r="EA3" s="61">
        <f>SUM(BN3:BP3)</f>
        <v>879092352.05841112</v>
      </c>
      <c r="EB3" s="61">
        <f>SUM(BQ3:BS3)</f>
        <v>957539852.43231881</v>
      </c>
      <c r="EC3" s="61">
        <f>SUM(BT3:BV3)</f>
        <v>969707517.18022108</v>
      </c>
      <c r="ED3" s="61">
        <f>SUM(BW3:BY3)</f>
        <v>1278506933.3795083</v>
      </c>
      <c r="EE3" s="61">
        <f>SUM(BZ3:CB3)</f>
        <v>1385390286.3808188</v>
      </c>
      <c r="EF3" s="61">
        <f>SUM(CC3:CE3)</f>
        <v>1339889206.1941614</v>
      </c>
      <c r="EG3" s="61">
        <f>SUM(CF3:CH3)</f>
        <v>1440895273.2430916</v>
      </c>
      <c r="EH3" s="61">
        <f>SUM(CI3:CK3)</f>
        <v>1603102339.4098477</v>
      </c>
      <c r="EI3" s="61">
        <f>SUM(CL3:CN3)</f>
        <v>1566066059.1976755</v>
      </c>
      <c r="EJ3" s="61">
        <f>SUM(CO3:CQ3)</f>
        <v>1579996085.7707825</v>
      </c>
      <c r="EK3" s="61">
        <f>SUM(CR3:CT3)</f>
        <v>1721919943.9506001</v>
      </c>
      <c r="EL3" s="61">
        <f>SUM(CU3:CW3)</f>
        <v>1965726642.2234118</v>
      </c>
      <c r="EM3" s="61">
        <f>SUM(CX3:CZ3)</f>
        <v>1855005247.1196465</v>
      </c>
      <c r="EN3" s="61">
        <f>SUM(DA3:DC3)</f>
        <v>1871505363.5954919</v>
      </c>
      <c r="EO3" s="614">
        <f>SUM(DD3:DF3)</f>
        <v>2039614173.6094856</v>
      </c>
      <c r="EP3" s="625">
        <f>SUM(DG3:DI3)</f>
        <v>2328403207.7136312</v>
      </c>
      <c r="EQ3" s="674">
        <f>SUM(DJ3:DL3)</f>
        <v>2197253715.2132215</v>
      </c>
      <c r="ER3" s="674">
        <f>SUM(DM3:DO3)</f>
        <v>2216798103.1788597</v>
      </c>
      <c r="ES3" s="674">
        <f>SUM(DP3:DR3)</f>
        <v>2415922988.6404357</v>
      </c>
      <c r="ET3" s="674">
        <f>SUM(DS3:DU3)</f>
        <v>2757993599.5367961</v>
      </c>
      <c r="EV3" s="676">
        <f>SUM(DW3:DZ3)</f>
        <v>3179242572.560874</v>
      </c>
      <c r="EW3" s="672">
        <f>SUM(EA3:ED3)</f>
        <v>4084846655.0504589</v>
      </c>
      <c r="EX3" s="672">
        <f>SUM(EE3:EH3)</f>
        <v>5769277105.2279196</v>
      </c>
      <c r="EY3" s="672">
        <f>SUM(EI3:EL3)</f>
        <v>6833708731.1424694</v>
      </c>
      <c r="EZ3" s="672">
        <f>SUM(EM3:EP3)</f>
        <v>8094527992.0382557</v>
      </c>
      <c r="FA3" s="677">
        <f>SUM(EQ3:ET3)</f>
        <v>9587968406.569313</v>
      </c>
    </row>
    <row r="4" spans="2:157" x14ac:dyDescent="0.2">
      <c r="B4" s="114" t="s">
        <v>132</v>
      </c>
      <c r="C4" s="129">
        <f>'P&amp;L - Inputs'!K151</f>
        <v>0</v>
      </c>
      <c r="D4" s="129">
        <f>'P&amp;L - Inputs'!L151</f>
        <v>0</v>
      </c>
      <c r="E4" s="129">
        <f>'P&amp;L - Inputs'!M151</f>
        <v>0</v>
      </c>
      <c r="F4" s="129">
        <f>'P&amp;L - Inputs'!N151</f>
        <v>0</v>
      </c>
      <c r="G4" s="129">
        <f>'P&amp;L - Inputs'!O151</f>
        <v>0</v>
      </c>
      <c r="H4" s="129">
        <f>'P&amp;L - Inputs'!P151</f>
        <v>0</v>
      </c>
      <c r="I4" s="129">
        <f>'P&amp;L - Inputs'!Q151</f>
        <v>0</v>
      </c>
      <c r="J4" s="129">
        <f>'P&amp;L - Inputs'!R151</f>
        <v>0</v>
      </c>
      <c r="K4" s="129">
        <f>'P&amp;L - Inputs'!S151</f>
        <v>0</v>
      </c>
      <c r="L4" s="129">
        <f>'P&amp;L - Inputs'!T151</f>
        <v>0</v>
      </c>
      <c r="M4" s="129">
        <f>'P&amp;L - Inputs'!U151</f>
        <v>0</v>
      </c>
      <c r="N4" s="129">
        <f>'P&amp;L - Inputs'!V151</f>
        <v>0</v>
      </c>
      <c r="O4" s="129">
        <f>'P&amp;L - Inputs'!W151</f>
        <v>0</v>
      </c>
      <c r="P4" s="129">
        <f>'P&amp;L - Inputs'!X151</f>
        <v>0</v>
      </c>
      <c r="Q4" s="129">
        <f>'P&amp;L - Inputs'!Y151</f>
        <v>0</v>
      </c>
      <c r="R4" s="129">
        <f>'P&amp;L - Inputs'!Z151</f>
        <v>0</v>
      </c>
      <c r="S4" s="129">
        <f>'P&amp;L - Inputs'!AA151</f>
        <v>957075</v>
      </c>
      <c r="T4" s="129">
        <f>'P&amp;L - Inputs'!AB151</f>
        <v>1103510.0260000001</v>
      </c>
      <c r="U4" s="129">
        <f>'P&amp;L - Inputs'!AC151</f>
        <v>546932</v>
      </c>
      <c r="V4" s="129">
        <f>'P&amp;L - Inputs'!AD151</f>
        <v>577549.02</v>
      </c>
      <c r="W4" s="129">
        <f>'P&amp;L - Inputs'!AE151</f>
        <v>1008846.026</v>
      </c>
      <c r="X4" s="129">
        <f>'P&amp;L - Inputs'!AF151</f>
        <v>1579837.0260000001</v>
      </c>
      <c r="Y4" s="129">
        <f>'P&amp;L - Inputs'!AG151</f>
        <v>875375.05</v>
      </c>
      <c r="Z4" s="129">
        <f>'P&amp;L - Inputs'!AH151</f>
        <v>5354947</v>
      </c>
      <c r="AA4" s="129">
        <f>'P&amp;L - Inputs'!AI151</f>
        <v>4242332</v>
      </c>
      <c r="AB4" s="129">
        <f>'P&amp;L - Inputs'!AJ151</f>
        <v>3772001</v>
      </c>
      <c r="AC4" s="129">
        <f>'P&amp;L - Inputs'!AK151</f>
        <v>5552748</v>
      </c>
      <c r="AD4" s="129">
        <f>'P&amp;L - Inputs'!AL151</f>
        <v>3836476.0799999996</v>
      </c>
      <c r="AE4" s="129">
        <f>'P&amp;L - Inputs'!AM151</f>
        <v>3785723.8999999966</v>
      </c>
      <c r="AF4" s="129">
        <f>'P&amp;L - Inputs'!AN151</f>
        <v>5138666.8999999901</v>
      </c>
      <c r="AG4" s="129">
        <f>'P&amp;L - Inputs'!AO151</f>
        <v>5903505</v>
      </c>
      <c r="AH4" s="129">
        <f>'P&amp;L - Inputs'!AP151</f>
        <v>5544390</v>
      </c>
      <c r="AI4" s="129">
        <f>'P&amp;L - Inputs'!AQ151</f>
        <v>6845178</v>
      </c>
      <c r="AJ4" s="129">
        <f>'P&amp;L - Inputs'!AR151</f>
        <v>4449624</v>
      </c>
      <c r="AK4" s="129">
        <f>'P&amp;L - Inputs'!AS151</f>
        <v>14431400</v>
      </c>
      <c r="AL4" s="129">
        <f>'P&amp;L - Inputs'!AT151</f>
        <v>16368535</v>
      </c>
      <c r="AM4" s="129">
        <f>'P&amp;L - Inputs'!AU151</f>
        <v>24919559</v>
      </c>
      <c r="AN4" s="129">
        <f>'P&amp;L - Inputs'!AV151</f>
        <v>27842886</v>
      </c>
      <c r="AO4" s="129">
        <f>'P&amp;L - Inputs'!AW151</f>
        <v>29713649.399999999</v>
      </c>
      <c r="AP4" s="129">
        <f>'P&amp;L - Inputs'!AX151</f>
        <v>24104799.209999993</v>
      </c>
      <c r="AQ4" s="129">
        <f>'P&amp;L - Inputs'!AY151</f>
        <v>28258584.179999996</v>
      </c>
      <c r="AR4" s="129">
        <f>'P&amp;L - Inputs'!AZ151</f>
        <v>53877372.060000002</v>
      </c>
      <c r="AS4" s="129">
        <f>'P&amp;L - Inputs'!BA151</f>
        <v>52522425.400000401</v>
      </c>
      <c r="AT4" s="129">
        <f>'P&amp;L - Inputs'!BB151</f>
        <v>41784984.220000073</v>
      </c>
      <c r="AU4" s="129">
        <f>'P&amp;L - Inputs'!BC151</f>
        <v>47330406.580000088</v>
      </c>
      <c r="AV4" s="129">
        <f>'P&amp;L - Inputs'!BD151</f>
        <v>71201176.050000161</v>
      </c>
      <c r="AW4" s="129">
        <f>'P&amp;L - Inputs'!BE151</f>
        <v>58230592.109999999</v>
      </c>
      <c r="AX4" s="129">
        <f>'P&amp;L - Inputs'!BF151</f>
        <v>62072809.040000208</v>
      </c>
      <c r="AY4" s="129">
        <f>'P&amp;L - Inputs'!BG151</f>
        <v>68883437.750000358</v>
      </c>
      <c r="AZ4" s="129">
        <f>'P&amp;L - Inputs'!BH151</f>
        <v>96146013.92000024</v>
      </c>
      <c r="BA4" s="129">
        <f>'P&amp;L - Inputs'!BI151</f>
        <v>189086761.60000095</v>
      </c>
      <c r="BB4" s="129">
        <f>'P&amp;L - Inputs'!BJ151</f>
        <v>229232773.04230279</v>
      </c>
      <c r="BC4" s="129">
        <f>'P&amp;L - Inputs'!BK151</f>
        <v>223961114.9779605</v>
      </c>
      <c r="BD4" s="129">
        <f>'P&amp;L - Inputs'!BL151</f>
        <v>254596340.13318229</v>
      </c>
      <c r="BE4" s="129">
        <f>'P&amp;L - Inputs'!BM151</f>
        <v>218694752.89905122</v>
      </c>
      <c r="BF4" s="129">
        <f>'P&amp;L - Inputs'!BN151</f>
        <v>222556498.25425178</v>
      </c>
      <c r="BG4" s="129">
        <f>'P&amp;L - Inputs'!BO151</f>
        <v>255759965.27878931</v>
      </c>
      <c r="BH4" s="129">
        <f>'P&amp;L - Inputs'!BP151</f>
        <v>387371877.53215408</v>
      </c>
      <c r="BI4" s="129">
        <f>'P&amp;L - Inputs'!BQ151</f>
        <v>302891530.21127993</v>
      </c>
      <c r="BJ4" s="129">
        <f>'P&amp;L - Inputs'!BR151</f>
        <v>272757893.06306797</v>
      </c>
      <c r="BK4" s="129">
        <f>'P&amp;L - Inputs'!BS151</f>
        <v>278091728.85167193</v>
      </c>
      <c r="BL4" s="129">
        <f>'P&amp;L - Inputs'!BT151</f>
        <v>231852458</v>
      </c>
      <c r="BM4" s="129">
        <f>'P&amp;L - Inputs'!BU151</f>
        <v>278533560.31716239</v>
      </c>
      <c r="BN4" s="129">
        <f>'P&amp;L - Inputs'!BV151</f>
        <v>275363218.8877117</v>
      </c>
      <c r="BO4" s="129">
        <f>'P&amp;L - Inputs'!BW151</f>
        <v>298185179.29365683</v>
      </c>
      <c r="BP4" s="129">
        <f>'P&amp;L - Inputs'!BX151</f>
        <v>305543953.87704253</v>
      </c>
      <c r="BQ4" s="129">
        <f>'P&amp;L - Inputs'!BY151</f>
        <v>321805524.56689703</v>
      </c>
      <c r="BR4" s="129">
        <f>'P&amp;L - Inputs'!BZ151</f>
        <v>312831578.98424667</v>
      </c>
      <c r="BS4" s="129">
        <f>'P&amp;L - Inputs'!CA151</f>
        <v>322902748.88117516</v>
      </c>
      <c r="BT4" s="129">
        <f>'P&amp;L - Inputs'!CB151</f>
        <v>328284149.9342829</v>
      </c>
      <c r="BU4" s="129">
        <f>'P&amp;L - Inputs'!CC151</f>
        <v>301372361.33225411</v>
      </c>
      <c r="BV4" s="129">
        <f>'P&amp;L - Inputs'!CD151</f>
        <v>340051005.91368407</v>
      </c>
      <c r="BW4" s="129">
        <f>'P&amp;L - Inputs'!CE151</f>
        <v>389801836.33157235</v>
      </c>
      <c r="BX4" s="129">
        <f>'P&amp;L - Inputs'!CF151</f>
        <v>377296304.1417616</v>
      </c>
      <c r="BY4" s="129">
        <f>'P&amp;L - Inputs'!CG151</f>
        <v>511408792.90617436</v>
      </c>
      <c r="BZ4" s="129">
        <f>'P&amp;L - Inputs'!CH151</f>
        <v>463859744.50764561</v>
      </c>
      <c r="CA4" s="129">
        <f>'P&amp;L - Inputs'!CI151</f>
        <v>463692851.46933931</v>
      </c>
      <c r="CB4" s="129">
        <f>'P&amp;L - Inputs'!CJ151</f>
        <v>457837690.40383381</v>
      </c>
      <c r="CC4" s="129">
        <f>'P&amp;L - Inputs'!CK151</f>
        <v>465130672.15745705</v>
      </c>
      <c r="CD4" s="129">
        <f>'P&amp;L - Inputs'!CL151</f>
        <v>422840430</v>
      </c>
      <c r="CE4" s="129">
        <f>'P&amp;L - Inputs'!CM151</f>
        <v>451918104.03670436</v>
      </c>
      <c r="CF4" s="129">
        <f>'P&amp;L - Inputs'!CN151</f>
        <v>464918845.62749183</v>
      </c>
      <c r="CG4" s="129">
        <f>'P&amp;L - Inputs'!CO151</f>
        <v>448242146.97059989</v>
      </c>
      <c r="CH4" s="129">
        <f>'P&amp;L - Inputs'!CP151</f>
        <v>527734280.64499974</v>
      </c>
      <c r="CI4" s="129">
        <f>'P&amp;L - Inputs'!CQ151</f>
        <v>577401974.45063937</v>
      </c>
      <c r="CJ4" s="129">
        <f>'P&amp;L - Inputs'!CR151</f>
        <v>476815410.4677586</v>
      </c>
      <c r="CK4" s="129">
        <f>'P&amp;L - Inputs'!CS151</f>
        <v>548884954.49144971</v>
      </c>
      <c r="CL4" s="129">
        <f>'P&amp;L - Inputs'!CT151</f>
        <v>518628007.2790212</v>
      </c>
      <c r="CM4" s="129">
        <f>'P&amp;L - Inputs'!CU151</f>
        <v>523906425.41995186</v>
      </c>
      <c r="CN4" s="129">
        <f>'P&amp;L - Inputs'!CV151</f>
        <v>523531626.49870235</v>
      </c>
      <c r="CO4" s="129">
        <f>'P&amp;L - Inputs'!CW151</f>
        <v>531433637.08837974</v>
      </c>
      <c r="CP4" s="129">
        <f>'P&amp;L - Inputs'!CX151</f>
        <v>500762592.03279406</v>
      </c>
      <c r="CQ4" s="129">
        <f>'P&amp;L - Inputs'!CY151</f>
        <v>547799856.64960861</v>
      </c>
      <c r="CR4" s="129">
        <f>'P&amp;L - Inputs'!CZ151</f>
        <v>532651733.58244061</v>
      </c>
      <c r="CS4" s="129">
        <f>'P&amp;L - Inputs'!DA151</f>
        <v>533901063.31993902</v>
      </c>
      <c r="CT4" s="129">
        <f>'P&amp;L - Inputs'!DB151</f>
        <v>655367147.0482204</v>
      </c>
      <c r="CU4" s="129">
        <f>'P&amp;L - Inputs'!DC151</f>
        <v>706152400.87753022</v>
      </c>
      <c r="CV4" s="129">
        <f>'P&amp;L - Inputs'!DD151</f>
        <v>605393957.54828465</v>
      </c>
      <c r="CW4" s="129">
        <f>'P&amp;L - Inputs'!DE151</f>
        <v>654180283.79759693</v>
      </c>
      <c r="CX4" s="129">
        <f>'P&amp;L - Inputs'!DF151</f>
        <v>614314874.62200058</v>
      </c>
      <c r="CY4" s="129">
        <f>'P&amp;L - Inputs'!DG151</f>
        <v>620567160.90993297</v>
      </c>
      <c r="CZ4" s="129">
        <f>'P&amp;L - Inputs'!DH151</f>
        <v>620123211.587713</v>
      </c>
      <c r="DA4" s="129">
        <f>'P&amp;L - Inputs'!DI151</f>
        <v>629483143.13118577</v>
      </c>
      <c r="DB4" s="129">
        <f>'P&amp;L - Inputs'!DJ151</f>
        <v>593153290.26284456</v>
      </c>
      <c r="DC4" s="129">
        <f>'P&amp;L - Inputs'!DK151</f>
        <v>648868930.20146143</v>
      </c>
      <c r="DD4" s="129">
        <f>'P&amp;L - Inputs'!DL151</f>
        <v>630925978.42840087</v>
      </c>
      <c r="DE4" s="129">
        <f>'P&amp;L - Inputs'!DM151</f>
        <v>632405809.50246775</v>
      </c>
      <c r="DF4" s="129">
        <f>'P&amp;L - Inputs'!DN151</f>
        <v>776282385.67861712</v>
      </c>
      <c r="DG4" s="129">
        <f>'P&amp;L - Inputs'!DO151</f>
        <v>836437518.8394345</v>
      </c>
      <c r="DH4" s="129">
        <f>'P&amp;L - Inputs'!DP151</f>
        <v>717089142.7159431</v>
      </c>
      <c r="DI4" s="129">
        <f>'P&amp;L - Inputs'!DQ151</f>
        <v>774876546.15825355</v>
      </c>
      <c r="DJ4" s="129">
        <f>'P&amp;L - Inputs'!DR151</f>
        <v>727655968.98975968</v>
      </c>
      <c r="DK4" s="129">
        <f>'P&amp;L - Inputs'!DS151</f>
        <v>735061802.09781563</v>
      </c>
      <c r="DL4" s="129">
        <f>'P&amp;L - Inputs'!DT151</f>
        <v>734535944.125646</v>
      </c>
      <c r="DM4" s="129">
        <f>'P&amp;L - Inputs'!DU151</f>
        <v>745622783.03888953</v>
      </c>
      <c r="DN4" s="129">
        <f>'P&amp;L - Inputs'!DV151</f>
        <v>702590072.31633937</v>
      </c>
      <c r="DO4" s="129">
        <f>'P&amp;L - Inputs'!DW151</f>
        <v>768585247.82363105</v>
      </c>
      <c r="DP4" s="129">
        <f>'P&amp;L - Inputs'!DX151</f>
        <v>747331821.44844079</v>
      </c>
      <c r="DQ4" s="129">
        <f>'P&amp;L - Inputs'!DY151</f>
        <v>749084681.35567296</v>
      </c>
      <c r="DR4" s="129">
        <f>'P&amp;L - Inputs'!DZ151</f>
        <v>919506485.83632195</v>
      </c>
      <c r="DS4" s="129">
        <f>'P&amp;L - Inputs'!EA151</f>
        <v>990760241.06531012</v>
      </c>
      <c r="DT4" s="129">
        <f>'P&amp;L - Inputs'!EB151</f>
        <v>849392089.5470345</v>
      </c>
      <c r="DU4" s="129">
        <f>'P&amp;L - Inputs'!EC151</f>
        <v>917841268.92445123</v>
      </c>
      <c r="DW4" s="129">
        <f>SUM(BB4:BD4)</f>
        <v>707790228.1534456</v>
      </c>
      <c r="DX4" s="663">
        <f>SUM(BE4:BG4)</f>
        <v>697011216.43209231</v>
      </c>
      <c r="DY4" s="129">
        <f>SUM(BH4:BJ4)</f>
        <v>963021300.80650187</v>
      </c>
      <c r="DZ4" s="129">
        <f>SUM(BK4:BM4)</f>
        <v>788477747.16883433</v>
      </c>
      <c r="EA4" s="129">
        <f>SUM(BN4:BP4)</f>
        <v>879092352.05841112</v>
      </c>
      <c r="EB4" s="129">
        <f>SUM(BQ4:BS4)</f>
        <v>957539852.43231881</v>
      </c>
      <c r="EC4" s="129">
        <f>SUM(BT4:BV4)</f>
        <v>969707517.18022108</v>
      </c>
      <c r="ED4" s="129">
        <f>SUM(BW4:BY4)</f>
        <v>1278506933.3795083</v>
      </c>
      <c r="EE4" s="129">
        <f>SUM(BZ4:CB4)</f>
        <v>1385390286.3808188</v>
      </c>
      <c r="EF4" s="129">
        <f>SUM(CC4:CE4)</f>
        <v>1339889206.1941614</v>
      </c>
      <c r="EG4" s="129">
        <f>SUM(CF4:CH4)</f>
        <v>1440895273.2430916</v>
      </c>
      <c r="EH4" s="129">
        <f>SUM(CI4:CK4)</f>
        <v>1603102339.4098477</v>
      </c>
      <c r="EI4" s="129">
        <f>SUM(CL4:CN4)</f>
        <v>1566066059.1976755</v>
      </c>
      <c r="EJ4" s="129">
        <f>SUM(CO4:CQ4)</f>
        <v>1579996085.7707825</v>
      </c>
      <c r="EK4" s="129">
        <f>SUM(CR4:CT4)</f>
        <v>1721919943.9506001</v>
      </c>
      <c r="EL4" s="129">
        <f>SUM(CU4:CW4)</f>
        <v>1965726642.2234118</v>
      </c>
      <c r="EM4" s="129">
        <f>SUM(CX4:CZ4)</f>
        <v>1855005247.1196465</v>
      </c>
      <c r="EN4" s="129">
        <f>SUM(DA4:DC4)</f>
        <v>1871505363.5954919</v>
      </c>
      <c r="EO4" s="644">
        <f>SUM(DD4:DF4)</f>
        <v>2039614173.6094856</v>
      </c>
      <c r="EP4" s="129">
        <f>SUM(DG4:DI4)</f>
        <v>2328403207.7136312</v>
      </c>
      <c r="EQ4" s="129">
        <f t="shared" ref="EQ4:EQ30" si="5">SUM(DJ4:DL4)</f>
        <v>2197253715.2132215</v>
      </c>
      <c r="ER4" s="129">
        <f t="shared" ref="ER4:ER30" si="6">SUM(DM4:DO4)</f>
        <v>2216798103.1788597</v>
      </c>
      <c r="ES4" s="129">
        <f t="shared" ref="ES4:ES30" si="7">SUM(DP4:DR4)</f>
        <v>2415922988.6404357</v>
      </c>
      <c r="ET4" s="129">
        <f t="shared" ref="ET4:ET30" si="8">SUM(DS4:DU4)</f>
        <v>2757993599.5367961</v>
      </c>
      <c r="EV4" s="129">
        <f t="shared" ref="EV4:EV30" si="9">SUM(DW4:DZ4)</f>
        <v>3156300492.560874</v>
      </c>
      <c r="EW4" s="129">
        <f t="shared" ref="EW4:EW30" si="10">SUM(EA4:ED4)</f>
        <v>4084846655.0504589</v>
      </c>
      <c r="EX4" s="129">
        <f t="shared" ref="EX4:EX30" si="11">SUM(EE4:EH4)</f>
        <v>5769277105.2279196</v>
      </c>
      <c r="EY4" s="129">
        <f t="shared" ref="EY4:EY30" si="12">SUM(EI4:EL4)</f>
        <v>6833708731.1424694</v>
      </c>
      <c r="EZ4" s="129">
        <f t="shared" ref="EZ4:EZ30" si="13">SUM(EM4:EP4)</f>
        <v>8094527992.0382557</v>
      </c>
      <c r="FA4" s="663">
        <f t="shared" ref="FA4:FA8" si="14">SUM(EQ4:ET4)</f>
        <v>9587968406.569313</v>
      </c>
    </row>
    <row r="5" spans="2:157" x14ac:dyDescent="0.2">
      <c r="B5" s="114" t="s">
        <v>133</v>
      </c>
      <c r="C5" s="129">
        <f>'P&amp;L - Inputs'!K152</f>
        <v>590804.63071428565</v>
      </c>
      <c r="D5" s="129">
        <f>'P&amp;L - Inputs'!L152</f>
        <v>3765480.3707142859</v>
      </c>
      <c r="E5" s="129">
        <f>'P&amp;L - Inputs'!M152</f>
        <v>20372817.199285716</v>
      </c>
      <c r="F5" s="129">
        <f>'P&amp;L - Inputs'!N152</f>
        <v>26331762.631428573</v>
      </c>
      <c r="G5" s="129">
        <f>'P&amp;L - Inputs'!O152</f>
        <v>28979750.864642859</v>
      </c>
      <c r="H5" s="129">
        <f>'P&amp;L - Inputs'!P152</f>
        <v>20037428.975000001</v>
      </c>
      <c r="I5" s="129">
        <f>'P&amp;L - Inputs'!Q152</f>
        <v>39843556.579642855</v>
      </c>
      <c r="J5" s="129">
        <f>'P&amp;L - Inputs'!R152</f>
        <v>26529236.465714287</v>
      </c>
      <c r="K5" s="129">
        <f>'P&amp;L - Inputs'!S152</f>
        <v>41731558.912857145</v>
      </c>
      <c r="L5" s="129">
        <f>'P&amp;L - Inputs'!T152</f>
        <v>34579467.400357142</v>
      </c>
      <c r="M5" s="129">
        <f>'P&amp;L - Inputs'!U152</f>
        <v>14310639.342857143</v>
      </c>
      <c r="N5" s="129">
        <f>'P&amp;L - Inputs'!V152</f>
        <v>19194474.905357141</v>
      </c>
      <c r="O5" s="129">
        <f>'P&amp;L - Inputs'!W152</f>
        <v>27559547.121071428</v>
      </c>
      <c r="P5" s="129">
        <f>'P&amp;L - Inputs'!X152</f>
        <v>24073865.376428571</v>
      </c>
      <c r="Q5" s="129">
        <f>'P&amp;L - Inputs'!Y152</f>
        <v>21898913.805357143</v>
      </c>
      <c r="R5" s="129">
        <f>'P&amp;L - Inputs'!Z152</f>
        <v>0</v>
      </c>
      <c r="S5" s="129">
        <f>'P&amp;L - Inputs'!AA152</f>
        <v>25491090.739152543</v>
      </c>
      <c r="T5" s="129">
        <f>'P&amp;L - Inputs'!AB152</f>
        <v>20323908</v>
      </c>
      <c r="U5" s="129">
        <f>'P&amp;L - Inputs'!AC152</f>
        <v>13904666</v>
      </c>
      <c r="V5" s="129">
        <f>'P&amp;L - Inputs'!AD152</f>
        <v>13399075</v>
      </c>
      <c r="W5" s="129">
        <f>'P&amp;L - Inputs'!AE152</f>
        <v>16189956.999999998</v>
      </c>
      <c r="X5" s="129">
        <f>'P&amp;L - Inputs'!AF152</f>
        <v>28397673</v>
      </c>
      <c r="Y5" s="129">
        <f>'P&amp;L - Inputs'!AG152</f>
        <v>22607296.949999999</v>
      </c>
      <c r="Z5" s="129">
        <f>'P&amp;L - Inputs'!AH152</f>
        <v>32247147.950000003</v>
      </c>
      <c r="AA5" s="129">
        <f>'P&amp;L - Inputs'!AI152</f>
        <v>46785124.450000003</v>
      </c>
      <c r="AB5" s="129">
        <f>'P&amp;L - Inputs'!AJ152</f>
        <v>31169665</v>
      </c>
      <c r="AC5" s="129">
        <f>'P&amp;L - Inputs'!AK152</f>
        <v>34150404</v>
      </c>
      <c r="AD5" s="129">
        <f>'P&amp;L - Inputs'!AL152</f>
        <v>23345360</v>
      </c>
      <c r="AE5" s="129">
        <f>'P&amp;L - Inputs'!AM152</f>
        <v>11637045</v>
      </c>
      <c r="AF5" s="129">
        <f>'P&amp;L - Inputs'!AN152</f>
        <v>17525289</v>
      </c>
      <c r="AG5" s="129">
        <f>'P&amp;L - Inputs'!AO152</f>
        <v>15320636</v>
      </c>
      <c r="AH5" s="129">
        <f>'P&amp;L - Inputs'!AP152</f>
        <v>7195200</v>
      </c>
      <c r="AI5" s="129">
        <f>'P&amp;L - Inputs'!AQ152</f>
        <v>8764457</v>
      </c>
      <c r="AJ5" s="129">
        <f>'P&amp;L - Inputs'!AR152</f>
        <v>18737089</v>
      </c>
      <c r="AK5" s="129">
        <f>'P&amp;L - Inputs'!AS152</f>
        <v>32862729</v>
      </c>
      <c r="AL5" s="129">
        <f>'P&amp;L - Inputs'!AT152</f>
        <v>47545658</v>
      </c>
      <c r="AM5" s="129">
        <f>'P&amp;L - Inputs'!AU152</f>
        <v>44737330</v>
      </c>
      <c r="AN5" s="129">
        <f>'P&amp;L - Inputs'!AV152</f>
        <v>31047761</v>
      </c>
      <c r="AO5" s="129">
        <f>'P&amp;L - Inputs'!AW152</f>
        <v>10087306</v>
      </c>
      <c r="AP5" s="129">
        <f>'P&amp;L - Inputs'!AX152</f>
        <v>4841205</v>
      </c>
      <c r="AQ5" s="129">
        <f>'P&amp;L - Inputs'!AY152</f>
        <v>12870149</v>
      </c>
      <c r="AR5" s="129">
        <f>'P&amp;L - Inputs'!AZ152</f>
        <v>7346773</v>
      </c>
      <c r="AS5" s="129">
        <f>'P&amp;L - Inputs'!BA152</f>
        <v>9632588</v>
      </c>
      <c r="AT5" s="129">
        <f>'P&amp;L - Inputs'!BB152</f>
        <v>7503307</v>
      </c>
      <c r="AU5" s="129">
        <f>'P&amp;L - Inputs'!BC152</f>
        <v>18738902</v>
      </c>
      <c r="AV5" s="129">
        <f>'P&amp;L - Inputs'!BD152</f>
        <v>26829604.5</v>
      </c>
      <c r="AW5" s="129">
        <f>'P&amp;L - Inputs'!BE152</f>
        <v>35046088</v>
      </c>
      <c r="AX5" s="129">
        <f>'P&amp;L - Inputs'!BF152</f>
        <v>29577563.050000001</v>
      </c>
      <c r="AY5" s="129">
        <f>'P&amp;L - Inputs'!BG152</f>
        <v>20457768</v>
      </c>
      <c r="AZ5" s="129">
        <f>'P&amp;L - Inputs'!BH152</f>
        <v>26310006</v>
      </c>
      <c r="BA5" s="129">
        <f>'P&amp;L - Inputs'!BI152</f>
        <v>39708613</v>
      </c>
      <c r="BB5" s="129">
        <f>'P&amp;L - Inputs'!BJ152</f>
        <v>22942080</v>
      </c>
      <c r="BC5" s="129">
        <f>'P&amp;L - Inputs'!BK152</f>
        <v>0</v>
      </c>
      <c r="BD5" s="129">
        <f>'P&amp;L - Inputs'!BL152</f>
        <v>0</v>
      </c>
      <c r="BE5" s="129">
        <f>'P&amp;L - Inputs'!BM152</f>
        <v>0</v>
      </c>
      <c r="BF5" s="129">
        <f>'P&amp;L - Inputs'!BN152</f>
        <v>0</v>
      </c>
      <c r="BG5" s="129">
        <f>'P&amp;L - Inputs'!BO152</f>
        <v>0</v>
      </c>
      <c r="BH5" s="129">
        <f>'P&amp;L - Inputs'!BP152</f>
        <v>0</v>
      </c>
      <c r="BI5" s="129">
        <f>'P&amp;L - Inputs'!BQ152</f>
        <v>0</v>
      </c>
      <c r="BJ5" s="129">
        <f>'P&amp;L - Inputs'!BR152</f>
        <v>0</v>
      </c>
      <c r="BK5" s="129">
        <f>'P&amp;L - Inputs'!BS152</f>
        <v>0</v>
      </c>
      <c r="BL5" s="129">
        <f>'P&amp;L - Inputs'!BT152</f>
        <v>0</v>
      </c>
      <c r="BM5" s="129">
        <f>'P&amp;L - Inputs'!BU152</f>
        <v>0</v>
      </c>
      <c r="BN5" s="129">
        <f>'P&amp;L - Inputs'!BV152</f>
        <v>0</v>
      </c>
      <c r="BO5" s="129">
        <f>'P&amp;L - Inputs'!BW152</f>
        <v>0</v>
      </c>
      <c r="BP5" s="129">
        <f>'P&amp;L - Inputs'!BX152</f>
        <v>0</v>
      </c>
      <c r="BQ5" s="129">
        <f>'P&amp;L - Inputs'!BY152</f>
        <v>0</v>
      </c>
      <c r="BR5" s="129">
        <f>'P&amp;L - Inputs'!BZ152</f>
        <v>0</v>
      </c>
      <c r="BS5" s="129">
        <f>'P&amp;L - Inputs'!CA152</f>
        <v>0</v>
      </c>
      <c r="BT5" s="129">
        <f>'P&amp;L - Inputs'!CB152</f>
        <v>0</v>
      </c>
      <c r="BU5" s="129">
        <f>'P&amp;L - Inputs'!CC152</f>
        <v>0</v>
      </c>
      <c r="BV5" s="129">
        <f>'P&amp;L - Inputs'!CD152</f>
        <v>0</v>
      </c>
      <c r="BW5" s="129">
        <f>'P&amp;L - Inputs'!CE152</f>
        <v>0</v>
      </c>
      <c r="BX5" s="129">
        <f>'P&amp;L - Inputs'!CF152</f>
        <v>0</v>
      </c>
      <c r="BY5" s="129">
        <f>'P&amp;L - Inputs'!CG152</f>
        <v>0</v>
      </c>
      <c r="BZ5" s="129">
        <f>'P&amp;L - Inputs'!CH152</f>
        <v>0</v>
      </c>
      <c r="CA5" s="129">
        <f>'P&amp;L - Inputs'!CI152</f>
        <v>0</v>
      </c>
      <c r="CB5" s="129">
        <f>'P&amp;L - Inputs'!CJ152</f>
        <v>0</v>
      </c>
      <c r="CC5" s="129">
        <f>'P&amp;L - Inputs'!CK152</f>
        <v>0</v>
      </c>
      <c r="CD5" s="129">
        <f>'P&amp;L - Inputs'!CL152</f>
        <v>0</v>
      </c>
      <c r="CE5" s="129">
        <f>'P&amp;L - Inputs'!CM152</f>
        <v>0</v>
      </c>
      <c r="CF5" s="129">
        <f>'P&amp;L - Inputs'!CN152</f>
        <v>0</v>
      </c>
      <c r="CG5" s="129">
        <f>'P&amp;L - Inputs'!CO152</f>
        <v>0</v>
      </c>
      <c r="CH5" s="129">
        <f>'P&amp;L - Inputs'!CP152</f>
        <v>0</v>
      </c>
      <c r="CI5" s="129">
        <f>'P&amp;L - Inputs'!CQ152</f>
        <v>0</v>
      </c>
      <c r="CJ5" s="129">
        <f>'P&amp;L - Inputs'!CR152</f>
        <v>0</v>
      </c>
      <c r="CK5" s="129">
        <f>'P&amp;L - Inputs'!CS152</f>
        <v>0</v>
      </c>
      <c r="CL5" s="129">
        <f>'P&amp;L - Inputs'!CT152</f>
        <v>0</v>
      </c>
      <c r="CM5" s="129">
        <f>'P&amp;L - Inputs'!CU152</f>
        <v>0</v>
      </c>
      <c r="CN5" s="129">
        <f>'P&amp;L - Inputs'!CV152</f>
        <v>0</v>
      </c>
      <c r="CO5" s="129">
        <f>'P&amp;L - Inputs'!CW152</f>
        <v>0</v>
      </c>
      <c r="CP5" s="129">
        <f>'P&amp;L - Inputs'!CX152</f>
        <v>0</v>
      </c>
      <c r="CQ5" s="129">
        <f>'P&amp;L - Inputs'!CY152</f>
        <v>0</v>
      </c>
      <c r="CR5" s="129">
        <f>'P&amp;L - Inputs'!CZ152</f>
        <v>0</v>
      </c>
      <c r="CS5" s="129">
        <f>'P&amp;L - Inputs'!DA152</f>
        <v>0</v>
      </c>
      <c r="CT5" s="129">
        <f>'P&amp;L - Inputs'!DB152</f>
        <v>0</v>
      </c>
      <c r="CU5" s="129">
        <f>'P&amp;L - Inputs'!DC152</f>
        <v>0</v>
      </c>
      <c r="CV5" s="129">
        <f>'P&amp;L - Inputs'!DD152</f>
        <v>0</v>
      </c>
      <c r="CW5" s="129">
        <f>'P&amp;L - Inputs'!DE152</f>
        <v>0</v>
      </c>
      <c r="CX5" s="129">
        <f>'P&amp;L - Inputs'!DF152</f>
        <v>0</v>
      </c>
      <c r="CY5" s="129">
        <f>'P&amp;L - Inputs'!DG152</f>
        <v>0</v>
      </c>
      <c r="CZ5" s="129">
        <f>'P&amp;L - Inputs'!DH152</f>
        <v>0</v>
      </c>
      <c r="DA5" s="129">
        <f>'P&amp;L - Inputs'!DI152</f>
        <v>0</v>
      </c>
      <c r="DB5" s="129">
        <f>'P&amp;L - Inputs'!DJ152</f>
        <v>0</v>
      </c>
      <c r="DC5" s="129">
        <f>'P&amp;L - Inputs'!DK152</f>
        <v>0</v>
      </c>
      <c r="DD5" s="129">
        <f>'P&amp;L - Inputs'!DL152</f>
        <v>0</v>
      </c>
      <c r="DE5" s="129">
        <f>'P&amp;L - Inputs'!DM152</f>
        <v>0</v>
      </c>
      <c r="DF5" s="129">
        <f>'P&amp;L - Inputs'!DN152</f>
        <v>0</v>
      </c>
      <c r="DG5" s="129">
        <f>'P&amp;L - Inputs'!DO152</f>
        <v>0</v>
      </c>
      <c r="DH5" s="129">
        <f>'P&amp;L - Inputs'!DP152</f>
        <v>0</v>
      </c>
      <c r="DI5" s="129">
        <f>'P&amp;L - Inputs'!DQ152</f>
        <v>0</v>
      </c>
      <c r="DJ5" s="129">
        <f>'P&amp;L - Inputs'!DR152</f>
        <v>0</v>
      </c>
      <c r="DK5" s="129">
        <f>'P&amp;L - Inputs'!DS152</f>
        <v>0</v>
      </c>
      <c r="DL5" s="129">
        <f>'P&amp;L - Inputs'!DT152</f>
        <v>0</v>
      </c>
      <c r="DM5" s="129">
        <f>'P&amp;L - Inputs'!DU152</f>
        <v>0</v>
      </c>
      <c r="DN5" s="129">
        <f>'P&amp;L - Inputs'!DV152</f>
        <v>0</v>
      </c>
      <c r="DO5" s="129">
        <f>'P&amp;L - Inputs'!DW152</f>
        <v>0</v>
      </c>
      <c r="DP5" s="129">
        <f>'P&amp;L - Inputs'!DX152</f>
        <v>0</v>
      </c>
      <c r="DQ5" s="129">
        <f>'P&amp;L - Inputs'!DY152</f>
        <v>0</v>
      </c>
      <c r="DR5" s="129">
        <f>'P&amp;L - Inputs'!DZ152</f>
        <v>0</v>
      </c>
      <c r="DS5" s="129">
        <f>'P&amp;L - Inputs'!EA152</f>
        <v>0</v>
      </c>
      <c r="DT5" s="129">
        <f>'P&amp;L - Inputs'!EB152</f>
        <v>0</v>
      </c>
      <c r="DU5" s="129">
        <f>'P&amp;L - Inputs'!EC152</f>
        <v>0</v>
      </c>
      <c r="DW5" s="129">
        <f>SUM(BB5:BD5)</f>
        <v>22942080</v>
      </c>
      <c r="DX5" s="663">
        <f>SUM(BE5:BG5)</f>
        <v>0</v>
      </c>
      <c r="DY5" s="129">
        <f>SUM(BH5:BJ5)</f>
        <v>0</v>
      </c>
      <c r="DZ5" s="129">
        <f>SUM(BK5:BM5)</f>
        <v>0</v>
      </c>
      <c r="EA5" s="129">
        <f>SUM(BN5:BP5)</f>
        <v>0</v>
      </c>
      <c r="EB5" s="129">
        <f>SUM(BQ5:BS5)</f>
        <v>0</v>
      </c>
      <c r="EC5" s="129">
        <f>SUM(BT5:BV5)</f>
        <v>0</v>
      </c>
      <c r="ED5" s="129">
        <f>SUM(BW5:BY5)</f>
        <v>0</v>
      </c>
      <c r="EE5" s="129">
        <f>SUM(BZ5:CB5)</f>
        <v>0</v>
      </c>
      <c r="EF5" s="129">
        <f>SUM(CC5:CE5)</f>
        <v>0</v>
      </c>
      <c r="EG5" s="129">
        <f>SUM(CF5:CH5)</f>
        <v>0</v>
      </c>
      <c r="EH5" s="129">
        <f>SUM(CI5:CK5)</f>
        <v>0</v>
      </c>
      <c r="EI5" s="129">
        <f>SUM(CL5:CN5)</f>
        <v>0</v>
      </c>
      <c r="EJ5" s="129">
        <f>SUM(CO5:CQ5)</f>
        <v>0</v>
      </c>
      <c r="EK5" s="129">
        <f>SUM(CR5:CT5)</f>
        <v>0</v>
      </c>
      <c r="EL5" s="129">
        <f>SUM(CU5:CW5)</f>
        <v>0</v>
      </c>
      <c r="EM5" s="129">
        <f>SUM(CX5:CZ5)</f>
        <v>0</v>
      </c>
      <c r="EN5" s="129">
        <f>SUM(DA5:DC5)</f>
        <v>0</v>
      </c>
      <c r="EO5" s="644">
        <f>SUM(DD5:DF5)</f>
        <v>0</v>
      </c>
      <c r="EP5" s="129">
        <f>SUM(DG5:DI5)</f>
        <v>0</v>
      </c>
      <c r="EQ5" s="129">
        <f t="shared" si="5"/>
        <v>0</v>
      </c>
      <c r="ER5" s="129">
        <f t="shared" si="6"/>
        <v>0</v>
      </c>
      <c r="ES5" s="129">
        <f t="shared" si="7"/>
        <v>0</v>
      </c>
      <c r="ET5" s="129">
        <f t="shared" si="8"/>
        <v>0</v>
      </c>
      <c r="EV5" s="129">
        <f t="shared" si="9"/>
        <v>22942080</v>
      </c>
      <c r="EW5" s="129">
        <f t="shared" si="10"/>
        <v>0</v>
      </c>
      <c r="EX5" s="129">
        <f t="shared" si="11"/>
        <v>0</v>
      </c>
      <c r="EY5" s="129">
        <f t="shared" si="12"/>
        <v>0</v>
      </c>
      <c r="EZ5" s="129">
        <f t="shared" si="13"/>
        <v>0</v>
      </c>
      <c r="FA5" s="663">
        <f t="shared" si="14"/>
        <v>0</v>
      </c>
    </row>
    <row r="6" spans="2:157" x14ac:dyDescent="0.2">
      <c r="B6" s="114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5"/>
      <c r="CD6" s="115"/>
      <c r="CE6" s="115"/>
      <c r="CF6" s="115"/>
      <c r="CG6" s="115"/>
      <c r="CH6" s="115"/>
      <c r="CI6" s="115"/>
      <c r="CJ6" s="115"/>
      <c r="CK6" s="115"/>
      <c r="CL6" s="115"/>
      <c r="CM6" s="115"/>
      <c r="CN6" s="115"/>
      <c r="CO6" s="115"/>
      <c r="CP6" s="115"/>
      <c r="CQ6" s="115"/>
      <c r="CR6" s="115"/>
      <c r="CS6" s="115"/>
      <c r="CT6" s="115"/>
      <c r="CU6" s="115"/>
      <c r="CV6" s="115"/>
      <c r="CW6" s="115"/>
      <c r="CX6" s="115"/>
      <c r="CY6" s="115"/>
      <c r="CZ6" s="115"/>
      <c r="DA6" s="115"/>
      <c r="DB6" s="115"/>
      <c r="DC6" s="115"/>
      <c r="DD6" s="115"/>
      <c r="DE6" s="115"/>
      <c r="DF6" s="115"/>
      <c r="DG6" s="115"/>
      <c r="DH6" s="115"/>
      <c r="DI6" s="115"/>
      <c r="DJ6" s="115"/>
      <c r="DK6" s="115"/>
      <c r="DL6" s="115"/>
      <c r="DM6" s="115"/>
      <c r="DN6" s="115"/>
      <c r="DO6" s="115"/>
      <c r="DP6" s="115"/>
      <c r="DQ6" s="115"/>
      <c r="DR6" s="115"/>
      <c r="DS6" s="115"/>
      <c r="DT6" s="115"/>
      <c r="DU6" s="115"/>
      <c r="DW6" s="129"/>
      <c r="DX6" s="663"/>
      <c r="DY6" s="129"/>
      <c r="DZ6" s="129"/>
      <c r="EA6" s="129"/>
      <c r="EB6" s="129"/>
      <c r="EC6" s="129"/>
      <c r="ED6" s="129"/>
      <c r="EE6" s="129"/>
      <c r="EF6" s="129"/>
      <c r="EG6" s="129"/>
      <c r="EH6" s="129"/>
      <c r="EI6" s="129"/>
      <c r="EJ6" s="129"/>
      <c r="EK6" s="129"/>
      <c r="EL6" s="129"/>
      <c r="EM6" s="129"/>
      <c r="EN6" s="129"/>
      <c r="EO6" s="644"/>
      <c r="EP6" s="129"/>
      <c r="EQ6" s="129"/>
      <c r="ER6" s="129"/>
      <c r="ES6" s="129"/>
      <c r="ET6" s="129"/>
      <c r="EV6" s="129"/>
      <c r="EW6" s="129"/>
      <c r="EX6" s="129"/>
      <c r="EY6" s="129"/>
      <c r="EZ6" s="129"/>
      <c r="FA6" s="663"/>
    </row>
    <row r="7" spans="2:157" x14ac:dyDescent="0.2">
      <c r="B7" s="114" t="s">
        <v>139</v>
      </c>
      <c r="C7" s="129">
        <f>'P&amp;L - Inputs'!K155</f>
        <v>0</v>
      </c>
      <c r="D7" s="129">
        <f>'P&amp;L - Inputs'!L155</f>
        <v>0</v>
      </c>
      <c r="E7" s="129">
        <f>'P&amp;L - Inputs'!M155</f>
        <v>0</v>
      </c>
      <c r="F7" s="129">
        <f>'P&amp;L - Inputs'!N155</f>
        <v>0</v>
      </c>
      <c r="G7" s="129">
        <f>'P&amp;L - Inputs'!O155</f>
        <v>0</v>
      </c>
      <c r="H7" s="129">
        <f>'P&amp;L - Inputs'!P155</f>
        <v>0</v>
      </c>
      <c r="I7" s="129">
        <f>'P&amp;L - Inputs'!Q155</f>
        <v>0</v>
      </c>
      <c r="J7" s="129">
        <f>'P&amp;L - Inputs'!R155</f>
        <v>0</v>
      </c>
      <c r="K7" s="129">
        <f>'P&amp;L - Inputs'!S155</f>
        <v>0</v>
      </c>
      <c r="L7" s="129">
        <f>'P&amp;L - Inputs'!T155</f>
        <v>0</v>
      </c>
      <c r="M7" s="129">
        <f>'P&amp;L - Inputs'!U155</f>
        <v>0</v>
      </c>
      <c r="N7" s="129">
        <f>'P&amp;L - Inputs'!V155</f>
        <v>0</v>
      </c>
      <c r="O7" s="129">
        <f>'P&amp;L - Inputs'!W155</f>
        <v>0</v>
      </c>
      <c r="P7" s="129">
        <f>'P&amp;L - Inputs'!X155</f>
        <v>0</v>
      </c>
      <c r="Q7" s="129">
        <f>'P&amp;L - Inputs'!Y155</f>
        <v>0</v>
      </c>
      <c r="R7" s="129">
        <f>'P&amp;L - Inputs'!Z155</f>
        <v>0</v>
      </c>
      <c r="S7" s="129">
        <f>'P&amp;L - Inputs'!AA155</f>
        <v>0</v>
      </c>
      <c r="T7" s="129">
        <f>'P&amp;L - Inputs'!AB155</f>
        <v>0</v>
      </c>
      <c r="U7" s="129">
        <f>'P&amp;L - Inputs'!AC155</f>
        <v>0</v>
      </c>
      <c r="V7" s="129">
        <f>'P&amp;L - Inputs'!AD155</f>
        <v>0</v>
      </c>
      <c r="W7" s="129">
        <f>'P&amp;L - Inputs'!AE155</f>
        <v>0</v>
      </c>
      <c r="X7" s="129">
        <f>'P&amp;L - Inputs'!AF155</f>
        <v>0</v>
      </c>
      <c r="Y7" s="129">
        <f>'P&amp;L - Inputs'!AG155</f>
        <v>0</v>
      </c>
      <c r="Z7" s="129">
        <f>'P&amp;L - Inputs'!AH155</f>
        <v>0</v>
      </c>
      <c r="AA7" s="129">
        <f>'P&amp;L - Inputs'!AI155</f>
        <v>0</v>
      </c>
      <c r="AB7" s="129">
        <f>'P&amp;L - Inputs'!AJ155</f>
        <v>0</v>
      </c>
      <c r="AC7" s="129">
        <f>'P&amp;L - Inputs'!AK155</f>
        <v>0</v>
      </c>
      <c r="AD7" s="129">
        <f>'P&amp;L - Inputs'!AL155</f>
        <v>0</v>
      </c>
      <c r="AE7" s="129">
        <f>'P&amp;L - Inputs'!AM155</f>
        <v>0</v>
      </c>
      <c r="AF7" s="129">
        <f>'P&amp;L - Inputs'!AN155</f>
        <v>0</v>
      </c>
      <c r="AG7" s="129">
        <f>'P&amp;L - Inputs'!AO155</f>
        <v>0</v>
      </c>
      <c r="AH7" s="129">
        <f>'P&amp;L - Inputs'!AP155</f>
        <v>0</v>
      </c>
      <c r="AI7" s="129">
        <f>'P&amp;L - Inputs'!AQ155</f>
        <v>0</v>
      </c>
      <c r="AJ7" s="129">
        <f>'P&amp;L - Inputs'!AR155</f>
        <v>0</v>
      </c>
      <c r="AK7" s="129">
        <f>'P&amp;L - Inputs'!AS155</f>
        <v>0</v>
      </c>
      <c r="AL7" s="129">
        <f>'P&amp;L - Inputs'!AT155</f>
        <v>0</v>
      </c>
      <c r="AM7" s="129">
        <f>'P&amp;L - Inputs'!AU155</f>
        <v>0</v>
      </c>
      <c r="AN7" s="129">
        <f>'P&amp;L - Inputs'!AV155</f>
        <v>0</v>
      </c>
      <c r="AO7" s="129">
        <f>'P&amp;L - Inputs'!AW155</f>
        <v>0</v>
      </c>
      <c r="AP7" s="129">
        <f>'P&amp;L - Inputs'!AX155</f>
        <v>0</v>
      </c>
      <c r="AQ7" s="129">
        <f>'P&amp;L - Inputs'!AY155</f>
        <v>0</v>
      </c>
      <c r="AR7" s="129">
        <f>'P&amp;L - Inputs'!AZ155</f>
        <v>0</v>
      </c>
      <c r="AS7" s="129">
        <f>'P&amp;L - Inputs'!BA155</f>
        <v>0</v>
      </c>
      <c r="AT7" s="129">
        <f>'P&amp;L - Inputs'!BB155</f>
        <v>0</v>
      </c>
      <c r="AU7" s="129">
        <f>'P&amp;L - Inputs'!BC155</f>
        <v>0</v>
      </c>
      <c r="AV7" s="129">
        <f>'P&amp;L - Inputs'!BD155</f>
        <v>0</v>
      </c>
      <c r="AW7" s="129">
        <f>'P&amp;L - Inputs'!BE155</f>
        <v>0</v>
      </c>
      <c r="AX7" s="129">
        <f>'P&amp;L - Inputs'!BF155</f>
        <v>0</v>
      </c>
      <c r="AY7" s="129">
        <f>'P&amp;L - Inputs'!BG155</f>
        <v>0</v>
      </c>
      <c r="AZ7" s="129">
        <f>'P&amp;L - Inputs'!BH155</f>
        <v>0</v>
      </c>
      <c r="BA7" s="129">
        <f>'P&amp;L - Inputs'!BI155</f>
        <v>0</v>
      </c>
      <c r="BB7" s="129">
        <f>'P&amp;L - Inputs'!BJ155</f>
        <v>0</v>
      </c>
      <c r="BC7" s="129">
        <f>'P&amp;L - Inputs'!BK155</f>
        <v>0</v>
      </c>
      <c r="BD7" s="129">
        <f>'P&amp;L - Inputs'!BL155</f>
        <v>0</v>
      </c>
      <c r="BE7" s="129">
        <f>'P&amp;L - Inputs'!BM155</f>
        <v>0</v>
      </c>
      <c r="BF7" s="129">
        <f>'P&amp;L - Inputs'!BN155</f>
        <v>0</v>
      </c>
      <c r="BG7" s="129">
        <f>'P&amp;L - Inputs'!BO155</f>
        <v>0</v>
      </c>
      <c r="BH7" s="129">
        <f>'P&amp;L - Inputs'!BP155</f>
        <v>0</v>
      </c>
      <c r="BI7" s="129">
        <f>'P&amp;L - Inputs'!BQ155</f>
        <v>0</v>
      </c>
      <c r="BJ7" s="129">
        <f>'P&amp;L - Inputs'!BR155</f>
        <v>0</v>
      </c>
      <c r="BK7" s="129">
        <f>'P&amp;L - Inputs'!BS155</f>
        <v>0</v>
      </c>
      <c r="BL7" s="129">
        <f>'P&amp;L - Inputs'!BT155</f>
        <v>0</v>
      </c>
      <c r="BM7" s="129">
        <f>'P&amp;L - Inputs'!BU155</f>
        <v>0</v>
      </c>
      <c r="BN7" s="129">
        <f>'P&amp;L - Inputs'!BV155</f>
        <v>0</v>
      </c>
      <c r="BO7" s="129">
        <f>'P&amp;L - Inputs'!BW155</f>
        <v>0</v>
      </c>
      <c r="BP7" s="129">
        <f>'P&amp;L - Inputs'!BX155</f>
        <v>0</v>
      </c>
      <c r="BQ7" s="129">
        <f>'P&amp;L - Inputs'!BY155</f>
        <v>0</v>
      </c>
      <c r="BR7" s="129">
        <f>'P&amp;L - Inputs'!BZ155</f>
        <v>0</v>
      </c>
      <c r="BS7" s="129">
        <f>'P&amp;L - Inputs'!CA155</f>
        <v>0</v>
      </c>
      <c r="BT7" s="129">
        <f>'P&amp;L - Inputs'!CB155</f>
        <v>0</v>
      </c>
      <c r="BU7" s="129">
        <f>'P&amp;L - Inputs'!CC155</f>
        <v>0</v>
      </c>
      <c r="BV7" s="129">
        <f>'P&amp;L - Inputs'!CD155</f>
        <v>0</v>
      </c>
      <c r="BW7" s="129">
        <f>'P&amp;L - Inputs'!CE155</f>
        <v>0</v>
      </c>
      <c r="BX7" s="129">
        <f>'P&amp;L - Inputs'!CF155</f>
        <v>0</v>
      </c>
      <c r="BY7" s="129">
        <f>'P&amp;L - Inputs'!CG155</f>
        <v>0</v>
      </c>
      <c r="BZ7" s="129">
        <f>'P&amp;L - Inputs'!CH155</f>
        <v>461076962.50764561</v>
      </c>
      <c r="CA7" s="129">
        <f>'P&amp;L - Inputs'!CI155</f>
        <v>460732592.46933931</v>
      </c>
      <c r="CB7" s="129">
        <f>'P&amp;L - Inputs'!CJ155</f>
        <v>454945054.11811954</v>
      </c>
      <c r="CC7" s="129">
        <f>'P&amp;L - Inputs'!CK155</f>
        <v>461745975.87174278</v>
      </c>
      <c r="CD7" s="129">
        <f>'P&amp;L - Inputs'!CL155</f>
        <v>419345811.50949383</v>
      </c>
      <c r="CE7" s="129">
        <f>'P&amp;L - Inputs'!CM155</f>
        <v>447746421.03670436</v>
      </c>
      <c r="CF7" s="129">
        <f>'P&amp;L - Inputs'!CN155</f>
        <v>460971611.62749183</v>
      </c>
      <c r="CG7" s="129">
        <f>'P&amp;L - Inputs'!CO155</f>
        <v>444816146.97059989</v>
      </c>
      <c r="CH7" s="129">
        <f>'P&amp;L - Inputs'!CP155</f>
        <v>522898280.64499974</v>
      </c>
      <c r="CI7" s="129">
        <f>'P&amp;L - Inputs'!CQ155</f>
        <v>570193974.45063937</v>
      </c>
      <c r="CJ7" s="129">
        <f>'P&amp;L - Inputs'!CR155</f>
        <v>470731410.4677586</v>
      </c>
      <c r="CK7" s="129">
        <f>'P&amp;L - Inputs'!CS155</f>
        <v>541999954.49144971</v>
      </c>
      <c r="CL7" s="129">
        <f>'P&amp;L - Inputs'!CT155</f>
        <v>513946923.5717504</v>
      </c>
      <c r="CM7" s="129">
        <f>'P&amp;L - Inputs'!CU155</f>
        <v>519177699.24676543</v>
      </c>
      <c r="CN7" s="129">
        <f>'P&amp;L - Inputs'!CV155</f>
        <v>518806283.22250402</v>
      </c>
      <c r="CO7" s="129">
        <f>'P&amp;L - Inputs'!CW155</f>
        <v>526636971.06734914</v>
      </c>
      <c r="CP7" s="129">
        <f>'P&amp;L - Inputs'!CX155</f>
        <v>496242759.74862224</v>
      </c>
      <c r="CQ7" s="129">
        <f>'P&amp;L - Inputs'!CY155</f>
        <v>542855470.7934314</v>
      </c>
      <c r="CR7" s="129">
        <f>'P&amp;L - Inputs'!CZ155</f>
        <v>527844073.14619875</v>
      </c>
      <c r="CS7" s="129">
        <f>'P&amp;L - Inputs'!DA155</f>
        <v>529082126.56040353</v>
      </c>
      <c r="CT7" s="129">
        <f>'P&amp;L - Inputs'!DB155</f>
        <v>649451869.75646114</v>
      </c>
      <c r="CU7" s="129">
        <f>'P&amp;L - Inputs'!DC155</f>
        <v>699778741.04388463</v>
      </c>
      <c r="CV7" s="129">
        <f>'P&amp;L - Inputs'!DD155</f>
        <v>599929733.18827081</v>
      </c>
      <c r="CW7" s="129">
        <f>'P&amp;L - Inputs'!DE155</f>
        <v>648275719.01296663</v>
      </c>
      <c r="CX7" s="129">
        <f>'P&amp;L - Inputs'!DF155</f>
        <v>608770130.97073841</v>
      </c>
      <c r="CY7" s="129">
        <f>'P&amp;L - Inputs'!DG155</f>
        <v>614965984.75779378</v>
      </c>
      <c r="CZ7" s="129">
        <f>'P&amp;L - Inputs'!DH155</f>
        <v>614526042.47705626</v>
      </c>
      <c r="DA7" s="129">
        <f>'P&amp;L - Inputs'!DI155</f>
        <v>623801492.22927523</v>
      </c>
      <c r="DB7" s="129">
        <f>'P&amp;L - Inputs'!DJ155</f>
        <v>587799548.92224324</v>
      </c>
      <c r="DC7" s="129">
        <f>'P&amp;L - Inputs'!DK155</f>
        <v>643012305.15481973</v>
      </c>
      <c r="DD7" s="129">
        <f>'P&amp;L - Inputs'!DL155</f>
        <v>625231304.64167261</v>
      </c>
      <c r="DE7" s="129">
        <f>'P&amp;L - Inputs'!DM155</f>
        <v>626697778.91079819</v>
      </c>
      <c r="DF7" s="129">
        <f>'P&amp;L - Inputs'!DN155</f>
        <v>769275739.72652853</v>
      </c>
      <c r="DG7" s="129">
        <f>'P&amp;L - Inputs'!DO155</f>
        <v>828887918.76648164</v>
      </c>
      <c r="DH7" s="129">
        <f>'P&amp;L - Inputs'!DP155</f>
        <v>710616768.96150696</v>
      </c>
      <c r="DI7" s="129">
        <f>'P&amp;L - Inputs'!DQ155</f>
        <v>767882589.1708591</v>
      </c>
      <c r="DJ7" s="129">
        <f>'P&amp;L - Inputs'!DR155</f>
        <v>721088220.13483965</v>
      </c>
      <c r="DK7" s="129">
        <f>'P&amp;L - Inputs'!DS155</f>
        <v>728427208.94560683</v>
      </c>
      <c r="DL7" s="129">
        <f>'P&amp;L - Inputs'!DT155</f>
        <v>727906097.31407309</v>
      </c>
      <c r="DM7" s="129">
        <f>'P&amp;L - Inputs'!DU155</f>
        <v>738892867.54557657</v>
      </c>
      <c r="DN7" s="129">
        <f>'P&amp;L - Inputs'!DV155</f>
        <v>696248565.69839716</v>
      </c>
      <c r="DO7" s="129">
        <f>'P&amp;L - Inputs'!DW155</f>
        <v>761648075.45588398</v>
      </c>
      <c r="DP7" s="129">
        <f>'P&amp;L - Inputs'!DX155</f>
        <v>740586480.34806108</v>
      </c>
      <c r="DQ7" s="129">
        <f>'P&amp;L - Inputs'!DY155</f>
        <v>742323519.11984026</v>
      </c>
      <c r="DR7" s="129">
        <f>'P&amp;L - Inputs'!DZ155</f>
        <v>911207113.70607281</v>
      </c>
      <c r="DS7" s="129">
        <f>'P&amp;L - Inputs'!EA155</f>
        <v>981817739.77889717</v>
      </c>
      <c r="DT7" s="129">
        <f>'P&amp;L - Inputs'!EB155</f>
        <v>841725562.83490479</v>
      </c>
      <c r="DU7" s="129">
        <f>'P&amp;L - Inputs'!EC155</f>
        <v>909556926.87288249</v>
      </c>
      <c r="DW7" s="129">
        <f>SUM(BB7:BD7)</f>
        <v>0</v>
      </c>
      <c r="DX7" s="663">
        <f>SUM(BE7:BG7)</f>
        <v>0</v>
      </c>
      <c r="DY7" s="129">
        <f>SUM(BH7:BJ7)</f>
        <v>0</v>
      </c>
      <c r="DZ7" s="129">
        <f>SUM(BK7:BM7)</f>
        <v>0</v>
      </c>
      <c r="EA7" s="129">
        <f>SUM(BN7:BP7)</f>
        <v>0</v>
      </c>
      <c r="EB7" s="129">
        <f>SUM(BQ7:BS7)</f>
        <v>0</v>
      </c>
      <c r="EC7" s="129">
        <f>SUM(BT7:BV7)</f>
        <v>0</v>
      </c>
      <c r="ED7" s="129">
        <f>SUM(BW7:BY7)</f>
        <v>0</v>
      </c>
      <c r="EE7" s="129">
        <f>SUM(BZ7:CB7)</f>
        <v>1376754609.0951045</v>
      </c>
      <c r="EF7" s="129">
        <f>SUM(CC7:CE7)</f>
        <v>1328838208.4179409</v>
      </c>
      <c r="EG7" s="129">
        <f>SUM(CF7:CH7)</f>
        <v>1428686039.2430916</v>
      </c>
      <c r="EH7" s="129">
        <f>SUM(CI7:CK7)</f>
        <v>1582925339.4098477</v>
      </c>
      <c r="EI7" s="129">
        <f>SUM(CL7:CN7)</f>
        <v>1551930906.0410199</v>
      </c>
      <c r="EJ7" s="129">
        <f>SUM(CO7:CQ7)</f>
        <v>1565735201.6094027</v>
      </c>
      <c r="EK7" s="129">
        <f>SUM(CR7:CT7)</f>
        <v>1706378069.4630635</v>
      </c>
      <c r="EL7" s="129">
        <f>SUM(CU7:CW7)</f>
        <v>1947984193.245122</v>
      </c>
      <c r="EM7" s="129">
        <f>SUM(CX7:CZ7)</f>
        <v>1838262158.2055886</v>
      </c>
      <c r="EN7" s="129">
        <f>SUM(DA7:DC7)</f>
        <v>1854613346.3063381</v>
      </c>
      <c r="EO7" s="644">
        <f>SUM(DD7:DF7)</f>
        <v>2021204823.2789993</v>
      </c>
      <c r="EP7" s="129">
        <f>SUM(DG7:DI7)</f>
        <v>2307387276.8988476</v>
      </c>
      <c r="EQ7" s="129">
        <f t="shared" si="5"/>
        <v>2177421526.3945198</v>
      </c>
      <c r="ER7" s="129">
        <f t="shared" si="6"/>
        <v>2196789508.6998577</v>
      </c>
      <c r="ES7" s="129">
        <f t="shared" si="7"/>
        <v>2394117113.173974</v>
      </c>
      <c r="ET7" s="129">
        <f t="shared" si="8"/>
        <v>2733100229.4866843</v>
      </c>
      <c r="EV7" s="129">
        <f t="shared" si="9"/>
        <v>0</v>
      </c>
      <c r="EW7" s="129">
        <f t="shared" si="10"/>
        <v>0</v>
      </c>
      <c r="EX7" s="129">
        <f t="shared" si="11"/>
        <v>5717204196.1659851</v>
      </c>
      <c r="EY7" s="129">
        <f t="shared" si="12"/>
        <v>6772028370.3586082</v>
      </c>
      <c r="EZ7" s="129">
        <f t="shared" si="13"/>
        <v>8021467604.6897736</v>
      </c>
      <c r="FA7" s="663">
        <f t="shared" si="14"/>
        <v>9501428377.7550354</v>
      </c>
    </row>
    <row r="8" spans="2:157" x14ac:dyDescent="0.2">
      <c r="B8" s="114" t="s">
        <v>157</v>
      </c>
      <c r="C8" s="129">
        <f>'P&amp;L - Inputs'!K156</f>
        <v>0</v>
      </c>
      <c r="D8" s="129">
        <f>'P&amp;L - Inputs'!L156</f>
        <v>0</v>
      </c>
      <c r="E8" s="129">
        <f>'P&amp;L - Inputs'!M156</f>
        <v>0</v>
      </c>
      <c r="F8" s="129">
        <f>'P&amp;L - Inputs'!N156</f>
        <v>0</v>
      </c>
      <c r="G8" s="129">
        <f>'P&amp;L - Inputs'!O156</f>
        <v>0</v>
      </c>
      <c r="H8" s="129">
        <f>'P&amp;L - Inputs'!P156</f>
        <v>0</v>
      </c>
      <c r="I8" s="129">
        <f>'P&amp;L - Inputs'!Q156</f>
        <v>0</v>
      </c>
      <c r="J8" s="129">
        <f>'P&amp;L - Inputs'!R156</f>
        <v>0</v>
      </c>
      <c r="K8" s="129">
        <f>'P&amp;L - Inputs'!S156</f>
        <v>0</v>
      </c>
      <c r="L8" s="129">
        <f>'P&amp;L - Inputs'!T156</f>
        <v>0</v>
      </c>
      <c r="M8" s="129">
        <f>'P&amp;L - Inputs'!U156</f>
        <v>0</v>
      </c>
      <c r="N8" s="129">
        <f>'P&amp;L - Inputs'!V156</f>
        <v>0</v>
      </c>
      <c r="O8" s="129">
        <f>'P&amp;L - Inputs'!W156</f>
        <v>0</v>
      </c>
      <c r="P8" s="129">
        <f>'P&amp;L - Inputs'!X156</f>
        <v>0</v>
      </c>
      <c r="Q8" s="129">
        <f>'P&amp;L - Inputs'!Y156</f>
        <v>0</v>
      </c>
      <c r="R8" s="129">
        <f>'P&amp;L - Inputs'!Z156</f>
        <v>0</v>
      </c>
      <c r="S8" s="129">
        <f>'P&amp;L - Inputs'!AA156</f>
        <v>0</v>
      </c>
      <c r="T8" s="129">
        <f>'P&amp;L - Inputs'!AB156</f>
        <v>0</v>
      </c>
      <c r="U8" s="129">
        <f>'P&amp;L - Inputs'!AC156</f>
        <v>0</v>
      </c>
      <c r="V8" s="129">
        <f>'P&amp;L - Inputs'!AD156</f>
        <v>0</v>
      </c>
      <c r="W8" s="129">
        <f>'P&amp;L - Inputs'!AE156</f>
        <v>0</v>
      </c>
      <c r="X8" s="129">
        <f>'P&amp;L - Inputs'!AF156</f>
        <v>0</v>
      </c>
      <c r="Y8" s="129">
        <f>'P&amp;L - Inputs'!AG156</f>
        <v>0</v>
      </c>
      <c r="Z8" s="129">
        <f>'P&amp;L - Inputs'!AH156</f>
        <v>0</v>
      </c>
      <c r="AA8" s="129">
        <f>'P&amp;L - Inputs'!AI156</f>
        <v>0</v>
      </c>
      <c r="AB8" s="129">
        <f>'P&amp;L - Inputs'!AJ156</f>
        <v>0</v>
      </c>
      <c r="AC8" s="129">
        <f>'P&amp;L - Inputs'!AK156</f>
        <v>0</v>
      </c>
      <c r="AD8" s="129">
        <f>'P&amp;L - Inputs'!AL156</f>
        <v>0</v>
      </c>
      <c r="AE8" s="129">
        <f>'P&amp;L - Inputs'!AM156</f>
        <v>0</v>
      </c>
      <c r="AF8" s="129">
        <f>'P&amp;L - Inputs'!AN156</f>
        <v>0</v>
      </c>
      <c r="AG8" s="129">
        <f>'P&amp;L - Inputs'!AO156</f>
        <v>0</v>
      </c>
      <c r="AH8" s="129">
        <f>'P&amp;L - Inputs'!AP156</f>
        <v>0</v>
      </c>
      <c r="AI8" s="129">
        <f>'P&amp;L - Inputs'!AQ156</f>
        <v>0</v>
      </c>
      <c r="AJ8" s="129">
        <f>'P&amp;L - Inputs'!AR156</f>
        <v>0</v>
      </c>
      <c r="AK8" s="129">
        <f>'P&amp;L - Inputs'!AS156</f>
        <v>0</v>
      </c>
      <c r="AL8" s="129">
        <f>'P&amp;L - Inputs'!AT156</f>
        <v>0</v>
      </c>
      <c r="AM8" s="129">
        <f>'P&amp;L - Inputs'!AU156</f>
        <v>0</v>
      </c>
      <c r="AN8" s="129">
        <f>'P&amp;L - Inputs'!AV156</f>
        <v>0</v>
      </c>
      <c r="AO8" s="129">
        <f>'P&amp;L - Inputs'!AW156</f>
        <v>0</v>
      </c>
      <c r="AP8" s="129">
        <f>'P&amp;L - Inputs'!AX156</f>
        <v>0</v>
      </c>
      <c r="AQ8" s="129">
        <f>'P&amp;L - Inputs'!AY156</f>
        <v>0</v>
      </c>
      <c r="AR8" s="129">
        <f>'P&amp;L - Inputs'!AZ156</f>
        <v>0</v>
      </c>
      <c r="AS8" s="129">
        <f>'P&amp;L - Inputs'!BA156</f>
        <v>0</v>
      </c>
      <c r="AT8" s="129">
        <f>'P&amp;L - Inputs'!BB156</f>
        <v>0</v>
      </c>
      <c r="AU8" s="129">
        <f>'P&amp;L - Inputs'!BC156</f>
        <v>0</v>
      </c>
      <c r="AV8" s="129">
        <f>'P&amp;L - Inputs'!BD156</f>
        <v>0</v>
      </c>
      <c r="AW8" s="129">
        <f>'P&amp;L - Inputs'!BE156</f>
        <v>0</v>
      </c>
      <c r="AX8" s="129">
        <f>'P&amp;L - Inputs'!BF156</f>
        <v>0</v>
      </c>
      <c r="AY8" s="129">
        <f>'P&amp;L - Inputs'!BG156</f>
        <v>0</v>
      </c>
      <c r="AZ8" s="129">
        <f>'P&amp;L - Inputs'!BH156</f>
        <v>0</v>
      </c>
      <c r="BA8" s="129">
        <f>'P&amp;L - Inputs'!BI156</f>
        <v>0</v>
      </c>
      <c r="BB8" s="129">
        <f>'P&amp;L - Inputs'!BJ156</f>
        <v>0</v>
      </c>
      <c r="BC8" s="129">
        <f>'P&amp;L - Inputs'!BK156</f>
        <v>0</v>
      </c>
      <c r="BD8" s="129">
        <f>'P&amp;L - Inputs'!BL156</f>
        <v>0</v>
      </c>
      <c r="BE8" s="129">
        <f>'P&amp;L - Inputs'!BM156</f>
        <v>0</v>
      </c>
      <c r="BF8" s="129">
        <f>'P&amp;L - Inputs'!BN156</f>
        <v>0</v>
      </c>
      <c r="BG8" s="129">
        <f>'P&amp;L - Inputs'!BO156</f>
        <v>0</v>
      </c>
      <c r="BH8" s="129">
        <f>'P&amp;L - Inputs'!BP156</f>
        <v>0</v>
      </c>
      <c r="BI8" s="129">
        <f>'P&amp;L - Inputs'!BQ156</f>
        <v>0</v>
      </c>
      <c r="BJ8" s="129">
        <f>'P&amp;L - Inputs'!BR156</f>
        <v>0</v>
      </c>
      <c r="BK8" s="129">
        <f>'P&amp;L - Inputs'!BS156</f>
        <v>0</v>
      </c>
      <c r="BL8" s="129">
        <f>'P&amp;L - Inputs'!BT156</f>
        <v>0</v>
      </c>
      <c r="BM8" s="129">
        <f>'P&amp;L - Inputs'!BU156</f>
        <v>0</v>
      </c>
      <c r="BN8" s="129">
        <f>'P&amp;L - Inputs'!BV156</f>
        <v>0</v>
      </c>
      <c r="BO8" s="129">
        <f>'P&amp;L - Inputs'!BW156</f>
        <v>0</v>
      </c>
      <c r="BP8" s="129">
        <f>'P&amp;L - Inputs'!BX156</f>
        <v>0</v>
      </c>
      <c r="BQ8" s="129">
        <f>'P&amp;L - Inputs'!BY156</f>
        <v>0</v>
      </c>
      <c r="BR8" s="129">
        <f>'P&amp;L - Inputs'!BZ156</f>
        <v>0</v>
      </c>
      <c r="BS8" s="129">
        <f>'P&amp;L - Inputs'!CA156</f>
        <v>0</v>
      </c>
      <c r="BT8" s="129">
        <f>'P&amp;L - Inputs'!CB156</f>
        <v>0</v>
      </c>
      <c r="BU8" s="129">
        <f>'P&amp;L - Inputs'!CC156</f>
        <v>0</v>
      </c>
      <c r="BV8" s="129">
        <f>'P&amp;L - Inputs'!CD156</f>
        <v>0</v>
      </c>
      <c r="BW8" s="129">
        <f>'P&amp;L - Inputs'!CE156</f>
        <v>0</v>
      </c>
      <c r="BX8" s="129">
        <f>'P&amp;L - Inputs'!CF156</f>
        <v>0</v>
      </c>
      <c r="BY8" s="129">
        <f>'P&amp;L - Inputs'!CG156</f>
        <v>0</v>
      </c>
      <c r="BZ8" s="129">
        <f>'P&amp;L - Inputs'!CH156</f>
        <v>2782782</v>
      </c>
      <c r="CA8" s="129">
        <f>'P&amp;L - Inputs'!CI156</f>
        <v>2960259</v>
      </c>
      <c r="CB8" s="129">
        <f>'P&amp;L - Inputs'!CJ156</f>
        <v>2892636.2857142854</v>
      </c>
      <c r="CC8" s="129">
        <f>'P&amp;L - Inputs'!CK156</f>
        <v>3384696.2857142854</v>
      </c>
      <c r="CD8" s="129">
        <f>'P&amp;L - Inputs'!CL156</f>
        <v>3494618</v>
      </c>
      <c r="CE8" s="129">
        <f>'P&amp;L - Inputs'!CM156</f>
        <v>4171683.0000000005</v>
      </c>
      <c r="CF8" s="129">
        <f>'P&amp;L - Inputs'!CN156</f>
        <v>3947234</v>
      </c>
      <c r="CG8" s="129">
        <f>'P&amp;L - Inputs'!CO156</f>
        <v>3426000</v>
      </c>
      <c r="CH8" s="129">
        <f>'P&amp;L - Inputs'!CP156</f>
        <v>4836000</v>
      </c>
      <c r="CI8" s="129">
        <f>'P&amp;L - Inputs'!CQ156</f>
        <v>7208000.0000000009</v>
      </c>
      <c r="CJ8" s="129">
        <f>'P&amp;L - Inputs'!CR156</f>
        <v>6084000</v>
      </c>
      <c r="CK8" s="129">
        <f>'P&amp;L - Inputs'!CS156</f>
        <v>6885000</v>
      </c>
      <c r="CL8" s="129">
        <f>'P&amp;L - Inputs'!CT156</f>
        <v>4681083.7072708011</v>
      </c>
      <c r="CM8" s="129">
        <f>'P&amp;L - Inputs'!CU156</f>
        <v>4728726.1731864214</v>
      </c>
      <c r="CN8" s="129">
        <f>'P&amp;L - Inputs'!CV156</f>
        <v>4725343.2761983275</v>
      </c>
      <c r="CO8" s="129">
        <f>'P&amp;L - Inputs'!CW156</f>
        <v>4796666.0210306048</v>
      </c>
      <c r="CP8" s="129">
        <f>'P&amp;L - Inputs'!CX156</f>
        <v>4519832.2841718197</v>
      </c>
      <c r="CQ8" s="129">
        <f>'P&amp;L - Inputs'!CY156</f>
        <v>4944385.8561772108</v>
      </c>
      <c r="CR8" s="129">
        <f>'P&amp;L - Inputs'!CZ156</f>
        <v>4807660.4362418652</v>
      </c>
      <c r="CS8" s="129">
        <f>'P&amp;L - Inputs'!DA156</f>
        <v>4818936.7595354915</v>
      </c>
      <c r="CT8" s="129">
        <f>'P&amp;L - Inputs'!DB156</f>
        <v>5915277.2917592525</v>
      </c>
      <c r="CU8" s="129">
        <f>'P&amp;L - Inputs'!DC156</f>
        <v>6373659.8336455822</v>
      </c>
      <c r="CV8" s="129">
        <f>'P&amp;L - Inputs'!DD156</f>
        <v>5464224.3600138426</v>
      </c>
      <c r="CW8" s="129">
        <f>'P&amp;L - Inputs'!DE156</f>
        <v>5904564.7846302986</v>
      </c>
      <c r="CX8" s="129">
        <f>'P&amp;L - Inputs'!DF156</f>
        <v>5544743.6512621641</v>
      </c>
      <c r="CY8" s="129">
        <f>'P&amp;L - Inputs'!DG156</f>
        <v>5601176.1521391869</v>
      </c>
      <c r="CZ8" s="129">
        <f>'P&amp;L - Inputs'!DH156</f>
        <v>5597169.1106567383</v>
      </c>
      <c r="DA8" s="129">
        <f>'P&amp;L - Inputs'!DI156</f>
        <v>5681650.9019105434</v>
      </c>
      <c r="DB8" s="129">
        <f>'P&amp;L - Inputs'!DJ156</f>
        <v>5353741.340601325</v>
      </c>
      <c r="DC8" s="129">
        <f>'P&amp;L - Inputs'!DK156</f>
        <v>5856625.0466417074</v>
      </c>
      <c r="DD8" s="129">
        <f>'P&amp;L - Inputs'!DL156</f>
        <v>5694673.7867282629</v>
      </c>
      <c r="DE8" s="129">
        <f>'P&amp;L - Inputs'!DM156</f>
        <v>5708030.5916695595</v>
      </c>
      <c r="DF8" s="129">
        <f>'P&amp;L - Inputs'!DN156</f>
        <v>7006645.9520885944</v>
      </c>
      <c r="DG8" s="129">
        <f>'P&amp;L - Inputs'!DO156</f>
        <v>7549600.0729528666</v>
      </c>
      <c r="DH8" s="129">
        <f>'P&amp;L - Inputs'!DP156</f>
        <v>6472373.7544361353</v>
      </c>
      <c r="DI8" s="129">
        <f>'P&amp;L - Inputs'!DQ156</f>
        <v>6993956.9873944521</v>
      </c>
      <c r="DJ8" s="129">
        <f>'P&amp;L - Inputs'!DR156</f>
        <v>6567748.8549200296</v>
      </c>
      <c r="DK8" s="129">
        <f>'P&amp;L - Inputs'!DS156</f>
        <v>6634593.1522088051</v>
      </c>
      <c r="DL8" s="129">
        <f>'P&amp;L - Inputs'!DT156</f>
        <v>6629846.8115729094</v>
      </c>
      <c r="DM8" s="129">
        <f>'P&amp;L - Inputs'!DU156</f>
        <v>6729915.4933129549</v>
      </c>
      <c r="DN8" s="129">
        <f>'P&amp;L - Inputs'!DV156</f>
        <v>6341506.617942214</v>
      </c>
      <c r="DO8" s="129">
        <f>'P&amp;L - Inputs'!DW156</f>
        <v>6937172.3677470684</v>
      </c>
      <c r="DP8" s="129">
        <f>'P&amp;L - Inputs'!DX156</f>
        <v>6745341.1003797054</v>
      </c>
      <c r="DQ8" s="129">
        <f>'P&amp;L - Inputs'!DY156</f>
        <v>6761162.2358326912</v>
      </c>
      <c r="DR8" s="129">
        <f>'P&amp;L - Inputs'!DZ156</f>
        <v>8299372.1302491426</v>
      </c>
      <c r="DS8" s="129">
        <f>'P&amp;L - Inputs'!EA156</f>
        <v>8942501.2864129543</v>
      </c>
      <c r="DT8" s="129">
        <f>'P&amp;L - Inputs'!EB156</f>
        <v>7666526.7121297121</v>
      </c>
      <c r="DU8" s="129">
        <f>'P&amp;L - Inputs'!EC156</f>
        <v>8284342.0515687466</v>
      </c>
      <c r="DW8" s="129">
        <f>SUM(BB8:BD8)</f>
        <v>0</v>
      </c>
      <c r="DX8" s="663">
        <f>SUM(BE8:BG8)</f>
        <v>0</v>
      </c>
      <c r="DY8" s="129">
        <f>SUM(BH8:BJ8)</f>
        <v>0</v>
      </c>
      <c r="DZ8" s="129">
        <f>SUM(BK8:BM8)</f>
        <v>0</v>
      </c>
      <c r="EA8" s="129">
        <f>SUM(BN8:BP8)</f>
        <v>0</v>
      </c>
      <c r="EB8" s="129">
        <f>SUM(BQ8:BS8)</f>
        <v>0</v>
      </c>
      <c r="EC8" s="129">
        <f>SUM(BT8:BV8)</f>
        <v>0</v>
      </c>
      <c r="ED8" s="129">
        <f>SUM(BW8:BY8)</f>
        <v>0</v>
      </c>
      <c r="EE8" s="129">
        <f>SUM(BZ8:CB8)</f>
        <v>8635677.2857142854</v>
      </c>
      <c r="EF8" s="129">
        <f>SUM(CC8:CE8)</f>
        <v>11050997.285714285</v>
      </c>
      <c r="EG8" s="129">
        <f>SUM(CF8:CH8)</f>
        <v>12209234</v>
      </c>
      <c r="EH8" s="129">
        <f>SUM(CI8:CK8)</f>
        <v>20177000</v>
      </c>
      <c r="EI8" s="129">
        <f>SUM(CL8:CN8)</f>
        <v>14135153.15665555</v>
      </c>
      <c r="EJ8" s="129">
        <f>SUM(CO8:CQ8)</f>
        <v>14260884.161379635</v>
      </c>
      <c r="EK8" s="129">
        <f>SUM(CR8:CT8)</f>
        <v>15541874.487536609</v>
      </c>
      <c r="EL8" s="129">
        <f>SUM(CU8:CW8)</f>
        <v>17742448.978289723</v>
      </c>
      <c r="EM8" s="129">
        <f>SUM(CX8:CZ8)</f>
        <v>16743088.914058089</v>
      </c>
      <c r="EN8" s="129">
        <f>SUM(DA8:DC8)</f>
        <v>16892017.289153576</v>
      </c>
      <c r="EO8" s="644">
        <f>SUM(DD8:DF8)</f>
        <v>18409350.330486417</v>
      </c>
      <c r="EP8" s="129">
        <f>SUM(DG8:DI8)</f>
        <v>21015930.814783454</v>
      </c>
      <c r="EQ8" s="129">
        <f t="shared" si="5"/>
        <v>19832188.818701744</v>
      </c>
      <c r="ER8" s="129">
        <f t="shared" si="6"/>
        <v>20008594.479002237</v>
      </c>
      <c r="ES8" s="129">
        <f t="shared" si="7"/>
        <v>21805875.466461539</v>
      </c>
      <c r="ET8" s="129">
        <f t="shared" si="8"/>
        <v>24893370.050111413</v>
      </c>
      <c r="EV8" s="129">
        <f t="shared" si="9"/>
        <v>0</v>
      </c>
      <c r="EW8" s="129">
        <f t="shared" si="10"/>
        <v>0</v>
      </c>
      <c r="EX8" s="129">
        <f t="shared" si="11"/>
        <v>52072908.571428567</v>
      </c>
      <c r="EY8" s="129">
        <f t="shared" si="12"/>
        <v>61680360.783861518</v>
      </c>
      <c r="EZ8" s="129">
        <f t="shared" si="13"/>
        <v>73060387.348481536</v>
      </c>
      <c r="FA8" s="663">
        <f t="shared" si="14"/>
        <v>86540028.814276934</v>
      </c>
    </row>
    <row r="9" spans="2:157" x14ac:dyDescent="0.2">
      <c r="B9" s="114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115"/>
      <c r="CD9" s="115"/>
      <c r="CE9" s="115"/>
      <c r="CF9" s="115"/>
      <c r="CG9" s="115"/>
      <c r="CH9" s="115"/>
      <c r="CI9" s="115"/>
      <c r="CJ9" s="115"/>
      <c r="CK9" s="115"/>
      <c r="CL9" s="115"/>
      <c r="CM9" s="115"/>
      <c r="CN9" s="115"/>
      <c r="CO9" s="115"/>
      <c r="CP9" s="115"/>
      <c r="CQ9" s="115"/>
      <c r="CR9" s="115"/>
      <c r="CS9" s="115"/>
      <c r="CT9" s="115"/>
      <c r="CU9" s="115"/>
      <c r="CV9" s="115"/>
      <c r="CW9" s="115"/>
      <c r="CX9" s="115"/>
      <c r="CY9" s="115"/>
      <c r="CZ9" s="115"/>
      <c r="DA9" s="115"/>
      <c r="DB9" s="115"/>
      <c r="DC9" s="115"/>
      <c r="DD9" s="115"/>
      <c r="DE9" s="115"/>
      <c r="DF9" s="115"/>
      <c r="DG9" s="115"/>
      <c r="DH9" s="115"/>
      <c r="DI9" s="115"/>
      <c r="DJ9" s="115"/>
      <c r="DK9" s="115"/>
      <c r="DL9" s="115"/>
      <c r="DM9" s="115"/>
      <c r="DN9" s="115"/>
      <c r="DO9" s="115"/>
      <c r="DP9" s="115"/>
      <c r="DQ9" s="115"/>
      <c r="DR9" s="115"/>
      <c r="DS9" s="115"/>
      <c r="DT9" s="115"/>
      <c r="DU9" s="115"/>
      <c r="DW9" s="129"/>
      <c r="DX9" s="663"/>
      <c r="DY9" s="129"/>
      <c r="DZ9" s="129"/>
      <c r="EA9" s="129"/>
      <c r="EB9" s="129"/>
      <c r="EC9" s="129"/>
      <c r="ED9" s="129"/>
      <c r="EE9" s="129"/>
      <c r="EF9" s="129"/>
      <c r="EG9" s="129"/>
      <c r="EH9" s="129"/>
      <c r="EI9" s="129"/>
      <c r="EJ9" s="129"/>
      <c r="EK9" s="129"/>
      <c r="EL9" s="129"/>
      <c r="EM9" s="129"/>
      <c r="EN9" s="129"/>
      <c r="EO9" s="644"/>
      <c r="EP9" s="129"/>
      <c r="EQ9" s="129"/>
      <c r="ER9" s="129"/>
      <c r="ES9" s="129"/>
      <c r="ET9" s="129"/>
      <c r="EV9" s="129"/>
      <c r="EW9" s="129"/>
      <c r="EX9" s="129"/>
      <c r="EY9" s="129"/>
      <c r="EZ9" s="129"/>
      <c r="FA9" s="663"/>
    </row>
    <row r="10" spans="2:157" x14ac:dyDescent="0.2">
      <c r="B10" s="114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115"/>
      <c r="BM10" s="115"/>
      <c r="BN10" s="115"/>
      <c r="BO10" s="115"/>
      <c r="BP10" s="115"/>
      <c r="BQ10" s="115"/>
      <c r="BR10" s="115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115"/>
      <c r="CD10" s="115"/>
      <c r="CE10" s="115"/>
      <c r="CF10" s="115"/>
      <c r="CG10" s="115"/>
      <c r="CH10" s="115"/>
      <c r="CI10" s="115"/>
      <c r="CJ10" s="115"/>
      <c r="CK10" s="115"/>
      <c r="CL10" s="115"/>
      <c r="CM10" s="115"/>
      <c r="CN10" s="115"/>
      <c r="CO10" s="115"/>
      <c r="CP10" s="115"/>
      <c r="CQ10" s="115"/>
      <c r="CR10" s="115"/>
      <c r="CS10" s="115"/>
      <c r="CT10" s="115"/>
      <c r="CU10" s="115"/>
      <c r="CV10" s="115"/>
      <c r="CW10" s="115"/>
      <c r="CX10" s="115"/>
      <c r="CY10" s="115"/>
      <c r="CZ10" s="115"/>
      <c r="DA10" s="115"/>
      <c r="DB10" s="115"/>
      <c r="DC10" s="115"/>
      <c r="DD10" s="115"/>
      <c r="DE10" s="115"/>
      <c r="DF10" s="115"/>
      <c r="DG10" s="115"/>
      <c r="DH10" s="115"/>
      <c r="DI10" s="115"/>
      <c r="DJ10" s="115"/>
      <c r="DK10" s="115"/>
      <c r="DL10" s="115"/>
      <c r="DM10" s="115"/>
      <c r="DN10" s="115"/>
      <c r="DO10" s="115"/>
      <c r="DP10" s="115"/>
      <c r="DQ10" s="115"/>
      <c r="DR10" s="115"/>
      <c r="DS10" s="115"/>
      <c r="DT10" s="115"/>
      <c r="DU10" s="115"/>
      <c r="DW10" s="129"/>
      <c r="DX10" s="663"/>
      <c r="DY10" s="129"/>
      <c r="DZ10" s="129"/>
      <c r="EA10" s="129"/>
      <c r="EB10" s="129"/>
      <c r="EC10" s="129"/>
      <c r="ED10" s="129"/>
      <c r="EE10" s="129"/>
      <c r="EF10" s="129"/>
      <c r="EG10" s="129"/>
      <c r="EH10" s="129"/>
      <c r="EI10" s="129"/>
      <c r="EJ10" s="129"/>
      <c r="EK10" s="129"/>
      <c r="EL10" s="129"/>
      <c r="EM10" s="129"/>
      <c r="EN10" s="129"/>
      <c r="EO10" s="644"/>
      <c r="EP10" s="129"/>
      <c r="EQ10" s="129"/>
      <c r="ER10" s="129"/>
      <c r="ES10" s="129"/>
      <c r="ET10" s="129"/>
      <c r="EV10" s="129"/>
      <c r="EW10" s="129"/>
      <c r="EX10" s="129"/>
      <c r="EY10" s="129"/>
      <c r="EZ10" s="129"/>
      <c r="FA10" s="663"/>
    </row>
    <row r="11" spans="2:157" x14ac:dyDescent="0.2">
      <c r="B11" s="116" t="s">
        <v>5</v>
      </c>
      <c r="C11" s="131">
        <f>SUM(C12:C13)</f>
        <v>80</v>
      </c>
      <c r="D11" s="131">
        <f t="shared" ref="D11:BO11" si="15">SUM(D12:D13)</f>
        <v>442</v>
      </c>
      <c r="E11" s="131">
        <f t="shared" si="15"/>
        <v>1709</v>
      </c>
      <c r="F11" s="131">
        <f t="shared" si="15"/>
        <v>2055</v>
      </c>
      <c r="G11" s="131">
        <f t="shared" si="15"/>
        <v>2304</v>
      </c>
      <c r="H11" s="131">
        <f t="shared" si="15"/>
        <v>1690</v>
      </c>
      <c r="I11" s="131">
        <f t="shared" si="15"/>
        <v>3162</v>
      </c>
      <c r="J11" s="131">
        <f t="shared" si="15"/>
        <v>2897</v>
      </c>
      <c r="K11" s="131">
        <f t="shared" si="15"/>
        <v>3977</v>
      </c>
      <c r="L11" s="131">
        <f t="shared" si="15"/>
        <v>3289</v>
      </c>
      <c r="M11" s="131">
        <f t="shared" si="15"/>
        <v>1594</v>
      </c>
      <c r="N11" s="131">
        <f t="shared" si="15"/>
        <v>1817</v>
      </c>
      <c r="O11" s="131">
        <f t="shared" si="15"/>
        <v>2698</v>
      </c>
      <c r="P11" s="131">
        <f t="shared" si="15"/>
        <v>2270</v>
      </c>
      <c r="Q11" s="131">
        <f t="shared" si="15"/>
        <v>2101</v>
      </c>
      <c r="R11" s="131">
        <f t="shared" si="15"/>
        <v>0</v>
      </c>
      <c r="S11" s="131">
        <f t="shared" si="15"/>
        <v>2255</v>
      </c>
      <c r="T11" s="131">
        <f t="shared" si="15"/>
        <v>1355</v>
      </c>
      <c r="U11" s="131">
        <f t="shared" si="15"/>
        <v>800</v>
      </c>
      <c r="V11" s="131">
        <f t="shared" si="15"/>
        <v>1025</v>
      </c>
      <c r="W11" s="131">
        <f t="shared" si="15"/>
        <v>1502</v>
      </c>
      <c r="X11" s="131">
        <f t="shared" si="15"/>
        <v>2425</v>
      </c>
      <c r="Y11" s="131">
        <f t="shared" si="15"/>
        <v>2053</v>
      </c>
      <c r="Z11" s="131">
        <f t="shared" si="15"/>
        <v>3492</v>
      </c>
      <c r="AA11" s="131">
        <f t="shared" si="15"/>
        <v>4670</v>
      </c>
      <c r="AB11" s="131">
        <f t="shared" si="15"/>
        <v>2828</v>
      </c>
      <c r="AC11" s="131">
        <f t="shared" si="15"/>
        <v>4144</v>
      </c>
      <c r="AD11" s="131">
        <f t="shared" si="15"/>
        <v>2940</v>
      </c>
      <c r="AE11" s="131">
        <f t="shared" si="15"/>
        <v>1664</v>
      </c>
      <c r="AF11" s="131">
        <f t="shared" si="15"/>
        <v>2395</v>
      </c>
      <c r="AG11" s="131">
        <f t="shared" si="15"/>
        <v>2228</v>
      </c>
      <c r="AH11" s="131">
        <f t="shared" si="15"/>
        <v>1355</v>
      </c>
      <c r="AI11" s="131">
        <f t="shared" si="15"/>
        <v>1493</v>
      </c>
      <c r="AJ11" s="131">
        <f t="shared" si="15"/>
        <v>2040</v>
      </c>
      <c r="AK11" s="131">
        <f t="shared" si="15"/>
        <v>4101</v>
      </c>
      <c r="AL11" s="131">
        <f t="shared" si="15"/>
        <v>5784</v>
      </c>
      <c r="AM11" s="131">
        <f t="shared" si="15"/>
        <v>5877</v>
      </c>
      <c r="AN11" s="131">
        <f t="shared" si="15"/>
        <v>4430</v>
      </c>
      <c r="AO11" s="131">
        <f t="shared" si="15"/>
        <v>2939</v>
      </c>
      <c r="AP11" s="131">
        <f t="shared" si="15"/>
        <v>2090</v>
      </c>
      <c r="AQ11" s="131">
        <f t="shared" si="15"/>
        <v>3709</v>
      </c>
      <c r="AR11" s="131">
        <f t="shared" si="15"/>
        <v>3398</v>
      </c>
      <c r="AS11" s="131">
        <f t="shared" si="15"/>
        <v>4040</v>
      </c>
      <c r="AT11" s="131">
        <f t="shared" si="15"/>
        <v>3641</v>
      </c>
      <c r="AU11" s="131">
        <f t="shared" si="15"/>
        <v>4900</v>
      </c>
      <c r="AV11" s="131">
        <f t="shared" si="15"/>
        <v>5781</v>
      </c>
      <c r="AW11" s="131">
        <f t="shared" si="15"/>
        <v>4698</v>
      </c>
      <c r="AX11" s="131">
        <f t="shared" si="15"/>
        <v>4629</v>
      </c>
      <c r="AY11" s="131">
        <f t="shared" si="15"/>
        <v>3826</v>
      </c>
      <c r="AZ11" s="131">
        <f t="shared" si="15"/>
        <v>5850</v>
      </c>
      <c r="BA11" s="131">
        <f t="shared" si="15"/>
        <v>10532</v>
      </c>
      <c r="BB11" s="131">
        <f t="shared" si="15"/>
        <v>11792</v>
      </c>
      <c r="BC11" s="131">
        <f t="shared" si="15"/>
        <v>10366</v>
      </c>
      <c r="BD11" s="131">
        <f t="shared" si="15"/>
        <v>12586</v>
      </c>
      <c r="BE11" s="131">
        <f t="shared" si="15"/>
        <v>10529</v>
      </c>
      <c r="BF11" s="131">
        <f t="shared" si="15"/>
        <v>10882</v>
      </c>
      <c r="BG11" s="131">
        <f t="shared" si="15"/>
        <v>11887</v>
      </c>
      <c r="BH11" s="131">
        <f t="shared" si="15"/>
        <v>15079</v>
      </c>
      <c r="BI11" s="131">
        <f t="shared" si="15"/>
        <v>13046</v>
      </c>
      <c r="BJ11" s="131">
        <f t="shared" si="15"/>
        <v>11437</v>
      </c>
      <c r="BK11" s="131">
        <f t="shared" si="15"/>
        <v>11818</v>
      </c>
      <c r="BL11" s="131">
        <f t="shared" si="15"/>
        <v>9377</v>
      </c>
      <c r="BM11" s="131">
        <f t="shared" si="15"/>
        <v>11795</v>
      </c>
      <c r="BN11" s="131">
        <f t="shared" si="15"/>
        <v>11537</v>
      </c>
      <c r="BO11" s="131">
        <f t="shared" si="15"/>
        <v>12102</v>
      </c>
      <c r="BP11" s="131">
        <f t="shared" ref="BP11:DU11" si="16">SUM(BP12:BP13)</f>
        <v>12357</v>
      </c>
      <c r="BQ11" s="131">
        <f t="shared" si="16"/>
        <v>13037</v>
      </c>
      <c r="BR11" s="131">
        <f t="shared" si="16"/>
        <v>12269</v>
      </c>
      <c r="BS11" s="131">
        <f t="shared" si="16"/>
        <v>12369</v>
      </c>
      <c r="BT11" s="131">
        <f t="shared" si="16"/>
        <v>11980</v>
      </c>
      <c r="BU11" s="131">
        <f t="shared" si="16"/>
        <v>10940</v>
      </c>
      <c r="BV11" s="131">
        <f t="shared" si="16"/>
        <v>12666</v>
      </c>
      <c r="BW11" s="131">
        <f t="shared" si="16"/>
        <v>14543</v>
      </c>
      <c r="BX11" s="131">
        <f t="shared" si="16"/>
        <v>14445</v>
      </c>
      <c r="BY11" s="131">
        <f t="shared" si="16"/>
        <v>18923</v>
      </c>
      <c r="BZ11" s="131">
        <f t="shared" si="16"/>
        <v>16605</v>
      </c>
      <c r="CA11" s="131">
        <f t="shared" si="16"/>
        <v>16774</v>
      </c>
      <c r="CB11" s="131">
        <f t="shared" si="16"/>
        <v>16762</v>
      </c>
      <c r="CC11" s="131">
        <f t="shared" si="16"/>
        <v>17015</v>
      </c>
      <c r="CD11" s="131">
        <f t="shared" si="16"/>
        <v>16033</v>
      </c>
      <c r="CE11" s="131">
        <f t="shared" si="16"/>
        <v>17539</v>
      </c>
      <c r="CF11" s="131">
        <f t="shared" si="16"/>
        <v>17054</v>
      </c>
      <c r="CG11" s="131">
        <f t="shared" si="16"/>
        <v>17094</v>
      </c>
      <c r="CH11" s="131">
        <f t="shared" si="16"/>
        <v>20983</v>
      </c>
      <c r="CI11" s="131">
        <f t="shared" si="16"/>
        <v>22609</v>
      </c>
      <c r="CJ11" s="131">
        <f t="shared" si="16"/>
        <v>19383</v>
      </c>
      <c r="CK11" s="131">
        <f t="shared" si="16"/>
        <v>20945</v>
      </c>
      <c r="CL11" s="131">
        <f t="shared" si="16"/>
        <v>19095.75</v>
      </c>
      <c r="CM11" s="131">
        <f t="shared" si="16"/>
        <v>19290.099999999999</v>
      </c>
      <c r="CN11" s="131">
        <f t="shared" si="16"/>
        <v>19276.3</v>
      </c>
      <c r="CO11" s="131">
        <f t="shared" si="16"/>
        <v>19567.25</v>
      </c>
      <c r="CP11" s="131">
        <f t="shared" si="16"/>
        <v>18437.949999999997</v>
      </c>
      <c r="CQ11" s="131">
        <f t="shared" si="16"/>
        <v>20169.849999999999</v>
      </c>
      <c r="CR11" s="131">
        <f t="shared" si="16"/>
        <v>19612.099999999999</v>
      </c>
      <c r="CS11" s="131">
        <f t="shared" si="16"/>
        <v>19658.099999999999</v>
      </c>
      <c r="CT11" s="131">
        <f t="shared" si="16"/>
        <v>24130.449999999997</v>
      </c>
      <c r="CU11" s="131">
        <f t="shared" si="16"/>
        <v>26000.35</v>
      </c>
      <c r="CV11" s="131">
        <f t="shared" si="16"/>
        <v>22290.449999999997</v>
      </c>
      <c r="CW11" s="131">
        <f t="shared" si="16"/>
        <v>24086.749999999996</v>
      </c>
      <c r="CX11" s="131">
        <f t="shared" si="16"/>
        <v>21960.112499999999</v>
      </c>
      <c r="CY11" s="131">
        <f t="shared" si="16"/>
        <v>22183.614999999998</v>
      </c>
      <c r="CZ11" s="131">
        <f t="shared" si="16"/>
        <v>22167.744999999999</v>
      </c>
      <c r="DA11" s="131">
        <f t="shared" si="16"/>
        <v>22502.337499999998</v>
      </c>
      <c r="DB11" s="131">
        <f t="shared" si="16"/>
        <v>21203.642499999994</v>
      </c>
      <c r="DC11" s="131">
        <f t="shared" si="16"/>
        <v>23195.327499999996</v>
      </c>
      <c r="DD11" s="131">
        <f t="shared" si="16"/>
        <v>22553.914999999997</v>
      </c>
      <c r="DE11" s="131">
        <f t="shared" si="16"/>
        <v>22606.814999999995</v>
      </c>
      <c r="DF11" s="131">
        <f t="shared" si="16"/>
        <v>27750.017499999994</v>
      </c>
      <c r="DG11" s="131">
        <f t="shared" si="16"/>
        <v>29900.402499999997</v>
      </c>
      <c r="DH11" s="131">
        <f t="shared" si="16"/>
        <v>25634.017499999994</v>
      </c>
      <c r="DI11" s="131">
        <f t="shared" si="16"/>
        <v>27699.762499999993</v>
      </c>
      <c r="DJ11" s="131">
        <f t="shared" si="16"/>
        <v>25254.129374999997</v>
      </c>
      <c r="DK11" s="131">
        <f t="shared" si="16"/>
        <v>25511.157249999997</v>
      </c>
      <c r="DL11" s="131">
        <f t="shared" si="16"/>
        <v>25492.906749999998</v>
      </c>
      <c r="DM11" s="131">
        <f t="shared" si="16"/>
        <v>25877.688124999997</v>
      </c>
      <c r="DN11" s="131">
        <f t="shared" si="16"/>
        <v>24384.188874999993</v>
      </c>
      <c r="DO11" s="131">
        <f t="shared" si="16"/>
        <v>26674.626624999994</v>
      </c>
      <c r="DP11" s="131">
        <f t="shared" si="16"/>
        <v>25937.002249999994</v>
      </c>
      <c r="DQ11" s="131">
        <f t="shared" si="16"/>
        <v>25997.837249999993</v>
      </c>
      <c r="DR11" s="131">
        <f t="shared" si="16"/>
        <v>31912.520124999992</v>
      </c>
      <c r="DS11" s="131">
        <f t="shared" si="16"/>
        <v>34385.46287499999</v>
      </c>
      <c r="DT11" s="131">
        <f t="shared" si="16"/>
        <v>29479.12012499999</v>
      </c>
      <c r="DU11" s="131">
        <f t="shared" si="16"/>
        <v>31854.726874999989</v>
      </c>
      <c r="DW11" s="132">
        <f>SUM(BB11:BD11)</f>
        <v>34744</v>
      </c>
      <c r="DX11" s="666">
        <f>SUM(BE11:BG11)</f>
        <v>33298</v>
      </c>
      <c r="DY11" s="132">
        <f>SUM(BH11:BJ11)</f>
        <v>39562</v>
      </c>
      <c r="DZ11" s="132">
        <f>SUM(BK11:BM11)</f>
        <v>32990</v>
      </c>
      <c r="EA11" s="132">
        <f>SUM(BN11:BP11)</f>
        <v>35996</v>
      </c>
      <c r="EB11" s="132">
        <f>SUM(BQ11:BS11)</f>
        <v>37675</v>
      </c>
      <c r="EC11" s="132">
        <f>SUM(BT11:BV11)</f>
        <v>35586</v>
      </c>
      <c r="ED11" s="132">
        <f>SUM(BW11:BY11)</f>
        <v>47911</v>
      </c>
      <c r="EE11" s="132">
        <f>SUM(BZ11:CB11)</f>
        <v>50141</v>
      </c>
      <c r="EF11" s="132">
        <f>SUM(CC11:CE11)</f>
        <v>50587</v>
      </c>
      <c r="EG11" s="132">
        <f>SUM(CF11:CH11)</f>
        <v>55131</v>
      </c>
      <c r="EH11" s="132">
        <f>SUM(CI11:CK11)</f>
        <v>62937</v>
      </c>
      <c r="EI11" s="132">
        <f>SUM(CL11:CN11)</f>
        <v>57662.149999999994</v>
      </c>
      <c r="EJ11" s="132">
        <f>SUM(CO11:CQ11)</f>
        <v>58175.049999999996</v>
      </c>
      <c r="EK11" s="132">
        <f>SUM(CR11:CT11)</f>
        <v>63400.649999999994</v>
      </c>
      <c r="EL11" s="132">
        <f>SUM(CU11:CW11)</f>
        <v>72377.549999999988</v>
      </c>
      <c r="EM11" s="132">
        <f>SUM(CX11:CZ11)</f>
        <v>66311.472499999989</v>
      </c>
      <c r="EN11" s="132">
        <f>SUM(DA11:DC11)</f>
        <v>66901.307499999995</v>
      </c>
      <c r="EO11" s="647">
        <f>SUM(DD11:DF11)</f>
        <v>72910.747499999998</v>
      </c>
      <c r="EP11" s="132">
        <f>SUM(DG11:DI11)</f>
        <v>83234.182499999981</v>
      </c>
      <c r="EQ11" s="132">
        <f t="shared" si="5"/>
        <v>76258.193374999988</v>
      </c>
      <c r="ER11" s="132">
        <f t="shared" si="6"/>
        <v>76936.503624999983</v>
      </c>
      <c r="ES11" s="132">
        <f t="shared" si="7"/>
        <v>83847.359624999983</v>
      </c>
      <c r="ET11" s="132">
        <f t="shared" si="8"/>
        <v>95719.309874999977</v>
      </c>
      <c r="EV11" s="132">
        <f t="shared" si="9"/>
        <v>140594</v>
      </c>
      <c r="EW11" s="132">
        <f t="shared" si="10"/>
        <v>157168</v>
      </c>
      <c r="EX11" s="132">
        <f t="shared" si="11"/>
        <v>218796</v>
      </c>
      <c r="EY11" s="132">
        <f t="shared" si="12"/>
        <v>251615.39999999997</v>
      </c>
      <c r="EZ11" s="132">
        <f t="shared" si="13"/>
        <v>289357.70999999996</v>
      </c>
      <c r="FA11" s="666">
        <f t="shared" ref="FA11:FA30" si="17">SUM(EQ11:ET11)</f>
        <v>332761.36649999995</v>
      </c>
    </row>
    <row r="12" spans="2:157" x14ac:dyDescent="0.2">
      <c r="B12" s="114" t="s">
        <v>132</v>
      </c>
      <c r="C12" s="129">
        <f>'P&amp;L - Inputs'!K159</f>
        <v>0</v>
      </c>
      <c r="D12" s="129">
        <f>'P&amp;L - Inputs'!L159</f>
        <v>0</v>
      </c>
      <c r="E12" s="129">
        <f>'P&amp;L - Inputs'!M159</f>
        <v>0</v>
      </c>
      <c r="F12" s="129">
        <f>'P&amp;L - Inputs'!N159</f>
        <v>0</v>
      </c>
      <c r="G12" s="129">
        <f>'P&amp;L - Inputs'!O159</f>
        <v>0</v>
      </c>
      <c r="H12" s="129">
        <f>'P&amp;L - Inputs'!P159</f>
        <v>0</v>
      </c>
      <c r="I12" s="129">
        <f>'P&amp;L - Inputs'!Q159</f>
        <v>0</v>
      </c>
      <c r="J12" s="129">
        <f>'P&amp;L - Inputs'!R159</f>
        <v>0</v>
      </c>
      <c r="K12" s="129">
        <f>'P&amp;L - Inputs'!S159</f>
        <v>0</v>
      </c>
      <c r="L12" s="129">
        <f>'P&amp;L - Inputs'!T159</f>
        <v>0</v>
      </c>
      <c r="M12" s="129">
        <f>'P&amp;L - Inputs'!U159</f>
        <v>0</v>
      </c>
      <c r="N12" s="129">
        <f>'P&amp;L - Inputs'!V159</f>
        <v>0</v>
      </c>
      <c r="O12" s="129">
        <f>'P&amp;L - Inputs'!W159</f>
        <v>0</v>
      </c>
      <c r="P12" s="129">
        <f>'P&amp;L - Inputs'!X159</f>
        <v>0</v>
      </c>
      <c r="Q12" s="129">
        <f>'P&amp;L - Inputs'!Y159</f>
        <v>0</v>
      </c>
      <c r="R12" s="129">
        <f>'P&amp;L - Inputs'!Z159</f>
        <v>0</v>
      </c>
      <c r="S12" s="129">
        <f>'P&amp;L - Inputs'!AA159</f>
        <v>60</v>
      </c>
      <c r="T12" s="129">
        <f>'P&amp;L - Inputs'!AB159</f>
        <v>67</v>
      </c>
      <c r="U12" s="129">
        <f>'P&amp;L - Inputs'!AC159</f>
        <v>38</v>
      </c>
      <c r="V12" s="129">
        <f>'P&amp;L - Inputs'!AD159</f>
        <v>36</v>
      </c>
      <c r="W12" s="129">
        <f>'P&amp;L - Inputs'!AE159</f>
        <v>78</v>
      </c>
      <c r="X12" s="129">
        <f>'P&amp;L - Inputs'!AF159</f>
        <v>101</v>
      </c>
      <c r="Y12" s="129">
        <f>'P&amp;L - Inputs'!AG159</f>
        <v>58</v>
      </c>
      <c r="Z12" s="129">
        <f>'P&amp;L - Inputs'!AH159</f>
        <v>250</v>
      </c>
      <c r="AA12" s="129">
        <f>'P&amp;L - Inputs'!AI159</f>
        <v>250</v>
      </c>
      <c r="AB12" s="129">
        <f>'P&amp;L - Inputs'!AJ159</f>
        <v>255</v>
      </c>
      <c r="AC12" s="129">
        <f>'P&amp;L - Inputs'!AK159</f>
        <v>364</v>
      </c>
      <c r="AD12" s="129">
        <f>'P&amp;L - Inputs'!AL159</f>
        <v>318</v>
      </c>
      <c r="AE12" s="129">
        <f>'P&amp;L - Inputs'!AM159</f>
        <v>293</v>
      </c>
      <c r="AF12" s="129">
        <f>'P&amp;L - Inputs'!AN159</f>
        <v>356</v>
      </c>
      <c r="AG12" s="129">
        <f>'P&amp;L - Inputs'!AO159</f>
        <v>409</v>
      </c>
      <c r="AH12" s="129">
        <f>'P&amp;L - Inputs'!AP159</f>
        <v>419</v>
      </c>
      <c r="AI12" s="129">
        <f>'P&amp;L - Inputs'!AQ159</f>
        <v>431</v>
      </c>
      <c r="AJ12" s="129">
        <f>'P&amp;L - Inputs'!AR159</f>
        <v>290</v>
      </c>
      <c r="AK12" s="129">
        <f>'P&amp;L - Inputs'!AS159</f>
        <v>851</v>
      </c>
      <c r="AL12" s="129">
        <f>'P&amp;L - Inputs'!AT159</f>
        <v>1039</v>
      </c>
      <c r="AM12" s="129">
        <f>'P&amp;L - Inputs'!AU159</f>
        <v>1589</v>
      </c>
      <c r="AN12" s="129">
        <f>'P&amp;L - Inputs'!AV159</f>
        <v>1699</v>
      </c>
      <c r="AO12" s="129">
        <f>'P&amp;L - Inputs'!AW159</f>
        <v>1827</v>
      </c>
      <c r="AP12" s="129">
        <f>'P&amp;L - Inputs'!AX159</f>
        <v>1461</v>
      </c>
      <c r="AQ12" s="129">
        <f>'P&amp;L - Inputs'!AY159</f>
        <v>1431</v>
      </c>
      <c r="AR12" s="129">
        <f>'P&amp;L - Inputs'!AZ159</f>
        <v>2842</v>
      </c>
      <c r="AS12" s="129">
        <f>'P&amp;L - Inputs'!BA159</f>
        <v>3099</v>
      </c>
      <c r="AT12" s="129">
        <f>'P&amp;L - Inputs'!BB159</f>
        <v>2790</v>
      </c>
      <c r="AU12" s="129">
        <f>'P&amp;L - Inputs'!BC159</f>
        <v>3118</v>
      </c>
      <c r="AV12" s="129">
        <f>'P&amp;L - Inputs'!BD159</f>
        <v>3609</v>
      </c>
      <c r="AW12" s="129">
        <f>'P&amp;L - Inputs'!BE159</f>
        <v>2578</v>
      </c>
      <c r="AX12" s="129">
        <f>'P&amp;L - Inputs'!BF159</f>
        <v>2887</v>
      </c>
      <c r="AY12" s="129">
        <f>'P&amp;L - Inputs'!BG159</f>
        <v>2826</v>
      </c>
      <c r="AZ12" s="129">
        <f>'P&amp;L - Inputs'!BH159</f>
        <v>4310</v>
      </c>
      <c r="BA12" s="129">
        <f>'P&amp;L - Inputs'!BI159</f>
        <v>8131</v>
      </c>
      <c r="BB12" s="129">
        <f>'P&amp;L - Inputs'!BJ159</f>
        <v>10190</v>
      </c>
      <c r="BC12" s="129">
        <f>'P&amp;L - Inputs'!BK159</f>
        <v>10366</v>
      </c>
      <c r="BD12" s="129">
        <f>'P&amp;L - Inputs'!BL159</f>
        <v>12586</v>
      </c>
      <c r="BE12" s="129">
        <f>'P&amp;L - Inputs'!BM159</f>
        <v>10529</v>
      </c>
      <c r="BF12" s="129">
        <f>'P&amp;L - Inputs'!BN159</f>
        <v>10882</v>
      </c>
      <c r="BG12" s="129">
        <f>'P&amp;L - Inputs'!BO159</f>
        <v>11887</v>
      </c>
      <c r="BH12" s="129">
        <f>'P&amp;L - Inputs'!BP159</f>
        <v>15079</v>
      </c>
      <c r="BI12" s="129">
        <f>'P&amp;L - Inputs'!BQ159</f>
        <v>13046</v>
      </c>
      <c r="BJ12" s="129">
        <f>'P&amp;L - Inputs'!BR159</f>
        <v>11437</v>
      </c>
      <c r="BK12" s="129">
        <f>'P&amp;L - Inputs'!BS159</f>
        <v>11818</v>
      </c>
      <c r="BL12" s="129">
        <f>'P&amp;L - Inputs'!BT159</f>
        <v>9377</v>
      </c>
      <c r="BM12" s="129">
        <f>'P&amp;L - Inputs'!BU159</f>
        <v>11795</v>
      </c>
      <c r="BN12" s="129">
        <f>'P&amp;L - Inputs'!BV159</f>
        <v>11537</v>
      </c>
      <c r="BO12" s="129">
        <f>'P&amp;L - Inputs'!BW159</f>
        <v>12102</v>
      </c>
      <c r="BP12" s="129">
        <f>'P&amp;L - Inputs'!BX159</f>
        <v>12357</v>
      </c>
      <c r="BQ12" s="129">
        <f>'P&amp;L - Inputs'!BY159</f>
        <v>13037</v>
      </c>
      <c r="BR12" s="129">
        <f>'P&amp;L - Inputs'!BZ159</f>
        <v>12269</v>
      </c>
      <c r="BS12" s="129">
        <f>'P&amp;L - Inputs'!CA159</f>
        <v>12369</v>
      </c>
      <c r="BT12" s="129">
        <f>'P&amp;L - Inputs'!CB159</f>
        <v>11980</v>
      </c>
      <c r="BU12" s="129">
        <f>'P&amp;L - Inputs'!CC159</f>
        <v>10940</v>
      </c>
      <c r="BV12" s="129">
        <f>'P&amp;L - Inputs'!CD159</f>
        <v>12666</v>
      </c>
      <c r="BW12" s="129">
        <f>'P&amp;L - Inputs'!CE159</f>
        <v>14543</v>
      </c>
      <c r="BX12" s="129">
        <f>'P&amp;L - Inputs'!CF159</f>
        <v>14445</v>
      </c>
      <c r="BY12" s="129">
        <f>'P&amp;L - Inputs'!CG159</f>
        <v>18923</v>
      </c>
      <c r="BZ12" s="129">
        <f>'P&amp;L - Inputs'!CH159</f>
        <v>16605</v>
      </c>
      <c r="CA12" s="129">
        <f>'P&amp;L - Inputs'!CI159</f>
        <v>16774</v>
      </c>
      <c r="CB12" s="129">
        <f>'P&amp;L - Inputs'!CJ159</f>
        <v>16762</v>
      </c>
      <c r="CC12" s="129">
        <f>'P&amp;L - Inputs'!CK159</f>
        <v>17015</v>
      </c>
      <c r="CD12" s="129">
        <f>'P&amp;L - Inputs'!CL159</f>
        <v>16033</v>
      </c>
      <c r="CE12" s="129">
        <f>'P&amp;L - Inputs'!CM159</f>
        <v>17539</v>
      </c>
      <c r="CF12" s="129">
        <f>'P&amp;L - Inputs'!CN159</f>
        <v>17054</v>
      </c>
      <c r="CG12" s="129">
        <f>'P&amp;L - Inputs'!CO159</f>
        <v>17094</v>
      </c>
      <c r="CH12" s="129">
        <f>'P&amp;L - Inputs'!CP159</f>
        <v>20983</v>
      </c>
      <c r="CI12" s="129">
        <f>'P&amp;L - Inputs'!CQ159</f>
        <v>22609</v>
      </c>
      <c r="CJ12" s="129">
        <f>'P&amp;L - Inputs'!CR159</f>
        <v>19383</v>
      </c>
      <c r="CK12" s="129">
        <f>'P&amp;L - Inputs'!CS159</f>
        <v>20945</v>
      </c>
      <c r="CL12" s="129">
        <f>'P&amp;L - Inputs'!CT159</f>
        <v>19095.75</v>
      </c>
      <c r="CM12" s="129">
        <f>'P&amp;L - Inputs'!CU159</f>
        <v>19290.099999999999</v>
      </c>
      <c r="CN12" s="129">
        <f>'P&amp;L - Inputs'!CV159</f>
        <v>19276.3</v>
      </c>
      <c r="CO12" s="129">
        <f>'P&amp;L - Inputs'!CW159</f>
        <v>19567.25</v>
      </c>
      <c r="CP12" s="129">
        <f>'P&amp;L - Inputs'!CX159</f>
        <v>18437.949999999997</v>
      </c>
      <c r="CQ12" s="129">
        <f>'P&amp;L - Inputs'!CY159</f>
        <v>20169.849999999999</v>
      </c>
      <c r="CR12" s="129">
        <f>'P&amp;L - Inputs'!CZ159</f>
        <v>19612.099999999999</v>
      </c>
      <c r="CS12" s="129">
        <f>'P&amp;L - Inputs'!DA159</f>
        <v>19658.099999999999</v>
      </c>
      <c r="CT12" s="129">
        <f>'P&amp;L - Inputs'!DB159</f>
        <v>24130.449999999997</v>
      </c>
      <c r="CU12" s="129">
        <f>'P&amp;L - Inputs'!DC159</f>
        <v>26000.35</v>
      </c>
      <c r="CV12" s="129">
        <f>'P&amp;L - Inputs'!DD159</f>
        <v>22290.449999999997</v>
      </c>
      <c r="CW12" s="129">
        <f>'P&amp;L - Inputs'!DE159</f>
        <v>24086.749999999996</v>
      </c>
      <c r="CX12" s="129">
        <f>'P&amp;L - Inputs'!DF159</f>
        <v>21960.112499999999</v>
      </c>
      <c r="CY12" s="129">
        <f>'P&amp;L - Inputs'!DG159</f>
        <v>22183.614999999998</v>
      </c>
      <c r="CZ12" s="129">
        <f>'P&amp;L - Inputs'!DH159</f>
        <v>22167.744999999999</v>
      </c>
      <c r="DA12" s="129">
        <f>'P&amp;L - Inputs'!DI159</f>
        <v>22502.337499999998</v>
      </c>
      <c r="DB12" s="129">
        <f>'P&amp;L - Inputs'!DJ159</f>
        <v>21203.642499999994</v>
      </c>
      <c r="DC12" s="129">
        <f>'P&amp;L - Inputs'!DK159</f>
        <v>23195.327499999996</v>
      </c>
      <c r="DD12" s="129">
        <f>'P&amp;L - Inputs'!DL159</f>
        <v>22553.914999999997</v>
      </c>
      <c r="DE12" s="129">
        <f>'P&amp;L - Inputs'!DM159</f>
        <v>22606.814999999995</v>
      </c>
      <c r="DF12" s="129">
        <f>'P&amp;L - Inputs'!DN159</f>
        <v>27750.017499999994</v>
      </c>
      <c r="DG12" s="129">
        <f>'P&amp;L - Inputs'!DO159</f>
        <v>29900.402499999997</v>
      </c>
      <c r="DH12" s="129">
        <f>'P&amp;L - Inputs'!DP159</f>
        <v>25634.017499999994</v>
      </c>
      <c r="DI12" s="129">
        <f>'P&amp;L - Inputs'!DQ159</f>
        <v>27699.762499999993</v>
      </c>
      <c r="DJ12" s="129">
        <f>'P&amp;L - Inputs'!DR159</f>
        <v>25254.129374999997</v>
      </c>
      <c r="DK12" s="129">
        <f>'P&amp;L - Inputs'!DS159</f>
        <v>25511.157249999997</v>
      </c>
      <c r="DL12" s="129">
        <f>'P&amp;L - Inputs'!DT159</f>
        <v>25492.906749999998</v>
      </c>
      <c r="DM12" s="129">
        <f>'P&amp;L - Inputs'!DU159</f>
        <v>25877.688124999997</v>
      </c>
      <c r="DN12" s="129">
        <f>'P&amp;L - Inputs'!DV159</f>
        <v>24384.188874999993</v>
      </c>
      <c r="DO12" s="129">
        <f>'P&amp;L - Inputs'!DW159</f>
        <v>26674.626624999994</v>
      </c>
      <c r="DP12" s="129">
        <f>'P&amp;L - Inputs'!DX159</f>
        <v>25937.002249999994</v>
      </c>
      <c r="DQ12" s="129">
        <f>'P&amp;L - Inputs'!DY159</f>
        <v>25997.837249999993</v>
      </c>
      <c r="DR12" s="129">
        <f>'P&amp;L - Inputs'!DZ159</f>
        <v>31912.520124999992</v>
      </c>
      <c r="DS12" s="129">
        <f>'P&amp;L - Inputs'!EA159</f>
        <v>34385.46287499999</v>
      </c>
      <c r="DT12" s="129">
        <f>'P&amp;L - Inputs'!EB159</f>
        <v>29479.12012499999</v>
      </c>
      <c r="DU12" s="129">
        <f>'P&amp;L - Inputs'!EC159</f>
        <v>31854.726874999989</v>
      </c>
      <c r="DW12" s="129">
        <f>SUM(BB12:BD12)</f>
        <v>33142</v>
      </c>
      <c r="DX12" s="663">
        <f>SUM(BE12:BG12)</f>
        <v>33298</v>
      </c>
      <c r="DY12" s="129">
        <f>SUM(BH12:BJ12)</f>
        <v>39562</v>
      </c>
      <c r="DZ12" s="129">
        <f>SUM(BK12:BM12)</f>
        <v>32990</v>
      </c>
      <c r="EA12" s="129">
        <f>SUM(BN12:BP12)</f>
        <v>35996</v>
      </c>
      <c r="EB12" s="129">
        <f>SUM(BQ12:BS12)</f>
        <v>37675</v>
      </c>
      <c r="EC12" s="129">
        <f>SUM(BT12:BV12)</f>
        <v>35586</v>
      </c>
      <c r="ED12" s="129">
        <f>SUM(BW12:BY12)</f>
        <v>47911</v>
      </c>
      <c r="EE12" s="129">
        <f>SUM(BZ12:CB12)</f>
        <v>50141</v>
      </c>
      <c r="EF12" s="129">
        <f>SUM(CC12:CE12)</f>
        <v>50587</v>
      </c>
      <c r="EG12" s="129">
        <f>SUM(CF12:CH12)</f>
        <v>55131</v>
      </c>
      <c r="EH12" s="129">
        <f>SUM(CI12:CK12)</f>
        <v>62937</v>
      </c>
      <c r="EI12" s="129">
        <f>SUM(CL12:CN12)</f>
        <v>57662.149999999994</v>
      </c>
      <c r="EJ12" s="129">
        <f>SUM(CO12:CQ12)</f>
        <v>58175.049999999996</v>
      </c>
      <c r="EK12" s="129">
        <f>SUM(CR12:CT12)</f>
        <v>63400.649999999994</v>
      </c>
      <c r="EL12" s="129">
        <f>SUM(CU12:CW12)</f>
        <v>72377.549999999988</v>
      </c>
      <c r="EM12" s="129">
        <f>SUM(CX12:CZ12)</f>
        <v>66311.472499999989</v>
      </c>
      <c r="EN12" s="129">
        <f>SUM(DA12:DC12)</f>
        <v>66901.307499999995</v>
      </c>
      <c r="EO12" s="644">
        <f>SUM(DD12:DF12)</f>
        <v>72910.747499999998</v>
      </c>
      <c r="EP12" s="129">
        <f>SUM(DG12:DI12)</f>
        <v>83234.182499999981</v>
      </c>
      <c r="EQ12" s="129">
        <f t="shared" si="5"/>
        <v>76258.193374999988</v>
      </c>
      <c r="ER12" s="129">
        <f t="shared" si="6"/>
        <v>76936.503624999983</v>
      </c>
      <c r="ES12" s="129">
        <f t="shared" si="7"/>
        <v>83847.359624999983</v>
      </c>
      <c r="ET12" s="129">
        <f t="shared" si="8"/>
        <v>95719.309874999977</v>
      </c>
      <c r="EV12" s="129">
        <f t="shared" si="9"/>
        <v>138992</v>
      </c>
      <c r="EW12" s="129">
        <f t="shared" si="10"/>
        <v>157168</v>
      </c>
      <c r="EX12" s="129">
        <f t="shared" si="11"/>
        <v>218796</v>
      </c>
      <c r="EY12" s="129">
        <f t="shared" si="12"/>
        <v>251615.39999999997</v>
      </c>
      <c r="EZ12" s="129">
        <f t="shared" si="13"/>
        <v>289357.70999999996</v>
      </c>
      <c r="FA12" s="663">
        <f t="shared" si="17"/>
        <v>332761.36649999995</v>
      </c>
    </row>
    <row r="13" spans="2:157" x14ac:dyDescent="0.2">
      <c r="B13" s="114" t="s">
        <v>133</v>
      </c>
      <c r="C13" s="129">
        <f>'P&amp;L - Inputs'!K160</f>
        <v>80</v>
      </c>
      <c r="D13" s="129">
        <f>'P&amp;L - Inputs'!L160</f>
        <v>442</v>
      </c>
      <c r="E13" s="129">
        <f>'P&amp;L - Inputs'!M160</f>
        <v>1709</v>
      </c>
      <c r="F13" s="129">
        <f>'P&amp;L - Inputs'!N160</f>
        <v>2055</v>
      </c>
      <c r="G13" s="129">
        <f>'P&amp;L - Inputs'!O160</f>
        <v>2304</v>
      </c>
      <c r="H13" s="129">
        <f>'P&amp;L - Inputs'!P160</f>
        <v>1690</v>
      </c>
      <c r="I13" s="129">
        <f>'P&amp;L - Inputs'!Q160</f>
        <v>3162</v>
      </c>
      <c r="J13" s="129">
        <f>'P&amp;L - Inputs'!R160</f>
        <v>2897</v>
      </c>
      <c r="K13" s="129">
        <f>'P&amp;L - Inputs'!S160</f>
        <v>3977</v>
      </c>
      <c r="L13" s="129">
        <f>'P&amp;L - Inputs'!T160</f>
        <v>3289</v>
      </c>
      <c r="M13" s="129">
        <f>'P&amp;L - Inputs'!U160</f>
        <v>1594</v>
      </c>
      <c r="N13" s="129">
        <f>'P&amp;L - Inputs'!V160</f>
        <v>1817</v>
      </c>
      <c r="O13" s="129">
        <f>'P&amp;L - Inputs'!W160</f>
        <v>2698</v>
      </c>
      <c r="P13" s="129">
        <f>'P&amp;L - Inputs'!X160</f>
        <v>2270</v>
      </c>
      <c r="Q13" s="129">
        <f>'P&amp;L - Inputs'!Y160</f>
        <v>2101</v>
      </c>
      <c r="R13" s="129">
        <f>'P&amp;L - Inputs'!Z160</f>
        <v>0</v>
      </c>
      <c r="S13" s="129">
        <f>'P&amp;L - Inputs'!AA160</f>
        <v>2195</v>
      </c>
      <c r="T13" s="129">
        <f>'P&amp;L - Inputs'!AB160</f>
        <v>1288</v>
      </c>
      <c r="U13" s="129">
        <f>'P&amp;L - Inputs'!AC160</f>
        <v>762</v>
      </c>
      <c r="V13" s="129">
        <f>'P&amp;L - Inputs'!AD160</f>
        <v>989</v>
      </c>
      <c r="W13" s="129">
        <f>'P&amp;L - Inputs'!AE160</f>
        <v>1424</v>
      </c>
      <c r="X13" s="129">
        <f>'P&amp;L - Inputs'!AF160</f>
        <v>2324</v>
      </c>
      <c r="Y13" s="129">
        <f>'P&amp;L - Inputs'!AG160</f>
        <v>1995</v>
      </c>
      <c r="Z13" s="129">
        <f>'P&amp;L - Inputs'!AH160</f>
        <v>3242</v>
      </c>
      <c r="AA13" s="129">
        <f>'P&amp;L - Inputs'!AI160</f>
        <v>4420</v>
      </c>
      <c r="AB13" s="129">
        <f>'P&amp;L - Inputs'!AJ160</f>
        <v>2573</v>
      </c>
      <c r="AC13" s="129">
        <f>'P&amp;L - Inputs'!AK160</f>
        <v>3780</v>
      </c>
      <c r="AD13" s="129">
        <f>'P&amp;L - Inputs'!AL160</f>
        <v>2622</v>
      </c>
      <c r="AE13" s="129">
        <f>'P&amp;L - Inputs'!AM160</f>
        <v>1371</v>
      </c>
      <c r="AF13" s="129">
        <f>'P&amp;L - Inputs'!AN160</f>
        <v>2039</v>
      </c>
      <c r="AG13" s="129">
        <f>'P&amp;L - Inputs'!AO160</f>
        <v>1819</v>
      </c>
      <c r="AH13" s="129">
        <f>'P&amp;L - Inputs'!AP160</f>
        <v>936</v>
      </c>
      <c r="AI13" s="129">
        <f>'P&amp;L - Inputs'!AQ160</f>
        <v>1062</v>
      </c>
      <c r="AJ13" s="129">
        <f>'P&amp;L - Inputs'!AR160</f>
        <v>1750</v>
      </c>
      <c r="AK13" s="129">
        <f>'P&amp;L - Inputs'!AS160</f>
        <v>3250</v>
      </c>
      <c r="AL13" s="129">
        <f>'P&amp;L - Inputs'!AT160</f>
        <v>4745</v>
      </c>
      <c r="AM13" s="129">
        <f>'P&amp;L - Inputs'!AU160</f>
        <v>4288</v>
      </c>
      <c r="AN13" s="129">
        <f>'P&amp;L - Inputs'!AV160</f>
        <v>2731</v>
      </c>
      <c r="AO13" s="129">
        <f>'P&amp;L - Inputs'!AW160</f>
        <v>1112</v>
      </c>
      <c r="AP13" s="129">
        <f>'P&amp;L - Inputs'!AX160</f>
        <v>629</v>
      </c>
      <c r="AQ13" s="129">
        <f>'P&amp;L - Inputs'!AY160</f>
        <v>2278</v>
      </c>
      <c r="AR13" s="129">
        <f>'P&amp;L - Inputs'!AZ160</f>
        <v>556</v>
      </c>
      <c r="AS13" s="129">
        <f>'P&amp;L - Inputs'!BA160</f>
        <v>941</v>
      </c>
      <c r="AT13" s="129">
        <f>'P&amp;L - Inputs'!BB160</f>
        <v>851</v>
      </c>
      <c r="AU13" s="129">
        <f>'P&amp;L - Inputs'!BC160</f>
        <v>1782</v>
      </c>
      <c r="AV13" s="129">
        <f>'P&amp;L - Inputs'!BD160</f>
        <v>2172</v>
      </c>
      <c r="AW13" s="129">
        <f>'P&amp;L - Inputs'!BE160</f>
        <v>2120</v>
      </c>
      <c r="AX13" s="129">
        <f>'P&amp;L - Inputs'!BF160</f>
        <v>1742</v>
      </c>
      <c r="AY13" s="129">
        <f>'P&amp;L - Inputs'!BG160</f>
        <v>1000</v>
      </c>
      <c r="AZ13" s="129">
        <f>'P&amp;L - Inputs'!BH160</f>
        <v>1540</v>
      </c>
      <c r="BA13" s="129">
        <f>'P&amp;L - Inputs'!BI160</f>
        <v>2401</v>
      </c>
      <c r="BB13" s="129">
        <f>'P&amp;L - Inputs'!BJ160</f>
        <v>1602</v>
      </c>
      <c r="BC13" s="129">
        <f>'P&amp;L - Inputs'!BK160</f>
        <v>0</v>
      </c>
      <c r="BD13" s="129">
        <f>'P&amp;L - Inputs'!BL160</f>
        <v>0</v>
      </c>
      <c r="BE13" s="129">
        <f>'P&amp;L - Inputs'!BM160</f>
        <v>0</v>
      </c>
      <c r="BF13" s="129">
        <f>'P&amp;L - Inputs'!BN160</f>
        <v>0</v>
      </c>
      <c r="BG13" s="129">
        <f>'P&amp;L - Inputs'!BO160</f>
        <v>0</v>
      </c>
      <c r="BH13" s="129">
        <f>'P&amp;L - Inputs'!BP160</f>
        <v>0</v>
      </c>
      <c r="BI13" s="129">
        <f>'P&amp;L - Inputs'!BQ160</f>
        <v>0</v>
      </c>
      <c r="BJ13" s="129">
        <f>'P&amp;L - Inputs'!BR160</f>
        <v>0</v>
      </c>
      <c r="BK13" s="129">
        <f>'P&amp;L - Inputs'!BS160</f>
        <v>0</v>
      </c>
      <c r="BL13" s="129">
        <f>'P&amp;L - Inputs'!BT160</f>
        <v>0</v>
      </c>
      <c r="BM13" s="129">
        <f>'P&amp;L - Inputs'!BU160</f>
        <v>0</v>
      </c>
      <c r="BN13" s="129">
        <f>'P&amp;L - Inputs'!BV160</f>
        <v>0</v>
      </c>
      <c r="BO13" s="129">
        <f>'P&amp;L - Inputs'!BW160</f>
        <v>0</v>
      </c>
      <c r="BP13" s="129">
        <f>'P&amp;L - Inputs'!BX160</f>
        <v>0</v>
      </c>
      <c r="BQ13" s="129">
        <f>'P&amp;L - Inputs'!BY160</f>
        <v>0</v>
      </c>
      <c r="BR13" s="129">
        <f>'P&amp;L - Inputs'!BZ160</f>
        <v>0</v>
      </c>
      <c r="BS13" s="129">
        <f>'P&amp;L - Inputs'!CA160</f>
        <v>0</v>
      </c>
      <c r="BT13" s="129">
        <f>'P&amp;L - Inputs'!CB160</f>
        <v>0</v>
      </c>
      <c r="BU13" s="129">
        <f>'P&amp;L - Inputs'!CC160</f>
        <v>0</v>
      </c>
      <c r="BV13" s="129">
        <f>'P&amp;L - Inputs'!CD160</f>
        <v>0</v>
      </c>
      <c r="BW13" s="129">
        <f>'P&amp;L - Inputs'!CE160</f>
        <v>0</v>
      </c>
      <c r="BX13" s="129">
        <f>'P&amp;L - Inputs'!CF160</f>
        <v>0</v>
      </c>
      <c r="BY13" s="129">
        <f>'P&amp;L - Inputs'!CG160</f>
        <v>0</v>
      </c>
      <c r="BZ13" s="129">
        <f>'P&amp;L - Inputs'!CH160</f>
        <v>0</v>
      </c>
      <c r="CA13" s="129">
        <f>'P&amp;L - Inputs'!CI160</f>
        <v>0</v>
      </c>
      <c r="CB13" s="129">
        <f>'P&amp;L - Inputs'!CJ160</f>
        <v>0</v>
      </c>
      <c r="CC13" s="129">
        <f>'P&amp;L - Inputs'!CK160</f>
        <v>0</v>
      </c>
      <c r="CD13" s="129">
        <f>'P&amp;L - Inputs'!CL160</f>
        <v>0</v>
      </c>
      <c r="CE13" s="129">
        <f>'P&amp;L - Inputs'!CM160</f>
        <v>0</v>
      </c>
      <c r="CF13" s="129">
        <f>'P&amp;L - Inputs'!CN160</f>
        <v>0</v>
      </c>
      <c r="CG13" s="129">
        <f>'P&amp;L - Inputs'!CO160</f>
        <v>0</v>
      </c>
      <c r="CH13" s="129">
        <f>'P&amp;L - Inputs'!CP160</f>
        <v>0</v>
      </c>
      <c r="CI13" s="129">
        <f>'P&amp;L - Inputs'!CQ160</f>
        <v>0</v>
      </c>
      <c r="CJ13" s="129">
        <f>'P&amp;L - Inputs'!CR160</f>
        <v>0</v>
      </c>
      <c r="CK13" s="129">
        <f>'P&amp;L - Inputs'!CS160</f>
        <v>0</v>
      </c>
      <c r="CL13" s="129">
        <f>'P&amp;L - Inputs'!CT160</f>
        <v>0</v>
      </c>
      <c r="CM13" s="129">
        <f>'P&amp;L - Inputs'!CU160</f>
        <v>0</v>
      </c>
      <c r="CN13" s="129">
        <f>'P&amp;L - Inputs'!CV160</f>
        <v>0</v>
      </c>
      <c r="CO13" s="129">
        <f>'P&amp;L - Inputs'!CW160</f>
        <v>0</v>
      </c>
      <c r="CP13" s="129">
        <f>'P&amp;L - Inputs'!CX160</f>
        <v>0</v>
      </c>
      <c r="CQ13" s="129">
        <f>'P&amp;L - Inputs'!CY160</f>
        <v>0</v>
      </c>
      <c r="CR13" s="129">
        <f>'P&amp;L - Inputs'!CZ160</f>
        <v>0</v>
      </c>
      <c r="CS13" s="129">
        <f>'P&amp;L - Inputs'!DA160</f>
        <v>0</v>
      </c>
      <c r="CT13" s="129">
        <f>'P&amp;L - Inputs'!DB160</f>
        <v>0</v>
      </c>
      <c r="CU13" s="129">
        <f>'P&amp;L - Inputs'!DC160</f>
        <v>0</v>
      </c>
      <c r="CV13" s="129">
        <f>'P&amp;L - Inputs'!DD160</f>
        <v>0</v>
      </c>
      <c r="CW13" s="129">
        <f>'P&amp;L - Inputs'!DE160</f>
        <v>0</v>
      </c>
      <c r="CX13" s="129">
        <f>'P&amp;L - Inputs'!DF160</f>
        <v>0</v>
      </c>
      <c r="CY13" s="129">
        <f>'P&amp;L - Inputs'!DG160</f>
        <v>0</v>
      </c>
      <c r="CZ13" s="129">
        <f>'P&amp;L - Inputs'!DH160</f>
        <v>0</v>
      </c>
      <c r="DA13" s="129">
        <f>'P&amp;L - Inputs'!DI160</f>
        <v>0</v>
      </c>
      <c r="DB13" s="129">
        <f>'P&amp;L - Inputs'!DJ160</f>
        <v>0</v>
      </c>
      <c r="DC13" s="129">
        <f>'P&amp;L - Inputs'!DK160</f>
        <v>0</v>
      </c>
      <c r="DD13" s="129">
        <f>'P&amp;L - Inputs'!DL160</f>
        <v>0</v>
      </c>
      <c r="DE13" s="129">
        <f>'P&amp;L - Inputs'!DM160</f>
        <v>0</v>
      </c>
      <c r="DF13" s="129">
        <f>'P&amp;L - Inputs'!DN160</f>
        <v>0</v>
      </c>
      <c r="DG13" s="129">
        <f>'P&amp;L - Inputs'!DO160</f>
        <v>0</v>
      </c>
      <c r="DH13" s="129">
        <f>'P&amp;L - Inputs'!DP160</f>
        <v>0</v>
      </c>
      <c r="DI13" s="129">
        <f>'P&amp;L - Inputs'!DQ160</f>
        <v>0</v>
      </c>
      <c r="DJ13" s="129">
        <f>'P&amp;L - Inputs'!DR160</f>
        <v>0</v>
      </c>
      <c r="DK13" s="129">
        <f>'P&amp;L - Inputs'!DS160</f>
        <v>0</v>
      </c>
      <c r="DL13" s="129">
        <f>'P&amp;L - Inputs'!DT160</f>
        <v>0</v>
      </c>
      <c r="DM13" s="129">
        <f>'P&amp;L - Inputs'!DU160</f>
        <v>0</v>
      </c>
      <c r="DN13" s="129">
        <f>'P&amp;L - Inputs'!DV160</f>
        <v>0</v>
      </c>
      <c r="DO13" s="129">
        <f>'P&amp;L - Inputs'!DW160</f>
        <v>0</v>
      </c>
      <c r="DP13" s="129">
        <f>'P&amp;L - Inputs'!DX160</f>
        <v>0</v>
      </c>
      <c r="DQ13" s="129">
        <f>'P&amp;L - Inputs'!DY160</f>
        <v>0</v>
      </c>
      <c r="DR13" s="129">
        <f>'P&amp;L - Inputs'!DZ160</f>
        <v>0</v>
      </c>
      <c r="DS13" s="129">
        <f>'P&amp;L - Inputs'!EA160</f>
        <v>0</v>
      </c>
      <c r="DT13" s="129">
        <f>'P&amp;L - Inputs'!EB160</f>
        <v>0</v>
      </c>
      <c r="DU13" s="129">
        <f>'P&amp;L - Inputs'!EC160</f>
        <v>0</v>
      </c>
      <c r="DW13" s="129">
        <f>SUM(BB13:BD13)</f>
        <v>1602</v>
      </c>
      <c r="DX13" s="663">
        <f>SUM(BE13:BG13)</f>
        <v>0</v>
      </c>
      <c r="DY13" s="129">
        <f>SUM(BH13:BJ13)</f>
        <v>0</v>
      </c>
      <c r="DZ13" s="129">
        <f>SUM(BK13:BM13)</f>
        <v>0</v>
      </c>
      <c r="EA13" s="129">
        <f>SUM(BN13:BP13)</f>
        <v>0</v>
      </c>
      <c r="EB13" s="129">
        <f>SUM(BQ13:BS13)</f>
        <v>0</v>
      </c>
      <c r="EC13" s="129">
        <f>SUM(BT13:BV13)</f>
        <v>0</v>
      </c>
      <c r="ED13" s="129">
        <f>SUM(BW13:BY13)</f>
        <v>0</v>
      </c>
      <c r="EE13" s="129">
        <f>SUM(BZ13:CB13)</f>
        <v>0</v>
      </c>
      <c r="EF13" s="129">
        <f>SUM(CC13:CE13)</f>
        <v>0</v>
      </c>
      <c r="EG13" s="129">
        <f>SUM(CF13:CH13)</f>
        <v>0</v>
      </c>
      <c r="EH13" s="129">
        <f>SUM(CI13:CK13)</f>
        <v>0</v>
      </c>
      <c r="EI13" s="129">
        <f>SUM(CL13:CN13)</f>
        <v>0</v>
      </c>
      <c r="EJ13" s="129">
        <f>SUM(CO13:CQ13)</f>
        <v>0</v>
      </c>
      <c r="EK13" s="129">
        <f>SUM(CR13:CT13)</f>
        <v>0</v>
      </c>
      <c r="EL13" s="129">
        <f>SUM(CU13:CW13)</f>
        <v>0</v>
      </c>
      <c r="EM13" s="129">
        <f>SUM(CX13:CZ13)</f>
        <v>0</v>
      </c>
      <c r="EN13" s="129">
        <f>SUM(DA13:DC13)</f>
        <v>0</v>
      </c>
      <c r="EO13" s="644">
        <f>SUM(DD13:DF13)</f>
        <v>0</v>
      </c>
      <c r="EP13" s="129">
        <f>SUM(DG13:DI13)</f>
        <v>0</v>
      </c>
      <c r="EQ13" s="129">
        <f t="shared" si="5"/>
        <v>0</v>
      </c>
      <c r="ER13" s="129">
        <f t="shared" si="6"/>
        <v>0</v>
      </c>
      <c r="ES13" s="129">
        <f t="shared" si="7"/>
        <v>0</v>
      </c>
      <c r="ET13" s="129">
        <f t="shared" si="8"/>
        <v>0</v>
      </c>
      <c r="EV13" s="129">
        <f t="shared" si="9"/>
        <v>1602</v>
      </c>
      <c r="EW13" s="129">
        <f t="shared" si="10"/>
        <v>0</v>
      </c>
      <c r="EX13" s="129">
        <f t="shared" si="11"/>
        <v>0</v>
      </c>
      <c r="EY13" s="129">
        <f t="shared" si="12"/>
        <v>0</v>
      </c>
      <c r="EZ13" s="129">
        <f t="shared" si="13"/>
        <v>0</v>
      </c>
      <c r="FA13" s="663">
        <f t="shared" si="17"/>
        <v>0</v>
      </c>
    </row>
    <row r="14" spans="2:157" x14ac:dyDescent="0.2"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115"/>
      <c r="CD14" s="115"/>
      <c r="CE14" s="115"/>
      <c r="CF14" s="115"/>
      <c r="CG14" s="115"/>
      <c r="CH14" s="115"/>
      <c r="CI14" s="115"/>
      <c r="CJ14" s="115"/>
      <c r="CK14" s="115"/>
      <c r="CL14" s="115"/>
      <c r="CM14" s="115"/>
      <c r="CN14" s="115"/>
      <c r="CO14" s="115"/>
      <c r="CP14" s="115"/>
      <c r="CQ14" s="115"/>
      <c r="CR14" s="115"/>
      <c r="CS14" s="115"/>
      <c r="CT14" s="115"/>
      <c r="CU14" s="115"/>
      <c r="CV14" s="115"/>
      <c r="CW14" s="115"/>
      <c r="CX14" s="115"/>
      <c r="CY14" s="115"/>
      <c r="CZ14" s="115"/>
      <c r="DA14" s="115"/>
      <c r="DB14" s="115"/>
      <c r="DC14" s="115"/>
      <c r="DD14" s="115"/>
      <c r="DE14" s="115"/>
      <c r="DF14" s="115"/>
      <c r="DG14" s="115"/>
      <c r="DH14" s="115"/>
      <c r="DI14" s="115"/>
      <c r="DJ14" s="115"/>
      <c r="DK14" s="115"/>
      <c r="DL14" s="115"/>
      <c r="DM14" s="115"/>
      <c r="DN14" s="115"/>
      <c r="DO14" s="115"/>
      <c r="DP14" s="115"/>
      <c r="DQ14" s="115"/>
      <c r="DR14" s="115"/>
      <c r="DS14" s="115"/>
      <c r="DT14" s="115"/>
      <c r="DU14" s="115"/>
      <c r="DW14" s="129"/>
      <c r="DX14" s="663"/>
      <c r="DY14" s="129"/>
      <c r="DZ14" s="129"/>
      <c r="EA14" s="129"/>
      <c r="EB14" s="129"/>
      <c r="EC14" s="129"/>
      <c r="ED14" s="129"/>
      <c r="EE14" s="129"/>
      <c r="EF14" s="129"/>
      <c r="EG14" s="129"/>
      <c r="EH14" s="129"/>
      <c r="EI14" s="129"/>
      <c r="EJ14" s="129"/>
      <c r="EK14" s="129"/>
      <c r="EL14" s="129"/>
      <c r="EM14" s="129"/>
      <c r="EN14" s="129"/>
      <c r="EO14" s="644"/>
      <c r="EP14" s="129"/>
      <c r="EQ14" s="129"/>
      <c r="ER14" s="129"/>
      <c r="ES14" s="129"/>
      <c r="ET14" s="129"/>
      <c r="EV14" s="129"/>
      <c r="EW14" s="129"/>
      <c r="EX14" s="129"/>
      <c r="EY14" s="129"/>
      <c r="EZ14" s="129"/>
      <c r="FA14" s="663"/>
    </row>
    <row r="15" spans="2:157" x14ac:dyDescent="0.2">
      <c r="B15" s="61" t="s">
        <v>6</v>
      </c>
      <c r="C15" s="61">
        <f>SUM(C16:C17)</f>
        <v>0</v>
      </c>
      <c r="D15" s="61">
        <f t="shared" ref="D15:BO15" si="18">SUM(D16:D17)</f>
        <v>45188.72</v>
      </c>
      <c r="E15" s="61">
        <f t="shared" si="18"/>
        <v>14401.34</v>
      </c>
      <c r="F15" s="61">
        <f t="shared" si="18"/>
        <v>0</v>
      </c>
      <c r="G15" s="61">
        <f t="shared" si="18"/>
        <v>29624</v>
      </c>
      <c r="H15" s="61">
        <f t="shared" si="18"/>
        <v>1166773</v>
      </c>
      <c r="I15" s="61">
        <f t="shared" si="18"/>
        <v>413272</v>
      </c>
      <c r="J15" s="61">
        <f t="shared" si="18"/>
        <v>156539</v>
      </c>
      <c r="K15" s="61">
        <f t="shared" si="18"/>
        <v>4006057.7999999993</v>
      </c>
      <c r="L15" s="61">
        <f t="shared" si="18"/>
        <v>281230</v>
      </c>
      <c r="M15" s="61">
        <f t="shared" si="18"/>
        <v>4495700</v>
      </c>
      <c r="N15" s="61">
        <f t="shared" si="18"/>
        <v>1391295</v>
      </c>
      <c r="O15" s="61">
        <f t="shared" si="18"/>
        <v>3247790</v>
      </c>
      <c r="P15" s="61">
        <f t="shared" si="18"/>
        <v>23165479</v>
      </c>
      <c r="Q15" s="61">
        <f t="shared" si="18"/>
        <v>7371049</v>
      </c>
      <c r="R15" s="61">
        <f t="shared" si="18"/>
        <v>3340188</v>
      </c>
      <c r="S15" s="61">
        <f t="shared" si="18"/>
        <v>5781799</v>
      </c>
      <c r="T15" s="61">
        <f t="shared" si="18"/>
        <v>7483437.0250000004</v>
      </c>
      <c r="U15" s="61">
        <f t="shared" si="18"/>
        <v>4584859</v>
      </c>
      <c r="V15" s="61">
        <f t="shared" si="18"/>
        <v>4787254.0199999996</v>
      </c>
      <c r="W15" s="61">
        <f t="shared" si="18"/>
        <v>5457613.0249999985</v>
      </c>
      <c r="X15" s="61">
        <f t="shared" si="18"/>
        <v>8695469.0250000004</v>
      </c>
      <c r="Y15" s="61">
        <f t="shared" si="18"/>
        <v>5657017</v>
      </c>
      <c r="Z15" s="61">
        <f t="shared" si="18"/>
        <v>10141958.000000004</v>
      </c>
      <c r="AA15" s="61">
        <f t="shared" si="18"/>
        <v>18507303.100000001</v>
      </c>
      <c r="AB15" s="61">
        <f t="shared" si="18"/>
        <v>15155991</v>
      </c>
      <c r="AC15" s="61">
        <f t="shared" si="18"/>
        <v>14631315</v>
      </c>
      <c r="AD15" s="61">
        <f t="shared" si="18"/>
        <v>8298740.0800000001</v>
      </c>
      <c r="AE15" s="61">
        <f t="shared" si="18"/>
        <v>3561271.0999999973</v>
      </c>
      <c r="AF15" s="61">
        <f t="shared" si="18"/>
        <v>4606447.0499999467</v>
      </c>
      <c r="AG15" s="61">
        <f t="shared" si="18"/>
        <v>5710635</v>
      </c>
      <c r="AH15" s="61">
        <f t="shared" si="18"/>
        <v>2880500</v>
      </c>
      <c r="AI15" s="61">
        <f t="shared" si="18"/>
        <v>3210812</v>
      </c>
      <c r="AJ15" s="61">
        <f t="shared" si="18"/>
        <v>7701886.0499999998</v>
      </c>
      <c r="AK15" s="61">
        <f t="shared" si="18"/>
        <v>10390569.050000001</v>
      </c>
      <c r="AL15" s="61">
        <f t="shared" si="18"/>
        <v>21431296</v>
      </c>
      <c r="AM15" s="61">
        <f t="shared" si="18"/>
        <v>20628347.169999998</v>
      </c>
      <c r="AN15" s="61">
        <f t="shared" si="18"/>
        <v>15745518</v>
      </c>
      <c r="AO15" s="61">
        <f t="shared" si="18"/>
        <v>16029261.199999999</v>
      </c>
      <c r="AP15" s="61">
        <f t="shared" si="18"/>
        <v>7448353.9900000002</v>
      </c>
      <c r="AQ15" s="61">
        <f t="shared" si="18"/>
        <v>10536815.060000001</v>
      </c>
      <c r="AR15" s="61">
        <f t="shared" si="18"/>
        <v>17815995.359999999</v>
      </c>
      <c r="AS15" s="61">
        <f t="shared" si="18"/>
        <v>21967094.319999982</v>
      </c>
      <c r="AT15" s="61">
        <f t="shared" si="18"/>
        <v>21013238.759999979</v>
      </c>
      <c r="AU15" s="61">
        <f t="shared" si="18"/>
        <v>26811307.949999984</v>
      </c>
      <c r="AV15" s="61">
        <f t="shared" si="18"/>
        <v>29604812.639999986</v>
      </c>
      <c r="AW15" s="61">
        <f t="shared" si="18"/>
        <v>35587355.25</v>
      </c>
      <c r="AX15" s="61">
        <f t="shared" si="18"/>
        <v>42634668.859999985</v>
      </c>
      <c r="AY15" s="61">
        <f t="shared" si="18"/>
        <v>30266807.07</v>
      </c>
      <c r="AZ15" s="61">
        <f t="shared" si="18"/>
        <v>34270896.709999993</v>
      </c>
      <c r="BA15" s="61">
        <f t="shared" si="18"/>
        <v>75821838.350000113</v>
      </c>
      <c r="BB15" s="61">
        <f t="shared" si="18"/>
        <v>75000837.702900261</v>
      </c>
      <c r="BC15" s="61">
        <f t="shared" si="18"/>
        <v>66242323.428300701</v>
      </c>
      <c r="BD15" s="61">
        <f t="shared" si="18"/>
        <v>61992288.316796906</v>
      </c>
      <c r="BE15" s="61">
        <f t="shared" si="18"/>
        <v>83797824.555950761</v>
      </c>
      <c r="BF15" s="61">
        <f t="shared" si="18"/>
        <v>64337075.079313576</v>
      </c>
      <c r="BG15" s="61">
        <f t="shared" si="18"/>
        <v>80094705.911831737</v>
      </c>
      <c r="BH15" s="61">
        <f t="shared" si="18"/>
        <v>110750679.92354873</v>
      </c>
      <c r="BI15" s="61">
        <f t="shared" si="18"/>
        <v>86969746.886757255</v>
      </c>
      <c r="BJ15" s="61">
        <f t="shared" si="18"/>
        <v>68662283.398047894</v>
      </c>
      <c r="BK15" s="61">
        <f t="shared" si="18"/>
        <v>69485129.439170867</v>
      </c>
      <c r="BL15" s="61">
        <f t="shared" si="18"/>
        <v>78284819.977285311</v>
      </c>
      <c r="BM15" s="61">
        <f t="shared" si="18"/>
        <v>61100254</v>
      </c>
      <c r="BN15" s="61">
        <f t="shared" si="18"/>
        <v>67336287.00135459</v>
      </c>
      <c r="BO15" s="61">
        <f t="shared" si="18"/>
        <v>72663141.375642285</v>
      </c>
      <c r="BP15" s="61">
        <f t="shared" ref="BP15:DU15" si="19">SUM(BP16:BP17)</f>
        <v>70978356.135166034</v>
      </c>
      <c r="BQ15" s="61">
        <f t="shared" si="19"/>
        <v>76374290.018131271</v>
      </c>
      <c r="BR15" s="61">
        <f t="shared" si="19"/>
        <v>81213938.385640159</v>
      </c>
      <c r="BS15" s="61">
        <f t="shared" si="19"/>
        <v>82608537.574527636</v>
      </c>
      <c r="BT15" s="61">
        <f t="shared" si="19"/>
        <v>70181602.439170733</v>
      </c>
      <c r="BU15" s="61">
        <f t="shared" si="19"/>
        <v>76134056.059188887</v>
      </c>
      <c r="BV15" s="61">
        <f t="shared" si="19"/>
        <v>71718804.892820045</v>
      </c>
      <c r="BW15" s="61">
        <f t="shared" si="19"/>
        <v>88276103.901116952</v>
      </c>
      <c r="BX15" s="61">
        <f t="shared" si="19"/>
        <v>87900977.298842773</v>
      </c>
      <c r="BY15" s="61">
        <f t="shared" si="19"/>
        <v>122481478.46658428</v>
      </c>
      <c r="BZ15" s="61">
        <f t="shared" si="19"/>
        <v>130288537.13456243</v>
      </c>
      <c r="CA15" s="61">
        <f t="shared" si="19"/>
        <v>126101952.34102412</v>
      </c>
      <c r="CB15" s="61">
        <f t="shared" si="19"/>
        <v>125553900.74023493</v>
      </c>
      <c r="CC15" s="61">
        <f t="shared" si="19"/>
        <v>116592179.83000053</v>
      </c>
      <c r="CD15" s="61">
        <f t="shared" si="19"/>
        <v>113948660.62000078</v>
      </c>
      <c r="CE15" s="61">
        <f t="shared" si="19"/>
        <v>61477975.21000044</v>
      </c>
      <c r="CF15" s="61">
        <f t="shared" si="19"/>
        <v>127727227.58999993</v>
      </c>
      <c r="CG15" s="61">
        <f t="shared" si="19"/>
        <v>114688809.56999992</v>
      </c>
      <c r="CH15" s="61">
        <f t="shared" si="19"/>
        <v>127168565.17000028</v>
      </c>
      <c r="CI15" s="61">
        <f t="shared" si="19"/>
        <v>131547257.53999972</v>
      </c>
      <c r="CJ15" s="61">
        <f t="shared" si="19"/>
        <v>117221203.89999908</v>
      </c>
      <c r="CK15" s="61">
        <f t="shared" si="19"/>
        <v>123944195.34999995</v>
      </c>
      <c r="CL15" s="61">
        <f t="shared" si="19"/>
        <v>117111847.43208978</v>
      </c>
      <c r="CM15" s="61">
        <f t="shared" si="19"/>
        <v>118303771.68478613</v>
      </c>
      <c r="CN15" s="61">
        <f t="shared" si="19"/>
        <v>118219138.01003847</v>
      </c>
      <c r="CO15" s="61">
        <f t="shared" si="19"/>
        <v>120003497.98596853</v>
      </c>
      <c r="CP15" s="61">
        <f t="shared" si="19"/>
        <v>113077642.26911744</v>
      </c>
      <c r="CQ15" s="61">
        <f t="shared" si="19"/>
        <v>123699168.44995016</v>
      </c>
      <c r="CR15" s="61">
        <f t="shared" si="19"/>
        <v>120278557.42889847</v>
      </c>
      <c r="CS15" s="61">
        <f t="shared" si="19"/>
        <v>120560669.67805737</v>
      </c>
      <c r="CT15" s="61">
        <f t="shared" si="19"/>
        <v>147989033.10253173</v>
      </c>
      <c r="CU15" s="61">
        <f t="shared" si="19"/>
        <v>159456896.03084117</v>
      </c>
      <c r="CV15" s="61">
        <f t="shared" si="19"/>
        <v>136704543.1361756</v>
      </c>
      <c r="CW15" s="61">
        <f t="shared" si="19"/>
        <v>147721026.46583077</v>
      </c>
      <c r="CX15" s="61">
        <f t="shared" si="19"/>
        <v>138718983.28331032</v>
      </c>
      <c r="CY15" s="61">
        <f t="shared" si="19"/>
        <v>140130817.56062916</v>
      </c>
      <c r="CZ15" s="61">
        <f t="shared" si="19"/>
        <v>140030568.97289056</v>
      </c>
      <c r="DA15" s="61">
        <f t="shared" si="19"/>
        <v>142144143.3643797</v>
      </c>
      <c r="DB15" s="61">
        <f t="shared" si="19"/>
        <v>133940467.26776959</v>
      </c>
      <c r="DC15" s="61">
        <f t="shared" si="19"/>
        <v>146521665.02896595</v>
      </c>
      <c r="DD15" s="61">
        <f t="shared" si="19"/>
        <v>142469951.2745302</v>
      </c>
      <c r="DE15" s="61">
        <f t="shared" si="19"/>
        <v>142804113.23365894</v>
      </c>
      <c r="DF15" s="61">
        <f t="shared" si="19"/>
        <v>175293009.70994884</v>
      </c>
      <c r="DG15" s="61">
        <f t="shared" si="19"/>
        <v>188876693.34853137</v>
      </c>
      <c r="DH15" s="61">
        <f t="shared" si="19"/>
        <v>161926531.3448</v>
      </c>
      <c r="DI15" s="61">
        <f t="shared" si="19"/>
        <v>174975555.84877658</v>
      </c>
      <c r="DJ15" s="61">
        <f t="shared" si="19"/>
        <v>164312635.69908112</v>
      </c>
      <c r="DK15" s="61">
        <f t="shared" si="19"/>
        <v>165984953.4005653</v>
      </c>
      <c r="DL15" s="61">
        <f t="shared" si="19"/>
        <v>165866208.9483889</v>
      </c>
      <c r="DM15" s="61">
        <f t="shared" si="19"/>
        <v>168369737.81510782</v>
      </c>
      <c r="DN15" s="61">
        <f t="shared" si="19"/>
        <v>158652483.47867313</v>
      </c>
      <c r="DO15" s="61">
        <f t="shared" si="19"/>
        <v>173554912.22681022</v>
      </c>
      <c r="DP15" s="61">
        <f t="shared" si="19"/>
        <v>168755657.28468105</v>
      </c>
      <c r="DQ15" s="61">
        <f t="shared" si="19"/>
        <v>169151472.125269</v>
      </c>
      <c r="DR15" s="61">
        <f t="shared" si="19"/>
        <v>207634570.00143439</v>
      </c>
      <c r="DS15" s="61">
        <f t="shared" si="19"/>
        <v>223724443.27133533</v>
      </c>
      <c r="DT15" s="61">
        <f t="shared" si="19"/>
        <v>191801976.37791553</v>
      </c>
      <c r="DU15" s="61">
        <f t="shared" si="19"/>
        <v>207258545.90287578</v>
      </c>
      <c r="DW15" s="674">
        <f>SUM(BB15:BD15)</f>
        <v>203235449.44799787</v>
      </c>
      <c r="DX15" s="672">
        <f>SUM(BE15:BG15)</f>
        <v>228229605.54709607</v>
      </c>
      <c r="DY15" s="672">
        <f>SUM(BH15:BJ15)</f>
        <v>266382710.20835388</v>
      </c>
      <c r="DZ15" s="672">
        <f>SUM(BK15:BM15)</f>
        <v>208870203.41645616</v>
      </c>
      <c r="EA15" s="672">
        <f>SUM(BN15:BP15)</f>
        <v>210977784.51216292</v>
      </c>
      <c r="EB15" s="672">
        <f>SUM(BQ15:BS15)</f>
        <v>240196765.97829908</v>
      </c>
      <c r="EC15" s="672">
        <f>SUM(BT15:BV15)</f>
        <v>218034463.39117968</v>
      </c>
      <c r="ED15" s="672">
        <f>SUM(BW15:BY15)</f>
        <v>298658559.66654402</v>
      </c>
      <c r="EE15" s="672">
        <f>SUM(BZ15:CB15)</f>
        <v>381944390.21582144</v>
      </c>
      <c r="EF15" s="672">
        <f>SUM(CC15:CE15)</f>
        <v>292018815.66000175</v>
      </c>
      <c r="EG15" s="672">
        <f>SUM(CF15:CH15)</f>
        <v>369584602.33000016</v>
      </c>
      <c r="EH15" s="672">
        <f>SUM(CI15:CK15)</f>
        <v>372712656.78999877</v>
      </c>
      <c r="EI15" s="672">
        <f>SUM(CL15:CN15)</f>
        <v>353634757.12691438</v>
      </c>
      <c r="EJ15" s="672">
        <f>SUM(CO15:CQ15)</f>
        <v>356780308.70503616</v>
      </c>
      <c r="EK15" s="672">
        <f>SUM(CR15:CT15)</f>
        <v>388828260.20948756</v>
      </c>
      <c r="EL15" s="672">
        <f>SUM(CU15:CW15)</f>
        <v>443882465.63284755</v>
      </c>
      <c r="EM15" s="672">
        <f>SUM(CX15:CZ15)</f>
        <v>418880369.81683004</v>
      </c>
      <c r="EN15" s="672">
        <f>SUM(DA15:DC15)</f>
        <v>422606275.66111523</v>
      </c>
      <c r="EO15" s="673">
        <f>SUM(DD15:DF15)</f>
        <v>460567074.21813798</v>
      </c>
      <c r="EP15" s="674">
        <f>SUM(DG15:DI15)</f>
        <v>525778780.54210794</v>
      </c>
      <c r="EQ15" s="674">
        <f t="shared" si="5"/>
        <v>496163798.04803538</v>
      </c>
      <c r="ER15" s="674">
        <f t="shared" si="6"/>
        <v>500577133.52059114</v>
      </c>
      <c r="ES15" s="674">
        <f t="shared" si="7"/>
        <v>545541699.41138434</v>
      </c>
      <c r="ET15" s="674">
        <f t="shared" si="8"/>
        <v>622784965.55212665</v>
      </c>
      <c r="EV15" s="676">
        <f t="shared" si="9"/>
        <v>906717968.61990404</v>
      </c>
      <c r="EW15" s="672">
        <f t="shared" si="10"/>
        <v>967867573.54818559</v>
      </c>
      <c r="EX15" s="672">
        <f t="shared" si="11"/>
        <v>1416260464.9958222</v>
      </c>
      <c r="EY15" s="672">
        <f t="shared" si="12"/>
        <v>1543125791.6742857</v>
      </c>
      <c r="EZ15" s="672">
        <f t="shared" si="13"/>
        <v>1827832500.2381911</v>
      </c>
      <c r="FA15" s="677">
        <f t="shared" si="17"/>
        <v>2165067596.5321379</v>
      </c>
    </row>
    <row r="16" spans="2:157" x14ac:dyDescent="0.2">
      <c r="B16" s="114" t="s">
        <v>132</v>
      </c>
      <c r="C16" s="129">
        <f>'P&amp;L - Inputs'!K168</f>
        <v>0</v>
      </c>
      <c r="D16" s="129">
        <f>'P&amp;L - Inputs'!L168</f>
        <v>0</v>
      </c>
      <c r="E16" s="129">
        <f>'P&amp;L - Inputs'!M168</f>
        <v>0</v>
      </c>
      <c r="F16" s="129">
        <f>'P&amp;L - Inputs'!N168</f>
        <v>0</v>
      </c>
      <c r="G16" s="129">
        <f>'P&amp;L - Inputs'!O168</f>
        <v>0</v>
      </c>
      <c r="H16" s="129">
        <f>'P&amp;L - Inputs'!P168</f>
        <v>0</v>
      </c>
      <c r="I16" s="129">
        <f>'P&amp;L - Inputs'!Q168</f>
        <v>0</v>
      </c>
      <c r="J16" s="129">
        <f>'P&amp;L - Inputs'!R168</f>
        <v>0</v>
      </c>
      <c r="K16" s="129">
        <f>'P&amp;L - Inputs'!S168</f>
        <v>0</v>
      </c>
      <c r="L16" s="129">
        <f>'P&amp;L - Inputs'!T168</f>
        <v>0</v>
      </c>
      <c r="M16" s="129">
        <f>'P&amp;L - Inputs'!U168</f>
        <v>0</v>
      </c>
      <c r="N16" s="129">
        <f>'P&amp;L - Inputs'!V168</f>
        <v>0</v>
      </c>
      <c r="O16" s="129">
        <f>'P&amp;L - Inputs'!W168</f>
        <v>0</v>
      </c>
      <c r="P16" s="129">
        <f>'P&amp;L - Inputs'!X168</f>
        <v>0</v>
      </c>
      <c r="Q16" s="129">
        <f>'P&amp;L - Inputs'!Y168</f>
        <v>0</v>
      </c>
      <c r="R16" s="129">
        <f>'P&amp;L - Inputs'!Z168</f>
        <v>0</v>
      </c>
      <c r="S16" s="129">
        <f>'P&amp;L - Inputs'!AA168</f>
        <v>0</v>
      </c>
      <c r="T16" s="129">
        <f>'P&amp;L - Inputs'!AB168</f>
        <v>55013.024999999907</v>
      </c>
      <c r="U16" s="129">
        <f>'P&amp;L - Inputs'!AC168</f>
        <v>18299</v>
      </c>
      <c r="V16" s="129">
        <f>'P&amp;L - Inputs'!AD168</f>
        <v>93046.020000000019</v>
      </c>
      <c r="W16" s="129">
        <f>'P&amp;L - Inputs'!AE168</f>
        <v>61322.025000000023</v>
      </c>
      <c r="X16" s="129">
        <f>'P&amp;L - Inputs'!AF168</f>
        <v>26538.024999999907</v>
      </c>
      <c r="Y16" s="129">
        <f>'P&amp;L - Inputs'!AG168</f>
        <v>0</v>
      </c>
      <c r="Z16" s="129">
        <f>'P&amp;L - Inputs'!AH168</f>
        <v>144892</v>
      </c>
      <c r="AA16" s="129">
        <f>'P&amp;L - Inputs'!AI168</f>
        <v>32518</v>
      </c>
      <c r="AB16" s="129">
        <f>'P&amp;L - Inputs'!AJ168</f>
        <v>191679</v>
      </c>
      <c r="AC16" s="129">
        <f>'P&amp;L - Inputs'!AK168</f>
        <v>247318</v>
      </c>
      <c r="AD16" s="129">
        <f>'P&amp;L - Inputs'!AL168</f>
        <v>208143.07999999961</v>
      </c>
      <c r="AE16" s="129">
        <f>'P&amp;L - Inputs'!AM168</f>
        <v>184705.0999999973</v>
      </c>
      <c r="AF16" s="129">
        <f>'P&amp;L - Inputs'!AN168</f>
        <v>151295.04999999516</v>
      </c>
      <c r="AG16" s="129">
        <f>'P&amp;L - Inputs'!AO168</f>
        <v>367997</v>
      </c>
      <c r="AH16" s="129">
        <f>'P&amp;L - Inputs'!AP168</f>
        <v>103185</v>
      </c>
      <c r="AI16" s="129">
        <f>'P&amp;L - Inputs'!AQ168</f>
        <v>55683</v>
      </c>
      <c r="AJ16" s="129">
        <f>'P&amp;L - Inputs'!AR168</f>
        <v>1152032.0499999998</v>
      </c>
      <c r="AK16" s="129">
        <f>'P&amp;L - Inputs'!AS168</f>
        <v>948856.05000000075</v>
      </c>
      <c r="AL16" s="129">
        <f>'P&amp;L - Inputs'!AT168</f>
        <v>1635594</v>
      </c>
      <c r="AM16" s="129">
        <f>'P&amp;L - Inputs'!AU168</f>
        <v>1921789.1699999981</v>
      </c>
      <c r="AN16" s="129">
        <f>'P&amp;L - Inputs'!AV168</f>
        <v>2919967</v>
      </c>
      <c r="AO16" s="129">
        <f>'P&amp;L - Inputs'!AW168</f>
        <v>10653825.199999999</v>
      </c>
      <c r="AP16" s="129">
        <f>'P&amp;L - Inputs'!AX168</f>
        <v>5332350.99</v>
      </c>
      <c r="AQ16" s="129">
        <f>'P&amp;L - Inputs'!AY168</f>
        <v>4489392.0600000005</v>
      </c>
      <c r="AR16" s="129">
        <f>'P&amp;L - Inputs'!AZ168</f>
        <v>14616234.359999999</v>
      </c>
      <c r="AS16" s="129">
        <f>'P&amp;L - Inputs'!BA168</f>
        <v>19886846.319999982</v>
      </c>
      <c r="AT16" s="129">
        <f>'P&amp;L - Inputs'!BB168</f>
        <v>18850241.759999979</v>
      </c>
      <c r="AU16" s="129">
        <f>'P&amp;L - Inputs'!BC168</f>
        <v>22870050.129999984</v>
      </c>
      <c r="AV16" s="129">
        <f>'P&amp;L - Inputs'!BD168</f>
        <v>22352591.139999986</v>
      </c>
      <c r="AW16" s="129">
        <f>'P&amp;L - Inputs'!BE168</f>
        <v>20401411.25</v>
      </c>
      <c r="AX16" s="129">
        <f>'P&amp;L - Inputs'!BF168</f>
        <v>26628443.859999981</v>
      </c>
      <c r="AY16" s="129">
        <f>'P&amp;L - Inputs'!BG168</f>
        <v>21813497.07</v>
      </c>
      <c r="AZ16" s="129">
        <f>'P&amp;L - Inputs'!BH168</f>
        <v>28392750.70999999</v>
      </c>
      <c r="BA16" s="129">
        <f>'P&amp;L - Inputs'!BI168</f>
        <v>64248156.350000121</v>
      </c>
      <c r="BB16" s="129">
        <f>'P&amp;L - Inputs'!BJ168</f>
        <v>68636000.702900261</v>
      </c>
      <c r="BC16" s="129">
        <f>'P&amp;L - Inputs'!BK168</f>
        <v>64181226.428300701</v>
      </c>
      <c r="BD16" s="129">
        <f>'P&amp;L - Inputs'!BL168</f>
        <v>61811032.316796906</v>
      </c>
      <c r="BE16" s="129">
        <f>'P&amp;L - Inputs'!BM168</f>
        <v>83797824.555950761</v>
      </c>
      <c r="BF16" s="129">
        <f>'P&amp;L - Inputs'!BN168</f>
        <v>64337075.079313576</v>
      </c>
      <c r="BG16" s="129">
        <f>'P&amp;L - Inputs'!BO168</f>
        <v>80094705.911831737</v>
      </c>
      <c r="BH16" s="129">
        <f>'P&amp;L - Inputs'!BP168</f>
        <v>110750679.92354873</v>
      </c>
      <c r="BI16" s="129">
        <f>'P&amp;L - Inputs'!BQ168</f>
        <v>86969746.886757255</v>
      </c>
      <c r="BJ16" s="129">
        <f>'P&amp;L - Inputs'!BR168</f>
        <v>68662283.398047894</v>
      </c>
      <c r="BK16" s="129">
        <f>'P&amp;L - Inputs'!BS168</f>
        <v>69485129.439170867</v>
      </c>
      <c r="BL16" s="129">
        <f>'P&amp;L - Inputs'!BT168</f>
        <v>78284819.977285311</v>
      </c>
      <c r="BM16" s="129">
        <f>'P&amp;L - Inputs'!BU168</f>
        <v>61100254</v>
      </c>
      <c r="BN16" s="129">
        <f>'P&amp;L - Inputs'!BV168</f>
        <v>67336287.00135459</v>
      </c>
      <c r="BO16" s="129">
        <f>'P&amp;L - Inputs'!BW168</f>
        <v>72663141.375642285</v>
      </c>
      <c r="BP16" s="129">
        <f>'P&amp;L - Inputs'!BX168</f>
        <v>70978356.135166034</v>
      </c>
      <c r="BQ16" s="129">
        <f>'P&amp;L - Inputs'!BY168</f>
        <v>76374290.018131271</v>
      </c>
      <c r="BR16" s="129">
        <f>'P&amp;L - Inputs'!BZ168</f>
        <v>81213938.385640159</v>
      </c>
      <c r="BS16" s="129">
        <f>'P&amp;L - Inputs'!CA168</f>
        <v>82608537.574527636</v>
      </c>
      <c r="BT16" s="129">
        <f>'P&amp;L - Inputs'!CB168</f>
        <v>70181602.439170733</v>
      </c>
      <c r="BU16" s="129">
        <f>'P&amp;L - Inputs'!CC168</f>
        <v>76134056.059188887</v>
      </c>
      <c r="BV16" s="129">
        <f>'P&amp;L - Inputs'!CD168</f>
        <v>71718804.892820045</v>
      </c>
      <c r="BW16" s="129">
        <f>'P&amp;L - Inputs'!CE168</f>
        <v>88276103.901116952</v>
      </c>
      <c r="BX16" s="129">
        <f>'P&amp;L - Inputs'!CF168</f>
        <v>87900977.298842773</v>
      </c>
      <c r="BY16" s="129">
        <f>'P&amp;L - Inputs'!CG168</f>
        <v>122481478.46658428</v>
      </c>
      <c r="BZ16" s="129">
        <f>'P&amp;L - Inputs'!CH168</f>
        <v>130288537.13456243</v>
      </c>
      <c r="CA16" s="129">
        <f>'P&amp;L - Inputs'!CI168</f>
        <v>126101952.34102412</v>
      </c>
      <c r="CB16" s="129">
        <f>'P&amp;L - Inputs'!CJ168</f>
        <v>125553900.74023493</v>
      </c>
      <c r="CC16" s="129">
        <f>'P&amp;L - Inputs'!CK168</f>
        <v>116592179.83000053</v>
      </c>
      <c r="CD16" s="129">
        <f>'P&amp;L - Inputs'!CL168</f>
        <v>113948660.62000078</v>
      </c>
      <c r="CE16" s="129">
        <f>'P&amp;L - Inputs'!CM168</f>
        <v>61477975.21000044</v>
      </c>
      <c r="CF16" s="129">
        <f>'P&amp;L - Inputs'!CN168</f>
        <v>127727227.58999993</v>
      </c>
      <c r="CG16" s="129">
        <f>'P&amp;L - Inputs'!CO168</f>
        <v>114688809.56999992</v>
      </c>
      <c r="CH16" s="129">
        <f>'P&amp;L - Inputs'!CP168</f>
        <v>127168565.17000028</v>
      </c>
      <c r="CI16" s="129">
        <f>'P&amp;L - Inputs'!CQ168</f>
        <v>131547257.53999972</v>
      </c>
      <c r="CJ16" s="129">
        <f>'P&amp;L - Inputs'!CR168</f>
        <v>117221203.89999908</v>
      </c>
      <c r="CK16" s="129">
        <f>'P&amp;L - Inputs'!CS168</f>
        <v>123944195.34999995</v>
      </c>
      <c r="CL16" s="129">
        <f>'P&amp;L - Inputs'!CT168</f>
        <v>117111847.43208978</v>
      </c>
      <c r="CM16" s="129">
        <f>'P&amp;L - Inputs'!CU168</f>
        <v>118303771.68478613</v>
      </c>
      <c r="CN16" s="129">
        <f>'P&amp;L - Inputs'!CV168</f>
        <v>118219138.01003847</v>
      </c>
      <c r="CO16" s="129">
        <f>'P&amp;L - Inputs'!CW168</f>
        <v>120003497.98596853</v>
      </c>
      <c r="CP16" s="129">
        <f>'P&amp;L - Inputs'!CX168</f>
        <v>113077642.26911744</v>
      </c>
      <c r="CQ16" s="129">
        <f>'P&amp;L - Inputs'!CY168</f>
        <v>123699168.44995016</v>
      </c>
      <c r="CR16" s="129">
        <f>'P&amp;L - Inputs'!CZ168</f>
        <v>120278557.42889847</v>
      </c>
      <c r="CS16" s="129">
        <f>'P&amp;L - Inputs'!DA168</f>
        <v>120560669.67805737</v>
      </c>
      <c r="CT16" s="129">
        <f>'P&amp;L - Inputs'!DB168</f>
        <v>147989033.10253173</v>
      </c>
      <c r="CU16" s="129">
        <f>'P&amp;L - Inputs'!DC168</f>
        <v>159456896.03084117</v>
      </c>
      <c r="CV16" s="129">
        <f>'P&amp;L - Inputs'!DD168</f>
        <v>136704543.1361756</v>
      </c>
      <c r="CW16" s="129">
        <f>'P&amp;L - Inputs'!DE168</f>
        <v>147721026.46583077</v>
      </c>
      <c r="CX16" s="129">
        <f>'P&amp;L - Inputs'!DF168</f>
        <v>138718983.28331032</v>
      </c>
      <c r="CY16" s="129">
        <f>'P&amp;L - Inputs'!DG168</f>
        <v>140130817.56062916</v>
      </c>
      <c r="CZ16" s="129">
        <f>'P&amp;L - Inputs'!DH168</f>
        <v>140030568.97289056</v>
      </c>
      <c r="DA16" s="129">
        <f>'P&amp;L - Inputs'!DI168</f>
        <v>142144143.3643797</v>
      </c>
      <c r="DB16" s="129">
        <f>'P&amp;L - Inputs'!DJ168</f>
        <v>133940467.26776959</v>
      </c>
      <c r="DC16" s="129">
        <f>'P&amp;L - Inputs'!DK168</f>
        <v>146521665.02896595</v>
      </c>
      <c r="DD16" s="129">
        <f>'P&amp;L - Inputs'!DL168</f>
        <v>142469951.2745302</v>
      </c>
      <c r="DE16" s="129">
        <f>'P&amp;L - Inputs'!DM168</f>
        <v>142804113.23365894</v>
      </c>
      <c r="DF16" s="129">
        <f>'P&amp;L - Inputs'!DN168</f>
        <v>175293009.70994884</v>
      </c>
      <c r="DG16" s="129">
        <f>'P&amp;L - Inputs'!DO168</f>
        <v>188876693.34853137</v>
      </c>
      <c r="DH16" s="129">
        <f>'P&amp;L - Inputs'!DP168</f>
        <v>161926531.3448</v>
      </c>
      <c r="DI16" s="129">
        <f>'P&amp;L - Inputs'!DQ168</f>
        <v>174975555.84877658</v>
      </c>
      <c r="DJ16" s="129">
        <f>'P&amp;L - Inputs'!DR168</f>
        <v>164312635.69908112</v>
      </c>
      <c r="DK16" s="129">
        <f>'P&amp;L - Inputs'!DS168</f>
        <v>165984953.4005653</v>
      </c>
      <c r="DL16" s="129">
        <f>'P&amp;L - Inputs'!DT168</f>
        <v>165866208.9483889</v>
      </c>
      <c r="DM16" s="129">
        <f>'P&amp;L - Inputs'!DU168</f>
        <v>168369737.81510782</v>
      </c>
      <c r="DN16" s="129">
        <f>'P&amp;L - Inputs'!DV168</f>
        <v>158652483.47867313</v>
      </c>
      <c r="DO16" s="129">
        <f>'P&amp;L - Inputs'!DW168</f>
        <v>173554912.22681022</v>
      </c>
      <c r="DP16" s="129">
        <f>'P&amp;L - Inputs'!DX168</f>
        <v>168755657.28468105</v>
      </c>
      <c r="DQ16" s="129">
        <f>'P&amp;L - Inputs'!DY168</f>
        <v>169151472.125269</v>
      </c>
      <c r="DR16" s="129">
        <f>'P&amp;L - Inputs'!DZ168</f>
        <v>207634570.00143439</v>
      </c>
      <c r="DS16" s="129">
        <f>'P&amp;L - Inputs'!EA168</f>
        <v>223724443.27133533</v>
      </c>
      <c r="DT16" s="129">
        <f>'P&amp;L - Inputs'!EB168</f>
        <v>191801976.37791553</v>
      </c>
      <c r="DU16" s="129">
        <f>'P&amp;L - Inputs'!EC168</f>
        <v>207258545.90287578</v>
      </c>
      <c r="DW16" s="129">
        <f>SUM(BB16:BD16)</f>
        <v>194628259.44799787</v>
      </c>
      <c r="DX16" s="663">
        <f>SUM(BE16:BG16)</f>
        <v>228229605.54709607</v>
      </c>
      <c r="DY16" s="129">
        <f>SUM(BH16:BJ16)</f>
        <v>266382710.20835388</v>
      </c>
      <c r="DZ16" s="129">
        <f>SUM(BK16:BM16)</f>
        <v>208870203.41645616</v>
      </c>
      <c r="EA16" s="129">
        <f>SUM(BN16:BP16)</f>
        <v>210977784.51216292</v>
      </c>
      <c r="EB16" s="129">
        <f>SUM(BQ16:BS16)</f>
        <v>240196765.97829908</v>
      </c>
      <c r="EC16" s="129">
        <f>SUM(BT16:BV16)</f>
        <v>218034463.39117968</v>
      </c>
      <c r="ED16" s="129">
        <f>SUM(BW16:BY16)</f>
        <v>298658559.66654402</v>
      </c>
      <c r="EE16" s="129">
        <f>SUM(BZ16:CB16)</f>
        <v>381944390.21582144</v>
      </c>
      <c r="EF16" s="129">
        <f>SUM(CC16:CE16)</f>
        <v>292018815.66000175</v>
      </c>
      <c r="EG16" s="129">
        <f>SUM(CF16:CH16)</f>
        <v>369584602.33000016</v>
      </c>
      <c r="EH16" s="129">
        <f>SUM(CI16:CK16)</f>
        <v>372712656.78999877</v>
      </c>
      <c r="EI16" s="129">
        <f>SUM(CL16:CN16)</f>
        <v>353634757.12691438</v>
      </c>
      <c r="EJ16" s="129">
        <f>SUM(CO16:CQ16)</f>
        <v>356780308.70503616</v>
      </c>
      <c r="EK16" s="129">
        <f>SUM(CR16:CT16)</f>
        <v>388828260.20948756</v>
      </c>
      <c r="EL16" s="129">
        <f>SUM(CU16:CW16)</f>
        <v>443882465.63284755</v>
      </c>
      <c r="EM16" s="129">
        <f>SUM(CX16:CZ16)</f>
        <v>418880369.81683004</v>
      </c>
      <c r="EN16" s="129">
        <f>SUM(DA16:DC16)</f>
        <v>422606275.66111523</v>
      </c>
      <c r="EO16" s="644">
        <f>SUM(DD16:DF16)</f>
        <v>460567074.21813798</v>
      </c>
      <c r="EP16" s="129">
        <f>SUM(DG16:DI16)</f>
        <v>525778780.54210794</v>
      </c>
      <c r="EQ16" s="129">
        <f t="shared" si="5"/>
        <v>496163798.04803538</v>
      </c>
      <c r="ER16" s="129">
        <f t="shared" si="6"/>
        <v>500577133.52059114</v>
      </c>
      <c r="ES16" s="129">
        <f t="shared" si="7"/>
        <v>545541699.41138434</v>
      </c>
      <c r="ET16" s="129">
        <f t="shared" si="8"/>
        <v>622784965.55212665</v>
      </c>
      <c r="EV16" s="129">
        <f t="shared" si="9"/>
        <v>898110778.61990404</v>
      </c>
      <c r="EW16" s="129">
        <f t="shared" si="10"/>
        <v>967867573.54818559</v>
      </c>
      <c r="EX16" s="129">
        <f t="shared" si="11"/>
        <v>1416260464.9958222</v>
      </c>
      <c r="EY16" s="129">
        <f t="shared" si="12"/>
        <v>1543125791.6742857</v>
      </c>
      <c r="EZ16" s="129">
        <f t="shared" si="13"/>
        <v>1827832500.2381911</v>
      </c>
      <c r="FA16" s="663">
        <f t="shared" si="17"/>
        <v>2165067596.5321379</v>
      </c>
    </row>
    <row r="17" spans="2:157" x14ac:dyDescent="0.2">
      <c r="B17" s="114" t="s">
        <v>133</v>
      </c>
      <c r="C17" s="129">
        <f>'P&amp;L - Inputs'!K169</f>
        <v>0</v>
      </c>
      <c r="D17" s="129">
        <f>'P&amp;L - Inputs'!L169</f>
        <v>45188.72</v>
      </c>
      <c r="E17" s="129">
        <f>'P&amp;L - Inputs'!M169</f>
        <v>14401.34</v>
      </c>
      <c r="F17" s="129">
        <f>'P&amp;L - Inputs'!N169</f>
        <v>0</v>
      </c>
      <c r="G17" s="129">
        <f>'P&amp;L - Inputs'!O169</f>
        <v>29624</v>
      </c>
      <c r="H17" s="129">
        <f>'P&amp;L - Inputs'!P169</f>
        <v>1166773</v>
      </c>
      <c r="I17" s="129">
        <f>'P&amp;L - Inputs'!Q169</f>
        <v>413272</v>
      </c>
      <c r="J17" s="129">
        <f>'P&amp;L - Inputs'!R169</f>
        <v>156539</v>
      </c>
      <c r="K17" s="129">
        <f>'P&amp;L - Inputs'!S169</f>
        <v>4006057.7999999993</v>
      </c>
      <c r="L17" s="129">
        <f>'P&amp;L - Inputs'!T169</f>
        <v>281230</v>
      </c>
      <c r="M17" s="129">
        <f>'P&amp;L - Inputs'!U169</f>
        <v>4495700</v>
      </c>
      <c r="N17" s="129">
        <f>'P&amp;L - Inputs'!V169</f>
        <v>1391295</v>
      </c>
      <c r="O17" s="129">
        <f>'P&amp;L - Inputs'!W169</f>
        <v>3247790</v>
      </c>
      <c r="P17" s="129">
        <f>'P&amp;L - Inputs'!X169</f>
        <v>23165479</v>
      </c>
      <c r="Q17" s="129">
        <f>'P&amp;L - Inputs'!Y169</f>
        <v>7371049</v>
      </c>
      <c r="R17" s="129">
        <f>'P&amp;L - Inputs'!Z169</f>
        <v>3340188</v>
      </c>
      <c r="S17" s="129">
        <f>'P&amp;L - Inputs'!AA169</f>
        <v>5781799</v>
      </c>
      <c r="T17" s="129">
        <f>'P&amp;L - Inputs'!AB169</f>
        <v>7428424</v>
      </c>
      <c r="U17" s="129">
        <f>'P&amp;L - Inputs'!AC169</f>
        <v>4566560</v>
      </c>
      <c r="V17" s="129">
        <f>'P&amp;L - Inputs'!AD169</f>
        <v>4694208</v>
      </c>
      <c r="W17" s="129">
        <f>'P&amp;L - Inputs'!AE169</f>
        <v>5396290.9999999981</v>
      </c>
      <c r="X17" s="129">
        <f>'P&amp;L - Inputs'!AF169</f>
        <v>8668931</v>
      </c>
      <c r="Y17" s="129">
        <f>'P&amp;L - Inputs'!AG169</f>
        <v>5657017</v>
      </c>
      <c r="Z17" s="129">
        <f>'P&amp;L - Inputs'!AH169</f>
        <v>9997066.0000000037</v>
      </c>
      <c r="AA17" s="129">
        <f>'P&amp;L - Inputs'!AI169</f>
        <v>18474785.100000001</v>
      </c>
      <c r="AB17" s="129">
        <f>'P&amp;L - Inputs'!AJ169</f>
        <v>14964312</v>
      </c>
      <c r="AC17" s="129">
        <f>'P&amp;L - Inputs'!AK169</f>
        <v>14383997</v>
      </c>
      <c r="AD17" s="129">
        <f>'P&amp;L - Inputs'!AL169</f>
        <v>8090597</v>
      </c>
      <c r="AE17" s="129">
        <f>'P&amp;L - Inputs'!AM169</f>
        <v>3376566</v>
      </c>
      <c r="AF17" s="129">
        <f>'P&amp;L - Inputs'!AN169</f>
        <v>4455151.9999999516</v>
      </c>
      <c r="AG17" s="129">
        <f>'P&amp;L - Inputs'!AO169</f>
        <v>5342638</v>
      </c>
      <c r="AH17" s="129">
        <f>'P&amp;L - Inputs'!AP169</f>
        <v>2777315</v>
      </c>
      <c r="AI17" s="129">
        <f>'P&amp;L - Inputs'!AQ169</f>
        <v>3155129</v>
      </c>
      <c r="AJ17" s="129">
        <f>'P&amp;L - Inputs'!AR169</f>
        <v>6549854</v>
      </c>
      <c r="AK17" s="129">
        <f>'P&amp;L - Inputs'!AS169</f>
        <v>9441713</v>
      </c>
      <c r="AL17" s="129">
        <f>'P&amp;L - Inputs'!AT169</f>
        <v>19795702</v>
      </c>
      <c r="AM17" s="129">
        <f>'P&amp;L - Inputs'!AU169</f>
        <v>18706558</v>
      </c>
      <c r="AN17" s="129">
        <f>'P&amp;L - Inputs'!AV169</f>
        <v>12825551</v>
      </c>
      <c r="AO17" s="129">
        <f>'P&amp;L - Inputs'!AW169</f>
        <v>5375436</v>
      </c>
      <c r="AP17" s="129">
        <f>'P&amp;L - Inputs'!AX169</f>
        <v>2116003</v>
      </c>
      <c r="AQ17" s="129">
        <f>'P&amp;L - Inputs'!AY169</f>
        <v>6047423</v>
      </c>
      <c r="AR17" s="129">
        <f>'P&amp;L - Inputs'!AZ169</f>
        <v>3199761</v>
      </c>
      <c r="AS17" s="129">
        <f>'P&amp;L - Inputs'!BA169</f>
        <v>2080248</v>
      </c>
      <c r="AT17" s="129">
        <f>'P&amp;L - Inputs'!BB169</f>
        <v>2162997</v>
      </c>
      <c r="AU17" s="129">
        <f>'P&amp;L - Inputs'!BC169</f>
        <v>3941257.8200000003</v>
      </c>
      <c r="AV17" s="129">
        <f>'P&amp;L - Inputs'!BD169</f>
        <v>7252221.5</v>
      </c>
      <c r="AW17" s="129">
        <f>'P&amp;L - Inputs'!BE169</f>
        <v>15185944</v>
      </c>
      <c r="AX17" s="129">
        <f>'P&amp;L - Inputs'!BF169</f>
        <v>16006225</v>
      </c>
      <c r="AY17" s="129">
        <f>'P&amp;L - Inputs'!BG169</f>
        <v>8453310</v>
      </c>
      <c r="AZ17" s="129">
        <f>'P&amp;L - Inputs'!BH169</f>
        <v>5878146</v>
      </c>
      <c r="BA17" s="129">
        <f>'P&amp;L - Inputs'!BI169</f>
        <v>11573682</v>
      </c>
      <c r="BB17" s="129">
        <f>'P&amp;L - Inputs'!BJ169</f>
        <v>6364837</v>
      </c>
      <c r="BC17" s="129">
        <f>'P&amp;L - Inputs'!BK169</f>
        <v>2061097</v>
      </c>
      <c r="BD17" s="129">
        <f>'P&amp;L - Inputs'!BL169</f>
        <v>181256</v>
      </c>
      <c r="BE17" s="129">
        <f>'P&amp;L - Inputs'!BM169</f>
        <v>0</v>
      </c>
      <c r="BF17" s="129">
        <f>'P&amp;L - Inputs'!BN169</f>
        <v>0</v>
      </c>
      <c r="BG17" s="129">
        <f>'P&amp;L - Inputs'!BO169</f>
        <v>0</v>
      </c>
      <c r="BH17" s="129">
        <f>'P&amp;L - Inputs'!BP169</f>
        <v>0</v>
      </c>
      <c r="BI17" s="129">
        <f>'P&amp;L - Inputs'!BQ169</f>
        <v>0</v>
      </c>
      <c r="BJ17" s="129">
        <f>'P&amp;L - Inputs'!BR169</f>
        <v>0</v>
      </c>
      <c r="BK17" s="129">
        <f>'P&amp;L - Inputs'!BS169</f>
        <v>0</v>
      </c>
      <c r="BL17" s="129">
        <f>'P&amp;L - Inputs'!BT169</f>
        <v>0</v>
      </c>
      <c r="BM17" s="129">
        <f>'P&amp;L - Inputs'!BU169</f>
        <v>0</v>
      </c>
      <c r="BN17" s="129">
        <f>'P&amp;L - Inputs'!BV169</f>
        <v>0</v>
      </c>
      <c r="BO17" s="129">
        <f>'P&amp;L - Inputs'!BW169</f>
        <v>0</v>
      </c>
      <c r="BP17" s="129">
        <f>'P&amp;L - Inputs'!BX169</f>
        <v>0</v>
      </c>
      <c r="BQ17" s="129">
        <f>'P&amp;L - Inputs'!BY169</f>
        <v>0</v>
      </c>
      <c r="BR17" s="129">
        <f>'P&amp;L - Inputs'!BZ169</f>
        <v>0</v>
      </c>
      <c r="BS17" s="129">
        <f>'P&amp;L - Inputs'!CA169</f>
        <v>0</v>
      </c>
      <c r="BT17" s="129">
        <f>'P&amp;L - Inputs'!CB169</f>
        <v>0</v>
      </c>
      <c r="BU17" s="129">
        <f>'P&amp;L - Inputs'!CC169</f>
        <v>0</v>
      </c>
      <c r="BV17" s="129">
        <f>'P&amp;L - Inputs'!CD169</f>
        <v>0</v>
      </c>
      <c r="BW17" s="129">
        <f>'P&amp;L - Inputs'!CE169</f>
        <v>0</v>
      </c>
      <c r="BX17" s="129">
        <f>'P&amp;L - Inputs'!CF169</f>
        <v>0</v>
      </c>
      <c r="BY17" s="129">
        <f>'P&amp;L - Inputs'!CG169</f>
        <v>0</v>
      </c>
      <c r="BZ17" s="129">
        <f>'P&amp;L - Inputs'!CH169</f>
        <v>0</v>
      </c>
      <c r="CA17" s="129">
        <f>'P&amp;L - Inputs'!CI169</f>
        <v>0</v>
      </c>
      <c r="CB17" s="129">
        <f>'P&amp;L - Inputs'!CJ169</f>
        <v>0</v>
      </c>
      <c r="CC17" s="129">
        <f>'P&amp;L - Inputs'!CK169</f>
        <v>0</v>
      </c>
      <c r="CD17" s="129">
        <f>'P&amp;L - Inputs'!CL169</f>
        <v>0</v>
      </c>
      <c r="CE17" s="129">
        <f>'P&amp;L - Inputs'!CM169</f>
        <v>0</v>
      </c>
      <c r="CF17" s="129">
        <f>'P&amp;L - Inputs'!CN169</f>
        <v>0</v>
      </c>
      <c r="CG17" s="129">
        <f>'P&amp;L - Inputs'!CO169</f>
        <v>0</v>
      </c>
      <c r="CH17" s="129">
        <f>'P&amp;L - Inputs'!CP169</f>
        <v>0</v>
      </c>
      <c r="CI17" s="129">
        <f>'P&amp;L - Inputs'!CQ169</f>
        <v>0</v>
      </c>
      <c r="CJ17" s="129">
        <f>'P&amp;L - Inputs'!CR169</f>
        <v>0</v>
      </c>
      <c r="CK17" s="129">
        <f>'P&amp;L - Inputs'!CS169</f>
        <v>0</v>
      </c>
      <c r="CL17" s="129">
        <f>'P&amp;L - Inputs'!CT169</f>
        <v>0</v>
      </c>
      <c r="CM17" s="129">
        <f>'P&amp;L - Inputs'!CU169</f>
        <v>0</v>
      </c>
      <c r="CN17" s="129">
        <f>'P&amp;L - Inputs'!CV169</f>
        <v>0</v>
      </c>
      <c r="CO17" s="129">
        <f>'P&amp;L - Inputs'!CW169</f>
        <v>0</v>
      </c>
      <c r="CP17" s="129">
        <f>'P&amp;L - Inputs'!CX169</f>
        <v>0</v>
      </c>
      <c r="CQ17" s="129">
        <f>'P&amp;L - Inputs'!CY169</f>
        <v>0</v>
      </c>
      <c r="CR17" s="129">
        <f>'P&amp;L - Inputs'!CZ169</f>
        <v>0</v>
      </c>
      <c r="CS17" s="129">
        <f>'P&amp;L - Inputs'!DA169</f>
        <v>0</v>
      </c>
      <c r="CT17" s="129">
        <f>'P&amp;L - Inputs'!DB169</f>
        <v>0</v>
      </c>
      <c r="CU17" s="129">
        <f>'P&amp;L - Inputs'!DC169</f>
        <v>0</v>
      </c>
      <c r="CV17" s="129">
        <f>'P&amp;L - Inputs'!DD169</f>
        <v>0</v>
      </c>
      <c r="CW17" s="129">
        <f>'P&amp;L - Inputs'!DE169</f>
        <v>0</v>
      </c>
      <c r="CX17" s="129">
        <f>'P&amp;L - Inputs'!DF169</f>
        <v>0</v>
      </c>
      <c r="CY17" s="129">
        <f>'P&amp;L - Inputs'!DG169</f>
        <v>0</v>
      </c>
      <c r="CZ17" s="129">
        <f>'P&amp;L - Inputs'!DH169</f>
        <v>0</v>
      </c>
      <c r="DA17" s="129">
        <f>'P&amp;L - Inputs'!DI169</f>
        <v>0</v>
      </c>
      <c r="DB17" s="129">
        <f>'P&amp;L - Inputs'!DJ169</f>
        <v>0</v>
      </c>
      <c r="DC17" s="129">
        <f>'P&amp;L - Inputs'!DK169</f>
        <v>0</v>
      </c>
      <c r="DD17" s="129">
        <f>'P&amp;L - Inputs'!DL169</f>
        <v>0</v>
      </c>
      <c r="DE17" s="129">
        <f>'P&amp;L - Inputs'!DM169</f>
        <v>0</v>
      </c>
      <c r="DF17" s="129">
        <f>'P&amp;L - Inputs'!DN169</f>
        <v>0</v>
      </c>
      <c r="DG17" s="129">
        <f>'P&amp;L - Inputs'!DO169</f>
        <v>0</v>
      </c>
      <c r="DH17" s="129">
        <f>'P&amp;L - Inputs'!DP169</f>
        <v>0</v>
      </c>
      <c r="DI17" s="129">
        <f>'P&amp;L - Inputs'!DQ169</f>
        <v>0</v>
      </c>
      <c r="DJ17" s="129">
        <f>'P&amp;L - Inputs'!DR169</f>
        <v>0</v>
      </c>
      <c r="DK17" s="129">
        <f>'P&amp;L - Inputs'!DS169</f>
        <v>0</v>
      </c>
      <c r="DL17" s="129">
        <f>'P&amp;L - Inputs'!DT169</f>
        <v>0</v>
      </c>
      <c r="DM17" s="129">
        <f>'P&amp;L - Inputs'!DU169</f>
        <v>0</v>
      </c>
      <c r="DN17" s="129">
        <f>'P&amp;L - Inputs'!DV169</f>
        <v>0</v>
      </c>
      <c r="DO17" s="129">
        <f>'P&amp;L - Inputs'!DW169</f>
        <v>0</v>
      </c>
      <c r="DP17" s="129">
        <f>'P&amp;L - Inputs'!DX169</f>
        <v>0</v>
      </c>
      <c r="DQ17" s="129">
        <f>'P&amp;L - Inputs'!DY169</f>
        <v>0</v>
      </c>
      <c r="DR17" s="129">
        <f>'P&amp;L - Inputs'!DZ169</f>
        <v>0</v>
      </c>
      <c r="DS17" s="129">
        <f>'P&amp;L - Inputs'!EA169</f>
        <v>0</v>
      </c>
      <c r="DT17" s="129">
        <f>'P&amp;L - Inputs'!EB169</f>
        <v>0</v>
      </c>
      <c r="DU17" s="129">
        <f>'P&amp;L - Inputs'!EC169</f>
        <v>0</v>
      </c>
      <c r="DW17" s="129">
        <f>SUM(BB17:BD17)</f>
        <v>8607190</v>
      </c>
      <c r="DX17" s="663">
        <f>SUM(BE17:BG17)</f>
        <v>0</v>
      </c>
      <c r="DY17" s="129">
        <f>SUM(BH17:BJ17)</f>
        <v>0</v>
      </c>
      <c r="DZ17" s="129">
        <f>SUM(BK17:BM17)</f>
        <v>0</v>
      </c>
      <c r="EA17" s="129">
        <f>SUM(BN17:BP17)</f>
        <v>0</v>
      </c>
      <c r="EB17" s="129">
        <f>SUM(BQ17:BS17)</f>
        <v>0</v>
      </c>
      <c r="EC17" s="129">
        <f>SUM(BT17:BV17)</f>
        <v>0</v>
      </c>
      <c r="ED17" s="129">
        <f>SUM(BW17:BY17)</f>
        <v>0</v>
      </c>
      <c r="EE17" s="129">
        <f>SUM(BZ17:CB17)</f>
        <v>0</v>
      </c>
      <c r="EF17" s="129">
        <f>SUM(CC17:CE17)</f>
        <v>0</v>
      </c>
      <c r="EG17" s="129">
        <f>SUM(CF17:CH17)</f>
        <v>0</v>
      </c>
      <c r="EH17" s="129">
        <f>SUM(CI17:CK17)</f>
        <v>0</v>
      </c>
      <c r="EI17" s="129">
        <f>SUM(CL17:CN17)</f>
        <v>0</v>
      </c>
      <c r="EJ17" s="129">
        <f>SUM(CO17:CQ17)</f>
        <v>0</v>
      </c>
      <c r="EK17" s="129">
        <f>SUM(CR17:CT17)</f>
        <v>0</v>
      </c>
      <c r="EL17" s="129">
        <f>SUM(CU17:CW17)</f>
        <v>0</v>
      </c>
      <c r="EM17" s="129">
        <f>SUM(CX17:CZ17)</f>
        <v>0</v>
      </c>
      <c r="EN17" s="129">
        <f>SUM(DA17:DC17)</f>
        <v>0</v>
      </c>
      <c r="EO17" s="644">
        <f>SUM(DD17:DF17)</f>
        <v>0</v>
      </c>
      <c r="EP17" s="129">
        <f>SUM(DG17:DI17)</f>
        <v>0</v>
      </c>
      <c r="EQ17" s="129">
        <f t="shared" si="5"/>
        <v>0</v>
      </c>
      <c r="ER17" s="129">
        <f t="shared" si="6"/>
        <v>0</v>
      </c>
      <c r="ES17" s="129">
        <f t="shared" si="7"/>
        <v>0</v>
      </c>
      <c r="ET17" s="129">
        <f t="shared" si="8"/>
        <v>0</v>
      </c>
      <c r="EV17" s="129">
        <f t="shared" si="9"/>
        <v>8607190</v>
      </c>
      <c r="EW17" s="129">
        <f t="shared" si="10"/>
        <v>0</v>
      </c>
      <c r="EX17" s="129">
        <f t="shared" si="11"/>
        <v>0</v>
      </c>
      <c r="EY17" s="129">
        <f t="shared" si="12"/>
        <v>0</v>
      </c>
      <c r="EZ17" s="129">
        <f t="shared" si="13"/>
        <v>0</v>
      </c>
      <c r="FA17" s="663">
        <f t="shared" si="17"/>
        <v>0</v>
      </c>
    </row>
    <row r="18" spans="2:157" x14ac:dyDescent="0.2"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115"/>
      <c r="CD18" s="115"/>
      <c r="CE18" s="115"/>
      <c r="CF18" s="115"/>
      <c r="CG18" s="115"/>
      <c r="CH18" s="115"/>
      <c r="CI18" s="115"/>
      <c r="CJ18" s="115"/>
      <c r="CK18" s="115"/>
      <c r="CL18" s="115"/>
      <c r="CM18" s="115"/>
      <c r="CN18" s="115"/>
      <c r="CO18" s="115"/>
      <c r="CP18" s="115"/>
      <c r="CQ18" s="115"/>
      <c r="CR18" s="115"/>
      <c r="CS18" s="115"/>
      <c r="CT18" s="115"/>
      <c r="CU18" s="115"/>
      <c r="CV18" s="115"/>
      <c r="CW18" s="115"/>
      <c r="CX18" s="115"/>
      <c r="CY18" s="115"/>
      <c r="CZ18" s="115"/>
      <c r="DA18" s="115"/>
      <c r="DB18" s="115"/>
      <c r="DC18" s="115"/>
      <c r="DD18" s="115"/>
      <c r="DE18" s="115"/>
      <c r="DF18" s="115"/>
      <c r="DG18" s="115"/>
      <c r="DH18" s="115"/>
      <c r="DI18" s="115"/>
      <c r="DJ18" s="115"/>
      <c r="DK18" s="115"/>
      <c r="DL18" s="115"/>
      <c r="DM18" s="115"/>
      <c r="DN18" s="115"/>
      <c r="DO18" s="115"/>
      <c r="DP18" s="115"/>
      <c r="DQ18" s="115"/>
      <c r="DR18" s="115"/>
      <c r="DS18" s="115"/>
      <c r="DT18" s="115"/>
      <c r="DU18" s="115"/>
      <c r="DW18" s="129"/>
      <c r="DX18" s="663"/>
      <c r="DY18" s="129"/>
      <c r="DZ18" s="129"/>
      <c r="EA18" s="129"/>
      <c r="EB18" s="129"/>
      <c r="EC18" s="129"/>
      <c r="ED18" s="129"/>
      <c r="EE18" s="129"/>
      <c r="EF18" s="129"/>
      <c r="EG18" s="129"/>
      <c r="EH18" s="129"/>
      <c r="EI18" s="129"/>
      <c r="EJ18" s="129"/>
      <c r="EK18" s="129"/>
      <c r="EL18" s="129"/>
      <c r="EM18" s="129"/>
      <c r="EN18" s="129"/>
      <c r="EO18" s="644"/>
      <c r="EP18" s="129"/>
      <c r="EQ18" s="129"/>
      <c r="ER18" s="129"/>
      <c r="ES18" s="129"/>
      <c r="ET18" s="129"/>
      <c r="EV18" s="129"/>
      <c r="EW18" s="129"/>
      <c r="EX18" s="129"/>
      <c r="EY18" s="129"/>
      <c r="EZ18" s="129"/>
      <c r="FA18" s="663"/>
    </row>
    <row r="19" spans="2:157" x14ac:dyDescent="0.2">
      <c r="B19" s="114" t="s">
        <v>139</v>
      </c>
      <c r="C19" s="129">
        <f>'P&amp;L - Inputs'!K172</f>
        <v>0</v>
      </c>
      <c r="D19" s="129">
        <f>'P&amp;L - Inputs'!L172</f>
        <v>0</v>
      </c>
      <c r="E19" s="129">
        <f>'P&amp;L - Inputs'!M172</f>
        <v>0</v>
      </c>
      <c r="F19" s="129">
        <f>'P&amp;L - Inputs'!N172</f>
        <v>0</v>
      </c>
      <c r="G19" s="129">
        <f>'P&amp;L - Inputs'!O172</f>
        <v>0</v>
      </c>
      <c r="H19" s="129">
        <f>'P&amp;L - Inputs'!P172</f>
        <v>0</v>
      </c>
      <c r="I19" s="129">
        <f>'P&amp;L - Inputs'!Q172</f>
        <v>0</v>
      </c>
      <c r="J19" s="129">
        <f>'P&amp;L - Inputs'!R172</f>
        <v>0</v>
      </c>
      <c r="K19" s="129">
        <f>'P&amp;L - Inputs'!S172</f>
        <v>0</v>
      </c>
      <c r="L19" s="129">
        <f>'P&amp;L - Inputs'!T172</f>
        <v>0</v>
      </c>
      <c r="M19" s="129">
        <f>'P&amp;L - Inputs'!U172</f>
        <v>0</v>
      </c>
      <c r="N19" s="129">
        <f>'P&amp;L - Inputs'!V172</f>
        <v>0</v>
      </c>
      <c r="O19" s="129">
        <f>'P&amp;L - Inputs'!W172</f>
        <v>0</v>
      </c>
      <c r="P19" s="129">
        <f>'P&amp;L - Inputs'!X172</f>
        <v>0</v>
      </c>
      <c r="Q19" s="129">
        <f>'P&amp;L - Inputs'!Y172</f>
        <v>0</v>
      </c>
      <c r="R19" s="129">
        <f>'P&amp;L - Inputs'!Z172</f>
        <v>0</v>
      </c>
      <c r="S19" s="129">
        <f>'P&amp;L - Inputs'!AA172</f>
        <v>0</v>
      </c>
      <c r="T19" s="129">
        <f>'P&amp;L - Inputs'!AB172</f>
        <v>0</v>
      </c>
      <c r="U19" s="129">
        <f>'P&amp;L - Inputs'!AC172</f>
        <v>0</v>
      </c>
      <c r="V19" s="129">
        <f>'P&amp;L - Inputs'!AD172</f>
        <v>0</v>
      </c>
      <c r="W19" s="129">
        <f>'P&amp;L - Inputs'!AE172</f>
        <v>0</v>
      </c>
      <c r="X19" s="129">
        <f>'P&amp;L - Inputs'!AF172</f>
        <v>0</v>
      </c>
      <c r="Y19" s="129">
        <f>'P&amp;L - Inputs'!AG172</f>
        <v>0</v>
      </c>
      <c r="Z19" s="129">
        <f>'P&amp;L - Inputs'!AH172</f>
        <v>0</v>
      </c>
      <c r="AA19" s="129">
        <f>'P&amp;L - Inputs'!AI172</f>
        <v>0</v>
      </c>
      <c r="AB19" s="129">
        <f>'P&amp;L - Inputs'!AJ172</f>
        <v>0</v>
      </c>
      <c r="AC19" s="129">
        <f>'P&amp;L - Inputs'!AK172</f>
        <v>0</v>
      </c>
      <c r="AD19" s="129">
        <f>'P&amp;L - Inputs'!AL172</f>
        <v>0</v>
      </c>
      <c r="AE19" s="129">
        <f>'P&amp;L - Inputs'!AM172</f>
        <v>0</v>
      </c>
      <c r="AF19" s="129">
        <f>'P&amp;L - Inputs'!AN172</f>
        <v>0</v>
      </c>
      <c r="AG19" s="129">
        <f>'P&amp;L - Inputs'!AO172</f>
        <v>0</v>
      </c>
      <c r="AH19" s="129">
        <f>'P&amp;L - Inputs'!AP172</f>
        <v>0</v>
      </c>
      <c r="AI19" s="129">
        <f>'P&amp;L - Inputs'!AQ172</f>
        <v>0</v>
      </c>
      <c r="AJ19" s="129">
        <f>'P&amp;L - Inputs'!AR172</f>
        <v>0</v>
      </c>
      <c r="AK19" s="129">
        <f>'P&amp;L - Inputs'!AS172</f>
        <v>0</v>
      </c>
      <c r="AL19" s="129">
        <f>'P&amp;L - Inputs'!AT172</f>
        <v>0</v>
      </c>
      <c r="AM19" s="129">
        <f>'P&amp;L - Inputs'!AU172</f>
        <v>0</v>
      </c>
      <c r="AN19" s="129">
        <f>'P&amp;L - Inputs'!AV172</f>
        <v>0</v>
      </c>
      <c r="AO19" s="129">
        <f>'P&amp;L - Inputs'!AW172</f>
        <v>0</v>
      </c>
      <c r="AP19" s="129">
        <f>'P&amp;L - Inputs'!AX172</f>
        <v>0</v>
      </c>
      <c r="AQ19" s="129">
        <f>'P&amp;L - Inputs'!AY172</f>
        <v>0</v>
      </c>
      <c r="AR19" s="129">
        <f>'P&amp;L - Inputs'!AZ172</f>
        <v>0</v>
      </c>
      <c r="AS19" s="129">
        <f>'P&amp;L - Inputs'!BA172</f>
        <v>0</v>
      </c>
      <c r="AT19" s="129">
        <f>'P&amp;L - Inputs'!BB172</f>
        <v>0</v>
      </c>
      <c r="AU19" s="129">
        <f>'P&amp;L - Inputs'!BC172</f>
        <v>0</v>
      </c>
      <c r="AV19" s="129">
        <f>'P&amp;L - Inputs'!BD172</f>
        <v>0</v>
      </c>
      <c r="AW19" s="129">
        <f>'P&amp;L - Inputs'!BE172</f>
        <v>0</v>
      </c>
      <c r="AX19" s="129">
        <f>'P&amp;L - Inputs'!BF172</f>
        <v>0</v>
      </c>
      <c r="AY19" s="129">
        <f>'P&amp;L - Inputs'!BG172</f>
        <v>0</v>
      </c>
      <c r="AZ19" s="129">
        <f>'P&amp;L - Inputs'!BH172</f>
        <v>0</v>
      </c>
      <c r="BA19" s="129">
        <f>'P&amp;L - Inputs'!BI172</f>
        <v>0</v>
      </c>
      <c r="BB19" s="129">
        <f>'P&amp;L - Inputs'!BJ172</f>
        <v>0</v>
      </c>
      <c r="BC19" s="129">
        <f>'P&amp;L - Inputs'!BK172</f>
        <v>0</v>
      </c>
      <c r="BD19" s="129">
        <f>'P&amp;L - Inputs'!BL172</f>
        <v>0</v>
      </c>
      <c r="BE19" s="129">
        <f>'P&amp;L - Inputs'!BM172</f>
        <v>0</v>
      </c>
      <c r="BF19" s="129">
        <f>'P&amp;L - Inputs'!BN172</f>
        <v>0</v>
      </c>
      <c r="BG19" s="129">
        <f>'P&amp;L - Inputs'!BO172</f>
        <v>0</v>
      </c>
      <c r="BH19" s="129">
        <f>'P&amp;L - Inputs'!BP172</f>
        <v>0</v>
      </c>
      <c r="BI19" s="129">
        <f>'P&amp;L - Inputs'!BQ172</f>
        <v>0</v>
      </c>
      <c r="BJ19" s="129">
        <f>'P&amp;L - Inputs'!BR172</f>
        <v>0</v>
      </c>
      <c r="BK19" s="129">
        <f>'P&amp;L - Inputs'!BS172</f>
        <v>0</v>
      </c>
      <c r="BL19" s="129">
        <f>'P&amp;L - Inputs'!BT172</f>
        <v>0</v>
      </c>
      <c r="BM19" s="129">
        <f>'P&amp;L - Inputs'!BU172</f>
        <v>0</v>
      </c>
      <c r="BN19" s="129">
        <f>'P&amp;L - Inputs'!BV172</f>
        <v>0</v>
      </c>
      <c r="BO19" s="129">
        <f>'P&amp;L - Inputs'!BW172</f>
        <v>0</v>
      </c>
      <c r="BP19" s="129">
        <f>'P&amp;L - Inputs'!BX172</f>
        <v>0</v>
      </c>
      <c r="BQ19" s="129">
        <f>'P&amp;L - Inputs'!BY172</f>
        <v>0</v>
      </c>
      <c r="BR19" s="129">
        <f>'P&amp;L - Inputs'!BZ172</f>
        <v>0</v>
      </c>
      <c r="BS19" s="129">
        <f>'P&amp;L - Inputs'!CA172</f>
        <v>0</v>
      </c>
      <c r="BT19" s="129">
        <f>'P&amp;L - Inputs'!CB172</f>
        <v>0</v>
      </c>
      <c r="BU19" s="129">
        <f>'P&amp;L - Inputs'!CC172</f>
        <v>0</v>
      </c>
      <c r="BV19" s="129">
        <f>'P&amp;L - Inputs'!CD172</f>
        <v>0</v>
      </c>
      <c r="BW19" s="129">
        <f>'P&amp;L - Inputs'!CE172</f>
        <v>0</v>
      </c>
      <c r="BX19" s="129">
        <f>'P&amp;L - Inputs'!CF172</f>
        <v>0</v>
      </c>
      <c r="BY19" s="129">
        <f>'P&amp;L - Inputs'!CG172</f>
        <v>0</v>
      </c>
      <c r="BZ19" s="129">
        <f>'P&amp;L - Inputs'!CH172</f>
        <v>130288537.13456243</v>
      </c>
      <c r="CA19" s="129">
        <f>'P&amp;L - Inputs'!CI172</f>
        <v>126101952.34102412</v>
      </c>
      <c r="CB19" s="129">
        <f>'P&amp;L - Inputs'!CJ172</f>
        <v>125553900.74023493</v>
      </c>
      <c r="CC19" s="129">
        <f>'P&amp;L - Inputs'!CK172</f>
        <v>116592179.83000053</v>
      </c>
      <c r="CD19" s="129">
        <f>'P&amp;L - Inputs'!CL172</f>
        <v>113948660.62000078</v>
      </c>
      <c r="CE19" s="129">
        <f>'P&amp;L - Inputs'!CM172</f>
        <v>61477975.21000044</v>
      </c>
      <c r="CF19" s="129">
        <f>'P&amp;L - Inputs'!CN172</f>
        <v>127727227.58999993</v>
      </c>
      <c r="CG19" s="129">
        <f>'P&amp;L - Inputs'!CO172</f>
        <v>114688809.56999992</v>
      </c>
      <c r="CH19" s="129">
        <f>'P&amp;L - Inputs'!CP172</f>
        <v>127168565.17000028</v>
      </c>
      <c r="CI19" s="129">
        <f>'P&amp;L - Inputs'!CQ172</f>
        <v>131547257.53999972</v>
      </c>
      <c r="CJ19" s="129">
        <f>'P&amp;L - Inputs'!CR172</f>
        <v>117221203.89999908</v>
      </c>
      <c r="CK19" s="129">
        <f>'P&amp;L - Inputs'!CS172</f>
        <v>123944195.34999995</v>
      </c>
      <c r="CL19" s="129">
        <f>'P&amp;L - Inputs'!CT172</f>
        <v>117529046.57432666</v>
      </c>
      <c r="CM19" s="129">
        <f>'P&amp;L - Inputs'!CU172</f>
        <v>118725216.93693195</v>
      </c>
      <c r="CN19" s="129">
        <f>'P&amp;L - Inputs'!CV172</f>
        <v>118640281.76325585</v>
      </c>
      <c r="CO19" s="129">
        <f>'P&amp;L - Inputs'!CW172</f>
        <v>120430998.34159398</v>
      </c>
      <c r="CP19" s="129">
        <f>'P&amp;L - Inputs'!CX172</f>
        <v>113480469.96243173</v>
      </c>
      <c r="CQ19" s="129">
        <f>'P&amp;L - Inputs'!CY172</f>
        <v>124139834.2587844</v>
      </c>
      <c r="CR19" s="129">
        <f>'P&amp;L - Inputs'!CZ172</f>
        <v>120707037.65604135</v>
      </c>
      <c r="CS19" s="129">
        <f>'P&amp;L - Inputs'!DA172</f>
        <v>120990154.90162842</v>
      </c>
      <c r="CT19" s="129">
        <f>'P&amp;L - Inputs'!DB172</f>
        <v>148516229.10382992</v>
      </c>
      <c r="CU19" s="129">
        <f>'P&amp;L - Inputs'!DC172</f>
        <v>160024945.13694376</v>
      </c>
      <c r="CV19" s="129">
        <f>'P&amp;L - Inputs'!DD172</f>
        <v>137191539.28034768</v>
      </c>
      <c r="CW19" s="129">
        <f>'P&amp;L - Inputs'!DE172</f>
        <v>148247267.72052222</v>
      </c>
      <c r="CX19" s="129">
        <f>'P&amp;L - Inputs'!DF172</f>
        <v>139213155.66728994</v>
      </c>
      <c r="CY19" s="129">
        <f>'P&amp;L - Inputs'!DG172</f>
        <v>140630019.46179593</v>
      </c>
      <c r="CZ19" s="129">
        <f>'P&amp;L - Inputs'!DH172</f>
        <v>140529413.74857661</v>
      </c>
      <c r="DA19" s="129">
        <f>'P&amp;L - Inputs'!DI172</f>
        <v>142650517.5356181</v>
      </c>
      <c r="DB19" s="129">
        <f>'P&amp;L - Inputs'!DJ172</f>
        <v>134417616.67050043</v>
      </c>
      <c r="DC19" s="129">
        <f>'P&amp;L - Inputs'!DK172</f>
        <v>147043633.67953017</v>
      </c>
      <c r="DD19" s="129">
        <f>'P&amp;L - Inputs'!DL172</f>
        <v>142977486.10358104</v>
      </c>
      <c r="DE19" s="129">
        <f>'P&amp;L - Inputs'!DM172</f>
        <v>143312838.48097894</v>
      </c>
      <c r="DF19" s="129">
        <f>'P&amp;L - Inputs'!DN172</f>
        <v>175917473.37348667</v>
      </c>
      <c r="DG19" s="129">
        <f>'P&amp;L - Inputs'!DO172</f>
        <v>189549547.51471001</v>
      </c>
      <c r="DH19" s="129">
        <f>'P&amp;L - Inputs'!DP172</f>
        <v>162503378.27757192</v>
      </c>
      <c r="DI19" s="129">
        <f>'P&amp;L - Inputs'!DQ172</f>
        <v>175598888.61495864</v>
      </c>
      <c r="DJ19" s="129">
        <f>'P&amp;L - Inputs'!DR172</f>
        <v>164897982.88790497</v>
      </c>
      <c r="DK19" s="129">
        <f>'P&amp;L - Inputs'!DS172</f>
        <v>166576258.05249733</v>
      </c>
      <c r="DL19" s="129">
        <f>'P&amp;L - Inputs'!DT172</f>
        <v>166457090.58518898</v>
      </c>
      <c r="DM19" s="129">
        <f>'P&amp;L - Inputs'!DU172</f>
        <v>168969538.02093968</v>
      </c>
      <c r="DN19" s="129">
        <f>'P&amp;L - Inputs'!DV172</f>
        <v>159217666.94620779</v>
      </c>
      <c r="DO19" s="129">
        <f>'P&amp;L - Inputs'!DW172</f>
        <v>174173184.09340352</v>
      </c>
      <c r="DP19" s="129">
        <f>'P&amp;L - Inputs'!DX172</f>
        <v>169356832.28969172</v>
      </c>
      <c r="DQ19" s="129">
        <f>'P&amp;L - Inputs'!DY172</f>
        <v>169754057.18071949</v>
      </c>
      <c r="DR19" s="129">
        <f>'P&amp;L - Inputs'!DZ172</f>
        <v>208374247.21089488</v>
      </c>
      <c r="DS19" s="129">
        <f>'P&amp;L - Inputs'!EA172</f>
        <v>224521439.03117391</v>
      </c>
      <c r="DT19" s="129">
        <f>'P&amp;L - Inputs'!EB172</f>
        <v>192485251.56978387</v>
      </c>
      <c r="DU19" s="129">
        <f>'P&amp;L - Inputs'!EC172</f>
        <v>207996883.56441846</v>
      </c>
      <c r="DW19" s="129">
        <f>SUM(BB19:BD19)</f>
        <v>0</v>
      </c>
      <c r="DX19" s="663">
        <f>SUM(BE19:BG19)</f>
        <v>0</v>
      </c>
      <c r="DY19" s="129">
        <f>SUM(BH19:BJ19)</f>
        <v>0</v>
      </c>
      <c r="DZ19" s="129">
        <f>SUM(BK19:BM19)</f>
        <v>0</v>
      </c>
      <c r="EA19" s="129">
        <f>SUM(BN19:BP19)</f>
        <v>0</v>
      </c>
      <c r="EB19" s="129">
        <f>SUM(BQ19:BS19)</f>
        <v>0</v>
      </c>
      <c r="EC19" s="129">
        <f>SUM(BT19:BV19)</f>
        <v>0</v>
      </c>
      <c r="ED19" s="129">
        <f>SUM(BW19:BY19)</f>
        <v>0</v>
      </c>
      <c r="EE19" s="129">
        <f>SUM(BZ19:CB19)</f>
        <v>381944390.21582144</v>
      </c>
      <c r="EF19" s="129">
        <f>SUM(CC19:CE19)</f>
        <v>292018815.66000175</v>
      </c>
      <c r="EG19" s="129">
        <f>SUM(CF19:CH19)</f>
        <v>369584602.33000016</v>
      </c>
      <c r="EH19" s="129">
        <f>SUM(CI19:CK19)</f>
        <v>372712656.78999877</v>
      </c>
      <c r="EI19" s="129">
        <f>SUM(CL19:CN19)</f>
        <v>354894545.27451444</v>
      </c>
      <c r="EJ19" s="129">
        <f>SUM(CO19:CQ19)</f>
        <v>358051302.56281012</v>
      </c>
      <c r="EK19" s="129">
        <f>SUM(CR19:CT19)</f>
        <v>390213421.66149968</v>
      </c>
      <c r="EL19" s="129">
        <f>SUM(CU19:CW19)</f>
        <v>445463752.13781363</v>
      </c>
      <c r="EM19" s="129">
        <f>SUM(CX19:CZ19)</f>
        <v>420372588.87766254</v>
      </c>
      <c r="EN19" s="129">
        <f>SUM(DA19:DC19)</f>
        <v>424111767.88564873</v>
      </c>
      <c r="EO19" s="644">
        <f>SUM(DD19:DF19)</f>
        <v>462207797.95804667</v>
      </c>
      <c r="EP19" s="129">
        <f>SUM(DG19:DI19)</f>
        <v>527651814.40724057</v>
      </c>
      <c r="EQ19" s="129">
        <f t="shared" si="5"/>
        <v>497931331.52559125</v>
      </c>
      <c r="ER19" s="129">
        <f t="shared" si="6"/>
        <v>502360389.06055099</v>
      </c>
      <c r="ES19" s="129">
        <f t="shared" si="7"/>
        <v>547485136.68130612</v>
      </c>
      <c r="ET19" s="129">
        <f t="shared" si="8"/>
        <v>625003574.16537619</v>
      </c>
      <c r="EV19" s="129">
        <f t="shared" si="9"/>
        <v>0</v>
      </c>
      <c r="EW19" s="129">
        <f t="shared" si="10"/>
        <v>0</v>
      </c>
      <c r="EX19" s="129">
        <f t="shared" si="11"/>
        <v>1416260464.9958222</v>
      </c>
      <c r="EY19" s="129">
        <f t="shared" si="12"/>
        <v>1548623021.6366379</v>
      </c>
      <c r="EZ19" s="129">
        <f t="shared" si="13"/>
        <v>1834343969.1285985</v>
      </c>
      <c r="FA19" s="663">
        <f t="shared" si="17"/>
        <v>2172780431.4328246</v>
      </c>
    </row>
    <row r="20" spans="2:157" x14ac:dyDescent="0.2">
      <c r="B20" s="114" t="s">
        <v>157</v>
      </c>
      <c r="C20" s="129">
        <f>'P&amp;L - Inputs'!K173</f>
        <v>0</v>
      </c>
      <c r="D20" s="129">
        <f>'P&amp;L - Inputs'!L173</f>
        <v>0</v>
      </c>
      <c r="E20" s="129">
        <f>'P&amp;L - Inputs'!M173</f>
        <v>0</v>
      </c>
      <c r="F20" s="129">
        <f>'P&amp;L - Inputs'!N173</f>
        <v>0</v>
      </c>
      <c r="G20" s="129">
        <f>'P&amp;L - Inputs'!O173</f>
        <v>0</v>
      </c>
      <c r="H20" s="129">
        <f>'P&amp;L - Inputs'!P173</f>
        <v>0</v>
      </c>
      <c r="I20" s="129">
        <f>'P&amp;L - Inputs'!Q173</f>
        <v>0</v>
      </c>
      <c r="J20" s="129">
        <f>'P&amp;L - Inputs'!R173</f>
        <v>0</v>
      </c>
      <c r="K20" s="129">
        <f>'P&amp;L - Inputs'!S173</f>
        <v>0</v>
      </c>
      <c r="L20" s="129">
        <f>'P&amp;L - Inputs'!T173</f>
        <v>0</v>
      </c>
      <c r="M20" s="129">
        <f>'P&amp;L - Inputs'!U173</f>
        <v>0</v>
      </c>
      <c r="N20" s="129">
        <f>'P&amp;L - Inputs'!V173</f>
        <v>0</v>
      </c>
      <c r="O20" s="129">
        <f>'P&amp;L - Inputs'!W173</f>
        <v>0</v>
      </c>
      <c r="P20" s="129">
        <f>'P&amp;L - Inputs'!X173</f>
        <v>0</v>
      </c>
      <c r="Q20" s="129">
        <f>'P&amp;L - Inputs'!Y173</f>
        <v>0</v>
      </c>
      <c r="R20" s="129">
        <f>'P&amp;L - Inputs'!Z173</f>
        <v>0</v>
      </c>
      <c r="S20" s="129">
        <f>'P&amp;L - Inputs'!AA173</f>
        <v>0</v>
      </c>
      <c r="T20" s="129">
        <f>'P&amp;L - Inputs'!AB173</f>
        <v>0</v>
      </c>
      <c r="U20" s="129">
        <f>'P&amp;L - Inputs'!AC173</f>
        <v>0</v>
      </c>
      <c r="V20" s="129">
        <f>'P&amp;L - Inputs'!AD173</f>
        <v>0</v>
      </c>
      <c r="W20" s="129">
        <f>'P&amp;L - Inputs'!AE173</f>
        <v>0</v>
      </c>
      <c r="X20" s="129">
        <f>'P&amp;L - Inputs'!AF173</f>
        <v>0</v>
      </c>
      <c r="Y20" s="129">
        <f>'P&amp;L - Inputs'!AG173</f>
        <v>0</v>
      </c>
      <c r="Z20" s="129">
        <f>'P&amp;L - Inputs'!AH173</f>
        <v>0</v>
      </c>
      <c r="AA20" s="129">
        <f>'P&amp;L - Inputs'!AI173</f>
        <v>0</v>
      </c>
      <c r="AB20" s="129">
        <f>'P&amp;L - Inputs'!AJ173</f>
        <v>0</v>
      </c>
      <c r="AC20" s="129">
        <f>'P&amp;L - Inputs'!AK173</f>
        <v>0</v>
      </c>
      <c r="AD20" s="129">
        <f>'P&amp;L - Inputs'!AL173</f>
        <v>0</v>
      </c>
      <c r="AE20" s="129">
        <f>'P&amp;L - Inputs'!AM173</f>
        <v>0</v>
      </c>
      <c r="AF20" s="129">
        <f>'P&amp;L - Inputs'!AN173</f>
        <v>0</v>
      </c>
      <c r="AG20" s="129">
        <f>'P&amp;L - Inputs'!AO173</f>
        <v>0</v>
      </c>
      <c r="AH20" s="129">
        <f>'P&amp;L - Inputs'!AP173</f>
        <v>0</v>
      </c>
      <c r="AI20" s="129">
        <f>'P&amp;L - Inputs'!AQ173</f>
        <v>0</v>
      </c>
      <c r="AJ20" s="129">
        <f>'P&amp;L - Inputs'!AR173</f>
        <v>0</v>
      </c>
      <c r="AK20" s="129">
        <f>'P&amp;L - Inputs'!AS173</f>
        <v>0</v>
      </c>
      <c r="AL20" s="129">
        <f>'P&amp;L - Inputs'!AT173</f>
        <v>0</v>
      </c>
      <c r="AM20" s="129">
        <f>'P&amp;L - Inputs'!AU173</f>
        <v>0</v>
      </c>
      <c r="AN20" s="129">
        <f>'P&amp;L - Inputs'!AV173</f>
        <v>0</v>
      </c>
      <c r="AO20" s="129">
        <f>'P&amp;L - Inputs'!AW173</f>
        <v>0</v>
      </c>
      <c r="AP20" s="129">
        <f>'P&amp;L - Inputs'!AX173</f>
        <v>0</v>
      </c>
      <c r="AQ20" s="129">
        <f>'P&amp;L - Inputs'!AY173</f>
        <v>0</v>
      </c>
      <c r="AR20" s="129">
        <f>'P&amp;L - Inputs'!AZ173</f>
        <v>0</v>
      </c>
      <c r="AS20" s="129">
        <f>'P&amp;L - Inputs'!BA173</f>
        <v>0</v>
      </c>
      <c r="AT20" s="129">
        <f>'P&amp;L - Inputs'!BB173</f>
        <v>0</v>
      </c>
      <c r="AU20" s="129">
        <f>'P&amp;L - Inputs'!BC173</f>
        <v>0</v>
      </c>
      <c r="AV20" s="129">
        <f>'P&amp;L - Inputs'!BD173</f>
        <v>0</v>
      </c>
      <c r="AW20" s="129">
        <f>'P&amp;L - Inputs'!BE173</f>
        <v>0</v>
      </c>
      <c r="AX20" s="129">
        <f>'P&amp;L - Inputs'!BF173</f>
        <v>0</v>
      </c>
      <c r="AY20" s="129">
        <f>'P&amp;L - Inputs'!BG173</f>
        <v>0</v>
      </c>
      <c r="AZ20" s="129">
        <f>'P&amp;L - Inputs'!BH173</f>
        <v>0</v>
      </c>
      <c r="BA20" s="129">
        <f>'P&amp;L - Inputs'!BI173</f>
        <v>0</v>
      </c>
      <c r="BB20" s="129">
        <f>'P&amp;L - Inputs'!BJ173</f>
        <v>0</v>
      </c>
      <c r="BC20" s="129">
        <f>'P&amp;L - Inputs'!BK173</f>
        <v>0</v>
      </c>
      <c r="BD20" s="129">
        <f>'P&amp;L - Inputs'!BL173</f>
        <v>0</v>
      </c>
      <c r="BE20" s="129">
        <f>'P&amp;L - Inputs'!BM173</f>
        <v>0</v>
      </c>
      <c r="BF20" s="129">
        <f>'P&amp;L - Inputs'!BN173</f>
        <v>0</v>
      </c>
      <c r="BG20" s="129">
        <f>'P&amp;L - Inputs'!BO173</f>
        <v>0</v>
      </c>
      <c r="BH20" s="129">
        <f>'P&amp;L - Inputs'!BP173</f>
        <v>0</v>
      </c>
      <c r="BI20" s="129">
        <f>'P&amp;L - Inputs'!BQ173</f>
        <v>0</v>
      </c>
      <c r="BJ20" s="129">
        <f>'P&amp;L - Inputs'!BR173</f>
        <v>0</v>
      </c>
      <c r="BK20" s="129">
        <f>'P&amp;L - Inputs'!BS173</f>
        <v>0</v>
      </c>
      <c r="BL20" s="129">
        <f>'P&amp;L - Inputs'!BT173</f>
        <v>0</v>
      </c>
      <c r="BM20" s="129">
        <f>'P&amp;L - Inputs'!BU173</f>
        <v>0</v>
      </c>
      <c r="BN20" s="129">
        <f>'P&amp;L - Inputs'!BV173</f>
        <v>0</v>
      </c>
      <c r="BO20" s="129">
        <f>'P&amp;L - Inputs'!BW173</f>
        <v>0</v>
      </c>
      <c r="BP20" s="129">
        <f>'P&amp;L - Inputs'!BX173</f>
        <v>0</v>
      </c>
      <c r="BQ20" s="129">
        <f>'P&amp;L - Inputs'!BY173</f>
        <v>0</v>
      </c>
      <c r="BR20" s="129">
        <f>'P&amp;L - Inputs'!BZ173</f>
        <v>0</v>
      </c>
      <c r="BS20" s="129">
        <f>'P&amp;L - Inputs'!CA173</f>
        <v>0</v>
      </c>
      <c r="BT20" s="129">
        <f>'P&amp;L - Inputs'!CB173</f>
        <v>0</v>
      </c>
      <c r="BU20" s="129">
        <f>'P&amp;L - Inputs'!CC173</f>
        <v>0</v>
      </c>
      <c r="BV20" s="129">
        <f>'P&amp;L - Inputs'!CD173</f>
        <v>0</v>
      </c>
      <c r="BW20" s="129">
        <f>'P&amp;L - Inputs'!CE173</f>
        <v>0</v>
      </c>
      <c r="BX20" s="129">
        <f>'P&amp;L - Inputs'!CF173</f>
        <v>0</v>
      </c>
      <c r="BY20" s="129">
        <f>'P&amp;L - Inputs'!CG173</f>
        <v>0</v>
      </c>
      <c r="BZ20" s="129">
        <f>'P&amp;L - Inputs'!CH173</f>
        <v>0</v>
      </c>
      <c r="CA20" s="129">
        <f>'P&amp;L - Inputs'!CI173</f>
        <v>0</v>
      </c>
      <c r="CB20" s="129">
        <f>'P&amp;L - Inputs'!CJ173</f>
        <v>0</v>
      </c>
      <c r="CC20" s="129">
        <f>'P&amp;L - Inputs'!CK173</f>
        <v>0</v>
      </c>
      <c r="CD20" s="129">
        <f>'P&amp;L - Inputs'!CL173</f>
        <v>0</v>
      </c>
      <c r="CE20" s="129">
        <f>'P&amp;L - Inputs'!CM173</f>
        <v>0</v>
      </c>
      <c r="CF20" s="129">
        <f>'P&amp;L - Inputs'!CN173</f>
        <v>0</v>
      </c>
      <c r="CG20" s="129">
        <f>'P&amp;L - Inputs'!CO173</f>
        <v>0</v>
      </c>
      <c r="CH20" s="129">
        <f>'P&amp;L - Inputs'!CP173</f>
        <v>0</v>
      </c>
      <c r="CI20" s="129">
        <f>'P&amp;L - Inputs'!CQ173</f>
        <v>0</v>
      </c>
      <c r="CJ20" s="129">
        <f>'P&amp;L - Inputs'!CR173</f>
        <v>0</v>
      </c>
      <c r="CK20" s="129">
        <f>'P&amp;L - Inputs'!CS173</f>
        <v>0</v>
      </c>
      <c r="CL20" s="129">
        <f>'P&amp;L - Inputs'!CT173</f>
        <v>0</v>
      </c>
      <c r="CM20" s="129">
        <f>'P&amp;L - Inputs'!CU173</f>
        <v>0</v>
      </c>
      <c r="CN20" s="129">
        <f>'P&amp;L - Inputs'!CV173</f>
        <v>0</v>
      </c>
      <c r="CO20" s="129">
        <f>'P&amp;L - Inputs'!CW173</f>
        <v>0</v>
      </c>
      <c r="CP20" s="129">
        <f>'P&amp;L - Inputs'!CX173</f>
        <v>0</v>
      </c>
      <c r="CQ20" s="129">
        <f>'P&amp;L - Inputs'!CY173</f>
        <v>0</v>
      </c>
      <c r="CR20" s="129">
        <f>'P&amp;L - Inputs'!CZ173</f>
        <v>0</v>
      </c>
      <c r="CS20" s="129">
        <f>'P&amp;L - Inputs'!DA173</f>
        <v>0</v>
      </c>
      <c r="CT20" s="129">
        <f>'P&amp;L - Inputs'!DB173</f>
        <v>0</v>
      </c>
      <c r="CU20" s="129">
        <f>'P&amp;L - Inputs'!DC173</f>
        <v>0</v>
      </c>
      <c r="CV20" s="129">
        <f>'P&amp;L - Inputs'!DD173</f>
        <v>0</v>
      </c>
      <c r="CW20" s="129">
        <f>'P&amp;L - Inputs'!DE173</f>
        <v>0</v>
      </c>
      <c r="CX20" s="129">
        <f>'P&amp;L - Inputs'!DF173</f>
        <v>0</v>
      </c>
      <c r="CY20" s="129">
        <f>'P&amp;L - Inputs'!DG173</f>
        <v>0</v>
      </c>
      <c r="CZ20" s="129">
        <f>'P&amp;L - Inputs'!DH173</f>
        <v>0</v>
      </c>
      <c r="DA20" s="129">
        <f>'P&amp;L - Inputs'!DI173</f>
        <v>0</v>
      </c>
      <c r="DB20" s="129">
        <f>'P&amp;L - Inputs'!DJ173</f>
        <v>0</v>
      </c>
      <c r="DC20" s="129">
        <f>'P&amp;L - Inputs'!DK173</f>
        <v>0</v>
      </c>
      <c r="DD20" s="129">
        <f>'P&amp;L - Inputs'!DL173</f>
        <v>0</v>
      </c>
      <c r="DE20" s="129">
        <f>'P&amp;L - Inputs'!DM173</f>
        <v>0</v>
      </c>
      <c r="DF20" s="129">
        <f>'P&amp;L - Inputs'!DN173</f>
        <v>0</v>
      </c>
      <c r="DG20" s="129">
        <f>'P&amp;L - Inputs'!DO173</f>
        <v>0</v>
      </c>
      <c r="DH20" s="129">
        <f>'P&amp;L - Inputs'!DP173</f>
        <v>0</v>
      </c>
      <c r="DI20" s="129">
        <f>'P&amp;L - Inputs'!DQ173</f>
        <v>0</v>
      </c>
      <c r="DJ20" s="129">
        <f>'P&amp;L - Inputs'!DR173</f>
        <v>0</v>
      </c>
      <c r="DK20" s="129">
        <f>'P&amp;L - Inputs'!DS173</f>
        <v>0</v>
      </c>
      <c r="DL20" s="129">
        <f>'P&amp;L - Inputs'!DT173</f>
        <v>0</v>
      </c>
      <c r="DM20" s="129">
        <f>'P&amp;L - Inputs'!DU173</f>
        <v>0</v>
      </c>
      <c r="DN20" s="129">
        <f>'P&amp;L - Inputs'!DV173</f>
        <v>0</v>
      </c>
      <c r="DO20" s="129">
        <f>'P&amp;L - Inputs'!DW173</f>
        <v>0</v>
      </c>
      <c r="DP20" s="129">
        <f>'P&amp;L - Inputs'!DX173</f>
        <v>0</v>
      </c>
      <c r="DQ20" s="129">
        <f>'P&amp;L - Inputs'!DY173</f>
        <v>0</v>
      </c>
      <c r="DR20" s="129">
        <f>'P&amp;L - Inputs'!DZ173</f>
        <v>0</v>
      </c>
      <c r="DS20" s="129">
        <f>'P&amp;L - Inputs'!EA173</f>
        <v>0</v>
      </c>
      <c r="DT20" s="129">
        <f>'P&amp;L - Inputs'!EB173</f>
        <v>0</v>
      </c>
      <c r="DU20" s="129">
        <f>'P&amp;L - Inputs'!EC173</f>
        <v>0</v>
      </c>
      <c r="DW20" s="129">
        <f>SUM(BB20:BD20)</f>
        <v>0</v>
      </c>
      <c r="DX20" s="663">
        <f>SUM(BE20:BG20)</f>
        <v>0</v>
      </c>
      <c r="DY20" s="129">
        <f>SUM(BH20:BJ20)</f>
        <v>0</v>
      </c>
      <c r="DZ20" s="129">
        <f>SUM(BK20:BM20)</f>
        <v>0</v>
      </c>
      <c r="EA20" s="129">
        <f>SUM(BN20:BP20)</f>
        <v>0</v>
      </c>
      <c r="EB20" s="129">
        <f>SUM(BQ20:BS20)</f>
        <v>0</v>
      </c>
      <c r="EC20" s="129">
        <f>SUM(BT20:BV20)</f>
        <v>0</v>
      </c>
      <c r="ED20" s="129">
        <f>SUM(BW20:BY20)</f>
        <v>0</v>
      </c>
      <c r="EE20" s="129">
        <f>SUM(BZ20:CB20)</f>
        <v>0</v>
      </c>
      <c r="EF20" s="129">
        <f>SUM(CC20:CE20)</f>
        <v>0</v>
      </c>
      <c r="EG20" s="129">
        <f>SUM(CF20:CH20)</f>
        <v>0</v>
      </c>
      <c r="EH20" s="129">
        <f>SUM(CI20:CK20)</f>
        <v>0</v>
      </c>
      <c r="EI20" s="129">
        <f>SUM(CL20:CN20)</f>
        <v>0</v>
      </c>
      <c r="EJ20" s="129">
        <f>SUM(CO20:CQ20)</f>
        <v>0</v>
      </c>
      <c r="EK20" s="129">
        <f>SUM(CR20:CT20)</f>
        <v>0</v>
      </c>
      <c r="EL20" s="129">
        <f>SUM(CU20:CW20)</f>
        <v>0</v>
      </c>
      <c r="EM20" s="129">
        <f>SUM(CX20:CZ20)</f>
        <v>0</v>
      </c>
      <c r="EN20" s="129">
        <f>SUM(DA20:DC20)</f>
        <v>0</v>
      </c>
      <c r="EO20" s="644">
        <f>SUM(DD20:DF20)</f>
        <v>0</v>
      </c>
      <c r="EP20" s="129">
        <f>SUM(DG20:DI20)</f>
        <v>0</v>
      </c>
      <c r="EQ20" s="129">
        <f t="shared" si="5"/>
        <v>0</v>
      </c>
      <c r="ER20" s="129">
        <f t="shared" si="6"/>
        <v>0</v>
      </c>
      <c r="ES20" s="129">
        <f t="shared" si="7"/>
        <v>0</v>
      </c>
      <c r="ET20" s="129">
        <f t="shared" si="8"/>
        <v>0</v>
      </c>
      <c r="EV20" s="129">
        <f t="shared" si="9"/>
        <v>0</v>
      </c>
      <c r="EW20" s="129">
        <f t="shared" si="10"/>
        <v>0</v>
      </c>
      <c r="EX20" s="129">
        <f t="shared" si="11"/>
        <v>0</v>
      </c>
      <c r="EY20" s="129">
        <f t="shared" si="12"/>
        <v>0</v>
      </c>
      <c r="EZ20" s="129">
        <f t="shared" si="13"/>
        <v>0</v>
      </c>
      <c r="FA20" s="663">
        <f t="shared" si="17"/>
        <v>0</v>
      </c>
    </row>
    <row r="21" spans="2:157" x14ac:dyDescent="0.2"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5"/>
      <c r="BM21" s="115"/>
      <c r="BN21" s="115"/>
      <c r="BO21" s="115"/>
      <c r="BP21" s="115"/>
      <c r="BQ21" s="115"/>
      <c r="BR21" s="115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115"/>
      <c r="CD21" s="115"/>
      <c r="CE21" s="115"/>
      <c r="CF21" s="115"/>
      <c r="CG21" s="115"/>
      <c r="CH21" s="115"/>
      <c r="CI21" s="115"/>
      <c r="CJ21" s="115"/>
      <c r="CK21" s="115"/>
      <c r="CL21" s="115"/>
      <c r="CM21" s="115"/>
      <c r="CN21" s="115"/>
      <c r="CO21" s="115"/>
      <c r="CP21" s="115"/>
      <c r="CQ21" s="115"/>
      <c r="CR21" s="115"/>
      <c r="CS21" s="115"/>
      <c r="CT21" s="115"/>
      <c r="CU21" s="115"/>
      <c r="CV21" s="115"/>
      <c r="CW21" s="115"/>
      <c r="CX21" s="115"/>
      <c r="CY21" s="115"/>
      <c r="CZ21" s="115"/>
      <c r="DA21" s="115"/>
      <c r="DB21" s="115"/>
      <c r="DC21" s="115"/>
      <c r="DD21" s="115"/>
      <c r="DE21" s="115"/>
      <c r="DF21" s="115"/>
      <c r="DG21" s="115"/>
      <c r="DH21" s="115"/>
      <c r="DI21" s="115"/>
      <c r="DJ21" s="115"/>
      <c r="DK21" s="115"/>
      <c r="DL21" s="115"/>
      <c r="DM21" s="115"/>
      <c r="DN21" s="115"/>
      <c r="DO21" s="115"/>
      <c r="DP21" s="115"/>
      <c r="DQ21" s="115"/>
      <c r="DR21" s="115"/>
      <c r="DS21" s="115"/>
      <c r="DT21" s="115"/>
      <c r="DU21" s="115"/>
      <c r="DW21" s="129"/>
      <c r="DX21" s="663"/>
      <c r="DY21" s="129"/>
      <c r="DZ21" s="129"/>
      <c r="EA21" s="129"/>
      <c r="EB21" s="129"/>
      <c r="EC21" s="129"/>
      <c r="ED21" s="129"/>
      <c r="EE21" s="129"/>
      <c r="EF21" s="129"/>
      <c r="EG21" s="129"/>
      <c r="EH21" s="129"/>
      <c r="EI21" s="129"/>
      <c r="EJ21" s="129"/>
      <c r="EK21" s="129"/>
      <c r="EL21" s="129"/>
      <c r="EM21" s="129"/>
      <c r="EN21" s="129"/>
      <c r="EO21" s="644"/>
      <c r="EP21" s="129"/>
      <c r="EQ21" s="129"/>
      <c r="ER21" s="129"/>
      <c r="ES21" s="129"/>
      <c r="ET21" s="129"/>
      <c r="EV21" s="129"/>
      <c r="EW21" s="129"/>
      <c r="EX21" s="129"/>
      <c r="EY21" s="129"/>
      <c r="EZ21" s="129"/>
      <c r="FA21" s="663"/>
    </row>
    <row r="22" spans="2:157" x14ac:dyDescent="0.2">
      <c r="B22" s="116" t="s">
        <v>5</v>
      </c>
      <c r="C22" s="131">
        <f>C23+C28</f>
        <v>0</v>
      </c>
      <c r="D22" s="131">
        <f t="shared" ref="D22:BO22" si="20">D23+D28</f>
        <v>10</v>
      </c>
      <c r="E22" s="131">
        <f t="shared" si="20"/>
        <v>4</v>
      </c>
      <c r="F22" s="131">
        <f t="shared" si="20"/>
        <v>0</v>
      </c>
      <c r="G22" s="131">
        <f t="shared" si="20"/>
        <v>3</v>
      </c>
      <c r="H22" s="131">
        <f t="shared" si="20"/>
        <v>69</v>
      </c>
      <c r="I22" s="131">
        <f t="shared" si="20"/>
        <v>31</v>
      </c>
      <c r="J22" s="131">
        <f t="shared" si="20"/>
        <v>14</v>
      </c>
      <c r="K22" s="131">
        <f t="shared" si="20"/>
        <v>321</v>
      </c>
      <c r="L22" s="131">
        <f t="shared" si="20"/>
        <v>28</v>
      </c>
      <c r="M22" s="131">
        <f t="shared" si="20"/>
        <v>354</v>
      </c>
      <c r="N22" s="131">
        <f t="shared" si="20"/>
        <v>129</v>
      </c>
      <c r="O22" s="131">
        <f t="shared" si="20"/>
        <v>228</v>
      </c>
      <c r="P22" s="131">
        <f t="shared" si="20"/>
        <v>2025</v>
      </c>
      <c r="Q22" s="131">
        <f t="shared" si="20"/>
        <v>702</v>
      </c>
      <c r="R22" s="131">
        <f t="shared" si="20"/>
        <v>233</v>
      </c>
      <c r="S22" s="131">
        <f t="shared" si="20"/>
        <v>498</v>
      </c>
      <c r="T22" s="131">
        <f t="shared" si="20"/>
        <v>486</v>
      </c>
      <c r="U22" s="131">
        <f t="shared" si="20"/>
        <v>271</v>
      </c>
      <c r="V22" s="131">
        <f t="shared" si="20"/>
        <v>363</v>
      </c>
      <c r="W22" s="131">
        <f t="shared" si="20"/>
        <v>457</v>
      </c>
      <c r="X22" s="131">
        <f t="shared" si="20"/>
        <v>732</v>
      </c>
      <c r="Y22" s="131">
        <f t="shared" si="20"/>
        <v>499</v>
      </c>
      <c r="Z22" s="131">
        <f t="shared" si="20"/>
        <v>940</v>
      </c>
      <c r="AA22" s="131">
        <f t="shared" si="20"/>
        <v>1546</v>
      </c>
      <c r="AB22" s="131">
        <f t="shared" si="20"/>
        <v>1107</v>
      </c>
      <c r="AC22" s="131">
        <f t="shared" si="20"/>
        <v>1782</v>
      </c>
      <c r="AD22" s="131">
        <f t="shared" si="20"/>
        <v>866</v>
      </c>
      <c r="AE22" s="131">
        <f t="shared" si="20"/>
        <v>399</v>
      </c>
      <c r="AF22" s="131">
        <f t="shared" si="20"/>
        <v>547</v>
      </c>
      <c r="AG22" s="131">
        <f t="shared" si="20"/>
        <v>676</v>
      </c>
      <c r="AH22" s="131">
        <f t="shared" si="20"/>
        <v>371</v>
      </c>
      <c r="AI22" s="131">
        <f t="shared" si="20"/>
        <v>398</v>
      </c>
      <c r="AJ22" s="131">
        <f t="shared" si="20"/>
        <v>734</v>
      </c>
      <c r="AK22" s="131">
        <f t="shared" si="20"/>
        <v>1102</v>
      </c>
      <c r="AL22" s="131">
        <f t="shared" si="20"/>
        <v>2111</v>
      </c>
      <c r="AM22" s="131">
        <f t="shared" si="20"/>
        <v>2018</v>
      </c>
      <c r="AN22" s="131">
        <f t="shared" si="20"/>
        <v>1448</v>
      </c>
      <c r="AO22" s="131">
        <f t="shared" si="20"/>
        <v>1422</v>
      </c>
      <c r="AP22" s="131">
        <f t="shared" si="20"/>
        <v>660</v>
      </c>
      <c r="AQ22" s="131">
        <f t="shared" si="20"/>
        <v>1486</v>
      </c>
      <c r="AR22" s="131">
        <f t="shared" si="20"/>
        <v>1178</v>
      </c>
      <c r="AS22" s="131">
        <f t="shared" si="20"/>
        <v>1399</v>
      </c>
      <c r="AT22" s="131">
        <f t="shared" si="20"/>
        <v>1548</v>
      </c>
      <c r="AU22" s="131">
        <f t="shared" si="20"/>
        <v>1833</v>
      </c>
      <c r="AV22" s="131">
        <f t="shared" si="20"/>
        <v>1731</v>
      </c>
      <c r="AW22" s="131">
        <f t="shared" si="20"/>
        <v>1776</v>
      </c>
      <c r="AX22" s="131">
        <f t="shared" si="20"/>
        <v>1999</v>
      </c>
      <c r="AY22" s="131">
        <f t="shared" si="20"/>
        <v>1283</v>
      </c>
      <c r="AZ22" s="131">
        <f t="shared" si="20"/>
        <v>1505</v>
      </c>
      <c r="BA22" s="131">
        <f t="shared" si="20"/>
        <v>3507</v>
      </c>
      <c r="BB22" s="131">
        <f t="shared" si="20"/>
        <v>3436</v>
      </c>
      <c r="BC22" s="131">
        <f t="shared" si="20"/>
        <v>3186</v>
      </c>
      <c r="BD22" s="131">
        <f t="shared" si="20"/>
        <v>3037</v>
      </c>
      <c r="BE22" s="131">
        <f t="shared" si="20"/>
        <v>4278</v>
      </c>
      <c r="BF22" s="131">
        <f t="shared" si="20"/>
        <v>3263</v>
      </c>
      <c r="BG22" s="131">
        <f t="shared" si="20"/>
        <v>4017</v>
      </c>
      <c r="BH22" s="131">
        <f t="shared" si="20"/>
        <v>4821</v>
      </c>
      <c r="BI22" s="131">
        <f t="shared" si="20"/>
        <v>3884</v>
      </c>
      <c r="BJ22" s="131">
        <f t="shared" si="20"/>
        <v>3125</v>
      </c>
      <c r="BK22" s="131">
        <f t="shared" si="20"/>
        <v>3088</v>
      </c>
      <c r="BL22" s="131">
        <f t="shared" si="20"/>
        <v>3463</v>
      </c>
      <c r="BM22" s="131">
        <f t="shared" si="20"/>
        <v>2665</v>
      </c>
      <c r="BN22" s="131">
        <f t="shared" si="20"/>
        <v>3125</v>
      </c>
      <c r="BO22" s="131">
        <f t="shared" si="20"/>
        <v>3252</v>
      </c>
      <c r="BP22" s="131">
        <f t="shared" ref="BP22:DI22" si="21">BP23+BP28</f>
        <v>3104</v>
      </c>
      <c r="BQ22" s="131">
        <f t="shared" si="21"/>
        <v>3405</v>
      </c>
      <c r="BR22" s="131">
        <f t="shared" si="21"/>
        <v>3475</v>
      </c>
      <c r="BS22" s="131">
        <f t="shared" si="21"/>
        <v>3502</v>
      </c>
      <c r="BT22" s="131">
        <f t="shared" si="21"/>
        <v>3115</v>
      </c>
      <c r="BU22" s="131">
        <f t="shared" si="21"/>
        <v>3002</v>
      </c>
      <c r="BV22" s="131">
        <f t="shared" si="21"/>
        <v>2802</v>
      </c>
      <c r="BW22" s="131">
        <f t="shared" si="21"/>
        <v>3487</v>
      </c>
      <c r="BX22" s="131">
        <f t="shared" si="21"/>
        <v>3516</v>
      </c>
      <c r="BY22" s="131">
        <f t="shared" si="21"/>
        <v>4589</v>
      </c>
      <c r="BZ22" s="131">
        <f t="shared" si="21"/>
        <v>4992</v>
      </c>
      <c r="CA22" s="131">
        <f t="shared" si="21"/>
        <v>4733</v>
      </c>
      <c r="CB22" s="131">
        <f t="shared" si="21"/>
        <v>4569.7142857142853</v>
      </c>
      <c r="CC22" s="131">
        <f t="shared" si="21"/>
        <v>4262</v>
      </c>
      <c r="CD22" s="131">
        <f t="shared" si="21"/>
        <v>4271</v>
      </c>
      <c r="CE22" s="131">
        <f t="shared" si="21"/>
        <v>2442</v>
      </c>
      <c r="CF22" s="131">
        <f t="shared" si="21"/>
        <v>4688</v>
      </c>
      <c r="CG22" s="131">
        <f t="shared" si="21"/>
        <v>4369</v>
      </c>
      <c r="CH22" s="131">
        <f t="shared" si="21"/>
        <v>5001</v>
      </c>
      <c r="CI22" s="131">
        <f t="shared" si="21"/>
        <v>5033</v>
      </c>
      <c r="CJ22" s="131">
        <f t="shared" si="21"/>
        <v>4576</v>
      </c>
      <c r="CK22" s="131">
        <f t="shared" si="21"/>
        <v>4758</v>
      </c>
      <c r="CL22" s="131">
        <f t="shared" si="21"/>
        <v>4337.9125566961093</v>
      </c>
      <c r="CM22" s="131">
        <f t="shared" si="21"/>
        <v>4382.0623442349006</v>
      </c>
      <c r="CN22" s="131">
        <f t="shared" si="21"/>
        <v>4378.9274480783006</v>
      </c>
      <c r="CO22" s="131">
        <f t="shared" si="21"/>
        <v>4445.0215087132965</v>
      </c>
      <c r="CP22" s="131">
        <f t="shared" si="21"/>
        <v>4188.482506564812</v>
      </c>
      <c r="CQ22" s="131">
        <f t="shared" si="21"/>
        <v>4581.9119742181902</v>
      </c>
      <c r="CR22" s="131">
        <f t="shared" si="21"/>
        <v>4455.2099212222483</v>
      </c>
      <c r="CS22" s="131">
        <f t="shared" si="21"/>
        <v>4465.6595750775841</v>
      </c>
      <c r="CT22" s="131">
        <f t="shared" si="21"/>
        <v>5481.6271711625677</v>
      </c>
      <c r="CU22" s="131">
        <f t="shared" si="21"/>
        <v>5906.4056003819524</v>
      </c>
      <c r="CV22" s="131">
        <f t="shared" si="21"/>
        <v>5063.6410169491519</v>
      </c>
      <c r="CW22" s="131">
        <f t="shared" si="21"/>
        <v>5471.6999999999989</v>
      </c>
      <c r="CX22" s="131">
        <f t="shared" si="21"/>
        <v>4988.5994402005254</v>
      </c>
      <c r="CY22" s="131">
        <f t="shared" si="21"/>
        <v>5039.3716958701361</v>
      </c>
      <c r="CZ22" s="131">
        <f t="shared" si="21"/>
        <v>5035.7665652900459</v>
      </c>
      <c r="DA22" s="131">
        <f t="shared" si="21"/>
        <v>5111.7747350202917</v>
      </c>
      <c r="DB22" s="131">
        <f t="shared" si="21"/>
        <v>4816.7548825495342</v>
      </c>
      <c r="DC22" s="131">
        <f t="shared" si="21"/>
        <v>5269.1987703509185</v>
      </c>
      <c r="DD22" s="131">
        <f t="shared" si="21"/>
        <v>5123.4914094055857</v>
      </c>
      <c r="DE22" s="131">
        <f t="shared" si="21"/>
        <v>5135.5085113392215</v>
      </c>
      <c r="DF22" s="131">
        <f t="shared" si="21"/>
        <v>6303.871246836954</v>
      </c>
      <c r="DG22" s="131">
        <f t="shared" si="21"/>
        <v>6792.3664404392457</v>
      </c>
      <c r="DH22" s="131">
        <f t="shared" si="21"/>
        <v>5823.1871694915253</v>
      </c>
      <c r="DI22" s="131">
        <f t="shared" si="21"/>
        <v>6292.454999999999</v>
      </c>
      <c r="DJ22" s="131">
        <f t="shared" ref="DJ22:DU22" si="22">DJ23+DJ28</f>
        <v>5736.8893562306039</v>
      </c>
      <c r="DK22" s="131">
        <f t="shared" si="22"/>
        <v>5795.2774502506563</v>
      </c>
      <c r="DL22" s="131">
        <f t="shared" si="22"/>
        <v>5791.1315500835526</v>
      </c>
      <c r="DM22" s="131">
        <f t="shared" si="22"/>
        <v>5878.5409452733347</v>
      </c>
      <c r="DN22" s="131">
        <f t="shared" si="22"/>
        <v>5539.2681149319642</v>
      </c>
      <c r="DO22" s="131">
        <f t="shared" si="22"/>
        <v>6059.5785859035559</v>
      </c>
      <c r="DP22" s="131">
        <f t="shared" si="22"/>
        <v>5892.0151208164234</v>
      </c>
      <c r="DQ22" s="131">
        <f t="shared" si="22"/>
        <v>5905.8347880401043</v>
      </c>
      <c r="DR22" s="131">
        <f t="shared" si="22"/>
        <v>7249.4519338624959</v>
      </c>
      <c r="DS22" s="131">
        <f t="shared" si="22"/>
        <v>7811.2214065051312</v>
      </c>
      <c r="DT22" s="131">
        <f t="shared" si="22"/>
        <v>6696.6652449152534</v>
      </c>
      <c r="DU22" s="131">
        <f t="shared" si="22"/>
        <v>7236.3232499999986</v>
      </c>
      <c r="DW22" s="131">
        <f t="shared" ref="DW22:DW30" si="23">SUM(BB22:BD22)</f>
        <v>9659</v>
      </c>
      <c r="DX22" s="665">
        <f t="shared" ref="DX22:DX30" si="24">SUM(BE22:BG22)</f>
        <v>11558</v>
      </c>
      <c r="DY22" s="131">
        <f t="shared" ref="DY22:DY30" si="25">SUM(BH22:BJ22)</f>
        <v>11830</v>
      </c>
      <c r="DZ22" s="131">
        <f t="shared" ref="DZ22:DZ30" si="26">SUM(BK22:BM22)</f>
        <v>9216</v>
      </c>
      <c r="EA22" s="131">
        <f t="shared" ref="EA22:EA30" si="27">SUM(BN22:BP22)</f>
        <v>9481</v>
      </c>
      <c r="EB22" s="131">
        <f t="shared" ref="EB22:EB30" si="28">SUM(BQ22:BS22)</f>
        <v>10382</v>
      </c>
      <c r="EC22" s="131">
        <f t="shared" ref="EC22:EC30" si="29">SUM(BT22:BV22)</f>
        <v>8919</v>
      </c>
      <c r="ED22" s="131">
        <f t="shared" ref="ED22:ED30" si="30">SUM(BW22:BY22)</f>
        <v>11592</v>
      </c>
      <c r="EE22" s="131">
        <f t="shared" ref="EE22:EE30" si="31">SUM(BZ22:CB22)</f>
        <v>14294.714285714286</v>
      </c>
      <c r="EF22" s="131">
        <f t="shared" ref="EF22:EF30" si="32">SUM(CC22:CE22)</f>
        <v>10975</v>
      </c>
      <c r="EG22" s="131">
        <f t="shared" ref="EG22:EG30" si="33">SUM(CF22:CH22)</f>
        <v>14058</v>
      </c>
      <c r="EH22" s="131">
        <f t="shared" ref="EH22:EH30" si="34">SUM(CI22:CK22)</f>
        <v>14367</v>
      </c>
      <c r="EI22" s="131">
        <f t="shared" ref="EI22:EI30" si="35">SUM(CL22:CN22)</f>
        <v>13098.902349009311</v>
      </c>
      <c r="EJ22" s="131">
        <f t="shared" ref="EJ22:EJ30" si="36">SUM(CO22:CQ22)</f>
        <v>13215.415989496298</v>
      </c>
      <c r="EK22" s="131">
        <f t="shared" ref="EK22:EK30" si="37">SUM(CR22:CT22)</f>
        <v>14402.496667462401</v>
      </c>
      <c r="EL22" s="131">
        <f t="shared" ref="EL22:EL30" si="38">SUM(CU22:CW22)</f>
        <v>16441.746617331104</v>
      </c>
      <c r="EM22" s="131">
        <f t="shared" ref="EM22:EM30" si="39">SUM(CX22:CZ22)</f>
        <v>15063.737701360707</v>
      </c>
      <c r="EN22" s="131">
        <f t="shared" ref="EN22:EN30" si="40">SUM(DA22:DC22)</f>
        <v>15197.728387920744</v>
      </c>
      <c r="EO22" s="646">
        <f t="shared" ref="EO22:EO30" si="41">SUM(DD22:DF22)</f>
        <v>16562.871167581761</v>
      </c>
      <c r="EP22" s="131">
        <f t="shared" ref="EP22:EP30" si="42">SUM(DG22:DI22)</f>
        <v>18908.00860993077</v>
      </c>
      <c r="EQ22" s="132">
        <f t="shared" si="5"/>
        <v>17323.298356564814</v>
      </c>
      <c r="ER22" s="132">
        <f t="shared" si="6"/>
        <v>17477.387646108855</v>
      </c>
      <c r="ES22" s="132">
        <f t="shared" si="7"/>
        <v>19047.301842719025</v>
      </c>
      <c r="ET22" s="132">
        <f t="shared" si="8"/>
        <v>21744.209901420381</v>
      </c>
      <c r="EV22" s="132">
        <f t="shared" si="9"/>
        <v>42263</v>
      </c>
      <c r="EW22" s="132">
        <f t="shared" si="10"/>
        <v>40374</v>
      </c>
      <c r="EX22" s="132">
        <f t="shared" si="11"/>
        <v>53694.71428571429</v>
      </c>
      <c r="EY22" s="132">
        <f t="shared" si="12"/>
        <v>57158.561623299116</v>
      </c>
      <c r="EZ22" s="132">
        <f t="shared" si="13"/>
        <v>65732.345866793985</v>
      </c>
      <c r="FA22" s="666">
        <f t="shared" si="17"/>
        <v>75592.197746813079</v>
      </c>
    </row>
    <row r="23" spans="2:157" x14ac:dyDescent="0.2">
      <c r="B23" s="114" t="s">
        <v>132</v>
      </c>
      <c r="C23" s="129">
        <f>'P&amp;L - Inputs'!K176</f>
        <v>0</v>
      </c>
      <c r="D23" s="129">
        <f>'P&amp;L - Inputs'!L176</f>
        <v>0</v>
      </c>
      <c r="E23" s="129">
        <f>'P&amp;L - Inputs'!M176</f>
        <v>0</v>
      </c>
      <c r="F23" s="129">
        <f>'P&amp;L - Inputs'!N176</f>
        <v>0</v>
      </c>
      <c r="G23" s="129">
        <f>'P&amp;L - Inputs'!O176</f>
        <v>0</v>
      </c>
      <c r="H23" s="129">
        <f>'P&amp;L - Inputs'!P176</f>
        <v>0</v>
      </c>
      <c r="I23" s="129">
        <f>'P&amp;L - Inputs'!Q176</f>
        <v>0</v>
      </c>
      <c r="J23" s="129">
        <f>'P&amp;L - Inputs'!R176</f>
        <v>0</v>
      </c>
      <c r="K23" s="129">
        <f>'P&amp;L - Inputs'!S176</f>
        <v>0</v>
      </c>
      <c r="L23" s="129">
        <f>'P&amp;L - Inputs'!T176</f>
        <v>0</v>
      </c>
      <c r="M23" s="129">
        <f>'P&amp;L - Inputs'!U176</f>
        <v>0</v>
      </c>
      <c r="N23" s="129">
        <f>'P&amp;L - Inputs'!V176</f>
        <v>0</v>
      </c>
      <c r="O23" s="129">
        <f>'P&amp;L - Inputs'!W176</f>
        <v>0</v>
      </c>
      <c r="P23" s="129">
        <f>'P&amp;L - Inputs'!X176</f>
        <v>0</v>
      </c>
      <c r="Q23" s="129">
        <f>'P&amp;L - Inputs'!Y176</f>
        <v>0</v>
      </c>
      <c r="R23" s="129">
        <f>'P&amp;L - Inputs'!Z176</f>
        <v>0</v>
      </c>
      <c r="S23" s="129">
        <f>'P&amp;L - Inputs'!AA176</f>
        <v>0</v>
      </c>
      <c r="T23" s="129">
        <f>'P&amp;L - Inputs'!AB176</f>
        <v>4</v>
      </c>
      <c r="U23" s="129">
        <f>'P&amp;L - Inputs'!AC176</f>
        <v>1</v>
      </c>
      <c r="V23" s="129">
        <f>'P&amp;L - Inputs'!AD176</f>
        <v>4</v>
      </c>
      <c r="W23" s="129">
        <f>'P&amp;L - Inputs'!AE176</f>
        <v>4</v>
      </c>
      <c r="X23" s="129">
        <f>'P&amp;L - Inputs'!AF176</f>
        <v>2</v>
      </c>
      <c r="Y23" s="129">
        <f>'P&amp;L - Inputs'!AG176</f>
        <v>0</v>
      </c>
      <c r="Z23" s="129">
        <f>'P&amp;L - Inputs'!AH176</f>
        <v>8</v>
      </c>
      <c r="AA23" s="129">
        <f>'P&amp;L - Inputs'!AI176</f>
        <v>3</v>
      </c>
      <c r="AB23" s="129">
        <f>'P&amp;L - Inputs'!AJ176</f>
        <v>9</v>
      </c>
      <c r="AC23" s="129">
        <f>'P&amp;L - Inputs'!AK176</f>
        <v>9</v>
      </c>
      <c r="AD23" s="129">
        <f>'P&amp;L - Inputs'!AL176</f>
        <v>30</v>
      </c>
      <c r="AE23" s="129">
        <f>'P&amp;L - Inputs'!AM176</f>
        <v>10</v>
      </c>
      <c r="AF23" s="129">
        <f>'P&amp;L - Inputs'!AN176</f>
        <v>11</v>
      </c>
      <c r="AG23" s="129">
        <f>'P&amp;L - Inputs'!AO176</f>
        <v>37</v>
      </c>
      <c r="AH23" s="129">
        <f>'P&amp;L - Inputs'!AP176</f>
        <v>10</v>
      </c>
      <c r="AI23" s="129">
        <f>'P&amp;L - Inputs'!AQ176</f>
        <v>5</v>
      </c>
      <c r="AJ23" s="129">
        <f>'P&amp;L - Inputs'!AR176</f>
        <v>90</v>
      </c>
      <c r="AK23" s="129">
        <f>'P&amp;L - Inputs'!AS176</f>
        <v>97</v>
      </c>
      <c r="AL23" s="129">
        <f>'P&amp;L - Inputs'!AT176</f>
        <v>156</v>
      </c>
      <c r="AM23" s="129">
        <f>'P&amp;L - Inputs'!AU176</f>
        <v>207</v>
      </c>
      <c r="AN23" s="129">
        <f>'P&amp;L - Inputs'!AV176</f>
        <v>241</v>
      </c>
      <c r="AO23" s="129">
        <f>'P&amp;L - Inputs'!AW176</f>
        <v>872</v>
      </c>
      <c r="AP23" s="129">
        <f>'P&amp;L - Inputs'!AX176</f>
        <v>393</v>
      </c>
      <c r="AQ23" s="129">
        <f>'P&amp;L - Inputs'!AY176</f>
        <v>229</v>
      </c>
      <c r="AR23" s="129">
        <f>'P&amp;L - Inputs'!AZ176</f>
        <v>881</v>
      </c>
      <c r="AS23" s="129">
        <f>'P&amp;L - Inputs'!BA176</f>
        <v>1212</v>
      </c>
      <c r="AT23" s="129">
        <f>'P&amp;L - Inputs'!BB176</f>
        <v>1327</v>
      </c>
      <c r="AU23" s="129">
        <f>'P&amp;L - Inputs'!BC176</f>
        <v>1474</v>
      </c>
      <c r="AV23" s="129">
        <f>'P&amp;L - Inputs'!BD176</f>
        <v>1208</v>
      </c>
      <c r="AW23" s="129">
        <f>'P&amp;L - Inputs'!BE176</f>
        <v>945</v>
      </c>
      <c r="AX23" s="129">
        <f>'P&amp;L - Inputs'!BF176</f>
        <v>1210</v>
      </c>
      <c r="AY23" s="129">
        <f>'P&amp;L - Inputs'!BG176</f>
        <v>910</v>
      </c>
      <c r="AZ23" s="129">
        <f>'P&amp;L - Inputs'!BH176</f>
        <v>1183</v>
      </c>
      <c r="BA23" s="129">
        <f>'P&amp;L - Inputs'!BI176</f>
        <v>2863</v>
      </c>
      <c r="BB23" s="129">
        <f>'P&amp;L - Inputs'!BJ176</f>
        <v>3037</v>
      </c>
      <c r="BC23" s="129">
        <f>'P&amp;L - Inputs'!BK176</f>
        <v>3072</v>
      </c>
      <c r="BD23" s="129">
        <f>'P&amp;L - Inputs'!BL176</f>
        <v>3021</v>
      </c>
      <c r="BE23" s="129">
        <f>'P&amp;L - Inputs'!BM176</f>
        <v>4278</v>
      </c>
      <c r="BF23" s="129">
        <f>'P&amp;L - Inputs'!BN176</f>
        <v>3263</v>
      </c>
      <c r="BG23" s="129">
        <f>'P&amp;L - Inputs'!BO176</f>
        <v>4017</v>
      </c>
      <c r="BH23" s="129">
        <f>'P&amp;L - Inputs'!BP176</f>
        <v>4821</v>
      </c>
      <c r="BI23" s="129">
        <f>'P&amp;L - Inputs'!BQ176</f>
        <v>3884</v>
      </c>
      <c r="BJ23" s="129">
        <f>'P&amp;L - Inputs'!BR176</f>
        <v>3125</v>
      </c>
      <c r="BK23" s="129">
        <f>'P&amp;L - Inputs'!BS176</f>
        <v>3088</v>
      </c>
      <c r="BL23" s="129">
        <f>'P&amp;L - Inputs'!BT176</f>
        <v>3463</v>
      </c>
      <c r="BM23" s="129">
        <f>'P&amp;L - Inputs'!BU176</f>
        <v>2665</v>
      </c>
      <c r="BN23" s="129">
        <f>'P&amp;L - Inputs'!BV176</f>
        <v>3125</v>
      </c>
      <c r="BO23" s="129">
        <f>'P&amp;L - Inputs'!BW176</f>
        <v>3252</v>
      </c>
      <c r="BP23" s="129">
        <f>'P&amp;L - Inputs'!BX176</f>
        <v>3104</v>
      </c>
      <c r="BQ23" s="129">
        <f>'P&amp;L - Inputs'!BY176</f>
        <v>3405</v>
      </c>
      <c r="BR23" s="129">
        <f>'P&amp;L - Inputs'!BZ176</f>
        <v>3475</v>
      </c>
      <c r="BS23" s="129">
        <f>'P&amp;L - Inputs'!CA176</f>
        <v>3502</v>
      </c>
      <c r="BT23" s="129">
        <f>'P&amp;L - Inputs'!CB176</f>
        <v>3115</v>
      </c>
      <c r="BU23" s="129">
        <f>'P&amp;L - Inputs'!CC176</f>
        <v>3002</v>
      </c>
      <c r="BV23" s="129">
        <f>'P&amp;L - Inputs'!CD176</f>
        <v>2802</v>
      </c>
      <c r="BW23" s="129">
        <f>'P&amp;L - Inputs'!CE176</f>
        <v>3487</v>
      </c>
      <c r="BX23" s="129">
        <f>'P&amp;L - Inputs'!CF176</f>
        <v>3516</v>
      </c>
      <c r="BY23" s="129">
        <f>'P&amp;L - Inputs'!CG176</f>
        <v>4589</v>
      </c>
      <c r="BZ23" s="129">
        <f>'P&amp;L - Inputs'!CH176</f>
        <v>4992</v>
      </c>
      <c r="CA23" s="129">
        <f>'P&amp;L - Inputs'!CI176</f>
        <v>4733</v>
      </c>
      <c r="CB23" s="129">
        <f>'P&amp;L - Inputs'!CJ176</f>
        <v>4569.7142857142853</v>
      </c>
      <c r="CC23" s="129">
        <f>'P&amp;L - Inputs'!CK176</f>
        <v>4262</v>
      </c>
      <c r="CD23" s="129">
        <f>'P&amp;L - Inputs'!CL176</f>
        <v>4271</v>
      </c>
      <c r="CE23" s="129">
        <f>'P&amp;L - Inputs'!CM176</f>
        <v>2442</v>
      </c>
      <c r="CF23" s="129">
        <f>'P&amp;L - Inputs'!CN176</f>
        <v>4688</v>
      </c>
      <c r="CG23" s="129">
        <f>'P&amp;L - Inputs'!CO176</f>
        <v>4369</v>
      </c>
      <c r="CH23" s="129">
        <f>'P&amp;L - Inputs'!CP176</f>
        <v>5001</v>
      </c>
      <c r="CI23" s="129">
        <f>'P&amp;L - Inputs'!CQ176</f>
        <v>5033</v>
      </c>
      <c r="CJ23" s="129">
        <f>'P&amp;L - Inputs'!CR176</f>
        <v>4576</v>
      </c>
      <c r="CK23" s="129">
        <f>'P&amp;L - Inputs'!CS176</f>
        <v>4758</v>
      </c>
      <c r="CL23" s="129">
        <f>'P&amp;L - Inputs'!CT176</f>
        <v>4337.9125566961093</v>
      </c>
      <c r="CM23" s="129">
        <f>'P&amp;L - Inputs'!CU176</f>
        <v>4382.0623442349006</v>
      </c>
      <c r="CN23" s="129">
        <f>'P&amp;L - Inputs'!CV176</f>
        <v>4378.9274480783006</v>
      </c>
      <c r="CO23" s="129">
        <f>'P&amp;L - Inputs'!CW176</f>
        <v>4445.0215087132965</v>
      </c>
      <c r="CP23" s="129">
        <f>'P&amp;L - Inputs'!CX176</f>
        <v>4188.482506564812</v>
      </c>
      <c r="CQ23" s="129">
        <f>'P&amp;L - Inputs'!CY176</f>
        <v>4581.9119742181902</v>
      </c>
      <c r="CR23" s="129">
        <f>'P&amp;L - Inputs'!CZ176</f>
        <v>4455.2099212222483</v>
      </c>
      <c r="CS23" s="129">
        <f>'P&amp;L - Inputs'!DA176</f>
        <v>4465.6595750775841</v>
      </c>
      <c r="CT23" s="129">
        <f>'P&amp;L - Inputs'!DB176</f>
        <v>5481.6271711625677</v>
      </c>
      <c r="CU23" s="129">
        <f>'P&amp;L - Inputs'!DC176</f>
        <v>5906.4056003819524</v>
      </c>
      <c r="CV23" s="129">
        <f>'P&amp;L - Inputs'!DD176</f>
        <v>5063.6410169491519</v>
      </c>
      <c r="CW23" s="129">
        <f>'P&amp;L - Inputs'!DE176</f>
        <v>5471.6999999999989</v>
      </c>
      <c r="CX23" s="129">
        <f>'P&amp;L - Inputs'!DF176</f>
        <v>4988.5994402005254</v>
      </c>
      <c r="CY23" s="129">
        <f>'P&amp;L - Inputs'!DG176</f>
        <v>5039.3716958701361</v>
      </c>
      <c r="CZ23" s="129">
        <f>'P&amp;L - Inputs'!DH176</f>
        <v>5035.7665652900459</v>
      </c>
      <c r="DA23" s="129">
        <f>'P&amp;L - Inputs'!DI176</f>
        <v>5111.7747350202917</v>
      </c>
      <c r="DB23" s="129">
        <f>'P&amp;L - Inputs'!DJ176</f>
        <v>4816.7548825495342</v>
      </c>
      <c r="DC23" s="129">
        <f>'P&amp;L - Inputs'!DK176</f>
        <v>5269.1987703509185</v>
      </c>
      <c r="DD23" s="129">
        <f>'P&amp;L - Inputs'!DL176</f>
        <v>5123.4914094055857</v>
      </c>
      <c r="DE23" s="129">
        <f>'P&amp;L - Inputs'!DM176</f>
        <v>5135.5085113392215</v>
      </c>
      <c r="DF23" s="129">
        <f>'P&amp;L - Inputs'!DN176</f>
        <v>6303.871246836954</v>
      </c>
      <c r="DG23" s="129">
        <f>'P&amp;L - Inputs'!DO176</f>
        <v>6792.3664404392457</v>
      </c>
      <c r="DH23" s="129">
        <f>'P&amp;L - Inputs'!DP176</f>
        <v>5823.1871694915253</v>
      </c>
      <c r="DI23" s="129">
        <f>'P&amp;L - Inputs'!DQ176</f>
        <v>6292.454999999999</v>
      </c>
      <c r="DJ23" s="129">
        <f>'P&amp;L - Inputs'!DR176</f>
        <v>5736.8893562306039</v>
      </c>
      <c r="DK23" s="129">
        <f>'P&amp;L - Inputs'!DS176</f>
        <v>5795.2774502506563</v>
      </c>
      <c r="DL23" s="129">
        <f>'P&amp;L - Inputs'!DT176</f>
        <v>5791.1315500835526</v>
      </c>
      <c r="DM23" s="129">
        <f>'P&amp;L - Inputs'!DU176</f>
        <v>5878.5409452733347</v>
      </c>
      <c r="DN23" s="129">
        <f>'P&amp;L - Inputs'!DV176</f>
        <v>5539.2681149319642</v>
      </c>
      <c r="DO23" s="129">
        <f>'P&amp;L - Inputs'!DW176</f>
        <v>6059.5785859035559</v>
      </c>
      <c r="DP23" s="129">
        <f>'P&amp;L - Inputs'!DX176</f>
        <v>5892.0151208164234</v>
      </c>
      <c r="DQ23" s="129">
        <f>'P&amp;L - Inputs'!DY176</f>
        <v>5905.8347880401043</v>
      </c>
      <c r="DR23" s="129">
        <f>'P&amp;L - Inputs'!DZ176</f>
        <v>7249.4519338624959</v>
      </c>
      <c r="DS23" s="129">
        <f>'P&amp;L - Inputs'!EA176</f>
        <v>7811.2214065051312</v>
      </c>
      <c r="DT23" s="129">
        <f>'P&amp;L - Inputs'!EB176</f>
        <v>6696.6652449152534</v>
      </c>
      <c r="DU23" s="129">
        <f>'P&amp;L - Inputs'!EC176</f>
        <v>7236.3232499999986</v>
      </c>
      <c r="DW23" s="129">
        <f t="shared" si="23"/>
        <v>9130</v>
      </c>
      <c r="DX23" s="663">
        <f t="shared" si="24"/>
        <v>11558</v>
      </c>
      <c r="DY23" s="129">
        <f t="shared" si="25"/>
        <v>11830</v>
      </c>
      <c r="DZ23" s="129">
        <f t="shared" si="26"/>
        <v>9216</v>
      </c>
      <c r="EA23" s="129">
        <f t="shared" si="27"/>
        <v>9481</v>
      </c>
      <c r="EB23" s="129">
        <f t="shared" si="28"/>
        <v>10382</v>
      </c>
      <c r="EC23" s="129">
        <f t="shared" si="29"/>
        <v>8919</v>
      </c>
      <c r="ED23" s="129">
        <f t="shared" si="30"/>
        <v>11592</v>
      </c>
      <c r="EE23" s="129">
        <f t="shared" si="31"/>
        <v>14294.714285714286</v>
      </c>
      <c r="EF23" s="129">
        <f t="shared" si="32"/>
        <v>10975</v>
      </c>
      <c r="EG23" s="129">
        <f t="shared" si="33"/>
        <v>14058</v>
      </c>
      <c r="EH23" s="129">
        <f t="shared" si="34"/>
        <v>14367</v>
      </c>
      <c r="EI23" s="129">
        <f t="shared" si="35"/>
        <v>13098.902349009311</v>
      </c>
      <c r="EJ23" s="129">
        <f t="shared" si="36"/>
        <v>13215.415989496298</v>
      </c>
      <c r="EK23" s="129">
        <f t="shared" si="37"/>
        <v>14402.496667462401</v>
      </c>
      <c r="EL23" s="129">
        <f t="shared" si="38"/>
        <v>16441.746617331104</v>
      </c>
      <c r="EM23" s="129">
        <f t="shared" si="39"/>
        <v>15063.737701360707</v>
      </c>
      <c r="EN23" s="129">
        <f t="shared" si="40"/>
        <v>15197.728387920744</v>
      </c>
      <c r="EO23" s="644">
        <f t="shared" si="41"/>
        <v>16562.871167581761</v>
      </c>
      <c r="EP23" s="129">
        <f t="shared" si="42"/>
        <v>18908.00860993077</v>
      </c>
      <c r="EQ23" s="129">
        <f t="shared" si="5"/>
        <v>17323.298356564814</v>
      </c>
      <c r="ER23" s="129">
        <f t="shared" si="6"/>
        <v>17477.387646108855</v>
      </c>
      <c r="ES23" s="129">
        <f t="shared" si="7"/>
        <v>19047.301842719025</v>
      </c>
      <c r="ET23" s="129">
        <f t="shared" si="8"/>
        <v>21744.209901420381</v>
      </c>
      <c r="EV23" s="129">
        <f t="shared" si="9"/>
        <v>41734</v>
      </c>
      <c r="EW23" s="129">
        <f t="shared" si="10"/>
        <v>40374</v>
      </c>
      <c r="EX23" s="129">
        <f t="shared" si="11"/>
        <v>53694.71428571429</v>
      </c>
      <c r="EY23" s="129">
        <f t="shared" si="12"/>
        <v>57158.561623299116</v>
      </c>
      <c r="EZ23" s="129">
        <f t="shared" si="13"/>
        <v>65732.345866793985</v>
      </c>
      <c r="FA23" s="663">
        <f t="shared" si="17"/>
        <v>75592.197746813079</v>
      </c>
    </row>
    <row r="24" spans="2:157" x14ac:dyDescent="0.2">
      <c r="B24" s="117" t="s">
        <v>8</v>
      </c>
      <c r="C24" s="129">
        <f>'P&amp;L - Inputs'!K177</f>
        <v>0</v>
      </c>
      <c r="D24" s="129">
        <f>'P&amp;L - Inputs'!L177</f>
        <v>0</v>
      </c>
      <c r="E24" s="129">
        <f>'P&amp;L - Inputs'!M177</f>
        <v>0</v>
      </c>
      <c r="F24" s="129">
        <f>'P&amp;L - Inputs'!N177</f>
        <v>0</v>
      </c>
      <c r="G24" s="129">
        <f>'P&amp;L - Inputs'!O177</f>
        <v>0</v>
      </c>
      <c r="H24" s="129">
        <f>'P&amp;L - Inputs'!P177</f>
        <v>0</v>
      </c>
      <c r="I24" s="129">
        <f>'P&amp;L - Inputs'!Q177</f>
        <v>0</v>
      </c>
      <c r="J24" s="129">
        <f>'P&amp;L - Inputs'!R177</f>
        <v>0</v>
      </c>
      <c r="K24" s="129">
        <f>'P&amp;L - Inputs'!S177</f>
        <v>0</v>
      </c>
      <c r="L24" s="129">
        <f>'P&amp;L - Inputs'!T177</f>
        <v>0</v>
      </c>
      <c r="M24" s="129">
        <f>'P&amp;L - Inputs'!U177</f>
        <v>0</v>
      </c>
      <c r="N24" s="129">
        <f>'P&amp;L - Inputs'!V177</f>
        <v>0</v>
      </c>
      <c r="O24" s="129">
        <f>'P&amp;L - Inputs'!W177</f>
        <v>0</v>
      </c>
      <c r="P24" s="129">
        <f>'P&amp;L - Inputs'!X177</f>
        <v>0</v>
      </c>
      <c r="Q24" s="129">
        <f>'P&amp;L - Inputs'!Y177</f>
        <v>0</v>
      </c>
      <c r="R24" s="129">
        <f>'P&amp;L - Inputs'!Z177</f>
        <v>0</v>
      </c>
      <c r="S24" s="129">
        <f>'P&amp;L - Inputs'!AA177</f>
        <v>0</v>
      </c>
      <c r="T24" s="129">
        <f>'P&amp;L - Inputs'!AB177</f>
        <v>0</v>
      </c>
      <c r="U24" s="129">
        <f>'P&amp;L - Inputs'!AC177</f>
        <v>0</v>
      </c>
      <c r="V24" s="129">
        <f>'P&amp;L - Inputs'!AD177</f>
        <v>0</v>
      </c>
      <c r="W24" s="129">
        <f>'P&amp;L - Inputs'!AE177</f>
        <v>0</v>
      </c>
      <c r="X24" s="129">
        <f>'P&amp;L - Inputs'!AF177</f>
        <v>0</v>
      </c>
      <c r="Y24" s="129">
        <f>'P&amp;L - Inputs'!AG177</f>
        <v>0</v>
      </c>
      <c r="Z24" s="129">
        <f>'P&amp;L - Inputs'!AH177</f>
        <v>0</v>
      </c>
      <c r="AA24" s="129">
        <f>'P&amp;L - Inputs'!AI177</f>
        <v>0</v>
      </c>
      <c r="AB24" s="129">
        <f>'P&amp;L - Inputs'!AJ177</f>
        <v>0</v>
      </c>
      <c r="AC24" s="129">
        <f>'P&amp;L - Inputs'!AK177</f>
        <v>0</v>
      </c>
      <c r="AD24" s="129">
        <f>'P&amp;L - Inputs'!AL177</f>
        <v>0</v>
      </c>
      <c r="AE24" s="129">
        <f>'P&amp;L - Inputs'!AM177</f>
        <v>0</v>
      </c>
      <c r="AF24" s="129">
        <f>'P&amp;L - Inputs'!AN177</f>
        <v>0</v>
      </c>
      <c r="AG24" s="129">
        <f>'P&amp;L - Inputs'!AO177</f>
        <v>0</v>
      </c>
      <c r="AH24" s="129">
        <f>'P&amp;L - Inputs'!AP177</f>
        <v>0</v>
      </c>
      <c r="AI24" s="129">
        <f>'P&amp;L - Inputs'!AQ177</f>
        <v>0</v>
      </c>
      <c r="AJ24" s="129">
        <f>'P&amp;L - Inputs'!AR177</f>
        <v>0</v>
      </c>
      <c r="AK24" s="129">
        <f>'P&amp;L - Inputs'!AS177</f>
        <v>0</v>
      </c>
      <c r="AL24" s="129">
        <f>'P&amp;L - Inputs'!AT177</f>
        <v>0</v>
      </c>
      <c r="AM24" s="129">
        <f>'P&amp;L - Inputs'!AU177</f>
        <v>0</v>
      </c>
      <c r="AN24" s="129">
        <f>'P&amp;L - Inputs'!AV177</f>
        <v>0</v>
      </c>
      <c r="AO24" s="129">
        <f>'P&amp;L - Inputs'!AW177</f>
        <v>0</v>
      </c>
      <c r="AP24" s="129">
        <f>'P&amp;L - Inputs'!AX177</f>
        <v>0</v>
      </c>
      <c r="AQ24" s="129">
        <f>'P&amp;L - Inputs'!AY177</f>
        <v>0</v>
      </c>
      <c r="AR24" s="129">
        <f>'P&amp;L - Inputs'!AZ177</f>
        <v>0</v>
      </c>
      <c r="AS24" s="129">
        <f>'P&amp;L - Inputs'!BA177</f>
        <v>0</v>
      </c>
      <c r="AT24" s="129">
        <f>'P&amp;L - Inputs'!BB177</f>
        <v>0</v>
      </c>
      <c r="AU24" s="129">
        <f>'P&amp;L - Inputs'!BC177</f>
        <v>0</v>
      </c>
      <c r="AV24" s="129">
        <f>'P&amp;L - Inputs'!BD177</f>
        <v>0</v>
      </c>
      <c r="AW24" s="129">
        <f>'P&amp;L - Inputs'!BE177</f>
        <v>0</v>
      </c>
      <c r="AX24" s="129">
        <f>'P&amp;L - Inputs'!BF177</f>
        <v>0</v>
      </c>
      <c r="AY24" s="129">
        <f>'P&amp;L - Inputs'!BG177</f>
        <v>0</v>
      </c>
      <c r="AZ24" s="129">
        <f>'P&amp;L - Inputs'!BH177</f>
        <v>0</v>
      </c>
      <c r="BA24" s="129">
        <f>'P&amp;L - Inputs'!BI177</f>
        <v>2204</v>
      </c>
      <c r="BB24" s="129">
        <f>'P&amp;L - Inputs'!BJ177</f>
        <v>2231</v>
      </c>
      <c r="BC24" s="129">
        <f>'P&amp;L - Inputs'!BK177</f>
        <v>1981</v>
      </c>
      <c r="BD24" s="129">
        <f>'P&amp;L - Inputs'!BL177</f>
        <v>1465</v>
      </c>
      <c r="BE24" s="129">
        <f>'P&amp;L - Inputs'!BM177</f>
        <v>2833</v>
      </c>
      <c r="BF24" s="129">
        <f>'P&amp;L - Inputs'!BN177</f>
        <v>1662</v>
      </c>
      <c r="BG24" s="129">
        <f>'P&amp;L - Inputs'!BO177</f>
        <v>2303</v>
      </c>
      <c r="BH24" s="129">
        <f>'P&amp;L - Inputs'!BP177</f>
        <v>2663</v>
      </c>
      <c r="BI24" s="129">
        <f>'P&amp;L - Inputs'!BQ177</f>
        <v>2086</v>
      </c>
      <c r="BJ24" s="129">
        <f>'P&amp;L - Inputs'!BR177</f>
        <v>1811</v>
      </c>
      <c r="BK24" s="129">
        <f>'P&amp;L - Inputs'!BS177</f>
        <v>1669</v>
      </c>
      <c r="BL24" s="129">
        <f>'P&amp;L - Inputs'!BT177</f>
        <v>2290</v>
      </c>
      <c r="BM24" s="129">
        <f>'P&amp;L - Inputs'!BU177</f>
        <v>1306</v>
      </c>
      <c r="BN24" s="129">
        <f>'P&amp;L - Inputs'!BV177</f>
        <v>1575</v>
      </c>
      <c r="BO24" s="129">
        <f>'P&amp;L - Inputs'!BW177</f>
        <v>1557</v>
      </c>
      <c r="BP24" s="129">
        <f>'P&amp;L - Inputs'!BX177</f>
        <v>1527</v>
      </c>
      <c r="BQ24" s="129">
        <f>'P&amp;L - Inputs'!BY177</f>
        <v>1525</v>
      </c>
      <c r="BR24" s="129">
        <f>'P&amp;L - Inputs'!BZ177</f>
        <v>1475</v>
      </c>
      <c r="BS24" s="129">
        <f>'P&amp;L - Inputs'!CA177</f>
        <v>1575</v>
      </c>
      <c r="BT24" s="129">
        <f>'P&amp;L - Inputs'!CB177</f>
        <v>1513</v>
      </c>
      <c r="BU24" s="129">
        <f>'P&amp;L - Inputs'!CC177</f>
        <v>1507</v>
      </c>
      <c r="BV24" s="129">
        <f>'P&amp;L - Inputs'!CD177</f>
        <v>1229</v>
      </c>
      <c r="BW24" s="129">
        <f>'P&amp;L - Inputs'!CE177</f>
        <v>1646</v>
      </c>
      <c r="BX24" s="129">
        <f>'P&amp;L - Inputs'!CF177</f>
        <v>1700</v>
      </c>
      <c r="BY24" s="129">
        <f>'P&amp;L - Inputs'!CG177</f>
        <v>2385</v>
      </c>
      <c r="BZ24" s="129">
        <f>'P&amp;L - Inputs'!CH177</f>
        <v>2738</v>
      </c>
      <c r="CA24" s="129">
        <f>'P&amp;L - Inputs'!CI177</f>
        <v>2682</v>
      </c>
      <c r="CB24" s="129">
        <f>'P&amp;L - Inputs'!CJ177</f>
        <v>2066.7142857142858</v>
      </c>
      <c r="CC24" s="129">
        <f>'P&amp;L - Inputs'!CK177</f>
        <v>1687</v>
      </c>
      <c r="CD24" s="129">
        <f>'P&amp;L - Inputs'!CL177</f>
        <v>1859</v>
      </c>
      <c r="CE24" s="129">
        <f>'P&amp;L - Inputs'!CM177</f>
        <v>-226</v>
      </c>
      <c r="CF24" s="129">
        <f>'P&amp;L - Inputs'!CN177</f>
        <v>2043</v>
      </c>
      <c r="CG24" s="129">
        <f>'P&amp;L - Inputs'!CO177</f>
        <v>1839</v>
      </c>
      <c r="CH24" s="129">
        <f>'P&amp;L - Inputs'!CP177</f>
        <v>2186</v>
      </c>
      <c r="CI24" s="129">
        <f>'P&amp;L - Inputs'!CQ177</f>
        <v>2202</v>
      </c>
      <c r="CJ24" s="129">
        <f>'P&amp;L - Inputs'!CR177</f>
        <v>1936</v>
      </c>
      <c r="CK24" s="129">
        <f>'P&amp;L - Inputs'!CS177</f>
        <v>2095</v>
      </c>
      <c r="CL24" s="129">
        <f>'P&amp;L - Inputs'!CT177</f>
        <v>1910.0308546192412</v>
      </c>
      <c r="CM24" s="129">
        <f>'P&amp;L - Inputs'!CU177</f>
        <v>1929.4704941513487</v>
      </c>
      <c r="CN24" s="129">
        <f>'P&amp;L - Inputs'!CV177</f>
        <v>1928.0901647171165</v>
      </c>
      <c r="CO24" s="129">
        <f>'P&amp;L - Inputs'!CW177</f>
        <v>1957.1921102888518</v>
      </c>
      <c r="CP24" s="129">
        <f>'P&amp;L - Inputs'!CX177</f>
        <v>1844.2351515874909</v>
      </c>
      <c r="CQ24" s="129">
        <f>'P&amp;L - Inputs'!CY177</f>
        <v>2017.4664955836715</v>
      </c>
      <c r="CR24" s="129">
        <f>'P&amp;L - Inputs'!CZ177</f>
        <v>1961.6781809501074</v>
      </c>
      <c r="CS24" s="129">
        <f>'P&amp;L - Inputs'!DA177</f>
        <v>1966.2792790642159</v>
      </c>
      <c r="CT24" s="129">
        <f>'P&amp;L - Inputs'!DB177</f>
        <v>2413.6210432084026</v>
      </c>
      <c r="CU24" s="129">
        <f>'P&amp;L - Inputs'!DC177</f>
        <v>2600.6556815469085</v>
      </c>
      <c r="CV24" s="129">
        <f>'P&amp;L - Inputs'!DD177</f>
        <v>2229.5771186440675</v>
      </c>
      <c r="CW24" s="129">
        <f>'P&amp;L - Inputs'!DE177</f>
        <v>2409.2499999999995</v>
      </c>
      <c r="CX24" s="129">
        <f>'P&amp;L - Inputs'!DF177</f>
        <v>2196.5354828121281</v>
      </c>
      <c r="CY24" s="129">
        <f>'P&amp;L - Inputs'!DG177</f>
        <v>2218.891068274052</v>
      </c>
      <c r="CZ24" s="129">
        <f>'P&amp;L - Inputs'!DH177</f>
        <v>2217.3036894246848</v>
      </c>
      <c r="DA24" s="129">
        <f>'P&amp;L - Inputs'!DI177</f>
        <v>2250.7709268321805</v>
      </c>
      <c r="DB24" s="129">
        <f>'P&amp;L - Inputs'!DJ177</f>
        <v>2120.8704243256157</v>
      </c>
      <c r="DC24" s="129">
        <f>'P&amp;L - Inputs'!DK177</f>
        <v>2320.0864699212229</v>
      </c>
      <c r="DD24" s="129">
        <f>'P&amp;L - Inputs'!DL177</f>
        <v>2255.9299080926244</v>
      </c>
      <c r="DE24" s="129">
        <f>'P&amp;L - Inputs'!DM177</f>
        <v>2261.2211709238491</v>
      </c>
      <c r="DF24" s="129">
        <f>'P&amp;L - Inputs'!DN177</f>
        <v>2775.6641996896647</v>
      </c>
      <c r="DG24" s="129">
        <f>'P&amp;L - Inputs'!DO177</f>
        <v>2990.754033778946</v>
      </c>
      <c r="DH24" s="129">
        <f>'P&amp;L - Inputs'!DP177</f>
        <v>2564.0136864406791</v>
      </c>
      <c r="DI24" s="129">
        <f>'P&amp;L - Inputs'!DQ177</f>
        <v>2770.6375000000007</v>
      </c>
      <c r="DJ24" s="129">
        <f>'P&amp;L - Inputs'!DR177</f>
        <v>2526.015805233947</v>
      </c>
      <c r="DK24" s="129">
        <f>'P&amp;L - Inputs'!DS177</f>
        <v>2551.7247285151598</v>
      </c>
      <c r="DL24" s="129">
        <f>'P&amp;L - Inputs'!DT177</f>
        <v>2549.8992428383876</v>
      </c>
      <c r="DM24" s="129">
        <f>'P&amp;L - Inputs'!DU177</f>
        <v>2588.3865658570076</v>
      </c>
      <c r="DN24" s="129">
        <f>'P&amp;L - Inputs'!DV177</f>
        <v>2439.0009879744575</v>
      </c>
      <c r="DO24" s="129">
        <f>'P&amp;L - Inputs'!DW177</f>
        <v>2668.0994404094063</v>
      </c>
      <c r="DP24" s="129">
        <f>'P&amp;L - Inputs'!DX177</f>
        <v>2594.319394306518</v>
      </c>
      <c r="DQ24" s="129">
        <f>'P&amp;L - Inputs'!DY177</f>
        <v>2600.4043465624263</v>
      </c>
      <c r="DR24" s="129">
        <f>'P&amp;L - Inputs'!DZ177</f>
        <v>3192.0138296431137</v>
      </c>
      <c r="DS24" s="129">
        <f>'P&amp;L - Inputs'!EA177</f>
        <v>3439.3671388457874</v>
      </c>
      <c r="DT24" s="129">
        <f>'P&amp;L - Inputs'!EB177</f>
        <v>2948.6157394067804</v>
      </c>
      <c r="DU24" s="129">
        <f>'P&amp;L - Inputs'!EC177</f>
        <v>3186.2331250000007</v>
      </c>
      <c r="DW24" s="129">
        <f t="shared" si="23"/>
        <v>5677</v>
      </c>
      <c r="DX24" s="663">
        <f t="shared" si="24"/>
        <v>6798</v>
      </c>
      <c r="DY24" s="129">
        <f t="shared" si="25"/>
        <v>6560</v>
      </c>
      <c r="DZ24" s="129">
        <f t="shared" si="26"/>
        <v>5265</v>
      </c>
      <c r="EA24" s="129">
        <f t="shared" si="27"/>
        <v>4659</v>
      </c>
      <c r="EB24" s="129">
        <f t="shared" si="28"/>
        <v>4575</v>
      </c>
      <c r="EC24" s="129">
        <f t="shared" si="29"/>
        <v>4249</v>
      </c>
      <c r="ED24" s="129">
        <f t="shared" si="30"/>
        <v>5731</v>
      </c>
      <c r="EE24" s="129">
        <f t="shared" si="31"/>
        <v>7486.7142857142862</v>
      </c>
      <c r="EF24" s="129">
        <f t="shared" si="32"/>
        <v>3320</v>
      </c>
      <c r="EG24" s="129">
        <f t="shared" si="33"/>
        <v>6068</v>
      </c>
      <c r="EH24" s="129">
        <f t="shared" si="34"/>
        <v>6233</v>
      </c>
      <c r="EI24" s="129">
        <f t="shared" si="35"/>
        <v>5767.5915134877068</v>
      </c>
      <c r="EJ24" s="129">
        <f t="shared" si="36"/>
        <v>5818.8937574600141</v>
      </c>
      <c r="EK24" s="129">
        <f t="shared" si="37"/>
        <v>6341.5785032227259</v>
      </c>
      <c r="EL24" s="129">
        <f t="shared" si="38"/>
        <v>7239.4828001909755</v>
      </c>
      <c r="EM24" s="129">
        <f t="shared" si="39"/>
        <v>6632.7302405108658</v>
      </c>
      <c r="EN24" s="129">
        <f t="shared" si="40"/>
        <v>6691.7278210790191</v>
      </c>
      <c r="EO24" s="644">
        <f t="shared" si="41"/>
        <v>7292.815278706139</v>
      </c>
      <c r="EP24" s="129">
        <f t="shared" si="42"/>
        <v>8325.4052202196253</v>
      </c>
      <c r="EQ24" s="129">
        <f t="shared" si="5"/>
        <v>7627.6397765874954</v>
      </c>
      <c r="ER24" s="129">
        <f t="shared" si="6"/>
        <v>7695.4869942408714</v>
      </c>
      <c r="ES24" s="129">
        <f t="shared" si="7"/>
        <v>8386.7375705120576</v>
      </c>
      <c r="ET24" s="129">
        <f t="shared" si="8"/>
        <v>9574.216003252568</v>
      </c>
      <c r="EV24" s="129">
        <f t="shared" si="9"/>
        <v>24300</v>
      </c>
      <c r="EW24" s="129">
        <f t="shared" si="10"/>
        <v>19214</v>
      </c>
      <c r="EX24" s="129">
        <f t="shared" si="11"/>
        <v>23107.714285714286</v>
      </c>
      <c r="EY24" s="129">
        <f t="shared" si="12"/>
        <v>25167.546574361419</v>
      </c>
      <c r="EZ24" s="129">
        <f t="shared" si="13"/>
        <v>28942.678560515647</v>
      </c>
      <c r="FA24" s="663">
        <f t="shared" si="17"/>
        <v>33284.080344592992</v>
      </c>
    </row>
    <row r="25" spans="2:157" x14ac:dyDescent="0.2">
      <c r="B25" s="117" t="s">
        <v>134</v>
      </c>
      <c r="C25" s="129">
        <f>'P&amp;L - Inputs'!K178</f>
        <v>0</v>
      </c>
      <c r="D25" s="129">
        <f>'P&amp;L - Inputs'!L178</f>
        <v>0</v>
      </c>
      <c r="E25" s="129">
        <f>'P&amp;L - Inputs'!M178</f>
        <v>0</v>
      </c>
      <c r="F25" s="129">
        <f>'P&amp;L - Inputs'!N178</f>
        <v>0</v>
      </c>
      <c r="G25" s="129">
        <f>'P&amp;L - Inputs'!O178</f>
        <v>0</v>
      </c>
      <c r="H25" s="129">
        <f>'P&amp;L - Inputs'!P178</f>
        <v>0</v>
      </c>
      <c r="I25" s="129">
        <f>'P&amp;L - Inputs'!Q178</f>
        <v>0</v>
      </c>
      <c r="J25" s="129">
        <f>'P&amp;L - Inputs'!R178</f>
        <v>0</v>
      </c>
      <c r="K25" s="129">
        <f>'P&amp;L - Inputs'!S178</f>
        <v>0</v>
      </c>
      <c r="L25" s="129">
        <f>'P&amp;L - Inputs'!T178</f>
        <v>0</v>
      </c>
      <c r="M25" s="129">
        <f>'P&amp;L - Inputs'!U178</f>
        <v>0</v>
      </c>
      <c r="N25" s="129">
        <f>'P&amp;L - Inputs'!V178</f>
        <v>0</v>
      </c>
      <c r="O25" s="129">
        <f>'P&amp;L - Inputs'!W178</f>
        <v>0</v>
      </c>
      <c r="P25" s="129">
        <f>'P&amp;L - Inputs'!X178</f>
        <v>0</v>
      </c>
      <c r="Q25" s="129">
        <f>'P&amp;L - Inputs'!Y178</f>
        <v>0</v>
      </c>
      <c r="R25" s="129">
        <f>'P&amp;L - Inputs'!Z178</f>
        <v>0</v>
      </c>
      <c r="S25" s="129">
        <f>'P&amp;L - Inputs'!AA178</f>
        <v>0</v>
      </c>
      <c r="T25" s="129">
        <f>'P&amp;L - Inputs'!AB178</f>
        <v>0</v>
      </c>
      <c r="U25" s="129">
        <f>'P&amp;L - Inputs'!AC178</f>
        <v>0</v>
      </c>
      <c r="V25" s="129">
        <f>'P&amp;L - Inputs'!AD178</f>
        <v>0</v>
      </c>
      <c r="W25" s="129">
        <f>'P&amp;L - Inputs'!AE178</f>
        <v>0</v>
      </c>
      <c r="X25" s="129">
        <f>'P&amp;L - Inputs'!AF178</f>
        <v>0</v>
      </c>
      <c r="Y25" s="129">
        <f>'P&amp;L - Inputs'!AG178</f>
        <v>0</v>
      </c>
      <c r="Z25" s="129">
        <f>'P&amp;L - Inputs'!AH178</f>
        <v>0</v>
      </c>
      <c r="AA25" s="129">
        <f>'P&amp;L - Inputs'!AI178</f>
        <v>0</v>
      </c>
      <c r="AB25" s="129">
        <f>'P&amp;L - Inputs'!AJ178</f>
        <v>0</v>
      </c>
      <c r="AC25" s="129">
        <f>'P&amp;L - Inputs'!AK178</f>
        <v>0</v>
      </c>
      <c r="AD25" s="129">
        <f>'P&amp;L - Inputs'!AL178</f>
        <v>0</v>
      </c>
      <c r="AE25" s="129">
        <f>'P&amp;L - Inputs'!AM178</f>
        <v>0</v>
      </c>
      <c r="AF25" s="129">
        <f>'P&amp;L - Inputs'!AN178</f>
        <v>0</v>
      </c>
      <c r="AG25" s="129">
        <f>'P&amp;L - Inputs'!AO178</f>
        <v>0</v>
      </c>
      <c r="AH25" s="129">
        <f>'P&amp;L - Inputs'!AP178</f>
        <v>0</v>
      </c>
      <c r="AI25" s="129">
        <f>'P&amp;L - Inputs'!AQ178</f>
        <v>0</v>
      </c>
      <c r="AJ25" s="129">
        <f>'P&amp;L - Inputs'!AR178</f>
        <v>0</v>
      </c>
      <c r="AK25" s="129">
        <f>'P&amp;L - Inputs'!AS178</f>
        <v>0</v>
      </c>
      <c r="AL25" s="129">
        <f>'P&amp;L - Inputs'!AT178</f>
        <v>0</v>
      </c>
      <c r="AM25" s="129">
        <f>'P&amp;L - Inputs'!AU178</f>
        <v>0</v>
      </c>
      <c r="AN25" s="129">
        <f>'P&amp;L - Inputs'!AV178</f>
        <v>0</v>
      </c>
      <c r="AO25" s="129">
        <f>'P&amp;L - Inputs'!AW178</f>
        <v>0</v>
      </c>
      <c r="AP25" s="129">
        <f>'P&amp;L - Inputs'!AX178</f>
        <v>0</v>
      </c>
      <c r="AQ25" s="129">
        <f>'P&amp;L - Inputs'!AY178</f>
        <v>0</v>
      </c>
      <c r="AR25" s="129">
        <f>'P&amp;L - Inputs'!AZ178</f>
        <v>0</v>
      </c>
      <c r="AS25" s="129">
        <f>'P&amp;L - Inputs'!BA178</f>
        <v>0</v>
      </c>
      <c r="AT25" s="129">
        <f>'P&amp;L - Inputs'!BB178</f>
        <v>0</v>
      </c>
      <c r="AU25" s="129">
        <f>'P&amp;L - Inputs'!BC178</f>
        <v>0</v>
      </c>
      <c r="AV25" s="129">
        <f>'P&amp;L - Inputs'!BD178</f>
        <v>0</v>
      </c>
      <c r="AW25" s="129">
        <f>'P&amp;L - Inputs'!BE178</f>
        <v>0</v>
      </c>
      <c r="AX25" s="129">
        <f>'P&amp;L - Inputs'!BF178</f>
        <v>0</v>
      </c>
      <c r="AY25" s="129">
        <f>'P&amp;L - Inputs'!BG178</f>
        <v>0</v>
      </c>
      <c r="AZ25" s="129">
        <f>'P&amp;L - Inputs'!BH178</f>
        <v>0</v>
      </c>
      <c r="BA25" s="129">
        <f>'P&amp;L - Inputs'!BI178</f>
        <v>0</v>
      </c>
      <c r="BB25" s="129">
        <f>'P&amp;L - Inputs'!BJ178</f>
        <v>0</v>
      </c>
      <c r="BC25" s="129">
        <f>'P&amp;L - Inputs'!BK178</f>
        <v>0</v>
      </c>
      <c r="BD25" s="129">
        <f>'P&amp;L - Inputs'!BL178</f>
        <v>44</v>
      </c>
      <c r="BE25" s="129">
        <f>'P&amp;L - Inputs'!BM178</f>
        <v>399</v>
      </c>
      <c r="BF25" s="129">
        <f>'P&amp;L - Inputs'!BN178</f>
        <v>433</v>
      </c>
      <c r="BG25" s="129">
        <f>'P&amp;L - Inputs'!BO178</f>
        <v>459</v>
      </c>
      <c r="BH25" s="129">
        <f>'P&amp;L - Inputs'!BP178</f>
        <v>648</v>
      </c>
      <c r="BI25" s="129">
        <f>'P&amp;L - Inputs'!BQ178</f>
        <v>414</v>
      </c>
      <c r="BJ25" s="129">
        <f>'P&amp;L - Inputs'!BR178</f>
        <v>270</v>
      </c>
      <c r="BK25" s="129">
        <f>'P&amp;L - Inputs'!BS178</f>
        <v>356</v>
      </c>
      <c r="BL25" s="129">
        <f>'P&amp;L - Inputs'!BT178</f>
        <v>216</v>
      </c>
      <c r="BM25" s="129">
        <f>'P&amp;L - Inputs'!BU178</f>
        <v>286</v>
      </c>
      <c r="BN25" s="129">
        <f>'P&amp;L - Inputs'!BV178</f>
        <v>321</v>
      </c>
      <c r="BO25" s="129">
        <f>'P&amp;L - Inputs'!BW178</f>
        <v>412</v>
      </c>
      <c r="BP25" s="129">
        <f>'P&amp;L - Inputs'!BX178</f>
        <v>403</v>
      </c>
      <c r="BQ25" s="129">
        <f>'P&amp;L - Inputs'!BY178</f>
        <v>448</v>
      </c>
      <c r="BR25" s="129">
        <f>'P&amp;L - Inputs'!BZ178</f>
        <v>406</v>
      </c>
      <c r="BS25" s="129">
        <f>'P&amp;L - Inputs'!CA178</f>
        <v>463</v>
      </c>
      <c r="BT25" s="129">
        <f>'P&amp;L - Inputs'!CB178</f>
        <v>379</v>
      </c>
      <c r="BU25" s="129">
        <f>'P&amp;L - Inputs'!CC178</f>
        <v>386</v>
      </c>
      <c r="BV25" s="129">
        <f>'P&amp;L - Inputs'!CD178</f>
        <v>460</v>
      </c>
      <c r="BW25" s="129">
        <f>'P&amp;L - Inputs'!CE178</f>
        <v>415</v>
      </c>
      <c r="BX25" s="129">
        <f>'P&amp;L - Inputs'!CF178</f>
        <v>558</v>
      </c>
      <c r="BY25" s="129">
        <f>'P&amp;L - Inputs'!CG178</f>
        <v>548</v>
      </c>
      <c r="BZ25" s="129">
        <f>'P&amp;L - Inputs'!CH178</f>
        <v>528</v>
      </c>
      <c r="CA25" s="129">
        <f>'P&amp;L - Inputs'!CI178</f>
        <v>408</v>
      </c>
      <c r="CB25" s="129">
        <f>'P&amp;L - Inputs'!CJ178</f>
        <v>545</v>
      </c>
      <c r="CC25" s="129">
        <f>'P&amp;L - Inputs'!CK178</f>
        <v>582</v>
      </c>
      <c r="CD25" s="129">
        <f>'P&amp;L - Inputs'!CL178</f>
        <v>528</v>
      </c>
      <c r="CE25" s="129">
        <f>'P&amp;L - Inputs'!CM178</f>
        <v>630</v>
      </c>
      <c r="CF25" s="129">
        <f>'P&amp;L - Inputs'!CN178</f>
        <v>607</v>
      </c>
      <c r="CG25" s="129">
        <f>'P&amp;L - Inputs'!CO178</f>
        <v>524</v>
      </c>
      <c r="CH25" s="129">
        <f>'P&amp;L - Inputs'!CP178</f>
        <v>560</v>
      </c>
      <c r="CI25" s="129">
        <f>'P&amp;L - Inputs'!CQ178</f>
        <v>580</v>
      </c>
      <c r="CJ25" s="129">
        <f>'P&amp;L - Inputs'!CR178</f>
        <v>513</v>
      </c>
      <c r="CK25" s="129">
        <f>'P&amp;L - Inputs'!CS178</f>
        <v>571</v>
      </c>
      <c r="CL25" s="129">
        <f>'P&amp;L - Inputs'!CT178</f>
        <v>520.58597517307237</v>
      </c>
      <c r="CM25" s="129">
        <f>'P&amp;L - Inputs'!CU178</f>
        <v>525.88432084029591</v>
      </c>
      <c r="CN25" s="129">
        <f>'P&amp;L - Inputs'!CV178</f>
        <v>525.50810694676534</v>
      </c>
      <c r="CO25" s="129">
        <f>'P&amp;L - Inputs'!CW178</f>
        <v>533.43994986870371</v>
      </c>
      <c r="CP25" s="129">
        <f>'P&amp;L - Inputs'!CX178</f>
        <v>502.65311291477667</v>
      </c>
      <c r="CQ25" s="129">
        <f>'P&amp;L - Inputs'!CY178</f>
        <v>549.86795655287654</v>
      </c>
      <c r="CR25" s="129">
        <f>'P&amp;L - Inputs'!CZ178</f>
        <v>534.66264502267836</v>
      </c>
      <c r="CS25" s="129">
        <f>'P&amp;L - Inputs'!DA178</f>
        <v>535.91669133444736</v>
      </c>
      <c r="CT25" s="129">
        <f>'P&amp;L - Inputs'!DB178</f>
        <v>657.84134399618029</v>
      </c>
      <c r="CU25" s="129">
        <f>'P&amp;L - Inputs'!DC178</f>
        <v>708.81832656958693</v>
      </c>
      <c r="CV25" s="129">
        <f>'P&amp;L - Inputs'!DD178</f>
        <v>607.6794915254236</v>
      </c>
      <c r="CW25" s="129">
        <f>'P&amp;L - Inputs'!DE178</f>
        <v>656.64999999999986</v>
      </c>
      <c r="CX25" s="129">
        <f>'P&amp;L - Inputs'!DF178</f>
        <v>598.6738714490333</v>
      </c>
      <c r="CY25" s="129">
        <f>'P&amp;L - Inputs'!DG178</f>
        <v>604.76696896634053</v>
      </c>
      <c r="CZ25" s="129">
        <f>'P&amp;L - Inputs'!DH178</f>
        <v>604.33432298878029</v>
      </c>
      <c r="DA25" s="129">
        <f>'P&amp;L - Inputs'!DI178</f>
        <v>613.45594234900943</v>
      </c>
      <c r="DB25" s="129">
        <f>'P&amp;L - Inputs'!DJ178</f>
        <v>578.05107985199334</v>
      </c>
      <c r="DC25" s="129">
        <f>'P&amp;L - Inputs'!DK178</f>
        <v>632.34815003580809</v>
      </c>
      <c r="DD25" s="129">
        <f>'P&amp;L - Inputs'!DL178</f>
        <v>614.86204177608033</v>
      </c>
      <c r="DE25" s="129">
        <f>'P&amp;L - Inputs'!DM178</f>
        <v>616.30419503461451</v>
      </c>
      <c r="DF25" s="129">
        <f>'P&amp;L - Inputs'!DN178</f>
        <v>756.51754559560766</v>
      </c>
      <c r="DG25" s="129">
        <f>'P&amp;L - Inputs'!DO178</f>
        <v>815.14107555502517</v>
      </c>
      <c r="DH25" s="129">
        <f>'P&amp;L - Inputs'!DP178</f>
        <v>698.83141525423741</v>
      </c>
      <c r="DI25" s="129">
        <f>'P&amp;L - Inputs'!DQ178</f>
        <v>755.14750000000004</v>
      </c>
      <c r="DJ25" s="129">
        <f>'P&amp;L - Inputs'!DR178</f>
        <v>688.47495216638822</v>
      </c>
      <c r="DK25" s="129">
        <f>'P&amp;L - Inputs'!DS178</f>
        <v>695.48201431129155</v>
      </c>
      <c r="DL25" s="129">
        <f>'P&amp;L - Inputs'!DT178</f>
        <v>694.98447143709734</v>
      </c>
      <c r="DM25" s="129">
        <f>'P&amp;L - Inputs'!DU178</f>
        <v>705.47433370136082</v>
      </c>
      <c r="DN25" s="129">
        <f>'P&amp;L - Inputs'!DV178</f>
        <v>664.75874182979237</v>
      </c>
      <c r="DO25" s="129">
        <f>'P&amp;L - Inputs'!DW178</f>
        <v>727.20037254117926</v>
      </c>
      <c r="DP25" s="129">
        <f>'P&amp;L - Inputs'!DX178</f>
        <v>707.09134804249231</v>
      </c>
      <c r="DQ25" s="129">
        <f>'P&amp;L - Inputs'!DY178</f>
        <v>708.74982428980672</v>
      </c>
      <c r="DR25" s="129">
        <f>'P&amp;L - Inputs'!DZ178</f>
        <v>869.99517743494869</v>
      </c>
      <c r="DS25" s="129">
        <f>'P&amp;L - Inputs'!EA178</f>
        <v>937.41223688827881</v>
      </c>
      <c r="DT25" s="129">
        <f>'P&amp;L - Inputs'!EB178</f>
        <v>803.65612754237293</v>
      </c>
      <c r="DU25" s="129">
        <f>'P&amp;L - Inputs'!EC178</f>
        <v>868.419625</v>
      </c>
      <c r="DW25" s="129">
        <f t="shared" si="23"/>
        <v>44</v>
      </c>
      <c r="DX25" s="663">
        <f t="shared" si="24"/>
        <v>1291</v>
      </c>
      <c r="DY25" s="129">
        <f t="shared" si="25"/>
        <v>1332</v>
      </c>
      <c r="DZ25" s="129">
        <f t="shared" si="26"/>
        <v>858</v>
      </c>
      <c r="EA25" s="129">
        <f t="shared" si="27"/>
        <v>1136</v>
      </c>
      <c r="EB25" s="129">
        <f t="shared" si="28"/>
        <v>1317</v>
      </c>
      <c r="EC25" s="129">
        <f t="shared" si="29"/>
        <v>1225</v>
      </c>
      <c r="ED25" s="129">
        <f t="shared" si="30"/>
        <v>1521</v>
      </c>
      <c r="EE25" s="129">
        <f t="shared" si="31"/>
        <v>1481</v>
      </c>
      <c r="EF25" s="129">
        <f t="shared" si="32"/>
        <v>1740</v>
      </c>
      <c r="EG25" s="129">
        <f t="shared" si="33"/>
        <v>1691</v>
      </c>
      <c r="EH25" s="129">
        <f t="shared" si="34"/>
        <v>1664</v>
      </c>
      <c r="EI25" s="129">
        <f t="shared" si="35"/>
        <v>1571.9784029601335</v>
      </c>
      <c r="EJ25" s="129">
        <f t="shared" si="36"/>
        <v>1585.9610193363569</v>
      </c>
      <c r="EK25" s="129">
        <f t="shared" si="37"/>
        <v>1728.4206803533059</v>
      </c>
      <c r="EL25" s="129">
        <f t="shared" si="38"/>
        <v>1973.1478180950105</v>
      </c>
      <c r="EM25" s="129">
        <f t="shared" si="39"/>
        <v>1807.775163404154</v>
      </c>
      <c r="EN25" s="129">
        <f t="shared" si="40"/>
        <v>1823.8551722368106</v>
      </c>
      <c r="EO25" s="644">
        <f t="shared" si="41"/>
        <v>1987.6837824063027</v>
      </c>
      <c r="EP25" s="129">
        <f t="shared" si="42"/>
        <v>2269.1199908092626</v>
      </c>
      <c r="EQ25" s="129">
        <f t="shared" si="5"/>
        <v>2078.941437914777</v>
      </c>
      <c r="ER25" s="129">
        <f t="shared" si="6"/>
        <v>2097.4334480723323</v>
      </c>
      <c r="ES25" s="129">
        <f t="shared" si="7"/>
        <v>2285.8363497672476</v>
      </c>
      <c r="ET25" s="129">
        <f t="shared" si="8"/>
        <v>2609.4879894306519</v>
      </c>
      <c r="EV25" s="129">
        <f t="shared" si="9"/>
        <v>3525</v>
      </c>
      <c r="EW25" s="129">
        <f t="shared" si="10"/>
        <v>5199</v>
      </c>
      <c r="EX25" s="129">
        <f t="shared" si="11"/>
        <v>6576</v>
      </c>
      <c r="EY25" s="129">
        <f t="shared" si="12"/>
        <v>6859.5079207448071</v>
      </c>
      <c r="EZ25" s="129">
        <f t="shared" si="13"/>
        <v>7888.4341088565288</v>
      </c>
      <c r="FA25" s="663">
        <f t="shared" si="17"/>
        <v>9071.6992251850097</v>
      </c>
    </row>
    <row r="26" spans="2:157" x14ac:dyDescent="0.2">
      <c r="B26" s="117" t="s">
        <v>135</v>
      </c>
      <c r="C26" s="129">
        <f>'P&amp;L - Inputs'!K179</f>
        <v>0</v>
      </c>
      <c r="D26" s="129">
        <f>'P&amp;L - Inputs'!L179</f>
        <v>0</v>
      </c>
      <c r="E26" s="129">
        <f>'P&amp;L - Inputs'!M179</f>
        <v>0</v>
      </c>
      <c r="F26" s="129">
        <f>'P&amp;L - Inputs'!N179</f>
        <v>0</v>
      </c>
      <c r="G26" s="129">
        <f>'P&amp;L - Inputs'!O179</f>
        <v>0</v>
      </c>
      <c r="H26" s="129">
        <f>'P&amp;L - Inputs'!P179</f>
        <v>0</v>
      </c>
      <c r="I26" s="129">
        <f>'P&amp;L - Inputs'!Q179</f>
        <v>0</v>
      </c>
      <c r="J26" s="129">
        <f>'P&amp;L - Inputs'!R179</f>
        <v>0</v>
      </c>
      <c r="K26" s="129">
        <f>'P&amp;L - Inputs'!S179</f>
        <v>0</v>
      </c>
      <c r="L26" s="129">
        <f>'P&amp;L - Inputs'!T179</f>
        <v>0</v>
      </c>
      <c r="M26" s="129">
        <f>'P&amp;L - Inputs'!U179</f>
        <v>0</v>
      </c>
      <c r="N26" s="129">
        <f>'P&amp;L - Inputs'!V179</f>
        <v>0</v>
      </c>
      <c r="O26" s="129">
        <f>'P&amp;L - Inputs'!W179</f>
        <v>0</v>
      </c>
      <c r="P26" s="129">
        <f>'P&amp;L - Inputs'!X179</f>
        <v>0</v>
      </c>
      <c r="Q26" s="129">
        <f>'P&amp;L - Inputs'!Y179</f>
        <v>0</v>
      </c>
      <c r="R26" s="129">
        <f>'P&amp;L - Inputs'!Z179</f>
        <v>0</v>
      </c>
      <c r="S26" s="129">
        <f>'P&amp;L - Inputs'!AA179</f>
        <v>0</v>
      </c>
      <c r="T26" s="129">
        <f>'P&amp;L - Inputs'!AB179</f>
        <v>0</v>
      </c>
      <c r="U26" s="129">
        <f>'P&amp;L - Inputs'!AC179</f>
        <v>0</v>
      </c>
      <c r="V26" s="129">
        <f>'P&amp;L - Inputs'!AD179</f>
        <v>0</v>
      </c>
      <c r="W26" s="129">
        <f>'P&amp;L - Inputs'!AE179</f>
        <v>0</v>
      </c>
      <c r="X26" s="129">
        <f>'P&amp;L - Inputs'!AF179</f>
        <v>0</v>
      </c>
      <c r="Y26" s="129">
        <f>'P&amp;L - Inputs'!AG179</f>
        <v>0</v>
      </c>
      <c r="Z26" s="129">
        <f>'P&amp;L - Inputs'!AH179</f>
        <v>0</v>
      </c>
      <c r="AA26" s="129">
        <f>'P&amp;L - Inputs'!AI179</f>
        <v>0</v>
      </c>
      <c r="AB26" s="129">
        <f>'P&amp;L - Inputs'!AJ179</f>
        <v>0</v>
      </c>
      <c r="AC26" s="129">
        <f>'P&amp;L - Inputs'!AK179</f>
        <v>0</v>
      </c>
      <c r="AD26" s="129">
        <f>'P&amp;L - Inputs'!AL179</f>
        <v>0</v>
      </c>
      <c r="AE26" s="129">
        <f>'P&amp;L - Inputs'!AM179</f>
        <v>0</v>
      </c>
      <c r="AF26" s="129">
        <f>'P&amp;L - Inputs'!AN179</f>
        <v>0</v>
      </c>
      <c r="AG26" s="129">
        <f>'P&amp;L - Inputs'!AO179</f>
        <v>0</v>
      </c>
      <c r="AH26" s="129">
        <f>'P&amp;L - Inputs'!AP179</f>
        <v>0</v>
      </c>
      <c r="AI26" s="129">
        <f>'P&amp;L - Inputs'!AQ179</f>
        <v>0</v>
      </c>
      <c r="AJ26" s="129">
        <f>'P&amp;L - Inputs'!AR179</f>
        <v>0</v>
      </c>
      <c r="AK26" s="129">
        <f>'P&amp;L - Inputs'!AS179</f>
        <v>0</v>
      </c>
      <c r="AL26" s="129">
        <f>'P&amp;L - Inputs'!AT179</f>
        <v>0</v>
      </c>
      <c r="AM26" s="129">
        <f>'P&amp;L - Inputs'!AU179</f>
        <v>0</v>
      </c>
      <c r="AN26" s="129">
        <f>'P&amp;L - Inputs'!AV179</f>
        <v>0</v>
      </c>
      <c r="AO26" s="129">
        <f>'P&amp;L - Inputs'!AW179</f>
        <v>0</v>
      </c>
      <c r="AP26" s="129">
        <f>'P&amp;L - Inputs'!AX179</f>
        <v>0</v>
      </c>
      <c r="AQ26" s="129">
        <f>'P&amp;L - Inputs'!AY179</f>
        <v>0</v>
      </c>
      <c r="AR26" s="129">
        <f>'P&amp;L - Inputs'!AZ179</f>
        <v>0</v>
      </c>
      <c r="AS26" s="129">
        <f>'P&amp;L - Inputs'!BA179</f>
        <v>0</v>
      </c>
      <c r="AT26" s="129">
        <f>'P&amp;L - Inputs'!BB179</f>
        <v>0</v>
      </c>
      <c r="AU26" s="129">
        <f>'P&amp;L - Inputs'!BC179</f>
        <v>0</v>
      </c>
      <c r="AV26" s="129">
        <f>'P&amp;L - Inputs'!BD179</f>
        <v>0</v>
      </c>
      <c r="AW26" s="129">
        <f>'P&amp;L - Inputs'!BE179</f>
        <v>0</v>
      </c>
      <c r="AX26" s="129">
        <f>'P&amp;L - Inputs'!BF179</f>
        <v>0</v>
      </c>
      <c r="AY26" s="129">
        <f>'P&amp;L - Inputs'!BG179</f>
        <v>0</v>
      </c>
      <c r="AZ26" s="129">
        <f>'P&amp;L - Inputs'!BH179</f>
        <v>0</v>
      </c>
      <c r="BA26" s="129">
        <f>'P&amp;L - Inputs'!BI179</f>
        <v>307</v>
      </c>
      <c r="BB26" s="129">
        <f>'P&amp;L - Inputs'!BJ179</f>
        <v>431</v>
      </c>
      <c r="BC26" s="129">
        <f>'P&amp;L - Inputs'!BK179</f>
        <v>388</v>
      </c>
      <c r="BD26" s="129">
        <f>'P&amp;L - Inputs'!BL179</f>
        <v>767</v>
      </c>
      <c r="BE26" s="129">
        <f>'P&amp;L - Inputs'!BM179</f>
        <v>230</v>
      </c>
      <c r="BF26" s="129">
        <f>'P&amp;L - Inputs'!BN179</f>
        <v>200</v>
      </c>
      <c r="BG26" s="129">
        <f>'P&amp;L - Inputs'!BO179</f>
        <v>189</v>
      </c>
      <c r="BH26" s="129">
        <f>'P&amp;L - Inputs'!BP179</f>
        <v>232</v>
      </c>
      <c r="BI26" s="129">
        <f>'P&amp;L - Inputs'!BQ179</f>
        <v>204</v>
      </c>
      <c r="BJ26" s="129">
        <f>'P&amp;L - Inputs'!BR179</f>
        <v>149</v>
      </c>
      <c r="BK26" s="129">
        <f>'P&amp;L - Inputs'!BS179</f>
        <v>166</v>
      </c>
      <c r="BL26" s="129">
        <f>'P&amp;L - Inputs'!BT179</f>
        <v>151</v>
      </c>
      <c r="BM26" s="129">
        <f>'P&amp;L - Inputs'!BU179</f>
        <v>159</v>
      </c>
      <c r="BN26" s="129">
        <f>'P&amp;L - Inputs'!BV179</f>
        <v>143</v>
      </c>
      <c r="BO26" s="129">
        <f>'P&amp;L - Inputs'!BW179</f>
        <v>125</v>
      </c>
      <c r="BP26" s="129">
        <f>'P&amp;L - Inputs'!BX179</f>
        <v>116</v>
      </c>
      <c r="BQ26" s="129">
        <f>'P&amp;L - Inputs'!BY179</f>
        <v>179</v>
      </c>
      <c r="BR26" s="129">
        <f>'P&amp;L - Inputs'!BZ179</f>
        <v>169</v>
      </c>
      <c r="BS26" s="129">
        <f>'P&amp;L - Inputs'!CA179</f>
        <v>220</v>
      </c>
      <c r="BT26" s="129">
        <f>'P&amp;L - Inputs'!CB179</f>
        <v>242</v>
      </c>
      <c r="BU26" s="129">
        <f>'P&amp;L - Inputs'!CC179</f>
        <v>208</v>
      </c>
      <c r="BV26" s="129">
        <f>'P&amp;L - Inputs'!CD179</f>
        <v>263</v>
      </c>
      <c r="BW26" s="129">
        <f>'P&amp;L - Inputs'!CE179</f>
        <v>386</v>
      </c>
      <c r="BX26" s="129">
        <f>'P&amp;L - Inputs'!CF179</f>
        <v>369</v>
      </c>
      <c r="BY26" s="129">
        <f>'P&amp;L - Inputs'!CG179</f>
        <v>525</v>
      </c>
      <c r="BZ26" s="129">
        <f>'P&amp;L - Inputs'!CH179</f>
        <v>583</v>
      </c>
      <c r="CA26" s="129">
        <f>'P&amp;L - Inputs'!CI179</f>
        <v>553</v>
      </c>
      <c r="CB26" s="129">
        <f>'P&amp;L - Inputs'!CJ179</f>
        <v>686</v>
      </c>
      <c r="CC26" s="129">
        <f>'P&amp;L - Inputs'!CK179</f>
        <v>684</v>
      </c>
      <c r="CD26" s="129">
        <f>'P&amp;L - Inputs'!CL179</f>
        <v>482</v>
      </c>
      <c r="CE26" s="129">
        <f>'P&amp;L - Inputs'!CM179</f>
        <v>605</v>
      </c>
      <c r="CF26" s="129">
        <f>'P&amp;L - Inputs'!CN179</f>
        <v>561</v>
      </c>
      <c r="CG26" s="129">
        <f>'P&amp;L - Inputs'!CO179</f>
        <v>647</v>
      </c>
      <c r="CH26" s="129">
        <f>'P&amp;L - Inputs'!CP179</f>
        <v>745</v>
      </c>
      <c r="CI26" s="129">
        <f>'P&amp;L - Inputs'!CQ179</f>
        <v>718</v>
      </c>
      <c r="CJ26" s="129">
        <f>'P&amp;L - Inputs'!CR179</f>
        <v>661</v>
      </c>
      <c r="CK26" s="129">
        <f>'P&amp;L - Inputs'!CS179</f>
        <v>418</v>
      </c>
      <c r="CL26" s="129">
        <f>'P&amp;L - Inputs'!CT179</f>
        <v>381.09446168536647</v>
      </c>
      <c r="CM26" s="129">
        <f>'P&amp;L - Inputs'!CU179</f>
        <v>384.9731105275722</v>
      </c>
      <c r="CN26" s="129">
        <f>'P&amp;L - Inputs'!CV179</f>
        <v>384.69770350919077</v>
      </c>
      <c r="CO26" s="129">
        <f>'P&amp;L - Inputs'!CW179</f>
        <v>390.50420148006685</v>
      </c>
      <c r="CP26" s="129">
        <f>'P&amp;L - Inputs'!CX179</f>
        <v>367.96672714251605</v>
      </c>
      <c r="CQ26" s="129">
        <f>'P&amp;L - Inputs'!CY179</f>
        <v>402.53030794939127</v>
      </c>
      <c r="CR26" s="129">
        <f>'P&amp;L - Inputs'!CZ179</f>
        <v>391.39927428980661</v>
      </c>
      <c r="CS26" s="129">
        <f>'P&amp;L - Inputs'!DA179</f>
        <v>392.31729768441159</v>
      </c>
      <c r="CT26" s="129">
        <f>'P&amp;L - Inputs'!DB179</f>
        <v>481.57212222487459</v>
      </c>
      <c r="CU26" s="129">
        <f>'P&amp;L - Inputs'!DC179</f>
        <v>518.88977321556456</v>
      </c>
      <c r="CV26" s="129">
        <f>'P&amp;L - Inputs'!DD179</f>
        <v>444.85118644067791</v>
      </c>
      <c r="CW26" s="129">
        <f>'P&amp;L - Inputs'!DE179</f>
        <v>480.69999999999993</v>
      </c>
      <c r="CX26" s="129">
        <f>'P&amp;L - Inputs'!DF179</f>
        <v>438.25863093817128</v>
      </c>
      <c r="CY26" s="129">
        <f>'P&amp;L - Inputs'!DG179</f>
        <v>442.71907710670791</v>
      </c>
      <c r="CZ26" s="129">
        <f>'P&amp;L - Inputs'!DH179</f>
        <v>442.40235903556925</v>
      </c>
      <c r="DA26" s="129">
        <f>'P&amp;L - Inputs'!DI179</f>
        <v>449.07983170207677</v>
      </c>
      <c r="DB26" s="129">
        <f>'P&amp;L - Inputs'!DJ179</f>
        <v>423.16173621389339</v>
      </c>
      <c r="DC26" s="129">
        <f>'P&amp;L - Inputs'!DK179</f>
        <v>462.90985414179977</v>
      </c>
      <c r="DD26" s="129">
        <f>'P&amp;L - Inputs'!DL179</f>
        <v>450.1091654332775</v>
      </c>
      <c r="DE26" s="129">
        <f>'P&amp;L - Inputs'!DM179</f>
        <v>451.16489233707313</v>
      </c>
      <c r="DF26" s="129">
        <f>'P&amp;L - Inputs'!DN179</f>
        <v>553.80794055860576</v>
      </c>
      <c r="DG26" s="129">
        <f>'P&amp;L - Inputs'!DO179</f>
        <v>596.72323919789915</v>
      </c>
      <c r="DH26" s="129">
        <f>'P&amp;L - Inputs'!DP179</f>
        <v>511.57886440677953</v>
      </c>
      <c r="DI26" s="129">
        <f>'P&amp;L - Inputs'!DQ179</f>
        <v>552.80499999999972</v>
      </c>
      <c r="DJ26" s="129">
        <f>'P&amp;L - Inputs'!DR179</f>
        <v>503.99742557889698</v>
      </c>
      <c r="DK26" s="129">
        <f>'P&amp;L - Inputs'!DS179</f>
        <v>509.12693867271412</v>
      </c>
      <c r="DL26" s="129">
        <f>'P&amp;L - Inputs'!DT179</f>
        <v>508.76271289090465</v>
      </c>
      <c r="DM26" s="129">
        <f>'P&amp;L - Inputs'!DU179</f>
        <v>516.44180645738822</v>
      </c>
      <c r="DN26" s="129">
        <f>'P&amp;L - Inputs'!DV179</f>
        <v>486.6359966459774</v>
      </c>
      <c r="DO26" s="129">
        <f>'P&amp;L - Inputs'!DW179</f>
        <v>532.34633226306971</v>
      </c>
      <c r="DP26" s="129">
        <f>'P&amp;L - Inputs'!DX179</f>
        <v>517.62554024826909</v>
      </c>
      <c r="DQ26" s="129">
        <f>'P&amp;L - Inputs'!DY179</f>
        <v>518.83962618763405</v>
      </c>
      <c r="DR26" s="129">
        <f>'P&amp;L - Inputs'!DZ179</f>
        <v>636.87913164239649</v>
      </c>
      <c r="DS26" s="129">
        <f>'P&amp;L - Inputs'!EA179</f>
        <v>686.23172507758386</v>
      </c>
      <c r="DT26" s="129">
        <f>'P&amp;L - Inputs'!EB179</f>
        <v>588.31569406779636</v>
      </c>
      <c r="DU26" s="129">
        <f>'P&amp;L - Inputs'!EC179</f>
        <v>635.72574999999972</v>
      </c>
      <c r="DW26" s="129">
        <f t="shared" si="23"/>
        <v>1586</v>
      </c>
      <c r="DX26" s="663">
        <f t="shared" si="24"/>
        <v>619</v>
      </c>
      <c r="DY26" s="129">
        <f t="shared" si="25"/>
        <v>585</v>
      </c>
      <c r="DZ26" s="129">
        <f t="shared" si="26"/>
        <v>476</v>
      </c>
      <c r="EA26" s="129">
        <f t="shared" si="27"/>
        <v>384</v>
      </c>
      <c r="EB26" s="129">
        <f t="shared" si="28"/>
        <v>568</v>
      </c>
      <c r="EC26" s="129">
        <f t="shared" si="29"/>
        <v>713</v>
      </c>
      <c r="ED26" s="129">
        <f t="shared" si="30"/>
        <v>1280</v>
      </c>
      <c r="EE26" s="129">
        <f t="shared" si="31"/>
        <v>1822</v>
      </c>
      <c r="EF26" s="129">
        <f t="shared" si="32"/>
        <v>1771</v>
      </c>
      <c r="EG26" s="129">
        <f t="shared" si="33"/>
        <v>1953</v>
      </c>
      <c r="EH26" s="129">
        <f t="shared" si="34"/>
        <v>1797</v>
      </c>
      <c r="EI26" s="129">
        <f t="shared" si="35"/>
        <v>1150.7652757221294</v>
      </c>
      <c r="EJ26" s="129">
        <f t="shared" si="36"/>
        <v>1161.0012365719742</v>
      </c>
      <c r="EK26" s="129">
        <f t="shared" si="37"/>
        <v>1265.2886941990928</v>
      </c>
      <c r="EL26" s="129">
        <f t="shared" si="38"/>
        <v>1444.4409596562423</v>
      </c>
      <c r="EM26" s="129">
        <f t="shared" si="39"/>
        <v>1323.3800670804485</v>
      </c>
      <c r="EN26" s="129">
        <f t="shared" si="40"/>
        <v>1335.1514220577699</v>
      </c>
      <c r="EO26" s="644">
        <f t="shared" si="41"/>
        <v>1455.0819983289564</v>
      </c>
      <c r="EP26" s="129">
        <f t="shared" si="42"/>
        <v>1661.1071036046783</v>
      </c>
      <c r="EQ26" s="129">
        <f t="shared" si="5"/>
        <v>1521.8870771425156</v>
      </c>
      <c r="ER26" s="129">
        <f t="shared" si="6"/>
        <v>1535.4241353664352</v>
      </c>
      <c r="ES26" s="129">
        <f t="shared" si="7"/>
        <v>1673.3442980782995</v>
      </c>
      <c r="ET26" s="129">
        <f t="shared" si="8"/>
        <v>1910.2731691453801</v>
      </c>
      <c r="EV26" s="129">
        <f t="shared" si="9"/>
        <v>3266</v>
      </c>
      <c r="EW26" s="129">
        <f t="shared" si="10"/>
        <v>2945</v>
      </c>
      <c r="EX26" s="129">
        <f t="shared" si="11"/>
        <v>7343</v>
      </c>
      <c r="EY26" s="129">
        <f t="shared" si="12"/>
        <v>5021.4961661494381</v>
      </c>
      <c r="EZ26" s="129">
        <f t="shared" si="13"/>
        <v>5774.7205910718531</v>
      </c>
      <c r="FA26" s="663">
        <f t="shared" si="17"/>
        <v>6640.9286797326304</v>
      </c>
    </row>
    <row r="27" spans="2:157" x14ac:dyDescent="0.2">
      <c r="B27" s="117" t="s">
        <v>136</v>
      </c>
      <c r="C27" s="129">
        <f>'P&amp;L - Inputs'!K180</f>
        <v>0</v>
      </c>
      <c r="D27" s="129">
        <f>'P&amp;L - Inputs'!L180</f>
        <v>0</v>
      </c>
      <c r="E27" s="129">
        <f>'P&amp;L - Inputs'!M180</f>
        <v>0</v>
      </c>
      <c r="F27" s="129">
        <f>'P&amp;L - Inputs'!N180</f>
        <v>0</v>
      </c>
      <c r="G27" s="129">
        <f>'P&amp;L - Inputs'!O180</f>
        <v>0</v>
      </c>
      <c r="H27" s="129">
        <f>'P&amp;L - Inputs'!P180</f>
        <v>0</v>
      </c>
      <c r="I27" s="129">
        <f>'P&amp;L - Inputs'!Q180</f>
        <v>0</v>
      </c>
      <c r="J27" s="129">
        <f>'P&amp;L - Inputs'!R180</f>
        <v>0</v>
      </c>
      <c r="K27" s="129">
        <f>'P&amp;L - Inputs'!S180</f>
        <v>0</v>
      </c>
      <c r="L27" s="129">
        <f>'P&amp;L - Inputs'!T180</f>
        <v>0</v>
      </c>
      <c r="M27" s="129">
        <f>'P&amp;L - Inputs'!U180</f>
        <v>0</v>
      </c>
      <c r="N27" s="129">
        <f>'P&amp;L - Inputs'!V180</f>
        <v>0</v>
      </c>
      <c r="O27" s="129">
        <f>'P&amp;L - Inputs'!W180</f>
        <v>0</v>
      </c>
      <c r="P27" s="129">
        <f>'P&amp;L - Inputs'!X180</f>
        <v>0</v>
      </c>
      <c r="Q27" s="129">
        <f>'P&amp;L - Inputs'!Y180</f>
        <v>0</v>
      </c>
      <c r="R27" s="129">
        <f>'P&amp;L - Inputs'!Z180</f>
        <v>0</v>
      </c>
      <c r="S27" s="129">
        <f>'P&amp;L - Inputs'!AA180</f>
        <v>0</v>
      </c>
      <c r="T27" s="129">
        <f>'P&amp;L - Inputs'!AB180</f>
        <v>0</v>
      </c>
      <c r="U27" s="129">
        <f>'P&amp;L - Inputs'!AC180</f>
        <v>0</v>
      </c>
      <c r="V27" s="129">
        <f>'P&amp;L - Inputs'!AD180</f>
        <v>0</v>
      </c>
      <c r="W27" s="129">
        <f>'P&amp;L - Inputs'!AE180</f>
        <v>0</v>
      </c>
      <c r="X27" s="129">
        <f>'P&amp;L - Inputs'!AF180</f>
        <v>0</v>
      </c>
      <c r="Y27" s="129">
        <f>'P&amp;L - Inputs'!AG180</f>
        <v>0</v>
      </c>
      <c r="Z27" s="129">
        <f>'P&amp;L - Inputs'!AH180</f>
        <v>0</v>
      </c>
      <c r="AA27" s="129">
        <f>'P&amp;L - Inputs'!AI180</f>
        <v>0</v>
      </c>
      <c r="AB27" s="129">
        <f>'P&amp;L - Inputs'!AJ180</f>
        <v>0</v>
      </c>
      <c r="AC27" s="129">
        <f>'P&amp;L - Inputs'!AK180</f>
        <v>0</v>
      </c>
      <c r="AD27" s="129">
        <f>'P&amp;L - Inputs'!AL180</f>
        <v>0</v>
      </c>
      <c r="AE27" s="129">
        <f>'P&amp;L - Inputs'!AM180</f>
        <v>0</v>
      </c>
      <c r="AF27" s="129">
        <f>'P&amp;L - Inputs'!AN180</f>
        <v>0</v>
      </c>
      <c r="AG27" s="129">
        <f>'P&amp;L - Inputs'!AO180</f>
        <v>0</v>
      </c>
      <c r="AH27" s="129">
        <f>'P&amp;L - Inputs'!AP180</f>
        <v>0</v>
      </c>
      <c r="AI27" s="129">
        <f>'P&amp;L - Inputs'!AQ180</f>
        <v>0</v>
      </c>
      <c r="AJ27" s="129">
        <f>'P&amp;L - Inputs'!AR180</f>
        <v>0</v>
      </c>
      <c r="AK27" s="129">
        <f>'P&amp;L - Inputs'!AS180</f>
        <v>0</v>
      </c>
      <c r="AL27" s="129">
        <f>'P&amp;L - Inputs'!AT180</f>
        <v>0</v>
      </c>
      <c r="AM27" s="129">
        <f>'P&amp;L - Inputs'!AU180</f>
        <v>0</v>
      </c>
      <c r="AN27" s="129">
        <f>'P&amp;L - Inputs'!AV180</f>
        <v>0</v>
      </c>
      <c r="AO27" s="129">
        <f>'P&amp;L - Inputs'!AW180</f>
        <v>0</v>
      </c>
      <c r="AP27" s="129">
        <f>'P&amp;L - Inputs'!AX180</f>
        <v>0</v>
      </c>
      <c r="AQ27" s="129">
        <f>'P&amp;L - Inputs'!AY180</f>
        <v>0</v>
      </c>
      <c r="AR27" s="129">
        <f>'P&amp;L - Inputs'!AZ180</f>
        <v>0</v>
      </c>
      <c r="AS27" s="129">
        <f>'P&amp;L - Inputs'!BA180</f>
        <v>0</v>
      </c>
      <c r="AT27" s="129">
        <f>'P&amp;L - Inputs'!BB180</f>
        <v>0</v>
      </c>
      <c r="AU27" s="129">
        <f>'P&amp;L - Inputs'!BC180</f>
        <v>0</v>
      </c>
      <c r="AV27" s="129">
        <f>'P&amp;L - Inputs'!BD180</f>
        <v>0</v>
      </c>
      <c r="AW27" s="129">
        <f>'P&amp;L - Inputs'!BE180</f>
        <v>0</v>
      </c>
      <c r="AX27" s="129">
        <f>'P&amp;L - Inputs'!BF180</f>
        <v>0</v>
      </c>
      <c r="AY27" s="129">
        <f>'P&amp;L - Inputs'!BG180</f>
        <v>0</v>
      </c>
      <c r="AZ27" s="129">
        <f>'P&amp;L - Inputs'!BH180</f>
        <v>0</v>
      </c>
      <c r="BA27" s="129">
        <f>'P&amp;L - Inputs'!BI180</f>
        <v>352</v>
      </c>
      <c r="BB27" s="129">
        <f>'P&amp;L - Inputs'!BJ180</f>
        <v>375</v>
      </c>
      <c r="BC27" s="129">
        <f>'P&amp;L - Inputs'!BK180</f>
        <v>703</v>
      </c>
      <c r="BD27" s="129">
        <f>'P&amp;L - Inputs'!BL180</f>
        <v>745</v>
      </c>
      <c r="BE27" s="129">
        <f>'P&amp;L - Inputs'!BM180</f>
        <v>816</v>
      </c>
      <c r="BF27" s="129">
        <f>'P&amp;L - Inputs'!BN180</f>
        <v>968</v>
      </c>
      <c r="BG27" s="129">
        <f>'P&amp;L - Inputs'!BO180</f>
        <v>1066</v>
      </c>
      <c r="BH27" s="129">
        <f>'P&amp;L - Inputs'!BP180</f>
        <v>1278</v>
      </c>
      <c r="BI27" s="129">
        <f>'P&amp;L - Inputs'!BQ180</f>
        <v>1180</v>
      </c>
      <c r="BJ27" s="129">
        <f>'P&amp;L - Inputs'!BR180</f>
        <v>895</v>
      </c>
      <c r="BK27" s="129">
        <f>'P&amp;L - Inputs'!BS180</f>
        <v>897</v>
      </c>
      <c r="BL27" s="129">
        <f>'P&amp;L - Inputs'!BT180</f>
        <v>806</v>
      </c>
      <c r="BM27" s="129">
        <f>'P&amp;L - Inputs'!BU180</f>
        <v>914</v>
      </c>
      <c r="BN27" s="129">
        <f>'P&amp;L - Inputs'!BV180</f>
        <v>1086</v>
      </c>
      <c r="BO27" s="129">
        <f>'P&amp;L - Inputs'!BW180</f>
        <v>1158</v>
      </c>
      <c r="BP27" s="129">
        <f>'P&amp;L - Inputs'!BX180</f>
        <v>1058</v>
      </c>
      <c r="BQ27" s="129">
        <f>'P&amp;L - Inputs'!BY180</f>
        <v>1253</v>
      </c>
      <c r="BR27" s="129">
        <f>'P&amp;L - Inputs'!BZ180</f>
        <v>1425</v>
      </c>
      <c r="BS27" s="129">
        <f>'P&amp;L - Inputs'!CA180</f>
        <v>1244</v>
      </c>
      <c r="BT27" s="129">
        <f>'P&amp;L - Inputs'!CB180</f>
        <v>981</v>
      </c>
      <c r="BU27" s="129">
        <f>'P&amp;L - Inputs'!CC180</f>
        <v>901</v>
      </c>
      <c r="BV27" s="129">
        <f>'P&amp;L - Inputs'!CD180</f>
        <v>850</v>
      </c>
      <c r="BW27" s="129">
        <f>'P&amp;L - Inputs'!CE180</f>
        <v>1040</v>
      </c>
      <c r="BX27" s="129">
        <f>'P&amp;L - Inputs'!CF180</f>
        <v>889</v>
      </c>
      <c r="BY27" s="129">
        <f>'P&amp;L - Inputs'!CG180</f>
        <v>1131</v>
      </c>
      <c r="BZ27" s="129">
        <f>'P&amp;L - Inputs'!CH180</f>
        <v>1143</v>
      </c>
      <c r="CA27" s="129">
        <f>'P&amp;L - Inputs'!CI180</f>
        <v>1090</v>
      </c>
      <c r="CB27" s="129">
        <f>'P&amp;L - Inputs'!CJ180</f>
        <v>1271.9999999999995</v>
      </c>
      <c r="CC27" s="129">
        <f>'P&amp;L - Inputs'!CK180</f>
        <v>1309</v>
      </c>
      <c r="CD27" s="129">
        <f>'P&amp;L - Inputs'!CL180</f>
        <v>1402</v>
      </c>
      <c r="CE27" s="129">
        <f>'P&amp;L - Inputs'!CM180</f>
        <v>1433</v>
      </c>
      <c r="CF27" s="129">
        <f>'P&amp;L - Inputs'!CN180</f>
        <v>1477</v>
      </c>
      <c r="CG27" s="129">
        <f>'P&amp;L - Inputs'!CO180</f>
        <v>1359</v>
      </c>
      <c r="CH27" s="129">
        <f>'P&amp;L - Inputs'!CP180</f>
        <v>1510</v>
      </c>
      <c r="CI27" s="129">
        <f>'P&amp;L - Inputs'!CQ180</f>
        <v>1533</v>
      </c>
      <c r="CJ27" s="129">
        <f>'P&amp;L - Inputs'!CR180</f>
        <v>1466</v>
      </c>
      <c r="CK27" s="129">
        <f>'P&amp;L - Inputs'!CS180</f>
        <v>1674</v>
      </c>
      <c r="CL27" s="129">
        <f>'P&amp;L - Inputs'!CT180</f>
        <v>1526.2012652184294</v>
      </c>
      <c r="CM27" s="129">
        <f>'P&amp;L - Inputs'!CU180</f>
        <v>1541.7344187156837</v>
      </c>
      <c r="CN27" s="129">
        <f>'P&amp;L - Inputs'!CV180</f>
        <v>1540.6314729052281</v>
      </c>
      <c r="CO27" s="129">
        <f>'P&amp;L - Inputs'!CW180</f>
        <v>1563.8852470756742</v>
      </c>
      <c r="CP27" s="129">
        <f>'P&amp;L - Inputs'!CX180</f>
        <v>1473.6275149200283</v>
      </c>
      <c r="CQ27" s="129">
        <f>'P&amp;L - Inputs'!CY180</f>
        <v>1612.0472141322509</v>
      </c>
      <c r="CR27" s="129">
        <f>'P&amp;L - Inputs'!CZ180</f>
        <v>1567.4698209596561</v>
      </c>
      <c r="CS27" s="129">
        <f>'P&amp;L - Inputs'!DA180</f>
        <v>1571.1463069945094</v>
      </c>
      <c r="CT27" s="129">
        <f>'P&amp;L - Inputs'!DB180</f>
        <v>1928.5926617331102</v>
      </c>
      <c r="CU27" s="129">
        <f>'P&amp;L - Inputs'!DC180</f>
        <v>2078.0418190498922</v>
      </c>
      <c r="CV27" s="129">
        <f>'P&amp;L - Inputs'!DD180</f>
        <v>1781.5332203389828</v>
      </c>
      <c r="CW27" s="129">
        <f>'P&amp;L - Inputs'!DE180</f>
        <v>1925.0999999999995</v>
      </c>
      <c r="CX27" s="129">
        <f>'P&amp;L - Inputs'!DF180</f>
        <v>1755.1314550011937</v>
      </c>
      <c r="CY27" s="129">
        <f>'P&amp;L - Inputs'!DG180</f>
        <v>1772.9945815230365</v>
      </c>
      <c r="CZ27" s="129">
        <f>'P&amp;L - Inputs'!DH180</f>
        <v>1771.7261938410122</v>
      </c>
      <c r="DA27" s="129">
        <f>'P&amp;L - Inputs'!DI180</f>
        <v>1798.4680341370256</v>
      </c>
      <c r="DB27" s="129">
        <f>'P&amp;L - Inputs'!DJ180</f>
        <v>1694.6716421580327</v>
      </c>
      <c r="DC27" s="129">
        <f>'P&amp;L - Inputs'!DK180</f>
        <v>1853.8542962520885</v>
      </c>
      <c r="DD27" s="129">
        <f>'P&amp;L - Inputs'!DL180</f>
        <v>1802.5902941036045</v>
      </c>
      <c r="DE27" s="129">
        <f>'P&amp;L - Inputs'!DM180</f>
        <v>1806.8182530436857</v>
      </c>
      <c r="DF27" s="129">
        <f>'P&amp;L - Inputs'!DN180</f>
        <v>2217.8815609930771</v>
      </c>
      <c r="DG27" s="129">
        <f>'P&amp;L - Inputs'!DO180</f>
        <v>2389.7480919073764</v>
      </c>
      <c r="DH27" s="129">
        <f>'P&amp;L - Inputs'!DP180</f>
        <v>2048.7632033898303</v>
      </c>
      <c r="DI27" s="129">
        <f>'P&amp;L - Inputs'!DQ180</f>
        <v>2213.8649999999998</v>
      </c>
      <c r="DJ27" s="129">
        <f>'P&amp;L - Inputs'!DR180</f>
        <v>2018.4011732513725</v>
      </c>
      <c r="DK27" s="129">
        <f>'P&amp;L - Inputs'!DS180</f>
        <v>2038.9437687514919</v>
      </c>
      <c r="DL27" s="129">
        <f>'P&amp;L - Inputs'!DT180</f>
        <v>2037.4851229171641</v>
      </c>
      <c r="DM27" s="129">
        <f>'P&amp;L - Inputs'!DU180</f>
        <v>2068.2382392575792</v>
      </c>
      <c r="DN27" s="129">
        <f>'P&amp;L - Inputs'!DV180</f>
        <v>1948.8723884817377</v>
      </c>
      <c r="DO27" s="129">
        <f>'P&amp;L - Inputs'!DW180</f>
        <v>2131.9324406899018</v>
      </c>
      <c r="DP27" s="129">
        <f>'P&amp;L - Inputs'!DX180</f>
        <v>2072.978838219145</v>
      </c>
      <c r="DQ27" s="129">
        <f>'P&amp;L - Inputs'!DY180</f>
        <v>2077.8409910002383</v>
      </c>
      <c r="DR27" s="129">
        <f>'P&amp;L - Inputs'!DZ180</f>
        <v>2550.5637951420381</v>
      </c>
      <c r="DS27" s="129">
        <f>'P&amp;L - Inputs'!EA180</f>
        <v>2748.2103056934825</v>
      </c>
      <c r="DT27" s="129">
        <f>'P&amp;L - Inputs'!EB180</f>
        <v>2356.0776838983047</v>
      </c>
      <c r="DU27" s="129">
        <f>'P&amp;L - Inputs'!EC180</f>
        <v>2545.9447499999992</v>
      </c>
      <c r="DW27" s="129">
        <f t="shared" si="23"/>
        <v>1823</v>
      </c>
      <c r="DX27" s="663">
        <f t="shared" si="24"/>
        <v>2850</v>
      </c>
      <c r="DY27" s="129">
        <f t="shared" si="25"/>
        <v>3353</v>
      </c>
      <c r="DZ27" s="129">
        <f t="shared" si="26"/>
        <v>2617</v>
      </c>
      <c r="EA27" s="129">
        <f t="shared" si="27"/>
        <v>3302</v>
      </c>
      <c r="EB27" s="129">
        <f t="shared" si="28"/>
        <v>3922</v>
      </c>
      <c r="EC27" s="129">
        <f t="shared" si="29"/>
        <v>2732</v>
      </c>
      <c r="ED27" s="129">
        <f t="shared" si="30"/>
        <v>3060</v>
      </c>
      <c r="EE27" s="129">
        <f t="shared" si="31"/>
        <v>3504.9999999999995</v>
      </c>
      <c r="EF27" s="129">
        <f t="shared" si="32"/>
        <v>4144</v>
      </c>
      <c r="EG27" s="129">
        <f t="shared" si="33"/>
        <v>4346</v>
      </c>
      <c r="EH27" s="129">
        <f t="shared" si="34"/>
        <v>4673</v>
      </c>
      <c r="EI27" s="129">
        <f t="shared" si="35"/>
        <v>4608.5671568393409</v>
      </c>
      <c r="EJ27" s="129">
        <f t="shared" si="36"/>
        <v>4649.5599761279536</v>
      </c>
      <c r="EK27" s="129">
        <f t="shared" si="37"/>
        <v>5067.2087896872763</v>
      </c>
      <c r="EL27" s="129">
        <f t="shared" si="38"/>
        <v>5784.6750393888742</v>
      </c>
      <c r="EM27" s="129">
        <f t="shared" si="39"/>
        <v>5299.8522303652426</v>
      </c>
      <c r="EN27" s="129">
        <f t="shared" si="40"/>
        <v>5346.9939725471468</v>
      </c>
      <c r="EO27" s="644">
        <f t="shared" si="41"/>
        <v>5827.290108140367</v>
      </c>
      <c r="EP27" s="129">
        <f t="shared" si="42"/>
        <v>6652.3762952972065</v>
      </c>
      <c r="EQ27" s="129">
        <f t="shared" si="5"/>
        <v>6094.8300649200282</v>
      </c>
      <c r="ER27" s="129">
        <f t="shared" si="6"/>
        <v>6149.0430684292187</v>
      </c>
      <c r="ES27" s="129">
        <f t="shared" si="7"/>
        <v>6701.3836243614205</v>
      </c>
      <c r="ET27" s="129">
        <f t="shared" si="8"/>
        <v>7650.2327395917855</v>
      </c>
      <c r="EV27" s="129">
        <f t="shared" si="9"/>
        <v>10643</v>
      </c>
      <c r="EW27" s="129">
        <f t="shared" si="10"/>
        <v>13016</v>
      </c>
      <c r="EX27" s="129">
        <f t="shared" si="11"/>
        <v>16668</v>
      </c>
      <c r="EY27" s="129">
        <f t="shared" si="12"/>
        <v>20110.010962043445</v>
      </c>
      <c r="EZ27" s="129">
        <f t="shared" si="13"/>
        <v>23126.512606349963</v>
      </c>
      <c r="FA27" s="663">
        <f t="shared" si="17"/>
        <v>26595.489497302453</v>
      </c>
    </row>
    <row r="28" spans="2:157" x14ac:dyDescent="0.2">
      <c r="B28" s="114" t="s">
        <v>133</v>
      </c>
      <c r="C28" s="132">
        <f>'P&amp;L - Inputs'!K181</f>
        <v>0</v>
      </c>
      <c r="D28" s="132">
        <f>'P&amp;L - Inputs'!L181</f>
        <v>10</v>
      </c>
      <c r="E28" s="132">
        <f>'P&amp;L - Inputs'!M181</f>
        <v>4</v>
      </c>
      <c r="F28" s="132">
        <f>'P&amp;L - Inputs'!N181</f>
        <v>0</v>
      </c>
      <c r="G28" s="132">
        <f>'P&amp;L - Inputs'!O181</f>
        <v>3</v>
      </c>
      <c r="H28" s="132">
        <f>'P&amp;L - Inputs'!P181</f>
        <v>69</v>
      </c>
      <c r="I28" s="132">
        <f>'P&amp;L - Inputs'!Q181</f>
        <v>31</v>
      </c>
      <c r="J28" s="132">
        <f>'P&amp;L - Inputs'!R181</f>
        <v>14</v>
      </c>
      <c r="K28" s="132">
        <f>'P&amp;L - Inputs'!S181</f>
        <v>321</v>
      </c>
      <c r="L28" s="132">
        <f>'P&amp;L - Inputs'!T181</f>
        <v>28</v>
      </c>
      <c r="M28" s="132">
        <f>'P&amp;L - Inputs'!U181</f>
        <v>354</v>
      </c>
      <c r="N28" s="132">
        <f>'P&amp;L - Inputs'!V181</f>
        <v>129</v>
      </c>
      <c r="O28" s="132">
        <f>'P&amp;L - Inputs'!W181</f>
        <v>228</v>
      </c>
      <c r="P28" s="132">
        <f>'P&amp;L - Inputs'!X181</f>
        <v>2025</v>
      </c>
      <c r="Q28" s="132">
        <f>'P&amp;L - Inputs'!Y181</f>
        <v>702</v>
      </c>
      <c r="R28" s="132">
        <f>'P&amp;L - Inputs'!Z181</f>
        <v>233</v>
      </c>
      <c r="S28" s="132">
        <f>'P&amp;L - Inputs'!AA181</f>
        <v>498</v>
      </c>
      <c r="T28" s="132">
        <f>'P&amp;L - Inputs'!AB181</f>
        <v>482</v>
      </c>
      <c r="U28" s="132">
        <f>'P&amp;L - Inputs'!AC181</f>
        <v>270</v>
      </c>
      <c r="V28" s="132">
        <f>'P&amp;L - Inputs'!AD181</f>
        <v>359</v>
      </c>
      <c r="W28" s="132">
        <f>'P&amp;L - Inputs'!AE181</f>
        <v>453</v>
      </c>
      <c r="X28" s="132">
        <f>'P&amp;L - Inputs'!AF181</f>
        <v>730</v>
      </c>
      <c r="Y28" s="132">
        <f>'P&amp;L - Inputs'!AG181</f>
        <v>499</v>
      </c>
      <c r="Z28" s="132">
        <f>'P&amp;L - Inputs'!AH181</f>
        <v>932</v>
      </c>
      <c r="AA28" s="132">
        <f>'P&amp;L - Inputs'!AI181</f>
        <v>1543</v>
      </c>
      <c r="AB28" s="132">
        <f>'P&amp;L - Inputs'!AJ181</f>
        <v>1098</v>
      </c>
      <c r="AC28" s="132">
        <f>'P&amp;L - Inputs'!AK181</f>
        <v>1773</v>
      </c>
      <c r="AD28" s="132">
        <f>'P&amp;L - Inputs'!AL181</f>
        <v>836</v>
      </c>
      <c r="AE28" s="132">
        <f>'P&amp;L - Inputs'!AM181</f>
        <v>389</v>
      </c>
      <c r="AF28" s="132">
        <f>'P&amp;L - Inputs'!AN181</f>
        <v>536</v>
      </c>
      <c r="AG28" s="132">
        <f>'P&amp;L - Inputs'!AO181</f>
        <v>639</v>
      </c>
      <c r="AH28" s="132">
        <f>'P&amp;L - Inputs'!AP181</f>
        <v>361</v>
      </c>
      <c r="AI28" s="132">
        <f>'P&amp;L - Inputs'!AQ181</f>
        <v>393</v>
      </c>
      <c r="AJ28" s="132">
        <f>'P&amp;L - Inputs'!AR181</f>
        <v>644</v>
      </c>
      <c r="AK28" s="132">
        <f>'P&amp;L - Inputs'!AS181</f>
        <v>1005</v>
      </c>
      <c r="AL28" s="132">
        <f>'P&amp;L - Inputs'!AT181</f>
        <v>1955</v>
      </c>
      <c r="AM28" s="132">
        <f>'P&amp;L - Inputs'!AU181</f>
        <v>1811</v>
      </c>
      <c r="AN28" s="132">
        <f>'P&amp;L - Inputs'!AV181</f>
        <v>1207</v>
      </c>
      <c r="AO28" s="132">
        <f>'P&amp;L - Inputs'!AW181</f>
        <v>550</v>
      </c>
      <c r="AP28" s="132">
        <f>'P&amp;L - Inputs'!AX181</f>
        <v>267</v>
      </c>
      <c r="AQ28" s="132">
        <f>'P&amp;L - Inputs'!AY181</f>
        <v>1257</v>
      </c>
      <c r="AR28" s="132">
        <f>'P&amp;L - Inputs'!AZ181</f>
        <v>297</v>
      </c>
      <c r="AS28" s="132">
        <f>'P&amp;L - Inputs'!BA181</f>
        <v>187</v>
      </c>
      <c r="AT28" s="132">
        <f>'P&amp;L - Inputs'!BB181</f>
        <v>221</v>
      </c>
      <c r="AU28" s="132">
        <f>'P&amp;L - Inputs'!BC181</f>
        <v>359</v>
      </c>
      <c r="AV28" s="132">
        <f>'P&amp;L - Inputs'!BD181</f>
        <v>523</v>
      </c>
      <c r="AW28" s="132">
        <f>'P&amp;L - Inputs'!BE181</f>
        <v>831</v>
      </c>
      <c r="AX28" s="132">
        <f>'P&amp;L - Inputs'!BF181</f>
        <v>789</v>
      </c>
      <c r="AY28" s="132">
        <f>'P&amp;L - Inputs'!BG181</f>
        <v>373</v>
      </c>
      <c r="AZ28" s="132">
        <f>'P&amp;L - Inputs'!BH181</f>
        <v>322</v>
      </c>
      <c r="BA28" s="132">
        <f>'P&amp;L - Inputs'!BI181</f>
        <v>644</v>
      </c>
      <c r="BB28" s="132">
        <f>'P&amp;L - Inputs'!BJ181</f>
        <v>399</v>
      </c>
      <c r="BC28" s="132">
        <f>'P&amp;L - Inputs'!BK181</f>
        <v>114</v>
      </c>
      <c r="BD28" s="132">
        <f>'P&amp;L - Inputs'!BL181</f>
        <v>16</v>
      </c>
      <c r="BE28" s="132">
        <f>'P&amp;L - Inputs'!BM181</f>
        <v>0</v>
      </c>
      <c r="BF28" s="132">
        <f>'P&amp;L - Inputs'!BN181</f>
        <v>0</v>
      </c>
      <c r="BG28" s="132">
        <f>'P&amp;L - Inputs'!BO181</f>
        <v>0</v>
      </c>
      <c r="BH28" s="132">
        <f>'P&amp;L - Inputs'!BP181</f>
        <v>0</v>
      </c>
      <c r="BI28" s="132">
        <f>'P&amp;L - Inputs'!BQ181</f>
        <v>0</v>
      </c>
      <c r="BJ28" s="132">
        <f>'P&amp;L - Inputs'!BR181</f>
        <v>0</v>
      </c>
      <c r="BK28" s="132">
        <f>'P&amp;L - Inputs'!BS181</f>
        <v>0</v>
      </c>
      <c r="BL28" s="132">
        <f>'P&amp;L - Inputs'!BT181</f>
        <v>0</v>
      </c>
      <c r="BM28" s="132">
        <f>'P&amp;L - Inputs'!BU181</f>
        <v>0</v>
      </c>
      <c r="BN28" s="132">
        <f>'P&amp;L - Inputs'!BV181</f>
        <v>0</v>
      </c>
      <c r="BO28" s="132">
        <f>'P&amp;L - Inputs'!BW181</f>
        <v>0</v>
      </c>
      <c r="BP28" s="132">
        <f>'P&amp;L - Inputs'!BX181</f>
        <v>0</v>
      </c>
      <c r="BQ28" s="132">
        <f>'P&amp;L - Inputs'!BY181</f>
        <v>0</v>
      </c>
      <c r="BR28" s="132">
        <f>'P&amp;L - Inputs'!BZ181</f>
        <v>0</v>
      </c>
      <c r="BS28" s="132">
        <f>'P&amp;L - Inputs'!CA181</f>
        <v>0</v>
      </c>
      <c r="BT28" s="132">
        <f>'P&amp;L - Inputs'!CB181</f>
        <v>0</v>
      </c>
      <c r="BU28" s="132">
        <f>'P&amp;L - Inputs'!CC181</f>
        <v>0</v>
      </c>
      <c r="BV28" s="132">
        <f>'P&amp;L - Inputs'!CD181</f>
        <v>0</v>
      </c>
      <c r="BW28" s="132">
        <f>'P&amp;L - Inputs'!CE181</f>
        <v>0</v>
      </c>
      <c r="BX28" s="132">
        <f>'P&amp;L - Inputs'!CF181</f>
        <v>0</v>
      </c>
      <c r="BY28" s="132">
        <f>'P&amp;L - Inputs'!CG181</f>
        <v>0</v>
      </c>
      <c r="BZ28" s="132">
        <f>'P&amp;L - Inputs'!CH181</f>
        <v>0</v>
      </c>
      <c r="CA28" s="132">
        <f>'P&amp;L - Inputs'!CI181</f>
        <v>0</v>
      </c>
      <c r="CB28" s="132">
        <f>'P&amp;L - Inputs'!CJ181</f>
        <v>0</v>
      </c>
      <c r="CC28" s="132">
        <f>'P&amp;L - Inputs'!CK181</f>
        <v>0</v>
      </c>
      <c r="CD28" s="132">
        <f>'P&amp;L - Inputs'!CL181</f>
        <v>0</v>
      </c>
      <c r="CE28" s="132">
        <f>'P&amp;L - Inputs'!CM181</f>
        <v>0</v>
      </c>
      <c r="CF28" s="132">
        <f>'P&amp;L - Inputs'!CN181</f>
        <v>0</v>
      </c>
      <c r="CG28" s="132">
        <f>'P&amp;L - Inputs'!CO181</f>
        <v>0</v>
      </c>
      <c r="CH28" s="132">
        <f>'P&amp;L - Inputs'!CP181</f>
        <v>0</v>
      </c>
      <c r="CI28" s="132">
        <f>'P&amp;L - Inputs'!CQ181</f>
        <v>0</v>
      </c>
      <c r="CJ28" s="132">
        <f>'P&amp;L - Inputs'!CR181</f>
        <v>0</v>
      </c>
      <c r="CK28" s="132">
        <f>'P&amp;L - Inputs'!CS181</f>
        <v>0</v>
      </c>
      <c r="CL28" s="132">
        <f>'P&amp;L - Inputs'!CT181</f>
        <v>0</v>
      </c>
      <c r="CM28" s="132">
        <f>'P&amp;L - Inputs'!CU181</f>
        <v>0</v>
      </c>
      <c r="CN28" s="132">
        <f>'P&amp;L - Inputs'!CV181</f>
        <v>0</v>
      </c>
      <c r="CO28" s="132">
        <f>'P&amp;L - Inputs'!CW181</f>
        <v>0</v>
      </c>
      <c r="CP28" s="132">
        <f>'P&amp;L - Inputs'!CX181</f>
        <v>0</v>
      </c>
      <c r="CQ28" s="132">
        <f>'P&amp;L - Inputs'!CY181</f>
        <v>0</v>
      </c>
      <c r="CR28" s="132">
        <f>'P&amp;L - Inputs'!CZ181</f>
        <v>0</v>
      </c>
      <c r="CS28" s="132">
        <f>'P&amp;L - Inputs'!DA181</f>
        <v>0</v>
      </c>
      <c r="CT28" s="132">
        <f>'P&amp;L - Inputs'!DB181</f>
        <v>0</v>
      </c>
      <c r="CU28" s="132">
        <f>'P&amp;L - Inputs'!DC181</f>
        <v>0</v>
      </c>
      <c r="CV28" s="132">
        <f>'P&amp;L - Inputs'!DD181</f>
        <v>0</v>
      </c>
      <c r="CW28" s="132">
        <f>'P&amp;L - Inputs'!DE181</f>
        <v>0</v>
      </c>
      <c r="CX28" s="132">
        <f>'P&amp;L - Inputs'!DF181</f>
        <v>0</v>
      </c>
      <c r="CY28" s="132">
        <f>'P&amp;L - Inputs'!DG181</f>
        <v>0</v>
      </c>
      <c r="CZ28" s="132">
        <f>'P&amp;L - Inputs'!DH181</f>
        <v>0</v>
      </c>
      <c r="DA28" s="132">
        <f>'P&amp;L - Inputs'!DI181</f>
        <v>0</v>
      </c>
      <c r="DB28" s="132">
        <f>'P&amp;L - Inputs'!DJ181</f>
        <v>0</v>
      </c>
      <c r="DC28" s="132">
        <f>'P&amp;L - Inputs'!DK181</f>
        <v>0</v>
      </c>
      <c r="DD28" s="132">
        <f>'P&amp;L - Inputs'!DL181</f>
        <v>0</v>
      </c>
      <c r="DE28" s="132">
        <f>'P&amp;L - Inputs'!DM181</f>
        <v>0</v>
      </c>
      <c r="DF28" s="132">
        <f>'P&amp;L - Inputs'!DN181</f>
        <v>0</v>
      </c>
      <c r="DG28" s="132">
        <f>'P&amp;L - Inputs'!DO181</f>
        <v>0</v>
      </c>
      <c r="DH28" s="132">
        <f>'P&amp;L - Inputs'!DP181</f>
        <v>0</v>
      </c>
      <c r="DI28" s="132">
        <f>'P&amp;L - Inputs'!DQ181</f>
        <v>0</v>
      </c>
      <c r="DJ28" s="132">
        <f>'P&amp;L - Inputs'!DR181</f>
        <v>0</v>
      </c>
      <c r="DK28" s="132">
        <f>'P&amp;L - Inputs'!DS181</f>
        <v>0</v>
      </c>
      <c r="DL28" s="132">
        <f>'P&amp;L - Inputs'!DT181</f>
        <v>0</v>
      </c>
      <c r="DM28" s="132">
        <f>'P&amp;L - Inputs'!DU181</f>
        <v>0</v>
      </c>
      <c r="DN28" s="132">
        <f>'P&amp;L - Inputs'!DV181</f>
        <v>0</v>
      </c>
      <c r="DO28" s="132">
        <f>'P&amp;L - Inputs'!DW181</f>
        <v>0</v>
      </c>
      <c r="DP28" s="132">
        <f>'P&amp;L - Inputs'!DX181</f>
        <v>0</v>
      </c>
      <c r="DQ28" s="132">
        <f>'P&amp;L - Inputs'!DY181</f>
        <v>0</v>
      </c>
      <c r="DR28" s="132">
        <f>'P&amp;L - Inputs'!DZ181</f>
        <v>0</v>
      </c>
      <c r="DS28" s="132">
        <f>'P&amp;L - Inputs'!EA181</f>
        <v>0</v>
      </c>
      <c r="DT28" s="132">
        <f>'P&amp;L - Inputs'!EB181</f>
        <v>0</v>
      </c>
      <c r="DU28" s="132">
        <f>'P&amp;L - Inputs'!EC181</f>
        <v>0</v>
      </c>
      <c r="DW28" s="132">
        <f t="shared" si="23"/>
        <v>529</v>
      </c>
      <c r="DX28" s="666">
        <f t="shared" si="24"/>
        <v>0</v>
      </c>
      <c r="DY28" s="132">
        <f t="shared" si="25"/>
        <v>0</v>
      </c>
      <c r="DZ28" s="132">
        <f t="shared" si="26"/>
        <v>0</v>
      </c>
      <c r="EA28" s="132">
        <f t="shared" si="27"/>
        <v>0</v>
      </c>
      <c r="EB28" s="132">
        <f t="shared" si="28"/>
        <v>0</v>
      </c>
      <c r="EC28" s="132">
        <f t="shared" si="29"/>
        <v>0</v>
      </c>
      <c r="ED28" s="132">
        <f t="shared" si="30"/>
        <v>0</v>
      </c>
      <c r="EE28" s="132">
        <f t="shared" si="31"/>
        <v>0</v>
      </c>
      <c r="EF28" s="132">
        <f t="shared" si="32"/>
        <v>0</v>
      </c>
      <c r="EG28" s="132">
        <f t="shared" si="33"/>
        <v>0</v>
      </c>
      <c r="EH28" s="132">
        <f t="shared" si="34"/>
        <v>0</v>
      </c>
      <c r="EI28" s="132">
        <f t="shared" si="35"/>
        <v>0</v>
      </c>
      <c r="EJ28" s="132">
        <f t="shared" si="36"/>
        <v>0</v>
      </c>
      <c r="EK28" s="132">
        <f t="shared" si="37"/>
        <v>0</v>
      </c>
      <c r="EL28" s="132">
        <f t="shared" si="38"/>
        <v>0</v>
      </c>
      <c r="EM28" s="132">
        <f t="shared" si="39"/>
        <v>0</v>
      </c>
      <c r="EN28" s="132">
        <f t="shared" si="40"/>
        <v>0</v>
      </c>
      <c r="EO28" s="647">
        <f t="shared" si="41"/>
        <v>0</v>
      </c>
      <c r="EP28" s="132">
        <f t="shared" si="42"/>
        <v>0</v>
      </c>
      <c r="EQ28" s="132">
        <f t="shared" si="5"/>
        <v>0</v>
      </c>
      <c r="ER28" s="132">
        <f t="shared" si="6"/>
        <v>0</v>
      </c>
      <c r="ES28" s="132">
        <f t="shared" si="7"/>
        <v>0</v>
      </c>
      <c r="ET28" s="132">
        <f t="shared" si="8"/>
        <v>0</v>
      </c>
      <c r="EV28" s="132">
        <f t="shared" si="9"/>
        <v>529</v>
      </c>
      <c r="EW28" s="132">
        <f t="shared" si="10"/>
        <v>0</v>
      </c>
      <c r="EX28" s="132">
        <f t="shared" si="11"/>
        <v>0</v>
      </c>
      <c r="EY28" s="132">
        <f t="shared" si="12"/>
        <v>0</v>
      </c>
      <c r="EZ28" s="132">
        <f t="shared" si="13"/>
        <v>0</v>
      </c>
      <c r="FA28" s="666">
        <f t="shared" si="17"/>
        <v>0</v>
      </c>
    </row>
    <row r="29" spans="2:157" x14ac:dyDescent="0.2">
      <c r="B29" s="117" t="s">
        <v>8</v>
      </c>
      <c r="C29" s="129">
        <f>'P&amp;L - Inputs'!K182</f>
        <v>0</v>
      </c>
      <c r="D29" s="129">
        <f>'P&amp;L - Inputs'!L182</f>
        <v>0</v>
      </c>
      <c r="E29" s="129">
        <f>'P&amp;L - Inputs'!M182</f>
        <v>0</v>
      </c>
      <c r="F29" s="129">
        <f>'P&amp;L - Inputs'!N182</f>
        <v>0</v>
      </c>
      <c r="G29" s="129">
        <f>'P&amp;L - Inputs'!O182</f>
        <v>0</v>
      </c>
      <c r="H29" s="129">
        <f>'P&amp;L - Inputs'!P182</f>
        <v>0</v>
      </c>
      <c r="I29" s="129">
        <f>'P&amp;L - Inputs'!Q182</f>
        <v>0</v>
      </c>
      <c r="J29" s="129">
        <f>'P&amp;L - Inputs'!R182</f>
        <v>0</v>
      </c>
      <c r="K29" s="129">
        <f>'P&amp;L - Inputs'!S182</f>
        <v>0</v>
      </c>
      <c r="L29" s="129">
        <f>'P&amp;L - Inputs'!T182</f>
        <v>0</v>
      </c>
      <c r="M29" s="129">
        <f>'P&amp;L - Inputs'!U182</f>
        <v>0</v>
      </c>
      <c r="N29" s="129">
        <f>'P&amp;L - Inputs'!V182</f>
        <v>0</v>
      </c>
      <c r="O29" s="129">
        <f>'P&amp;L - Inputs'!W182</f>
        <v>0</v>
      </c>
      <c r="P29" s="129">
        <f>'P&amp;L - Inputs'!X182</f>
        <v>0</v>
      </c>
      <c r="Q29" s="129">
        <f>'P&amp;L - Inputs'!Y182</f>
        <v>0</v>
      </c>
      <c r="R29" s="129">
        <f>'P&amp;L - Inputs'!Z182</f>
        <v>0</v>
      </c>
      <c r="S29" s="129">
        <f>'P&amp;L - Inputs'!AA182</f>
        <v>0</v>
      </c>
      <c r="T29" s="129">
        <f>'P&amp;L - Inputs'!AB182</f>
        <v>0</v>
      </c>
      <c r="U29" s="129">
        <f>'P&amp;L - Inputs'!AC182</f>
        <v>0</v>
      </c>
      <c r="V29" s="129">
        <f>'P&amp;L - Inputs'!AD182</f>
        <v>0</v>
      </c>
      <c r="W29" s="129">
        <f>'P&amp;L - Inputs'!AE182</f>
        <v>0</v>
      </c>
      <c r="X29" s="129">
        <f>'P&amp;L - Inputs'!AF182</f>
        <v>0</v>
      </c>
      <c r="Y29" s="129">
        <f>'P&amp;L - Inputs'!AG182</f>
        <v>0</v>
      </c>
      <c r="Z29" s="129">
        <f>'P&amp;L - Inputs'!AH182</f>
        <v>0</v>
      </c>
      <c r="AA29" s="129">
        <f>'P&amp;L - Inputs'!AI182</f>
        <v>0</v>
      </c>
      <c r="AB29" s="129">
        <f>'P&amp;L - Inputs'!AJ182</f>
        <v>0</v>
      </c>
      <c r="AC29" s="129">
        <f>'P&amp;L - Inputs'!AK182</f>
        <v>0</v>
      </c>
      <c r="AD29" s="129">
        <f>'P&amp;L - Inputs'!AL182</f>
        <v>0</v>
      </c>
      <c r="AE29" s="129">
        <f>'P&amp;L - Inputs'!AM182</f>
        <v>0</v>
      </c>
      <c r="AF29" s="129">
        <f>'P&amp;L - Inputs'!AN182</f>
        <v>0</v>
      </c>
      <c r="AG29" s="129">
        <f>'P&amp;L - Inputs'!AO182</f>
        <v>0</v>
      </c>
      <c r="AH29" s="129">
        <f>'P&amp;L - Inputs'!AP182</f>
        <v>0</v>
      </c>
      <c r="AI29" s="129">
        <f>'P&amp;L - Inputs'!AQ182</f>
        <v>0</v>
      </c>
      <c r="AJ29" s="129">
        <f>'P&amp;L - Inputs'!AR182</f>
        <v>0</v>
      </c>
      <c r="AK29" s="129">
        <f>'P&amp;L - Inputs'!AS182</f>
        <v>0</v>
      </c>
      <c r="AL29" s="129">
        <f>'P&amp;L - Inputs'!AT182</f>
        <v>0</v>
      </c>
      <c r="AM29" s="129">
        <f>'P&amp;L - Inputs'!AU182</f>
        <v>0</v>
      </c>
      <c r="AN29" s="129">
        <f>'P&amp;L - Inputs'!AV182</f>
        <v>0</v>
      </c>
      <c r="AO29" s="129">
        <f>'P&amp;L - Inputs'!AW182</f>
        <v>0</v>
      </c>
      <c r="AP29" s="129">
        <f>'P&amp;L - Inputs'!AX182</f>
        <v>0</v>
      </c>
      <c r="AQ29" s="129">
        <f>'P&amp;L - Inputs'!AY182</f>
        <v>0</v>
      </c>
      <c r="AR29" s="129">
        <f>'P&amp;L - Inputs'!AZ182</f>
        <v>0</v>
      </c>
      <c r="AS29" s="129">
        <f>'P&amp;L - Inputs'!BA182</f>
        <v>0</v>
      </c>
      <c r="AT29" s="129">
        <f>'P&amp;L - Inputs'!BB182</f>
        <v>0</v>
      </c>
      <c r="AU29" s="129">
        <f>'P&amp;L - Inputs'!BC182</f>
        <v>0</v>
      </c>
      <c r="AV29" s="129">
        <f>'P&amp;L - Inputs'!BD182</f>
        <v>0</v>
      </c>
      <c r="AW29" s="129">
        <f>'P&amp;L - Inputs'!BE182</f>
        <v>0</v>
      </c>
      <c r="AX29" s="129">
        <f>'P&amp;L - Inputs'!BF182</f>
        <v>0</v>
      </c>
      <c r="AY29" s="129">
        <f>'P&amp;L - Inputs'!BG182</f>
        <v>0</v>
      </c>
      <c r="AZ29" s="129">
        <f>'P&amp;L - Inputs'!BH182</f>
        <v>0</v>
      </c>
      <c r="BA29" s="129">
        <f>'P&amp;L - Inputs'!BI182</f>
        <v>240</v>
      </c>
      <c r="BB29" s="129">
        <f>'P&amp;L - Inputs'!BJ182</f>
        <v>160</v>
      </c>
      <c r="BC29" s="129">
        <f>'P&amp;L - Inputs'!BK182</f>
        <v>0</v>
      </c>
      <c r="BD29" s="129">
        <f>'P&amp;L - Inputs'!BL182</f>
        <v>0</v>
      </c>
      <c r="BE29" s="129">
        <f>'P&amp;L - Inputs'!BM182</f>
        <v>0</v>
      </c>
      <c r="BF29" s="129">
        <f>'P&amp;L - Inputs'!BN182</f>
        <v>0</v>
      </c>
      <c r="BG29" s="129">
        <f>'P&amp;L - Inputs'!BO182</f>
        <v>0</v>
      </c>
      <c r="BH29" s="129">
        <f>'P&amp;L - Inputs'!BP182</f>
        <v>0</v>
      </c>
      <c r="BI29" s="129">
        <f>'P&amp;L - Inputs'!BQ182</f>
        <v>0</v>
      </c>
      <c r="BJ29" s="129">
        <f>'P&amp;L - Inputs'!BR182</f>
        <v>0</v>
      </c>
      <c r="BK29" s="129">
        <f>'P&amp;L - Inputs'!BS182</f>
        <v>0</v>
      </c>
      <c r="BL29" s="129">
        <f>'P&amp;L - Inputs'!BT182</f>
        <v>0</v>
      </c>
      <c r="BM29" s="129">
        <f>'P&amp;L - Inputs'!BU182</f>
        <v>0</v>
      </c>
      <c r="BN29" s="129">
        <f>'P&amp;L - Inputs'!BV182</f>
        <v>0</v>
      </c>
      <c r="BO29" s="129">
        <f>'P&amp;L - Inputs'!BW182</f>
        <v>0</v>
      </c>
      <c r="BP29" s="129">
        <f>'P&amp;L - Inputs'!BX182</f>
        <v>0</v>
      </c>
      <c r="BQ29" s="129">
        <f>'P&amp;L - Inputs'!BY182</f>
        <v>0</v>
      </c>
      <c r="BR29" s="129">
        <f>'P&amp;L - Inputs'!BZ182</f>
        <v>0</v>
      </c>
      <c r="BS29" s="129">
        <f>'P&amp;L - Inputs'!CA182</f>
        <v>0</v>
      </c>
      <c r="BT29" s="129">
        <f>'P&amp;L - Inputs'!CB182</f>
        <v>0</v>
      </c>
      <c r="BU29" s="129">
        <f>'P&amp;L - Inputs'!CC182</f>
        <v>0</v>
      </c>
      <c r="BV29" s="129">
        <f>'P&amp;L - Inputs'!CD182</f>
        <v>0</v>
      </c>
      <c r="BW29" s="129">
        <f>'P&amp;L - Inputs'!CE182</f>
        <v>0</v>
      </c>
      <c r="BX29" s="129">
        <f>'P&amp;L - Inputs'!CF182</f>
        <v>0</v>
      </c>
      <c r="BY29" s="129">
        <f>'P&amp;L - Inputs'!CG182</f>
        <v>0</v>
      </c>
      <c r="BZ29" s="129">
        <f>'P&amp;L - Inputs'!CH182</f>
        <v>0</v>
      </c>
      <c r="CA29" s="129">
        <f>'P&amp;L - Inputs'!CI182</f>
        <v>0</v>
      </c>
      <c r="CB29" s="129">
        <f>'P&amp;L - Inputs'!CJ182</f>
        <v>0</v>
      </c>
      <c r="CC29" s="129">
        <f>'P&amp;L - Inputs'!CK182</f>
        <v>0</v>
      </c>
      <c r="CD29" s="129">
        <f>'P&amp;L - Inputs'!CL182</f>
        <v>0</v>
      </c>
      <c r="CE29" s="129">
        <f>'P&amp;L - Inputs'!CM182</f>
        <v>0</v>
      </c>
      <c r="CF29" s="129">
        <f>'P&amp;L - Inputs'!CN182</f>
        <v>0</v>
      </c>
      <c r="CG29" s="129">
        <f>'P&amp;L - Inputs'!CO182</f>
        <v>0</v>
      </c>
      <c r="CH29" s="129">
        <f>'P&amp;L - Inputs'!CP182</f>
        <v>0</v>
      </c>
      <c r="CI29" s="129">
        <f>'P&amp;L - Inputs'!CQ182</f>
        <v>0</v>
      </c>
      <c r="CJ29" s="129">
        <f>'P&amp;L - Inputs'!CR182</f>
        <v>0</v>
      </c>
      <c r="CK29" s="129">
        <f>'P&amp;L - Inputs'!CS182</f>
        <v>0</v>
      </c>
      <c r="CL29" s="129">
        <f>'P&amp;L - Inputs'!CT182</f>
        <v>0</v>
      </c>
      <c r="CM29" s="129">
        <f>'P&amp;L - Inputs'!CU182</f>
        <v>0</v>
      </c>
      <c r="CN29" s="129">
        <f>'P&amp;L - Inputs'!CV182</f>
        <v>0</v>
      </c>
      <c r="CO29" s="129">
        <f>'P&amp;L - Inputs'!CW182</f>
        <v>0</v>
      </c>
      <c r="CP29" s="129">
        <f>'P&amp;L - Inputs'!CX182</f>
        <v>0</v>
      </c>
      <c r="CQ29" s="129">
        <f>'P&amp;L - Inputs'!CY182</f>
        <v>0</v>
      </c>
      <c r="CR29" s="129">
        <f>'P&amp;L - Inputs'!CZ182</f>
        <v>0</v>
      </c>
      <c r="CS29" s="129">
        <f>'P&amp;L - Inputs'!DA182</f>
        <v>0</v>
      </c>
      <c r="CT29" s="129">
        <f>'P&amp;L - Inputs'!DB182</f>
        <v>0</v>
      </c>
      <c r="CU29" s="129">
        <f>'P&amp;L - Inputs'!DC182</f>
        <v>0</v>
      </c>
      <c r="CV29" s="129">
        <f>'P&amp;L - Inputs'!DD182</f>
        <v>0</v>
      </c>
      <c r="CW29" s="129">
        <f>'P&amp;L - Inputs'!DE182</f>
        <v>0</v>
      </c>
      <c r="CX29" s="129">
        <f>'P&amp;L - Inputs'!DF182</f>
        <v>0</v>
      </c>
      <c r="CY29" s="129">
        <f>'P&amp;L - Inputs'!DG182</f>
        <v>0</v>
      </c>
      <c r="CZ29" s="129">
        <f>'P&amp;L - Inputs'!DH182</f>
        <v>0</v>
      </c>
      <c r="DA29" s="129">
        <f>'P&amp;L - Inputs'!DI182</f>
        <v>0</v>
      </c>
      <c r="DB29" s="129">
        <f>'P&amp;L - Inputs'!DJ182</f>
        <v>0</v>
      </c>
      <c r="DC29" s="129">
        <f>'P&amp;L - Inputs'!DK182</f>
        <v>0</v>
      </c>
      <c r="DD29" s="129">
        <f>'P&amp;L - Inputs'!DL182</f>
        <v>0</v>
      </c>
      <c r="DE29" s="129">
        <f>'P&amp;L - Inputs'!DM182</f>
        <v>0</v>
      </c>
      <c r="DF29" s="129">
        <f>'P&amp;L - Inputs'!DN182</f>
        <v>0</v>
      </c>
      <c r="DG29" s="129">
        <f>'P&amp;L - Inputs'!DO182</f>
        <v>0</v>
      </c>
      <c r="DH29" s="129">
        <f>'P&amp;L - Inputs'!DP182</f>
        <v>0</v>
      </c>
      <c r="DI29" s="129">
        <f>'P&amp;L - Inputs'!DQ182</f>
        <v>0</v>
      </c>
      <c r="DJ29" s="129">
        <f>'P&amp;L - Inputs'!DR182</f>
        <v>0</v>
      </c>
      <c r="DK29" s="129">
        <f>'P&amp;L - Inputs'!DS182</f>
        <v>0</v>
      </c>
      <c r="DL29" s="129">
        <f>'P&amp;L - Inputs'!DT182</f>
        <v>0</v>
      </c>
      <c r="DM29" s="129">
        <f>'P&amp;L - Inputs'!DU182</f>
        <v>0</v>
      </c>
      <c r="DN29" s="129">
        <f>'P&amp;L - Inputs'!DV182</f>
        <v>0</v>
      </c>
      <c r="DO29" s="129">
        <f>'P&amp;L - Inputs'!DW182</f>
        <v>0</v>
      </c>
      <c r="DP29" s="129">
        <f>'P&amp;L - Inputs'!DX182</f>
        <v>0</v>
      </c>
      <c r="DQ29" s="129">
        <f>'P&amp;L - Inputs'!DY182</f>
        <v>0</v>
      </c>
      <c r="DR29" s="129">
        <f>'P&amp;L - Inputs'!DZ182</f>
        <v>0</v>
      </c>
      <c r="DS29" s="129">
        <f>'P&amp;L - Inputs'!EA182</f>
        <v>0</v>
      </c>
      <c r="DT29" s="129">
        <f>'P&amp;L - Inputs'!EB182</f>
        <v>0</v>
      </c>
      <c r="DU29" s="129">
        <f>'P&amp;L - Inputs'!EC182</f>
        <v>0</v>
      </c>
      <c r="DW29" s="129">
        <f t="shared" si="23"/>
        <v>160</v>
      </c>
      <c r="DX29" s="663">
        <f t="shared" si="24"/>
        <v>0</v>
      </c>
      <c r="DY29" s="129">
        <f t="shared" si="25"/>
        <v>0</v>
      </c>
      <c r="DZ29" s="129">
        <f t="shared" si="26"/>
        <v>0</v>
      </c>
      <c r="EA29" s="129">
        <f t="shared" si="27"/>
        <v>0</v>
      </c>
      <c r="EB29" s="129">
        <f t="shared" si="28"/>
        <v>0</v>
      </c>
      <c r="EC29" s="129">
        <f t="shared" si="29"/>
        <v>0</v>
      </c>
      <c r="ED29" s="129">
        <f t="shared" si="30"/>
        <v>0</v>
      </c>
      <c r="EE29" s="129">
        <f t="shared" si="31"/>
        <v>0</v>
      </c>
      <c r="EF29" s="129">
        <f t="shared" si="32"/>
        <v>0</v>
      </c>
      <c r="EG29" s="129">
        <f t="shared" si="33"/>
        <v>0</v>
      </c>
      <c r="EH29" s="129">
        <f t="shared" si="34"/>
        <v>0</v>
      </c>
      <c r="EI29" s="129">
        <f t="shared" si="35"/>
        <v>0</v>
      </c>
      <c r="EJ29" s="129">
        <f t="shared" si="36"/>
        <v>0</v>
      </c>
      <c r="EK29" s="129">
        <f t="shared" si="37"/>
        <v>0</v>
      </c>
      <c r="EL29" s="129">
        <f t="shared" si="38"/>
        <v>0</v>
      </c>
      <c r="EM29" s="129">
        <f t="shared" si="39"/>
        <v>0</v>
      </c>
      <c r="EN29" s="129">
        <f t="shared" si="40"/>
        <v>0</v>
      </c>
      <c r="EO29" s="644">
        <f t="shared" si="41"/>
        <v>0</v>
      </c>
      <c r="EP29" s="129">
        <f t="shared" si="42"/>
        <v>0</v>
      </c>
      <c r="EQ29" s="129">
        <f t="shared" si="5"/>
        <v>0</v>
      </c>
      <c r="ER29" s="129">
        <f t="shared" si="6"/>
        <v>0</v>
      </c>
      <c r="ES29" s="129">
        <f t="shared" si="7"/>
        <v>0</v>
      </c>
      <c r="ET29" s="129">
        <f t="shared" si="8"/>
        <v>0</v>
      </c>
      <c r="EV29" s="129">
        <f t="shared" si="9"/>
        <v>160</v>
      </c>
      <c r="EW29" s="129">
        <f t="shared" si="10"/>
        <v>0</v>
      </c>
      <c r="EX29" s="129">
        <f t="shared" si="11"/>
        <v>0</v>
      </c>
      <c r="EY29" s="129">
        <f t="shared" si="12"/>
        <v>0</v>
      </c>
      <c r="EZ29" s="129">
        <f t="shared" si="13"/>
        <v>0</v>
      </c>
      <c r="FA29" s="663">
        <f t="shared" si="17"/>
        <v>0</v>
      </c>
    </row>
    <row r="30" spans="2:157" x14ac:dyDescent="0.2">
      <c r="B30" s="117" t="s">
        <v>136</v>
      </c>
      <c r="C30" s="129">
        <f>'P&amp;L - Inputs'!K183</f>
        <v>0</v>
      </c>
      <c r="D30" s="129">
        <f>'P&amp;L - Inputs'!L183</f>
        <v>0</v>
      </c>
      <c r="E30" s="129">
        <f>'P&amp;L - Inputs'!M183</f>
        <v>0</v>
      </c>
      <c r="F30" s="129">
        <f>'P&amp;L - Inputs'!N183</f>
        <v>0</v>
      </c>
      <c r="G30" s="129">
        <f>'P&amp;L - Inputs'!O183</f>
        <v>0</v>
      </c>
      <c r="H30" s="129">
        <f>'P&amp;L - Inputs'!P183</f>
        <v>0</v>
      </c>
      <c r="I30" s="129">
        <f>'P&amp;L - Inputs'!Q183</f>
        <v>0</v>
      </c>
      <c r="J30" s="129">
        <f>'P&amp;L - Inputs'!R183</f>
        <v>0</v>
      </c>
      <c r="K30" s="129">
        <f>'P&amp;L - Inputs'!S183</f>
        <v>0</v>
      </c>
      <c r="L30" s="129">
        <f>'P&amp;L - Inputs'!T183</f>
        <v>0</v>
      </c>
      <c r="M30" s="129">
        <f>'P&amp;L - Inputs'!U183</f>
        <v>0</v>
      </c>
      <c r="N30" s="129">
        <f>'P&amp;L - Inputs'!V183</f>
        <v>0</v>
      </c>
      <c r="O30" s="129">
        <f>'P&amp;L - Inputs'!W183</f>
        <v>0</v>
      </c>
      <c r="P30" s="129">
        <f>'P&amp;L - Inputs'!X183</f>
        <v>0</v>
      </c>
      <c r="Q30" s="129">
        <f>'P&amp;L - Inputs'!Y183</f>
        <v>0</v>
      </c>
      <c r="R30" s="129">
        <f>'P&amp;L - Inputs'!Z183</f>
        <v>0</v>
      </c>
      <c r="S30" s="129">
        <f>'P&amp;L - Inputs'!AA183</f>
        <v>0</v>
      </c>
      <c r="T30" s="129">
        <f>'P&amp;L - Inputs'!AB183</f>
        <v>0</v>
      </c>
      <c r="U30" s="129">
        <f>'P&amp;L - Inputs'!AC183</f>
        <v>0</v>
      </c>
      <c r="V30" s="129">
        <f>'P&amp;L - Inputs'!AD183</f>
        <v>0</v>
      </c>
      <c r="W30" s="129">
        <f>'P&amp;L - Inputs'!AE183</f>
        <v>0</v>
      </c>
      <c r="X30" s="129">
        <f>'P&amp;L - Inputs'!AF183</f>
        <v>0</v>
      </c>
      <c r="Y30" s="129">
        <f>'P&amp;L - Inputs'!AG183</f>
        <v>0</v>
      </c>
      <c r="Z30" s="129">
        <f>'P&amp;L - Inputs'!AH183</f>
        <v>0</v>
      </c>
      <c r="AA30" s="129">
        <f>'P&amp;L - Inputs'!AI183</f>
        <v>0</v>
      </c>
      <c r="AB30" s="129">
        <f>'P&amp;L - Inputs'!AJ183</f>
        <v>0</v>
      </c>
      <c r="AC30" s="129">
        <f>'P&amp;L - Inputs'!AK183</f>
        <v>0</v>
      </c>
      <c r="AD30" s="129">
        <f>'P&amp;L - Inputs'!AL183</f>
        <v>0</v>
      </c>
      <c r="AE30" s="129">
        <f>'P&amp;L - Inputs'!AM183</f>
        <v>0</v>
      </c>
      <c r="AF30" s="129">
        <f>'P&amp;L - Inputs'!AN183</f>
        <v>0</v>
      </c>
      <c r="AG30" s="129">
        <f>'P&amp;L - Inputs'!AO183</f>
        <v>0</v>
      </c>
      <c r="AH30" s="129">
        <f>'P&amp;L - Inputs'!AP183</f>
        <v>0</v>
      </c>
      <c r="AI30" s="129">
        <f>'P&amp;L - Inputs'!AQ183</f>
        <v>0</v>
      </c>
      <c r="AJ30" s="129">
        <f>'P&amp;L - Inputs'!AR183</f>
        <v>0</v>
      </c>
      <c r="AK30" s="129">
        <f>'P&amp;L - Inputs'!AS183</f>
        <v>0</v>
      </c>
      <c r="AL30" s="129">
        <f>'P&amp;L - Inputs'!AT183</f>
        <v>0</v>
      </c>
      <c r="AM30" s="129">
        <f>'P&amp;L - Inputs'!AU183</f>
        <v>0</v>
      </c>
      <c r="AN30" s="129">
        <f>'P&amp;L - Inputs'!AV183</f>
        <v>0</v>
      </c>
      <c r="AO30" s="129">
        <f>'P&amp;L - Inputs'!AW183</f>
        <v>0</v>
      </c>
      <c r="AP30" s="129">
        <f>'P&amp;L - Inputs'!AX183</f>
        <v>0</v>
      </c>
      <c r="AQ30" s="129">
        <f>'P&amp;L - Inputs'!AY183</f>
        <v>0</v>
      </c>
      <c r="AR30" s="129">
        <f>'P&amp;L - Inputs'!AZ183</f>
        <v>0</v>
      </c>
      <c r="AS30" s="129">
        <f>'P&amp;L - Inputs'!BA183</f>
        <v>0</v>
      </c>
      <c r="AT30" s="129">
        <f>'P&amp;L - Inputs'!BB183</f>
        <v>0</v>
      </c>
      <c r="AU30" s="129">
        <f>'P&amp;L - Inputs'!BC183</f>
        <v>0</v>
      </c>
      <c r="AV30" s="129">
        <f>'P&amp;L - Inputs'!BD183</f>
        <v>0</v>
      </c>
      <c r="AW30" s="129">
        <f>'P&amp;L - Inputs'!BE183</f>
        <v>0</v>
      </c>
      <c r="AX30" s="129">
        <f>'P&amp;L - Inputs'!BF183</f>
        <v>0</v>
      </c>
      <c r="AY30" s="129">
        <f>'P&amp;L - Inputs'!BG183</f>
        <v>0</v>
      </c>
      <c r="AZ30" s="129">
        <f>'P&amp;L - Inputs'!BH183</f>
        <v>0</v>
      </c>
      <c r="BA30" s="129">
        <f>'P&amp;L - Inputs'!BI183</f>
        <v>404</v>
      </c>
      <c r="BB30" s="129">
        <f>'P&amp;L - Inputs'!BJ183</f>
        <v>239</v>
      </c>
      <c r="BC30" s="129">
        <f>'P&amp;L - Inputs'!BK183</f>
        <v>114</v>
      </c>
      <c r="BD30" s="129">
        <f>'P&amp;L - Inputs'!BL183</f>
        <v>16</v>
      </c>
      <c r="BE30" s="129">
        <f>'P&amp;L - Inputs'!BM183</f>
        <v>0</v>
      </c>
      <c r="BF30" s="129">
        <f>'P&amp;L - Inputs'!BN183</f>
        <v>0</v>
      </c>
      <c r="BG30" s="129">
        <f>'P&amp;L - Inputs'!BO183</f>
        <v>0</v>
      </c>
      <c r="BH30" s="129">
        <f>'P&amp;L - Inputs'!BP183</f>
        <v>0</v>
      </c>
      <c r="BI30" s="129">
        <f>'P&amp;L - Inputs'!BQ183</f>
        <v>0</v>
      </c>
      <c r="BJ30" s="129">
        <f>'P&amp;L - Inputs'!BR183</f>
        <v>0</v>
      </c>
      <c r="BK30" s="129">
        <f>'P&amp;L - Inputs'!BS183</f>
        <v>0</v>
      </c>
      <c r="BL30" s="129">
        <f>'P&amp;L - Inputs'!BT183</f>
        <v>0</v>
      </c>
      <c r="BM30" s="129">
        <f>'P&amp;L - Inputs'!BU183</f>
        <v>0</v>
      </c>
      <c r="BN30" s="129">
        <f>'P&amp;L - Inputs'!BV183</f>
        <v>0</v>
      </c>
      <c r="BO30" s="129">
        <f>'P&amp;L - Inputs'!BW183</f>
        <v>0</v>
      </c>
      <c r="BP30" s="129">
        <f>'P&amp;L - Inputs'!BX183</f>
        <v>0</v>
      </c>
      <c r="BQ30" s="129">
        <f>'P&amp;L - Inputs'!BY183</f>
        <v>0</v>
      </c>
      <c r="BR30" s="129">
        <f>'P&amp;L - Inputs'!BZ183</f>
        <v>0</v>
      </c>
      <c r="BS30" s="129">
        <f>'P&amp;L - Inputs'!CA183</f>
        <v>0</v>
      </c>
      <c r="BT30" s="129">
        <f>'P&amp;L - Inputs'!CB183</f>
        <v>0</v>
      </c>
      <c r="BU30" s="129">
        <f>'P&amp;L - Inputs'!CC183</f>
        <v>0</v>
      </c>
      <c r="BV30" s="129">
        <f>'P&amp;L - Inputs'!CD183</f>
        <v>0</v>
      </c>
      <c r="BW30" s="129">
        <f>'P&amp;L - Inputs'!CE183</f>
        <v>0</v>
      </c>
      <c r="BX30" s="129">
        <f>'P&amp;L - Inputs'!CF183</f>
        <v>0</v>
      </c>
      <c r="BY30" s="129">
        <f>'P&amp;L - Inputs'!CG183</f>
        <v>0</v>
      </c>
      <c r="BZ30" s="129">
        <f>'P&amp;L - Inputs'!CH183</f>
        <v>0</v>
      </c>
      <c r="CA30" s="129">
        <f>'P&amp;L - Inputs'!CI183</f>
        <v>0</v>
      </c>
      <c r="CB30" s="129">
        <f>'P&amp;L - Inputs'!CJ183</f>
        <v>0</v>
      </c>
      <c r="CC30" s="129">
        <f>'P&amp;L - Inputs'!CK183</f>
        <v>0</v>
      </c>
      <c r="CD30" s="129">
        <f>'P&amp;L - Inputs'!CL183</f>
        <v>0</v>
      </c>
      <c r="CE30" s="129">
        <f>'P&amp;L - Inputs'!CM183</f>
        <v>0</v>
      </c>
      <c r="CF30" s="129">
        <f>'P&amp;L - Inputs'!CN183</f>
        <v>0</v>
      </c>
      <c r="CG30" s="129">
        <f>'P&amp;L - Inputs'!CO183</f>
        <v>0</v>
      </c>
      <c r="CH30" s="129">
        <f>'P&amp;L - Inputs'!CP183</f>
        <v>0</v>
      </c>
      <c r="CI30" s="129">
        <f>'P&amp;L - Inputs'!CQ183</f>
        <v>0</v>
      </c>
      <c r="CJ30" s="129">
        <f>'P&amp;L - Inputs'!CR183</f>
        <v>0</v>
      </c>
      <c r="CK30" s="129">
        <f>'P&amp;L - Inputs'!CS183</f>
        <v>0</v>
      </c>
      <c r="CL30" s="129">
        <f>'P&amp;L - Inputs'!CT183</f>
        <v>0</v>
      </c>
      <c r="CM30" s="129">
        <f>'P&amp;L - Inputs'!CU183</f>
        <v>0</v>
      </c>
      <c r="CN30" s="129">
        <f>'P&amp;L - Inputs'!CV183</f>
        <v>0</v>
      </c>
      <c r="CO30" s="129">
        <f>'P&amp;L - Inputs'!CW183</f>
        <v>0</v>
      </c>
      <c r="CP30" s="129">
        <f>'P&amp;L - Inputs'!CX183</f>
        <v>0</v>
      </c>
      <c r="CQ30" s="129">
        <f>'P&amp;L - Inputs'!CY183</f>
        <v>0</v>
      </c>
      <c r="CR30" s="129">
        <f>'P&amp;L - Inputs'!CZ183</f>
        <v>0</v>
      </c>
      <c r="CS30" s="129">
        <f>'P&amp;L - Inputs'!DA183</f>
        <v>0</v>
      </c>
      <c r="CT30" s="129">
        <f>'P&amp;L - Inputs'!DB183</f>
        <v>0</v>
      </c>
      <c r="CU30" s="129">
        <f>'P&amp;L - Inputs'!DC183</f>
        <v>0</v>
      </c>
      <c r="CV30" s="129">
        <f>'P&amp;L - Inputs'!DD183</f>
        <v>0</v>
      </c>
      <c r="CW30" s="129">
        <f>'P&amp;L - Inputs'!DE183</f>
        <v>0</v>
      </c>
      <c r="CX30" s="129">
        <f>'P&amp;L - Inputs'!DF183</f>
        <v>0</v>
      </c>
      <c r="CY30" s="129">
        <f>'P&amp;L - Inputs'!DG183</f>
        <v>0</v>
      </c>
      <c r="CZ30" s="129">
        <f>'P&amp;L - Inputs'!DH183</f>
        <v>0</v>
      </c>
      <c r="DA30" s="129">
        <f>'P&amp;L - Inputs'!DI183</f>
        <v>0</v>
      </c>
      <c r="DB30" s="129">
        <f>'P&amp;L - Inputs'!DJ183</f>
        <v>0</v>
      </c>
      <c r="DC30" s="129">
        <f>'P&amp;L - Inputs'!DK183</f>
        <v>0</v>
      </c>
      <c r="DD30" s="129">
        <f>'P&amp;L - Inputs'!DL183</f>
        <v>0</v>
      </c>
      <c r="DE30" s="129">
        <f>'P&amp;L - Inputs'!DM183</f>
        <v>0</v>
      </c>
      <c r="DF30" s="129">
        <f>'P&amp;L - Inputs'!DN183</f>
        <v>0</v>
      </c>
      <c r="DG30" s="129">
        <f>'P&amp;L - Inputs'!DO183</f>
        <v>0</v>
      </c>
      <c r="DH30" s="129">
        <f>'P&amp;L - Inputs'!DP183</f>
        <v>0</v>
      </c>
      <c r="DI30" s="129">
        <f>'P&amp;L - Inputs'!DQ183</f>
        <v>0</v>
      </c>
      <c r="DJ30" s="129">
        <f>'P&amp;L - Inputs'!DR183</f>
        <v>0</v>
      </c>
      <c r="DK30" s="129">
        <f>'P&amp;L - Inputs'!DS183</f>
        <v>0</v>
      </c>
      <c r="DL30" s="129">
        <f>'P&amp;L - Inputs'!DT183</f>
        <v>0</v>
      </c>
      <c r="DM30" s="129">
        <f>'P&amp;L - Inputs'!DU183</f>
        <v>0</v>
      </c>
      <c r="DN30" s="129">
        <f>'P&amp;L - Inputs'!DV183</f>
        <v>0</v>
      </c>
      <c r="DO30" s="129">
        <f>'P&amp;L - Inputs'!DW183</f>
        <v>0</v>
      </c>
      <c r="DP30" s="129">
        <f>'P&amp;L - Inputs'!DX183</f>
        <v>0</v>
      </c>
      <c r="DQ30" s="129">
        <f>'P&amp;L - Inputs'!DY183</f>
        <v>0</v>
      </c>
      <c r="DR30" s="129">
        <f>'P&amp;L - Inputs'!DZ183</f>
        <v>0</v>
      </c>
      <c r="DS30" s="129">
        <f>'P&amp;L - Inputs'!EA183</f>
        <v>0</v>
      </c>
      <c r="DT30" s="129">
        <f>'P&amp;L - Inputs'!EB183</f>
        <v>0</v>
      </c>
      <c r="DU30" s="129">
        <f>'P&amp;L - Inputs'!EC183</f>
        <v>0</v>
      </c>
      <c r="DW30" s="129">
        <f t="shared" si="23"/>
        <v>369</v>
      </c>
      <c r="DX30" s="663">
        <f t="shared" si="24"/>
        <v>0</v>
      </c>
      <c r="DY30" s="129">
        <f t="shared" si="25"/>
        <v>0</v>
      </c>
      <c r="DZ30" s="129">
        <f t="shared" si="26"/>
        <v>0</v>
      </c>
      <c r="EA30" s="129">
        <f t="shared" si="27"/>
        <v>0</v>
      </c>
      <c r="EB30" s="129">
        <f t="shared" si="28"/>
        <v>0</v>
      </c>
      <c r="EC30" s="129">
        <f t="shared" si="29"/>
        <v>0</v>
      </c>
      <c r="ED30" s="129">
        <f t="shared" si="30"/>
        <v>0</v>
      </c>
      <c r="EE30" s="129">
        <f t="shared" si="31"/>
        <v>0</v>
      </c>
      <c r="EF30" s="129">
        <f t="shared" si="32"/>
        <v>0</v>
      </c>
      <c r="EG30" s="129">
        <f t="shared" si="33"/>
        <v>0</v>
      </c>
      <c r="EH30" s="129">
        <f t="shared" si="34"/>
        <v>0</v>
      </c>
      <c r="EI30" s="129">
        <f t="shared" si="35"/>
        <v>0</v>
      </c>
      <c r="EJ30" s="129">
        <f t="shared" si="36"/>
        <v>0</v>
      </c>
      <c r="EK30" s="129">
        <f t="shared" si="37"/>
        <v>0</v>
      </c>
      <c r="EL30" s="129">
        <f t="shared" si="38"/>
        <v>0</v>
      </c>
      <c r="EM30" s="129">
        <f t="shared" si="39"/>
        <v>0</v>
      </c>
      <c r="EN30" s="129">
        <f t="shared" si="40"/>
        <v>0</v>
      </c>
      <c r="EO30" s="644">
        <f t="shared" si="41"/>
        <v>0</v>
      </c>
      <c r="EP30" s="129">
        <f t="shared" si="42"/>
        <v>0</v>
      </c>
      <c r="EQ30" s="129">
        <f t="shared" si="5"/>
        <v>0</v>
      </c>
      <c r="ER30" s="129">
        <f t="shared" si="6"/>
        <v>0</v>
      </c>
      <c r="ES30" s="129">
        <f t="shared" si="7"/>
        <v>0</v>
      </c>
      <c r="ET30" s="129">
        <f t="shared" si="8"/>
        <v>0</v>
      </c>
      <c r="EV30" s="129">
        <f t="shared" si="9"/>
        <v>369</v>
      </c>
      <c r="EW30" s="129">
        <f t="shared" si="10"/>
        <v>0</v>
      </c>
      <c r="EX30" s="129">
        <f t="shared" si="11"/>
        <v>0</v>
      </c>
      <c r="EY30" s="129">
        <f t="shared" si="12"/>
        <v>0</v>
      </c>
      <c r="EZ30" s="129">
        <f t="shared" si="13"/>
        <v>0</v>
      </c>
      <c r="FA30" s="663">
        <f t="shared" si="17"/>
        <v>0</v>
      </c>
    </row>
    <row r="31" spans="2:157" x14ac:dyDescent="0.2">
      <c r="B31" s="114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115"/>
      <c r="CD31" s="115"/>
      <c r="CE31" s="115"/>
      <c r="CF31" s="115"/>
      <c r="CG31" s="115"/>
      <c r="CH31" s="115"/>
      <c r="CI31" s="115"/>
      <c r="CJ31" s="115"/>
      <c r="CK31" s="115"/>
      <c r="CL31" s="115"/>
      <c r="CM31" s="115"/>
      <c r="CN31" s="115"/>
      <c r="CO31" s="115"/>
      <c r="CP31" s="115"/>
      <c r="CQ31" s="115"/>
      <c r="CR31" s="115"/>
      <c r="CS31" s="115"/>
      <c r="CT31" s="115"/>
      <c r="CU31" s="115"/>
      <c r="CV31" s="115"/>
      <c r="CW31" s="115"/>
      <c r="CX31" s="115"/>
      <c r="CY31" s="115"/>
      <c r="CZ31" s="115"/>
      <c r="DA31" s="115"/>
      <c r="DB31" s="115"/>
      <c r="DC31" s="115"/>
      <c r="DD31" s="115"/>
      <c r="DE31" s="115"/>
      <c r="DF31" s="115"/>
      <c r="DG31" s="115"/>
      <c r="DH31" s="115"/>
      <c r="DI31" s="115"/>
      <c r="DJ31" s="115"/>
      <c r="DK31" s="115"/>
      <c r="DL31" s="115"/>
      <c r="DM31" s="115"/>
      <c r="DN31" s="115"/>
      <c r="DO31" s="115"/>
      <c r="DP31" s="115"/>
      <c r="DQ31" s="115"/>
      <c r="DR31" s="115"/>
      <c r="DS31" s="115"/>
      <c r="DT31" s="115"/>
      <c r="DU31" s="115"/>
      <c r="DW31" s="115"/>
      <c r="DX31" s="664"/>
      <c r="DY31" s="115"/>
      <c r="DZ31" s="115"/>
      <c r="EA31" s="115"/>
      <c r="EB31" s="115"/>
      <c r="EC31" s="115"/>
      <c r="ED31" s="115"/>
      <c r="EE31" s="115"/>
      <c r="EF31" s="115"/>
      <c r="EG31" s="115"/>
      <c r="EH31" s="115"/>
      <c r="EI31" s="115"/>
      <c r="EJ31" s="115"/>
      <c r="EK31" s="115"/>
      <c r="EL31" s="115"/>
      <c r="EM31" s="115"/>
      <c r="EN31" s="115"/>
      <c r="EO31" s="645"/>
      <c r="EP31" s="115"/>
      <c r="EQ31" s="115"/>
      <c r="ER31" s="115"/>
      <c r="ES31" s="115"/>
      <c r="ET31" s="115"/>
      <c r="EV31" s="115"/>
      <c r="EW31" s="115"/>
      <c r="EX31" s="115"/>
      <c r="EY31" s="115"/>
      <c r="EZ31" s="115"/>
      <c r="FA31" s="664"/>
    </row>
    <row r="32" spans="2:157" x14ac:dyDescent="0.2">
      <c r="B32" s="114" t="s">
        <v>137</v>
      </c>
      <c r="C32" s="133">
        <f>IFERROR(C23/C12,0)</f>
        <v>0</v>
      </c>
      <c r="D32" s="133">
        <f t="shared" ref="D32:BO32" si="43">IFERROR(D23/D12,0)</f>
        <v>0</v>
      </c>
      <c r="E32" s="133">
        <f t="shared" si="43"/>
        <v>0</v>
      </c>
      <c r="F32" s="133">
        <f t="shared" si="43"/>
        <v>0</v>
      </c>
      <c r="G32" s="133">
        <f t="shared" si="43"/>
        <v>0</v>
      </c>
      <c r="H32" s="133">
        <f t="shared" si="43"/>
        <v>0</v>
      </c>
      <c r="I32" s="133">
        <f t="shared" si="43"/>
        <v>0</v>
      </c>
      <c r="J32" s="133">
        <f t="shared" si="43"/>
        <v>0</v>
      </c>
      <c r="K32" s="133">
        <f t="shared" si="43"/>
        <v>0</v>
      </c>
      <c r="L32" s="133">
        <f t="shared" si="43"/>
        <v>0</v>
      </c>
      <c r="M32" s="133">
        <f t="shared" si="43"/>
        <v>0</v>
      </c>
      <c r="N32" s="133">
        <f t="shared" si="43"/>
        <v>0</v>
      </c>
      <c r="O32" s="133">
        <f t="shared" si="43"/>
        <v>0</v>
      </c>
      <c r="P32" s="133">
        <f t="shared" si="43"/>
        <v>0</v>
      </c>
      <c r="Q32" s="133">
        <f t="shared" si="43"/>
        <v>0</v>
      </c>
      <c r="R32" s="133">
        <f t="shared" si="43"/>
        <v>0</v>
      </c>
      <c r="S32" s="133">
        <f t="shared" si="43"/>
        <v>0</v>
      </c>
      <c r="T32" s="133">
        <f t="shared" si="43"/>
        <v>5.9701492537313432E-2</v>
      </c>
      <c r="U32" s="133">
        <f t="shared" si="43"/>
        <v>2.6315789473684209E-2</v>
      </c>
      <c r="V32" s="133">
        <f t="shared" si="43"/>
        <v>0.1111111111111111</v>
      </c>
      <c r="W32" s="133">
        <f t="shared" si="43"/>
        <v>5.128205128205128E-2</v>
      </c>
      <c r="X32" s="133">
        <f t="shared" si="43"/>
        <v>1.9801980198019802E-2</v>
      </c>
      <c r="Y32" s="133">
        <f t="shared" si="43"/>
        <v>0</v>
      </c>
      <c r="Z32" s="133">
        <f t="shared" si="43"/>
        <v>3.2000000000000001E-2</v>
      </c>
      <c r="AA32" s="133">
        <f t="shared" si="43"/>
        <v>1.2E-2</v>
      </c>
      <c r="AB32" s="133">
        <f t="shared" si="43"/>
        <v>3.5294117647058823E-2</v>
      </c>
      <c r="AC32" s="133">
        <f t="shared" si="43"/>
        <v>2.4725274725274724E-2</v>
      </c>
      <c r="AD32" s="133">
        <f t="shared" si="43"/>
        <v>9.4339622641509441E-2</v>
      </c>
      <c r="AE32" s="133">
        <f t="shared" si="43"/>
        <v>3.4129692832764506E-2</v>
      </c>
      <c r="AF32" s="133">
        <f t="shared" si="43"/>
        <v>3.0898876404494381E-2</v>
      </c>
      <c r="AG32" s="133">
        <f t="shared" si="43"/>
        <v>9.0464547677261614E-2</v>
      </c>
      <c r="AH32" s="133">
        <f t="shared" si="43"/>
        <v>2.386634844868735E-2</v>
      </c>
      <c r="AI32" s="133">
        <f t="shared" si="43"/>
        <v>1.1600928074245939E-2</v>
      </c>
      <c r="AJ32" s="133">
        <f t="shared" si="43"/>
        <v>0.31034482758620691</v>
      </c>
      <c r="AK32" s="133">
        <f t="shared" si="43"/>
        <v>0.11398354876615746</v>
      </c>
      <c r="AL32" s="133">
        <f t="shared" si="43"/>
        <v>0.15014436958614052</v>
      </c>
      <c r="AM32" s="133">
        <f t="shared" si="43"/>
        <v>0.13027061044682189</v>
      </c>
      <c r="AN32" s="133">
        <f t="shared" si="43"/>
        <v>0.1418481459682166</v>
      </c>
      <c r="AO32" s="133">
        <f t="shared" si="43"/>
        <v>0.47728516694033934</v>
      </c>
      <c r="AP32" s="133">
        <f t="shared" si="43"/>
        <v>0.26899383983572894</v>
      </c>
      <c r="AQ32" s="133">
        <f t="shared" si="43"/>
        <v>0.16002795248078266</v>
      </c>
      <c r="AR32" s="133">
        <f t="shared" si="43"/>
        <v>0.30999296270232229</v>
      </c>
      <c r="AS32" s="133">
        <f t="shared" si="43"/>
        <v>0.39109390125847049</v>
      </c>
      <c r="AT32" s="133">
        <f t="shared" si="43"/>
        <v>0.47562724014336916</v>
      </c>
      <c r="AU32" s="133">
        <f t="shared" si="43"/>
        <v>0.47273893521488136</v>
      </c>
      <c r="AV32" s="133">
        <f t="shared" si="43"/>
        <v>0.33471875865890827</v>
      </c>
      <c r="AW32" s="133">
        <f t="shared" si="43"/>
        <v>0.36656322730799068</v>
      </c>
      <c r="AX32" s="133">
        <f t="shared" si="43"/>
        <v>0.41912019397298234</v>
      </c>
      <c r="AY32" s="133">
        <f t="shared" si="43"/>
        <v>0.32200990799716916</v>
      </c>
      <c r="AZ32" s="133">
        <f t="shared" si="43"/>
        <v>0.27447795823665894</v>
      </c>
      <c r="BA32" s="133">
        <f t="shared" si="43"/>
        <v>0.35210921165908254</v>
      </c>
      <c r="BB32" s="133">
        <f t="shared" si="43"/>
        <v>0.29803729146221786</v>
      </c>
      <c r="BC32" s="133">
        <f t="shared" si="43"/>
        <v>0.29635346324522477</v>
      </c>
      <c r="BD32" s="133">
        <f t="shared" si="43"/>
        <v>0.24002860320991579</v>
      </c>
      <c r="BE32" s="133">
        <f t="shared" si="43"/>
        <v>0.40630639187007311</v>
      </c>
      <c r="BF32" s="133">
        <f t="shared" si="43"/>
        <v>0.29985296820437418</v>
      </c>
      <c r="BG32" s="133">
        <f t="shared" si="43"/>
        <v>0.33793219483469339</v>
      </c>
      <c r="BH32" s="133">
        <f t="shared" si="43"/>
        <v>0.31971616154917437</v>
      </c>
      <c r="BI32" s="133">
        <f t="shared" si="43"/>
        <v>0.29771577495017632</v>
      </c>
      <c r="BJ32" s="133">
        <f t="shared" si="43"/>
        <v>0.27323598845851182</v>
      </c>
      <c r="BK32" s="133">
        <f t="shared" si="43"/>
        <v>0.26129632763580979</v>
      </c>
      <c r="BL32" s="133">
        <f t="shared" si="43"/>
        <v>0.3693078809853898</v>
      </c>
      <c r="BM32" s="133">
        <f t="shared" si="43"/>
        <v>0.22594319626960577</v>
      </c>
      <c r="BN32" s="133">
        <f t="shared" si="43"/>
        <v>0.27086764323480972</v>
      </c>
      <c r="BO32" s="133">
        <f t="shared" si="43"/>
        <v>0.26871591472483886</v>
      </c>
      <c r="BP32" s="133">
        <f t="shared" ref="BP32:DI32" si="44">IFERROR(BP23/BP12,0)</f>
        <v>0.25119365541798172</v>
      </c>
      <c r="BQ32" s="133">
        <f t="shared" si="44"/>
        <v>0.2611797192605661</v>
      </c>
      <c r="BR32" s="133">
        <f t="shared" si="44"/>
        <v>0.28323416741380714</v>
      </c>
      <c r="BS32" s="133">
        <f t="shared" si="44"/>
        <v>0.28312717277063626</v>
      </c>
      <c r="BT32" s="133">
        <f t="shared" si="44"/>
        <v>0.26001669449081805</v>
      </c>
      <c r="BU32" s="133">
        <f t="shared" si="44"/>
        <v>0.27440585009140767</v>
      </c>
      <c r="BV32" s="133">
        <f t="shared" si="44"/>
        <v>0.22122216958787305</v>
      </c>
      <c r="BW32" s="133">
        <f t="shared" si="44"/>
        <v>0.23977171147631163</v>
      </c>
      <c r="BX32" s="133">
        <f t="shared" si="44"/>
        <v>0.24340602284527518</v>
      </c>
      <c r="BY32" s="133">
        <f t="shared" si="44"/>
        <v>0.242509115890715</v>
      </c>
      <c r="BZ32" s="133">
        <f t="shared" si="44"/>
        <v>0.30063233965672992</v>
      </c>
      <c r="CA32" s="133">
        <f t="shared" si="44"/>
        <v>0.28216287111005128</v>
      </c>
      <c r="CB32" s="133">
        <f t="shared" si="44"/>
        <v>0.2726234510031193</v>
      </c>
      <c r="CC32" s="133">
        <f t="shared" si="44"/>
        <v>0.25048486629444605</v>
      </c>
      <c r="CD32" s="133">
        <f t="shared" si="44"/>
        <v>0.26638807459614544</v>
      </c>
      <c r="CE32" s="133">
        <f t="shared" si="44"/>
        <v>0.13923256742117568</v>
      </c>
      <c r="CF32" s="133">
        <f t="shared" si="44"/>
        <v>0.27489152105077985</v>
      </c>
      <c r="CG32" s="133">
        <f t="shared" si="44"/>
        <v>0.25558675558675559</v>
      </c>
      <c r="CH32" s="133">
        <f t="shared" si="44"/>
        <v>0.23833579564409282</v>
      </c>
      <c r="CI32" s="133">
        <f t="shared" si="44"/>
        <v>0.22261046485912689</v>
      </c>
      <c r="CJ32" s="133">
        <f t="shared" si="44"/>
        <v>0.23608316566063045</v>
      </c>
      <c r="CK32" s="133">
        <f t="shared" si="44"/>
        <v>0.22716638815946527</v>
      </c>
      <c r="CL32" s="133">
        <f t="shared" si="44"/>
        <v>0.2271663881594653</v>
      </c>
      <c r="CM32" s="133">
        <f t="shared" si="44"/>
        <v>0.22716638815946527</v>
      </c>
      <c r="CN32" s="133">
        <f t="shared" si="44"/>
        <v>0.2271663881594653</v>
      </c>
      <c r="CO32" s="133">
        <f t="shared" si="44"/>
        <v>0.22716638815946524</v>
      </c>
      <c r="CP32" s="133">
        <f t="shared" si="44"/>
        <v>0.22716638815946527</v>
      </c>
      <c r="CQ32" s="133">
        <f t="shared" si="44"/>
        <v>0.22716638815946527</v>
      </c>
      <c r="CR32" s="133">
        <f t="shared" si="44"/>
        <v>0.22716638815946527</v>
      </c>
      <c r="CS32" s="133">
        <f t="shared" si="44"/>
        <v>0.22716638815946527</v>
      </c>
      <c r="CT32" s="133">
        <f t="shared" si="44"/>
        <v>0.22716638815946524</v>
      </c>
      <c r="CU32" s="133">
        <f t="shared" si="44"/>
        <v>0.22716638815946527</v>
      </c>
      <c r="CV32" s="133">
        <f t="shared" si="44"/>
        <v>0.22716638815946527</v>
      </c>
      <c r="CW32" s="133">
        <f t="shared" si="44"/>
        <v>0.22716638815946524</v>
      </c>
      <c r="CX32" s="133">
        <f t="shared" si="44"/>
        <v>0.22716638815946527</v>
      </c>
      <c r="CY32" s="133">
        <f t="shared" si="44"/>
        <v>0.2271663881594653</v>
      </c>
      <c r="CZ32" s="133">
        <f t="shared" si="44"/>
        <v>0.2271663881594653</v>
      </c>
      <c r="DA32" s="133">
        <f t="shared" si="44"/>
        <v>0.2271663881594653</v>
      </c>
      <c r="DB32" s="133">
        <f t="shared" si="44"/>
        <v>0.2271663881594653</v>
      </c>
      <c r="DC32" s="133">
        <f t="shared" si="44"/>
        <v>0.22716638815946527</v>
      </c>
      <c r="DD32" s="133">
        <f t="shared" si="44"/>
        <v>0.22716638815946527</v>
      </c>
      <c r="DE32" s="133">
        <f t="shared" si="44"/>
        <v>0.2271663881594653</v>
      </c>
      <c r="DF32" s="133">
        <f t="shared" si="44"/>
        <v>0.22716638815946533</v>
      </c>
      <c r="DG32" s="133">
        <f t="shared" si="44"/>
        <v>0.2271663881594653</v>
      </c>
      <c r="DH32" s="133">
        <f t="shared" si="44"/>
        <v>0.2271663881594653</v>
      </c>
      <c r="DI32" s="133">
        <f t="shared" si="44"/>
        <v>0.22716638815946527</v>
      </c>
      <c r="DJ32" s="133">
        <f t="shared" ref="DJ32:DU32" si="45">IFERROR(DJ23/DJ12,0)</f>
        <v>0.2271663881594653</v>
      </c>
      <c r="DK32" s="133">
        <f t="shared" si="45"/>
        <v>0.2271663881594653</v>
      </c>
      <c r="DL32" s="133">
        <f t="shared" si="45"/>
        <v>0.2271663881594653</v>
      </c>
      <c r="DM32" s="133">
        <f t="shared" si="45"/>
        <v>0.2271663881594653</v>
      </c>
      <c r="DN32" s="133">
        <f t="shared" si="45"/>
        <v>0.22716638815946533</v>
      </c>
      <c r="DO32" s="133">
        <f t="shared" si="45"/>
        <v>0.22716638815946527</v>
      </c>
      <c r="DP32" s="133">
        <f t="shared" si="45"/>
        <v>0.2271663881594653</v>
      </c>
      <c r="DQ32" s="133">
        <f t="shared" si="45"/>
        <v>0.2271663881594653</v>
      </c>
      <c r="DR32" s="133">
        <f t="shared" si="45"/>
        <v>0.2271663881594653</v>
      </c>
      <c r="DS32" s="133">
        <f t="shared" si="45"/>
        <v>0.2271663881594653</v>
      </c>
      <c r="DT32" s="133">
        <f t="shared" si="45"/>
        <v>0.22716638815946533</v>
      </c>
      <c r="DU32" s="133">
        <f t="shared" si="45"/>
        <v>0.2271663881594653</v>
      </c>
      <c r="DW32" s="133">
        <f t="shared" ref="DW32:EZ32" si="46">IFERROR(DW23/DW12,0)</f>
        <v>0.27548126244644255</v>
      </c>
      <c r="DX32" s="657">
        <f t="shared" si="46"/>
        <v>0.34710793441047511</v>
      </c>
      <c r="DY32" s="133">
        <f t="shared" si="46"/>
        <v>0.29902431626308074</v>
      </c>
      <c r="DZ32" s="133">
        <f t="shared" si="46"/>
        <v>0.27935738102455288</v>
      </c>
      <c r="EA32" s="133">
        <f t="shared" si="46"/>
        <v>0.26339037670852317</v>
      </c>
      <c r="EB32" s="133">
        <f t="shared" si="46"/>
        <v>0.27556735235567353</v>
      </c>
      <c r="EC32" s="133">
        <f t="shared" si="46"/>
        <v>0.25063227111785535</v>
      </c>
      <c r="ED32" s="133">
        <f t="shared" si="46"/>
        <v>0.24194861305336979</v>
      </c>
      <c r="EE32" s="133">
        <f t="shared" si="46"/>
        <v>0.28509033098091952</v>
      </c>
      <c r="EF32" s="133">
        <f t="shared" si="46"/>
        <v>0.21695297210745842</v>
      </c>
      <c r="EG32" s="133">
        <f t="shared" si="46"/>
        <v>0.25499265386080427</v>
      </c>
      <c r="EH32" s="133">
        <f t="shared" si="46"/>
        <v>0.22827589494256162</v>
      </c>
      <c r="EI32" s="133">
        <f t="shared" si="46"/>
        <v>0.2271663881594653</v>
      </c>
      <c r="EJ32" s="133">
        <f t="shared" si="46"/>
        <v>0.22716638815946524</v>
      </c>
      <c r="EK32" s="133">
        <f t="shared" si="46"/>
        <v>0.22716638815946527</v>
      </c>
      <c r="EL32" s="133">
        <f t="shared" si="46"/>
        <v>0.2271663881594653</v>
      </c>
      <c r="EM32" s="133">
        <f t="shared" si="46"/>
        <v>0.22716638815946533</v>
      </c>
      <c r="EN32" s="133">
        <f t="shared" si="46"/>
        <v>0.22716638815946527</v>
      </c>
      <c r="EO32" s="648">
        <f t="shared" si="46"/>
        <v>0.22716638815946527</v>
      </c>
      <c r="EP32" s="133">
        <f t="shared" si="46"/>
        <v>0.2271663881594653</v>
      </c>
      <c r="EQ32" s="133">
        <f t="shared" ref="EQ32:ET32" si="47">IFERROR(EQ23/EQ12,0)</f>
        <v>0.22716638815946533</v>
      </c>
      <c r="ER32" s="133">
        <f t="shared" si="47"/>
        <v>0.2271663881594653</v>
      </c>
      <c r="ES32" s="133">
        <f t="shared" si="47"/>
        <v>0.2271663881594653</v>
      </c>
      <c r="ET32" s="133">
        <f t="shared" si="47"/>
        <v>0.22716638815946527</v>
      </c>
      <c r="EU32" s="638"/>
      <c r="EV32" s="133">
        <f t="shared" si="46"/>
        <v>0.30026188557614825</v>
      </c>
      <c r="EW32" s="133">
        <f t="shared" si="46"/>
        <v>0.25688435304896673</v>
      </c>
      <c r="EX32" s="133">
        <f t="shared" si="46"/>
        <v>0.24540994481486997</v>
      </c>
      <c r="EY32" s="133">
        <f t="shared" si="46"/>
        <v>0.2271663881594653</v>
      </c>
      <c r="EZ32" s="133">
        <f t="shared" si="46"/>
        <v>0.2271663881594653</v>
      </c>
      <c r="FA32" s="133">
        <f t="shared" ref="FA32" si="48">IFERROR(FA23/FA12,0)</f>
        <v>0.2271663881594653</v>
      </c>
    </row>
    <row r="33" spans="2:157" x14ac:dyDescent="0.2">
      <c r="B33" s="114" t="s">
        <v>138</v>
      </c>
      <c r="C33" s="133">
        <f>IFERROR(C28/C13,0)</f>
        <v>0</v>
      </c>
      <c r="D33" s="133">
        <f t="shared" ref="D33:BO33" si="49">IFERROR(D28/D13,0)</f>
        <v>2.2624434389140271E-2</v>
      </c>
      <c r="E33" s="133">
        <f t="shared" si="49"/>
        <v>2.3405500292568754E-3</v>
      </c>
      <c r="F33" s="133">
        <f t="shared" si="49"/>
        <v>0</v>
      </c>
      <c r="G33" s="133">
        <f t="shared" si="49"/>
        <v>1.3020833333333333E-3</v>
      </c>
      <c r="H33" s="133">
        <f t="shared" si="49"/>
        <v>4.0828402366863907E-2</v>
      </c>
      <c r="I33" s="133">
        <f t="shared" si="49"/>
        <v>9.8039215686274508E-3</v>
      </c>
      <c r="J33" s="133">
        <f t="shared" si="49"/>
        <v>4.832585433206766E-3</v>
      </c>
      <c r="K33" s="133">
        <f t="shared" si="49"/>
        <v>8.0714106110133271E-2</v>
      </c>
      <c r="L33" s="133">
        <f t="shared" si="49"/>
        <v>8.513225904530252E-3</v>
      </c>
      <c r="M33" s="133">
        <f t="shared" si="49"/>
        <v>0.22208281053952322</v>
      </c>
      <c r="N33" s="133">
        <f t="shared" si="49"/>
        <v>7.0996147495872311E-2</v>
      </c>
      <c r="O33" s="133">
        <f t="shared" si="49"/>
        <v>8.4507042253521125E-2</v>
      </c>
      <c r="P33" s="133">
        <f t="shared" si="49"/>
        <v>0.89207048458149785</v>
      </c>
      <c r="Q33" s="133">
        <f t="shared" si="49"/>
        <v>0.3341266063779153</v>
      </c>
      <c r="R33" s="133">
        <f t="shared" si="49"/>
        <v>0</v>
      </c>
      <c r="S33" s="133">
        <f t="shared" si="49"/>
        <v>0.22687927107061504</v>
      </c>
      <c r="T33" s="133">
        <f t="shared" si="49"/>
        <v>0.37422360248447206</v>
      </c>
      <c r="U33" s="133">
        <f t="shared" si="49"/>
        <v>0.3543307086614173</v>
      </c>
      <c r="V33" s="133">
        <f t="shared" si="49"/>
        <v>0.36299292214357937</v>
      </c>
      <c r="W33" s="133">
        <f t="shared" si="49"/>
        <v>0.3181179775280899</v>
      </c>
      <c r="X33" s="133">
        <f t="shared" si="49"/>
        <v>0.31411359724612736</v>
      </c>
      <c r="Y33" s="133">
        <f t="shared" si="49"/>
        <v>0.25012531328320803</v>
      </c>
      <c r="Z33" s="133">
        <f t="shared" si="49"/>
        <v>0.28747686613201728</v>
      </c>
      <c r="AA33" s="133">
        <f t="shared" si="49"/>
        <v>0.34909502262443437</v>
      </c>
      <c r="AB33" s="133">
        <f t="shared" si="49"/>
        <v>0.42673921492421296</v>
      </c>
      <c r="AC33" s="133">
        <f t="shared" si="49"/>
        <v>0.46904761904761905</v>
      </c>
      <c r="AD33" s="133">
        <f t="shared" si="49"/>
        <v>0.3188405797101449</v>
      </c>
      <c r="AE33" s="133">
        <f t="shared" si="49"/>
        <v>0.28373450036469733</v>
      </c>
      <c r="AF33" s="133">
        <f t="shared" si="49"/>
        <v>0.26287395782246198</v>
      </c>
      <c r="AG33" s="133">
        <f t="shared" si="49"/>
        <v>0.35129191863661352</v>
      </c>
      <c r="AH33" s="133">
        <f t="shared" si="49"/>
        <v>0.3856837606837607</v>
      </c>
      <c r="AI33" s="133">
        <f t="shared" si="49"/>
        <v>0.37005649717514122</v>
      </c>
      <c r="AJ33" s="133">
        <f t="shared" si="49"/>
        <v>0.36799999999999999</v>
      </c>
      <c r="AK33" s="133">
        <f t="shared" si="49"/>
        <v>0.30923076923076925</v>
      </c>
      <c r="AL33" s="133">
        <f t="shared" si="49"/>
        <v>0.41201264488935724</v>
      </c>
      <c r="AM33" s="133">
        <f t="shared" si="49"/>
        <v>0.42234141791044777</v>
      </c>
      <c r="AN33" s="133">
        <f t="shared" si="49"/>
        <v>0.4419626510435738</v>
      </c>
      <c r="AO33" s="133">
        <f t="shared" si="49"/>
        <v>0.49460431654676257</v>
      </c>
      <c r="AP33" s="133">
        <f t="shared" si="49"/>
        <v>0.42448330683624802</v>
      </c>
      <c r="AQ33" s="133">
        <f t="shared" si="49"/>
        <v>0.55179982440737485</v>
      </c>
      <c r="AR33" s="133">
        <f t="shared" si="49"/>
        <v>0.53417266187050361</v>
      </c>
      <c r="AS33" s="133">
        <f t="shared" si="49"/>
        <v>0.19872476089266738</v>
      </c>
      <c r="AT33" s="133">
        <f t="shared" si="49"/>
        <v>0.25969447708578142</v>
      </c>
      <c r="AU33" s="133">
        <f t="shared" si="49"/>
        <v>0.20145903479236812</v>
      </c>
      <c r="AV33" s="133">
        <f t="shared" si="49"/>
        <v>0.24079189686924493</v>
      </c>
      <c r="AW33" s="133">
        <f t="shared" si="49"/>
        <v>0.39198113207547169</v>
      </c>
      <c r="AX33" s="133">
        <f t="shared" si="49"/>
        <v>0.45292766934557982</v>
      </c>
      <c r="AY33" s="133">
        <f t="shared" si="49"/>
        <v>0.373</v>
      </c>
      <c r="AZ33" s="133">
        <f t="shared" si="49"/>
        <v>0.20909090909090908</v>
      </c>
      <c r="BA33" s="133">
        <f t="shared" si="49"/>
        <v>0.26822157434402333</v>
      </c>
      <c r="BB33" s="133">
        <f t="shared" si="49"/>
        <v>0.24906367041198502</v>
      </c>
      <c r="BC33" s="133">
        <f t="shared" si="49"/>
        <v>0</v>
      </c>
      <c r="BD33" s="133">
        <f t="shared" si="49"/>
        <v>0</v>
      </c>
      <c r="BE33" s="133">
        <f t="shared" si="49"/>
        <v>0</v>
      </c>
      <c r="BF33" s="133">
        <f t="shared" si="49"/>
        <v>0</v>
      </c>
      <c r="BG33" s="133">
        <f t="shared" si="49"/>
        <v>0</v>
      </c>
      <c r="BH33" s="133">
        <f t="shared" si="49"/>
        <v>0</v>
      </c>
      <c r="BI33" s="133">
        <f t="shared" si="49"/>
        <v>0</v>
      </c>
      <c r="BJ33" s="133">
        <f t="shared" si="49"/>
        <v>0</v>
      </c>
      <c r="BK33" s="133">
        <f t="shared" si="49"/>
        <v>0</v>
      </c>
      <c r="BL33" s="133">
        <f t="shared" si="49"/>
        <v>0</v>
      </c>
      <c r="BM33" s="133">
        <f t="shared" si="49"/>
        <v>0</v>
      </c>
      <c r="BN33" s="133">
        <f t="shared" si="49"/>
        <v>0</v>
      </c>
      <c r="BO33" s="133">
        <f t="shared" si="49"/>
        <v>0</v>
      </c>
      <c r="BP33" s="133">
        <f t="shared" ref="BP33:DI33" si="50">IFERROR(BP28/BP13,0)</f>
        <v>0</v>
      </c>
      <c r="BQ33" s="133">
        <f t="shared" si="50"/>
        <v>0</v>
      </c>
      <c r="BR33" s="133">
        <f t="shared" si="50"/>
        <v>0</v>
      </c>
      <c r="BS33" s="133">
        <f t="shared" si="50"/>
        <v>0</v>
      </c>
      <c r="BT33" s="133">
        <f t="shared" si="50"/>
        <v>0</v>
      </c>
      <c r="BU33" s="133">
        <f t="shared" si="50"/>
        <v>0</v>
      </c>
      <c r="BV33" s="133">
        <f t="shared" si="50"/>
        <v>0</v>
      </c>
      <c r="BW33" s="133">
        <f t="shared" si="50"/>
        <v>0</v>
      </c>
      <c r="BX33" s="133">
        <f t="shared" si="50"/>
        <v>0</v>
      </c>
      <c r="BY33" s="133">
        <f t="shared" si="50"/>
        <v>0</v>
      </c>
      <c r="BZ33" s="133">
        <f t="shared" si="50"/>
        <v>0</v>
      </c>
      <c r="CA33" s="133">
        <f t="shared" si="50"/>
        <v>0</v>
      </c>
      <c r="CB33" s="133">
        <f t="shared" si="50"/>
        <v>0</v>
      </c>
      <c r="CC33" s="133">
        <f t="shared" si="50"/>
        <v>0</v>
      </c>
      <c r="CD33" s="133">
        <f t="shared" si="50"/>
        <v>0</v>
      </c>
      <c r="CE33" s="133">
        <f t="shared" si="50"/>
        <v>0</v>
      </c>
      <c r="CF33" s="133">
        <f t="shared" si="50"/>
        <v>0</v>
      </c>
      <c r="CG33" s="133">
        <f t="shared" si="50"/>
        <v>0</v>
      </c>
      <c r="CH33" s="133">
        <f t="shared" si="50"/>
        <v>0</v>
      </c>
      <c r="CI33" s="133">
        <f t="shared" si="50"/>
        <v>0</v>
      </c>
      <c r="CJ33" s="133">
        <f t="shared" si="50"/>
        <v>0</v>
      </c>
      <c r="CK33" s="133">
        <f t="shared" si="50"/>
        <v>0</v>
      </c>
      <c r="CL33" s="133">
        <f t="shared" si="50"/>
        <v>0</v>
      </c>
      <c r="CM33" s="133">
        <f t="shared" si="50"/>
        <v>0</v>
      </c>
      <c r="CN33" s="133">
        <f t="shared" si="50"/>
        <v>0</v>
      </c>
      <c r="CO33" s="133">
        <f t="shared" si="50"/>
        <v>0</v>
      </c>
      <c r="CP33" s="133">
        <f t="shared" si="50"/>
        <v>0</v>
      </c>
      <c r="CQ33" s="133">
        <f t="shared" si="50"/>
        <v>0</v>
      </c>
      <c r="CR33" s="133">
        <f t="shared" si="50"/>
        <v>0</v>
      </c>
      <c r="CS33" s="133">
        <f t="shared" si="50"/>
        <v>0</v>
      </c>
      <c r="CT33" s="133">
        <f t="shared" si="50"/>
        <v>0</v>
      </c>
      <c r="CU33" s="133">
        <f t="shared" si="50"/>
        <v>0</v>
      </c>
      <c r="CV33" s="133">
        <f t="shared" si="50"/>
        <v>0</v>
      </c>
      <c r="CW33" s="133">
        <f t="shared" si="50"/>
        <v>0</v>
      </c>
      <c r="CX33" s="133">
        <f t="shared" si="50"/>
        <v>0</v>
      </c>
      <c r="CY33" s="133">
        <f t="shared" si="50"/>
        <v>0</v>
      </c>
      <c r="CZ33" s="133">
        <f t="shared" si="50"/>
        <v>0</v>
      </c>
      <c r="DA33" s="133">
        <f t="shared" si="50"/>
        <v>0</v>
      </c>
      <c r="DB33" s="133">
        <f t="shared" si="50"/>
        <v>0</v>
      </c>
      <c r="DC33" s="133">
        <f t="shared" si="50"/>
        <v>0</v>
      </c>
      <c r="DD33" s="133">
        <f t="shared" si="50"/>
        <v>0</v>
      </c>
      <c r="DE33" s="133">
        <f t="shared" si="50"/>
        <v>0</v>
      </c>
      <c r="DF33" s="133">
        <f t="shared" si="50"/>
        <v>0</v>
      </c>
      <c r="DG33" s="133">
        <f t="shared" si="50"/>
        <v>0</v>
      </c>
      <c r="DH33" s="133">
        <f t="shared" si="50"/>
        <v>0</v>
      </c>
      <c r="DI33" s="133">
        <f t="shared" si="50"/>
        <v>0</v>
      </c>
      <c r="DJ33" s="133">
        <f t="shared" ref="DJ33:DU33" si="51">IFERROR(DJ28/DJ13,0)</f>
        <v>0</v>
      </c>
      <c r="DK33" s="133">
        <f t="shared" si="51"/>
        <v>0</v>
      </c>
      <c r="DL33" s="133">
        <f t="shared" si="51"/>
        <v>0</v>
      </c>
      <c r="DM33" s="133">
        <f t="shared" si="51"/>
        <v>0</v>
      </c>
      <c r="DN33" s="133">
        <f t="shared" si="51"/>
        <v>0</v>
      </c>
      <c r="DO33" s="133">
        <f t="shared" si="51"/>
        <v>0</v>
      </c>
      <c r="DP33" s="133">
        <f t="shared" si="51"/>
        <v>0</v>
      </c>
      <c r="DQ33" s="133">
        <f t="shared" si="51"/>
        <v>0</v>
      </c>
      <c r="DR33" s="133">
        <f t="shared" si="51"/>
        <v>0</v>
      </c>
      <c r="DS33" s="133">
        <f t="shared" si="51"/>
        <v>0</v>
      </c>
      <c r="DT33" s="133">
        <f t="shared" si="51"/>
        <v>0</v>
      </c>
      <c r="DU33" s="133">
        <f t="shared" si="51"/>
        <v>0</v>
      </c>
      <c r="DW33" s="133">
        <f t="shared" ref="DW33:EZ33" si="52">IFERROR(DW28/DW13,0)</f>
        <v>0.3302122347066167</v>
      </c>
      <c r="DX33" s="657">
        <f t="shared" si="52"/>
        <v>0</v>
      </c>
      <c r="DY33" s="133">
        <f t="shared" si="52"/>
        <v>0</v>
      </c>
      <c r="DZ33" s="133">
        <f t="shared" si="52"/>
        <v>0</v>
      </c>
      <c r="EA33" s="133">
        <f t="shared" si="52"/>
        <v>0</v>
      </c>
      <c r="EB33" s="133">
        <f t="shared" si="52"/>
        <v>0</v>
      </c>
      <c r="EC33" s="133">
        <f t="shared" si="52"/>
        <v>0</v>
      </c>
      <c r="ED33" s="133">
        <f t="shared" si="52"/>
        <v>0</v>
      </c>
      <c r="EE33" s="133">
        <f t="shared" si="52"/>
        <v>0</v>
      </c>
      <c r="EF33" s="133">
        <f t="shared" si="52"/>
        <v>0</v>
      </c>
      <c r="EG33" s="133">
        <f t="shared" si="52"/>
        <v>0</v>
      </c>
      <c r="EH33" s="133">
        <f t="shared" si="52"/>
        <v>0</v>
      </c>
      <c r="EI33" s="133">
        <f t="shared" si="52"/>
        <v>0</v>
      </c>
      <c r="EJ33" s="133">
        <f t="shared" si="52"/>
        <v>0</v>
      </c>
      <c r="EK33" s="133">
        <f t="shared" si="52"/>
        <v>0</v>
      </c>
      <c r="EL33" s="133">
        <f t="shared" si="52"/>
        <v>0</v>
      </c>
      <c r="EM33" s="133">
        <f t="shared" si="52"/>
        <v>0</v>
      </c>
      <c r="EN33" s="133">
        <f t="shared" si="52"/>
        <v>0</v>
      </c>
      <c r="EO33" s="648">
        <f t="shared" si="52"/>
        <v>0</v>
      </c>
      <c r="EP33" s="133">
        <f t="shared" si="52"/>
        <v>0</v>
      </c>
      <c r="EQ33" s="133">
        <f t="shared" ref="EQ33:ET33" si="53">IFERROR(EQ28/EQ13,0)</f>
        <v>0</v>
      </c>
      <c r="ER33" s="133">
        <f t="shared" si="53"/>
        <v>0</v>
      </c>
      <c r="ES33" s="133">
        <f t="shared" si="53"/>
        <v>0</v>
      </c>
      <c r="ET33" s="133">
        <f t="shared" si="53"/>
        <v>0</v>
      </c>
      <c r="EU33" s="638"/>
      <c r="EV33" s="133">
        <f t="shared" si="52"/>
        <v>0.3302122347066167</v>
      </c>
      <c r="EW33" s="133">
        <f t="shared" si="52"/>
        <v>0</v>
      </c>
      <c r="EX33" s="133">
        <f t="shared" si="52"/>
        <v>0</v>
      </c>
      <c r="EY33" s="133">
        <f t="shared" si="52"/>
        <v>0</v>
      </c>
      <c r="EZ33" s="133">
        <f t="shared" si="52"/>
        <v>0</v>
      </c>
      <c r="FA33" s="133">
        <f t="shared" ref="FA33" si="54">IFERROR(FA28/FA13,0)</f>
        <v>0</v>
      </c>
    </row>
    <row r="34" spans="2:157" x14ac:dyDescent="0.2">
      <c r="B34" s="11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115"/>
      <c r="CD34" s="115"/>
      <c r="CE34" s="115"/>
      <c r="CF34" s="115"/>
      <c r="CG34" s="115"/>
      <c r="CH34" s="115"/>
      <c r="CI34" s="115"/>
      <c r="CJ34" s="115"/>
      <c r="CK34" s="115"/>
      <c r="CL34" s="115"/>
      <c r="CM34" s="115"/>
      <c r="CN34" s="115"/>
      <c r="CO34" s="115"/>
      <c r="CP34" s="115"/>
      <c r="CQ34" s="115"/>
      <c r="CR34" s="115"/>
      <c r="CS34" s="115"/>
      <c r="CT34" s="115"/>
      <c r="CU34" s="115"/>
      <c r="CV34" s="115"/>
      <c r="CW34" s="115"/>
      <c r="CX34" s="115"/>
      <c r="CY34" s="115"/>
      <c r="CZ34" s="115"/>
      <c r="DA34" s="115"/>
      <c r="DB34" s="115"/>
      <c r="DC34" s="115"/>
      <c r="DD34" s="115"/>
      <c r="DE34" s="115"/>
      <c r="DF34" s="115"/>
      <c r="DG34" s="115"/>
      <c r="DH34" s="115"/>
      <c r="DI34" s="115"/>
      <c r="DJ34" s="115"/>
      <c r="DK34" s="115"/>
      <c r="DL34" s="115"/>
      <c r="DM34" s="115"/>
      <c r="DN34" s="115"/>
      <c r="DO34" s="115"/>
      <c r="DP34" s="115"/>
      <c r="DQ34" s="115"/>
      <c r="DR34" s="115"/>
      <c r="DS34" s="115"/>
      <c r="DT34" s="115"/>
      <c r="DU34" s="115"/>
      <c r="DW34" s="115"/>
      <c r="DX34" s="664"/>
      <c r="DY34" s="115"/>
      <c r="DZ34" s="115"/>
      <c r="EA34" s="115"/>
      <c r="EB34" s="115"/>
      <c r="EC34" s="115"/>
      <c r="ED34" s="115"/>
      <c r="EE34" s="115"/>
      <c r="EF34" s="115"/>
      <c r="EG34" s="115"/>
      <c r="EH34" s="115"/>
      <c r="EI34" s="115"/>
      <c r="EJ34" s="115"/>
      <c r="EK34" s="115"/>
      <c r="EL34" s="115"/>
      <c r="EM34" s="115"/>
      <c r="EN34" s="115"/>
      <c r="EO34" s="645"/>
      <c r="EP34" s="115"/>
      <c r="EQ34" s="115"/>
      <c r="ER34" s="115"/>
      <c r="ES34" s="115"/>
      <c r="ET34" s="115"/>
      <c r="EV34" s="115"/>
      <c r="EW34" s="115"/>
      <c r="EX34" s="115"/>
      <c r="EY34" s="115"/>
      <c r="EZ34" s="115"/>
      <c r="FA34" s="664"/>
    </row>
    <row r="35" spans="2:157" x14ac:dyDescent="0.2">
      <c r="B35" s="186" t="s">
        <v>10</v>
      </c>
      <c r="C35" s="187">
        <f>SUM(C36:C37)</f>
        <v>590804.63071428565</v>
      </c>
      <c r="D35" s="187">
        <f t="shared" ref="D35:BO35" si="55">SUM(D36:D37)</f>
        <v>3720291.6507142857</v>
      </c>
      <c r="E35" s="187">
        <f t="shared" si="55"/>
        <v>20358415.859285716</v>
      </c>
      <c r="F35" s="187">
        <f t="shared" si="55"/>
        <v>26331762.631428573</v>
      </c>
      <c r="G35" s="187">
        <f t="shared" si="55"/>
        <v>28950126.864642859</v>
      </c>
      <c r="H35" s="187">
        <f t="shared" si="55"/>
        <v>18870655.975000001</v>
      </c>
      <c r="I35" s="187">
        <f t="shared" si="55"/>
        <v>39430284.579642855</v>
      </c>
      <c r="J35" s="187">
        <f t="shared" si="55"/>
        <v>26372697.465714287</v>
      </c>
      <c r="K35" s="187">
        <f t="shared" si="55"/>
        <v>37725501.112857148</v>
      </c>
      <c r="L35" s="187">
        <f t="shared" si="55"/>
        <v>34298237.400357142</v>
      </c>
      <c r="M35" s="187">
        <f t="shared" si="55"/>
        <v>9814939.3428571429</v>
      </c>
      <c r="N35" s="187">
        <f t="shared" si="55"/>
        <v>17803179.905357141</v>
      </c>
      <c r="O35" s="187">
        <f t="shared" si="55"/>
        <v>24311757.121071428</v>
      </c>
      <c r="P35" s="187">
        <f t="shared" si="55"/>
        <v>908386.3764285706</v>
      </c>
      <c r="Q35" s="187">
        <f t="shared" si="55"/>
        <v>14527864.805357143</v>
      </c>
      <c r="R35" s="187">
        <f t="shared" si="55"/>
        <v>-3340188</v>
      </c>
      <c r="S35" s="187">
        <f t="shared" si="55"/>
        <v>20666366.739152543</v>
      </c>
      <c r="T35" s="187">
        <f t="shared" si="55"/>
        <v>13943981</v>
      </c>
      <c r="U35" s="187">
        <f t="shared" si="55"/>
        <v>9866739</v>
      </c>
      <c r="V35" s="187">
        <f t="shared" si="55"/>
        <v>9189370</v>
      </c>
      <c r="W35" s="187">
        <f t="shared" si="55"/>
        <v>11741190</v>
      </c>
      <c r="X35" s="187">
        <f t="shared" si="55"/>
        <v>21282041</v>
      </c>
      <c r="Y35" s="187">
        <f t="shared" si="55"/>
        <v>17825655</v>
      </c>
      <c r="Z35" s="187">
        <f t="shared" si="55"/>
        <v>27460136.949999999</v>
      </c>
      <c r="AA35" s="187">
        <f t="shared" si="55"/>
        <v>32520153.350000001</v>
      </c>
      <c r="AB35" s="187">
        <f t="shared" si="55"/>
        <v>19785675</v>
      </c>
      <c r="AC35" s="187">
        <f t="shared" si="55"/>
        <v>25071837</v>
      </c>
      <c r="AD35" s="187">
        <f t="shared" si="55"/>
        <v>18883096</v>
      </c>
      <c r="AE35" s="187">
        <f t="shared" si="55"/>
        <v>11861497.799999999</v>
      </c>
      <c r="AF35" s="187">
        <f t="shared" si="55"/>
        <v>18057508.850000042</v>
      </c>
      <c r="AG35" s="187">
        <f t="shared" si="55"/>
        <v>15513506</v>
      </c>
      <c r="AH35" s="187">
        <f t="shared" si="55"/>
        <v>9859090</v>
      </c>
      <c r="AI35" s="187">
        <f t="shared" si="55"/>
        <v>12398823</v>
      </c>
      <c r="AJ35" s="187">
        <f t="shared" si="55"/>
        <v>15484826.949999999</v>
      </c>
      <c r="AK35" s="187">
        <f t="shared" si="55"/>
        <v>36903559.950000003</v>
      </c>
      <c r="AL35" s="187">
        <f t="shared" si="55"/>
        <v>42482897</v>
      </c>
      <c r="AM35" s="187">
        <f t="shared" si="55"/>
        <v>49028541.829999998</v>
      </c>
      <c r="AN35" s="187">
        <f t="shared" si="55"/>
        <v>43145129</v>
      </c>
      <c r="AO35" s="187">
        <f t="shared" si="55"/>
        <v>23771694.199999999</v>
      </c>
      <c r="AP35" s="187">
        <f t="shared" si="55"/>
        <v>21497650.219999991</v>
      </c>
      <c r="AQ35" s="187">
        <f t="shared" si="55"/>
        <v>30591918.119999997</v>
      </c>
      <c r="AR35" s="187">
        <f t="shared" si="55"/>
        <v>43408149.700000003</v>
      </c>
      <c r="AS35" s="187">
        <f t="shared" si="55"/>
        <v>40187919.080000415</v>
      </c>
      <c r="AT35" s="187">
        <f t="shared" si="55"/>
        <v>28275052.460000094</v>
      </c>
      <c r="AU35" s="187">
        <f t="shared" si="55"/>
        <v>39258000.6300001</v>
      </c>
      <c r="AV35" s="187">
        <f t="shared" si="55"/>
        <v>68425967.910000175</v>
      </c>
      <c r="AW35" s="187">
        <f t="shared" si="55"/>
        <v>57689324.859999999</v>
      </c>
      <c r="AX35" s="187">
        <f t="shared" si="55"/>
        <v>49015703.230000228</v>
      </c>
      <c r="AY35" s="187">
        <f t="shared" si="55"/>
        <v>59074398.680000357</v>
      </c>
      <c r="AZ35" s="187">
        <f t="shared" si="55"/>
        <v>88185123.210000247</v>
      </c>
      <c r="BA35" s="187">
        <f t="shared" si="55"/>
        <v>152973536.25000083</v>
      </c>
      <c r="BB35" s="187">
        <f t="shared" si="55"/>
        <v>177174015.33940253</v>
      </c>
      <c r="BC35" s="187">
        <f t="shared" si="55"/>
        <v>157718791.54965979</v>
      </c>
      <c r="BD35" s="187">
        <f t="shared" si="55"/>
        <v>192604051.81638539</v>
      </c>
      <c r="BE35" s="187">
        <f t="shared" si="55"/>
        <v>134896928.34310046</v>
      </c>
      <c r="BF35" s="187">
        <f t="shared" si="55"/>
        <v>158219423.1749382</v>
      </c>
      <c r="BG35" s="187">
        <f t="shared" si="55"/>
        <v>175665259.36695758</v>
      </c>
      <c r="BH35" s="187">
        <f t="shared" si="55"/>
        <v>276621197.60860538</v>
      </c>
      <c r="BI35" s="187">
        <f t="shared" si="55"/>
        <v>215921783.32452267</v>
      </c>
      <c r="BJ35" s="187">
        <f t="shared" si="55"/>
        <v>204095609.66502008</v>
      </c>
      <c r="BK35" s="187">
        <f t="shared" si="55"/>
        <v>208606599.41250107</v>
      </c>
      <c r="BL35" s="187">
        <f t="shared" si="55"/>
        <v>153567638.02271467</v>
      </c>
      <c r="BM35" s="187">
        <f t="shared" si="55"/>
        <v>217433306.31716239</v>
      </c>
      <c r="BN35" s="187">
        <f t="shared" si="55"/>
        <v>208026931.88635713</v>
      </c>
      <c r="BO35" s="187">
        <f t="shared" si="55"/>
        <v>225522037.91801453</v>
      </c>
      <c r="BP35" s="187">
        <f t="shared" ref="BP35:DI35" si="56">SUM(BP36:BP37)</f>
        <v>234565597.74187648</v>
      </c>
      <c r="BQ35" s="187">
        <f t="shared" si="56"/>
        <v>245431234.54876578</v>
      </c>
      <c r="BR35" s="187">
        <f t="shared" si="56"/>
        <v>231617640.59860653</v>
      </c>
      <c r="BS35" s="187">
        <f t="shared" si="56"/>
        <v>240294211.30664754</v>
      </c>
      <c r="BT35" s="187">
        <f t="shared" si="56"/>
        <v>258102547.49511218</v>
      </c>
      <c r="BU35" s="187">
        <f t="shared" si="56"/>
        <v>225238305.27306521</v>
      </c>
      <c r="BV35" s="187">
        <f t="shared" si="56"/>
        <v>268332201.02086401</v>
      </c>
      <c r="BW35" s="187">
        <f t="shared" si="56"/>
        <v>301525732.43045539</v>
      </c>
      <c r="BX35" s="187">
        <f t="shared" si="56"/>
        <v>289395326.84291881</v>
      </c>
      <c r="BY35" s="187">
        <f t="shared" si="56"/>
        <v>388927314.4395901</v>
      </c>
      <c r="BZ35" s="187">
        <f t="shared" si="56"/>
        <v>333571207.37308317</v>
      </c>
      <c r="CA35" s="187">
        <f t="shared" si="56"/>
        <v>337590899.12831521</v>
      </c>
      <c r="CB35" s="187">
        <f t="shared" si="56"/>
        <v>332283789.6635989</v>
      </c>
      <c r="CC35" s="187">
        <f t="shared" si="56"/>
        <v>348538492.32745653</v>
      </c>
      <c r="CD35" s="187">
        <f t="shared" si="56"/>
        <v>308891769.37999922</v>
      </c>
      <c r="CE35" s="187">
        <f t="shared" si="56"/>
        <v>390440128.82670391</v>
      </c>
      <c r="CF35" s="187">
        <f t="shared" si="56"/>
        <v>337191618.03749192</v>
      </c>
      <c r="CG35" s="187">
        <f t="shared" si="56"/>
        <v>333553337.40059996</v>
      </c>
      <c r="CH35" s="187">
        <f t="shared" si="56"/>
        <v>400565715.47499943</v>
      </c>
      <c r="CI35" s="187">
        <f t="shared" si="56"/>
        <v>445854716.91063964</v>
      </c>
      <c r="CJ35" s="187">
        <f t="shared" si="56"/>
        <v>359594206.56775951</v>
      </c>
      <c r="CK35" s="187">
        <f t="shared" si="56"/>
        <v>424940759.14144975</v>
      </c>
      <c r="CL35" s="187">
        <f t="shared" si="56"/>
        <v>401516159.84693146</v>
      </c>
      <c r="CM35" s="187">
        <f t="shared" si="56"/>
        <v>405602653.73516572</v>
      </c>
      <c r="CN35" s="187">
        <f t="shared" si="56"/>
        <v>405312488.48866391</v>
      </c>
      <c r="CO35" s="187">
        <f t="shared" si="56"/>
        <v>411430139.10241121</v>
      </c>
      <c r="CP35" s="187">
        <f t="shared" si="56"/>
        <v>387684949.76367664</v>
      </c>
      <c r="CQ35" s="187">
        <f t="shared" si="56"/>
        <v>424100688.19965845</v>
      </c>
      <c r="CR35" s="187">
        <f t="shared" si="56"/>
        <v>412373176.15354216</v>
      </c>
      <c r="CS35" s="187">
        <f t="shared" si="56"/>
        <v>413340393.64188164</v>
      </c>
      <c r="CT35" s="187">
        <f t="shared" si="56"/>
        <v>507378113.94568866</v>
      </c>
      <c r="CU35" s="187">
        <f t="shared" si="56"/>
        <v>546695504.84668899</v>
      </c>
      <c r="CV35" s="187">
        <f t="shared" si="56"/>
        <v>468689414.41210902</v>
      </c>
      <c r="CW35" s="187">
        <f t="shared" si="56"/>
        <v>506459257.33176613</v>
      </c>
      <c r="CX35" s="187">
        <f t="shared" si="56"/>
        <v>475595891.33869028</v>
      </c>
      <c r="CY35" s="187">
        <f t="shared" si="56"/>
        <v>480436343.34930384</v>
      </c>
      <c r="CZ35" s="187">
        <f t="shared" si="56"/>
        <v>480092642.61482245</v>
      </c>
      <c r="DA35" s="187">
        <f t="shared" si="56"/>
        <v>487338999.76680607</v>
      </c>
      <c r="DB35" s="187">
        <f t="shared" si="56"/>
        <v>459212822.99507499</v>
      </c>
      <c r="DC35" s="187">
        <f t="shared" si="56"/>
        <v>502347265.17249548</v>
      </c>
      <c r="DD35" s="187">
        <f t="shared" si="56"/>
        <v>488456027.1538707</v>
      </c>
      <c r="DE35" s="187">
        <f t="shared" si="56"/>
        <v>489601696.26880884</v>
      </c>
      <c r="DF35" s="187">
        <f t="shared" si="56"/>
        <v>600989375.96866822</v>
      </c>
      <c r="DG35" s="187">
        <f t="shared" si="56"/>
        <v>647560825.49090314</v>
      </c>
      <c r="DH35" s="187">
        <f t="shared" si="56"/>
        <v>555162611.3711431</v>
      </c>
      <c r="DI35" s="187">
        <f t="shared" si="56"/>
        <v>599900990.30947697</v>
      </c>
      <c r="DJ35" s="187">
        <f t="shared" ref="DJ35:DU35" si="57">SUM(DJ36:DJ37)</f>
        <v>563343333.2906785</v>
      </c>
      <c r="DK35" s="187">
        <f t="shared" si="57"/>
        <v>569076848.69725037</v>
      </c>
      <c r="DL35" s="187">
        <f t="shared" si="57"/>
        <v>568669735.17725706</v>
      </c>
      <c r="DM35" s="187">
        <f t="shared" si="57"/>
        <v>577253045.2237817</v>
      </c>
      <c r="DN35" s="187">
        <f t="shared" si="57"/>
        <v>543937588.83766627</v>
      </c>
      <c r="DO35" s="187">
        <f t="shared" si="57"/>
        <v>595030335.59682083</v>
      </c>
      <c r="DP35" s="187">
        <f t="shared" si="57"/>
        <v>578576164.16375971</v>
      </c>
      <c r="DQ35" s="187">
        <f t="shared" si="57"/>
        <v>579933209.2304039</v>
      </c>
      <c r="DR35" s="187">
        <f t="shared" si="57"/>
        <v>711871915.8348875</v>
      </c>
      <c r="DS35" s="187">
        <f t="shared" si="57"/>
        <v>767035797.79397476</v>
      </c>
      <c r="DT35" s="187">
        <f t="shared" si="57"/>
        <v>657590113.169119</v>
      </c>
      <c r="DU35" s="187">
        <f t="shared" si="57"/>
        <v>710582723.02157545</v>
      </c>
      <c r="DW35" s="187">
        <f>SUM(BB35:BD35)</f>
        <v>527496858.70544767</v>
      </c>
      <c r="DX35" s="667">
        <f>SUM(BE35:BG35)</f>
        <v>468781610.88499618</v>
      </c>
      <c r="DY35" s="187">
        <f>SUM(BH35:BJ35)</f>
        <v>696638590.59814811</v>
      </c>
      <c r="DZ35" s="187">
        <f>SUM(BK35:BM35)</f>
        <v>579607543.75237811</v>
      </c>
      <c r="EA35" s="187">
        <f>SUM(BN35:BP35)</f>
        <v>668114567.5462482</v>
      </c>
      <c r="EB35" s="187">
        <f>SUM(BQ35:BS35)</f>
        <v>717343086.45401978</v>
      </c>
      <c r="EC35" s="187">
        <f>SUM(BT35:BV35)</f>
        <v>751673053.7890414</v>
      </c>
      <c r="ED35" s="187">
        <f>SUM(BW35:BY35)</f>
        <v>979848373.7129643</v>
      </c>
      <c r="EE35" s="187">
        <f>SUM(BZ35:CB35)</f>
        <v>1003445896.1649972</v>
      </c>
      <c r="EF35" s="187">
        <f>SUM(CC35:CE35)</f>
        <v>1047870390.5341597</v>
      </c>
      <c r="EG35" s="187">
        <f>SUM(CF35:CH35)</f>
        <v>1071310670.9130913</v>
      </c>
      <c r="EH35" s="187">
        <f>SUM(CI35:CK35)</f>
        <v>1230389682.619849</v>
      </c>
      <c r="EI35" s="187">
        <f>SUM(CL35:CN35)</f>
        <v>1212431302.0707612</v>
      </c>
      <c r="EJ35" s="187">
        <f>SUM(CO35:CQ35)</f>
        <v>1223215777.0657463</v>
      </c>
      <c r="EK35" s="187">
        <f>SUM(CR35:CT35)</f>
        <v>1333091683.7411125</v>
      </c>
      <c r="EL35" s="187">
        <f>SUM(CU35:CW35)</f>
        <v>1521844176.5905643</v>
      </c>
      <c r="EM35" s="187">
        <f>SUM(CX35:CZ35)</f>
        <v>1436124877.3028166</v>
      </c>
      <c r="EN35" s="187">
        <f>SUM(DA35:DC35)</f>
        <v>1448899087.9343767</v>
      </c>
      <c r="EO35" s="649">
        <f>SUM(DD35:DF35)</f>
        <v>1579047099.3913479</v>
      </c>
      <c r="EP35" s="187">
        <f>SUM(DG35:DI35)</f>
        <v>1802624427.1715231</v>
      </c>
      <c r="EQ35" s="329">
        <f t="shared" ref="EQ35:EQ47" si="58">SUM(DJ35:DL35)</f>
        <v>1701089917.1651859</v>
      </c>
      <c r="ER35" s="329">
        <f t="shared" ref="ER35:ER47" si="59">SUM(DM35:DO35)</f>
        <v>1716220969.6582689</v>
      </c>
      <c r="ES35" s="329">
        <f t="shared" ref="ES35:ES47" si="60">SUM(DP35:DR35)</f>
        <v>1870381289.2290511</v>
      </c>
      <c r="ET35" s="329">
        <f t="shared" ref="ET35:ET47" si="61">SUM(DS35:DU35)</f>
        <v>2135208633.9846692</v>
      </c>
      <c r="EV35" s="187">
        <f>EV3-EV15</f>
        <v>2272524603.9409699</v>
      </c>
      <c r="EW35" s="187">
        <f t="shared" ref="EW35:FA35" si="62">EW3-EW15</f>
        <v>3116979081.5022736</v>
      </c>
      <c r="EX35" s="187">
        <f t="shared" si="62"/>
        <v>4353016640.2320976</v>
      </c>
      <c r="EY35" s="187">
        <f t="shared" si="62"/>
        <v>5290582939.4681835</v>
      </c>
      <c r="EZ35" s="187">
        <f t="shared" si="62"/>
        <v>6266695491.8000641</v>
      </c>
      <c r="FA35" s="187">
        <f t="shared" si="62"/>
        <v>7422900810.0371752</v>
      </c>
    </row>
    <row r="36" spans="2:157" x14ac:dyDescent="0.2">
      <c r="B36" s="114" t="s">
        <v>132</v>
      </c>
      <c r="C36" s="129">
        <f>'P&amp;L - Inputs'!K197</f>
        <v>0</v>
      </c>
      <c r="D36" s="129">
        <f>'P&amp;L - Inputs'!L197</f>
        <v>0</v>
      </c>
      <c r="E36" s="129">
        <f>'P&amp;L - Inputs'!M197</f>
        <v>0</v>
      </c>
      <c r="F36" s="129">
        <f>'P&amp;L - Inputs'!N197</f>
        <v>0</v>
      </c>
      <c r="G36" s="129">
        <f>'P&amp;L - Inputs'!O197</f>
        <v>0</v>
      </c>
      <c r="H36" s="129">
        <f>'P&amp;L - Inputs'!P197</f>
        <v>0</v>
      </c>
      <c r="I36" s="129">
        <f>'P&amp;L - Inputs'!Q197</f>
        <v>0</v>
      </c>
      <c r="J36" s="129">
        <f>'P&amp;L - Inputs'!R197</f>
        <v>0</v>
      </c>
      <c r="K36" s="129">
        <f>'P&amp;L - Inputs'!S197</f>
        <v>0</v>
      </c>
      <c r="L36" s="129">
        <f>'P&amp;L - Inputs'!T197</f>
        <v>0</v>
      </c>
      <c r="M36" s="129">
        <f>'P&amp;L - Inputs'!U197</f>
        <v>0</v>
      </c>
      <c r="N36" s="129">
        <f>'P&amp;L - Inputs'!V197</f>
        <v>0</v>
      </c>
      <c r="O36" s="129">
        <f>'P&amp;L - Inputs'!W197</f>
        <v>0</v>
      </c>
      <c r="P36" s="129">
        <f>'P&amp;L - Inputs'!X197</f>
        <v>0</v>
      </c>
      <c r="Q36" s="129">
        <f>'P&amp;L - Inputs'!Y197</f>
        <v>0</v>
      </c>
      <c r="R36" s="129">
        <f>'P&amp;L - Inputs'!Z197</f>
        <v>0</v>
      </c>
      <c r="S36" s="129">
        <f>'P&amp;L - Inputs'!AA197</f>
        <v>957075</v>
      </c>
      <c r="T36" s="129">
        <f>'P&amp;L - Inputs'!AB197</f>
        <v>1048497</v>
      </c>
      <c r="U36" s="129">
        <f>'P&amp;L - Inputs'!AC197</f>
        <v>528633</v>
      </c>
      <c r="V36" s="129">
        <f>'P&amp;L - Inputs'!AD197</f>
        <v>484503</v>
      </c>
      <c r="W36" s="129">
        <f>'P&amp;L - Inputs'!AE197</f>
        <v>947524</v>
      </c>
      <c r="X36" s="129">
        <f>'P&amp;L - Inputs'!AF197</f>
        <v>1553299</v>
      </c>
      <c r="Y36" s="129">
        <f>'P&amp;L - Inputs'!AG197</f>
        <v>875375.05</v>
      </c>
      <c r="Z36" s="129">
        <f>'P&amp;L - Inputs'!AH197</f>
        <v>5210055</v>
      </c>
      <c r="AA36" s="129">
        <f>'P&amp;L - Inputs'!AI197</f>
        <v>4209814</v>
      </c>
      <c r="AB36" s="129">
        <f>'P&amp;L - Inputs'!AJ197</f>
        <v>3580322</v>
      </c>
      <c r="AC36" s="129">
        <f>'P&amp;L - Inputs'!AK197</f>
        <v>5305430</v>
      </c>
      <c r="AD36" s="129">
        <f>'P&amp;L - Inputs'!AL197</f>
        <v>3628333</v>
      </c>
      <c r="AE36" s="129">
        <f>'P&amp;L - Inputs'!AM197</f>
        <v>3601018.7999999993</v>
      </c>
      <c r="AF36" s="129">
        <f>'P&amp;L - Inputs'!AN197</f>
        <v>4987371.849999995</v>
      </c>
      <c r="AG36" s="129">
        <f>'P&amp;L - Inputs'!AO197</f>
        <v>5535508</v>
      </c>
      <c r="AH36" s="129">
        <f>'P&amp;L - Inputs'!AP197</f>
        <v>5441205</v>
      </c>
      <c r="AI36" s="129">
        <f>'P&amp;L - Inputs'!AQ197</f>
        <v>6789495</v>
      </c>
      <c r="AJ36" s="129">
        <f>'P&amp;L - Inputs'!AR197</f>
        <v>3297591.95</v>
      </c>
      <c r="AK36" s="129">
        <f>'P&amp;L - Inputs'!AS197</f>
        <v>13482543.949999999</v>
      </c>
      <c r="AL36" s="129">
        <f>'P&amp;L - Inputs'!AT197</f>
        <v>14732941</v>
      </c>
      <c r="AM36" s="129">
        <f>'P&amp;L - Inputs'!AU197</f>
        <v>22997769.830000002</v>
      </c>
      <c r="AN36" s="129">
        <f>'P&amp;L - Inputs'!AV197</f>
        <v>24922919</v>
      </c>
      <c r="AO36" s="129">
        <f>'P&amp;L - Inputs'!AW197</f>
        <v>19059824.199999999</v>
      </c>
      <c r="AP36" s="129">
        <f>'P&amp;L - Inputs'!AX197</f>
        <v>18772448.219999991</v>
      </c>
      <c r="AQ36" s="129">
        <f>'P&amp;L - Inputs'!AY197</f>
        <v>23769192.119999997</v>
      </c>
      <c r="AR36" s="129">
        <f>'P&amp;L - Inputs'!AZ197</f>
        <v>39261137.700000003</v>
      </c>
      <c r="AS36" s="129">
        <f>'P&amp;L - Inputs'!BA197</f>
        <v>32635579.080000419</v>
      </c>
      <c r="AT36" s="129">
        <f>'P&amp;L - Inputs'!BB197</f>
        <v>22934742.460000094</v>
      </c>
      <c r="AU36" s="129">
        <f>'P&amp;L - Inputs'!BC197</f>
        <v>24460356.450000104</v>
      </c>
      <c r="AV36" s="129">
        <f>'P&amp;L - Inputs'!BD197</f>
        <v>48848584.910000175</v>
      </c>
      <c r="AW36" s="129">
        <f>'P&amp;L - Inputs'!BE197</f>
        <v>37829180.859999999</v>
      </c>
      <c r="AX36" s="129">
        <f>'P&amp;L - Inputs'!BF197</f>
        <v>35444365.180000231</v>
      </c>
      <c r="AY36" s="129">
        <f>'P&amp;L - Inputs'!BG197</f>
        <v>47069940.680000357</v>
      </c>
      <c r="AZ36" s="129">
        <f>'P&amp;L - Inputs'!BH197</f>
        <v>67753263.210000247</v>
      </c>
      <c r="BA36" s="129">
        <f>'P&amp;L - Inputs'!BI197</f>
        <v>124838605.25000083</v>
      </c>
      <c r="BB36" s="129">
        <f>'P&amp;L - Inputs'!BJ197</f>
        <v>160596772.33940253</v>
      </c>
      <c r="BC36" s="129">
        <f>'P&amp;L - Inputs'!BK197</f>
        <v>159779888.54965979</v>
      </c>
      <c r="BD36" s="129">
        <f>'P&amp;L - Inputs'!BL197</f>
        <v>192785307.81638539</v>
      </c>
      <c r="BE36" s="129">
        <f>'P&amp;L - Inputs'!BM197</f>
        <v>134896928.34310046</v>
      </c>
      <c r="BF36" s="129">
        <f>'P&amp;L - Inputs'!BN197</f>
        <v>158219423.1749382</v>
      </c>
      <c r="BG36" s="129">
        <f>'P&amp;L - Inputs'!BO197</f>
        <v>175665259.36695758</v>
      </c>
      <c r="BH36" s="129">
        <f>'P&amp;L - Inputs'!BP197</f>
        <v>276621197.60860538</v>
      </c>
      <c r="BI36" s="129">
        <f>'P&amp;L - Inputs'!BQ197</f>
        <v>215921783.32452267</v>
      </c>
      <c r="BJ36" s="129">
        <f>'P&amp;L - Inputs'!BR197</f>
        <v>204095609.66502008</v>
      </c>
      <c r="BK36" s="129">
        <f>'P&amp;L - Inputs'!BS197</f>
        <v>208606599.41250107</v>
      </c>
      <c r="BL36" s="129">
        <f>'P&amp;L - Inputs'!BT197</f>
        <v>153567638.02271467</v>
      </c>
      <c r="BM36" s="129">
        <f>'P&amp;L - Inputs'!BU197</f>
        <v>217433306.31716239</v>
      </c>
      <c r="BN36" s="129">
        <f>'P&amp;L - Inputs'!BV197</f>
        <v>208026931.88635713</v>
      </c>
      <c r="BO36" s="129">
        <f>'P&amp;L - Inputs'!BW197</f>
        <v>225522037.91801453</v>
      </c>
      <c r="BP36" s="129">
        <f>'P&amp;L - Inputs'!BX197</f>
        <v>234565597.74187648</v>
      </c>
      <c r="BQ36" s="129">
        <f>'P&amp;L - Inputs'!BY197</f>
        <v>245431234.54876578</v>
      </c>
      <c r="BR36" s="129">
        <f>'P&amp;L - Inputs'!BZ197</f>
        <v>231617640.59860653</v>
      </c>
      <c r="BS36" s="129">
        <f>'P&amp;L - Inputs'!CA197</f>
        <v>240294211.30664754</v>
      </c>
      <c r="BT36" s="129">
        <f>'P&amp;L - Inputs'!CB197</f>
        <v>258102547.49511218</v>
      </c>
      <c r="BU36" s="129">
        <f>'P&amp;L - Inputs'!CC197</f>
        <v>225238305.27306521</v>
      </c>
      <c r="BV36" s="129">
        <f>'P&amp;L - Inputs'!CD197</f>
        <v>268332201.02086401</v>
      </c>
      <c r="BW36" s="129">
        <f>'P&amp;L - Inputs'!CE197</f>
        <v>301525732.43045539</v>
      </c>
      <c r="BX36" s="129">
        <f>'P&amp;L - Inputs'!CF197</f>
        <v>289395326.84291881</v>
      </c>
      <c r="BY36" s="129">
        <f>'P&amp;L - Inputs'!CG197</f>
        <v>388927314.4395901</v>
      </c>
      <c r="BZ36" s="129">
        <f>'P&amp;L - Inputs'!CH197</f>
        <v>333571207.37308317</v>
      </c>
      <c r="CA36" s="129">
        <f>'P&amp;L - Inputs'!CI197</f>
        <v>337590899.12831521</v>
      </c>
      <c r="CB36" s="129">
        <f>'P&amp;L - Inputs'!CJ197</f>
        <v>332283789.6635989</v>
      </c>
      <c r="CC36" s="129">
        <f>'P&amp;L - Inputs'!CK197</f>
        <v>348538492.32745653</v>
      </c>
      <c r="CD36" s="129">
        <f>'P&amp;L - Inputs'!CL197</f>
        <v>308891769.37999922</v>
      </c>
      <c r="CE36" s="129">
        <f>'P&amp;L - Inputs'!CM197</f>
        <v>390440128.82670391</v>
      </c>
      <c r="CF36" s="129">
        <f>'P&amp;L - Inputs'!CN197</f>
        <v>337191618.03749192</v>
      </c>
      <c r="CG36" s="129">
        <f>'P&amp;L - Inputs'!CO197</f>
        <v>333553337.40059996</v>
      </c>
      <c r="CH36" s="129">
        <f>'P&amp;L - Inputs'!CP197</f>
        <v>400565715.47499943</v>
      </c>
      <c r="CI36" s="129">
        <f>'P&amp;L - Inputs'!CQ197</f>
        <v>445854716.91063964</v>
      </c>
      <c r="CJ36" s="129">
        <f>'P&amp;L - Inputs'!CR197</f>
        <v>359594206.56775951</v>
      </c>
      <c r="CK36" s="129">
        <f>'P&amp;L - Inputs'!CS197</f>
        <v>424940759.14144975</v>
      </c>
      <c r="CL36" s="129">
        <f>'P&amp;L - Inputs'!CT197</f>
        <v>401516159.84693146</v>
      </c>
      <c r="CM36" s="129">
        <f>'P&amp;L - Inputs'!CU197</f>
        <v>405602653.73516572</v>
      </c>
      <c r="CN36" s="129">
        <f>'P&amp;L - Inputs'!CV197</f>
        <v>405312488.48866391</v>
      </c>
      <c r="CO36" s="129">
        <f>'P&amp;L - Inputs'!CW197</f>
        <v>411430139.10241121</v>
      </c>
      <c r="CP36" s="129">
        <f>'P&amp;L - Inputs'!CX197</f>
        <v>387684949.76367664</v>
      </c>
      <c r="CQ36" s="129">
        <f>'P&amp;L - Inputs'!CY197</f>
        <v>424100688.19965845</v>
      </c>
      <c r="CR36" s="129">
        <f>'P&amp;L - Inputs'!CZ197</f>
        <v>412373176.15354216</v>
      </c>
      <c r="CS36" s="129">
        <f>'P&amp;L - Inputs'!DA197</f>
        <v>413340393.64188164</v>
      </c>
      <c r="CT36" s="129">
        <f>'P&amp;L - Inputs'!DB197</f>
        <v>507378113.94568866</v>
      </c>
      <c r="CU36" s="129">
        <f>'P&amp;L - Inputs'!DC197</f>
        <v>546695504.84668899</v>
      </c>
      <c r="CV36" s="129">
        <f>'P&amp;L - Inputs'!DD197</f>
        <v>468689414.41210902</v>
      </c>
      <c r="CW36" s="129">
        <f>'P&amp;L - Inputs'!DE197</f>
        <v>506459257.33176613</v>
      </c>
      <c r="CX36" s="129">
        <f>'P&amp;L - Inputs'!DF197</f>
        <v>475595891.33869028</v>
      </c>
      <c r="CY36" s="129">
        <f>'P&amp;L - Inputs'!DG197</f>
        <v>480436343.34930384</v>
      </c>
      <c r="CZ36" s="129">
        <f>'P&amp;L - Inputs'!DH197</f>
        <v>480092642.61482245</v>
      </c>
      <c r="DA36" s="129">
        <f>'P&amp;L - Inputs'!DI197</f>
        <v>487338999.76680607</v>
      </c>
      <c r="DB36" s="129">
        <f>'P&amp;L - Inputs'!DJ197</f>
        <v>459212822.99507499</v>
      </c>
      <c r="DC36" s="129">
        <f>'P&amp;L - Inputs'!DK197</f>
        <v>502347265.17249548</v>
      </c>
      <c r="DD36" s="129">
        <f>'P&amp;L - Inputs'!DL197</f>
        <v>488456027.1538707</v>
      </c>
      <c r="DE36" s="129">
        <f>'P&amp;L - Inputs'!DM197</f>
        <v>489601696.26880884</v>
      </c>
      <c r="DF36" s="129">
        <f>'P&amp;L - Inputs'!DN197</f>
        <v>600989375.96866822</v>
      </c>
      <c r="DG36" s="129">
        <f>'P&amp;L - Inputs'!DO197</f>
        <v>647560825.49090314</v>
      </c>
      <c r="DH36" s="129">
        <f>'P&amp;L - Inputs'!DP197</f>
        <v>555162611.3711431</v>
      </c>
      <c r="DI36" s="129">
        <f>'P&amp;L - Inputs'!DQ197</f>
        <v>599900990.30947697</v>
      </c>
      <c r="DJ36" s="129">
        <f>'P&amp;L - Inputs'!DR197</f>
        <v>563343333.2906785</v>
      </c>
      <c r="DK36" s="129">
        <f>'P&amp;L - Inputs'!DS197</f>
        <v>569076848.69725037</v>
      </c>
      <c r="DL36" s="129">
        <f>'P&amp;L - Inputs'!DT197</f>
        <v>568669735.17725706</v>
      </c>
      <c r="DM36" s="129">
        <f>'P&amp;L - Inputs'!DU197</f>
        <v>577253045.2237817</v>
      </c>
      <c r="DN36" s="129">
        <f>'P&amp;L - Inputs'!DV197</f>
        <v>543937588.83766627</v>
      </c>
      <c r="DO36" s="129">
        <f>'P&amp;L - Inputs'!DW197</f>
        <v>595030335.59682083</v>
      </c>
      <c r="DP36" s="129">
        <f>'P&amp;L - Inputs'!DX197</f>
        <v>578576164.16375971</v>
      </c>
      <c r="DQ36" s="129">
        <f>'P&amp;L - Inputs'!DY197</f>
        <v>579933209.2304039</v>
      </c>
      <c r="DR36" s="129">
        <f>'P&amp;L - Inputs'!DZ197</f>
        <v>711871915.8348875</v>
      </c>
      <c r="DS36" s="129">
        <f>'P&amp;L - Inputs'!EA197</f>
        <v>767035797.79397476</v>
      </c>
      <c r="DT36" s="129">
        <f>'P&amp;L - Inputs'!EB197</f>
        <v>657590113.169119</v>
      </c>
      <c r="DU36" s="129">
        <f>'P&amp;L - Inputs'!EC197</f>
        <v>710582723.02157545</v>
      </c>
      <c r="DW36" s="129">
        <f>SUM(BB36:BD36)</f>
        <v>513161968.70544767</v>
      </c>
      <c r="DX36" s="663">
        <f>SUM(BE36:BG36)</f>
        <v>468781610.88499618</v>
      </c>
      <c r="DY36" s="129">
        <f>SUM(BH36:BJ36)</f>
        <v>696638590.59814811</v>
      </c>
      <c r="DZ36" s="129">
        <f>SUM(BK36:BM36)</f>
        <v>579607543.75237811</v>
      </c>
      <c r="EA36" s="129">
        <f>SUM(BN36:BP36)</f>
        <v>668114567.5462482</v>
      </c>
      <c r="EB36" s="129">
        <f>SUM(BQ36:BS36)</f>
        <v>717343086.45401978</v>
      </c>
      <c r="EC36" s="129">
        <f>SUM(BT36:BV36)</f>
        <v>751673053.7890414</v>
      </c>
      <c r="ED36" s="129">
        <f>SUM(BW36:BY36)</f>
        <v>979848373.7129643</v>
      </c>
      <c r="EE36" s="129">
        <f>SUM(BZ36:CB36)</f>
        <v>1003445896.1649972</v>
      </c>
      <c r="EF36" s="129">
        <f>SUM(CC36:CE36)</f>
        <v>1047870390.5341597</v>
      </c>
      <c r="EG36" s="129">
        <f>SUM(CF36:CH36)</f>
        <v>1071310670.9130913</v>
      </c>
      <c r="EH36" s="129">
        <f>SUM(CI36:CK36)</f>
        <v>1230389682.619849</v>
      </c>
      <c r="EI36" s="129">
        <f>SUM(CL36:CN36)</f>
        <v>1212431302.0707612</v>
      </c>
      <c r="EJ36" s="129">
        <f>SUM(CO36:CQ36)</f>
        <v>1223215777.0657463</v>
      </c>
      <c r="EK36" s="129">
        <f>SUM(CR36:CT36)</f>
        <v>1333091683.7411125</v>
      </c>
      <c r="EL36" s="129">
        <f>SUM(CU36:CW36)</f>
        <v>1521844176.5905643</v>
      </c>
      <c r="EM36" s="129">
        <f>SUM(CX36:CZ36)</f>
        <v>1436124877.3028166</v>
      </c>
      <c r="EN36" s="129">
        <f>SUM(DA36:DC36)</f>
        <v>1448899087.9343767</v>
      </c>
      <c r="EO36" s="644">
        <f>SUM(DD36:DF36)</f>
        <v>1579047099.3913479</v>
      </c>
      <c r="EP36" s="129">
        <f>SUM(DG36:DI36)</f>
        <v>1802624427.1715231</v>
      </c>
      <c r="EQ36" s="129">
        <f t="shared" si="58"/>
        <v>1701089917.1651859</v>
      </c>
      <c r="ER36" s="129">
        <f t="shared" si="59"/>
        <v>1716220969.6582689</v>
      </c>
      <c r="ES36" s="129">
        <f t="shared" si="60"/>
        <v>1870381289.2290511</v>
      </c>
      <c r="ET36" s="129">
        <f t="shared" si="61"/>
        <v>2135208633.9846692</v>
      </c>
      <c r="EV36" s="129">
        <f t="shared" ref="EV36:EV37" si="63">EV4-EV16</f>
        <v>2258189713.9409699</v>
      </c>
      <c r="EW36" s="129">
        <f t="shared" ref="EW36:FA36" si="64">EW4-EW16</f>
        <v>3116979081.5022736</v>
      </c>
      <c r="EX36" s="129">
        <f t="shared" si="64"/>
        <v>4353016640.2320976</v>
      </c>
      <c r="EY36" s="129">
        <f t="shared" si="64"/>
        <v>5290582939.4681835</v>
      </c>
      <c r="EZ36" s="129">
        <f t="shared" si="64"/>
        <v>6266695491.8000641</v>
      </c>
      <c r="FA36" s="129">
        <f t="shared" si="64"/>
        <v>7422900810.0371752</v>
      </c>
    </row>
    <row r="37" spans="2:157" x14ac:dyDescent="0.2">
      <c r="B37" s="114" t="s">
        <v>133</v>
      </c>
      <c r="C37" s="129">
        <f>'P&amp;L - Inputs'!K198</f>
        <v>590804.63071428565</v>
      </c>
      <c r="D37" s="129">
        <f>'P&amp;L - Inputs'!L198</f>
        <v>3720291.6507142857</v>
      </c>
      <c r="E37" s="129">
        <f>'P&amp;L - Inputs'!M198</f>
        <v>20358415.859285716</v>
      </c>
      <c r="F37" s="129">
        <f>'P&amp;L - Inputs'!N198</f>
        <v>26331762.631428573</v>
      </c>
      <c r="G37" s="129">
        <f>'P&amp;L - Inputs'!O198</f>
        <v>28950126.864642859</v>
      </c>
      <c r="H37" s="129">
        <f>'P&amp;L - Inputs'!P198</f>
        <v>18870655.975000001</v>
      </c>
      <c r="I37" s="129">
        <f>'P&amp;L - Inputs'!Q198</f>
        <v>39430284.579642855</v>
      </c>
      <c r="J37" s="129">
        <f>'P&amp;L - Inputs'!R198</f>
        <v>26372697.465714287</v>
      </c>
      <c r="K37" s="129">
        <f>'P&amp;L - Inputs'!S198</f>
        <v>37725501.112857148</v>
      </c>
      <c r="L37" s="129">
        <f>'P&amp;L - Inputs'!T198</f>
        <v>34298237.400357142</v>
      </c>
      <c r="M37" s="129">
        <f>'P&amp;L - Inputs'!U198</f>
        <v>9814939.3428571429</v>
      </c>
      <c r="N37" s="129">
        <f>'P&amp;L - Inputs'!V198</f>
        <v>17803179.905357141</v>
      </c>
      <c r="O37" s="129">
        <f>'P&amp;L - Inputs'!W198</f>
        <v>24311757.121071428</v>
      </c>
      <c r="P37" s="129">
        <f>'P&amp;L - Inputs'!X198</f>
        <v>908386.3764285706</v>
      </c>
      <c r="Q37" s="129">
        <f>'P&amp;L - Inputs'!Y198</f>
        <v>14527864.805357143</v>
      </c>
      <c r="R37" s="129">
        <f>'P&amp;L - Inputs'!Z198</f>
        <v>-3340188</v>
      </c>
      <c r="S37" s="129">
        <f>'P&amp;L - Inputs'!AA198</f>
        <v>19709291.739152543</v>
      </c>
      <c r="T37" s="129">
        <f>'P&amp;L - Inputs'!AB198</f>
        <v>12895484</v>
      </c>
      <c r="U37" s="129">
        <f>'P&amp;L - Inputs'!AC198</f>
        <v>9338106</v>
      </c>
      <c r="V37" s="129">
        <f>'P&amp;L - Inputs'!AD198</f>
        <v>8704867</v>
      </c>
      <c r="W37" s="129">
        <f>'P&amp;L - Inputs'!AE198</f>
        <v>10793666</v>
      </c>
      <c r="X37" s="129">
        <f>'P&amp;L - Inputs'!AF198</f>
        <v>19728742</v>
      </c>
      <c r="Y37" s="129">
        <f>'P&amp;L - Inputs'!AG198</f>
        <v>16950279.949999999</v>
      </c>
      <c r="Z37" s="129">
        <f>'P&amp;L - Inputs'!AH198</f>
        <v>22250081.949999999</v>
      </c>
      <c r="AA37" s="129">
        <f>'P&amp;L - Inputs'!AI198</f>
        <v>28310339.350000001</v>
      </c>
      <c r="AB37" s="129">
        <f>'P&amp;L - Inputs'!AJ198</f>
        <v>16205353</v>
      </c>
      <c r="AC37" s="129">
        <f>'P&amp;L - Inputs'!AK198</f>
        <v>19766407</v>
      </c>
      <c r="AD37" s="129">
        <f>'P&amp;L - Inputs'!AL198</f>
        <v>15254763</v>
      </c>
      <c r="AE37" s="129">
        <f>'P&amp;L - Inputs'!AM198</f>
        <v>8260479</v>
      </c>
      <c r="AF37" s="129">
        <f>'P&amp;L - Inputs'!AN198</f>
        <v>13070137.000000048</v>
      </c>
      <c r="AG37" s="129">
        <f>'P&amp;L - Inputs'!AO198</f>
        <v>9977998</v>
      </c>
      <c r="AH37" s="129">
        <f>'P&amp;L - Inputs'!AP198</f>
        <v>4417885</v>
      </c>
      <c r="AI37" s="129">
        <f>'P&amp;L - Inputs'!AQ198</f>
        <v>5609328</v>
      </c>
      <c r="AJ37" s="129">
        <f>'P&amp;L - Inputs'!AR198</f>
        <v>12187235</v>
      </c>
      <c r="AK37" s="129">
        <f>'P&amp;L - Inputs'!AS198</f>
        <v>23421016</v>
      </c>
      <c r="AL37" s="129">
        <f>'P&amp;L - Inputs'!AT198</f>
        <v>27749956</v>
      </c>
      <c r="AM37" s="129">
        <f>'P&amp;L - Inputs'!AU198</f>
        <v>26030772</v>
      </c>
      <c r="AN37" s="129">
        <f>'P&amp;L - Inputs'!AV198</f>
        <v>18222210</v>
      </c>
      <c r="AO37" s="129">
        <f>'P&amp;L - Inputs'!AW198</f>
        <v>4711870</v>
      </c>
      <c r="AP37" s="129">
        <f>'P&amp;L - Inputs'!AX198</f>
        <v>2725202</v>
      </c>
      <c r="AQ37" s="129">
        <f>'P&amp;L - Inputs'!AY198</f>
        <v>6822726</v>
      </c>
      <c r="AR37" s="129">
        <f>'P&amp;L - Inputs'!AZ198</f>
        <v>4147012</v>
      </c>
      <c r="AS37" s="129">
        <f>'P&amp;L - Inputs'!BA198</f>
        <v>7552340</v>
      </c>
      <c r="AT37" s="129">
        <f>'P&amp;L - Inputs'!BB198</f>
        <v>5340310</v>
      </c>
      <c r="AU37" s="129">
        <f>'P&amp;L - Inputs'!BC198</f>
        <v>14797644.18</v>
      </c>
      <c r="AV37" s="129">
        <f>'P&amp;L - Inputs'!BD198</f>
        <v>19577383</v>
      </c>
      <c r="AW37" s="129">
        <f>'P&amp;L - Inputs'!BE198</f>
        <v>19860144</v>
      </c>
      <c r="AX37" s="129">
        <f>'P&amp;L - Inputs'!BF198</f>
        <v>13571338.050000001</v>
      </c>
      <c r="AY37" s="129">
        <f>'P&amp;L - Inputs'!BG198</f>
        <v>12004458</v>
      </c>
      <c r="AZ37" s="129">
        <f>'P&amp;L - Inputs'!BH198</f>
        <v>20431860</v>
      </c>
      <c r="BA37" s="129">
        <f>'P&amp;L - Inputs'!BI198</f>
        <v>28134931</v>
      </c>
      <c r="BB37" s="129">
        <f>'P&amp;L - Inputs'!BJ198</f>
        <v>16577243</v>
      </c>
      <c r="BC37" s="129">
        <f>'P&amp;L - Inputs'!BK198</f>
        <v>-2061097</v>
      </c>
      <c r="BD37" s="129">
        <f>'P&amp;L - Inputs'!BL198</f>
        <v>-181256</v>
      </c>
      <c r="BE37" s="129">
        <f>'P&amp;L - Inputs'!BM198</f>
        <v>0</v>
      </c>
      <c r="BF37" s="129">
        <f>'P&amp;L - Inputs'!BN198</f>
        <v>0</v>
      </c>
      <c r="BG37" s="129">
        <f>'P&amp;L - Inputs'!BO198</f>
        <v>0</v>
      </c>
      <c r="BH37" s="129">
        <f>'P&amp;L - Inputs'!BP198</f>
        <v>0</v>
      </c>
      <c r="BI37" s="129">
        <f>'P&amp;L - Inputs'!BQ198</f>
        <v>0</v>
      </c>
      <c r="BJ37" s="129">
        <f>'P&amp;L - Inputs'!BR198</f>
        <v>0</v>
      </c>
      <c r="BK37" s="129">
        <f>'P&amp;L - Inputs'!BS198</f>
        <v>0</v>
      </c>
      <c r="BL37" s="129">
        <f>'P&amp;L - Inputs'!BT198</f>
        <v>0</v>
      </c>
      <c r="BM37" s="129">
        <f>'P&amp;L - Inputs'!BU198</f>
        <v>0</v>
      </c>
      <c r="BN37" s="129">
        <f>'P&amp;L - Inputs'!BV198</f>
        <v>0</v>
      </c>
      <c r="BO37" s="129">
        <f>'P&amp;L - Inputs'!BW198</f>
        <v>0</v>
      </c>
      <c r="BP37" s="129">
        <f>'P&amp;L - Inputs'!BX198</f>
        <v>0</v>
      </c>
      <c r="BQ37" s="129">
        <f>'P&amp;L - Inputs'!BY198</f>
        <v>0</v>
      </c>
      <c r="BR37" s="129">
        <f>'P&amp;L - Inputs'!BZ198</f>
        <v>0</v>
      </c>
      <c r="BS37" s="129">
        <f>'P&amp;L - Inputs'!CA198</f>
        <v>0</v>
      </c>
      <c r="BT37" s="129">
        <f>'P&amp;L - Inputs'!CB198</f>
        <v>0</v>
      </c>
      <c r="BU37" s="129">
        <f>'P&amp;L - Inputs'!CC198</f>
        <v>0</v>
      </c>
      <c r="BV37" s="129">
        <f>'P&amp;L - Inputs'!CD198</f>
        <v>0</v>
      </c>
      <c r="BW37" s="129">
        <f>'P&amp;L - Inputs'!CE198</f>
        <v>0</v>
      </c>
      <c r="BX37" s="129">
        <f>'P&amp;L - Inputs'!CF198</f>
        <v>0</v>
      </c>
      <c r="BY37" s="129">
        <f>'P&amp;L - Inputs'!CG198</f>
        <v>0</v>
      </c>
      <c r="BZ37" s="129">
        <f>'P&amp;L - Inputs'!CH198</f>
        <v>0</v>
      </c>
      <c r="CA37" s="129">
        <f>'P&amp;L - Inputs'!CI198</f>
        <v>0</v>
      </c>
      <c r="CB37" s="129">
        <f>'P&amp;L - Inputs'!CJ198</f>
        <v>0</v>
      </c>
      <c r="CC37" s="129">
        <f>'P&amp;L - Inputs'!CK198</f>
        <v>0</v>
      </c>
      <c r="CD37" s="129">
        <f>'P&amp;L - Inputs'!CL198</f>
        <v>0</v>
      </c>
      <c r="CE37" s="129">
        <f>'P&amp;L - Inputs'!CM198</f>
        <v>0</v>
      </c>
      <c r="CF37" s="129">
        <f>'P&amp;L - Inputs'!CN198</f>
        <v>0</v>
      </c>
      <c r="CG37" s="129">
        <f>'P&amp;L - Inputs'!CO198</f>
        <v>0</v>
      </c>
      <c r="CH37" s="129">
        <f>'P&amp;L - Inputs'!CP198</f>
        <v>0</v>
      </c>
      <c r="CI37" s="129">
        <f>'P&amp;L - Inputs'!CQ198</f>
        <v>0</v>
      </c>
      <c r="CJ37" s="129">
        <f>'P&amp;L - Inputs'!CR198</f>
        <v>0</v>
      </c>
      <c r="CK37" s="129">
        <f>'P&amp;L - Inputs'!CS198</f>
        <v>0</v>
      </c>
      <c r="CL37" s="129">
        <f>'P&amp;L - Inputs'!CT198</f>
        <v>0</v>
      </c>
      <c r="CM37" s="129">
        <f>'P&amp;L - Inputs'!CU198</f>
        <v>0</v>
      </c>
      <c r="CN37" s="129">
        <f>'P&amp;L - Inputs'!CV198</f>
        <v>0</v>
      </c>
      <c r="CO37" s="129">
        <f>'P&amp;L - Inputs'!CW198</f>
        <v>0</v>
      </c>
      <c r="CP37" s="129">
        <f>'P&amp;L - Inputs'!CX198</f>
        <v>0</v>
      </c>
      <c r="CQ37" s="129">
        <f>'P&amp;L - Inputs'!CY198</f>
        <v>0</v>
      </c>
      <c r="CR37" s="129">
        <f>'P&amp;L - Inputs'!CZ198</f>
        <v>0</v>
      </c>
      <c r="CS37" s="129">
        <f>'P&amp;L - Inputs'!DA198</f>
        <v>0</v>
      </c>
      <c r="CT37" s="129">
        <f>'P&amp;L - Inputs'!DB198</f>
        <v>0</v>
      </c>
      <c r="CU37" s="129">
        <f>'P&amp;L - Inputs'!DC198</f>
        <v>0</v>
      </c>
      <c r="CV37" s="129">
        <f>'P&amp;L - Inputs'!DD198</f>
        <v>0</v>
      </c>
      <c r="CW37" s="129">
        <f>'P&amp;L - Inputs'!DE198</f>
        <v>0</v>
      </c>
      <c r="CX37" s="129">
        <f>'P&amp;L - Inputs'!DF198</f>
        <v>0</v>
      </c>
      <c r="CY37" s="129">
        <f>'P&amp;L - Inputs'!DG198</f>
        <v>0</v>
      </c>
      <c r="CZ37" s="129">
        <f>'P&amp;L - Inputs'!DH198</f>
        <v>0</v>
      </c>
      <c r="DA37" s="129">
        <f>'P&amp;L - Inputs'!DI198</f>
        <v>0</v>
      </c>
      <c r="DB37" s="129">
        <f>'P&amp;L - Inputs'!DJ198</f>
        <v>0</v>
      </c>
      <c r="DC37" s="129">
        <f>'P&amp;L - Inputs'!DK198</f>
        <v>0</v>
      </c>
      <c r="DD37" s="129">
        <f>'P&amp;L - Inputs'!DL198</f>
        <v>0</v>
      </c>
      <c r="DE37" s="129">
        <f>'P&amp;L - Inputs'!DM198</f>
        <v>0</v>
      </c>
      <c r="DF37" s="129">
        <f>'P&amp;L - Inputs'!DN198</f>
        <v>0</v>
      </c>
      <c r="DG37" s="129">
        <f>'P&amp;L - Inputs'!DO198</f>
        <v>0</v>
      </c>
      <c r="DH37" s="129">
        <f>'P&amp;L - Inputs'!DP198</f>
        <v>0</v>
      </c>
      <c r="DI37" s="129">
        <f>'P&amp;L - Inputs'!DQ198</f>
        <v>0</v>
      </c>
      <c r="DJ37" s="129">
        <f>'P&amp;L - Inputs'!DR198</f>
        <v>0</v>
      </c>
      <c r="DK37" s="129">
        <f>'P&amp;L - Inputs'!DS198</f>
        <v>0</v>
      </c>
      <c r="DL37" s="129">
        <f>'P&amp;L - Inputs'!DT198</f>
        <v>0</v>
      </c>
      <c r="DM37" s="129">
        <f>'P&amp;L - Inputs'!DU198</f>
        <v>0</v>
      </c>
      <c r="DN37" s="129">
        <f>'P&amp;L - Inputs'!DV198</f>
        <v>0</v>
      </c>
      <c r="DO37" s="129">
        <f>'P&amp;L - Inputs'!DW198</f>
        <v>0</v>
      </c>
      <c r="DP37" s="129">
        <f>'P&amp;L - Inputs'!DX198</f>
        <v>0</v>
      </c>
      <c r="DQ37" s="129">
        <f>'P&amp;L - Inputs'!DY198</f>
        <v>0</v>
      </c>
      <c r="DR37" s="129">
        <f>'P&amp;L - Inputs'!DZ198</f>
        <v>0</v>
      </c>
      <c r="DS37" s="129">
        <f>'P&amp;L - Inputs'!EA198</f>
        <v>0</v>
      </c>
      <c r="DT37" s="129">
        <f>'P&amp;L - Inputs'!EB198</f>
        <v>0</v>
      </c>
      <c r="DU37" s="129">
        <f>'P&amp;L - Inputs'!EC198</f>
        <v>0</v>
      </c>
      <c r="DW37" s="129">
        <f>SUM(BB37:BD37)</f>
        <v>14334890</v>
      </c>
      <c r="DX37" s="663">
        <f>SUM(BE37:BG37)</f>
        <v>0</v>
      </c>
      <c r="DY37" s="129">
        <f>SUM(BH37:BJ37)</f>
        <v>0</v>
      </c>
      <c r="DZ37" s="129">
        <f>SUM(BK37:BM37)</f>
        <v>0</v>
      </c>
      <c r="EA37" s="129">
        <f>SUM(BN37:BP37)</f>
        <v>0</v>
      </c>
      <c r="EB37" s="129">
        <f>SUM(BQ37:BS37)</f>
        <v>0</v>
      </c>
      <c r="EC37" s="129">
        <f>SUM(BT37:BV37)</f>
        <v>0</v>
      </c>
      <c r="ED37" s="129">
        <f>SUM(BW37:BY37)</f>
        <v>0</v>
      </c>
      <c r="EE37" s="129">
        <f>SUM(BZ37:CB37)</f>
        <v>0</v>
      </c>
      <c r="EF37" s="129">
        <f>SUM(CC37:CE37)</f>
        <v>0</v>
      </c>
      <c r="EG37" s="129">
        <f>SUM(CF37:CH37)</f>
        <v>0</v>
      </c>
      <c r="EH37" s="129">
        <f>SUM(CI37:CK37)</f>
        <v>0</v>
      </c>
      <c r="EI37" s="129">
        <f>SUM(CL37:CN37)</f>
        <v>0</v>
      </c>
      <c r="EJ37" s="129">
        <f>SUM(CO37:CQ37)</f>
        <v>0</v>
      </c>
      <c r="EK37" s="129">
        <f>SUM(CR37:CT37)</f>
        <v>0</v>
      </c>
      <c r="EL37" s="129">
        <f>SUM(CU37:CW37)</f>
        <v>0</v>
      </c>
      <c r="EM37" s="129">
        <f>SUM(CX37:CZ37)</f>
        <v>0</v>
      </c>
      <c r="EN37" s="129">
        <f>SUM(DA37:DC37)</f>
        <v>0</v>
      </c>
      <c r="EO37" s="644">
        <f>SUM(DD37:DF37)</f>
        <v>0</v>
      </c>
      <c r="EP37" s="129">
        <f>SUM(DG37:DI37)</f>
        <v>0</v>
      </c>
      <c r="EQ37" s="129">
        <f t="shared" si="58"/>
        <v>0</v>
      </c>
      <c r="ER37" s="129">
        <f t="shared" si="59"/>
        <v>0</v>
      </c>
      <c r="ES37" s="129">
        <f t="shared" si="60"/>
        <v>0</v>
      </c>
      <c r="ET37" s="129">
        <f t="shared" si="61"/>
        <v>0</v>
      </c>
      <c r="EV37" s="129">
        <f t="shared" si="63"/>
        <v>14334890</v>
      </c>
      <c r="EW37" s="129">
        <f t="shared" ref="EW37:FA37" si="65">EW5-EW17</f>
        <v>0</v>
      </c>
      <c r="EX37" s="129">
        <f t="shared" si="65"/>
        <v>0</v>
      </c>
      <c r="EY37" s="129">
        <f t="shared" si="65"/>
        <v>0</v>
      </c>
      <c r="EZ37" s="129">
        <f t="shared" si="65"/>
        <v>0</v>
      </c>
      <c r="FA37" s="129">
        <f t="shared" si="65"/>
        <v>0</v>
      </c>
    </row>
    <row r="38" spans="2:157" x14ac:dyDescent="0.2">
      <c r="B38" s="114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115"/>
      <c r="CE38" s="115"/>
      <c r="CF38" s="115"/>
      <c r="CG38" s="115"/>
      <c r="CH38" s="115"/>
      <c r="CI38" s="115"/>
      <c r="CJ38" s="115"/>
      <c r="CK38" s="115"/>
      <c r="CL38" s="115"/>
      <c r="CM38" s="115"/>
      <c r="CN38" s="115"/>
      <c r="CO38" s="115"/>
      <c r="CP38" s="115"/>
      <c r="CQ38" s="115"/>
      <c r="CR38" s="115"/>
      <c r="CS38" s="115"/>
      <c r="CT38" s="115"/>
      <c r="CU38" s="115"/>
      <c r="CV38" s="115"/>
      <c r="CW38" s="115"/>
      <c r="CX38" s="115"/>
      <c r="CY38" s="115"/>
      <c r="CZ38" s="115"/>
      <c r="DA38" s="115"/>
      <c r="DB38" s="115"/>
      <c r="DC38" s="115"/>
      <c r="DD38" s="115"/>
      <c r="DE38" s="115"/>
      <c r="DF38" s="115"/>
      <c r="DG38" s="115"/>
      <c r="DH38" s="115"/>
      <c r="DI38" s="115"/>
      <c r="DJ38" s="115"/>
      <c r="DK38" s="115"/>
      <c r="DL38" s="115"/>
      <c r="DM38" s="115"/>
      <c r="DN38" s="115"/>
      <c r="DO38" s="115"/>
      <c r="DP38" s="115"/>
      <c r="DQ38" s="115"/>
      <c r="DR38" s="115"/>
      <c r="DS38" s="115"/>
      <c r="DT38" s="115"/>
      <c r="DU38" s="115"/>
      <c r="DW38" s="115"/>
      <c r="DX38" s="664"/>
      <c r="DY38" s="115"/>
      <c r="DZ38" s="115"/>
      <c r="EA38" s="115"/>
      <c r="EB38" s="115"/>
      <c r="EC38" s="115"/>
      <c r="ED38" s="115"/>
      <c r="EE38" s="115"/>
      <c r="EF38" s="115"/>
      <c r="EG38" s="115"/>
      <c r="EH38" s="115"/>
      <c r="EI38" s="115"/>
      <c r="EJ38" s="115"/>
      <c r="EK38" s="115"/>
      <c r="EL38" s="115"/>
      <c r="EM38" s="115"/>
      <c r="EN38" s="115"/>
      <c r="EO38" s="645"/>
      <c r="EP38" s="115"/>
      <c r="EQ38" s="129"/>
      <c r="ER38" s="129"/>
      <c r="ES38" s="129"/>
      <c r="ET38" s="129"/>
      <c r="EV38" s="115"/>
      <c r="EW38" s="115"/>
      <c r="EX38" s="115"/>
      <c r="EY38" s="115"/>
      <c r="EZ38" s="115"/>
      <c r="FA38" s="664"/>
    </row>
    <row r="39" spans="2:157" x14ac:dyDescent="0.2">
      <c r="B39" s="114" t="s">
        <v>139</v>
      </c>
      <c r="C39" s="129">
        <f>'P&amp;L - Inputs'!K200</f>
        <v>590804.63071428565</v>
      </c>
      <c r="D39" s="129">
        <f>'P&amp;L - Inputs'!L200</f>
        <v>3720291.6507142857</v>
      </c>
      <c r="E39" s="129">
        <f>'P&amp;L - Inputs'!M200</f>
        <v>20358415.859285716</v>
      </c>
      <c r="F39" s="129">
        <f>'P&amp;L - Inputs'!N200</f>
        <v>26331762.631428573</v>
      </c>
      <c r="G39" s="129">
        <f>'P&amp;L - Inputs'!O200</f>
        <v>28950126.864642859</v>
      </c>
      <c r="H39" s="129">
        <f>'P&amp;L - Inputs'!P200</f>
        <v>18870655.975000001</v>
      </c>
      <c r="I39" s="129">
        <f>'P&amp;L - Inputs'!Q200</f>
        <v>39430284.579642855</v>
      </c>
      <c r="J39" s="129">
        <f>'P&amp;L - Inputs'!R200</f>
        <v>26372697.465714287</v>
      </c>
      <c r="K39" s="129">
        <f>'P&amp;L - Inputs'!S200</f>
        <v>37725501.112857148</v>
      </c>
      <c r="L39" s="129">
        <f>'P&amp;L - Inputs'!T200</f>
        <v>34298237.400357142</v>
      </c>
      <c r="M39" s="129">
        <f>'P&amp;L - Inputs'!U200</f>
        <v>9814939.3428571429</v>
      </c>
      <c r="N39" s="129">
        <f>'P&amp;L - Inputs'!V200</f>
        <v>17803179.905357141</v>
      </c>
      <c r="O39" s="129">
        <f>'P&amp;L - Inputs'!W200</f>
        <v>24311757.121071428</v>
      </c>
      <c r="P39" s="129">
        <f>'P&amp;L - Inputs'!X200</f>
        <v>908386.3764285706</v>
      </c>
      <c r="Q39" s="129">
        <f>'P&amp;L - Inputs'!Y200</f>
        <v>14527864.805357143</v>
      </c>
      <c r="R39" s="129">
        <f>'P&amp;L - Inputs'!Z200</f>
        <v>-3340188</v>
      </c>
      <c r="S39" s="129">
        <f>'P&amp;L - Inputs'!AA200</f>
        <v>20666366.739152543</v>
      </c>
      <c r="T39" s="129">
        <f>'P&amp;L - Inputs'!AB200</f>
        <v>13943981</v>
      </c>
      <c r="U39" s="129">
        <f>'P&amp;L - Inputs'!AC200</f>
        <v>9866739</v>
      </c>
      <c r="V39" s="129">
        <f>'P&amp;L - Inputs'!AD200</f>
        <v>9189370</v>
      </c>
      <c r="W39" s="129">
        <f>'P&amp;L - Inputs'!AE200</f>
        <v>11741190</v>
      </c>
      <c r="X39" s="129">
        <f>'P&amp;L - Inputs'!AF200</f>
        <v>21282041</v>
      </c>
      <c r="Y39" s="129">
        <f>'P&amp;L - Inputs'!AG200</f>
        <v>17825655</v>
      </c>
      <c r="Z39" s="129">
        <f>'P&amp;L - Inputs'!AH200</f>
        <v>27460136.949999999</v>
      </c>
      <c r="AA39" s="129">
        <f>'P&amp;L - Inputs'!AI200</f>
        <v>32520153.350000001</v>
      </c>
      <c r="AB39" s="129">
        <f>'P&amp;L - Inputs'!AJ200</f>
        <v>19785675</v>
      </c>
      <c r="AC39" s="129">
        <f>'P&amp;L - Inputs'!AK200</f>
        <v>25071837</v>
      </c>
      <c r="AD39" s="129">
        <f>'P&amp;L - Inputs'!AL200</f>
        <v>18883096</v>
      </c>
      <c r="AE39" s="129">
        <f>'P&amp;L - Inputs'!AM200</f>
        <v>11861497.799999999</v>
      </c>
      <c r="AF39" s="129">
        <f>'P&amp;L - Inputs'!AN200</f>
        <v>18057508.850000042</v>
      </c>
      <c r="AG39" s="129">
        <f>'P&amp;L - Inputs'!AO200</f>
        <v>15513506</v>
      </c>
      <c r="AH39" s="129">
        <f>'P&amp;L - Inputs'!AP200</f>
        <v>9859090</v>
      </c>
      <c r="AI39" s="129">
        <f>'P&amp;L - Inputs'!AQ200</f>
        <v>12398823</v>
      </c>
      <c r="AJ39" s="129">
        <f>'P&amp;L - Inputs'!AR200</f>
        <v>15484826.949999999</v>
      </c>
      <c r="AK39" s="129">
        <f>'P&amp;L - Inputs'!AS200</f>
        <v>36903559.950000003</v>
      </c>
      <c r="AL39" s="129">
        <f>'P&amp;L - Inputs'!AT200</f>
        <v>42482897</v>
      </c>
      <c r="AM39" s="129">
        <f>'P&amp;L - Inputs'!AU200</f>
        <v>49028541.829999998</v>
      </c>
      <c r="AN39" s="129">
        <f>'P&amp;L - Inputs'!AV200</f>
        <v>43145129</v>
      </c>
      <c r="AO39" s="129">
        <f>'P&amp;L - Inputs'!AW200</f>
        <v>23771694.199999999</v>
      </c>
      <c r="AP39" s="129">
        <f>'P&amp;L - Inputs'!AX200</f>
        <v>21497650.219999991</v>
      </c>
      <c r="AQ39" s="129">
        <f>'P&amp;L - Inputs'!AY200</f>
        <v>30591918.119999997</v>
      </c>
      <c r="AR39" s="129">
        <f>'P&amp;L - Inputs'!AZ200</f>
        <v>43408149.700000003</v>
      </c>
      <c r="AS39" s="129">
        <f>'P&amp;L - Inputs'!BA200</f>
        <v>40187919.080000415</v>
      </c>
      <c r="AT39" s="129">
        <f>'P&amp;L - Inputs'!BB200</f>
        <v>28275052.460000094</v>
      </c>
      <c r="AU39" s="129">
        <f>'P&amp;L - Inputs'!BC200</f>
        <v>39258000.6300001</v>
      </c>
      <c r="AV39" s="129">
        <f>'P&amp;L - Inputs'!BD200</f>
        <v>68425967.910000175</v>
      </c>
      <c r="AW39" s="129">
        <f>'P&amp;L - Inputs'!BE200</f>
        <v>57689324.859999999</v>
      </c>
      <c r="AX39" s="129">
        <f>'P&amp;L - Inputs'!BF200</f>
        <v>49015703.230000228</v>
      </c>
      <c r="AY39" s="129">
        <f>'P&amp;L - Inputs'!BG200</f>
        <v>59074398.680000357</v>
      </c>
      <c r="AZ39" s="129">
        <f>'P&amp;L - Inputs'!BH200</f>
        <v>88185123.210000247</v>
      </c>
      <c r="BA39" s="129">
        <f>'P&amp;L - Inputs'!BI200</f>
        <v>152973536.25000083</v>
      </c>
      <c r="BB39" s="129">
        <f>'P&amp;L - Inputs'!BJ200</f>
        <v>177174015.33940253</v>
      </c>
      <c r="BC39" s="129">
        <f>'P&amp;L - Inputs'!BK200</f>
        <v>157718791.54965979</v>
      </c>
      <c r="BD39" s="129">
        <f>'P&amp;L - Inputs'!BL200</f>
        <v>192604051.81638539</v>
      </c>
      <c r="BE39" s="129">
        <f>'P&amp;L - Inputs'!BM200</f>
        <v>134896928.34310046</v>
      </c>
      <c r="BF39" s="129">
        <f>'P&amp;L - Inputs'!BN200</f>
        <v>158219423.1749382</v>
      </c>
      <c r="BG39" s="129">
        <f>'P&amp;L - Inputs'!BO200</f>
        <v>175665259.36695758</v>
      </c>
      <c r="BH39" s="129">
        <f>'P&amp;L - Inputs'!BP200</f>
        <v>276621197.60860538</v>
      </c>
      <c r="BI39" s="129">
        <f>'P&amp;L - Inputs'!BQ200</f>
        <v>215921783.32452267</v>
      </c>
      <c r="BJ39" s="129">
        <f>'P&amp;L - Inputs'!BR200</f>
        <v>204095609.66502008</v>
      </c>
      <c r="BK39" s="129">
        <f>'P&amp;L - Inputs'!BS200</f>
        <v>208606599.41250107</v>
      </c>
      <c r="BL39" s="129">
        <f>'P&amp;L - Inputs'!BT200</f>
        <v>153567638.02271467</v>
      </c>
      <c r="BM39" s="129">
        <f>'P&amp;L - Inputs'!BU200</f>
        <v>217433306.31716239</v>
      </c>
      <c r="BN39" s="129">
        <f>'P&amp;L - Inputs'!BV200</f>
        <v>208026931.88635713</v>
      </c>
      <c r="BO39" s="129">
        <f>'P&amp;L - Inputs'!BW200</f>
        <v>225522037.91801453</v>
      </c>
      <c r="BP39" s="129">
        <f>'P&amp;L - Inputs'!BX200</f>
        <v>234565597.74187648</v>
      </c>
      <c r="BQ39" s="129">
        <f>'P&amp;L - Inputs'!BY200</f>
        <v>245431234.54876578</v>
      </c>
      <c r="BR39" s="129">
        <f>'P&amp;L - Inputs'!BZ200</f>
        <v>231617640.59860653</v>
      </c>
      <c r="BS39" s="129">
        <f>'P&amp;L - Inputs'!CA200</f>
        <v>240294211.30664754</v>
      </c>
      <c r="BT39" s="129">
        <f>'P&amp;L - Inputs'!CB200</f>
        <v>258102547.49511218</v>
      </c>
      <c r="BU39" s="129">
        <f>'P&amp;L - Inputs'!CC200</f>
        <v>225238305.27306521</v>
      </c>
      <c r="BV39" s="129">
        <f>'P&amp;L - Inputs'!CD200</f>
        <v>268332201.02086401</v>
      </c>
      <c r="BW39" s="129">
        <f>'P&amp;L - Inputs'!CE200</f>
        <v>301525732.43045539</v>
      </c>
      <c r="BX39" s="129">
        <f>'P&amp;L - Inputs'!CF200</f>
        <v>289395326.84291881</v>
      </c>
      <c r="BY39" s="129">
        <f>'P&amp;L - Inputs'!CG200</f>
        <v>388927314.4395901</v>
      </c>
      <c r="BZ39" s="129">
        <f>'P&amp;L - Inputs'!CH200</f>
        <v>330788425.37308317</v>
      </c>
      <c r="CA39" s="129">
        <f>'P&amp;L - Inputs'!CI200</f>
        <v>334630640.12831521</v>
      </c>
      <c r="CB39" s="129">
        <f>'P&amp;L - Inputs'!CJ200</f>
        <v>329391153.37788463</v>
      </c>
      <c r="CC39" s="129">
        <f>'P&amp;L - Inputs'!CK200</f>
        <v>345153796.04174227</v>
      </c>
      <c r="CD39" s="129">
        <f>'P&amp;L - Inputs'!CL200</f>
        <v>305397150.88949305</v>
      </c>
      <c r="CE39" s="129">
        <f>'P&amp;L - Inputs'!CM200</f>
        <v>386268445.82670391</v>
      </c>
      <c r="CF39" s="129">
        <f>'P&amp;L - Inputs'!CN200</f>
        <v>333244384.03749192</v>
      </c>
      <c r="CG39" s="129">
        <f>'P&amp;L - Inputs'!CO200</f>
        <v>330127337.40059996</v>
      </c>
      <c r="CH39" s="129">
        <f>'P&amp;L - Inputs'!CP200</f>
        <v>395729715.47499943</v>
      </c>
      <c r="CI39" s="129">
        <f>'P&amp;L - Inputs'!CQ200</f>
        <v>438646716.91063964</v>
      </c>
      <c r="CJ39" s="129">
        <f>'P&amp;L - Inputs'!CR200</f>
        <v>353510206.56775951</v>
      </c>
      <c r="CK39" s="129">
        <f>'P&amp;L - Inputs'!CS200</f>
        <v>418055759.14144975</v>
      </c>
      <c r="CL39" s="129">
        <f>'P&amp;L - Inputs'!CT200</f>
        <v>396417876.99742377</v>
      </c>
      <c r="CM39" s="129">
        <f>'P&amp;L - Inputs'!CU200</f>
        <v>400452482.30983347</v>
      </c>
      <c r="CN39" s="129">
        <f>'P&amp;L - Inputs'!CV200</f>
        <v>400166001.45924819</v>
      </c>
      <c r="CO39" s="129">
        <f>'P&amp;L - Inputs'!CW200</f>
        <v>406205972.72575516</v>
      </c>
      <c r="CP39" s="129">
        <f>'P&amp;L - Inputs'!CX200</f>
        <v>382762289.78619051</v>
      </c>
      <c r="CQ39" s="129">
        <f>'P&amp;L - Inputs'!CY200</f>
        <v>418715636.53464699</v>
      </c>
      <c r="CR39" s="129">
        <f>'P&amp;L - Inputs'!CZ200</f>
        <v>407137035.49015737</v>
      </c>
      <c r="CS39" s="129">
        <f>'P&amp;L - Inputs'!DA200</f>
        <v>408091971.65877509</v>
      </c>
      <c r="CT39" s="129">
        <f>'P&amp;L - Inputs'!DB200</f>
        <v>500935640.65263122</v>
      </c>
      <c r="CU39" s="129">
        <f>'P&amp;L - Inputs'!DC200</f>
        <v>539753795.90694094</v>
      </c>
      <c r="CV39" s="129">
        <f>'P&amp;L - Inputs'!DD200</f>
        <v>462738193.9079231</v>
      </c>
      <c r="CW39" s="129">
        <f>'P&amp;L - Inputs'!DE200</f>
        <v>500028451.29244441</v>
      </c>
      <c r="CX39" s="129">
        <f>'P&amp;L - Inputs'!DF200</f>
        <v>469556975.30344844</v>
      </c>
      <c r="CY39" s="129">
        <f>'P&amp;L - Inputs'!DG200</f>
        <v>474335965.29599786</v>
      </c>
      <c r="CZ39" s="129">
        <f>'P&amp;L - Inputs'!DH200</f>
        <v>473996628.72847962</v>
      </c>
      <c r="DA39" s="129">
        <f>'P&amp;L - Inputs'!DI200</f>
        <v>481150974.69365716</v>
      </c>
      <c r="DB39" s="129">
        <f>'P&amp;L - Inputs'!DJ200</f>
        <v>453381932.25174284</v>
      </c>
      <c r="DC39" s="129">
        <f>'P&amp;L - Inputs'!DK200</f>
        <v>495968671.47528958</v>
      </c>
      <c r="DD39" s="129">
        <f>'P&amp;L - Inputs'!DL200</f>
        <v>482253818.53809154</v>
      </c>
      <c r="DE39" s="129">
        <f>'P&amp;L - Inputs'!DM200</f>
        <v>483384940.42981923</v>
      </c>
      <c r="DF39" s="129">
        <f>'P&amp;L - Inputs'!DN200</f>
        <v>593358266.35304189</v>
      </c>
      <c r="DG39" s="129">
        <f>'P&amp;L - Inputs'!DO200</f>
        <v>639338371.25177169</v>
      </c>
      <c r="DH39" s="129">
        <f>'P&amp;L - Inputs'!DP200</f>
        <v>548113390.68393505</v>
      </c>
      <c r="DI39" s="129">
        <f>'P&amp;L - Inputs'!DQ200</f>
        <v>592283700.55590045</v>
      </c>
      <c r="DJ39" s="129">
        <f>'P&amp;L - Inputs'!DR200</f>
        <v>556190237.24693465</v>
      </c>
      <c r="DK39" s="129">
        <f>'P&amp;L - Inputs'!DS200</f>
        <v>561850950.89310956</v>
      </c>
      <c r="DL39" s="129">
        <f>'P&amp;L - Inputs'!DT200</f>
        <v>561449006.7288841</v>
      </c>
      <c r="DM39" s="129">
        <f>'P&amp;L - Inputs'!DU200</f>
        <v>569923329.52463686</v>
      </c>
      <c r="DN39" s="129">
        <f>'P&amp;L - Inputs'!DV200</f>
        <v>537030898.7521894</v>
      </c>
      <c r="DO39" s="129">
        <f>'P&amp;L - Inputs'!DW200</f>
        <v>587474891.3624804</v>
      </c>
      <c r="DP39" s="129">
        <f>'P&amp;L - Inputs'!DX200</f>
        <v>571229648.0583694</v>
      </c>
      <c r="DQ39" s="129">
        <f>'P&amp;L - Inputs'!DY200</f>
        <v>572569461.93912077</v>
      </c>
      <c r="DR39" s="129">
        <f>'P&amp;L - Inputs'!DZ200</f>
        <v>702832866.49517798</v>
      </c>
      <c r="DS39" s="129">
        <f>'P&amp;L - Inputs'!EA200</f>
        <v>757296300.74772322</v>
      </c>
      <c r="DT39" s="129">
        <f>'P&amp;L - Inputs'!EB200</f>
        <v>649240311.26512098</v>
      </c>
      <c r="DU39" s="129">
        <f>'P&amp;L - Inputs'!EC200</f>
        <v>701560043.30846405</v>
      </c>
      <c r="DW39" s="129">
        <f>SUM(BB39:BD39)</f>
        <v>527496858.70544767</v>
      </c>
      <c r="DX39" s="663">
        <f>SUM(BE39:BG39)</f>
        <v>468781610.88499618</v>
      </c>
      <c r="DY39" s="129">
        <f>SUM(BH39:BJ39)</f>
        <v>696638590.59814811</v>
      </c>
      <c r="DZ39" s="129">
        <f>SUM(BK39:BM39)</f>
        <v>579607543.75237811</v>
      </c>
      <c r="EA39" s="129">
        <f>SUM(BN39:BP39)</f>
        <v>668114567.5462482</v>
      </c>
      <c r="EB39" s="129">
        <f>SUM(BQ39:BS39)</f>
        <v>717343086.45401978</v>
      </c>
      <c r="EC39" s="129">
        <f>SUM(BT39:BV39)</f>
        <v>751673053.7890414</v>
      </c>
      <c r="ED39" s="129">
        <f>SUM(BW39:BY39)</f>
        <v>979848373.7129643</v>
      </c>
      <c r="EE39" s="129">
        <f>SUM(BZ39:CB39)</f>
        <v>994810218.87928295</v>
      </c>
      <c r="EF39" s="129">
        <f>SUM(CC39:CE39)</f>
        <v>1036819392.7579392</v>
      </c>
      <c r="EG39" s="129">
        <f>SUM(CF39:CH39)</f>
        <v>1059101436.9130913</v>
      </c>
      <c r="EH39" s="129">
        <f>SUM(CI39:CK39)</f>
        <v>1210212682.619849</v>
      </c>
      <c r="EI39" s="129">
        <f>SUM(CL39:CN39)</f>
        <v>1197036360.7665052</v>
      </c>
      <c r="EJ39" s="129">
        <f>SUM(CO39:CQ39)</f>
        <v>1207683899.0465927</v>
      </c>
      <c r="EK39" s="129">
        <f>SUM(CR39:CT39)</f>
        <v>1316164647.8015637</v>
      </c>
      <c r="EL39" s="129">
        <f>SUM(CU39:CW39)</f>
        <v>1502520441.1073084</v>
      </c>
      <c r="EM39" s="129">
        <f>SUM(CX39:CZ39)</f>
        <v>1417889569.3279259</v>
      </c>
      <c r="EN39" s="129">
        <f>SUM(DA39:DC39)</f>
        <v>1430501578.4206896</v>
      </c>
      <c r="EO39" s="644">
        <f>SUM(DD39:DF39)</f>
        <v>1558997025.3209527</v>
      </c>
      <c r="EP39" s="129">
        <f>SUM(DG39:DI39)</f>
        <v>1779735462.4916072</v>
      </c>
      <c r="EQ39" s="129">
        <f t="shared" si="58"/>
        <v>1679490194.8689284</v>
      </c>
      <c r="ER39" s="129">
        <f t="shared" si="59"/>
        <v>1694429119.6393068</v>
      </c>
      <c r="ES39" s="129">
        <f t="shared" si="60"/>
        <v>1846631976.4926682</v>
      </c>
      <c r="ET39" s="129">
        <f t="shared" si="61"/>
        <v>2108096655.3213081</v>
      </c>
      <c r="EV39" s="129">
        <f t="shared" ref="EV39:EV50" si="66">SUM(DW39:DZ39)</f>
        <v>2272524603.9409699</v>
      </c>
      <c r="EW39" s="129">
        <f t="shared" ref="EW39:EW50" si="67">SUM(EA39:ED39)</f>
        <v>3116979081.5022736</v>
      </c>
      <c r="EX39" s="129">
        <f t="shared" ref="EX39:EX50" si="68">SUM(EE39:EH39)</f>
        <v>4300943731.1701622</v>
      </c>
      <c r="EY39" s="129">
        <f t="shared" ref="EY39:EY50" si="69">SUM(EI39:EL39)</f>
        <v>5223405348.7219696</v>
      </c>
      <c r="EZ39" s="129">
        <f t="shared" ref="EZ39:EZ50" si="70">SUM(EM39:EP39)</f>
        <v>6187123635.5611744</v>
      </c>
      <c r="FA39" s="663">
        <f t="shared" ref="FA39:FA50" si="71">SUM(EQ39:ET39)</f>
        <v>7328647946.3222113</v>
      </c>
    </row>
    <row r="40" spans="2:157" x14ac:dyDescent="0.2">
      <c r="B40" s="114" t="s">
        <v>158</v>
      </c>
      <c r="C40" s="129">
        <f>'P&amp;L - Inputs'!K201</f>
        <v>0</v>
      </c>
      <c r="D40" s="129">
        <f>'P&amp;L - Inputs'!L201</f>
        <v>0</v>
      </c>
      <c r="E40" s="129">
        <f>'P&amp;L - Inputs'!M201</f>
        <v>0</v>
      </c>
      <c r="F40" s="129">
        <f>'P&amp;L - Inputs'!N201</f>
        <v>0</v>
      </c>
      <c r="G40" s="129">
        <f>'P&amp;L - Inputs'!O201</f>
        <v>0</v>
      </c>
      <c r="H40" s="129">
        <f>'P&amp;L - Inputs'!P201</f>
        <v>0</v>
      </c>
      <c r="I40" s="129">
        <f>'P&amp;L - Inputs'!Q201</f>
        <v>0</v>
      </c>
      <c r="J40" s="129">
        <f>'P&amp;L - Inputs'!R201</f>
        <v>0</v>
      </c>
      <c r="K40" s="129">
        <f>'P&amp;L - Inputs'!S201</f>
        <v>0</v>
      </c>
      <c r="L40" s="129">
        <f>'P&amp;L - Inputs'!T201</f>
        <v>0</v>
      </c>
      <c r="M40" s="129">
        <f>'P&amp;L - Inputs'!U201</f>
        <v>0</v>
      </c>
      <c r="N40" s="129">
        <f>'P&amp;L - Inputs'!V201</f>
        <v>0</v>
      </c>
      <c r="O40" s="129">
        <f>'P&amp;L - Inputs'!W201</f>
        <v>0</v>
      </c>
      <c r="P40" s="129">
        <f>'P&amp;L - Inputs'!X201</f>
        <v>0</v>
      </c>
      <c r="Q40" s="129">
        <f>'P&amp;L - Inputs'!Y201</f>
        <v>0</v>
      </c>
      <c r="R40" s="129">
        <f>'P&amp;L - Inputs'!Z201</f>
        <v>0</v>
      </c>
      <c r="S40" s="129">
        <f>'P&amp;L - Inputs'!AA201</f>
        <v>0</v>
      </c>
      <c r="T40" s="129">
        <f>'P&amp;L - Inputs'!AB201</f>
        <v>60026</v>
      </c>
      <c r="U40" s="129">
        <f>'P&amp;L - Inputs'!AC201</f>
        <v>3996</v>
      </c>
      <c r="V40" s="129">
        <f>'P&amp;L - Inputs'!AD201</f>
        <v>0</v>
      </c>
      <c r="W40" s="129">
        <f>'P&amp;L - Inputs'!AE201</f>
        <v>22283</v>
      </c>
      <c r="X40" s="129">
        <f>'P&amp;L - Inputs'!AF201</f>
        <v>0</v>
      </c>
      <c r="Y40" s="129">
        <f>'P&amp;L - Inputs'!AG201</f>
        <v>0</v>
      </c>
      <c r="Z40" s="129">
        <f>'P&amp;L - Inputs'!AH201</f>
        <v>0</v>
      </c>
      <c r="AA40" s="129">
        <f>'P&amp;L - Inputs'!AI201</f>
        <v>0</v>
      </c>
      <c r="AB40" s="129">
        <f>'P&amp;L - Inputs'!AJ201</f>
        <v>0</v>
      </c>
      <c r="AC40" s="129">
        <f>'P&amp;L - Inputs'!AK201</f>
        <v>0</v>
      </c>
      <c r="AD40" s="129">
        <f>'P&amp;L - Inputs'!AL201</f>
        <v>0</v>
      </c>
      <c r="AE40" s="129">
        <f>'P&amp;L - Inputs'!AM201</f>
        <v>0</v>
      </c>
      <c r="AF40" s="129">
        <f>'P&amp;L - Inputs'!AN201</f>
        <v>0</v>
      </c>
      <c r="AG40" s="129">
        <f>'P&amp;L - Inputs'!AO201</f>
        <v>0</v>
      </c>
      <c r="AH40" s="129">
        <f>'P&amp;L - Inputs'!AP201</f>
        <v>0</v>
      </c>
      <c r="AI40" s="129">
        <f>'P&amp;L - Inputs'!AQ201</f>
        <v>0</v>
      </c>
      <c r="AJ40" s="129">
        <f>'P&amp;L - Inputs'!AR201</f>
        <v>0</v>
      </c>
      <c r="AK40" s="129">
        <f>'P&amp;L - Inputs'!AS201</f>
        <v>0</v>
      </c>
      <c r="AL40" s="129">
        <f>'P&amp;L - Inputs'!AT201</f>
        <v>0</v>
      </c>
      <c r="AM40" s="129">
        <f>'P&amp;L - Inputs'!AU201</f>
        <v>0</v>
      </c>
      <c r="AN40" s="129">
        <f>'P&amp;L - Inputs'!AV201</f>
        <v>0</v>
      </c>
      <c r="AO40" s="129">
        <f>'P&amp;L - Inputs'!AW201</f>
        <v>0</v>
      </c>
      <c r="AP40" s="129">
        <f>'P&amp;L - Inputs'!AX201</f>
        <v>0</v>
      </c>
      <c r="AQ40" s="129">
        <f>'P&amp;L - Inputs'!AY201</f>
        <v>0</v>
      </c>
      <c r="AR40" s="129">
        <f>'P&amp;L - Inputs'!AZ201</f>
        <v>0</v>
      </c>
      <c r="AS40" s="129">
        <f>'P&amp;L - Inputs'!BA201</f>
        <v>0</v>
      </c>
      <c r="AT40" s="129">
        <f>'P&amp;L - Inputs'!BB201</f>
        <v>0</v>
      </c>
      <c r="AU40" s="129">
        <f>'P&amp;L - Inputs'!BC201</f>
        <v>0</v>
      </c>
      <c r="AV40" s="129">
        <f>'P&amp;L - Inputs'!BD201</f>
        <v>0</v>
      </c>
      <c r="AW40" s="129">
        <f>'P&amp;L - Inputs'!BE201</f>
        <v>0</v>
      </c>
      <c r="AX40" s="129">
        <f>'P&amp;L - Inputs'!BF201</f>
        <v>0</v>
      </c>
      <c r="AY40" s="129">
        <f>'P&amp;L - Inputs'!BG201</f>
        <v>0</v>
      </c>
      <c r="AZ40" s="129">
        <f>'P&amp;L - Inputs'!BH201</f>
        <v>0</v>
      </c>
      <c r="BA40" s="129">
        <f>'P&amp;L - Inputs'!BI201</f>
        <v>0</v>
      </c>
      <c r="BB40" s="129">
        <f>'P&amp;L - Inputs'!BJ201</f>
        <v>0</v>
      </c>
      <c r="BC40" s="129">
        <f>'P&amp;L - Inputs'!BK201</f>
        <v>0</v>
      </c>
      <c r="BD40" s="129">
        <f>'P&amp;L - Inputs'!BL201</f>
        <v>0</v>
      </c>
      <c r="BE40" s="129">
        <f>'P&amp;L - Inputs'!BM201</f>
        <v>0</v>
      </c>
      <c r="BF40" s="129">
        <f>'P&amp;L - Inputs'!BN201</f>
        <v>0</v>
      </c>
      <c r="BG40" s="129">
        <f>'P&amp;L - Inputs'!BO201</f>
        <v>0</v>
      </c>
      <c r="BH40" s="129">
        <f>'P&amp;L - Inputs'!BP201</f>
        <v>0</v>
      </c>
      <c r="BI40" s="129">
        <f>'P&amp;L - Inputs'!BQ201</f>
        <v>0</v>
      </c>
      <c r="BJ40" s="129">
        <f>'P&amp;L - Inputs'!BR201</f>
        <v>0</v>
      </c>
      <c r="BK40" s="129">
        <f>'P&amp;L - Inputs'!BS201</f>
        <v>0</v>
      </c>
      <c r="BL40" s="129">
        <f>'P&amp;L - Inputs'!BT201</f>
        <v>0</v>
      </c>
      <c r="BM40" s="129">
        <f>'P&amp;L - Inputs'!BU201</f>
        <v>0</v>
      </c>
      <c r="BN40" s="129">
        <f>'P&amp;L - Inputs'!BV201</f>
        <v>0</v>
      </c>
      <c r="BO40" s="129">
        <f>'P&amp;L - Inputs'!BW201</f>
        <v>0</v>
      </c>
      <c r="BP40" s="129">
        <f>'P&amp;L - Inputs'!BX201</f>
        <v>0</v>
      </c>
      <c r="BQ40" s="129">
        <f>'P&amp;L - Inputs'!BY201</f>
        <v>0</v>
      </c>
      <c r="BR40" s="129">
        <f>'P&amp;L - Inputs'!BZ201</f>
        <v>0</v>
      </c>
      <c r="BS40" s="129">
        <f>'P&amp;L - Inputs'!CA201</f>
        <v>0</v>
      </c>
      <c r="BT40" s="129">
        <f>'P&amp;L - Inputs'!CB201</f>
        <v>0</v>
      </c>
      <c r="BU40" s="129">
        <f>'P&amp;L - Inputs'!CC201</f>
        <v>0</v>
      </c>
      <c r="BV40" s="129">
        <f>'P&amp;L - Inputs'!CD201</f>
        <v>0</v>
      </c>
      <c r="BW40" s="129">
        <f>'P&amp;L - Inputs'!CE201</f>
        <v>0</v>
      </c>
      <c r="BX40" s="129">
        <f>'P&amp;L - Inputs'!CF201</f>
        <v>0</v>
      </c>
      <c r="BY40" s="129">
        <f>'P&amp;L - Inputs'!CG201</f>
        <v>0</v>
      </c>
      <c r="BZ40" s="129">
        <f>'P&amp;L - Inputs'!CH201</f>
        <v>2782782</v>
      </c>
      <c r="CA40" s="129">
        <f>'P&amp;L - Inputs'!CI201</f>
        <v>2960259</v>
      </c>
      <c r="CB40" s="129">
        <f>'P&amp;L - Inputs'!CJ201</f>
        <v>2892636.2857142854</v>
      </c>
      <c r="CC40" s="129">
        <f>'P&amp;L - Inputs'!CK201</f>
        <v>3384696.2857142854</v>
      </c>
      <c r="CD40" s="129">
        <f>'P&amp;L - Inputs'!CL201</f>
        <v>3494618</v>
      </c>
      <c r="CE40" s="129">
        <f>'P&amp;L - Inputs'!CM201</f>
        <v>4171683.0000000005</v>
      </c>
      <c r="CF40" s="129">
        <f>'P&amp;L - Inputs'!CN201</f>
        <v>3947234</v>
      </c>
      <c r="CG40" s="129">
        <f>'P&amp;L - Inputs'!CO201</f>
        <v>3426000</v>
      </c>
      <c r="CH40" s="129">
        <f>'P&amp;L - Inputs'!CP201</f>
        <v>4836000</v>
      </c>
      <c r="CI40" s="129">
        <f>'P&amp;L - Inputs'!CQ201</f>
        <v>7208000.0000000009</v>
      </c>
      <c r="CJ40" s="129">
        <f>'P&amp;L - Inputs'!CR201</f>
        <v>6084000</v>
      </c>
      <c r="CK40" s="129">
        <f>'P&amp;L - Inputs'!CS201</f>
        <v>6885000</v>
      </c>
      <c r="CL40" s="129">
        <f>'P&amp;L - Inputs'!CT201</f>
        <v>4681083.7072708011</v>
      </c>
      <c r="CM40" s="129">
        <f>'P&amp;L - Inputs'!CU201</f>
        <v>4728726.1731864214</v>
      </c>
      <c r="CN40" s="129">
        <f>'P&amp;L - Inputs'!CV201</f>
        <v>4725343.2761983275</v>
      </c>
      <c r="CO40" s="129">
        <f>'P&amp;L - Inputs'!CW201</f>
        <v>4796666.0210306048</v>
      </c>
      <c r="CP40" s="129">
        <f>'P&amp;L - Inputs'!CX201</f>
        <v>4519832.2841718197</v>
      </c>
      <c r="CQ40" s="129">
        <f>'P&amp;L - Inputs'!CY201</f>
        <v>4944385.8561772108</v>
      </c>
      <c r="CR40" s="129">
        <f>'P&amp;L - Inputs'!CZ201</f>
        <v>4807660.4362418652</v>
      </c>
      <c r="CS40" s="129">
        <f>'P&amp;L - Inputs'!DA201</f>
        <v>4818936.7595354915</v>
      </c>
      <c r="CT40" s="129">
        <f>'P&amp;L - Inputs'!DB201</f>
        <v>5915277.2917592525</v>
      </c>
      <c r="CU40" s="129">
        <f>'P&amp;L - Inputs'!DC201</f>
        <v>6373659.8336455822</v>
      </c>
      <c r="CV40" s="129">
        <f>'P&amp;L - Inputs'!DD201</f>
        <v>5464224.3600138426</v>
      </c>
      <c r="CW40" s="129">
        <f>'P&amp;L - Inputs'!DE201</f>
        <v>5904564.7846302986</v>
      </c>
      <c r="CX40" s="129">
        <f>'P&amp;L - Inputs'!DF201</f>
        <v>5544743.6512621641</v>
      </c>
      <c r="CY40" s="129">
        <f>'P&amp;L - Inputs'!DG201</f>
        <v>5601176.1521391869</v>
      </c>
      <c r="CZ40" s="129">
        <f>'P&amp;L - Inputs'!DH201</f>
        <v>5597169.1106567383</v>
      </c>
      <c r="DA40" s="129">
        <f>'P&amp;L - Inputs'!DI201</f>
        <v>5681650.9019105434</v>
      </c>
      <c r="DB40" s="129">
        <f>'P&amp;L - Inputs'!DJ201</f>
        <v>5353741.340601325</v>
      </c>
      <c r="DC40" s="129">
        <f>'P&amp;L - Inputs'!DK201</f>
        <v>5856625.0466417074</v>
      </c>
      <c r="DD40" s="129">
        <f>'P&amp;L - Inputs'!DL201</f>
        <v>5694673.7867282629</v>
      </c>
      <c r="DE40" s="129">
        <f>'P&amp;L - Inputs'!DM201</f>
        <v>5708030.5916695595</v>
      </c>
      <c r="DF40" s="129">
        <f>'P&amp;L - Inputs'!DN201</f>
        <v>7006645.9520885944</v>
      </c>
      <c r="DG40" s="129">
        <f>'P&amp;L - Inputs'!DO201</f>
        <v>7549600.0729528666</v>
      </c>
      <c r="DH40" s="129">
        <f>'P&amp;L - Inputs'!DP201</f>
        <v>6472373.7544361353</v>
      </c>
      <c r="DI40" s="129">
        <f>'P&amp;L - Inputs'!DQ201</f>
        <v>6993956.9873944521</v>
      </c>
      <c r="DJ40" s="129">
        <f>'P&amp;L - Inputs'!DR201</f>
        <v>6567748.8549200296</v>
      </c>
      <c r="DK40" s="129">
        <f>'P&amp;L - Inputs'!DS201</f>
        <v>6634593.1522088051</v>
      </c>
      <c r="DL40" s="129">
        <f>'P&amp;L - Inputs'!DT201</f>
        <v>6629846.8115729094</v>
      </c>
      <c r="DM40" s="129">
        <f>'P&amp;L - Inputs'!DU201</f>
        <v>6729915.4933129549</v>
      </c>
      <c r="DN40" s="129">
        <f>'P&amp;L - Inputs'!DV201</f>
        <v>6341506.617942214</v>
      </c>
      <c r="DO40" s="129">
        <f>'P&amp;L - Inputs'!DW201</f>
        <v>6937172.3677470684</v>
      </c>
      <c r="DP40" s="129">
        <f>'P&amp;L - Inputs'!DX201</f>
        <v>6745341.1003797054</v>
      </c>
      <c r="DQ40" s="129">
        <f>'P&amp;L - Inputs'!DY201</f>
        <v>6761162.2358326912</v>
      </c>
      <c r="DR40" s="129">
        <f>'P&amp;L - Inputs'!DZ201</f>
        <v>8299372.1302491426</v>
      </c>
      <c r="DS40" s="129">
        <f>'P&amp;L - Inputs'!EA201</f>
        <v>8942501.2864129543</v>
      </c>
      <c r="DT40" s="129">
        <f>'P&amp;L - Inputs'!EB201</f>
        <v>7666526.7121297121</v>
      </c>
      <c r="DU40" s="129">
        <f>'P&amp;L - Inputs'!EC201</f>
        <v>8284342.0515687466</v>
      </c>
      <c r="DW40" s="129">
        <f>SUM(BB40:BD40)</f>
        <v>0</v>
      </c>
      <c r="DX40" s="663">
        <f>SUM(BE40:BG40)</f>
        <v>0</v>
      </c>
      <c r="DY40" s="129">
        <f>SUM(BH40:BJ40)</f>
        <v>0</v>
      </c>
      <c r="DZ40" s="129">
        <f>SUM(BK40:BM40)</f>
        <v>0</v>
      </c>
      <c r="EA40" s="129">
        <f>SUM(BN40:BP40)</f>
        <v>0</v>
      </c>
      <c r="EB40" s="129">
        <f>SUM(BQ40:BS40)</f>
        <v>0</v>
      </c>
      <c r="EC40" s="129">
        <f>SUM(BT40:BV40)</f>
        <v>0</v>
      </c>
      <c r="ED40" s="129">
        <f>SUM(BW40:BY40)</f>
        <v>0</v>
      </c>
      <c r="EE40" s="129">
        <f>SUM(BZ40:CB40)</f>
        <v>8635677.2857142854</v>
      </c>
      <c r="EF40" s="129">
        <f>SUM(CC40:CE40)</f>
        <v>11050997.285714285</v>
      </c>
      <c r="EG40" s="129">
        <f>SUM(CF40:CH40)</f>
        <v>12209234</v>
      </c>
      <c r="EH40" s="129">
        <f>SUM(CI40:CK40)</f>
        <v>20177000</v>
      </c>
      <c r="EI40" s="129">
        <f>SUM(CL40:CN40)</f>
        <v>14135153.15665555</v>
      </c>
      <c r="EJ40" s="129">
        <f>SUM(CO40:CQ40)</f>
        <v>14260884.161379635</v>
      </c>
      <c r="EK40" s="129">
        <f>SUM(CR40:CT40)</f>
        <v>15541874.487536609</v>
      </c>
      <c r="EL40" s="129">
        <f>SUM(CU40:CW40)</f>
        <v>17742448.978289723</v>
      </c>
      <c r="EM40" s="129">
        <f>SUM(CX40:CZ40)</f>
        <v>16743088.914058089</v>
      </c>
      <c r="EN40" s="129">
        <f>SUM(DA40:DC40)</f>
        <v>16892017.289153576</v>
      </c>
      <c r="EO40" s="644">
        <f>SUM(DD40:DF40)</f>
        <v>18409350.330486417</v>
      </c>
      <c r="EP40" s="129">
        <f>SUM(DG40:DI40)</f>
        <v>21015930.814783454</v>
      </c>
      <c r="EQ40" s="129">
        <f t="shared" si="58"/>
        <v>19832188.818701744</v>
      </c>
      <c r="ER40" s="129">
        <f t="shared" si="59"/>
        <v>20008594.479002237</v>
      </c>
      <c r="ES40" s="129">
        <f t="shared" si="60"/>
        <v>21805875.466461539</v>
      </c>
      <c r="ET40" s="129">
        <f t="shared" si="61"/>
        <v>24893370.050111413</v>
      </c>
      <c r="EV40" s="129">
        <f t="shared" si="66"/>
        <v>0</v>
      </c>
      <c r="EW40" s="129">
        <f t="shared" si="67"/>
        <v>0</v>
      </c>
      <c r="EX40" s="129">
        <f t="shared" si="68"/>
        <v>52072908.571428567</v>
      </c>
      <c r="EY40" s="129">
        <f t="shared" si="69"/>
        <v>61680360.783861518</v>
      </c>
      <c r="EZ40" s="129">
        <f t="shared" si="70"/>
        <v>73060387.348481536</v>
      </c>
      <c r="FA40" s="663">
        <f t="shared" si="71"/>
        <v>86540028.814276934</v>
      </c>
    </row>
    <row r="41" spans="2:157" x14ac:dyDescent="0.2">
      <c r="B41" s="114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115"/>
      <c r="CD41" s="115"/>
      <c r="CE41" s="115"/>
      <c r="CF41" s="115"/>
      <c r="CG41" s="115"/>
      <c r="CH41" s="115"/>
      <c r="CI41" s="115"/>
      <c r="CJ41" s="115"/>
      <c r="CK41" s="115"/>
      <c r="CL41" s="115"/>
      <c r="CM41" s="115"/>
      <c r="CN41" s="115"/>
      <c r="CO41" s="115"/>
      <c r="CP41" s="115"/>
      <c r="CQ41" s="115"/>
      <c r="CR41" s="115"/>
      <c r="CS41" s="115"/>
      <c r="CT41" s="115"/>
      <c r="CU41" s="115"/>
      <c r="CV41" s="115"/>
      <c r="CW41" s="115"/>
      <c r="CX41" s="115"/>
      <c r="CY41" s="115"/>
      <c r="CZ41" s="115"/>
      <c r="DA41" s="115"/>
      <c r="DB41" s="115"/>
      <c r="DC41" s="115"/>
      <c r="DD41" s="115"/>
      <c r="DE41" s="115"/>
      <c r="DF41" s="115"/>
      <c r="DG41" s="115"/>
      <c r="DH41" s="115"/>
      <c r="DI41" s="115"/>
      <c r="DJ41" s="115"/>
      <c r="DK41" s="115"/>
      <c r="DL41" s="115"/>
      <c r="DM41" s="115"/>
      <c r="DN41" s="115"/>
      <c r="DO41" s="115"/>
      <c r="DP41" s="115"/>
      <c r="DQ41" s="115"/>
      <c r="DR41" s="115"/>
      <c r="DS41" s="115"/>
      <c r="DT41" s="115"/>
      <c r="DU41" s="115"/>
      <c r="DW41" s="115"/>
      <c r="DX41" s="664"/>
      <c r="DY41" s="115"/>
      <c r="DZ41" s="115"/>
      <c r="EA41" s="115"/>
      <c r="EB41" s="115"/>
      <c r="EC41" s="115"/>
      <c r="ED41" s="115"/>
      <c r="EE41" s="115"/>
      <c r="EF41" s="115"/>
      <c r="EG41" s="115"/>
      <c r="EH41" s="115"/>
      <c r="EI41" s="115"/>
      <c r="EJ41" s="115"/>
      <c r="EK41" s="115"/>
      <c r="EL41" s="115"/>
      <c r="EM41" s="115"/>
      <c r="EN41" s="115"/>
      <c r="EO41" s="645"/>
      <c r="EP41" s="115"/>
      <c r="EQ41" s="129"/>
      <c r="ER41" s="129"/>
      <c r="ES41" s="129"/>
      <c r="ET41" s="129"/>
      <c r="EV41" s="115"/>
      <c r="EW41" s="115"/>
      <c r="EX41" s="115"/>
      <c r="EY41" s="115"/>
      <c r="EZ41" s="115"/>
      <c r="FA41" s="664"/>
    </row>
    <row r="42" spans="2:157" x14ac:dyDescent="0.2">
      <c r="B42" s="117" t="s">
        <v>141</v>
      </c>
      <c r="C42" s="125">
        <f>C43+C46</f>
        <v>80</v>
      </c>
      <c r="D42" s="125">
        <f t="shared" ref="D42:BO42" si="72">D43+D46</f>
        <v>432</v>
      </c>
      <c r="E42" s="125">
        <f t="shared" si="72"/>
        <v>1705</v>
      </c>
      <c r="F42" s="125">
        <f t="shared" si="72"/>
        <v>2055</v>
      </c>
      <c r="G42" s="125">
        <f t="shared" si="72"/>
        <v>2301</v>
      </c>
      <c r="H42" s="125">
        <f t="shared" si="72"/>
        <v>1621</v>
      </c>
      <c r="I42" s="125">
        <f t="shared" si="72"/>
        <v>3131</v>
      </c>
      <c r="J42" s="125">
        <f t="shared" si="72"/>
        <v>2883</v>
      </c>
      <c r="K42" s="125">
        <f t="shared" si="72"/>
        <v>3656</v>
      </c>
      <c r="L42" s="125">
        <f t="shared" si="72"/>
        <v>3261</v>
      </c>
      <c r="M42" s="125">
        <f t="shared" si="72"/>
        <v>1240</v>
      </c>
      <c r="N42" s="125">
        <f t="shared" si="72"/>
        <v>1688</v>
      </c>
      <c r="O42" s="125">
        <f t="shared" si="72"/>
        <v>2470</v>
      </c>
      <c r="P42" s="125">
        <f t="shared" si="72"/>
        <v>245</v>
      </c>
      <c r="Q42" s="125">
        <f t="shared" si="72"/>
        <v>1399</v>
      </c>
      <c r="R42" s="125">
        <f t="shared" si="72"/>
        <v>-340</v>
      </c>
      <c r="S42" s="125">
        <f t="shared" si="72"/>
        <v>1757</v>
      </c>
      <c r="T42" s="125">
        <f t="shared" si="72"/>
        <v>1034</v>
      </c>
      <c r="U42" s="125">
        <f t="shared" si="72"/>
        <v>533</v>
      </c>
      <c r="V42" s="125">
        <f t="shared" si="72"/>
        <v>662</v>
      </c>
      <c r="W42" s="125">
        <f t="shared" si="72"/>
        <v>1062</v>
      </c>
      <c r="X42" s="125">
        <f t="shared" si="72"/>
        <v>1693</v>
      </c>
      <c r="Y42" s="125">
        <f t="shared" si="72"/>
        <v>1554</v>
      </c>
      <c r="Z42" s="125">
        <f t="shared" si="72"/>
        <v>2552</v>
      </c>
      <c r="AA42" s="125">
        <f t="shared" si="72"/>
        <v>3124</v>
      </c>
      <c r="AB42" s="125">
        <f t="shared" si="72"/>
        <v>1721</v>
      </c>
      <c r="AC42" s="125">
        <f t="shared" si="72"/>
        <v>2362</v>
      </c>
      <c r="AD42" s="125">
        <f t="shared" si="72"/>
        <v>2074</v>
      </c>
      <c r="AE42" s="125">
        <f t="shared" si="72"/>
        <v>1265</v>
      </c>
      <c r="AF42" s="125">
        <f t="shared" si="72"/>
        <v>1848</v>
      </c>
      <c r="AG42" s="125">
        <f t="shared" si="72"/>
        <v>1552</v>
      </c>
      <c r="AH42" s="125">
        <f t="shared" si="72"/>
        <v>984</v>
      </c>
      <c r="AI42" s="125">
        <f t="shared" si="72"/>
        <v>1095</v>
      </c>
      <c r="AJ42" s="125">
        <f t="shared" si="72"/>
        <v>1306</v>
      </c>
      <c r="AK42" s="125">
        <f t="shared" si="72"/>
        <v>2999</v>
      </c>
      <c r="AL42" s="125">
        <f t="shared" si="72"/>
        <v>3673</v>
      </c>
      <c r="AM42" s="125">
        <f t="shared" si="72"/>
        <v>3859</v>
      </c>
      <c r="AN42" s="125">
        <f t="shared" si="72"/>
        <v>2982</v>
      </c>
      <c r="AO42" s="125">
        <f t="shared" si="72"/>
        <v>1517</v>
      </c>
      <c r="AP42" s="125">
        <f t="shared" si="72"/>
        <v>1430</v>
      </c>
      <c r="AQ42" s="125">
        <f t="shared" si="72"/>
        <v>2223</v>
      </c>
      <c r="AR42" s="125">
        <f t="shared" si="72"/>
        <v>2220</v>
      </c>
      <c r="AS42" s="125">
        <f t="shared" si="72"/>
        <v>2641</v>
      </c>
      <c r="AT42" s="125">
        <f t="shared" si="72"/>
        <v>2093</v>
      </c>
      <c r="AU42" s="125">
        <f t="shared" si="72"/>
        <v>3067</v>
      </c>
      <c r="AV42" s="125">
        <f t="shared" si="72"/>
        <v>4050</v>
      </c>
      <c r="AW42" s="125">
        <f t="shared" si="72"/>
        <v>2922</v>
      </c>
      <c r="AX42" s="125">
        <f t="shared" si="72"/>
        <v>2630</v>
      </c>
      <c r="AY42" s="125">
        <f t="shared" si="72"/>
        <v>2543</v>
      </c>
      <c r="AZ42" s="125">
        <f t="shared" si="72"/>
        <v>4345</v>
      </c>
      <c r="BA42" s="125">
        <f t="shared" si="72"/>
        <v>7025</v>
      </c>
      <c r="BB42" s="125">
        <f t="shared" si="72"/>
        <v>8356</v>
      </c>
      <c r="BC42" s="125">
        <f t="shared" si="72"/>
        <v>7180</v>
      </c>
      <c r="BD42" s="125">
        <f t="shared" si="72"/>
        <v>9549</v>
      </c>
      <c r="BE42" s="125">
        <f t="shared" si="72"/>
        <v>6251</v>
      </c>
      <c r="BF42" s="125">
        <f t="shared" si="72"/>
        <v>7619</v>
      </c>
      <c r="BG42" s="125">
        <f t="shared" si="72"/>
        <v>7870</v>
      </c>
      <c r="BH42" s="125">
        <f t="shared" si="72"/>
        <v>10258</v>
      </c>
      <c r="BI42" s="125">
        <f t="shared" si="72"/>
        <v>9162</v>
      </c>
      <c r="BJ42" s="125">
        <f t="shared" si="72"/>
        <v>8312</v>
      </c>
      <c r="BK42" s="125">
        <f t="shared" si="72"/>
        <v>8730</v>
      </c>
      <c r="BL42" s="125">
        <f t="shared" si="72"/>
        <v>5914</v>
      </c>
      <c r="BM42" s="125">
        <f t="shared" si="72"/>
        <v>9130</v>
      </c>
      <c r="BN42" s="125">
        <f t="shared" si="72"/>
        <v>8412</v>
      </c>
      <c r="BO42" s="125">
        <f t="shared" si="72"/>
        <v>8850</v>
      </c>
      <c r="BP42" s="125">
        <f t="shared" ref="BP42:DI42" si="73">BP43+BP46</f>
        <v>9253</v>
      </c>
      <c r="BQ42" s="125">
        <f t="shared" si="73"/>
        <v>9632</v>
      </c>
      <c r="BR42" s="125">
        <f t="shared" si="73"/>
        <v>8794</v>
      </c>
      <c r="BS42" s="125">
        <f t="shared" si="73"/>
        <v>8867</v>
      </c>
      <c r="BT42" s="125">
        <f t="shared" si="73"/>
        <v>8865</v>
      </c>
      <c r="BU42" s="125">
        <f t="shared" si="73"/>
        <v>7938</v>
      </c>
      <c r="BV42" s="125">
        <f t="shared" si="73"/>
        <v>9864</v>
      </c>
      <c r="BW42" s="125">
        <f t="shared" si="73"/>
        <v>11056</v>
      </c>
      <c r="BX42" s="125">
        <f t="shared" si="73"/>
        <v>10929</v>
      </c>
      <c r="BY42" s="125">
        <f t="shared" si="73"/>
        <v>14334</v>
      </c>
      <c r="BZ42" s="125">
        <f t="shared" si="73"/>
        <v>11613</v>
      </c>
      <c r="CA42" s="125">
        <f t="shared" si="73"/>
        <v>12041</v>
      </c>
      <c r="CB42" s="125">
        <f t="shared" si="73"/>
        <v>12192.285714285714</v>
      </c>
      <c r="CC42" s="125">
        <f t="shared" si="73"/>
        <v>12753</v>
      </c>
      <c r="CD42" s="125">
        <f t="shared" si="73"/>
        <v>11762</v>
      </c>
      <c r="CE42" s="125">
        <f t="shared" si="73"/>
        <v>15097</v>
      </c>
      <c r="CF42" s="125">
        <f t="shared" si="73"/>
        <v>12366</v>
      </c>
      <c r="CG42" s="125">
        <f t="shared" si="73"/>
        <v>12725</v>
      </c>
      <c r="CH42" s="125">
        <f t="shared" si="73"/>
        <v>15982</v>
      </c>
      <c r="CI42" s="125">
        <f t="shared" si="73"/>
        <v>17576</v>
      </c>
      <c r="CJ42" s="125">
        <f t="shared" si="73"/>
        <v>14807</v>
      </c>
      <c r="CK42" s="125">
        <f t="shared" si="73"/>
        <v>16187</v>
      </c>
      <c r="CL42" s="125">
        <f t="shared" si="73"/>
        <v>14757.837443303892</v>
      </c>
      <c r="CM42" s="125">
        <f t="shared" si="73"/>
        <v>14908.037655765098</v>
      </c>
      <c r="CN42" s="125">
        <f t="shared" si="73"/>
        <v>14897.372551921699</v>
      </c>
      <c r="CO42" s="125">
        <f t="shared" si="73"/>
        <v>15122.228491286704</v>
      </c>
      <c r="CP42" s="125">
        <f t="shared" si="73"/>
        <v>14249.467493435186</v>
      </c>
      <c r="CQ42" s="125">
        <f t="shared" si="73"/>
        <v>15587.938025781808</v>
      </c>
      <c r="CR42" s="125">
        <f t="shared" si="73"/>
        <v>15156.890078777749</v>
      </c>
      <c r="CS42" s="125">
        <f t="shared" si="73"/>
        <v>15192.440424922414</v>
      </c>
      <c r="CT42" s="125">
        <f t="shared" si="73"/>
        <v>18648.82282883743</v>
      </c>
      <c r="CU42" s="125">
        <f t="shared" si="73"/>
        <v>20093.944399618045</v>
      </c>
      <c r="CV42" s="125">
        <f t="shared" si="73"/>
        <v>17226.808983050847</v>
      </c>
      <c r="CW42" s="125">
        <f t="shared" si="73"/>
        <v>18615.049999999996</v>
      </c>
      <c r="CX42" s="125">
        <f t="shared" si="73"/>
        <v>16971.513059799472</v>
      </c>
      <c r="CY42" s="125">
        <f t="shared" si="73"/>
        <v>17144.243304129861</v>
      </c>
      <c r="CZ42" s="125">
        <f t="shared" si="73"/>
        <v>17131.978434709952</v>
      </c>
      <c r="DA42" s="125">
        <f t="shared" si="73"/>
        <v>17390.562764979706</v>
      </c>
      <c r="DB42" s="125">
        <f t="shared" si="73"/>
        <v>16386.887617450462</v>
      </c>
      <c r="DC42" s="125">
        <f t="shared" si="73"/>
        <v>17926.128729649077</v>
      </c>
      <c r="DD42" s="125">
        <f t="shared" si="73"/>
        <v>17430.423590594412</v>
      </c>
      <c r="DE42" s="125">
        <f t="shared" si="73"/>
        <v>17471.306488660775</v>
      </c>
      <c r="DF42" s="125">
        <f t="shared" si="73"/>
        <v>21446.146253163039</v>
      </c>
      <c r="DG42" s="125">
        <f t="shared" si="73"/>
        <v>23108.036059560749</v>
      </c>
      <c r="DH42" s="125">
        <f t="shared" si="73"/>
        <v>19810.83033050847</v>
      </c>
      <c r="DI42" s="125">
        <f t="shared" si="73"/>
        <v>21407.307499999995</v>
      </c>
      <c r="DJ42" s="125">
        <f t="shared" ref="DJ42:DU42" si="74">DJ43+DJ46</f>
        <v>19517.240018769393</v>
      </c>
      <c r="DK42" s="125">
        <f t="shared" si="74"/>
        <v>19715.879799749338</v>
      </c>
      <c r="DL42" s="125">
        <f t="shared" si="74"/>
        <v>19701.775199916447</v>
      </c>
      <c r="DM42" s="125">
        <f t="shared" si="74"/>
        <v>19999.147179726664</v>
      </c>
      <c r="DN42" s="125">
        <f t="shared" si="74"/>
        <v>18844.920760068027</v>
      </c>
      <c r="DO42" s="125">
        <f t="shared" si="74"/>
        <v>20615.048039096437</v>
      </c>
      <c r="DP42" s="125">
        <f t="shared" si="74"/>
        <v>20044.98712918357</v>
      </c>
      <c r="DQ42" s="125">
        <f t="shared" si="74"/>
        <v>20092.002461959888</v>
      </c>
      <c r="DR42" s="125">
        <f t="shared" si="74"/>
        <v>24663.068191137496</v>
      </c>
      <c r="DS42" s="125">
        <f t="shared" si="74"/>
        <v>26574.24146849486</v>
      </c>
      <c r="DT42" s="125">
        <f t="shared" si="74"/>
        <v>22782.454880084737</v>
      </c>
      <c r="DU42" s="125">
        <f t="shared" si="74"/>
        <v>24618.403624999992</v>
      </c>
      <c r="DW42" s="125">
        <f t="shared" ref="DW42:DW47" si="75">SUM(BB42:BD42)</f>
        <v>25085</v>
      </c>
      <c r="DX42" s="668">
        <f t="shared" ref="DX42:DX47" si="76">SUM(BE42:BG42)</f>
        <v>21740</v>
      </c>
      <c r="DY42" s="125">
        <f t="shared" ref="DY42:DY47" si="77">SUM(BH42:BJ42)</f>
        <v>27732</v>
      </c>
      <c r="DZ42" s="125">
        <f t="shared" ref="DZ42:DZ47" si="78">SUM(BK42:BM42)</f>
        <v>23774</v>
      </c>
      <c r="EA42" s="125">
        <f t="shared" ref="EA42:EA47" si="79">SUM(BN42:BP42)</f>
        <v>26515</v>
      </c>
      <c r="EB42" s="125">
        <f t="shared" ref="EB42:EB47" si="80">SUM(BQ42:BS42)</f>
        <v>27293</v>
      </c>
      <c r="EC42" s="125">
        <f t="shared" ref="EC42:EC47" si="81">SUM(BT42:BV42)</f>
        <v>26667</v>
      </c>
      <c r="ED42" s="125">
        <f t="shared" ref="ED42:ED47" si="82">SUM(BW42:BY42)</f>
        <v>36319</v>
      </c>
      <c r="EE42" s="125">
        <f t="shared" ref="EE42:EE47" si="83">SUM(BZ42:CB42)</f>
        <v>35846.28571428571</v>
      </c>
      <c r="EF42" s="125">
        <f t="shared" ref="EF42:EF47" si="84">SUM(CC42:CE42)</f>
        <v>39612</v>
      </c>
      <c r="EG42" s="125">
        <f t="shared" ref="EG42:EG47" si="85">SUM(CF42:CH42)</f>
        <v>41073</v>
      </c>
      <c r="EH42" s="125">
        <f t="shared" ref="EH42:EH47" si="86">SUM(CI42:CK42)</f>
        <v>48570</v>
      </c>
      <c r="EI42" s="125">
        <f t="shared" ref="EI42:EI47" si="87">SUM(CL42:CN42)</f>
        <v>44563.247650990685</v>
      </c>
      <c r="EJ42" s="125">
        <f t="shared" ref="EJ42:EJ47" si="88">SUM(CO42:CQ42)</f>
        <v>44959.634010503694</v>
      </c>
      <c r="EK42" s="125">
        <f t="shared" ref="EK42:EK47" si="89">SUM(CR42:CT42)</f>
        <v>48998.153332537593</v>
      </c>
      <c r="EL42" s="125">
        <f t="shared" ref="EL42:EL47" si="90">SUM(CU42:CW42)</f>
        <v>55935.803382668884</v>
      </c>
      <c r="EM42" s="125">
        <f t="shared" ref="EM42:EM47" si="91">SUM(CX42:CZ42)</f>
        <v>51247.734798639285</v>
      </c>
      <c r="EN42" s="125">
        <f t="shared" ref="EN42:EN47" si="92">SUM(DA42:DC42)</f>
        <v>51703.579112079242</v>
      </c>
      <c r="EO42" s="334">
        <f t="shared" ref="EO42:EO47" si="93">SUM(DD42:DF42)</f>
        <v>56347.876332418222</v>
      </c>
      <c r="EP42" s="125">
        <f t="shared" ref="EP42:EP47" si="94">SUM(DG42:DI42)</f>
        <v>64326.173890069214</v>
      </c>
      <c r="EQ42" s="125">
        <f t="shared" si="58"/>
        <v>58934.895018435178</v>
      </c>
      <c r="ER42" s="125">
        <f t="shared" si="59"/>
        <v>59459.115978891132</v>
      </c>
      <c r="ES42" s="125">
        <f t="shared" si="60"/>
        <v>64800.057782280957</v>
      </c>
      <c r="ET42" s="125">
        <f t="shared" si="61"/>
        <v>73975.099973579592</v>
      </c>
      <c r="EV42" s="125">
        <f t="shared" si="66"/>
        <v>98331</v>
      </c>
      <c r="EW42" s="125">
        <f t="shared" si="67"/>
        <v>116794</v>
      </c>
      <c r="EX42" s="125">
        <f t="shared" si="68"/>
        <v>165101.28571428571</v>
      </c>
      <c r="EY42" s="125">
        <f t="shared" si="69"/>
        <v>194456.83837670085</v>
      </c>
      <c r="EZ42" s="125">
        <f t="shared" si="70"/>
        <v>223625.36413320596</v>
      </c>
      <c r="FA42" s="668">
        <f t="shared" si="71"/>
        <v>257169.16875318688</v>
      </c>
    </row>
    <row r="43" spans="2:157" x14ac:dyDescent="0.2">
      <c r="B43" s="119" t="s">
        <v>139</v>
      </c>
      <c r="C43" s="129">
        <f>'P&amp;L - Inputs'!K205</f>
        <v>80</v>
      </c>
      <c r="D43" s="129">
        <f>'P&amp;L - Inputs'!L205</f>
        <v>432</v>
      </c>
      <c r="E43" s="129">
        <f>'P&amp;L - Inputs'!M205</f>
        <v>1705</v>
      </c>
      <c r="F43" s="129">
        <f>'P&amp;L - Inputs'!N205</f>
        <v>2055</v>
      </c>
      <c r="G43" s="129">
        <f>'P&amp;L - Inputs'!O205</f>
        <v>2301</v>
      </c>
      <c r="H43" s="129">
        <f>'P&amp;L - Inputs'!P205</f>
        <v>1621</v>
      </c>
      <c r="I43" s="129">
        <f>'P&amp;L - Inputs'!Q205</f>
        <v>3131</v>
      </c>
      <c r="J43" s="129">
        <f>'P&amp;L - Inputs'!R205</f>
        <v>2883</v>
      </c>
      <c r="K43" s="129">
        <f>'P&amp;L - Inputs'!S205</f>
        <v>3656</v>
      </c>
      <c r="L43" s="129">
        <f>'P&amp;L - Inputs'!T205</f>
        <v>3261</v>
      </c>
      <c r="M43" s="129">
        <f>'P&amp;L - Inputs'!U205</f>
        <v>1240</v>
      </c>
      <c r="N43" s="129">
        <f>'P&amp;L - Inputs'!V205</f>
        <v>1688</v>
      </c>
      <c r="O43" s="129">
        <f>'P&amp;L - Inputs'!W205</f>
        <v>2470</v>
      </c>
      <c r="P43" s="129">
        <f>'P&amp;L - Inputs'!X205</f>
        <v>245</v>
      </c>
      <c r="Q43" s="129">
        <f>'P&amp;L - Inputs'!Y205</f>
        <v>1399</v>
      </c>
      <c r="R43" s="129">
        <f>'P&amp;L - Inputs'!Z205</f>
        <v>-340</v>
      </c>
      <c r="S43" s="129">
        <f>'P&amp;L - Inputs'!AA205</f>
        <v>1757</v>
      </c>
      <c r="T43" s="129">
        <f>'P&amp;L - Inputs'!AB205</f>
        <v>869</v>
      </c>
      <c r="U43" s="129">
        <f>'P&amp;L - Inputs'!AC205</f>
        <v>529</v>
      </c>
      <c r="V43" s="129">
        <f>'P&amp;L - Inputs'!AD205</f>
        <v>662</v>
      </c>
      <c r="W43" s="129">
        <f>'P&amp;L - Inputs'!AE205</f>
        <v>1045</v>
      </c>
      <c r="X43" s="129">
        <f>'P&amp;L - Inputs'!AF205</f>
        <v>1693</v>
      </c>
      <c r="Y43" s="129">
        <f>'P&amp;L - Inputs'!AG205</f>
        <v>1554</v>
      </c>
      <c r="Z43" s="129">
        <f>'P&amp;L - Inputs'!AH205</f>
        <v>2552</v>
      </c>
      <c r="AA43" s="129">
        <f>'P&amp;L - Inputs'!AI205</f>
        <v>3124</v>
      </c>
      <c r="AB43" s="129">
        <f>'P&amp;L - Inputs'!AJ205</f>
        <v>1721</v>
      </c>
      <c r="AC43" s="129">
        <f>'P&amp;L - Inputs'!AK205</f>
        <v>2362</v>
      </c>
      <c r="AD43" s="129">
        <f>'P&amp;L - Inputs'!AL205</f>
        <v>2074</v>
      </c>
      <c r="AE43" s="129">
        <f>'P&amp;L - Inputs'!AM205</f>
        <v>1265</v>
      </c>
      <c r="AF43" s="129">
        <f>'P&amp;L - Inputs'!AN205</f>
        <v>1848</v>
      </c>
      <c r="AG43" s="129">
        <f>'P&amp;L - Inputs'!AO205</f>
        <v>1552</v>
      </c>
      <c r="AH43" s="129">
        <f>'P&amp;L - Inputs'!AP205</f>
        <v>984</v>
      </c>
      <c r="AI43" s="129">
        <f>'P&amp;L - Inputs'!AQ205</f>
        <v>1095</v>
      </c>
      <c r="AJ43" s="129">
        <f>'P&amp;L - Inputs'!AR205</f>
        <v>1306</v>
      </c>
      <c r="AK43" s="129">
        <f>'P&amp;L - Inputs'!AS205</f>
        <v>2999</v>
      </c>
      <c r="AL43" s="129">
        <f>'P&amp;L - Inputs'!AT205</f>
        <v>3673</v>
      </c>
      <c r="AM43" s="129">
        <f>'P&amp;L - Inputs'!AU205</f>
        <v>3859</v>
      </c>
      <c r="AN43" s="129">
        <f>'P&amp;L - Inputs'!AV205</f>
        <v>2982</v>
      </c>
      <c r="AO43" s="129">
        <f>'P&amp;L - Inputs'!AW205</f>
        <v>1517</v>
      </c>
      <c r="AP43" s="129">
        <f>'P&amp;L - Inputs'!AX205</f>
        <v>1430</v>
      </c>
      <c r="AQ43" s="129">
        <f>'P&amp;L - Inputs'!AY205</f>
        <v>2223</v>
      </c>
      <c r="AR43" s="129">
        <f>'P&amp;L - Inputs'!AZ205</f>
        <v>2220</v>
      </c>
      <c r="AS43" s="129">
        <f>'P&amp;L - Inputs'!BA205</f>
        <v>2641</v>
      </c>
      <c r="AT43" s="129">
        <f>'P&amp;L - Inputs'!BB205</f>
        <v>2093</v>
      </c>
      <c r="AU43" s="129">
        <f>'P&amp;L - Inputs'!BC205</f>
        <v>3067</v>
      </c>
      <c r="AV43" s="129">
        <f>'P&amp;L - Inputs'!BD205</f>
        <v>4050</v>
      </c>
      <c r="AW43" s="129">
        <f>'P&amp;L - Inputs'!BE205</f>
        <v>2922</v>
      </c>
      <c r="AX43" s="129">
        <f>'P&amp;L - Inputs'!BF205</f>
        <v>2630</v>
      </c>
      <c r="AY43" s="129">
        <f>'P&amp;L - Inputs'!BG205</f>
        <v>2543</v>
      </c>
      <c r="AZ43" s="129">
        <f>'P&amp;L - Inputs'!BH205</f>
        <v>4345</v>
      </c>
      <c r="BA43" s="129">
        <f>'P&amp;L - Inputs'!BI205</f>
        <v>7025</v>
      </c>
      <c r="BB43" s="129">
        <f>'P&amp;L - Inputs'!BJ205</f>
        <v>8356</v>
      </c>
      <c r="BC43" s="129">
        <f>'P&amp;L - Inputs'!BK205</f>
        <v>7180</v>
      </c>
      <c r="BD43" s="129">
        <f>'P&amp;L - Inputs'!BL205</f>
        <v>9549</v>
      </c>
      <c r="BE43" s="129">
        <f>'P&amp;L - Inputs'!BM205</f>
        <v>6251</v>
      </c>
      <c r="BF43" s="129">
        <f>'P&amp;L - Inputs'!BN205</f>
        <v>7619</v>
      </c>
      <c r="BG43" s="129">
        <f>'P&amp;L - Inputs'!BO205</f>
        <v>7870</v>
      </c>
      <c r="BH43" s="129">
        <f>'P&amp;L - Inputs'!BP205</f>
        <v>10258</v>
      </c>
      <c r="BI43" s="129">
        <f>'P&amp;L - Inputs'!BQ205</f>
        <v>9162</v>
      </c>
      <c r="BJ43" s="129">
        <f>'P&amp;L - Inputs'!BR205</f>
        <v>8312</v>
      </c>
      <c r="BK43" s="129">
        <f>'P&amp;L - Inputs'!BS205</f>
        <v>8730</v>
      </c>
      <c r="BL43" s="129">
        <f>'P&amp;L - Inputs'!BT205</f>
        <v>5914</v>
      </c>
      <c r="BM43" s="129">
        <f>'P&amp;L - Inputs'!BU205</f>
        <v>9130</v>
      </c>
      <c r="BN43" s="129">
        <f>'P&amp;L - Inputs'!BV205</f>
        <v>8412</v>
      </c>
      <c r="BO43" s="129">
        <f>'P&amp;L - Inputs'!BW205</f>
        <v>8850</v>
      </c>
      <c r="BP43" s="129">
        <f>'P&amp;L - Inputs'!BX205</f>
        <v>9253</v>
      </c>
      <c r="BQ43" s="129">
        <f>'P&amp;L - Inputs'!BY205</f>
        <v>9632</v>
      </c>
      <c r="BR43" s="129">
        <f>'P&amp;L - Inputs'!BZ205</f>
        <v>8794</v>
      </c>
      <c r="BS43" s="129">
        <f>'P&amp;L - Inputs'!CA205</f>
        <v>8867</v>
      </c>
      <c r="BT43" s="129">
        <f>'P&amp;L - Inputs'!CB205</f>
        <v>8865</v>
      </c>
      <c r="BU43" s="129">
        <f>'P&amp;L - Inputs'!CC205</f>
        <v>7938</v>
      </c>
      <c r="BV43" s="129">
        <f>'P&amp;L - Inputs'!CD205</f>
        <v>9864</v>
      </c>
      <c r="BW43" s="129">
        <f>'P&amp;L - Inputs'!CE205</f>
        <v>11056</v>
      </c>
      <c r="BX43" s="129">
        <f>'P&amp;L - Inputs'!CF205</f>
        <v>10929</v>
      </c>
      <c r="BY43" s="129">
        <f>'P&amp;L - Inputs'!CG205</f>
        <v>14334</v>
      </c>
      <c r="BZ43" s="129">
        <f>'P&amp;L - Inputs'!CH205</f>
        <v>11613</v>
      </c>
      <c r="CA43" s="129">
        <f>'P&amp;L - Inputs'!CI205</f>
        <v>12041</v>
      </c>
      <c r="CB43" s="129">
        <f>'P&amp;L - Inputs'!CJ205</f>
        <v>12192.285714285714</v>
      </c>
      <c r="CC43" s="129">
        <f>'P&amp;L - Inputs'!CK205</f>
        <v>12753</v>
      </c>
      <c r="CD43" s="129">
        <f>'P&amp;L - Inputs'!CL205</f>
        <v>11762</v>
      </c>
      <c r="CE43" s="129">
        <f>'P&amp;L - Inputs'!CM205</f>
        <v>15097</v>
      </c>
      <c r="CF43" s="129">
        <f>'P&amp;L - Inputs'!CN205</f>
        <v>12366</v>
      </c>
      <c r="CG43" s="129">
        <f>'P&amp;L - Inputs'!CO205</f>
        <v>12725</v>
      </c>
      <c r="CH43" s="129">
        <f>'P&amp;L - Inputs'!CP205</f>
        <v>15982</v>
      </c>
      <c r="CI43" s="129">
        <f>'P&amp;L - Inputs'!CQ205</f>
        <v>17576</v>
      </c>
      <c r="CJ43" s="129">
        <f>'P&amp;L - Inputs'!CR205</f>
        <v>14807</v>
      </c>
      <c r="CK43" s="129">
        <f>'P&amp;L - Inputs'!CS205</f>
        <v>16187</v>
      </c>
      <c r="CL43" s="129">
        <f>'P&amp;L - Inputs'!CT205</f>
        <v>14757.837443303892</v>
      </c>
      <c r="CM43" s="129">
        <f>'P&amp;L - Inputs'!CU205</f>
        <v>14908.037655765098</v>
      </c>
      <c r="CN43" s="129">
        <f>'P&amp;L - Inputs'!CV205</f>
        <v>14897.372551921699</v>
      </c>
      <c r="CO43" s="129">
        <f>'P&amp;L - Inputs'!CW205</f>
        <v>15122.228491286704</v>
      </c>
      <c r="CP43" s="129">
        <f>'P&amp;L - Inputs'!CX205</f>
        <v>14249.467493435186</v>
      </c>
      <c r="CQ43" s="129">
        <f>'P&amp;L - Inputs'!CY205</f>
        <v>15587.938025781808</v>
      </c>
      <c r="CR43" s="129">
        <f>'P&amp;L - Inputs'!CZ205</f>
        <v>15156.890078777749</v>
      </c>
      <c r="CS43" s="129">
        <f>'P&amp;L - Inputs'!DA205</f>
        <v>15192.440424922414</v>
      </c>
      <c r="CT43" s="129">
        <f>'P&amp;L - Inputs'!DB205</f>
        <v>18648.82282883743</v>
      </c>
      <c r="CU43" s="129">
        <f>'P&amp;L - Inputs'!DC205</f>
        <v>20093.944399618045</v>
      </c>
      <c r="CV43" s="129">
        <f>'P&amp;L - Inputs'!DD205</f>
        <v>17226.808983050847</v>
      </c>
      <c r="CW43" s="129">
        <f>'P&amp;L - Inputs'!DE205</f>
        <v>18615.049999999996</v>
      </c>
      <c r="CX43" s="129">
        <f>'P&amp;L - Inputs'!DF205</f>
        <v>16971.513059799472</v>
      </c>
      <c r="CY43" s="129">
        <f>'P&amp;L - Inputs'!DG205</f>
        <v>17144.243304129861</v>
      </c>
      <c r="CZ43" s="129">
        <f>'P&amp;L - Inputs'!DH205</f>
        <v>17131.978434709952</v>
      </c>
      <c r="DA43" s="129">
        <f>'P&amp;L - Inputs'!DI205</f>
        <v>17390.562764979706</v>
      </c>
      <c r="DB43" s="129">
        <f>'P&amp;L - Inputs'!DJ205</f>
        <v>16386.887617450462</v>
      </c>
      <c r="DC43" s="129">
        <f>'P&amp;L - Inputs'!DK205</f>
        <v>17926.128729649077</v>
      </c>
      <c r="DD43" s="129">
        <f>'P&amp;L - Inputs'!DL205</f>
        <v>17430.423590594412</v>
      </c>
      <c r="DE43" s="129">
        <f>'P&amp;L - Inputs'!DM205</f>
        <v>17471.306488660775</v>
      </c>
      <c r="DF43" s="129">
        <f>'P&amp;L - Inputs'!DN205</f>
        <v>21446.146253163039</v>
      </c>
      <c r="DG43" s="129">
        <f>'P&amp;L - Inputs'!DO205</f>
        <v>23108.036059560749</v>
      </c>
      <c r="DH43" s="129">
        <f>'P&amp;L - Inputs'!DP205</f>
        <v>19810.83033050847</v>
      </c>
      <c r="DI43" s="129">
        <f>'P&amp;L - Inputs'!DQ205</f>
        <v>21407.307499999995</v>
      </c>
      <c r="DJ43" s="129">
        <f>'P&amp;L - Inputs'!DR205</f>
        <v>19517.240018769393</v>
      </c>
      <c r="DK43" s="129">
        <f>'P&amp;L - Inputs'!DS205</f>
        <v>19715.879799749338</v>
      </c>
      <c r="DL43" s="129">
        <f>'P&amp;L - Inputs'!DT205</f>
        <v>19701.775199916447</v>
      </c>
      <c r="DM43" s="129">
        <f>'P&amp;L - Inputs'!DU205</f>
        <v>19999.147179726664</v>
      </c>
      <c r="DN43" s="129">
        <f>'P&amp;L - Inputs'!DV205</f>
        <v>18844.920760068027</v>
      </c>
      <c r="DO43" s="129">
        <f>'P&amp;L - Inputs'!DW205</f>
        <v>20615.048039096437</v>
      </c>
      <c r="DP43" s="129">
        <f>'P&amp;L - Inputs'!DX205</f>
        <v>20044.98712918357</v>
      </c>
      <c r="DQ43" s="129">
        <f>'P&amp;L - Inputs'!DY205</f>
        <v>20092.002461959888</v>
      </c>
      <c r="DR43" s="129">
        <f>'P&amp;L - Inputs'!DZ205</f>
        <v>24663.068191137496</v>
      </c>
      <c r="DS43" s="129">
        <f>'P&amp;L - Inputs'!EA205</f>
        <v>26574.24146849486</v>
      </c>
      <c r="DT43" s="129">
        <f>'P&amp;L - Inputs'!EB205</f>
        <v>22782.454880084737</v>
      </c>
      <c r="DU43" s="129">
        <f>'P&amp;L - Inputs'!EC205</f>
        <v>24618.403624999992</v>
      </c>
      <c r="DW43" s="129">
        <f t="shared" si="75"/>
        <v>25085</v>
      </c>
      <c r="DX43" s="663">
        <f t="shared" si="76"/>
        <v>21740</v>
      </c>
      <c r="DY43" s="129">
        <f t="shared" si="77"/>
        <v>27732</v>
      </c>
      <c r="DZ43" s="129">
        <f t="shared" si="78"/>
        <v>23774</v>
      </c>
      <c r="EA43" s="129">
        <f t="shared" si="79"/>
        <v>26515</v>
      </c>
      <c r="EB43" s="129">
        <f t="shared" si="80"/>
        <v>27293</v>
      </c>
      <c r="EC43" s="129">
        <f t="shared" si="81"/>
        <v>26667</v>
      </c>
      <c r="ED43" s="129">
        <f t="shared" si="82"/>
        <v>36319</v>
      </c>
      <c r="EE43" s="129">
        <f t="shared" si="83"/>
        <v>35846.28571428571</v>
      </c>
      <c r="EF43" s="129">
        <f t="shared" si="84"/>
        <v>39612</v>
      </c>
      <c r="EG43" s="129">
        <f t="shared" si="85"/>
        <v>41073</v>
      </c>
      <c r="EH43" s="129">
        <f t="shared" si="86"/>
        <v>48570</v>
      </c>
      <c r="EI43" s="129">
        <f t="shared" si="87"/>
        <v>44563.247650990685</v>
      </c>
      <c r="EJ43" s="129">
        <f t="shared" si="88"/>
        <v>44959.634010503694</v>
      </c>
      <c r="EK43" s="129">
        <f t="shared" si="89"/>
        <v>48998.153332537593</v>
      </c>
      <c r="EL43" s="129">
        <f t="shared" si="90"/>
        <v>55935.803382668884</v>
      </c>
      <c r="EM43" s="129">
        <f t="shared" si="91"/>
        <v>51247.734798639285</v>
      </c>
      <c r="EN43" s="129">
        <f t="shared" si="92"/>
        <v>51703.579112079242</v>
      </c>
      <c r="EO43" s="644">
        <f t="shared" si="93"/>
        <v>56347.876332418222</v>
      </c>
      <c r="EP43" s="129">
        <f t="shared" si="94"/>
        <v>64326.173890069214</v>
      </c>
      <c r="EQ43" s="129">
        <f t="shared" si="58"/>
        <v>58934.895018435178</v>
      </c>
      <c r="ER43" s="129">
        <f t="shared" si="59"/>
        <v>59459.115978891132</v>
      </c>
      <c r="ES43" s="129">
        <f t="shared" si="60"/>
        <v>64800.057782280957</v>
      </c>
      <c r="ET43" s="129">
        <f t="shared" si="61"/>
        <v>73975.099973579592</v>
      </c>
      <c r="EV43" s="129">
        <f t="shared" si="66"/>
        <v>98331</v>
      </c>
      <c r="EW43" s="129">
        <f t="shared" si="67"/>
        <v>116794</v>
      </c>
      <c r="EX43" s="129">
        <f t="shared" si="68"/>
        <v>165101.28571428571</v>
      </c>
      <c r="EY43" s="129">
        <f t="shared" si="69"/>
        <v>194456.83837670085</v>
      </c>
      <c r="EZ43" s="129">
        <f t="shared" si="70"/>
        <v>223625.36413320596</v>
      </c>
      <c r="FA43" s="663">
        <f t="shared" si="71"/>
        <v>257169.16875318688</v>
      </c>
    </row>
    <row r="44" spans="2:157" x14ac:dyDescent="0.2">
      <c r="B44" s="117" t="s">
        <v>132</v>
      </c>
      <c r="C44" s="130">
        <f>C12-C23</f>
        <v>0</v>
      </c>
      <c r="D44" s="130">
        <f t="shared" ref="D44:BO44" si="95">D12-D23</f>
        <v>0</v>
      </c>
      <c r="E44" s="130">
        <f t="shared" si="95"/>
        <v>0</v>
      </c>
      <c r="F44" s="130">
        <f t="shared" si="95"/>
        <v>0</v>
      </c>
      <c r="G44" s="130">
        <f t="shared" si="95"/>
        <v>0</v>
      </c>
      <c r="H44" s="130">
        <f t="shared" si="95"/>
        <v>0</v>
      </c>
      <c r="I44" s="130">
        <f t="shared" si="95"/>
        <v>0</v>
      </c>
      <c r="J44" s="130">
        <f t="shared" si="95"/>
        <v>0</v>
      </c>
      <c r="K44" s="130">
        <f t="shared" si="95"/>
        <v>0</v>
      </c>
      <c r="L44" s="130">
        <f t="shared" si="95"/>
        <v>0</v>
      </c>
      <c r="M44" s="130">
        <f t="shared" si="95"/>
        <v>0</v>
      </c>
      <c r="N44" s="130">
        <f t="shared" si="95"/>
        <v>0</v>
      </c>
      <c r="O44" s="130">
        <f t="shared" si="95"/>
        <v>0</v>
      </c>
      <c r="P44" s="130">
        <f t="shared" si="95"/>
        <v>0</v>
      </c>
      <c r="Q44" s="130">
        <f t="shared" si="95"/>
        <v>0</v>
      </c>
      <c r="R44" s="130">
        <f t="shared" si="95"/>
        <v>0</v>
      </c>
      <c r="S44" s="130">
        <f t="shared" si="95"/>
        <v>60</v>
      </c>
      <c r="T44" s="130">
        <f t="shared" si="95"/>
        <v>63</v>
      </c>
      <c r="U44" s="130">
        <f t="shared" si="95"/>
        <v>37</v>
      </c>
      <c r="V44" s="130">
        <f t="shared" si="95"/>
        <v>32</v>
      </c>
      <c r="W44" s="130">
        <f t="shared" si="95"/>
        <v>74</v>
      </c>
      <c r="X44" s="130">
        <f t="shared" si="95"/>
        <v>99</v>
      </c>
      <c r="Y44" s="130">
        <f t="shared" si="95"/>
        <v>58</v>
      </c>
      <c r="Z44" s="130">
        <f t="shared" si="95"/>
        <v>242</v>
      </c>
      <c r="AA44" s="130">
        <f t="shared" si="95"/>
        <v>247</v>
      </c>
      <c r="AB44" s="130">
        <f t="shared" si="95"/>
        <v>246</v>
      </c>
      <c r="AC44" s="130">
        <f t="shared" si="95"/>
        <v>355</v>
      </c>
      <c r="AD44" s="130">
        <f t="shared" si="95"/>
        <v>288</v>
      </c>
      <c r="AE44" s="130">
        <f t="shared" si="95"/>
        <v>283</v>
      </c>
      <c r="AF44" s="130">
        <f t="shared" si="95"/>
        <v>345</v>
      </c>
      <c r="AG44" s="130">
        <f t="shared" si="95"/>
        <v>372</v>
      </c>
      <c r="AH44" s="130">
        <f t="shared" si="95"/>
        <v>409</v>
      </c>
      <c r="AI44" s="130">
        <f t="shared" si="95"/>
        <v>426</v>
      </c>
      <c r="AJ44" s="130">
        <f t="shared" si="95"/>
        <v>200</v>
      </c>
      <c r="AK44" s="130">
        <f t="shared" si="95"/>
        <v>754</v>
      </c>
      <c r="AL44" s="130">
        <f t="shared" si="95"/>
        <v>883</v>
      </c>
      <c r="AM44" s="130">
        <f t="shared" si="95"/>
        <v>1382</v>
      </c>
      <c r="AN44" s="130">
        <f t="shared" si="95"/>
        <v>1458</v>
      </c>
      <c r="AO44" s="130">
        <f t="shared" si="95"/>
        <v>955</v>
      </c>
      <c r="AP44" s="130">
        <f t="shared" si="95"/>
        <v>1068</v>
      </c>
      <c r="AQ44" s="130">
        <f t="shared" si="95"/>
        <v>1202</v>
      </c>
      <c r="AR44" s="130">
        <f t="shared" si="95"/>
        <v>1961</v>
      </c>
      <c r="AS44" s="130">
        <f t="shared" si="95"/>
        <v>1887</v>
      </c>
      <c r="AT44" s="130">
        <f t="shared" si="95"/>
        <v>1463</v>
      </c>
      <c r="AU44" s="130">
        <f t="shared" si="95"/>
        <v>1644</v>
      </c>
      <c r="AV44" s="130">
        <f t="shared" si="95"/>
        <v>2401</v>
      </c>
      <c r="AW44" s="130">
        <f t="shared" si="95"/>
        <v>1633</v>
      </c>
      <c r="AX44" s="130">
        <f t="shared" si="95"/>
        <v>1677</v>
      </c>
      <c r="AY44" s="130">
        <f t="shared" si="95"/>
        <v>1916</v>
      </c>
      <c r="AZ44" s="130">
        <f t="shared" si="95"/>
        <v>3127</v>
      </c>
      <c r="BA44" s="130">
        <f t="shared" si="95"/>
        <v>5268</v>
      </c>
      <c r="BB44" s="130">
        <f t="shared" si="95"/>
        <v>7153</v>
      </c>
      <c r="BC44" s="130">
        <f t="shared" si="95"/>
        <v>7294</v>
      </c>
      <c r="BD44" s="130">
        <f t="shared" si="95"/>
        <v>9565</v>
      </c>
      <c r="BE44" s="130">
        <f t="shared" si="95"/>
        <v>6251</v>
      </c>
      <c r="BF44" s="130">
        <f t="shared" si="95"/>
        <v>7619</v>
      </c>
      <c r="BG44" s="130">
        <f t="shared" si="95"/>
        <v>7870</v>
      </c>
      <c r="BH44" s="130">
        <f t="shared" si="95"/>
        <v>10258</v>
      </c>
      <c r="BI44" s="130">
        <f t="shared" si="95"/>
        <v>9162</v>
      </c>
      <c r="BJ44" s="130">
        <f t="shared" si="95"/>
        <v>8312</v>
      </c>
      <c r="BK44" s="130">
        <f t="shared" si="95"/>
        <v>8730</v>
      </c>
      <c r="BL44" s="130">
        <f t="shared" si="95"/>
        <v>5914</v>
      </c>
      <c r="BM44" s="130">
        <f t="shared" si="95"/>
        <v>9130</v>
      </c>
      <c r="BN44" s="130">
        <f t="shared" si="95"/>
        <v>8412</v>
      </c>
      <c r="BO44" s="130">
        <f t="shared" si="95"/>
        <v>8850</v>
      </c>
      <c r="BP44" s="130">
        <f t="shared" ref="BP44:DI44" si="96">BP12-BP23</f>
        <v>9253</v>
      </c>
      <c r="BQ44" s="130">
        <f t="shared" si="96"/>
        <v>9632</v>
      </c>
      <c r="BR44" s="130">
        <f t="shared" si="96"/>
        <v>8794</v>
      </c>
      <c r="BS44" s="130">
        <f t="shared" si="96"/>
        <v>8867</v>
      </c>
      <c r="BT44" s="130">
        <f t="shared" si="96"/>
        <v>8865</v>
      </c>
      <c r="BU44" s="130">
        <f t="shared" si="96"/>
        <v>7938</v>
      </c>
      <c r="BV44" s="130">
        <f t="shared" si="96"/>
        <v>9864</v>
      </c>
      <c r="BW44" s="130">
        <f t="shared" si="96"/>
        <v>11056</v>
      </c>
      <c r="BX44" s="130">
        <f t="shared" si="96"/>
        <v>10929</v>
      </c>
      <c r="BY44" s="130">
        <f t="shared" si="96"/>
        <v>14334</v>
      </c>
      <c r="BZ44" s="130">
        <f t="shared" si="96"/>
        <v>11613</v>
      </c>
      <c r="CA44" s="130">
        <f t="shared" si="96"/>
        <v>12041</v>
      </c>
      <c r="CB44" s="130">
        <f t="shared" si="96"/>
        <v>12192.285714285714</v>
      </c>
      <c r="CC44" s="130">
        <f t="shared" si="96"/>
        <v>12753</v>
      </c>
      <c r="CD44" s="130">
        <f t="shared" si="96"/>
        <v>11762</v>
      </c>
      <c r="CE44" s="130">
        <f t="shared" si="96"/>
        <v>15097</v>
      </c>
      <c r="CF44" s="130">
        <f t="shared" si="96"/>
        <v>12366</v>
      </c>
      <c r="CG44" s="130">
        <f t="shared" si="96"/>
        <v>12725</v>
      </c>
      <c r="CH44" s="130">
        <f t="shared" si="96"/>
        <v>15982</v>
      </c>
      <c r="CI44" s="130">
        <f t="shared" si="96"/>
        <v>17576</v>
      </c>
      <c r="CJ44" s="130">
        <f t="shared" si="96"/>
        <v>14807</v>
      </c>
      <c r="CK44" s="130">
        <f t="shared" si="96"/>
        <v>16187</v>
      </c>
      <c r="CL44" s="130">
        <f t="shared" si="96"/>
        <v>14757.837443303892</v>
      </c>
      <c r="CM44" s="130">
        <f t="shared" si="96"/>
        <v>14908.037655765098</v>
      </c>
      <c r="CN44" s="130">
        <f t="shared" si="96"/>
        <v>14897.372551921699</v>
      </c>
      <c r="CO44" s="130">
        <f t="shared" si="96"/>
        <v>15122.228491286704</v>
      </c>
      <c r="CP44" s="130">
        <f t="shared" si="96"/>
        <v>14249.467493435186</v>
      </c>
      <c r="CQ44" s="130">
        <f t="shared" si="96"/>
        <v>15587.938025781808</v>
      </c>
      <c r="CR44" s="130">
        <f t="shared" si="96"/>
        <v>15156.890078777749</v>
      </c>
      <c r="CS44" s="130">
        <f t="shared" si="96"/>
        <v>15192.440424922414</v>
      </c>
      <c r="CT44" s="130">
        <f t="shared" si="96"/>
        <v>18648.82282883743</v>
      </c>
      <c r="CU44" s="130">
        <f t="shared" si="96"/>
        <v>20093.944399618045</v>
      </c>
      <c r="CV44" s="130">
        <f t="shared" si="96"/>
        <v>17226.808983050847</v>
      </c>
      <c r="CW44" s="130">
        <f t="shared" si="96"/>
        <v>18615.049999999996</v>
      </c>
      <c r="CX44" s="130">
        <f t="shared" si="96"/>
        <v>16971.513059799472</v>
      </c>
      <c r="CY44" s="130">
        <f t="shared" si="96"/>
        <v>17144.243304129861</v>
      </c>
      <c r="CZ44" s="130">
        <f t="shared" si="96"/>
        <v>17131.978434709952</v>
      </c>
      <c r="DA44" s="130">
        <f t="shared" si="96"/>
        <v>17390.562764979706</v>
      </c>
      <c r="DB44" s="130">
        <f t="shared" si="96"/>
        <v>16386.887617450462</v>
      </c>
      <c r="DC44" s="130">
        <f t="shared" si="96"/>
        <v>17926.128729649077</v>
      </c>
      <c r="DD44" s="130">
        <f t="shared" si="96"/>
        <v>17430.423590594412</v>
      </c>
      <c r="DE44" s="130">
        <f t="shared" si="96"/>
        <v>17471.306488660775</v>
      </c>
      <c r="DF44" s="130">
        <f t="shared" si="96"/>
        <v>21446.146253163039</v>
      </c>
      <c r="DG44" s="130">
        <f t="shared" si="96"/>
        <v>23108.036059560749</v>
      </c>
      <c r="DH44" s="130">
        <f t="shared" si="96"/>
        <v>19810.83033050847</v>
      </c>
      <c r="DI44" s="130">
        <f t="shared" si="96"/>
        <v>21407.307499999995</v>
      </c>
      <c r="DJ44" s="130">
        <f t="shared" ref="DJ44:DU44" si="97">DJ12-DJ23</f>
        <v>19517.240018769393</v>
      </c>
      <c r="DK44" s="130">
        <f t="shared" si="97"/>
        <v>19715.879799749338</v>
      </c>
      <c r="DL44" s="130">
        <f t="shared" si="97"/>
        <v>19701.775199916447</v>
      </c>
      <c r="DM44" s="130">
        <f t="shared" si="97"/>
        <v>19999.147179726664</v>
      </c>
      <c r="DN44" s="130">
        <f t="shared" si="97"/>
        <v>18844.920760068027</v>
      </c>
      <c r="DO44" s="130">
        <f t="shared" si="97"/>
        <v>20615.048039096437</v>
      </c>
      <c r="DP44" s="130">
        <f t="shared" si="97"/>
        <v>20044.98712918357</v>
      </c>
      <c r="DQ44" s="130">
        <f t="shared" si="97"/>
        <v>20092.002461959888</v>
      </c>
      <c r="DR44" s="130">
        <f t="shared" si="97"/>
        <v>24663.068191137496</v>
      </c>
      <c r="DS44" s="130">
        <f t="shared" si="97"/>
        <v>26574.24146849486</v>
      </c>
      <c r="DT44" s="130">
        <f t="shared" si="97"/>
        <v>22782.454880084737</v>
      </c>
      <c r="DU44" s="130">
        <f t="shared" si="97"/>
        <v>24618.403624999992</v>
      </c>
      <c r="DW44" s="130">
        <f t="shared" si="75"/>
        <v>24012</v>
      </c>
      <c r="DX44" s="669">
        <f t="shared" si="76"/>
        <v>21740</v>
      </c>
      <c r="DY44" s="130">
        <f t="shared" si="77"/>
        <v>27732</v>
      </c>
      <c r="DZ44" s="130">
        <f t="shared" si="78"/>
        <v>23774</v>
      </c>
      <c r="EA44" s="130">
        <f t="shared" si="79"/>
        <v>26515</v>
      </c>
      <c r="EB44" s="130">
        <f t="shared" si="80"/>
        <v>27293</v>
      </c>
      <c r="EC44" s="130">
        <f t="shared" si="81"/>
        <v>26667</v>
      </c>
      <c r="ED44" s="130">
        <f t="shared" si="82"/>
        <v>36319</v>
      </c>
      <c r="EE44" s="130">
        <f t="shared" si="83"/>
        <v>35846.28571428571</v>
      </c>
      <c r="EF44" s="130">
        <f t="shared" si="84"/>
        <v>39612</v>
      </c>
      <c r="EG44" s="130">
        <f t="shared" si="85"/>
        <v>41073</v>
      </c>
      <c r="EH44" s="130">
        <f t="shared" si="86"/>
        <v>48570</v>
      </c>
      <c r="EI44" s="130">
        <f t="shared" si="87"/>
        <v>44563.247650990685</v>
      </c>
      <c r="EJ44" s="130">
        <f t="shared" si="88"/>
        <v>44959.634010503694</v>
      </c>
      <c r="EK44" s="130">
        <f t="shared" si="89"/>
        <v>48998.153332537593</v>
      </c>
      <c r="EL44" s="130">
        <f t="shared" si="90"/>
        <v>55935.803382668884</v>
      </c>
      <c r="EM44" s="130">
        <f t="shared" si="91"/>
        <v>51247.734798639285</v>
      </c>
      <c r="EN44" s="130">
        <f t="shared" si="92"/>
        <v>51703.579112079242</v>
      </c>
      <c r="EO44" s="650">
        <f t="shared" si="93"/>
        <v>56347.876332418222</v>
      </c>
      <c r="EP44" s="130">
        <f t="shared" si="94"/>
        <v>64326.173890069214</v>
      </c>
      <c r="EQ44" s="129">
        <f t="shared" si="58"/>
        <v>58934.895018435178</v>
      </c>
      <c r="ER44" s="129">
        <f t="shared" si="59"/>
        <v>59459.115978891132</v>
      </c>
      <c r="ES44" s="129">
        <f t="shared" si="60"/>
        <v>64800.057782280957</v>
      </c>
      <c r="ET44" s="129">
        <f t="shared" si="61"/>
        <v>73975.099973579592</v>
      </c>
      <c r="EV44" s="130">
        <f t="shared" si="66"/>
        <v>97258</v>
      </c>
      <c r="EW44" s="130">
        <f t="shared" si="67"/>
        <v>116794</v>
      </c>
      <c r="EX44" s="130">
        <f t="shared" si="68"/>
        <v>165101.28571428571</v>
      </c>
      <c r="EY44" s="130">
        <f t="shared" si="69"/>
        <v>194456.83837670085</v>
      </c>
      <c r="EZ44" s="130">
        <f t="shared" si="70"/>
        <v>223625.36413320596</v>
      </c>
      <c r="FA44" s="669">
        <f t="shared" si="71"/>
        <v>257169.16875318688</v>
      </c>
    </row>
    <row r="45" spans="2:157" x14ac:dyDescent="0.2">
      <c r="B45" s="117" t="s">
        <v>133</v>
      </c>
      <c r="C45" s="130">
        <f>C13-C28</f>
        <v>80</v>
      </c>
      <c r="D45" s="130">
        <f t="shared" ref="D45:BO45" si="98">D13-D28</f>
        <v>432</v>
      </c>
      <c r="E45" s="130">
        <f t="shared" si="98"/>
        <v>1705</v>
      </c>
      <c r="F45" s="130">
        <f t="shared" si="98"/>
        <v>2055</v>
      </c>
      <c r="G45" s="130">
        <f t="shared" si="98"/>
        <v>2301</v>
      </c>
      <c r="H45" s="130">
        <f t="shared" si="98"/>
        <v>1621</v>
      </c>
      <c r="I45" s="130">
        <f t="shared" si="98"/>
        <v>3131</v>
      </c>
      <c r="J45" s="130">
        <f t="shared" si="98"/>
        <v>2883</v>
      </c>
      <c r="K45" s="130">
        <f t="shared" si="98"/>
        <v>3656</v>
      </c>
      <c r="L45" s="130">
        <f t="shared" si="98"/>
        <v>3261</v>
      </c>
      <c r="M45" s="130">
        <f t="shared" si="98"/>
        <v>1240</v>
      </c>
      <c r="N45" s="130">
        <f t="shared" si="98"/>
        <v>1688</v>
      </c>
      <c r="O45" s="130">
        <f t="shared" si="98"/>
        <v>2470</v>
      </c>
      <c r="P45" s="130">
        <f t="shared" si="98"/>
        <v>245</v>
      </c>
      <c r="Q45" s="130">
        <f t="shared" si="98"/>
        <v>1399</v>
      </c>
      <c r="R45" s="130">
        <f t="shared" si="98"/>
        <v>-233</v>
      </c>
      <c r="S45" s="130">
        <f t="shared" si="98"/>
        <v>1697</v>
      </c>
      <c r="T45" s="130">
        <f t="shared" si="98"/>
        <v>806</v>
      </c>
      <c r="U45" s="130">
        <f t="shared" si="98"/>
        <v>492</v>
      </c>
      <c r="V45" s="130">
        <f t="shared" si="98"/>
        <v>630</v>
      </c>
      <c r="W45" s="130">
        <f t="shared" si="98"/>
        <v>971</v>
      </c>
      <c r="X45" s="130">
        <f t="shared" si="98"/>
        <v>1594</v>
      </c>
      <c r="Y45" s="130">
        <f t="shared" si="98"/>
        <v>1496</v>
      </c>
      <c r="Z45" s="130">
        <f t="shared" si="98"/>
        <v>2310</v>
      </c>
      <c r="AA45" s="130">
        <f t="shared" si="98"/>
        <v>2877</v>
      </c>
      <c r="AB45" s="130">
        <f t="shared" si="98"/>
        <v>1475</v>
      </c>
      <c r="AC45" s="130">
        <f t="shared" si="98"/>
        <v>2007</v>
      </c>
      <c r="AD45" s="130">
        <f t="shared" si="98"/>
        <v>1786</v>
      </c>
      <c r="AE45" s="130">
        <f t="shared" si="98"/>
        <v>982</v>
      </c>
      <c r="AF45" s="130">
        <f t="shared" si="98"/>
        <v>1503</v>
      </c>
      <c r="AG45" s="130">
        <f t="shared" si="98"/>
        <v>1180</v>
      </c>
      <c r="AH45" s="130">
        <f t="shared" si="98"/>
        <v>575</v>
      </c>
      <c r="AI45" s="130">
        <f t="shared" si="98"/>
        <v>669</v>
      </c>
      <c r="AJ45" s="130">
        <f t="shared" si="98"/>
        <v>1106</v>
      </c>
      <c r="AK45" s="130">
        <f t="shared" si="98"/>
        <v>2245</v>
      </c>
      <c r="AL45" s="130">
        <f t="shared" si="98"/>
        <v>2790</v>
      </c>
      <c r="AM45" s="130">
        <f t="shared" si="98"/>
        <v>2477</v>
      </c>
      <c r="AN45" s="130">
        <f t="shared" si="98"/>
        <v>1524</v>
      </c>
      <c r="AO45" s="130">
        <f t="shared" si="98"/>
        <v>562</v>
      </c>
      <c r="AP45" s="130">
        <f t="shared" si="98"/>
        <v>362</v>
      </c>
      <c r="AQ45" s="130">
        <f t="shared" si="98"/>
        <v>1021</v>
      </c>
      <c r="AR45" s="130">
        <f t="shared" si="98"/>
        <v>259</v>
      </c>
      <c r="AS45" s="130">
        <f t="shared" si="98"/>
        <v>754</v>
      </c>
      <c r="AT45" s="130">
        <f t="shared" si="98"/>
        <v>630</v>
      </c>
      <c r="AU45" s="130">
        <f t="shared" si="98"/>
        <v>1423</v>
      </c>
      <c r="AV45" s="130">
        <f t="shared" si="98"/>
        <v>1649</v>
      </c>
      <c r="AW45" s="130">
        <f t="shared" si="98"/>
        <v>1289</v>
      </c>
      <c r="AX45" s="130">
        <f t="shared" si="98"/>
        <v>953</v>
      </c>
      <c r="AY45" s="130">
        <f t="shared" si="98"/>
        <v>627</v>
      </c>
      <c r="AZ45" s="130">
        <f t="shared" si="98"/>
        <v>1218</v>
      </c>
      <c r="BA45" s="130">
        <f t="shared" si="98"/>
        <v>1757</v>
      </c>
      <c r="BB45" s="130">
        <f t="shared" si="98"/>
        <v>1203</v>
      </c>
      <c r="BC45" s="130">
        <f t="shared" si="98"/>
        <v>-114</v>
      </c>
      <c r="BD45" s="130">
        <f t="shared" si="98"/>
        <v>-16</v>
      </c>
      <c r="BE45" s="130">
        <f t="shared" si="98"/>
        <v>0</v>
      </c>
      <c r="BF45" s="130">
        <f t="shared" si="98"/>
        <v>0</v>
      </c>
      <c r="BG45" s="130">
        <f t="shared" si="98"/>
        <v>0</v>
      </c>
      <c r="BH45" s="130">
        <f t="shared" si="98"/>
        <v>0</v>
      </c>
      <c r="BI45" s="130">
        <f t="shared" si="98"/>
        <v>0</v>
      </c>
      <c r="BJ45" s="130">
        <f t="shared" si="98"/>
        <v>0</v>
      </c>
      <c r="BK45" s="130">
        <f t="shared" si="98"/>
        <v>0</v>
      </c>
      <c r="BL45" s="130">
        <f t="shared" si="98"/>
        <v>0</v>
      </c>
      <c r="BM45" s="130">
        <f t="shared" si="98"/>
        <v>0</v>
      </c>
      <c r="BN45" s="130">
        <f t="shared" si="98"/>
        <v>0</v>
      </c>
      <c r="BO45" s="130">
        <f t="shared" si="98"/>
        <v>0</v>
      </c>
      <c r="BP45" s="130">
        <f t="shared" ref="BP45:DI45" si="99">BP13-BP28</f>
        <v>0</v>
      </c>
      <c r="BQ45" s="130">
        <f t="shared" si="99"/>
        <v>0</v>
      </c>
      <c r="BR45" s="130">
        <f t="shared" si="99"/>
        <v>0</v>
      </c>
      <c r="BS45" s="130">
        <f t="shared" si="99"/>
        <v>0</v>
      </c>
      <c r="BT45" s="130">
        <f t="shared" si="99"/>
        <v>0</v>
      </c>
      <c r="BU45" s="130">
        <f t="shared" si="99"/>
        <v>0</v>
      </c>
      <c r="BV45" s="130">
        <f t="shared" si="99"/>
        <v>0</v>
      </c>
      <c r="BW45" s="130">
        <f t="shared" si="99"/>
        <v>0</v>
      </c>
      <c r="BX45" s="130">
        <f t="shared" si="99"/>
        <v>0</v>
      </c>
      <c r="BY45" s="130">
        <f t="shared" si="99"/>
        <v>0</v>
      </c>
      <c r="BZ45" s="130">
        <f t="shared" si="99"/>
        <v>0</v>
      </c>
      <c r="CA45" s="130">
        <f t="shared" si="99"/>
        <v>0</v>
      </c>
      <c r="CB45" s="130">
        <f t="shared" si="99"/>
        <v>0</v>
      </c>
      <c r="CC45" s="130">
        <f t="shared" si="99"/>
        <v>0</v>
      </c>
      <c r="CD45" s="130">
        <f t="shared" si="99"/>
        <v>0</v>
      </c>
      <c r="CE45" s="130">
        <f t="shared" si="99"/>
        <v>0</v>
      </c>
      <c r="CF45" s="130">
        <f t="shared" si="99"/>
        <v>0</v>
      </c>
      <c r="CG45" s="130">
        <f t="shared" si="99"/>
        <v>0</v>
      </c>
      <c r="CH45" s="130">
        <f t="shared" si="99"/>
        <v>0</v>
      </c>
      <c r="CI45" s="130">
        <f t="shared" si="99"/>
        <v>0</v>
      </c>
      <c r="CJ45" s="130">
        <f t="shared" si="99"/>
        <v>0</v>
      </c>
      <c r="CK45" s="130">
        <f t="shared" si="99"/>
        <v>0</v>
      </c>
      <c r="CL45" s="130">
        <f t="shared" si="99"/>
        <v>0</v>
      </c>
      <c r="CM45" s="130">
        <f t="shared" si="99"/>
        <v>0</v>
      </c>
      <c r="CN45" s="130">
        <f t="shared" si="99"/>
        <v>0</v>
      </c>
      <c r="CO45" s="130">
        <f t="shared" si="99"/>
        <v>0</v>
      </c>
      <c r="CP45" s="130">
        <f t="shared" si="99"/>
        <v>0</v>
      </c>
      <c r="CQ45" s="130">
        <f t="shared" si="99"/>
        <v>0</v>
      </c>
      <c r="CR45" s="130">
        <f t="shared" si="99"/>
        <v>0</v>
      </c>
      <c r="CS45" s="130">
        <f t="shared" si="99"/>
        <v>0</v>
      </c>
      <c r="CT45" s="130">
        <f t="shared" si="99"/>
        <v>0</v>
      </c>
      <c r="CU45" s="130">
        <f t="shared" si="99"/>
        <v>0</v>
      </c>
      <c r="CV45" s="130">
        <f t="shared" si="99"/>
        <v>0</v>
      </c>
      <c r="CW45" s="130">
        <f t="shared" si="99"/>
        <v>0</v>
      </c>
      <c r="CX45" s="130">
        <f t="shared" si="99"/>
        <v>0</v>
      </c>
      <c r="CY45" s="130">
        <f t="shared" si="99"/>
        <v>0</v>
      </c>
      <c r="CZ45" s="130">
        <f t="shared" si="99"/>
        <v>0</v>
      </c>
      <c r="DA45" s="130">
        <f t="shared" si="99"/>
        <v>0</v>
      </c>
      <c r="DB45" s="130">
        <f t="shared" si="99"/>
        <v>0</v>
      </c>
      <c r="DC45" s="130">
        <f t="shared" si="99"/>
        <v>0</v>
      </c>
      <c r="DD45" s="130">
        <f t="shared" si="99"/>
        <v>0</v>
      </c>
      <c r="DE45" s="130">
        <f t="shared" si="99"/>
        <v>0</v>
      </c>
      <c r="DF45" s="130">
        <f t="shared" si="99"/>
        <v>0</v>
      </c>
      <c r="DG45" s="130">
        <f t="shared" si="99"/>
        <v>0</v>
      </c>
      <c r="DH45" s="130">
        <f t="shared" si="99"/>
        <v>0</v>
      </c>
      <c r="DI45" s="130">
        <f t="shared" si="99"/>
        <v>0</v>
      </c>
      <c r="DJ45" s="130">
        <f t="shared" ref="DJ45:DU45" si="100">DJ13-DJ28</f>
        <v>0</v>
      </c>
      <c r="DK45" s="130">
        <f t="shared" si="100"/>
        <v>0</v>
      </c>
      <c r="DL45" s="130">
        <f t="shared" si="100"/>
        <v>0</v>
      </c>
      <c r="DM45" s="130">
        <f t="shared" si="100"/>
        <v>0</v>
      </c>
      <c r="DN45" s="130">
        <f t="shared" si="100"/>
        <v>0</v>
      </c>
      <c r="DO45" s="130">
        <f t="shared" si="100"/>
        <v>0</v>
      </c>
      <c r="DP45" s="130">
        <f t="shared" si="100"/>
        <v>0</v>
      </c>
      <c r="DQ45" s="130">
        <f t="shared" si="100"/>
        <v>0</v>
      </c>
      <c r="DR45" s="130">
        <f t="shared" si="100"/>
        <v>0</v>
      </c>
      <c r="DS45" s="130">
        <f t="shared" si="100"/>
        <v>0</v>
      </c>
      <c r="DT45" s="130">
        <f t="shared" si="100"/>
        <v>0</v>
      </c>
      <c r="DU45" s="130">
        <f t="shared" si="100"/>
        <v>0</v>
      </c>
      <c r="DW45" s="130">
        <f t="shared" si="75"/>
        <v>1073</v>
      </c>
      <c r="DX45" s="669">
        <f t="shared" si="76"/>
        <v>0</v>
      </c>
      <c r="DY45" s="130">
        <f t="shared" si="77"/>
        <v>0</v>
      </c>
      <c r="DZ45" s="130">
        <f t="shared" si="78"/>
        <v>0</v>
      </c>
      <c r="EA45" s="130">
        <f t="shared" si="79"/>
        <v>0</v>
      </c>
      <c r="EB45" s="130">
        <f t="shared" si="80"/>
        <v>0</v>
      </c>
      <c r="EC45" s="130">
        <f t="shared" si="81"/>
        <v>0</v>
      </c>
      <c r="ED45" s="130">
        <f t="shared" si="82"/>
        <v>0</v>
      </c>
      <c r="EE45" s="130">
        <f t="shared" si="83"/>
        <v>0</v>
      </c>
      <c r="EF45" s="130">
        <f t="shared" si="84"/>
        <v>0</v>
      </c>
      <c r="EG45" s="130">
        <f t="shared" si="85"/>
        <v>0</v>
      </c>
      <c r="EH45" s="130">
        <f t="shared" si="86"/>
        <v>0</v>
      </c>
      <c r="EI45" s="130">
        <f t="shared" si="87"/>
        <v>0</v>
      </c>
      <c r="EJ45" s="130">
        <f t="shared" si="88"/>
        <v>0</v>
      </c>
      <c r="EK45" s="130">
        <f t="shared" si="89"/>
        <v>0</v>
      </c>
      <c r="EL45" s="130">
        <f t="shared" si="90"/>
        <v>0</v>
      </c>
      <c r="EM45" s="130">
        <f t="shared" si="91"/>
        <v>0</v>
      </c>
      <c r="EN45" s="130">
        <f t="shared" si="92"/>
        <v>0</v>
      </c>
      <c r="EO45" s="650">
        <f t="shared" si="93"/>
        <v>0</v>
      </c>
      <c r="EP45" s="130">
        <f t="shared" si="94"/>
        <v>0</v>
      </c>
      <c r="EQ45" s="129">
        <f t="shared" si="58"/>
        <v>0</v>
      </c>
      <c r="ER45" s="129">
        <f t="shared" si="59"/>
        <v>0</v>
      </c>
      <c r="ES45" s="129">
        <f t="shared" si="60"/>
        <v>0</v>
      </c>
      <c r="ET45" s="129">
        <f t="shared" si="61"/>
        <v>0</v>
      </c>
      <c r="EV45" s="130">
        <f t="shared" si="66"/>
        <v>1073</v>
      </c>
      <c r="EW45" s="130">
        <f t="shared" si="67"/>
        <v>0</v>
      </c>
      <c r="EX45" s="130">
        <f t="shared" si="68"/>
        <v>0</v>
      </c>
      <c r="EY45" s="130">
        <f t="shared" si="69"/>
        <v>0</v>
      </c>
      <c r="EZ45" s="130">
        <f t="shared" si="70"/>
        <v>0</v>
      </c>
      <c r="FA45" s="669">
        <f t="shared" si="71"/>
        <v>0</v>
      </c>
    </row>
    <row r="46" spans="2:157" x14ac:dyDescent="0.2">
      <c r="B46" s="119" t="s">
        <v>140</v>
      </c>
      <c r="C46" s="129">
        <f>'P&amp;L - Inputs'!K208</f>
        <v>0</v>
      </c>
      <c r="D46" s="129">
        <f>'P&amp;L - Inputs'!L208</f>
        <v>0</v>
      </c>
      <c r="E46" s="129">
        <f>'P&amp;L - Inputs'!M208</f>
        <v>0</v>
      </c>
      <c r="F46" s="129">
        <f>'P&amp;L - Inputs'!N208</f>
        <v>0</v>
      </c>
      <c r="G46" s="129">
        <f>'P&amp;L - Inputs'!O208</f>
        <v>0</v>
      </c>
      <c r="H46" s="129">
        <f>'P&amp;L - Inputs'!P208</f>
        <v>0</v>
      </c>
      <c r="I46" s="129">
        <f>'P&amp;L - Inputs'!Q208</f>
        <v>0</v>
      </c>
      <c r="J46" s="129">
        <f>'P&amp;L - Inputs'!R208</f>
        <v>0</v>
      </c>
      <c r="K46" s="129">
        <f>'P&amp;L - Inputs'!S208</f>
        <v>0</v>
      </c>
      <c r="L46" s="129">
        <f>'P&amp;L - Inputs'!T208</f>
        <v>0</v>
      </c>
      <c r="M46" s="129">
        <f>'P&amp;L - Inputs'!U208</f>
        <v>0</v>
      </c>
      <c r="N46" s="129">
        <f>'P&amp;L - Inputs'!V208</f>
        <v>0</v>
      </c>
      <c r="O46" s="129">
        <f>'P&amp;L - Inputs'!W208</f>
        <v>0</v>
      </c>
      <c r="P46" s="129">
        <f>'P&amp;L - Inputs'!X208</f>
        <v>0</v>
      </c>
      <c r="Q46" s="129">
        <f>'P&amp;L - Inputs'!Y208</f>
        <v>0</v>
      </c>
      <c r="R46" s="129">
        <f>'P&amp;L - Inputs'!Z208</f>
        <v>0</v>
      </c>
      <c r="S46" s="129">
        <f>'P&amp;L - Inputs'!AA208</f>
        <v>0</v>
      </c>
      <c r="T46" s="129">
        <f>'P&amp;L - Inputs'!AB208</f>
        <v>165</v>
      </c>
      <c r="U46" s="129">
        <f>'P&amp;L - Inputs'!AC208</f>
        <v>4</v>
      </c>
      <c r="V46" s="129">
        <f>'P&amp;L - Inputs'!AD208</f>
        <v>0</v>
      </c>
      <c r="W46" s="129">
        <f>'P&amp;L - Inputs'!AE208</f>
        <v>17</v>
      </c>
      <c r="X46" s="129">
        <f>'P&amp;L - Inputs'!AF208</f>
        <v>0</v>
      </c>
      <c r="Y46" s="129">
        <f>'P&amp;L - Inputs'!AG208</f>
        <v>0</v>
      </c>
      <c r="Z46" s="129">
        <f>'P&amp;L - Inputs'!AH208</f>
        <v>0</v>
      </c>
      <c r="AA46" s="129">
        <f>'P&amp;L - Inputs'!AI208</f>
        <v>0</v>
      </c>
      <c r="AB46" s="129">
        <f>'P&amp;L - Inputs'!AJ208</f>
        <v>0</v>
      </c>
      <c r="AC46" s="129">
        <f>'P&amp;L - Inputs'!AK208</f>
        <v>0</v>
      </c>
      <c r="AD46" s="129">
        <f>'P&amp;L - Inputs'!AL208</f>
        <v>0</v>
      </c>
      <c r="AE46" s="129">
        <f>'P&amp;L - Inputs'!AM208</f>
        <v>0</v>
      </c>
      <c r="AF46" s="129">
        <f>'P&amp;L - Inputs'!AN208</f>
        <v>0</v>
      </c>
      <c r="AG46" s="129">
        <f>'P&amp;L - Inputs'!AO208</f>
        <v>0</v>
      </c>
      <c r="AH46" s="129">
        <f>'P&amp;L - Inputs'!AP208</f>
        <v>0</v>
      </c>
      <c r="AI46" s="129">
        <f>'P&amp;L - Inputs'!AQ208</f>
        <v>0</v>
      </c>
      <c r="AJ46" s="129">
        <f>'P&amp;L - Inputs'!AR208</f>
        <v>0</v>
      </c>
      <c r="AK46" s="129">
        <f>'P&amp;L - Inputs'!AS208</f>
        <v>0</v>
      </c>
      <c r="AL46" s="129">
        <f>'P&amp;L - Inputs'!AT208</f>
        <v>0</v>
      </c>
      <c r="AM46" s="129">
        <f>'P&amp;L - Inputs'!AU208</f>
        <v>0</v>
      </c>
      <c r="AN46" s="129">
        <f>'P&amp;L - Inputs'!AV208</f>
        <v>0</v>
      </c>
      <c r="AO46" s="129">
        <f>'P&amp;L - Inputs'!AW208</f>
        <v>0</v>
      </c>
      <c r="AP46" s="129">
        <f>'P&amp;L - Inputs'!AX208</f>
        <v>0</v>
      </c>
      <c r="AQ46" s="129">
        <f>'P&amp;L - Inputs'!AY208</f>
        <v>0</v>
      </c>
      <c r="AR46" s="129">
        <f>'P&amp;L - Inputs'!AZ208</f>
        <v>0</v>
      </c>
      <c r="AS46" s="129">
        <f>'P&amp;L - Inputs'!BA208</f>
        <v>0</v>
      </c>
      <c r="AT46" s="129">
        <f>'P&amp;L - Inputs'!BB208</f>
        <v>0</v>
      </c>
      <c r="AU46" s="129">
        <f>'P&amp;L - Inputs'!BC208</f>
        <v>0</v>
      </c>
      <c r="AV46" s="129">
        <f>'P&amp;L - Inputs'!BD208</f>
        <v>0</v>
      </c>
      <c r="AW46" s="129">
        <f>'P&amp;L - Inputs'!BE208</f>
        <v>0</v>
      </c>
      <c r="AX46" s="129">
        <f>'P&amp;L - Inputs'!BF208</f>
        <v>0</v>
      </c>
      <c r="AY46" s="129">
        <f>'P&amp;L - Inputs'!BG208</f>
        <v>0</v>
      </c>
      <c r="AZ46" s="129">
        <f>'P&amp;L - Inputs'!BH208</f>
        <v>0</v>
      </c>
      <c r="BA46" s="129">
        <f>'P&amp;L - Inputs'!BI208</f>
        <v>0</v>
      </c>
      <c r="BB46" s="129">
        <f>'P&amp;L - Inputs'!BJ208</f>
        <v>0</v>
      </c>
      <c r="BC46" s="129">
        <f>'P&amp;L - Inputs'!BK208</f>
        <v>0</v>
      </c>
      <c r="BD46" s="129">
        <f>'P&amp;L - Inputs'!BL208</f>
        <v>0</v>
      </c>
      <c r="BE46" s="129">
        <f>'P&amp;L - Inputs'!BM208</f>
        <v>0</v>
      </c>
      <c r="BF46" s="129">
        <f>'P&amp;L - Inputs'!BN208</f>
        <v>0</v>
      </c>
      <c r="BG46" s="129">
        <f>'P&amp;L - Inputs'!BO208</f>
        <v>0</v>
      </c>
      <c r="BH46" s="129">
        <f>'P&amp;L - Inputs'!BP208</f>
        <v>0</v>
      </c>
      <c r="BI46" s="129">
        <f>'P&amp;L - Inputs'!BQ208</f>
        <v>0</v>
      </c>
      <c r="BJ46" s="129">
        <f>'P&amp;L - Inputs'!BR208</f>
        <v>0</v>
      </c>
      <c r="BK46" s="129">
        <f>'P&amp;L - Inputs'!BS208</f>
        <v>0</v>
      </c>
      <c r="BL46" s="129">
        <f>'P&amp;L - Inputs'!BT208</f>
        <v>0</v>
      </c>
      <c r="BM46" s="129">
        <f>'P&amp;L - Inputs'!BU208</f>
        <v>0</v>
      </c>
      <c r="BN46" s="129">
        <f>'P&amp;L - Inputs'!BV208</f>
        <v>0</v>
      </c>
      <c r="BO46" s="129">
        <f>'P&amp;L - Inputs'!BW208</f>
        <v>0</v>
      </c>
      <c r="BP46" s="129">
        <f>'P&amp;L - Inputs'!BX208</f>
        <v>0</v>
      </c>
      <c r="BQ46" s="129">
        <f>'P&amp;L - Inputs'!BY208</f>
        <v>0</v>
      </c>
      <c r="BR46" s="129">
        <f>'P&amp;L - Inputs'!BZ208</f>
        <v>0</v>
      </c>
      <c r="BS46" s="129">
        <f>'P&amp;L - Inputs'!CA208</f>
        <v>0</v>
      </c>
      <c r="BT46" s="129">
        <f>'P&amp;L - Inputs'!CB208</f>
        <v>0</v>
      </c>
      <c r="BU46" s="129">
        <f>'P&amp;L - Inputs'!CC208</f>
        <v>0</v>
      </c>
      <c r="BV46" s="129">
        <f>'P&amp;L - Inputs'!CD208</f>
        <v>0</v>
      </c>
      <c r="BW46" s="129">
        <f>'P&amp;L - Inputs'!CE208</f>
        <v>0</v>
      </c>
      <c r="BX46" s="129">
        <f>'P&amp;L - Inputs'!CF208</f>
        <v>0</v>
      </c>
      <c r="BY46" s="129">
        <f>'P&amp;L - Inputs'!CG208</f>
        <v>0</v>
      </c>
      <c r="BZ46" s="129">
        <f>'P&amp;L - Inputs'!CH208</f>
        <v>0</v>
      </c>
      <c r="CA46" s="129">
        <f>'P&amp;L - Inputs'!CI208</f>
        <v>0</v>
      </c>
      <c r="CB46" s="129">
        <f>'P&amp;L - Inputs'!CJ208</f>
        <v>0</v>
      </c>
      <c r="CC46" s="129">
        <f>'P&amp;L - Inputs'!CK208</f>
        <v>0</v>
      </c>
      <c r="CD46" s="129">
        <f>'P&amp;L - Inputs'!CL208</f>
        <v>0</v>
      </c>
      <c r="CE46" s="129">
        <f>'P&amp;L - Inputs'!CM208</f>
        <v>0</v>
      </c>
      <c r="CF46" s="129">
        <f>'P&amp;L - Inputs'!CN208</f>
        <v>0</v>
      </c>
      <c r="CG46" s="129">
        <f>'P&amp;L - Inputs'!CO208</f>
        <v>0</v>
      </c>
      <c r="CH46" s="129">
        <f>'P&amp;L - Inputs'!CP208</f>
        <v>0</v>
      </c>
      <c r="CI46" s="129">
        <f>'P&amp;L - Inputs'!CQ208</f>
        <v>0</v>
      </c>
      <c r="CJ46" s="129">
        <f>'P&amp;L - Inputs'!CR208</f>
        <v>0</v>
      </c>
      <c r="CK46" s="129">
        <f>'P&amp;L - Inputs'!CS208</f>
        <v>0</v>
      </c>
      <c r="CL46" s="129">
        <f>'P&amp;L - Inputs'!CT208</f>
        <v>0</v>
      </c>
      <c r="CM46" s="129">
        <f>'P&amp;L - Inputs'!CU208</f>
        <v>0</v>
      </c>
      <c r="CN46" s="129">
        <f>'P&amp;L - Inputs'!CV208</f>
        <v>0</v>
      </c>
      <c r="CO46" s="129">
        <f>'P&amp;L - Inputs'!CW208</f>
        <v>0</v>
      </c>
      <c r="CP46" s="129">
        <f>'P&amp;L - Inputs'!CX208</f>
        <v>0</v>
      </c>
      <c r="CQ46" s="129">
        <f>'P&amp;L - Inputs'!CY208</f>
        <v>0</v>
      </c>
      <c r="CR46" s="129">
        <f>'P&amp;L - Inputs'!CZ208</f>
        <v>0</v>
      </c>
      <c r="CS46" s="129">
        <f>'P&amp;L - Inputs'!DA208</f>
        <v>0</v>
      </c>
      <c r="CT46" s="129">
        <f>'P&amp;L - Inputs'!DB208</f>
        <v>0</v>
      </c>
      <c r="CU46" s="129">
        <f>'P&amp;L - Inputs'!DC208</f>
        <v>0</v>
      </c>
      <c r="CV46" s="129">
        <f>'P&amp;L - Inputs'!DD208</f>
        <v>0</v>
      </c>
      <c r="CW46" s="129">
        <f>'P&amp;L - Inputs'!DE208</f>
        <v>0</v>
      </c>
      <c r="CX46" s="129">
        <f>'P&amp;L - Inputs'!DF208</f>
        <v>0</v>
      </c>
      <c r="CY46" s="129">
        <f>'P&amp;L - Inputs'!DG208</f>
        <v>0</v>
      </c>
      <c r="CZ46" s="129">
        <f>'P&amp;L - Inputs'!DH208</f>
        <v>0</v>
      </c>
      <c r="DA46" s="129">
        <f>'P&amp;L - Inputs'!DI208</f>
        <v>0</v>
      </c>
      <c r="DB46" s="129">
        <f>'P&amp;L - Inputs'!DJ208</f>
        <v>0</v>
      </c>
      <c r="DC46" s="129">
        <f>'P&amp;L - Inputs'!DK208</f>
        <v>0</v>
      </c>
      <c r="DD46" s="129">
        <f>'P&amp;L - Inputs'!DL208</f>
        <v>0</v>
      </c>
      <c r="DE46" s="129">
        <f>'P&amp;L - Inputs'!DM208</f>
        <v>0</v>
      </c>
      <c r="DF46" s="129">
        <f>'P&amp;L - Inputs'!DN208</f>
        <v>0</v>
      </c>
      <c r="DG46" s="129">
        <f>'P&amp;L - Inputs'!DO208</f>
        <v>0</v>
      </c>
      <c r="DH46" s="129">
        <f>'P&amp;L - Inputs'!DP208</f>
        <v>0</v>
      </c>
      <c r="DI46" s="129">
        <f>'P&amp;L - Inputs'!DQ208</f>
        <v>0</v>
      </c>
      <c r="DJ46" s="129">
        <f>'P&amp;L - Inputs'!DR208</f>
        <v>0</v>
      </c>
      <c r="DK46" s="129">
        <f>'P&amp;L - Inputs'!DS208</f>
        <v>0</v>
      </c>
      <c r="DL46" s="129">
        <f>'P&amp;L - Inputs'!DT208</f>
        <v>0</v>
      </c>
      <c r="DM46" s="129">
        <f>'P&amp;L - Inputs'!DU208</f>
        <v>0</v>
      </c>
      <c r="DN46" s="129">
        <f>'P&amp;L - Inputs'!DV208</f>
        <v>0</v>
      </c>
      <c r="DO46" s="129">
        <f>'P&amp;L - Inputs'!DW208</f>
        <v>0</v>
      </c>
      <c r="DP46" s="129">
        <f>'P&amp;L - Inputs'!DX208</f>
        <v>0</v>
      </c>
      <c r="DQ46" s="129">
        <f>'P&amp;L - Inputs'!DY208</f>
        <v>0</v>
      </c>
      <c r="DR46" s="129">
        <f>'P&amp;L - Inputs'!DZ208</f>
        <v>0</v>
      </c>
      <c r="DS46" s="129">
        <f>'P&amp;L - Inputs'!EA208</f>
        <v>0</v>
      </c>
      <c r="DT46" s="129">
        <f>'P&amp;L - Inputs'!EB208</f>
        <v>0</v>
      </c>
      <c r="DU46" s="129">
        <f>'P&amp;L - Inputs'!EC208</f>
        <v>0</v>
      </c>
      <c r="DW46" s="129">
        <f t="shared" si="75"/>
        <v>0</v>
      </c>
      <c r="DX46" s="663">
        <f t="shared" si="76"/>
        <v>0</v>
      </c>
      <c r="DY46" s="129">
        <f t="shared" si="77"/>
        <v>0</v>
      </c>
      <c r="DZ46" s="129">
        <f t="shared" si="78"/>
        <v>0</v>
      </c>
      <c r="EA46" s="129">
        <f t="shared" si="79"/>
        <v>0</v>
      </c>
      <c r="EB46" s="129">
        <f t="shared" si="80"/>
        <v>0</v>
      </c>
      <c r="EC46" s="129">
        <f t="shared" si="81"/>
        <v>0</v>
      </c>
      <c r="ED46" s="129">
        <f t="shared" si="82"/>
        <v>0</v>
      </c>
      <c r="EE46" s="129">
        <f t="shared" si="83"/>
        <v>0</v>
      </c>
      <c r="EF46" s="129">
        <f t="shared" si="84"/>
        <v>0</v>
      </c>
      <c r="EG46" s="129">
        <f t="shared" si="85"/>
        <v>0</v>
      </c>
      <c r="EH46" s="129">
        <f t="shared" si="86"/>
        <v>0</v>
      </c>
      <c r="EI46" s="129">
        <f t="shared" si="87"/>
        <v>0</v>
      </c>
      <c r="EJ46" s="129">
        <f t="shared" si="88"/>
        <v>0</v>
      </c>
      <c r="EK46" s="129">
        <f t="shared" si="89"/>
        <v>0</v>
      </c>
      <c r="EL46" s="129">
        <f t="shared" si="90"/>
        <v>0</v>
      </c>
      <c r="EM46" s="129">
        <f t="shared" si="91"/>
        <v>0</v>
      </c>
      <c r="EN46" s="129">
        <f t="shared" si="92"/>
        <v>0</v>
      </c>
      <c r="EO46" s="644">
        <f t="shared" si="93"/>
        <v>0</v>
      </c>
      <c r="EP46" s="129">
        <f t="shared" si="94"/>
        <v>0</v>
      </c>
      <c r="EQ46" s="129">
        <f t="shared" si="58"/>
        <v>0</v>
      </c>
      <c r="ER46" s="129">
        <f t="shared" si="59"/>
        <v>0</v>
      </c>
      <c r="ES46" s="129">
        <f t="shared" si="60"/>
        <v>0</v>
      </c>
      <c r="ET46" s="129">
        <f t="shared" si="61"/>
        <v>0</v>
      </c>
      <c r="EV46" s="129">
        <f t="shared" si="66"/>
        <v>0</v>
      </c>
      <c r="EW46" s="129">
        <f t="shared" si="67"/>
        <v>0</v>
      </c>
      <c r="EX46" s="129">
        <f t="shared" si="68"/>
        <v>0</v>
      </c>
      <c r="EY46" s="129">
        <f t="shared" si="69"/>
        <v>0</v>
      </c>
      <c r="EZ46" s="129">
        <f t="shared" si="70"/>
        <v>0</v>
      </c>
      <c r="FA46" s="663">
        <f t="shared" si="71"/>
        <v>0</v>
      </c>
    </row>
    <row r="47" spans="2:157" x14ac:dyDescent="0.2">
      <c r="B47" s="117" t="s">
        <v>14</v>
      </c>
      <c r="C47" s="129">
        <f>C35/C42</f>
        <v>7385.0578839285708</v>
      </c>
      <c r="D47" s="129">
        <f t="shared" ref="D47:BO47" si="101">D35/D42</f>
        <v>8611.7862285052906</v>
      </c>
      <c r="E47" s="129">
        <f t="shared" si="101"/>
        <v>11940.419858818601</v>
      </c>
      <c r="F47" s="129">
        <f t="shared" si="101"/>
        <v>12813.509796315608</v>
      </c>
      <c r="G47" s="129">
        <f t="shared" si="101"/>
        <v>12581.541444868692</v>
      </c>
      <c r="H47" s="129">
        <f t="shared" si="101"/>
        <v>11641.367041949416</v>
      </c>
      <c r="I47" s="129">
        <f t="shared" si="101"/>
        <v>12593.511523360861</v>
      </c>
      <c r="J47" s="129">
        <f t="shared" si="101"/>
        <v>9147.6578098211194</v>
      </c>
      <c r="K47" s="129">
        <f t="shared" si="101"/>
        <v>10318.791332838389</v>
      </c>
      <c r="L47" s="129">
        <f t="shared" si="101"/>
        <v>10517.705427892408</v>
      </c>
      <c r="M47" s="129">
        <f t="shared" si="101"/>
        <v>7915.2736635944702</v>
      </c>
      <c r="N47" s="129">
        <f t="shared" si="101"/>
        <v>10546.907526870344</v>
      </c>
      <c r="O47" s="129">
        <f t="shared" si="101"/>
        <v>9842.8166482070556</v>
      </c>
      <c r="P47" s="129">
        <f t="shared" si="101"/>
        <v>3707.6994956268186</v>
      </c>
      <c r="Q47" s="129">
        <f t="shared" si="101"/>
        <v>10384.463763657715</v>
      </c>
      <c r="R47" s="129">
        <f t="shared" si="101"/>
        <v>9824.0823529411773</v>
      </c>
      <c r="S47" s="129">
        <f t="shared" si="101"/>
        <v>11762.303209534743</v>
      </c>
      <c r="T47" s="129">
        <f t="shared" si="101"/>
        <v>13485.474854932301</v>
      </c>
      <c r="U47" s="129">
        <f t="shared" si="101"/>
        <v>18511.705440900561</v>
      </c>
      <c r="V47" s="129">
        <f t="shared" si="101"/>
        <v>13881.223564954682</v>
      </c>
      <c r="W47" s="129">
        <f t="shared" si="101"/>
        <v>11055.734463276836</v>
      </c>
      <c r="X47" s="129">
        <f t="shared" si="101"/>
        <v>12570.608978145305</v>
      </c>
      <c r="Y47" s="129">
        <f t="shared" si="101"/>
        <v>11470.820463320464</v>
      </c>
      <c r="Z47" s="129">
        <f t="shared" si="101"/>
        <v>10760.241751567397</v>
      </c>
      <c r="AA47" s="129">
        <f t="shared" si="101"/>
        <v>10409.780201664533</v>
      </c>
      <c r="AB47" s="129">
        <f t="shared" si="101"/>
        <v>11496.615339918651</v>
      </c>
      <c r="AC47" s="129">
        <f t="shared" si="101"/>
        <v>10614.664267569857</v>
      </c>
      <c r="AD47" s="129">
        <f t="shared" si="101"/>
        <v>9104.6750241080044</v>
      </c>
      <c r="AE47" s="129">
        <f t="shared" si="101"/>
        <v>9376.6781027667967</v>
      </c>
      <c r="AF47" s="129">
        <f t="shared" si="101"/>
        <v>9771.3792478355208</v>
      </c>
      <c r="AG47" s="129">
        <f t="shared" si="101"/>
        <v>9995.8157216494837</v>
      </c>
      <c r="AH47" s="129">
        <f t="shared" si="101"/>
        <v>10019.400406504064</v>
      </c>
      <c r="AI47" s="129">
        <f t="shared" si="101"/>
        <v>11323.12602739726</v>
      </c>
      <c r="AJ47" s="129">
        <f t="shared" si="101"/>
        <v>11856.68219754977</v>
      </c>
      <c r="AK47" s="129">
        <f t="shared" si="101"/>
        <v>12305.28841280427</v>
      </c>
      <c r="AL47" s="129">
        <f t="shared" si="101"/>
        <v>11566.266539613394</v>
      </c>
      <c r="AM47" s="129">
        <f t="shared" si="101"/>
        <v>12704.986221819123</v>
      </c>
      <c r="AN47" s="129">
        <f t="shared" si="101"/>
        <v>14468.520791415158</v>
      </c>
      <c r="AO47" s="129">
        <f t="shared" si="101"/>
        <v>15670.200527356625</v>
      </c>
      <c r="AP47" s="129">
        <f t="shared" si="101"/>
        <v>15033.321832167827</v>
      </c>
      <c r="AQ47" s="129">
        <f t="shared" si="101"/>
        <v>13761.546612685559</v>
      </c>
      <c r="AR47" s="129">
        <f t="shared" si="101"/>
        <v>19553.220585585586</v>
      </c>
      <c r="AS47" s="129">
        <f t="shared" si="101"/>
        <v>15216.932631579104</v>
      </c>
      <c r="AT47" s="129">
        <f t="shared" si="101"/>
        <v>13509.341834687097</v>
      </c>
      <c r="AU47" s="129">
        <f t="shared" si="101"/>
        <v>12800.130626018943</v>
      </c>
      <c r="AV47" s="129">
        <f t="shared" si="101"/>
        <v>16895.300718518563</v>
      </c>
      <c r="AW47" s="129">
        <f t="shared" si="101"/>
        <v>19743.095434633811</v>
      </c>
      <c r="AX47" s="129">
        <f t="shared" si="101"/>
        <v>18637.149517110352</v>
      </c>
      <c r="AY47" s="129">
        <f t="shared" si="101"/>
        <v>23230.200031459048</v>
      </c>
      <c r="AZ47" s="129">
        <f t="shared" si="101"/>
        <v>20295.770589183026</v>
      </c>
      <c r="BA47" s="129">
        <f t="shared" si="101"/>
        <v>21775.592348754566</v>
      </c>
      <c r="BB47" s="129">
        <f t="shared" si="101"/>
        <v>21203.209111943816</v>
      </c>
      <c r="BC47" s="129">
        <f t="shared" si="101"/>
        <v>21966.405508309163</v>
      </c>
      <c r="BD47" s="129">
        <f t="shared" si="101"/>
        <v>20170.075590782846</v>
      </c>
      <c r="BE47" s="129">
        <f t="shared" si="101"/>
        <v>21580.055725979917</v>
      </c>
      <c r="BF47" s="129">
        <f t="shared" si="101"/>
        <v>20766.429081892402</v>
      </c>
      <c r="BG47" s="129">
        <f t="shared" si="101"/>
        <v>22320.871584111508</v>
      </c>
      <c r="BH47" s="129">
        <f t="shared" si="101"/>
        <v>26966.386976857611</v>
      </c>
      <c r="BI47" s="129">
        <f t="shared" si="101"/>
        <v>23567.101432495379</v>
      </c>
      <c r="BJ47" s="129">
        <f t="shared" si="101"/>
        <v>24554.332250363339</v>
      </c>
      <c r="BK47" s="129">
        <f t="shared" si="101"/>
        <v>23895.372212199436</v>
      </c>
      <c r="BL47" s="129">
        <f t="shared" si="101"/>
        <v>25966.797095487771</v>
      </c>
      <c r="BM47" s="129">
        <f t="shared" si="101"/>
        <v>23815.258085121841</v>
      </c>
      <c r="BN47" s="129">
        <f t="shared" si="101"/>
        <v>24729.782677883635</v>
      </c>
      <c r="BO47" s="129">
        <f t="shared" si="101"/>
        <v>25482.716148928193</v>
      </c>
      <c r="BP47" s="129">
        <f t="shared" ref="BP47:DI47" si="102">BP35/BP42</f>
        <v>25350.221305725332</v>
      </c>
      <c r="BQ47" s="129">
        <f t="shared" si="102"/>
        <v>25480.817540361895</v>
      </c>
      <c r="BR47" s="129">
        <f t="shared" si="102"/>
        <v>26338.144257289801</v>
      </c>
      <c r="BS47" s="129">
        <f t="shared" si="102"/>
        <v>27099.832108565191</v>
      </c>
      <c r="BT47" s="129">
        <f t="shared" si="102"/>
        <v>29114.782571360651</v>
      </c>
      <c r="BU47" s="129">
        <f t="shared" si="102"/>
        <v>28374.692022306022</v>
      </c>
      <c r="BV47" s="129">
        <f t="shared" si="102"/>
        <v>27203.183396275752</v>
      </c>
      <c r="BW47" s="129">
        <f t="shared" si="102"/>
        <v>27272.587954997773</v>
      </c>
      <c r="BX47" s="129">
        <f t="shared" si="102"/>
        <v>26479.579727598026</v>
      </c>
      <c r="BY47" s="129">
        <f t="shared" si="102"/>
        <v>27133.201788725415</v>
      </c>
      <c r="BZ47" s="129">
        <f t="shared" si="102"/>
        <v>28723.947935338256</v>
      </c>
      <c r="CA47" s="129">
        <f t="shared" si="102"/>
        <v>28036.782586854515</v>
      </c>
      <c r="CB47" s="129">
        <f t="shared" si="102"/>
        <v>27253.609163231929</v>
      </c>
      <c r="CC47" s="129">
        <f t="shared" si="102"/>
        <v>27329.921769580218</v>
      </c>
      <c r="CD47" s="129">
        <f t="shared" si="102"/>
        <v>26261.840620642681</v>
      </c>
      <c r="CE47" s="129">
        <f t="shared" si="102"/>
        <v>25862.100339584282</v>
      </c>
      <c r="CF47" s="129">
        <f t="shared" si="102"/>
        <v>27267.638528019725</v>
      </c>
      <c r="CG47" s="129">
        <f t="shared" si="102"/>
        <v>26212.443017728878</v>
      </c>
      <c r="CH47" s="129">
        <f t="shared" si="102"/>
        <v>25063.55371511697</v>
      </c>
      <c r="CI47" s="129">
        <f t="shared" si="102"/>
        <v>25367.246069107856</v>
      </c>
      <c r="CJ47" s="129">
        <f t="shared" si="102"/>
        <v>24285.41950211113</v>
      </c>
      <c r="CK47" s="129">
        <f t="shared" si="102"/>
        <v>26251.977459779439</v>
      </c>
      <c r="CL47" s="129">
        <f t="shared" si="102"/>
        <v>27206.978081271136</v>
      </c>
      <c r="CM47" s="129">
        <f t="shared" si="102"/>
        <v>27206.978081271132</v>
      </c>
      <c r="CN47" s="129">
        <f t="shared" si="102"/>
        <v>27206.978081271136</v>
      </c>
      <c r="CO47" s="129">
        <f t="shared" si="102"/>
        <v>27206.978081271136</v>
      </c>
      <c r="CP47" s="129">
        <f t="shared" si="102"/>
        <v>27206.978081271136</v>
      </c>
      <c r="CQ47" s="129">
        <f t="shared" si="102"/>
        <v>27206.978081271132</v>
      </c>
      <c r="CR47" s="129">
        <f t="shared" si="102"/>
        <v>27206.978081271136</v>
      </c>
      <c r="CS47" s="129">
        <f t="shared" si="102"/>
        <v>27206.978081271136</v>
      </c>
      <c r="CT47" s="129">
        <f t="shared" si="102"/>
        <v>27206.978081271132</v>
      </c>
      <c r="CU47" s="129">
        <f t="shared" si="102"/>
        <v>27206.978081271132</v>
      </c>
      <c r="CV47" s="129">
        <f t="shared" si="102"/>
        <v>27206.978081271132</v>
      </c>
      <c r="CW47" s="129">
        <f t="shared" si="102"/>
        <v>27206.978081271136</v>
      </c>
      <c r="CX47" s="129">
        <f t="shared" si="102"/>
        <v>28023.187423709274</v>
      </c>
      <c r="CY47" s="129">
        <f t="shared" si="102"/>
        <v>28023.187423709274</v>
      </c>
      <c r="CZ47" s="129">
        <f t="shared" si="102"/>
        <v>28023.187423709274</v>
      </c>
      <c r="DA47" s="129">
        <f t="shared" si="102"/>
        <v>28023.187423709274</v>
      </c>
      <c r="DB47" s="129">
        <f t="shared" si="102"/>
        <v>28023.187423709271</v>
      </c>
      <c r="DC47" s="129">
        <f t="shared" si="102"/>
        <v>28023.187423709271</v>
      </c>
      <c r="DD47" s="129">
        <f t="shared" si="102"/>
        <v>28023.187423709271</v>
      </c>
      <c r="DE47" s="129">
        <f t="shared" si="102"/>
        <v>28023.187423709271</v>
      </c>
      <c r="DF47" s="129">
        <f t="shared" si="102"/>
        <v>28023.187423709274</v>
      </c>
      <c r="DG47" s="129">
        <f t="shared" si="102"/>
        <v>28023.187423709271</v>
      </c>
      <c r="DH47" s="129">
        <f t="shared" si="102"/>
        <v>28023.187423709271</v>
      </c>
      <c r="DI47" s="129">
        <f t="shared" si="102"/>
        <v>28023.187423709267</v>
      </c>
      <c r="DJ47" s="129">
        <f t="shared" ref="DJ47:DU47" si="103">DJ35/DJ42</f>
        <v>28863.883046420546</v>
      </c>
      <c r="DK47" s="129">
        <f t="shared" si="103"/>
        <v>28863.883046420553</v>
      </c>
      <c r="DL47" s="129">
        <f t="shared" si="103"/>
        <v>28863.883046420546</v>
      </c>
      <c r="DM47" s="129">
        <f t="shared" si="103"/>
        <v>28863.883046420546</v>
      </c>
      <c r="DN47" s="129">
        <f t="shared" si="103"/>
        <v>28863.883046420553</v>
      </c>
      <c r="DO47" s="129">
        <f t="shared" si="103"/>
        <v>28863.883046420549</v>
      </c>
      <c r="DP47" s="129">
        <f t="shared" si="103"/>
        <v>28863.883046420546</v>
      </c>
      <c r="DQ47" s="129">
        <f t="shared" si="103"/>
        <v>28863.883046420546</v>
      </c>
      <c r="DR47" s="129">
        <f t="shared" si="103"/>
        <v>28863.883046420549</v>
      </c>
      <c r="DS47" s="129">
        <f t="shared" si="103"/>
        <v>28863.883046420549</v>
      </c>
      <c r="DT47" s="129">
        <f t="shared" si="103"/>
        <v>28863.883046420553</v>
      </c>
      <c r="DU47" s="129">
        <f t="shared" si="103"/>
        <v>28863.883046420549</v>
      </c>
      <c r="DW47" s="129">
        <f t="shared" si="75"/>
        <v>63339.690211035821</v>
      </c>
      <c r="DX47" s="663">
        <f t="shared" si="76"/>
        <v>64667.35639198382</v>
      </c>
      <c r="DY47" s="129">
        <f t="shared" si="77"/>
        <v>75087.820659716323</v>
      </c>
      <c r="DZ47" s="129">
        <f t="shared" si="78"/>
        <v>73677.427392809041</v>
      </c>
      <c r="EA47" s="129">
        <f t="shared" si="79"/>
        <v>75562.720132537157</v>
      </c>
      <c r="EB47" s="129">
        <f t="shared" si="80"/>
        <v>78918.793906216888</v>
      </c>
      <c r="EC47" s="129">
        <f t="shared" si="81"/>
        <v>84692.657989942425</v>
      </c>
      <c r="ED47" s="129">
        <f t="shared" si="82"/>
        <v>80885.369471321217</v>
      </c>
      <c r="EE47" s="129">
        <f t="shared" si="83"/>
        <v>84014.339685424697</v>
      </c>
      <c r="EF47" s="129">
        <f t="shared" si="84"/>
        <v>79453.862729807181</v>
      </c>
      <c r="EG47" s="129">
        <f t="shared" si="85"/>
        <v>78543.635260865572</v>
      </c>
      <c r="EH47" s="129">
        <f t="shared" si="86"/>
        <v>75904.643030998413</v>
      </c>
      <c r="EI47" s="129">
        <f t="shared" si="87"/>
        <v>81620.934243813404</v>
      </c>
      <c r="EJ47" s="129">
        <f t="shared" si="88"/>
        <v>81620.934243813404</v>
      </c>
      <c r="EK47" s="129">
        <f t="shared" si="89"/>
        <v>81620.934243813404</v>
      </c>
      <c r="EL47" s="129">
        <f t="shared" si="90"/>
        <v>81620.934243813404</v>
      </c>
      <c r="EM47" s="129">
        <f t="shared" si="91"/>
        <v>84069.562271127827</v>
      </c>
      <c r="EN47" s="129">
        <f t="shared" si="92"/>
        <v>84069.562271127812</v>
      </c>
      <c r="EO47" s="644">
        <f t="shared" si="93"/>
        <v>84069.562271127812</v>
      </c>
      <c r="EP47" s="129">
        <f t="shared" si="94"/>
        <v>84069.562271127812</v>
      </c>
      <c r="EQ47" s="129">
        <f t="shared" si="58"/>
        <v>86591.649139261644</v>
      </c>
      <c r="ER47" s="129">
        <f t="shared" si="59"/>
        <v>86591.649139261644</v>
      </c>
      <c r="ES47" s="129">
        <f t="shared" si="60"/>
        <v>86591.649139261644</v>
      </c>
      <c r="ET47" s="129">
        <f t="shared" si="61"/>
        <v>86591.649139261659</v>
      </c>
      <c r="EV47" s="129">
        <f t="shared" si="66"/>
        <v>276772.29465554503</v>
      </c>
      <c r="EW47" s="129">
        <f t="shared" si="67"/>
        <v>320059.54150001769</v>
      </c>
      <c r="EX47" s="129">
        <f t="shared" si="68"/>
        <v>317916.48070709588</v>
      </c>
      <c r="EY47" s="129">
        <f t="shared" si="69"/>
        <v>326483.73697525362</v>
      </c>
      <c r="EZ47" s="129">
        <f t="shared" si="70"/>
        <v>336278.24908451131</v>
      </c>
      <c r="FA47" s="663">
        <f t="shared" si="71"/>
        <v>346366.59655704664</v>
      </c>
    </row>
    <row r="48" spans="2:157" x14ac:dyDescent="0.2">
      <c r="B48" s="114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115"/>
      <c r="CD48" s="115"/>
      <c r="CE48" s="115"/>
      <c r="CF48" s="115"/>
      <c r="CG48" s="115"/>
      <c r="CH48" s="115"/>
      <c r="CI48" s="115"/>
      <c r="CJ48" s="115"/>
      <c r="CK48" s="115"/>
      <c r="CL48" s="115"/>
      <c r="CM48" s="115"/>
      <c r="CN48" s="115"/>
      <c r="CO48" s="115"/>
      <c r="CP48" s="115"/>
      <c r="CQ48" s="115"/>
      <c r="CR48" s="115"/>
      <c r="CS48" s="115"/>
      <c r="CT48" s="115"/>
      <c r="CU48" s="115"/>
      <c r="CV48" s="115"/>
      <c r="CW48" s="115"/>
      <c r="CX48" s="115"/>
      <c r="CY48" s="115"/>
      <c r="CZ48" s="115"/>
      <c r="DA48" s="115"/>
      <c r="DB48" s="115"/>
      <c r="DC48" s="115"/>
      <c r="DD48" s="115"/>
      <c r="DE48" s="115"/>
      <c r="DF48" s="115"/>
      <c r="DG48" s="115"/>
      <c r="DH48" s="115"/>
      <c r="DI48" s="115"/>
      <c r="DJ48" s="115"/>
      <c r="DK48" s="115"/>
      <c r="DL48" s="115"/>
      <c r="DM48" s="115"/>
      <c r="DN48" s="115"/>
      <c r="DO48" s="115"/>
      <c r="DP48" s="115"/>
      <c r="DQ48" s="115"/>
      <c r="DR48" s="115"/>
      <c r="DS48" s="115"/>
      <c r="DT48" s="115"/>
      <c r="DU48" s="115"/>
      <c r="DW48" s="115"/>
      <c r="DX48" s="664"/>
      <c r="DY48" s="115"/>
      <c r="DZ48" s="115"/>
      <c r="EA48" s="115"/>
      <c r="EB48" s="115"/>
      <c r="EC48" s="115"/>
      <c r="ED48" s="115"/>
      <c r="EE48" s="115"/>
      <c r="EF48" s="115"/>
      <c r="EG48" s="115"/>
      <c r="EH48" s="115"/>
      <c r="EI48" s="115"/>
      <c r="EJ48" s="115"/>
      <c r="EK48" s="115"/>
      <c r="EL48" s="115"/>
      <c r="EM48" s="115"/>
      <c r="EN48" s="115"/>
      <c r="EO48" s="645"/>
      <c r="EP48" s="115"/>
      <c r="EQ48" s="129"/>
      <c r="ER48" s="129"/>
      <c r="ES48" s="129"/>
      <c r="ET48" s="129"/>
      <c r="EV48" s="115"/>
      <c r="EW48" s="115"/>
      <c r="EX48" s="115"/>
      <c r="EY48" s="115"/>
      <c r="EZ48" s="115"/>
      <c r="FA48" s="664"/>
    </row>
    <row r="49" spans="2:157" x14ac:dyDescent="0.2">
      <c r="B49" s="186" t="s">
        <v>11</v>
      </c>
      <c r="C49" s="187">
        <f>SUM(C50:C51)</f>
        <v>23249.770714285711</v>
      </c>
      <c r="D49" s="187">
        <f t="shared" ref="D49:BO49" si="104">SUM(D50:D51)</f>
        <v>151773.31071428568</v>
      </c>
      <c r="E49" s="187">
        <f t="shared" si="104"/>
        <v>730418.59928571433</v>
      </c>
      <c r="F49" s="187">
        <f t="shared" si="104"/>
        <v>757281.53142857144</v>
      </c>
      <c r="G49" s="187">
        <f t="shared" si="104"/>
        <v>756556.81040556892</v>
      </c>
      <c r="H49" s="187">
        <f t="shared" si="104"/>
        <v>447224.04838983039</v>
      </c>
      <c r="I49" s="187">
        <f t="shared" si="104"/>
        <v>1080000.8094733653</v>
      </c>
      <c r="J49" s="187">
        <f t="shared" si="104"/>
        <v>905353.33859564154</v>
      </c>
      <c r="K49" s="187">
        <f t="shared" si="104"/>
        <v>700174.89334140427</v>
      </c>
      <c r="L49" s="187">
        <f t="shared" si="104"/>
        <v>1189511.5252481841</v>
      </c>
      <c r="M49" s="187">
        <f t="shared" si="104"/>
        <v>178951.32087167056</v>
      </c>
      <c r="N49" s="187">
        <f t="shared" si="104"/>
        <v>533213.37343220331</v>
      </c>
      <c r="O49" s="187">
        <f t="shared" si="104"/>
        <v>429863.65383123478</v>
      </c>
      <c r="P49" s="187">
        <f t="shared" si="104"/>
        <v>-541382.27686035167</v>
      </c>
      <c r="Q49" s="187">
        <f t="shared" si="104"/>
        <v>110579.61828398175</v>
      </c>
      <c r="R49" s="187">
        <f t="shared" si="104"/>
        <v>-158683.25237288114</v>
      </c>
      <c r="S49" s="187">
        <f t="shared" si="104"/>
        <v>747781.27849249367</v>
      </c>
      <c r="T49" s="187">
        <f t="shared" si="104"/>
        <v>812366.31968055281</v>
      </c>
      <c r="U49" s="187">
        <f t="shared" si="104"/>
        <v>1055859.3830355932</v>
      </c>
      <c r="V49" s="187">
        <f t="shared" si="104"/>
        <v>670348.56583728816</v>
      </c>
      <c r="W49" s="187">
        <f t="shared" si="104"/>
        <v>836814.78675084771</v>
      </c>
      <c r="X49" s="187">
        <f t="shared" si="104"/>
        <v>1384635.1033898299</v>
      </c>
      <c r="Y49" s="187">
        <f t="shared" si="104"/>
        <v>1084944.6374000001</v>
      </c>
      <c r="Z49" s="187">
        <f t="shared" si="104"/>
        <v>1553170.172755932</v>
      </c>
      <c r="AA49" s="187">
        <f t="shared" si="104"/>
        <v>1927510.123036406</v>
      </c>
      <c r="AB49" s="187">
        <f t="shared" si="104"/>
        <v>1373930.835072</v>
      </c>
      <c r="AC49" s="187">
        <f t="shared" si="104"/>
        <v>1657000.501888677</v>
      </c>
      <c r="AD49" s="187">
        <f t="shared" si="104"/>
        <v>1164956.7958473037</v>
      </c>
      <c r="AE49" s="187">
        <f t="shared" si="104"/>
        <v>716963.30072039086</v>
      </c>
      <c r="AF49" s="187">
        <f t="shared" si="104"/>
        <v>1092481.7094915272</v>
      </c>
      <c r="AG49" s="187">
        <f t="shared" si="104"/>
        <v>1046079.4968341684</v>
      </c>
      <c r="AH49" s="187">
        <f t="shared" si="104"/>
        <v>641482.12525423756</v>
      </c>
      <c r="AI49" s="187">
        <f t="shared" si="104"/>
        <v>790338.5954446278</v>
      </c>
      <c r="AJ49" s="187">
        <f t="shared" si="104"/>
        <v>1021890.0355169473</v>
      </c>
      <c r="AK49" s="187">
        <f t="shared" si="104"/>
        <v>2293739.6112739751</v>
      </c>
      <c r="AL49" s="187">
        <f t="shared" si="104"/>
        <v>2657087.4906614665</v>
      </c>
      <c r="AM49" s="187">
        <f t="shared" si="104"/>
        <v>2993067.3670627032</v>
      </c>
      <c r="AN49" s="187">
        <f t="shared" si="104"/>
        <v>2574965.1119491514</v>
      </c>
      <c r="AO49" s="187">
        <f t="shared" si="104"/>
        <v>1337071.8836928832</v>
      </c>
      <c r="AP49" s="187">
        <f t="shared" si="104"/>
        <v>1213980.5972135607</v>
      </c>
      <c r="AQ49" s="187">
        <f t="shared" si="104"/>
        <v>1652729</v>
      </c>
      <c r="AR49" s="187">
        <f t="shared" si="104"/>
        <v>2126091.4886440691</v>
      </c>
      <c r="AS49" s="187">
        <f t="shared" si="104"/>
        <v>2101871.2657423578</v>
      </c>
      <c r="AT49" s="187">
        <f t="shared" si="104"/>
        <v>1644629.6611220364</v>
      </c>
      <c r="AU49" s="187">
        <f t="shared" si="104"/>
        <v>2188754.5927118654</v>
      </c>
      <c r="AV49" s="187">
        <f t="shared" si="104"/>
        <v>3467761.5694576185</v>
      </c>
      <c r="AW49" s="187">
        <f t="shared" si="104"/>
        <v>2843056.2790464344</v>
      </c>
      <c r="AX49" s="187">
        <f t="shared" si="104"/>
        <v>2331055.4126796662</v>
      </c>
      <c r="AY49" s="187">
        <f t="shared" si="104"/>
        <v>2660431.2799118692</v>
      </c>
      <c r="AZ49" s="187">
        <f t="shared" si="104"/>
        <v>4174519.0588779431</v>
      </c>
      <c r="BA49" s="187">
        <f t="shared" si="104"/>
        <v>6364031.3191525415</v>
      </c>
      <c r="BB49" s="187">
        <f t="shared" si="104"/>
        <v>6971324.3708644081</v>
      </c>
      <c r="BC49" s="187">
        <f t="shared" si="104"/>
        <v>6524973.1861287449</v>
      </c>
      <c r="BD49" s="187">
        <f t="shared" si="104"/>
        <v>8219570.5434075082</v>
      </c>
      <c r="BE49" s="187">
        <f t="shared" si="104"/>
        <v>5580815.1694878386</v>
      </c>
      <c r="BF49" s="187">
        <f t="shared" si="104"/>
        <v>7172450.5368256224</v>
      </c>
      <c r="BG49" s="187">
        <f t="shared" si="104"/>
        <v>6527556.6579259653</v>
      </c>
      <c r="BH49" s="187">
        <f t="shared" si="104"/>
        <v>10595798.164963771</v>
      </c>
      <c r="BI49" s="187">
        <f t="shared" si="104"/>
        <v>9395502.2333211899</v>
      </c>
      <c r="BJ49" s="187">
        <f t="shared" si="104"/>
        <v>9005456.6848356742</v>
      </c>
      <c r="BK49" s="187">
        <f t="shared" si="104"/>
        <v>10023072.933221292</v>
      </c>
      <c r="BL49" s="187">
        <f t="shared" si="104"/>
        <v>8822484.8565103933</v>
      </c>
      <c r="BM49" s="187">
        <f t="shared" si="104"/>
        <v>12397647.47121332</v>
      </c>
      <c r="BN49" s="187">
        <f t="shared" si="104"/>
        <v>10476443.635275342</v>
      </c>
      <c r="BO49" s="187">
        <f t="shared" si="104"/>
        <v>10872420.455322813</v>
      </c>
      <c r="BP49" s="187">
        <f t="shared" ref="BP49:DI49" si="105">SUM(BP50:BP51)</f>
        <v>11729305.877416171</v>
      </c>
      <c r="BQ49" s="187">
        <f t="shared" si="105"/>
        <v>12067966.926290344</v>
      </c>
      <c r="BR49" s="187">
        <f t="shared" si="105"/>
        <v>12155838.629640646</v>
      </c>
      <c r="BS49" s="187">
        <f t="shared" si="105"/>
        <v>12222698.71987989</v>
      </c>
      <c r="BT49" s="187">
        <f t="shared" si="105"/>
        <v>14380827.164690362</v>
      </c>
      <c r="BU49" s="187">
        <f t="shared" si="105"/>
        <v>11664817.411626155</v>
      </c>
      <c r="BV49" s="187">
        <f t="shared" si="105"/>
        <v>13601462.690532621</v>
      </c>
      <c r="BW49" s="187">
        <f t="shared" si="105"/>
        <v>15549033.111793833</v>
      </c>
      <c r="BX49" s="187">
        <f t="shared" si="105"/>
        <v>14910790.514405008</v>
      </c>
      <c r="BY49" s="187">
        <f t="shared" si="105"/>
        <v>21065291.637704343</v>
      </c>
      <c r="BZ49" s="187">
        <f t="shared" si="105"/>
        <v>18984566.854446828</v>
      </c>
      <c r="CA49" s="187">
        <f t="shared" si="105"/>
        <v>20218927.597169138</v>
      </c>
      <c r="CB49" s="187">
        <f t="shared" si="105"/>
        <v>19107011.746712036</v>
      </c>
      <c r="CC49" s="187">
        <f t="shared" si="105"/>
        <v>20396822.040000036</v>
      </c>
      <c r="CD49" s="187">
        <f t="shared" si="105"/>
        <v>18556943.960000001</v>
      </c>
      <c r="CE49" s="187">
        <f t="shared" si="105"/>
        <v>19046366.440000057</v>
      </c>
      <c r="CF49" s="187">
        <f t="shared" si="105"/>
        <v>19696949.650000017</v>
      </c>
      <c r="CG49" s="187">
        <f t="shared" si="105"/>
        <v>18803466.70000004</v>
      </c>
      <c r="CH49" s="187">
        <f t="shared" si="105"/>
        <v>21632722.57000012</v>
      </c>
      <c r="CI49" s="187">
        <f t="shared" si="105"/>
        <v>23962521.420000069</v>
      </c>
      <c r="CJ49" s="187">
        <f t="shared" si="105"/>
        <v>19122657.230000034</v>
      </c>
      <c r="CK49" s="187">
        <f t="shared" si="105"/>
        <v>21896498.280000038</v>
      </c>
      <c r="CL49" s="187">
        <f t="shared" si="105"/>
        <v>22382213.628398106</v>
      </c>
      <c r="CM49" s="187">
        <f t="shared" si="105"/>
        <v>22610012.129042439</v>
      </c>
      <c r="CN49" s="187">
        <f t="shared" si="105"/>
        <v>22593837.087576572</v>
      </c>
      <c r="CO49" s="187">
        <f t="shared" si="105"/>
        <v>22934860.878482006</v>
      </c>
      <c r="CP49" s="187">
        <f t="shared" si="105"/>
        <v>21611203.318524946</v>
      </c>
      <c r="CQ49" s="187">
        <f t="shared" si="105"/>
        <v>23641171.022491675</v>
      </c>
      <c r="CR49" s="187">
        <f t="shared" si="105"/>
        <v>22987429.763246082</v>
      </c>
      <c r="CS49" s="187">
        <f t="shared" si="105"/>
        <v>23041346.568132319</v>
      </c>
      <c r="CT49" s="187">
        <f t="shared" si="105"/>
        <v>28283407.923196465</v>
      </c>
      <c r="CU49" s="187">
        <f t="shared" si="105"/>
        <v>30475126.041821897</v>
      </c>
      <c r="CV49" s="187">
        <f t="shared" si="105"/>
        <v>26126735.727747086</v>
      </c>
      <c r="CW49" s="187">
        <f t="shared" si="105"/>
        <v>28232186.95855454</v>
      </c>
      <c r="CX49" s="187">
        <f t="shared" si="105"/>
        <v>26511732.042837553</v>
      </c>
      <c r="CY49" s="187">
        <f t="shared" si="105"/>
        <v>26781559.366850775</v>
      </c>
      <c r="CZ49" s="187">
        <f t="shared" si="105"/>
        <v>26762400.030234452</v>
      </c>
      <c r="DA49" s="187">
        <f t="shared" si="105"/>
        <v>27166342.710561939</v>
      </c>
      <c r="DB49" s="187">
        <f t="shared" si="105"/>
        <v>25598470.3307928</v>
      </c>
      <c r="DC49" s="187">
        <f t="shared" si="105"/>
        <v>28002967.076141391</v>
      </c>
      <c r="DD49" s="187">
        <f t="shared" si="105"/>
        <v>27228610.554564986</v>
      </c>
      <c r="DE49" s="187">
        <f t="shared" si="105"/>
        <v>27292475.009952731</v>
      </c>
      <c r="DF49" s="187">
        <f t="shared" si="105"/>
        <v>33501696.685026214</v>
      </c>
      <c r="DG49" s="187">
        <f t="shared" si="105"/>
        <v>36097786.79653804</v>
      </c>
      <c r="DH49" s="187">
        <f t="shared" si="105"/>
        <v>30947118.469516423</v>
      </c>
      <c r="DI49" s="187">
        <f t="shared" si="105"/>
        <v>33441025.452407856</v>
      </c>
      <c r="DJ49" s="187">
        <f t="shared" ref="DJ49:DU49" si="106">SUM(DJ50:DJ51)</f>
        <v>31403146.604741074</v>
      </c>
      <c r="DK49" s="187">
        <f t="shared" si="106"/>
        <v>31722757.070034739</v>
      </c>
      <c r="DL49" s="187">
        <f t="shared" si="106"/>
        <v>31700062.835812703</v>
      </c>
      <c r="DM49" s="187">
        <f t="shared" si="106"/>
        <v>32178532.940660611</v>
      </c>
      <c r="DN49" s="187">
        <f t="shared" si="106"/>
        <v>30321388.10682407</v>
      </c>
      <c r="DO49" s="187">
        <f t="shared" si="106"/>
        <v>33169514.501689471</v>
      </c>
      <c r="DP49" s="187">
        <f t="shared" si="106"/>
        <v>32252289.201882217</v>
      </c>
      <c r="DQ49" s="187">
        <f t="shared" si="106"/>
        <v>32327936.649289001</v>
      </c>
      <c r="DR49" s="187">
        <f t="shared" si="106"/>
        <v>39682759.723413549</v>
      </c>
      <c r="DS49" s="187">
        <f t="shared" si="106"/>
        <v>42757828.460499309</v>
      </c>
      <c r="DT49" s="187">
        <f t="shared" si="106"/>
        <v>36656861.827142201</v>
      </c>
      <c r="DU49" s="187">
        <f t="shared" si="106"/>
        <v>39610894.648377098</v>
      </c>
      <c r="DW49" s="187">
        <f>SUM(BB49:BD49)</f>
        <v>21715868.10040066</v>
      </c>
      <c r="DX49" s="667">
        <f>SUM(BE49:BG49)</f>
        <v>19280822.364239424</v>
      </c>
      <c r="DY49" s="187">
        <f>SUM(BH49:BJ49)</f>
        <v>28996757.083120637</v>
      </c>
      <c r="DZ49" s="187">
        <f>SUM(BK49:BM49)</f>
        <v>31243205.260945007</v>
      </c>
      <c r="EA49" s="187">
        <f>SUM(BN49:BP49)</f>
        <v>33078169.968014326</v>
      </c>
      <c r="EB49" s="187">
        <f>SUM(BQ49:BS49)</f>
        <v>36446504.275810882</v>
      </c>
      <c r="EC49" s="187">
        <f>SUM(BT49:BV49)</f>
        <v>39647107.266849138</v>
      </c>
      <c r="ED49" s="187">
        <f>SUM(BW49:BY49)</f>
        <v>51525115.263903186</v>
      </c>
      <c r="EE49" s="187">
        <f>SUM(BZ49:CB49)</f>
        <v>58310506.198328003</v>
      </c>
      <c r="EF49" s="187">
        <f>SUM(CC49:CE49)</f>
        <v>58000132.440000094</v>
      </c>
      <c r="EG49" s="187">
        <f>SUM(CF49:CH49)</f>
        <v>60133138.920000173</v>
      </c>
      <c r="EH49" s="187">
        <f>SUM(CI49:CK49)</f>
        <v>64981676.930000141</v>
      </c>
      <c r="EI49" s="187">
        <f>SUM(CL49:CN49)</f>
        <v>67586062.84501712</v>
      </c>
      <c r="EJ49" s="187">
        <f>SUM(CO49:CQ49)</f>
        <v>68187235.219498634</v>
      </c>
      <c r="EK49" s="187">
        <f>SUM(CR49:CT49)</f>
        <v>74312184.254574865</v>
      </c>
      <c r="EL49" s="187">
        <f>SUM(CU49:CW49)</f>
        <v>84834048.728123516</v>
      </c>
      <c r="EM49" s="187">
        <f>SUM(CX49:CZ49)</f>
        <v>80055691.43992278</v>
      </c>
      <c r="EN49" s="187">
        <f>SUM(DA49:DC49)</f>
        <v>80767780.117496133</v>
      </c>
      <c r="EO49" s="649">
        <f>SUM(DD49:DF49)</f>
        <v>88022782.249543935</v>
      </c>
      <c r="EP49" s="187">
        <f>SUM(DG49:DI49)</f>
        <v>100485930.71846232</v>
      </c>
      <c r="EQ49" s="187">
        <f t="shared" ref="EQ49:EQ50" si="107">SUM(DJ49:DL49)</f>
        <v>94825966.510588512</v>
      </c>
      <c r="ER49" s="187">
        <f t="shared" ref="ER49:ER50" si="108">SUM(DM49:DO49)</f>
        <v>95669435.54917416</v>
      </c>
      <c r="ES49" s="187">
        <f t="shared" ref="ES49:ES50" si="109">SUM(DP49:DR49)</f>
        <v>104262985.57458477</v>
      </c>
      <c r="ET49" s="187">
        <f t="shared" ref="ET49:ET50" si="110">SUM(DS49:DU49)</f>
        <v>119025584.93601862</v>
      </c>
      <c r="EV49" s="187">
        <f t="shared" si="66"/>
        <v>101236652.80870573</v>
      </c>
      <c r="EW49" s="187">
        <f t="shared" si="67"/>
        <v>160696896.77457756</v>
      </c>
      <c r="EX49" s="187">
        <f t="shared" si="68"/>
        <v>241425454.4883284</v>
      </c>
      <c r="EY49" s="187">
        <f t="shared" si="69"/>
        <v>294919531.04721415</v>
      </c>
      <c r="EZ49" s="187">
        <f t="shared" si="70"/>
        <v>349332184.5254252</v>
      </c>
      <c r="FA49" s="667">
        <f t="shared" si="71"/>
        <v>413783972.57036602</v>
      </c>
    </row>
    <row r="50" spans="2:157" x14ac:dyDescent="0.2">
      <c r="B50" s="114" t="s">
        <v>132</v>
      </c>
      <c r="C50" s="129">
        <f>'P&amp;L - Inputs'!K212</f>
        <v>0</v>
      </c>
      <c r="D50" s="129">
        <f>'P&amp;L - Inputs'!L212</f>
        <v>0</v>
      </c>
      <c r="E50" s="129">
        <f>'P&amp;L - Inputs'!M212</f>
        <v>0</v>
      </c>
      <c r="F50" s="129">
        <f>'P&amp;L - Inputs'!N212</f>
        <v>0</v>
      </c>
      <c r="G50" s="129">
        <f>'P&amp;L - Inputs'!O212</f>
        <v>0</v>
      </c>
      <c r="H50" s="129">
        <f>'P&amp;L - Inputs'!P212</f>
        <v>0</v>
      </c>
      <c r="I50" s="129">
        <f>'P&amp;L - Inputs'!Q212</f>
        <v>0</v>
      </c>
      <c r="J50" s="129">
        <f>'P&amp;L - Inputs'!R212</f>
        <v>0</v>
      </c>
      <c r="K50" s="129">
        <f>'P&amp;L - Inputs'!S212</f>
        <v>0</v>
      </c>
      <c r="L50" s="129">
        <f>'P&amp;L - Inputs'!T212</f>
        <v>0</v>
      </c>
      <c r="M50" s="129">
        <f>'P&amp;L - Inputs'!U212</f>
        <v>0</v>
      </c>
      <c r="N50" s="129">
        <f>'P&amp;L - Inputs'!V212</f>
        <v>0</v>
      </c>
      <c r="O50" s="129">
        <f>'P&amp;L - Inputs'!W212</f>
        <v>0</v>
      </c>
      <c r="P50" s="129">
        <f>'P&amp;L - Inputs'!X212</f>
        <v>0</v>
      </c>
      <c r="Q50" s="129">
        <f>'P&amp;L - Inputs'!Y212</f>
        <v>0</v>
      </c>
      <c r="R50" s="129">
        <f>'P&amp;L - Inputs'!Z212</f>
        <v>0</v>
      </c>
      <c r="S50" s="129">
        <f>'P&amp;L - Inputs'!AA212</f>
        <v>24762.811864406776</v>
      </c>
      <c r="T50" s="129">
        <f>'P&amp;L - Inputs'!AB212</f>
        <v>25828.171186440686</v>
      </c>
      <c r="U50" s="129">
        <f>'P&amp;L - Inputs'!AC212</f>
        <v>17214.250338983045</v>
      </c>
      <c r="V50" s="129">
        <f>'P&amp;L - Inputs'!AD212</f>
        <v>11386.371525423723</v>
      </c>
      <c r="W50" s="129">
        <f>'P&amp;L - Inputs'!AE212</f>
        <v>24044.945254237282</v>
      </c>
      <c r="X50" s="129">
        <f>'P&amp;L - Inputs'!AF212</f>
        <v>24865.927627118632</v>
      </c>
      <c r="Y50" s="129">
        <f>'P&amp;L - Inputs'!AG212</f>
        <v>14793.259830508468</v>
      </c>
      <c r="Z50" s="129">
        <f>'P&amp;L - Inputs'!AH212</f>
        <v>65002.2713559322</v>
      </c>
      <c r="AA50" s="129">
        <f>'P&amp;L - Inputs'!AI212</f>
        <v>197312.00338983053</v>
      </c>
      <c r="AB50" s="129">
        <f>'P&amp;L - Inputs'!AJ212</f>
        <v>179231.02682033903</v>
      </c>
      <c r="AC50" s="129">
        <f>'P&amp;L - Inputs'!AK212</f>
        <v>300256.66639830527</v>
      </c>
      <c r="AD50" s="129">
        <f>'P&amp;L - Inputs'!AL212</f>
        <v>210998.71792372887</v>
      </c>
      <c r="AE50" s="129">
        <f>'P&amp;L - Inputs'!AM212</f>
        <v>221348.1279661016</v>
      </c>
      <c r="AF50" s="129">
        <f>'P&amp;L - Inputs'!AN212</f>
        <v>315803.53601694893</v>
      </c>
      <c r="AG50" s="129">
        <f>'P&amp;L - Inputs'!AO212</f>
        <v>410223.5649152543</v>
      </c>
      <c r="AH50" s="129">
        <f>'P&amp;L - Inputs'!AP212</f>
        <v>359825.57847457641</v>
      </c>
      <c r="AI50" s="129">
        <f>'P&amp;L - Inputs'!AQ212</f>
        <v>426317.36407459324</v>
      </c>
      <c r="AJ50" s="129">
        <f>'P&amp;L - Inputs'!AR212</f>
        <v>187453.16115254228</v>
      </c>
      <c r="AK50" s="129">
        <f>'P&amp;L - Inputs'!AS212</f>
        <v>787543.86770160974</v>
      </c>
      <c r="AL50" s="129">
        <f>'P&amp;L - Inputs'!AT212</f>
        <v>851297.74468474626</v>
      </c>
      <c r="AM50" s="129">
        <f>'P&amp;L - Inputs'!AU212</f>
        <v>1283254.8697067786</v>
      </c>
      <c r="AN50" s="129">
        <f>'P&amp;L - Inputs'!AV212</f>
        <v>1390343.6722881356</v>
      </c>
      <c r="AO50" s="129">
        <f>'P&amp;L - Inputs'!AW212</f>
        <v>975384.37423525564</v>
      </c>
      <c r="AP50" s="129">
        <f>'P&amp;L - Inputs'!AX212</f>
        <v>1029204.5031457635</v>
      </c>
      <c r="AQ50" s="129">
        <f>'P&amp;L - Inputs'!AY212</f>
        <v>1197687</v>
      </c>
      <c r="AR50" s="129">
        <f>'P&amp;L - Inputs'!AZ212</f>
        <v>1904694.4125762724</v>
      </c>
      <c r="AS50" s="129">
        <f>'P&amp;L - Inputs'!BA212</f>
        <v>1651902.5140474436</v>
      </c>
      <c r="AT50" s="129">
        <f>'P&amp;L - Inputs'!BB212</f>
        <v>1304900.9926474597</v>
      </c>
      <c r="AU50" s="129">
        <f>'P&amp;L - Inputs'!BC212</f>
        <v>1257571.2127118653</v>
      </c>
      <c r="AV50" s="129">
        <f>'P&amp;L - Inputs'!BD212</f>
        <v>2224229.1714915186</v>
      </c>
      <c r="AW50" s="129">
        <f>'P&amp;L - Inputs'!BE212</f>
        <v>1804774.3794915208</v>
      </c>
      <c r="AX50" s="129">
        <f>'P&amp;L - Inputs'!BF212</f>
        <v>1585262.3625762747</v>
      </c>
      <c r="AY50" s="129">
        <f>'P&amp;L - Inputs'!BG212</f>
        <v>2068631.0629627162</v>
      </c>
      <c r="AZ50" s="129">
        <f>'P&amp;L - Inputs'!BH212</f>
        <v>3249375.2295559105</v>
      </c>
      <c r="BA50" s="129">
        <f>'P&amp;L - Inputs'!BI212</f>
        <v>4933753.038305087</v>
      </c>
      <c r="BB50" s="129">
        <f>'P&amp;L - Inputs'!BJ212</f>
        <v>6214976.0739152571</v>
      </c>
      <c r="BC50" s="129">
        <f>'P&amp;L - Inputs'!BK212</f>
        <v>6607551.3346033208</v>
      </c>
      <c r="BD50" s="129">
        <f>'P&amp;L - Inputs'!BL212</f>
        <v>8227419.8247634405</v>
      </c>
      <c r="BE50" s="129">
        <f>'P&amp;L - Inputs'!BM212</f>
        <v>5580815.1694878386</v>
      </c>
      <c r="BF50" s="129">
        <f>'P&amp;L - Inputs'!BN212</f>
        <v>7172450.5368256224</v>
      </c>
      <c r="BG50" s="129">
        <f>'P&amp;L - Inputs'!BO212</f>
        <v>6527556.6579259653</v>
      </c>
      <c r="BH50" s="129">
        <f>'P&amp;L - Inputs'!BP212</f>
        <v>10595798.164963771</v>
      </c>
      <c r="BI50" s="129">
        <f>'P&amp;L - Inputs'!BQ212</f>
        <v>9395502.2333211899</v>
      </c>
      <c r="BJ50" s="129">
        <f>'P&amp;L - Inputs'!BR212</f>
        <v>9005456.6848356742</v>
      </c>
      <c r="BK50" s="129">
        <f>'P&amp;L - Inputs'!BS212</f>
        <v>10023072.933221292</v>
      </c>
      <c r="BL50" s="129">
        <f>'P&amp;L - Inputs'!BT212</f>
        <v>8822484.8565103933</v>
      </c>
      <c r="BM50" s="129">
        <f>'P&amp;L - Inputs'!BU212</f>
        <v>12397647.47121332</v>
      </c>
      <c r="BN50" s="129">
        <f>'P&amp;L - Inputs'!BV212</f>
        <v>10476443.635275342</v>
      </c>
      <c r="BO50" s="129">
        <f>'P&amp;L - Inputs'!BW212</f>
        <v>10872420.455322813</v>
      </c>
      <c r="BP50" s="129">
        <f>'P&amp;L - Inputs'!BX212</f>
        <v>11729305.877416171</v>
      </c>
      <c r="BQ50" s="129">
        <f>'P&amp;L - Inputs'!BY212</f>
        <v>12067966.926290344</v>
      </c>
      <c r="BR50" s="129">
        <f>'P&amp;L - Inputs'!BZ212</f>
        <v>12155838.629640646</v>
      </c>
      <c r="BS50" s="129">
        <f>'P&amp;L - Inputs'!CA212</f>
        <v>12222698.71987989</v>
      </c>
      <c r="BT50" s="129">
        <f>'P&amp;L - Inputs'!CB212</f>
        <v>14380827.164690362</v>
      </c>
      <c r="BU50" s="129">
        <f>'P&amp;L - Inputs'!CC212</f>
        <v>11664817.411626155</v>
      </c>
      <c r="BV50" s="129">
        <f>'P&amp;L - Inputs'!CD212</f>
        <v>13601462.690532621</v>
      </c>
      <c r="BW50" s="129">
        <f>'P&amp;L - Inputs'!CE212</f>
        <v>15549033.111793833</v>
      </c>
      <c r="BX50" s="129">
        <f>'P&amp;L - Inputs'!CF212</f>
        <v>14910790.514405008</v>
      </c>
      <c r="BY50" s="129">
        <f>'P&amp;L - Inputs'!CG212</f>
        <v>21065291.637704343</v>
      </c>
      <c r="BZ50" s="129">
        <f>'P&amp;L - Inputs'!CH212</f>
        <v>18984566.854446828</v>
      </c>
      <c r="CA50" s="129">
        <f>'P&amp;L - Inputs'!CI212</f>
        <v>20218927.597169138</v>
      </c>
      <c r="CB50" s="129">
        <f>'P&amp;L - Inputs'!CJ212</f>
        <v>19107011.746712036</v>
      </c>
      <c r="CC50" s="129">
        <f>'P&amp;L - Inputs'!CK212</f>
        <v>20396822.040000036</v>
      </c>
      <c r="CD50" s="129">
        <f>'P&amp;L - Inputs'!CL212</f>
        <v>18556943.960000001</v>
      </c>
      <c r="CE50" s="129">
        <f>'P&amp;L - Inputs'!CM212</f>
        <v>19046366.440000057</v>
      </c>
      <c r="CF50" s="129">
        <f>'P&amp;L - Inputs'!CN212</f>
        <v>19696949.650000017</v>
      </c>
      <c r="CG50" s="129">
        <f>'P&amp;L - Inputs'!CO212</f>
        <v>18803466.70000004</v>
      </c>
      <c r="CH50" s="129">
        <f>'P&amp;L - Inputs'!CP212</f>
        <v>21632722.57000012</v>
      </c>
      <c r="CI50" s="129">
        <f>'P&amp;L - Inputs'!CQ212</f>
        <v>23962521.420000069</v>
      </c>
      <c r="CJ50" s="129">
        <f>'P&amp;L - Inputs'!CR212</f>
        <v>19122657.230000034</v>
      </c>
      <c r="CK50" s="129">
        <f>'P&amp;L - Inputs'!CS212</f>
        <v>21896498.280000038</v>
      </c>
      <c r="CL50" s="129">
        <f>'P&amp;L - Inputs'!CT212</f>
        <v>22382213.628398106</v>
      </c>
      <c r="CM50" s="129">
        <f>'P&amp;L - Inputs'!CU212</f>
        <v>22610012.129042439</v>
      </c>
      <c r="CN50" s="129">
        <f>'P&amp;L - Inputs'!CV212</f>
        <v>22593837.087576572</v>
      </c>
      <c r="CO50" s="129">
        <f>'P&amp;L - Inputs'!CW212</f>
        <v>22934860.878482006</v>
      </c>
      <c r="CP50" s="129">
        <f>'P&amp;L - Inputs'!CX212</f>
        <v>21611203.318524946</v>
      </c>
      <c r="CQ50" s="129">
        <f>'P&amp;L - Inputs'!CY212</f>
        <v>23641171.022491675</v>
      </c>
      <c r="CR50" s="129">
        <f>'P&amp;L - Inputs'!CZ212</f>
        <v>22987429.763246082</v>
      </c>
      <c r="CS50" s="129">
        <f>'P&amp;L - Inputs'!DA212</f>
        <v>23041346.568132319</v>
      </c>
      <c r="CT50" s="129">
        <f>'P&amp;L - Inputs'!DB212</f>
        <v>28283407.923196465</v>
      </c>
      <c r="CU50" s="129">
        <f>'P&amp;L - Inputs'!DC212</f>
        <v>30475126.041821897</v>
      </c>
      <c r="CV50" s="129">
        <f>'P&amp;L - Inputs'!DD212</f>
        <v>26126735.727747086</v>
      </c>
      <c r="CW50" s="129">
        <f>'P&amp;L - Inputs'!DE212</f>
        <v>28232186.95855454</v>
      </c>
      <c r="CX50" s="129">
        <f>'P&amp;L - Inputs'!DF212</f>
        <v>26511732.042837553</v>
      </c>
      <c r="CY50" s="129">
        <f>'P&amp;L - Inputs'!DG212</f>
        <v>26781559.366850775</v>
      </c>
      <c r="CZ50" s="129">
        <f>'P&amp;L - Inputs'!DH212</f>
        <v>26762400.030234452</v>
      </c>
      <c r="DA50" s="129">
        <f>'P&amp;L - Inputs'!DI212</f>
        <v>27166342.710561939</v>
      </c>
      <c r="DB50" s="129">
        <f>'P&amp;L - Inputs'!DJ212</f>
        <v>25598470.3307928</v>
      </c>
      <c r="DC50" s="129">
        <f>'P&amp;L - Inputs'!DK212</f>
        <v>28002967.076141391</v>
      </c>
      <c r="DD50" s="129">
        <f>'P&amp;L - Inputs'!DL212</f>
        <v>27228610.554564986</v>
      </c>
      <c r="DE50" s="129">
        <f>'P&amp;L - Inputs'!DM212</f>
        <v>27292475.009952731</v>
      </c>
      <c r="DF50" s="129">
        <f>'P&amp;L - Inputs'!DN212</f>
        <v>33501696.685026214</v>
      </c>
      <c r="DG50" s="129">
        <f>'P&amp;L - Inputs'!DO212</f>
        <v>36097786.79653804</v>
      </c>
      <c r="DH50" s="129">
        <f>'P&amp;L - Inputs'!DP212</f>
        <v>30947118.469516423</v>
      </c>
      <c r="DI50" s="129">
        <f>'P&amp;L - Inputs'!DQ212</f>
        <v>33441025.452407856</v>
      </c>
      <c r="DJ50" s="129">
        <f>'P&amp;L - Inputs'!DR212</f>
        <v>31403146.604741074</v>
      </c>
      <c r="DK50" s="129">
        <f>'P&amp;L - Inputs'!DS212</f>
        <v>31722757.070034739</v>
      </c>
      <c r="DL50" s="129">
        <f>'P&amp;L - Inputs'!DT212</f>
        <v>31700062.835812703</v>
      </c>
      <c r="DM50" s="129">
        <f>'P&amp;L - Inputs'!DU212</f>
        <v>32178532.940660611</v>
      </c>
      <c r="DN50" s="129">
        <f>'P&amp;L - Inputs'!DV212</f>
        <v>30321388.10682407</v>
      </c>
      <c r="DO50" s="129">
        <f>'P&amp;L - Inputs'!DW212</f>
        <v>33169514.501689471</v>
      </c>
      <c r="DP50" s="129">
        <f>'P&amp;L - Inputs'!DX212</f>
        <v>32252289.201882217</v>
      </c>
      <c r="DQ50" s="129">
        <f>'P&amp;L - Inputs'!DY212</f>
        <v>32327936.649289001</v>
      </c>
      <c r="DR50" s="129">
        <f>'P&amp;L - Inputs'!DZ212</f>
        <v>39682759.723413549</v>
      </c>
      <c r="DS50" s="129">
        <f>'P&amp;L - Inputs'!EA212</f>
        <v>42757828.460499309</v>
      </c>
      <c r="DT50" s="129">
        <f>'P&amp;L - Inputs'!EB212</f>
        <v>36656861.827142201</v>
      </c>
      <c r="DU50" s="129">
        <f>'P&amp;L - Inputs'!EC212</f>
        <v>39610894.648377098</v>
      </c>
      <c r="DW50" s="129">
        <f>SUM(BB50:BD50)</f>
        <v>21049947.233282018</v>
      </c>
      <c r="DX50" s="663">
        <f>SUM(BE50:BG50)</f>
        <v>19280822.364239424</v>
      </c>
      <c r="DY50" s="129">
        <f>SUM(BH50:BJ50)</f>
        <v>28996757.083120637</v>
      </c>
      <c r="DZ50" s="129">
        <f>SUM(BK50:BM50)</f>
        <v>31243205.260945007</v>
      </c>
      <c r="EA50" s="129">
        <f>SUM(BN50:BP50)</f>
        <v>33078169.968014326</v>
      </c>
      <c r="EB50" s="129">
        <f>SUM(BQ50:BS50)</f>
        <v>36446504.275810882</v>
      </c>
      <c r="EC50" s="129">
        <f>SUM(BT50:BV50)</f>
        <v>39647107.266849138</v>
      </c>
      <c r="ED50" s="129">
        <f>SUM(BW50:BY50)</f>
        <v>51525115.263903186</v>
      </c>
      <c r="EE50" s="129">
        <f>SUM(BZ50:CB50)</f>
        <v>58310506.198328003</v>
      </c>
      <c r="EF50" s="129">
        <f>SUM(CC50:CE50)</f>
        <v>58000132.440000094</v>
      </c>
      <c r="EG50" s="129">
        <f>SUM(CF50:CH50)</f>
        <v>60133138.920000173</v>
      </c>
      <c r="EH50" s="129">
        <f>SUM(CI50:CK50)</f>
        <v>64981676.930000141</v>
      </c>
      <c r="EI50" s="129">
        <f>SUM(CL50:CN50)</f>
        <v>67586062.84501712</v>
      </c>
      <c r="EJ50" s="129">
        <f>SUM(CO50:CQ50)</f>
        <v>68187235.219498634</v>
      </c>
      <c r="EK50" s="129">
        <f>SUM(CR50:CT50)</f>
        <v>74312184.254574865</v>
      </c>
      <c r="EL50" s="129">
        <f>SUM(CU50:CW50)</f>
        <v>84834048.728123516</v>
      </c>
      <c r="EM50" s="129">
        <f>SUM(CX50:CZ50)</f>
        <v>80055691.43992278</v>
      </c>
      <c r="EN50" s="129">
        <f>SUM(DA50:DC50)</f>
        <v>80767780.117496133</v>
      </c>
      <c r="EO50" s="644">
        <f>SUM(DD50:DF50)</f>
        <v>88022782.249543935</v>
      </c>
      <c r="EP50" s="129">
        <f>SUM(DG50:DI50)</f>
        <v>100485930.71846232</v>
      </c>
      <c r="EQ50" s="129">
        <f t="shared" si="107"/>
        <v>94825966.510588512</v>
      </c>
      <c r="ER50" s="129">
        <f t="shared" si="108"/>
        <v>95669435.54917416</v>
      </c>
      <c r="ES50" s="129">
        <f t="shared" si="109"/>
        <v>104262985.57458477</v>
      </c>
      <c r="ET50" s="129">
        <f t="shared" si="110"/>
        <v>119025584.93601862</v>
      </c>
      <c r="EV50" s="129">
        <f t="shared" si="66"/>
        <v>100570731.94158708</v>
      </c>
      <c r="EW50" s="129">
        <f t="shared" si="67"/>
        <v>160696896.77457756</v>
      </c>
      <c r="EX50" s="129">
        <f t="shared" si="68"/>
        <v>241425454.4883284</v>
      </c>
      <c r="EY50" s="129">
        <f t="shared" si="69"/>
        <v>294919531.04721415</v>
      </c>
      <c r="EZ50" s="129">
        <f t="shared" si="70"/>
        <v>349332184.5254252</v>
      </c>
      <c r="FA50" s="663">
        <f t="shared" si="71"/>
        <v>413783972.57036602</v>
      </c>
    </row>
    <row r="51" spans="2:157" x14ac:dyDescent="0.2">
      <c r="B51" s="114" t="s">
        <v>133</v>
      </c>
      <c r="C51" s="129">
        <f>'P&amp;L - Inputs'!K213</f>
        <v>23249.770714285711</v>
      </c>
      <c r="D51" s="129">
        <f>'P&amp;L - Inputs'!L213</f>
        <v>151773.31071428568</v>
      </c>
      <c r="E51" s="129">
        <f>'P&amp;L - Inputs'!M213</f>
        <v>730418.59928571433</v>
      </c>
      <c r="F51" s="129">
        <f>'P&amp;L - Inputs'!N213</f>
        <v>757281.53142857144</v>
      </c>
      <c r="G51" s="129">
        <f>'P&amp;L - Inputs'!O213</f>
        <v>756556.81040556892</v>
      </c>
      <c r="H51" s="129">
        <f>'P&amp;L - Inputs'!P213</f>
        <v>447224.04838983039</v>
      </c>
      <c r="I51" s="129">
        <f>'P&amp;L - Inputs'!Q213</f>
        <v>1080000.8094733653</v>
      </c>
      <c r="J51" s="129">
        <f>'P&amp;L - Inputs'!R213</f>
        <v>905353.33859564154</v>
      </c>
      <c r="K51" s="129">
        <f>'P&amp;L - Inputs'!S213</f>
        <v>700174.89334140427</v>
      </c>
      <c r="L51" s="129">
        <f>'P&amp;L - Inputs'!T213</f>
        <v>1189511.5252481841</v>
      </c>
      <c r="M51" s="129">
        <f>'P&amp;L - Inputs'!U213</f>
        <v>178951.32087167056</v>
      </c>
      <c r="N51" s="129">
        <f>'P&amp;L - Inputs'!V213</f>
        <v>533213.37343220331</v>
      </c>
      <c r="O51" s="129">
        <f>'P&amp;L - Inputs'!W213</f>
        <v>429863.65383123478</v>
      </c>
      <c r="P51" s="129">
        <f>'P&amp;L - Inputs'!X213</f>
        <v>-541382.27686035167</v>
      </c>
      <c r="Q51" s="129">
        <f>'P&amp;L - Inputs'!Y213</f>
        <v>110579.61828398175</v>
      </c>
      <c r="R51" s="129">
        <f>'P&amp;L - Inputs'!Z213</f>
        <v>-158683.25237288114</v>
      </c>
      <c r="S51" s="129">
        <f>'P&amp;L - Inputs'!AA213</f>
        <v>723018.46662808687</v>
      </c>
      <c r="T51" s="129">
        <f>'P&amp;L - Inputs'!AB213</f>
        <v>786538.14849411207</v>
      </c>
      <c r="U51" s="129">
        <f>'P&amp;L - Inputs'!AC213</f>
        <v>1038645.1326966102</v>
      </c>
      <c r="V51" s="129">
        <f>'P&amp;L - Inputs'!AD213</f>
        <v>658962.19431186444</v>
      </c>
      <c r="W51" s="129">
        <f>'P&amp;L - Inputs'!AE213</f>
        <v>812769.84149661043</v>
      </c>
      <c r="X51" s="129">
        <f>'P&amp;L - Inputs'!AF213</f>
        <v>1359769.1757627113</v>
      </c>
      <c r="Y51" s="129">
        <f>'P&amp;L - Inputs'!AG213</f>
        <v>1070151.3775694917</v>
      </c>
      <c r="Z51" s="129">
        <f>'P&amp;L - Inputs'!AH213</f>
        <v>1488167.9013999999</v>
      </c>
      <c r="AA51" s="129">
        <f>'P&amp;L - Inputs'!AI213</f>
        <v>1730198.1196465755</v>
      </c>
      <c r="AB51" s="129">
        <f>'P&amp;L - Inputs'!AJ213</f>
        <v>1194699.808251661</v>
      </c>
      <c r="AC51" s="129">
        <f>'P&amp;L - Inputs'!AK213</f>
        <v>1356743.8354903718</v>
      </c>
      <c r="AD51" s="129">
        <f>'P&amp;L - Inputs'!AL213</f>
        <v>953958.07792357483</v>
      </c>
      <c r="AE51" s="129">
        <f>'P&amp;L - Inputs'!AM213</f>
        <v>495615.17275428923</v>
      </c>
      <c r="AF51" s="129">
        <f>'P&amp;L - Inputs'!AN213</f>
        <v>776678.17347457819</v>
      </c>
      <c r="AG51" s="129">
        <f>'P&amp;L - Inputs'!AO213</f>
        <v>635855.9319189142</v>
      </c>
      <c r="AH51" s="129">
        <f>'P&amp;L - Inputs'!AP213</f>
        <v>281656.54677966121</v>
      </c>
      <c r="AI51" s="129">
        <f>'P&amp;L - Inputs'!AQ213</f>
        <v>364021.23137003451</v>
      </c>
      <c r="AJ51" s="129">
        <f>'P&amp;L - Inputs'!AR213</f>
        <v>834436.87436440506</v>
      </c>
      <c r="AK51" s="129">
        <f>'P&amp;L - Inputs'!AS213</f>
        <v>1506195.7435723655</v>
      </c>
      <c r="AL51" s="129">
        <f>'P&amp;L - Inputs'!AT213</f>
        <v>1805789.7459767205</v>
      </c>
      <c r="AM51" s="129">
        <f>'P&amp;L - Inputs'!AU213</f>
        <v>1709812.4973559247</v>
      </c>
      <c r="AN51" s="129">
        <f>'P&amp;L - Inputs'!AV213</f>
        <v>1184621.4396610158</v>
      </c>
      <c r="AO51" s="129">
        <f>'P&amp;L - Inputs'!AW213</f>
        <v>361687.50945762749</v>
      </c>
      <c r="AP51" s="129">
        <f>'P&amp;L - Inputs'!AX213</f>
        <v>184776.09406779709</v>
      </c>
      <c r="AQ51" s="129">
        <f>'P&amp;L - Inputs'!AY213</f>
        <v>455042</v>
      </c>
      <c r="AR51" s="129">
        <f>'P&amp;L - Inputs'!AZ213</f>
        <v>221397.07606779662</v>
      </c>
      <c r="AS51" s="129">
        <f>'P&amp;L - Inputs'!BA213</f>
        <v>449968.75169491419</v>
      </c>
      <c r="AT51" s="129">
        <f>'P&amp;L - Inputs'!BB213</f>
        <v>339728.66847457673</v>
      </c>
      <c r="AU51" s="129">
        <f>'P&amp;L - Inputs'!BC213</f>
        <v>931183.38</v>
      </c>
      <c r="AV51" s="129">
        <f>'P&amp;L - Inputs'!BD213</f>
        <v>1243532.3979661001</v>
      </c>
      <c r="AW51" s="129">
        <f>'P&amp;L - Inputs'!BE213</f>
        <v>1038281.8995549135</v>
      </c>
      <c r="AX51" s="129">
        <f>'P&amp;L - Inputs'!BF213</f>
        <v>745793.0501033914</v>
      </c>
      <c r="AY51" s="129">
        <f>'P&amp;L - Inputs'!BG213</f>
        <v>591800.21694915323</v>
      </c>
      <c r="AZ51" s="129">
        <f>'P&amp;L - Inputs'!BH213</f>
        <v>925143.82932203251</v>
      </c>
      <c r="BA51" s="129">
        <f>'P&amp;L - Inputs'!BI213</f>
        <v>1430278.2808474547</v>
      </c>
      <c r="BB51" s="129">
        <f>'P&amp;L - Inputs'!BJ213</f>
        <v>756348.29694915144</v>
      </c>
      <c r="BC51" s="129">
        <f>'P&amp;L - Inputs'!BK213</f>
        <v>-82578.148474576301</v>
      </c>
      <c r="BD51" s="129">
        <f>'P&amp;L - Inputs'!BL213</f>
        <v>-7849.281355932204</v>
      </c>
      <c r="BE51" s="129">
        <f>'P&amp;L - Inputs'!BM213</f>
        <v>0</v>
      </c>
      <c r="BF51" s="129">
        <f>'P&amp;L - Inputs'!BN213</f>
        <v>0</v>
      </c>
      <c r="BG51" s="129">
        <f>'P&amp;L - Inputs'!BO213</f>
        <v>0</v>
      </c>
      <c r="BH51" s="129">
        <f>'P&amp;L - Inputs'!BP213</f>
        <v>0</v>
      </c>
      <c r="BI51" s="129">
        <f>'P&amp;L - Inputs'!BQ213</f>
        <v>0</v>
      </c>
      <c r="BJ51" s="129">
        <f>'P&amp;L - Inputs'!BR213</f>
        <v>0</v>
      </c>
      <c r="BK51" s="129">
        <f>'P&amp;L - Inputs'!BS213</f>
        <v>0</v>
      </c>
      <c r="BL51" s="129">
        <f>'P&amp;L - Inputs'!BT213</f>
        <v>0</v>
      </c>
      <c r="BM51" s="129">
        <f>'P&amp;L - Inputs'!BU213</f>
        <v>0</v>
      </c>
      <c r="BN51" s="129">
        <f>'P&amp;L - Inputs'!BV213</f>
        <v>0</v>
      </c>
      <c r="BO51" s="129">
        <f>'P&amp;L - Inputs'!BW213</f>
        <v>0</v>
      </c>
      <c r="BP51" s="129">
        <f>'P&amp;L - Inputs'!BX213</f>
        <v>0</v>
      </c>
      <c r="BQ51" s="129">
        <f>'P&amp;L - Inputs'!BY213</f>
        <v>0</v>
      </c>
      <c r="BR51" s="129">
        <f>'P&amp;L - Inputs'!BZ213</f>
        <v>0</v>
      </c>
      <c r="BS51" s="129">
        <f>'P&amp;L - Inputs'!CA213</f>
        <v>0</v>
      </c>
      <c r="BT51" s="129">
        <f>'P&amp;L - Inputs'!CB213</f>
        <v>0</v>
      </c>
      <c r="BU51" s="129">
        <f>'P&amp;L - Inputs'!CC213</f>
        <v>0</v>
      </c>
      <c r="BV51" s="129">
        <f>'P&amp;L - Inputs'!CD213</f>
        <v>0</v>
      </c>
      <c r="BW51" s="129">
        <f>'P&amp;L - Inputs'!CE213</f>
        <v>0</v>
      </c>
      <c r="BX51" s="129">
        <f>'P&amp;L - Inputs'!CF213</f>
        <v>0</v>
      </c>
      <c r="BY51" s="129">
        <f>'P&amp;L - Inputs'!CG213</f>
        <v>0</v>
      </c>
      <c r="BZ51" s="129">
        <f>'P&amp;L - Inputs'!CH213</f>
        <v>0</v>
      </c>
      <c r="CA51" s="129">
        <f>'P&amp;L - Inputs'!CI213</f>
        <v>0</v>
      </c>
      <c r="CB51" s="129">
        <f>'P&amp;L - Inputs'!CJ213</f>
        <v>0</v>
      </c>
      <c r="CC51" s="129">
        <f>'P&amp;L - Inputs'!CK213</f>
        <v>0</v>
      </c>
      <c r="CD51" s="129">
        <f>'P&amp;L - Inputs'!CL213</f>
        <v>0</v>
      </c>
      <c r="CE51" s="129">
        <f>'P&amp;L - Inputs'!CM213</f>
        <v>0</v>
      </c>
      <c r="CF51" s="129">
        <f>'P&amp;L - Inputs'!CN213</f>
        <v>0</v>
      </c>
      <c r="CG51" s="129">
        <f>'P&amp;L - Inputs'!CO213</f>
        <v>0</v>
      </c>
      <c r="CH51" s="129">
        <f>'P&amp;L - Inputs'!CP213</f>
        <v>0</v>
      </c>
      <c r="CI51" s="129">
        <f>'P&amp;L - Inputs'!CQ213</f>
        <v>0</v>
      </c>
      <c r="CJ51" s="129">
        <f>'P&amp;L - Inputs'!CR213</f>
        <v>0</v>
      </c>
      <c r="CK51" s="129">
        <f>'P&amp;L - Inputs'!CS213</f>
        <v>0</v>
      </c>
      <c r="CL51" s="129">
        <f>'P&amp;L - Inputs'!CT213</f>
        <v>0</v>
      </c>
      <c r="CM51" s="129">
        <f>'P&amp;L - Inputs'!CU213</f>
        <v>0</v>
      </c>
      <c r="CN51" s="129">
        <f>'P&amp;L - Inputs'!CV213</f>
        <v>0</v>
      </c>
      <c r="CO51" s="129">
        <f>'P&amp;L - Inputs'!CW213</f>
        <v>0</v>
      </c>
      <c r="CP51" s="129">
        <f>'P&amp;L - Inputs'!CX213</f>
        <v>0</v>
      </c>
      <c r="CQ51" s="129">
        <f>'P&amp;L - Inputs'!CY213</f>
        <v>0</v>
      </c>
      <c r="CR51" s="129">
        <f>'P&amp;L - Inputs'!CZ213</f>
        <v>0</v>
      </c>
      <c r="CS51" s="129">
        <f>'P&amp;L - Inputs'!DA213</f>
        <v>0</v>
      </c>
      <c r="CT51" s="129">
        <f>'P&amp;L - Inputs'!DB213</f>
        <v>0</v>
      </c>
      <c r="CU51" s="129">
        <f>'P&amp;L - Inputs'!DC213</f>
        <v>0</v>
      </c>
      <c r="CV51" s="129">
        <f>'P&amp;L - Inputs'!DD213</f>
        <v>0</v>
      </c>
      <c r="CW51" s="129">
        <f>'P&amp;L - Inputs'!DE213</f>
        <v>0</v>
      </c>
      <c r="CX51" s="129">
        <f>'P&amp;L - Inputs'!DF213</f>
        <v>0</v>
      </c>
      <c r="CY51" s="129">
        <f>'P&amp;L - Inputs'!DG213</f>
        <v>0</v>
      </c>
      <c r="CZ51" s="129">
        <f>'P&amp;L - Inputs'!DH213</f>
        <v>0</v>
      </c>
      <c r="DA51" s="129">
        <f>'P&amp;L - Inputs'!DI213</f>
        <v>0</v>
      </c>
      <c r="DB51" s="129">
        <f>'P&amp;L - Inputs'!DJ213</f>
        <v>0</v>
      </c>
      <c r="DC51" s="129">
        <f>'P&amp;L - Inputs'!DK213</f>
        <v>0</v>
      </c>
      <c r="DD51" s="129">
        <f>'P&amp;L - Inputs'!DL213</f>
        <v>0</v>
      </c>
      <c r="DE51" s="129">
        <f>'P&amp;L - Inputs'!DM213</f>
        <v>0</v>
      </c>
      <c r="DF51" s="129">
        <f>'P&amp;L - Inputs'!DN213</f>
        <v>0</v>
      </c>
      <c r="DG51" s="129">
        <f>'P&amp;L - Inputs'!DO213</f>
        <v>0</v>
      </c>
      <c r="DH51" s="129">
        <f>'P&amp;L - Inputs'!DP213</f>
        <v>0</v>
      </c>
      <c r="DI51" s="129">
        <f>'P&amp;L - Inputs'!DQ213</f>
        <v>0</v>
      </c>
      <c r="DJ51" s="129">
        <f>'P&amp;L - Inputs'!DR213</f>
        <v>0</v>
      </c>
      <c r="DK51" s="129">
        <f>'P&amp;L - Inputs'!DS213</f>
        <v>0</v>
      </c>
      <c r="DL51" s="129">
        <f>'P&amp;L - Inputs'!DT213</f>
        <v>0</v>
      </c>
      <c r="DM51" s="129">
        <f>'P&amp;L - Inputs'!DU213</f>
        <v>0</v>
      </c>
      <c r="DN51" s="129">
        <f>'P&amp;L - Inputs'!DV213</f>
        <v>0</v>
      </c>
      <c r="DO51" s="129">
        <f>'P&amp;L - Inputs'!DW213</f>
        <v>0</v>
      </c>
      <c r="DP51" s="129">
        <f>'P&amp;L - Inputs'!DX213</f>
        <v>0</v>
      </c>
      <c r="DQ51" s="129">
        <f>'P&amp;L - Inputs'!DY213</f>
        <v>0</v>
      </c>
      <c r="DR51" s="129">
        <f>'P&amp;L - Inputs'!DZ213</f>
        <v>0</v>
      </c>
      <c r="DS51" s="129">
        <f>'P&amp;L - Inputs'!EA213</f>
        <v>0</v>
      </c>
      <c r="DT51" s="129">
        <f>'P&amp;L - Inputs'!EB213</f>
        <v>0</v>
      </c>
      <c r="DU51" s="129">
        <f>'P&amp;L - Inputs'!EC213</f>
        <v>0</v>
      </c>
      <c r="DW51" s="129"/>
      <c r="DX51" s="663"/>
      <c r="DY51" s="129"/>
      <c r="DZ51" s="129"/>
      <c r="EA51" s="129"/>
      <c r="EB51" s="129"/>
      <c r="EC51" s="129"/>
      <c r="ED51" s="129"/>
      <c r="EE51" s="129"/>
      <c r="EF51" s="129"/>
      <c r="EG51" s="129"/>
      <c r="EH51" s="129"/>
      <c r="EI51" s="129"/>
      <c r="EJ51" s="129"/>
      <c r="EK51" s="129"/>
      <c r="EL51" s="129"/>
      <c r="EM51" s="129"/>
      <c r="EN51" s="129"/>
      <c r="EO51" s="644"/>
      <c r="EP51" s="129"/>
      <c r="EQ51" s="129"/>
      <c r="ER51" s="129"/>
      <c r="ES51" s="129"/>
      <c r="ET51" s="129"/>
      <c r="EV51" s="129"/>
      <c r="EW51" s="129"/>
      <c r="EX51" s="129"/>
      <c r="EY51" s="129"/>
      <c r="EZ51" s="129"/>
      <c r="FA51" s="663"/>
    </row>
    <row r="52" spans="2:157" x14ac:dyDescent="0.2">
      <c r="B52" s="114" t="s">
        <v>173</v>
      </c>
      <c r="C52" s="134">
        <f>C49/C35</f>
        <v>3.9352722550899145E-2</v>
      </c>
      <c r="D52" s="134">
        <f t="shared" ref="D52:BO52" si="111">D49/D35</f>
        <v>4.0796078631401285E-2</v>
      </c>
      <c r="E52" s="134">
        <f t="shared" si="111"/>
        <v>3.5877968322007812E-2</v>
      </c>
      <c r="F52" s="134">
        <f t="shared" si="111"/>
        <v>2.8759241909795643E-2</v>
      </c>
      <c r="G52" s="134">
        <f t="shared" si="111"/>
        <v>2.6133108636893779E-2</v>
      </c>
      <c r="H52" s="134">
        <f t="shared" si="111"/>
        <v>2.369944367500083E-2</v>
      </c>
      <c r="I52" s="134">
        <f t="shared" si="111"/>
        <v>2.739013479073266E-2</v>
      </c>
      <c r="J52" s="134">
        <f t="shared" si="111"/>
        <v>3.4329189866627877E-2</v>
      </c>
      <c r="K52" s="134">
        <f t="shared" si="111"/>
        <v>1.8559724130550494E-2</v>
      </c>
      <c r="L52" s="134">
        <f t="shared" si="111"/>
        <v>3.4681418504491371E-2</v>
      </c>
      <c r="M52" s="134">
        <f t="shared" si="111"/>
        <v>1.823254475860852E-2</v>
      </c>
      <c r="N52" s="134">
        <f t="shared" si="111"/>
        <v>2.9950456955824756E-2</v>
      </c>
      <c r="O52" s="134">
        <f t="shared" si="111"/>
        <v>1.7681307512679302E-2</v>
      </c>
      <c r="P52" s="134">
        <f t="shared" si="111"/>
        <v>-0.59598238250650637</v>
      </c>
      <c r="Q52" s="134">
        <f t="shared" si="111"/>
        <v>7.6115533676501153E-3</v>
      </c>
      <c r="R52" s="134">
        <f t="shared" si="111"/>
        <v>4.7507281737698935E-2</v>
      </c>
      <c r="S52" s="134">
        <f t="shared" si="111"/>
        <v>3.6183490205649843E-2</v>
      </c>
      <c r="T52" s="134">
        <f t="shared" si="111"/>
        <v>5.8259281885177039E-2</v>
      </c>
      <c r="U52" s="134">
        <f t="shared" si="111"/>
        <v>0.10701199079408032</v>
      </c>
      <c r="V52" s="134">
        <f t="shared" si="111"/>
        <v>7.2948261506206424E-2</v>
      </c>
      <c r="W52" s="134">
        <f t="shared" si="111"/>
        <v>7.1271718348042037E-2</v>
      </c>
      <c r="X52" s="134">
        <f t="shared" si="111"/>
        <v>6.506119894186041E-2</v>
      </c>
      <c r="Y52" s="134">
        <f t="shared" si="111"/>
        <v>6.0864222795740192E-2</v>
      </c>
      <c r="Z52" s="134">
        <f t="shared" si="111"/>
        <v>5.6560904105612334E-2</v>
      </c>
      <c r="AA52" s="134">
        <f t="shared" si="111"/>
        <v>5.927124950154658E-2</v>
      </c>
      <c r="AB52" s="134">
        <f t="shared" si="111"/>
        <v>6.9440685499584931E-2</v>
      </c>
      <c r="AC52" s="134">
        <f t="shared" si="111"/>
        <v>6.6090111462063075E-2</v>
      </c>
      <c r="AD52" s="134">
        <f t="shared" si="111"/>
        <v>6.1693103495703443E-2</v>
      </c>
      <c r="AE52" s="134">
        <f t="shared" si="111"/>
        <v>6.0444584049106423E-2</v>
      </c>
      <c r="AF52" s="134">
        <f t="shared" si="111"/>
        <v>6.0500134241469557E-2</v>
      </c>
      <c r="AG52" s="134">
        <f t="shared" si="111"/>
        <v>6.7430244126258018E-2</v>
      </c>
      <c r="AH52" s="134">
        <f t="shared" si="111"/>
        <v>6.5065044061291419E-2</v>
      </c>
      <c r="AI52" s="134">
        <f t="shared" si="111"/>
        <v>6.3743033951257133E-2</v>
      </c>
      <c r="AJ52" s="134">
        <f t="shared" si="111"/>
        <v>6.5992990352207154E-2</v>
      </c>
      <c r="AK52" s="134">
        <f t="shared" si="111"/>
        <v>6.2154968636676876E-2</v>
      </c>
      <c r="AL52" s="134">
        <f t="shared" si="111"/>
        <v>6.2544875192044144E-2</v>
      </c>
      <c r="AM52" s="134">
        <f t="shared" si="111"/>
        <v>6.1047448187236925E-2</v>
      </c>
      <c r="AN52" s="134">
        <f t="shared" si="111"/>
        <v>5.9681479036698473E-2</v>
      </c>
      <c r="AO52" s="134">
        <f t="shared" si="111"/>
        <v>5.6246385825242662E-2</v>
      </c>
      <c r="AP52" s="134">
        <f t="shared" si="111"/>
        <v>5.6470385590521588E-2</v>
      </c>
      <c r="AQ52" s="134">
        <f t="shared" si="111"/>
        <v>5.4025020383390077E-2</v>
      </c>
      <c r="AR52" s="134">
        <f t="shared" si="111"/>
        <v>4.8979085801578615E-2</v>
      </c>
      <c r="AS52" s="134">
        <f t="shared" si="111"/>
        <v>5.2301072408308835E-2</v>
      </c>
      <c r="AT52" s="134">
        <f t="shared" si="111"/>
        <v>5.8165397339179012E-2</v>
      </c>
      <c r="AU52" s="134">
        <f t="shared" si="111"/>
        <v>5.5753083641230251E-2</v>
      </c>
      <c r="AV52" s="134">
        <f t="shared" si="111"/>
        <v>5.0679028377336545E-2</v>
      </c>
      <c r="AW52" s="134">
        <f t="shared" si="111"/>
        <v>4.9282190178961897E-2</v>
      </c>
      <c r="AX52" s="134">
        <f t="shared" si="111"/>
        <v>4.7557318554453297E-2</v>
      </c>
      <c r="AY52" s="134">
        <f t="shared" si="111"/>
        <v>4.5035266365099004E-2</v>
      </c>
      <c r="AZ52" s="134">
        <f t="shared" si="111"/>
        <v>4.7338132634196402E-2</v>
      </c>
      <c r="BA52" s="134">
        <f t="shared" si="111"/>
        <v>4.160217169035018E-2</v>
      </c>
      <c r="BB52" s="134">
        <f t="shared" si="111"/>
        <v>3.9347329559076848E-2</v>
      </c>
      <c r="BC52" s="134">
        <f t="shared" si="111"/>
        <v>4.1370930641922099E-2</v>
      </c>
      <c r="BD52" s="134">
        <f t="shared" si="111"/>
        <v>4.2676000145850747E-2</v>
      </c>
      <c r="BE52" s="134">
        <f t="shared" si="111"/>
        <v>4.1370958093971157E-2</v>
      </c>
      <c r="BF52" s="134">
        <f t="shared" si="111"/>
        <v>4.5332301135337039E-2</v>
      </c>
      <c r="BG52" s="134">
        <f t="shared" si="111"/>
        <v>3.7159064242122938E-2</v>
      </c>
      <c r="BH52" s="134">
        <f t="shared" si="111"/>
        <v>3.8304360824711239E-2</v>
      </c>
      <c r="BI52" s="134">
        <f t="shared" si="111"/>
        <v>4.3513452365295115E-2</v>
      </c>
      <c r="BJ52" s="134">
        <f t="shared" si="111"/>
        <v>4.4123715838945449E-2</v>
      </c>
      <c r="BK52" s="134">
        <f t="shared" si="111"/>
        <v>4.8047726972441335E-2</v>
      </c>
      <c r="BL52" s="134">
        <f t="shared" si="111"/>
        <v>5.7450156622226821E-2</v>
      </c>
      <c r="BM52" s="134">
        <f t="shared" si="111"/>
        <v>5.7018161942169542E-2</v>
      </c>
      <c r="BN52" s="134">
        <f t="shared" si="111"/>
        <v>5.0360996724205451E-2</v>
      </c>
      <c r="BO52" s="134">
        <f t="shared" si="111"/>
        <v>4.821001333481801E-2</v>
      </c>
      <c r="BP52" s="134">
        <f t="shared" ref="BP52:DI52" si="112">BP49/BP35</f>
        <v>5.0004374001696002E-2</v>
      </c>
      <c r="BQ52" s="134">
        <f t="shared" si="112"/>
        <v>4.9170460917404173E-2</v>
      </c>
      <c r="BR52" s="134">
        <f t="shared" si="112"/>
        <v>5.2482352372748328E-2</v>
      </c>
      <c r="BS52" s="134">
        <f t="shared" si="112"/>
        <v>5.0865556242143894E-2</v>
      </c>
      <c r="BT52" s="134">
        <f t="shared" si="112"/>
        <v>5.5717494090067821E-2</v>
      </c>
      <c r="BU52" s="134">
        <f t="shared" si="112"/>
        <v>5.1788781652767457E-2</v>
      </c>
      <c r="BV52" s="134">
        <f t="shared" si="112"/>
        <v>5.0688894731180802E-2</v>
      </c>
      <c r="BW52" s="134">
        <f t="shared" si="112"/>
        <v>5.1567847912881194E-2</v>
      </c>
      <c r="BX52" s="134">
        <f t="shared" si="112"/>
        <v>5.1523950566411361E-2</v>
      </c>
      <c r="BY52" s="134">
        <f t="shared" si="112"/>
        <v>5.4162541060037317E-2</v>
      </c>
      <c r="BZ52" s="134">
        <f t="shared" si="112"/>
        <v>5.6913086126206068E-2</v>
      </c>
      <c r="CA52" s="134">
        <f t="shared" si="112"/>
        <v>5.989180291700965E-2</v>
      </c>
      <c r="CB52" s="134">
        <f t="shared" si="112"/>
        <v>5.7502088097814832E-2</v>
      </c>
      <c r="CC52" s="134">
        <f t="shared" si="112"/>
        <v>5.8521002669733681E-2</v>
      </c>
      <c r="CD52" s="134">
        <f t="shared" si="112"/>
        <v>6.007587705314095E-2</v>
      </c>
      <c r="CE52" s="134">
        <f t="shared" si="112"/>
        <v>4.8781785051745415E-2</v>
      </c>
      <c r="CF52" s="134">
        <f t="shared" si="112"/>
        <v>5.8414707235723569E-2</v>
      </c>
      <c r="CG52" s="134">
        <f t="shared" si="112"/>
        <v>5.6373193104696601E-2</v>
      </c>
      <c r="CH52" s="134">
        <f t="shared" si="112"/>
        <v>5.4005427160303952E-2</v>
      </c>
      <c r="CI52" s="134">
        <f t="shared" si="112"/>
        <v>5.3745133809591956E-2</v>
      </c>
      <c r="CJ52" s="134">
        <f t="shared" si="112"/>
        <v>5.3178435249336221E-2</v>
      </c>
      <c r="CK52" s="134">
        <f t="shared" si="112"/>
        <v>5.1528354974090321E-2</v>
      </c>
      <c r="CL52" s="134">
        <f t="shared" si="112"/>
        <v>5.5744241120782773E-2</v>
      </c>
      <c r="CM52" s="134">
        <f t="shared" si="112"/>
        <v>5.5744241120782766E-2</v>
      </c>
      <c r="CN52" s="134">
        <f t="shared" si="112"/>
        <v>5.5744241120782773E-2</v>
      </c>
      <c r="CO52" s="134">
        <f t="shared" si="112"/>
        <v>5.5744241120782773E-2</v>
      </c>
      <c r="CP52" s="134">
        <f t="shared" si="112"/>
        <v>5.5744241120782766E-2</v>
      </c>
      <c r="CQ52" s="134">
        <f t="shared" si="112"/>
        <v>5.5744241120782773E-2</v>
      </c>
      <c r="CR52" s="134">
        <f t="shared" si="112"/>
        <v>5.5744241120782773E-2</v>
      </c>
      <c r="CS52" s="134">
        <f t="shared" si="112"/>
        <v>5.574424112078278E-2</v>
      </c>
      <c r="CT52" s="134">
        <f t="shared" si="112"/>
        <v>5.5744241120782773E-2</v>
      </c>
      <c r="CU52" s="134">
        <f t="shared" si="112"/>
        <v>5.5744241120782773E-2</v>
      </c>
      <c r="CV52" s="134">
        <f t="shared" si="112"/>
        <v>5.5744241120782773E-2</v>
      </c>
      <c r="CW52" s="134">
        <f t="shared" si="112"/>
        <v>5.5744241120782773E-2</v>
      </c>
      <c r="CX52" s="134">
        <f t="shared" si="112"/>
        <v>5.5744241120782773E-2</v>
      </c>
      <c r="CY52" s="134">
        <f t="shared" si="112"/>
        <v>5.5744241120782773E-2</v>
      </c>
      <c r="CZ52" s="134">
        <f t="shared" si="112"/>
        <v>5.5744241120782773E-2</v>
      </c>
      <c r="DA52" s="134">
        <f t="shared" si="112"/>
        <v>5.574424112078278E-2</v>
      </c>
      <c r="DB52" s="134">
        <f t="shared" si="112"/>
        <v>5.5744241120782773E-2</v>
      </c>
      <c r="DC52" s="134">
        <f t="shared" si="112"/>
        <v>5.5744241120782773E-2</v>
      </c>
      <c r="DD52" s="134">
        <f t="shared" si="112"/>
        <v>5.5744241120782773E-2</v>
      </c>
      <c r="DE52" s="134">
        <f t="shared" si="112"/>
        <v>5.5744241120782773E-2</v>
      </c>
      <c r="DF52" s="134">
        <f t="shared" si="112"/>
        <v>5.5744241120782773E-2</v>
      </c>
      <c r="DG52" s="134">
        <f t="shared" si="112"/>
        <v>5.5744241120782773E-2</v>
      </c>
      <c r="DH52" s="134">
        <f t="shared" si="112"/>
        <v>5.5744241120782773E-2</v>
      </c>
      <c r="DI52" s="134">
        <f t="shared" si="112"/>
        <v>5.5744241120782773E-2</v>
      </c>
      <c r="DJ52" s="134">
        <f t="shared" ref="DJ52:DU52" si="113">DJ49/DJ35</f>
        <v>5.5744241120782773E-2</v>
      </c>
      <c r="DK52" s="134">
        <f t="shared" si="113"/>
        <v>5.5744241120782773E-2</v>
      </c>
      <c r="DL52" s="134">
        <f t="shared" si="113"/>
        <v>5.5744241120782773E-2</v>
      </c>
      <c r="DM52" s="134">
        <f t="shared" si="113"/>
        <v>5.5744241120782773E-2</v>
      </c>
      <c r="DN52" s="134">
        <f t="shared" si="113"/>
        <v>5.5744241120782773E-2</v>
      </c>
      <c r="DO52" s="134">
        <f t="shared" si="113"/>
        <v>5.5744241120782773E-2</v>
      </c>
      <c r="DP52" s="134">
        <f t="shared" si="113"/>
        <v>5.5744241120782773E-2</v>
      </c>
      <c r="DQ52" s="134">
        <f t="shared" si="113"/>
        <v>5.5744241120782773E-2</v>
      </c>
      <c r="DR52" s="134">
        <f t="shared" si="113"/>
        <v>5.5744241120782773E-2</v>
      </c>
      <c r="DS52" s="134">
        <f t="shared" si="113"/>
        <v>5.5744241120782773E-2</v>
      </c>
      <c r="DT52" s="134">
        <f t="shared" si="113"/>
        <v>5.5744241120782773E-2</v>
      </c>
      <c r="DU52" s="134">
        <f t="shared" si="113"/>
        <v>5.5744241120782766E-2</v>
      </c>
      <c r="DW52" s="134">
        <f t="shared" ref="DW52:FA52" si="114">DW49/DW35</f>
        <v>4.1167767621772176E-2</v>
      </c>
      <c r="DX52" s="658">
        <f t="shared" si="114"/>
        <v>4.1129647401995664E-2</v>
      </c>
      <c r="DY52" s="134">
        <f t="shared" si="114"/>
        <v>4.1623816817588914E-2</v>
      </c>
      <c r="DZ52" s="134">
        <f t="shared" si="114"/>
        <v>5.3904069396123723E-2</v>
      </c>
      <c r="EA52" s="134">
        <f t="shared" si="114"/>
        <v>4.9509727185711436E-2</v>
      </c>
      <c r="EB52" s="134">
        <f t="shared" si="114"/>
        <v>5.0807633005810017E-2</v>
      </c>
      <c r="EC52" s="134">
        <f t="shared" si="114"/>
        <v>5.2745149060479932E-2</v>
      </c>
      <c r="ED52" s="134">
        <f t="shared" si="114"/>
        <v>5.2584784183146376E-2</v>
      </c>
      <c r="EE52" s="134">
        <f t="shared" si="114"/>
        <v>5.8110264261562114E-2</v>
      </c>
      <c r="EF52" s="134">
        <f t="shared" si="114"/>
        <v>5.5350483193283187E-2</v>
      </c>
      <c r="EG52" s="134">
        <f t="shared" si="114"/>
        <v>5.6130439612580317E-2</v>
      </c>
      <c r="EH52" s="134">
        <f t="shared" si="114"/>
        <v>5.2813899407572813E-2</v>
      </c>
      <c r="EI52" s="134">
        <f t="shared" si="114"/>
        <v>5.5744241120782766E-2</v>
      </c>
      <c r="EJ52" s="134">
        <f t="shared" si="114"/>
        <v>5.574424112078278E-2</v>
      </c>
      <c r="EK52" s="134">
        <f t="shared" si="114"/>
        <v>5.5744241120782773E-2</v>
      </c>
      <c r="EL52" s="134">
        <f t="shared" si="114"/>
        <v>5.5744241120782766E-2</v>
      </c>
      <c r="EM52" s="134">
        <f t="shared" si="114"/>
        <v>5.5744241120782773E-2</v>
      </c>
      <c r="EN52" s="134">
        <f t="shared" si="114"/>
        <v>5.5744241120782773E-2</v>
      </c>
      <c r="EO52" s="651">
        <f t="shared" si="114"/>
        <v>5.5744241120782773E-2</v>
      </c>
      <c r="EP52" s="134">
        <f t="shared" si="114"/>
        <v>5.574424112078278E-2</v>
      </c>
      <c r="EQ52" s="134"/>
      <c r="ER52" s="134"/>
      <c r="ES52" s="134"/>
      <c r="ET52" s="134"/>
      <c r="EU52" s="639"/>
      <c r="EV52" s="134">
        <f t="shared" si="114"/>
        <v>4.45480997799289E-2</v>
      </c>
      <c r="EW52" s="134">
        <f t="shared" si="114"/>
        <v>5.155533372945427E-2</v>
      </c>
      <c r="EX52" s="134">
        <f t="shared" si="114"/>
        <v>5.546164291149043E-2</v>
      </c>
      <c r="EY52" s="134">
        <f t="shared" si="114"/>
        <v>5.574424112078278E-2</v>
      </c>
      <c r="EZ52" s="134">
        <f t="shared" si="114"/>
        <v>5.574424112078278E-2</v>
      </c>
      <c r="FA52" s="134">
        <f t="shared" si="114"/>
        <v>5.5744241120782766E-2</v>
      </c>
    </row>
    <row r="53" spans="2:157" x14ac:dyDescent="0.2">
      <c r="B53" s="114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29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  <c r="DK53" s="129"/>
      <c r="DL53" s="129"/>
      <c r="DM53" s="129"/>
      <c r="DN53" s="129"/>
      <c r="DO53" s="129"/>
      <c r="DP53" s="129"/>
      <c r="DQ53" s="129"/>
      <c r="DR53" s="129"/>
      <c r="DS53" s="129"/>
      <c r="DT53" s="129"/>
      <c r="DU53" s="129"/>
      <c r="DW53" s="129"/>
      <c r="DX53" s="663"/>
      <c r="DY53" s="129"/>
      <c r="DZ53" s="129"/>
      <c r="EA53" s="129"/>
      <c r="EB53" s="129"/>
      <c r="EC53" s="129"/>
      <c r="ED53" s="129"/>
      <c r="EE53" s="129"/>
      <c r="EF53" s="129"/>
      <c r="EG53" s="129"/>
      <c r="EH53" s="129"/>
      <c r="EI53" s="129"/>
      <c r="EJ53" s="129"/>
      <c r="EK53" s="129"/>
      <c r="EL53" s="129"/>
      <c r="EM53" s="129"/>
      <c r="EN53" s="129"/>
      <c r="EO53" s="644"/>
      <c r="EP53" s="129"/>
      <c r="EQ53" s="129"/>
      <c r="ER53" s="129"/>
      <c r="ES53" s="129"/>
      <c r="ET53" s="129"/>
      <c r="EV53" s="129"/>
      <c r="EW53" s="129"/>
      <c r="EX53" s="129"/>
      <c r="EY53" s="129"/>
      <c r="EZ53" s="129"/>
      <c r="FA53" s="663"/>
    </row>
    <row r="54" spans="2:157" x14ac:dyDescent="0.2">
      <c r="B54" s="114" t="s">
        <v>139</v>
      </c>
      <c r="C54" s="129">
        <f>'P&amp;L - Inputs'!K215</f>
        <v>23249.770714285711</v>
      </c>
      <c r="D54" s="129">
        <f>'P&amp;L - Inputs'!L215</f>
        <v>151773.31071428568</v>
      </c>
      <c r="E54" s="129">
        <f>'P&amp;L - Inputs'!M215</f>
        <v>730418.59928571433</v>
      </c>
      <c r="F54" s="129">
        <f>'P&amp;L - Inputs'!N215</f>
        <v>757281.53142857144</v>
      </c>
      <c r="G54" s="129">
        <f>'P&amp;L - Inputs'!O215</f>
        <v>756556.81040556892</v>
      </c>
      <c r="H54" s="129">
        <f>'P&amp;L - Inputs'!P215</f>
        <v>447224.04838983039</v>
      </c>
      <c r="I54" s="129">
        <f>'P&amp;L - Inputs'!Q215</f>
        <v>1080000.8094733653</v>
      </c>
      <c r="J54" s="129">
        <f>'P&amp;L - Inputs'!R215</f>
        <v>905353.33859564154</v>
      </c>
      <c r="K54" s="129">
        <f>'P&amp;L - Inputs'!S215</f>
        <v>700174.89334140427</v>
      </c>
      <c r="L54" s="129">
        <f>'P&amp;L - Inputs'!T215</f>
        <v>1189511.5252481841</v>
      </c>
      <c r="M54" s="129">
        <f>'P&amp;L - Inputs'!U215</f>
        <v>178951.32087167056</v>
      </c>
      <c r="N54" s="129">
        <f>'P&amp;L - Inputs'!V215</f>
        <v>533213.37343220331</v>
      </c>
      <c r="O54" s="129">
        <f>'P&amp;L - Inputs'!W215</f>
        <v>429863.65383123478</v>
      </c>
      <c r="P54" s="129">
        <f>'P&amp;L - Inputs'!X215</f>
        <v>-541382.27686035167</v>
      </c>
      <c r="Q54" s="129">
        <f>'P&amp;L - Inputs'!Y215</f>
        <v>110579.61828398175</v>
      </c>
      <c r="R54" s="129">
        <f>'P&amp;L - Inputs'!Z215</f>
        <v>-158683.25237288114</v>
      </c>
      <c r="S54" s="129">
        <f>'P&amp;L - Inputs'!AA215</f>
        <v>747781.27849249367</v>
      </c>
      <c r="T54" s="129">
        <f>'P&amp;L - Inputs'!AB215</f>
        <v>812366.31968055281</v>
      </c>
      <c r="U54" s="129">
        <f>'P&amp;L - Inputs'!AC215</f>
        <v>1055859.3830355932</v>
      </c>
      <c r="V54" s="129">
        <f>'P&amp;L - Inputs'!AD215</f>
        <v>670348.56583728816</v>
      </c>
      <c r="W54" s="129">
        <f>'P&amp;L - Inputs'!AE215</f>
        <v>836814.78675084771</v>
      </c>
      <c r="X54" s="129">
        <f>'P&amp;L - Inputs'!AF215</f>
        <v>1384635.1033898299</v>
      </c>
      <c r="Y54" s="129">
        <f>'P&amp;L - Inputs'!AG215</f>
        <v>1084944.6374000001</v>
      </c>
      <c r="Z54" s="129">
        <f>'P&amp;L - Inputs'!AH215</f>
        <v>1553170.172755932</v>
      </c>
      <c r="AA54" s="129">
        <f>'P&amp;L - Inputs'!AI215</f>
        <v>1927510.123036406</v>
      </c>
      <c r="AB54" s="129">
        <f>'P&amp;L - Inputs'!AJ215</f>
        <v>1373930.835072</v>
      </c>
      <c r="AC54" s="129">
        <f>'P&amp;L - Inputs'!AK215</f>
        <v>1657000.501888677</v>
      </c>
      <c r="AD54" s="129">
        <f>'P&amp;L - Inputs'!AL215</f>
        <v>1164956.7958473037</v>
      </c>
      <c r="AE54" s="129">
        <f>'P&amp;L - Inputs'!AM215</f>
        <v>716963.30072039086</v>
      </c>
      <c r="AF54" s="129">
        <f>'P&amp;L - Inputs'!AN215</f>
        <v>1092481.7094915272</v>
      </c>
      <c r="AG54" s="129">
        <f>'P&amp;L - Inputs'!AO215</f>
        <v>1046079.4968341684</v>
      </c>
      <c r="AH54" s="129">
        <f>'P&amp;L - Inputs'!AP215</f>
        <v>641482.12525423756</v>
      </c>
      <c r="AI54" s="129">
        <f>'P&amp;L - Inputs'!AQ215</f>
        <v>790338.5954446278</v>
      </c>
      <c r="AJ54" s="129">
        <f>'P&amp;L - Inputs'!AR215</f>
        <v>1021890.0355169473</v>
      </c>
      <c r="AK54" s="129">
        <f>'P&amp;L - Inputs'!AS215</f>
        <v>2293739.6112739751</v>
      </c>
      <c r="AL54" s="129">
        <f>'P&amp;L - Inputs'!AT215</f>
        <v>2657087.4906614665</v>
      </c>
      <c r="AM54" s="129">
        <f>'P&amp;L - Inputs'!AU215</f>
        <v>2993067.3670627032</v>
      </c>
      <c r="AN54" s="129">
        <f>'P&amp;L - Inputs'!AV215</f>
        <v>2574965.1119491514</v>
      </c>
      <c r="AO54" s="129">
        <f>'P&amp;L - Inputs'!AW215</f>
        <v>1337071.8836928832</v>
      </c>
      <c r="AP54" s="129">
        <f>'P&amp;L - Inputs'!AX215</f>
        <v>1213980.5972135607</v>
      </c>
      <c r="AQ54" s="129">
        <f>'P&amp;L - Inputs'!AY215</f>
        <v>1652729</v>
      </c>
      <c r="AR54" s="129">
        <f>'P&amp;L - Inputs'!AZ215</f>
        <v>2126091.4886440691</v>
      </c>
      <c r="AS54" s="129">
        <f>'P&amp;L - Inputs'!BA215</f>
        <v>2101871.2657423578</v>
      </c>
      <c r="AT54" s="129">
        <f>'P&amp;L - Inputs'!BB215</f>
        <v>1644629.6611220364</v>
      </c>
      <c r="AU54" s="129">
        <f>'P&amp;L - Inputs'!BC215</f>
        <v>2188754.5927118654</v>
      </c>
      <c r="AV54" s="129">
        <f>'P&amp;L - Inputs'!BD215</f>
        <v>3467761.5694576185</v>
      </c>
      <c r="AW54" s="129">
        <f>'P&amp;L - Inputs'!BE215</f>
        <v>2843056.2790464344</v>
      </c>
      <c r="AX54" s="129">
        <f>'P&amp;L - Inputs'!BF215</f>
        <v>2331055.4126796662</v>
      </c>
      <c r="AY54" s="129">
        <f>'P&amp;L - Inputs'!BG215</f>
        <v>2660431.2799118692</v>
      </c>
      <c r="AZ54" s="129">
        <f>'P&amp;L - Inputs'!BH215</f>
        <v>4174519.0588779431</v>
      </c>
      <c r="BA54" s="129">
        <f>'P&amp;L - Inputs'!BI215</f>
        <v>6364031.3191525415</v>
      </c>
      <c r="BB54" s="129">
        <f>'P&amp;L - Inputs'!BJ215</f>
        <v>6971324.3708644081</v>
      </c>
      <c r="BC54" s="129">
        <f>'P&amp;L - Inputs'!BK215</f>
        <v>6524973.1861287449</v>
      </c>
      <c r="BD54" s="129">
        <f>'P&amp;L - Inputs'!BL215</f>
        <v>8219570.5434075082</v>
      </c>
      <c r="BE54" s="129">
        <f>'P&amp;L - Inputs'!BM215</f>
        <v>5580815.1694878386</v>
      </c>
      <c r="BF54" s="129">
        <f>'P&amp;L - Inputs'!BN215</f>
        <v>7172450.5368256224</v>
      </c>
      <c r="BG54" s="129">
        <f>'P&amp;L - Inputs'!BO215</f>
        <v>6527556.6579259653</v>
      </c>
      <c r="BH54" s="129">
        <f>'P&amp;L - Inputs'!BP215</f>
        <v>10595798.164963771</v>
      </c>
      <c r="BI54" s="129">
        <f>'P&amp;L - Inputs'!BQ215</f>
        <v>9395502.2333211899</v>
      </c>
      <c r="BJ54" s="129">
        <f>'P&amp;L - Inputs'!BR215</f>
        <v>9005456.6848356742</v>
      </c>
      <c r="BK54" s="129">
        <f>'P&amp;L - Inputs'!BS215</f>
        <v>10023072.933221292</v>
      </c>
      <c r="BL54" s="129">
        <f>'P&amp;L - Inputs'!BT215</f>
        <v>8822484.8565103933</v>
      </c>
      <c r="BM54" s="129">
        <f>'P&amp;L - Inputs'!BU215</f>
        <v>12397647.47121332</v>
      </c>
      <c r="BN54" s="129">
        <f>'P&amp;L - Inputs'!BV215</f>
        <v>10476443.635275342</v>
      </c>
      <c r="BO54" s="129">
        <f>'P&amp;L - Inputs'!BW215</f>
        <v>10872420.455322813</v>
      </c>
      <c r="BP54" s="129">
        <f>'P&amp;L - Inputs'!BX215</f>
        <v>11729305.877416171</v>
      </c>
      <c r="BQ54" s="129">
        <f>'P&amp;L - Inputs'!BY215</f>
        <v>12067966.926290344</v>
      </c>
      <c r="BR54" s="129">
        <f>'P&amp;L - Inputs'!BZ215</f>
        <v>12155838.629640646</v>
      </c>
      <c r="BS54" s="129">
        <f>'P&amp;L - Inputs'!CA215</f>
        <v>12222698.71987989</v>
      </c>
      <c r="BT54" s="129">
        <f>'P&amp;L - Inputs'!CB215</f>
        <v>14380827.164690362</v>
      </c>
      <c r="BU54" s="129">
        <f>'P&amp;L - Inputs'!CC215</f>
        <v>11664817.411626155</v>
      </c>
      <c r="BV54" s="129">
        <f>'P&amp;L - Inputs'!CD215</f>
        <v>13601462.690532621</v>
      </c>
      <c r="BW54" s="129">
        <f>'P&amp;L - Inputs'!CE215</f>
        <v>15549033.111793833</v>
      </c>
      <c r="BX54" s="129">
        <f>'P&amp;L - Inputs'!CF215</f>
        <v>14910790.514405008</v>
      </c>
      <c r="BY54" s="129">
        <f>'P&amp;L - Inputs'!CG215</f>
        <v>21065291.637704343</v>
      </c>
      <c r="BZ54" s="129">
        <f>'P&amp;L - Inputs'!CH215</f>
        <v>18560074.684955303</v>
      </c>
      <c r="CA54" s="129">
        <f>'P&amp;L - Inputs'!CI215</f>
        <v>19767362.664965749</v>
      </c>
      <c r="CB54" s="129">
        <f>'P&amp;L - Inputs'!CJ215</f>
        <v>18665762.143806469</v>
      </c>
      <c r="CC54" s="129">
        <f>'P&amp;L - Inputs'!CK215</f>
        <v>19880512.437094469</v>
      </c>
      <c r="CD54" s="129">
        <f>'P&amp;L - Inputs'!CL215</f>
        <v>18023866.637966104</v>
      </c>
      <c r="CE54" s="129">
        <f>'P&amp;L - Inputs'!CM215</f>
        <v>18410008.016271245</v>
      </c>
      <c r="CF54" s="129">
        <f>'P&amp;L - Inputs'!CN215</f>
        <v>19094829.20932205</v>
      </c>
      <c r="CG54" s="129">
        <f>'P&amp;L - Inputs'!CO215</f>
        <v>18280856.530508514</v>
      </c>
      <c r="CH54" s="129">
        <f>'P&amp;L - Inputs'!CP215</f>
        <v>20895027.654745881</v>
      </c>
      <c r="CI54" s="129">
        <f>'P&amp;L - Inputs'!CQ215</f>
        <v>22862995.996271256</v>
      </c>
      <c r="CJ54" s="129">
        <f>'P&amp;L - Inputs'!CR215</f>
        <v>18194589.433389865</v>
      </c>
      <c r="CK54" s="129">
        <f>'P&amp;L - Inputs'!CS215</f>
        <v>20846244.042711902</v>
      </c>
      <c r="CL54" s="129">
        <f>'P&amp;L - Inputs'!CT215</f>
        <v>22098013.719933197</v>
      </c>
      <c r="CM54" s="129">
        <f>'P&amp;L - Inputs'!CU215</f>
        <v>22322919.731295355</v>
      </c>
      <c r="CN54" s="129">
        <f>'P&amp;L - Inputs'!CV215</f>
        <v>22306950.073683843</v>
      </c>
      <c r="CO54" s="129">
        <f>'P&amp;L - Inputs'!CW215</f>
        <v>22643643.688326605</v>
      </c>
      <c r="CP54" s="129">
        <f>'P&amp;L - Inputs'!CX215</f>
        <v>21336793.373784333</v>
      </c>
      <c r="CQ54" s="129">
        <f>'P&amp;L - Inputs'!CY215</f>
        <v>23340985.404029403</v>
      </c>
      <c r="CR54" s="129">
        <f>'P&amp;L - Inputs'!CZ215</f>
        <v>22695545.075564027</v>
      </c>
      <c r="CS54" s="129">
        <f>'P&amp;L - Inputs'!DA215</f>
        <v>22748777.267602406</v>
      </c>
      <c r="CT54" s="129">
        <f>'P&amp;L - Inputs'!DB215</f>
        <v>27924277.138534069</v>
      </c>
      <c r="CU54" s="129">
        <f>'P&amp;L - Inputs'!DC215</f>
        <v>30088165.744894288</v>
      </c>
      <c r="CV54" s="129">
        <f>'P&amp;L - Inputs'!DD215</f>
        <v>25794989.456998799</v>
      </c>
      <c r="CW54" s="129">
        <f>'P&amp;L - Inputs'!DE215</f>
        <v>27873706.556097604</v>
      </c>
      <c r="CX54" s="129">
        <f>'P&amp;L - Inputs'!DF215</f>
        <v>26175097.251260873</v>
      </c>
      <c r="CY54" s="129">
        <f>'P&amp;L - Inputs'!DG215</f>
        <v>26441498.421719354</v>
      </c>
      <c r="CZ54" s="129">
        <f>'P&amp;L - Inputs'!DH215</f>
        <v>26422582.362278517</v>
      </c>
      <c r="DA54" s="129">
        <f>'P&amp;L - Inputs'!DI215</f>
        <v>26821395.948822875</v>
      </c>
      <c r="DB54" s="129">
        <f>'P&amp;L - Inputs'!DJ215</f>
        <v>25273431.751247551</v>
      </c>
      <c r="DC54" s="129">
        <f>'P&amp;L - Inputs'!DK215</f>
        <v>27647397.21107284</v>
      </c>
      <c r="DD54" s="129">
        <f>'P&amp;L - Inputs'!DL215</f>
        <v>26882873.142005596</v>
      </c>
      <c r="DE54" s="129">
        <f>'P&amp;L - Inputs'!DM215</f>
        <v>26945926.673475061</v>
      </c>
      <c r="DF54" s="129">
        <f>'P&amp;L - Inputs'!DN215</f>
        <v>33076306.270593613</v>
      </c>
      <c r="DG54" s="129">
        <f>'P&amp;L - Inputs'!DO215</f>
        <v>35639432.324827291</v>
      </c>
      <c r="DH54" s="129">
        <f>'P&amp;L - Inputs'!DP215</f>
        <v>30554165.011815086</v>
      </c>
      <c r="DI54" s="129">
        <f>'P&amp;L - Inputs'!DQ215</f>
        <v>33016405.415697616</v>
      </c>
      <c r="DJ54" s="129">
        <f>'P&amp;L - Inputs'!DR215</f>
        <v>31004402.6941185</v>
      </c>
      <c r="DK54" s="129">
        <f>'P&amp;L - Inputs'!DS215</f>
        <v>31319954.88052658</v>
      </c>
      <c r="DL54" s="129">
        <f>'P&amp;L - Inputs'!DT215</f>
        <v>31297548.808118906</v>
      </c>
      <c r="DM54" s="129">
        <f>'P&amp;L - Inputs'!DU215</f>
        <v>31769943.501380693</v>
      </c>
      <c r="DN54" s="129">
        <f>'P&amp;L - Inputs'!DV215</f>
        <v>29936379.909352727</v>
      </c>
      <c r="DO54" s="129">
        <f>'P&amp;L - Inputs'!DW215</f>
        <v>32748341.996515773</v>
      </c>
      <c r="DP54" s="129">
        <f>'P&amp;L - Inputs'!DX215</f>
        <v>31842763.236705627</v>
      </c>
      <c r="DQ54" s="129">
        <f>'P&amp;L - Inputs'!DY215</f>
        <v>31917450.144731201</v>
      </c>
      <c r="DR54" s="129">
        <f>'P&amp;L - Inputs'!DZ215</f>
        <v>39178884.777518131</v>
      </c>
      <c r="DS54" s="129">
        <f>'P&amp;L - Inputs'!EA215</f>
        <v>42214907.58875791</v>
      </c>
      <c r="DT54" s="129">
        <f>'P&amp;L - Inputs'!EB215</f>
        <v>36191408.456494965</v>
      </c>
      <c r="DU54" s="129">
        <f>'P&amp;L - Inputs'!EC215</f>
        <v>39107932.214893825</v>
      </c>
      <c r="DW54" s="129">
        <f>SUM(BB54:BD54)</f>
        <v>21715868.10040066</v>
      </c>
      <c r="DX54" s="663">
        <f>SUM(BE54:BG54)</f>
        <v>19280822.364239424</v>
      </c>
      <c r="DY54" s="129">
        <f>SUM(BH54:BJ54)</f>
        <v>28996757.083120637</v>
      </c>
      <c r="DZ54" s="129">
        <f>SUM(BK54:BM54)</f>
        <v>31243205.260945007</v>
      </c>
      <c r="EA54" s="129">
        <f>SUM(BN54:BP54)</f>
        <v>33078169.968014326</v>
      </c>
      <c r="EB54" s="129">
        <f>SUM(BQ54:BS54)</f>
        <v>36446504.275810882</v>
      </c>
      <c r="EC54" s="129">
        <f>SUM(BT54:BV54)</f>
        <v>39647107.266849138</v>
      </c>
      <c r="ED54" s="129">
        <f>SUM(BW54:BY54)</f>
        <v>51525115.263903186</v>
      </c>
      <c r="EE54" s="129">
        <f>SUM(BZ54:CB54)</f>
        <v>56993199.49372752</v>
      </c>
      <c r="EF54" s="129">
        <f>SUM(CC54:CE54)</f>
        <v>56314387.091331825</v>
      </c>
      <c r="EG54" s="129">
        <f>SUM(CF54:CH54)</f>
        <v>58270713.394576445</v>
      </c>
      <c r="EH54" s="129">
        <f>SUM(CI54:CK54)</f>
        <v>61903829.472373024</v>
      </c>
      <c r="EI54" s="129">
        <f>SUM(CL54:CN54)</f>
        <v>66727883.524912395</v>
      </c>
      <c r="EJ54" s="129">
        <f>SUM(CO54:CQ54)</f>
        <v>67321422.466140345</v>
      </c>
      <c r="EK54" s="129">
        <f>SUM(CR54:CT54)</f>
        <v>73368599.48170051</v>
      </c>
      <c r="EL54" s="129">
        <f>SUM(CU54:CW54)</f>
        <v>83756861.757990688</v>
      </c>
      <c r="EM54" s="129">
        <f>SUM(CX54:CZ54)</f>
        <v>79039178.03525874</v>
      </c>
      <c r="EN54" s="129">
        <f>SUM(DA54:DC54)</f>
        <v>79742224.911143273</v>
      </c>
      <c r="EO54" s="644">
        <f>SUM(DD54:DF54)</f>
        <v>86905106.086074263</v>
      </c>
      <c r="EP54" s="129">
        <f>SUM(DG54:DI54)</f>
        <v>99210002.752339989</v>
      </c>
      <c r="EQ54" s="129">
        <f t="shared" ref="EQ54:EQ55" si="115">SUM(DJ54:DL54)</f>
        <v>93621906.382763982</v>
      </c>
      <c r="ER54" s="129">
        <f t="shared" ref="ER54:ER55" si="116">SUM(DM54:DO54)</f>
        <v>94454665.407249182</v>
      </c>
      <c r="ES54" s="129">
        <f t="shared" ref="ES54:ES55" si="117">SUM(DP54:DR54)</f>
        <v>102939098.15895495</v>
      </c>
      <c r="ET54" s="129">
        <f t="shared" ref="ET54:ET55" si="118">SUM(DS54:DU54)</f>
        <v>117514248.26014671</v>
      </c>
      <c r="EV54" s="129">
        <f t="shared" ref="EV54:EV62" si="119">SUM(DW54:DZ54)</f>
        <v>101236652.80870573</v>
      </c>
      <c r="EW54" s="129">
        <f t="shared" ref="EW54:EW62" si="120">SUM(EA54:ED54)</f>
        <v>160696896.77457756</v>
      </c>
      <c r="EX54" s="129">
        <f t="shared" ref="EX54:EX62" si="121">SUM(EE54:EH54)</f>
        <v>233482129.45200878</v>
      </c>
      <c r="EY54" s="129">
        <f t="shared" ref="EY54:EY62" si="122">SUM(EI54:EL54)</f>
        <v>291174767.23074394</v>
      </c>
      <c r="EZ54" s="129">
        <f t="shared" ref="EZ54:EZ62" si="123">SUM(EM54:EP54)</f>
        <v>344896511.78481627</v>
      </c>
      <c r="FA54" s="663">
        <f t="shared" ref="FA54:FA55" si="124">SUM(EQ54:ET54)</f>
        <v>408529918.20911479</v>
      </c>
    </row>
    <row r="55" spans="2:157" x14ac:dyDescent="0.2">
      <c r="B55" s="114" t="s">
        <v>158</v>
      </c>
      <c r="C55" s="129">
        <f>'P&amp;L - Inputs'!K216</f>
        <v>0</v>
      </c>
      <c r="D55" s="129">
        <f>'P&amp;L - Inputs'!L216</f>
        <v>0</v>
      </c>
      <c r="E55" s="129">
        <f>'P&amp;L - Inputs'!M216</f>
        <v>0</v>
      </c>
      <c r="F55" s="129">
        <f>'P&amp;L - Inputs'!N216</f>
        <v>0</v>
      </c>
      <c r="G55" s="129">
        <f>'P&amp;L - Inputs'!O216</f>
        <v>0</v>
      </c>
      <c r="H55" s="129">
        <f>'P&amp;L - Inputs'!P216</f>
        <v>0</v>
      </c>
      <c r="I55" s="129">
        <f>'P&amp;L - Inputs'!Q216</f>
        <v>0</v>
      </c>
      <c r="J55" s="129">
        <f>'P&amp;L - Inputs'!R216</f>
        <v>0</v>
      </c>
      <c r="K55" s="129">
        <f>'P&amp;L - Inputs'!S216</f>
        <v>0</v>
      </c>
      <c r="L55" s="129">
        <f>'P&amp;L - Inputs'!T216</f>
        <v>0</v>
      </c>
      <c r="M55" s="129">
        <f>'P&amp;L - Inputs'!U216</f>
        <v>0</v>
      </c>
      <c r="N55" s="129">
        <f>'P&amp;L - Inputs'!V216</f>
        <v>0</v>
      </c>
      <c r="O55" s="129">
        <f>'P&amp;L - Inputs'!W216</f>
        <v>0</v>
      </c>
      <c r="P55" s="129">
        <f>'P&amp;L - Inputs'!X216</f>
        <v>0</v>
      </c>
      <c r="Q55" s="129">
        <f>'P&amp;L - Inputs'!Y216</f>
        <v>0</v>
      </c>
      <c r="R55" s="129">
        <f>'P&amp;L - Inputs'!Z216</f>
        <v>0</v>
      </c>
      <c r="S55" s="129">
        <f>'P&amp;L - Inputs'!AA216</f>
        <v>0</v>
      </c>
      <c r="T55" s="129">
        <f>'P&amp;L - Inputs'!AB216</f>
        <v>9156.5084745762761</v>
      </c>
      <c r="U55" s="129">
        <f>'P&amp;L - Inputs'!AC216</f>
        <v>609.5593220338983</v>
      </c>
      <c r="V55" s="129">
        <f>'P&amp;L - Inputs'!AD216</f>
        <v>0</v>
      </c>
      <c r="W55" s="129">
        <f>'P&amp;L - Inputs'!AE216</f>
        <v>3399.101694915254</v>
      </c>
      <c r="X55" s="129">
        <f>'P&amp;L - Inputs'!AF216</f>
        <v>0</v>
      </c>
      <c r="Y55" s="129">
        <f>'P&amp;L - Inputs'!AG216</f>
        <v>0</v>
      </c>
      <c r="Z55" s="129">
        <f>'P&amp;L - Inputs'!AH216</f>
        <v>0</v>
      </c>
      <c r="AA55" s="129">
        <f>'P&amp;L - Inputs'!AI216</f>
        <v>0</v>
      </c>
      <c r="AB55" s="129">
        <f>'P&amp;L - Inputs'!AJ216</f>
        <v>0</v>
      </c>
      <c r="AC55" s="129">
        <f>'P&amp;L - Inputs'!AK216</f>
        <v>0</v>
      </c>
      <c r="AD55" s="129">
        <f>'P&amp;L - Inputs'!AL216</f>
        <v>0</v>
      </c>
      <c r="AE55" s="129">
        <f>'P&amp;L - Inputs'!AM216</f>
        <v>0</v>
      </c>
      <c r="AF55" s="129">
        <f>'P&amp;L - Inputs'!AN216</f>
        <v>0</v>
      </c>
      <c r="AG55" s="129">
        <f>'P&amp;L - Inputs'!AO216</f>
        <v>0</v>
      </c>
      <c r="AH55" s="129">
        <f>'P&amp;L - Inputs'!AP216</f>
        <v>0</v>
      </c>
      <c r="AI55" s="129">
        <f>'P&amp;L - Inputs'!AQ216</f>
        <v>0</v>
      </c>
      <c r="AJ55" s="129">
        <f>'P&amp;L - Inputs'!AR216</f>
        <v>0</v>
      </c>
      <c r="AK55" s="129">
        <f>'P&amp;L - Inputs'!AS216</f>
        <v>0</v>
      </c>
      <c r="AL55" s="129">
        <f>'P&amp;L - Inputs'!AT216</f>
        <v>0</v>
      </c>
      <c r="AM55" s="129">
        <f>'P&amp;L - Inputs'!AU216</f>
        <v>0</v>
      </c>
      <c r="AN55" s="129">
        <f>'P&amp;L - Inputs'!AV216</f>
        <v>0</v>
      </c>
      <c r="AO55" s="129">
        <f>'P&amp;L - Inputs'!AW216</f>
        <v>0</v>
      </c>
      <c r="AP55" s="129">
        <f>'P&amp;L - Inputs'!AX216</f>
        <v>0</v>
      </c>
      <c r="AQ55" s="129">
        <f>'P&amp;L - Inputs'!AY216</f>
        <v>0</v>
      </c>
      <c r="AR55" s="129">
        <f>'P&amp;L - Inputs'!AZ216</f>
        <v>0</v>
      </c>
      <c r="AS55" s="129">
        <f>'P&amp;L - Inputs'!BA216</f>
        <v>0</v>
      </c>
      <c r="AT55" s="129">
        <f>'P&amp;L - Inputs'!BB216</f>
        <v>0</v>
      </c>
      <c r="AU55" s="129">
        <f>'P&amp;L - Inputs'!BC216</f>
        <v>0</v>
      </c>
      <c r="AV55" s="129">
        <f>'P&amp;L - Inputs'!BD216</f>
        <v>0</v>
      </c>
      <c r="AW55" s="129">
        <f>'P&amp;L - Inputs'!BE216</f>
        <v>0</v>
      </c>
      <c r="AX55" s="129">
        <f>'P&amp;L - Inputs'!BF216</f>
        <v>0</v>
      </c>
      <c r="AY55" s="129">
        <f>'P&amp;L - Inputs'!BG216</f>
        <v>0</v>
      </c>
      <c r="AZ55" s="129">
        <f>'P&amp;L - Inputs'!BH216</f>
        <v>0</v>
      </c>
      <c r="BA55" s="129">
        <f>'P&amp;L - Inputs'!BI216</f>
        <v>0</v>
      </c>
      <c r="BB55" s="129">
        <f>'P&amp;L - Inputs'!BJ216</f>
        <v>0</v>
      </c>
      <c r="BC55" s="129">
        <f>'P&amp;L - Inputs'!BK216</f>
        <v>0</v>
      </c>
      <c r="BD55" s="129">
        <f>'P&amp;L - Inputs'!BL216</f>
        <v>0</v>
      </c>
      <c r="BE55" s="129">
        <f>'P&amp;L - Inputs'!BM216</f>
        <v>0</v>
      </c>
      <c r="BF55" s="129">
        <f>'P&amp;L - Inputs'!BN216</f>
        <v>0</v>
      </c>
      <c r="BG55" s="129">
        <f>'P&amp;L - Inputs'!BO216</f>
        <v>0</v>
      </c>
      <c r="BH55" s="129">
        <f>'P&amp;L - Inputs'!BP216</f>
        <v>0</v>
      </c>
      <c r="BI55" s="129">
        <f>'P&amp;L - Inputs'!BQ216</f>
        <v>0</v>
      </c>
      <c r="BJ55" s="129">
        <f>'P&amp;L - Inputs'!BR216</f>
        <v>0</v>
      </c>
      <c r="BK55" s="129">
        <f>'P&amp;L - Inputs'!BS216</f>
        <v>0</v>
      </c>
      <c r="BL55" s="129">
        <f>'P&amp;L - Inputs'!BT216</f>
        <v>0</v>
      </c>
      <c r="BM55" s="129">
        <f>'P&amp;L - Inputs'!BU216</f>
        <v>0</v>
      </c>
      <c r="BN55" s="129">
        <f>'P&amp;L - Inputs'!BV216</f>
        <v>0</v>
      </c>
      <c r="BO55" s="129">
        <f>'P&amp;L - Inputs'!BW216</f>
        <v>0</v>
      </c>
      <c r="BP55" s="129">
        <f>'P&amp;L - Inputs'!BX216</f>
        <v>0</v>
      </c>
      <c r="BQ55" s="129">
        <f>'P&amp;L - Inputs'!BY216</f>
        <v>0</v>
      </c>
      <c r="BR55" s="129">
        <f>'P&amp;L - Inputs'!BZ216</f>
        <v>0</v>
      </c>
      <c r="BS55" s="129">
        <f>'P&amp;L - Inputs'!CA216</f>
        <v>0</v>
      </c>
      <c r="BT55" s="129">
        <f>'P&amp;L - Inputs'!CB216</f>
        <v>0</v>
      </c>
      <c r="BU55" s="129">
        <f>'P&amp;L - Inputs'!CC216</f>
        <v>0</v>
      </c>
      <c r="BV55" s="129">
        <f>'P&amp;L - Inputs'!CD216</f>
        <v>0</v>
      </c>
      <c r="BW55" s="129">
        <f>'P&amp;L - Inputs'!CE216</f>
        <v>0</v>
      </c>
      <c r="BX55" s="129">
        <f>'P&amp;L - Inputs'!CF216</f>
        <v>0</v>
      </c>
      <c r="BY55" s="129">
        <f>'P&amp;L - Inputs'!CG216</f>
        <v>0</v>
      </c>
      <c r="BZ55" s="129">
        <f>'P&amp;L - Inputs'!CH216</f>
        <v>424492.16949152545</v>
      </c>
      <c r="CA55" s="129">
        <f>'P&amp;L - Inputs'!CI216</f>
        <v>451564.93220338982</v>
      </c>
      <c r="CB55" s="129">
        <f>'P&amp;L - Inputs'!CJ216</f>
        <v>441249.60290556902</v>
      </c>
      <c r="CC55" s="129">
        <f>'P&amp;L - Inputs'!CK216</f>
        <v>516309.60290556902</v>
      </c>
      <c r="CD55" s="129">
        <f>'P&amp;L - Inputs'!CL216</f>
        <v>533077.32203389832</v>
      </c>
      <c r="CE55" s="129">
        <f>'P&amp;L - Inputs'!CM216</f>
        <v>636358.42372881365</v>
      </c>
      <c r="CF55" s="129">
        <f>'P&amp;L - Inputs'!CN216</f>
        <v>602120.44067796611</v>
      </c>
      <c r="CG55" s="129">
        <f>'P&amp;L - Inputs'!CO216</f>
        <v>522610.16949152545</v>
      </c>
      <c r="CH55" s="129">
        <f>'P&amp;L - Inputs'!CP216</f>
        <v>737694.91525423725</v>
      </c>
      <c r="CI55" s="129">
        <f>'P&amp;L - Inputs'!CQ216</f>
        <v>1099525.4237288137</v>
      </c>
      <c r="CJ55" s="129">
        <f>'P&amp;L - Inputs'!CR216</f>
        <v>928067.79661016958</v>
      </c>
      <c r="CK55" s="129">
        <f>'P&amp;L - Inputs'!CS216</f>
        <v>1050254.2372881356</v>
      </c>
      <c r="CL55" s="129">
        <f>'P&amp;L - Inputs'!CT216</f>
        <v>260943.45888467124</v>
      </c>
      <c r="CM55" s="129">
        <f>'P&amp;L - Inputs'!CU216</f>
        <v>263599.25199226028</v>
      </c>
      <c r="CN55" s="129">
        <f>'P&amp;L - Inputs'!CV216</f>
        <v>263410.67496686918</v>
      </c>
      <c r="CO55" s="129">
        <f>'P&amp;L - Inputs'!CW216</f>
        <v>267386.50725219573</v>
      </c>
      <c r="CP55" s="129">
        <f>'P&amp;L - Inputs'!CX216</f>
        <v>251954.62067437227</v>
      </c>
      <c r="CQ55" s="129">
        <f>'P&amp;L - Inputs'!CY216</f>
        <v>275621.03736093041</v>
      </c>
      <c r="CR55" s="129">
        <f>'P&amp;L - Inputs'!CZ216</f>
        <v>267999.38258471421</v>
      </c>
      <c r="CS55" s="129">
        <f>'P&amp;L - Inputs'!DA216</f>
        <v>268627.97266935004</v>
      </c>
      <c r="CT55" s="129">
        <f>'P&amp;L - Inputs'!DB216</f>
        <v>329742.64364811865</v>
      </c>
      <c r="CU55" s="129">
        <f>'P&amp;L - Inputs'!DC216</f>
        <v>355294.83058858756</v>
      </c>
      <c r="CV55" s="129">
        <f>'P&amp;L - Inputs'!DD216</f>
        <v>304599.04026266659</v>
      </c>
      <c r="CW55" s="129">
        <f>'P&amp;L - Inputs'!DE216</f>
        <v>329145.48306771414</v>
      </c>
      <c r="CX55" s="129">
        <f>'P&amp;L - Inputs'!DF216</f>
        <v>309087.52704888757</v>
      </c>
      <c r="CY55" s="129">
        <f>'P&amp;L - Inputs'!DG216</f>
        <v>312233.3139848251</v>
      </c>
      <c r="CZ55" s="129">
        <f>'P&amp;L - Inputs'!DH216</f>
        <v>312009.94449824648</v>
      </c>
      <c r="DA55" s="129">
        <f>'P&amp;L - Inputs'!DI216</f>
        <v>316719.31784021424</v>
      </c>
      <c r="DB55" s="129">
        <f>'P&amp;L - Inputs'!DJ216</f>
        <v>298440.24818878307</v>
      </c>
      <c r="DC55" s="129">
        <f>'P&amp;L - Inputs'!DK216</f>
        <v>326473.118754011</v>
      </c>
      <c r="DD55" s="129">
        <f>'P&amp;L - Inputs'!DL216</f>
        <v>317445.26867158141</v>
      </c>
      <c r="DE55" s="129">
        <f>'P&amp;L - Inputs'!DM216</f>
        <v>318189.83362683229</v>
      </c>
      <c r="DF55" s="129">
        <f>'P&amp;L - Inputs'!DN216</f>
        <v>390580.16140118317</v>
      </c>
      <c r="DG55" s="129">
        <f>'P&amp;L - Inputs'!DO216</f>
        <v>420846.72683216381</v>
      </c>
      <c r="DH55" s="129">
        <f>'P&amp;L - Inputs'!DP216</f>
        <v>360797.56319111399</v>
      </c>
      <c r="DI55" s="129">
        <f>'P&amp;L - Inputs'!DQ216</f>
        <v>389872.82469369983</v>
      </c>
      <c r="DJ55" s="129">
        <f>'P&amp;L - Inputs'!DR216</f>
        <v>366114.17578940711</v>
      </c>
      <c r="DK55" s="129">
        <f>'P&amp;L - Inputs'!DS216</f>
        <v>369840.36041502189</v>
      </c>
      <c r="DL55" s="129">
        <f>'P&amp;L - Inputs'!DT216</f>
        <v>369575.77925817313</v>
      </c>
      <c r="DM55" s="129">
        <f>'P&amp;L - Inputs'!DU216</f>
        <v>375154.03198172909</v>
      </c>
      <c r="DN55" s="129">
        <f>'P&amp;L - Inputs'!DV216</f>
        <v>353502.47397961043</v>
      </c>
      <c r="DO55" s="129">
        <f>'P&amp;L - Inputs'!DW216</f>
        <v>386707.40916412411</v>
      </c>
      <c r="DP55" s="129">
        <f>'P&amp;L - Inputs'!DX216</f>
        <v>376013.92074149247</v>
      </c>
      <c r="DQ55" s="129">
        <f>'P&amp;L - Inputs'!DY216</f>
        <v>376895.85793098831</v>
      </c>
      <c r="DR55" s="129">
        <f>'P&amp;L - Inputs'!DZ216</f>
        <v>462642.20117971278</v>
      </c>
      <c r="DS55" s="129">
        <f>'P&amp;L - Inputs'!EA216</f>
        <v>498492.94793271384</v>
      </c>
      <c r="DT55" s="129">
        <f>'P&amp;L - Inputs'!EB216</f>
        <v>427364.71359988063</v>
      </c>
      <c r="DU55" s="129">
        <f>'P&amp;L - Inputs'!EC216</f>
        <v>461804.36084968841</v>
      </c>
      <c r="DW55" s="129">
        <f>SUM(BB55:BD55)</f>
        <v>0</v>
      </c>
      <c r="DX55" s="663">
        <f>SUM(BE55:BG55)</f>
        <v>0</v>
      </c>
      <c r="DY55" s="129">
        <f>SUM(BH55:BJ55)</f>
        <v>0</v>
      </c>
      <c r="DZ55" s="129">
        <f>SUM(BK55:BM55)</f>
        <v>0</v>
      </c>
      <c r="EA55" s="129">
        <f>SUM(BN55:BP55)</f>
        <v>0</v>
      </c>
      <c r="EB55" s="129">
        <f>SUM(BQ55:BS55)</f>
        <v>0</v>
      </c>
      <c r="EC55" s="129">
        <f>SUM(BT55:BV55)</f>
        <v>0</v>
      </c>
      <c r="ED55" s="129">
        <f>SUM(BW55:BY55)</f>
        <v>0</v>
      </c>
      <c r="EE55" s="129">
        <f>SUM(BZ55:CB55)</f>
        <v>1317306.7046004841</v>
      </c>
      <c r="EF55" s="129">
        <f>SUM(CC55:CE55)</f>
        <v>1685745.348668281</v>
      </c>
      <c r="EG55" s="129">
        <f>SUM(CF55:CH55)</f>
        <v>1862425.5254237289</v>
      </c>
      <c r="EH55" s="129">
        <f>SUM(CI55:CK55)</f>
        <v>3077847.4576271186</v>
      </c>
      <c r="EI55" s="129">
        <f>SUM(CL55:CN55)</f>
        <v>787953.38584380073</v>
      </c>
      <c r="EJ55" s="129">
        <f>SUM(CO55:CQ55)</f>
        <v>794962.16528749838</v>
      </c>
      <c r="EK55" s="129">
        <f>SUM(CR55:CT55)</f>
        <v>866369.99890218303</v>
      </c>
      <c r="EL55" s="129">
        <f>SUM(CU55:CW55)</f>
        <v>989039.35391896823</v>
      </c>
      <c r="EM55" s="129">
        <f>SUM(CX55:CZ55)</f>
        <v>933330.78553195926</v>
      </c>
      <c r="EN55" s="129">
        <f>SUM(DA55:DC55)</f>
        <v>941632.6847830083</v>
      </c>
      <c r="EO55" s="644">
        <f>SUM(DD55:DF55)</f>
        <v>1026215.2636995967</v>
      </c>
      <c r="EP55" s="129">
        <f>SUM(DG55:DI55)</f>
        <v>1171517.1147169776</v>
      </c>
      <c r="EQ55" s="129">
        <f t="shared" si="115"/>
        <v>1105530.3154626021</v>
      </c>
      <c r="ER55" s="129">
        <f t="shared" si="116"/>
        <v>1115363.9151254636</v>
      </c>
      <c r="ES55" s="129">
        <f t="shared" si="117"/>
        <v>1215551.9798521935</v>
      </c>
      <c r="ET55" s="129">
        <f t="shared" si="118"/>
        <v>1387662.0223822829</v>
      </c>
      <c r="EV55" s="129">
        <f t="shared" si="119"/>
        <v>0</v>
      </c>
      <c r="EW55" s="129">
        <f t="shared" si="120"/>
        <v>0</v>
      </c>
      <c r="EX55" s="129">
        <f t="shared" si="121"/>
        <v>7943325.0363196125</v>
      </c>
      <c r="EY55" s="129">
        <f t="shared" si="122"/>
        <v>3438324.9039524505</v>
      </c>
      <c r="EZ55" s="129">
        <f t="shared" si="123"/>
        <v>4072695.848731542</v>
      </c>
      <c r="FA55" s="663">
        <f t="shared" si="124"/>
        <v>4824108.2328225421</v>
      </c>
    </row>
    <row r="56" spans="2:157" x14ac:dyDescent="0.2">
      <c r="B56" s="114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  <c r="BP56" s="115"/>
      <c r="BQ56" s="115"/>
      <c r="BR56" s="115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115"/>
      <c r="CD56" s="115"/>
      <c r="CE56" s="115"/>
      <c r="CF56" s="115"/>
      <c r="CG56" s="115"/>
      <c r="CH56" s="115"/>
      <c r="CI56" s="115"/>
      <c r="CJ56" s="115"/>
      <c r="CK56" s="115"/>
      <c r="CL56" s="115"/>
      <c r="CM56" s="115"/>
      <c r="CN56" s="115"/>
      <c r="CO56" s="115"/>
      <c r="CP56" s="115"/>
      <c r="CQ56" s="115"/>
      <c r="CR56" s="115"/>
      <c r="CS56" s="115"/>
      <c r="CT56" s="115"/>
      <c r="CU56" s="115"/>
      <c r="CV56" s="115"/>
      <c r="CW56" s="115"/>
      <c r="CX56" s="115"/>
      <c r="CY56" s="115"/>
      <c r="CZ56" s="115"/>
      <c r="DA56" s="115"/>
      <c r="DB56" s="115"/>
      <c r="DC56" s="115"/>
      <c r="DD56" s="115"/>
      <c r="DE56" s="115"/>
      <c r="DF56" s="115"/>
      <c r="DG56" s="115"/>
      <c r="DH56" s="115"/>
      <c r="DI56" s="115"/>
      <c r="DJ56" s="115"/>
      <c r="DK56" s="115"/>
      <c r="DL56" s="115"/>
      <c r="DM56" s="115"/>
      <c r="DN56" s="115"/>
      <c r="DO56" s="115"/>
      <c r="DP56" s="115"/>
      <c r="DQ56" s="115"/>
      <c r="DR56" s="115"/>
      <c r="DS56" s="115"/>
      <c r="DT56" s="115"/>
      <c r="DU56" s="115"/>
      <c r="DW56" s="115"/>
      <c r="DX56" s="664"/>
      <c r="DY56" s="115"/>
      <c r="DZ56" s="115"/>
      <c r="EA56" s="115"/>
      <c r="EB56" s="115"/>
      <c r="EC56" s="115"/>
      <c r="ED56" s="115"/>
      <c r="EE56" s="115"/>
      <c r="EF56" s="115"/>
      <c r="EG56" s="115"/>
      <c r="EH56" s="115"/>
      <c r="EI56" s="115"/>
      <c r="EJ56" s="115"/>
      <c r="EK56" s="115"/>
      <c r="EL56" s="115"/>
      <c r="EM56" s="115"/>
      <c r="EN56" s="115"/>
      <c r="EO56" s="645"/>
      <c r="EP56" s="115"/>
      <c r="EQ56" s="115"/>
      <c r="ER56" s="115"/>
      <c r="ES56" s="115"/>
      <c r="ET56" s="115"/>
      <c r="EV56" s="115"/>
      <c r="EW56" s="115"/>
      <c r="EX56" s="115"/>
      <c r="EY56" s="115"/>
      <c r="EZ56" s="115"/>
      <c r="FA56" s="664"/>
    </row>
    <row r="57" spans="2:157" x14ac:dyDescent="0.2">
      <c r="B57" s="186" t="s">
        <v>13</v>
      </c>
      <c r="C57" s="187">
        <f>SUM(C58:C59)</f>
        <v>567554.86</v>
      </c>
      <c r="D57" s="187">
        <f t="shared" ref="D57:BO57" si="125">SUM(D58:D59)</f>
        <v>3568518.34</v>
      </c>
      <c r="E57" s="187">
        <f t="shared" si="125"/>
        <v>19627997.260000002</v>
      </c>
      <c r="F57" s="187">
        <f t="shared" si="125"/>
        <v>25574481.100000001</v>
      </c>
      <c r="G57" s="187">
        <f t="shared" si="125"/>
        <v>28193570.054237291</v>
      </c>
      <c r="H57" s="187">
        <f t="shared" si="125"/>
        <v>18423431.926610172</v>
      </c>
      <c r="I57" s="187">
        <f t="shared" si="125"/>
        <v>38350283.770169489</v>
      </c>
      <c r="J57" s="187">
        <f t="shared" si="125"/>
        <v>25467344.127118647</v>
      </c>
      <c r="K57" s="187">
        <f t="shared" si="125"/>
        <v>37025326.219515741</v>
      </c>
      <c r="L57" s="187">
        <f t="shared" si="125"/>
        <v>33108725.875108957</v>
      </c>
      <c r="M57" s="187">
        <f t="shared" si="125"/>
        <v>9635988.0219854731</v>
      </c>
      <c r="N57" s="187">
        <f t="shared" si="125"/>
        <v>17269966.531924937</v>
      </c>
      <c r="O57" s="187">
        <f t="shared" si="125"/>
        <v>23881893.467240192</v>
      </c>
      <c r="P57" s="187">
        <f t="shared" si="125"/>
        <v>1449768.6532889223</v>
      </c>
      <c r="Q57" s="187">
        <f t="shared" si="125"/>
        <v>14417285.187073162</v>
      </c>
      <c r="R57" s="187">
        <f t="shared" si="125"/>
        <v>-3181504.7476271191</v>
      </c>
      <c r="S57" s="187">
        <f t="shared" si="125"/>
        <v>19918585.460660052</v>
      </c>
      <c r="T57" s="187">
        <f t="shared" si="125"/>
        <v>13131614.680319447</v>
      </c>
      <c r="U57" s="187">
        <f t="shared" si="125"/>
        <v>8810879.6169644073</v>
      </c>
      <c r="V57" s="187">
        <f t="shared" si="125"/>
        <v>8519021.4341627117</v>
      </c>
      <c r="W57" s="187">
        <f t="shared" si="125"/>
        <v>10904375.213249153</v>
      </c>
      <c r="X57" s="187">
        <f t="shared" si="125"/>
        <v>19897405.896610167</v>
      </c>
      <c r="Y57" s="187">
        <f t="shared" si="125"/>
        <v>16740710.362600001</v>
      </c>
      <c r="Z57" s="187">
        <f t="shared" si="125"/>
        <v>25906966.777244069</v>
      </c>
      <c r="AA57" s="187">
        <f t="shared" si="125"/>
        <v>30592643.226963595</v>
      </c>
      <c r="AB57" s="187">
        <f t="shared" si="125"/>
        <v>18411744.164928</v>
      </c>
      <c r="AC57" s="187">
        <f t="shared" si="125"/>
        <v>23414836.498111323</v>
      </c>
      <c r="AD57" s="187">
        <f t="shared" si="125"/>
        <v>17718139.204152696</v>
      </c>
      <c r="AE57" s="187">
        <f t="shared" si="125"/>
        <v>11144534.499279607</v>
      </c>
      <c r="AF57" s="187">
        <f t="shared" si="125"/>
        <v>16965027.140508518</v>
      </c>
      <c r="AG57" s="187">
        <f t="shared" si="125"/>
        <v>14467426.503165832</v>
      </c>
      <c r="AH57" s="187">
        <f t="shared" si="125"/>
        <v>9217607.874745762</v>
      </c>
      <c r="AI57" s="187">
        <f t="shared" si="125"/>
        <v>11608484.404555373</v>
      </c>
      <c r="AJ57" s="187">
        <f t="shared" si="125"/>
        <v>14462936.914483052</v>
      </c>
      <c r="AK57" s="187">
        <f t="shared" si="125"/>
        <v>34609820.338726021</v>
      </c>
      <c r="AL57" s="187">
        <f t="shared" si="125"/>
        <v>39825809.509338535</v>
      </c>
      <c r="AM57" s="187">
        <f t="shared" si="125"/>
        <v>46035474.462937295</v>
      </c>
      <c r="AN57" s="187">
        <f t="shared" si="125"/>
        <v>40570163.888050854</v>
      </c>
      <c r="AO57" s="187">
        <f t="shared" si="125"/>
        <v>22434622.31630712</v>
      </c>
      <c r="AP57" s="187">
        <f t="shared" si="125"/>
        <v>20283669.622786433</v>
      </c>
      <c r="AQ57" s="187">
        <f t="shared" si="125"/>
        <v>28939189.119999997</v>
      </c>
      <c r="AR57" s="187">
        <f t="shared" si="125"/>
        <v>41282058.211355932</v>
      </c>
      <c r="AS57" s="187">
        <f t="shared" si="125"/>
        <v>38086047.814258061</v>
      </c>
      <c r="AT57" s="187">
        <f t="shared" si="125"/>
        <v>26630422.798878059</v>
      </c>
      <c r="AU57" s="187">
        <f t="shared" si="125"/>
        <v>37069246.037288234</v>
      </c>
      <c r="AV57" s="187">
        <f t="shared" si="125"/>
        <v>64958206.340542555</v>
      </c>
      <c r="AW57" s="187">
        <f t="shared" si="125"/>
        <v>54846268.580953568</v>
      </c>
      <c r="AX57" s="187">
        <f t="shared" si="125"/>
        <v>46684647.817320563</v>
      </c>
      <c r="AY57" s="187">
        <f t="shared" si="125"/>
        <v>56413967.400088489</v>
      </c>
      <c r="AZ57" s="187">
        <f t="shared" si="125"/>
        <v>84010604.151122302</v>
      </c>
      <c r="BA57" s="187">
        <f t="shared" si="125"/>
        <v>146609504.9308483</v>
      </c>
      <c r="BB57" s="187">
        <f t="shared" si="125"/>
        <v>170202690.96853814</v>
      </c>
      <c r="BC57" s="187">
        <f t="shared" si="125"/>
        <v>151193818.36353105</v>
      </c>
      <c r="BD57" s="187">
        <f t="shared" si="125"/>
        <v>184384481.27297786</v>
      </c>
      <c r="BE57" s="187">
        <f t="shared" si="125"/>
        <v>129316113.17361262</v>
      </c>
      <c r="BF57" s="187">
        <f t="shared" si="125"/>
        <v>151046972.63811257</v>
      </c>
      <c r="BG57" s="187">
        <f t="shared" si="125"/>
        <v>169137702.70903161</v>
      </c>
      <c r="BH57" s="187">
        <f t="shared" si="125"/>
        <v>266025399.4436416</v>
      </c>
      <c r="BI57" s="187">
        <f t="shared" si="125"/>
        <v>206526281.09120148</v>
      </c>
      <c r="BJ57" s="187">
        <f t="shared" si="125"/>
        <v>195090152.98018441</v>
      </c>
      <c r="BK57" s="187">
        <f t="shared" si="125"/>
        <v>198583526.47927979</v>
      </c>
      <c r="BL57" s="187">
        <f t="shared" si="125"/>
        <v>144745153.16620427</v>
      </c>
      <c r="BM57" s="187">
        <f t="shared" si="125"/>
        <v>205035658.84594908</v>
      </c>
      <c r="BN57" s="187">
        <f t="shared" si="125"/>
        <v>197550488.25108179</v>
      </c>
      <c r="BO57" s="187">
        <f t="shared" si="125"/>
        <v>214649617.46269172</v>
      </c>
      <c r="BP57" s="187">
        <f t="shared" ref="BP57:DI57" si="126">SUM(BP58:BP59)</f>
        <v>222836291.86446032</v>
      </c>
      <c r="BQ57" s="187">
        <f t="shared" si="126"/>
        <v>233363267.62247545</v>
      </c>
      <c r="BR57" s="187">
        <f t="shared" si="126"/>
        <v>219461801.96896589</v>
      </c>
      <c r="BS57" s="187">
        <f t="shared" si="126"/>
        <v>228071512.58676764</v>
      </c>
      <c r="BT57" s="187">
        <f t="shared" si="126"/>
        <v>243721720.33042181</v>
      </c>
      <c r="BU57" s="187">
        <f t="shared" si="126"/>
        <v>213573487.86143905</v>
      </c>
      <c r="BV57" s="187">
        <f t="shared" si="126"/>
        <v>254730738.33033139</v>
      </c>
      <c r="BW57" s="187">
        <f t="shared" si="126"/>
        <v>285976699.31866157</v>
      </c>
      <c r="BX57" s="187">
        <f t="shared" si="126"/>
        <v>274484536.3285138</v>
      </c>
      <c r="BY57" s="187">
        <f t="shared" si="126"/>
        <v>367862022.80188572</v>
      </c>
      <c r="BZ57" s="187">
        <f t="shared" si="126"/>
        <v>314586640.51863635</v>
      </c>
      <c r="CA57" s="187">
        <f t="shared" si="126"/>
        <v>317371971.53114605</v>
      </c>
      <c r="CB57" s="187">
        <f t="shared" si="126"/>
        <v>313176777.91688687</v>
      </c>
      <c r="CC57" s="187">
        <f t="shared" si="126"/>
        <v>328141670.28745651</v>
      </c>
      <c r="CD57" s="187">
        <f t="shared" si="126"/>
        <v>290334825.41999924</v>
      </c>
      <c r="CE57" s="187">
        <f t="shared" si="126"/>
        <v>371393762.38670385</v>
      </c>
      <c r="CF57" s="187">
        <f t="shared" si="126"/>
        <v>317494668.38749188</v>
      </c>
      <c r="CG57" s="187">
        <f t="shared" si="126"/>
        <v>314749870.70059991</v>
      </c>
      <c r="CH57" s="187">
        <f t="shared" si="126"/>
        <v>378932992.90499932</v>
      </c>
      <c r="CI57" s="187">
        <f t="shared" si="126"/>
        <v>421892195.49063957</v>
      </c>
      <c r="CJ57" s="187">
        <f t="shared" si="126"/>
        <v>340471549.33775949</v>
      </c>
      <c r="CK57" s="187">
        <f t="shared" si="126"/>
        <v>403044260.86144972</v>
      </c>
      <c r="CL57" s="187">
        <f t="shared" si="126"/>
        <v>379133946.21853334</v>
      </c>
      <c r="CM57" s="187">
        <f t="shared" si="126"/>
        <v>382992641.60612327</v>
      </c>
      <c r="CN57" s="187">
        <f t="shared" si="126"/>
        <v>382718651.40108734</v>
      </c>
      <c r="CO57" s="187">
        <f t="shared" si="126"/>
        <v>388495278.22392923</v>
      </c>
      <c r="CP57" s="187">
        <f t="shared" si="126"/>
        <v>366073746.44515169</v>
      </c>
      <c r="CQ57" s="187">
        <f t="shared" si="126"/>
        <v>400459517.17716676</v>
      </c>
      <c r="CR57" s="187">
        <f t="shared" si="126"/>
        <v>389385746.3902961</v>
      </c>
      <c r="CS57" s="187">
        <f t="shared" si="126"/>
        <v>390299047.0737493</v>
      </c>
      <c r="CT57" s="187">
        <f t="shared" si="126"/>
        <v>479094706.02249217</v>
      </c>
      <c r="CU57" s="187">
        <f t="shared" si="126"/>
        <v>516220378.80486709</v>
      </c>
      <c r="CV57" s="187">
        <f t="shared" si="126"/>
        <v>442562678.68436193</v>
      </c>
      <c r="CW57" s="187">
        <f t="shared" si="126"/>
        <v>478227070.37321156</v>
      </c>
      <c r="CX57" s="187">
        <f t="shared" si="126"/>
        <v>449084159.29585272</v>
      </c>
      <c r="CY57" s="187">
        <f t="shared" si="126"/>
        <v>453654783.98245305</v>
      </c>
      <c r="CZ57" s="187">
        <f t="shared" si="126"/>
        <v>453330242.58458799</v>
      </c>
      <c r="DA57" s="187">
        <f t="shared" si="126"/>
        <v>460172657.05624413</v>
      </c>
      <c r="DB57" s="187">
        <f t="shared" si="126"/>
        <v>433614352.6642822</v>
      </c>
      <c r="DC57" s="187">
        <f t="shared" si="126"/>
        <v>474344298.09635407</v>
      </c>
      <c r="DD57" s="187">
        <f t="shared" si="126"/>
        <v>461227416.59930569</v>
      </c>
      <c r="DE57" s="187">
        <f t="shared" si="126"/>
        <v>462309221.25885612</v>
      </c>
      <c r="DF57" s="187">
        <f t="shared" si="126"/>
        <v>567487679.28364205</v>
      </c>
      <c r="DG57" s="187">
        <f t="shared" si="126"/>
        <v>611463038.69436514</v>
      </c>
      <c r="DH57" s="187">
        <f t="shared" si="126"/>
        <v>524215492.90162671</v>
      </c>
      <c r="DI57" s="187">
        <f t="shared" si="126"/>
        <v>566459964.85706913</v>
      </c>
      <c r="DJ57" s="187">
        <f t="shared" ref="DJ57:DU57" si="127">SUM(DJ58:DJ59)</f>
        <v>531940186.6859374</v>
      </c>
      <c r="DK57" s="187">
        <f t="shared" si="127"/>
        <v>537354091.62721562</v>
      </c>
      <c r="DL57" s="187">
        <f t="shared" si="127"/>
        <v>536969672.34144437</v>
      </c>
      <c r="DM57" s="187">
        <f t="shared" si="127"/>
        <v>545074512.28312111</v>
      </c>
      <c r="DN57" s="187">
        <f t="shared" si="127"/>
        <v>513616200.73084223</v>
      </c>
      <c r="DO57" s="187">
        <f t="shared" si="127"/>
        <v>561860821.0951314</v>
      </c>
      <c r="DP57" s="187">
        <f t="shared" si="127"/>
        <v>546323874.96187747</v>
      </c>
      <c r="DQ57" s="187">
        <f t="shared" si="127"/>
        <v>547605272.58111489</v>
      </c>
      <c r="DR57" s="187">
        <f t="shared" si="127"/>
        <v>672189156.11147392</v>
      </c>
      <c r="DS57" s="187">
        <f t="shared" si="127"/>
        <v>724277969.33347547</v>
      </c>
      <c r="DT57" s="187">
        <f t="shared" si="127"/>
        <v>620933251.34197676</v>
      </c>
      <c r="DU57" s="187">
        <f t="shared" si="127"/>
        <v>670971828.37319839</v>
      </c>
      <c r="DW57" s="187">
        <f>SUM(BB57:BD57)</f>
        <v>505780990.60504699</v>
      </c>
      <c r="DX57" s="667">
        <f>SUM(BE57:BG57)</f>
        <v>449500788.52075684</v>
      </c>
      <c r="DY57" s="187">
        <f>SUM(BH57:BJ57)</f>
        <v>667641833.51502752</v>
      </c>
      <c r="DZ57" s="187">
        <f>SUM(BK57:BM57)</f>
        <v>548364338.49143314</v>
      </c>
      <c r="EA57" s="187">
        <f>SUM(BN57:BP57)</f>
        <v>635036397.57823384</v>
      </c>
      <c r="EB57" s="187">
        <f>SUM(BQ57:BS57)</f>
        <v>680896582.17820895</v>
      </c>
      <c r="EC57" s="187">
        <f>SUM(BT57:BV57)</f>
        <v>712025946.52219224</v>
      </c>
      <c r="ED57" s="187">
        <f>SUM(BW57:BY57)</f>
        <v>928323258.44906104</v>
      </c>
      <c r="EE57" s="187">
        <f>SUM(BZ57:CB57)</f>
        <v>945135389.96666932</v>
      </c>
      <c r="EF57" s="187">
        <f>SUM(CC57:CE57)</f>
        <v>989870258.0941596</v>
      </c>
      <c r="EG57" s="187">
        <f>SUM(CF57:CH57)</f>
        <v>1011177531.9930911</v>
      </c>
      <c r="EH57" s="187">
        <f>SUM(CI57:CK57)</f>
        <v>1165408005.6898489</v>
      </c>
      <c r="EI57" s="187">
        <f>SUM(CL57:CN57)</f>
        <v>1144845239.225744</v>
      </c>
      <c r="EJ57" s="187">
        <f>SUM(CO57:CQ57)</f>
        <v>1155028541.8462477</v>
      </c>
      <c r="EK57" s="187">
        <f>SUM(CR57:CT57)</f>
        <v>1258779499.4865375</v>
      </c>
      <c r="EL57" s="187">
        <f>SUM(CU57:CW57)</f>
        <v>1437010127.8624406</v>
      </c>
      <c r="EM57" s="187">
        <f>SUM(CX57:CZ57)</f>
        <v>1356069185.8628938</v>
      </c>
      <c r="EN57" s="187">
        <f>SUM(DA57:DC57)</f>
        <v>1368131307.8168805</v>
      </c>
      <c r="EO57" s="649">
        <f>SUM(DD57:DF57)</f>
        <v>1491024317.1418037</v>
      </c>
      <c r="EP57" s="187">
        <f>SUM(DG57:DI57)</f>
        <v>1702138496.4530611</v>
      </c>
      <c r="EQ57" s="187">
        <f t="shared" ref="EQ57:EQ62" si="128">SUM(DJ57:DL57)</f>
        <v>1606263950.6545973</v>
      </c>
      <c r="ER57" s="187">
        <f t="shared" ref="ER57:ER62" si="129">SUM(DM57:DO57)</f>
        <v>1620551534.1090946</v>
      </c>
      <c r="ES57" s="187">
        <f t="shared" ref="ES57:ES62" si="130">SUM(DP57:DR57)</f>
        <v>1766118303.6544662</v>
      </c>
      <c r="ET57" s="187">
        <f t="shared" ref="ET57:ET62" si="131">SUM(DS57:DU57)</f>
        <v>2016183049.0486507</v>
      </c>
      <c r="EV57" s="187">
        <f>EV35-EV49</f>
        <v>2171287951.1322641</v>
      </c>
      <c r="EW57" s="187">
        <f t="shared" ref="EW57:FA57" si="132">EW35-EW49</f>
        <v>2956282184.7276959</v>
      </c>
      <c r="EX57" s="187">
        <f t="shared" si="132"/>
        <v>4111591185.7437692</v>
      </c>
      <c r="EY57" s="187">
        <f t="shared" si="132"/>
        <v>4995663408.420969</v>
      </c>
      <c r="EZ57" s="187">
        <f t="shared" si="132"/>
        <v>5917363307.2746391</v>
      </c>
      <c r="FA57" s="187">
        <f t="shared" si="132"/>
        <v>7009116837.4668093</v>
      </c>
    </row>
    <row r="58" spans="2:157" x14ac:dyDescent="0.2">
      <c r="B58" s="114" t="s">
        <v>132</v>
      </c>
      <c r="C58" s="130">
        <f>C36-C50</f>
        <v>0</v>
      </c>
      <c r="D58" s="130">
        <f t="shared" ref="D58:BO59" si="133">D36-D50</f>
        <v>0</v>
      </c>
      <c r="E58" s="130">
        <f t="shared" si="133"/>
        <v>0</v>
      </c>
      <c r="F58" s="130">
        <f t="shared" si="133"/>
        <v>0</v>
      </c>
      <c r="G58" s="130">
        <f t="shared" si="133"/>
        <v>0</v>
      </c>
      <c r="H58" s="130">
        <f t="shared" si="133"/>
        <v>0</v>
      </c>
      <c r="I58" s="130">
        <f t="shared" si="133"/>
        <v>0</v>
      </c>
      <c r="J58" s="130">
        <f t="shared" si="133"/>
        <v>0</v>
      </c>
      <c r="K58" s="130">
        <f t="shared" si="133"/>
        <v>0</v>
      </c>
      <c r="L58" s="130">
        <f t="shared" si="133"/>
        <v>0</v>
      </c>
      <c r="M58" s="130">
        <f t="shared" si="133"/>
        <v>0</v>
      </c>
      <c r="N58" s="130">
        <f t="shared" si="133"/>
        <v>0</v>
      </c>
      <c r="O58" s="130">
        <f t="shared" si="133"/>
        <v>0</v>
      </c>
      <c r="P58" s="130">
        <f t="shared" si="133"/>
        <v>0</v>
      </c>
      <c r="Q58" s="130">
        <f t="shared" si="133"/>
        <v>0</v>
      </c>
      <c r="R58" s="130">
        <f t="shared" si="133"/>
        <v>0</v>
      </c>
      <c r="S58" s="130">
        <f t="shared" si="133"/>
        <v>932312.1881355932</v>
      </c>
      <c r="T58" s="130">
        <f t="shared" si="133"/>
        <v>1022668.8288135593</v>
      </c>
      <c r="U58" s="130">
        <f t="shared" si="133"/>
        <v>511418.74966101698</v>
      </c>
      <c r="V58" s="130">
        <f t="shared" si="133"/>
        <v>473116.62847457628</v>
      </c>
      <c r="W58" s="130">
        <f t="shared" si="133"/>
        <v>923479.05474576273</v>
      </c>
      <c r="X58" s="130">
        <f t="shared" si="133"/>
        <v>1528433.0723728815</v>
      </c>
      <c r="Y58" s="130">
        <f t="shared" si="133"/>
        <v>860581.79016949155</v>
      </c>
      <c r="Z58" s="130">
        <f t="shared" si="133"/>
        <v>5145052.7286440674</v>
      </c>
      <c r="AA58" s="130">
        <f t="shared" si="133"/>
        <v>4012501.9966101693</v>
      </c>
      <c r="AB58" s="130">
        <f t="shared" si="133"/>
        <v>3401090.9731796607</v>
      </c>
      <c r="AC58" s="130">
        <f t="shared" si="133"/>
        <v>5005173.3336016946</v>
      </c>
      <c r="AD58" s="130">
        <f t="shared" si="133"/>
        <v>3417334.2820762713</v>
      </c>
      <c r="AE58" s="130">
        <f t="shared" si="133"/>
        <v>3379670.6720338976</v>
      </c>
      <c r="AF58" s="130">
        <f t="shared" si="133"/>
        <v>4671568.3139830464</v>
      </c>
      <c r="AG58" s="130">
        <f t="shared" si="133"/>
        <v>5125284.4350847453</v>
      </c>
      <c r="AH58" s="130">
        <f t="shared" si="133"/>
        <v>5081379.4215254234</v>
      </c>
      <c r="AI58" s="130">
        <f t="shared" si="133"/>
        <v>6363177.6359254066</v>
      </c>
      <c r="AJ58" s="130">
        <f t="shared" si="133"/>
        <v>3110138.7888474581</v>
      </c>
      <c r="AK58" s="130">
        <f t="shared" si="133"/>
        <v>12695000.082298389</v>
      </c>
      <c r="AL58" s="130">
        <f t="shared" si="133"/>
        <v>13881643.255315254</v>
      </c>
      <c r="AM58" s="130">
        <f t="shared" si="133"/>
        <v>21714514.960293222</v>
      </c>
      <c r="AN58" s="130">
        <f t="shared" si="133"/>
        <v>23532575.327711865</v>
      </c>
      <c r="AO58" s="130">
        <f t="shared" si="133"/>
        <v>18084439.825764745</v>
      </c>
      <c r="AP58" s="130">
        <f t="shared" si="133"/>
        <v>17743243.71685423</v>
      </c>
      <c r="AQ58" s="130">
        <f t="shared" si="133"/>
        <v>22571505.119999997</v>
      </c>
      <c r="AR58" s="130">
        <f t="shared" si="133"/>
        <v>37356443.28742373</v>
      </c>
      <c r="AS58" s="130">
        <f t="shared" si="133"/>
        <v>30983676.565952975</v>
      </c>
      <c r="AT58" s="130">
        <f t="shared" si="133"/>
        <v>21629841.467352636</v>
      </c>
      <c r="AU58" s="130">
        <f t="shared" si="133"/>
        <v>23202785.237288237</v>
      </c>
      <c r="AV58" s="130">
        <f t="shared" si="133"/>
        <v>46624355.738508657</v>
      </c>
      <c r="AW58" s="130">
        <f t="shared" si="133"/>
        <v>36024406.480508476</v>
      </c>
      <c r="AX58" s="130">
        <f t="shared" si="133"/>
        <v>33859102.817423955</v>
      </c>
      <c r="AY58" s="130">
        <f t="shared" si="133"/>
        <v>45001309.617037639</v>
      </c>
      <c r="AZ58" s="130">
        <f t="shared" si="133"/>
        <v>64503887.980444334</v>
      </c>
      <c r="BA58" s="130">
        <f t="shared" si="133"/>
        <v>119904852.21169575</v>
      </c>
      <c r="BB58" s="130">
        <f t="shared" si="133"/>
        <v>154381796.26548728</v>
      </c>
      <c r="BC58" s="130">
        <f t="shared" si="133"/>
        <v>153172337.21505648</v>
      </c>
      <c r="BD58" s="130">
        <f t="shared" si="133"/>
        <v>184557887.99162194</v>
      </c>
      <c r="BE58" s="130">
        <f t="shared" si="133"/>
        <v>129316113.17361262</v>
      </c>
      <c r="BF58" s="130">
        <f t="shared" si="133"/>
        <v>151046972.63811257</v>
      </c>
      <c r="BG58" s="130">
        <f t="shared" si="133"/>
        <v>169137702.70903161</v>
      </c>
      <c r="BH58" s="130">
        <f t="shared" si="133"/>
        <v>266025399.4436416</v>
      </c>
      <c r="BI58" s="130">
        <f t="shared" si="133"/>
        <v>206526281.09120148</v>
      </c>
      <c r="BJ58" s="130">
        <f t="shared" si="133"/>
        <v>195090152.98018441</v>
      </c>
      <c r="BK58" s="130">
        <f t="shared" si="133"/>
        <v>198583526.47927979</v>
      </c>
      <c r="BL58" s="130">
        <f t="shared" si="133"/>
        <v>144745153.16620427</v>
      </c>
      <c r="BM58" s="130">
        <f t="shared" si="133"/>
        <v>205035658.84594908</v>
      </c>
      <c r="BN58" s="130">
        <f t="shared" si="133"/>
        <v>197550488.25108179</v>
      </c>
      <c r="BO58" s="130">
        <f t="shared" si="133"/>
        <v>214649617.46269172</v>
      </c>
      <c r="BP58" s="130">
        <f t="shared" ref="BP58:DI59" si="134">BP36-BP50</f>
        <v>222836291.86446032</v>
      </c>
      <c r="BQ58" s="130">
        <f t="shared" si="134"/>
        <v>233363267.62247545</v>
      </c>
      <c r="BR58" s="130">
        <f t="shared" si="134"/>
        <v>219461801.96896589</v>
      </c>
      <c r="BS58" s="130">
        <f t="shared" si="134"/>
        <v>228071512.58676764</v>
      </c>
      <c r="BT58" s="130">
        <f t="shared" si="134"/>
        <v>243721720.33042181</v>
      </c>
      <c r="BU58" s="130">
        <f t="shared" si="134"/>
        <v>213573487.86143905</v>
      </c>
      <c r="BV58" s="130">
        <f t="shared" si="134"/>
        <v>254730738.33033139</v>
      </c>
      <c r="BW58" s="130">
        <f t="shared" si="134"/>
        <v>285976699.31866157</v>
      </c>
      <c r="BX58" s="130">
        <f t="shared" si="134"/>
        <v>274484536.3285138</v>
      </c>
      <c r="BY58" s="130">
        <f t="shared" si="134"/>
        <v>367862022.80188572</v>
      </c>
      <c r="BZ58" s="130">
        <f t="shared" si="134"/>
        <v>314586640.51863635</v>
      </c>
      <c r="CA58" s="130">
        <f t="shared" si="134"/>
        <v>317371971.53114605</v>
      </c>
      <c r="CB58" s="130">
        <f t="shared" si="134"/>
        <v>313176777.91688687</v>
      </c>
      <c r="CC58" s="130">
        <f t="shared" si="134"/>
        <v>328141670.28745651</v>
      </c>
      <c r="CD58" s="130">
        <f t="shared" si="134"/>
        <v>290334825.41999924</v>
      </c>
      <c r="CE58" s="130">
        <f t="shared" si="134"/>
        <v>371393762.38670385</v>
      </c>
      <c r="CF58" s="130">
        <f t="shared" si="134"/>
        <v>317494668.38749188</v>
      </c>
      <c r="CG58" s="130">
        <f t="shared" si="134"/>
        <v>314749870.70059991</v>
      </c>
      <c r="CH58" s="130">
        <f t="shared" si="134"/>
        <v>378932992.90499932</v>
      </c>
      <c r="CI58" s="130">
        <f t="shared" si="134"/>
        <v>421892195.49063957</v>
      </c>
      <c r="CJ58" s="130">
        <f t="shared" si="134"/>
        <v>340471549.33775949</v>
      </c>
      <c r="CK58" s="130">
        <f t="shared" si="134"/>
        <v>403044260.86144972</v>
      </c>
      <c r="CL58" s="130">
        <f t="shared" si="134"/>
        <v>379133946.21853334</v>
      </c>
      <c r="CM58" s="130">
        <f t="shared" si="134"/>
        <v>382992641.60612327</v>
      </c>
      <c r="CN58" s="130">
        <f t="shared" si="134"/>
        <v>382718651.40108734</v>
      </c>
      <c r="CO58" s="130">
        <f t="shared" si="134"/>
        <v>388495278.22392923</v>
      </c>
      <c r="CP58" s="130">
        <f t="shared" si="134"/>
        <v>366073746.44515169</v>
      </c>
      <c r="CQ58" s="130">
        <f t="shared" si="134"/>
        <v>400459517.17716676</v>
      </c>
      <c r="CR58" s="130">
        <f t="shared" si="134"/>
        <v>389385746.3902961</v>
      </c>
      <c r="CS58" s="130">
        <f t="shared" si="134"/>
        <v>390299047.0737493</v>
      </c>
      <c r="CT58" s="130">
        <f t="shared" si="134"/>
        <v>479094706.02249217</v>
      </c>
      <c r="CU58" s="130">
        <f t="shared" si="134"/>
        <v>516220378.80486709</v>
      </c>
      <c r="CV58" s="130">
        <f t="shared" si="134"/>
        <v>442562678.68436193</v>
      </c>
      <c r="CW58" s="130">
        <f t="shared" si="134"/>
        <v>478227070.37321156</v>
      </c>
      <c r="CX58" s="130">
        <f t="shared" si="134"/>
        <v>449084159.29585272</v>
      </c>
      <c r="CY58" s="130">
        <f t="shared" si="134"/>
        <v>453654783.98245305</v>
      </c>
      <c r="CZ58" s="130">
        <f t="shared" si="134"/>
        <v>453330242.58458799</v>
      </c>
      <c r="DA58" s="130">
        <f t="shared" si="134"/>
        <v>460172657.05624413</v>
      </c>
      <c r="DB58" s="130">
        <f t="shared" si="134"/>
        <v>433614352.6642822</v>
      </c>
      <c r="DC58" s="130">
        <f t="shared" si="134"/>
        <v>474344298.09635407</v>
      </c>
      <c r="DD58" s="130">
        <f t="shared" si="134"/>
        <v>461227416.59930569</v>
      </c>
      <c r="DE58" s="130">
        <f t="shared" si="134"/>
        <v>462309221.25885612</v>
      </c>
      <c r="DF58" s="130">
        <f t="shared" si="134"/>
        <v>567487679.28364205</v>
      </c>
      <c r="DG58" s="130">
        <f t="shared" si="134"/>
        <v>611463038.69436514</v>
      </c>
      <c r="DH58" s="130">
        <f t="shared" si="134"/>
        <v>524215492.90162671</v>
      </c>
      <c r="DI58" s="130">
        <f t="shared" si="134"/>
        <v>566459964.85706913</v>
      </c>
      <c r="DJ58" s="130">
        <f t="shared" ref="DJ58:DU58" si="135">DJ36-DJ50</f>
        <v>531940186.6859374</v>
      </c>
      <c r="DK58" s="130">
        <f t="shared" si="135"/>
        <v>537354091.62721562</v>
      </c>
      <c r="DL58" s="130">
        <f t="shared" si="135"/>
        <v>536969672.34144437</v>
      </c>
      <c r="DM58" s="130">
        <f t="shared" si="135"/>
        <v>545074512.28312111</v>
      </c>
      <c r="DN58" s="130">
        <f t="shared" si="135"/>
        <v>513616200.73084223</v>
      </c>
      <c r="DO58" s="130">
        <f t="shared" si="135"/>
        <v>561860821.0951314</v>
      </c>
      <c r="DP58" s="130">
        <f t="shared" si="135"/>
        <v>546323874.96187747</v>
      </c>
      <c r="DQ58" s="130">
        <f t="shared" si="135"/>
        <v>547605272.58111489</v>
      </c>
      <c r="DR58" s="130">
        <f t="shared" si="135"/>
        <v>672189156.11147392</v>
      </c>
      <c r="DS58" s="130">
        <f t="shared" si="135"/>
        <v>724277969.33347547</v>
      </c>
      <c r="DT58" s="130">
        <f t="shared" si="135"/>
        <v>620933251.34197676</v>
      </c>
      <c r="DU58" s="130">
        <f t="shared" si="135"/>
        <v>670971828.37319839</v>
      </c>
      <c r="DW58" s="130">
        <f>SUM(BB58:BD58)</f>
        <v>492112021.4721657</v>
      </c>
      <c r="DX58" s="669">
        <f>SUM(BE58:BG58)</f>
        <v>449500788.52075684</v>
      </c>
      <c r="DY58" s="130">
        <f>SUM(BH58:BJ58)</f>
        <v>667641833.51502752</v>
      </c>
      <c r="DZ58" s="130">
        <f>SUM(BK58:BM58)</f>
        <v>548364338.49143314</v>
      </c>
      <c r="EA58" s="130">
        <f>SUM(BN58:BP58)</f>
        <v>635036397.57823384</v>
      </c>
      <c r="EB58" s="130">
        <f>SUM(BQ58:BS58)</f>
        <v>680896582.17820895</v>
      </c>
      <c r="EC58" s="130">
        <f>SUM(BT58:BV58)</f>
        <v>712025946.52219224</v>
      </c>
      <c r="ED58" s="130">
        <f>SUM(BW58:BY58)</f>
        <v>928323258.44906104</v>
      </c>
      <c r="EE58" s="130">
        <f>SUM(BZ58:CB58)</f>
        <v>945135389.96666932</v>
      </c>
      <c r="EF58" s="130">
        <f>SUM(CC58:CE58)</f>
        <v>989870258.0941596</v>
      </c>
      <c r="EG58" s="130">
        <f>SUM(CF58:CH58)</f>
        <v>1011177531.9930911</v>
      </c>
      <c r="EH58" s="130">
        <f>SUM(CI58:CK58)</f>
        <v>1165408005.6898489</v>
      </c>
      <c r="EI58" s="130">
        <f>SUM(CL58:CN58)</f>
        <v>1144845239.225744</v>
      </c>
      <c r="EJ58" s="130">
        <f>SUM(CO58:CQ58)</f>
        <v>1155028541.8462477</v>
      </c>
      <c r="EK58" s="130">
        <f>SUM(CR58:CT58)</f>
        <v>1258779499.4865375</v>
      </c>
      <c r="EL58" s="130">
        <f>SUM(CU58:CW58)</f>
        <v>1437010127.8624406</v>
      </c>
      <c r="EM58" s="130">
        <f>SUM(CX58:CZ58)</f>
        <v>1356069185.8628938</v>
      </c>
      <c r="EN58" s="130">
        <f>SUM(DA58:DC58)</f>
        <v>1368131307.8168805</v>
      </c>
      <c r="EO58" s="650">
        <f>SUM(DD58:DF58)</f>
        <v>1491024317.1418037</v>
      </c>
      <c r="EP58" s="130">
        <f>SUM(DG58:DI58)</f>
        <v>1702138496.4530611</v>
      </c>
      <c r="EQ58" s="130">
        <f t="shared" si="128"/>
        <v>1606263950.6545973</v>
      </c>
      <c r="ER58" s="130">
        <f t="shared" si="129"/>
        <v>1620551534.1090946</v>
      </c>
      <c r="ES58" s="130">
        <f t="shared" si="130"/>
        <v>1766118303.6544662</v>
      </c>
      <c r="ET58" s="130">
        <f t="shared" si="131"/>
        <v>2016183049.0486507</v>
      </c>
      <c r="EV58" s="130">
        <f t="shared" ref="EV58:FA59" si="136">EV36-EV50</f>
        <v>2157618981.999383</v>
      </c>
      <c r="EW58" s="130">
        <f t="shared" si="136"/>
        <v>2956282184.7276959</v>
      </c>
      <c r="EX58" s="130">
        <f t="shared" si="136"/>
        <v>4111591185.7437692</v>
      </c>
      <c r="EY58" s="130">
        <f t="shared" si="136"/>
        <v>4995663408.420969</v>
      </c>
      <c r="EZ58" s="130">
        <f t="shared" si="136"/>
        <v>5917363307.2746391</v>
      </c>
      <c r="FA58" s="130">
        <f t="shared" si="136"/>
        <v>7009116837.4668093</v>
      </c>
    </row>
    <row r="59" spans="2:157" x14ac:dyDescent="0.2">
      <c r="B59" s="114" t="s">
        <v>133</v>
      </c>
      <c r="C59" s="130">
        <f>C37-C51</f>
        <v>567554.86</v>
      </c>
      <c r="D59" s="130">
        <f t="shared" si="133"/>
        <v>3568518.34</v>
      </c>
      <c r="E59" s="130">
        <f t="shared" si="133"/>
        <v>19627997.260000002</v>
      </c>
      <c r="F59" s="130">
        <f t="shared" si="133"/>
        <v>25574481.100000001</v>
      </c>
      <c r="G59" s="130">
        <f t="shared" si="133"/>
        <v>28193570.054237291</v>
      </c>
      <c r="H59" s="130">
        <f t="shared" si="133"/>
        <v>18423431.926610172</v>
      </c>
      <c r="I59" s="130">
        <f t="shared" si="133"/>
        <v>38350283.770169489</v>
      </c>
      <c r="J59" s="130">
        <f t="shared" si="133"/>
        <v>25467344.127118647</v>
      </c>
      <c r="K59" s="130">
        <f t="shared" si="133"/>
        <v>37025326.219515741</v>
      </c>
      <c r="L59" s="130">
        <f t="shared" si="133"/>
        <v>33108725.875108957</v>
      </c>
      <c r="M59" s="130">
        <f t="shared" si="133"/>
        <v>9635988.0219854731</v>
      </c>
      <c r="N59" s="130">
        <f t="shared" si="133"/>
        <v>17269966.531924937</v>
      </c>
      <c r="O59" s="130">
        <f t="shared" si="133"/>
        <v>23881893.467240192</v>
      </c>
      <c r="P59" s="130">
        <f t="shared" si="133"/>
        <v>1449768.6532889223</v>
      </c>
      <c r="Q59" s="130">
        <f t="shared" si="133"/>
        <v>14417285.187073162</v>
      </c>
      <c r="R59" s="130">
        <f t="shared" si="133"/>
        <v>-3181504.7476271191</v>
      </c>
      <c r="S59" s="130">
        <f t="shared" si="133"/>
        <v>18986273.272524457</v>
      </c>
      <c r="T59" s="130">
        <f t="shared" si="133"/>
        <v>12108945.851505889</v>
      </c>
      <c r="U59" s="130">
        <f t="shared" si="133"/>
        <v>8299460.8673033901</v>
      </c>
      <c r="V59" s="130">
        <f t="shared" si="133"/>
        <v>8045904.8056881353</v>
      </c>
      <c r="W59" s="130">
        <f t="shared" si="133"/>
        <v>9980896.158503389</v>
      </c>
      <c r="X59" s="130">
        <f t="shared" si="133"/>
        <v>18368972.824237287</v>
      </c>
      <c r="Y59" s="130">
        <f t="shared" si="133"/>
        <v>15880128.572430508</v>
      </c>
      <c r="Z59" s="130">
        <f t="shared" si="133"/>
        <v>20761914.048599999</v>
      </c>
      <c r="AA59" s="130">
        <f t="shared" si="133"/>
        <v>26580141.230353426</v>
      </c>
      <c r="AB59" s="130">
        <f t="shared" si="133"/>
        <v>15010653.19174834</v>
      </c>
      <c r="AC59" s="130">
        <f t="shared" si="133"/>
        <v>18409663.164509628</v>
      </c>
      <c r="AD59" s="130">
        <f t="shared" si="133"/>
        <v>14300804.922076425</v>
      </c>
      <c r="AE59" s="130">
        <f t="shared" si="133"/>
        <v>7764863.8272457104</v>
      </c>
      <c r="AF59" s="130">
        <f t="shared" si="133"/>
        <v>12293458.82652547</v>
      </c>
      <c r="AG59" s="130">
        <f t="shared" si="133"/>
        <v>9342142.0680810865</v>
      </c>
      <c r="AH59" s="130">
        <f t="shared" si="133"/>
        <v>4136228.4532203386</v>
      </c>
      <c r="AI59" s="130">
        <f t="shared" si="133"/>
        <v>5245306.7686299654</v>
      </c>
      <c r="AJ59" s="130">
        <f t="shared" si="133"/>
        <v>11352798.125635594</v>
      </c>
      <c r="AK59" s="130">
        <f t="shared" si="133"/>
        <v>21914820.256427635</v>
      </c>
      <c r="AL59" s="130">
        <f t="shared" si="133"/>
        <v>25944166.25402328</v>
      </c>
      <c r="AM59" s="130">
        <f t="shared" si="133"/>
        <v>24320959.502644077</v>
      </c>
      <c r="AN59" s="130">
        <f t="shared" si="133"/>
        <v>17037588.560338985</v>
      </c>
      <c r="AO59" s="130">
        <f t="shared" si="133"/>
        <v>4350182.4905423727</v>
      </c>
      <c r="AP59" s="130">
        <f t="shared" si="133"/>
        <v>2540425.9059322029</v>
      </c>
      <c r="AQ59" s="130">
        <f t="shared" si="133"/>
        <v>6367684</v>
      </c>
      <c r="AR59" s="130">
        <f t="shared" si="133"/>
        <v>3925614.9239322036</v>
      </c>
      <c r="AS59" s="130">
        <f t="shared" si="133"/>
        <v>7102371.248305086</v>
      </c>
      <c r="AT59" s="130">
        <f t="shared" si="133"/>
        <v>5000581.3315254236</v>
      </c>
      <c r="AU59" s="130">
        <f t="shared" si="133"/>
        <v>13866460.799999999</v>
      </c>
      <c r="AV59" s="130">
        <f t="shared" si="133"/>
        <v>18333850.602033898</v>
      </c>
      <c r="AW59" s="130">
        <f t="shared" si="133"/>
        <v>18821862.100445088</v>
      </c>
      <c r="AX59" s="130">
        <f t="shared" si="133"/>
        <v>12825544.99989661</v>
      </c>
      <c r="AY59" s="130">
        <f t="shared" si="133"/>
        <v>11412657.783050846</v>
      </c>
      <c r="AZ59" s="130">
        <f t="shared" si="133"/>
        <v>19506716.170677967</v>
      </c>
      <c r="BA59" s="130">
        <f t="shared" si="133"/>
        <v>26704652.719152544</v>
      </c>
      <c r="BB59" s="130">
        <f t="shared" si="133"/>
        <v>15820894.703050848</v>
      </c>
      <c r="BC59" s="130">
        <f t="shared" si="133"/>
        <v>-1978518.8515254236</v>
      </c>
      <c r="BD59" s="130">
        <f t="shared" si="133"/>
        <v>-173406.71864406779</v>
      </c>
      <c r="BE59" s="130">
        <f t="shared" si="133"/>
        <v>0</v>
      </c>
      <c r="BF59" s="130">
        <f t="shared" si="133"/>
        <v>0</v>
      </c>
      <c r="BG59" s="130">
        <f t="shared" si="133"/>
        <v>0</v>
      </c>
      <c r="BH59" s="130">
        <f t="shared" si="133"/>
        <v>0</v>
      </c>
      <c r="BI59" s="130">
        <f t="shared" si="133"/>
        <v>0</v>
      </c>
      <c r="BJ59" s="130">
        <f t="shared" si="133"/>
        <v>0</v>
      </c>
      <c r="BK59" s="130">
        <f t="shared" si="133"/>
        <v>0</v>
      </c>
      <c r="BL59" s="130">
        <f t="shared" si="133"/>
        <v>0</v>
      </c>
      <c r="BM59" s="130">
        <f t="shared" si="133"/>
        <v>0</v>
      </c>
      <c r="BN59" s="130">
        <f t="shared" si="133"/>
        <v>0</v>
      </c>
      <c r="BO59" s="130">
        <f t="shared" si="133"/>
        <v>0</v>
      </c>
      <c r="BP59" s="130">
        <f t="shared" si="134"/>
        <v>0</v>
      </c>
      <c r="BQ59" s="130">
        <f t="shared" si="134"/>
        <v>0</v>
      </c>
      <c r="BR59" s="130">
        <f t="shared" si="134"/>
        <v>0</v>
      </c>
      <c r="BS59" s="130">
        <f t="shared" si="134"/>
        <v>0</v>
      </c>
      <c r="BT59" s="130">
        <f t="shared" si="134"/>
        <v>0</v>
      </c>
      <c r="BU59" s="130">
        <f t="shared" si="134"/>
        <v>0</v>
      </c>
      <c r="BV59" s="130">
        <f t="shared" si="134"/>
        <v>0</v>
      </c>
      <c r="BW59" s="130">
        <f t="shared" si="134"/>
        <v>0</v>
      </c>
      <c r="BX59" s="130">
        <f t="shared" si="134"/>
        <v>0</v>
      </c>
      <c r="BY59" s="130">
        <f t="shared" si="134"/>
        <v>0</v>
      </c>
      <c r="BZ59" s="130">
        <f t="shared" si="134"/>
        <v>0</v>
      </c>
      <c r="CA59" s="130">
        <f t="shared" si="134"/>
        <v>0</v>
      </c>
      <c r="CB59" s="130">
        <f t="shared" si="134"/>
        <v>0</v>
      </c>
      <c r="CC59" s="130">
        <f t="shared" si="134"/>
        <v>0</v>
      </c>
      <c r="CD59" s="130">
        <f t="shared" si="134"/>
        <v>0</v>
      </c>
      <c r="CE59" s="130">
        <f t="shared" si="134"/>
        <v>0</v>
      </c>
      <c r="CF59" s="130">
        <f t="shared" si="134"/>
        <v>0</v>
      </c>
      <c r="CG59" s="130">
        <f t="shared" si="134"/>
        <v>0</v>
      </c>
      <c r="CH59" s="130">
        <f t="shared" si="134"/>
        <v>0</v>
      </c>
      <c r="CI59" s="130">
        <f t="shared" si="134"/>
        <v>0</v>
      </c>
      <c r="CJ59" s="130">
        <f t="shared" si="134"/>
        <v>0</v>
      </c>
      <c r="CK59" s="130">
        <f t="shared" si="134"/>
        <v>0</v>
      </c>
      <c r="CL59" s="130">
        <f t="shared" si="134"/>
        <v>0</v>
      </c>
      <c r="CM59" s="130">
        <f t="shared" si="134"/>
        <v>0</v>
      </c>
      <c r="CN59" s="130">
        <f t="shared" si="134"/>
        <v>0</v>
      </c>
      <c r="CO59" s="130">
        <f t="shared" si="134"/>
        <v>0</v>
      </c>
      <c r="CP59" s="130">
        <f t="shared" si="134"/>
        <v>0</v>
      </c>
      <c r="CQ59" s="130">
        <f t="shared" si="134"/>
        <v>0</v>
      </c>
      <c r="CR59" s="130">
        <f t="shared" si="134"/>
        <v>0</v>
      </c>
      <c r="CS59" s="130">
        <f t="shared" si="134"/>
        <v>0</v>
      </c>
      <c r="CT59" s="130">
        <f t="shared" si="134"/>
        <v>0</v>
      </c>
      <c r="CU59" s="130">
        <f t="shared" si="134"/>
        <v>0</v>
      </c>
      <c r="CV59" s="130">
        <f t="shared" si="134"/>
        <v>0</v>
      </c>
      <c r="CW59" s="130">
        <f t="shared" si="134"/>
        <v>0</v>
      </c>
      <c r="CX59" s="130">
        <f t="shared" si="134"/>
        <v>0</v>
      </c>
      <c r="CY59" s="130">
        <f t="shared" si="134"/>
        <v>0</v>
      </c>
      <c r="CZ59" s="130">
        <f t="shared" si="134"/>
        <v>0</v>
      </c>
      <c r="DA59" s="130">
        <f t="shared" si="134"/>
        <v>0</v>
      </c>
      <c r="DB59" s="130">
        <f t="shared" si="134"/>
        <v>0</v>
      </c>
      <c r="DC59" s="130">
        <f t="shared" si="134"/>
        <v>0</v>
      </c>
      <c r="DD59" s="130">
        <f t="shared" si="134"/>
        <v>0</v>
      </c>
      <c r="DE59" s="130">
        <f t="shared" si="134"/>
        <v>0</v>
      </c>
      <c r="DF59" s="130">
        <f t="shared" si="134"/>
        <v>0</v>
      </c>
      <c r="DG59" s="130">
        <f t="shared" si="134"/>
        <v>0</v>
      </c>
      <c r="DH59" s="130">
        <f t="shared" si="134"/>
        <v>0</v>
      </c>
      <c r="DI59" s="130">
        <f t="shared" si="134"/>
        <v>0</v>
      </c>
      <c r="DJ59" s="130">
        <f t="shared" ref="DJ59:DU59" si="137">DJ37-DJ51</f>
        <v>0</v>
      </c>
      <c r="DK59" s="130">
        <f t="shared" si="137"/>
        <v>0</v>
      </c>
      <c r="DL59" s="130">
        <f t="shared" si="137"/>
        <v>0</v>
      </c>
      <c r="DM59" s="130">
        <f t="shared" si="137"/>
        <v>0</v>
      </c>
      <c r="DN59" s="130">
        <f t="shared" si="137"/>
        <v>0</v>
      </c>
      <c r="DO59" s="130">
        <f t="shared" si="137"/>
        <v>0</v>
      </c>
      <c r="DP59" s="130">
        <f t="shared" si="137"/>
        <v>0</v>
      </c>
      <c r="DQ59" s="130">
        <f t="shared" si="137"/>
        <v>0</v>
      </c>
      <c r="DR59" s="130">
        <f t="shared" si="137"/>
        <v>0</v>
      </c>
      <c r="DS59" s="130">
        <f t="shared" si="137"/>
        <v>0</v>
      </c>
      <c r="DT59" s="130">
        <f t="shared" si="137"/>
        <v>0</v>
      </c>
      <c r="DU59" s="130">
        <f t="shared" si="137"/>
        <v>0</v>
      </c>
      <c r="DW59" s="130">
        <f>SUM(BB59:BD59)</f>
        <v>13668969.132881356</v>
      </c>
      <c r="DX59" s="669">
        <f>SUM(BE59:BG59)</f>
        <v>0</v>
      </c>
      <c r="DY59" s="130">
        <f>SUM(BH59:BJ59)</f>
        <v>0</v>
      </c>
      <c r="DZ59" s="130">
        <f>SUM(BK59:BM59)</f>
        <v>0</v>
      </c>
      <c r="EA59" s="130">
        <f>SUM(BN59:BP59)</f>
        <v>0</v>
      </c>
      <c r="EB59" s="130">
        <f>SUM(BQ59:BS59)</f>
        <v>0</v>
      </c>
      <c r="EC59" s="130">
        <f>SUM(BT59:BV59)</f>
        <v>0</v>
      </c>
      <c r="ED59" s="130">
        <f>SUM(BW59:BY59)</f>
        <v>0</v>
      </c>
      <c r="EE59" s="130">
        <f>SUM(BZ59:CB59)</f>
        <v>0</v>
      </c>
      <c r="EF59" s="130">
        <f>SUM(CC59:CE59)</f>
        <v>0</v>
      </c>
      <c r="EG59" s="130">
        <f>SUM(CF59:CH59)</f>
        <v>0</v>
      </c>
      <c r="EH59" s="130">
        <f>SUM(CI59:CK59)</f>
        <v>0</v>
      </c>
      <c r="EI59" s="130">
        <f>SUM(CL59:CN59)</f>
        <v>0</v>
      </c>
      <c r="EJ59" s="130">
        <f>SUM(CO59:CQ59)</f>
        <v>0</v>
      </c>
      <c r="EK59" s="130">
        <f>SUM(CR59:CT59)</f>
        <v>0</v>
      </c>
      <c r="EL59" s="130">
        <f>SUM(CU59:CW59)</f>
        <v>0</v>
      </c>
      <c r="EM59" s="130">
        <f>SUM(CX59:CZ59)</f>
        <v>0</v>
      </c>
      <c r="EN59" s="130">
        <f>SUM(DA59:DC59)</f>
        <v>0</v>
      </c>
      <c r="EO59" s="650">
        <f>SUM(DD59:DF59)</f>
        <v>0</v>
      </c>
      <c r="EP59" s="130">
        <f>SUM(DG59:DI59)</f>
        <v>0</v>
      </c>
      <c r="EQ59" s="130">
        <f t="shared" si="128"/>
        <v>0</v>
      </c>
      <c r="ER59" s="130">
        <f t="shared" si="129"/>
        <v>0</v>
      </c>
      <c r="ES59" s="130">
        <f t="shared" si="130"/>
        <v>0</v>
      </c>
      <c r="ET59" s="130">
        <f t="shared" si="131"/>
        <v>0</v>
      </c>
      <c r="EV59" s="130">
        <f t="shared" si="136"/>
        <v>14334890</v>
      </c>
      <c r="EW59" s="130">
        <f t="shared" si="136"/>
        <v>0</v>
      </c>
      <c r="EX59" s="130">
        <f t="shared" si="136"/>
        <v>0</v>
      </c>
      <c r="EY59" s="130">
        <f t="shared" si="136"/>
        <v>0</v>
      </c>
      <c r="EZ59" s="130">
        <f t="shared" si="136"/>
        <v>0</v>
      </c>
      <c r="FA59" s="130">
        <f t="shared" si="136"/>
        <v>0</v>
      </c>
    </row>
    <row r="60" spans="2:157" x14ac:dyDescent="0.2">
      <c r="B60" s="117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  <c r="BP60" s="115"/>
      <c r="BQ60" s="115"/>
      <c r="BR60" s="115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115"/>
      <c r="CD60" s="115"/>
      <c r="CE60" s="115"/>
      <c r="CF60" s="115"/>
      <c r="CG60" s="115"/>
      <c r="CH60" s="115"/>
      <c r="CI60" s="115"/>
      <c r="CJ60" s="115"/>
      <c r="CK60" s="115"/>
      <c r="CL60" s="115"/>
      <c r="CM60" s="115"/>
      <c r="CN60" s="115"/>
      <c r="CO60" s="115"/>
      <c r="CP60" s="115"/>
      <c r="CQ60" s="115"/>
      <c r="CR60" s="115"/>
      <c r="CS60" s="115"/>
      <c r="CT60" s="115"/>
      <c r="CU60" s="115"/>
      <c r="CV60" s="115"/>
      <c r="CW60" s="115"/>
      <c r="CX60" s="115"/>
      <c r="CY60" s="115"/>
      <c r="CZ60" s="115"/>
      <c r="DA60" s="115"/>
      <c r="DB60" s="115"/>
      <c r="DC60" s="115"/>
      <c r="DD60" s="115"/>
      <c r="DE60" s="115"/>
      <c r="DF60" s="115"/>
      <c r="DG60" s="115"/>
      <c r="DH60" s="115"/>
      <c r="DI60" s="115"/>
      <c r="DJ60" s="115"/>
      <c r="DK60" s="115"/>
      <c r="DL60" s="115"/>
      <c r="DM60" s="115"/>
      <c r="DN60" s="115"/>
      <c r="DO60" s="115"/>
      <c r="DP60" s="115"/>
      <c r="DQ60" s="115"/>
      <c r="DR60" s="115"/>
      <c r="DS60" s="115"/>
      <c r="DT60" s="115"/>
      <c r="DU60" s="115"/>
      <c r="DW60" s="115"/>
      <c r="DX60" s="664"/>
      <c r="DY60" s="115"/>
      <c r="DZ60" s="115"/>
      <c r="EA60" s="115"/>
      <c r="EB60" s="115"/>
      <c r="EC60" s="115"/>
      <c r="ED60" s="115"/>
      <c r="EE60" s="115"/>
      <c r="EF60" s="115"/>
      <c r="EG60" s="115"/>
      <c r="EH60" s="115"/>
      <c r="EI60" s="115"/>
      <c r="EJ60" s="115"/>
      <c r="EK60" s="115"/>
      <c r="EL60" s="115"/>
      <c r="EM60" s="115"/>
      <c r="EN60" s="115"/>
      <c r="EO60" s="645"/>
      <c r="EP60" s="115"/>
      <c r="EQ60" s="115"/>
      <c r="ER60" s="115"/>
      <c r="ES60" s="115"/>
      <c r="ET60" s="115"/>
      <c r="EV60" s="115"/>
      <c r="EW60" s="115"/>
      <c r="EX60" s="115"/>
      <c r="EY60" s="115"/>
      <c r="EZ60" s="115"/>
      <c r="FA60" s="664"/>
    </row>
    <row r="61" spans="2:157" x14ac:dyDescent="0.2">
      <c r="B61" s="114" t="s">
        <v>139</v>
      </c>
      <c r="C61" s="130">
        <f>C39-C54</f>
        <v>567554.86</v>
      </c>
      <c r="D61" s="130">
        <f t="shared" ref="D61:BO61" si="138">D39-D54</f>
        <v>3568518.34</v>
      </c>
      <c r="E61" s="130">
        <f t="shared" si="138"/>
        <v>19627997.260000002</v>
      </c>
      <c r="F61" s="130">
        <f t="shared" si="138"/>
        <v>25574481.100000001</v>
      </c>
      <c r="G61" s="130">
        <f t="shared" si="138"/>
        <v>28193570.054237291</v>
      </c>
      <c r="H61" s="130">
        <f t="shared" si="138"/>
        <v>18423431.926610172</v>
      </c>
      <c r="I61" s="130">
        <f t="shared" si="138"/>
        <v>38350283.770169489</v>
      </c>
      <c r="J61" s="130">
        <f t="shared" si="138"/>
        <v>25467344.127118647</v>
      </c>
      <c r="K61" s="130">
        <f t="shared" si="138"/>
        <v>37025326.219515741</v>
      </c>
      <c r="L61" s="130">
        <f t="shared" si="138"/>
        <v>33108725.875108957</v>
      </c>
      <c r="M61" s="130">
        <f t="shared" si="138"/>
        <v>9635988.0219854731</v>
      </c>
      <c r="N61" s="130">
        <f t="shared" si="138"/>
        <v>17269966.531924937</v>
      </c>
      <c r="O61" s="130">
        <f t="shared" si="138"/>
        <v>23881893.467240192</v>
      </c>
      <c r="P61" s="130">
        <f t="shared" si="138"/>
        <v>1449768.6532889223</v>
      </c>
      <c r="Q61" s="130">
        <f t="shared" si="138"/>
        <v>14417285.187073162</v>
      </c>
      <c r="R61" s="130">
        <f t="shared" si="138"/>
        <v>-3181504.7476271191</v>
      </c>
      <c r="S61" s="130">
        <f t="shared" si="138"/>
        <v>19918585.460660048</v>
      </c>
      <c r="T61" s="130">
        <f t="shared" si="138"/>
        <v>13131614.680319447</v>
      </c>
      <c r="U61" s="130">
        <f t="shared" si="138"/>
        <v>8810879.6169644073</v>
      </c>
      <c r="V61" s="130">
        <f t="shared" si="138"/>
        <v>8519021.4341627117</v>
      </c>
      <c r="W61" s="130">
        <f t="shared" si="138"/>
        <v>10904375.213249153</v>
      </c>
      <c r="X61" s="130">
        <f t="shared" si="138"/>
        <v>19897405.896610171</v>
      </c>
      <c r="Y61" s="130">
        <f t="shared" si="138"/>
        <v>16740710.362600001</v>
      </c>
      <c r="Z61" s="130">
        <f t="shared" si="138"/>
        <v>25906966.777244069</v>
      </c>
      <c r="AA61" s="130">
        <f t="shared" si="138"/>
        <v>30592643.226963595</v>
      </c>
      <c r="AB61" s="130">
        <f t="shared" si="138"/>
        <v>18411744.164928</v>
      </c>
      <c r="AC61" s="130">
        <f t="shared" si="138"/>
        <v>23414836.498111323</v>
      </c>
      <c r="AD61" s="130">
        <f t="shared" si="138"/>
        <v>17718139.204152696</v>
      </c>
      <c r="AE61" s="130">
        <f t="shared" si="138"/>
        <v>11144534.499279607</v>
      </c>
      <c r="AF61" s="130">
        <f t="shared" si="138"/>
        <v>16965027.140508514</v>
      </c>
      <c r="AG61" s="130">
        <f t="shared" si="138"/>
        <v>14467426.503165832</v>
      </c>
      <c r="AH61" s="130">
        <f t="shared" si="138"/>
        <v>9217607.874745762</v>
      </c>
      <c r="AI61" s="130">
        <f t="shared" si="138"/>
        <v>11608484.404555373</v>
      </c>
      <c r="AJ61" s="130">
        <f t="shared" si="138"/>
        <v>14462936.914483052</v>
      </c>
      <c r="AK61" s="130">
        <f t="shared" si="138"/>
        <v>34609820.338726029</v>
      </c>
      <c r="AL61" s="130">
        <f t="shared" si="138"/>
        <v>39825809.509338535</v>
      </c>
      <c r="AM61" s="130">
        <f t="shared" si="138"/>
        <v>46035474.462937295</v>
      </c>
      <c r="AN61" s="130">
        <f t="shared" si="138"/>
        <v>40570163.888050847</v>
      </c>
      <c r="AO61" s="130">
        <f t="shared" si="138"/>
        <v>22434622.316307116</v>
      </c>
      <c r="AP61" s="130">
        <f t="shared" si="138"/>
        <v>20283669.622786433</v>
      </c>
      <c r="AQ61" s="130">
        <f t="shared" si="138"/>
        <v>28939189.119999997</v>
      </c>
      <c r="AR61" s="130">
        <f t="shared" si="138"/>
        <v>41282058.211355932</v>
      </c>
      <c r="AS61" s="130">
        <f t="shared" si="138"/>
        <v>38086047.814258054</v>
      </c>
      <c r="AT61" s="130">
        <f t="shared" si="138"/>
        <v>26630422.798878059</v>
      </c>
      <c r="AU61" s="130">
        <f t="shared" si="138"/>
        <v>37069246.037288234</v>
      </c>
      <c r="AV61" s="130">
        <f t="shared" si="138"/>
        <v>64958206.340542555</v>
      </c>
      <c r="AW61" s="130">
        <f t="shared" si="138"/>
        <v>54846268.580953568</v>
      </c>
      <c r="AX61" s="130">
        <f t="shared" si="138"/>
        <v>46684647.817320563</v>
      </c>
      <c r="AY61" s="130">
        <f t="shared" si="138"/>
        <v>56413967.400088489</v>
      </c>
      <c r="AZ61" s="130">
        <f t="shared" si="138"/>
        <v>84010604.151122302</v>
      </c>
      <c r="BA61" s="130">
        <f t="shared" si="138"/>
        <v>146609504.9308483</v>
      </c>
      <c r="BB61" s="130">
        <f t="shared" si="138"/>
        <v>170202690.96853811</v>
      </c>
      <c r="BC61" s="130">
        <f t="shared" si="138"/>
        <v>151193818.36353105</v>
      </c>
      <c r="BD61" s="130">
        <f t="shared" si="138"/>
        <v>184384481.27297789</v>
      </c>
      <c r="BE61" s="130">
        <f t="shared" si="138"/>
        <v>129316113.17361262</v>
      </c>
      <c r="BF61" s="130">
        <f t="shared" si="138"/>
        <v>151046972.63811257</v>
      </c>
      <c r="BG61" s="130">
        <f t="shared" si="138"/>
        <v>169137702.70903161</v>
      </c>
      <c r="BH61" s="130">
        <f t="shared" si="138"/>
        <v>266025399.4436416</v>
      </c>
      <c r="BI61" s="130">
        <f t="shared" si="138"/>
        <v>206526281.09120148</v>
      </c>
      <c r="BJ61" s="130">
        <f t="shared" si="138"/>
        <v>195090152.98018441</v>
      </c>
      <c r="BK61" s="130">
        <f t="shared" si="138"/>
        <v>198583526.47927979</v>
      </c>
      <c r="BL61" s="130">
        <f t="shared" si="138"/>
        <v>144745153.16620427</v>
      </c>
      <c r="BM61" s="130">
        <f t="shared" si="138"/>
        <v>205035658.84594908</v>
      </c>
      <c r="BN61" s="130">
        <f t="shared" si="138"/>
        <v>197550488.25108179</v>
      </c>
      <c r="BO61" s="130">
        <f t="shared" si="138"/>
        <v>214649617.46269172</v>
      </c>
      <c r="BP61" s="130">
        <f t="shared" ref="BP61:DI61" si="139">BP39-BP54</f>
        <v>222836291.86446032</v>
      </c>
      <c r="BQ61" s="130">
        <f t="shared" si="139"/>
        <v>233363267.62247545</v>
      </c>
      <c r="BR61" s="130">
        <f t="shared" si="139"/>
        <v>219461801.96896589</v>
      </c>
      <c r="BS61" s="130">
        <f t="shared" si="139"/>
        <v>228071512.58676764</v>
      </c>
      <c r="BT61" s="130">
        <f t="shared" si="139"/>
        <v>243721720.33042181</v>
      </c>
      <c r="BU61" s="130">
        <f t="shared" si="139"/>
        <v>213573487.86143905</v>
      </c>
      <c r="BV61" s="130">
        <f t="shared" si="139"/>
        <v>254730738.33033139</v>
      </c>
      <c r="BW61" s="130">
        <f t="shared" si="139"/>
        <v>285976699.31866157</v>
      </c>
      <c r="BX61" s="130">
        <f t="shared" si="139"/>
        <v>274484536.3285138</v>
      </c>
      <c r="BY61" s="130">
        <f t="shared" si="139"/>
        <v>367862022.80188572</v>
      </c>
      <c r="BZ61" s="130">
        <f t="shared" si="139"/>
        <v>312228350.68812788</v>
      </c>
      <c r="CA61" s="130">
        <f t="shared" si="139"/>
        <v>314863277.46334946</v>
      </c>
      <c r="CB61" s="130">
        <f t="shared" si="139"/>
        <v>310725391.23407817</v>
      </c>
      <c r="CC61" s="130">
        <f t="shared" si="139"/>
        <v>325273283.60464782</v>
      </c>
      <c r="CD61" s="130">
        <f t="shared" si="139"/>
        <v>287373284.25152695</v>
      </c>
      <c r="CE61" s="130">
        <f t="shared" si="139"/>
        <v>367858437.81043267</v>
      </c>
      <c r="CF61" s="130">
        <f t="shared" si="139"/>
        <v>314149554.82816988</v>
      </c>
      <c r="CG61" s="130">
        <f t="shared" si="139"/>
        <v>311846480.87009144</v>
      </c>
      <c r="CH61" s="130">
        <f t="shared" si="139"/>
        <v>374834687.82025355</v>
      </c>
      <c r="CI61" s="130">
        <f t="shared" si="139"/>
        <v>415783720.91436839</v>
      </c>
      <c r="CJ61" s="130">
        <f t="shared" si="139"/>
        <v>335315617.13436967</v>
      </c>
      <c r="CK61" s="130">
        <f t="shared" si="139"/>
        <v>397209515.09873784</v>
      </c>
      <c r="CL61" s="130">
        <f t="shared" si="139"/>
        <v>374319863.27749056</v>
      </c>
      <c r="CM61" s="130">
        <f t="shared" si="139"/>
        <v>378129562.57853812</v>
      </c>
      <c r="CN61" s="130">
        <f t="shared" si="139"/>
        <v>377859051.38556433</v>
      </c>
      <c r="CO61" s="130">
        <f t="shared" si="139"/>
        <v>383562329.03742856</v>
      </c>
      <c r="CP61" s="130">
        <f t="shared" si="139"/>
        <v>361425496.41240621</v>
      </c>
      <c r="CQ61" s="130">
        <f t="shared" si="139"/>
        <v>395374651.13061756</v>
      </c>
      <c r="CR61" s="130">
        <f t="shared" si="139"/>
        <v>384441490.41459334</v>
      </c>
      <c r="CS61" s="130">
        <f t="shared" si="139"/>
        <v>385343194.39117271</v>
      </c>
      <c r="CT61" s="130">
        <f t="shared" si="139"/>
        <v>473011363.51409715</v>
      </c>
      <c r="CU61" s="130">
        <f t="shared" si="139"/>
        <v>509665630.16204667</v>
      </c>
      <c r="CV61" s="130">
        <f t="shared" si="139"/>
        <v>436943204.45092428</v>
      </c>
      <c r="CW61" s="130">
        <f t="shared" si="139"/>
        <v>472154744.73634678</v>
      </c>
      <c r="CX61" s="130">
        <f t="shared" si="139"/>
        <v>443381878.05218756</v>
      </c>
      <c r="CY61" s="130">
        <f t="shared" si="139"/>
        <v>447894466.87427849</v>
      </c>
      <c r="CZ61" s="130">
        <f t="shared" si="139"/>
        <v>447574046.3662011</v>
      </c>
      <c r="DA61" s="130">
        <f t="shared" si="139"/>
        <v>454329578.7448343</v>
      </c>
      <c r="DB61" s="130">
        <f t="shared" si="139"/>
        <v>428108500.50049531</v>
      </c>
      <c r="DC61" s="130">
        <f t="shared" si="139"/>
        <v>468321274.26421672</v>
      </c>
      <c r="DD61" s="130">
        <f t="shared" si="139"/>
        <v>455370945.39608592</v>
      </c>
      <c r="DE61" s="130">
        <f t="shared" si="139"/>
        <v>456439013.75634414</v>
      </c>
      <c r="DF61" s="130">
        <f t="shared" si="139"/>
        <v>560281960.08244824</v>
      </c>
      <c r="DG61" s="130">
        <f t="shared" si="139"/>
        <v>603698938.92694438</v>
      </c>
      <c r="DH61" s="130">
        <f t="shared" si="139"/>
        <v>517559225.67211998</v>
      </c>
      <c r="DI61" s="130">
        <f t="shared" si="139"/>
        <v>559267295.14020288</v>
      </c>
      <c r="DJ61" s="130">
        <f t="shared" ref="DJ61:DU61" si="140">DJ39-DJ54</f>
        <v>525185834.55281615</v>
      </c>
      <c r="DK61" s="130">
        <f t="shared" si="140"/>
        <v>530530996.01258296</v>
      </c>
      <c r="DL61" s="130">
        <f t="shared" si="140"/>
        <v>530151457.92076522</v>
      </c>
      <c r="DM61" s="130">
        <f t="shared" si="140"/>
        <v>538153386.02325618</v>
      </c>
      <c r="DN61" s="130">
        <f t="shared" si="140"/>
        <v>507094518.84283668</v>
      </c>
      <c r="DO61" s="130">
        <f t="shared" si="140"/>
        <v>554726549.36596465</v>
      </c>
      <c r="DP61" s="130">
        <f t="shared" si="140"/>
        <v>539386884.82166374</v>
      </c>
      <c r="DQ61" s="130">
        <f t="shared" si="140"/>
        <v>540652011.79438961</v>
      </c>
      <c r="DR61" s="130">
        <f t="shared" si="140"/>
        <v>663653981.71765983</v>
      </c>
      <c r="DS61" s="130">
        <f t="shared" si="140"/>
        <v>715081393.15896535</v>
      </c>
      <c r="DT61" s="130">
        <f t="shared" si="140"/>
        <v>613048902.80862606</v>
      </c>
      <c r="DU61" s="130">
        <f t="shared" si="140"/>
        <v>662452111.09357023</v>
      </c>
      <c r="DW61" s="130">
        <f>SUM(BB61:BD61)</f>
        <v>505780990.60504705</v>
      </c>
      <c r="DX61" s="669">
        <f>SUM(BE61:BG61)</f>
        <v>449500788.52075684</v>
      </c>
      <c r="DY61" s="130">
        <f>SUM(BH61:BJ61)</f>
        <v>667641833.51502752</v>
      </c>
      <c r="DZ61" s="130">
        <f>SUM(BK61:BM61)</f>
        <v>548364338.49143314</v>
      </c>
      <c r="EA61" s="130">
        <f>SUM(BN61:BP61)</f>
        <v>635036397.57823384</v>
      </c>
      <c r="EB61" s="130">
        <f>SUM(BQ61:BS61)</f>
        <v>680896582.17820895</v>
      </c>
      <c r="EC61" s="130">
        <f>SUM(BT61:BV61)</f>
        <v>712025946.52219224</v>
      </c>
      <c r="ED61" s="130">
        <f>SUM(BW61:BY61)</f>
        <v>928323258.44906104</v>
      </c>
      <c r="EE61" s="130">
        <f>SUM(BZ61:CB61)</f>
        <v>937817019.38555551</v>
      </c>
      <c r="EF61" s="130">
        <f>SUM(CC61:CE61)</f>
        <v>980505005.66660738</v>
      </c>
      <c r="EG61" s="130">
        <f>SUM(CF61:CH61)</f>
        <v>1000830723.5185149</v>
      </c>
      <c r="EH61" s="130">
        <f>SUM(CI61:CK61)</f>
        <v>1148308853.1474757</v>
      </c>
      <c r="EI61" s="130">
        <f>SUM(CL61:CN61)</f>
        <v>1130308477.2415929</v>
      </c>
      <c r="EJ61" s="130">
        <f>SUM(CO61:CQ61)</f>
        <v>1140362476.5804524</v>
      </c>
      <c r="EK61" s="130">
        <f>SUM(CR61:CT61)</f>
        <v>1242796048.3198633</v>
      </c>
      <c r="EL61" s="130">
        <f>SUM(CU61:CW61)</f>
        <v>1418763579.3493178</v>
      </c>
      <c r="EM61" s="130">
        <f>SUM(CX61:CZ61)</f>
        <v>1338850391.2926672</v>
      </c>
      <c r="EN61" s="130">
        <f>SUM(DA61:DC61)</f>
        <v>1350759353.5095463</v>
      </c>
      <c r="EO61" s="650">
        <f>SUM(DD61:DF61)</f>
        <v>1472091919.2348783</v>
      </c>
      <c r="EP61" s="130">
        <f>SUM(DG61:DI61)</f>
        <v>1680525459.7392673</v>
      </c>
      <c r="EQ61" s="130">
        <f t="shared" si="128"/>
        <v>1585868288.4861643</v>
      </c>
      <c r="ER61" s="130">
        <f t="shared" si="129"/>
        <v>1599974454.2320576</v>
      </c>
      <c r="ES61" s="130">
        <f t="shared" si="130"/>
        <v>1743692878.3337131</v>
      </c>
      <c r="ET61" s="130">
        <f t="shared" si="131"/>
        <v>1990582407.0611615</v>
      </c>
      <c r="EV61" s="130">
        <f t="shared" si="119"/>
        <v>2171287951.1322646</v>
      </c>
      <c r="EW61" s="130">
        <f t="shared" si="120"/>
        <v>2956282184.7276959</v>
      </c>
      <c r="EX61" s="130">
        <f t="shared" si="121"/>
        <v>4067461601.7181535</v>
      </c>
      <c r="EY61" s="130">
        <f t="shared" si="122"/>
        <v>4932230581.4912262</v>
      </c>
      <c r="EZ61" s="130">
        <f t="shared" si="123"/>
        <v>5842227123.7763596</v>
      </c>
      <c r="FA61" s="669">
        <f t="shared" ref="FA61:FA62" si="141">SUM(EQ61:ET61)</f>
        <v>6920118028.1130962</v>
      </c>
    </row>
    <row r="62" spans="2:157" x14ac:dyDescent="0.2">
      <c r="B62" s="114" t="s">
        <v>158</v>
      </c>
      <c r="C62" s="130">
        <f>C40-C55</f>
        <v>0</v>
      </c>
      <c r="D62" s="130">
        <f t="shared" ref="D62:BO62" si="142">D40-D55</f>
        <v>0</v>
      </c>
      <c r="E62" s="130">
        <f t="shared" si="142"/>
        <v>0</v>
      </c>
      <c r="F62" s="130">
        <f t="shared" si="142"/>
        <v>0</v>
      </c>
      <c r="G62" s="130">
        <f t="shared" si="142"/>
        <v>0</v>
      </c>
      <c r="H62" s="130">
        <f t="shared" si="142"/>
        <v>0</v>
      </c>
      <c r="I62" s="130">
        <f t="shared" si="142"/>
        <v>0</v>
      </c>
      <c r="J62" s="130">
        <f t="shared" si="142"/>
        <v>0</v>
      </c>
      <c r="K62" s="130">
        <f t="shared" si="142"/>
        <v>0</v>
      </c>
      <c r="L62" s="130">
        <f t="shared" si="142"/>
        <v>0</v>
      </c>
      <c r="M62" s="130">
        <f t="shared" si="142"/>
        <v>0</v>
      </c>
      <c r="N62" s="130">
        <f t="shared" si="142"/>
        <v>0</v>
      </c>
      <c r="O62" s="130">
        <f t="shared" si="142"/>
        <v>0</v>
      </c>
      <c r="P62" s="130">
        <f t="shared" si="142"/>
        <v>0</v>
      </c>
      <c r="Q62" s="130">
        <f t="shared" si="142"/>
        <v>0</v>
      </c>
      <c r="R62" s="130">
        <f t="shared" si="142"/>
        <v>0</v>
      </c>
      <c r="S62" s="130">
        <f t="shared" si="142"/>
        <v>0</v>
      </c>
      <c r="T62" s="130">
        <f t="shared" si="142"/>
        <v>50869.491525423728</v>
      </c>
      <c r="U62" s="130">
        <f t="shared" si="142"/>
        <v>3386.4406779661017</v>
      </c>
      <c r="V62" s="130">
        <f t="shared" si="142"/>
        <v>0</v>
      </c>
      <c r="W62" s="130">
        <f t="shared" si="142"/>
        <v>18883.898305084746</v>
      </c>
      <c r="X62" s="130">
        <f t="shared" si="142"/>
        <v>0</v>
      </c>
      <c r="Y62" s="130">
        <f t="shared" si="142"/>
        <v>0</v>
      </c>
      <c r="Z62" s="130">
        <f t="shared" si="142"/>
        <v>0</v>
      </c>
      <c r="AA62" s="130">
        <f t="shared" si="142"/>
        <v>0</v>
      </c>
      <c r="AB62" s="130">
        <f t="shared" si="142"/>
        <v>0</v>
      </c>
      <c r="AC62" s="130">
        <f t="shared" si="142"/>
        <v>0</v>
      </c>
      <c r="AD62" s="130">
        <f t="shared" si="142"/>
        <v>0</v>
      </c>
      <c r="AE62" s="130">
        <f t="shared" si="142"/>
        <v>0</v>
      </c>
      <c r="AF62" s="130">
        <f t="shared" si="142"/>
        <v>0</v>
      </c>
      <c r="AG62" s="130">
        <f t="shared" si="142"/>
        <v>0</v>
      </c>
      <c r="AH62" s="130">
        <f t="shared" si="142"/>
        <v>0</v>
      </c>
      <c r="AI62" s="130">
        <f t="shared" si="142"/>
        <v>0</v>
      </c>
      <c r="AJ62" s="130">
        <f t="shared" si="142"/>
        <v>0</v>
      </c>
      <c r="AK62" s="130">
        <f t="shared" si="142"/>
        <v>0</v>
      </c>
      <c r="AL62" s="130">
        <f t="shared" si="142"/>
        <v>0</v>
      </c>
      <c r="AM62" s="130">
        <f t="shared" si="142"/>
        <v>0</v>
      </c>
      <c r="AN62" s="130">
        <f t="shared" si="142"/>
        <v>0</v>
      </c>
      <c r="AO62" s="130">
        <f t="shared" si="142"/>
        <v>0</v>
      </c>
      <c r="AP62" s="130">
        <f t="shared" si="142"/>
        <v>0</v>
      </c>
      <c r="AQ62" s="130">
        <f t="shared" si="142"/>
        <v>0</v>
      </c>
      <c r="AR62" s="130">
        <f t="shared" si="142"/>
        <v>0</v>
      </c>
      <c r="AS62" s="130">
        <f t="shared" si="142"/>
        <v>0</v>
      </c>
      <c r="AT62" s="130">
        <f t="shared" si="142"/>
        <v>0</v>
      </c>
      <c r="AU62" s="130">
        <f t="shared" si="142"/>
        <v>0</v>
      </c>
      <c r="AV62" s="130">
        <f t="shared" si="142"/>
        <v>0</v>
      </c>
      <c r="AW62" s="130">
        <f t="shared" si="142"/>
        <v>0</v>
      </c>
      <c r="AX62" s="130">
        <f t="shared" si="142"/>
        <v>0</v>
      </c>
      <c r="AY62" s="130">
        <f t="shared" si="142"/>
        <v>0</v>
      </c>
      <c r="AZ62" s="130">
        <f t="shared" si="142"/>
        <v>0</v>
      </c>
      <c r="BA62" s="130">
        <f t="shared" si="142"/>
        <v>0</v>
      </c>
      <c r="BB62" s="130">
        <f t="shared" si="142"/>
        <v>0</v>
      </c>
      <c r="BC62" s="130">
        <f t="shared" si="142"/>
        <v>0</v>
      </c>
      <c r="BD62" s="130">
        <f t="shared" si="142"/>
        <v>0</v>
      </c>
      <c r="BE62" s="130">
        <f t="shared" si="142"/>
        <v>0</v>
      </c>
      <c r="BF62" s="130">
        <f t="shared" si="142"/>
        <v>0</v>
      </c>
      <c r="BG62" s="130">
        <f t="shared" si="142"/>
        <v>0</v>
      </c>
      <c r="BH62" s="130">
        <f t="shared" si="142"/>
        <v>0</v>
      </c>
      <c r="BI62" s="130">
        <f t="shared" si="142"/>
        <v>0</v>
      </c>
      <c r="BJ62" s="130">
        <f t="shared" si="142"/>
        <v>0</v>
      </c>
      <c r="BK62" s="130">
        <f t="shared" si="142"/>
        <v>0</v>
      </c>
      <c r="BL62" s="130">
        <f t="shared" si="142"/>
        <v>0</v>
      </c>
      <c r="BM62" s="130">
        <f t="shared" si="142"/>
        <v>0</v>
      </c>
      <c r="BN62" s="130">
        <f t="shared" si="142"/>
        <v>0</v>
      </c>
      <c r="BO62" s="130">
        <f t="shared" si="142"/>
        <v>0</v>
      </c>
      <c r="BP62" s="130">
        <f t="shared" ref="BP62:DI62" si="143">BP40-BP55</f>
        <v>0</v>
      </c>
      <c r="BQ62" s="130">
        <f t="shared" si="143"/>
        <v>0</v>
      </c>
      <c r="BR62" s="130">
        <f t="shared" si="143"/>
        <v>0</v>
      </c>
      <c r="BS62" s="130">
        <f t="shared" si="143"/>
        <v>0</v>
      </c>
      <c r="BT62" s="130">
        <f t="shared" si="143"/>
        <v>0</v>
      </c>
      <c r="BU62" s="130">
        <f t="shared" si="143"/>
        <v>0</v>
      </c>
      <c r="BV62" s="130">
        <f t="shared" si="143"/>
        <v>0</v>
      </c>
      <c r="BW62" s="130">
        <f t="shared" si="143"/>
        <v>0</v>
      </c>
      <c r="BX62" s="130">
        <f t="shared" si="143"/>
        <v>0</v>
      </c>
      <c r="BY62" s="130">
        <f t="shared" si="143"/>
        <v>0</v>
      </c>
      <c r="BZ62" s="130">
        <f t="shared" si="143"/>
        <v>2358289.8305084747</v>
      </c>
      <c r="CA62" s="130">
        <f t="shared" si="143"/>
        <v>2508694.0677966103</v>
      </c>
      <c r="CB62" s="130">
        <f t="shared" si="143"/>
        <v>2451386.6828087163</v>
      </c>
      <c r="CC62" s="130">
        <f t="shared" si="143"/>
        <v>2868386.6828087163</v>
      </c>
      <c r="CD62" s="130">
        <f t="shared" si="143"/>
        <v>2961540.6779661016</v>
      </c>
      <c r="CE62" s="130">
        <f t="shared" si="143"/>
        <v>3535324.5762711866</v>
      </c>
      <c r="CF62" s="130">
        <f t="shared" si="143"/>
        <v>3345113.559322034</v>
      </c>
      <c r="CG62" s="130">
        <f t="shared" si="143"/>
        <v>2903389.8305084747</v>
      </c>
      <c r="CH62" s="130">
        <f t="shared" si="143"/>
        <v>4098305.0847457629</v>
      </c>
      <c r="CI62" s="130">
        <f t="shared" si="143"/>
        <v>6108474.5762711875</v>
      </c>
      <c r="CJ62" s="130">
        <f t="shared" si="143"/>
        <v>5155932.2033898309</v>
      </c>
      <c r="CK62" s="130">
        <f t="shared" si="143"/>
        <v>5834745.762711864</v>
      </c>
      <c r="CL62" s="130">
        <f t="shared" si="143"/>
        <v>4420140.2483861297</v>
      </c>
      <c r="CM62" s="130">
        <f t="shared" si="143"/>
        <v>4465126.9211941613</v>
      </c>
      <c r="CN62" s="130">
        <f t="shared" si="143"/>
        <v>4461932.6012314586</v>
      </c>
      <c r="CO62" s="130">
        <f t="shared" si="143"/>
        <v>4529279.513778409</v>
      </c>
      <c r="CP62" s="130">
        <f t="shared" si="143"/>
        <v>4267877.663497447</v>
      </c>
      <c r="CQ62" s="130">
        <f t="shared" si="143"/>
        <v>4668764.81881628</v>
      </c>
      <c r="CR62" s="130">
        <f t="shared" si="143"/>
        <v>4539661.0536571508</v>
      </c>
      <c r="CS62" s="130">
        <f t="shared" si="143"/>
        <v>4550308.7868661415</v>
      </c>
      <c r="CT62" s="130">
        <f t="shared" si="143"/>
        <v>5585534.6481111338</v>
      </c>
      <c r="CU62" s="130">
        <f t="shared" si="143"/>
        <v>6018365.0030569946</v>
      </c>
      <c r="CV62" s="130">
        <f t="shared" si="143"/>
        <v>5159625.3197511761</v>
      </c>
      <c r="CW62" s="130">
        <f t="shared" si="143"/>
        <v>5575419.3015625849</v>
      </c>
      <c r="CX62" s="130">
        <f t="shared" si="143"/>
        <v>5235656.1242132764</v>
      </c>
      <c r="CY62" s="130">
        <f t="shared" si="143"/>
        <v>5288942.8381543616</v>
      </c>
      <c r="CZ62" s="130">
        <f t="shared" si="143"/>
        <v>5285159.1661584917</v>
      </c>
      <c r="DA62" s="130">
        <f t="shared" si="143"/>
        <v>5364931.5840703296</v>
      </c>
      <c r="DB62" s="130">
        <f t="shared" si="143"/>
        <v>5055301.0924125416</v>
      </c>
      <c r="DC62" s="130">
        <f t="shared" si="143"/>
        <v>5530151.9278876968</v>
      </c>
      <c r="DD62" s="130">
        <f t="shared" si="143"/>
        <v>5377228.5180566814</v>
      </c>
      <c r="DE62" s="130">
        <f t="shared" si="143"/>
        <v>5389840.7580427276</v>
      </c>
      <c r="DF62" s="130">
        <f t="shared" si="143"/>
        <v>6616065.7906874111</v>
      </c>
      <c r="DG62" s="130">
        <f t="shared" si="143"/>
        <v>7128753.346120703</v>
      </c>
      <c r="DH62" s="130">
        <f t="shared" si="143"/>
        <v>6111576.1912450213</v>
      </c>
      <c r="DI62" s="130">
        <f t="shared" si="143"/>
        <v>6604084.1627007518</v>
      </c>
      <c r="DJ62" s="130">
        <f t="shared" ref="DJ62:DU62" si="144">DJ40-DJ55</f>
        <v>6201634.6791306222</v>
      </c>
      <c r="DK62" s="130">
        <f t="shared" si="144"/>
        <v>6264752.7917937832</v>
      </c>
      <c r="DL62" s="130">
        <f t="shared" si="144"/>
        <v>6260271.0323147364</v>
      </c>
      <c r="DM62" s="130">
        <f t="shared" si="144"/>
        <v>6354761.4613312259</v>
      </c>
      <c r="DN62" s="130">
        <f t="shared" si="144"/>
        <v>5988004.143962604</v>
      </c>
      <c r="DO62" s="130">
        <f t="shared" si="144"/>
        <v>6550464.9585829442</v>
      </c>
      <c r="DP62" s="130">
        <f t="shared" si="144"/>
        <v>6369327.1796382125</v>
      </c>
      <c r="DQ62" s="130">
        <f t="shared" si="144"/>
        <v>6384266.3779017031</v>
      </c>
      <c r="DR62" s="130">
        <f t="shared" si="144"/>
        <v>7836729.9290694296</v>
      </c>
      <c r="DS62" s="130">
        <f t="shared" si="144"/>
        <v>8444008.3384802397</v>
      </c>
      <c r="DT62" s="130">
        <f t="shared" si="144"/>
        <v>7239161.9985298319</v>
      </c>
      <c r="DU62" s="130">
        <f t="shared" si="144"/>
        <v>7822537.6907190578</v>
      </c>
      <c r="DW62" s="130">
        <f>SUM(BB62:BD62)</f>
        <v>0</v>
      </c>
      <c r="DX62" s="669">
        <f>SUM(BE62:BG62)</f>
        <v>0</v>
      </c>
      <c r="DY62" s="130">
        <f>SUM(BH62:BJ62)</f>
        <v>0</v>
      </c>
      <c r="DZ62" s="130">
        <f>SUM(BK62:BM62)</f>
        <v>0</v>
      </c>
      <c r="EA62" s="130">
        <f>SUM(BN62:BP62)</f>
        <v>0</v>
      </c>
      <c r="EB62" s="130">
        <f>SUM(BQ62:BS62)</f>
        <v>0</v>
      </c>
      <c r="EC62" s="130">
        <f>SUM(BT62:BV62)</f>
        <v>0</v>
      </c>
      <c r="ED62" s="130">
        <f>SUM(BW62:BY62)</f>
        <v>0</v>
      </c>
      <c r="EE62" s="130">
        <f>SUM(BZ62:CB62)</f>
        <v>7318370.5811138004</v>
      </c>
      <c r="EF62" s="130">
        <f>SUM(CC62:CE62)</f>
        <v>9365251.9370460045</v>
      </c>
      <c r="EG62" s="130">
        <f>SUM(CF62:CH62)</f>
        <v>10346808.474576272</v>
      </c>
      <c r="EH62" s="130">
        <f>SUM(CI62:CK62)</f>
        <v>17099152.542372882</v>
      </c>
      <c r="EI62" s="130">
        <f>SUM(CL62:CN62)</f>
        <v>13347199.770811751</v>
      </c>
      <c r="EJ62" s="130">
        <f>SUM(CO62:CQ62)</f>
        <v>13465921.996092135</v>
      </c>
      <c r="EK62" s="130">
        <f>SUM(CR62:CT62)</f>
        <v>14675504.488634426</v>
      </c>
      <c r="EL62" s="130">
        <f>SUM(CU62:CW62)</f>
        <v>16753409.624370756</v>
      </c>
      <c r="EM62" s="130">
        <f>SUM(CX62:CZ62)</f>
        <v>15809758.128526131</v>
      </c>
      <c r="EN62" s="130">
        <f>SUM(DA62:DC62)</f>
        <v>15950384.604370568</v>
      </c>
      <c r="EO62" s="650">
        <f>SUM(DD62:DF62)</f>
        <v>17383135.066786822</v>
      </c>
      <c r="EP62" s="130">
        <f>SUM(DG62:DI62)</f>
        <v>19844413.700066477</v>
      </c>
      <c r="EQ62" s="130">
        <f t="shared" si="128"/>
        <v>18726658.50323914</v>
      </c>
      <c r="ER62" s="130">
        <f t="shared" si="129"/>
        <v>18893230.563876774</v>
      </c>
      <c r="ES62" s="130">
        <f t="shared" si="130"/>
        <v>20590323.486609347</v>
      </c>
      <c r="ET62" s="130">
        <f t="shared" si="131"/>
        <v>23505708.027729128</v>
      </c>
      <c r="EV62" s="130">
        <f t="shared" si="119"/>
        <v>0</v>
      </c>
      <c r="EW62" s="130">
        <f t="shared" si="120"/>
        <v>0</v>
      </c>
      <c r="EX62" s="130">
        <f t="shared" si="121"/>
        <v>44129583.535108961</v>
      </c>
      <c r="EY62" s="130">
        <f t="shared" si="122"/>
        <v>58242035.879909068</v>
      </c>
      <c r="EZ62" s="130">
        <f t="shared" si="123"/>
        <v>68987691.499750003</v>
      </c>
      <c r="FA62" s="669">
        <f t="shared" si="141"/>
        <v>81715920.581454396</v>
      </c>
    </row>
    <row r="63" spans="2:157" x14ac:dyDescent="0.2">
      <c r="B63" s="117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115"/>
      <c r="AU63" s="115"/>
      <c r="AV63" s="115"/>
      <c r="AW63" s="115"/>
      <c r="AX63" s="115"/>
      <c r="AY63" s="115"/>
      <c r="AZ63" s="115"/>
      <c r="BA63" s="115"/>
      <c r="BB63" s="115"/>
      <c r="BC63" s="115"/>
      <c r="BD63" s="115"/>
      <c r="BE63" s="115"/>
      <c r="BF63" s="115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115"/>
      <c r="BR63" s="115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115"/>
      <c r="CD63" s="115"/>
      <c r="CE63" s="115"/>
      <c r="CF63" s="115"/>
      <c r="CG63" s="115"/>
      <c r="CH63" s="115"/>
      <c r="CI63" s="115"/>
      <c r="CJ63" s="115"/>
      <c r="CK63" s="115"/>
      <c r="CL63" s="115"/>
      <c r="CM63" s="115"/>
      <c r="CN63" s="115"/>
      <c r="CO63" s="115"/>
      <c r="CP63" s="115"/>
      <c r="CQ63" s="115"/>
      <c r="CR63" s="115"/>
      <c r="CS63" s="115"/>
      <c r="CT63" s="115"/>
      <c r="CU63" s="115"/>
      <c r="CV63" s="115"/>
      <c r="CW63" s="115"/>
      <c r="CX63" s="115"/>
      <c r="CY63" s="115"/>
      <c r="CZ63" s="115"/>
      <c r="DA63" s="115"/>
      <c r="DB63" s="115"/>
      <c r="DC63" s="115"/>
      <c r="DD63" s="115"/>
      <c r="DE63" s="115"/>
      <c r="DF63" s="115"/>
      <c r="DG63" s="115"/>
      <c r="DH63" s="115"/>
      <c r="DI63" s="115"/>
      <c r="DJ63" s="115"/>
      <c r="DK63" s="115"/>
      <c r="DL63" s="115"/>
      <c r="DM63" s="115"/>
      <c r="DN63" s="115"/>
      <c r="DO63" s="115"/>
      <c r="DP63" s="115"/>
      <c r="DQ63" s="115"/>
      <c r="DR63" s="115"/>
      <c r="DS63" s="115"/>
      <c r="DT63" s="115"/>
      <c r="DU63" s="115"/>
      <c r="DW63" s="115"/>
      <c r="DX63" s="664"/>
      <c r="DY63" s="115"/>
      <c r="DZ63" s="115"/>
      <c r="EA63" s="115"/>
      <c r="EB63" s="115"/>
      <c r="EC63" s="115"/>
      <c r="ED63" s="115"/>
      <c r="EE63" s="115"/>
      <c r="EF63" s="115"/>
      <c r="EG63" s="115"/>
      <c r="EH63" s="115"/>
      <c r="EI63" s="115"/>
      <c r="EJ63" s="115"/>
      <c r="EK63" s="115"/>
      <c r="EL63" s="115"/>
      <c r="EM63" s="115"/>
      <c r="EN63" s="115"/>
      <c r="EO63" s="645"/>
      <c r="EP63" s="115"/>
      <c r="EQ63" s="115"/>
      <c r="ER63" s="115"/>
      <c r="ES63" s="115"/>
      <c r="ET63" s="115"/>
      <c r="EV63" s="115"/>
      <c r="EW63" s="115"/>
      <c r="EX63" s="115"/>
      <c r="EY63" s="115"/>
      <c r="EZ63" s="115"/>
      <c r="FA63" s="664"/>
    </row>
    <row r="64" spans="2:157" x14ac:dyDescent="0.2">
      <c r="B64" s="117" t="s">
        <v>15</v>
      </c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115"/>
      <c r="AU64" s="115"/>
      <c r="AV64" s="115"/>
      <c r="AW64" s="115"/>
      <c r="AX64" s="115"/>
      <c r="AY64" s="115"/>
      <c r="AZ64" s="115"/>
      <c r="BA64" s="115"/>
      <c r="BB64" s="115"/>
      <c r="BC64" s="115"/>
      <c r="BD64" s="115"/>
      <c r="BE64" s="115"/>
      <c r="BF64" s="115"/>
      <c r="BG64" s="115"/>
      <c r="BH64" s="115"/>
      <c r="BI64" s="115"/>
      <c r="BJ64" s="115"/>
      <c r="BK64" s="115"/>
      <c r="BL64" s="115"/>
      <c r="BM64" s="115"/>
      <c r="BN64" s="115"/>
      <c r="BO64" s="115"/>
      <c r="BP64" s="115"/>
      <c r="BQ64" s="115"/>
      <c r="BR64" s="115"/>
      <c r="BS64" s="115"/>
      <c r="BT64" s="115"/>
      <c r="BU64" s="115"/>
      <c r="BV64" s="115"/>
      <c r="BW64" s="115"/>
      <c r="BX64" s="115"/>
      <c r="BY64" s="115"/>
      <c r="BZ64" s="115"/>
      <c r="CA64" s="115"/>
      <c r="CB64" s="115"/>
      <c r="CC64" s="115"/>
      <c r="CD64" s="115"/>
      <c r="CE64" s="115"/>
      <c r="CF64" s="115"/>
      <c r="CG64" s="115"/>
      <c r="CH64" s="115"/>
      <c r="CI64" s="115"/>
      <c r="CJ64" s="115"/>
      <c r="CK64" s="115"/>
      <c r="CL64" s="115"/>
      <c r="CM64" s="115"/>
      <c r="CN64" s="115"/>
      <c r="CO64" s="115"/>
      <c r="CP64" s="115"/>
      <c r="CQ64" s="115"/>
      <c r="CR64" s="115"/>
      <c r="CS64" s="115"/>
      <c r="CT64" s="115"/>
      <c r="CU64" s="115"/>
      <c r="CV64" s="115"/>
      <c r="CW64" s="115"/>
      <c r="CX64" s="115"/>
      <c r="CY64" s="115"/>
      <c r="CZ64" s="115"/>
      <c r="DA64" s="115"/>
      <c r="DB64" s="115"/>
      <c r="DC64" s="115"/>
      <c r="DD64" s="115"/>
      <c r="DE64" s="115"/>
      <c r="DF64" s="115"/>
      <c r="DG64" s="115"/>
      <c r="DH64" s="115"/>
      <c r="DI64" s="115"/>
      <c r="DJ64" s="115"/>
      <c r="DK64" s="115"/>
      <c r="DL64" s="115"/>
      <c r="DM64" s="115"/>
      <c r="DN64" s="115"/>
      <c r="DO64" s="115"/>
      <c r="DP64" s="115"/>
      <c r="DQ64" s="115"/>
      <c r="DR64" s="115"/>
      <c r="DS64" s="115"/>
      <c r="DT64" s="115"/>
      <c r="DU64" s="115"/>
      <c r="DW64" s="115"/>
      <c r="DX64" s="664"/>
      <c r="DY64" s="115"/>
      <c r="DZ64" s="115"/>
      <c r="EA64" s="115"/>
      <c r="EB64" s="115"/>
      <c r="EC64" s="115"/>
      <c r="ED64" s="115"/>
      <c r="EE64" s="115"/>
      <c r="EF64" s="115"/>
      <c r="EG64" s="115"/>
      <c r="EH64" s="115"/>
      <c r="EI64" s="115"/>
      <c r="EJ64" s="115"/>
      <c r="EK64" s="115"/>
      <c r="EL64" s="115"/>
      <c r="EM64" s="115"/>
      <c r="EN64" s="115"/>
      <c r="EO64" s="645"/>
      <c r="EP64" s="115"/>
      <c r="EQ64" s="115"/>
      <c r="ER64" s="115"/>
      <c r="ES64" s="115"/>
      <c r="ET64" s="115"/>
      <c r="EV64" s="115"/>
      <c r="EW64" s="115"/>
      <c r="EX64" s="115"/>
      <c r="EY64" s="115"/>
      <c r="EZ64" s="115"/>
      <c r="FA64" s="664"/>
    </row>
    <row r="65" spans="2:157" x14ac:dyDescent="0.2">
      <c r="B65" s="117" t="s">
        <v>16</v>
      </c>
      <c r="C65" s="115"/>
      <c r="D65" s="133">
        <f>D57/C57-1</f>
        <v>5.2875302309982866</v>
      </c>
      <c r="E65" s="133">
        <f t="shared" ref="E65:BP65" si="145">E57/D57-1</f>
        <v>4.5003212509761132</v>
      </c>
      <c r="F65" s="133">
        <f t="shared" si="145"/>
        <v>0.30295927603976036</v>
      </c>
      <c r="G65" s="133">
        <f t="shared" si="145"/>
        <v>0.10241024809051891</v>
      </c>
      <c r="H65" s="133">
        <f t="shared" si="145"/>
        <v>-0.34653781372248516</v>
      </c>
      <c r="I65" s="133">
        <f t="shared" si="145"/>
        <v>1.0816036839899335</v>
      </c>
      <c r="J65" s="133">
        <f t="shared" si="145"/>
        <v>-0.33592814385044389</v>
      </c>
      <c r="K65" s="133">
        <f t="shared" si="145"/>
        <v>0.45383539150003838</v>
      </c>
      <c r="L65" s="133">
        <f t="shared" si="145"/>
        <v>-0.10578165662028327</v>
      </c>
      <c r="M65" s="133">
        <f t="shared" si="145"/>
        <v>-0.70895926172653534</v>
      </c>
      <c r="N65" s="133">
        <f t="shared" si="145"/>
        <v>0.79223619752554453</v>
      </c>
      <c r="O65" s="133">
        <f t="shared" si="145"/>
        <v>0.38285696287208038</v>
      </c>
      <c r="P65" s="133">
        <f t="shared" si="145"/>
        <v>-0.93929423329529416</v>
      </c>
      <c r="Q65" s="133">
        <f t="shared" si="145"/>
        <v>8.9445419476868508</v>
      </c>
      <c r="R65" s="133">
        <f t="shared" si="145"/>
        <v>-1.2206729426757628</v>
      </c>
      <c r="S65" s="133">
        <f t="shared" si="145"/>
        <v>-7.2607435916969951</v>
      </c>
      <c r="T65" s="133">
        <f t="shared" si="145"/>
        <v>-0.34073558053332276</v>
      </c>
      <c r="U65" s="133">
        <f t="shared" si="145"/>
        <v>-0.32903303733322242</v>
      </c>
      <c r="V65" s="133">
        <f t="shared" si="145"/>
        <v>-3.3124749796802799E-2</v>
      </c>
      <c r="W65" s="133">
        <f t="shared" si="145"/>
        <v>0.28000326064690606</v>
      </c>
      <c r="X65" s="133">
        <f t="shared" si="145"/>
        <v>0.82471764842007689</v>
      </c>
      <c r="Y65" s="133">
        <f t="shared" si="145"/>
        <v>-0.15864859722985092</v>
      </c>
      <c r="Z65" s="133">
        <f t="shared" si="145"/>
        <v>0.54754285906063882</v>
      </c>
      <c r="AA65" s="133">
        <f t="shared" si="145"/>
        <v>0.1808654980727149</v>
      </c>
      <c r="AB65" s="133">
        <f t="shared" si="145"/>
        <v>-0.39816432243748234</v>
      </c>
      <c r="AC65" s="133">
        <f t="shared" si="145"/>
        <v>0.27173375256395138</v>
      </c>
      <c r="AD65" s="133">
        <f t="shared" si="145"/>
        <v>-0.24329434435376607</v>
      </c>
      <c r="AE65" s="133">
        <f t="shared" si="145"/>
        <v>-0.37100988027751791</v>
      </c>
      <c r="AF65" s="133">
        <f t="shared" si="145"/>
        <v>0.52227328486489522</v>
      </c>
      <c r="AG65" s="133">
        <f t="shared" si="145"/>
        <v>-0.14722055064556894</v>
      </c>
      <c r="AH65" s="133">
        <f t="shared" si="145"/>
        <v>-0.3628716293994152</v>
      </c>
      <c r="AI65" s="133">
        <f t="shared" si="145"/>
        <v>0.25938145365893606</v>
      </c>
      <c r="AJ65" s="133">
        <f t="shared" si="145"/>
        <v>0.24589364213708564</v>
      </c>
      <c r="AK65" s="133">
        <f t="shared" si="145"/>
        <v>1.3930008506134093</v>
      </c>
      <c r="AL65" s="133">
        <f t="shared" si="145"/>
        <v>0.15070835732643717</v>
      </c>
      <c r="AM65" s="133">
        <f t="shared" si="145"/>
        <v>0.15592062107721105</v>
      </c>
      <c r="AN65" s="133">
        <f t="shared" si="145"/>
        <v>-0.11871954484332525</v>
      </c>
      <c r="AO65" s="133">
        <f t="shared" si="145"/>
        <v>-0.44701671952292021</v>
      </c>
      <c r="AP65" s="133">
        <f t="shared" si="145"/>
        <v>-9.5876483374414456E-2</v>
      </c>
      <c r="AQ65" s="133">
        <f t="shared" si="145"/>
        <v>0.42672354944541491</v>
      </c>
      <c r="AR65" s="133">
        <f t="shared" si="145"/>
        <v>0.42651053698065522</v>
      </c>
      <c r="AS65" s="133">
        <f t="shared" si="145"/>
        <v>-7.7418872400570105E-2</v>
      </c>
      <c r="AT65" s="133">
        <f t="shared" si="145"/>
        <v>-0.30078271894337705</v>
      </c>
      <c r="AU65" s="133">
        <f t="shared" si="145"/>
        <v>0.39198864085815277</v>
      </c>
      <c r="AV65" s="133">
        <f t="shared" si="145"/>
        <v>0.75234765431162542</v>
      </c>
      <c r="AW65" s="133">
        <f t="shared" si="145"/>
        <v>-0.1556683647725321</v>
      </c>
      <c r="AX65" s="133">
        <f t="shared" si="145"/>
        <v>-0.14880904343722823</v>
      </c>
      <c r="AY65" s="133">
        <f t="shared" si="145"/>
        <v>0.20840511897699776</v>
      </c>
      <c r="AZ65" s="133">
        <f t="shared" si="145"/>
        <v>0.48918092491737286</v>
      </c>
      <c r="BA65" s="133">
        <f t="shared" si="145"/>
        <v>0.74513094403082847</v>
      </c>
      <c r="BB65" s="133">
        <f t="shared" si="145"/>
        <v>0.16092535097787897</v>
      </c>
      <c r="BC65" s="133">
        <f t="shared" si="145"/>
        <v>-0.11168373717734503</v>
      </c>
      <c r="BD65" s="133">
        <f t="shared" si="145"/>
        <v>0.21952394131381103</v>
      </c>
      <c r="BE65" s="133">
        <f t="shared" si="145"/>
        <v>-0.29866053650056112</v>
      </c>
      <c r="BF65" s="133">
        <f t="shared" si="145"/>
        <v>0.16804448363929181</v>
      </c>
      <c r="BG65" s="133">
        <f t="shared" si="145"/>
        <v>0.11976890205050261</v>
      </c>
      <c r="BH65" s="133">
        <f t="shared" si="145"/>
        <v>0.57283323104657713</v>
      </c>
      <c r="BI65" s="133">
        <f t="shared" si="145"/>
        <v>-0.22365953956605267</v>
      </c>
      <c r="BJ65" s="133">
        <f t="shared" si="145"/>
        <v>-5.5373718301579777E-2</v>
      </c>
      <c r="BK65" s="133">
        <f t="shared" si="145"/>
        <v>1.790645732616869E-2</v>
      </c>
      <c r="BL65" s="133">
        <f t="shared" si="145"/>
        <v>-0.27111198127853275</v>
      </c>
      <c r="BM65" s="133">
        <f t="shared" si="145"/>
        <v>0.41652866683913037</v>
      </c>
      <c r="BN65" s="133">
        <f t="shared" si="145"/>
        <v>-3.650667711654576E-2</v>
      </c>
      <c r="BO65" s="133">
        <f t="shared" si="145"/>
        <v>8.6555742600227692E-2</v>
      </c>
      <c r="BP65" s="133">
        <f t="shared" si="145"/>
        <v>3.8139711118709618E-2</v>
      </c>
      <c r="BQ65" s="133">
        <f t="shared" ref="BQ65:DI65" si="146">BQ57/BP57-1</f>
        <v>4.724084963870312E-2</v>
      </c>
      <c r="BR65" s="133">
        <f t="shared" si="146"/>
        <v>-5.9570067710907781E-2</v>
      </c>
      <c r="BS65" s="133">
        <f t="shared" si="146"/>
        <v>3.9231021255440313E-2</v>
      </c>
      <c r="BT65" s="133">
        <f t="shared" si="146"/>
        <v>6.8619739335925134E-2</v>
      </c>
      <c r="BU65" s="133">
        <f t="shared" si="146"/>
        <v>-0.12369940778404886</v>
      </c>
      <c r="BV65" s="133">
        <f t="shared" si="146"/>
        <v>0.1927076758497015</v>
      </c>
      <c r="BW65" s="133">
        <f t="shared" si="146"/>
        <v>0.12266270334368068</v>
      </c>
      <c r="BX65" s="133">
        <f t="shared" si="146"/>
        <v>-4.0185662040046588E-2</v>
      </c>
      <c r="BY65" s="133">
        <f t="shared" si="146"/>
        <v>0.34019215698772221</v>
      </c>
      <c r="BZ65" s="133">
        <f t="shared" si="146"/>
        <v>-0.14482436071402005</v>
      </c>
      <c r="CA65" s="133">
        <f t="shared" si="146"/>
        <v>8.8539392770072833E-3</v>
      </c>
      <c r="CB65" s="133">
        <f t="shared" si="146"/>
        <v>-1.321853846771559E-2</v>
      </c>
      <c r="CC65" s="133">
        <f t="shared" si="146"/>
        <v>4.7784169918694053E-2</v>
      </c>
      <c r="CD65" s="133">
        <f t="shared" si="146"/>
        <v>-0.11521500708623189</v>
      </c>
      <c r="CE65" s="133">
        <f t="shared" si="146"/>
        <v>0.27919122981352484</v>
      </c>
      <c r="CF65" s="133">
        <f t="shared" si="146"/>
        <v>-0.14512654615639708</v>
      </c>
      <c r="CG65" s="133">
        <f t="shared" si="146"/>
        <v>-8.6451772586683129E-3</v>
      </c>
      <c r="CH65" s="133">
        <f t="shared" si="146"/>
        <v>0.20391786678588475</v>
      </c>
      <c r="CI65" s="133">
        <f t="shared" si="146"/>
        <v>0.11336886307076033</v>
      </c>
      <c r="CJ65" s="133">
        <f t="shared" si="146"/>
        <v>-0.1929892209980133</v>
      </c>
      <c r="CK65" s="133">
        <f t="shared" si="146"/>
        <v>0.18378249708499417</v>
      </c>
      <c r="CL65" s="133">
        <f t="shared" si="146"/>
        <v>-5.9324290071297581E-2</v>
      </c>
      <c r="CM65" s="133">
        <f t="shared" si="146"/>
        <v>1.0177657332128609E-2</v>
      </c>
      <c r="CN65" s="133">
        <f t="shared" si="146"/>
        <v>-7.153928699176193E-4</v>
      </c>
      <c r="CO65" s="133">
        <f t="shared" si="146"/>
        <v>1.5093664240544147E-2</v>
      </c>
      <c r="CP65" s="133">
        <f t="shared" si="146"/>
        <v>-5.7713781957096866E-2</v>
      </c>
      <c r="CQ65" s="133">
        <f t="shared" si="146"/>
        <v>9.3931266762302679E-2</v>
      </c>
      <c r="CR65" s="133">
        <f t="shared" si="146"/>
        <v>-2.765265978676068E-2</v>
      </c>
      <c r="CS65" s="133">
        <f t="shared" si="146"/>
        <v>2.3454907939484126E-3</v>
      </c>
      <c r="CT65" s="133">
        <f t="shared" si="146"/>
        <v>0.22750672750672751</v>
      </c>
      <c r="CU65" s="133">
        <f t="shared" si="146"/>
        <v>7.7491302482962432E-2</v>
      </c>
      <c r="CV65" s="133">
        <f t="shared" si="146"/>
        <v>-0.14268654075810516</v>
      </c>
      <c r="CW65" s="133">
        <f t="shared" si="146"/>
        <v>8.0586080586080522E-2</v>
      </c>
      <c r="CX65" s="133">
        <f t="shared" si="146"/>
        <v>-6.0939484363809693E-2</v>
      </c>
      <c r="CY65" s="133">
        <f t="shared" si="146"/>
        <v>1.0177657332128831E-2</v>
      </c>
      <c r="CZ65" s="133">
        <f t="shared" si="146"/>
        <v>-7.153928699176193E-4</v>
      </c>
      <c r="DA65" s="133">
        <f t="shared" si="146"/>
        <v>1.5093664240543925E-2</v>
      </c>
      <c r="DB65" s="133">
        <f t="shared" si="146"/>
        <v>-5.7713781957096755E-2</v>
      </c>
      <c r="DC65" s="133">
        <f t="shared" si="146"/>
        <v>9.3931266762302679E-2</v>
      </c>
      <c r="DD65" s="133">
        <f t="shared" si="146"/>
        <v>-2.7652659786760903E-2</v>
      </c>
      <c r="DE65" s="133">
        <f t="shared" si="146"/>
        <v>2.3454907939486347E-3</v>
      </c>
      <c r="DF65" s="133">
        <f t="shared" si="146"/>
        <v>0.22750672750672751</v>
      </c>
      <c r="DG65" s="133">
        <f t="shared" si="146"/>
        <v>7.7491302482962432E-2</v>
      </c>
      <c r="DH65" s="133">
        <f t="shared" si="146"/>
        <v>-0.14268654075810527</v>
      </c>
      <c r="DI65" s="133">
        <f t="shared" si="146"/>
        <v>8.0586080586080522E-2</v>
      </c>
      <c r="DJ65" s="133">
        <f t="shared" ref="DJ65" si="147">DJ57/DI57-1</f>
        <v>-6.0939484363810026E-2</v>
      </c>
      <c r="DK65" s="133">
        <f t="shared" ref="DK65" si="148">DK57/DJ57-1</f>
        <v>1.0177657332129053E-2</v>
      </c>
      <c r="DL65" s="133">
        <f t="shared" ref="DL65" si="149">DL57/DK57-1</f>
        <v>-7.1539286991773032E-4</v>
      </c>
      <c r="DM65" s="133">
        <f t="shared" ref="DM65" si="150">DM57/DL57-1</f>
        <v>1.5093664240544147E-2</v>
      </c>
      <c r="DN65" s="133">
        <f t="shared" ref="DN65" si="151">DN57/DM57-1</f>
        <v>-5.7713781957096644E-2</v>
      </c>
      <c r="DO65" s="133">
        <f t="shared" ref="DO65" si="152">DO57/DN57-1</f>
        <v>9.3931266762302679E-2</v>
      </c>
      <c r="DP65" s="133">
        <f t="shared" ref="DP65" si="153">DP57/DO57-1</f>
        <v>-2.7652659786761125E-2</v>
      </c>
      <c r="DQ65" s="133">
        <f t="shared" ref="DQ65" si="154">DQ57/DP57-1</f>
        <v>2.3454907939486347E-3</v>
      </c>
      <c r="DR65" s="133">
        <f t="shared" ref="DR65" si="155">DR57/DQ57-1</f>
        <v>0.22750672750672774</v>
      </c>
      <c r="DS65" s="133">
        <f t="shared" ref="DS65" si="156">DS57/DR57-1</f>
        <v>7.7491302482962432E-2</v>
      </c>
      <c r="DT65" s="133">
        <f t="shared" ref="DT65" si="157">DT57/DS57-1</f>
        <v>-0.14268654075810527</v>
      </c>
      <c r="DU65" s="133">
        <f t="shared" ref="DU65" si="158">DU57/DT57-1</f>
        <v>8.0586080586080744E-2</v>
      </c>
      <c r="DW65" s="133" t="e">
        <f t="shared" ref="DW65" si="159">DW57/DV57-1</f>
        <v>#DIV/0!</v>
      </c>
      <c r="DX65" s="657">
        <f t="shared" ref="DX65" si="160">DX57/DW57-1</f>
        <v>-0.11127385791420163</v>
      </c>
      <c r="DY65" s="133">
        <f t="shared" ref="DY65" si="161">DY57/DX57-1</f>
        <v>0.48529624544629124</v>
      </c>
      <c r="DZ65" s="133">
        <f t="shared" ref="DZ65" si="162">DZ57/DY57-1</f>
        <v>-0.17865491500977015</v>
      </c>
      <c r="EA65" s="133">
        <f t="shared" ref="EA65" si="163">EA57/DZ57-1</f>
        <v>0.15805560829363574</v>
      </c>
      <c r="EB65" s="133">
        <f t="shared" ref="EB65" si="164">EB57/EA57-1</f>
        <v>7.2216623763404542E-2</v>
      </c>
      <c r="EC65" s="133">
        <f t="shared" ref="EC65" si="165">EC57/EB57-1</f>
        <v>4.5718197386744874E-2</v>
      </c>
      <c r="ED65" s="133">
        <f t="shared" ref="ED65" si="166">ED57/EC57-1</f>
        <v>0.30377728927344272</v>
      </c>
      <c r="EE65" s="133">
        <f t="shared" ref="EE65" si="167">EE57/ED57-1</f>
        <v>1.8110212541368576E-2</v>
      </c>
      <c r="EF65" s="133">
        <f t="shared" ref="EF65" si="168">EF57/EE57-1</f>
        <v>4.7331703587004448E-2</v>
      </c>
      <c r="EG65" s="133">
        <f t="shared" ref="EG65" si="169">EG57/EF57-1</f>
        <v>2.1525319833283429E-2</v>
      </c>
      <c r="EH65" s="133">
        <f t="shared" ref="EH65" si="170">EH57/EG57-1</f>
        <v>0.15252561376908802</v>
      </c>
      <c r="EI65" s="133">
        <f t="shared" ref="EI65" si="171">EI57/EH57-1</f>
        <v>-1.7644263951947847E-2</v>
      </c>
      <c r="EJ65" s="133">
        <f t="shared" ref="EJ65" si="172">EJ57/EI57-1</f>
        <v>8.8949163359326455E-3</v>
      </c>
      <c r="EK65" s="133">
        <f t="shared" ref="EK65" si="173">EK57/EJ57-1</f>
        <v>8.9825449226085485E-2</v>
      </c>
      <c r="EL65" s="133">
        <f t="shared" ref="EL65" si="174">EL57/EK57-1</f>
        <v>0.14159003101703216</v>
      </c>
      <c r="EM65" s="133">
        <f t="shared" ref="EM65" si="175">EM57/EL57-1</f>
        <v>-5.6325937048159025E-2</v>
      </c>
      <c r="EN65" s="133">
        <f t="shared" ref="EN65" si="176">EN57/EM57-1</f>
        <v>8.8949163359326455E-3</v>
      </c>
      <c r="EO65" s="648">
        <f t="shared" ref="EO65" si="177">EO57/EN57-1</f>
        <v>8.9825449226085485E-2</v>
      </c>
      <c r="EP65" s="133">
        <f t="shared" ref="EP65" si="178">EP57/EO57-1</f>
        <v>0.14159003101703238</v>
      </c>
      <c r="EQ65" s="133">
        <f t="shared" ref="EQ65" si="179">EQ57/EP57-1</f>
        <v>-5.6325937048159358E-2</v>
      </c>
      <c r="ER65" s="133">
        <f t="shared" ref="ER65" si="180">ER57/EQ57-1</f>
        <v>8.8949163359326455E-3</v>
      </c>
      <c r="ES65" s="133">
        <f t="shared" ref="ES65" si="181">ES57/ER57-1</f>
        <v>8.9825449226085485E-2</v>
      </c>
      <c r="ET65" s="133">
        <f t="shared" ref="ET65" si="182">ET57/ES57-1</f>
        <v>0.14159003101703238</v>
      </c>
      <c r="EU65" s="638"/>
      <c r="EV65" s="133"/>
      <c r="EW65" s="133">
        <f>EW57/EV57-1</f>
        <v>0.3615339150139345</v>
      </c>
      <c r="EX65" s="133">
        <f t="shared" ref="EX65" si="183">EX57/EW57-1</f>
        <v>0.39079794445349569</v>
      </c>
      <c r="EY65" s="133">
        <f t="shared" ref="EY65" si="184">EY57/EX57-1</f>
        <v>0.21501948582402042</v>
      </c>
      <c r="EZ65" s="133">
        <f t="shared" ref="EZ65:FA65" si="185">EZ57/EY57-1</f>
        <v>0.18450000000000033</v>
      </c>
      <c r="FA65" s="133">
        <f t="shared" si="185"/>
        <v>0.18449999999999989</v>
      </c>
    </row>
    <row r="66" spans="2:157" x14ac:dyDescent="0.2">
      <c r="B66" s="117" t="s">
        <v>17</v>
      </c>
      <c r="C66" s="115"/>
      <c r="D66" s="133">
        <f>D42/C42-1</f>
        <v>4.4000000000000004</v>
      </c>
      <c r="E66" s="133">
        <f t="shared" ref="E66:BP66" si="186">E42/D42-1</f>
        <v>2.9467592592592591</v>
      </c>
      <c r="F66" s="133">
        <f t="shared" si="186"/>
        <v>0.20527859237536661</v>
      </c>
      <c r="G66" s="133">
        <f t="shared" si="186"/>
        <v>0.11970802919708023</v>
      </c>
      <c r="H66" s="133">
        <f t="shared" si="186"/>
        <v>-0.29552368535419382</v>
      </c>
      <c r="I66" s="133">
        <f t="shared" si="186"/>
        <v>0.93152375077112892</v>
      </c>
      <c r="J66" s="133">
        <f t="shared" si="186"/>
        <v>-7.9207920792079167E-2</v>
      </c>
      <c r="K66" s="133">
        <f t="shared" si="186"/>
        <v>0.26812348248352413</v>
      </c>
      <c r="L66" s="133">
        <f t="shared" si="186"/>
        <v>-0.10804157549234139</v>
      </c>
      <c r="M66" s="133">
        <f t="shared" si="186"/>
        <v>-0.61974854339159768</v>
      </c>
      <c r="N66" s="133">
        <f t="shared" si="186"/>
        <v>0.3612903225806452</v>
      </c>
      <c r="O66" s="133">
        <f t="shared" si="186"/>
        <v>0.46327014218009488</v>
      </c>
      <c r="P66" s="133">
        <f t="shared" si="186"/>
        <v>-0.90080971659919029</v>
      </c>
      <c r="Q66" s="133">
        <f t="shared" si="186"/>
        <v>4.7102040816326527</v>
      </c>
      <c r="R66" s="133">
        <f t="shared" si="186"/>
        <v>-1.2430307362401716</v>
      </c>
      <c r="S66" s="133">
        <f t="shared" si="186"/>
        <v>-6.1676470588235297</v>
      </c>
      <c r="T66" s="133">
        <f t="shared" si="186"/>
        <v>-0.41149686966420029</v>
      </c>
      <c r="U66" s="133">
        <f t="shared" si="186"/>
        <v>-0.48452611218568664</v>
      </c>
      <c r="V66" s="133">
        <f t="shared" si="186"/>
        <v>0.24202626641651026</v>
      </c>
      <c r="W66" s="133">
        <f t="shared" si="186"/>
        <v>0.60422960725075536</v>
      </c>
      <c r="X66" s="133">
        <f t="shared" si="186"/>
        <v>0.59416195856873832</v>
      </c>
      <c r="Y66" s="133">
        <f t="shared" si="186"/>
        <v>-8.2102776137034872E-2</v>
      </c>
      <c r="Z66" s="133">
        <f t="shared" si="186"/>
        <v>0.64221364221364219</v>
      </c>
      <c r="AA66" s="133">
        <f t="shared" si="186"/>
        <v>0.22413793103448265</v>
      </c>
      <c r="AB66" s="133">
        <f t="shared" si="186"/>
        <v>-0.44910371318822018</v>
      </c>
      <c r="AC66" s="133">
        <f t="shared" si="186"/>
        <v>0.37245787332945968</v>
      </c>
      <c r="AD66" s="133">
        <f t="shared" si="186"/>
        <v>-0.12193056731583407</v>
      </c>
      <c r="AE66" s="133">
        <f t="shared" si="186"/>
        <v>-0.39006750241080035</v>
      </c>
      <c r="AF66" s="133">
        <f t="shared" si="186"/>
        <v>0.46086956521739131</v>
      </c>
      <c r="AG66" s="133">
        <f t="shared" si="186"/>
        <v>-0.16017316017316019</v>
      </c>
      <c r="AH66" s="133">
        <f t="shared" si="186"/>
        <v>-0.365979381443299</v>
      </c>
      <c r="AI66" s="133">
        <f t="shared" si="186"/>
        <v>0.11280487804878048</v>
      </c>
      <c r="AJ66" s="133">
        <f t="shared" si="186"/>
        <v>0.19269406392694055</v>
      </c>
      <c r="AK66" s="133">
        <f t="shared" si="186"/>
        <v>1.2963246554364471</v>
      </c>
      <c r="AL66" s="133">
        <f t="shared" si="186"/>
        <v>0.22474158052684223</v>
      </c>
      <c r="AM66" s="133">
        <f t="shared" si="186"/>
        <v>5.0639803974952269E-2</v>
      </c>
      <c r="AN66" s="133">
        <f t="shared" si="186"/>
        <v>-0.22726094843223632</v>
      </c>
      <c r="AO66" s="133">
        <f t="shared" si="186"/>
        <v>-0.49128101945003355</v>
      </c>
      <c r="AP66" s="133">
        <f t="shared" si="186"/>
        <v>-5.7350032959789021E-2</v>
      </c>
      <c r="AQ66" s="133">
        <f t="shared" si="186"/>
        <v>0.55454545454545445</v>
      </c>
      <c r="AR66" s="133">
        <f t="shared" si="186"/>
        <v>-1.3495276653171517E-3</v>
      </c>
      <c r="AS66" s="133">
        <f t="shared" si="186"/>
        <v>0.18963963963963959</v>
      </c>
      <c r="AT66" s="133">
        <f t="shared" si="186"/>
        <v>-0.20749716016660358</v>
      </c>
      <c r="AU66" s="133">
        <f t="shared" si="186"/>
        <v>0.46536072623029145</v>
      </c>
      <c r="AV66" s="133">
        <f t="shared" si="186"/>
        <v>0.32050864036517779</v>
      </c>
      <c r="AW66" s="133">
        <f t="shared" si="186"/>
        <v>-0.2785185185185185</v>
      </c>
      <c r="AX66" s="133">
        <f t="shared" si="186"/>
        <v>-9.9931553730321698E-2</v>
      </c>
      <c r="AY66" s="133">
        <f t="shared" si="186"/>
        <v>-3.3079847908745297E-2</v>
      </c>
      <c r="AZ66" s="133">
        <f t="shared" si="186"/>
        <v>0.7086118757373181</v>
      </c>
      <c r="BA66" s="133">
        <f t="shared" si="186"/>
        <v>0.61680092059838887</v>
      </c>
      <c r="BB66" s="133">
        <f t="shared" si="186"/>
        <v>0.1894661921708185</v>
      </c>
      <c r="BC66" s="133">
        <f t="shared" si="186"/>
        <v>-0.1407371948300622</v>
      </c>
      <c r="BD66" s="133">
        <f t="shared" si="186"/>
        <v>0.32994428969359335</v>
      </c>
      <c r="BE66" s="133">
        <f t="shared" si="186"/>
        <v>-0.34537647921248293</v>
      </c>
      <c r="BF66" s="133">
        <f t="shared" si="186"/>
        <v>0.21884498480243164</v>
      </c>
      <c r="BG66" s="133">
        <f t="shared" si="186"/>
        <v>3.2943955899724431E-2</v>
      </c>
      <c r="BH66" s="133">
        <f t="shared" si="186"/>
        <v>0.30343074968233807</v>
      </c>
      <c r="BI66" s="133">
        <f t="shared" si="186"/>
        <v>-0.10684343926691364</v>
      </c>
      <c r="BJ66" s="133">
        <f t="shared" si="186"/>
        <v>-9.2774503383540763E-2</v>
      </c>
      <c r="BK66" s="133">
        <f t="shared" si="186"/>
        <v>5.028873917228105E-2</v>
      </c>
      <c r="BL66" s="133">
        <f t="shared" si="186"/>
        <v>-0.32256586483390604</v>
      </c>
      <c r="BM66" s="133">
        <f t="shared" si="186"/>
        <v>0.54379438620223208</v>
      </c>
      <c r="BN66" s="133">
        <f t="shared" si="186"/>
        <v>-7.8641840087623205E-2</v>
      </c>
      <c r="BO66" s="133">
        <f t="shared" si="186"/>
        <v>5.2068473609129917E-2</v>
      </c>
      <c r="BP66" s="133">
        <f t="shared" si="186"/>
        <v>4.5536723163841719E-2</v>
      </c>
      <c r="BQ66" s="133">
        <f t="shared" ref="BQ66:DI66" si="187">BQ42/BP42-1</f>
        <v>4.0959688749594658E-2</v>
      </c>
      <c r="BR66" s="133">
        <f t="shared" si="187"/>
        <v>-8.7001661129568086E-2</v>
      </c>
      <c r="BS66" s="133">
        <f t="shared" si="187"/>
        <v>8.3011143961793099E-3</v>
      </c>
      <c r="BT66" s="133">
        <f t="shared" si="187"/>
        <v>-2.2555543024693758E-4</v>
      </c>
      <c r="BU66" s="133">
        <f t="shared" si="187"/>
        <v>-0.10456852791878168</v>
      </c>
      <c r="BV66" s="133">
        <f t="shared" si="187"/>
        <v>0.24263038548752824</v>
      </c>
      <c r="BW66" s="133">
        <f t="shared" si="187"/>
        <v>0.12084347120843475</v>
      </c>
      <c r="BX66" s="133">
        <f t="shared" si="187"/>
        <v>-1.1486975397973942E-2</v>
      </c>
      <c r="BY66" s="133">
        <f t="shared" si="187"/>
        <v>0.31155640955256647</v>
      </c>
      <c r="BZ66" s="133">
        <f t="shared" si="187"/>
        <v>-0.1898283800753453</v>
      </c>
      <c r="CA66" s="133">
        <f t="shared" si="187"/>
        <v>3.6855248428485421E-2</v>
      </c>
      <c r="CB66" s="133">
        <f t="shared" si="187"/>
        <v>1.2564215122142119E-2</v>
      </c>
      <c r="CC66" s="133">
        <f t="shared" si="187"/>
        <v>4.5989267218147445E-2</v>
      </c>
      <c r="CD66" s="133">
        <f t="shared" si="187"/>
        <v>-7.7707206147573094E-2</v>
      </c>
      <c r="CE66" s="133">
        <f t="shared" si="187"/>
        <v>0.28354021424927733</v>
      </c>
      <c r="CF66" s="133">
        <f t="shared" si="187"/>
        <v>-0.18089686692720408</v>
      </c>
      <c r="CG66" s="133">
        <f t="shared" si="187"/>
        <v>2.9031214620734325E-2</v>
      </c>
      <c r="CH66" s="133">
        <f t="shared" si="187"/>
        <v>0.25595284872298629</v>
      </c>
      <c r="CI66" s="133">
        <f t="shared" si="187"/>
        <v>9.9737204354899189E-2</v>
      </c>
      <c r="CJ66" s="133">
        <f t="shared" si="187"/>
        <v>-0.15754437869822491</v>
      </c>
      <c r="CK66" s="133">
        <f t="shared" si="187"/>
        <v>9.319916255824956E-2</v>
      </c>
      <c r="CL66" s="133">
        <f t="shared" si="187"/>
        <v>-8.8290761518262095E-2</v>
      </c>
      <c r="CM66" s="133">
        <f t="shared" si="187"/>
        <v>1.0177657332128831E-2</v>
      </c>
      <c r="CN66" s="133">
        <f t="shared" si="187"/>
        <v>-7.1539286991773032E-4</v>
      </c>
      <c r="CO66" s="133">
        <f t="shared" si="187"/>
        <v>1.5093664240544147E-2</v>
      </c>
      <c r="CP66" s="133">
        <f t="shared" si="187"/>
        <v>-5.7713781957096755E-2</v>
      </c>
      <c r="CQ66" s="133">
        <f t="shared" si="187"/>
        <v>9.3931266762302679E-2</v>
      </c>
      <c r="CR66" s="133">
        <f t="shared" si="187"/>
        <v>-2.7652659786761014E-2</v>
      </c>
      <c r="CS66" s="133">
        <f t="shared" si="187"/>
        <v>2.3454907939486347E-3</v>
      </c>
      <c r="CT66" s="133">
        <f t="shared" si="187"/>
        <v>0.22750672750672751</v>
      </c>
      <c r="CU66" s="133">
        <f t="shared" si="187"/>
        <v>7.7491302482962432E-2</v>
      </c>
      <c r="CV66" s="133">
        <f t="shared" si="187"/>
        <v>-0.14268654075810516</v>
      </c>
      <c r="CW66" s="133">
        <f t="shared" si="187"/>
        <v>8.05860805860803E-2</v>
      </c>
      <c r="CX66" s="133">
        <f t="shared" si="187"/>
        <v>-8.8290761518262095E-2</v>
      </c>
      <c r="CY66" s="133">
        <f t="shared" si="187"/>
        <v>1.0177657332128831E-2</v>
      </c>
      <c r="CZ66" s="133">
        <f t="shared" si="187"/>
        <v>-7.1539286991773032E-4</v>
      </c>
      <c r="DA66" s="133">
        <f t="shared" si="187"/>
        <v>1.5093664240544147E-2</v>
      </c>
      <c r="DB66" s="133">
        <f t="shared" si="187"/>
        <v>-5.7713781957096755E-2</v>
      </c>
      <c r="DC66" s="133">
        <f t="shared" si="187"/>
        <v>9.3931266762302679E-2</v>
      </c>
      <c r="DD66" s="133">
        <f t="shared" si="187"/>
        <v>-2.7652659786760903E-2</v>
      </c>
      <c r="DE66" s="133">
        <f t="shared" si="187"/>
        <v>2.3454907939486347E-3</v>
      </c>
      <c r="DF66" s="133">
        <f t="shared" si="187"/>
        <v>0.22750672750672729</v>
      </c>
      <c r="DG66" s="133">
        <f t="shared" si="187"/>
        <v>7.7491302482962432E-2</v>
      </c>
      <c r="DH66" s="133">
        <f t="shared" si="187"/>
        <v>-0.14268654075810516</v>
      </c>
      <c r="DI66" s="133">
        <f t="shared" si="187"/>
        <v>8.0586080586080522E-2</v>
      </c>
      <c r="DJ66" s="133">
        <f t="shared" ref="DJ66" si="188">DJ42/DI42-1</f>
        <v>-8.8290761518262095E-2</v>
      </c>
      <c r="DK66" s="133">
        <f t="shared" ref="DK66" si="189">DK42/DJ42-1</f>
        <v>1.0177657332128831E-2</v>
      </c>
      <c r="DL66" s="133">
        <f t="shared" ref="DL66" si="190">DL42/DK42-1</f>
        <v>-7.1539286991750828E-4</v>
      </c>
      <c r="DM66" s="133">
        <f t="shared" ref="DM66" si="191">DM42/DL42-1</f>
        <v>1.5093664240544147E-2</v>
      </c>
      <c r="DN66" s="133">
        <f t="shared" ref="DN66" si="192">DN42/DM42-1</f>
        <v>-5.7713781957096977E-2</v>
      </c>
      <c r="DO66" s="133">
        <f t="shared" ref="DO66" si="193">DO42/DN42-1</f>
        <v>9.3931266762302901E-2</v>
      </c>
      <c r="DP66" s="133">
        <f t="shared" ref="DP66" si="194">DP42/DO42-1</f>
        <v>-2.7652659786760903E-2</v>
      </c>
      <c r="DQ66" s="133">
        <f t="shared" ref="DQ66" si="195">DQ42/DP42-1</f>
        <v>2.3454907939486347E-3</v>
      </c>
      <c r="DR66" s="133">
        <f t="shared" ref="DR66" si="196">DR42/DQ42-1</f>
        <v>0.22750672750672751</v>
      </c>
      <c r="DS66" s="133">
        <f t="shared" ref="DS66" si="197">DS42/DR42-1</f>
        <v>7.7491302482962432E-2</v>
      </c>
      <c r="DT66" s="133">
        <f t="shared" ref="DT66" si="198">DT42/DS42-1</f>
        <v>-0.14268654075810527</v>
      </c>
      <c r="DU66" s="133">
        <f t="shared" ref="DU66" si="199">DU42/DT42-1</f>
        <v>8.0586080586080744E-2</v>
      </c>
      <c r="DW66" s="133" t="e">
        <f t="shared" ref="DW66" si="200">DW42/DV42-1</f>
        <v>#DIV/0!</v>
      </c>
      <c r="DX66" s="657">
        <f t="shared" ref="DX66" si="201">DX42/DW42-1</f>
        <v>-0.13334662148694443</v>
      </c>
      <c r="DY66" s="133">
        <f t="shared" ref="DY66" si="202">DY42/DX42-1</f>
        <v>0.27562097516099349</v>
      </c>
      <c r="DZ66" s="133">
        <f t="shared" ref="DZ66" si="203">DZ42/DY42-1</f>
        <v>-0.14272320784653103</v>
      </c>
      <c r="EA66" s="133">
        <f t="shared" ref="EA66" si="204">EA42/DZ42-1</f>
        <v>0.11529401867586442</v>
      </c>
      <c r="EB66" s="133">
        <f t="shared" ref="EB66" si="205">EB42/EA42-1</f>
        <v>2.9341881953611093E-2</v>
      </c>
      <c r="EC66" s="133">
        <f t="shared" ref="EC66" si="206">EC42/EB42-1</f>
        <v>-2.2936284028871823E-2</v>
      </c>
      <c r="ED66" s="133">
        <f t="shared" ref="ED66" si="207">ED42/EC42-1</f>
        <v>0.36194547568155389</v>
      </c>
      <c r="EE66" s="133">
        <f t="shared" ref="EE66" si="208">EE42/ED42-1</f>
        <v>-1.3015619530116207E-2</v>
      </c>
      <c r="EF66" s="133">
        <f t="shared" ref="EF66" si="209">EF42/EE42-1</f>
        <v>0.10505172881031721</v>
      </c>
      <c r="EG66" s="133">
        <f t="shared" ref="EG66" si="210">EG42/EF42-1</f>
        <v>3.6882762799151703E-2</v>
      </c>
      <c r="EH66" s="133">
        <f t="shared" ref="EH66" si="211">EH42/EG42-1</f>
        <v>0.18252866846833693</v>
      </c>
      <c r="EI66" s="133">
        <f t="shared" ref="EI66" si="212">EI42/EH42-1</f>
        <v>-8.2494386432145683E-2</v>
      </c>
      <c r="EJ66" s="133">
        <f t="shared" ref="EJ66" si="213">EJ42/EI42-1</f>
        <v>8.8949163359326455E-3</v>
      </c>
      <c r="EK66" s="133">
        <f t="shared" ref="EK66" si="214">EK42/EJ42-1</f>
        <v>8.9825449226085707E-2</v>
      </c>
      <c r="EL66" s="133">
        <f t="shared" ref="EL66" si="215">EL42/EK42-1</f>
        <v>0.14159003101703216</v>
      </c>
      <c r="EM66" s="133">
        <f t="shared" ref="EM66" si="216">EM42/EL42-1</f>
        <v>-8.3811589367144945E-2</v>
      </c>
      <c r="EN66" s="133">
        <f t="shared" ref="EN66" si="217">EN42/EM42-1</f>
        <v>8.8949163359326455E-3</v>
      </c>
      <c r="EO66" s="648">
        <f t="shared" ref="EO66" si="218">EO42/EN42-1</f>
        <v>8.9825449226085707E-2</v>
      </c>
      <c r="EP66" s="133">
        <f t="shared" ref="EP66" si="219">EP42/EO42-1</f>
        <v>0.14159003101703216</v>
      </c>
      <c r="EQ66" s="133">
        <f t="shared" ref="EQ66" si="220">EQ42/EP42-1</f>
        <v>-8.3811589367144834E-2</v>
      </c>
      <c r="ER66" s="133">
        <f t="shared" ref="ER66" si="221">ER42/EQ42-1</f>
        <v>8.8949163359326455E-3</v>
      </c>
      <c r="ES66" s="133">
        <f t="shared" ref="ES66" si="222">ES42/ER42-1</f>
        <v>8.9825449226085707E-2</v>
      </c>
      <c r="ET66" s="133">
        <f t="shared" ref="ET66" si="223">ET42/ES42-1</f>
        <v>0.14159003101703216</v>
      </c>
      <c r="EU66" s="638"/>
      <c r="EV66" s="133"/>
      <c r="EW66" s="133">
        <f>EW42/EV42-1</f>
        <v>0.18776377744556649</v>
      </c>
      <c r="EX66" s="133">
        <f t="shared" ref="EX66" si="224">EX42/EW42-1</f>
        <v>0.41361102209262213</v>
      </c>
      <c r="EY66" s="133">
        <f t="shared" ref="EY66" si="225">EY42/EX42-1</f>
        <v>0.17780329532512584</v>
      </c>
      <c r="EZ66" s="133">
        <f t="shared" ref="EZ66:FA66" si="226">EZ42/EY42-1</f>
        <v>0.14999999999999991</v>
      </c>
      <c r="FA66" s="133">
        <f t="shared" si="226"/>
        <v>0.15000000000000013</v>
      </c>
    </row>
    <row r="67" spans="2:157" x14ac:dyDescent="0.2">
      <c r="B67" s="117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 s="115"/>
      <c r="BH67" s="115"/>
      <c r="BI67" s="115"/>
      <c r="BJ67" s="115"/>
      <c r="BK67" s="115"/>
      <c r="BL67" s="115"/>
      <c r="BM67" s="115"/>
      <c r="BN67" s="115"/>
      <c r="BO67" s="115"/>
      <c r="BP67" s="115"/>
      <c r="BQ67" s="115"/>
      <c r="BR67" s="115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115"/>
      <c r="CD67" s="115"/>
      <c r="CE67" s="115"/>
      <c r="CF67" s="115"/>
      <c r="CG67" s="115"/>
      <c r="CH67" s="115"/>
      <c r="CI67" s="115"/>
      <c r="CJ67" s="115"/>
      <c r="CK67" s="115"/>
      <c r="CL67" s="115"/>
      <c r="CM67" s="115"/>
      <c r="CN67" s="115"/>
      <c r="CO67" s="115"/>
      <c r="CP67" s="115"/>
      <c r="CQ67" s="115"/>
      <c r="CR67" s="115"/>
      <c r="CS67" s="115"/>
      <c r="CT67" s="115"/>
      <c r="CU67" s="115"/>
      <c r="CV67" s="115"/>
      <c r="CW67" s="115"/>
      <c r="CX67" s="115"/>
      <c r="CY67" s="115"/>
      <c r="CZ67" s="115"/>
      <c r="DA67" s="115"/>
      <c r="DB67" s="115"/>
      <c r="DC67" s="115"/>
      <c r="DD67" s="115"/>
      <c r="DE67" s="115"/>
      <c r="DF67" s="115"/>
      <c r="DG67" s="115"/>
      <c r="DH67" s="115"/>
      <c r="DI67" s="115"/>
      <c r="DJ67" s="115"/>
      <c r="DK67" s="115"/>
      <c r="DL67" s="115"/>
      <c r="DM67" s="115"/>
      <c r="DN67" s="115"/>
      <c r="DO67" s="115"/>
      <c r="DP67" s="115"/>
      <c r="DQ67" s="115"/>
      <c r="DR67" s="115"/>
      <c r="DS67" s="115"/>
      <c r="DT67" s="115"/>
      <c r="DU67" s="115"/>
      <c r="DW67" s="115"/>
      <c r="DX67" s="664"/>
      <c r="DY67" s="115"/>
      <c r="DZ67" s="115"/>
      <c r="EA67" s="115"/>
      <c r="EB67" s="115"/>
      <c r="EC67" s="115"/>
      <c r="ED67" s="115"/>
      <c r="EE67" s="115"/>
      <c r="EF67" s="115"/>
      <c r="EG67" s="115"/>
      <c r="EH67" s="115"/>
      <c r="EI67" s="115"/>
      <c r="EJ67" s="115"/>
      <c r="EK67" s="115"/>
      <c r="EL67" s="115"/>
      <c r="EM67" s="115"/>
      <c r="EN67" s="115"/>
      <c r="EO67" s="645"/>
      <c r="EP67" s="115"/>
      <c r="EQ67" s="115"/>
      <c r="ER67" s="115"/>
      <c r="ES67" s="115"/>
      <c r="ET67" s="115"/>
      <c r="EV67" s="130"/>
      <c r="EW67" s="115"/>
      <c r="EX67" s="115"/>
      <c r="EY67" s="115"/>
      <c r="EZ67" s="115"/>
      <c r="FA67" s="664"/>
    </row>
    <row r="68" spans="2:157" x14ac:dyDescent="0.2">
      <c r="B68" s="186" t="s">
        <v>18</v>
      </c>
      <c r="C68" s="187">
        <f>SUM(C69,C72,C75)</f>
        <v>394535.4147843942</v>
      </c>
      <c r="D68" s="187">
        <f t="shared" ref="D68:AC68" si="227">SUM(D69,D72,D75)</f>
        <v>2433846.05034965</v>
      </c>
      <c r="E68" s="187">
        <f t="shared" si="227"/>
        <v>13810592.014258556</v>
      </c>
      <c r="F68" s="187">
        <f t="shared" si="227"/>
        <v>20105459.368441757</v>
      </c>
      <c r="G68" s="187">
        <f t="shared" si="227"/>
        <v>22948226.186251927</v>
      </c>
      <c r="H68" s="187">
        <f t="shared" si="227"/>
        <v>15162121.254467007</v>
      </c>
      <c r="I68" s="187">
        <f t="shared" si="227"/>
        <v>31199346.387183223</v>
      </c>
      <c r="J68" s="187">
        <f t="shared" si="227"/>
        <v>19865598.599548992</v>
      </c>
      <c r="K68" s="187">
        <f t="shared" si="227"/>
        <v>32481897.22558156</v>
      </c>
      <c r="L68" s="187">
        <f t="shared" si="227"/>
        <v>25569304.416226413</v>
      </c>
      <c r="M68" s="187">
        <f t="shared" si="227"/>
        <v>7979457.6289513912</v>
      </c>
      <c r="N68" s="187">
        <f t="shared" si="227"/>
        <v>13491163.43700527</v>
      </c>
      <c r="O68" s="187">
        <f t="shared" si="227"/>
        <v>21473283.635944605</v>
      </c>
      <c r="P68" s="187">
        <f t="shared" si="227"/>
        <v>1562133.4356053874</v>
      </c>
      <c r="Q68" s="187">
        <f t="shared" si="227"/>
        <v>12898410.516812328</v>
      </c>
      <c r="R68" s="187">
        <f t="shared" si="227"/>
        <v>-2216959.5399999996</v>
      </c>
      <c r="S68" s="187">
        <f t="shared" si="227"/>
        <v>16759009.81198808</v>
      </c>
      <c r="T68" s="187">
        <f t="shared" si="227"/>
        <v>9459564.0608582329</v>
      </c>
      <c r="U68" s="187">
        <f t="shared" si="227"/>
        <v>4627785.866609266</v>
      </c>
      <c r="V68" s="187">
        <f t="shared" si="227"/>
        <v>5307425.3214533124</v>
      </c>
      <c r="W68" s="187">
        <f t="shared" si="227"/>
        <v>7582235.1190647054</v>
      </c>
      <c r="X68" s="187">
        <f t="shared" si="227"/>
        <v>15219841.850097561</v>
      </c>
      <c r="Y68" s="187">
        <f t="shared" si="227"/>
        <v>13276746.974270133</v>
      </c>
      <c r="Z68" s="187">
        <f t="shared" si="227"/>
        <v>19813975.35255225</v>
      </c>
      <c r="AA68" s="187">
        <f t="shared" si="227"/>
        <v>23386397.733196452</v>
      </c>
      <c r="AB68" s="187">
        <f t="shared" si="227"/>
        <v>13095272.558795912</v>
      </c>
      <c r="AC68" s="187">
        <f t="shared" si="227"/>
        <v>17555755.402354401</v>
      </c>
      <c r="AD68" s="187">
        <f t="shared" ref="AD68:BO68" si="228">SUM(AD69,AD72:AD78)</f>
        <v>14861225.158906134</v>
      </c>
      <c r="AE68" s="187">
        <f t="shared" si="228"/>
        <v>10020539.42200179</v>
      </c>
      <c r="AF68" s="187">
        <f t="shared" si="228"/>
        <v>14992047.379407533</v>
      </c>
      <c r="AG68" s="187">
        <f t="shared" si="228"/>
        <v>11885126.69729656</v>
      </c>
      <c r="AH68" s="187">
        <f t="shared" si="228"/>
        <v>7720646.7826341614</v>
      </c>
      <c r="AI68" s="187">
        <f t="shared" si="228"/>
        <v>9233276.1266593821</v>
      </c>
      <c r="AJ68" s="187">
        <f t="shared" si="228"/>
        <v>10830604.87410596</v>
      </c>
      <c r="AK68" s="187">
        <f t="shared" si="228"/>
        <v>26865229.4747102</v>
      </c>
      <c r="AL68" s="187">
        <f t="shared" si="228"/>
        <v>31176828.180481832</v>
      </c>
      <c r="AM68" s="187">
        <f t="shared" si="228"/>
        <v>35991949.332048185</v>
      </c>
      <c r="AN68" s="187">
        <f t="shared" si="228"/>
        <v>31226957.376008883</v>
      </c>
      <c r="AO68" s="187">
        <f t="shared" si="228"/>
        <v>18253091.6961063</v>
      </c>
      <c r="AP68" s="187">
        <f t="shared" si="228"/>
        <v>16764759.914544636</v>
      </c>
      <c r="AQ68" s="187">
        <f t="shared" si="228"/>
        <v>24949476.494950686</v>
      </c>
      <c r="AR68" s="187">
        <f t="shared" si="228"/>
        <v>35551723.258408248</v>
      </c>
      <c r="AS68" s="187">
        <f t="shared" si="228"/>
        <v>33836471.421072647</v>
      </c>
      <c r="AT68" s="187">
        <f t="shared" si="228"/>
        <v>24047095.372728806</v>
      </c>
      <c r="AU68" s="187">
        <f t="shared" si="228"/>
        <v>32802580.04763585</v>
      </c>
      <c r="AV68" s="187">
        <f t="shared" si="228"/>
        <v>55923078.489722617</v>
      </c>
      <c r="AW68" s="187">
        <f t="shared" si="228"/>
        <v>46605522.138639025</v>
      </c>
      <c r="AX68" s="187">
        <f t="shared" si="228"/>
        <v>39858438.049138077</v>
      </c>
      <c r="AY68" s="187">
        <f t="shared" si="228"/>
        <v>47248737.457172602</v>
      </c>
      <c r="AZ68" s="187">
        <f t="shared" si="228"/>
        <v>70594063.933746725</v>
      </c>
      <c r="BA68" s="187">
        <f t="shared" si="228"/>
        <v>124408083.02721524</v>
      </c>
      <c r="BB68" s="187">
        <f t="shared" si="228"/>
        <v>150339921.26334244</v>
      </c>
      <c r="BC68" s="187">
        <f t="shared" si="228"/>
        <v>131221500.17714185</v>
      </c>
      <c r="BD68" s="187">
        <f t="shared" si="228"/>
        <v>157856500.91275519</v>
      </c>
      <c r="BE68" s="187">
        <f t="shared" si="228"/>
        <v>110547543.72282162</v>
      </c>
      <c r="BF68" s="187">
        <f t="shared" si="228"/>
        <v>128707808.59583162</v>
      </c>
      <c r="BG68" s="187">
        <f t="shared" si="228"/>
        <v>151817520.86237288</v>
      </c>
      <c r="BH68" s="187">
        <f t="shared" si="228"/>
        <v>232860935.46962333</v>
      </c>
      <c r="BI68" s="187">
        <f t="shared" si="228"/>
        <v>177318284.89842957</v>
      </c>
      <c r="BJ68" s="187">
        <f t="shared" si="228"/>
        <v>164670494.35322011</v>
      </c>
      <c r="BK68" s="187">
        <f t="shared" si="228"/>
        <v>165153290.56198257</v>
      </c>
      <c r="BL68" s="187">
        <f t="shared" si="228"/>
        <v>115097944.43632841</v>
      </c>
      <c r="BM68" s="187">
        <f t="shared" si="228"/>
        <v>164575828.32015568</v>
      </c>
      <c r="BN68" s="187">
        <f t="shared" si="228"/>
        <v>160812154.48014563</v>
      </c>
      <c r="BO68" s="187">
        <f t="shared" si="228"/>
        <v>175208151.43928212</v>
      </c>
      <c r="BP68" s="187">
        <f t="shared" ref="BP68:DI68" si="229">SUM(BP69,BP72:BP78)</f>
        <v>177332883.53145739</v>
      </c>
      <c r="BQ68" s="187">
        <f t="shared" si="229"/>
        <v>189284447.78650746</v>
      </c>
      <c r="BR68" s="187">
        <f t="shared" si="229"/>
        <v>178427754.07474685</v>
      </c>
      <c r="BS68" s="187">
        <f t="shared" si="229"/>
        <v>186531531.99537244</v>
      </c>
      <c r="BT68" s="187">
        <f t="shared" si="229"/>
        <v>196458278.56011313</v>
      </c>
      <c r="BU68" s="187">
        <f t="shared" si="229"/>
        <v>171942474.66347858</v>
      </c>
      <c r="BV68" s="187">
        <f t="shared" si="229"/>
        <v>208573773.43765733</v>
      </c>
      <c r="BW68" s="187">
        <f t="shared" si="229"/>
        <v>234867690.71546042</v>
      </c>
      <c r="BX68" s="187">
        <f t="shared" si="229"/>
        <v>229507798.19632638</v>
      </c>
      <c r="BY68" s="187">
        <f t="shared" si="229"/>
        <v>302843122.38202989</v>
      </c>
      <c r="BZ68" s="187">
        <f t="shared" si="229"/>
        <v>259767230.3377943</v>
      </c>
      <c r="CA68" s="187">
        <f t="shared" si="229"/>
        <v>260255175.69516674</v>
      </c>
      <c r="CB68" s="187">
        <f t="shared" si="229"/>
        <v>254434949.39085126</v>
      </c>
      <c r="CC68" s="187">
        <f t="shared" si="229"/>
        <v>265391433.30693322</v>
      </c>
      <c r="CD68" s="187">
        <f t="shared" si="229"/>
        <v>234260606.72014678</v>
      </c>
      <c r="CE68" s="187">
        <f t="shared" si="229"/>
        <v>312043610.02490067</v>
      </c>
      <c r="CF68" s="187">
        <f t="shared" si="229"/>
        <v>263546040.46228582</v>
      </c>
      <c r="CG68" s="187">
        <f t="shared" si="229"/>
        <v>263410413.94391373</v>
      </c>
      <c r="CH68" s="187">
        <f t="shared" si="229"/>
        <v>319992910.12266129</v>
      </c>
      <c r="CI68" s="187">
        <f t="shared" si="229"/>
        <v>359201561.73007691</v>
      </c>
      <c r="CJ68" s="187">
        <f t="shared" si="229"/>
        <v>292532273.13527018</v>
      </c>
      <c r="CK68" s="187">
        <f t="shared" si="229"/>
        <v>346889334.59157753</v>
      </c>
      <c r="CL68" s="187">
        <f t="shared" si="229"/>
        <v>315367920.95921332</v>
      </c>
      <c r="CM68" s="187">
        <f t="shared" si="229"/>
        <v>318577627.592282</v>
      </c>
      <c r="CN68" s="187">
        <f t="shared" si="229"/>
        <v>318349719.42898721</v>
      </c>
      <c r="CO68" s="187">
        <f t="shared" si="229"/>
        <v>323154783.20511979</v>
      </c>
      <c r="CP68" s="187">
        <f t="shared" si="229"/>
        <v>304504298.50882661</v>
      </c>
      <c r="CQ68" s="187">
        <f t="shared" si="229"/>
        <v>333106773.00232708</v>
      </c>
      <c r="CR68" s="187">
        <f t="shared" si="229"/>
        <v>323895484.73582804</v>
      </c>
      <c r="CS68" s="187">
        <f t="shared" si="229"/>
        <v>324655178.61347729</v>
      </c>
      <c r="CT68" s="187">
        <f t="shared" si="229"/>
        <v>398516415.86794168</v>
      </c>
      <c r="CU68" s="187">
        <f t="shared" si="229"/>
        <v>429397971.99439037</v>
      </c>
      <c r="CV68" s="187">
        <f t="shared" si="229"/>
        <v>368128660.76196504</v>
      </c>
      <c r="CW68" s="187">
        <f t="shared" si="229"/>
        <v>397794706.6841746</v>
      </c>
      <c r="CX68" s="187">
        <f t="shared" si="229"/>
        <v>374325356.20949632</v>
      </c>
      <c r="CY68" s="187">
        <f t="shared" si="229"/>
        <v>378135111.41572368</v>
      </c>
      <c r="CZ68" s="187">
        <f t="shared" si="229"/>
        <v>377864596.2531513</v>
      </c>
      <c r="DA68" s="187">
        <f t="shared" si="229"/>
        <v>383567957.59738511</v>
      </c>
      <c r="DB68" s="187">
        <f t="shared" si="229"/>
        <v>361430800.12688071</v>
      </c>
      <c r="DC68" s="187">
        <f t="shared" si="229"/>
        <v>395380453.02971119</v>
      </c>
      <c r="DD68" s="187">
        <f t="shared" si="229"/>
        <v>384447131.87574524</v>
      </c>
      <c r="DE68" s="187">
        <f t="shared" si="229"/>
        <v>385348849.08431977</v>
      </c>
      <c r="DF68" s="187">
        <f t="shared" si="229"/>
        <v>473018304.68797702</v>
      </c>
      <c r="DG68" s="187">
        <f t="shared" si="229"/>
        <v>509673109.21653128</v>
      </c>
      <c r="DH68" s="187">
        <f t="shared" si="229"/>
        <v>436949616.34499645</v>
      </c>
      <c r="DI68" s="187">
        <f t="shared" si="229"/>
        <v>472161673.33983129</v>
      </c>
      <c r="DJ68" s="187">
        <f t="shared" ref="DJ68:DU68" si="230">SUM(DJ69,DJ72:DJ78)</f>
        <v>444320639.43386781</v>
      </c>
      <c r="DK68" s="187">
        <f t="shared" si="230"/>
        <v>448842782.64761817</v>
      </c>
      <c r="DL68" s="187">
        <f t="shared" si="230"/>
        <v>448521683.7211979</v>
      </c>
      <c r="DM68" s="187">
        <f t="shared" si="230"/>
        <v>455291519.41988921</v>
      </c>
      <c r="DN68" s="187">
        <f t="shared" si="230"/>
        <v>429014923.94117451</v>
      </c>
      <c r="DO68" s="187">
        <f t="shared" si="230"/>
        <v>469312839.20690197</v>
      </c>
      <c r="DP68" s="187">
        <f t="shared" si="230"/>
        <v>456335090.9307546</v>
      </c>
      <c r="DQ68" s="187">
        <f t="shared" si="230"/>
        <v>457405420.6854884</v>
      </c>
      <c r="DR68" s="187">
        <f t="shared" si="230"/>
        <v>561468231.08948195</v>
      </c>
      <c r="DS68" s="187">
        <f t="shared" si="230"/>
        <v>604977135.61941111</v>
      </c>
      <c r="DT68" s="187">
        <f t="shared" si="230"/>
        <v>518655040.90012997</v>
      </c>
      <c r="DU68" s="187">
        <f t="shared" si="230"/>
        <v>560451417.82248485</v>
      </c>
      <c r="DW68" s="187">
        <f t="shared" ref="DW68:DW78" si="231">SUM(BB68:BD68)</f>
        <v>439417922.35323948</v>
      </c>
      <c r="DX68" s="667">
        <f t="shared" ref="DX68:DX78" si="232">SUM(BE68:BG68)</f>
        <v>391072873.1810261</v>
      </c>
      <c r="DY68" s="187">
        <f t="shared" ref="DY68:DY78" si="233">SUM(BH68:BJ68)</f>
        <v>574849714.72127295</v>
      </c>
      <c r="DZ68" s="187">
        <f t="shared" ref="DZ68:DZ78" si="234">SUM(BK68:BM68)</f>
        <v>444827063.31846666</v>
      </c>
      <c r="EA68" s="187">
        <f t="shared" ref="EA68:EA78" si="235">SUM(BN68:BP68)</f>
        <v>513353189.45088518</v>
      </c>
      <c r="EB68" s="187">
        <f t="shared" ref="EB68:EB78" si="236">SUM(BQ68:BS68)</f>
        <v>554243733.85662675</v>
      </c>
      <c r="EC68" s="187">
        <f t="shared" ref="EC68:EC78" si="237">SUM(BT68:BV68)</f>
        <v>576974526.66124904</v>
      </c>
      <c r="ED68" s="187">
        <f t="shared" ref="ED68:ED78" si="238">SUM(BW68:BY68)</f>
        <v>767218611.29381669</v>
      </c>
      <c r="EE68" s="187">
        <f t="shared" ref="EE68:EE78" si="239">SUM(BZ68:CB68)</f>
        <v>774457355.42381227</v>
      </c>
      <c r="EF68" s="187">
        <f t="shared" ref="EF68:EF78" si="240">SUM(CC68:CE68)</f>
        <v>811695650.05198073</v>
      </c>
      <c r="EG68" s="187">
        <f t="shared" ref="EG68:EG78" si="241">SUM(CF68:CH68)</f>
        <v>846949364.52886081</v>
      </c>
      <c r="EH68" s="187">
        <f t="shared" ref="EH68:EH78" si="242">SUM(CI68:CK68)</f>
        <v>998623169.45692468</v>
      </c>
      <c r="EI68" s="187">
        <f t="shared" ref="EI68:EI78" si="243">SUM(CL68:CN68)</f>
        <v>952295267.98048258</v>
      </c>
      <c r="EJ68" s="187">
        <f t="shared" ref="EJ68:EJ78" si="244">SUM(CO68:CQ68)</f>
        <v>960765854.71627343</v>
      </c>
      <c r="EK68" s="187">
        <f t="shared" ref="EK68:EK78" si="245">SUM(CR68:CT68)</f>
        <v>1047067079.217247</v>
      </c>
      <c r="EL68" s="187">
        <f t="shared" ref="EL68:EL78" si="246">SUM(CU68:CW68)</f>
        <v>1195321339.4405301</v>
      </c>
      <c r="EM68" s="187">
        <f t="shared" ref="EM68:EM78" si="247">SUM(CX68:CZ68)</f>
        <v>1130325063.8783712</v>
      </c>
      <c r="EN68" s="187">
        <f t="shared" ref="EN68:EN78" si="248">SUM(DA68:DC68)</f>
        <v>1140379210.7539771</v>
      </c>
      <c r="EO68" s="649">
        <f t="shared" ref="EO68:EO78" si="249">SUM(DD68:DF68)</f>
        <v>1242814285.648042</v>
      </c>
      <c r="EP68" s="187">
        <f t="shared" ref="EP68:EP78" si="250">SUM(DG68:DI68)</f>
        <v>1418784398.9013591</v>
      </c>
      <c r="EQ68" s="187">
        <f t="shared" ref="EQ68:EQ78" si="251">SUM(DJ68:DL68)</f>
        <v>1341685105.8026838</v>
      </c>
      <c r="ER68" s="187">
        <f t="shared" ref="ER68:ER78" si="252">SUM(DM68:DO68)</f>
        <v>1353619282.5679657</v>
      </c>
      <c r="ES68" s="187">
        <f t="shared" ref="ES68:ES78" si="253">SUM(DP68:DR68)</f>
        <v>1475208742.705725</v>
      </c>
      <c r="ET68" s="187">
        <f t="shared" ref="ET68:ET78" si="254">SUM(DS68:DU68)</f>
        <v>1684083594.3420258</v>
      </c>
      <c r="EV68" s="187">
        <f>SUM(EV69,EV72:EV78)</f>
        <v>1850167573.5740051</v>
      </c>
      <c r="EW68" s="187">
        <f t="shared" ref="EW68:FA68" si="255">SUM(EW69,EW72:EW78)</f>
        <v>2411790061.2625775</v>
      </c>
      <c r="EX68" s="187">
        <f t="shared" si="255"/>
        <v>3431725539.4615774</v>
      </c>
      <c r="EY68" s="187">
        <f t="shared" si="255"/>
        <v>4155449541.3545332</v>
      </c>
      <c r="EZ68" s="187">
        <f t="shared" si="255"/>
        <v>4932302959.1817503</v>
      </c>
      <c r="FA68" s="187">
        <f t="shared" si="255"/>
        <v>5854596725.4183979</v>
      </c>
    </row>
    <row r="69" spans="2:157" x14ac:dyDescent="0.2">
      <c r="B69" s="114" t="s">
        <v>19</v>
      </c>
      <c r="C69" s="130">
        <f>SUM(C70:C71)</f>
        <v>350557</v>
      </c>
      <c r="D69" s="130">
        <f t="shared" ref="D69:BO69" si="256">SUM(D70:D71)</f>
        <v>2151967.44</v>
      </c>
      <c r="E69" s="130">
        <f t="shared" si="256"/>
        <v>12810757</v>
      </c>
      <c r="F69" s="130">
        <f t="shared" si="256"/>
        <v>18506520.140000001</v>
      </c>
      <c r="G69" s="130">
        <f t="shared" si="256"/>
        <v>21125074.890000001</v>
      </c>
      <c r="H69" s="130">
        <f t="shared" si="256"/>
        <v>14063325.290000001</v>
      </c>
      <c r="I69" s="130">
        <f t="shared" si="256"/>
        <v>28119857.809999999</v>
      </c>
      <c r="J69" s="130">
        <f t="shared" si="256"/>
        <v>16973850.82</v>
      </c>
      <c r="K69" s="130">
        <f t="shared" si="256"/>
        <v>28668380.680000003</v>
      </c>
      <c r="L69" s="130">
        <f t="shared" si="256"/>
        <v>21919201.27</v>
      </c>
      <c r="M69" s="130">
        <f t="shared" si="256"/>
        <v>6274034.3000000007</v>
      </c>
      <c r="N69" s="130">
        <f t="shared" si="256"/>
        <v>11694411.189999999</v>
      </c>
      <c r="O69" s="130">
        <f t="shared" si="256"/>
        <v>18779560.939999998</v>
      </c>
      <c r="P69" s="130">
        <f t="shared" si="256"/>
        <v>-577586.96980001777</v>
      </c>
      <c r="Q69" s="130">
        <f t="shared" si="256"/>
        <v>10627869.890099999</v>
      </c>
      <c r="R69" s="130">
        <f t="shared" si="256"/>
        <v>-2216959.5399999996</v>
      </c>
      <c r="S69" s="130">
        <f t="shared" si="256"/>
        <v>14569906.5802</v>
      </c>
      <c r="T69" s="130">
        <f t="shared" si="256"/>
        <v>8499221.5022793524</v>
      </c>
      <c r="U69" s="130">
        <f t="shared" si="256"/>
        <v>3893658.7901000003</v>
      </c>
      <c r="V69" s="130">
        <f t="shared" si="256"/>
        <v>4449637.3084000004</v>
      </c>
      <c r="W69" s="130">
        <f t="shared" si="256"/>
        <v>6294068.7313000001</v>
      </c>
      <c r="X69" s="130">
        <f t="shared" si="256"/>
        <v>12730573.800000001</v>
      </c>
      <c r="Y69" s="130">
        <f t="shared" si="256"/>
        <v>11282700.3971</v>
      </c>
      <c r="Z69" s="130">
        <f t="shared" si="256"/>
        <v>17427280.928599998</v>
      </c>
      <c r="AA69" s="130">
        <f t="shared" si="256"/>
        <v>20240238.243427999</v>
      </c>
      <c r="AB69" s="130">
        <f t="shared" si="256"/>
        <v>11120390.750399999</v>
      </c>
      <c r="AC69" s="130">
        <f t="shared" si="256"/>
        <v>14407722.550952001</v>
      </c>
      <c r="AD69" s="130">
        <f t="shared" si="256"/>
        <v>11263791.945001002</v>
      </c>
      <c r="AE69" s="130">
        <f t="shared" si="256"/>
        <v>7183197.000833001</v>
      </c>
      <c r="AF69" s="130">
        <f t="shared" si="256"/>
        <v>10991208.310000001</v>
      </c>
      <c r="AG69" s="130">
        <f t="shared" si="256"/>
        <v>8764458.5429759994</v>
      </c>
      <c r="AH69" s="130">
        <f t="shared" si="256"/>
        <v>5664910.2899999991</v>
      </c>
      <c r="AI69" s="130">
        <f t="shared" si="256"/>
        <v>7317663.4298629994</v>
      </c>
      <c r="AJ69" s="130">
        <f t="shared" si="256"/>
        <v>8877624.5504999869</v>
      </c>
      <c r="AK69" s="130">
        <f t="shared" si="256"/>
        <v>22202758.658314899</v>
      </c>
      <c r="AL69" s="130">
        <f t="shared" si="256"/>
        <v>25279483.338996999</v>
      </c>
      <c r="AM69" s="130">
        <f t="shared" si="256"/>
        <v>29932327.8587</v>
      </c>
      <c r="AN69" s="130">
        <f t="shared" si="256"/>
        <v>26273416.655000031</v>
      </c>
      <c r="AO69" s="130">
        <f t="shared" si="256"/>
        <v>15051239.184679996</v>
      </c>
      <c r="AP69" s="130">
        <f t="shared" si="256"/>
        <v>13550102.251599999</v>
      </c>
      <c r="AQ69" s="130">
        <f t="shared" si="256"/>
        <v>19879173.72174</v>
      </c>
      <c r="AR69" s="130">
        <f t="shared" si="256"/>
        <v>29618957.280000016</v>
      </c>
      <c r="AS69" s="130">
        <f t="shared" si="256"/>
        <v>26600172.766800001</v>
      </c>
      <c r="AT69" s="130">
        <f t="shared" si="256"/>
        <v>17523182.228199996</v>
      </c>
      <c r="AU69" s="130">
        <f t="shared" si="256"/>
        <v>24977375.259999998</v>
      </c>
      <c r="AV69" s="130">
        <f t="shared" si="256"/>
        <v>45984470.837999962</v>
      </c>
      <c r="AW69" s="130">
        <f t="shared" si="256"/>
        <v>39310570.225140288</v>
      </c>
      <c r="AX69" s="130">
        <f t="shared" si="256"/>
        <v>33735560.159100018</v>
      </c>
      <c r="AY69" s="130">
        <f t="shared" si="256"/>
        <v>41785946.012799986</v>
      </c>
      <c r="AZ69" s="130">
        <f t="shared" si="256"/>
        <v>62151623.131799988</v>
      </c>
      <c r="BA69" s="130">
        <f t="shared" si="256"/>
        <v>111497137.21000001</v>
      </c>
      <c r="BB69" s="130">
        <f t="shared" si="256"/>
        <v>132012459.99479999</v>
      </c>
      <c r="BC69" s="130">
        <f t="shared" si="256"/>
        <v>115315851.83999999</v>
      </c>
      <c r="BD69" s="130">
        <f t="shared" si="256"/>
        <v>139932383.63507</v>
      </c>
      <c r="BE69" s="130">
        <f t="shared" si="256"/>
        <v>98781056.241830647</v>
      </c>
      <c r="BF69" s="130">
        <f t="shared" si="256"/>
        <v>111726092.84516488</v>
      </c>
      <c r="BG69" s="130">
        <f t="shared" si="256"/>
        <v>133304287.27922672</v>
      </c>
      <c r="BH69" s="130">
        <f t="shared" si="256"/>
        <v>206535888.83796996</v>
      </c>
      <c r="BI69" s="130">
        <f t="shared" si="256"/>
        <v>153402678.82051003</v>
      </c>
      <c r="BJ69" s="130">
        <f t="shared" si="256"/>
        <v>143592071.67948997</v>
      </c>
      <c r="BK69" s="130">
        <f t="shared" si="256"/>
        <v>141704390.25999999</v>
      </c>
      <c r="BL69" s="130">
        <f t="shared" si="256"/>
        <v>97792768.079999998</v>
      </c>
      <c r="BM69" s="130">
        <f t="shared" si="256"/>
        <v>141334164.68144083</v>
      </c>
      <c r="BN69" s="130">
        <f t="shared" si="256"/>
        <v>141103884.38314098</v>
      </c>
      <c r="BO69" s="130">
        <f t="shared" si="256"/>
        <v>153674318.31450784</v>
      </c>
      <c r="BP69" s="130">
        <f t="shared" ref="BP69:DI69" si="257">SUM(BP70:BP71)</f>
        <v>153313386.44202435</v>
      </c>
      <c r="BQ69" s="130">
        <f t="shared" si="257"/>
        <v>163271476.80508807</v>
      </c>
      <c r="BR69" s="130">
        <f t="shared" si="257"/>
        <v>152772417.89544427</v>
      </c>
      <c r="BS69" s="130">
        <f t="shared" si="257"/>
        <v>159269627.82944432</v>
      </c>
      <c r="BT69" s="130">
        <f t="shared" si="257"/>
        <v>170480710.33432174</v>
      </c>
      <c r="BU69" s="130">
        <f t="shared" si="257"/>
        <v>152369727.05831912</v>
      </c>
      <c r="BV69" s="130">
        <f t="shared" si="257"/>
        <v>183756962.90021792</v>
      </c>
      <c r="BW69" s="130">
        <f t="shared" si="257"/>
        <v>207188528.16374046</v>
      </c>
      <c r="BX69" s="130">
        <f t="shared" si="257"/>
        <v>201511158.29692981</v>
      </c>
      <c r="BY69" s="130">
        <f t="shared" si="257"/>
        <v>265881894.62482172</v>
      </c>
      <c r="BZ69" s="130">
        <f t="shared" si="257"/>
        <v>227811259.8046</v>
      </c>
      <c r="CA69" s="130">
        <f t="shared" si="257"/>
        <v>230140690.75736246</v>
      </c>
      <c r="CB69" s="130">
        <f t="shared" si="257"/>
        <v>222835729.58111086</v>
      </c>
      <c r="CC69" s="130">
        <f t="shared" si="257"/>
        <v>231464646.74195552</v>
      </c>
      <c r="CD69" s="130">
        <f t="shared" si="257"/>
        <v>198706202.57076854</v>
      </c>
      <c r="CE69" s="130">
        <f t="shared" si="257"/>
        <v>269906409.7284779</v>
      </c>
      <c r="CF69" s="130">
        <f t="shared" si="257"/>
        <v>224286270.14147013</v>
      </c>
      <c r="CG69" s="130">
        <f t="shared" si="257"/>
        <v>225527622.73705932</v>
      </c>
      <c r="CH69" s="130">
        <f t="shared" si="257"/>
        <v>271119929.3222</v>
      </c>
      <c r="CI69" s="130">
        <f t="shared" si="257"/>
        <v>299963335.17030001</v>
      </c>
      <c r="CJ69" s="130">
        <f t="shared" si="257"/>
        <v>240900461.87980008</v>
      </c>
      <c r="CK69" s="130">
        <f t="shared" si="257"/>
        <v>292756504.22990012</v>
      </c>
      <c r="CL69" s="130">
        <f t="shared" si="257"/>
        <v>270471230.87280095</v>
      </c>
      <c r="CM69" s="130">
        <f t="shared" si="257"/>
        <v>273223994.3788234</v>
      </c>
      <c r="CN69" s="130">
        <f t="shared" si="257"/>
        <v>273028531.88135439</v>
      </c>
      <c r="CO69" s="130">
        <f t="shared" si="257"/>
        <v>277149532.86966026</v>
      </c>
      <c r="CP69" s="130">
        <f t="shared" si="257"/>
        <v>261154185.16010943</v>
      </c>
      <c r="CQ69" s="130">
        <f t="shared" si="257"/>
        <v>285684728.59247541</v>
      </c>
      <c r="CR69" s="130">
        <f t="shared" si="257"/>
        <v>277784785.98643464</v>
      </c>
      <c r="CS69" s="130">
        <f t="shared" si="257"/>
        <v>278436327.64466476</v>
      </c>
      <c r="CT69" s="130">
        <f t="shared" si="257"/>
        <v>341782465.3660934</v>
      </c>
      <c r="CU69" s="130">
        <f t="shared" si="257"/>
        <v>368267633.77314997</v>
      </c>
      <c r="CV69" s="130">
        <f t="shared" si="257"/>
        <v>315720799.03688645</v>
      </c>
      <c r="CW69" s="130">
        <f t="shared" si="257"/>
        <v>341163500.7907747</v>
      </c>
      <c r="CX69" s="130">
        <f t="shared" si="257"/>
        <v>320373172.96883273</v>
      </c>
      <c r="CY69" s="130">
        <f t="shared" si="257"/>
        <v>323633821.34171635</v>
      </c>
      <c r="CZ69" s="130">
        <f t="shared" si="257"/>
        <v>323402296.01346427</v>
      </c>
      <c r="DA69" s="130">
        <f t="shared" si="257"/>
        <v>328283621.68411255</v>
      </c>
      <c r="DB69" s="130">
        <f t="shared" si="257"/>
        <v>309337132.32214963</v>
      </c>
      <c r="DC69" s="130">
        <f t="shared" si="257"/>
        <v>338393561.01778716</v>
      </c>
      <c r="DD69" s="130">
        <f t="shared" si="257"/>
        <v>329036079.0009318</v>
      </c>
      <c r="DE69" s="130">
        <f t="shared" si="257"/>
        <v>329807830.09510547</v>
      </c>
      <c r="DF69" s="130">
        <f t="shared" si="257"/>
        <v>404841330.2261377</v>
      </c>
      <c r="DG69" s="130">
        <f t="shared" si="257"/>
        <v>436213012.20429623</v>
      </c>
      <c r="DH69" s="130">
        <f t="shared" si="257"/>
        <v>373971286.45919204</v>
      </c>
      <c r="DI69" s="130">
        <f t="shared" si="257"/>
        <v>404108166.68667269</v>
      </c>
      <c r="DJ69" s="130">
        <f t="shared" ref="DJ69:DU69" si="258">SUM(DJ70:DJ71)</f>
        <v>379482023.38158226</v>
      </c>
      <c r="DK69" s="130">
        <f t="shared" si="258"/>
        <v>383344261.37926298</v>
      </c>
      <c r="DL69" s="130">
        <f t="shared" si="258"/>
        <v>383070019.62794834</v>
      </c>
      <c r="DM69" s="130">
        <f t="shared" si="258"/>
        <v>388851949.88483125</v>
      </c>
      <c r="DN69" s="130">
        <f t="shared" si="258"/>
        <v>366409833.23558623</v>
      </c>
      <c r="DO69" s="130">
        <f t="shared" si="258"/>
        <v>400827173.0255689</v>
      </c>
      <c r="DP69" s="130">
        <f t="shared" si="258"/>
        <v>389743235.57660359</v>
      </c>
      <c r="DQ69" s="130">
        <f t="shared" si="258"/>
        <v>390657374.74765229</v>
      </c>
      <c r="DR69" s="130">
        <f t="shared" si="258"/>
        <v>479534555.65285999</v>
      </c>
      <c r="DS69" s="130">
        <f t="shared" si="258"/>
        <v>516694312.95598882</v>
      </c>
      <c r="DT69" s="130">
        <f t="shared" si="258"/>
        <v>442968988.81091291</v>
      </c>
      <c r="DU69" s="130">
        <f t="shared" si="258"/>
        <v>478666123.44036376</v>
      </c>
      <c r="DW69" s="130">
        <f t="shared" si="231"/>
        <v>387260695.46986997</v>
      </c>
      <c r="DX69" s="669">
        <f t="shared" si="232"/>
        <v>343811436.36622226</v>
      </c>
      <c r="DY69" s="130">
        <f t="shared" si="233"/>
        <v>503530639.33796996</v>
      </c>
      <c r="DZ69" s="130">
        <f t="shared" si="234"/>
        <v>380831323.0214408</v>
      </c>
      <c r="EA69" s="130">
        <f t="shared" si="235"/>
        <v>448091589.13967317</v>
      </c>
      <c r="EB69" s="130">
        <f t="shared" si="236"/>
        <v>475313522.52997661</v>
      </c>
      <c r="EC69" s="130">
        <f t="shared" si="237"/>
        <v>506607400.29285872</v>
      </c>
      <c r="ED69" s="130">
        <f t="shared" si="238"/>
        <v>674581581.0854919</v>
      </c>
      <c r="EE69" s="130">
        <f t="shared" si="239"/>
        <v>680787680.14307332</v>
      </c>
      <c r="EF69" s="130">
        <f t="shared" si="240"/>
        <v>700077259.04120195</v>
      </c>
      <c r="EG69" s="130">
        <f t="shared" si="241"/>
        <v>720933822.20072937</v>
      </c>
      <c r="EH69" s="130">
        <f t="shared" si="242"/>
        <v>833620301.28000021</v>
      </c>
      <c r="EI69" s="130">
        <f t="shared" si="243"/>
        <v>816723757.13297868</v>
      </c>
      <c r="EJ69" s="130">
        <f t="shared" si="244"/>
        <v>823988446.62224507</v>
      </c>
      <c r="EK69" s="130">
        <f t="shared" si="245"/>
        <v>898003578.99719286</v>
      </c>
      <c r="EL69" s="130">
        <f t="shared" si="246"/>
        <v>1025151933.6008111</v>
      </c>
      <c r="EM69" s="130">
        <f t="shared" si="247"/>
        <v>967409290.32401323</v>
      </c>
      <c r="EN69" s="130">
        <f t="shared" si="248"/>
        <v>976014315.02404928</v>
      </c>
      <c r="EO69" s="650">
        <f t="shared" si="249"/>
        <v>1063685239.322175</v>
      </c>
      <c r="EP69" s="130">
        <f t="shared" si="250"/>
        <v>1214292465.3501611</v>
      </c>
      <c r="EQ69" s="130">
        <f t="shared" si="251"/>
        <v>1145896304.3887935</v>
      </c>
      <c r="ER69" s="130">
        <f t="shared" si="252"/>
        <v>1156088956.1459863</v>
      </c>
      <c r="ES69" s="130">
        <f t="shared" si="253"/>
        <v>1259935165.9771159</v>
      </c>
      <c r="ET69" s="130">
        <f t="shared" si="254"/>
        <v>1438329425.2072654</v>
      </c>
      <c r="EV69" s="130">
        <f t="shared" ref="EV69:EV78" si="259">SUM(DW69:DZ69)</f>
        <v>1615434094.195503</v>
      </c>
      <c r="EW69" s="130">
        <f t="shared" ref="EW69:EW78" si="260">SUM(EA69:ED69)</f>
        <v>2104594093.0480006</v>
      </c>
      <c r="EX69" s="130">
        <f t="shared" ref="EX69:EX78" si="261">SUM(EE69:EH69)</f>
        <v>2935419062.6650047</v>
      </c>
      <c r="EY69" s="130">
        <f t="shared" ref="EY69:EY78" si="262">SUM(EI69:EL69)</f>
        <v>3563867716.3532276</v>
      </c>
      <c r="EZ69" s="130">
        <f t="shared" ref="EZ69:EZ78" si="263">SUM(EM69:EP69)</f>
        <v>4221401310.0203986</v>
      </c>
      <c r="FA69" s="669">
        <f t="shared" ref="FA69:FA78" si="264">SUM(EQ69:ET69)</f>
        <v>5000249851.7191601</v>
      </c>
    </row>
    <row r="70" spans="2:157" x14ac:dyDescent="0.2">
      <c r="B70" s="135" t="s">
        <v>139</v>
      </c>
      <c r="C70" s="129">
        <f>'P&amp;L - Inputs'!K226</f>
        <v>350557</v>
      </c>
      <c r="D70" s="129">
        <f>'P&amp;L - Inputs'!L226</f>
        <v>2151967.44</v>
      </c>
      <c r="E70" s="129">
        <f>'P&amp;L - Inputs'!M226</f>
        <v>12810757</v>
      </c>
      <c r="F70" s="129">
        <f>'P&amp;L - Inputs'!N226</f>
        <v>18506520.140000001</v>
      </c>
      <c r="G70" s="129">
        <f>'P&amp;L - Inputs'!O226</f>
        <v>21125074.890000001</v>
      </c>
      <c r="H70" s="129">
        <f>'P&amp;L - Inputs'!P226</f>
        <v>14063325.290000001</v>
      </c>
      <c r="I70" s="129">
        <f>'P&amp;L - Inputs'!Q226</f>
        <v>28119857.809999999</v>
      </c>
      <c r="J70" s="129">
        <f>'P&amp;L - Inputs'!R226</f>
        <v>16973850.82</v>
      </c>
      <c r="K70" s="129">
        <f>'P&amp;L - Inputs'!S226</f>
        <v>28668380.680000003</v>
      </c>
      <c r="L70" s="129">
        <f>'P&amp;L - Inputs'!T226</f>
        <v>21919201.27</v>
      </c>
      <c r="M70" s="129">
        <f>'P&amp;L - Inputs'!U226</f>
        <v>6274034.3000000007</v>
      </c>
      <c r="N70" s="129">
        <f>'P&amp;L - Inputs'!V226</f>
        <v>11694411.189999999</v>
      </c>
      <c r="O70" s="129">
        <f>'P&amp;L - Inputs'!W226</f>
        <v>18779560.939999998</v>
      </c>
      <c r="P70" s="129">
        <f>'P&amp;L - Inputs'!X226</f>
        <v>-577586.96980001777</v>
      </c>
      <c r="Q70" s="129">
        <f>'P&amp;L - Inputs'!Y226</f>
        <v>10627869.890099999</v>
      </c>
      <c r="R70" s="129">
        <f>'P&amp;L - Inputs'!Z226</f>
        <v>-2216959.5399999996</v>
      </c>
      <c r="S70" s="129">
        <f>'P&amp;L - Inputs'!AA226</f>
        <v>14569906.5802</v>
      </c>
      <c r="T70" s="129">
        <f>'P&amp;L - Inputs'!AB226</f>
        <v>8468669.3798719458</v>
      </c>
      <c r="U70" s="129">
        <f>'P&amp;L - Inputs'!AC226</f>
        <v>3891624.9001000002</v>
      </c>
      <c r="V70" s="129">
        <f>'P&amp;L - Inputs'!AD226</f>
        <v>4449637.3084000004</v>
      </c>
      <c r="W70" s="129">
        <f>'P&amp;L - Inputs'!AE226</f>
        <v>6281794.7313000001</v>
      </c>
      <c r="X70" s="129">
        <f>'P&amp;L - Inputs'!AF226</f>
        <v>12730573.800000001</v>
      </c>
      <c r="Y70" s="129">
        <f>'P&amp;L - Inputs'!AG226</f>
        <v>11282700.3971</v>
      </c>
      <c r="Z70" s="129">
        <f>'P&amp;L - Inputs'!AH226</f>
        <v>17427280.928599998</v>
      </c>
      <c r="AA70" s="129">
        <f>'P&amp;L - Inputs'!AI226</f>
        <v>20240238.243427999</v>
      </c>
      <c r="AB70" s="129">
        <f>'P&amp;L - Inputs'!AJ226</f>
        <v>11120390.750399999</v>
      </c>
      <c r="AC70" s="129">
        <f>'P&amp;L - Inputs'!AK226</f>
        <v>14407722.550952001</v>
      </c>
      <c r="AD70" s="129">
        <f>'P&amp;L - Inputs'!AL226</f>
        <v>11263791.945001002</v>
      </c>
      <c r="AE70" s="129">
        <f>'P&amp;L - Inputs'!AM226</f>
        <v>7183197.000833001</v>
      </c>
      <c r="AF70" s="129">
        <f>'P&amp;L - Inputs'!AN226</f>
        <v>10991208.310000001</v>
      </c>
      <c r="AG70" s="129">
        <f>'P&amp;L - Inputs'!AO226</f>
        <v>8764458.5429759994</v>
      </c>
      <c r="AH70" s="129">
        <f>'P&amp;L - Inputs'!AP226</f>
        <v>5664910.2899999991</v>
      </c>
      <c r="AI70" s="129">
        <f>'P&amp;L - Inputs'!AQ226</f>
        <v>7317663.4298629994</v>
      </c>
      <c r="AJ70" s="129">
        <f>'P&amp;L - Inputs'!AR226</f>
        <v>8877624.5504999869</v>
      </c>
      <c r="AK70" s="129">
        <f>'P&amp;L - Inputs'!AS226</f>
        <v>22202758.658314899</v>
      </c>
      <c r="AL70" s="129">
        <f>'P&amp;L - Inputs'!AT226</f>
        <v>25279483.338996999</v>
      </c>
      <c r="AM70" s="129">
        <f>'P&amp;L - Inputs'!AU226</f>
        <v>29932327.8587</v>
      </c>
      <c r="AN70" s="129">
        <f>'P&amp;L - Inputs'!AV226</f>
        <v>26273416.655000031</v>
      </c>
      <c r="AO70" s="129">
        <f>'P&amp;L - Inputs'!AW226</f>
        <v>15051239.184679996</v>
      </c>
      <c r="AP70" s="129">
        <f>'P&amp;L - Inputs'!AX226</f>
        <v>13550102.251599999</v>
      </c>
      <c r="AQ70" s="129">
        <f>'P&amp;L - Inputs'!AY226</f>
        <v>19879173.72174</v>
      </c>
      <c r="AR70" s="129">
        <f>'P&amp;L - Inputs'!AZ226</f>
        <v>29618957.280000016</v>
      </c>
      <c r="AS70" s="129">
        <f>'P&amp;L - Inputs'!BA226</f>
        <v>26600172.766800001</v>
      </c>
      <c r="AT70" s="129">
        <f>'P&amp;L - Inputs'!BB226</f>
        <v>17523182.228199996</v>
      </c>
      <c r="AU70" s="129">
        <f>'P&amp;L - Inputs'!BC226</f>
        <v>24977375.259999998</v>
      </c>
      <c r="AV70" s="129">
        <f>'P&amp;L - Inputs'!BD226</f>
        <v>45984470.837999962</v>
      </c>
      <c r="AW70" s="129">
        <f>'P&amp;L - Inputs'!BE226</f>
        <v>39310570.225140288</v>
      </c>
      <c r="AX70" s="129">
        <f>'P&amp;L - Inputs'!BF226</f>
        <v>33735560.159100018</v>
      </c>
      <c r="AY70" s="129">
        <f>'P&amp;L - Inputs'!BG226</f>
        <v>41785946.012799986</v>
      </c>
      <c r="AZ70" s="129">
        <f>'P&amp;L - Inputs'!BH226</f>
        <v>62151623.131799988</v>
      </c>
      <c r="BA70" s="129">
        <f>'P&amp;L - Inputs'!BI226</f>
        <v>111497137.21000001</v>
      </c>
      <c r="BB70" s="129">
        <f>'P&amp;L - Inputs'!BJ226</f>
        <v>132012459.99479999</v>
      </c>
      <c r="BC70" s="129">
        <f>'P&amp;L - Inputs'!BK226</f>
        <v>115315851.83999999</v>
      </c>
      <c r="BD70" s="129">
        <f>'P&amp;L - Inputs'!BL226</f>
        <v>139932383.63507</v>
      </c>
      <c r="BE70" s="129">
        <f>'P&amp;L - Inputs'!BM226</f>
        <v>98781056.241830647</v>
      </c>
      <c r="BF70" s="129">
        <f>'P&amp;L - Inputs'!BN226</f>
        <v>111726092.84516488</v>
      </c>
      <c r="BG70" s="129">
        <f>'P&amp;L - Inputs'!BO226</f>
        <v>133304287.27922672</v>
      </c>
      <c r="BH70" s="129">
        <f>'P&amp;L - Inputs'!BP226</f>
        <v>206535888.83796996</v>
      </c>
      <c r="BI70" s="129">
        <f>'P&amp;L - Inputs'!BQ226</f>
        <v>153402678.82051003</v>
      </c>
      <c r="BJ70" s="129">
        <f>'P&amp;L - Inputs'!BR226</f>
        <v>143592071.67948997</v>
      </c>
      <c r="BK70" s="129">
        <f>'P&amp;L - Inputs'!BS226</f>
        <v>141704390.25999999</v>
      </c>
      <c r="BL70" s="129">
        <f>'P&amp;L - Inputs'!BT226</f>
        <v>97792768.079999998</v>
      </c>
      <c r="BM70" s="129">
        <f>'P&amp;L - Inputs'!BU226</f>
        <v>141334164.68144083</v>
      </c>
      <c r="BN70" s="129">
        <f>'P&amp;L - Inputs'!BV226</f>
        <v>141103884.38314098</v>
      </c>
      <c r="BO70" s="129">
        <f>'P&amp;L - Inputs'!BW226</f>
        <v>153674318.31450784</v>
      </c>
      <c r="BP70" s="129">
        <f>'P&amp;L - Inputs'!BX226</f>
        <v>153313386.44202435</v>
      </c>
      <c r="BQ70" s="129">
        <f>'P&amp;L - Inputs'!BY226</f>
        <v>163271476.80508807</v>
      </c>
      <c r="BR70" s="129">
        <f>'P&amp;L - Inputs'!BZ226</f>
        <v>152772417.89544427</v>
      </c>
      <c r="BS70" s="129">
        <f>'P&amp;L - Inputs'!CA226</f>
        <v>159269627.82944432</v>
      </c>
      <c r="BT70" s="129">
        <f>'P&amp;L - Inputs'!CB226</f>
        <v>170480710.33432174</v>
      </c>
      <c r="BU70" s="129">
        <f>'P&amp;L - Inputs'!CC226</f>
        <v>152369727.05831912</v>
      </c>
      <c r="BV70" s="129">
        <f>'P&amp;L - Inputs'!CD226</f>
        <v>183756962.90021792</v>
      </c>
      <c r="BW70" s="129">
        <f>'P&amp;L - Inputs'!CE226</f>
        <v>207188528.16374046</v>
      </c>
      <c r="BX70" s="129">
        <f>'P&amp;L - Inputs'!CF226</f>
        <v>201511158.29692981</v>
      </c>
      <c r="BY70" s="129">
        <f>'P&amp;L - Inputs'!CG226</f>
        <v>265881894.62482172</v>
      </c>
      <c r="BZ70" s="129">
        <f>'P&amp;L - Inputs'!CH226</f>
        <v>227811259.8046</v>
      </c>
      <c r="CA70" s="129">
        <f>'P&amp;L - Inputs'!CI226</f>
        <v>230140690.75736246</v>
      </c>
      <c r="CB70" s="129">
        <f>'P&amp;L - Inputs'!CJ226</f>
        <v>222835729.58111086</v>
      </c>
      <c r="CC70" s="129">
        <f>'P&amp;L - Inputs'!CK226</f>
        <v>231464646.74195552</v>
      </c>
      <c r="CD70" s="129">
        <f>'P&amp;L - Inputs'!CL226</f>
        <v>198706202.57076854</v>
      </c>
      <c r="CE70" s="129">
        <f>'P&amp;L - Inputs'!CM226</f>
        <v>269906409.7284779</v>
      </c>
      <c r="CF70" s="129">
        <f>'P&amp;L - Inputs'!CN226</f>
        <v>224286270.14147013</v>
      </c>
      <c r="CG70" s="129">
        <f>'P&amp;L - Inputs'!CO226</f>
        <v>225527622.73705932</v>
      </c>
      <c r="CH70" s="129">
        <f>'P&amp;L - Inputs'!CP226</f>
        <v>271119929.3222</v>
      </c>
      <c r="CI70" s="129">
        <f>'P&amp;L - Inputs'!CQ226</f>
        <v>299963335.17030001</v>
      </c>
      <c r="CJ70" s="129">
        <f>'P&amp;L - Inputs'!CR226</f>
        <v>240900461.87980008</v>
      </c>
      <c r="CK70" s="129">
        <f>'P&amp;L - Inputs'!CS226</f>
        <v>292756504.22990012</v>
      </c>
      <c r="CL70" s="129">
        <f>'P&amp;L - Inputs'!CT226</f>
        <v>270471230.87280095</v>
      </c>
      <c r="CM70" s="129">
        <f>'P&amp;L - Inputs'!CU226</f>
        <v>273223994.3788234</v>
      </c>
      <c r="CN70" s="129">
        <f>'P&amp;L - Inputs'!CV226</f>
        <v>273028531.88135439</v>
      </c>
      <c r="CO70" s="129">
        <f>'P&amp;L - Inputs'!CW226</f>
        <v>277149532.86966026</v>
      </c>
      <c r="CP70" s="129">
        <f>'P&amp;L - Inputs'!CX226</f>
        <v>261154185.16010943</v>
      </c>
      <c r="CQ70" s="129">
        <f>'P&amp;L - Inputs'!CY226</f>
        <v>285684728.59247541</v>
      </c>
      <c r="CR70" s="129">
        <f>'P&amp;L - Inputs'!CZ226</f>
        <v>277784785.98643464</v>
      </c>
      <c r="CS70" s="129">
        <f>'P&amp;L - Inputs'!DA226</f>
        <v>278436327.64466476</v>
      </c>
      <c r="CT70" s="129">
        <f>'P&amp;L - Inputs'!DB226</f>
        <v>341782465.3660934</v>
      </c>
      <c r="CU70" s="129">
        <f>'P&amp;L - Inputs'!DC226</f>
        <v>368267633.77314997</v>
      </c>
      <c r="CV70" s="129">
        <f>'P&amp;L - Inputs'!DD226</f>
        <v>315720799.03688645</v>
      </c>
      <c r="CW70" s="129">
        <f>'P&amp;L - Inputs'!DE226</f>
        <v>341163500.7907747</v>
      </c>
      <c r="CX70" s="129">
        <f>'P&amp;L - Inputs'!DF226</f>
        <v>320373172.96883273</v>
      </c>
      <c r="CY70" s="129">
        <f>'P&amp;L - Inputs'!DG226</f>
        <v>323633821.34171635</v>
      </c>
      <c r="CZ70" s="129">
        <f>'P&amp;L - Inputs'!DH226</f>
        <v>323402296.01346427</v>
      </c>
      <c r="DA70" s="129">
        <f>'P&amp;L - Inputs'!DI226</f>
        <v>328283621.68411255</v>
      </c>
      <c r="DB70" s="129">
        <f>'P&amp;L - Inputs'!DJ226</f>
        <v>309337132.32214963</v>
      </c>
      <c r="DC70" s="129">
        <f>'P&amp;L - Inputs'!DK226</f>
        <v>338393561.01778716</v>
      </c>
      <c r="DD70" s="129">
        <f>'P&amp;L - Inputs'!DL226</f>
        <v>329036079.0009318</v>
      </c>
      <c r="DE70" s="129">
        <f>'P&amp;L - Inputs'!DM226</f>
        <v>329807830.09510547</v>
      </c>
      <c r="DF70" s="129">
        <f>'P&amp;L - Inputs'!DN226</f>
        <v>404841330.2261377</v>
      </c>
      <c r="DG70" s="129">
        <f>'P&amp;L - Inputs'!DO226</f>
        <v>436213012.20429623</v>
      </c>
      <c r="DH70" s="129">
        <f>'P&amp;L - Inputs'!DP226</f>
        <v>373971286.45919204</v>
      </c>
      <c r="DI70" s="129">
        <f>'P&amp;L - Inputs'!DQ226</f>
        <v>404108166.68667269</v>
      </c>
      <c r="DJ70" s="129">
        <f>'P&amp;L - Inputs'!DR226</f>
        <v>379482023.38158226</v>
      </c>
      <c r="DK70" s="129">
        <f>'P&amp;L - Inputs'!DS226</f>
        <v>383344261.37926298</v>
      </c>
      <c r="DL70" s="129">
        <f>'P&amp;L - Inputs'!DT226</f>
        <v>383070019.62794834</v>
      </c>
      <c r="DM70" s="129">
        <f>'P&amp;L - Inputs'!DU226</f>
        <v>388851949.88483125</v>
      </c>
      <c r="DN70" s="129">
        <f>'P&amp;L - Inputs'!DV226</f>
        <v>366409833.23558623</v>
      </c>
      <c r="DO70" s="129">
        <f>'P&amp;L - Inputs'!DW226</f>
        <v>400827173.0255689</v>
      </c>
      <c r="DP70" s="129">
        <f>'P&amp;L - Inputs'!DX226</f>
        <v>389743235.57660359</v>
      </c>
      <c r="DQ70" s="129">
        <f>'P&amp;L - Inputs'!DY226</f>
        <v>390657374.74765229</v>
      </c>
      <c r="DR70" s="129">
        <f>'P&amp;L - Inputs'!DZ226</f>
        <v>479534555.65285999</v>
      </c>
      <c r="DS70" s="129">
        <f>'P&amp;L - Inputs'!EA226</f>
        <v>516694312.95598882</v>
      </c>
      <c r="DT70" s="129">
        <f>'P&amp;L - Inputs'!EB226</f>
        <v>442968988.81091291</v>
      </c>
      <c r="DU70" s="129">
        <f>'P&amp;L - Inputs'!EC226</f>
        <v>478666123.44036376</v>
      </c>
      <c r="DW70" s="129">
        <f t="shared" si="231"/>
        <v>387260695.46986997</v>
      </c>
      <c r="DX70" s="663">
        <f t="shared" si="232"/>
        <v>343811436.36622226</v>
      </c>
      <c r="DY70" s="129">
        <f t="shared" si="233"/>
        <v>503530639.33796996</v>
      </c>
      <c r="DZ70" s="129">
        <f t="shared" si="234"/>
        <v>380831323.0214408</v>
      </c>
      <c r="EA70" s="129">
        <f t="shared" si="235"/>
        <v>448091589.13967317</v>
      </c>
      <c r="EB70" s="129">
        <f t="shared" si="236"/>
        <v>475313522.52997661</v>
      </c>
      <c r="EC70" s="129">
        <f t="shared" si="237"/>
        <v>506607400.29285872</v>
      </c>
      <c r="ED70" s="129">
        <f t="shared" si="238"/>
        <v>674581581.0854919</v>
      </c>
      <c r="EE70" s="129">
        <f t="shared" si="239"/>
        <v>680787680.14307332</v>
      </c>
      <c r="EF70" s="129">
        <f t="shared" si="240"/>
        <v>700077259.04120195</v>
      </c>
      <c r="EG70" s="129">
        <f t="shared" si="241"/>
        <v>720933822.20072937</v>
      </c>
      <c r="EH70" s="129">
        <f t="shared" si="242"/>
        <v>833620301.28000021</v>
      </c>
      <c r="EI70" s="129">
        <f t="shared" si="243"/>
        <v>816723757.13297868</v>
      </c>
      <c r="EJ70" s="129">
        <f t="shared" si="244"/>
        <v>823988446.62224507</v>
      </c>
      <c r="EK70" s="129">
        <f t="shared" si="245"/>
        <v>898003578.99719286</v>
      </c>
      <c r="EL70" s="129">
        <f t="shared" si="246"/>
        <v>1025151933.6008111</v>
      </c>
      <c r="EM70" s="129">
        <f t="shared" si="247"/>
        <v>967409290.32401323</v>
      </c>
      <c r="EN70" s="129">
        <f t="shared" si="248"/>
        <v>976014315.02404928</v>
      </c>
      <c r="EO70" s="644">
        <f t="shared" si="249"/>
        <v>1063685239.322175</v>
      </c>
      <c r="EP70" s="129">
        <f t="shared" si="250"/>
        <v>1214292465.3501611</v>
      </c>
      <c r="EQ70" s="129">
        <f t="shared" si="251"/>
        <v>1145896304.3887935</v>
      </c>
      <c r="ER70" s="129">
        <f t="shared" si="252"/>
        <v>1156088956.1459863</v>
      </c>
      <c r="ES70" s="129">
        <f t="shared" si="253"/>
        <v>1259935165.9771159</v>
      </c>
      <c r="ET70" s="129">
        <f t="shared" si="254"/>
        <v>1438329425.2072654</v>
      </c>
      <c r="EV70" s="129">
        <f t="shared" si="259"/>
        <v>1615434094.195503</v>
      </c>
      <c r="EW70" s="129">
        <f t="shared" si="260"/>
        <v>2104594093.0480006</v>
      </c>
      <c r="EX70" s="129">
        <f t="shared" si="261"/>
        <v>2935419062.6650047</v>
      </c>
      <c r="EY70" s="129">
        <f t="shared" si="262"/>
        <v>3563867716.3532276</v>
      </c>
      <c r="EZ70" s="129">
        <f t="shared" si="263"/>
        <v>4221401310.0203986</v>
      </c>
      <c r="FA70" s="663">
        <f t="shared" si="264"/>
        <v>5000249851.7191601</v>
      </c>
    </row>
    <row r="71" spans="2:157" x14ac:dyDescent="0.2">
      <c r="B71" s="135" t="s">
        <v>158</v>
      </c>
      <c r="C71" s="129">
        <f>'P&amp;L - Inputs'!K227</f>
        <v>0</v>
      </c>
      <c r="D71" s="129">
        <f>'P&amp;L - Inputs'!L227</f>
        <v>0</v>
      </c>
      <c r="E71" s="129">
        <f>'P&amp;L - Inputs'!M227</f>
        <v>0</v>
      </c>
      <c r="F71" s="129">
        <f>'P&amp;L - Inputs'!N227</f>
        <v>0</v>
      </c>
      <c r="G71" s="129">
        <f>'P&amp;L - Inputs'!O227</f>
        <v>0</v>
      </c>
      <c r="H71" s="129">
        <f>'P&amp;L - Inputs'!P227</f>
        <v>0</v>
      </c>
      <c r="I71" s="129">
        <f>'P&amp;L - Inputs'!Q227</f>
        <v>0</v>
      </c>
      <c r="J71" s="129">
        <f>'P&amp;L - Inputs'!R227</f>
        <v>0</v>
      </c>
      <c r="K71" s="129">
        <f>'P&amp;L - Inputs'!S227</f>
        <v>0</v>
      </c>
      <c r="L71" s="129">
        <f>'P&amp;L - Inputs'!T227</f>
        <v>0</v>
      </c>
      <c r="M71" s="129">
        <f>'P&amp;L - Inputs'!U227</f>
        <v>0</v>
      </c>
      <c r="N71" s="129">
        <f>'P&amp;L - Inputs'!V227</f>
        <v>0</v>
      </c>
      <c r="O71" s="129">
        <f>'P&amp;L - Inputs'!W227</f>
        <v>0</v>
      </c>
      <c r="P71" s="129">
        <f>'P&amp;L - Inputs'!X227</f>
        <v>0</v>
      </c>
      <c r="Q71" s="129">
        <f>'P&amp;L - Inputs'!Y227</f>
        <v>0</v>
      </c>
      <c r="R71" s="129">
        <f>'P&amp;L - Inputs'!Z227</f>
        <v>0</v>
      </c>
      <c r="S71" s="129">
        <f>'P&amp;L - Inputs'!AA227</f>
        <v>0</v>
      </c>
      <c r="T71" s="129">
        <f>'P&amp;L - Inputs'!AB227</f>
        <v>30552.122407407409</v>
      </c>
      <c r="U71" s="129">
        <f>'P&amp;L - Inputs'!AC227</f>
        <v>2033.89</v>
      </c>
      <c r="V71" s="129">
        <f>'P&amp;L - Inputs'!AD227</f>
        <v>0</v>
      </c>
      <c r="W71" s="129">
        <f>'P&amp;L - Inputs'!AE227</f>
        <v>12274</v>
      </c>
      <c r="X71" s="129">
        <f>'P&amp;L - Inputs'!AF227</f>
        <v>0</v>
      </c>
      <c r="Y71" s="129">
        <f>'P&amp;L - Inputs'!AG227</f>
        <v>0</v>
      </c>
      <c r="Z71" s="129">
        <f>'P&amp;L - Inputs'!AH227</f>
        <v>0</v>
      </c>
      <c r="AA71" s="129">
        <f>'P&amp;L - Inputs'!AI227</f>
        <v>0</v>
      </c>
      <c r="AB71" s="129">
        <f>'P&amp;L - Inputs'!AJ227</f>
        <v>0</v>
      </c>
      <c r="AC71" s="129">
        <f>'P&amp;L - Inputs'!AK227</f>
        <v>0</v>
      </c>
      <c r="AD71" s="129">
        <f>'P&amp;L - Inputs'!AL227</f>
        <v>0</v>
      </c>
      <c r="AE71" s="129">
        <f>'P&amp;L - Inputs'!AM227</f>
        <v>0</v>
      </c>
      <c r="AF71" s="129">
        <f>'P&amp;L - Inputs'!AN227</f>
        <v>0</v>
      </c>
      <c r="AG71" s="129">
        <f>'P&amp;L - Inputs'!AO227</f>
        <v>0</v>
      </c>
      <c r="AH71" s="129">
        <f>'P&amp;L - Inputs'!AP227</f>
        <v>0</v>
      </c>
      <c r="AI71" s="129">
        <f>'P&amp;L - Inputs'!AQ227</f>
        <v>0</v>
      </c>
      <c r="AJ71" s="129">
        <f>'P&amp;L - Inputs'!AR227</f>
        <v>0</v>
      </c>
      <c r="AK71" s="129">
        <f>'P&amp;L - Inputs'!AS227</f>
        <v>0</v>
      </c>
      <c r="AL71" s="129">
        <f>'P&amp;L - Inputs'!AT227</f>
        <v>0</v>
      </c>
      <c r="AM71" s="129">
        <f>'P&amp;L - Inputs'!AU227</f>
        <v>0</v>
      </c>
      <c r="AN71" s="129">
        <f>'P&amp;L - Inputs'!AV227</f>
        <v>0</v>
      </c>
      <c r="AO71" s="129">
        <f>'P&amp;L - Inputs'!AW227</f>
        <v>0</v>
      </c>
      <c r="AP71" s="129">
        <f>'P&amp;L - Inputs'!AX227</f>
        <v>0</v>
      </c>
      <c r="AQ71" s="129">
        <f>'P&amp;L - Inputs'!AY227</f>
        <v>0</v>
      </c>
      <c r="AR71" s="129">
        <f>'P&amp;L - Inputs'!AZ227</f>
        <v>0</v>
      </c>
      <c r="AS71" s="129">
        <f>'P&amp;L - Inputs'!BA227</f>
        <v>0</v>
      </c>
      <c r="AT71" s="129">
        <f>'P&amp;L - Inputs'!BB227</f>
        <v>0</v>
      </c>
      <c r="AU71" s="129">
        <f>'P&amp;L - Inputs'!BC227</f>
        <v>0</v>
      </c>
      <c r="AV71" s="129">
        <f>'P&amp;L - Inputs'!BD227</f>
        <v>0</v>
      </c>
      <c r="AW71" s="129">
        <f>'P&amp;L - Inputs'!BE227</f>
        <v>0</v>
      </c>
      <c r="AX71" s="129">
        <f>'P&amp;L - Inputs'!BF227</f>
        <v>0</v>
      </c>
      <c r="AY71" s="129">
        <f>'P&amp;L - Inputs'!BG227</f>
        <v>0</v>
      </c>
      <c r="AZ71" s="129">
        <f>'P&amp;L - Inputs'!BH227</f>
        <v>0</v>
      </c>
      <c r="BA71" s="129">
        <f>'P&amp;L - Inputs'!BI227</f>
        <v>0</v>
      </c>
      <c r="BB71" s="129">
        <f>'P&amp;L - Inputs'!BJ227</f>
        <v>0</v>
      </c>
      <c r="BC71" s="129">
        <f>'P&amp;L - Inputs'!BK227</f>
        <v>0</v>
      </c>
      <c r="BD71" s="129">
        <f>'P&amp;L - Inputs'!BL227</f>
        <v>0</v>
      </c>
      <c r="BE71" s="129">
        <f>'P&amp;L - Inputs'!BM227</f>
        <v>0</v>
      </c>
      <c r="BF71" s="129">
        <f>'P&amp;L - Inputs'!BN227</f>
        <v>0</v>
      </c>
      <c r="BG71" s="129">
        <f>'P&amp;L - Inputs'!BO227</f>
        <v>0</v>
      </c>
      <c r="BH71" s="129">
        <f>'P&amp;L - Inputs'!BP227</f>
        <v>0</v>
      </c>
      <c r="BI71" s="129">
        <f>'P&amp;L - Inputs'!BQ227</f>
        <v>0</v>
      </c>
      <c r="BJ71" s="129">
        <f>'P&amp;L - Inputs'!BR227</f>
        <v>0</v>
      </c>
      <c r="BK71" s="129">
        <f>'P&amp;L - Inputs'!BS227</f>
        <v>0</v>
      </c>
      <c r="BL71" s="129">
        <f>'P&amp;L - Inputs'!BT227</f>
        <v>0</v>
      </c>
      <c r="BM71" s="129">
        <f>'P&amp;L - Inputs'!BU227</f>
        <v>0</v>
      </c>
      <c r="BN71" s="129">
        <f>'P&amp;L - Inputs'!BV227</f>
        <v>0</v>
      </c>
      <c r="BO71" s="129">
        <f>'P&amp;L - Inputs'!BW227</f>
        <v>0</v>
      </c>
      <c r="BP71" s="129">
        <f>'P&amp;L - Inputs'!BX227</f>
        <v>0</v>
      </c>
      <c r="BQ71" s="129">
        <f>'P&amp;L - Inputs'!BY227</f>
        <v>0</v>
      </c>
      <c r="BR71" s="129">
        <f>'P&amp;L - Inputs'!BZ227</f>
        <v>0</v>
      </c>
      <c r="BS71" s="129">
        <f>'P&amp;L - Inputs'!CA227</f>
        <v>0</v>
      </c>
      <c r="BT71" s="129">
        <f>'P&amp;L - Inputs'!CB227</f>
        <v>0</v>
      </c>
      <c r="BU71" s="129">
        <f>'P&amp;L - Inputs'!CC227</f>
        <v>0</v>
      </c>
      <c r="BV71" s="129">
        <f>'P&amp;L - Inputs'!CD227</f>
        <v>0</v>
      </c>
      <c r="BW71" s="129">
        <f>'P&amp;L - Inputs'!CE227</f>
        <v>0</v>
      </c>
      <c r="BX71" s="129">
        <f>'P&amp;L - Inputs'!CF227</f>
        <v>0</v>
      </c>
      <c r="BY71" s="129">
        <f>'P&amp;L - Inputs'!CG227</f>
        <v>0</v>
      </c>
      <c r="BZ71" s="129">
        <f>'P&amp;L - Inputs'!CH227</f>
        <v>0</v>
      </c>
      <c r="CA71" s="129">
        <f>'P&amp;L - Inputs'!CI227</f>
        <v>0</v>
      </c>
      <c r="CB71" s="129">
        <f>'P&amp;L - Inputs'!CJ227</f>
        <v>0</v>
      </c>
      <c r="CC71" s="129">
        <f>'P&amp;L - Inputs'!CK227</f>
        <v>0</v>
      </c>
      <c r="CD71" s="129">
        <f>'P&amp;L - Inputs'!CL227</f>
        <v>0</v>
      </c>
      <c r="CE71" s="129">
        <f>'P&amp;L - Inputs'!CM227</f>
        <v>0</v>
      </c>
      <c r="CF71" s="129">
        <f>'P&amp;L - Inputs'!CN227</f>
        <v>0</v>
      </c>
      <c r="CG71" s="129">
        <f>'P&amp;L - Inputs'!CO227</f>
        <v>0</v>
      </c>
      <c r="CH71" s="129">
        <f>'P&amp;L - Inputs'!CP227</f>
        <v>0</v>
      </c>
      <c r="CI71" s="129">
        <f>'P&amp;L - Inputs'!CQ227</f>
        <v>0</v>
      </c>
      <c r="CJ71" s="129">
        <f>'P&amp;L - Inputs'!CR227</f>
        <v>0</v>
      </c>
      <c r="CK71" s="129">
        <f>'P&amp;L - Inputs'!CS227</f>
        <v>0</v>
      </c>
      <c r="CL71" s="129">
        <f>'P&amp;L - Inputs'!CT227</f>
        <v>0</v>
      </c>
      <c r="CM71" s="129">
        <f>'P&amp;L - Inputs'!CU227</f>
        <v>0</v>
      </c>
      <c r="CN71" s="129">
        <f>'P&amp;L - Inputs'!CV227</f>
        <v>0</v>
      </c>
      <c r="CO71" s="129">
        <f>'P&amp;L - Inputs'!CW227</f>
        <v>0</v>
      </c>
      <c r="CP71" s="129">
        <f>'P&amp;L - Inputs'!CX227</f>
        <v>0</v>
      </c>
      <c r="CQ71" s="129">
        <f>'P&amp;L - Inputs'!CY227</f>
        <v>0</v>
      </c>
      <c r="CR71" s="129">
        <f>'P&amp;L - Inputs'!CZ227</f>
        <v>0</v>
      </c>
      <c r="CS71" s="129">
        <f>'P&amp;L - Inputs'!DA227</f>
        <v>0</v>
      </c>
      <c r="CT71" s="129">
        <f>'P&amp;L - Inputs'!DB227</f>
        <v>0</v>
      </c>
      <c r="CU71" s="129">
        <f>'P&amp;L - Inputs'!DC227</f>
        <v>0</v>
      </c>
      <c r="CV71" s="129">
        <f>'P&amp;L - Inputs'!DD227</f>
        <v>0</v>
      </c>
      <c r="CW71" s="129">
        <f>'P&amp;L - Inputs'!DE227</f>
        <v>0</v>
      </c>
      <c r="CX71" s="129">
        <f>'P&amp;L - Inputs'!DF227</f>
        <v>0</v>
      </c>
      <c r="CY71" s="129">
        <f>'P&amp;L - Inputs'!DG227</f>
        <v>0</v>
      </c>
      <c r="CZ71" s="129">
        <f>'P&amp;L - Inputs'!DH227</f>
        <v>0</v>
      </c>
      <c r="DA71" s="129">
        <f>'P&amp;L - Inputs'!DI227</f>
        <v>0</v>
      </c>
      <c r="DB71" s="129">
        <f>'P&amp;L - Inputs'!DJ227</f>
        <v>0</v>
      </c>
      <c r="DC71" s="129">
        <f>'P&amp;L - Inputs'!DK227</f>
        <v>0</v>
      </c>
      <c r="DD71" s="129">
        <f>'P&amp;L - Inputs'!DL227</f>
        <v>0</v>
      </c>
      <c r="DE71" s="129">
        <f>'P&amp;L - Inputs'!DM227</f>
        <v>0</v>
      </c>
      <c r="DF71" s="129">
        <f>'P&amp;L - Inputs'!DN227</f>
        <v>0</v>
      </c>
      <c r="DG71" s="129">
        <f>'P&amp;L - Inputs'!DO227</f>
        <v>0</v>
      </c>
      <c r="DH71" s="129">
        <f>'P&amp;L - Inputs'!DP227</f>
        <v>0</v>
      </c>
      <c r="DI71" s="129">
        <f>'P&amp;L - Inputs'!DQ227</f>
        <v>0</v>
      </c>
      <c r="DJ71" s="129">
        <f>'P&amp;L - Inputs'!DR227</f>
        <v>0</v>
      </c>
      <c r="DK71" s="129">
        <f>'P&amp;L - Inputs'!DS227</f>
        <v>0</v>
      </c>
      <c r="DL71" s="129">
        <f>'P&amp;L - Inputs'!DT227</f>
        <v>0</v>
      </c>
      <c r="DM71" s="129">
        <f>'P&amp;L - Inputs'!DU227</f>
        <v>0</v>
      </c>
      <c r="DN71" s="129">
        <f>'P&amp;L - Inputs'!DV227</f>
        <v>0</v>
      </c>
      <c r="DO71" s="129">
        <f>'P&amp;L - Inputs'!DW227</f>
        <v>0</v>
      </c>
      <c r="DP71" s="129">
        <f>'P&amp;L - Inputs'!DX227</f>
        <v>0</v>
      </c>
      <c r="DQ71" s="129">
        <f>'P&amp;L - Inputs'!DY227</f>
        <v>0</v>
      </c>
      <c r="DR71" s="129">
        <f>'P&amp;L - Inputs'!DZ227</f>
        <v>0</v>
      </c>
      <c r="DS71" s="129">
        <f>'P&amp;L - Inputs'!EA227</f>
        <v>0</v>
      </c>
      <c r="DT71" s="129">
        <f>'P&amp;L - Inputs'!EB227</f>
        <v>0</v>
      </c>
      <c r="DU71" s="129">
        <f>'P&amp;L - Inputs'!EC227</f>
        <v>0</v>
      </c>
      <c r="DW71" s="129">
        <f t="shared" si="231"/>
        <v>0</v>
      </c>
      <c r="DX71" s="663">
        <f t="shared" si="232"/>
        <v>0</v>
      </c>
      <c r="DY71" s="129">
        <f t="shared" si="233"/>
        <v>0</v>
      </c>
      <c r="DZ71" s="129">
        <f t="shared" si="234"/>
        <v>0</v>
      </c>
      <c r="EA71" s="129">
        <f t="shared" si="235"/>
        <v>0</v>
      </c>
      <c r="EB71" s="129">
        <f t="shared" si="236"/>
        <v>0</v>
      </c>
      <c r="EC71" s="129">
        <f t="shared" si="237"/>
        <v>0</v>
      </c>
      <c r="ED71" s="129">
        <f t="shared" si="238"/>
        <v>0</v>
      </c>
      <c r="EE71" s="129">
        <f t="shared" si="239"/>
        <v>0</v>
      </c>
      <c r="EF71" s="129">
        <f t="shared" si="240"/>
        <v>0</v>
      </c>
      <c r="EG71" s="129">
        <f t="shared" si="241"/>
        <v>0</v>
      </c>
      <c r="EH71" s="129">
        <f t="shared" si="242"/>
        <v>0</v>
      </c>
      <c r="EI71" s="129">
        <f t="shared" si="243"/>
        <v>0</v>
      </c>
      <c r="EJ71" s="129">
        <f t="shared" si="244"/>
        <v>0</v>
      </c>
      <c r="EK71" s="129">
        <f t="shared" si="245"/>
        <v>0</v>
      </c>
      <c r="EL71" s="129">
        <f t="shared" si="246"/>
        <v>0</v>
      </c>
      <c r="EM71" s="129">
        <f t="shared" si="247"/>
        <v>0</v>
      </c>
      <c r="EN71" s="129">
        <f t="shared" si="248"/>
        <v>0</v>
      </c>
      <c r="EO71" s="644">
        <f t="shared" si="249"/>
        <v>0</v>
      </c>
      <c r="EP71" s="129">
        <f t="shared" si="250"/>
        <v>0</v>
      </c>
      <c r="EQ71" s="129">
        <f t="shared" si="251"/>
        <v>0</v>
      </c>
      <c r="ER71" s="129">
        <f t="shared" si="252"/>
        <v>0</v>
      </c>
      <c r="ES71" s="129">
        <f t="shared" si="253"/>
        <v>0</v>
      </c>
      <c r="ET71" s="129">
        <f t="shared" si="254"/>
        <v>0</v>
      </c>
      <c r="EV71" s="129">
        <f t="shared" si="259"/>
        <v>0</v>
      </c>
      <c r="EW71" s="129">
        <f t="shared" si="260"/>
        <v>0</v>
      </c>
      <c r="EX71" s="129">
        <f t="shared" si="261"/>
        <v>0</v>
      </c>
      <c r="EY71" s="129">
        <f t="shared" si="262"/>
        <v>0</v>
      </c>
      <c r="EZ71" s="129">
        <f t="shared" si="263"/>
        <v>0</v>
      </c>
      <c r="FA71" s="663">
        <f t="shared" si="264"/>
        <v>0</v>
      </c>
    </row>
    <row r="72" spans="2:157" x14ac:dyDescent="0.2">
      <c r="B72" s="114" t="s">
        <v>142</v>
      </c>
      <c r="C72" s="129">
        <f>'P&amp;L - Inputs'!K228</f>
        <v>38690.299794661194</v>
      </c>
      <c r="D72" s="129">
        <f>'P&amp;L - Inputs'!L228</f>
        <v>254392.77650349651</v>
      </c>
      <c r="E72" s="129">
        <f>'P&amp;L - Inputs'!M228</f>
        <v>894672.81844106468</v>
      </c>
      <c r="F72" s="129">
        <f>'P&amp;L - Inputs'!N228</f>
        <v>1469181.2121785174</v>
      </c>
      <c r="G72" s="129">
        <f>'P&amp;L - Inputs'!O228</f>
        <v>1669650.0071880883</v>
      </c>
      <c r="H72" s="129">
        <f>'P&amp;L - Inputs'!P228</f>
        <v>978506.28257191193</v>
      </c>
      <c r="I72" s="129">
        <f>'P&amp;L - Inputs'!Q228</f>
        <v>2859192.2795731248</v>
      </c>
      <c r="J72" s="129">
        <f>'P&amp;L - Inputs'!R228</f>
        <v>2688122.5830093315</v>
      </c>
      <c r="K72" s="129">
        <f>'P&amp;L - Inputs'!S228</f>
        <v>3505430.315752707</v>
      </c>
      <c r="L72" s="129">
        <f>'P&amp;L - Inputs'!T228</f>
        <v>3328709.1745283022</v>
      </c>
      <c r="M72" s="129">
        <f>'P&amp;L - Inputs'!U228</f>
        <v>1525000.6569856314</v>
      </c>
      <c r="N72" s="129">
        <f>'P&amp;L - Inputs'!V228</f>
        <v>1631520.6051748923</v>
      </c>
      <c r="O72" s="129">
        <f>'P&amp;L - Inputs'!W228</f>
        <v>2474016.3632047474</v>
      </c>
      <c r="P72" s="129">
        <f>'P&amp;L - Inputs'!X228</f>
        <v>1995372.9459459458</v>
      </c>
      <c r="Q72" s="129">
        <f>'P&amp;L - Inputs'!Y228</f>
        <v>2072029.3353530031</v>
      </c>
      <c r="R72" s="129">
        <f>'P&amp;L - Inputs'!Z228</f>
        <v>0</v>
      </c>
      <c r="S72" s="129">
        <f>'P&amp;L - Inputs'!AA228</f>
        <v>2000271</v>
      </c>
      <c r="T72" s="129">
        <f>'P&amp;L - Inputs'!AB228</f>
        <v>869766.04000000097</v>
      </c>
      <c r="U72" s="129">
        <f>'P&amp;L - Inputs'!AC228</f>
        <v>666803</v>
      </c>
      <c r="V72" s="129">
        <f>'P&amp;L - Inputs'!AD228</f>
        <v>788538.32</v>
      </c>
      <c r="W72" s="129">
        <f>'P&amp;L - Inputs'!AE228</f>
        <v>1202331.976</v>
      </c>
      <c r="X72" s="129">
        <f>'P&amp;L - Inputs'!AF228</f>
        <v>2377901.35</v>
      </c>
      <c r="Y72" s="129">
        <f>'P&amp;L - Inputs'!AG228</f>
        <v>1900120.4326399998</v>
      </c>
      <c r="Z72" s="129">
        <f>'P&amp;L - Inputs'!AH228</f>
        <v>2233030.769125999</v>
      </c>
      <c r="AA72" s="129">
        <f>'P&amp;L - Inputs'!AI228</f>
        <v>3053035.0663279998</v>
      </c>
      <c r="AB72" s="129">
        <f>'P&amp;L - Inputs'!AJ228</f>
        <v>1877793.6643999999</v>
      </c>
      <c r="AC72" s="129">
        <f>'P&amp;L - Inputs'!AK228</f>
        <v>2983088.9337719991</v>
      </c>
      <c r="AD72" s="129">
        <f>'P&amp;L - Inputs'!AL228</f>
        <v>1761841.2200000214</v>
      </c>
      <c r="AE72" s="129">
        <f>'P&amp;L - Inputs'!AM228</f>
        <v>1306659.1399999987</v>
      </c>
      <c r="AF72" s="129">
        <f>'P&amp;L - Inputs'!AN228</f>
        <v>2454196.4591999971</v>
      </c>
      <c r="AG72" s="129">
        <f>'P&amp;L - Inputs'!AO228</f>
        <v>1983590.3515999999</v>
      </c>
      <c r="AH72" s="129">
        <f>'P&amp;L - Inputs'!AP228</f>
        <v>1342049</v>
      </c>
      <c r="AI72" s="129">
        <f>'P&amp;L - Inputs'!AQ228</f>
        <v>1171946.8306309998</v>
      </c>
      <c r="AJ72" s="129">
        <f>'P&amp;L - Inputs'!AR228</f>
        <v>1003521</v>
      </c>
      <c r="AK72" s="129">
        <f>'P&amp;L - Inputs'!AS228</f>
        <v>2721991.5659400052</v>
      </c>
      <c r="AL72" s="129">
        <f>'P&amp;L - Inputs'!AT228</f>
        <v>3694904.4846399995</v>
      </c>
      <c r="AM72" s="129">
        <f>'P&amp;L - Inputs'!AU228</f>
        <v>4159500.4734999994</v>
      </c>
      <c r="AN72" s="129">
        <f>'P&amp;L - Inputs'!AV228</f>
        <v>3199726</v>
      </c>
      <c r="AO72" s="129">
        <f>'P&amp;L - Inputs'!AW228</f>
        <v>2318667</v>
      </c>
      <c r="AP72" s="129">
        <f>'P&amp;L - Inputs'!AX228</f>
        <v>1879221.8197351983</v>
      </c>
      <c r="AQ72" s="129">
        <f>'P&amp;L - Inputs'!AY228</f>
        <v>2612820.1661399994</v>
      </c>
      <c r="AR72" s="129">
        <f>'P&amp;L - Inputs'!AZ228</f>
        <v>3551152.9000000106</v>
      </c>
      <c r="AS72" s="129">
        <f>'P&amp;L - Inputs'!BA228</f>
        <v>4392929.811360009</v>
      </c>
      <c r="AT72" s="129">
        <f>'P&amp;L - Inputs'!BB228</f>
        <v>3609958.3898000019</v>
      </c>
      <c r="AU72" s="129">
        <f>'P&amp;L - Inputs'!BC228</f>
        <v>3416887.1105000018</v>
      </c>
      <c r="AV72" s="129">
        <f>'P&amp;L - Inputs'!BD228</f>
        <v>4326829.1619999716</v>
      </c>
      <c r="AW72" s="129">
        <f>'P&amp;L - Inputs'!BE228</f>
        <v>2746901.4196600066</v>
      </c>
      <c r="AX72" s="129">
        <f>'P&amp;L - Inputs'!BF228</f>
        <v>2322614.2381999991</v>
      </c>
      <c r="AY72" s="129">
        <f>'P&amp;L - Inputs'!BG228</f>
        <v>2057364.4871999896</v>
      </c>
      <c r="AZ72" s="129">
        <f>'P&amp;L - Inputs'!BH228</f>
        <v>3308916.2974000033</v>
      </c>
      <c r="BA72" s="129">
        <f>'P&amp;L - Inputs'!BI228</f>
        <v>5857771.3199999854</v>
      </c>
      <c r="BB72" s="129">
        <f>'P&amp;L - Inputs'!BJ228</f>
        <v>7099524.1430508895</v>
      </c>
      <c r="BC72" s="129">
        <f>'P&amp;L - Inputs'!BK228</f>
        <v>5644830.1016949369</v>
      </c>
      <c r="BD72" s="129">
        <f>'P&amp;L - Inputs'!BL228</f>
        <v>7130880.4446928157</v>
      </c>
      <c r="BE72" s="129">
        <f>'P&amp;L - Inputs'!BM228</f>
        <v>3951468.4349159626</v>
      </c>
      <c r="BF72" s="129">
        <f>'P&amp;L - Inputs'!BN228</f>
        <v>6387793.7694995189</v>
      </c>
      <c r="BG72" s="129">
        <f>'P&amp;L - Inputs'!BO228</f>
        <v>7953398.4214641945</v>
      </c>
      <c r="BH72" s="129">
        <f>'P&amp;L - Inputs'!BP228</f>
        <v>11599647.728982957</v>
      </c>
      <c r="BI72" s="129">
        <f>'P&amp;L - Inputs'!BQ228</f>
        <v>10075364.717627287</v>
      </c>
      <c r="BJ72" s="129">
        <f>'P&amp;L - Inputs'!BR228</f>
        <v>9988253.3759324327</v>
      </c>
      <c r="BK72" s="129">
        <f>'P&amp;L - Inputs'!BS228</f>
        <v>12920830.702881364</v>
      </c>
      <c r="BL72" s="129">
        <f>'P&amp;L - Inputs'!BT228</f>
        <v>7699943.2099999897</v>
      </c>
      <c r="BM72" s="129">
        <f>'P&amp;L - Inputs'!BU228</f>
        <v>13033544.610169485</v>
      </c>
      <c r="BN72" s="129">
        <f>'P&amp;L - Inputs'!BV228</f>
        <v>10369917.938305248</v>
      </c>
      <c r="BO72" s="129">
        <f>'P&amp;L - Inputs'!BW228</f>
        <v>12098493.816440687</v>
      </c>
      <c r="BP72" s="129">
        <f>'P&amp;L - Inputs'!BX228</f>
        <v>14065540.018305134</v>
      </c>
      <c r="BQ72" s="129">
        <f>'P&amp;L - Inputs'!BY228</f>
        <v>16004166.994576257</v>
      </c>
      <c r="BR72" s="129">
        <f>'P&amp;L - Inputs'!BZ228</f>
        <v>15225506.830847437</v>
      </c>
      <c r="BS72" s="129">
        <f>'P&amp;L - Inputs'!CA228</f>
        <v>15683640.590508653</v>
      </c>
      <c r="BT72" s="129">
        <f>'P&amp;L - Inputs'!CB228</f>
        <v>14117023.855593197</v>
      </c>
      <c r="BU72" s="129">
        <f>'P&amp;L - Inputs'!CC228</f>
        <v>9035968.3030508254</v>
      </c>
      <c r="BV72" s="129">
        <f>'P&amp;L - Inputs'!CD228</f>
        <v>13740527.967966314</v>
      </c>
      <c r="BW72" s="129">
        <f>'P&amp;L - Inputs'!CE228</f>
        <v>15672203.150847428</v>
      </c>
      <c r="BX72" s="129">
        <f>'P&amp;L - Inputs'!CF228</f>
        <v>15483804.41260105</v>
      </c>
      <c r="BY72" s="129">
        <f>'P&amp;L - Inputs'!CG228</f>
        <v>22966719.584478289</v>
      </c>
      <c r="BZ72" s="129">
        <f>'P&amp;L - Inputs'!CH228</f>
        <v>18229128.593647912</v>
      </c>
      <c r="CA72" s="129">
        <f>'P&amp;L - Inputs'!CI228</f>
        <v>17231695.051941589</v>
      </c>
      <c r="CB72" s="129">
        <f>'P&amp;L - Inputs'!CJ228</f>
        <v>18261333.067144372</v>
      </c>
      <c r="CC72" s="129">
        <f>'P&amp;L - Inputs'!CK228</f>
        <v>19501631.567796621</v>
      </c>
      <c r="CD72" s="129">
        <f>'P&amp;L - Inputs'!CL228</f>
        <v>20052061.432203401</v>
      </c>
      <c r="CE72" s="129">
        <f>'P&amp;L - Inputs'!CM228</f>
        <v>23994659.237288099</v>
      </c>
      <c r="CF72" s="129">
        <f>'P&amp;L - Inputs'!CN228</f>
        <v>22321727.152542356</v>
      </c>
      <c r="CG72" s="129">
        <f>'P&amp;L - Inputs'!CO228</f>
        <v>20517251.381355956</v>
      </c>
      <c r="CH72" s="129">
        <f>'P&amp;L - Inputs'!CP228</f>
        <v>30251824.288135573</v>
      </c>
      <c r="CI72" s="129">
        <f>'P&amp;L - Inputs'!CQ228</f>
        <v>38000810.279661037</v>
      </c>
      <c r="CJ72" s="129">
        <f>'P&amp;L - Inputs'!CR228</f>
        <v>32047568.519880701</v>
      </c>
      <c r="CK72" s="129">
        <f>'P&amp;L - Inputs'!CS228</f>
        <v>34129440.122518703</v>
      </c>
      <c r="CL72" s="129">
        <f>'P&amp;L - Inputs'!CT228</f>
        <v>27204229.650181673</v>
      </c>
      <c r="CM72" s="129">
        <f>'P&amp;L - Inputs'!CU228</f>
        <v>27481104.977545761</v>
      </c>
      <c r="CN72" s="129">
        <f>'P&amp;L - Inputs'!CV228</f>
        <v>27461445.190987363</v>
      </c>
      <c r="CO72" s="129">
        <f>'P&amp;L - Inputs'!CW228</f>
        <v>27875939.024260234</v>
      </c>
      <c r="CP72" s="129">
        <f>'P&amp;L - Inputs'!CX228</f>
        <v>26267113.157564752</v>
      </c>
      <c r="CQ72" s="129">
        <f>'P&amp;L - Inputs'!CY228</f>
        <v>28734416.37064356</v>
      </c>
      <c r="CR72" s="129">
        <f>'P&amp;L - Inputs'!CZ228</f>
        <v>27939833.330575019</v>
      </c>
      <c r="CS72" s="129">
        <f>'P&amp;L - Inputs'!DA228</f>
        <v>28005365.952436343</v>
      </c>
      <c r="CT72" s="129">
        <f>'P&amp;L - Inputs'!DB228</f>
        <v>34376775.112903461</v>
      </c>
      <c r="CU72" s="129">
        <f>'P&amp;L - Inputs'!DC228</f>
        <v>37040676.191566236</v>
      </c>
      <c r="CV72" s="129">
        <f>'P&amp;L - Inputs'!DD228</f>
        <v>31755470.23845055</v>
      </c>
      <c r="CW72" s="129">
        <f>'P&amp;L - Inputs'!DE228</f>
        <v>34314519.1221352</v>
      </c>
      <c r="CX72" s="129">
        <f>'P&amp;L - Inputs'!DF228</f>
        <v>32849107.302594367</v>
      </c>
      <c r="CY72" s="129">
        <f>'P&amp;L - Inputs'!DG228</f>
        <v>33183434.260386504</v>
      </c>
      <c r="CZ72" s="129">
        <f>'P&amp;L - Inputs'!DH228</f>
        <v>33159695.068117239</v>
      </c>
      <c r="DA72" s="129">
        <f>'P&amp;L - Inputs'!DI228</f>
        <v>33660196.371794224</v>
      </c>
      <c r="DB72" s="129">
        <f>'P&amp;L - Inputs'!DJ228</f>
        <v>31717539.137759436</v>
      </c>
      <c r="DC72" s="129">
        <f>'P&amp;L - Inputs'!DK228</f>
        <v>34696807.7675521</v>
      </c>
      <c r="DD72" s="129">
        <f>'P&amp;L - Inputs'!DL228</f>
        <v>33737348.746669337</v>
      </c>
      <c r="DE72" s="129">
        <f>'P&amp;L - Inputs'!DM228</f>
        <v>33816479.387566887</v>
      </c>
      <c r="DF72" s="129">
        <f>'P&amp;L - Inputs'!DN228</f>
        <v>41509955.948830925</v>
      </c>
      <c r="DG72" s="129">
        <f>'P&amp;L - Inputs'!DO228</f>
        <v>44726616.501316227</v>
      </c>
      <c r="DH72" s="129">
        <f>'P&amp;L - Inputs'!DP228</f>
        <v>38344730.312929034</v>
      </c>
      <c r="DI72" s="129">
        <f>'P&amp;L - Inputs'!DQ228</f>
        <v>41434781.839978255</v>
      </c>
      <c r="DJ72" s="129">
        <f>'P&amp;L - Inputs'!DR228</f>
        <v>39665297.067882702</v>
      </c>
      <c r="DK72" s="129">
        <f>'P&amp;L - Inputs'!DS228</f>
        <v>40068996.869416706</v>
      </c>
      <c r="DL72" s="129">
        <f>'P&amp;L - Inputs'!DT228</f>
        <v>40040331.794751577</v>
      </c>
      <c r="DM72" s="129">
        <f>'P&amp;L - Inputs'!DU228</f>
        <v>40644687.118941538</v>
      </c>
      <c r="DN72" s="129">
        <f>'P&amp;L - Inputs'!DV228</f>
        <v>38298928.508844517</v>
      </c>
      <c r="DO72" s="129">
        <f>'P&amp;L - Inputs'!DW228</f>
        <v>41896395.379319154</v>
      </c>
      <c r="DP72" s="129">
        <f>'P&amp;L - Inputs'!DX228</f>
        <v>40737848.611603223</v>
      </c>
      <c r="DQ72" s="129">
        <f>'P&amp;L - Inputs'!DY228</f>
        <v>40833398.860487007</v>
      </c>
      <c r="DR72" s="129">
        <f>'P&amp;L - Inputs'!DZ228</f>
        <v>50123271.808213346</v>
      </c>
      <c r="DS72" s="129">
        <f>'P&amp;L - Inputs'!EA228</f>
        <v>54007389.425339349</v>
      </c>
      <c r="DT72" s="129">
        <f>'P&amp;L - Inputs'!EB228</f>
        <v>46301261.852861799</v>
      </c>
      <c r="DU72" s="129">
        <f>'P&amp;L - Inputs'!EC228</f>
        <v>50032499.071773745</v>
      </c>
      <c r="DW72" s="129">
        <f t="shared" si="231"/>
        <v>19875234.689438641</v>
      </c>
      <c r="DX72" s="663">
        <f t="shared" si="232"/>
        <v>18292660.625879675</v>
      </c>
      <c r="DY72" s="129">
        <f t="shared" si="233"/>
        <v>31663265.822542675</v>
      </c>
      <c r="DZ72" s="129">
        <f t="shared" si="234"/>
        <v>33654318.523050837</v>
      </c>
      <c r="EA72" s="129">
        <f t="shared" si="235"/>
        <v>36533951.773051068</v>
      </c>
      <c r="EB72" s="129">
        <f t="shared" si="236"/>
        <v>46913314.41593235</v>
      </c>
      <c r="EC72" s="129">
        <f t="shared" si="237"/>
        <v>36893520.126610339</v>
      </c>
      <c r="ED72" s="129">
        <f t="shared" si="238"/>
        <v>54122727.147926763</v>
      </c>
      <c r="EE72" s="129">
        <f t="shared" si="239"/>
        <v>53722156.712733872</v>
      </c>
      <c r="EF72" s="129">
        <f t="shared" si="240"/>
        <v>63548352.237288117</v>
      </c>
      <c r="EG72" s="129">
        <f t="shared" si="241"/>
        <v>73090802.822033882</v>
      </c>
      <c r="EH72" s="129">
        <f t="shared" si="242"/>
        <v>104177818.92206044</v>
      </c>
      <c r="EI72" s="129">
        <f t="shared" si="243"/>
        <v>82146779.818714797</v>
      </c>
      <c r="EJ72" s="129">
        <f t="shared" si="244"/>
        <v>82877468.552468538</v>
      </c>
      <c r="EK72" s="129">
        <f t="shared" si="245"/>
        <v>90321974.395914823</v>
      </c>
      <c r="EL72" s="129">
        <f t="shared" si="246"/>
        <v>103110665.55215198</v>
      </c>
      <c r="EM72" s="129">
        <f t="shared" si="247"/>
        <v>99192236.631098121</v>
      </c>
      <c r="EN72" s="129">
        <f t="shared" si="248"/>
        <v>100074543.27710575</v>
      </c>
      <c r="EO72" s="644">
        <f t="shared" si="249"/>
        <v>109063784.08306715</v>
      </c>
      <c r="EP72" s="129">
        <f t="shared" si="250"/>
        <v>124506128.6542235</v>
      </c>
      <c r="EQ72" s="129">
        <f t="shared" si="251"/>
        <v>119774625.73205099</v>
      </c>
      <c r="ER72" s="129">
        <f t="shared" si="252"/>
        <v>120840011.0071052</v>
      </c>
      <c r="ES72" s="129">
        <f t="shared" si="253"/>
        <v>131694519.28030357</v>
      </c>
      <c r="ET72" s="129">
        <f t="shared" si="254"/>
        <v>150341150.3499749</v>
      </c>
      <c r="EV72" s="129">
        <f t="shared" si="259"/>
        <v>103485479.66091183</v>
      </c>
      <c r="EW72" s="129">
        <f t="shared" si="260"/>
        <v>174463513.46352053</v>
      </c>
      <c r="EX72" s="129">
        <f t="shared" si="261"/>
        <v>294539130.69411629</v>
      </c>
      <c r="EY72" s="129">
        <f t="shared" si="262"/>
        <v>358456888.31925011</v>
      </c>
      <c r="EZ72" s="129">
        <f t="shared" si="263"/>
        <v>432836692.64549452</v>
      </c>
      <c r="FA72" s="663">
        <f t="shared" si="264"/>
        <v>522650306.3694346</v>
      </c>
    </row>
    <row r="73" spans="2:157" x14ac:dyDescent="0.2">
      <c r="B73" s="114" t="s">
        <v>22</v>
      </c>
      <c r="C73" s="129">
        <f>'P&amp;L - Inputs'!K229</f>
        <v>0</v>
      </c>
      <c r="D73" s="129">
        <f>'P&amp;L - Inputs'!L229</f>
        <v>0</v>
      </c>
      <c r="E73" s="129">
        <f>'P&amp;L - Inputs'!M229</f>
        <v>0</v>
      </c>
      <c r="F73" s="129">
        <f>'P&amp;L - Inputs'!N229</f>
        <v>0</v>
      </c>
      <c r="G73" s="129">
        <f>'P&amp;L - Inputs'!O229</f>
        <v>0</v>
      </c>
      <c r="H73" s="129">
        <f>'P&amp;L - Inputs'!P229</f>
        <v>0</v>
      </c>
      <c r="I73" s="129">
        <f>'P&amp;L - Inputs'!Q229</f>
        <v>0</v>
      </c>
      <c r="J73" s="129">
        <f>'P&amp;L - Inputs'!R229</f>
        <v>0</v>
      </c>
      <c r="K73" s="129">
        <f>'P&amp;L - Inputs'!S229</f>
        <v>0</v>
      </c>
      <c r="L73" s="129">
        <f>'P&amp;L - Inputs'!T229</f>
        <v>0</v>
      </c>
      <c r="M73" s="129">
        <f>'P&amp;L - Inputs'!U229</f>
        <v>0</v>
      </c>
      <c r="N73" s="129">
        <f>'P&amp;L - Inputs'!V229</f>
        <v>0</v>
      </c>
      <c r="O73" s="129">
        <f>'P&amp;L - Inputs'!W229</f>
        <v>0</v>
      </c>
      <c r="P73" s="129">
        <f>'P&amp;L - Inputs'!X229</f>
        <v>0</v>
      </c>
      <c r="Q73" s="129">
        <f>'P&amp;L - Inputs'!Y229</f>
        <v>0</v>
      </c>
      <c r="R73" s="129">
        <f>'P&amp;L - Inputs'!Z229</f>
        <v>0</v>
      </c>
      <c r="S73" s="129">
        <f>'P&amp;L - Inputs'!AA229</f>
        <v>0</v>
      </c>
      <c r="T73" s="129">
        <f>'P&amp;L - Inputs'!AB229</f>
        <v>0</v>
      </c>
      <c r="U73" s="129">
        <f>'P&amp;L - Inputs'!AC229</f>
        <v>0</v>
      </c>
      <c r="V73" s="129">
        <f>'P&amp;L - Inputs'!AD229</f>
        <v>0</v>
      </c>
      <c r="W73" s="129">
        <f>'P&amp;L - Inputs'!AE229</f>
        <v>0</v>
      </c>
      <c r="X73" s="129">
        <f>'P&amp;L - Inputs'!AF229</f>
        <v>0</v>
      </c>
      <c r="Y73" s="129">
        <f>'P&amp;L - Inputs'!AG229</f>
        <v>0</v>
      </c>
      <c r="Z73" s="129">
        <f>'P&amp;L - Inputs'!AH229</f>
        <v>0</v>
      </c>
      <c r="AA73" s="129">
        <f>'P&amp;L - Inputs'!AI229</f>
        <v>0</v>
      </c>
      <c r="AB73" s="129">
        <f>'P&amp;L - Inputs'!AJ229</f>
        <v>0</v>
      </c>
      <c r="AC73" s="129">
        <f>'P&amp;L - Inputs'!AK229</f>
        <v>0</v>
      </c>
      <c r="AD73" s="129">
        <f>'P&amp;L - Inputs'!AL229</f>
        <v>0</v>
      </c>
      <c r="AE73" s="129">
        <f>'P&amp;L - Inputs'!AM229</f>
        <v>0</v>
      </c>
      <c r="AF73" s="129">
        <f>'P&amp;L - Inputs'!AN229</f>
        <v>0</v>
      </c>
      <c r="AG73" s="129">
        <f>'P&amp;L - Inputs'!AO229</f>
        <v>0</v>
      </c>
      <c r="AH73" s="129">
        <f>'P&amp;L - Inputs'!AP229</f>
        <v>0</v>
      </c>
      <c r="AI73" s="129">
        <f>'P&amp;L - Inputs'!AQ229</f>
        <v>0</v>
      </c>
      <c r="AJ73" s="129">
        <f>'P&amp;L - Inputs'!AR229</f>
        <v>0</v>
      </c>
      <c r="AK73" s="129">
        <f>'P&amp;L - Inputs'!AS229</f>
        <v>0</v>
      </c>
      <c r="AL73" s="129">
        <f>'P&amp;L - Inputs'!AT229</f>
        <v>0</v>
      </c>
      <c r="AM73" s="129">
        <f>'P&amp;L - Inputs'!AU229</f>
        <v>0</v>
      </c>
      <c r="AN73" s="129">
        <f>'P&amp;L - Inputs'!AV229</f>
        <v>0</v>
      </c>
      <c r="AO73" s="129">
        <f>'P&amp;L - Inputs'!AW229</f>
        <v>0</v>
      </c>
      <c r="AP73" s="129">
        <f>'P&amp;L - Inputs'!AX229</f>
        <v>0</v>
      </c>
      <c r="AQ73" s="129">
        <f>'P&amp;L - Inputs'!AY229</f>
        <v>0</v>
      </c>
      <c r="AR73" s="129">
        <f>'P&amp;L - Inputs'!AZ229</f>
        <v>0</v>
      </c>
      <c r="AS73" s="129">
        <f>'P&amp;L - Inputs'!BA229</f>
        <v>0</v>
      </c>
      <c r="AT73" s="129">
        <f>'P&amp;L - Inputs'!BB229</f>
        <v>0</v>
      </c>
      <c r="AU73" s="129">
        <f>'P&amp;L - Inputs'!BC229</f>
        <v>261378.57739136802</v>
      </c>
      <c r="AV73" s="129">
        <f>'P&amp;L - Inputs'!BD229</f>
        <v>381898.21129192185</v>
      </c>
      <c r="AW73" s="129">
        <f>'P&amp;L - Inputs'!BE229</f>
        <v>272615.69316780468</v>
      </c>
      <c r="AX73" s="129">
        <f>'P&amp;L - Inputs'!BF229</f>
        <v>196776.72130750277</v>
      </c>
      <c r="AY73" s="129">
        <f>'P&amp;L - Inputs'!BG229</f>
        <v>479999.69379161159</v>
      </c>
      <c r="AZ73" s="129">
        <f>'P&amp;L - Inputs'!BH229</f>
        <v>690676.18695706723</v>
      </c>
      <c r="BA73" s="129">
        <f>'P&amp;L - Inputs'!BI229</f>
        <v>716463.24475161603</v>
      </c>
      <c r="BB73" s="129">
        <f>'P&amp;L - Inputs'!BJ229</f>
        <v>955728.59024755249</v>
      </c>
      <c r="BC73" s="129">
        <f>'P&amp;L - Inputs'!BK229</f>
        <v>1293457.5213996274</v>
      </c>
      <c r="BD73" s="129">
        <f>'P&amp;L - Inputs'!BL229</f>
        <v>1204406.880352661</v>
      </c>
      <c r="BE73" s="129">
        <f>'P&amp;L - Inputs'!BM229</f>
        <v>1204506.8424153221</v>
      </c>
      <c r="BF73" s="129">
        <f>'P&amp;L - Inputs'!BN229</f>
        <v>1625091.4887228194</v>
      </c>
      <c r="BG73" s="129">
        <f>'P&amp;L - Inputs'!BO229</f>
        <v>972072.79501688213</v>
      </c>
      <c r="BH73" s="129">
        <f>'P&amp;L - Inputs'!BP229</f>
        <v>2867293.2735212776</v>
      </c>
      <c r="BI73" s="129">
        <f>'P&amp;L - Inputs'!BQ229</f>
        <v>1908899.0216644953</v>
      </c>
      <c r="BJ73" s="129">
        <f>'P&amp;L - Inputs'!BR229</f>
        <v>1549043.8574665007</v>
      </c>
      <c r="BK73" s="129">
        <f>'P&amp;L - Inputs'!BS229</f>
        <v>882333.34770038154</v>
      </c>
      <c r="BL73" s="129">
        <f>'P&amp;L - Inputs'!BT229</f>
        <v>1249448.0897950039</v>
      </c>
      <c r="BM73" s="129">
        <f>'P&amp;L - Inputs'!BU229</f>
        <v>1685974.6049490504</v>
      </c>
      <c r="BN73" s="129">
        <f>'P&amp;L - Inputs'!BV229</f>
        <v>1278430.5853510678</v>
      </c>
      <c r="BO73" s="129">
        <f>'P&amp;L - Inputs'!BW229</f>
        <v>931791.93548262748</v>
      </c>
      <c r="BP73" s="129">
        <f>'P&amp;L - Inputs'!BX229</f>
        <v>1339705.4788189924</v>
      </c>
      <c r="BQ73" s="129">
        <f>'P&amp;L - Inputs'!BY229</f>
        <v>569469.29445742676</v>
      </c>
      <c r="BR73" s="129">
        <f>'P&amp;L - Inputs'!BZ229</f>
        <v>585789.64438476355</v>
      </c>
      <c r="BS73" s="129">
        <f>'P&amp;L - Inputs'!CA229</f>
        <v>640460.44989030773</v>
      </c>
      <c r="BT73" s="129">
        <f>'P&amp;L - Inputs'!CB229</f>
        <v>1144159.6835783895</v>
      </c>
      <c r="BU73" s="129">
        <f>'P&amp;L - Inputs'!CC229</f>
        <v>605197.58488256764</v>
      </c>
      <c r="BV73" s="129">
        <f>'P&amp;L - Inputs'!CD229</f>
        <v>602956.29447578406</v>
      </c>
      <c r="BW73" s="129">
        <f>'P&amp;L - Inputs'!CE229</f>
        <v>752194.57310561033</v>
      </c>
      <c r="BX73" s="129">
        <f>'P&amp;L - Inputs'!CF229</f>
        <v>1122683.5541825397</v>
      </c>
      <c r="BY73" s="129">
        <f>'P&amp;L - Inputs'!CG229</f>
        <v>1077114.5115670504</v>
      </c>
      <c r="BZ73" s="129">
        <f>'P&amp;L - Inputs'!CH229</f>
        <v>1103175.9284127459</v>
      </c>
      <c r="CA73" s="129">
        <f>'P&amp;L - Inputs'!CI229</f>
        <v>992297.81419755635</v>
      </c>
      <c r="CB73" s="129">
        <f>'P&amp;L - Inputs'!CJ229</f>
        <v>816389.08306880062</v>
      </c>
      <c r="CC73" s="129">
        <f>'P&amp;L - Inputs'!CK229</f>
        <v>1238731.5238108037</v>
      </c>
      <c r="CD73" s="129">
        <f>'P&amp;L - Inputs'!CL229</f>
        <v>1105113.9367624328</v>
      </c>
      <c r="CE73" s="129">
        <f>'P&amp;L - Inputs'!CM229</f>
        <v>1523529.2030033041</v>
      </c>
      <c r="CF73" s="129">
        <f>'P&amp;L - Inputs'!CN229</f>
        <v>534703.02095410298</v>
      </c>
      <c r="CG73" s="129">
        <f>'P&amp;L - Inputs'!CO229</f>
        <v>689671.92055561708</v>
      </c>
      <c r="CH73" s="129">
        <f>'P&amp;L - Inputs'!CP229</f>
        <v>682890.49813772645</v>
      </c>
      <c r="CI73" s="129">
        <f>'P&amp;L - Inputs'!CQ229</f>
        <v>1360896.0213538483</v>
      </c>
      <c r="CJ73" s="129">
        <f>'P&amp;L - Inputs'!CR229</f>
        <v>1181315.5902238614</v>
      </c>
      <c r="CK73" s="129">
        <f>'P&amp;L - Inputs'!CS229</f>
        <v>1558115.1649007758</v>
      </c>
      <c r="CL73" s="129">
        <f>'P&amp;L - Inputs'!CT229</f>
        <v>1472225.0199632696</v>
      </c>
      <c r="CM73" s="129">
        <f>'P&amp;L - Inputs'!CU229</f>
        <v>1487208.8217322421</v>
      </c>
      <c r="CN73" s="129">
        <f>'P&amp;L - Inputs'!CV229</f>
        <v>1486144.8831450962</v>
      </c>
      <c r="CO73" s="129">
        <f>'P&amp;L - Inputs'!CW229</f>
        <v>1508576.2550240911</v>
      </c>
      <c r="CP73" s="129">
        <f>'P&amp;L - Inputs'!CX229</f>
        <v>1421510.6139759768</v>
      </c>
      <c r="CQ73" s="129">
        <f>'P&amp;L - Inputs'!CY229</f>
        <v>1555034.9066627992</v>
      </c>
      <c r="CR73" s="129">
        <f>'P&amp;L - Inputs'!CZ229</f>
        <v>1512034.0554323155</v>
      </c>
      <c r="CS73" s="129">
        <f>'P&amp;L - Inputs'!DA229</f>
        <v>1515580.5173894686</v>
      </c>
      <c r="CT73" s="129">
        <f>'P&amp;L - Inputs'!DB229</f>
        <v>1860385.2811736995</v>
      </c>
      <c r="CU73" s="129">
        <f>'P&amp;L - Inputs'!DC229</f>
        <v>2004548.9597319819</v>
      </c>
      <c r="CV73" s="129">
        <f>'P&amp;L - Inputs'!DD229</f>
        <v>1718526.8028875671</v>
      </c>
      <c r="CW73" s="129">
        <f>'P&amp;L - Inputs'!DE229</f>
        <v>1857016.1423144038</v>
      </c>
      <c r="CX73" s="129">
        <f>'P&amp;L - Inputs'!DF229</f>
        <v>1743850.5361464927</v>
      </c>
      <c r="CY73" s="129">
        <f>'P&amp;L - Inputs'!DG229</f>
        <v>1761598.8493418409</v>
      </c>
      <c r="CZ73" s="129">
        <f>'P&amp;L - Inputs'!DH229</f>
        <v>1760338.6140853667</v>
      </c>
      <c r="DA73" s="129">
        <f>'P&amp;L - Inputs'!DI229</f>
        <v>1786908.5740760358</v>
      </c>
      <c r="DB73" s="129">
        <f>'P&amp;L - Inputs'!DJ229</f>
        <v>1683779.3222545446</v>
      </c>
      <c r="DC73" s="129">
        <f>'P&amp;L - Inputs'!DK229</f>
        <v>1841938.8469420858</v>
      </c>
      <c r="DD73" s="129">
        <f>'P&amp;L - Inputs'!DL229</f>
        <v>1791004.3386595775</v>
      </c>
      <c r="DE73" s="129">
        <f>'P&amp;L - Inputs'!DM229</f>
        <v>1795205.1228478255</v>
      </c>
      <c r="DF73" s="129">
        <f>'P&amp;L - Inputs'!DN229</f>
        <v>2203626.365550247</v>
      </c>
      <c r="DG73" s="129">
        <f>'P&amp;L - Inputs'!DO229</f>
        <v>2374388.2428025319</v>
      </c>
      <c r="DH73" s="129">
        <f>'P&amp;L - Inputs'!DP229</f>
        <v>2035594.9980203228</v>
      </c>
      <c r="DI73" s="129">
        <f>'P&amp;L - Inputs'!DQ229</f>
        <v>2199635.6205714107</v>
      </c>
      <c r="DJ73" s="129">
        <f>'P&amp;L - Inputs'!DR229</f>
        <v>2065590.9600655199</v>
      </c>
      <c r="DK73" s="129">
        <f>'P&amp;L - Inputs'!DS229</f>
        <v>2086613.8370454099</v>
      </c>
      <c r="DL73" s="129">
        <f>'P&amp;L - Inputs'!DT229</f>
        <v>2085121.0883841161</v>
      </c>
      <c r="DM73" s="129">
        <f>'P&amp;L - Inputs'!DU229</f>
        <v>2116593.2059930637</v>
      </c>
      <c r="DN73" s="129">
        <f>'P&amp;L - Inputs'!DV229</f>
        <v>1994436.6072105076</v>
      </c>
      <c r="DO73" s="129">
        <f>'P&amp;L - Inputs'!DW229</f>
        <v>2181776.5642028996</v>
      </c>
      <c r="DP73" s="129">
        <f>'P&amp;L - Inputs'!DX229</f>
        <v>2121444.6391422683</v>
      </c>
      <c r="DQ73" s="129">
        <f>'P&amp;L - Inputs'!DY229</f>
        <v>2126420.4680132484</v>
      </c>
      <c r="DR73" s="129">
        <f>'P&amp;L - Inputs'!DZ229</f>
        <v>2610195.4299942669</v>
      </c>
      <c r="DS73" s="129">
        <f>'P&amp;L - Inputs'!EA229</f>
        <v>2812462.8735995986</v>
      </c>
      <c r="DT73" s="129">
        <f>'P&amp;L - Inputs'!EB229</f>
        <v>2411162.2751550716</v>
      </c>
      <c r="DU73" s="129">
        <f>'P&amp;L - Inputs'!EC229</f>
        <v>2605468.3925668355</v>
      </c>
      <c r="DW73" s="129">
        <f t="shared" si="231"/>
        <v>3453592.9919998408</v>
      </c>
      <c r="DX73" s="663">
        <f t="shared" si="232"/>
        <v>3801671.1261550235</v>
      </c>
      <c r="DY73" s="129">
        <f t="shared" si="233"/>
        <v>6325236.152652273</v>
      </c>
      <c r="DZ73" s="129">
        <f t="shared" si="234"/>
        <v>3817756.0424444359</v>
      </c>
      <c r="EA73" s="129">
        <f t="shared" si="235"/>
        <v>3549927.9996526875</v>
      </c>
      <c r="EB73" s="129">
        <f t="shared" si="236"/>
        <v>1795719.388732498</v>
      </c>
      <c r="EC73" s="129">
        <f t="shared" si="237"/>
        <v>2352313.5629367409</v>
      </c>
      <c r="ED73" s="129">
        <f t="shared" si="238"/>
        <v>2951992.6388552003</v>
      </c>
      <c r="EE73" s="129">
        <f t="shared" si="239"/>
        <v>2911862.8256791029</v>
      </c>
      <c r="EF73" s="129">
        <f t="shared" si="240"/>
        <v>3867374.6635765405</v>
      </c>
      <c r="EG73" s="129">
        <f t="shared" si="241"/>
        <v>1907265.4396474464</v>
      </c>
      <c r="EH73" s="129">
        <f t="shared" si="242"/>
        <v>4100326.7764784852</v>
      </c>
      <c r="EI73" s="129">
        <f t="shared" si="243"/>
        <v>4445578.7248406075</v>
      </c>
      <c r="EJ73" s="129">
        <f t="shared" si="244"/>
        <v>4485121.7756628674</v>
      </c>
      <c r="EK73" s="129">
        <f t="shared" si="245"/>
        <v>4887999.8539954834</v>
      </c>
      <c r="EL73" s="129">
        <f t="shared" si="246"/>
        <v>5580091.9049339527</v>
      </c>
      <c r="EM73" s="129">
        <f t="shared" si="247"/>
        <v>5265787.9995737001</v>
      </c>
      <c r="EN73" s="129">
        <f t="shared" si="248"/>
        <v>5312626.7432726659</v>
      </c>
      <c r="EO73" s="644">
        <f t="shared" si="249"/>
        <v>5789835.8270576503</v>
      </c>
      <c r="EP73" s="129">
        <f t="shared" si="250"/>
        <v>6609618.8613942657</v>
      </c>
      <c r="EQ73" s="129">
        <f t="shared" si="251"/>
        <v>6237325.8854950462</v>
      </c>
      <c r="ER73" s="129">
        <f t="shared" si="252"/>
        <v>6292806.3774064705</v>
      </c>
      <c r="ES73" s="129">
        <f t="shared" si="253"/>
        <v>6858060.5371497832</v>
      </c>
      <c r="ET73" s="129">
        <f t="shared" si="254"/>
        <v>7829093.5413215058</v>
      </c>
      <c r="EV73" s="129">
        <f t="shared" si="259"/>
        <v>17398256.313251574</v>
      </c>
      <c r="EW73" s="129">
        <f t="shared" si="260"/>
        <v>10649953.590177126</v>
      </c>
      <c r="EX73" s="129">
        <f t="shared" si="261"/>
        <v>12786829.705381576</v>
      </c>
      <c r="EY73" s="129">
        <f t="shared" si="262"/>
        <v>19398792.259432912</v>
      </c>
      <c r="EZ73" s="129">
        <f t="shared" si="263"/>
        <v>22977869.431298282</v>
      </c>
      <c r="FA73" s="663">
        <f t="shared" si="264"/>
        <v>27217286.341372807</v>
      </c>
    </row>
    <row r="74" spans="2:157" x14ac:dyDescent="0.2">
      <c r="B74" s="114" t="s">
        <v>143</v>
      </c>
      <c r="C74" s="129">
        <v>0</v>
      </c>
      <c r="D74" s="129">
        <v>0</v>
      </c>
      <c r="E74" s="129">
        <v>0</v>
      </c>
      <c r="F74" s="129">
        <v>0</v>
      </c>
      <c r="G74" s="129">
        <v>0</v>
      </c>
      <c r="H74" s="129">
        <v>0</v>
      </c>
      <c r="I74" s="129">
        <v>0</v>
      </c>
      <c r="J74" s="129">
        <v>0</v>
      </c>
      <c r="K74" s="129">
        <v>0</v>
      </c>
      <c r="L74" s="129">
        <v>0</v>
      </c>
      <c r="M74" s="129">
        <v>0</v>
      </c>
      <c r="N74" s="129">
        <v>0</v>
      </c>
      <c r="O74" s="129">
        <v>0</v>
      </c>
      <c r="P74" s="129">
        <v>0</v>
      </c>
      <c r="Q74" s="129">
        <v>0</v>
      </c>
      <c r="R74" s="129">
        <v>0</v>
      </c>
      <c r="S74" s="129">
        <v>0</v>
      </c>
      <c r="T74" s="129">
        <v>0</v>
      </c>
      <c r="U74" s="129">
        <v>0</v>
      </c>
      <c r="V74" s="129">
        <v>0</v>
      </c>
      <c r="W74" s="129">
        <v>0</v>
      </c>
      <c r="X74" s="129">
        <v>0</v>
      </c>
      <c r="Y74" s="129">
        <v>0</v>
      </c>
      <c r="Z74" s="129">
        <v>0</v>
      </c>
      <c r="AA74" s="129">
        <v>0</v>
      </c>
      <c r="AB74" s="129">
        <v>0</v>
      </c>
      <c r="AC74" s="129">
        <v>0</v>
      </c>
      <c r="AD74" s="129">
        <v>0</v>
      </c>
      <c r="AE74" s="129">
        <v>0</v>
      </c>
      <c r="AF74" s="129">
        <v>0</v>
      </c>
      <c r="AG74" s="129">
        <v>0</v>
      </c>
      <c r="AH74" s="129">
        <v>0</v>
      </c>
      <c r="AI74" s="129">
        <v>0</v>
      </c>
      <c r="AJ74" s="129">
        <v>0</v>
      </c>
      <c r="AK74" s="129">
        <v>0</v>
      </c>
      <c r="AL74" s="129">
        <v>0</v>
      </c>
      <c r="AM74" s="129">
        <v>0</v>
      </c>
      <c r="AN74" s="129">
        <v>0</v>
      </c>
      <c r="AO74" s="129">
        <v>0</v>
      </c>
      <c r="AP74" s="129">
        <v>0</v>
      </c>
      <c r="AQ74" s="129">
        <v>0</v>
      </c>
      <c r="AR74" s="129">
        <v>0</v>
      </c>
      <c r="AS74" s="129">
        <v>0</v>
      </c>
      <c r="AT74" s="129">
        <v>0</v>
      </c>
      <c r="AU74" s="129">
        <v>0</v>
      </c>
      <c r="AV74" s="129">
        <v>0</v>
      </c>
      <c r="AW74" s="129">
        <v>0</v>
      </c>
      <c r="AX74" s="129">
        <v>0</v>
      </c>
      <c r="AY74" s="129">
        <v>0</v>
      </c>
      <c r="AZ74" s="129">
        <v>0</v>
      </c>
      <c r="BA74" s="129">
        <v>0</v>
      </c>
      <c r="BB74" s="129">
        <v>0</v>
      </c>
      <c r="BC74" s="129">
        <v>0</v>
      </c>
      <c r="BD74" s="129">
        <v>0</v>
      </c>
      <c r="BE74" s="129">
        <v>0</v>
      </c>
      <c r="BF74" s="129">
        <v>0</v>
      </c>
      <c r="BG74" s="129">
        <v>0</v>
      </c>
      <c r="BH74" s="129">
        <v>0</v>
      </c>
      <c r="BI74" s="129">
        <v>0</v>
      </c>
      <c r="BJ74" s="129">
        <v>0</v>
      </c>
      <c r="BK74" s="129">
        <v>0</v>
      </c>
      <c r="BL74" s="129">
        <v>0</v>
      </c>
      <c r="BM74" s="129">
        <v>0</v>
      </c>
      <c r="BN74" s="129">
        <v>0</v>
      </c>
      <c r="BO74" s="129">
        <v>0</v>
      </c>
      <c r="BP74" s="129">
        <v>0</v>
      </c>
      <c r="BQ74" s="129">
        <v>0</v>
      </c>
      <c r="BR74" s="129">
        <v>0</v>
      </c>
      <c r="BS74" s="129">
        <v>0</v>
      </c>
      <c r="BT74" s="129">
        <v>0</v>
      </c>
      <c r="BU74" s="129">
        <v>0</v>
      </c>
      <c r="BV74" s="129">
        <v>0</v>
      </c>
      <c r="BW74" s="129">
        <v>0</v>
      </c>
      <c r="BX74" s="129">
        <v>0</v>
      </c>
      <c r="BY74" s="129">
        <v>0</v>
      </c>
      <c r="BZ74" s="129">
        <v>0</v>
      </c>
      <c r="CA74" s="129">
        <v>0</v>
      </c>
      <c r="CB74" s="129">
        <v>0</v>
      </c>
      <c r="CC74" s="129">
        <v>0</v>
      </c>
      <c r="CD74" s="129">
        <v>0</v>
      </c>
      <c r="CE74" s="129">
        <v>0</v>
      </c>
      <c r="CF74" s="129">
        <v>0</v>
      </c>
      <c r="CG74" s="129">
        <v>0</v>
      </c>
      <c r="CH74" s="129">
        <v>0</v>
      </c>
      <c r="CI74" s="129">
        <v>0</v>
      </c>
      <c r="CJ74" s="129">
        <v>0</v>
      </c>
      <c r="CK74" s="129">
        <v>0</v>
      </c>
      <c r="CL74" s="129">
        <v>0</v>
      </c>
      <c r="CM74" s="129">
        <v>0</v>
      </c>
      <c r="CN74" s="129">
        <v>0</v>
      </c>
      <c r="CO74" s="129">
        <v>0</v>
      </c>
      <c r="CP74" s="129">
        <v>0</v>
      </c>
      <c r="CQ74" s="129">
        <v>0</v>
      </c>
      <c r="CR74" s="129">
        <v>0</v>
      </c>
      <c r="CS74" s="129">
        <v>0</v>
      </c>
      <c r="CT74" s="129">
        <v>0</v>
      </c>
      <c r="CU74" s="129">
        <v>0</v>
      </c>
      <c r="CV74" s="129">
        <v>0</v>
      </c>
      <c r="CW74" s="129">
        <v>0</v>
      </c>
      <c r="CX74" s="129">
        <v>0</v>
      </c>
      <c r="CY74" s="129">
        <v>0</v>
      </c>
      <c r="CZ74" s="129">
        <v>0</v>
      </c>
      <c r="DA74" s="129">
        <v>0</v>
      </c>
      <c r="DB74" s="129">
        <v>0</v>
      </c>
      <c r="DC74" s="129">
        <v>0</v>
      </c>
      <c r="DD74" s="129">
        <v>0</v>
      </c>
      <c r="DE74" s="129">
        <v>0</v>
      </c>
      <c r="DF74" s="129">
        <v>0</v>
      </c>
      <c r="DG74" s="129">
        <v>0</v>
      </c>
      <c r="DH74" s="129">
        <v>0</v>
      </c>
      <c r="DI74" s="129">
        <v>0</v>
      </c>
      <c r="DJ74" s="129">
        <v>0</v>
      </c>
      <c r="DK74" s="129">
        <v>0</v>
      </c>
      <c r="DL74" s="129">
        <v>0</v>
      </c>
      <c r="DM74" s="129">
        <v>0</v>
      </c>
      <c r="DN74" s="129">
        <v>0</v>
      </c>
      <c r="DO74" s="129">
        <v>0</v>
      </c>
      <c r="DP74" s="129">
        <v>0</v>
      </c>
      <c r="DQ74" s="129">
        <v>0</v>
      </c>
      <c r="DR74" s="129">
        <v>0</v>
      </c>
      <c r="DS74" s="129">
        <v>0</v>
      </c>
      <c r="DT74" s="129">
        <v>0</v>
      </c>
      <c r="DU74" s="129">
        <v>0</v>
      </c>
      <c r="DW74" s="129">
        <f t="shared" si="231"/>
        <v>0</v>
      </c>
      <c r="DX74" s="663">
        <f t="shared" si="232"/>
        <v>0</v>
      </c>
      <c r="DY74" s="129">
        <f t="shared" si="233"/>
        <v>0</v>
      </c>
      <c r="DZ74" s="129">
        <f t="shared" si="234"/>
        <v>0</v>
      </c>
      <c r="EA74" s="129">
        <f t="shared" si="235"/>
        <v>0</v>
      </c>
      <c r="EB74" s="129">
        <f t="shared" si="236"/>
        <v>0</v>
      </c>
      <c r="EC74" s="129">
        <f t="shared" si="237"/>
        <v>0</v>
      </c>
      <c r="ED74" s="129">
        <f t="shared" si="238"/>
        <v>0</v>
      </c>
      <c r="EE74" s="129">
        <f t="shared" si="239"/>
        <v>0</v>
      </c>
      <c r="EF74" s="129">
        <f t="shared" si="240"/>
        <v>0</v>
      </c>
      <c r="EG74" s="129">
        <f t="shared" si="241"/>
        <v>0</v>
      </c>
      <c r="EH74" s="129">
        <f t="shared" si="242"/>
        <v>0</v>
      </c>
      <c r="EI74" s="129">
        <f t="shared" si="243"/>
        <v>0</v>
      </c>
      <c r="EJ74" s="129">
        <f t="shared" si="244"/>
        <v>0</v>
      </c>
      <c r="EK74" s="129">
        <f t="shared" si="245"/>
        <v>0</v>
      </c>
      <c r="EL74" s="129">
        <f t="shared" si="246"/>
        <v>0</v>
      </c>
      <c r="EM74" s="129">
        <f t="shared" si="247"/>
        <v>0</v>
      </c>
      <c r="EN74" s="129">
        <f t="shared" si="248"/>
        <v>0</v>
      </c>
      <c r="EO74" s="644">
        <f t="shared" si="249"/>
        <v>0</v>
      </c>
      <c r="EP74" s="129">
        <f t="shared" si="250"/>
        <v>0</v>
      </c>
      <c r="EQ74" s="129">
        <f t="shared" si="251"/>
        <v>0</v>
      </c>
      <c r="ER74" s="129">
        <f t="shared" si="252"/>
        <v>0</v>
      </c>
      <c r="ES74" s="129">
        <f t="shared" si="253"/>
        <v>0</v>
      </c>
      <c r="ET74" s="129">
        <f t="shared" si="254"/>
        <v>0</v>
      </c>
      <c r="EV74" s="129">
        <f t="shared" si="259"/>
        <v>0</v>
      </c>
      <c r="EW74" s="129">
        <f t="shared" si="260"/>
        <v>0</v>
      </c>
      <c r="EX74" s="129">
        <f t="shared" si="261"/>
        <v>0</v>
      </c>
      <c r="EY74" s="129">
        <f t="shared" si="262"/>
        <v>0</v>
      </c>
      <c r="EZ74" s="129">
        <f t="shared" si="263"/>
        <v>0</v>
      </c>
      <c r="FA74" s="663">
        <f t="shared" si="264"/>
        <v>0</v>
      </c>
    </row>
    <row r="75" spans="2:157" x14ac:dyDescent="0.2">
      <c r="B75" s="114" t="s">
        <v>36</v>
      </c>
      <c r="C75" s="129">
        <f>'P&amp;L - Inputs'!K230</f>
        <v>5288.1149897330588</v>
      </c>
      <c r="D75" s="129">
        <f>'P&amp;L - Inputs'!L230</f>
        <v>27485.833846153844</v>
      </c>
      <c r="E75" s="129">
        <f>'P&amp;L - Inputs'!M230</f>
        <v>105162.1958174905</v>
      </c>
      <c r="F75" s="129">
        <f>'P&amp;L - Inputs'!N230</f>
        <v>129758.01626323751</v>
      </c>
      <c r="G75" s="129">
        <f>'P&amp;L - Inputs'!O230</f>
        <v>153501.28906383709</v>
      </c>
      <c r="H75" s="129">
        <f>'P&amp;L - Inputs'!P230</f>
        <v>120289.68189509308</v>
      </c>
      <c r="I75" s="129">
        <f>'P&amp;L - Inputs'!Q230</f>
        <v>220296.29761010074</v>
      </c>
      <c r="J75" s="129">
        <f>'P&amp;L - Inputs'!R230</f>
        <v>203625.19653965786</v>
      </c>
      <c r="K75" s="129">
        <f>'P&amp;L - Inputs'!S230</f>
        <v>308086.22982885083</v>
      </c>
      <c r="L75" s="129">
        <f>'P&amp;L - Inputs'!T230</f>
        <v>321393.97169811319</v>
      </c>
      <c r="M75" s="129">
        <f>'P&amp;L - Inputs'!U230</f>
        <v>180422.67196575971</v>
      </c>
      <c r="N75" s="129">
        <f>'P&amp;L - Inputs'!V230</f>
        <v>165231.64183037853</v>
      </c>
      <c r="O75" s="129">
        <f>'P&amp;L - Inputs'!W230</f>
        <v>219706.33273986151</v>
      </c>
      <c r="P75" s="129">
        <f>'P&amp;L - Inputs'!X230</f>
        <v>144347.45945945947</v>
      </c>
      <c r="Q75" s="129">
        <f>'P&amp;L - Inputs'!Y230</f>
        <v>198511.29135932561</v>
      </c>
      <c r="R75" s="129">
        <f>'P&amp;L - Inputs'!Z230</f>
        <v>0</v>
      </c>
      <c r="S75" s="129">
        <f>'P&amp;L - Inputs'!AA230</f>
        <v>188832.23178807946</v>
      </c>
      <c r="T75" s="129">
        <f>'P&amp;L - Inputs'!AB230</f>
        <v>90576.518578878749</v>
      </c>
      <c r="U75" s="129">
        <f>'P&amp;L - Inputs'!AC230</f>
        <v>67324.076509264793</v>
      </c>
      <c r="V75" s="129">
        <f>'P&amp;L - Inputs'!AD230</f>
        <v>69249.693053311799</v>
      </c>
      <c r="W75" s="129">
        <f>'P&amp;L - Inputs'!AE230</f>
        <v>85834.411764705888</v>
      </c>
      <c r="X75" s="129">
        <f>'P&amp;L - Inputs'!AF230</f>
        <v>111366.70009756097</v>
      </c>
      <c r="Y75" s="129">
        <f>'P&amp;L - Inputs'!AG230</f>
        <v>93926.144530134246</v>
      </c>
      <c r="Z75" s="129">
        <f>'P&amp;L - Inputs'!AH230</f>
        <v>153663.65482625482</v>
      </c>
      <c r="AA75" s="129">
        <f>'P&amp;L - Inputs'!AI230</f>
        <v>93124.423440453684</v>
      </c>
      <c r="AB75" s="129">
        <f>'P&amp;L - Inputs'!AJ230</f>
        <v>97088.14399591212</v>
      </c>
      <c r="AC75" s="129">
        <f>'P&amp;L - Inputs'!AK230</f>
        <v>164943.91763039888</v>
      </c>
      <c r="AD75" s="129">
        <f>'P&amp;L - Inputs'!AL230</f>
        <v>116018.17946917567</v>
      </c>
      <c r="AE75" s="129">
        <f>'P&amp;L - Inputs'!AM230</f>
        <v>83723.846830985916</v>
      </c>
      <c r="AF75" s="129">
        <f>'P&amp;L - Inputs'!AN230</f>
        <v>103199.32680449764</v>
      </c>
      <c r="AG75" s="129">
        <f>'P&amp;L - Inputs'!AO230</f>
        <v>87792.200039377829</v>
      </c>
      <c r="AH75" s="129">
        <f>'P&amp;L - Inputs'!AP230</f>
        <v>55916.042194092828</v>
      </c>
      <c r="AI75" s="129">
        <f>'P&amp;L - Inputs'!AQ230</f>
        <v>62534.921575416578</v>
      </c>
      <c r="AJ75" s="129">
        <f>'P&amp;L - Inputs'!AR230</f>
        <v>86919.654159221769</v>
      </c>
      <c r="AK75" s="129">
        <f>'P&amp;L - Inputs'!AS230</f>
        <v>194480.52912292583</v>
      </c>
      <c r="AL75" s="129">
        <f>'P&amp;L - Inputs'!AT230</f>
        <v>209461.95348262394</v>
      </c>
      <c r="AM75" s="129">
        <f>'P&amp;L - Inputs'!AU230</f>
        <v>200899.41491085899</v>
      </c>
      <c r="AN75" s="129">
        <f>'P&amp;L - Inputs'!AV230</f>
        <v>154793.17192707313</v>
      </c>
      <c r="AO75" s="129">
        <f>'P&amp;L - Inputs'!AW230</f>
        <v>82945.541513696691</v>
      </c>
      <c r="AP75" s="129">
        <f>'P&amp;L - Inputs'!AX230</f>
        <v>74360</v>
      </c>
      <c r="AQ75" s="129">
        <f>'P&amp;L - Inputs'!AY230</f>
        <v>205033.38868961661</v>
      </c>
      <c r="AR75" s="129">
        <f>'P&amp;L - Inputs'!AZ230</f>
        <v>122100</v>
      </c>
      <c r="AS75" s="129">
        <f>'P&amp;L - Inputs'!BA230</f>
        <v>145255</v>
      </c>
      <c r="AT75" s="129">
        <f>'P&amp;L - Inputs'!BB230</f>
        <v>115115</v>
      </c>
      <c r="AU75" s="129">
        <f>'P&amp;L - Inputs'!BC230</f>
        <v>168685</v>
      </c>
      <c r="AV75" s="129">
        <f>'P&amp;L - Inputs'!BD230</f>
        <v>222750</v>
      </c>
      <c r="AW75" s="129">
        <f>'P&amp;L - Inputs'!BE230</f>
        <v>160710</v>
      </c>
      <c r="AX75" s="129">
        <f>'P&amp;L - Inputs'!BF230</f>
        <v>144650</v>
      </c>
      <c r="AY75" s="129">
        <f>'P&amp;L - Inputs'!BG230</f>
        <v>139865</v>
      </c>
      <c r="AZ75" s="129">
        <f>'P&amp;L - Inputs'!BH230</f>
        <v>238975</v>
      </c>
      <c r="BA75" s="129">
        <f>'P&amp;L - Inputs'!BI230</f>
        <v>386375</v>
      </c>
      <c r="BB75" s="129">
        <f>'P&amp;L - Inputs'!BJ230</f>
        <v>459580</v>
      </c>
      <c r="BC75" s="129">
        <f>'P&amp;L - Inputs'!BK230</f>
        <v>430800</v>
      </c>
      <c r="BD75" s="129">
        <f>'P&amp;L - Inputs'!BL230</f>
        <v>572940</v>
      </c>
      <c r="BE75" s="129">
        <f>'P&amp;L - Inputs'!BM230</f>
        <v>375060</v>
      </c>
      <c r="BF75" s="129">
        <f>'P&amp;L - Inputs'!BN230</f>
        <v>457140</v>
      </c>
      <c r="BG75" s="129">
        <f>'P&amp;L - Inputs'!BO230</f>
        <v>472200</v>
      </c>
      <c r="BH75" s="129">
        <f>'P&amp;L - Inputs'!BP230</f>
        <v>615480</v>
      </c>
      <c r="BI75" s="129">
        <f>'P&amp;L - Inputs'!BQ230</f>
        <v>549720</v>
      </c>
      <c r="BJ75" s="129">
        <f>'P&amp;L - Inputs'!BR230</f>
        <v>498720</v>
      </c>
      <c r="BK75" s="129">
        <f>'P&amp;L - Inputs'!BS230</f>
        <v>523800</v>
      </c>
      <c r="BL75" s="129">
        <f>'P&amp;L - Inputs'!BT230</f>
        <v>354840</v>
      </c>
      <c r="BM75" s="129">
        <f>'P&amp;L - Inputs'!BU230</f>
        <v>547800</v>
      </c>
      <c r="BN75" s="129">
        <f>'P&amp;L - Inputs'!BV230</f>
        <v>504720</v>
      </c>
      <c r="BO75" s="129">
        <f>'P&amp;L - Inputs'!BW230</f>
        <v>531000</v>
      </c>
      <c r="BP75" s="129">
        <f>'P&amp;L - Inputs'!BX230</f>
        <v>555180</v>
      </c>
      <c r="BQ75" s="129">
        <f>'P&amp;L - Inputs'!BY230</f>
        <v>577920</v>
      </c>
      <c r="BR75" s="129">
        <f>'P&amp;L - Inputs'!BZ230</f>
        <v>527640</v>
      </c>
      <c r="BS75" s="129">
        <f>'P&amp;L - Inputs'!CA230</f>
        <v>532680</v>
      </c>
      <c r="BT75" s="129">
        <f>'P&amp;L - Inputs'!CB230</f>
        <v>531900</v>
      </c>
      <c r="BU75" s="129">
        <f>'P&amp;L - Inputs'!CC230</f>
        <v>476280</v>
      </c>
      <c r="BV75" s="129">
        <f>'P&amp;L - Inputs'!CD230</f>
        <v>591840</v>
      </c>
      <c r="BW75" s="129">
        <f>'P&amp;L - Inputs'!CE230</f>
        <v>663360</v>
      </c>
      <c r="BX75" s="129">
        <f>'P&amp;L - Inputs'!CF230</f>
        <v>655740</v>
      </c>
      <c r="BY75" s="129">
        <f>'P&amp;L - Inputs'!CG230</f>
        <v>860040</v>
      </c>
      <c r="BZ75" s="129">
        <f>'P&amp;L - Inputs'!CH230</f>
        <v>696780</v>
      </c>
      <c r="CA75" s="129">
        <f>'P&amp;L - Inputs'!CI230</f>
        <v>722460</v>
      </c>
      <c r="CB75" s="129">
        <f>'P&amp;L - Inputs'!CJ230</f>
        <v>731537.14285714284</v>
      </c>
      <c r="CC75" s="129">
        <f>'P&amp;L - Inputs'!CK230</f>
        <v>765180</v>
      </c>
      <c r="CD75" s="129">
        <f>'P&amp;L - Inputs'!CL230</f>
        <v>705720</v>
      </c>
      <c r="CE75" s="129">
        <f>'P&amp;L - Inputs'!CM230</f>
        <v>905820</v>
      </c>
      <c r="CF75" s="129">
        <f>'P&amp;L - Inputs'!CN230</f>
        <v>741960</v>
      </c>
      <c r="CG75" s="129">
        <f>'P&amp;L - Inputs'!CO230</f>
        <v>763500</v>
      </c>
      <c r="CH75" s="129">
        <f>'P&amp;L - Inputs'!CP230</f>
        <v>958920</v>
      </c>
      <c r="CI75" s="129">
        <f>'P&amp;L - Inputs'!CQ230</f>
        <v>1054560</v>
      </c>
      <c r="CJ75" s="129">
        <f>'P&amp;L - Inputs'!CR230</f>
        <v>888420</v>
      </c>
      <c r="CK75" s="129">
        <f>'P&amp;L - Inputs'!CS230</f>
        <v>971220</v>
      </c>
      <c r="CL75" s="129">
        <f>'P&amp;L - Inputs'!CT230</f>
        <v>929743.75892814517</v>
      </c>
      <c r="CM75" s="129">
        <f>'P&amp;L - Inputs'!CU230</f>
        <v>939206.37231320119</v>
      </c>
      <c r="CN75" s="129">
        <f>'P&amp;L - Inputs'!CV230</f>
        <v>938534.47077106696</v>
      </c>
      <c r="CO75" s="129">
        <f>'P&amp;L - Inputs'!CW230</f>
        <v>952700.39495106228</v>
      </c>
      <c r="CP75" s="129">
        <f>'P&amp;L - Inputs'!CX230</f>
        <v>897716.45208641677</v>
      </c>
      <c r="CQ75" s="129">
        <f>'P&amp;L - Inputs'!CY230</f>
        <v>982040.09562425397</v>
      </c>
      <c r="CR75" s="129">
        <f>'P&amp;L - Inputs'!CZ230</f>
        <v>954884.07496299816</v>
      </c>
      <c r="CS75" s="129">
        <f>'P&amp;L - Inputs'!DA230</f>
        <v>957123.74677011208</v>
      </c>
      <c r="CT75" s="129">
        <f>'P&amp;L - Inputs'!DB230</f>
        <v>1174875.8382167581</v>
      </c>
      <c r="CU75" s="129">
        <f>'P&amp;L - Inputs'!DC230</f>
        <v>1265918.4971759368</v>
      </c>
      <c r="CV75" s="129">
        <f>'P&amp;L - Inputs'!DD230</f>
        <v>1085288.9659322035</v>
      </c>
      <c r="CW75" s="129">
        <f>'P&amp;L - Inputs'!DE230</f>
        <v>1172748.1499999997</v>
      </c>
      <c r="CX75" s="129">
        <f>'P&amp;L - Inputs'!DF230</f>
        <v>1122665.5889057352</v>
      </c>
      <c r="CY75" s="129">
        <f>'P&amp;L - Inputs'!DG230</f>
        <v>1134091.6945681905</v>
      </c>
      <c r="CZ75" s="129">
        <f>'P&amp;L - Inputs'!DH230</f>
        <v>1133280.3734560634</v>
      </c>
      <c r="DA75" s="129">
        <f>'P&amp;L - Inputs'!DI230</f>
        <v>1150385.7269034076</v>
      </c>
      <c r="DB75" s="129">
        <f>'P&amp;L - Inputs'!DJ230</f>
        <v>1083992.6158943481</v>
      </c>
      <c r="DC75" s="129">
        <f>'P&amp;L - Inputs'!DK230</f>
        <v>1185813.4154662865</v>
      </c>
      <c r="DD75" s="129">
        <f>'P&amp;L - Inputs'!DL230</f>
        <v>1153022.5205178205</v>
      </c>
      <c r="DE75" s="129">
        <f>'P&amp;L - Inputs'!DM230</f>
        <v>1155726.9242249103</v>
      </c>
      <c r="DF75" s="129">
        <f>'P&amp;L - Inputs'!DN230</f>
        <v>1418662.5746467351</v>
      </c>
      <c r="DG75" s="129">
        <f>'P&amp;L - Inputs'!DO230</f>
        <v>1528596.5853399436</v>
      </c>
      <c r="DH75" s="129">
        <f>'P&amp;L - Inputs'!DP230</f>
        <v>1310486.4263631355</v>
      </c>
      <c r="DI75" s="129">
        <f>'P&amp;L - Inputs'!DQ230</f>
        <v>1416093.3911249998</v>
      </c>
      <c r="DJ75" s="129">
        <f>'P&amp;L - Inputs'!DR230</f>
        <v>1355618.6986036752</v>
      </c>
      <c r="DK75" s="129">
        <f>'P&amp;L - Inputs'!DS230</f>
        <v>1369415.7211910898</v>
      </c>
      <c r="DL75" s="129">
        <f>'P&amp;L - Inputs'!DT230</f>
        <v>1368436.0509481968</v>
      </c>
      <c r="DM75" s="129">
        <f>'P&amp;L - Inputs'!DU230</f>
        <v>1389090.765235865</v>
      </c>
      <c r="DN75" s="129">
        <f>'P&amp;L - Inputs'!DV230</f>
        <v>1308921.0836924252</v>
      </c>
      <c r="DO75" s="129">
        <f>'P&amp;L - Inputs'!DW230</f>
        <v>1431869.6991755411</v>
      </c>
      <c r="DP75" s="129">
        <f>'P&amp;L - Inputs'!DX230</f>
        <v>1392274.693525268</v>
      </c>
      <c r="DQ75" s="129">
        <f>'P&amp;L - Inputs'!DY230</f>
        <v>1395540.2610015792</v>
      </c>
      <c r="DR75" s="129">
        <f>'P&amp;L - Inputs'!DZ230</f>
        <v>1713035.0588859329</v>
      </c>
      <c r="DS75" s="129">
        <f>'P&amp;L - Inputs'!EA230</f>
        <v>1845780.376797982</v>
      </c>
      <c r="DT75" s="129">
        <f>'P&amp;L - Inputs'!EB230</f>
        <v>1582412.3598334859</v>
      </c>
      <c r="DU75" s="129">
        <f>'P&amp;L - Inputs'!EC230</f>
        <v>1709932.7697834373</v>
      </c>
      <c r="DW75" s="129">
        <f t="shared" si="231"/>
        <v>1463320</v>
      </c>
      <c r="DX75" s="663">
        <f t="shared" si="232"/>
        <v>1304400</v>
      </c>
      <c r="DY75" s="129">
        <f t="shared" si="233"/>
        <v>1663920</v>
      </c>
      <c r="DZ75" s="129">
        <f t="shared" si="234"/>
        <v>1426440</v>
      </c>
      <c r="EA75" s="129">
        <f t="shared" si="235"/>
        <v>1590900</v>
      </c>
      <c r="EB75" s="129">
        <f t="shared" si="236"/>
        <v>1638240</v>
      </c>
      <c r="EC75" s="129">
        <f t="shared" si="237"/>
        <v>1600020</v>
      </c>
      <c r="ED75" s="129">
        <f t="shared" si="238"/>
        <v>2179140</v>
      </c>
      <c r="EE75" s="129">
        <f t="shared" si="239"/>
        <v>2150777.1428571427</v>
      </c>
      <c r="EF75" s="129">
        <f t="shared" si="240"/>
        <v>2376720</v>
      </c>
      <c r="EG75" s="129">
        <f t="shared" si="241"/>
        <v>2464380</v>
      </c>
      <c r="EH75" s="129">
        <f t="shared" si="242"/>
        <v>2914200</v>
      </c>
      <c r="EI75" s="129">
        <f t="shared" si="243"/>
        <v>2807484.6020124131</v>
      </c>
      <c r="EJ75" s="129">
        <f t="shared" si="244"/>
        <v>2832456.9426617329</v>
      </c>
      <c r="EK75" s="129">
        <f t="shared" si="245"/>
        <v>3086883.659949868</v>
      </c>
      <c r="EL75" s="129">
        <f t="shared" si="246"/>
        <v>3523955.6131081395</v>
      </c>
      <c r="EM75" s="129">
        <f t="shared" si="247"/>
        <v>3390037.6569299893</v>
      </c>
      <c r="EN75" s="129">
        <f t="shared" si="248"/>
        <v>3420191.7582640424</v>
      </c>
      <c r="EO75" s="644">
        <f t="shared" si="249"/>
        <v>3727412.0193894659</v>
      </c>
      <c r="EP75" s="129">
        <f t="shared" si="250"/>
        <v>4255176.4028280787</v>
      </c>
      <c r="EQ75" s="129">
        <f t="shared" si="251"/>
        <v>4093470.4707429623</v>
      </c>
      <c r="ER75" s="129">
        <f t="shared" si="252"/>
        <v>4129881.5481038317</v>
      </c>
      <c r="ES75" s="129">
        <f t="shared" si="253"/>
        <v>4500850.0134127801</v>
      </c>
      <c r="ET75" s="129">
        <f t="shared" si="254"/>
        <v>5138125.5064149052</v>
      </c>
      <c r="EV75" s="129">
        <f t="shared" si="259"/>
        <v>5858080</v>
      </c>
      <c r="EW75" s="129">
        <f t="shared" si="260"/>
        <v>7008300</v>
      </c>
      <c r="EX75" s="129">
        <f t="shared" si="261"/>
        <v>9906077.1428571418</v>
      </c>
      <c r="EY75" s="129">
        <f t="shared" si="262"/>
        <v>12250780.817732153</v>
      </c>
      <c r="EZ75" s="129">
        <f t="shared" si="263"/>
        <v>14792817.837411577</v>
      </c>
      <c r="FA75" s="663">
        <f t="shared" si="264"/>
        <v>17862327.538674481</v>
      </c>
    </row>
    <row r="76" spans="2:157" x14ac:dyDescent="0.2">
      <c r="B76" s="114" t="s">
        <v>24</v>
      </c>
      <c r="C76" s="129">
        <f>'P&amp;L - Inputs'!K231</f>
        <v>7921.1498973305961</v>
      </c>
      <c r="D76" s="129">
        <f>'P&amp;L - Inputs'!L231</f>
        <v>39730.586853146859</v>
      </c>
      <c r="E76" s="129">
        <f>'P&amp;L - Inputs'!M231</f>
        <v>169829.83127376426</v>
      </c>
      <c r="F76" s="129">
        <f>'P&amp;L - Inputs'!N231</f>
        <v>218515.12953857792</v>
      </c>
      <c r="G76" s="129">
        <f>'P&amp;L - Inputs'!O231</f>
        <v>253705.37600547666</v>
      </c>
      <c r="H76" s="129">
        <f>'P&amp;L - Inputs'!P231</f>
        <v>258430.45346869712</v>
      </c>
      <c r="I76" s="129">
        <f>'P&amp;L - Inputs'!Q231</f>
        <v>487027.84608447313</v>
      </c>
      <c r="J76" s="129">
        <f>'P&amp;L - Inputs'!R231</f>
        <v>336843.26846811816</v>
      </c>
      <c r="K76" s="129">
        <f>'P&amp;L - Inputs'!S231</f>
        <v>468117.07038071955</v>
      </c>
      <c r="L76" s="129">
        <f>'P&amp;L - Inputs'!T231</f>
        <v>817791.09198113205</v>
      </c>
      <c r="M76" s="129">
        <f>'P&amp;L - Inputs'!U231</f>
        <v>279744.31977988384</v>
      </c>
      <c r="N76" s="129">
        <f>'P&amp;L - Inputs'!V231</f>
        <v>241269.5293086746</v>
      </c>
      <c r="O76" s="129">
        <f>'P&amp;L - Inputs'!W231</f>
        <v>339630.43125618197</v>
      </c>
      <c r="P76" s="129">
        <f>'P&amp;L - Inputs'!X231</f>
        <v>221340.87917329092</v>
      </c>
      <c r="Q76" s="129">
        <f>'P&amp;L - Inputs'!Y231</f>
        <v>367831.61656569771</v>
      </c>
      <c r="R76" s="129">
        <f>'P&amp;L - Inputs'!Z231</f>
        <v>0</v>
      </c>
      <c r="S76" s="129">
        <f>'P&amp;L - Inputs'!AA231</f>
        <v>313168.36423841061</v>
      </c>
      <c r="T76" s="129">
        <f>'P&amp;L - Inputs'!AB231</f>
        <v>143651.19752281616</v>
      </c>
      <c r="U76" s="129">
        <f>'P&amp;L - Inputs'!AC231</f>
        <v>227661.3980872684</v>
      </c>
      <c r="V76" s="129">
        <f>'P&amp;L - Inputs'!AD231</f>
        <v>323580.48599892296</v>
      </c>
      <c r="W76" s="129">
        <f>'P&amp;L - Inputs'!AE231</f>
        <v>369800.03493351361</v>
      </c>
      <c r="X76" s="129">
        <f>'P&amp;L - Inputs'!AF231</f>
        <v>465335.02400000003</v>
      </c>
      <c r="Y76" s="129">
        <f>'P&amp;L - Inputs'!AG231</f>
        <v>359555.08940302767</v>
      </c>
      <c r="Z76" s="129">
        <f>'P&amp;L - Inputs'!AH231</f>
        <v>705372.0610038609</v>
      </c>
      <c r="AA76" s="129">
        <f>'P&amp;L - Inputs'!AI231</f>
        <v>376892.90737240075</v>
      </c>
      <c r="AB76" s="129">
        <f>'P&amp;L - Inputs'!AJ231</f>
        <v>303143.28932038834</v>
      </c>
      <c r="AC76" s="129">
        <f>'P&amp;L - Inputs'!AK231</f>
        <v>493385.3972150106</v>
      </c>
      <c r="AD76" s="129">
        <f>'P&amp;L - Inputs'!AL231</f>
        <v>313463.79497261619</v>
      </c>
      <c r="AE76" s="129">
        <f>'P&amp;L - Inputs'!AM231</f>
        <v>135329.86544265595</v>
      </c>
      <c r="AF76" s="129">
        <f>'P&amp;L - Inputs'!AN231</f>
        <v>251893.50453391369</v>
      </c>
      <c r="AG76" s="129">
        <f>'P&amp;L - Inputs'!AO231</f>
        <v>260935.4758495767</v>
      </c>
      <c r="AH76" s="129">
        <f>'P&amp;L - Inputs'!AP231</f>
        <v>171303.92597046416</v>
      </c>
      <c r="AI76" s="129">
        <f>'P&amp;L - Inputs'!AQ231</f>
        <v>216938.90980669649</v>
      </c>
      <c r="AJ76" s="129">
        <f>'P&amp;L - Inputs'!AR231</f>
        <v>259424.35510555227</v>
      </c>
      <c r="AK76" s="129">
        <f>'P&amp;L - Inputs'!AS231</f>
        <v>601334.29444509558</v>
      </c>
      <c r="AL76" s="129">
        <f>'P&amp;L - Inputs'!AT231</f>
        <v>736479.11420367984</v>
      </c>
      <c r="AM76" s="129">
        <f>'P&amp;L - Inputs'!AU231</f>
        <v>771800</v>
      </c>
      <c r="AN76" s="129">
        <f>'P&amp;L - Inputs'!AV231</f>
        <v>598326.62041485996</v>
      </c>
      <c r="AO76" s="129">
        <f>'P&amp;L - Inputs'!AW231</f>
        <v>304176.1002578226</v>
      </c>
      <c r="AP76" s="129">
        <f>'P&amp;L - Inputs'!AX231</f>
        <v>419069.24821282085</v>
      </c>
      <c r="AQ76" s="129">
        <f>'P&amp;L - Inputs'!AY231</f>
        <v>743697.53187624516</v>
      </c>
      <c r="AR76" s="129">
        <f>'P&amp;L - Inputs'!AZ231</f>
        <v>681338.42364936136</v>
      </c>
      <c r="AS76" s="129">
        <f>'P&amp;L - Inputs'!BA231</f>
        <v>810066.87214344309</v>
      </c>
      <c r="AT76" s="129">
        <f>'P&amp;L - Inputs'!BB231</f>
        <v>730062.74293917732</v>
      </c>
      <c r="AU76" s="129">
        <f>'P&amp;L - Inputs'!BC231</f>
        <v>1017355.5888762391</v>
      </c>
      <c r="AV76" s="129">
        <f>'P&amp;L - Inputs'!BD231</f>
        <v>1159157.5712527833</v>
      </c>
      <c r="AW76" s="129">
        <f>'P&amp;L - Inputs'!BE231</f>
        <v>942003.50626977615</v>
      </c>
      <c r="AX76" s="129">
        <f>'P&amp;L - Inputs'!BF231</f>
        <v>928168.2057306926</v>
      </c>
      <c r="AY76" s="129">
        <f>'P&amp;L - Inputs'!BG231</f>
        <v>767157.38931208255</v>
      </c>
      <c r="AZ76" s="129">
        <f>'P&amp;L - Inputs'!BH231</f>
        <v>1172992.8717918668</v>
      </c>
      <c r="BA76" s="129">
        <f>'P&amp;L - Inputs'!BI231</f>
        <v>2111788.1924293917</v>
      </c>
      <c r="BB76" s="129">
        <f>'P&amp;L - Inputs'!BJ231</f>
        <v>5086043.8738283692</v>
      </c>
      <c r="BC76" s="129">
        <f>'P&amp;L - Inputs'!BK231</f>
        <v>4146151.077183431</v>
      </c>
      <c r="BD76" s="129">
        <f>'P&amp;L - Inputs'!BL231</f>
        <v>3994009.0462831198</v>
      </c>
      <c r="BE76" s="129">
        <f>'P&amp;L - Inputs'!BM231</f>
        <v>3157231.1085259737</v>
      </c>
      <c r="BF76" s="129">
        <f>'P&amp;L - Inputs'!BN231</f>
        <v>3382217.2720218552</v>
      </c>
      <c r="BG76" s="129">
        <f>'P&amp;L - Inputs'!BO231</f>
        <v>3646238.0301493416</v>
      </c>
      <c r="BH76" s="129">
        <f>'P&amp;L - Inputs'!BP231</f>
        <v>4192479.737699436</v>
      </c>
      <c r="BI76" s="129">
        <f>'P&amp;L - Inputs'!BQ231</f>
        <v>4385612.9686380345</v>
      </c>
      <c r="BJ76" s="129">
        <f>'P&amp;L - Inputs'!BR231</f>
        <v>3278764.1607415052</v>
      </c>
      <c r="BK76" s="129">
        <f>'P&amp;L - Inputs'!BS231</f>
        <v>3122622.7601543684</v>
      </c>
      <c r="BL76" s="129">
        <f>'P&amp;L - Inputs'!BT231</f>
        <v>2824009.4035381554</v>
      </c>
      <c r="BM76" s="129">
        <f>'P&amp;L - Inputs'!BU231</f>
        <v>2927903.2874052366</v>
      </c>
      <c r="BN76" s="129">
        <f>'P&amp;L - Inputs'!BV231</f>
        <v>3066014.855725443</v>
      </c>
      <c r="BO76" s="129">
        <f>'P&amp;L - Inputs'!BW231</f>
        <v>3170937.3402007339</v>
      </c>
      <c r="BP76" s="129">
        <f>'P&amp;L - Inputs'!BX231</f>
        <v>2985187.7052210588</v>
      </c>
      <c r="BQ76" s="129">
        <f>'P&amp;L - Inputs'!BY231</f>
        <v>3507227.0969264489</v>
      </c>
      <c r="BR76" s="129">
        <f>'P&amp;L - Inputs'!BZ231</f>
        <v>3413150.9907794497</v>
      </c>
      <c r="BS76" s="129">
        <f>'P&amp;L - Inputs'!CA231</f>
        <v>3847489.6572665935</v>
      </c>
      <c r="BT76" s="129">
        <f>'P&amp;L - Inputs'!CB231</f>
        <v>4225936.1360460501</v>
      </c>
      <c r="BU76" s="129">
        <f>'P&amp;L - Inputs'!CC231</f>
        <v>3867064.9526926023</v>
      </c>
      <c r="BV76" s="129">
        <f>'P&amp;L - Inputs'!CD231</f>
        <v>3538447.2631022669</v>
      </c>
      <c r="BW76" s="129">
        <f>'P&amp;L - Inputs'!CE231</f>
        <v>3821897.844474595</v>
      </c>
      <c r="BX76" s="129">
        <f>'P&amp;L - Inputs'!CF231</f>
        <v>3981646.7165057207</v>
      </c>
      <c r="BY76" s="129">
        <f>'P&amp;L - Inputs'!CG231</f>
        <v>4688989.7629824821</v>
      </c>
      <c r="BZ76" s="129">
        <f>'P&amp;L - Inputs'!CH231</f>
        <v>4482792.6928629912</v>
      </c>
      <c r="CA76" s="129">
        <f>'P&amp;L - Inputs'!CI231</f>
        <v>4225396.7124858266</v>
      </c>
      <c r="CB76" s="129">
        <f>'P&amp;L - Inputs'!CJ231</f>
        <v>3587775.2582462346</v>
      </c>
      <c r="CC76" s="129">
        <f>'P&amp;L - Inputs'!CK231</f>
        <v>3381716.0610245932</v>
      </c>
      <c r="CD76" s="129">
        <f>'P&amp;L - Inputs'!CL231</f>
        <v>3443584.4608201766</v>
      </c>
      <c r="CE76" s="129">
        <f>'P&amp;L - Inputs'!CM231</f>
        <v>3991782.7244699961</v>
      </c>
      <c r="CF76" s="129">
        <f>'P&amp;L - Inputs'!CN231</f>
        <v>4065120.8979366431</v>
      </c>
      <c r="CG76" s="129">
        <f>'P&amp;L - Inputs'!CO231</f>
        <v>4114268.7839523191</v>
      </c>
      <c r="CH76" s="129">
        <f>'P&amp;L - Inputs'!CP231</f>
        <v>6086064.259233186</v>
      </c>
      <c r="CI76" s="129">
        <f>'P&amp;L - Inputs'!CQ231</f>
        <v>7176374.4608418802</v>
      </c>
      <c r="CJ76" s="129">
        <f>'P&amp;L - Inputs'!CR231</f>
        <v>7065678.4770377735</v>
      </c>
      <c r="CK76" s="129">
        <f>'P&amp;L - Inputs'!CS231</f>
        <v>7055954.8861356722</v>
      </c>
      <c r="CL76" s="129">
        <f>'P&amp;L - Inputs'!CT231</f>
        <v>5433584.5608079741</v>
      </c>
      <c r="CM76" s="129">
        <f>'P&amp;L - Inputs'!CU231</f>
        <v>5488885.7225530231</v>
      </c>
      <c r="CN76" s="129">
        <f>'P&amp;L - Inputs'!CV231</f>
        <v>5484959.0128433155</v>
      </c>
      <c r="CO76" s="129">
        <f>'P&amp;L - Inputs'!CW231</f>
        <v>5567747.142556319</v>
      </c>
      <c r="CP76" s="129">
        <f>'P&amp;L - Inputs'!CX231</f>
        <v>5246411.397978575</v>
      </c>
      <c r="CQ76" s="129">
        <f>'P&amp;L - Inputs'!CY231</f>
        <v>5739213.4665468866</v>
      </c>
      <c r="CR76" s="129">
        <f>'P&amp;L - Inputs'!CZ231</f>
        <v>5580508.9491128679</v>
      </c>
      <c r="CS76" s="129">
        <f>'P&amp;L - Inputs'!DA231</f>
        <v>5593597.9814785598</v>
      </c>
      <c r="CT76" s="129">
        <f>'P&amp;L - Inputs'!DB231</f>
        <v>6866179.1532329842</v>
      </c>
      <c r="CU76" s="129">
        <f>'P&amp;L - Inputs'!DC231</f>
        <v>7398248.3188983724</v>
      </c>
      <c r="CV76" s="129">
        <f>'P&amp;L - Inputs'!DD231</f>
        <v>6342617.8586052964</v>
      </c>
      <c r="CW76" s="129">
        <f>'P&amp;L - Inputs'!DE231</f>
        <v>6853744.5724855755</v>
      </c>
      <c r="CX76" s="129">
        <f>'P&amp;L - Inputs'!DF231</f>
        <v>6561053.3571756277</v>
      </c>
      <c r="CY76" s="129">
        <f>'P&amp;L - Inputs'!DG231</f>
        <v>6627829.509982775</v>
      </c>
      <c r="CZ76" s="129">
        <f>'P&amp;L - Inputs'!DH231</f>
        <v>6623088.0080083031</v>
      </c>
      <c r="DA76" s="129">
        <f>'P&amp;L - Inputs'!DI231</f>
        <v>6723054.6746367542</v>
      </c>
      <c r="DB76" s="129">
        <f>'P&amp;L - Inputs'!DJ231</f>
        <v>6335041.763059129</v>
      </c>
      <c r="DC76" s="129">
        <f>'P&amp;L - Inputs'!DK231</f>
        <v>6930100.2608553646</v>
      </c>
      <c r="DD76" s="129">
        <f>'P&amp;L - Inputs'!DL231</f>
        <v>6738464.5560537884</v>
      </c>
      <c r="DE76" s="129">
        <f>'P&amp;L - Inputs'!DM231</f>
        <v>6754269.5626353612</v>
      </c>
      <c r="DF76" s="129">
        <f>'P&amp;L - Inputs'!DN231</f>
        <v>8290911.3275288269</v>
      </c>
      <c r="DG76" s="129">
        <f>'P&amp;L - Inputs'!DO231</f>
        <v>8933384.8450697828</v>
      </c>
      <c r="DH76" s="129">
        <f>'P&amp;L - Inputs'!DP231</f>
        <v>7658711.0642658947</v>
      </c>
      <c r="DI76" s="129">
        <f>'P&amp;L - Inputs'!DQ231</f>
        <v>8275896.5712763332</v>
      </c>
      <c r="DJ76" s="129">
        <f>'P&amp;L - Inputs'!DR231</f>
        <v>7922471.9287895709</v>
      </c>
      <c r="DK76" s="129">
        <f>'P&amp;L - Inputs'!DS231</f>
        <v>8003104.1333042011</v>
      </c>
      <c r="DL76" s="129">
        <f>'P&amp;L - Inputs'!DT231</f>
        <v>7997378.7696700273</v>
      </c>
      <c r="DM76" s="129">
        <f>'P&amp;L - Inputs'!DU231</f>
        <v>8118088.5196238821</v>
      </c>
      <c r="DN76" s="129">
        <f>'P&amp;L - Inputs'!DV231</f>
        <v>7649562.9288938968</v>
      </c>
      <c r="DO76" s="129">
        <f>'P&amp;L - Inputs'!DW231</f>
        <v>8368096.0649828529</v>
      </c>
      <c r="DP76" s="129">
        <f>'P&amp;L - Inputs'!DX231</f>
        <v>8136695.9514349485</v>
      </c>
      <c r="DQ76" s="129">
        <f>'P&amp;L - Inputs'!DY231</f>
        <v>8155780.4968821984</v>
      </c>
      <c r="DR76" s="129">
        <f>'P&amp;L - Inputs'!DZ231</f>
        <v>10011275.427991061</v>
      </c>
      <c r="DS76" s="129">
        <f>'P&amp;L - Inputs'!EA231</f>
        <v>10787062.200421764</v>
      </c>
      <c r="DT76" s="129">
        <f>'P&amp;L - Inputs'!EB231</f>
        <v>9247893.6101010665</v>
      </c>
      <c r="DU76" s="129">
        <f>'P&amp;L - Inputs'!EC231</f>
        <v>9993145.1098161712</v>
      </c>
      <c r="DW76" s="129">
        <f t="shared" si="231"/>
        <v>13226203.99729492</v>
      </c>
      <c r="DX76" s="663">
        <f t="shared" si="232"/>
        <v>10185686.41069717</v>
      </c>
      <c r="DY76" s="129">
        <f t="shared" si="233"/>
        <v>11856856.867078975</v>
      </c>
      <c r="DZ76" s="129">
        <f t="shared" si="234"/>
        <v>8874535.4510977603</v>
      </c>
      <c r="EA76" s="129">
        <f t="shared" si="235"/>
        <v>9222139.9011472352</v>
      </c>
      <c r="EB76" s="129">
        <f t="shared" si="236"/>
        <v>10767867.744972493</v>
      </c>
      <c r="EC76" s="129">
        <f t="shared" si="237"/>
        <v>11631448.351840919</v>
      </c>
      <c r="ED76" s="129">
        <f t="shared" si="238"/>
        <v>12492534.323962798</v>
      </c>
      <c r="EE76" s="129">
        <f t="shared" si="239"/>
        <v>12295964.663595054</v>
      </c>
      <c r="EF76" s="129">
        <f t="shared" si="240"/>
        <v>10817083.246314766</v>
      </c>
      <c r="EG76" s="129">
        <f t="shared" si="241"/>
        <v>14265453.941122148</v>
      </c>
      <c r="EH76" s="129">
        <f t="shared" si="242"/>
        <v>21298007.824015327</v>
      </c>
      <c r="EI76" s="129">
        <f t="shared" si="243"/>
        <v>16407429.296204314</v>
      </c>
      <c r="EJ76" s="129">
        <f t="shared" si="244"/>
        <v>16553372.007081781</v>
      </c>
      <c r="EK76" s="129">
        <f t="shared" si="245"/>
        <v>18040286.083824411</v>
      </c>
      <c r="EL76" s="129">
        <f t="shared" si="246"/>
        <v>20594610.749989241</v>
      </c>
      <c r="EM76" s="129">
        <f t="shared" si="247"/>
        <v>19811970.875166707</v>
      </c>
      <c r="EN76" s="129">
        <f t="shared" si="248"/>
        <v>19988196.698551249</v>
      </c>
      <c r="EO76" s="644">
        <f t="shared" si="249"/>
        <v>21783645.446217977</v>
      </c>
      <c r="EP76" s="129">
        <f t="shared" si="250"/>
        <v>24867992.48061201</v>
      </c>
      <c r="EQ76" s="129">
        <f t="shared" si="251"/>
        <v>23922954.8317638</v>
      </c>
      <c r="ER76" s="129">
        <f t="shared" si="252"/>
        <v>24135747.513500631</v>
      </c>
      <c r="ES76" s="129">
        <f t="shared" si="253"/>
        <v>26303751.87630821</v>
      </c>
      <c r="ET76" s="129">
        <f t="shared" si="254"/>
        <v>30028100.920339003</v>
      </c>
      <c r="EV76" s="129">
        <f t="shared" si="259"/>
        <v>44143282.726168826</v>
      </c>
      <c r="EW76" s="129">
        <f t="shared" si="260"/>
        <v>44113990.32192345</v>
      </c>
      <c r="EX76" s="129">
        <f t="shared" si="261"/>
        <v>58676509.675047301</v>
      </c>
      <c r="EY76" s="129">
        <f t="shared" si="262"/>
        <v>71595698.137099743</v>
      </c>
      <c r="EZ76" s="129">
        <f t="shared" si="263"/>
        <v>86451805.500547945</v>
      </c>
      <c r="FA76" s="663">
        <f t="shared" si="264"/>
        <v>104390555.14191164</v>
      </c>
    </row>
    <row r="77" spans="2:157" x14ac:dyDescent="0.2">
      <c r="B77" s="114" t="s">
        <v>25</v>
      </c>
      <c r="C77" s="129">
        <f>'P&amp;L - Inputs'!K232</f>
        <v>15568.628923437964</v>
      </c>
      <c r="D77" s="129">
        <f>'P&amp;L - Inputs'!L232</f>
        <v>85663.243636363637</v>
      </c>
      <c r="E77" s="129">
        <f>'P&amp;L - Inputs'!M232</f>
        <v>382340.9826520913</v>
      </c>
      <c r="F77" s="129">
        <f>'P&amp;L - Inputs'!N232</f>
        <v>538020.55151826353</v>
      </c>
      <c r="G77" s="129">
        <f>'P&amp;L - Inputs'!O232</f>
        <v>564032.22375981079</v>
      </c>
      <c r="H77" s="129">
        <f>'P&amp;L - Inputs'!P232</f>
        <v>446134.59076625569</v>
      </c>
      <c r="I77" s="129">
        <f>'P&amp;L - Inputs'!Q232</f>
        <v>749822.2221554186</v>
      </c>
      <c r="J77" s="129">
        <f>'P&amp;L - Inputs'!R232</f>
        <v>989229.19615085539</v>
      </c>
      <c r="K77" s="129">
        <f>'P&amp;L - Inputs'!S232</f>
        <v>1283618.0757946211</v>
      </c>
      <c r="L77" s="129">
        <f>'P&amp;L - Inputs'!T232</f>
        <v>1370773.2570754716</v>
      </c>
      <c r="M77" s="129">
        <f>'P&amp;L - Inputs'!U232</f>
        <v>1048339.8343014368</v>
      </c>
      <c r="N77" s="129">
        <f>'P&amp;L - Inputs'!V232</f>
        <v>893215.26018207951</v>
      </c>
      <c r="O77" s="129">
        <f>'P&amp;L - Inputs'!W232</f>
        <v>1228177.6356083085</v>
      </c>
      <c r="P77" s="129">
        <f>'P&amp;L - Inputs'!X232</f>
        <v>845183.63251192356</v>
      </c>
      <c r="Q77" s="129">
        <f>'P&amp;L - Inputs'!Y232</f>
        <v>1318998.7783192834</v>
      </c>
      <c r="R77" s="129">
        <f>'P&amp;L - Inputs'!Z232</f>
        <v>0</v>
      </c>
      <c r="S77" s="129">
        <f>'P&amp;L - Inputs'!AA232</f>
        <v>1464507.4423509934</v>
      </c>
      <c r="T77" s="129">
        <f>'P&amp;L - Inputs'!AB232</f>
        <v>600742.29096382798</v>
      </c>
      <c r="U77" s="129">
        <f>'P&amp;L - Inputs'!AC232</f>
        <v>403954.50054364855</v>
      </c>
      <c r="V77" s="129">
        <f>'P&amp;L - Inputs'!AD232</f>
        <v>369727.89888100367</v>
      </c>
      <c r="W77" s="129">
        <f>'P&amp;L - Inputs'!AE232</f>
        <v>405136.8293854699</v>
      </c>
      <c r="X77" s="129">
        <f>'P&amp;L - Inputs'!AF232</f>
        <v>539363.17657235882</v>
      </c>
      <c r="Y77" s="129">
        <f>'P&amp;L - Inputs'!AG232</f>
        <v>366823.18091212033</v>
      </c>
      <c r="Z77" s="129">
        <f>'P&amp;L - Inputs'!AH232</f>
        <v>406938.32355212356</v>
      </c>
      <c r="AA77" s="129">
        <f>'P&amp;L - Inputs'!AI232</f>
        <v>305610.73832174978</v>
      </c>
      <c r="AB77" s="129">
        <f>'P&amp;L - Inputs'!AJ232</f>
        <v>381173.05495635391</v>
      </c>
      <c r="AC77" s="129">
        <f>'P&amp;L - Inputs'!AK232</f>
        <v>602108.10086294205</v>
      </c>
      <c r="AD77" s="129">
        <f>'P&amp;L - Inputs'!AL232</f>
        <v>710101.97799174604</v>
      </c>
      <c r="AE77" s="129">
        <f>'P&amp;L - Inputs'!AM232</f>
        <v>665033.44243797672</v>
      </c>
      <c r="AF77" s="129">
        <f>'P&amp;L - Inputs'!AN232</f>
        <v>713180.9285134665</v>
      </c>
      <c r="AG77" s="129">
        <f>'P&amp;L - Inputs'!AO232</f>
        <v>479273.27202764107</v>
      </c>
      <c r="AH77" s="129">
        <f>'P&amp;L - Inputs'!AP232</f>
        <v>283349.72747481911</v>
      </c>
      <c r="AI77" s="129">
        <f>'P&amp;L - Inputs'!AQ232</f>
        <v>262188.81830425095</v>
      </c>
      <c r="AJ77" s="129">
        <f>'P&amp;L - Inputs'!AR232</f>
        <v>394646.28787014034</v>
      </c>
      <c r="AK77" s="129">
        <f>'P&amp;L - Inputs'!AS232</f>
        <v>749986.92101268889</v>
      </c>
      <c r="AL77" s="129">
        <f>'P&amp;L - Inputs'!AT232</f>
        <v>816324.48702325579</v>
      </c>
      <c r="AM77" s="129">
        <f>'P&amp;L - Inputs'!AU232</f>
        <v>531251.34608587041</v>
      </c>
      <c r="AN77" s="129">
        <f>'P&amp;L - Inputs'!AV232</f>
        <v>638624.62485212064</v>
      </c>
      <c r="AO77" s="129">
        <f>'P&amp;L - Inputs'!AW232</f>
        <v>322209.17891599756</v>
      </c>
      <c r="AP77" s="129">
        <f>'P&amp;L - Inputs'!AX232</f>
        <v>530048.30561189994</v>
      </c>
      <c r="AQ77" s="129">
        <f>'P&amp;L - Inputs'!AY232</f>
        <v>933413.51376925083</v>
      </c>
      <c r="AR77" s="129">
        <f>'P&amp;L - Inputs'!AZ232</f>
        <v>818803.64164582931</v>
      </c>
      <c r="AS77" s="129">
        <f>'P&amp;L - Inputs'!BA232</f>
        <v>981217.42448018573</v>
      </c>
      <c r="AT77" s="129">
        <f>'P&amp;L - Inputs'!BB232</f>
        <v>1116917.5856901915</v>
      </c>
      <c r="AU77" s="129">
        <f>'P&amp;L - Inputs'!BC232</f>
        <v>1663423.5286301058</v>
      </c>
      <c r="AV77" s="129">
        <f>'P&amp;L - Inputs'!BD232</f>
        <v>2094025.3199830086</v>
      </c>
      <c r="AW77" s="129">
        <f>'P&amp;L - Inputs'!BE232</f>
        <v>1704440.9484638164</v>
      </c>
      <c r="AX77" s="129">
        <f>'P&amp;L - Inputs'!BF232</f>
        <v>1332455.5567386134</v>
      </c>
      <c r="AY77" s="129">
        <f>'P&amp;L - Inputs'!BG232</f>
        <v>1068434.843163176</v>
      </c>
      <c r="AZ77" s="129">
        <f>'P&amp;L - Inputs'!BH232</f>
        <v>1546686.7080416267</v>
      </c>
      <c r="BA77" s="129">
        <f>'P&amp;L - Inputs'!BI232</f>
        <v>1891508.519107396</v>
      </c>
      <c r="BB77" s="129">
        <f>'P&amp;L - Inputs'!BJ232</f>
        <v>2266292.5404363549</v>
      </c>
      <c r="BC77" s="129">
        <f>'P&amp;L - Inputs'!BK232</f>
        <v>2002424.6751247968</v>
      </c>
      <c r="BD77" s="129">
        <f>'P&amp;L - Inputs'!BL232</f>
        <v>2469046.4370414023</v>
      </c>
      <c r="BE77" s="129">
        <f>'P&amp;L - Inputs'!BM232</f>
        <v>1389909.5855348348</v>
      </c>
      <c r="BF77" s="129">
        <f>'P&amp;L - Inputs'!BN232</f>
        <v>2501764.5440050941</v>
      </c>
      <c r="BG77" s="129">
        <f>'P&amp;L - Inputs'!BO232</f>
        <v>2641347.3746356852</v>
      </c>
      <c r="BH77" s="129">
        <f>'P&amp;L - Inputs'!BP232</f>
        <v>3981737.9861472272</v>
      </c>
      <c r="BI77" s="129">
        <f>'P&amp;L - Inputs'!BQ232</f>
        <v>3561407.5497863316</v>
      </c>
      <c r="BJ77" s="129">
        <f>'P&amp;L - Inputs'!BR232</f>
        <v>3151406.4990010741</v>
      </c>
      <c r="BK77" s="129">
        <f>'P&amp;L - Inputs'!BS232</f>
        <v>3390393.9233157048</v>
      </c>
      <c r="BL77" s="129">
        <f>'P&amp;L - Inputs'!BT232</f>
        <v>2930516.9060635068</v>
      </c>
      <c r="BM77" s="129">
        <f>'P&amp;L - Inputs'!BU232</f>
        <v>2909476.2131884387</v>
      </c>
      <c r="BN77" s="129">
        <f>'P&amp;L - Inputs'!BV232</f>
        <v>2655033.8735007276</v>
      </c>
      <c r="BO77" s="129">
        <f>'P&amp;L - Inputs'!BW232</f>
        <v>2603337.8814277602</v>
      </c>
      <c r="BP77" s="129">
        <f>'P&amp;L - Inputs'!BX232</f>
        <v>2667382.4628141359</v>
      </c>
      <c r="BQ77" s="129">
        <f>'P&amp;L - Inputs'!BY232</f>
        <v>2820339.8094923422</v>
      </c>
      <c r="BR77" s="129">
        <f>'P&amp;L - Inputs'!BZ232</f>
        <v>3289413.8405080615</v>
      </c>
      <c r="BS77" s="129">
        <f>'P&amp;L - Inputs'!CA232</f>
        <v>3714502.9566830196</v>
      </c>
      <c r="BT77" s="129">
        <f>'P&amp;L - Inputs'!CB232</f>
        <v>3417047.1999027701</v>
      </c>
      <c r="BU77" s="129">
        <f>'P&amp;L - Inputs'!CC232</f>
        <v>3319254.4502193797</v>
      </c>
      <c r="BV77" s="129">
        <f>'P&amp;L - Inputs'!CD232</f>
        <v>3753461.3363344972</v>
      </c>
      <c r="BW77" s="129">
        <f>'P&amp;L - Inputs'!CE232</f>
        <v>4094753.1605177545</v>
      </c>
      <c r="BX77" s="129">
        <f>'P&amp;L - Inputs'!CF232</f>
        <v>4108366.2585280221</v>
      </c>
      <c r="BY77" s="129">
        <f>'P&amp;L - Inputs'!CG232</f>
        <v>4481952.9015162522</v>
      </c>
      <c r="BZ77" s="129">
        <f>'P&amp;L - Inputs'!CH232</f>
        <v>4505712.4982939204</v>
      </c>
      <c r="CA77" s="129">
        <f>'P&amp;L - Inputs'!CI232</f>
        <v>4181920.5074814754</v>
      </c>
      <c r="CB77" s="129">
        <f>'P&amp;L - Inputs'!CJ232</f>
        <v>5167959.7952254694</v>
      </c>
      <c r="CC77" s="129">
        <f>'P&amp;L - Inputs'!CK232</f>
        <v>5507651.6027820837</v>
      </c>
      <c r="CD77" s="129">
        <f>'P&amp;L - Inputs'!CL232</f>
        <v>6340876.2384895096</v>
      </c>
      <c r="CE77" s="129">
        <f>'P&amp;L - Inputs'!CM232</f>
        <v>7405886.048072191</v>
      </c>
      <c r="CF77" s="129">
        <f>'P&amp;L - Inputs'!CN232</f>
        <v>7376360.8714768989</v>
      </c>
      <c r="CG77" s="129">
        <f>'P&amp;L - Inputs'!CO232</f>
        <v>7369461.1715008719</v>
      </c>
      <c r="CH77" s="129">
        <f>'P&amp;L - Inputs'!CP232</f>
        <v>6838082.4219234623</v>
      </c>
      <c r="CI77" s="129">
        <f>'P&amp;L - Inputs'!CQ232</f>
        <v>7336439.4941596892</v>
      </c>
      <c r="CJ77" s="129">
        <f>'P&amp;L - Inputs'!CR232</f>
        <v>6534929.4932712689</v>
      </c>
      <c r="CK77" s="129">
        <f>'P&amp;L - Inputs'!CS232</f>
        <v>6526771.5842954582</v>
      </c>
      <c r="CL77" s="129">
        <f>'P&amp;L - Inputs'!CT232</f>
        <v>6166987.2949327184</v>
      </c>
      <c r="CM77" s="129">
        <f>'P&amp;L - Inputs'!CU232</f>
        <v>6229752.7783921352</v>
      </c>
      <c r="CN77" s="129">
        <f>'P&amp;L - Inputs'!CV232</f>
        <v>6225296.0576731227</v>
      </c>
      <c r="CO77" s="129">
        <f>'P&amp;L - Inputs'!CW232</f>
        <v>6319258.5861656247</v>
      </c>
      <c r="CP77" s="129">
        <f>'P&amp;L - Inputs'!CX232</f>
        <v>5954550.2739931494</v>
      </c>
      <c r="CQ77" s="129">
        <f>'P&amp;L - Inputs'!CY232</f>
        <v>6513868.724229143</v>
      </c>
      <c r="CR77" s="129">
        <f>'P&amp;L - Inputs'!CZ232</f>
        <v>6333742.9285024125</v>
      </c>
      <c r="CS77" s="129">
        <f>'P&amp;L - Inputs'!DA232</f>
        <v>6348598.6642324524</v>
      </c>
      <c r="CT77" s="129">
        <f>'P&amp;L - Inputs'!DB232</f>
        <v>7792947.5705855582</v>
      </c>
      <c r="CU77" s="129">
        <f>'P&amp;L - Inputs'!DC232</f>
        <v>8396833.2280116715</v>
      </c>
      <c r="CV77" s="129">
        <f>'P&amp;L - Inputs'!DD232</f>
        <v>7198718.141383972</v>
      </c>
      <c r="CW77" s="129">
        <f>'P&amp;L - Inputs'!DE232</f>
        <v>7778834.6216420205</v>
      </c>
      <c r="CX77" s="129">
        <f>'P&amp;L - Inputs'!DF232</f>
        <v>7304796.4508478036</v>
      </c>
      <c r="CY77" s="129">
        <f>'P&amp;L - Inputs'!DG232</f>
        <v>7379142.1660054838</v>
      </c>
      <c r="CZ77" s="129">
        <f>'P&amp;L - Inputs'!DH232</f>
        <v>7373863.1803138154</v>
      </c>
      <c r="DA77" s="129">
        <f>'P&amp;L - Inputs'!DI232</f>
        <v>7485161.7953131814</v>
      </c>
      <c r="DB77" s="129">
        <f>'P&amp;L - Inputs'!DJ232</f>
        <v>7053164.7995448858</v>
      </c>
      <c r="DC77" s="129">
        <f>'P&amp;L - Inputs'!DK232</f>
        <v>7715677.5038494198</v>
      </c>
      <c r="DD77" s="129">
        <f>'P&amp;L - Inputs'!DL232</f>
        <v>7502318.4988111071</v>
      </c>
      <c r="DE77" s="129">
        <f>'P&amp;L - Inputs'!DM232</f>
        <v>7519915.1177833397</v>
      </c>
      <c r="DF77" s="129">
        <f>'P&amp;L - Inputs'!DN232</f>
        <v>9230746.3973585945</v>
      </c>
      <c r="DG77" s="129">
        <f>'P&amp;L - Inputs'!DO232</f>
        <v>9946048.9585798252</v>
      </c>
      <c r="DH77" s="129">
        <f>'P&amp;L - Inputs'!DP232</f>
        <v>8526881.6384693142</v>
      </c>
      <c r="DI77" s="129">
        <f>'P&amp;L - Inputs'!DQ232</f>
        <v>9214029.6093349736</v>
      </c>
      <c r="DJ77" s="129">
        <f>'P&amp;L - Inputs'!DR232</f>
        <v>8652531.3960292246</v>
      </c>
      <c r="DK77" s="129">
        <f>'P&amp;L - Inputs'!DS232</f>
        <v>8740593.8956334963</v>
      </c>
      <c r="DL77" s="129">
        <f>'P&amp;L - Inputs'!DT232</f>
        <v>8734340.9370817151</v>
      </c>
      <c r="DM77" s="129">
        <f>'P&amp;L - Inputs'!DU232</f>
        <v>8866174.1465484649</v>
      </c>
      <c r="DN77" s="129">
        <f>'P&amp;L - Inputs'!DV232</f>
        <v>8354473.7050609179</v>
      </c>
      <c r="DO77" s="129">
        <f>'P&amp;L - Inputs'!DW232</f>
        <v>9139220.0033096392</v>
      </c>
      <c r="DP77" s="129">
        <f>'P&amp;L - Inputs'!DX232</f>
        <v>8886496.2618417572</v>
      </c>
      <c r="DQ77" s="129">
        <f>'P&amp;L - Inputs'!DY232</f>
        <v>8907339.4570143651</v>
      </c>
      <c r="DR77" s="129">
        <f>'P&amp;L - Inputs'!DZ232</f>
        <v>10933819.107671257</v>
      </c>
      <c r="DS77" s="129">
        <f>'P&amp;L - Inputs'!EA232</f>
        <v>11781094.991437804</v>
      </c>
      <c r="DT77" s="129">
        <f>'P&amp;L - Inputs'!EB232</f>
        <v>10100091.300766902</v>
      </c>
      <c r="DU77" s="129">
        <f>'P&amp;L - Inputs'!EC232</f>
        <v>10914018.072257275</v>
      </c>
      <c r="DW77" s="129">
        <f t="shared" si="231"/>
        <v>6737763.6526025534</v>
      </c>
      <c r="DX77" s="663">
        <f t="shared" si="232"/>
        <v>6533021.5041756146</v>
      </c>
      <c r="DY77" s="129">
        <f t="shared" si="233"/>
        <v>10694552.034934632</v>
      </c>
      <c r="DZ77" s="129">
        <f t="shared" si="234"/>
        <v>9230387.0425676517</v>
      </c>
      <c r="EA77" s="129">
        <f t="shared" si="235"/>
        <v>7925754.2177426238</v>
      </c>
      <c r="EB77" s="129">
        <f t="shared" si="236"/>
        <v>9824256.6066834237</v>
      </c>
      <c r="EC77" s="129">
        <f t="shared" si="237"/>
        <v>10489762.986456648</v>
      </c>
      <c r="ED77" s="129">
        <f t="shared" si="238"/>
        <v>12685072.320562027</v>
      </c>
      <c r="EE77" s="129">
        <f t="shared" si="239"/>
        <v>13855592.801000865</v>
      </c>
      <c r="EF77" s="129">
        <f t="shared" si="240"/>
        <v>19254413.889343783</v>
      </c>
      <c r="EG77" s="129">
        <f t="shared" si="241"/>
        <v>21583904.464901231</v>
      </c>
      <c r="EH77" s="129">
        <f t="shared" si="242"/>
        <v>20398140.571726415</v>
      </c>
      <c r="EI77" s="129">
        <f t="shared" si="243"/>
        <v>18622036.130997978</v>
      </c>
      <c r="EJ77" s="129">
        <f t="shared" si="244"/>
        <v>18787677.584387917</v>
      </c>
      <c r="EK77" s="129">
        <f t="shared" si="245"/>
        <v>20475289.163320422</v>
      </c>
      <c r="EL77" s="129">
        <f t="shared" si="246"/>
        <v>23374385.991037663</v>
      </c>
      <c r="EM77" s="129">
        <f t="shared" si="247"/>
        <v>22057801.797167104</v>
      </c>
      <c r="EN77" s="129">
        <f t="shared" si="248"/>
        <v>22254004.098707486</v>
      </c>
      <c r="EO77" s="644">
        <f t="shared" si="249"/>
        <v>24252980.013953041</v>
      </c>
      <c r="EP77" s="129">
        <f t="shared" si="250"/>
        <v>27686960.206384115</v>
      </c>
      <c r="EQ77" s="129">
        <f t="shared" si="251"/>
        <v>26127466.22874444</v>
      </c>
      <c r="ER77" s="129">
        <f t="shared" si="252"/>
        <v>26359867.854919024</v>
      </c>
      <c r="ES77" s="129">
        <f t="shared" si="253"/>
        <v>28727654.826527379</v>
      </c>
      <c r="ET77" s="129">
        <f t="shared" si="254"/>
        <v>32795204.364461981</v>
      </c>
      <c r="EV77" s="129">
        <f t="shared" si="259"/>
        <v>33195724.234280452</v>
      </c>
      <c r="EW77" s="129">
        <f t="shared" si="260"/>
        <v>40924846.131444722</v>
      </c>
      <c r="EX77" s="129">
        <f t="shared" si="261"/>
        <v>75092051.726972297</v>
      </c>
      <c r="EY77" s="129">
        <f t="shared" si="262"/>
        <v>81259388.869743988</v>
      </c>
      <c r="EZ77" s="129">
        <f t="shared" si="263"/>
        <v>96251746.116211742</v>
      </c>
      <c r="FA77" s="663">
        <f t="shared" si="264"/>
        <v>114010193.27465284</v>
      </c>
    </row>
    <row r="78" spans="2:157" x14ac:dyDescent="0.2">
      <c r="B78" s="114" t="s">
        <v>26</v>
      </c>
      <c r="C78" s="129">
        <f>'P&amp;L - Inputs'!K233</f>
        <v>15258.29744793196</v>
      </c>
      <c r="D78" s="129">
        <f>'P&amp;L - Inputs'!L233</f>
        <v>61693.518641358693</v>
      </c>
      <c r="E78" s="129">
        <f>'P&amp;L - Inputs'!M233</f>
        <v>250476.28496740916</v>
      </c>
      <c r="F78" s="129">
        <f>'P&amp;L - Inputs'!N233</f>
        <v>201311.55513831862</v>
      </c>
      <c r="G78" s="129">
        <f>'P&amp;L - Inputs'!O233</f>
        <v>492915.22847852128</v>
      </c>
      <c r="H78" s="129">
        <f>'P&amp;L - Inputs'!P233</f>
        <v>467710.58423978853</v>
      </c>
      <c r="I78" s="129">
        <f>'P&amp;L - Inputs'!Q233</f>
        <v>617317.64497219305</v>
      </c>
      <c r="J78" s="129">
        <f>'P&amp;L - Inputs'!R233</f>
        <v>1060973.874222395</v>
      </c>
      <c r="K78" s="129">
        <f>'P&amp;L - Inputs'!S233</f>
        <v>1172557.9545930843</v>
      </c>
      <c r="L78" s="129">
        <f>'P&amp;L - Inputs'!T233</f>
        <v>1293869.6108490566</v>
      </c>
      <c r="M78" s="129">
        <f>'P&amp;L - Inputs'!U233</f>
        <v>889853.05839192914</v>
      </c>
      <c r="N78" s="129">
        <f>'P&amp;L - Inputs'!V233</f>
        <v>801452.84235745098</v>
      </c>
      <c r="O78" s="129">
        <f>'P&amp;L - Inputs'!W233</f>
        <v>989924.2207715133</v>
      </c>
      <c r="P78" s="129">
        <f>'P&amp;L - Inputs'!X233</f>
        <v>653305.63910969789</v>
      </c>
      <c r="Q78" s="129">
        <f>'P&amp;L - Inputs'!Y233</f>
        <v>927545.00790305575</v>
      </c>
      <c r="R78" s="129">
        <f>'P&amp;L - Inputs'!Z233</f>
        <v>0</v>
      </c>
      <c r="S78" s="129">
        <f>'P&amp;L - Inputs'!AA233</f>
        <v>1099848.9006622517</v>
      </c>
      <c r="T78" s="129">
        <f>'P&amp;L - Inputs'!AB233</f>
        <v>697389.84485006519</v>
      </c>
      <c r="U78" s="129">
        <f>'P&amp;L - Inputs'!AC233</f>
        <v>488624.05678421998</v>
      </c>
      <c r="V78" s="129">
        <f>'P&amp;L - Inputs'!AD233</f>
        <v>436809.31879375339</v>
      </c>
      <c r="W78" s="129">
        <f>'P&amp;L - Inputs'!AE233</f>
        <v>406040.02636916836</v>
      </c>
      <c r="X78" s="129">
        <f>'P&amp;L - Inputs'!AF233</f>
        <v>571328.19082926831</v>
      </c>
      <c r="Y78" s="129">
        <f>'P&amp;L - Inputs'!AG233</f>
        <v>359005.6166809483</v>
      </c>
      <c r="Z78" s="129">
        <f>'P&amp;L - Inputs'!AH233</f>
        <v>393218.86023166019</v>
      </c>
      <c r="AA78" s="129">
        <f>'P&amp;L - Inputs'!AI233</f>
        <v>279462.14472608338</v>
      </c>
      <c r="AB78" s="129">
        <f>'P&amp;L - Inputs'!AJ233</f>
        <v>383282.02957244654</v>
      </c>
      <c r="AC78" s="129">
        <f>'P&amp;L - Inputs'!AK233</f>
        <v>625577.23801607091</v>
      </c>
      <c r="AD78" s="129">
        <f>'P&amp;L - Inputs'!AL233</f>
        <v>696008.04147157189</v>
      </c>
      <c r="AE78" s="129">
        <f>'P&amp;L - Inputs'!AM233</f>
        <v>646596.12645717186</v>
      </c>
      <c r="AF78" s="129">
        <f>'P&amp;L - Inputs'!AN233</f>
        <v>478368.85035565699</v>
      </c>
      <c r="AG78" s="129">
        <f>'P&amp;L - Inputs'!AO233</f>
        <v>309076.8548039638</v>
      </c>
      <c r="AH78" s="129">
        <f>'P&amp;L - Inputs'!AP233</f>
        <v>203117.79699478686</v>
      </c>
      <c r="AI78" s="129">
        <f>'P&amp;L - Inputs'!AQ233</f>
        <v>202003.2164790174</v>
      </c>
      <c r="AJ78" s="129">
        <f>'P&amp;L - Inputs'!AR233</f>
        <v>208469.02647105724</v>
      </c>
      <c r="AK78" s="129">
        <f>'P&amp;L - Inputs'!AS233</f>
        <v>394677.50587458751</v>
      </c>
      <c r="AL78" s="129">
        <f>'P&amp;L - Inputs'!AT233</f>
        <v>440174.80213527306</v>
      </c>
      <c r="AM78" s="129">
        <f>'P&amp;L - Inputs'!AU233</f>
        <v>396170.23885145976</v>
      </c>
      <c r="AN78" s="129">
        <f>'P&amp;L - Inputs'!AV233</f>
        <v>362070.30381479871</v>
      </c>
      <c r="AO78" s="129">
        <f>'P&amp;L - Inputs'!AW233</f>
        <v>173854.69073879067</v>
      </c>
      <c r="AP78" s="129">
        <f>'P&amp;L - Inputs'!AX233</f>
        <v>311958.28938471945</v>
      </c>
      <c r="AQ78" s="129">
        <f>'P&amp;L - Inputs'!AY233</f>
        <v>575338.17273557815</v>
      </c>
      <c r="AR78" s="129">
        <f>'P&amp;L - Inputs'!AZ233</f>
        <v>759371.01311303431</v>
      </c>
      <c r="AS78" s="129">
        <f>'P&amp;L - Inputs'!BA233</f>
        <v>906829.54628901125</v>
      </c>
      <c r="AT78" s="129">
        <f>'P&amp;L - Inputs'!BB233</f>
        <v>951859.42609943787</v>
      </c>
      <c r="AU78" s="129">
        <f>'P&amp;L - Inputs'!BC233</f>
        <v>1297474.9822381386</v>
      </c>
      <c r="AV78" s="129">
        <f>'P&amp;L - Inputs'!BD233</f>
        <v>1753947.3871949709</v>
      </c>
      <c r="AW78" s="129">
        <f>'P&amp;L - Inputs'!BE233</f>
        <v>1468280.3459373238</v>
      </c>
      <c r="AX78" s="129">
        <f>'P&amp;L - Inputs'!BF233</f>
        <v>1198213.1680612466</v>
      </c>
      <c r="AY78" s="129">
        <f>'P&amp;L - Inputs'!BG233</f>
        <v>949970.0309057564</v>
      </c>
      <c r="AZ78" s="129">
        <f>'P&amp;L - Inputs'!BH233</f>
        <v>1484193.7377561745</v>
      </c>
      <c r="BA78" s="129">
        <f>'P&amp;L - Inputs'!BI233</f>
        <v>1947039.5409268292</v>
      </c>
      <c r="BB78" s="129">
        <f>'P&amp;L - Inputs'!BJ233</f>
        <v>2460292.120979276</v>
      </c>
      <c r="BC78" s="129">
        <f>'P&amp;L - Inputs'!BK233</f>
        <v>2387984.9617390623</v>
      </c>
      <c r="BD78" s="129">
        <f>'P&amp;L - Inputs'!BL233</f>
        <v>2552834.4693151573</v>
      </c>
      <c r="BE78" s="129">
        <f>'P&amp;L - Inputs'!BM233</f>
        <v>1688311.5095988791</v>
      </c>
      <c r="BF78" s="129">
        <f>'P&amp;L - Inputs'!BN233</f>
        <v>2627708.6764174467</v>
      </c>
      <c r="BG78" s="129">
        <f>'P&amp;L - Inputs'!BO233</f>
        <v>2827976.9618800394</v>
      </c>
      <c r="BH78" s="129">
        <f>'P&amp;L - Inputs'!BP233</f>
        <v>3068407.9053024724</v>
      </c>
      <c r="BI78" s="129">
        <f>'P&amp;L - Inputs'!BQ233</f>
        <v>3434601.8202034058</v>
      </c>
      <c r="BJ78" s="129">
        <f>'P&amp;L - Inputs'!BR233</f>
        <v>2612234.7805886399</v>
      </c>
      <c r="BK78" s="129">
        <f>'P&amp;L - Inputs'!BS233</f>
        <v>2608919.5679307701</v>
      </c>
      <c r="BL78" s="129">
        <f>'P&amp;L - Inputs'!BT233</f>
        <v>2246418.7469317396</v>
      </c>
      <c r="BM78" s="129">
        <f>'P&amp;L - Inputs'!BU233</f>
        <v>2136964.9230026691</v>
      </c>
      <c r="BN78" s="129">
        <f>'P&amp;L - Inputs'!BV233</f>
        <v>1834152.8441221269</v>
      </c>
      <c r="BO78" s="129">
        <f>'P&amp;L - Inputs'!BW233</f>
        <v>2198272.1512224623</v>
      </c>
      <c r="BP78" s="129">
        <f>'P&amp;L - Inputs'!BX233</f>
        <v>2406501.424273747</v>
      </c>
      <c r="BQ78" s="129">
        <f>'P&amp;L - Inputs'!BY233</f>
        <v>2533847.7859668895</v>
      </c>
      <c r="BR78" s="129">
        <f>'P&amp;L - Inputs'!BZ233</f>
        <v>2613834.8727828166</v>
      </c>
      <c r="BS78" s="129">
        <f>'P&amp;L - Inputs'!CA233</f>
        <v>2843130.5115795624</v>
      </c>
      <c r="BT78" s="129">
        <f>'P&amp;L - Inputs'!CB233</f>
        <v>2541501.3506709766</v>
      </c>
      <c r="BU78" s="129">
        <f>'P&amp;L - Inputs'!CC233</f>
        <v>2268982.3143141023</v>
      </c>
      <c r="BV78" s="129">
        <f>'P&amp;L - Inputs'!CD233</f>
        <v>2589577.6755605452</v>
      </c>
      <c r="BW78" s="129">
        <f>'P&amp;L - Inputs'!CE233</f>
        <v>2674753.8227745765</v>
      </c>
      <c r="BX78" s="129">
        <f>'P&amp;L - Inputs'!CF233</f>
        <v>2644398.9575792425</v>
      </c>
      <c r="BY78" s="129">
        <f>'P&amp;L - Inputs'!CG233</f>
        <v>2886410.9966640742</v>
      </c>
      <c r="BZ78" s="129">
        <f>'P&amp;L - Inputs'!CH233</f>
        <v>2938380.819976768</v>
      </c>
      <c r="CA78" s="129">
        <f>'P&amp;L - Inputs'!CI233</f>
        <v>2760714.8516978077</v>
      </c>
      <c r="CB78" s="129">
        <f>'P&amp;L - Inputs'!CJ233</f>
        <v>3034225.4631983824</v>
      </c>
      <c r="CC78" s="129">
        <f>'P&amp;L - Inputs'!CK233</f>
        <v>3531875.8095636084</v>
      </c>
      <c r="CD78" s="129">
        <f>'P&amp;L - Inputs'!CL233</f>
        <v>3907048.0811027349</v>
      </c>
      <c r="CE78" s="129">
        <f>'P&amp;L - Inputs'!CM233</f>
        <v>4315523.0835891524</v>
      </c>
      <c r="CF78" s="129">
        <f>'P&amp;L - Inputs'!CN233</f>
        <v>4219898.3779057097</v>
      </c>
      <c r="CG78" s="129">
        <f>'P&amp;L - Inputs'!CO233</f>
        <v>4428637.9494896336</v>
      </c>
      <c r="CH78" s="129">
        <f>'P&amp;L - Inputs'!CP233</f>
        <v>4055199.3330313554</v>
      </c>
      <c r="CI78" s="129">
        <f>'P&amp;L - Inputs'!CQ233</f>
        <v>4309146.3037603898</v>
      </c>
      <c r="CJ78" s="129">
        <f>'P&amp;L - Inputs'!CR233</f>
        <v>3913899.1750564701</v>
      </c>
      <c r="CK78" s="129">
        <f>'P&amp;L - Inputs'!CS233</f>
        <v>3891328.6038267845</v>
      </c>
      <c r="CL78" s="129">
        <f>'P&amp;L - Inputs'!CT233</f>
        <v>3689919.8015985824</v>
      </c>
      <c r="CM78" s="129">
        <f>'P&amp;L - Inputs'!CU233</f>
        <v>3727474.5409222892</v>
      </c>
      <c r="CN78" s="129">
        <f>'P&amp;L - Inputs'!CV233</f>
        <v>3724807.9322129139</v>
      </c>
      <c r="CO78" s="129">
        <f>'P&amp;L - Inputs'!CW233</f>
        <v>3781028.9325022511</v>
      </c>
      <c r="CP78" s="129">
        <f>'P&amp;L - Inputs'!CX233</f>
        <v>3562811.4531183415</v>
      </c>
      <c r="CQ78" s="129">
        <f>'P&amp;L - Inputs'!CY233</f>
        <v>3897470.8461449882</v>
      </c>
      <c r="CR78" s="129">
        <f>'P&amp;L - Inputs'!CZ233</f>
        <v>3789695.4108077218</v>
      </c>
      <c r="CS78" s="129">
        <f>'P&amp;L - Inputs'!DA233</f>
        <v>3798584.1065056408</v>
      </c>
      <c r="CT78" s="129">
        <f>'P&amp;L - Inputs'!DB233</f>
        <v>4662787.5457358053</v>
      </c>
      <c r="CU78" s="129">
        <f>'P&amp;L - Inputs'!DC233</f>
        <v>5024113.025856209</v>
      </c>
      <c r="CV78" s="129">
        <f>'P&amp;L - Inputs'!DD233</f>
        <v>4307239.71781905</v>
      </c>
      <c r="CW78" s="129">
        <f>'P&amp;L - Inputs'!DE233</f>
        <v>4654343.2848227834</v>
      </c>
      <c r="CX78" s="129">
        <f>'P&amp;L - Inputs'!DF233</f>
        <v>4370710.0049935225</v>
      </c>
      <c r="CY78" s="129">
        <f>'P&amp;L - Inputs'!DG233</f>
        <v>4415193.5937224543</v>
      </c>
      <c r="CZ78" s="129">
        <f>'P&amp;L - Inputs'!DH233</f>
        <v>4412034.9957061997</v>
      </c>
      <c r="DA78" s="129">
        <f>'P&amp;L - Inputs'!DI233</f>
        <v>4478628.7705489192</v>
      </c>
      <c r="DB78" s="129">
        <f>'P&amp;L - Inputs'!DJ233</f>
        <v>4220150.1662186785</v>
      </c>
      <c r="DC78" s="129">
        <f>'P&amp;L - Inputs'!DK233</f>
        <v>4616554.2172587421</v>
      </c>
      <c r="DD78" s="129">
        <f>'P&amp;L - Inputs'!DL233</f>
        <v>4488894.2141017504</v>
      </c>
      <c r="DE78" s="129">
        <f>'P&amp;L - Inputs'!DM233</f>
        <v>4499422.8741559358</v>
      </c>
      <c r="DF78" s="129">
        <f>'P&amp;L - Inputs'!DN233</f>
        <v>5523071.8479240667</v>
      </c>
      <c r="DG78" s="129">
        <f>'P&amp;L - Inputs'!DO233</f>
        <v>5951061.8791266857</v>
      </c>
      <c r="DH78" s="129">
        <f>'P&amp;L - Inputs'!DP233</f>
        <v>5101925.4457566692</v>
      </c>
      <c r="DI78" s="129">
        <f>'P&amp;L - Inputs'!DQ233</f>
        <v>5513069.6208725907</v>
      </c>
      <c r="DJ78" s="129">
        <f>'P&amp;L - Inputs'!DR233</f>
        <v>5177106.0009148298</v>
      </c>
      <c r="DK78" s="129">
        <f>'P&amp;L - Inputs'!DS233</f>
        <v>5229796.8117642496</v>
      </c>
      <c r="DL78" s="129">
        <f>'P&amp;L - Inputs'!DT233</f>
        <v>5226055.4524139948</v>
      </c>
      <c r="DM78" s="129">
        <f>'P&amp;L - Inputs'!DU233</f>
        <v>5304935.778715197</v>
      </c>
      <c r="DN78" s="129">
        <f>'P&amp;L - Inputs'!DV233</f>
        <v>4998767.871886027</v>
      </c>
      <c r="DO78" s="129">
        <f>'P&amp;L - Inputs'!DW233</f>
        <v>5468308.4703429816</v>
      </c>
      <c r="DP78" s="129">
        <f>'P&amp;L - Inputs'!DX233</f>
        <v>5317095.1966035236</v>
      </c>
      <c r="DQ78" s="129">
        <f>'P&amp;L - Inputs'!DY233</f>
        <v>5329566.3944377052</v>
      </c>
      <c r="DR78" s="129">
        <f>'P&amp;L - Inputs'!DZ233</f>
        <v>6542078.6038660565</v>
      </c>
      <c r="DS78" s="129">
        <f>'P&amp;L - Inputs'!EA233</f>
        <v>7049032.7958255569</v>
      </c>
      <c r="DT78" s="129">
        <f>'P&amp;L - Inputs'!EB233</f>
        <v>6043230.690498773</v>
      </c>
      <c r="DU78" s="129">
        <f>'P&amp;L - Inputs'!EC233</f>
        <v>6530230.9659235831</v>
      </c>
      <c r="DW78" s="129">
        <f t="shared" si="231"/>
        <v>7401111.5520334961</v>
      </c>
      <c r="DX78" s="663">
        <f t="shared" si="232"/>
        <v>7143997.1478963653</v>
      </c>
      <c r="DY78" s="129">
        <f t="shared" si="233"/>
        <v>9115244.506094519</v>
      </c>
      <c r="DZ78" s="129">
        <f t="shared" si="234"/>
        <v>6992303.2378651798</v>
      </c>
      <c r="EA78" s="129">
        <f t="shared" si="235"/>
        <v>6438926.4196183365</v>
      </c>
      <c r="EB78" s="129">
        <f t="shared" si="236"/>
        <v>7990813.170329269</v>
      </c>
      <c r="EC78" s="129">
        <f t="shared" si="237"/>
        <v>7400061.3405456245</v>
      </c>
      <c r="ED78" s="129">
        <f t="shared" si="238"/>
        <v>8205563.7770178933</v>
      </c>
      <c r="EE78" s="129">
        <f t="shared" si="239"/>
        <v>8733321.1348729581</v>
      </c>
      <c r="EF78" s="129">
        <f t="shared" si="240"/>
        <v>11754446.974255495</v>
      </c>
      <c r="EG78" s="129">
        <f t="shared" si="241"/>
        <v>12703735.660426699</v>
      </c>
      <c r="EH78" s="129">
        <f t="shared" si="242"/>
        <v>12114374.082643643</v>
      </c>
      <c r="EI78" s="129">
        <f t="shared" si="243"/>
        <v>11142202.274733786</v>
      </c>
      <c r="EJ78" s="129">
        <f t="shared" si="244"/>
        <v>11241311.231765579</v>
      </c>
      <c r="EK78" s="129">
        <f t="shared" si="245"/>
        <v>12251067.063049167</v>
      </c>
      <c r="EL78" s="129">
        <f t="shared" si="246"/>
        <v>13985696.028498042</v>
      </c>
      <c r="EM78" s="129">
        <f t="shared" si="247"/>
        <v>13197938.594422176</v>
      </c>
      <c r="EN78" s="129">
        <f t="shared" si="248"/>
        <v>13315333.154026339</v>
      </c>
      <c r="EO78" s="644">
        <f t="shared" si="249"/>
        <v>14511388.936181752</v>
      </c>
      <c r="EP78" s="129">
        <f t="shared" si="250"/>
        <v>16566056.945755946</v>
      </c>
      <c r="EQ78" s="129">
        <f t="shared" si="251"/>
        <v>15632958.265093073</v>
      </c>
      <c r="ER78" s="129">
        <f t="shared" si="252"/>
        <v>15772012.120944206</v>
      </c>
      <c r="ES78" s="129">
        <f t="shared" si="253"/>
        <v>17188740.194907285</v>
      </c>
      <c r="ET78" s="129">
        <f t="shared" si="254"/>
        <v>19622494.45224791</v>
      </c>
      <c r="EV78" s="129">
        <f t="shared" si="259"/>
        <v>30652656.443889558</v>
      </c>
      <c r="EW78" s="129">
        <f t="shared" si="260"/>
        <v>30035364.70751112</v>
      </c>
      <c r="EX78" s="129">
        <f t="shared" si="261"/>
        <v>45305877.852198794</v>
      </c>
      <c r="EY78" s="129">
        <f t="shared" si="262"/>
        <v>48620276.598046571</v>
      </c>
      <c r="EZ78" s="129">
        <f t="shared" si="263"/>
        <v>57590717.630386211</v>
      </c>
      <c r="FA78" s="663">
        <f t="shared" si="264"/>
        <v>68216205.033192486</v>
      </c>
    </row>
    <row r="79" spans="2:157" x14ac:dyDescent="0.2">
      <c r="B79" s="117" t="s">
        <v>27</v>
      </c>
      <c r="C79" s="133">
        <f>C68/C57</f>
        <v>0.69514939011251564</v>
      </c>
      <c r="D79" s="133">
        <f t="shared" ref="D79:BO79" si="265">D68/D57</f>
        <v>0.68203265850376715</v>
      </c>
      <c r="E79" s="133">
        <f t="shared" si="265"/>
        <v>0.70361697280258106</v>
      </c>
      <c r="F79" s="133">
        <f t="shared" si="265"/>
        <v>0.78615316924032352</v>
      </c>
      <c r="G79" s="133">
        <f t="shared" si="265"/>
        <v>0.81395247718204367</v>
      </c>
      <c r="H79" s="133">
        <f t="shared" si="265"/>
        <v>0.82298028482778829</v>
      </c>
      <c r="I79" s="133">
        <f t="shared" si="265"/>
        <v>0.81353625892727877</v>
      </c>
      <c r="J79" s="133">
        <f t="shared" si="265"/>
        <v>0.78004202167258219</v>
      </c>
      <c r="K79" s="133">
        <f t="shared" si="265"/>
        <v>0.87728861679713233</v>
      </c>
      <c r="L79" s="133">
        <f t="shared" si="265"/>
        <v>0.77228294778475126</v>
      </c>
      <c r="M79" s="133">
        <f t="shared" si="265"/>
        <v>0.82808920172435441</v>
      </c>
      <c r="N79" s="133">
        <f t="shared" si="265"/>
        <v>0.78119221667660776</v>
      </c>
      <c r="O79" s="133">
        <f t="shared" si="265"/>
        <v>0.89914493862894163</v>
      </c>
      <c r="P79" s="133">
        <f t="shared" si="265"/>
        <v>1.0775053192532176</v>
      </c>
      <c r="Q79" s="133">
        <f t="shared" si="265"/>
        <v>0.89464905143010642</v>
      </c>
      <c r="R79" s="133">
        <f t="shared" si="265"/>
        <v>0.69682735556295738</v>
      </c>
      <c r="S79" s="133">
        <f t="shared" si="265"/>
        <v>0.84137550053881827</v>
      </c>
      <c r="T79" s="133">
        <f t="shared" si="265"/>
        <v>0.72036564361239042</v>
      </c>
      <c r="U79" s="133">
        <f t="shared" si="265"/>
        <v>0.52523539848381984</v>
      </c>
      <c r="V79" s="133">
        <f t="shared" si="265"/>
        <v>0.62300880006823811</v>
      </c>
      <c r="W79" s="133">
        <f t="shared" si="265"/>
        <v>0.69533879482173866</v>
      </c>
      <c r="X79" s="133">
        <f t="shared" si="265"/>
        <v>0.76491588547683487</v>
      </c>
      <c r="Y79" s="133">
        <f t="shared" si="265"/>
        <v>0.79308145751875492</v>
      </c>
      <c r="Z79" s="133">
        <f t="shared" si="265"/>
        <v>0.76481262831418284</v>
      </c>
      <c r="AA79" s="133">
        <f t="shared" si="265"/>
        <v>0.76444514976019673</v>
      </c>
      <c r="AB79" s="133">
        <f t="shared" si="265"/>
        <v>0.71124562895788646</v>
      </c>
      <c r="AC79" s="133">
        <f t="shared" si="265"/>
        <v>0.74977057404481451</v>
      </c>
      <c r="AD79" s="133">
        <f t="shared" si="265"/>
        <v>0.83875767018598812</v>
      </c>
      <c r="AE79" s="133">
        <f t="shared" si="265"/>
        <v>0.89914382899075118</v>
      </c>
      <c r="AF79" s="133">
        <f t="shared" si="265"/>
        <v>0.88370311790483547</v>
      </c>
      <c r="AG79" s="133">
        <f t="shared" si="265"/>
        <v>0.82150938832803466</v>
      </c>
      <c r="AH79" s="133">
        <f t="shared" si="265"/>
        <v>0.83759765956057342</v>
      </c>
      <c r="AI79" s="133">
        <f t="shared" si="265"/>
        <v>0.79539032012103861</v>
      </c>
      <c r="AJ79" s="133">
        <f t="shared" si="265"/>
        <v>0.74885238994994796</v>
      </c>
      <c r="AK79" s="133">
        <f t="shared" si="265"/>
        <v>0.77623140518443678</v>
      </c>
      <c r="AL79" s="133">
        <f t="shared" si="265"/>
        <v>0.78282974193333976</v>
      </c>
      <c r="AM79" s="133">
        <f t="shared" si="265"/>
        <v>0.78183074578768486</v>
      </c>
      <c r="AN79" s="133">
        <f t="shared" si="265"/>
        <v>0.76970251986598881</v>
      </c>
      <c r="AO79" s="133">
        <f t="shared" si="265"/>
        <v>0.81361261352006897</v>
      </c>
      <c r="AP79" s="133">
        <f t="shared" si="265"/>
        <v>0.82651513391399878</v>
      </c>
      <c r="AQ79" s="133">
        <f t="shared" si="265"/>
        <v>0.86213460893788474</v>
      </c>
      <c r="AR79" s="133">
        <f t="shared" si="265"/>
        <v>0.86119066729644367</v>
      </c>
      <c r="AS79" s="133">
        <f t="shared" si="265"/>
        <v>0.88842170198624482</v>
      </c>
      <c r="AT79" s="133">
        <f t="shared" si="265"/>
        <v>0.90299337544659308</v>
      </c>
      <c r="AU79" s="133">
        <f t="shared" si="265"/>
        <v>0.88490011409024849</v>
      </c>
      <c r="AV79" s="133">
        <f t="shared" si="265"/>
        <v>0.86090860016279702</v>
      </c>
      <c r="AW79" s="133">
        <f t="shared" si="265"/>
        <v>0.84974827539723818</v>
      </c>
      <c r="AX79" s="133">
        <f t="shared" si="265"/>
        <v>0.85378041631814816</v>
      </c>
      <c r="AY79" s="133">
        <f t="shared" si="265"/>
        <v>0.83753615699608619</v>
      </c>
      <c r="AZ79" s="133">
        <f t="shared" si="265"/>
        <v>0.84029944370782927</v>
      </c>
      <c r="BA79" s="133">
        <f t="shared" si="265"/>
        <v>0.84856764972977117</v>
      </c>
      <c r="BB79" s="133">
        <f t="shared" si="265"/>
        <v>0.88329932040341641</v>
      </c>
      <c r="BC79" s="133">
        <f t="shared" si="265"/>
        <v>0.86790254785174037</v>
      </c>
      <c r="BD79" s="133">
        <f t="shared" si="265"/>
        <v>0.85612682706768317</v>
      </c>
      <c r="BE79" s="133">
        <f t="shared" si="265"/>
        <v>0.85486287060303645</v>
      </c>
      <c r="BF79" s="133">
        <f t="shared" si="265"/>
        <v>0.85210452316841545</v>
      </c>
      <c r="BG79" s="133">
        <f t="shared" si="265"/>
        <v>0.89759715563563769</v>
      </c>
      <c r="BH79" s="133">
        <f t="shared" si="265"/>
        <v>0.87533346799449396</v>
      </c>
      <c r="BI79" s="133">
        <f t="shared" si="265"/>
        <v>0.85857491822130994</v>
      </c>
      <c r="BJ79" s="133">
        <f t="shared" si="265"/>
        <v>0.84407383887769016</v>
      </c>
      <c r="BK79" s="133">
        <f t="shared" si="265"/>
        <v>0.83165655021850304</v>
      </c>
      <c r="BL79" s="133">
        <f t="shared" si="265"/>
        <v>0.7951765010339702</v>
      </c>
      <c r="BM79" s="133">
        <f t="shared" si="265"/>
        <v>0.80266929785031993</v>
      </c>
      <c r="BN79" s="133">
        <f t="shared" si="265"/>
        <v>0.81403066073801522</v>
      </c>
      <c r="BO79" s="133">
        <f t="shared" si="265"/>
        <v>0.81625186902434177</v>
      </c>
      <c r="BP79" s="133">
        <f t="shared" ref="BP79:DI79" si="266">BP68/BP57</f>
        <v>0.7957989340413173</v>
      </c>
      <c r="BQ79" s="133">
        <f t="shared" si="266"/>
        <v>0.81111500415190996</v>
      </c>
      <c r="BR79" s="133">
        <f t="shared" si="266"/>
        <v>0.81302419133502934</v>
      </c>
      <c r="BS79" s="133">
        <f t="shared" si="266"/>
        <v>0.81786422986258878</v>
      </c>
      <c r="BT79" s="133">
        <f t="shared" si="266"/>
        <v>0.80607620155383763</v>
      </c>
      <c r="BU79" s="133">
        <f t="shared" si="266"/>
        <v>0.80507405851343505</v>
      </c>
      <c r="BV79" s="133">
        <f t="shared" si="266"/>
        <v>0.81880096137899805</v>
      </c>
      <c r="BW79" s="133">
        <f t="shared" si="266"/>
        <v>0.82128261244720924</v>
      </c>
      <c r="BX79" s="133">
        <f t="shared" si="266"/>
        <v>0.83614108563712486</v>
      </c>
      <c r="BY79" s="133">
        <f t="shared" si="266"/>
        <v>0.82325193580835565</v>
      </c>
      <c r="BZ79" s="133">
        <f t="shared" si="266"/>
        <v>0.82574145523005926</v>
      </c>
      <c r="CA79" s="133">
        <f t="shared" si="266"/>
        <v>0.82003200988284497</v>
      </c>
      <c r="CB79" s="133">
        <f t="shared" si="266"/>
        <v>0.81243236194982205</v>
      </c>
      <c r="CC79" s="133">
        <f t="shared" si="266"/>
        <v>0.80877089786995582</v>
      </c>
      <c r="CD79" s="133">
        <f t="shared" si="266"/>
        <v>0.80686361472918267</v>
      </c>
      <c r="CE79" s="133">
        <f t="shared" si="266"/>
        <v>0.84019615197520092</v>
      </c>
      <c r="CF79" s="133">
        <f t="shared" si="266"/>
        <v>0.83008020827813234</v>
      </c>
      <c r="CG79" s="133">
        <f t="shared" si="266"/>
        <v>0.83688807673721999</v>
      </c>
      <c r="CH79" s="133">
        <f t="shared" si="266"/>
        <v>0.84445776988040033</v>
      </c>
      <c r="CI79" s="133">
        <f t="shared" si="266"/>
        <v>0.85140603587687469</v>
      </c>
      <c r="CJ79" s="133">
        <f t="shared" si="266"/>
        <v>0.85919740931148436</v>
      </c>
      <c r="CK79" s="133">
        <f t="shared" si="266"/>
        <v>0.86067305325264021</v>
      </c>
      <c r="CL79" s="133">
        <f t="shared" si="266"/>
        <v>0.83181135349308655</v>
      </c>
      <c r="CM79" s="133">
        <f t="shared" si="266"/>
        <v>0.83181135349308655</v>
      </c>
      <c r="CN79" s="133">
        <f t="shared" si="266"/>
        <v>0.83181135349308644</v>
      </c>
      <c r="CO79" s="133">
        <f t="shared" si="266"/>
        <v>0.83181135349308655</v>
      </c>
      <c r="CP79" s="133">
        <f t="shared" si="266"/>
        <v>0.83181135349308655</v>
      </c>
      <c r="CQ79" s="133">
        <f t="shared" si="266"/>
        <v>0.83181135349308666</v>
      </c>
      <c r="CR79" s="133">
        <f t="shared" si="266"/>
        <v>0.83181135349308677</v>
      </c>
      <c r="CS79" s="133">
        <f t="shared" si="266"/>
        <v>0.83181135349308655</v>
      </c>
      <c r="CT79" s="133">
        <f t="shared" si="266"/>
        <v>0.83181135349308666</v>
      </c>
      <c r="CU79" s="133">
        <f t="shared" si="266"/>
        <v>0.83181135349308655</v>
      </c>
      <c r="CV79" s="133">
        <f t="shared" si="266"/>
        <v>0.83181135349308644</v>
      </c>
      <c r="CW79" s="133">
        <f t="shared" si="266"/>
        <v>0.83181135349308644</v>
      </c>
      <c r="CX79" s="133">
        <f t="shared" si="266"/>
        <v>0.8335305275439342</v>
      </c>
      <c r="CY79" s="133">
        <f t="shared" si="266"/>
        <v>0.83353052754393442</v>
      </c>
      <c r="CZ79" s="133">
        <f t="shared" si="266"/>
        <v>0.8335305275439342</v>
      </c>
      <c r="DA79" s="133">
        <f t="shared" si="266"/>
        <v>0.8335305275439342</v>
      </c>
      <c r="DB79" s="133">
        <f t="shared" si="266"/>
        <v>0.83353052754393431</v>
      </c>
      <c r="DC79" s="133">
        <f t="shared" si="266"/>
        <v>0.8335305275439342</v>
      </c>
      <c r="DD79" s="133">
        <f t="shared" si="266"/>
        <v>0.83353052754393431</v>
      </c>
      <c r="DE79" s="133">
        <f t="shared" si="266"/>
        <v>0.83353052754393431</v>
      </c>
      <c r="DF79" s="133">
        <f t="shared" si="266"/>
        <v>0.83353052754393409</v>
      </c>
      <c r="DG79" s="133">
        <f t="shared" si="266"/>
        <v>0.83353052754393431</v>
      </c>
      <c r="DH79" s="133">
        <f t="shared" si="266"/>
        <v>0.83353052754393431</v>
      </c>
      <c r="DI79" s="133">
        <f t="shared" si="266"/>
        <v>0.8335305275439342</v>
      </c>
      <c r="DJ79" s="133">
        <f t="shared" ref="DJ79:DU79" si="267">DJ68/DJ57</f>
        <v>0.83528308361518655</v>
      </c>
      <c r="DK79" s="133">
        <f t="shared" si="267"/>
        <v>0.83528308361518655</v>
      </c>
      <c r="DL79" s="133">
        <f t="shared" si="267"/>
        <v>0.83528308361518633</v>
      </c>
      <c r="DM79" s="133">
        <f t="shared" si="267"/>
        <v>0.83528308361518644</v>
      </c>
      <c r="DN79" s="133">
        <f t="shared" si="267"/>
        <v>0.83528308361518655</v>
      </c>
      <c r="DO79" s="133">
        <f t="shared" si="267"/>
        <v>0.83528308361518644</v>
      </c>
      <c r="DP79" s="133">
        <f t="shared" si="267"/>
        <v>0.83528308361518655</v>
      </c>
      <c r="DQ79" s="133">
        <f t="shared" si="267"/>
        <v>0.83528308361518655</v>
      </c>
      <c r="DR79" s="133">
        <f t="shared" si="267"/>
        <v>0.83528308361518655</v>
      </c>
      <c r="DS79" s="133">
        <f t="shared" si="267"/>
        <v>0.83528308361518677</v>
      </c>
      <c r="DT79" s="133">
        <f t="shared" si="267"/>
        <v>0.83528308361518644</v>
      </c>
      <c r="DU79" s="133">
        <f t="shared" si="267"/>
        <v>0.83528308361518655</v>
      </c>
      <c r="DW79" s="133">
        <f t="shared" ref="DW79:FA79" si="268">DW68/DW57</f>
        <v>0.86879090063780406</v>
      </c>
      <c r="DX79" s="657">
        <f t="shared" si="268"/>
        <v>0.8700159892221575</v>
      </c>
      <c r="DY79" s="133">
        <f t="shared" si="268"/>
        <v>0.86101512197757457</v>
      </c>
      <c r="DZ79" s="133">
        <f t="shared" si="268"/>
        <v>0.81118889777223546</v>
      </c>
      <c r="EA79" s="133">
        <f t="shared" si="268"/>
        <v>0.80838388383500837</v>
      </c>
      <c r="EB79" s="133">
        <f t="shared" si="268"/>
        <v>0.81399106466885784</v>
      </c>
      <c r="EC79" s="133">
        <f t="shared" si="268"/>
        <v>0.81032795150150616</v>
      </c>
      <c r="ED79" s="133">
        <f t="shared" si="268"/>
        <v>0.82645630636853806</v>
      </c>
      <c r="EE79" s="133">
        <f t="shared" si="268"/>
        <v>0.81941419572821617</v>
      </c>
      <c r="EF79" s="133">
        <f t="shared" si="268"/>
        <v>0.82000205927469094</v>
      </c>
      <c r="EG79" s="133">
        <f t="shared" si="268"/>
        <v>0.8375872067286475</v>
      </c>
      <c r="EH79" s="133">
        <f t="shared" si="268"/>
        <v>0.85688717134374071</v>
      </c>
      <c r="EI79" s="133">
        <f t="shared" si="268"/>
        <v>0.83181135349308655</v>
      </c>
      <c r="EJ79" s="133">
        <f t="shared" si="268"/>
        <v>0.83181135349308655</v>
      </c>
      <c r="EK79" s="133">
        <f t="shared" si="268"/>
        <v>0.83181135349308677</v>
      </c>
      <c r="EL79" s="133">
        <f t="shared" si="268"/>
        <v>0.83181135349308655</v>
      </c>
      <c r="EM79" s="133">
        <f t="shared" si="268"/>
        <v>0.8335305275439342</v>
      </c>
      <c r="EN79" s="133">
        <f t="shared" si="268"/>
        <v>0.8335305275439342</v>
      </c>
      <c r="EO79" s="648">
        <f t="shared" si="268"/>
        <v>0.8335305275439342</v>
      </c>
      <c r="EP79" s="133">
        <f t="shared" si="268"/>
        <v>0.8335305275439342</v>
      </c>
      <c r="EQ79" s="133">
        <f t="shared" si="268"/>
        <v>0.83528308361518655</v>
      </c>
      <c r="ER79" s="133">
        <f t="shared" si="268"/>
        <v>0.83528308361518655</v>
      </c>
      <c r="ES79" s="133">
        <f t="shared" si="268"/>
        <v>0.83528308361518655</v>
      </c>
      <c r="ET79" s="133">
        <f t="shared" si="268"/>
        <v>0.83528308361518644</v>
      </c>
      <c r="EU79" s="638"/>
      <c r="EV79" s="133">
        <f t="shared" si="268"/>
        <v>0.85210603808177354</v>
      </c>
      <c r="EW79" s="133">
        <f t="shared" si="268"/>
        <v>0.81581862304011699</v>
      </c>
      <c r="EX79" s="133">
        <f t="shared" si="268"/>
        <v>0.83464658435899264</v>
      </c>
      <c r="EY79" s="133">
        <f t="shared" si="268"/>
        <v>0.83181135349308677</v>
      </c>
      <c r="EZ79" s="133">
        <f t="shared" si="268"/>
        <v>0.83353052754393442</v>
      </c>
      <c r="FA79" s="133">
        <f t="shared" si="268"/>
        <v>0.83528308361518611</v>
      </c>
    </row>
    <row r="80" spans="2:157" x14ac:dyDescent="0.2">
      <c r="B80" s="117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115"/>
      <c r="AV80" s="115"/>
      <c r="AW80" s="115"/>
      <c r="AX80" s="115"/>
      <c r="AY80" s="115"/>
      <c r="AZ80" s="115"/>
      <c r="BA80" s="115"/>
      <c r="BB80" s="115"/>
      <c r="BC80" s="115"/>
      <c r="BD80" s="115"/>
      <c r="BE80" s="115"/>
      <c r="BF80" s="115"/>
      <c r="BG80" s="115"/>
      <c r="BH80" s="115"/>
      <c r="BI80" s="115"/>
      <c r="BJ80" s="115"/>
      <c r="BK80" s="115"/>
      <c r="BL80" s="115"/>
      <c r="BM80" s="115"/>
      <c r="BN80" s="115"/>
      <c r="BO80" s="115"/>
      <c r="BP80" s="115"/>
      <c r="BQ80" s="115"/>
      <c r="BR80" s="115"/>
      <c r="BS80" s="115"/>
      <c r="BT80" s="115"/>
      <c r="BU80" s="115"/>
      <c r="BV80" s="115"/>
      <c r="BW80" s="115"/>
      <c r="BX80" s="115"/>
      <c r="BY80" s="115"/>
      <c r="BZ80" s="115"/>
      <c r="CA80" s="115"/>
      <c r="CB80" s="115"/>
      <c r="CC80" s="115"/>
      <c r="CD80" s="115"/>
      <c r="CE80" s="115"/>
      <c r="CF80" s="115"/>
      <c r="CG80" s="115"/>
      <c r="CH80" s="115"/>
      <c r="CI80" s="115"/>
      <c r="CJ80" s="115"/>
      <c r="CK80" s="115"/>
      <c r="CL80" s="115"/>
      <c r="CM80" s="115"/>
      <c r="CN80" s="115"/>
      <c r="CO80" s="115"/>
      <c r="CP80" s="115"/>
      <c r="CQ80" s="115"/>
      <c r="CR80" s="115"/>
      <c r="CS80" s="115"/>
      <c r="CT80" s="115"/>
      <c r="CU80" s="115"/>
      <c r="CV80" s="115"/>
      <c r="CW80" s="115"/>
      <c r="CX80" s="115"/>
      <c r="CY80" s="115"/>
      <c r="CZ80" s="115"/>
      <c r="DA80" s="115"/>
      <c r="DB80" s="115"/>
      <c r="DC80" s="115"/>
      <c r="DD80" s="115"/>
      <c r="DE80" s="115"/>
      <c r="DF80" s="115"/>
      <c r="DG80" s="115"/>
      <c r="DH80" s="115"/>
      <c r="DI80" s="115"/>
      <c r="DJ80" s="115"/>
      <c r="DK80" s="115"/>
      <c r="DL80" s="115"/>
      <c r="DM80" s="115"/>
      <c r="DN80" s="115"/>
      <c r="DO80" s="115"/>
      <c r="DP80" s="115"/>
      <c r="DQ80" s="115"/>
      <c r="DR80" s="115"/>
      <c r="DS80" s="115"/>
      <c r="DT80" s="115"/>
      <c r="DU80" s="115"/>
      <c r="DW80" s="115"/>
      <c r="DX80" s="664"/>
      <c r="DY80" s="115"/>
      <c r="DZ80" s="115"/>
      <c r="EA80" s="115"/>
      <c r="EB80" s="115"/>
      <c r="EC80" s="115"/>
      <c r="ED80" s="115"/>
      <c r="EE80" s="115"/>
      <c r="EF80" s="115"/>
      <c r="EG80" s="115"/>
      <c r="EH80" s="115"/>
      <c r="EI80" s="115"/>
      <c r="EJ80" s="115"/>
      <c r="EK80" s="115"/>
      <c r="EL80" s="115"/>
      <c r="EM80" s="115"/>
      <c r="EN80" s="115"/>
      <c r="EO80" s="645"/>
      <c r="EP80" s="115"/>
      <c r="EQ80" s="115"/>
      <c r="ER80" s="115"/>
      <c r="ES80" s="115"/>
      <c r="ET80" s="115"/>
      <c r="EV80" s="115"/>
      <c r="EW80" s="115"/>
      <c r="EX80" s="115"/>
      <c r="EY80" s="115"/>
      <c r="EZ80" s="115"/>
      <c r="FA80" s="664"/>
    </row>
    <row r="81" spans="2:157" x14ac:dyDescent="0.2">
      <c r="B81" s="114" t="s">
        <v>132</v>
      </c>
      <c r="C81" s="131">
        <f>SUM(C82:C88)</f>
        <v>0</v>
      </c>
      <c r="D81" s="131">
        <f t="shared" ref="D81:BO81" si="269">SUM(D82:D88)</f>
        <v>0</v>
      </c>
      <c r="E81" s="131">
        <f t="shared" si="269"/>
        <v>0</v>
      </c>
      <c r="F81" s="131">
        <f t="shared" si="269"/>
        <v>0</v>
      </c>
      <c r="G81" s="131">
        <f t="shared" si="269"/>
        <v>0</v>
      </c>
      <c r="H81" s="131">
        <f t="shared" si="269"/>
        <v>0</v>
      </c>
      <c r="I81" s="131">
        <f t="shared" si="269"/>
        <v>0</v>
      </c>
      <c r="J81" s="131">
        <f t="shared" si="269"/>
        <v>0</v>
      </c>
      <c r="K81" s="131">
        <f t="shared" si="269"/>
        <v>0</v>
      </c>
      <c r="L81" s="131">
        <f t="shared" si="269"/>
        <v>0</v>
      </c>
      <c r="M81" s="131">
        <f t="shared" si="269"/>
        <v>0</v>
      </c>
      <c r="N81" s="131">
        <f t="shared" si="269"/>
        <v>0</v>
      </c>
      <c r="O81" s="131">
        <f t="shared" si="269"/>
        <v>0</v>
      </c>
      <c r="P81" s="131">
        <f t="shared" si="269"/>
        <v>0</v>
      </c>
      <c r="Q81" s="131">
        <f t="shared" si="269"/>
        <v>0</v>
      </c>
      <c r="R81" s="131">
        <f t="shared" si="269"/>
        <v>0</v>
      </c>
      <c r="S81" s="131">
        <f t="shared" si="269"/>
        <v>755024.00639320305</v>
      </c>
      <c r="T81" s="131">
        <f t="shared" si="269"/>
        <v>827691.57759462867</v>
      </c>
      <c r="U81" s="131">
        <f t="shared" si="269"/>
        <v>415339.10241678107</v>
      </c>
      <c r="V81" s="131">
        <f t="shared" si="269"/>
        <v>383223.97136264102</v>
      </c>
      <c r="W81" s="131">
        <f t="shared" si="269"/>
        <v>747561.44640061574</v>
      </c>
      <c r="X81" s="131">
        <f t="shared" si="269"/>
        <v>1233727.4265096283</v>
      </c>
      <c r="Y81" s="131">
        <f t="shared" si="269"/>
        <v>694487.12467628217</v>
      </c>
      <c r="Z81" s="131">
        <f t="shared" si="269"/>
        <v>4145656.3304180144</v>
      </c>
      <c r="AA81" s="131">
        <f t="shared" si="269"/>
        <v>3305153.9772316236</v>
      </c>
      <c r="AB81" s="131">
        <f t="shared" si="269"/>
        <v>2938885.8304157439</v>
      </c>
      <c r="AC81" s="131">
        <f t="shared" si="269"/>
        <v>4171333.8800089629</v>
      </c>
      <c r="AD81" s="131">
        <f t="shared" si="269"/>
        <v>2835016.6655880767</v>
      </c>
      <c r="AE81" s="131">
        <f t="shared" si="269"/>
        <v>2916620.2455104883</v>
      </c>
      <c r="AF81" s="131">
        <f t="shared" si="269"/>
        <v>3824307.3226848482</v>
      </c>
      <c r="AG81" s="131">
        <f t="shared" si="269"/>
        <v>3665958.6291057011</v>
      </c>
      <c r="AH81" s="131">
        <f t="shared" si="269"/>
        <v>4007113.9264302561</v>
      </c>
      <c r="AI81" s="131">
        <f t="shared" si="269"/>
        <v>4726062.7047912702</v>
      </c>
      <c r="AJ81" s="131">
        <f t="shared" si="269"/>
        <v>2345109.9281387399</v>
      </c>
      <c r="AK81" s="131">
        <f t="shared" si="269"/>
        <v>9592458.4325932749</v>
      </c>
      <c r="AL81" s="131">
        <f t="shared" si="269"/>
        <v>10565125.962827632</v>
      </c>
      <c r="AM81" s="131">
        <f t="shared" si="269"/>
        <v>17036899.097077999</v>
      </c>
      <c r="AN81" s="131">
        <f t="shared" si="269"/>
        <v>18341918.863098893</v>
      </c>
      <c r="AO81" s="131">
        <f t="shared" si="269"/>
        <v>14671834.262442766</v>
      </c>
      <c r="AP81" s="131">
        <f t="shared" si="269"/>
        <v>14312467.196586652</v>
      </c>
      <c r="AQ81" s="131">
        <f t="shared" si="269"/>
        <v>18690002.934701215</v>
      </c>
      <c r="AR81" s="131">
        <f t="shared" si="269"/>
        <v>32268020.033260625</v>
      </c>
      <c r="AS81" s="131">
        <f t="shared" si="269"/>
        <v>27317553.587863207</v>
      </c>
      <c r="AT81" s="131">
        <f t="shared" si="269"/>
        <v>18916346.015887365</v>
      </c>
      <c r="AU81" s="131">
        <f t="shared" si="269"/>
        <v>20326356.630747091</v>
      </c>
      <c r="AV81" s="131">
        <f t="shared" si="269"/>
        <v>40620002.758598588</v>
      </c>
      <c r="AW81" s="131">
        <f t="shared" si="269"/>
        <v>30500219.044845816</v>
      </c>
      <c r="AX81" s="131">
        <f t="shared" si="269"/>
        <v>29076365.208734781</v>
      </c>
      <c r="AY81" s="131">
        <f t="shared" si="269"/>
        <v>37888821.582018368</v>
      </c>
      <c r="AZ81" s="131">
        <f t="shared" si="269"/>
        <v>54037973.582437642</v>
      </c>
      <c r="BA81" s="131">
        <f t="shared" si="269"/>
        <v>102474301.95495798</v>
      </c>
      <c r="BB81" s="131">
        <f t="shared" si="269"/>
        <v>136239461.60462379</v>
      </c>
      <c r="BC81" s="131">
        <f t="shared" si="269"/>
        <v>132810552.72358252</v>
      </c>
      <c r="BD81" s="131">
        <f t="shared" si="269"/>
        <v>158021405.66529757</v>
      </c>
      <c r="BE81" s="131">
        <f t="shared" si="269"/>
        <v>110547543.72282162</v>
      </c>
      <c r="BF81" s="131">
        <f t="shared" si="269"/>
        <v>128707808.59583162</v>
      </c>
      <c r="BG81" s="131">
        <f t="shared" si="269"/>
        <v>151817520.86237288</v>
      </c>
      <c r="BH81" s="131">
        <f t="shared" si="269"/>
        <v>232860935.46962333</v>
      </c>
      <c r="BI81" s="131">
        <f t="shared" si="269"/>
        <v>177318284.89842957</v>
      </c>
      <c r="BJ81" s="131">
        <f t="shared" si="269"/>
        <v>164670494.35322011</v>
      </c>
      <c r="BK81" s="131">
        <f t="shared" si="269"/>
        <v>165153290.56198257</v>
      </c>
      <c r="BL81" s="131">
        <f t="shared" si="269"/>
        <v>115097944.43632841</v>
      </c>
      <c r="BM81" s="131">
        <f t="shared" si="269"/>
        <v>164575828.32015568</v>
      </c>
      <c r="BN81" s="131">
        <f t="shared" si="269"/>
        <v>160812154.48014563</v>
      </c>
      <c r="BO81" s="131">
        <f t="shared" si="269"/>
        <v>175208151.43928212</v>
      </c>
      <c r="BP81" s="131">
        <f t="shared" ref="BP81:DI81" si="270">SUM(BP82:BP88)</f>
        <v>177332883.53145739</v>
      </c>
      <c r="BQ81" s="131">
        <f t="shared" si="270"/>
        <v>189284447.78650746</v>
      </c>
      <c r="BR81" s="131">
        <f t="shared" si="270"/>
        <v>178427754.07474685</v>
      </c>
      <c r="BS81" s="131">
        <f t="shared" si="270"/>
        <v>186531531.99537244</v>
      </c>
      <c r="BT81" s="131">
        <f t="shared" si="270"/>
        <v>196458278.56011313</v>
      </c>
      <c r="BU81" s="131">
        <f t="shared" si="270"/>
        <v>171942474.66347858</v>
      </c>
      <c r="BV81" s="131">
        <f t="shared" si="270"/>
        <v>208573773.43765733</v>
      </c>
      <c r="BW81" s="131">
        <f t="shared" si="270"/>
        <v>234867690.71546042</v>
      </c>
      <c r="BX81" s="131">
        <f t="shared" si="270"/>
        <v>229507798.19632638</v>
      </c>
      <c r="BY81" s="131">
        <f t="shared" si="270"/>
        <v>302843122.38202989</v>
      </c>
      <c r="BZ81" s="131">
        <f t="shared" si="270"/>
        <v>259767230.3377943</v>
      </c>
      <c r="CA81" s="131">
        <f t="shared" si="270"/>
        <v>260255175.69516674</v>
      </c>
      <c r="CB81" s="131">
        <f t="shared" si="270"/>
        <v>254434949.39085126</v>
      </c>
      <c r="CC81" s="131">
        <f t="shared" si="270"/>
        <v>265391433.30693322</v>
      </c>
      <c r="CD81" s="131">
        <f t="shared" si="270"/>
        <v>234260606.72014678</v>
      </c>
      <c r="CE81" s="131">
        <f t="shared" si="270"/>
        <v>312043610.02490067</v>
      </c>
      <c r="CF81" s="131">
        <f t="shared" si="270"/>
        <v>263546040.46228582</v>
      </c>
      <c r="CG81" s="131">
        <f t="shared" si="270"/>
        <v>263410413.94391373</v>
      </c>
      <c r="CH81" s="131">
        <f t="shared" si="270"/>
        <v>319992910.12266129</v>
      </c>
      <c r="CI81" s="131">
        <f t="shared" si="270"/>
        <v>359201561.73007691</v>
      </c>
      <c r="CJ81" s="131">
        <f t="shared" si="270"/>
        <v>292532273.13527018</v>
      </c>
      <c r="CK81" s="131">
        <f t="shared" si="270"/>
        <v>346889334.59157753</v>
      </c>
      <c r="CL81" s="131">
        <f t="shared" si="270"/>
        <v>315367920.95921332</v>
      </c>
      <c r="CM81" s="131">
        <f t="shared" si="270"/>
        <v>318577627.592282</v>
      </c>
      <c r="CN81" s="131">
        <f t="shared" si="270"/>
        <v>318349719.42898721</v>
      </c>
      <c r="CO81" s="131">
        <f t="shared" si="270"/>
        <v>323154783.20511979</v>
      </c>
      <c r="CP81" s="131">
        <f t="shared" si="270"/>
        <v>304504298.50882661</v>
      </c>
      <c r="CQ81" s="131">
        <f t="shared" si="270"/>
        <v>333106773.00232708</v>
      </c>
      <c r="CR81" s="131">
        <f t="shared" si="270"/>
        <v>323895484.73582804</v>
      </c>
      <c r="CS81" s="131">
        <f t="shared" si="270"/>
        <v>324655178.61347729</v>
      </c>
      <c r="CT81" s="131">
        <f t="shared" si="270"/>
        <v>398516415.86794168</v>
      </c>
      <c r="CU81" s="131">
        <f t="shared" si="270"/>
        <v>429397971.99439037</v>
      </c>
      <c r="CV81" s="131">
        <f t="shared" si="270"/>
        <v>368128660.76196504</v>
      </c>
      <c r="CW81" s="131">
        <f t="shared" si="270"/>
        <v>397794706.6841746</v>
      </c>
      <c r="CX81" s="131">
        <f t="shared" si="270"/>
        <v>374325356.20949632</v>
      </c>
      <c r="CY81" s="131">
        <f t="shared" si="270"/>
        <v>378135111.41572368</v>
      </c>
      <c r="CZ81" s="131">
        <f t="shared" si="270"/>
        <v>377864596.2531513</v>
      </c>
      <c r="DA81" s="131">
        <f t="shared" si="270"/>
        <v>383567957.59738511</v>
      </c>
      <c r="DB81" s="131">
        <f t="shared" si="270"/>
        <v>361430800.12688071</v>
      </c>
      <c r="DC81" s="131">
        <f t="shared" si="270"/>
        <v>395380453.02971119</v>
      </c>
      <c r="DD81" s="131">
        <f t="shared" si="270"/>
        <v>384447131.87574524</v>
      </c>
      <c r="DE81" s="131">
        <f t="shared" si="270"/>
        <v>385348849.08431977</v>
      </c>
      <c r="DF81" s="131">
        <f t="shared" si="270"/>
        <v>473018304.68797702</v>
      </c>
      <c r="DG81" s="131">
        <f t="shared" si="270"/>
        <v>509673109.21653128</v>
      </c>
      <c r="DH81" s="131">
        <f t="shared" si="270"/>
        <v>436949616.34499645</v>
      </c>
      <c r="DI81" s="131">
        <f t="shared" si="270"/>
        <v>472161673.33983129</v>
      </c>
      <c r="DJ81" s="131">
        <f t="shared" ref="DJ81:DU81" si="271">SUM(DJ82:DJ88)</f>
        <v>444320639.43386781</v>
      </c>
      <c r="DK81" s="131">
        <f t="shared" si="271"/>
        <v>448842782.64761817</v>
      </c>
      <c r="DL81" s="131">
        <f t="shared" si="271"/>
        <v>448521683.7211979</v>
      </c>
      <c r="DM81" s="131">
        <f t="shared" si="271"/>
        <v>455291519.41988921</v>
      </c>
      <c r="DN81" s="131">
        <f t="shared" si="271"/>
        <v>429014923.94117451</v>
      </c>
      <c r="DO81" s="131">
        <f t="shared" si="271"/>
        <v>469312839.20690197</v>
      </c>
      <c r="DP81" s="131">
        <f t="shared" si="271"/>
        <v>456335090.9307546</v>
      </c>
      <c r="DQ81" s="131">
        <f t="shared" si="271"/>
        <v>457405420.6854884</v>
      </c>
      <c r="DR81" s="131">
        <f t="shared" si="271"/>
        <v>561468231.08948195</v>
      </c>
      <c r="DS81" s="131">
        <f t="shared" si="271"/>
        <v>604977135.61941111</v>
      </c>
      <c r="DT81" s="131">
        <f t="shared" si="271"/>
        <v>518655040.90012997</v>
      </c>
      <c r="DU81" s="131">
        <f t="shared" si="271"/>
        <v>560451417.82248485</v>
      </c>
      <c r="DW81" s="131">
        <f t="shared" ref="DW81:DW90" si="272">SUM(BB81:BD81)</f>
        <v>427071419.99350387</v>
      </c>
      <c r="DX81" s="665">
        <f t="shared" ref="DX81:DX90" si="273">SUM(BE81:BG81)</f>
        <v>391072873.1810261</v>
      </c>
      <c r="DY81" s="131">
        <f t="shared" ref="DY81:DY90" si="274">SUM(BH81:BJ81)</f>
        <v>574849714.72127295</v>
      </c>
      <c r="DZ81" s="131">
        <f t="shared" ref="DZ81:DZ90" si="275">SUM(BK81:BM81)</f>
        <v>444827063.31846666</v>
      </c>
      <c r="EA81" s="131">
        <f t="shared" ref="EA81:EA90" si="276">SUM(BN81:BP81)</f>
        <v>513353189.45088518</v>
      </c>
      <c r="EB81" s="131">
        <f t="shared" ref="EB81:EB90" si="277">SUM(BQ81:BS81)</f>
        <v>554243733.85662675</v>
      </c>
      <c r="EC81" s="131">
        <f t="shared" ref="EC81:EC90" si="278">SUM(BT81:BV81)</f>
        <v>576974526.66124904</v>
      </c>
      <c r="ED81" s="131">
        <f t="shared" ref="ED81:ED90" si="279">SUM(BW81:BY81)</f>
        <v>767218611.29381669</v>
      </c>
      <c r="EE81" s="131">
        <f t="shared" ref="EE81:EE90" si="280">SUM(BZ81:CB81)</f>
        <v>774457355.42381227</v>
      </c>
      <c r="EF81" s="131">
        <f t="shared" ref="EF81:EF90" si="281">SUM(CC81:CE81)</f>
        <v>811695650.05198073</v>
      </c>
      <c r="EG81" s="131">
        <f t="shared" ref="EG81:EG90" si="282">SUM(CF81:CH81)</f>
        <v>846949364.52886081</v>
      </c>
      <c r="EH81" s="131">
        <f t="shared" ref="EH81:EH90" si="283">SUM(CI81:CK81)</f>
        <v>998623169.45692468</v>
      </c>
      <c r="EI81" s="131">
        <f t="shared" ref="EI81:EI90" si="284">SUM(CL81:CN81)</f>
        <v>952295267.98048258</v>
      </c>
      <c r="EJ81" s="131">
        <f t="shared" ref="EJ81:EJ90" si="285">SUM(CO81:CQ81)</f>
        <v>960765854.71627343</v>
      </c>
      <c r="EK81" s="131">
        <f t="shared" ref="EK81:EK90" si="286">SUM(CR81:CT81)</f>
        <v>1047067079.217247</v>
      </c>
      <c r="EL81" s="131">
        <f t="shared" ref="EL81:EL90" si="287">SUM(CU81:CW81)</f>
        <v>1195321339.4405301</v>
      </c>
      <c r="EM81" s="131">
        <f t="shared" ref="EM81:EM90" si="288">SUM(CX81:CZ81)</f>
        <v>1130325063.8783712</v>
      </c>
      <c r="EN81" s="131">
        <f t="shared" ref="EN81:EN90" si="289">SUM(DA81:DC81)</f>
        <v>1140379210.7539771</v>
      </c>
      <c r="EO81" s="646">
        <f t="shared" ref="EO81:EO90" si="290">SUM(DD81:DF81)</f>
        <v>1242814285.648042</v>
      </c>
      <c r="EP81" s="131">
        <f t="shared" ref="EP81:EP90" si="291">SUM(DG81:DI81)</f>
        <v>1418784398.9013591</v>
      </c>
      <c r="EQ81" s="131">
        <f t="shared" ref="EQ81:EQ90" si="292">SUM(DJ81:DL81)</f>
        <v>1341685105.8026838</v>
      </c>
      <c r="ER81" s="131">
        <f t="shared" ref="ER81:ER90" si="293">SUM(DM81:DO81)</f>
        <v>1353619282.5679657</v>
      </c>
      <c r="ES81" s="131">
        <f t="shared" ref="ES81:ES90" si="294">SUM(DP81:DR81)</f>
        <v>1475208742.705725</v>
      </c>
      <c r="ET81" s="131">
        <f t="shared" ref="ET81:ET90" si="295">SUM(DS81:DU81)</f>
        <v>1684083594.3420258</v>
      </c>
      <c r="EV81" s="131">
        <f>SUM(EV82:EV90)</f>
        <v>1850167573.5740054</v>
      </c>
      <c r="EW81" s="131">
        <f t="shared" ref="EW81:FA81" si="296">SUM(EW82:EW90)</f>
        <v>2411790061.2625775</v>
      </c>
      <c r="EX81" s="131">
        <f t="shared" si="296"/>
        <v>3431725539.4615774</v>
      </c>
      <c r="EY81" s="131">
        <f t="shared" si="296"/>
        <v>4155449541.3545332</v>
      </c>
      <c r="EZ81" s="131">
        <f t="shared" si="296"/>
        <v>4932302959.1817503</v>
      </c>
      <c r="FA81" s="131">
        <f t="shared" si="296"/>
        <v>5854596725.4183979</v>
      </c>
    </row>
    <row r="82" spans="2:157" x14ac:dyDescent="0.2">
      <c r="B82" s="114" t="s">
        <v>19</v>
      </c>
      <c r="C82" s="129">
        <f>'P&amp;L - Inputs'!K237</f>
        <v>0</v>
      </c>
      <c r="D82" s="129">
        <f>'P&amp;L - Inputs'!L237</f>
        <v>0</v>
      </c>
      <c r="E82" s="129">
        <f>'P&amp;L - Inputs'!M237</f>
        <v>0</v>
      </c>
      <c r="F82" s="129">
        <f>'P&amp;L - Inputs'!N237</f>
        <v>0</v>
      </c>
      <c r="G82" s="129">
        <f>'P&amp;L - Inputs'!O237</f>
        <v>0</v>
      </c>
      <c r="H82" s="129">
        <f>'P&amp;L - Inputs'!P237</f>
        <v>0</v>
      </c>
      <c r="I82" s="129">
        <f>'P&amp;L - Inputs'!Q237</f>
        <v>0</v>
      </c>
      <c r="J82" s="129">
        <f>'P&amp;L - Inputs'!R237</f>
        <v>0</v>
      </c>
      <c r="K82" s="129">
        <f>'P&amp;L - Inputs'!S237</f>
        <v>0</v>
      </c>
      <c r="L82" s="129">
        <f>'P&amp;L - Inputs'!T237</f>
        <v>0</v>
      </c>
      <c r="M82" s="129">
        <f>'P&amp;L - Inputs'!U237</f>
        <v>0</v>
      </c>
      <c r="N82" s="129">
        <f>'P&amp;L - Inputs'!V237</f>
        <v>0</v>
      </c>
      <c r="O82" s="129">
        <f>'P&amp;L - Inputs'!W237</f>
        <v>0</v>
      </c>
      <c r="P82" s="129">
        <f>'P&amp;L - Inputs'!X237</f>
        <v>0</v>
      </c>
      <c r="Q82" s="129">
        <f>'P&amp;L - Inputs'!Y237</f>
        <v>0</v>
      </c>
      <c r="R82" s="129">
        <f>'P&amp;L - Inputs'!Z237</f>
        <v>0</v>
      </c>
      <c r="S82" s="129">
        <f>'P&amp;L - Inputs'!AA237</f>
        <v>689018.8398873189</v>
      </c>
      <c r="T82" s="129">
        <f>'P&amp;L - Inputs'!AB237</f>
        <v>755796.28689307754</v>
      </c>
      <c r="U82" s="129">
        <f>'P&amp;L - Inputs'!AC237</f>
        <v>377960.47082976479</v>
      </c>
      <c r="V82" s="129">
        <f>'P&amp;L - Inputs'!AD237</f>
        <v>349653.55449750012</v>
      </c>
      <c r="W82" s="129">
        <f>'P&amp;L - Inputs'!AE237</f>
        <v>682490.77407601383</v>
      </c>
      <c r="X82" s="129">
        <f>'P&amp;L - Inputs'!AF237</f>
        <v>1129577.8343065169</v>
      </c>
      <c r="Y82" s="129">
        <f>'P&amp;L - Inputs'!AG237</f>
        <v>636006.98804175342</v>
      </c>
      <c r="Z82" s="129">
        <f>'P&amp;L - Inputs'!AH237</f>
        <v>3802415.4434135081</v>
      </c>
      <c r="AA82" s="129">
        <f>'P&amp;L - Inputs'!AI237</f>
        <v>2965411.7</v>
      </c>
      <c r="AB82" s="129">
        <f>'P&amp;L - Inputs'!AJ237</f>
        <v>2465656.8664000002</v>
      </c>
      <c r="AC82" s="129">
        <f>'P&amp;L - Inputs'!AK237</f>
        <v>3444551.0525000002</v>
      </c>
      <c r="AD82" s="129">
        <f>'P&amp;L - Inputs'!AL237</f>
        <v>2252330.1825000001</v>
      </c>
      <c r="AE82" s="129">
        <f>'P&amp;L - Inputs'!AM237</f>
        <v>2169196.7999999998</v>
      </c>
      <c r="AF82" s="129">
        <f>'P&amp;L - Inputs'!AN237</f>
        <v>2944245.2250000001</v>
      </c>
      <c r="AG82" s="129">
        <f>'P&amp;L - Inputs'!AO237</f>
        <v>2867817.63</v>
      </c>
      <c r="AH82" s="129">
        <f>'P&amp;L - Inputs'!AP237</f>
        <v>3083449.4299999997</v>
      </c>
      <c r="AI82" s="129">
        <f>'P&amp;L - Inputs'!AQ237</f>
        <v>4006476.8355109994</v>
      </c>
      <c r="AJ82" s="129">
        <f>'P&amp;L - Inputs'!AR237</f>
        <v>2082880.338</v>
      </c>
      <c r="AK82" s="129">
        <f>'P&amp;L - Inputs'!AS237</f>
        <v>8417481.3728449997</v>
      </c>
      <c r="AL82" s="129">
        <f>'P&amp;L - Inputs'!AT237</f>
        <v>9182499.3403999992</v>
      </c>
      <c r="AM82" s="129">
        <f>'P&amp;L - Inputs'!AU237</f>
        <v>14763337.944700001</v>
      </c>
      <c r="AN82" s="129">
        <f>'P&amp;L - Inputs'!AV237</f>
        <v>15816275.915000003</v>
      </c>
      <c r="AO82" s="129">
        <f>'P&amp;L - Inputs'!AW237</f>
        <v>12709620.746679995</v>
      </c>
      <c r="AP82" s="129">
        <f>'P&amp;L - Inputs'!AX237</f>
        <v>12032541.201599998</v>
      </c>
      <c r="AQ82" s="129">
        <f>'P&amp;L - Inputs'!AY237</f>
        <v>16008652.698739998</v>
      </c>
      <c r="AR82" s="129">
        <f>'P&amp;L - Inputs'!AZ237</f>
        <v>26899342.112000015</v>
      </c>
      <c r="AS82" s="129">
        <f>'P&amp;L - Inputs'!BA237</f>
        <v>21975750.9168</v>
      </c>
      <c r="AT82" s="129">
        <f>'P&amp;L - Inputs'!BB237</f>
        <v>14408592.3882</v>
      </c>
      <c r="AU82" s="129">
        <f>'P&amp;L - Inputs'!BC237</f>
        <v>16271918.459999997</v>
      </c>
      <c r="AV82" s="129">
        <f>'P&amp;L - Inputs'!BD237</f>
        <v>34559133.558000028</v>
      </c>
      <c r="AW82" s="129">
        <f>'P&amp;L - Inputs'!BE237</f>
        <v>26234692.900000285</v>
      </c>
      <c r="AX82" s="129">
        <f>'P&amp;L - Inputs'!BF237</f>
        <v>25060528.882000022</v>
      </c>
      <c r="AY82" s="129">
        <f>'P&amp;L - Inputs'!BG237</f>
        <v>33573844.212799989</v>
      </c>
      <c r="AZ82" s="129">
        <f>'P&amp;L - Inputs'!BH237</f>
        <v>47699851.901799984</v>
      </c>
      <c r="BA82" s="129">
        <f>'P&amp;L - Inputs'!BI237</f>
        <v>92634625.939999998</v>
      </c>
      <c r="BB82" s="129">
        <f>'P&amp;L - Inputs'!BJ237</f>
        <v>120338980.27479994</v>
      </c>
      <c r="BC82" s="129">
        <f>'P&amp;L - Inputs'!BK237</f>
        <v>116843035.19999999</v>
      </c>
      <c r="BD82" s="129">
        <f>'P&amp;L - Inputs'!BL237</f>
        <v>140089236.23506999</v>
      </c>
      <c r="BE82" s="129">
        <f>'P&amp;L - Inputs'!BM237</f>
        <v>98781056.241830647</v>
      </c>
      <c r="BF82" s="129">
        <f>'P&amp;L - Inputs'!BN237</f>
        <v>111726092.84516488</v>
      </c>
      <c r="BG82" s="129">
        <f>'P&amp;L - Inputs'!BO237</f>
        <v>133304287.27922672</v>
      </c>
      <c r="BH82" s="129">
        <f>'P&amp;L - Inputs'!BP237</f>
        <v>206535888.83796996</v>
      </c>
      <c r="BI82" s="129">
        <f>'P&amp;L - Inputs'!BQ237</f>
        <v>153402678.82051003</v>
      </c>
      <c r="BJ82" s="129">
        <f>'P&amp;L - Inputs'!BR237</f>
        <v>143592071.67948997</v>
      </c>
      <c r="BK82" s="129">
        <f>'P&amp;L - Inputs'!BS237</f>
        <v>141704390.25999999</v>
      </c>
      <c r="BL82" s="129">
        <f>'P&amp;L - Inputs'!BT237</f>
        <v>97792768.079999998</v>
      </c>
      <c r="BM82" s="129">
        <f>'P&amp;L - Inputs'!BU237</f>
        <v>141334164.68144083</v>
      </c>
      <c r="BN82" s="129">
        <f>'P&amp;L - Inputs'!BV237</f>
        <v>141103884.38314098</v>
      </c>
      <c r="BO82" s="129">
        <f>'P&amp;L - Inputs'!BW237</f>
        <v>153674318.31450784</v>
      </c>
      <c r="BP82" s="129">
        <f>'P&amp;L - Inputs'!BX237</f>
        <v>153313386.44202435</v>
      </c>
      <c r="BQ82" s="129">
        <f>'P&amp;L - Inputs'!BY237</f>
        <v>163271476.80508807</v>
      </c>
      <c r="BR82" s="129">
        <f>'P&amp;L - Inputs'!BZ237</f>
        <v>152772417.89544427</v>
      </c>
      <c r="BS82" s="129">
        <f>'P&amp;L - Inputs'!CA237</f>
        <v>159269627.82944432</v>
      </c>
      <c r="BT82" s="129">
        <f>'P&amp;L - Inputs'!CB237</f>
        <v>170480710.33432174</v>
      </c>
      <c r="BU82" s="129">
        <f>'P&amp;L - Inputs'!CC237</f>
        <v>152369727.05831912</v>
      </c>
      <c r="BV82" s="129">
        <f>'P&amp;L - Inputs'!CD237</f>
        <v>183756962.90021792</v>
      </c>
      <c r="BW82" s="129">
        <f>'P&amp;L - Inputs'!CE237</f>
        <v>207188528.16374046</v>
      </c>
      <c r="BX82" s="129">
        <f>'P&amp;L - Inputs'!CF237</f>
        <v>201511158.29692981</v>
      </c>
      <c r="BY82" s="129">
        <f>'P&amp;L - Inputs'!CG237</f>
        <v>265881894.62482172</v>
      </c>
      <c r="BZ82" s="129">
        <f>'P&amp;L - Inputs'!CH237</f>
        <v>227811259.8046</v>
      </c>
      <c r="CA82" s="129">
        <f>'P&amp;L - Inputs'!CI237</f>
        <v>230140690.75736246</v>
      </c>
      <c r="CB82" s="129">
        <f>'P&amp;L - Inputs'!CJ237</f>
        <v>222835729.58111086</v>
      </c>
      <c r="CC82" s="129">
        <f>'P&amp;L - Inputs'!CK237</f>
        <v>231464646.74195552</v>
      </c>
      <c r="CD82" s="129">
        <f>'P&amp;L - Inputs'!CL237</f>
        <v>198706202.57076854</v>
      </c>
      <c r="CE82" s="129">
        <f>'P&amp;L - Inputs'!CM237</f>
        <v>269906409.7284779</v>
      </c>
      <c r="CF82" s="129">
        <f>'P&amp;L - Inputs'!CN237</f>
        <v>224286270.14147013</v>
      </c>
      <c r="CG82" s="129">
        <f>'P&amp;L - Inputs'!CO237</f>
        <v>225527622.73705932</v>
      </c>
      <c r="CH82" s="129">
        <f>'P&amp;L - Inputs'!CP237</f>
        <v>271119929.3222</v>
      </c>
      <c r="CI82" s="129">
        <f>'P&amp;L - Inputs'!CQ237</f>
        <v>299963335.17030001</v>
      </c>
      <c r="CJ82" s="129">
        <f>'P&amp;L - Inputs'!CR237</f>
        <v>240900461.87980008</v>
      </c>
      <c r="CK82" s="129">
        <f>'P&amp;L - Inputs'!CS237</f>
        <v>292756504.22990012</v>
      </c>
      <c r="CL82" s="129">
        <f>'P&amp;L - Inputs'!CT237</f>
        <v>270471230.87280095</v>
      </c>
      <c r="CM82" s="129">
        <f>'P&amp;L - Inputs'!CU237</f>
        <v>273223994.3788234</v>
      </c>
      <c r="CN82" s="129">
        <f>'P&amp;L - Inputs'!CV237</f>
        <v>273028531.88135439</v>
      </c>
      <c r="CO82" s="129">
        <f>'P&amp;L - Inputs'!CW237</f>
        <v>277149532.86966026</v>
      </c>
      <c r="CP82" s="129">
        <f>'P&amp;L - Inputs'!CX237</f>
        <v>261154185.16010943</v>
      </c>
      <c r="CQ82" s="129">
        <f>'P&amp;L - Inputs'!CY237</f>
        <v>285684728.59247541</v>
      </c>
      <c r="CR82" s="129">
        <f>'P&amp;L - Inputs'!CZ237</f>
        <v>277784785.98643464</v>
      </c>
      <c r="CS82" s="129">
        <f>'P&amp;L - Inputs'!DA237</f>
        <v>278436327.64466476</v>
      </c>
      <c r="CT82" s="129">
        <f>'P&amp;L - Inputs'!DB237</f>
        <v>341782465.3660934</v>
      </c>
      <c r="CU82" s="129">
        <f>'P&amp;L - Inputs'!DC237</f>
        <v>368267633.77314997</v>
      </c>
      <c r="CV82" s="129">
        <f>'P&amp;L - Inputs'!DD237</f>
        <v>315720799.03688645</v>
      </c>
      <c r="CW82" s="129">
        <f>'P&amp;L - Inputs'!DE237</f>
        <v>341163500.7907747</v>
      </c>
      <c r="CX82" s="129">
        <f>'P&amp;L - Inputs'!DF237</f>
        <v>320373172.96883273</v>
      </c>
      <c r="CY82" s="129">
        <f>'P&amp;L - Inputs'!DG237</f>
        <v>323633821.34171635</v>
      </c>
      <c r="CZ82" s="129">
        <f>'P&amp;L - Inputs'!DH237</f>
        <v>323402296.01346427</v>
      </c>
      <c r="DA82" s="129">
        <f>'P&amp;L - Inputs'!DI237</f>
        <v>328283621.68411255</v>
      </c>
      <c r="DB82" s="129">
        <f>'P&amp;L - Inputs'!DJ237</f>
        <v>309337132.32214963</v>
      </c>
      <c r="DC82" s="129">
        <f>'P&amp;L - Inputs'!DK237</f>
        <v>338393561.01778716</v>
      </c>
      <c r="DD82" s="129">
        <f>'P&amp;L - Inputs'!DL237</f>
        <v>329036079.0009318</v>
      </c>
      <c r="DE82" s="129">
        <f>'P&amp;L - Inputs'!DM237</f>
        <v>329807830.09510547</v>
      </c>
      <c r="DF82" s="129">
        <f>'P&amp;L - Inputs'!DN237</f>
        <v>404841330.2261377</v>
      </c>
      <c r="DG82" s="129">
        <f>'P&amp;L - Inputs'!DO237</f>
        <v>436213012.20429623</v>
      </c>
      <c r="DH82" s="129">
        <f>'P&amp;L - Inputs'!DP237</f>
        <v>373971286.45919204</v>
      </c>
      <c r="DI82" s="129">
        <f>'P&amp;L - Inputs'!DQ237</f>
        <v>404108166.68667269</v>
      </c>
      <c r="DJ82" s="129">
        <f>'P&amp;L - Inputs'!DR237</f>
        <v>379482023.38158226</v>
      </c>
      <c r="DK82" s="129">
        <f>'P&amp;L - Inputs'!DS237</f>
        <v>383344261.37926298</v>
      </c>
      <c r="DL82" s="129">
        <f>'P&amp;L - Inputs'!DT237</f>
        <v>383070019.62794834</v>
      </c>
      <c r="DM82" s="129">
        <f>'P&amp;L - Inputs'!DU237</f>
        <v>388851949.88483125</v>
      </c>
      <c r="DN82" s="129">
        <f>'P&amp;L - Inputs'!DV237</f>
        <v>366409833.23558623</v>
      </c>
      <c r="DO82" s="129">
        <f>'P&amp;L - Inputs'!DW237</f>
        <v>400827173.0255689</v>
      </c>
      <c r="DP82" s="129">
        <f>'P&amp;L - Inputs'!DX237</f>
        <v>389743235.57660359</v>
      </c>
      <c r="DQ82" s="129">
        <f>'P&amp;L - Inputs'!DY237</f>
        <v>390657374.74765229</v>
      </c>
      <c r="DR82" s="129">
        <f>'P&amp;L - Inputs'!DZ237</f>
        <v>479534555.65285999</v>
      </c>
      <c r="DS82" s="129">
        <f>'P&amp;L - Inputs'!EA237</f>
        <v>516694312.95598882</v>
      </c>
      <c r="DT82" s="129">
        <f>'P&amp;L - Inputs'!EB237</f>
        <v>442968988.81091291</v>
      </c>
      <c r="DU82" s="129">
        <f>'P&amp;L - Inputs'!EC237</f>
        <v>478666123.44036376</v>
      </c>
      <c r="DW82" s="129">
        <f t="shared" si="272"/>
        <v>377271251.70986992</v>
      </c>
      <c r="DX82" s="663">
        <f t="shared" si="273"/>
        <v>343811436.36622226</v>
      </c>
      <c r="DY82" s="129">
        <f t="shared" si="274"/>
        <v>503530639.33796996</v>
      </c>
      <c r="DZ82" s="129">
        <f t="shared" si="275"/>
        <v>380831323.0214408</v>
      </c>
      <c r="EA82" s="129">
        <f t="shared" si="276"/>
        <v>448091589.13967317</v>
      </c>
      <c r="EB82" s="129">
        <f t="shared" si="277"/>
        <v>475313522.52997661</v>
      </c>
      <c r="EC82" s="129">
        <f t="shared" si="278"/>
        <v>506607400.29285872</v>
      </c>
      <c r="ED82" s="129">
        <f t="shared" si="279"/>
        <v>674581581.0854919</v>
      </c>
      <c r="EE82" s="129">
        <f t="shared" si="280"/>
        <v>680787680.14307332</v>
      </c>
      <c r="EF82" s="129">
        <f t="shared" si="281"/>
        <v>700077259.04120195</v>
      </c>
      <c r="EG82" s="129">
        <f t="shared" si="282"/>
        <v>720933822.20072937</v>
      </c>
      <c r="EH82" s="129">
        <f t="shared" si="283"/>
        <v>833620301.28000021</v>
      </c>
      <c r="EI82" s="129">
        <f t="shared" si="284"/>
        <v>816723757.13297868</v>
      </c>
      <c r="EJ82" s="129">
        <f t="shared" si="285"/>
        <v>823988446.62224507</v>
      </c>
      <c r="EK82" s="129">
        <f t="shared" si="286"/>
        <v>898003578.99719286</v>
      </c>
      <c r="EL82" s="129">
        <f t="shared" si="287"/>
        <v>1025151933.6008111</v>
      </c>
      <c r="EM82" s="129">
        <f t="shared" si="288"/>
        <v>967409290.32401323</v>
      </c>
      <c r="EN82" s="129">
        <f t="shared" si="289"/>
        <v>976014315.02404928</v>
      </c>
      <c r="EO82" s="644">
        <f t="shared" si="290"/>
        <v>1063685239.322175</v>
      </c>
      <c r="EP82" s="129">
        <f t="shared" si="291"/>
        <v>1214292465.3501611</v>
      </c>
      <c r="EQ82" s="129">
        <f t="shared" si="292"/>
        <v>1145896304.3887935</v>
      </c>
      <c r="ER82" s="129">
        <f t="shared" si="293"/>
        <v>1156088956.1459863</v>
      </c>
      <c r="ES82" s="129">
        <f t="shared" si="294"/>
        <v>1259935165.9771159</v>
      </c>
      <c r="ET82" s="129">
        <f t="shared" si="295"/>
        <v>1438329425.2072654</v>
      </c>
      <c r="EV82" s="129">
        <f t="shared" ref="EV82:EV90" si="297">SUM(DW82:DZ82)</f>
        <v>1605444650.435503</v>
      </c>
      <c r="EW82" s="129">
        <f t="shared" ref="EW82:EW92" si="298">SUM(EA82:ED82)</f>
        <v>2104594093.0480006</v>
      </c>
      <c r="EX82" s="129">
        <f t="shared" ref="EX82:EX92" si="299">SUM(EE82:EH82)</f>
        <v>2935419062.6650047</v>
      </c>
      <c r="EY82" s="129">
        <f t="shared" ref="EY82:EY92" si="300">SUM(EI82:EL82)</f>
        <v>3563867716.3532276</v>
      </c>
      <c r="EZ82" s="129">
        <f t="shared" ref="EZ82:EZ92" si="301">SUM(EM82:EP82)</f>
        <v>4221401310.0203986</v>
      </c>
      <c r="FA82" s="663">
        <f t="shared" ref="FA82:FA92" si="302">SUM(EQ82:ET82)</f>
        <v>5000249851.7191601</v>
      </c>
    </row>
    <row r="83" spans="2:157" x14ac:dyDescent="0.2">
      <c r="B83" s="114" t="s">
        <v>142</v>
      </c>
      <c r="C83" s="129">
        <f>'P&amp;L - Inputs'!K238</f>
        <v>0</v>
      </c>
      <c r="D83" s="129">
        <f>'P&amp;L - Inputs'!L238</f>
        <v>0</v>
      </c>
      <c r="E83" s="129">
        <f>'P&amp;L - Inputs'!M238</f>
        <v>0</v>
      </c>
      <c r="F83" s="129">
        <f>'P&amp;L - Inputs'!N238</f>
        <v>0</v>
      </c>
      <c r="G83" s="129">
        <f>'P&amp;L - Inputs'!O238</f>
        <v>0</v>
      </c>
      <c r="H83" s="129">
        <f>'P&amp;L - Inputs'!P238</f>
        <v>0</v>
      </c>
      <c r="I83" s="129">
        <f>'P&amp;L - Inputs'!Q238</f>
        <v>0</v>
      </c>
      <c r="J83" s="129">
        <f>'P&amp;L - Inputs'!R238</f>
        <v>0</v>
      </c>
      <c r="K83" s="129">
        <f>'P&amp;L - Inputs'!S238</f>
        <v>0</v>
      </c>
      <c r="L83" s="129">
        <f>'P&amp;L - Inputs'!T238</f>
        <v>0</v>
      </c>
      <c r="M83" s="129">
        <f>'P&amp;L - Inputs'!U238</f>
        <v>0</v>
      </c>
      <c r="N83" s="129">
        <f>'P&amp;L - Inputs'!V238</f>
        <v>0</v>
      </c>
      <c r="O83" s="129">
        <f>'P&amp;L - Inputs'!W238</f>
        <v>0</v>
      </c>
      <c r="P83" s="129">
        <f>'P&amp;L - Inputs'!X238</f>
        <v>0</v>
      </c>
      <c r="Q83" s="129">
        <f>'P&amp;L - Inputs'!Y238</f>
        <v>0</v>
      </c>
      <c r="R83" s="129">
        <f>'P&amp;L - Inputs'!Z238</f>
        <v>0</v>
      </c>
      <c r="S83" s="129">
        <f>'P&amp;L - Inputs'!AA238</f>
        <v>59556.712375386225</v>
      </c>
      <c r="T83" s="129">
        <f>'P&amp;L - Inputs'!AB238</f>
        <v>65328.753681448281</v>
      </c>
      <c r="U83" s="129">
        <f>'P&amp;L - Inputs'!AC238</f>
        <v>32669.764231925968</v>
      </c>
      <c r="V83" s="129">
        <f>'P&amp;L - Inputs'!AD238</f>
        <v>30222.999678273831</v>
      </c>
      <c r="W83" s="129">
        <f>'P&amp;L - Inputs'!AE238</f>
        <v>58992.446036957699</v>
      </c>
      <c r="X83" s="129">
        <f>'P&amp;L - Inputs'!AF238</f>
        <v>97637.304365156087</v>
      </c>
      <c r="Y83" s="129">
        <f>'P&amp;L - Inputs'!AG238</f>
        <v>54974.527636621664</v>
      </c>
      <c r="Z83" s="129">
        <f>'P&amp;L - Inputs'!AH238</f>
        <v>328669.3335296025</v>
      </c>
      <c r="AA83" s="129">
        <f>'P&amp;L - Inputs'!AI238</f>
        <v>256321.25200000001</v>
      </c>
      <c r="AB83" s="129">
        <f>'P&amp;L - Inputs'!AJ238</f>
        <v>306748.49719999998</v>
      </c>
      <c r="AC83" s="129">
        <f>'P&amp;L - Inputs'!AK238</f>
        <v>443321.69199999998</v>
      </c>
      <c r="AD83" s="129">
        <f>'P&amp;L - Inputs'!AL238</f>
        <v>327792.32</v>
      </c>
      <c r="AE83" s="129">
        <f>'P&amp;L - Inputs'!AM238</f>
        <v>404986</v>
      </c>
      <c r="AF83" s="129">
        <f>'P&amp;L - Inputs'!AN238</f>
        <v>591322</v>
      </c>
      <c r="AG83" s="129">
        <f>'P&amp;L - Inputs'!AO238</f>
        <v>525594</v>
      </c>
      <c r="AH83" s="129">
        <f>'P&amp;L - Inputs'!AP238</f>
        <v>627020</v>
      </c>
      <c r="AI83" s="129">
        <f>'P&amp;L - Inputs'!AQ238</f>
        <v>430269.28573099972</v>
      </c>
      <c r="AJ83" s="129">
        <f>'P&amp;L - Inputs'!AR238</f>
        <v>116830</v>
      </c>
      <c r="AK83" s="129">
        <f>'P&amp;L - Inputs'!AS238</f>
        <v>687107.31822000002</v>
      </c>
      <c r="AL83" s="129">
        <f>'P&amp;L - Inputs'!AT238</f>
        <v>853153.48463999946</v>
      </c>
      <c r="AM83" s="129">
        <f>'P&amp;L - Inputs'!AU238</f>
        <v>1593082.4734999996</v>
      </c>
      <c r="AN83" s="129">
        <f>'P&amp;L - Inputs'!AV238</f>
        <v>1668144</v>
      </c>
      <c r="AO83" s="129">
        <f>'P&amp;L - Inputs'!AW238</f>
        <v>1406220</v>
      </c>
      <c r="AP83" s="129">
        <f>'P&amp;L - Inputs'!AX238</f>
        <v>1282551.5330651985</v>
      </c>
      <c r="AQ83" s="129">
        <f>'P&amp;L - Inputs'!AY238</f>
        <v>1352562.9693399994</v>
      </c>
      <c r="AR83" s="129">
        <f>'P&amp;L - Inputs'!AZ238</f>
        <v>3264919.7020000108</v>
      </c>
      <c r="AS83" s="129">
        <f>'P&amp;L - Inputs'!BA238</f>
        <v>3310209.7113600089</v>
      </c>
      <c r="AT83" s="129">
        <f>'P&amp;L - Inputs'!BB238</f>
        <v>2470908.9998000027</v>
      </c>
      <c r="AU83" s="129">
        <f>'P&amp;L - Inputs'!BC238</f>
        <v>1691453.4099999992</v>
      </c>
      <c r="AV83" s="129">
        <f>'P&amp;L - Inputs'!BD238</f>
        <v>2733985.2120000022</v>
      </c>
      <c r="AW83" s="129">
        <f>'P&amp;L - Inputs'!BE238</f>
        <v>1723785.400000006</v>
      </c>
      <c r="AX83" s="129">
        <f>'P&amp;L - Inputs'!BF238</f>
        <v>1592626.3859999997</v>
      </c>
      <c r="AY83" s="129">
        <f>'P&amp;L - Inputs'!BG238</f>
        <v>1749189.6971999896</v>
      </c>
      <c r="AZ83" s="129">
        <f>'P&amp;L - Inputs'!BH238</f>
        <v>2643638.1074000029</v>
      </c>
      <c r="BA83" s="129">
        <f>'P&amp;L - Inputs'!BI238</f>
        <v>4550548.1499999845</v>
      </c>
      <c r="BB83" s="129">
        <f>'P&amp;L - Inputs'!BJ238</f>
        <v>6289012.4142373297</v>
      </c>
      <c r="BC83" s="129">
        <f>'P&amp;L - Inputs'!BK238</f>
        <v>5706699.2881356152</v>
      </c>
      <c r="BD83" s="129">
        <f>'P&amp;L - Inputs'!BL238</f>
        <v>7138932.5972351888</v>
      </c>
      <c r="BE83" s="129">
        <f>'P&amp;L - Inputs'!BM238</f>
        <v>3951468.4349159626</v>
      </c>
      <c r="BF83" s="129">
        <f>'P&amp;L - Inputs'!BN238</f>
        <v>6387793.7694995189</v>
      </c>
      <c r="BG83" s="129">
        <f>'P&amp;L - Inputs'!BO238</f>
        <v>7953398.4214641945</v>
      </c>
      <c r="BH83" s="129">
        <f>'P&amp;L - Inputs'!BP238</f>
        <v>11599647.728982957</v>
      </c>
      <c r="BI83" s="129">
        <f>'P&amp;L - Inputs'!BQ238</f>
        <v>10075364.717627287</v>
      </c>
      <c r="BJ83" s="129">
        <f>'P&amp;L - Inputs'!BR238</f>
        <v>9988253.3759324327</v>
      </c>
      <c r="BK83" s="129">
        <f>'P&amp;L - Inputs'!BS238</f>
        <v>12920830.702881364</v>
      </c>
      <c r="BL83" s="129">
        <f>'P&amp;L - Inputs'!BT238</f>
        <v>7699943.2099999897</v>
      </c>
      <c r="BM83" s="129">
        <f>'P&amp;L - Inputs'!BU238</f>
        <v>13033544.610169485</v>
      </c>
      <c r="BN83" s="129">
        <f>'P&amp;L - Inputs'!BV238</f>
        <v>10369917.938305248</v>
      </c>
      <c r="BO83" s="129">
        <f>'P&amp;L - Inputs'!BW238</f>
        <v>12098493.816440687</v>
      </c>
      <c r="BP83" s="129">
        <f>'P&amp;L - Inputs'!BX238</f>
        <v>14065540.018305134</v>
      </c>
      <c r="BQ83" s="129">
        <f>'P&amp;L - Inputs'!BY238</f>
        <v>16004166.994576257</v>
      </c>
      <c r="BR83" s="129">
        <f>'P&amp;L - Inputs'!BZ238</f>
        <v>15225506.830847437</v>
      </c>
      <c r="BS83" s="129">
        <f>'P&amp;L - Inputs'!CA238</f>
        <v>15683640.590508653</v>
      </c>
      <c r="BT83" s="129">
        <f>'P&amp;L - Inputs'!CB238</f>
        <v>14117023.855593197</v>
      </c>
      <c r="BU83" s="129">
        <f>'P&amp;L - Inputs'!CC238</f>
        <v>9035968.3030508254</v>
      </c>
      <c r="BV83" s="129">
        <f>'P&amp;L - Inputs'!CD238</f>
        <v>13740527.967966314</v>
      </c>
      <c r="BW83" s="129">
        <f>'P&amp;L - Inputs'!CE238</f>
        <v>15672203.150847428</v>
      </c>
      <c r="BX83" s="129">
        <f>'P&amp;L - Inputs'!CF238</f>
        <v>15483804.41260105</v>
      </c>
      <c r="BY83" s="129">
        <f>'P&amp;L - Inputs'!CG238</f>
        <v>22966719.584478289</v>
      </c>
      <c r="BZ83" s="129">
        <f>'P&amp;L - Inputs'!CH238</f>
        <v>18229128.593647912</v>
      </c>
      <c r="CA83" s="129">
        <f>'P&amp;L - Inputs'!CI238</f>
        <v>17231695.051941589</v>
      </c>
      <c r="CB83" s="129">
        <f>'P&amp;L - Inputs'!CJ238</f>
        <v>18261333.067144372</v>
      </c>
      <c r="CC83" s="129">
        <f>'P&amp;L - Inputs'!CK238</f>
        <v>19501631.567796621</v>
      </c>
      <c r="CD83" s="129">
        <f>'P&amp;L - Inputs'!CL238</f>
        <v>20052061.432203401</v>
      </c>
      <c r="CE83" s="129">
        <f>'P&amp;L - Inputs'!CM238</f>
        <v>23994659.237288099</v>
      </c>
      <c r="CF83" s="129">
        <f>'P&amp;L - Inputs'!CN238</f>
        <v>22321727.152542356</v>
      </c>
      <c r="CG83" s="129">
        <f>'P&amp;L - Inputs'!CO238</f>
        <v>20517251.381355956</v>
      </c>
      <c r="CH83" s="129">
        <f>'P&amp;L - Inputs'!CP238</f>
        <v>30251824.288135573</v>
      </c>
      <c r="CI83" s="129">
        <f>'P&amp;L - Inputs'!CQ238</f>
        <v>38000810.279661037</v>
      </c>
      <c r="CJ83" s="129">
        <f>'P&amp;L - Inputs'!CR238</f>
        <v>32047568.519880701</v>
      </c>
      <c r="CK83" s="129">
        <f>'P&amp;L - Inputs'!CS238</f>
        <v>34129440.122518703</v>
      </c>
      <c r="CL83" s="129">
        <f>'P&amp;L - Inputs'!CT238</f>
        <v>27204229.650181673</v>
      </c>
      <c r="CM83" s="129">
        <f>'P&amp;L - Inputs'!CU238</f>
        <v>27481104.977545761</v>
      </c>
      <c r="CN83" s="129">
        <f>'P&amp;L - Inputs'!CV238</f>
        <v>27461445.190987363</v>
      </c>
      <c r="CO83" s="129">
        <f>'P&amp;L - Inputs'!CW238</f>
        <v>27875939.024260234</v>
      </c>
      <c r="CP83" s="129">
        <f>'P&amp;L - Inputs'!CX238</f>
        <v>26267113.157564752</v>
      </c>
      <c r="CQ83" s="129">
        <f>'P&amp;L - Inputs'!CY238</f>
        <v>28734416.37064356</v>
      </c>
      <c r="CR83" s="129">
        <f>'P&amp;L - Inputs'!CZ238</f>
        <v>27939833.330575019</v>
      </c>
      <c r="CS83" s="129">
        <f>'P&amp;L - Inputs'!DA238</f>
        <v>28005365.952436343</v>
      </c>
      <c r="CT83" s="129">
        <f>'P&amp;L - Inputs'!DB238</f>
        <v>34376775.112903461</v>
      </c>
      <c r="CU83" s="129">
        <f>'P&amp;L - Inputs'!DC238</f>
        <v>37040676.191566236</v>
      </c>
      <c r="CV83" s="129">
        <f>'P&amp;L - Inputs'!DD238</f>
        <v>31755470.23845055</v>
      </c>
      <c r="CW83" s="129">
        <f>'P&amp;L - Inputs'!DE238</f>
        <v>34314519.1221352</v>
      </c>
      <c r="CX83" s="129">
        <f>'P&amp;L - Inputs'!DF238</f>
        <v>32849107.302594367</v>
      </c>
      <c r="CY83" s="129">
        <f>'P&amp;L - Inputs'!DG238</f>
        <v>33183434.260386504</v>
      </c>
      <c r="CZ83" s="129">
        <f>'P&amp;L - Inputs'!DH238</f>
        <v>33159695.068117239</v>
      </c>
      <c r="DA83" s="129">
        <f>'P&amp;L - Inputs'!DI238</f>
        <v>33660196.371794224</v>
      </c>
      <c r="DB83" s="129">
        <f>'P&amp;L - Inputs'!DJ238</f>
        <v>31717539.137759436</v>
      </c>
      <c r="DC83" s="129">
        <f>'P&amp;L - Inputs'!DK238</f>
        <v>34696807.7675521</v>
      </c>
      <c r="DD83" s="129">
        <f>'P&amp;L - Inputs'!DL238</f>
        <v>33737348.746669337</v>
      </c>
      <c r="DE83" s="129">
        <f>'P&amp;L - Inputs'!DM238</f>
        <v>33816479.387566887</v>
      </c>
      <c r="DF83" s="129">
        <f>'P&amp;L - Inputs'!DN238</f>
        <v>41509955.948830925</v>
      </c>
      <c r="DG83" s="129">
        <f>'P&amp;L - Inputs'!DO238</f>
        <v>44726616.501316227</v>
      </c>
      <c r="DH83" s="129">
        <f>'P&amp;L - Inputs'!DP238</f>
        <v>38344730.312929034</v>
      </c>
      <c r="DI83" s="129">
        <f>'P&amp;L - Inputs'!DQ238</f>
        <v>41434781.839978255</v>
      </c>
      <c r="DJ83" s="129">
        <f>'P&amp;L - Inputs'!DR238</f>
        <v>39665297.067882702</v>
      </c>
      <c r="DK83" s="129">
        <f>'P&amp;L - Inputs'!DS238</f>
        <v>40068996.869416706</v>
      </c>
      <c r="DL83" s="129">
        <f>'P&amp;L - Inputs'!DT238</f>
        <v>40040331.794751577</v>
      </c>
      <c r="DM83" s="129">
        <f>'P&amp;L - Inputs'!DU238</f>
        <v>40644687.118941538</v>
      </c>
      <c r="DN83" s="129">
        <f>'P&amp;L - Inputs'!DV238</f>
        <v>38298928.508844517</v>
      </c>
      <c r="DO83" s="129">
        <f>'P&amp;L - Inputs'!DW238</f>
        <v>41896395.379319154</v>
      </c>
      <c r="DP83" s="129">
        <f>'P&amp;L - Inputs'!DX238</f>
        <v>40737848.611603223</v>
      </c>
      <c r="DQ83" s="129">
        <f>'P&amp;L - Inputs'!DY238</f>
        <v>40833398.860487007</v>
      </c>
      <c r="DR83" s="129">
        <f>'P&amp;L - Inputs'!DZ238</f>
        <v>50123271.808213346</v>
      </c>
      <c r="DS83" s="129">
        <f>'P&amp;L - Inputs'!EA238</f>
        <v>54007389.425339349</v>
      </c>
      <c r="DT83" s="129">
        <f>'P&amp;L - Inputs'!EB238</f>
        <v>46301261.852861799</v>
      </c>
      <c r="DU83" s="129">
        <f>'P&amp;L - Inputs'!EC238</f>
        <v>50032499.071773745</v>
      </c>
      <c r="DW83" s="129">
        <f t="shared" si="272"/>
        <v>19134644.299608134</v>
      </c>
      <c r="DX83" s="663">
        <f t="shared" si="273"/>
        <v>18292660.625879675</v>
      </c>
      <c r="DY83" s="129">
        <f t="shared" si="274"/>
        <v>31663265.822542675</v>
      </c>
      <c r="DZ83" s="129">
        <f t="shared" si="275"/>
        <v>33654318.523050837</v>
      </c>
      <c r="EA83" s="129">
        <f t="shared" si="276"/>
        <v>36533951.773051068</v>
      </c>
      <c r="EB83" s="129">
        <f t="shared" si="277"/>
        <v>46913314.41593235</v>
      </c>
      <c r="EC83" s="129">
        <f t="shared" si="278"/>
        <v>36893520.126610339</v>
      </c>
      <c r="ED83" s="129">
        <f t="shared" si="279"/>
        <v>54122727.147926763</v>
      </c>
      <c r="EE83" s="129">
        <f t="shared" si="280"/>
        <v>53722156.712733872</v>
      </c>
      <c r="EF83" s="129">
        <f t="shared" si="281"/>
        <v>63548352.237288117</v>
      </c>
      <c r="EG83" s="129">
        <f t="shared" si="282"/>
        <v>73090802.822033882</v>
      </c>
      <c r="EH83" s="129">
        <f t="shared" si="283"/>
        <v>104177818.92206044</v>
      </c>
      <c r="EI83" s="129">
        <f t="shared" si="284"/>
        <v>82146779.818714797</v>
      </c>
      <c r="EJ83" s="129">
        <f t="shared" si="285"/>
        <v>82877468.552468538</v>
      </c>
      <c r="EK83" s="129">
        <f t="shared" si="286"/>
        <v>90321974.395914823</v>
      </c>
      <c r="EL83" s="129">
        <f t="shared" si="287"/>
        <v>103110665.55215198</v>
      </c>
      <c r="EM83" s="129">
        <f t="shared" si="288"/>
        <v>99192236.631098121</v>
      </c>
      <c r="EN83" s="129">
        <f t="shared" si="289"/>
        <v>100074543.27710575</v>
      </c>
      <c r="EO83" s="644">
        <f t="shared" si="290"/>
        <v>109063784.08306715</v>
      </c>
      <c r="EP83" s="129">
        <f t="shared" si="291"/>
        <v>124506128.6542235</v>
      </c>
      <c r="EQ83" s="129">
        <f t="shared" si="292"/>
        <v>119774625.73205099</v>
      </c>
      <c r="ER83" s="129">
        <f t="shared" si="293"/>
        <v>120840011.0071052</v>
      </c>
      <c r="ES83" s="129">
        <f t="shared" si="294"/>
        <v>131694519.28030357</v>
      </c>
      <c r="ET83" s="129">
        <f t="shared" si="295"/>
        <v>150341150.3499749</v>
      </c>
      <c r="EV83" s="129">
        <f t="shared" si="297"/>
        <v>102744889.27108133</v>
      </c>
      <c r="EW83" s="129">
        <f t="shared" si="298"/>
        <v>174463513.46352053</v>
      </c>
      <c r="EX83" s="129">
        <f t="shared" si="299"/>
        <v>294539130.69411629</v>
      </c>
      <c r="EY83" s="129">
        <f t="shared" si="300"/>
        <v>358456888.31925011</v>
      </c>
      <c r="EZ83" s="129">
        <f t="shared" si="301"/>
        <v>432836692.64549452</v>
      </c>
      <c r="FA83" s="663">
        <f t="shared" si="302"/>
        <v>522650306.3694346</v>
      </c>
    </row>
    <row r="84" spans="2:157" x14ac:dyDescent="0.2">
      <c r="B84" s="114" t="s">
        <v>22</v>
      </c>
      <c r="C84" s="129">
        <f>'P&amp;L - Inputs'!K239</f>
        <v>0</v>
      </c>
      <c r="D84" s="129">
        <f>'P&amp;L - Inputs'!L239</f>
        <v>0</v>
      </c>
      <c r="E84" s="129">
        <f>'P&amp;L - Inputs'!M239</f>
        <v>0</v>
      </c>
      <c r="F84" s="129">
        <f>'P&amp;L - Inputs'!N239</f>
        <v>0</v>
      </c>
      <c r="G84" s="129">
        <f>'P&amp;L - Inputs'!O239</f>
        <v>0</v>
      </c>
      <c r="H84" s="129">
        <f>'P&amp;L - Inputs'!P239</f>
        <v>0</v>
      </c>
      <c r="I84" s="129">
        <f>'P&amp;L - Inputs'!Q239</f>
        <v>0</v>
      </c>
      <c r="J84" s="129">
        <f>'P&amp;L - Inputs'!R239</f>
        <v>0</v>
      </c>
      <c r="K84" s="129">
        <f>'P&amp;L - Inputs'!S239</f>
        <v>0</v>
      </c>
      <c r="L84" s="129">
        <f>'P&amp;L - Inputs'!T239</f>
        <v>0</v>
      </c>
      <c r="M84" s="129">
        <f>'P&amp;L - Inputs'!U239</f>
        <v>0</v>
      </c>
      <c r="N84" s="129">
        <f>'P&amp;L - Inputs'!V239</f>
        <v>0</v>
      </c>
      <c r="O84" s="129">
        <f>'P&amp;L - Inputs'!W239</f>
        <v>0</v>
      </c>
      <c r="P84" s="129">
        <f>'P&amp;L - Inputs'!X239</f>
        <v>0</v>
      </c>
      <c r="Q84" s="129">
        <f>'P&amp;L - Inputs'!Y239</f>
        <v>0</v>
      </c>
      <c r="R84" s="129">
        <f>'P&amp;L - Inputs'!Z239</f>
        <v>0</v>
      </c>
      <c r="S84" s="129">
        <f>'P&amp;L - Inputs'!AA239</f>
        <v>0</v>
      </c>
      <c r="T84" s="129">
        <f>'P&amp;L - Inputs'!AB239</f>
        <v>0</v>
      </c>
      <c r="U84" s="129">
        <f>'P&amp;L - Inputs'!AC239</f>
        <v>0</v>
      </c>
      <c r="V84" s="129">
        <f>'P&amp;L - Inputs'!AD239</f>
        <v>0</v>
      </c>
      <c r="W84" s="129">
        <f>'P&amp;L - Inputs'!AE239</f>
        <v>0</v>
      </c>
      <c r="X84" s="129">
        <f>'P&amp;L - Inputs'!AF239</f>
        <v>0</v>
      </c>
      <c r="Y84" s="129">
        <f>'P&amp;L - Inputs'!AG239</f>
        <v>0</v>
      </c>
      <c r="Z84" s="129">
        <f>'P&amp;L - Inputs'!AH239</f>
        <v>0</v>
      </c>
      <c r="AA84" s="129">
        <f>'P&amp;L - Inputs'!AI239</f>
        <v>0</v>
      </c>
      <c r="AB84" s="129">
        <f>'P&amp;L - Inputs'!AJ239</f>
        <v>0</v>
      </c>
      <c r="AC84" s="129">
        <f>'P&amp;L - Inputs'!AK239</f>
        <v>0</v>
      </c>
      <c r="AD84" s="129">
        <f>'P&amp;L - Inputs'!AL239</f>
        <v>0</v>
      </c>
      <c r="AE84" s="129">
        <f>'P&amp;L - Inputs'!AM239</f>
        <v>0</v>
      </c>
      <c r="AF84" s="129">
        <f>'P&amp;L - Inputs'!AN239</f>
        <v>0</v>
      </c>
      <c r="AG84" s="129">
        <f>'P&amp;L - Inputs'!AO239</f>
        <v>0</v>
      </c>
      <c r="AH84" s="129">
        <f>'P&amp;L - Inputs'!AP239</f>
        <v>0</v>
      </c>
      <c r="AI84" s="129">
        <f>'P&amp;L - Inputs'!AQ239</f>
        <v>0</v>
      </c>
      <c r="AJ84" s="129">
        <f>'P&amp;L - Inputs'!AR239</f>
        <v>0</v>
      </c>
      <c r="AK84" s="129">
        <f>'P&amp;L - Inputs'!AS239</f>
        <v>0</v>
      </c>
      <c r="AL84" s="129">
        <f>'P&amp;L - Inputs'!AT239</f>
        <v>0</v>
      </c>
      <c r="AM84" s="129">
        <f>'P&amp;L - Inputs'!AU239</f>
        <v>0</v>
      </c>
      <c r="AN84" s="129">
        <f>'P&amp;L - Inputs'!AV239</f>
        <v>0</v>
      </c>
      <c r="AO84" s="129">
        <f>'P&amp;L - Inputs'!AW239</f>
        <v>0</v>
      </c>
      <c r="AP84" s="129">
        <f>'P&amp;L - Inputs'!AX239</f>
        <v>0</v>
      </c>
      <c r="AQ84" s="129">
        <f>'P&amp;L - Inputs'!AY239</f>
        <v>0</v>
      </c>
      <c r="AR84" s="129">
        <f>'P&amp;L - Inputs'!AZ239</f>
        <v>0</v>
      </c>
      <c r="AS84" s="129">
        <f>'P&amp;L - Inputs'!BA239</f>
        <v>0</v>
      </c>
      <c r="AT84" s="129">
        <f>'P&amp;L - Inputs'!BB239</f>
        <v>0</v>
      </c>
      <c r="AU84" s="129">
        <f>'P&amp;L - Inputs'!BC239</f>
        <v>140106.41709534041</v>
      </c>
      <c r="AV84" s="129">
        <f>'P&amp;L - Inputs'!BD239</f>
        <v>226404.34699059368</v>
      </c>
      <c r="AW84" s="129">
        <f>'P&amp;L - Inputs'!BE239</f>
        <v>152355.04002156915</v>
      </c>
      <c r="AX84" s="129">
        <f>'P&amp;L - Inputs'!BF239</f>
        <v>125473.21735082973</v>
      </c>
      <c r="AY84" s="129">
        <f>'P&amp;L - Inputs'!BG239</f>
        <v>361651.36189725826</v>
      </c>
      <c r="AZ84" s="129">
        <f>'P&amp;L - Inputs'!BH239</f>
        <v>497064.31222433818</v>
      </c>
      <c r="BA84" s="129">
        <f>'P&amp;L - Inputs'!BI239</f>
        <v>537270.94282583811</v>
      </c>
      <c r="BB84" s="129">
        <f>'P&amp;L - Inputs'!BJ239</f>
        <v>818133.86860229087</v>
      </c>
      <c r="BC84" s="129">
        <f>'P&amp;L - Inputs'!BK239</f>
        <v>1293457.5213996274</v>
      </c>
      <c r="BD84" s="129">
        <f>'P&amp;L - Inputs'!BL239</f>
        <v>1204406.880352661</v>
      </c>
      <c r="BE84" s="129">
        <f>'P&amp;L - Inputs'!BM239</f>
        <v>1204506.8424153221</v>
      </c>
      <c r="BF84" s="129">
        <f>'P&amp;L - Inputs'!BN239</f>
        <v>1625091.4887228194</v>
      </c>
      <c r="BG84" s="129">
        <f>'P&amp;L - Inputs'!BO239</f>
        <v>972072.79501688213</v>
      </c>
      <c r="BH84" s="129">
        <f>'P&amp;L - Inputs'!BP239</f>
        <v>2867293.2735212776</v>
      </c>
      <c r="BI84" s="129">
        <f>'P&amp;L - Inputs'!BQ239</f>
        <v>1908899.0216644953</v>
      </c>
      <c r="BJ84" s="129">
        <f>'P&amp;L - Inputs'!BR239</f>
        <v>1549043.8574665007</v>
      </c>
      <c r="BK84" s="129">
        <f>'P&amp;L - Inputs'!BS239</f>
        <v>882333.34770038154</v>
      </c>
      <c r="BL84" s="129">
        <f>'P&amp;L - Inputs'!BT239</f>
        <v>1249448.0897950039</v>
      </c>
      <c r="BM84" s="129">
        <f>'P&amp;L - Inputs'!BU239</f>
        <v>1685974.6049490504</v>
      </c>
      <c r="BN84" s="129">
        <f>'P&amp;L - Inputs'!BV239</f>
        <v>1278430.5853510678</v>
      </c>
      <c r="BO84" s="129">
        <f>'P&amp;L - Inputs'!BW239</f>
        <v>931791.93548262748</v>
      </c>
      <c r="BP84" s="129">
        <f>'P&amp;L - Inputs'!BX239</f>
        <v>1339705.4788189924</v>
      </c>
      <c r="BQ84" s="129">
        <f>'P&amp;L - Inputs'!BY239</f>
        <v>569469.29445742676</v>
      </c>
      <c r="BR84" s="129">
        <f>'P&amp;L - Inputs'!BZ239</f>
        <v>585789.64438476355</v>
      </c>
      <c r="BS84" s="129">
        <f>'P&amp;L - Inputs'!CA239</f>
        <v>640460.44989030773</v>
      </c>
      <c r="BT84" s="129">
        <f>'P&amp;L - Inputs'!CB239</f>
        <v>1144159.6835783895</v>
      </c>
      <c r="BU84" s="129">
        <f>'P&amp;L - Inputs'!CC239</f>
        <v>605197.58488256764</v>
      </c>
      <c r="BV84" s="129">
        <f>'P&amp;L - Inputs'!CD239</f>
        <v>602956.29447578406</v>
      </c>
      <c r="BW84" s="129">
        <f>'P&amp;L - Inputs'!CE239</f>
        <v>752194.57310561033</v>
      </c>
      <c r="BX84" s="129">
        <f>'P&amp;L - Inputs'!CF239</f>
        <v>1122683.5541825397</v>
      </c>
      <c r="BY84" s="129">
        <f>'P&amp;L - Inputs'!CG239</f>
        <v>1077114.5115670504</v>
      </c>
      <c r="BZ84" s="129">
        <f>'P&amp;L - Inputs'!CH239</f>
        <v>1103175.9284127459</v>
      </c>
      <c r="CA84" s="129">
        <f>'P&amp;L - Inputs'!CI239</f>
        <v>992297.81419755635</v>
      </c>
      <c r="CB84" s="129">
        <f>'P&amp;L - Inputs'!CJ239</f>
        <v>816389.08306880062</v>
      </c>
      <c r="CC84" s="129">
        <f>'P&amp;L - Inputs'!CK239</f>
        <v>1238731.5238108037</v>
      </c>
      <c r="CD84" s="129">
        <f>'P&amp;L - Inputs'!CL239</f>
        <v>1105113.9367624328</v>
      </c>
      <c r="CE84" s="129">
        <f>'P&amp;L - Inputs'!CM239</f>
        <v>1523529.2030033041</v>
      </c>
      <c r="CF84" s="129">
        <f>'P&amp;L - Inputs'!CN239</f>
        <v>534703.02095410298</v>
      </c>
      <c r="CG84" s="129">
        <f>'P&amp;L - Inputs'!CO239</f>
        <v>689671.92055561708</v>
      </c>
      <c r="CH84" s="129">
        <f>'P&amp;L - Inputs'!CP239</f>
        <v>682890.49813772645</v>
      </c>
      <c r="CI84" s="129">
        <f>'P&amp;L - Inputs'!CQ239</f>
        <v>1360896.0213538483</v>
      </c>
      <c r="CJ84" s="129">
        <f>'P&amp;L - Inputs'!CR239</f>
        <v>1181315.5902238614</v>
      </c>
      <c r="CK84" s="129">
        <f>'P&amp;L - Inputs'!CS239</f>
        <v>1558115.1649007758</v>
      </c>
      <c r="CL84" s="129">
        <f>'P&amp;L - Inputs'!CT239</f>
        <v>1472225.0199632696</v>
      </c>
      <c r="CM84" s="129">
        <f>'P&amp;L - Inputs'!CU239</f>
        <v>1487208.8217322421</v>
      </c>
      <c r="CN84" s="129">
        <f>'P&amp;L - Inputs'!CV239</f>
        <v>1486144.8831450962</v>
      </c>
      <c r="CO84" s="129">
        <f>'P&amp;L - Inputs'!CW239</f>
        <v>1508576.2550240911</v>
      </c>
      <c r="CP84" s="129">
        <f>'P&amp;L - Inputs'!CX239</f>
        <v>1421510.6139759768</v>
      </c>
      <c r="CQ84" s="129">
        <f>'P&amp;L - Inputs'!CY239</f>
        <v>1555034.9066627992</v>
      </c>
      <c r="CR84" s="129">
        <f>'P&amp;L - Inputs'!CZ239</f>
        <v>1512034.0554323155</v>
      </c>
      <c r="CS84" s="129">
        <f>'P&amp;L - Inputs'!DA239</f>
        <v>1515580.5173894686</v>
      </c>
      <c r="CT84" s="129">
        <f>'P&amp;L - Inputs'!DB239</f>
        <v>1860385.2811736995</v>
      </c>
      <c r="CU84" s="129">
        <f>'P&amp;L - Inputs'!DC239</f>
        <v>2004548.9597319819</v>
      </c>
      <c r="CV84" s="129">
        <f>'P&amp;L - Inputs'!DD239</f>
        <v>1718526.8028875671</v>
      </c>
      <c r="CW84" s="129">
        <f>'P&amp;L - Inputs'!DE239</f>
        <v>1857016.1423144038</v>
      </c>
      <c r="CX84" s="129">
        <f>'P&amp;L - Inputs'!DF239</f>
        <v>1743850.5361464927</v>
      </c>
      <c r="CY84" s="129">
        <f>'P&amp;L - Inputs'!DG239</f>
        <v>1761598.8493418409</v>
      </c>
      <c r="CZ84" s="129">
        <f>'P&amp;L - Inputs'!DH239</f>
        <v>1760338.6140853667</v>
      </c>
      <c r="DA84" s="129">
        <f>'P&amp;L - Inputs'!DI239</f>
        <v>1786908.5740760358</v>
      </c>
      <c r="DB84" s="129">
        <f>'P&amp;L - Inputs'!DJ239</f>
        <v>1683779.3222545446</v>
      </c>
      <c r="DC84" s="129">
        <f>'P&amp;L - Inputs'!DK239</f>
        <v>1841938.8469420858</v>
      </c>
      <c r="DD84" s="129">
        <f>'P&amp;L - Inputs'!DL239</f>
        <v>1791004.3386595775</v>
      </c>
      <c r="DE84" s="129">
        <f>'P&amp;L - Inputs'!DM239</f>
        <v>1795205.1228478255</v>
      </c>
      <c r="DF84" s="129">
        <f>'P&amp;L - Inputs'!DN239</f>
        <v>2203626.365550247</v>
      </c>
      <c r="DG84" s="129">
        <f>'P&amp;L - Inputs'!DO239</f>
        <v>2374388.2428025319</v>
      </c>
      <c r="DH84" s="129">
        <f>'P&amp;L - Inputs'!DP239</f>
        <v>2035594.9980203228</v>
      </c>
      <c r="DI84" s="129">
        <f>'P&amp;L - Inputs'!DQ239</f>
        <v>2199635.6205714107</v>
      </c>
      <c r="DJ84" s="129">
        <f>'P&amp;L - Inputs'!DR239</f>
        <v>2065590.9600655199</v>
      </c>
      <c r="DK84" s="129">
        <f>'P&amp;L - Inputs'!DS239</f>
        <v>2086613.8370454099</v>
      </c>
      <c r="DL84" s="129">
        <f>'P&amp;L - Inputs'!DT239</f>
        <v>2085121.0883841161</v>
      </c>
      <c r="DM84" s="129">
        <f>'P&amp;L - Inputs'!DU239</f>
        <v>2116593.2059930637</v>
      </c>
      <c r="DN84" s="129">
        <f>'P&amp;L - Inputs'!DV239</f>
        <v>1994436.6072105076</v>
      </c>
      <c r="DO84" s="129">
        <f>'P&amp;L - Inputs'!DW239</f>
        <v>2181776.5642028996</v>
      </c>
      <c r="DP84" s="129">
        <f>'P&amp;L - Inputs'!DX239</f>
        <v>2121444.6391422683</v>
      </c>
      <c r="DQ84" s="129">
        <f>'P&amp;L - Inputs'!DY239</f>
        <v>2126420.4680132484</v>
      </c>
      <c r="DR84" s="129">
        <f>'P&amp;L - Inputs'!DZ239</f>
        <v>2610195.4299942669</v>
      </c>
      <c r="DS84" s="129">
        <f>'P&amp;L - Inputs'!EA239</f>
        <v>2812462.8735995986</v>
      </c>
      <c r="DT84" s="129">
        <f>'P&amp;L - Inputs'!EB239</f>
        <v>2411162.2751550716</v>
      </c>
      <c r="DU84" s="129">
        <f>'P&amp;L - Inputs'!EC239</f>
        <v>2605468.3925668355</v>
      </c>
      <c r="DW84" s="129">
        <f t="shared" si="272"/>
        <v>3315998.2703545792</v>
      </c>
      <c r="DX84" s="663">
        <f t="shared" si="273"/>
        <v>3801671.1261550235</v>
      </c>
      <c r="DY84" s="129">
        <f t="shared" si="274"/>
        <v>6325236.152652273</v>
      </c>
      <c r="DZ84" s="129">
        <f t="shared" si="275"/>
        <v>3817756.0424444359</v>
      </c>
      <c r="EA84" s="129">
        <f t="shared" si="276"/>
        <v>3549927.9996526875</v>
      </c>
      <c r="EB84" s="129">
        <f t="shared" si="277"/>
        <v>1795719.388732498</v>
      </c>
      <c r="EC84" s="129">
        <f t="shared" si="278"/>
        <v>2352313.5629367409</v>
      </c>
      <c r="ED84" s="129">
        <f t="shared" si="279"/>
        <v>2951992.6388552003</v>
      </c>
      <c r="EE84" s="129">
        <f t="shared" si="280"/>
        <v>2911862.8256791029</v>
      </c>
      <c r="EF84" s="129">
        <f t="shared" si="281"/>
        <v>3867374.6635765405</v>
      </c>
      <c r="EG84" s="129">
        <f t="shared" si="282"/>
        <v>1907265.4396474464</v>
      </c>
      <c r="EH84" s="129">
        <f t="shared" si="283"/>
        <v>4100326.7764784852</v>
      </c>
      <c r="EI84" s="129">
        <f t="shared" si="284"/>
        <v>4445578.7248406075</v>
      </c>
      <c r="EJ84" s="129">
        <f t="shared" si="285"/>
        <v>4485121.7756628674</v>
      </c>
      <c r="EK84" s="129">
        <f t="shared" si="286"/>
        <v>4887999.8539954834</v>
      </c>
      <c r="EL84" s="129">
        <f t="shared" si="287"/>
        <v>5580091.9049339527</v>
      </c>
      <c r="EM84" s="129">
        <f t="shared" si="288"/>
        <v>5265787.9995737001</v>
      </c>
      <c r="EN84" s="129">
        <f t="shared" si="289"/>
        <v>5312626.7432726659</v>
      </c>
      <c r="EO84" s="644">
        <f t="shared" si="290"/>
        <v>5789835.8270576503</v>
      </c>
      <c r="EP84" s="129">
        <f t="shared" si="291"/>
        <v>6609618.8613942657</v>
      </c>
      <c r="EQ84" s="129">
        <f t="shared" si="292"/>
        <v>6237325.8854950462</v>
      </c>
      <c r="ER84" s="129">
        <f t="shared" si="293"/>
        <v>6292806.3774064705</v>
      </c>
      <c r="ES84" s="129">
        <f t="shared" si="294"/>
        <v>6858060.5371497832</v>
      </c>
      <c r="ET84" s="129">
        <f t="shared" si="295"/>
        <v>7829093.5413215058</v>
      </c>
      <c r="EV84" s="129">
        <f t="shared" si="297"/>
        <v>17260661.591606312</v>
      </c>
      <c r="EW84" s="129">
        <f t="shared" si="298"/>
        <v>10649953.590177126</v>
      </c>
      <c r="EX84" s="129">
        <f t="shared" si="299"/>
        <v>12786829.705381576</v>
      </c>
      <c r="EY84" s="129">
        <f t="shared" si="300"/>
        <v>19398792.259432912</v>
      </c>
      <c r="EZ84" s="129">
        <f t="shared" si="301"/>
        <v>22977869.431298282</v>
      </c>
      <c r="FA84" s="663">
        <f t="shared" si="302"/>
        <v>27217286.341372807</v>
      </c>
    </row>
    <row r="85" spans="2:157" x14ac:dyDescent="0.2">
      <c r="B85" s="114" t="s">
        <v>36</v>
      </c>
      <c r="C85" s="129">
        <f>'P&amp;L - Inputs'!K240</f>
        <v>0</v>
      </c>
      <c r="D85" s="129">
        <f>'P&amp;L - Inputs'!L240</f>
        <v>0</v>
      </c>
      <c r="E85" s="129">
        <f>'P&amp;L - Inputs'!M240</f>
        <v>0</v>
      </c>
      <c r="F85" s="129">
        <f>'P&amp;L - Inputs'!N240</f>
        <v>0</v>
      </c>
      <c r="G85" s="129">
        <f>'P&amp;L - Inputs'!O240</f>
        <v>0</v>
      </c>
      <c r="H85" s="129">
        <f>'P&amp;L - Inputs'!P240</f>
        <v>0</v>
      </c>
      <c r="I85" s="129">
        <f>'P&amp;L - Inputs'!Q240</f>
        <v>0</v>
      </c>
      <c r="J85" s="129">
        <f>'P&amp;L - Inputs'!R240</f>
        <v>0</v>
      </c>
      <c r="K85" s="129">
        <f>'P&amp;L - Inputs'!S240</f>
        <v>0</v>
      </c>
      <c r="L85" s="129">
        <f>'P&amp;L - Inputs'!T240</f>
        <v>0</v>
      </c>
      <c r="M85" s="129">
        <f>'P&amp;L - Inputs'!U240</f>
        <v>0</v>
      </c>
      <c r="N85" s="129">
        <f>'P&amp;L - Inputs'!V240</f>
        <v>0</v>
      </c>
      <c r="O85" s="129">
        <f>'P&amp;L - Inputs'!W240</f>
        <v>0</v>
      </c>
      <c r="P85" s="129">
        <f>'P&amp;L - Inputs'!X240</f>
        <v>0</v>
      </c>
      <c r="Q85" s="129">
        <f>'P&amp;L - Inputs'!Y240</f>
        <v>0</v>
      </c>
      <c r="R85" s="129">
        <f>'P&amp;L - Inputs'!Z240</f>
        <v>0</v>
      </c>
      <c r="S85" s="129">
        <f>'P&amp;L - Inputs'!AA240</f>
        <v>6448.4541304978757</v>
      </c>
      <c r="T85" s="129">
        <f>'P&amp;L - Inputs'!AB240</f>
        <v>6566.5370201028318</v>
      </c>
      <c r="U85" s="129">
        <f>'P&amp;L - Inputs'!AC240</f>
        <v>4708.8673550903541</v>
      </c>
      <c r="V85" s="129">
        <f>'P&amp;L - Inputs'!AD240</f>
        <v>3347.4171868670355</v>
      </c>
      <c r="W85" s="129">
        <f>'P&amp;L - Inputs'!AE240</f>
        <v>6078.2262876442446</v>
      </c>
      <c r="X85" s="129">
        <f>'P&amp;L - Inputs'!AF240</f>
        <v>6512.2878379554268</v>
      </c>
      <c r="Y85" s="129">
        <f>'P&amp;L - Inputs'!AG240</f>
        <v>3505.608997907198</v>
      </c>
      <c r="Z85" s="129">
        <f>'P&amp;L - Inputs'!AH240</f>
        <v>14571.553474903474</v>
      </c>
      <c r="AA85" s="129">
        <f>'P&amp;L - Inputs'!AI240</f>
        <v>7362.9105601126957</v>
      </c>
      <c r="AB85" s="129">
        <f>'P&amp;L - Inputs'!AJ240</f>
        <v>13877.793970362802</v>
      </c>
      <c r="AC85" s="129">
        <f>'P&amp;L - Inputs'!AK240</f>
        <v>24790.470261977818</v>
      </c>
      <c r="AD85" s="129">
        <f>'P&amp;L - Inputs'!AL240</f>
        <v>16110.528296587556</v>
      </c>
      <c r="AE85" s="129">
        <f>'P&amp;L - Inputs'!AM240</f>
        <v>18730.315140845069</v>
      </c>
      <c r="AF85" s="129">
        <f>'P&amp;L - Inputs'!AN240</f>
        <v>19266.108088501995</v>
      </c>
      <c r="AG85" s="129">
        <f>'P&amp;L - Inputs'!AO240</f>
        <v>21042.975782634378</v>
      </c>
      <c r="AH85" s="129">
        <f>'P&amp;L - Inputs'!AP240</f>
        <v>23241.525668073136</v>
      </c>
      <c r="AI85" s="129">
        <f>'P&amp;L - Inputs'!AQ240</f>
        <v>24328.654421120969</v>
      </c>
      <c r="AJ85" s="129">
        <f>'P&amp;L - Inputs'!AR240</f>
        <v>13310.819932499504</v>
      </c>
      <c r="AK85" s="129">
        <f>'P&amp;L - Inputs'!AS240</f>
        <v>48895.738232306132</v>
      </c>
      <c r="AL85" s="129">
        <f>'P&amp;L - Inputs'!AT240</f>
        <v>50355.26951406397</v>
      </c>
      <c r="AM85" s="129">
        <f>'P&amp;L - Inputs'!AU240</f>
        <v>71946.87520259319</v>
      </c>
      <c r="AN85" s="129">
        <f>'P&amp;L - Inputs'!AV240</f>
        <v>75683.583054886869</v>
      </c>
      <c r="AO85" s="129">
        <f>'P&amp;L - Inputs'!AW240</f>
        <v>52216.870234397058</v>
      </c>
      <c r="AP85" s="129">
        <f>'P&amp;L - Inputs'!AX240</f>
        <v>55536</v>
      </c>
      <c r="AQ85" s="129">
        <f>'P&amp;L - Inputs'!AY240</f>
        <v>110863.75762704415</v>
      </c>
      <c r="AR85" s="129">
        <f>'P&amp;L - Inputs'!AZ240</f>
        <v>107855</v>
      </c>
      <c r="AS85" s="129">
        <f>'P&amp;L - Inputs'!BA240</f>
        <v>103785</v>
      </c>
      <c r="AT85" s="129">
        <f>'P&amp;L - Inputs'!BB240</f>
        <v>80465</v>
      </c>
      <c r="AU85" s="129">
        <f>'P&amp;L - Inputs'!BC240</f>
        <v>90420</v>
      </c>
      <c r="AV85" s="129">
        <f>'P&amp;L - Inputs'!BD240</f>
        <v>132055</v>
      </c>
      <c r="AW85" s="129">
        <f>'P&amp;L - Inputs'!BE240</f>
        <v>89815</v>
      </c>
      <c r="AX85" s="129">
        <f>'P&amp;L - Inputs'!BF240</f>
        <v>92235</v>
      </c>
      <c r="AY85" s="129">
        <f>'P&amp;L - Inputs'!BG240</f>
        <v>105380</v>
      </c>
      <c r="AZ85" s="129">
        <f>'P&amp;L - Inputs'!BH240</f>
        <v>171985</v>
      </c>
      <c r="BA85" s="129">
        <f>'P&amp;L - Inputs'!BI240</f>
        <v>289740</v>
      </c>
      <c r="BB85" s="129">
        <f>'P&amp;L - Inputs'!BJ240</f>
        <v>393415</v>
      </c>
      <c r="BC85" s="129">
        <f>'P&amp;L - Inputs'!BK240</f>
        <v>430800</v>
      </c>
      <c r="BD85" s="129">
        <f>'P&amp;L - Inputs'!BL240</f>
        <v>572940</v>
      </c>
      <c r="BE85" s="129">
        <f>'P&amp;L - Inputs'!BM240</f>
        <v>375060</v>
      </c>
      <c r="BF85" s="129">
        <f>'P&amp;L - Inputs'!BN240</f>
        <v>457140</v>
      </c>
      <c r="BG85" s="129">
        <f>'P&amp;L - Inputs'!BO240</f>
        <v>472200</v>
      </c>
      <c r="BH85" s="129">
        <f>'P&amp;L - Inputs'!BP240</f>
        <v>615480</v>
      </c>
      <c r="BI85" s="129">
        <f>'P&amp;L - Inputs'!BQ240</f>
        <v>549720</v>
      </c>
      <c r="BJ85" s="129">
        <f>'P&amp;L - Inputs'!BR240</f>
        <v>498720</v>
      </c>
      <c r="BK85" s="129">
        <f>'P&amp;L - Inputs'!BS240</f>
        <v>523800</v>
      </c>
      <c r="BL85" s="129">
        <f>'P&amp;L - Inputs'!BT240</f>
        <v>354840</v>
      </c>
      <c r="BM85" s="129">
        <f>'P&amp;L - Inputs'!BU240</f>
        <v>547800</v>
      </c>
      <c r="BN85" s="129">
        <f>'P&amp;L - Inputs'!BV240</f>
        <v>504720</v>
      </c>
      <c r="BO85" s="129">
        <f>'P&amp;L - Inputs'!BW240</f>
        <v>531000</v>
      </c>
      <c r="BP85" s="129">
        <f>'P&amp;L - Inputs'!BX240</f>
        <v>555180</v>
      </c>
      <c r="BQ85" s="129">
        <f>'P&amp;L - Inputs'!BY240</f>
        <v>577920</v>
      </c>
      <c r="BR85" s="129">
        <f>'P&amp;L - Inputs'!BZ240</f>
        <v>527640</v>
      </c>
      <c r="BS85" s="129">
        <f>'P&amp;L - Inputs'!CA240</f>
        <v>532680</v>
      </c>
      <c r="BT85" s="129">
        <f>'P&amp;L - Inputs'!CB240</f>
        <v>531900</v>
      </c>
      <c r="BU85" s="129">
        <f>'P&amp;L - Inputs'!CC240</f>
        <v>476280</v>
      </c>
      <c r="BV85" s="129">
        <f>'P&amp;L - Inputs'!CD240</f>
        <v>591840</v>
      </c>
      <c r="BW85" s="129">
        <f>'P&amp;L - Inputs'!CE240</f>
        <v>663360</v>
      </c>
      <c r="BX85" s="129">
        <f>'P&amp;L - Inputs'!CF240</f>
        <v>655740</v>
      </c>
      <c r="BY85" s="129">
        <f>'P&amp;L - Inputs'!CG240</f>
        <v>860040</v>
      </c>
      <c r="BZ85" s="129">
        <f>'P&amp;L - Inputs'!CH240</f>
        <v>696780</v>
      </c>
      <c r="CA85" s="129">
        <f>'P&amp;L - Inputs'!CI240</f>
        <v>722460</v>
      </c>
      <c r="CB85" s="129">
        <f>'P&amp;L - Inputs'!CJ240</f>
        <v>731537.14285714284</v>
      </c>
      <c r="CC85" s="129">
        <f>'P&amp;L - Inputs'!CK240</f>
        <v>765180</v>
      </c>
      <c r="CD85" s="129">
        <f>'P&amp;L - Inputs'!CL240</f>
        <v>705720</v>
      </c>
      <c r="CE85" s="129">
        <f>'P&amp;L - Inputs'!CM240</f>
        <v>905820</v>
      </c>
      <c r="CF85" s="129">
        <f>'P&amp;L - Inputs'!CN240</f>
        <v>741960</v>
      </c>
      <c r="CG85" s="129">
        <f>'P&amp;L - Inputs'!CO240</f>
        <v>763500</v>
      </c>
      <c r="CH85" s="129">
        <f>'P&amp;L - Inputs'!CP240</f>
        <v>958920</v>
      </c>
      <c r="CI85" s="129">
        <f>'P&amp;L - Inputs'!CQ240</f>
        <v>1054560</v>
      </c>
      <c r="CJ85" s="129">
        <f>'P&amp;L - Inputs'!CR240</f>
        <v>888420</v>
      </c>
      <c r="CK85" s="129">
        <f>'P&amp;L - Inputs'!CS240</f>
        <v>971220</v>
      </c>
      <c r="CL85" s="129">
        <f>'P&amp;L - Inputs'!CT240</f>
        <v>929743.75892814517</v>
      </c>
      <c r="CM85" s="129">
        <f>'P&amp;L - Inputs'!CU240</f>
        <v>939206.37231320119</v>
      </c>
      <c r="CN85" s="129">
        <f>'P&amp;L - Inputs'!CV240</f>
        <v>938534.47077106696</v>
      </c>
      <c r="CO85" s="129">
        <f>'P&amp;L - Inputs'!CW240</f>
        <v>952700.39495106228</v>
      </c>
      <c r="CP85" s="129">
        <f>'P&amp;L - Inputs'!CX240</f>
        <v>897716.45208641677</v>
      </c>
      <c r="CQ85" s="129">
        <f>'P&amp;L - Inputs'!CY240</f>
        <v>982040.09562425397</v>
      </c>
      <c r="CR85" s="129">
        <f>'P&amp;L - Inputs'!CZ240</f>
        <v>954884.07496299816</v>
      </c>
      <c r="CS85" s="129">
        <f>'P&amp;L - Inputs'!DA240</f>
        <v>957123.74677011208</v>
      </c>
      <c r="CT85" s="129">
        <f>'P&amp;L - Inputs'!DB240</f>
        <v>1174875.8382167581</v>
      </c>
      <c r="CU85" s="129">
        <f>'P&amp;L - Inputs'!DC240</f>
        <v>1265918.4971759368</v>
      </c>
      <c r="CV85" s="129">
        <f>'P&amp;L - Inputs'!DD240</f>
        <v>1085288.9659322035</v>
      </c>
      <c r="CW85" s="129">
        <f>'P&amp;L - Inputs'!DE240</f>
        <v>1172748.1499999997</v>
      </c>
      <c r="CX85" s="129">
        <f>'P&amp;L - Inputs'!DF240</f>
        <v>1122665.5889057352</v>
      </c>
      <c r="CY85" s="129">
        <f>'P&amp;L - Inputs'!DG240</f>
        <v>1134091.6945681905</v>
      </c>
      <c r="CZ85" s="129">
        <f>'P&amp;L - Inputs'!DH240</f>
        <v>1133280.3734560634</v>
      </c>
      <c r="DA85" s="129">
        <f>'P&amp;L - Inputs'!DI240</f>
        <v>1150385.7269034076</v>
      </c>
      <c r="DB85" s="129">
        <f>'P&amp;L - Inputs'!DJ240</f>
        <v>1083992.6158943481</v>
      </c>
      <c r="DC85" s="129">
        <f>'P&amp;L - Inputs'!DK240</f>
        <v>1185813.4154662865</v>
      </c>
      <c r="DD85" s="129">
        <f>'P&amp;L - Inputs'!DL240</f>
        <v>1153022.5205178205</v>
      </c>
      <c r="DE85" s="129">
        <f>'P&amp;L - Inputs'!DM240</f>
        <v>1155726.9242249103</v>
      </c>
      <c r="DF85" s="129">
        <f>'P&amp;L - Inputs'!DN240</f>
        <v>1418662.5746467351</v>
      </c>
      <c r="DG85" s="129">
        <f>'P&amp;L - Inputs'!DO240</f>
        <v>1528596.5853399436</v>
      </c>
      <c r="DH85" s="129">
        <f>'P&amp;L - Inputs'!DP240</f>
        <v>1310486.4263631355</v>
      </c>
      <c r="DI85" s="129">
        <f>'P&amp;L - Inputs'!DQ240</f>
        <v>1416093.3911249998</v>
      </c>
      <c r="DJ85" s="129">
        <f>'P&amp;L - Inputs'!DR240</f>
        <v>1355618.6986036752</v>
      </c>
      <c r="DK85" s="129">
        <f>'P&amp;L - Inputs'!DS240</f>
        <v>1369415.7211910898</v>
      </c>
      <c r="DL85" s="129">
        <f>'P&amp;L - Inputs'!DT240</f>
        <v>1368436.0509481968</v>
      </c>
      <c r="DM85" s="129">
        <f>'P&amp;L - Inputs'!DU240</f>
        <v>1389090.765235865</v>
      </c>
      <c r="DN85" s="129">
        <f>'P&amp;L - Inputs'!DV240</f>
        <v>1308921.0836924252</v>
      </c>
      <c r="DO85" s="129">
        <f>'P&amp;L - Inputs'!DW240</f>
        <v>1431869.6991755411</v>
      </c>
      <c r="DP85" s="129">
        <f>'P&amp;L - Inputs'!DX240</f>
        <v>1392274.693525268</v>
      </c>
      <c r="DQ85" s="129">
        <f>'P&amp;L - Inputs'!DY240</f>
        <v>1395540.2610015792</v>
      </c>
      <c r="DR85" s="129">
        <f>'P&amp;L - Inputs'!DZ240</f>
        <v>1713035.0588859329</v>
      </c>
      <c r="DS85" s="129">
        <f>'P&amp;L - Inputs'!EA240</f>
        <v>1845780.376797982</v>
      </c>
      <c r="DT85" s="129">
        <f>'P&amp;L - Inputs'!EB240</f>
        <v>1582412.3598334859</v>
      </c>
      <c r="DU85" s="129">
        <f>'P&amp;L - Inputs'!EC240</f>
        <v>1709932.7697834373</v>
      </c>
      <c r="DW85" s="129">
        <f t="shared" si="272"/>
        <v>1397155</v>
      </c>
      <c r="DX85" s="663">
        <f t="shared" si="273"/>
        <v>1304400</v>
      </c>
      <c r="DY85" s="129">
        <f t="shared" si="274"/>
        <v>1663920</v>
      </c>
      <c r="DZ85" s="129">
        <f t="shared" si="275"/>
        <v>1426440</v>
      </c>
      <c r="EA85" s="129">
        <f t="shared" si="276"/>
        <v>1590900</v>
      </c>
      <c r="EB85" s="129">
        <f t="shared" si="277"/>
        <v>1638240</v>
      </c>
      <c r="EC85" s="129">
        <f t="shared" si="278"/>
        <v>1600020</v>
      </c>
      <c r="ED85" s="129">
        <f t="shared" si="279"/>
        <v>2179140</v>
      </c>
      <c r="EE85" s="129">
        <f t="shared" si="280"/>
        <v>2150777.1428571427</v>
      </c>
      <c r="EF85" s="129">
        <f t="shared" si="281"/>
        <v>2376720</v>
      </c>
      <c r="EG85" s="129">
        <f t="shared" si="282"/>
        <v>2464380</v>
      </c>
      <c r="EH85" s="129">
        <f t="shared" si="283"/>
        <v>2914200</v>
      </c>
      <c r="EI85" s="129">
        <f t="shared" si="284"/>
        <v>2807484.6020124131</v>
      </c>
      <c r="EJ85" s="129">
        <f t="shared" si="285"/>
        <v>2832456.9426617329</v>
      </c>
      <c r="EK85" s="129">
        <f t="shared" si="286"/>
        <v>3086883.659949868</v>
      </c>
      <c r="EL85" s="129">
        <f t="shared" si="287"/>
        <v>3523955.6131081395</v>
      </c>
      <c r="EM85" s="129">
        <f t="shared" si="288"/>
        <v>3390037.6569299893</v>
      </c>
      <c r="EN85" s="129">
        <f t="shared" si="289"/>
        <v>3420191.7582640424</v>
      </c>
      <c r="EO85" s="644">
        <f t="shared" si="290"/>
        <v>3727412.0193894659</v>
      </c>
      <c r="EP85" s="129">
        <f t="shared" si="291"/>
        <v>4255176.4028280787</v>
      </c>
      <c r="EQ85" s="129">
        <f t="shared" si="292"/>
        <v>4093470.4707429623</v>
      </c>
      <c r="ER85" s="129">
        <f t="shared" si="293"/>
        <v>4129881.5481038317</v>
      </c>
      <c r="ES85" s="129">
        <f t="shared" si="294"/>
        <v>4500850.0134127801</v>
      </c>
      <c r="ET85" s="129">
        <f t="shared" si="295"/>
        <v>5138125.5064149052</v>
      </c>
      <c r="EV85" s="129">
        <f t="shared" si="297"/>
        <v>5791915</v>
      </c>
      <c r="EW85" s="129">
        <f t="shared" si="298"/>
        <v>7008300</v>
      </c>
      <c r="EX85" s="129">
        <f t="shared" si="299"/>
        <v>9906077.1428571418</v>
      </c>
      <c r="EY85" s="129">
        <f t="shared" si="300"/>
        <v>12250780.817732153</v>
      </c>
      <c r="EZ85" s="129">
        <f t="shared" si="301"/>
        <v>14792817.837411577</v>
      </c>
      <c r="FA85" s="663">
        <f t="shared" si="302"/>
        <v>17862327.538674481</v>
      </c>
    </row>
    <row r="86" spans="2:157" x14ac:dyDescent="0.2">
      <c r="B86" s="114" t="s">
        <v>24</v>
      </c>
      <c r="C86" s="129">
        <f>'P&amp;L - Inputs'!K241</f>
        <v>0</v>
      </c>
      <c r="D86" s="129">
        <f>'P&amp;L - Inputs'!L241</f>
        <v>0</v>
      </c>
      <c r="E86" s="129">
        <f>'P&amp;L - Inputs'!M241</f>
        <v>0</v>
      </c>
      <c r="F86" s="129">
        <f>'P&amp;L - Inputs'!N241</f>
        <v>0</v>
      </c>
      <c r="G86" s="129">
        <f>'P&amp;L - Inputs'!O241</f>
        <v>0</v>
      </c>
      <c r="H86" s="129">
        <f>'P&amp;L - Inputs'!P241</f>
        <v>0</v>
      </c>
      <c r="I86" s="129">
        <f>'P&amp;L - Inputs'!Q241</f>
        <v>0</v>
      </c>
      <c r="J86" s="129">
        <f>'P&amp;L - Inputs'!R241</f>
        <v>0</v>
      </c>
      <c r="K86" s="129">
        <f>'P&amp;L - Inputs'!S241</f>
        <v>0</v>
      </c>
      <c r="L86" s="129">
        <f>'P&amp;L - Inputs'!T241</f>
        <v>0</v>
      </c>
      <c r="M86" s="129">
        <f>'P&amp;L - Inputs'!U241</f>
        <v>0</v>
      </c>
      <c r="N86" s="129">
        <f>'P&amp;L - Inputs'!V241</f>
        <v>0</v>
      </c>
      <c r="O86" s="129">
        <f>'P&amp;L - Inputs'!W241</f>
        <v>0</v>
      </c>
      <c r="P86" s="129">
        <f>'P&amp;L - Inputs'!X241</f>
        <v>0</v>
      </c>
      <c r="Q86" s="129">
        <f>'P&amp;L - Inputs'!Y241</f>
        <v>0</v>
      </c>
      <c r="R86" s="129">
        <f>'P&amp;L - Inputs'!Z241</f>
        <v>0</v>
      </c>
      <c r="S86" s="129">
        <f>'P&amp;L - Inputs'!AA241</f>
        <v>0</v>
      </c>
      <c r="T86" s="129">
        <f>'P&amp;L - Inputs'!AB241</f>
        <v>0</v>
      </c>
      <c r="U86" s="129">
        <f>'P&amp;L - Inputs'!AC241</f>
        <v>0</v>
      </c>
      <c r="V86" s="129">
        <f>'P&amp;L - Inputs'!AD241</f>
        <v>0</v>
      </c>
      <c r="W86" s="129">
        <f>'P&amp;L - Inputs'!AE241</f>
        <v>0</v>
      </c>
      <c r="X86" s="129">
        <f>'P&amp;L - Inputs'!AF241</f>
        <v>0</v>
      </c>
      <c r="Y86" s="129">
        <f>'P&amp;L - Inputs'!AG241</f>
        <v>0</v>
      </c>
      <c r="Z86" s="129">
        <f>'P&amp;L - Inputs'!AH241</f>
        <v>0</v>
      </c>
      <c r="AA86" s="129">
        <f>'P&amp;L - Inputs'!AI241</f>
        <v>29799.151127075216</v>
      </c>
      <c r="AB86" s="129">
        <f>'P&amp;L - Inputs'!AJ241</f>
        <v>43331.347572815532</v>
      </c>
      <c r="AC86" s="129">
        <f>'P&amp;L - Inputs'!AK241</f>
        <v>74154.028793957987</v>
      </c>
      <c r="AD86" s="129">
        <f>'P&amp;L - Inputs'!AL241</f>
        <v>43528.241539109673</v>
      </c>
      <c r="AE86" s="129">
        <f>'P&amp;L - Inputs'!AM241</f>
        <v>30275.37701207244</v>
      </c>
      <c r="AF86" s="129">
        <f>'P&amp;L - Inputs'!AN241</f>
        <v>47025.573086688433</v>
      </c>
      <c r="AG86" s="129">
        <f>'P&amp;L - Inputs'!AO241</f>
        <v>62543.812510336684</v>
      </c>
      <c r="AH86" s="129">
        <f>'P&amp;L - Inputs'!AP241</f>
        <v>71202.546465365682</v>
      </c>
      <c r="AI86" s="129">
        <f>'P&amp;L - Inputs'!AQ241</f>
        <v>84398.151212468234</v>
      </c>
      <c r="AJ86" s="129">
        <f>'P&amp;L - Inputs'!AR241</f>
        <v>39728.078882932969</v>
      </c>
      <c r="AK86" s="129">
        <f>'P&amp;L - Inputs'!AS241</f>
        <v>151185.74791984065</v>
      </c>
      <c r="AL86" s="129">
        <f>'P&amp;L - Inputs'!AT241</f>
        <v>177051.74457986641</v>
      </c>
      <c r="AM86" s="129">
        <f>'P&amp;L - Inputs'!AU241</f>
        <v>276400</v>
      </c>
      <c r="AN86" s="129">
        <f>'P&amp;L - Inputs'!AV241</f>
        <v>292541.98945837218</v>
      </c>
      <c r="AO86" s="129">
        <f>'P&amp;L - Inputs'!AW241</f>
        <v>191488.57992499712</v>
      </c>
      <c r="AP86" s="129">
        <f>'P&amp;L - Inputs'!AX241</f>
        <v>312983.18677712773</v>
      </c>
      <c r="AQ86" s="129">
        <f>'P&amp;L - Inputs'!AY241</f>
        <v>402125.2511539571</v>
      </c>
      <c r="AR86" s="129">
        <f>'P&amp;L - Inputs'!AZ241</f>
        <v>601848.94089026912</v>
      </c>
      <c r="AS86" s="129">
        <f>'P&amp;L - Inputs'!BA241</f>
        <v>578794.46714679187</v>
      </c>
      <c r="AT86" s="129">
        <f>'P&amp;L - Inputs'!BB241</f>
        <v>510311.41563307046</v>
      </c>
      <c r="AU86" s="129">
        <f>'P&amp;L - Inputs'!BC241</f>
        <v>545331.78614689829</v>
      </c>
      <c r="AV86" s="129">
        <f>'P&amp;L - Inputs'!BD241</f>
        <v>687194.402118008</v>
      </c>
      <c r="AW86" s="129">
        <f>'P&amp;L - Inputs'!BE241</f>
        <v>526451.65151900903</v>
      </c>
      <c r="AX86" s="129">
        <f>'P&amp;L - Inputs'!BF241</f>
        <v>591839.5745286583</v>
      </c>
      <c r="AY86" s="129">
        <f>'P&amp;L - Inputs'!BG241</f>
        <v>578007.69088554871</v>
      </c>
      <c r="AZ86" s="129">
        <f>'P&amp;L - Inputs'!BH241</f>
        <v>844176.91831833543</v>
      </c>
      <c r="BA86" s="129">
        <f>'P&amp;L - Inputs'!BI241</f>
        <v>1583615.6865079054</v>
      </c>
      <c r="BB86" s="129">
        <f>'P&amp;L - Inputs'!BJ241</f>
        <v>4353814.2447934812</v>
      </c>
      <c r="BC86" s="129">
        <f>'P&amp;L - Inputs'!BK241</f>
        <v>4146151.077183431</v>
      </c>
      <c r="BD86" s="129">
        <f>'P&amp;L - Inputs'!BL241</f>
        <v>3994009.0462831198</v>
      </c>
      <c r="BE86" s="129">
        <f>'P&amp;L - Inputs'!BM241</f>
        <v>3157231.1085259737</v>
      </c>
      <c r="BF86" s="129">
        <f>'P&amp;L - Inputs'!BN241</f>
        <v>3382217.2720218552</v>
      </c>
      <c r="BG86" s="129">
        <f>'P&amp;L - Inputs'!BO241</f>
        <v>3646238.0301493416</v>
      </c>
      <c r="BH86" s="129">
        <f>'P&amp;L - Inputs'!BP241</f>
        <v>4192479.737699436</v>
      </c>
      <c r="BI86" s="129">
        <f>'P&amp;L - Inputs'!BQ241</f>
        <v>4385612.9686380345</v>
      </c>
      <c r="BJ86" s="129">
        <f>'P&amp;L - Inputs'!BR241</f>
        <v>3278764.1607415052</v>
      </c>
      <c r="BK86" s="129">
        <f>'P&amp;L - Inputs'!BS241</f>
        <v>3122622.7601543684</v>
      </c>
      <c r="BL86" s="129">
        <f>'P&amp;L - Inputs'!BT241</f>
        <v>2824009.4035381554</v>
      </c>
      <c r="BM86" s="129">
        <f>'P&amp;L - Inputs'!BU241</f>
        <v>2927903.2874052366</v>
      </c>
      <c r="BN86" s="129">
        <f>'P&amp;L - Inputs'!BV241</f>
        <v>3066014.855725443</v>
      </c>
      <c r="BO86" s="129">
        <f>'P&amp;L - Inputs'!BW241</f>
        <v>3170937.3402007339</v>
      </c>
      <c r="BP86" s="129">
        <f>'P&amp;L - Inputs'!BX241</f>
        <v>2985187.7052210588</v>
      </c>
      <c r="BQ86" s="129">
        <f>'P&amp;L - Inputs'!BY241</f>
        <v>3507227.0969264489</v>
      </c>
      <c r="BR86" s="129">
        <f>'P&amp;L - Inputs'!BZ241</f>
        <v>3413150.9907794497</v>
      </c>
      <c r="BS86" s="129">
        <f>'P&amp;L - Inputs'!CA241</f>
        <v>3847489.6572665935</v>
      </c>
      <c r="BT86" s="129">
        <f>'P&amp;L - Inputs'!CB241</f>
        <v>4225936.1360460501</v>
      </c>
      <c r="BU86" s="129">
        <f>'P&amp;L - Inputs'!CC241</f>
        <v>3867064.9526926023</v>
      </c>
      <c r="BV86" s="129">
        <f>'P&amp;L - Inputs'!CD241</f>
        <v>3538447.2631022669</v>
      </c>
      <c r="BW86" s="129">
        <f>'P&amp;L - Inputs'!CE241</f>
        <v>3821897.844474595</v>
      </c>
      <c r="BX86" s="129">
        <f>'P&amp;L - Inputs'!CF241</f>
        <v>3981646.7165057207</v>
      </c>
      <c r="BY86" s="129">
        <f>'P&amp;L - Inputs'!CG241</f>
        <v>4688989.7629824821</v>
      </c>
      <c r="BZ86" s="129">
        <f>'P&amp;L - Inputs'!CH241</f>
        <v>4482792.6928629912</v>
      </c>
      <c r="CA86" s="129">
        <f>'P&amp;L - Inputs'!CI241</f>
        <v>4225396.7124858266</v>
      </c>
      <c r="CB86" s="129">
        <f>'P&amp;L - Inputs'!CJ241</f>
        <v>3587775.2582462346</v>
      </c>
      <c r="CC86" s="129">
        <f>'P&amp;L - Inputs'!CK241</f>
        <v>3381716.0610245932</v>
      </c>
      <c r="CD86" s="129">
        <f>'P&amp;L - Inputs'!CL241</f>
        <v>3443584.4608201766</v>
      </c>
      <c r="CE86" s="129">
        <f>'P&amp;L - Inputs'!CM241</f>
        <v>3991782.7244699961</v>
      </c>
      <c r="CF86" s="129">
        <f>'P&amp;L - Inputs'!CN241</f>
        <v>4065120.8979366431</v>
      </c>
      <c r="CG86" s="129">
        <f>'P&amp;L - Inputs'!CO241</f>
        <v>4114268.7839523191</v>
      </c>
      <c r="CH86" s="129">
        <f>'P&amp;L - Inputs'!CP241</f>
        <v>6086064.259233186</v>
      </c>
      <c r="CI86" s="129">
        <f>'P&amp;L - Inputs'!CQ241</f>
        <v>7176374.4608418802</v>
      </c>
      <c r="CJ86" s="129">
        <f>'P&amp;L - Inputs'!CR241</f>
        <v>7065678.4770377735</v>
      </c>
      <c r="CK86" s="129">
        <f>'P&amp;L - Inputs'!CS241</f>
        <v>7055954.8861356722</v>
      </c>
      <c r="CL86" s="129">
        <f>'P&amp;L - Inputs'!CT241</f>
        <v>5433584.5608079741</v>
      </c>
      <c r="CM86" s="129">
        <f>'P&amp;L - Inputs'!CU241</f>
        <v>5488885.7225530231</v>
      </c>
      <c r="CN86" s="129">
        <f>'P&amp;L - Inputs'!CV241</f>
        <v>5484959.0128433155</v>
      </c>
      <c r="CO86" s="129">
        <f>'P&amp;L - Inputs'!CW241</f>
        <v>5567747.142556319</v>
      </c>
      <c r="CP86" s="129">
        <f>'P&amp;L - Inputs'!CX241</f>
        <v>5246411.397978575</v>
      </c>
      <c r="CQ86" s="129">
        <f>'P&amp;L - Inputs'!CY241</f>
        <v>5739213.4665468866</v>
      </c>
      <c r="CR86" s="129">
        <f>'P&amp;L - Inputs'!CZ241</f>
        <v>5580508.9491128679</v>
      </c>
      <c r="CS86" s="129">
        <f>'P&amp;L - Inputs'!DA241</f>
        <v>5593597.9814785598</v>
      </c>
      <c r="CT86" s="129">
        <f>'P&amp;L - Inputs'!DB241</f>
        <v>6866179.1532329842</v>
      </c>
      <c r="CU86" s="129">
        <f>'P&amp;L - Inputs'!DC241</f>
        <v>7398248.3188983724</v>
      </c>
      <c r="CV86" s="129">
        <f>'P&amp;L - Inputs'!DD241</f>
        <v>6342617.8586052964</v>
      </c>
      <c r="CW86" s="129">
        <f>'P&amp;L - Inputs'!DE241</f>
        <v>6853744.5724855755</v>
      </c>
      <c r="CX86" s="129">
        <f>'P&amp;L - Inputs'!DF241</f>
        <v>6561053.3571756277</v>
      </c>
      <c r="CY86" s="129">
        <f>'P&amp;L - Inputs'!DG241</f>
        <v>6627829.509982775</v>
      </c>
      <c r="CZ86" s="129">
        <f>'P&amp;L - Inputs'!DH241</f>
        <v>6623088.0080083031</v>
      </c>
      <c r="DA86" s="129">
        <f>'P&amp;L - Inputs'!DI241</f>
        <v>6723054.6746367542</v>
      </c>
      <c r="DB86" s="129">
        <f>'P&amp;L - Inputs'!DJ241</f>
        <v>6335041.763059129</v>
      </c>
      <c r="DC86" s="129">
        <f>'P&amp;L - Inputs'!DK241</f>
        <v>6930100.2608553646</v>
      </c>
      <c r="DD86" s="129">
        <f>'P&amp;L - Inputs'!DL241</f>
        <v>6738464.5560537884</v>
      </c>
      <c r="DE86" s="129">
        <f>'P&amp;L - Inputs'!DM241</f>
        <v>6754269.5626353612</v>
      </c>
      <c r="DF86" s="129">
        <f>'P&amp;L - Inputs'!DN241</f>
        <v>8290911.3275288269</v>
      </c>
      <c r="DG86" s="129">
        <f>'P&amp;L - Inputs'!DO241</f>
        <v>8933384.8450697828</v>
      </c>
      <c r="DH86" s="129">
        <f>'P&amp;L - Inputs'!DP241</f>
        <v>7658711.0642658947</v>
      </c>
      <c r="DI86" s="129">
        <f>'P&amp;L - Inputs'!DQ241</f>
        <v>8275896.5712763332</v>
      </c>
      <c r="DJ86" s="129">
        <f>'P&amp;L - Inputs'!DR241</f>
        <v>7922471.9287895709</v>
      </c>
      <c r="DK86" s="129">
        <f>'P&amp;L - Inputs'!DS241</f>
        <v>8003104.1333042011</v>
      </c>
      <c r="DL86" s="129">
        <f>'P&amp;L - Inputs'!DT241</f>
        <v>7997378.7696700273</v>
      </c>
      <c r="DM86" s="129">
        <f>'P&amp;L - Inputs'!DU241</f>
        <v>8118088.5196238821</v>
      </c>
      <c r="DN86" s="129">
        <f>'P&amp;L - Inputs'!DV241</f>
        <v>7649562.9288938968</v>
      </c>
      <c r="DO86" s="129">
        <f>'P&amp;L - Inputs'!DW241</f>
        <v>8368096.0649828529</v>
      </c>
      <c r="DP86" s="129">
        <f>'P&amp;L - Inputs'!DX241</f>
        <v>8136695.9514349485</v>
      </c>
      <c r="DQ86" s="129">
        <f>'P&amp;L - Inputs'!DY241</f>
        <v>8155780.4968821984</v>
      </c>
      <c r="DR86" s="129">
        <f>'P&amp;L - Inputs'!DZ241</f>
        <v>10011275.427991061</v>
      </c>
      <c r="DS86" s="129">
        <f>'P&amp;L - Inputs'!EA241</f>
        <v>10787062.200421764</v>
      </c>
      <c r="DT86" s="129">
        <f>'P&amp;L - Inputs'!EB241</f>
        <v>9247893.6101010665</v>
      </c>
      <c r="DU86" s="129">
        <f>'P&amp;L - Inputs'!EC241</f>
        <v>9993145.1098161712</v>
      </c>
      <c r="DW86" s="129">
        <f t="shared" si="272"/>
        <v>12493974.368260032</v>
      </c>
      <c r="DX86" s="663">
        <f t="shared" si="273"/>
        <v>10185686.41069717</v>
      </c>
      <c r="DY86" s="129">
        <f t="shared" si="274"/>
        <v>11856856.867078975</v>
      </c>
      <c r="DZ86" s="129">
        <f t="shared" si="275"/>
        <v>8874535.4510977603</v>
      </c>
      <c r="EA86" s="129">
        <f t="shared" si="276"/>
        <v>9222139.9011472352</v>
      </c>
      <c r="EB86" s="129">
        <f t="shared" si="277"/>
        <v>10767867.744972493</v>
      </c>
      <c r="EC86" s="129">
        <f t="shared" si="278"/>
        <v>11631448.351840919</v>
      </c>
      <c r="ED86" s="129">
        <f t="shared" si="279"/>
        <v>12492534.323962798</v>
      </c>
      <c r="EE86" s="129">
        <f t="shared" si="280"/>
        <v>12295964.663595054</v>
      </c>
      <c r="EF86" s="129">
        <f t="shared" si="281"/>
        <v>10817083.246314766</v>
      </c>
      <c r="EG86" s="129">
        <f t="shared" si="282"/>
        <v>14265453.941122148</v>
      </c>
      <c r="EH86" s="129">
        <f t="shared" si="283"/>
        <v>21298007.824015327</v>
      </c>
      <c r="EI86" s="129">
        <f t="shared" si="284"/>
        <v>16407429.296204314</v>
      </c>
      <c r="EJ86" s="129">
        <f t="shared" si="285"/>
        <v>16553372.007081781</v>
      </c>
      <c r="EK86" s="129">
        <f t="shared" si="286"/>
        <v>18040286.083824411</v>
      </c>
      <c r="EL86" s="129">
        <f t="shared" si="287"/>
        <v>20594610.749989241</v>
      </c>
      <c r="EM86" s="129">
        <f t="shared" si="288"/>
        <v>19811970.875166707</v>
      </c>
      <c r="EN86" s="129">
        <f t="shared" si="289"/>
        <v>19988196.698551249</v>
      </c>
      <c r="EO86" s="644">
        <f t="shared" si="290"/>
        <v>21783645.446217977</v>
      </c>
      <c r="EP86" s="129">
        <f t="shared" si="291"/>
        <v>24867992.48061201</v>
      </c>
      <c r="EQ86" s="129">
        <f t="shared" si="292"/>
        <v>23922954.8317638</v>
      </c>
      <c r="ER86" s="129">
        <f t="shared" si="293"/>
        <v>24135747.513500631</v>
      </c>
      <c r="ES86" s="129">
        <f t="shared" si="294"/>
        <v>26303751.87630821</v>
      </c>
      <c r="ET86" s="129">
        <f t="shared" si="295"/>
        <v>30028100.920339003</v>
      </c>
      <c r="EV86" s="129">
        <f t="shared" si="297"/>
        <v>43411053.097133934</v>
      </c>
      <c r="EW86" s="129">
        <f t="shared" si="298"/>
        <v>44113990.32192345</v>
      </c>
      <c r="EX86" s="129">
        <f t="shared" si="299"/>
        <v>58676509.675047301</v>
      </c>
      <c r="EY86" s="129">
        <f t="shared" si="300"/>
        <v>71595698.137099743</v>
      </c>
      <c r="EZ86" s="129">
        <f t="shared" si="301"/>
        <v>86451805.500547945</v>
      </c>
      <c r="FA86" s="663">
        <f t="shared" si="302"/>
        <v>104390555.14191164</v>
      </c>
    </row>
    <row r="87" spans="2:157" x14ac:dyDescent="0.2">
      <c r="B87" s="114" t="s">
        <v>25</v>
      </c>
      <c r="C87" s="129">
        <f>'P&amp;L - Inputs'!K242</f>
        <v>0</v>
      </c>
      <c r="D87" s="129">
        <f>'P&amp;L - Inputs'!L242</f>
        <v>0</v>
      </c>
      <c r="E87" s="129">
        <f>'P&amp;L - Inputs'!M242</f>
        <v>0</v>
      </c>
      <c r="F87" s="129">
        <f>'P&amp;L - Inputs'!N242</f>
        <v>0</v>
      </c>
      <c r="G87" s="129">
        <f>'P&amp;L - Inputs'!O242</f>
        <v>0</v>
      </c>
      <c r="H87" s="129">
        <f>'P&amp;L - Inputs'!P242</f>
        <v>0</v>
      </c>
      <c r="I87" s="129">
        <f>'P&amp;L - Inputs'!Q242</f>
        <v>0</v>
      </c>
      <c r="J87" s="129">
        <f>'P&amp;L - Inputs'!R242</f>
        <v>0</v>
      </c>
      <c r="K87" s="129">
        <f>'P&amp;L - Inputs'!S242</f>
        <v>0</v>
      </c>
      <c r="L87" s="129">
        <f>'P&amp;L - Inputs'!T242</f>
        <v>0</v>
      </c>
      <c r="M87" s="129">
        <f>'P&amp;L - Inputs'!U242</f>
        <v>0</v>
      </c>
      <c r="N87" s="129">
        <f>'P&amp;L - Inputs'!V242</f>
        <v>0</v>
      </c>
      <c r="O87" s="129">
        <f>'P&amp;L - Inputs'!W242</f>
        <v>0</v>
      </c>
      <c r="P87" s="129">
        <f>'P&amp;L - Inputs'!X242</f>
        <v>0</v>
      </c>
      <c r="Q87" s="129">
        <f>'P&amp;L - Inputs'!Y242</f>
        <v>0</v>
      </c>
      <c r="R87" s="129">
        <f>'P&amp;L - Inputs'!Z242</f>
        <v>0</v>
      </c>
      <c r="S87" s="129">
        <f>'P&amp;L - Inputs'!AA242</f>
        <v>0</v>
      </c>
      <c r="T87" s="129">
        <f>'P&amp;L - Inputs'!AB242</f>
        <v>0</v>
      </c>
      <c r="U87" s="129">
        <f>'P&amp;L - Inputs'!AC242</f>
        <v>0</v>
      </c>
      <c r="V87" s="129">
        <f>'P&amp;L - Inputs'!AD242</f>
        <v>0</v>
      </c>
      <c r="W87" s="129">
        <f>'P&amp;L - Inputs'!AE242</f>
        <v>0</v>
      </c>
      <c r="X87" s="129">
        <f>'P&amp;L - Inputs'!AF242</f>
        <v>0</v>
      </c>
      <c r="Y87" s="129">
        <f>'P&amp;L - Inputs'!AG242</f>
        <v>0</v>
      </c>
      <c r="Z87" s="129">
        <f>'P&amp;L - Inputs'!AH242</f>
        <v>0</v>
      </c>
      <c r="AA87" s="129">
        <f>'P&amp;L - Inputs'!AI242</f>
        <v>24163.204982545518</v>
      </c>
      <c r="AB87" s="129">
        <f>'P&amp;L - Inputs'!AJ242</f>
        <v>54484.934061163898</v>
      </c>
      <c r="AC87" s="129">
        <f>'P&amp;L - Inputs'!AK242</f>
        <v>90494.655294811368</v>
      </c>
      <c r="AD87" s="129">
        <f>'P&amp;L - Inputs'!AL242</f>
        <v>98606.25345304863</v>
      </c>
      <c r="AE87" s="129">
        <f>'P&amp;L - Inputs'!AM242</f>
        <v>148778.23257703352</v>
      </c>
      <c r="AF87" s="129">
        <f>'P&amp;L - Inputs'!AN242</f>
        <v>133142.54347248157</v>
      </c>
      <c r="AG87" s="129">
        <f>'P&amp;L - Inputs'!AO242</f>
        <v>114877.356439615</v>
      </c>
      <c r="AH87" s="129">
        <f>'P&amp;L - Inputs'!AP242</f>
        <v>117774.4294077246</v>
      </c>
      <c r="AI87" s="129">
        <f>'P&amp;L - Inputs'!AQ242</f>
        <v>102002.22520329764</v>
      </c>
      <c r="AJ87" s="129">
        <f>'P&amp;L - Inputs'!AR242</f>
        <v>60435.878693742779</v>
      </c>
      <c r="AK87" s="129">
        <f>'P&amp;L - Inputs'!AS242</f>
        <v>188559.56600319021</v>
      </c>
      <c r="AL87" s="129">
        <f>'P&amp;L - Inputs'!AT242</f>
        <v>196246.8069810876</v>
      </c>
      <c r="AM87" s="129">
        <f>'P&amp;L - Inputs'!AU242</f>
        <v>190253.78603023395</v>
      </c>
      <c r="AN87" s="129">
        <f>'P&amp;L - Inputs'!AV242</f>
        <v>312245.03790556401</v>
      </c>
      <c r="AO87" s="129">
        <f>'P&amp;L - Inputs'!AW242</f>
        <v>202840.97947579279</v>
      </c>
      <c r="AP87" s="129">
        <f>'P&amp;L - Inputs'!AX242</f>
        <v>395868.24503042595</v>
      </c>
      <c r="AQ87" s="129">
        <f>'P&amp;L - Inputs'!AY242</f>
        <v>504706.72224500205</v>
      </c>
      <c r="AR87" s="129">
        <f>'P&amp;L - Inputs'!AZ242</f>
        <v>723276.55012048257</v>
      </c>
      <c r="AS87" s="129">
        <f>'P&amp;L - Inputs'!BA242</f>
        <v>701081.89322003431</v>
      </c>
      <c r="AT87" s="129">
        <f>'P&amp;L - Inputs'!BB242</f>
        <v>780721.65688712371</v>
      </c>
      <c r="AU87" s="129">
        <f>'P&amp;L - Inputs'!BC242</f>
        <v>891642.73918092391</v>
      </c>
      <c r="AV87" s="129">
        <f>'P&amp;L - Inputs'!BD242</f>
        <v>1241420.936612149</v>
      </c>
      <c r="AW87" s="129">
        <f>'P&amp;L - Inputs'!BE242</f>
        <v>952550.33156790293</v>
      </c>
      <c r="AX87" s="129">
        <f>'P&amp;L - Inputs'!BF242</f>
        <v>849630.40633104742</v>
      </c>
      <c r="AY87" s="129">
        <f>'P&amp;L - Inputs'!BG242</f>
        <v>805002.42213945929</v>
      </c>
      <c r="AZ87" s="129">
        <f>'P&amp;L - Inputs'!BH242</f>
        <v>1113116.072737898</v>
      </c>
      <c r="BA87" s="129">
        <f>'P&amp;L - Inputs'!BI242</f>
        <v>1418429.4489192544</v>
      </c>
      <c r="BB87" s="129">
        <f>'P&amp;L - Inputs'!BJ242</f>
        <v>1940018.016005415</v>
      </c>
      <c r="BC87" s="129">
        <f>'P&amp;L - Inputs'!BK242</f>
        <v>2002424.6751247968</v>
      </c>
      <c r="BD87" s="129">
        <f>'P&amp;L - Inputs'!BL242</f>
        <v>2469046.4370414023</v>
      </c>
      <c r="BE87" s="129">
        <f>'P&amp;L - Inputs'!BM242</f>
        <v>1389909.5855348348</v>
      </c>
      <c r="BF87" s="129">
        <f>'P&amp;L - Inputs'!BN242</f>
        <v>2501764.5440050941</v>
      </c>
      <c r="BG87" s="129">
        <f>'P&amp;L - Inputs'!BO242</f>
        <v>2641347.3746356852</v>
      </c>
      <c r="BH87" s="129">
        <f>'P&amp;L - Inputs'!BP242</f>
        <v>3981737.9861472272</v>
      </c>
      <c r="BI87" s="129">
        <f>'P&amp;L - Inputs'!BQ242</f>
        <v>3561407.5497863316</v>
      </c>
      <c r="BJ87" s="129">
        <f>'P&amp;L - Inputs'!BR242</f>
        <v>3151406.4990010741</v>
      </c>
      <c r="BK87" s="129">
        <f>'P&amp;L - Inputs'!BS242</f>
        <v>3390393.9233157048</v>
      </c>
      <c r="BL87" s="129">
        <f>'P&amp;L - Inputs'!BT242</f>
        <v>2930516.9060635068</v>
      </c>
      <c r="BM87" s="129">
        <f>'P&amp;L - Inputs'!BU242</f>
        <v>2909476.2131884387</v>
      </c>
      <c r="BN87" s="129">
        <f>'P&amp;L - Inputs'!BV242</f>
        <v>2655033.8735007276</v>
      </c>
      <c r="BO87" s="129">
        <f>'P&amp;L - Inputs'!BW242</f>
        <v>2603337.8814277602</v>
      </c>
      <c r="BP87" s="129">
        <f>'P&amp;L - Inputs'!BX242</f>
        <v>2667382.4628141359</v>
      </c>
      <c r="BQ87" s="129">
        <f>'P&amp;L - Inputs'!BY242</f>
        <v>2820339.8094923422</v>
      </c>
      <c r="BR87" s="129">
        <f>'P&amp;L - Inputs'!BZ242</f>
        <v>3289413.8405080615</v>
      </c>
      <c r="BS87" s="129">
        <f>'P&amp;L - Inputs'!CA242</f>
        <v>3714502.9566830196</v>
      </c>
      <c r="BT87" s="129">
        <f>'P&amp;L - Inputs'!CB242</f>
        <v>3417047.1999027701</v>
      </c>
      <c r="BU87" s="129">
        <f>'P&amp;L - Inputs'!CC242</f>
        <v>3319254.4502193797</v>
      </c>
      <c r="BV87" s="129">
        <f>'P&amp;L - Inputs'!CD242</f>
        <v>3753461.3363344972</v>
      </c>
      <c r="BW87" s="129">
        <f>'P&amp;L - Inputs'!CE242</f>
        <v>4094753.1605177545</v>
      </c>
      <c r="BX87" s="129">
        <f>'P&amp;L - Inputs'!CF242</f>
        <v>4108366.2585280221</v>
      </c>
      <c r="BY87" s="129">
        <f>'P&amp;L - Inputs'!CG242</f>
        <v>4481952.9015162522</v>
      </c>
      <c r="BZ87" s="129">
        <f>'P&amp;L - Inputs'!CH242</f>
        <v>4505712.4982939204</v>
      </c>
      <c r="CA87" s="129">
        <f>'P&amp;L - Inputs'!CI242</f>
        <v>4181920.5074814754</v>
      </c>
      <c r="CB87" s="129">
        <f>'P&amp;L - Inputs'!CJ242</f>
        <v>5167959.7952254694</v>
      </c>
      <c r="CC87" s="129">
        <f>'P&amp;L - Inputs'!CK242</f>
        <v>5507651.6027820837</v>
      </c>
      <c r="CD87" s="129">
        <f>'P&amp;L - Inputs'!CL242</f>
        <v>6340876.2384895096</v>
      </c>
      <c r="CE87" s="129">
        <f>'P&amp;L - Inputs'!CM242</f>
        <v>7405886.048072191</v>
      </c>
      <c r="CF87" s="129">
        <f>'P&amp;L - Inputs'!CN242</f>
        <v>7376360.8714768989</v>
      </c>
      <c r="CG87" s="129">
        <f>'P&amp;L - Inputs'!CO242</f>
        <v>7369461.1715008719</v>
      </c>
      <c r="CH87" s="129">
        <f>'P&amp;L - Inputs'!CP242</f>
        <v>6838082.4219234623</v>
      </c>
      <c r="CI87" s="129">
        <f>'P&amp;L - Inputs'!CQ242</f>
        <v>7336439.4941596892</v>
      </c>
      <c r="CJ87" s="129">
        <f>'P&amp;L - Inputs'!CR242</f>
        <v>6534929.4932712689</v>
      </c>
      <c r="CK87" s="129">
        <f>'P&amp;L - Inputs'!CS242</f>
        <v>6526771.5842954582</v>
      </c>
      <c r="CL87" s="129">
        <f>'P&amp;L - Inputs'!CT242</f>
        <v>6166987.2949327184</v>
      </c>
      <c r="CM87" s="129">
        <f>'P&amp;L - Inputs'!CU242</f>
        <v>6229752.7783921352</v>
      </c>
      <c r="CN87" s="129">
        <f>'P&amp;L - Inputs'!CV242</f>
        <v>6225296.0576731227</v>
      </c>
      <c r="CO87" s="129">
        <f>'P&amp;L - Inputs'!CW242</f>
        <v>6319258.5861656247</v>
      </c>
      <c r="CP87" s="129">
        <f>'P&amp;L - Inputs'!CX242</f>
        <v>5954550.2739931494</v>
      </c>
      <c r="CQ87" s="129">
        <f>'P&amp;L - Inputs'!CY242</f>
        <v>6513868.724229143</v>
      </c>
      <c r="CR87" s="129">
        <f>'P&amp;L - Inputs'!CZ242</f>
        <v>6333742.9285024125</v>
      </c>
      <c r="CS87" s="129">
        <f>'P&amp;L - Inputs'!DA242</f>
        <v>6348598.6642324524</v>
      </c>
      <c r="CT87" s="129">
        <f>'P&amp;L - Inputs'!DB242</f>
        <v>7792947.5705855582</v>
      </c>
      <c r="CU87" s="129">
        <f>'P&amp;L - Inputs'!DC242</f>
        <v>8396833.2280116715</v>
      </c>
      <c r="CV87" s="129">
        <f>'P&amp;L - Inputs'!DD242</f>
        <v>7198718.141383972</v>
      </c>
      <c r="CW87" s="129">
        <f>'P&amp;L - Inputs'!DE242</f>
        <v>7778834.6216420205</v>
      </c>
      <c r="CX87" s="129">
        <f>'P&amp;L - Inputs'!DF242</f>
        <v>7304796.4508478036</v>
      </c>
      <c r="CY87" s="129">
        <f>'P&amp;L - Inputs'!DG242</f>
        <v>7379142.1660054838</v>
      </c>
      <c r="CZ87" s="129">
        <f>'P&amp;L - Inputs'!DH242</f>
        <v>7373863.1803138154</v>
      </c>
      <c r="DA87" s="129">
        <f>'P&amp;L - Inputs'!DI242</f>
        <v>7485161.7953131814</v>
      </c>
      <c r="DB87" s="129">
        <f>'P&amp;L - Inputs'!DJ242</f>
        <v>7053164.7995448858</v>
      </c>
      <c r="DC87" s="129">
        <f>'P&amp;L - Inputs'!DK242</f>
        <v>7715677.5038494198</v>
      </c>
      <c r="DD87" s="129">
        <f>'P&amp;L - Inputs'!DL242</f>
        <v>7502318.4988111071</v>
      </c>
      <c r="DE87" s="129">
        <f>'P&amp;L - Inputs'!DM242</f>
        <v>7519915.1177833397</v>
      </c>
      <c r="DF87" s="129">
        <f>'P&amp;L - Inputs'!DN242</f>
        <v>9230746.3973585945</v>
      </c>
      <c r="DG87" s="129">
        <f>'P&amp;L - Inputs'!DO242</f>
        <v>9946048.9585798252</v>
      </c>
      <c r="DH87" s="129">
        <f>'P&amp;L - Inputs'!DP242</f>
        <v>8526881.6384693142</v>
      </c>
      <c r="DI87" s="129">
        <f>'P&amp;L - Inputs'!DQ242</f>
        <v>9214029.6093349736</v>
      </c>
      <c r="DJ87" s="129">
        <f>'P&amp;L - Inputs'!DR242</f>
        <v>8652531.3960292246</v>
      </c>
      <c r="DK87" s="129">
        <f>'P&amp;L - Inputs'!DS242</f>
        <v>8740593.8956334963</v>
      </c>
      <c r="DL87" s="129">
        <f>'P&amp;L - Inputs'!DT242</f>
        <v>8734340.9370817151</v>
      </c>
      <c r="DM87" s="129">
        <f>'P&amp;L - Inputs'!DU242</f>
        <v>8866174.1465484649</v>
      </c>
      <c r="DN87" s="129">
        <f>'P&amp;L - Inputs'!DV242</f>
        <v>8354473.7050609179</v>
      </c>
      <c r="DO87" s="129">
        <f>'P&amp;L - Inputs'!DW242</f>
        <v>9139220.0033096392</v>
      </c>
      <c r="DP87" s="129">
        <f>'P&amp;L - Inputs'!DX242</f>
        <v>8886496.2618417572</v>
      </c>
      <c r="DQ87" s="129">
        <f>'P&amp;L - Inputs'!DY242</f>
        <v>8907339.4570143651</v>
      </c>
      <c r="DR87" s="129">
        <f>'P&amp;L - Inputs'!DZ242</f>
        <v>10933819.107671257</v>
      </c>
      <c r="DS87" s="129">
        <f>'P&amp;L - Inputs'!EA242</f>
        <v>11781094.991437804</v>
      </c>
      <c r="DT87" s="129">
        <f>'P&amp;L - Inputs'!EB242</f>
        <v>10100091.300766902</v>
      </c>
      <c r="DU87" s="129">
        <f>'P&amp;L - Inputs'!EC242</f>
        <v>10914018.072257275</v>
      </c>
      <c r="DW87" s="129">
        <f t="shared" si="272"/>
        <v>6411489.1281716134</v>
      </c>
      <c r="DX87" s="663">
        <f t="shared" si="273"/>
        <v>6533021.5041756146</v>
      </c>
      <c r="DY87" s="129">
        <f t="shared" si="274"/>
        <v>10694552.034934632</v>
      </c>
      <c r="DZ87" s="129">
        <f t="shared" si="275"/>
        <v>9230387.0425676517</v>
      </c>
      <c r="EA87" s="129">
        <f t="shared" si="276"/>
        <v>7925754.2177426238</v>
      </c>
      <c r="EB87" s="129">
        <f t="shared" si="277"/>
        <v>9824256.6066834237</v>
      </c>
      <c r="EC87" s="129">
        <f t="shared" si="278"/>
        <v>10489762.986456648</v>
      </c>
      <c r="ED87" s="129">
        <f t="shared" si="279"/>
        <v>12685072.320562027</v>
      </c>
      <c r="EE87" s="129">
        <f t="shared" si="280"/>
        <v>13855592.801000865</v>
      </c>
      <c r="EF87" s="129">
        <f t="shared" si="281"/>
        <v>19254413.889343783</v>
      </c>
      <c r="EG87" s="129">
        <f t="shared" si="282"/>
        <v>21583904.464901231</v>
      </c>
      <c r="EH87" s="129">
        <f t="shared" si="283"/>
        <v>20398140.571726415</v>
      </c>
      <c r="EI87" s="129">
        <f t="shared" si="284"/>
        <v>18622036.130997978</v>
      </c>
      <c r="EJ87" s="129">
        <f t="shared" si="285"/>
        <v>18787677.584387917</v>
      </c>
      <c r="EK87" s="129">
        <f t="shared" si="286"/>
        <v>20475289.163320422</v>
      </c>
      <c r="EL87" s="129">
        <f t="shared" si="287"/>
        <v>23374385.991037663</v>
      </c>
      <c r="EM87" s="129">
        <f t="shared" si="288"/>
        <v>22057801.797167104</v>
      </c>
      <c r="EN87" s="129">
        <f t="shared" si="289"/>
        <v>22254004.098707486</v>
      </c>
      <c r="EO87" s="644">
        <f t="shared" si="290"/>
        <v>24252980.013953041</v>
      </c>
      <c r="EP87" s="129">
        <f t="shared" si="291"/>
        <v>27686960.206384115</v>
      </c>
      <c r="EQ87" s="129">
        <f t="shared" si="292"/>
        <v>26127466.22874444</v>
      </c>
      <c r="ER87" s="129">
        <f t="shared" si="293"/>
        <v>26359867.854919024</v>
      </c>
      <c r="ES87" s="129">
        <f t="shared" si="294"/>
        <v>28727654.826527379</v>
      </c>
      <c r="ET87" s="129">
        <f t="shared" si="295"/>
        <v>32795204.364461981</v>
      </c>
      <c r="EV87" s="129">
        <f t="shared" si="297"/>
        <v>32869449.70984951</v>
      </c>
      <c r="EW87" s="129">
        <f t="shared" si="298"/>
        <v>40924846.131444722</v>
      </c>
      <c r="EX87" s="129">
        <f t="shared" si="299"/>
        <v>75092051.726972297</v>
      </c>
      <c r="EY87" s="129">
        <f t="shared" si="300"/>
        <v>81259388.869743988</v>
      </c>
      <c r="EZ87" s="129">
        <f t="shared" si="301"/>
        <v>96251746.116211742</v>
      </c>
      <c r="FA87" s="663">
        <f t="shared" si="302"/>
        <v>114010193.27465284</v>
      </c>
    </row>
    <row r="88" spans="2:157" x14ac:dyDescent="0.2">
      <c r="B88" s="114" t="s">
        <v>26</v>
      </c>
      <c r="C88" s="129">
        <f>'P&amp;L - Inputs'!K243</f>
        <v>0</v>
      </c>
      <c r="D88" s="129">
        <f>'P&amp;L - Inputs'!L243</f>
        <v>0</v>
      </c>
      <c r="E88" s="129">
        <f>'P&amp;L - Inputs'!M243</f>
        <v>0</v>
      </c>
      <c r="F88" s="129">
        <f>'P&amp;L - Inputs'!N243</f>
        <v>0</v>
      </c>
      <c r="G88" s="129">
        <f>'P&amp;L - Inputs'!O243</f>
        <v>0</v>
      </c>
      <c r="H88" s="129">
        <f>'P&amp;L - Inputs'!P243</f>
        <v>0</v>
      </c>
      <c r="I88" s="129">
        <f>'P&amp;L - Inputs'!Q243</f>
        <v>0</v>
      </c>
      <c r="J88" s="129">
        <f>'P&amp;L - Inputs'!R243</f>
        <v>0</v>
      </c>
      <c r="K88" s="129">
        <f>'P&amp;L - Inputs'!S243</f>
        <v>0</v>
      </c>
      <c r="L88" s="129">
        <f>'P&amp;L - Inputs'!T243</f>
        <v>0</v>
      </c>
      <c r="M88" s="129">
        <f>'P&amp;L - Inputs'!U243</f>
        <v>0</v>
      </c>
      <c r="N88" s="129">
        <f>'P&amp;L - Inputs'!V243</f>
        <v>0</v>
      </c>
      <c r="O88" s="129">
        <f>'P&amp;L - Inputs'!W243</f>
        <v>0</v>
      </c>
      <c r="P88" s="129">
        <f>'P&amp;L - Inputs'!X243</f>
        <v>0</v>
      </c>
      <c r="Q88" s="129">
        <f>'P&amp;L - Inputs'!Y243</f>
        <v>0</v>
      </c>
      <c r="R88" s="129">
        <f>'P&amp;L - Inputs'!Z243</f>
        <v>0</v>
      </c>
      <c r="S88" s="129">
        <f>'P&amp;L - Inputs'!AA243</f>
        <v>0</v>
      </c>
      <c r="T88" s="129">
        <f>'P&amp;L - Inputs'!AB243</f>
        <v>0</v>
      </c>
      <c r="U88" s="129">
        <f>'P&amp;L - Inputs'!AC243</f>
        <v>0</v>
      </c>
      <c r="V88" s="129">
        <f>'P&amp;L - Inputs'!AD243</f>
        <v>0</v>
      </c>
      <c r="W88" s="129">
        <f>'P&amp;L - Inputs'!AE243</f>
        <v>0</v>
      </c>
      <c r="X88" s="129">
        <f>'P&amp;L - Inputs'!AF243</f>
        <v>0</v>
      </c>
      <c r="Y88" s="129">
        <f>'P&amp;L - Inputs'!AG243</f>
        <v>0</v>
      </c>
      <c r="Z88" s="129">
        <f>'P&amp;L - Inputs'!AH243</f>
        <v>0</v>
      </c>
      <c r="AA88" s="129">
        <f>'P&amp;L - Inputs'!AI243</f>
        <v>22095.758561889434</v>
      </c>
      <c r="AB88" s="129">
        <f>'P&amp;L - Inputs'!AJ243</f>
        <v>54786.391211401424</v>
      </c>
      <c r="AC88" s="129">
        <f>'P&amp;L - Inputs'!AK243</f>
        <v>94021.981158215567</v>
      </c>
      <c r="AD88" s="129">
        <f>'P&amp;L - Inputs'!AL243</f>
        <v>96649.139799331097</v>
      </c>
      <c r="AE88" s="129">
        <f>'P&amp;L - Inputs'!AM243</f>
        <v>144653.52078053728</v>
      </c>
      <c r="AF88" s="129">
        <f>'P&amp;L - Inputs'!AN243</f>
        <v>89305.873037176221</v>
      </c>
      <c r="AG88" s="129">
        <f>'P&amp;L - Inputs'!AO243</f>
        <v>74082.854373115028</v>
      </c>
      <c r="AH88" s="129">
        <f>'P&amp;L - Inputs'!AP243</f>
        <v>84425.994889093316</v>
      </c>
      <c r="AI88" s="129">
        <f>'P&amp;L - Inputs'!AQ243</f>
        <v>78587.552712384859</v>
      </c>
      <c r="AJ88" s="129">
        <f>'P&amp;L - Inputs'!AR243</f>
        <v>31924.812629564662</v>
      </c>
      <c r="AK88" s="129">
        <f>'P&amp;L - Inputs'!AS243</f>
        <v>99228.689372937297</v>
      </c>
      <c r="AL88" s="129">
        <f>'P&amp;L - Inputs'!AT243</f>
        <v>105819.31671261805</v>
      </c>
      <c r="AM88" s="129">
        <f>'P&amp;L - Inputs'!AU243</f>
        <v>141878.01764517164</v>
      </c>
      <c r="AN88" s="129">
        <f>'P&amp;L - Inputs'!AV243</f>
        <v>177028.33768007261</v>
      </c>
      <c r="AO88" s="129">
        <f>'P&amp;L - Inputs'!AW243</f>
        <v>109447.08612758412</v>
      </c>
      <c r="AP88" s="129">
        <f>'P&amp;L - Inputs'!AX243</f>
        <v>232987.03011390235</v>
      </c>
      <c r="AQ88" s="129">
        <f>'P&amp;L - Inputs'!AY243</f>
        <v>311091.53559521592</v>
      </c>
      <c r="AR88" s="129">
        <f>'P&amp;L - Inputs'!AZ243</f>
        <v>670777.72824984696</v>
      </c>
      <c r="AS88" s="129">
        <f>'P&amp;L - Inputs'!BA243</f>
        <v>647931.5993363742</v>
      </c>
      <c r="AT88" s="129">
        <f>'P&amp;L - Inputs'!BB243</f>
        <v>665346.55536716559</v>
      </c>
      <c r="AU88" s="129">
        <f>'P&amp;L - Inputs'!BC243</f>
        <v>695483.81832393212</v>
      </c>
      <c r="AV88" s="129">
        <f>'P&amp;L - Inputs'!BD243</f>
        <v>1039809.3028778087</v>
      </c>
      <c r="AW88" s="129">
        <f>'P&amp;L - Inputs'!BE243</f>
        <v>820568.72173704649</v>
      </c>
      <c r="AX88" s="129">
        <f>'P&amp;L - Inputs'!BF243</f>
        <v>764031.74252422457</v>
      </c>
      <c r="AY88" s="129">
        <f>'P&amp;L - Inputs'!BG243</f>
        <v>715746.19709611847</v>
      </c>
      <c r="AZ88" s="129">
        <f>'P&amp;L - Inputs'!BH243</f>
        <v>1068141.2699570905</v>
      </c>
      <c r="BA88" s="129">
        <f>'P&amp;L - Inputs'!BI243</f>
        <v>1460071.7867049873</v>
      </c>
      <c r="BB88" s="129">
        <f>'P&amp;L - Inputs'!BJ243</f>
        <v>2106087.786185347</v>
      </c>
      <c r="BC88" s="129">
        <f>'P&amp;L - Inputs'!BK243</f>
        <v>2387984.9617390623</v>
      </c>
      <c r="BD88" s="129">
        <f>'P&amp;L - Inputs'!BL243</f>
        <v>2552834.4693151573</v>
      </c>
      <c r="BE88" s="129">
        <f>'P&amp;L - Inputs'!BM243</f>
        <v>1688311.5095988791</v>
      </c>
      <c r="BF88" s="129">
        <f>'P&amp;L - Inputs'!BN243</f>
        <v>2627708.6764174467</v>
      </c>
      <c r="BG88" s="129">
        <f>'P&amp;L - Inputs'!BO243</f>
        <v>2827976.9618800394</v>
      </c>
      <c r="BH88" s="129">
        <f>'P&amp;L - Inputs'!BP243</f>
        <v>3068407.9053024724</v>
      </c>
      <c r="BI88" s="129">
        <f>'P&amp;L - Inputs'!BQ243</f>
        <v>3434601.8202034058</v>
      </c>
      <c r="BJ88" s="129">
        <f>'P&amp;L - Inputs'!BR243</f>
        <v>2612234.7805886399</v>
      </c>
      <c r="BK88" s="129">
        <f>'P&amp;L - Inputs'!BS243</f>
        <v>2608919.5679307701</v>
      </c>
      <c r="BL88" s="129">
        <f>'P&amp;L - Inputs'!BT243</f>
        <v>2246418.7469317396</v>
      </c>
      <c r="BM88" s="129">
        <f>'P&amp;L - Inputs'!BU243</f>
        <v>2136964.9230026691</v>
      </c>
      <c r="BN88" s="129">
        <f>'P&amp;L - Inputs'!BV243</f>
        <v>1834152.8441221269</v>
      </c>
      <c r="BO88" s="129">
        <f>'P&amp;L - Inputs'!BW243</f>
        <v>2198272.1512224623</v>
      </c>
      <c r="BP88" s="129">
        <f>'P&amp;L - Inputs'!BX243</f>
        <v>2406501.424273747</v>
      </c>
      <c r="BQ88" s="129">
        <f>'P&amp;L - Inputs'!BY243</f>
        <v>2533847.7859668895</v>
      </c>
      <c r="BR88" s="129">
        <f>'P&amp;L - Inputs'!BZ243</f>
        <v>2613834.8727828166</v>
      </c>
      <c r="BS88" s="129">
        <f>'P&amp;L - Inputs'!CA243</f>
        <v>2843130.5115795624</v>
      </c>
      <c r="BT88" s="129">
        <f>'P&amp;L - Inputs'!CB243</f>
        <v>2541501.3506709766</v>
      </c>
      <c r="BU88" s="129">
        <f>'P&amp;L - Inputs'!CC243</f>
        <v>2268982.3143141023</v>
      </c>
      <c r="BV88" s="129">
        <f>'P&amp;L - Inputs'!CD243</f>
        <v>2589577.6755605452</v>
      </c>
      <c r="BW88" s="129">
        <f>'P&amp;L - Inputs'!CE243</f>
        <v>2674753.8227745765</v>
      </c>
      <c r="BX88" s="129">
        <f>'P&amp;L - Inputs'!CF243</f>
        <v>2644398.9575792425</v>
      </c>
      <c r="BY88" s="129">
        <f>'P&amp;L - Inputs'!CG243</f>
        <v>2886410.9966640742</v>
      </c>
      <c r="BZ88" s="129">
        <f>'P&amp;L - Inputs'!CH243</f>
        <v>2938380.819976768</v>
      </c>
      <c r="CA88" s="129">
        <f>'P&amp;L - Inputs'!CI243</f>
        <v>2760714.8516978077</v>
      </c>
      <c r="CB88" s="129">
        <f>'P&amp;L - Inputs'!CJ243</f>
        <v>3034225.4631983824</v>
      </c>
      <c r="CC88" s="129">
        <f>'P&amp;L - Inputs'!CK243</f>
        <v>3531875.8095636084</v>
      </c>
      <c r="CD88" s="129">
        <f>'P&amp;L - Inputs'!CL243</f>
        <v>3907048.0811027349</v>
      </c>
      <c r="CE88" s="129">
        <f>'P&amp;L - Inputs'!CM243</f>
        <v>4315523.0835891524</v>
      </c>
      <c r="CF88" s="129">
        <f>'P&amp;L - Inputs'!CN243</f>
        <v>4219898.3779057097</v>
      </c>
      <c r="CG88" s="129">
        <f>'P&amp;L - Inputs'!CO243</f>
        <v>4428637.9494896336</v>
      </c>
      <c r="CH88" s="129">
        <f>'P&amp;L - Inputs'!CP243</f>
        <v>4055199.3330313554</v>
      </c>
      <c r="CI88" s="129">
        <f>'P&amp;L - Inputs'!CQ243</f>
        <v>4309146.3037603898</v>
      </c>
      <c r="CJ88" s="129">
        <f>'P&amp;L - Inputs'!CR243</f>
        <v>3913899.1750564701</v>
      </c>
      <c r="CK88" s="129">
        <f>'P&amp;L - Inputs'!CS243</f>
        <v>3891328.6038267845</v>
      </c>
      <c r="CL88" s="129">
        <f>'P&amp;L - Inputs'!CT243</f>
        <v>3689919.8015985824</v>
      </c>
      <c r="CM88" s="129">
        <f>'P&amp;L - Inputs'!CU243</f>
        <v>3727474.5409222892</v>
      </c>
      <c r="CN88" s="129">
        <f>'P&amp;L - Inputs'!CV243</f>
        <v>3724807.9322129139</v>
      </c>
      <c r="CO88" s="129">
        <f>'P&amp;L - Inputs'!CW243</f>
        <v>3781028.9325022511</v>
      </c>
      <c r="CP88" s="129">
        <f>'P&amp;L - Inputs'!CX243</f>
        <v>3562811.4531183415</v>
      </c>
      <c r="CQ88" s="129">
        <f>'P&amp;L - Inputs'!CY243</f>
        <v>3897470.8461449882</v>
      </c>
      <c r="CR88" s="129">
        <f>'P&amp;L - Inputs'!CZ243</f>
        <v>3789695.4108077218</v>
      </c>
      <c r="CS88" s="129">
        <f>'P&amp;L - Inputs'!DA243</f>
        <v>3798584.1065056408</v>
      </c>
      <c r="CT88" s="129">
        <f>'P&amp;L - Inputs'!DB243</f>
        <v>4662787.5457358053</v>
      </c>
      <c r="CU88" s="129">
        <f>'P&amp;L - Inputs'!DC243</f>
        <v>5024113.025856209</v>
      </c>
      <c r="CV88" s="129">
        <f>'P&amp;L - Inputs'!DD243</f>
        <v>4307239.71781905</v>
      </c>
      <c r="CW88" s="129">
        <f>'P&amp;L - Inputs'!DE243</f>
        <v>4654343.2848227834</v>
      </c>
      <c r="CX88" s="129">
        <f>'P&amp;L - Inputs'!DF243</f>
        <v>4370710.0049935225</v>
      </c>
      <c r="CY88" s="129">
        <f>'P&amp;L - Inputs'!DG243</f>
        <v>4415193.5937224543</v>
      </c>
      <c r="CZ88" s="129">
        <f>'P&amp;L - Inputs'!DH243</f>
        <v>4412034.9957061997</v>
      </c>
      <c r="DA88" s="129">
        <f>'P&amp;L - Inputs'!DI243</f>
        <v>4478628.7705489192</v>
      </c>
      <c r="DB88" s="129">
        <f>'P&amp;L - Inputs'!DJ243</f>
        <v>4220150.1662186785</v>
      </c>
      <c r="DC88" s="129">
        <f>'P&amp;L - Inputs'!DK243</f>
        <v>4616554.2172587421</v>
      </c>
      <c r="DD88" s="129">
        <f>'P&amp;L - Inputs'!DL243</f>
        <v>4488894.2141017504</v>
      </c>
      <c r="DE88" s="129">
        <f>'P&amp;L - Inputs'!DM243</f>
        <v>4499422.8741559358</v>
      </c>
      <c r="DF88" s="129">
        <f>'P&amp;L - Inputs'!DN243</f>
        <v>5523071.8479240667</v>
      </c>
      <c r="DG88" s="129">
        <f>'P&amp;L - Inputs'!DO243</f>
        <v>5951061.8791266857</v>
      </c>
      <c r="DH88" s="129">
        <f>'P&amp;L - Inputs'!DP243</f>
        <v>5101925.4457566692</v>
      </c>
      <c r="DI88" s="129">
        <f>'P&amp;L - Inputs'!DQ243</f>
        <v>5513069.6208725907</v>
      </c>
      <c r="DJ88" s="129">
        <f>'P&amp;L - Inputs'!DR243</f>
        <v>5177106.0009148298</v>
      </c>
      <c r="DK88" s="129">
        <f>'P&amp;L - Inputs'!DS243</f>
        <v>5229796.8117642496</v>
      </c>
      <c r="DL88" s="129">
        <f>'P&amp;L - Inputs'!DT243</f>
        <v>5226055.4524139948</v>
      </c>
      <c r="DM88" s="129">
        <f>'P&amp;L - Inputs'!DU243</f>
        <v>5304935.778715197</v>
      </c>
      <c r="DN88" s="129">
        <f>'P&amp;L - Inputs'!DV243</f>
        <v>4998767.871886027</v>
      </c>
      <c r="DO88" s="129">
        <f>'P&amp;L - Inputs'!DW243</f>
        <v>5468308.4703429816</v>
      </c>
      <c r="DP88" s="129">
        <f>'P&amp;L - Inputs'!DX243</f>
        <v>5317095.1966035236</v>
      </c>
      <c r="DQ88" s="129">
        <f>'P&amp;L - Inputs'!DY243</f>
        <v>5329566.3944377052</v>
      </c>
      <c r="DR88" s="129">
        <f>'P&amp;L - Inputs'!DZ243</f>
        <v>6542078.6038660565</v>
      </c>
      <c r="DS88" s="129">
        <f>'P&amp;L - Inputs'!EA243</f>
        <v>7049032.7958255569</v>
      </c>
      <c r="DT88" s="129">
        <f>'P&amp;L - Inputs'!EB243</f>
        <v>6043230.690498773</v>
      </c>
      <c r="DU88" s="129">
        <f>'P&amp;L - Inputs'!EC243</f>
        <v>6530230.9659235831</v>
      </c>
      <c r="DW88" s="129">
        <f t="shared" si="272"/>
        <v>7046907.2172395671</v>
      </c>
      <c r="DX88" s="663">
        <f t="shared" si="273"/>
        <v>7143997.1478963653</v>
      </c>
      <c r="DY88" s="129">
        <f t="shared" si="274"/>
        <v>9115244.506094519</v>
      </c>
      <c r="DZ88" s="129">
        <f t="shared" si="275"/>
        <v>6992303.2378651798</v>
      </c>
      <c r="EA88" s="129">
        <f t="shared" si="276"/>
        <v>6438926.4196183365</v>
      </c>
      <c r="EB88" s="129">
        <f t="shared" si="277"/>
        <v>7990813.170329269</v>
      </c>
      <c r="EC88" s="129">
        <f t="shared" si="278"/>
        <v>7400061.3405456245</v>
      </c>
      <c r="ED88" s="129">
        <f t="shared" si="279"/>
        <v>8205563.7770178933</v>
      </c>
      <c r="EE88" s="129">
        <f t="shared" si="280"/>
        <v>8733321.1348729581</v>
      </c>
      <c r="EF88" s="129">
        <f t="shared" si="281"/>
        <v>11754446.974255495</v>
      </c>
      <c r="EG88" s="129">
        <f t="shared" si="282"/>
        <v>12703735.660426699</v>
      </c>
      <c r="EH88" s="129">
        <f t="shared" si="283"/>
        <v>12114374.082643643</v>
      </c>
      <c r="EI88" s="129">
        <f t="shared" si="284"/>
        <v>11142202.274733786</v>
      </c>
      <c r="EJ88" s="129">
        <f t="shared" si="285"/>
        <v>11241311.231765579</v>
      </c>
      <c r="EK88" s="129">
        <f t="shared" si="286"/>
        <v>12251067.063049167</v>
      </c>
      <c r="EL88" s="129">
        <f t="shared" si="287"/>
        <v>13985696.028498042</v>
      </c>
      <c r="EM88" s="129">
        <f t="shared" si="288"/>
        <v>13197938.594422176</v>
      </c>
      <c r="EN88" s="129">
        <f t="shared" si="289"/>
        <v>13315333.154026339</v>
      </c>
      <c r="EO88" s="644">
        <f t="shared" si="290"/>
        <v>14511388.936181752</v>
      </c>
      <c r="EP88" s="129">
        <f t="shared" si="291"/>
        <v>16566056.945755946</v>
      </c>
      <c r="EQ88" s="129">
        <f t="shared" si="292"/>
        <v>15632958.265093073</v>
      </c>
      <c r="ER88" s="129">
        <f t="shared" si="293"/>
        <v>15772012.120944206</v>
      </c>
      <c r="ES88" s="129">
        <f t="shared" si="294"/>
        <v>17188740.194907285</v>
      </c>
      <c r="ET88" s="129">
        <f t="shared" si="295"/>
        <v>19622494.45224791</v>
      </c>
      <c r="EV88" s="129">
        <f t="shared" si="297"/>
        <v>30298452.109095633</v>
      </c>
      <c r="EW88" s="129">
        <f t="shared" si="298"/>
        <v>30035364.70751112</v>
      </c>
      <c r="EX88" s="129">
        <f t="shared" si="299"/>
        <v>45305877.852198794</v>
      </c>
      <c r="EY88" s="129">
        <f t="shared" si="300"/>
        <v>48620276.598046571</v>
      </c>
      <c r="EZ88" s="129">
        <f t="shared" si="301"/>
        <v>57590717.630386211</v>
      </c>
      <c r="FA88" s="663">
        <f t="shared" si="302"/>
        <v>68216205.033192486</v>
      </c>
    </row>
    <row r="89" spans="2:157" x14ac:dyDescent="0.2">
      <c r="B89" s="114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29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  <c r="DK89" s="129"/>
      <c r="DL89" s="129"/>
      <c r="DM89" s="129"/>
      <c r="DN89" s="129"/>
      <c r="DO89" s="129"/>
      <c r="DP89" s="129"/>
      <c r="DQ89" s="129"/>
      <c r="DR89" s="129"/>
      <c r="DS89" s="129"/>
      <c r="DT89" s="129"/>
      <c r="DU89" s="129"/>
      <c r="DW89" s="129">
        <f t="shared" si="272"/>
        <v>0</v>
      </c>
      <c r="DX89" s="663">
        <f t="shared" si="273"/>
        <v>0</v>
      </c>
      <c r="DY89" s="129">
        <f t="shared" si="274"/>
        <v>0</v>
      </c>
      <c r="DZ89" s="129">
        <f t="shared" si="275"/>
        <v>0</v>
      </c>
      <c r="EA89" s="129">
        <f t="shared" si="276"/>
        <v>0</v>
      </c>
      <c r="EB89" s="129">
        <f t="shared" si="277"/>
        <v>0</v>
      </c>
      <c r="EC89" s="129">
        <f t="shared" si="278"/>
        <v>0</v>
      </c>
      <c r="ED89" s="129">
        <f t="shared" si="279"/>
        <v>0</v>
      </c>
      <c r="EE89" s="129">
        <f t="shared" si="280"/>
        <v>0</v>
      </c>
      <c r="EF89" s="129">
        <f t="shared" si="281"/>
        <v>0</v>
      </c>
      <c r="EG89" s="129">
        <f t="shared" si="282"/>
        <v>0</v>
      </c>
      <c r="EH89" s="129">
        <f t="shared" si="283"/>
        <v>0</v>
      </c>
      <c r="EI89" s="129">
        <f t="shared" si="284"/>
        <v>0</v>
      </c>
      <c r="EJ89" s="129">
        <f t="shared" si="285"/>
        <v>0</v>
      </c>
      <c r="EK89" s="129">
        <f t="shared" si="286"/>
        <v>0</v>
      </c>
      <c r="EL89" s="129">
        <f t="shared" si="287"/>
        <v>0</v>
      </c>
      <c r="EM89" s="129">
        <f t="shared" si="288"/>
        <v>0</v>
      </c>
      <c r="EN89" s="129">
        <f t="shared" si="289"/>
        <v>0</v>
      </c>
      <c r="EO89" s="644">
        <f t="shared" si="290"/>
        <v>0</v>
      </c>
      <c r="EP89" s="129">
        <f t="shared" si="291"/>
        <v>0</v>
      </c>
      <c r="EQ89" s="129">
        <f t="shared" si="292"/>
        <v>0</v>
      </c>
      <c r="ER89" s="129">
        <f t="shared" si="293"/>
        <v>0</v>
      </c>
      <c r="ES89" s="129">
        <f t="shared" si="294"/>
        <v>0</v>
      </c>
      <c r="ET89" s="129">
        <f t="shared" si="295"/>
        <v>0</v>
      </c>
      <c r="EV89" s="129">
        <f t="shared" si="297"/>
        <v>0</v>
      </c>
      <c r="EW89" s="129">
        <f t="shared" si="298"/>
        <v>0</v>
      </c>
      <c r="EX89" s="129">
        <f t="shared" si="299"/>
        <v>0</v>
      </c>
      <c r="EY89" s="129">
        <f t="shared" si="300"/>
        <v>0</v>
      </c>
      <c r="EZ89" s="129">
        <f t="shared" si="301"/>
        <v>0</v>
      </c>
      <c r="FA89" s="663">
        <f t="shared" si="302"/>
        <v>0</v>
      </c>
    </row>
    <row r="90" spans="2:157" x14ac:dyDescent="0.2">
      <c r="B90" s="114" t="s">
        <v>133</v>
      </c>
      <c r="C90" s="129">
        <f>'P&amp;L - Inputs'!K245</f>
        <v>394535.4147843942</v>
      </c>
      <c r="D90" s="129">
        <f>'P&amp;L - Inputs'!L245</f>
        <v>2433846.05034965</v>
      </c>
      <c r="E90" s="129">
        <f>'P&amp;L - Inputs'!M245</f>
        <v>13810592.014258556</v>
      </c>
      <c r="F90" s="129">
        <f>'P&amp;L - Inputs'!N245</f>
        <v>20105459.368441757</v>
      </c>
      <c r="G90" s="129">
        <f>'P&amp;L - Inputs'!O245</f>
        <v>22948226.186251927</v>
      </c>
      <c r="H90" s="129">
        <f>'P&amp;L - Inputs'!P245</f>
        <v>15162121.254467007</v>
      </c>
      <c r="I90" s="129">
        <f>'P&amp;L - Inputs'!Q245</f>
        <v>31199346.387183223</v>
      </c>
      <c r="J90" s="129">
        <f>'P&amp;L - Inputs'!R245</f>
        <v>19865598.599548992</v>
      </c>
      <c r="K90" s="129">
        <f>'P&amp;L - Inputs'!S245</f>
        <v>32481897.22558156</v>
      </c>
      <c r="L90" s="129">
        <f>'P&amp;L - Inputs'!T245</f>
        <v>25569304.416226413</v>
      </c>
      <c r="M90" s="129">
        <f>'P&amp;L - Inputs'!U245</f>
        <v>7979457.6289513912</v>
      </c>
      <c r="N90" s="129">
        <f>'P&amp;L - Inputs'!V245</f>
        <v>13491163.43700527</v>
      </c>
      <c r="O90" s="129">
        <f>'P&amp;L - Inputs'!W245</f>
        <v>21473283.635944605</v>
      </c>
      <c r="P90" s="129">
        <f>'P&amp;L - Inputs'!X245</f>
        <v>1562133.4356053874</v>
      </c>
      <c r="Q90" s="129">
        <f>'P&amp;L - Inputs'!Y245</f>
        <v>12898410.516812328</v>
      </c>
      <c r="R90" s="129">
        <f>'P&amp;L - Inputs'!Z245</f>
        <v>-2216959.5399999996</v>
      </c>
      <c r="S90" s="129">
        <f>'P&amp;L - Inputs'!AA245</f>
        <v>16003985.805594876</v>
      </c>
      <c r="T90" s="129">
        <f>'P&amp;L - Inputs'!AB245</f>
        <v>8587914.5127351154</v>
      </c>
      <c r="U90" s="129">
        <f>'P&amp;L - Inputs'!AC245</f>
        <v>4209942.9664314771</v>
      </c>
      <c r="V90" s="129">
        <f>'P&amp;L - Inputs'!AD245</f>
        <v>4924201.3500906713</v>
      </c>
      <c r="W90" s="129">
        <f>'P&amp;L - Inputs'!AE245</f>
        <v>6821122.9728965666</v>
      </c>
      <c r="X90" s="129">
        <f>'P&amp;L - Inputs'!AF245</f>
        <v>13986114.423587931</v>
      </c>
      <c r="Y90" s="129">
        <f>'P&amp;L - Inputs'!AG245</f>
        <v>12582259.849593852</v>
      </c>
      <c r="Z90" s="129">
        <f>'P&amp;L - Inputs'!AH245</f>
        <v>15668319.022134239</v>
      </c>
      <c r="AA90" s="129">
        <f>'P&amp;L - Inputs'!AI245</f>
        <v>21043209.546385061</v>
      </c>
      <c r="AB90" s="129">
        <f>'P&amp;L - Inputs'!AJ245</f>
        <v>11223985.102229355</v>
      </c>
      <c r="AC90" s="129">
        <f>'P&amp;L - Inputs'!AK245</f>
        <v>15105492.258439461</v>
      </c>
      <c r="AD90" s="129">
        <f>'P&amp;L - Inputs'!AL245</f>
        <v>12026208.493318053</v>
      </c>
      <c r="AE90" s="129">
        <f>'P&amp;L - Inputs'!AM245</f>
        <v>7103919.1764913024</v>
      </c>
      <c r="AF90" s="129">
        <f>'P&amp;L - Inputs'!AN245</f>
        <v>11167740.056722684</v>
      </c>
      <c r="AG90" s="129">
        <f>'P&amp;L - Inputs'!AO245</f>
        <v>8219168.0681908587</v>
      </c>
      <c r="AH90" s="129">
        <f>'P&amp;L - Inputs'!AP245</f>
        <v>3713532.8562039058</v>
      </c>
      <c r="AI90" s="129">
        <f>'P&amp;L - Inputs'!AQ245</f>
        <v>4507213.4218681091</v>
      </c>
      <c r="AJ90" s="129">
        <f>'P&amp;L - Inputs'!AR245</f>
        <v>8485494.9459672179</v>
      </c>
      <c r="AK90" s="129">
        <f>'P&amp;L - Inputs'!AS245</f>
        <v>17272771.042116929</v>
      </c>
      <c r="AL90" s="129">
        <f>'P&amp;L - Inputs'!AT245</f>
        <v>20611702.217654198</v>
      </c>
      <c r="AM90" s="129">
        <f>'P&amp;L - Inputs'!AU245</f>
        <v>18955050.23497019</v>
      </c>
      <c r="AN90" s="129">
        <f>'P&amp;L - Inputs'!AV245</f>
        <v>12885038.512909986</v>
      </c>
      <c r="AO90" s="129">
        <f>'P&amp;L - Inputs'!AW245</f>
        <v>3581257.4336635377</v>
      </c>
      <c r="AP90" s="129">
        <f>'P&amp;L - Inputs'!AX245</f>
        <v>2452292.7179579837</v>
      </c>
      <c r="AQ90" s="129">
        <f>'P&amp;L - Inputs'!AY245</f>
        <v>6259473.5602494748</v>
      </c>
      <c r="AR90" s="129">
        <f>'P&amp;L - Inputs'!AZ245</f>
        <v>3283703.2251476264</v>
      </c>
      <c r="AS90" s="129">
        <f>'P&amp;L - Inputs'!BA245</f>
        <v>6518917.833209442</v>
      </c>
      <c r="AT90" s="129">
        <f>'P&amp;L - Inputs'!BB245</f>
        <v>5130749.356841444</v>
      </c>
      <c r="AU90" s="129">
        <f>'P&amp;L - Inputs'!BC245</f>
        <v>12476223.416888759</v>
      </c>
      <c r="AV90" s="129">
        <f>'P&amp;L - Inputs'!BD245</f>
        <v>15303075.731124027</v>
      </c>
      <c r="AW90" s="129">
        <f>'P&amp;L - Inputs'!BE245</f>
        <v>16105303.093793193</v>
      </c>
      <c r="AX90" s="129">
        <f>'P&amp;L - Inputs'!BF245</f>
        <v>10782072.840403292</v>
      </c>
      <c r="AY90" s="129">
        <f>'P&amp;L - Inputs'!BG245</f>
        <v>9359915.8751542382</v>
      </c>
      <c r="AZ90" s="129">
        <f>'P&amp;L - Inputs'!BH245</f>
        <v>16556090.351309076</v>
      </c>
      <c r="BA90" s="129">
        <f>'P&amp;L - Inputs'!BI245</f>
        <v>21933781.072257262</v>
      </c>
      <c r="BB90" s="129">
        <f>'P&amp;L - Inputs'!BJ245</f>
        <v>14100459.658718616</v>
      </c>
      <c r="BC90" s="129">
        <f>'P&amp;L - Inputs'!BK245</f>
        <v>-1589052.546440678</v>
      </c>
      <c r="BD90" s="129">
        <f>'P&amp;L - Inputs'!BL245</f>
        <v>-164904.75254237288</v>
      </c>
      <c r="BE90" s="129">
        <f>'P&amp;L - Inputs'!BM245</f>
        <v>0</v>
      </c>
      <c r="BF90" s="129">
        <f>'P&amp;L - Inputs'!BN245</f>
        <v>0</v>
      </c>
      <c r="BG90" s="129">
        <f>'P&amp;L - Inputs'!BO245</f>
        <v>0</v>
      </c>
      <c r="BH90" s="129">
        <f>'P&amp;L - Inputs'!BP245</f>
        <v>0</v>
      </c>
      <c r="BI90" s="129">
        <f>'P&amp;L - Inputs'!BQ245</f>
        <v>0</v>
      </c>
      <c r="BJ90" s="129">
        <f>'P&amp;L - Inputs'!BR245</f>
        <v>0</v>
      </c>
      <c r="BK90" s="129">
        <f>'P&amp;L - Inputs'!BS245</f>
        <v>0</v>
      </c>
      <c r="BL90" s="129">
        <f>'P&amp;L - Inputs'!BT245</f>
        <v>0</v>
      </c>
      <c r="BM90" s="129">
        <f>'P&amp;L - Inputs'!BU245</f>
        <v>0</v>
      </c>
      <c r="BN90" s="129">
        <f>'P&amp;L - Inputs'!BV245</f>
        <v>0</v>
      </c>
      <c r="BO90" s="129">
        <f>'P&amp;L - Inputs'!BW245</f>
        <v>0</v>
      </c>
      <c r="BP90" s="129">
        <f>'P&amp;L - Inputs'!BX245</f>
        <v>0</v>
      </c>
      <c r="BQ90" s="129">
        <f>'P&amp;L - Inputs'!BY245</f>
        <v>0</v>
      </c>
      <c r="BR90" s="129">
        <f>'P&amp;L - Inputs'!BZ245</f>
        <v>0</v>
      </c>
      <c r="BS90" s="129">
        <f>'P&amp;L - Inputs'!CA245</f>
        <v>0</v>
      </c>
      <c r="BT90" s="129">
        <f>'P&amp;L - Inputs'!CB245</f>
        <v>0</v>
      </c>
      <c r="BU90" s="129">
        <f>'P&amp;L - Inputs'!CC245</f>
        <v>0</v>
      </c>
      <c r="BV90" s="129">
        <f>'P&amp;L - Inputs'!CD245</f>
        <v>0</v>
      </c>
      <c r="BW90" s="129">
        <f>'P&amp;L - Inputs'!CE245</f>
        <v>0</v>
      </c>
      <c r="BX90" s="129">
        <f>'P&amp;L - Inputs'!CF245</f>
        <v>0</v>
      </c>
      <c r="BY90" s="129">
        <f>'P&amp;L - Inputs'!CG245</f>
        <v>0</v>
      </c>
      <c r="BZ90" s="129">
        <f>'P&amp;L - Inputs'!CH245</f>
        <v>0</v>
      </c>
      <c r="CA90" s="129">
        <f>'P&amp;L - Inputs'!CI245</f>
        <v>0</v>
      </c>
      <c r="CB90" s="129">
        <f>'P&amp;L - Inputs'!CJ245</f>
        <v>0</v>
      </c>
      <c r="CC90" s="129">
        <f>'P&amp;L - Inputs'!CK245</f>
        <v>0</v>
      </c>
      <c r="CD90" s="129">
        <f>'P&amp;L - Inputs'!CL245</f>
        <v>0</v>
      </c>
      <c r="CE90" s="129">
        <f>'P&amp;L - Inputs'!CM245</f>
        <v>0</v>
      </c>
      <c r="CF90" s="129">
        <f>'P&amp;L - Inputs'!CN245</f>
        <v>0</v>
      </c>
      <c r="CG90" s="129">
        <f>'P&amp;L - Inputs'!CO245</f>
        <v>0</v>
      </c>
      <c r="CH90" s="129">
        <f>'P&amp;L - Inputs'!CP245</f>
        <v>0</v>
      </c>
      <c r="CI90" s="129">
        <f>'P&amp;L - Inputs'!CQ245</f>
        <v>0</v>
      </c>
      <c r="CJ90" s="129">
        <f>'P&amp;L - Inputs'!CR245</f>
        <v>0</v>
      </c>
      <c r="CK90" s="129">
        <f>'P&amp;L - Inputs'!CS245</f>
        <v>0</v>
      </c>
      <c r="CL90" s="129">
        <f>'P&amp;L - Inputs'!CT245</f>
        <v>0</v>
      </c>
      <c r="CM90" s="129">
        <f>'P&amp;L - Inputs'!CU245</f>
        <v>0</v>
      </c>
      <c r="CN90" s="129">
        <f>'P&amp;L - Inputs'!CV245</f>
        <v>0</v>
      </c>
      <c r="CO90" s="129">
        <f>'P&amp;L - Inputs'!CW245</f>
        <v>0</v>
      </c>
      <c r="CP90" s="129">
        <f>'P&amp;L - Inputs'!CX245</f>
        <v>0</v>
      </c>
      <c r="CQ90" s="129">
        <f>'P&amp;L - Inputs'!CY245</f>
        <v>0</v>
      </c>
      <c r="CR90" s="129">
        <f>'P&amp;L - Inputs'!CZ245</f>
        <v>0</v>
      </c>
      <c r="CS90" s="129">
        <f>'P&amp;L - Inputs'!DA245</f>
        <v>0</v>
      </c>
      <c r="CT90" s="129">
        <f>'P&amp;L - Inputs'!DB245</f>
        <v>0</v>
      </c>
      <c r="CU90" s="129">
        <f>'P&amp;L - Inputs'!DC245</f>
        <v>0</v>
      </c>
      <c r="CV90" s="129">
        <f>'P&amp;L - Inputs'!DD245</f>
        <v>0</v>
      </c>
      <c r="CW90" s="129">
        <f>'P&amp;L - Inputs'!DE245</f>
        <v>0</v>
      </c>
      <c r="CX90" s="129">
        <f>'P&amp;L - Inputs'!DF245</f>
        <v>0</v>
      </c>
      <c r="CY90" s="129">
        <f>'P&amp;L - Inputs'!DG245</f>
        <v>0</v>
      </c>
      <c r="CZ90" s="129">
        <f>'P&amp;L - Inputs'!DH245</f>
        <v>0</v>
      </c>
      <c r="DA90" s="129">
        <f>'P&amp;L - Inputs'!DI245</f>
        <v>0</v>
      </c>
      <c r="DB90" s="129">
        <f>'P&amp;L - Inputs'!DJ245</f>
        <v>0</v>
      </c>
      <c r="DC90" s="129">
        <f>'P&amp;L - Inputs'!DK245</f>
        <v>0</v>
      </c>
      <c r="DD90" s="129">
        <f>'P&amp;L - Inputs'!DL245</f>
        <v>0</v>
      </c>
      <c r="DE90" s="129">
        <f>'P&amp;L - Inputs'!DM245</f>
        <v>0</v>
      </c>
      <c r="DF90" s="129">
        <f>'P&amp;L - Inputs'!DN245</f>
        <v>0</v>
      </c>
      <c r="DG90" s="129">
        <f>'P&amp;L - Inputs'!DO245</f>
        <v>0</v>
      </c>
      <c r="DH90" s="129">
        <f>'P&amp;L - Inputs'!DP245</f>
        <v>0</v>
      </c>
      <c r="DI90" s="129">
        <f>'P&amp;L - Inputs'!DQ245</f>
        <v>0</v>
      </c>
      <c r="DJ90" s="129">
        <f>'P&amp;L - Inputs'!DR245</f>
        <v>0</v>
      </c>
      <c r="DK90" s="129">
        <f>'P&amp;L - Inputs'!DS245</f>
        <v>0</v>
      </c>
      <c r="DL90" s="129">
        <f>'P&amp;L - Inputs'!DT245</f>
        <v>0</v>
      </c>
      <c r="DM90" s="129">
        <f>'P&amp;L - Inputs'!DU245</f>
        <v>0</v>
      </c>
      <c r="DN90" s="129">
        <f>'P&amp;L - Inputs'!DV245</f>
        <v>0</v>
      </c>
      <c r="DO90" s="129">
        <f>'P&amp;L - Inputs'!DW245</f>
        <v>0</v>
      </c>
      <c r="DP90" s="129">
        <f>'P&amp;L - Inputs'!DX245</f>
        <v>0</v>
      </c>
      <c r="DQ90" s="129">
        <f>'P&amp;L - Inputs'!DY245</f>
        <v>0</v>
      </c>
      <c r="DR90" s="129">
        <f>'P&amp;L - Inputs'!DZ245</f>
        <v>0</v>
      </c>
      <c r="DS90" s="129">
        <f>'P&amp;L - Inputs'!EA245</f>
        <v>0</v>
      </c>
      <c r="DT90" s="129">
        <f>'P&amp;L - Inputs'!EB245</f>
        <v>0</v>
      </c>
      <c r="DU90" s="129">
        <f>'P&amp;L - Inputs'!EC245</f>
        <v>0</v>
      </c>
      <c r="DW90" s="129">
        <f t="shared" si="272"/>
        <v>12346502.359735565</v>
      </c>
      <c r="DX90" s="663">
        <f t="shared" si="273"/>
        <v>0</v>
      </c>
      <c r="DY90" s="129">
        <f t="shared" si="274"/>
        <v>0</v>
      </c>
      <c r="DZ90" s="129">
        <f t="shared" si="275"/>
        <v>0</v>
      </c>
      <c r="EA90" s="129">
        <f t="shared" si="276"/>
        <v>0</v>
      </c>
      <c r="EB90" s="129">
        <f t="shared" si="277"/>
        <v>0</v>
      </c>
      <c r="EC90" s="129">
        <f t="shared" si="278"/>
        <v>0</v>
      </c>
      <c r="ED90" s="129">
        <f t="shared" si="279"/>
        <v>0</v>
      </c>
      <c r="EE90" s="129">
        <f t="shared" si="280"/>
        <v>0</v>
      </c>
      <c r="EF90" s="129">
        <f t="shared" si="281"/>
        <v>0</v>
      </c>
      <c r="EG90" s="129">
        <f t="shared" si="282"/>
        <v>0</v>
      </c>
      <c r="EH90" s="129">
        <f t="shared" si="283"/>
        <v>0</v>
      </c>
      <c r="EI90" s="129">
        <f t="shared" si="284"/>
        <v>0</v>
      </c>
      <c r="EJ90" s="129">
        <f t="shared" si="285"/>
        <v>0</v>
      </c>
      <c r="EK90" s="129">
        <f t="shared" si="286"/>
        <v>0</v>
      </c>
      <c r="EL90" s="129">
        <f t="shared" si="287"/>
        <v>0</v>
      </c>
      <c r="EM90" s="129">
        <f t="shared" si="288"/>
        <v>0</v>
      </c>
      <c r="EN90" s="129">
        <f t="shared" si="289"/>
        <v>0</v>
      </c>
      <c r="EO90" s="644">
        <f t="shared" si="290"/>
        <v>0</v>
      </c>
      <c r="EP90" s="129">
        <f t="shared" si="291"/>
        <v>0</v>
      </c>
      <c r="EQ90" s="129">
        <f t="shared" si="292"/>
        <v>0</v>
      </c>
      <c r="ER90" s="129">
        <f t="shared" si="293"/>
        <v>0</v>
      </c>
      <c r="ES90" s="129">
        <f t="shared" si="294"/>
        <v>0</v>
      </c>
      <c r="ET90" s="129">
        <f t="shared" si="295"/>
        <v>0</v>
      </c>
      <c r="EV90" s="129">
        <f t="shared" si="297"/>
        <v>12346502.359735565</v>
      </c>
      <c r="EW90" s="129">
        <f t="shared" si="298"/>
        <v>0</v>
      </c>
      <c r="EX90" s="129">
        <f t="shared" si="299"/>
        <v>0</v>
      </c>
      <c r="EY90" s="129">
        <f t="shared" si="300"/>
        <v>0</v>
      </c>
      <c r="EZ90" s="129">
        <f t="shared" si="301"/>
        <v>0</v>
      </c>
      <c r="FA90" s="663">
        <f t="shared" si="302"/>
        <v>0</v>
      </c>
    </row>
    <row r="91" spans="2:157" x14ac:dyDescent="0.2">
      <c r="B91" s="117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5"/>
      <c r="AL91" s="115"/>
      <c r="AM91" s="115"/>
      <c r="AN91" s="115"/>
      <c r="AO91" s="115"/>
      <c r="AP91" s="115"/>
      <c r="AQ91" s="115"/>
      <c r="AR91" s="115"/>
      <c r="AS91" s="115"/>
      <c r="AT91" s="115"/>
      <c r="AU91" s="115"/>
      <c r="AV91" s="115"/>
      <c r="AW91" s="115"/>
      <c r="AX91" s="115"/>
      <c r="AY91" s="115"/>
      <c r="AZ91" s="115"/>
      <c r="BA91" s="115"/>
      <c r="BB91" s="115"/>
      <c r="BC91" s="115"/>
      <c r="BD91" s="115"/>
      <c r="BE91" s="115"/>
      <c r="BF91" s="115"/>
      <c r="BG91" s="115"/>
      <c r="BH91" s="115"/>
      <c r="BI91" s="115"/>
      <c r="BJ91" s="115"/>
      <c r="BK91" s="115"/>
      <c r="BL91" s="115"/>
      <c r="BM91" s="115"/>
      <c r="BN91" s="115"/>
      <c r="BO91" s="115"/>
      <c r="BP91" s="115"/>
      <c r="BQ91" s="115"/>
      <c r="BR91" s="115"/>
      <c r="BS91" s="115"/>
      <c r="BT91" s="115"/>
      <c r="BU91" s="115"/>
      <c r="BV91" s="115"/>
      <c r="BW91" s="115"/>
      <c r="BX91" s="115"/>
      <c r="BY91" s="115"/>
      <c r="BZ91" s="115"/>
      <c r="CA91" s="115"/>
      <c r="CB91" s="115"/>
      <c r="CC91" s="115"/>
      <c r="CD91" s="115"/>
      <c r="CE91" s="115"/>
      <c r="CF91" s="115"/>
      <c r="CG91" s="115"/>
      <c r="CH91" s="115"/>
      <c r="CI91" s="115"/>
      <c r="CJ91" s="115"/>
      <c r="CK91" s="115"/>
      <c r="CL91" s="115"/>
      <c r="CM91" s="115"/>
      <c r="CN91" s="115"/>
      <c r="CO91" s="115"/>
      <c r="CP91" s="115"/>
      <c r="CQ91" s="115"/>
      <c r="CR91" s="115"/>
      <c r="CS91" s="115"/>
      <c r="CT91" s="115"/>
      <c r="CU91" s="115"/>
      <c r="CV91" s="115"/>
      <c r="CW91" s="115"/>
      <c r="CX91" s="115"/>
      <c r="CY91" s="115"/>
      <c r="CZ91" s="115"/>
      <c r="DA91" s="115"/>
      <c r="DB91" s="115"/>
      <c r="DC91" s="115"/>
      <c r="DD91" s="115"/>
      <c r="DE91" s="115"/>
      <c r="DF91" s="115"/>
      <c r="DG91" s="115"/>
      <c r="DH91" s="115"/>
      <c r="DI91" s="115"/>
      <c r="DJ91" s="115"/>
      <c r="DK91" s="115"/>
      <c r="DL91" s="115"/>
      <c r="DM91" s="115"/>
      <c r="DN91" s="115"/>
      <c r="DO91" s="115"/>
      <c r="DP91" s="115"/>
      <c r="DQ91" s="115"/>
      <c r="DR91" s="115"/>
      <c r="DS91" s="115"/>
      <c r="DT91" s="115"/>
      <c r="DU91" s="115"/>
      <c r="DW91" s="115"/>
      <c r="DX91" s="664"/>
      <c r="DY91" s="115"/>
      <c r="DZ91" s="115"/>
      <c r="EA91" s="115"/>
      <c r="EB91" s="115"/>
      <c r="EC91" s="115"/>
      <c r="ED91" s="115"/>
      <c r="EE91" s="115"/>
      <c r="EF91" s="115"/>
      <c r="EG91" s="115"/>
      <c r="EH91" s="115"/>
      <c r="EI91" s="115"/>
      <c r="EJ91" s="115"/>
      <c r="EK91" s="115"/>
      <c r="EL91" s="115"/>
      <c r="EM91" s="115"/>
      <c r="EN91" s="115"/>
      <c r="EO91" s="645"/>
      <c r="EP91" s="115"/>
      <c r="EQ91" s="115"/>
      <c r="ER91" s="115"/>
      <c r="ES91" s="115"/>
      <c r="ET91" s="115"/>
      <c r="EV91" s="115"/>
      <c r="EW91" s="115"/>
      <c r="EX91" s="115"/>
      <c r="EY91" s="115"/>
      <c r="EZ91" s="115"/>
      <c r="FA91" s="664"/>
    </row>
    <row r="92" spans="2:157" x14ac:dyDescent="0.2">
      <c r="B92" s="186" t="s">
        <v>28</v>
      </c>
      <c r="C92" s="187">
        <f>C57-C69-C72-C73-C74-C75-C76</f>
        <v>165098.29531827514</v>
      </c>
      <c r="D92" s="187">
        <f t="shared" ref="D92:BO92" si="303">D57-D69-D72-D73-D74-D75-D76</f>
        <v>1094941.7027972026</v>
      </c>
      <c r="E92" s="187">
        <f t="shared" si="303"/>
        <v>5647575.4144676821</v>
      </c>
      <c r="F92" s="187">
        <f t="shared" si="303"/>
        <v>5250506.6020196686</v>
      </c>
      <c r="G92" s="187">
        <f t="shared" si="303"/>
        <v>4991638.4919798886</v>
      </c>
      <c r="H92" s="187">
        <f t="shared" si="303"/>
        <v>3002880.2186744688</v>
      </c>
      <c r="I92" s="187">
        <f t="shared" si="303"/>
        <v>6663909.5369017925</v>
      </c>
      <c r="J92" s="187">
        <f t="shared" si="303"/>
        <v>5264902.2591015389</v>
      </c>
      <c r="K92" s="187">
        <f t="shared" si="303"/>
        <v>4075311.9235534593</v>
      </c>
      <c r="L92" s="187">
        <f t="shared" si="303"/>
        <v>6721630.3669014107</v>
      </c>
      <c r="M92" s="187">
        <f t="shared" si="303"/>
        <v>1376786.0732541974</v>
      </c>
      <c r="N92" s="187">
        <f t="shared" si="303"/>
        <v>3537533.5656109918</v>
      </c>
      <c r="O92" s="187">
        <f t="shared" si="303"/>
        <v>2068979.4000394032</v>
      </c>
      <c r="P92" s="187">
        <f t="shared" si="303"/>
        <v>-333705.66148975614</v>
      </c>
      <c r="Q92" s="187">
        <f t="shared" si="303"/>
        <v>1151043.0536951367</v>
      </c>
      <c r="R92" s="187">
        <f t="shared" si="303"/>
        <v>-964545.2076271195</v>
      </c>
      <c r="S92" s="187">
        <f t="shared" si="303"/>
        <v>2846407.2844335618</v>
      </c>
      <c r="T92" s="187">
        <f t="shared" si="303"/>
        <v>3528399.4219383989</v>
      </c>
      <c r="U92" s="187">
        <f t="shared" si="303"/>
        <v>3955432.3522678735</v>
      </c>
      <c r="V92" s="187">
        <f t="shared" si="303"/>
        <v>2888015.6267104768</v>
      </c>
      <c r="W92" s="187">
        <f t="shared" si="303"/>
        <v>2952340.0592509331</v>
      </c>
      <c r="X92" s="187">
        <f t="shared" si="303"/>
        <v>4212229.0225126054</v>
      </c>
      <c r="Y92" s="187">
        <f t="shared" si="303"/>
        <v>3104408.2989268391</v>
      </c>
      <c r="Z92" s="187">
        <f t="shared" si="303"/>
        <v>5387619.3636879558</v>
      </c>
      <c r="AA92" s="187">
        <f t="shared" si="303"/>
        <v>6829352.5863947403</v>
      </c>
      <c r="AB92" s="187">
        <f t="shared" si="303"/>
        <v>5013328.3168117013</v>
      </c>
      <c r="AC92" s="187">
        <f t="shared" si="303"/>
        <v>5365695.6985419132</v>
      </c>
      <c r="AD92" s="187">
        <f t="shared" si="303"/>
        <v>4263024.0647098804</v>
      </c>
      <c r="AE92" s="187">
        <f t="shared" si="303"/>
        <v>2435624.6461729654</v>
      </c>
      <c r="AF92" s="187">
        <f t="shared" si="303"/>
        <v>3164529.5399701083</v>
      </c>
      <c r="AG92" s="187">
        <f t="shared" si="303"/>
        <v>3370649.932700878</v>
      </c>
      <c r="AH92" s="187">
        <f t="shared" si="303"/>
        <v>1983428.616581206</v>
      </c>
      <c r="AI92" s="187">
        <f t="shared" si="303"/>
        <v>2839400.31267926</v>
      </c>
      <c r="AJ92" s="187">
        <f t="shared" si="303"/>
        <v>4235447.3547182912</v>
      </c>
      <c r="AK92" s="187">
        <f t="shared" si="303"/>
        <v>8889255.2909030952</v>
      </c>
      <c r="AL92" s="187">
        <f t="shared" si="303"/>
        <v>9905480.6180152334</v>
      </c>
      <c r="AM92" s="187">
        <f t="shared" si="303"/>
        <v>10970946.715826439</v>
      </c>
      <c r="AN92" s="187">
        <f t="shared" si="303"/>
        <v>10343901.440708889</v>
      </c>
      <c r="AO92" s="187">
        <f t="shared" si="303"/>
        <v>4677594.4898556052</v>
      </c>
      <c r="AP92" s="187">
        <f t="shared" si="303"/>
        <v>4360916.3032384142</v>
      </c>
      <c r="AQ92" s="187">
        <f t="shared" si="303"/>
        <v>5498464.3115541358</v>
      </c>
      <c r="AR92" s="187">
        <f t="shared" si="303"/>
        <v>7308509.607706544</v>
      </c>
      <c r="AS92" s="187">
        <f t="shared" si="303"/>
        <v>6137623.3639546083</v>
      </c>
      <c r="AT92" s="187">
        <f t="shared" si="303"/>
        <v>4652104.4379388839</v>
      </c>
      <c r="AU92" s="187">
        <f t="shared" si="303"/>
        <v>7227564.500520627</v>
      </c>
      <c r="AV92" s="187">
        <f t="shared" si="303"/>
        <v>12883100.557997916</v>
      </c>
      <c r="AW92" s="187">
        <f t="shared" si="303"/>
        <v>11413467.736715695</v>
      </c>
      <c r="AX92" s="187">
        <f t="shared" si="303"/>
        <v>9356878.4929823484</v>
      </c>
      <c r="AY92" s="187">
        <f t="shared" si="303"/>
        <v>11183634.816984819</v>
      </c>
      <c r="AZ92" s="187">
        <f t="shared" si="303"/>
        <v>16447420.663173372</v>
      </c>
      <c r="BA92" s="187">
        <f t="shared" si="303"/>
        <v>26039969.963667296</v>
      </c>
      <c r="BB92" s="187">
        <f t="shared" si="303"/>
        <v>24589354.366611335</v>
      </c>
      <c r="BC92" s="187">
        <f t="shared" si="303"/>
        <v>24362727.823253065</v>
      </c>
      <c r="BD92" s="187">
        <f t="shared" si="303"/>
        <v>31549861.26657927</v>
      </c>
      <c r="BE92" s="187">
        <f t="shared" si="303"/>
        <v>21846790.545924719</v>
      </c>
      <c r="BF92" s="187">
        <f t="shared" si="303"/>
        <v>27468637.262703501</v>
      </c>
      <c r="BG92" s="187">
        <f t="shared" si="303"/>
        <v>22789506.183174476</v>
      </c>
      <c r="BH92" s="187">
        <f t="shared" si="303"/>
        <v>40214609.865467981</v>
      </c>
      <c r="BI92" s="187">
        <f t="shared" si="303"/>
        <v>36204005.562761642</v>
      </c>
      <c r="BJ92" s="187">
        <f t="shared" si="303"/>
        <v>36183299.906553991</v>
      </c>
      <c r="BK92" s="187">
        <f t="shared" si="303"/>
        <v>39429549.408543684</v>
      </c>
      <c r="BL92" s="187">
        <f t="shared" si="303"/>
        <v>34824144.382871129</v>
      </c>
      <c r="BM92" s="187">
        <f t="shared" si="303"/>
        <v>45506271.661984481</v>
      </c>
      <c r="BN92" s="187">
        <f t="shared" si="303"/>
        <v>41227520.48855906</v>
      </c>
      <c r="BO92" s="187">
        <f t="shared" si="303"/>
        <v>44243076.05605983</v>
      </c>
      <c r="BP92" s="187">
        <f t="shared" ref="BP92:DI92" si="304">BP57-BP69-BP72-BP73-BP74-BP75-BP76</f>
        <v>50577292.220090784</v>
      </c>
      <c r="BQ92" s="187">
        <f t="shared" si="304"/>
        <v>49433007.431427233</v>
      </c>
      <c r="BR92" s="187">
        <f t="shared" si="304"/>
        <v>46937296.607509963</v>
      </c>
      <c r="BS92" s="187">
        <f t="shared" si="304"/>
        <v>48097614.059657767</v>
      </c>
      <c r="BT92" s="187">
        <f t="shared" si="304"/>
        <v>53221990.320882432</v>
      </c>
      <c r="BU92" s="187">
        <f t="shared" si="304"/>
        <v>47219249.962493934</v>
      </c>
      <c r="BV92" s="187">
        <f t="shared" si="304"/>
        <v>52500003.904569089</v>
      </c>
      <c r="BW92" s="187">
        <f t="shared" si="304"/>
        <v>57878515.586493477</v>
      </c>
      <c r="BX92" s="187">
        <f t="shared" si="304"/>
        <v>51729503.348294683</v>
      </c>
      <c r="BY92" s="187">
        <f t="shared" si="304"/>
        <v>72387264.318036169</v>
      </c>
      <c r="BZ92" s="187">
        <f t="shared" si="304"/>
        <v>62263503.499112695</v>
      </c>
      <c r="CA92" s="187">
        <f t="shared" si="304"/>
        <v>64059431.195158623</v>
      </c>
      <c r="CB92" s="187">
        <f t="shared" si="304"/>
        <v>66944013.784459449</v>
      </c>
      <c r="CC92" s="187">
        <f t="shared" si="304"/>
        <v>71789764.392868981</v>
      </c>
      <c r="CD92" s="187">
        <f t="shared" si="304"/>
        <v>66322143.019444697</v>
      </c>
      <c r="CE92" s="187">
        <f t="shared" si="304"/>
        <v>71071561.493464559</v>
      </c>
      <c r="CF92" s="187">
        <f t="shared" si="304"/>
        <v>65544887.17458865</v>
      </c>
      <c r="CG92" s="187">
        <f t="shared" si="304"/>
        <v>63137555.877676688</v>
      </c>
      <c r="CH92" s="187">
        <f t="shared" si="304"/>
        <v>69833364.537292823</v>
      </c>
      <c r="CI92" s="187">
        <f t="shared" si="304"/>
        <v>74336219.558482811</v>
      </c>
      <c r="CJ92" s="187">
        <f t="shared" si="304"/>
        <v>58388104.87081708</v>
      </c>
      <c r="CK92" s="187">
        <f t="shared" si="304"/>
        <v>66573026.457994439</v>
      </c>
      <c r="CL92" s="187">
        <f t="shared" si="304"/>
        <v>73622932.355851322</v>
      </c>
      <c r="CM92" s="187">
        <f t="shared" si="304"/>
        <v>74372241.333155632</v>
      </c>
      <c r="CN92" s="187">
        <f t="shared" si="304"/>
        <v>74319035.96198611</v>
      </c>
      <c r="CO92" s="187">
        <f t="shared" si="304"/>
        <v>75440782.537477255</v>
      </c>
      <c r="CP92" s="187">
        <f t="shared" si="304"/>
        <v>71086809.663436532</v>
      </c>
      <c r="CQ92" s="187">
        <f t="shared" si="304"/>
        <v>77764083.745213851</v>
      </c>
      <c r="CR92" s="187">
        <f t="shared" si="304"/>
        <v>75613699.993778259</v>
      </c>
      <c r="CS92" s="187">
        <f t="shared" si="304"/>
        <v>75791051.231010064</v>
      </c>
      <c r="CT92" s="187">
        <f t="shared" si="304"/>
        <v>93034025.270871878</v>
      </c>
      <c r="CU92" s="187">
        <f t="shared" si="304"/>
        <v>100243353.06434461</v>
      </c>
      <c r="CV92" s="187">
        <f t="shared" si="304"/>
        <v>85939975.781599849</v>
      </c>
      <c r="CW92" s="187">
        <f t="shared" si="304"/>
        <v>92865541.595501676</v>
      </c>
      <c r="CX92" s="187">
        <f t="shared" si="304"/>
        <v>86434309.542197764</v>
      </c>
      <c r="CY92" s="187">
        <f t="shared" si="304"/>
        <v>87314008.326457396</v>
      </c>
      <c r="CZ92" s="187">
        <f t="shared" si="304"/>
        <v>87251544.507456765</v>
      </c>
      <c r="DA92" s="187">
        <f t="shared" si="304"/>
        <v>88568490.024721161</v>
      </c>
      <c r="DB92" s="187">
        <f t="shared" si="304"/>
        <v>83456867.503165126</v>
      </c>
      <c r="DC92" s="187">
        <f t="shared" si="304"/>
        <v>91296076.787751064</v>
      </c>
      <c r="DD92" s="187">
        <f t="shared" si="304"/>
        <v>88771497.436473355</v>
      </c>
      <c r="DE92" s="187">
        <f t="shared" si="304"/>
        <v>88979710.166475654</v>
      </c>
      <c r="DF92" s="187">
        <f t="shared" si="304"/>
        <v>109223192.8409476</v>
      </c>
      <c r="DG92" s="187">
        <f t="shared" si="304"/>
        <v>117687040.31554043</v>
      </c>
      <c r="DH92" s="187">
        <f t="shared" si="304"/>
        <v>100894683.64085628</v>
      </c>
      <c r="DI92" s="187">
        <f t="shared" si="304"/>
        <v>109025390.74744546</v>
      </c>
      <c r="DJ92" s="187">
        <f t="shared" ref="DJ92:DU92" si="305">DJ57-DJ69-DJ72-DJ73-DJ74-DJ75-DJ76</f>
        <v>101449184.64901368</v>
      </c>
      <c r="DK92" s="187">
        <f t="shared" si="305"/>
        <v>102481699.68699521</v>
      </c>
      <c r="DL92" s="187">
        <f t="shared" si="305"/>
        <v>102408385.0097421</v>
      </c>
      <c r="DM92" s="187">
        <f t="shared" si="305"/>
        <v>103954102.78849551</v>
      </c>
      <c r="DN92" s="187">
        <f t="shared" si="305"/>
        <v>97954518.366614655</v>
      </c>
      <c r="DO92" s="187">
        <f t="shared" si="305"/>
        <v>107155510.36188205</v>
      </c>
      <c r="DP92" s="187">
        <f t="shared" si="305"/>
        <v>104192375.48956814</v>
      </c>
      <c r="DQ92" s="187">
        <f t="shared" si="305"/>
        <v>104436757.74707857</v>
      </c>
      <c r="DR92" s="187">
        <f t="shared" si="305"/>
        <v>128196822.73352933</v>
      </c>
      <c r="DS92" s="187">
        <f t="shared" si="305"/>
        <v>138130961.50132799</v>
      </c>
      <c r="DT92" s="187">
        <f t="shared" si="305"/>
        <v>118421532.43311244</v>
      </c>
      <c r="DU92" s="187">
        <f t="shared" si="305"/>
        <v>127964659.58889446</v>
      </c>
      <c r="DW92" s="187">
        <f>SUM(BB92:BD92)</f>
        <v>80501943.456443667</v>
      </c>
      <c r="DX92" s="667">
        <f>SUM(BE92:BG92)</f>
        <v>72104933.991802692</v>
      </c>
      <c r="DY92" s="187">
        <f>SUM(BH92:BJ92)</f>
        <v>112601915.33478361</v>
      </c>
      <c r="DZ92" s="187">
        <f>SUM(BK92:BM92)</f>
        <v>119759965.4533993</v>
      </c>
      <c r="EA92" s="187">
        <f>SUM(BN92:BP92)</f>
        <v>136047888.76470968</v>
      </c>
      <c r="EB92" s="187">
        <f>SUM(BQ92:BS92)</f>
        <v>144467918.09859496</v>
      </c>
      <c r="EC92" s="187">
        <f>SUM(BT92:BV92)</f>
        <v>152941244.18794546</v>
      </c>
      <c r="ED92" s="187">
        <f>SUM(BW92:BY92)</f>
        <v>181995283.25282434</v>
      </c>
      <c r="EE92" s="187">
        <f>SUM(BZ92:CB92)</f>
        <v>193266948.47873077</v>
      </c>
      <c r="EF92" s="187">
        <f>SUM(CC92:CE92)</f>
        <v>209183468.90577823</v>
      </c>
      <c r="EG92" s="187">
        <f>SUM(CF92:CH92)</f>
        <v>198515807.58955818</v>
      </c>
      <c r="EH92" s="187">
        <f>SUM(CI92:CK92)</f>
        <v>199297350.88729432</v>
      </c>
      <c r="EI92" s="187">
        <f>SUM(CL92:CN92)</f>
        <v>222314209.65099305</v>
      </c>
      <c r="EJ92" s="187">
        <f>SUM(CO92:CQ92)</f>
        <v>224291675.94612765</v>
      </c>
      <c r="EK92" s="187">
        <f>SUM(CR92:CT92)</f>
        <v>244438776.49566019</v>
      </c>
      <c r="EL92" s="187">
        <f>SUM(CU92:CW92)</f>
        <v>279048870.44144613</v>
      </c>
      <c r="EM92" s="187">
        <f>SUM(CX92:CZ92)</f>
        <v>260999862.37611192</v>
      </c>
      <c r="EN92" s="187">
        <f>SUM(DA92:DC92)</f>
        <v>263321434.31563735</v>
      </c>
      <c r="EO92" s="649">
        <f>SUM(DD92:DF92)</f>
        <v>286974400.44389665</v>
      </c>
      <c r="EP92" s="187">
        <f>SUM(DG92:DI92)</f>
        <v>327607114.70384216</v>
      </c>
      <c r="EQ92" s="187">
        <f t="shared" ref="EQ92" si="306">SUM(DJ92:DL92)</f>
        <v>306339269.34575099</v>
      </c>
      <c r="ER92" s="187">
        <f t="shared" ref="ER92" si="307">SUM(DM92:DO92)</f>
        <v>309064131.51699221</v>
      </c>
      <c r="ES92" s="187">
        <f t="shared" ref="ES92" si="308">SUM(DP92:DR92)</f>
        <v>336825955.97017604</v>
      </c>
      <c r="ET92" s="187">
        <f t="shared" ref="ET92" si="309">SUM(DS92:DU92)</f>
        <v>384517153.52333486</v>
      </c>
      <c r="EV92" s="187">
        <f>EV57-EV68</f>
        <v>321120377.55825901</v>
      </c>
      <c r="EW92" s="187">
        <f t="shared" si="298"/>
        <v>615452334.30407441</v>
      </c>
      <c r="EX92" s="187">
        <f t="shared" si="299"/>
        <v>800263575.8613615</v>
      </c>
      <c r="EY92" s="187">
        <f t="shared" si="300"/>
        <v>970093532.53422689</v>
      </c>
      <c r="EZ92" s="187">
        <f t="shared" si="301"/>
        <v>1138902811.839488</v>
      </c>
      <c r="FA92" s="667">
        <f t="shared" si="302"/>
        <v>1336746510.3562541</v>
      </c>
    </row>
    <row r="93" spans="2:157" x14ac:dyDescent="0.2">
      <c r="B93" s="117" t="s">
        <v>29</v>
      </c>
      <c r="C93" s="133">
        <f>C92/C57</f>
        <v>0.29089398568144609</v>
      </c>
      <c r="D93" s="133">
        <f t="shared" ref="D93:BO93" si="310">D92/D57</f>
        <v>0.30683370476868632</v>
      </c>
      <c r="E93" s="133">
        <f t="shared" si="310"/>
        <v>0.28773059928925637</v>
      </c>
      <c r="F93" s="133">
        <f t="shared" si="310"/>
        <v>0.20530256631559451</v>
      </c>
      <c r="G93" s="133">
        <f t="shared" si="310"/>
        <v>0.17704882646565298</v>
      </c>
      <c r="H93" s="133">
        <f t="shared" si="310"/>
        <v>0.16299244519894318</v>
      </c>
      <c r="I93" s="133">
        <f t="shared" si="310"/>
        <v>0.17376428234111974</v>
      </c>
      <c r="J93" s="133">
        <f t="shared" si="310"/>
        <v>0.20673150026253662</v>
      </c>
      <c r="K93" s="133">
        <f t="shared" si="310"/>
        <v>0.11006822463607077</v>
      </c>
      <c r="L93" s="133">
        <f t="shared" si="310"/>
        <v>0.2030168841971268</v>
      </c>
      <c r="M93" s="133">
        <f t="shared" si="310"/>
        <v>0.14287959575218667</v>
      </c>
      <c r="N93" s="133">
        <f t="shared" si="310"/>
        <v>0.20483731448301151</v>
      </c>
      <c r="O93" s="133">
        <f t="shared" si="310"/>
        <v>8.6633809118925612E-2</v>
      </c>
      <c r="P93" s="133">
        <f t="shared" si="310"/>
        <v>-0.2301785603742478</v>
      </c>
      <c r="Q93" s="133">
        <f t="shared" si="310"/>
        <v>7.9837711383221155E-2</v>
      </c>
      <c r="R93" s="133">
        <f t="shared" si="310"/>
        <v>0.30317264443704262</v>
      </c>
      <c r="S93" s="133">
        <f t="shared" si="310"/>
        <v>0.14290207957062626</v>
      </c>
      <c r="T93" s="133">
        <f t="shared" si="310"/>
        <v>0.26869501640392063</v>
      </c>
      <c r="U93" s="133">
        <f t="shared" si="310"/>
        <v>0.44892593296271022</v>
      </c>
      <c r="V93" s="133">
        <f t="shared" si="310"/>
        <v>0.33900790707358092</v>
      </c>
      <c r="W93" s="133">
        <f t="shared" si="310"/>
        <v>0.27074820899997543</v>
      </c>
      <c r="X93" s="133">
        <f t="shared" si="310"/>
        <v>0.2116973963540757</v>
      </c>
      <c r="Y93" s="133">
        <f t="shared" si="310"/>
        <v>0.18544065524616682</v>
      </c>
      <c r="Z93" s="133">
        <f t="shared" si="310"/>
        <v>0.20796025293166642</v>
      </c>
      <c r="AA93" s="133">
        <f t="shared" si="310"/>
        <v>0.22323512668482071</v>
      </c>
      <c r="AB93" s="133">
        <f t="shared" si="310"/>
        <v>0.27228970117678725</v>
      </c>
      <c r="AC93" s="133">
        <f t="shared" si="310"/>
        <v>0.22915794005116025</v>
      </c>
      <c r="AD93" s="133">
        <f t="shared" si="310"/>
        <v>0.24060224471601016</v>
      </c>
      <c r="AE93" s="133">
        <f t="shared" si="310"/>
        <v>0.21854880043041783</v>
      </c>
      <c r="AF93" s="133">
        <f t="shared" si="310"/>
        <v>0.18653253624416266</v>
      </c>
      <c r="AG93" s="133">
        <f t="shared" si="310"/>
        <v>0.23298199800519437</v>
      </c>
      <c r="AH93" s="133">
        <f t="shared" si="310"/>
        <v>0.21517823751380968</v>
      </c>
      <c r="AI93" s="133">
        <f t="shared" si="310"/>
        <v>0.24459698731774404</v>
      </c>
      <c r="AJ93" s="133">
        <f t="shared" si="310"/>
        <v>0.29284835989825503</v>
      </c>
      <c r="AK93" s="133">
        <f t="shared" si="310"/>
        <v>0.2568419946681037</v>
      </c>
      <c r="AL93" s="133">
        <f t="shared" si="310"/>
        <v>0.24872013249831249</v>
      </c>
      <c r="AM93" s="133">
        <f t="shared" si="310"/>
        <v>0.2383150568950699</v>
      </c>
      <c r="AN93" s="133">
        <f t="shared" si="310"/>
        <v>0.25496326485768728</v>
      </c>
      <c r="AO93" s="133">
        <f t="shared" si="310"/>
        <v>0.20849891849775373</v>
      </c>
      <c r="AP93" s="133">
        <f t="shared" si="310"/>
        <v>0.21499641752887816</v>
      </c>
      <c r="AQ93" s="133">
        <f t="shared" si="310"/>
        <v>0.19000063508186288</v>
      </c>
      <c r="AR93" s="133">
        <f t="shared" si="310"/>
        <v>0.17703840177465058</v>
      </c>
      <c r="AS93" s="133">
        <f t="shared" si="310"/>
        <v>0.16115149027505291</v>
      </c>
      <c r="AT93" s="133">
        <f t="shared" si="310"/>
        <v>0.17469134730128572</v>
      </c>
      <c r="AU93" s="133">
        <f t="shared" si="310"/>
        <v>0.19497468314436084</v>
      </c>
      <c r="AV93" s="133">
        <f t="shared" si="310"/>
        <v>0.19832906854691196</v>
      </c>
      <c r="AW93" s="133">
        <f t="shared" si="310"/>
        <v>0.2080992569233642</v>
      </c>
      <c r="AX93" s="133">
        <f t="shared" si="310"/>
        <v>0.20042731241320053</v>
      </c>
      <c r="AY93" s="133">
        <f t="shared" si="310"/>
        <v>0.19824230296852471</v>
      </c>
      <c r="AZ93" s="133">
        <f t="shared" si="310"/>
        <v>0.19577791195962552</v>
      </c>
      <c r="BA93" s="133">
        <f t="shared" si="310"/>
        <v>0.17761447305854855</v>
      </c>
      <c r="BB93" s="133">
        <f t="shared" si="310"/>
        <v>0.14447100822369879</v>
      </c>
      <c r="BC93" s="133">
        <f t="shared" si="310"/>
        <v>0.1611357401178613</v>
      </c>
      <c r="BD93" s="133">
        <f t="shared" si="310"/>
        <v>0.17110909252644899</v>
      </c>
      <c r="BE93" s="133">
        <f t="shared" si="310"/>
        <v>0.16894097734436569</v>
      </c>
      <c r="BF93" s="133">
        <f t="shared" si="310"/>
        <v>0.18185493415028262</v>
      </c>
      <c r="BG93" s="133">
        <f t="shared" si="310"/>
        <v>0.13473936217745236</v>
      </c>
      <c r="BH93" s="133">
        <f t="shared" si="310"/>
        <v>0.15116830930268965</v>
      </c>
      <c r="BI93" s="133">
        <f t="shared" si="310"/>
        <v>0.17529975057641234</v>
      </c>
      <c r="BJ93" s="133">
        <f t="shared" si="310"/>
        <v>0.18546963726164684</v>
      </c>
      <c r="BK93" s="133">
        <f t="shared" si="310"/>
        <v>0.19855397931337354</v>
      </c>
      <c r="BL93" s="133">
        <f t="shared" si="310"/>
        <v>0.24058936428001942</v>
      </c>
      <c r="BM93" s="133">
        <f t="shared" si="310"/>
        <v>0.2219432069432129</v>
      </c>
      <c r="BN93" s="133">
        <f t="shared" si="310"/>
        <v>0.20869358943906988</v>
      </c>
      <c r="BO93" s="133">
        <f t="shared" si="310"/>
        <v>0.20611765620197167</v>
      </c>
      <c r="BP93" s="133">
        <f t="shared" ref="BP93:DI93" si="311">BP92/BP57</f>
        <v>0.22697062402588494</v>
      </c>
      <c r="BQ93" s="133">
        <f t="shared" si="311"/>
        <v>0.21182857068747307</v>
      </c>
      <c r="BR93" s="133">
        <f t="shared" si="311"/>
        <v>0.21387456125119839</v>
      </c>
      <c r="BS93" s="133">
        <f t="shared" si="311"/>
        <v>0.21088830215636636</v>
      </c>
      <c r="BT93" s="133">
        <f t="shared" si="311"/>
        <v>0.21837196228849678</v>
      </c>
      <c r="BU93" s="133">
        <f t="shared" si="311"/>
        <v>0.2210913462869912</v>
      </c>
      <c r="BV93" s="133">
        <f t="shared" si="311"/>
        <v>0.20609999503274629</v>
      </c>
      <c r="BW93" s="133">
        <f t="shared" si="311"/>
        <v>0.20238892093093189</v>
      </c>
      <c r="BX93" s="133">
        <f t="shared" si="311"/>
        <v>0.188460537851148</v>
      </c>
      <c r="BY93" s="133">
        <f t="shared" si="311"/>
        <v>0.19677830227400439</v>
      </c>
      <c r="BZ93" s="133">
        <f t="shared" si="311"/>
        <v>0.19792163900050982</v>
      </c>
      <c r="CA93" s="133">
        <f t="shared" si="311"/>
        <v>0.20184337919352779</v>
      </c>
      <c r="CB93" s="133">
        <f t="shared" si="311"/>
        <v>0.21375791088260554</v>
      </c>
      <c r="CC93" s="133">
        <f t="shared" si="311"/>
        <v>0.21877673850437887</v>
      </c>
      <c r="CD93" s="133">
        <f t="shared" si="311"/>
        <v>0.22843330256197439</v>
      </c>
      <c r="CE93" s="133">
        <f t="shared" si="311"/>
        <v>0.19136444574818462</v>
      </c>
      <c r="CF93" s="133">
        <f t="shared" si="311"/>
        <v>0.20644405623401921</v>
      </c>
      <c r="CG93" s="133">
        <f t="shared" si="311"/>
        <v>0.2005959708168876</v>
      </c>
      <c r="CH93" s="133">
        <f t="shared" si="311"/>
        <v>0.18428948084444166</v>
      </c>
      <c r="CI93" s="133">
        <f t="shared" si="311"/>
        <v>0.17619719054540342</v>
      </c>
      <c r="CJ93" s="133">
        <f t="shared" si="311"/>
        <v>0.17149187644132366</v>
      </c>
      <c r="CK93" s="133">
        <f t="shared" si="311"/>
        <v>0.16517547307510116</v>
      </c>
      <c r="CL93" s="133">
        <f t="shared" si="311"/>
        <v>0.19418712856013942</v>
      </c>
      <c r="CM93" s="133">
        <f t="shared" si="311"/>
        <v>0.19418712856013934</v>
      </c>
      <c r="CN93" s="133">
        <f t="shared" si="311"/>
        <v>0.19418712856013937</v>
      </c>
      <c r="CO93" s="133">
        <f t="shared" si="311"/>
        <v>0.19418712856013937</v>
      </c>
      <c r="CP93" s="133">
        <f t="shared" si="311"/>
        <v>0.19418712856013937</v>
      </c>
      <c r="CQ93" s="133">
        <f t="shared" si="311"/>
        <v>0.19418712856013945</v>
      </c>
      <c r="CR93" s="133">
        <f t="shared" si="311"/>
        <v>0.19418712856013939</v>
      </c>
      <c r="CS93" s="133">
        <f t="shared" si="311"/>
        <v>0.19418712856013942</v>
      </c>
      <c r="CT93" s="133">
        <f t="shared" si="311"/>
        <v>0.19418712856013939</v>
      </c>
      <c r="CU93" s="133">
        <f t="shared" si="311"/>
        <v>0.19418712856013945</v>
      </c>
      <c r="CV93" s="133">
        <f t="shared" si="311"/>
        <v>0.19418712856013939</v>
      </c>
      <c r="CW93" s="133">
        <f t="shared" si="311"/>
        <v>0.19418712856013942</v>
      </c>
      <c r="CX93" s="133">
        <f t="shared" si="311"/>
        <v>0.19246795450929186</v>
      </c>
      <c r="CY93" s="133">
        <f t="shared" si="311"/>
        <v>0.19246795450929186</v>
      </c>
      <c r="CZ93" s="133">
        <f t="shared" si="311"/>
        <v>0.19246795450929194</v>
      </c>
      <c r="DA93" s="133">
        <f t="shared" si="311"/>
        <v>0.19246795450929186</v>
      </c>
      <c r="DB93" s="133">
        <f t="shared" si="311"/>
        <v>0.19246795450929191</v>
      </c>
      <c r="DC93" s="133">
        <f t="shared" si="311"/>
        <v>0.19246795450929188</v>
      </c>
      <c r="DD93" s="133">
        <f t="shared" si="311"/>
        <v>0.19246795450929183</v>
      </c>
      <c r="DE93" s="133">
        <f t="shared" si="311"/>
        <v>0.19246795450929183</v>
      </c>
      <c r="DF93" s="133">
        <f t="shared" si="311"/>
        <v>0.1924679545092918</v>
      </c>
      <c r="DG93" s="133">
        <f t="shared" si="311"/>
        <v>0.19246795450929186</v>
      </c>
      <c r="DH93" s="133">
        <f t="shared" si="311"/>
        <v>0.19246795450929183</v>
      </c>
      <c r="DI93" s="133">
        <f t="shared" si="311"/>
        <v>0.19246795450929188</v>
      </c>
      <c r="DJ93" s="133">
        <f t="shared" ref="DJ93:DU93" si="312">DJ92/DJ57</f>
        <v>0.19071539843803953</v>
      </c>
      <c r="DK93" s="133">
        <f t="shared" si="312"/>
        <v>0.1907153984380395</v>
      </c>
      <c r="DL93" s="133">
        <f t="shared" si="312"/>
        <v>0.19071539843803953</v>
      </c>
      <c r="DM93" s="133">
        <f t="shared" si="312"/>
        <v>0.19071539843803953</v>
      </c>
      <c r="DN93" s="133">
        <f t="shared" si="312"/>
        <v>0.1907153984380395</v>
      </c>
      <c r="DO93" s="133">
        <f t="shared" si="312"/>
        <v>0.19071539843803956</v>
      </c>
      <c r="DP93" s="133">
        <f t="shared" si="312"/>
        <v>0.19071539843803953</v>
      </c>
      <c r="DQ93" s="133">
        <f t="shared" si="312"/>
        <v>0.19071539843803953</v>
      </c>
      <c r="DR93" s="133">
        <f t="shared" si="312"/>
        <v>0.19071539843803956</v>
      </c>
      <c r="DS93" s="133">
        <f t="shared" si="312"/>
        <v>0.19071539843803959</v>
      </c>
      <c r="DT93" s="133">
        <f t="shared" si="312"/>
        <v>0.19071539843803953</v>
      </c>
      <c r="DU93" s="133">
        <f t="shared" si="312"/>
        <v>0.19071539843803961</v>
      </c>
      <c r="DW93" s="133">
        <f t="shared" ref="DW93:EZ93" si="313">DW92/DW57</f>
        <v>0.15916363989904442</v>
      </c>
      <c r="DX93" s="657">
        <f t="shared" si="313"/>
        <v>0.16041114016527039</v>
      </c>
      <c r="DY93" s="133">
        <f t="shared" si="313"/>
        <v>0.16865617114187187</v>
      </c>
      <c r="DZ93" s="133">
        <f t="shared" si="313"/>
        <v>0.21839488283075187</v>
      </c>
      <c r="EA93" s="133">
        <f t="shared" si="313"/>
        <v>0.21423636390534473</v>
      </c>
      <c r="EB93" s="133">
        <f t="shared" si="313"/>
        <v>0.21217306986097315</v>
      </c>
      <c r="EC93" s="133">
        <f t="shared" si="313"/>
        <v>0.2147972906534785</v>
      </c>
      <c r="ED93" s="133">
        <f t="shared" si="313"/>
        <v>0.19604731605764328</v>
      </c>
      <c r="EE93" s="133">
        <f t="shared" si="313"/>
        <v>0.20448599272697474</v>
      </c>
      <c r="EF93" s="133">
        <f t="shared" si="313"/>
        <v>0.21132412777865281</v>
      </c>
      <c r="EG93" s="133">
        <f t="shared" si="313"/>
        <v>0.19632141865165034</v>
      </c>
      <c r="EH93" s="133">
        <f t="shared" si="313"/>
        <v>0.17101079614544326</v>
      </c>
      <c r="EI93" s="133">
        <f t="shared" si="313"/>
        <v>0.19418712856013937</v>
      </c>
      <c r="EJ93" s="133">
        <f t="shared" si="313"/>
        <v>0.19418712856013939</v>
      </c>
      <c r="EK93" s="133">
        <f t="shared" si="313"/>
        <v>0.19418712856013939</v>
      </c>
      <c r="EL93" s="133">
        <f t="shared" si="313"/>
        <v>0.19418712856013942</v>
      </c>
      <c r="EM93" s="133">
        <f t="shared" si="313"/>
        <v>0.19246795450929188</v>
      </c>
      <c r="EN93" s="133">
        <f t="shared" si="313"/>
        <v>0.19246795450929188</v>
      </c>
      <c r="EO93" s="648">
        <f t="shared" si="313"/>
        <v>0.19246795450929186</v>
      </c>
      <c r="EP93" s="133">
        <f t="shared" si="313"/>
        <v>0.19246795450929183</v>
      </c>
      <c r="EQ93" s="133">
        <f t="shared" ref="EQ93:ET93" si="314">EQ92/EQ57</f>
        <v>0.19071539843803953</v>
      </c>
      <c r="ER93" s="133">
        <f t="shared" si="314"/>
        <v>0.19071539843803956</v>
      </c>
      <c r="ES93" s="133">
        <f t="shared" si="314"/>
        <v>0.19071539843803956</v>
      </c>
      <c r="ET93" s="133">
        <f t="shared" si="314"/>
        <v>0.19071539843803956</v>
      </c>
      <c r="EU93" s="638"/>
      <c r="EV93" s="133">
        <f t="shared" si="313"/>
        <v>0.14789396191822646</v>
      </c>
      <c r="EW93" s="133">
        <f t="shared" si="313"/>
        <v>0.20818456962042814</v>
      </c>
      <c r="EX93" s="133">
        <f t="shared" si="313"/>
        <v>0.19463597904289145</v>
      </c>
      <c r="EY93" s="133">
        <f t="shared" si="313"/>
        <v>0.19418712856013939</v>
      </c>
      <c r="EZ93" s="133">
        <f t="shared" si="313"/>
        <v>0.19246795450929186</v>
      </c>
      <c r="FA93" s="133">
        <f t="shared" ref="FA93" si="315">FA92/FA57</f>
        <v>0.19071539843803953</v>
      </c>
    </row>
    <row r="94" spans="2:157" x14ac:dyDescent="0.2">
      <c r="B94" s="117" t="s">
        <v>144</v>
      </c>
      <c r="C94" s="133">
        <f>C93</f>
        <v>0.29089398568144609</v>
      </c>
      <c r="D94" s="133">
        <f t="shared" ref="D94:BO94" si="316">D93</f>
        <v>0.30683370476868632</v>
      </c>
      <c r="E94" s="133">
        <f t="shared" si="316"/>
        <v>0.28773059928925637</v>
      </c>
      <c r="F94" s="133">
        <f t="shared" si="316"/>
        <v>0.20530256631559451</v>
      </c>
      <c r="G94" s="133">
        <f t="shared" si="316"/>
        <v>0.17704882646565298</v>
      </c>
      <c r="H94" s="133">
        <f t="shared" si="316"/>
        <v>0.16299244519894318</v>
      </c>
      <c r="I94" s="133">
        <f t="shared" si="316"/>
        <v>0.17376428234111974</v>
      </c>
      <c r="J94" s="133">
        <f t="shared" si="316"/>
        <v>0.20673150026253662</v>
      </c>
      <c r="K94" s="133">
        <f t="shared" si="316"/>
        <v>0.11006822463607077</v>
      </c>
      <c r="L94" s="133">
        <f t="shared" si="316"/>
        <v>0.2030168841971268</v>
      </c>
      <c r="M94" s="133">
        <f t="shared" si="316"/>
        <v>0.14287959575218667</v>
      </c>
      <c r="N94" s="133">
        <f t="shared" si="316"/>
        <v>0.20483731448301151</v>
      </c>
      <c r="O94" s="133">
        <f t="shared" si="316"/>
        <v>8.6633809118925612E-2</v>
      </c>
      <c r="P94" s="133">
        <f t="shared" si="316"/>
        <v>-0.2301785603742478</v>
      </c>
      <c r="Q94" s="133">
        <f t="shared" si="316"/>
        <v>7.9837711383221155E-2</v>
      </c>
      <c r="R94" s="133">
        <f t="shared" si="316"/>
        <v>0.30317264443704262</v>
      </c>
      <c r="S94" s="133">
        <f t="shared" si="316"/>
        <v>0.14290207957062626</v>
      </c>
      <c r="T94" s="133">
        <f t="shared" si="316"/>
        <v>0.26869501640392063</v>
      </c>
      <c r="U94" s="133">
        <f t="shared" si="316"/>
        <v>0.44892593296271022</v>
      </c>
      <c r="V94" s="133">
        <f t="shared" si="316"/>
        <v>0.33900790707358092</v>
      </c>
      <c r="W94" s="133">
        <f t="shared" si="316"/>
        <v>0.27074820899997543</v>
      </c>
      <c r="X94" s="133">
        <f t="shared" si="316"/>
        <v>0.2116973963540757</v>
      </c>
      <c r="Y94" s="133">
        <f t="shared" si="316"/>
        <v>0.18544065524616682</v>
      </c>
      <c r="Z94" s="133">
        <f t="shared" si="316"/>
        <v>0.20796025293166642</v>
      </c>
      <c r="AA94" s="133">
        <f t="shared" si="316"/>
        <v>0.22323512668482071</v>
      </c>
      <c r="AB94" s="133">
        <f t="shared" si="316"/>
        <v>0.27228970117678725</v>
      </c>
      <c r="AC94" s="133">
        <f t="shared" si="316"/>
        <v>0.22915794005116025</v>
      </c>
      <c r="AD94" s="133">
        <f t="shared" si="316"/>
        <v>0.24060224471601016</v>
      </c>
      <c r="AE94" s="133">
        <f t="shared" si="316"/>
        <v>0.21854880043041783</v>
      </c>
      <c r="AF94" s="133">
        <f t="shared" si="316"/>
        <v>0.18653253624416266</v>
      </c>
      <c r="AG94" s="133">
        <f t="shared" si="316"/>
        <v>0.23298199800519437</v>
      </c>
      <c r="AH94" s="133">
        <f t="shared" si="316"/>
        <v>0.21517823751380968</v>
      </c>
      <c r="AI94" s="133">
        <f t="shared" si="316"/>
        <v>0.24459698731774404</v>
      </c>
      <c r="AJ94" s="133">
        <f t="shared" si="316"/>
        <v>0.29284835989825503</v>
      </c>
      <c r="AK94" s="133">
        <f t="shared" si="316"/>
        <v>0.2568419946681037</v>
      </c>
      <c r="AL94" s="133">
        <f t="shared" si="316"/>
        <v>0.24872013249831249</v>
      </c>
      <c r="AM94" s="133">
        <f t="shared" si="316"/>
        <v>0.2383150568950699</v>
      </c>
      <c r="AN94" s="133">
        <f t="shared" si="316"/>
        <v>0.25496326485768728</v>
      </c>
      <c r="AO94" s="133">
        <f t="shared" si="316"/>
        <v>0.20849891849775373</v>
      </c>
      <c r="AP94" s="133">
        <f t="shared" si="316"/>
        <v>0.21499641752887816</v>
      </c>
      <c r="AQ94" s="133">
        <f t="shared" si="316"/>
        <v>0.19000063508186288</v>
      </c>
      <c r="AR94" s="133">
        <f t="shared" si="316"/>
        <v>0.17703840177465058</v>
      </c>
      <c r="AS94" s="133">
        <f t="shared" si="316"/>
        <v>0.16115149027505291</v>
      </c>
      <c r="AT94" s="133">
        <f t="shared" si="316"/>
        <v>0.17469134730128572</v>
      </c>
      <c r="AU94" s="133">
        <f t="shared" si="316"/>
        <v>0.19497468314436084</v>
      </c>
      <c r="AV94" s="133">
        <f t="shared" si="316"/>
        <v>0.19832906854691196</v>
      </c>
      <c r="AW94" s="133">
        <f t="shared" si="316"/>
        <v>0.2080992569233642</v>
      </c>
      <c r="AX94" s="133">
        <f t="shared" si="316"/>
        <v>0.20042731241320053</v>
      </c>
      <c r="AY94" s="133">
        <f t="shared" si="316"/>
        <v>0.19824230296852471</v>
      </c>
      <c r="AZ94" s="133">
        <f t="shared" si="316"/>
        <v>0.19577791195962552</v>
      </c>
      <c r="BA94" s="133">
        <f t="shared" si="316"/>
        <v>0.17761447305854855</v>
      </c>
      <c r="BB94" s="133">
        <f t="shared" si="316"/>
        <v>0.14447100822369879</v>
      </c>
      <c r="BC94" s="133">
        <f t="shared" si="316"/>
        <v>0.1611357401178613</v>
      </c>
      <c r="BD94" s="133">
        <f t="shared" si="316"/>
        <v>0.17110909252644899</v>
      </c>
      <c r="BE94" s="133">
        <f t="shared" si="316"/>
        <v>0.16894097734436569</v>
      </c>
      <c r="BF94" s="133">
        <f t="shared" si="316"/>
        <v>0.18185493415028262</v>
      </c>
      <c r="BG94" s="133">
        <f t="shared" si="316"/>
        <v>0.13473936217745236</v>
      </c>
      <c r="BH94" s="133">
        <f t="shared" si="316"/>
        <v>0.15116830930268965</v>
      </c>
      <c r="BI94" s="133">
        <f t="shared" si="316"/>
        <v>0.17529975057641234</v>
      </c>
      <c r="BJ94" s="133">
        <f t="shared" si="316"/>
        <v>0.18546963726164684</v>
      </c>
      <c r="BK94" s="133">
        <f t="shared" si="316"/>
        <v>0.19855397931337354</v>
      </c>
      <c r="BL94" s="133">
        <f t="shared" si="316"/>
        <v>0.24058936428001942</v>
      </c>
      <c r="BM94" s="133">
        <f t="shared" si="316"/>
        <v>0.2219432069432129</v>
      </c>
      <c r="BN94" s="133">
        <f t="shared" si="316"/>
        <v>0.20869358943906988</v>
      </c>
      <c r="BO94" s="133">
        <f t="shared" si="316"/>
        <v>0.20611765620197167</v>
      </c>
      <c r="BP94" s="133">
        <f t="shared" ref="BP94:DI94" si="317">BP93</f>
        <v>0.22697062402588494</v>
      </c>
      <c r="BQ94" s="133">
        <f t="shared" si="317"/>
        <v>0.21182857068747307</v>
      </c>
      <c r="BR94" s="133">
        <f t="shared" si="317"/>
        <v>0.21387456125119839</v>
      </c>
      <c r="BS94" s="133">
        <f t="shared" si="317"/>
        <v>0.21088830215636636</v>
      </c>
      <c r="BT94" s="133">
        <f t="shared" si="317"/>
        <v>0.21837196228849678</v>
      </c>
      <c r="BU94" s="133">
        <f t="shared" si="317"/>
        <v>0.2210913462869912</v>
      </c>
      <c r="BV94" s="133">
        <f t="shared" si="317"/>
        <v>0.20609999503274629</v>
      </c>
      <c r="BW94" s="133">
        <f t="shared" si="317"/>
        <v>0.20238892093093189</v>
      </c>
      <c r="BX94" s="133">
        <f t="shared" si="317"/>
        <v>0.188460537851148</v>
      </c>
      <c r="BY94" s="133">
        <f t="shared" si="317"/>
        <v>0.19677830227400439</v>
      </c>
      <c r="BZ94" s="133">
        <f t="shared" si="317"/>
        <v>0.19792163900050982</v>
      </c>
      <c r="CA94" s="133">
        <f t="shared" si="317"/>
        <v>0.20184337919352779</v>
      </c>
      <c r="CB94" s="133">
        <f t="shared" si="317"/>
        <v>0.21375791088260554</v>
      </c>
      <c r="CC94" s="133">
        <f t="shared" si="317"/>
        <v>0.21877673850437887</v>
      </c>
      <c r="CD94" s="133">
        <f t="shared" si="317"/>
        <v>0.22843330256197439</v>
      </c>
      <c r="CE94" s="133">
        <f t="shared" si="317"/>
        <v>0.19136444574818462</v>
      </c>
      <c r="CF94" s="133">
        <f t="shared" si="317"/>
        <v>0.20644405623401921</v>
      </c>
      <c r="CG94" s="133">
        <f t="shared" si="317"/>
        <v>0.2005959708168876</v>
      </c>
      <c r="CH94" s="133">
        <f t="shared" si="317"/>
        <v>0.18428948084444166</v>
      </c>
      <c r="CI94" s="133">
        <f t="shared" si="317"/>
        <v>0.17619719054540342</v>
      </c>
      <c r="CJ94" s="133">
        <f t="shared" si="317"/>
        <v>0.17149187644132366</v>
      </c>
      <c r="CK94" s="133">
        <f t="shared" si="317"/>
        <v>0.16517547307510116</v>
      </c>
      <c r="CL94" s="133">
        <f t="shared" si="317"/>
        <v>0.19418712856013942</v>
      </c>
      <c r="CM94" s="133">
        <f t="shared" si="317"/>
        <v>0.19418712856013934</v>
      </c>
      <c r="CN94" s="133">
        <f t="shared" si="317"/>
        <v>0.19418712856013937</v>
      </c>
      <c r="CO94" s="133">
        <f t="shared" si="317"/>
        <v>0.19418712856013937</v>
      </c>
      <c r="CP94" s="133">
        <f t="shared" si="317"/>
        <v>0.19418712856013937</v>
      </c>
      <c r="CQ94" s="133">
        <f t="shared" si="317"/>
        <v>0.19418712856013945</v>
      </c>
      <c r="CR94" s="133">
        <f t="shared" si="317"/>
        <v>0.19418712856013939</v>
      </c>
      <c r="CS94" s="133">
        <f t="shared" si="317"/>
        <v>0.19418712856013942</v>
      </c>
      <c r="CT94" s="133">
        <f t="shared" si="317"/>
        <v>0.19418712856013939</v>
      </c>
      <c r="CU94" s="133">
        <f t="shared" si="317"/>
        <v>0.19418712856013945</v>
      </c>
      <c r="CV94" s="133">
        <f t="shared" si="317"/>
        <v>0.19418712856013939</v>
      </c>
      <c r="CW94" s="133">
        <f t="shared" si="317"/>
        <v>0.19418712856013942</v>
      </c>
      <c r="CX94" s="133">
        <f t="shared" si="317"/>
        <v>0.19246795450929186</v>
      </c>
      <c r="CY94" s="133">
        <f t="shared" si="317"/>
        <v>0.19246795450929186</v>
      </c>
      <c r="CZ94" s="133">
        <f t="shared" si="317"/>
        <v>0.19246795450929194</v>
      </c>
      <c r="DA94" s="133">
        <f t="shared" si="317"/>
        <v>0.19246795450929186</v>
      </c>
      <c r="DB94" s="133">
        <f t="shared" si="317"/>
        <v>0.19246795450929191</v>
      </c>
      <c r="DC94" s="133">
        <f t="shared" si="317"/>
        <v>0.19246795450929188</v>
      </c>
      <c r="DD94" s="133">
        <f t="shared" si="317"/>
        <v>0.19246795450929183</v>
      </c>
      <c r="DE94" s="133">
        <f t="shared" si="317"/>
        <v>0.19246795450929183</v>
      </c>
      <c r="DF94" s="133">
        <f t="shared" si="317"/>
        <v>0.1924679545092918</v>
      </c>
      <c r="DG94" s="133">
        <f t="shared" si="317"/>
        <v>0.19246795450929186</v>
      </c>
      <c r="DH94" s="133">
        <f t="shared" si="317"/>
        <v>0.19246795450929183</v>
      </c>
      <c r="DI94" s="133">
        <f t="shared" si="317"/>
        <v>0.19246795450929188</v>
      </c>
      <c r="DJ94" s="133">
        <f t="shared" ref="DJ94:DU94" si="318">DJ93</f>
        <v>0.19071539843803953</v>
      </c>
      <c r="DK94" s="133">
        <f t="shared" si="318"/>
        <v>0.1907153984380395</v>
      </c>
      <c r="DL94" s="133">
        <f t="shared" si="318"/>
        <v>0.19071539843803953</v>
      </c>
      <c r="DM94" s="133">
        <f t="shared" si="318"/>
        <v>0.19071539843803953</v>
      </c>
      <c r="DN94" s="133">
        <f t="shared" si="318"/>
        <v>0.1907153984380395</v>
      </c>
      <c r="DO94" s="133">
        <f t="shared" si="318"/>
        <v>0.19071539843803956</v>
      </c>
      <c r="DP94" s="133">
        <f t="shared" si="318"/>
        <v>0.19071539843803953</v>
      </c>
      <c r="DQ94" s="133">
        <f t="shared" si="318"/>
        <v>0.19071539843803953</v>
      </c>
      <c r="DR94" s="133">
        <f t="shared" si="318"/>
        <v>0.19071539843803956</v>
      </c>
      <c r="DS94" s="133">
        <f t="shared" si="318"/>
        <v>0.19071539843803959</v>
      </c>
      <c r="DT94" s="133">
        <f t="shared" si="318"/>
        <v>0.19071539843803953</v>
      </c>
      <c r="DU94" s="133">
        <f t="shared" si="318"/>
        <v>0.19071539843803961</v>
      </c>
      <c r="DW94" s="133">
        <f t="shared" ref="DW94:EZ94" si="319">DW93</f>
        <v>0.15916363989904442</v>
      </c>
      <c r="DX94" s="657">
        <f t="shared" si="319"/>
        <v>0.16041114016527039</v>
      </c>
      <c r="DY94" s="133">
        <f t="shared" si="319"/>
        <v>0.16865617114187187</v>
      </c>
      <c r="DZ94" s="133">
        <f t="shared" si="319"/>
        <v>0.21839488283075187</v>
      </c>
      <c r="EA94" s="133">
        <f t="shared" si="319"/>
        <v>0.21423636390534473</v>
      </c>
      <c r="EB94" s="133">
        <f t="shared" si="319"/>
        <v>0.21217306986097315</v>
      </c>
      <c r="EC94" s="133">
        <f t="shared" si="319"/>
        <v>0.2147972906534785</v>
      </c>
      <c r="ED94" s="133">
        <f t="shared" si="319"/>
        <v>0.19604731605764328</v>
      </c>
      <c r="EE94" s="133">
        <f t="shared" si="319"/>
        <v>0.20448599272697474</v>
      </c>
      <c r="EF94" s="133">
        <f t="shared" si="319"/>
        <v>0.21132412777865281</v>
      </c>
      <c r="EG94" s="133">
        <f t="shared" si="319"/>
        <v>0.19632141865165034</v>
      </c>
      <c r="EH94" s="133">
        <f t="shared" si="319"/>
        <v>0.17101079614544326</v>
      </c>
      <c r="EI94" s="133">
        <f t="shared" si="319"/>
        <v>0.19418712856013937</v>
      </c>
      <c r="EJ94" s="133">
        <f t="shared" si="319"/>
        <v>0.19418712856013939</v>
      </c>
      <c r="EK94" s="133">
        <f t="shared" si="319"/>
        <v>0.19418712856013939</v>
      </c>
      <c r="EL94" s="133">
        <f t="shared" si="319"/>
        <v>0.19418712856013942</v>
      </c>
      <c r="EM94" s="133">
        <f t="shared" si="319"/>
        <v>0.19246795450929188</v>
      </c>
      <c r="EN94" s="133">
        <f t="shared" si="319"/>
        <v>0.19246795450929188</v>
      </c>
      <c r="EO94" s="648">
        <f t="shared" si="319"/>
        <v>0.19246795450929186</v>
      </c>
      <c r="EP94" s="133">
        <f t="shared" si="319"/>
        <v>0.19246795450929183</v>
      </c>
      <c r="EQ94" s="133">
        <f t="shared" ref="EQ94:ET94" si="320">EQ93</f>
        <v>0.19071539843803953</v>
      </c>
      <c r="ER94" s="133">
        <f t="shared" si="320"/>
        <v>0.19071539843803956</v>
      </c>
      <c r="ES94" s="133">
        <f t="shared" si="320"/>
        <v>0.19071539843803956</v>
      </c>
      <c r="ET94" s="133">
        <f t="shared" si="320"/>
        <v>0.19071539843803956</v>
      </c>
      <c r="EU94" s="638"/>
      <c r="EV94" s="133">
        <f t="shared" si="319"/>
        <v>0.14789396191822646</v>
      </c>
      <c r="EW94" s="133">
        <f t="shared" si="319"/>
        <v>0.20818456962042814</v>
      </c>
      <c r="EX94" s="133">
        <f t="shared" si="319"/>
        <v>0.19463597904289145</v>
      </c>
      <c r="EY94" s="133">
        <f t="shared" si="319"/>
        <v>0.19418712856013939</v>
      </c>
      <c r="EZ94" s="133">
        <f t="shared" si="319"/>
        <v>0.19246795450929186</v>
      </c>
      <c r="FA94" s="133">
        <f t="shared" ref="FA94" si="321">FA93</f>
        <v>0.19071539843803953</v>
      </c>
    </row>
    <row r="95" spans="2:157" x14ac:dyDescent="0.2">
      <c r="B95" s="117" t="s">
        <v>494</v>
      </c>
      <c r="C95" s="128">
        <v>0</v>
      </c>
      <c r="D95" s="128">
        <v>0</v>
      </c>
      <c r="E95" s="128">
        <v>0</v>
      </c>
      <c r="F95" s="128">
        <v>0</v>
      </c>
      <c r="G95" s="128">
        <v>0</v>
      </c>
      <c r="H95" s="128">
        <v>0</v>
      </c>
      <c r="I95" s="128">
        <v>0</v>
      </c>
      <c r="J95" s="128">
        <v>0</v>
      </c>
      <c r="K95" s="128">
        <v>0</v>
      </c>
      <c r="L95" s="128">
        <v>0</v>
      </c>
      <c r="M95" s="128">
        <v>0</v>
      </c>
      <c r="N95" s="128">
        <v>0</v>
      </c>
      <c r="O95" s="128">
        <v>0</v>
      </c>
      <c r="P95" s="128">
        <v>0</v>
      </c>
      <c r="Q95" s="128">
        <v>0</v>
      </c>
      <c r="R95" s="128">
        <v>0</v>
      </c>
      <c r="S95" s="128">
        <v>0</v>
      </c>
      <c r="T95" s="128">
        <v>0</v>
      </c>
      <c r="U95" s="128">
        <v>0</v>
      </c>
      <c r="V95" s="128">
        <v>0</v>
      </c>
      <c r="W95" s="128">
        <v>0</v>
      </c>
      <c r="X95" s="128">
        <v>0</v>
      </c>
      <c r="Y95" s="128">
        <v>0</v>
      </c>
      <c r="Z95" s="128">
        <v>0</v>
      </c>
      <c r="AA95" s="128">
        <v>0</v>
      </c>
      <c r="AB95" s="128">
        <v>0</v>
      </c>
      <c r="AC95" s="128">
        <v>0</v>
      </c>
      <c r="AD95" s="128">
        <v>0</v>
      </c>
      <c r="AE95" s="128">
        <v>0</v>
      </c>
      <c r="AF95" s="128">
        <v>0</v>
      </c>
      <c r="AG95" s="128">
        <v>0</v>
      </c>
      <c r="AH95" s="128">
        <v>0</v>
      </c>
      <c r="AI95" s="128">
        <v>0</v>
      </c>
      <c r="AJ95" s="128">
        <v>0</v>
      </c>
      <c r="AK95" s="128">
        <v>0</v>
      </c>
      <c r="AL95" s="128">
        <v>0</v>
      </c>
      <c r="AM95" s="128">
        <v>0</v>
      </c>
      <c r="AN95" s="128">
        <v>0</v>
      </c>
      <c r="AO95" s="128">
        <v>0</v>
      </c>
      <c r="AP95" s="128">
        <v>0</v>
      </c>
      <c r="AQ95" s="128">
        <v>0</v>
      </c>
      <c r="AR95" s="128">
        <v>0</v>
      </c>
      <c r="AS95" s="128">
        <v>0</v>
      </c>
      <c r="AT95" s="128">
        <v>0</v>
      </c>
      <c r="AU95" s="128">
        <v>0</v>
      </c>
      <c r="AV95" s="128">
        <v>0</v>
      </c>
      <c r="AW95" s="128">
        <v>0</v>
      </c>
      <c r="AX95" s="128">
        <v>0</v>
      </c>
      <c r="AY95" s="128">
        <v>0</v>
      </c>
      <c r="AZ95" s="128">
        <v>0</v>
      </c>
      <c r="BA95" s="128">
        <v>0</v>
      </c>
      <c r="BB95" s="128">
        <v>0</v>
      </c>
      <c r="BC95" s="128">
        <v>0</v>
      </c>
      <c r="BD95" s="128">
        <v>0</v>
      </c>
      <c r="BE95" s="128">
        <v>0</v>
      </c>
      <c r="BF95" s="128">
        <v>0</v>
      </c>
      <c r="BG95" s="128">
        <v>0</v>
      </c>
      <c r="BH95" s="128">
        <v>0</v>
      </c>
      <c r="BI95" s="128">
        <v>0</v>
      </c>
      <c r="BJ95" s="128">
        <v>0</v>
      </c>
      <c r="BK95" s="128">
        <v>0</v>
      </c>
      <c r="BL95" s="128">
        <v>0</v>
      </c>
      <c r="BM95" s="128">
        <v>0</v>
      </c>
      <c r="BN95" s="128">
        <v>0</v>
      </c>
      <c r="BO95" s="128">
        <v>0</v>
      </c>
      <c r="BP95" s="128">
        <v>0</v>
      </c>
      <c r="BQ95" s="128">
        <v>0</v>
      </c>
      <c r="BR95" s="128">
        <v>0</v>
      </c>
      <c r="BS95" s="128">
        <v>0</v>
      </c>
      <c r="BT95" s="128">
        <v>0</v>
      </c>
      <c r="BU95" s="128">
        <v>0</v>
      </c>
      <c r="BV95" s="128">
        <v>0</v>
      </c>
      <c r="BW95" s="128">
        <v>0</v>
      </c>
      <c r="BX95" s="128">
        <v>0</v>
      </c>
      <c r="BY95" s="128">
        <v>0</v>
      </c>
      <c r="BZ95" s="128">
        <v>0</v>
      </c>
      <c r="CA95" s="128">
        <v>0</v>
      </c>
      <c r="CB95" s="128">
        <v>0</v>
      </c>
      <c r="CC95" s="128">
        <v>0</v>
      </c>
      <c r="CD95" s="128">
        <v>0</v>
      </c>
      <c r="CE95" s="128">
        <v>0</v>
      </c>
      <c r="CF95" s="128">
        <v>0</v>
      </c>
      <c r="CG95" s="128">
        <v>0</v>
      </c>
      <c r="CH95" s="128">
        <v>0</v>
      </c>
      <c r="CI95" s="128">
        <v>0</v>
      </c>
      <c r="CJ95" s="128">
        <v>0</v>
      </c>
      <c r="CK95" s="128">
        <v>0</v>
      </c>
      <c r="CL95" s="128">
        <v>0</v>
      </c>
      <c r="CM95" s="128">
        <v>0</v>
      </c>
      <c r="CN95" s="128">
        <v>0</v>
      </c>
      <c r="CO95" s="128">
        <v>0</v>
      </c>
      <c r="CP95" s="128">
        <v>0</v>
      </c>
      <c r="CQ95" s="128">
        <v>0</v>
      </c>
      <c r="CR95" s="128">
        <v>0</v>
      </c>
      <c r="CS95" s="128">
        <v>0</v>
      </c>
      <c r="CT95" s="128">
        <v>0</v>
      </c>
      <c r="CU95" s="128">
        <v>0</v>
      </c>
      <c r="CV95" s="128">
        <v>0</v>
      </c>
      <c r="CW95" s="128">
        <v>0</v>
      </c>
      <c r="CX95" s="128">
        <v>0</v>
      </c>
      <c r="CY95" s="128">
        <v>0</v>
      </c>
      <c r="CZ95" s="128">
        <v>0</v>
      </c>
      <c r="DA95" s="128">
        <v>0</v>
      </c>
      <c r="DB95" s="128">
        <v>0</v>
      </c>
      <c r="DC95" s="128">
        <v>0</v>
      </c>
      <c r="DD95" s="128">
        <v>0</v>
      </c>
      <c r="DE95" s="128">
        <v>0</v>
      </c>
      <c r="DF95" s="128">
        <v>0</v>
      </c>
      <c r="DG95" s="128">
        <v>0</v>
      </c>
      <c r="DH95" s="128">
        <v>0</v>
      </c>
      <c r="DI95" s="128">
        <v>0</v>
      </c>
      <c r="DJ95" s="128">
        <v>0</v>
      </c>
      <c r="DK95" s="128">
        <v>0</v>
      </c>
      <c r="DL95" s="128">
        <v>0</v>
      </c>
      <c r="DM95" s="128">
        <v>0</v>
      </c>
      <c r="DN95" s="128">
        <v>0</v>
      </c>
      <c r="DO95" s="128">
        <v>0</v>
      </c>
      <c r="DP95" s="128">
        <v>0</v>
      </c>
      <c r="DQ95" s="128">
        <v>0</v>
      </c>
      <c r="DR95" s="128">
        <v>0</v>
      </c>
      <c r="DS95" s="128">
        <v>0</v>
      </c>
      <c r="DT95" s="128">
        <v>0</v>
      </c>
      <c r="DU95" s="128">
        <v>0</v>
      </c>
      <c r="DW95" s="128">
        <v>0</v>
      </c>
      <c r="DX95" s="659">
        <v>0</v>
      </c>
      <c r="DY95" s="128">
        <v>0</v>
      </c>
      <c r="DZ95" s="128">
        <v>0</v>
      </c>
      <c r="EA95" s="128">
        <v>0</v>
      </c>
      <c r="EB95" s="128">
        <v>0</v>
      </c>
      <c r="EC95" s="128">
        <v>0</v>
      </c>
      <c r="ED95" s="128">
        <v>0</v>
      </c>
      <c r="EE95" s="128">
        <v>0</v>
      </c>
      <c r="EF95" s="128">
        <v>0</v>
      </c>
      <c r="EG95" s="128">
        <v>0</v>
      </c>
      <c r="EH95" s="128">
        <v>0</v>
      </c>
      <c r="EI95" s="128">
        <v>0</v>
      </c>
      <c r="EJ95" s="128">
        <v>0</v>
      </c>
      <c r="EK95" s="128">
        <v>0</v>
      </c>
      <c r="EL95" s="128">
        <v>0</v>
      </c>
      <c r="EM95" s="128">
        <v>0</v>
      </c>
      <c r="EN95" s="128">
        <v>0</v>
      </c>
      <c r="EO95" s="652">
        <v>0</v>
      </c>
      <c r="EP95" s="128">
        <v>0</v>
      </c>
      <c r="EQ95" s="128">
        <v>0</v>
      </c>
      <c r="ER95" s="128">
        <v>0</v>
      </c>
      <c r="ES95" s="128">
        <v>0</v>
      </c>
      <c r="ET95" s="128">
        <v>0</v>
      </c>
      <c r="EU95" s="640"/>
      <c r="EV95" s="128">
        <v>0</v>
      </c>
      <c r="EW95" s="128">
        <v>0</v>
      </c>
      <c r="EX95" s="128">
        <v>0</v>
      </c>
      <c r="EY95" s="128">
        <v>0</v>
      </c>
      <c r="EZ95" s="128">
        <v>0</v>
      </c>
      <c r="FA95" s="128">
        <v>0</v>
      </c>
    </row>
    <row r="96" spans="2:157" x14ac:dyDescent="0.2">
      <c r="B96" s="117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  <c r="AK96" s="115"/>
      <c r="AL96" s="115"/>
      <c r="AM96" s="115"/>
      <c r="AN96" s="115"/>
      <c r="AO96" s="115"/>
      <c r="AP96" s="115"/>
      <c r="AQ96" s="115"/>
      <c r="AR96" s="115"/>
      <c r="AS96" s="115"/>
      <c r="AT96" s="115"/>
      <c r="AU96" s="115"/>
      <c r="AV96" s="115"/>
      <c r="AW96" s="115"/>
      <c r="AX96" s="115"/>
      <c r="AY96" s="115"/>
      <c r="AZ96" s="115"/>
      <c r="BA96" s="115"/>
      <c r="BB96" s="115"/>
      <c r="BC96" s="115"/>
      <c r="BD96" s="115"/>
      <c r="BE96" s="115"/>
      <c r="BF96" s="115"/>
      <c r="BG96" s="115"/>
      <c r="BH96" s="115"/>
      <c r="BI96" s="115"/>
      <c r="BJ96" s="115"/>
      <c r="BK96" s="115"/>
      <c r="BL96" s="115"/>
      <c r="BM96" s="115"/>
      <c r="BN96" s="115"/>
      <c r="BO96" s="115"/>
      <c r="BP96" s="115"/>
      <c r="BQ96" s="115"/>
      <c r="BR96" s="115"/>
      <c r="BS96" s="115"/>
      <c r="BT96" s="115"/>
      <c r="BU96" s="115"/>
      <c r="BV96" s="115"/>
      <c r="BW96" s="115"/>
      <c r="BX96" s="115"/>
      <c r="BY96" s="115"/>
      <c r="BZ96" s="115"/>
      <c r="CA96" s="115"/>
      <c r="CB96" s="115"/>
      <c r="CC96" s="115"/>
      <c r="CD96" s="115"/>
      <c r="CE96" s="115"/>
      <c r="CF96" s="115"/>
      <c r="CG96" s="115"/>
      <c r="CH96" s="115"/>
      <c r="CI96" s="115"/>
      <c r="CJ96" s="115"/>
      <c r="CK96" s="115"/>
      <c r="CL96" s="115"/>
      <c r="CM96" s="115"/>
      <c r="CN96" s="115"/>
      <c r="CO96" s="115"/>
      <c r="CP96" s="115"/>
      <c r="CQ96" s="115"/>
      <c r="CR96" s="115"/>
      <c r="CS96" s="115"/>
      <c r="CT96" s="115"/>
      <c r="CU96" s="115"/>
      <c r="CV96" s="115"/>
      <c r="CW96" s="115"/>
      <c r="CX96" s="115"/>
      <c r="CY96" s="115"/>
      <c r="CZ96" s="115"/>
      <c r="DA96" s="115"/>
      <c r="DB96" s="115"/>
      <c r="DC96" s="115"/>
      <c r="DD96" s="115"/>
      <c r="DE96" s="115"/>
      <c r="DF96" s="115"/>
      <c r="DG96" s="115"/>
      <c r="DH96" s="115"/>
      <c r="DI96" s="115"/>
      <c r="DJ96" s="115"/>
      <c r="DK96" s="115"/>
      <c r="DL96" s="115"/>
      <c r="DM96" s="115"/>
      <c r="DN96" s="115"/>
      <c r="DO96" s="115"/>
      <c r="DP96" s="115"/>
      <c r="DQ96" s="115"/>
      <c r="DR96" s="115"/>
      <c r="DS96" s="115"/>
      <c r="DT96" s="115"/>
      <c r="DU96" s="115"/>
      <c r="DW96" s="115"/>
      <c r="DX96" s="664"/>
      <c r="DY96" s="115"/>
      <c r="DZ96" s="115"/>
      <c r="EA96" s="115"/>
      <c r="EB96" s="115"/>
      <c r="EC96" s="115"/>
      <c r="ED96" s="115"/>
      <c r="EE96" s="115"/>
      <c r="EF96" s="115"/>
      <c r="EG96" s="115"/>
      <c r="EH96" s="115"/>
      <c r="EI96" s="115"/>
      <c r="EJ96" s="115"/>
      <c r="EK96" s="115"/>
      <c r="EL96" s="115"/>
      <c r="EM96" s="115"/>
      <c r="EN96" s="115"/>
      <c r="EO96" s="645"/>
      <c r="EP96" s="115"/>
      <c r="EQ96" s="115"/>
      <c r="ER96" s="115"/>
      <c r="ES96" s="115"/>
      <c r="ET96" s="115"/>
      <c r="EV96" s="115"/>
      <c r="EW96" s="115"/>
      <c r="EX96" s="115"/>
      <c r="EY96" s="115"/>
      <c r="EZ96" s="115"/>
      <c r="FA96" s="664"/>
    </row>
    <row r="97" spans="2:157" x14ac:dyDescent="0.2">
      <c r="B97" s="186" t="s">
        <v>30</v>
      </c>
      <c r="C97" s="187">
        <f>C57-C68</f>
        <v>173019.44521560578</v>
      </c>
      <c r="D97" s="187">
        <f t="shared" ref="D97:BO97" si="322">D57-D68</f>
        <v>1134672.2896503499</v>
      </c>
      <c r="E97" s="187">
        <f t="shared" si="322"/>
        <v>5817405.2457414456</v>
      </c>
      <c r="F97" s="187">
        <f t="shared" si="322"/>
        <v>5469021.7315582447</v>
      </c>
      <c r="G97" s="187">
        <f t="shared" si="322"/>
        <v>5245343.867985364</v>
      </c>
      <c r="H97" s="187">
        <f t="shared" si="322"/>
        <v>3261310.672143165</v>
      </c>
      <c r="I97" s="187">
        <f t="shared" si="322"/>
        <v>7150937.3829862662</v>
      </c>
      <c r="J97" s="187">
        <f t="shared" si="322"/>
        <v>5601745.5275696553</v>
      </c>
      <c r="K97" s="187">
        <f t="shared" si="322"/>
        <v>4543428.9939341806</v>
      </c>
      <c r="L97" s="187">
        <f t="shared" si="322"/>
        <v>7539421.4588825442</v>
      </c>
      <c r="M97" s="187">
        <f t="shared" si="322"/>
        <v>1656530.3930340819</v>
      </c>
      <c r="N97" s="187">
        <f t="shared" si="322"/>
        <v>3778803.0949196666</v>
      </c>
      <c r="O97" s="187">
        <f t="shared" si="322"/>
        <v>2408609.8312955871</v>
      </c>
      <c r="P97" s="187">
        <f t="shared" si="322"/>
        <v>-112364.78231646516</v>
      </c>
      <c r="Q97" s="187">
        <f t="shared" si="322"/>
        <v>1518874.6702608336</v>
      </c>
      <c r="R97" s="187">
        <f t="shared" si="322"/>
        <v>-964545.2076271195</v>
      </c>
      <c r="S97" s="187">
        <f t="shared" si="322"/>
        <v>3159575.6486719716</v>
      </c>
      <c r="T97" s="187">
        <f t="shared" si="322"/>
        <v>3672050.6194612142</v>
      </c>
      <c r="U97" s="187">
        <f t="shared" si="322"/>
        <v>4183093.7503551412</v>
      </c>
      <c r="V97" s="187">
        <f t="shared" si="322"/>
        <v>3211596.1127093993</v>
      </c>
      <c r="W97" s="187">
        <f t="shared" si="322"/>
        <v>3322140.0941844471</v>
      </c>
      <c r="X97" s="187">
        <f t="shared" si="322"/>
        <v>4677564.0465126056</v>
      </c>
      <c r="Y97" s="187">
        <f t="shared" si="322"/>
        <v>3463963.3883298673</v>
      </c>
      <c r="Z97" s="187">
        <f t="shared" si="322"/>
        <v>6092991.4246918187</v>
      </c>
      <c r="AA97" s="187">
        <f t="shared" si="322"/>
        <v>7206245.4937671423</v>
      </c>
      <c r="AB97" s="187">
        <f t="shared" si="322"/>
        <v>5316471.6061320882</v>
      </c>
      <c r="AC97" s="187">
        <f t="shared" si="322"/>
        <v>5859081.0957569219</v>
      </c>
      <c r="AD97" s="187">
        <f t="shared" si="322"/>
        <v>2856914.045246562</v>
      </c>
      <c r="AE97" s="187">
        <f t="shared" si="322"/>
        <v>1123995.0772778168</v>
      </c>
      <c r="AF97" s="187">
        <f t="shared" si="322"/>
        <v>1972979.7611009851</v>
      </c>
      <c r="AG97" s="187">
        <f t="shared" si="322"/>
        <v>2582299.805869272</v>
      </c>
      <c r="AH97" s="187">
        <f t="shared" si="322"/>
        <v>1496961.0921116006</v>
      </c>
      <c r="AI97" s="187">
        <f t="shared" si="322"/>
        <v>2375208.2778959908</v>
      </c>
      <c r="AJ97" s="187">
        <f t="shared" si="322"/>
        <v>3632332.0403770916</v>
      </c>
      <c r="AK97" s="187">
        <f t="shared" si="322"/>
        <v>7744590.8640158214</v>
      </c>
      <c r="AL97" s="187">
        <f t="shared" si="322"/>
        <v>8648981.3288567029</v>
      </c>
      <c r="AM97" s="187">
        <f t="shared" si="322"/>
        <v>10043525.13088911</v>
      </c>
      <c r="AN97" s="187">
        <f t="shared" si="322"/>
        <v>9343206.5120419711</v>
      </c>
      <c r="AO97" s="187">
        <f t="shared" si="322"/>
        <v>4181530.6202008203</v>
      </c>
      <c r="AP97" s="187">
        <f t="shared" si="322"/>
        <v>3518909.7082417961</v>
      </c>
      <c r="AQ97" s="187">
        <f t="shared" si="322"/>
        <v>3989712.6250493117</v>
      </c>
      <c r="AR97" s="187">
        <f t="shared" si="322"/>
        <v>5730334.9529476836</v>
      </c>
      <c r="AS97" s="187">
        <f t="shared" si="322"/>
        <v>4249576.3931854144</v>
      </c>
      <c r="AT97" s="187">
        <f t="shared" si="322"/>
        <v>2583327.4261492528</v>
      </c>
      <c r="AU97" s="187">
        <f t="shared" si="322"/>
        <v>4266665.9896523841</v>
      </c>
      <c r="AV97" s="187">
        <f t="shared" si="322"/>
        <v>9035127.8508199379</v>
      </c>
      <c r="AW97" s="187">
        <f t="shared" si="322"/>
        <v>8240746.4423145428</v>
      </c>
      <c r="AX97" s="187">
        <f t="shared" si="322"/>
        <v>6826209.7681824863</v>
      </c>
      <c r="AY97" s="187">
        <f t="shared" si="322"/>
        <v>9165229.9429158866</v>
      </c>
      <c r="AZ97" s="187">
        <f t="shared" si="322"/>
        <v>13416540.217375576</v>
      </c>
      <c r="BA97" s="187">
        <f t="shared" si="322"/>
        <v>22201421.903633058</v>
      </c>
      <c r="BB97" s="187">
        <f t="shared" si="322"/>
        <v>19862769.705195695</v>
      </c>
      <c r="BC97" s="187">
        <f t="shared" si="322"/>
        <v>19972318.186389208</v>
      </c>
      <c r="BD97" s="187">
        <f t="shared" si="322"/>
        <v>26527980.360222667</v>
      </c>
      <c r="BE97" s="187">
        <f t="shared" si="322"/>
        <v>18768569.450791001</v>
      </c>
      <c r="BF97" s="187">
        <f t="shared" si="322"/>
        <v>22339164.042280957</v>
      </c>
      <c r="BG97" s="187">
        <f t="shared" si="322"/>
        <v>17320181.846658736</v>
      </c>
      <c r="BH97" s="187">
        <f t="shared" si="322"/>
        <v>33164463.974018276</v>
      </c>
      <c r="BI97" s="187">
        <f t="shared" si="322"/>
        <v>29207996.192771912</v>
      </c>
      <c r="BJ97" s="187">
        <f t="shared" si="322"/>
        <v>30419658.626964301</v>
      </c>
      <c r="BK97" s="187">
        <f t="shared" si="322"/>
        <v>33430235.917297214</v>
      </c>
      <c r="BL97" s="187">
        <f t="shared" si="322"/>
        <v>29647208.729875863</v>
      </c>
      <c r="BM97" s="187">
        <f t="shared" si="322"/>
        <v>40459830.525793403</v>
      </c>
      <c r="BN97" s="187">
        <f t="shared" si="322"/>
        <v>36738333.770936161</v>
      </c>
      <c r="BO97" s="187">
        <f t="shared" si="322"/>
        <v>39441466.023409605</v>
      </c>
      <c r="BP97" s="187">
        <f t="shared" ref="BP97:DI97" si="323">BP57-BP68</f>
        <v>45503408.333002925</v>
      </c>
      <c r="BQ97" s="187">
        <f t="shared" si="323"/>
        <v>44078819.835967988</v>
      </c>
      <c r="BR97" s="187">
        <f t="shared" si="323"/>
        <v>41034047.894219041</v>
      </c>
      <c r="BS97" s="187">
        <f t="shared" si="323"/>
        <v>41539980.591395199</v>
      </c>
      <c r="BT97" s="187">
        <f t="shared" si="323"/>
        <v>47263441.770308673</v>
      </c>
      <c r="BU97" s="187">
        <f t="shared" si="323"/>
        <v>41631013.197960466</v>
      </c>
      <c r="BV97" s="187">
        <f t="shared" si="323"/>
        <v>46156964.892674059</v>
      </c>
      <c r="BW97" s="187">
        <f t="shared" si="323"/>
        <v>51109008.603201151</v>
      </c>
      <c r="BX97" s="187">
        <f t="shared" si="323"/>
        <v>44976738.132187426</v>
      </c>
      <c r="BY97" s="187">
        <f t="shared" si="323"/>
        <v>65018900.419855833</v>
      </c>
      <c r="BZ97" s="187">
        <f t="shared" si="323"/>
        <v>54819410.180842042</v>
      </c>
      <c r="CA97" s="187">
        <f t="shared" si="323"/>
        <v>57116795.835979313</v>
      </c>
      <c r="CB97" s="187">
        <f t="shared" si="323"/>
        <v>58741828.526035607</v>
      </c>
      <c r="CC97" s="187">
        <f t="shared" si="323"/>
        <v>62750236.980523288</v>
      </c>
      <c r="CD97" s="187">
        <f t="shared" si="323"/>
        <v>56074218.699852467</v>
      </c>
      <c r="CE97" s="187">
        <f t="shared" si="323"/>
        <v>59350152.361803174</v>
      </c>
      <c r="CF97" s="187">
        <f t="shared" si="323"/>
        <v>53948627.925206065</v>
      </c>
      <c r="CG97" s="187">
        <f t="shared" si="323"/>
        <v>51339456.756686181</v>
      </c>
      <c r="CH97" s="187">
        <f t="shared" si="323"/>
        <v>58940082.782338023</v>
      </c>
      <c r="CI97" s="187">
        <f t="shared" si="323"/>
        <v>62690633.760562658</v>
      </c>
      <c r="CJ97" s="187">
        <f t="shared" si="323"/>
        <v>47939276.202489316</v>
      </c>
      <c r="CK97" s="187">
        <f t="shared" si="323"/>
        <v>56154926.269872189</v>
      </c>
      <c r="CL97" s="187">
        <f t="shared" si="323"/>
        <v>63766025.259320021</v>
      </c>
      <c r="CM97" s="187">
        <f t="shared" si="323"/>
        <v>64415014.013841271</v>
      </c>
      <c r="CN97" s="187">
        <f t="shared" si="323"/>
        <v>64368931.972100139</v>
      </c>
      <c r="CO97" s="187">
        <f t="shared" si="323"/>
        <v>65340495.018809438</v>
      </c>
      <c r="CP97" s="187">
        <f t="shared" si="323"/>
        <v>61569447.936325073</v>
      </c>
      <c r="CQ97" s="187">
        <f t="shared" si="323"/>
        <v>67352744.174839675</v>
      </c>
      <c r="CR97" s="187">
        <f t="shared" si="323"/>
        <v>65490261.65446806</v>
      </c>
      <c r="CS97" s="187">
        <f t="shared" si="323"/>
        <v>65643868.460272014</v>
      </c>
      <c r="CT97" s="187">
        <f t="shared" si="323"/>
        <v>80578290.154550493</v>
      </c>
      <c r="CU97" s="187">
        <f t="shared" si="323"/>
        <v>86822406.81047672</v>
      </c>
      <c r="CV97" s="187">
        <f t="shared" si="323"/>
        <v>74434017.922396898</v>
      </c>
      <c r="CW97" s="187">
        <f t="shared" si="323"/>
        <v>80432363.689036965</v>
      </c>
      <c r="CX97" s="187">
        <f t="shared" si="323"/>
        <v>74758803.086356401</v>
      </c>
      <c r="CY97" s="187">
        <f t="shared" si="323"/>
        <v>75519672.566729367</v>
      </c>
      <c r="CZ97" s="187">
        <f t="shared" si="323"/>
        <v>75465646.331436694</v>
      </c>
      <c r="DA97" s="187">
        <f t="shared" si="323"/>
        <v>76604699.458859026</v>
      </c>
      <c r="DB97" s="187">
        <f t="shared" si="323"/>
        <v>72183552.537401497</v>
      </c>
      <c r="DC97" s="187">
        <f t="shared" si="323"/>
        <v>78963845.06664288</v>
      </c>
      <c r="DD97" s="187">
        <f t="shared" si="323"/>
        <v>76780284.723560452</v>
      </c>
      <c r="DE97" s="187">
        <f t="shared" si="323"/>
        <v>76960372.174536347</v>
      </c>
      <c r="DF97" s="187">
        <f t="shared" si="323"/>
        <v>94469374.595665038</v>
      </c>
      <c r="DG97" s="187">
        <f t="shared" si="323"/>
        <v>101789929.47783387</v>
      </c>
      <c r="DH97" s="187">
        <f t="shared" si="323"/>
        <v>87265876.556630254</v>
      </c>
      <c r="DI97" s="187">
        <f t="shared" si="323"/>
        <v>94298291.517237842</v>
      </c>
      <c r="DJ97" s="187">
        <f t="shared" ref="DJ97:DU97" si="324">DJ57-DJ68</f>
        <v>87619547.252069592</v>
      </c>
      <c r="DK97" s="187">
        <f t="shared" si="324"/>
        <v>88511308.979597449</v>
      </c>
      <c r="DL97" s="187">
        <f t="shared" si="324"/>
        <v>88447988.62024647</v>
      </c>
      <c r="DM97" s="187">
        <f t="shared" si="324"/>
        <v>89782992.863231897</v>
      </c>
      <c r="DN97" s="187">
        <f t="shared" si="324"/>
        <v>84601276.789667726</v>
      </c>
      <c r="DO97" s="187">
        <f t="shared" si="324"/>
        <v>92547981.88822943</v>
      </c>
      <c r="DP97" s="187">
        <f t="shared" si="324"/>
        <v>89988784.031122863</v>
      </c>
      <c r="DQ97" s="187">
        <f t="shared" si="324"/>
        <v>90199851.895626485</v>
      </c>
      <c r="DR97" s="187">
        <f t="shared" si="324"/>
        <v>110720925.02199197</v>
      </c>
      <c r="DS97" s="187">
        <f t="shared" si="324"/>
        <v>119300833.71406436</v>
      </c>
      <c r="DT97" s="187">
        <f t="shared" si="324"/>
        <v>102278210.44184679</v>
      </c>
      <c r="DU97" s="187">
        <f t="shared" si="324"/>
        <v>110520410.55071354</v>
      </c>
      <c r="DW97" s="187">
        <f>SUM(BB97:BD97)</f>
        <v>66363068.25180757</v>
      </c>
      <c r="DX97" s="667">
        <f>SUM(BE97:BG97)</f>
        <v>58427915.339730695</v>
      </c>
      <c r="DY97" s="187">
        <f>SUM(BH97:BJ97)</f>
        <v>92792118.793754488</v>
      </c>
      <c r="DZ97" s="187">
        <f>SUM(BK97:BM97)</f>
        <v>103537275.17296648</v>
      </c>
      <c r="EA97" s="187">
        <f>SUM(BN97:BP97)</f>
        <v>121683208.12734869</v>
      </c>
      <c r="EB97" s="187">
        <f>SUM(BQ97:BS97)</f>
        <v>126652848.32158223</v>
      </c>
      <c r="EC97" s="187">
        <f>SUM(BT97:BV97)</f>
        <v>135051419.8609432</v>
      </c>
      <c r="ED97" s="187">
        <f>SUM(BW97:BY97)</f>
        <v>161104647.15524441</v>
      </c>
      <c r="EE97" s="187">
        <f>SUM(BZ97:CB97)</f>
        <v>170678034.54285696</v>
      </c>
      <c r="EF97" s="187">
        <f>SUM(CC97:CE97)</f>
        <v>178174608.04217893</v>
      </c>
      <c r="EG97" s="187">
        <f>SUM(CF97:CH97)</f>
        <v>164228167.46423027</v>
      </c>
      <c r="EH97" s="187">
        <f>SUM(CI97:CK97)</f>
        <v>166784836.23292416</v>
      </c>
      <c r="EI97" s="187">
        <f>SUM(CL97:CN97)</f>
        <v>192549971.24526143</v>
      </c>
      <c r="EJ97" s="187">
        <f>SUM(CO97:CQ97)</f>
        <v>194262687.12997419</v>
      </c>
      <c r="EK97" s="187">
        <f>SUM(CR97:CT97)</f>
        <v>211712420.26929057</v>
      </c>
      <c r="EL97" s="187">
        <f>SUM(CU97:CW97)</f>
        <v>241688788.42191058</v>
      </c>
      <c r="EM97" s="187">
        <f>SUM(CX97:CZ97)</f>
        <v>225744121.98452246</v>
      </c>
      <c r="EN97" s="187">
        <f>SUM(DA97:DC97)</f>
        <v>227752097.0629034</v>
      </c>
      <c r="EO97" s="649">
        <f>SUM(DD97:DF97)</f>
        <v>248210031.49376184</v>
      </c>
      <c r="EP97" s="187">
        <f>SUM(DG97:DI97)</f>
        <v>283354097.55170196</v>
      </c>
      <c r="EQ97" s="187">
        <f t="shared" ref="EQ97" si="325">SUM(DJ97:DL97)</f>
        <v>264578844.85191351</v>
      </c>
      <c r="ER97" s="187">
        <f t="shared" ref="ER97" si="326">SUM(DM97:DO97)</f>
        <v>266932251.54112905</v>
      </c>
      <c r="ES97" s="187">
        <f t="shared" ref="ES97" si="327">SUM(DP97:DR97)</f>
        <v>290909560.94874132</v>
      </c>
      <c r="ET97" s="187">
        <f t="shared" ref="ET97" si="328">SUM(DS97:DU97)</f>
        <v>332099454.70662469</v>
      </c>
      <c r="EV97" s="187">
        <f>SUM(DW97:DZ97)</f>
        <v>321120377.55825925</v>
      </c>
      <c r="EW97" s="187">
        <f>SUM(EA97:ED97)</f>
        <v>544492123.46511853</v>
      </c>
      <c r="EX97" s="187">
        <f>SUM(EE97:EH97)</f>
        <v>679865646.28219032</v>
      </c>
      <c r="EY97" s="187">
        <f>SUM(EI97:EL97)</f>
        <v>840213867.06643677</v>
      </c>
      <c r="EZ97" s="187">
        <f>SUM(EM97:EP97)</f>
        <v>985060348.09288979</v>
      </c>
      <c r="FA97" s="667">
        <f t="shared" ref="FA97" si="329">SUM(EQ97:ET97)</f>
        <v>1154520112.0484085</v>
      </c>
    </row>
    <row r="98" spans="2:157" x14ac:dyDescent="0.2">
      <c r="B98" s="117" t="s">
        <v>31</v>
      </c>
      <c r="C98" s="133">
        <f>C97/C57</f>
        <v>0.30485060988748436</v>
      </c>
      <c r="D98" s="133">
        <f t="shared" ref="D98:BO98" si="330">D97/D57</f>
        <v>0.31796734149623285</v>
      </c>
      <c r="E98" s="133">
        <f t="shared" si="330"/>
        <v>0.29638302719741899</v>
      </c>
      <c r="F98" s="133">
        <f t="shared" si="330"/>
        <v>0.21384683075967648</v>
      </c>
      <c r="G98" s="133">
        <f t="shared" si="330"/>
        <v>0.18604752281795639</v>
      </c>
      <c r="H98" s="133">
        <f t="shared" si="330"/>
        <v>0.17701971517221174</v>
      </c>
      <c r="I98" s="133">
        <f t="shared" si="330"/>
        <v>0.18646374107272121</v>
      </c>
      <c r="J98" s="133">
        <f t="shared" si="330"/>
        <v>0.21995797832741784</v>
      </c>
      <c r="K98" s="133">
        <f t="shared" si="330"/>
        <v>0.12271138320286769</v>
      </c>
      <c r="L98" s="133">
        <f t="shared" si="330"/>
        <v>0.22771705221524877</v>
      </c>
      <c r="M98" s="133">
        <f t="shared" si="330"/>
        <v>0.17191079827564559</v>
      </c>
      <c r="N98" s="133">
        <f t="shared" si="330"/>
        <v>0.21880778332339221</v>
      </c>
      <c r="O98" s="133">
        <f t="shared" si="330"/>
        <v>0.10085506137105835</v>
      </c>
      <c r="P98" s="133">
        <f t="shared" si="330"/>
        <v>-7.7505319253217533E-2</v>
      </c>
      <c r="Q98" s="133">
        <f t="shared" si="330"/>
        <v>0.1053509485698936</v>
      </c>
      <c r="R98" s="133">
        <f t="shared" si="330"/>
        <v>0.30317264443704262</v>
      </c>
      <c r="S98" s="133">
        <f t="shared" si="330"/>
        <v>0.15862449946118168</v>
      </c>
      <c r="T98" s="133">
        <f t="shared" si="330"/>
        <v>0.27963435638760958</v>
      </c>
      <c r="U98" s="133">
        <f t="shared" si="330"/>
        <v>0.47476460151618022</v>
      </c>
      <c r="V98" s="133">
        <f t="shared" si="330"/>
        <v>0.37699119993176183</v>
      </c>
      <c r="W98" s="133">
        <f t="shared" si="330"/>
        <v>0.30466120517826134</v>
      </c>
      <c r="X98" s="133">
        <f t="shared" si="330"/>
        <v>0.23508411452316513</v>
      </c>
      <c r="Y98" s="133">
        <f t="shared" si="330"/>
        <v>0.20691854248124503</v>
      </c>
      <c r="Z98" s="133">
        <f t="shared" si="330"/>
        <v>0.23518737168581721</v>
      </c>
      <c r="AA98" s="133">
        <f t="shared" si="330"/>
        <v>0.2355548502398033</v>
      </c>
      <c r="AB98" s="133">
        <f t="shared" si="330"/>
        <v>0.28875437104211349</v>
      </c>
      <c r="AC98" s="133">
        <f t="shared" si="330"/>
        <v>0.25022942595518549</v>
      </c>
      <c r="AD98" s="133">
        <f t="shared" si="330"/>
        <v>0.16124232981401182</v>
      </c>
      <c r="AE98" s="133">
        <f t="shared" si="330"/>
        <v>0.10085617100924879</v>
      </c>
      <c r="AF98" s="133">
        <f t="shared" si="330"/>
        <v>0.11629688209516452</v>
      </c>
      <c r="AG98" s="133">
        <f t="shared" si="330"/>
        <v>0.17849061167196534</v>
      </c>
      <c r="AH98" s="133">
        <f t="shared" si="330"/>
        <v>0.16240234043942658</v>
      </c>
      <c r="AI98" s="133">
        <f t="shared" si="330"/>
        <v>0.20460967987896139</v>
      </c>
      <c r="AJ98" s="133">
        <f t="shared" si="330"/>
        <v>0.25114761005005198</v>
      </c>
      <c r="AK98" s="133">
        <f t="shared" si="330"/>
        <v>0.22376859481556319</v>
      </c>
      <c r="AL98" s="133">
        <f t="shared" si="330"/>
        <v>0.21717025806666029</v>
      </c>
      <c r="AM98" s="133">
        <f t="shared" si="330"/>
        <v>0.21816925421231517</v>
      </c>
      <c r="AN98" s="133">
        <f t="shared" si="330"/>
        <v>0.23029748013401122</v>
      </c>
      <c r="AO98" s="133">
        <f t="shared" si="330"/>
        <v>0.186387386479931</v>
      </c>
      <c r="AP98" s="133">
        <f t="shared" si="330"/>
        <v>0.17348486608600128</v>
      </c>
      <c r="AQ98" s="133">
        <f t="shared" si="330"/>
        <v>0.13786539106211529</v>
      </c>
      <c r="AR98" s="133">
        <f t="shared" si="330"/>
        <v>0.1388093327035563</v>
      </c>
      <c r="AS98" s="133">
        <f t="shared" si="330"/>
        <v>0.11157829801375516</v>
      </c>
      <c r="AT98" s="133">
        <f t="shared" si="330"/>
        <v>9.7006624553406959E-2</v>
      </c>
      <c r="AU98" s="133">
        <f t="shared" si="330"/>
        <v>0.11509988590975151</v>
      </c>
      <c r="AV98" s="133">
        <f t="shared" si="330"/>
        <v>0.13909139983720298</v>
      </c>
      <c r="AW98" s="133">
        <f t="shared" si="330"/>
        <v>0.15025172460276179</v>
      </c>
      <c r="AX98" s="133">
        <f t="shared" si="330"/>
        <v>0.14621958368185184</v>
      </c>
      <c r="AY98" s="133">
        <f t="shared" si="330"/>
        <v>0.16246384300391378</v>
      </c>
      <c r="AZ98" s="133">
        <f t="shared" si="330"/>
        <v>0.1597005562921707</v>
      </c>
      <c r="BA98" s="133">
        <f t="shared" si="330"/>
        <v>0.1514323502702288</v>
      </c>
      <c r="BB98" s="133">
        <f t="shared" si="330"/>
        <v>0.11670067959658356</v>
      </c>
      <c r="BC98" s="133">
        <f t="shared" si="330"/>
        <v>0.13209745214825969</v>
      </c>
      <c r="BD98" s="133">
        <f t="shared" si="330"/>
        <v>0.14387317293231677</v>
      </c>
      <c r="BE98" s="133">
        <f t="shared" si="330"/>
        <v>0.14513712939696358</v>
      </c>
      <c r="BF98" s="133">
        <f t="shared" si="330"/>
        <v>0.14789547683158449</v>
      </c>
      <c r="BG98" s="133">
        <f t="shared" si="330"/>
        <v>0.10240284436436226</v>
      </c>
      <c r="BH98" s="133">
        <f t="shared" si="330"/>
        <v>0.12466653200550605</v>
      </c>
      <c r="BI98" s="133">
        <f t="shared" si="330"/>
        <v>0.14142508177869012</v>
      </c>
      <c r="BJ98" s="133">
        <f t="shared" si="330"/>
        <v>0.15592616112230981</v>
      </c>
      <c r="BK98" s="133">
        <f t="shared" si="330"/>
        <v>0.16834344978149698</v>
      </c>
      <c r="BL98" s="133">
        <f t="shared" si="330"/>
        <v>0.20482349896602978</v>
      </c>
      <c r="BM98" s="133">
        <f t="shared" si="330"/>
        <v>0.19733070214968013</v>
      </c>
      <c r="BN98" s="133">
        <f t="shared" si="330"/>
        <v>0.18596933926198475</v>
      </c>
      <c r="BO98" s="133">
        <f t="shared" si="330"/>
        <v>0.18374813097565817</v>
      </c>
      <c r="BP98" s="133">
        <f t="shared" ref="BP98:DI98" si="331">BP97/BP57</f>
        <v>0.20420106595868268</v>
      </c>
      <c r="BQ98" s="133">
        <f t="shared" si="331"/>
        <v>0.18888499584808999</v>
      </c>
      <c r="BR98" s="133">
        <f t="shared" si="331"/>
        <v>0.18697580866497063</v>
      </c>
      <c r="BS98" s="133">
        <f t="shared" si="331"/>
        <v>0.18213577013741122</v>
      </c>
      <c r="BT98" s="133">
        <f t="shared" si="331"/>
        <v>0.19392379844616237</v>
      </c>
      <c r="BU98" s="133">
        <f t="shared" si="331"/>
        <v>0.194925941486565</v>
      </c>
      <c r="BV98" s="133">
        <f t="shared" si="331"/>
        <v>0.18119903862100195</v>
      </c>
      <c r="BW98" s="133">
        <f t="shared" si="331"/>
        <v>0.17871738755279076</v>
      </c>
      <c r="BX98" s="133">
        <f t="shared" si="331"/>
        <v>0.16385891436287511</v>
      </c>
      <c r="BY98" s="133">
        <f t="shared" si="331"/>
        <v>0.17674806419164435</v>
      </c>
      <c r="BZ98" s="133">
        <f t="shared" si="331"/>
        <v>0.17425854476994074</v>
      </c>
      <c r="CA98" s="133">
        <f t="shared" si="331"/>
        <v>0.17996799011715506</v>
      </c>
      <c r="CB98" s="133">
        <f t="shared" si="331"/>
        <v>0.18756763805017798</v>
      </c>
      <c r="CC98" s="133">
        <f t="shared" si="331"/>
        <v>0.19122910213004413</v>
      </c>
      <c r="CD98" s="133">
        <f t="shared" si="331"/>
        <v>0.19313638527081733</v>
      </c>
      <c r="CE98" s="133">
        <f t="shared" si="331"/>
        <v>0.15980384802479911</v>
      </c>
      <c r="CF98" s="133">
        <f t="shared" si="331"/>
        <v>0.16991979172186766</v>
      </c>
      <c r="CG98" s="133">
        <f t="shared" si="331"/>
        <v>0.16311192326278001</v>
      </c>
      <c r="CH98" s="133">
        <f t="shared" si="331"/>
        <v>0.15554223011959964</v>
      </c>
      <c r="CI98" s="133">
        <f t="shared" si="331"/>
        <v>0.14859396412312528</v>
      </c>
      <c r="CJ98" s="133">
        <f t="shared" si="331"/>
        <v>0.14080259068851567</v>
      </c>
      <c r="CK98" s="133">
        <f t="shared" si="331"/>
        <v>0.13932694674735979</v>
      </c>
      <c r="CL98" s="133">
        <f t="shared" si="331"/>
        <v>0.1681886465069134</v>
      </c>
      <c r="CM98" s="133">
        <f t="shared" si="331"/>
        <v>0.16818864650691348</v>
      </c>
      <c r="CN98" s="133">
        <f t="shared" si="331"/>
        <v>0.16818864650691351</v>
      </c>
      <c r="CO98" s="133">
        <f t="shared" si="331"/>
        <v>0.16818864650691348</v>
      </c>
      <c r="CP98" s="133">
        <f t="shared" si="331"/>
        <v>0.16818864650691343</v>
      </c>
      <c r="CQ98" s="133">
        <f t="shared" si="331"/>
        <v>0.16818864650691331</v>
      </c>
      <c r="CR98" s="133">
        <f t="shared" si="331"/>
        <v>0.1681886465069132</v>
      </c>
      <c r="CS98" s="133">
        <f t="shared" si="331"/>
        <v>0.16818864650691351</v>
      </c>
      <c r="CT98" s="133">
        <f t="shared" si="331"/>
        <v>0.16818864650691331</v>
      </c>
      <c r="CU98" s="133">
        <f t="shared" si="331"/>
        <v>0.1681886465069134</v>
      </c>
      <c r="CV98" s="133">
        <f t="shared" si="331"/>
        <v>0.16818864650691351</v>
      </c>
      <c r="CW98" s="133">
        <f t="shared" si="331"/>
        <v>0.16818864650691359</v>
      </c>
      <c r="CX98" s="133">
        <f t="shared" si="331"/>
        <v>0.16646947245606575</v>
      </c>
      <c r="CY98" s="133">
        <f t="shared" si="331"/>
        <v>0.16646947245606561</v>
      </c>
      <c r="CZ98" s="133">
        <f t="shared" si="331"/>
        <v>0.1664694724560658</v>
      </c>
      <c r="DA98" s="133">
        <f t="shared" si="331"/>
        <v>0.16646947245606575</v>
      </c>
      <c r="DB98" s="133">
        <f t="shared" si="331"/>
        <v>0.16646947245606572</v>
      </c>
      <c r="DC98" s="133">
        <f t="shared" si="331"/>
        <v>0.1664694724560658</v>
      </c>
      <c r="DD98" s="133">
        <f t="shared" si="331"/>
        <v>0.16646947245606569</v>
      </c>
      <c r="DE98" s="133">
        <f t="shared" si="331"/>
        <v>0.16646947245606572</v>
      </c>
      <c r="DF98" s="133">
        <f t="shared" si="331"/>
        <v>0.16646947245606594</v>
      </c>
      <c r="DG98" s="133">
        <f t="shared" si="331"/>
        <v>0.16646947245606572</v>
      </c>
      <c r="DH98" s="133">
        <f t="shared" si="331"/>
        <v>0.16646947245606569</v>
      </c>
      <c r="DI98" s="133">
        <f t="shared" si="331"/>
        <v>0.16646947245606575</v>
      </c>
      <c r="DJ98" s="133">
        <f t="shared" ref="DJ98:DU98" si="332">DJ97/DJ57</f>
        <v>0.16471691638481342</v>
      </c>
      <c r="DK98" s="133">
        <f t="shared" si="332"/>
        <v>0.16471691638481342</v>
      </c>
      <c r="DL98" s="133">
        <f t="shared" si="332"/>
        <v>0.16471691638481364</v>
      </c>
      <c r="DM98" s="133">
        <f t="shared" si="332"/>
        <v>0.16471691638481356</v>
      </c>
      <c r="DN98" s="133">
        <f t="shared" si="332"/>
        <v>0.16471691638481351</v>
      </c>
      <c r="DO98" s="133">
        <f t="shared" si="332"/>
        <v>0.16471691638481353</v>
      </c>
      <c r="DP98" s="133">
        <f t="shared" si="332"/>
        <v>0.16471691638481348</v>
      </c>
      <c r="DQ98" s="133">
        <f t="shared" si="332"/>
        <v>0.16471691638481345</v>
      </c>
      <c r="DR98" s="133">
        <f t="shared" si="332"/>
        <v>0.16471691638481345</v>
      </c>
      <c r="DS98" s="133">
        <f t="shared" si="332"/>
        <v>0.16471691638481317</v>
      </c>
      <c r="DT98" s="133">
        <f t="shared" si="332"/>
        <v>0.16471691638481353</v>
      </c>
      <c r="DU98" s="133">
        <f t="shared" si="332"/>
        <v>0.16471691638481348</v>
      </c>
      <c r="DW98" s="133">
        <f t="shared" ref="DW98:EZ98" si="333">DW97/DW57</f>
        <v>0.13120909936219607</v>
      </c>
      <c r="DX98" s="657">
        <f t="shared" si="333"/>
        <v>0.12998401077784236</v>
      </c>
      <c r="DY98" s="133">
        <f t="shared" si="333"/>
        <v>0.13898487802242532</v>
      </c>
      <c r="DZ98" s="133">
        <f t="shared" si="333"/>
        <v>0.18881110222776457</v>
      </c>
      <c r="EA98" s="133">
        <f t="shared" si="333"/>
        <v>0.19161611616499166</v>
      </c>
      <c r="EB98" s="133">
        <f t="shared" si="333"/>
        <v>0.18600893533114221</v>
      </c>
      <c r="EC98" s="133">
        <f t="shared" si="333"/>
        <v>0.18967204849849381</v>
      </c>
      <c r="ED98" s="133">
        <f t="shared" si="333"/>
        <v>0.17354369363146205</v>
      </c>
      <c r="EE98" s="133">
        <f t="shared" si="333"/>
        <v>0.18058580427178375</v>
      </c>
      <c r="EF98" s="133">
        <f t="shared" si="333"/>
        <v>0.17999794072530906</v>
      </c>
      <c r="EG98" s="133">
        <f t="shared" si="333"/>
        <v>0.16241279327135244</v>
      </c>
      <c r="EH98" s="133">
        <f t="shared" si="333"/>
        <v>0.14311282865625927</v>
      </c>
      <c r="EI98" s="133">
        <f t="shared" si="333"/>
        <v>0.16818864650691345</v>
      </c>
      <c r="EJ98" s="133">
        <f t="shared" si="333"/>
        <v>0.1681886465069134</v>
      </c>
      <c r="EK98" s="133">
        <f t="shared" si="333"/>
        <v>0.16818864650691334</v>
      </c>
      <c r="EL98" s="133">
        <f t="shared" si="333"/>
        <v>0.16818864650691351</v>
      </c>
      <c r="EM98" s="133">
        <f t="shared" si="333"/>
        <v>0.16646947245606572</v>
      </c>
      <c r="EN98" s="133">
        <f t="shared" si="333"/>
        <v>0.16646947245606575</v>
      </c>
      <c r="EO98" s="648">
        <f t="shared" si="333"/>
        <v>0.1664694724560658</v>
      </c>
      <c r="EP98" s="133">
        <f t="shared" si="333"/>
        <v>0.16646947245606572</v>
      </c>
      <c r="EQ98" s="133">
        <f t="shared" ref="EQ98:ET98" si="334">EQ97/EQ57</f>
        <v>0.16471691638481351</v>
      </c>
      <c r="ER98" s="133">
        <f t="shared" si="334"/>
        <v>0.16471691638481353</v>
      </c>
      <c r="ES98" s="133">
        <f t="shared" si="334"/>
        <v>0.16471691638481348</v>
      </c>
      <c r="ET98" s="133">
        <f t="shared" si="334"/>
        <v>0.16471691638481337</v>
      </c>
      <c r="EU98" s="638"/>
      <c r="EV98" s="133">
        <f t="shared" si="333"/>
        <v>0.14789396191822657</v>
      </c>
      <c r="EW98" s="133">
        <f t="shared" si="333"/>
        <v>0.1841813769598831</v>
      </c>
      <c r="EX98" s="133">
        <f t="shared" si="333"/>
        <v>0.165353415641007</v>
      </c>
      <c r="EY98" s="133">
        <f t="shared" si="333"/>
        <v>0.16818864650691345</v>
      </c>
      <c r="EZ98" s="133">
        <f t="shared" si="333"/>
        <v>0.16646947245606578</v>
      </c>
      <c r="FA98" s="133">
        <f t="shared" ref="FA98" si="335">FA97/FA57</f>
        <v>0.16471691638481345</v>
      </c>
    </row>
    <row r="99" spans="2:157" x14ac:dyDescent="0.2">
      <c r="B99" s="117" t="s">
        <v>144</v>
      </c>
      <c r="C99" s="133">
        <f>(C61-C70-C72-C75)/C61</f>
        <v>0.30485060988748425</v>
      </c>
      <c r="D99" s="133">
        <f t="shared" ref="D99:BO99" si="336">(D61-D70-D72-D75)/D61</f>
        <v>0.31796734149623268</v>
      </c>
      <c r="E99" s="133">
        <f t="shared" si="336"/>
        <v>0.29638302719741905</v>
      </c>
      <c r="F99" s="133">
        <f t="shared" si="336"/>
        <v>0.21384683075967653</v>
      </c>
      <c r="G99" s="133">
        <f t="shared" si="336"/>
        <v>0.18604752281795642</v>
      </c>
      <c r="H99" s="133">
        <f t="shared" si="336"/>
        <v>0.17701971517221179</v>
      </c>
      <c r="I99" s="133">
        <f t="shared" si="336"/>
        <v>0.18646374107272118</v>
      </c>
      <c r="J99" s="133">
        <f t="shared" si="336"/>
        <v>0.21995797832741792</v>
      </c>
      <c r="K99" s="133">
        <f t="shared" si="336"/>
        <v>0.12271138320286765</v>
      </c>
      <c r="L99" s="133">
        <f t="shared" si="336"/>
        <v>0.22771705221524871</v>
      </c>
      <c r="M99" s="133">
        <f t="shared" si="336"/>
        <v>0.17191079827564554</v>
      </c>
      <c r="N99" s="133">
        <f t="shared" si="336"/>
        <v>0.21880778332339218</v>
      </c>
      <c r="O99" s="133">
        <f t="shared" si="336"/>
        <v>0.10085506137105828</v>
      </c>
      <c r="P99" s="133">
        <f t="shared" si="336"/>
        <v>-7.7505319253217575E-2</v>
      </c>
      <c r="Q99" s="133">
        <f t="shared" si="336"/>
        <v>0.10535094856989367</v>
      </c>
      <c r="R99" s="133">
        <f t="shared" si="336"/>
        <v>0.30317264443704262</v>
      </c>
      <c r="S99" s="133">
        <f t="shared" si="336"/>
        <v>0.15862449946118157</v>
      </c>
      <c r="T99" s="133">
        <f t="shared" si="336"/>
        <v>0.28196096458859465</v>
      </c>
      <c r="U99" s="133">
        <f t="shared" si="336"/>
        <v>0.47499543998956995</v>
      </c>
      <c r="V99" s="133">
        <f t="shared" si="336"/>
        <v>0.37699119993176189</v>
      </c>
      <c r="W99" s="133">
        <f t="shared" si="336"/>
        <v>0.30578680841182265</v>
      </c>
      <c r="X99" s="133">
        <f t="shared" si="336"/>
        <v>0.23508411452316527</v>
      </c>
      <c r="Y99" s="133">
        <f t="shared" si="336"/>
        <v>0.206918542481245</v>
      </c>
      <c r="Z99" s="133">
        <f t="shared" si="336"/>
        <v>0.23518737168581713</v>
      </c>
      <c r="AA99" s="133">
        <f t="shared" si="336"/>
        <v>0.23555485023980327</v>
      </c>
      <c r="AB99" s="133">
        <f t="shared" si="336"/>
        <v>0.28875437104211354</v>
      </c>
      <c r="AC99" s="133">
        <f t="shared" si="336"/>
        <v>0.25022942595518555</v>
      </c>
      <c r="AD99" s="133">
        <f t="shared" si="336"/>
        <v>0.25829393295487152</v>
      </c>
      <c r="AE99" s="133">
        <f t="shared" si="336"/>
        <v>0.23069196042076143</v>
      </c>
      <c r="AF99" s="133">
        <f t="shared" si="336"/>
        <v>0.20138034653339279</v>
      </c>
      <c r="AG99" s="133">
        <f t="shared" si="336"/>
        <v>0.25101806515179281</v>
      </c>
      <c r="AH99" s="133">
        <f t="shared" si="336"/>
        <v>0.23376266075010285</v>
      </c>
      <c r="AI99" s="133">
        <f t="shared" si="336"/>
        <v>0.26328494883333742</v>
      </c>
      <c r="AJ99" s="133">
        <f t="shared" si="336"/>
        <v>0.3107855435172866</v>
      </c>
      <c r="AK99" s="133">
        <f t="shared" si="336"/>
        <v>0.27421666719052212</v>
      </c>
      <c r="AL99" s="133">
        <f t="shared" si="336"/>
        <v>0.26721264083090485</v>
      </c>
      <c r="AM99" s="133">
        <f t="shared" si="336"/>
        <v>0.25508038860944959</v>
      </c>
      <c r="AN99" s="133">
        <f t="shared" si="336"/>
        <v>0.26971121170024565</v>
      </c>
      <c r="AO99" s="133">
        <f t="shared" si="336"/>
        <v>0.22205725239654739</v>
      </c>
      <c r="AP99" s="133">
        <f t="shared" si="336"/>
        <v>0.23565684318193866</v>
      </c>
      <c r="AQ99" s="133">
        <f t="shared" si="336"/>
        <v>0.21569926571012304</v>
      </c>
      <c r="AR99" s="133">
        <f t="shared" si="336"/>
        <v>0.19354287013620958</v>
      </c>
      <c r="AS99" s="133">
        <f t="shared" si="336"/>
        <v>0.18242087679932695</v>
      </c>
      <c r="AT99" s="133">
        <f t="shared" si="336"/>
        <v>0.20210596059724639</v>
      </c>
      <c r="AU99" s="133">
        <f t="shared" si="336"/>
        <v>0.22947050658197049</v>
      </c>
      <c r="AV99" s="133">
        <f t="shared" si="336"/>
        <v>0.22205287296456694</v>
      </c>
      <c r="AW99" s="133">
        <f t="shared" si="336"/>
        <v>0.23024514270308305</v>
      </c>
      <c r="AX99" s="133">
        <f t="shared" si="336"/>
        <v>0.22452399043549523</v>
      </c>
      <c r="AY99" s="133">
        <f t="shared" si="336"/>
        <v>0.22034954237359691</v>
      </c>
      <c r="AZ99" s="133">
        <f t="shared" si="336"/>
        <v>0.21796164790082265</v>
      </c>
      <c r="BA99" s="133">
        <f t="shared" si="336"/>
        <v>0.19690552406179027</v>
      </c>
      <c r="BB99" s="133">
        <f t="shared" si="336"/>
        <v>0.17996852256789159</v>
      </c>
      <c r="BC99" s="133">
        <f t="shared" si="336"/>
        <v>0.19711345837023087</v>
      </c>
      <c r="BD99" s="133">
        <f t="shared" si="336"/>
        <v>0.19930244096199137</v>
      </c>
      <c r="BE99" s="133">
        <f t="shared" si="336"/>
        <v>0.20267024621811747</v>
      </c>
      <c r="BF99" s="133">
        <f t="shared" si="336"/>
        <v>0.2150056069065085</v>
      </c>
      <c r="BG99" s="133">
        <f t="shared" si="336"/>
        <v>0.16204439678059537</v>
      </c>
      <c r="BH99" s="133">
        <f t="shared" si="336"/>
        <v>0.17770627532392422</v>
      </c>
      <c r="BI99" s="133">
        <f t="shared" si="336"/>
        <v>0.20577776992118949</v>
      </c>
      <c r="BJ99" s="133">
        <f t="shared" si="336"/>
        <v>0.21021618620047708</v>
      </c>
      <c r="BK99" s="133">
        <f t="shared" si="336"/>
        <v>0.21872159431578223</v>
      </c>
      <c r="BL99" s="133">
        <f t="shared" si="336"/>
        <v>0.26873163643372527</v>
      </c>
      <c r="BM99" s="133">
        <f t="shared" si="336"/>
        <v>0.24444601410526304</v>
      </c>
      <c r="BN99" s="133">
        <f t="shared" si="336"/>
        <v>0.23068515969302353</v>
      </c>
      <c r="BO99" s="133">
        <f t="shared" si="336"/>
        <v>0.22523126713769329</v>
      </c>
      <c r="BP99" s="133">
        <f t="shared" ref="BP99:DI99" si="337">(BP61-BP70-BP72-BP75)/BP61</f>
        <v>0.24637901189598399</v>
      </c>
      <c r="BQ99" s="133">
        <f t="shared" si="337"/>
        <v>0.22929788551545607</v>
      </c>
      <c r="BR99" s="133">
        <f t="shared" si="337"/>
        <v>0.23209614058430578</v>
      </c>
      <c r="BS99" s="133">
        <f t="shared" si="337"/>
        <v>0.23056612187288841</v>
      </c>
      <c r="BT99" s="133">
        <f t="shared" si="337"/>
        <v>0.24040568095888865</v>
      </c>
      <c r="BU99" s="133">
        <f t="shared" si="337"/>
        <v>0.24203150408633686</v>
      </c>
      <c r="BV99" s="133">
        <f t="shared" si="337"/>
        <v>0.22235796054065268</v>
      </c>
      <c r="BW99" s="133">
        <f t="shared" si="337"/>
        <v>0.2183835541597158</v>
      </c>
      <c r="BX99" s="133">
        <f t="shared" si="337"/>
        <v>0.2070565955342635</v>
      </c>
      <c r="BY99" s="133">
        <f t="shared" si="337"/>
        <v>0.21245294090788946</v>
      </c>
      <c r="BZ99" s="133">
        <f t="shared" si="337"/>
        <v>0.20975411792536555</v>
      </c>
      <c r="CA99" s="133">
        <f t="shared" si="337"/>
        <v>0.21205531553871779</v>
      </c>
      <c r="CB99" s="133">
        <f t="shared" si="337"/>
        <v>0.22172887503443162</v>
      </c>
      <c r="CC99" s="133">
        <f t="shared" si="337"/>
        <v>0.22609242443742109</v>
      </c>
      <c r="CD99" s="133">
        <f t="shared" si="337"/>
        <v>0.23631041565129129</v>
      </c>
      <c r="CE99" s="133">
        <f t="shared" si="337"/>
        <v>0.19858603564861574</v>
      </c>
      <c r="CF99" s="133">
        <f t="shared" si="337"/>
        <v>0.21263629538069762</v>
      </c>
      <c r="CG99" s="133">
        <f t="shared" si="337"/>
        <v>0.20855809105240355</v>
      </c>
      <c r="CH99" s="133">
        <f t="shared" si="337"/>
        <v>0.19342930781445236</v>
      </c>
      <c r="CI99" s="133">
        <f t="shared" si="337"/>
        <v>0.18462727519872593</v>
      </c>
      <c r="CJ99" s="133">
        <f t="shared" si="337"/>
        <v>0.18334716187720118</v>
      </c>
      <c r="CK99" s="133">
        <f t="shared" si="337"/>
        <v>0.17459891596272434</v>
      </c>
      <c r="CL99" s="133">
        <f t="shared" si="337"/>
        <v>0.20227261875080094</v>
      </c>
      <c r="CM99" s="133">
        <f t="shared" si="337"/>
        <v>0.20227261875080091</v>
      </c>
      <c r="CN99" s="133">
        <f t="shared" si="337"/>
        <v>0.2022726187508008</v>
      </c>
      <c r="CO99" s="133">
        <f t="shared" si="337"/>
        <v>0.2022726187508008</v>
      </c>
      <c r="CP99" s="133">
        <f t="shared" si="337"/>
        <v>0.20227261875080091</v>
      </c>
      <c r="CQ99" s="133">
        <f t="shared" si="337"/>
        <v>0.20227261875080094</v>
      </c>
      <c r="CR99" s="133">
        <f t="shared" si="337"/>
        <v>0.2022726187508008</v>
      </c>
      <c r="CS99" s="133">
        <f t="shared" si="337"/>
        <v>0.20227261875080102</v>
      </c>
      <c r="CT99" s="133">
        <f t="shared" si="337"/>
        <v>0.20227261875080105</v>
      </c>
      <c r="CU99" s="133">
        <f t="shared" si="337"/>
        <v>0.20227261875080127</v>
      </c>
      <c r="CV99" s="133">
        <f t="shared" si="337"/>
        <v>0.20227261875080091</v>
      </c>
      <c r="CW99" s="133">
        <f t="shared" si="337"/>
        <v>0.2022726187508011</v>
      </c>
      <c r="CX99" s="133">
        <f t="shared" si="337"/>
        <v>0.20081319647749513</v>
      </c>
      <c r="CY99" s="133">
        <f t="shared" si="337"/>
        <v>0.20081319647749521</v>
      </c>
      <c r="CZ99" s="133">
        <f t="shared" si="337"/>
        <v>0.20081319647749532</v>
      </c>
      <c r="DA99" s="133">
        <f t="shared" si="337"/>
        <v>0.20081319647749538</v>
      </c>
      <c r="DB99" s="133">
        <f t="shared" si="337"/>
        <v>0.2008131964774954</v>
      </c>
      <c r="DC99" s="133">
        <f t="shared" si="337"/>
        <v>0.2008131964774954</v>
      </c>
      <c r="DD99" s="133">
        <f t="shared" si="337"/>
        <v>0.20081319647749524</v>
      </c>
      <c r="DE99" s="133">
        <f t="shared" si="337"/>
        <v>0.20081319647749518</v>
      </c>
      <c r="DF99" s="133">
        <f t="shared" si="337"/>
        <v>0.20081319647749532</v>
      </c>
      <c r="DG99" s="133">
        <f t="shared" si="337"/>
        <v>0.2008131964774954</v>
      </c>
      <c r="DH99" s="133">
        <f t="shared" si="337"/>
        <v>0.20081319647749532</v>
      </c>
      <c r="DI99" s="133">
        <f t="shared" si="337"/>
        <v>0.20081319647749538</v>
      </c>
      <c r="DJ99" s="133">
        <f t="shared" ref="DJ99:DU99" si="338">(DJ61-DJ70-DJ72-DJ75)/DJ61</f>
        <v>0.19932543590762045</v>
      </c>
      <c r="DK99" s="133">
        <f t="shared" si="338"/>
        <v>0.1993254359076205</v>
      </c>
      <c r="DL99" s="133">
        <f t="shared" si="338"/>
        <v>0.19932543590762056</v>
      </c>
      <c r="DM99" s="133">
        <f t="shared" si="338"/>
        <v>0.19932543590762053</v>
      </c>
      <c r="DN99" s="133">
        <f t="shared" si="338"/>
        <v>0.1993254359076205</v>
      </c>
      <c r="DO99" s="133">
        <f t="shared" si="338"/>
        <v>0.19932543590762047</v>
      </c>
      <c r="DP99" s="133">
        <f t="shared" si="338"/>
        <v>0.19932543590762056</v>
      </c>
      <c r="DQ99" s="133">
        <f t="shared" si="338"/>
        <v>0.19932543590762059</v>
      </c>
      <c r="DR99" s="133">
        <f t="shared" si="338"/>
        <v>0.1993254359076205</v>
      </c>
      <c r="DS99" s="133">
        <f t="shared" si="338"/>
        <v>0.19932543590762034</v>
      </c>
      <c r="DT99" s="133">
        <f t="shared" si="338"/>
        <v>0.19932543590762053</v>
      </c>
      <c r="DU99" s="133">
        <f t="shared" si="338"/>
        <v>0.19932543590762045</v>
      </c>
      <c r="DW99" s="133">
        <f t="shared" ref="DW99:EZ99" si="339">(DW61-DW70-DW72-DW75)/DW61</f>
        <v>0.19214193939848059</v>
      </c>
      <c r="DX99" s="657">
        <f t="shared" si="339"/>
        <v>0.19152867742895932</v>
      </c>
      <c r="DY99" s="133">
        <f t="shared" si="339"/>
        <v>0.19588947514861074</v>
      </c>
      <c r="DZ99" s="133">
        <f t="shared" si="339"/>
        <v>0.24154061022881548</v>
      </c>
      <c r="EA99" s="133">
        <f t="shared" si="339"/>
        <v>0.2343487038428779</v>
      </c>
      <c r="EB99" s="133">
        <f t="shared" si="339"/>
        <v>0.23062460488485845</v>
      </c>
      <c r="EC99" s="133">
        <f t="shared" si="339"/>
        <v>0.23443669000834719</v>
      </c>
      <c r="ED99" s="133">
        <f t="shared" si="339"/>
        <v>0.21268432996659245</v>
      </c>
      <c r="EE99" s="133">
        <f t="shared" si="339"/>
        <v>0.21449430030464367</v>
      </c>
      <c r="EF99" s="133">
        <f t="shared" si="339"/>
        <v>0.21876754646681815</v>
      </c>
      <c r="EG99" s="133">
        <f t="shared" si="339"/>
        <v>0.2041721079238745</v>
      </c>
      <c r="EH99" s="133">
        <f t="shared" si="339"/>
        <v>0.18078457931975356</v>
      </c>
      <c r="EI99" s="133">
        <f t="shared" si="339"/>
        <v>0.20227261875080085</v>
      </c>
      <c r="EJ99" s="133">
        <f t="shared" si="339"/>
        <v>0.20227261875080102</v>
      </c>
      <c r="EK99" s="133">
        <f t="shared" si="339"/>
        <v>0.20227261875080099</v>
      </c>
      <c r="EL99" s="133">
        <f t="shared" si="339"/>
        <v>0.20227261875080113</v>
      </c>
      <c r="EM99" s="133">
        <f t="shared" si="339"/>
        <v>0.20081319647749526</v>
      </c>
      <c r="EN99" s="133">
        <f t="shared" si="339"/>
        <v>0.2008131964774954</v>
      </c>
      <c r="EO99" s="648">
        <f t="shared" si="339"/>
        <v>0.20081319647749524</v>
      </c>
      <c r="EP99" s="133">
        <f t="shared" si="339"/>
        <v>0.20081319647749535</v>
      </c>
      <c r="EQ99" s="133">
        <f t="shared" ref="EQ99:ET99" si="340">(EQ61-EQ70-EQ72-EQ75)/EQ61</f>
        <v>0.19932543590762059</v>
      </c>
      <c r="ER99" s="133">
        <f t="shared" si="340"/>
        <v>0.19932543590762059</v>
      </c>
      <c r="ES99" s="133">
        <f t="shared" si="340"/>
        <v>0.1993254359076205</v>
      </c>
      <c r="ET99" s="133">
        <f t="shared" si="340"/>
        <v>0.19932543590762045</v>
      </c>
      <c r="EU99" s="638"/>
      <c r="EV99" s="133">
        <f t="shared" si="339"/>
        <v>0.20564305947675318</v>
      </c>
      <c r="EW99" s="133">
        <f t="shared" si="339"/>
        <v>0.22670916926623114</v>
      </c>
      <c r="EX99" s="133">
        <f t="shared" si="339"/>
        <v>0.20346776743180228</v>
      </c>
      <c r="EY99" s="133">
        <f t="shared" si="339"/>
        <v>0.20227261875080102</v>
      </c>
      <c r="EZ99" s="133">
        <f t="shared" si="339"/>
        <v>0.20081319647749538</v>
      </c>
      <c r="FA99" s="133">
        <f t="shared" ref="FA99" si="341">(FA61-FA70-FA72-FA75)/FA61</f>
        <v>0.19932543590762061</v>
      </c>
    </row>
    <row r="100" spans="2:157" x14ac:dyDescent="0.2">
      <c r="B100" s="117" t="s">
        <v>494</v>
      </c>
      <c r="C100" s="128">
        <v>0</v>
      </c>
      <c r="D100" s="128">
        <v>0</v>
      </c>
      <c r="E100" s="128">
        <v>0</v>
      </c>
      <c r="F100" s="128">
        <v>0</v>
      </c>
      <c r="G100" s="128">
        <v>0</v>
      </c>
      <c r="H100" s="128">
        <v>0</v>
      </c>
      <c r="I100" s="128">
        <v>0</v>
      </c>
      <c r="J100" s="128">
        <v>0</v>
      </c>
      <c r="K100" s="128">
        <v>0</v>
      </c>
      <c r="L100" s="128">
        <v>0</v>
      </c>
      <c r="M100" s="128">
        <v>0</v>
      </c>
      <c r="N100" s="128">
        <v>0</v>
      </c>
      <c r="O100" s="128">
        <v>0</v>
      </c>
      <c r="P100" s="128">
        <v>0</v>
      </c>
      <c r="Q100" s="128">
        <v>0</v>
      </c>
      <c r="R100" s="128">
        <v>0</v>
      </c>
      <c r="S100" s="128">
        <v>0</v>
      </c>
      <c r="T100" s="128">
        <v>0</v>
      </c>
      <c r="U100" s="128">
        <v>0</v>
      </c>
      <c r="V100" s="128">
        <v>0</v>
      </c>
      <c r="W100" s="128">
        <v>0</v>
      </c>
      <c r="X100" s="128">
        <v>0</v>
      </c>
      <c r="Y100" s="128">
        <v>0</v>
      </c>
      <c r="Z100" s="128">
        <v>0</v>
      </c>
      <c r="AA100" s="128">
        <v>0</v>
      </c>
      <c r="AB100" s="128">
        <v>0</v>
      </c>
      <c r="AC100" s="128">
        <v>0</v>
      </c>
      <c r="AD100" s="128">
        <v>0</v>
      </c>
      <c r="AE100" s="128">
        <v>0</v>
      </c>
      <c r="AF100" s="128">
        <v>0</v>
      </c>
      <c r="AG100" s="128">
        <v>0</v>
      </c>
      <c r="AH100" s="128">
        <v>0</v>
      </c>
      <c r="AI100" s="128">
        <v>0</v>
      </c>
      <c r="AJ100" s="128">
        <v>0</v>
      </c>
      <c r="AK100" s="128">
        <v>0</v>
      </c>
      <c r="AL100" s="128">
        <v>0</v>
      </c>
      <c r="AM100" s="128">
        <v>0</v>
      </c>
      <c r="AN100" s="128">
        <v>0</v>
      </c>
      <c r="AO100" s="128">
        <v>0</v>
      </c>
      <c r="AP100" s="128">
        <v>0</v>
      </c>
      <c r="AQ100" s="128">
        <v>0</v>
      </c>
      <c r="AR100" s="128">
        <v>0</v>
      </c>
      <c r="AS100" s="128">
        <v>0</v>
      </c>
      <c r="AT100" s="128">
        <v>0</v>
      </c>
      <c r="AU100" s="128">
        <v>0</v>
      </c>
      <c r="AV100" s="128">
        <v>0</v>
      </c>
      <c r="AW100" s="128">
        <v>0</v>
      </c>
      <c r="AX100" s="128">
        <v>0</v>
      </c>
      <c r="AY100" s="128">
        <v>0</v>
      </c>
      <c r="AZ100" s="128">
        <v>0</v>
      </c>
      <c r="BA100" s="128">
        <v>0</v>
      </c>
      <c r="BB100" s="128">
        <v>0</v>
      </c>
      <c r="BC100" s="128">
        <v>0</v>
      </c>
      <c r="BD100" s="128">
        <v>0</v>
      </c>
      <c r="BE100" s="128">
        <v>0</v>
      </c>
      <c r="BF100" s="128">
        <v>0</v>
      </c>
      <c r="BG100" s="128">
        <v>0</v>
      </c>
      <c r="BH100" s="128">
        <v>0</v>
      </c>
      <c r="BI100" s="128">
        <v>0</v>
      </c>
      <c r="BJ100" s="128">
        <v>0</v>
      </c>
      <c r="BK100" s="128">
        <v>0</v>
      </c>
      <c r="BL100" s="128">
        <v>0</v>
      </c>
      <c r="BM100" s="128">
        <v>0</v>
      </c>
      <c r="BN100" s="128">
        <v>0</v>
      </c>
      <c r="BO100" s="128">
        <v>0</v>
      </c>
      <c r="BP100" s="128">
        <v>0</v>
      </c>
      <c r="BQ100" s="128">
        <v>0</v>
      </c>
      <c r="BR100" s="128">
        <v>0</v>
      </c>
      <c r="BS100" s="128">
        <v>0</v>
      </c>
      <c r="BT100" s="128">
        <v>0</v>
      </c>
      <c r="BU100" s="128">
        <v>0</v>
      </c>
      <c r="BV100" s="128">
        <v>0</v>
      </c>
      <c r="BW100" s="128">
        <v>0</v>
      </c>
      <c r="BX100" s="128">
        <v>0</v>
      </c>
      <c r="BY100" s="128">
        <v>0</v>
      </c>
      <c r="BZ100" s="128">
        <v>0</v>
      </c>
      <c r="CA100" s="128">
        <v>0</v>
      </c>
      <c r="CB100" s="128">
        <v>0</v>
      </c>
      <c r="CC100" s="128">
        <v>0</v>
      </c>
      <c r="CD100" s="128">
        <v>0</v>
      </c>
      <c r="CE100" s="128">
        <v>0</v>
      </c>
      <c r="CF100" s="128">
        <v>0</v>
      </c>
      <c r="CG100" s="128">
        <v>0</v>
      </c>
      <c r="CH100" s="128">
        <v>0</v>
      </c>
      <c r="CI100" s="128">
        <v>0</v>
      </c>
      <c r="CJ100" s="128">
        <v>0</v>
      </c>
      <c r="CK100" s="128">
        <v>0</v>
      </c>
      <c r="CL100" s="128">
        <v>0</v>
      </c>
      <c r="CM100" s="128">
        <v>0</v>
      </c>
      <c r="CN100" s="128">
        <v>0</v>
      </c>
      <c r="CO100" s="128">
        <v>0</v>
      </c>
      <c r="CP100" s="128">
        <v>0</v>
      </c>
      <c r="CQ100" s="128">
        <v>0</v>
      </c>
      <c r="CR100" s="128">
        <v>0</v>
      </c>
      <c r="CS100" s="128">
        <v>0</v>
      </c>
      <c r="CT100" s="128">
        <v>0</v>
      </c>
      <c r="CU100" s="128">
        <v>0</v>
      </c>
      <c r="CV100" s="128">
        <v>0</v>
      </c>
      <c r="CW100" s="128">
        <v>0</v>
      </c>
      <c r="CX100" s="128">
        <v>0</v>
      </c>
      <c r="CY100" s="128">
        <v>0</v>
      </c>
      <c r="CZ100" s="128">
        <v>0</v>
      </c>
      <c r="DA100" s="128">
        <v>0</v>
      </c>
      <c r="DB100" s="128">
        <v>0</v>
      </c>
      <c r="DC100" s="128">
        <v>0</v>
      </c>
      <c r="DD100" s="128">
        <v>0</v>
      </c>
      <c r="DE100" s="128">
        <v>0</v>
      </c>
      <c r="DF100" s="128">
        <v>0</v>
      </c>
      <c r="DG100" s="128">
        <v>0</v>
      </c>
      <c r="DH100" s="128">
        <v>0</v>
      </c>
      <c r="DI100" s="128">
        <v>0</v>
      </c>
      <c r="DJ100" s="128">
        <v>0</v>
      </c>
      <c r="DK100" s="128">
        <v>0</v>
      </c>
      <c r="DL100" s="128">
        <v>0</v>
      </c>
      <c r="DM100" s="128">
        <v>0</v>
      </c>
      <c r="DN100" s="128">
        <v>0</v>
      </c>
      <c r="DO100" s="128">
        <v>0</v>
      </c>
      <c r="DP100" s="128">
        <v>0</v>
      </c>
      <c r="DQ100" s="128">
        <v>0</v>
      </c>
      <c r="DR100" s="128">
        <v>0</v>
      </c>
      <c r="DS100" s="128">
        <v>0</v>
      </c>
      <c r="DT100" s="128">
        <v>0</v>
      </c>
      <c r="DU100" s="128">
        <v>0</v>
      </c>
      <c r="DW100" s="128">
        <v>0</v>
      </c>
      <c r="DX100" s="659">
        <v>0</v>
      </c>
      <c r="DY100" s="128">
        <v>0</v>
      </c>
      <c r="DZ100" s="128">
        <v>0</v>
      </c>
      <c r="EA100" s="128">
        <v>0</v>
      </c>
      <c r="EB100" s="128">
        <v>0</v>
      </c>
      <c r="EC100" s="128">
        <v>0</v>
      </c>
      <c r="ED100" s="128">
        <v>0</v>
      </c>
      <c r="EE100" s="128">
        <v>0</v>
      </c>
      <c r="EF100" s="128">
        <v>0</v>
      </c>
      <c r="EG100" s="128">
        <v>0</v>
      </c>
      <c r="EH100" s="128">
        <v>0</v>
      </c>
      <c r="EI100" s="128">
        <v>0</v>
      </c>
      <c r="EJ100" s="128">
        <v>0</v>
      </c>
      <c r="EK100" s="128">
        <v>0</v>
      </c>
      <c r="EL100" s="128">
        <v>0</v>
      </c>
      <c r="EM100" s="128">
        <v>0</v>
      </c>
      <c r="EN100" s="128">
        <v>0</v>
      </c>
      <c r="EO100" s="652">
        <v>0</v>
      </c>
      <c r="EP100" s="128">
        <v>0</v>
      </c>
      <c r="EQ100" s="128">
        <v>0</v>
      </c>
      <c r="ER100" s="128">
        <v>0</v>
      </c>
      <c r="ES100" s="128">
        <v>0</v>
      </c>
      <c r="ET100" s="128">
        <v>0</v>
      </c>
      <c r="EU100" s="640"/>
      <c r="EV100" s="128">
        <v>0</v>
      </c>
      <c r="EW100" s="128">
        <v>0</v>
      </c>
      <c r="EX100" s="128">
        <v>0</v>
      </c>
      <c r="EY100" s="128">
        <v>0</v>
      </c>
      <c r="EZ100" s="128">
        <v>0</v>
      </c>
      <c r="FA100" s="128">
        <v>0</v>
      </c>
    </row>
    <row r="101" spans="2:157" x14ac:dyDescent="0.2">
      <c r="B101" s="117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5"/>
      <c r="BL101" s="115"/>
      <c r="BM101" s="115"/>
      <c r="BN101" s="115"/>
      <c r="BO101" s="115"/>
      <c r="BP101" s="115"/>
      <c r="BQ101" s="115"/>
      <c r="BR101" s="115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115"/>
      <c r="CD101" s="115"/>
      <c r="CE101" s="115"/>
      <c r="CF101" s="115"/>
      <c r="CG101" s="115"/>
      <c r="CH101" s="115"/>
      <c r="CI101" s="115"/>
      <c r="CJ101" s="115"/>
      <c r="CK101" s="115"/>
      <c r="CL101" s="115"/>
      <c r="CM101" s="115"/>
      <c r="CN101" s="115"/>
      <c r="CO101" s="115"/>
      <c r="CP101" s="115"/>
      <c r="CQ101" s="115"/>
      <c r="CR101" s="115"/>
      <c r="CS101" s="115"/>
      <c r="CT101" s="115"/>
      <c r="CU101" s="115"/>
      <c r="CV101" s="115"/>
      <c r="CW101" s="115"/>
      <c r="CX101" s="115"/>
      <c r="CY101" s="115"/>
      <c r="CZ101" s="115"/>
      <c r="DA101" s="115"/>
      <c r="DB101" s="115"/>
      <c r="DC101" s="115"/>
      <c r="DD101" s="115"/>
      <c r="DE101" s="115"/>
      <c r="DF101" s="115"/>
      <c r="DG101" s="115"/>
      <c r="DH101" s="115"/>
      <c r="DI101" s="115"/>
      <c r="DJ101" s="115"/>
      <c r="DK101" s="115"/>
      <c r="DL101" s="115"/>
      <c r="DM101" s="115"/>
      <c r="DN101" s="115"/>
      <c r="DO101" s="115"/>
      <c r="DP101" s="115"/>
      <c r="DQ101" s="115"/>
      <c r="DR101" s="115"/>
      <c r="DS101" s="115"/>
      <c r="DT101" s="115"/>
      <c r="DU101" s="115"/>
      <c r="DW101" s="115"/>
      <c r="DX101" s="664"/>
      <c r="DY101" s="115"/>
      <c r="DZ101" s="115"/>
      <c r="EA101" s="115"/>
      <c r="EB101" s="115"/>
      <c r="EC101" s="115"/>
      <c r="ED101" s="115"/>
      <c r="EE101" s="115"/>
      <c r="EF101" s="115"/>
      <c r="EG101" s="115"/>
      <c r="EH101" s="115"/>
      <c r="EI101" s="115"/>
      <c r="EJ101" s="115"/>
      <c r="EK101" s="115"/>
      <c r="EL101" s="115"/>
      <c r="EM101" s="115"/>
      <c r="EN101" s="115"/>
      <c r="EO101" s="645"/>
      <c r="EP101" s="115"/>
      <c r="EQ101" s="115"/>
      <c r="ER101" s="115"/>
      <c r="ES101" s="115"/>
      <c r="ET101" s="115"/>
      <c r="EV101" s="115"/>
      <c r="EW101" s="115"/>
      <c r="EX101" s="115"/>
      <c r="EY101" s="115"/>
      <c r="EZ101" s="115"/>
      <c r="FA101" s="664"/>
    </row>
    <row r="102" spans="2:157" x14ac:dyDescent="0.2">
      <c r="B102" s="117" t="s">
        <v>132</v>
      </c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115"/>
      <c r="AT102" s="115"/>
      <c r="AU102" s="115"/>
      <c r="AV102" s="115"/>
      <c r="AW102" s="115"/>
      <c r="AX102" s="115"/>
      <c r="AY102" s="115"/>
      <c r="AZ102" s="115"/>
      <c r="BA102" s="115"/>
      <c r="BB102" s="115"/>
      <c r="BC102" s="115"/>
      <c r="BD102" s="115"/>
      <c r="BE102" s="115"/>
      <c r="BF102" s="115"/>
      <c r="BG102" s="115"/>
      <c r="BH102" s="115"/>
      <c r="BI102" s="115"/>
      <c r="BJ102" s="115"/>
      <c r="BK102" s="115"/>
      <c r="BL102" s="115"/>
      <c r="BM102" s="115"/>
      <c r="BN102" s="115"/>
      <c r="BO102" s="115"/>
      <c r="BP102" s="115"/>
      <c r="BQ102" s="115"/>
      <c r="BR102" s="115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115"/>
      <c r="CD102" s="115"/>
      <c r="CE102" s="115"/>
      <c r="CF102" s="115"/>
      <c r="CG102" s="115"/>
      <c r="CH102" s="115"/>
      <c r="CI102" s="115"/>
      <c r="CJ102" s="115"/>
      <c r="CK102" s="115"/>
      <c r="CL102" s="115"/>
      <c r="CM102" s="115"/>
      <c r="CN102" s="115"/>
      <c r="CO102" s="115"/>
      <c r="CP102" s="115"/>
      <c r="CQ102" s="115"/>
      <c r="CR102" s="115"/>
      <c r="CS102" s="115"/>
      <c r="CT102" s="115"/>
      <c r="CU102" s="115"/>
      <c r="CV102" s="115"/>
      <c r="CW102" s="115"/>
      <c r="CX102" s="115"/>
      <c r="CY102" s="115"/>
      <c r="CZ102" s="115"/>
      <c r="DA102" s="115"/>
      <c r="DB102" s="115"/>
      <c r="DC102" s="115"/>
      <c r="DD102" s="115"/>
      <c r="DE102" s="115"/>
      <c r="DF102" s="115"/>
      <c r="DG102" s="115"/>
      <c r="DH102" s="115"/>
      <c r="DI102" s="115"/>
      <c r="DJ102" s="115"/>
      <c r="DK102" s="115"/>
      <c r="DL102" s="115"/>
      <c r="DM102" s="115"/>
      <c r="DN102" s="115"/>
      <c r="DO102" s="115"/>
      <c r="DP102" s="115"/>
      <c r="DQ102" s="115"/>
      <c r="DR102" s="115"/>
      <c r="DS102" s="115"/>
      <c r="DT102" s="115"/>
      <c r="DU102" s="115"/>
      <c r="DW102" s="115"/>
      <c r="DX102" s="664"/>
      <c r="DY102" s="115"/>
      <c r="DZ102" s="115"/>
      <c r="EA102" s="115"/>
      <c r="EB102" s="115"/>
      <c r="EC102" s="115"/>
      <c r="ED102" s="115"/>
      <c r="EE102" s="115"/>
      <c r="EF102" s="115"/>
      <c r="EG102" s="115"/>
      <c r="EH102" s="115"/>
      <c r="EI102" s="115"/>
      <c r="EJ102" s="115"/>
      <c r="EK102" s="115"/>
      <c r="EL102" s="115"/>
      <c r="EM102" s="115"/>
      <c r="EN102" s="115"/>
      <c r="EO102" s="645"/>
      <c r="EP102" s="115"/>
      <c r="EQ102" s="115"/>
      <c r="ER102" s="115"/>
      <c r="ES102" s="115"/>
      <c r="ET102" s="115"/>
      <c r="EV102" s="115"/>
      <c r="EW102" s="115"/>
      <c r="EX102" s="115"/>
      <c r="EY102" s="115"/>
      <c r="EZ102" s="115"/>
      <c r="FA102" s="664"/>
    </row>
    <row r="103" spans="2:157" x14ac:dyDescent="0.2">
      <c r="B103" s="117" t="s">
        <v>133</v>
      </c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115"/>
      <c r="AL103" s="115"/>
      <c r="AM103" s="115"/>
      <c r="AN103" s="115"/>
      <c r="AO103" s="115"/>
      <c r="AP103" s="115"/>
      <c r="AQ103" s="115"/>
      <c r="AR103" s="115"/>
      <c r="AS103" s="115"/>
      <c r="AT103" s="115"/>
      <c r="AU103" s="115"/>
      <c r="AV103" s="115"/>
      <c r="AW103" s="115"/>
      <c r="AX103" s="115"/>
      <c r="AY103" s="115"/>
      <c r="AZ103" s="115"/>
      <c r="BA103" s="115"/>
      <c r="BB103" s="115"/>
      <c r="BC103" s="115"/>
      <c r="BD103" s="115"/>
      <c r="BE103" s="115"/>
      <c r="BF103" s="115"/>
      <c r="BG103" s="115"/>
      <c r="BH103" s="115"/>
      <c r="BI103" s="115"/>
      <c r="BJ103" s="115"/>
      <c r="BK103" s="115"/>
      <c r="BL103" s="115"/>
      <c r="BM103" s="115"/>
      <c r="BN103" s="115"/>
      <c r="BO103" s="115"/>
      <c r="BP103" s="115"/>
      <c r="BQ103" s="115"/>
      <c r="BR103" s="115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115"/>
      <c r="CD103" s="115"/>
      <c r="CE103" s="115"/>
      <c r="CF103" s="115"/>
      <c r="CG103" s="115"/>
      <c r="CH103" s="115"/>
      <c r="CI103" s="115"/>
      <c r="CJ103" s="115"/>
      <c r="CK103" s="115"/>
      <c r="CL103" s="115"/>
      <c r="CM103" s="115"/>
      <c r="CN103" s="115"/>
      <c r="CO103" s="115"/>
      <c r="CP103" s="115"/>
      <c r="CQ103" s="115"/>
      <c r="CR103" s="115"/>
      <c r="CS103" s="115"/>
      <c r="CT103" s="115"/>
      <c r="CU103" s="115"/>
      <c r="CV103" s="115"/>
      <c r="CW103" s="115"/>
      <c r="CX103" s="115"/>
      <c r="CY103" s="115"/>
      <c r="CZ103" s="115"/>
      <c r="DA103" s="115"/>
      <c r="DB103" s="115"/>
      <c r="DC103" s="115"/>
      <c r="DD103" s="115"/>
      <c r="DE103" s="115"/>
      <c r="DF103" s="115"/>
      <c r="DG103" s="115"/>
      <c r="DH103" s="115"/>
      <c r="DI103" s="115"/>
      <c r="DJ103" s="115"/>
      <c r="DK103" s="115"/>
      <c r="DL103" s="115"/>
      <c r="DM103" s="115"/>
      <c r="DN103" s="115"/>
      <c r="DO103" s="115"/>
      <c r="DP103" s="115"/>
      <c r="DQ103" s="115"/>
      <c r="DR103" s="115"/>
      <c r="DS103" s="115"/>
      <c r="DT103" s="115"/>
      <c r="DU103" s="115"/>
      <c r="DW103" s="115"/>
      <c r="DX103" s="664"/>
      <c r="DY103" s="115"/>
      <c r="DZ103" s="115"/>
      <c r="EA103" s="115"/>
      <c r="EB103" s="115"/>
      <c r="EC103" s="115"/>
      <c r="ED103" s="115"/>
      <c r="EE103" s="115"/>
      <c r="EF103" s="115"/>
      <c r="EG103" s="115"/>
      <c r="EH103" s="115"/>
      <c r="EI103" s="115"/>
      <c r="EJ103" s="115"/>
      <c r="EK103" s="115"/>
      <c r="EL103" s="115"/>
      <c r="EM103" s="115"/>
      <c r="EN103" s="115"/>
      <c r="EO103" s="645"/>
      <c r="EP103" s="115"/>
      <c r="EQ103" s="115"/>
      <c r="ER103" s="115"/>
      <c r="ES103" s="115"/>
      <c r="ET103" s="115"/>
      <c r="EV103" s="115"/>
      <c r="EW103" s="115"/>
      <c r="EX103" s="115"/>
      <c r="EY103" s="115"/>
      <c r="EZ103" s="115"/>
      <c r="FA103" s="664"/>
    </row>
    <row r="104" spans="2:157" x14ac:dyDescent="0.2">
      <c r="B104" s="117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115"/>
      <c r="AJ104" s="115"/>
      <c r="AK104" s="115"/>
      <c r="AL104" s="115"/>
      <c r="AM104" s="115"/>
      <c r="AN104" s="115"/>
      <c r="AO104" s="115"/>
      <c r="AP104" s="115"/>
      <c r="AQ104" s="115"/>
      <c r="AR104" s="115"/>
      <c r="AS104" s="115"/>
      <c r="AT104" s="115"/>
      <c r="AU104" s="115"/>
      <c r="AV104" s="115"/>
      <c r="AW104" s="115"/>
      <c r="AX104" s="115"/>
      <c r="AY104" s="115"/>
      <c r="AZ104" s="115"/>
      <c r="BA104" s="115"/>
      <c r="BB104" s="115"/>
      <c r="BC104" s="115"/>
      <c r="BD104" s="115"/>
      <c r="BE104" s="115"/>
      <c r="BF104" s="115"/>
      <c r="BG104" s="115"/>
      <c r="BH104" s="115"/>
      <c r="BI104" s="115"/>
      <c r="BJ104" s="115"/>
      <c r="BK104" s="115"/>
      <c r="BL104" s="115"/>
      <c r="BM104" s="115"/>
      <c r="BN104" s="115"/>
      <c r="BO104" s="115"/>
      <c r="BP104" s="115"/>
      <c r="BQ104" s="115"/>
      <c r="BR104" s="115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115"/>
      <c r="CD104" s="115"/>
      <c r="CE104" s="115"/>
      <c r="CF104" s="115"/>
      <c r="CG104" s="115"/>
      <c r="CH104" s="115"/>
      <c r="CI104" s="115"/>
      <c r="CJ104" s="115"/>
      <c r="CK104" s="115"/>
      <c r="CL104" s="115"/>
      <c r="CM104" s="115"/>
      <c r="CN104" s="115"/>
      <c r="CO104" s="115"/>
      <c r="CP104" s="115"/>
      <c r="CQ104" s="115"/>
      <c r="CR104" s="115"/>
      <c r="CS104" s="115"/>
      <c r="CT104" s="115"/>
      <c r="CU104" s="115"/>
      <c r="CV104" s="115"/>
      <c r="CW104" s="115"/>
      <c r="CX104" s="115"/>
      <c r="CY104" s="115"/>
      <c r="CZ104" s="115"/>
      <c r="DA104" s="115"/>
      <c r="DB104" s="115"/>
      <c r="DC104" s="115"/>
      <c r="DD104" s="115"/>
      <c r="DE104" s="115"/>
      <c r="DF104" s="115"/>
      <c r="DG104" s="115"/>
      <c r="DH104" s="115"/>
      <c r="DI104" s="115"/>
      <c r="DJ104" s="115"/>
      <c r="DK104" s="115"/>
      <c r="DL104" s="115"/>
      <c r="DM104" s="115"/>
      <c r="DN104" s="115"/>
      <c r="DO104" s="115"/>
      <c r="DP104" s="115"/>
      <c r="DQ104" s="115"/>
      <c r="DR104" s="115"/>
      <c r="DS104" s="115"/>
      <c r="DT104" s="115"/>
      <c r="DU104" s="115"/>
      <c r="DW104" s="115"/>
      <c r="DX104" s="664"/>
      <c r="DY104" s="115"/>
      <c r="DZ104" s="115"/>
      <c r="EA104" s="115"/>
      <c r="EB104" s="115"/>
      <c r="EC104" s="115"/>
      <c r="ED104" s="115"/>
      <c r="EE104" s="115"/>
      <c r="EF104" s="115"/>
      <c r="EG104" s="115"/>
      <c r="EH104" s="115"/>
      <c r="EI104" s="115"/>
      <c r="EJ104" s="115"/>
      <c r="EK104" s="115"/>
      <c r="EL104" s="115"/>
      <c r="EM104" s="115"/>
      <c r="EN104" s="115"/>
      <c r="EO104" s="645"/>
      <c r="EP104" s="115"/>
      <c r="EQ104" s="115"/>
      <c r="ER104" s="115"/>
      <c r="ES104" s="115"/>
      <c r="ET104" s="115"/>
      <c r="EV104" s="115"/>
      <c r="EW104" s="115"/>
      <c r="EX104" s="115"/>
      <c r="EY104" s="115"/>
      <c r="EZ104" s="115"/>
      <c r="FA104" s="664"/>
    </row>
    <row r="105" spans="2:157" x14ac:dyDescent="0.2">
      <c r="B105" s="186" t="s">
        <v>32</v>
      </c>
      <c r="C105" s="187">
        <f t="shared" ref="C105:AH105" si="342">SUM(C106:C111)</f>
        <v>19313.938398357292</v>
      </c>
      <c r="D105" s="187">
        <f t="shared" si="342"/>
        <v>119359.84783216783</v>
      </c>
      <c r="E105" s="187">
        <f t="shared" si="342"/>
        <v>427288.07271863119</v>
      </c>
      <c r="F105" s="187">
        <f t="shared" si="342"/>
        <v>462840.9502647504</v>
      </c>
      <c r="G105" s="187">
        <f t="shared" si="342"/>
        <v>691149.13297963375</v>
      </c>
      <c r="H105" s="187">
        <f t="shared" si="342"/>
        <v>332077.27918781724</v>
      </c>
      <c r="I105" s="187">
        <f t="shared" si="342"/>
        <v>799551.1240042086</v>
      </c>
      <c r="J105" s="187">
        <f t="shared" si="342"/>
        <v>743989.47317262832</v>
      </c>
      <c r="K105" s="187">
        <f t="shared" si="342"/>
        <v>780053.19734544179</v>
      </c>
      <c r="L105" s="187">
        <f t="shared" si="342"/>
        <v>651716.33726415085</v>
      </c>
      <c r="M105" s="187">
        <f t="shared" si="342"/>
        <v>395336.23893610516</v>
      </c>
      <c r="N105" s="187">
        <f t="shared" si="342"/>
        <v>437783.47450167703</v>
      </c>
      <c r="O105" s="187">
        <f t="shared" si="342"/>
        <v>668841.66686844709</v>
      </c>
      <c r="P105" s="187">
        <f t="shared" si="342"/>
        <v>464127.05103338632</v>
      </c>
      <c r="Q105" s="187">
        <f t="shared" si="342"/>
        <v>585437.42061248678</v>
      </c>
      <c r="R105" s="187">
        <f t="shared" si="342"/>
        <v>0</v>
      </c>
      <c r="S105" s="187">
        <f t="shared" si="342"/>
        <v>640322.47930463566</v>
      </c>
      <c r="T105" s="187">
        <f t="shared" si="342"/>
        <v>1457736.3153808021</v>
      </c>
      <c r="U105" s="187">
        <f t="shared" si="342"/>
        <v>1206484.3729753268</v>
      </c>
      <c r="V105" s="187">
        <f t="shared" si="342"/>
        <v>1096583.7071723645</v>
      </c>
      <c r="W105" s="187">
        <f t="shared" si="342"/>
        <v>1377631.8842779407</v>
      </c>
      <c r="X105" s="187">
        <f t="shared" si="342"/>
        <v>2430904.0082555991</v>
      </c>
      <c r="Y105" s="187">
        <f t="shared" si="342"/>
        <v>2023545.2268423084</v>
      </c>
      <c r="Z105" s="187">
        <f t="shared" si="342"/>
        <v>3122450.7425099006</v>
      </c>
      <c r="AA105" s="187">
        <f t="shared" si="342"/>
        <v>3597274.2419644166</v>
      </c>
      <c r="AB105" s="187">
        <f t="shared" si="342"/>
        <v>2209289.7887334968</v>
      </c>
      <c r="AC105" s="187">
        <f t="shared" si="342"/>
        <v>3030695.0024811896</v>
      </c>
      <c r="AD105" s="187">
        <f t="shared" si="342"/>
        <v>2297722.2498859731</v>
      </c>
      <c r="AE105" s="187">
        <f t="shared" si="342"/>
        <v>1560702.8936065354</v>
      </c>
      <c r="AF105" s="187">
        <f t="shared" si="342"/>
        <v>2115007.6885940768</v>
      </c>
      <c r="AG105" s="187">
        <f t="shared" si="342"/>
        <v>1473887.3917950355</v>
      </c>
      <c r="AH105" s="187">
        <f t="shared" si="342"/>
        <v>833667.7698461723</v>
      </c>
      <c r="AI105" s="187">
        <f t="shared" ref="AI105:BN105" si="343">SUM(AI106:AI111)</f>
        <v>1056303.2353233153</v>
      </c>
      <c r="AJ105" s="187">
        <f t="shared" si="343"/>
        <v>1679115.8434499665</v>
      </c>
      <c r="AK105" s="187">
        <f t="shared" si="343"/>
        <v>3502941.6820963286</v>
      </c>
      <c r="AL105" s="187">
        <f t="shared" si="343"/>
        <v>4019061.7463563071</v>
      </c>
      <c r="AM105" s="187">
        <f t="shared" si="343"/>
        <v>4154059.3665580298</v>
      </c>
      <c r="AN105" s="187">
        <f t="shared" si="343"/>
        <v>3311165.563169145</v>
      </c>
      <c r="AO105" s="187">
        <f t="shared" si="343"/>
        <v>1549840.7298089268</v>
      </c>
      <c r="AP105" s="187">
        <f t="shared" si="343"/>
        <v>1494214.9942529139</v>
      </c>
      <c r="AQ105" s="187">
        <f t="shared" si="343"/>
        <v>2176777.5862549148</v>
      </c>
      <c r="AR105" s="187">
        <f t="shared" si="343"/>
        <v>2621581.4142428092</v>
      </c>
      <c r="AS105" s="187">
        <f t="shared" si="343"/>
        <v>2912134.9531102432</v>
      </c>
      <c r="AT105" s="187">
        <f t="shared" si="343"/>
        <v>2326944.2766092573</v>
      </c>
      <c r="AU105" s="187">
        <f t="shared" si="343"/>
        <v>3863668.0608779779</v>
      </c>
      <c r="AV105" s="187">
        <f t="shared" si="343"/>
        <v>5617530.7989462316</v>
      </c>
      <c r="AW105" s="187">
        <f t="shared" si="343"/>
        <v>5075536.1741855135</v>
      </c>
      <c r="AX105" s="187">
        <f t="shared" si="343"/>
        <v>4153230.8451653617</v>
      </c>
      <c r="AY105" s="187">
        <f t="shared" si="343"/>
        <v>4274295.5515142297</v>
      </c>
      <c r="AZ105" s="187">
        <f t="shared" si="343"/>
        <v>6522802.2546098093</v>
      </c>
      <c r="BA105" s="187">
        <f t="shared" si="343"/>
        <v>15154540.666125644</v>
      </c>
      <c r="BB105" s="187">
        <f t="shared" si="343"/>
        <v>14023056.199479993</v>
      </c>
      <c r="BC105" s="187">
        <f t="shared" si="343"/>
        <v>10943168.526432095</v>
      </c>
      <c r="BD105" s="187">
        <f t="shared" si="343"/>
        <v>11907531.575548051</v>
      </c>
      <c r="BE105" s="187">
        <f t="shared" si="343"/>
        <v>10488339.789743049</v>
      </c>
      <c r="BF105" s="187">
        <f t="shared" si="343"/>
        <v>10994651.32871994</v>
      </c>
      <c r="BG105" s="187">
        <f t="shared" si="343"/>
        <v>11772223.866211524</v>
      </c>
      <c r="BH105" s="187">
        <f t="shared" si="343"/>
        <v>20107040.246410076</v>
      </c>
      <c r="BI105" s="187">
        <f t="shared" si="343"/>
        <v>11786702.792447269</v>
      </c>
      <c r="BJ105" s="187">
        <f t="shared" si="343"/>
        <v>10149850.625315748</v>
      </c>
      <c r="BK105" s="187">
        <f t="shared" si="343"/>
        <v>11306341.52876357</v>
      </c>
      <c r="BL105" s="187">
        <f t="shared" si="343"/>
        <v>11232315.787155248</v>
      </c>
      <c r="BM105" s="187">
        <f t="shared" si="343"/>
        <v>12997162.39157404</v>
      </c>
      <c r="BN105" s="187">
        <f t="shared" si="343"/>
        <v>11432232.901747197</v>
      </c>
      <c r="BO105" s="187">
        <f t="shared" ref="BO105:CT105" si="344">SUM(BO106:BO111)</f>
        <v>13429312.186326377</v>
      </c>
      <c r="BP105" s="187">
        <f t="shared" si="344"/>
        <v>15240229.108804077</v>
      </c>
      <c r="BQ105" s="187">
        <f t="shared" si="344"/>
        <v>16114170.745189702</v>
      </c>
      <c r="BR105" s="187">
        <f t="shared" si="344"/>
        <v>14022331.569350606</v>
      </c>
      <c r="BS105" s="187">
        <f t="shared" si="344"/>
        <v>13746262.962236155</v>
      </c>
      <c r="BT105" s="187">
        <f t="shared" si="344"/>
        <v>15082367.858397357</v>
      </c>
      <c r="BU105" s="187">
        <f t="shared" si="344"/>
        <v>14137362.734426841</v>
      </c>
      <c r="BV105" s="187">
        <f t="shared" si="344"/>
        <v>14155408.826992447</v>
      </c>
      <c r="BW105" s="187">
        <f t="shared" si="344"/>
        <v>15054042.84350035</v>
      </c>
      <c r="BX105" s="187">
        <f t="shared" si="344"/>
        <v>11276306.266790459</v>
      </c>
      <c r="BY105" s="187">
        <f t="shared" si="344"/>
        <v>20837775.747474745</v>
      </c>
      <c r="BZ105" s="187">
        <f t="shared" si="344"/>
        <v>19312000.767726883</v>
      </c>
      <c r="CA105" s="187">
        <f t="shared" si="344"/>
        <v>19595218.730950698</v>
      </c>
      <c r="CB105" s="187">
        <f t="shared" si="344"/>
        <v>21263255.100793973</v>
      </c>
      <c r="CC105" s="187">
        <f t="shared" si="344"/>
        <v>19516269.745977808</v>
      </c>
      <c r="CD105" s="187">
        <f t="shared" si="344"/>
        <v>15892174.303431101</v>
      </c>
      <c r="CE105" s="187">
        <f t="shared" si="344"/>
        <v>19135784.938886411</v>
      </c>
      <c r="CF105" s="187">
        <f t="shared" si="344"/>
        <v>20730624.578885205</v>
      </c>
      <c r="CG105" s="187">
        <f t="shared" si="344"/>
        <v>18848804.375661843</v>
      </c>
      <c r="CH105" s="187">
        <f t="shared" si="344"/>
        <v>22348042.969460003</v>
      </c>
      <c r="CI105" s="187">
        <f t="shared" si="344"/>
        <v>24981016.869870305</v>
      </c>
      <c r="CJ105" s="187">
        <f t="shared" si="344"/>
        <v>21301249.22925378</v>
      </c>
      <c r="CK105" s="187">
        <f t="shared" si="344"/>
        <v>24811155.322419528</v>
      </c>
      <c r="CL105" s="187">
        <f t="shared" si="344"/>
        <v>23006672.48363005</v>
      </c>
      <c r="CM105" s="187">
        <f t="shared" si="344"/>
        <v>23240826.512520947</v>
      </c>
      <c r="CN105" s="187">
        <f t="shared" si="344"/>
        <v>23224200.190942898</v>
      </c>
      <c r="CO105" s="187">
        <f t="shared" si="344"/>
        <v>23574738.470880173</v>
      </c>
      <c r="CP105" s="187">
        <f t="shared" si="344"/>
        <v>22214151.155076213</v>
      </c>
      <c r="CQ105" s="187">
        <f t="shared" si="344"/>
        <v>24300754.513121791</v>
      </c>
      <c r="CR105" s="187">
        <f t="shared" si="344"/>
        <v>23628774.016008839</v>
      </c>
      <c r="CS105" s="187">
        <f t="shared" si="344"/>
        <v>23684195.087935679</v>
      </c>
      <c r="CT105" s="187">
        <f t="shared" si="344"/>
        <v>29072508.806022834</v>
      </c>
      <c r="CU105" s="187">
        <f t="shared" ref="CU105:DI105" si="345">SUM(CU106:CU111)</f>
        <v>31325375.379848935</v>
      </c>
      <c r="CV105" s="187">
        <f t="shared" si="345"/>
        <v>26855665.928949177</v>
      </c>
      <c r="CW105" s="187">
        <f t="shared" si="345"/>
        <v>29019858.787692335</v>
      </c>
      <c r="CX105" s="187">
        <f t="shared" si="345"/>
        <v>27424754.9576739</v>
      </c>
      <c r="CY105" s="187">
        <f t="shared" si="345"/>
        <v>27703874.716050707</v>
      </c>
      <c r="CZ105" s="187">
        <f t="shared" si="345"/>
        <v>27684055.561609749</v>
      </c>
      <c r="DA105" s="187">
        <f t="shared" si="345"/>
        <v>28101909.401073255</v>
      </c>
      <c r="DB105" s="187">
        <f t="shared" si="345"/>
        <v>26480041.929321624</v>
      </c>
      <c r="DC105" s="187">
        <f t="shared" si="345"/>
        <v>28967345.811661698</v>
      </c>
      <c r="DD105" s="187">
        <f t="shared" si="345"/>
        <v>28166321.65300636</v>
      </c>
      <c r="DE105" s="187">
        <f t="shared" si="345"/>
        <v>28232385.501142886</v>
      </c>
      <c r="DF105" s="187">
        <f t="shared" si="345"/>
        <v>34655443.136216283</v>
      </c>
      <c r="DG105" s="187">
        <f t="shared" si="345"/>
        <v>37340938.562965922</v>
      </c>
      <c r="DH105" s="187">
        <f t="shared" si="345"/>
        <v>32012889.210755378</v>
      </c>
      <c r="DI105" s="187">
        <f t="shared" si="345"/>
        <v>34592682.480486587</v>
      </c>
      <c r="DJ105" s="187">
        <f t="shared" ref="DJ105:DU105" si="346">SUM(DJ106:DJ111)</f>
        <v>32170639.522640169</v>
      </c>
      <c r="DK105" s="187">
        <f t="shared" si="346"/>
        <v>32498061.267857041</v>
      </c>
      <c r="DL105" s="187">
        <f t="shared" si="346"/>
        <v>32474812.386539869</v>
      </c>
      <c r="DM105" s="187">
        <f t="shared" si="346"/>
        <v>32964976.300976966</v>
      </c>
      <c r="DN105" s="187">
        <f t="shared" si="346"/>
        <v>31062442.846521515</v>
      </c>
      <c r="DO105" s="187">
        <f t="shared" si="346"/>
        <v>33980177.451826915</v>
      </c>
      <c r="DP105" s="187">
        <f t="shared" si="346"/>
        <v>33040535.165257774</v>
      </c>
      <c r="DQ105" s="187">
        <f t="shared" si="346"/>
        <v>33118031.436315022</v>
      </c>
      <c r="DR105" s="187">
        <f t="shared" si="346"/>
        <v>40652606.389855988</v>
      </c>
      <c r="DS105" s="187">
        <f t="shared" si="346"/>
        <v>43802829.808333129</v>
      </c>
      <c r="DT105" s="187">
        <f t="shared" si="346"/>
        <v>37552755.547566056</v>
      </c>
      <c r="DU105" s="187">
        <f t="shared" si="346"/>
        <v>40578984.932351604</v>
      </c>
      <c r="DW105" s="187">
        <f t="shared" ref="DW105:DW110" si="347">SUM(BB105:BD105)</f>
        <v>36873756.301460139</v>
      </c>
      <c r="DX105" s="667">
        <f t="shared" ref="DX105:DX110" si="348">SUM(BE105:BG105)</f>
        <v>33255214.984674513</v>
      </c>
      <c r="DY105" s="187">
        <f t="shared" ref="DY105:DY110" si="349">SUM(BH105:BJ105)</f>
        <v>42043593.664173096</v>
      </c>
      <c r="DZ105" s="187">
        <f t="shared" ref="DZ105:DZ110" si="350">SUM(BK105:BM105)</f>
        <v>35535819.707492858</v>
      </c>
      <c r="EA105" s="187">
        <f t="shared" ref="EA105:EA110" si="351">SUM(BN105:BP105)</f>
        <v>40101774.196877651</v>
      </c>
      <c r="EB105" s="187">
        <f t="shared" ref="EB105:EB110" si="352">SUM(BQ105:BS105)</f>
        <v>43882765.276776463</v>
      </c>
      <c r="EC105" s="187">
        <f t="shared" ref="EC105:EC110" si="353">SUM(BT105:BV105)</f>
        <v>43375139.419816643</v>
      </c>
      <c r="ED105" s="187">
        <f t="shared" ref="ED105:ED110" si="354">SUM(BW105:BY105)</f>
        <v>47168124.857765555</v>
      </c>
      <c r="EE105" s="187">
        <f t="shared" ref="EE105:EE110" si="355">SUM(BZ105:CB105)</f>
        <v>60170474.599471554</v>
      </c>
      <c r="EF105" s="187">
        <f t="shared" ref="EF105:EF110" si="356">SUM(CC105:CE105)</f>
        <v>54544228.988295324</v>
      </c>
      <c r="EG105" s="187">
        <f t="shared" ref="EG105:EG110" si="357">SUM(CF105:CH105)</f>
        <v>61927471.924007051</v>
      </c>
      <c r="EH105" s="187">
        <f t="shared" ref="EH105:EH110" si="358">SUM(CI105:CK105)</f>
        <v>71093421.421543613</v>
      </c>
      <c r="EI105" s="187">
        <f t="shared" ref="EI105:EI110" si="359">SUM(CL105:CN105)</f>
        <v>69471699.187093899</v>
      </c>
      <c r="EJ105" s="187">
        <f t="shared" ref="EJ105:EJ110" si="360">SUM(CO105:CQ105)</f>
        <v>70089644.13907817</v>
      </c>
      <c r="EK105" s="187">
        <f t="shared" ref="EK105:EK110" si="361">SUM(CR105:CT105)</f>
        <v>76385477.909967348</v>
      </c>
      <c r="EL105" s="187">
        <f t="shared" ref="EL105:EL110" si="362">SUM(CU105:CW105)</f>
        <v>87200900.096490443</v>
      </c>
      <c r="EM105" s="187">
        <f t="shared" ref="EM105:EM110" si="363">SUM(CX105:CZ105)</f>
        <v>82812685.235334352</v>
      </c>
      <c r="EN105" s="187">
        <f t="shared" ref="EN105:EN110" si="364">SUM(DA105:DC105)</f>
        <v>83549297.142056584</v>
      </c>
      <c r="EO105" s="649">
        <f t="shared" ref="EO105:EO110" si="365">SUM(DD105:DF105)</f>
        <v>91054150.290365532</v>
      </c>
      <c r="EP105" s="187">
        <f t="shared" ref="EP105:EP110" si="366">SUM(DG105:DI105)</f>
        <v>103946510.25420789</v>
      </c>
      <c r="EQ105" s="187">
        <f t="shared" ref="EQ105" si="367">SUM(DJ105:DL105)</f>
        <v>97143513.17703709</v>
      </c>
      <c r="ER105" s="187">
        <f t="shared" ref="ER105" si="368">SUM(DM105:DO105)</f>
        <v>98007596.599325389</v>
      </c>
      <c r="ES105" s="187">
        <f t="shared" ref="ES105" si="369">SUM(DP105:DR105)</f>
        <v>106811172.99142879</v>
      </c>
      <c r="ET105" s="187">
        <f t="shared" ref="ET105" si="370">SUM(DS105:DU105)</f>
        <v>121934570.28825079</v>
      </c>
      <c r="EV105" s="187">
        <f t="shared" ref="EV105:EV110" si="371">SUM(DW105:DZ105)</f>
        <v>147708384.65780061</v>
      </c>
      <c r="EW105" s="187">
        <f t="shared" ref="EW105:EW110" si="372">SUM(EA105:ED105)</f>
        <v>174527803.75123632</v>
      </c>
      <c r="EX105" s="187">
        <f t="shared" ref="EX105:EX110" si="373">SUM(EE105:EH105)</f>
        <v>247735596.93331754</v>
      </c>
      <c r="EY105" s="187">
        <f t="shared" ref="EY105:EY110" si="374">SUM(EI105:EL105)</f>
        <v>303147721.33262986</v>
      </c>
      <c r="EZ105" s="187">
        <f t="shared" ref="EZ105:EZ110" si="375">SUM(EM105:EP105)</f>
        <v>361362642.92196435</v>
      </c>
      <c r="FA105" s="667">
        <f t="shared" ref="FA105:FA110" si="376">SUM(EQ105:ET105)</f>
        <v>423896853.05604208</v>
      </c>
    </row>
    <row r="106" spans="2:157" x14ac:dyDescent="0.2">
      <c r="B106" s="114" t="s">
        <v>146</v>
      </c>
      <c r="C106" s="129">
        <f>'P&amp;L - Inputs'!K262</f>
        <v>43.597535934291578</v>
      </c>
      <c r="D106" s="129">
        <f>'P&amp;L - Inputs'!L262</f>
        <v>20191.377902097902</v>
      </c>
      <c r="E106" s="129">
        <f>'P&amp;L - Inputs'!M262</f>
        <v>127108.80346958175</v>
      </c>
      <c r="F106" s="129">
        <f>'P&amp;L - Inputs'!N262</f>
        <v>116189.49791981846</v>
      </c>
      <c r="G106" s="129">
        <f>'P&amp;L - Inputs'!O262</f>
        <v>111118.80883107992</v>
      </c>
      <c r="H106" s="129">
        <f>'P&amp;L - Inputs'!P262</f>
        <v>80344.201353637894</v>
      </c>
      <c r="I106" s="129">
        <f>'P&amp;L - Inputs'!Q262</f>
        <v>292075.55117991881</v>
      </c>
      <c r="J106" s="129">
        <f>'P&amp;L - Inputs'!R262</f>
        <v>276111.5832037325</v>
      </c>
      <c r="K106" s="129">
        <f>'P&amp;L - Inputs'!S262</f>
        <v>151290.60862731401</v>
      </c>
      <c r="L106" s="129">
        <f>'P&amp;L - Inputs'!T262</f>
        <v>54624.62028301887</v>
      </c>
      <c r="M106" s="129">
        <f>'P&amp;L - Inputs'!U262</f>
        <v>128953.06009171507</v>
      </c>
      <c r="N106" s="129">
        <f>'P&amp;L - Inputs'!V262</f>
        <v>69813.893627216094</v>
      </c>
      <c r="O106" s="129">
        <f>'P&amp;L - Inputs'!W262</f>
        <v>119485.09575469831</v>
      </c>
      <c r="P106" s="129">
        <f>'P&amp;L - Inputs'!X262</f>
        <v>70746.047694753579</v>
      </c>
      <c r="Q106" s="129">
        <f>'P&amp;L - Inputs'!Y262</f>
        <v>91947.530821917811</v>
      </c>
      <c r="R106" s="129">
        <f>'P&amp;L - Inputs'!Z262</f>
        <v>0</v>
      </c>
      <c r="S106" s="129">
        <f>'P&amp;L - Inputs'!AA262</f>
        <v>67590.701986754968</v>
      </c>
      <c r="T106" s="129">
        <f>'P&amp;L - Inputs'!AB262</f>
        <v>83297.059973924392</v>
      </c>
      <c r="U106" s="129">
        <f>'P&amp;L - Inputs'!AC262</f>
        <v>81677.199641362822</v>
      </c>
      <c r="V106" s="129">
        <f>'P&amp;L - Inputs'!AD262</f>
        <v>29343.257942918688</v>
      </c>
      <c r="W106" s="129">
        <f>'P&amp;L - Inputs'!AE262</f>
        <v>35929.434527834121</v>
      </c>
      <c r="X106" s="129">
        <f>'P&amp;L - Inputs'!AF262</f>
        <v>59230.172878048783</v>
      </c>
      <c r="Y106" s="129">
        <f>'P&amp;L - Inputs'!AG262</f>
        <v>43886.889460154242</v>
      </c>
      <c r="Z106" s="129">
        <f>'P&amp;L - Inputs'!AH262</f>
        <v>102172.62084942084</v>
      </c>
      <c r="AA106" s="129">
        <f>'P&amp;L - Inputs'!AI262</f>
        <v>86985.519848771262</v>
      </c>
      <c r="AB106" s="129">
        <f>'P&amp;L - Inputs'!AJ262</f>
        <v>72527.002861522735</v>
      </c>
      <c r="AC106" s="129">
        <f>'P&amp;L - Inputs'!AK262</f>
        <v>235263.4505546377</v>
      </c>
      <c r="AD106" s="129">
        <f>'P&amp;L - Inputs'!AL262</f>
        <v>133451.31301783456</v>
      </c>
      <c r="AE106" s="129">
        <f>'P&amp;L - Inputs'!AM262</f>
        <v>108001.60211267606</v>
      </c>
      <c r="AF106" s="129">
        <f>'P&amp;L - Inputs'!AN262</f>
        <v>80464.748639825892</v>
      </c>
      <c r="AG106" s="129">
        <f>'P&amp;L - Inputs'!AO262</f>
        <v>43996.078605037364</v>
      </c>
      <c r="AH106" s="129">
        <f>'P&amp;L - Inputs'!AP262</f>
        <v>50997.80775993436</v>
      </c>
      <c r="AI106" s="129">
        <f>'P&amp;L - Inputs'!AQ262</f>
        <v>20490.569900070655</v>
      </c>
      <c r="AJ106" s="129">
        <f>'P&amp;L - Inputs'!AR262</f>
        <v>12842.60140925538</v>
      </c>
      <c r="AK106" s="129">
        <f>'P&amp;L - Inputs'!AS262</f>
        <v>45886.95411808951</v>
      </c>
      <c r="AL106" s="129">
        <f>'P&amp;L - Inputs'!AT262</f>
        <v>68585.752749670035</v>
      </c>
      <c r="AM106" s="129">
        <f>'P&amp;L - Inputs'!AU262</f>
        <v>106606.75152346131</v>
      </c>
      <c r="AN106" s="129">
        <f>'P&amp;L - Inputs'!AV262</f>
        <v>123717.49594862253</v>
      </c>
      <c r="AO106" s="129">
        <f>'P&amp;L - Inputs'!AW262</f>
        <v>92061.556758847422</v>
      </c>
      <c r="AP106" s="129">
        <f>'P&amp;L - Inputs'!AX262</f>
        <v>103794.30874387413</v>
      </c>
      <c r="AQ106" s="129">
        <f>'P&amp;L - Inputs'!AY262</f>
        <v>114709.68608445297</v>
      </c>
      <c r="AR106" s="129">
        <f>'P&amp;L - Inputs'!AZ262</f>
        <v>243834.80433467735</v>
      </c>
      <c r="AS106" s="129">
        <f>'P&amp;L - Inputs'!BA262</f>
        <v>249837.58457975491</v>
      </c>
      <c r="AT106" s="129">
        <f>'P&amp;L - Inputs'!BB262</f>
        <v>283244.53390893398</v>
      </c>
      <c r="AU106" s="129">
        <f>'P&amp;L - Inputs'!BC262</f>
        <v>494751.14570121909</v>
      </c>
      <c r="AV106" s="129">
        <f>'P&amp;L - Inputs'!BD262</f>
        <v>709160.19219373073</v>
      </c>
      <c r="AW106" s="129">
        <f>'P&amp;L - Inputs'!BE262</f>
        <v>522445.28905559873</v>
      </c>
      <c r="AX106" s="129">
        <f>'P&amp;L - Inputs'!BF262</f>
        <v>444933.53738721705</v>
      </c>
      <c r="AY106" s="129">
        <f>'P&amp;L - Inputs'!BG262</f>
        <v>485957.01947376999</v>
      </c>
      <c r="AZ106" s="129">
        <f>'P&amp;L - Inputs'!BH262</f>
        <v>720062.88516990189</v>
      </c>
      <c r="BA106" s="129">
        <f>'P&amp;L - Inputs'!BI262</f>
        <v>1054614.8269059903</v>
      </c>
      <c r="BB106" s="129">
        <f>'P&amp;L - Inputs'!BJ262</f>
        <v>1825341.2224048995</v>
      </c>
      <c r="BC106" s="129">
        <f>'P&amp;L - Inputs'!BK262</f>
        <v>1655918.4403285661</v>
      </c>
      <c r="BD106" s="129">
        <f>'P&amp;L - Inputs'!BL262</f>
        <v>1735162.678108427</v>
      </c>
      <c r="BE106" s="129">
        <f>'P&amp;L - Inputs'!BM262</f>
        <v>1746582.0993620085</v>
      </c>
      <c r="BF106" s="129">
        <f>'P&amp;L - Inputs'!BN262</f>
        <v>1910225.2424238836</v>
      </c>
      <c r="BG106" s="129">
        <f>'P&amp;L - Inputs'!BO262</f>
        <v>1680564.1363698312</v>
      </c>
      <c r="BH106" s="129">
        <f>'P&amp;L - Inputs'!BP262</f>
        <v>3368447.4083562708</v>
      </c>
      <c r="BI106" s="129">
        <f>'P&amp;L - Inputs'!BQ262</f>
        <v>2136834.5699640652</v>
      </c>
      <c r="BJ106" s="129">
        <f>'P&amp;L - Inputs'!BR262</f>
        <v>1907060.0555025488</v>
      </c>
      <c r="BK106" s="129">
        <f>'P&amp;L - Inputs'!BS262</f>
        <v>1918035.4809334851</v>
      </c>
      <c r="BL106" s="129">
        <f>'P&amp;L - Inputs'!BT262</f>
        <v>2020858.7483175711</v>
      </c>
      <c r="BM106" s="129">
        <f>'P&amp;L - Inputs'!BU262</f>
        <v>1788324.5411494258</v>
      </c>
      <c r="BN106" s="129">
        <f>'P&amp;L - Inputs'!BV262</f>
        <v>2112347.2070577294</v>
      </c>
      <c r="BO106" s="129">
        <f>'P&amp;L - Inputs'!BW262</f>
        <v>2194133.7060836935</v>
      </c>
      <c r="BP106" s="129">
        <f>'P&amp;L - Inputs'!BX262</f>
        <v>2515522.4369108258</v>
      </c>
      <c r="BQ106" s="129">
        <f>'P&amp;L - Inputs'!BY262</f>
        <v>1371672.3931330834</v>
      </c>
      <c r="BR106" s="129">
        <f>'P&amp;L - Inputs'!BZ262</f>
        <v>1962014.4441771014</v>
      </c>
      <c r="BS106" s="129">
        <f>'P&amp;L - Inputs'!CA262</f>
        <v>1645144.6396038206</v>
      </c>
      <c r="BT106" s="129">
        <f>'P&amp;L - Inputs'!CB262</f>
        <v>1720688.7908807821</v>
      </c>
      <c r="BU106" s="129">
        <f>'P&amp;L - Inputs'!CC262</f>
        <v>1951513.2101994203</v>
      </c>
      <c r="BV106" s="129">
        <f>'P&amp;L - Inputs'!CD262</f>
        <v>2121527.5197386928</v>
      </c>
      <c r="BW106" s="129">
        <f>'P&amp;L - Inputs'!CE262</f>
        <v>2612937.2600349197</v>
      </c>
      <c r="BX106" s="129">
        <f>'P&amp;L - Inputs'!CF262</f>
        <v>2306545.2819699398</v>
      </c>
      <c r="BY106" s="129">
        <f>'P&amp;L - Inputs'!CG262</f>
        <v>3382846.3507916653</v>
      </c>
      <c r="BZ106" s="129">
        <f>'P&amp;L - Inputs'!CH262</f>
        <v>3083564.5172532042</v>
      </c>
      <c r="CA106" s="129">
        <f>'P&amp;L - Inputs'!CI262</f>
        <v>3126545.8672532043</v>
      </c>
      <c r="CB106" s="129">
        <f>'P&amp;L - Inputs'!CJ262</f>
        <v>3335626.163881409</v>
      </c>
      <c r="CC106" s="129">
        <f>'P&amp;L - Inputs'!CK262</f>
        <v>3847558.8363237176</v>
      </c>
      <c r="CD106" s="129">
        <f>'P&amp;L - Inputs'!CL262</f>
        <v>3344173.7470737179</v>
      </c>
      <c r="CE106" s="129">
        <f>'P&amp;L - Inputs'!CM262</f>
        <v>2715453.9669679478</v>
      </c>
      <c r="CF106" s="129">
        <f>'P&amp;L - Inputs'!CN262</f>
        <v>3870918.0766054597</v>
      </c>
      <c r="CG106" s="129">
        <f>'P&amp;L - Inputs'!CO262</f>
        <v>3653050.8356182799</v>
      </c>
      <c r="CH106" s="129">
        <f>'P&amp;L - Inputs'!CP262</f>
        <v>3988488.5673631104</v>
      </c>
      <c r="CI106" s="129">
        <f>'P&amp;L - Inputs'!CQ262</f>
        <v>5757290.3616185896</v>
      </c>
      <c r="CJ106" s="129">
        <f>'P&amp;L - Inputs'!CR262</f>
        <v>4221531.0238044867</v>
      </c>
      <c r="CK106" s="129">
        <f>'P&amp;L - Inputs'!CS262</f>
        <v>4270600.0401987173</v>
      </c>
      <c r="CL106" s="129">
        <f>'P&amp;L - Inputs'!CT262</f>
        <v>4249472.8187782718</v>
      </c>
      <c r="CM106" s="129">
        <f>'P&amp;L - Inputs'!CU262</f>
        <v>4292722.4969699923</v>
      </c>
      <c r="CN106" s="129">
        <f>'P&amp;L - Inputs'!CV262</f>
        <v>4289651.5139031243</v>
      </c>
      <c r="CO106" s="129">
        <f>'P&amp;L - Inputs'!CW262</f>
        <v>4354398.0735629201</v>
      </c>
      <c r="CP106" s="129">
        <f>'P&amp;L - Inputs'!CX262</f>
        <v>4103089.2925909073</v>
      </c>
      <c r="CQ106" s="129">
        <f>'P&amp;L - Inputs'!CY262</f>
        <v>4488497.667482812</v>
      </c>
      <c r="CR106" s="129">
        <f>'P&amp;L - Inputs'!CZ262</f>
        <v>4364378.7685302394</v>
      </c>
      <c r="CS106" s="129">
        <f>'P&amp;L - Inputs'!DA262</f>
        <v>4374615.3787531322</v>
      </c>
      <c r="CT106" s="129">
        <f>'P&amp;L - Inputs'!DB262</f>
        <v>5369869.8076738613</v>
      </c>
      <c r="CU106" s="129">
        <f>'P&amp;L - Inputs'!DC262</f>
        <v>5785988.013234443</v>
      </c>
      <c r="CV106" s="129">
        <f>'P&amp;L - Inputs'!DD262</f>
        <v>4960405.398758159</v>
      </c>
      <c r="CW106" s="129">
        <f>'P&amp;L - Inputs'!DE262</f>
        <v>5360145.0279621119</v>
      </c>
      <c r="CX106" s="129">
        <f>'P&amp;L - Inputs'!DF262</f>
        <v>5131238.4286747621</v>
      </c>
      <c r="CY106" s="129">
        <f>'P&amp;L - Inputs'!DG262</f>
        <v>5183462.415091265</v>
      </c>
      <c r="CZ106" s="129">
        <f>'P&amp;L - Inputs'!DH262</f>
        <v>5179754.2030380219</v>
      </c>
      <c r="DA106" s="129">
        <f>'P&amp;L - Inputs'!DI262</f>
        <v>5257935.6738272253</v>
      </c>
      <c r="DB106" s="129">
        <f>'P&amp;L - Inputs'!DJ262</f>
        <v>4954480.3208035203</v>
      </c>
      <c r="DC106" s="129">
        <f>'P&amp;L - Inputs'!DK262</f>
        <v>5419860.9334854949</v>
      </c>
      <c r="DD106" s="129">
        <f>'P&amp;L - Inputs'!DL262</f>
        <v>5269987.3630002644</v>
      </c>
      <c r="DE106" s="129">
        <f>'P&amp;L - Inputs'!DM262</f>
        <v>5282348.069844407</v>
      </c>
      <c r="DF106" s="129">
        <f>'P&amp;L - Inputs'!DN262</f>
        <v>6484117.7927661855</v>
      </c>
      <c r="DG106" s="129">
        <f>'P&amp;L - Inputs'!DO262</f>
        <v>6986580.525980589</v>
      </c>
      <c r="DH106" s="129">
        <f>'P&amp;L - Inputs'!DP262</f>
        <v>5989689.5190004762</v>
      </c>
      <c r="DI106" s="129">
        <f>'P&amp;L - Inputs'!DQ262</f>
        <v>6472375.1212642509</v>
      </c>
      <c r="DJ106" s="129">
        <f>'P&amp;L - Inputs'!DR262</f>
        <v>5900924.1929759765</v>
      </c>
      <c r="DK106" s="129">
        <f>'P&amp;L - Inputs'!DS262</f>
        <v>5960981.7773549538</v>
      </c>
      <c r="DL106" s="129">
        <f>'P&amp;L - Inputs'!DT262</f>
        <v>5956717.3334937263</v>
      </c>
      <c r="DM106" s="129">
        <f>'P&amp;L - Inputs'!DU262</f>
        <v>6046626.0249013091</v>
      </c>
      <c r="DN106" s="129">
        <f>'P&amp;L - Inputs'!DV262</f>
        <v>5697652.3689240469</v>
      </c>
      <c r="DO106" s="129">
        <f>'P&amp;L - Inputs'!DW262</f>
        <v>6232840.0735083185</v>
      </c>
      <c r="DP106" s="129">
        <f>'P&amp;L - Inputs'!DX262</f>
        <v>6060485.467450303</v>
      </c>
      <c r="DQ106" s="129">
        <f>'P&amp;L - Inputs'!DY262</f>
        <v>6074700.2803210672</v>
      </c>
      <c r="DR106" s="129">
        <f>'P&amp;L - Inputs'!DZ262</f>
        <v>7456735.4616811136</v>
      </c>
      <c r="DS106" s="129">
        <f>'P&amp;L - Inputs'!EA262</f>
        <v>8034567.6048776768</v>
      </c>
      <c r="DT106" s="129">
        <f>'P&amp;L - Inputs'!EB262</f>
        <v>6888142.9468505457</v>
      </c>
      <c r="DU106" s="129">
        <f>'P&amp;L - Inputs'!EC262</f>
        <v>7443231.389453887</v>
      </c>
      <c r="DW106" s="129">
        <f t="shared" si="347"/>
        <v>5216422.3408418922</v>
      </c>
      <c r="DX106" s="663">
        <f t="shared" si="348"/>
        <v>5337371.4781557228</v>
      </c>
      <c r="DY106" s="129">
        <f t="shared" si="349"/>
        <v>7412342.0338228848</v>
      </c>
      <c r="DZ106" s="129">
        <f t="shared" si="350"/>
        <v>5727218.7704004813</v>
      </c>
      <c r="EA106" s="129">
        <f t="shared" si="351"/>
        <v>6822003.3500522487</v>
      </c>
      <c r="EB106" s="129">
        <f t="shared" si="352"/>
        <v>4978831.4769140054</v>
      </c>
      <c r="EC106" s="129">
        <f t="shared" si="353"/>
        <v>5793729.5208188947</v>
      </c>
      <c r="ED106" s="129">
        <f t="shared" si="354"/>
        <v>8302328.8927965239</v>
      </c>
      <c r="EE106" s="129">
        <f t="shared" si="355"/>
        <v>9545736.548387818</v>
      </c>
      <c r="EF106" s="129">
        <f t="shared" si="356"/>
        <v>9907186.5503653828</v>
      </c>
      <c r="EG106" s="129">
        <f t="shared" si="357"/>
        <v>11512457.479586851</v>
      </c>
      <c r="EH106" s="129">
        <f t="shared" si="358"/>
        <v>14249421.425621793</v>
      </c>
      <c r="EI106" s="129">
        <f t="shared" si="359"/>
        <v>12831846.829651387</v>
      </c>
      <c r="EJ106" s="129">
        <f t="shared" si="360"/>
        <v>12945985.033636639</v>
      </c>
      <c r="EK106" s="129">
        <f t="shared" si="361"/>
        <v>14108863.954957232</v>
      </c>
      <c r="EL106" s="129">
        <f t="shared" si="362"/>
        <v>16106538.439954713</v>
      </c>
      <c r="EM106" s="129">
        <f t="shared" si="363"/>
        <v>15494455.046804048</v>
      </c>
      <c r="EN106" s="129">
        <f t="shared" si="364"/>
        <v>15632276.928116241</v>
      </c>
      <c r="EO106" s="644">
        <f t="shared" si="365"/>
        <v>17036453.22561086</v>
      </c>
      <c r="EP106" s="129">
        <f t="shared" si="366"/>
        <v>19448645.166245319</v>
      </c>
      <c r="EQ106" s="129">
        <f t="shared" ref="EQ106:EQ110" si="377">SUM(DJ106:DL106)</f>
        <v>17818623.303824656</v>
      </c>
      <c r="ER106" s="129">
        <f t="shared" ref="ER106:ER110" si="378">SUM(DM106:DO106)</f>
        <v>17977118.467333674</v>
      </c>
      <c r="ES106" s="129">
        <f t="shared" ref="ES106:ES110" si="379">SUM(DP106:DR106)</f>
        <v>19591921.209452484</v>
      </c>
      <c r="ET106" s="129">
        <f t="shared" ref="ET106:ET110" si="380">SUM(DS106:DU106)</f>
        <v>22365941.94118211</v>
      </c>
      <c r="EV106" s="129">
        <f t="shared" si="371"/>
        <v>23693354.62322098</v>
      </c>
      <c r="EW106" s="129">
        <f t="shared" si="372"/>
        <v>25896893.240581673</v>
      </c>
      <c r="EX106" s="129">
        <f t="shared" si="373"/>
        <v>45214802.003961846</v>
      </c>
      <c r="EY106" s="129">
        <f t="shared" si="374"/>
        <v>55993234.258199975</v>
      </c>
      <c r="EZ106" s="129">
        <f t="shared" si="375"/>
        <v>67611830.366776466</v>
      </c>
      <c r="FA106" s="663">
        <f t="shared" si="376"/>
        <v>77753604.921792924</v>
      </c>
    </row>
    <row r="107" spans="2:157" x14ac:dyDescent="0.2">
      <c r="B107" s="114" t="s">
        <v>34</v>
      </c>
      <c r="C107" s="129">
        <f>'P&amp;L - Inputs'!K263</f>
        <v>14723.712525667352</v>
      </c>
      <c r="D107" s="129">
        <f>'P&amp;L - Inputs'!L263</f>
        <v>74110.173986013979</v>
      </c>
      <c r="E107" s="129">
        <f>'P&amp;L - Inputs'!M263</f>
        <v>167191.29515209125</v>
      </c>
      <c r="F107" s="129">
        <f>'P&amp;L - Inputs'!N263</f>
        <v>180503.07015885023</v>
      </c>
      <c r="G107" s="129">
        <f>'P&amp;L - Inputs'!O263</f>
        <v>396619.62142734899</v>
      </c>
      <c r="H107" s="129">
        <f>'P&amp;L - Inputs'!P263</f>
        <v>130842.60236886633</v>
      </c>
      <c r="I107" s="129">
        <f>'P&amp;L - Inputs'!Q263</f>
        <v>236560.18457838567</v>
      </c>
      <c r="J107" s="129">
        <f>'P&amp;L - Inputs'!R263</f>
        <v>259640.80909797823</v>
      </c>
      <c r="K107" s="129">
        <f>'P&amp;L - Inputs'!S263</f>
        <v>283253.24729304924</v>
      </c>
      <c r="L107" s="129">
        <f>'P&amp;L - Inputs'!T263</f>
        <v>315586.03773584904</v>
      </c>
      <c r="M107" s="129">
        <f>'P&amp;L - Inputs'!U263</f>
        <v>157778.71048608987</v>
      </c>
      <c r="N107" s="129">
        <f>'P&amp;L - Inputs'!V263</f>
        <v>165820.18615237184</v>
      </c>
      <c r="O107" s="129">
        <f>'P&amp;L - Inputs'!W263</f>
        <v>231718.43719090009</v>
      </c>
      <c r="P107" s="129">
        <f>'P&amp;L - Inputs'!X263</f>
        <v>145911.55802861686</v>
      </c>
      <c r="Q107" s="129">
        <f>'P&amp;L - Inputs'!Y263</f>
        <v>236000.52581664911</v>
      </c>
      <c r="R107" s="129">
        <f>'P&amp;L - Inputs'!Z263</f>
        <v>0</v>
      </c>
      <c r="S107" s="129">
        <f>'P&amp;L - Inputs'!AA263</f>
        <v>271181.80794701987</v>
      </c>
      <c r="T107" s="129">
        <f>'P&amp;L - Inputs'!AB263</f>
        <v>139711.03520208603</v>
      </c>
      <c r="U107" s="129">
        <f>'P&amp;L - Inputs'!AC263</f>
        <v>151449.97907949792</v>
      </c>
      <c r="V107" s="129">
        <f>'P&amp;L - Inputs'!AD263</f>
        <v>126125.46849757673</v>
      </c>
      <c r="W107" s="129">
        <f>'P&amp;L - Inputs'!AE263</f>
        <v>137072.2057696642</v>
      </c>
      <c r="X107" s="129">
        <f>'P&amp;L - Inputs'!AF263</f>
        <v>173563.76936585366</v>
      </c>
      <c r="Y107" s="129">
        <f>'P&amp;L - Inputs'!AG263</f>
        <v>130275.34990002857</v>
      </c>
      <c r="Z107" s="129">
        <f>'P&amp;L - Inputs'!AH263</f>
        <v>158278.6857142857</v>
      </c>
      <c r="AA107" s="129">
        <f>'P&amp;L - Inputs'!AI263</f>
        <v>130652.33270321361</v>
      </c>
      <c r="AB107" s="129">
        <f>'P&amp;L - Inputs'!AJ263</f>
        <v>102777.02953500256</v>
      </c>
      <c r="AC107" s="129">
        <f>'P&amp;L - Inputs'!AK263</f>
        <v>208743.21335850836</v>
      </c>
      <c r="AD107" s="129">
        <f>'P&amp;L - Inputs'!AL263</f>
        <v>206909.24167953941</v>
      </c>
      <c r="AE107" s="129">
        <f>'P&amp;L - Inputs'!AM263</f>
        <v>221540.12449698191</v>
      </c>
      <c r="AF107" s="129">
        <f>'P&amp;L - Inputs'!AN263</f>
        <v>160379.18607181718</v>
      </c>
      <c r="AG107" s="129">
        <f>'P&amp;L - Inputs'!AO263</f>
        <v>110423.16518999802</v>
      </c>
      <c r="AH107" s="129">
        <f>'P&amp;L - Inputs'!AP263</f>
        <v>82447.812005550339</v>
      </c>
      <c r="AI107" s="129">
        <f>'P&amp;L - Inputs'!AQ263</f>
        <v>108447.48510673179</v>
      </c>
      <c r="AJ107" s="129">
        <f>'P&amp;L - Inputs'!AR263</f>
        <v>169899.26175026887</v>
      </c>
      <c r="AK107" s="129">
        <f>'P&amp;L - Inputs'!AS263</f>
        <v>325916.21497911727</v>
      </c>
      <c r="AL107" s="129">
        <f>'P&amp;L - Inputs'!AT263</f>
        <v>293911.67792760901</v>
      </c>
      <c r="AM107" s="129">
        <f>'P&amp;L - Inputs'!AU263</f>
        <v>212796.82181060431</v>
      </c>
      <c r="AN107" s="129">
        <f>'P&amp;L - Inputs'!AV263</f>
        <v>181290.86963340524</v>
      </c>
      <c r="AO107" s="129">
        <f>'P&amp;L - Inputs'!AW263</f>
        <v>113638.97980796386</v>
      </c>
      <c r="AP107" s="129">
        <f>'P&amp;L - Inputs'!AX263</f>
        <v>264302.62321486062</v>
      </c>
      <c r="AQ107" s="129">
        <f>'P&amp;L - Inputs'!AY263</f>
        <v>337361.77844637248</v>
      </c>
      <c r="AR107" s="129">
        <f>'P&amp;L - Inputs'!AZ263</f>
        <v>332063.78528724884</v>
      </c>
      <c r="AS107" s="129">
        <f>'P&amp;L - Inputs'!BA263</f>
        <v>462496.6300086744</v>
      </c>
      <c r="AT107" s="129">
        <f>'P&amp;L - Inputs'!BB263</f>
        <v>397994.86910861306</v>
      </c>
      <c r="AU107" s="129">
        <f>'P&amp;L - Inputs'!BC263</f>
        <v>492765.08639525686</v>
      </c>
      <c r="AV107" s="129">
        <f>'P&amp;L - Inputs'!BD263</f>
        <v>644759.73909249564</v>
      </c>
      <c r="AW107" s="129">
        <f>'P&amp;L - Inputs'!BE263</f>
        <v>489493.09363831306</v>
      </c>
      <c r="AX107" s="129">
        <f>'P&amp;L - Inputs'!BF263</f>
        <v>384817.05209813861</v>
      </c>
      <c r="AY107" s="129">
        <f>'P&amp;L - Inputs'!BG263</f>
        <v>352512.84844045265</v>
      </c>
      <c r="AZ107" s="129">
        <f>'P&amp;L - Inputs'!BH263</f>
        <v>654398.20523990283</v>
      </c>
      <c r="BA107" s="129">
        <f>'P&amp;L - Inputs'!BI263</f>
        <v>896576.76921963668</v>
      </c>
      <c r="BB107" s="129">
        <f>'P&amp;L - Inputs'!BJ263</f>
        <v>1141488.82368107</v>
      </c>
      <c r="BC107" s="129">
        <f>'P&amp;L - Inputs'!BK263</f>
        <v>954604.08610352897</v>
      </c>
      <c r="BD107" s="129">
        <f>'P&amp;L - Inputs'!BL263</f>
        <v>1462770.8974396235</v>
      </c>
      <c r="BE107" s="129">
        <f>'P&amp;L - Inputs'!BM263</f>
        <v>1148179.690381041</v>
      </c>
      <c r="BF107" s="129">
        <f>'P&amp;L - Inputs'!BN263</f>
        <v>1294752.0862960569</v>
      </c>
      <c r="BG107" s="129">
        <f>'P&amp;L - Inputs'!BO263</f>
        <v>1240103.7298416926</v>
      </c>
      <c r="BH107" s="129">
        <f>'P&amp;L - Inputs'!BP263</f>
        <v>1845674.5955348462</v>
      </c>
      <c r="BI107" s="129">
        <f>'P&amp;L - Inputs'!BQ263</f>
        <v>1440850.6745064985</v>
      </c>
      <c r="BJ107" s="129">
        <f>'P&amp;L - Inputs'!BR263</f>
        <v>1492724.1285297479</v>
      </c>
      <c r="BK107" s="129">
        <f>'P&amp;L - Inputs'!BS263</f>
        <v>1373622.8925437406</v>
      </c>
      <c r="BL107" s="129">
        <f>'P&amp;L - Inputs'!BT263</f>
        <v>1233653</v>
      </c>
      <c r="BM107" s="129">
        <f>'P&amp;L - Inputs'!BU263</f>
        <v>1733236.1251766894</v>
      </c>
      <c r="BN107" s="129">
        <f>'P&amp;L - Inputs'!BV263</f>
        <v>1424867.7919139466</v>
      </c>
      <c r="BO107" s="129">
        <f>'P&amp;L - Inputs'!BW263</f>
        <v>1824379.9461413026</v>
      </c>
      <c r="BP107" s="129">
        <f>'P&amp;L - Inputs'!BX263</f>
        <v>1410649.626269911</v>
      </c>
      <c r="BQ107" s="129">
        <f>'P&amp;L - Inputs'!BY263</f>
        <v>1838361.6857151566</v>
      </c>
      <c r="BR107" s="129">
        <f>'P&amp;L - Inputs'!BZ263</f>
        <v>1839591.0081062941</v>
      </c>
      <c r="BS107" s="129">
        <f>'P&amp;L - Inputs'!CA263</f>
        <v>2027415.3273169363</v>
      </c>
      <c r="BT107" s="129">
        <f>'P&amp;L - Inputs'!CB263</f>
        <v>1901122.1407438717</v>
      </c>
      <c r="BU107" s="129">
        <f>'P&amp;L - Inputs'!CC263</f>
        <v>1591557.8169075474</v>
      </c>
      <c r="BV107" s="129">
        <f>'P&amp;L - Inputs'!CD263</f>
        <v>1624198.4988187943</v>
      </c>
      <c r="BW107" s="129">
        <f>'P&amp;L - Inputs'!CE263</f>
        <v>1719783.5419637957</v>
      </c>
      <c r="BX107" s="129">
        <f>'P&amp;L - Inputs'!CF263</f>
        <v>1729237.0304288592</v>
      </c>
      <c r="BY107" s="129">
        <f>'P&amp;L - Inputs'!CG263</f>
        <v>2157348.3666513986</v>
      </c>
      <c r="BZ107" s="129">
        <f>'P&amp;L - Inputs'!CH263</f>
        <v>2136153.5133848335</v>
      </c>
      <c r="CA107" s="129">
        <f>'P&amp;L - Inputs'!CI263</f>
        <v>2108630.2213413161</v>
      </c>
      <c r="CB107" s="129">
        <f>'P&amp;L - Inputs'!CJ263</f>
        <v>2368478.496530558</v>
      </c>
      <c r="CC107" s="129">
        <f>'P&amp;L - Inputs'!CK263</f>
        <v>2348848.5305251805</v>
      </c>
      <c r="CD107" s="129">
        <f>'P&amp;L - Inputs'!CL263</f>
        <v>2267113.2677776362</v>
      </c>
      <c r="CE107" s="129">
        <f>'P&amp;L - Inputs'!CM263</f>
        <v>2945112.8895535818</v>
      </c>
      <c r="CF107" s="129">
        <f>'P&amp;L - Inputs'!CN263</f>
        <v>2722173.913944819</v>
      </c>
      <c r="CG107" s="129">
        <f>'P&amp;L - Inputs'!CO263</f>
        <v>2659080.3978544781</v>
      </c>
      <c r="CH107" s="129">
        <f>'P&amp;L - Inputs'!CP263</f>
        <v>2744300.1122413995</v>
      </c>
      <c r="CI107" s="129">
        <f>'P&amp;L - Inputs'!CQ263</f>
        <v>2839753.1052747592</v>
      </c>
      <c r="CJ107" s="129">
        <f>'P&amp;L - Inputs'!CR263</f>
        <v>2696799.7632719995</v>
      </c>
      <c r="CK107" s="129">
        <f>'P&amp;L - Inputs'!CS263</f>
        <v>2631944.5039378535</v>
      </c>
      <c r="CL107" s="129">
        <f>'P&amp;L - Inputs'!CT263</f>
        <v>2822650.4396020272</v>
      </c>
      <c r="CM107" s="129">
        <f>'P&amp;L - Inputs'!CU263</f>
        <v>2851378.4085446787</v>
      </c>
      <c r="CN107" s="129">
        <f>'P&amp;L - Inputs'!CV263</f>
        <v>2849338.5527617689</v>
      </c>
      <c r="CO107" s="129">
        <f>'P&amp;L - Inputs'!CW263</f>
        <v>2892345.5121847931</v>
      </c>
      <c r="CP107" s="129">
        <f>'P&amp;L - Inputs'!CX263</f>
        <v>2725417.3139499724</v>
      </c>
      <c r="CQ107" s="129">
        <f>'P&amp;L - Inputs'!CY263</f>
        <v>2981419.2147052055</v>
      </c>
      <c r="CR107" s="129">
        <f>'P&amp;L - Inputs'!CZ263</f>
        <v>2898975.0434792507</v>
      </c>
      <c r="CS107" s="129">
        <f>'P&amp;L - Inputs'!DA263</f>
        <v>2905774.5627556178</v>
      </c>
      <c r="CT107" s="129">
        <f>'P&amp;L - Inputs'!DB263</f>
        <v>3566857.8244004403</v>
      </c>
      <c r="CU107" s="129">
        <f>'P&amp;L - Inputs'!DC263</f>
        <v>3843258.2829847764</v>
      </c>
      <c r="CV107" s="129">
        <f>'P&amp;L - Inputs'!DD263</f>
        <v>3294877.0533457436</v>
      </c>
      <c r="CW107" s="129">
        <f>'P&amp;L - Inputs'!DE263</f>
        <v>3560398.2810878912</v>
      </c>
      <c r="CX107" s="129">
        <f>'P&amp;L - Inputs'!DF263</f>
        <v>3343429.4457086008</v>
      </c>
      <c r="CY107" s="129">
        <f>'P&amp;L - Inputs'!DG263</f>
        <v>3377457.724921172</v>
      </c>
      <c r="CZ107" s="129">
        <f>'P&amp;L - Inputs'!DH263</f>
        <v>3375041.5157463155</v>
      </c>
      <c r="DA107" s="129">
        <f>'P&amp;L - Inputs'!DI263</f>
        <v>3425983.2591828872</v>
      </c>
      <c r="DB107" s="129">
        <f>'P&amp;L - Inputs'!DJ263</f>
        <v>3228256.8083737423</v>
      </c>
      <c r="DC107" s="129">
        <f>'P&amp;L - Inputs'!DK263</f>
        <v>3531491.0598183163</v>
      </c>
      <c r="DD107" s="129">
        <f>'P&amp;L - Inputs'!DL263</f>
        <v>3433835.9390011723</v>
      </c>
      <c r="DE107" s="129">
        <f>'P&amp;L - Inputs'!DM263</f>
        <v>3441889.9695840301</v>
      </c>
      <c r="DF107" s="129">
        <f>'P&amp;L - Inputs'!DN263</f>
        <v>4224943.0930023221</v>
      </c>
      <c r="DG107" s="129">
        <f>'P&amp;L - Inputs'!DO263</f>
        <v>4552339.4361954685</v>
      </c>
      <c r="DH107" s="129">
        <f>'P&amp;L - Inputs'!DP263</f>
        <v>3902781.8696880336</v>
      </c>
      <c r="DI107" s="129">
        <f>'P&amp;L - Inputs'!DQ263</f>
        <v>4217291.7639486073</v>
      </c>
      <c r="DJ107" s="129">
        <f>'P&amp;L - Inputs'!DR263</f>
        <v>3960292.1784418365</v>
      </c>
      <c r="DK107" s="129">
        <f>'P&amp;L - Inputs'!DS263</f>
        <v>4000598.6751691285</v>
      </c>
      <c r="DL107" s="129">
        <f>'P&amp;L - Inputs'!DT263</f>
        <v>3997736.6754015097</v>
      </c>
      <c r="DM107" s="129">
        <f>'P&amp;L - Inputs'!DU263</f>
        <v>4058077.1705021295</v>
      </c>
      <c r="DN107" s="129">
        <f>'P&amp;L - Inputs'!DV263</f>
        <v>3823870.1895186976</v>
      </c>
      <c r="DO107" s="129">
        <f>'P&amp;L - Inputs'!DW263</f>
        <v>4183051.1603547954</v>
      </c>
      <c r="DP107" s="129">
        <f>'P&amp;L - Inputs'!DX263</f>
        <v>4067378.6697468879</v>
      </c>
      <c r="DQ107" s="129">
        <f>'P&amp;L - Inputs'!DY263</f>
        <v>4076918.6689722822</v>
      </c>
      <c r="DR107" s="129">
        <f>'P&amp;L - Inputs'!DZ263</f>
        <v>5004445.0936612496</v>
      </c>
      <c r="DS107" s="129">
        <f>'P&amp;L - Inputs'!EA263</f>
        <v>5392246.0621735314</v>
      </c>
      <c r="DT107" s="129">
        <f>'P&amp;L - Inputs'!EB263</f>
        <v>4622845.1246454753</v>
      </c>
      <c r="DU107" s="129">
        <f>'P&amp;L - Inputs'!EC263</f>
        <v>4995382.0943971258</v>
      </c>
      <c r="DW107" s="129">
        <f t="shared" si="347"/>
        <v>3558863.8072242225</v>
      </c>
      <c r="DX107" s="663">
        <f t="shared" si="348"/>
        <v>3683035.5065187905</v>
      </c>
      <c r="DY107" s="129">
        <f t="shared" si="349"/>
        <v>4779249.3985710926</v>
      </c>
      <c r="DZ107" s="129">
        <f t="shared" si="350"/>
        <v>4340512.0177204302</v>
      </c>
      <c r="EA107" s="129">
        <f t="shared" si="351"/>
        <v>4659897.3643251602</v>
      </c>
      <c r="EB107" s="129">
        <f t="shared" si="352"/>
        <v>5705368.0211383868</v>
      </c>
      <c r="EC107" s="129">
        <f t="shared" si="353"/>
        <v>5116878.4564702138</v>
      </c>
      <c r="ED107" s="129">
        <f t="shared" si="354"/>
        <v>5606368.9390440527</v>
      </c>
      <c r="EE107" s="129">
        <f t="shared" si="355"/>
        <v>6613262.2312567076</v>
      </c>
      <c r="EF107" s="129">
        <f t="shared" si="356"/>
        <v>7561074.6878563985</v>
      </c>
      <c r="EG107" s="129">
        <f t="shared" si="357"/>
        <v>8125554.4240406966</v>
      </c>
      <c r="EH107" s="129">
        <f t="shared" si="358"/>
        <v>8168497.3724846123</v>
      </c>
      <c r="EI107" s="129">
        <f t="shared" si="359"/>
        <v>8523367.4009084739</v>
      </c>
      <c r="EJ107" s="129">
        <f t="shared" si="360"/>
        <v>8599182.0408399701</v>
      </c>
      <c r="EK107" s="129">
        <f t="shared" si="361"/>
        <v>9371607.4306353088</v>
      </c>
      <c r="EL107" s="129">
        <f t="shared" si="362"/>
        <v>10698533.617418412</v>
      </c>
      <c r="EM107" s="129">
        <f t="shared" si="363"/>
        <v>10095928.686376089</v>
      </c>
      <c r="EN107" s="129">
        <f t="shared" si="364"/>
        <v>10185731.127374945</v>
      </c>
      <c r="EO107" s="644">
        <f t="shared" si="365"/>
        <v>11100669.001587525</v>
      </c>
      <c r="EP107" s="129">
        <f t="shared" si="366"/>
        <v>12672413.069832109</v>
      </c>
      <c r="EQ107" s="129">
        <f t="shared" si="377"/>
        <v>11958627.529012475</v>
      </c>
      <c r="ER107" s="129">
        <f t="shared" si="378"/>
        <v>12064998.520375622</v>
      </c>
      <c r="ES107" s="129">
        <f t="shared" si="379"/>
        <v>13148742.432380419</v>
      </c>
      <c r="ET107" s="129">
        <f t="shared" si="380"/>
        <v>15010473.281216132</v>
      </c>
      <c r="EV107" s="129">
        <f t="shared" si="371"/>
        <v>16361660.730034538</v>
      </c>
      <c r="EW107" s="129">
        <f t="shared" si="372"/>
        <v>21088512.780977815</v>
      </c>
      <c r="EX107" s="129">
        <f t="shared" si="373"/>
        <v>30468388.715638418</v>
      </c>
      <c r="EY107" s="129">
        <f t="shared" si="374"/>
        <v>37192690.489802167</v>
      </c>
      <c r="EZ107" s="129">
        <f t="shared" si="375"/>
        <v>44054741.885170668</v>
      </c>
      <c r="FA107" s="663">
        <f t="shared" si="376"/>
        <v>52182841.762984648</v>
      </c>
    </row>
    <row r="108" spans="2:157" x14ac:dyDescent="0.2">
      <c r="B108" s="114" t="s">
        <v>147</v>
      </c>
      <c r="C108" s="129">
        <f>'P&amp;L - Inputs'!K264</f>
        <v>0</v>
      </c>
      <c r="D108" s="129">
        <f>'P&amp;L - Inputs'!L264</f>
        <v>0</v>
      </c>
      <c r="E108" s="129">
        <f>'P&amp;L - Inputs'!M264</f>
        <v>0</v>
      </c>
      <c r="F108" s="129">
        <f>'P&amp;L - Inputs'!N264</f>
        <v>0</v>
      </c>
      <c r="G108" s="129">
        <f>'P&amp;L - Inputs'!O264</f>
        <v>0</v>
      </c>
      <c r="H108" s="129">
        <f>'P&amp;L - Inputs'!P264</f>
        <v>0</v>
      </c>
      <c r="I108" s="129">
        <f>'P&amp;L - Inputs'!Q264</f>
        <v>0</v>
      </c>
      <c r="J108" s="129">
        <f>'P&amp;L - Inputs'!R264</f>
        <v>0</v>
      </c>
      <c r="K108" s="129">
        <f>'P&amp;L - Inputs'!S264</f>
        <v>0</v>
      </c>
      <c r="L108" s="129">
        <f>'P&amp;L - Inputs'!T264</f>
        <v>0</v>
      </c>
      <c r="M108" s="129">
        <f>'P&amp;L - Inputs'!U264</f>
        <v>0</v>
      </c>
      <c r="N108" s="129">
        <f>'P&amp;L - Inputs'!V264</f>
        <v>0</v>
      </c>
      <c r="O108" s="129">
        <f>'P&amp;L - Inputs'!W264</f>
        <v>0</v>
      </c>
      <c r="P108" s="129">
        <f>'P&amp;L - Inputs'!X264</f>
        <v>0</v>
      </c>
      <c r="Q108" s="129">
        <f>'P&amp;L - Inputs'!Y264</f>
        <v>0</v>
      </c>
      <c r="R108" s="129">
        <f>'P&amp;L - Inputs'!Z264</f>
        <v>0</v>
      </c>
      <c r="S108" s="129">
        <f>'P&amp;L - Inputs'!AA264</f>
        <v>0</v>
      </c>
      <c r="T108" s="129">
        <f>'P&amp;L - Inputs'!AB264</f>
        <v>0</v>
      </c>
      <c r="U108" s="129">
        <f>'P&amp;L - Inputs'!AC264</f>
        <v>0</v>
      </c>
      <c r="V108" s="129">
        <f>'P&amp;L - Inputs'!AD264</f>
        <v>0</v>
      </c>
      <c r="W108" s="129">
        <f>'P&amp;L - Inputs'!AE264</f>
        <v>0</v>
      </c>
      <c r="X108" s="129">
        <f>'P&amp;L - Inputs'!AF264</f>
        <v>0</v>
      </c>
      <c r="Y108" s="129">
        <f>'P&amp;L - Inputs'!AG264</f>
        <v>0</v>
      </c>
      <c r="Z108" s="129">
        <f>'P&amp;L - Inputs'!AH264</f>
        <v>0</v>
      </c>
      <c r="AA108" s="129">
        <f>'P&amp;L - Inputs'!AI264</f>
        <v>0</v>
      </c>
      <c r="AB108" s="129">
        <f>'P&amp;L - Inputs'!AJ264</f>
        <v>0</v>
      </c>
      <c r="AC108" s="129">
        <f>'P&amp;L - Inputs'!AK264</f>
        <v>0</v>
      </c>
      <c r="AD108" s="129">
        <f>'P&amp;L - Inputs'!AL264</f>
        <v>0</v>
      </c>
      <c r="AE108" s="129">
        <f>'P&amp;L - Inputs'!AM264</f>
        <v>0</v>
      </c>
      <c r="AF108" s="129">
        <f>'P&amp;L - Inputs'!AN264</f>
        <v>0</v>
      </c>
      <c r="AG108" s="129">
        <f>'P&amp;L - Inputs'!AO264</f>
        <v>89200</v>
      </c>
      <c r="AH108" s="129">
        <f>'P&amp;L - Inputs'!AP264</f>
        <v>83750</v>
      </c>
      <c r="AI108" s="129">
        <f>'P&amp;L - Inputs'!AQ264</f>
        <v>134521</v>
      </c>
      <c r="AJ108" s="129">
        <f>'P&amp;L - Inputs'!AR264</f>
        <v>75672</v>
      </c>
      <c r="AK108" s="129">
        <f>'P&amp;L - Inputs'!AS264</f>
        <v>205950</v>
      </c>
      <c r="AL108" s="129">
        <f>'P&amp;L - Inputs'!AT264</f>
        <v>224983</v>
      </c>
      <c r="AM108" s="129">
        <f>'P&amp;L - Inputs'!AU264</f>
        <v>378547</v>
      </c>
      <c r="AN108" s="129">
        <f>'P&amp;L - Inputs'!AV264</f>
        <v>356216</v>
      </c>
      <c r="AO108" s="129">
        <f>'P&amp;L - Inputs'!AW264</f>
        <v>336128.17000000068</v>
      </c>
      <c r="AP108" s="129">
        <f>'P&amp;L - Inputs'!AX264</f>
        <v>339351</v>
      </c>
      <c r="AQ108" s="129">
        <f>'P&amp;L - Inputs'!AY264</f>
        <v>358223</v>
      </c>
      <c r="AR108" s="129">
        <f>'P&amp;L - Inputs'!AZ264</f>
        <v>564761</v>
      </c>
      <c r="AS108" s="129">
        <f>'P&amp;L - Inputs'!BA264</f>
        <v>517700</v>
      </c>
      <c r="AT108" s="129">
        <f>'P&amp;L - Inputs'!BB264</f>
        <v>462000</v>
      </c>
      <c r="AU108" s="129">
        <f>'P&amp;L - Inputs'!BC264</f>
        <v>611575</v>
      </c>
      <c r="AV108" s="129">
        <f>'P&amp;L - Inputs'!BD264</f>
        <v>1303500</v>
      </c>
      <c r="AW108" s="129">
        <f>'P&amp;L - Inputs'!BE264</f>
        <v>1346484</v>
      </c>
      <c r="AX108" s="129">
        <f>'P&amp;L - Inputs'!BF264</f>
        <v>1289000</v>
      </c>
      <c r="AY108" s="129">
        <f>'P&amp;L - Inputs'!BG264</f>
        <v>1597400</v>
      </c>
      <c r="AZ108" s="129">
        <f>'P&amp;L - Inputs'!BH264</f>
        <v>781899</v>
      </c>
      <c r="BA108" s="129">
        <f>'P&amp;L - Inputs'!BI264</f>
        <v>2312142.3448275859</v>
      </c>
      <c r="BB108" s="129">
        <f>'P&amp;L - Inputs'!BJ264</f>
        <v>2228010</v>
      </c>
      <c r="BC108" s="129">
        <f>'P&amp;L - Inputs'!BK264</f>
        <v>2228879</v>
      </c>
      <c r="BD108" s="129">
        <f>'P&amp;L - Inputs'!BL264</f>
        <v>1789026</v>
      </c>
      <c r="BE108" s="129">
        <f>'P&amp;L - Inputs'!BM264</f>
        <v>1708098</v>
      </c>
      <c r="BF108" s="129">
        <f>'P&amp;L - Inputs'!BN264</f>
        <v>2239853</v>
      </c>
      <c r="BG108" s="129">
        <f>'P&amp;L - Inputs'!BO264</f>
        <v>2444371</v>
      </c>
      <c r="BH108" s="129">
        <f>'P&amp;L - Inputs'!BP264</f>
        <v>3435837</v>
      </c>
      <c r="BI108" s="129">
        <f>'P&amp;L - Inputs'!BQ264</f>
        <v>2400956</v>
      </c>
      <c r="BJ108" s="129">
        <f>'P&amp;L - Inputs'!BR264</f>
        <v>2503811</v>
      </c>
      <c r="BK108" s="129">
        <f>'P&amp;L - Inputs'!BS264</f>
        <v>2164443</v>
      </c>
      <c r="BL108" s="129">
        <f>'P&amp;L - Inputs'!BT264</f>
        <v>1956449</v>
      </c>
      <c r="BM108" s="129">
        <f>'P&amp;L - Inputs'!BU264</f>
        <v>2285397</v>
      </c>
      <c r="BN108" s="129">
        <f>'P&amp;L - Inputs'!BV264</f>
        <v>2414256</v>
      </c>
      <c r="BO108" s="129">
        <f>'P&amp;L - Inputs'!BW264</f>
        <v>2414228</v>
      </c>
      <c r="BP108" s="129">
        <f>'P&amp;L - Inputs'!BX264</f>
        <v>2118993</v>
      </c>
      <c r="BQ108" s="129">
        <f>'P&amp;L - Inputs'!BY264</f>
        <v>1785874</v>
      </c>
      <c r="BR108" s="129">
        <f>'P&amp;L - Inputs'!BZ264</f>
        <v>1899294.88</v>
      </c>
      <c r="BS108" s="129">
        <f>'P&amp;L - Inputs'!CA264</f>
        <v>1945712.88</v>
      </c>
      <c r="BT108" s="129">
        <f>'P&amp;L - Inputs'!CB264</f>
        <v>1874014.5211863993</v>
      </c>
      <c r="BU108" s="129">
        <f>'P&amp;L - Inputs'!CC264</f>
        <v>1782123.1749999998</v>
      </c>
      <c r="BV108" s="129">
        <f>'P&amp;L - Inputs'!CD264</f>
        <v>2198813</v>
      </c>
      <c r="BW108" s="129">
        <f>'P&amp;L - Inputs'!CE264</f>
        <v>3353078.0069491006</v>
      </c>
      <c r="BX108" s="129">
        <f>'P&amp;L - Inputs'!CF264</f>
        <v>2106379</v>
      </c>
      <c r="BY108" s="129">
        <f>'P&amp;L - Inputs'!CG264</f>
        <v>2554944</v>
      </c>
      <c r="BZ108" s="129">
        <f>'P&amp;L - Inputs'!CH264</f>
        <v>2911400</v>
      </c>
      <c r="CA108" s="129">
        <f>'P&amp;L - Inputs'!CI264</f>
        <v>2741548</v>
      </c>
      <c r="CB108" s="129">
        <f>'P&amp;L - Inputs'!CJ264</f>
        <v>2560353</v>
      </c>
      <c r="CC108" s="129">
        <f>'P&amp;L - Inputs'!CK264</f>
        <v>2541604</v>
      </c>
      <c r="CD108" s="129">
        <f>'P&amp;L - Inputs'!CL264</f>
        <v>2544354</v>
      </c>
      <c r="CE108" s="129">
        <f>'P&amp;L - Inputs'!CM264</f>
        <v>2128897</v>
      </c>
      <c r="CF108" s="129">
        <f>'P&amp;L - Inputs'!CN264</f>
        <v>2784130</v>
      </c>
      <c r="CG108" s="129">
        <f>'P&amp;L - Inputs'!CO264</f>
        <v>2530995</v>
      </c>
      <c r="CH108" s="129">
        <f>'P&amp;L - Inputs'!CP264</f>
        <v>3446659</v>
      </c>
      <c r="CI108" s="129">
        <f>'P&amp;L - Inputs'!CQ264</f>
        <v>3885350</v>
      </c>
      <c r="CJ108" s="129">
        <f>'P&amp;L - Inputs'!CR264</f>
        <v>3219142</v>
      </c>
      <c r="CK108" s="129">
        <f>'P&amp;L - Inputs'!CS264</f>
        <v>3605094</v>
      </c>
      <c r="CL108" s="129">
        <f>'P&amp;L - Inputs'!CT264</f>
        <v>3287544.6079222676</v>
      </c>
      <c r="CM108" s="129">
        <f>'P&amp;L - Inputs'!CU264</f>
        <v>3321004.1104057883</v>
      </c>
      <c r="CN108" s="129">
        <f>'P&amp;L - Inputs'!CV264</f>
        <v>3318628.2877442366</v>
      </c>
      <c r="CO108" s="129">
        <f>'P&amp;L - Inputs'!CW264</f>
        <v>3368718.5488586198</v>
      </c>
      <c r="CP108" s="129">
        <f>'P&amp;L - Inputs'!CX264</f>
        <v>3174297.0610549659</v>
      </c>
      <c r="CQ108" s="129">
        <f>'P&amp;L - Inputs'!CY264</f>
        <v>3472462.8050797139</v>
      </c>
      <c r="CR108" s="129">
        <f>'P&amp;L - Inputs'!CZ264</f>
        <v>3376439.9725086628</v>
      </c>
      <c r="CS108" s="129">
        <f>'P&amp;L - Inputs'!DA264</f>
        <v>3384359.3813805021</v>
      </c>
      <c r="CT108" s="129">
        <f>'P&amp;L - Inputs'!DB264</f>
        <v>4154323.9089450729</v>
      </c>
      <c r="CU108" s="129">
        <f>'P&amp;L - Inputs'!DC264</f>
        <v>4476247.8795853378</v>
      </c>
      <c r="CV108" s="129">
        <f>'P&amp;L - Inputs'!DD264</f>
        <v>3837547.5540715032</v>
      </c>
      <c r="CW108" s="129">
        <f>'P&amp;L - Inputs'!DE264</f>
        <v>4146800.4705168251</v>
      </c>
      <c r="CX108" s="129">
        <f>'P&amp;L - Inputs'!DF264</f>
        <v>3969710.1140661379</v>
      </c>
      <c r="CY108" s="129">
        <f>'P&amp;L - Inputs'!DG264</f>
        <v>4010112.4633149891</v>
      </c>
      <c r="CZ108" s="129">
        <f>'P&amp;L - Inputs'!DH264</f>
        <v>4007243.6574511654</v>
      </c>
      <c r="DA108" s="129">
        <f>'P&amp;L - Inputs'!DI264</f>
        <v>4067727.6477467832</v>
      </c>
      <c r="DB108" s="129">
        <f>'P&amp;L - Inputs'!DJ264</f>
        <v>3832963.7012238712</v>
      </c>
      <c r="DC108" s="129">
        <f>'P&amp;L - Inputs'!DK264</f>
        <v>4192998.837133754</v>
      </c>
      <c r="DD108" s="129">
        <f>'P&amp;L - Inputs'!DL264</f>
        <v>4077051.2668042104</v>
      </c>
      <c r="DE108" s="129">
        <f>'P&amp;L - Inputs'!DM264</f>
        <v>4086613.9530169563</v>
      </c>
      <c r="DF108" s="129">
        <f>'P&amp;L - Inputs'!DN264</f>
        <v>5016346.1200511744</v>
      </c>
      <c r="DG108" s="129">
        <f>'P&amp;L - Inputs'!DO264</f>
        <v>5405069.3145992951</v>
      </c>
      <c r="DH108" s="129">
        <f>'P&amp;L - Inputs'!DP264</f>
        <v>4633838.6715413397</v>
      </c>
      <c r="DI108" s="129">
        <f>'P&amp;L - Inputs'!DQ264</f>
        <v>5007261.5681490665</v>
      </c>
      <c r="DJ108" s="129">
        <f>'P&amp;L - Inputs'!DR264</f>
        <v>4565166.6311760582</v>
      </c>
      <c r="DK108" s="129">
        <f>'P&amp;L - Inputs'!DS264</f>
        <v>4611629.3328122366</v>
      </c>
      <c r="DL108" s="129">
        <f>'P&amp;L - Inputs'!DT264</f>
        <v>4608330.2060688408</v>
      </c>
      <c r="DM108" s="129">
        <f>'P&amp;L - Inputs'!DU264</f>
        <v>4677886.7949088011</v>
      </c>
      <c r="DN108" s="129">
        <f>'P&amp;L - Inputs'!DV264</f>
        <v>4407908.2564074509</v>
      </c>
      <c r="DO108" s="129">
        <f>'P&amp;L - Inputs'!DW264</f>
        <v>4821948.6627038168</v>
      </c>
      <c r="DP108" s="129">
        <f>'P&amp;L - Inputs'!DX264</f>
        <v>4688608.956824841</v>
      </c>
      <c r="DQ108" s="129">
        <f>'P&amp;L - Inputs'!DY264</f>
        <v>4699606.0459694983</v>
      </c>
      <c r="DR108" s="129">
        <f>'P&amp;L - Inputs'!DZ264</f>
        <v>5768798.0380588509</v>
      </c>
      <c r="DS108" s="129">
        <f>'P&amp;L - Inputs'!EA264</f>
        <v>6215829.7117891898</v>
      </c>
      <c r="DT108" s="129">
        <f>'P&amp;L - Inputs'!EB264</f>
        <v>5328914.4722725395</v>
      </c>
      <c r="DU108" s="129">
        <f>'P&amp;L - Inputs'!EC264</f>
        <v>5758350.8033714257</v>
      </c>
      <c r="DW108" s="129">
        <f t="shared" si="347"/>
        <v>6245915</v>
      </c>
      <c r="DX108" s="663">
        <f t="shared" si="348"/>
        <v>6392322</v>
      </c>
      <c r="DY108" s="129">
        <f t="shared" si="349"/>
        <v>8340604</v>
      </c>
      <c r="DZ108" s="129">
        <f t="shared" si="350"/>
        <v>6406289</v>
      </c>
      <c r="EA108" s="129">
        <f t="shared" si="351"/>
        <v>6947477</v>
      </c>
      <c r="EB108" s="129">
        <f t="shared" si="352"/>
        <v>5630881.7599999998</v>
      </c>
      <c r="EC108" s="129">
        <f t="shared" si="353"/>
        <v>5854950.6961863991</v>
      </c>
      <c r="ED108" s="129">
        <f t="shared" si="354"/>
        <v>8014401.0069491006</v>
      </c>
      <c r="EE108" s="129">
        <f t="shared" si="355"/>
        <v>8213301</v>
      </c>
      <c r="EF108" s="129">
        <f t="shared" si="356"/>
        <v>7214855</v>
      </c>
      <c r="EG108" s="129">
        <f t="shared" si="357"/>
        <v>8761784</v>
      </c>
      <c r="EH108" s="129">
        <f t="shared" si="358"/>
        <v>10709586</v>
      </c>
      <c r="EI108" s="129">
        <f t="shared" si="359"/>
        <v>9927177.0060722921</v>
      </c>
      <c r="EJ108" s="129">
        <f t="shared" si="360"/>
        <v>10015478.414993299</v>
      </c>
      <c r="EK108" s="129">
        <f t="shared" si="361"/>
        <v>10915123.262834238</v>
      </c>
      <c r="EL108" s="129">
        <f t="shared" si="362"/>
        <v>12460595.904173667</v>
      </c>
      <c r="EM108" s="129">
        <f t="shared" si="363"/>
        <v>11987066.234832292</v>
      </c>
      <c r="EN108" s="129">
        <f t="shared" si="364"/>
        <v>12093690.186104409</v>
      </c>
      <c r="EO108" s="644">
        <f t="shared" si="365"/>
        <v>13180011.339872342</v>
      </c>
      <c r="EP108" s="129">
        <f t="shared" si="366"/>
        <v>15046169.554289702</v>
      </c>
      <c r="EQ108" s="129">
        <f t="shared" si="377"/>
        <v>13785126.170057137</v>
      </c>
      <c r="ER108" s="129">
        <f t="shared" si="378"/>
        <v>13907743.71402007</v>
      </c>
      <c r="ES108" s="129">
        <f t="shared" si="379"/>
        <v>15157013.040853191</v>
      </c>
      <c r="ET108" s="129">
        <f t="shared" si="380"/>
        <v>17303094.987433154</v>
      </c>
      <c r="EV108" s="129">
        <f t="shared" si="371"/>
        <v>27385130</v>
      </c>
      <c r="EW108" s="129">
        <f t="shared" si="372"/>
        <v>26447710.4631355</v>
      </c>
      <c r="EX108" s="129">
        <f t="shared" si="373"/>
        <v>34899526</v>
      </c>
      <c r="EY108" s="129">
        <f t="shared" si="374"/>
        <v>43318374.588073492</v>
      </c>
      <c r="EZ108" s="129">
        <f t="shared" si="375"/>
        <v>52306937.315098748</v>
      </c>
      <c r="FA108" s="663">
        <f t="shared" si="376"/>
        <v>60152977.912363544</v>
      </c>
    </row>
    <row r="109" spans="2:157" x14ac:dyDescent="0.2">
      <c r="B109" s="114" t="s">
        <v>148</v>
      </c>
      <c r="C109" s="129">
        <f>'P&amp;L - Inputs'!K265</f>
        <v>0</v>
      </c>
      <c r="D109" s="129">
        <f>'P&amp;L - Inputs'!L265</f>
        <v>0</v>
      </c>
      <c r="E109" s="129">
        <f>'P&amp;L - Inputs'!M265</f>
        <v>0</v>
      </c>
      <c r="F109" s="129">
        <f>'P&amp;L - Inputs'!N265</f>
        <v>0</v>
      </c>
      <c r="G109" s="129">
        <f>'P&amp;L - Inputs'!O265</f>
        <v>0</v>
      </c>
      <c r="H109" s="129">
        <f>'P&amp;L - Inputs'!P265</f>
        <v>0</v>
      </c>
      <c r="I109" s="129">
        <f>'P&amp;L - Inputs'!Q265</f>
        <v>0</v>
      </c>
      <c r="J109" s="129">
        <f>'P&amp;L - Inputs'!R265</f>
        <v>0</v>
      </c>
      <c r="K109" s="129">
        <f>'P&amp;L - Inputs'!S265</f>
        <v>0</v>
      </c>
      <c r="L109" s="129">
        <f>'P&amp;L - Inputs'!T265</f>
        <v>0</v>
      </c>
      <c r="M109" s="129">
        <f>'P&amp;L - Inputs'!U265</f>
        <v>0</v>
      </c>
      <c r="N109" s="129">
        <f>'P&amp;L - Inputs'!V265</f>
        <v>0</v>
      </c>
      <c r="O109" s="129">
        <f>'P&amp;L - Inputs'!W265</f>
        <v>0</v>
      </c>
      <c r="P109" s="129">
        <f>'P&amp;L - Inputs'!X265</f>
        <v>0</v>
      </c>
      <c r="Q109" s="129">
        <f>'P&amp;L - Inputs'!Y265</f>
        <v>0</v>
      </c>
      <c r="R109" s="129">
        <f>'P&amp;L - Inputs'!Z265</f>
        <v>0</v>
      </c>
      <c r="S109" s="129">
        <f>'P&amp;L - Inputs'!AA265</f>
        <v>0</v>
      </c>
      <c r="T109" s="129">
        <f>'P&amp;L - Inputs'!AB265</f>
        <v>0</v>
      </c>
      <c r="U109" s="129">
        <f>'P&amp;L - Inputs'!AC265</f>
        <v>0</v>
      </c>
      <c r="V109" s="129">
        <f>'P&amp;L - Inputs'!AD265</f>
        <v>0</v>
      </c>
      <c r="W109" s="129">
        <f>'P&amp;L - Inputs'!AE265</f>
        <v>0</v>
      </c>
      <c r="X109" s="129">
        <f>'P&amp;L - Inputs'!AF265</f>
        <v>0</v>
      </c>
      <c r="Y109" s="129">
        <f>'P&amp;L - Inputs'!AG265</f>
        <v>0</v>
      </c>
      <c r="Z109" s="129">
        <f>'P&amp;L - Inputs'!AH265</f>
        <v>0</v>
      </c>
      <c r="AA109" s="129">
        <f>'P&amp;L - Inputs'!AI265</f>
        <v>0</v>
      </c>
      <c r="AB109" s="129">
        <f>'P&amp;L - Inputs'!AJ265</f>
        <v>0</v>
      </c>
      <c r="AC109" s="129">
        <f>'P&amp;L - Inputs'!AK265</f>
        <v>0</v>
      </c>
      <c r="AD109" s="129">
        <f>'P&amp;L - Inputs'!AL265</f>
        <v>0</v>
      </c>
      <c r="AE109" s="129">
        <f>'P&amp;L - Inputs'!AM265</f>
        <v>0</v>
      </c>
      <c r="AF109" s="129">
        <f>'P&amp;L - Inputs'!AN265</f>
        <v>0</v>
      </c>
      <c r="AG109" s="129">
        <f>'P&amp;L - Inputs'!AO265</f>
        <v>0</v>
      </c>
      <c r="AH109" s="129">
        <f>'P&amp;L - Inputs'!AP265</f>
        <v>0</v>
      </c>
      <c r="AI109" s="129">
        <f>'P&amp;L - Inputs'!AQ265</f>
        <v>0</v>
      </c>
      <c r="AJ109" s="129">
        <f>'P&amp;L - Inputs'!AR265</f>
        <v>0</v>
      </c>
      <c r="AK109" s="129">
        <f>'P&amp;L - Inputs'!AS265</f>
        <v>0</v>
      </c>
      <c r="AL109" s="129">
        <f>'P&amp;L - Inputs'!AT265</f>
        <v>0</v>
      </c>
      <c r="AM109" s="129">
        <f>'P&amp;L - Inputs'!AU265</f>
        <v>0</v>
      </c>
      <c r="AN109" s="129">
        <f>'P&amp;L - Inputs'!AV265</f>
        <v>0</v>
      </c>
      <c r="AO109" s="129">
        <f>'P&amp;L - Inputs'!AW265</f>
        <v>0</v>
      </c>
      <c r="AP109" s="129">
        <f>'P&amp;L - Inputs'!AX265</f>
        <v>0</v>
      </c>
      <c r="AQ109" s="129">
        <f>'P&amp;L - Inputs'!AY265</f>
        <v>0</v>
      </c>
      <c r="AR109" s="129">
        <f>'P&amp;L - Inputs'!AZ265</f>
        <v>0</v>
      </c>
      <c r="AS109" s="129">
        <f>'P&amp;L - Inputs'!BA265</f>
        <v>0</v>
      </c>
      <c r="AT109" s="129">
        <f>'P&amp;L - Inputs'!BB265</f>
        <v>0</v>
      </c>
      <c r="AU109" s="129">
        <f>'P&amp;L - Inputs'!BC265</f>
        <v>0</v>
      </c>
      <c r="AV109" s="129">
        <f>'P&amp;L - Inputs'!BD265</f>
        <v>0</v>
      </c>
      <c r="AW109" s="129">
        <f>'P&amp;L - Inputs'!BE265</f>
        <v>0</v>
      </c>
      <c r="AX109" s="129">
        <f>'P&amp;L - Inputs'!BF265</f>
        <v>0</v>
      </c>
      <c r="AY109" s="129">
        <f>'P&amp;L - Inputs'!BG265</f>
        <v>0</v>
      </c>
      <c r="AZ109" s="129">
        <f>'P&amp;L - Inputs'!BH265</f>
        <v>1751049</v>
      </c>
      <c r="BA109" s="129">
        <f>'P&amp;L - Inputs'!BI265</f>
        <v>6345057.6551724141</v>
      </c>
      <c r="BB109" s="129">
        <f>'P&amp;L - Inputs'!BJ265</f>
        <v>6169164</v>
      </c>
      <c r="BC109" s="129">
        <f>'P&amp;L - Inputs'!BK265</f>
        <v>4057001</v>
      </c>
      <c r="BD109" s="129">
        <f>'P&amp;L - Inputs'!BL265</f>
        <v>4873806</v>
      </c>
      <c r="BE109" s="129">
        <f>'P&amp;L - Inputs'!BM265</f>
        <v>4338714</v>
      </c>
      <c r="BF109" s="129">
        <f>'P&amp;L - Inputs'!BN265</f>
        <v>3903055</v>
      </c>
      <c r="BG109" s="129">
        <f>'P&amp;L - Inputs'!BO265</f>
        <v>5060419</v>
      </c>
      <c r="BH109" s="129">
        <f>'P&amp;L - Inputs'!BP265</f>
        <v>8551741</v>
      </c>
      <c r="BI109" s="129">
        <f>'P&amp;L - Inputs'!BQ265</f>
        <v>3636347</v>
      </c>
      <c r="BJ109" s="129">
        <f>'P&amp;L - Inputs'!BR265</f>
        <v>1846395</v>
      </c>
      <c r="BK109" s="129">
        <f>'P&amp;L - Inputs'!BS265</f>
        <v>1907101</v>
      </c>
      <c r="BL109" s="129">
        <f>'P&amp;L - Inputs'!BT265</f>
        <v>1799714</v>
      </c>
      <c r="BM109" s="129">
        <f>'P&amp;L - Inputs'!BU265</f>
        <v>2371784</v>
      </c>
      <c r="BN109" s="129">
        <f>'P&amp;L - Inputs'!BV265</f>
        <v>2032100</v>
      </c>
      <c r="BO109" s="129">
        <f>'P&amp;L - Inputs'!BW265</f>
        <v>3534065</v>
      </c>
      <c r="BP109" s="129">
        <f>'P&amp;L - Inputs'!BX265</f>
        <v>6214618</v>
      </c>
      <c r="BQ109" s="129">
        <f>'P&amp;L - Inputs'!BY265</f>
        <v>7323086</v>
      </c>
      <c r="BR109" s="129">
        <f>'P&amp;L - Inputs'!BZ265</f>
        <v>5400553</v>
      </c>
      <c r="BS109" s="129">
        <f>'P&amp;L - Inputs'!CA265</f>
        <v>5067215.6101695001</v>
      </c>
      <c r="BT109" s="129">
        <f>'P&amp;L - Inputs'!CB265</f>
        <v>5790256.1988136005</v>
      </c>
      <c r="BU109" s="129">
        <f>'P&amp;L - Inputs'!CC265</f>
        <v>6441011</v>
      </c>
      <c r="BV109" s="129">
        <f>'P&amp;L - Inputs'!CD265</f>
        <v>5843336</v>
      </c>
      <c r="BW109" s="129">
        <f>'P&amp;L - Inputs'!CE265</f>
        <v>4707460</v>
      </c>
      <c r="BX109" s="129">
        <f>'P&amp;L - Inputs'!CF265</f>
        <v>2854584</v>
      </c>
      <c r="BY109" s="129">
        <f>'P&amp;L - Inputs'!CG265</f>
        <v>8466927</v>
      </c>
      <c r="BZ109" s="129">
        <f>'P&amp;L - Inputs'!CH265</f>
        <v>6924316</v>
      </c>
      <c r="CA109" s="129">
        <f>'P&amp;L - Inputs'!CI265</f>
        <v>7435223</v>
      </c>
      <c r="CB109" s="129">
        <f>'P&amp;L - Inputs'!CJ265</f>
        <v>8173857</v>
      </c>
      <c r="CC109" s="129">
        <f>'P&amp;L - Inputs'!CK265</f>
        <v>5786793</v>
      </c>
      <c r="CD109" s="129">
        <f>'P&amp;L - Inputs'!CL265</f>
        <v>4334258</v>
      </c>
      <c r="CE109" s="129">
        <f>'P&amp;L - Inputs'!CM265</f>
        <v>5942944.2282299995</v>
      </c>
      <c r="CF109" s="129">
        <f>'P&amp;L - Inputs'!CN265</f>
        <v>5139227.4479999989</v>
      </c>
      <c r="CG109" s="129">
        <f>'P&amp;L - Inputs'!CO265</f>
        <v>5396341.0106000006</v>
      </c>
      <c r="CH109" s="129">
        <f>'P&amp;L - Inputs'!CP265</f>
        <v>6289048.8649999993</v>
      </c>
      <c r="CI109" s="129">
        <f>'P&amp;L - Inputs'!CQ265</f>
        <v>7773952.3206400005</v>
      </c>
      <c r="CJ109" s="129">
        <f>'P&amp;L - Inputs'!CR265</f>
        <v>6774355.4477599999</v>
      </c>
      <c r="CK109" s="129">
        <f>'P&amp;L - Inputs'!CS265</f>
        <v>7702395.1414499991</v>
      </c>
      <c r="CL109" s="129">
        <f>'P&amp;L - Inputs'!CT265</f>
        <v>7162278.6117616305</v>
      </c>
      <c r="CM109" s="129">
        <f>'P&amp;L - Inputs'!CU265</f>
        <v>7235173.8291893741</v>
      </c>
      <c r="CN109" s="129">
        <f>'P&amp;L - Inputs'!CV265</f>
        <v>7229997.8374193581</v>
      </c>
      <c r="CO109" s="129">
        <f>'P&amp;L - Inputs'!CW265</f>
        <v>7339124.997237226</v>
      </c>
      <c r="CP109" s="129">
        <f>'P&amp;L - Inputs'!CX265</f>
        <v>6915556.3373907981</v>
      </c>
      <c r="CQ109" s="129">
        <f>'P&amp;L - Inputs'!CY265</f>
        <v>7565143.3045279849</v>
      </c>
      <c r="CR109" s="129">
        <f>'P&amp;L - Inputs'!CZ265</f>
        <v>7355946.9704897823</v>
      </c>
      <c r="CS109" s="129">
        <f>'P&amp;L - Inputs'!DA265</f>
        <v>7373200.2763898391</v>
      </c>
      <c r="CT109" s="129">
        <f>'P&amp;L - Inputs'!DB265</f>
        <v>9050652.9425229896</v>
      </c>
      <c r="CU109" s="129">
        <f>'P&amp;L - Inputs'!DC265</f>
        <v>9751999.8273603525</v>
      </c>
      <c r="CV109" s="129">
        <f>'P&amp;L - Inputs'!DD265</f>
        <v>8360520.7065206654</v>
      </c>
      <c r="CW109" s="129">
        <f>'P&amp;L - Inputs'!DE265</f>
        <v>9034262.3019179348</v>
      </c>
      <c r="CX109" s="129">
        <f>'P&amp;L - Inputs'!DF265</f>
        <v>8483719.0156316515</v>
      </c>
      <c r="CY109" s="129">
        <f>'P&amp;L - Inputs'!DG265</f>
        <v>8570063.4006748144</v>
      </c>
      <c r="CZ109" s="129">
        <f>'P&amp;L - Inputs'!DH265</f>
        <v>8563932.4384232294</v>
      </c>
      <c r="DA109" s="129">
        <f>'P&amp;L - Inputs'!DI265</f>
        <v>8693193.5592274927</v>
      </c>
      <c r="DB109" s="129">
        <f>'P&amp;L - Inputs'!DJ265</f>
        <v>8191476.4816393992</v>
      </c>
      <c r="DC109" s="129">
        <f>'P&amp;L - Inputs'!DK265</f>
        <v>8960912.2442133985</v>
      </c>
      <c r="DD109" s="129">
        <f>'P&amp;L - Inputs'!DL265</f>
        <v>8713119.1865451466</v>
      </c>
      <c r="DE109" s="129">
        <f>'P&amp;L - Inputs'!DM265</f>
        <v>8733555.7273837663</v>
      </c>
      <c r="DF109" s="129">
        <f>'P&amp;L - Inputs'!DN265</f>
        <v>10720498.410418482</v>
      </c>
      <c r="DG109" s="129">
        <f>'P&amp;L - Inputs'!DO265</f>
        <v>11551243.79550834</v>
      </c>
      <c r="DH109" s="129">
        <f>'P&amp;L - Inputs'!DP265</f>
        <v>9903036.7768737283</v>
      </c>
      <c r="DI109" s="129">
        <f>'P&amp;L - Inputs'!DQ265</f>
        <v>10701083.696621794</v>
      </c>
      <c r="DJ109" s="129">
        <f>'P&amp;L - Inputs'!DR265</f>
        <v>10048965.174015688</v>
      </c>
      <c r="DK109" s="129">
        <f>'P&amp;L - Inputs'!DS265</f>
        <v>10151240.098099317</v>
      </c>
      <c r="DL109" s="129">
        <f>'P&amp;L - Inputs'!DT265</f>
        <v>10143977.973312315</v>
      </c>
      <c r="DM109" s="129">
        <f>'P&amp;L - Inputs'!DU265</f>
        <v>10297087.770904966</v>
      </c>
      <c r="DN109" s="129">
        <f>'P&amp;L - Inputs'!DV265</f>
        <v>9702803.8925018702</v>
      </c>
      <c r="DO109" s="129">
        <f>'P&amp;L - Inputs'!DW265</f>
        <v>10614200.553270774</v>
      </c>
      <c r="DP109" s="129">
        <f>'P&amp;L - Inputs'!DX265</f>
        <v>10320689.676462725</v>
      </c>
      <c r="DQ109" s="129">
        <f>'P&amp;L - Inputs'!DY265</f>
        <v>10344896.759086069</v>
      </c>
      <c r="DR109" s="129">
        <f>'P&amp;L - Inputs'!DZ265</f>
        <v>12698430.367140694</v>
      </c>
      <c r="DS109" s="129">
        <f>'P&amp;L - Inputs'!EA265</f>
        <v>13682448.275779629</v>
      </c>
      <c r="DT109" s="129">
        <f>'P&amp;L - Inputs'!EB265</f>
        <v>11730147.062206931</v>
      </c>
      <c r="DU109" s="129">
        <f>'P&amp;L - Inputs'!EC265</f>
        <v>12675433.638648517</v>
      </c>
      <c r="DW109" s="129">
        <f t="shared" si="347"/>
        <v>15099971</v>
      </c>
      <c r="DX109" s="663">
        <f t="shared" si="348"/>
        <v>13302188</v>
      </c>
      <c r="DY109" s="129">
        <f t="shared" si="349"/>
        <v>14034483</v>
      </c>
      <c r="DZ109" s="129">
        <f t="shared" si="350"/>
        <v>6078599</v>
      </c>
      <c r="EA109" s="129">
        <f t="shared" si="351"/>
        <v>11780783</v>
      </c>
      <c r="EB109" s="129">
        <f t="shared" si="352"/>
        <v>17790854.6101695</v>
      </c>
      <c r="EC109" s="129">
        <f t="shared" si="353"/>
        <v>18074603.198813602</v>
      </c>
      <c r="ED109" s="129">
        <f t="shared" si="354"/>
        <v>16028971</v>
      </c>
      <c r="EE109" s="129">
        <f t="shared" si="355"/>
        <v>22533396</v>
      </c>
      <c r="EF109" s="129">
        <f t="shared" si="356"/>
        <v>16063995.22823</v>
      </c>
      <c r="EG109" s="129">
        <f t="shared" si="357"/>
        <v>16824617.323599998</v>
      </c>
      <c r="EH109" s="129">
        <f t="shared" si="358"/>
        <v>22250702.909850001</v>
      </c>
      <c r="EI109" s="129">
        <f t="shared" si="359"/>
        <v>21627450.278370362</v>
      </c>
      <c r="EJ109" s="129">
        <f t="shared" si="360"/>
        <v>21819824.639156006</v>
      </c>
      <c r="EK109" s="129">
        <f t="shared" si="361"/>
        <v>23779800.18940261</v>
      </c>
      <c r="EL109" s="129">
        <f t="shared" si="362"/>
        <v>27146782.835798949</v>
      </c>
      <c r="EM109" s="129">
        <f t="shared" si="363"/>
        <v>25617714.854729697</v>
      </c>
      <c r="EN109" s="129">
        <f t="shared" si="364"/>
        <v>25845582.285080291</v>
      </c>
      <c r="EO109" s="644">
        <f t="shared" si="365"/>
        <v>28167173.324347392</v>
      </c>
      <c r="EP109" s="129">
        <f t="shared" si="366"/>
        <v>32155364.269003864</v>
      </c>
      <c r="EQ109" s="129">
        <f t="shared" si="377"/>
        <v>30344183.245427322</v>
      </c>
      <c r="ER109" s="129">
        <f t="shared" si="378"/>
        <v>30614092.216677606</v>
      </c>
      <c r="ES109" s="129">
        <f t="shared" si="379"/>
        <v>33364016.802689485</v>
      </c>
      <c r="ET109" s="129">
        <f t="shared" si="380"/>
        <v>38088028.976635076</v>
      </c>
      <c r="EV109" s="129">
        <f t="shared" si="371"/>
        <v>48515241</v>
      </c>
      <c r="EW109" s="129">
        <f t="shared" si="372"/>
        <v>63675211.808983102</v>
      </c>
      <c r="EX109" s="129">
        <f t="shared" si="373"/>
        <v>77672711.461679995</v>
      </c>
      <c r="EY109" s="129">
        <f t="shared" si="374"/>
        <v>94373857.942727923</v>
      </c>
      <c r="EZ109" s="129">
        <f t="shared" si="375"/>
        <v>111785834.73316124</v>
      </c>
      <c r="FA109" s="663">
        <f t="shared" si="376"/>
        <v>132410321.24142948</v>
      </c>
    </row>
    <row r="110" spans="2:157" x14ac:dyDescent="0.2">
      <c r="B110" s="114" t="s">
        <v>149</v>
      </c>
      <c r="C110" s="129">
        <f>'P&amp;L - Inputs'!K266</f>
        <v>4546.6283367556471</v>
      </c>
      <c r="D110" s="129">
        <f>'P&amp;L - Inputs'!L266</f>
        <v>25058.295944055946</v>
      </c>
      <c r="E110" s="129">
        <f>'P&amp;L - Inputs'!M266</f>
        <v>132987.97409695818</v>
      </c>
      <c r="F110" s="129">
        <f>'P&amp;L - Inputs'!N266</f>
        <v>166148.3821860817</v>
      </c>
      <c r="G110" s="129">
        <f>'P&amp;L - Inputs'!O266</f>
        <v>183410.70272120487</v>
      </c>
      <c r="H110" s="129">
        <f>'P&amp;L - Inputs'!P266</f>
        <v>120890.47546531304</v>
      </c>
      <c r="I110" s="129">
        <f>'P&amp;L - Inputs'!Q266</f>
        <v>270915.38824590412</v>
      </c>
      <c r="J110" s="129">
        <f>'P&amp;L - Inputs'!R266</f>
        <v>208237.08087091756</v>
      </c>
      <c r="K110" s="129">
        <f>'P&amp;L - Inputs'!S266</f>
        <v>345509.34142507857</v>
      </c>
      <c r="L110" s="129">
        <f>'P&amp;L - Inputs'!T266</f>
        <v>281505.67924528301</v>
      </c>
      <c r="M110" s="129">
        <f>'P&amp;L - Inputs'!U266</f>
        <v>108604.46835830022</v>
      </c>
      <c r="N110" s="129">
        <f>'P&amp;L - Inputs'!V266</f>
        <v>202149.39472208911</v>
      </c>
      <c r="O110" s="129">
        <f>'P&amp;L - Inputs'!W266</f>
        <v>317638.13392284868</v>
      </c>
      <c r="P110" s="129">
        <f>'P&amp;L - Inputs'!X266</f>
        <v>247469.44531001587</v>
      </c>
      <c r="Q110" s="129">
        <f>'P&amp;L - Inputs'!Y266</f>
        <v>257489.36397391988</v>
      </c>
      <c r="R110" s="129">
        <f>'P&amp;L - Inputs'!Z266</f>
        <v>0</v>
      </c>
      <c r="S110" s="129">
        <f>'P&amp;L - Inputs'!AA266</f>
        <v>301549.9693708609</v>
      </c>
      <c r="T110" s="129">
        <f>'P&amp;L - Inputs'!AB266</f>
        <v>196974.22020479169</v>
      </c>
      <c r="U110" s="129">
        <f>'P&amp;L - Inputs'!AC266</f>
        <v>132163.1942544661</v>
      </c>
      <c r="V110" s="129">
        <f>'P&amp;L - Inputs'!AD266</f>
        <v>127785.32151244067</v>
      </c>
      <c r="W110" s="129">
        <f>'P&amp;L - Inputs'!AE266</f>
        <v>163565.62819873728</v>
      </c>
      <c r="X110" s="129">
        <f>'P&amp;L - Inputs'!AF266</f>
        <v>298461.08844915254</v>
      </c>
      <c r="Y110" s="129">
        <f>'P&amp;L - Inputs'!AG266</f>
        <v>251110.65543899999</v>
      </c>
      <c r="Z110" s="129">
        <f>'P&amp;L - Inputs'!AH266</f>
        <v>388604.501658661</v>
      </c>
      <c r="AA110" s="129">
        <f>'P&amp;L - Inputs'!AI266</f>
        <v>458889.64840445388</v>
      </c>
      <c r="AB110" s="129">
        <f>'P&amp;L - Inputs'!AJ266</f>
        <v>276176.16247391998</v>
      </c>
      <c r="AC110" s="129">
        <f>'P&amp;L - Inputs'!AK266</f>
        <v>351222.54747166985</v>
      </c>
      <c r="AD110" s="129">
        <f>'P&amp;L - Inputs'!AL266</f>
        <v>265772.08806229045</v>
      </c>
      <c r="AE110" s="129">
        <f>'P&amp;L - Inputs'!AM266</f>
        <v>167168.01748919411</v>
      </c>
      <c r="AF110" s="129">
        <f>'P&amp;L - Inputs'!AN266</f>
        <v>254475.40710762769</v>
      </c>
      <c r="AG110" s="129">
        <f>'P&amp;L - Inputs'!AO266</f>
        <v>352368.14800000004</v>
      </c>
      <c r="AH110" s="129">
        <f>'P&amp;L - Inputs'!AP266</f>
        <v>227782.39</v>
      </c>
      <c r="AI110" s="129">
        <f>'P&amp;L - Inputs'!AQ266</f>
        <v>299932.08600000001</v>
      </c>
      <c r="AJ110" s="129">
        <f>'P&amp;L - Inputs'!AR266</f>
        <v>353856.56070000003</v>
      </c>
      <c r="AK110" s="129">
        <f>'P&amp;L - Inputs'!AS266</f>
        <v>865808.49470000016</v>
      </c>
      <c r="AL110" s="129">
        <f>'P&amp;L - Inputs'!AT266</f>
        <v>993555.49800000002</v>
      </c>
      <c r="AM110" s="129">
        <f>'P&amp;L - Inputs'!AU266</f>
        <v>1170618.9995800001</v>
      </c>
      <c r="AN110" s="129">
        <f>'P&amp;L - Inputs'!AV266</f>
        <v>1048884.5140000002</v>
      </c>
      <c r="AO110" s="129">
        <f>'P&amp;L - Inputs'!AW266</f>
        <v>599216.56920000003</v>
      </c>
      <c r="AP110" s="129">
        <f>'P&amp;L - Inputs'!AX266</f>
        <v>548038.09771999985</v>
      </c>
      <c r="AQ110" s="129">
        <f>'P&amp;L - Inputs'!AY266</f>
        <v>768098.96711999993</v>
      </c>
      <c r="AR110" s="129">
        <f>'P&amp;L - Inputs'!AZ266</f>
        <v>1112023.8442000002</v>
      </c>
      <c r="AS110" s="129">
        <f>'P&amp;L - Inputs'!BA266</f>
        <v>1014676.5360800109</v>
      </c>
      <c r="AT110" s="129">
        <f>'P&amp;L - Inputs'!BB266</f>
        <v>713790.12396000256</v>
      </c>
      <c r="AU110" s="129">
        <f>'P&amp;L - Inputs'!BC266</f>
        <v>961517.43966000271</v>
      </c>
      <c r="AV110" s="129">
        <f>'P&amp;L - Inputs'!BD266</f>
        <v>1661610.8676600046</v>
      </c>
      <c r="AW110" s="129">
        <f>'P&amp;L - Inputs'!BE266</f>
        <v>1380761.5823600001</v>
      </c>
      <c r="AX110" s="129">
        <f>'P&amp;L - Inputs'!BF266</f>
        <v>1192980.255680006</v>
      </c>
      <c r="AY110" s="129">
        <f>'P&amp;L - Inputs'!BG266</f>
        <v>1121465.6836000071</v>
      </c>
      <c r="AZ110" s="129">
        <f>'P&amp;L - Inputs'!BH266</f>
        <v>1661543.1642000049</v>
      </c>
      <c r="BA110" s="129">
        <f>'P&amp;L - Inputs'!BI266</f>
        <v>2918796.0700000166</v>
      </c>
      <c r="BB110" s="129">
        <f>'P&amp;L - Inputs'!BJ266</f>
        <v>1771740.1533940253</v>
      </c>
      <c r="BC110" s="129">
        <f>'P&amp;L - Inputs'!BK266</f>
        <v>2046766</v>
      </c>
      <c r="BD110" s="129">
        <f>'P&amp;L - Inputs'!BL266</f>
        <v>2046766</v>
      </c>
      <c r="BE110" s="129">
        <f>'P&amp;L - Inputs'!BM266</f>
        <v>1546766</v>
      </c>
      <c r="BF110" s="129">
        <f>'P&amp;L - Inputs'!BN266</f>
        <v>1646766</v>
      </c>
      <c r="BG110" s="129">
        <f>'P&amp;L - Inputs'!BO266</f>
        <v>1346766</v>
      </c>
      <c r="BH110" s="129">
        <f>'P&amp;L - Inputs'!BP266</f>
        <v>2905340.2425189591</v>
      </c>
      <c r="BI110" s="129">
        <f>'P&amp;L - Inputs'!BQ266</f>
        <v>2171714.5479767071</v>
      </c>
      <c r="BJ110" s="129">
        <f>'P&amp;L - Inputs'!BR266</f>
        <v>2399860.4412834514</v>
      </c>
      <c r="BK110" s="129">
        <f>'P&amp;L - Inputs'!BS266</f>
        <v>3943139.1552863438</v>
      </c>
      <c r="BL110" s="129">
        <f>'P&amp;L - Inputs'!BT266</f>
        <v>4221641.0388376769</v>
      </c>
      <c r="BM110" s="129">
        <f>'P&amp;L - Inputs'!BU266</f>
        <v>4818420.7252479242</v>
      </c>
      <c r="BN110" s="129">
        <f>'P&amp;L - Inputs'!BV266</f>
        <v>3448661.9027755195</v>
      </c>
      <c r="BO110" s="129">
        <f>'P&amp;L - Inputs'!BW266</f>
        <v>3462505.5341013824</v>
      </c>
      <c r="BP110" s="129">
        <f>'P&amp;L - Inputs'!BX266</f>
        <v>2980446.0456233402</v>
      </c>
      <c r="BQ110" s="129">
        <f>'P&amp;L - Inputs'!BY266</f>
        <v>3795176.6663414631</v>
      </c>
      <c r="BR110" s="129">
        <f>'P&amp;L - Inputs'!BZ266</f>
        <v>2920878.2370672096</v>
      </c>
      <c r="BS110" s="129">
        <f>'P&amp;L - Inputs'!CA266</f>
        <v>3060774.5051458972</v>
      </c>
      <c r="BT110" s="129">
        <f>'P&amp;L - Inputs'!CB266</f>
        <v>3796286.2067727041</v>
      </c>
      <c r="BU110" s="129">
        <f>'P&amp;L - Inputs'!CC266</f>
        <v>2371157.532319874</v>
      </c>
      <c r="BV110" s="129">
        <f>'P&amp;L - Inputs'!CD266</f>
        <v>2367533.8084349595</v>
      </c>
      <c r="BW110" s="129">
        <f>'P&amp;L - Inputs'!CE266</f>
        <v>2660784.0345525332</v>
      </c>
      <c r="BX110" s="129">
        <f>'P&amp;L - Inputs'!CF266</f>
        <v>2279560.9543916606</v>
      </c>
      <c r="BY110" s="129">
        <f>'P&amp;L - Inputs'!CG266</f>
        <v>4275710.0300316811</v>
      </c>
      <c r="BZ110" s="129">
        <f>'P&amp;L - Inputs'!CH266</f>
        <v>4256566.7370888479</v>
      </c>
      <c r="CA110" s="129">
        <f>'P&amp;L - Inputs'!CI266</f>
        <v>4183271.6423561769</v>
      </c>
      <c r="CB110" s="129">
        <f>'P&amp;L - Inputs'!CJ266</f>
        <v>4824940.4403820038</v>
      </c>
      <c r="CC110" s="129">
        <f>'P&amp;L - Inputs'!CK266</f>
        <v>4991465.3791289097</v>
      </c>
      <c r="CD110" s="129">
        <f>'P&amp;L - Inputs'!CL266</f>
        <v>3402275.288579748</v>
      </c>
      <c r="CE110" s="129">
        <f>'P&amp;L - Inputs'!CM266</f>
        <v>5403376.85413488</v>
      </c>
      <c r="CF110" s="129">
        <f>'P&amp;L - Inputs'!CN266</f>
        <v>6214175.1403349284</v>
      </c>
      <c r="CG110" s="129">
        <f>'P&amp;L - Inputs'!CO266</f>
        <v>4609337.1315890849</v>
      </c>
      <c r="CH110" s="129">
        <f>'P&amp;L - Inputs'!CP266</f>
        <v>5879546.4248554911</v>
      </c>
      <c r="CI110" s="129">
        <f>'P&amp;L - Inputs'!CQ266</f>
        <v>4724671.0823369566</v>
      </c>
      <c r="CJ110" s="129">
        <f>'P&amp;L - Inputs'!CR266</f>
        <v>4389420.9944172958</v>
      </c>
      <c r="CK110" s="129">
        <f>'P&amp;L - Inputs'!CS266</f>
        <v>6601121.6368329562</v>
      </c>
      <c r="CL110" s="129">
        <f>'P&amp;L - Inputs'!CT266</f>
        <v>5484726.005565851</v>
      </c>
      <c r="CM110" s="129">
        <f>'P&amp;L - Inputs'!CU266</f>
        <v>5540547.667411115</v>
      </c>
      <c r="CN110" s="129">
        <f>'P&amp;L - Inputs'!CV266</f>
        <v>5536583.99911441</v>
      </c>
      <c r="CO110" s="129">
        <f>'P&amp;L - Inputs'!CW266</f>
        <v>5620151.3390366128</v>
      </c>
      <c r="CP110" s="129">
        <f>'P&amp;L - Inputs'!CX266</f>
        <v>5295791.1500895675</v>
      </c>
      <c r="CQ110" s="129">
        <f>'P&amp;L - Inputs'!CY266</f>
        <v>5793231.5213260716</v>
      </c>
      <c r="CR110" s="129">
        <f>'P&amp;L - Inputs'!CZ266</f>
        <v>5633033.2610009033</v>
      </c>
      <c r="CS110" s="129">
        <f>'P&amp;L - Inputs'!DA266</f>
        <v>5646245.488656586</v>
      </c>
      <c r="CT110" s="129">
        <f>'P&amp;L - Inputs'!DB266</f>
        <v>6930804.322480469</v>
      </c>
      <c r="CU110" s="129">
        <f>'P&amp;L - Inputs'!DC266</f>
        <v>7467881.3766840268</v>
      </c>
      <c r="CV110" s="129">
        <f>'P&amp;L - Inputs'!DD266</f>
        <v>6402315.2162531065</v>
      </c>
      <c r="CW110" s="129">
        <f>'P&amp;L - Inputs'!DE266</f>
        <v>6918252.7062075688</v>
      </c>
      <c r="CX110" s="129">
        <f>'P&amp;L - Inputs'!DF266</f>
        <v>6496657.9535927484</v>
      </c>
      <c r="CY110" s="129">
        <f>'P&amp;L - Inputs'!DG266</f>
        <v>6562778.7120484645</v>
      </c>
      <c r="CZ110" s="129">
        <f>'P&amp;L - Inputs'!DH266</f>
        <v>6558083.7469510175</v>
      </c>
      <c r="DA110" s="129">
        <f>'P&amp;L - Inputs'!DI266</f>
        <v>6657069.2610888649</v>
      </c>
      <c r="DB110" s="129">
        <f>'P&amp;L - Inputs'!DJ266</f>
        <v>6272864.6172810905</v>
      </c>
      <c r="DC110" s="129">
        <f>'P&amp;L - Inputs'!DK266</f>
        <v>6862082.7370107304</v>
      </c>
      <c r="DD110" s="129">
        <f>'P&amp;L - Inputs'!DL266</f>
        <v>6672327.8976555672</v>
      </c>
      <c r="DE110" s="129">
        <f>'P&amp;L - Inputs'!DM266</f>
        <v>6687977.7813137257</v>
      </c>
      <c r="DF110" s="129">
        <f>'P&amp;L - Inputs'!DN266</f>
        <v>8209537.7199781155</v>
      </c>
      <c r="DG110" s="129">
        <f>'P&amp;L - Inputs'!DO266</f>
        <v>8845705.4906822294</v>
      </c>
      <c r="DH110" s="129">
        <f>'P&amp;L - Inputs'!DP266</f>
        <v>7583542.3736518035</v>
      </c>
      <c r="DI110" s="129">
        <f>'P&amp;L - Inputs'!DQ266</f>
        <v>8194670.3305028649</v>
      </c>
      <c r="DJ110" s="129">
        <f>'P&amp;L - Inputs'!DR266</f>
        <v>7695291.3460306078</v>
      </c>
      <c r="DK110" s="129">
        <f>'P&amp;L - Inputs'!DS266</f>
        <v>7773611.3844214054</v>
      </c>
      <c r="DL110" s="129">
        <f>'P&amp;L - Inputs'!DT266</f>
        <v>7768050.1982634785</v>
      </c>
      <c r="DM110" s="129">
        <f>'P&amp;L - Inputs'!DU266</f>
        <v>7885298.5397597589</v>
      </c>
      <c r="DN110" s="129">
        <f>'P&amp;L - Inputs'!DV266</f>
        <v>7430208.1391694518</v>
      </c>
      <c r="DO110" s="129">
        <f>'P&amp;L - Inputs'!DW266</f>
        <v>8128137.00198921</v>
      </c>
      <c r="DP110" s="129">
        <f>'P&amp;L - Inputs'!DX266</f>
        <v>7903372.3947730176</v>
      </c>
      <c r="DQ110" s="129">
        <f>'P&amp;L - Inputs'!DY266</f>
        <v>7921909.6819661055</v>
      </c>
      <c r="DR110" s="129">
        <f>'P&amp;L - Inputs'!DZ266</f>
        <v>9724197.4293140769</v>
      </c>
      <c r="DS110" s="129">
        <f>'P&amp;L - Inputs'!EA266</f>
        <v>10477738.153713102</v>
      </c>
      <c r="DT110" s="129">
        <f>'P&amp;L - Inputs'!EB266</f>
        <v>8982705.9415905625</v>
      </c>
      <c r="DU110" s="129">
        <f>'P&amp;L - Inputs'!EC266</f>
        <v>9706587.0064806454</v>
      </c>
      <c r="DW110" s="129">
        <f t="shared" si="347"/>
        <v>5865272.1533940248</v>
      </c>
      <c r="DX110" s="663">
        <f t="shared" si="348"/>
        <v>4540298</v>
      </c>
      <c r="DY110" s="129">
        <f t="shared" si="349"/>
        <v>7476915.2317791171</v>
      </c>
      <c r="DZ110" s="129">
        <f t="shared" si="350"/>
        <v>12983200.919371944</v>
      </c>
      <c r="EA110" s="129">
        <f t="shared" si="351"/>
        <v>9891613.4825002421</v>
      </c>
      <c r="EB110" s="129">
        <f t="shared" si="352"/>
        <v>9776829.4085545689</v>
      </c>
      <c r="EC110" s="129">
        <f t="shared" si="353"/>
        <v>8534977.5475275367</v>
      </c>
      <c r="ED110" s="129">
        <f t="shared" si="354"/>
        <v>9216055.0189758744</v>
      </c>
      <c r="EE110" s="129">
        <f t="shared" si="355"/>
        <v>13264778.819827028</v>
      </c>
      <c r="EF110" s="129">
        <f t="shared" si="356"/>
        <v>13797117.521843538</v>
      </c>
      <c r="EG110" s="129">
        <f t="shared" si="357"/>
        <v>16703058.696779504</v>
      </c>
      <c r="EH110" s="129">
        <f t="shared" si="358"/>
        <v>15715213.71358721</v>
      </c>
      <c r="EI110" s="129">
        <f t="shared" si="359"/>
        <v>16561857.672091376</v>
      </c>
      <c r="EJ110" s="129">
        <f t="shared" si="360"/>
        <v>16709174.010452252</v>
      </c>
      <c r="EK110" s="129">
        <f t="shared" si="361"/>
        <v>18210083.072137959</v>
      </c>
      <c r="EL110" s="129">
        <f t="shared" si="362"/>
        <v>20788449.299144704</v>
      </c>
      <c r="EM110" s="129">
        <f t="shared" si="363"/>
        <v>19617520.412592232</v>
      </c>
      <c r="EN110" s="129">
        <f t="shared" si="364"/>
        <v>19792016.615380686</v>
      </c>
      <c r="EO110" s="644">
        <f t="shared" si="365"/>
        <v>21569843.39894741</v>
      </c>
      <c r="EP110" s="129">
        <f t="shared" si="366"/>
        <v>24623918.194836896</v>
      </c>
      <c r="EQ110" s="129">
        <f t="shared" si="377"/>
        <v>23236952.92871549</v>
      </c>
      <c r="ER110" s="129">
        <f t="shared" si="378"/>
        <v>23443643.680918418</v>
      </c>
      <c r="ES110" s="129">
        <f t="shared" si="379"/>
        <v>25549479.506053202</v>
      </c>
      <c r="ET110" s="129">
        <f t="shared" si="380"/>
        <v>29167031.101784308</v>
      </c>
      <c r="EV110" s="129">
        <f t="shared" si="371"/>
        <v>30865686.304545086</v>
      </c>
      <c r="EW110" s="129">
        <f t="shared" si="372"/>
        <v>37419475.457558222</v>
      </c>
      <c r="EX110" s="129">
        <f t="shared" si="373"/>
        <v>59480168.752037279</v>
      </c>
      <c r="EY110" s="129">
        <f t="shared" si="374"/>
        <v>72269564.053826287</v>
      </c>
      <c r="EZ110" s="129">
        <f t="shared" si="375"/>
        <v>85603298.621757224</v>
      </c>
      <c r="FA110" s="663">
        <f t="shared" si="376"/>
        <v>101397107.21747141</v>
      </c>
    </row>
    <row r="111" spans="2:157" x14ac:dyDescent="0.2">
      <c r="B111" s="114" t="s">
        <v>150</v>
      </c>
      <c r="C111" s="129">
        <f>'P&amp;L - Inputs'!K267</f>
        <v>0</v>
      </c>
      <c r="D111" s="129">
        <f>'P&amp;L - Inputs'!L267</f>
        <v>0</v>
      </c>
      <c r="E111" s="129">
        <f>'P&amp;L - Inputs'!M267</f>
        <v>0</v>
      </c>
      <c r="F111" s="129">
        <f>'P&amp;L - Inputs'!N267</f>
        <v>0</v>
      </c>
      <c r="G111" s="129">
        <f>'P&amp;L - Inputs'!O267</f>
        <v>0</v>
      </c>
      <c r="H111" s="129">
        <f>'P&amp;L - Inputs'!P267</f>
        <v>0</v>
      </c>
      <c r="I111" s="129">
        <f>'P&amp;L - Inputs'!Q267</f>
        <v>0</v>
      </c>
      <c r="J111" s="129">
        <f>'P&amp;L - Inputs'!R267</f>
        <v>0</v>
      </c>
      <c r="K111" s="129">
        <f>'P&amp;L - Inputs'!S267</f>
        <v>0</v>
      </c>
      <c r="L111" s="129">
        <f>'P&amp;L - Inputs'!T267</f>
        <v>0</v>
      </c>
      <c r="M111" s="129">
        <f>'P&amp;L - Inputs'!U267</f>
        <v>0</v>
      </c>
      <c r="N111" s="129">
        <f>'P&amp;L - Inputs'!V267</f>
        <v>0</v>
      </c>
      <c r="O111" s="129">
        <f>'P&amp;L - Inputs'!W267</f>
        <v>0</v>
      </c>
      <c r="P111" s="129">
        <f>'P&amp;L - Inputs'!X267</f>
        <v>0</v>
      </c>
      <c r="Q111" s="129">
        <f>'P&amp;L - Inputs'!Y267</f>
        <v>0</v>
      </c>
      <c r="R111" s="129">
        <f>'P&amp;L - Inputs'!Z267</f>
        <v>0</v>
      </c>
      <c r="S111" s="129">
        <f>'P&amp;L - Inputs'!AA267</f>
        <v>0</v>
      </c>
      <c r="T111" s="129">
        <f>'P&amp;L - Inputs'!AB267</f>
        <v>1037754</v>
      </c>
      <c r="U111" s="129">
        <f>'P&amp;L - Inputs'!AC267</f>
        <v>841194</v>
      </c>
      <c r="V111" s="129">
        <f>'P&amp;L - Inputs'!AD267</f>
        <v>813329.65921942831</v>
      </c>
      <c r="W111" s="129">
        <f>'P&amp;L - Inputs'!AE267</f>
        <v>1041064.6157817051</v>
      </c>
      <c r="X111" s="129">
        <f>'P&amp;L - Inputs'!AF267</f>
        <v>1899648.9775625439</v>
      </c>
      <c r="Y111" s="129">
        <f>'P&amp;L - Inputs'!AG267</f>
        <v>1598272.3320431258</v>
      </c>
      <c r="Z111" s="129">
        <f>'P&amp;L - Inputs'!AH267</f>
        <v>2473394.9342875332</v>
      </c>
      <c r="AA111" s="129">
        <f>'P&amp;L - Inputs'!AI267</f>
        <v>2920746.7410079776</v>
      </c>
      <c r="AB111" s="129">
        <f>'P&amp;L - Inputs'!AJ267</f>
        <v>1757809.5938630514</v>
      </c>
      <c r="AC111" s="129">
        <f>'P&amp;L - Inputs'!AK267</f>
        <v>2235465.7910963739</v>
      </c>
      <c r="AD111" s="129">
        <f>'P&amp;L - Inputs'!AL267</f>
        <v>1691589.6071263086</v>
      </c>
      <c r="AE111" s="129">
        <f>'P&amp;L - Inputs'!AM267</f>
        <v>1063993.1495076832</v>
      </c>
      <c r="AF111" s="129">
        <f>'P&amp;L - Inputs'!AN267</f>
        <v>1619688.3467748063</v>
      </c>
      <c r="AG111" s="129">
        <f>'P&amp;L - Inputs'!AO267</f>
        <v>877900</v>
      </c>
      <c r="AH111" s="129">
        <f>'P&amp;L - Inputs'!AP267</f>
        <v>388689.76008068753</v>
      </c>
      <c r="AI111" s="129">
        <f>'P&amp;L - Inputs'!AQ267</f>
        <v>492912.09431651281</v>
      </c>
      <c r="AJ111" s="129">
        <f>'P&amp;L - Inputs'!AR267</f>
        <v>1066845.4195904422</v>
      </c>
      <c r="AK111" s="129">
        <f>'P&amp;L - Inputs'!AS267</f>
        <v>2059380.0182991216</v>
      </c>
      <c r="AL111" s="129">
        <f>'P&amp;L - Inputs'!AT267</f>
        <v>2438025.817679028</v>
      </c>
      <c r="AM111" s="129">
        <f>'P&amp;L - Inputs'!AU267</f>
        <v>2285489.793643964</v>
      </c>
      <c r="AN111" s="129">
        <f>'P&amp;L - Inputs'!AV267</f>
        <v>1601056.6835871171</v>
      </c>
      <c r="AO111" s="129">
        <f>'P&amp;L - Inputs'!AW267</f>
        <v>408795.45404211478</v>
      </c>
      <c r="AP111" s="129">
        <f>'P&amp;L - Inputs'!AX267</f>
        <v>238728.96457417944</v>
      </c>
      <c r="AQ111" s="129">
        <f>'P&amp;L - Inputs'!AY267</f>
        <v>598384.15460408933</v>
      </c>
      <c r="AR111" s="129">
        <f>'P&amp;L - Inputs'!AZ267</f>
        <v>368897.9804208827</v>
      </c>
      <c r="AS111" s="129">
        <f>'P&amp;L - Inputs'!BA267</f>
        <v>667424.20244180295</v>
      </c>
      <c r="AT111" s="129">
        <f>'P&amp;L - Inputs'!BB267</f>
        <v>469914.74963170785</v>
      </c>
      <c r="AU111" s="129">
        <f>'P&amp;L - Inputs'!BC267</f>
        <v>1303059.3891214989</v>
      </c>
      <c r="AV111" s="129">
        <f>'P&amp;L - Inputs'!BD267</f>
        <v>1298500</v>
      </c>
      <c r="AW111" s="129">
        <f>'P&amp;L - Inputs'!BE267</f>
        <v>1336352.209131601</v>
      </c>
      <c r="AX111" s="129">
        <f>'P&amp;L - Inputs'!BF267</f>
        <v>841500</v>
      </c>
      <c r="AY111" s="129">
        <f>'P&amp;L - Inputs'!BG267</f>
        <v>716960</v>
      </c>
      <c r="AZ111" s="129">
        <f>'P&amp;L - Inputs'!BH267</f>
        <v>953850</v>
      </c>
      <c r="BA111" s="129">
        <f>'P&amp;L - Inputs'!BI267</f>
        <v>1627353</v>
      </c>
      <c r="BB111" s="129">
        <f>'P&amp;L - Inputs'!BJ267</f>
        <v>887312</v>
      </c>
      <c r="BC111" s="129">
        <f>'P&amp;L - Inputs'!BK267</f>
        <v>0</v>
      </c>
      <c r="BD111" s="129">
        <f>'P&amp;L - Inputs'!BL267</f>
        <v>0</v>
      </c>
      <c r="BE111" s="129">
        <f>'P&amp;L - Inputs'!BM267</f>
        <v>0</v>
      </c>
      <c r="BF111" s="129">
        <f>'P&amp;L - Inputs'!BN267</f>
        <v>0</v>
      </c>
      <c r="BG111" s="129">
        <f>'P&amp;L - Inputs'!BO267</f>
        <v>0</v>
      </c>
      <c r="BH111" s="129">
        <f>'P&amp;L - Inputs'!BP267</f>
        <v>0</v>
      </c>
      <c r="BI111" s="129">
        <f>'P&amp;L - Inputs'!BQ267</f>
        <v>0</v>
      </c>
      <c r="BJ111" s="129">
        <f>'P&amp;L - Inputs'!BR267</f>
        <v>0</v>
      </c>
      <c r="BK111" s="129">
        <f>'P&amp;L - Inputs'!BS267</f>
        <v>0</v>
      </c>
      <c r="BL111" s="129">
        <f>'P&amp;L - Inputs'!BT267</f>
        <v>0</v>
      </c>
      <c r="BM111" s="129">
        <f>'P&amp;L - Inputs'!BU267</f>
        <v>0</v>
      </c>
      <c r="BN111" s="129">
        <f>'P&amp;L - Inputs'!BV267</f>
        <v>0</v>
      </c>
      <c r="BO111" s="129">
        <f>'P&amp;L - Inputs'!BW267</f>
        <v>0</v>
      </c>
      <c r="BP111" s="129">
        <f>'P&amp;L - Inputs'!BX267</f>
        <v>0</v>
      </c>
      <c r="BQ111" s="129">
        <f>'P&amp;L - Inputs'!BY267</f>
        <v>0</v>
      </c>
      <c r="BR111" s="129">
        <f>'P&amp;L - Inputs'!BZ267</f>
        <v>0</v>
      </c>
      <c r="BS111" s="129">
        <f>'P&amp;L - Inputs'!CA267</f>
        <v>0</v>
      </c>
      <c r="BT111" s="129">
        <f>'P&amp;L - Inputs'!CB267</f>
        <v>0</v>
      </c>
      <c r="BU111" s="129">
        <f>'P&amp;L - Inputs'!CC267</f>
        <v>0</v>
      </c>
      <c r="BV111" s="129">
        <f>'P&amp;L - Inputs'!CD267</f>
        <v>0</v>
      </c>
      <c r="BW111" s="129">
        <f>'P&amp;L - Inputs'!CE267</f>
        <v>0</v>
      </c>
      <c r="BX111" s="129">
        <f>'P&amp;L - Inputs'!CF267</f>
        <v>0</v>
      </c>
      <c r="BY111" s="129">
        <f>'P&amp;L - Inputs'!CG267</f>
        <v>0</v>
      </c>
      <c r="BZ111" s="129">
        <f>'P&amp;L - Inputs'!CH267</f>
        <v>0</v>
      </c>
      <c r="CA111" s="129">
        <f>'P&amp;L - Inputs'!CI267</f>
        <v>0</v>
      </c>
      <c r="CB111" s="129">
        <f>'P&amp;L - Inputs'!CJ267</f>
        <v>0</v>
      </c>
      <c r="CC111" s="129">
        <f>'P&amp;L - Inputs'!CK267</f>
        <v>0</v>
      </c>
      <c r="CD111" s="129">
        <f>'P&amp;L - Inputs'!CL267</f>
        <v>0</v>
      </c>
      <c r="CE111" s="129">
        <f>'P&amp;L - Inputs'!CM267</f>
        <v>0</v>
      </c>
      <c r="CF111" s="129">
        <f>'P&amp;L - Inputs'!CN267</f>
        <v>0</v>
      </c>
      <c r="CG111" s="129">
        <f>'P&amp;L - Inputs'!CO267</f>
        <v>0</v>
      </c>
      <c r="CH111" s="129">
        <f>'P&amp;L - Inputs'!CP267</f>
        <v>0</v>
      </c>
      <c r="CI111" s="129">
        <f>'P&amp;L - Inputs'!CQ267</f>
        <v>0</v>
      </c>
      <c r="CJ111" s="129">
        <f>'P&amp;L - Inputs'!CR267</f>
        <v>0</v>
      </c>
      <c r="CK111" s="129">
        <f>'P&amp;L - Inputs'!CS267</f>
        <v>0</v>
      </c>
      <c r="CL111" s="129">
        <f>'P&amp;L - Inputs'!CT267</f>
        <v>0</v>
      </c>
      <c r="CM111" s="129">
        <f>'P&amp;L - Inputs'!CU267</f>
        <v>0</v>
      </c>
      <c r="CN111" s="129">
        <f>'P&amp;L - Inputs'!CV267</f>
        <v>0</v>
      </c>
      <c r="CO111" s="129">
        <f>'P&amp;L - Inputs'!CW267</f>
        <v>0</v>
      </c>
      <c r="CP111" s="129">
        <f>'P&amp;L - Inputs'!CX267</f>
        <v>0</v>
      </c>
      <c r="CQ111" s="129">
        <f>'P&amp;L - Inputs'!CY267</f>
        <v>0</v>
      </c>
      <c r="CR111" s="129">
        <f>'P&amp;L - Inputs'!CZ267</f>
        <v>0</v>
      </c>
      <c r="CS111" s="129">
        <f>'P&amp;L - Inputs'!DA267</f>
        <v>0</v>
      </c>
      <c r="CT111" s="129">
        <f>'P&amp;L - Inputs'!DB267</f>
        <v>0</v>
      </c>
      <c r="CU111" s="129">
        <f>'P&amp;L - Inputs'!DC267</f>
        <v>0</v>
      </c>
      <c r="CV111" s="129">
        <f>'P&amp;L - Inputs'!DD267</f>
        <v>0</v>
      </c>
      <c r="CW111" s="129">
        <f>'P&amp;L - Inputs'!DE267</f>
        <v>0</v>
      </c>
      <c r="CX111" s="129">
        <f>'P&amp;L - Inputs'!DF267</f>
        <v>0</v>
      </c>
      <c r="CY111" s="129">
        <f>'P&amp;L - Inputs'!DG267</f>
        <v>0</v>
      </c>
      <c r="CZ111" s="129">
        <f>'P&amp;L - Inputs'!DH267</f>
        <v>0</v>
      </c>
      <c r="DA111" s="129">
        <f>'P&amp;L - Inputs'!DI267</f>
        <v>0</v>
      </c>
      <c r="DB111" s="129">
        <f>'P&amp;L - Inputs'!DJ267</f>
        <v>0</v>
      </c>
      <c r="DC111" s="129">
        <f>'P&amp;L - Inputs'!DK267</f>
        <v>0</v>
      </c>
      <c r="DD111" s="129">
        <f>'P&amp;L - Inputs'!DL267</f>
        <v>0</v>
      </c>
      <c r="DE111" s="129">
        <f>'P&amp;L - Inputs'!DM267</f>
        <v>0</v>
      </c>
      <c r="DF111" s="129">
        <f>'P&amp;L - Inputs'!DN267</f>
        <v>0</v>
      </c>
      <c r="DG111" s="129">
        <f>'P&amp;L - Inputs'!DO267</f>
        <v>0</v>
      </c>
      <c r="DH111" s="129">
        <f>'P&amp;L - Inputs'!DP267</f>
        <v>0</v>
      </c>
      <c r="DI111" s="129">
        <f>'P&amp;L - Inputs'!DQ267</f>
        <v>0</v>
      </c>
      <c r="DJ111" s="129">
        <f>'P&amp;L - Inputs'!DR267</f>
        <v>0</v>
      </c>
      <c r="DK111" s="129">
        <f>'P&amp;L - Inputs'!DS267</f>
        <v>0</v>
      </c>
      <c r="DL111" s="129">
        <f>'P&amp;L - Inputs'!DT267</f>
        <v>0</v>
      </c>
      <c r="DM111" s="129">
        <f>'P&amp;L - Inputs'!DU267</f>
        <v>0</v>
      </c>
      <c r="DN111" s="129">
        <f>'P&amp;L - Inputs'!DV267</f>
        <v>0</v>
      </c>
      <c r="DO111" s="129">
        <f>'P&amp;L - Inputs'!DW267</f>
        <v>0</v>
      </c>
      <c r="DP111" s="129">
        <f>'P&amp;L - Inputs'!DX267</f>
        <v>0</v>
      </c>
      <c r="DQ111" s="129">
        <f>'P&amp;L - Inputs'!DY267</f>
        <v>0</v>
      </c>
      <c r="DR111" s="129">
        <f>'P&amp;L - Inputs'!DZ267</f>
        <v>0</v>
      </c>
      <c r="DS111" s="129">
        <f>'P&amp;L - Inputs'!EA267</f>
        <v>0</v>
      </c>
      <c r="DT111" s="129">
        <f>'P&amp;L - Inputs'!EB267</f>
        <v>0</v>
      </c>
      <c r="DU111" s="129">
        <f>'P&amp;L - Inputs'!EC267</f>
        <v>0</v>
      </c>
      <c r="DW111" s="129"/>
      <c r="DX111" s="663"/>
      <c r="DY111" s="129"/>
      <c r="DZ111" s="129"/>
      <c r="EA111" s="129"/>
      <c r="EB111" s="129"/>
      <c r="EC111" s="129"/>
      <c r="ED111" s="129"/>
      <c r="EE111" s="129"/>
      <c r="EF111" s="129"/>
      <c r="EG111" s="129"/>
      <c r="EH111" s="129"/>
      <c r="EI111" s="129"/>
      <c r="EJ111" s="129"/>
      <c r="EK111" s="129"/>
      <c r="EL111" s="129"/>
      <c r="EM111" s="129"/>
      <c r="EN111" s="129"/>
      <c r="EO111" s="644"/>
      <c r="EP111" s="129"/>
      <c r="EQ111" s="129"/>
      <c r="ER111" s="129"/>
      <c r="ES111" s="129"/>
      <c r="ET111" s="129"/>
      <c r="EV111" s="129"/>
      <c r="EW111" s="129"/>
      <c r="EX111" s="129"/>
      <c r="EY111" s="129"/>
      <c r="EZ111" s="129"/>
      <c r="FA111" s="663"/>
    </row>
    <row r="112" spans="2:157" x14ac:dyDescent="0.2">
      <c r="B112" s="117" t="s">
        <v>37</v>
      </c>
      <c r="C112" s="133">
        <f>C105/C57</f>
        <v>3.4030081952531058E-2</v>
      </c>
      <c r="D112" s="133">
        <f t="shared" ref="D112:BO112" si="381">D105/D57</f>
        <v>3.3448013001431805E-2</v>
      </c>
      <c r="E112" s="133">
        <f t="shared" si="381"/>
        <v>2.1769315893955407E-2</v>
      </c>
      <c r="F112" s="133">
        <f t="shared" si="381"/>
        <v>1.8097765051614298E-2</v>
      </c>
      <c r="G112" s="133">
        <f t="shared" si="381"/>
        <v>2.4514424092090422E-2</v>
      </c>
      <c r="H112" s="133">
        <f t="shared" si="381"/>
        <v>1.8024724194202722E-2</v>
      </c>
      <c r="I112" s="133">
        <f t="shared" si="381"/>
        <v>2.0848636448060238E-2</v>
      </c>
      <c r="J112" s="133">
        <f t="shared" si="381"/>
        <v>2.9213469196436487E-2</v>
      </c>
      <c r="K112" s="133">
        <f t="shared" si="381"/>
        <v>2.1068097893875738E-2</v>
      </c>
      <c r="L112" s="133">
        <f t="shared" si="381"/>
        <v>1.968412616427832E-2</v>
      </c>
      <c r="M112" s="133">
        <f t="shared" si="381"/>
        <v>4.1027057945081075E-2</v>
      </c>
      <c r="N112" s="133">
        <f t="shared" si="381"/>
        <v>2.5349410706291681E-2</v>
      </c>
      <c r="O112" s="133">
        <f t="shared" si="381"/>
        <v>2.800622437186254E-2</v>
      </c>
      <c r="P112" s="133">
        <f t="shared" si="381"/>
        <v>0.32013869935763545</v>
      </c>
      <c r="Q112" s="133">
        <f t="shared" si="381"/>
        <v>4.0606633843755978E-2</v>
      </c>
      <c r="R112" s="133">
        <f t="shared" si="381"/>
        <v>0</v>
      </c>
      <c r="S112" s="133">
        <f t="shared" si="381"/>
        <v>3.2146985566284134E-2</v>
      </c>
      <c r="T112" s="133">
        <f t="shared" si="381"/>
        <v>0.11100967785519431</v>
      </c>
      <c r="U112" s="133">
        <f t="shared" si="381"/>
        <v>0.13693120612525111</v>
      </c>
      <c r="V112" s="133">
        <f t="shared" si="381"/>
        <v>0.12872179224422173</v>
      </c>
      <c r="W112" s="133">
        <f t="shared" si="381"/>
        <v>0.12633753491938496</v>
      </c>
      <c r="X112" s="133">
        <f t="shared" si="381"/>
        <v>0.12217190627194982</v>
      </c>
      <c r="Y112" s="133">
        <f t="shared" si="381"/>
        <v>0.12087570855792713</v>
      </c>
      <c r="Z112" s="133">
        <f t="shared" si="381"/>
        <v>0.12052552386227519</v>
      </c>
      <c r="AA112" s="133">
        <f t="shared" si="381"/>
        <v>0.11758625154670743</v>
      </c>
      <c r="AB112" s="133">
        <f t="shared" si="381"/>
        <v>0.11999350897683606</v>
      </c>
      <c r="AC112" s="133">
        <f t="shared" si="381"/>
        <v>0.12943481380814467</v>
      </c>
      <c r="AD112" s="133">
        <f t="shared" si="381"/>
        <v>0.12968191656082279</v>
      </c>
      <c r="AE112" s="133">
        <f t="shared" si="381"/>
        <v>0.14004199939507753</v>
      </c>
      <c r="AF112" s="133">
        <f t="shared" si="381"/>
        <v>0.12466868877232344</v>
      </c>
      <c r="AG112" s="133">
        <f t="shared" si="381"/>
        <v>0.10187626607071495</v>
      </c>
      <c r="AH112" s="133">
        <f t="shared" si="381"/>
        <v>9.0442963204177995E-2</v>
      </c>
      <c r="AI112" s="133">
        <f t="shared" si="381"/>
        <v>9.0994069381598458E-2</v>
      </c>
      <c r="AJ112" s="133">
        <f t="shared" si="381"/>
        <v>0.11609784744124241</v>
      </c>
      <c r="AK112" s="133">
        <f t="shared" si="381"/>
        <v>0.10121236249749545</v>
      </c>
      <c r="AL112" s="133">
        <f t="shared" si="381"/>
        <v>0.10091600888649606</v>
      </c>
      <c r="AM112" s="133">
        <f t="shared" si="381"/>
        <v>9.0236049807685195E-2</v>
      </c>
      <c r="AN112" s="133">
        <f t="shared" si="381"/>
        <v>8.1615779820509521E-2</v>
      </c>
      <c r="AO112" s="133">
        <f t="shared" si="381"/>
        <v>6.908254161615146E-2</v>
      </c>
      <c r="AP112" s="133">
        <f t="shared" si="381"/>
        <v>7.3665910658213957E-2</v>
      </c>
      <c r="AQ112" s="133">
        <f t="shared" si="381"/>
        <v>7.5219024874146681E-2</v>
      </c>
      <c r="AR112" s="133">
        <f t="shared" si="381"/>
        <v>6.3504135399955919E-2</v>
      </c>
      <c r="AS112" s="133">
        <f t="shared" si="381"/>
        <v>7.6461988582077117E-2</v>
      </c>
      <c r="AT112" s="133">
        <f t="shared" si="381"/>
        <v>8.7379171340354819E-2</v>
      </c>
      <c r="AU112" s="133">
        <f t="shared" si="381"/>
        <v>0.10422839614788726</v>
      </c>
      <c r="AV112" s="133">
        <f t="shared" si="381"/>
        <v>8.6479155066203628E-2</v>
      </c>
      <c r="AW112" s="133">
        <f t="shared" si="381"/>
        <v>9.2541139178757045E-2</v>
      </c>
      <c r="AX112" s="133">
        <f t="shared" si="381"/>
        <v>8.8963525256036388E-2</v>
      </c>
      <c r="AY112" s="133">
        <f t="shared" si="381"/>
        <v>7.5766618596435131E-2</v>
      </c>
      <c r="AZ112" s="133">
        <f t="shared" si="381"/>
        <v>7.7642606198573216E-2</v>
      </c>
      <c r="BA112" s="133">
        <f t="shared" si="381"/>
        <v>0.103366699677989</v>
      </c>
      <c r="BB112" s="133">
        <f t="shared" si="381"/>
        <v>8.2390331901815508E-2</v>
      </c>
      <c r="BC112" s="133">
        <f t="shared" si="381"/>
        <v>7.2378412324505856E-2</v>
      </c>
      <c r="BD112" s="133">
        <f t="shared" si="381"/>
        <v>6.4579901157295158E-2</v>
      </c>
      <c r="BE112" s="133">
        <f t="shared" si="381"/>
        <v>8.1106209677536373E-2</v>
      </c>
      <c r="BF112" s="133">
        <f t="shared" si="381"/>
        <v>7.278961727396939E-2</v>
      </c>
      <c r="BG112" s="133">
        <f t="shared" si="381"/>
        <v>6.9601417529380399E-2</v>
      </c>
      <c r="BH112" s="133">
        <f t="shared" si="381"/>
        <v>7.558315968498272E-2</v>
      </c>
      <c r="BI112" s="133">
        <f t="shared" si="381"/>
        <v>5.7071200479527788E-2</v>
      </c>
      <c r="BJ112" s="133">
        <f t="shared" si="381"/>
        <v>5.2026462998092389E-2</v>
      </c>
      <c r="BK112" s="133">
        <f t="shared" si="381"/>
        <v>5.6934941831357166E-2</v>
      </c>
      <c r="BL112" s="133">
        <f t="shared" si="381"/>
        <v>7.7600634919068351E-2</v>
      </c>
      <c r="BM112" s="133">
        <f t="shared" si="381"/>
        <v>6.3389765783810767E-2</v>
      </c>
      <c r="BN112" s="133">
        <f t="shared" si="381"/>
        <v>5.7869929874418288E-2</v>
      </c>
      <c r="BO112" s="133">
        <f t="shared" si="381"/>
        <v>6.2563876633325605E-2</v>
      </c>
      <c r="BP112" s="133">
        <f t="shared" ref="BP112:DI112" si="382">BP105/BP57</f>
        <v>6.8392042343236953E-2</v>
      </c>
      <c r="BQ112" s="133">
        <f t="shared" si="382"/>
        <v>6.9051873113374809E-2</v>
      </c>
      <c r="BR112" s="133">
        <f t="shared" si="382"/>
        <v>6.389417859301777E-2</v>
      </c>
      <c r="BS112" s="133">
        <f t="shared" si="382"/>
        <v>6.0271722699285032E-2</v>
      </c>
      <c r="BT112" s="133">
        <f t="shared" si="382"/>
        <v>6.1883560636079867E-2</v>
      </c>
      <c r="BU112" s="133">
        <f t="shared" si="382"/>
        <v>6.6194371202097882E-2</v>
      </c>
      <c r="BV112" s="133">
        <f t="shared" si="382"/>
        <v>5.5570085180045699E-2</v>
      </c>
      <c r="BW112" s="133">
        <f t="shared" si="382"/>
        <v>5.2640802133063817E-2</v>
      </c>
      <c r="BX112" s="133">
        <f t="shared" si="382"/>
        <v>4.1081754249698552E-2</v>
      </c>
      <c r="BY112" s="133">
        <f t="shared" si="382"/>
        <v>5.6645629219238686E-2</v>
      </c>
      <c r="BZ112" s="133">
        <f t="shared" si="382"/>
        <v>6.1388496141757891E-2</v>
      </c>
      <c r="CA112" s="133">
        <f t="shared" si="382"/>
        <v>6.1742121197453238E-2</v>
      </c>
      <c r="CB112" s="133">
        <f t="shared" si="382"/>
        <v>6.7895376030840227E-2</v>
      </c>
      <c r="CC112" s="133">
        <f t="shared" si="382"/>
        <v>5.9475133800840636E-2</v>
      </c>
      <c r="CD112" s="133">
        <f t="shared" si="382"/>
        <v>5.4737402860443742E-2</v>
      </c>
      <c r="CE112" s="133">
        <f t="shared" si="382"/>
        <v>5.1524249669443252E-2</v>
      </c>
      <c r="CF112" s="133">
        <f t="shared" si="382"/>
        <v>6.5294402215233902E-2</v>
      </c>
      <c r="CG112" s="133">
        <f t="shared" si="382"/>
        <v>5.9885026588593661E-2</v>
      </c>
      <c r="CH112" s="133">
        <f t="shared" si="382"/>
        <v>5.89762395671437E-2</v>
      </c>
      <c r="CI112" s="133">
        <f t="shared" si="382"/>
        <v>5.9211848753965762E-2</v>
      </c>
      <c r="CJ112" s="133">
        <f t="shared" si="382"/>
        <v>6.2563962453503597E-2</v>
      </c>
      <c r="CK112" s="133">
        <f t="shared" si="382"/>
        <v>6.1559381268422524E-2</v>
      </c>
      <c r="CL112" s="133">
        <f t="shared" si="382"/>
        <v>6.0682175028371033E-2</v>
      </c>
      <c r="CM112" s="133">
        <f t="shared" si="382"/>
        <v>6.0682175028371026E-2</v>
      </c>
      <c r="CN112" s="133">
        <f t="shared" si="382"/>
        <v>6.0682175028371026E-2</v>
      </c>
      <c r="CO112" s="133">
        <f t="shared" si="382"/>
        <v>6.0682175028371026E-2</v>
      </c>
      <c r="CP112" s="133">
        <f t="shared" si="382"/>
        <v>6.0682175028371033E-2</v>
      </c>
      <c r="CQ112" s="133">
        <f t="shared" si="382"/>
        <v>6.068217502837104E-2</v>
      </c>
      <c r="CR112" s="133">
        <f t="shared" si="382"/>
        <v>6.0682175028371026E-2</v>
      </c>
      <c r="CS112" s="133">
        <f t="shared" si="382"/>
        <v>6.0682175028371026E-2</v>
      </c>
      <c r="CT112" s="133">
        <f t="shared" si="382"/>
        <v>6.0682175028371033E-2</v>
      </c>
      <c r="CU112" s="133">
        <f t="shared" si="382"/>
        <v>6.0682175028371019E-2</v>
      </c>
      <c r="CV112" s="133">
        <f t="shared" si="382"/>
        <v>6.0682175028371026E-2</v>
      </c>
      <c r="CW112" s="133">
        <f t="shared" si="382"/>
        <v>6.0682175028371033E-2</v>
      </c>
      <c r="CX112" s="133">
        <f t="shared" si="382"/>
        <v>6.1068185973593231E-2</v>
      </c>
      <c r="CY112" s="133">
        <f t="shared" si="382"/>
        <v>6.1068185973593231E-2</v>
      </c>
      <c r="CZ112" s="133">
        <f t="shared" si="382"/>
        <v>6.1068185973593224E-2</v>
      </c>
      <c r="DA112" s="133">
        <f t="shared" si="382"/>
        <v>6.1068185973593231E-2</v>
      </c>
      <c r="DB112" s="133">
        <f t="shared" si="382"/>
        <v>6.1068185973593224E-2</v>
      </c>
      <c r="DC112" s="133">
        <f t="shared" si="382"/>
        <v>6.1068185973593238E-2</v>
      </c>
      <c r="DD112" s="133">
        <f t="shared" si="382"/>
        <v>6.1068185973593231E-2</v>
      </c>
      <c r="DE112" s="133">
        <f t="shared" si="382"/>
        <v>6.1068185973593231E-2</v>
      </c>
      <c r="DF112" s="133">
        <f t="shared" si="382"/>
        <v>6.1068185973593231E-2</v>
      </c>
      <c r="DG112" s="133">
        <f t="shared" si="382"/>
        <v>6.1068185973593224E-2</v>
      </c>
      <c r="DH112" s="133">
        <f t="shared" si="382"/>
        <v>6.1068185973593224E-2</v>
      </c>
      <c r="DI112" s="133">
        <f t="shared" si="382"/>
        <v>6.1068185973593238E-2</v>
      </c>
      <c r="DJ112" s="133">
        <f t="shared" ref="DJ112:DU112" si="383">DJ105/DJ57</f>
        <v>6.0477926518520443E-2</v>
      </c>
      <c r="DK112" s="133">
        <f t="shared" si="383"/>
        <v>6.0477926518520429E-2</v>
      </c>
      <c r="DL112" s="133">
        <f t="shared" si="383"/>
        <v>6.0477926518520436E-2</v>
      </c>
      <c r="DM112" s="133">
        <f t="shared" si="383"/>
        <v>6.0477926518520443E-2</v>
      </c>
      <c r="DN112" s="133">
        <f t="shared" si="383"/>
        <v>6.0477926518520429E-2</v>
      </c>
      <c r="DO112" s="133">
        <f t="shared" si="383"/>
        <v>6.0477926518520436E-2</v>
      </c>
      <c r="DP112" s="133">
        <f t="shared" si="383"/>
        <v>6.0477926518520443E-2</v>
      </c>
      <c r="DQ112" s="133">
        <f t="shared" si="383"/>
        <v>6.0477926518520443E-2</v>
      </c>
      <c r="DR112" s="133">
        <f t="shared" si="383"/>
        <v>6.0477926518520443E-2</v>
      </c>
      <c r="DS112" s="133">
        <f t="shared" si="383"/>
        <v>6.0477926518520436E-2</v>
      </c>
      <c r="DT112" s="133">
        <f t="shared" si="383"/>
        <v>6.0477926518520443E-2</v>
      </c>
      <c r="DU112" s="133">
        <f t="shared" si="383"/>
        <v>6.0477926518520443E-2</v>
      </c>
      <c r="DW112" s="133">
        <f t="shared" ref="DW112:FA112" si="384">DW105/DW57</f>
        <v>7.290459109060117E-2</v>
      </c>
      <c r="DX112" s="657">
        <f t="shared" si="384"/>
        <v>7.3982550940817474E-2</v>
      </c>
      <c r="DY112" s="133">
        <f t="shared" si="384"/>
        <v>6.297327631916097E-2</v>
      </c>
      <c r="DZ112" s="133">
        <f t="shared" si="384"/>
        <v>6.4803301770594665E-2</v>
      </c>
      <c r="EA112" s="133">
        <f t="shared" si="384"/>
        <v>6.3148780683767461E-2</v>
      </c>
      <c r="EB112" s="133">
        <f t="shared" si="384"/>
        <v>6.4448502790826409E-2</v>
      </c>
      <c r="EC112" s="133">
        <f t="shared" si="384"/>
        <v>6.0917919679300249E-2</v>
      </c>
      <c r="ED112" s="133">
        <f t="shared" si="384"/>
        <v>5.0810021647598055E-2</v>
      </c>
      <c r="EE112" s="133">
        <f t="shared" si="384"/>
        <v>6.3663338859413041E-2</v>
      </c>
      <c r="EF112" s="133">
        <f t="shared" si="384"/>
        <v>5.5102402099959757E-2</v>
      </c>
      <c r="EG112" s="133">
        <f t="shared" si="384"/>
        <v>6.1242927146476757E-2</v>
      </c>
      <c r="EH112" s="133">
        <f t="shared" si="384"/>
        <v>6.1003031620209903E-2</v>
      </c>
      <c r="EI112" s="133">
        <f t="shared" si="384"/>
        <v>6.0682175028371026E-2</v>
      </c>
      <c r="EJ112" s="133">
        <f t="shared" si="384"/>
        <v>6.0682175028371026E-2</v>
      </c>
      <c r="EK112" s="133">
        <f t="shared" si="384"/>
        <v>6.0682175028371033E-2</v>
      </c>
      <c r="EL112" s="133">
        <f t="shared" si="384"/>
        <v>6.0682175028371026E-2</v>
      </c>
      <c r="EM112" s="133">
        <f t="shared" si="384"/>
        <v>6.1068185973593224E-2</v>
      </c>
      <c r="EN112" s="133">
        <f t="shared" si="384"/>
        <v>6.1068185973593231E-2</v>
      </c>
      <c r="EO112" s="648">
        <f t="shared" si="384"/>
        <v>6.1068185973593238E-2</v>
      </c>
      <c r="EP112" s="133">
        <f t="shared" si="384"/>
        <v>6.1068185973593231E-2</v>
      </c>
      <c r="EQ112" s="133">
        <f t="shared" si="384"/>
        <v>6.047792651852045E-2</v>
      </c>
      <c r="ER112" s="133">
        <f t="shared" si="384"/>
        <v>6.0477926518520436E-2</v>
      </c>
      <c r="ES112" s="133">
        <f t="shared" si="384"/>
        <v>6.047792651852045E-2</v>
      </c>
      <c r="ET112" s="133">
        <f t="shared" si="384"/>
        <v>6.0477926518520436E-2</v>
      </c>
      <c r="EU112" s="638"/>
      <c r="EV112" s="133">
        <f t="shared" si="384"/>
        <v>6.8028003646764104E-2</v>
      </c>
      <c r="EW112" s="133">
        <f t="shared" si="384"/>
        <v>5.9036246489883752E-2</v>
      </c>
      <c r="EX112" s="133">
        <f t="shared" si="384"/>
        <v>6.0252974029202572E-2</v>
      </c>
      <c r="EY112" s="133">
        <f t="shared" si="384"/>
        <v>6.0682175028371033E-2</v>
      </c>
      <c r="EZ112" s="133">
        <f t="shared" si="384"/>
        <v>6.1068185973593224E-2</v>
      </c>
      <c r="FA112" s="133">
        <f t="shared" si="384"/>
        <v>6.0477926518520443E-2</v>
      </c>
    </row>
    <row r="113" spans="2:157" x14ac:dyDescent="0.2">
      <c r="B113" s="117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  <c r="AK113" s="115"/>
      <c r="AL113" s="115"/>
      <c r="AM113" s="115"/>
      <c r="AN113" s="115"/>
      <c r="AO113" s="115"/>
      <c r="AP113" s="115"/>
      <c r="AQ113" s="115"/>
      <c r="AR113" s="115"/>
      <c r="AS113" s="115"/>
      <c r="AT113" s="115"/>
      <c r="AU113" s="115"/>
      <c r="AV113" s="115"/>
      <c r="AW113" s="115"/>
      <c r="AX113" s="115"/>
      <c r="AY113" s="115"/>
      <c r="AZ113" s="115"/>
      <c r="BA113" s="115"/>
      <c r="BB113" s="115"/>
      <c r="BC113" s="115"/>
      <c r="BD113" s="115"/>
      <c r="BE113" s="115"/>
      <c r="BF113" s="115"/>
      <c r="BG113" s="115"/>
      <c r="BH113" s="115"/>
      <c r="BI113" s="115"/>
      <c r="BJ113" s="115"/>
      <c r="BK113" s="115"/>
      <c r="BL113" s="115"/>
      <c r="BM113" s="115"/>
      <c r="BN113" s="115"/>
      <c r="BO113" s="115"/>
      <c r="BP113" s="115"/>
      <c r="BQ113" s="115"/>
      <c r="BR113" s="115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115"/>
      <c r="CD113" s="115"/>
      <c r="CE113" s="115"/>
      <c r="CF113" s="115"/>
      <c r="CG113" s="115"/>
      <c r="CH113" s="115"/>
      <c r="CI113" s="115"/>
      <c r="CJ113" s="115"/>
      <c r="CK113" s="115"/>
      <c r="CL113" s="115"/>
      <c r="CM113" s="115"/>
      <c r="CN113" s="115"/>
      <c r="CO113" s="115"/>
      <c r="CP113" s="115"/>
      <c r="CQ113" s="115"/>
      <c r="CR113" s="115"/>
      <c r="CS113" s="115"/>
      <c r="CT113" s="115"/>
      <c r="CU113" s="115"/>
      <c r="CV113" s="115"/>
      <c r="CW113" s="115"/>
      <c r="CX113" s="115"/>
      <c r="CY113" s="115"/>
      <c r="CZ113" s="115"/>
      <c r="DA113" s="115"/>
      <c r="DB113" s="115"/>
      <c r="DC113" s="115"/>
      <c r="DD113" s="115"/>
      <c r="DE113" s="115"/>
      <c r="DF113" s="115"/>
      <c r="DG113" s="115"/>
      <c r="DH113" s="115"/>
      <c r="DI113" s="115"/>
      <c r="DJ113" s="115"/>
      <c r="DK113" s="115"/>
      <c r="DL113" s="115"/>
      <c r="DM113" s="115"/>
      <c r="DN113" s="115"/>
      <c r="DO113" s="115"/>
      <c r="DP113" s="115"/>
      <c r="DQ113" s="115"/>
      <c r="DR113" s="115"/>
      <c r="DS113" s="115"/>
      <c r="DT113" s="115"/>
      <c r="DU113" s="115"/>
      <c r="DW113" s="115"/>
      <c r="DX113" s="664"/>
      <c r="DY113" s="115"/>
      <c r="DZ113" s="115"/>
      <c r="EA113" s="115"/>
      <c r="EB113" s="115"/>
      <c r="EC113" s="115"/>
      <c r="ED113" s="115"/>
      <c r="EE113" s="115"/>
      <c r="EF113" s="115"/>
      <c r="EG113" s="115"/>
      <c r="EH113" s="115"/>
      <c r="EI113" s="115"/>
      <c r="EJ113" s="115"/>
      <c r="EK113" s="115"/>
      <c r="EL113" s="115"/>
      <c r="EM113" s="115"/>
      <c r="EN113" s="115"/>
      <c r="EO113" s="645"/>
      <c r="EP113" s="115"/>
      <c r="EQ113" s="115"/>
      <c r="ER113" s="115"/>
      <c r="ES113" s="115"/>
      <c r="ET113" s="115"/>
      <c r="EV113" s="115"/>
      <c r="EW113" s="115"/>
      <c r="EX113" s="115"/>
      <c r="EY113" s="115"/>
      <c r="EZ113" s="115"/>
      <c r="FA113" s="664"/>
    </row>
    <row r="114" spans="2:157" x14ac:dyDescent="0.2">
      <c r="B114" s="116" t="s">
        <v>132</v>
      </c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31">
        <f>SUM(AA115:AA120)</f>
        <v>118243.13829844439</v>
      </c>
      <c r="AB114" s="131">
        <f t="shared" ref="AB114:CK114" si="385">SUM(AB115:AB120)</f>
        <v>110985.71287480838</v>
      </c>
      <c r="AC114" s="131">
        <f t="shared" si="385"/>
        <v>194062.90496577768</v>
      </c>
      <c r="AD114" s="131">
        <f t="shared" si="385"/>
        <v>134343.17413734028</v>
      </c>
      <c r="AE114" s="131">
        <f t="shared" si="385"/>
        <v>160148.01533480885</v>
      </c>
      <c r="AF114" s="131">
        <f t="shared" si="385"/>
        <v>164659.6719516865</v>
      </c>
      <c r="AG114" s="131">
        <f t="shared" si="385"/>
        <v>292515.67875624821</v>
      </c>
      <c r="AH114" s="131">
        <f t="shared" si="385"/>
        <v>299606.19433541206</v>
      </c>
      <c r="AI114" s="131">
        <f t="shared" si="385"/>
        <v>373728.96835255262</v>
      </c>
      <c r="AJ114" s="131">
        <f t="shared" si="385"/>
        <v>200270.25577698415</v>
      </c>
      <c r="AK114" s="131">
        <f t="shared" si="385"/>
        <v>684324.01915695402</v>
      </c>
      <c r="AL114" s="131">
        <f t="shared" si="385"/>
        <v>747282.45033422729</v>
      </c>
      <c r="AM114" s="131">
        <f t="shared" si="385"/>
        <v>1159303.3876637763</v>
      </c>
      <c r="AN114" s="131">
        <f t="shared" si="385"/>
        <v>1216568.5877774304</v>
      </c>
      <c r="AO114" s="131">
        <f t="shared" si="385"/>
        <v>995284.52689926047</v>
      </c>
      <c r="AP114" s="131">
        <f t="shared" si="385"/>
        <v>1128624.2083334341</v>
      </c>
      <c r="AQ114" s="131">
        <f t="shared" si="385"/>
        <v>1273346.8218668639</v>
      </c>
      <c r="AR114" s="131">
        <f t="shared" si="385"/>
        <v>2122708.3948717471</v>
      </c>
      <c r="AS114" s="131">
        <f t="shared" si="385"/>
        <v>1946517.4459707725</v>
      </c>
      <c r="AT114" s="131">
        <f t="shared" si="385"/>
        <v>1619744.9202893383</v>
      </c>
      <c r="AU114" s="131">
        <f t="shared" si="385"/>
        <v>2006431.6383877893</v>
      </c>
      <c r="AV114" s="131">
        <f t="shared" si="385"/>
        <v>3664962.4451774592</v>
      </c>
      <c r="AW114" s="131">
        <f t="shared" si="385"/>
        <v>3126047.9578465931</v>
      </c>
      <c r="AX114" s="131">
        <f t="shared" si="385"/>
        <v>2900862.7721313215</v>
      </c>
      <c r="AY114" s="131">
        <f t="shared" si="385"/>
        <v>3290353.4019341422</v>
      </c>
      <c r="AZ114" s="131">
        <f t="shared" si="385"/>
        <v>5079032.00386592</v>
      </c>
      <c r="BA114" s="131">
        <f t="shared" si="385"/>
        <v>12880923.788880961</v>
      </c>
      <c r="BB114" s="131">
        <f t="shared" si="385"/>
        <v>12805633.443141038</v>
      </c>
      <c r="BC114" s="131">
        <f t="shared" si="385"/>
        <v>10943168.526432095</v>
      </c>
      <c r="BD114" s="131">
        <f t="shared" si="385"/>
        <v>11907531.575548051</v>
      </c>
      <c r="BE114" s="131">
        <f t="shared" si="385"/>
        <v>10488339.789743049</v>
      </c>
      <c r="BF114" s="131">
        <f t="shared" si="385"/>
        <v>10994651.32871994</v>
      </c>
      <c r="BG114" s="131">
        <f t="shared" si="385"/>
        <v>11772223.866211524</v>
      </c>
      <c r="BH114" s="131">
        <f t="shared" si="385"/>
        <v>20107040.246410076</v>
      </c>
      <c r="BI114" s="131">
        <f t="shared" si="385"/>
        <v>11786702.792447269</v>
      </c>
      <c r="BJ114" s="131">
        <f t="shared" si="385"/>
        <v>10149850.625315748</v>
      </c>
      <c r="BK114" s="131">
        <f t="shared" si="385"/>
        <v>11306341.52876357</v>
      </c>
      <c r="BL114" s="131">
        <f t="shared" si="385"/>
        <v>11232315.787155248</v>
      </c>
      <c r="BM114" s="131">
        <f t="shared" si="385"/>
        <v>12997162.39157404</v>
      </c>
      <c r="BN114" s="131">
        <f t="shared" si="385"/>
        <v>11432232.901747197</v>
      </c>
      <c r="BO114" s="131">
        <f t="shared" si="385"/>
        <v>13429312.186326377</v>
      </c>
      <c r="BP114" s="131">
        <f t="shared" si="385"/>
        <v>15240229.108804077</v>
      </c>
      <c r="BQ114" s="131">
        <f t="shared" si="385"/>
        <v>16114170.745189702</v>
      </c>
      <c r="BR114" s="131">
        <f t="shared" si="385"/>
        <v>14022331.569350606</v>
      </c>
      <c r="BS114" s="131">
        <f t="shared" si="385"/>
        <v>13746262.962236155</v>
      </c>
      <c r="BT114" s="131">
        <f t="shared" si="385"/>
        <v>15082367.858397357</v>
      </c>
      <c r="BU114" s="131">
        <f t="shared" si="385"/>
        <v>14137362.734426841</v>
      </c>
      <c r="BV114" s="131">
        <f t="shared" si="385"/>
        <v>14155408.826992447</v>
      </c>
      <c r="BW114" s="131">
        <f t="shared" si="385"/>
        <v>15054042.84350035</v>
      </c>
      <c r="BX114" s="131">
        <f t="shared" si="385"/>
        <v>11276306.266790459</v>
      </c>
      <c r="BY114" s="131">
        <f t="shared" si="385"/>
        <v>20837775.747474745</v>
      </c>
      <c r="BZ114" s="131">
        <f t="shared" si="385"/>
        <v>19312000.767726883</v>
      </c>
      <c r="CA114" s="131">
        <f t="shared" si="385"/>
        <v>19595218.730950698</v>
      </c>
      <c r="CB114" s="131">
        <f t="shared" si="385"/>
        <v>21263255.100793973</v>
      </c>
      <c r="CC114" s="131">
        <f t="shared" si="385"/>
        <v>19516269.745977808</v>
      </c>
      <c r="CD114" s="131">
        <f t="shared" si="385"/>
        <v>15892174.303431101</v>
      </c>
      <c r="CE114" s="131">
        <f t="shared" si="385"/>
        <v>19135784.938886411</v>
      </c>
      <c r="CF114" s="131">
        <f t="shared" si="385"/>
        <v>20730624.578885205</v>
      </c>
      <c r="CG114" s="131">
        <f t="shared" si="385"/>
        <v>18848804.375661843</v>
      </c>
      <c r="CH114" s="131">
        <f t="shared" si="385"/>
        <v>22348042.969460003</v>
      </c>
      <c r="CI114" s="131">
        <f t="shared" si="385"/>
        <v>24981016.869870305</v>
      </c>
      <c r="CJ114" s="131">
        <f t="shared" si="385"/>
        <v>21301249.22925378</v>
      </c>
      <c r="CK114" s="131">
        <f t="shared" si="385"/>
        <v>24811155.322419528</v>
      </c>
      <c r="CL114" s="131">
        <f t="shared" ref="CL114" si="386">SUM(CL115:CL120)</f>
        <v>23006672.48363005</v>
      </c>
      <c r="CM114" s="131">
        <f t="shared" ref="CM114" si="387">SUM(CM115:CM120)</f>
        <v>23240826.512520947</v>
      </c>
      <c r="CN114" s="131">
        <f t="shared" ref="CN114" si="388">SUM(CN115:CN120)</f>
        <v>23224200.190942898</v>
      </c>
      <c r="CO114" s="131">
        <f t="shared" ref="CO114" si="389">SUM(CO115:CO120)</f>
        <v>23574738.470880173</v>
      </c>
      <c r="CP114" s="131">
        <f t="shared" ref="CP114" si="390">SUM(CP115:CP120)</f>
        <v>22214151.155076213</v>
      </c>
      <c r="CQ114" s="131">
        <f t="shared" ref="CQ114" si="391">SUM(CQ115:CQ120)</f>
        <v>24300754.513121791</v>
      </c>
      <c r="CR114" s="131">
        <f t="shared" ref="CR114" si="392">SUM(CR115:CR120)</f>
        <v>23628774.016008839</v>
      </c>
      <c r="CS114" s="131">
        <f t="shared" ref="CS114" si="393">SUM(CS115:CS120)</f>
        <v>23684195.087935679</v>
      </c>
      <c r="CT114" s="131">
        <f t="shared" ref="CT114" si="394">SUM(CT115:CT120)</f>
        <v>29072508.806022834</v>
      </c>
      <c r="CU114" s="131">
        <f t="shared" ref="CU114" si="395">SUM(CU115:CU120)</f>
        <v>31325375.379848935</v>
      </c>
      <c r="CV114" s="131">
        <f t="shared" ref="CV114" si="396">SUM(CV115:CV120)</f>
        <v>26855665.928949177</v>
      </c>
      <c r="CW114" s="131">
        <f t="shared" ref="CW114" si="397">SUM(CW115:CW120)</f>
        <v>29019858.787692335</v>
      </c>
      <c r="CX114" s="131">
        <f t="shared" ref="CX114" si="398">SUM(CX115:CX120)</f>
        <v>27424754.9576739</v>
      </c>
      <c r="CY114" s="131">
        <f t="shared" ref="CY114" si="399">SUM(CY115:CY120)</f>
        <v>27703874.716050707</v>
      </c>
      <c r="CZ114" s="131">
        <f t="shared" ref="CZ114" si="400">SUM(CZ115:CZ120)</f>
        <v>27684055.561609749</v>
      </c>
      <c r="DA114" s="131">
        <f t="shared" ref="DA114" si="401">SUM(DA115:DA120)</f>
        <v>28101909.401073255</v>
      </c>
      <c r="DB114" s="131">
        <f t="shared" ref="DB114" si="402">SUM(DB115:DB120)</f>
        <v>26480041.929321624</v>
      </c>
      <c r="DC114" s="131">
        <f t="shared" ref="DC114" si="403">SUM(DC115:DC120)</f>
        <v>28967345.811661698</v>
      </c>
      <c r="DD114" s="131">
        <f t="shared" ref="DD114" si="404">SUM(DD115:DD120)</f>
        <v>28166321.65300636</v>
      </c>
      <c r="DE114" s="131">
        <f t="shared" ref="DE114" si="405">SUM(DE115:DE120)</f>
        <v>28232385.501142886</v>
      </c>
      <c r="DF114" s="131">
        <f t="shared" ref="DF114" si="406">SUM(DF115:DF120)</f>
        <v>34655443.136216283</v>
      </c>
      <c r="DG114" s="131">
        <f t="shared" ref="DG114" si="407">SUM(DG115:DG120)</f>
        <v>37340938.562965922</v>
      </c>
      <c r="DH114" s="131">
        <f t="shared" ref="DH114" si="408">SUM(DH115:DH120)</f>
        <v>32012889.210755378</v>
      </c>
      <c r="DI114" s="131">
        <f t="shared" ref="DI114:DU114" si="409">SUM(DI115:DI120)</f>
        <v>34592682.480486587</v>
      </c>
      <c r="DJ114" s="131">
        <f t="shared" si="409"/>
        <v>32170639.522640169</v>
      </c>
      <c r="DK114" s="131">
        <f t="shared" si="409"/>
        <v>32498061.267857041</v>
      </c>
      <c r="DL114" s="131">
        <f t="shared" si="409"/>
        <v>32474812.386539869</v>
      </c>
      <c r="DM114" s="131">
        <f t="shared" si="409"/>
        <v>32964976.300976966</v>
      </c>
      <c r="DN114" s="131">
        <f t="shared" si="409"/>
        <v>31062442.846521515</v>
      </c>
      <c r="DO114" s="131">
        <f t="shared" si="409"/>
        <v>33980177.451826915</v>
      </c>
      <c r="DP114" s="131">
        <f t="shared" si="409"/>
        <v>33040535.165257774</v>
      </c>
      <c r="DQ114" s="131">
        <f t="shared" si="409"/>
        <v>33118031.436315022</v>
      </c>
      <c r="DR114" s="131">
        <f t="shared" si="409"/>
        <v>40652606.389855988</v>
      </c>
      <c r="DS114" s="131">
        <f t="shared" si="409"/>
        <v>43802829.808333129</v>
      </c>
      <c r="DT114" s="131">
        <f t="shared" si="409"/>
        <v>37552755.547566056</v>
      </c>
      <c r="DU114" s="131">
        <f t="shared" si="409"/>
        <v>40578984.932351604</v>
      </c>
      <c r="DW114" s="131">
        <f t="shared" ref="DW114:DW127" si="410">SUM(BB114:BD114)</f>
        <v>35656333.545121185</v>
      </c>
      <c r="DX114" s="665">
        <f t="shared" ref="DX114:DX127" si="411">SUM(BE114:BG114)</f>
        <v>33255214.984674513</v>
      </c>
      <c r="DY114" s="131">
        <f t="shared" ref="DY114:DY127" si="412">SUM(BH114:BJ114)</f>
        <v>42043593.664173096</v>
      </c>
      <c r="DZ114" s="131">
        <f t="shared" ref="DZ114:DZ127" si="413">SUM(BK114:BM114)</f>
        <v>35535819.707492858</v>
      </c>
      <c r="EA114" s="131">
        <f t="shared" ref="EA114:EA127" si="414">SUM(BN114:BP114)</f>
        <v>40101774.196877651</v>
      </c>
      <c r="EB114" s="131">
        <f t="shared" ref="EB114:EB127" si="415">SUM(BQ114:BS114)</f>
        <v>43882765.276776463</v>
      </c>
      <c r="EC114" s="131">
        <f t="shared" ref="EC114:EC127" si="416">SUM(BT114:BV114)</f>
        <v>43375139.419816643</v>
      </c>
      <c r="ED114" s="131">
        <f t="shared" ref="ED114:ED127" si="417">SUM(BW114:BY114)</f>
        <v>47168124.857765555</v>
      </c>
      <c r="EE114" s="131">
        <f t="shared" ref="EE114:EE127" si="418">SUM(BZ114:CB114)</f>
        <v>60170474.599471554</v>
      </c>
      <c r="EF114" s="131">
        <f t="shared" ref="EF114:EF127" si="419">SUM(CC114:CE114)</f>
        <v>54544228.988295324</v>
      </c>
      <c r="EG114" s="131">
        <f t="shared" ref="EG114:EG127" si="420">SUM(CF114:CH114)</f>
        <v>61927471.924007051</v>
      </c>
      <c r="EH114" s="131">
        <f t="shared" ref="EH114:EH127" si="421">SUM(CI114:CK114)</f>
        <v>71093421.421543613</v>
      </c>
      <c r="EI114" s="131">
        <f t="shared" ref="EI114:EI127" si="422">SUM(CL114:CN114)</f>
        <v>69471699.187093899</v>
      </c>
      <c r="EJ114" s="131">
        <f t="shared" ref="EJ114:EJ127" si="423">SUM(CO114:CQ114)</f>
        <v>70089644.13907817</v>
      </c>
      <c r="EK114" s="131">
        <f t="shared" ref="EK114:EK127" si="424">SUM(CR114:CT114)</f>
        <v>76385477.909967348</v>
      </c>
      <c r="EL114" s="131">
        <f t="shared" ref="EL114:EL127" si="425">SUM(CU114:CW114)</f>
        <v>87200900.096490443</v>
      </c>
      <c r="EM114" s="131">
        <f t="shared" ref="EM114:EM127" si="426">SUM(CX114:CZ114)</f>
        <v>82812685.235334352</v>
      </c>
      <c r="EN114" s="131">
        <f t="shared" ref="EN114:EN127" si="427">SUM(DA114:DC114)</f>
        <v>83549297.142056584</v>
      </c>
      <c r="EO114" s="646">
        <f t="shared" ref="EO114:EO127" si="428">SUM(DD114:DF114)</f>
        <v>91054150.290365532</v>
      </c>
      <c r="EP114" s="131">
        <f t="shared" ref="EP114:EP127" si="429">SUM(DG114:DI114)</f>
        <v>103946510.25420789</v>
      </c>
      <c r="EQ114" s="131">
        <f t="shared" ref="EQ114:EQ127" si="430">SUM(DJ114:DL114)</f>
        <v>97143513.17703709</v>
      </c>
      <c r="ER114" s="131">
        <f t="shared" ref="ER114:ER127" si="431">SUM(DM114:DO114)</f>
        <v>98007596.599325389</v>
      </c>
      <c r="ES114" s="131">
        <f t="shared" ref="ES114:ES127" si="432">SUM(DP114:DR114)</f>
        <v>106811172.99142879</v>
      </c>
      <c r="ET114" s="131">
        <f t="shared" ref="ET114:ET127" si="433">SUM(DS114:DU114)</f>
        <v>121934570.28825079</v>
      </c>
      <c r="EV114" s="131">
        <f t="shared" ref="EV114:EV129" si="434">SUM(DW114:DZ114)</f>
        <v>146490961.90146166</v>
      </c>
      <c r="EW114" s="131">
        <f t="shared" ref="EW114:EW129" si="435">SUM(EA114:ED114)</f>
        <v>174527803.75123632</v>
      </c>
      <c r="EX114" s="131">
        <f t="shared" ref="EX114:EX129" si="436">SUM(EE114:EH114)</f>
        <v>247735596.93331754</v>
      </c>
      <c r="EY114" s="131">
        <f t="shared" ref="EY114:EY129" si="437">SUM(EI114:EL114)</f>
        <v>303147721.33262986</v>
      </c>
      <c r="EZ114" s="131">
        <f t="shared" ref="EZ114:EZ129" si="438">SUM(EM114:EP114)</f>
        <v>361362642.92196435</v>
      </c>
      <c r="FA114" s="665">
        <f t="shared" ref="FA114:FA129" si="439">SUM(EQ114:ET114)</f>
        <v>423896853.05604208</v>
      </c>
    </row>
    <row r="115" spans="2:157" x14ac:dyDescent="0.2">
      <c r="B115" s="135" t="s">
        <v>146</v>
      </c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29">
        <v>6877.536300463029</v>
      </c>
      <c r="AB115" s="129">
        <v>10367.020746039856</v>
      </c>
      <c r="AC115" s="129">
        <v>35359.240028321925</v>
      </c>
      <c r="AD115" s="129">
        <v>18531.329869400364</v>
      </c>
      <c r="AE115" s="129">
        <v>24161.62323943662</v>
      </c>
      <c r="AF115" s="129">
        <v>15021.828073993471</v>
      </c>
      <c r="AG115" s="129">
        <v>43996.078605037364</v>
      </c>
      <c r="AH115" s="129">
        <v>50997.80775993436</v>
      </c>
      <c r="AI115" s="129">
        <v>20490.569900070655</v>
      </c>
      <c r="AJ115" s="129">
        <v>12842.60140925538</v>
      </c>
      <c r="AK115" s="129">
        <v>45886.95411808951</v>
      </c>
      <c r="AL115" s="129">
        <v>68585.752749670035</v>
      </c>
      <c r="AM115" s="129">
        <v>106606.75152346131</v>
      </c>
      <c r="AN115" s="129">
        <v>123717.49594862253</v>
      </c>
      <c r="AO115" s="129">
        <v>92061.556758847422</v>
      </c>
      <c r="AP115" s="129">
        <v>103794.30874387413</v>
      </c>
      <c r="AQ115" s="129">
        <v>114709.68608445297</v>
      </c>
      <c r="AR115" s="129">
        <v>243834.80433467735</v>
      </c>
      <c r="AS115" s="129">
        <v>249837.58457975491</v>
      </c>
      <c r="AT115" s="129">
        <v>283244.53390893398</v>
      </c>
      <c r="AU115" s="129">
        <v>494751.14570121909</v>
      </c>
      <c r="AV115" s="129">
        <v>709160.19219373073</v>
      </c>
      <c r="AW115" s="129">
        <v>522445.28905559873</v>
      </c>
      <c r="AX115" s="129">
        <v>444933.53738721705</v>
      </c>
      <c r="AY115" s="129">
        <v>485957.01947376999</v>
      </c>
      <c r="AZ115" s="129">
        <v>720062.88516990189</v>
      </c>
      <c r="BA115" s="129">
        <v>1054614.8269059903</v>
      </c>
      <c r="BB115" s="129">
        <v>1825341.2224048995</v>
      </c>
      <c r="BC115" s="129">
        <v>1655918.4403285661</v>
      </c>
      <c r="BD115" s="129">
        <v>1735162.678108427</v>
      </c>
      <c r="BE115" s="129">
        <v>1746582.0993620085</v>
      </c>
      <c r="BF115" s="129">
        <v>1910225.2424238836</v>
      </c>
      <c r="BG115" s="129">
        <v>1680564.1363698312</v>
      </c>
      <c r="BH115" s="129">
        <v>3368447.4083562708</v>
      </c>
      <c r="BI115" s="129">
        <v>2136834.5699640652</v>
      </c>
      <c r="BJ115" s="129">
        <v>1907060.0555025488</v>
      </c>
      <c r="BK115" s="129">
        <v>1918035.4809334851</v>
      </c>
      <c r="BL115" s="129">
        <v>2020858.7483175711</v>
      </c>
      <c r="BM115" s="129">
        <v>1788324.5411494258</v>
      </c>
      <c r="BN115" s="129">
        <v>2112347.2070577294</v>
      </c>
      <c r="BO115" s="129">
        <v>2194133.7060836935</v>
      </c>
      <c r="BP115" s="129">
        <v>2515522.4369108258</v>
      </c>
      <c r="BQ115" s="129">
        <v>1371672.3931330834</v>
      </c>
      <c r="BR115" s="129">
        <v>1962014.4441771014</v>
      </c>
      <c r="BS115" s="129">
        <v>1645144.6396038206</v>
      </c>
      <c r="BT115" s="129">
        <v>1720688.7908807821</v>
      </c>
      <c r="BU115" s="129">
        <v>1951513.2101994203</v>
      </c>
      <c r="BV115" s="129">
        <v>2121527.5197386928</v>
      </c>
      <c r="BW115" s="129">
        <v>2612937.2600349197</v>
      </c>
      <c r="BX115" s="129">
        <v>2306545.2819699398</v>
      </c>
      <c r="BY115" s="129">
        <v>3382846.3507916653</v>
      </c>
      <c r="BZ115" s="129">
        <v>3083564.5172532042</v>
      </c>
      <c r="CA115" s="129">
        <v>3126545.8672532043</v>
      </c>
      <c r="CB115" s="129">
        <v>3335626.163881409</v>
      </c>
      <c r="CC115" s="129">
        <v>3847558.8363237176</v>
      </c>
      <c r="CD115" s="129">
        <v>3344173.7470737179</v>
      </c>
      <c r="CE115" s="129">
        <v>2715453.9669679478</v>
      </c>
      <c r="CF115" s="129">
        <v>3870918.0766054597</v>
      </c>
      <c r="CG115" s="129">
        <v>3653050.8356182799</v>
      </c>
      <c r="CH115" s="129">
        <v>3988488.5673631104</v>
      </c>
      <c r="CI115" s="129">
        <v>5757290.3616185896</v>
      </c>
      <c r="CJ115" s="129">
        <v>4221531.0238044867</v>
      </c>
      <c r="CK115" s="129">
        <v>4270600.0401987173</v>
      </c>
      <c r="CL115" s="129">
        <f>'P&amp;L - Inputs'!CT262</f>
        <v>4249472.8187782718</v>
      </c>
      <c r="CM115" s="129">
        <f>'P&amp;L - Inputs'!CU262</f>
        <v>4292722.4969699923</v>
      </c>
      <c r="CN115" s="129">
        <f>'P&amp;L - Inputs'!CV262</f>
        <v>4289651.5139031243</v>
      </c>
      <c r="CO115" s="129">
        <f>'P&amp;L - Inputs'!CW262</f>
        <v>4354398.0735629201</v>
      </c>
      <c r="CP115" s="129">
        <f>'P&amp;L - Inputs'!CX262</f>
        <v>4103089.2925909073</v>
      </c>
      <c r="CQ115" s="129">
        <f>'P&amp;L - Inputs'!CY262</f>
        <v>4488497.667482812</v>
      </c>
      <c r="CR115" s="129">
        <f>'P&amp;L - Inputs'!CZ262</f>
        <v>4364378.7685302394</v>
      </c>
      <c r="CS115" s="129">
        <f>'P&amp;L - Inputs'!DA262</f>
        <v>4374615.3787531322</v>
      </c>
      <c r="CT115" s="129">
        <f>'P&amp;L - Inputs'!DB262</f>
        <v>5369869.8076738613</v>
      </c>
      <c r="CU115" s="129">
        <f>'P&amp;L - Inputs'!DC262</f>
        <v>5785988.013234443</v>
      </c>
      <c r="CV115" s="129">
        <f>'P&amp;L - Inputs'!DD262</f>
        <v>4960405.398758159</v>
      </c>
      <c r="CW115" s="129">
        <f>'P&amp;L - Inputs'!DE262</f>
        <v>5360145.0279621119</v>
      </c>
      <c r="CX115" s="129">
        <f>'P&amp;L - Inputs'!DF262</f>
        <v>5131238.4286747621</v>
      </c>
      <c r="CY115" s="129">
        <f>'P&amp;L - Inputs'!DG262</f>
        <v>5183462.415091265</v>
      </c>
      <c r="CZ115" s="129">
        <f>'P&amp;L - Inputs'!DH262</f>
        <v>5179754.2030380219</v>
      </c>
      <c r="DA115" s="129">
        <f>'P&amp;L - Inputs'!DI262</f>
        <v>5257935.6738272253</v>
      </c>
      <c r="DB115" s="129">
        <f>'P&amp;L - Inputs'!DJ262</f>
        <v>4954480.3208035203</v>
      </c>
      <c r="DC115" s="129">
        <f>'P&amp;L - Inputs'!DK262</f>
        <v>5419860.9334854949</v>
      </c>
      <c r="DD115" s="129">
        <f>'P&amp;L - Inputs'!DL262</f>
        <v>5269987.3630002644</v>
      </c>
      <c r="DE115" s="129">
        <f>'P&amp;L - Inputs'!DM262</f>
        <v>5282348.069844407</v>
      </c>
      <c r="DF115" s="129">
        <f>'P&amp;L - Inputs'!DN262</f>
        <v>6484117.7927661855</v>
      </c>
      <c r="DG115" s="129">
        <f>'P&amp;L - Inputs'!DO262</f>
        <v>6986580.525980589</v>
      </c>
      <c r="DH115" s="129">
        <f>'P&amp;L - Inputs'!DP262</f>
        <v>5989689.5190004762</v>
      </c>
      <c r="DI115" s="129">
        <f>'P&amp;L - Inputs'!DQ262</f>
        <v>6472375.1212642509</v>
      </c>
      <c r="DJ115" s="129">
        <f>'P&amp;L - Inputs'!DR262</f>
        <v>5900924.1929759765</v>
      </c>
      <c r="DK115" s="129">
        <f>'P&amp;L - Inputs'!DS262</f>
        <v>5960981.7773549538</v>
      </c>
      <c r="DL115" s="129">
        <f>'P&amp;L - Inputs'!DT262</f>
        <v>5956717.3334937263</v>
      </c>
      <c r="DM115" s="129">
        <f>'P&amp;L - Inputs'!DU262</f>
        <v>6046626.0249013091</v>
      </c>
      <c r="DN115" s="129">
        <f>'P&amp;L - Inputs'!DV262</f>
        <v>5697652.3689240469</v>
      </c>
      <c r="DO115" s="129">
        <f>'P&amp;L - Inputs'!DW262</f>
        <v>6232840.0735083185</v>
      </c>
      <c r="DP115" s="129">
        <f>'P&amp;L - Inputs'!DX262</f>
        <v>6060485.467450303</v>
      </c>
      <c r="DQ115" s="129">
        <f>'P&amp;L - Inputs'!DY262</f>
        <v>6074700.2803210672</v>
      </c>
      <c r="DR115" s="129">
        <f>'P&amp;L - Inputs'!DZ262</f>
        <v>7456735.4616811136</v>
      </c>
      <c r="DS115" s="129">
        <f>'P&amp;L - Inputs'!EA262</f>
        <v>8034567.6048776768</v>
      </c>
      <c r="DT115" s="129">
        <f>'P&amp;L - Inputs'!EB262</f>
        <v>6888142.9468505457</v>
      </c>
      <c r="DU115" s="129">
        <f>'P&amp;L - Inputs'!EC262</f>
        <v>7443231.389453887</v>
      </c>
      <c r="DW115" s="129">
        <f t="shared" si="410"/>
        <v>5216422.3408418922</v>
      </c>
      <c r="DX115" s="663">
        <f t="shared" si="411"/>
        <v>5337371.4781557228</v>
      </c>
      <c r="DY115" s="129">
        <f t="shared" si="412"/>
        <v>7412342.0338228848</v>
      </c>
      <c r="DZ115" s="129">
        <f t="shared" si="413"/>
        <v>5727218.7704004813</v>
      </c>
      <c r="EA115" s="129">
        <f t="shared" si="414"/>
        <v>6822003.3500522487</v>
      </c>
      <c r="EB115" s="129">
        <f t="shared" si="415"/>
        <v>4978831.4769140054</v>
      </c>
      <c r="EC115" s="129">
        <f t="shared" si="416"/>
        <v>5793729.5208188947</v>
      </c>
      <c r="ED115" s="129">
        <f t="shared" si="417"/>
        <v>8302328.8927965239</v>
      </c>
      <c r="EE115" s="129">
        <f t="shared" si="418"/>
        <v>9545736.548387818</v>
      </c>
      <c r="EF115" s="129">
        <f t="shared" si="419"/>
        <v>9907186.5503653828</v>
      </c>
      <c r="EG115" s="129">
        <f t="shared" si="420"/>
        <v>11512457.479586851</v>
      </c>
      <c r="EH115" s="129">
        <f t="shared" si="421"/>
        <v>14249421.425621793</v>
      </c>
      <c r="EI115" s="129">
        <f t="shared" si="422"/>
        <v>12831846.829651387</v>
      </c>
      <c r="EJ115" s="129">
        <f t="shared" si="423"/>
        <v>12945985.033636639</v>
      </c>
      <c r="EK115" s="129">
        <f t="shared" si="424"/>
        <v>14108863.954957232</v>
      </c>
      <c r="EL115" s="129">
        <f t="shared" si="425"/>
        <v>16106538.439954713</v>
      </c>
      <c r="EM115" s="129">
        <f t="shared" si="426"/>
        <v>15494455.046804048</v>
      </c>
      <c r="EN115" s="129">
        <f t="shared" si="427"/>
        <v>15632276.928116241</v>
      </c>
      <c r="EO115" s="644">
        <f t="shared" si="428"/>
        <v>17036453.22561086</v>
      </c>
      <c r="EP115" s="129">
        <f t="shared" si="429"/>
        <v>19448645.166245319</v>
      </c>
      <c r="EQ115" s="129">
        <f t="shared" si="430"/>
        <v>17818623.303824656</v>
      </c>
      <c r="ER115" s="129">
        <f t="shared" si="431"/>
        <v>17977118.467333674</v>
      </c>
      <c r="ES115" s="129">
        <f t="shared" si="432"/>
        <v>19591921.209452484</v>
      </c>
      <c r="ET115" s="129">
        <f t="shared" si="433"/>
        <v>22365941.94118211</v>
      </c>
      <c r="EV115" s="129">
        <f t="shared" si="434"/>
        <v>23693354.62322098</v>
      </c>
      <c r="EW115" s="129">
        <f t="shared" si="435"/>
        <v>25896893.240581673</v>
      </c>
      <c r="EX115" s="129">
        <f t="shared" si="436"/>
        <v>45214802.003961846</v>
      </c>
      <c r="EY115" s="129">
        <f t="shared" si="437"/>
        <v>55993234.258199975</v>
      </c>
      <c r="EZ115" s="129">
        <f t="shared" si="438"/>
        <v>67611830.366776466</v>
      </c>
      <c r="FA115" s="663">
        <f t="shared" si="439"/>
        <v>77753604.921792924</v>
      </c>
    </row>
    <row r="116" spans="2:157" x14ac:dyDescent="0.2">
      <c r="B116" s="135" t="s">
        <v>34</v>
      </c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29">
        <v>10330.065997981359</v>
      </c>
      <c r="AB116" s="129">
        <v>14690.964128768523</v>
      </c>
      <c r="AC116" s="129">
        <v>31373.344937455746</v>
      </c>
      <c r="AD116" s="129">
        <v>28731.852267939899</v>
      </c>
      <c r="AE116" s="129">
        <v>49561.940895372238</v>
      </c>
      <c r="AF116" s="129">
        <v>29940.919477693144</v>
      </c>
      <c r="AG116" s="129">
        <v>26467.408151210868</v>
      </c>
      <c r="AH116" s="129">
        <v>34269.466575477731</v>
      </c>
      <c r="AI116" s="129">
        <v>42190.528452481958</v>
      </c>
      <c r="AJ116" s="129">
        <v>26018.26366772877</v>
      </c>
      <c r="AK116" s="129">
        <v>81940.922338864431</v>
      </c>
      <c r="AL116" s="129">
        <v>70657.231584557245</v>
      </c>
      <c r="AM116" s="129">
        <v>76207.620560314885</v>
      </c>
      <c r="AN116" s="129">
        <v>88639.197828807795</v>
      </c>
      <c r="AO116" s="129">
        <v>71539.370940412307</v>
      </c>
      <c r="AP116" s="129">
        <v>197395.24586956025</v>
      </c>
      <c r="AQ116" s="129">
        <v>182415.14066241105</v>
      </c>
      <c r="AR116" s="129">
        <v>293323.01033706981</v>
      </c>
      <c r="AS116" s="129">
        <v>330454.80531100667</v>
      </c>
      <c r="AT116" s="129">
        <v>278197.0824204018</v>
      </c>
      <c r="AU116" s="129">
        <v>264136.22498656739</v>
      </c>
      <c r="AV116" s="129">
        <v>382239.04532372399</v>
      </c>
      <c r="AW116" s="129">
        <v>273559.96643099427</v>
      </c>
      <c r="AX116" s="129">
        <v>245375.74006409827</v>
      </c>
      <c r="AY116" s="129">
        <v>265597.56886036461</v>
      </c>
      <c r="AZ116" s="129">
        <v>470955.85449601297</v>
      </c>
      <c r="BA116" s="129">
        <v>672336.85697495309</v>
      </c>
      <c r="BB116" s="129">
        <v>977150.49734211271</v>
      </c>
      <c r="BC116" s="129">
        <v>954604.08610352897</v>
      </c>
      <c r="BD116" s="129">
        <v>1462770.8974396235</v>
      </c>
      <c r="BE116" s="129">
        <v>1148179.690381041</v>
      </c>
      <c r="BF116" s="129">
        <v>1294752.0862960569</v>
      </c>
      <c r="BG116" s="129">
        <v>1240103.7298416926</v>
      </c>
      <c r="BH116" s="129">
        <v>1845674.5955348462</v>
      </c>
      <c r="BI116" s="129">
        <v>1440850.6745064985</v>
      </c>
      <c r="BJ116" s="129">
        <v>1492724.1285297479</v>
      </c>
      <c r="BK116" s="129">
        <v>1373622.8925437406</v>
      </c>
      <c r="BL116" s="129">
        <v>1233653</v>
      </c>
      <c r="BM116" s="129">
        <v>1733236.1251766894</v>
      </c>
      <c r="BN116" s="129">
        <v>1424867.7919139466</v>
      </c>
      <c r="BO116" s="129">
        <v>1824379.9461413026</v>
      </c>
      <c r="BP116" s="129">
        <v>1410649.626269911</v>
      </c>
      <c r="BQ116" s="129">
        <v>1838361.6857151566</v>
      </c>
      <c r="BR116" s="129">
        <v>1839591.0081062941</v>
      </c>
      <c r="BS116" s="129">
        <v>2027415.3273169363</v>
      </c>
      <c r="BT116" s="129">
        <v>1901122.1407438717</v>
      </c>
      <c r="BU116" s="129">
        <v>1591557.8169075474</v>
      </c>
      <c r="BV116" s="129">
        <v>1624198.4988187943</v>
      </c>
      <c r="BW116" s="129">
        <v>1719783.5419637957</v>
      </c>
      <c r="BX116" s="129">
        <v>1729237.0304288592</v>
      </c>
      <c r="BY116" s="129">
        <v>2157348.3666513986</v>
      </c>
      <c r="BZ116" s="129">
        <v>2136153.5133848335</v>
      </c>
      <c r="CA116" s="129">
        <v>2108630.2213413161</v>
      </c>
      <c r="CB116" s="129">
        <v>2368478.496530558</v>
      </c>
      <c r="CC116" s="129">
        <v>2348848.5305251805</v>
      </c>
      <c r="CD116" s="129">
        <v>2267113.2677776362</v>
      </c>
      <c r="CE116" s="129">
        <v>2945112.8895535818</v>
      </c>
      <c r="CF116" s="129">
        <v>2722173.913944819</v>
      </c>
      <c r="CG116" s="129">
        <v>2659080.3978544781</v>
      </c>
      <c r="CH116" s="129">
        <v>2744300.1122413995</v>
      </c>
      <c r="CI116" s="129">
        <v>2839753.1052747592</v>
      </c>
      <c r="CJ116" s="129">
        <v>2696799.7632719995</v>
      </c>
      <c r="CK116" s="129">
        <v>2631944.5039378535</v>
      </c>
      <c r="CL116" s="129">
        <f>'P&amp;L - Inputs'!CT263</f>
        <v>2822650.4396020272</v>
      </c>
      <c r="CM116" s="129">
        <f>'P&amp;L - Inputs'!CU263</f>
        <v>2851378.4085446787</v>
      </c>
      <c r="CN116" s="129">
        <f>'P&amp;L - Inputs'!CV263</f>
        <v>2849338.5527617689</v>
      </c>
      <c r="CO116" s="129">
        <f>'P&amp;L - Inputs'!CW263</f>
        <v>2892345.5121847931</v>
      </c>
      <c r="CP116" s="129">
        <f>'P&amp;L - Inputs'!CX263</f>
        <v>2725417.3139499724</v>
      </c>
      <c r="CQ116" s="129">
        <f>'P&amp;L - Inputs'!CY263</f>
        <v>2981419.2147052055</v>
      </c>
      <c r="CR116" s="129">
        <f>'P&amp;L - Inputs'!CZ263</f>
        <v>2898975.0434792507</v>
      </c>
      <c r="CS116" s="129">
        <f>'P&amp;L - Inputs'!DA263</f>
        <v>2905774.5627556178</v>
      </c>
      <c r="CT116" s="129">
        <f>'P&amp;L - Inputs'!DB263</f>
        <v>3566857.8244004403</v>
      </c>
      <c r="CU116" s="129">
        <f>'P&amp;L - Inputs'!DC263</f>
        <v>3843258.2829847764</v>
      </c>
      <c r="CV116" s="129">
        <f>'P&amp;L - Inputs'!DD263</f>
        <v>3294877.0533457436</v>
      </c>
      <c r="CW116" s="129">
        <f>'P&amp;L - Inputs'!DE263</f>
        <v>3560398.2810878912</v>
      </c>
      <c r="CX116" s="129">
        <f>'P&amp;L - Inputs'!DF263</f>
        <v>3343429.4457086008</v>
      </c>
      <c r="CY116" s="129">
        <f>'P&amp;L - Inputs'!DG263</f>
        <v>3377457.724921172</v>
      </c>
      <c r="CZ116" s="129">
        <f>'P&amp;L - Inputs'!DH263</f>
        <v>3375041.5157463155</v>
      </c>
      <c r="DA116" s="129">
        <f>'P&amp;L - Inputs'!DI263</f>
        <v>3425983.2591828872</v>
      </c>
      <c r="DB116" s="129">
        <f>'P&amp;L - Inputs'!DJ263</f>
        <v>3228256.8083737423</v>
      </c>
      <c r="DC116" s="129">
        <f>'P&amp;L - Inputs'!DK263</f>
        <v>3531491.0598183163</v>
      </c>
      <c r="DD116" s="129">
        <f>'P&amp;L - Inputs'!DL263</f>
        <v>3433835.9390011723</v>
      </c>
      <c r="DE116" s="129">
        <f>'P&amp;L - Inputs'!DM263</f>
        <v>3441889.9695840301</v>
      </c>
      <c r="DF116" s="129">
        <f>'P&amp;L - Inputs'!DN263</f>
        <v>4224943.0930023221</v>
      </c>
      <c r="DG116" s="129">
        <f>'P&amp;L - Inputs'!DO263</f>
        <v>4552339.4361954685</v>
      </c>
      <c r="DH116" s="129">
        <f>'P&amp;L - Inputs'!DP263</f>
        <v>3902781.8696880336</v>
      </c>
      <c r="DI116" s="129">
        <f>'P&amp;L - Inputs'!DQ263</f>
        <v>4217291.7639486073</v>
      </c>
      <c r="DJ116" s="129">
        <f>'P&amp;L - Inputs'!DR263</f>
        <v>3960292.1784418365</v>
      </c>
      <c r="DK116" s="129">
        <f>'P&amp;L - Inputs'!DS263</f>
        <v>4000598.6751691285</v>
      </c>
      <c r="DL116" s="129">
        <f>'P&amp;L - Inputs'!DT263</f>
        <v>3997736.6754015097</v>
      </c>
      <c r="DM116" s="129">
        <f>'P&amp;L - Inputs'!DU263</f>
        <v>4058077.1705021295</v>
      </c>
      <c r="DN116" s="129">
        <f>'P&amp;L - Inputs'!DV263</f>
        <v>3823870.1895186976</v>
      </c>
      <c r="DO116" s="129">
        <f>'P&amp;L - Inputs'!DW263</f>
        <v>4183051.1603547954</v>
      </c>
      <c r="DP116" s="129">
        <f>'P&amp;L - Inputs'!DX263</f>
        <v>4067378.6697468879</v>
      </c>
      <c r="DQ116" s="129">
        <f>'P&amp;L - Inputs'!DY263</f>
        <v>4076918.6689722822</v>
      </c>
      <c r="DR116" s="129">
        <f>'P&amp;L - Inputs'!DZ263</f>
        <v>5004445.0936612496</v>
      </c>
      <c r="DS116" s="129">
        <f>'P&amp;L - Inputs'!EA263</f>
        <v>5392246.0621735314</v>
      </c>
      <c r="DT116" s="129">
        <f>'P&amp;L - Inputs'!EB263</f>
        <v>4622845.1246454753</v>
      </c>
      <c r="DU116" s="129">
        <f>'P&amp;L - Inputs'!EC263</f>
        <v>4995382.0943971258</v>
      </c>
      <c r="DW116" s="129">
        <f t="shared" si="410"/>
        <v>3394525.4808852654</v>
      </c>
      <c r="DX116" s="663">
        <f t="shared" si="411"/>
        <v>3683035.5065187905</v>
      </c>
      <c r="DY116" s="129">
        <f t="shared" si="412"/>
        <v>4779249.3985710926</v>
      </c>
      <c r="DZ116" s="129">
        <f t="shared" si="413"/>
        <v>4340512.0177204302</v>
      </c>
      <c r="EA116" s="129">
        <f t="shared" si="414"/>
        <v>4659897.3643251602</v>
      </c>
      <c r="EB116" s="129">
        <f t="shared" si="415"/>
        <v>5705368.0211383868</v>
      </c>
      <c r="EC116" s="129">
        <f t="shared" si="416"/>
        <v>5116878.4564702138</v>
      </c>
      <c r="ED116" s="129">
        <f t="shared" si="417"/>
        <v>5606368.9390440527</v>
      </c>
      <c r="EE116" s="129">
        <f t="shared" si="418"/>
        <v>6613262.2312567076</v>
      </c>
      <c r="EF116" s="129">
        <f t="shared" si="419"/>
        <v>7561074.6878563985</v>
      </c>
      <c r="EG116" s="129">
        <f t="shared" si="420"/>
        <v>8125554.4240406966</v>
      </c>
      <c r="EH116" s="129">
        <f t="shared" si="421"/>
        <v>8168497.3724846123</v>
      </c>
      <c r="EI116" s="129">
        <f t="shared" si="422"/>
        <v>8523367.4009084739</v>
      </c>
      <c r="EJ116" s="129">
        <f t="shared" si="423"/>
        <v>8599182.0408399701</v>
      </c>
      <c r="EK116" s="129">
        <f t="shared" si="424"/>
        <v>9371607.4306353088</v>
      </c>
      <c r="EL116" s="129">
        <f t="shared" si="425"/>
        <v>10698533.617418412</v>
      </c>
      <c r="EM116" s="129">
        <f t="shared" si="426"/>
        <v>10095928.686376089</v>
      </c>
      <c r="EN116" s="129">
        <f t="shared" si="427"/>
        <v>10185731.127374945</v>
      </c>
      <c r="EO116" s="644">
        <f t="shared" si="428"/>
        <v>11100669.001587525</v>
      </c>
      <c r="EP116" s="129">
        <f t="shared" si="429"/>
        <v>12672413.069832109</v>
      </c>
      <c r="EQ116" s="129">
        <f t="shared" si="430"/>
        <v>11958627.529012475</v>
      </c>
      <c r="ER116" s="129">
        <f t="shared" si="431"/>
        <v>12064998.520375622</v>
      </c>
      <c r="ES116" s="129">
        <f t="shared" si="432"/>
        <v>13148742.432380419</v>
      </c>
      <c r="ET116" s="129">
        <f t="shared" si="433"/>
        <v>15010473.281216132</v>
      </c>
      <c r="EV116" s="129">
        <f t="shared" si="434"/>
        <v>16197322.40369558</v>
      </c>
      <c r="EW116" s="129">
        <f t="shared" si="435"/>
        <v>21088512.780977815</v>
      </c>
      <c r="EX116" s="129">
        <f t="shared" si="436"/>
        <v>30468388.715638418</v>
      </c>
      <c r="EY116" s="129">
        <f t="shared" si="437"/>
        <v>37192690.489802167</v>
      </c>
      <c r="EZ116" s="129">
        <f t="shared" si="438"/>
        <v>44054741.885170668</v>
      </c>
      <c r="FA116" s="663">
        <f t="shared" si="439"/>
        <v>52182841.762984648</v>
      </c>
    </row>
    <row r="117" spans="2:157" x14ac:dyDescent="0.2">
      <c r="B117" s="135" t="s">
        <v>147</v>
      </c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29">
        <v>0</v>
      </c>
      <c r="AB117" s="129">
        <v>0</v>
      </c>
      <c r="AC117" s="129">
        <v>0</v>
      </c>
      <c r="AD117" s="129">
        <v>0</v>
      </c>
      <c r="AE117" s="129">
        <v>0</v>
      </c>
      <c r="AF117" s="129">
        <v>0</v>
      </c>
      <c r="AG117" s="129">
        <v>89200</v>
      </c>
      <c r="AH117" s="129">
        <v>83750</v>
      </c>
      <c r="AI117" s="129">
        <v>134521</v>
      </c>
      <c r="AJ117" s="129">
        <v>75672</v>
      </c>
      <c r="AK117" s="129">
        <v>205950</v>
      </c>
      <c r="AL117" s="129">
        <v>224983</v>
      </c>
      <c r="AM117" s="129">
        <v>378547</v>
      </c>
      <c r="AN117" s="129">
        <v>356216</v>
      </c>
      <c r="AO117" s="129">
        <v>336128.17000000068</v>
      </c>
      <c r="AP117" s="129">
        <v>339351</v>
      </c>
      <c r="AQ117" s="129">
        <v>358223</v>
      </c>
      <c r="AR117" s="129">
        <v>564761</v>
      </c>
      <c r="AS117" s="129">
        <v>517700</v>
      </c>
      <c r="AT117" s="129">
        <v>462000</v>
      </c>
      <c r="AU117" s="129">
        <v>611575</v>
      </c>
      <c r="AV117" s="129">
        <v>1303500</v>
      </c>
      <c r="AW117" s="129">
        <v>1346484</v>
      </c>
      <c r="AX117" s="129">
        <v>1289000</v>
      </c>
      <c r="AY117" s="129">
        <v>1597400</v>
      </c>
      <c r="AZ117" s="129">
        <v>781899</v>
      </c>
      <c r="BA117" s="129">
        <v>2312142.3448275859</v>
      </c>
      <c r="BB117" s="129">
        <v>2228010</v>
      </c>
      <c r="BC117" s="129">
        <v>2228879</v>
      </c>
      <c r="BD117" s="129">
        <v>1789026</v>
      </c>
      <c r="BE117" s="129">
        <v>1708098</v>
      </c>
      <c r="BF117" s="129">
        <v>2239853</v>
      </c>
      <c r="BG117" s="129">
        <v>2444371</v>
      </c>
      <c r="BH117" s="129">
        <v>3435837</v>
      </c>
      <c r="BI117" s="129">
        <v>2400956</v>
      </c>
      <c r="BJ117" s="129">
        <v>2503811</v>
      </c>
      <c r="BK117" s="129">
        <v>2164443</v>
      </c>
      <c r="BL117" s="129">
        <v>1956449</v>
      </c>
      <c r="BM117" s="129">
        <v>2285397</v>
      </c>
      <c r="BN117" s="129">
        <v>2414256</v>
      </c>
      <c r="BO117" s="129">
        <v>2414228</v>
      </c>
      <c r="BP117" s="129">
        <v>2118993</v>
      </c>
      <c r="BQ117" s="129">
        <v>1785874</v>
      </c>
      <c r="BR117" s="129">
        <v>1899294.88</v>
      </c>
      <c r="BS117" s="129">
        <v>1945712.88</v>
      </c>
      <c r="BT117" s="129">
        <v>1874014.5211863993</v>
      </c>
      <c r="BU117" s="129">
        <v>1782123.1749999998</v>
      </c>
      <c r="BV117" s="129">
        <v>2198813</v>
      </c>
      <c r="BW117" s="129">
        <v>3353078.0069491006</v>
      </c>
      <c r="BX117" s="129">
        <v>2106379</v>
      </c>
      <c r="BY117" s="129">
        <v>2554944</v>
      </c>
      <c r="BZ117" s="129">
        <v>2911400</v>
      </c>
      <c r="CA117" s="129">
        <v>2741548</v>
      </c>
      <c r="CB117" s="129">
        <v>2560353</v>
      </c>
      <c r="CC117" s="129">
        <v>2541604</v>
      </c>
      <c r="CD117" s="129">
        <v>2544354</v>
      </c>
      <c r="CE117" s="129">
        <v>2128897</v>
      </c>
      <c r="CF117" s="129">
        <v>2784130</v>
      </c>
      <c r="CG117" s="129">
        <v>2530995</v>
      </c>
      <c r="CH117" s="129">
        <v>3446659</v>
      </c>
      <c r="CI117" s="129">
        <v>3885350</v>
      </c>
      <c r="CJ117" s="129">
        <v>3219142</v>
      </c>
      <c r="CK117" s="129">
        <v>3605094</v>
      </c>
      <c r="CL117" s="129">
        <f>'P&amp;L - Inputs'!CT264</f>
        <v>3287544.6079222676</v>
      </c>
      <c r="CM117" s="129">
        <f>'P&amp;L - Inputs'!CU264</f>
        <v>3321004.1104057883</v>
      </c>
      <c r="CN117" s="129">
        <f>'P&amp;L - Inputs'!CV264</f>
        <v>3318628.2877442366</v>
      </c>
      <c r="CO117" s="129">
        <f>'P&amp;L - Inputs'!CW264</f>
        <v>3368718.5488586198</v>
      </c>
      <c r="CP117" s="129">
        <f>'P&amp;L - Inputs'!CX264</f>
        <v>3174297.0610549659</v>
      </c>
      <c r="CQ117" s="129">
        <f>'P&amp;L - Inputs'!CY264</f>
        <v>3472462.8050797139</v>
      </c>
      <c r="CR117" s="129">
        <f>'P&amp;L - Inputs'!CZ264</f>
        <v>3376439.9725086628</v>
      </c>
      <c r="CS117" s="129">
        <f>'P&amp;L - Inputs'!DA264</f>
        <v>3384359.3813805021</v>
      </c>
      <c r="CT117" s="129">
        <f>'P&amp;L - Inputs'!DB264</f>
        <v>4154323.9089450729</v>
      </c>
      <c r="CU117" s="129">
        <f>'P&amp;L - Inputs'!DC264</f>
        <v>4476247.8795853378</v>
      </c>
      <c r="CV117" s="129">
        <f>'P&amp;L - Inputs'!DD264</f>
        <v>3837547.5540715032</v>
      </c>
      <c r="CW117" s="129">
        <f>'P&amp;L - Inputs'!DE264</f>
        <v>4146800.4705168251</v>
      </c>
      <c r="CX117" s="129">
        <f>'P&amp;L - Inputs'!DF264</f>
        <v>3969710.1140661379</v>
      </c>
      <c r="CY117" s="129">
        <f>'P&amp;L - Inputs'!DG264</f>
        <v>4010112.4633149891</v>
      </c>
      <c r="CZ117" s="129">
        <f>'P&amp;L - Inputs'!DH264</f>
        <v>4007243.6574511654</v>
      </c>
      <c r="DA117" s="129">
        <f>'P&amp;L - Inputs'!DI264</f>
        <v>4067727.6477467832</v>
      </c>
      <c r="DB117" s="129">
        <f>'P&amp;L - Inputs'!DJ264</f>
        <v>3832963.7012238712</v>
      </c>
      <c r="DC117" s="129">
        <f>'P&amp;L - Inputs'!DK264</f>
        <v>4192998.837133754</v>
      </c>
      <c r="DD117" s="129">
        <f>'P&amp;L - Inputs'!DL264</f>
        <v>4077051.2668042104</v>
      </c>
      <c r="DE117" s="129">
        <f>'P&amp;L - Inputs'!DM264</f>
        <v>4086613.9530169563</v>
      </c>
      <c r="DF117" s="129">
        <f>'P&amp;L - Inputs'!DN264</f>
        <v>5016346.1200511744</v>
      </c>
      <c r="DG117" s="129">
        <f>'P&amp;L - Inputs'!DO264</f>
        <v>5405069.3145992951</v>
      </c>
      <c r="DH117" s="129">
        <f>'P&amp;L - Inputs'!DP264</f>
        <v>4633838.6715413397</v>
      </c>
      <c r="DI117" s="129">
        <f>'P&amp;L - Inputs'!DQ264</f>
        <v>5007261.5681490665</v>
      </c>
      <c r="DJ117" s="129">
        <f>'P&amp;L - Inputs'!DR264</f>
        <v>4565166.6311760582</v>
      </c>
      <c r="DK117" s="129">
        <f>'P&amp;L - Inputs'!DS264</f>
        <v>4611629.3328122366</v>
      </c>
      <c r="DL117" s="129">
        <f>'P&amp;L - Inputs'!DT264</f>
        <v>4608330.2060688408</v>
      </c>
      <c r="DM117" s="129">
        <f>'P&amp;L - Inputs'!DU264</f>
        <v>4677886.7949088011</v>
      </c>
      <c r="DN117" s="129">
        <f>'P&amp;L - Inputs'!DV264</f>
        <v>4407908.2564074509</v>
      </c>
      <c r="DO117" s="129">
        <f>'P&amp;L - Inputs'!DW264</f>
        <v>4821948.6627038168</v>
      </c>
      <c r="DP117" s="129">
        <f>'P&amp;L - Inputs'!DX264</f>
        <v>4688608.956824841</v>
      </c>
      <c r="DQ117" s="129">
        <f>'P&amp;L - Inputs'!DY264</f>
        <v>4699606.0459694983</v>
      </c>
      <c r="DR117" s="129">
        <f>'P&amp;L - Inputs'!DZ264</f>
        <v>5768798.0380588509</v>
      </c>
      <c r="DS117" s="129">
        <f>'P&amp;L - Inputs'!EA264</f>
        <v>6215829.7117891898</v>
      </c>
      <c r="DT117" s="129">
        <f>'P&amp;L - Inputs'!EB264</f>
        <v>5328914.4722725395</v>
      </c>
      <c r="DU117" s="129">
        <f>'P&amp;L - Inputs'!EC264</f>
        <v>5758350.8033714257</v>
      </c>
      <c r="DW117" s="129">
        <f t="shared" si="410"/>
        <v>6245915</v>
      </c>
      <c r="DX117" s="663">
        <f t="shared" si="411"/>
        <v>6392322</v>
      </c>
      <c r="DY117" s="129">
        <f t="shared" si="412"/>
        <v>8340604</v>
      </c>
      <c r="DZ117" s="129">
        <f t="shared" si="413"/>
        <v>6406289</v>
      </c>
      <c r="EA117" s="129">
        <f t="shared" si="414"/>
        <v>6947477</v>
      </c>
      <c r="EB117" s="129">
        <f t="shared" si="415"/>
        <v>5630881.7599999998</v>
      </c>
      <c r="EC117" s="129">
        <f t="shared" si="416"/>
        <v>5854950.6961863991</v>
      </c>
      <c r="ED117" s="129">
        <f t="shared" si="417"/>
        <v>8014401.0069491006</v>
      </c>
      <c r="EE117" s="129">
        <f t="shared" si="418"/>
        <v>8213301</v>
      </c>
      <c r="EF117" s="129">
        <f t="shared" si="419"/>
        <v>7214855</v>
      </c>
      <c r="EG117" s="129">
        <f t="shared" si="420"/>
        <v>8761784</v>
      </c>
      <c r="EH117" s="129">
        <f t="shared" si="421"/>
        <v>10709586</v>
      </c>
      <c r="EI117" s="129">
        <f t="shared" si="422"/>
        <v>9927177.0060722921</v>
      </c>
      <c r="EJ117" s="129">
        <f t="shared" si="423"/>
        <v>10015478.414993299</v>
      </c>
      <c r="EK117" s="129">
        <f t="shared" si="424"/>
        <v>10915123.262834238</v>
      </c>
      <c r="EL117" s="129">
        <f t="shared" si="425"/>
        <v>12460595.904173667</v>
      </c>
      <c r="EM117" s="129">
        <f t="shared" si="426"/>
        <v>11987066.234832292</v>
      </c>
      <c r="EN117" s="129">
        <f t="shared" si="427"/>
        <v>12093690.186104409</v>
      </c>
      <c r="EO117" s="644">
        <f t="shared" si="428"/>
        <v>13180011.339872342</v>
      </c>
      <c r="EP117" s="129">
        <f t="shared" si="429"/>
        <v>15046169.554289702</v>
      </c>
      <c r="EQ117" s="129">
        <f t="shared" si="430"/>
        <v>13785126.170057137</v>
      </c>
      <c r="ER117" s="129">
        <f t="shared" si="431"/>
        <v>13907743.71402007</v>
      </c>
      <c r="ES117" s="129">
        <f t="shared" si="432"/>
        <v>15157013.040853191</v>
      </c>
      <c r="ET117" s="129">
        <f t="shared" si="433"/>
        <v>17303094.987433154</v>
      </c>
      <c r="EV117" s="129">
        <f t="shared" si="434"/>
        <v>27385130</v>
      </c>
      <c r="EW117" s="129">
        <f t="shared" si="435"/>
        <v>26447710.4631355</v>
      </c>
      <c r="EX117" s="129">
        <f t="shared" si="436"/>
        <v>34899526</v>
      </c>
      <c r="EY117" s="129">
        <f t="shared" si="437"/>
        <v>43318374.588073492</v>
      </c>
      <c r="EZ117" s="129">
        <f t="shared" si="438"/>
        <v>52306937.315098748</v>
      </c>
      <c r="FA117" s="663">
        <f t="shared" si="439"/>
        <v>60152977.912363544</v>
      </c>
    </row>
    <row r="118" spans="2:157" x14ac:dyDescent="0.2">
      <c r="B118" s="135" t="s">
        <v>148</v>
      </c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9"/>
      <c r="AN118" s="129"/>
      <c r="AO118" s="129"/>
      <c r="AP118" s="129"/>
      <c r="AQ118" s="129"/>
      <c r="AR118" s="129"/>
      <c r="AS118" s="129"/>
      <c r="AT118" s="129"/>
      <c r="AU118" s="129"/>
      <c r="AV118" s="129">
        <v>0</v>
      </c>
      <c r="AW118" s="129">
        <v>0</v>
      </c>
      <c r="AX118" s="129">
        <v>0</v>
      </c>
      <c r="AY118" s="129">
        <v>0</v>
      </c>
      <c r="AZ118" s="129">
        <v>1751049</v>
      </c>
      <c r="BA118" s="129">
        <v>6345057.6551724141</v>
      </c>
      <c r="BB118" s="129">
        <v>6169164</v>
      </c>
      <c r="BC118" s="129">
        <v>4057001</v>
      </c>
      <c r="BD118" s="129">
        <v>4873806</v>
      </c>
      <c r="BE118" s="129">
        <v>4338714</v>
      </c>
      <c r="BF118" s="129">
        <v>3903055</v>
      </c>
      <c r="BG118" s="129">
        <v>5060419</v>
      </c>
      <c r="BH118" s="129">
        <v>8551741</v>
      </c>
      <c r="BI118" s="129">
        <v>3636347</v>
      </c>
      <c r="BJ118" s="129">
        <v>1846395</v>
      </c>
      <c r="BK118" s="129">
        <v>1907101</v>
      </c>
      <c r="BL118" s="129">
        <v>1799714</v>
      </c>
      <c r="BM118" s="129">
        <v>2371784</v>
      </c>
      <c r="BN118" s="129">
        <v>2032100</v>
      </c>
      <c r="BO118" s="129">
        <v>3534065</v>
      </c>
      <c r="BP118" s="129">
        <v>6214618</v>
      </c>
      <c r="BQ118" s="129">
        <v>7323086</v>
      </c>
      <c r="BR118" s="129">
        <v>5400553</v>
      </c>
      <c r="BS118" s="129">
        <v>5067215.6101695001</v>
      </c>
      <c r="BT118" s="129">
        <v>5790256.1988136005</v>
      </c>
      <c r="BU118" s="129">
        <v>6441011</v>
      </c>
      <c r="BV118" s="129">
        <v>5843336</v>
      </c>
      <c r="BW118" s="129">
        <v>4707460</v>
      </c>
      <c r="BX118" s="129">
        <v>2854584</v>
      </c>
      <c r="BY118" s="129">
        <v>8466927</v>
      </c>
      <c r="BZ118" s="129">
        <v>6924316</v>
      </c>
      <c r="CA118" s="129">
        <v>7435223</v>
      </c>
      <c r="CB118" s="129">
        <v>8173857</v>
      </c>
      <c r="CC118" s="129">
        <v>5786793</v>
      </c>
      <c r="CD118" s="129">
        <v>4334258</v>
      </c>
      <c r="CE118" s="129">
        <v>5942944.2282299995</v>
      </c>
      <c r="CF118" s="129">
        <v>5139227.4479999989</v>
      </c>
      <c r="CG118" s="129">
        <v>5396341.0106000006</v>
      </c>
      <c r="CH118" s="129">
        <v>6289048.8649999993</v>
      </c>
      <c r="CI118" s="129">
        <v>7773952.3206400005</v>
      </c>
      <c r="CJ118" s="129">
        <v>6774355.4477599999</v>
      </c>
      <c r="CK118" s="129">
        <v>7702395.1414499991</v>
      </c>
      <c r="CL118" s="129">
        <f>'P&amp;L - Inputs'!CT265</f>
        <v>7162278.6117616305</v>
      </c>
      <c r="CM118" s="129">
        <f>'P&amp;L - Inputs'!CU265</f>
        <v>7235173.8291893741</v>
      </c>
      <c r="CN118" s="129">
        <f>'P&amp;L - Inputs'!CV265</f>
        <v>7229997.8374193581</v>
      </c>
      <c r="CO118" s="129">
        <f>'P&amp;L - Inputs'!CW265</f>
        <v>7339124.997237226</v>
      </c>
      <c r="CP118" s="129">
        <f>'P&amp;L - Inputs'!CX265</f>
        <v>6915556.3373907981</v>
      </c>
      <c r="CQ118" s="129">
        <f>'P&amp;L - Inputs'!CY265</f>
        <v>7565143.3045279849</v>
      </c>
      <c r="CR118" s="129">
        <f>'P&amp;L - Inputs'!CZ265</f>
        <v>7355946.9704897823</v>
      </c>
      <c r="CS118" s="129">
        <f>'P&amp;L - Inputs'!DA265</f>
        <v>7373200.2763898391</v>
      </c>
      <c r="CT118" s="129">
        <f>'P&amp;L - Inputs'!DB265</f>
        <v>9050652.9425229896</v>
      </c>
      <c r="CU118" s="129">
        <f>'P&amp;L - Inputs'!DC265</f>
        <v>9751999.8273603525</v>
      </c>
      <c r="CV118" s="129">
        <f>'P&amp;L - Inputs'!DD265</f>
        <v>8360520.7065206654</v>
      </c>
      <c r="CW118" s="129">
        <f>'P&amp;L - Inputs'!DE265</f>
        <v>9034262.3019179348</v>
      </c>
      <c r="CX118" s="129">
        <f>'P&amp;L - Inputs'!DF265</f>
        <v>8483719.0156316515</v>
      </c>
      <c r="CY118" s="129">
        <f>'P&amp;L - Inputs'!DG265</f>
        <v>8570063.4006748144</v>
      </c>
      <c r="CZ118" s="129">
        <f>'P&amp;L - Inputs'!DH265</f>
        <v>8563932.4384232294</v>
      </c>
      <c r="DA118" s="129">
        <f>'P&amp;L - Inputs'!DI265</f>
        <v>8693193.5592274927</v>
      </c>
      <c r="DB118" s="129">
        <f>'P&amp;L - Inputs'!DJ265</f>
        <v>8191476.4816393992</v>
      </c>
      <c r="DC118" s="129">
        <f>'P&amp;L - Inputs'!DK265</f>
        <v>8960912.2442133985</v>
      </c>
      <c r="DD118" s="129">
        <f>'P&amp;L - Inputs'!DL265</f>
        <v>8713119.1865451466</v>
      </c>
      <c r="DE118" s="129">
        <f>'P&amp;L - Inputs'!DM265</f>
        <v>8733555.7273837663</v>
      </c>
      <c r="DF118" s="129">
        <f>'P&amp;L - Inputs'!DN265</f>
        <v>10720498.410418482</v>
      </c>
      <c r="DG118" s="129">
        <f>'P&amp;L - Inputs'!DO265</f>
        <v>11551243.79550834</v>
      </c>
      <c r="DH118" s="129">
        <f>'P&amp;L - Inputs'!DP265</f>
        <v>9903036.7768737283</v>
      </c>
      <c r="DI118" s="129">
        <f>'P&amp;L - Inputs'!DQ265</f>
        <v>10701083.696621794</v>
      </c>
      <c r="DJ118" s="129">
        <f>'P&amp;L - Inputs'!DR265</f>
        <v>10048965.174015688</v>
      </c>
      <c r="DK118" s="129">
        <f>'P&amp;L - Inputs'!DS265</f>
        <v>10151240.098099317</v>
      </c>
      <c r="DL118" s="129">
        <f>'P&amp;L - Inputs'!DT265</f>
        <v>10143977.973312315</v>
      </c>
      <c r="DM118" s="129">
        <f>'P&amp;L - Inputs'!DU265</f>
        <v>10297087.770904966</v>
      </c>
      <c r="DN118" s="129">
        <f>'P&amp;L - Inputs'!DV265</f>
        <v>9702803.8925018702</v>
      </c>
      <c r="DO118" s="129">
        <f>'P&amp;L - Inputs'!DW265</f>
        <v>10614200.553270774</v>
      </c>
      <c r="DP118" s="129">
        <f>'P&amp;L - Inputs'!DX265</f>
        <v>10320689.676462725</v>
      </c>
      <c r="DQ118" s="129">
        <f>'P&amp;L - Inputs'!DY265</f>
        <v>10344896.759086069</v>
      </c>
      <c r="DR118" s="129">
        <f>'P&amp;L - Inputs'!DZ265</f>
        <v>12698430.367140694</v>
      </c>
      <c r="DS118" s="129">
        <f>'P&amp;L - Inputs'!EA265</f>
        <v>13682448.275779629</v>
      </c>
      <c r="DT118" s="129">
        <f>'P&amp;L - Inputs'!EB265</f>
        <v>11730147.062206931</v>
      </c>
      <c r="DU118" s="129">
        <f>'P&amp;L - Inputs'!EC265</f>
        <v>12675433.638648517</v>
      </c>
      <c r="DW118" s="129">
        <f t="shared" si="410"/>
        <v>15099971</v>
      </c>
      <c r="DX118" s="663">
        <f t="shared" si="411"/>
        <v>13302188</v>
      </c>
      <c r="DY118" s="129">
        <f t="shared" si="412"/>
        <v>14034483</v>
      </c>
      <c r="DZ118" s="129">
        <f t="shared" si="413"/>
        <v>6078599</v>
      </c>
      <c r="EA118" s="129">
        <f t="shared" si="414"/>
        <v>11780783</v>
      </c>
      <c r="EB118" s="129">
        <f t="shared" si="415"/>
        <v>17790854.6101695</v>
      </c>
      <c r="EC118" s="129">
        <f t="shared" si="416"/>
        <v>18074603.198813602</v>
      </c>
      <c r="ED118" s="129">
        <f t="shared" si="417"/>
        <v>16028971</v>
      </c>
      <c r="EE118" s="129">
        <f t="shared" si="418"/>
        <v>22533396</v>
      </c>
      <c r="EF118" s="129">
        <f t="shared" si="419"/>
        <v>16063995.22823</v>
      </c>
      <c r="EG118" s="129">
        <f t="shared" si="420"/>
        <v>16824617.323599998</v>
      </c>
      <c r="EH118" s="129">
        <f t="shared" si="421"/>
        <v>22250702.909850001</v>
      </c>
      <c r="EI118" s="129">
        <f t="shared" si="422"/>
        <v>21627450.278370362</v>
      </c>
      <c r="EJ118" s="129">
        <f t="shared" si="423"/>
        <v>21819824.639156006</v>
      </c>
      <c r="EK118" s="129">
        <f t="shared" si="424"/>
        <v>23779800.18940261</v>
      </c>
      <c r="EL118" s="129">
        <f t="shared" si="425"/>
        <v>27146782.835798949</v>
      </c>
      <c r="EM118" s="129">
        <f t="shared" si="426"/>
        <v>25617714.854729697</v>
      </c>
      <c r="EN118" s="129">
        <f t="shared" si="427"/>
        <v>25845582.285080291</v>
      </c>
      <c r="EO118" s="644">
        <f t="shared" si="428"/>
        <v>28167173.324347392</v>
      </c>
      <c r="EP118" s="129">
        <f t="shared" si="429"/>
        <v>32155364.269003864</v>
      </c>
      <c r="EQ118" s="129">
        <f t="shared" si="430"/>
        <v>30344183.245427322</v>
      </c>
      <c r="ER118" s="129">
        <f t="shared" si="431"/>
        <v>30614092.216677606</v>
      </c>
      <c r="ES118" s="129">
        <f t="shared" si="432"/>
        <v>33364016.802689485</v>
      </c>
      <c r="ET118" s="129">
        <f t="shared" si="433"/>
        <v>38088028.976635076</v>
      </c>
      <c r="EV118" s="129">
        <f t="shared" si="434"/>
        <v>48515241</v>
      </c>
      <c r="EW118" s="129">
        <f t="shared" si="435"/>
        <v>63675211.808983102</v>
      </c>
      <c r="EX118" s="129">
        <f t="shared" si="436"/>
        <v>77672711.461679995</v>
      </c>
      <c r="EY118" s="129">
        <f t="shared" si="437"/>
        <v>94373857.942727923</v>
      </c>
      <c r="EZ118" s="129">
        <f t="shared" si="438"/>
        <v>111785834.73316124</v>
      </c>
      <c r="FA118" s="663">
        <f t="shared" si="439"/>
        <v>132410321.24142948</v>
      </c>
    </row>
    <row r="119" spans="2:157" x14ac:dyDescent="0.2">
      <c r="B119" s="135" t="s">
        <v>149</v>
      </c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29">
        <v>101035.53600000001</v>
      </c>
      <c r="AB119" s="129">
        <v>85927.728000000003</v>
      </c>
      <c r="AC119" s="129">
        <v>127330.32</v>
      </c>
      <c r="AD119" s="129">
        <v>87079.991999999998</v>
      </c>
      <c r="AE119" s="129">
        <v>86424.451199999981</v>
      </c>
      <c r="AF119" s="129">
        <v>119696.92439999989</v>
      </c>
      <c r="AG119" s="129">
        <v>132852.19200000001</v>
      </c>
      <c r="AH119" s="129">
        <v>130588.92</v>
      </c>
      <c r="AI119" s="129">
        <v>176526.87000000002</v>
      </c>
      <c r="AJ119" s="129">
        <v>85737.390700000018</v>
      </c>
      <c r="AK119" s="129">
        <v>350546.14270000003</v>
      </c>
      <c r="AL119" s="129">
        <v>383056.46600000001</v>
      </c>
      <c r="AM119" s="129">
        <v>597942.01558000012</v>
      </c>
      <c r="AN119" s="129">
        <v>647995.89400000009</v>
      </c>
      <c r="AO119" s="129">
        <v>495555.42920000001</v>
      </c>
      <c r="AP119" s="129">
        <v>488083.65371999983</v>
      </c>
      <c r="AQ119" s="129">
        <v>617998.99511999998</v>
      </c>
      <c r="AR119" s="129">
        <v>1020789.5802000002</v>
      </c>
      <c r="AS119" s="129">
        <v>848525.05608001095</v>
      </c>
      <c r="AT119" s="129">
        <v>596303.30396000249</v>
      </c>
      <c r="AU119" s="129">
        <v>635969.26770000276</v>
      </c>
      <c r="AV119" s="129">
        <v>1270063.2076600047</v>
      </c>
      <c r="AW119" s="129">
        <v>983558.70236000011</v>
      </c>
      <c r="AX119" s="129">
        <v>921553.49468000606</v>
      </c>
      <c r="AY119" s="129">
        <v>941398.81360000721</v>
      </c>
      <c r="AZ119" s="129">
        <v>1355065.264200005</v>
      </c>
      <c r="BA119" s="129">
        <v>2496772.1050000167</v>
      </c>
      <c r="BB119" s="129">
        <v>1605967.7233940253</v>
      </c>
      <c r="BC119" s="129">
        <v>2046766</v>
      </c>
      <c r="BD119" s="129">
        <v>2046766</v>
      </c>
      <c r="BE119" s="129">
        <v>1546766</v>
      </c>
      <c r="BF119" s="129">
        <v>1646766</v>
      </c>
      <c r="BG119" s="129">
        <v>1346766</v>
      </c>
      <c r="BH119" s="129">
        <v>2905340.2425189591</v>
      </c>
      <c r="BI119" s="129">
        <v>2171714.5479767071</v>
      </c>
      <c r="BJ119" s="129">
        <v>2399860.4412834514</v>
      </c>
      <c r="BK119" s="129">
        <v>3943139.1552863438</v>
      </c>
      <c r="BL119" s="129">
        <v>4221641.0388376769</v>
      </c>
      <c r="BM119" s="129">
        <v>4818420.7252479242</v>
      </c>
      <c r="BN119" s="129">
        <v>3448661.9027755195</v>
      </c>
      <c r="BO119" s="129">
        <v>3462505.5341013824</v>
      </c>
      <c r="BP119" s="129">
        <v>2980446.0456233402</v>
      </c>
      <c r="BQ119" s="129">
        <v>3795176.6663414631</v>
      </c>
      <c r="BR119" s="129">
        <v>2920878.2370672096</v>
      </c>
      <c r="BS119" s="129">
        <v>3060774.5051458972</v>
      </c>
      <c r="BT119" s="129">
        <v>3796286.2067727041</v>
      </c>
      <c r="BU119" s="129">
        <v>2371157.532319874</v>
      </c>
      <c r="BV119" s="129">
        <v>2367533.8084349595</v>
      </c>
      <c r="BW119" s="129">
        <v>2660784.0345525332</v>
      </c>
      <c r="BX119" s="129">
        <v>2279560.9543916606</v>
      </c>
      <c r="BY119" s="129">
        <v>4275710.0300316811</v>
      </c>
      <c r="BZ119" s="129">
        <v>4256566.7370888479</v>
      </c>
      <c r="CA119" s="129">
        <v>4183271.6423561769</v>
      </c>
      <c r="CB119" s="129">
        <v>4824940.4403820038</v>
      </c>
      <c r="CC119" s="129">
        <v>4991465.3791289097</v>
      </c>
      <c r="CD119" s="129">
        <v>3402275.288579748</v>
      </c>
      <c r="CE119" s="129">
        <v>5403376.85413488</v>
      </c>
      <c r="CF119" s="129">
        <v>6214175.1403349284</v>
      </c>
      <c r="CG119" s="129">
        <v>4609337.1315890849</v>
      </c>
      <c r="CH119" s="129">
        <v>5879546.4248554911</v>
      </c>
      <c r="CI119" s="129">
        <v>4724671.0823369566</v>
      </c>
      <c r="CJ119" s="129">
        <v>4389420.9944172958</v>
      </c>
      <c r="CK119" s="129">
        <v>6601121.6368329562</v>
      </c>
      <c r="CL119" s="129">
        <f>'P&amp;L - Inputs'!CT266</f>
        <v>5484726.005565851</v>
      </c>
      <c r="CM119" s="129">
        <f>'P&amp;L - Inputs'!CU266</f>
        <v>5540547.667411115</v>
      </c>
      <c r="CN119" s="129">
        <f>'P&amp;L - Inputs'!CV266</f>
        <v>5536583.99911441</v>
      </c>
      <c r="CO119" s="129">
        <f>'P&amp;L - Inputs'!CW266</f>
        <v>5620151.3390366128</v>
      </c>
      <c r="CP119" s="129">
        <f>'P&amp;L - Inputs'!CX266</f>
        <v>5295791.1500895675</v>
      </c>
      <c r="CQ119" s="129">
        <f>'P&amp;L - Inputs'!CY266</f>
        <v>5793231.5213260716</v>
      </c>
      <c r="CR119" s="129">
        <f>'P&amp;L - Inputs'!CZ266</f>
        <v>5633033.2610009033</v>
      </c>
      <c r="CS119" s="129">
        <f>'P&amp;L - Inputs'!DA266</f>
        <v>5646245.488656586</v>
      </c>
      <c r="CT119" s="129">
        <f>'P&amp;L - Inputs'!DB266</f>
        <v>6930804.322480469</v>
      </c>
      <c r="CU119" s="129">
        <f>'P&amp;L - Inputs'!DC266</f>
        <v>7467881.3766840268</v>
      </c>
      <c r="CV119" s="129">
        <f>'P&amp;L - Inputs'!DD266</f>
        <v>6402315.2162531065</v>
      </c>
      <c r="CW119" s="129">
        <f>'P&amp;L - Inputs'!DE266</f>
        <v>6918252.7062075688</v>
      </c>
      <c r="CX119" s="129">
        <f>'P&amp;L - Inputs'!DF266</f>
        <v>6496657.9535927484</v>
      </c>
      <c r="CY119" s="129">
        <f>'P&amp;L - Inputs'!DG266</f>
        <v>6562778.7120484645</v>
      </c>
      <c r="CZ119" s="129">
        <f>'P&amp;L - Inputs'!DH266</f>
        <v>6558083.7469510175</v>
      </c>
      <c r="DA119" s="129">
        <f>'P&amp;L - Inputs'!DI266</f>
        <v>6657069.2610888649</v>
      </c>
      <c r="DB119" s="129">
        <f>'P&amp;L - Inputs'!DJ266</f>
        <v>6272864.6172810905</v>
      </c>
      <c r="DC119" s="129">
        <f>'P&amp;L - Inputs'!DK266</f>
        <v>6862082.7370107304</v>
      </c>
      <c r="DD119" s="129">
        <f>'P&amp;L - Inputs'!DL266</f>
        <v>6672327.8976555672</v>
      </c>
      <c r="DE119" s="129">
        <f>'P&amp;L - Inputs'!DM266</f>
        <v>6687977.7813137257</v>
      </c>
      <c r="DF119" s="129">
        <f>'P&amp;L - Inputs'!DN266</f>
        <v>8209537.7199781155</v>
      </c>
      <c r="DG119" s="129">
        <f>'P&amp;L - Inputs'!DO266</f>
        <v>8845705.4906822294</v>
      </c>
      <c r="DH119" s="129">
        <f>'P&amp;L - Inputs'!DP266</f>
        <v>7583542.3736518035</v>
      </c>
      <c r="DI119" s="129">
        <f>'P&amp;L - Inputs'!DQ266</f>
        <v>8194670.3305028649</v>
      </c>
      <c r="DJ119" s="129">
        <f>'P&amp;L - Inputs'!DR266</f>
        <v>7695291.3460306078</v>
      </c>
      <c r="DK119" s="129">
        <f>'P&amp;L - Inputs'!DS266</f>
        <v>7773611.3844214054</v>
      </c>
      <c r="DL119" s="129">
        <f>'P&amp;L - Inputs'!DT266</f>
        <v>7768050.1982634785</v>
      </c>
      <c r="DM119" s="129">
        <f>'P&amp;L - Inputs'!DU266</f>
        <v>7885298.5397597589</v>
      </c>
      <c r="DN119" s="129">
        <f>'P&amp;L - Inputs'!DV266</f>
        <v>7430208.1391694518</v>
      </c>
      <c r="DO119" s="129">
        <f>'P&amp;L - Inputs'!DW266</f>
        <v>8128137.00198921</v>
      </c>
      <c r="DP119" s="129">
        <f>'P&amp;L - Inputs'!DX266</f>
        <v>7903372.3947730176</v>
      </c>
      <c r="DQ119" s="129">
        <f>'P&amp;L - Inputs'!DY266</f>
        <v>7921909.6819661055</v>
      </c>
      <c r="DR119" s="129">
        <f>'P&amp;L - Inputs'!DZ266</f>
        <v>9724197.4293140769</v>
      </c>
      <c r="DS119" s="129">
        <f>'P&amp;L - Inputs'!EA266</f>
        <v>10477738.153713102</v>
      </c>
      <c r="DT119" s="129">
        <f>'P&amp;L - Inputs'!EB266</f>
        <v>8982705.9415905625</v>
      </c>
      <c r="DU119" s="129">
        <f>'P&amp;L - Inputs'!EC266</f>
        <v>9706587.0064806454</v>
      </c>
      <c r="DW119" s="129">
        <f t="shared" si="410"/>
        <v>5699499.7233940251</v>
      </c>
      <c r="DX119" s="663">
        <f t="shared" si="411"/>
        <v>4540298</v>
      </c>
      <c r="DY119" s="129">
        <f t="shared" si="412"/>
        <v>7476915.2317791171</v>
      </c>
      <c r="DZ119" s="129">
        <f t="shared" si="413"/>
        <v>12983200.919371944</v>
      </c>
      <c r="EA119" s="129">
        <f t="shared" si="414"/>
        <v>9891613.4825002421</v>
      </c>
      <c r="EB119" s="129">
        <f t="shared" si="415"/>
        <v>9776829.4085545689</v>
      </c>
      <c r="EC119" s="129">
        <f t="shared" si="416"/>
        <v>8534977.5475275367</v>
      </c>
      <c r="ED119" s="129">
        <f t="shared" si="417"/>
        <v>9216055.0189758744</v>
      </c>
      <c r="EE119" s="129">
        <f t="shared" si="418"/>
        <v>13264778.819827028</v>
      </c>
      <c r="EF119" s="129">
        <f t="shared" si="419"/>
        <v>13797117.521843538</v>
      </c>
      <c r="EG119" s="129">
        <f t="shared" si="420"/>
        <v>16703058.696779504</v>
      </c>
      <c r="EH119" s="129">
        <f t="shared" si="421"/>
        <v>15715213.71358721</v>
      </c>
      <c r="EI119" s="129">
        <f t="shared" si="422"/>
        <v>16561857.672091376</v>
      </c>
      <c r="EJ119" s="129">
        <f t="shared" si="423"/>
        <v>16709174.010452252</v>
      </c>
      <c r="EK119" s="129">
        <f t="shared" si="424"/>
        <v>18210083.072137959</v>
      </c>
      <c r="EL119" s="129">
        <f t="shared" si="425"/>
        <v>20788449.299144704</v>
      </c>
      <c r="EM119" s="129">
        <f t="shared" si="426"/>
        <v>19617520.412592232</v>
      </c>
      <c r="EN119" s="129">
        <f t="shared" si="427"/>
        <v>19792016.615380686</v>
      </c>
      <c r="EO119" s="644">
        <f t="shared" si="428"/>
        <v>21569843.39894741</v>
      </c>
      <c r="EP119" s="129">
        <f t="shared" si="429"/>
        <v>24623918.194836896</v>
      </c>
      <c r="EQ119" s="129">
        <f t="shared" si="430"/>
        <v>23236952.92871549</v>
      </c>
      <c r="ER119" s="129">
        <f t="shared" si="431"/>
        <v>23443643.680918418</v>
      </c>
      <c r="ES119" s="129">
        <f t="shared" si="432"/>
        <v>25549479.506053202</v>
      </c>
      <c r="ET119" s="129">
        <f t="shared" si="433"/>
        <v>29167031.101784308</v>
      </c>
      <c r="EV119" s="129">
        <f t="shared" si="434"/>
        <v>30699913.874545086</v>
      </c>
      <c r="EW119" s="129">
        <f t="shared" si="435"/>
        <v>37419475.457558222</v>
      </c>
      <c r="EX119" s="129">
        <f t="shared" si="436"/>
        <v>59480168.752037279</v>
      </c>
      <c r="EY119" s="129">
        <f t="shared" si="437"/>
        <v>72269564.053826287</v>
      </c>
      <c r="EZ119" s="129">
        <f t="shared" si="438"/>
        <v>85603298.621757224</v>
      </c>
      <c r="FA119" s="663">
        <f t="shared" si="439"/>
        <v>101397107.21747141</v>
      </c>
    </row>
    <row r="120" spans="2:157" x14ac:dyDescent="0.2">
      <c r="B120" s="135" t="s">
        <v>150</v>
      </c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29">
        <v>0</v>
      </c>
      <c r="AB120" s="129">
        <v>0</v>
      </c>
      <c r="AC120" s="129">
        <v>0</v>
      </c>
      <c r="AD120" s="129">
        <v>0</v>
      </c>
      <c r="AE120" s="129">
        <v>0</v>
      </c>
      <c r="AF120" s="129">
        <v>0</v>
      </c>
      <c r="AG120" s="129">
        <v>0</v>
      </c>
      <c r="AH120" s="129">
        <v>0</v>
      </c>
      <c r="AI120" s="129">
        <v>0</v>
      </c>
      <c r="AJ120" s="129">
        <v>0</v>
      </c>
      <c r="AK120" s="129">
        <v>0</v>
      </c>
      <c r="AL120" s="129">
        <v>0</v>
      </c>
      <c r="AM120" s="129">
        <v>0</v>
      </c>
      <c r="AN120" s="129">
        <v>0</v>
      </c>
      <c r="AO120" s="129">
        <v>0</v>
      </c>
      <c r="AP120" s="129">
        <v>0</v>
      </c>
      <c r="AQ120" s="129">
        <v>0</v>
      </c>
      <c r="AR120" s="129">
        <v>0</v>
      </c>
      <c r="AS120" s="129">
        <v>0</v>
      </c>
      <c r="AT120" s="129">
        <v>0</v>
      </c>
      <c r="AU120" s="129">
        <v>0</v>
      </c>
      <c r="AV120" s="129">
        <v>0</v>
      </c>
      <c r="AW120" s="129">
        <v>0</v>
      </c>
      <c r="AX120" s="129">
        <v>0</v>
      </c>
      <c r="AY120" s="129">
        <v>0</v>
      </c>
      <c r="AZ120" s="129">
        <v>0</v>
      </c>
      <c r="BA120" s="129">
        <v>0</v>
      </c>
      <c r="BB120" s="129">
        <v>0</v>
      </c>
      <c r="BC120" s="129">
        <v>0</v>
      </c>
      <c r="BD120" s="129">
        <v>0</v>
      </c>
      <c r="BE120" s="129">
        <v>0</v>
      </c>
      <c r="BF120" s="129">
        <v>0</v>
      </c>
      <c r="BG120" s="129">
        <v>0</v>
      </c>
      <c r="BH120" s="129">
        <v>0</v>
      </c>
      <c r="BI120" s="129">
        <v>0</v>
      </c>
      <c r="BJ120" s="129">
        <v>0</v>
      </c>
      <c r="BK120" s="129">
        <v>0</v>
      </c>
      <c r="BL120" s="129">
        <v>0</v>
      </c>
      <c r="BM120" s="129">
        <v>0</v>
      </c>
      <c r="BN120" s="129">
        <v>0</v>
      </c>
      <c r="BO120" s="129">
        <v>0</v>
      </c>
      <c r="BP120" s="129">
        <v>0</v>
      </c>
      <c r="BQ120" s="129">
        <v>0</v>
      </c>
      <c r="BR120" s="129">
        <v>0</v>
      </c>
      <c r="BS120" s="129">
        <v>0</v>
      </c>
      <c r="BT120" s="129">
        <v>0</v>
      </c>
      <c r="BU120" s="129">
        <v>0</v>
      </c>
      <c r="BV120" s="129">
        <v>0</v>
      </c>
      <c r="BW120" s="129">
        <v>0</v>
      </c>
      <c r="BX120" s="129">
        <v>0</v>
      </c>
      <c r="BY120" s="129">
        <v>0</v>
      </c>
      <c r="BZ120" s="129">
        <v>0</v>
      </c>
      <c r="CA120" s="129">
        <v>0</v>
      </c>
      <c r="CB120" s="129">
        <v>0</v>
      </c>
      <c r="CC120" s="129">
        <v>0</v>
      </c>
      <c r="CD120" s="129">
        <v>0</v>
      </c>
      <c r="CE120" s="129">
        <v>0</v>
      </c>
      <c r="CF120" s="129">
        <v>0</v>
      </c>
      <c r="CG120" s="129">
        <v>0</v>
      </c>
      <c r="CH120" s="129">
        <v>0</v>
      </c>
      <c r="CI120" s="129">
        <v>0</v>
      </c>
      <c r="CJ120" s="129">
        <v>0</v>
      </c>
      <c r="CK120" s="129">
        <v>0</v>
      </c>
      <c r="CL120" s="129">
        <f>'P&amp;L - Inputs'!CT267</f>
        <v>0</v>
      </c>
      <c r="CM120" s="129">
        <f>'P&amp;L - Inputs'!CU267</f>
        <v>0</v>
      </c>
      <c r="CN120" s="129">
        <f>'P&amp;L - Inputs'!CV267</f>
        <v>0</v>
      </c>
      <c r="CO120" s="129">
        <f>'P&amp;L - Inputs'!CW267</f>
        <v>0</v>
      </c>
      <c r="CP120" s="129">
        <f>'P&amp;L - Inputs'!CX267</f>
        <v>0</v>
      </c>
      <c r="CQ120" s="129">
        <f>'P&amp;L - Inputs'!CY267</f>
        <v>0</v>
      </c>
      <c r="CR120" s="129">
        <f>'P&amp;L - Inputs'!CZ267</f>
        <v>0</v>
      </c>
      <c r="CS120" s="129">
        <f>'P&amp;L - Inputs'!DA267</f>
        <v>0</v>
      </c>
      <c r="CT120" s="129">
        <f>'P&amp;L - Inputs'!DB267</f>
        <v>0</v>
      </c>
      <c r="CU120" s="129">
        <f>'P&amp;L - Inputs'!DC267</f>
        <v>0</v>
      </c>
      <c r="CV120" s="129">
        <f>'P&amp;L - Inputs'!DD267</f>
        <v>0</v>
      </c>
      <c r="CW120" s="129">
        <f>'P&amp;L - Inputs'!DE267</f>
        <v>0</v>
      </c>
      <c r="CX120" s="129">
        <f>'P&amp;L - Inputs'!DF267</f>
        <v>0</v>
      </c>
      <c r="CY120" s="129">
        <f>'P&amp;L - Inputs'!DG267</f>
        <v>0</v>
      </c>
      <c r="CZ120" s="129">
        <f>'P&amp;L - Inputs'!DH267</f>
        <v>0</v>
      </c>
      <c r="DA120" s="129">
        <f>'P&amp;L - Inputs'!DI267</f>
        <v>0</v>
      </c>
      <c r="DB120" s="129">
        <f>'P&amp;L - Inputs'!DJ267</f>
        <v>0</v>
      </c>
      <c r="DC120" s="129">
        <f>'P&amp;L - Inputs'!DK267</f>
        <v>0</v>
      </c>
      <c r="DD120" s="129">
        <f>'P&amp;L - Inputs'!DL267</f>
        <v>0</v>
      </c>
      <c r="DE120" s="129">
        <f>'P&amp;L - Inputs'!DM267</f>
        <v>0</v>
      </c>
      <c r="DF120" s="129">
        <f>'P&amp;L - Inputs'!DN267</f>
        <v>0</v>
      </c>
      <c r="DG120" s="129">
        <f>'P&amp;L - Inputs'!DO267</f>
        <v>0</v>
      </c>
      <c r="DH120" s="129">
        <f>'P&amp;L - Inputs'!DP267</f>
        <v>0</v>
      </c>
      <c r="DI120" s="129">
        <f>'P&amp;L - Inputs'!DQ267</f>
        <v>0</v>
      </c>
      <c r="DJ120" s="129">
        <f>'P&amp;L - Inputs'!DR267</f>
        <v>0</v>
      </c>
      <c r="DK120" s="129">
        <f>'P&amp;L - Inputs'!DS267</f>
        <v>0</v>
      </c>
      <c r="DL120" s="129">
        <f>'P&amp;L - Inputs'!DT267</f>
        <v>0</v>
      </c>
      <c r="DM120" s="129">
        <f>'P&amp;L - Inputs'!DU267</f>
        <v>0</v>
      </c>
      <c r="DN120" s="129">
        <f>'P&amp;L - Inputs'!DV267</f>
        <v>0</v>
      </c>
      <c r="DO120" s="129">
        <f>'P&amp;L - Inputs'!DW267</f>
        <v>0</v>
      </c>
      <c r="DP120" s="129">
        <f>'P&amp;L - Inputs'!DX267</f>
        <v>0</v>
      </c>
      <c r="DQ120" s="129">
        <f>'P&amp;L - Inputs'!DY267</f>
        <v>0</v>
      </c>
      <c r="DR120" s="129">
        <f>'P&amp;L - Inputs'!DZ267</f>
        <v>0</v>
      </c>
      <c r="DS120" s="129">
        <f>'P&amp;L - Inputs'!EA267</f>
        <v>0</v>
      </c>
      <c r="DT120" s="129">
        <f>'P&amp;L - Inputs'!EB267</f>
        <v>0</v>
      </c>
      <c r="DU120" s="129">
        <f>'P&amp;L - Inputs'!EC267</f>
        <v>0</v>
      </c>
      <c r="DW120" s="129">
        <f t="shared" si="410"/>
        <v>0</v>
      </c>
      <c r="DX120" s="663">
        <f t="shared" si="411"/>
        <v>0</v>
      </c>
      <c r="DY120" s="129">
        <f t="shared" si="412"/>
        <v>0</v>
      </c>
      <c r="DZ120" s="129">
        <f t="shared" si="413"/>
        <v>0</v>
      </c>
      <c r="EA120" s="129">
        <f t="shared" si="414"/>
        <v>0</v>
      </c>
      <c r="EB120" s="129">
        <f t="shared" si="415"/>
        <v>0</v>
      </c>
      <c r="EC120" s="129">
        <f t="shared" si="416"/>
        <v>0</v>
      </c>
      <c r="ED120" s="129">
        <f t="shared" si="417"/>
        <v>0</v>
      </c>
      <c r="EE120" s="129">
        <f t="shared" si="418"/>
        <v>0</v>
      </c>
      <c r="EF120" s="129">
        <f t="shared" si="419"/>
        <v>0</v>
      </c>
      <c r="EG120" s="129">
        <f t="shared" si="420"/>
        <v>0</v>
      </c>
      <c r="EH120" s="129">
        <f t="shared" si="421"/>
        <v>0</v>
      </c>
      <c r="EI120" s="129">
        <f t="shared" si="422"/>
        <v>0</v>
      </c>
      <c r="EJ120" s="129">
        <f t="shared" si="423"/>
        <v>0</v>
      </c>
      <c r="EK120" s="129">
        <f t="shared" si="424"/>
        <v>0</v>
      </c>
      <c r="EL120" s="129">
        <f t="shared" si="425"/>
        <v>0</v>
      </c>
      <c r="EM120" s="129">
        <f t="shared" si="426"/>
        <v>0</v>
      </c>
      <c r="EN120" s="129">
        <f t="shared" si="427"/>
        <v>0</v>
      </c>
      <c r="EO120" s="644">
        <f t="shared" si="428"/>
        <v>0</v>
      </c>
      <c r="EP120" s="129">
        <f t="shared" si="429"/>
        <v>0</v>
      </c>
      <c r="EQ120" s="129">
        <f t="shared" si="430"/>
        <v>0</v>
      </c>
      <c r="ER120" s="129">
        <f t="shared" si="431"/>
        <v>0</v>
      </c>
      <c r="ES120" s="129">
        <f t="shared" si="432"/>
        <v>0</v>
      </c>
      <c r="ET120" s="129">
        <f t="shared" si="433"/>
        <v>0</v>
      </c>
      <c r="EV120" s="129">
        <f t="shared" si="434"/>
        <v>0</v>
      </c>
      <c r="EW120" s="129">
        <f t="shared" si="435"/>
        <v>0</v>
      </c>
      <c r="EX120" s="129">
        <f t="shared" si="436"/>
        <v>0</v>
      </c>
      <c r="EY120" s="129">
        <f t="shared" si="437"/>
        <v>0</v>
      </c>
      <c r="EZ120" s="129">
        <f t="shared" si="438"/>
        <v>0</v>
      </c>
      <c r="FA120" s="663">
        <f t="shared" si="439"/>
        <v>0</v>
      </c>
    </row>
    <row r="121" spans="2:157" x14ac:dyDescent="0.2">
      <c r="B121" s="116" t="s">
        <v>133</v>
      </c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32">
        <f>SUM(AA122:AA127)</f>
        <v>2689138.4230428375</v>
      </c>
      <c r="AB121" s="132">
        <f t="shared" ref="AB121:CK121" si="440">SUM(AB122:AB127)</f>
        <v>1622918.4792141905</v>
      </c>
      <c r="AC121" s="132">
        <f t="shared" si="440"/>
        <v>2232068.1887798524</v>
      </c>
      <c r="AD121" s="132">
        <f t="shared" si="440"/>
        <v>1705902.1468088408</v>
      </c>
      <c r="AE121" s="132">
        <f t="shared" si="440"/>
        <v>1112806.4099676134</v>
      </c>
      <c r="AF121" s="132">
        <f t="shared" si="440"/>
        <v>1512316.2105822461</v>
      </c>
      <c r="AG121" s="132">
        <f t="shared" si="440"/>
        <v>1181371.7130387872</v>
      </c>
      <c r="AH121" s="132">
        <f t="shared" si="440"/>
        <v>534061.57551076007</v>
      </c>
      <c r="AI121" s="132">
        <f t="shared" si="440"/>
        <v>682574.26697076263</v>
      </c>
      <c r="AJ121" s="132">
        <f t="shared" si="440"/>
        <v>1478845.5876729824</v>
      </c>
      <c r="AK121" s="132">
        <f t="shared" si="440"/>
        <v>2818617.6629393743</v>
      </c>
      <c r="AL121" s="132">
        <f t="shared" si="440"/>
        <v>3271779.2960220799</v>
      </c>
      <c r="AM121" s="132">
        <f t="shared" si="440"/>
        <v>2994755.9788942533</v>
      </c>
      <c r="AN121" s="132">
        <f t="shared" si="440"/>
        <v>2094596.9753917146</v>
      </c>
      <c r="AO121" s="132">
        <f t="shared" si="440"/>
        <v>554556.20290966635</v>
      </c>
      <c r="AP121" s="132">
        <f t="shared" si="440"/>
        <v>365590.78591947979</v>
      </c>
      <c r="AQ121" s="132">
        <f t="shared" si="440"/>
        <v>903430.76438805077</v>
      </c>
      <c r="AR121" s="132">
        <f t="shared" si="440"/>
        <v>498873.0193710617</v>
      </c>
      <c r="AS121" s="132">
        <f t="shared" si="440"/>
        <v>965617.50713947066</v>
      </c>
      <c r="AT121" s="132">
        <f t="shared" si="440"/>
        <v>707199.35631991911</v>
      </c>
      <c r="AU121" s="132">
        <f t="shared" si="440"/>
        <v>1857236.4224901884</v>
      </c>
      <c r="AV121" s="132">
        <f t="shared" si="440"/>
        <v>1952568.3537687717</v>
      </c>
      <c r="AW121" s="132">
        <f t="shared" si="440"/>
        <v>1949488.2163389199</v>
      </c>
      <c r="AX121" s="132">
        <f t="shared" si="440"/>
        <v>1252368.0730340404</v>
      </c>
      <c r="AY121" s="132">
        <f t="shared" si="440"/>
        <v>983942.14958008798</v>
      </c>
      <c r="AZ121" s="132">
        <f t="shared" si="440"/>
        <v>1443770.2507438899</v>
      </c>
      <c r="BA121" s="132">
        <f t="shared" si="440"/>
        <v>2273616.8772446834</v>
      </c>
      <c r="BB121" s="132">
        <f t="shared" si="440"/>
        <v>1217422.7563389572</v>
      </c>
      <c r="BC121" s="132">
        <f t="shared" si="440"/>
        <v>0</v>
      </c>
      <c r="BD121" s="132">
        <f t="shared" si="440"/>
        <v>0</v>
      </c>
      <c r="BE121" s="132">
        <f t="shared" si="440"/>
        <v>0</v>
      </c>
      <c r="BF121" s="132">
        <f t="shared" si="440"/>
        <v>0</v>
      </c>
      <c r="BG121" s="132">
        <f t="shared" si="440"/>
        <v>0</v>
      </c>
      <c r="BH121" s="132">
        <f t="shared" si="440"/>
        <v>0</v>
      </c>
      <c r="BI121" s="132">
        <f t="shared" si="440"/>
        <v>0</v>
      </c>
      <c r="BJ121" s="132">
        <f t="shared" si="440"/>
        <v>0</v>
      </c>
      <c r="BK121" s="132">
        <f t="shared" si="440"/>
        <v>0</v>
      </c>
      <c r="BL121" s="132">
        <f t="shared" si="440"/>
        <v>0</v>
      </c>
      <c r="BM121" s="132">
        <f t="shared" si="440"/>
        <v>0</v>
      </c>
      <c r="BN121" s="132">
        <f t="shared" si="440"/>
        <v>0</v>
      </c>
      <c r="BO121" s="132">
        <f t="shared" si="440"/>
        <v>0</v>
      </c>
      <c r="BP121" s="132">
        <f t="shared" si="440"/>
        <v>0</v>
      </c>
      <c r="BQ121" s="132">
        <f t="shared" si="440"/>
        <v>0</v>
      </c>
      <c r="BR121" s="132">
        <f t="shared" si="440"/>
        <v>0</v>
      </c>
      <c r="BS121" s="132">
        <f t="shared" si="440"/>
        <v>0</v>
      </c>
      <c r="BT121" s="132">
        <f t="shared" si="440"/>
        <v>0</v>
      </c>
      <c r="BU121" s="132">
        <f t="shared" si="440"/>
        <v>0</v>
      </c>
      <c r="BV121" s="132">
        <f t="shared" si="440"/>
        <v>0</v>
      </c>
      <c r="BW121" s="132">
        <f t="shared" si="440"/>
        <v>0</v>
      </c>
      <c r="BX121" s="132">
        <f t="shared" si="440"/>
        <v>0</v>
      </c>
      <c r="BY121" s="132">
        <f t="shared" si="440"/>
        <v>0</v>
      </c>
      <c r="BZ121" s="132">
        <f t="shared" si="440"/>
        <v>0</v>
      </c>
      <c r="CA121" s="132">
        <f t="shared" si="440"/>
        <v>0</v>
      </c>
      <c r="CB121" s="132">
        <f t="shared" si="440"/>
        <v>0</v>
      </c>
      <c r="CC121" s="132">
        <f t="shared" si="440"/>
        <v>0</v>
      </c>
      <c r="CD121" s="132">
        <f t="shared" si="440"/>
        <v>0</v>
      </c>
      <c r="CE121" s="132">
        <f t="shared" si="440"/>
        <v>0</v>
      </c>
      <c r="CF121" s="132">
        <f t="shared" si="440"/>
        <v>0</v>
      </c>
      <c r="CG121" s="132">
        <f t="shared" si="440"/>
        <v>0</v>
      </c>
      <c r="CH121" s="132">
        <f t="shared" si="440"/>
        <v>0</v>
      </c>
      <c r="CI121" s="132">
        <f t="shared" si="440"/>
        <v>0</v>
      </c>
      <c r="CJ121" s="132">
        <f t="shared" si="440"/>
        <v>0</v>
      </c>
      <c r="CK121" s="132">
        <f t="shared" si="440"/>
        <v>0</v>
      </c>
      <c r="CL121" s="132">
        <f t="shared" ref="CL121" si="441">SUM(CL122:CL127)</f>
        <v>0</v>
      </c>
      <c r="CM121" s="132">
        <f t="shared" ref="CM121" si="442">SUM(CM122:CM127)</f>
        <v>0</v>
      </c>
      <c r="CN121" s="132">
        <f t="shared" ref="CN121" si="443">SUM(CN122:CN127)</f>
        <v>0</v>
      </c>
      <c r="CO121" s="132">
        <f t="shared" ref="CO121" si="444">SUM(CO122:CO127)</f>
        <v>0</v>
      </c>
      <c r="CP121" s="132">
        <f t="shared" ref="CP121" si="445">SUM(CP122:CP127)</f>
        <v>0</v>
      </c>
      <c r="CQ121" s="132">
        <f t="shared" ref="CQ121" si="446">SUM(CQ122:CQ127)</f>
        <v>0</v>
      </c>
      <c r="CR121" s="132">
        <f t="shared" ref="CR121" si="447">SUM(CR122:CR127)</f>
        <v>0</v>
      </c>
      <c r="CS121" s="132">
        <f t="shared" ref="CS121" si="448">SUM(CS122:CS127)</f>
        <v>0</v>
      </c>
      <c r="CT121" s="132">
        <f t="shared" ref="CT121" si="449">SUM(CT122:CT127)</f>
        <v>0</v>
      </c>
      <c r="CU121" s="132">
        <f t="shared" ref="CU121" si="450">SUM(CU122:CU127)</f>
        <v>0</v>
      </c>
      <c r="CV121" s="132">
        <f t="shared" ref="CV121" si="451">SUM(CV122:CV127)</f>
        <v>0</v>
      </c>
      <c r="CW121" s="132">
        <f t="shared" ref="CW121" si="452">SUM(CW122:CW127)</f>
        <v>0</v>
      </c>
      <c r="CX121" s="132">
        <f t="shared" ref="CX121" si="453">SUM(CX122:CX127)</f>
        <v>0</v>
      </c>
      <c r="CY121" s="132">
        <f t="shared" ref="CY121" si="454">SUM(CY122:CY127)</f>
        <v>0</v>
      </c>
      <c r="CZ121" s="132">
        <f t="shared" ref="CZ121" si="455">SUM(CZ122:CZ127)</f>
        <v>0</v>
      </c>
      <c r="DA121" s="132">
        <f t="shared" ref="DA121" si="456">SUM(DA122:DA127)</f>
        <v>0</v>
      </c>
      <c r="DB121" s="132">
        <f t="shared" ref="DB121" si="457">SUM(DB122:DB127)</f>
        <v>0</v>
      </c>
      <c r="DC121" s="132">
        <f t="shared" ref="DC121" si="458">SUM(DC122:DC127)</f>
        <v>0</v>
      </c>
      <c r="DD121" s="132">
        <f t="shared" ref="DD121" si="459">SUM(DD122:DD127)</f>
        <v>0</v>
      </c>
      <c r="DE121" s="132">
        <f t="shared" ref="DE121" si="460">SUM(DE122:DE127)</f>
        <v>0</v>
      </c>
      <c r="DF121" s="132">
        <f t="shared" ref="DF121" si="461">SUM(DF122:DF127)</f>
        <v>0</v>
      </c>
      <c r="DG121" s="132">
        <f t="shared" ref="DG121" si="462">SUM(DG122:DG127)</f>
        <v>0</v>
      </c>
      <c r="DH121" s="132">
        <f t="shared" ref="DH121" si="463">SUM(DH122:DH127)</f>
        <v>0</v>
      </c>
      <c r="DI121" s="132">
        <f t="shared" ref="DI121:DU121" si="464">SUM(DI122:DI127)</f>
        <v>0</v>
      </c>
      <c r="DJ121" s="132">
        <f t="shared" si="464"/>
        <v>0</v>
      </c>
      <c r="DK121" s="132">
        <f t="shared" si="464"/>
        <v>0</v>
      </c>
      <c r="DL121" s="132">
        <f t="shared" si="464"/>
        <v>0</v>
      </c>
      <c r="DM121" s="132">
        <f t="shared" si="464"/>
        <v>0</v>
      </c>
      <c r="DN121" s="132">
        <f t="shared" si="464"/>
        <v>0</v>
      </c>
      <c r="DO121" s="132">
        <f t="shared" si="464"/>
        <v>0</v>
      </c>
      <c r="DP121" s="132">
        <f t="shared" si="464"/>
        <v>0</v>
      </c>
      <c r="DQ121" s="132">
        <f t="shared" si="464"/>
        <v>0</v>
      </c>
      <c r="DR121" s="132">
        <f t="shared" si="464"/>
        <v>0</v>
      </c>
      <c r="DS121" s="132">
        <f t="shared" si="464"/>
        <v>0</v>
      </c>
      <c r="DT121" s="132">
        <f t="shared" si="464"/>
        <v>0</v>
      </c>
      <c r="DU121" s="132">
        <f t="shared" si="464"/>
        <v>0</v>
      </c>
      <c r="DW121" s="132">
        <f t="shared" si="410"/>
        <v>1217422.7563389572</v>
      </c>
      <c r="DX121" s="666">
        <f t="shared" si="411"/>
        <v>0</v>
      </c>
      <c r="DY121" s="132">
        <f t="shared" si="412"/>
        <v>0</v>
      </c>
      <c r="DZ121" s="132">
        <f t="shared" si="413"/>
        <v>0</v>
      </c>
      <c r="EA121" s="132">
        <f t="shared" si="414"/>
        <v>0</v>
      </c>
      <c r="EB121" s="132">
        <f t="shared" si="415"/>
        <v>0</v>
      </c>
      <c r="EC121" s="132">
        <f t="shared" si="416"/>
        <v>0</v>
      </c>
      <c r="ED121" s="132">
        <f t="shared" si="417"/>
        <v>0</v>
      </c>
      <c r="EE121" s="132">
        <f t="shared" si="418"/>
        <v>0</v>
      </c>
      <c r="EF121" s="132">
        <f t="shared" si="419"/>
        <v>0</v>
      </c>
      <c r="EG121" s="132">
        <f t="shared" si="420"/>
        <v>0</v>
      </c>
      <c r="EH121" s="132">
        <f t="shared" si="421"/>
        <v>0</v>
      </c>
      <c r="EI121" s="132">
        <f t="shared" si="422"/>
        <v>0</v>
      </c>
      <c r="EJ121" s="132">
        <f t="shared" si="423"/>
        <v>0</v>
      </c>
      <c r="EK121" s="132">
        <f t="shared" si="424"/>
        <v>0</v>
      </c>
      <c r="EL121" s="132">
        <f t="shared" si="425"/>
        <v>0</v>
      </c>
      <c r="EM121" s="132">
        <f t="shared" si="426"/>
        <v>0</v>
      </c>
      <c r="EN121" s="132">
        <f t="shared" si="427"/>
        <v>0</v>
      </c>
      <c r="EO121" s="647">
        <f t="shared" si="428"/>
        <v>0</v>
      </c>
      <c r="EP121" s="132">
        <f t="shared" si="429"/>
        <v>0</v>
      </c>
      <c r="EQ121" s="132">
        <f t="shared" si="430"/>
        <v>0</v>
      </c>
      <c r="ER121" s="132">
        <f t="shared" si="431"/>
        <v>0</v>
      </c>
      <c r="ES121" s="132">
        <f t="shared" si="432"/>
        <v>0</v>
      </c>
      <c r="ET121" s="132">
        <f t="shared" si="433"/>
        <v>0</v>
      </c>
      <c r="EV121" s="132">
        <f t="shared" si="434"/>
        <v>1217422.7563389572</v>
      </c>
      <c r="EW121" s="132">
        <f t="shared" si="435"/>
        <v>0</v>
      </c>
      <c r="EX121" s="132">
        <f t="shared" si="436"/>
        <v>0</v>
      </c>
      <c r="EY121" s="132">
        <f t="shared" si="437"/>
        <v>0</v>
      </c>
      <c r="EZ121" s="132">
        <f t="shared" si="438"/>
        <v>0</v>
      </c>
      <c r="FA121" s="666">
        <f t="shared" si="439"/>
        <v>0</v>
      </c>
    </row>
    <row r="122" spans="2:157" x14ac:dyDescent="0.2">
      <c r="B122" s="135" t="s">
        <v>146</v>
      </c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29">
        <v>80107.983548308242</v>
      </c>
      <c r="AB122" s="129">
        <v>62159.982115482875</v>
      </c>
      <c r="AC122" s="129">
        <v>199904.21052631579</v>
      </c>
      <c r="AD122" s="129">
        <v>114919.98314843421</v>
      </c>
      <c r="AE122" s="129">
        <v>83839.978873239437</v>
      </c>
      <c r="AF122" s="129">
        <v>65442.920565832428</v>
      </c>
      <c r="AG122" s="129">
        <v>0</v>
      </c>
      <c r="AH122" s="129">
        <v>0</v>
      </c>
      <c r="AI122" s="129">
        <v>0</v>
      </c>
      <c r="AJ122" s="129">
        <v>0</v>
      </c>
      <c r="AK122" s="129">
        <v>0</v>
      </c>
      <c r="AL122" s="129">
        <v>0</v>
      </c>
      <c r="AM122" s="129">
        <v>0</v>
      </c>
      <c r="AN122" s="129">
        <v>0</v>
      </c>
      <c r="AO122" s="129">
        <v>0</v>
      </c>
      <c r="AP122" s="129">
        <v>0</v>
      </c>
      <c r="AQ122" s="129">
        <v>0</v>
      </c>
      <c r="AR122" s="129">
        <v>0</v>
      </c>
      <c r="AS122" s="129">
        <v>0</v>
      </c>
      <c r="AT122" s="129">
        <v>0</v>
      </c>
      <c r="AU122" s="129">
        <v>0</v>
      </c>
      <c r="AV122" s="129">
        <v>0</v>
      </c>
      <c r="AW122" s="129">
        <v>0</v>
      </c>
      <c r="AX122" s="129">
        <v>0</v>
      </c>
      <c r="AY122" s="129">
        <v>0</v>
      </c>
      <c r="AZ122" s="129">
        <v>0</v>
      </c>
      <c r="BA122" s="129">
        <v>0</v>
      </c>
      <c r="BB122" s="129">
        <v>0</v>
      </c>
      <c r="BC122" s="129">
        <v>0</v>
      </c>
      <c r="BD122" s="129">
        <v>0</v>
      </c>
      <c r="BE122" s="129">
        <v>0</v>
      </c>
      <c r="BF122" s="129">
        <v>0</v>
      </c>
      <c r="BG122" s="129">
        <v>0</v>
      </c>
      <c r="BH122" s="129">
        <v>0</v>
      </c>
      <c r="BI122" s="129">
        <v>0</v>
      </c>
      <c r="BJ122" s="129">
        <v>0</v>
      </c>
      <c r="BK122" s="129">
        <v>0</v>
      </c>
      <c r="BL122" s="129">
        <v>0</v>
      </c>
      <c r="BM122" s="129">
        <v>0</v>
      </c>
      <c r="BN122" s="129">
        <v>0</v>
      </c>
      <c r="BO122" s="129">
        <v>0</v>
      </c>
      <c r="BP122" s="129">
        <v>0</v>
      </c>
      <c r="BQ122" s="129">
        <v>0</v>
      </c>
      <c r="BR122" s="129">
        <v>0</v>
      </c>
      <c r="BS122" s="129">
        <v>0</v>
      </c>
      <c r="BT122" s="129">
        <v>0</v>
      </c>
      <c r="BU122" s="129">
        <v>0</v>
      </c>
      <c r="BV122" s="129">
        <v>0</v>
      </c>
      <c r="BW122" s="129">
        <v>0</v>
      </c>
      <c r="BX122" s="129">
        <v>0</v>
      </c>
      <c r="BY122" s="129">
        <v>0</v>
      </c>
      <c r="BZ122" s="129">
        <v>0</v>
      </c>
      <c r="CA122" s="129">
        <v>0</v>
      </c>
      <c r="CB122" s="129">
        <v>0</v>
      </c>
      <c r="CC122" s="129">
        <v>0</v>
      </c>
      <c r="CD122" s="129">
        <v>0</v>
      </c>
      <c r="CE122" s="129">
        <v>0</v>
      </c>
      <c r="CF122" s="129">
        <v>0</v>
      </c>
      <c r="CG122" s="129">
        <v>0</v>
      </c>
      <c r="CH122" s="129">
        <v>0</v>
      </c>
      <c r="CI122" s="129">
        <v>0</v>
      </c>
      <c r="CJ122" s="129">
        <v>0</v>
      </c>
      <c r="CK122" s="129">
        <v>0</v>
      </c>
      <c r="CL122" s="129">
        <v>0</v>
      </c>
      <c r="CM122" s="129">
        <v>0</v>
      </c>
      <c r="CN122" s="129">
        <v>0</v>
      </c>
      <c r="CO122" s="129">
        <v>0</v>
      </c>
      <c r="CP122" s="129">
        <v>0</v>
      </c>
      <c r="CQ122" s="129">
        <v>0</v>
      </c>
      <c r="CR122" s="129">
        <v>0</v>
      </c>
      <c r="CS122" s="129">
        <v>0</v>
      </c>
      <c r="CT122" s="129">
        <v>0</v>
      </c>
      <c r="CU122" s="129">
        <v>0</v>
      </c>
      <c r="CV122" s="129">
        <v>0</v>
      </c>
      <c r="CW122" s="129">
        <v>0</v>
      </c>
      <c r="CX122" s="129">
        <v>0</v>
      </c>
      <c r="CY122" s="129">
        <v>0</v>
      </c>
      <c r="CZ122" s="129">
        <v>0</v>
      </c>
      <c r="DA122" s="129">
        <v>0</v>
      </c>
      <c r="DB122" s="129">
        <v>0</v>
      </c>
      <c r="DC122" s="129">
        <v>0</v>
      </c>
      <c r="DD122" s="129">
        <v>0</v>
      </c>
      <c r="DE122" s="129">
        <v>0</v>
      </c>
      <c r="DF122" s="129">
        <v>0</v>
      </c>
      <c r="DG122" s="129">
        <v>0</v>
      </c>
      <c r="DH122" s="129">
        <v>0</v>
      </c>
      <c r="DI122" s="129">
        <v>0</v>
      </c>
      <c r="DJ122" s="129">
        <v>0</v>
      </c>
      <c r="DK122" s="129">
        <v>0</v>
      </c>
      <c r="DL122" s="129">
        <v>0</v>
      </c>
      <c r="DM122" s="129">
        <v>0</v>
      </c>
      <c r="DN122" s="129">
        <v>0</v>
      </c>
      <c r="DO122" s="129">
        <v>0</v>
      </c>
      <c r="DP122" s="129">
        <v>0</v>
      </c>
      <c r="DQ122" s="129">
        <v>0</v>
      </c>
      <c r="DR122" s="129">
        <v>0</v>
      </c>
      <c r="DS122" s="129">
        <v>0</v>
      </c>
      <c r="DT122" s="129">
        <v>0</v>
      </c>
      <c r="DU122" s="129">
        <v>0</v>
      </c>
      <c r="DW122" s="129">
        <f t="shared" si="410"/>
        <v>0</v>
      </c>
      <c r="DX122" s="663">
        <f t="shared" si="411"/>
        <v>0</v>
      </c>
      <c r="DY122" s="129">
        <f t="shared" si="412"/>
        <v>0</v>
      </c>
      <c r="DZ122" s="129">
        <f t="shared" si="413"/>
        <v>0</v>
      </c>
      <c r="EA122" s="129">
        <f t="shared" si="414"/>
        <v>0</v>
      </c>
      <c r="EB122" s="129">
        <f t="shared" si="415"/>
        <v>0</v>
      </c>
      <c r="EC122" s="129">
        <f t="shared" si="416"/>
        <v>0</v>
      </c>
      <c r="ED122" s="129">
        <f t="shared" si="417"/>
        <v>0</v>
      </c>
      <c r="EE122" s="129">
        <f t="shared" si="418"/>
        <v>0</v>
      </c>
      <c r="EF122" s="129">
        <f t="shared" si="419"/>
        <v>0</v>
      </c>
      <c r="EG122" s="129">
        <f t="shared" si="420"/>
        <v>0</v>
      </c>
      <c r="EH122" s="129">
        <f t="shared" si="421"/>
        <v>0</v>
      </c>
      <c r="EI122" s="129">
        <f t="shared" si="422"/>
        <v>0</v>
      </c>
      <c r="EJ122" s="129">
        <f t="shared" si="423"/>
        <v>0</v>
      </c>
      <c r="EK122" s="129">
        <f t="shared" si="424"/>
        <v>0</v>
      </c>
      <c r="EL122" s="129">
        <f t="shared" si="425"/>
        <v>0</v>
      </c>
      <c r="EM122" s="129">
        <f t="shared" si="426"/>
        <v>0</v>
      </c>
      <c r="EN122" s="129">
        <f t="shared" si="427"/>
        <v>0</v>
      </c>
      <c r="EO122" s="644">
        <f t="shared" si="428"/>
        <v>0</v>
      </c>
      <c r="EP122" s="129">
        <f t="shared" si="429"/>
        <v>0</v>
      </c>
      <c r="EQ122" s="129">
        <f t="shared" si="430"/>
        <v>0</v>
      </c>
      <c r="ER122" s="129">
        <f t="shared" si="431"/>
        <v>0</v>
      </c>
      <c r="ES122" s="129">
        <f t="shared" si="432"/>
        <v>0</v>
      </c>
      <c r="ET122" s="129">
        <f t="shared" si="433"/>
        <v>0</v>
      </c>
      <c r="EV122" s="129">
        <f t="shared" si="434"/>
        <v>0</v>
      </c>
      <c r="EW122" s="129">
        <f t="shared" si="435"/>
        <v>0</v>
      </c>
      <c r="EX122" s="129">
        <f t="shared" si="436"/>
        <v>0</v>
      </c>
      <c r="EY122" s="129">
        <f t="shared" si="437"/>
        <v>0</v>
      </c>
      <c r="EZ122" s="129">
        <f t="shared" si="438"/>
        <v>0</v>
      </c>
      <c r="FA122" s="663">
        <f t="shared" si="439"/>
        <v>0</v>
      </c>
    </row>
    <row r="123" spans="2:157" x14ac:dyDescent="0.2">
      <c r="B123" s="135" t="s">
        <v>34</v>
      </c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29">
        <v>120322.26670523226</v>
      </c>
      <c r="AB123" s="129">
        <v>88086.065406234033</v>
      </c>
      <c r="AC123" s="129">
        <v>177369.86842105261</v>
      </c>
      <c r="AD123" s="129">
        <v>178177.38941159949</v>
      </c>
      <c r="AE123" s="129">
        <v>171978.18360160966</v>
      </c>
      <c r="AF123" s="129">
        <v>130438.26659412404</v>
      </c>
      <c r="AG123" s="129">
        <v>83955.757038787153</v>
      </c>
      <c r="AH123" s="129">
        <v>48178.345430072601</v>
      </c>
      <c r="AI123" s="129">
        <v>66256.956654249836</v>
      </c>
      <c r="AJ123" s="129">
        <v>143880.99808254009</v>
      </c>
      <c r="AK123" s="129">
        <v>243975.29264025285</v>
      </c>
      <c r="AL123" s="129">
        <v>223254.44634305176</v>
      </c>
      <c r="AM123" s="129">
        <v>136589.20125028942</v>
      </c>
      <c r="AN123" s="129">
        <v>92651.671804597441</v>
      </c>
      <c r="AO123" s="129">
        <v>42099.608867551542</v>
      </c>
      <c r="AP123" s="129">
        <v>66907.377345300381</v>
      </c>
      <c r="AQ123" s="129">
        <v>154946.63778396146</v>
      </c>
      <c r="AR123" s="129">
        <v>38740.774950179031</v>
      </c>
      <c r="AS123" s="129">
        <v>132041.82469766773</v>
      </c>
      <c r="AT123" s="129">
        <v>119797.78668821129</v>
      </c>
      <c r="AU123" s="129">
        <v>228628.86140868944</v>
      </c>
      <c r="AV123" s="129">
        <v>262520.69376877171</v>
      </c>
      <c r="AW123" s="129">
        <v>215933.12720731879</v>
      </c>
      <c r="AX123" s="129">
        <v>139441.31203404034</v>
      </c>
      <c r="AY123" s="129">
        <v>86915.279580087998</v>
      </c>
      <c r="AZ123" s="129">
        <v>183442.35074388993</v>
      </c>
      <c r="BA123" s="129">
        <v>224239.91224468351</v>
      </c>
      <c r="BB123" s="129">
        <v>164338.3263389573</v>
      </c>
      <c r="BC123" s="129">
        <v>0</v>
      </c>
      <c r="BD123" s="129">
        <v>0</v>
      </c>
      <c r="BE123" s="129">
        <v>0</v>
      </c>
      <c r="BF123" s="129">
        <v>0</v>
      </c>
      <c r="BG123" s="129">
        <v>0</v>
      </c>
      <c r="BH123" s="129">
        <v>0</v>
      </c>
      <c r="BI123" s="129">
        <v>0</v>
      </c>
      <c r="BJ123" s="129">
        <v>0</v>
      </c>
      <c r="BK123" s="129">
        <v>0</v>
      </c>
      <c r="BL123" s="129">
        <v>0</v>
      </c>
      <c r="BM123" s="129">
        <v>0</v>
      </c>
      <c r="BN123" s="129">
        <v>0</v>
      </c>
      <c r="BO123" s="129">
        <v>0</v>
      </c>
      <c r="BP123" s="129">
        <v>0</v>
      </c>
      <c r="BQ123" s="129">
        <v>0</v>
      </c>
      <c r="BR123" s="129">
        <v>0</v>
      </c>
      <c r="BS123" s="129">
        <v>0</v>
      </c>
      <c r="BT123" s="129">
        <v>0</v>
      </c>
      <c r="BU123" s="129">
        <v>0</v>
      </c>
      <c r="BV123" s="129">
        <v>0</v>
      </c>
      <c r="BW123" s="129">
        <v>0</v>
      </c>
      <c r="BX123" s="129">
        <v>0</v>
      </c>
      <c r="BY123" s="129">
        <v>0</v>
      </c>
      <c r="BZ123" s="129">
        <v>0</v>
      </c>
      <c r="CA123" s="129">
        <v>0</v>
      </c>
      <c r="CB123" s="129">
        <v>0</v>
      </c>
      <c r="CC123" s="129">
        <v>0</v>
      </c>
      <c r="CD123" s="129">
        <v>0</v>
      </c>
      <c r="CE123" s="129">
        <v>0</v>
      </c>
      <c r="CF123" s="129">
        <v>0</v>
      </c>
      <c r="CG123" s="129">
        <v>0</v>
      </c>
      <c r="CH123" s="129">
        <v>0</v>
      </c>
      <c r="CI123" s="129">
        <v>0</v>
      </c>
      <c r="CJ123" s="129">
        <v>0</v>
      </c>
      <c r="CK123" s="129">
        <v>0</v>
      </c>
      <c r="CL123" s="129">
        <v>0</v>
      </c>
      <c r="CM123" s="129">
        <v>0</v>
      </c>
      <c r="CN123" s="129">
        <v>0</v>
      </c>
      <c r="CO123" s="129">
        <v>0</v>
      </c>
      <c r="CP123" s="129">
        <v>0</v>
      </c>
      <c r="CQ123" s="129">
        <v>0</v>
      </c>
      <c r="CR123" s="129">
        <v>0</v>
      </c>
      <c r="CS123" s="129">
        <v>0</v>
      </c>
      <c r="CT123" s="129">
        <v>0</v>
      </c>
      <c r="CU123" s="129">
        <v>0</v>
      </c>
      <c r="CV123" s="129">
        <v>0</v>
      </c>
      <c r="CW123" s="129">
        <v>0</v>
      </c>
      <c r="CX123" s="129">
        <v>0</v>
      </c>
      <c r="CY123" s="129">
        <v>0</v>
      </c>
      <c r="CZ123" s="129">
        <v>0</v>
      </c>
      <c r="DA123" s="129">
        <v>0</v>
      </c>
      <c r="DB123" s="129">
        <v>0</v>
      </c>
      <c r="DC123" s="129">
        <v>0</v>
      </c>
      <c r="DD123" s="129">
        <v>0</v>
      </c>
      <c r="DE123" s="129">
        <v>0</v>
      </c>
      <c r="DF123" s="129">
        <v>0</v>
      </c>
      <c r="DG123" s="129">
        <v>0</v>
      </c>
      <c r="DH123" s="129">
        <v>0</v>
      </c>
      <c r="DI123" s="129">
        <v>0</v>
      </c>
      <c r="DJ123" s="129">
        <v>0</v>
      </c>
      <c r="DK123" s="129">
        <v>0</v>
      </c>
      <c r="DL123" s="129">
        <v>0</v>
      </c>
      <c r="DM123" s="129">
        <v>0</v>
      </c>
      <c r="DN123" s="129">
        <v>0</v>
      </c>
      <c r="DO123" s="129">
        <v>0</v>
      </c>
      <c r="DP123" s="129">
        <v>0</v>
      </c>
      <c r="DQ123" s="129">
        <v>0</v>
      </c>
      <c r="DR123" s="129">
        <v>0</v>
      </c>
      <c r="DS123" s="129">
        <v>0</v>
      </c>
      <c r="DT123" s="129">
        <v>0</v>
      </c>
      <c r="DU123" s="129">
        <v>0</v>
      </c>
      <c r="DW123" s="129">
        <f t="shared" si="410"/>
        <v>164338.3263389573</v>
      </c>
      <c r="DX123" s="663">
        <f t="shared" si="411"/>
        <v>0</v>
      </c>
      <c r="DY123" s="129">
        <f t="shared" si="412"/>
        <v>0</v>
      </c>
      <c r="DZ123" s="129">
        <f t="shared" si="413"/>
        <v>0</v>
      </c>
      <c r="EA123" s="129">
        <f t="shared" si="414"/>
        <v>0</v>
      </c>
      <c r="EB123" s="129">
        <f t="shared" si="415"/>
        <v>0</v>
      </c>
      <c r="EC123" s="129">
        <f t="shared" si="416"/>
        <v>0</v>
      </c>
      <c r="ED123" s="129">
        <f t="shared" si="417"/>
        <v>0</v>
      </c>
      <c r="EE123" s="129">
        <f t="shared" si="418"/>
        <v>0</v>
      </c>
      <c r="EF123" s="129">
        <f t="shared" si="419"/>
        <v>0</v>
      </c>
      <c r="EG123" s="129">
        <f t="shared" si="420"/>
        <v>0</v>
      </c>
      <c r="EH123" s="129">
        <f t="shared" si="421"/>
        <v>0</v>
      </c>
      <c r="EI123" s="129">
        <f t="shared" si="422"/>
        <v>0</v>
      </c>
      <c r="EJ123" s="129">
        <f t="shared" si="423"/>
        <v>0</v>
      </c>
      <c r="EK123" s="129">
        <f t="shared" si="424"/>
        <v>0</v>
      </c>
      <c r="EL123" s="129">
        <f t="shared" si="425"/>
        <v>0</v>
      </c>
      <c r="EM123" s="129">
        <f t="shared" si="426"/>
        <v>0</v>
      </c>
      <c r="EN123" s="129">
        <f t="shared" si="427"/>
        <v>0</v>
      </c>
      <c r="EO123" s="644">
        <f t="shared" si="428"/>
        <v>0</v>
      </c>
      <c r="EP123" s="129">
        <f t="shared" si="429"/>
        <v>0</v>
      </c>
      <c r="EQ123" s="129">
        <f t="shared" si="430"/>
        <v>0</v>
      </c>
      <c r="ER123" s="129">
        <f t="shared" si="431"/>
        <v>0</v>
      </c>
      <c r="ES123" s="129">
        <f t="shared" si="432"/>
        <v>0</v>
      </c>
      <c r="ET123" s="129">
        <f t="shared" si="433"/>
        <v>0</v>
      </c>
      <c r="EV123" s="129">
        <f t="shared" si="434"/>
        <v>164338.3263389573</v>
      </c>
      <c r="EW123" s="129">
        <f t="shared" si="435"/>
        <v>0</v>
      </c>
      <c r="EX123" s="129">
        <f t="shared" si="436"/>
        <v>0</v>
      </c>
      <c r="EY123" s="129">
        <f t="shared" si="437"/>
        <v>0</v>
      </c>
      <c r="EZ123" s="129">
        <f t="shared" si="438"/>
        <v>0</v>
      </c>
      <c r="FA123" s="663">
        <f t="shared" si="439"/>
        <v>0</v>
      </c>
    </row>
    <row r="124" spans="2:157" x14ac:dyDescent="0.2">
      <c r="B124" s="135" t="s">
        <v>147</v>
      </c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29">
        <v>0</v>
      </c>
      <c r="AB124" s="129">
        <v>0</v>
      </c>
      <c r="AC124" s="129">
        <v>0</v>
      </c>
      <c r="AD124" s="129">
        <v>0</v>
      </c>
      <c r="AE124" s="129">
        <v>0</v>
      </c>
      <c r="AF124" s="129">
        <v>0</v>
      </c>
      <c r="AG124" s="129">
        <v>0</v>
      </c>
      <c r="AH124" s="129">
        <v>0</v>
      </c>
      <c r="AI124" s="129">
        <v>0</v>
      </c>
      <c r="AJ124" s="129">
        <v>0</v>
      </c>
      <c r="AK124" s="129">
        <v>0</v>
      </c>
      <c r="AL124" s="129">
        <v>0</v>
      </c>
      <c r="AM124" s="129">
        <v>0</v>
      </c>
      <c r="AN124" s="129">
        <v>0</v>
      </c>
      <c r="AO124" s="129">
        <v>0</v>
      </c>
      <c r="AP124" s="129">
        <v>0</v>
      </c>
      <c r="AQ124" s="129">
        <v>0</v>
      </c>
      <c r="AR124" s="129">
        <v>0</v>
      </c>
      <c r="AS124" s="129">
        <v>0</v>
      </c>
      <c r="AT124" s="129">
        <v>0</v>
      </c>
      <c r="AU124" s="129">
        <v>0</v>
      </c>
      <c r="AV124" s="129">
        <v>0</v>
      </c>
      <c r="AW124" s="129">
        <v>0</v>
      </c>
      <c r="AX124" s="129">
        <v>0</v>
      </c>
      <c r="AY124" s="129">
        <v>0</v>
      </c>
      <c r="AZ124" s="129">
        <v>0</v>
      </c>
      <c r="BA124" s="129">
        <v>0</v>
      </c>
      <c r="BB124" s="129">
        <v>0</v>
      </c>
      <c r="BC124" s="129">
        <v>0</v>
      </c>
      <c r="BD124" s="129">
        <v>0</v>
      </c>
      <c r="BE124" s="129">
        <v>0</v>
      </c>
      <c r="BF124" s="129">
        <v>0</v>
      </c>
      <c r="BG124" s="129">
        <v>0</v>
      </c>
      <c r="BH124" s="129">
        <v>0</v>
      </c>
      <c r="BI124" s="129">
        <v>0</v>
      </c>
      <c r="BJ124" s="129">
        <v>0</v>
      </c>
      <c r="BK124" s="129">
        <v>0</v>
      </c>
      <c r="BL124" s="129">
        <v>0</v>
      </c>
      <c r="BM124" s="129">
        <v>0</v>
      </c>
      <c r="BN124" s="129">
        <v>0</v>
      </c>
      <c r="BO124" s="129">
        <v>0</v>
      </c>
      <c r="BP124" s="129">
        <v>0</v>
      </c>
      <c r="BQ124" s="129">
        <v>0</v>
      </c>
      <c r="BR124" s="129">
        <v>0</v>
      </c>
      <c r="BS124" s="129">
        <v>0</v>
      </c>
      <c r="BT124" s="129">
        <v>0</v>
      </c>
      <c r="BU124" s="129">
        <v>0</v>
      </c>
      <c r="BV124" s="129">
        <v>0</v>
      </c>
      <c r="BW124" s="129">
        <v>0</v>
      </c>
      <c r="BX124" s="129">
        <v>0</v>
      </c>
      <c r="BY124" s="129">
        <v>0</v>
      </c>
      <c r="BZ124" s="129">
        <v>0</v>
      </c>
      <c r="CA124" s="129">
        <v>0</v>
      </c>
      <c r="CB124" s="129">
        <v>0</v>
      </c>
      <c r="CC124" s="129">
        <v>0</v>
      </c>
      <c r="CD124" s="129">
        <v>0</v>
      </c>
      <c r="CE124" s="129">
        <v>0</v>
      </c>
      <c r="CF124" s="129">
        <v>0</v>
      </c>
      <c r="CG124" s="129">
        <v>0</v>
      </c>
      <c r="CH124" s="129">
        <v>0</v>
      </c>
      <c r="CI124" s="129">
        <v>0</v>
      </c>
      <c r="CJ124" s="129">
        <v>0</v>
      </c>
      <c r="CK124" s="129">
        <v>0</v>
      </c>
      <c r="CL124" s="129">
        <v>0</v>
      </c>
      <c r="CM124" s="129">
        <v>0</v>
      </c>
      <c r="CN124" s="129">
        <v>0</v>
      </c>
      <c r="CO124" s="129">
        <v>0</v>
      </c>
      <c r="CP124" s="129">
        <v>0</v>
      </c>
      <c r="CQ124" s="129">
        <v>0</v>
      </c>
      <c r="CR124" s="129">
        <v>0</v>
      </c>
      <c r="CS124" s="129">
        <v>0</v>
      </c>
      <c r="CT124" s="129">
        <v>0</v>
      </c>
      <c r="CU124" s="129">
        <v>0</v>
      </c>
      <c r="CV124" s="129">
        <v>0</v>
      </c>
      <c r="CW124" s="129">
        <v>0</v>
      </c>
      <c r="CX124" s="129">
        <v>0</v>
      </c>
      <c r="CY124" s="129">
        <v>0</v>
      </c>
      <c r="CZ124" s="129">
        <v>0</v>
      </c>
      <c r="DA124" s="129">
        <v>0</v>
      </c>
      <c r="DB124" s="129">
        <v>0</v>
      </c>
      <c r="DC124" s="129">
        <v>0</v>
      </c>
      <c r="DD124" s="129">
        <v>0</v>
      </c>
      <c r="DE124" s="129">
        <v>0</v>
      </c>
      <c r="DF124" s="129">
        <v>0</v>
      </c>
      <c r="DG124" s="129">
        <v>0</v>
      </c>
      <c r="DH124" s="129">
        <v>0</v>
      </c>
      <c r="DI124" s="129">
        <v>0</v>
      </c>
      <c r="DJ124" s="129">
        <v>0</v>
      </c>
      <c r="DK124" s="129">
        <v>0</v>
      </c>
      <c r="DL124" s="129">
        <v>0</v>
      </c>
      <c r="DM124" s="129">
        <v>0</v>
      </c>
      <c r="DN124" s="129">
        <v>0</v>
      </c>
      <c r="DO124" s="129">
        <v>0</v>
      </c>
      <c r="DP124" s="129">
        <v>0</v>
      </c>
      <c r="DQ124" s="129">
        <v>0</v>
      </c>
      <c r="DR124" s="129">
        <v>0</v>
      </c>
      <c r="DS124" s="129">
        <v>0</v>
      </c>
      <c r="DT124" s="129">
        <v>0</v>
      </c>
      <c r="DU124" s="129">
        <v>0</v>
      </c>
      <c r="DW124" s="129">
        <f t="shared" si="410"/>
        <v>0</v>
      </c>
      <c r="DX124" s="663">
        <f t="shared" si="411"/>
        <v>0</v>
      </c>
      <c r="DY124" s="129">
        <f t="shared" si="412"/>
        <v>0</v>
      </c>
      <c r="DZ124" s="129">
        <f t="shared" si="413"/>
        <v>0</v>
      </c>
      <c r="EA124" s="129">
        <f t="shared" si="414"/>
        <v>0</v>
      </c>
      <c r="EB124" s="129">
        <f t="shared" si="415"/>
        <v>0</v>
      </c>
      <c r="EC124" s="129">
        <f t="shared" si="416"/>
        <v>0</v>
      </c>
      <c r="ED124" s="129">
        <f t="shared" si="417"/>
        <v>0</v>
      </c>
      <c r="EE124" s="129">
        <f t="shared" si="418"/>
        <v>0</v>
      </c>
      <c r="EF124" s="129">
        <f t="shared" si="419"/>
        <v>0</v>
      </c>
      <c r="EG124" s="129">
        <f t="shared" si="420"/>
        <v>0</v>
      </c>
      <c r="EH124" s="129">
        <f t="shared" si="421"/>
        <v>0</v>
      </c>
      <c r="EI124" s="129">
        <f t="shared" si="422"/>
        <v>0</v>
      </c>
      <c r="EJ124" s="129">
        <f t="shared" si="423"/>
        <v>0</v>
      </c>
      <c r="EK124" s="129">
        <f t="shared" si="424"/>
        <v>0</v>
      </c>
      <c r="EL124" s="129">
        <f t="shared" si="425"/>
        <v>0</v>
      </c>
      <c r="EM124" s="129">
        <f t="shared" si="426"/>
        <v>0</v>
      </c>
      <c r="EN124" s="129">
        <f t="shared" si="427"/>
        <v>0</v>
      </c>
      <c r="EO124" s="644">
        <f t="shared" si="428"/>
        <v>0</v>
      </c>
      <c r="EP124" s="129">
        <f t="shared" si="429"/>
        <v>0</v>
      </c>
      <c r="EQ124" s="129">
        <f t="shared" si="430"/>
        <v>0</v>
      </c>
      <c r="ER124" s="129">
        <f t="shared" si="431"/>
        <v>0</v>
      </c>
      <c r="ES124" s="129">
        <f t="shared" si="432"/>
        <v>0</v>
      </c>
      <c r="ET124" s="129">
        <f t="shared" si="433"/>
        <v>0</v>
      </c>
      <c r="EV124" s="129">
        <f t="shared" si="434"/>
        <v>0</v>
      </c>
      <c r="EW124" s="129">
        <f t="shared" si="435"/>
        <v>0</v>
      </c>
      <c r="EX124" s="129">
        <f t="shared" si="436"/>
        <v>0</v>
      </c>
      <c r="EY124" s="129">
        <f t="shared" si="437"/>
        <v>0</v>
      </c>
      <c r="EZ124" s="129">
        <f t="shared" si="438"/>
        <v>0</v>
      </c>
      <c r="FA124" s="663">
        <f t="shared" si="439"/>
        <v>0</v>
      </c>
    </row>
    <row r="125" spans="2:157" x14ac:dyDescent="0.2">
      <c r="B125" s="135" t="s">
        <v>148</v>
      </c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>
        <v>0</v>
      </c>
      <c r="AV125" s="129">
        <v>0</v>
      </c>
      <c r="AW125" s="129">
        <v>0</v>
      </c>
      <c r="AX125" s="129">
        <v>0</v>
      </c>
      <c r="AY125" s="129">
        <v>0</v>
      </c>
      <c r="AZ125" s="129">
        <v>0</v>
      </c>
      <c r="BA125" s="129">
        <v>0</v>
      </c>
      <c r="BB125" s="129">
        <v>0</v>
      </c>
      <c r="BC125" s="129">
        <v>0</v>
      </c>
      <c r="BD125" s="129">
        <v>0</v>
      </c>
      <c r="BE125" s="129">
        <v>0</v>
      </c>
      <c r="BF125" s="129">
        <v>0</v>
      </c>
      <c r="BG125" s="129">
        <v>0</v>
      </c>
      <c r="BH125" s="129">
        <v>0</v>
      </c>
      <c r="BI125" s="129">
        <v>0</v>
      </c>
      <c r="BJ125" s="129">
        <v>0</v>
      </c>
      <c r="BK125" s="129">
        <v>0</v>
      </c>
      <c r="BL125" s="129">
        <v>0</v>
      </c>
      <c r="BM125" s="129">
        <v>0</v>
      </c>
      <c r="BN125" s="129">
        <v>0</v>
      </c>
      <c r="BO125" s="129">
        <v>0</v>
      </c>
      <c r="BP125" s="129">
        <v>0</v>
      </c>
      <c r="BQ125" s="129">
        <v>0</v>
      </c>
      <c r="BR125" s="129">
        <v>0</v>
      </c>
      <c r="BS125" s="129">
        <v>0</v>
      </c>
      <c r="BT125" s="129">
        <v>0</v>
      </c>
      <c r="BU125" s="129">
        <v>0</v>
      </c>
      <c r="BV125" s="129">
        <v>0</v>
      </c>
      <c r="BW125" s="129">
        <v>0</v>
      </c>
      <c r="BX125" s="129">
        <v>0</v>
      </c>
      <c r="BY125" s="129">
        <v>0</v>
      </c>
      <c r="BZ125" s="129">
        <v>0</v>
      </c>
      <c r="CA125" s="129">
        <v>0</v>
      </c>
      <c r="CB125" s="129">
        <v>0</v>
      </c>
      <c r="CC125" s="129">
        <v>0</v>
      </c>
      <c r="CD125" s="129">
        <v>0</v>
      </c>
      <c r="CE125" s="129">
        <v>0</v>
      </c>
      <c r="CF125" s="129">
        <v>0</v>
      </c>
      <c r="CG125" s="129">
        <v>0</v>
      </c>
      <c r="CH125" s="129">
        <v>0</v>
      </c>
      <c r="CI125" s="129">
        <v>0</v>
      </c>
      <c r="CJ125" s="129">
        <v>0</v>
      </c>
      <c r="CK125" s="129">
        <v>0</v>
      </c>
      <c r="CL125" s="129">
        <v>0</v>
      </c>
      <c r="CM125" s="129">
        <v>0</v>
      </c>
      <c r="CN125" s="129">
        <v>0</v>
      </c>
      <c r="CO125" s="129">
        <v>0</v>
      </c>
      <c r="CP125" s="129">
        <v>0</v>
      </c>
      <c r="CQ125" s="129">
        <v>0</v>
      </c>
      <c r="CR125" s="129">
        <v>0</v>
      </c>
      <c r="CS125" s="129">
        <v>0</v>
      </c>
      <c r="CT125" s="129">
        <v>0</v>
      </c>
      <c r="CU125" s="129">
        <v>0</v>
      </c>
      <c r="CV125" s="129">
        <v>0</v>
      </c>
      <c r="CW125" s="129">
        <v>0</v>
      </c>
      <c r="CX125" s="129">
        <v>0</v>
      </c>
      <c r="CY125" s="129">
        <v>0</v>
      </c>
      <c r="CZ125" s="129">
        <v>0</v>
      </c>
      <c r="DA125" s="129">
        <v>0</v>
      </c>
      <c r="DB125" s="129">
        <v>0</v>
      </c>
      <c r="DC125" s="129">
        <v>0</v>
      </c>
      <c r="DD125" s="129">
        <v>0</v>
      </c>
      <c r="DE125" s="129">
        <v>0</v>
      </c>
      <c r="DF125" s="129">
        <v>0</v>
      </c>
      <c r="DG125" s="129">
        <v>0</v>
      </c>
      <c r="DH125" s="129">
        <v>0</v>
      </c>
      <c r="DI125" s="129">
        <v>0</v>
      </c>
      <c r="DJ125" s="129">
        <v>0</v>
      </c>
      <c r="DK125" s="129">
        <v>0</v>
      </c>
      <c r="DL125" s="129">
        <v>0</v>
      </c>
      <c r="DM125" s="129">
        <v>0</v>
      </c>
      <c r="DN125" s="129">
        <v>0</v>
      </c>
      <c r="DO125" s="129">
        <v>0</v>
      </c>
      <c r="DP125" s="129">
        <v>0</v>
      </c>
      <c r="DQ125" s="129">
        <v>0</v>
      </c>
      <c r="DR125" s="129">
        <v>0</v>
      </c>
      <c r="DS125" s="129">
        <v>0</v>
      </c>
      <c r="DT125" s="129">
        <v>0</v>
      </c>
      <c r="DU125" s="129">
        <v>0</v>
      </c>
      <c r="DW125" s="129">
        <f t="shared" si="410"/>
        <v>0</v>
      </c>
      <c r="DX125" s="663">
        <f t="shared" si="411"/>
        <v>0</v>
      </c>
      <c r="DY125" s="129">
        <f t="shared" si="412"/>
        <v>0</v>
      </c>
      <c r="DZ125" s="129">
        <f t="shared" si="413"/>
        <v>0</v>
      </c>
      <c r="EA125" s="129">
        <f t="shared" si="414"/>
        <v>0</v>
      </c>
      <c r="EB125" s="129">
        <f t="shared" si="415"/>
        <v>0</v>
      </c>
      <c r="EC125" s="129">
        <f t="shared" si="416"/>
        <v>0</v>
      </c>
      <c r="ED125" s="129">
        <f t="shared" si="417"/>
        <v>0</v>
      </c>
      <c r="EE125" s="129">
        <f t="shared" si="418"/>
        <v>0</v>
      </c>
      <c r="EF125" s="129">
        <f t="shared" si="419"/>
        <v>0</v>
      </c>
      <c r="EG125" s="129">
        <f t="shared" si="420"/>
        <v>0</v>
      </c>
      <c r="EH125" s="129">
        <f t="shared" si="421"/>
        <v>0</v>
      </c>
      <c r="EI125" s="129">
        <f t="shared" si="422"/>
        <v>0</v>
      </c>
      <c r="EJ125" s="129">
        <f t="shared" si="423"/>
        <v>0</v>
      </c>
      <c r="EK125" s="129">
        <f t="shared" si="424"/>
        <v>0</v>
      </c>
      <c r="EL125" s="129">
        <f t="shared" si="425"/>
        <v>0</v>
      </c>
      <c r="EM125" s="129">
        <f t="shared" si="426"/>
        <v>0</v>
      </c>
      <c r="EN125" s="129">
        <f t="shared" si="427"/>
        <v>0</v>
      </c>
      <c r="EO125" s="644">
        <f t="shared" si="428"/>
        <v>0</v>
      </c>
      <c r="EP125" s="129">
        <f t="shared" si="429"/>
        <v>0</v>
      </c>
      <c r="EQ125" s="129">
        <f t="shared" si="430"/>
        <v>0</v>
      </c>
      <c r="ER125" s="129">
        <f t="shared" si="431"/>
        <v>0</v>
      </c>
      <c r="ES125" s="129">
        <f t="shared" si="432"/>
        <v>0</v>
      </c>
      <c r="ET125" s="129">
        <f t="shared" si="433"/>
        <v>0</v>
      </c>
      <c r="EV125" s="129">
        <f t="shared" si="434"/>
        <v>0</v>
      </c>
      <c r="EW125" s="129">
        <f t="shared" si="435"/>
        <v>0</v>
      </c>
      <c r="EX125" s="129">
        <f t="shared" si="436"/>
        <v>0</v>
      </c>
      <c r="EY125" s="129">
        <f t="shared" si="437"/>
        <v>0</v>
      </c>
      <c r="EZ125" s="129">
        <f t="shared" si="438"/>
        <v>0</v>
      </c>
      <c r="FA125" s="663">
        <f t="shared" si="439"/>
        <v>0</v>
      </c>
    </row>
    <row r="126" spans="2:157" x14ac:dyDescent="0.2">
      <c r="B126" s="135" t="s">
        <v>149</v>
      </c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29">
        <v>357854.11240445386</v>
      </c>
      <c r="AB126" s="129">
        <v>190248.43447391997</v>
      </c>
      <c r="AC126" s="129">
        <v>223892.22747166984</v>
      </c>
      <c r="AD126" s="129">
        <v>178692.09606229045</v>
      </c>
      <c r="AE126" s="129">
        <v>80743.566289194132</v>
      </c>
      <c r="AF126" s="129">
        <v>134778.48270762782</v>
      </c>
      <c r="AG126" s="129">
        <v>219515.95600000003</v>
      </c>
      <c r="AH126" s="129">
        <v>97193.470000000016</v>
      </c>
      <c r="AI126" s="129">
        <v>123405.21600000001</v>
      </c>
      <c r="AJ126" s="129">
        <v>268119.17000000004</v>
      </c>
      <c r="AK126" s="129">
        <v>515262.35200000007</v>
      </c>
      <c r="AL126" s="129">
        <v>610499.03200000001</v>
      </c>
      <c r="AM126" s="129">
        <v>572676.98400000005</v>
      </c>
      <c r="AN126" s="129">
        <v>400888.62000000005</v>
      </c>
      <c r="AO126" s="129">
        <v>103661.14000000001</v>
      </c>
      <c r="AP126" s="129">
        <v>59954.444000000003</v>
      </c>
      <c r="AQ126" s="129">
        <v>150099.97200000001</v>
      </c>
      <c r="AR126" s="129">
        <v>91234.26400000001</v>
      </c>
      <c r="AS126" s="129">
        <v>166151.48000000001</v>
      </c>
      <c r="AT126" s="129">
        <v>117486.82</v>
      </c>
      <c r="AU126" s="129">
        <v>325548.17196000001</v>
      </c>
      <c r="AV126" s="129">
        <v>391547.66000000003</v>
      </c>
      <c r="AW126" s="129">
        <v>397202.88</v>
      </c>
      <c r="AX126" s="129">
        <v>271426.761</v>
      </c>
      <c r="AY126" s="129">
        <v>180066.87</v>
      </c>
      <c r="AZ126" s="129">
        <v>306477.89999999997</v>
      </c>
      <c r="BA126" s="129">
        <v>422023.96499999997</v>
      </c>
      <c r="BB126" s="129">
        <v>165772.43</v>
      </c>
      <c r="BC126" s="129">
        <v>0</v>
      </c>
      <c r="BD126" s="129">
        <v>0</v>
      </c>
      <c r="BE126" s="129">
        <v>0</v>
      </c>
      <c r="BF126" s="129">
        <v>0</v>
      </c>
      <c r="BG126" s="129">
        <v>0</v>
      </c>
      <c r="BH126" s="129">
        <v>0</v>
      </c>
      <c r="BI126" s="129">
        <v>0</v>
      </c>
      <c r="BJ126" s="129">
        <v>0</v>
      </c>
      <c r="BK126" s="129">
        <v>0</v>
      </c>
      <c r="BL126" s="129">
        <v>0</v>
      </c>
      <c r="BM126" s="129">
        <v>0</v>
      </c>
      <c r="BN126" s="129">
        <v>0</v>
      </c>
      <c r="BO126" s="129">
        <v>0</v>
      </c>
      <c r="BP126" s="129">
        <v>0</v>
      </c>
      <c r="BQ126" s="129">
        <v>0</v>
      </c>
      <c r="BR126" s="129">
        <v>0</v>
      </c>
      <c r="BS126" s="129">
        <v>0</v>
      </c>
      <c r="BT126" s="129">
        <v>0</v>
      </c>
      <c r="BU126" s="129">
        <v>0</v>
      </c>
      <c r="BV126" s="129">
        <v>0</v>
      </c>
      <c r="BW126" s="129">
        <v>0</v>
      </c>
      <c r="BX126" s="129">
        <v>0</v>
      </c>
      <c r="BY126" s="129">
        <v>0</v>
      </c>
      <c r="BZ126" s="129">
        <v>0</v>
      </c>
      <c r="CA126" s="129">
        <v>0</v>
      </c>
      <c r="CB126" s="129">
        <v>0</v>
      </c>
      <c r="CC126" s="129">
        <v>0</v>
      </c>
      <c r="CD126" s="129">
        <v>0</v>
      </c>
      <c r="CE126" s="129">
        <v>0</v>
      </c>
      <c r="CF126" s="129">
        <v>0</v>
      </c>
      <c r="CG126" s="129">
        <v>0</v>
      </c>
      <c r="CH126" s="129">
        <v>0</v>
      </c>
      <c r="CI126" s="129">
        <v>0</v>
      </c>
      <c r="CJ126" s="129">
        <v>0</v>
      </c>
      <c r="CK126" s="129">
        <v>0</v>
      </c>
      <c r="CL126" s="129">
        <v>0</v>
      </c>
      <c r="CM126" s="129">
        <v>0</v>
      </c>
      <c r="CN126" s="129">
        <v>0</v>
      </c>
      <c r="CO126" s="129">
        <v>0</v>
      </c>
      <c r="CP126" s="129">
        <v>0</v>
      </c>
      <c r="CQ126" s="129">
        <v>0</v>
      </c>
      <c r="CR126" s="129">
        <v>0</v>
      </c>
      <c r="CS126" s="129">
        <v>0</v>
      </c>
      <c r="CT126" s="129">
        <v>0</v>
      </c>
      <c r="CU126" s="129">
        <v>0</v>
      </c>
      <c r="CV126" s="129">
        <v>0</v>
      </c>
      <c r="CW126" s="129">
        <v>0</v>
      </c>
      <c r="CX126" s="129">
        <v>0</v>
      </c>
      <c r="CY126" s="129">
        <v>0</v>
      </c>
      <c r="CZ126" s="129">
        <v>0</v>
      </c>
      <c r="DA126" s="129">
        <v>0</v>
      </c>
      <c r="DB126" s="129">
        <v>0</v>
      </c>
      <c r="DC126" s="129">
        <v>0</v>
      </c>
      <c r="DD126" s="129">
        <v>0</v>
      </c>
      <c r="DE126" s="129">
        <v>0</v>
      </c>
      <c r="DF126" s="129">
        <v>0</v>
      </c>
      <c r="DG126" s="129">
        <v>0</v>
      </c>
      <c r="DH126" s="129">
        <v>0</v>
      </c>
      <c r="DI126" s="129">
        <v>0</v>
      </c>
      <c r="DJ126" s="129">
        <v>0</v>
      </c>
      <c r="DK126" s="129">
        <v>0</v>
      </c>
      <c r="DL126" s="129">
        <v>0</v>
      </c>
      <c r="DM126" s="129">
        <v>0</v>
      </c>
      <c r="DN126" s="129">
        <v>0</v>
      </c>
      <c r="DO126" s="129">
        <v>0</v>
      </c>
      <c r="DP126" s="129">
        <v>0</v>
      </c>
      <c r="DQ126" s="129">
        <v>0</v>
      </c>
      <c r="DR126" s="129">
        <v>0</v>
      </c>
      <c r="DS126" s="129">
        <v>0</v>
      </c>
      <c r="DT126" s="129">
        <v>0</v>
      </c>
      <c r="DU126" s="129">
        <v>0</v>
      </c>
      <c r="DW126" s="129">
        <f t="shared" si="410"/>
        <v>165772.43</v>
      </c>
      <c r="DX126" s="663">
        <f t="shared" si="411"/>
        <v>0</v>
      </c>
      <c r="DY126" s="129">
        <f t="shared" si="412"/>
        <v>0</v>
      </c>
      <c r="DZ126" s="129">
        <f t="shared" si="413"/>
        <v>0</v>
      </c>
      <c r="EA126" s="129">
        <f t="shared" si="414"/>
        <v>0</v>
      </c>
      <c r="EB126" s="129">
        <f t="shared" si="415"/>
        <v>0</v>
      </c>
      <c r="EC126" s="129">
        <f t="shared" si="416"/>
        <v>0</v>
      </c>
      <c r="ED126" s="129">
        <f t="shared" si="417"/>
        <v>0</v>
      </c>
      <c r="EE126" s="129">
        <f t="shared" si="418"/>
        <v>0</v>
      </c>
      <c r="EF126" s="129">
        <f t="shared" si="419"/>
        <v>0</v>
      </c>
      <c r="EG126" s="129">
        <f t="shared" si="420"/>
        <v>0</v>
      </c>
      <c r="EH126" s="129">
        <f t="shared" si="421"/>
        <v>0</v>
      </c>
      <c r="EI126" s="129">
        <f t="shared" si="422"/>
        <v>0</v>
      </c>
      <c r="EJ126" s="129">
        <f t="shared" si="423"/>
        <v>0</v>
      </c>
      <c r="EK126" s="129">
        <f t="shared" si="424"/>
        <v>0</v>
      </c>
      <c r="EL126" s="129">
        <f t="shared" si="425"/>
        <v>0</v>
      </c>
      <c r="EM126" s="129">
        <f t="shared" si="426"/>
        <v>0</v>
      </c>
      <c r="EN126" s="129">
        <f t="shared" si="427"/>
        <v>0</v>
      </c>
      <c r="EO126" s="644">
        <f t="shared" si="428"/>
        <v>0</v>
      </c>
      <c r="EP126" s="129">
        <f t="shared" si="429"/>
        <v>0</v>
      </c>
      <c r="EQ126" s="129">
        <f t="shared" si="430"/>
        <v>0</v>
      </c>
      <c r="ER126" s="129">
        <f t="shared" si="431"/>
        <v>0</v>
      </c>
      <c r="ES126" s="129">
        <f t="shared" si="432"/>
        <v>0</v>
      </c>
      <c r="ET126" s="129">
        <f t="shared" si="433"/>
        <v>0</v>
      </c>
      <c r="EV126" s="129">
        <f t="shared" si="434"/>
        <v>165772.43</v>
      </c>
      <c r="EW126" s="129">
        <f t="shared" si="435"/>
        <v>0</v>
      </c>
      <c r="EX126" s="129">
        <f t="shared" si="436"/>
        <v>0</v>
      </c>
      <c r="EY126" s="129">
        <f t="shared" si="437"/>
        <v>0</v>
      </c>
      <c r="EZ126" s="129">
        <f t="shared" si="438"/>
        <v>0</v>
      </c>
      <c r="FA126" s="663">
        <f t="shared" si="439"/>
        <v>0</v>
      </c>
    </row>
    <row r="127" spans="2:157" x14ac:dyDescent="0.2">
      <c r="B127" s="135" t="s">
        <v>150</v>
      </c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29">
        <v>2130854.060384843</v>
      </c>
      <c r="AB127" s="129">
        <v>1282423.9972185537</v>
      </c>
      <c r="AC127" s="129">
        <v>1630901.8823608139</v>
      </c>
      <c r="AD127" s="129">
        <v>1234112.6781865167</v>
      </c>
      <c r="AE127" s="129">
        <v>776244.6812035701</v>
      </c>
      <c r="AF127" s="129">
        <v>1181656.5407146618</v>
      </c>
      <c r="AG127" s="129">
        <v>877900</v>
      </c>
      <c r="AH127" s="129">
        <v>388689.76008068753</v>
      </c>
      <c r="AI127" s="129">
        <v>492912.09431651281</v>
      </c>
      <c r="AJ127" s="129">
        <v>1066845.4195904422</v>
      </c>
      <c r="AK127" s="129">
        <v>2059380.0182991216</v>
      </c>
      <c r="AL127" s="129">
        <v>2438025.817679028</v>
      </c>
      <c r="AM127" s="129">
        <v>2285489.793643964</v>
      </c>
      <c r="AN127" s="129">
        <v>1601056.6835871171</v>
      </c>
      <c r="AO127" s="129">
        <v>408795.45404211478</v>
      </c>
      <c r="AP127" s="129">
        <v>238728.96457417944</v>
      </c>
      <c r="AQ127" s="129">
        <v>598384.15460408933</v>
      </c>
      <c r="AR127" s="129">
        <v>368897.9804208827</v>
      </c>
      <c r="AS127" s="129">
        <v>667424.20244180295</v>
      </c>
      <c r="AT127" s="129">
        <v>469914.74963170785</v>
      </c>
      <c r="AU127" s="129">
        <v>1303059.3891214989</v>
      </c>
      <c r="AV127" s="129">
        <v>1298500</v>
      </c>
      <c r="AW127" s="129">
        <v>1336352.209131601</v>
      </c>
      <c r="AX127" s="129">
        <v>841500</v>
      </c>
      <c r="AY127" s="129">
        <v>716960</v>
      </c>
      <c r="AZ127" s="129">
        <v>953850</v>
      </c>
      <c r="BA127" s="129">
        <v>1627353</v>
      </c>
      <c r="BB127" s="129">
        <v>887312</v>
      </c>
      <c r="BC127" s="129">
        <v>0</v>
      </c>
      <c r="BD127" s="129">
        <v>0</v>
      </c>
      <c r="BE127" s="129">
        <v>0</v>
      </c>
      <c r="BF127" s="129">
        <v>0</v>
      </c>
      <c r="BG127" s="129">
        <v>0</v>
      </c>
      <c r="BH127" s="129">
        <v>0</v>
      </c>
      <c r="BI127" s="129">
        <v>0</v>
      </c>
      <c r="BJ127" s="129">
        <v>0</v>
      </c>
      <c r="BK127" s="129">
        <v>0</v>
      </c>
      <c r="BL127" s="129">
        <v>0</v>
      </c>
      <c r="BM127" s="129">
        <v>0</v>
      </c>
      <c r="BN127" s="129">
        <v>0</v>
      </c>
      <c r="BO127" s="129">
        <v>0</v>
      </c>
      <c r="BP127" s="129">
        <v>0</v>
      </c>
      <c r="BQ127" s="129">
        <v>0</v>
      </c>
      <c r="BR127" s="129">
        <v>0</v>
      </c>
      <c r="BS127" s="129">
        <v>0</v>
      </c>
      <c r="BT127" s="129">
        <v>0</v>
      </c>
      <c r="BU127" s="129">
        <v>0</v>
      </c>
      <c r="BV127" s="129">
        <v>0</v>
      </c>
      <c r="BW127" s="129">
        <v>0</v>
      </c>
      <c r="BX127" s="129">
        <v>0</v>
      </c>
      <c r="BY127" s="129">
        <v>0</v>
      </c>
      <c r="BZ127" s="129">
        <v>0</v>
      </c>
      <c r="CA127" s="129">
        <v>0</v>
      </c>
      <c r="CB127" s="129">
        <v>0</v>
      </c>
      <c r="CC127" s="129">
        <v>0</v>
      </c>
      <c r="CD127" s="129">
        <v>0</v>
      </c>
      <c r="CE127" s="129">
        <v>0</v>
      </c>
      <c r="CF127" s="129">
        <v>0</v>
      </c>
      <c r="CG127" s="129">
        <v>0</v>
      </c>
      <c r="CH127" s="129">
        <v>0</v>
      </c>
      <c r="CI127" s="129">
        <v>0</v>
      </c>
      <c r="CJ127" s="129">
        <v>0</v>
      </c>
      <c r="CK127" s="129">
        <v>0</v>
      </c>
      <c r="CL127" s="129">
        <v>0</v>
      </c>
      <c r="CM127" s="129">
        <v>0</v>
      </c>
      <c r="CN127" s="129">
        <v>0</v>
      </c>
      <c r="CO127" s="129">
        <v>0</v>
      </c>
      <c r="CP127" s="129">
        <v>0</v>
      </c>
      <c r="CQ127" s="129">
        <v>0</v>
      </c>
      <c r="CR127" s="129">
        <v>0</v>
      </c>
      <c r="CS127" s="129">
        <v>0</v>
      </c>
      <c r="CT127" s="129">
        <v>0</v>
      </c>
      <c r="CU127" s="129">
        <v>0</v>
      </c>
      <c r="CV127" s="129">
        <v>0</v>
      </c>
      <c r="CW127" s="129">
        <v>0</v>
      </c>
      <c r="CX127" s="129">
        <v>0</v>
      </c>
      <c r="CY127" s="129">
        <v>0</v>
      </c>
      <c r="CZ127" s="129">
        <v>0</v>
      </c>
      <c r="DA127" s="129">
        <v>0</v>
      </c>
      <c r="DB127" s="129">
        <v>0</v>
      </c>
      <c r="DC127" s="129">
        <v>0</v>
      </c>
      <c r="DD127" s="129">
        <v>0</v>
      </c>
      <c r="DE127" s="129">
        <v>0</v>
      </c>
      <c r="DF127" s="129">
        <v>0</v>
      </c>
      <c r="DG127" s="129">
        <v>0</v>
      </c>
      <c r="DH127" s="129">
        <v>0</v>
      </c>
      <c r="DI127" s="129">
        <v>0</v>
      </c>
      <c r="DJ127" s="129">
        <v>0</v>
      </c>
      <c r="DK127" s="129">
        <v>0</v>
      </c>
      <c r="DL127" s="129">
        <v>0</v>
      </c>
      <c r="DM127" s="129">
        <v>0</v>
      </c>
      <c r="DN127" s="129">
        <v>0</v>
      </c>
      <c r="DO127" s="129">
        <v>0</v>
      </c>
      <c r="DP127" s="129">
        <v>0</v>
      </c>
      <c r="DQ127" s="129">
        <v>0</v>
      </c>
      <c r="DR127" s="129">
        <v>0</v>
      </c>
      <c r="DS127" s="129">
        <v>0</v>
      </c>
      <c r="DT127" s="129">
        <v>0</v>
      </c>
      <c r="DU127" s="129">
        <v>0</v>
      </c>
      <c r="DW127" s="129">
        <f t="shared" si="410"/>
        <v>887312</v>
      </c>
      <c r="DX127" s="663">
        <f t="shared" si="411"/>
        <v>0</v>
      </c>
      <c r="DY127" s="129">
        <f t="shared" si="412"/>
        <v>0</v>
      </c>
      <c r="DZ127" s="129">
        <f t="shared" si="413"/>
        <v>0</v>
      </c>
      <c r="EA127" s="129">
        <f t="shared" si="414"/>
        <v>0</v>
      </c>
      <c r="EB127" s="129">
        <f t="shared" si="415"/>
        <v>0</v>
      </c>
      <c r="EC127" s="129">
        <f t="shared" si="416"/>
        <v>0</v>
      </c>
      <c r="ED127" s="129">
        <f t="shared" si="417"/>
        <v>0</v>
      </c>
      <c r="EE127" s="129">
        <f t="shared" si="418"/>
        <v>0</v>
      </c>
      <c r="EF127" s="129">
        <f t="shared" si="419"/>
        <v>0</v>
      </c>
      <c r="EG127" s="129">
        <f t="shared" si="420"/>
        <v>0</v>
      </c>
      <c r="EH127" s="129">
        <f t="shared" si="421"/>
        <v>0</v>
      </c>
      <c r="EI127" s="129">
        <f t="shared" si="422"/>
        <v>0</v>
      </c>
      <c r="EJ127" s="129">
        <f t="shared" si="423"/>
        <v>0</v>
      </c>
      <c r="EK127" s="129">
        <f t="shared" si="424"/>
        <v>0</v>
      </c>
      <c r="EL127" s="129">
        <f t="shared" si="425"/>
        <v>0</v>
      </c>
      <c r="EM127" s="129">
        <f t="shared" si="426"/>
        <v>0</v>
      </c>
      <c r="EN127" s="129">
        <f t="shared" si="427"/>
        <v>0</v>
      </c>
      <c r="EO127" s="644">
        <f t="shared" si="428"/>
        <v>0</v>
      </c>
      <c r="EP127" s="129">
        <f t="shared" si="429"/>
        <v>0</v>
      </c>
      <c r="EQ127" s="129">
        <f t="shared" si="430"/>
        <v>0</v>
      </c>
      <c r="ER127" s="129">
        <f t="shared" si="431"/>
        <v>0</v>
      </c>
      <c r="ES127" s="129">
        <f t="shared" si="432"/>
        <v>0</v>
      </c>
      <c r="ET127" s="129">
        <f t="shared" si="433"/>
        <v>0</v>
      </c>
      <c r="EV127" s="129">
        <f t="shared" si="434"/>
        <v>887312</v>
      </c>
      <c r="EW127" s="129">
        <f t="shared" si="435"/>
        <v>0</v>
      </c>
      <c r="EX127" s="129">
        <f t="shared" si="436"/>
        <v>0</v>
      </c>
      <c r="EY127" s="129">
        <f t="shared" si="437"/>
        <v>0</v>
      </c>
      <c r="EZ127" s="129">
        <f t="shared" si="438"/>
        <v>0</v>
      </c>
      <c r="FA127" s="663">
        <f t="shared" si="439"/>
        <v>0</v>
      </c>
    </row>
    <row r="128" spans="2:157" x14ac:dyDescent="0.2">
      <c r="B128" s="117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  <c r="AL128" s="115"/>
      <c r="AM128" s="115"/>
      <c r="AN128" s="115"/>
      <c r="AO128" s="115"/>
      <c r="AP128" s="115"/>
      <c r="AQ128" s="115"/>
      <c r="AR128" s="115"/>
      <c r="AS128" s="115"/>
      <c r="AT128" s="115"/>
      <c r="AU128" s="115"/>
      <c r="AV128" s="115"/>
      <c r="AW128" s="115"/>
      <c r="AX128" s="115"/>
      <c r="AY128" s="115"/>
      <c r="AZ128" s="115"/>
      <c r="BA128" s="115"/>
      <c r="BB128" s="115"/>
      <c r="BC128" s="115"/>
      <c r="BD128" s="115"/>
      <c r="BE128" s="115"/>
      <c r="BF128" s="115"/>
      <c r="BG128" s="115"/>
      <c r="BH128" s="115"/>
      <c r="BI128" s="115"/>
      <c r="BJ128" s="115"/>
      <c r="BK128" s="115"/>
      <c r="BL128" s="115"/>
      <c r="BM128" s="115"/>
      <c r="BN128" s="115"/>
      <c r="BO128" s="115"/>
      <c r="BP128" s="115"/>
      <c r="BQ128" s="115"/>
      <c r="BR128" s="115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115"/>
      <c r="CD128" s="115"/>
      <c r="CE128" s="115"/>
      <c r="CF128" s="115"/>
      <c r="CG128" s="115"/>
      <c r="CH128" s="115"/>
      <c r="CI128" s="115"/>
      <c r="CJ128" s="115"/>
      <c r="CK128" s="115"/>
      <c r="CL128" s="115"/>
      <c r="CM128" s="115"/>
      <c r="CN128" s="115"/>
      <c r="CO128" s="115"/>
      <c r="CP128" s="115"/>
      <c r="CQ128" s="115"/>
      <c r="CR128" s="115"/>
      <c r="CS128" s="115"/>
      <c r="CT128" s="115"/>
      <c r="CU128" s="115"/>
      <c r="CV128" s="115"/>
      <c r="CW128" s="115"/>
      <c r="CX128" s="115"/>
      <c r="CY128" s="115"/>
      <c r="CZ128" s="115"/>
      <c r="DA128" s="115"/>
      <c r="DB128" s="115"/>
      <c r="DC128" s="115"/>
      <c r="DD128" s="115"/>
      <c r="DE128" s="115"/>
      <c r="DF128" s="115"/>
      <c r="DG128" s="115"/>
      <c r="DH128" s="115"/>
      <c r="DI128" s="115"/>
      <c r="DJ128" s="115"/>
      <c r="DK128" s="115"/>
      <c r="DL128" s="115"/>
      <c r="DM128" s="115"/>
      <c r="DN128" s="115"/>
      <c r="DO128" s="115"/>
      <c r="DP128" s="115"/>
      <c r="DQ128" s="115"/>
      <c r="DR128" s="115"/>
      <c r="DS128" s="115"/>
      <c r="DT128" s="115"/>
      <c r="DU128" s="115"/>
      <c r="DW128" s="115"/>
      <c r="DX128" s="664"/>
      <c r="DY128" s="115"/>
      <c r="DZ128" s="115"/>
      <c r="EA128" s="115"/>
      <c r="EB128" s="115"/>
      <c r="EC128" s="115"/>
      <c r="ED128" s="115"/>
      <c r="EE128" s="115"/>
      <c r="EF128" s="115"/>
      <c r="EG128" s="115"/>
      <c r="EH128" s="115"/>
      <c r="EI128" s="115"/>
      <c r="EJ128" s="115"/>
      <c r="EK128" s="115"/>
      <c r="EL128" s="115"/>
      <c r="EM128" s="115"/>
      <c r="EN128" s="115"/>
      <c r="EO128" s="645"/>
      <c r="EP128" s="115"/>
      <c r="EQ128" s="115"/>
      <c r="ER128" s="115"/>
      <c r="ES128" s="115"/>
      <c r="ET128" s="115"/>
      <c r="EV128" s="115"/>
      <c r="EW128" s="115"/>
      <c r="EX128" s="115"/>
      <c r="EY128" s="115"/>
      <c r="EZ128" s="115"/>
      <c r="FA128" s="664"/>
    </row>
    <row r="129" spans="2:157" x14ac:dyDescent="0.2">
      <c r="B129" s="186" t="s">
        <v>38</v>
      </c>
      <c r="C129" s="215">
        <f>C97-C105</f>
        <v>153705.50681724848</v>
      </c>
      <c r="D129" s="215">
        <f t="shared" ref="D129:BO129" si="465">D97-D105</f>
        <v>1015312.441818182</v>
      </c>
      <c r="E129" s="215">
        <f t="shared" si="465"/>
        <v>5390117.1730228141</v>
      </c>
      <c r="F129" s="215">
        <f t="shared" si="465"/>
        <v>5006180.7812934946</v>
      </c>
      <c r="G129" s="215">
        <f t="shared" si="465"/>
        <v>4554194.7350057308</v>
      </c>
      <c r="H129" s="215">
        <f t="shared" si="465"/>
        <v>2929233.3929553479</v>
      </c>
      <c r="I129" s="215">
        <f t="shared" si="465"/>
        <v>6351386.2589820577</v>
      </c>
      <c r="J129" s="215">
        <f t="shared" si="465"/>
        <v>4857756.054397027</v>
      </c>
      <c r="K129" s="215">
        <f t="shared" si="465"/>
        <v>3763375.7965887389</v>
      </c>
      <c r="L129" s="215">
        <f t="shared" si="465"/>
        <v>6887705.1216183938</v>
      </c>
      <c r="M129" s="215">
        <f t="shared" si="465"/>
        <v>1261194.1540979766</v>
      </c>
      <c r="N129" s="215">
        <f t="shared" si="465"/>
        <v>3341019.6204179898</v>
      </c>
      <c r="O129" s="215">
        <f t="shared" si="465"/>
        <v>1739768.16442714</v>
      </c>
      <c r="P129" s="215">
        <f t="shared" si="465"/>
        <v>-576491.83334985143</v>
      </c>
      <c r="Q129" s="215">
        <f t="shared" si="465"/>
        <v>933437.2496483468</v>
      </c>
      <c r="R129" s="215">
        <f t="shared" si="465"/>
        <v>-964545.2076271195</v>
      </c>
      <c r="S129" s="215">
        <f t="shared" si="465"/>
        <v>2519253.1693673357</v>
      </c>
      <c r="T129" s="215">
        <f t="shared" si="465"/>
        <v>2214314.3040804118</v>
      </c>
      <c r="U129" s="215">
        <f t="shared" si="465"/>
        <v>2976609.3773798142</v>
      </c>
      <c r="V129" s="215">
        <f t="shared" si="465"/>
        <v>2115012.4055370349</v>
      </c>
      <c r="W129" s="215">
        <f t="shared" si="465"/>
        <v>1944508.2099065064</v>
      </c>
      <c r="X129" s="215">
        <f t="shared" si="465"/>
        <v>2246660.0382570066</v>
      </c>
      <c r="Y129" s="215">
        <f t="shared" si="465"/>
        <v>1440418.1614875589</v>
      </c>
      <c r="Z129" s="215">
        <f t="shared" si="465"/>
        <v>2970540.6821819181</v>
      </c>
      <c r="AA129" s="215">
        <f t="shared" si="465"/>
        <v>3608971.2518027257</v>
      </c>
      <c r="AB129" s="215">
        <f t="shared" si="465"/>
        <v>3107181.8173985914</v>
      </c>
      <c r="AC129" s="215">
        <f t="shared" si="465"/>
        <v>2828386.0932757324</v>
      </c>
      <c r="AD129" s="215">
        <f t="shared" si="465"/>
        <v>559191.79536058893</v>
      </c>
      <c r="AE129" s="215">
        <f t="shared" si="465"/>
        <v>-436707.81632871856</v>
      </c>
      <c r="AF129" s="215">
        <f t="shared" si="465"/>
        <v>-142027.92749309167</v>
      </c>
      <c r="AG129" s="215">
        <f t="shared" si="465"/>
        <v>1108412.4140742365</v>
      </c>
      <c r="AH129" s="215">
        <f t="shared" si="465"/>
        <v>663293.32226542826</v>
      </c>
      <c r="AI129" s="215">
        <f t="shared" si="465"/>
        <v>1318905.0425726755</v>
      </c>
      <c r="AJ129" s="215">
        <f t="shared" si="465"/>
        <v>1953216.1969271251</v>
      </c>
      <c r="AK129" s="215">
        <f t="shared" si="465"/>
        <v>4241649.1819194928</v>
      </c>
      <c r="AL129" s="215">
        <f t="shared" si="465"/>
        <v>4629919.5825003963</v>
      </c>
      <c r="AM129" s="215">
        <f t="shared" si="465"/>
        <v>5889465.76433108</v>
      </c>
      <c r="AN129" s="215">
        <f t="shared" si="465"/>
        <v>6032040.9488728261</v>
      </c>
      <c r="AO129" s="215">
        <f t="shared" si="465"/>
        <v>2631689.8903918937</v>
      </c>
      <c r="AP129" s="215">
        <f t="shared" si="465"/>
        <v>2024694.7139888823</v>
      </c>
      <c r="AQ129" s="215">
        <f t="shared" si="465"/>
        <v>1812935.0387943969</v>
      </c>
      <c r="AR129" s="215">
        <f t="shared" si="465"/>
        <v>3108753.5387048745</v>
      </c>
      <c r="AS129" s="215">
        <f t="shared" si="465"/>
        <v>1337441.4400751712</v>
      </c>
      <c r="AT129" s="215">
        <f t="shared" si="465"/>
        <v>256383.14953999547</v>
      </c>
      <c r="AU129" s="215">
        <f t="shared" si="465"/>
        <v>402997.9287744062</v>
      </c>
      <c r="AV129" s="215">
        <f t="shared" si="465"/>
        <v>3417597.0518737063</v>
      </c>
      <c r="AW129" s="215">
        <f t="shared" si="465"/>
        <v>3165210.2681290293</v>
      </c>
      <c r="AX129" s="215">
        <f t="shared" si="465"/>
        <v>2672978.9230171246</v>
      </c>
      <c r="AY129" s="215">
        <f t="shared" si="465"/>
        <v>4890934.3914016569</v>
      </c>
      <c r="AZ129" s="215">
        <f t="shared" si="465"/>
        <v>6893737.9627657672</v>
      </c>
      <c r="BA129" s="215">
        <f t="shared" si="465"/>
        <v>7046881.2375074141</v>
      </c>
      <c r="BB129" s="215">
        <f t="shared" si="465"/>
        <v>5839713.5057157017</v>
      </c>
      <c r="BC129" s="215">
        <f t="shared" si="465"/>
        <v>9029149.6599571127</v>
      </c>
      <c r="BD129" s="215">
        <f t="shared" si="465"/>
        <v>14620448.784674617</v>
      </c>
      <c r="BE129" s="215">
        <f t="shared" si="465"/>
        <v>8280229.6610479522</v>
      </c>
      <c r="BF129" s="215">
        <f t="shared" si="465"/>
        <v>11344512.713561017</v>
      </c>
      <c r="BG129" s="215">
        <f t="shared" si="465"/>
        <v>5547957.9804472122</v>
      </c>
      <c r="BH129" s="215">
        <f t="shared" si="465"/>
        <v>13057423.7276082</v>
      </c>
      <c r="BI129" s="215">
        <f t="shared" si="465"/>
        <v>17421293.400324643</v>
      </c>
      <c r="BJ129" s="215">
        <f t="shared" si="465"/>
        <v>20269808.001648553</v>
      </c>
      <c r="BK129" s="215">
        <f t="shared" si="465"/>
        <v>22123894.388533644</v>
      </c>
      <c r="BL129" s="215">
        <f t="shared" si="465"/>
        <v>18414892.942720614</v>
      </c>
      <c r="BM129" s="215">
        <f t="shared" si="465"/>
        <v>27462668.134219363</v>
      </c>
      <c r="BN129" s="215">
        <f t="shared" si="465"/>
        <v>25306100.869188964</v>
      </c>
      <c r="BO129" s="215">
        <f t="shared" si="465"/>
        <v>26012153.837083228</v>
      </c>
      <c r="BP129" s="215">
        <f t="shared" ref="BP129:DI129" si="466">BP97-BP105</f>
        <v>30263179.224198848</v>
      </c>
      <c r="BQ129" s="215">
        <f t="shared" si="466"/>
        <v>27964649.090778284</v>
      </c>
      <c r="BR129" s="215">
        <f t="shared" si="466"/>
        <v>27011716.324868433</v>
      </c>
      <c r="BS129" s="215">
        <f t="shared" si="466"/>
        <v>27793717.629159044</v>
      </c>
      <c r="BT129" s="215">
        <f t="shared" si="466"/>
        <v>32181073.911911316</v>
      </c>
      <c r="BU129" s="215">
        <f t="shared" si="466"/>
        <v>27493650.463533625</v>
      </c>
      <c r="BV129" s="215">
        <f t="shared" si="466"/>
        <v>32001556.065681614</v>
      </c>
      <c r="BW129" s="215">
        <f t="shared" si="466"/>
        <v>36054965.759700805</v>
      </c>
      <c r="BX129" s="215">
        <f t="shared" si="466"/>
        <v>33700431.865396969</v>
      </c>
      <c r="BY129" s="215">
        <f t="shared" si="466"/>
        <v>44181124.672381088</v>
      </c>
      <c r="BZ129" s="215">
        <f t="shared" si="466"/>
        <v>35507409.413115159</v>
      </c>
      <c r="CA129" s="215">
        <f t="shared" si="466"/>
        <v>37521577.105028614</v>
      </c>
      <c r="CB129" s="215">
        <f t="shared" si="466"/>
        <v>37478573.425241634</v>
      </c>
      <c r="CC129" s="215">
        <f t="shared" si="466"/>
        <v>43233967.234545484</v>
      </c>
      <c r="CD129" s="215">
        <f t="shared" si="466"/>
        <v>40182044.396421365</v>
      </c>
      <c r="CE129" s="215">
        <f t="shared" si="466"/>
        <v>40214367.422916763</v>
      </c>
      <c r="CF129" s="215">
        <f t="shared" si="466"/>
        <v>33218003.34632086</v>
      </c>
      <c r="CG129" s="215">
        <f t="shared" si="466"/>
        <v>32490652.381024338</v>
      </c>
      <c r="CH129" s="215">
        <f t="shared" si="466"/>
        <v>36592039.81287802</v>
      </c>
      <c r="CI129" s="215">
        <f t="shared" si="466"/>
        <v>37709616.890692353</v>
      </c>
      <c r="CJ129" s="215">
        <f t="shared" si="466"/>
        <v>26638026.973235536</v>
      </c>
      <c r="CK129" s="215">
        <f t="shared" si="466"/>
        <v>31343770.947452661</v>
      </c>
      <c r="CL129" s="215">
        <f t="shared" si="466"/>
        <v>40759352.775689974</v>
      </c>
      <c r="CM129" s="215">
        <f t="shared" si="466"/>
        <v>41174187.501320325</v>
      </c>
      <c r="CN129" s="215">
        <f t="shared" si="466"/>
        <v>41144731.78115724</v>
      </c>
      <c r="CO129" s="215">
        <f t="shared" si="466"/>
        <v>41765756.547929265</v>
      </c>
      <c r="CP129" s="215">
        <f t="shared" si="466"/>
        <v>39355296.78124886</v>
      </c>
      <c r="CQ129" s="215">
        <f t="shared" si="466"/>
        <v>43051989.661717884</v>
      </c>
      <c r="CR129" s="215">
        <f t="shared" si="466"/>
        <v>41861487.638459221</v>
      </c>
      <c r="CS129" s="215">
        <f t="shared" si="466"/>
        <v>41959673.372336335</v>
      </c>
      <c r="CT129" s="215">
        <f t="shared" si="466"/>
        <v>51505781.348527655</v>
      </c>
      <c r="CU129" s="215">
        <f t="shared" si="466"/>
        <v>55497031.430627786</v>
      </c>
      <c r="CV129" s="215">
        <f t="shared" si="466"/>
        <v>47578351.993447721</v>
      </c>
      <c r="CW129" s="215">
        <f t="shared" si="466"/>
        <v>51412504.901344627</v>
      </c>
      <c r="CX129" s="215">
        <f t="shared" si="466"/>
        <v>47334048.128682502</v>
      </c>
      <c r="CY129" s="215">
        <f t="shared" si="466"/>
        <v>47815797.85067866</v>
      </c>
      <c r="CZ129" s="215">
        <f t="shared" si="466"/>
        <v>47781590.769826949</v>
      </c>
      <c r="DA129" s="215">
        <f t="shared" si="466"/>
        <v>48502790.057785772</v>
      </c>
      <c r="DB129" s="215">
        <f t="shared" si="466"/>
        <v>45703510.608079873</v>
      </c>
      <c r="DC129" s="215">
        <f t="shared" si="466"/>
        <v>49996499.254981183</v>
      </c>
      <c r="DD129" s="215">
        <f t="shared" si="466"/>
        <v>48613963.070554093</v>
      </c>
      <c r="DE129" s="215">
        <f t="shared" si="466"/>
        <v>48727986.673393458</v>
      </c>
      <c r="DF129" s="215">
        <f t="shared" si="466"/>
        <v>59813931.459448755</v>
      </c>
      <c r="DG129" s="215">
        <f t="shared" si="466"/>
        <v>64448990.914867945</v>
      </c>
      <c r="DH129" s="215">
        <f t="shared" si="466"/>
        <v>55252987.345874876</v>
      </c>
      <c r="DI129" s="215">
        <f t="shared" si="466"/>
        <v>59705609.036751255</v>
      </c>
      <c r="DJ129" s="215">
        <f t="shared" ref="DJ129:DU129" si="467">DJ97-DJ105</f>
        <v>55448907.729429424</v>
      </c>
      <c r="DK129" s="215">
        <f t="shared" si="467"/>
        <v>56013247.711740404</v>
      </c>
      <c r="DL129" s="215">
        <f t="shared" si="467"/>
        <v>55973176.233706601</v>
      </c>
      <c r="DM129" s="215">
        <f t="shared" si="467"/>
        <v>56818016.562254936</v>
      </c>
      <c r="DN129" s="215">
        <f t="shared" si="467"/>
        <v>53538833.943146214</v>
      </c>
      <c r="DO129" s="215">
        <f t="shared" si="467"/>
        <v>58567804.436402515</v>
      </c>
      <c r="DP129" s="215">
        <f t="shared" si="467"/>
        <v>56948248.865865089</v>
      </c>
      <c r="DQ129" s="215">
        <f t="shared" si="467"/>
        <v>57081820.459311463</v>
      </c>
      <c r="DR129" s="215">
        <f t="shared" si="467"/>
        <v>70068318.632135987</v>
      </c>
      <c r="DS129" s="215">
        <f t="shared" si="467"/>
        <v>75498003.905731231</v>
      </c>
      <c r="DT129" s="215">
        <f t="shared" si="467"/>
        <v>64725454.894280732</v>
      </c>
      <c r="DU129" s="215">
        <f t="shared" si="467"/>
        <v>69941425.618361935</v>
      </c>
      <c r="DW129" s="215">
        <f>SUM(BB129:BD129)</f>
        <v>29489311.950347431</v>
      </c>
      <c r="DX129" s="670">
        <f>SUM(BE129:BG129)</f>
        <v>25172700.355056182</v>
      </c>
      <c r="DY129" s="215">
        <f>SUM(BH129:BJ129)</f>
        <v>50748525.129581392</v>
      </c>
      <c r="DZ129" s="215">
        <f>SUM(BK129:BM129)</f>
        <v>68001455.465473622</v>
      </c>
      <c r="EA129" s="215">
        <f>SUM(BN129:BP129)</f>
        <v>81581433.930471033</v>
      </c>
      <c r="EB129" s="215">
        <f>SUM(BQ129:BS129)</f>
        <v>82770083.044805765</v>
      </c>
      <c r="EC129" s="215">
        <f>SUM(BT129:BV129)</f>
        <v>91676280.441126555</v>
      </c>
      <c r="ED129" s="215">
        <f>SUM(BW129:BY129)</f>
        <v>113936522.29747887</v>
      </c>
      <c r="EE129" s="215">
        <f>SUM(BZ129:CB129)</f>
        <v>110507559.94338541</v>
      </c>
      <c r="EF129" s="215">
        <f>SUM(CC129:CE129)</f>
        <v>123630379.05388361</v>
      </c>
      <c r="EG129" s="215">
        <f>SUM(CF129:CH129)</f>
        <v>102300695.54022321</v>
      </c>
      <c r="EH129" s="215">
        <f>SUM(CI129:CK129)</f>
        <v>95691414.81138055</v>
      </c>
      <c r="EI129" s="215">
        <f>SUM(CL129:CN129)</f>
        <v>123078272.05816753</v>
      </c>
      <c r="EJ129" s="215">
        <f>SUM(CO129:CQ129)</f>
        <v>124173042.99089602</v>
      </c>
      <c r="EK129" s="215">
        <f>SUM(CR129:CT129)</f>
        <v>135326942.3593232</v>
      </c>
      <c r="EL129" s="215">
        <f>SUM(CU129:CW129)</f>
        <v>154487888.32542014</v>
      </c>
      <c r="EM129" s="215">
        <f>SUM(CX129:CZ129)</f>
        <v>142931436.74918813</v>
      </c>
      <c r="EN129" s="215">
        <f>SUM(DA129:DC129)</f>
        <v>144202799.92084682</v>
      </c>
      <c r="EO129" s="653">
        <f>SUM(DD129:DF129)</f>
        <v>157155881.20339632</v>
      </c>
      <c r="EP129" s="215">
        <f>SUM(DG129:DI129)</f>
        <v>179407587.29749405</v>
      </c>
      <c r="EQ129" s="215">
        <f t="shared" ref="EQ129" si="468">SUM(DJ129:DL129)</f>
        <v>167435331.67487642</v>
      </c>
      <c r="ER129" s="215">
        <f t="shared" ref="ER129" si="469">SUM(DM129:DO129)</f>
        <v>168924654.94180366</v>
      </c>
      <c r="ES129" s="215">
        <f t="shared" ref="ES129" si="470">SUM(DP129:DR129)</f>
        <v>184098387.95731252</v>
      </c>
      <c r="ET129" s="215">
        <f t="shared" ref="ET129" si="471">SUM(DS129:DU129)</f>
        <v>210164884.41837388</v>
      </c>
      <c r="EV129" s="215">
        <f t="shared" si="434"/>
        <v>173411992.90045863</v>
      </c>
      <c r="EW129" s="215">
        <f t="shared" si="435"/>
        <v>369964319.71388221</v>
      </c>
      <c r="EX129" s="215">
        <f t="shared" si="436"/>
        <v>432130049.34887284</v>
      </c>
      <c r="EY129" s="215">
        <f t="shared" si="437"/>
        <v>537066145.73380685</v>
      </c>
      <c r="EZ129" s="215">
        <f t="shared" si="438"/>
        <v>623697705.17092538</v>
      </c>
      <c r="FA129" s="670">
        <f t="shared" si="439"/>
        <v>730623258.99236655</v>
      </c>
    </row>
    <row r="130" spans="2:157" x14ac:dyDescent="0.2">
      <c r="B130" s="114" t="s">
        <v>132</v>
      </c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5"/>
      <c r="AK130" s="115"/>
      <c r="AL130" s="115"/>
      <c r="AM130" s="115"/>
      <c r="AN130" s="115"/>
      <c r="AO130" s="115"/>
      <c r="AP130" s="115"/>
      <c r="AQ130" s="115"/>
      <c r="AR130" s="115"/>
      <c r="AS130" s="115"/>
      <c r="AT130" s="115"/>
      <c r="AU130" s="115"/>
      <c r="AV130" s="115"/>
      <c r="AW130" s="115"/>
      <c r="AX130" s="115"/>
      <c r="AY130" s="115"/>
      <c r="AZ130" s="115"/>
      <c r="BA130" s="115"/>
      <c r="BB130" s="115"/>
      <c r="BC130" s="115"/>
      <c r="BD130" s="115"/>
      <c r="BE130" s="115"/>
      <c r="BF130" s="115"/>
      <c r="BG130" s="115"/>
      <c r="BH130" s="115"/>
      <c r="BI130" s="115"/>
      <c r="BJ130" s="115"/>
      <c r="BK130" s="115"/>
      <c r="BL130" s="115"/>
      <c r="BM130" s="115"/>
      <c r="BN130" s="115"/>
      <c r="BO130" s="115"/>
      <c r="BP130" s="115"/>
      <c r="BQ130" s="115"/>
      <c r="BR130" s="115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115"/>
      <c r="CD130" s="115"/>
      <c r="CE130" s="115"/>
      <c r="CF130" s="115"/>
      <c r="CG130" s="115"/>
      <c r="CH130" s="115"/>
      <c r="CI130" s="115"/>
      <c r="CJ130" s="115"/>
      <c r="CK130" s="115"/>
      <c r="CL130" s="115"/>
      <c r="CM130" s="115"/>
      <c r="CN130" s="115"/>
      <c r="CO130" s="115"/>
      <c r="CP130" s="115"/>
      <c r="CQ130" s="115"/>
      <c r="CR130" s="115"/>
      <c r="CS130" s="115"/>
      <c r="CT130" s="115"/>
      <c r="CU130" s="115"/>
      <c r="CV130" s="115"/>
      <c r="CW130" s="115"/>
      <c r="CX130" s="115"/>
      <c r="CY130" s="115"/>
      <c r="CZ130" s="115"/>
      <c r="DA130" s="115"/>
      <c r="DB130" s="115"/>
      <c r="DC130" s="115"/>
      <c r="DD130" s="115"/>
      <c r="DE130" s="115"/>
      <c r="DF130" s="115"/>
      <c r="DG130" s="115"/>
      <c r="DH130" s="115"/>
      <c r="DI130" s="115"/>
      <c r="DJ130" s="115"/>
      <c r="DK130" s="115"/>
      <c r="DL130" s="115"/>
      <c r="DM130" s="115"/>
      <c r="DN130" s="115"/>
      <c r="DO130" s="115"/>
      <c r="DP130" s="115"/>
      <c r="DQ130" s="115"/>
      <c r="DR130" s="115"/>
      <c r="DS130" s="115"/>
      <c r="DT130" s="115"/>
      <c r="DU130" s="115"/>
      <c r="DW130" s="115"/>
      <c r="DX130" s="664"/>
      <c r="DY130" s="115"/>
      <c r="DZ130" s="115"/>
      <c r="EA130" s="115"/>
      <c r="EB130" s="115"/>
      <c r="EC130" s="115"/>
      <c r="ED130" s="115"/>
      <c r="EE130" s="115"/>
      <c r="EF130" s="115"/>
      <c r="EG130" s="115"/>
      <c r="EH130" s="115"/>
      <c r="EI130" s="115"/>
      <c r="EJ130" s="115"/>
      <c r="EK130" s="115"/>
      <c r="EL130" s="115"/>
      <c r="EM130" s="115"/>
      <c r="EN130" s="115"/>
      <c r="EO130" s="645"/>
      <c r="EP130" s="130"/>
      <c r="EQ130" s="115"/>
      <c r="ER130" s="115"/>
      <c r="ES130" s="115"/>
      <c r="ET130" s="115"/>
      <c r="EV130" s="115"/>
      <c r="EW130" s="115"/>
      <c r="EX130" s="115"/>
      <c r="EY130" s="115"/>
      <c r="EZ130" s="115"/>
      <c r="FA130" s="664"/>
    </row>
    <row r="131" spans="2:157" x14ac:dyDescent="0.2">
      <c r="B131" s="114" t="s">
        <v>133</v>
      </c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115"/>
      <c r="AK131" s="115"/>
      <c r="AL131" s="115"/>
      <c r="AM131" s="115"/>
      <c r="AN131" s="115"/>
      <c r="AO131" s="115"/>
      <c r="AP131" s="115"/>
      <c r="AQ131" s="115"/>
      <c r="AR131" s="115"/>
      <c r="AS131" s="115"/>
      <c r="AT131" s="115"/>
      <c r="AU131" s="115"/>
      <c r="AV131" s="115"/>
      <c r="AW131" s="115"/>
      <c r="AX131" s="115"/>
      <c r="AY131" s="115"/>
      <c r="AZ131" s="115"/>
      <c r="BA131" s="115"/>
      <c r="BB131" s="115"/>
      <c r="BC131" s="115"/>
      <c r="BD131" s="115"/>
      <c r="BE131" s="115"/>
      <c r="BF131" s="115"/>
      <c r="BG131" s="115"/>
      <c r="BH131" s="115"/>
      <c r="BI131" s="115"/>
      <c r="BJ131" s="115"/>
      <c r="BK131" s="115"/>
      <c r="BL131" s="115"/>
      <c r="BM131" s="115"/>
      <c r="BN131" s="115"/>
      <c r="BO131" s="115"/>
      <c r="BP131" s="115"/>
      <c r="BQ131" s="115"/>
      <c r="BR131" s="115"/>
      <c r="BS131" s="115"/>
      <c r="BT131" s="115"/>
      <c r="BU131" s="115"/>
      <c r="BV131" s="115"/>
      <c r="BW131" s="115"/>
      <c r="BX131" s="115"/>
      <c r="BY131" s="115"/>
      <c r="BZ131" s="115"/>
      <c r="CA131" s="115"/>
      <c r="CB131" s="115"/>
      <c r="CC131" s="115"/>
      <c r="CD131" s="115"/>
      <c r="CE131" s="115"/>
      <c r="CF131" s="115"/>
      <c r="CG131" s="115"/>
      <c r="CH131" s="115"/>
      <c r="CI131" s="115"/>
      <c r="CJ131" s="115"/>
      <c r="CK131" s="115"/>
      <c r="CL131" s="115"/>
      <c r="CM131" s="115"/>
      <c r="CN131" s="115"/>
      <c r="CO131" s="115"/>
      <c r="CP131" s="115"/>
      <c r="CQ131" s="115"/>
      <c r="CR131" s="115"/>
      <c r="CS131" s="115"/>
      <c r="CT131" s="115"/>
      <c r="CU131" s="115"/>
      <c r="CV131" s="115"/>
      <c r="CW131" s="115"/>
      <c r="CX131" s="115"/>
      <c r="CY131" s="115"/>
      <c r="CZ131" s="115"/>
      <c r="DA131" s="115"/>
      <c r="DB131" s="115"/>
      <c r="DC131" s="115"/>
      <c r="DD131" s="115"/>
      <c r="DE131" s="115"/>
      <c r="DF131" s="115"/>
      <c r="DG131" s="115"/>
      <c r="DH131" s="115"/>
      <c r="DI131" s="115"/>
      <c r="DJ131" s="115"/>
      <c r="DK131" s="115"/>
      <c r="DL131" s="115"/>
      <c r="DM131" s="115"/>
      <c r="DN131" s="115"/>
      <c r="DO131" s="115"/>
      <c r="DP131" s="115"/>
      <c r="DQ131" s="115"/>
      <c r="DR131" s="115"/>
      <c r="DS131" s="115"/>
      <c r="DT131" s="115"/>
      <c r="DU131" s="115"/>
      <c r="DW131" s="115"/>
      <c r="DX131" s="664"/>
      <c r="DY131" s="115"/>
      <c r="DZ131" s="115"/>
      <c r="EA131" s="115"/>
      <c r="EB131" s="115"/>
      <c r="EC131" s="115"/>
      <c r="ED131" s="115"/>
      <c r="EE131" s="115"/>
      <c r="EF131" s="115"/>
      <c r="EG131" s="115"/>
      <c r="EH131" s="115"/>
      <c r="EI131" s="115"/>
      <c r="EJ131" s="115"/>
      <c r="EK131" s="115"/>
      <c r="EL131" s="115"/>
      <c r="EM131" s="115"/>
      <c r="EN131" s="115"/>
      <c r="EO131" s="645"/>
      <c r="EP131" s="115"/>
      <c r="EQ131" s="115"/>
      <c r="ER131" s="115"/>
      <c r="ES131" s="115"/>
      <c r="ET131" s="115"/>
      <c r="EV131" s="115"/>
      <c r="EW131" s="115"/>
      <c r="EX131" s="115"/>
      <c r="EY131" s="115"/>
      <c r="EZ131" s="115"/>
      <c r="FA131" s="664"/>
    </row>
    <row r="132" spans="2:157" x14ac:dyDescent="0.2">
      <c r="B132" s="117" t="s">
        <v>39</v>
      </c>
      <c r="C132" s="133">
        <f>C129/C57</f>
        <v>0.27082052793495326</v>
      </c>
      <c r="D132" s="133">
        <f t="shared" ref="D132:BO132" si="472">D129/D57</f>
        <v>0.28451932849480105</v>
      </c>
      <c r="E132" s="133">
        <f t="shared" si="472"/>
        <v>0.27461371130346357</v>
      </c>
      <c r="F132" s="133">
        <f t="shared" si="472"/>
        <v>0.19574906570806219</v>
      </c>
      <c r="G132" s="133">
        <f t="shared" si="472"/>
        <v>0.16153309872586596</v>
      </c>
      <c r="H132" s="133">
        <f t="shared" si="472"/>
        <v>0.15899499097800904</v>
      </c>
      <c r="I132" s="133">
        <f t="shared" si="472"/>
        <v>0.16561510462466097</v>
      </c>
      <c r="J132" s="133">
        <f t="shared" si="472"/>
        <v>0.19074450913098134</v>
      </c>
      <c r="K132" s="133">
        <f t="shared" si="472"/>
        <v>0.10164328530899196</v>
      </c>
      <c r="L132" s="133">
        <f t="shared" si="472"/>
        <v>0.20803292605097046</v>
      </c>
      <c r="M132" s="133">
        <f t="shared" si="472"/>
        <v>0.13088374033056452</v>
      </c>
      <c r="N132" s="133">
        <f t="shared" si="472"/>
        <v>0.19345837261710053</v>
      </c>
      <c r="O132" s="133">
        <f t="shared" si="472"/>
        <v>7.284883699919581E-2</v>
      </c>
      <c r="P132" s="133">
        <f t="shared" si="472"/>
        <v>-0.39764401861085297</v>
      </c>
      <c r="Q132" s="133">
        <f t="shared" si="472"/>
        <v>6.4744314726137633E-2</v>
      </c>
      <c r="R132" s="133">
        <f t="shared" si="472"/>
        <v>0.30317264443704262</v>
      </c>
      <c r="S132" s="133">
        <f t="shared" si="472"/>
        <v>0.12647751389489753</v>
      </c>
      <c r="T132" s="133">
        <f t="shared" si="472"/>
        <v>0.16862467853241525</v>
      </c>
      <c r="U132" s="133">
        <f t="shared" si="472"/>
        <v>0.33783339539092905</v>
      </c>
      <c r="V132" s="133">
        <f t="shared" si="472"/>
        <v>0.24826940768754011</v>
      </c>
      <c r="W132" s="133">
        <f t="shared" si="472"/>
        <v>0.17832367025887635</v>
      </c>
      <c r="X132" s="133">
        <f t="shared" si="472"/>
        <v>0.1129122082512153</v>
      </c>
      <c r="Y132" s="133">
        <f t="shared" si="472"/>
        <v>8.6042833923317907E-2</v>
      </c>
      <c r="Z132" s="133">
        <f t="shared" si="472"/>
        <v>0.11466184782354201</v>
      </c>
      <c r="AA132" s="133">
        <f t="shared" si="472"/>
        <v>0.11796859869309587</v>
      </c>
      <c r="AB132" s="133">
        <f t="shared" si="472"/>
        <v>0.16876086206527746</v>
      </c>
      <c r="AC132" s="133">
        <f t="shared" si="472"/>
        <v>0.12079461214704081</v>
      </c>
      <c r="AD132" s="133">
        <f t="shared" si="472"/>
        <v>3.1560413253189035E-2</v>
      </c>
      <c r="AE132" s="133">
        <f t="shared" si="472"/>
        <v>-3.9185828385828743E-2</v>
      </c>
      <c r="AF132" s="133">
        <f t="shared" si="472"/>
        <v>-8.3718066771589304E-3</v>
      </c>
      <c r="AG132" s="133">
        <f t="shared" si="472"/>
        <v>7.6614345601250397E-2</v>
      </c>
      <c r="AH132" s="133">
        <f t="shared" si="472"/>
        <v>7.1959377235248589E-2</v>
      </c>
      <c r="AI132" s="133">
        <f t="shared" si="472"/>
        <v>0.11361561049736295</v>
      </c>
      <c r="AJ132" s="133">
        <f t="shared" si="472"/>
        <v>0.13504976260880958</v>
      </c>
      <c r="AK132" s="133">
        <f t="shared" si="472"/>
        <v>0.12255623231806775</v>
      </c>
      <c r="AL132" s="133">
        <f t="shared" si="472"/>
        <v>0.11625424918016423</v>
      </c>
      <c r="AM132" s="133">
        <f t="shared" si="472"/>
        <v>0.12793320440462996</v>
      </c>
      <c r="AN132" s="133">
        <f t="shared" si="472"/>
        <v>0.1486817003135017</v>
      </c>
      <c r="AO132" s="133">
        <f t="shared" si="472"/>
        <v>0.11730484486377957</v>
      </c>
      <c r="AP132" s="133">
        <f t="shared" si="472"/>
        <v>9.9818955427787306E-2</v>
      </c>
      <c r="AQ132" s="133">
        <f t="shared" si="472"/>
        <v>6.2646366187968608E-2</v>
      </c>
      <c r="AR132" s="133">
        <f t="shared" si="472"/>
        <v>7.5305197303600371E-2</v>
      </c>
      <c r="AS132" s="133">
        <f t="shared" si="472"/>
        <v>3.5116309431678039E-2</v>
      </c>
      <c r="AT132" s="133">
        <f t="shared" si="472"/>
        <v>9.6274532130521378E-3</v>
      </c>
      <c r="AU132" s="133">
        <f t="shared" si="472"/>
        <v>1.0871489761864257E-2</v>
      </c>
      <c r="AV132" s="133">
        <f t="shared" si="472"/>
        <v>5.2612244770999343E-2</v>
      </c>
      <c r="AW132" s="133">
        <f t="shared" si="472"/>
        <v>5.7710585424004764E-2</v>
      </c>
      <c r="AX132" s="133">
        <f t="shared" si="472"/>
        <v>5.7256058425815465E-2</v>
      </c>
      <c r="AY132" s="133">
        <f t="shared" si="472"/>
        <v>8.6697224407478651E-2</v>
      </c>
      <c r="AZ132" s="133">
        <f t="shared" si="472"/>
        <v>8.2057950093597481E-2</v>
      </c>
      <c r="BA132" s="133">
        <f t="shared" si="472"/>
        <v>4.8065650592239814E-2</v>
      </c>
      <c r="BB132" s="133">
        <f t="shared" si="472"/>
        <v>3.4310347694768054E-2</v>
      </c>
      <c r="BC132" s="133">
        <f t="shared" si="472"/>
        <v>5.9719039823753824E-2</v>
      </c>
      <c r="BD132" s="133">
        <f t="shared" si="472"/>
        <v>7.9293271775021615E-2</v>
      </c>
      <c r="BE132" s="133">
        <f t="shared" si="472"/>
        <v>6.4030919719427204E-2</v>
      </c>
      <c r="BF132" s="133">
        <f t="shared" si="472"/>
        <v>7.5105859557615118E-2</v>
      </c>
      <c r="BG132" s="133">
        <f t="shared" si="472"/>
        <v>3.2801426834981849E-2</v>
      </c>
      <c r="BH132" s="133">
        <f t="shared" si="472"/>
        <v>4.908337232052333E-2</v>
      </c>
      <c r="BI132" s="133">
        <f t="shared" si="472"/>
        <v>8.4353881299162325E-2</v>
      </c>
      <c r="BJ132" s="133">
        <f t="shared" si="472"/>
        <v>0.10389969812421741</v>
      </c>
      <c r="BK132" s="133">
        <f t="shared" si="472"/>
        <v>0.11140850795013982</v>
      </c>
      <c r="BL132" s="133">
        <f t="shared" si="472"/>
        <v>0.12722286404696143</v>
      </c>
      <c r="BM132" s="133">
        <f t="shared" si="472"/>
        <v>0.13394093636586935</v>
      </c>
      <c r="BN132" s="133">
        <f t="shared" si="472"/>
        <v>0.12809940938756645</v>
      </c>
      <c r="BO132" s="133">
        <f t="shared" si="472"/>
        <v>0.12118425434233258</v>
      </c>
      <c r="BP132" s="133">
        <f t="shared" ref="BP132:DI132" si="473">BP129/BP57</f>
        <v>0.13580902361544572</v>
      </c>
      <c r="BQ132" s="133">
        <f t="shared" si="473"/>
        <v>0.11983312273471518</v>
      </c>
      <c r="BR132" s="133">
        <f t="shared" si="473"/>
        <v>0.12308163007195284</v>
      </c>
      <c r="BS132" s="133">
        <f t="shared" si="473"/>
        <v>0.12186404743812618</v>
      </c>
      <c r="BT132" s="133">
        <f t="shared" si="473"/>
        <v>0.13204023781008251</v>
      </c>
      <c r="BU132" s="133">
        <f t="shared" si="473"/>
        <v>0.12873157028446711</v>
      </c>
      <c r="BV132" s="133">
        <f t="shared" si="473"/>
        <v>0.12562895344095626</v>
      </c>
      <c r="BW132" s="133">
        <f t="shared" si="473"/>
        <v>0.12607658541972694</v>
      </c>
      <c r="BX132" s="133">
        <f t="shared" si="473"/>
        <v>0.12277716011317656</v>
      </c>
      <c r="BY132" s="133">
        <f t="shared" si="473"/>
        <v>0.12010243497240566</v>
      </c>
      <c r="BZ132" s="133">
        <f t="shared" si="473"/>
        <v>0.11287004862818284</v>
      </c>
      <c r="CA132" s="133">
        <f t="shared" si="473"/>
        <v>0.11822586891970183</v>
      </c>
      <c r="CB132" s="133">
        <f t="shared" si="473"/>
        <v>0.11967226201933776</v>
      </c>
      <c r="CC132" s="133">
        <f t="shared" si="473"/>
        <v>0.1317539683292035</v>
      </c>
      <c r="CD132" s="133">
        <f t="shared" si="473"/>
        <v>0.1383989824103736</v>
      </c>
      <c r="CE132" s="133">
        <f t="shared" si="473"/>
        <v>0.10827959835535586</v>
      </c>
      <c r="CF132" s="133">
        <f t="shared" si="473"/>
        <v>0.10462538950663376</v>
      </c>
      <c r="CG132" s="133">
        <f t="shared" si="473"/>
        <v>0.10322689667418634</v>
      </c>
      <c r="CH132" s="133">
        <f t="shared" si="473"/>
        <v>9.6565990552455946E-2</v>
      </c>
      <c r="CI132" s="133">
        <f t="shared" si="473"/>
        <v>8.9382115369159534E-2</v>
      </c>
      <c r="CJ132" s="133">
        <f t="shared" si="473"/>
        <v>7.823862823501207E-2</v>
      </c>
      <c r="CK132" s="133">
        <f t="shared" si="473"/>
        <v>7.7767565478937262E-2</v>
      </c>
      <c r="CL132" s="133">
        <f t="shared" si="473"/>
        <v>0.10750647147854238</v>
      </c>
      <c r="CM132" s="133">
        <f t="shared" si="473"/>
        <v>0.10750647147854246</v>
      </c>
      <c r="CN132" s="133">
        <f t="shared" si="473"/>
        <v>0.10750647147854249</v>
      </c>
      <c r="CO132" s="133">
        <f t="shared" si="473"/>
        <v>0.10750647147854246</v>
      </c>
      <c r="CP132" s="133">
        <f t="shared" si="473"/>
        <v>0.10750647147854239</v>
      </c>
      <c r="CQ132" s="133">
        <f t="shared" si="473"/>
        <v>0.10750647147854227</v>
      </c>
      <c r="CR132" s="133">
        <f t="shared" si="473"/>
        <v>0.10750647147854217</v>
      </c>
      <c r="CS132" s="133">
        <f t="shared" si="473"/>
        <v>0.10750647147854248</v>
      </c>
      <c r="CT132" s="133">
        <f t="shared" si="473"/>
        <v>0.10750647147854228</v>
      </c>
      <c r="CU132" s="133">
        <f t="shared" si="473"/>
        <v>0.10750647147854238</v>
      </c>
      <c r="CV132" s="133">
        <f t="shared" si="473"/>
        <v>0.10750647147854249</v>
      </c>
      <c r="CW132" s="133">
        <f t="shared" si="473"/>
        <v>0.10750647147854255</v>
      </c>
      <c r="CX132" s="133">
        <f t="shared" si="473"/>
        <v>0.10540128648247253</v>
      </c>
      <c r="CY132" s="133">
        <f t="shared" si="473"/>
        <v>0.10540128648247239</v>
      </c>
      <c r="CZ132" s="133">
        <f t="shared" si="473"/>
        <v>0.10540128648247257</v>
      </c>
      <c r="DA132" s="133">
        <f t="shared" si="473"/>
        <v>0.10540128648247253</v>
      </c>
      <c r="DB132" s="133">
        <f t="shared" si="473"/>
        <v>0.1054012864824725</v>
      </c>
      <c r="DC132" s="133">
        <f t="shared" si="473"/>
        <v>0.10540128648247257</v>
      </c>
      <c r="DD132" s="133">
        <f t="shared" si="473"/>
        <v>0.10540128648247246</v>
      </c>
      <c r="DE132" s="133">
        <f t="shared" si="473"/>
        <v>0.1054012864824725</v>
      </c>
      <c r="DF132" s="133">
        <f t="shared" si="473"/>
        <v>0.10540128648247273</v>
      </c>
      <c r="DG132" s="133">
        <f t="shared" si="473"/>
        <v>0.10540128648247249</v>
      </c>
      <c r="DH132" s="133">
        <f t="shared" si="473"/>
        <v>0.10540128648247248</v>
      </c>
      <c r="DI132" s="133">
        <f t="shared" si="473"/>
        <v>0.10540128648247252</v>
      </c>
      <c r="DJ132" s="133">
        <f t="shared" ref="DJ132:DU132" si="474">DJ129/DJ57</f>
        <v>0.10423898986629297</v>
      </c>
      <c r="DK132" s="133">
        <f t="shared" si="474"/>
        <v>0.10423898986629299</v>
      </c>
      <c r="DL132" s="133">
        <f t="shared" si="474"/>
        <v>0.10423898986629321</v>
      </c>
      <c r="DM132" s="133">
        <f t="shared" si="474"/>
        <v>0.10423898986629314</v>
      </c>
      <c r="DN132" s="133">
        <f t="shared" si="474"/>
        <v>0.10423898986629307</v>
      </c>
      <c r="DO132" s="133">
        <f t="shared" si="474"/>
        <v>0.10423898986629308</v>
      </c>
      <c r="DP132" s="133">
        <f t="shared" si="474"/>
        <v>0.10423898986629304</v>
      </c>
      <c r="DQ132" s="133">
        <f t="shared" si="474"/>
        <v>0.10423898986629303</v>
      </c>
      <c r="DR132" s="133">
        <f t="shared" si="474"/>
        <v>0.10423898986629303</v>
      </c>
      <c r="DS132" s="133">
        <f t="shared" si="474"/>
        <v>0.10423898986629274</v>
      </c>
      <c r="DT132" s="133">
        <f t="shared" si="474"/>
        <v>0.10423898986629308</v>
      </c>
      <c r="DU132" s="133">
        <f t="shared" si="474"/>
        <v>0.10423898986629303</v>
      </c>
      <c r="DW132" s="133">
        <f t="shared" ref="DW132:FA132" si="475">DW129/DW57</f>
        <v>5.8304508271594911E-2</v>
      </c>
      <c r="DX132" s="657">
        <f t="shared" si="475"/>
        <v>5.600145983702489E-2</v>
      </c>
      <c r="DY132" s="133">
        <f t="shared" si="475"/>
        <v>7.6011601703264334E-2</v>
      </c>
      <c r="DZ132" s="133">
        <f t="shared" si="475"/>
        <v>0.12400780045716991</v>
      </c>
      <c r="EA132" s="133">
        <f t="shared" si="475"/>
        <v>0.12846733548122419</v>
      </c>
      <c r="EB132" s="133">
        <f t="shared" si="475"/>
        <v>0.1215604325403158</v>
      </c>
      <c r="EC132" s="133">
        <f t="shared" si="475"/>
        <v>0.12875412881919354</v>
      </c>
      <c r="ED132" s="133">
        <f t="shared" si="475"/>
        <v>0.12273367198386401</v>
      </c>
      <c r="EE132" s="133">
        <f t="shared" si="475"/>
        <v>0.11692246541237072</v>
      </c>
      <c r="EF132" s="133">
        <f t="shared" si="475"/>
        <v>0.12489553862534931</v>
      </c>
      <c r="EG132" s="133">
        <f t="shared" si="475"/>
        <v>0.10116986612487566</v>
      </c>
      <c r="EH132" s="133">
        <f t="shared" si="475"/>
        <v>8.2109797036049356E-2</v>
      </c>
      <c r="EI132" s="133">
        <f t="shared" si="475"/>
        <v>0.10750647147854243</v>
      </c>
      <c r="EJ132" s="133">
        <f t="shared" si="475"/>
        <v>0.10750647147854238</v>
      </c>
      <c r="EK132" s="133">
        <f t="shared" si="475"/>
        <v>0.10750647147854231</v>
      </c>
      <c r="EL132" s="133">
        <f t="shared" si="475"/>
        <v>0.10750647147854248</v>
      </c>
      <c r="EM132" s="133">
        <f t="shared" si="475"/>
        <v>0.1054012864824725</v>
      </c>
      <c r="EN132" s="133">
        <f t="shared" si="475"/>
        <v>0.10540128648247253</v>
      </c>
      <c r="EO132" s="648">
        <f t="shared" si="475"/>
        <v>0.10540128648247259</v>
      </c>
      <c r="EP132" s="133">
        <f t="shared" si="475"/>
        <v>0.10540128648247248</v>
      </c>
      <c r="EQ132" s="133">
        <f t="shared" si="475"/>
        <v>0.10423898986629306</v>
      </c>
      <c r="ER132" s="133">
        <f t="shared" si="475"/>
        <v>0.10423898986629311</v>
      </c>
      <c r="ES132" s="133">
        <f t="shared" si="475"/>
        <v>0.10423898986629303</v>
      </c>
      <c r="ET132" s="133">
        <f t="shared" si="475"/>
        <v>0.10423898986629293</v>
      </c>
      <c r="EU132" s="638"/>
      <c r="EV132" s="133">
        <f t="shared" si="475"/>
        <v>7.9865958271462464E-2</v>
      </c>
      <c r="EW132" s="133">
        <f t="shared" si="475"/>
        <v>0.12514513046999934</v>
      </c>
      <c r="EX132" s="133">
        <f t="shared" si="475"/>
        <v>0.10510044161180446</v>
      </c>
      <c r="EY132" s="133">
        <f t="shared" si="475"/>
        <v>0.10750647147854241</v>
      </c>
      <c r="EZ132" s="133">
        <f t="shared" si="475"/>
        <v>0.10540128648247253</v>
      </c>
      <c r="FA132" s="133">
        <f t="shared" si="475"/>
        <v>0.10423898986629303</v>
      </c>
    </row>
    <row r="133" spans="2:157" x14ac:dyDescent="0.2">
      <c r="B133" s="117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115"/>
      <c r="AN133" s="115"/>
      <c r="AO133" s="115"/>
      <c r="AP133" s="115"/>
      <c r="AQ133" s="115"/>
      <c r="AR133" s="115"/>
      <c r="AS133" s="115"/>
      <c r="AT133" s="115"/>
      <c r="AU133" s="115"/>
      <c r="AV133" s="115"/>
      <c r="AW133" s="115"/>
      <c r="AX133" s="115"/>
      <c r="AY133" s="115"/>
      <c r="AZ133" s="115"/>
      <c r="BA133" s="115"/>
      <c r="BB133" s="115"/>
      <c r="BC133" s="115"/>
      <c r="BD133" s="115"/>
      <c r="BE133" s="115"/>
      <c r="BF133" s="115"/>
      <c r="BG133" s="115"/>
      <c r="BH133" s="115"/>
      <c r="BI133" s="115"/>
      <c r="BJ133" s="115"/>
      <c r="BK133" s="115"/>
      <c r="BL133" s="115"/>
      <c r="BM133" s="115"/>
      <c r="BN133" s="115"/>
      <c r="BO133" s="115"/>
      <c r="BP133" s="115"/>
      <c r="BQ133" s="115"/>
      <c r="BR133" s="115"/>
      <c r="BS133" s="115"/>
      <c r="BT133" s="115"/>
      <c r="BU133" s="115"/>
      <c r="BV133" s="115"/>
      <c r="BW133" s="115"/>
      <c r="BX133" s="115"/>
      <c r="BY133" s="115"/>
      <c r="BZ133" s="115"/>
      <c r="CA133" s="115"/>
      <c r="CB133" s="115"/>
      <c r="CC133" s="115"/>
      <c r="CD133" s="115"/>
      <c r="CE133" s="115"/>
      <c r="CF133" s="115"/>
      <c r="CG133" s="115"/>
      <c r="CH133" s="115"/>
      <c r="CI133" s="115"/>
      <c r="CJ133" s="115"/>
      <c r="CK133" s="115"/>
      <c r="CL133" s="115"/>
      <c r="CM133" s="115"/>
      <c r="CN133" s="115"/>
      <c r="CO133" s="115"/>
      <c r="CP133" s="115"/>
      <c r="CQ133" s="115"/>
      <c r="CR133" s="115"/>
      <c r="CS133" s="115"/>
      <c r="CT133" s="115"/>
      <c r="CU133" s="115"/>
      <c r="CV133" s="115"/>
      <c r="CW133" s="115"/>
      <c r="CX133" s="115"/>
      <c r="CY133" s="115"/>
      <c r="CZ133" s="115"/>
      <c r="DA133" s="115"/>
      <c r="DB133" s="115"/>
      <c r="DC133" s="115"/>
      <c r="DD133" s="115"/>
      <c r="DE133" s="115"/>
      <c r="DF133" s="115"/>
      <c r="DG133" s="115"/>
      <c r="DH133" s="115"/>
      <c r="DI133" s="115"/>
      <c r="DJ133" s="115"/>
      <c r="DK133" s="115"/>
      <c r="DL133" s="115"/>
      <c r="DM133" s="115"/>
      <c r="DN133" s="115"/>
      <c r="DO133" s="115"/>
      <c r="DP133" s="115"/>
      <c r="DQ133" s="115"/>
      <c r="DR133" s="115"/>
      <c r="DS133" s="115"/>
      <c r="DT133" s="115"/>
      <c r="DU133" s="115"/>
      <c r="DW133" s="115"/>
      <c r="DX133" s="664"/>
      <c r="DY133" s="115"/>
      <c r="DZ133" s="115"/>
      <c r="EA133" s="115"/>
      <c r="EB133" s="115"/>
      <c r="EC133" s="115"/>
      <c r="ED133" s="115"/>
      <c r="EE133" s="115"/>
      <c r="EF133" s="115"/>
      <c r="EG133" s="115"/>
      <c r="EH133" s="115"/>
      <c r="EI133" s="115"/>
      <c r="EJ133" s="115"/>
      <c r="EK133" s="115"/>
      <c r="EL133" s="115"/>
      <c r="EM133" s="115"/>
      <c r="EN133" s="115"/>
      <c r="EO133" s="645"/>
      <c r="EP133" s="115"/>
      <c r="EQ133" s="115"/>
      <c r="ER133" s="115"/>
      <c r="ES133" s="115"/>
      <c r="ET133" s="115"/>
      <c r="EV133" s="115"/>
      <c r="EW133" s="115"/>
      <c r="EX133" s="115"/>
      <c r="EY133" s="115"/>
      <c r="EZ133" s="115"/>
      <c r="FA133" s="664"/>
    </row>
    <row r="134" spans="2:157" x14ac:dyDescent="0.2">
      <c r="B134" s="186" t="s">
        <v>40</v>
      </c>
      <c r="C134" s="187">
        <f>C135+C139+C140+C141</f>
        <v>214543.74086242303</v>
      </c>
      <c r="D134" s="187">
        <f t="shared" ref="D134:BO134" si="476">D135+D139+D140+D141</f>
        <v>252978.51188811188</v>
      </c>
      <c r="E134" s="187">
        <f t="shared" si="476"/>
        <v>423221.06896387838</v>
      </c>
      <c r="F134" s="187">
        <f t="shared" si="476"/>
        <v>403903.56728441751</v>
      </c>
      <c r="G134" s="187">
        <f t="shared" si="476"/>
        <v>398598.87771692628</v>
      </c>
      <c r="H134" s="187">
        <f t="shared" si="476"/>
        <v>311423.36104060913</v>
      </c>
      <c r="I134" s="187">
        <f t="shared" si="476"/>
        <v>404985.24219650286</v>
      </c>
      <c r="J134" s="187">
        <f t="shared" si="476"/>
        <v>416864.83405909792</v>
      </c>
      <c r="K134" s="187">
        <f t="shared" si="476"/>
        <v>499289.56871368235</v>
      </c>
      <c r="L134" s="187">
        <f t="shared" si="476"/>
        <v>474904.60227272724</v>
      </c>
      <c r="M134" s="187">
        <f t="shared" si="476"/>
        <v>497887.22317334148</v>
      </c>
      <c r="N134" s="187">
        <f t="shared" si="476"/>
        <v>389519.99901646789</v>
      </c>
      <c r="O134" s="187">
        <f t="shared" si="476"/>
        <v>519822.62655786349</v>
      </c>
      <c r="P134" s="187">
        <f t="shared" si="476"/>
        <v>368787.42050874402</v>
      </c>
      <c r="Q134" s="187">
        <f t="shared" si="476"/>
        <v>478817.17017913586</v>
      </c>
      <c r="R134" s="187">
        <f t="shared" si="476"/>
        <v>139147.51093749999</v>
      </c>
      <c r="S134" s="187">
        <f t="shared" si="476"/>
        <v>621946.48517694522</v>
      </c>
      <c r="T134" s="187">
        <f t="shared" si="476"/>
        <v>482683.23990074714</v>
      </c>
      <c r="U134" s="187">
        <f t="shared" si="476"/>
        <v>367445.64951135137</v>
      </c>
      <c r="V134" s="187">
        <f t="shared" si="476"/>
        <v>373431.33573803882</v>
      </c>
      <c r="W134" s="187">
        <f t="shared" si="476"/>
        <v>347149.0004904588</v>
      </c>
      <c r="X134" s="187">
        <f t="shared" si="476"/>
        <v>435422.21273353865</v>
      </c>
      <c r="Y134" s="187">
        <f t="shared" si="476"/>
        <v>354897.69126976794</v>
      </c>
      <c r="Z134" s="187">
        <f t="shared" si="476"/>
        <v>392925.96638762066</v>
      </c>
      <c r="AA134" s="187">
        <f t="shared" si="476"/>
        <v>346762.253289318</v>
      </c>
      <c r="AB134" s="187">
        <f t="shared" si="476"/>
        <v>245668.42700150507</v>
      </c>
      <c r="AC134" s="187">
        <f t="shared" si="476"/>
        <v>308201.97306525422</v>
      </c>
      <c r="AD134" s="187">
        <f t="shared" si="476"/>
        <v>362071.79454965505</v>
      </c>
      <c r="AE134" s="187">
        <f t="shared" si="476"/>
        <v>311187.31508626702</v>
      </c>
      <c r="AF134" s="187">
        <f t="shared" si="476"/>
        <v>270730.30862628418</v>
      </c>
      <c r="AG134" s="187">
        <f t="shared" si="476"/>
        <v>316414.53515993134</v>
      </c>
      <c r="AH134" s="187">
        <f t="shared" si="476"/>
        <v>271128.45802260912</v>
      </c>
      <c r="AI134" s="187">
        <f t="shared" si="476"/>
        <v>308329.96415981342</v>
      </c>
      <c r="AJ134" s="187">
        <f t="shared" si="476"/>
        <v>389212.69714503048</v>
      </c>
      <c r="AK134" s="187">
        <f t="shared" si="476"/>
        <v>535432.21654927649</v>
      </c>
      <c r="AL134" s="187">
        <f t="shared" si="476"/>
        <v>474043.02762674761</v>
      </c>
      <c r="AM134" s="187">
        <f t="shared" si="476"/>
        <v>630635.32118296949</v>
      </c>
      <c r="AN134" s="187">
        <f t="shared" si="476"/>
        <v>640553.16399803117</v>
      </c>
      <c r="AO134" s="187">
        <f t="shared" si="476"/>
        <v>578536.17905740114</v>
      </c>
      <c r="AP134" s="187">
        <f t="shared" si="476"/>
        <v>709318.52002381487</v>
      </c>
      <c r="AQ134" s="187">
        <f t="shared" si="476"/>
        <v>1158234.2118266444</v>
      </c>
      <c r="AR134" s="187">
        <f t="shared" si="476"/>
        <v>896822.43212682276</v>
      </c>
      <c r="AS134" s="187">
        <f t="shared" si="476"/>
        <v>949398.99515301082</v>
      </c>
      <c r="AT134" s="187">
        <f t="shared" si="476"/>
        <v>1361774.0577951805</v>
      </c>
      <c r="AU134" s="187">
        <f t="shared" si="476"/>
        <v>1600377.1263299575</v>
      </c>
      <c r="AV134" s="187">
        <f t="shared" si="476"/>
        <v>1644791.6195541818</v>
      </c>
      <c r="AW134" s="187">
        <f t="shared" si="476"/>
        <v>1254266.9149934249</v>
      </c>
      <c r="AX134" s="187">
        <f t="shared" si="476"/>
        <v>2138192.511109313</v>
      </c>
      <c r="AY134" s="187">
        <f t="shared" si="476"/>
        <v>1986689.0909876414</v>
      </c>
      <c r="AZ134" s="187">
        <f t="shared" si="476"/>
        <v>1745251.0520016593</v>
      </c>
      <c r="BA134" s="187">
        <f t="shared" si="476"/>
        <v>1602491.2439195565</v>
      </c>
      <c r="BB134" s="187">
        <f t="shared" si="476"/>
        <v>8714673.8345939089</v>
      </c>
      <c r="BC134" s="187">
        <f t="shared" si="476"/>
        <v>8387934.3310181526</v>
      </c>
      <c r="BD134" s="187">
        <f t="shared" si="476"/>
        <v>8735396.1732494812</v>
      </c>
      <c r="BE134" s="187">
        <f t="shared" si="476"/>
        <v>8545863.803497497</v>
      </c>
      <c r="BF134" s="187">
        <f t="shared" si="476"/>
        <v>8307038.9739374351</v>
      </c>
      <c r="BG134" s="187">
        <f t="shared" si="476"/>
        <v>8099330.1557859201</v>
      </c>
      <c r="BH134" s="187">
        <f t="shared" si="476"/>
        <v>8114653.693603361</v>
      </c>
      <c r="BI134" s="187">
        <f t="shared" si="476"/>
        <v>8878632.0866131596</v>
      </c>
      <c r="BJ134" s="187">
        <f t="shared" si="476"/>
        <v>8995375.6372000221</v>
      </c>
      <c r="BK134" s="187">
        <f t="shared" si="476"/>
        <v>8564917.642701555</v>
      </c>
      <c r="BL134" s="187">
        <f t="shared" si="476"/>
        <v>8188431.4224315658</v>
      </c>
      <c r="BM134" s="187">
        <f t="shared" si="476"/>
        <v>8251314.8234345606</v>
      </c>
      <c r="BN134" s="187">
        <f t="shared" si="476"/>
        <v>9249081.4455334209</v>
      </c>
      <c r="BO134" s="187">
        <f t="shared" si="476"/>
        <v>9073936.8769987635</v>
      </c>
      <c r="BP134" s="187">
        <f t="shared" ref="BP134:DI134" si="477">BP135+BP139+BP140+BP141</f>
        <v>9006360.3346385956</v>
      </c>
      <c r="BQ134" s="187">
        <f t="shared" si="477"/>
        <v>9190877.8964193687</v>
      </c>
      <c r="BR134" s="187">
        <f t="shared" si="477"/>
        <v>8750218.7652838882</v>
      </c>
      <c r="BS134" s="187">
        <f t="shared" si="477"/>
        <v>8658025.8681800198</v>
      </c>
      <c r="BT134" s="187">
        <f t="shared" si="477"/>
        <v>5820379.8844252666</v>
      </c>
      <c r="BU134" s="187">
        <f t="shared" si="477"/>
        <v>6778391.9709212817</v>
      </c>
      <c r="BV134" s="187">
        <f t="shared" si="477"/>
        <v>5812094.3977090679</v>
      </c>
      <c r="BW134" s="187">
        <f t="shared" si="477"/>
        <v>6020942.4705372863</v>
      </c>
      <c r="BX134" s="187">
        <f t="shared" si="477"/>
        <v>6100083.5904015219</v>
      </c>
      <c r="BY134" s="187">
        <f t="shared" si="477"/>
        <v>7965224.1090434529</v>
      </c>
      <c r="BZ134" s="187">
        <f t="shared" si="477"/>
        <v>6167028.4623858444</v>
      </c>
      <c r="CA134" s="187">
        <f t="shared" si="477"/>
        <v>7509026.2065696586</v>
      </c>
      <c r="CB134" s="187">
        <f t="shared" si="477"/>
        <v>7629130.2045053942</v>
      </c>
      <c r="CC134" s="187">
        <f t="shared" si="477"/>
        <v>9534408.79947621</v>
      </c>
      <c r="CD134" s="187">
        <f t="shared" si="477"/>
        <v>8407527.8967166711</v>
      </c>
      <c r="CE134" s="187">
        <f t="shared" si="477"/>
        <v>8777124.8611775246</v>
      </c>
      <c r="CF134" s="187">
        <f t="shared" si="477"/>
        <v>8517352.5401461981</v>
      </c>
      <c r="CG134" s="187">
        <f t="shared" si="477"/>
        <v>7710994.4627630487</v>
      </c>
      <c r="CH134" s="187">
        <f t="shared" si="477"/>
        <v>8100928.0383353913</v>
      </c>
      <c r="CI134" s="187">
        <f t="shared" si="477"/>
        <v>7882409.5874094702</v>
      </c>
      <c r="CJ134" s="187">
        <f t="shared" si="477"/>
        <v>7597391.1613454018</v>
      </c>
      <c r="CK134" s="187">
        <f t="shared" si="477"/>
        <v>7243720.1672302261</v>
      </c>
      <c r="CL134" s="187">
        <f t="shared" si="477"/>
        <v>8401586.7499249615</v>
      </c>
      <c r="CM134" s="187">
        <f t="shared" si="477"/>
        <v>8404565.9783921912</v>
      </c>
      <c r="CN134" s="187">
        <f t="shared" si="477"/>
        <v>8404354.4355424456</v>
      </c>
      <c r="CO134" s="187">
        <f t="shared" si="477"/>
        <v>8408814.4639578834</v>
      </c>
      <c r="CP134" s="187">
        <f t="shared" si="477"/>
        <v>8391503.2074204944</v>
      </c>
      <c r="CQ134" s="187">
        <f t="shared" si="477"/>
        <v>8418051.8350633737</v>
      </c>
      <c r="CR134" s="187">
        <f t="shared" si="477"/>
        <v>8409501.978219552</v>
      </c>
      <c r="CS134" s="187">
        <f t="shared" si="477"/>
        <v>8410207.1210520323</v>
      </c>
      <c r="CT134" s="187">
        <f t="shared" si="477"/>
        <v>8478764.632939918</v>
      </c>
      <c r="CU134" s="187">
        <f t="shared" si="477"/>
        <v>8507428.6890802365</v>
      </c>
      <c r="CV134" s="187">
        <f t="shared" si="477"/>
        <v>8450558.9196407106</v>
      </c>
      <c r="CW134" s="187">
        <f t="shared" si="477"/>
        <v>8478094.7472490612</v>
      </c>
      <c r="CX134" s="187">
        <f t="shared" si="477"/>
        <v>9065845.8257537819</v>
      </c>
      <c r="CY134" s="187">
        <f t="shared" si="477"/>
        <v>9069374.7218732145</v>
      </c>
      <c r="CZ134" s="187">
        <f t="shared" si="477"/>
        <v>9069124.1493676919</v>
      </c>
      <c r="DA134" s="187">
        <f t="shared" si="477"/>
        <v>9074407.0530257784</v>
      </c>
      <c r="DB134" s="187">
        <f t="shared" si="477"/>
        <v>9053901.8696572408</v>
      </c>
      <c r="DC134" s="187">
        <f t="shared" si="477"/>
        <v>9085348.7191002313</v>
      </c>
      <c r="DD134" s="187">
        <f t="shared" si="477"/>
        <v>9075221.4136687238</v>
      </c>
      <c r="DE134" s="187">
        <f t="shared" si="477"/>
        <v>9076056.6553537957</v>
      </c>
      <c r="DF134" s="187">
        <f t="shared" si="477"/>
        <v>9157263.0281849969</v>
      </c>
      <c r="DG134" s="187">
        <f t="shared" si="477"/>
        <v>9191215.6026832052</v>
      </c>
      <c r="DH134" s="187">
        <f t="shared" si="477"/>
        <v>9123853.360782085</v>
      </c>
      <c r="DI134" s="187">
        <f t="shared" si="477"/>
        <v>9156469.5485841781</v>
      </c>
      <c r="DJ134" s="187">
        <f t="shared" ref="DJ134:DU134" si="478">DJ135+DJ139+DJ140+DJ141</f>
        <v>9798026.1841565315</v>
      </c>
      <c r="DK134" s="187">
        <f t="shared" si="478"/>
        <v>9802206.1616099998</v>
      </c>
      <c r="DL134" s="187">
        <f t="shared" si="478"/>
        <v>9801909.3584772088</v>
      </c>
      <c r="DM134" s="187">
        <f t="shared" si="478"/>
        <v>9808166.9578602109</v>
      </c>
      <c r="DN134" s="187">
        <f t="shared" si="478"/>
        <v>9783878.56816018</v>
      </c>
      <c r="DO134" s="187">
        <f t="shared" si="478"/>
        <v>9821127.3613254</v>
      </c>
      <c r="DP134" s="187">
        <f t="shared" si="478"/>
        <v>9809131.568041781</v>
      </c>
      <c r="DQ134" s="187">
        <f t="shared" si="478"/>
        <v>9810120.9118177481</v>
      </c>
      <c r="DR134" s="187">
        <f t="shared" si="478"/>
        <v>9906309.8604363054</v>
      </c>
      <c r="DS134" s="187">
        <f t="shared" si="478"/>
        <v>9946526.6849294323</v>
      </c>
      <c r="DT134" s="187">
        <f t="shared" si="478"/>
        <v>9866736.1093975566</v>
      </c>
      <c r="DU134" s="187">
        <f t="shared" si="478"/>
        <v>9905369.9838491343</v>
      </c>
      <c r="DW134" s="187">
        <f>SUM(BB134:BD134)</f>
        <v>25838004.33886154</v>
      </c>
      <c r="DX134" s="667">
        <f>SUM(BE134:BG134)</f>
        <v>24952232.933220848</v>
      </c>
      <c r="DY134" s="187">
        <f>SUM(BH134:BJ134)</f>
        <v>25988661.417416543</v>
      </c>
      <c r="DZ134" s="187">
        <f>SUM(BK134:BM134)</f>
        <v>25004663.888567682</v>
      </c>
      <c r="EA134" s="187">
        <f>SUM(BN134:BP134)</f>
        <v>27329378.65717078</v>
      </c>
      <c r="EB134" s="187">
        <f>SUM(BQ134:BS134)</f>
        <v>26599122.52988328</v>
      </c>
      <c r="EC134" s="187">
        <f>SUM(BT134:BV134)</f>
        <v>18410866.253055617</v>
      </c>
      <c r="ED134" s="187">
        <f>SUM(BW134:BY134)</f>
        <v>20086250.169982262</v>
      </c>
      <c r="EE134" s="187">
        <f>SUM(BZ134:CB134)</f>
        <v>21305184.873460896</v>
      </c>
      <c r="EF134" s="187">
        <f>SUM(CC134:CE134)</f>
        <v>26719061.557370409</v>
      </c>
      <c r="EG134" s="187">
        <f>SUM(CF134:CH134)</f>
        <v>24329275.041244637</v>
      </c>
      <c r="EH134" s="187">
        <f>SUM(CI134:CK134)</f>
        <v>22723520.9159851</v>
      </c>
      <c r="EI134" s="187">
        <f>SUM(CL134:CN134)</f>
        <v>25210507.163859598</v>
      </c>
      <c r="EJ134" s="187">
        <f>SUM(CO134:CQ134)</f>
        <v>25218369.50644175</v>
      </c>
      <c r="EK134" s="187">
        <f>SUM(CR134:CT134)</f>
        <v>25298473.7322115</v>
      </c>
      <c r="EL134" s="187">
        <f>SUM(CU134:CW134)</f>
        <v>25436082.35597001</v>
      </c>
      <c r="EM134" s="187">
        <f>SUM(CX134:CZ134)</f>
        <v>27204344.696994685</v>
      </c>
      <c r="EN134" s="187">
        <f>SUM(DA134:DC134)</f>
        <v>27213657.641783252</v>
      </c>
      <c r="EO134" s="649">
        <f>SUM(DD134:DF134)</f>
        <v>27308541.097207516</v>
      </c>
      <c r="EP134" s="187">
        <f>SUM(DG134:DI134)</f>
        <v>27471538.512049466</v>
      </c>
      <c r="EQ134" s="187">
        <f t="shared" ref="EQ134:EQ136" si="479">SUM(DJ134:DL134)</f>
        <v>29402141.704243738</v>
      </c>
      <c r="ER134" s="187">
        <f t="shared" ref="ER134:ER136" si="480">SUM(DM134:DO134)</f>
        <v>29413172.887345791</v>
      </c>
      <c r="ES134" s="187">
        <f t="shared" ref="ES134:ES136" si="481">SUM(DP134:DR134)</f>
        <v>29525562.340295836</v>
      </c>
      <c r="ET134" s="187">
        <f t="shared" ref="ET134:ET136" si="482">SUM(DS134:DU134)</f>
        <v>29718632.778176125</v>
      </c>
      <c r="EV134" s="329">
        <f t="shared" ref="EV134:EV141" si="483">SUM(DW134:DZ134)</f>
        <v>101783562.57806662</v>
      </c>
      <c r="EW134" s="329">
        <f t="shared" ref="EW134:EW141" si="484">SUM(EA134:ED134)</f>
        <v>92425617.610091925</v>
      </c>
      <c r="EX134" s="329">
        <f t="shared" ref="EX134:EX141" si="485">SUM(EE134:EH134)</f>
        <v>95077042.388061047</v>
      </c>
      <c r="EY134" s="329">
        <f t="shared" ref="EY134:EY141" si="486">SUM(EI134:EL134)</f>
        <v>101163432.75848286</v>
      </c>
      <c r="EZ134" s="329">
        <f t="shared" ref="EZ134:EZ141" si="487">SUM(EM134:EP134)</f>
        <v>109198081.94803491</v>
      </c>
      <c r="FA134" s="761">
        <f t="shared" ref="FA134:FA141" si="488">SUM(EQ134:ET134)</f>
        <v>118059509.71006149</v>
      </c>
    </row>
    <row r="135" spans="2:157" x14ac:dyDescent="0.2">
      <c r="B135" s="120" t="s">
        <v>72</v>
      </c>
      <c r="C135" s="130">
        <f>C136+C138</f>
        <v>214317.47392197128</v>
      </c>
      <c r="D135" s="130">
        <f t="shared" ref="D135:BO135" si="489">D136+D138</f>
        <v>251454.36755244754</v>
      </c>
      <c r="E135" s="130">
        <f t="shared" si="489"/>
        <v>416292.07538022817</v>
      </c>
      <c r="F135" s="130">
        <f t="shared" si="489"/>
        <v>392361.29137670191</v>
      </c>
      <c r="G135" s="130">
        <f t="shared" si="489"/>
        <v>381343.52259113471</v>
      </c>
      <c r="H135" s="130">
        <f t="shared" si="489"/>
        <v>294858.21552453469</v>
      </c>
      <c r="I135" s="130">
        <f t="shared" si="489"/>
        <v>375284.87514404533</v>
      </c>
      <c r="J135" s="130">
        <f t="shared" si="489"/>
        <v>396179.21780715394</v>
      </c>
      <c r="K135" s="130">
        <f t="shared" si="489"/>
        <v>469507.90909090906</v>
      </c>
      <c r="L135" s="130">
        <f t="shared" si="489"/>
        <v>425226.88057461404</v>
      </c>
      <c r="M135" s="130">
        <f t="shared" si="489"/>
        <v>483088.50963008252</v>
      </c>
      <c r="N135" s="130">
        <f t="shared" si="489"/>
        <v>375609.9803293572</v>
      </c>
      <c r="O135" s="130">
        <f t="shared" si="489"/>
        <v>501856.77532146388</v>
      </c>
      <c r="P135" s="130">
        <f t="shared" si="489"/>
        <v>355620.33783783781</v>
      </c>
      <c r="Q135" s="130">
        <f t="shared" si="489"/>
        <v>459825.1485774499</v>
      </c>
      <c r="R135" s="130">
        <f t="shared" si="489"/>
        <v>139147.51093749999</v>
      </c>
      <c r="S135" s="130">
        <f t="shared" si="489"/>
        <v>610043.56464714394</v>
      </c>
      <c r="T135" s="130">
        <f t="shared" si="489"/>
        <v>479074.98012238991</v>
      </c>
      <c r="U135" s="130">
        <f t="shared" si="489"/>
        <v>362300.37156753783</v>
      </c>
      <c r="V135" s="130">
        <f t="shared" si="489"/>
        <v>366507.40062764572</v>
      </c>
      <c r="W135" s="130">
        <f t="shared" si="489"/>
        <v>333280.91191709845</v>
      </c>
      <c r="X135" s="130">
        <f t="shared" si="489"/>
        <v>394472.69624573376</v>
      </c>
      <c r="Y135" s="130">
        <f t="shared" si="489"/>
        <v>328846.61100698588</v>
      </c>
      <c r="Z135" s="130">
        <f t="shared" si="489"/>
        <v>364994.86831812258</v>
      </c>
      <c r="AA135" s="130">
        <f t="shared" si="489"/>
        <v>326482.03400765447</v>
      </c>
      <c r="AB135" s="130">
        <f t="shared" si="489"/>
        <v>230346.69026159705</v>
      </c>
      <c r="AC135" s="130">
        <f t="shared" si="489"/>
        <v>283101.89045963704</v>
      </c>
      <c r="AD135" s="130">
        <f t="shared" si="489"/>
        <v>339962.91377448302</v>
      </c>
      <c r="AE135" s="130">
        <f t="shared" si="489"/>
        <v>306113.95241021068</v>
      </c>
      <c r="AF135" s="130">
        <f t="shared" si="489"/>
        <v>261664.13815113003</v>
      </c>
      <c r="AG135" s="130">
        <f t="shared" si="489"/>
        <v>215731.97146629085</v>
      </c>
      <c r="AH135" s="130">
        <f t="shared" si="489"/>
        <v>168078.08671459224</v>
      </c>
      <c r="AI135" s="130">
        <f t="shared" si="489"/>
        <v>181998.20035339447</v>
      </c>
      <c r="AJ135" s="130">
        <f t="shared" si="489"/>
        <v>175278.79641046625</v>
      </c>
      <c r="AK135" s="130">
        <f t="shared" si="489"/>
        <v>296895.68087933632</v>
      </c>
      <c r="AL135" s="130">
        <f t="shared" si="489"/>
        <v>281845.93701426062</v>
      </c>
      <c r="AM135" s="130">
        <f t="shared" si="489"/>
        <v>372966.61018505332</v>
      </c>
      <c r="AN135" s="130">
        <f t="shared" si="489"/>
        <v>397966.61018505332</v>
      </c>
      <c r="AO135" s="130">
        <f t="shared" si="489"/>
        <v>384103.71049861365</v>
      </c>
      <c r="AP135" s="130">
        <f t="shared" si="489"/>
        <v>508427.69289219682</v>
      </c>
      <c r="AQ135" s="130">
        <f t="shared" si="489"/>
        <v>592475.66708355036</v>
      </c>
      <c r="AR135" s="130">
        <f t="shared" si="489"/>
        <v>374819.76923076919</v>
      </c>
      <c r="AS135" s="130">
        <f t="shared" si="489"/>
        <v>366835.76923076919</v>
      </c>
      <c r="AT135" s="130">
        <f t="shared" si="489"/>
        <v>761400.30769230798</v>
      </c>
      <c r="AU135" s="130">
        <f t="shared" si="489"/>
        <v>756738.87679487199</v>
      </c>
      <c r="AV135" s="130">
        <f t="shared" si="489"/>
        <v>779929.7620512821</v>
      </c>
      <c r="AW135" s="130">
        <f t="shared" si="489"/>
        <v>916392.69692307699</v>
      </c>
      <c r="AX135" s="130">
        <f t="shared" si="489"/>
        <v>1633862.0646153851</v>
      </c>
      <c r="AY135" s="130">
        <f t="shared" si="489"/>
        <v>1457840.0046153851</v>
      </c>
      <c r="AZ135" s="130">
        <f t="shared" si="489"/>
        <v>1125895.6200000001</v>
      </c>
      <c r="BA135" s="130">
        <f t="shared" si="489"/>
        <v>974091.58153846161</v>
      </c>
      <c r="BB135" s="130">
        <f t="shared" si="489"/>
        <v>7188750.6360996664</v>
      </c>
      <c r="BC135" s="130">
        <f t="shared" si="489"/>
        <v>6918463.2008566912</v>
      </c>
      <c r="BD135" s="130">
        <f t="shared" si="489"/>
        <v>6924724.8845330859</v>
      </c>
      <c r="BE135" s="130">
        <f t="shared" si="489"/>
        <v>6990388.7767758491</v>
      </c>
      <c r="BF135" s="130">
        <f t="shared" si="489"/>
        <v>6626505.8633495672</v>
      </c>
      <c r="BG135" s="130">
        <f t="shared" si="489"/>
        <v>6530019.94410918</v>
      </c>
      <c r="BH135" s="130">
        <f t="shared" si="489"/>
        <v>6346393.4712307733</v>
      </c>
      <c r="BI135" s="130">
        <f t="shared" si="489"/>
        <v>7157330.2280347105</v>
      </c>
      <c r="BJ135" s="130">
        <f t="shared" si="489"/>
        <v>7038377.0555042243</v>
      </c>
      <c r="BK135" s="130">
        <f t="shared" si="489"/>
        <v>6699384.3496163609</v>
      </c>
      <c r="BL135" s="130">
        <f t="shared" si="489"/>
        <v>6198563.4632448731</v>
      </c>
      <c r="BM135" s="130">
        <f t="shared" si="489"/>
        <v>6413198.0158127435</v>
      </c>
      <c r="BN135" s="130">
        <f t="shared" si="489"/>
        <v>7275568.6635465529</v>
      </c>
      <c r="BO135" s="130">
        <f t="shared" si="489"/>
        <v>7199995.4042485356</v>
      </c>
      <c r="BP135" s="130">
        <f t="shared" ref="BP135:DI135" si="490">BP136+BP138</f>
        <v>7062298.7726910096</v>
      </c>
      <c r="BQ135" s="130">
        <f t="shared" si="490"/>
        <v>7244955.2645557355</v>
      </c>
      <c r="BR135" s="130">
        <f t="shared" si="490"/>
        <v>6834292.5767926984</v>
      </c>
      <c r="BS135" s="130">
        <f t="shared" si="490"/>
        <v>6682492.0664941873</v>
      </c>
      <c r="BT135" s="130">
        <f t="shared" si="490"/>
        <v>3806439.0644192202</v>
      </c>
      <c r="BU135" s="130">
        <f t="shared" si="490"/>
        <v>4667742.2372192992</v>
      </c>
      <c r="BV135" s="130">
        <f t="shared" si="490"/>
        <v>3692881.506346154</v>
      </c>
      <c r="BW135" s="130">
        <f t="shared" si="490"/>
        <v>3956490.1883333335</v>
      </c>
      <c r="BX135" s="130">
        <f t="shared" si="490"/>
        <v>3919132.3201923072</v>
      </c>
      <c r="BY135" s="130">
        <f t="shared" si="490"/>
        <v>5709136.6004296653</v>
      </c>
      <c r="BZ135" s="130">
        <f t="shared" si="490"/>
        <v>3943817.2411807501</v>
      </c>
      <c r="CA135" s="130">
        <f t="shared" si="490"/>
        <v>4523600.4126192126</v>
      </c>
      <c r="CB135" s="130">
        <f t="shared" si="490"/>
        <v>4142533.2781730406</v>
      </c>
      <c r="CC135" s="130">
        <f t="shared" si="490"/>
        <v>5039871.3975422792</v>
      </c>
      <c r="CD135" s="130">
        <f t="shared" si="490"/>
        <v>4595773.6232599281</v>
      </c>
      <c r="CE135" s="130">
        <f t="shared" si="490"/>
        <v>4975668.7636654489</v>
      </c>
      <c r="CF135" s="130">
        <f t="shared" si="490"/>
        <v>4650982.8623842988</v>
      </c>
      <c r="CG135" s="130">
        <f t="shared" si="490"/>
        <v>4120982.7521839449</v>
      </c>
      <c r="CH135" s="130">
        <f t="shared" si="490"/>
        <v>4306073.9183915816</v>
      </c>
      <c r="CI135" s="130">
        <f t="shared" si="490"/>
        <v>4443822.1662532948</v>
      </c>
      <c r="CJ135" s="130">
        <f t="shared" si="490"/>
        <v>4573769.8324095812</v>
      </c>
      <c r="CK135" s="130">
        <f t="shared" si="490"/>
        <v>4289854.6959867291</v>
      </c>
      <c r="CL135" s="130">
        <f t="shared" si="490"/>
        <v>4787572.36949067</v>
      </c>
      <c r="CM135" s="130">
        <f t="shared" si="490"/>
        <v>4787572.36949067</v>
      </c>
      <c r="CN135" s="130">
        <f t="shared" si="490"/>
        <v>4787572.36949067</v>
      </c>
      <c r="CO135" s="130">
        <f t="shared" si="490"/>
        <v>4787572.36949067</v>
      </c>
      <c r="CP135" s="130">
        <f t="shared" si="490"/>
        <v>4787572.36949067</v>
      </c>
      <c r="CQ135" s="130">
        <f t="shared" si="490"/>
        <v>4787572.36949067</v>
      </c>
      <c r="CR135" s="130">
        <f t="shared" si="490"/>
        <v>4787572.36949067</v>
      </c>
      <c r="CS135" s="130">
        <f t="shared" si="490"/>
        <v>4787572.36949067</v>
      </c>
      <c r="CT135" s="130">
        <f t="shared" si="490"/>
        <v>4787572.36949067</v>
      </c>
      <c r="CU135" s="130">
        <f t="shared" si="490"/>
        <v>4787572.36949067</v>
      </c>
      <c r="CV135" s="130">
        <f t="shared" si="490"/>
        <v>4787572.36949067</v>
      </c>
      <c r="CW135" s="130">
        <f t="shared" si="490"/>
        <v>4787572.36949067</v>
      </c>
      <c r="CX135" s="130">
        <f t="shared" si="490"/>
        <v>5231759.5610319423</v>
      </c>
      <c r="CY135" s="130">
        <f t="shared" si="490"/>
        <v>5231759.5610319423</v>
      </c>
      <c r="CZ135" s="130">
        <f t="shared" si="490"/>
        <v>5231759.5610319423</v>
      </c>
      <c r="DA135" s="130">
        <f t="shared" si="490"/>
        <v>5231759.5610319423</v>
      </c>
      <c r="DB135" s="130">
        <f t="shared" si="490"/>
        <v>5231759.5610319423</v>
      </c>
      <c r="DC135" s="130">
        <f t="shared" si="490"/>
        <v>5231759.5610319423</v>
      </c>
      <c r="DD135" s="130">
        <f t="shared" si="490"/>
        <v>5231759.5610319423</v>
      </c>
      <c r="DE135" s="130">
        <f t="shared" si="490"/>
        <v>5231759.5610319423</v>
      </c>
      <c r="DF135" s="130">
        <f t="shared" si="490"/>
        <v>5231759.5610319423</v>
      </c>
      <c r="DG135" s="130">
        <f t="shared" si="490"/>
        <v>5231759.5610319423</v>
      </c>
      <c r="DH135" s="130">
        <f t="shared" si="490"/>
        <v>5231759.5610319423</v>
      </c>
      <c r="DI135" s="130">
        <f t="shared" si="490"/>
        <v>5231759.5610319423</v>
      </c>
      <c r="DJ135" s="130">
        <f t="shared" ref="DJ135:DU135" si="491">DJ136+DJ138</f>
        <v>5725600.4609412206</v>
      </c>
      <c r="DK135" s="130">
        <f t="shared" si="491"/>
        <v>5725600.4609412206</v>
      </c>
      <c r="DL135" s="130">
        <f t="shared" si="491"/>
        <v>5725600.4609412206</v>
      </c>
      <c r="DM135" s="130">
        <f t="shared" si="491"/>
        <v>5725600.4609412206</v>
      </c>
      <c r="DN135" s="130">
        <f t="shared" si="491"/>
        <v>5725600.4609412206</v>
      </c>
      <c r="DO135" s="130">
        <f t="shared" si="491"/>
        <v>5725600.4609412206</v>
      </c>
      <c r="DP135" s="130">
        <f t="shared" si="491"/>
        <v>5725600.4609412206</v>
      </c>
      <c r="DQ135" s="130">
        <f t="shared" si="491"/>
        <v>5725600.4609412206</v>
      </c>
      <c r="DR135" s="130">
        <f t="shared" si="491"/>
        <v>5725600.4609412206</v>
      </c>
      <c r="DS135" s="130">
        <f t="shared" si="491"/>
        <v>5725600.4609412206</v>
      </c>
      <c r="DT135" s="130">
        <f t="shared" si="491"/>
        <v>5725600.4609412206</v>
      </c>
      <c r="DU135" s="130">
        <f t="shared" si="491"/>
        <v>5725600.4609412206</v>
      </c>
      <c r="DW135" s="130">
        <f>SUM(BB135:BD135)</f>
        <v>21031938.721489444</v>
      </c>
      <c r="DX135" s="669">
        <f>SUM(BE135:BG135)</f>
        <v>20146914.584234595</v>
      </c>
      <c r="DY135" s="130">
        <f>SUM(BH135:BJ135)</f>
        <v>20542100.754769709</v>
      </c>
      <c r="DZ135" s="130">
        <f>SUM(BK135:BM135)</f>
        <v>19311145.828673977</v>
      </c>
      <c r="EA135" s="130">
        <f>SUM(BN135:BP135)</f>
        <v>21537862.840486098</v>
      </c>
      <c r="EB135" s="130">
        <f>SUM(BQ135:BS135)</f>
        <v>20761739.907842621</v>
      </c>
      <c r="EC135" s="130">
        <f>SUM(BT135:BV135)</f>
        <v>12167062.807984672</v>
      </c>
      <c r="ED135" s="130">
        <f>SUM(BW135:BY135)</f>
        <v>13584759.108955305</v>
      </c>
      <c r="EE135" s="130">
        <f>SUM(BZ135:CB135)</f>
        <v>12609950.931973003</v>
      </c>
      <c r="EF135" s="130">
        <f>SUM(CC135:CE135)</f>
        <v>14611313.784467656</v>
      </c>
      <c r="EG135" s="130">
        <f>SUM(CF135:CH135)</f>
        <v>13078039.532959826</v>
      </c>
      <c r="EH135" s="130">
        <f>SUM(CI135:CK135)</f>
        <v>13307446.694649605</v>
      </c>
      <c r="EI135" s="130">
        <f>SUM(CL135:CN135)</f>
        <v>14362717.10847201</v>
      </c>
      <c r="EJ135" s="130">
        <f>SUM(CO135:CQ135)</f>
        <v>14362717.10847201</v>
      </c>
      <c r="EK135" s="130">
        <f>SUM(CR135:CT135)</f>
        <v>14362717.10847201</v>
      </c>
      <c r="EL135" s="130">
        <f>SUM(CU135:CW135)</f>
        <v>14362717.10847201</v>
      </c>
      <c r="EM135" s="130">
        <f>SUM(CX135:CZ135)</f>
        <v>15695278.683095828</v>
      </c>
      <c r="EN135" s="130">
        <f>SUM(DA135:DC135)</f>
        <v>15695278.683095828</v>
      </c>
      <c r="EO135" s="650">
        <f>SUM(DD135:DF135)</f>
        <v>15695278.683095828</v>
      </c>
      <c r="EP135" s="130">
        <f>SUM(DG135:DI135)</f>
        <v>15695278.683095828</v>
      </c>
      <c r="EQ135" s="130">
        <f t="shared" si="479"/>
        <v>17176801.382823661</v>
      </c>
      <c r="ER135" s="130">
        <f t="shared" si="480"/>
        <v>17176801.382823661</v>
      </c>
      <c r="ES135" s="130">
        <f t="shared" si="481"/>
        <v>17176801.382823661</v>
      </c>
      <c r="ET135" s="130">
        <f t="shared" si="482"/>
        <v>17176801.382823661</v>
      </c>
      <c r="EV135" s="129">
        <f t="shared" si="483"/>
        <v>81032099.889167726</v>
      </c>
      <c r="EW135" s="129">
        <f t="shared" si="484"/>
        <v>68051424.665268689</v>
      </c>
      <c r="EX135" s="129">
        <f t="shared" si="485"/>
        <v>53606750.944050089</v>
      </c>
      <c r="EY135" s="129">
        <f t="shared" si="486"/>
        <v>57450868.43388804</v>
      </c>
      <c r="EZ135" s="129">
        <f t="shared" si="487"/>
        <v>62781114.732383311</v>
      </c>
      <c r="FA135" s="663">
        <f t="shared" si="488"/>
        <v>68707205.531294644</v>
      </c>
    </row>
    <row r="136" spans="2:157" x14ac:dyDescent="0.2">
      <c r="B136" s="120" t="s">
        <v>73</v>
      </c>
      <c r="C136" s="129">
        <f>'P&amp;L - Inputs'!K293</f>
        <v>207113.40000000002</v>
      </c>
      <c r="D136" s="129">
        <f>'P&amp;L - Inputs'!L293</f>
        <v>209013.59999999998</v>
      </c>
      <c r="E136" s="129">
        <f>'P&amp;L - Inputs'!M293</f>
        <v>260990.40000000002</v>
      </c>
      <c r="F136" s="129">
        <f>'P&amp;L - Inputs'!N293</f>
        <v>220092.59999999998</v>
      </c>
      <c r="G136" s="129">
        <f>'P&amp;L - Inputs'!O293</f>
        <v>208267.5</v>
      </c>
      <c r="H136" s="129">
        <f>'P&amp;L - Inputs'!P293</f>
        <v>168254.625</v>
      </c>
      <c r="I136" s="129">
        <f>'P&amp;L - Inputs'!Q293</f>
        <v>166231.66666666666</v>
      </c>
      <c r="J136" s="129">
        <f>'P&amp;L - Inputs'!R293</f>
        <v>148698.59999999998</v>
      </c>
      <c r="K136" s="129">
        <f>'P&amp;L - Inputs'!S293</f>
        <v>135439.90909090909</v>
      </c>
      <c r="L136" s="129">
        <f>'P&amp;L - Inputs'!T293</f>
        <v>130568.72727272726</v>
      </c>
      <c r="M136" s="129">
        <f>'P&amp;L - Inputs'!U293</f>
        <v>131295</v>
      </c>
      <c r="N136" s="129">
        <f>'P&amp;L - Inputs'!V293</f>
        <v>117032.68421052632</v>
      </c>
      <c r="O136" s="129">
        <f>'P&amp;L - Inputs'!W293</f>
        <v>160075.95000000001</v>
      </c>
      <c r="P136" s="129">
        <f>'P&amp;L - Inputs'!X293</f>
        <v>136897.17647058822</v>
      </c>
      <c r="Q136" s="129">
        <f>'P&amp;L - Inputs'!Y293</f>
        <v>142240.125</v>
      </c>
      <c r="R136" s="129">
        <f>'P&amp;L - Inputs'!Z293</f>
        <v>139147.51093749999</v>
      </c>
      <c r="S136" s="129">
        <f>'P&amp;L - Inputs'!AA293</f>
        <v>135211.50203124993</v>
      </c>
      <c r="T136" s="129">
        <f>'P&amp;L - Inputs'!AB293</f>
        <v>175218.5</v>
      </c>
      <c r="U136" s="129">
        <f>'P&amp;L - Inputs'!AC293</f>
        <v>175218.5</v>
      </c>
      <c r="V136" s="129">
        <f>'P&amp;L - Inputs'!AD293</f>
        <v>175224</v>
      </c>
      <c r="W136" s="129">
        <f>'P&amp;L - Inputs'!AE293</f>
        <v>175224</v>
      </c>
      <c r="X136" s="129">
        <f>'P&amp;L - Inputs'!AF293</f>
        <v>175224</v>
      </c>
      <c r="Y136" s="129">
        <f>'P&amp;L - Inputs'!AG293</f>
        <v>181400</v>
      </c>
      <c r="Z136" s="129">
        <f>'P&amp;L - Inputs'!AH293</f>
        <v>178312</v>
      </c>
      <c r="AA136" s="129">
        <f>'P&amp;L - Inputs'!AI293</f>
        <v>206685</v>
      </c>
      <c r="AB136" s="129">
        <f>'P&amp;L - Inputs'!AJ293</f>
        <v>79214.923076923063</v>
      </c>
      <c r="AC136" s="129">
        <f>'P&amp;L - Inputs'!AK293</f>
        <v>79214.923076923063</v>
      </c>
      <c r="AD136" s="129">
        <f>'P&amp;L - Inputs'!AL293</f>
        <v>87318.461538461532</v>
      </c>
      <c r="AE136" s="129">
        <f>'P&amp;L - Inputs'!AM293</f>
        <v>87318.461538461532</v>
      </c>
      <c r="AF136" s="129">
        <f>'P&amp;L - Inputs'!AN293</f>
        <v>87318.461538461532</v>
      </c>
      <c r="AG136" s="129">
        <f>'P&amp;L - Inputs'!AO293</f>
        <v>87318.461538461532</v>
      </c>
      <c r="AH136" s="129">
        <f>'P&amp;L - Inputs'!AP293</f>
        <v>87318.461538461532</v>
      </c>
      <c r="AI136" s="129">
        <f>'P&amp;L - Inputs'!AQ293</f>
        <v>87318.461538461532</v>
      </c>
      <c r="AJ136" s="129">
        <f>'P&amp;L - Inputs'!AR293</f>
        <v>74712.346153846156</v>
      </c>
      <c r="AK136" s="129">
        <f>'P&amp;L - Inputs'!AS293</f>
        <v>59137.461538461539</v>
      </c>
      <c r="AL136" s="129">
        <f>'P&amp;L - Inputs'!AT293</f>
        <v>44716.538461538461</v>
      </c>
      <c r="AM136" s="129">
        <f>'P&amp;L - Inputs'!AU293</f>
        <v>148843.73076923075</v>
      </c>
      <c r="AN136" s="129">
        <f>'P&amp;L - Inputs'!AV293</f>
        <v>173843.73076923078</v>
      </c>
      <c r="AO136" s="129">
        <f>'P&amp;L - Inputs'!AW293</f>
        <v>252779.61538461538</v>
      </c>
      <c r="AP136" s="129">
        <f>'P&amp;L - Inputs'!AX293</f>
        <v>317333.11538461538</v>
      </c>
      <c r="AQ136" s="129">
        <f>'P&amp;L - Inputs'!AY293</f>
        <v>312389.80769230769</v>
      </c>
      <c r="AR136" s="129">
        <f>'P&amp;L - Inputs'!AZ293</f>
        <v>374819.76923076919</v>
      </c>
      <c r="AS136" s="129">
        <f>'P&amp;L - Inputs'!BA293</f>
        <v>366835.76923076919</v>
      </c>
      <c r="AT136" s="129">
        <f>'P&amp;L - Inputs'!BB293</f>
        <v>761400.30769230798</v>
      </c>
      <c r="AU136" s="129">
        <f>'P&amp;L - Inputs'!BC293</f>
        <v>756738.87679487199</v>
      </c>
      <c r="AV136" s="129">
        <f>'P&amp;L - Inputs'!BD293</f>
        <v>779929.7620512821</v>
      </c>
      <c r="AW136" s="129">
        <f>'P&amp;L - Inputs'!BE293</f>
        <v>916392.69692307699</v>
      </c>
      <c r="AX136" s="129">
        <f>'P&amp;L - Inputs'!BF293</f>
        <v>1633862.0646153851</v>
      </c>
      <c r="AY136" s="129">
        <f>'P&amp;L - Inputs'!BG293</f>
        <v>1457840.0046153851</v>
      </c>
      <c r="AZ136" s="129">
        <f>'P&amp;L - Inputs'!BH293</f>
        <v>1125895.6200000001</v>
      </c>
      <c r="BA136" s="129">
        <f>'P&amp;L - Inputs'!BI293</f>
        <v>974091.58153846161</v>
      </c>
      <c r="BB136" s="129">
        <f>'P&amp;L - Inputs'!BJ293</f>
        <v>1670685.8856271771</v>
      </c>
      <c r="BC136" s="129">
        <f>'P&amp;L - Inputs'!BK293</f>
        <v>1731837.4160758951</v>
      </c>
      <c r="BD136" s="129">
        <f>'P&amp;L - Inputs'!BL293</f>
        <v>1768492.1850641025</v>
      </c>
      <c r="BE136" s="129">
        <f>'P&amp;L - Inputs'!BM293</f>
        <v>1802024.0012758479</v>
      </c>
      <c r="BF136" s="129">
        <f>'P&amp;L - Inputs'!BN293</f>
        <v>1571553.7501861043</v>
      </c>
      <c r="BG136" s="129">
        <f>'P&amp;L - Inputs'!BO293</f>
        <v>1646420.0649937966</v>
      </c>
      <c r="BH136" s="129">
        <f>'P&amp;L - Inputs'!BP293</f>
        <v>1709706.8744230769</v>
      </c>
      <c r="BI136" s="129">
        <f>'P&amp;L - Inputs'!BQ293</f>
        <v>1704322.2128846152</v>
      </c>
      <c r="BJ136" s="129">
        <f>'P&amp;L - Inputs'!BR293</f>
        <v>1586066.6341480564</v>
      </c>
      <c r="BK136" s="129">
        <f>'P&amp;L - Inputs'!BS293</f>
        <v>1477020.0307692308</v>
      </c>
      <c r="BL136" s="129">
        <f>'P&amp;L - Inputs'!BT293</f>
        <v>1429159.7893899204</v>
      </c>
      <c r="BM136" s="129">
        <f>'P&amp;L - Inputs'!BU293</f>
        <v>1459177.0384615399</v>
      </c>
      <c r="BN136" s="129">
        <f>'P&amp;L - Inputs'!BV293</f>
        <v>2043554.7576282001</v>
      </c>
      <c r="BO136" s="129">
        <f>'P&amp;L - Inputs'!BW293</f>
        <v>1738236.9</v>
      </c>
      <c r="BP136" s="129">
        <f>'P&amp;L - Inputs'!BX293</f>
        <v>1696119.63076923</v>
      </c>
      <c r="BQ136" s="129">
        <f>'P&amp;L - Inputs'!BY293</f>
        <v>1854253.85846154</v>
      </c>
      <c r="BR136" s="129">
        <f>'P&amp;L - Inputs'!BZ293</f>
        <v>1446045.4815384615</v>
      </c>
      <c r="BS136" s="129">
        <f>'P&amp;L - Inputs'!CA293</f>
        <v>1515998.4158333333</v>
      </c>
      <c r="BT136" s="129">
        <f>'P&amp;L - Inputs'!CB293</f>
        <v>1743299.0007692301</v>
      </c>
      <c r="BU136" s="129">
        <f>'P&amp;L - Inputs'!CC293</f>
        <v>1528335.5007692308</v>
      </c>
      <c r="BV136" s="129">
        <f>'P&amp;L - Inputs'!CD293</f>
        <v>1881539.5063461538</v>
      </c>
      <c r="BW136" s="129">
        <f>'P&amp;L - Inputs'!CE293</f>
        <v>1939033.1883333332</v>
      </c>
      <c r="BX136" s="129">
        <f>'P&amp;L - Inputs'!CF293</f>
        <v>1901675.3201923072</v>
      </c>
      <c r="BY136" s="129">
        <f>'P&amp;L - Inputs'!CG293</f>
        <v>2793842.8851282001</v>
      </c>
      <c r="BZ136" s="129">
        <f>'P&amp;L - Inputs'!CH293</f>
        <v>1337228.8089807699</v>
      </c>
      <c r="CA136" s="129">
        <f>'P&amp;L - Inputs'!CI293</f>
        <v>1389836.012269232</v>
      </c>
      <c r="CB136" s="129">
        <f>'P&amp;L - Inputs'!CJ293</f>
        <v>1415538.8214230768</v>
      </c>
      <c r="CC136" s="129">
        <f>'P&amp;L - Inputs'!CK293</f>
        <v>1511868.2934423075</v>
      </c>
      <c r="CD136" s="129">
        <f>'P&amp;L - Inputs'!CL293</f>
        <v>1609265.7070000002</v>
      </c>
      <c r="CE136" s="129">
        <f>'P&amp;L - Inputs'!CM293</f>
        <v>1877053.7361153816</v>
      </c>
      <c r="CF136" s="129">
        <f>'P&amp;L - Inputs'!CN293</f>
        <v>2505879.832821792</v>
      </c>
      <c r="CG136" s="129">
        <f>'P&amp;L - Inputs'!CO293</f>
        <v>2251002.4034839747</v>
      </c>
      <c r="CH136" s="129">
        <f>'P&amp;L - Inputs'!CP293</f>
        <v>2167628.8408865384</v>
      </c>
      <c r="CI136" s="129">
        <f>'P&amp;L - Inputs'!CQ293</f>
        <v>2252689.6722083334</v>
      </c>
      <c r="CJ136" s="129">
        <f>'P&amp;L - Inputs'!CR293</f>
        <v>2300453.099209615</v>
      </c>
      <c r="CK136" s="129">
        <f>'P&amp;L - Inputs'!CS293</f>
        <v>2052354.6282942304</v>
      </c>
      <c r="CL136" s="129">
        <f>'P&amp;L - Inputs'!CT293</f>
        <v>2438197.2984135463</v>
      </c>
      <c r="CM136" s="129">
        <f>'P&amp;L - Inputs'!CU293</f>
        <v>2438197.2984135463</v>
      </c>
      <c r="CN136" s="129">
        <f>'P&amp;L - Inputs'!CV293</f>
        <v>2438197.2984135463</v>
      </c>
      <c r="CO136" s="129">
        <f>'P&amp;L - Inputs'!CW293</f>
        <v>2438197.2984135463</v>
      </c>
      <c r="CP136" s="129">
        <f>'P&amp;L - Inputs'!CX293</f>
        <v>2438197.2984135463</v>
      </c>
      <c r="CQ136" s="129">
        <f>'P&amp;L - Inputs'!CY293</f>
        <v>2438197.2984135463</v>
      </c>
      <c r="CR136" s="129">
        <f>'P&amp;L - Inputs'!CZ293</f>
        <v>2438197.2984135463</v>
      </c>
      <c r="CS136" s="129">
        <f>'P&amp;L - Inputs'!DA293</f>
        <v>2438197.2984135463</v>
      </c>
      <c r="CT136" s="129">
        <f>'P&amp;L - Inputs'!DB293</f>
        <v>2438197.2984135463</v>
      </c>
      <c r="CU136" s="129">
        <f>'P&amp;L - Inputs'!DC293</f>
        <v>2438197.2984135463</v>
      </c>
      <c r="CV136" s="129">
        <f>'P&amp;L - Inputs'!DD293</f>
        <v>2438197.2984135463</v>
      </c>
      <c r="CW136" s="129">
        <f>'P&amp;L - Inputs'!DE293</f>
        <v>2438197.2984135463</v>
      </c>
      <c r="CX136" s="129">
        <f>'P&amp;L - Inputs'!DF293</f>
        <v>2764915.7364009619</v>
      </c>
      <c r="CY136" s="129">
        <f>'P&amp;L - Inputs'!DG293</f>
        <v>2764915.7364009619</v>
      </c>
      <c r="CZ136" s="129">
        <f>'P&amp;L - Inputs'!DH293</f>
        <v>2764915.7364009619</v>
      </c>
      <c r="DA136" s="129">
        <f>'P&amp;L - Inputs'!DI293</f>
        <v>2764915.7364009619</v>
      </c>
      <c r="DB136" s="129">
        <f>'P&amp;L - Inputs'!DJ293</f>
        <v>2764915.7364009619</v>
      </c>
      <c r="DC136" s="129">
        <f>'P&amp;L - Inputs'!DK293</f>
        <v>2764915.7364009619</v>
      </c>
      <c r="DD136" s="129">
        <f>'P&amp;L - Inputs'!DL293</f>
        <v>2764915.7364009619</v>
      </c>
      <c r="DE136" s="129">
        <f>'P&amp;L - Inputs'!DM293</f>
        <v>2764915.7364009619</v>
      </c>
      <c r="DF136" s="129">
        <f>'P&amp;L - Inputs'!DN293</f>
        <v>2764915.7364009619</v>
      </c>
      <c r="DG136" s="129">
        <f>'P&amp;L - Inputs'!DO293</f>
        <v>2764915.7364009619</v>
      </c>
      <c r="DH136" s="129">
        <f>'P&amp;L - Inputs'!DP293</f>
        <v>2764915.7364009619</v>
      </c>
      <c r="DI136" s="129">
        <f>'P&amp;L - Inputs'!DQ293</f>
        <v>2764915.7364009619</v>
      </c>
      <c r="DJ136" s="129">
        <f>'P&amp;L - Inputs'!DR293</f>
        <v>3135414.445078691</v>
      </c>
      <c r="DK136" s="129">
        <f>'P&amp;L - Inputs'!DS293</f>
        <v>3135414.445078691</v>
      </c>
      <c r="DL136" s="129">
        <f>'P&amp;L - Inputs'!DT293</f>
        <v>3135414.445078691</v>
      </c>
      <c r="DM136" s="129">
        <f>'P&amp;L - Inputs'!DU293</f>
        <v>3135414.445078691</v>
      </c>
      <c r="DN136" s="129">
        <f>'P&amp;L - Inputs'!DV293</f>
        <v>3135414.445078691</v>
      </c>
      <c r="DO136" s="129">
        <f>'P&amp;L - Inputs'!DW293</f>
        <v>3135414.445078691</v>
      </c>
      <c r="DP136" s="129">
        <f>'P&amp;L - Inputs'!DX293</f>
        <v>3135414.445078691</v>
      </c>
      <c r="DQ136" s="129">
        <f>'P&amp;L - Inputs'!DY293</f>
        <v>3135414.445078691</v>
      </c>
      <c r="DR136" s="129">
        <f>'P&amp;L - Inputs'!DZ293</f>
        <v>3135414.445078691</v>
      </c>
      <c r="DS136" s="129">
        <f>'P&amp;L - Inputs'!EA293</f>
        <v>3135414.445078691</v>
      </c>
      <c r="DT136" s="129">
        <f>'P&amp;L - Inputs'!EB293</f>
        <v>3135414.445078691</v>
      </c>
      <c r="DU136" s="129">
        <f>'P&amp;L - Inputs'!EC293</f>
        <v>3135414.445078691</v>
      </c>
      <c r="DW136" s="129">
        <f>SUM(BB136:BD136)</f>
        <v>5171015.4867671747</v>
      </c>
      <c r="DX136" s="663">
        <f>SUM(BE136:BG136)</f>
        <v>5019997.8164557489</v>
      </c>
      <c r="DY136" s="129">
        <f>SUM(BH136:BJ136)</f>
        <v>5000095.7214557482</v>
      </c>
      <c r="DZ136" s="129">
        <f>SUM(BK136:BM136)</f>
        <v>4365356.8586206911</v>
      </c>
      <c r="EA136" s="129">
        <f>SUM(BN136:BP136)</f>
        <v>5477911.2883974295</v>
      </c>
      <c r="EB136" s="129">
        <f>SUM(BQ136:BS136)</f>
        <v>4816297.7558333352</v>
      </c>
      <c r="EC136" s="129">
        <f>SUM(BT136:BV136)</f>
        <v>5153174.0078846151</v>
      </c>
      <c r="ED136" s="129">
        <f>SUM(BW136:BY136)</f>
        <v>6634551.3936538408</v>
      </c>
      <c r="EE136" s="129">
        <f>SUM(BZ136:CB136)</f>
        <v>4142603.6426730789</v>
      </c>
      <c r="EF136" s="129">
        <f>SUM(CC136:CE136)</f>
        <v>4998187.7365576886</v>
      </c>
      <c r="EG136" s="129">
        <f>SUM(CF136:CH136)</f>
        <v>6924511.0771923047</v>
      </c>
      <c r="EH136" s="129">
        <f>SUM(CI136:CK136)</f>
        <v>6605497.3997121789</v>
      </c>
      <c r="EI136" s="129">
        <f>SUM(CL136:CN136)</f>
        <v>7314591.8952406384</v>
      </c>
      <c r="EJ136" s="129">
        <f>SUM(CO136:CQ136)</f>
        <v>7314591.8952406384</v>
      </c>
      <c r="EK136" s="129">
        <f>SUM(CR136:CT136)</f>
        <v>7314591.8952406384</v>
      </c>
      <c r="EL136" s="129">
        <f>SUM(CU136:CW136)</f>
        <v>7314591.8952406384</v>
      </c>
      <c r="EM136" s="129">
        <f>SUM(CX136:CZ136)</f>
        <v>8294747.2092028856</v>
      </c>
      <c r="EN136" s="129">
        <f>SUM(DA136:DC136)</f>
        <v>8294747.2092028856</v>
      </c>
      <c r="EO136" s="644">
        <f>SUM(DD136:DF136)</f>
        <v>8294747.2092028856</v>
      </c>
      <c r="EP136" s="129">
        <f>SUM(DG136:DI136)</f>
        <v>8294747.2092028856</v>
      </c>
      <c r="EQ136" s="129">
        <f t="shared" si="479"/>
        <v>9406243.3352360725</v>
      </c>
      <c r="ER136" s="129">
        <f t="shared" si="480"/>
        <v>9406243.3352360725</v>
      </c>
      <c r="ES136" s="129">
        <f t="shared" si="481"/>
        <v>9406243.3352360725</v>
      </c>
      <c r="ET136" s="129">
        <f t="shared" si="482"/>
        <v>9406243.3352360725</v>
      </c>
      <c r="EV136" s="129">
        <f t="shared" si="483"/>
        <v>19556465.883299366</v>
      </c>
      <c r="EW136" s="129">
        <f t="shared" si="484"/>
        <v>22081934.445769221</v>
      </c>
      <c r="EX136" s="129">
        <f t="shared" si="485"/>
        <v>22670799.856135249</v>
      </c>
      <c r="EY136" s="129">
        <f t="shared" si="486"/>
        <v>29258367.580962554</v>
      </c>
      <c r="EZ136" s="129">
        <f t="shared" si="487"/>
        <v>33178988.836811543</v>
      </c>
      <c r="FA136" s="663">
        <f t="shared" si="488"/>
        <v>37624973.34094429</v>
      </c>
    </row>
    <row r="137" spans="2:157" x14ac:dyDescent="0.2">
      <c r="B137" s="119" t="s">
        <v>45</v>
      </c>
      <c r="C137" s="129">
        <f>'P&amp;L - Inputs'!K294</f>
        <v>3</v>
      </c>
      <c r="D137" s="129">
        <f>'P&amp;L - Inputs'!L294</f>
        <v>3</v>
      </c>
      <c r="E137" s="129">
        <f>'P&amp;L - Inputs'!M294</f>
        <v>3</v>
      </c>
      <c r="F137" s="129">
        <f>'P&amp;L - Inputs'!N294</f>
        <v>3</v>
      </c>
      <c r="G137" s="129">
        <f>'P&amp;L - Inputs'!O294</f>
        <v>3</v>
      </c>
      <c r="H137" s="129">
        <f>'P&amp;L - Inputs'!P294</f>
        <v>3</v>
      </c>
      <c r="I137" s="129">
        <f>'P&amp;L - Inputs'!Q294</f>
        <v>3</v>
      </c>
      <c r="J137" s="129">
        <f>'P&amp;L - Inputs'!R294</f>
        <v>3</v>
      </c>
      <c r="K137" s="129">
        <f>'P&amp;L - Inputs'!S294</f>
        <v>3</v>
      </c>
      <c r="L137" s="129">
        <f>'P&amp;L - Inputs'!T294</f>
        <v>3</v>
      </c>
      <c r="M137" s="129">
        <f>'P&amp;L - Inputs'!U294</f>
        <v>3</v>
      </c>
      <c r="N137" s="129">
        <f>'P&amp;L - Inputs'!V294</f>
        <v>3</v>
      </c>
      <c r="O137" s="129">
        <f>'P&amp;L - Inputs'!W294</f>
        <v>3</v>
      </c>
      <c r="P137" s="129">
        <f>'P&amp;L - Inputs'!X294</f>
        <v>3</v>
      </c>
      <c r="Q137" s="129">
        <f>'P&amp;L - Inputs'!Y294</f>
        <v>3</v>
      </c>
      <c r="R137" s="129">
        <f>'P&amp;L - Inputs'!Z294</f>
        <v>3</v>
      </c>
      <c r="S137" s="129">
        <f>'P&amp;L - Inputs'!AA294</f>
        <v>3</v>
      </c>
      <c r="T137" s="129">
        <f>'P&amp;L - Inputs'!AB294</f>
        <v>3</v>
      </c>
      <c r="U137" s="129">
        <f>'P&amp;L - Inputs'!AC294</f>
        <v>3</v>
      </c>
      <c r="V137" s="129">
        <f>'P&amp;L - Inputs'!AD294</f>
        <v>3</v>
      </c>
      <c r="W137" s="129">
        <f>'P&amp;L - Inputs'!AE294</f>
        <v>3</v>
      </c>
      <c r="X137" s="129">
        <f>'P&amp;L - Inputs'!AF294</f>
        <v>3</v>
      </c>
      <c r="Y137" s="129">
        <f>'P&amp;L - Inputs'!AG294</f>
        <v>3</v>
      </c>
      <c r="Z137" s="129">
        <f>'P&amp;L - Inputs'!AH294</f>
        <v>3</v>
      </c>
      <c r="AA137" s="129">
        <f>'P&amp;L - Inputs'!AI294</f>
        <v>3</v>
      </c>
      <c r="AB137" s="129">
        <f>'P&amp;L - Inputs'!AJ294</f>
        <v>2</v>
      </c>
      <c r="AC137" s="129">
        <f>'P&amp;L - Inputs'!AK294</f>
        <v>2</v>
      </c>
      <c r="AD137" s="129">
        <f>'P&amp;L - Inputs'!AL294</f>
        <v>2</v>
      </c>
      <c r="AE137" s="129">
        <f>'P&amp;L - Inputs'!AM294</f>
        <v>2</v>
      </c>
      <c r="AF137" s="129">
        <f>'P&amp;L - Inputs'!AN294</f>
        <v>2</v>
      </c>
      <c r="AG137" s="129">
        <f>'P&amp;L - Inputs'!AO294</f>
        <v>2</v>
      </c>
      <c r="AH137" s="129">
        <f>'P&amp;L - Inputs'!AP294</f>
        <v>2</v>
      </c>
      <c r="AI137" s="129">
        <f>'P&amp;L - Inputs'!AQ294</f>
        <v>2</v>
      </c>
      <c r="AJ137" s="129">
        <f>'P&amp;L - Inputs'!AR294</f>
        <v>2</v>
      </c>
      <c r="AK137" s="129">
        <f>'P&amp;L - Inputs'!AS294</f>
        <v>1</v>
      </c>
      <c r="AL137" s="129">
        <f>'P&amp;L - Inputs'!AT294</f>
        <v>1</v>
      </c>
      <c r="AM137" s="129">
        <f>'P&amp;L - Inputs'!AU294</f>
        <v>1</v>
      </c>
      <c r="AN137" s="129">
        <f>'P&amp;L - Inputs'!AV294</f>
        <v>1</v>
      </c>
      <c r="AO137" s="129">
        <f>'P&amp;L - Inputs'!AW294</f>
        <v>2</v>
      </c>
      <c r="AP137" s="129">
        <f>'P&amp;L - Inputs'!AX294</f>
        <v>4</v>
      </c>
      <c r="AQ137" s="129">
        <f>'P&amp;L - Inputs'!AY294</f>
        <v>5</v>
      </c>
      <c r="AR137" s="129">
        <f>'P&amp;L - Inputs'!AZ294</f>
        <v>6</v>
      </c>
      <c r="AS137" s="129">
        <f>'P&amp;L - Inputs'!BA294</f>
        <v>6</v>
      </c>
      <c r="AT137" s="129">
        <f>'P&amp;L - Inputs'!BB294</f>
        <v>7</v>
      </c>
      <c r="AU137" s="129">
        <f>'P&amp;L - Inputs'!BC294</f>
        <v>8</v>
      </c>
      <c r="AV137" s="129">
        <f>'P&amp;L - Inputs'!BD294</f>
        <v>8</v>
      </c>
      <c r="AW137" s="129">
        <f>'P&amp;L - Inputs'!BE294</f>
        <v>13</v>
      </c>
      <c r="AX137" s="129">
        <f>'P&amp;L - Inputs'!BF294</f>
        <v>17</v>
      </c>
      <c r="AY137" s="129">
        <f>'P&amp;L - Inputs'!BG294</f>
        <v>17</v>
      </c>
      <c r="AZ137" s="129">
        <f>'P&amp;L - Inputs'!BH294</f>
        <v>16</v>
      </c>
      <c r="BA137" s="129">
        <f>'P&amp;L - Inputs'!BI294</f>
        <v>13</v>
      </c>
      <c r="BB137" s="129">
        <f>'P&amp;L - Inputs'!BJ294</f>
        <v>18</v>
      </c>
      <c r="BC137" s="129">
        <f>'P&amp;L - Inputs'!BK294</f>
        <v>18</v>
      </c>
      <c r="BD137" s="129">
        <f>'P&amp;L - Inputs'!BL294</f>
        <v>20</v>
      </c>
      <c r="BE137" s="129">
        <f>'P&amp;L - Inputs'!BM294</f>
        <v>20</v>
      </c>
      <c r="BF137" s="129">
        <f>'P&amp;L - Inputs'!BN294</f>
        <v>19</v>
      </c>
      <c r="BG137" s="129">
        <f>'P&amp;L - Inputs'!BO294</f>
        <v>19</v>
      </c>
      <c r="BH137" s="129">
        <f>'P&amp;L - Inputs'!BP294</f>
        <v>18</v>
      </c>
      <c r="BI137" s="129">
        <f>'P&amp;L - Inputs'!BQ294</f>
        <v>19</v>
      </c>
      <c r="BJ137" s="129">
        <f>'P&amp;L - Inputs'!BR294</f>
        <v>19</v>
      </c>
      <c r="BK137" s="129">
        <f>'P&amp;L - Inputs'!BS294</f>
        <v>15</v>
      </c>
      <c r="BL137" s="129">
        <f>'P&amp;L - Inputs'!BT294</f>
        <v>15</v>
      </c>
      <c r="BM137" s="129">
        <f>'P&amp;L - Inputs'!BU294</f>
        <v>15</v>
      </c>
      <c r="BN137" s="129">
        <f>'P&amp;L - Inputs'!BV294</f>
        <v>15</v>
      </c>
      <c r="BO137" s="129">
        <f>'P&amp;L - Inputs'!BW294</f>
        <v>14</v>
      </c>
      <c r="BP137" s="129">
        <f>'P&amp;L - Inputs'!BX294</f>
        <v>13</v>
      </c>
      <c r="BQ137" s="129">
        <f>'P&amp;L - Inputs'!BY294</f>
        <v>19</v>
      </c>
      <c r="BR137" s="129">
        <f>'P&amp;L - Inputs'!BZ294</f>
        <v>18</v>
      </c>
      <c r="BS137" s="129">
        <f>'P&amp;L - Inputs'!CA294</f>
        <v>21</v>
      </c>
      <c r="BT137" s="129">
        <f>'P&amp;L - Inputs'!CB294</f>
        <v>21</v>
      </c>
      <c r="BU137" s="129">
        <f>'P&amp;L - Inputs'!CC294</f>
        <v>21</v>
      </c>
      <c r="BV137" s="129">
        <f>'P&amp;L - Inputs'!CD294</f>
        <v>25</v>
      </c>
      <c r="BW137" s="129">
        <f>'P&amp;L - Inputs'!CE294</f>
        <v>26</v>
      </c>
      <c r="BX137" s="129">
        <f>'P&amp;L - Inputs'!CF294</f>
        <v>29</v>
      </c>
      <c r="BY137" s="129">
        <f>'P&amp;L - Inputs'!CG294</f>
        <v>29</v>
      </c>
      <c r="BZ137" s="129">
        <f>'P&amp;L - Inputs'!CH294</f>
        <v>11.5</v>
      </c>
      <c r="CA137" s="129">
        <f>'P&amp;L - Inputs'!CI294</f>
        <v>11.5</v>
      </c>
      <c r="CB137" s="129">
        <f>'P&amp;L - Inputs'!CJ294</f>
        <v>12.2</v>
      </c>
      <c r="CC137" s="129">
        <f>'P&amp;L - Inputs'!CK294</f>
        <v>12.5</v>
      </c>
      <c r="CD137" s="129">
        <f>'P&amp;L - Inputs'!CL294</f>
        <v>16</v>
      </c>
      <c r="CE137" s="129">
        <f>'P&amp;L - Inputs'!CM294</f>
        <v>16</v>
      </c>
      <c r="CF137" s="129">
        <f>'P&amp;L - Inputs'!CN294</f>
        <v>24.7</v>
      </c>
      <c r="CG137" s="129">
        <f>'P&amp;L - Inputs'!CO294</f>
        <v>26.88</v>
      </c>
      <c r="CH137" s="129">
        <f>'P&amp;L - Inputs'!CP294</f>
        <v>27.88</v>
      </c>
      <c r="CI137" s="129">
        <f>'P&amp;L - Inputs'!CQ294</f>
        <v>28.65</v>
      </c>
      <c r="CJ137" s="129">
        <f>'P&amp;L - Inputs'!CR294</f>
        <v>29.24</v>
      </c>
      <c r="CK137" s="129">
        <f>'P&amp;L - Inputs'!CS294</f>
        <v>25.65</v>
      </c>
      <c r="CL137" s="129">
        <f>'P&amp;L - Inputs'!CT294</f>
        <v>28.215</v>
      </c>
      <c r="CM137" s="129">
        <f>'P&amp;L - Inputs'!CU294</f>
        <v>28.215</v>
      </c>
      <c r="CN137" s="129">
        <f>'P&amp;L - Inputs'!CV294</f>
        <v>28.215</v>
      </c>
      <c r="CO137" s="129">
        <f>'P&amp;L - Inputs'!CW294</f>
        <v>28.215</v>
      </c>
      <c r="CP137" s="129">
        <f>'P&amp;L - Inputs'!CX294</f>
        <v>28.215</v>
      </c>
      <c r="CQ137" s="129">
        <f>'P&amp;L - Inputs'!CY294</f>
        <v>28.215</v>
      </c>
      <c r="CR137" s="129">
        <f>'P&amp;L - Inputs'!CZ294</f>
        <v>28.215</v>
      </c>
      <c r="CS137" s="129">
        <f>'P&amp;L - Inputs'!DA294</f>
        <v>28.215</v>
      </c>
      <c r="CT137" s="129">
        <f>'P&amp;L - Inputs'!DB294</f>
        <v>28.215</v>
      </c>
      <c r="CU137" s="129">
        <f>'P&amp;L - Inputs'!DC294</f>
        <v>28.215</v>
      </c>
      <c r="CV137" s="129">
        <f>'P&amp;L - Inputs'!DD294</f>
        <v>28.215</v>
      </c>
      <c r="CW137" s="129">
        <f>'P&amp;L - Inputs'!DE294</f>
        <v>28.215</v>
      </c>
      <c r="CX137" s="129">
        <f>'P&amp;L - Inputs'!DF294</f>
        <v>29.62575</v>
      </c>
      <c r="CY137" s="129">
        <f>'P&amp;L - Inputs'!DG294</f>
        <v>29.62575</v>
      </c>
      <c r="CZ137" s="129">
        <f>'P&amp;L - Inputs'!DH294</f>
        <v>29.62575</v>
      </c>
      <c r="DA137" s="129">
        <f>'P&amp;L - Inputs'!DI294</f>
        <v>29.62575</v>
      </c>
      <c r="DB137" s="129">
        <f>'P&amp;L - Inputs'!DJ294</f>
        <v>29.62575</v>
      </c>
      <c r="DC137" s="129">
        <f>'P&amp;L - Inputs'!DK294</f>
        <v>29.62575</v>
      </c>
      <c r="DD137" s="129">
        <f>'P&amp;L - Inputs'!DL294</f>
        <v>29.62575</v>
      </c>
      <c r="DE137" s="129">
        <f>'P&amp;L - Inputs'!DM294</f>
        <v>29.62575</v>
      </c>
      <c r="DF137" s="129">
        <f>'P&amp;L - Inputs'!DN294</f>
        <v>29.62575</v>
      </c>
      <c r="DG137" s="129">
        <f>'P&amp;L - Inputs'!DO294</f>
        <v>29.62575</v>
      </c>
      <c r="DH137" s="129">
        <f>'P&amp;L - Inputs'!DP294</f>
        <v>29.62575</v>
      </c>
      <c r="DI137" s="129">
        <f>'P&amp;L - Inputs'!DQ294</f>
        <v>29.62575</v>
      </c>
      <c r="DJ137" s="129">
        <f>'P&amp;L - Inputs'!DR294</f>
        <v>31.107037500000001</v>
      </c>
      <c r="DK137" s="129">
        <f>'P&amp;L - Inputs'!DS294</f>
        <v>31.107037500000001</v>
      </c>
      <c r="DL137" s="129">
        <f>'P&amp;L - Inputs'!DT294</f>
        <v>31.107037500000001</v>
      </c>
      <c r="DM137" s="129">
        <f>'P&amp;L - Inputs'!DU294</f>
        <v>31.107037500000001</v>
      </c>
      <c r="DN137" s="129">
        <f>'P&amp;L - Inputs'!DV294</f>
        <v>31.107037500000001</v>
      </c>
      <c r="DO137" s="129">
        <f>'P&amp;L - Inputs'!DW294</f>
        <v>31.107037500000001</v>
      </c>
      <c r="DP137" s="129">
        <f>'P&amp;L - Inputs'!DX294</f>
        <v>31.107037500000001</v>
      </c>
      <c r="DQ137" s="129">
        <f>'P&amp;L - Inputs'!DY294</f>
        <v>31.107037500000001</v>
      </c>
      <c r="DR137" s="129">
        <f>'P&amp;L - Inputs'!DZ294</f>
        <v>31.107037500000001</v>
      </c>
      <c r="DS137" s="129">
        <f>'P&amp;L - Inputs'!EA294</f>
        <v>31.107037500000001</v>
      </c>
      <c r="DT137" s="129">
        <f>'P&amp;L - Inputs'!EB294</f>
        <v>31.107037500000001</v>
      </c>
      <c r="DU137" s="129">
        <f>'P&amp;L - Inputs'!EC294</f>
        <v>31.107037500000001</v>
      </c>
      <c r="DW137" s="129"/>
      <c r="DX137" s="663"/>
      <c r="DY137" s="129"/>
      <c r="DZ137" s="129"/>
      <c r="EA137" s="129"/>
      <c r="EB137" s="129"/>
      <c r="EC137" s="129"/>
      <c r="ED137" s="129"/>
      <c r="EE137" s="129"/>
      <c r="EF137" s="129"/>
      <c r="EG137" s="129"/>
      <c r="EH137" s="129"/>
      <c r="EI137" s="129"/>
      <c r="EJ137" s="129"/>
      <c r="EK137" s="129"/>
      <c r="EL137" s="129"/>
      <c r="EM137" s="129"/>
      <c r="EN137" s="129"/>
      <c r="EO137" s="644"/>
      <c r="EP137" s="129"/>
      <c r="EQ137" s="129"/>
      <c r="ER137" s="129"/>
      <c r="ES137" s="129"/>
      <c r="ET137" s="129"/>
      <c r="EV137" s="129">
        <f t="shared" si="483"/>
        <v>0</v>
      </c>
      <c r="EW137" s="129">
        <f t="shared" si="484"/>
        <v>0</v>
      </c>
      <c r="EX137" s="129">
        <f t="shared" si="485"/>
        <v>0</v>
      </c>
      <c r="EY137" s="129">
        <f t="shared" si="486"/>
        <v>0</v>
      </c>
      <c r="EZ137" s="129">
        <f t="shared" si="487"/>
        <v>0</v>
      </c>
      <c r="FA137" s="663">
        <f t="shared" si="488"/>
        <v>0</v>
      </c>
    </row>
    <row r="138" spans="2:157" x14ac:dyDescent="0.2">
      <c r="B138" s="120" t="s">
        <v>151</v>
      </c>
      <c r="C138" s="129">
        <f>'P&amp;L - Inputs'!K295</f>
        <v>7204.0739219712523</v>
      </c>
      <c r="D138" s="129">
        <f>'P&amp;L - Inputs'!L295</f>
        <v>42440.767552447556</v>
      </c>
      <c r="E138" s="129">
        <f>'P&amp;L - Inputs'!M295</f>
        <v>155301.67538022815</v>
      </c>
      <c r="F138" s="129">
        <f>'P&amp;L - Inputs'!N295</f>
        <v>172268.69137670196</v>
      </c>
      <c r="G138" s="129">
        <f>'P&amp;L - Inputs'!O295</f>
        <v>173076.02259113471</v>
      </c>
      <c r="H138" s="129">
        <f>'P&amp;L - Inputs'!P295</f>
        <v>126603.59052453468</v>
      </c>
      <c r="I138" s="129">
        <f>'P&amp;L - Inputs'!Q295</f>
        <v>209053.20847737865</v>
      </c>
      <c r="J138" s="129">
        <f>'P&amp;L - Inputs'!R295</f>
        <v>247480.61780715396</v>
      </c>
      <c r="K138" s="129">
        <f>'P&amp;L - Inputs'!S295</f>
        <v>334068</v>
      </c>
      <c r="L138" s="129">
        <f>'P&amp;L - Inputs'!T295</f>
        <v>294658.15330188681</v>
      </c>
      <c r="M138" s="129">
        <f>'P&amp;L - Inputs'!U295</f>
        <v>351793.50963008252</v>
      </c>
      <c r="N138" s="129">
        <f>'P&amp;L - Inputs'!V295</f>
        <v>258577.29611883085</v>
      </c>
      <c r="O138" s="129">
        <f>'P&amp;L - Inputs'!W295</f>
        <v>341780.82532146387</v>
      </c>
      <c r="P138" s="129">
        <f>'P&amp;L - Inputs'!X295</f>
        <v>218723.16136724959</v>
      </c>
      <c r="Q138" s="129">
        <f>'P&amp;L - Inputs'!Y295</f>
        <v>317585.0235774499</v>
      </c>
      <c r="R138" s="129">
        <f>'P&amp;L - Inputs'!Z295</f>
        <v>0</v>
      </c>
      <c r="S138" s="129">
        <f>'P&amp;L - Inputs'!AA295</f>
        <v>474832.06261589407</v>
      </c>
      <c r="T138" s="129">
        <f>'P&amp;L - Inputs'!AB295</f>
        <v>303856.48012238991</v>
      </c>
      <c r="U138" s="129">
        <f>'P&amp;L - Inputs'!AC295</f>
        <v>187081.87156753783</v>
      </c>
      <c r="V138" s="129">
        <f>'P&amp;L - Inputs'!AD295</f>
        <v>191283.40062764572</v>
      </c>
      <c r="W138" s="129">
        <f>'P&amp;L - Inputs'!AE295</f>
        <v>158056.91191709845</v>
      </c>
      <c r="X138" s="129">
        <f>'P&amp;L - Inputs'!AF295</f>
        <v>219248.69624573379</v>
      </c>
      <c r="Y138" s="129">
        <f>'P&amp;L - Inputs'!AG295</f>
        <v>147446.61100698586</v>
      </c>
      <c r="Z138" s="129">
        <f>'P&amp;L - Inputs'!AH295</f>
        <v>186682.86831812258</v>
      </c>
      <c r="AA138" s="129">
        <f>'P&amp;L - Inputs'!AI295</f>
        <v>119797.03400765445</v>
      </c>
      <c r="AB138" s="129">
        <f>'P&amp;L - Inputs'!AJ295</f>
        <v>151131.76718467398</v>
      </c>
      <c r="AC138" s="129">
        <f>'P&amp;L - Inputs'!AK295</f>
        <v>203886.96738271398</v>
      </c>
      <c r="AD138" s="129">
        <f>'P&amp;L - Inputs'!AL295</f>
        <v>252644.45223602152</v>
      </c>
      <c r="AE138" s="129">
        <f>'P&amp;L - Inputs'!AM295</f>
        <v>218795.49087174915</v>
      </c>
      <c r="AF138" s="129">
        <f>'P&amp;L - Inputs'!AN295</f>
        <v>174345.6766126685</v>
      </c>
      <c r="AG138" s="129">
        <f>'P&amp;L - Inputs'!AO295</f>
        <v>128413.50992782932</v>
      </c>
      <c r="AH138" s="129">
        <f>'P&amp;L - Inputs'!AP295</f>
        <v>80759.625176130707</v>
      </c>
      <c r="AI138" s="129">
        <f>'P&amp;L - Inputs'!AQ295</f>
        <v>94679.738814932934</v>
      </c>
      <c r="AJ138" s="129">
        <f>'P&amp;L - Inputs'!AR295</f>
        <v>100566.4502566201</v>
      </c>
      <c r="AK138" s="129">
        <f>'P&amp;L - Inputs'!AS295</f>
        <v>237758.21934087476</v>
      </c>
      <c r="AL138" s="129">
        <f>'P&amp;L - Inputs'!AT295</f>
        <v>237129.39855272218</v>
      </c>
      <c r="AM138" s="129">
        <f>'P&amp;L - Inputs'!AU295</f>
        <v>224122.87941582254</v>
      </c>
      <c r="AN138" s="129">
        <f>'P&amp;L - Inputs'!AV295</f>
        <v>224122.87941582254</v>
      </c>
      <c r="AO138" s="129">
        <f>'P&amp;L - Inputs'!AW295</f>
        <v>131324.09511399825</v>
      </c>
      <c r="AP138" s="129">
        <f>'P&amp;L - Inputs'!AX295</f>
        <v>191094.57750758145</v>
      </c>
      <c r="AQ138" s="129">
        <f>'P&amp;L - Inputs'!AY295</f>
        <v>280085.85939124267</v>
      </c>
      <c r="AR138" s="129">
        <f>'P&amp;L - Inputs'!AZ295</f>
        <v>0</v>
      </c>
      <c r="AS138" s="129">
        <f>'P&amp;L - Inputs'!BA295</f>
        <v>0</v>
      </c>
      <c r="AT138" s="129">
        <f>'P&amp;L - Inputs'!BB295</f>
        <v>0</v>
      </c>
      <c r="AU138" s="129">
        <f>'P&amp;L - Inputs'!BC295</f>
        <v>0</v>
      </c>
      <c r="AV138" s="129">
        <f>'P&amp;L - Inputs'!BD295</f>
        <v>0</v>
      </c>
      <c r="AW138" s="129">
        <f>'P&amp;L - Inputs'!BE295</f>
        <v>0</v>
      </c>
      <c r="AX138" s="129">
        <f>'P&amp;L - Inputs'!BF295</f>
        <v>0</v>
      </c>
      <c r="AY138" s="129">
        <f>'P&amp;L - Inputs'!BG295</f>
        <v>0</v>
      </c>
      <c r="AZ138" s="129">
        <f>'P&amp;L - Inputs'!BH295</f>
        <v>0</v>
      </c>
      <c r="BA138" s="129">
        <f>'P&amp;L - Inputs'!BI295</f>
        <v>0</v>
      </c>
      <c r="BB138" s="129">
        <f>'P&amp;L - Inputs'!BJ295</f>
        <v>5518064.7504724897</v>
      </c>
      <c r="BC138" s="129">
        <f>'P&amp;L - Inputs'!BK295</f>
        <v>5186625.7847807957</v>
      </c>
      <c r="BD138" s="129">
        <f>'P&amp;L - Inputs'!BL295</f>
        <v>5156232.6994689833</v>
      </c>
      <c r="BE138" s="129">
        <f>'P&amp;L - Inputs'!BM295</f>
        <v>5188364.7755000014</v>
      </c>
      <c r="BF138" s="129">
        <f>'P&amp;L - Inputs'!BN295</f>
        <v>5054952.1131634628</v>
      </c>
      <c r="BG138" s="129">
        <f>'P&amp;L - Inputs'!BO295</f>
        <v>4883599.8791153831</v>
      </c>
      <c r="BH138" s="129">
        <f>'P&amp;L - Inputs'!BP295</f>
        <v>4636686.5968076959</v>
      </c>
      <c r="BI138" s="129">
        <f>'P&amp;L - Inputs'!BQ295</f>
        <v>5453008.0151500953</v>
      </c>
      <c r="BJ138" s="129">
        <f>'P&amp;L - Inputs'!BR295</f>
        <v>5452310.4213561676</v>
      </c>
      <c r="BK138" s="129">
        <f>'P&amp;L - Inputs'!BS295</f>
        <v>5222364.3188471301</v>
      </c>
      <c r="BL138" s="129">
        <f>'P&amp;L - Inputs'!BT295</f>
        <v>4769403.6738549527</v>
      </c>
      <c r="BM138" s="129">
        <f>'P&amp;L - Inputs'!BU295</f>
        <v>4954020.9773512036</v>
      </c>
      <c r="BN138" s="129">
        <f>'P&amp;L - Inputs'!BV295</f>
        <v>5232013.9059183523</v>
      </c>
      <c r="BO138" s="129">
        <f>'P&amp;L - Inputs'!BW295</f>
        <v>5461758.5042485353</v>
      </c>
      <c r="BP138" s="129">
        <f>'P&amp;L - Inputs'!BX295</f>
        <v>5366179.1419217791</v>
      </c>
      <c r="BQ138" s="129">
        <f>'P&amp;L - Inputs'!BY295</f>
        <v>5390701.4060941953</v>
      </c>
      <c r="BR138" s="129">
        <f>'P&amp;L - Inputs'!BZ295</f>
        <v>5388247.0952542368</v>
      </c>
      <c r="BS138" s="129">
        <f>'P&amp;L - Inputs'!CA295</f>
        <v>5166493.6506608538</v>
      </c>
      <c r="BT138" s="129">
        <f>'P&amp;L - Inputs'!CB295</f>
        <v>2063140.0636499899</v>
      </c>
      <c r="BU138" s="129">
        <f>'P&amp;L - Inputs'!CC295</f>
        <v>3139406.7364500682</v>
      </c>
      <c r="BV138" s="129">
        <f>'P&amp;L - Inputs'!CD295</f>
        <v>1811342</v>
      </c>
      <c r="BW138" s="129">
        <f>'P&amp;L - Inputs'!CE295</f>
        <v>2017457</v>
      </c>
      <c r="BX138" s="129">
        <f>'P&amp;L - Inputs'!CF295</f>
        <v>2017457</v>
      </c>
      <c r="BY138" s="129">
        <f>'P&amp;L - Inputs'!CG295</f>
        <v>2915293.7153014648</v>
      </c>
      <c r="BZ138" s="129">
        <f>'P&amp;L - Inputs'!CH295</f>
        <v>2606588.4321999801</v>
      </c>
      <c r="CA138" s="129">
        <f>'P&amp;L - Inputs'!CI295</f>
        <v>3133764.4003499807</v>
      </c>
      <c r="CB138" s="129">
        <f>'P&amp;L - Inputs'!CJ295</f>
        <v>2726994.456749964</v>
      </c>
      <c r="CC138" s="129">
        <f>'P&amp;L - Inputs'!CK295</f>
        <v>3528003.1040999717</v>
      </c>
      <c r="CD138" s="129">
        <f>'P&amp;L - Inputs'!CL295</f>
        <v>2986507.9162599281</v>
      </c>
      <c r="CE138" s="129">
        <f>'P&amp;L - Inputs'!CM295</f>
        <v>3098615.0275500673</v>
      </c>
      <c r="CF138" s="129">
        <f>'P&amp;L - Inputs'!CN295</f>
        <v>2145103.0295625073</v>
      </c>
      <c r="CG138" s="129">
        <f>'P&amp;L - Inputs'!CO295</f>
        <v>1869980.3486999704</v>
      </c>
      <c r="CH138" s="129">
        <f>'P&amp;L - Inputs'!CP295</f>
        <v>2138445.0775050437</v>
      </c>
      <c r="CI138" s="129">
        <f>'P&amp;L - Inputs'!CQ295</f>
        <v>2191132.4940449609</v>
      </c>
      <c r="CJ138" s="129">
        <f>'P&amp;L - Inputs'!CR295</f>
        <v>2273316.7331999657</v>
      </c>
      <c r="CK138" s="129">
        <f>'P&amp;L - Inputs'!CS295</f>
        <v>2237500.0676924991</v>
      </c>
      <c r="CL138" s="129">
        <f>'P&amp;L - Inputs'!CT295</f>
        <v>2349375.0710771242</v>
      </c>
      <c r="CM138" s="129">
        <f>'P&amp;L - Inputs'!CU295</f>
        <v>2349375.0710771242</v>
      </c>
      <c r="CN138" s="129">
        <f>'P&amp;L - Inputs'!CV295</f>
        <v>2349375.0710771242</v>
      </c>
      <c r="CO138" s="129">
        <f>'P&amp;L - Inputs'!CW295</f>
        <v>2349375.0710771242</v>
      </c>
      <c r="CP138" s="129">
        <f>'P&amp;L - Inputs'!CX295</f>
        <v>2349375.0710771242</v>
      </c>
      <c r="CQ138" s="129">
        <f>'P&amp;L - Inputs'!CY295</f>
        <v>2349375.0710771242</v>
      </c>
      <c r="CR138" s="129">
        <f>'P&amp;L - Inputs'!CZ295</f>
        <v>2349375.0710771242</v>
      </c>
      <c r="CS138" s="129">
        <f>'P&amp;L - Inputs'!DA295</f>
        <v>2349375.0710771242</v>
      </c>
      <c r="CT138" s="129">
        <f>'P&amp;L - Inputs'!DB295</f>
        <v>2349375.0710771242</v>
      </c>
      <c r="CU138" s="129">
        <f>'P&amp;L - Inputs'!DC295</f>
        <v>2349375.0710771242</v>
      </c>
      <c r="CV138" s="129">
        <f>'P&amp;L - Inputs'!DD295</f>
        <v>2349375.0710771242</v>
      </c>
      <c r="CW138" s="129">
        <f>'P&amp;L - Inputs'!DE295</f>
        <v>2349375.0710771242</v>
      </c>
      <c r="CX138" s="129">
        <f>'P&amp;L - Inputs'!DF295</f>
        <v>2466843.8246309804</v>
      </c>
      <c r="CY138" s="129">
        <f>'P&amp;L - Inputs'!DG295</f>
        <v>2466843.8246309804</v>
      </c>
      <c r="CZ138" s="129">
        <f>'P&amp;L - Inputs'!DH295</f>
        <v>2466843.8246309804</v>
      </c>
      <c r="DA138" s="129">
        <f>'P&amp;L - Inputs'!DI295</f>
        <v>2466843.8246309804</v>
      </c>
      <c r="DB138" s="129">
        <f>'P&amp;L - Inputs'!DJ295</f>
        <v>2466843.8246309804</v>
      </c>
      <c r="DC138" s="129">
        <f>'P&amp;L - Inputs'!DK295</f>
        <v>2466843.8246309804</v>
      </c>
      <c r="DD138" s="129">
        <f>'P&amp;L - Inputs'!DL295</f>
        <v>2466843.8246309804</v>
      </c>
      <c r="DE138" s="129">
        <f>'P&amp;L - Inputs'!DM295</f>
        <v>2466843.8246309804</v>
      </c>
      <c r="DF138" s="129">
        <f>'P&amp;L - Inputs'!DN295</f>
        <v>2466843.8246309804</v>
      </c>
      <c r="DG138" s="129">
        <f>'P&amp;L - Inputs'!DO295</f>
        <v>2466843.8246309804</v>
      </c>
      <c r="DH138" s="129">
        <f>'P&amp;L - Inputs'!DP295</f>
        <v>2466843.8246309804</v>
      </c>
      <c r="DI138" s="129">
        <f>'P&amp;L - Inputs'!DQ295</f>
        <v>2466843.8246309804</v>
      </c>
      <c r="DJ138" s="129">
        <f>'P&amp;L - Inputs'!DR295</f>
        <v>2590186.0158625296</v>
      </c>
      <c r="DK138" s="129">
        <f>'P&amp;L - Inputs'!DS295</f>
        <v>2590186.0158625296</v>
      </c>
      <c r="DL138" s="129">
        <f>'P&amp;L - Inputs'!DT295</f>
        <v>2590186.0158625296</v>
      </c>
      <c r="DM138" s="129">
        <f>'P&amp;L - Inputs'!DU295</f>
        <v>2590186.0158625296</v>
      </c>
      <c r="DN138" s="129">
        <f>'P&amp;L - Inputs'!DV295</f>
        <v>2590186.0158625296</v>
      </c>
      <c r="DO138" s="129">
        <f>'P&amp;L - Inputs'!DW295</f>
        <v>2590186.0158625296</v>
      </c>
      <c r="DP138" s="129">
        <f>'P&amp;L - Inputs'!DX295</f>
        <v>2590186.0158625296</v>
      </c>
      <c r="DQ138" s="129">
        <f>'P&amp;L - Inputs'!DY295</f>
        <v>2590186.0158625296</v>
      </c>
      <c r="DR138" s="129">
        <f>'P&amp;L - Inputs'!DZ295</f>
        <v>2590186.0158625296</v>
      </c>
      <c r="DS138" s="129">
        <f>'P&amp;L - Inputs'!EA295</f>
        <v>2590186.0158625296</v>
      </c>
      <c r="DT138" s="129">
        <f>'P&amp;L - Inputs'!EB295</f>
        <v>2590186.0158625296</v>
      </c>
      <c r="DU138" s="129">
        <f>'P&amp;L - Inputs'!EC295</f>
        <v>2590186.0158625296</v>
      </c>
      <c r="DW138" s="129">
        <f>SUM(BB138:BD138)</f>
        <v>15860923.23472227</v>
      </c>
      <c r="DX138" s="663">
        <f>SUM(BE138:BG138)</f>
        <v>15126916.767778847</v>
      </c>
      <c r="DY138" s="129">
        <f>SUM(BH138:BJ138)</f>
        <v>15542005.03331396</v>
      </c>
      <c r="DZ138" s="129">
        <f>SUM(BK138:BM138)</f>
        <v>14945788.970053285</v>
      </c>
      <c r="EA138" s="129">
        <f>SUM(BN138:BP138)</f>
        <v>16059951.552088667</v>
      </c>
      <c r="EB138" s="129">
        <f>SUM(BQ138:BS138)</f>
        <v>15945442.152009286</v>
      </c>
      <c r="EC138" s="129">
        <f>SUM(BT138:BV138)</f>
        <v>7013888.8001000583</v>
      </c>
      <c r="ED138" s="129">
        <f>SUM(BW138:BY138)</f>
        <v>6950207.7153014652</v>
      </c>
      <c r="EE138" s="129">
        <f>SUM(BZ138:CB138)</f>
        <v>8467347.2892999258</v>
      </c>
      <c r="EF138" s="129">
        <f>SUM(CC138:CE138)</f>
        <v>9613126.0479099676</v>
      </c>
      <c r="EG138" s="129">
        <f>SUM(CF138:CH138)</f>
        <v>6153528.4557675216</v>
      </c>
      <c r="EH138" s="129">
        <f>SUM(CI138:CK138)</f>
        <v>6701949.2949374262</v>
      </c>
      <c r="EI138" s="129">
        <f>SUM(CL138:CN138)</f>
        <v>7048125.2132313726</v>
      </c>
      <c r="EJ138" s="129">
        <f>SUM(CO138:CQ138)</f>
        <v>7048125.2132313726</v>
      </c>
      <c r="EK138" s="129">
        <f>SUM(CR138:CT138)</f>
        <v>7048125.2132313726</v>
      </c>
      <c r="EL138" s="129">
        <f>SUM(CU138:CW138)</f>
        <v>7048125.2132313726</v>
      </c>
      <c r="EM138" s="129">
        <f>SUM(CX138:CZ138)</f>
        <v>7400531.4738929411</v>
      </c>
      <c r="EN138" s="129">
        <f>SUM(DA138:DC138)</f>
        <v>7400531.4738929411</v>
      </c>
      <c r="EO138" s="644">
        <f>SUM(DD138:DF138)</f>
        <v>7400531.4738929411</v>
      </c>
      <c r="EP138" s="129">
        <f>SUM(DG138:DI138)</f>
        <v>7400531.4738929411</v>
      </c>
      <c r="EQ138" s="129">
        <f t="shared" ref="EQ138:EQ141" si="492">SUM(DJ138:DL138)</f>
        <v>7770558.0475875884</v>
      </c>
      <c r="ER138" s="129">
        <f t="shared" ref="ER138:ER141" si="493">SUM(DM138:DO138)</f>
        <v>7770558.0475875884</v>
      </c>
      <c r="ES138" s="129">
        <f t="shared" ref="ES138:ES141" si="494">SUM(DP138:DR138)</f>
        <v>7770558.0475875884</v>
      </c>
      <c r="ET138" s="129">
        <f t="shared" ref="ET138:ET141" si="495">SUM(DS138:DU138)</f>
        <v>7770558.0475875884</v>
      </c>
      <c r="EV138" s="129">
        <f t="shared" si="483"/>
        <v>61475634.00586836</v>
      </c>
      <c r="EW138" s="129">
        <f t="shared" si="484"/>
        <v>45969490.219499484</v>
      </c>
      <c r="EX138" s="129">
        <f t="shared" si="485"/>
        <v>30935951.087914839</v>
      </c>
      <c r="EY138" s="129">
        <f t="shared" si="486"/>
        <v>28192500.852925491</v>
      </c>
      <c r="EZ138" s="129">
        <f t="shared" si="487"/>
        <v>29602125.895571765</v>
      </c>
      <c r="FA138" s="663">
        <f t="shared" si="488"/>
        <v>31082232.190350354</v>
      </c>
    </row>
    <row r="139" spans="2:157" x14ac:dyDescent="0.2">
      <c r="B139" s="114" t="s">
        <v>152</v>
      </c>
      <c r="C139" s="129">
        <f>'P&amp;L - Inputs'!K296</f>
        <v>226.26694045174537</v>
      </c>
      <c r="D139" s="129">
        <f>'P&amp;L - Inputs'!L296</f>
        <v>1524.1443356643356</v>
      </c>
      <c r="E139" s="129">
        <f>'P&amp;L - Inputs'!M296</f>
        <v>6928.9935836501909</v>
      </c>
      <c r="F139" s="129">
        <f>'P&amp;L - Inputs'!N296</f>
        <v>11542.275907715582</v>
      </c>
      <c r="G139" s="129">
        <f>'P&amp;L - Inputs'!O296</f>
        <v>17255.355125791546</v>
      </c>
      <c r="H139" s="129">
        <f>'P&amp;L - Inputs'!P296</f>
        <v>16565.145516074452</v>
      </c>
      <c r="I139" s="129">
        <f>'P&amp;L - Inputs'!Q296</f>
        <v>29700.367052457535</v>
      </c>
      <c r="J139" s="129">
        <f>'P&amp;L - Inputs'!R296</f>
        <v>20685.616251944011</v>
      </c>
      <c r="K139" s="129">
        <f>'P&amp;L - Inputs'!S296</f>
        <v>29781.659622773313</v>
      </c>
      <c r="L139" s="129">
        <f>'P&amp;L - Inputs'!T296</f>
        <v>49677.721698113208</v>
      </c>
      <c r="M139" s="129">
        <f>'P&amp;L - Inputs'!U296</f>
        <v>14798.713543258942</v>
      </c>
      <c r="N139" s="129">
        <f>'P&amp;L - Inputs'!V296</f>
        <v>13910.018687110685</v>
      </c>
      <c r="O139" s="129">
        <f>'P&amp;L - Inputs'!W296</f>
        <v>17965.851236399605</v>
      </c>
      <c r="P139" s="129">
        <f>'P&amp;L - Inputs'!X296</f>
        <v>13167.0826709062</v>
      </c>
      <c r="Q139" s="129">
        <f>'P&amp;L - Inputs'!Y296</f>
        <v>18992.021601685985</v>
      </c>
      <c r="R139" s="129">
        <f>'P&amp;L - Inputs'!Z296</f>
        <v>0</v>
      </c>
      <c r="S139" s="129">
        <f>'P&amp;L - Inputs'!AA296</f>
        <v>11902.920529801324</v>
      </c>
      <c r="T139" s="129">
        <f>'P&amp;L - Inputs'!AB296</f>
        <v>3608.259778357236</v>
      </c>
      <c r="U139" s="129">
        <f>'P&amp;L - Inputs'!AC296</f>
        <v>5145.2779438135085</v>
      </c>
      <c r="V139" s="129">
        <f>'P&amp;L - Inputs'!AD296</f>
        <v>6923.9351103931067</v>
      </c>
      <c r="W139" s="129">
        <f>'P&amp;L - Inputs'!AE296</f>
        <v>13868.088573360379</v>
      </c>
      <c r="X139" s="129">
        <f>'P&amp;L - Inputs'!AF296</f>
        <v>40949.516487804882</v>
      </c>
      <c r="Y139" s="129">
        <f>'P&amp;L - Inputs'!AG296</f>
        <v>26051.080262782059</v>
      </c>
      <c r="Z139" s="129">
        <f>'P&amp;L - Inputs'!AH296</f>
        <v>27931.098069498072</v>
      </c>
      <c r="AA139" s="129">
        <f>'P&amp;L - Inputs'!AI296</f>
        <v>20280.219281663518</v>
      </c>
      <c r="AB139" s="129">
        <f>'P&amp;L - Inputs'!AJ296</f>
        <v>15321.736739908023</v>
      </c>
      <c r="AC139" s="129">
        <f>'P&amp;L - Inputs'!AK296</f>
        <v>25100.082605617183</v>
      </c>
      <c r="AD139" s="129">
        <f>'P&amp;L - Inputs'!AL296</f>
        <v>22108.880775172027</v>
      </c>
      <c r="AE139" s="129">
        <f>'P&amp;L - Inputs'!AM296</f>
        <v>5073.3626760563375</v>
      </c>
      <c r="AF139" s="129">
        <f>'P&amp;L - Inputs'!AN296</f>
        <v>9066.1704751541529</v>
      </c>
      <c r="AG139" s="129">
        <f>'P&amp;L - Inputs'!AO296</f>
        <v>100682.56369364048</v>
      </c>
      <c r="AH139" s="129">
        <f>'P&amp;L - Inputs'!AP296</f>
        <v>103050.37130801688</v>
      </c>
      <c r="AI139" s="129">
        <f>'P&amp;L - Inputs'!AQ296</f>
        <v>126331.76380641894</v>
      </c>
      <c r="AJ139" s="129">
        <f>'P&amp;L - Inputs'!AR296</f>
        <v>213933.90073456423</v>
      </c>
      <c r="AK139" s="129">
        <f>'P&amp;L - Inputs'!AS296</f>
        <v>238536.53566994017</v>
      </c>
      <c r="AL139" s="129">
        <f>'P&amp;L - Inputs'!AT296</f>
        <v>192197.09061248702</v>
      </c>
      <c r="AM139" s="129">
        <f>'P&amp;L - Inputs'!AU296</f>
        <v>257668.71099791618</v>
      </c>
      <c r="AN139" s="129">
        <f>'P&amp;L - Inputs'!AV296</f>
        <v>242586.55381297786</v>
      </c>
      <c r="AO139" s="129">
        <f>'P&amp;L - Inputs'!AW296</f>
        <v>194432.46855878754</v>
      </c>
      <c r="AP139" s="129">
        <f>'P&amp;L - Inputs'!AX296</f>
        <v>200890.82713161811</v>
      </c>
      <c r="AQ139" s="129">
        <f>'P&amp;L - Inputs'!AY296</f>
        <v>565758.54474309401</v>
      </c>
      <c r="AR139" s="129">
        <f>'P&amp;L - Inputs'!AZ296</f>
        <v>522002.66289605357</v>
      </c>
      <c r="AS139" s="129">
        <f>'P&amp;L - Inputs'!BA296</f>
        <v>582563.22592224157</v>
      </c>
      <c r="AT139" s="129">
        <f>'P&amp;L - Inputs'!BB296</f>
        <v>600373.75010287249</v>
      </c>
      <c r="AU139" s="129">
        <f>'P&amp;L - Inputs'!BC296</f>
        <v>843638.24953508563</v>
      </c>
      <c r="AV139" s="129">
        <f>'P&amp;L - Inputs'!BD296</f>
        <v>864861.85750289971</v>
      </c>
      <c r="AW139" s="129">
        <f>'P&amp;L - Inputs'!BE296</f>
        <v>337874.21807034803</v>
      </c>
      <c r="AX139" s="129">
        <f>'P&amp;L - Inputs'!BF296</f>
        <v>304330.44649392762</v>
      </c>
      <c r="AY139" s="129">
        <f>'P&amp;L - Inputs'!BG296</f>
        <v>328849.08637225628</v>
      </c>
      <c r="AZ139" s="129">
        <f>'P&amp;L - Inputs'!BH296</f>
        <v>419355.43200165918</v>
      </c>
      <c r="BA139" s="129">
        <f>'P&amp;L - Inputs'!BI296</f>
        <v>428399.66238109476</v>
      </c>
      <c r="BB139" s="129">
        <f>'P&amp;L - Inputs'!BJ296</f>
        <v>1325923.198494243</v>
      </c>
      <c r="BC139" s="129">
        <f>'P&amp;L - Inputs'!BK296</f>
        <v>1269471.1301614617</v>
      </c>
      <c r="BD139" s="129">
        <f>'P&amp;L - Inputs'!BL296</f>
        <v>1210671.2887163959</v>
      </c>
      <c r="BE139" s="129">
        <f>'P&amp;L - Inputs'!BM296</f>
        <v>1355475.0267216491</v>
      </c>
      <c r="BF139" s="129">
        <f>'P&amp;L - Inputs'!BN296</f>
        <v>1480533.1105878674</v>
      </c>
      <c r="BG139" s="129">
        <f>'P&amp;L - Inputs'!BO296</f>
        <v>1369310.2116767396</v>
      </c>
      <c r="BH139" s="129">
        <f>'P&amp;L - Inputs'!BP296</f>
        <v>1568260.2223725875</v>
      </c>
      <c r="BI139" s="129">
        <f>'P&amp;L - Inputs'!BQ296</f>
        <v>1521301.8585784489</v>
      </c>
      <c r="BJ139" s="129">
        <f>'P&amp;L - Inputs'!BR296</f>
        <v>1756998.5816957974</v>
      </c>
      <c r="BK139" s="129">
        <f>'P&amp;L - Inputs'!BS296</f>
        <v>1698546.2930851949</v>
      </c>
      <c r="BL139" s="129">
        <f>'P&amp;L - Inputs'!BT296</f>
        <v>1614434.9591866923</v>
      </c>
      <c r="BM139" s="129">
        <f>'P&amp;L - Inputs'!BU296</f>
        <v>1621541.8076218169</v>
      </c>
      <c r="BN139" s="129">
        <f>'P&amp;L - Inputs'!BV296</f>
        <v>1650853.7819868685</v>
      </c>
      <c r="BO139" s="129">
        <f>'P&amp;L - Inputs'!BW296</f>
        <v>1666365.9727502279</v>
      </c>
      <c r="BP139" s="129">
        <f>'P&amp;L - Inputs'!BX296</f>
        <v>1734472.5619475862</v>
      </c>
      <c r="BQ139" s="129">
        <f>'P&amp;L - Inputs'!BY296</f>
        <v>1729347.1318636322</v>
      </c>
      <c r="BR139" s="129">
        <f>'P&amp;L - Inputs'!BZ296</f>
        <v>1699350.6884911901</v>
      </c>
      <c r="BS139" s="129">
        <f>'P&amp;L - Inputs'!CA296</f>
        <v>1765944.8016858327</v>
      </c>
      <c r="BT139" s="129">
        <f>'P&amp;L - Inputs'!CB296</f>
        <v>1797365.3200060464</v>
      </c>
      <c r="BU139" s="129">
        <f>'P&amp;L - Inputs'!CC296</f>
        <v>1894382.7337019825</v>
      </c>
      <c r="BV139" s="129">
        <f>'P&amp;L - Inputs'!CD296</f>
        <v>1868223.8913629134</v>
      </c>
      <c r="BW139" s="129">
        <f>'P&amp;L - Inputs'!CE296</f>
        <v>1813215.7822039523</v>
      </c>
      <c r="BX139" s="129">
        <f>'P&amp;L - Inputs'!CF296</f>
        <v>1929028.2702092149</v>
      </c>
      <c r="BY139" s="129">
        <f>'P&amp;L - Inputs'!CG296</f>
        <v>2004851.0086137871</v>
      </c>
      <c r="BZ139" s="129">
        <f>'P&amp;L - Inputs'!CH296</f>
        <v>1953914.2212050948</v>
      </c>
      <c r="CA139" s="129">
        <f>'P&amp;L - Inputs'!CI296</f>
        <v>2734189.2939504464</v>
      </c>
      <c r="CB139" s="129">
        <f>'P&amp;L - Inputs'!CJ296</f>
        <v>3243464.9263323536</v>
      </c>
      <c r="CC139" s="129">
        <f>'P&amp;L - Inputs'!CK296</f>
        <v>4198837.4019339299</v>
      </c>
      <c r="CD139" s="129">
        <f>'P&amp;L - Inputs'!CL296</f>
        <v>3560517.773456743</v>
      </c>
      <c r="CE139" s="129">
        <f>'P&amp;L - Inputs'!CM296</f>
        <v>3549862.5975120761</v>
      </c>
      <c r="CF139" s="129">
        <f>'P&amp;L - Inputs'!CN296</f>
        <v>3507577.1777618993</v>
      </c>
      <c r="CG139" s="129">
        <f>'P&amp;L - Inputs'!CO296</f>
        <v>3425040.2305791033</v>
      </c>
      <c r="CH139" s="129">
        <f>'P&amp;L - Inputs'!CP296</f>
        <v>3475171.6199438097</v>
      </c>
      <c r="CI139" s="129">
        <f>'P&amp;L - Inputs'!CQ296</f>
        <v>3113569.2411561757</v>
      </c>
      <c r="CJ139" s="129">
        <f>'P&amp;L - Inputs'!CR296</f>
        <v>2714707.1489358214</v>
      </c>
      <c r="CK139" s="129">
        <f>'P&amp;L - Inputs'!CS296</f>
        <v>2480770.7912434973</v>
      </c>
      <c r="CL139" s="129">
        <f>'P&amp;L - Inputs'!CT296</f>
        <v>3321291.962100958</v>
      </c>
      <c r="CM139" s="129">
        <f>'P&amp;L - Inputs'!CU296</f>
        <v>3321291.962100958</v>
      </c>
      <c r="CN139" s="129">
        <f>'P&amp;L - Inputs'!CV296</f>
        <v>3321291.962100958</v>
      </c>
      <c r="CO139" s="129">
        <f>'P&amp;L - Inputs'!CW296</f>
        <v>3321291.962100958</v>
      </c>
      <c r="CP139" s="129">
        <f>'P&amp;L - Inputs'!CX296</f>
        <v>3321291.962100958</v>
      </c>
      <c r="CQ139" s="129">
        <f>'P&amp;L - Inputs'!CY296</f>
        <v>3321291.962100958</v>
      </c>
      <c r="CR139" s="129">
        <f>'P&amp;L - Inputs'!CZ296</f>
        <v>3321291.962100958</v>
      </c>
      <c r="CS139" s="129">
        <f>'P&amp;L - Inputs'!DA296</f>
        <v>3321291.962100958</v>
      </c>
      <c r="CT139" s="129">
        <f>'P&amp;L - Inputs'!DB296</f>
        <v>3321291.962100958</v>
      </c>
      <c r="CU139" s="129">
        <f>'P&amp;L - Inputs'!DC296</f>
        <v>3321291.962100958</v>
      </c>
      <c r="CV139" s="129">
        <f>'P&amp;L - Inputs'!DD296</f>
        <v>3321291.962100958</v>
      </c>
      <c r="CW139" s="129">
        <f>'P&amp;L - Inputs'!DE296</f>
        <v>3321291.962100958</v>
      </c>
      <c r="CX139" s="129">
        <f>'P&amp;L - Inputs'!DF296</f>
        <v>3487356.5602060058</v>
      </c>
      <c r="CY139" s="129">
        <f>'P&amp;L - Inputs'!DG296</f>
        <v>3487356.5602060058</v>
      </c>
      <c r="CZ139" s="129">
        <f>'P&amp;L - Inputs'!DH296</f>
        <v>3487356.5602060058</v>
      </c>
      <c r="DA139" s="129">
        <f>'P&amp;L - Inputs'!DI296</f>
        <v>3487356.5602060058</v>
      </c>
      <c r="DB139" s="129">
        <f>'P&amp;L - Inputs'!DJ296</f>
        <v>3487356.5602060058</v>
      </c>
      <c r="DC139" s="129">
        <f>'P&amp;L - Inputs'!DK296</f>
        <v>3487356.5602060058</v>
      </c>
      <c r="DD139" s="129">
        <f>'P&amp;L - Inputs'!DL296</f>
        <v>3487356.5602060058</v>
      </c>
      <c r="DE139" s="129">
        <f>'P&amp;L - Inputs'!DM296</f>
        <v>3487356.5602060058</v>
      </c>
      <c r="DF139" s="129">
        <f>'P&amp;L - Inputs'!DN296</f>
        <v>3487356.5602060058</v>
      </c>
      <c r="DG139" s="129">
        <f>'P&amp;L - Inputs'!DO296</f>
        <v>3487356.5602060058</v>
      </c>
      <c r="DH139" s="129">
        <f>'P&amp;L - Inputs'!DP296</f>
        <v>3487356.5602060058</v>
      </c>
      <c r="DI139" s="129">
        <f>'P&amp;L - Inputs'!DQ296</f>
        <v>3487356.5602060058</v>
      </c>
      <c r="DJ139" s="129">
        <f>'P&amp;L - Inputs'!DR296</f>
        <v>3661724.3882163065</v>
      </c>
      <c r="DK139" s="129">
        <f>'P&amp;L - Inputs'!DS296</f>
        <v>3661724.3882163065</v>
      </c>
      <c r="DL139" s="129">
        <f>'P&amp;L - Inputs'!DT296</f>
        <v>3661724.3882163065</v>
      </c>
      <c r="DM139" s="129">
        <f>'P&amp;L - Inputs'!DU296</f>
        <v>3661724.3882163065</v>
      </c>
      <c r="DN139" s="129">
        <f>'P&amp;L - Inputs'!DV296</f>
        <v>3661724.3882163065</v>
      </c>
      <c r="DO139" s="129">
        <f>'P&amp;L - Inputs'!DW296</f>
        <v>3661724.3882163065</v>
      </c>
      <c r="DP139" s="129">
        <f>'P&amp;L - Inputs'!DX296</f>
        <v>3661724.3882163065</v>
      </c>
      <c r="DQ139" s="129">
        <f>'P&amp;L - Inputs'!DY296</f>
        <v>3661724.3882163065</v>
      </c>
      <c r="DR139" s="129">
        <f>'P&amp;L - Inputs'!DZ296</f>
        <v>3661724.3882163065</v>
      </c>
      <c r="DS139" s="129">
        <f>'P&amp;L - Inputs'!EA296</f>
        <v>3661724.3882163065</v>
      </c>
      <c r="DT139" s="129">
        <f>'P&amp;L - Inputs'!EB296</f>
        <v>3661724.3882163065</v>
      </c>
      <c r="DU139" s="129">
        <f>'P&amp;L - Inputs'!EC296</f>
        <v>3661724.3882163065</v>
      </c>
      <c r="DW139" s="129">
        <f>SUM(BB139:BD139)</f>
        <v>3806065.6173721007</v>
      </c>
      <c r="DX139" s="663">
        <f>SUM(BE139:BG139)</f>
        <v>4205318.3489862569</v>
      </c>
      <c r="DY139" s="129">
        <f>SUM(BH139:BJ139)</f>
        <v>4846560.6626468338</v>
      </c>
      <c r="DZ139" s="129">
        <f>SUM(BK139:BM139)</f>
        <v>4934523.059893704</v>
      </c>
      <c r="EA139" s="129">
        <f>SUM(BN139:BP139)</f>
        <v>5051692.3166846829</v>
      </c>
      <c r="EB139" s="129">
        <f>SUM(BQ139:BS139)</f>
        <v>5194642.6220406545</v>
      </c>
      <c r="EC139" s="129">
        <f>SUM(BT139:BV139)</f>
        <v>5559971.9450709429</v>
      </c>
      <c r="ED139" s="129">
        <f>SUM(BW139:BY139)</f>
        <v>5747095.061026955</v>
      </c>
      <c r="EE139" s="129">
        <f>SUM(BZ139:CB139)</f>
        <v>7931568.4414878944</v>
      </c>
      <c r="EF139" s="129">
        <f>SUM(CC139:CE139)</f>
        <v>11309217.772902749</v>
      </c>
      <c r="EG139" s="129">
        <f>SUM(CF139:CH139)</f>
        <v>10407789.028284812</v>
      </c>
      <c r="EH139" s="129">
        <f>SUM(CI139:CK139)</f>
        <v>8309047.1813354939</v>
      </c>
      <c r="EI139" s="129">
        <f>SUM(CL139:CN139)</f>
        <v>9963875.8863028735</v>
      </c>
      <c r="EJ139" s="129">
        <f>SUM(CO139:CQ139)</f>
        <v>9963875.8863028735</v>
      </c>
      <c r="EK139" s="129">
        <f>SUM(CR139:CT139)</f>
        <v>9963875.8863028735</v>
      </c>
      <c r="EL139" s="129">
        <f>SUM(CU139:CW139)</f>
        <v>9963875.8863028735</v>
      </c>
      <c r="EM139" s="129">
        <f>SUM(CX139:CZ139)</f>
        <v>10462069.680618018</v>
      </c>
      <c r="EN139" s="129">
        <f>SUM(DA139:DC139)</f>
        <v>10462069.680618018</v>
      </c>
      <c r="EO139" s="644">
        <f>SUM(DD139:DF139)</f>
        <v>10462069.680618018</v>
      </c>
      <c r="EP139" s="129">
        <f>SUM(DG139:DI139)</f>
        <v>10462069.680618018</v>
      </c>
      <c r="EQ139" s="129">
        <f t="shared" si="492"/>
        <v>10985173.16464892</v>
      </c>
      <c r="ER139" s="129">
        <f t="shared" si="493"/>
        <v>10985173.16464892</v>
      </c>
      <c r="ES139" s="129">
        <f t="shared" si="494"/>
        <v>10985173.16464892</v>
      </c>
      <c r="ET139" s="129">
        <f t="shared" si="495"/>
        <v>10985173.16464892</v>
      </c>
      <c r="EV139" s="129">
        <f t="shared" si="483"/>
        <v>17792467.688898895</v>
      </c>
      <c r="EW139" s="129">
        <f t="shared" si="484"/>
        <v>21553401.944823235</v>
      </c>
      <c r="EX139" s="129">
        <f t="shared" si="485"/>
        <v>37957622.424010947</v>
      </c>
      <c r="EY139" s="129">
        <f t="shared" si="486"/>
        <v>39855503.545211494</v>
      </c>
      <c r="EZ139" s="129">
        <f t="shared" si="487"/>
        <v>41848278.722472072</v>
      </c>
      <c r="FA139" s="663">
        <f t="shared" si="488"/>
        <v>43940692.658595681</v>
      </c>
    </row>
    <row r="140" spans="2:157" x14ac:dyDescent="0.2">
      <c r="B140" s="114" t="s">
        <v>51</v>
      </c>
      <c r="C140" s="115">
        <v>0</v>
      </c>
      <c r="D140" s="115">
        <v>0</v>
      </c>
      <c r="E140" s="115">
        <v>0</v>
      </c>
      <c r="F140" s="115">
        <v>0</v>
      </c>
      <c r="G140" s="115">
        <v>0</v>
      </c>
      <c r="H140" s="115">
        <v>0</v>
      </c>
      <c r="I140" s="115">
        <v>0</v>
      </c>
      <c r="J140" s="115">
        <v>0</v>
      </c>
      <c r="K140" s="115">
        <v>0</v>
      </c>
      <c r="L140" s="115">
        <v>0</v>
      </c>
      <c r="M140" s="115">
        <v>0</v>
      </c>
      <c r="N140" s="115">
        <v>0</v>
      </c>
      <c r="O140" s="115">
        <v>0</v>
      </c>
      <c r="P140" s="115">
        <v>0</v>
      </c>
      <c r="Q140" s="115">
        <v>0</v>
      </c>
      <c r="R140" s="115">
        <v>0</v>
      </c>
      <c r="S140" s="115">
        <v>0</v>
      </c>
      <c r="T140" s="115">
        <v>0</v>
      </c>
      <c r="U140" s="115">
        <v>0</v>
      </c>
      <c r="V140" s="115">
        <v>0</v>
      </c>
      <c r="W140" s="115">
        <v>0</v>
      </c>
      <c r="X140" s="115">
        <v>0</v>
      </c>
      <c r="Y140" s="115">
        <v>0</v>
      </c>
      <c r="Z140" s="115">
        <v>0</v>
      </c>
      <c r="AA140" s="115">
        <v>0</v>
      </c>
      <c r="AB140" s="115">
        <v>0</v>
      </c>
      <c r="AC140" s="115">
        <v>0</v>
      </c>
      <c r="AD140" s="115">
        <v>0</v>
      </c>
      <c r="AE140" s="115">
        <v>0</v>
      </c>
      <c r="AF140" s="115">
        <v>0</v>
      </c>
      <c r="AG140" s="115">
        <v>0</v>
      </c>
      <c r="AH140" s="115">
        <v>0</v>
      </c>
      <c r="AI140" s="115">
        <v>0</v>
      </c>
      <c r="AJ140" s="115">
        <v>0</v>
      </c>
      <c r="AK140" s="115">
        <v>0</v>
      </c>
      <c r="AL140" s="115">
        <v>0</v>
      </c>
      <c r="AM140" s="115">
        <v>0</v>
      </c>
      <c r="AN140" s="115">
        <v>0</v>
      </c>
      <c r="AO140" s="115">
        <v>0</v>
      </c>
      <c r="AP140" s="115">
        <v>0</v>
      </c>
      <c r="AQ140" s="115">
        <v>0</v>
      </c>
      <c r="AR140" s="115">
        <v>0</v>
      </c>
      <c r="AS140" s="115">
        <v>0</v>
      </c>
      <c r="AT140" s="115">
        <v>0</v>
      </c>
      <c r="AU140" s="115">
        <v>0</v>
      </c>
      <c r="AV140" s="115">
        <v>0</v>
      </c>
      <c r="AW140" s="115">
        <v>0</v>
      </c>
      <c r="AX140" s="115">
        <v>0</v>
      </c>
      <c r="AY140" s="115">
        <v>0</v>
      </c>
      <c r="AZ140" s="115">
        <v>0</v>
      </c>
      <c r="BA140" s="115">
        <v>0</v>
      </c>
      <c r="BB140" s="115">
        <v>0</v>
      </c>
      <c r="BC140" s="115">
        <v>0</v>
      </c>
      <c r="BD140" s="115">
        <v>0</v>
      </c>
      <c r="BE140" s="115">
        <v>0</v>
      </c>
      <c r="BF140" s="115">
        <v>0</v>
      </c>
      <c r="BG140" s="115">
        <v>0</v>
      </c>
      <c r="BH140" s="115">
        <v>0</v>
      </c>
      <c r="BI140" s="115">
        <v>0</v>
      </c>
      <c r="BJ140" s="115">
        <v>0</v>
      </c>
      <c r="BK140" s="115">
        <v>0</v>
      </c>
      <c r="BL140" s="115">
        <v>0</v>
      </c>
      <c r="BM140" s="115">
        <v>0</v>
      </c>
      <c r="BN140" s="115">
        <v>0</v>
      </c>
      <c r="BO140" s="115">
        <v>0</v>
      </c>
      <c r="BP140" s="115">
        <v>0</v>
      </c>
      <c r="BQ140" s="115">
        <v>0</v>
      </c>
      <c r="BR140" s="115">
        <v>0</v>
      </c>
      <c r="BS140" s="115">
        <v>0</v>
      </c>
      <c r="BT140" s="115">
        <v>0</v>
      </c>
      <c r="BU140" s="115">
        <v>0</v>
      </c>
      <c r="BV140" s="115">
        <v>0</v>
      </c>
      <c r="BW140" s="115">
        <v>0</v>
      </c>
      <c r="BX140" s="115">
        <v>0</v>
      </c>
      <c r="BY140" s="115">
        <v>0</v>
      </c>
      <c r="BZ140" s="115">
        <v>0</v>
      </c>
      <c r="CA140" s="115">
        <v>0</v>
      </c>
      <c r="CB140" s="115">
        <v>0</v>
      </c>
      <c r="CC140" s="115">
        <v>0</v>
      </c>
      <c r="CD140" s="115">
        <v>0</v>
      </c>
      <c r="CE140" s="115">
        <v>0</v>
      </c>
      <c r="CF140" s="115">
        <v>0</v>
      </c>
      <c r="CG140" s="115">
        <v>0</v>
      </c>
      <c r="CH140" s="115">
        <v>0</v>
      </c>
      <c r="CI140" s="115">
        <v>0</v>
      </c>
      <c r="CJ140" s="115">
        <v>0</v>
      </c>
      <c r="CK140" s="115">
        <v>0</v>
      </c>
      <c r="CL140" s="115">
        <v>0</v>
      </c>
      <c r="CM140" s="115">
        <v>0</v>
      </c>
      <c r="CN140" s="115">
        <v>0</v>
      </c>
      <c r="CO140" s="115">
        <v>0</v>
      </c>
      <c r="CP140" s="115">
        <v>0</v>
      </c>
      <c r="CQ140" s="115">
        <v>0</v>
      </c>
      <c r="CR140" s="115">
        <v>0</v>
      </c>
      <c r="CS140" s="115">
        <v>0</v>
      </c>
      <c r="CT140" s="115">
        <v>0</v>
      </c>
      <c r="CU140" s="115">
        <v>0</v>
      </c>
      <c r="CV140" s="115">
        <v>0</v>
      </c>
      <c r="CW140" s="115">
        <v>0</v>
      </c>
      <c r="CX140" s="115">
        <v>0</v>
      </c>
      <c r="CY140" s="115">
        <v>0</v>
      </c>
      <c r="CZ140" s="115">
        <v>0</v>
      </c>
      <c r="DA140" s="115">
        <v>0</v>
      </c>
      <c r="DB140" s="115">
        <v>0</v>
      </c>
      <c r="DC140" s="115">
        <v>0</v>
      </c>
      <c r="DD140" s="115">
        <v>0</v>
      </c>
      <c r="DE140" s="115">
        <v>0</v>
      </c>
      <c r="DF140" s="115">
        <v>0</v>
      </c>
      <c r="DG140" s="115">
        <v>0</v>
      </c>
      <c r="DH140" s="115">
        <v>0</v>
      </c>
      <c r="DI140" s="115">
        <v>0</v>
      </c>
      <c r="DJ140" s="115">
        <v>0</v>
      </c>
      <c r="DK140" s="115">
        <v>0</v>
      </c>
      <c r="DL140" s="115">
        <v>0</v>
      </c>
      <c r="DM140" s="115">
        <v>0</v>
      </c>
      <c r="DN140" s="115">
        <v>0</v>
      </c>
      <c r="DO140" s="115">
        <v>0</v>
      </c>
      <c r="DP140" s="115">
        <v>0</v>
      </c>
      <c r="DQ140" s="115">
        <v>0</v>
      </c>
      <c r="DR140" s="115">
        <v>0</v>
      </c>
      <c r="DS140" s="115">
        <v>0</v>
      </c>
      <c r="DT140" s="115">
        <v>0</v>
      </c>
      <c r="DU140" s="115">
        <v>0</v>
      </c>
      <c r="DW140" s="129">
        <f>SUM(BB140:BD140)</f>
        <v>0</v>
      </c>
      <c r="DX140" s="663">
        <f>SUM(BE140:BG140)</f>
        <v>0</v>
      </c>
      <c r="DY140" s="129">
        <f>SUM(BH140:BJ140)</f>
        <v>0</v>
      </c>
      <c r="DZ140" s="129">
        <f>SUM(BK140:BM140)</f>
        <v>0</v>
      </c>
      <c r="EA140" s="129">
        <f>SUM(BN140:BP140)</f>
        <v>0</v>
      </c>
      <c r="EB140" s="129">
        <f>SUM(BQ140:BS140)</f>
        <v>0</v>
      </c>
      <c r="EC140" s="129">
        <f>SUM(BT140:BV140)</f>
        <v>0</v>
      </c>
      <c r="ED140" s="129">
        <f>SUM(BW140:BY140)</f>
        <v>0</v>
      </c>
      <c r="EE140" s="129">
        <f>SUM(BZ140:CB140)</f>
        <v>0</v>
      </c>
      <c r="EF140" s="129">
        <f>SUM(CC140:CE140)</f>
        <v>0</v>
      </c>
      <c r="EG140" s="129">
        <f>SUM(CF140:CH140)</f>
        <v>0</v>
      </c>
      <c r="EH140" s="129">
        <f>SUM(CI140:CK140)</f>
        <v>0</v>
      </c>
      <c r="EI140" s="129">
        <f>SUM(CL140:CN140)</f>
        <v>0</v>
      </c>
      <c r="EJ140" s="129">
        <f>SUM(CO140:CQ140)</f>
        <v>0</v>
      </c>
      <c r="EK140" s="129">
        <f>SUM(CR140:CT140)</f>
        <v>0</v>
      </c>
      <c r="EL140" s="129">
        <f>SUM(CU140:CW140)</f>
        <v>0</v>
      </c>
      <c r="EM140" s="129">
        <f>SUM(CX140:CZ140)</f>
        <v>0</v>
      </c>
      <c r="EN140" s="129">
        <f>SUM(DA140:DC140)</f>
        <v>0</v>
      </c>
      <c r="EO140" s="644">
        <f>SUM(DD140:DF140)</f>
        <v>0</v>
      </c>
      <c r="EP140" s="129">
        <f>SUM(DG140:DI140)</f>
        <v>0</v>
      </c>
      <c r="EQ140" s="129">
        <f t="shared" si="492"/>
        <v>0</v>
      </c>
      <c r="ER140" s="129">
        <f t="shared" si="493"/>
        <v>0</v>
      </c>
      <c r="ES140" s="129">
        <f t="shared" si="494"/>
        <v>0</v>
      </c>
      <c r="ET140" s="129">
        <f t="shared" si="495"/>
        <v>0</v>
      </c>
      <c r="EV140" s="129">
        <f t="shared" si="483"/>
        <v>0</v>
      </c>
      <c r="EW140" s="129">
        <f t="shared" si="484"/>
        <v>0</v>
      </c>
      <c r="EX140" s="129">
        <f t="shared" si="485"/>
        <v>0</v>
      </c>
      <c r="EY140" s="129">
        <f t="shared" si="486"/>
        <v>0</v>
      </c>
      <c r="EZ140" s="129">
        <f t="shared" si="487"/>
        <v>0</v>
      </c>
      <c r="FA140" s="663">
        <f t="shared" si="488"/>
        <v>0</v>
      </c>
    </row>
    <row r="141" spans="2:157" x14ac:dyDescent="0.2">
      <c r="B141" s="114" t="s">
        <v>52</v>
      </c>
      <c r="C141" s="129">
        <f>'P&amp;L - Inputs'!K297</f>
        <v>0</v>
      </c>
      <c r="D141" s="129">
        <f>'P&amp;L - Inputs'!L297</f>
        <v>0</v>
      </c>
      <c r="E141" s="129">
        <f>'P&amp;L - Inputs'!M297</f>
        <v>0</v>
      </c>
      <c r="F141" s="129">
        <f>'P&amp;L - Inputs'!N297</f>
        <v>0</v>
      </c>
      <c r="G141" s="129">
        <f>'P&amp;L - Inputs'!O297</f>
        <v>0</v>
      </c>
      <c r="H141" s="129">
        <f>'P&amp;L - Inputs'!P297</f>
        <v>0</v>
      </c>
      <c r="I141" s="129">
        <f>'P&amp;L - Inputs'!Q297</f>
        <v>0</v>
      </c>
      <c r="J141" s="129">
        <f>'P&amp;L - Inputs'!R297</f>
        <v>0</v>
      </c>
      <c r="K141" s="129">
        <f>'P&amp;L - Inputs'!S297</f>
        <v>0</v>
      </c>
      <c r="L141" s="129">
        <f>'P&amp;L - Inputs'!T297</f>
        <v>0</v>
      </c>
      <c r="M141" s="129">
        <f>'P&amp;L - Inputs'!U297</f>
        <v>0</v>
      </c>
      <c r="N141" s="129">
        <f>'P&amp;L - Inputs'!V297</f>
        <v>0</v>
      </c>
      <c r="O141" s="129">
        <f>'P&amp;L - Inputs'!W297</f>
        <v>0</v>
      </c>
      <c r="P141" s="129">
        <f>'P&amp;L - Inputs'!X297</f>
        <v>0</v>
      </c>
      <c r="Q141" s="129">
        <f>'P&amp;L - Inputs'!Y297</f>
        <v>0</v>
      </c>
      <c r="R141" s="129">
        <f>'P&amp;L - Inputs'!Z297</f>
        <v>0</v>
      </c>
      <c r="S141" s="129">
        <f>'P&amp;L - Inputs'!AA297</f>
        <v>0</v>
      </c>
      <c r="T141" s="129">
        <f>'P&amp;L - Inputs'!AB297</f>
        <v>0</v>
      </c>
      <c r="U141" s="129">
        <f>'P&amp;L - Inputs'!AC297</f>
        <v>0</v>
      </c>
      <c r="V141" s="129">
        <f>'P&amp;L - Inputs'!AD297</f>
        <v>0</v>
      </c>
      <c r="W141" s="129">
        <f>'P&amp;L - Inputs'!AE297</f>
        <v>0</v>
      </c>
      <c r="X141" s="129">
        <f>'P&amp;L - Inputs'!AF297</f>
        <v>0</v>
      </c>
      <c r="Y141" s="129">
        <f>'P&amp;L - Inputs'!AG297</f>
        <v>0</v>
      </c>
      <c r="Z141" s="129">
        <f>'P&amp;L - Inputs'!AH297</f>
        <v>0</v>
      </c>
      <c r="AA141" s="129">
        <f>'P&amp;L - Inputs'!AI297</f>
        <v>0</v>
      </c>
      <c r="AB141" s="129">
        <f>'P&amp;L - Inputs'!AJ297</f>
        <v>0</v>
      </c>
      <c r="AC141" s="129">
        <f>'P&amp;L - Inputs'!AK297</f>
        <v>0</v>
      </c>
      <c r="AD141" s="129">
        <f>'P&amp;L - Inputs'!AL297</f>
        <v>0</v>
      </c>
      <c r="AE141" s="129">
        <f>'P&amp;L - Inputs'!AM297</f>
        <v>0</v>
      </c>
      <c r="AF141" s="129">
        <f>'P&amp;L - Inputs'!AN297</f>
        <v>0</v>
      </c>
      <c r="AG141" s="129">
        <f>'P&amp;L - Inputs'!AO297</f>
        <v>0</v>
      </c>
      <c r="AH141" s="129">
        <f>'P&amp;L - Inputs'!AP297</f>
        <v>0</v>
      </c>
      <c r="AI141" s="129">
        <f>'P&amp;L - Inputs'!AQ297</f>
        <v>0</v>
      </c>
      <c r="AJ141" s="129">
        <f>'P&amp;L - Inputs'!AR297</f>
        <v>0</v>
      </c>
      <c r="AK141" s="129">
        <f>'P&amp;L - Inputs'!AS297</f>
        <v>0</v>
      </c>
      <c r="AL141" s="129">
        <f>'P&amp;L - Inputs'!AT297</f>
        <v>0</v>
      </c>
      <c r="AM141" s="129">
        <f>'P&amp;L - Inputs'!AU297</f>
        <v>0</v>
      </c>
      <c r="AN141" s="129">
        <f>'P&amp;L - Inputs'!AV297</f>
        <v>0</v>
      </c>
      <c r="AO141" s="129">
        <f>'P&amp;L - Inputs'!AW297</f>
        <v>0</v>
      </c>
      <c r="AP141" s="129">
        <f>'P&amp;L - Inputs'!AX297</f>
        <v>0</v>
      </c>
      <c r="AQ141" s="129">
        <f>'P&amp;L - Inputs'!AY297</f>
        <v>0</v>
      </c>
      <c r="AR141" s="129">
        <f>'P&amp;L - Inputs'!AZ297</f>
        <v>0</v>
      </c>
      <c r="AS141" s="129">
        <f>'P&amp;L - Inputs'!BA297</f>
        <v>0</v>
      </c>
      <c r="AT141" s="129">
        <f>'P&amp;L - Inputs'!BB297</f>
        <v>0</v>
      </c>
      <c r="AU141" s="129">
        <f>'P&amp;L - Inputs'!BC297</f>
        <v>0</v>
      </c>
      <c r="AV141" s="129">
        <f>'P&amp;L - Inputs'!BD297</f>
        <v>0</v>
      </c>
      <c r="AW141" s="129">
        <f>'P&amp;L - Inputs'!BE297</f>
        <v>0</v>
      </c>
      <c r="AX141" s="129">
        <f>'P&amp;L - Inputs'!BF297</f>
        <v>200000</v>
      </c>
      <c r="AY141" s="129">
        <f>'P&amp;L - Inputs'!BG297</f>
        <v>200000</v>
      </c>
      <c r="AZ141" s="129">
        <f>'P&amp;L - Inputs'!BH297</f>
        <v>200000</v>
      </c>
      <c r="BA141" s="129">
        <f>'P&amp;L - Inputs'!BI297</f>
        <v>200000</v>
      </c>
      <c r="BB141" s="129">
        <f>'P&amp;L - Inputs'!BJ297</f>
        <v>200000</v>
      </c>
      <c r="BC141" s="129">
        <f>'P&amp;L - Inputs'!BK297</f>
        <v>200000</v>
      </c>
      <c r="BD141" s="129">
        <f>'P&amp;L - Inputs'!BL297</f>
        <v>600000</v>
      </c>
      <c r="BE141" s="129">
        <f>'P&amp;L - Inputs'!BM297</f>
        <v>200000</v>
      </c>
      <c r="BF141" s="129">
        <f>'P&amp;L - Inputs'!BN297</f>
        <v>200000</v>
      </c>
      <c r="BG141" s="129">
        <f>'P&amp;L - Inputs'!BO297</f>
        <v>200000</v>
      </c>
      <c r="BH141" s="129">
        <f>'P&amp;L - Inputs'!BP297</f>
        <v>200000</v>
      </c>
      <c r="BI141" s="129">
        <f>'P&amp;L - Inputs'!BQ297</f>
        <v>200000</v>
      </c>
      <c r="BJ141" s="129">
        <f>'P&amp;L - Inputs'!BR297</f>
        <v>200000</v>
      </c>
      <c r="BK141" s="129">
        <f>'P&amp;L - Inputs'!BS297</f>
        <v>166987</v>
      </c>
      <c r="BL141" s="129">
        <f>'P&amp;L - Inputs'!BT297</f>
        <v>375433</v>
      </c>
      <c r="BM141" s="129">
        <f>'P&amp;L - Inputs'!BU297</f>
        <v>216575</v>
      </c>
      <c r="BN141" s="129">
        <f>'P&amp;L - Inputs'!BV297</f>
        <v>322659</v>
      </c>
      <c r="BO141" s="129">
        <f>'P&amp;L - Inputs'!BW297</f>
        <v>207575.5</v>
      </c>
      <c r="BP141" s="129">
        <f>'P&amp;L - Inputs'!BX297</f>
        <v>209589</v>
      </c>
      <c r="BQ141" s="129">
        <f>'P&amp;L - Inputs'!BY297</f>
        <v>216575.5</v>
      </c>
      <c r="BR141" s="129">
        <f>'P&amp;L - Inputs'!BZ297</f>
        <v>216575.5</v>
      </c>
      <c r="BS141" s="129">
        <f>'P&amp;L - Inputs'!CA297</f>
        <v>209589</v>
      </c>
      <c r="BT141" s="129">
        <f>'P&amp;L - Inputs'!CB297</f>
        <v>216575.5</v>
      </c>
      <c r="BU141" s="129">
        <f>'P&amp;L - Inputs'!CC297</f>
        <v>216267</v>
      </c>
      <c r="BV141" s="129">
        <f>'P&amp;L - Inputs'!CD297</f>
        <v>250989</v>
      </c>
      <c r="BW141" s="129">
        <f>'P&amp;L - Inputs'!CE297</f>
        <v>251236.5</v>
      </c>
      <c r="BX141" s="129">
        <f>'P&amp;L - Inputs'!CF297</f>
        <v>251923</v>
      </c>
      <c r="BY141" s="129">
        <f>'P&amp;L - Inputs'!CG297</f>
        <v>251236.5</v>
      </c>
      <c r="BZ141" s="129">
        <f>'P&amp;L - Inputs'!CH297</f>
        <v>269297</v>
      </c>
      <c r="CA141" s="129">
        <f>'P&amp;L - Inputs'!CI297</f>
        <v>251236.5</v>
      </c>
      <c r="CB141" s="129">
        <f>'P&amp;L - Inputs'!CJ297</f>
        <v>243132</v>
      </c>
      <c r="CC141" s="129">
        <f>'P&amp;L - Inputs'!CK297</f>
        <v>295700</v>
      </c>
      <c r="CD141" s="129">
        <f>'P&amp;L - Inputs'!CL297</f>
        <v>251236.5</v>
      </c>
      <c r="CE141" s="129">
        <f>'P&amp;L - Inputs'!CM297</f>
        <v>251593.5</v>
      </c>
      <c r="CF141" s="129">
        <f>'P&amp;L - Inputs'!CN297</f>
        <v>358792.5</v>
      </c>
      <c r="CG141" s="129">
        <f>'P&amp;L - Inputs'!CO297</f>
        <v>164971.47999999998</v>
      </c>
      <c r="CH141" s="129">
        <f>'P&amp;L - Inputs'!CP297</f>
        <v>319682.5</v>
      </c>
      <c r="CI141" s="129">
        <f>'P&amp;L - Inputs'!CQ297</f>
        <v>325018.18</v>
      </c>
      <c r="CJ141" s="129">
        <f>'P&amp;L - Inputs'!CR297</f>
        <v>308914.18</v>
      </c>
      <c r="CK141" s="129">
        <f>'P&amp;L - Inputs'!CS297</f>
        <v>473094.68</v>
      </c>
      <c r="CL141" s="129">
        <f>'P&amp;L - Inputs'!CT297</f>
        <v>292722.41833333339</v>
      </c>
      <c r="CM141" s="129">
        <f>'P&amp;L - Inputs'!CU297</f>
        <v>295701.64680056204</v>
      </c>
      <c r="CN141" s="129">
        <f>'P&amp;L - Inputs'!CV297</f>
        <v>295490.10395081801</v>
      </c>
      <c r="CO141" s="129">
        <f>'P&amp;L - Inputs'!CW297</f>
        <v>299950.13236625516</v>
      </c>
      <c r="CP141" s="129">
        <f>'P&amp;L - Inputs'!CX297</f>
        <v>282638.87582886679</v>
      </c>
      <c r="CQ141" s="129">
        <f>'P&amp;L - Inputs'!CY297</f>
        <v>309187.50347174541</v>
      </c>
      <c r="CR141" s="129">
        <f>'P&amp;L - Inputs'!CZ297</f>
        <v>300637.6466279233</v>
      </c>
      <c r="CS141" s="129">
        <f>'P&amp;L - Inputs'!DA297</f>
        <v>301342.7894604035</v>
      </c>
      <c r="CT141" s="129">
        <f>'P&amp;L - Inputs'!DB297</f>
        <v>369900.30134828866</v>
      </c>
      <c r="CU141" s="129">
        <f>'P&amp;L - Inputs'!DC297</f>
        <v>398564.35748860787</v>
      </c>
      <c r="CV141" s="129">
        <f>'P&amp;L - Inputs'!DD297</f>
        <v>341694.58804908162</v>
      </c>
      <c r="CW141" s="129">
        <f>'P&amp;L - Inputs'!DE297</f>
        <v>369230.41565743252</v>
      </c>
      <c r="CX141" s="129">
        <f>'P&amp;L - Inputs'!DF297</f>
        <v>346729.70451583341</v>
      </c>
      <c r="CY141" s="129">
        <f>'P&amp;L - Inputs'!DG297</f>
        <v>350258.60063526587</v>
      </c>
      <c r="CZ141" s="129">
        <f>'P&amp;L - Inputs'!DH297</f>
        <v>350008.02812974405</v>
      </c>
      <c r="DA141" s="129">
        <f>'P&amp;L - Inputs'!DI297</f>
        <v>355290.93178782932</v>
      </c>
      <c r="DB141" s="129">
        <f>'P&amp;L - Inputs'!DJ297</f>
        <v>334785.7484192928</v>
      </c>
      <c r="DC141" s="129">
        <f>'P&amp;L - Inputs'!DK297</f>
        <v>366232.59786228254</v>
      </c>
      <c r="DD141" s="129">
        <f>'P&amp;L - Inputs'!DL297</f>
        <v>356105.29243077524</v>
      </c>
      <c r="DE141" s="129">
        <f>'P&amp;L - Inputs'!DM297</f>
        <v>356940.53411584802</v>
      </c>
      <c r="DF141" s="129">
        <f>'P&amp;L - Inputs'!DN297</f>
        <v>438146.90694704797</v>
      </c>
      <c r="DG141" s="129">
        <f>'P&amp;L - Inputs'!DO297</f>
        <v>472099.48144525604</v>
      </c>
      <c r="DH141" s="129">
        <f>'P&amp;L - Inputs'!DP297</f>
        <v>404737.23954413715</v>
      </c>
      <c r="DI141" s="129">
        <f>'P&amp;L - Inputs'!DQ297</f>
        <v>437353.4273462288</v>
      </c>
      <c r="DJ141" s="129">
        <f>'P&amp;L - Inputs'!DR297</f>
        <v>410701.33499900461</v>
      </c>
      <c r="DK141" s="129">
        <f>'P&amp;L - Inputs'!DS297</f>
        <v>414881.3124524724</v>
      </c>
      <c r="DL141" s="129">
        <f>'P&amp;L - Inputs'!DT297</f>
        <v>414584.50931968173</v>
      </c>
      <c r="DM141" s="129">
        <f>'P&amp;L - Inputs'!DU297</f>
        <v>420842.10870268376</v>
      </c>
      <c r="DN141" s="129">
        <f>'P&amp;L - Inputs'!DV297</f>
        <v>396553.71900265227</v>
      </c>
      <c r="DO141" s="129">
        <f>'P&amp;L - Inputs'!DW297</f>
        <v>433802.51216787362</v>
      </c>
      <c r="DP141" s="129">
        <f>'P&amp;L - Inputs'!DX297</f>
        <v>421806.71888425318</v>
      </c>
      <c r="DQ141" s="129">
        <f>'P&amp;L - Inputs'!DY297</f>
        <v>422796.06266022183</v>
      </c>
      <c r="DR141" s="129">
        <f>'P&amp;L - Inputs'!DZ297</f>
        <v>518985.01127877831</v>
      </c>
      <c r="DS141" s="129">
        <f>'P&amp;L - Inputs'!EA297</f>
        <v>559201.83577190572</v>
      </c>
      <c r="DT141" s="129">
        <f>'P&amp;L - Inputs'!EB297</f>
        <v>479411.26024003042</v>
      </c>
      <c r="DU141" s="129">
        <f>'P&amp;L - Inputs'!EC297</f>
        <v>518045.13469160791</v>
      </c>
      <c r="DW141" s="129">
        <f>SUM(BB141:BD141)</f>
        <v>1000000</v>
      </c>
      <c r="DX141" s="663">
        <f>SUM(BE141:BG141)</f>
        <v>600000</v>
      </c>
      <c r="DY141" s="129">
        <f>SUM(BH141:BJ141)</f>
        <v>600000</v>
      </c>
      <c r="DZ141" s="129">
        <f>SUM(BK141:BM141)</f>
        <v>758995</v>
      </c>
      <c r="EA141" s="129">
        <f>SUM(BN141:BP141)</f>
        <v>739823.5</v>
      </c>
      <c r="EB141" s="129">
        <f>SUM(BQ141:BS141)</f>
        <v>642740</v>
      </c>
      <c r="EC141" s="129">
        <f>SUM(BT141:BV141)</f>
        <v>683831.5</v>
      </c>
      <c r="ED141" s="129">
        <f>SUM(BW141:BY141)</f>
        <v>754396</v>
      </c>
      <c r="EE141" s="129">
        <f>SUM(BZ141:CB141)</f>
        <v>763665.5</v>
      </c>
      <c r="EF141" s="129">
        <f>SUM(CC141:CE141)</f>
        <v>798530</v>
      </c>
      <c r="EG141" s="129">
        <f>SUM(CF141:CH141)</f>
        <v>843446.48</v>
      </c>
      <c r="EH141" s="129">
        <f>SUM(CI141:CK141)</f>
        <v>1107027.04</v>
      </c>
      <c r="EI141" s="129">
        <f>SUM(CL141:CN141)</f>
        <v>883914.16908471356</v>
      </c>
      <c r="EJ141" s="129">
        <f>SUM(CO141:CQ141)</f>
        <v>891776.51166686742</v>
      </c>
      <c r="EK141" s="129">
        <f>SUM(CR141:CT141)</f>
        <v>971880.73743661551</v>
      </c>
      <c r="EL141" s="129">
        <f>SUM(CU141:CW141)</f>
        <v>1109489.3611951219</v>
      </c>
      <c r="EM141" s="129">
        <f>SUM(CX141:CZ141)</f>
        <v>1046996.3332808434</v>
      </c>
      <c r="EN141" s="129">
        <f>SUM(DA141:DC141)</f>
        <v>1056309.2780694047</v>
      </c>
      <c r="EO141" s="644">
        <f>SUM(DD141:DF141)</f>
        <v>1151192.7334936713</v>
      </c>
      <c r="EP141" s="129">
        <f>SUM(DG141:DI141)</f>
        <v>1314190.1483356219</v>
      </c>
      <c r="EQ141" s="129">
        <f t="shared" si="492"/>
        <v>1240167.1567711588</v>
      </c>
      <c r="ER141" s="129">
        <f t="shared" si="493"/>
        <v>1251198.3398732096</v>
      </c>
      <c r="ES141" s="129">
        <f t="shared" si="494"/>
        <v>1363587.7928232532</v>
      </c>
      <c r="ET141" s="129">
        <f t="shared" si="495"/>
        <v>1556658.2307035441</v>
      </c>
      <c r="EV141" s="129">
        <f t="shared" si="483"/>
        <v>2958995</v>
      </c>
      <c r="EW141" s="129">
        <f t="shared" si="484"/>
        <v>2820791</v>
      </c>
      <c r="EX141" s="129">
        <f t="shared" si="485"/>
        <v>3512669.02</v>
      </c>
      <c r="EY141" s="129">
        <f t="shared" si="486"/>
        <v>3857060.7793833185</v>
      </c>
      <c r="EZ141" s="129">
        <f t="shared" si="487"/>
        <v>4568688.4931795411</v>
      </c>
      <c r="FA141" s="663">
        <f t="shared" si="488"/>
        <v>5411611.5201711655</v>
      </c>
    </row>
    <row r="142" spans="2:157" x14ac:dyDescent="0.2">
      <c r="B142" s="117" t="s">
        <v>53</v>
      </c>
      <c r="C142" s="295">
        <f>C134/C57</f>
        <v>0.37801410221810633</v>
      </c>
      <c r="D142" s="295">
        <f t="shared" ref="D142:BO142" si="496">D134/D57</f>
        <v>7.0891750520781102E-2</v>
      </c>
      <c r="E142" s="295">
        <f t="shared" si="496"/>
        <v>2.1562111679440818E-2</v>
      </c>
      <c r="F142" s="295">
        <f t="shared" si="496"/>
        <v>1.5793226290891096E-2</v>
      </c>
      <c r="G142" s="295">
        <f t="shared" si="496"/>
        <v>1.4137935598440458E-2</v>
      </c>
      <c r="H142" s="295">
        <f t="shared" si="496"/>
        <v>1.6903656293852608E-2</v>
      </c>
      <c r="I142" s="295">
        <f t="shared" si="496"/>
        <v>1.0560162856252915E-2</v>
      </c>
      <c r="J142" s="295">
        <f t="shared" si="496"/>
        <v>1.6368602551500591E-2</v>
      </c>
      <c r="K142" s="295">
        <f t="shared" si="496"/>
        <v>1.3485082231375749E-2</v>
      </c>
      <c r="L142" s="295">
        <f t="shared" si="496"/>
        <v>1.4343789732777338E-2</v>
      </c>
      <c r="M142" s="295">
        <f t="shared" si="496"/>
        <v>5.1669556047326114E-2</v>
      </c>
      <c r="N142" s="295">
        <f t="shared" si="496"/>
        <v>2.2554762818816614E-2</v>
      </c>
      <c r="O142" s="295">
        <f t="shared" si="496"/>
        <v>2.1766390812810812E-2</v>
      </c>
      <c r="P142" s="295">
        <f t="shared" si="496"/>
        <v>0.25437673774510072</v>
      </c>
      <c r="Q142" s="295">
        <f t="shared" si="496"/>
        <v>3.3211326818203837E-2</v>
      </c>
      <c r="R142" s="295">
        <f t="shared" si="496"/>
        <v>-4.3736383244840735E-2</v>
      </c>
      <c r="S142" s="295">
        <f t="shared" si="496"/>
        <v>3.1224430389663597E-2</v>
      </c>
      <c r="T142" s="295">
        <f t="shared" si="496"/>
        <v>3.6757341092573476E-2</v>
      </c>
      <c r="U142" s="295">
        <f t="shared" si="496"/>
        <v>4.1703628410025492E-2</v>
      </c>
      <c r="V142" s="295">
        <f t="shared" si="496"/>
        <v>4.3835003659048938E-2</v>
      </c>
      <c r="W142" s="295">
        <f t="shared" si="496"/>
        <v>3.1835753420210819E-2</v>
      </c>
      <c r="X142" s="295">
        <f t="shared" si="496"/>
        <v>2.1883365851611821E-2</v>
      </c>
      <c r="Y142" s="295">
        <f t="shared" si="496"/>
        <v>2.1199679319620506E-2</v>
      </c>
      <c r="Z142" s="295">
        <f t="shared" si="496"/>
        <v>1.5166807051019013E-2</v>
      </c>
      <c r="AA142" s="295">
        <f t="shared" si="496"/>
        <v>1.1334824870042297E-2</v>
      </c>
      <c r="AB142" s="295">
        <f t="shared" si="496"/>
        <v>1.3343028493165343E-2</v>
      </c>
      <c r="AC142" s="295">
        <f t="shared" si="496"/>
        <v>1.3162678846385037E-2</v>
      </c>
      <c r="AD142" s="295">
        <f t="shared" si="496"/>
        <v>2.043509142680143E-2</v>
      </c>
      <c r="AE142" s="295">
        <f t="shared" si="496"/>
        <v>2.7922863454402914E-2</v>
      </c>
      <c r="AF142" s="295">
        <f t="shared" si="496"/>
        <v>1.5958141792761622E-2</v>
      </c>
      <c r="AG142" s="295">
        <f t="shared" si="496"/>
        <v>2.187082374952394E-2</v>
      </c>
      <c r="AH142" s="295">
        <f t="shared" si="496"/>
        <v>2.9414188768589523E-2</v>
      </c>
      <c r="AI142" s="295">
        <f t="shared" si="496"/>
        <v>2.6560742420330026E-2</v>
      </c>
      <c r="AJ142" s="295">
        <f t="shared" si="496"/>
        <v>2.6911041612528674E-2</v>
      </c>
      <c r="AK142" s="295">
        <f t="shared" si="496"/>
        <v>1.5470528633463158E-2</v>
      </c>
      <c r="AL142" s="295">
        <f t="shared" si="496"/>
        <v>1.1902910034147375E-2</v>
      </c>
      <c r="AM142" s="295">
        <f t="shared" si="496"/>
        <v>1.3698899132465503E-2</v>
      </c>
      <c r="AN142" s="295">
        <f t="shared" si="496"/>
        <v>1.5788774375316082E-2</v>
      </c>
      <c r="AO142" s="295">
        <f t="shared" si="496"/>
        <v>2.5787649593587269E-2</v>
      </c>
      <c r="AP142" s="295">
        <f t="shared" si="496"/>
        <v>3.496993064938185E-2</v>
      </c>
      <c r="AQ142" s="295">
        <f t="shared" si="496"/>
        <v>4.0023036133593107E-2</v>
      </c>
      <c r="AR142" s="295">
        <f t="shared" si="496"/>
        <v>2.1724266448520328E-2</v>
      </c>
      <c r="AS142" s="295">
        <f t="shared" si="496"/>
        <v>2.4927737311656411E-2</v>
      </c>
      <c r="AT142" s="295">
        <f t="shared" si="496"/>
        <v>5.1136028446854102E-2</v>
      </c>
      <c r="AU142" s="295">
        <f t="shared" si="496"/>
        <v>4.3172637628510868E-2</v>
      </c>
      <c r="AV142" s="295">
        <f t="shared" si="496"/>
        <v>2.5320767185771465E-2</v>
      </c>
      <c r="AW142" s="295">
        <f t="shared" si="496"/>
        <v>2.286877389192149E-2</v>
      </c>
      <c r="AX142" s="295">
        <f t="shared" si="496"/>
        <v>4.5800763443180952E-2</v>
      </c>
      <c r="AY142" s="295">
        <f t="shared" si="496"/>
        <v>3.5216262612732412E-2</v>
      </c>
      <c r="AZ142" s="295">
        <f t="shared" si="496"/>
        <v>2.0774175708369126E-2</v>
      </c>
      <c r="BA142" s="295">
        <f t="shared" si="496"/>
        <v>1.0930336642739553E-2</v>
      </c>
      <c r="BB142" s="295">
        <f t="shared" si="496"/>
        <v>5.1201739437861243E-2</v>
      </c>
      <c r="BC142" s="295">
        <f t="shared" si="496"/>
        <v>5.5478024312145935E-2</v>
      </c>
      <c r="BD142" s="295">
        <f t="shared" si="496"/>
        <v>4.7375983667068418E-2</v>
      </c>
      <c r="BE142" s="295">
        <f t="shared" si="496"/>
        <v>6.6085065455256109E-2</v>
      </c>
      <c r="BF142" s="295">
        <f t="shared" si="496"/>
        <v>5.4996395021037189E-2</v>
      </c>
      <c r="BG142" s="295">
        <f t="shared" si="496"/>
        <v>4.7886012556994678E-2</v>
      </c>
      <c r="BH142" s="295">
        <f t="shared" si="496"/>
        <v>3.050330423551334E-2</v>
      </c>
      <c r="BI142" s="295">
        <f t="shared" si="496"/>
        <v>4.2990325684954249E-2</v>
      </c>
      <c r="BJ142" s="295">
        <f t="shared" si="496"/>
        <v>4.6108814308601705E-2</v>
      </c>
      <c r="BK142" s="295">
        <f t="shared" si="496"/>
        <v>4.313005109008989E-2</v>
      </c>
      <c r="BL142" s="295">
        <f t="shared" si="496"/>
        <v>5.6571368666342582E-2</v>
      </c>
      <c r="BM142" s="295">
        <f t="shared" si="496"/>
        <v>4.0243316064519682E-2</v>
      </c>
      <c r="BN142" s="295">
        <f t="shared" si="496"/>
        <v>4.6818823519069547E-2</v>
      </c>
      <c r="BO142" s="295">
        <f t="shared" si="496"/>
        <v>4.2273249699948362E-2</v>
      </c>
      <c r="BP142" s="295">
        <f t="shared" ref="BP142:DI142" si="497">BP134/BP57</f>
        <v>4.0416936843109444E-2</v>
      </c>
      <c r="BQ142" s="295">
        <f t="shared" si="497"/>
        <v>3.9384424078634156E-2</v>
      </c>
      <c r="BR142" s="295">
        <f t="shared" si="497"/>
        <v>3.9871260906356988E-2</v>
      </c>
      <c r="BS142" s="295">
        <f t="shared" si="497"/>
        <v>3.7961890855992615E-2</v>
      </c>
      <c r="BT142" s="295">
        <f t="shared" si="497"/>
        <v>2.388125225989042E-2</v>
      </c>
      <c r="BU142" s="295">
        <f t="shared" si="497"/>
        <v>3.1737984142109092E-2</v>
      </c>
      <c r="BV142" s="295">
        <f t="shared" si="497"/>
        <v>2.2816619760164251E-2</v>
      </c>
      <c r="BW142" s="295">
        <f t="shared" si="497"/>
        <v>2.1053961685977073E-2</v>
      </c>
      <c r="BX142" s="295">
        <f t="shared" si="497"/>
        <v>2.2223778694405952E-2</v>
      </c>
      <c r="BY142" s="295">
        <f t="shared" si="497"/>
        <v>2.1652749170395259E-2</v>
      </c>
      <c r="BZ142" s="295">
        <f t="shared" si="497"/>
        <v>1.9603592994981316E-2</v>
      </c>
      <c r="CA142" s="295">
        <f t="shared" si="497"/>
        <v>2.3660016889149718E-2</v>
      </c>
      <c r="CB142" s="295">
        <f t="shared" si="497"/>
        <v>2.4360459467176934E-2</v>
      </c>
      <c r="CC142" s="295">
        <f t="shared" si="497"/>
        <v>2.9055769695826621E-2</v>
      </c>
      <c r="CD142" s="295">
        <f t="shared" si="497"/>
        <v>2.8958041408068479E-2</v>
      </c>
      <c r="CE142" s="295">
        <f t="shared" si="497"/>
        <v>2.3632935579673459E-2</v>
      </c>
      <c r="CF142" s="295">
        <f t="shared" si="497"/>
        <v>2.6826757700860182E-2</v>
      </c>
      <c r="CG142" s="295">
        <f t="shared" si="497"/>
        <v>2.4498801049859659E-2</v>
      </c>
      <c r="CH142" s="295">
        <f t="shared" si="497"/>
        <v>2.1378259982672822E-2</v>
      </c>
      <c r="CI142" s="295">
        <f t="shared" si="497"/>
        <v>1.8683468600888958E-2</v>
      </c>
      <c r="CJ142" s="295">
        <f t="shared" si="497"/>
        <v>2.2314320171899379E-2</v>
      </c>
      <c r="CK142" s="295">
        <f t="shared" si="497"/>
        <v>1.7972517836497177E-2</v>
      </c>
      <c r="CL142" s="295">
        <f t="shared" si="497"/>
        <v>2.2159943296352246E-2</v>
      </c>
      <c r="CM142" s="295">
        <f t="shared" si="497"/>
        <v>2.1944458105374261E-2</v>
      </c>
      <c r="CN142" s="295">
        <f t="shared" si="497"/>
        <v>2.1959615515928232E-2</v>
      </c>
      <c r="CO142" s="295">
        <f t="shared" si="497"/>
        <v>2.1644573139730752E-2</v>
      </c>
      <c r="CP142" s="295">
        <f t="shared" si="497"/>
        <v>2.2922985570279844E-2</v>
      </c>
      <c r="CQ142" s="295">
        <f t="shared" si="497"/>
        <v>2.1020980833224037E-2</v>
      </c>
      <c r="CR142" s="295">
        <f t="shared" si="497"/>
        <v>2.1596840809345881E-2</v>
      </c>
      <c r="CS142" s="295">
        <f t="shared" si="497"/>
        <v>2.1548110824525981E-2</v>
      </c>
      <c r="CT142" s="295">
        <f t="shared" si="497"/>
        <v>1.7697470930813967E-2</v>
      </c>
      <c r="CU142" s="295">
        <f t="shared" si="497"/>
        <v>1.6480226349793275E-2</v>
      </c>
      <c r="CV142" s="295">
        <f t="shared" si="497"/>
        <v>1.9094603604538678E-2</v>
      </c>
      <c r="CW142" s="295">
        <f t="shared" si="497"/>
        <v>1.7728178249367399E-2</v>
      </c>
      <c r="CX142" s="295">
        <f t="shared" si="497"/>
        <v>2.0187409504643164E-2</v>
      </c>
      <c r="CY142" s="295">
        <f t="shared" si="497"/>
        <v>1.9991797820926339E-2</v>
      </c>
      <c r="CZ142" s="295">
        <f t="shared" si="497"/>
        <v>2.0005557312173943E-2</v>
      </c>
      <c r="DA142" s="295">
        <f t="shared" si="497"/>
        <v>1.9719570282761646E-2</v>
      </c>
      <c r="DB142" s="295">
        <f t="shared" si="497"/>
        <v>2.088007883970357E-2</v>
      </c>
      <c r="DC142" s="295">
        <f t="shared" si="497"/>
        <v>1.9153489892387649E-2</v>
      </c>
      <c r="DD142" s="295">
        <f t="shared" si="497"/>
        <v>1.9676240151944135E-2</v>
      </c>
      <c r="DE142" s="295">
        <f t="shared" si="497"/>
        <v>1.9632004377156759E-2</v>
      </c>
      <c r="DF142" s="295">
        <f t="shared" si="497"/>
        <v>1.6136496636798361E-2</v>
      </c>
      <c r="DG142" s="295">
        <f t="shared" si="497"/>
        <v>1.5031514615027058E-2</v>
      </c>
      <c r="DH142" s="295">
        <f t="shared" si="497"/>
        <v>1.7404776250087385E-2</v>
      </c>
      <c r="DI142" s="295">
        <f t="shared" si="497"/>
        <v>1.6164371917959931E-2</v>
      </c>
      <c r="DJ142" s="295">
        <f t="shared" ref="DJ142:DU142" si="498">DJ134/DJ57</f>
        <v>1.8419413365249993E-2</v>
      </c>
      <c r="DK142" s="295">
        <f t="shared" si="498"/>
        <v>1.8241614448169474E-2</v>
      </c>
      <c r="DL142" s="295">
        <f t="shared" si="498"/>
        <v>1.8254120974348885E-2</v>
      </c>
      <c r="DM142" s="295">
        <f t="shared" si="498"/>
        <v>1.7994176459980357E-2</v>
      </c>
      <c r="DN142" s="295">
        <f t="shared" si="498"/>
        <v>1.904900693209903E-2</v>
      </c>
      <c r="DO142" s="295">
        <f t="shared" si="498"/>
        <v>1.7479644411195806E-2</v>
      </c>
      <c r="DP142" s="295">
        <f t="shared" si="498"/>
        <v>1.7954792052106937E-2</v>
      </c>
      <c r="DQ142" s="295">
        <f t="shared" si="498"/>
        <v>1.7914584469901372E-2</v>
      </c>
      <c r="DR142" s="295">
        <f t="shared" si="498"/>
        <v>1.4737384217476831E-2</v>
      </c>
      <c r="DS142" s="295">
        <f t="shared" si="498"/>
        <v>1.3733023930139459E-2</v>
      </c>
      <c r="DT142" s="295">
        <f t="shared" si="498"/>
        <v>1.5890171911511125E-2</v>
      </c>
      <c r="DU142" s="295">
        <f t="shared" si="498"/>
        <v>1.476272112327749E-2</v>
      </c>
      <c r="DW142" s="295">
        <f t="shared" ref="DW142:FA142" si="499">DW134/DW57</f>
        <v>5.1085360697230825E-2</v>
      </c>
      <c r="DX142" s="660">
        <f t="shared" si="499"/>
        <v>5.5510988123814192E-2</v>
      </c>
      <c r="DY142" s="295">
        <f t="shared" si="499"/>
        <v>3.8926053031444113E-2</v>
      </c>
      <c r="DZ142" s="295">
        <f t="shared" si="499"/>
        <v>4.5598632393485446E-2</v>
      </c>
      <c r="EA142" s="295">
        <f t="shared" si="499"/>
        <v>4.3035924809024691E-2</v>
      </c>
      <c r="EB142" s="295">
        <f t="shared" si="499"/>
        <v>3.9064849532350239E-2</v>
      </c>
      <c r="EC142" s="295">
        <f t="shared" si="499"/>
        <v>2.5857015945811173E-2</v>
      </c>
      <c r="ED142" s="295">
        <f t="shared" si="499"/>
        <v>2.1637129078872944E-2</v>
      </c>
      <c r="EE142" s="295">
        <f t="shared" si="499"/>
        <v>2.2541939598952308E-2</v>
      </c>
      <c r="EF142" s="295">
        <f t="shared" si="499"/>
        <v>2.6992488499264323E-2</v>
      </c>
      <c r="EG142" s="295">
        <f t="shared" si="499"/>
        <v>2.4060339823107211E-2</v>
      </c>
      <c r="EH142" s="295">
        <f t="shared" si="499"/>
        <v>1.9498339469990335E-2</v>
      </c>
      <c r="EI142" s="295">
        <f t="shared" si="499"/>
        <v>2.2020886579315647E-2</v>
      </c>
      <c r="EJ142" s="295">
        <f t="shared" si="499"/>
        <v>2.1833546611871264E-2</v>
      </c>
      <c r="EK142" s="295">
        <f t="shared" si="499"/>
        <v>2.0097621340775629E-2</v>
      </c>
      <c r="EL142" s="295">
        <f t="shared" si="499"/>
        <v>1.7700698041569343E-2</v>
      </c>
      <c r="EM142" s="295">
        <f t="shared" si="499"/>
        <v>2.0061177542120771E-2</v>
      </c>
      <c r="EN142" s="295">
        <f t="shared" si="499"/>
        <v>1.9891115338342733E-2</v>
      </c>
      <c r="EO142" s="654">
        <f t="shared" si="499"/>
        <v>1.8315288881107054E-2</v>
      </c>
      <c r="EP142" s="295">
        <f t="shared" si="499"/>
        <v>1.6139426121490715E-2</v>
      </c>
      <c r="EQ142" s="295">
        <f t="shared" si="499"/>
        <v>1.8304676321884424E-2</v>
      </c>
      <c r="ER142" s="295">
        <f t="shared" si="499"/>
        <v>1.8150100301201351E-2</v>
      </c>
      <c r="ES142" s="295">
        <f t="shared" si="499"/>
        <v>1.6717771555394282E-2</v>
      </c>
      <c r="ET142" s="295">
        <f t="shared" si="499"/>
        <v>1.4740046937801137E-2</v>
      </c>
      <c r="EU142" s="641"/>
      <c r="EV142" s="295">
        <f t="shared" si="499"/>
        <v>4.6877044808814702E-2</v>
      </c>
      <c r="EW142" s="295">
        <f t="shared" si="499"/>
        <v>3.126413915679882E-2</v>
      </c>
      <c r="EX142" s="295">
        <f t="shared" si="499"/>
        <v>2.3124147828150872E-2</v>
      </c>
      <c r="EY142" s="295">
        <f t="shared" si="499"/>
        <v>2.025024996439034E-2</v>
      </c>
      <c r="EZ142" s="295">
        <f t="shared" si="499"/>
        <v>1.8453841056841967E-2</v>
      </c>
      <c r="FA142" s="295">
        <f t="shared" si="499"/>
        <v>1.6843706910260298E-2</v>
      </c>
    </row>
    <row r="143" spans="2:157" x14ac:dyDescent="0.2">
      <c r="B143" s="117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5"/>
      <c r="AL143" s="115"/>
      <c r="AM143" s="115"/>
      <c r="AN143" s="115"/>
      <c r="AO143" s="115"/>
      <c r="AP143" s="115"/>
      <c r="AQ143" s="115"/>
      <c r="AR143" s="115"/>
      <c r="AS143" s="115"/>
      <c r="AT143" s="115"/>
      <c r="AU143" s="115"/>
      <c r="AV143" s="115"/>
      <c r="AW143" s="115"/>
      <c r="AX143" s="115"/>
      <c r="AY143" s="115"/>
      <c r="AZ143" s="115"/>
      <c r="BA143" s="115"/>
      <c r="BB143" s="115"/>
      <c r="BC143" s="115"/>
      <c r="BD143" s="115"/>
      <c r="BE143" s="115"/>
      <c r="BF143" s="115"/>
      <c r="BG143" s="115"/>
      <c r="BH143" s="115"/>
      <c r="BI143" s="115"/>
      <c r="BJ143" s="115"/>
      <c r="BK143" s="115"/>
      <c r="BL143" s="115"/>
      <c r="BM143" s="115"/>
      <c r="BN143" s="115"/>
      <c r="BO143" s="115"/>
      <c r="BP143" s="115"/>
      <c r="BQ143" s="115"/>
      <c r="BR143" s="115"/>
      <c r="BS143" s="115"/>
      <c r="BT143" s="115"/>
      <c r="BU143" s="115"/>
      <c r="BV143" s="115"/>
      <c r="BW143" s="115"/>
      <c r="BX143" s="115"/>
      <c r="BY143" s="115"/>
      <c r="BZ143" s="115"/>
      <c r="CA143" s="115"/>
      <c r="CB143" s="115"/>
      <c r="CC143" s="115"/>
      <c r="CD143" s="115"/>
      <c r="CE143" s="115"/>
      <c r="CF143" s="115"/>
      <c r="CG143" s="115"/>
      <c r="CH143" s="115"/>
      <c r="CI143" s="115"/>
      <c r="CJ143" s="115"/>
      <c r="CK143" s="115"/>
      <c r="CL143" s="115"/>
      <c r="CM143" s="115"/>
      <c r="CN143" s="115"/>
      <c r="CO143" s="115"/>
      <c r="CP143" s="115"/>
      <c r="CQ143" s="115"/>
      <c r="CR143" s="115"/>
      <c r="CS143" s="115"/>
      <c r="CT143" s="115"/>
      <c r="CU143" s="115"/>
      <c r="CV143" s="115"/>
      <c r="CW143" s="115"/>
      <c r="CX143" s="115"/>
      <c r="CY143" s="115"/>
      <c r="CZ143" s="115"/>
      <c r="DA143" s="115"/>
      <c r="DB143" s="115"/>
      <c r="DC143" s="115"/>
      <c r="DD143" s="115"/>
      <c r="DE143" s="115"/>
      <c r="DF143" s="115"/>
      <c r="DG143" s="115"/>
      <c r="DH143" s="115"/>
      <c r="DI143" s="115"/>
      <c r="DJ143" s="115"/>
      <c r="DK143" s="115"/>
      <c r="DL143" s="115"/>
      <c r="DM143" s="115"/>
      <c r="DN143" s="115"/>
      <c r="DO143" s="115"/>
      <c r="DP143" s="115"/>
      <c r="DQ143" s="115"/>
      <c r="DR143" s="115"/>
      <c r="DS143" s="115"/>
      <c r="DT143" s="115"/>
      <c r="DU143" s="115"/>
      <c r="DW143" s="115"/>
      <c r="DX143" s="664"/>
      <c r="DY143" s="115"/>
      <c r="DZ143" s="115"/>
      <c r="EA143" s="115"/>
      <c r="EB143" s="115"/>
      <c r="EC143" s="115"/>
      <c r="ED143" s="115"/>
      <c r="EE143" s="115"/>
      <c r="EF143" s="115"/>
      <c r="EG143" s="115"/>
      <c r="EH143" s="115"/>
      <c r="EI143" s="115"/>
      <c r="EJ143" s="115"/>
      <c r="EK143" s="115"/>
      <c r="EL143" s="115"/>
      <c r="EM143" s="115"/>
      <c r="EN143" s="115"/>
      <c r="EO143" s="645"/>
      <c r="EP143" s="115"/>
      <c r="EQ143" s="115"/>
      <c r="ER143" s="115"/>
      <c r="ES143" s="115"/>
      <c r="ET143" s="115"/>
      <c r="EV143" s="115"/>
      <c r="EW143" s="115"/>
      <c r="EX143" s="115"/>
      <c r="EY143" s="115"/>
      <c r="EZ143" s="115"/>
      <c r="FA143" s="664"/>
    </row>
    <row r="144" spans="2:157" x14ac:dyDescent="0.2">
      <c r="B144" s="186" t="s">
        <v>54</v>
      </c>
      <c r="C144" s="187">
        <f>C129-C134</f>
        <v>-60838.234045174555</v>
      </c>
      <c r="D144" s="187">
        <f t="shared" ref="D144:BO144" si="500">D129-D134</f>
        <v>762333.92993007018</v>
      </c>
      <c r="E144" s="187">
        <f t="shared" si="500"/>
        <v>4966896.1040589353</v>
      </c>
      <c r="F144" s="187">
        <f t="shared" si="500"/>
        <v>4602277.2140090773</v>
      </c>
      <c r="G144" s="187">
        <f t="shared" si="500"/>
        <v>4155595.8572888044</v>
      </c>
      <c r="H144" s="187">
        <f t="shared" si="500"/>
        <v>2617810.0319147389</v>
      </c>
      <c r="I144" s="187">
        <f t="shared" si="500"/>
        <v>5946401.0167855546</v>
      </c>
      <c r="J144" s="187">
        <f t="shared" si="500"/>
        <v>4440891.2203379292</v>
      </c>
      <c r="K144" s="187">
        <f t="shared" si="500"/>
        <v>3264086.2278750567</v>
      </c>
      <c r="L144" s="187">
        <f t="shared" si="500"/>
        <v>6412800.5193456663</v>
      </c>
      <c r="M144" s="187">
        <f t="shared" si="500"/>
        <v>763306.93092463515</v>
      </c>
      <c r="N144" s="187">
        <f t="shared" si="500"/>
        <v>2951499.6214015218</v>
      </c>
      <c r="O144" s="187">
        <f t="shared" si="500"/>
        <v>1219945.5378692765</v>
      </c>
      <c r="P144" s="187">
        <f t="shared" si="500"/>
        <v>-945279.25385859539</v>
      </c>
      <c r="Q144" s="187">
        <f t="shared" si="500"/>
        <v>454620.07946921093</v>
      </c>
      <c r="R144" s="187">
        <f t="shared" si="500"/>
        <v>-1103692.7185646195</v>
      </c>
      <c r="S144" s="187">
        <f t="shared" si="500"/>
        <v>1897306.6841903906</v>
      </c>
      <c r="T144" s="187">
        <f t="shared" si="500"/>
        <v>1731631.0641796647</v>
      </c>
      <c r="U144" s="187">
        <f t="shared" si="500"/>
        <v>2609163.7278684629</v>
      </c>
      <c r="V144" s="187">
        <f t="shared" si="500"/>
        <v>1741581.069798996</v>
      </c>
      <c r="W144" s="187">
        <f t="shared" si="500"/>
        <v>1597359.2094160477</v>
      </c>
      <c r="X144" s="187">
        <f t="shared" si="500"/>
        <v>1811237.825523468</v>
      </c>
      <c r="Y144" s="187">
        <f t="shared" si="500"/>
        <v>1085520.4702177909</v>
      </c>
      <c r="Z144" s="187">
        <f t="shared" si="500"/>
        <v>2577614.7157942974</v>
      </c>
      <c r="AA144" s="187">
        <f t="shared" si="500"/>
        <v>3262208.9985134075</v>
      </c>
      <c r="AB144" s="187">
        <f t="shared" si="500"/>
        <v>2861513.3903970863</v>
      </c>
      <c r="AC144" s="187">
        <f t="shared" si="500"/>
        <v>2520184.1202104781</v>
      </c>
      <c r="AD144" s="187">
        <f t="shared" si="500"/>
        <v>197120.00081093388</v>
      </c>
      <c r="AE144" s="187">
        <f t="shared" si="500"/>
        <v>-747895.13141498552</v>
      </c>
      <c r="AF144" s="187">
        <f t="shared" si="500"/>
        <v>-412758.23611937586</v>
      </c>
      <c r="AG144" s="187">
        <f t="shared" si="500"/>
        <v>791997.87891430524</v>
      </c>
      <c r="AH144" s="187">
        <f t="shared" si="500"/>
        <v>392164.86424281914</v>
      </c>
      <c r="AI144" s="187">
        <f t="shared" si="500"/>
        <v>1010575.078412862</v>
      </c>
      <c r="AJ144" s="187">
        <f t="shared" si="500"/>
        <v>1564003.4997820947</v>
      </c>
      <c r="AK144" s="187">
        <f t="shared" si="500"/>
        <v>3706216.9653702164</v>
      </c>
      <c r="AL144" s="187">
        <f t="shared" si="500"/>
        <v>4155876.5548736486</v>
      </c>
      <c r="AM144" s="187">
        <f t="shared" si="500"/>
        <v>5258830.4431481101</v>
      </c>
      <c r="AN144" s="187">
        <f t="shared" si="500"/>
        <v>5391487.784874795</v>
      </c>
      <c r="AO144" s="187">
        <f t="shared" si="500"/>
        <v>2053153.7113344925</v>
      </c>
      <c r="AP144" s="187">
        <f t="shared" si="500"/>
        <v>1315376.1939650674</v>
      </c>
      <c r="AQ144" s="187">
        <f t="shared" si="500"/>
        <v>654700.82696775254</v>
      </c>
      <c r="AR144" s="187">
        <f t="shared" si="500"/>
        <v>2211931.1065780516</v>
      </c>
      <c r="AS144" s="187">
        <f t="shared" si="500"/>
        <v>388042.44492216036</v>
      </c>
      <c r="AT144" s="187">
        <f t="shared" si="500"/>
        <v>-1105390.908255185</v>
      </c>
      <c r="AU144" s="187">
        <f t="shared" si="500"/>
        <v>-1197379.1975555513</v>
      </c>
      <c r="AV144" s="187">
        <f t="shared" si="500"/>
        <v>1772805.4323195245</v>
      </c>
      <c r="AW144" s="187">
        <f t="shared" si="500"/>
        <v>1910943.3531356044</v>
      </c>
      <c r="AX144" s="187">
        <f t="shared" si="500"/>
        <v>534786.41190781165</v>
      </c>
      <c r="AY144" s="187">
        <f t="shared" si="500"/>
        <v>2904245.3004140155</v>
      </c>
      <c r="AZ144" s="187">
        <f t="shared" si="500"/>
        <v>5148486.9107641075</v>
      </c>
      <c r="BA144" s="187">
        <f t="shared" si="500"/>
        <v>5444389.9935878571</v>
      </c>
      <c r="BB144" s="187">
        <f t="shared" si="500"/>
        <v>-2874960.3288782071</v>
      </c>
      <c r="BC144" s="187">
        <f t="shared" si="500"/>
        <v>641215.3289389601</v>
      </c>
      <c r="BD144" s="187">
        <f t="shared" si="500"/>
        <v>5885052.6114251353</v>
      </c>
      <c r="BE144" s="187">
        <f t="shared" si="500"/>
        <v>-265634.14244954474</v>
      </c>
      <c r="BF144" s="187">
        <f t="shared" si="500"/>
        <v>3037473.739623582</v>
      </c>
      <c r="BG144" s="187">
        <f t="shared" si="500"/>
        <v>-2551372.1753387079</v>
      </c>
      <c r="BH144" s="187">
        <f t="shared" si="500"/>
        <v>4942770.0340048391</v>
      </c>
      <c r="BI144" s="187">
        <f t="shared" si="500"/>
        <v>8542661.313711483</v>
      </c>
      <c r="BJ144" s="187">
        <f t="shared" si="500"/>
        <v>11274432.364448531</v>
      </c>
      <c r="BK144" s="187">
        <f t="shared" si="500"/>
        <v>13558976.745832089</v>
      </c>
      <c r="BL144" s="187">
        <f t="shared" si="500"/>
        <v>10226461.520289049</v>
      </c>
      <c r="BM144" s="187">
        <f t="shared" si="500"/>
        <v>19211353.310784802</v>
      </c>
      <c r="BN144" s="187">
        <f t="shared" si="500"/>
        <v>16057019.423655543</v>
      </c>
      <c r="BO144" s="187">
        <f t="shared" si="500"/>
        <v>16938216.960084464</v>
      </c>
      <c r="BP144" s="187">
        <f t="shared" ref="BP144:DI144" si="501">BP129-BP134</f>
        <v>21256818.889560252</v>
      </c>
      <c r="BQ144" s="187">
        <f t="shared" si="501"/>
        <v>18773771.194358915</v>
      </c>
      <c r="BR144" s="187">
        <f t="shared" si="501"/>
        <v>18261497.559584543</v>
      </c>
      <c r="BS144" s="187">
        <f t="shared" si="501"/>
        <v>19135691.760979027</v>
      </c>
      <c r="BT144" s="187">
        <f t="shared" si="501"/>
        <v>26360694.027486049</v>
      </c>
      <c r="BU144" s="187">
        <f t="shared" si="501"/>
        <v>20715258.492612343</v>
      </c>
      <c r="BV144" s="187">
        <f t="shared" si="501"/>
        <v>26189461.667972546</v>
      </c>
      <c r="BW144" s="187">
        <f t="shared" si="501"/>
        <v>30034023.289163519</v>
      </c>
      <c r="BX144" s="187">
        <f t="shared" si="501"/>
        <v>27600348.274995446</v>
      </c>
      <c r="BY144" s="187">
        <f t="shared" si="501"/>
        <v>36215900.563337639</v>
      </c>
      <c r="BZ144" s="187">
        <f t="shared" si="501"/>
        <v>29340380.950729314</v>
      </c>
      <c r="CA144" s="187">
        <f t="shared" si="501"/>
        <v>30012550.898458958</v>
      </c>
      <c r="CB144" s="187">
        <f t="shared" si="501"/>
        <v>29849443.220736239</v>
      </c>
      <c r="CC144" s="187">
        <f t="shared" si="501"/>
        <v>33699558.435069278</v>
      </c>
      <c r="CD144" s="187">
        <f t="shared" si="501"/>
        <v>31774516.499704696</v>
      </c>
      <c r="CE144" s="187">
        <f t="shared" si="501"/>
        <v>31437242.561739236</v>
      </c>
      <c r="CF144" s="187">
        <f t="shared" si="501"/>
        <v>24700650.806174662</v>
      </c>
      <c r="CG144" s="187">
        <f t="shared" si="501"/>
        <v>24779657.91826129</v>
      </c>
      <c r="CH144" s="187">
        <f t="shared" si="501"/>
        <v>28491111.77454263</v>
      </c>
      <c r="CI144" s="187">
        <f t="shared" si="501"/>
        <v>29827207.303282883</v>
      </c>
      <c r="CJ144" s="187">
        <f t="shared" si="501"/>
        <v>19040635.811890133</v>
      </c>
      <c r="CK144" s="187">
        <f t="shared" si="501"/>
        <v>24100050.780222435</v>
      </c>
      <c r="CL144" s="187">
        <f t="shared" si="501"/>
        <v>32357766.025765013</v>
      </c>
      <c r="CM144" s="187">
        <f t="shared" si="501"/>
        <v>32769621.522928134</v>
      </c>
      <c r="CN144" s="187">
        <f t="shared" si="501"/>
        <v>32740377.345614795</v>
      </c>
      <c r="CO144" s="187">
        <f t="shared" si="501"/>
        <v>33356942.083971381</v>
      </c>
      <c r="CP144" s="187">
        <f t="shared" si="501"/>
        <v>30963793.573828366</v>
      </c>
      <c r="CQ144" s="187">
        <f t="shared" si="501"/>
        <v>34633937.826654509</v>
      </c>
      <c r="CR144" s="187">
        <f t="shared" si="501"/>
        <v>33451985.660239667</v>
      </c>
      <c r="CS144" s="187">
        <f t="shared" si="501"/>
        <v>33549466.251284301</v>
      </c>
      <c r="CT144" s="187">
        <f t="shared" si="501"/>
        <v>43027016.715587735</v>
      </c>
      <c r="CU144" s="187">
        <f t="shared" si="501"/>
        <v>46989602.741547547</v>
      </c>
      <c r="CV144" s="187">
        <f t="shared" si="501"/>
        <v>39127793.073807009</v>
      </c>
      <c r="CW144" s="187">
        <f t="shared" si="501"/>
        <v>42934410.154095568</v>
      </c>
      <c r="CX144" s="187">
        <f t="shared" si="501"/>
        <v>38268202.302928716</v>
      </c>
      <c r="CY144" s="187">
        <f t="shared" si="501"/>
        <v>38746423.128805444</v>
      </c>
      <c r="CZ144" s="187">
        <f t="shared" si="501"/>
        <v>38712466.620459259</v>
      </c>
      <c r="DA144" s="187">
        <f t="shared" si="501"/>
        <v>39428383.004759997</v>
      </c>
      <c r="DB144" s="187">
        <f t="shared" si="501"/>
        <v>36649608.738422632</v>
      </c>
      <c r="DC144" s="187">
        <f t="shared" si="501"/>
        <v>40911150.535880953</v>
      </c>
      <c r="DD144" s="187">
        <f t="shared" si="501"/>
        <v>39538741.656885371</v>
      </c>
      <c r="DE144" s="187">
        <f t="shared" si="501"/>
        <v>39651930.018039659</v>
      </c>
      <c r="DF144" s="187">
        <f t="shared" si="501"/>
        <v>50656668.43126376</v>
      </c>
      <c r="DG144" s="187">
        <f t="shared" si="501"/>
        <v>55257775.312184736</v>
      </c>
      <c r="DH144" s="187">
        <f t="shared" si="501"/>
        <v>46129133.985092789</v>
      </c>
      <c r="DI144" s="187">
        <f t="shared" si="501"/>
        <v>50549139.488167077</v>
      </c>
      <c r="DJ144" s="187">
        <f t="shared" ref="DJ144:DU144" si="502">DJ129-DJ134</f>
        <v>45650881.545272894</v>
      </c>
      <c r="DK144" s="187">
        <f t="shared" si="502"/>
        <v>46211041.550130405</v>
      </c>
      <c r="DL144" s="187">
        <f t="shared" si="502"/>
        <v>46171266.875229388</v>
      </c>
      <c r="DM144" s="187">
        <f t="shared" si="502"/>
        <v>47009849.604394726</v>
      </c>
      <c r="DN144" s="187">
        <f t="shared" si="502"/>
        <v>43754955.374986038</v>
      </c>
      <c r="DO144" s="187">
        <f t="shared" si="502"/>
        <v>48746677.075077116</v>
      </c>
      <c r="DP144" s="187">
        <f t="shared" si="502"/>
        <v>47139117.29782331</v>
      </c>
      <c r="DQ144" s="187">
        <f t="shared" si="502"/>
        <v>47271699.547493711</v>
      </c>
      <c r="DR144" s="187">
        <f t="shared" si="502"/>
        <v>60162008.771699682</v>
      </c>
      <c r="DS144" s="187">
        <f t="shared" si="502"/>
        <v>65551477.2208018</v>
      </c>
      <c r="DT144" s="187">
        <f t="shared" si="502"/>
        <v>54858718.784883171</v>
      </c>
      <c r="DU144" s="187">
        <f t="shared" si="502"/>
        <v>60036055.634512797</v>
      </c>
      <c r="DW144" s="187">
        <f>SUM(BB144:BD144)</f>
        <v>3651307.6114858883</v>
      </c>
      <c r="DX144" s="667">
        <f>SUM(BE144:BG144)</f>
        <v>220467.42183532938</v>
      </c>
      <c r="DY144" s="187">
        <f>SUM(BH144:BJ144)</f>
        <v>24759863.712164853</v>
      </c>
      <c r="DZ144" s="187">
        <f>SUM(BK144:BM144)</f>
        <v>42996791.576905936</v>
      </c>
      <c r="EA144" s="187">
        <f>SUM(BN144:BP144)</f>
        <v>54252055.27330026</v>
      </c>
      <c r="EB144" s="187">
        <f>SUM(BQ144:BS144)</f>
        <v>56170960.514922485</v>
      </c>
      <c r="EC144" s="187">
        <f>SUM(BT144:BV144)</f>
        <v>73265414.188070938</v>
      </c>
      <c r="ED144" s="187">
        <f>SUM(BW144:BY144)</f>
        <v>93850272.1274966</v>
      </c>
      <c r="EE144" s="187">
        <f>SUM(BZ144:CB144)</f>
        <v>89202375.069924504</v>
      </c>
      <c r="EF144" s="187">
        <f>SUM(CC144:CE144)</f>
        <v>96911317.496513218</v>
      </c>
      <c r="EG144" s="187">
        <f>SUM(CF144:CH144)</f>
        <v>77971420.498978585</v>
      </c>
      <c r="EH144" s="187">
        <f>SUM(CI144:CK144)</f>
        <v>72967893.895395443</v>
      </c>
      <c r="EI144" s="187">
        <f>SUM(CL144:CN144)</f>
        <v>97867764.894307941</v>
      </c>
      <c r="EJ144" s="187">
        <f>SUM(CO144:CQ144)</f>
        <v>98954673.484454259</v>
      </c>
      <c r="EK144" s="187">
        <f>SUM(CR144:CT144)</f>
        <v>110028468.6271117</v>
      </c>
      <c r="EL144" s="187">
        <f>SUM(CU144:CW144)</f>
        <v>129051805.96945012</v>
      </c>
      <c r="EM144" s="187">
        <f>SUM(CX144:CZ144)</f>
        <v>115727092.05219342</v>
      </c>
      <c r="EN144" s="187">
        <f>SUM(DA144:DC144)</f>
        <v>116989142.27906358</v>
      </c>
      <c r="EO144" s="649">
        <f>SUM(DD144:DF144)</f>
        <v>129847340.10618879</v>
      </c>
      <c r="EP144" s="187">
        <f>SUM(DG144:DI144)</f>
        <v>151936048.78544462</v>
      </c>
      <c r="EQ144" s="187">
        <f t="shared" ref="EQ144" si="503">SUM(DJ144:DL144)</f>
        <v>138033189.97063267</v>
      </c>
      <c r="ER144" s="187">
        <f t="shared" ref="ER144" si="504">SUM(DM144:DO144)</f>
        <v>139511482.05445787</v>
      </c>
      <c r="ES144" s="187">
        <f t="shared" ref="ES144" si="505">SUM(DP144:DR144)</f>
        <v>154572825.6170167</v>
      </c>
      <c r="ET144" s="187">
        <f t="shared" ref="ET144" si="506">SUM(DS144:DU144)</f>
        <v>180446251.64019775</v>
      </c>
      <c r="EV144" s="187">
        <f>SUM(DW144:DZ144)</f>
        <v>71628430.322392002</v>
      </c>
      <c r="EW144" s="187">
        <f>SUM(EA144:ED144)</f>
        <v>277538702.10379028</v>
      </c>
      <c r="EX144" s="187">
        <f>SUM(EE144:EH144)</f>
        <v>337053006.96081173</v>
      </c>
      <c r="EY144" s="187">
        <f>SUM(EI144:EL144)</f>
        <v>435902712.97532403</v>
      </c>
      <c r="EZ144" s="187">
        <f>SUM(EM144:EP144)</f>
        <v>514499623.22289038</v>
      </c>
      <c r="FA144" s="187">
        <f t="shared" ref="FA144" si="507">SUM(EQ144:ET144)</f>
        <v>612563749.282305</v>
      </c>
    </row>
    <row r="145" spans="2:157" x14ac:dyDescent="0.2">
      <c r="B145" s="117" t="s">
        <v>55</v>
      </c>
      <c r="C145" s="133">
        <f>C144/C57</f>
        <v>-0.1071935742831531</v>
      </c>
      <c r="D145" s="133">
        <f t="shared" ref="D145:BO145" si="508">D144/D57</f>
        <v>0.21362757797401993</v>
      </c>
      <c r="E145" s="133">
        <f t="shared" si="508"/>
        <v>0.25305159962402274</v>
      </c>
      <c r="F145" s="133">
        <f t="shared" si="508"/>
        <v>0.17995583941717108</v>
      </c>
      <c r="G145" s="133">
        <f t="shared" si="508"/>
        <v>0.14739516312742551</v>
      </c>
      <c r="H145" s="133">
        <f t="shared" si="508"/>
        <v>0.14209133468415644</v>
      </c>
      <c r="I145" s="133">
        <f t="shared" si="508"/>
        <v>0.15505494176840806</v>
      </c>
      <c r="J145" s="133">
        <f t="shared" si="508"/>
        <v>0.17437590657948077</v>
      </c>
      <c r="K145" s="133">
        <f t="shared" si="508"/>
        <v>8.815820307761621E-2</v>
      </c>
      <c r="L145" s="133">
        <f t="shared" si="508"/>
        <v>0.19368913631819312</v>
      </c>
      <c r="M145" s="133">
        <f t="shared" si="508"/>
        <v>7.9214184283238398E-2</v>
      </c>
      <c r="N145" s="133">
        <f t="shared" si="508"/>
        <v>0.17090360979828392</v>
      </c>
      <c r="O145" s="133">
        <f t="shared" si="508"/>
        <v>5.1082446186384994E-2</v>
      </c>
      <c r="P145" s="133">
        <f t="shared" si="508"/>
        <v>-0.65202075635595358</v>
      </c>
      <c r="Q145" s="133">
        <f t="shared" si="508"/>
        <v>3.1532987907933789E-2</v>
      </c>
      <c r="R145" s="133">
        <f t="shared" si="508"/>
        <v>0.34690902768188336</v>
      </c>
      <c r="S145" s="133">
        <f t="shared" si="508"/>
        <v>9.525308350523394E-2</v>
      </c>
      <c r="T145" s="133">
        <f t="shared" si="508"/>
        <v>0.1318673374398418</v>
      </c>
      <c r="U145" s="133">
        <f t="shared" si="508"/>
        <v>0.2961297669809036</v>
      </c>
      <c r="V145" s="133">
        <f t="shared" si="508"/>
        <v>0.20443440402849117</v>
      </c>
      <c r="W145" s="133">
        <f t="shared" si="508"/>
        <v>0.14648791683866555</v>
      </c>
      <c r="X145" s="133">
        <f t="shared" si="508"/>
        <v>9.1028842399603488E-2</v>
      </c>
      <c r="Y145" s="133">
        <f t="shared" si="508"/>
        <v>6.4843154603697398E-2</v>
      </c>
      <c r="Z145" s="133">
        <f t="shared" si="508"/>
        <v>9.9495040772522997E-2</v>
      </c>
      <c r="AA145" s="133">
        <f t="shared" si="508"/>
        <v>0.10663377382305357</v>
      </c>
      <c r="AB145" s="133">
        <f t="shared" si="508"/>
        <v>0.15541783357211211</v>
      </c>
      <c r="AC145" s="133">
        <f t="shared" si="508"/>
        <v>0.10763193330065576</v>
      </c>
      <c r="AD145" s="133">
        <f t="shared" si="508"/>
        <v>1.1125321826387605E-2</v>
      </c>
      <c r="AE145" s="133">
        <f t="shared" si="508"/>
        <v>-6.7108691840231646E-2</v>
      </c>
      <c r="AF145" s="133">
        <f t="shared" si="508"/>
        <v>-2.4329948469920551E-2</v>
      </c>
      <c r="AG145" s="133">
        <f t="shared" si="508"/>
        <v>5.4743521851726464E-2</v>
      </c>
      <c r="AH145" s="133">
        <f t="shared" si="508"/>
        <v>4.2545188466659063E-2</v>
      </c>
      <c r="AI145" s="133">
        <f t="shared" si="508"/>
        <v>8.7054868077032915E-2</v>
      </c>
      <c r="AJ145" s="133">
        <f t="shared" si="508"/>
        <v>0.10813872099628091</v>
      </c>
      <c r="AK145" s="133">
        <f t="shared" si="508"/>
        <v>0.1070857036846046</v>
      </c>
      <c r="AL145" s="133">
        <f t="shared" si="508"/>
        <v>0.10435133914601685</v>
      </c>
      <c r="AM145" s="133">
        <f t="shared" si="508"/>
        <v>0.11423430527216445</v>
      </c>
      <c r="AN145" s="133">
        <f t="shared" si="508"/>
        <v>0.13289292593818564</v>
      </c>
      <c r="AO145" s="133">
        <f t="shared" si="508"/>
        <v>9.1517195270192295E-2</v>
      </c>
      <c r="AP145" s="133">
        <f t="shared" si="508"/>
        <v>6.4849024778405456E-2</v>
      </c>
      <c r="AQ145" s="133">
        <f t="shared" si="508"/>
        <v>2.2623330054375505E-2</v>
      </c>
      <c r="AR145" s="133">
        <f t="shared" si="508"/>
        <v>5.3580930855080047E-2</v>
      </c>
      <c r="AS145" s="133">
        <f t="shared" si="508"/>
        <v>1.0188572120021628E-2</v>
      </c>
      <c r="AT145" s="133">
        <f t="shared" si="508"/>
        <v>-4.1508575233801963E-2</v>
      </c>
      <c r="AU145" s="133">
        <f t="shared" si="508"/>
        <v>-3.2301147866646618E-2</v>
      </c>
      <c r="AV145" s="133">
        <f t="shared" si="508"/>
        <v>2.7291477585227878E-2</v>
      </c>
      <c r="AW145" s="133">
        <f t="shared" si="508"/>
        <v>3.4841811532083274E-2</v>
      </c>
      <c r="AX145" s="133">
        <f t="shared" si="508"/>
        <v>1.1455294982634517E-2</v>
      </c>
      <c r="AY145" s="133">
        <f t="shared" si="508"/>
        <v>5.148096179474624E-2</v>
      </c>
      <c r="AZ145" s="133">
        <f t="shared" si="508"/>
        <v>6.1283774385228348E-2</v>
      </c>
      <c r="BA145" s="133">
        <f t="shared" si="508"/>
        <v>3.7135313949500252E-2</v>
      </c>
      <c r="BB145" s="133">
        <f t="shared" si="508"/>
        <v>-1.689139174309319E-2</v>
      </c>
      <c r="BC145" s="133">
        <f t="shared" si="508"/>
        <v>4.2410155116078836E-3</v>
      </c>
      <c r="BD145" s="133">
        <f t="shared" si="508"/>
        <v>3.1917288107953197E-2</v>
      </c>
      <c r="BE145" s="133">
        <f t="shared" si="508"/>
        <v>-2.0541457358289072E-3</v>
      </c>
      <c r="BF145" s="133">
        <f t="shared" si="508"/>
        <v>2.0109464536577932E-2</v>
      </c>
      <c r="BG145" s="133">
        <f t="shared" si="508"/>
        <v>-1.5084585722012824E-2</v>
      </c>
      <c r="BH145" s="133">
        <f t="shared" si="508"/>
        <v>1.8580068085009987E-2</v>
      </c>
      <c r="BI145" s="133">
        <f t="shared" si="508"/>
        <v>4.1363555614208077E-2</v>
      </c>
      <c r="BJ145" s="133">
        <f t="shared" si="508"/>
        <v>5.7790883815615701E-2</v>
      </c>
      <c r="BK145" s="133">
        <f t="shared" si="508"/>
        <v>6.8278456860049935E-2</v>
      </c>
      <c r="BL145" s="133">
        <f t="shared" si="508"/>
        <v>7.0651495380618851E-2</v>
      </c>
      <c r="BM145" s="133">
        <f t="shared" si="508"/>
        <v>9.3697620301349663E-2</v>
      </c>
      <c r="BN145" s="133">
        <f t="shared" si="508"/>
        <v>8.1280585868496902E-2</v>
      </c>
      <c r="BO145" s="133">
        <f t="shared" si="508"/>
        <v>7.8911004642384222E-2</v>
      </c>
      <c r="BP145" s="133">
        <f t="shared" ref="BP145:DI145" si="509">BP144/BP57</f>
        <v>9.5392086772336279E-2</v>
      </c>
      <c r="BQ145" s="133">
        <f t="shared" si="509"/>
        <v>8.0448698656081022E-2</v>
      </c>
      <c r="BR145" s="133">
        <f t="shared" si="509"/>
        <v>8.3210369165595863E-2</v>
      </c>
      <c r="BS145" s="133">
        <f t="shared" si="509"/>
        <v>8.3902156582133569E-2</v>
      </c>
      <c r="BT145" s="133">
        <f t="shared" si="509"/>
        <v>0.10815898555019209</v>
      </c>
      <c r="BU145" s="133">
        <f t="shared" si="509"/>
        <v>9.6993586142358021E-2</v>
      </c>
      <c r="BV145" s="133">
        <f t="shared" si="509"/>
        <v>0.10281233368079201</v>
      </c>
      <c r="BW145" s="133">
        <f t="shared" si="509"/>
        <v>0.10502262373374988</v>
      </c>
      <c r="BX145" s="133">
        <f t="shared" si="509"/>
        <v>0.10055338141877061</v>
      </c>
      <c r="BY145" s="133">
        <f t="shared" si="509"/>
        <v>9.8449685802010412E-2</v>
      </c>
      <c r="BZ145" s="133">
        <f t="shared" si="509"/>
        <v>9.3266455633201531E-2</v>
      </c>
      <c r="CA145" s="133">
        <f t="shared" si="509"/>
        <v>9.4565852030552122E-2</v>
      </c>
      <c r="CB145" s="133">
        <f t="shared" si="509"/>
        <v>9.5311802552160818E-2</v>
      </c>
      <c r="CC145" s="133">
        <f t="shared" si="509"/>
        <v>0.1026981986333769</v>
      </c>
      <c r="CD145" s="133">
        <f t="shared" si="509"/>
        <v>0.10944094100230513</v>
      </c>
      <c r="CE145" s="133">
        <f t="shared" si="509"/>
        <v>8.4646662775682391E-2</v>
      </c>
      <c r="CF145" s="133">
        <f t="shared" si="509"/>
        <v>7.779863180577358E-2</v>
      </c>
      <c r="CG145" s="133">
        <f t="shared" si="509"/>
        <v>7.8728095624326686E-2</v>
      </c>
      <c r="CH145" s="133">
        <f t="shared" si="509"/>
        <v>7.5187730569783132E-2</v>
      </c>
      <c r="CI145" s="133">
        <f t="shared" si="509"/>
        <v>7.0698646768270576E-2</v>
      </c>
      <c r="CJ145" s="133">
        <f t="shared" si="509"/>
        <v>5.5924308063112688E-2</v>
      </c>
      <c r="CK145" s="133">
        <f t="shared" si="509"/>
        <v>5.9795047642440084E-2</v>
      </c>
      <c r="CL145" s="133">
        <f t="shared" si="509"/>
        <v>8.5346528182190129E-2</v>
      </c>
      <c r="CM145" s="133">
        <f t="shared" si="509"/>
        <v>8.5562013373168197E-2</v>
      </c>
      <c r="CN145" s="133">
        <f t="shared" si="509"/>
        <v>8.5546855962614257E-2</v>
      </c>
      <c r="CO145" s="133">
        <f t="shared" si="509"/>
        <v>8.5861898338811707E-2</v>
      </c>
      <c r="CP145" s="133">
        <f t="shared" si="509"/>
        <v>8.4583485908262548E-2</v>
      </c>
      <c r="CQ145" s="133">
        <f t="shared" si="509"/>
        <v>8.6485490645318228E-2</v>
      </c>
      <c r="CR145" s="133">
        <f t="shared" si="509"/>
        <v>8.5909630669196282E-2</v>
      </c>
      <c r="CS145" s="133">
        <f t="shared" si="509"/>
        <v>8.5958360654016491E-2</v>
      </c>
      <c r="CT145" s="133">
        <f t="shared" si="509"/>
        <v>8.9809000547728321E-2</v>
      </c>
      <c r="CU145" s="133">
        <f t="shared" si="509"/>
        <v>9.10262451287491E-2</v>
      </c>
      <c r="CV145" s="133">
        <f t="shared" si="509"/>
        <v>8.8411867874003805E-2</v>
      </c>
      <c r="CW145" s="133">
        <f t="shared" si="509"/>
        <v>8.9778293229175146E-2</v>
      </c>
      <c r="CX145" s="133">
        <f t="shared" si="509"/>
        <v>8.5213876977829353E-2</v>
      </c>
      <c r="CY145" s="133">
        <f t="shared" si="509"/>
        <v>8.5409488661546046E-2</v>
      </c>
      <c r="CZ145" s="133">
        <f t="shared" si="509"/>
        <v>8.539572917029864E-2</v>
      </c>
      <c r="DA145" s="133">
        <f t="shared" si="509"/>
        <v>8.5681716199710892E-2</v>
      </c>
      <c r="DB145" s="133">
        <f t="shared" si="509"/>
        <v>8.4521207642768936E-2</v>
      </c>
      <c r="DC145" s="133">
        <f t="shared" si="509"/>
        <v>8.6247796590084927E-2</v>
      </c>
      <c r="DD145" s="133">
        <f t="shared" si="509"/>
        <v>8.5725046330528326E-2</v>
      </c>
      <c r="DE145" s="133">
        <f t="shared" si="509"/>
        <v>8.5769282105315731E-2</v>
      </c>
      <c r="DF145" s="133">
        <f t="shared" si="509"/>
        <v>8.9264789845674361E-2</v>
      </c>
      <c r="DG145" s="133">
        <f t="shared" si="509"/>
        <v>9.0369771867445436E-2</v>
      </c>
      <c r="DH145" s="133">
        <f t="shared" si="509"/>
        <v>8.7996510232385097E-2</v>
      </c>
      <c r="DI145" s="133">
        <f t="shared" si="509"/>
        <v>8.9236914564512576E-2</v>
      </c>
      <c r="DJ145" s="133">
        <f t="shared" ref="DJ145:DU145" si="510">DJ144/DJ57</f>
        <v>8.5819576501042993E-2</v>
      </c>
      <c r="DK145" s="133">
        <f t="shared" si="510"/>
        <v>8.5997375418123523E-2</v>
      </c>
      <c r="DL145" s="133">
        <f t="shared" si="510"/>
        <v>8.5984868891944302E-2</v>
      </c>
      <c r="DM145" s="133">
        <f t="shared" si="510"/>
        <v>8.6244813406312779E-2</v>
      </c>
      <c r="DN145" s="133">
        <f t="shared" si="510"/>
        <v>8.5189982934194053E-2</v>
      </c>
      <c r="DO145" s="133">
        <f t="shared" si="510"/>
        <v>8.6759345455097281E-2</v>
      </c>
      <c r="DP145" s="133">
        <f t="shared" si="510"/>
        <v>8.62841978141861E-2</v>
      </c>
      <c r="DQ145" s="133">
        <f t="shared" si="510"/>
        <v>8.6324405396391649E-2</v>
      </c>
      <c r="DR145" s="133">
        <f t="shared" si="510"/>
        <v>8.9501605648816193E-2</v>
      </c>
      <c r="DS145" s="133">
        <f t="shared" si="510"/>
        <v>9.0505965936153274E-2</v>
      </c>
      <c r="DT145" s="133">
        <f t="shared" si="510"/>
        <v>8.8348817954781958E-2</v>
      </c>
      <c r="DU145" s="133">
        <f t="shared" si="510"/>
        <v>8.9476268743015536E-2</v>
      </c>
      <c r="DW145" s="133">
        <f t="shared" ref="DW145:FA145" si="511">DW144/DW57</f>
        <v>7.2191475743640836E-3</v>
      </c>
      <c r="DX145" s="657">
        <f t="shared" si="511"/>
        <v>4.9047171321068487E-4</v>
      </c>
      <c r="DY145" s="133">
        <f t="shared" si="511"/>
        <v>3.7085548671820234E-2</v>
      </c>
      <c r="DZ145" s="133">
        <f t="shared" si="511"/>
        <v>7.8409168063684462E-2</v>
      </c>
      <c r="EA145" s="133">
        <f t="shared" si="511"/>
        <v>8.5431410672199518E-2</v>
      </c>
      <c r="EB145" s="133">
        <f t="shared" si="511"/>
        <v>8.249558300796557E-2</v>
      </c>
      <c r="EC145" s="133">
        <f t="shared" si="511"/>
        <v>0.10289711287338238</v>
      </c>
      <c r="ED145" s="133">
        <f t="shared" si="511"/>
        <v>0.10109654290499105</v>
      </c>
      <c r="EE145" s="133">
        <f t="shared" si="511"/>
        <v>9.4380525813418409E-2</v>
      </c>
      <c r="EF145" s="133">
        <f t="shared" si="511"/>
        <v>9.7903050126085009E-2</v>
      </c>
      <c r="EG145" s="133">
        <f t="shared" si="511"/>
        <v>7.7109526301768469E-2</v>
      </c>
      <c r="EH145" s="133">
        <f t="shared" si="511"/>
        <v>6.2611457566059014E-2</v>
      </c>
      <c r="EI145" s="133">
        <f t="shared" si="511"/>
        <v>8.5485584899226794E-2</v>
      </c>
      <c r="EJ145" s="133">
        <f t="shared" si="511"/>
        <v>8.5672924866671107E-2</v>
      </c>
      <c r="EK145" s="133">
        <f t="shared" si="511"/>
        <v>8.7408850137766683E-2</v>
      </c>
      <c r="EL145" s="133">
        <f t="shared" si="511"/>
        <v>8.9805773436973116E-2</v>
      </c>
      <c r="EM145" s="133">
        <f t="shared" si="511"/>
        <v>8.5340108940351711E-2</v>
      </c>
      <c r="EN145" s="133">
        <f t="shared" si="511"/>
        <v>8.5510171144129801E-2</v>
      </c>
      <c r="EO145" s="648">
        <f t="shared" si="511"/>
        <v>8.7085997601365525E-2</v>
      </c>
      <c r="EP145" s="133">
        <f t="shared" si="511"/>
        <v>8.9261860360981785E-2</v>
      </c>
      <c r="EQ145" s="133">
        <f t="shared" si="511"/>
        <v>8.5934313544408628E-2</v>
      </c>
      <c r="ER145" s="133">
        <f t="shared" si="511"/>
        <v>8.6088889565091753E-2</v>
      </c>
      <c r="ES145" s="133">
        <f t="shared" si="511"/>
        <v>8.7521218310898749E-2</v>
      </c>
      <c r="ET145" s="133">
        <f t="shared" si="511"/>
        <v>8.9498942928491795E-2</v>
      </c>
      <c r="EU145" s="638"/>
      <c r="EV145" s="133">
        <f t="shared" si="511"/>
        <v>3.2988913462647748E-2</v>
      </c>
      <c r="EW145" s="133">
        <f t="shared" si="511"/>
        <v>9.3880991313200518E-2</v>
      </c>
      <c r="EX145" s="133">
        <f t="shared" si="511"/>
        <v>8.1976293783653564E-2</v>
      </c>
      <c r="EY145" s="133">
        <f t="shared" si="511"/>
        <v>8.7256221514152077E-2</v>
      </c>
      <c r="EZ145" s="133">
        <f t="shared" si="511"/>
        <v>8.6947445425630543E-2</v>
      </c>
      <c r="FA145" s="133">
        <f t="shared" si="511"/>
        <v>8.7395282956032716E-2</v>
      </c>
    </row>
    <row r="146" spans="2:157" x14ac:dyDescent="0.2">
      <c r="B146" s="117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115"/>
      <c r="AK146" s="115"/>
      <c r="AL146" s="115"/>
      <c r="AM146" s="115"/>
      <c r="AN146" s="115"/>
      <c r="AO146" s="115"/>
      <c r="AP146" s="115"/>
      <c r="AQ146" s="115"/>
      <c r="AR146" s="115"/>
      <c r="AS146" s="115"/>
      <c r="AT146" s="115"/>
      <c r="AU146" s="115"/>
      <c r="AV146" s="115"/>
      <c r="AW146" s="115"/>
      <c r="AX146" s="115"/>
      <c r="AY146" s="115"/>
      <c r="AZ146" s="115"/>
      <c r="BA146" s="115"/>
      <c r="BB146" s="115"/>
      <c r="BC146" s="115"/>
      <c r="BD146" s="115"/>
      <c r="BE146" s="115"/>
      <c r="BF146" s="115"/>
      <c r="BG146" s="115"/>
      <c r="BH146" s="115"/>
      <c r="BI146" s="115"/>
      <c r="BJ146" s="115"/>
      <c r="BK146" s="115"/>
      <c r="BL146" s="115"/>
      <c r="BM146" s="115"/>
      <c r="BN146" s="115"/>
      <c r="BO146" s="115"/>
      <c r="BP146" s="115"/>
      <c r="BQ146" s="115"/>
      <c r="BR146" s="115"/>
      <c r="BS146" s="115"/>
      <c r="BT146" s="115"/>
      <c r="BU146" s="115"/>
      <c r="BV146" s="115"/>
      <c r="BW146" s="115"/>
      <c r="BX146" s="115"/>
      <c r="BY146" s="115"/>
      <c r="BZ146" s="115"/>
      <c r="CA146" s="115"/>
      <c r="CB146" s="115"/>
      <c r="CC146" s="115"/>
      <c r="CD146" s="115"/>
      <c r="CE146" s="115"/>
      <c r="CF146" s="115"/>
      <c r="CG146" s="115"/>
      <c r="CH146" s="115"/>
      <c r="CI146" s="115"/>
      <c r="CJ146" s="115"/>
      <c r="CK146" s="115"/>
      <c r="CL146" s="115"/>
      <c r="CM146" s="115"/>
      <c r="CN146" s="115"/>
      <c r="CO146" s="115"/>
      <c r="CP146" s="115"/>
      <c r="CQ146" s="115"/>
      <c r="CR146" s="115"/>
      <c r="CS146" s="115"/>
      <c r="CT146" s="115"/>
      <c r="CU146" s="115"/>
      <c r="CV146" s="115"/>
      <c r="CW146" s="115"/>
      <c r="CX146" s="115"/>
      <c r="CY146" s="115"/>
      <c r="CZ146" s="115"/>
      <c r="DA146" s="115"/>
      <c r="DB146" s="115"/>
      <c r="DC146" s="115"/>
      <c r="DD146" s="115"/>
      <c r="DE146" s="115"/>
      <c r="DF146" s="115"/>
      <c r="DG146" s="115"/>
      <c r="DH146" s="115"/>
      <c r="DI146" s="115"/>
      <c r="DJ146" s="115"/>
      <c r="DK146" s="115"/>
      <c r="DL146" s="115"/>
      <c r="DM146" s="115"/>
      <c r="DN146" s="115"/>
      <c r="DO146" s="115"/>
      <c r="DP146" s="115"/>
      <c r="DQ146" s="115"/>
      <c r="DR146" s="115"/>
      <c r="DS146" s="115"/>
      <c r="DT146" s="115"/>
      <c r="DU146" s="115"/>
      <c r="DW146" s="115"/>
      <c r="DX146" s="664"/>
      <c r="DY146" s="115"/>
      <c r="DZ146" s="115"/>
      <c r="EA146" s="115"/>
      <c r="EB146" s="115"/>
      <c r="EC146" s="115"/>
      <c r="ED146" s="115"/>
      <c r="EE146" s="115"/>
      <c r="EF146" s="115"/>
      <c r="EG146" s="115"/>
      <c r="EH146" s="115"/>
      <c r="EI146" s="115"/>
      <c r="EJ146" s="115"/>
      <c r="EK146" s="115"/>
      <c r="EL146" s="115"/>
      <c r="EM146" s="115"/>
      <c r="EN146" s="115"/>
      <c r="EO146" s="645"/>
      <c r="EP146" s="115"/>
      <c r="EQ146" s="115"/>
      <c r="ER146" s="115"/>
      <c r="ES146" s="115"/>
      <c r="ET146" s="115"/>
      <c r="EV146" s="130"/>
      <c r="EW146" s="115"/>
      <c r="EX146" s="115"/>
      <c r="EY146" s="115"/>
      <c r="EZ146" s="115"/>
      <c r="FA146" s="115"/>
    </row>
    <row r="147" spans="2:157" s="331" customFormat="1" x14ac:dyDescent="0.2">
      <c r="B147" s="186" t="s">
        <v>56</v>
      </c>
      <c r="C147" s="329">
        <f>'P&amp;L - Inputs'!K312</f>
        <v>5173.4537987679678</v>
      </c>
      <c r="D147" s="329">
        <f>'P&amp;L - Inputs'!L312</f>
        <v>17253.415384615386</v>
      </c>
      <c r="E147" s="329">
        <f>'P&amp;L - Inputs'!M312</f>
        <v>53184.006653992394</v>
      </c>
      <c r="F147" s="329">
        <f>'P&amp;L - Inputs'!N312</f>
        <v>127086.67170953102</v>
      </c>
      <c r="G147" s="329">
        <f>'P&amp;L - Inputs'!O312</f>
        <v>168653.35204518228</v>
      </c>
      <c r="H147" s="329">
        <f>'P&amp;L - Inputs'!P312</f>
        <v>207043.58714043992</v>
      </c>
      <c r="I147" s="329">
        <f>'P&amp;L - Inputs'!Q312</f>
        <v>302604.77829550579</v>
      </c>
      <c r="J147" s="329">
        <f>'P&amp;L - Inputs'!R312</f>
        <v>94518.004082426123</v>
      </c>
      <c r="K147" s="329">
        <f>'P&amp;L - Inputs'!S312</f>
        <v>92223.893468389797</v>
      </c>
      <c r="L147" s="329">
        <f>'P&amp;L - Inputs'!T312</f>
        <v>100188.97641509434</v>
      </c>
      <c r="M147" s="329">
        <f>'P&amp;L - Inputs'!U312</f>
        <v>21838.920819321305</v>
      </c>
      <c r="N147" s="329">
        <f>'P&amp;L - Inputs'!V312</f>
        <v>29389.779108768565</v>
      </c>
      <c r="O147" s="329">
        <f>'P&amp;L - Inputs'!W312</f>
        <v>37894.22393669634</v>
      </c>
      <c r="P147" s="329">
        <f>'P&amp;L - Inputs'!X312</f>
        <v>33680.809220985691</v>
      </c>
      <c r="Q147" s="329">
        <f>'P&amp;L - Inputs'!Y312</f>
        <v>42468.316649104323</v>
      </c>
      <c r="R147" s="329">
        <f>'P&amp;L - Inputs'!Z312</f>
        <v>0</v>
      </c>
      <c r="S147" s="329">
        <f>'P&amp;L - Inputs'!AA312</f>
        <v>8913.1788079470207</v>
      </c>
      <c r="T147" s="329">
        <f>'P&amp;L - Inputs'!AB312</f>
        <v>9504.8634289439378</v>
      </c>
      <c r="U147" s="329">
        <f>'P&amp;L - Inputs'!AC312</f>
        <v>19402.928272564255</v>
      </c>
      <c r="V147" s="329">
        <f>'P&amp;L - Inputs'!AD312</f>
        <v>31695.601777059775</v>
      </c>
      <c r="W147" s="329">
        <f>'P&amp;L - Inputs'!AE312</f>
        <v>38045.269100743746</v>
      </c>
      <c r="X147" s="329">
        <f>'P&amp;L - Inputs'!AF312</f>
        <v>76227.355707317067</v>
      </c>
      <c r="Y147" s="329">
        <f>'P&amp;L - Inputs'!AG312</f>
        <v>32638.990002856328</v>
      </c>
      <c r="Z147" s="329">
        <f>'P&amp;L - Inputs'!AH312</f>
        <v>59391.888030888033</v>
      </c>
      <c r="AA147" s="329">
        <f>'P&amp;L - Inputs'!AI312</f>
        <v>38866.744801512286</v>
      </c>
      <c r="AB147" s="329">
        <f>'P&amp;L - Inputs'!AJ312</f>
        <v>31315.692386305567</v>
      </c>
      <c r="AC147" s="329">
        <f>'P&amp;L - Inputs'!AK312</f>
        <v>90699.23908425773</v>
      </c>
      <c r="AD147" s="329">
        <f>'P&amp;L - Inputs'!AL312</f>
        <v>33768.249964892566</v>
      </c>
      <c r="AE147" s="329">
        <f>'P&amp;L - Inputs'!AM312</f>
        <v>2006.3103621730384</v>
      </c>
      <c r="AF147" s="329">
        <f>'P&amp;L - Inputs'!AN312</f>
        <v>16947.931809938338</v>
      </c>
      <c r="AG147" s="329">
        <f>'P&amp;L - Inputs'!AO312</f>
        <v>36502.251624335498</v>
      </c>
      <c r="AH147" s="329">
        <f>'P&amp;L - Inputs'!AP312</f>
        <v>29031.459915611813</v>
      </c>
      <c r="AI147" s="329">
        <f>'P&amp;L - Inputs'!AQ312</f>
        <v>71682.971468045915</v>
      </c>
      <c r="AJ147" s="329">
        <f>'P&amp;L - Inputs'!AR312</f>
        <v>151189.52948183441</v>
      </c>
      <c r="AK147" s="329">
        <f>'P&amp;L - Inputs'!AS312</f>
        <v>277794.43498137488</v>
      </c>
      <c r="AL147" s="329">
        <f>'P&amp;L - Inputs'!AT312</f>
        <v>206404.66078402294</v>
      </c>
      <c r="AM147" s="329">
        <f>'P&amp;L - Inputs'!AU312</f>
        <v>304246.63361889328</v>
      </c>
      <c r="AN147" s="329">
        <f>'P&amp;L - Inputs'!AV312</f>
        <v>285880.18663007254</v>
      </c>
      <c r="AO147" s="329">
        <f>'P&amp;L - Inputs'!AW312</f>
        <v>133069.04991922757</v>
      </c>
      <c r="AP147" s="329">
        <f>'P&amp;L - Inputs'!AX312</f>
        <v>148567.64777801404</v>
      </c>
      <c r="AQ147" s="329">
        <f>'P&amp;L - Inputs'!AY312</f>
        <v>77135.347510131818</v>
      </c>
      <c r="AR147" s="329">
        <f>'P&amp;L - Inputs'!AZ312</f>
        <v>202131.59368442092</v>
      </c>
      <c r="AS147" s="329">
        <f>'P&amp;L - Inputs'!BA312</f>
        <v>621279.97786413156</v>
      </c>
      <c r="AT147" s="329">
        <f>'P&amp;L - Inputs'!BB312</f>
        <v>611335.09896101081</v>
      </c>
      <c r="AU147" s="329">
        <f>'P&amp;L - Inputs'!BC312</f>
        <v>344186.14960347855</v>
      </c>
      <c r="AV147" s="329">
        <f>'P&amp;L - Inputs'!BD312</f>
        <v>958141.53206600668</v>
      </c>
      <c r="AW147" s="329">
        <f>'P&amp;L - Inputs'!BE312</f>
        <v>419014.63658939913</v>
      </c>
      <c r="AX147" s="329">
        <f>'P&amp;L - Inputs'!BF312</f>
        <v>167974.10797336797</v>
      </c>
      <c r="AY147" s="329">
        <f>'P&amp;L - Inputs'!BG312</f>
        <v>326110.81356373656</v>
      </c>
      <c r="AZ147" s="329">
        <f>'P&amp;L - Inputs'!BH312</f>
        <v>676227.56565463776</v>
      </c>
      <c r="BA147" s="329">
        <f>'P&amp;L - Inputs'!BI312</f>
        <v>2893031.2362393457</v>
      </c>
      <c r="BB147" s="329">
        <f>'P&amp;L - Inputs'!BJ312</f>
        <v>3858697</v>
      </c>
      <c r="BC147" s="329">
        <f>'P&amp;L - Inputs'!BK312</f>
        <v>5295267</v>
      </c>
      <c r="BD147" s="329">
        <f>'P&amp;L - Inputs'!BL312</f>
        <v>5188932</v>
      </c>
      <c r="BE147" s="329">
        <f>'P&amp;L - Inputs'!BM312</f>
        <v>5905440</v>
      </c>
      <c r="BF147" s="329">
        <f>'P&amp;L - Inputs'!BN312</f>
        <v>6218290</v>
      </c>
      <c r="BG147" s="329">
        <f>'P&amp;L - Inputs'!BO312</f>
        <v>7027515</v>
      </c>
      <c r="BH147" s="329">
        <f>'P&amp;L - Inputs'!BP312</f>
        <v>12745910</v>
      </c>
      <c r="BI147" s="329">
        <f>'P&amp;L - Inputs'!BQ312</f>
        <v>9713261</v>
      </c>
      <c r="BJ147" s="329">
        <f>'P&amp;L - Inputs'!BR312</f>
        <v>7618990</v>
      </c>
      <c r="BK147" s="329">
        <f>'P&amp;L - Inputs'!BS312</f>
        <v>7302900</v>
      </c>
      <c r="BL147" s="329">
        <f>'P&amp;L - Inputs'!BT312</f>
        <v>6698996</v>
      </c>
      <c r="BM147" s="329">
        <f>'P&amp;L - Inputs'!BU312</f>
        <v>9802314</v>
      </c>
      <c r="BN147" s="329">
        <f>'P&amp;L - Inputs'!BV312</f>
        <v>8592017</v>
      </c>
      <c r="BO147" s="329">
        <f>'P&amp;L - Inputs'!BW312</f>
        <v>9992560</v>
      </c>
      <c r="BP147" s="329">
        <f>'P&amp;L - Inputs'!BX312</f>
        <v>7783150</v>
      </c>
      <c r="BQ147" s="329">
        <f>'P&amp;L - Inputs'!BY312</f>
        <v>8600200</v>
      </c>
      <c r="BR147" s="329">
        <f>'P&amp;L - Inputs'!BZ312</f>
        <v>6121800</v>
      </c>
      <c r="BS147" s="329">
        <f>'P&amp;L - Inputs'!CA312</f>
        <v>3428300</v>
      </c>
      <c r="BT147" s="329">
        <f>'P&amp;L - Inputs'!CB312</f>
        <v>4868965</v>
      </c>
      <c r="BU147" s="329">
        <f>'P&amp;L - Inputs'!CC312</f>
        <v>7250147</v>
      </c>
      <c r="BV147" s="329">
        <f>'P&amp;L - Inputs'!CD312</f>
        <v>10505819</v>
      </c>
      <c r="BW147" s="329">
        <f>'P&amp;L - Inputs'!CE312</f>
        <v>10668875.289999999</v>
      </c>
      <c r="BX147" s="329">
        <f>'P&amp;L - Inputs'!CF312</f>
        <v>10066236</v>
      </c>
      <c r="BY147" s="329">
        <f>'P&amp;L - Inputs'!CG312</f>
        <v>8953663</v>
      </c>
      <c r="BZ147" s="329">
        <f>'P&amp;L - Inputs'!CH312</f>
        <v>8771757</v>
      </c>
      <c r="CA147" s="329">
        <f>'P&amp;L - Inputs'!CI312</f>
        <v>8342037</v>
      </c>
      <c r="CB147" s="329">
        <f>'P&amp;L - Inputs'!CJ312</f>
        <v>9171252</v>
      </c>
      <c r="CC147" s="329">
        <f>'P&amp;L - Inputs'!CK312</f>
        <v>9682011</v>
      </c>
      <c r="CD147" s="329">
        <f>'P&amp;L - Inputs'!CL312</f>
        <v>9122112</v>
      </c>
      <c r="CE147" s="329">
        <f>'P&amp;L - Inputs'!CM312</f>
        <v>6143302</v>
      </c>
      <c r="CF147" s="329">
        <f>'P&amp;L - Inputs'!CN312</f>
        <v>5689502</v>
      </c>
      <c r="CG147" s="329">
        <f>'P&amp;L - Inputs'!CO312</f>
        <v>6779183</v>
      </c>
      <c r="CH147" s="329">
        <f>'P&amp;L - Inputs'!CP312</f>
        <v>7525876.25</v>
      </c>
      <c r="CI147" s="329">
        <f>'P&amp;L - Inputs'!CQ312</f>
        <v>7947913</v>
      </c>
      <c r="CJ147" s="329">
        <f>'P&amp;L - Inputs'!CR312</f>
        <v>7138531</v>
      </c>
      <c r="CK147" s="329">
        <f>'P&amp;L - Inputs'!CS312</f>
        <v>8090709</v>
      </c>
      <c r="CL147" s="329">
        <f>'P&amp;L - Inputs'!CT312</f>
        <v>8090709</v>
      </c>
      <c r="CM147" s="329">
        <f>'P&amp;L - Inputs'!CU312</f>
        <v>8090709</v>
      </c>
      <c r="CN147" s="329">
        <f>'P&amp;L - Inputs'!CV312</f>
        <v>8090709</v>
      </c>
      <c r="CO147" s="329">
        <f>'P&amp;L - Inputs'!CW312</f>
        <v>8090709</v>
      </c>
      <c r="CP147" s="329">
        <f>'P&amp;L - Inputs'!CX312</f>
        <v>8090709</v>
      </c>
      <c r="CQ147" s="329">
        <f>'P&amp;L - Inputs'!CY312</f>
        <v>8090709</v>
      </c>
      <c r="CR147" s="329">
        <f>'P&amp;L - Inputs'!CZ312</f>
        <v>8495244.4500000011</v>
      </c>
      <c r="CS147" s="329">
        <f>'P&amp;L - Inputs'!DA312</f>
        <v>8495244.4500000011</v>
      </c>
      <c r="CT147" s="329">
        <f>'P&amp;L - Inputs'!DB312</f>
        <v>8495244.4500000011</v>
      </c>
      <c r="CU147" s="329">
        <f>'P&amp;L - Inputs'!DC312</f>
        <v>8495244.4500000011</v>
      </c>
      <c r="CV147" s="329">
        <f>'P&amp;L - Inputs'!DD312</f>
        <v>8495244.4500000011</v>
      </c>
      <c r="CW147" s="329">
        <f>'P&amp;L - Inputs'!DE312</f>
        <v>8495244.4500000011</v>
      </c>
      <c r="CX147" s="329">
        <f>'P&amp;L - Inputs'!DF312</f>
        <v>8495244.4500000011</v>
      </c>
      <c r="CY147" s="329">
        <f>'P&amp;L - Inputs'!DG312</f>
        <v>8495244.4500000011</v>
      </c>
      <c r="CZ147" s="329">
        <f>'P&amp;L - Inputs'!DH312</f>
        <v>8495244.4500000011</v>
      </c>
      <c r="DA147" s="329">
        <f>'P&amp;L - Inputs'!DI312</f>
        <v>8495244.4500000011</v>
      </c>
      <c r="DB147" s="329">
        <f>'P&amp;L - Inputs'!DJ312</f>
        <v>8495244.4500000011</v>
      </c>
      <c r="DC147" s="329">
        <f>'P&amp;L - Inputs'!DK312</f>
        <v>8495244.4500000011</v>
      </c>
      <c r="DD147" s="329">
        <f>'P&amp;L - Inputs'!DL312</f>
        <v>8920006.6725000013</v>
      </c>
      <c r="DE147" s="329">
        <f>'P&amp;L - Inputs'!DM312</f>
        <v>8920006.6725000013</v>
      </c>
      <c r="DF147" s="329">
        <f>'P&amp;L - Inputs'!DN312</f>
        <v>8920006.6725000013</v>
      </c>
      <c r="DG147" s="329">
        <f>'P&amp;L - Inputs'!DO312</f>
        <v>8920006.6725000013</v>
      </c>
      <c r="DH147" s="329">
        <f>'P&amp;L - Inputs'!DP312</f>
        <v>8920006.6725000013</v>
      </c>
      <c r="DI147" s="329">
        <f>'P&amp;L - Inputs'!DQ312</f>
        <v>8920006.6725000013</v>
      </c>
      <c r="DJ147" s="329">
        <f>'P&amp;L - Inputs'!DR312</f>
        <v>8920006.6725000013</v>
      </c>
      <c r="DK147" s="329">
        <f>'P&amp;L - Inputs'!DS312</f>
        <v>8920006.6725000013</v>
      </c>
      <c r="DL147" s="329">
        <f>'P&amp;L - Inputs'!DT312</f>
        <v>8920006.6725000013</v>
      </c>
      <c r="DM147" s="329">
        <f>'P&amp;L - Inputs'!DU312</f>
        <v>8920006.6725000013</v>
      </c>
      <c r="DN147" s="329">
        <f>'P&amp;L - Inputs'!DV312</f>
        <v>8920006.6725000013</v>
      </c>
      <c r="DO147" s="329">
        <f>'P&amp;L - Inputs'!DW312</f>
        <v>8920006.6725000013</v>
      </c>
      <c r="DP147" s="329">
        <f>'P&amp;L - Inputs'!DX312</f>
        <v>9366007.0061250012</v>
      </c>
      <c r="DQ147" s="329">
        <f>'P&amp;L - Inputs'!DY312</f>
        <v>9366007.0061250012</v>
      </c>
      <c r="DR147" s="329">
        <f>'P&amp;L - Inputs'!DZ312</f>
        <v>9366007.0061250012</v>
      </c>
      <c r="DS147" s="329">
        <f>'P&amp;L - Inputs'!EA312</f>
        <v>9366007.0061250012</v>
      </c>
      <c r="DT147" s="329">
        <f>'P&amp;L - Inputs'!EB312</f>
        <v>9366007.0061250012</v>
      </c>
      <c r="DU147" s="329">
        <f>'P&amp;L - Inputs'!EC312</f>
        <v>9366007.0061250012</v>
      </c>
      <c r="DW147" s="187">
        <f>SUM(BB147:BD147)</f>
        <v>14342896</v>
      </c>
      <c r="DX147" s="667">
        <f>SUM(BE147:BG147)</f>
        <v>19151245</v>
      </c>
      <c r="DY147" s="187">
        <f>SUM(BH147:BJ147)</f>
        <v>30078161</v>
      </c>
      <c r="DZ147" s="187">
        <f>SUM(BK147:BM147)</f>
        <v>23804210</v>
      </c>
      <c r="EA147" s="187">
        <f>SUM(BN147:BP147)</f>
        <v>26367727</v>
      </c>
      <c r="EB147" s="187">
        <f>SUM(BQ147:BS147)</f>
        <v>18150300</v>
      </c>
      <c r="EC147" s="187">
        <f>SUM(BT147:BV147)</f>
        <v>22624931</v>
      </c>
      <c r="ED147" s="187">
        <f>SUM(BW147:BY147)</f>
        <v>29688774.289999999</v>
      </c>
      <c r="EE147" s="187">
        <f>SUM(BZ147:CB147)</f>
        <v>26285046</v>
      </c>
      <c r="EF147" s="187">
        <f>SUM(CC147:CE147)</f>
        <v>24947425</v>
      </c>
      <c r="EG147" s="187">
        <f>SUM(CF147:CH147)</f>
        <v>19994561.25</v>
      </c>
      <c r="EH147" s="187">
        <f>SUM(CI147:CK147)</f>
        <v>23177153</v>
      </c>
      <c r="EI147" s="187">
        <f>SUM(CL147:CN147)</f>
        <v>24272127</v>
      </c>
      <c r="EJ147" s="187">
        <f>SUM(CO147:CQ147)</f>
        <v>24272127</v>
      </c>
      <c r="EK147" s="187">
        <f>SUM(CR147:CT147)</f>
        <v>25485733.350000001</v>
      </c>
      <c r="EL147" s="187">
        <f>SUM(CU147:CW147)</f>
        <v>25485733.350000001</v>
      </c>
      <c r="EM147" s="187">
        <f>SUM(CX147:CZ147)</f>
        <v>25485733.350000001</v>
      </c>
      <c r="EN147" s="187">
        <f>SUM(DA147:DC147)</f>
        <v>25485733.350000001</v>
      </c>
      <c r="EO147" s="649">
        <f>SUM(DD147:DF147)</f>
        <v>26760020.017500006</v>
      </c>
      <c r="EP147" s="187">
        <f>SUM(DG147:DI147)</f>
        <v>26760020.017500006</v>
      </c>
      <c r="EQ147" s="187">
        <f t="shared" ref="EQ147" si="512">SUM(DJ147:DL147)</f>
        <v>26760020.017500006</v>
      </c>
      <c r="ER147" s="187">
        <f t="shared" ref="ER147" si="513">SUM(DM147:DO147)</f>
        <v>26760020.017500006</v>
      </c>
      <c r="ES147" s="187">
        <f t="shared" ref="ES147" si="514">SUM(DP147:DR147)</f>
        <v>28098021.018375002</v>
      </c>
      <c r="ET147" s="187">
        <f t="shared" ref="ET147" si="515">SUM(DS147:DU147)</f>
        <v>28098021.018375002</v>
      </c>
      <c r="EV147" s="187">
        <f>SUM(DW147:DZ147)</f>
        <v>87376512</v>
      </c>
      <c r="EW147" s="187">
        <f>SUM(EA147:ED147)</f>
        <v>96831732.289999992</v>
      </c>
      <c r="EX147" s="187">
        <f>SUM(EE147:EH147)</f>
        <v>94404185.25</v>
      </c>
      <c r="EY147" s="187">
        <f>SUM(EI147:EL147)</f>
        <v>99515720.699999988</v>
      </c>
      <c r="EZ147" s="187">
        <f>SUM(EM147:EP147)</f>
        <v>104491506.73500001</v>
      </c>
      <c r="FA147" s="187">
        <f t="shared" ref="FA147" si="516">SUM(EQ147:ET147)</f>
        <v>109716082.07175002</v>
      </c>
    </row>
    <row r="148" spans="2:157" x14ac:dyDescent="0.2">
      <c r="B148" s="117" t="s">
        <v>57</v>
      </c>
      <c r="C148" s="133">
        <f>C147/C57</f>
        <v>9.1153369715977206E-3</v>
      </c>
      <c r="D148" s="133">
        <f t="shared" ref="D148:BO148" si="517">D147/D57</f>
        <v>4.8348960943312364E-3</v>
      </c>
      <c r="E148" s="133">
        <f t="shared" si="517"/>
        <v>2.7095992499640482E-3</v>
      </c>
      <c r="F148" s="133">
        <f t="shared" si="517"/>
        <v>4.9692766477882127E-3</v>
      </c>
      <c r="G148" s="133">
        <f t="shared" si="517"/>
        <v>5.9819792853737898E-3</v>
      </c>
      <c r="H148" s="133">
        <f t="shared" si="517"/>
        <v>1.1238057489245164E-2</v>
      </c>
      <c r="I148" s="133">
        <f t="shared" si="517"/>
        <v>7.8905486099918997E-3</v>
      </c>
      <c r="J148" s="133">
        <f t="shared" si="517"/>
        <v>3.7113412223373373E-3</v>
      </c>
      <c r="K148" s="133">
        <f t="shared" si="517"/>
        <v>2.4908327052032657E-3</v>
      </c>
      <c r="L148" s="133">
        <f t="shared" si="517"/>
        <v>3.0260595588311695E-3</v>
      </c>
      <c r="M148" s="133">
        <f t="shared" si="517"/>
        <v>2.2663914452252967E-3</v>
      </c>
      <c r="N148" s="133">
        <f t="shared" si="517"/>
        <v>1.7017855277506862E-3</v>
      </c>
      <c r="O148" s="133">
        <f t="shared" si="517"/>
        <v>1.5867344852148117E-3</v>
      </c>
      <c r="P148" s="133">
        <f t="shared" si="517"/>
        <v>2.3231850919509082E-2</v>
      </c>
      <c r="Q148" s="133">
        <f t="shared" si="517"/>
        <v>2.9456528117500443E-3</v>
      </c>
      <c r="R148" s="133">
        <f t="shared" si="517"/>
        <v>0</v>
      </c>
      <c r="S148" s="133">
        <f t="shared" si="517"/>
        <v>4.4748051138224053E-4</v>
      </c>
      <c r="T148" s="133">
        <f t="shared" si="517"/>
        <v>7.2381528550247696E-4</v>
      </c>
      <c r="U148" s="133">
        <f t="shared" si="517"/>
        <v>2.2021556434849011E-3</v>
      </c>
      <c r="V148" s="133">
        <f t="shared" si="517"/>
        <v>3.7205683800671133E-3</v>
      </c>
      <c r="W148" s="133">
        <f t="shared" si="517"/>
        <v>3.4889911945177356E-3</v>
      </c>
      <c r="X148" s="133">
        <f t="shared" si="517"/>
        <v>3.8310197873735684E-3</v>
      </c>
      <c r="Y148" s="133">
        <f t="shared" si="517"/>
        <v>1.9496777195174629E-3</v>
      </c>
      <c r="Z148" s="133">
        <f t="shared" si="517"/>
        <v>2.2925064343331828E-3</v>
      </c>
      <c r="AA148" s="133">
        <f t="shared" si="517"/>
        <v>1.2704604997078547E-3</v>
      </c>
      <c r="AB148" s="133">
        <f t="shared" si="517"/>
        <v>1.700854199677504E-3</v>
      </c>
      <c r="AC148" s="133">
        <f t="shared" si="517"/>
        <v>3.8735798599991793E-3</v>
      </c>
      <c r="AD148" s="133">
        <f t="shared" si="517"/>
        <v>1.9058575833391194E-3</v>
      </c>
      <c r="AE148" s="133">
        <f t="shared" si="517"/>
        <v>1.8002639431038847E-4</v>
      </c>
      <c r="AF148" s="133">
        <f t="shared" si="517"/>
        <v>9.98992319291411E-4</v>
      </c>
      <c r="AG148" s="133">
        <f t="shared" si="517"/>
        <v>2.5230645973109249E-3</v>
      </c>
      <c r="AH148" s="133">
        <f t="shared" si="517"/>
        <v>3.1495655174431634E-3</v>
      </c>
      <c r="AI148" s="133">
        <f t="shared" si="517"/>
        <v>6.1750499867076758E-3</v>
      </c>
      <c r="AJ148" s="133">
        <f t="shared" si="517"/>
        <v>1.0453584246117717E-2</v>
      </c>
      <c r="AK148" s="133">
        <f t="shared" si="517"/>
        <v>8.026462786070632E-3</v>
      </c>
      <c r="AL148" s="133">
        <f t="shared" si="517"/>
        <v>5.1826858845298359E-3</v>
      </c>
      <c r="AM148" s="133">
        <f t="shared" si="517"/>
        <v>6.6089605281213996E-3</v>
      </c>
      <c r="AN148" s="133">
        <f t="shared" si="517"/>
        <v>7.0465622820486788E-3</v>
      </c>
      <c r="AO148" s="133">
        <f t="shared" si="517"/>
        <v>5.9314147589863047E-3</v>
      </c>
      <c r="AP148" s="133">
        <f t="shared" si="517"/>
        <v>7.3244955444903776E-3</v>
      </c>
      <c r="AQ148" s="133">
        <f t="shared" si="517"/>
        <v>2.6654287786116041E-3</v>
      </c>
      <c r="AR148" s="133">
        <f t="shared" si="517"/>
        <v>4.8963545530977971E-3</v>
      </c>
      <c r="AS148" s="133">
        <f t="shared" si="517"/>
        <v>1.6312534734348214E-2</v>
      </c>
      <c r="AT148" s="133">
        <f t="shared" si="517"/>
        <v>2.2956267107661781E-2</v>
      </c>
      <c r="AU148" s="133">
        <f t="shared" si="517"/>
        <v>9.28495144620042E-3</v>
      </c>
      <c r="AV148" s="133">
        <f t="shared" si="517"/>
        <v>1.4750122979735034E-2</v>
      </c>
      <c r="AW148" s="133">
        <f t="shared" si="517"/>
        <v>7.6398020764335117E-3</v>
      </c>
      <c r="AX148" s="133">
        <f t="shared" si="517"/>
        <v>3.5980588014856473E-3</v>
      </c>
      <c r="AY148" s="133">
        <f t="shared" si="517"/>
        <v>5.7806750454360888E-3</v>
      </c>
      <c r="AZ148" s="133">
        <f t="shared" si="517"/>
        <v>8.0493120182567341E-3</v>
      </c>
      <c r="BA148" s="133">
        <f t="shared" si="517"/>
        <v>1.9732903658626427E-2</v>
      </c>
      <c r="BB148" s="133">
        <f t="shared" si="517"/>
        <v>2.2671186795238614E-2</v>
      </c>
      <c r="BC148" s="133">
        <f t="shared" si="517"/>
        <v>3.5023039019148508E-2</v>
      </c>
      <c r="BD148" s="133">
        <f t="shared" si="517"/>
        <v>2.8141912834398906E-2</v>
      </c>
      <c r="BE148" s="133">
        <f t="shared" si="517"/>
        <v>4.566669887511763E-2</v>
      </c>
      <c r="BF148" s="133">
        <f t="shared" si="517"/>
        <v>4.11679220800946E-2</v>
      </c>
      <c r="BG148" s="133">
        <f t="shared" si="517"/>
        <v>4.1549074437232172E-2</v>
      </c>
      <c r="BH148" s="133">
        <f t="shared" si="517"/>
        <v>4.7912379895515445E-2</v>
      </c>
      <c r="BI148" s="133">
        <f t="shared" si="517"/>
        <v>4.7031597860955274E-2</v>
      </c>
      <c r="BJ148" s="133">
        <f t="shared" si="517"/>
        <v>3.9053688172431093E-2</v>
      </c>
      <c r="BK148" s="133">
        <f t="shared" si="517"/>
        <v>3.6774953740999178E-2</v>
      </c>
      <c r="BL148" s="133">
        <f t="shared" si="517"/>
        <v>4.6281314803735416E-2</v>
      </c>
      <c r="BM148" s="133">
        <f t="shared" si="517"/>
        <v>4.7807849889003176E-2</v>
      </c>
      <c r="BN148" s="133">
        <f t="shared" si="517"/>
        <v>4.3492765196711428E-2</v>
      </c>
      <c r="BO148" s="133">
        <f t="shared" si="517"/>
        <v>4.6552889858920005E-2</v>
      </c>
      <c r="BP148" s="133">
        <f t="shared" ref="BP148:DI148" si="518">BP147/BP57</f>
        <v>3.4927658932388285E-2</v>
      </c>
      <c r="BQ148" s="133">
        <f t="shared" si="518"/>
        <v>3.6853272100701877E-2</v>
      </c>
      <c r="BR148" s="133">
        <f t="shared" si="518"/>
        <v>2.7894603730929377E-2</v>
      </c>
      <c r="BS148" s="133">
        <f t="shared" si="518"/>
        <v>1.5031688794082671E-2</v>
      </c>
      <c r="BT148" s="133">
        <f t="shared" si="518"/>
        <v>1.9977558805177393E-2</v>
      </c>
      <c r="BU148" s="133">
        <f t="shared" si="518"/>
        <v>3.3946849267656794E-2</v>
      </c>
      <c r="BV148" s="133">
        <f t="shared" si="518"/>
        <v>4.1242839670084089E-2</v>
      </c>
      <c r="BW148" s="133">
        <f t="shared" si="518"/>
        <v>3.7306799174263341E-2</v>
      </c>
      <c r="BX148" s="133">
        <f t="shared" si="518"/>
        <v>3.667323534740892E-2</v>
      </c>
      <c r="BY148" s="133">
        <f t="shared" si="518"/>
        <v>2.4339731869582115E-2</v>
      </c>
      <c r="BZ148" s="133">
        <f t="shared" si="518"/>
        <v>2.7883437724941642E-2</v>
      </c>
      <c r="CA148" s="133">
        <f t="shared" si="518"/>
        <v>2.6284731319386009E-2</v>
      </c>
      <c r="CB148" s="133">
        <f t="shared" si="518"/>
        <v>2.9284585086426597E-2</v>
      </c>
      <c r="CC148" s="133">
        <f t="shared" si="518"/>
        <v>2.9505582121034577E-2</v>
      </c>
      <c r="CD148" s="133">
        <f t="shared" si="518"/>
        <v>3.1419282846292813E-2</v>
      </c>
      <c r="CE148" s="133">
        <f t="shared" si="518"/>
        <v>1.6541209417522341E-2</v>
      </c>
      <c r="CF148" s="133">
        <f t="shared" si="518"/>
        <v>1.7919992259700399E-2</v>
      </c>
      <c r="CG148" s="133">
        <f t="shared" si="518"/>
        <v>2.1538318617606595E-2</v>
      </c>
      <c r="CH148" s="133">
        <f t="shared" si="518"/>
        <v>1.9860704638845688E-2</v>
      </c>
      <c r="CI148" s="133">
        <f t="shared" si="518"/>
        <v>1.8838729620861968E-2</v>
      </c>
      <c r="CJ148" s="133">
        <f t="shared" si="518"/>
        <v>2.0966600627526536E-2</v>
      </c>
      <c r="CK148" s="133">
        <f t="shared" si="518"/>
        <v>2.0073996296851519E-2</v>
      </c>
      <c r="CL148" s="133">
        <f t="shared" si="518"/>
        <v>2.1339975174200054E-2</v>
      </c>
      <c r="CM148" s="133">
        <f t="shared" si="518"/>
        <v>2.1124972443519255E-2</v>
      </c>
      <c r="CN148" s="133">
        <f t="shared" si="518"/>
        <v>2.1140095917407942E-2</v>
      </c>
      <c r="CO148" s="133">
        <f t="shared" si="518"/>
        <v>2.0825758904942222E-2</v>
      </c>
      <c r="CP148" s="133">
        <f t="shared" si="518"/>
        <v>2.2101309035588598E-2</v>
      </c>
      <c r="CQ148" s="133">
        <f t="shared" si="518"/>
        <v>2.0203562789645475E-2</v>
      </c>
      <c r="CR148" s="133">
        <f t="shared" si="518"/>
        <v>2.1817040117038326E-2</v>
      </c>
      <c r="CS148" s="133">
        <f t="shared" si="518"/>
        <v>2.1765988192112534E-2</v>
      </c>
      <c r="CT148" s="133">
        <f t="shared" si="518"/>
        <v>1.7731868758326819E-2</v>
      </c>
      <c r="CU148" s="133">
        <f t="shared" si="518"/>
        <v>1.6456623563889231E-2</v>
      </c>
      <c r="CV148" s="133">
        <f t="shared" si="518"/>
        <v>1.9195573551873891E-2</v>
      </c>
      <c r="CW148" s="133">
        <f t="shared" si="518"/>
        <v>1.7764039253090079E-2</v>
      </c>
      <c r="CX148" s="133">
        <f t="shared" si="518"/>
        <v>1.8916820542769153E-2</v>
      </c>
      <c r="CY148" s="133">
        <f t="shared" si="518"/>
        <v>1.8726231376694994E-2</v>
      </c>
      <c r="CZ148" s="133">
        <f t="shared" si="518"/>
        <v>1.8739637579804423E-2</v>
      </c>
      <c r="DA148" s="133">
        <f t="shared" si="518"/>
        <v>1.8460993541738569E-2</v>
      </c>
      <c r="DB148" s="133">
        <f t="shared" si="518"/>
        <v>1.9591704928128346E-2</v>
      </c>
      <c r="DC148" s="133">
        <f t="shared" si="518"/>
        <v>1.790944780846581E-2</v>
      </c>
      <c r="DD148" s="133">
        <f t="shared" si="518"/>
        <v>1.9339714751279227E-2</v>
      </c>
      <c r="DE148" s="133">
        <f t="shared" si="518"/>
        <v>1.9294459773506252E-2</v>
      </c>
      <c r="DF148" s="133">
        <f t="shared" si="518"/>
        <v>1.5718414686570838E-2</v>
      </c>
      <c r="DG148" s="133">
        <f t="shared" si="518"/>
        <v>1.4587973610876903E-2</v>
      </c>
      <c r="DH148" s="133">
        <f t="shared" si="518"/>
        <v>1.7015915769917761E-2</v>
      </c>
      <c r="DI148" s="133">
        <f t="shared" si="518"/>
        <v>1.574693222097474E-2</v>
      </c>
      <c r="DJ148" s="133">
        <f t="shared" ref="DJ148:DU148" si="519">DJ147/DJ57</f>
        <v>1.6768815170880216E-2</v>
      </c>
      <c r="DK148" s="133">
        <f t="shared" si="519"/>
        <v>1.6599867408636337E-2</v>
      </c>
      <c r="DL148" s="133">
        <f t="shared" si="519"/>
        <v>1.6611751337099745E-2</v>
      </c>
      <c r="DM148" s="133">
        <f t="shared" si="519"/>
        <v>1.6364747335437316E-2</v>
      </c>
      <c r="DN148" s="133">
        <f t="shared" si="519"/>
        <v>1.7367066420037793E-2</v>
      </c>
      <c r="DO148" s="133">
        <f t="shared" si="519"/>
        <v>1.5875829631818574E-2</v>
      </c>
      <c r="DP148" s="133">
        <f t="shared" si="519"/>
        <v>1.7143689733088385E-2</v>
      </c>
      <c r="DQ148" s="133">
        <f t="shared" si="519"/>
        <v>1.7103573458996685E-2</v>
      </c>
      <c r="DR148" s="133">
        <f t="shared" si="519"/>
        <v>1.3933588367158618E-2</v>
      </c>
      <c r="DS148" s="133">
        <f t="shared" si="519"/>
        <v>1.2931508899468763E-2</v>
      </c>
      <c r="DT148" s="133">
        <f t="shared" si="519"/>
        <v>1.50837581751065E-2</v>
      </c>
      <c r="DU148" s="133">
        <f t="shared" si="519"/>
        <v>1.3958867734929065E-2</v>
      </c>
      <c r="DW148" s="133">
        <f t="shared" ref="DW148:FA148" si="520">DW147/DW57</f>
        <v>2.8357918281669951E-2</v>
      </c>
      <c r="DX148" s="657">
        <f t="shared" si="520"/>
        <v>4.2605587107030496E-2</v>
      </c>
      <c r="DY148" s="133">
        <f t="shared" si="520"/>
        <v>4.5051342636280432E-2</v>
      </c>
      <c r="DZ148" s="133">
        <f t="shared" si="520"/>
        <v>4.3409478569460043E-2</v>
      </c>
      <c r="EA148" s="133">
        <f t="shared" si="520"/>
        <v>4.1521599550129101E-2</v>
      </c>
      <c r="EB148" s="133">
        <f t="shared" si="520"/>
        <v>2.6656471004651891E-2</v>
      </c>
      <c r="EC148" s="133">
        <f t="shared" si="520"/>
        <v>3.177543053102045E-2</v>
      </c>
      <c r="ED148" s="133">
        <f t="shared" si="520"/>
        <v>3.1981073424359414E-2</v>
      </c>
      <c r="EE148" s="133">
        <f t="shared" si="520"/>
        <v>2.7810879032819792E-2</v>
      </c>
      <c r="EF148" s="133">
        <f t="shared" si="520"/>
        <v>2.5202722069892641E-2</v>
      </c>
      <c r="EG148" s="133">
        <f t="shared" si="520"/>
        <v>1.9773541853317814E-2</v>
      </c>
      <c r="EH148" s="133">
        <f t="shared" si="520"/>
        <v>1.9887586911058304E-2</v>
      </c>
      <c r="EI148" s="133">
        <f t="shared" si="520"/>
        <v>2.1201229798025086E-2</v>
      </c>
      <c r="EJ148" s="133">
        <f t="shared" si="520"/>
        <v>2.101430927516508E-2</v>
      </c>
      <c r="EK148" s="133">
        <f t="shared" si="520"/>
        <v>2.0246384184359343E-2</v>
      </c>
      <c r="EL148" s="133">
        <f t="shared" si="520"/>
        <v>1.7735249638017619E-2</v>
      </c>
      <c r="EM148" s="133">
        <f t="shared" si="520"/>
        <v>1.8793829706987199E-2</v>
      </c>
      <c r="EN148" s="133">
        <f t="shared" si="520"/>
        <v>1.8628134013443085E-2</v>
      </c>
      <c r="EO148" s="648">
        <f t="shared" si="520"/>
        <v>1.7947406832906132E-2</v>
      </c>
      <c r="EP148" s="133">
        <f t="shared" si="520"/>
        <v>1.5721411667301392E-2</v>
      </c>
      <c r="EQ148" s="133">
        <f t="shared" si="520"/>
        <v>1.6659789947097145E-2</v>
      </c>
      <c r="ER148" s="133">
        <f t="shared" si="520"/>
        <v>1.6512909003052127E-2</v>
      </c>
      <c r="ES148" s="133">
        <f t="shared" si="520"/>
        <v>1.5909478408232536E-2</v>
      </c>
      <c r="ET148" s="133">
        <f t="shared" si="520"/>
        <v>1.393624504066396E-2</v>
      </c>
      <c r="EU148" s="638"/>
      <c r="EV148" s="133">
        <f t="shared" si="520"/>
        <v>4.0241789189884129E-2</v>
      </c>
      <c r="EW148" s="133">
        <f t="shared" si="520"/>
        <v>3.275456341422265E-2</v>
      </c>
      <c r="EX148" s="133">
        <f t="shared" si="520"/>
        <v>2.2960498985728488E-2</v>
      </c>
      <c r="EY148" s="133">
        <f t="shared" si="520"/>
        <v>1.9920421486413743E-2</v>
      </c>
      <c r="EZ148" s="133">
        <f t="shared" si="520"/>
        <v>1.7658457206192007E-2</v>
      </c>
      <c r="FA148" s="133">
        <f t="shared" si="520"/>
        <v>1.5653339017730358E-2</v>
      </c>
    </row>
    <row r="149" spans="2:157" x14ac:dyDescent="0.2">
      <c r="B149" s="117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115"/>
      <c r="AL149" s="115"/>
      <c r="AM149" s="115"/>
      <c r="AN149" s="115"/>
      <c r="AO149" s="115"/>
      <c r="AP149" s="115"/>
      <c r="AQ149" s="115"/>
      <c r="AR149" s="115"/>
      <c r="AS149" s="115"/>
      <c r="AT149" s="115"/>
      <c r="AU149" s="115"/>
      <c r="AV149" s="115"/>
      <c r="AW149" s="115"/>
      <c r="AX149" s="115"/>
      <c r="AY149" s="115"/>
      <c r="AZ149" s="115"/>
      <c r="BA149" s="115"/>
      <c r="BB149" s="115"/>
      <c r="BC149" s="115"/>
      <c r="BD149" s="115"/>
      <c r="BE149" s="115"/>
      <c r="BF149" s="115"/>
      <c r="BG149" s="115"/>
      <c r="BH149" s="115"/>
      <c r="BI149" s="115"/>
      <c r="BJ149" s="115"/>
      <c r="BK149" s="115"/>
      <c r="BL149" s="115"/>
      <c r="BM149" s="115"/>
      <c r="BN149" s="115"/>
      <c r="BO149" s="115"/>
      <c r="BP149" s="115"/>
      <c r="BQ149" s="115"/>
      <c r="BR149" s="115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115"/>
      <c r="CD149" s="115"/>
      <c r="CE149" s="115"/>
      <c r="CF149" s="115"/>
      <c r="CG149" s="115"/>
      <c r="CH149" s="115"/>
      <c r="CI149" s="115"/>
      <c r="CJ149" s="115"/>
      <c r="CK149" s="115"/>
      <c r="CL149" s="115"/>
      <c r="CM149" s="115"/>
      <c r="CN149" s="115"/>
      <c r="CO149" s="115"/>
      <c r="CP149" s="115"/>
      <c r="CQ149" s="115"/>
      <c r="CR149" s="115"/>
      <c r="CS149" s="115"/>
      <c r="CT149" s="115"/>
      <c r="CU149" s="115"/>
      <c r="CV149" s="115"/>
      <c r="CW149" s="115"/>
      <c r="CX149" s="115"/>
      <c r="CY149" s="115"/>
      <c r="CZ149" s="115"/>
      <c r="DA149" s="115"/>
      <c r="DB149" s="115"/>
      <c r="DC149" s="115"/>
      <c r="DD149" s="115"/>
      <c r="DE149" s="115"/>
      <c r="DF149" s="115"/>
      <c r="DG149" s="115"/>
      <c r="DH149" s="115"/>
      <c r="DI149" s="115"/>
      <c r="DJ149" s="115"/>
      <c r="DK149" s="115"/>
      <c r="DL149" s="115"/>
      <c r="DM149" s="115"/>
      <c r="DN149" s="115"/>
      <c r="DO149" s="115"/>
      <c r="DP149" s="115"/>
      <c r="DQ149" s="115"/>
      <c r="DR149" s="115"/>
      <c r="DS149" s="115"/>
      <c r="DT149" s="115"/>
      <c r="DU149" s="115"/>
      <c r="DW149" s="115"/>
      <c r="DX149" s="664"/>
      <c r="DY149" s="115"/>
      <c r="DZ149" s="115"/>
      <c r="EA149" s="115"/>
      <c r="EB149" s="115"/>
      <c r="EC149" s="115"/>
      <c r="ED149" s="115"/>
      <c r="EE149" s="115"/>
      <c r="EF149" s="115"/>
      <c r="EG149" s="115"/>
      <c r="EH149" s="115"/>
      <c r="EI149" s="115"/>
      <c r="EJ149" s="115"/>
      <c r="EK149" s="115"/>
      <c r="EL149" s="115"/>
      <c r="EM149" s="115"/>
      <c r="EN149" s="115"/>
      <c r="EO149" s="645"/>
      <c r="EP149" s="115"/>
      <c r="EQ149" s="115"/>
      <c r="ER149" s="115"/>
      <c r="ES149" s="115"/>
      <c r="ET149" s="115"/>
      <c r="EV149" s="115"/>
      <c r="EW149" s="115"/>
      <c r="EX149" s="115"/>
      <c r="EY149" s="115"/>
      <c r="EZ149" s="115"/>
      <c r="FA149" s="664"/>
    </row>
    <row r="150" spans="2:157" s="331" customFormat="1" x14ac:dyDescent="0.2">
      <c r="B150" s="186" t="s">
        <v>153</v>
      </c>
      <c r="C150" s="329">
        <f>'P&amp;L - Inputs'!K313</f>
        <v>0</v>
      </c>
      <c r="D150" s="329">
        <f>'P&amp;L - Inputs'!L313</f>
        <v>0</v>
      </c>
      <c r="E150" s="329">
        <f>'P&amp;L - Inputs'!M313</f>
        <v>0</v>
      </c>
      <c r="F150" s="329">
        <f>'P&amp;L - Inputs'!N313</f>
        <v>0</v>
      </c>
      <c r="G150" s="329">
        <f>'P&amp;L - Inputs'!O313</f>
        <v>0</v>
      </c>
      <c r="H150" s="329">
        <f>'P&amp;L - Inputs'!P313</f>
        <v>0</v>
      </c>
      <c r="I150" s="329">
        <f>'P&amp;L - Inputs'!Q313</f>
        <v>0</v>
      </c>
      <c r="J150" s="329">
        <f>'P&amp;L - Inputs'!R313</f>
        <v>0</v>
      </c>
      <c r="K150" s="329">
        <f>'P&amp;L - Inputs'!S313</f>
        <v>0</v>
      </c>
      <c r="L150" s="329">
        <f>'P&amp;L - Inputs'!T313</f>
        <v>0</v>
      </c>
      <c r="M150" s="329">
        <f>'P&amp;L - Inputs'!U313</f>
        <v>0</v>
      </c>
      <c r="N150" s="329">
        <f>'P&amp;L - Inputs'!V313</f>
        <v>0</v>
      </c>
      <c r="O150" s="329">
        <f>'P&amp;L - Inputs'!W313</f>
        <v>0</v>
      </c>
      <c r="P150" s="329">
        <f>'P&amp;L - Inputs'!X313</f>
        <v>0</v>
      </c>
      <c r="Q150" s="329">
        <f>'P&amp;L - Inputs'!Y313</f>
        <v>0</v>
      </c>
      <c r="R150" s="329">
        <f>'P&amp;L - Inputs'!Z313</f>
        <v>0</v>
      </c>
      <c r="S150" s="329">
        <f>'P&amp;L - Inputs'!AA313</f>
        <v>0</v>
      </c>
      <c r="T150" s="329">
        <f>'P&amp;L - Inputs'!AB313</f>
        <v>0</v>
      </c>
      <c r="U150" s="329">
        <f>'P&amp;L - Inputs'!AC313</f>
        <v>0</v>
      </c>
      <c r="V150" s="329">
        <f>'P&amp;L - Inputs'!AD313</f>
        <v>0</v>
      </c>
      <c r="W150" s="329">
        <f>'P&amp;L - Inputs'!AE313</f>
        <v>0</v>
      </c>
      <c r="X150" s="329">
        <f>'P&amp;L - Inputs'!AF313</f>
        <v>0</v>
      </c>
      <c r="Y150" s="329">
        <f>'P&amp;L - Inputs'!AG313</f>
        <v>0</v>
      </c>
      <c r="Z150" s="329">
        <f>'P&amp;L - Inputs'!AH313</f>
        <v>0</v>
      </c>
      <c r="AA150" s="329">
        <f>'P&amp;L - Inputs'!AI313</f>
        <v>0</v>
      </c>
      <c r="AB150" s="329">
        <f>'P&amp;L - Inputs'!AJ313</f>
        <v>0</v>
      </c>
      <c r="AC150" s="329">
        <f>'P&amp;L - Inputs'!AK313</f>
        <v>0</v>
      </c>
      <c r="AD150" s="329">
        <f>'P&amp;L - Inputs'!AL313</f>
        <v>0</v>
      </c>
      <c r="AE150" s="329">
        <f>'P&amp;L - Inputs'!AM313</f>
        <v>0</v>
      </c>
      <c r="AF150" s="329">
        <f>'P&amp;L - Inputs'!AN313</f>
        <v>0</v>
      </c>
      <c r="AG150" s="329">
        <f>'P&amp;L - Inputs'!AO313</f>
        <v>0</v>
      </c>
      <c r="AH150" s="329">
        <f>'P&amp;L - Inputs'!AP313</f>
        <v>0</v>
      </c>
      <c r="AI150" s="329">
        <f>'P&amp;L - Inputs'!AQ313</f>
        <v>0</v>
      </c>
      <c r="AJ150" s="329">
        <f>'P&amp;L - Inputs'!AR313</f>
        <v>0</v>
      </c>
      <c r="AK150" s="329">
        <f>'P&amp;L - Inputs'!AS313</f>
        <v>0</v>
      </c>
      <c r="AL150" s="329">
        <f>'P&amp;L - Inputs'!AT313</f>
        <v>0</v>
      </c>
      <c r="AM150" s="329">
        <f>'P&amp;L - Inputs'!AU313</f>
        <v>0</v>
      </c>
      <c r="AN150" s="329">
        <f>'P&amp;L - Inputs'!AV313</f>
        <v>0</v>
      </c>
      <c r="AO150" s="329">
        <f>'P&amp;L - Inputs'!AW313</f>
        <v>0</v>
      </c>
      <c r="AP150" s="329">
        <f>'P&amp;L - Inputs'!AX313</f>
        <v>0</v>
      </c>
      <c r="AQ150" s="329">
        <f>'P&amp;L - Inputs'!AY313</f>
        <v>0</v>
      </c>
      <c r="AR150" s="329">
        <f>'P&amp;L - Inputs'!AZ313</f>
        <v>0</v>
      </c>
      <c r="AS150" s="329">
        <f>'P&amp;L - Inputs'!BA313</f>
        <v>0</v>
      </c>
      <c r="AT150" s="329">
        <f>'P&amp;L - Inputs'!BB313</f>
        <v>0</v>
      </c>
      <c r="AU150" s="329">
        <f>'P&amp;L - Inputs'!BC313</f>
        <v>0</v>
      </c>
      <c r="AV150" s="329">
        <f>'P&amp;L - Inputs'!BD313</f>
        <v>0</v>
      </c>
      <c r="AW150" s="329">
        <f>'P&amp;L - Inputs'!BE313</f>
        <v>0</v>
      </c>
      <c r="AX150" s="329">
        <f>'P&amp;L - Inputs'!BF313</f>
        <v>0</v>
      </c>
      <c r="AY150" s="329">
        <f>'P&amp;L - Inputs'!BG313</f>
        <v>0</v>
      </c>
      <c r="AZ150" s="329">
        <f>'P&amp;L - Inputs'!BH313</f>
        <v>0</v>
      </c>
      <c r="BA150" s="329">
        <f>'P&amp;L - Inputs'!BI313</f>
        <v>0</v>
      </c>
      <c r="BB150" s="329">
        <f>'P&amp;L - Inputs'!BJ313</f>
        <v>685400</v>
      </c>
      <c r="BC150" s="329">
        <f>'P&amp;L - Inputs'!BK313</f>
        <v>349179</v>
      </c>
      <c r="BD150" s="329">
        <f>'P&amp;L - Inputs'!BL313</f>
        <v>695000</v>
      </c>
      <c r="BE150" s="329">
        <f>'P&amp;L - Inputs'!BM313</f>
        <v>726000</v>
      </c>
      <c r="BF150" s="329">
        <f>'P&amp;L - Inputs'!BN313</f>
        <v>859248</v>
      </c>
      <c r="BG150" s="329">
        <f>'P&amp;L - Inputs'!BO313</f>
        <v>707333</v>
      </c>
      <c r="BH150" s="329">
        <f>'P&amp;L - Inputs'!BP313</f>
        <v>938744</v>
      </c>
      <c r="BI150" s="329">
        <f>'P&amp;L - Inputs'!BQ313</f>
        <v>1311233</v>
      </c>
      <c r="BJ150" s="329">
        <f>'P&amp;L - Inputs'!BR313</f>
        <v>696100</v>
      </c>
      <c r="BK150" s="329">
        <f>'P&amp;L - Inputs'!BS313</f>
        <v>2809410</v>
      </c>
      <c r="BL150" s="329">
        <f>'P&amp;L - Inputs'!BT313</f>
        <v>6114480</v>
      </c>
      <c r="BM150" s="329">
        <f>'P&amp;L - Inputs'!BU313</f>
        <v>931872</v>
      </c>
      <c r="BN150" s="329">
        <f>'P&amp;L - Inputs'!BV313</f>
        <v>4538330</v>
      </c>
      <c r="BO150" s="329">
        <f>'P&amp;L - Inputs'!BW313</f>
        <v>3375080</v>
      </c>
      <c r="BP150" s="329">
        <f>'P&amp;L - Inputs'!BX313</f>
        <v>6106136</v>
      </c>
      <c r="BQ150" s="329">
        <f>'P&amp;L - Inputs'!BY313</f>
        <v>2821489</v>
      </c>
      <c r="BR150" s="329">
        <f>'P&amp;L - Inputs'!BZ313</f>
        <v>3978428</v>
      </c>
      <c r="BS150" s="329">
        <f>'P&amp;L - Inputs'!CA313</f>
        <v>1708094</v>
      </c>
      <c r="BT150" s="329">
        <f>'P&amp;L - Inputs'!CB313</f>
        <v>1504276</v>
      </c>
      <c r="BU150" s="329">
        <f>'P&amp;L - Inputs'!CC313</f>
        <v>742327</v>
      </c>
      <c r="BV150" s="329">
        <f>'P&amp;L - Inputs'!CD313</f>
        <v>1353575</v>
      </c>
      <c r="BW150" s="329">
        <f>'P&amp;L - Inputs'!CE313</f>
        <v>636012</v>
      </c>
      <c r="BX150" s="329">
        <f>'P&amp;L - Inputs'!CF313</f>
        <v>881890</v>
      </c>
      <c r="BY150" s="329">
        <f>'P&amp;L - Inputs'!CG313</f>
        <v>1005454</v>
      </c>
      <c r="BZ150" s="329">
        <f>'P&amp;L - Inputs'!CH313</f>
        <v>2116529</v>
      </c>
      <c r="CA150" s="329">
        <f>'P&amp;L - Inputs'!CI313</f>
        <v>2211570</v>
      </c>
      <c r="CB150" s="329">
        <f>'P&amp;L - Inputs'!CJ313</f>
        <v>1561679</v>
      </c>
      <c r="CC150" s="329">
        <f>'P&amp;L - Inputs'!CK313</f>
        <v>793632</v>
      </c>
      <c r="CD150" s="329">
        <f>'P&amp;L - Inputs'!CL313</f>
        <v>530618</v>
      </c>
      <c r="CE150" s="329">
        <f>'P&amp;L - Inputs'!CM313</f>
        <v>724370</v>
      </c>
      <c r="CF150" s="329">
        <f>'P&amp;L - Inputs'!CN313</f>
        <v>1661233.25</v>
      </c>
      <c r="CG150" s="329">
        <f>'P&amp;L - Inputs'!CO313</f>
        <v>1644032</v>
      </c>
      <c r="CH150" s="329">
        <f>'P&amp;L - Inputs'!CP313</f>
        <v>1170726.75</v>
      </c>
      <c r="CI150" s="329">
        <f>'P&amp;L - Inputs'!CQ313</f>
        <v>1594965</v>
      </c>
      <c r="CJ150" s="329">
        <f>'P&amp;L - Inputs'!CR313</f>
        <v>1149598.75</v>
      </c>
      <c r="CK150" s="329">
        <f>'P&amp;L - Inputs'!CS313</f>
        <v>1082880.25</v>
      </c>
      <c r="CL150" s="329">
        <f>'P&amp;L - Inputs'!CT313</f>
        <v>1082880.25</v>
      </c>
      <c r="CM150" s="329">
        <f>'P&amp;L - Inputs'!CU313</f>
        <v>1082880.25</v>
      </c>
      <c r="CN150" s="329">
        <f>'P&amp;L - Inputs'!CV313</f>
        <v>1082880.25</v>
      </c>
      <c r="CO150" s="329">
        <f>'P&amp;L - Inputs'!CW313</f>
        <v>1082880.25</v>
      </c>
      <c r="CP150" s="329">
        <f>'P&amp;L - Inputs'!CX313</f>
        <v>1082880.25</v>
      </c>
      <c r="CQ150" s="329">
        <f>'P&amp;L - Inputs'!CY313</f>
        <v>1082880.25</v>
      </c>
      <c r="CR150" s="329">
        <f>'P&amp;L - Inputs'!CZ313</f>
        <v>1137024.2625</v>
      </c>
      <c r="CS150" s="329">
        <f>'P&amp;L - Inputs'!DA313</f>
        <v>1137024.2625</v>
      </c>
      <c r="CT150" s="329">
        <f>'P&amp;L - Inputs'!DB313</f>
        <v>1137024.2625</v>
      </c>
      <c r="CU150" s="329">
        <f>'P&amp;L - Inputs'!DC313</f>
        <v>1137024.2625</v>
      </c>
      <c r="CV150" s="329">
        <f>'P&amp;L - Inputs'!DD313</f>
        <v>1137024.2625</v>
      </c>
      <c r="CW150" s="329">
        <f>'P&amp;L - Inputs'!DE313</f>
        <v>1137024.2625</v>
      </c>
      <c r="CX150" s="329">
        <f>'P&amp;L - Inputs'!DF313</f>
        <v>1137024.2625</v>
      </c>
      <c r="CY150" s="329">
        <f>'P&amp;L - Inputs'!DG313</f>
        <v>1137024.2625</v>
      </c>
      <c r="CZ150" s="329">
        <f>'P&amp;L - Inputs'!DH313</f>
        <v>1137024.2625</v>
      </c>
      <c r="DA150" s="329">
        <f>'P&amp;L - Inputs'!DI313</f>
        <v>1137024.2625</v>
      </c>
      <c r="DB150" s="329">
        <f>'P&amp;L - Inputs'!DJ313</f>
        <v>1137024.2625</v>
      </c>
      <c r="DC150" s="329">
        <f>'P&amp;L - Inputs'!DK313</f>
        <v>1137024.2625</v>
      </c>
      <c r="DD150" s="329">
        <f>'P&amp;L - Inputs'!DL313</f>
        <v>1193875.475625</v>
      </c>
      <c r="DE150" s="329">
        <f>'P&amp;L - Inputs'!DM313</f>
        <v>1193875.475625</v>
      </c>
      <c r="DF150" s="329">
        <f>'P&amp;L - Inputs'!DN313</f>
        <v>1193875.475625</v>
      </c>
      <c r="DG150" s="329">
        <f>'P&amp;L - Inputs'!DO313</f>
        <v>1193875.475625</v>
      </c>
      <c r="DH150" s="329">
        <f>'P&amp;L - Inputs'!DP313</f>
        <v>1193875.475625</v>
      </c>
      <c r="DI150" s="329">
        <f>'P&amp;L - Inputs'!DQ313</f>
        <v>1193875.475625</v>
      </c>
      <c r="DJ150" s="329">
        <f>'P&amp;L - Inputs'!DR313</f>
        <v>1193875.475625</v>
      </c>
      <c r="DK150" s="329">
        <f>'P&amp;L - Inputs'!DS313</f>
        <v>1193875.475625</v>
      </c>
      <c r="DL150" s="329">
        <f>'P&amp;L - Inputs'!DT313</f>
        <v>1193875.475625</v>
      </c>
      <c r="DM150" s="329">
        <f>'P&amp;L - Inputs'!DU313</f>
        <v>1193875.475625</v>
      </c>
      <c r="DN150" s="329">
        <f>'P&amp;L - Inputs'!DV313</f>
        <v>1193875.475625</v>
      </c>
      <c r="DO150" s="329">
        <f>'P&amp;L - Inputs'!DW313</f>
        <v>1193875.475625</v>
      </c>
      <c r="DP150" s="329">
        <f>'P&amp;L - Inputs'!DX313</f>
        <v>1253569.24940625</v>
      </c>
      <c r="DQ150" s="329">
        <f>'P&amp;L - Inputs'!DY313</f>
        <v>1253569.24940625</v>
      </c>
      <c r="DR150" s="329">
        <f>'P&amp;L - Inputs'!DZ313</f>
        <v>1253569.24940625</v>
      </c>
      <c r="DS150" s="329">
        <f>'P&amp;L - Inputs'!EA313</f>
        <v>1253569.24940625</v>
      </c>
      <c r="DT150" s="329">
        <f>'P&amp;L - Inputs'!EB313</f>
        <v>1253569.24940625</v>
      </c>
      <c r="DU150" s="329">
        <f>'P&amp;L - Inputs'!EC313</f>
        <v>1253569.24940625</v>
      </c>
      <c r="DW150" s="187">
        <f>SUM(BB150:BD150)</f>
        <v>1729579</v>
      </c>
      <c r="DX150" s="667">
        <f>SUM(BE150:BG150)</f>
        <v>2292581</v>
      </c>
      <c r="DY150" s="187">
        <f>SUM(BH150:BJ150)</f>
        <v>2946077</v>
      </c>
      <c r="DZ150" s="187">
        <f>SUM(BK150:BM150)</f>
        <v>9855762</v>
      </c>
      <c r="EA150" s="187">
        <f>SUM(BN150:BP150)</f>
        <v>14019546</v>
      </c>
      <c r="EB150" s="187">
        <f>SUM(BQ150:BS150)</f>
        <v>8508011</v>
      </c>
      <c r="EC150" s="187">
        <f>SUM(BT150:BV150)</f>
        <v>3600178</v>
      </c>
      <c r="ED150" s="187">
        <f>SUM(BW150:BY150)</f>
        <v>2523356</v>
      </c>
      <c r="EE150" s="187">
        <f>SUM(BZ150:CB150)</f>
        <v>5889778</v>
      </c>
      <c r="EF150" s="187">
        <f>SUM(CC150:CE150)</f>
        <v>2048620</v>
      </c>
      <c r="EG150" s="187">
        <f>SUM(CF150:CH150)</f>
        <v>4475992</v>
      </c>
      <c r="EH150" s="187">
        <f>SUM(CI150:CK150)</f>
        <v>3827444</v>
      </c>
      <c r="EI150" s="187">
        <f>SUM(CL150:CN150)</f>
        <v>3248640.75</v>
      </c>
      <c r="EJ150" s="187">
        <f>SUM(CO150:CQ150)</f>
        <v>3248640.75</v>
      </c>
      <c r="EK150" s="187">
        <f>SUM(CR150:CT150)</f>
        <v>3411072.7874999996</v>
      </c>
      <c r="EL150" s="187">
        <f>SUM(CU150:CW150)</f>
        <v>3411072.7874999996</v>
      </c>
      <c r="EM150" s="187">
        <f>SUM(CX150:CZ150)</f>
        <v>3411072.7874999996</v>
      </c>
      <c r="EN150" s="187">
        <f>SUM(DA150:DC150)</f>
        <v>3411072.7874999996</v>
      </c>
      <c r="EO150" s="649">
        <f>SUM(DD150:DF150)</f>
        <v>3581626.4268749999</v>
      </c>
      <c r="EP150" s="187">
        <f>SUM(DG150:DI150)</f>
        <v>3581626.4268749999</v>
      </c>
      <c r="EQ150" s="187">
        <f t="shared" ref="EQ150" si="521">SUM(DJ150:DL150)</f>
        <v>3581626.4268749999</v>
      </c>
      <c r="ER150" s="187">
        <f t="shared" ref="ER150" si="522">SUM(DM150:DO150)</f>
        <v>3581626.4268749999</v>
      </c>
      <c r="ES150" s="187">
        <f t="shared" ref="ES150" si="523">SUM(DP150:DR150)</f>
        <v>3760707.7482187496</v>
      </c>
      <c r="ET150" s="187">
        <f t="shared" ref="ET150" si="524">SUM(DS150:DU150)</f>
        <v>3760707.7482187496</v>
      </c>
      <c r="EV150" s="187">
        <f>SUM(DW150:DZ150)</f>
        <v>16823999</v>
      </c>
      <c r="EW150" s="187">
        <f>SUM(EA150:ED150)</f>
        <v>28651091</v>
      </c>
      <c r="EX150" s="187">
        <f>SUM(EE150:EH150)</f>
        <v>16241834</v>
      </c>
      <c r="EY150" s="187">
        <f>SUM(EI150:EL150)</f>
        <v>13319427.074999999</v>
      </c>
      <c r="EZ150" s="187">
        <f>SUM(EM150:EP150)</f>
        <v>13985398.428749997</v>
      </c>
      <c r="FA150" s="187">
        <f t="shared" ref="FA150" si="525">SUM(EQ150:ET150)</f>
        <v>14684668.350187499</v>
      </c>
    </row>
    <row r="151" spans="2:157" x14ac:dyDescent="0.2">
      <c r="B151" s="117" t="s">
        <v>172</v>
      </c>
      <c r="C151" s="185">
        <f>C150/C57</f>
        <v>0</v>
      </c>
      <c r="D151" s="185">
        <f t="shared" ref="D151:BO151" si="526">D150/D57</f>
        <v>0</v>
      </c>
      <c r="E151" s="185">
        <f t="shared" si="526"/>
        <v>0</v>
      </c>
      <c r="F151" s="185">
        <f t="shared" si="526"/>
        <v>0</v>
      </c>
      <c r="G151" s="185">
        <f t="shared" si="526"/>
        <v>0</v>
      </c>
      <c r="H151" s="185">
        <f t="shared" si="526"/>
        <v>0</v>
      </c>
      <c r="I151" s="185">
        <f t="shared" si="526"/>
        <v>0</v>
      </c>
      <c r="J151" s="185">
        <f t="shared" si="526"/>
        <v>0</v>
      </c>
      <c r="K151" s="185">
        <f t="shared" si="526"/>
        <v>0</v>
      </c>
      <c r="L151" s="185">
        <f t="shared" si="526"/>
        <v>0</v>
      </c>
      <c r="M151" s="185">
        <f t="shared" si="526"/>
        <v>0</v>
      </c>
      <c r="N151" s="185">
        <f t="shared" si="526"/>
        <v>0</v>
      </c>
      <c r="O151" s="185">
        <f t="shared" si="526"/>
        <v>0</v>
      </c>
      <c r="P151" s="185">
        <f t="shared" si="526"/>
        <v>0</v>
      </c>
      <c r="Q151" s="185">
        <f t="shared" si="526"/>
        <v>0</v>
      </c>
      <c r="R151" s="185">
        <f t="shared" si="526"/>
        <v>0</v>
      </c>
      <c r="S151" s="185">
        <f t="shared" si="526"/>
        <v>0</v>
      </c>
      <c r="T151" s="185">
        <f t="shared" si="526"/>
        <v>0</v>
      </c>
      <c r="U151" s="185">
        <f t="shared" si="526"/>
        <v>0</v>
      </c>
      <c r="V151" s="185">
        <f t="shared" si="526"/>
        <v>0</v>
      </c>
      <c r="W151" s="185">
        <f t="shared" si="526"/>
        <v>0</v>
      </c>
      <c r="X151" s="185">
        <f t="shared" si="526"/>
        <v>0</v>
      </c>
      <c r="Y151" s="185">
        <f t="shared" si="526"/>
        <v>0</v>
      </c>
      <c r="Z151" s="185">
        <f t="shared" si="526"/>
        <v>0</v>
      </c>
      <c r="AA151" s="185">
        <f t="shared" si="526"/>
        <v>0</v>
      </c>
      <c r="AB151" s="185">
        <f t="shared" si="526"/>
        <v>0</v>
      </c>
      <c r="AC151" s="185">
        <f t="shared" si="526"/>
        <v>0</v>
      </c>
      <c r="AD151" s="185">
        <f t="shared" si="526"/>
        <v>0</v>
      </c>
      <c r="AE151" s="185">
        <f t="shared" si="526"/>
        <v>0</v>
      </c>
      <c r="AF151" s="185">
        <f t="shared" si="526"/>
        <v>0</v>
      </c>
      <c r="AG151" s="185">
        <f t="shared" si="526"/>
        <v>0</v>
      </c>
      <c r="AH151" s="185">
        <f t="shared" si="526"/>
        <v>0</v>
      </c>
      <c r="AI151" s="185">
        <f t="shared" si="526"/>
        <v>0</v>
      </c>
      <c r="AJ151" s="185">
        <f t="shared" si="526"/>
        <v>0</v>
      </c>
      <c r="AK151" s="185">
        <f t="shared" si="526"/>
        <v>0</v>
      </c>
      <c r="AL151" s="185">
        <f t="shared" si="526"/>
        <v>0</v>
      </c>
      <c r="AM151" s="185">
        <f t="shared" si="526"/>
        <v>0</v>
      </c>
      <c r="AN151" s="185">
        <f t="shared" si="526"/>
        <v>0</v>
      </c>
      <c r="AO151" s="185">
        <f t="shared" si="526"/>
        <v>0</v>
      </c>
      <c r="AP151" s="185">
        <f t="shared" si="526"/>
        <v>0</v>
      </c>
      <c r="AQ151" s="185">
        <f t="shared" si="526"/>
        <v>0</v>
      </c>
      <c r="AR151" s="185">
        <f t="shared" si="526"/>
        <v>0</v>
      </c>
      <c r="AS151" s="185">
        <f t="shared" si="526"/>
        <v>0</v>
      </c>
      <c r="AT151" s="185">
        <f t="shared" si="526"/>
        <v>0</v>
      </c>
      <c r="AU151" s="185">
        <f t="shared" si="526"/>
        <v>0</v>
      </c>
      <c r="AV151" s="185">
        <f t="shared" si="526"/>
        <v>0</v>
      </c>
      <c r="AW151" s="185">
        <f t="shared" si="526"/>
        <v>0</v>
      </c>
      <c r="AX151" s="185">
        <f t="shared" si="526"/>
        <v>0</v>
      </c>
      <c r="AY151" s="185">
        <f t="shared" si="526"/>
        <v>0</v>
      </c>
      <c r="AZ151" s="185">
        <f t="shared" si="526"/>
        <v>0</v>
      </c>
      <c r="BA151" s="185">
        <f t="shared" si="526"/>
        <v>0</v>
      </c>
      <c r="BB151" s="185">
        <f t="shared" si="526"/>
        <v>4.0269633582156218E-3</v>
      </c>
      <c r="BC151" s="185">
        <f t="shared" si="526"/>
        <v>2.3094793410166582E-3</v>
      </c>
      <c r="BD151" s="185">
        <f t="shared" si="526"/>
        <v>3.7692976936115636E-3</v>
      </c>
      <c r="BE151" s="185">
        <f t="shared" si="526"/>
        <v>5.6141495609701225E-3</v>
      </c>
      <c r="BF151" s="185">
        <f t="shared" si="526"/>
        <v>5.6886145084061902E-3</v>
      </c>
      <c r="BG151" s="185">
        <f t="shared" si="526"/>
        <v>4.1819948401263813E-3</v>
      </c>
      <c r="BH151" s="185">
        <f t="shared" si="526"/>
        <v>3.5287758310419384E-3</v>
      </c>
      <c r="BI151" s="185">
        <f t="shared" si="526"/>
        <v>6.3489885794290888E-3</v>
      </c>
      <c r="BJ151" s="185">
        <f t="shared" si="526"/>
        <v>3.5680939779195514E-3</v>
      </c>
      <c r="BK151" s="185">
        <f t="shared" si="526"/>
        <v>1.4147245996727398E-2</v>
      </c>
      <c r="BL151" s="185">
        <f t="shared" si="526"/>
        <v>4.2243072505364104E-2</v>
      </c>
      <c r="BM151" s="185">
        <f t="shared" si="526"/>
        <v>4.5449265032486376E-3</v>
      </c>
      <c r="BN151" s="185">
        <f t="shared" si="526"/>
        <v>2.297301333030316E-2</v>
      </c>
      <c r="BO151" s="185">
        <f t="shared" si="526"/>
        <v>1.5723671161848789E-2</v>
      </c>
      <c r="BP151" s="185">
        <f t="shared" ref="BP151:DI151" si="527">BP150/BP57</f>
        <v>2.7401891984964656E-2</v>
      </c>
      <c r="BQ151" s="185">
        <f t="shared" si="527"/>
        <v>1.2090544620606176E-2</v>
      </c>
      <c r="BR151" s="185">
        <f t="shared" si="527"/>
        <v>1.81281114267101E-2</v>
      </c>
      <c r="BS151" s="185">
        <f t="shared" si="527"/>
        <v>7.4892913219496097E-3</v>
      </c>
      <c r="BT151" s="185">
        <f t="shared" si="527"/>
        <v>6.1721048003460753E-3</v>
      </c>
      <c r="BU151" s="185">
        <f t="shared" si="527"/>
        <v>3.475745081625499E-3</v>
      </c>
      <c r="BV151" s="185">
        <f t="shared" si="527"/>
        <v>5.3137481910200497E-3</v>
      </c>
      <c r="BW151" s="185">
        <f t="shared" si="527"/>
        <v>2.2239993730793321E-3</v>
      </c>
      <c r="BX151" s="185">
        <f t="shared" si="527"/>
        <v>3.2128950205942372E-3</v>
      </c>
      <c r="BY151" s="185">
        <f t="shared" si="527"/>
        <v>2.7332367509474965E-3</v>
      </c>
      <c r="BZ151" s="185">
        <f t="shared" si="527"/>
        <v>6.7279684747916539E-3</v>
      </c>
      <c r="CA151" s="185">
        <f t="shared" si="527"/>
        <v>6.9683847295348269E-3</v>
      </c>
      <c r="CB151" s="185">
        <f t="shared" si="527"/>
        <v>4.9865734311068544E-3</v>
      </c>
      <c r="CC151" s="185">
        <f t="shared" si="527"/>
        <v>2.4185651255592372E-3</v>
      </c>
      <c r="CD151" s="185">
        <f t="shared" si="527"/>
        <v>1.8276071402471487E-3</v>
      </c>
      <c r="CE151" s="185">
        <f t="shared" si="527"/>
        <v>1.950409708943278E-3</v>
      </c>
      <c r="CF151" s="185">
        <f t="shared" si="527"/>
        <v>5.2323185722681778E-3</v>
      </c>
      <c r="CG151" s="185">
        <f t="shared" si="527"/>
        <v>5.2232968240481202E-3</v>
      </c>
      <c r="CH151" s="185">
        <f t="shared" si="527"/>
        <v>3.0895350152144391E-3</v>
      </c>
      <c r="CI151" s="185">
        <f t="shared" si="527"/>
        <v>3.7805036856515804E-3</v>
      </c>
      <c r="CJ151" s="185">
        <f t="shared" si="527"/>
        <v>3.3764899071186665E-3</v>
      </c>
      <c r="CK151" s="185">
        <f t="shared" si="527"/>
        <v>2.6867526848924671E-3</v>
      </c>
      <c r="CL151" s="185">
        <f t="shared" si="527"/>
        <v>2.8561943893460448E-3</v>
      </c>
      <c r="CM151" s="185">
        <f t="shared" si="527"/>
        <v>2.827417898836955E-3</v>
      </c>
      <c r="CN151" s="185">
        <f t="shared" si="527"/>
        <v>2.8294420615136069E-3</v>
      </c>
      <c r="CO151" s="185">
        <f t="shared" si="527"/>
        <v>2.7873704281569833E-3</v>
      </c>
      <c r="CP151" s="185">
        <f t="shared" si="527"/>
        <v>2.95809317252486E-3</v>
      </c>
      <c r="CQ151" s="185">
        <f t="shared" si="527"/>
        <v>2.7040941806882428E-3</v>
      </c>
      <c r="CR151" s="185">
        <f t="shared" si="527"/>
        <v>2.9200459262838999E-3</v>
      </c>
      <c r="CS151" s="185">
        <f t="shared" si="527"/>
        <v>2.9132130119834819E-3</v>
      </c>
      <c r="CT151" s="185">
        <f t="shared" si="527"/>
        <v>2.3732766156815345E-3</v>
      </c>
      <c r="CU151" s="185">
        <f t="shared" si="527"/>
        <v>2.2025946847204934E-3</v>
      </c>
      <c r="CV151" s="185">
        <f t="shared" si="527"/>
        <v>2.5691824396040673E-3</v>
      </c>
      <c r="CW151" s="185">
        <f t="shared" si="527"/>
        <v>2.3775823932607135E-3</v>
      </c>
      <c r="CX151" s="185">
        <f t="shared" si="527"/>
        <v>2.5318734561531001E-3</v>
      </c>
      <c r="CY151" s="185">
        <f t="shared" si="527"/>
        <v>2.5063645367486725E-3</v>
      </c>
      <c r="CZ151" s="185">
        <f t="shared" si="527"/>
        <v>2.5081588557106685E-3</v>
      </c>
      <c r="DA151" s="185">
        <f t="shared" si="527"/>
        <v>2.4708644572096518E-3</v>
      </c>
      <c r="DB151" s="185">
        <f t="shared" si="527"/>
        <v>2.62220163035129E-3</v>
      </c>
      <c r="DC151" s="185">
        <f t="shared" si="527"/>
        <v>2.3970442293986109E-3</v>
      </c>
      <c r="DD151" s="185">
        <f t="shared" si="527"/>
        <v>2.5884746497240145E-3</v>
      </c>
      <c r="DE151" s="185">
        <f t="shared" si="527"/>
        <v>2.5824176129866233E-3</v>
      </c>
      <c r="DF151" s="185">
        <f t="shared" si="527"/>
        <v>2.1037910058806339E-3</v>
      </c>
      <c r="DG151" s="185">
        <f t="shared" si="527"/>
        <v>1.9524900117826238E-3</v>
      </c>
      <c r="DH151" s="185">
        <f t="shared" si="527"/>
        <v>2.2774517193619847E-3</v>
      </c>
      <c r="DI151" s="185">
        <f t="shared" si="527"/>
        <v>2.1076078623248197E-3</v>
      </c>
      <c r="DJ151" s="185">
        <f t="shared" ref="DJ151:DU151" si="528">DJ150/DJ57</f>
        <v>2.244379171769317E-3</v>
      </c>
      <c r="DK151" s="185">
        <f t="shared" si="528"/>
        <v>2.2217667907016513E-3</v>
      </c>
      <c r="DL151" s="185">
        <f t="shared" si="528"/>
        <v>2.2233573647076426E-3</v>
      </c>
      <c r="DM151" s="185">
        <f t="shared" si="528"/>
        <v>2.1902977459435499E-3</v>
      </c>
      <c r="DN151" s="185">
        <f t="shared" si="528"/>
        <v>2.3244505798808396E-3</v>
      </c>
      <c r="DO151" s="185">
        <f t="shared" si="528"/>
        <v>2.1248598065584986E-3</v>
      </c>
      <c r="DP151" s="185">
        <f t="shared" si="528"/>
        <v>2.2945532986156317E-3</v>
      </c>
      <c r="DQ151" s="185">
        <f t="shared" si="528"/>
        <v>2.2891840385276113E-3</v>
      </c>
      <c r="DR151" s="185">
        <f t="shared" si="528"/>
        <v>1.8649054927603766E-3</v>
      </c>
      <c r="DS151" s="185">
        <f t="shared" si="528"/>
        <v>1.7307847297355467E-3</v>
      </c>
      <c r="DT151" s="185">
        <f t="shared" si="528"/>
        <v>2.018847028560645E-3</v>
      </c>
      <c r="DU151" s="185">
        <f t="shared" si="528"/>
        <v>1.8682889450747663E-3</v>
      </c>
      <c r="DW151" s="185">
        <f t="shared" ref="DW151:FA151" si="529">DW150/DW57</f>
        <v>3.4196204130387915E-3</v>
      </c>
      <c r="DX151" s="661">
        <f t="shared" si="529"/>
        <v>5.1002824879230087E-3</v>
      </c>
      <c r="DY151" s="185">
        <f t="shared" si="529"/>
        <v>4.4126608790964698E-3</v>
      </c>
      <c r="DZ151" s="185">
        <f t="shared" si="529"/>
        <v>1.7973017769743194E-2</v>
      </c>
      <c r="EA151" s="185">
        <f t="shared" si="529"/>
        <v>2.207675977859655E-2</v>
      </c>
      <c r="EB151" s="185">
        <f t="shared" si="529"/>
        <v>1.249530578165426E-2</v>
      </c>
      <c r="EC151" s="185">
        <f t="shared" si="529"/>
        <v>5.0562455168728752E-3</v>
      </c>
      <c r="ED151" s="185">
        <f t="shared" si="529"/>
        <v>2.7181867706468346E-3</v>
      </c>
      <c r="EE151" s="185">
        <f t="shared" si="529"/>
        <v>6.2316765010859516E-3</v>
      </c>
      <c r="EF151" s="185">
        <f t="shared" si="529"/>
        <v>2.0695843553722865E-3</v>
      </c>
      <c r="EG151" s="185">
        <f t="shared" si="529"/>
        <v>4.4265144926406283E-3</v>
      </c>
      <c r="EH151" s="185">
        <f t="shared" si="529"/>
        <v>3.2842094625344467E-3</v>
      </c>
      <c r="EI151" s="185">
        <f t="shared" si="529"/>
        <v>2.8376243693838022E-3</v>
      </c>
      <c r="EJ151" s="185">
        <f t="shared" si="529"/>
        <v>2.8126064701459513E-3</v>
      </c>
      <c r="EK151" s="185">
        <f t="shared" si="529"/>
        <v>2.7098255007262143E-3</v>
      </c>
      <c r="EL151" s="185">
        <f t="shared" si="529"/>
        <v>2.3737291208754297E-3</v>
      </c>
      <c r="EM151" s="185">
        <f t="shared" si="529"/>
        <v>2.5154120623495078E-3</v>
      </c>
      <c r="EN151" s="185">
        <f t="shared" si="529"/>
        <v>2.4932349460981412E-3</v>
      </c>
      <c r="EO151" s="655">
        <f t="shared" si="529"/>
        <v>2.4021247579253061E-3</v>
      </c>
      <c r="EP151" s="185">
        <f t="shared" si="529"/>
        <v>2.1041921291002118E-3</v>
      </c>
      <c r="EQ151" s="185">
        <f t="shared" si="529"/>
        <v>2.2297869695795561E-3</v>
      </c>
      <c r="ER151" s="185">
        <f t="shared" si="529"/>
        <v>2.2101280653466014E-3</v>
      </c>
      <c r="ES151" s="185">
        <f t="shared" si="529"/>
        <v>2.1293634409637581E-3</v>
      </c>
      <c r="ET151" s="185">
        <f t="shared" si="529"/>
        <v>1.865261068429905E-3</v>
      </c>
      <c r="EU151" s="642"/>
      <c r="EV151" s="185">
        <f t="shared" si="529"/>
        <v>7.7483960573846364E-3</v>
      </c>
      <c r="EW151" s="185">
        <f t="shared" si="529"/>
        <v>9.6915954600047972E-3</v>
      </c>
      <c r="EX151" s="185">
        <f t="shared" si="529"/>
        <v>3.9502550876934816E-3</v>
      </c>
      <c r="EY151" s="185">
        <f t="shared" si="529"/>
        <v>2.666197857235143E-3</v>
      </c>
      <c r="EZ151" s="185">
        <f t="shared" si="529"/>
        <v>2.3634510342734481E-3</v>
      </c>
      <c r="FA151" s="185">
        <f t="shared" si="529"/>
        <v>2.0950811194488149E-3</v>
      </c>
    </row>
    <row r="152" spans="2:157" x14ac:dyDescent="0.2">
      <c r="B152" s="117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  <c r="BP152" s="115"/>
      <c r="BQ152" s="115"/>
      <c r="BR152" s="115"/>
      <c r="BS152" s="115"/>
      <c r="BT152" s="115"/>
      <c r="BU152" s="115"/>
      <c r="BV152" s="115"/>
      <c r="BW152" s="115"/>
      <c r="BX152" s="115"/>
      <c r="BY152" s="115"/>
      <c r="BZ152" s="115"/>
      <c r="CA152" s="115"/>
      <c r="CB152" s="115"/>
      <c r="CC152" s="115"/>
      <c r="CD152" s="115"/>
      <c r="CE152" s="115"/>
      <c r="CF152" s="115"/>
      <c r="CG152" s="115"/>
      <c r="CH152" s="115"/>
      <c r="CI152" s="115"/>
      <c r="CJ152" s="115"/>
      <c r="CK152" s="115"/>
      <c r="CL152" s="115"/>
      <c r="CM152" s="115"/>
      <c r="CN152" s="115"/>
      <c r="CO152" s="115"/>
      <c r="CP152" s="115"/>
      <c r="CQ152" s="115"/>
      <c r="CR152" s="115"/>
      <c r="CS152" s="115"/>
      <c r="CT152" s="115"/>
      <c r="CU152" s="115"/>
      <c r="CV152" s="115"/>
      <c r="CW152" s="115"/>
      <c r="CX152" s="115"/>
      <c r="CY152" s="115"/>
      <c r="CZ152" s="115"/>
      <c r="DA152" s="115"/>
      <c r="DB152" s="115"/>
      <c r="DC152" s="115"/>
      <c r="DD152" s="115"/>
      <c r="DE152" s="115"/>
      <c r="DF152" s="115"/>
      <c r="DG152" s="115"/>
      <c r="DH152" s="115"/>
      <c r="DI152" s="115"/>
      <c r="DJ152" s="115"/>
      <c r="DK152" s="115"/>
      <c r="DL152" s="115"/>
      <c r="DM152" s="115"/>
      <c r="DN152" s="115"/>
      <c r="DO152" s="115"/>
      <c r="DP152" s="115"/>
      <c r="DQ152" s="115"/>
      <c r="DR152" s="115"/>
      <c r="DS152" s="115"/>
      <c r="DT152" s="115"/>
      <c r="DU152" s="115"/>
      <c r="DW152" s="115"/>
      <c r="DX152" s="664"/>
      <c r="DY152" s="115"/>
      <c r="DZ152" s="115"/>
      <c r="EA152" s="115"/>
      <c r="EB152" s="115"/>
      <c r="EC152" s="115"/>
      <c r="ED152" s="115"/>
      <c r="EE152" s="115"/>
      <c r="EF152" s="115"/>
      <c r="EG152" s="115"/>
      <c r="EH152" s="115"/>
      <c r="EI152" s="115"/>
      <c r="EJ152" s="115"/>
      <c r="EK152" s="115"/>
      <c r="EL152" s="115"/>
      <c r="EM152" s="115"/>
      <c r="EN152" s="115"/>
      <c r="EO152" s="645"/>
      <c r="EP152" s="115"/>
      <c r="EQ152" s="115"/>
      <c r="ER152" s="115"/>
      <c r="ES152" s="115"/>
      <c r="ET152" s="115"/>
      <c r="EV152" s="115"/>
      <c r="EW152" s="115"/>
      <c r="EX152" s="115"/>
      <c r="EY152" s="115"/>
      <c r="EZ152" s="115"/>
      <c r="FA152" s="664"/>
    </row>
    <row r="153" spans="2:157" x14ac:dyDescent="0.2">
      <c r="B153" s="186" t="s">
        <v>58</v>
      </c>
      <c r="C153" s="187">
        <f>C144-C147-C150</f>
        <v>-66011.68784394252</v>
      </c>
      <c r="D153" s="187">
        <f t="shared" ref="D153:BO153" si="530">D144-D147-D150</f>
        <v>745080.51454545476</v>
      </c>
      <c r="E153" s="187">
        <f t="shared" si="530"/>
        <v>4913712.0974049428</v>
      </c>
      <c r="F153" s="187">
        <f t="shared" si="530"/>
        <v>4475190.5422995463</v>
      </c>
      <c r="G153" s="187">
        <f t="shared" si="530"/>
        <v>3986942.5052436222</v>
      </c>
      <c r="H153" s="187">
        <f t="shared" si="530"/>
        <v>2410766.4447742989</v>
      </c>
      <c r="I153" s="187">
        <f t="shared" si="530"/>
        <v>5643796.2384900488</v>
      </c>
      <c r="J153" s="187">
        <f t="shared" si="530"/>
        <v>4346373.2162555028</v>
      </c>
      <c r="K153" s="187">
        <f t="shared" si="530"/>
        <v>3171862.3344066669</v>
      </c>
      <c r="L153" s="187">
        <f t="shared" si="530"/>
        <v>6312611.5429305723</v>
      </c>
      <c r="M153" s="187">
        <f t="shared" si="530"/>
        <v>741468.01010531385</v>
      </c>
      <c r="N153" s="187">
        <f t="shared" si="530"/>
        <v>2922109.842292753</v>
      </c>
      <c r="O153" s="187">
        <f t="shared" si="530"/>
        <v>1182051.3139325802</v>
      </c>
      <c r="P153" s="187">
        <f t="shared" si="530"/>
        <v>-978960.06307958113</v>
      </c>
      <c r="Q153" s="187">
        <f t="shared" si="530"/>
        <v>412151.76282010658</v>
      </c>
      <c r="R153" s="187">
        <f t="shared" si="530"/>
        <v>-1103692.7185646195</v>
      </c>
      <c r="S153" s="187">
        <f t="shared" si="530"/>
        <v>1888393.5053824435</v>
      </c>
      <c r="T153" s="187">
        <f t="shared" si="530"/>
        <v>1722126.2007507207</v>
      </c>
      <c r="U153" s="187">
        <f t="shared" si="530"/>
        <v>2589760.7995958985</v>
      </c>
      <c r="V153" s="187">
        <f t="shared" si="530"/>
        <v>1709885.4680219362</v>
      </c>
      <c r="W153" s="187">
        <f t="shared" si="530"/>
        <v>1559313.9403153039</v>
      </c>
      <c r="X153" s="187">
        <f t="shared" si="530"/>
        <v>1735010.4698161508</v>
      </c>
      <c r="Y153" s="187">
        <f t="shared" si="530"/>
        <v>1052881.4802149346</v>
      </c>
      <c r="Z153" s="187">
        <f t="shared" si="530"/>
        <v>2518222.8277634094</v>
      </c>
      <c r="AA153" s="187">
        <f t="shared" si="530"/>
        <v>3223342.2537118951</v>
      </c>
      <c r="AB153" s="187">
        <f t="shared" si="530"/>
        <v>2830197.6980107808</v>
      </c>
      <c r="AC153" s="187">
        <f t="shared" si="530"/>
        <v>2429484.8811262203</v>
      </c>
      <c r="AD153" s="187">
        <f t="shared" si="530"/>
        <v>163351.75084604131</v>
      </c>
      <c r="AE153" s="187">
        <f t="shared" si="530"/>
        <v>-749901.44177715853</v>
      </c>
      <c r="AF153" s="187">
        <f t="shared" si="530"/>
        <v>-429706.16792931419</v>
      </c>
      <c r="AG153" s="187">
        <f t="shared" si="530"/>
        <v>755495.62728996971</v>
      </c>
      <c r="AH153" s="187">
        <f t="shared" si="530"/>
        <v>363133.4043272073</v>
      </c>
      <c r="AI153" s="187">
        <f t="shared" si="530"/>
        <v>938892.10694481607</v>
      </c>
      <c r="AJ153" s="187">
        <f t="shared" si="530"/>
        <v>1412813.9703002602</v>
      </c>
      <c r="AK153" s="187">
        <f t="shared" si="530"/>
        <v>3428422.5303888414</v>
      </c>
      <c r="AL153" s="187">
        <f t="shared" si="530"/>
        <v>3949471.8940896257</v>
      </c>
      <c r="AM153" s="187">
        <f t="shared" si="530"/>
        <v>4954583.809529217</v>
      </c>
      <c r="AN153" s="187">
        <f t="shared" si="530"/>
        <v>5105607.5982447229</v>
      </c>
      <c r="AO153" s="187">
        <f t="shared" si="530"/>
        <v>1920084.6614152649</v>
      </c>
      <c r="AP153" s="187">
        <f t="shared" si="530"/>
        <v>1166808.5461870534</v>
      </c>
      <c r="AQ153" s="187">
        <f t="shared" si="530"/>
        <v>577565.47945762076</v>
      </c>
      <c r="AR153" s="187">
        <f t="shared" si="530"/>
        <v>2009799.5128936307</v>
      </c>
      <c r="AS153" s="187">
        <f t="shared" si="530"/>
        <v>-233237.53294197121</v>
      </c>
      <c r="AT153" s="187">
        <f t="shared" si="530"/>
        <v>-1716726.0072161958</v>
      </c>
      <c r="AU153" s="187">
        <f t="shared" si="530"/>
        <v>-1541565.3471590299</v>
      </c>
      <c r="AV153" s="187">
        <f t="shared" si="530"/>
        <v>814663.90025351779</v>
      </c>
      <c r="AW153" s="187">
        <f t="shared" si="530"/>
        <v>1491928.7165462053</v>
      </c>
      <c r="AX153" s="187">
        <f t="shared" si="530"/>
        <v>366812.30393444368</v>
      </c>
      <c r="AY153" s="187">
        <f t="shared" si="530"/>
        <v>2578134.4868502789</v>
      </c>
      <c r="AZ153" s="187">
        <f t="shared" si="530"/>
        <v>4472259.3451094702</v>
      </c>
      <c r="BA153" s="187">
        <f t="shared" si="530"/>
        <v>2551358.7573485114</v>
      </c>
      <c r="BB153" s="187">
        <f t="shared" si="530"/>
        <v>-7419057.3288782071</v>
      </c>
      <c r="BC153" s="187">
        <f t="shared" si="530"/>
        <v>-5003230.6710610399</v>
      </c>
      <c r="BD153" s="187">
        <f t="shared" si="530"/>
        <v>1120.6114251352847</v>
      </c>
      <c r="BE153" s="187">
        <f t="shared" si="530"/>
        <v>-6897074.1424495447</v>
      </c>
      <c r="BF153" s="187">
        <f t="shared" si="530"/>
        <v>-4040064.260376418</v>
      </c>
      <c r="BG153" s="187">
        <f t="shared" si="530"/>
        <v>-10286220.175338708</v>
      </c>
      <c r="BH153" s="187">
        <f t="shared" si="530"/>
        <v>-8741883.9659951609</v>
      </c>
      <c r="BI153" s="187">
        <f t="shared" si="530"/>
        <v>-2481832.686288517</v>
      </c>
      <c r="BJ153" s="187">
        <f t="shared" si="530"/>
        <v>2959342.3644485306</v>
      </c>
      <c r="BK153" s="187">
        <f t="shared" si="530"/>
        <v>3446666.7458320893</v>
      </c>
      <c r="BL153" s="187">
        <f t="shared" si="530"/>
        <v>-2587014.4797109514</v>
      </c>
      <c r="BM153" s="187">
        <f t="shared" si="530"/>
        <v>8477167.3107848018</v>
      </c>
      <c r="BN153" s="187">
        <f t="shared" si="530"/>
        <v>2926672.4236555435</v>
      </c>
      <c r="BO153" s="187">
        <f t="shared" si="530"/>
        <v>3570576.9600844644</v>
      </c>
      <c r="BP153" s="187">
        <f t="shared" ref="BP153:DI153" si="531">BP144-BP147-BP150</f>
        <v>7367532.8895602524</v>
      </c>
      <c r="BQ153" s="187">
        <f t="shared" si="531"/>
        <v>7352082.1943589151</v>
      </c>
      <c r="BR153" s="187">
        <f t="shared" si="531"/>
        <v>8161269.5595845431</v>
      </c>
      <c r="BS153" s="187">
        <f t="shared" si="531"/>
        <v>13999297.760979027</v>
      </c>
      <c r="BT153" s="187">
        <f t="shared" si="531"/>
        <v>19987453.027486049</v>
      </c>
      <c r="BU153" s="187">
        <f t="shared" si="531"/>
        <v>12722784.492612343</v>
      </c>
      <c r="BV153" s="187">
        <f t="shared" si="531"/>
        <v>14330067.667972546</v>
      </c>
      <c r="BW153" s="187">
        <f t="shared" si="531"/>
        <v>18729135.99916352</v>
      </c>
      <c r="BX153" s="187">
        <f t="shared" si="531"/>
        <v>16652222.274995446</v>
      </c>
      <c r="BY153" s="187">
        <f t="shared" si="531"/>
        <v>26256783.563337639</v>
      </c>
      <c r="BZ153" s="187">
        <f t="shared" si="531"/>
        <v>18452094.950729314</v>
      </c>
      <c r="CA153" s="187">
        <f t="shared" si="531"/>
        <v>19458943.898458958</v>
      </c>
      <c r="CB153" s="187">
        <f t="shared" si="531"/>
        <v>19116512.220736239</v>
      </c>
      <c r="CC153" s="187">
        <f t="shared" si="531"/>
        <v>23223915.435069278</v>
      </c>
      <c r="CD153" s="187">
        <f t="shared" si="531"/>
        <v>22121786.499704696</v>
      </c>
      <c r="CE153" s="187">
        <f t="shared" si="531"/>
        <v>24569570.561739236</v>
      </c>
      <c r="CF153" s="187">
        <f t="shared" si="531"/>
        <v>17349915.556174662</v>
      </c>
      <c r="CG153" s="187">
        <f t="shared" si="531"/>
        <v>16356442.91826129</v>
      </c>
      <c r="CH153" s="187">
        <f t="shared" si="531"/>
        <v>19794508.77454263</v>
      </c>
      <c r="CI153" s="187">
        <f t="shared" si="531"/>
        <v>20284329.303282883</v>
      </c>
      <c r="CJ153" s="187">
        <f t="shared" si="531"/>
        <v>10752506.061890133</v>
      </c>
      <c r="CK153" s="187">
        <f t="shared" si="531"/>
        <v>14926461.530222435</v>
      </c>
      <c r="CL153" s="187">
        <f t="shared" si="531"/>
        <v>23184176.775765013</v>
      </c>
      <c r="CM153" s="187">
        <f t="shared" si="531"/>
        <v>23596032.272928134</v>
      </c>
      <c r="CN153" s="187">
        <f t="shared" si="531"/>
        <v>23566788.095614795</v>
      </c>
      <c r="CO153" s="187">
        <f t="shared" si="531"/>
        <v>24183352.833971381</v>
      </c>
      <c r="CP153" s="187">
        <f t="shared" si="531"/>
        <v>21790204.323828366</v>
      </c>
      <c r="CQ153" s="187">
        <f t="shared" si="531"/>
        <v>25460348.576654509</v>
      </c>
      <c r="CR153" s="187">
        <f t="shared" si="531"/>
        <v>23819716.947739664</v>
      </c>
      <c r="CS153" s="187">
        <f t="shared" si="531"/>
        <v>23917197.538784299</v>
      </c>
      <c r="CT153" s="187">
        <f t="shared" si="531"/>
        <v>33394748.003087733</v>
      </c>
      <c r="CU153" s="187">
        <f t="shared" si="531"/>
        <v>37357334.029047541</v>
      </c>
      <c r="CV153" s="187">
        <f t="shared" si="531"/>
        <v>29495524.361307006</v>
      </c>
      <c r="CW153" s="187">
        <f t="shared" si="531"/>
        <v>33302141.441595566</v>
      </c>
      <c r="CX153" s="187">
        <f t="shared" si="531"/>
        <v>28635933.590428714</v>
      </c>
      <c r="CY153" s="187">
        <f t="shared" si="531"/>
        <v>29114154.416305441</v>
      </c>
      <c r="CZ153" s="187">
        <f t="shared" si="531"/>
        <v>29080197.907959256</v>
      </c>
      <c r="DA153" s="187">
        <f t="shared" si="531"/>
        <v>29796114.292259995</v>
      </c>
      <c r="DB153" s="187">
        <f t="shared" si="531"/>
        <v>27017340.02592263</v>
      </c>
      <c r="DC153" s="187">
        <f t="shared" si="531"/>
        <v>31278881.823380951</v>
      </c>
      <c r="DD153" s="187">
        <f t="shared" si="531"/>
        <v>29424859.50876037</v>
      </c>
      <c r="DE153" s="187">
        <f t="shared" si="531"/>
        <v>29538047.869914658</v>
      </c>
      <c r="DF153" s="187">
        <f t="shared" si="531"/>
        <v>40542786.283138759</v>
      </c>
      <c r="DG153" s="187">
        <f t="shared" si="531"/>
        <v>45143893.164059736</v>
      </c>
      <c r="DH153" s="187">
        <f t="shared" si="531"/>
        <v>36015251.836967789</v>
      </c>
      <c r="DI153" s="187">
        <f t="shared" si="531"/>
        <v>40435257.340042077</v>
      </c>
      <c r="DJ153" s="187">
        <f t="shared" ref="DJ153:DU153" si="532">DJ144-DJ147-DJ150</f>
        <v>35536999.397147894</v>
      </c>
      <c r="DK153" s="187">
        <f t="shared" si="532"/>
        <v>36097159.402005404</v>
      </c>
      <c r="DL153" s="187">
        <f t="shared" si="532"/>
        <v>36057384.727104388</v>
      </c>
      <c r="DM153" s="187">
        <f t="shared" si="532"/>
        <v>36895967.456269726</v>
      </c>
      <c r="DN153" s="187">
        <f t="shared" si="532"/>
        <v>33641073.226861037</v>
      </c>
      <c r="DO153" s="187">
        <f t="shared" si="532"/>
        <v>38632794.926952116</v>
      </c>
      <c r="DP153" s="187">
        <f t="shared" si="532"/>
        <v>36519541.042292058</v>
      </c>
      <c r="DQ153" s="187">
        <f t="shared" si="532"/>
        <v>36652123.29196246</v>
      </c>
      <c r="DR153" s="187">
        <f t="shared" si="532"/>
        <v>49542432.51616843</v>
      </c>
      <c r="DS153" s="187">
        <f t="shared" si="532"/>
        <v>54931900.965270549</v>
      </c>
      <c r="DT153" s="187">
        <f t="shared" si="532"/>
        <v>44239142.52935192</v>
      </c>
      <c r="DU153" s="187">
        <f t="shared" si="532"/>
        <v>49416479.378981546</v>
      </c>
      <c r="DW153" s="187">
        <f>SUM(BB153:BD153)</f>
        <v>-12421167.388514113</v>
      </c>
      <c r="DX153" s="667">
        <f>SUM(BE153:BG153)</f>
        <v>-21223358.578164671</v>
      </c>
      <c r="DY153" s="187">
        <f>SUM(BH153:BJ153)</f>
        <v>-8264374.2878351472</v>
      </c>
      <c r="DZ153" s="187">
        <f>SUM(BK153:BM153)</f>
        <v>9336819.5769059397</v>
      </c>
      <c r="EA153" s="187">
        <f>SUM(BN153:BP153)</f>
        <v>13864782.27330026</v>
      </c>
      <c r="EB153" s="187">
        <f>SUM(BQ153:BS153)</f>
        <v>29512649.514922485</v>
      </c>
      <c r="EC153" s="187">
        <f>SUM(BT153:BV153)</f>
        <v>47040305.188070938</v>
      </c>
      <c r="ED153" s="187">
        <f>SUM(BW153:BY153)</f>
        <v>61638141.837496608</v>
      </c>
      <c r="EE153" s="187">
        <f>SUM(BZ153:CB153)</f>
        <v>57027551.069924504</v>
      </c>
      <c r="EF153" s="187">
        <f>SUM(CC153:CE153)</f>
        <v>69915272.496513218</v>
      </c>
      <c r="EG153" s="187">
        <f>SUM(CF153:CH153)</f>
        <v>53500867.248978585</v>
      </c>
      <c r="EH153" s="187">
        <f>SUM(CI153:CK153)</f>
        <v>45963296.89539545</v>
      </c>
      <c r="EI153" s="187">
        <f>SUM(CL153:CN153)</f>
        <v>70346997.144307941</v>
      </c>
      <c r="EJ153" s="187">
        <f>SUM(CO153:CQ153)</f>
        <v>71433905.734454259</v>
      </c>
      <c r="EK153" s="187">
        <f>SUM(CR153:CT153)</f>
        <v>81131662.4896117</v>
      </c>
      <c r="EL153" s="187">
        <f>SUM(CU153:CW153)</f>
        <v>100154999.83195011</v>
      </c>
      <c r="EM153" s="187">
        <f>SUM(CX153:CZ153)</f>
        <v>86830285.914693415</v>
      </c>
      <c r="EN153" s="187">
        <f>SUM(DA153:DC153)</f>
        <v>88092336.141563579</v>
      </c>
      <c r="EO153" s="649">
        <f>SUM(DD153:DF153)</f>
        <v>99505693.661813796</v>
      </c>
      <c r="EP153" s="187">
        <f>SUM(DG153:DI153)</f>
        <v>121594402.34106961</v>
      </c>
      <c r="EQ153" s="187">
        <f t="shared" ref="EQ153" si="533">SUM(DJ153:DL153)</f>
        <v>107691543.52625769</v>
      </c>
      <c r="ER153" s="187">
        <f t="shared" ref="ER153" si="534">SUM(DM153:DO153)</f>
        <v>109169835.61008289</v>
      </c>
      <c r="ES153" s="187">
        <f t="shared" ref="ES153" si="535">SUM(DP153:DR153)</f>
        <v>122714096.85042295</v>
      </c>
      <c r="ET153" s="187">
        <f t="shared" ref="ET153" si="536">SUM(DS153:DU153)</f>
        <v>148587522.873604</v>
      </c>
      <c r="EV153" s="187">
        <f>SUM(DW153:DZ153)</f>
        <v>-32572080.677607995</v>
      </c>
      <c r="EW153" s="187">
        <f>SUM(EA153:ED153)</f>
        <v>152055878.81379029</v>
      </c>
      <c r="EX153" s="187">
        <f>SUM(EE153:EH153)</f>
        <v>226406987.71081176</v>
      </c>
      <c r="EY153" s="187">
        <f>SUM(EI153:EL153)</f>
        <v>323067565.200324</v>
      </c>
      <c r="EZ153" s="187">
        <f>SUM(EM153:EP153)</f>
        <v>396022718.05914044</v>
      </c>
      <c r="FA153" s="187">
        <f t="shared" ref="FA153" si="537">SUM(EQ153:ET153)</f>
        <v>488162998.86036754</v>
      </c>
    </row>
    <row r="154" spans="2:157" x14ac:dyDescent="0.2">
      <c r="B154" s="117" t="s">
        <v>154</v>
      </c>
      <c r="C154" s="133">
        <f>C153/C57</f>
        <v>-0.11630891125475082</v>
      </c>
      <c r="D154" s="133">
        <f t="shared" ref="D154:BO154" si="538">D153/D57</f>
        <v>0.20879268187968869</v>
      </c>
      <c r="E154" s="133">
        <f t="shared" si="538"/>
        <v>0.25034200037405868</v>
      </c>
      <c r="F154" s="133">
        <f t="shared" si="538"/>
        <v>0.17498656276938288</v>
      </c>
      <c r="G154" s="133">
        <f t="shared" si="538"/>
        <v>0.14141318384205173</v>
      </c>
      <c r="H154" s="133">
        <f t="shared" si="538"/>
        <v>0.13085327719491127</v>
      </c>
      <c r="I154" s="133">
        <f t="shared" si="538"/>
        <v>0.14716439315841615</v>
      </c>
      <c r="J154" s="133">
        <f t="shared" si="538"/>
        <v>0.17066456535714342</v>
      </c>
      <c r="K154" s="133">
        <f t="shared" si="538"/>
        <v>8.566737037241294E-2</v>
      </c>
      <c r="L154" s="133">
        <f t="shared" si="538"/>
        <v>0.19066307675936195</v>
      </c>
      <c r="M154" s="133">
        <f t="shared" si="538"/>
        <v>7.6947792838013104E-2</v>
      </c>
      <c r="N154" s="133">
        <f t="shared" si="538"/>
        <v>0.16920182427053321</v>
      </c>
      <c r="O154" s="133">
        <f t="shared" si="538"/>
        <v>4.9495711701170182E-2</v>
      </c>
      <c r="P154" s="133">
        <f t="shared" si="538"/>
        <v>-0.67525260727546277</v>
      </c>
      <c r="Q154" s="133">
        <f t="shared" si="538"/>
        <v>2.8587335096183743E-2</v>
      </c>
      <c r="R154" s="133">
        <f t="shared" si="538"/>
        <v>0.34690902768188336</v>
      </c>
      <c r="S154" s="133">
        <f t="shared" si="538"/>
        <v>9.4805602993851698E-2</v>
      </c>
      <c r="T154" s="133">
        <f t="shared" si="538"/>
        <v>0.1311435221543393</v>
      </c>
      <c r="U154" s="133">
        <f t="shared" si="538"/>
        <v>0.29392761133741868</v>
      </c>
      <c r="V154" s="133">
        <f t="shared" si="538"/>
        <v>0.20071383564842404</v>
      </c>
      <c r="W154" s="133">
        <f t="shared" si="538"/>
        <v>0.14299892564414779</v>
      </c>
      <c r="X154" s="133">
        <f t="shared" si="538"/>
        <v>8.7197822612229914E-2</v>
      </c>
      <c r="Y154" s="133">
        <f t="shared" si="538"/>
        <v>6.2893476884179927E-2</v>
      </c>
      <c r="Z154" s="133">
        <f t="shared" si="538"/>
        <v>9.7202534338189817E-2</v>
      </c>
      <c r="AA154" s="133">
        <f t="shared" si="538"/>
        <v>0.10536331332334571</v>
      </c>
      <c r="AB154" s="133">
        <f t="shared" si="538"/>
        <v>0.15371697937243461</v>
      </c>
      <c r="AC154" s="133">
        <f t="shared" si="538"/>
        <v>0.10375835344065659</v>
      </c>
      <c r="AD154" s="133">
        <f t="shared" si="538"/>
        <v>9.2194642430484842E-3</v>
      </c>
      <c r="AE154" s="133">
        <f t="shared" si="538"/>
        <v>-6.7288718234542036E-2</v>
      </c>
      <c r="AF154" s="133">
        <f t="shared" si="538"/>
        <v>-2.5328940789211964E-2</v>
      </c>
      <c r="AG154" s="133">
        <f t="shared" si="538"/>
        <v>5.2220457254415535E-2</v>
      </c>
      <c r="AH154" s="133">
        <f t="shared" si="538"/>
        <v>3.9395622949215899E-2</v>
      </c>
      <c r="AI154" s="133">
        <f t="shared" si="538"/>
        <v>8.0879818090325239E-2</v>
      </c>
      <c r="AJ154" s="133">
        <f t="shared" si="538"/>
        <v>9.7685136750163187E-2</v>
      </c>
      <c r="AK154" s="133">
        <f t="shared" si="538"/>
        <v>9.9059240898533962E-2</v>
      </c>
      <c r="AL154" s="133">
        <f t="shared" si="538"/>
        <v>9.9168653261487022E-2</v>
      </c>
      <c r="AM154" s="133">
        <f t="shared" si="538"/>
        <v>0.10762534474404306</v>
      </c>
      <c r="AN154" s="133">
        <f t="shared" si="538"/>
        <v>0.12584636365613697</v>
      </c>
      <c r="AO154" s="133">
        <f t="shared" si="538"/>
        <v>8.5585780511205994E-2</v>
      </c>
      <c r="AP154" s="133">
        <f t="shared" si="538"/>
        <v>5.752452923391508E-2</v>
      </c>
      <c r="AQ154" s="133">
        <f t="shared" si="538"/>
        <v>1.9957901275763901E-2</v>
      </c>
      <c r="AR154" s="133">
        <f t="shared" si="538"/>
        <v>4.8684576301982245E-2</v>
      </c>
      <c r="AS154" s="133">
        <f t="shared" si="538"/>
        <v>-6.1239626143265872E-3</v>
      </c>
      <c r="AT154" s="133">
        <f t="shared" si="538"/>
        <v>-6.4464842341463754E-2</v>
      </c>
      <c r="AU154" s="133">
        <f t="shared" si="538"/>
        <v>-4.1586099312847034E-2</v>
      </c>
      <c r="AV154" s="133">
        <f t="shared" si="538"/>
        <v>1.2541354605492843E-2</v>
      </c>
      <c r="AW154" s="133">
        <f t="shared" si="538"/>
        <v>2.720200945564976E-2</v>
      </c>
      <c r="AX154" s="133">
        <f t="shared" si="538"/>
        <v>7.8572361811488686E-3</v>
      </c>
      <c r="AY154" s="133">
        <f t="shared" si="538"/>
        <v>4.5700286749310155E-2</v>
      </c>
      <c r="AZ154" s="133">
        <f t="shared" si="538"/>
        <v>5.3234462366971623E-2</v>
      </c>
      <c r="BA154" s="133">
        <f t="shared" si="538"/>
        <v>1.7402410290873825E-2</v>
      </c>
      <c r="BB154" s="133">
        <f t="shared" si="538"/>
        <v>-4.3589541896547422E-2</v>
      </c>
      <c r="BC154" s="133">
        <f t="shared" si="538"/>
        <v>-3.3091502848557282E-2</v>
      </c>
      <c r="BD154" s="133">
        <f t="shared" si="538"/>
        <v>6.0775799427297785E-6</v>
      </c>
      <c r="BE154" s="133">
        <f t="shared" si="538"/>
        <v>-5.3334994171916658E-2</v>
      </c>
      <c r="BF154" s="133">
        <f t="shared" si="538"/>
        <v>-2.6747072051922862E-2</v>
      </c>
      <c r="BG154" s="133">
        <f t="shared" si="538"/>
        <v>-6.0815654999371374E-2</v>
      </c>
      <c r="BH154" s="133">
        <f t="shared" si="538"/>
        <v>-3.2861087641547396E-2</v>
      </c>
      <c r="BI154" s="133">
        <f t="shared" si="538"/>
        <v>-1.2017030826176287E-2</v>
      </c>
      <c r="BJ154" s="133">
        <f t="shared" si="538"/>
        <v>1.5169101665265061E-2</v>
      </c>
      <c r="BK154" s="133">
        <f t="shared" si="538"/>
        <v>1.735625712232336E-2</v>
      </c>
      <c r="BL154" s="133">
        <f t="shared" si="538"/>
        <v>-1.7872891928480676E-2</v>
      </c>
      <c r="BM154" s="133">
        <f t="shared" si="538"/>
        <v>4.1344843909097845E-2</v>
      </c>
      <c r="BN154" s="133">
        <f t="shared" si="538"/>
        <v>1.4814807341482321E-2</v>
      </c>
      <c r="BO154" s="133">
        <f t="shared" si="538"/>
        <v>1.6634443621615431E-2</v>
      </c>
      <c r="BP154" s="133">
        <f t="shared" ref="BP154:DI154" si="539">BP153/BP57</f>
        <v>3.3062535854983345E-2</v>
      </c>
      <c r="BQ154" s="133">
        <f t="shared" si="539"/>
        <v>3.1504881934772966E-2</v>
      </c>
      <c r="BR154" s="133">
        <f t="shared" si="539"/>
        <v>3.7187654007956379E-2</v>
      </c>
      <c r="BS154" s="133">
        <f t="shared" si="539"/>
        <v>6.1381176466101292E-2</v>
      </c>
      <c r="BT154" s="133">
        <f t="shared" si="539"/>
        <v>8.2009321944668617E-2</v>
      </c>
      <c r="BU154" s="133">
        <f t="shared" si="539"/>
        <v>5.9570991793075727E-2</v>
      </c>
      <c r="BV154" s="133">
        <f t="shared" si="539"/>
        <v>5.6255745819687876E-2</v>
      </c>
      <c r="BW154" s="133">
        <f t="shared" si="539"/>
        <v>6.5491825186407199E-2</v>
      </c>
      <c r="BX154" s="133">
        <f t="shared" si="539"/>
        <v>6.0667251050767451E-2</v>
      </c>
      <c r="BY154" s="133">
        <f t="shared" si="539"/>
        <v>7.1376717181480795E-2</v>
      </c>
      <c r="BZ154" s="133">
        <f t="shared" si="539"/>
        <v>5.8655049433468227E-2</v>
      </c>
      <c r="CA154" s="133">
        <f t="shared" si="539"/>
        <v>6.1312735981631283E-2</v>
      </c>
      <c r="CB154" s="133">
        <f t="shared" si="539"/>
        <v>6.1040644034627362E-2</v>
      </c>
      <c r="CC154" s="133">
        <f t="shared" si="539"/>
        <v>7.0774051386783082E-2</v>
      </c>
      <c r="CD154" s="133">
        <f t="shared" si="539"/>
        <v>7.6194051015765166E-2</v>
      </c>
      <c r="CE154" s="133">
        <f t="shared" si="539"/>
        <v>6.6155043649216774E-2</v>
      </c>
      <c r="CF154" s="133">
        <f t="shared" si="539"/>
        <v>5.4646320973805E-2</v>
      </c>
      <c r="CG154" s="133">
        <f t="shared" si="539"/>
        <v>5.196648018267197E-2</v>
      </c>
      <c r="CH154" s="133">
        <f t="shared" si="539"/>
        <v>5.2237490915723002E-2</v>
      </c>
      <c r="CI154" s="133">
        <f t="shared" si="539"/>
        <v>4.8079413461757023E-2</v>
      </c>
      <c r="CJ154" s="133">
        <f t="shared" si="539"/>
        <v>3.1581217528467487E-2</v>
      </c>
      <c r="CK154" s="133">
        <f t="shared" si="539"/>
        <v>3.7034298660696095E-2</v>
      </c>
      <c r="CL154" s="133">
        <f t="shared" si="539"/>
        <v>6.1150358618644034E-2</v>
      </c>
      <c r="CM154" s="133">
        <f t="shared" si="539"/>
        <v>6.1609623030811987E-2</v>
      </c>
      <c r="CN154" s="133">
        <f t="shared" si="539"/>
        <v>6.1577317983692703E-2</v>
      </c>
      <c r="CO154" s="133">
        <f t="shared" si="539"/>
        <v>6.2248769005712502E-2</v>
      </c>
      <c r="CP154" s="133">
        <f t="shared" si="539"/>
        <v>5.9524083700149097E-2</v>
      </c>
      <c r="CQ154" s="133">
        <f t="shared" si="539"/>
        <v>6.3577833674984499E-2</v>
      </c>
      <c r="CR154" s="133">
        <f t="shared" si="539"/>
        <v>6.1172544625874049E-2</v>
      </c>
      <c r="CS154" s="133">
        <f t="shared" si="539"/>
        <v>6.1279159449920469E-2</v>
      </c>
      <c r="CT154" s="133">
        <f t="shared" si="539"/>
        <v>6.9703855173719964E-2</v>
      </c>
      <c r="CU154" s="133">
        <f t="shared" si="539"/>
        <v>7.2367026880139365E-2</v>
      </c>
      <c r="CV154" s="133">
        <f t="shared" si="539"/>
        <v>6.6647111882525853E-2</v>
      </c>
      <c r="CW154" s="133">
        <f t="shared" si="539"/>
        <v>6.9636671582824355E-2</v>
      </c>
      <c r="CX154" s="133">
        <f t="shared" si="539"/>
        <v>6.3765182978907098E-2</v>
      </c>
      <c r="CY154" s="133">
        <f t="shared" si="539"/>
        <v>6.4176892748102371E-2</v>
      </c>
      <c r="CZ154" s="133">
        <f t="shared" si="539"/>
        <v>6.4147932734783544E-2</v>
      </c>
      <c r="DA154" s="133">
        <f t="shared" si="539"/>
        <v>6.4749858200762664E-2</v>
      </c>
      <c r="DB154" s="133">
        <f t="shared" si="539"/>
        <v>6.2307301084289293E-2</v>
      </c>
      <c r="DC154" s="133">
        <f t="shared" si="539"/>
        <v>6.5941304552220498E-2</v>
      </c>
      <c r="DD154" s="133">
        <f t="shared" si="539"/>
        <v>6.3796856929525095E-2</v>
      </c>
      <c r="DE154" s="133">
        <f t="shared" si="539"/>
        <v>6.3892404718822862E-2</v>
      </c>
      <c r="DF154" s="133">
        <f t="shared" si="539"/>
        <v>7.1442584153222896E-2</v>
      </c>
      <c r="DG154" s="133">
        <f t="shared" si="539"/>
        <v>7.382930824478591E-2</v>
      </c>
      <c r="DH154" s="133">
        <f t="shared" si="539"/>
        <v>6.870314274310535E-2</v>
      </c>
      <c r="DI154" s="133">
        <f t="shared" si="539"/>
        <v>7.1382374481213026E-2</v>
      </c>
      <c r="DJ154" s="133">
        <f t="shared" ref="DJ154:DU154" si="540">DJ153/DJ57</f>
        <v>6.6806382158393463E-2</v>
      </c>
      <c r="DK154" s="133">
        <f t="shared" si="540"/>
        <v>6.7175741218785529E-2</v>
      </c>
      <c r="DL154" s="133">
        <f t="shared" si="540"/>
        <v>6.7149760190136923E-2</v>
      </c>
      <c r="DM154" s="133">
        <f t="shared" si="540"/>
        <v>6.7689768324931926E-2</v>
      </c>
      <c r="DN154" s="133">
        <f t="shared" si="540"/>
        <v>6.5498465934275427E-2</v>
      </c>
      <c r="DO154" s="133">
        <f t="shared" si="540"/>
        <v>6.875865601672021E-2</v>
      </c>
      <c r="DP154" s="133">
        <f t="shared" si="540"/>
        <v>6.6845954782482092E-2</v>
      </c>
      <c r="DQ154" s="133">
        <f t="shared" si="540"/>
        <v>6.6931647898867352E-2</v>
      </c>
      <c r="DR154" s="133">
        <f t="shared" si="540"/>
        <v>7.3703111788897199E-2</v>
      </c>
      <c r="DS154" s="133">
        <f t="shared" si="540"/>
        <v>7.5843672306948967E-2</v>
      </c>
      <c r="DT154" s="133">
        <f t="shared" si="540"/>
        <v>7.1246212751114812E-2</v>
      </c>
      <c r="DU154" s="133">
        <f t="shared" si="540"/>
        <v>7.364911206301171E-2</v>
      </c>
      <c r="DW154" s="133">
        <f t="shared" ref="DW154:FA154" si="541">DW153/DW57</f>
        <v>-2.455839112034466E-2</v>
      </c>
      <c r="DX154" s="657">
        <f t="shared" si="541"/>
        <v>-4.7215397881742824E-2</v>
      </c>
      <c r="DY154" s="133">
        <f t="shared" si="541"/>
        <v>-1.2378454843556668E-2</v>
      </c>
      <c r="DZ154" s="133">
        <f t="shared" si="541"/>
        <v>1.7026671724481232E-2</v>
      </c>
      <c r="EA154" s="133">
        <f t="shared" si="541"/>
        <v>2.1833051343473863E-2</v>
      </c>
      <c r="EB154" s="133">
        <f t="shared" si="541"/>
        <v>4.3343806221659419E-2</v>
      </c>
      <c r="EC154" s="133">
        <f t="shared" si="541"/>
        <v>6.6065436825489057E-2</v>
      </c>
      <c r="ED154" s="133">
        <f t="shared" si="541"/>
        <v>6.6397282709984823E-2</v>
      </c>
      <c r="EE154" s="133">
        <f t="shared" si="541"/>
        <v>6.0337970279512661E-2</v>
      </c>
      <c r="EF154" s="133">
        <f t="shared" si="541"/>
        <v>7.0630743700820092E-2</v>
      </c>
      <c r="EG154" s="133">
        <f t="shared" si="541"/>
        <v>5.2909469955810029E-2</v>
      </c>
      <c r="EH154" s="133">
        <f t="shared" si="541"/>
        <v>3.9439661192466273E-2</v>
      </c>
      <c r="EI154" s="133">
        <f t="shared" si="541"/>
        <v>6.1446730731817903E-2</v>
      </c>
      <c r="EJ154" s="133">
        <f t="shared" si="541"/>
        <v>6.1846009121360075E-2</v>
      </c>
      <c r="EK154" s="133">
        <f t="shared" si="541"/>
        <v>6.445264045268112E-2</v>
      </c>
      <c r="EL154" s="133">
        <f t="shared" si="541"/>
        <v>6.9696794678080071E-2</v>
      </c>
      <c r="EM154" s="133">
        <f t="shared" si="541"/>
        <v>6.4030867171015013E-2</v>
      </c>
      <c r="EN154" s="133">
        <f t="shared" si="541"/>
        <v>6.4388802184588576E-2</v>
      </c>
      <c r="EO154" s="648">
        <f t="shared" si="541"/>
        <v>6.6736466010534096E-2</v>
      </c>
      <c r="EP154" s="133">
        <f t="shared" si="541"/>
        <v>7.1436256564580178E-2</v>
      </c>
      <c r="EQ154" s="133">
        <f t="shared" si="541"/>
        <v>6.7044736627731943E-2</v>
      </c>
      <c r="ER154" s="133">
        <f t="shared" si="541"/>
        <v>6.7365852496693038E-2</v>
      </c>
      <c r="ES154" s="133">
        <f t="shared" si="541"/>
        <v>6.9482376461702453E-2</v>
      </c>
      <c r="ET154" s="133">
        <f t="shared" si="541"/>
        <v>7.3697436819397916E-2</v>
      </c>
      <c r="EU154" s="638"/>
      <c r="EV154" s="133">
        <f t="shared" si="541"/>
        <v>-1.5001271784621009E-2</v>
      </c>
      <c r="EW154" s="133">
        <f t="shared" si="541"/>
        <v>5.1434832438973073E-2</v>
      </c>
      <c r="EX154" s="133">
        <f t="shared" si="541"/>
        <v>5.5065539710231606E-2</v>
      </c>
      <c r="EY154" s="133">
        <f t="shared" si="541"/>
        <v>6.4669602170503174E-2</v>
      </c>
      <c r="EZ154" s="133">
        <f t="shared" si="541"/>
        <v>6.6925537185165113E-2</v>
      </c>
      <c r="FA154" s="133">
        <f t="shared" si="541"/>
        <v>6.9646862818853558E-2</v>
      </c>
    </row>
    <row r="155" spans="2:157" x14ac:dyDescent="0.2">
      <c r="B155" s="117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  <c r="BP155" s="115"/>
      <c r="BQ155" s="115"/>
      <c r="BR155" s="115"/>
      <c r="BS155" s="115"/>
      <c r="BT155" s="115"/>
      <c r="BU155" s="115"/>
      <c r="BV155" s="115"/>
      <c r="BW155" s="115"/>
      <c r="BX155" s="115"/>
      <c r="BY155" s="115"/>
      <c r="BZ155" s="115"/>
      <c r="CA155" s="115"/>
      <c r="CB155" s="115"/>
      <c r="CC155" s="115"/>
      <c r="CD155" s="115"/>
      <c r="CE155" s="115"/>
      <c r="CF155" s="115"/>
      <c r="CG155" s="115"/>
      <c r="CH155" s="115"/>
      <c r="CI155" s="115"/>
      <c r="CJ155" s="115"/>
      <c r="CK155" s="115"/>
      <c r="CL155" s="115"/>
      <c r="CM155" s="115"/>
      <c r="CN155" s="115"/>
      <c r="CO155" s="115"/>
      <c r="CP155" s="115"/>
      <c r="CQ155" s="115"/>
      <c r="CR155" s="115"/>
      <c r="CS155" s="115"/>
      <c r="CT155" s="115"/>
      <c r="CU155" s="115"/>
      <c r="CV155" s="115"/>
      <c r="CW155" s="115"/>
      <c r="CX155" s="115"/>
      <c r="CY155" s="115"/>
      <c r="CZ155" s="115"/>
      <c r="DA155" s="115"/>
      <c r="DB155" s="115"/>
      <c r="DC155" s="115"/>
      <c r="DD155" s="115"/>
      <c r="DE155" s="115"/>
      <c r="DF155" s="115"/>
      <c r="DG155" s="115"/>
      <c r="DH155" s="115"/>
      <c r="DI155" s="115"/>
      <c r="DJ155" s="115"/>
      <c r="DK155" s="115"/>
      <c r="DL155" s="115"/>
      <c r="DM155" s="115"/>
      <c r="DN155" s="115"/>
      <c r="DO155" s="115"/>
      <c r="DP155" s="115"/>
      <c r="DQ155" s="115"/>
      <c r="DR155" s="115"/>
      <c r="DS155" s="115"/>
      <c r="DT155" s="115"/>
      <c r="DU155" s="115"/>
      <c r="DW155" s="115"/>
      <c r="DX155" s="664"/>
      <c r="DY155" s="115"/>
      <c r="DZ155" s="115"/>
      <c r="EA155" s="115"/>
      <c r="EB155" s="115"/>
      <c r="EC155" s="115"/>
      <c r="ED155" s="115"/>
      <c r="EE155" s="115"/>
      <c r="EF155" s="115"/>
      <c r="EG155" s="115"/>
      <c r="EH155" s="115"/>
      <c r="EI155" s="115"/>
      <c r="EJ155" s="115"/>
      <c r="EK155" s="115"/>
      <c r="EL155" s="115"/>
      <c r="EM155" s="115"/>
      <c r="EN155" s="115"/>
      <c r="EO155" s="645"/>
      <c r="EP155" s="115"/>
      <c r="EQ155" s="115"/>
      <c r="ER155" s="115"/>
      <c r="ES155" s="115"/>
      <c r="ET155" s="115"/>
      <c r="EV155" s="115"/>
      <c r="EW155" s="115"/>
      <c r="EX155" s="115"/>
      <c r="EY155" s="115"/>
      <c r="EZ155" s="115"/>
      <c r="FA155" s="664"/>
    </row>
    <row r="156" spans="2:157" x14ac:dyDescent="0.2">
      <c r="B156" s="186" t="s">
        <v>60</v>
      </c>
      <c r="C156" s="187">
        <f>SUM(C157:C158)</f>
        <v>0</v>
      </c>
      <c r="D156" s="187">
        <f t="shared" ref="D156:BO156" si="542">SUM(D157:D158)</f>
        <v>0</v>
      </c>
      <c r="E156" s="187">
        <f t="shared" si="542"/>
        <v>0</v>
      </c>
      <c r="F156" s="187">
        <f t="shared" si="542"/>
        <v>0</v>
      </c>
      <c r="G156" s="187">
        <f t="shared" si="542"/>
        <v>0</v>
      </c>
      <c r="H156" s="187">
        <f t="shared" si="542"/>
        <v>0</v>
      </c>
      <c r="I156" s="187">
        <f t="shared" si="542"/>
        <v>0</v>
      </c>
      <c r="J156" s="187">
        <f t="shared" si="542"/>
        <v>0</v>
      </c>
      <c r="K156" s="187">
        <f t="shared" si="542"/>
        <v>0</v>
      </c>
      <c r="L156" s="187">
        <f t="shared" si="542"/>
        <v>0</v>
      </c>
      <c r="M156" s="187">
        <f t="shared" si="542"/>
        <v>0</v>
      </c>
      <c r="N156" s="187">
        <f t="shared" si="542"/>
        <v>0</v>
      </c>
      <c r="O156" s="187">
        <f t="shared" si="542"/>
        <v>0</v>
      </c>
      <c r="P156" s="187">
        <f t="shared" si="542"/>
        <v>0</v>
      </c>
      <c r="Q156" s="187">
        <f t="shared" si="542"/>
        <v>0</v>
      </c>
      <c r="R156" s="187">
        <f t="shared" si="542"/>
        <v>0</v>
      </c>
      <c r="S156" s="187">
        <f t="shared" si="542"/>
        <v>0</v>
      </c>
      <c r="T156" s="187">
        <f t="shared" si="542"/>
        <v>0</v>
      </c>
      <c r="U156" s="187">
        <f t="shared" si="542"/>
        <v>0</v>
      </c>
      <c r="V156" s="187">
        <f t="shared" si="542"/>
        <v>0</v>
      </c>
      <c r="W156" s="187">
        <f t="shared" si="542"/>
        <v>0</v>
      </c>
      <c r="X156" s="187">
        <f t="shared" si="542"/>
        <v>0</v>
      </c>
      <c r="Y156" s="187">
        <f t="shared" si="542"/>
        <v>0</v>
      </c>
      <c r="Z156" s="187">
        <f t="shared" si="542"/>
        <v>0</v>
      </c>
      <c r="AA156" s="187">
        <f t="shared" si="542"/>
        <v>0</v>
      </c>
      <c r="AB156" s="187">
        <f t="shared" si="542"/>
        <v>0</v>
      </c>
      <c r="AC156" s="187">
        <f t="shared" si="542"/>
        <v>0</v>
      </c>
      <c r="AD156" s="187">
        <f t="shared" si="542"/>
        <v>0</v>
      </c>
      <c r="AE156" s="187">
        <f t="shared" si="542"/>
        <v>0</v>
      </c>
      <c r="AF156" s="187">
        <f t="shared" si="542"/>
        <v>0</v>
      </c>
      <c r="AG156" s="187">
        <f t="shared" si="542"/>
        <v>0</v>
      </c>
      <c r="AH156" s="187">
        <f t="shared" si="542"/>
        <v>0</v>
      </c>
      <c r="AI156" s="187">
        <f t="shared" si="542"/>
        <v>0</v>
      </c>
      <c r="AJ156" s="187">
        <f t="shared" si="542"/>
        <v>0</v>
      </c>
      <c r="AK156" s="187">
        <f t="shared" si="542"/>
        <v>0</v>
      </c>
      <c r="AL156" s="187">
        <f t="shared" si="542"/>
        <v>0</v>
      </c>
      <c r="AM156" s="187">
        <f t="shared" si="542"/>
        <v>0</v>
      </c>
      <c r="AN156" s="187">
        <f t="shared" si="542"/>
        <v>0</v>
      </c>
      <c r="AO156" s="187">
        <f t="shared" si="542"/>
        <v>0</v>
      </c>
      <c r="AP156" s="187">
        <f t="shared" si="542"/>
        <v>0</v>
      </c>
      <c r="AQ156" s="187">
        <f t="shared" si="542"/>
        <v>0</v>
      </c>
      <c r="AR156" s="187">
        <f t="shared" si="542"/>
        <v>0</v>
      </c>
      <c r="AS156" s="187">
        <f t="shared" si="542"/>
        <v>0</v>
      </c>
      <c r="AT156" s="187">
        <f t="shared" si="542"/>
        <v>0</v>
      </c>
      <c r="AU156" s="187">
        <f t="shared" si="542"/>
        <v>0</v>
      </c>
      <c r="AV156" s="187">
        <f t="shared" si="542"/>
        <v>0</v>
      </c>
      <c r="AW156" s="187">
        <f t="shared" si="542"/>
        <v>0</v>
      </c>
      <c r="AX156" s="187">
        <f t="shared" si="542"/>
        <v>0</v>
      </c>
      <c r="AY156" s="187">
        <f t="shared" si="542"/>
        <v>0</v>
      </c>
      <c r="AZ156" s="187">
        <f t="shared" si="542"/>
        <v>0</v>
      </c>
      <c r="BA156" s="187">
        <f t="shared" si="542"/>
        <v>0</v>
      </c>
      <c r="BB156" s="187">
        <f t="shared" si="542"/>
        <v>14333025.752235526</v>
      </c>
      <c r="BC156" s="187">
        <f t="shared" si="542"/>
        <v>16000874.055504926</v>
      </c>
      <c r="BD156" s="187">
        <f t="shared" si="542"/>
        <v>17217187.176864438</v>
      </c>
      <c r="BE156" s="187">
        <f t="shared" si="542"/>
        <v>17514222.512494698</v>
      </c>
      <c r="BF156" s="187">
        <f t="shared" si="542"/>
        <v>17861552.325490139</v>
      </c>
      <c r="BG156" s="187">
        <f t="shared" si="542"/>
        <v>18306677.812627513</v>
      </c>
      <c r="BH156" s="187">
        <f t="shared" si="542"/>
        <v>20767192.051864855</v>
      </c>
      <c r="BI156" s="187">
        <f t="shared" si="542"/>
        <v>17020049.248759616</v>
      </c>
      <c r="BJ156" s="187">
        <f t="shared" si="542"/>
        <v>16045559.859791309</v>
      </c>
      <c r="BK156" s="187">
        <f t="shared" si="542"/>
        <v>15302112.292327698</v>
      </c>
      <c r="BL156" s="187">
        <f t="shared" si="542"/>
        <v>14462887.784359023</v>
      </c>
      <c r="BM156" s="187">
        <f t="shared" si="542"/>
        <v>15665614.603062231</v>
      </c>
      <c r="BN156" s="187">
        <f t="shared" si="542"/>
        <v>16560201.992054492</v>
      </c>
      <c r="BO156" s="187">
        <f t="shared" si="542"/>
        <v>16920662.963998392</v>
      </c>
      <c r="BP156" s="187">
        <f t="shared" ref="BP156:CK156" si="543">SUM(BP157:BP158)</f>
        <v>17104832.965620544</v>
      </c>
      <c r="BQ156" s="187">
        <f t="shared" si="543"/>
        <v>17082454.652065694</v>
      </c>
      <c r="BR156" s="187">
        <f t="shared" si="543"/>
        <v>17245895.683288459</v>
      </c>
      <c r="BS156" s="187">
        <f t="shared" si="543"/>
        <v>17066604.912288457</v>
      </c>
      <c r="BT156" s="187">
        <f t="shared" si="543"/>
        <v>18847224.900412876</v>
      </c>
      <c r="BU156" s="187">
        <f t="shared" si="543"/>
        <v>17922777.133214742</v>
      </c>
      <c r="BV156" s="187">
        <f t="shared" si="543"/>
        <v>18568256.289398052</v>
      </c>
      <c r="BW156" s="187">
        <f t="shared" si="543"/>
        <v>18667441.154972121</v>
      </c>
      <c r="BX156" s="187">
        <f t="shared" si="543"/>
        <v>18017947.92284707</v>
      </c>
      <c r="BY156" s="187">
        <f t="shared" si="543"/>
        <v>19855267.054810427</v>
      </c>
      <c r="BZ156" s="187">
        <f t="shared" si="543"/>
        <v>18857991.624262821</v>
      </c>
      <c r="CA156" s="187">
        <f t="shared" si="543"/>
        <v>18747816.609371383</v>
      </c>
      <c r="CB156" s="187">
        <f t="shared" si="543"/>
        <v>18890672.871362187</v>
      </c>
      <c r="CC156" s="187">
        <f t="shared" si="543"/>
        <v>18713076.13543684</v>
      </c>
      <c r="CD156" s="187">
        <f t="shared" si="543"/>
        <v>18638843.445300527</v>
      </c>
      <c r="CE156" s="187">
        <f t="shared" si="543"/>
        <v>19432632.613211539</v>
      </c>
      <c r="CF156" s="187">
        <f t="shared" si="543"/>
        <v>21265540.469968993</v>
      </c>
      <c r="CG156" s="187">
        <f t="shared" si="543"/>
        <v>19432143.347217754</v>
      </c>
      <c r="CH156" s="187">
        <f t="shared" si="543"/>
        <v>19624225.797860842</v>
      </c>
      <c r="CI156" s="187">
        <f t="shared" si="543"/>
        <v>20979080.596401468</v>
      </c>
      <c r="CJ156" s="187">
        <f t="shared" si="543"/>
        <v>20413754.716881871</v>
      </c>
      <c r="CK156" s="187">
        <f t="shared" si="543"/>
        <v>21729984.913168933</v>
      </c>
      <c r="CL156" s="187">
        <f>'P&amp;L - Inputs'!CT318</f>
        <v>22816484.158827379</v>
      </c>
      <c r="CM156" s="187">
        <f>'P&amp;L - Inputs'!CU318</f>
        <v>22816484.158827379</v>
      </c>
      <c r="CN156" s="187">
        <f>'P&amp;L - Inputs'!CV318</f>
        <v>22816484.158827379</v>
      </c>
      <c r="CO156" s="187">
        <f>'P&amp;L - Inputs'!CW318</f>
        <v>22816484.158827379</v>
      </c>
      <c r="CP156" s="187">
        <f>'P&amp;L - Inputs'!CX318</f>
        <v>22816484.158827379</v>
      </c>
      <c r="CQ156" s="187">
        <f>'P&amp;L - Inputs'!CY318</f>
        <v>22816484.158827379</v>
      </c>
      <c r="CR156" s="187">
        <f>'P&amp;L - Inputs'!CZ318</f>
        <v>22816484.158827379</v>
      </c>
      <c r="CS156" s="187">
        <f>'P&amp;L - Inputs'!DA318</f>
        <v>22816484.158827379</v>
      </c>
      <c r="CT156" s="187">
        <f>'P&amp;L - Inputs'!DB318</f>
        <v>22816484.158827379</v>
      </c>
      <c r="CU156" s="187">
        <f>'P&amp;L - Inputs'!DC318</f>
        <v>22816484.158827379</v>
      </c>
      <c r="CV156" s="187">
        <f>'P&amp;L - Inputs'!DD318</f>
        <v>22816484.158827379</v>
      </c>
      <c r="CW156" s="187">
        <f>'P&amp;L - Inputs'!DE318</f>
        <v>22816484.158827379</v>
      </c>
      <c r="CX156" s="187">
        <f>'P&amp;L - Inputs'!DF318</f>
        <v>23957308.366768748</v>
      </c>
      <c r="CY156" s="187">
        <f>'P&amp;L - Inputs'!DG318</f>
        <v>23957308.366768748</v>
      </c>
      <c r="CZ156" s="187">
        <f>'P&amp;L - Inputs'!DH318</f>
        <v>23957308.366768748</v>
      </c>
      <c r="DA156" s="187">
        <f>'P&amp;L - Inputs'!DI318</f>
        <v>23957308.366768748</v>
      </c>
      <c r="DB156" s="187">
        <f>'P&amp;L - Inputs'!DJ318</f>
        <v>23957308.366768748</v>
      </c>
      <c r="DC156" s="187">
        <f>'P&amp;L - Inputs'!DK318</f>
        <v>23957308.366768748</v>
      </c>
      <c r="DD156" s="187">
        <f>'P&amp;L - Inputs'!DL318</f>
        <v>23957308.366768748</v>
      </c>
      <c r="DE156" s="187">
        <f>'P&amp;L - Inputs'!DM318</f>
        <v>23957308.366768748</v>
      </c>
      <c r="DF156" s="187">
        <f>'P&amp;L - Inputs'!DN318</f>
        <v>23957308.366768748</v>
      </c>
      <c r="DG156" s="187">
        <f>'P&amp;L - Inputs'!DO318</f>
        <v>23957308.366768748</v>
      </c>
      <c r="DH156" s="187">
        <f>'P&amp;L - Inputs'!DP318</f>
        <v>23957308.366768748</v>
      </c>
      <c r="DI156" s="187">
        <f>'P&amp;L - Inputs'!DQ318</f>
        <v>23957308.366768748</v>
      </c>
      <c r="DJ156" s="187">
        <f>'P&amp;L - Inputs'!DR318</f>
        <v>25155173.785107184</v>
      </c>
      <c r="DK156" s="187">
        <f>'P&amp;L - Inputs'!DS318</f>
        <v>25155173.785107184</v>
      </c>
      <c r="DL156" s="187">
        <f>'P&amp;L - Inputs'!DT318</f>
        <v>25155173.785107184</v>
      </c>
      <c r="DM156" s="187">
        <f>'P&amp;L - Inputs'!DU318</f>
        <v>25155173.785107184</v>
      </c>
      <c r="DN156" s="187">
        <f>'P&amp;L - Inputs'!DV318</f>
        <v>25155173.785107184</v>
      </c>
      <c r="DO156" s="187">
        <f>'P&amp;L - Inputs'!DW318</f>
        <v>25155173.785107184</v>
      </c>
      <c r="DP156" s="187">
        <f>'P&amp;L - Inputs'!DX318</f>
        <v>25155173.785107184</v>
      </c>
      <c r="DQ156" s="187">
        <f>'P&amp;L - Inputs'!DY318</f>
        <v>25155173.785107184</v>
      </c>
      <c r="DR156" s="187">
        <f>'P&amp;L - Inputs'!DZ318</f>
        <v>25155173.785107184</v>
      </c>
      <c r="DS156" s="187">
        <f>'P&amp;L - Inputs'!EA318</f>
        <v>25155173.785107184</v>
      </c>
      <c r="DT156" s="187">
        <f>'P&amp;L - Inputs'!EB318</f>
        <v>25155173.785107184</v>
      </c>
      <c r="DU156" s="187">
        <f>'P&amp;L - Inputs'!EC318</f>
        <v>25155173.785107184</v>
      </c>
      <c r="DW156" s="187">
        <f>SUM(BB156:BD156)</f>
        <v>47551086.984604888</v>
      </c>
      <c r="DX156" s="667">
        <f>SUM(BE156:BG156)</f>
        <v>53682452.650612354</v>
      </c>
      <c r="DY156" s="187">
        <f>SUM(BH156:BJ156)</f>
        <v>53832801.160415784</v>
      </c>
      <c r="DZ156" s="187">
        <f>SUM(BK156:BM156)</f>
        <v>45430614.679748952</v>
      </c>
      <c r="EA156" s="187">
        <f>SUM(BN156:BP156)</f>
        <v>50585697.921673432</v>
      </c>
      <c r="EB156" s="187">
        <f>SUM(BQ156:BS156)</f>
        <v>51394955.247642606</v>
      </c>
      <c r="EC156" s="187">
        <f>SUM(BT156:BV156)</f>
        <v>55338258.323025666</v>
      </c>
      <c r="ED156" s="187">
        <f>SUM(BW156:BY156)</f>
        <v>56540656.132629618</v>
      </c>
      <c r="EE156" s="187">
        <f>SUM(BZ156:CB156)</f>
        <v>56496481.104996391</v>
      </c>
      <c r="EF156" s="187">
        <f>SUM(CC156:CE156)</f>
        <v>56784552.19394891</v>
      </c>
      <c r="EG156" s="187">
        <f>SUM(CF156:CH156)</f>
        <v>60321909.615047589</v>
      </c>
      <c r="EH156" s="187">
        <f>SUM(CI156:CK156)</f>
        <v>63122820.226452276</v>
      </c>
      <c r="EI156" s="187">
        <f>SUM(CL156:CN156)</f>
        <v>68449452.476482138</v>
      </c>
      <c r="EJ156" s="187">
        <f>SUM(CO156:CQ156)</f>
        <v>68449452.476482138</v>
      </c>
      <c r="EK156" s="187">
        <f>SUM(CR156:CT156)</f>
        <v>68449452.476482138</v>
      </c>
      <c r="EL156" s="187">
        <f>SUM(CU156:CW156)</f>
        <v>68449452.476482138</v>
      </c>
      <c r="EM156" s="187">
        <f>SUM(CX156:CZ156)</f>
        <v>71871925.100306243</v>
      </c>
      <c r="EN156" s="187">
        <f>SUM(DA156:DC156)</f>
        <v>71871925.100306243</v>
      </c>
      <c r="EO156" s="649">
        <f>SUM(DD156:DF156)</f>
        <v>71871925.100306243</v>
      </c>
      <c r="EP156" s="187">
        <f>SUM(DG156:DI156)</f>
        <v>71871925.100306243</v>
      </c>
      <c r="EQ156" s="187">
        <f t="shared" ref="EQ156" si="544">SUM(DJ156:DL156)</f>
        <v>75465521.355321556</v>
      </c>
      <c r="ER156" s="187">
        <f t="shared" ref="ER156" si="545">SUM(DM156:DO156)</f>
        <v>75465521.355321556</v>
      </c>
      <c r="ES156" s="187">
        <f t="shared" ref="ES156" si="546">SUM(DP156:DR156)</f>
        <v>75465521.355321556</v>
      </c>
      <c r="ET156" s="187">
        <f t="shared" ref="ET156" si="547">SUM(DS156:DU156)</f>
        <v>75465521.355321556</v>
      </c>
      <c r="EV156" s="187">
        <f>SUM(DW156:DZ156)</f>
        <v>200496955.47538197</v>
      </c>
      <c r="EW156" s="187">
        <f>SUM(EA156:ED156)</f>
        <v>213859567.62497133</v>
      </c>
      <c r="EX156" s="187">
        <f>SUM(EE156:EH156)</f>
        <v>236725763.14044517</v>
      </c>
      <c r="EY156" s="187">
        <f>SUM(EI156:EL156)</f>
        <v>273797809.90592855</v>
      </c>
      <c r="EZ156" s="187">
        <f>SUM(EM156:EP156)</f>
        <v>287487700.40122497</v>
      </c>
      <c r="FA156" s="187">
        <f t="shared" ref="FA156:FA158" si="548">SUM(EQ156:ET156)</f>
        <v>301862085.42128623</v>
      </c>
    </row>
    <row r="157" spans="2:157" x14ac:dyDescent="0.2">
      <c r="B157" s="114" t="s">
        <v>61</v>
      </c>
      <c r="C157" s="129">
        <f>'P&amp;L - Inputs'!K319</f>
        <v>0</v>
      </c>
      <c r="D157" s="129">
        <f>'P&amp;L - Inputs'!L319</f>
        <v>0</v>
      </c>
      <c r="E157" s="129">
        <f>'P&amp;L - Inputs'!M319</f>
        <v>0</v>
      </c>
      <c r="F157" s="129">
        <f>'P&amp;L - Inputs'!N319</f>
        <v>0</v>
      </c>
      <c r="G157" s="129">
        <f>'P&amp;L - Inputs'!O319</f>
        <v>0</v>
      </c>
      <c r="H157" s="129">
        <f>'P&amp;L - Inputs'!P319</f>
        <v>0</v>
      </c>
      <c r="I157" s="129">
        <f>'P&amp;L - Inputs'!Q319</f>
        <v>0</v>
      </c>
      <c r="J157" s="129">
        <f>'P&amp;L - Inputs'!R319</f>
        <v>0</v>
      </c>
      <c r="K157" s="129">
        <f>'P&amp;L - Inputs'!S319</f>
        <v>0</v>
      </c>
      <c r="L157" s="129">
        <f>'P&amp;L - Inputs'!T319</f>
        <v>0</v>
      </c>
      <c r="M157" s="129">
        <f>'P&amp;L - Inputs'!U319</f>
        <v>0</v>
      </c>
      <c r="N157" s="129">
        <f>'P&amp;L - Inputs'!V319</f>
        <v>0</v>
      </c>
      <c r="O157" s="129">
        <f>'P&amp;L - Inputs'!W319</f>
        <v>0</v>
      </c>
      <c r="P157" s="129">
        <f>'P&amp;L - Inputs'!X319</f>
        <v>0</v>
      </c>
      <c r="Q157" s="129">
        <f>'P&amp;L - Inputs'!Y319</f>
        <v>0</v>
      </c>
      <c r="R157" s="129">
        <f>'P&amp;L - Inputs'!Z319</f>
        <v>0</v>
      </c>
      <c r="S157" s="129">
        <f>'P&amp;L - Inputs'!AA319</f>
        <v>0</v>
      </c>
      <c r="T157" s="129">
        <f>'P&amp;L - Inputs'!AB319</f>
        <v>0</v>
      </c>
      <c r="U157" s="129">
        <f>'P&amp;L - Inputs'!AC319</f>
        <v>0</v>
      </c>
      <c r="V157" s="129">
        <f>'P&amp;L - Inputs'!AD319</f>
        <v>0</v>
      </c>
      <c r="W157" s="129">
        <f>'P&amp;L - Inputs'!AE319</f>
        <v>0</v>
      </c>
      <c r="X157" s="129">
        <f>'P&amp;L - Inputs'!AF319</f>
        <v>0</v>
      </c>
      <c r="Y157" s="129">
        <f>'P&amp;L - Inputs'!AG319</f>
        <v>0</v>
      </c>
      <c r="Z157" s="129">
        <f>'P&amp;L - Inputs'!AH319</f>
        <v>0</v>
      </c>
      <c r="AA157" s="129">
        <f>'P&amp;L - Inputs'!AI319</f>
        <v>0</v>
      </c>
      <c r="AB157" s="129">
        <f>'P&amp;L - Inputs'!AJ319</f>
        <v>0</v>
      </c>
      <c r="AC157" s="129">
        <f>'P&amp;L - Inputs'!AK319</f>
        <v>0</v>
      </c>
      <c r="AD157" s="129">
        <f>'P&amp;L - Inputs'!AL319</f>
        <v>0</v>
      </c>
      <c r="AE157" s="129">
        <f>'P&amp;L - Inputs'!AM319</f>
        <v>0</v>
      </c>
      <c r="AF157" s="129">
        <f>'P&amp;L - Inputs'!AN319</f>
        <v>0</v>
      </c>
      <c r="AG157" s="129">
        <f>'P&amp;L - Inputs'!AO319</f>
        <v>0</v>
      </c>
      <c r="AH157" s="129">
        <f>'P&amp;L - Inputs'!AP319</f>
        <v>0</v>
      </c>
      <c r="AI157" s="129">
        <f>'P&amp;L - Inputs'!AQ319</f>
        <v>0</v>
      </c>
      <c r="AJ157" s="129">
        <f>'P&amp;L - Inputs'!AR319</f>
        <v>0</v>
      </c>
      <c r="AK157" s="129">
        <f>'P&amp;L - Inputs'!AS319</f>
        <v>0</v>
      </c>
      <c r="AL157" s="129">
        <f>'P&amp;L - Inputs'!AT319</f>
        <v>0</v>
      </c>
      <c r="AM157" s="129">
        <f>'P&amp;L - Inputs'!AU319</f>
        <v>0</v>
      </c>
      <c r="AN157" s="129">
        <f>'P&amp;L - Inputs'!AV319</f>
        <v>0</v>
      </c>
      <c r="AO157" s="129">
        <f>'P&amp;L - Inputs'!AW319</f>
        <v>0</v>
      </c>
      <c r="AP157" s="129">
        <f>'P&amp;L - Inputs'!AX319</f>
        <v>0</v>
      </c>
      <c r="AQ157" s="129">
        <f>'P&amp;L - Inputs'!AY319</f>
        <v>0</v>
      </c>
      <c r="AR157" s="129">
        <f>'P&amp;L - Inputs'!AZ319</f>
        <v>0</v>
      </c>
      <c r="AS157" s="129">
        <f>'P&amp;L - Inputs'!BA319</f>
        <v>0</v>
      </c>
      <c r="AT157" s="129">
        <f>'P&amp;L - Inputs'!BB319</f>
        <v>0</v>
      </c>
      <c r="AU157" s="129">
        <f>'P&amp;L - Inputs'!BC319</f>
        <v>0</v>
      </c>
      <c r="AV157" s="129">
        <f>'P&amp;L - Inputs'!BD319</f>
        <v>0</v>
      </c>
      <c r="AW157" s="129">
        <f>'P&amp;L - Inputs'!BE319</f>
        <v>0</v>
      </c>
      <c r="AX157" s="129">
        <f>'P&amp;L - Inputs'!BF319</f>
        <v>0</v>
      </c>
      <c r="AY157" s="129">
        <f>'P&amp;L - Inputs'!BG319</f>
        <v>0</v>
      </c>
      <c r="AZ157" s="129">
        <f>'P&amp;L - Inputs'!BH319</f>
        <v>0</v>
      </c>
      <c r="BA157" s="129">
        <f>'P&amp;L - Inputs'!BI319</f>
        <v>0</v>
      </c>
      <c r="BB157" s="129">
        <f>'P&amp;L - Inputs'!BJ319</f>
        <v>8506590.6389999185</v>
      </c>
      <c r="BC157" s="129">
        <f>'P&amp;L - Inputs'!BK319</f>
        <v>9297344.0684801321</v>
      </c>
      <c r="BD157" s="129">
        <f>'P&amp;L - Inputs'!BL319</f>
        <v>9697697.2894246913</v>
      </c>
      <c r="BE157" s="129">
        <f>'P&amp;L - Inputs'!BM319</f>
        <v>10108132.592909822</v>
      </c>
      <c r="BF157" s="129">
        <f>'P&amp;L - Inputs'!BN319</f>
        <v>10058844.777855353</v>
      </c>
      <c r="BG157" s="129">
        <f>'P&amp;L - Inputs'!BO319</f>
        <v>10380279.474944286</v>
      </c>
      <c r="BH157" s="129">
        <f>'P&amp;L - Inputs'!BP319</f>
        <v>11530720.183650283</v>
      </c>
      <c r="BI157" s="129">
        <f>'P&amp;L - Inputs'!BQ319</f>
        <v>8479036.413798077</v>
      </c>
      <c r="BJ157" s="129">
        <f>'P&amp;L - Inputs'!BR319</f>
        <v>8149860.6222467488</v>
      </c>
      <c r="BK157" s="129">
        <f>'P&amp;L - Inputs'!BS319</f>
        <v>7509747.9416001337</v>
      </c>
      <c r="BL157" s="129">
        <f>'P&amp;L - Inputs'!BT319</f>
        <v>7164985.4308359241</v>
      </c>
      <c r="BM157" s="129">
        <f>'P&amp;L - Inputs'!BU319</f>
        <v>7532717.8436663998</v>
      </c>
      <c r="BN157" s="129">
        <f>'P&amp;L - Inputs'!BV319</f>
        <v>7471982.7186663998</v>
      </c>
      <c r="BO157" s="129">
        <f>'P&amp;L - Inputs'!BW319</f>
        <v>8141671.491479164</v>
      </c>
      <c r="BP157" s="129">
        <f>'P&amp;L - Inputs'!BX319</f>
        <v>8296095.5118144555</v>
      </c>
      <c r="BQ157" s="129">
        <f>'P&amp;L - Inputs'!BY319</f>
        <v>8207153.3165416569</v>
      </c>
      <c r="BR157" s="129">
        <f>'P&amp;L - Inputs'!BZ319</f>
        <v>8191353.2230608957</v>
      </c>
      <c r="BS157" s="129">
        <f>'P&amp;L - Inputs'!CA319</f>
        <v>8315518.3767580083</v>
      </c>
      <c r="BT157" s="129">
        <f>'P&amp;L - Inputs'!CB319</f>
        <v>8429013.8408843949</v>
      </c>
      <c r="BU157" s="129">
        <f>'P&amp;L - Inputs'!CC319</f>
        <v>8459551.5365624987</v>
      </c>
      <c r="BV157" s="129">
        <f>'P&amp;L - Inputs'!CD319</f>
        <v>9078027.5997309238</v>
      </c>
      <c r="BW157" s="129">
        <f>'P&amp;L - Inputs'!CE319</f>
        <v>8660010.8658722993</v>
      </c>
      <c r="BX157" s="129">
        <f>'P&amp;L - Inputs'!CF319</f>
        <v>8389614.7459228486</v>
      </c>
      <c r="BY157" s="129">
        <f>'P&amp;L - Inputs'!CG319</f>
        <v>9129283.2745387629</v>
      </c>
      <c r="BZ157" s="129">
        <f>'P&amp;L - Inputs'!CH319</f>
        <v>8980204.1781570502</v>
      </c>
      <c r="CA157" s="129">
        <f>'P&amp;L - Inputs'!CI319</f>
        <v>9426000.9354880005</v>
      </c>
      <c r="CB157" s="129">
        <f>'P&amp;L - Inputs'!CJ319</f>
        <v>9336751.3686218001</v>
      </c>
      <c r="CC157" s="129">
        <f>'P&amp;L - Inputs'!CK319</f>
        <v>9232788.761398375</v>
      </c>
      <c r="CD157" s="129">
        <f>'P&amp;L - Inputs'!CL319</f>
        <v>9437244.8690772317</v>
      </c>
      <c r="CE157" s="129">
        <f>'P&amp;L - Inputs'!CM319</f>
        <v>9373747.661858974</v>
      </c>
      <c r="CF157" s="129">
        <f>'P&amp;L - Inputs'!CN319</f>
        <v>10144311.752132449</v>
      </c>
      <c r="CG157" s="129">
        <f>'P&amp;L - Inputs'!CO319</f>
        <v>9614669.3259677496</v>
      </c>
      <c r="CH157" s="129">
        <f>'P&amp;L - Inputs'!CP319</f>
        <v>9417995.9414257649</v>
      </c>
      <c r="CI157" s="129">
        <f>'P&amp;L - Inputs'!CQ319</f>
        <v>10307878.442782775</v>
      </c>
      <c r="CJ157" s="129">
        <f>'P&amp;L - Inputs'!CR319</f>
        <v>10261567.617843406</v>
      </c>
      <c r="CK157" s="129">
        <f>'P&amp;L - Inputs'!CS319</f>
        <v>10407942.3105247</v>
      </c>
      <c r="CL157" s="129">
        <f>CK157/CK156*CL156</f>
        <v>10928339.426050935</v>
      </c>
      <c r="CM157" s="129">
        <f t="shared" ref="CM157:DI157" si="549">CL157/CL156*CM156</f>
        <v>10928339.426050935</v>
      </c>
      <c r="CN157" s="129">
        <f t="shared" si="549"/>
        <v>10928339.426050935</v>
      </c>
      <c r="CO157" s="129">
        <f t="shared" si="549"/>
        <v>10928339.426050935</v>
      </c>
      <c r="CP157" s="129">
        <f t="shared" si="549"/>
        <v>10928339.426050935</v>
      </c>
      <c r="CQ157" s="129">
        <f t="shared" si="549"/>
        <v>10928339.426050935</v>
      </c>
      <c r="CR157" s="129">
        <f t="shared" si="549"/>
        <v>10928339.426050935</v>
      </c>
      <c r="CS157" s="129">
        <f t="shared" si="549"/>
        <v>10928339.426050935</v>
      </c>
      <c r="CT157" s="129">
        <f t="shared" si="549"/>
        <v>10928339.426050935</v>
      </c>
      <c r="CU157" s="129">
        <f t="shared" si="549"/>
        <v>10928339.426050935</v>
      </c>
      <c r="CV157" s="129">
        <f t="shared" si="549"/>
        <v>10928339.426050935</v>
      </c>
      <c r="CW157" s="129">
        <f t="shared" si="549"/>
        <v>10928339.426050935</v>
      </c>
      <c r="CX157" s="129">
        <f t="shared" si="549"/>
        <v>11474756.397353482</v>
      </c>
      <c r="CY157" s="129">
        <f t="shared" si="549"/>
        <v>11474756.397353482</v>
      </c>
      <c r="CZ157" s="129">
        <f t="shared" si="549"/>
        <v>11474756.397353482</v>
      </c>
      <c r="DA157" s="129">
        <f t="shared" si="549"/>
        <v>11474756.397353482</v>
      </c>
      <c r="DB157" s="129">
        <f t="shared" si="549"/>
        <v>11474756.397353482</v>
      </c>
      <c r="DC157" s="129">
        <f t="shared" si="549"/>
        <v>11474756.397353482</v>
      </c>
      <c r="DD157" s="129">
        <f t="shared" si="549"/>
        <v>11474756.397353482</v>
      </c>
      <c r="DE157" s="129">
        <f t="shared" si="549"/>
        <v>11474756.397353482</v>
      </c>
      <c r="DF157" s="129">
        <f t="shared" si="549"/>
        <v>11474756.397353482</v>
      </c>
      <c r="DG157" s="129">
        <f t="shared" si="549"/>
        <v>11474756.397353482</v>
      </c>
      <c r="DH157" s="129">
        <f t="shared" si="549"/>
        <v>11474756.397353482</v>
      </c>
      <c r="DI157" s="129">
        <f t="shared" si="549"/>
        <v>11474756.397353482</v>
      </c>
      <c r="DJ157" s="129">
        <f t="shared" ref="DJ157" si="550">DI157/DI156*DJ156</f>
        <v>12048494.217221156</v>
      </c>
      <c r="DK157" s="129">
        <f t="shared" ref="DK157" si="551">DJ157/DJ156*DK156</f>
        <v>12048494.217221156</v>
      </c>
      <c r="DL157" s="129">
        <f t="shared" ref="DL157" si="552">DK157/DK156*DL156</f>
        <v>12048494.217221156</v>
      </c>
      <c r="DM157" s="129">
        <f t="shared" ref="DM157" si="553">DL157/DL156*DM156</f>
        <v>12048494.217221156</v>
      </c>
      <c r="DN157" s="129">
        <f t="shared" ref="DN157" si="554">DM157/DM156*DN156</f>
        <v>12048494.217221156</v>
      </c>
      <c r="DO157" s="129">
        <f t="shared" ref="DO157" si="555">DN157/DN156*DO156</f>
        <v>12048494.217221156</v>
      </c>
      <c r="DP157" s="129">
        <f t="shared" ref="DP157" si="556">DO157/DO156*DP156</f>
        <v>12048494.217221156</v>
      </c>
      <c r="DQ157" s="129">
        <f t="shared" ref="DQ157" si="557">DP157/DP156*DQ156</f>
        <v>12048494.217221156</v>
      </c>
      <c r="DR157" s="129">
        <f t="shared" ref="DR157" si="558">DQ157/DQ156*DR156</f>
        <v>12048494.217221156</v>
      </c>
      <c r="DS157" s="129">
        <f t="shared" ref="DS157" si="559">DR157/DR156*DS156</f>
        <v>12048494.217221156</v>
      </c>
      <c r="DT157" s="129">
        <f t="shared" ref="DT157" si="560">DS157/DS156*DT156</f>
        <v>12048494.217221156</v>
      </c>
      <c r="DU157" s="129">
        <f t="shared" ref="DU157" si="561">DT157/DT156*DU156</f>
        <v>12048494.217221156</v>
      </c>
      <c r="DW157" s="129">
        <f>SUM(BB157:BD157)</f>
        <v>27501631.996904742</v>
      </c>
      <c r="DX157" s="663">
        <f>SUM(BE157:BG157)</f>
        <v>30547256.845709462</v>
      </c>
      <c r="DY157" s="129">
        <f>SUM(BH157:BJ157)</f>
        <v>28159617.21969511</v>
      </c>
      <c r="DZ157" s="129">
        <f>SUM(BK157:BM157)</f>
        <v>22207451.216102459</v>
      </c>
      <c r="EA157" s="129">
        <f>SUM(BN157:BP157)</f>
        <v>23909749.721960019</v>
      </c>
      <c r="EB157" s="129">
        <f>SUM(BQ157:BS157)</f>
        <v>24714024.916360561</v>
      </c>
      <c r="EC157" s="129">
        <f>SUM(BT157:BV157)</f>
        <v>25966592.977177817</v>
      </c>
      <c r="ED157" s="129">
        <f>SUM(BW157:BY157)</f>
        <v>26178908.886333913</v>
      </c>
      <c r="EE157" s="129">
        <f>SUM(BZ157:CB157)</f>
        <v>27742956.482266851</v>
      </c>
      <c r="EF157" s="129">
        <f>SUM(CC157:CE157)</f>
        <v>28043781.292334579</v>
      </c>
      <c r="EG157" s="129">
        <f>SUM(CF157:CH157)</f>
        <v>29176977.01952596</v>
      </c>
      <c r="EH157" s="129">
        <f>SUM(CI157:CK157)</f>
        <v>30977388.371150881</v>
      </c>
      <c r="EI157" s="129">
        <f>SUM(CL157:CN157)</f>
        <v>32785018.278152805</v>
      </c>
      <c r="EJ157" s="129">
        <f>SUM(CO157:CQ157)</f>
        <v>32785018.278152805</v>
      </c>
      <c r="EK157" s="129">
        <f>SUM(CR157:CT157)</f>
        <v>32785018.278152805</v>
      </c>
      <c r="EL157" s="129">
        <f>SUM(CU157:CW157)</f>
        <v>32785018.278152805</v>
      </c>
      <c r="EM157" s="129">
        <f>SUM(CX157:CZ157)</f>
        <v>34424269.192060441</v>
      </c>
      <c r="EN157" s="129">
        <f>SUM(DA157:DC157)</f>
        <v>34424269.192060441</v>
      </c>
      <c r="EO157" s="644">
        <f>SUM(DD157:DF157)</f>
        <v>34424269.192060441</v>
      </c>
      <c r="EP157" s="129">
        <f>SUM(DG157:DI157)</f>
        <v>34424269.192060441</v>
      </c>
      <c r="EQ157" s="129">
        <f t="shared" ref="EQ157:EQ158" si="562">SUM(DJ157:DL157)</f>
        <v>36145482.651663467</v>
      </c>
      <c r="ER157" s="129">
        <f t="shared" ref="ER157:ER158" si="563">SUM(DM157:DO157)</f>
        <v>36145482.651663467</v>
      </c>
      <c r="ES157" s="129">
        <f t="shared" ref="ES157:ES158" si="564">SUM(DP157:DR157)</f>
        <v>36145482.651663467</v>
      </c>
      <c r="ET157" s="129">
        <f t="shared" ref="ET157:ET158" si="565">SUM(DS157:DU157)</f>
        <v>36145482.651663467</v>
      </c>
      <c r="EV157" s="129">
        <f t="shared" ref="EV157:EV158" si="566">SUM(DW157:DZ157)</f>
        <v>108415957.27841178</v>
      </c>
      <c r="EW157" s="129">
        <f t="shared" ref="EW157:EW158" si="567">SUM(EA157:ED157)</f>
        <v>100769276.50183231</v>
      </c>
      <c r="EX157" s="129">
        <f t="shared" ref="EX157:EX158" si="568">SUM(EE157:EH157)</f>
        <v>115941103.16527827</v>
      </c>
      <c r="EY157" s="129">
        <f t="shared" ref="EY157:EY158" si="569">SUM(EI157:EL157)</f>
        <v>131140073.11261122</v>
      </c>
      <c r="EZ157" s="129">
        <f t="shared" ref="EZ157:EZ158" si="570">SUM(EM157:EP157)</f>
        <v>137697076.76824176</v>
      </c>
      <c r="FA157" s="663">
        <f t="shared" si="548"/>
        <v>144581930.60665387</v>
      </c>
    </row>
    <row r="158" spans="2:157" x14ac:dyDescent="0.2">
      <c r="B158" s="114" t="s">
        <v>52</v>
      </c>
      <c r="C158" s="129">
        <f>'P&amp;L - Inputs'!K320</f>
        <v>0</v>
      </c>
      <c r="D158" s="129">
        <f>'P&amp;L - Inputs'!L320</f>
        <v>0</v>
      </c>
      <c r="E158" s="129">
        <f>'P&amp;L - Inputs'!M320</f>
        <v>0</v>
      </c>
      <c r="F158" s="129">
        <f>'P&amp;L - Inputs'!N320</f>
        <v>0</v>
      </c>
      <c r="G158" s="129">
        <f>'P&amp;L - Inputs'!O320</f>
        <v>0</v>
      </c>
      <c r="H158" s="129">
        <f>'P&amp;L - Inputs'!P320</f>
        <v>0</v>
      </c>
      <c r="I158" s="129">
        <f>'P&amp;L - Inputs'!Q320</f>
        <v>0</v>
      </c>
      <c r="J158" s="129">
        <f>'P&amp;L - Inputs'!R320</f>
        <v>0</v>
      </c>
      <c r="K158" s="129">
        <f>'P&amp;L - Inputs'!S320</f>
        <v>0</v>
      </c>
      <c r="L158" s="129">
        <f>'P&amp;L - Inputs'!T320</f>
        <v>0</v>
      </c>
      <c r="M158" s="129">
        <f>'P&amp;L - Inputs'!U320</f>
        <v>0</v>
      </c>
      <c r="N158" s="129">
        <f>'P&amp;L - Inputs'!V320</f>
        <v>0</v>
      </c>
      <c r="O158" s="129">
        <f>'P&amp;L - Inputs'!W320</f>
        <v>0</v>
      </c>
      <c r="P158" s="129">
        <f>'P&amp;L - Inputs'!X320</f>
        <v>0</v>
      </c>
      <c r="Q158" s="129">
        <f>'P&amp;L - Inputs'!Y320</f>
        <v>0</v>
      </c>
      <c r="R158" s="129">
        <f>'P&amp;L - Inputs'!Z320</f>
        <v>0</v>
      </c>
      <c r="S158" s="129">
        <f>'P&amp;L - Inputs'!AA320</f>
        <v>0</v>
      </c>
      <c r="T158" s="129">
        <f>'P&amp;L - Inputs'!AB320</f>
        <v>0</v>
      </c>
      <c r="U158" s="129">
        <f>'P&amp;L - Inputs'!AC320</f>
        <v>0</v>
      </c>
      <c r="V158" s="129">
        <f>'P&amp;L - Inputs'!AD320</f>
        <v>0</v>
      </c>
      <c r="W158" s="129">
        <f>'P&amp;L - Inputs'!AE320</f>
        <v>0</v>
      </c>
      <c r="X158" s="129">
        <f>'P&amp;L - Inputs'!AF320</f>
        <v>0</v>
      </c>
      <c r="Y158" s="129">
        <f>'P&amp;L - Inputs'!AG320</f>
        <v>0</v>
      </c>
      <c r="Z158" s="129">
        <f>'P&amp;L - Inputs'!AH320</f>
        <v>0</v>
      </c>
      <c r="AA158" s="129">
        <f>'P&amp;L - Inputs'!AI320</f>
        <v>0</v>
      </c>
      <c r="AB158" s="129">
        <f>'P&amp;L - Inputs'!AJ320</f>
        <v>0</v>
      </c>
      <c r="AC158" s="129">
        <f>'P&amp;L - Inputs'!AK320</f>
        <v>0</v>
      </c>
      <c r="AD158" s="129">
        <f>'P&amp;L - Inputs'!AL320</f>
        <v>0</v>
      </c>
      <c r="AE158" s="129">
        <f>'P&amp;L - Inputs'!AM320</f>
        <v>0</v>
      </c>
      <c r="AF158" s="129">
        <f>'P&amp;L - Inputs'!AN320</f>
        <v>0</v>
      </c>
      <c r="AG158" s="129">
        <f>'P&amp;L - Inputs'!AO320</f>
        <v>0</v>
      </c>
      <c r="AH158" s="129">
        <f>'P&amp;L - Inputs'!AP320</f>
        <v>0</v>
      </c>
      <c r="AI158" s="129">
        <f>'P&amp;L - Inputs'!AQ320</f>
        <v>0</v>
      </c>
      <c r="AJ158" s="129">
        <f>'P&amp;L - Inputs'!AR320</f>
        <v>0</v>
      </c>
      <c r="AK158" s="129">
        <f>'P&amp;L - Inputs'!AS320</f>
        <v>0</v>
      </c>
      <c r="AL158" s="129">
        <f>'P&amp;L - Inputs'!AT320</f>
        <v>0</v>
      </c>
      <c r="AM158" s="129">
        <f>'P&amp;L - Inputs'!AU320</f>
        <v>0</v>
      </c>
      <c r="AN158" s="129">
        <f>'P&amp;L - Inputs'!AV320</f>
        <v>0</v>
      </c>
      <c r="AO158" s="129">
        <f>'P&amp;L - Inputs'!AW320</f>
        <v>0</v>
      </c>
      <c r="AP158" s="129">
        <f>'P&amp;L - Inputs'!AX320</f>
        <v>0</v>
      </c>
      <c r="AQ158" s="129">
        <f>'P&amp;L - Inputs'!AY320</f>
        <v>0</v>
      </c>
      <c r="AR158" s="129">
        <f>'P&amp;L - Inputs'!AZ320</f>
        <v>0</v>
      </c>
      <c r="AS158" s="129">
        <f>'P&amp;L - Inputs'!BA320</f>
        <v>0</v>
      </c>
      <c r="AT158" s="129">
        <f>'P&amp;L - Inputs'!BB320</f>
        <v>0</v>
      </c>
      <c r="AU158" s="129">
        <f>'P&amp;L - Inputs'!BC320</f>
        <v>0</v>
      </c>
      <c r="AV158" s="129">
        <f>'P&amp;L - Inputs'!BD320</f>
        <v>0</v>
      </c>
      <c r="AW158" s="129">
        <f>'P&amp;L - Inputs'!BE320</f>
        <v>0</v>
      </c>
      <c r="AX158" s="129">
        <f>'P&amp;L - Inputs'!BF320</f>
        <v>0</v>
      </c>
      <c r="AY158" s="129">
        <f>'P&amp;L - Inputs'!BG320</f>
        <v>0</v>
      </c>
      <c r="AZ158" s="129">
        <f>'P&amp;L - Inputs'!BH320</f>
        <v>0</v>
      </c>
      <c r="BA158" s="129">
        <f>'P&amp;L - Inputs'!BI320</f>
        <v>0</v>
      </c>
      <c r="BB158" s="129">
        <f>'P&amp;L - Inputs'!BJ320</f>
        <v>5826435.1132356077</v>
      </c>
      <c r="BC158" s="129">
        <f>'P&amp;L - Inputs'!BK320</f>
        <v>6703529.9870247934</v>
      </c>
      <c r="BD158" s="129">
        <f>'P&amp;L - Inputs'!BL320</f>
        <v>7519489.8874397455</v>
      </c>
      <c r="BE158" s="129">
        <f>'P&amp;L - Inputs'!BM320</f>
        <v>7406089.9195848778</v>
      </c>
      <c r="BF158" s="129">
        <f>'P&amp;L - Inputs'!BN320</f>
        <v>7802707.5476347869</v>
      </c>
      <c r="BG158" s="129">
        <f>'P&amp;L - Inputs'!BO320</f>
        <v>7926398.337683226</v>
      </c>
      <c r="BH158" s="129">
        <f>'P&amp;L - Inputs'!BP320</f>
        <v>9236471.8682145737</v>
      </c>
      <c r="BI158" s="129">
        <f>'P&amp;L - Inputs'!BQ320</f>
        <v>8541012.8349615391</v>
      </c>
      <c r="BJ158" s="129">
        <f>'P&amp;L - Inputs'!BR320</f>
        <v>7895699.2375445599</v>
      </c>
      <c r="BK158" s="129">
        <f>'P&amp;L - Inputs'!BS320</f>
        <v>7792364.3507275647</v>
      </c>
      <c r="BL158" s="129">
        <f>'P&amp;L - Inputs'!BT320</f>
        <v>7297902.3535230989</v>
      </c>
      <c r="BM158" s="129">
        <f>'P&amp;L - Inputs'!BU320</f>
        <v>8132896.7593958313</v>
      </c>
      <c r="BN158" s="129">
        <f>'P&amp;L - Inputs'!BV320</f>
        <v>9088219.2733880915</v>
      </c>
      <c r="BO158" s="129">
        <f>'P&amp;L - Inputs'!BW320</f>
        <v>8778991.4725192282</v>
      </c>
      <c r="BP158" s="129">
        <f>'P&amp;L - Inputs'!BX320</f>
        <v>8808737.4538060892</v>
      </c>
      <c r="BQ158" s="129">
        <f>'P&amp;L - Inputs'!BY320</f>
        <v>8875301.3355240375</v>
      </c>
      <c r="BR158" s="129">
        <f>'P&amp;L - Inputs'!BZ320</f>
        <v>9054542.4602275621</v>
      </c>
      <c r="BS158" s="129">
        <f>'P&amp;L - Inputs'!CA320</f>
        <v>8751086.5355304498</v>
      </c>
      <c r="BT158" s="129">
        <f>'P&amp;L - Inputs'!CB320</f>
        <v>10418211.059528481</v>
      </c>
      <c r="BU158" s="129">
        <f>'P&amp;L - Inputs'!CC320</f>
        <v>9463225.5966522433</v>
      </c>
      <c r="BV158" s="129">
        <f>'P&amp;L - Inputs'!CD320</f>
        <v>9490228.6896671299</v>
      </c>
      <c r="BW158" s="129">
        <f>'P&amp;L - Inputs'!CE320</f>
        <v>10007430.289099822</v>
      </c>
      <c r="BX158" s="129">
        <f>'P&amp;L - Inputs'!CF320</f>
        <v>9628333.1769242231</v>
      </c>
      <c r="BY158" s="129">
        <f>'P&amp;L - Inputs'!CG320</f>
        <v>10725983.780271662</v>
      </c>
      <c r="BZ158" s="129">
        <f>'P&amp;L - Inputs'!CH320</f>
        <v>9877787.4461057708</v>
      </c>
      <c r="CA158" s="129">
        <f>'P&amp;L - Inputs'!CI320</f>
        <v>9321815.6738833822</v>
      </c>
      <c r="CB158" s="129">
        <f>'P&amp;L - Inputs'!CJ320</f>
        <v>9553921.5027403869</v>
      </c>
      <c r="CC158" s="129">
        <f>'P&amp;L - Inputs'!CK320</f>
        <v>9480287.3740384653</v>
      </c>
      <c r="CD158" s="129">
        <f>'P&amp;L - Inputs'!CL320</f>
        <v>9201598.5762232952</v>
      </c>
      <c r="CE158" s="129">
        <f>'P&amp;L - Inputs'!CM320</f>
        <v>10058884.951352565</v>
      </c>
      <c r="CF158" s="129">
        <f>'P&amp;L - Inputs'!CN320</f>
        <v>11121228.717836544</v>
      </c>
      <c r="CG158" s="129">
        <f>'P&amp;L - Inputs'!CO320</f>
        <v>9817474.0212500039</v>
      </c>
      <c r="CH158" s="129">
        <f>'P&amp;L - Inputs'!CP320</f>
        <v>10206229.856435077</v>
      </c>
      <c r="CI158" s="129">
        <f>'P&amp;L - Inputs'!CQ320</f>
        <v>10671202.153618693</v>
      </c>
      <c r="CJ158" s="129">
        <f>'P&amp;L - Inputs'!CR320</f>
        <v>10152187.099038465</v>
      </c>
      <c r="CK158" s="129">
        <f>'P&amp;L - Inputs'!CS320</f>
        <v>11322042.602644233</v>
      </c>
      <c r="CL158" s="129">
        <f>CK158/CK156*CL156</f>
        <v>11888144.732776446</v>
      </c>
      <c r="CM158" s="129">
        <f t="shared" ref="CM158:DI158" si="571">CL158/CL156*CM156</f>
        <v>11888144.732776446</v>
      </c>
      <c r="CN158" s="129">
        <f t="shared" si="571"/>
        <v>11888144.732776446</v>
      </c>
      <c r="CO158" s="129">
        <f t="shared" si="571"/>
        <v>11888144.732776446</v>
      </c>
      <c r="CP158" s="129">
        <f t="shared" si="571"/>
        <v>11888144.732776446</v>
      </c>
      <c r="CQ158" s="129">
        <f t="shared" si="571"/>
        <v>11888144.732776446</v>
      </c>
      <c r="CR158" s="129">
        <f t="shared" si="571"/>
        <v>11888144.732776446</v>
      </c>
      <c r="CS158" s="129">
        <f t="shared" si="571"/>
        <v>11888144.732776446</v>
      </c>
      <c r="CT158" s="129">
        <f t="shared" si="571"/>
        <v>11888144.732776446</v>
      </c>
      <c r="CU158" s="129">
        <f t="shared" si="571"/>
        <v>11888144.732776446</v>
      </c>
      <c r="CV158" s="129">
        <f t="shared" si="571"/>
        <v>11888144.732776446</v>
      </c>
      <c r="CW158" s="129">
        <f t="shared" si="571"/>
        <v>11888144.732776446</v>
      </c>
      <c r="CX158" s="129">
        <f t="shared" si="571"/>
        <v>12482551.969415268</v>
      </c>
      <c r="CY158" s="129">
        <f t="shared" si="571"/>
        <v>12482551.969415268</v>
      </c>
      <c r="CZ158" s="129">
        <f t="shared" si="571"/>
        <v>12482551.969415268</v>
      </c>
      <c r="DA158" s="129">
        <f t="shared" si="571"/>
        <v>12482551.969415268</v>
      </c>
      <c r="DB158" s="129">
        <f t="shared" si="571"/>
        <v>12482551.969415268</v>
      </c>
      <c r="DC158" s="129">
        <f t="shared" si="571"/>
        <v>12482551.969415268</v>
      </c>
      <c r="DD158" s="129">
        <f t="shared" si="571"/>
        <v>12482551.969415268</v>
      </c>
      <c r="DE158" s="129">
        <f t="shared" si="571"/>
        <v>12482551.969415268</v>
      </c>
      <c r="DF158" s="129">
        <f t="shared" si="571"/>
        <v>12482551.969415268</v>
      </c>
      <c r="DG158" s="129">
        <f t="shared" si="571"/>
        <v>12482551.969415268</v>
      </c>
      <c r="DH158" s="129">
        <f t="shared" si="571"/>
        <v>12482551.969415268</v>
      </c>
      <c r="DI158" s="129">
        <f t="shared" si="571"/>
        <v>12482551.969415268</v>
      </c>
      <c r="DJ158" s="129">
        <f t="shared" ref="DJ158" si="572">DI158/DI156*DJ156</f>
        <v>13106679.56788603</v>
      </c>
      <c r="DK158" s="129">
        <f t="shared" ref="DK158" si="573">DJ158/DJ156*DK156</f>
        <v>13106679.56788603</v>
      </c>
      <c r="DL158" s="129">
        <f t="shared" ref="DL158" si="574">DK158/DK156*DL156</f>
        <v>13106679.56788603</v>
      </c>
      <c r="DM158" s="129">
        <f t="shared" ref="DM158" si="575">DL158/DL156*DM156</f>
        <v>13106679.56788603</v>
      </c>
      <c r="DN158" s="129">
        <f t="shared" ref="DN158" si="576">DM158/DM156*DN156</f>
        <v>13106679.56788603</v>
      </c>
      <c r="DO158" s="129">
        <f t="shared" ref="DO158" si="577">DN158/DN156*DO156</f>
        <v>13106679.56788603</v>
      </c>
      <c r="DP158" s="129">
        <f t="shared" ref="DP158" si="578">DO158/DO156*DP156</f>
        <v>13106679.56788603</v>
      </c>
      <c r="DQ158" s="129">
        <f t="shared" ref="DQ158" si="579">DP158/DP156*DQ156</f>
        <v>13106679.56788603</v>
      </c>
      <c r="DR158" s="129">
        <f t="shared" ref="DR158" si="580">DQ158/DQ156*DR156</f>
        <v>13106679.56788603</v>
      </c>
      <c r="DS158" s="129">
        <f t="shared" ref="DS158" si="581">DR158/DR156*DS156</f>
        <v>13106679.56788603</v>
      </c>
      <c r="DT158" s="129">
        <f t="shared" ref="DT158" si="582">DS158/DS156*DT156</f>
        <v>13106679.56788603</v>
      </c>
      <c r="DU158" s="129">
        <f t="shared" ref="DU158" si="583">DT158/DT156*DU156</f>
        <v>13106679.56788603</v>
      </c>
      <c r="DW158" s="129">
        <f>SUM(BB158:BD158)</f>
        <v>20049454.987700146</v>
      </c>
      <c r="DX158" s="663">
        <f>SUM(BE158:BG158)</f>
        <v>23135195.804902893</v>
      </c>
      <c r="DY158" s="129">
        <f>SUM(BH158:BJ158)</f>
        <v>25673183.94072067</v>
      </c>
      <c r="DZ158" s="129">
        <f>SUM(BK158:BM158)</f>
        <v>23223163.463646494</v>
      </c>
      <c r="EA158" s="129">
        <f>SUM(BN158:BP158)</f>
        <v>26675948.199713409</v>
      </c>
      <c r="EB158" s="129">
        <f>SUM(BQ158:BS158)</f>
        <v>26680930.331282049</v>
      </c>
      <c r="EC158" s="129">
        <f>SUM(BT158:BV158)</f>
        <v>29371665.345847853</v>
      </c>
      <c r="ED158" s="129">
        <f>SUM(BW158:BY158)</f>
        <v>30361747.246295705</v>
      </c>
      <c r="EE158" s="129">
        <f>SUM(BZ158:CB158)</f>
        <v>28753524.62272954</v>
      </c>
      <c r="EF158" s="129">
        <f>SUM(CC158:CE158)</f>
        <v>28740770.901614323</v>
      </c>
      <c r="EG158" s="129">
        <f>SUM(CF158:CH158)</f>
        <v>31144932.595521621</v>
      </c>
      <c r="EH158" s="129">
        <f>SUM(CI158:CK158)</f>
        <v>32145431.855301395</v>
      </c>
      <c r="EI158" s="129">
        <f>SUM(CL158:CN158)</f>
        <v>35664434.198329337</v>
      </c>
      <c r="EJ158" s="129">
        <f>SUM(CO158:CQ158)</f>
        <v>35664434.198329337</v>
      </c>
      <c r="EK158" s="129">
        <f>SUM(CR158:CT158)</f>
        <v>35664434.198329337</v>
      </c>
      <c r="EL158" s="129">
        <f>SUM(CU158:CW158)</f>
        <v>35664434.198329337</v>
      </c>
      <c r="EM158" s="129">
        <f>SUM(CX158:CZ158)</f>
        <v>37447655.908245802</v>
      </c>
      <c r="EN158" s="129">
        <f>SUM(DA158:DC158)</f>
        <v>37447655.908245802</v>
      </c>
      <c r="EO158" s="644">
        <f>SUM(DD158:DF158)</f>
        <v>37447655.908245802</v>
      </c>
      <c r="EP158" s="129">
        <f>SUM(DG158:DI158)</f>
        <v>37447655.908245802</v>
      </c>
      <c r="EQ158" s="129">
        <f t="shared" si="562"/>
        <v>39320038.703658089</v>
      </c>
      <c r="ER158" s="129">
        <f t="shared" si="563"/>
        <v>39320038.703658089</v>
      </c>
      <c r="ES158" s="129">
        <f t="shared" si="564"/>
        <v>39320038.703658089</v>
      </c>
      <c r="ET158" s="129">
        <f t="shared" si="565"/>
        <v>39320038.703658089</v>
      </c>
      <c r="EV158" s="129">
        <f t="shared" si="566"/>
        <v>92080998.196970195</v>
      </c>
      <c r="EW158" s="129">
        <f t="shared" si="567"/>
        <v>113090291.12313901</v>
      </c>
      <c r="EX158" s="129">
        <f t="shared" si="568"/>
        <v>120784659.97516687</v>
      </c>
      <c r="EY158" s="129">
        <f t="shared" si="569"/>
        <v>142657736.79331735</v>
      </c>
      <c r="EZ158" s="129">
        <f t="shared" si="570"/>
        <v>149790623.63298321</v>
      </c>
      <c r="FA158" s="663">
        <f t="shared" si="548"/>
        <v>157280154.81463236</v>
      </c>
    </row>
    <row r="159" spans="2:157" x14ac:dyDescent="0.2">
      <c r="B159" s="117" t="s">
        <v>62</v>
      </c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  <c r="BP159" s="115"/>
      <c r="BQ159" s="115"/>
      <c r="BR159" s="115"/>
      <c r="BS159" s="115"/>
      <c r="BT159" s="115"/>
      <c r="BU159" s="115"/>
      <c r="BV159" s="115"/>
      <c r="BW159" s="115"/>
      <c r="BX159" s="115"/>
      <c r="BY159" s="115"/>
      <c r="BZ159" s="115"/>
      <c r="CA159" s="115"/>
      <c r="CB159" s="115"/>
      <c r="CC159" s="115"/>
      <c r="CD159" s="115"/>
      <c r="CE159" s="115"/>
      <c r="CF159" s="115"/>
      <c r="CG159" s="115"/>
      <c r="CH159" s="115"/>
      <c r="CI159" s="115"/>
      <c r="CJ159" s="115"/>
      <c r="CK159" s="115"/>
      <c r="CL159" s="115"/>
      <c r="CM159" s="115"/>
      <c r="CN159" s="115"/>
      <c r="CO159" s="115"/>
      <c r="CP159" s="115"/>
      <c r="CQ159" s="115"/>
      <c r="CR159" s="115"/>
      <c r="CS159" s="115"/>
      <c r="CT159" s="115"/>
      <c r="CU159" s="115"/>
      <c r="CV159" s="115"/>
      <c r="CW159" s="115"/>
      <c r="CX159" s="115"/>
      <c r="CY159" s="115"/>
      <c r="CZ159" s="115"/>
      <c r="DA159" s="115"/>
      <c r="DB159" s="115"/>
      <c r="DC159" s="115"/>
      <c r="DD159" s="115"/>
      <c r="DE159" s="115"/>
      <c r="DF159" s="115"/>
      <c r="DG159" s="115"/>
      <c r="DH159" s="115"/>
      <c r="DI159" s="115"/>
      <c r="DJ159" s="115"/>
      <c r="DK159" s="115"/>
      <c r="DL159" s="115"/>
      <c r="DM159" s="115"/>
      <c r="DN159" s="115"/>
      <c r="DO159" s="115"/>
      <c r="DP159" s="115"/>
      <c r="DQ159" s="115"/>
      <c r="DR159" s="115"/>
      <c r="DS159" s="115"/>
      <c r="DT159" s="115"/>
      <c r="DU159" s="115"/>
      <c r="DW159" s="115"/>
      <c r="DX159" s="664"/>
      <c r="DY159" s="115"/>
      <c r="DZ159" s="115"/>
      <c r="EA159" s="115"/>
      <c r="EB159" s="115"/>
      <c r="EC159" s="115"/>
      <c r="ED159" s="115"/>
      <c r="EE159" s="115"/>
      <c r="EF159" s="115"/>
      <c r="EG159" s="115"/>
      <c r="EH159" s="115"/>
      <c r="EI159" s="115"/>
      <c r="EJ159" s="115"/>
      <c r="EK159" s="115"/>
      <c r="EL159" s="115"/>
      <c r="EM159" s="115"/>
      <c r="EN159" s="115"/>
      <c r="EO159" s="645"/>
      <c r="EP159" s="115"/>
      <c r="EQ159" s="115"/>
      <c r="ER159" s="115"/>
      <c r="ES159" s="115"/>
      <c r="ET159" s="115"/>
      <c r="EV159" s="115"/>
      <c r="EW159" s="115"/>
      <c r="EX159" s="115"/>
      <c r="EY159" s="115"/>
      <c r="EZ159" s="115"/>
      <c r="FA159" s="664"/>
    </row>
    <row r="160" spans="2:157" x14ac:dyDescent="0.2">
      <c r="B160" s="117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  <c r="BP160" s="115"/>
      <c r="BQ160" s="115"/>
      <c r="BR160" s="115"/>
      <c r="BS160" s="115"/>
      <c r="BT160" s="115"/>
      <c r="BU160" s="115"/>
      <c r="BV160" s="115"/>
      <c r="BW160" s="115"/>
      <c r="BX160" s="115"/>
      <c r="BY160" s="115"/>
      <c r="BZ160" s="115"/>
      <c r="CA160" s="115"/>
      <c r="CB160" s="115"/>
      <c r="CC160" s="115"/>
      <c r="CD160" s="115"/>
      <c r="CE160" s="115"/>
      <c r="CF160" s="115"/>
      <c r="CG160" s="115"/>
      <c r="CH160" s="115"/>
      <c r="CI160" s="115"/>
      <c r="CJ160" s="115"/>
      <c r="CK160" s="115"/>
      <c r="CL160" s="115"/>
      <c r="CM160" s="115"/>
      <c r="CN160" s="115"/>
      <c r="CO160" s="115"/>
      <c r="CP160" s="115"/>
      <c r="CQ160" s="115"/>
      <c r="CR160" s="115"/>
      <c r="CS160" s="115"/>
      <c r="CT160" s="115"/>
      <c r="CU160" s="115"/>
      <c r="CV160" s="115"/>
      <c r="CW160" s="115"/>
      <c r="CX160" s="115"/>
      <c r="CY160" s="115"/>
      <c r="CZ160" s="115"/>
      <c r="DA160" s="115"/>
      <c r="DB160" s="115"/>
      <c r="DC160" s="115"/>
      <c r="DD160" s="115"/>
      <c r="DE160" s="115"/>
      <c r="DF160" s="115"/>
      <c r="DG160" s="115"/>
      <c r="DH160" s="115"/>
      <c r="DI160" s="115"/>
      <c r="DJ160" s="115"/>
      <c r="DK160" s="115"/>
      <c r="DL160" s="115"/>
      <c r="DM160" s="115"/>
      <c r="DN160" s="115"/>
      <c r="DO160" s="115"/>
      <c r="DP160" s="115"/>
      <c r="DQ160" s="115"/>
      <c r="DR160" s="115"/>
      <c r="DS160" s="115"/>
      <c r="DT160" s="115"/>
      <c r="DU160" s="115"/>
      <c r="DW160" s="115"/>
      <c r="DX160" s="664"/>
      <c r="DY160" s="115"/>
      <c r="DZ160" s="115"/>
      <c r="EA160" s="115"/>
      <c r="EB160" s="115"/>
      <c r="EC160" s="115"/>
      <c r="ED160" s="115"/>
      <c r="EE160" s="115"/>
      <c r="EF160" s="115"/>
      <c r="EG160" s="115"/>
      <c r="EH160" s="115"/>
      <c r="EI160" s="115"/>
      <c r="EJ160" s="115"/>
      <c r="EK160" s="115"/>
      <c r="EL160" s="115"/>
      <c r="EM160" s="115"/>
      <c r="EN160" s="115"/>
      <c r="EO160" s="645"/>
      <c r="EP160" s="115"/>
      <c r="EQ160" s="115"/>
      <c r="ER160" s="115"/>
      <c r="ES160" s="115"/>
      <c r="ET160" s="115"/>
      <c r="EV160" s="115"/>
      <c r="EW160" s="115"/>
      <c r="EX160" s="115"/>
      <c r="EY160" s="115"/>
      <c r="EZ160" s="115"/>
      <c r="FA160" s="664"/>
    </row>
    <row r="161" spans="2:157" x14ac:dyDescent="0.2">
      <c r="B161" s="186" t="s">
        <v>63</v>
      </c>
      <c r="C161" s="187">
        <f>C153-C156</f>
        <v>-66011.68784394252</v>
      </c>
      <c r="D161" s="187">
        <f t="shared" ref="D161:BO161" si="584">D153-D156</f>
        <v>745080.51454545476</v>
      </c>
      <c r="E161" s="187">
        <f t="shared" si="584"/>
        <v>4913712.0974049428</v>
      </c>
      <c r="F161" s="187">
        <f t="shared" si="584"/>
        <v>4475190.5422995463</v>
      </c>
      <c r="G161" s="187">
        <f t="shared" si="584"/>
        <v>3986942.5052436222</v>
      </c>
      <c r="H161" s="187">
        <f t="shared" si="584"/>
        <v>2410766.4447742989</v>
      </c>
      <c r="I161" s="187">
        <f t="shared" si="584"/>
        <v>5643796.2384900488</v>
      </c>
      <c r="J161" s="187">
        <f t="shared" si="584"/>
        <v>4346373.2162555028</v>
      </c>
      <c r="K161" s="187">
        <f t="shared" si="584"/>
        <v>3171862.3344066669</v>
      </c>
      <c r="L161" s="187">
        <f t="shared" si="584"/>
        <v>6312611.5429305723</v>
      </c>
      <c r="M161" s="187">
        <f t="shared" si="584"/>
        <v>741468.01010531385</v>
      </c>
      <c r="N161" s="187">
        <f t="shared" si="584"/>
        <v>2922109.842292753</v>
      </c>
      <c r="O161" s="187">
        <f t="shared" si="584"/>
        <v>1182051.3139325802</v>
      </c>
      <c r="P161" s="187">
        <f t="shared" si="584"/>
        <v>-978960.06307958113</v>
      </c>
      <c r="Q161" s="187">
        <f t="shared" si="584"/>
        <v>412151.76282010658</v>
      </c>
      <c r="R161" s="187">
        <f t="shared" si="584"/>
        <v>-1103692.7185646195</v>
      </c>
      <c r="S161" s="187">
        <f t="shared" si="584"/>
        <v>1888393.5053824435</v>
      </c>
      <c r="T161" s="187">
        <f t="shared" si="584"/>
        <v>1722126.2007507207</v>
      </c>
      <c r="U161" s="187">
        <f t="shared" si="584"/>
        <v>2589760.7995958985</v>
      </c>
      <c r="V161" s="187">
        <f t="shared" si="584"/>
        <v>1709885.4680219362</v>
      </c>
      <c r="W161" s="187">
        <f t="shared" si="584"/>
        <v>1559313.9403153039</v>
      </c>
      <c r="X161" s="187">
        <f t="shared" si="584"/>
        <v>1735010.4698161508</v>
      </c>
      <c r="Y161" s="187">
        <f t="shared" si="584"/>
        <v>1052881.4802149346</v>
      </c>
      <c r="Z161" s="187">
        <f t="shared" si="584"/>
        <v>2518222.8277634094</v>
      </c>
      <c r="AA161" s="187">
        <f t="shared" si="584"/>
        <v>3223342.2537118951</v>
      </c>
      <c r="AB161" s="187">
        <f t="shared" si="584"/>
        <v>2830197.6980107808</v>
      </c>
      <c r="AC161" s="187">
        <f t="shared" si="584"/>
        <v>2429484.8811262203</v>
      </c>
      <c r="AD161" s="187">
        <f t="shared" si="584"/>
        <v>163351.75084604131</v>
      </c>
      <c r="AE161" s="187">
        <f t="shared" si="584"/>
        <v>-749901.44177715853</v>
      </c>
      <c r="AF161" s="187">
        <f t="shared" si="584"/>
        <v>-429706.16792931419</v>
      </c>
      <c r="AG161" s="187">
        <f t="shared" si="584"/>
        <v>755495.62728996971</v>
      </c>
      <c r="AH161" s="187">
        <f t="shared" si="584"/>
        <v>363133.4043272073</v>
      </c>
      <c r="AI161" s="187">
        <f t="shared" si="584"/>
        <v>938892.10694481607</v>
      </c>
      <c r="AJ161" s="187">
        <f t="shared" si="584"/>
        <v>1412813.9703002602</v>
      </c>
      <c r="AK161" s="187">
        <f t="shared" si="584"/>
        <v>3428422.5303888414</v>
      </c>
      <c r="AL161" s="187">
        <f t="shared" si="584"/>
        <v>3949471.8940896257</v>
      </c>
      <c r="AM161" s="187">
        <f t="shared" si="584"/>
        <v>4954583.809529217</v>
      </c>
      <c r="AN161" s="187">
        <f t="shared" si="584"/>
        <v>5105607.5982447229</v>
      </c>
      <c r="AO161" s="187">
        <f t="shared" si="584"/>
        <v>1920084.6614152649</v>
      </c>
      <c r="AP161" s="187">
        <f t="shared" si="584"/>
        <v>1166808.5461870534</v>
      </c>
      <c r="AQ161" s="187">
        <f t="shared" si="584"/>
        <v>577565.47945762076</v>
      </c>
      <c r="AR161" s="187">
        <f t="shared" si="584"/>
        <v>2009799.5128936307</v>
      </c>
      <c r="AS161" s="187">
        <f t="shared" si="584"/>
        <v>-233237.53294197121</v>
      </c>
      <c r="AT161" s="187">
        <f t="shared" si="584"/>
        <v>-1716726.0072161958</v>
      </c>
      <c r="AU161" s="187">
        <f t="shared" si="584"/>
        <v>-1541565.3471590299</v>
      </c>
      <c r="AV161" s="187">
        <f t="shared" si="584"/>
        <v>814663.90025351779</v>
      </c>
      <c r="AW161" s="187">
        <f t="shared" si="584"/>
        <v>1491928.7165462053</v>
      </c>
      <c r="AX161" s="187">
        <f t="shared" si="584"/>
        <v>366812.30393444368</v>
      </c>
      <c r="AY161" s="187">
        <f t="shared" si="584"/>
        <v>2578134.4868502789</v>
      </c>
      <c r="AZ161" s="187">
        <f t="shared" si="584"/>
        <v>4472259.3451094702</v>
      </c>
      <c r="BA161" s="187">
        <f t="shared" si="584"/>
        <v>2551358.7573485114</v>
      </c>
      <c r="BB161" s="187">
        <f t="shared" si="584"/>
        <v>-21752083.081113733</v>
      </c>
      <c r="BC161" s="187">
        <f t="shared" si="584"/>
        <v>-21004104.726565965</v>
      </c>
      <c r="BD161" s="187">
        <f t="shared" si="584"/>
        <v>-17216066.565439302</v>
      </c>
      <c r="BE161" s="187">
        <f t="shared" si="584"/>
        <v>-24411296.654944241</v>
      </c>
      <c r="BF161" s="187">
        <f t="shared" si="584"/>
        <v>-21901616.585866556</v>
      </c>
      <c r="BG161" s="187">
        <f t="shared" si="584"/>
        <v>-28592897.987966221</v>
      </c>
      <c r="BH161" s="187">
        <f t="shared" si="584"/>
        <v>-29509076.017860018</v>
      </c>
      <c r="BI161" s="187">
        <f t="shared" si="584"/>
        <v>-19501881.935048133</v>
      </c>
      <c r="BJ161" s="187">
        <f t="shared" si="584"/>
        <v>-13086217.495342778</v>
      </c>
      <c r="BK161" s="187">
        <f t="shared" si="584"/>
        <v>-11855445.546495609</v>
      </c>
      <c r="BL161" s="187">
        <f t="shared" si="584"/>
        <v>-17049902.264069974</v>
      </c>
      <c r="BM161" s="187">
        <f t="shared" si="584"/>
        <v>-7188447.2922774293</v>
      </c>
      <c r="BN161" s="187">
        <f t="shared" si="584"/>
        <v>-13633529.568398949</v>
      </c>
      <c r="BO161" s="187">
        <f t="shared" si="584"/>
        <v>-13350086.003913928</v>
      </c>
      <c r="BP161" s="187">
        <f t="shared" ref="BP161:DI161" si="585">BP153-BP156</f>
        <v>-9737300.0760602914</v>
      </c>
      <c r="BQ161" s="187">
        <f t="shared" si="585"/>
        <v>-9730372.4577067792</v>
      </c>
      <c r="BR161" s="187">
        <f t="shared" si="585"/>
        <v>-9084626.1237039156</v>
      </c>
      <c r="BS161" s="187">
        <f t="shared" si="585"/>
        <v>-3067307.1513094306</v>
      </c>
      <c r="BT161" s="187">
        <f t="shared" si="585"/>
        <v>1140228.1270731725</v>
      </c>
      <c r="BU161" s="187">
        <f t="shared" si="585"/>
        <v>-5199992.6406023987</v>
      </c>
      <c r="BV161" s="187">
        <f t="shared" si="585"/>
        <v>-4238188.6214255057</v>
      </c>
      <c r="BW161" s="187">
        <f t="shared" si="585"/>
        <v>61694.844191398472</v>
      </c>
      <c r="BX161" s="187">
        <f t="shared" si="585"/>
        <v>-1365725.6478516236</v>
      </c>
      <c r="BY161" s="187">
        <f t="shared" si="585"/>
        <v>6401516.5085272118</v>
      </c>
      <c r="BZ161" s="187">
        <f t="shared" si="585"/>
        <v>-405896.67353350669</v>
      </c>
      <c r="CA161" s="187">
        <f t="shared" si="585"/>
        <v>711127.28908757493</v>
      </c>
      <c r="CB161" s="187">
        <f t="shared" si="585"/>
        <v>225839.34937405214</v>
      </c>
      <c r="CC161" s="187">
        <f t="shared" si="585"/>
        <v>4510839.2996324375</v>
      </c>
      <c r="CD161" s="187">
        <f t="shared" si="585"/>
        <v>3482943.0544041693</v>
      </c>
      <c r="CE161" s="187">
        <f t="shared" si="585"/>
        <v>5136937.9485276975</v>
      </c>
      <c r="CF161" s="187">
        <f t="shared" si="585"/>
        <v>-3915624.9137943313</v>
      </c>
      <c r="CG161" s="187">
        <f t="shared" si="585"/>
        <v>-3075700.4289564639</v>
      </c>
      <c r="CH161" s="187">
        <f t="shared" si="585"/>
        <v>170282.97668178752</v>
      </c>
      <c r="CI161" s="187">
        <f t="shared" si="585"/>
        <v>-694751.2931185849</v>
      </c>
      <c r="CJ161" s="187">
        <f t="shared" si="585"/>
        <v>-9661248.6549917385</v>
      </c>
      <c r="CK161" s="187">
        <f t="shared" si="585"/>
        <v>-6803523.3829464987</v>
      </c>
      <c r="CL161" s="187">
        <f t="shared" si="585"/>
        <v>367692.6169376336</v>
      </c>
      <c r="CM161" s="187">
        <f t="shared" si="585"/>
        <v>779548.11410075426</v>
      </c>
      <c r="CN161" s="187">
        <f t="shared" si="585"/>
        <v>750303.9367874153</v>
      </c>
      <c r="CO161" s="187">
        <f t="shared" si="585"/>
        <v>1366868.6751440018</v>
      </c>
      <c r="CP161" s="187">
        <f t="shared" si="585"/>
        <v>-1026279.8349990137</v>
      </c>
      <c r="CQ161" s="187">
        <f t="shared" si="585"/>
        <v>2643864.4178271294</v>
      </c>
      <c r="CR161" s="187">
        <f t="shared" si="585"/>
        <v>1003232.7889122851</v>
      </c>
      <c r="CS161" s="187">
        <f t="shared" si="585"/>
        <v>1100713.3799569197</v>
      </c>
      <c r="CT161" s="187">
        <f t="shared" si="585"/>
        <v>10578263.844260354</v>
      </c>
      <c r="CU161" s="187">
        <f t="shared" si="585"/>
        <v>14540849.870220162</v>
      </c>
      <c r="CV161" s="187">
        <f t="shared" si="585"/>
        <v>6679040.202479627</v>
      </c>
      <c r="CW161" s="187">
        <f t="shared" si="585"/>
        <v>10485657.282768186</v>
      </c>
      <c r="CX161" s="187">
        <f t="shared" si="585"/>
        <v>4678625.2236599661</v>
      </c>
      <c r="CY161" s="187">
        <f t="shared" si="585"/>
        <v>5156846.0495366938</v>
      </c>
      <c r="CZ161" s="187">
        <f t="shared" si="585"/>
        <v>5122889.5411905088</v>
      </c>
      <c r="DA161" s="187">
        <f t="shared" si="585"/>
        <v>5838805.9254912473</v>
      </c>
      <c r="DB161" s="187">
        <f t="shared" si="585"/>
        <v>3060031.6591538824</v>
      </c>
      <c r="DC161" s="187">
        <f t="shared" si="585"/>
        <v>7321573.4566122033</v>
      </c>
      <c r="DD161" s="187">
        <f t="shared" si="585"/>
        <v>5467551.1419916227</v>
      </c>
      <c r="DE161" s="187">
        <f t="shared" si="585"/>
        <v>5580739.5031459108</v>
      </c>
      <c r="DF161" s="187">
        <f t="shared" si="585"/>
        <v>16585477.916370012</v>
      </c>
      <c r="DG161" s="187">
        <f t="shared" si="585"/>
        <v>21186584.797290988</v>
      </c>
      <c r="DH161" s="187">
        <f t="shared" si="585"/>
        <v>12057943.470199041</v>
      </c>
      <c r="DI161" s="187">
        <f t="shared" si="585"/>
        <v>16477948.973273329</v>
      </c>
      <c r="DJ161" s="187">
        <f t="shared" ref="DJ161:DU161" si="586">DJ153-DJ156</f>
        <v>10381825.61204071</v>
      </c>
      <c r="DK161" s="187">
        <f t="shared" si="586"/>
        <v>10941985.61689822</v>
      </c>
      <c r="DL161" s="187">
        <f t="shared" si="586"/>
        <v>10902210.941997204</v>
      </c>
      <c r="DM161" s="187">
        <f t="shared" si="586"/>
        <v>11740793.671162542</v>
      </c>
      <c r="DN161" s="187">
        <f t="shared" si="586"/>
        <v>8485899.4417538531</v>
      </c>
      <c r="DO161" s="187">
        <f t="shared" si="586"/>
        <v>13477621.141844932</v>
      </c>
      <c r="DP161" s="187">
        <f t="shared" si="586"/>
        <v>11364367.257184874</v>
      </c>
      <c r="DQ161" s="187">
        <f t="shared" si="586"/>
        <v>11496949.506855275</v>
      </c>
      <c r="DR161" s="187">
        <f t="shared" si="586"/>
        <v>24387258.731061246</v>
      </c>
      <c r="DS161" s="187">
        <f t="shared" si="586"/>
        <v>29776727.180163365</v>
      </c>
      <c r="DT161" s="187">
        <f t="shared" si="586"/>
        <v>19083968.744244736</v>
      </c>
      <c r="DU161" s="187">
        <f t="shared" si="586"/>
        <v>24261305.593874361</v>
      </c>
      <c r="DW161" s="187">
        <f>SUM(BB161:BD161)</f>
        <v>-59972254.373118997</v>
      </c>
      <c r="DX161" s="667">
        <f>SUM(BE161:BG161)</f>
        <v>-74905811.228777021</v>
      </c>
      <c r="DY161" s="187">
        <f>SUM(BH161:BJ161)</f>
        <v>-62097175.448250927</v>
      </c>
      <c r="DZ161" s="187">
        <f>SUM(BK161:BM161)</f>
        <v>-36093795.102843016</v>
      </c>
      <c r="EA161" s="187">
        <f>SUM(BN161:BP161)</f>
        <v>-36720915.648373172</v>
      </c>
      <c r="EB161" s="187">
        <f>SUM(BQ161:BS161)</f>
        <v>-21882305.732720125</v>
      </c>
      <c r="EC161" s="187">
        <f>SUM(BT161:BV161)</f>
        <v>-8297953.1349547319</v>
      </c>
      <c r="ED161" s="187">
        <f>SUM(BW161:BY161)</f>
        <v>5097485.7048669867</v>
      </c>
      <c r="EE161" s="187">
        <f>SUM(BZ161:CB161)</f>
        <v>531069.96492812037</v>
      </c>
      <c r="EF161" s="187">
        <f>SUM(CC161:CE161)</f>
        <v>13130720.302564304</v>
      </c>
      <c r="EG161" s="187">
        <f>SUM(CF161:CH161)</f>
        <v>-6821042.3660690077</v>
      </c>
      <c r="EH161" s="187">
        <f>SUM(CI161:CK161)</f>
        <v>-17159523.331056822</v>
      </c>
      <c r="EI161" s="187">
        <f>SUM(CL161:CN161)</f>
        <v>1897544.6678258032</v>
      </c>
      <c r="EJ161" s="187">
        <f>SUM(CO161:CQ161)</f>
        <v>2984453.2579721175</v>
      </c>
      <c r="EK161" s="187">
        <f>SUM(CR161:CT161)</f>
        <v>12682210.013129558</v>
      </c>
      <c r="EL161" s="187">
        <f>SUM(CU161:CW161)</f>
        <v>31705547.355467975</v>
      </c>
      <c r="EM161" s="187">
        <f>SUM(CX161:CZ161)</f>
        <v>14958360.814387169</v>
      </c>
      <c r="EN161" s="187">
        <f>SUM(DA161:DC161)</f>
        <v>16220411.041257333</v>
      </c>
      <c r="EO161" s="649">
        <f>SUM(DD161:DF161)</f>
        <v>27633768.561507545</v>
      </c>
      <c r="EP161" s="187">
        <f>SUM(DG161:DI161)</f>
        <v>49722477.240763359</v>
      </c>
      <c r="EQ161" s="187">
        <f t="shared" ref="EQ161" si="587">SUM(DJ161:DL161)</f>
        <v>32226022.170936134</v>
      </c>
      <c r="ER161" s="187">
        <f t="shared" ref="ER161" si="588">SUM(DM161:DO161)</f>
        <v>33704314.254761323</v>
      </c>
      <c r="ES161" s="187">
        <f t="shared" ref="ES161" si="589">SUM(DP161:DR161)</f>
        <v>47248575.495101392</v>
      </c>
      <c r="ET161" s="187">
        <f t="shared" ref="ET161" si="590">SUM(DS161:DU161)</f>
        <v>73122001.518282458</v>
      </c>
      <c r="EV161" s="187">
        <f>SUM(DW161:DZ161)</f>
        <v>-233069036.15298995</v>
      </c>
      <c r="EW161" s="187">
        <f>SUM(EA161:ED161)</f>
        <v>-61803688.811181039</v>
      </c>
      <c r="EX161" s="187">
        <f>SUM(EE161:EH161)</f>
        <v>-10318775.429633405</v>
      </c>
      <c r="EY161" s="187">
        <f>SUM(EI161:EL161)</f>
        <v>49269755.294395454</v>
      </c>
      <c r="EZ161" s="187">
        <f>SUM(EM161:EP161)</f>
        <v>108535017.65791541</v>
      </c>
      <c r="FA161" s="187">
        <f t="shared" ref="FA161" si="591">SUM(EQ161:ET161)</f>
        <v>186300913.43908131</v>
      </c>
    </row>
    <row r="162" spans="2:157" x14ac:dyDescent="0.2">
      <c r="B162" s="121" t="s">
        <v>59</v>
      </c>
      <c r="C162" s="188">
        <f>C161/C57</f>
        <v>-0.11630891125475082</v>
      </c>
      <c r="D162" s="188">
        <f t="shared" ref="D162:BO162" si="592">D161/D57</f>
        <v>0.20879268187968869</v>
      </c>
      <c r="E162" s="188">
        <f t="shared" si="592"/>
        <v>0.25034200037405868</v>
      </c>
      <c r="F162" s="188">
        <f t="shared" si="592"/>
        <v>0.17498656276938288</v>
      </c>
      <c r="G162" s="188">
        <f t="shared" si="592"/>
        <v>0.14141318384205173</v>
      </c>
      <c r="H162" s="188">
        <f t="shared" si="592"/>
        <v>0.13085327719491127</v>
      </c>
      <c r="I162" s="188">
        <f t="shared" si="592"/>
        <v>0.14716439315841615</v>
      </c>
      <c r="J162" s="188">
        <f t="shared" si="592"/>
        <v>0.17066456535714342</v>
      </c>
      <c r="K162" s="188">
        <f t="shared" si="592"/>
        <v>8.566737037241294E-2</v>
      </c>
      <c r="L162" s="188">
        <f t="shared" si="592"/>
        <v>0.19066307675936195</v>
      </c>
      <c r="M162" s="188">
        <f t="shared" si="592"/>
        <v>7.6947792838013104E-2</v>
      </c>
      <c r="N162" s="188">
        <f t="shared" si="592"/>
        <v>0.16920182427053321</v>
      </c>
      <c r="O162" s="188">
        <f t="shared" si="592"/>
        <v>4.9495711701170182E-2</v>
      </c>
      <c r="P162" s="188">
        <f t="shared" si="592"/>
        <v>-0.67525260727546277</v>
      </c>
      <c r="Q162" s="188">
        <f t="shared" si="592"/>
        <v>2.8587335096183743E-2</v>
      </c>
      <c r="R162" s="188">
        <f t="shared" si="592"/>
        <v>0.34690902768188336</v>
      </c>
      <c r="S162" s="188">
        <f t="shared" si="592"/>
        <v>9.4805602993851698E-2</v>
      </c>
      <c r="T162" s="188">
        <f t="shared" si="592"/>
        <v>0.1311435221543393</v>
      </c>
      <c r="U162" s="188">
        <f t="shared" si="592"/>
        <v>0.29392761133741868</v>
      </c>
      <c r="V162" s="188">
        <f t="shared" si="592"/>
        <v>0.20071383564842404</v>
      </c>
      <c r="W162" s="188">
        <f t="shared" si="592"/>
        <v>0.14299892564414779</v>
      </c>
      <c r="X162" s="188">
        <f t="shared" si="592"/>
        <v>8.7197822612229914E-2</v>
      </c>
      <c r="Y162" s="188">
        <f t="shared" si="592"/>
        <v>6.2893476884179927E-2</v>
      </c>
      <c r="Z162" s="188">
        <f t="shared" si="592"/>
        <v>9.7202534338189817E-2</v>
      </c>
      <c r="AA162" s="188">
        <f t="shared" si="592"/>
        <v>0.10536331332334571</v>
      </c>
      <c r="AB162" s="188">
        <f t="shared" si="592"/>
        <v>0.15371697937243461</v>
      </c>
      <c r="AC162" s="188">
        <f t="shared" si="592"/>
        <v>0.10375835344065659</v>
      </c>
      <c r="AD162" s="188">
        <f t="shared" si="592"/>
        <v>9.2194642430484842E-3</v>
      </c>
      <c r="AE162" s="188">
        <f t="shared" si="592"/>
        <v>-6.7288718234542036E-2</v>
      </c>
      <c r="AF162" s="188">
        <f t="shared" si="592"/>
        <v>-2.5328940789211964E-2</v>
      </c>
      <c r="AG162" s="188">
        <f t="shared" si="592"/>
        <v>5.2220457254415535E-2</v>
      </c>
      <c r="AH162" s="188">
        <f t="shared" si="592"/>
        <v>3.9395622949215899E-2</v>
      </c>
      <c r="AI162" s="188">
        <f t="shared" si="592"/>
        <v>8.0879818090325239E-2</v>
      </c>
      <c r="AJ162" s="188">
        <f t="shared" si="592"/>
        <v>9.7685136750163187E-2</v>
      </c>
      <c r="AK162" s="188">
        <f t="shared" si="592"/>
        <v>9.9059240898533962E-2</v>
      </c>
      <c r="AL162" s="188">
        <f t="shared" si="592"/>
        <v>9.9168653261487022E-2</v>
      </c>
      <c r="AM162" s="188">
        <f t="shared" si="592"/>
        <v>0.10762534474404306</v>
      </c>
      <c r="AN162" s="188">
        <f t="shared" si="592"/>
        <v>0.12584636365613697</v>
      </c>
      <c r="AO162" s="188">
        <f t="shared" si="592"/>
        <v>8.5585780511205994E-2</v>
      </c>
      <c r="AP162" s="188">
        <f t="shared" si="592"/>
        <v>5.752452923391508E-2</v>
      </c>
      <c r="AQ162" s="188">
        <f t="shared" si="592"/>
        <v>1.9957901275763901E-2</v>
      </c>
      <c r="AR162" s="188">
        <f t="shared" si="592"/>
        <v>4.8684576301982245E-2</v>
      </c>
      <c r="AS162" s="188">
        <f t="shared" si="592"/>
        <v>-6.1239626143265872E-3</v>
      </c>
      <c r="AT162" s="188">
        <f t="shared" si="592"/>
        <v>-6.4464842341463754E-2</v>
      </c>
      <c r="AU162" s="188">
        <f t="shared" si="592"/>
        <v>-4.1586099312847034E-2</v>
      </c>
      <c r="AV162" s="188">
        <f t="shared" si="592"/>
        <v>1.2541354605492843E-2</v>
      </c>
      <c r="AW162" s="188">
        <f t="shared" si="592"/>
        <v>2.720200945564976E-2</v>
      </c>
      <c r="AX162" s="188">
        <f t="shared" si="592"/>
        <v>7.8572361811488686E-3</v>
      </c>
      <c r="AY162" s="188">
        <f t="shared" si="592"/>
        <v>4.5700286749310155E-2</v>
      </c>
      <c r="AZ162" s="188">
        <f t="shared" si="592"/>
        <v>5.3234462366971623E-2</v>
      </c>
      <c r="BA162" s="188">
        <f t="shared" si="592"/>
        <v>1.7402410290873825E-2</v>
      </c>
      <c r="BB162" s="188">
        <f t="shared" si="592"/>
        <v>-0.12780105271740147</v>
      </c>
      <c r="BC162" s="188">
        <f t="shared" si="592"/>
        <v>-0.13892171620445226</v>
      </c>
      <c r="BD162" s="188">
        <f t="shared" si="592"/>
        <v>-9.3370474817515856E-2</v>
      </c>
      <c r="BE162" s="188">
        <f t="shared" si="592"/>
        <v>-0.18877227327557389</v>
      </c>
      <c r="BF162" s="188">
        <f t="shared" si="592"/>
        <v>-0.14499871267423389</v>
      </c>
      <c r="BG162" s="188">
        <f t="shared" si="592"/>
        <v>-0.16905100122563871</v>
      </c>
      <c r="BH162" s="188">
        <f t="shared" si="592"/>
        <v>-0.11092578407766518</v>
      </c>
      <c r="BI162" s="188">
        <f t="shared" si="592"/>
        <v>-9.4428088435079854E-2</v>
      </c>
      <c r="BJ162" s="188">
        <f t="shared" si="592"/>
        <v>-6.7077796062172165E-2</v>
      </c>
      <c r="BK162" s="188">
        <f t="shared" si="592"/>
        <v>-5.9700045399952183E-2</v>
      </c>
      <c r="BL162" s="188">
        <f t="shared" si="592"/>
        <v>-0.11779256086379865</v>
      </c>
      <c r="BM162" s="188">
        <f t="shared" si="592"/>
        <v>-3.5059498102612371E-2</v>
      </c>
      <c r="BN162" s="188">
        <f t="shared" si="592"/>
        <v>-6.9012887232508729E-2</v>
      </c>
      <c r="BO162" s="188">
        <f t="shared" si="592"/>
        <v>-6.2194781251982932E-2</v>
      </c>
      <c r="BP162" s="188">
        <f t="shared" ref="BP162:DI162" si="593">BP161/BP57</f>
        <v>-4.369710155643311E-2</v>
      </c>
      <c r="BQ162" s="188">
        <f t="shared" si="593"/>
        <v>-4.1696247043678428E-2</v>
      </c>
      <c r="BR162" s="188">
        <f t="shared" si="593"/>
        <v>-4.1395022013847191E-2</v>
      </c>
      <c r="BS162" s="188">
        <f t="shared" si="593"/>
        <v>-1.3448883275777385E-2</v>
      </c>
      <c r="BT162" s="188">
        <f t="shared" si="593"/>
        <v>4.6784017670945637E-3</v>
      </c>
      <c r="BU162" s="188">
        <f t="shared" si="593"/>
        <v>-2.434755686518553E-2</v>
      </c>
      <c r="BV162" s="188">
        <f t="shared" si="593"/>
        <v>-1.6637915978280876E-2</v>
      </c>
      <c r="BW162" s="188">
        <f t="shared" si="593"/>
        <v>2.157338144624587E-4</v>
      </c>
      <c r="BX162" s="188">
        <f t="shared" si="593"/>
        <v>-4.9756014168210547E-3</v>
      </c>
      <c r="BY162" s="188">
        <f t="shared" si="593"/>
        <v>1.7401949947887897E-2</v>
      </c>
      <c r="BZ162" s="188">
        <f t="shared" si="593"/>
        <v>-1.2902540071769548E-3</v>
      </c>
      <c r="CA162" s="188">
        <f t="shared" si="593"/>
        <v>2.240674517213272E-3</v>
      </c>
      <c r="CB162" s="188">
        <f t="shared" si="593"/>
        <v>7.2112418703658486E-4</v>
      </c>
      <c r="CC162" s="188">
        <f t="shared" si="593"/>
        <v>1.3746621377531484E-2</v>
      </c>
      <c r="CD162" s="188">
        <f t="shared" si="593"/>
        <v>1.1996297892840561E-2</v>
      </c>
      <c r="CE162" s="188">
        <f t="shared" si="593"/>
        <v>1.3831513796882237E-2</v>
      </c>
      <c r="CF162" s="188">
        <f t="shared" si="593"/>
        <v>-1.2332883993552417E-2</v>
      </c>
      <c r="CG162" s="188">
        <f t="shared" si="593"/>
        <v>-9.7718878235288232E-3</v>
      </c>
      <c r="CH162" s="188">
        <f t="shared" si="593"/>
        <v>4.4937490234448505E-4</v>
      </c>
      <c r="CI162" s="188">
        <f t="shared" si="593"/>
        <v>-1.6467507589483228E-3</v>
      </c>
      <c r="CJ162" s="188">
        <f t="shared" si="593"/>
        <v>-2.8376082153658739E-2</v>
      </c>
      <c r="CK162" s="188">
        <f t="shared" si="593"/>
        <v>-1.6880338076033972E-2</v>
      </c>
      <c r="CL162" s="188">
        <f t="shared" si="593"/>
        <v>9.6982246144135839E-4</v>
      </c>
      <c r="CM162" s="188">
        <f t="shared" si="593"/>
        <v>2.0354127714611709E-3</v>
      </c>
      <c r="CN162" s="188">
        <f t="shared" si="593"/>
        <v>1.960458247960067E-3</v>
      </c>
      <c r="CO162" s="188">
        <f t="shared" si="593"/>
        <v>3.518366249888208E-3</v>
      </c>
      <c r="CP162" s="188">
        <f t="shared" si="593"/>
        <v>-2.8034783836998803E-3</v>
      </c>
      <c r="CQ162" s="188">
        <f t="shared" si="593"/>
        <v>6.6020766255318157E-3</v>
      </c>
      <c r="CR162" s="188">
        <f t="shared" si="593"/>
        <v>2.576449698563714E-3</v>
      </c>
      <c r="CS162" s="188">
        <f t="shared" si="593"/>
        <v>2.8201795218550287E-3</v>
      </c>
      <c r="CT162" s="188">
        <f t="shared" si="593"/>
        <v>2.2079692618777829E-2</v>
      </c>
      <c r="CU162" s="188">
        <f t="shared" si="593"/>
        <v>2.8167911355775142E-2</v>
      </c>
      <c r="CV162" s="188">
        <f t="shared" si="593"/>
        <v>1.509173846817561E-2</v>
      </c>
      <c r="CW162" s="188">
        <f t="shared" si="593"/>
        <v>2.1926105677340914E-2</v>
      </c>
      <c r="CX162" s="188">
        <f t="shared" si="593"/>
        <v>1.0418147972522293E-2</v>
      </c>
      <c r="CY162" s="188">
        <f t="shared" si="593"/>
        <v>1.1367335321071266E-2</v>
      </c>
      <c r="CZ162" s="188">
        <f t="shared" si="593"/>
        <v>1.1300568680313924E-2</v>
      </c>
      <c r="DA162" s="188">
        <f t="shared" si="593"/>
        <v>1.2688293917423271E-2</v>
      </c>
      <c r="DB162" s="188">
        <f t="shared" si="593"/>
        <v>7.0570349905439006E-3</v>
      </c>
      <c r="DC162" s="188">
        <f t="shared" si="593"/>
        <v>1.5435145918260756E-2</v>
      </c>
      <c r="DD162" s="188">
        <f t="shared" si="593"/>
        <v>1.1854349817937196E-2</v>
      </c>
      <c r="DE162" s="188">
        <f t="shared" si="593"/>
        <v>1.2071443195421671E-2</v>
      </c>
      <c r="DF162" s="188">
        <f t="shared" si="593"/>
        <v>2.9226146261547729E-2</v>
      </c>
      <c r="DG162" s="188">
        <f t="shared" si="593"/>
        <v>3.4649003221077654E-2</v>
      </c>
      <c r="DH162" s="188">
        <f t="shared" si="593"/>
        <v>2.3001883068079813E-2</v>
      </c>
      <c r="DI162" s="188">
        <f t="shared" si="593"/>
        <v>2.9089344341274134E-2</v>
      </c>
      <c r="DJ162" s="188">
        <f t="shared" ref="DJ162:DU162" si="594">DJ161/DJ57</f>
        <v>1.9516904102923584E-2</v>
      </c>
      <c r="DK162" s="188">
        <f t="shared" si="594"/>
        <v>2.0362710152189777E-2</v>
      </c>
      <c r="DL162" s="188">
        <f t="shared" si="594"/>
        <v>2.0303215439446243E-2</v>
      </c>
      <c r="DM162" s="188">
        <f t="shared" si="594"/>
        <v>2.1539795764774581E-2</v>
      </c>
      <c r="DN162" s="188">
        <f t="shared" si="594"/>
        <v>1.6521868721584277E-2</v>
      </c>
      <c r="DO162" s="188">
        <f t="shared" si="594"/>
        <v>2.3987472761627153E-2</v>
      </c>
      <c r="DP162" s="188">
        <f t="shared" si="594"/>
        <v>2.0801520449711047E-2</v>
      </c>
      <c r="DQ162" s="188">
        <f t="shared" si="594"/>
        <v>2.0994957650179075E-2</v>
      </c>
      <c r="DR162" s="188">
        <f t="shared" si="594"/>
        <v>3.6280351310839849E-2</v>
      </c>
      <c r="DS162" s="188">
        <f t="shared" si="594"/>
        <v>4.1112291745620422E-2</v>
      </c>
      <c r="DT162" s="188">
        <f t="shared" si="594"/>
        <v>3.0734332076757003E-2</v>
      </c>
      <c r="DU162" s="188">
        <f t="shared" si="594"/>
        <v>3.6158456388097539E-2</v>
      </c>
      <c r="DW162" s="188">
        <f t="shared" ref="DW162:FA162" si="595">DW161/DW57</f>
        <v>-0.11857356343380249</v>
      </c>
      <c r="DX162" s="662">
        <f t="shared" si="595"/>
        <v>-0.1666422243112885</v>
      </c>
      <c r="DY162" s="188">
        <f t="shared" si="595"/>
        <v>-9.3009713189060109E-2</v>
      </c>
      <c r="DZ162" s="188">
        <f t="shared" si="595"/>
        <v>-6.5820828542822715E-2</v>
      </c>
      <c r="EA162" s="188">
        <f t="shared" si="595"/>
        <v>-5.7824899152885655E-2</v>
      </c>
      <c r="EB162" s="188">
        <f t="shared" si="595"/>
        <v>-3.2137487990787035E-2</v>
      </c>
      <c r="EC162" s="188">
        <f t="shared" si="595"/>
        <v>-1.1654003868096546E-2</v>
      </c>
      <c r="ED162" s="188">
        <f t="shared" si="595"/>
        <v>5.4910675332893169E-3</v>
      </c>
      <c r="EE162" s="188">
        <f t="shared" si="595"/>
        <v>5.6189829580590442E-4</v>
      </c>
      <c r="EF162" s="188">
        <f t="shared" si="595"/>
        <v>1.3265092263551239E-2</v>
      </c>
      <c r="EG162" s="188">
        <f t="shared" si="595"/>
        <v>-6.7456427286554984E-3</v>
      </c>
      <c r="EH162" s="188">
        <f t="shared" si="595"/>
        <v>-1.4724047927660711E-2</v>
      </c>
      <c r="EI162" s="188">
        <f t="shared" si="595"/>
        <v>1.6574682785151886E-3</v>
      </c>
      <c r="EJ162" s="188">
        <f t="shared" si="595"/>
        <v>2.5838783630416943E-3</v>
      </c>
      <c r="EK162" s="188">
        <f t="shared" si="595"/>
        <v>1.0075005208062806E-2</v>
      </c>
      <c r="EL162" s="188">
        <f t="shared" si="595"/>
        <v>2.2063551773730452E-2</v>
      </c>
      <c r="EM162" s="188">
        <f t="shared" si="595"/>
        <v>1.1030676731194114E-2</v>
      </c>
      <c r="EN162" s="188">
        <f t="shared" si="595"/>
        <v>1.1855887624660935E-2</v>
      </c>
      <c r="EO162" s="656">
        <f t="shared" si="595"/>
        <v>1.8533412395633945E-2</v>
      </c>
      <c r="EP162" s="188">
        <f t="shared" si="595"/>
        <v>2.9211769397364386E-2</v>
      </c>
      <c r="EQ162" s="188">
        <f t="shared" si="595"/>
        <v>2.0062718930972168E-2</v>
      </c>
      <c r="ER162" s="188">
        <f t="shared" si="595"/>
        <v>2.0798051493802337E-2</v>
      </c>
      <c r="ES162" s="188">
        <f t="shared" si="595"/>
        <v>2.6752780602145542E-2</v>
      </c>
      <c r="ET162" s="188">
        <f t="shared" si="595"/>
        <v>3.6267541061207491E-2</v>
      </c>
      <c r="EU162" s="133"/>
      <c r="EV162" s="188">
        <f t="shared" si="595"/>
        <v>-0.10734137590154781</v>
      </c>
      <c r="EW162" s="188">
        <f t="shared" si="595"/>
        <v>-2.0905882777517665E-2</v>
      </c>
      <c r="EX162" s="188">
        <f t="shared" si="595"/>
        <v>-2.5096793342227149E-3</v>
      </c>
      <c r="EY162" s="188">
        <f t="shared" si="595"/>
        <v>9.8625049900967314E-3</v>
      </c>
      <c r="EZ162" s="188">
        <f t="shared" si="595"/>
        <v>1.834178704634977E-2</v>
      </c>
      <c r="FA162" s="188">
        <f t="shared" si="595"/>
        <v>2.6579798533706997E-2</v>
      </c>
    </row>
  </sheetData>
  <pageMargins left="0.7" right="0.7" top="0.75" bottom="0.75" header="0.3" footer="0.3"/>
  <ignoredErrors>
    <ignoredError sqref="DW115:ET127 DW140:ET140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3836-6A77-435C-91FF-AADC42F38457}">
  <sheetPr>
    <tabColor theme="7" tint="0.59999389629810485"/>
  </sheetPr>
  <dimension ref="B1:EC130"/>
  <sheetViews>
    <sheetView showGridLines="0" zoomScale="84" workbookViewId="0">
      <pane xSplit="2" ySplit="2" topLeftCell="CW3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baseColWidth="10" defaultColWidth="8.6640625" defaultRowHeight="15" x14ac:dyDescent="0.2"/>
  <cols>
    <col min="1" max="1" width="2.6640625" customWidth="1"/>
    <col min="2" max="2" width="33.6640625" bestFit="1" customWidth="1"/>
    <col min="3" max="3" width="20.1640625" style="152" bestFit="1" customWidth="1"/>
    <col min="4" max="6" width="16.5" style="152" bestFit="1" customWidth="1"/>
    <col min="7" max="7" width="14.1640625" style="152" bestFit="1" customWidth="1"/>
    <col min="8" max="13" width="16.5" style="152" bestFit="1" customWidth="1"/>
    <col min="14" max="15" width="17.5" style="152" bestFit="1" customWidth="1"/>
    <col min="16" max="16" width="17.1640625" style="152" bestFit="1" customWidth="1"/>
    <col min="17" max="19" width="17.5" style="152" bestFit="1" customWidth="1"/>
    <col min="20" max="20" width="17.1640625" style="152" bestFit="1" customWidth="1"/>
    <col min="21" max="22" width="17.5" style="152" bestFit="1" customWidth="1"/>
    <col min="23" max="28" width="18" style="152" bestFit="1" customWidth="1"/>
    <col min="29" max="29" width="17.1640625" style="152" bestFit="1" customWidth="1"/>
    <col min="30" max="31" width="18" style="152" bestFit="1" customWidth="1"/>
    <col min="32" max="32" width="17.5" style="152" bestFit="1" customWidth="1"/>
    <col min="33" max="38" width="18" style="152" bestFit="1" customWidth="1"/>
    <col min="39" max="41" width="17.5" style="152" bestFit="1" customWidth="1"/>
    <col min="42" max="43" width="18" style="152" bestFit="1" customWidth="1"/>
    <col min="44" max="44" width="17.5" style="152" bestFit="1" customWidth="1"/>
    <col min="45" max="51" width="18" style="152" bestFit="1" customWidth="1"/>
    <col min="52" max="52" width="17.5" style="152" bestFit="1" customWidth="1"/>
    <col min="53" max="53" width="19.6640625" style="152" bestFit="1" customWidth="1"/>
    <col min="54" max="59" width="18" style="152" bestFit="1" customWidth="1"/>
    <col min="60" max="60" width="19.6640625" style="152" bestFit="1" customWidth="1"/>
    <col min="61" max="61" width="18" style="152" bestFit="1" customWidth="1"/>
    <col min="62" max="62" width="19.33203125" style="152" bestFit="1" customWidth="1"/>
    <col min="63" max="63" width="19.6640625" style="152" bestFit="1" customWidth="1"/>
    <col min="64" max="64" width="19" style="152" bestFit="1" customWidth="1"/>
    <col min="65" max="67" width="19.6640625" style="152" bestFit="1" customWidth="1"/>
    <col min="68" max="68" width="19.33203125" style="152" bestFit="1" customWidth="1"/>
    <col min="69" max="74" width="19.6640625" style="152" bestFit="1" customWidth="1"/>
    <col min="75" max="76" width="19.33203125" style="152" bestFit="1" customWidth="1"/>
    <col min="77" max="79" width="19.6640625" style="152" bestFit="1" customWidth="1"/>
    <col min="80" max="80" width="19.33203125" style="152" bestFit="1" customWidth="1"/>
    <col min="81" max="81" width="19.6640625" style="152" bestFit="1" customWidth="1"/>
    <col min="82" max="82" width="19.33203125" style="152" bestFit="1" customWidth="1"/>
    <col min="83" max="85" width="20.1640625" style="152" bestFit="1" customWidth="1"/>
    <col min="86" max="86" width="19.33203125" style="152" bestFit="1" customWidth="1"/>
    <col min="87" max="87" width="20.1640625" style="152" bestFit="1" customWidth="1"/>
    <col min="88" max="88" width="19.6640625" style="152" bestFit="1" customWidth="1"/>
    <col min="89" max="89" width="19.33203125" style="152" bestFit="1" customWidth="1"/>
    <col min="90" max="101" width="19.33203125" style="152" customWidth="1"/>
    <col min="103" max="126" width="15.6640625" customWidth="1"/>
    <col min="128" max="133" width="15.6640625" customWidth="1"/>
  </cols>
  <sheetData>
    <row r="1" spans="2:133" x14ac:dyDescent="0.2"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</row>
    <row r="2" spans="2:133" x14ac:dyDescent="0.2">
      <c r="B2" s="136" t="s">
        <v>242</v>
      </c>
      <c r="C2" s="2">
        <v>44205</v>
      </c>
      <c r="D2" s="2">
        <v>44236</v>
      </c>
      <c r="E2" s="2">
        <v>44267</v>
      </c>
      <c r="F2" s="2">
        <v>44298</v>
      </c>
      <c r="G2" s="2">
        <v>44329</v>
      </c>
      <c r="H2" s="2">
        <v>44360</v>
      </c>
      <c r="I2" s="2">
        <v>44391</v>
      </c>
      <c r="J2" s="2">
        <v>44422</v>
      </c>
      <c r="K2" s="2">
        <v>44453</v>
      </c>
      <c r="L2" s="2">
        <v>44484</v>
      </c>
      <c r="M2" s="2">
        <v>44515</v>
      </c>
      <c r="N2" s="2">
        <v>44546</v>
      </c>
      <c r="O2" s="2">
        <v>44577</v>
      </c>
      <c r="P2" s="2">
        <v>44608</v>
      </c>
      <c r="Q2" s="2">
        <v>44639</v>
      </c>
      <c r="R2" s="2">
        <v>44670</v>
      </c>
      <c r="S2" s="2">
        <v>44701</v>
      </c>
      <c r="T2" s="2">
        <v>44732</v>
      </c>
      <c r="U2" s="2">
        <v>44763</v>
      </c>
      <c r="V2" s="2">
        <v>44794</v>
      </c>
      <c r="W2" s="2">
        <v>44825</v>
      </c>
      <c r="X2" s="2">
        <v>44856</v>
      </c>
      <c r="Y2" s="2">
        <v>44887</v>
      </c>
      <c r="Z2" s="2">
        <v>44918</v>
      </c>
      <c r="AA2" s="2">
        <v>44949</v>
      </c>
      <c r="AB2" s="2">
        <v>44980</v>
      </c>
      <c r="AC2" s="2">
        <v>45011</v>
      </c>
      <c r="AD2" s="2">
        <v>45042</v>
      </c>
      <c r="AE2" s="2">
        <v>45073</v>
      </c>
      <c r="AF2" s="2">
        <v>45104</v>
      </c>
      <c r="AG2" s="2">
        <v>45135</v>
      </c>
      <c r="AH2" s="2">
        <v>45166</v>
      </c>
      <c r="AI2" s="2">
        <v>45197</v>
      </c>
      <c r="AJ2" s="2">
        <v>45228</v>
      </c>
      <c r="AK2" s="2">
        <v>45259</v>
      </c>
      <c r="AL2" s="2">
        <v>45290</v>
      </c>
      <c r="AM2" s="2">
        <v>45321</v>
      </c>
      <c r="AN2" s="2">
        <v>45351</v>
      </c>
      <c r="AO2" s="2">
        <v>45381</v>
      </c>
      <c r="AP2" s="2">
        <v>45411</v>
      </c>
      <c r="AQ2" s="2">
        <v>45441</v>
      </c>
      <c r="AR2" s="2">
        <v>45471</v>
      </c>
      <c r="AS2" s="2">
        <v>45501</v>
      </c>
      <c r="AT2" s="2">
        <v>45531</v>
      </c>
      <c r="AU2" s="2">
        <v>45561</v>
      </c>
      <c r="AV2" s="2">
        <v>45591</v>
      </c>
      <c r="AW2" s="2">
        <v>45621</v>
      </c>
      <c r="AX2" s="2">
        <v>45651</v>
      </c>
      <c r="AY2" s="2">
        <v>45681</v>
      </c>
      <c r="AZ2" s="2">
        <v>45711</v>
      </c>
      <c r="BA2" s="2">
        <v>45741</v>
      </c>
      <c r="BB2" s="2">
        <v>45771</v>
      </c>
      <c r="BC2" s="2">
        <v>45801</v>
      </c>
      <c r="BD2" s="2">
        <v>45831</v>
      </c>
      <c r="BE2" s="2">
        <v>45861</v>
      </c>
      <c r="BF2" s="2">
        <v>45891</v>
      </c>
      <c r="BG2" s="2">
        <v>45921</v>
      </c>
      <c r="BH2" s="2">
        <v>45951</v>
      </c>
      <c r="BI2" s="2">
        <v>45981</v>
      </c>
      <c r="BJ2" s="2">
        <v>46011</v>
      </c>
      <c r="BK2" s="2">
        <v>46041</v>
      </c>
      <c r="BL2" s="2">
        <v>46071</v>
      </c>
      <c r="BM2" s="2">
        <v>46101</v>
      </c>
      <c r="BN2" s="2">
        <v>46131</v>
      </c>
      <c r="BO2" s="2">
        <v>46161</v>
      </c>
      <c r="BP2" s="2">
        <v>46191</v>
      </c>
      <c r="BQ2" s="2">
        <v>46221</v>
      </c>
      <c r="BR2" s="2">
        <v>46251</v>
      </c>
      <c r="BS2" s="2">
        <v>46281</v>
      </c>
      <c r="BT2" s="2">
        <v>46311</v>
      </c>
      <c r="BU2" s="2">
        <v>46341</v>
      </c>
      <c r="BV2" s="2">
        <v>46371</v>
      </c>
      <c r="BW2" s="2">
        <v>46401</v>
      </c>
      <c r="BX2" s="2">
        <v>46431</v>
      </c>
      <c r="BY2" s="2">
        <v>46461</v>
      </c>
      <c r="BZ2" s="2">
        <v>46491</v>
      </c>
      <c r="CA2" s="2">
        <v>46521</v>
      </c>
      <c r="CB2" s="2">
        <v>46551</v>
      </c>
      <c r="CC2" s="2">
        <v>46581</v>
      </c>
      <c r="CD2" s="2">
        <v>46611</v>
      </c>
      <c r="CE2" s="2">
        <v>46641</v>
      </c>
      <c r="CF2" s="2">
        <v>46671</v>
      </c>
      <c r="CG2" s="2">
        <v>46701</v>
      </c>
      <c r="CH2" s="2">
        <v>46731</v>
      </c>
      <c r="CI2" s="2">
        <v>46761</v>
      </c>
      <c r="CJ2" s="2">
        <v>46791</v>
      </c>
      <c r="CK2" s="2">
        <v>46821</v>
      </c>
      <c r="CL2" s="769">
        <v>46851</v>
      </c>
      <c r="CM2" s="769">
        <v>46881</v>
      </c>
      <c r="CN2" s="769">
        <v>46911</v>
      </c>
      <c r="CO2" s="769">
        <v>46941</v>
      </c>
      <c r="CP2" s="769">
        <v>46971</v>
      </c>
      <c r="CQ2" s="769">
        <v>47001</v>
      </c>
      <c r="CR2" s="769">
        <v>47031</v>
      </c>
      <c r="CS2" s="769">
        <v>47061</v>
      </c>
      <c r="CT2" s="769">
        <v>47091</v>
      </c>
      <c r="CU2" s="769">
        <v>47121</v>
      </c>
      <c r="CV2" s="769">
        <v>47151</v>
      </c>
      <c r="CW2" s="769">
        <v>47181</v>
      </c>
      <c r="CX2" s="168"/>
      <c r="CY2" s="2" t="s">
        <v>77</v>
      </c>
      <c r="CZ2" s="2" t="s">
        <v>78</v>
      </c>
      <c r="DA2" s="2" t="s">
        <v>79</v>
      </c>
      <c r="DB2" s="2" t="s">
        <v>80</v>
      </c>
      <c r="DC2" s="2" t="s">
        <v>81</v>
      </c>
      <c r="DD2" s="2" t="s">
        <v>82</v>
      </c>
      <c r="DE2" s="2" t="s">
        <v>83</v>
      </c>
      <c r="DF2" s="2" t="s">
        <v>84</v>
      </c>
      <c r="DG2" s="2" t="s">
        <v>85</v>
      </c>
      <c r="DH2" s="2" t="s">
        <v>86</v>
      </c>
      <c r="DI2" s="2" t="s">
        <v>87</v>
      </c>
      <c r="DJ2" s="2" t="s">
        <v>88</v>
      </c>
      <c r="DK2" s="2" t="s">
        <v>117</v>
      </c>
      <c r="DL2" s="2" t="s">
        <v>118</v>
      </c>
      <c r="DM2" s="2" t="s">
        <v>119</v>
      </c>
      <c r="DN2" s="2" t="s">
        <v>120</v>
      </c>
      <c r="DO2" s="2" t="s">
        <v>121</v>
      </c>
      <c r="DP2" s="2" t="s">
        <v>122</v>
      </c>
      <c r="DQ2" s="2" t="s">
        <v>123</v>
      </c>
      <c r="DR2" s="2" t="s">
        <v>124</v>
      </c>
      <c r="DS2" s="2" t="s">
        <v>583</v>
      </c>
      <c r="DT2" s="2" t="s">
        <v>584</v>
      </c>
      <c r="DU2" s="2" t="s">
        <v>585</v>
      </c>
      <c r="DV2" s="2" t="s">
        <v>581</v>
      </c>
      <c r="DW2" s="60"/>
      <c r="DX2" s="2" t="s">
        <v>486</v>
      </c>
      <c r="DY2" s="2" t="s">
        <v>128</v>
      </c>
      <c r="DZ2" s="2" t="s">
        <v>125</v>
      </c>
      <c r="EA2" s="2" t="s">
        <v>126</v>
      </c>
      <c r="EB2" s="2" t="s">
        <v>127</v>
      </c>
      <c r="EC2" s="2" t="s">
        <v>582</v>
      </c>
    </row>
    <row r="3" spans="2:133" x14ac:dyDescent="0.2">
      <c r="B3" s="18" t="s">
        <v>2</v>
      </c>
      <c r="C3" s="18">
        <f t="shared" ref="C3:CA3" si="0">SUM(C4:C5)</f>
        <v>45001917.979999997</v>
      </c>
      <c r="D3" s="18">
        <f t="shared" si="0"/>
        <v>45424312.779999986</v>
      </c>
      <c r="E3" s="18">
        <f t="shared" si="0"/>
        <v>50048192.060000099</v>
      </c>
      <c r="F3" s="18">
        <f t="shared" si="0"/>
        <v>30720201.329999972</v>
      </c>
      <c r="G3" s="18">
        <f t="shared" si="0"/>
        <v>4507228.9599999972</v>
      </c>
      <c r="H3" s="18">
        <f t="shared" si="0"/>
        <v>22560294.359999988</v>
      </c>
      <c r="I3" s="18">
        <f t="shared" si="0"/>
        <v>31783025.179999951</v>
      </c>
      <c r="J3" s="18">
        <f t="shared" si="0"/>
        <v>39528090.790000051</v>
      </c>
      <c r="K3" s="18">
        <f t="shared" si="0"/>
        <v>53336804.070000172</v>
      </c>
      <c r="L3" s="18">
        <f t="shared" si="0"/>
        <v>61921744.100000344</v>
      </c>
      <c r="M3" s="18">
        <f t="shared" si="0"/>
        <v>99409773.91000028</v>
      </c>
      <c r="N3" s="18">
        <f t="shared" si="0"/>
        <v>117477066.90000114</v>
      </c>
      <c r="O3" s="18">
        <f t="shared" si="0"/>
        <v>124774294.73000291</v>
      </c>
      <c r="P3" s="18">
        <f t="shared" si="0"/>
        <v>136516573.2199963</v>
      </c>
      <c r="Q3" s="18">
        <f t="shared" si="0"/>
        <v>152462389.56999502</v>
      </c>
      <c r="R3" s="18">
        <f t="shared" si="0"/>
        <v>130483547.81999592</v>
      </c>
      <c r="S3" s="18">
        <f t="shared" si="0"/>
        <v>159139630.57000482</v>
      </c>
      <c r="T3" s="18">
        <f t="shared" si="0"/>
        <v>210810837.93999016</v>
      </c>
      <c r="U3" s="18">
        <f t="shared" si="0"/>
        <v>209193644.39999861</v>
      </c>
      <c r="V3" s="18">
        <f t="shared" si="0"/>
        <v>202832961.01000541</v>
      </c>
      <c r="W3" s="18">
        <f t="shared" si="0"/>
        <v>200846838.51999986</v>
      </c>
      <c r="X3" s="18">
        <f t="shared" si="0"/>
        <v>242971467.69999582</v>
      </c>
      <c r="Y3" s="18">
        <f t="shared" si="0"/>
        <v>234536895.35999793</v>
      </c>
      <c r="Z3" s="18">
        <f t="shared" si="0"/>
        <v>280635451.19001406</v>
      </c>
      <c r="AA3" s="18">
        <f t="shared" si="0"/>
        <v>308426599.8399992</v>
      </c>
      <c r="AB3" s="18">
        <f t="shared" si="0"/>
        <v>334007300.05000472</v>
      </c>
      <c r="AC3" s="18">
        <f t="shared" si="0"/>
        <v>496198971.21998143</v>
      </c>
      <c r="AD3" s="18">
        <f t="shared" si="0"/>
        <v>560480225.55232835</v>
      </c>
      <c r="AE3" s="18">
        <f t="shared" si="0"/>
        <v>576823505.3879863</v>
      </c>
      <c r="AF3" s="18">
        <f t="shared" si="0"/>
        <v>601904853.95322061</v>
      </c>
      <c r="AG3" s="18">
        <f t="shared" si="0"/>
        <v>524306731.93909264</v>
      </c>
      <c r="AH3" s="18">
        <f t="shared" si="0"/>
        <v>525501354.34422129</v>
      </c>
      <c r="AI3" s="18">
        <f t="shared" si="0"/>
        <v>542445355.49881947</v>
      </c>
      <c r="AJ3" s="18">
        <f t="shared" si="0"/>
        <v>793601432.31469703</v>
      </c>
      <c r="AK3" s="18">
        <f t="shared" si="0"/>
        <v>659791779.89382625</v>
      </c>
      <c r="AL3" s="18">
        <f t="shared" si="0"/>
        <v>581704416.75916505</v>
      </c>
      <c r="AM3" s="18">
        <f t="shared" si="0"/>
        <v>556591042.66082335</v>
      </c>
      <c r="AN3" s="18">
        <f t="shared" si="0"/>
        <v>488566128.98305082</v>
      </c>
      <c r="AO3" s="18">
        <f t="shared" si="0"/>
        <v>590058410.66021729</v>
      </c>
      <c r="AP3" s="18">
        <f t="shared" si="0"/>
        <v>603345232.87076771</v>
      </c>
      <c r="AQ3" s="18">
        <f t="shared" si="0"/>
        <v>624023257.86366093</v>
      </c>
      <c r="AR3" s="18">
        <f t="shared" si="0"/>
        <v>650978990.64704883</v>
      </c>
      <c r="AS3" s="18">
        <f t="shared" si="0"/>
        <v>652854059.39690232</v>
      </c>
      <c r="AT3" s="18">
        <f t="shared" si="0"/>
        <v>590986769.38424909</v>
      </c>
      <c r="AU3" s="18">
        <f t="shared" si="0"/>
        <v>566321721.95117998</v>
      </c>
      <c r="AV3" s="18">
        <f t="shared" si="0"/>
        <v>659925165.28428674</v>
      </c>
      <c r="AW3" s="18">
        <f t="shared" si="0"/>
        <v>636483199.71225905</v>
      </c>
      <c r="AX3" s="18">
        <f t="shared" si="0"/>
        <v>738638897.54805088</v>
      </c>
      <c r="AY3" s="18">
        <f t="shared" si="0"/>
        <v>805734218.00191855</v>
      </c>
      <c r="AZ3" s="18">
        <f t="shared" si="0"/>
        <v>773151446.13182259</v>
      </c>
      <c r="BA3" s="18">
        <f t="shared" si="0"/>
        <v>1000874252.1862799</v>
      </c>
      <c r="BB3" s="18">
        <f t="shared" si="0"/>
        <v>945775314.40778399</v>
      </c>
      <c r="BC3" s="18">
        <f t="shared" si="0"/>
        <v>927142659.97934294</v>
      </c>
      <c r="BD3" s="18">
        <f t="shared" si="0"/>
        <v>929708983.47481823</v>
      </c>
      <c r="BE3" s="18">
        <f t="shared" si="0"/>
        <v>983854039.47745824</v>
      </c>
      <c r="BF3" s="18">
        <f t="shared" si="0"/>
        <v>854180854.13000178</v>
      </c>
      <c r="BG3" s="18">
        <f t="shared" si="0"/>
        <v>859635281.33670187</v>
      </c>
      <c r="BH3" s="18">
        <f t="shared" si="0"/>
        <v>1047081431.3074878</v>
      </c>
      <c r="BI3" s="18">
        <f t="shared" si="0"/>
        <v>971320272.9605999</v>
      </c>
      <c r="BJ3" s="18">
        <f t="shared" si="0"/>
        <v>1173599657.4649954</v>
      </c>
      <c r="BK3" s="18">
        <f t="shared" si="0"/>
        <v>1274812397.3806381</v>
      </c>
      <c r="BL3" s="18">
        <f t="shared" si="0"/>
        <v>1150481581.4577537</v>
      </c>
      <c r="BM3" s="18">
        <f t="shared" si="0"/>
        <v>1338560712.5214486</v>
      </c>
      <c r="BN3" s="18">
        <f t="shared" si="0"/>
        <v>1204070897.7334597</v>
      </c>
      <c r="BO3" s="18">
        <f t="shared" si="0"/>
        <v>1193493325.219964</v>
      </c>
      <c r="BP3" s="18">
        <f t="shared" si="0"/>
        <v>1190879418.8241432</v>
      </c>
      <c r="BQ3" s="18">
        <f t="shared" si="0"/>
        <v>1258451372.7264748</v>
      </c>
      <c r="BR3" s="18">
        <f t="shared" si="0"/>
        <v>1143303484.3245347</v>
      </c>
      <c r="BS3" s="18">
        <f t="shared" si="0"/>
        <v>1139227251.7070184</v>
      </c>
      <c r="BT3" s="18">
        <f t="shared" si="0"/>
        <v>1285171311.6480923</v>
      </c>
      <c r="BU3" s="18">
        <f t="shared" si="0"/>
        <v>1221358997.4525406</v>
      </c>
      <c r="BV3" s="18">
        <f t="shared" si="0"/>
        <v>1484442668.9466646</v>
      </c>
      <c r="BW3" s="18">
        <f t="shared" si="0"/>
        <v>1556643416.8440394</v>
      </c>
      <c r="BX3" s="18">
        <f t="shared" si="0"/>
        <v>1391132252.3442254</v>
      </c>
      <c r="BY3" s="18">
        <f t="shared" si="0"/>
        <v>1577621169.3226919</v>
      </c>
      <c r="BZ3" s="18">
        <f t="shared" si="0"/>
        <v>1455274457.3707795</v>
      </c>
      <c r="CA3" s="18">
        <f t="shared" si="0"/>
        <v>1444278582.3384347</v>
      </c>
      <c r="CB3" s="18">
        <f t="shared" ref="CB3:CK3" si="1">SUM(CB4:CB5)</f>
        <v>1436884653.1432908</v>
      </c>
      <c r="CC3" s="18">
        <f t="shared" si="1"/>
        <v>1518430432.6898024</v>
      </c>
      <c r="CD3" s="18">
        <f t="shared" si="1"/>
        <v>1377707766.722887</v>
      </c>
      <c r="CE3" s="18">
        <f t="shared" si="1"/>
        <v>1369701037.7743316</v>
      </c>
      <c r="CF3" s="18">
        <f t="shared" si="1"/>
        <v>1544084658.6149368</v>
      </c>
      <c r="CG3" s="18">
        <f t="shared" si="1"/>
        <v>1462660265.9747</v>
      </c>
      <c r="CH3" s="18">
        <f t="shared" si="1"/>
        <v>1773304539.001683</v>
      </c>
      <c r="CI3" s="18">
        <f t="shared" si="1"/>
        <v>1854900406.1409693</v>
      </c>
      <c r="CJ3" s="18">
        <f t="shared" si="1"/>
        <v>1653754222.2706499</v>
      </c>
      <c r="CK3" s="18">
        <f t="shared" si="1"/>
        <v>1862993942.8759494</v>
      </c>
      <c r="CL3" s="18">
        <f t="shared" ref="CL3:CW3" si="2">SUM(CL4:CL5)</f>
        <v>1689140824.5077848</v>
      </c>
      <c r="CM3" s="18">
        <f t="shared" si="2"/>
        <v>1675981302.4347477</v>
      </c>
      <c r="CN3" s="18">
        <f t="shared" si="2"/>
        <v>1666968030.1671319</v>
      </c>
      <c r="CO3" s="18">
        <f t="shared" si="2"/>
        <v>1759876616.5470459</v>
      </c>
      <c r="CP3" s="18">
        <f t="shared" si="2"/>
        <v>1596969490.7966971</v>
      </c>
      <c r="CQ3" s="18">
        <f t="shared" si="2"/>
        <v>1589407268.0282893</v>
      </c>
      <c r="CR3" s="18">
        <f t="shared" si="2"/>
        <v>1786877994.0522974</v>
      </c>
      <c r="CS3" s="18">
        <f t="shared" si="2"/>
        <v>1693739275.1858854</v>
      </c>
      <c r="CT3" s="18">
        <f t="shared" si="2"/>
        <v>2053606166.7497425</v>
      </c>
      <c r="CU3" s="18">
        <f t="shared" si="2"/>
        <v>2148940357.0126853</v>
      </c>
      <c r="CV3" s="18">
        <f t="shared" si="2"/>
        <v>1913990544.0313387</v>
      </c>
      <c r="CW3" s="18">
        <f t="shared" si="2"/>
        <v>2154257371.991241</v>
      </c>
      <c r="CX3" s="168"/>
      <c r="CY3" s="18">
        <f>SUM(AD3:AF3)</f>
        <v>1739208584.8935354</v>
      </c>
      <c r="CZ3" s="18">
        <f>SUM(AG3:AI3)</f>
        <v>1592253441.7821336</v>
      </c>
      <c r="DA3" s="18">
        <f>SUM(AJ3:AL3)</f>
        <v>2035097628.9676883</v>
      </c>
      <c r="DB3" s="18">
        <f>SUM(AM3:AO3)</f>
        <v>1635215582.3040915</v>
      </c>
      <c r="DC3" s="18">
        <f>SUM(AP3:AR3)</f>
        <v>1878347481.3814774</v>
      </c>
      <c r="DD3" s="18">
        <f>SUM(AS3:AU3)</f>
        <v>1810162550.7323313</v>
      </c>
      <c r="DE3" s="18">
        <f>SUM(AV3:AX3)</f>
        <v>2035047262.5445967</v>
      </c>
      <c r="DF3" s="18">
        <f>SUM(AY3:BA3)</f>
        <v>2579759916.3200212</v>
      </c>
      <c r="DG3" s="18">
        <f>SUM(BB3:BD3)</f>
        <v>2802626957.8619452</v>
      </c>
      <c r="DH3" s="18">
        <f>SUM(BE3:BG3)</f>
        <v>2697670174.9441619</v>
      </c>
      <c r="DI3" s="18">
        <f>SUM(BH3:BJ3)</f>
        <v>3192001361.7330832</v>
      </c>
      <c r="DJ3" s="18">
        <f>SUM(BK3:BM3)</f>
        <v>3763854691.3598404</v>
      </c>
      <c r="DK3" s="18">
        <f>SUM(BN3:BP3)</f>
        <v>3588443641.7775669</v>
      </c>
      <c r="DL3" s="18">
        <f>SUM(BQ3:BS3)</f>
        <v>3540982108.7580276</v>
      </c>
      <c r="DM3" s="18">
        <f>SUM(BT3:BV3)</f>
        <v>3990972978.0472975</v>
      </c>
      <c r="DN3" s="18">
        <f>SUM(BW3:BY3)</f>
        <v>4525396838.5109568</v>
      </c>
      <c r="DO3" s="18">
        <f>SUM(BZ3:CB3)</f>
        <v>4336437692.8525047</v>
      </c>
      <c r="DP3" s="18">
        <f>SUM(CC3:CE3)</f>
        <v>4265839237.1870208</v>
      </c>
      <c r="DQ3" s="18">
        <f>SUM(CF3:CH3)</f>
        <v>4780049463.59132</v>
      </c>
      <c r="DR3" s="18">
        <f>SUM(CI3:CK3)</f>
        <v>5371648571.287569</v>
      </c>
      <c r="DS3" s="18">
        <f>SUM(CL3:CN3)</f>
        <v>5032090157.1096649</v>
      </c>
      <c r="DT3" s="18">
        <f>SUM(CO3:CQ3)</f>
        <v>4946253375.3720322</v>
      </c>
      <c r="DU3" s="18">
        <f>SUM(CR3:CT3)</f>
        <v>5534223435.9879255</v>
      </c>
      <c r="DV3" s="18">
        <f>SUM(CU3:CW3)</f>
        <v>6217188273.035265</v>
      </c>
      <c r="DX3" s="18">
        <f>SUM(CY3:DB3)</f>
        <v>7001775237.9474487</v>
      </c>
      <c r="DY3" s="18">
        <f>SUM(DC3:DF3)</f>
        <v>8303317210.978426</v>
      </c>
      <c r="DZ3" s="18">
        <f>SUM(DG3:DJ3)</f>
        <v>12456153185.899031</v>
      </c>
      <c r="EA3" s="18">
        <f>SUM(DK3:DN3)</f>
        <v>15645795567.093849</v>
      </c>
      <c r="EB3" s="18">
        <f>SUM(DO3:DR3)</f>
        <v>18753974964.918415</v>
      </c>
      <c r="EC3" s="819">
        <f>SUM(DS3:DV3)</f>
        <v>21729755241.50489</v>
      </c>
    </row>
    <row r="4" spans="2:133" x14ac:dyDescent="0.2">
      <c r="B4" s="155" t="s">
        <v>229</v>
      </c>
      <c r="C4" s="19">
        <f>'D2C - Retail'!J4+'D2C - Retail'!J7</f>
        <v>40759585.979999997</v>
      </c>
      <c r="D4" s="19">
        <f>'D2C - Retail'!K4+'D2C - Retail'!K7</f>
        <v>41652311.779999986</v>
      </c>
      <c r="E4" s="19">
        <f>'D2C - Retail'!L4+'D2C - Retail'!L7</f>
        <v>44495444.060000099</v>
      </c>
      <c r="F4" s="19">
        <f>'D2C - Retail'!M4+'D2C - Retail'!M7</f>
        <v>26883725.249999974</v>
      </c>
      <c r="G4" s="19">
        <f>'D2C - Retail'!N4+'D2C - Retail'!N7</f>
        <v>721505.06000000029</v>
      </c>
      <c r="H4" s="19">
        <f>'D2C - Retail'!O4+'D2C - Retail'!O7</f>
        <v>17421627.459999997</v>
      </c>
      <c r="I4" s="19">
        <f>'D2C - Retail'!P4+'D2C - Retail'!P7</f>
        <v>25879520.179999951</v>
      </c>
      <c r="J4" s="19">
        <f>'D2C - Retail'!Q4+'D2C - Retail'!Q7</f>
        <v>33983700.790000051</v>
      </c>
      <c r="K4" s="19">
        <f>'D2C - Retail'!R4+'D2C - Retail'!R7</f>
        <v>46491626.070000172</v>
      </c>
      <c r="L4" s="19">
        <f>'D2C - Retail'!S4+'D2C - Retail'!S7</f>
        <v>57472120.100000344</v>
      </c>
      <c r="M4" s="19">
        <f>'D2C - Retail'!T4+'D2C - Retail'!T7</f>
        <v>84978373.91000028</v>
      </c>
      <c r="N4" s="19">
        <f>'D2C - Retail'!U4+'D2C - Retail'!U7</f>
        <v>101108531.90000114</v>
      </c>
      <c r="O4" s="19">
        <f>'D2C - Retail'!V4+'D2C - Retail'!V7</f>
        <v>99854735.73000291</v>
      </c>
      <c r="P4" s="19">
        <f>'D2C - Retail'!W4+'D2C - Retail'!W7</f>
        <v>108673687.2199963</v>
      </c>
      <c r="Q4" s="19">
        <f>'D2C - Retail'!X4+'D2C - Retail'!X7</f>
        <v>122748740.16999501</v>
      </c>
      <c r="R4" s="19">
        <f>'D2C - Retail'!Y4+'D2C - Retail'!Y7</f>
        <v>106378748.60999593</v>
      </c>
      <c r="S4" s="19">
        <f>'D2C - Retail'!Z4+'D2C - Retail'!Z7</f>
        <v>130881046.39000481</v>
      </c>
      <c r="T4" s="19">
        <f>'D2C - Retail'!AA4+'D2C - Retail'!AA7</f>
        <v>156933465.87999016</v>
      </c>
      <c r="U4" s="19">
        <f>'D2C - Retail'!AB4+'D2C - Retail'!AB7</f>
        <v>156671218.99999821</v>
      </c>
      <c r="V4" s="19">
        <f>'D2C - Retail'!AC4+'D2C - Retail'!AC7</f>
        <v>161047976.79000536</v>
      </c>
      <c r="W4" s="19">
        <f>'D2C - Retail'!AD4+'D2C - Retail'!AD7</f>
        <v>153516431.93999976</v>
      </c>
      <c r="X4" s="19">
        <f>'D2C - Retail'!AE4+'D2C - Retail'!AE7</f>
        <v>171770291.64999565</v>
      </c>
      <c r="Y4" s="19">
        <f>'D2C - Retail'!AF4+'D2C - Retail'!AF7</f>
        <v>176306303.24999794</v>
      </c>
      <c r="Z4" s="19">
        <f>'D2C - Retail'!AG4+'D2C - Retail'!AG7</f>
        <v>218562642.15001383</v>
      </c>
      <c r="AA4" s="19">
        <f>'D2C - Retail'!AH4+'D2C - Retail'!AH7</f>
        <v>239543162.08999884</v>
      </c>
      <c r="AB4" s="19">
        <f>'D2C - Retail'!AI4+'D2C - Retail'!AI7</f>
        <v>237861286.1300045</v>
      </c>
      <c r="AC4" s="19">
        <f>'D2C - Retail'!AJ4+'D2C - Retail'!AJ7</f>
        <v>307112209.61998051</v>
      </c>
      <c r="AD4" s="19">
        <f>'D2C - Retail'!AK4+'D2C - Retail'!AK7</f>
        <v>331247452.51002562</v>
      </c>
      <c r="AE4" s="19">
        <f>'D2C - Retail'!AL4+'D2C - Retail'!AL7</f>
        <v>352862390.41002584</v>
      </c>
      <c r="AF4" s="19">
        <f>'D2C - Retail'!AM4+'D2C - Retail'!AM7</f>
        <v>347308513.82003832</v>
      </c>
      <c r="AG4" s="19">
        <f>'D2C - Retail'!AN4+'D2C - Retail'!AN7</f>
        <v>305611979.04004145</v>
      </c>
      <c r="AH4" s="19">
        <f>'D2C - Retail'!AO4+'D2C - Retail'!AO7</f>
        <v>302944856.08996952</v>
      </c>
      <c r="AI4" s="19">
        <f>'D2C - Retail'!AP4+'D2C - Retail'!AP7</f>
        <v>286685390.22003019</v>
      </c>
      <c r="AJ4" s="19">
        <f>'D2C - Retail'!AQ4+'D2C - Retail'!AQ7</f>
        <v>406229554.78254288</v>
      </c>
      <c r="AK4" s="19">
        <f>'D2C - Retail'!AR4+'D2C - Retail'!AR7</f>
        <v>356900249.68254626</v>
      </c>
      <c r="AL4" s="19">
        <f>'D2C - Retail'!AS4+'D2C - Retail'!AS7</f>
        <v>308946523.69609708</v>
      </c>
      <c r="AM4" s="19">
        <f>'D2C - Retail'!AT4+'D2C - Retail'!AT7</f>
        <v>278499313.80915147</v>
      </c>
      <c r="AN4" s="19">
        <f>'D2C - Retail'!AU4+'D2C - Retail'!AU7</f>
        <v>256713670.98305085</v>
      </c>
      <c r="AO4" s="19">
        <f>'D2C - Retail'!AV4+'D2C - Retail'!AV7</f>
        <v>311524850.34305489</v>
      </c>
      <c r="AP4" s="19">
        <f>'D2C - Retail'!AW4+'D2C - Retail'!AW7</f>
        <v>327982013.98305601</v>
      </c>
      <c r="AQ4" s="19">
        <f>'D2C - Retail'!AX4+'D2C - Retail'!AX7</f>
        <v>325838078.57000411</v>
      </c>
      <c r="AR4" s="19">
        <f>'D2C - Retail'!AY4+'D2C - Retail'!AY7</f>
        <v>345435036.7700063</v>
      </c>
      <c r="AS4" s="19">
        <f>'D2C - Retail'!AZ4+'D2C - Retail'!AZ7</f>
        <v>331048534.83000529</v>
      </c>
      <c r="AT4" s="19">
        <f>'D2C - Retail'!BA4+'D2C - Retail'!BA7</f>
        <v>278155190.40000242</v>
      </c>
      <c r="AU4" s="19">
        <f>'D2C - Retail'!BB4+'D2C - Retail'!BB7</f>
        <v>243418973.07000488</v>
      </c>
      <c r="AV4" s="19">
        <f>'D2C - Retail'!BC4+'D2C - Retail'!BC7</f>
        <v>331641015.35000378</v>
      </c>
      <c r="AW4" s="19">
        <f>'D2C - Retail'!BD4+'D2C - Retail'!BD7</f>
        <v>335110838.380005</v>
      </c>
      <c r="AX4" s="19">
        <f>'D2C - Retail'!BE4+'D2C - Retail'!BE7</f>
        <v>398587891.63436681</v>
      </c>
      <c r="AY4" s="19">
        <f>'D2C - Retail'!BF4+'D2C - Retail'!BF7</f>
        <v>415932381.67034614</v>
      </c>
      <c r="AZ4" s="19">
        <f>'D2C - Retail'!BG4+'D2C - Retail'!BG7</f>
        <v>395855141.99006104</v>
      </c>
      <c r="BA4" s="19">
        <f>'D2C - Retail'!BH4+'D2C - Retail'!BH7</f>
        <v>489465459.28010553</v>
      </c>
      <c r="BB4" s="19">
        <f>'D2C - Retail'!BI4+'D2C - Retail'!BI7</f>
        <v>481915569.90013832</v>
      </c>
      <c r="BC4" s="19">
        <f>'D2C - Retail'!BJ4+'D2C - Retail'!BJ7</f>
        <v>463449808.51000363</v>
      </c>
      <c r="BD4" s="19">
        <f>'D2C - Retail'!BK4+'D2C - Retail'!BK7</f>
        <v>471871293.07098442</v>
      </c>
      <c r="BE4" s="19">
        <f>'D2C - Retail'!BL4+'D2C - Retail'!BL7</f>
        <v>518723367.32000118</v>
      </c>
      <c r="BF4" s="19">
        <f>'D2C - Retail'!BM4+'D2C - Retail'!BM7</f>
        <v>431340424.13000178</v>
      </c>
      <c r="BG4" s="19">
        <f>'D2C - Retail'!BN4+'D2C - Retail'!BN7</f>
        <v>407717177.29999751</v>
      </c>
      <c r="BH4" s="19">
        <f>'D2C - Retail'!BO4+'D2C - Retail'!BO7</f>
        <v>582162585.67999601</v>
      </c>
      <c r="BI4" s="19">
        <f>'D2C - Retail'!BP4+'D2C - Retail'!BP7</f>
        <v>523078125.99000001</v>
      </c>
      <c r="BJ4" s="19">
        <f>'D2C - Retail'!BQ4+'D2C - Retail'!BQ7</f>
        <v>645865376.81999576</v>
      </c>
      <c r="BK4" s="19">
        <f>'D2C - Retail'!BR4+'D2C - Retail'!BR7</f>
        <v>697410422.92999864</v>
      </c>
      <c r="BL4" s="19">
        <f>'D2C - Retail'!BS4+'D2C - Retail'!BS7</f>
        <v>673666170.98999512</v>
      </c>
      <c r="BM4" s="19">
        <f>'D2C - Retail'!BT4+'D2C - Retail'!BT7</f>
        <v>789675758.02999902</v>
      </c>
      <c r="BN4" s="19">
        <f>'D2C - Retail'!BU4+'D2C - Retail'!BU7</f>
        <v>685442890.45443857</v>
      </c>
      <c r="BO4" s="19">
        <f>'D2C - Retail'!BV4+'D2C - Retail'!BV7</f>
        <v>669586899.80001223</v>
      </c>
      <c r="BP4" s="19">
        <f>'D2C - Retail'!BW4+'D2C - Retail'!BW7</f>
        <v>667347792.32544088</v>
      </c>
      <c r="BQ4" s="19">
        <f>'D2C - Retail'!BX4+'D2C - Retail'!BX7</f>
        <v>727017735.63809502</v>
      </c>
      <c r="BR4" s="19">
        <f>'D2C - Retail'!BY4+'D2C - Retail'!BY7</f>
        <v>642540892.29174066</v>
      </c>
      <c r="BS4" s="19">
        <f>'D2C - Retail'!BZ4+'D2C - Retail'!BZ7</f>
        <v>591427395.05740976</v>
      </c>
      <c r="BT4" s="19">
        <f>'D2C - Retail'!CA4+'D2C - Retail'!CA7</f>
        <v>752519578.06565154</v>
      </c>
      <c r="BU4" s="19">
        <f>'D2C - Retail'!CB4+'D2C - Retail'!CB7</f>
        <v>687457934.13260162</v>
      </c>
      <c r="BV4" s="19">
        <f>'D2C - Retail'!CC4+'D2C - Retail'!CC7</f>
        <v>829075521.89844418</v>
      </c>
      <c r="BW4" s="19">
        <f>'D2C - Retail'!CD4+'D2C - Retail'!CD7</f>
        <v>850491015.96650934</v>
      </c>
      <c r="BX4" s="19">
        <f>'D2C - Retail'!CE4+'D2C - Retail'!CE7</f>
        <v>785738294.79594076</v>
      </c>
      <c r="BY4" s="19">
        <f>'D2C - Retail'!CF4+'D2C - Retail'!CF7</f>
        <v>923440885.52509487</v>
      </c>
      <c r="BZ4" s="19">
        <f>'D2C - Retail'!CG4+'D2C - Retail'!CG7</f>
        <v>840959582.74877894</v>
      </c>
      <c r="CA4" s="19">
        <f>'D2C - Retail'!CH4+'D2C - Retail'!CH7</f>
        <v>823711421.42850184</v>
      </c>
      <c r="CB4" s="19">
        <f>'D2C - Retail'!CI4+'D2C - Retail'!CI7</f>
        <v>816761441.55557775</v>
      </c>
      <c r="CC4" s="19">
        <f>'D2C - Retail'!CJ4+'D2C - Retail'!CJ7</f>
        <v>888947289.55861664</v>
      </c>
      <c r="CD4" s="19">
        <f>'D2C - Retail'!CK4+'D2C - Retail'!CK7</f>
        <v>784554476.46004248</v>
      </c>
      <c r="CE4" s="19">
        <f>'D2C - Retail'!CL4+'D2C - Retail'!CL7</f>
        <v>720832107.57287025</v>
      </c>
      <c r="CF4" s="19">
        <f>'D2C - Retail'!CM4+'D2C - Retail'!CM7</f>
        <v>913158680.18653595</v>
      </c>
      <c r="CG4" s="19">
        <f>'D2C - Retail'!CN4+'D2C - Retail'!CN7</f>
        <v>830254456.47223234</v>
      </c>
      <c r="CH4" s="19">
        <f>'D2C - Retail'!CO4+'D2C - Retail'!CO7</f>
        <v>997022153.32306588</v>
      </c>
      <c r="CI4" s="19">
        <f>'D2C - Retail'!CP4+'D2C - Retail'!CP7</f>
        <v>1018462887.3015347</v>
      </c>
      <c r="CJ4" s="19">
        <f>'D2C - Retail'!CQ4+'D2C - Retail'!CQ7</f>
        <v>936665079.55470681</v>
      </c>
      <c r="CK4" s="19">
        <f>'D2C - Retail'!CR4+'D2C - Retail'!CR7</f>
        <v>1088117396.717696</v>
      </c>
      <c r="CL4" s="19">
        <f>'D2C - Retail'!CS4+'D2C - Retail'!CS7</f>
        <v>961484855.51802516</v>
      </c>
      <c r="CM4" s="19">
        <f>'D2C - Retail'!CT4+'D2C - Retail'!CT7</f>
        <v>940919500.33693194</v>
      </c>
      <c r="CN4" s="19">
        <f>'D2C - Retail'!CU4+'D2C - Retail'!CU7</f>
        <v>932432086.04148591</v>
      </c>
      <c r="CO4" s="19">
        <f>'D2C - Retail'!CV4+'D2C - Retail'!CV7</f>
        <v>1014253833.5081564</v>
      </c>
      <c r="CP4" s="19">
        <f>'D2C - Retail'!CW4+'D2C - Retail'!CW7</f>
        <v>894379418.48035789</v>
      </c>
      <c r="CQ4" s="19">
        <f>'D2C - Retail'!CX4+'D2C - Retail'!CX7</f>
        <v>820822020.20465815</v>
      </c>
      <c r="CR4" s="19">
        <f>'D2C - Retail'!CY4+'D2C - Retail'!CY7</f>
        <v>1039546172.6038566</v>
      </c>
      <c r="CS4" s="19">
        <f>'D2C - Retail'!CZ4+'D2C - Retail'!CZ7</f>
        <v>944654593.83021259</v>
      </c>
      <c r="CT4" s="19">
        <f>'D2C - Retail'!DA4+'D2C - Retail'!DA7</f>
        <v>1134099680.9134207</v>
      </c>
      <c r="CU4" s="19">
        <f>'D2C - Retail'!DB4+'D2C - Retail'!DB7</f>
        <v>1158180115.9473753</v>
      </c>
      <c r="CV4" s="19">
        <f>'D2C - Retail'!DC4+'D2C - Retail'!DC7</f>
        <v>1064598454.4843043</v>
      </c>
      <c r="CW4" s="19">
        <f>'D2C - Retail'!DD4+'D2C - Retail'!DD7</f>
        <v>1236416103.0667899</v>
      </c>
      <c r="CX4" s="168"/>
      <c r="CY4" s="19">
        <f t="shared" ref="CY4:CY26" si="3">SUM(AD4:AF4)</f>
        <v>1031418356.7400898</v>
      </c>
      <c r="CZ4" s="19">
        <f t="shared" ref="CZ4:CZ26" si="4">SUM(AG4:AI4)</f>
        <v>895242225.35004115</v>
      </c>
      <c r="DA4" s="19">
        <f t="shared" ref="DA4:DA26" si="5">SUM(AJ4:AL4)</f>
        <v>1072076328.1611862</v>
      </c>
      <c r="DB4" s="19">
        <f t="shared" ref="DB4:DB26" si="6">SUM(AM4:AO4)</f>
        <v>846737835.13525724</v>
      </c>
      <c r="DC4" s="19">
        <f t="shared" ref="DC4:DC26" si="7">SUM(AP4:AR4)</f>
        <v>999255129.32306635</v>
      </c>
      <c r="DD4" s="19">
        <f t="shared" ref="DD4:DD26" si="8">SUM(AS4:AU4)</f>
        <v>852622698.30001259</v>
      </c>
      <c r="DE4" s="19">
        <f t="shared" ref="DE4:DE26" si="9">SUM(AV4:AX4)</f>
        <v>1065339745.3643756</v>
      </c>
      <c r="DF4" s="19">
        <f t="shared" ref="DF4:DF26" si="10">SUM(AY4:BA4)</f>
        <v>1301252982.9405127</v>
      </c>
      <c r="DG4" s="19">
        <f t="shared" ref="DG4:DG26" si="11">SUM(BB4:BD4)</f>
        <v>1417236671.4811263</v>
      </c>
      <c r="DH4" s="19">
        <f t="shared" ref="DH4:DH26" si="12">SUM(BE4:BG4)</f>
        <v>1357780968.7500005</v>
      </c>
      <c r="DI4" s="19">
        <f t="shared" ref="DI4:DI26" si="13">SUM(BH4:BJ4)</f>
        <v>1751106088.4899917</v>
      </c>
      <c r="DJ4" s="19">
        <f t="shared" ref="DJ4:DJ26" si="14">SUM(BK4:BM4)</f>
        <v>2160752351.9499931</v>
      </c>
      <c r="DK4" s="19">
        <f t="shared" ref="DK4:DK26" si="15">SUM(BN4:BP4)</f>
        <v>2022377582.5798917</v>
      </c>
      <c r="DL4" s="19">
        <f t="shared" ref="DL4:DL26" si="16">SUM(BQ4:BS4)</f>
        <v>1960986022.9872456</v>
      </c>
      <c r="DM4" s="19">
        <f t="shared" ref="DM4:DM26" si="17">SUM(BT4:BV4)</f>
        <v>2269053034.0966973</v>
      </c>
      <c r="DN4" s="19">
        <f t="shared" ref="DN4:DN26" si="18">SUM(BW4:BY4)</f>
        <v>2559670196.2875452</v>
      </c>
      <c r="DO4" s="19">
        <f t="shared" ref="DO4:DO26" si="19">SUM(BZ4:CB4)</f>
        <v>2481432445.7328587</v>
      </c>
      <c r="DP4" s="19">
        <f t="shared" ref="DP4:DP26" si="20">SUM(CC4:CE4)</f>
        <v>2394333873.5915294</v>
      </c>
      <c r="DQ4" s="19">
        <f t="shared" ref="DQ4:DQ26" si="21">SUM(CF4:CH4)</f>
        <v>2740435289.9818339</v>
      </c>
      <c r="DR4" s="19">
        <f t="shared" ref="DR4:DR26" si="22">SUM(CI4:CK4)</f>
        <v>3043245363.5739374</v>
      </c>
      <c r="DS4" s="19">
        <f t="shared" ref="DS4:DS5" si="23">SUM(CL4:CN4)</f>
        <v>2834836441.8964429</v>
      </c>
      <c r="DT4" s="19">
        <f t="shared" ref="DT4:DT5" si="24">SUM(CO4:CQ4)</f>
        <v>2729455272.1931725</v>
      </c>
      <c r="DU4" s="19">
        <f t="shared" ref="DU4:DU5" si="25">SUM(CR4:CT4)</f>
        <v>3118300447.3474898</v>
      </c>
      <c r="DV4" s="19">
        <f t="shared" ref="DV4:DV5" si="26">SUM(CU4:CW4)</f>
        <v>3459194673.4984694</v>
      </c>
      <c r="DX4" s="19">
        <f t="shared" ref="DX4:DX26" si="27">SUM(CY4:DB4)</f>
        <v>3845474745.3865743</v>
      </c>
      <c r="DY4" s="19">
        <f t="shared" ref="DY4:DY26" si="28">SUM(DC4:DF4)</f>
        <v>4218470555.9279671</v>
      </c>
      <c r="DZ4" s="19">
        <f t="shared" ref="DZ4:DZ26" si="29">SUM(DG4:DJ4)</f>
        <v>6686876080.6711121</v>
      </c>
      <c r="EA4" s="19">
        <f t="shared" ref="EA4:EA26" si="30">SUM(DK4:DN4)</f>
        <v>8812086835.9513798</v>
      </c>
      <c r="EB4" s="19">
        <f t="shared" ref="EB4:EB26" si="31">SUM(DO4:DR4)</f>
        <v>10659446972.880161</v>
      </c>
      <c r="EC4" s="770">
        <f t="shared" ref="EC4:EC26" si="32">SUM(DS4:DV4)</f>
        <v>12141786834.935574</v>
      </c>
    </row>
    <row r="5" spans="2:133" x14ac:dyDescent="0.2">
      <c r="B5" s="155" t="s">
        <v>237</v>
      </c>
      <c r="C5" s="19">
        <f>'D2C Online'!AA4</f>
        <v>4242332</v>
      </c>
      <c r="D5" s="19">
        <f>'D2C Online'!AB4</f>
        <v>3772001</v>
      </c>
      <c r="E5" s="19">
        <f>'D2C Online'!AC4</f>
        <v>5552748</v>
      </c>
      <c r="F5" s="19">
        <f>'D2C Online'!AD4</f>
        <v>3836476.0799999996</v>
      </c>
      <c r="G5" s="19">
        <f>'D2C Online'!AE4</f>
        <v>3785723.8999999966</v>
      </c>
      <c r="H5" s="19">
        <f>'D2C Online'!AF4</f>
        <v>5138666.8999999901</v>
      </c>
      <c r="I5" s="19">
        <f>'D2C Online'!AG4</f>
        <v>5903505</v>
      </c>
      <c r="J5" s="19">
        <f>'D2C Online'!AH4</f>
        <v>5544390</v>
      </c>
      <c r="K5" s="19">
        <f>'D2C Online'!AI4</f>
        <v>6845178</v>
      </c>
      <c r="L5" s="19">
        <f>'D2C Online'!AJ4</f>
        <v>4449624</v>
      </c>
      <c r="M5" s="19">
        <f>'D2C Online'!AK4</f>
        <v>14431400</v>
      </c>
      <c r="N5" s="19">
        <f>'D2C Online'!AL4</f>
        <v>16368535</v>
      </c>
      <c r="O5" s="19">
        <f>'D2C Online'!AM4</f>
        <v>24919559</v>
      </c>
      <c r="P5" s="19">
        <f>'D2C Online'!AN4</f>
        <v>27842886</v>
      </c>
      <c r="Q5" s="19">
        <f>'D2C Online'!AO4</f>
        <v>29713649.399999999</v>
      </c>
      <c r="R5" s="19">
        <f>'D2C Online'!AP4</f>
        <v>24104799.209999993</v>
      </c>
      <c r="S5" s="19">
        <f>'D2C Online'!AQ4</f>
        <v>28258584.179999996</v>
      </c>
      <c r="T5" s="19">
        <f>'D2C Online'!AR4</f>
        <v>53877372.060000002</v>
      </c>
      <c r="U5" s="19">
        <f>'D2C Online'!AS4</f>
        <v>52522425.400000401</v>
      </c>
      <c r="V5" s="19">
        <f>'D2C Online'!AT4</f>
        <v>41784984.220000073</v>
      </c>
      <c r="W5" s="19">
        <f>'D2C Online'!AU4</f>
        <v>47330406.580000088</v>
      </c>
      <c r="X5" s="19">
        <f>'D2C Online'!AV4</f>
        <v>71201176.050000161</v>
      </c>
      <c r="Y5" s="19">
        <f>'D2C Online'!AW4</f>
        <v>58230592.109999999</v>
      </c>
      <c r="Z5" s="19">
        <f>'D2C Online'!AX4</f>
        <v>62072809.040000208</v>
      </c>
      <c r="AA5" s="19">
        <f>'D2C Online'!AY4</f>
        <v>68883437.750000358</v>
      </c>
      <c r="AB5" s="19">
        <f>'D2C Online'!AZ4</f>
        <v>96146013.92000024</v>
      </c>
      <c r="AC5" s="19">
        <f>'D2C Online'!BA4</f>
        <v>189086761.60000095</v>
      </c>
      <c r="AD5" s="19">
        <f>'D2C Online'!BB4</f>
        <v>229232773.04230279</v>
      </c>
      <c r="AE5" s="19">
        <f>'D2C Online'!BC4</f>
        <v>223961114.9779605</v>
      </c>
      <c r="AF5" s="19">
        <f>'D2C Online'!BD4</f>
        <v>254596340.13318229</v>
      </c>
      <c r="AG5" s="19">
        <f>'D2C Online'!BE4</f>
        <v>218694752.89905122</v>
      </c>
      <c r="AH5" s="19">
        <f>'D2C Online'!BF4</f>
        <v>222556498.25425178</v>
      </c>
      <c r="AI5" s="19">
        <f>'D2C Online'!BG4</f>
        <v>255759965.27878931</v>
      </c>
      <c r="AJ5" s="19">
        <f>'D2C Online'!BH4</f>
        <v>387371877.53215408</v>
      </c>
      <c r="AK5" s="19">
        <f>'D2C Online'!BI4</f>
        <v>302891530.21127993</v>
      </c>
      <c r="AL5" s="19">
        <f>'D2C Online'!BJ4</f>
        <v>272757893.06306797</v>
      </c>
      <c r="AM5" s="19">
        <f>'D2C Online'!BK4</f>
        <v>278091728.85167193</v>
      </c>
      <c r="AN5" s="19">
        <f>'D2C Online'!BL4</f>
        <v>231852458</v>
      </c>
      <c r="AO5" s="19">
        <f>'D2C Online'!BM4</f>
        <v>278533560.31716239</v>
      </c>
      <c r="AP5" s="19">
        <f>'D2C Online'!BN4</f>
        <v>275363218.8877117</v>
      </c>
      <c r="AQ5" s="19">
        <f>'D2C Online'!BO4</f>
        <v>298185179.29365683</v>
      </c>
      <c r="AR5" s="19">
        <f>'D2C Online'!BP4</f>
        <v>305543953.87704253</v>
      </c>
      <c r="AS5" s="19">
        <f>'D2C Online'!BQ4</f>
        <v>321805524.56689703</v>
      </c>
      <c r="AT5" s="19">
        <f>'D2C Online'!BR4</f>
        <v>312831578.98424667</v>
      </c>
      <c r="AU5" s="19">
        <f>'D2C Online'!BS4</f>
        <v>322902748.88117516</v>
      </c>
      <c r="AV5" s="19">
        <f>'D2C Online'!BT4</f>
        <v>328284149.9342829</v>
      </c>
      <c r="AW5" s="19">
        <f>'D2C Online'!BU4</f>
        <v>301372361.33225411</v>
      </c>
      <c r="AX5" s="19">
        <f>'D2C Online'!BV4</f>
        <v>340051005.91368407</v>
      </c>
      <c r="AY5" s="19">
        <f>'D2C Online'!BW4</f>
        <v>389801836.33157235</v>
      </c>
      <c r="AZ5" s="19">
        <f>'D2C Online'!BX4</f>
        <v>377296304.1417616</v>
      </c>
      <c r="BA5" s="19">
        <f>'D2C Online'!BY4</f>
        <v>511408792.90617436</v>
      </c>
      <c r="BB5" s="19">
        <f>'D2C Online'!BZ4</f>
        <v>463859744.50764561</v>
      </c>
      <c r="BC5" s="19">
        <f>'D2C Online'!CA4</f>
        <v>463692851.46933931</v>
      </c>
      <c r="BD5" s="19">
        <f>'D2C Online'!CB4</f>
        <v>457837690.40383381</v>
      </c>
      <c r="BE5" s="19">
        <f>'D2C Online'!CC4</f>
        <v>465130672.15745705</v>
      </c>
      <c r="BF5" s="19">
        <f>'D2C Online'!CD4</f>
        <v>422840430</v>
      </c>
      <c r="BG5" s="19">
        <f>'D2C Online'!CE4</f>
        <v>451918104.03670436</v>
      </c>
      <c r="BH5" s="19">
        <f>'D2C Online'!CF4</f>
        <v>464918845.62749183</v>
      </c>
      <c r="BI5" s="19">
        <f>'D2C Online'!CG4</f>
        <v>448242146.97059989</v>
      </c>
      <c r="BJ5" s="19">
        <f>'D2C Online'!CH4</f>
        <v>527734280.64499974</v>
      </c>
      <c r="BK5" s="19">
        <f>'D2C Online'!CI4</f>
        <v>577401974.45063937</v>
      </c>
      <c r="BL5" s="19">
        <f>'D2C Online'!CJ4</f>
        <v>476815410.4677586</v>
      </c>
      <c r="BM5" s="19">
        <f>'D2C Online'!CK4</f>
        <v>548884954.49144971</v>
      </c>
      <c r="BN5" s="19">
        <f>'D2C Online'!CL4</f>
        <v>518628007.2790212</v>
      </c>
      <c r="BO5" s="19">
        <f>'D2C Online'!CM4</f>
        <v>523906425.41995186</v>
      </c>
      <c r="BP5" s="19">
        <f>'D2C Online'!CN4</f>
        <v>523531626.49870235</v>
      </c>
      <c r="BQ5" s="19">
        <f>'D2C Online'!CO4</f>
        <v>531433637.08837974</v>
      </c>
      <c r="BR5" s="19">
        <f>'D2C Online'!CP4</f>
        <v>500762592.03279406</v>
      </c>
      <c r="BS5" s="19">
        <f>'D2C Online'!CQ4</f>
        <v>547799856.64960861</v>
      </c>
      <c r="BT5" s="19">
        <f>'D2C Online'!CR4</f>
        <v>532651733.58244061</v>
      </c>
      <c r="BU5" s="19">
        <f>'D2C Online'!CS4</f>
        <v>533901063.31993902</v>
      </c>
      <c r="BV5" s="19">
        <f>'D2C Online'!CT4</f>
        <v>655367147.0482204</v>
      </c>
      <c r="BW5" s="19">
        <f>'D2C Online'!CU4</f>
        <v>706152400.87753022</v>
      </c>
      <c r="BX5" s="19">
        <f>'D2C Online'!CV4</f>
        <v>605393957.54828465</v>
      </c>
      <c r="BY5" s="19">
        <f>'D2C Online'!CW4</f>
        <v>654180283.79759693</v>
      </c>
      <c r="BZ5" s="19">
        <f>'D2C Online'!CX4</f>
        <v>614314874.62200058</v>
      </c>
      <c r="CA5" s="19">
        <f>'D2C Online'!CY4</f>
        <v>620567160.90993297</v>
      </c>
      <c r="CB5" s="19">
        <f>'D2C Online'!CZ4</f>
        <v>620123211.587713</v>
      </c>
      <c r="CC5" s="19">
        <f>'D2C Online'!DA4</f>
        <v>629483143.13118577</v>
      </c>
      <c r="CD5" s="19">
        <f>'D2C Online'!DB4</f>
        <v>593153290.26284456</v>
      </c>
      <c r="CE5" s="19">
        <f>'D2C Online'!DC4</f>
        <v>648868930.20146143</v>
      </c>
      <c r="CF5" s="19">
        <f>'D2C Online'!DD4</f>
        <v>630925978.42840087</v>
      </c>
      <c r="CG5" s="19">
        <f>'D2C Online'!DE4</f>
        <v>632405809.50246775</v>
      </c>
      <c r="CH5" s="19">
        <f>'D2C Online'!DF4</f>
        <v>776282385.67861712</v>
      </c>
      <c r="CI5" s="19">
        <f>'D2C Online'!DG4</f>
        <v>836437518.8394345</v>
      </c>
      <c r="CJ5" s="19">
        <f>'D2C Online'!DH4</f>
        <v>717089142.7159431</v>
      </c>
      <c r="CK5" s="19">
        <f>'D2C Online'!DI4</f>
        <v>774876546.15825355</v>
      </c>
      <c r="CL5" s="19">
        <f>'D2C Online'!DJ4</f>
        <v>727655968.98975968</v>
      </c>
      <c r="CM5" s="19">
        <f>'D2C Online'!DK4</f>
        <v>735061802.09781563</v>
      </c>
      <c r="CN5" s="19">
        <f>'D2C Online'!DL4</f>
        <v>734535944.125646</v>
      </c>
      <c r="CO5" s="19">
        <f>'D2C Online'!DM4</f>
        <v>745622783.03888953</v>
      </c>
      <c r="CP5" s="19">
        <f>'D2C Online'!DN4</f>
        <v>702590072.31633937</v>
      </c>
      <c r="CQ5" s="19">
        <f>'D2C Online'!DO4</f>
        <v>768585247.82363105</v>
      </c>
      <c r="CR5" s="19">
        <f>'D2C Online'!DP4</f>
        <v>747331821.44844079</v>
      </c>
      <c r="CS5" s="19">
        <f>'D2C Online'!DQ4</f>
        <v>749084681.35567296</v>
      </c>
      <c r="CT5" s="19">
        <f>'D2C Online'!DR4</f>
        <v>919506485.83632195</v>
      </c>
      <c r="CU5" s="19">
        <f>'D2C Online'!DS4</f>
        <v>990760241.06531012</v>
      </c>
      <c r="CV5" s="19">
        <f>'D2C Online'!DT4</f>
        <v>849392089.5470345</v>
      </c>
      <c r="CW5" s="19">
        <f>'D2C Online'!DU4</f>
        <v>917841268.92445123</v>
      </c>
      <c r="CX5" s="168"/>
      <c r="CY5" s="19">
        <f t="shared" si="3"/>
        <v>707790228.1534456</v>
      </c>
      <c r="CZ5" s="19">
        <f t="shared" si="4"/>
        <v>697011216.43209231</v>
      </c>
      <c r="DA5" s="19">
        <f t="shared" si="5"/>
        <v>963021300.80650187</v>
      </c>
      <c r="DB5" s="19">
        <f t="shared" si="6"/>
        <v>788477747.16883433</v>
      </c>
      <c r="DC5" s="19">
        <f t="shared" si="7"/>
        <v>879092352.05841112</v>
      </c>
      <c r="DD5" s="19">
        <f t="shared" si="8"/>
        <v>957539852.43231881</v>
      </c>
      <c r="DE5" s="19">
        <f t="shared" si="9"/>
        <v>969707517.18022108</v>
      </c>
      <c r="DF5" s="19">
        <f t="shared" si="10"/>
        <v>1278506933.3795083</v>
      </c>
      <c r="DG5" s="19">
        <f t="shared" si="11"/>
        <v>1385390286.3808188</v>
      </c>
      <c r="DH5" s="19">
        <f t="shared" si="12"/>
        <v>1339889206.1941614</v>
      </c>
      <c r="DI5" s="19">
        <f t="shared" si="13"/>
        <v>1440895273.2430916</v>
      </c>
      <c r="DJ5" s="19">
        <f t="shared" si="14"/>
        <v>1603102339.4098477</v>
      </c>
      <c r="DK5" s="19">
        <f t="shared" si="15"/>
        <v>1566066059.1976755</v>
      </c>
      <c r="DL5" s="19">
        <f t="shared" si="16"/>
        <v>1579996085.7707825</v>
      </c>
      <c r="DM5" s="19">
        <f t="shared" si="17"/>
        <v>1721919943.9506001</v>
      </c>
      <c r="DN5" s="19">
        <f t="shared" si="18"/>
        <v>1965726642.2234118</v>
      </c>
      <c r="DO5" s="19">
        <f t="shared" si="19"/>
        <v>1855005247.1196465</v>
      </c>
      <c r="DP5" s="19">
        <f t="shared" si="20"/>
        <v>1871505363.5954919</v>
      </c>
      <c r="DQ5" s="19">
        <f t="shared" si="21"/>
        <v>2039614173.6094856</v>
      </c>
      <c r="DR5" s="19">
        <f t="shared" si="22"/>
        <v>2328403207.7136312</v>
      </c>
      <c r="DS5" s="19">
        <f t="shared" si="23"/>
        <v>2197253715.2132215</v>
      </c>
      <c r="DT5" s="19">
        <f t="shared" si="24"/>
        <v>2216798103.1788597</v>
      </c>
      <c r="DU5" s="19">
        <f t="shared" si="25"/>
        <v>2415922988.6404357</v>
      </c>
      <c r="DV5" s="19">
        <f t="shared" si="26"/>
        <v>2757993599.5367961</v>
      </c>
      <c r="DX5" s="19">
        <f t="shared" si="27"/>
        <v>3156300492.560874</v>
      </c>
      <c r="DY5" s="19">
        <f t="shared" si="28"/>
        <v>4084846655.0504589</v>
      </c>
      <c r="DZ5" s="19">
        <f t="shared" si="29"/>
        <v>5769277105.2279196</v>
      </c>
      <c r="EA5" s="19">
        <f t="shared" si="30"/>
        <v>6833708731.1424694</v>
      </c>
      <c r="EB5" s="19">
        <f t="shared" si="31"/>
        <v>8094527992.0382557</v>
      </c>
      <c r="EC5" s="770">
        <f t="shared" si="32"/>
        <v>9587968406.569313</v>
      </c>
    </row>
    <row r="6" spans="2:133" x14ac:dyDescent="0.2">
      <c r="B6" s="155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68"/>
      <c r="CY6" s="19">
        <f t="shared" si="3"/>
        <v>0</v>
      </c>
      <c r="CZ6" s="19">
        <f t="shared" si="4"/>
        <v>0</v>
      </c>
      <c r="DA6" s="19">
        <f t="shared" si="5"/>
        <v>0</v>
      </c>
      <c r="DB6" s="19">
        <f t="shared" si="6"/>
        <v>0</v>
      </c>
      <c r="DC6" s="19">
        <f t="shared" si="7"/>
        <v>0</v>
      </c>
      <c r="DD6" s="19">
        <f t="shared" si="8"/>
        <v>0</v>
      </c>
      <c r="DE6" s="19">
        <f t="shared" si="9"/>
        <v>0</v>
      </c>
      <c r="DF6" s="19">
        <f t="shared" si="10"/>
        <v>0</v>
      </c>
      <c r="DG6" s="19">
        <f t="shared" si="11"/>
        <v>0</v>
      </c>
      <c r="DH6" s="19">
        <f t="shared" si="12"/>
        <v>0</v>
      </c>
      <c r="DI6" s="19">
        <f t="shared" si="13"/>
        <v>0</v>
      </c>
      <c r="DJ6" s="19">
        <f t="shared" si="14"/>
        <v>0</v>
      </c>
      <c r="DK6" s="19">
        <f t="shared" si="15"/>
        <v>0</v>
      </c>
      <c r="DL6" s="19">
        <f t="shared" si="16"/>
        <v>0</v>
      </c>
      <c r="DM6" s="19">
        <f t="shared" si="17"/>
        <v>0</v>
      </c>
      <c r="DN6" s="19">
        <f t="shared" si="18"/>
        <v>0</v>
      </c>
      <c r="DO6" s="19">
        <f t="shared" si="19"/>
        <v>0</v>
      </c>
      <c r="DP6" s="19">
        <f t="shared" si="20"/>
        <v>0</v>
      </c>
      <c r="DQ6" s="19">
        <f t="shared" si="21"/>
        <v>0</v>
      </c>
      <c r="DR6" s="19">
        <f t="shared" si="22"/>
        <v>0</v>
      </c>
      <c r="DS6" s="19">
        <f t="shared" ref="DS6:DS15" si="33">SUM(CL6:CN6)</f>
        <v>0</v>
      </c>
      <c r="DT6" s="19">
        <f t="shared" ref="DT6:DT15" si="34">SUM(CO6:CQ6)</f>
        <v>0</v>
      </c>
      <c r="DU6" s="19">
        <f t="shared" ref="DU6:DU15" si="35">SUM(CR6:CT6)</f>
        <v>0</v>
      </c>
      <c r="DV6" s="19">
        <f t="shared" ref="DV6:DV15" si="36">SUM(CU6:CW6)</f>
        <v>0</v>
      </c>
      <c r="DX6" s="19">
        <f t="shared" si="27"/>
        <v>0</v>
      </c>
      <c r="DY6" s="19">
        <f t="shared" si="28"/>
        <v>0</v>
      </c>
      <c r="DZ6" s="19">
        <f t="shared" si="29"/>
        <v>0</v>
      </c>
      <c r="EA6" s="19">
        <f t="shared" si="30"/>
        <v>0</v>
      </c>
      <c r="EB6" s="19">
        <f t="shared" si="31"/>
        <v>0</v>
      </c>
      <c r="EC6" s="770">
        <f t="shared" si="32"/>
        <v>0</v>
      </c>
    </row>
    <row r="7" spans="2:133" x14ac:dyDescent="0.2">
      <c r="B7" s="155" t="s">
        <v>229</v>
      </c>
      <c r="C7" s="19">
        <f>'D2C - Retail'!J13</f>
        <v>2095</v>
      </c>
      <c r="D7" s="19">
        <f>'D2C - Retail'!K13</f>
        <v>2427</v>
      </c>
      <c r="E7" s="19">
        <f>'D2C - Retail'!L13</f>
        <v>3136</v>
      </c>
      <c r="F7" s="19">
        <f>'D2C - Retail'!M13</f>
        <v>1808</v>
      </c>
      <c r="G7" s="19">
        <f>'D2C - Retail'!N13</f>
        <v>52</v>
      </c>
      <c r="H7" s="19">
        <f>'D2C - Retail'!O13</f>
        <v>1290</v>
      </c>
      <c r="I7" s="19">
        <f>'D2C - Retail'!P13</f>
        <v>1959</v>
      </c>
      <c r="J7" s="19">
        <f>'D2C - Retail'!Q13</f>
        <v>2540</v>
      </c>
      <c r="K7" s="19">
        <f>'D2C - Retail'!R13</f>
        <v>3673</v>
      </c>
      <c r="L7" s="19">
        <f>'D2C - Retail'!S13</f>
        <v>4009</v>
      </c>
      <c r="M7" s="19">
        <f>'D2C - Retail'!T13</f>
        <v>5579</v>
      </c>
      <c r="N7" s="19">
        <f>'D2C - Retail'!U13</f>
        <v>6925</v>
      </c>
      <c r="O7" s="19">
        <f>'D2C - Retail'!V13</f>
        <v>6865</v>
      </c>
      <c r="P7" s="19">
        <f>'D2C - Retail'!W13</f>
        <v>6978</v>
      </c>
      <c r="Q7" s="19">
        <f>'D2C - Retail'!X13</f>
        <v>7566</v>
      </c>
      <c r="R7" s="19">
        <f>'D2C - Retail'!Y13</f>
        <v>6552</v>
      </c>
      <c r="S7" s="19">
        <f>'D2C - Retail'!Z13</f>
        <v>8769</v>
      </c>
      <c r="T7" s="19">
        <f>'D2C - Retail'!AA13</f>
        <v>9095</v>
      </c>
      <c r="U7" s="19">
        <f>'D2C - Retail'!AB13</f>
        <v>9732</v>
      </c>
      <c r="V7" s="19">
        <f>'D2C - Retail'!AC13</f>
        <v>10287</v>
      </c>
      <c r="W7" s="19">
        <f>'D2C - Retail'!AD13</f>
        <v>10390</v>
      </c>
      <c r="X7" s="19">
        <f>'D2C - Retail'!AE13</f>
        <v>10594</v>
      </c>
      <c r="Y7" s="19">
        <f>'D2C - Retail'!AF13</f>
        <v>10187</v>
      </c>
      <c r="Z7" s="19">
        <f>'D2C - Retail'!AG13</f>
        <v>11572</v>
      </c>
      <c r="AA7" s="19">
        <f>'D2C - Retail'!AH13</f>
        <v>11976</v>
      </c>
      <c r="AB7" s="19">
        <f>'D2C - Retail'!AI13</f>
        <v>11023</v>
      </c>
      <c r="AC7" s="19">
        <f>'D2C - Retail'!AJ13</f>
        <v>12932</v>
      </c>
      <c r="AD7" s="19">
        <f>'D2C - Retail'!AK13</f>
        <v>13201</v>
      </c>
      <c r="AE7" s="19">
        <f>'D2C - Retail'!AL13</f>
        <v>14628</v>
      </c>
      <c r="AF7" s="19">
        <f>'D2C - Retail'!AM13</f>
        <v>14693</v>
      </c>
      <c r="AG7" s="19">
        <f>'D2C - Retail'!AN13</f>
        <v>13222</v>
      </c>
      <c r="AH7" s="19">
        <f>'D2C - Retail'!AO13</f>
        <v>13379</v>
      </c>
      <c r="AI7" s="19">
        <f>'D2C - Retail'!AP13</f>
        <v>12636</v>
      </c>
      <c r="AJ7" s="19">
        <f>'D2C - Retail'!AQ13</f>
        <v>15254</v>
      </c>
      <c r="AK7" s="19">
        <f>'D2C - Retail'!AR13</f>
        <v>13790</v>
      </c>
      <c r="AL7" s="19">
        <f>'D2C - Retail'!AS13</f>
        <v>12255</v>
      </c>
      <c r="AM7" s="19">
        <f>'D2C - Retail'!AT13</f>
        <v>11040</v>
      </c>
      <c r="AN7" s="19">
        <f>'D2C - Retail'!AU13</f>
        <v>9729</v>
      </c>
      <c r="AO7" s="19">
        <f>'D2C - Retail'!AV13</f>
        <v>12176</v>
      </c>
      <c r="AP7" s="19">
        <f>'D2C - Retail'!AW13</f>
        <v>12948</v>
      </c>
      <c r="AQ7" s="19">
        <f>'D2C - Retail'!AX13</f>
        <v>12532</v>
      </c>
      <c r="AR7" s="19">
        <f>'D2C - Retail'!AY13</f>
        <v>13565</v>
      </c>
      <c r="AS7" s="19">
        <f>'D2C - Retail'!AZ13</f>
        <v>12910</v>
      </c>
      <c r="AT7" s="19">
        <f>'D2C - Retail'!BA13</f>
        <v>10609</v>
      </c>
      <c r="AU7" s="19">
        <f>'D2C - Retail'!BB13</f>
        <v>9299</v>
      </c>
      <c r="AV7" s="19">
        <f>'D2C - Retail'!BC13</f>
        <v>11327</v>
      </c>
      <c r="AW7" s="19">
        <f>'D2C - Retail'!BD13</f>
        <v>11093</v>
      </c>
      <c r="AX7" s="19">
        <f>'D2C - Retail'!BE13</f>
        <v>13078</v>
      </c>
      <c r="AY7" s="19">
        <f>'D2C - Retail'!BF13</f>
        <v>13361</v>
      </c>
      <c r="AZ7" s="19">
        <f>'D2C - Retail'!BG13</f>
        <v>12631</v>
      </c>
      <c r="BA7" s="19">
        <f>'D2C - Retail'!BH13</f>
        <v>15511</v>
      </c>
      <c r="BB7" s="19">
        <f>'D2C - Retail'!BI13</f>
        <v>15328</v>
      </c>
      <c r="BC7" s="19">
        <f>'D2C - Retail'!BJ13</f>
        <v>15252</v>
      </c>
      <c r="BD7" s="19">
        <f>'D2C - Retail'!BK13</f>
        <v>15331</v>
      </c>
      <c r="BE7" s="19">
        <f>'D2C - Retail'!BL13</f>
        <v>16995</v>
      </c>
      <c r="BF7" s="19">
        <f>'D2C - Retail'!BM13</f>
        <v>14763</v>
      </c>
      <c r="BG7" s="19">
        <f>'D2C - Retail'!BN13</f>
        <v>13644</v>
      </c>
      <c r="BH7" s="19">
        <f>'D2C - Retail'!BO13</f>
        <v>17482</v>
      </c>
      <c r="BI7" s="19">
        <f>'D2C - Retail'!BP13</f>
        <v>15861</v>
      </c>
      <c r="BJ7" s="19">
        <f>'D2C - Retail'!BQ13</f>
        <v>19815</v>
      </c>
      <c r="BK7" s="19">
        <f>'D2C - Retail'!BR13</f>
        <v>21208</v>
      </c>
      <c r="BL7" s="19">
        <f>'D2C - Retail'!BS13</f>
        <v>20145</v>
      </c>
      <c r="BM7" s="19">
        <f>'D2C - Retail'!BT13</f>
        <v>23622</v>
      </c>
      <c r="BN7" s="19">
        <f>'D2C - Retail'!BU13</f>
        <v>20817.756521739131</v>
      </c>
      <c r="BO7" s="19">
        <f>'D2C - Retail'!BV13</f>
        <v>20336</v>
      </c>
      <c r="BP7" s="19">
        <f>'D2C - Retail'!BW13</f>
        <v>20267.89974093264</v>
      </c>
      <c r="BQ7" s="19">
        <f>'D2C - Retail'!BX13</f>
        <v>22080.624999999996</v>
      </c>
      <c r="BR7" s="19">
        <f>'D2C - Retail'!BY13</f>
        <v>19514.138071065987</v>
      </c>
      <c r="BS7" s="19">
        <f>'D2C - Retail'!BZ13</f>
        <v>17961.205970149251</v>
      </c>
      <c r="BT7" s="19">
        <f>'D2C - Retail'!CA13</f>
        <v>22855.144117647058</v>
      </c>
      <c r="BU7" s="19">
        <f>'D2C - Retail'!CB13</f>
        <v>20878.491951219512</v>
      </c>
      <c r="BV7" s="19">
        <f>'D2C - Retail'!CC13</f>
        <v>25180.790887850464</v>
      </c>
      <c r="BW7" s="19">
        <f>'D2C - Retail'!CD13</f>
        <v>25831.343999999997</v>
      </c>
      <c r="BX7" s="19">
        <f>'D2C - Retail'!CE13</f>
        <v>23864.076923076922</v>
      </c>
      <c r="BY7" s="19">
        <f>'D2C - Retail'!CF13</f>
        <v>28047.387341772155</v>
      </c>
      <c r="BZ7" s="19">
        <f>'D2C - Retail'!CG13</f>
        <v>24797.621739130434</v>
      </c>
      <c r="CA7" s="19">
        <f>'D2C - Retail'!CH13</f>
        <v>24288.809999999998</v>
      </c>
      <c r="CB7" s="19">
        <f>'D2C - Retail'!CI13</f>
        <v>24083.769753886008</v>
      </c>
      <c r="CC7" s="19">
        <f>'D2C - Retail'!CJ13</f>
        <v>26212.856250000001</v>
      </c>
      <c r="CD7" s="19">
        <f>'D2C - Retail'!CK13</f>
        <v>23133.695939086298</v>
      </c>
      <c r="CE7" s="19">
        <f>'D2C - Retail'!CL13</f>
        <v>21254.093731343288</v>
      </c>
      <c r="CF7" s="19">
        <f>'D2C - Retail'!CM13</f>
        <v>26926.779044117648</v>
      </c>
      <c r="CG7" s="19">
        <f>'D2C - Retail'!CN13</f>
        <v>24481.453500000003</v>
      </c>
      <c r="CH7" s="19">
        <f>'D2C - Retail'!CO13</f>
        <v>29400.274766355145</v>
      </c>
      <c r="CI7" s="19">
        <f>'D2C - Retail'!CP13</f>
        <v>30032.648800000006</v>
      </c>
      <c r="CJ7" s="19">
        <f>'D2C - Retail'!CQ13</f>
        <v>27619.957211538462</v>
      </c>
      <c r="CK7" s="19">
        <f>'D2C - Retail'!CR13</f>
        <v>32087.048354430382</v>
      </c>
      <c r="CL7" s="19">
        <f>'D2C - Retail'!CS13</f>
        <v>28351.947521739137</v>
      </c>
      <c r="CM7" s="19">
        <f>'D2C - Retail'!CT13</f>
        <v>27745.294500000004</v>
      </c>
      <c r="CN7" s="19">
        <f>'D2C - Retail'!CU13</f>
        <v>27494.907324481868</v>
      </c>
      <c r="CO7" s="19">
        <f>'D2C - Retail'!CV13</f>
        <v>29908.206562500007</v>
      </c>
      <c r="CP7" s="19">
        <f>'D2C - Retail'!CW13</f>
        <v>26372.413370558381</v>
      </c>
      <c r="CQ7" s="19">
        <f>'D2C - Retail'!CX13</f>
        <v>24202.725044776125</v>
      </c>
      <c r="CR7" s="19">
        <f>'D2C - Retail'!CY13</f>
        <v>30654.012143382359</v>
      </c>
      <c r="CS7" s="19">
        <f>'D2C - Retail'!CZ13</f>
        <v>27855.117214024394</v>
      </c>
      <c r="CT7" s="19">
        <f>'D2C - Retail'!DA13</f>
        <v>33442.812546728979</v>
      </c>
      <c r="CU7" s="19">
        <f>'D2C - Retail'!DB13</f>
        <v>34153.045080000004</v>
      </c>
      <c r="CV7" s="19">
        <f>'D2C - Retail'!DC13</f>
        <v>31392.786418269228</v>
      </c>
      <c r="CW7" s="19">
        <f>'D2C - Retail'!DD13</f>
        <v>36460.557000000008</v>
      </c>
      <c r="CX7" s="168"/>
      <c r="CY7" s="19">
        <f t="shared" si="3"/>
        <v>42522</v>
      </c>
      <c r="CZ7" s="19">
        <f t="shared" si="4"/>
        <v>39237</v>
      </c>
      <c r="DA7" s="19">
        <f t="shared" si="5"/>
        <v>41299</v>
      </c>
      <c r="DB7" s="19">
        <f t="shared" si="6"/>
        <v>32945</v>
      </c>
      <c r="DC7" s="19">
        <f t="shared" si="7"/>
        <v>39045</v>
      </c>
      <c r="DD7" s="19">
        <f t="shared" si="8"/>
        <v>32818</v>
      </c>
      <c r="DE7" s="19">
        <f t="shared" si="9"/>
        <v>35498</v>
      </c>
      <c r="DF7" s="19">
        <f t="shared" si="10"/>
        <v>41503</v>
      </c>
      <c r="DG7" s="19">
        <f t="shared" si="11"/>
        <v>45911</v>
      </c>
      <c r="DH7" s="19">
        <f t="shared" si="12"/>
        <v>45402</v>
      </c>
      <c r="DI7" s="19">
        <f t="shared" si="13"/>
        <v>53158</v>
      </c>
      <c r="DJ7" s="19">
        <f t="shared" si="14"/>
        <v>64975</v>
      </c>
      <c r="DK7" s="19">
        <f t="shared" si="15"/>
        <v>61421.656262671771</v>
      </c>
      <c r="DL7" s="19">
        <f t="shared" si="16"/>
        <v>59555.969041215241</v>
      </c>
      <c r="DM7" s="19">
        <f t="shared" si="17"/>
        <v>68914.426956717041</v>
      </c>
      <c r="DN7" s="19">
        <f t="shared" si="18"/>
        <v>77742.808264849067</v>
      </c>
      <c r="DO7" s="19">
        <f t="shared" si="19"/>
        <v>73170.201493016444</v>
      </c>
      <c r="DP7" s="19">
        <f t="shared" si="20"/>
        <v>70600.645920429582</v>
      </c>
      <c r="DQ7" s="19">
        <f t="shared" si="21"/>
        <v>80808.507310472793</v>
      </c>
      <c r="DR7" s="19">
        <f t="shared" si="22"/>
        <v>89739.654365968847</v>
      </c>
      <c r="DS7" s="19">
        <f t="shared" si="33"/>
        <v>83592.149346221006</v>
      </c>
      <c r="DT7" s="19">
        <f t="shared" si="34"/>
        <v>80483.344977834524</v>
      </c>
      <c r="DU7" s="19">
        <f t="shared" si="35"/>
        <v>91951.941904135732</v>
      </c>
      <c r="DV7" s="19">
        <f t="shared" si="36"/>
        <v>102006.38849826923</v>
      </c>
      <c r="DX7" s="19">
        <f t="shared" si="27"/>
        <v>156003</v>
      </c>
      <c r="DY7" s="19">
        <f t="shared" si="28"/>
        <v>148864</v>
      </c>
      <c r="DZ7" s="19">
        <f t="shared" si="29"/>
        <v>209446</v>
      </c>
      <c r="EA7" s="19">
        <f t="shared" si="30"/>
        <v>267634.86052545311</v>
      </c>
      <c r="EB7" s="19">
        <f t="shared" si="31"/>
        <v>314319.00908988767</v>
      </c>
      <c r="EC7" s="770">
        <f t="shared" si="32"/>
        <v>358033.8247264605</v>
      </c>
    </row>
    <row r="8" spans="2:133" x14ac:dyDescent="0.2">
      <c r="B8" s="155" t="s">
        <v>237</v>
      </c>
      <c r="C8" s="19">
        <f>'D2C Online'!AA12</f>
        <v>250</v>
      </c>
      <c r="D8" s="19">
        <f>'D2C Online'!AB12</f>
        <v>255</v>
      </c>
      <c r="E8" s="19">
        <f>'D2C Online'!AC12</f>
        <v>364</v>
      </c>
      <c r="F8" s="19">
        <f>'D2C Online'!AD12</f>
        <v>318</v>
      </c>
      <c r="G8" s="19">
        <f>'D2C Online'!AE12</f>
        <v>293</v>
      </c>
      <c r="H8" s="19">
        <f>'D2C Online'!AF12</f>
        <v>356</v>
      </c>
      <c r="I8" s="19">
        <f>'D2C Online'!AG12</f>
        <v>409</v>
      </c>
      <c r="J8" s="19">
        <f>'D2C Online'!AH12</f>
        <v>419</v>
      </c>
      <c r="K8" s="19">
        <f>'D2C Online'!AI12</f>
        <v>431</v>
      </c>
      <c r="L8" s="19">
        <f>'D2C Online'!AJ12</f>
        <v>290</v>
      </c>
      <c r="M8" s="19">
        <f>'D2C Online'!AK12</f>
        <v>851</v>
      </c>
      <c r="N8" s="19">
        <f>'D2C Online'!AL12</f>
        <v>1039</v>
      </c>
      <c r="O8" s="19">
        <f>'D2C Online'!AM12</f>
        <v>1589</v>
      </c>
      <c r="P8" s="19">
        <f>'D2C Online'!AN12</f>
        <v>1699</v>
      </c>
      <c r="Q8" s="19">
        <f>'D2C Online'!AO12</f>
        <v>1827</v>
      </c>
      <c r="R8" s="19">
        <f>'D2C Online'!AP12</f>
        <v>1461</v>
      </c>
      <c r="S8" s="19">
        <f>'D2C Online'!AQ12</f>
        <v>1431</v>
      </c>
      <c r="T8" s="19">
        <f>'D2C Online'!AR12</f>
        <v>2842</v>
      </c>
      <c r="U8" s="19">
        <f>'D2C Online'!AS12</f>
        <v>3099</v>
      </c>
      <c r="V8" s="19">
        <f>'D2C Online'!AT12</f>
        <v>2790</v>
      </c>
      <c r="W8" s="19">
        <f>'D2C Online'!AU12</f>
        <v>3118</v>
      </c>
      <c r="X8" s="19">
        <f>'D2C Online'!AV12</f>
        <v>3609</v>
      </c>
      <c r="Y8" s="19">
        <f>'D2C Online'!AW12</f>
        <v>2578</v>
      </c>
      <c r="Z8" s="19">
        <f>'D2C Online'!AX12</f>
        <v>2887</v>
      </c>
      <c r="AA8" s="19">
        <f>'D2C Online'!AY12</f>
        <v>2826</v>
      </c>
      <c r="AB8" s="19">
        <f>'D2C Online'!AZ12</f>
        <v>4310</v>
      </c>
      <c r="AC8" s="19">
        <f>'D2C Online'!BA12</f>
        <v>8131</v>
      </c>
      <c r="AD8" s="19">
        <f>'D2C Online'!BB12</f>
        <v>10190</v>
      </c>
      <c r="AE8" s="19">
        <f>'D2C Online'!BC12</f>
        <v>10366</v>
      </c>
      <c r="AF8" s="19">
        <f>'D2C Online'!BD12</f>
        <v>12586</v>
      </c>
      <c r="AG8" s="19">
        <f>'D2C Online'!BE12</f>
        <v>10529</v>
      </c>
      <c r="AH8" s="19">
        <f>'D2C Online'!BF12</f>
        <v>10882</v>
      </c>
      <c r="AI8" s="19">
        <f>'D2C Online'!BG12</f>
        <v>11887</v>
      </c>
      <c r="AJ8" s="19">
        <f>'D2C Online'!BH12</f>
        <v>15079</v>
      </c>
      <c r="AK8" s="19">
        <f>'D2C Online'!BI12</f>
        <v>13046</v>
      </c>
      <c r="AL8" s="19">
        <f>'D2C Online'!BJ12</f>
        <v>11437</v>
      </c>
      <c r="AM8" s="19">
        <f>'D2C Online'!BK12</f>
        <v>11818</v>
      </c>
      <c r="AN8" s="19">
        <f>'D2C Online'!BL12</f>
        <v>9377</v>
      </c>
      <c r="AO8" s="19">
        <f>'D2C Online'!BM12</f>
        <v>11795</v>
      </c>
      <c r="AP8" s="19">
        <f>'D2C Online'!BN12</f>
        <v>11537</v>
      </c>
      <c r="AQ8" s="19">
        <f>'D2C Online'!BO12</f>
        <v>12102</v>
      </c>
      <c r="AR8" s="19">
        <f>'D2C Online'!BP12</f>
        <v>12357</v>
      </c>
      <c r="AS8" s="19">
        <f>'D2C Online'!BQ12</f>
        <v>13037</v>
      </c>
      <c r="AT8" s="19">
        <f>'D2C Online'!BR12</f>
        <v>12269</v>
      </c>
      <c r="AU8" s="19">
        <f>'D2C Online'!BS12</f>
        <v>12369</v>
      </c>
      <c r="AV8" s="19">
        <f>'D2C Online'!BT12</f>
        <v>11980</v>
      </c>
      <c r="AW8" s="19">
        <f>'D2C Online'!BU12</f>
        <v>10940</v>
      </c>
      <c r="AX8" s="19">
        <f>'D2C Online'!BV12</f>
        <v>12666</v>
      </c>
      <c r="AY8" s="19">
        <f>'D2C Online'!BW12</f>
        <v>14543</v>
      </c>
      <c r="AZ8" s="19">
        <f>'D2C Online'!BX12</f>
        <v>14445</v>
      </c>
      <c r="BA8" s="19">
        <f>'D2C Online'!BY12</f>
        <v>18923</v>
      </c>
      <c r="BB8" s="19">
        <f>'D2C Online'!BZ12</f>
        <v>16605</v>
      </c>
      <c r="BC8" s="19">
        <f>'D2C Online'!CA12</f>
        <v>16774</v>
      </c>
      <c r="BD8" s="19">
        <f>'D2C Online'!CB12</f>
        <v>16762</v>
      </c>
      <c r="BE8" s="19">
        <f>'D2C Online'!CC12</f>
        <v>17015</v>
      </c>
      <c r="BF8" s="19">
        <f>'D2C Online'!CD12</f>
        <v>16033</v>
      </c>
      <c r="BG8" s="19">
        <f>'D2C Online'!CE12</f>
        <v>17539</v>
      </c>
      <c r="BH8" s="19">
        <f>'D2C Online'!CF12</f>
        <v>17054</v>
      </c>
      <c r="BI8" s="19">
        <f>'D2C Online'!CG12</f>
        <v>17094</v>
      </c>
      <c r="BJ8" s="19">
        <f>'D2C Online'!CH12</f>
        <v>20983</v>
      </c>
      <c r="BK8" s="19">
        <f>'D2C Online'!CI12</f>
        <v>22609</v>
      </c>
      <c r="BL8" s="19">
        <f>'D2C Online'!CJ12</f>
        <v>19383</v>
      </c>
      <c r="BM8" s="19">
        <f>'D2C Online'!CK12</f>
        <v>20945</v>
      </c>
      <c r="BN8" s="19">
        <f>'D2C Online'!CL12</f>
        <v>19095.75</v>
      </c>
      <c r="BO8" s="19">
        <f>'D2C Online'!CM12</f>
        <v>19290.099999999999</v>
      </c>
      <c r="BP8" s="19">
        <f>'D2C Online'!CN12</f>
        <v>19276.3</v>
      </c>
      <c r="BQ8" s="19">
        <f>'D2C Online'!CO12</f>
        <v>19567.25</v>
      </c>
      <c r="BR8" s="19">
        <f>'D2C Online'!CP12</f>
        <v>18437.949999999997</v>
      </c>
      <c r="BS8" s="19">
        <f>'D2C Online'!CQ12</f>
        <v>20169.849999999999</v>
      </c>
      <c r="BT8" s="19">
        <f>'D2C Online'!CR12</f>
        <v>19612.099999999999</v>
      </c>
      <c r="BU8" s="19">
        <f>'D2C Online'!CS12</f>
        <v>19658.099999999999</v>
      </c>
      <c r="BV8" s="19">
        <f>'D2C Online'!CT12</f>
        <v>24130.449999999997</v>
      </c>
      <c r="BW8" s="19">
        <f>'D2C Online'!CU12</f>
        <v>26000.35</v>
      </c>
      <c r="BX8" s="19">
        <f>'D2C Online'!CV12</f>
        <v>22290.449999999997</v>
      </c>
      <c r="BY8" s="19">
        <f>'D2C Online'!CW12</f>
        <v>24086.749999999996</v>
      </c>
      <c r="BZ8" s="19">
        <f>'D2C Online'!CX12</f>
        <v>21960.112499999999</v>
      </c>
      <c r="CA8" s="19">
        <f>'D2C Online'!CY12</f>
        <v>22183.614999999998</v>
      </c>
      <c r="CB8" s="19">
        <f>'D2C Online'!CZ12</f>
        <v>22167.744999999999</v>
      </c>
      <c r="CC8" s="19">
        <f>'D2C Online'!DA12</f>
        <v>22502.337499999998</v>
      </c>
      <c r="CD8" s="19">
        <f>'D2C Online'!DB12</f>
        <v>21203.642499999994</v>
      </c>
      <c r="CE8" s="19">
        <f>'D2C Online'!DC12</f>
        <v>23195.327499999996</v>
      </c>
      <c r="CF8" s="19">
        <f>'D2C Online'!DD12</f>
        <v>22553.914999999997</v>
      </c>
      <c r="CG8" s="19">
        <f>'D2C Online'!DE12</f>
        <v>22606.814999999995</v>
      </c>
      <c r="CH8" s="19">
        <f>'D2C Online'!DF12</f>
        <v>27750.017499999994</v>
      </c>
      <c r="CI8" s="19">
        <f>'D2C Online'!DG12</f>
        <v>29900.402499999997</v>
      </c>
      <c r="CJ8" s="19">
        <f>'D2C Online'!DH12</f>
        <v>25634.017499999994</v>
      </c>
      <c r="CK8" s="19">
        <f>'D2C Online'!DI12</f>
        <v>27699.762499999993</v>
      </c>
      <c r="CL8" s="19">
        <f>'D2C Online'!DJ12</f>
        <v>25254.129374999997</v>
      </c>
      <c r="CM8" s="19">
        <f>'D2C Online'!DK12</f>
        <v>25511.157249999997</v>
      </c>
      <c r="CN8" s="19">
        <f>'D2C Online'!DL12</f>
        <v>25492.906749999998</v>
      </c>
      <c r="CO8" s="19">
        <f>'D2C Online'!DM12</f>
        <v>25877.688124999997</v>
      </c>
      <c r="CP8" s="19">
        <f>'D2C Online'!DN12</f>
        <v>24384.188874999993</v>
      </c>
      <c r="CQ8" s="19">
        <f>'D2C Online'!DO12</f>
        <v>26674.626624999994</v>
      </c>
      <c r="CR8" s="19">
        <f>'D2C Online'!DP12</f>
        <v>25937.002249999994</v>
      </c>
      <c r="CS8" s="19">
        <f>'D2C Online'!DQ12</f>
        <v>25997.837249999993</v>
      </c>
      <c r="CT8" s="19">
        <f>'D2C Online'!DR12</f>
        <v>31912.520124999992</v>
      </c>
      <c r="CU8" s="19">
        <f>'D2C Online'!DS12</f>
        <v>34385.46287499999</v>
      </c>
      <c r="CV8" s="19">
        <f>'D2C Online'!DT12</f>
        <v>29479.12012499999</v>
      </c>
      <c r="CW8" s="19">
        <f>'D2C Online'!DU12</f>
        <v>31854.726874999989</v>
      </c>
      <c r="CX8" s="168"/>
      <c r="CY8" s="19">
        <f t="shared" si="3"/>
        <v>33142</v>
      </c>
      <c r="CZ8" s="19">
        <f t="shared" si="4"/>
        <v>33298</v>
      </c>
      <c r="DA8" s="19">
        <f t="shared" si="5"/>
        <v>39562</v>
      </c>
      <c r="DB8" s="19">
        <f t="shared" si="6"/>
        <v>32990</v>
      </c>
      <c r="DC8" s="19">
        <f t="shared" si="7"/>
        <v>35996</v>
      </c>
      <c r="DD8" s="19">
        <f t="shared" si="8"/>
        <v>37675</v>
      </c>
      <c r="DE8" s="19">
        <f t="shared" si="9"/>
        <v>35586</v>
      </c>
      <c r="DF8" s="19">
        <f t="shared" si="10"/>
        <v>47911</v>
      </c>
      <c r="DG8" s="19">
        <f t="shared" si="11"/>
        <v>50141</v>
      </c>
      <c r="DH8" s="19">
        <f t="shared" si="12"/>
        <v>50587</v>
      </c>
      <c r="DI8" s="19">
        <f t="shared" si="13"/>
        <v>55131</v>
      </c>
      <c r="DJ8" s="19">
        <f t="shared" si="14"/>
        <v>62937</v>
      </c>
      <c r="DK8" s="19">
        <f t="shared" si="15"/>
        <v>57662.149999999994</v>
      </c>
      <c r="DL8" s="19">
        <f t="shared" si="16"/>
        <v>58175.049999999996</v>
      </c>
      <c r="DM8" s="19">
        <f t="shared" si="17"/>
        <v>63400.649999999994</v>
      </c>
      <c r="DN8" s="19">
        <f t="shared" si="18"/>
        <v>72377.549999999988</v>
      </c>
      <c r="DO8" s="19">
        <f t="shared" si="19"/>
        <v>66311.472499999989</v>
      </c>
      <c r="DP8" s="19">
        <f t="shared" si="20"/>
        <v>66901.307499999995</v>
      </c>
      <c r="DQ8" s="19">
        <f t="shared" si="21"/>
        <v>72910.747499999998</v>
      </c>
      <c r="DR8" s="19">
        <f t="shared" si="22"/>
        <v>83234.182499999981</v>
      </c>
      <c r="DS8" s="19">
        <f t="shared" si="33"/>
        <v>76258.193374999988</v>
      </c>
      <c r="DT8" s="19">
        <f t="shared" si="34"/>
        <v>76936.503624999983</v>
      </c>
      <c r="DU8" s="19">
        <f t="shared" si="35"/>
        <v>83847.359624999983</v>
      </c>
      <c r="DV8" s="19">
        <f t="shared" si="36"/>
        <v>95719.309874999977</v>
      </c>
      <c r="DX8" s="19">
        <f t="shared" si="27"/>
        <v>138992</v>
      </c>
      <c r="DY8" s="19">
        <f t="shared" si="28"/>
        <v>157168</v>
      </c>
      <c r="DZ8" s="19">
        <f t="shared" si="29"/>
        <v>218796</v>
      </c>
      <c r="EA8" s="19">
        <f t="shared" si="30"/>
        <v>251615.39999999997</v>
      </c>
      <c r="EB8" s="19">
        <f t="shared" si="31"/>
        <v>289357.70999999996</v>
      </c>
      <c r="EC8" s="770">
        <f t="shared" si="32"/>
        <v>332761.36649999995</v>
      </c>
    </row>
    <row r="9" spans="2:133" x14ac:dyDescent="0.2">
      <c r="B9" s="155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68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X9" s="19"/>
      <c r="DY9" s="19"/>
      <c r="DZ9" s="19"/>
      <c r="EA9" s="19"/>
      <c r="EB9" s="19"/>
      <c r="EC9" s="770"/>
    </row>
    <row r="10" spans="2:133" x14ac:dyDescent="0.2">
      <c r="B10" s="214" t="s">
        <v>6</v>
      </c>
      <c r="C10" s="194">
        <f>SUM(C11:C12)</f>
        <v>2101474.62</v>
      </c>
      <c r="D10" s="194">
        <f t="shared" ref="D10:BO10" si="37">SUM(D11:D12)</f>
        <v>4559524.8299999973</v>
      </c>
      <c r="E10" s="194">
        <f t="shared" si="37"/>
        <v>3239046.5800000005</v>
      </c>
      <c r="F10" s="194">
        <f t="shared" si="37"/>
        <v>3481143.439999958</v>
      </c>
      <c r="G10" s="194">
        <f t="shared" si="37"/>
        <v>252731.15999999736</v>
      </c>
      <c r="H10" s="194">
        <f t="shared" si="37"/>
        <v>2412407.4700000025</v>
      </c>
      <c r="I10" s="194">
        <f t="shared" si="37"/>
        <v>3303900.5299998708</v>
      </c>
      <c r="J10" s="194">
        <f t="shared" si="37"/>
        <v>3935702.8299999163</v>
      </c>
      <c r="K10" s="194">
        <f t="shared" si="37"/>
        <v>5279229.9300000295</v>
      </c>
      <c r="L10" s="194">
        <f t="shared" si="37"/>
        <v>6163026.1599999992</v>
      </c>
      <c r="M10" s="194">
        <f t="shared" si="37"/>
        <v>9819179.5500004329</v>
      </c>
      <c r="N10" s="194">
        <f t="shared" si="37"/>
        <v>12679269.230001688</v>
      </c>
      <c r="O10" s="194">
        <f t="shared" si="37"/>
        <v>13465773.800000709</v>
      </c>
      <c r="P10" s="194">
        <f t="shared" si="37"/>
        <v>15477354.539999999</v>
      </c>
      <c r="Q10" s="194">
        <f t="shared" si="37"/>
        <v>24797230.75</v>
      </c>
      <c r="R10" s="194">
        <f t="shared" si="37"/>
        <v>16330810.309999956</v>
      </c>
      <c r="S10" s="194">
        <f t="shared" si="37"/>
        <v>17920441.809999999</v>
      </c>
      <c r="T10" s="194">
        <f t="shared" si="37"/>
        <v>29661449.670000076</v>
      </c>
      <c r="U10" s="194">
        <f t="shared" si="37"/>
        <v>32014573.090000011</v>
      </c>
      <c r="V10" s="194">
        <f t="shared" si="37"/>
        <v>29611381.350000016</v>
      </c>
      <c r="W10" s="194">
        <f t="shared" si="37"/>
        <v>32279513.719999991</v>
      </c>
      <c r="X10" s="194">
        <f t="shared" si="37"/>
        <v>31170302.629999988</v>
      </c>
      <c r="Y10" s="194">
        <f t="shared" si="37"/>
        <v>27509579.079999991</v>
      </c>
      <c r="Z10" s="194">
        <f t="shared" si="37"/>
        <v>37205104.92999997</v>
      </c>
      <c r="AA10" s="194">
        <f t="shared" si="37"/>
        <v>32867960.149999999</v>
      </c>
      <c r="AB10" s="194">
        <f t="shared" si="37"/>
        <v>39431674.739999995</v>
      </c>
      <c r="AC10" s="194">
        <f t="shared" si="37"/>
        <v>80780007.240000144</v>
      </c>
      <c r="AD10" s="194">
        <f t="shared" si="37"/>
        <v>89011512.992900372</v>
      </c>
      <c r="AE10" s="194">
        <f t="shared" si="37"/>
        <v>88021850.678300813</v>
      </c>
      <c r="AF10" s="194">
        <f t="shared" si="37"/>
        <v>87430474.276797026</v>
      </c>
      <c r="AG10" s="194">
        <f t="shared" si="37"/>
        <v>109568631.17595091</v>
      </c>
      <c r="AH10" s="194">
        <f t="shared" si="37"/>
        <v>89133345.269313782</v>
      </c>
      <c r="AI10" s="194">
        <f t="shared" si="37"/>
        <v>104317748.9918319</v>
      </c>
      <c r="AJ10" s="194">
        <f t="shared" si="37"/>
        <v>138460963.86354882</v>
      </c>
      <c r="AK10" s="194">
        <f t="shared" si="37"/>
        <v>109312897.50675723</v>
      </c>
      <c r="AL10" s="194">
        <f t="shared" si="37"/>
        <v>89267196.428047895</v>
      </c>
      <c r="AM10" s="194">
        <f t="shared" si="37"/>
        <v>88093876.119170815</v>
      </c>
      <c r="AN10" s="194">
        <f t="shared" si="37"/>
        <v>97479133.107285291</v>
      </c>
      <c r="AO10" s="194">
        <f t="shared" si="37"/>
        <v>85441354</v>
      </c>
      <c r="AP10" s="194">
        <f t="shared" si="37"/>
        <v>91940677.751354694</v>
      </c>
      <c r="AQ10" s="194">
        <f t="shared" si="37"/>
        <v>95640491.405642226</v>
      </c>
      <c r="AR10" s="194">
        <f t="shared" si="37"/>
        <v>93063873.205165997</v>
      </c>
      <c r="AS10" s="194">
        <f t="shared" si="37"/>
        <v>103681103.13813129</v>
      </c>
      <c r="AT10" s="194">
        <f t="shared" si="37"/>
        <v>104504801.55564009</v>
      </c>
      <c r="AU10" s="194">
        <f t="shared" si="37"/>
        <v>108210443.88452756</v>
      </c>
      <c r="AV10" s="194">
        <f t="shared" si="37"/>
        <v>88093876.11917071</v>
      </c>
      <c r="AW10" s="194">
        <f t="shared" si="37"/>
        <v>101930644.89918889</v>
      </c>
      <c r="AX10" s="194">
        <f t="shared" si="37"/>
        <v>102235813.80282018</v>
      </c>
      <c r="AY10" s="194">
        <f t="shared" si="37"/>
        <v>124656022.08114298</v>
      </c>
      <c r="AZ10" s="194">
        <f t="shared" si="37"/>
        <v>123344675.2089007</v>
      </c>
      <c r="BA10" s="194">
        <f t="shared" si="37"/>
        <v>161946818.61658451</v>
      </c>
      <c r="BB10" s="194">
        <f t="shared" si="37"/>
        <v>172770802.51456568</v>
      </c>
      <c r="BC10" s="194">
        <f t="shared" si="37"/>
        <v>171567935.1510244</v>
      </c>
      <c r="BD10" s="194">
        <f t="shared" si="37"/>
        <v>165895860.36024129</v>
      </c>
      <c r="BE10" s="194">
        <f t="shared" si="37"/>
        <v>163462349.83000067</v>
      </c>
      <c r="BF10" s="194">
        <f t="shared" si="37"/>
        <v>152734386.86000088</v>
      </c>
      <c r="BG10" s="194">
        <f t="shared" si="37"/>
        <v>101338885.56000051</v>
      </c>
      <c r="BH10" s="194">
        <f t="shared" si="37"/>
        <v>165170311.65999991</v>
      </c>
      <c r="BI10" s="194">
        <f t="shared" si="37"/>
        <v>153469309.62999991</v>
      </c>
      <c r="BJ10" s="194">
        <f t="shared" si="37"/>
        <v>167364159.0000003</v>
      </c>
      <c r="BK10" s="194">
        <f t="shared" si="37"/>
        <v>181777791.78999978</v>
      </c>
      <c r="BL10" s="194">
        <f t="shared" si="37"/>
        <v>165015783.07999915</v>
      </c>
      <c r="BM10" s="194">
        <f t="shared" si="37"/>
        <v>177105199.03999996</v>
      </c>
      <c r="BN10" s="194">
        <f t="shared" si="37"/>
        <v>176459546.16177529</v>
      </c>
      <c r="BO10" s="194">
        <f t="shared" si="37"/>
        <v>176278068.77614531</v>
      </c>
      <c r="BP10" s="194">
        <f t="shared" ref="BP10:CK10" si="38">SUM(BP11:BP12)</f>
        <v>175999293.44860607</v>
      </c>
      <c r="BQ10" s="194">
        <f t="shared" si="38"/>
        <v>182951408.77043414</v>
      </c>
      <c r="BR10" s="194">
        <f t="shared" si="38"/>
        <v>168708958.06444505</v>
      </c>
      <c r="BS10" s="194">
        <f t="shared" si="38"/>
        <v>174903352.70607361</v>
      </c>
      <c r="BT10" s="194">
        <f t="shared" si="38"/>
        <v>185434483.62590382</v>
      </c>
      <c r="BU10" s="194">
        <f t="shared" si="38"/>
        <v>180081514.24923909</v>
      </c>
      <c r="BV10" s="194">
        <f t="shared" si="38"/>
        <v>219774962.09189212</v>
      </c>
      <c r="BW10" s="194">
        <f t="shared" si="38"/>
        <v>233097435.53345221</v>
      </c>
      <c r="BX10" s="194">
        <f t="shared" si="38"/>
        <v>204736756.22377938</v>
      </c>
      <c r="BY10" s="194">
        <f t="shared" si="38"/>
        <v>227679108.99869496</v>
      </c>
      <c r="BZ10" s="194">
        <f t="shared" si="38"/>
        <v>209412565.59367102</v>
      </c>
      <c r="CA10" s="194">
        <f t="shared" si="38"/>
        <v>209373868.64912128</v>
      </c>
      <c r="CB10" s="194">
        <f t="shared" si="38"/>
        <v>208689087.00946009</v>
      </c>
      <c r="CC10" s="194">
        <f t="shared" si="38"/>
        <v>216872306.02422389</v>
      </c>
      <c r="CD10" s="194">
        <f t="shared" si="38"/>
        <v>199890494.86384347</v>
      </c>
      <c r="CE10" s="194">
        <f t="shared" si="38"/>
        <v>207113283.06537876</v>
      </c>
      <c r="CF10" s="194">
        <f t="shared" si="38"/>
        <v>219233380.07159263</v>
      </c>
      <c r="CG10" s="194">
        <f t="shared" si="38"/>
        <v>212596356.46916717</v>
      </c>
      <c r="CH10" s="194">
        <f t="shared" si="38"/>
        <v>259107932.20563453</v>
      </c>
      <c r="CI10" s="194">
        <f t="shared" si="38"/>
        <v>274494401.05760163</v>
      </c>
      <c r="CJ10" s="194">
        <f t="shared" si="38"/>
        <v>240666087.06039596</v>
      </c>
      <c r="CK10" s="194">
        <f t="shared" si="38"/>
        <v>266449989.07480702</v>
      </c>
      <c r="CL10" s="194">
        <f t="shared" ref="CL10:CW10" si="39">SUM(CL11:CL12)</f>
        <v>245138964.80726022</v>
      </c>
      <c r="CM10" s="194">
        <f t="shared" si="39"/>
        <v>245081823.29780442</v>
      </c>
      <c r="CN10" s="194">
        <f t="shared" si="39"/>
        <v>244249269.81231987</v>
      </c>
      <c r="CO10" s="194">
        <f t="shared" si="39"/>
        <v>253632682.97266656</v>
      </c>
      <c r="CP10" s="194">
        <f t="shared" si="39"/>
        <v>233835514.93819737</v>
      </c>
      <c r="CQ10" s="194">
        <f t="shared" si="39"/>
        <v>242552550.51193663</v>
      </c>
      <c r="CR10" s="194">
        <f t="shared" si="39"/>
        <v>256144760.69944212</v>
      </c>
      <c r="CS10" s="194">
        <f t="shared" si="39"/>
        <v>248561426.92859727</v>
      </c>
      <c r="CT10" s="194">
        <f t="shared" si="39"/>
        <v>302974044.34027684</v>
      </c>
      <c r="CU10" s="194">
        <f t="shared" si="39"/>
        <v>321088663.47405481</v>
      </c>
      <c r="CV10" s="194">
        <f t="shared" si="39"/>
        <v>281297193.05466247</v>
      </c>
      <c r="CW10" s="194">
        <f t="shared" si="39"/>
        <v>311201069.68505692</v>
      </c>
      <c r="CX10" s="168"/>
      <c r="CY10" s="194">
        <f t="shared" si="3"/>
        <v>264463837.9479982</v>
      </c>
      <c r="CZ10" s="194">
        <f t="shared" si="4"/>
        <v>303019725.4370966</v>
      </c>
      <c r="DA10" s="194">
        <f t="shared" si="5"/>
        <v>337041057.79835391</v>
      </c>
      <c r="DB10" s="194">
        <f t="shared" si="6"/>
        <v>271014363.22645611</v>
      </c>
      <c r="DC10" s="194">
        <f t="shared" si="7"/>
        <v>280645042.36216289</v>
      </c>
      <c r="DD10" s="194">
        <f t="shared" si="8"/>
        <v>316396348.57829893</v>
      </c>
      <c r="DE10" s="194">
        <f t="shared" si="9"/>
        <v>292260334.82117975</v>
      </c>
      <c r="DF10" s="194">
        <f t="shared" si="10"/>
        <v>409947515.90662819</v>
      </c>
      <c r="DG10" s="194">
        <f t="shared" si="11"/>
        <v>510234598.02583134</v>
      </c>
      <c r="DH10" s="194">
        <f t="shared" si="12"/>
        <v>417535622.25000203</v>
      </c>
      <c r="DI10" s="194">
        <f t="shared" si="13"/>
        <v>486003780.29000014</v>
      </c>
      <c r="DJ10" s="194">
        <f t="shared" si="14"/>
        <v>523898773.90999889</v>
      </c>
      <c r="DK10" s="194">
        <f t="shared" si="15"/>
        <v>528736908.38652664</v>
      </c>
      <c r="DL10" s="194">
        <f t="shared" si="16"/>
        <v>526563719.5409528</v>
      </c>
      <c r="DM10" s="194">
        <f t="shared" si="17"/>
        <v>585290959.96703506</v>
      </c>
      <c r="DN10" s="194">
        <f t="shared" si="18"/>
        <v>665513300.75592661</v>
      </c>
      <c r="DO10" s="194">
        <f t="shared" si="19"/>
        <v>627475521.25225234</v>
      </c>
      <c r="DP10" s="194">
        <f t="shared" si="20"/>
        <v>623876083.95344615</v>
      </c>
      <c r="DQ10" s="194">
        <f t="shared" si="21"/>
        <v>690937668.7463944</v>
      </c>
      <c r="DR10" s="194">
        <f t="shared" si="22"/>
        <v>781610477.19280457</v>
      </c>
      <c r="DS10" s="194">
        <f t="shared" si="33"/>
        <v>734470057.91738451</v>
      </c>
      <c r="DT10" s="194">
        <f t="shared" si="34"/>
        <v>730020748.42280054</v>
      </c>
      <c r="DU10" s="194">
        <f t="shared" si="35"/>
        <v>807680231.9683162</v>
      </c>
      <c r="DV10" s="194">
        <f t="shared" si="36"/>
        <v>913586926.2137742</v>
      </c>
      <c r="DX10" s="194">
        <f t="shared" si="27"/>
        <v>1175538984.4099047</v>
      </c>
      <c r="DY10" s="194">
        <f t="shared" si="28"/>
        <v>1299249241.6682699</v>
      </c>
      <c r="DZ10" s="194">
        <f t="shared" si="29"/>
        <v>1937672774.4758325</v>
      </c>
      <c r="EA10" s="194">
        <f t="shared" si="30"/>
        <v>2306104888.6504412</v>
      </c>
      <c r="EB10" s="194">
        <f t="shared" si="31"/>
        <v>2723899751.1448975</v>
      </c>
      <c r="EC10" s="817">
        <f t="shared" si="32"/>
        <v>3185757964.5222754</v>
      </c>
    </row>
    <row r="11" spans="2:133" x14ac:dyDescent="0.2">
      <c r="B11" s="155" t="s">
        <v>229</v>
      </c>
      <c r="C11" s="19">
        <f>'D2C - Retail'!J18</f>
        <v>2068956.62</v>
      </c>
      <c r="D11" s="19">
        <f>'D2C - Retail'!K18</f>
        <v>4367845.8299999973</v>
      </c>
      <c r="E11" s="19">
        <f>'D2C - Retail'!L18</f>
        <v>2991728.5800000005</v>
      </c>
      <c r="F11" s="19">
        <f>'D2C - Retail'!M18</f>
        <v>3273000.3599999584</v>
      </c>
      <c r="G11" s="19">
        <f>'D2C - Retail'!N18</f>
        <v>68026.060000000056</v>
      </c>
      <c r="H11" s="19">
        <f>'D2C - Retail'!O18</f>
        <v>2261112.4200000074</v>
      </c>
      <c r="I11" s="19">
        <f>'D2C - Retail'!P18</f>
        <v>2935903.5299998708</v>
      </c>
      <c r="J11" s="19">
        <f>'D2C - Retail'!Q18</f>
        <v>3832517.8299999163</v>
      </c>
      <c r="K11" s="19">
        <f>'D2C - Retail'!R18</f>
        <v>5223546.9300000295</v>
      </c>
      <c r="L11" s="19">
        <f>'D2C - Retail'!S18</f>
        <v>5010994.1099999994</v>
      </c>
      <c r="M11" s="19">
        <f>'D2C - Retail'!T18</f>
        <v>8870323.5000004321</v>
      </c>
      <c r="N11" s="19">
        <f>'D2C - Retail'!U18</f>
        <v>11043675.230001688</v>
      </c>
      <c r="O11" s="19">
        <f>'D2C - Retail'!V18</f>
        <v>11543984.63000071</v>
      </c>
      <c r="P11" s="19">
        <f>'D2C - Retail'!W18</f>
        <v>12557387.539999999</v>
      </c>
      <c r="Q11" s="19">
        <f>'D2C - Retail'!X18</f>
        <v>14143405.550000001</v>
      </c>
      <c r="R11" s="19">
        <f>'D2C - Retail'!Y18</f>
        <v>10998459.319999956</v>
      </c>
      <c r="S11" s="19">
        <f>'D2C - Retail'!Z18</f>
        <v>13431049.749999998</v>
      </c>
      <c r="T11" s="19">
        <f>'D2C - Retail'!AA18</f>
        <v>15045215.310000077</v>
      </c>
      <c r="U11" s="19">
        <f>'D2C - Retail'!AB18</f>
        <v>12127726.770000031</v>
      </c>
      <c r="V11" s="19">
        <f>'D2C - Retail'!AC18</f>
        <v>10761139.590000037</v>
      </c>
      <c r="W11" s="19">
        <f>'D2C - Retail'!AD18</f>
        <v>9409463.5900000054</v>
      </c>
      <c r="X11" s="19">
        <f>'D2C - Retail'!AE18</f>
        <v>8817711.4900000021</v>
      </c>
      <c r="Y11" s="19">
        <f>'D2C - Retail'!AF18</f>
        <v>7108167.8299999889</v>
      </c>
      <c r="Z11" s="19">
        <f>'D2C - Retail'!AG18</f>
        <v>10576661.069999991</v>
      </c>
      <c r="AA11" s="19">
        <f>'D2C - Retail'!AH18</f>
        <v>11054463.079999998</v>
      </c>
      <c r="AB11" s="19">
        <f>'D2C - Retail'!AI18</f>
        <v>11038924.030000005</v>
      </c>
      <c r="AC11" s="19">
        <f>'D2C - Retail'!AJ18</f>
        <v>16531850.890000023</v>
      </c>
      <c r="AD11" s="19">
        <f>'D2C - Retail'!AK18</f>
        <v>20375512.290000118</v>
      </c>
      <c r="AE11" s="19">
        <f>'D2C - Retail'!AL18</f>
        <v>23840624.250000108</v>
      </c>
      <c r="AF11" s="19">
        <f>'D2C - Retail'!AM18</f>
        <v>25619441.960000113</v>
      </c>
      <c r="AG11" s="19">
        <f>'D2C - Retail'!AN18</f>
        <v>25770806.62000015</v>
      </c>
      <c r="AH11" s="19">
        <f>'D2C - Retail'!AO18</f>
        <v>24796270.190000203</v>
      </c>
      <c r="AI11" s="19">
        <f>'D2C - Retail'!AP18</f>
        <v>24223043.080000162</v>
      </c>
      <c r="AJ11" s="19">
        <f>'D2C - Retail'!AQ18</f>
        <v>27710283.940000098</v>
      </c>
      <c r="AK11" s="19">
        <f>'D2C - Retail'!AR18</f>
        <v>22343150.619999979</v>
      </c>
      <c r="AL11" s="19">
        <f>'D2C - Retail'!AS18</f>
        <v>20604913.030000005</v>
      </c>
      <c r="AM11" s="19">
        <f>'D2C - Retail'!AT18</f>
        <v>18608746.679999955</v>
      </c>
      <c r="AN11" s="19">
        <f>'D2C - Retail'!AU18</f>
        <v>19194313.129999984</v>
      </c>
      <c r="AO11" s="19">
        <f>'D2C - Retail'!AV18</f>
        <v>24341100</v>
      </c>
      <c r="AP11" s="19">
        <f>'D2C - Retail'!AW18</f>
        <v>24604390.750000104</v>
      </c>
      <c r="AQ11" s="19">
        <f>'D2C - Retail'!AX18</f>
        <v>22977350.029999942</v>
      </c>
      <c r="AR11" s="19">
        <f>'D2C - Retail'!AY18</f>
        <v>22085517.069999963</v>
      </c>
      <c r="AS11" s="19">
        <f>'D2C - Retail'!AZ18</f>
        <v>27306813.12000002</v>
      </c>
      <c r="AT11" s="19">
        <f>'D2C - Retail'!BA18</f>
        <v>23290863.169999931</v>
      </c>
      <c r="AU11" s="19">
        <f>'D2C - Retail'!BB18</f>
        <v>25601906.309999935</v>
      </c>
      <c r="AV11" s="19">
        <f>'D2C - Retail'!BC18</f>
        <v>17912273.679999981</v>
      </c>
      <c r="AW11" s="19">
        <f>'D2C - Retail'!BD18</f>
        <v>25796588.840000004</v>
      </c>
      <c r="AX11" s="19">
        <f>'D2C - Retail'!BE18</f>
        <v>30517008.910000134</v>
      </c>
      <c r="AY11" s="19">
        <f>'D2C - Retail'!BF18</f>
        <v>36379918.180026025</v>
      </c>
      <c r="AZ11" s="19">
        <f>'D2C - Retail'!BG18</f>
        <v>35443697.910057932</v>
      </c>
      <c r="BA11" s="19">
        <f>'D2C - Retail'!BH18</f>
        <v>39465340.150000237</v>
      </c>
      <c r="BB11" s="19">
        <f>'D2C - Retail'!BI18</f>
        <v>42482265.380003251</v>
      </c>
      <c r="BC11" s="19">
        <f>'D2C - Retail'!BJ18</f>
        <v>45465982.810000286</v>
      </c>
      <c r="BD11" s="19">
        <f>'D2C - Retail'!BK18</f>
        <v>40341959.620006375</v>
      </c>
      <c r="BE11" s="19">
        <f>'D2C - Retail'!BL18</f>
        <v>46870170.000000142</v>
      </c>
      <c r="BF11" s="19">
        <f>'D2C - Retail'!BM18</f>
        <v>38785726.240000106</v>
      </c>
      <c r="BG11" s="19">
        <f>'D2C - Retail'!BN18</f>
        <v>39860910.350000069</v>
      </c>
      <c r="BH11" s="19">
        <f>'D2C - Retail'!BO18</f>
        <v>37443084.069999993</v>
      </c>
      <c r="BI11" s="19">
        <f>'D2C - Retail'!BP18</f>
        <v>38780500.059999987</v>
      </c>
      <c r="BJ11" s="19">
        <f>'D2C - Retail'!BQ18</f>
        <v>40195593.830000013</v>
      </c>
      <c r="BK11" s="19">
        <f>'D2C - Retail'!BR18</f>
        <v>50230534.250000067</v>
      </c>
      <c r="BL11" s="19">
        <f>'D2C - Retail'!BS18</f>
        <v>47794579.180000052</v>
      </c>
      <c r="BM11" s="19">
        <f>'D2C - Retail'!BT18</f>
        <v>53161003.69000002</v>
      </c>
      <c r="BN11" s="19">
        <f>'D2C - Retail'!BU18</f>
        <v>59347698.7296855</v>
      </c>
      <c r="BO11" s="19">
        <f>'D2C - Retail'!BV18</f>
        <v>57974297.091359176</v>
      </c>
      <c r="BP11" s="19">
        <f>'D2C - Retail'!BW18</f>
        <v>57780155.438567594</v>
      </c>
      <c r="BQ11" s="19">
        <f>'D2C - Retail'!BX18</f>
        <v>62947910.784465604</v>
      </c>
      <c r="BR11" s="19">
        <f>'D2C - Retail'!BY18</f>
        <v>55631315.795327604</v>
      </c>
      <c r="BS11" s="19">
        <f>'D2C - Retail'!BZ18</f>
        <v>51204184.256123461</v>
      </c>
      <c r="BT11" s="19">
        <f>'D2C - Retail'!CA18</f>
        <v>65155926.197005339</v>
      </c>
      <c r="BU11" s="19">
        <f>'D2C - Retail'!CB18</f>
        <v>59520844.571181715</v>
      </c>
      <c r="BV11" s="19">
        <f>'D2C - Retail'!CC18</f>
        <v>71785928.989360392</v>
      </c>
      <c r="BW11" s="19">
        <f>'D2C - Retail'!CD18</f>
        <v>73640539.502611056</v>
      </c>
      <c r="BX11" s="19">
        <f>'D2C - Retail'!CE18</f>
        <v>68032213.087603778</v>
      </c>
      <c r="BY11" s="19">
        <f>'D2C - Retail'!CF18</f>
        <v>79958082.532864183</v>
      </c>
      <c r="BZ11" s="19">
        <f>'D2C - Retail'!CG18</f>
        <v>70693582.3103607</v>
      </c>
      <c r="CA11" s="19">
        <f>'D2C - Retail'!CH18</f>
        <v>69243051.088492125</v>
      </c>
      <c r="CB11" s="19">
        <f>'D2C - Retail'!CI18</f>
        <v>68658518.036569536</v>
      </c>
      <c r="CC11" s="19">
        <f>'D2C - Retail'!CJ18</f>
        <v>74728162.65984419</v>
      </c>
      <c r="CD11" s="19">
        <f>'D2C - Retail'!CK18</f>
        <v>65950027.596073888</v>
      </c>
      <c r="CE11" s="19">
        <f>'D2C - Retail'!CL18</f>
        <v>60591618.036412805</v>
      </c>
      <c r="CF11" s="19">
        <f>'D2C - Retail'!CM18</f>
        <v>76763428.797062412</v>
      </c>
      <c r="CG11" s="19">
        <f>'D2C - Retail'!CN18</f>
        <v>69792243.235508233</v>
      </c>
      <c r="CH11" s="19">
        <f>'D2C - Retail'!CO18</f>
        <v>83814922.495685697</v>
      </c>
      <c r="CI11" s="19">
        <f>'D2C - Retail'!CP18</f>
        <v>85617707.70907025</v>
      </c>
      <c r="CJ11" s="19">
        <f>'D2C - Retail'!CQ18</f>
        <v>78739555.715595976</v>
      </c>
      <c r="CK11" s="19">
        <f>'D2C - Retail'!CR18</f>
        <v>91474433.226030439</v>
      </c>
      <c r="CL11" s="19">
        <f>'D2C - Retail'!CS18</f>
        <v>80826329.108179078</v>
      </c>
      <c r="CM11" s="19">
        <f>'D2C - Retail'!CT18</f>
        <v>79096869.897239104</v>
      </c>
      <c r="CN11" s="19">
        <f>'D2C - Retail'!CU18</f>
        <v>78383060.863930956</v>
      </c>
      <c r="CO11" s="19">
        <f>'D2C - Retail'!CV18</f>
        <v>85262945.157558724</v>
      </c>
      <c r="CP11" s="19">
        <f>'D2C - Retail'!CW18</f>
        <v>75183031.459524244</v>
      </c>
      <c r="CQ11" s="19">
        <f>'D2C - Retail'!CX18</f>
        <v>68997638.285126418</v>
      </c>
      <c r="CR11" s="19">
        <f>'D2C - Retail'!CY18</f>
        <v>87389103.414761066</v>
      </c>
      <c r="CS11" s="19">
        <f>'D2C - Retail'!CZ18</f>
        <v>79409954.803328276</v>
      </c>
      <c r="CT11" s="19">
        <f>'D2C - Retail'!DA18</f>
        <v>95339474.338842466</v>
      </c>
      <c r="CU11" s="19">
        <f>'D2C - Retail'!DB18</f>
        <v>97364220.20271948</v>
      </c>
      <c r="CV11" s="19">
        <f>'D2C - Retail'!DC18</f>
        <v>89495216.67674695</v>
      </c>
      <c r="CW11" s="19">
        <f>'D2C - Retail'!DD18</f>
        <v>103942523.78218117</v>
      </c>
      <c r="CX11" s="168"/>
      <c r="CY11" s="19">
        <f t="shared" si="3"/>
        <v>69835578.500000343</v>
      </c>
      <c r="CZ11" s="19">
        <f t="shared" si="4"/>
        <v>74790119.890000522</v>
      </c>
      <c r="DA11" s="19">
        <f t="shared" si="5"/>
        <v>70658347.590000078</v>
      </c>
      <c r="DB11" s="19">
        <f t="shared" si="6"/>
        <v>62144159.809999943</v>
      </c>
      <c r="DC11" s="19">
        <f t="shared" si="7"/>
        <v>69667257.850000009</v>
      </c>
      <c r="DD11" s="19">
        <f t="shared" si="8"/>
        <v>76199582.599999875</v>
      </c>
      <c r="DE11" s="19">
        <f t="shared" si="9"/>
        <v>74225871.430000111</v>
      </c>
      <c r="DF11" s="19">
        <f t="shared" si="10"/>
        <v>111288956.2400842</v>
      </c>
      <c r="DG11" s="19">
        <f t="shared" si="11"/>
        <v>128290207.81000993</v>
      </c>
      <c r="DH11" s="19">
        <f t="shared" si="12"/>
        <v>125516806.59000032</v>
      </c>
      <c r="DI11" s="19">
        <f t="shared" si="13"/>
        <v>116419177.95999999</v>
      </c>
      <c r="DJ11" s="19">
        <f t="shared" si="14"/>
        <v>151186117.12000015</v>
      </c>
      <c r="DK11" s="19">
        <f t="shared" si="15"/>
        <v>175102151.25961226</v>
      </c>
      <c r="DL11" s="19">
        <f t="shared" si="16"/>
        <v>169783410.83591667</v>
      </c>
      <c r="DM11" s="19">
        <f t="shared" si="17"/>
        <v>196462699.75754744</v>
      </c>
      <c r="DN11" s="19">
        <f t="shared" si="18"/>
        <v>221630835.12307903</v>
      </c>
      <c r="DO11" s="19">
        <f t="shared" si="19"/>
        <v>208595151.43542236</v>
      </c>
      <c r="DP11" s="19">
        <f t="shared" si="20"/>
        <v>201269808.29233089</v>
      </c>
      <c r="DQ11" s="19">
        <f t="shared" si="21"/>
        <v>230370594.52825636</v>
      </c>
      <c r="DR11" s="19">
        <f t="shared" si="22"/>
        <v>255831696.65069667</v>
      </c>
      <c r="DS11" s="19">
        <f t="shared" si="33"/>
        <v>238306259.86934912</v>
      </c>
      <c r="DT11" s="19">
        <f t="shared" si="34"/>
        <v>229443614.90220937</v>
      </c>
      <c r="DU11" s="19">
        <f t="shared" si="35"/>
        <v>262138532.55693179</v>
      </c>
      <c r="DV11" s="19">
        <f t="shared" si="36"/>
        <v>290801960.66164756</v>
      </c>
      <c r="DX11" s="19">
        <f t="shared" si="27"/>
        <v>277428205.79000092</v>
      </c>
      <c r="DY11" s="19">
        <f t="shared" si="28"/>
        <v>331381668.12008417</v>
      </c>
      <c r="DZ11" s="19">
        <f t="shared" si="29"/>
        <v>521412309.48001039</v>
      </c>
      <c r="EA11" s="19">
        <f t="shared" si="30"/>
        <v>762979096.97615552</v>
      </c>
      <c r="EB11" s="19">
        <f t="shared" si="31"/>
        <v>896067250.90670621</v>
      </c>
      <c r="EC11" s="770">
        <f t="shared" si="32"/>
        <v>1020690367.9901378</v>
      </c>
    </row>
    <row r="12" spans="2:133" x14ac:dyDescent="0.2">
      <c r="B12" s="155" t="s">
        <v>237</v>
      </c>
      <c r="C12" s="19">
        <f>'D2C Online'!AA16</f>
        <v>32518</v>
      </c>
      <c r="D12" s="19">
        <f>'D2C Online'!AB16</f>
        <v>191679</v>
      </c>
      <c r="E12" s="19">
        <f>'D2C Online'!AC16</f>
        <v>247318</v>
      </c>
      <c r="F12" s="19">
        <f>'D2C Online'!AD16</f>
        <v>208143.07999999961</v>
      </c>
      <c r="G12" s="19">
        <f>'D2C Online'!AE16</f>
        <v>184705.0999999973</v>
      </c>
      <c r="H12" s="19">
        <f>'D2C Online'!AF16</f>
        <v>151295.04999999516</v>
      </c>
      <c r="I12" s="19">
        <f>'D2C Online'!AG16</f>
        <v>367997</v>
      </c>
      <c r="J12" s="19">
        <f>'D2C Online'!AH16</f>
        <v>103185</v>
      </c>
      <c r="K12" s="19">
        <f>'D2C Online'!AI16</f>
        <v>55683</v>
      </c>
      <c r="L12" s="19">
        <f>'D2C Online'!AJ16</f>
        <v>1152032.0499999998</v>
      </c>
      <c r="M12" s="19">
        <f>'D2C Online'!AK16</f>
        <v>948856.05000000075</v>
      </c>
      <c r="N12" s="19">
        <f>'D2C Online'!AL16</f>
        <v>1635594</v>
      </c>
      <c r="O12" s="19">
        <f>'D2C Online'!AM16</f>
        <v>1921789.1699999981</v>
      </c>
      <c r="P12" s="19">
        <f>'D2C Online'!AN16</f>
        <v>2919967</v>
      </c>
      <c r="Q12" s="19">
        <f>'D2C Online'!AO16</f>
        <v>10653825.199999999</v>
      </c>
      <c r="R12" s="19">
        <f>'D2C Online'!AP16</f>
        <v>5332350.99</v>
      </c>
      <c r="S12" s="19">
        <f>'D2C Online'!AQ16</f>
        <v>4489392.0600000005</v>
      </c>
      <c r="T12" s="19">
        <f>'D2C Online'!AR16</f>
        <v>14616234.359999999</v>
      </c>
      <c r="U12" s="19">
        <f>'D2C Online'!AS16</f>
        <v>19886846.319999982</v>
      </c>
      <c r="V12" s="19">
        <f>'D2C Online'!AT16</f>
        <v>18850241.759999979</v>
      </c>
      <c r="W12" s="19">
        <f>'D2C Online'!AU16</f>
        <v>22870050.129999984</v>
      </c>
      <c r="X12" s="19">
        <f>'D2C Online'!AV16</f>
        <v>22352591.139999986</v>
      </c>
      <c r="Y12" s="19">
        <f>'D2C Online'!AW16</f>
        <v>20401411.25</v>
      </c>
      <c r="Z12" s="19">
        <f>'D2C Online'!AX16</f>
        <v>26628443.859999981</v>
      </c>
      <c r="AA12" s="19">
        <f>'D2C Online'!AY16</f>
        <v>21813497.07</v>
      </c>
      <c r="AB12" s="19">
        <f>'D2C Online'!AZ16</f>
        <v>28392750.70999999</v>
      </c>
      <c r="AC12" s="19">
        <f>'D2C Online'!BA16</f>
        <v>64248156.350000121</v>
      </c>
      <c r="AD12" s="19">
        <f>'D2C Online'!BB16</f>
        <v>68636000.702900261</v>
      </c>
      <c r="AE12" s="19">
        <f>'D2C Online'!BC16</f>
        <v>64181226.428300701</v>
      </c>
      <c r="AF12" s="19">
        <f>'D2C Online'!BD16</f>
        <v>61811032.316796906</v>
      </c>
      <c r="AG12" s="19">
        <f>'D2C Online'!BE16</f>
        <v>83797824.555950761</v>
      </c>
      <c r="AH12" s="19">
        <f>'D2C Online'!BF16</f>
        <v>64337075.079313576</v>
      </c>
      <c r="AI12" s="19">
        <f>'D2C Online'!BG16</f>
        <v>80094705.911831737</v>
      </c>
      <c r="AJ12" s="19">
        <f>'D2C Online'!BH16</f>
        <v>110750679.92354873</v>
      </c>
      <c r="AK12" s="19">
        <f>'D2C Online'!BI16</f>
        <v>86969746.886757255</v>
      </c>
      <c r="AL12" s="19">
        <f>'D2C Online'!BJ16</f>
        <v>68662283.398047894</v>
      </c>
      <c r="AM12" s="19">
        <f>'D2C Online'!BK16</f>
        <v>69485129.439170867</v>
      </c>
      <c r="AN12" s="19">
        <f>'D2C Online'!BL16</f>
        <v>78284819.977285311</v>
      </c>
      <c r="AO12" s="19">
        <f>'D2C Online'!BM16</f>
        <v>61100254</v>
      </c>
      <c r="AP12" s="19">
        <f>'D2C Online'!BN16</f>
        <v>67336287.00135459</v>
      </c>
      <c r="AQ12" s="19">
        <f>'D2C Online'!BO16</f>
        <v>72663141.375642285</v>
      </c>
      <c r="AR12" s="19">
        <f>'D2C Online'!BP16</f>
        <v>70978356.135166034</v>
      </c>
      <c r="AS12" s="19">
        <f>'D2C Online'!BQ16</f>
        <v>76374290.018131271</v>
      </c>
      <c r="AT12" s="19">
        <f>'D2C Online'!BR16</f>
        <v>81213938.385640159</v>
      </c>
      <c r="AU12" s="19">
        <f>'D2C Online'!BS16</f>
        <v>82608537.574527636</v>
      </c>
      <c r="AV12" s="19">
        <f>'D2C Online'!BT16</f>
        <v>70181602.439170733</v>
      </c>
      <c r="AW12" s="19">
        <f>'D2C Online'!BU16</f>
        <v>76134056.059188887</v>
      </c>
      <c r="AX12" s="19">
        <f>'D2C Online'!BV16</f>
        <v>71718804.892820045</v>
      </c>
      <c r="AY12" s="19">
        <f>'D2C Online'!BW16</f>
        <v>88276103.901116952</v>
      </c>
      <c r="AZ12" s="19">
        <f>'D2C Online'!BX16</f>
        <v>87900977.298842773</v>
      </c>
      <c r="BA12" s="19">
        <f>'D2C Online'!BY16</f>
        <v>122481478.46658428</v>
      </c>
      <c r="BB12" s="19">
        <f>'D2C Online'!BZ16</f>
        <v>130288537.13456243</v>
      </c>
      <c r="BC12" s="19">
        <f>'D2C Online'!CA16</f>
        <v>126101952.34102412</v>
      </c>
      <c r="BD12" s="19">
        <f>'D2C Online'!CB16</f>
        <v>125553900.74023493</v>
      </c>
      <c r="BE12" s="19">
        <f>'D2C Online'!CC16</f>
        <v>116592179.83000053</v>
      </c>
      <c r="BF12" s="19">
        <f>'D2C Online'!CD16</f>
        <v>113948660.62000078</v>
      </c>
      <c r="BG12" s="19">
        <f>'D2C Online'!CE16</f>
        <v>61477975.21000044</v>
      </c>
      <c r="BH12" s="19">
        <f>'D2C Online'!CF16</f>
        <v>127727227.58999993</v>
      </c>
      <c r="BI12" s="19">
        <f>'D2C Online'!CG16</f>
        <v>114688809.56999992</v>
      </c>
      <c r="BJ12" s="19">
        <f>'D2C Online'!CH16</f>
        <v>127168565.17000028</v>
      </c>
      <c r="BK12" s="19">
        <f>'D2C Online'!CI16</f>
        <v>131547257.53999972</v>
      </c>
      <c r="BL12" s="19">
        <f>'D2C Online'!CJ16</f>
        <v>117221203.89999908</v>
      </c>
      <c r="BM12" s="19">
        <f>'D2C Online'!CK16</f>
        <v>123944195.34999995</v>
      </c>
      <c r="BN12" s="19">
        <f>'D2C Online'!CL16</f>
        <v>117111847.43208978</v>
      </c>
      <c r="BO12" s="19">
        <f>'D2C Online'!CM16</f>
        <v>118303771.68478613</v>
      </c>
      <c r="BP12" s="19">
        <f>'D2C Online'!CN16</f>
        <v>118219138.01003847</v>
      </c>
      <c r="BQ12" s="19">
        <f>'D2C Online'!CO16</f>
        <v>120003497.98596853</v>
      </c>
      <c r="BR12" s="19">
        <f>'D2C Online'!CP16</f>
        <v>113077642.26911744</v>
      </c>
      <c r="BS12" s="19">
        <f>'D2C Online'!CQ16</f>
        <v>123699168.44995016</v>
      </c>
      <c r="BT12" s="19">
        <f>'D2C Online'!CR16</f>
        <v>120278557.42889847</v>
      </c>
      <c r="BU12" s="19">
        <f>'D2C Online'!CS16</f>
        <v>120560669.67805737</v>
      </c>
      <c r="BV12" s="19">
        <f>'D2C Online'!CT16</f>
        <v>147989033.10253173</v>
      </c>
      <c r="BW12" s="19">
        <f>'D2C Online'!CU16</f>
        <v>159456896.03084117</v>
      </c>
      <c r="BX12" s="19">
        <f>'D2C Online'!CV16</f>
        <v>136704543.1361756</v>
      </c>
      <c r="BY12" s="19">
        <f>'D2C Online'!CW16</f>
        <v>147721026.46583077</v>
      </c>
      <c r="BZ12" s="19">
        <f>'D2C Online'!CX16</f>
        <v>138718983.28331032</v>
      </c>
      <c r="CA12" s="19">
        <f>'D2C Online'!CY16</f>
        <v>140130817.56062916</v>
      </c>
      <c r="CB12" s="19">
        <f>'D2C Online'!CZ16</f>
        <v>140030568.97289056</v>
      </c>
      <c r="CC12" s="19">
        <f>'D2C Online'!DA16</f>
        <v>142144143.3643797</v>
      </c>
      <c r="CD12" s="19">
        <f>'D2C Online'!DB16</f>
        <v>133940467.26776959</v>
      </c>
      <c r="CE12" s="19">
        <f>'D2C Online'!DC16</f>
        <v>146521665.02896595</v>
      </c>
      <c r="CF12" s="19">
        <f>'D2C Online'!DD16</f>
        <v>142469951.2745302</v>
      </c>
      <c r="CG12" s="19">
        <f>'D2C Online'!DE16</f>
        <v>142804113.23365894</v>
      </c>
      <c r="CH12" s="19">
        <f>'D2C Online'!DF16</f>
        <v>175293009.70994884</v>
      </c>
      <c r="CI12" s="19">
        <f>'D2C Online'!DG16</f>
        <v>188876693.34853137</v>
      </c>
      <c r="CJ12" s="19">
        <f>'D2C Online'!DH16</f>
        <v>161926531.3448</v>
      </c>
      <c r="CK12" s="19">
        <f>'D2C Online'!DI16</f>
        <v>174975555.84877658</v>
      </c>
      <c r="CL12" s="19">
        <f>'D2C Online'!DJ16</f>
        <v>164312635.69908112</v>
      </c>
      <c r="CM12" s="19">
        <f>'D2C Online'!DK16</f>
        <v>165984953.4005653</v>
      </c>
      <c r="CN12" s="19">
        <f>'D2C Online'!DL16</f>
        <v>165866208.9483889</v>
      </c>
      <c r="CO12" s="19">
        <f>'D2C Online'!DM16</f>
        <v>168369737.81510782</v>
      </c>
      <c r="CP12" s="19">
        <f>'D2C Online'!DN16</f>
        <v>158652483.47867313</v>
      </c>
      <c r="CQ12" s="19">
        <f>'D2C Online'!DO16</f>
        <v>173554912.22681022</v>
      </c>
      <c r="CR12" s="19">
        <f>'D2C Online'!DP16</f>
        <v>168755657.28468105</v>
      </c>
      <c r="CS12" s="19">
        <f>'D2C Online'!DQ16</f>
        <v>169151472.125269</v>
      </c>
      <c r="CT12" s="19">
        <f>'D2C Online'!DR16</f>
        <v>207634570.00143439</v>
      </c>
      <c r="CU12" s="19">
        <f>'D2C Online'!DS16</f>
        <v>223724443.27133533</v>
      </c>
      <c r="CV12" s="19">
        <f>'D2C Online'!DT16</f>
        <v>191801976.37791553</v>
      </c>
      <c r="CW12" s="19">
        <f>'D2C Online'!DU16</f>
        <v>207258545.90287578</v>
      </c>
      <c r="CX12" s="168"/>
      <c r="CY12" s="19">
        <f t="shared" si="3"/>
        <v>194628259.44799787</v>
      </c>
      <c r="CZ12" s="19">
        <f t="shared" si="4"/>
        <v>228229605.54709607</v>
      </c>
      <c r="DA12" s="19">
        <f t="shared" si="5"/>
        <v>266382710.20835388</v>
      </c>
      <c r="DB12" s="19">
        <f t="shared" si="6"/>
        <v>208870203.41645616</v>
      </c>
      <c r="DC12" s="19">
        <f t="shared" si="7"/>
        <v>210977784.51216292</v>
      </c>
      <c r="DD12" s="19">
        <f t="shared" si="8"/>
        <v>240196765.97829908</v>
      </c>
      <c r="DE12" s="19">
        <f t="shared" si="9"/>
        <v>218034463.39117968</v>
      </c>
      <c r="DF12" s="19">
        <f t="shared" si="10"/>
        <v>298658559.66654402</v>
      </c>
      <c r="DG12" s="19">
        <f t="shared" si="11"/>
        <v>381944390.21582144</v>
      </c>
      <c r="DH12" s="19">
        <f t="shared" si="12"/>
        <v>292018815.66000175</v>
      </c>
      <c r="DI12" s="19">
        <f t="shared" si="13"/>
        <v>369584602.33000016</v>
      </c>
      <c r="DJ12" s="19">
        <f t="shared" si="14"/>
        <v>372712656.78999877</v>
      </c>
      <c r="DK12" s="19">
        <f t="shared" si="15"/>
        <v>353634757.12691438</v>
      </c>
      <c r="DL12" s="19">
        <f t="shared" si="16"/>
        <v>356780308.70503616</v>
      </c>
      <c r="DM12" s="19">
        <f t="shared" si="17"/>
        <v>388828260.20948756</v>
      </c>
      <c r="DN12" s="19">
        <f t="shared" si="18"/>
        <v>443882465.63284755</v>
      </c>
      <c r="DO12" s="19">
        <f t="shared" si="19"/>
        <v>418880369.81683004</v>
      </c>
      <c r="DP12" s="19">
        <f t="shared" si="20"/>
        <v>422606275.66111523</v>
      </c>
      <c r="DQ12" s="19">
        <f t="shared" si="21"/>
        <v>460567074.21813798</v>
      </c>
      <c r="DR12" s="19">
        <f t="shared" si="22"/>
        <v>525778780.54210794</v>
      </c>
      <c r="DS12" s="19">
        <f t="shared" si="33"/>
        <v>496163798.04803538</v>
      </c>
      <c r="DT12" s="19">
        <f t="shared" si="34"/>
        <v>500577133.52059114</v>
      </c>
      <c r="DU12" s="19">
        <f t="shared" si="35"/>
        <v>545541699.41138434</v>
      </c>
      <c r="DV12" s="19">
        <f t="shared" si="36"/>
        <v>622784965.55212665</v>
      </c>
      <c r="DX12" s="19">
        <f t="shared" si="27"/>
        <v>898110778.61990404</v>
      </c>
      <c r="DY12" s="19">
        <f t="shared" si="28"/>
        <v>967867573.54818559</v>
      </c>
      <c r="DZ12" s="19">
        <f t="shared" si="29"/>
        <v>1416260464.9958222</v>
      </c>
      <c r="EA12" s="19">
        <f t="shared" si="30"/>
        <v>1543125791.6742857</v>
      </c>
      <c r="EB12" s="19">
        <f t="shared" si="31"/>
        <v>1827832500.2381911</v>
      </c>
      <c r="EC12" s="770">
        <f t="shared" si="32"/>
        <v>2165067596.5321379</v>
      </c>
    </row>
    <row r="13" spans="2:133" x14ac:dyDescent="0.2">
      <c r="B13" s="155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68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X13" s="19"/>
      <c r="DY13" s="19"/>
      <c r="DZ13" s="19"/>
      <c r="EA13" s="19"/>
      <c r="EB13" s="19"/>
      <c r="EC13" s="770"/>
    </row>
    <row r="14" spans="2:133" x14ac:dyDescent="0.2">
      <c r="B14" s="155" t="s">
        <v>229</v>
      </c>
      <c r="C14" s="19">
        <f>'D2C - Retail'!J26</f>
        <v>121</v>
      </c>
      <c r="D14" s="19">
        <f>'D2C - Retail'!K26</f>
        <v>243</v>
      </c>
      <c r="E14" s="19">
        <f>'D2C - Retail'!L26</f>
        <v>165</v>
      </c>
      <c r="F14" s="19">
        <f>'D2C - Retail'!M26</f>
        <v>178</v>
      </c>
      <c r="G14" s="19">
        <f>'D2C - Retail'!N26</f>
        <v>4</v>
      </c>
      <c r="H14" s="19">
        <f>'D2C - Retail'!O26</f>
        <v>152</v>
      </c>
      <c r="I14" s="19">
        <f>'D2C - Retail'!P26</f>
        <v>196</v>
      </c>
      <c r="J14" s="19">
        <f>'D2C - Retail'!Q26</f>
        <v>249</v>
      </c>
      <c r="K14" s="19">
        <f>'D2C - Retail'!R26</f>
        <v>309</v>
      </c>
      <c r="L14" s="19">
        <f>'D2C - Retail'!S26</f>
        <v>327</v>
      </c>
      <c r="M14" s="19">
        <f>'D2C - Retail'!T26</f>
        <v>579</v>
      </c>
      <c r="N14" s="19">
        <f>'D2C - Retail'!U26</f>
        <v>727</v>
      </c>
      <c r="O14" s="19">
        <f>'D2C - Retail'!V26</f>
        <v>811</v>
      </c>
      <c r="P14" s="19">
        <f>'D2C - Retail'!W26</f>
        <v>785</v>
      </c>
      <c r="Q14" s="19">
        <f>'D2C - Retail'!X26</f>
        <v>806</v>
      </c>
      <c r="R14" s="19">
        <f>'D2C - Retail'!Y26</f>
        <v>613</v>
      </c>
      <c r="S14" s="19">
        <f>'D2C - Retail'!Z26</f>
        <v>779</v>
      </c>
      <c r="T14" s="19">
        <f>'D2C - Retail'!AA26</f>
        <v>831</v>
      </c>
      <c r="U14" s="19">
        <f>'D2C - Retail'!AB26</f>
        <v>646</v>
      </c>
      <c r="V14" s="19">
        <f>'D2C - Retail'!AC26</f>
        <v>590</v>
      </c>
      <c r="W14" s="19">
        <f>'D2C - Retail'!AD26</f>
        <v>545</v>
      </c>
      <c r="X14" s="19">
        <f>'D2C - Retail'!AE26</f>
        <v>534</v>
      </c>
      <c r="Y14" s="19">
        <f>'D2C - Retail'!AF26</f>
        <v>436</v>
      </c>
      <c r="Z14" s="19">
        <f>'D2C - Retail'!AG26</f>
        <v>580</v>
      </c>
      <c r="AA14" s="19">
        <f>'D2C - Retail'!AH26</f>
        <v>529</v>
      </c>
      <c r="AB14" s="19">
        <f>'D2C - Retail'!AI26</f>
        <v>544</v>
      </c>
      <c r="AC14" s="19">
        <f>'D2C - Retail'!AJ26</f>
        <v>715</v>
      </c>
      <c r="AD14" s="19">
        <f>'D2C - Retail'!AK26</f>
        <v>812</v>
      </c>
      <c r="AE14" s="19">
        <f>'D2C - Retail'!AL26</f>
        <v>897</v>
      </c>
      <c r="AF14" s="19">
        <f>'D2C - Retail'!AM26</f>
        <v>1005</v>
      </c>
      <c r="AG14" s="19">
        <f>'D2C - Retail'!AN26</f>
        <v>1000</v>
      </c>
      <c r="AH14" s="19">
        <f>'D2C - Retail'!AO26</f>
        <v>1012</v>
      </c>
      <c r="AI14" s="19">
        <f>'D2C - Retail'!AP26</f>
        <v>989</v>
      </c>
      <c r="AJ14" s="19">
        <f>'D2C - Retail'!AQ26</f>
        <v>1043</v>
      </c>
      <c r="AK14" s="19">
        <f>'D2C - Retail'!AR26</f>
        <v>859</v>
      </c>
      <c r="AL14" s="19">
        <f>'D2C - Retail'!AS26</f>
        <v>781</v>
      </c>
      <c r="AM14" s="19">
        <f>'D2C - Retail'!AT26</f>
        <v>724</v>
      </c>
      <c r="AN14" s="19">
        <f>'D2C - Retail'!AU26</f>
        <v>733</v>
      </c>
      <c r="AO14" s="19">
        <f>'D2C - Retail'!AV26</f>
        <v>872</v>
      </c>
      <c r="AP14" s="19">
        <f>'D2C - Retail'!AW26</f>
        <v>901</v>
      </c>
      <c r="AQ14" s="19">
        <f>'D2C - Retail'!AX26</f>
        <v>881</v>
      </c>
      <c r="AR14" s="19">
        <f>'D2C - Retail'!AY26</f>
        <v>873</v>
      </c>
      <c r="AS14" s="19">
        <f>'D2C - Retail'!AZ26</f>
        <v>1017</v>
      </c>
      <c r="AT14" s="19">
        <f>'D2C - Retail'!BA26</f>
        <v>855</v>
      </c>
      <c r="AU14" s="19">
        <f>'D2C - Retail'!BB26</f>
        <v>921</v>
      </c>
      <c r="AV14" s="19">
        <f>'D2C - Retail'!BC26</f>
        <v>697</v>
      </c>
      <c r="AW14" s="19">
        <f>'D2C - Retail'!BD26</f>
        <v>841</v>
      </c>
      <c r="AX14" s="19">
        <f>'D2C - Retail'!BE26</f>
        <v>977</v>
      </c>
      <c r="AY14" s="19">
        <f>'D2C - Retail'!BF26</f>
        <v>1138</v>
      </c>
      <c r="AZ14" s="19">
        <f>'D2C - Retail'!BG26</f>
        <v>1010</v>
      </c>
      <c r="BA14" s="19">
        <f>'D2C - Retail'!BH26</f>
        <v>1223</v>
      </c>
      <c r="BB14" s="19">
        <f>'D2C - Retail'!BI26</f>
        <v>1274</v>
      </c>
      <c r="BC14" s="19">
        <f>'D2C - Retail'!BJ26</f>
        <v>1400</v>
      </c>
      <c r="BD14" s="19">
        <f>'D2C - Retail'!BK26</f>
        <v>1239</v>
      </c>
      <c r="BE14" s="19">
        <f>'D2C - Retail'!BL26</f>
        <v>1420</v>
      </c>
      <c r="BF14" s="19">
        <f>'D2C - Retail'!BM26</f>
        <v>1202</v>
      </c>
      <c r="BG14" s="19">
        <f>'D2C - Retail'!BN26</f>
        <v>1122</v>
      </c>
      <c r="BH14" s="19">
        <f>'D2C - Retail'!BO26</f>
        <v>1092</v>
      </c>
      <c r="BI14" s="19">
        <f>'D2C - Retail'!BP26</f>
        <v>1107</v>
      </c>
      <c r="BJ14" s="19">
        <f>'D2C - Retail'!BQ26</f>
        <v>1140</v>
      </c>
      <c r="BK14" s="19">
        <f>'D2C - Retail'!BR26</f>
        <v>1428</v>
      </c>
      <c r="BL14" s="19">
        <f>'D2C - Retail'!BS26</f>
        <v>1319</v>
      </c>
      <c r="BM14" s="19">
        <f>'D2C - Retail'!BT26</f>
        <v>1445</v>
      </c>
      <c r="BN14" s="19">
        <f>'D2C - Retail'!BU26</f>
        <v>1543.8711392436448</v>
      </c>
      <c r="BO14" s="19">
        <f>'D2C - Retail'!BV26</f>
        <v>1508.1434666061657</v>
      </c>
      <c r="BP14" s="19">
        <f>'D2C - Retail'!BW26</f>
        <v>1503.0930653086327</v>
      </c>
      <c r="BQ14" s="19">
        <f>'D2C - Retail'!BX26</f>
        <v>1637.5270619753521</v>
      </c>
      <c r="BR14" s="19">
        <f>'D2C - Retail'!BY26</f>
        <v>1447.1931470460665</v>
      </c>
      <c r="BS14" s="19">
        <f>'D2C - Retail'!BZ26</f>
        <v>1332.0257393906495</v>
      </c>
      <c r="BT14" s="19">
        <f>'D2C - Retail'!CA26</f>
        <v>1694.9663788046689</v>
      </c>
      <c r="BU14" s="19">
        <f>'D2C - Retail'!CB26</f>
        <v>1548.3753554691739</v>
      </c>
      <c r="BV14" s="19">
        <f>'D2C - Retail'!CC26</f>
        <v>1867.4392831180048</v>
      </c>
      <c r="BW14" s="19">
        <f>'D2C - Retail'!CD26</f>
        <v>1915.6851242749988</v>
      </c>
      <c r="BX14" s="19">
        <f>'D2C - Retail'!CE26</f>
        <v>1769.7901110407863</v>
      </c>
      <c r="BY14" s="19">
        <f>'D2C - Retail'!CF26</f>
        <v>2080.0296997868877</v>
      </c>
      <c r="BZ14" s="19">
        <f>'D2C - Retail'!CG26</f>
        <v>1839.0229746872831</v>
      </c>
      <c r="CA14" s="19">
        <f>'D2C - Retail'!CH26</f>
        <v>1801.2888529277388</v>
      </c>
      <c r="CB14" s="19">
        <f>'D2C - Retail'!CI26</f>
        <v>1786.0828090858756</v>
      </c>
      <c r="CC14" s="19">
        <f>'D2C - Retail'!CJ26</f>
        <v>1943.9785550021684</v>
      </c>
      <c r="CD14" s="19">
        <f>'D2C - Retail'!CK26</f>
        <v>1715.62413399816</v>
      </c>
      <c r="CE14" s="19">
        <f>'D2C - Retail'!CL26</f>
        <v>1576.2304582789359</v>
      </c>
      <c r="CF14" s="19">
        <f>'D2C - Retail'!CM26</f>
        <v>1996.923971879123</v>
      </c>
      <c r="CG14" s="19">
        <f>'D2C - Retail'!CN26</f>
        <v>1815.5755384071426</v>
      </c>
      <c r="CH14" s="19">
        <f>'D2C - Retail'!CO26</f>
        <v>2180.3615413702119</v>
      </c>
      <c r="CI14" s="19">
        <f>'D2C - Retail'!CP26</f>
        <v>2227.2591990852434</v>
      </c>
      <c r="CJ14" s="19">
        <f>'D2C - Retail'!CQ26</f>
        <v>2048.3309410170918</v>
      </c>
      <c r="CK14" s="19">
        <f>'D2C - Retail'!CR26</f>
        <v>2379.6160669949991</v>
      </c>
      <c r="CL14" s="19">
        <f>'D2C - Retail'!CS26</f>
        <v>2102.6162677257939</v>
      </c>
      <c r="CM14" s="19">
        <f>'D2C - Retail'!CT26</f>
        <v>2057.6261127674561</v>
      </c>
      <c r="CN14" s="19">
        <f>'D2C - Retail'!CU26</f>
        <v>2039.057083318221</v>
      </c>
      <c r="CO14" s="19">
        <f>'D2C - Retail'!CV26</f>
        <v>2218.0304054456155</v>
      </c>
      <c r="CP14" s="19">
        <f>'D2C - Retail'!CW26</f>
        <v>1955.8115127579028</v>
      </c>
      <c r="CQ14" s="19">
        <f>'D2C - Retail'!CX26</f>
        <v>1794.9046838289009</v>
      </c>
      <c r="CR14" s="19">
        <f>'D2C - Retail'!CY26</f>
        <v>2273.340290091865</v>
      </c>
      <c r="CS14" s="19">
        <f>'D2C - Retail'!CZ26</f>
        <v>2065.7707040656878</v>
      </c>
      <c r="CT14" s="19">
        <f>'D2C - Retail'!DA26</f>
        <v>2480.1612533086159</v>
      </c>
      <c r="CU14" s="19">
        <f>'D2C - Retail'!DB26</f>
        <v>2532.8329957763499</v>
      </c>
      <c r="CV14" s="19">
        <f>'D2C - Retail'!DC26</f>
        <v>2328.1287241972614</v>
      </c>
      <c r="CW14" s="19">
        <f>'D2C - Retail'!DD26</f>
        <v>2703.9609966744547</v>
      </c>
      <c r="CX14" s="168"/>
      <c r="CY14" s="19">
        <f t="shared" si="3"/>
        <v>2714</v>
      </c>
      <c r="CZ14" s="19">
        <f t="shared" si="4"/>
        <v>3001</v>
      </c>
      <c r="DA14" s="19">
        <f t="shared" si="5"/>
        <v>2683</v>
      </c>
      <c r="DB14" s="19">
        <f t="shared" si="6"/>
        <v>2329</v>
      </c>
      <c r="DC14" s="19">
        <f t="shared" si="7"/>
        <v>2655</v>
      </c>
      <c r="DD14" s="19">
        <f t="shared" si="8"/>
        <v>2793</v>
      </c>
      <c r="DE14" s="19">
        <f t="shared" si="9"/>
        <v>2515</v>
      </c>
      <c r="DF14" s="19">
        <f t="shared" si="10"/>
        <v>3371</v>
      </c>
      <c r="DG14" s="19">
        <f t="shared" si="11"/>
        <v>3913</v>
      </c>
      <c r="DH14" s="19">
        <f t="shared" si="12"/>
        <v>3744</v>
      </c>
      <c r="DI14" s="19">
        <f t="shared" si="13"/>
        <v>3339</v>
      </c>
      <c r="DJ14" s="19">
        <f t="shared" si="14"/>
        <v>4192</v>
      </c>
      <c r="DK14" s="19">
        <f t="shared" si="15"/>
        <v>4555.1076711584428</v>
      </c>
      <c r="DL14" s="19">
        <f t="shared" si="16"/>
        <v>4416.7459484120682</v>
      </c>
      <c r="DM14" s="19">
        <f t="shared" si="17"/>
        <v>5110.7810173918479</v>
      </c>
      <c r="DN14" s="19">
        <f t="shared" si="18"/>
        <v>5765.5049351026728</v>
      </c>
      <c r="DO14" s="19">
        <f t="shared" si="19"/>
        <v>5426.3946367008975</v>
      </c>
      <c r="DP14" s="19">
        <f t="shared" si="20"/>
        <v>5235.8331472792643</v>
      </c>
      <c r="DQ14" s="19">
        <f t="shared" si="21"/>
        <v>5992.8610516564777</v>
      </c>
      <c r="DR14" s="19">
        <f t="shared" si="22"/>
        <v>6655.2062070973334</v>
      </c>
      <c r="DS14" s="19">
        <f t="shared" si="33"/>
        <v>6199.2994638114706</v>
      </c>
      <c r="DT14" s="19">
        <f t="shared" si="34"/>
        <v>5968.7466020324191</v>
      </c>
      <c r="DU14" s="19">
        <f t="shared" si="35"/>
        <v>6819.2722474661678</v>
      </c>
      <c r="DV14" s="19">
        <f t="shared" si="36"/>
        <v>7564.9227166480659</v>
      </c>
      <c r="DX14" s="19">
        <f t="shared" si="27"/>
        <v>10727</v>
      </c>
      <c r="DY14" s="19">
        <f t="shared" si="28"/>
        <v>11334</v>
      </c>
      <c r="DZ14" s="19">
        <f t="shared" si="29"/>
        <v>15188</v>
      </c>
      <c r="EA14" s="19">
        <f t="shared" si="30"/>
        <v>19848.139572065033</v>
      </c>
      <c r="EB14" s="19">
        <f t="shared" si="31"/>
        <v>23310.295042733971</v>
      </c>
      <c r="EC14" s="770">
        <f t="shared" si="32"/>
        <v>26552.241029958124</v>
      </c>
    </row>
    <row r="15" spans="2:133" x14ac:dyDescent="0.2">
      <c r="B15" s="155" t="s">
        <v>237</v>
      </c>
      <c r="C15" s="19">
        <f>'D2C - Retail'!J27</f>
        <v>10</v>
      </c>
      <c r="D15" s="19">
        <f>'D2C - Retail'!K27</f>
        <v>12</v>
      </c>
      <c r="E15" s="19">
        <f>'D2C - Retail'!L27</f>
        <v>10</v>
      </c>
      <c r="F15" s="19">
        <f>'D2C - Retail'!M27</f>
        <v>6</v>
      </c>
      <c r="G15" s="19">
        <f>'D2C - Retail'!N27</f>
        <v>0</v>
      </c>
      <c r="H15" s="19">
        <f>'D2C - Retail'!O27</f>
        <v>4</v>
      </c>
      <c r="I15" s="19">
        <f>'D2C - Retail'!P27</f>
        <v>11</v>
      </c>
      <c r="J15" s="19">
        <f>'D2C - Retail'!Q27</f>
        <v>21</v>
      </c>
      <c r="K15" s="19">
        <f>'D2C - Retail'!R27</f>
        <v>77</v>
      </c>
      <c r="L15" s="19">
        <f>'D2C - Retail'!S27</f>
        <v>29</v>
      </c>
      <c r="M15" s="19">
        <f>'D2C - Retail'!T27</f>
        <v>63</v>
      </c>
      <c r="N15" s="19">
        <f>'D2C - Retail'!U27</f>
        <v>124</v>
      </c>
      <c r="O15" s="19">
        <f>'D2C - Retail'!V27</f>
        <v>64</v>
      </c>
      <c r="P15" s="19">
        <f>'D2C - Retail'!W27</f>
        <v>95</v>
      </c>
      <c r="Q15" s="19">
        <f>'D2C - Retail'!X27</f>
        <v>70</v>
      </c>
      <c r="R15" s="19">
        <f>'D2C - Retail'!Y27</f>
        <v>90</v>
      </c>
      <c r="S15" s="19">
        <f>'D2C - Retail'!Z27</f>
        <v>40</v>
      </c>
      <c r="T15" s="19">
        <f>'D2C - Retail'!AA27</f>
        <v>56</v>
      </c>
      <c r="U15" s="19">
        <f>'D2C - Retail'!AB27</f>
        <v>0</v>
      </c>
      <c r="V15" s="19">
        <f>'D2C - Retail'!AC27</f>
        <v>0</v>
      </c>
      <c r="W15" s="19">
        <f>'D2C - Retail'!AD27</f>
        <v>0</v>
      </c>
      <c r="X15" s="19">
        <f>'D2C - Retail'!AE27</f>
        <v>0</v>
      </c>
      <c r="Y15" s="19">
        <f>'D2C - Retail'!AF27</f>
        <v>2</v>
      </c>
      <c r="Z15" s="19">
        <f>'D2C - Retail'!AG27</f>
        <v>12</v>
      </c>
      <c r="AA15" s="19">
        <f>'D2C - Retail'!AH27</f>
        <v>0</v>
      </c>
      <c r="AB15" s="19">
        <f>'D2C - Retail'!AI27</f>
        <v>2</v>
      </c>
      <c r="AC15" s="19">
        <f>'D2C - Retail'!AJ27</f>
        <v>6</v>
      </c>
      <c r="AD15" s="19">
        <f>'D2C - Retail'!AK27</f>
        <v>4</v>
      </c>
      <c r="AE15" s="19">
        <f>'D2C - Retail'!AL27</f>
        <v>2</v>
      </c>
      <c r="AF15" s="19">
        <f>'D2C - Retail'!AM27</f>
        <v>1</v>
      </c>
      <c r="AG15" s="19">
        <f>'D2C - Retail'!AN27</f>
        <v>8</v>
      </c>
      <c r="AH15" s="19">
        <f>'D2C - Retail'!AO27</f>
        <v>0</v>
      </c>
      <c r="AI15" s="19">
        <f>'D2C - Retail'!AP27</f>
        <v>4</v>
      </c>
      <c r="AJ15" s="19">
        <f>'D2C - Retail'!AQ27</f>
        <v>63</v>
      </c>
      <c r="AK15" s="19">
        <f>'D2C - Retail'!AR27</f>
        <v>6</v>
      </c>
      <c r="AL15" s="19">
        <f>'D2C - Retail'!AS27</f>
        <v>51</v>
      </c>
      <c r="AM15" s="19">
        <f>'D2C - Retail'!AT27</f>
        <v>29</v>
      </c>
      <c r="AN15" s="19">
        <f>'D2C - Retail'!AU27</f>
        <v>6</v>
      </c>
      <c r="AO15" s="19">
        <f>'D2C - Retail'!AV27</f>
        <v>61</v>
      </c>
      <c r="AP15" s="19">
        <f>'D2C - Retail'!AW27</f>
        <v>18</v>
      </c>
      <c r="AQ15" s="19">
        <f>'D2C - Retail'!AX27</f>
        <v>6</v>
      </c>
      <c r="AR15" s="19">
        <f>'D2C - Retail'!AY27</f>
        <v>3</v>
      </c>
      <c r="AS15" s="19">
        <f>'D2C - Retail'!AZ27</f>
        <v>57</v>
      </c>
      <c r="AT15" s="19">
        <f>'D2C - Retail'!BA27</f>
        <v>6</v>
      </c>
      <c r="AU15" s="19">
        <f>'D2C - Retail'!BB27</f>
        <v>4</v>
      </c>
      <c r="AV15" s="19">
        <f>'D2C - Retail'!BC27</f>
        <v>29</v>
      </c>
      <c r="AW15" s="19">
        <f>'D2C - Retail'!BD27</f>
        <v>18</v>
      </c>
      <c r="AX15" s="19">
        <f>'D2C - Retail'!BE27</f>
        <v>14</v>
      </c>
      <c r="AY15" s="19">
        <f>'D2C - Retail'!BF27</f>
        <v>34</v>
      </c>
      <c r="AZ15" s="19">
        <f>'D2C - Retail'!BG27</f>
        <v>154</v>
      </c>
      <c r="BA15" s="19">
        <f>'D2C - Retail'!BH27</f>
        <v>4</v>
      </c>
      <c r="BB15" s="19">
        <f>'D2C - Retail'!BI27</f>
        <v>41</v>
      </c>
      <c r="BC15" s="19">
        <f>'D2C - Retail'!BJ27</f>
        <v>11</v>
      </c>
      <c r="BD15" s="19">
        <f>'D2C - Retail'!BK27</f>
        <v>10</v>
      </c>
      <c r="BE15" s="19">
        <f>'D2C - Retail'!BL27</f>
        <v>8</v>
      </c>
      <c r="BF15" s="19">
        <f>'D2C - Retail'!BM27</f>
        <v>5</v>
      </c>
      <c r="BG15" s="19">
        <f>'D2C - Retail'!BN27</f>
        <v>117</v>
      </c>
      <c r="BH15" s="19">
        <f>'D2C - Retail'!BO27</f>
        <v>5</v>
      </c>
      <c r="BI15" s="19">
        <f>'D2C - Retail'!BP27</f>
        <v>2</v>
      </c>
      <c r="BJ15" s="19">
        <f>'D2C - Retail'!BQ27</f>
        <v>65</v>
      </c>
      <c r="BK15" s="19">
        <f>'D2C - Retail'!BR27</f>
        <v>1</v>
      </c>
      <c r="BL15" s="19">
        <f>'D2C - Retail'!BS27</f>
        <v>0</v>
      </c>
      <c r="BM15" s="19">
        <f>'D2C - Retail'!BT27</f>
        <v>1</v>
      </c>
      <c r="BN15" s="19">
        <f>'D2C - Retail'!BU27</f>
        <v>25.242366388710643</v>
      </c>
      <c r="BO15" s="19">
        <f>'D2C - Retail'!BV27</f>
        <v>24.658217245685019</v>
      </c>
      <c r="BP15" s="19">
        <f>'D2C - Retail'!BW27</f>
        <v>24.575642944811182</v>
      </c>
      <c r="BQ15" s="19">
        <f>'D2C - Retail'!BX27</f>
        <v>26.773645169674655</v>
      </c>
      <c r="BR15" s="19">
        <f>'D2C - Retail'!BY27</f>
        <v>23.661676628571893</v>
      </c>
      <c r="BS15" s="19">
        <f>'D2C - Retail'!BZ27</f>
        <v>21.778684048310147</v>
      </c>
      <c r="BT15" s="19">
        <f>'D2C - Retail'!CA27</f>
        <v>27.712780725530159</v>
      </c>
      <c r="BU15" s="19">
        <f>'D2C - Retail'!CB27</f>
        <v>25.316010537738833</v>
      </c>
      <c r="BV15" s="19">
        <f>'D2C - Retail'!CC27</f>
        <v>30.532720895494819</v>
      </c>
      <c r="BW15" s="19">
        <f>'D2C - Retail'!CD27</f>
        <v>31.321542687845312</v>
      </c>
      <c r="BX15" s="19">
        <f>'D2C - Retail'!CE27</f>
        <v>28.936152298238071</v>
      </c>
      <c r="BY15" s="19">
        <f>'D2C - Retail'!CF27</f>
        <v>34.008584296188722</v>
      </c>
      <c r="BZ15" s="19">
        <f>'D2C - Retail'!CG27</f>
        <v>30.068112904199449</v>
      </c>
      <c r="CA15" s="19">
        <f>'D2C - Retail'!CH27</f>
        <v>29.451158222815046</v>
      </c>
      <c r="CB15" s="19">
        <f>'D2C - Retail'!CI27</f>
        <v>29.202538684420698</v>
      </c>
      <c r="CC15" s="19">
        <f>'D2C - Retail'!CJ27</f>
        <v>31.78414162285663</v>
      </c>
      <c r="CD15" s="19">
        <f>'D2C - Retail'!CK27</f>
        <v>28.050536003226362</v>
      </c>
      <c r="CE15" s="19">
        <f>'D2C - Retail'!CL27</f>
        <v>25.771442790500341</v>
      </c>
      <c r="CF15" s="19">
        <f>'D2C - Retail'!CM27</f>
        <v>32.649801701239767</v>
      </c>
      <c r="CG15" s="19">
        <f>'D2C - Retail'!CN27</f>
        <v>29.684746208356412</v>
      </c>
      <c r="CH15" s="19">
        <f>'D2C - Retail'!CO27</f>
        <v>35.649014667172331</v>
      </c>
      <c r="CI15" s="19">
        <f>'D2C - Retail'!CP27</f>
        <v>36.415793596270738</v>
      </c>
      <c r="CJ15" s="19">
        <f>'D2C - Retail'!CQ27</f>
        <v>33.490308086085761</v>
      </c>
      <c r="CK15" s="19">
        <f>'D2C - Retail'!CR27</f>
        <v>38.906835616460683</v>
      </c>
      <c r="CL15" s="19">
        <f>'D2C - Retail'!CS27</f>
        <v>34.377875753801369</v>
      </c>
      <c r="CM15" s="19">
        <f>'D2C - Retail'!CT27</f>
        <v>33.642284585292579</v>
      </c>
      <c r="CN15" s="19">
        <f>'D2C - Retail'!CU27</f>
        <v>33.338680072632286</v>
      </c>
      <c r="CO15" s="19">
        <f>'D2C - Retail'!CV27</f>
        <v>36.26490238232433</v>
      </c>
      <c r="CP15" s="19">
        <f>'D2C - Retail'!CW27</f>
        <v>31.977611043678053</v>
      </c>
      <c r="CQ15" s="19">
        <f>'D2C - Retail'!CX27</f>
        <v>29.346776755097927</v>
      </c>
      <c r="CR15" s="19">
        <f>'D2C - Retail'!CY27</f>
        <v>37.169221620937698</v>
      </c>
      <c r="CS15" s="19">
        <f>'D2C - Retail'!CZ27</f>
        <v>33.775449039507969</v>
      </c>
      <c r="CT15" s="19">
        <f>'D2C - Retail'!DA27</f>
        <v>40.550754183908531</v>
      </c>
      <c r="CU15" s="19">
        <f>'D2C - Retail'!DB27</f>
        <v>41.411939672714105</v>
      </c>
      <c r="CV15" s="19">
        <f>'D2C - Retail'!DC27</f>
        <v>38.065015118463457</v>
      </c>
      <c r="CW15" s="19">
        <f>'D2C - Retail'!DD27</f>
        <v>44.209890608019371</v>
      </c>
      <c r="CX15" s="168"/>
      <c r="CY15" s="19">
        <f t="shared" si="3"/>
        <v>7</v>
      </c>
      <c r="CZ15" s="19">
        <f t="shared" si="4"/>
        <v>12</v>
      </c>
      <c r="DA15" s="19">
        <f t="shared" si="5"/>
        <v>120</v>
      </c>
      <c r="DB15" s="19">
        <f t="shared" si="6"/>
        <v>96</v>
      </c>
      <c r="DC15" s="19">
        <f t="shared" si="7"/>
        <v>27</v>
      </c>
      <c r="DD15" s="19">
        <f t="shared" si="8"/>
        <v>67</v>
      </c>
      <c r="DE15" s="19">
        <f t="shared" si="9"/>
        <v>61</v>
      </c>
      <c r="DF15" s="19">
        <f t="shared" si="10"/>
        <v>192</v>
      </c>
      <c r="DG15" s="19">
        <f t="shared" si="11"/>
        <v>62</v>
      </c>
      <c r="DH15" s="19">
        <f t="shared" si="12"/>
        <v>130</v>
      </c>
      <c r="DI15" s="19">
        <f t="shared" si="13"/>
        <v>72</v>
      </c>
      <c r="DJ15" s="19">
        <f t="shared" si="14"/>
        <v>2</v>
      </c>
      <c r="DK15" s="19">
        <f t="shared" si="15"/>
        <v>74.476226579206838</v>
      </c>
      <c r="DL15" s="19">
        <f t="shared" si="16"/>
        <v>72.214005846556688</v>
      </c>
      <c r="DM15" s="19">
        <f t="shared" si="17"/>
        <v>83.561512158763804</v>
      </c>
      <c r="DN15" s="19">
        <f t="shared" si="18"/>
        <v>94.266279282272109</v>
      </c>
      <c r="DO15" s="19">
        <f t="shared" si="19"/>
        <v>88.721809811435193</v>
      </c>
      <c r="DP15" s="19">
        <f t="shared" si="20"/>
        <v>85.606120416583337</v>
      </c>
      <c r="DQ15" s="19">
        <f t="shared" si="21"/>
        <v>97.98356257676852</v>
      </c>
      <c r="DR15" s="19">
        <f t="shared" si="22"/>
        <v>108.81293729881719</v>
      </c>
      <c r="DS15" s="19">
        <f t="shared" si="33"/>
        <v>101.35884041172623</v>
      </c>
      <c r="DT15" s="19">
        <f t="shared" si="34"/>
        <v>97.589290181100296</v>
      </c>
      <c r="DU15" s="19">
        <f t="shared" si="35"/>
        <v>111.4954248443542</v>
      </c>
      <c r="DV15" s="19">
        <f t="shared" si="36"/>
        <v>123.68684539919693</v>
      </c>
      <c r="DX15" s="19">
        <f t="shared" si="27"/>
        <v>235</v>
      </c>
      <c r="DY15" s="19">
        <f t="shared" si="28"/>
        <v>347</v>
      </c>
      <c r="DZ15" s="19">
        <f t="shared" si="29"/>
        <v>266</v>
      </c>
      <c r="EA15" s="19">
        <f t="shared" si="30"/>
        <v>324.51802386679947</v>
      </c>
      <c r="EB15" s="19">
        <f t="shared" si="31"/>
        <v>381.12443010360425</v>
      </c>
      <c r="EC15" s="770">
        <f t="shared" si="32"/>
        <v>434.1304008363777</v>
      </c>
    </row>
    <row r="16" spans="2:133" x14ac:dyDescent="0.2">
      <c r="B16" s="155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68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X16" s="19"/>
      <c r="DY16" s="19"/>
      <c r="DZ16" s="19"/>
      <c r="EA16" s="19"/>
      <c r="EB16" s="19"/>
      <c r="EC16" s="770"/>
    </row>
    <row r="17" spans="2:133" x14ac:dyDescent="0.2">
      <c r="B17" s="214" t="s">
        <v>10</v>
      </c>
      <c r="C17" s="194">
        <f>SUM(C18:C19)</f>
        <v>42900443.359999999</v>
      </c>
      <c r="D17" s="194">
        <f t="shared" ref="D17:BO17" si="40">SUM(D18:D19)</f>
        <v>40864787.949999988</v>
      </c>
      <c r="E17" s="194">
        <f t="shared" si="40"/>
        <v>46809145.480000101</v>
      </c>
      <c r="F17" s="194">
        <f t="shared" si="40"/>
        <v>27239057.890000015</v>
      </c>
      <c r="G17" s="194">
        <f t="shared" si="40"/>
        <v>4254497.8</v>
      </c>
      <c r="H17" s="194">
        <f t="shared" si="40"/>
        <v>20147886.889999986</v>
      </c>
      <c r="I17" s="194">
        <f t="shared" si="40"/>
        <v>28479124.65000008</v>
      </c>
      <c r="J17" s="194">
        <f t="shared" si="40"/>
        <v>35592387.960000135</v>
      </c>
      <c r="K17" s="194">
        <f t="shared" si="40"/>
        <v>48057574.140000142</v>
      </c>
      <c r="L17" s="194">
        <f t="shared" si="40"/>
        <v>55758717.940000348</v>
      </c>
      <c r="M17" s="194">
        <f t="shared" si="40"/>
        <v>89590594.35999985</v>
      </c>
      <c r="N17" s="194">
        <f t="shared" si="40"/>
        <v>104797797.66999945</v>
      </c>
      <c r="O17" s="194">
        <f t="shared" si="40"/>
        <v>111308520.9300022</v>
      </c>
      <c r="P17" s="194">
        <f t="shared" si="40"/>
        <v>121039218.67999631</v>
      </c>
      <c r="Q17" s="194">
        <f t="shared" si="40"/>
        <v>127665158.81999502</v>
      </c>
      <c r="R17" s="194">
        <f t="shared" si="40"/>
        <v>114152737.50999597</v>
      </c>
      <c r="S17" s="194">
        <f t="shared" si="40"/>
        <v>141219188.76000482</v>
      </c>
      <c r="T17" s="194">
        <f t="shared" si="40"/>
        <v>181149388.26999009</v>
      </c>
      <c r="U17" s="194">
        <f t="shared" si="40"/>
        <v>177179071.3099986</v>
      </c>
      <c r="V17" s="194">
        <f t="shared" si="40"/>
        <v>173221579.66000542</v>
      </c>
      <c r="W17" s="194">
        <f t="shared" si="40"/>
        <v>168567324.79999986</v>
      </c>
      <c r="X17" s="194">
        <f t="shared" si="40"/>
        <v>211801165.06999582</v>
      </c>
      <c r="Y17" s="194">
        <f t="shared" si="40"/>
        <v>207027316.27999794</v>
      </c>
      <c r="Z17" s="194">
        <f t="shared" si="40"/>
        <v>243430346.26001406</v>
      </c>
      <c r="AA17" s="194">
        <f t="shared" si="40"/>
        <v>275558639.68999922</v>
      </c>
      <c r="AB17" s="194">
        <f t="shared" si="40"/>
        <v>294575625.31000471</v>
      </c>
      <c r="AC17" s="194">
        <f t="shared" si="40"/>
        <v>415418963.9799813</v>
      </c>
      <c r="AD17" s="194">
        <f t="shared" si="40"/>
        <v>471468712.55942798</v>
      </c>
      <c r="AE17" s="194">
        <f t="shared" si="40"/>
        <v>488801654.7096855</v>
      </c>
      <c r="AF17" s="194">
        <f t="shared" si="40"/>
        <v>514474379.67642361</v>
      </c>
      <c r="AG17" s="194">
        <f t="shared" si="40"/>
        <v>414738100.76314175</v>
      </c>
      <c r="AH17" s="194">
        <f t="shared" si="40"/>
        <v>436368009.07490754</v>
      </c>
      <c r="AI17" s="194">
        <f t="shared" si="40"/>
        <v>438127606.50698757</v>
      </c>
      <c r="AJ17" s="194">
        <f t="shared" si="40"/>
        <v>655140468.45114815</v>
      </c>
      <c r="AK17" s="194">
        <f t="shared" si="40"/>
        <v>550478882.38706899</v>
      </c>
      <c r="AL17" s="194">
        <f t="shared" si="40"/>
        <v>492437220.33111715</v>
      </c>
      <c r="AM17" s="194">
        <f t="shared" si="40"/>
        <v>468497166.54165256</v>
      </c>
      <c r="AN17" s="194">
        <f t="shared" si="40"/>
        <v>391086995.87576556</v>
      </c>
      <c r="AO17" s="194">
        <f t="shared" si="40"/>
        <v>504617056.66021729</v>
      </c>
      <c r="AP17" s="194">
        <f t="shared" si="40"/>
        <v>511404555.11941302</v>
      </c>
      <c r="AQ17" s="194">
        <f t="shared" si="40"/>
        <v>528382766.45801866</v>
      </c>
      <c r="AR17" s="194">
        <f t="shared" si="40"/>
        <v>557915117.44188285</v>
      </c>
      <c r="AS17" s="194">
        <f t="shared" si="40"/>
        <v>549172956.25877106</v>
      </c>
      <c r="AT17" s="194">
        <f t="shared" si="40"/>
        <v>486481967.82860899</v>
      </c>
      <c r="AU17" s="194">
        <f t="shared" si="40"/>
        <v>458111278.06665248</v>
      </c>
      <c r="AV17" s="194">
        <f t="shared" si="40"/>
        <v>571831289.16511595</v>
      </c>
      <c r="AW17" s="194">
        <f t="shared" si="40"/>
        <v>534552554.81307018</v>
      </c>
      <c r="AX17" s="194">
        <f t="shared" si="40"/>
        <v>636403083.74523067</v>
      </c>
      <c r="AY17" s="194">
        <f t="shared" si="40"/>
        <v>681078195.92077541</v>
      </c>
      <c r="AZ17" s="194">
        <f t="shared" si="40"/>
        <v>649806770.9229219</v>
      </c>
      <c r="BA17" s="194">
        <f t="shared" si="40"/>
        <v>838927433.56969547</v>
      </c>
      <c r="BB17" s="194">
        <f t="shared" si="40"/>
        <v>773004511.89321828</v>
      </c>
      <c r="BC17" s="194">
        <f t="shared" si="40"/>
        <v>755574724.8283186</v>
      </c>
      <c r="BD17" s="194">
        <f t="shared" si="40"/>
        <v>763813123.11457694</v>
      </c>
      <c r="BE17" s="194">
        <f t="shared" si="40"/>
        <v>820391689.6474576</v>
      </c>
      <c r="BF17" s="194">
        <f t="shared" si="40"/>
        <v>701446467.27000093</v>
      </c>
      <c r="BG17" s="194">
        <f t="shared" si="40"/>
        <v>758296395.77670133</v>
      </c>
      <c r="BH17" s="194">
        <f t="shared" si="40"/>
        <v>881911119.647488</v>
      </c>
      <c r="BI17" s="194">
        <f t="shared" si="40"/>
        <v>817850963.33060002</v>
      </c>
      <c r="BJ17" s="194">
        <f t="shared" si="40"/>
        <v>1006235498.4649951</v>
      </c>
      <c r="BK17" s="194">
        <f t="shared" si="40"/>
        <v>1093034605.5906382</v>
      </c>
      <c r="BL17" s="194">
        <f t="shared" si="40"/>
        <v>985465798.37775457</v>
      </c>
      <c r="BM17" s="194">
        <f t="shared" si="40"/>
        <v>1161455513.4814487</v>
      </c>
      <c r="BN17" s="194">
        <f t="shared" si="40"/>
        <v>1027611351.5716845</v>
      </c>
      <c r="BO17" s="194">
        <f t="shared" si="40"/>
        <v>1017215256.4438188</v>
      </c>
      <c r="BP17" s="194">
        <f t="shared" ref="BP17:CK17" si="41">SUM(BP18:BP19)</f>
        <v>1014880125.3755372</v>
      </c>
      <c r="BQ17" s="194">
        <f t="shared" si="41"/>
        <v>1075499963.9560406</v>
      </c>
      <c r="BR17" s="194">
        <f t="shared" si="41"/>
        <v>974594526.26008964</v>
      </c>
      <c r="BS17" s="194">
        <f t="shared" si="41"/>
        <v>964323899.00094485</v>
      </c>
      <c r="BT17" s="194">
        <f t="shared" si="41"/>
        <v>1099736828.0221882</v>
      </c>
      <c r="BU17" s="194">
        <f t="shared" si="41"/>
        <v>1041277483.2033017</v>
      </c>
      <c r="BV17" s="194">
        <f t="shared" si="41"/>
        <v>1264667706.8547726</v>
      </c>
      <c r="BW17" s="194">
        <f t="shared" si="41"/>
        <v>1323545981.3105874</v>
      </c>
      <c r="BX17" s="194">
        <f t="shared" si="41"/>
        <v>1186395496.120446</v>
      </c>
      <c r="BY17" s="194">
        <f t="shared" si="41"/>
        <v>1349942060.3239968</v>
      </c>
      <c r="BZ17" s="194">
        <f t="shared" si="41"/>
        <v>1245861891.7771087</v>
      </c>
      <c r="CA17" s="194">
        <f t="shared" si="41"/>
        <v>1234904713.6893134</v>
      </c>
      <c r="CB17" s="194">
        <f t="shared" si="41"/>
        <v>1228195566.1338305</v>
      </c>
      <c r="CC17" s="194">
        <f t="shared" si="41"/>
        <v>1301558126.6655786</v>
      </c>
      <c r="CD17" s="194">
        <f t="shared" si="41"/>
        <v>1177817271.8590436</v>
      </c>
      <c r="CE17" s="194">
        <f t="shared" si="41"/>
        <v>1162587754.7089529</v>
      </c>
      <c r="CF17" s="194">
        <f t="shared" si="41"/>
        <v>1324851278.5433443</v>
      </c>
      <c r="CG17" s="194">
        <f t="shared" si="41"/>
        <v>1250063909.505533</v>
      </c>
      <c r="CH17" s="194">
        <f t="shared" si="41"/>
        <v>1514196606.7960484</v>
      </c>
      <c r="CI17" s="194">
        <f t="shared" si="41"/>
        <v>1580406005.0833676</v>
      </c>
      <c r="CJ17" s="194">
        <f t="shared" si="41"/>
        <v>1413088135.210254</v>
      </c>
      <c r="CK17" s="194">
        <f t="shared" si="41"/>
        <v>1596543953.8011425</v>
      </c>
      <c r="CL17" s="194">
        <f t="shared" ref="CL17:CW17" si="42">SUM(CL18:CL19)</f>
        <v>1444001859.7005246</v>
      </c>
      <c r="CM17" s="194">
        <f t="shared" si="42"/>
        <v>1430899479.1369433</v>
      </c>
      <c r="CN17" s="194">
        <f t="shared" si="42"/>
        <v>1422718760.3548121</v>
      </c>
      <c r="CO17" s="194">
        <f t="shared" si="42"/>
        <v>1506243933.5743794</v>
      </c>
      <c r="CP17" s="194">
        <f t="shared" si="42"/>
        <v>1363133975.8585</v>
      </c>
      <c r="CQ17" s="194">
        <f t="shared" si="42"/>
        <v>1346854717.5163527</v>
      </c>
      <c r="CR17" s="194">
        <f t="shared" si="42"/>
        <v>1530733233.3528552</v>
      </c>
      <c r="CS17" s="194">
        <f t="shared" si="42"/>
        <v>1445177848.2572882</v>
      </c>
      <c r="CT17" s="194">
        <f t="shared" si="42"/>
        <v>1750632122.4094658</v>
      </c>
      <c r="CU17" s="194">
        <f t="shared" si="42"/>
        <v>1827851693.5386305</v>
      </c>
      <c r="CV17" s="194">
        <f t="shared" si="42"/>
        <v>1632693350.9766765</v>
      </c>
      <c r="CW17" s="194">
        <f t="shared" si="42"/>
        <v>1843056302.3061841</v>
      </c>
      <c r="CX17" s="168"/>
      <c r="CY17" s="194">
        <f t="shared" si="3"/>
        <v>1474744746.9455371</v>
      </c>
      <c r="CZ17" s="194">
        <f t="shared" si="4"/>
        <v>1289233716.345037</v>
      </c>
      <c r="DA17" s="194">
        <f t="shared" si="5"/>
        <v>1698056571.1693344</v>
      </c>
      <c r="DB17" s="194">
        <f t="shared" si="6"/>
        <v>1364201219.0776353</v>
      </c>
      <c r="DC17" s="194">
        <f t="shared" si="7"/>
        <v>1597702439.0193145</v>
      </c>
      <c r="DD17" s="194">
        <f t="shared" si="8"/>
        <v>1493766202.1540325</v>
      </c>
      <c r="DE17" s="194">
        <f t="shared" si="9"/>
        <v>1742786927.7234168</v>
      </c>
      <c r="DF17" s="194">
        <f t="shared" si="10"/>
        <v>2169812400.413393</v>
      </c>
      <c r="DG17" s="194">
        <f t="shared" si="11"/>
        <v>2292392359.8361139</v>
      </c>
      <c r="DH17" s="194">
        <f t="shared" si="12"/>
        <v>2280134552.69416</v>
      </c>
      <c r="DI17" s="194">
        <f t="shared" si="13"/>
        <v>2705997581.4430828</v>
      </c>
      <c r="DJ17" s="194">
        <f t="shared" si="14"/>
        <v>3239955917.4498415</v>
      </c>
      <c r="DK17" s="194">
        <f t="shared" si="15"/>
        <v>3059706733.3910408</v>
      </c>
      <c r="DL17" s="194">
        <f t="shared" si="16"/>
        <v>3014418389.2170753</v>
      </c>
      <c r="DM17" s="194">
        <f t="shared" si="17"/>
        <v>3405682018.0802622</v>
      </c>
      <c r="DN17" s="194">
        <f t="shared" si="18"/>
        <v>3859883537.7550297</v>
      </c>
      <c r="DO17" s="194">
        <f t="shared" si="19"/>
        <v>3708962171.6002526</v>
      </c>
      <c r="DP17" s="194">
        <f t="shared" si="20"/>
        <v>3641963153.2335749</v>
      </c>
      <c r="DQ17" s="194">
        <f t="shared" si="21"/>
        <v>4089111794.8449259</v>
      </c>
      <c r="DR17" s="194">
        <f t="shared" si="22"/>
        <v>4590038094.0947638</v>
      </c>
      <c r="DS17" s="194">
        <f t="shared" ref="DS17:DS26" si="43">SUM(CL17:CN17)</f>
        <v>4297620099.1922798</v>
      </c>
      <c r="DT17" s="194">
        <f t="shared" ref="DT17:DT26" si="44">SUM(CO17:CQ17)</f>
        <v>4216232626.9492321</v>
      </c>
      <c r="DU17" s="194">
        <f t="shared" ref="DU17:DU26" si="45">SUM(CR17:CT17)</f>
        <v>4726543204.0196095</v>
      </c>
      <c r="DV17" s="194">
        <f t="shared" ref="DV17:DV26" si="46">SUM(CU17:CW17)</f>
        <v>5303601346.8214912</v>
      </c>
      <c r="DX17" s="194">
        <f t="shared" si="27"/>
        <v>5826236253.5375443</v>
      </c>
      <c r="DY17" s="194">
        <f t="shared" si="28"/>
        <v>7004067969.3101568</v>
      </c>
      <c r="DZ17" s="194">
        <f t="shared" si="29"/>
        <v>10518480411.423199</v>
      </c>
      <c r="EA17" s="194">
        <f t="shared" si="30"/>
        <v>13339690678.443407</v>
      </c>
      <c r="EB17" s="194">
        <f t="shared" si="31"/>
        <v>16030075213.773518</v>
      </c>
      <c r="EC17" s="817">
        <f t="shared" si="32"/>
        <v>18543997276.982613</v>
      </c>
    </row>
    <row r="18" spans="2:133" x14ac:dyDescent="0.2">
      <c r="B18" s="155" t="s">
        <v>229</v>
      </c>
      <c r="C18" s="19">
        <f>C4-C11</f>
        <v>38690629.359999999</v>
      </c>
      <c r="D18" s="19">
        <f t="shared" ref="D18:BO18" si="47">D4-D11</f>
        <v>37284465.949999988</v>
      </c>
      <c r="E18" s="19">
        <f t="shared" si="47"/>
        <v>41503715.480000101</v>
      </c>
      <c r="F18" s="19">
        <f t="shared" si="47"/>
        <v>23610724.890000015</v>
      </c>
      <c r="G18" s="19">
        <f t="shared" si="47"/>
        <v>653479.00000000023</v>
      </c>
      <c r="H18" s="19">
        <f t="shared" si="47"/>
        <v>15160515.03999999</v>
      </c>
      <c r="I18" s="19">
        <f t="shared" si="47"/>
        <v>22943616.65000008</v>
      </c>
      <c r="J18" s="19">
        <f t="shared" si="47"/>
        <v>30151182.960000135</v>
      </c>
      <c r="K18" s="19">
        <f t="shared" si="47"/>
        <v>41268079.140000142</v>
      </c>
      <c r="L18" s="19">
        <f t="shared" si="47"/>
        <v>52461125.990000345</v>
      </c>
      <c r="M18" s="19">
        <f t="shared" si="47"/>
        <v>76108050.409999847</v>
      </c>
      <c r="N18" s="19">
        <f t="shared" si="47"/>
        <v>90064856.66999945</v>
      </c>
      <c r="O18" s="19">
        <f t="shared" si="47"/>
        <v>88310751.100002199</v>
      </c>
      <c r="P18" s="19">
        <f t="shared" si="47"/>
        <v>96116299.679996312</v>
      </c>
      <c r="Q18" s="19">
        <f t="shared" si="47"/>
        <v>108605334.61999501</v>
      </c>
      <c r="R18" s="19">
        <f t="shared" si="47"/>
        <v>95380289.289995968</v>
      </c>
      <c r="S18" s="19">
        <f t="shared" si="47"/>
        <v>117449996.64000481</v>
      </c>
      <c r="T18" s="19">
        <f t="shared" si="47"/>
        <v>141888250.5699901</v>
      </c>
      <c r="U18" s="19">
        <f t="shared" si="47"/>
        <v>144543492.22999817</v>
      </c>
      <c r="V18" s="19">
        <f t="shared" si="47"/>
        <v>150286837.20000532</v>
      </c>
      <c r="W18" s="19">
        <f t="shared" si="47"/>
        <v>144106968.34999976</v>
      </c>
      <c r="X18" s="19">
        <f t="shared" si="47"/>
        <v>162952580.15999565</v>
      </c>
      <c r="Y18" s="19">
        <f t="shared" si="47"/>
        <v>169198135.41999796</v>
      </c>
      <c r="Z18" s="19">
        <f t="shared" si="47"/>
        <v>207985981.08001384</v>
      </c>
      <c r="AA18" s="19">
        <f t="shared" si="47"/>
        <v>228488699.00999886</v>
      </c>
      <c r="AB18" s="19">
        <f t="shared" si="47"/>
        <v>226822362.10000449</v>
      </c>
      <c r="AC18" s="19">
        <f t="shared" si="47"/>
        <v>290580358.72998047</v>
      </c>
      <c r="AD18" s="19">
        <f t="shared" si="47"/>
        <v>310871940.22002548</v>
      </c>
      <c r="AE18" s="19">
        <f t="shared" si="47"/>
        <v>329021766.16002572</v>
      </c>
      <c r="AF18" s="19">
        <f t="shared" si="47"/>
        <v>321689071.86003822</v>
      </c>
      <c r="AG18" s="19">
        <f t="shared" si="47"/>
        <v>279841172.42004132</v>
      </c>
      <c r="AH18" s="19">
        <f t="shared" si="47"/>
        <v>278148585.89996934</v>
      </c>
      <c r="AI18" s="19">
        <f t="shared" si="47"/>
        <v>262462347.14003003</v>
      </c>
      <c r="AJ18" s="19">
        <f t="shared" si="47"/>
        <v>378519270.84254277</v>
      </c>
      <c r="AK18" s="19">
        <f t="shared" si="47"/>
        <v>334557099.06254625</v>
      </c>
      <c r="AL18" s="19">
        <f t="shared" si="47"/>
        <v>288341610.66609704</v>
      </c>
      <c r="AM18" s="19">
        <f t="shared" si="47"/>
        <v>259890567.12915152</v>
      </c>
      <c r="AN18" s="19">
        <f t="shared" si="47"/>
        <v>237519357.85305086</v>
      </c>
      <c r="AO18" s="19">
        <f t="shared" si="47"/>
        <v>287183750.34305489</v>
      </c>
      <c r="AP18" s="19">
        <f t="shared" si="47"/>
        <v>303377623.23305589</v>
      </c>
      <c r="AQ18" s="19">
        <f t="shared" si="47"/>
        <v>302860728.54000413</v>
      </c>
      <c r="AR18" s="19">
        <f t="shared" si="47"/>
        <v>323349519.70000637</v>
      </c>
      <c r="AS18" s="19">
        <f t="shared" si="47"/>
        <v>303741721.71000528</v>
      </c>
      <c r="AT18" s="19">
        <f t="shared" si="47"/>
        <v>254864327.23000249</v>
      </c>
      <c r="AU18" s="19">
        <f t="shared" si="47"/>
        <v>217817066.76000494</v>
      </c>
      <c r="AV18" s="19">
        <f t="shared" si="47"/>
        <v>313728741.67000377</v>
      </c>
      <c r="AW18" s="19">
        <f t="shared" si="47"/>
        <v>309314249.54000497</v>
      </c>
      <c r="AX18" s="19">
        <f t="shared" si="47"/>
        <v>368070882.72436666</v>
      </c>
      <c r="AY18" s="19">
        <f t="shared" si="47"/>
        <v>379552463.49032009</v>
      </c>
      <c r="AZ18" s="19">
        <f t="shared" si="47"/>
        <v>360411444.08000314</v>
      </c>
      <c r="BA18" s="19">
        <f t="shared" si="47"/>
        <v>450000119.13010532</v>
      </c>
      <c r="BB18" s="19">
        <f t="shared" si="47"/>
        <v>439433304.52013505</v>
      </c>
      <c r="BC18" s="19">
        <f t="shared" si="47"/>
        <v>417983825.70000333</v>
      </c>
      <c r="BD18" s="19">
        <f t="shared" si="47"/>
        <v>431529333.45097804</v>
      </c>
      <c r="BE18" s="19">
        <f t="shared" si="47"/>
        <v>471853197.32000107</v>
      </c>
      <c r="BF18" s="19">
        <f t="shared" si="47"/>
        <v>392554697.89000165</v>
      </c>
      <c r="BG18" s="19">
        <f t="shared" si="47"/>
        <v>367856266.94999743</v>
      </c>
      <c r="BH18" s="19">
        <f t="shared" si="47"/>
        <v>544719501.60999608</v>
      </c>
      <c r="BI18" s="19">
        <f t="shared" si="47"/>
        <v>484297625.93000001</v>
      </c>
      <c r="BJ18" s="19">
        <f t="shared" si="47"/>
        <v>605669782.98999572</v>
      </c>
      <c r="BK18" s="19">
        <f t="shared" si="47"/>
        <v>647179888.67999852</v>
      </c>
      <c r="BL18" s="19">
        <f t="shared" si="47"/>
        <v>625871591.80999506</v>
      </c>
      <c r="BM18" s="19">
        <f t="shared" si="47"/>
        <v>736514754.33999896</v>
      </c>
      <c r="BN18" s="19">
        <f t="shared" si="47"/>
        <v>626095191.72475302</v>
      </c>
      <c r="BO18" s="19">
        <f t="shared" si="47"/>
        <v>611612602.70865309</v>
      </c>
      <c r="BP18" s="19">
        <f t="shared" ref="BP18:CK18" si="48">BP4-BP11</f>
        <v>609567636.88687325</v>
      </c>
      <c r="BQ18" s="19">
        <f t="shared" si="48"/>
        <v>664069824.85362947</v>
      </c>
      <c r="BR18" s="19">
        <f t="shared" si="48"/>
        <v>586909576.49641299</v>
      </c>
      <c r="BS18" s="19">
        <f t="shared" si="48"/>
        <v>540223210.80128634</v>
      </c>
      <c r="BT18" s="19">
        <f t="shared" si="48"/>
        <v>687363651.86864614</v>
      </c>
      <c r="BU18" s="19">
        <f t="shared" si="48"/>
        <v>627937089.56141996</v>
      </c>
      <c r="BV18" s="19">
        <f t="shared" si="48"/>
        <v>757289592.90908384</v>
      </c>
      <c r="BW18" s="19">
        <f t="shared" si="48"/>
        <v>776850476.4638983</v>
      </c>
      <c r="BX18" s="19">
        <f t="shared" si="48"/>
        <v>717706081.70833695</v>
      </c>
      <c r="BY18" s="19">
        <f t="shared" si="48"/>
        <v>843482802.99223065</v>
      </c>
      <c r="BZ18" s="19">
        <f t="shared" si="48"/>
        <v>770266000.43841827</v>
      </c>
      <c r="CA18" s="19">
        <f t="shared" si="48"/>
        <v>754468370.34000969</v>
      </c>
      <c r="CB18" s="19">
        <f t="shared" si="48"/>
        <v>748102923.51900816</v>
      </c>
      <c r="CC18" s="19">
        <f t="shared" si="48"/>
        <v>814219126.89877248</v>
      </c>
      <c r="CD18" s="19">
        <f t="shared" si="48"/>
        <v>718604448.86396861</v>
      </c>
      <c r="CE18" s="19">
        <f t="shared" si="48"/>
        <v>660240489.53645742</v>
      </c>
      <c r="CF18" s="19">
        <f t="shared" si="48"/>
        <v>836395251.38947356</v>
      </c>
      <c r="CG18" s="19">
        <f t="shared" si="48"/>
        <v>760462213.23672414</v>
      </c>
      <c r="CH18" s="19">
        <f t="shared" si="48"/>
        <v>913207230.82738018</v>
      </c>
      <c r="CI18" s="19">
        <f t="shared" si="48"/>
        <v>932845179.59246445</v>
      </c>
      <c r="CJ18" s="19">
        <f t="shared" si="48"/>
        <v>857925523.83911085</v>
      </c>
      <c r="CK18" s="19">
        <f t="shared" si="48"/>
        <v>996642963.49166548</v>
      </c>
      <c r="CL18" s="19">
        <f t="shared" ref="CL18:CW18" si="49">CL4-CL11</f>
        <v>880658526.40984607</v>
      </c>
      <c r="CM18" s="19">
        <f t="shared" si="49"/>
        <v>861822630.43969285</v>
      </c>
      <c r="CN18" s="19">
        <f t="shared" si="49"/>
        <v>854049025.17755497</v>
      </c>
      <c r="CO18" s="19">
        <f t="shared" si="49"/>
        <v>928990888.35059774</v>
      </c>
      <c r="CP18" s="19">
        <f t="shared" si="49"/>
        <v>819196387.02083361</v>
      </c>
      <c r="CQ18" s="19">
        <f t="shared" si="49"/>
        <v>751824381.9195317</v>
      </c>
      <c r="CR18" s="19">
        <f t="shared" si="49"/>
        <v>952157069.1890955</v>
      </c>
      <c r="CS18" s="19">
        <f t="shared" si="49"/>
        <v>865244639.02688432</v>
      </c>
      <c r="CT18" s="19">
        <f t="shared" si="49"/>
        <v>1038760206.5745782</v>
      </c>
      <c r="CU18" s="19">
        <f t="shared" si="49"/>
        <v>1060815895.7446558</v>
      </c>
      <c r="CV18" s="19">
        <f t="shared" si="49"/>
        <v>975103237.80755734</v>
      </c>
      <c r="CW18" s="19">
        <f t="shared" si="49"/>
        <v>1132473579.2846086</v>
      </c>
      <c r="CX18" s="168"/>
      <c r="CY18" s="19">
        <f t="shared" si="3"/>
        <v>961582778.24008942</v>
      </c>
      <c r="CZ18" s="19">
        <f t="shared" si="4"/>
        <v>820452105.46004069</v>
      </c>
      <c r="DA18" s="19">
        <f t="shared" si="5"/>
        <v>1001417980.5711861</v>
      </c>
      <c r="DB18" s="19">
        <f t="shared" si="6"/>
        <v>784593675.3252573</v>
      </c>
      <c r="DC18" s="19">
        <f t="shared" si="7"/>
        <v>929587871.47306645</v>
      </c>
      <c r="DD18" s="19">
        <f t="shared" si="8"/>
        <v>776423115.70001268</v>
      </c>
      <c r="DE18" s="19">
        <f t="shared" si="9"/>
        <v>991113873.93437541</v>
      </c>
      <c r="DF18" s="19">
        <f t="shared" si="10"/>
        <v>1189964026.7004285</v>
      </c>
      <c r="DG18" s="19">
        <f t="shared" si="11"/>
        <v>1288946463.6711164</v>
      </c>
      <c r="DH18" s="19">
        <f t="shared" si="12"/>
        <v>1232264162.1600001</v>
      </c>
      <c r="DI18" s="19">
        <f t="shared" si="13"/>
        <v>1634686910.5299919</v>
      </c>
      <c r="DJ18" s="19">
        <f t="shared" si="14"/>
        <v>2009566234.8299925</v>
      </c>
      <c r="DK18" s="19">
        <f t="shared" si="15"/>
        <v>1847275431.3202794</v>
      </c>
      <c r="DL18" s="19">
        <f t="shared" si="16"/>
        <v>1791202612.1513286</v>
      </c>
      <c r="DM18" s="19">
        <f t="shared" si="17"/>
        <v>2072590334.33915</v>
      </c>
      <c r="DN18" s="19">
        <f t="shared" si="18"/>
        <v>2338039361.1644659</v>
      </c>
      <c r="DO18" s="19">
        <f t="shared" si="19"/>
        <v>2272837294.2974362</v>
      </c>
      <c r="DP18" s="19">
        <f t="shared" si="20"/>
        <v>2193064065.2991986</v>
      </c>
      <c r="DQ18" s="19">
        <f t="shared" si="21"/>
        <v>2510064695.453578</v>
      </c>
      <c r="DR18" s="19">
        <f t="shared" si="22"/>
        <v>2787413666.9232407</v>
      </c>
      <c r="DS18" s="19">
        <f t="shared" si="43"/>
        <v>2596530182.0270939</v>
      </c>
      <c r="DT18" s="19">
        <f t="shared" si="44"/>
        <v>2500011657.2909632</v>
      </c>
      <c r="DU18" s="19">
        <f t="shared" si="45"/>
        <v>2856161914.7905579</v>
      </c>
      <c r="DV18" s="19">
        <f t="shared" si="46"/>
        <v>3168392712.8368216</v>
      </c>
      <c r="DX18" s="19">
        <f t="shared" si="27"/>
        <v>3568046539.5965734</v>
      </c>
      <c r="DY18" s="19">
        <f t="shared" si="28"/>
        <v>3887088887.8078828</v>
      </c>
      <c r="DZ18" s="19">
        <f t="shared" si="29"/>
        <v>6165463771.1911011</v>
      </c>
      <c r="EA18" s="19">
        <f t="shared" si="30"/>
        <v>8049107738.9752245</v>
      </c>
      <c r="EB18" s="19">
        <f t="shared" si="31"/>
        <v>9763379721.9734535</v>
      </c>
      <c r="EC18" s="770">
        <f t="shared" si="32"/>
        <v>11121096466.945436</v>
      </c>
    </row>
    <row r="19" spans="2:133" x14ac:dyDescent="0.2">
      <c r="B19" s="155" t="s">
        <v>237</v>
      </c>
      <c r="C19" s="19">
        <f>C5-C12</f>
        <v>4209814</v>
      </c>
      <c r="D19" s="19">
        <f t="shared" ref="D19:BO19" si="50">D5-D12</f>
        <v>3580322</v>
      </c>
      <c r="E19" s="19">
        <f t="shared" si="50"/>
        <v>5305430</v>
      </c>
      <c r="F19" s="19">
        <f t="shared" si="50"/>
        <v>3628333</v>
      </c>
      <c r="G19" s="19">
        <f t="shared" si="50"/>
        <v>3601018.7999999993</v>
      </c>
      <c r="H19" s="19">
        <f t="shared" si="50"/>
        <v>4987371.849999995</v>
      </c>
      <c r="I19" s="19">
        <f t="shared" si="50"/>
        <v>5535508</v>
      </c>
      <c r="J19" s="19">
        <f t="shared" si="50"/>
        <v>5441205</v>
      </c>
      <c r="K19" s="19">
        <f t="shared" si="50"/>
        <v>6789495</v>
      </c>
      <c r="L19" s="19">
        <f t="shared" si="50"/>
        <v>3297591.95</v>
      </c>
      <c r="M19" s="19">
        <f t="shared" si="50"/>
        <v>13482543.949999999</v>
      </c>
      <c r="N19" s="19">
        <f t="shared" si="50"/>
        <v>14732941</v>
      </c>
      <c r="O19" s="19">
        <f t="shared" si="50"/>
        <v>22997769.830000002</v>
      </c>
      <c r="P19" s="19">
        <f t="shared" si="50"/>
        <v>24922919</v>
      </c>
      <c r="Q19" s="19">
        <f t="shared" si="50"/>
        <v>19059824.199999999</v>
      </c>
      <c r="R19" s="19">
        <f t="shared" si="50"/>
        <v>18772448.219999991</v>
      </c>
      <c r="S19" s="19">
        <f t="shared" si="50"/>
        <v>23769192.119999997</v>
      </c>
      <c r="T19" s="19">
        <f t="shared" si="50"/>
        <v>39261137.700000003</v>
      </c>
      <c r="U19" s="19">
        <f t="shared" si="50"/>
        <v>32635579.080000419</v>
      </c>
      <c r="V19" s="19">
        <f t="shared" si="50"/>
        <v>22934742.460000094</v>
      </c>
      <c r="W19" s="19">
        <f t="shared" si="50"/>
        <v>24460356.450000104</v>
      </c>
      <c r="X19" s="19">
        <f t="shared" si="50"/>
        <v>48848584.910000175</v>
      </c>
      <c r="Y19" s="19">
        <f t="shared" si="50"/>
        <v>37829180.859999999</v>
      </c>
      <c r="Z19" s="19">
        <f t="shared" si="50"/>
        <v>35444365.180000231</v>
      </c>
      <c r="AA19" s="19">
        <f t="shared" si="50"/>
        <v>47069940.680000357</v>
      </c>
      <c r="AB19" s="19">
        <f t="shared" si="50"/>
        <v>67753263.210000247</v>
      </c>
      <c r="AC19" s="19">
        <f t="shared" si="50"/>
        <v>124838605.25000083</v>
      </c>
      <c r="AD19" s="19">
        <f t="shared" si="50"/>
        <v>160596772.33940253</v>
      </c>
      <c r="AE19" s="19">
        <f t="shared" si="50"/>
        <v>159779888.54965979</v>
      </c>
      <c r="AF19" s="19">
        <f t="shared" si="50"/>
        <v>192785307.81638539</v>
      </c>
      <c r="AG19" s="19">
        <f t="shared" si="50"/>
        <v>134896928.34310046</v>
      </c>
      <c r="AH19" s="19">
        <f t="shared" si="50"/>
        <v>158219423.1749382</v>
      </c>
      <c r="AI19" s="19">
        <f t="shared" si="50"/>
        <v>175665259.36695758</v>
      </c>
      <c r="AJ19" s="19">
        <f t="shared" si="50"/>
        <v>276621197.60860538</v>
      </c>
      <c r="AK19" s="19">
        <f t="shared" si="50"/>
        <v>215921783.32452267</v>
      </c>
      <c r="AL19" s="19">
        <f t="shared" si="50"/>
        <v>204095609.66502008</v>
      </c>
      <c r="AM19" s="19">
        <f t="shared" si="50"/>
        <v>208606599.41250107</v>
      </c>
      <c r="AN19" s="19">
        <f t="shared" si="50"/>
        <v>153567638.02271467</v>
      </c>
      <c r="AO19" s="19">
        <f t="shared" si="50"/>
        <v>217433306.31716239</v>
      </c>
      <c r="AP19" s="19">
        <f t="shared" si="50"/>
        <v>208026931.88635713</v>
      </c>
      <c r="AQ19" s="19">
        <f t="shared" si="50"/>
        <v>225522037.91801453</v>
      </c>
      <c r="AR19" s="19">
        <f t="shared" si="50"/>
        <v>234565597.74187648</v>
      </c>
      <c r="AS19" s="19">
        <f t="shared" si="50"/>
        <v>245431234.54876578</v>
      </c>
      <c r="AT19" s="19">
        <f t="shared" si="50"/>
        <v>231617640.59860653</v>
      </c>
      <c r="AU19" s="19">
        <f t="shared" si="50"/>
        <v>240294211.30664754</v>
      </c>
      <c r="AV19" s="19">
        <f t="shared" si="50"/>
        <v>258102547.49511218</v>
      </c>
      <c r="AW19" s="19">
        <f t="shared" si="50"/>
        <v>225238305.27306521</v>
      </c>
      <c r="AX19" s="19">
        <f t="shared" si="50"/>
        <v>268332201.02086401</v>
      </c>
      <c r="AY19" s="19">
        <f t="shared" si="50"/>
        <v>301525732.43045539</v>
      </c>
      <c r="AZ19" s="19">
        <f t="shared" si="50"/>
        <v>289395326.84291881</v>
      </c>
      <c r="BA19" s="19">
        <f t="shared" si="50"/>
        <v>388927314.4395901</v>
      </c>
      <c r="BB19" s="19">
        <f t="shared" si="50"/>
        <v>333571207.37308317</v>
      </c>
      <c r="BC19" s="19">
        <f t="shared" si="50"/>
        <v>337590899.12831521</v>
      </c>
      <c r="BD19" s="19">
        <f t="shared" si="50"/>
        <v>332283789.6635989</v>
      </c>
      <c r="BE19" s="19">
        <f t="shared" si="50"/>
        <v>348538492.32745653</v>
      </c>
      <c r="BF19" s="19">
        <f t="shared" si="50"/>
        <v>308891769.37999922</v>
      </c>
      <c r="BG19" s="19">
        <f t="shared" si="50"/>
        <v>390440128.82670391</v>
      </c>
      <c r="BH19" s="19">
        <f t="shared" si="50"/>
        <v>337191618.03749192</v>
      </c>
      <c r="BI19" s="19">
        <f t="shared" si="50"/>
        <v>333553337.40059996</v>
      </c>
      <c r="BJ19" s="19">
        <f t="shared" si="50"/>
        <v>400565715.47499943</v>
      </c>
      <c r="BK19" s="19">
        <f t="shared" si="50"/>
        <v>445854716.91063964</v>
      </c>
      <c r="BL19" s="19">
        <f t="shared" si="50"/>
        <v>359594206.56775951</v>
      </c>
      <c r="BM19" s="19">
        <f t="shared" si="50"/>
        <v>424940759.14144975</v>
      </c>
      <c r="BN19" s="19">
        <f t="shared" si="50"/>
        <v>401516159.84693146</v>
      </c>
      <c r="BO19" s="19">
        <f t="shared" si="50"/>
        <v>405602653.73516572</v>
      </c>
      <c r="BP19" s="19">
        <f t="shared" ref="BP19:CK19" si="51">BP5-BP12</f>
        <v>405312488.48866391</v>
      </c>
      <c r="BQ19" s="19">
        <f t="shared" si="51"/>
        <v>411430139.10241121</v>
      </c>
      <c r="BR19" s="19">
        <f t="shared" si="51"/>
        <v>387684949.76367664</v>
      </c>
      <c r="BS19" s="19">
        <f t="shared" si="51"/>
        <v>424100688.19965845</v>
      </c>
      <c r="BT19" s="19">
        <f t="shared" si="51"/>
        <v>412373176.15354216</v>
      </c>
      <c r="BU19" s="19">
        <f t="shared" si="51"/>
        <v>413340393.64188164</v>
      </c>
      <c r="BV19" s="19">
        <f t="shared" si="51"/>
        <v>507378113.94568866</v>
      </c>
      <c r="BW19" s="19">
        <f t="shared" si="51"/>
        <v>546695504.84668899</v>
      </c>
      <c r="BX19" s="19">
        <f t="shared" si="51"/>
        <v>468689414.41210902</v>
      </c>
      <c r="BY19" s="19">
        <f t="shared" si="51"/>
        <v>506459257.33176613</v>
      </c>
      <c r="BZ19" s="19">
        <f t="shared" si="51"/>
        <v>475595891.33869028</v>
      </c>
      <c r="CA19" s="19">
        <f t="shared" si="51"/>
        <v>480436343.34930384</v>
      </c>
      <c r="CB19" s="19">
        <f t="shared" si="51"/>
        <v>480092642.61482245</v>
      </c>
      <c r="CC19" s="19">
        <f t="shared" si="51"/>
        <v>487338999.76680607</v>
      </c>
      <c r="CD19" s="19">
        <f t="shared" si="51"/>
        <v>459212822.99507499</v>
      </c>
      <c r="CE19" s="19">
        <f t="shared" si="51"/>
        <v>502347265.17249548</v>
      </c>
      <c r="CF19" s="19">
        <f t="shared" si="51"/>
        <v>488456027.1538707</v>
      </c>
      <c r="CG19" s="19">
        <f t="shared" si="51"/>
        <v>489601696.26880884</v>
      </c>
      <c r="CH19" s="19">
        <f t="shared" si="51"/>
        <v>600989375.96866822</v>
      </c>
      <c r="CI19" s="19">
        <f t="shared" si="51"/>
        <v>647560825.49090314</v>
      </c>
      <c r="CJ19" s="19">
        <f t="shared" si="51"/>
        <v>555162611.3711431</v>
      </c>
      <c r="CK19" s="19">
        <f t="shared" si="51"/>
        <v>599900990.30947697</v>
      </c>
      <c r="CL19" s="19">
        <f t="shared" ref="CL19:CW19" si="52">CL5-CL12</f>
        <v>563343333.2906785</v>
      </c>
      <c r="CM19" s="19">
        <f t="shared" si="52"/>
        <v>569076848.69725037</v>
      </c>
      <c r="CN19" s="19">
        <f t="shared" si="52"/>
        <v>568669735.17725706</v>
      </c>
      <c r="CO19" s="19">
        <f t="shared" si="52"/>
        <v>577253045.2237817</v>
      </c>
      <c r="CP19" s="19">
        <f t="shared" si="52"/>
        <v>543937588.83766627</v>
      </c>
      <c r="CQ19" s="19">
        <f t="shared" si="52"/>
        <v>595030335.59682083</v>
      </c>
      <c r="CR19" s="19">
        <f t="shared" si="52"/>
        <v>578576164.16375971</v>
      </c>
      <c r="CS19" s="19">
        <f t="shared" si="52"/>
        <v>579933209.2304039</v>
      </c>
      <c r="CT19" s="19">
        <f t="shared" si="52"/>
        <v>711871915.8348875</v>
      </c>
      <c r="CU19" s="19">
        <f t="shared" si="52"/>
        <v>767035797.79397476</v>
      </c>
      <c r="CV19" s="19">
        <f t="shared" si="52"/>
        <v>657590113.169119</v>
      </c>
      <c r="CW19" s="19">
        <f t="shared" si="52"/>
        <v>710582723.02157545</v>
      </c>
      <c r="CX19" s="168"/>
      <c r="CY19" s="19">
        <f t="shared" si="3"/>
        <v>513161968.70544767</v>
      </c>
      <c r="CZ19" s="19">
        <f t="shared" si="4"/>
        <v>468781610.88499618</v>
      </c>
      <c r="DA19" s="19">
        <f t="shared" si="5"/>
        <v>696638590.59814811</v>
      </c>
      <c r="DB19" s="19">
        <f t="shared" si="6"/>
        <v>579607543.75237811</v>
      </c>
      <c r="DC19" s="19">
        <f t="shared" si="7"/>
        <v>668114567.5462482</v>
      </c>
      <c r="DD19" s="19">
        <f t="shared" si="8"/>
        <v>717343086.45401978</v>
      </c>
      <c r="DE19" s="19">
        <f t="shared" si="9"/>
        <v>751673053.7890414</v>
      </c>
      <c r="DF19" s="19">
        <f t="shared" si="10"/>
        <v>979848373.7129643</v>
      </c>
      <c r="DG19" s="19">
        <f t="shared" si="11"/>
        <v>1003445896.1649972</v>
      </c>
      <c r="DH19" s="19">
        <f t="shared" si="12"/>
        <v>1047870390.5341597</v>
      </c>
      <c r="DI19" s="19">
        <f t="shared" si="13"/>
        <v>1071310670.9130913</v>
      </c>
      <c r="DJ19" s="19">
        <f t="shared" si="14"/>
        <v>1230389682.619849</v>
      </c>
      <c r="DK19" s="19">
        <f t="shared" si="15"/>
        <v>1212431302.0707612</v>
      </c>
      <c r="DL19" s="19">
        <f t="shared" si="16"/>
        <v>1223215777.0657463</v>
      </c>
      <c r="DM19" s="19">
        <f t="shared" si="17"/>
        <v>1333091683.7411125</v>
      </c>
      <c r="DN19" s="19">
        <f t="shared" si="18"/>
        <v>1521844176.5905643</v>
      </c>
      <c r="DO19" s="19">
        <f t="shared" si="19"/>
        <v>1436124877.3028166</v>
      </c>
      <c r="DP19" s="19">
        <f t="shared" si="20"/>
        <v>1448899087.9343767</v>
      </c>
      <c r="DQ19" s="19">
        <f t="shared" si="21"/>
        <v>1579047099.3913479</v>
      </c>
      <c r="DR19" s="19">
        <f t="shared" si="22"/>
        <v>1802624427.1715231</v>
      </c>
      <c r="DS19" s="19">
        <f t="shared" si="43"/>
        <v>1701089917.1651859</v>
      </c>
      <c r="DT19" s="19">
        <f t="shared" si="44"/>
        <v>1716220969.6582689</v>
      </c>
      <c r="DU19" s="19">
        <f t="shared" si="45"/>
        <v>1870381289.2290511</v>
      </c>
      <c r="DV19" s="19">
        <f t="shared" si="46"/>
        <v>2135208633.9846692</v>
      </c>
      <c r="DX19" s="19">
        <f t="shared" si="27"/>
        <v>2258189713.9409699</v>
      </c>
      <c r="DY19" s="19">
        <f t="shared" si="28"/>
        <v>3116979081.5022736</v>
      </c>
      <c r="DZ19" s="19">
        <f t="shared" si="29"/>
        <v>4353016640.2320967</v>
      </c>
      <c r="EA19" s="19">
        <f t="shared" si="30"/>
        <v>5290582939.4681835</v>
      </c>
      <c r="EB19" s="19">
        <f t="shared" si="31"/>
        <v>6266695491.8000641</v>
      </c>
      <c r="EC19" s="770">
        <f t="shared" si="32"/>
        <v>7422900810.0371742</v>
      </c>
    </row>
    <row r="20" spans="2:133" x14ac:dyDescent="0.2">
      <c r="B20" s="155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68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X20" s="19"/>
      <c r="DY20" s="19"/>
      <c r="DZ20" s="19"/>
      <c r="EA20" s="19"/>
      <c r="EB20" s="19"/>
      <c r="EC20" s="770"/>
    </row>
    <row r="21" spans="2:133" x14ac:dyDescent="0.2">
      <c r="B21" s="155" t="s">
        <v>229</v>
      </c>
      <c r="C21" s="19">
        <f>C7-C14</f>
        <v>1974</v>
      </c>
      <c r="D21" s="19">
        <f t="shared" ref="D21:BO21" si="53">D7-D14</f>
        <v>2184</v>
      </c>
      <c r="E21" s="19">
        <f t="shared" si="53"/>
        <v>2971</v>
      </c>
      <c r="F21" s="19">
        <f t="shared" si="53"/>
        <v>1630</v>
      </c>
      <c r="G21" s="19">
        <f t="shared" si="53"/>
        <v>48</v>
      </c>
      <c r="H21" s="19">
        <f t="shared" si="53"/>
        <v>1138</v>
      </c>
      <c r="I21" s="19">
        <f t="shared" si="53"/>
        <v>1763</v>
      </c>
      <c r="J21" s="19">
        <f t="shared" si="53"/>
        <v>2291</v>
      </c>
      <c r="K21" s="19">
        <f t="shared" si="53"/>
        <v>3364</v>
      </c>
      <c r="L21" s="19">
        <f t="shared" si="53"/>
        <v>3682</v>
      </c>
      <c r="M21" s="19">
        <f t="shared" si="53"/>
        <v>5000</v>
      </c>
      <c r="N21" s="19">
        <f t="shared" si="53"/>
        <v>6198</v>
      </c>
      <c r="O21" s="19">
        <f t="shared" si="53"/>
        <v>6054</v>
      </c>
      <c r="P21" s="19">
        <f t="shared" si="53"/>
        <v>6193</v>
      </c>
      <c r="Q21" s="19">
        <f t="shared" si="53"/>
        <v>6760</v>
      </c>
      <c r="R21" s="19">
        <f t="shared" si="53"/>
        <v>5939</v>
      </c>
      <c r="S21" s="19">
        <f t="shared" si="53"/>
        <v>7990</v>
      </c>
      <c r="T21" s="19">
        <f t="shared" si="53"/>
        <v>8264</v>
      </c>
      <c r="U21" s="19">
        <f t="shared" si="53"/>
        <v>9086</v>
      </c>
      <c r="V21" s="19">
        <f t="shared" si="53"/>
        <v>9697</v>
      </c>
      <c r="W21" s="19">
        <f t="shared" si="53"/>
        <v>9845</v>
      </c>
      <c r="X21" s="19">
        <f t="shared" si="53"/>
        <v>10060</v>
      </c>
      <c r="Y21" s="19">
        <f t="shared" si="53"/>
        <v>9751</v>
      </c>
      <c r="Z21" s="19">
        <f t="shared" si="53"/>
        <v>10992</v>
      </c>
      <c r="AA21" s="19">
        <f t="shared" si="53"/>
        <v>11447</v>
      </c>
      <c r="AB21" s="19">
        <f t="shared" si="53"/>
        <v>10479</v>
      </c>
      <c r="AC21" s="19">
        <f t="shared" si="53"/>
        <v>12217</v>
      </c>
      <c r="AD21" s="19">
        <f t="shared" si="53"/>
        <v>12389</v>
      </c>
      <c r="AE21" s="19">
        <f t="shared" si="53"/>
        <v>13731</v>
      </c>
      <c r="AF21" s="19">
        <f t="shared" si="53"/>
        <v>13688</v>
      </c>
      <c r="AG21" s="19">
        <f t="shared" si="53"/>
        <v>12222</v>
      </c>
      <c r="AH21" s="19">
        <f t="shared" si="53"/>
        <v>12367</v>
      </c>
      <c r="AI21" s="19">
        <f t="shared" si="53"/>
        <v>11647</v>
      </c>
      <c r="AJ21" s="19">
        <f t="shared" si="53"/>
        <v>14211</v>
      </c>
      <c r="AK21" s="19">
        <f t="shared" si="53"/>
        <v>12931</v>
      </c>
      <c r="AL21" s="19">
        <f t="shared" si="53"/>
        <v>11474</v>
      </c>
      <c r="AM21" s="19">
        <f t="shared" si="53"/>
        <v>10316</v>
      </c>
      <c r="AN21" s="19">
        <f t="shared" si="53"/>
        <v>8996</v>
      </c>
      <c r="AO21" s="19">
        <f t="shared" si="53"/>
        <v>11304</v>
      </c>
      <c r="AP21" s="19">
        <f t="shared" si="53"/>
        <v>12047</v>
      </c>
      <c r="AQ21" s="19">
        <f t="shared" si="53"/>
        <v>11651</v>
      </c>
      <c r="AR21" s="19">
        <f t="shared" si="53"/>
        <v>12692</v>
      </c>
      <c r="AS21" s="19">
        <f t="shared" si="53"/>
        <v>11893</v>
      </c>
      <c r="AT21" s="19">
        <f t="shared" si="53"/>
        <v>9754</v>
      </c>
      <c r="AU21" s="19">
        <f t="shared" si="53"/>
        <v>8378</v>
      </c>
      <c r="AV21" s="19">
        <f t="shared" si="53"/>
        <v>10630</v>
      </c>
      <c r="AW21" s="19">
        <f t="shared" si="53"/>
        <v>10252</v>
      </c>
      <c r="AX21" s="19">
        <f t="shared" si="53"/>
        <v>12101</v>
      </c>
      <c r="AY21" s="19">
        <f t="shared" si="53"/>
        <v>12223</v>
      </c>
      <c r="AZ21" s="19">
        <f t="shared" si="53"/>
        <v>11621</v>
      </c>
      <c r="BA21" s="19">
        <f t="shared" si="53"/>
        <v>14288</v>
      </c>
      <c r="BB21" s="19">
        <f t="shared" si="53"/>
        <v>14054</v>
      </c>
      <c r="BC21" s="19">
        <f t="shared" si="53"/>
        <v>13852</v>
      </c>
      <c r="BD21" s="19">
        <f t="shared" si="53"/>
        <v>14092</v>
      </c>
      <c r="BE21" s="19">
        <f t="shared" si="53"/>
        <v>15575</v>
      </c>
      <c r="BF21" s="19">
        <f t="shared" si="53"/>
        <v>13561</v>
      </c>
      <c r="BG21" s="19">
        <f t="shared" si="53"/>
        <v>12522</v>
      </c>
      <c r="BH21" s="19">
        <f t="shared" si="53"/>
        <v>16390</v>
      </c>
      <c r="BI21" s="19">
        <f t="shared" si="53"/>
        <v>14754</v>
      </c>
      <c r="BJ21" s="19">
        <f t="shared" si="53"/>
        <v>18675</v>
      </c>
      <c r="BK21" s="19">
        <f t="shared" si="53"/>
        <v>19780</v>
      </c>
      <c r="BL21" s="19">
        <f t="shared" si="53"/>
        <v>18826</v>
      </c>
      <c r="BM21" s="19">
        <f t="shared" si="53"/>
        <v>22177</v>
      </c>
      <c r="BN21" s="19">
        <f t="shared" si="53"/>
        <v>19273.885382495486</v>
      </c>
      <c r="BO21" s="19">
        <f t="shared" si="53"/>
        <v>18827.856533393835</v>
      </c>
      <c r="BP21" s="19">
        <f t="shared" ref="BP21:CK21" si="54">BP7-BP14</f>
        <v>18764.806675624008</v>
      </c>
      <c r="BQ21" s="19">
        <f t="shared" si="54"/>
        <v>20443.097938024643</v>
      </c>
      <c r="BR21" s="19">
        <f t="shared" si="54"/>
        <v>18066.944924019921</v>
      </c>
      <c r="BS21" s="19">
        <f t="shared" si="54"/>
        <v>16629.1802307586</v>
      </c>
      <c r="BT21" s="19">
        <f t="shared" si="54"/>
        <v>21160.177738842391</v>
      </c>
      <c r="BU21" s="19">
        <f t="shared" si="54"/>
        <v>19330.11659575034</v>
      </c>
      <c r="BV21" s="19">
        <f t="shared" si="54"/>
        <v>23313.351604732459</v>
      </c>
      <c r="BW21" s="19">
        <f t="shared" si="54"/>
        <v>23915.658875724999</v>
      </c>
      <c r="BX21" s="19">
        <f t="shared" si="54"/>
        <v>22094.286812036135</v>
      </c>
      <c r="BY21" s="19">
        <f t="shared" si="54"/>
        <v>25967.357641985269</v>
      </c>
      <c r="BZ21" s="19">
        <f t="shared" si="54"/>
        <v>22958.598764443152</v>
      </c>
      <c r="CA21" s="19">
        <f t="shared" si="54"/>
        <v>22487.521147072257</v>
      </c>
      <c r="CB21" s="19">
        <f t="shared" si="54"/>
        <v>22297.686944800134</v>
      </c>
      <c r="CC21" s="19">
        <f t="shared" si="54"/>
        <v>24268.877694997831</v>
      </c>
      <c r="CD21" s="19">
        <f t="shared" si="54"/>
        <v>21418.071805088137</v>
      </c>
      <c r="CE21" s="19">
        <f t="shared" si="54"/>
        <v>19677.863273064351</v>
      </c>
      <c r="CF21" s="19">
        <f t="shared" si="54"/>
        <v>24929.855072238526</v>
      </c>
      <c r="CG21" s="19">
        <f t="shared" si="54"/>
        <v>22665.877961592862</v>
      </c>
      <c r="CH21" s="19">
        <f t="shared" si="54"/>
        <v>27219.913224984935</v>
      </c>
      <c r="CI21" s="19">
        <f t="shared" si="54"/>
        <v>27805.389600914765</v>
      </c>
      <c r="CJ21" s="19">
        <f t="shared" si="54"/>
        <v>25571.62627052137</v>
      </c>
      <c r="CK21" s="19">
        <f t="shared" si="54"/>
        <v>29707.432287435382</v>
      </c>
      <c r="CL21" s="19">
        <f t="shared" ref="CL21:CW21" si="55">CL7-CL14</f>
        <v>26249.331254013345</v>
      </c>
      <c r="CM21" s="19">
        <f t="shared" si="55"/>
        <v>25687.668387232548</v>
      </c>
      <c r="CN21" s="19">
        <f t="shared" si="55"/>
        <v>25455.850241163647</v>
      </c>
      <c r="CO21" s="19">
        <f t="shared" si="55"/>
        <v>27690.176157054389</v>
      </c>
      <c r="CP21" s="19">
        <f t="shared" si="55"/>
        <v>24416.601857800477</v>
      </c>
      <c r="CQ21" s="19">
        <f t="shared" si="55"/>
        <v>22407.820360947226</v>
      </c>
      <c r="CR21" s="19">
        <f t="shared" si="55"/>
        <v>28380.671853290492</v>
      </c>
      <c r="CS21" s="19">
        <f t="shared" si="55"/>
        <v>25789.346509958705</v>
      </c>
      <c r="CT21" s="19">
        <f t="shared" si="55"/>
        <v>30962.651293420364</v>
      </c>
      <c r="CU21" s="19">
        <f t="shared" si="55"/>
        <v>31620.212084223655</v>
      </c>
      <c r="CV21" s="19">
        <f t="shared" si="55"/>
        <v>29064.657694071968</v>
      </c>
      <c r="CW21" s="19">
        <f t="shared" si="55"/>
        <v>33756.596003325554</v>
      </c>
      <c r="CX21" s="168"/>
      <c r="CY21" s="19">
        <f t="shared" si="3"/>
        <v>39808</v>
      </c>
      <c r="CZ21" s="19">
        <f t="shared" si="4"/>
        <v>36236</v>
      </c>
      <c r="DA21" s="19">
        <f t="shared" si="5"/>
        <v>38616</v>
      </c>
      <c r="DB21" s="19">
        <f t="shared" si="6"/>
        <v>30616</v>
      </c>
      <c r="DC21" s="19">
        <f t="shared" si="7"/>
        <v>36390</v>
      </c>
      <c r="DD21" s="19">
        <f t="shared" si="8"/>
        <v>30025</v>
      </c>
      <c r="DE21" s="19">
        <f t="shared" si="9"/>
        <v>32983</v>
      </c>
      <c r="DF21" s="19">
        <f t="shared" si="10"/>
        <v>38132</v>
      </c>
      <c r="DG21" s="19">
        <f t="shared" si="11"/>
        <v>41998</v>
      </c>
      <c r="DH21" s="19">
        <f t="shared" si="12"/>
        <v>41658</v>
      </c>
      <c r="DI21" s="19">
        <f t="shared" si="13"/>
        <v>49819</v>
      </c>
      <c r="DJ21" s="19">
        <f t="shared" si="14"/>
        <v>60783</v>
      </c>
      <c r="DK21" s="19">
        <f t="shared" si="15"/>
        <v>56866.548591513325</v>
      </c>
      <c r="DL21" s="19">
        <f t="shared" si="16"/>
        <v>55139.223092803164</v>
      </c>
      <c r="DM21" s="19">
        <f t="shared" si="17"/>
        <v>63803.645939325193</v>
      </c>
      <c r="DN21" s="19">
        <f t="shared" si="18"/>
        <v>71977.303329746414</v>
      </c>
      <c r="DO21" s="19">
        <f t="shared" si="19"/>
        <v>67743.806856315539</v>
      </c>
      <c r="DP21" s="19">
        <f t="shared" si="20"/>
        <v>65364.812773150319</v>
      </c>
      <c r="DQ21" s="19">
        <f t="shared" si="21"/>
        <v>74815.646258816327</v>
      </c>
      <c r="DR21" s="19">
        <f t="shared" si="22"/>
        <v>83084.448158871513</v>
      </c>
      <c r="DS21" s="19">
        <f t="shared" si="43"/>
        <v>77392.849882409544</v>
      </c>
      <c r="DT21" s="19">
        <f t="shared" si="44"/>
        <v>74514.598375802088</v>
      </c>
      <c r="DU21" s="19">
        <f t="shared" si="45"/>
        <v>85132.669656669561</v>
      </c>
      <c r="DV21" s="19">
        <f t="shared" si="46"/>
        <v>94441.465781621169</v>
      </c>
      <c r="DX21" s="19">
        <f t="shared" si="27"/>
        <v>145276</v>
      </c>
      <c r="DY21" s="19">
        <f t="shared" si="28"/>
        <v>137530</v>
      </c>
      <c r="DZ21" s="19">
        <f t="shared" si="29"/>
        <v>194258</v>
      </c>
      <c r="EA21" s="19">
        <f t="shared" si="30"/>
        <v>247786.72095338808</v>
      </c>
      <c r="EB21" s="19">
        <f t="shared" si="31"/>
        <v>291008.71404715371</v>
      </c>
      <c r="EC21" s="770">
        <f t="shared" si="32"/>
        <v>331481.58369650238</v>
      </c>
    </row>
    <row r="22" spans="2:133" x14ac:dyDescent="0.2">
      <c r="B22" s="155" t="s">
        <v>237</v>
      </c>
      <c r="C22" s="19">
        <f>C8-C15</f>
        <v>240</v>
      </c>
      <c r="D22" s="19">
        <f t="shared" ref="D22:BO22" si="56">D8-D15</f>
        <v>243</v>
      </c>
      <c r="E22" s="19">
        <f t="shared" si="56"/>
        <v>354</v>
      </c>
      <c r="F22" s="19">
        <f t="shared" si="56"/>
        <v>312</v>
      </c>
      <c r="G22" s="19">
        <f t="shared" si="56"/>
        <v>293</v>
      </c>
      <c r="H22" s="19">
        <f t="shared" si="56"/>
        <v>352</v>
      </c>
      <c r="I22" s="19">
        <f t="shared" si="56"/>
        <v>398</v>
      </c>
      <c r="J22" s="19">
        <f t="shared" si="56"/>
        <v>398</v>
      </c>
      <c r="K22" s="19">
        <f t="shared" si="56"/>
        <v>354</v>
      </c>
      <c r="L22" s="19">
        <f t="shared" si="56"/>
        <v>261</v>
      </c>
      <c r="M22" s="19">
        <f t="shared" si="56"/>
        <v>788</v>
      </c>
      <c r="N22" s="19">
        <f t="shared" si="56"/>
        <v>915</v>
      </c>
      <c r="O22" s="19">
        <f t="shared" si="56"/>
        <v>1525</v>
      </c>
      <c r="P22" s="19">
        <f t="shared" si="56"/>
        <v>1604</v>
      </c>
      <c r="Q22" s="19">
        <f t="shared" si="56"/>
        <v>1757</v>
      </c>
      <c r="R22" s="19">
        <f t="shared" si="56"/>
        <v>1371</v>
      </c>
      <c r="S22" s="19">
        <f t="shared" si="56"/>
        <v>1391</v>
      </c>
      <c r="T22" s="19">
        <f t="shared" si="56"/>
        <v>2786</v>
      </c>
      <c r="U22" s="19">
        <f t="shared" si="56"/>
        <v>3099</v>
      </c>
      <c r="V22" s="19">
        <f t="shared" si="56"/>
        <v>2790</v>
      </c>
      <c r="W22" s="19">
        <f t="shared" si="56"/>
        <v>3118</v>
      </c>
      <c r="X22" s="19">
        <f t="shared" si="56"/>
        <v>3609</v>
      </c>
      <c r="Y22" s="19">
        <f t="shared" si="56"/>
        <v>2576</v>
      </c>
      <c r="Z22" s="19">
        <f t="shared" si="56"/>
        <v>2875</v>
      </c>
      <c r="AA22" s="19">
        <f t="shared" si="56"/>
        <v>2826</v>
      </c>
      <c r="AB22" s="19">
        <f t="shared" si="56"/>
        <v>4308</v>
      </c>
      <c r="AC22" s="19">
        <f t="shared" si="56"/>
        <v>8125</v>
      </c>
      <c r="AD22" s="19">
        <f t="shared" si="56"/>
        <v>10186</v>
      </c>
      <c r="AE22" s="19">
        <f t="shared" si="56"/>
        <v>10364</v>
      </c>
      <c r="AF22" s="19">
        <f t="shared" si="56"/>
        <v>12585</v>
      </c>
      <c r="AG22" s="19">
        <f t="shared" si="56"/>
        <v>10521</v>
      </c>
      <c r="AH22" s="19">
        <f t="shared" si="56"/>
        <v>10882</v>
      </c>
      <c r="AI22" s="19">
        <f t="shared" si="56"/>
        <v>11883</v>
      </c>
      <c r="AJ22" s="19">
        <f t="shared" si="56"/>
        <v>15016</v>
      </c>
      <c r="AK22" s="19">
        <f t="shared" si="56"/>
        <v>13040</v>
      </c>
      <c r="AL22" s="19">
        <f t="shared" si="56"/>
        <v>11386</v>
      </c>
      <c r="AM22" s="19">
        <f t="shared" si="56"/>
        <v>11789</v>
      </c>
      <c r="AN22" s="19">
        <f t="shared" si="56"/>
        <v>9371</v>
      </c>
      <c r="AO22" s="19">
        <f t="shared" si="56"/>
        <v>11734</v>
      </c>
      <c r="AP22" s="19">
        <f t="shared" si="56"/>
        <v>11519</v>
      </c>
      <c r="AQ22" s="19">
        <f t="shared" si="56"/>
        <v>12096</v>
      </c>
      <c r="AR22" s="19">
        <f t="shared" si="56"/>
        <v>12354</v>
      </c>
      <c r="AS22" s="19">
        <f t="shared" si="56"/>
        <v>12980</v>
      </c>
      <c r="AT22" s="19">
        <f t="shared" si="56"/>
        <v>12263</v>
      </c>
      <c r="AU22" s="19">
        <f t="shared" si="56"/>
        <v>12365</v>
      </c>
      <c r="AV22" s="19">
        <f t="shared" si="56"/>
        <v>11951</v>
      </c>
      <c r="AW22" s="19">
        <f t="shared" si="56"/>
        <v>10922</v>
      </c>
      <c r="AX22" s="19">
        <f t="shared" si="56"/>
        <v>12652</v>
      </c>
      <c r="AY22" s="19">
        <f t="shared" si="56"/>
        <v>14509</v>
      </c>
      <c r="AZ22" s="19">
        <f t="shared" si="56"/>
        <v>14291</v>
      </c>
      <c r="BA22" s="19">
        <f t="shared" si="56"/>
        <v>18919</v>
      </c>
      <c r="BB22" s="19">
        <f t="shared" si="56"/>
        <v>16564</v>
      </c>
      <c r="BC22" s="19">
        <f t="shared" si="56"/>
        <v>16763</v>
      </c>
      <c r="BD22" s="19">
        <f t="shared" si="56"/>
        <v>16752</v>
      </c>
      <c r="BE22" s="19">
        <f t="shared" si="56"/>
        <v>17007</v>
      </c>
      <c r="BF22" s="19">
        <f t="shared" si="56"/>
        <v>16028</v>
      </c>
      <c r="BG22" s="19">
        <f t="shared" si="56"/>
        <v>17422</v>
      </c>
      <c r="BH22" s="19">
        <f t="shared" si="56"/>
        <v>17049</v>
      </c>
      <c r="BI22" s="19">
        <f t="shared" si="56"/>
        <v>17092</v>
      </c>
      <c r="BJ22" s="19">
        <f t="shared" si="56"/>
        <v>20918</v>
      </c>
      <c r="BK22" s="19">
        <f t="shared" si="56"/>
        <v>22608</v>
      </c>
      <c r="BL22" s="19">
        <f t="shared" si="56"/>
        <v>19383</v>
      </c>
      <c r="BM22" s="19">
        <f t="shared" si="56"/>
        <v>20944</v>
      </c>
      <c r="BN22" s="19">
        <f t="shared" si="56"/>
        <v>19070.507633611291</v>
      </c>
      <c r="BO22" s="19">
        <f t="shared" si="56"/>
        <v>19265.441782754315</v>
      </c>
      <c r="BP22" s="19">
        <f t="shared" ref="BP22:CK22" si="57">BP8-BP15</f>
        <v>19251.724357055187</v>
      </c>
      <c r="BQ22" s="19">
        <f t="shared" si="57"/>
        <v>19540.476354830324</v>
      </c>
      <c r="BR22" s="19">
        <f t="shared" si="57"/>
        <v>18414.288323371424</v>
      </c>
      <c r="BS22" s="19">
        <f t="shared" si="57"/>
        <v>20148.071315951689</v>
      </c>
      <c r="BT22" s="19">
        <f t="shared" si="57"/>
        <v>19584.387219274467</v>
      </c>
      <c r="BU22" s="19">
        <f t="shared" si="57"/>
        <v>19632.783989462259</v>
      </c>
      <c r="BV22" s="19">
        <f t="shared" si="57"/>
        <v>24099.917279104502</v>
      </c>
      <c r="BW22" s="19">
        <f t="shared" si="57"/>
        <v>25969.028457312153</v>
      </c>
      <c r="BX22" s="19">
        <f t="shared" si="57"/>
        <v>22261.513847701761</v>
      </c>
      <c r="BY22" s="19">
        <f t="shared" si="57"/>
        <v>24052.741415703807</v>
      </c>
      <c r="BZ22" s="19">
        <f t="shared" si="57"/>
        <v>21930.044387095801</v>
      </c>
      <c r="CA22" s="19">
        <f t="shared" si="57"/>
        <v>22154.163841777183</v>
      </c>
      <c r="CB22" s="19">
        <f t="shared" si="57"/>
        <v>22138.542461315577</v>
      </c>
      <c r="CC22" s="19">
        <f t="shared" si="57"/>
        <v>22470.553358377139</v>
      </c>
      <c r="CD22" s="19">
        <f t="shared" si="57"/>
        <v>21175.591963996769</v>
      </c>
      <c r="CE22" s="19">
        <f t="shared" si="57"/>
        <v>23169.556057209495</v>
      </c>
      <c r="CF22" s="19">
        <f t="shared" si="57"/>
        <v>22521.265198298759</v>
      </c>
      <c r="CG22" s="19">
        <f t="shared" si="57"/>
        <v>22577.130253791638</v>
      </c>
      <c r="CH22" s="19">
        <f t="shared" si="57"/>
        <v>27714.368485332823</v>
      </c>
      <c r="CI22" s="19">
        <f t="shared" si="57"/>
        <v>29863.986706403724</v>
      </c>
      <c r="CJ22" s="19">
        <f t="shared" si="57"/>
        <v>25600.527191913909</v>
      </c>
      <c r="CK22" s="19">
        <f t="shared" si="57"/>
        <v>27660.855664383533</v>
      </c>
      <c r="CL22" s="19">
        <f t="shared" ref="CL22:CW22" si="58">CL8-CL15</f>
        <v>25219.751499246195</v>
      </c>
      <c r="CM22" s="19">
        <f t="shared" si="58"/>
        <v>25477.514965414703</v>
      </c>
      <c r="CN22" s="19">
        <f t="shared" si="58"/>
        <v>25459.568069927365</v>
      </c>
      <c r="CO22" s="19">
        <f t="shared" si="58"/>
        <v>25841.423222617672</v>
      </c>
      <c r="CP22" s="19">
        <f t="shared" si="58"/>
        <v>24352.211263956313</v>
      </c>
      <c r="CQ22" s="19">
        <f t="shared" si="58"/>
        <v>26645.279848244896</v>
      </c>
      <c r="CR22" s="19">
        <f t="shared" si="58"/>
        <v>25899.833028379056</v>
      </c>
      <c r="CS22" s="19">
        <f t="shared" si="58"/>
        <v>25964.061800960484</v>
      </c>
      <c r="CT22" s="19">
        <f t="shared" si="58"/>
        <v>31871.969370816085</v>
      </c>
      <c r="CU22" s="19">
        <f t="shared" si="58"/>
        <v>34344.050935327279</v>
      </c>
      <c r="CV22" s="19">
        <f t="shared" si="58"/>
        <v>29441.055109881527</v>
      </c>
      <c r="CW22" s="19">
        <f t="shared" si="58"/>
        <v>31810.516984391968</v>
      </c>
      <c r="CX22" s="168"/>
      <c r="CY22" s="19">
        <f t="shared" si="3"/>
        <v>33135</v>
      </c>
      <c r="CZ22" s="19">
        <f t="shared" si="4"/>
        <v>33286</v>
      </c>
      <c r="DA22" s="19">
        <f t="shared" si="5"/>
        <v>39442</v>
      </c>
      <c r="DB22" s="19">
        <f t="shared" si="6"/>
        <v>32894</v>
      </c>
      <c r="DC22" s="19">
        <f t="shared" si="7"/>
        <v>35969</v>
      </c>
      <c r="DD22" s="19">
        <f t="shared" si="8"/>
        <v>37608</v>
      </c>
      <c r="DE22" s="19">
        <f t="shared" si="9"/>
        <v>35525</v>
      </c>
      <c r="DF22" s="19">
        <f t="shared" si="10"/>
        <v>47719</v>
      </c>
      <c r="DG22" s="19">
        <f t="shared" si="11"/>
        <v>50079</v>
      </c>
      <c r="DH22" s="19">
        <f t="shared" si="12"/>
        <v>50457</v>
      </c>
      <c r="DI22" s="19">
        <f t="shared" si="13"/>
        <v>55059</v>
      </c>
      <c r="DJ22" s="19">
        <f t="shared" si="14"/>
        <v>62935</v>
      </c>
      <c r="DK22" s="19">
        <f t="shared" si="15"/>
        <v>57587.673773420793</v>
      </c>
      <c r="DL22" s="19">
        <f t="shared" si="16"/>
        <v>58102.835994153436</v>
      </c>
      <c r="DM22" s="19">
        <f t="shared" si="17"/>
        <v>63317.088487841233</v>
      </c>
      <c r="DN22" s="19">
        <f t="shared" si="18"/>
        <v>72283.283720717722</v>
      </c>
      <c r="DO22" s="19">
        <f t="shared" si="19"/>
        <v>66222.750690188564</v>
      </c>
      <c r="DP22" s="19">
        <f t="shared" si="20"/>
        <v>66815.701379583406</v>
      </c>
      <c r="DQ22" s="19">
        <f t="shared" si="21"/>
        <v>72812.763937423209</v>
      </c>
      <c r="DR22" s="19">
        <f t="shared" si="22"/>
        <v>83125.369562701162</v>
      </c>
      <c r="DS22" s="19">
        <f t="shared" si="43"/>
        <v>76156.83453458827</v>
      </c>
      <c r="DT22" s="19">
        <f t="shared" si="44"/>
        <v>76838.914334818881</v>
      </c>
      <c r="DU22" s="19">
        <f t="shared" si="45"/>
        <v>83735.864200155629</v>
      </c>
      <c r="DV22" s="19">
        <f t="shared" si="46"/>
        <v>95595.623029600771</v>
      </c>
      <c r="DX22" s="19">
        <f t="shared" si="27"/>
        <v>138757</v>
      </c>
      <c r="DY22" s="19">
        <f t="shared" si="28"/>
        <v>156821</v>
      </c>
      <c r="DZ22" s="19">
        <f t="shared" si="29"/>
        <v>218530</v>
      </c>
      <c r="EA22" s="19">
        <f t="shared" si="30"/>
        <v>251290.88197613315</v>
      </c>
      <c r="EB22" s="19">
        <f t="shared" si="31"/>
        <v>288976.58556989633</v>
      </c>
      <c r="EC22" s="770">
        <f t="shared" si="32"/>
        <v>332327.23609916354</v>
      </c>
    </row>
    <row r="23" spans="2:133" x14ac:dyDescent="0.2">
      <c r="B23" s="155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68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X23" s="19"/>
      <c r="DY23" s="19"/>
      <c r="DZ23" s="19"/>
      <c r="EA23" s="19"/>
      <c r="EB23" s="19"/>
      <c r="EC23" s="770"/>
    </row>
    <row r="24" spans="2:133" x14ac:dyDescent="0.2">
      <c r="B24" s="193" t="s">
        <v>11</v>
      </c>
      <c r="C24" s="197">
        <f>SUM(C25:C26)</f>
        <v>1631330.7686567805</v>
      </c>
      <c r="D24" s="197">
        <f t="shared" ref="D24:BO24" si="59">SUM(D25:D26)</f>
        <v>1666947.060888136</v>
      </c>
      <c r="E24" s="197">
        <f t="shared" si="59"/>
        <v>2113063.1728220377</v>
      </c>
      <c r="F24" s="197">
        <f t="shared" si="59"/>
        <v>1290243.9269102183</v>
      </c>
      <c r="G24" s="197">
        <f t="shared" si="59"/>
        <v>252981.51101694905</v>
      </c>
      <c r="H24" s="197">
        <f t="shared" si="59"/>
        <v>1093477.4254598974</v>
      </c>
      <c r="I24" s="197">
        <f t="shared" si="59"/>
        <v>1692357.0418841178</v>
      </c>
      <c r="J24" s="197">
        <f t="shared" si="59"/>
        <v>1681541.4729889822</v>
      </c>
      <c r="K24" s="197">
        <f t="shared" si="59"/>
        <v>2391697.7282087258</v>
      </c>
      <c r="L24" s="197">
        <f t="shared" si="59"/>
        <v>2755252.2057677954</v>
      </c>
      <c r="M24" s="197">
        <f t="shared" si="59"/>
        <v>4752375.1446024505</v>
      </c>
      <c r="N24" s="197">
        <f t="shared" si="59"/>
        <v>5322645.3880130909</v>
      </c>
      <c r="O24" s="197">
        <f t="shared" si="59"/>
        <v>5476566.4405550687</v>
      </c>
      <c r="P24" s="197">
        <f t="shared" si="59"/>
        <v>6152088.6391118709</v>
      </c>
      <c r="Q24" s="197">
        <f t="shared" si="59"/>
        <v>6320329.7068617241</v>
      </c>
      <c r="R24" s="197">
        <f t="shared" si="59"/>
        <v>5422361.7833527289</v>
      </c>
      <c r="S24" s="197">
        <f t="shared" si="59"/>
        <v>6390488.4984452417</v>
      </c>
      <c r="T24" s="197">
        <f t="shared" si="59"/>
        <v>8203167.075938669</v>
      </c>
      <c r="U24" s="197">
        <f t="shared" si="59"/>
        <v>8042747.4795600167</v>
      </c>
      <c r="V24" s="197">
        <f t="shared" si="59"/>
        <v>7412400.9531762674</v>
      </c>
      <c r="W24" s="197">
        <f t="shared" si="59"/>
        <v>6669080.9847000316</v>
      </c>
      <c r="X24" s="197">
        <f t="shared" si="59"/>
        <v>8428895.6959677823</v>
      </c>
      <c r="Y24" s="197">
        <f t="shared" si="59"/>
        <v>8269621.9423322054</v>
      </c>
      <c r="Z24" s="197">
        <f t="shared" si="59"/>
        <v>9663733.2990191206</v>
      </c>
      <c r="AA24" s="197">
        <f t="shared" si="59"/>
        <v>10846572.909284757</v>
      </c>
      <c r="AB24" s="197">
        <f t="shared" si="59"/>
        <v>12160537.349583074</v>
      </c>
      <c r="AC24" s="197">
        <f t="shared" si="59"/>
        <v>16017746.884352548</v>
      </c>
      <c r="AD24" s="197">
        <f t="shared" si="59"/>
        <v>17702077.635228731</v>
      </c>
      <c r="AE24" s="197">
        <f t="shared" si="59"/>
        <v>19807145.810569458</v>
      </c>
      <c r="AF24" s="197">
        <f t="shared" si="59"/>
        <v>22351061.8615296</v>
      </c>
      <c r="AG24" s="197">
        <f t="shared" si="59"/>
        <v>17694731.164647099</v>
      </c>
      <c r="AH24" s="197">
        <f t="shared" si="59"/>
        <v>19734605.462384965</v>
      </c>
      <c r="AI24" s="197">
        <f t="shared" si="59"/>
        <v>16586995.553095397</v>
      </c>
      <c r="AJ24" s="197">
        <f t="shared" si="59"/>
        <v>24732683.68017685</v>
      </c>
      <c r="AK24" s="197">
        <f t="shared" si="59"/>
        <v>23330217.489053469</v>
      </c>
      <c r="AL24" s="197">
        <f t="shared" si="59"/>
        <v>21397898.09684585</v>
      </c>
      <c r="AM24" s="197">
        <f t="shared" si="59"/>
        <v>22328257.28366892</v>
      </c>
      <c r="AN24" s="197">
        <f t="shared" si="59"/>
        <v>21894864.49768718</v>
      </c>
      <c r="AO24" s="197">
        <f t="shared" si="59"/>
        <v>28200495.997717824</v>
      </c>
      <c r="AP24" s="197">
        <f t="shared" si="59"/>
        <v>25957744.644494068</v>
      </c>
      <c r="AQ24" s="197">
        <f t="shared" si="59"/>
        <v>26088764.737206545</v>
      </c>
      <c r="AR24" s="197">
        <f t="shared" si="59"/>
        <v>27727390.056626402</v>
      </c>
      <c r="AS24" s="197">
        <f t="shared" si="59"/>
        <v>27157988.162033014</v>
      </c>
      <c r="AT24" s="197">
        <f t="shared" si="59"/>
        <v>24790499.766618803</v>
      </c>
      <c r="AU24" s="197">
        <f t="shared" si="59"/>
        <v>22673042.590487391</v>
      </c>
      <c r="AV24" s="197">
        <f t="shared" si="59"/>
        <v>29006281.612469085</v>
      </c>
      <c r="AW24" s="197">
        <f t="shared" si="59"/>
        <v>26143062.739556443</v>
      </c>
      <c r="AX24" s="197">
        <f t="shared" si="59"/>
        <v>30456861.078521766</v>
      </c>
      <c r="AY24" s="197">
        <f t="shared" si="59"/>
        <v>32654149.16062782</v>
      </c>
      <c r="AZ24" s="197">
        <f t="shared" si="59"/>
        <v>31247879.321702242</v>
      </c>
      <c r="BA24" s="197">
        <f t="shared" si="59"/>
        <v>43184053.563524619</v>
      </c>
      <c r="BB24" s="197">
        <f t="shared" si="59"/>
        <v>42077720.384058274</v>
      </c>
      <c r="BC24" s="197">
        <f t="shared" si="59"/>
        <v>42457540.057749078</v>
      </c>
      <c r="BD24" s="197">
        <f t="shared" si="59"/>
        <v>40848095.235953011</v>
      </c>
      <c r="BE24" s="197">
        <f t="shared" si="59"/>
        <v>43640507.400000036</v>
      </c>
      <c r="BF24" s="197">
        <f t="shared" si="59"/>
        <v>39179687.410000004</v>
      </c>
      <c r="BG24" s="197">
        <f t="shared" si="59"/>
        <v>37703778.260000065</v>
      </c>
      <c r="BH24" s="197">
        <f t="shared" si="59"/>
        <v>45312474.730000004</v>
      </c>
      <c r="BI24" s="197">
        <f t="shared" si="59"/>
        <v>41749660.700000063</v>
      </c>
      <c r="BJ24" s="197">
        <f t="shared" si="59"/>
        <v>50047139.010000125</v>
      </c>
      <c r="BK24" s="197">
        <f t="shared" si="59"/>
        <v>54783514.14000006</v>
      </c>
      <c r="BL24" s="197">
        <f t="shared" si="59"/>
        <v>48261603.740000032</v>
      </c>
      <c r="BM24" s="197">
        <f t="shared" si="59"/>
        <v>54814242.080000043</v>
      </c>
      <c r="BN24" s="197">
        <f t="shared" si="59"/>
        <v>51368143.495452613</v>
      </c>
      <c r="BO24" s="197">
        <f t="shared" si="59"/>
        <v>50995995.485844932</v>
      </c>
      <c r="BP24" s="197">
        <f t="shared" ref="BP24:CK24" si="60">SUM(BP25:BP26)</f>
        <v>50920650.461487375</v>
      </c>
      <c r="BQ24" s="197">
        <f t="shared" si="60"/>
        <v>53608990.245109573</v>
      </c>
      <c r="BR24" s="197">
        <f t="shared" si="60"/>
        <v>49016984.311039597</v>
      </c>
      <c r="BS24" s="197">
        <f t="shared" si="60"/>
        <v>49089950.046828285</v>
      </c>
      <c r="BT24" s="197">
        <f t="shared" si="60"/>
        <v>54741343.615776628</v>
      </c>
      <c r="BU24" s="197">
        <f t="shared" si="60"/>
        <v>52284554.967502572</v>
      </c>
      <c r="BV24" s="197">
        <f t="shared" si="60"/>
        <v>63071790.415373586</v>
      </c>
      <c r="BW24" s="197">
        <f t="shared" si="60"/>
        <v>66118014.071972616</v>
      </c>
      <c r="BX24" s="197">
        <f t="shared" si="60"/>
        <v>59270973.454887278</v>
      </c>
      <c r="BY24" s="197">
        <f t="shared" si="60"/>
        <v>66787627.872776225</v>
      </c>
      <c r="BZ24" s="197">
        <f t="shared" si="60"/>
        <v>61957902.610853098</v>
      </c>
      <c r="CA24" s="197">
        <f t="shared" si="60"/>
        <v>61580999.717511609</v>
      </c>
      <c r="CB24" s="197">
        <f t="shared" si="60"/>
        <v>61308685.581353948</v>
      </c>
      <c r="CC24" s="197">
        <f t="shared" si="60"/>
        <v>64556134.191261627</v>
      </c>
      <c r="CD24" s="197">
        <f t="shared" si="60"/>
        <v>58931477.916076876</v>
      </c>
      <c r="CE24" s="197">
        <f t="shared" si="60"/>
        <v>58880066.480269648</v>
      </c>
      <c r="CF24" s="197">
        <f t="shared" si="60"/>
        <v>65641035.210651562</v>
      </c>
      <c r="CG24" s="197">
        <f t="shared" si="60"/>
        <v>62479582.567490041</v>
      </c>
      <c r="CH24" s="197">
        <f t="shared" si="60"/>
        <v>75223986.209494069</v>
      </c>
      <c r="CI24" s="197">
        <f t="shared" si="60"/>
        <v>78668475.058541</v>
      </c>
      <c r="CJ24" s="197">
        <f t="shared" si="60"/>
        <v>70335784.749335423</v>
      </c>
      <c r="CK24" s="197">
        <f t="shared" si="60"/>
        <v>78765568.22521621</v>
      </c>
      <c r="CL24" s="197">
        <f t="shared" ref="CL24:CW24" si="61">SUM(CL25:CL26)</f>
        <v>71791241.339424491</v>
      </c>
      <c r="CM24" s="197">
        <f t="shared" si="61"/>
        <v>71334316.614882812</v>
      </c>
      <c r="CN24" s="197">
        <f t="shared" si="61"/>
        <v>70998306.299843833</v>
      </c>
      <c r="CO24" s="197">
        <f t="shared" si="61"/>
        <v>74697344.308091938</v>
      </c>
      <c r="CP24" s="197">
        <f t="shared" si="61"/>
        <v>68177605.669410855</v>
      </c>
      <c r="CQ24" s="197">
        <f t="shared" si="61"/>
        <v>68184969.764642715</v>
      </c>
      <c r="CR24" s="197">
        <f t="shared" si="61"/>
        <v>75836032.293413773</v>
      </c>
      <c r="CS24" s="197">
        <f t="shared" si="61"/>
        <v>72217285.959122419</v>
      </c>
      <c r="CT24" s="197">
        <f t="shared" si="61"/>
        <v>86994678.996947169</v>
      </c>
      <c r="CU24" s="197">
        <f t="shared" si="61"/>
        <v>91021440.501775891</v>
      </c>
      <c r="CV24" s="197">
        <f t="shared" si="61"/>
        <v>81277338.405524194</v>
      </c>
      <c r="CW24" s="197">
        <f t="shared" si="61"/>
        <v>90964162.641029686</v>
      </c>
      <c r="CX24" s="168"/>
      <c r="CY24" s="197">
        <f t="shared" si="3"/>
        <v>59860285.307327792</v>
      </c>
      <c r="CZ24" s="197">
        <f t="shared" si="4"/>
        <v>54016332.180127457</v>
      </c>
      <c r="DA24" s="197">
        <f t="shared" si="5"/>
        <v>69460799.266076177</v>
      </c>
      <c r="DB24" s="197">
        <f t="shared" si="6"/>
        <v>72423617.779073924</v>
      </c>
      <c r="DC24" s="197">
        <f t="shared" si="7"/>
        <v>79773899.438327014</v>
      </c>
      <c r="DD24" s="197">
        <f t="shared" si="8"/>
        <v>74621530.5191392</v>
      </c>
      <c r="DE24" s="197">
        <f t="shared" si="9"/>
        <v>85606205.430547297</v>
      </c>
      <c r="DF24" s="197">
        <f t="shared" si="10"/>
        <v>107086082.04585469</v>
      </c>
      <c r="DG24" s="197">
        <f t="shared" si="11"/>
        <v>125383355.67776036</v>
      </c>
      <c r="DH24" s="197">
        <f t="shared" si="12"/>
        <v>120523973.0700001</v>
      </c>
      <c r="DI24" s="197">
        <f t="shared" si="13"/>
        <v>137109274.44000018</v>
      </c>
      <c r="DJ24" s="197">
        <f t="shared" si="14"/>
        <v>157859359.96000013</v>
      </c>
      <c r="DK24" s="197">
        <f t="shared" si="15"/>
        <v>153284789.44278494</v>
      </c>
      <c r="DL24" s="197">
        <f t="shared" si="16"/>
        <v>151715924.60297745</v>
      </c>
      <c r="DM24" s="197">
        <f t="shared" si="17"/>
        <v>170097688.99865279</v>
      </c>
      <c r="DN24" s="197">
        <f t="shared" si="18"/>
        <v>192176615.39963612</v>
      </c>
      <c r="DO24" s="197">
        <f t="shared" si="19"/>
        <v>184847587.90971863</v>
      </c>
      <c r="DP24" s="197">
        <f t="shared" si="20"/>
        <v>182367678.58760816</v>
      </c>
      <c r="DQ24" s="197">
        <f t="shared" si="21"/>
        <v>203344603.98763567</v>
      </c>
      <c r="DR24" s="197">
        <f t="shared" si="22"/>
        <v>227769828.03309262</v>
      </c>
      <c r="DS24" s="197">
        <f t="shared" si="43"/>
        <v>214123864.25415117</v>
      </c>
      <c r="DT24" s="197">
        <f t="shared" si="44"/>
        <v>211059919.74214551</v>
      </c>
      <c r="DU24" s="197">
        <f t="shared" si="45"/>
        <v>235047997.24948335</v>
      </c>
      <c r="DV24" s="197">
        <f t="shared" si="46"/>
        <v>263262941.54832977</v>
      </c>
      <c r="DX24" s="197">
        <f t="shared" si="27"/>
        <v>255761034.53260535</v>
      </c>
      <c r="DY24" s="197">
        <f t="shared" si="28"/>
        <v>347087717.43386817</v>
      </c>
      <c r="DZ24" s="197">
        <f t="shared" si="29"/>
        <v>540875963.14776075</v>
      </c>
      <c r="EA24" s="197">
        <f t="shared" si="30"/>
        <v>667275018.44405138</v>
      </c>
      <c r="EB24" s="197">
        <f t="shared" si="31"/>
        <v>798329698.51805508</v>
      </c>
      <c r="EC24" s="811">
        <f t="shared" si="32"/>
        <v>923494722.79410982</v>
      </c>
    </row>
    <row r="25" spans="2:133" x14ac:dyDescent="0.2">
      <c r="B25" s="155" t="s">
        <v>229</v>
      </c>
      <c r="C25" s="19">
        <f>'D2C - Retail'!J57+'D2C - Retail'!J60</f>
        <v>1434018.76526695</v>
      </c>
      <c r="D25" s="19">
        <f>'D2C - Retail'!K57+'D2C - Retail'!K60</f>
        <v>1487716.034067797</v>
      </c>
      <c r="E25" s="19">
        <f>'D2C - Retail'!L57+'D2C - Retail'!L60</f>
        <v>1812806.5064237323</v>
      </c>
      <c r="F25" s="19">
        <f>'D2C - Retail'!M57+'D2C - Retail'!M60</f>
        <v>1079245.2089864896</v>
      </c>
      <c r="G25" s="19">
        <f>'D2C - Retail'!N57+'D2C - Retail'!N60</f>
        <v>31633.38305084746</v>
      </c>
      <c r="H25" s="19">
        <f>'D2C - Retail'!O57+'D2C - Retail'!O60</f>
        <v>777673.88944294839</v>
      </c>
      <c r="I25" s="19">
        <f>'D2C - Retail'!P57+'D2C - Retail'!P60</f>
        <v>1282133.4769688635</v>
      </c>
      <c r="J25" s="19">
        <f>'D2C - Retail'!Q57+'D2C - Retail'!Q60</f>
        <v>1321715.8945144059</v>
      </c>
      <c r="K25" s="19">
        <f>'D2C - Retail'!R57+'D2C - Retail'!R60</f>
        <v>1965380.3641341326</v>
      </c>
      <c r="L25" s="19">
        <f>'D2C - Retail'!S57+'D2C - Retail'!S60</f>
        <v>2567799.0446152533</v>
      </c>
      <c r="M25" s="19">
        <f>'D2C - Retail'!T57+'D2C - Retail'!T60</f>
        <v>3964831.2769008409</v>
      </c>
      <c r="N25" s="19">
        <f>'D2C - Retail'!U57+'D2C - Retail'!U60</f>
        <v>4471347.6433283444</v>
      </c>
      <c r="O25" s="19">
        <f>'D2C - Retail'!V57+'D2C - Retail'!V60</f>
        <v>4193311.5708482899</v>
      </c>
      <c r="P25" s="19">
        <f>'D2C - Retail'!W57+'D2C - Retail'!W60</f>
        <v>4761744.9668237353</v>
      </c>
      <c r="Q25" s="19">
        <f>'D2C - Retail'!X57+'D2C - Retail'!X60</f>
        <v>5344945.3326264685</v>
      </c>
      <c r="R25" s="19">
        <f>'D2C - Retail'!Y57+'D2C - Retail'!Y60</f>
        <v>4393157.2802069653</v>
      </c>
      <c r="S25" s="19">
        <f>'D2C - Retail'!Z57+'D2C - Retail'!Z60</f>
        <v>5192801.4984452417</v>
      </c>
      <c r="T25" s="19">
        <f>'D2C - Retail'!AA57+'D2C - Retail'!AA60</f>
        <v>6298472.6633623969</v>
      </c>
      <c r="U25" s="19">
        <f>'D2C - Retail'!AB57+'D2C - Retail'!AB60</f>
        <v>6390844.9655125728</v>
      </c>
      <c r="V25" s="19">
        <f>'D2C - Retail'!AC57+'D2C - Retail'!AC60</f>
        <v>6107499.9605288077</v>
      </c>
      <c r="W25" s="19">
        <f>'D2C - Retail'!AD57+'D2C - Retail'!AD60</f>
        <v>5411509.7719881665</v>
      </c>
      <c r="X25" s="19">
        <f>'D2C - Retail'!AE57+'D2C - Retail'!AE60</f>
        <v>6204666.5244762637</v>
      </c>
      <c r="Y25" s="19">
        <f>'D2C - Retail'!AF57+'D2C - Retail'!AF60</f>
        <v>6464847.5628406843</v>
      </c>
      <c r="Z25" s="19">
        <f>'D2C - Retail'!AG57+'D2C - Retail'!AG60</f>
        <v>8078470.9364428455</v>
      </c>
      <c r="AA25" s="19">
        <f>'D2C - Retail'!AH57+'D2C - Retail'!AH60</f>
        <v>8777941.846322041</v>
      </c>
      <c r="AB25" s="19">
        <f>'D2C - Retail'!AI57+'D2C - Retail'!AI60</f>
        <v>8911162.120027164</v>
      </c>
      <c r="AC25" s="19">
        <f>'D2C - Retail'!AJ57+'D2C - Retail'!AJ60</f>
        <v>11083993.846047461</v>
      </c>
      <c r="AD25" s="19">
        <f>'D2C - Retail'!AK57+'D2C - Retail'!AK60</f>
        <v>11487101.561313475</v>
      </c>
      <c r="AE25" s="19">
        <f>'D2C - Retail'!AL57+'D2C - Retail'!AL60</f>
        <v>13199594.475966137</v>
      </c>
      <c r="AF25" s="19">
        <f>'D2C - Retail'!AM57+'D2C - Retail'!AM60</f>
        <v>14123642.03676616</v>
      </c>
      <c r="AG25" s="19">
        <f>'D2C - Retail'!AN57+'D2C - Retail'!AN60</f>
        <v>12113915.995159259</v>
      </c>
      <c r="AH25" s="19">
        <f>'D2C - Retail'!AO57+'D2C - Retail'!AO60</f>
        <v>12562154.925559344</v>
      </c>
      <c r="AI25" s="19">
        <f>'D2C - Retail'!AP57+'D2C - Retail'!AP60</f>
        <v>10059438.895169431</v>
      </c>
      <c r="AJ25" s="19">
        <f>'D2C - Retail'!AQ57+'D2C - Retail'!AQ60</f>
        <v>14136885.51521308</v>
      </c>
      <c r="AK25" s="19">
        <f>'D2C - Retail'!AR57+'D2C - Retail'!AR60</f>
        <v>13934715.255732279</v>
      </c>
      <c r="AL25" s="19">
        <f>'D2C - Retail'!AS57+'D2C - Retail'!AS60</f>
        <v>12392441.412010174</v>
      </c>
      <c r="AM25" s="19">
        <f>'D2C - Retail'!AT57+'D2C - Retail'!AT60</f>
        <v>12305184.350447627</v>
      </c>
      <c r="AN25" s="19">
        <f>'D2C - Retail'!AU57+'D2C - Retail'!AU60</f>
        <v>13072379.641176786</v>
      </c>
      <c r="AO25" s="19">
        <f>'D2C - Retail'!AV57+'D2C - Retail'!AV60</f>
        <v>15802848.526504504</v>
      </c>
      <c r="AP25" s="19">
        <f>'D2C - Retail'!AW57+'D2C - Retail'!AW60</f>
        <v>15481301.009218726</v>
      </c>
      <c r="AQ25" s="19">
        <f>'D2C - Retail'!AX57+'D2C - Retail'!AX60</f>
        <v>15216344.281883731</v>
      </c>
      <c r="AR25" s="19">
        <f>'D2C - Retail'!AY57+'D2C - Retail'!AY60</f>
        <v>15998084.179210229</v>
      </c>
      <c r="AS25" s="19">
        <f>'D2C - Retail'!AZ57+'D2C - Retail'!AZ60</f>
        <v>15090021.235742671</v>
      </c>
      <c r="AT25" s="19">
        <f>'D2C - Retail'!BA57+'D2C - Retail'!BA60</f>
        <v>12634661.136978159</v>
      </c>
      <c r="AU25" s="19">
        <f>'D2C - Retail'!BB57+'D2C - Retail'!BB60</f>
        <v>10450343.870607503</v>
      </c>
      <c r="AV25" s="19">
        <f>'D2C - Retail'!BC57+'D2C - Retail'!BC60</f>
        <v>14625454.447778724</v>
      </c>
      <c r="AW25" s="19">
        <f>'D2C - Retail'!BD57+'D2C - Retail'!BD60</f>
        <v>14478245.327930288</v>
      </c>
      <c r="AX25" s="19">
        <f>'D2C - Retail'!BE57+'D2C - Retail'!BE60</f>
        <v>16855398.387989145</v>
      </c>
      <c r="AY25" s="19">
        <f>'D2C - Retail'!BF57+'D2C - Retail'!BF60</f>
        <v>17105116.048833985</v>
      </c>
      <c r="AZ25" s="19">
        <f>'D2C - Retail'!BG57+'D2C - Retail'!BG60</f>
        <v>16337088.807297232</v>
      </c>
      <c r="BA25" s="19">
        <f>'D2C - Retail'!BH57+'D2C - Retail'!BH60</f>
        <v>22118761.925820276</v>
      </c>
      <c r="BB25" s="19">
        <f>'D2C - Retail'!BI57+'D2C - Retail'!BI60</f>
        <v>23093153.529611446</v>
      </c>
      <c r="BC25" s="19">
        <f>'D2C - Retail'!BJ57+'D2C - Retail'!BJ60</f>
        <v>22238612.460579943</v>
      </c>
      <c r="BD25" s="19">
        <f>'D2C - Retail'!BK57+'D2C - Retail'!BK60</f>
        <v>21741083.489240974</v>
      </c>
      <c r="BE25" s="19">
        <f>'D2C - Retail'!BL57+'D2C - Retail'!BL60</f>
        <v>23243685.359999999</v>
      </c>
      <c r="BF25" s="19">
        <f>'D2C - Retail'!BM57+'D2C - Retail'!BM60</f>
        <v>20622743.450000003</v>
      </c>
      <c r="BG25" s="19">
        <f>'D2C - Retail'!BN57+'D2C - Retail'!BN60</f>
        <v>18657411.820000008</v>
      </c>
      <c r="BH25" s="19">
        <f>'D2C - Retail'!BO57+'D2C - Retail'!BO60</f>
        <v>25615525.079999991</v>
      </c>
      <c r="BI25" s="19">
        <f>'D2C - Retail'!BP57+'D2C - Retail'!BP60</f>
        <v>22946194.000000022</v>
      </c>
      <c r="BJ25" s="19">
        <f>'D2C - Retail'!BQ57+'D2C - Retail'!BQ60</f>
        <v>28414416.440000009</v>
      </c>
      <c r="BK25" s="19">
        <f>'D2C - Retail'!BR57+'D2C - Retail'!BR60</f>
        <v>30820992.719999991</v>
      </c>
      <c r="BL25" s="19">
        <f>'D2C - Retail'!BS57+'D2C - Retail'!BS60</f>
        <v>29138946.509999998</v>
      </c>
      <c r="BM25" s="19">
        <f>'D2C - Retail'!BT57+'D2C - Retail'!BT60</f>
        <v>32917743.800000008</v>
      </c>
      <c r="BN25" s="19">
        <f>'D2C - Retail'!BU57+'D2C - Retail'!BU60</f>
        <v>28985929.867054503</v>
      </c>
      <c r="BO25" s="19">
        <f>'D2C - Retail'!BV57+'D2C - Retail'!BV60</f>
        <v>28385983.356802493</v>
      </c>
      <c r="BP25" s="19">
        <f>'D2C - Retail'!BW57+'D2C - Retail'!BW60</f>
        <v>28326813.373910803</v>
      </c>
      <c r="BQ25" s="19">
        <f>'D2C - Retail'!BX57+'D2C - Retail'!BX60</f>
        <v>30674129.366627567</v>
      </c>
      <c r="BR25" s="19">
        <f>'D2C - Retail'!BY57+'D2C - Retail'!BY60</f>
        <v>27405780.992514655</v>
      </c>
      <c r="BS25" s="19">
        <f>'D2C - Retail'!BZ57+'D2C - Retail'!BZ60</f>
        <v>25448779.02433661</v>
      </c>
      <c r="BT25" s="19">
        <f>'D2C - Retail'!CA57+'D2C - Retail'!CA60</f>
        <v>31753913.852530546</v>
      </c>
      <c r="BU25" s="19">
        <f>'D2C - Retail'!CB57+'D2C - Retail'!CB60</f>
        <v>29243208.399370253</v>
      </c>
      <c r="BV25" s="19">
        <f>'D2C - Retail'!CC57+'D2C - Retail'!CC60</f>
        <v>34788382.492177121</v>
      </c>
      <c r="BW25" s="19">
        <f>'D2C - Retail'!CD57+'D2C - Retail'!CD60</f>
        <v>35642888.030150719</v>
      </c>
      <c r="BX25" s="19">
        <f>'D2C - Retail'!CE57+'D2C - Retail'!CE60</f>
        <v>33144237.727140192</v>
      </c>
      <c r="BY25" s="19">
        <f>'D2C - Retail'!CF57+'D2C - Retail'!CF60</f>
        <v>38555440.914221682</v>
      </c>
      <c r="BZ25" s="19">
        <f>'D2C - Retail'!CG57+'D2C - Retail'!CG60</f>
        <v>35446170.568015546</v>
      </c>
      <c r="CA25" s="19">
        <f>'D2C - Retail'!CH57+'D2C - Retail'!CH60</f>
        <v>34799440.350660831</v>
      </c>
      <c r="CB25" s="19">
        <f>'D2C - Retail'!CI57+'D2C - Retail'!CI60</f>
        <v>34546285.551119491</v>
      </c>
      <c r="CC25" s="19">
        <f>'D2C - Retail'!CJ57+'D2C - Retail'!CJ60</f>
        <v>37389791.480699688</v>
      </c>
      <c r="CD25" s="19">
        <f>'D2C - Retail'!CK57+'D2C - Retail'!CK60</f>
        <v>33333007.585284077</v>
      </c>
      <c r="CE25" s="19">
        <f>'D2C - Retail'!CL57+'D2C - Retail'!CL60</f>
        <v>30877099.404128257</v>
      </c>
      <c r="CF25" s="19">
        <f>'D2C - Retail'!CM57+'D2C - Retail'!CM60</f>
        <v>38412424.656086579</v>
      </c>
      <c r="CG25" s="19">
        <f>'D2C - Retail'!CN57+'D2C - Retail'!CN60</f>
        <v>35187107.55753731</v>
      </c>
      <c r="CH25" s="19">
        <f>'D2C - Retail'!CO57+'D2C - Retail'!CO60</f>
        <v>41722289.524467856</v>
      </c>
      <c r="CI25" s="19">
        <f>'D2C - Retail'!CP57+'D2C - Retail'!CP60</f>
        <v>42570688.26200296</v>
      </c>
      <c r="CJ25" s="19">
        <f>'D2C - Retail'!CQ57+'D2C - Retail'!CQ60</f>
        <v>39388666.279819004</v>
      </c>
      <c r="CK25" s="19">
        <f>'D2C - Retail'!CR57+'D2C - Retail'!CR60</f>
        <v>45324542.772808351</v>
      </c>
      <c r="CL25" s="19">
        <f>'D2C - Retail'!CS57+'D2C - Retail'!CS60</f>
        <v>40388094.734683417</v>
      </c>
      <c r="CM25" s="19">
        <f>'D2C - Retail'!CT57+'D2C - Retail'!CT60</f>
        <v>39611559.54484807</v>
      </c>
      <c r="CN25" s="19">
        <f>'D2C - Retail'!CU57+'D2C - Retail'!CU60</f>
        <v>39298243.46403113</v>
      </c>
      <c r="CO25" s="19">
        <f>'D2C - Retail'!CV57+'D2C - Retail'!CV60</f>
        <v>42518811.36743132</v>
      </c>
      <c r="CP25" s="19">
        <f>'D2C - Retail'!CW57+'D2C - Retail'!CW60</f>
        <v>37856217.562586777</v>
      </c>
      <c r="CQ25" s="19">
        <f>'D2C - Retail'!CX57+'D2C - Retail'!CX60</f>
        <v>35015455.262953237</v>
      </c>
      <c r="CR25" s="19">
        <f>'D2C - Retail'!CY57+'D2C - Retail'!CY60</f>
        <v>43583743.09153156</v>
      </c>
      <c r="CS25" s="19">
        <f>'D2C - Retail'!CZ57+'D2C - Retail'!CZ60</f>
        <v>39889349.309833422</v>
      </c>
      <c r="CT25" s="19">
        <f>'D2C - Retail'!DA57+'D2C - Retail'!DA60</f>
        <v>47311919.27353362</v>
      </c>
      <c r="CU25" s="19">
        <f>'D2C - Retail'!DB57+'D2C - Retail'!DB60</f>
        <v>48263612.041276589</v>
      </c>
      <c r="CV25" s="19">
        <f>'D2C - Retail'!DC57+'D2C - Retail'!DC60</f>
        <v>44620476.578381985</v>
      </c>
      <c r="CW25" s="19">
        <f>'D2C - Retail'!DD57+'D2C - Retail'!DD60</f>
        <v>51353267.992652588</v>
      </c>
      <c r="CX25" s="168"/>
      <c r="CY25" s="19">
        <f t="shared" si="3"/>
        <v>38810338.074045777</v>
      </c>
      <c r="CZ25" s="19">
        <f t="shared" si="4"/>
        <v>34735509.815888032</v>
      </c>
      <c r="DA25" s="19">
        <f t="shared" si="5"/>
        <v>40464042.182955533</v>
      </c>
      <c r="DB25" s="19">
        <f t="shared" si="6"/>
        <v>41180412.518128917</v>
      </c>
      <c r="DC25" s="19">
        <f t="shared" si="7"/>
        <v>46695729.470312685</v>
      </c>
      <c r="DD25" s="19">
        <f t="shared" si="8"/>
        <v>38175026.243328333</v>
      </c>
      <c r="DE25" s="19">
        <f t="shared" si="9"/>
        <v>45959098.163698152</v>
      </c>
      <c r="DF25" s="19">
        <f t="shared" si="10"/>
        <v>55560966.781951495</v>
      </c>
      <c r="DG25" s="19">
        <f t="shared" si="11"/>
        <v>67072849.479432359</v>
      </c>
      <c r="DH25" s="19">
        <f t="shared" si="12"/>
        <v>62523840.63000001</v>
      </c>
      <c r="DI25" s="19">
        <f t="shared" si="13"/>
        <v>76976135.520000026</v>
      </c>
      <c r="DJ25" s="19">
        <f t="shared" si="14"/>
        <v>92877683.030000001</v>
      </c>
      <c r="DK25" s="19">
        <f t="shared" si="15"/>
        <v>85698726.5977678</v>
      </c>
      <c r="DL25" s="19">
        <f t="shared" si="16"/>
        <v>83528689.383478835</v>
      </c>
      <c r="DM25" s="19">
        <f t="shared" si="17"/>
        <v>95785504.744077921</v>
      </c>
      <c r="DN25" s="19">
        <f t="shared" si="18"/>
        <v>107342566.6715126</v>
      </c>
      <c r="DO25" s="19">
        <f t="shared" si="19"/>
        <v>104791896.46979587</v>
      </c>
      <c r="DP25" s="19">
        <f t="shared" si="20"/>
        <v>101599898.47011203</v>
      </c>
      <c r="DQ25" s="19">
        <f t="shared" si="21"/>
        <v>115321821.73809174</v>
      </c>
      <c r="DR25" s="19">
        <f t="shared" si="22"/>
        <v>127283897.3146303</v>
      </c>
      <c r="DS25" s="19">
        <f t="shared" si="43"/>
        <v>119297897.74356261</v>
      </c>
      <c r="DT25" s="19">
        <f t="shared" si="44"/>
        <v>115390484.19297133</v>
      </c>
      <c r="DU25" s="19">
        <f t="shared" si="45"/>
        <v>130785011.67489859</v>
      </c>
      <c r="DV25" s="19">
        <f t="shared" si="46"/>
        <v>144237356.61231115</v>
      </c>
      <c r="DX25" s="19">
        <f t="shared" si="27"/>
        <v>155190302.59101826</v>
      </c>
      <c r="DY25" s="19">
        <f t="shared" si="28"/>
        <v>186390820.65929067</v>
      </c>
      <c r="DZ25" s="19">
        <f t="shared" si="29"/>
        <v>299450508.65943241</v>
      </c>
      <c r="EA25" s="19">
        <f t="shared" si="30"/>
        <v>372355487.39683717</v>
      </c>
      <c r="EB25" s="19">
        <f t="shared" si="31"/>
        <v>448997513.99262989</v>
      </c>
      <c r="EC25" s="770">
        <f t="shared" si="32"/>
        <v>509710750.22374368</v>
      </c>
    </row>
    <row r="26" spans="2:133" x14ac:dyDescent="0.2">
      <c r="B26" s="155" t="s">
        <v>237</v>
      </c>
      <c r="C26" s="19">
        <f>'D2C Online'!AA50</f>
        <v>197312.00338983053</v>
      </c>
      <c r="D26" s="19">
        <f>'D2C Online'!AB50</f>
        <v>179231.02682033903</v>
      </c>
      <c r="E26" s="19">
        <f>'D2C Online'!AC50</f>
        <v>300256.66639830527</v>
      </c>
      <c r="F26" s="19">
        <f>'D2C Online'!AD50</f>
        <v>210998.71792372887</v>
      </c>
      <c r="G26" s="19">
        <f>'D2C Online'!AE50</f>
        <v>221348.1279661016</v>
      </c>
      <c r="H26" s="19">
        <f>'D2C Online'!AF50</f>
        <v>315803.53601694893</v>
      </c>
      <c r="I26" s="19">
        <f>'D2C Online'!AG50</f>
        <v>410223.5649152543</v>
      </c>
      <c r="J26" s="19">
        <f>'D2C Online'!AH50</f>
        <v>359825.57847457641</v>
      </c>
      <c r="K26" s="19">
        <f>'D2C Online'!AI50</f>
        <v>426317.36407459324</v>
      </c>
      <c r="L26" s="19">
        <f>'D2C Online'!AJ50</f>
        <v>187453.16115254228</v>
      </c>
      <c r="M26" s="19">
        <f>'D2C Online'!AK50</f>
        <v>787543.86770160974</v>
      </c>
      <c r="N26" s="19">
        <f>'D2C Online'!AL50</f>
        <v>851297.74468474626</v>
      </c>
      <c r="O26" s="19">
        <f>'D2C Online'!AM50</f>
        <v>1283254.8697067786</v>
      </c>
      <c r="P26" s="19">
        <f>'D2C Online'!AN50</f>
        <v>1390343.6722881356</v>
      </c>
      <c r="Q26" s="19">
        <f>'D2C Online'!AO50</f>
        <v>975384.37423525564</v>
      </c>
      <c r="R26" s="19">
        <f>'D2C Online'!AP50</f>
        <v>1029204.5031457635</v>
      </c>
      <c r="S26" s="19">
        <f>'D2C Online'!AQ50</f>
        <v>1197687</v>
      </c>
      <c r="T26" s="19">
        <f>'D2C Online'!AR50</f>
        <v>1904694.4125762724</v>
      </c>
      <c r="U26" s="19">
        <f>'D2C Online'!AS50</f>
        <v>1651902.5140474436</v>
      </c>
      <c r="V26" s="19">
        <f>'D2C Online'!AT50</f>
        <v>1304900.9926474597</v>
      </c>
      <c r="W26" s="19">
        <f>'D2C Online'!AU50</f>
        <v>1257571.2127118653</v>
      </c>
      <c r="X26" s="19">
        <f>'D2C Online'!AV50</f>
        <v>2224229.1714915186</v>
      </c>
      <c r="Y26" s="19">
        <f>'D2C Online'!AW50</f>
        <v>1804774.3794915208</v>
      </c>
      <c r="Z26" s="19">
        <f>'D2C Online'!AX50</f>
        <v>1585262.3625762747</v>
      </c>
      <c r="AA26" s="19">
        <f>'D2C Online'!AY50</f>
        <v>2068631.0629627162</v>
      </c>
      <c r="AB26" s="19">
        <f>'D2C Online'!AZ50</f>
        <v>3249375.2295559105</v>
      </c>
      <c r="AC26" s="19">
        <f>'D2C Online'!BA50</f>
        <v>4933753.038305087</v>
      </c>
      <c r="AD26" s="19">
        <f>'D2C Online'!BB50</f>
        <v>6214976.0739152571</v>
      </c>
      <c r="AE26" s="19">
        <f>'D2C Online'!BC50</f>
        <v>6607551.3346033208</v>
      </c>
      <c r="AF26" s="19">
        <f>'D2C Online'!BD50</f>
        <v>8227419.8247634405</v>
      </c>
      <c r="AG26" s="19">
        <f>'D2C Online'!BE50</f>
        <v>5580815.1694878386</v>
      </c>
      <c r="AH26" s="19">
        <f>'D2C Online'!BF50</f>
        <v>7172450.5368256224</v>
      </c>
      <c r="AI26" s="19">
        <f>'D2C Online'!BG50</f>
        <v>6527556.6579259653</v>
      </c>
      <c r="AJ26" s="19">
        <f>'D2C Online'!BH50</f>
        <v>10595798.164963771</v>
      </c>
      <c r="AK26" s="19">
        <f>'D2C Online'!BI50</f>
        <v>9395502.2333211899</v>
      </c>
      <c r="AL26" s="19">
        <f>'D2C Online'!BJ50</f>
        <v>9005456.6848356742</v>
      </c>
      <c r="AM26" s="19">
        <f>'D2C Online'!BK50</f>
        <v>10023072.933221292</v>
      </c>
      <c r="AN26" s="19">
        <f>'D2C Online'!BL50</f>
        <v>8822484.8565103933</v>
      </c>
      <c r="AO26" s="19">
        <f>'D2C Online'!BM50</f>
        <v>12397647.47121332</v>
      </c>
      <c r="AP26" s="19">
        <f>'D2C Online'!BN50</f>
        <v>10476443.635275342</v>
      </c>
      <c r="AQ26" s="19">
        <f>'D2C Online'!BO50</f>
        <v>10872420.455322813</v>
      </c>
      <c r="AR26" s="19">
        <f>'D2C Online'!BP50</f>
        <v>11729305.877416171</v>
      </c>
      <c r="AS26" s="19">
        <f>'D2C Online'!BQ50</f>
        <v>12067966.926290344</v>
      </c>
      <c r="AT26" s="19">
        <f>'D2C Online'!BR50</f>
        <v>12155838.629640646</v>
      </c>
      <c r="AU26" s="19">
        <f>'D2C Online'!BS50</f>
        <v>12222698.71987989</v>
      </c>
      <c r="AV26" s="19">
        <f>'D2C Online'!BT50</f>
        <v>14380827.164690362</v>
      </c>
      <c r="AW26" s="19">
        <f>'D2C Online'!BU50</f>
        <v>11664817.411626155</v>
      </c>
      <c r="AX26" s="19">
        <f>'D2C Online'!BV50</f>
        <v>13601462.690532621</v>
      </c>
      <c r="AY26" s="19">
        <f>'D2C Online'!BW50</f>
        <v>15549033.111793833</v>
      </c>
      <c r="AZ26" s="19">
        <f>'D2C Online'!BX50</f>
        <v>14910790.514405008</v>
      </c>
      <c r="BA26" s="19">
        <f>'D2C Online'!BY50</f>
        <v>21065291.637704343</v>
      </c>
      <c r="BB26" s="19">
        <f>'D2C Online'!BZ50</f>
        <v>18984566.854446828</v>
      </c>
      <c r="BC26" s="19">
        <f>'D2C Online'!CA50</f>
        <v>20218927.597169138</v>
      </c>
      <c r="BD26" s="19">
        <f>'D2C Online'!CB50</f>
        <v>19107011.746712036</v>
      </c>
      <c r="BE26" s="19">
        <f>'D2C Online'!CC50</f>
        <v>20396822.040000036</v>
      </c>
      <c r="BF26" s="19">
        <f>'D2C Online'!CD50</f>
        <v>18556943.960000001</v>
      </c>
      <c r="BG26" s="19">
        <f>'D2C Online'!CE50</f>
        <v>19046366.440000057</v>
      </c>
      <c r="BH26" s="19">
        <f>'D2C Online'!CF50</f>
        <v>19696949.650000017</v>
      </c>
      <c r="BI26" s="19">
        <f>'D2C Online'!CG50</f>
        <v>18803466.70000004</v>
      </c>
      <c r="BJ26" s="19">
        <f>'D2C Online'!CH50</f>
        <v>21632722.57000012</v>
      </c>
      <c r="BK26" s="19">
        <f>'D2C Online'!CI50</f>
        <v>23962521.420000069</v>
      </c>
      <c r="BL26" s="19">
        <f>'D2C Online'!CJ50</f>
        <v>19122657.230000034</v>
      </c>
      <c r="BM26" s="19">
        <f>'D2C Online'!CK50</f>
        <v>21896498.280000038</v>
      </c>
      <c r="BN26" s="19">
        <f>'D2C Online'!CL50</f>
        <v>22382213.628398106</v>
      </c>
      <c r="BO26" s="19">
        <f>'D2C Online'!CM50</f>
        <v>22610012.129042439</v>
      </c>
      <c r="BP26" s="19">
        <f>'D2C Online'!CN50</f>
        <v>22593837.087576572</v>
      </c>
      <c r="BQ26" s="19">
        <f>'D2C Online'!CO50</f>
        <v>22934860.878482006</v>
      </c>
      <c r="BR26" s="19">
        <f>'D2C Online'!CP50</f>
        <v>21611203.318524946</v>
      </c>
      <c r="BS26" s="19">
        <f>'D2C Online'!CQ50</f>
        <v>23641171.022491675</v>
      </c>
      <c r="BT26" s="19">
        <f>'D2C Online'!CR50</f>
        <v>22987429.763246082</v>
      </c>
      <c r="BU26" s="19">
        <f>'D2C Online'!CS50</f>
        <v>23041346.568132319</v>
      </c>
      <c r="BV26" s="19">
        <f>'D2C Online'!CT50</f>
        <v>28283407.923196465</v>
      </c>
      <c r="BW26" s="19">
        <f>'D2C Online'!CU50</f>
        <v>30475126.041821897</v>
      </c>
      <c r="BX26" s="19">
        <f>'D2C Online'!CV50</f>
        <v>26126735.727747086</v>
      </c>
      <c r="BY26" s="19">
        <f>'D2C Online'!CW50</f>
        <v>28232186.95855454</v>
      </c>
      <c r="BZ26" s="19">
        <f>'D2C Online'!CX50</f>
        <v>26511732.042837553</v>
      </c>
      <c r="CA26" s="19">
        <f>'D2C Online'!CY50</f>
        <v>26781559.366850775</v>
      </c>
      <c r="CB26" s="19">
        <f>'D2C Online'!CZ50</f>
        <v>26762400.030234452</v>
      </c>
      <c r="CC26" s="19">
        <f>'D2C Online'!DA50</f>
        <v>27166342.710561939</v>
      </c>
      <c r="CD26" s="19">
        <f>'D2C Online'!DB50</f>
        <v>25598470.3307928</v>
      </c>
      <c r="CE26" s="19">
        <f>'D2C Online'!DC50</f>
        <v>28002967.076141391</v>
      </c>
      <c r="CF26" s="19">
        <f>'D2C Online'!DD50</f>
        <v>27228610.554564986</v>
      </c>
      <c r="CG26" s="19">
        <f>'D2C Online'!DE50</f>
        <v>27292475.009952731</v>
      </c>
      <c r="CH26" s="19">
        <f>'D2C Online'!DF50</f>
        <v>33501696.685026214</v>
      </c>
      <c r="CI26" s="19">
        <f>'D2C Online'!DG50</f>
        <v>36097786.79653804</v>
      </c>
      <c r="CJ26" s="19">
        <f>'D2C Online'!DH50</f>
        <v>30947118.469516423</v>
      </c>
      <c r="CK26" s="19">
        <f>'D2C Online'!DI50</f>
        <v>33441025.452407856</v>
      </c>
      <c r="CL26" s="19">
        <f>'D2C Online'!DJ50</f>
        <v>31403146.604741074</v>
      </c>
      <c r="CM26" s="19">
        <f>'D2C Online'!DK50</f>
        <v>31722757.070034739</v>
      </c>
      <c r="CN26" s="19">
        <f>'D2C Online'!DL50</f>
        <v>31700062.835812703</v>
      </c>
      <c r="CO26" s="19">
        <f>'D2C Online'!DM50</f>
        <v>32178532.940660611</v>
      </c>
      <c r="CP26" s="19">
        <f>'D2C Online'!DN50</f>
        <v>30321388.10682407</v>
      </c>
      <c r="CQ26" s="19">
        <f>'D2C Online'!DO50</f>
        <v>33169514.501689471</v>
      </c>
      <c r="CR26" s="19">
        <f>'D2C Online'!DP50</f>
        <v>32252289.201882217</v>
      </c>
      <c r="CS26" s="19">
        <f>'D2C Online'!DQ50</f>
        <v>32327936.649289001</v>
      </c>
      <c r="CT26" s="19">
        <f>'D2C Online'!DR50</f>
        <v>39682759.723413549</v>
      </c>
      <c r="CU26" s="19">
        <f>'D2C Online'!DS50</f>
        <v>42757828.460499309</v>
      </c>
      <c r="CV26" s="19">
        <f>'D2C Online'!DT50</f>
        <v>36656861.827142201</v>
      </c>
      <c r="CW26" s="19">
        <f>'D2C Online'!DU50</f>
        <v>39610894.648377098</v>
      </c>
      <c r="CX26" s="168"/>
      <c r="CY26" s="19">
        <f t="shared" si="3"/>
        <v>21049947.233282018</v>
      </c>
      <c r="CZ26" s="19">
        <f t="shared" si="4"/>
        <v>19280822.364239424</v>
      </c>
      <c r="DA26" s="19">
        <f t="shared" si="5"/>
        <v>28996757.083120637</v>
      </c>
      <c r="DB26" s="19">
        <f t="shared" si="6"/>
        <v>31243205.260945007</v>
      </c>
      <c r="DC26" s="19">
        <f t="shared" si="7"/>
        <v>33078169.968014326</v>
      </c>
      <c r="DD26" s="19">
        <f t="shared" si="8"/>
        <v>36446504.275810882</v>
      </c>
      <c r="DE26" s="19">
        <f t="shared" si="9"/>
        <v>39647107.266849138</v>
      </c>
      <c r="DF26" s="19">
        <f t="shared" si="10"/>
        <v>51525115.263903186</v>
      </c>
      <c r="DG26" s="19">
        <f t="shared" si="11"/>
        <v>58310506.198328003</v>
      </c>
      <c r="DH26" s="19">
        <f t="shared" si="12"/>
        <v>58000132.440000094</v>
      </c>
      <c r="DI26" s="19">
        <f t="shared" si="13"/>
        <v>60133138.920000173</v>
      </c>
      <c r="DJ26" s="19">
        <f t="shared" si="14"/>
        <v>64981676.930000141</v>
      </c>
      <c r="DK26" s="19">
        <f t="shared" si="15"/>
        <v>67586062.84501712</v>
      </c>
      <c r="DL26" s="19">
        <f t="shared" si="16"/>
        <v>68187235.219498634</v>
      </c>
      <c r="DM26" s="19">
        <f t="shared" si="17"/>
        <v>74312184.254574865</v>
      </c>
      <c r="DN26" s="19">
        <f t="shared" si="18"/>
        <v>84834048.728123516</v>
      </c>
      <c r="DO26" s="19">
        <f t="shared" si="19"/>
        <v>80055691.43992278</v>
      </c>
      <c r="DP26" s="19">
        <f t="shared" si="20"/>
        <v>80767780.117496133</v>
      </c>
      <c r="DQ26" s="19">
        <f t="shared" si="21"/>
        <v>88022782.249543935</v>
      </c>
      <c r="DR26" s="19">
        <f t="shared" si="22"/>
        <v>100485930.71846232</v>
      </c>
      <c r="DS26" s="19">
        <f t="shared" si="43"/>
        <v>94825966.510588512</v>
      </c>
      <c r="DT26" s="19">
        <f t="shared" si="44"/>
        <v>95669435.54917416</v>
      </c>
      <c r="DU26" s="19">
        <f t="shared" si="45"/>
        <v>104262985.57458477</v>
      </c>
      <c r="DV26" s="19">
        <f t="shared" si="46"/>
        <v>119025584.93601862</v>
      </c>
      <c r="DX26" s="19">
        <f t="shared" si="27"/>
        <v>100570731.94158708</v>
      </c>
      <c r="DY26" s="19">
        <f t="shared" si="28"/>
        <v>160696896.77457756</v>
      </c>
      <c r="DZ26" s="19">
        <f t="shared" si="29"/>
        <v>241425454.4883284</v>
      </c>
      <c r="EA26" s="19">
        <f t="shared" si="30"/>
        <v>294919531.04721415</v>
      </c>
      <c r="EB26" s="19">
        <f t="shared" si="31"/>
        <v>349332184.5254252</v>
      </c>
      <c r="EC26" s="770">
        <f t="shared" si="32"/>
        <v>413783972.57036602</v>
      </c>
    </row>
    <row r="27" spans="2:133" x14ac:dyDescent="0.2">
      <c r="B27" s="155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68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X27" s="19"/>
      <c r="DY27" s="19"/>
      <c r="DZ27" s="19"/>
      <c r="EA27" s="19"/>
      <c r="EB27" s="19"/>
      <c r="EC27" s="770"/>
    </row>
    <row r="28" spans="2:133" x14ac:dyDescent="0.2">
      <c r="B28" s="22" t="s">
        <v>12</v>
      </c>
      <c r="C28" s="20">
        <f>C24/C17</f>
        <v>3.8025965255590322E-2</v>
      </c>
      <c r="D28" s="20">
        <f t="shared" ref="D28:BO28" si="62">D24/D17</f>
        <v>4.0791770727593768E-2</v>
      </c>
      <c r="E28" s="20">
        <f t="shared" si="62"/>
        <v>4.51421009965857E-2</v>
      </c>
      <c r="F28" s="20">
        <f t="shared" si="62"/>
        <v>4.736742115386787E-2</v>
      </c>
      <c r="G28" s="20">
        <f t="shared" si="62"/>
        <v>5.9462132291371511E-2</v>
      </c>
      <c r="H28" s="20">
        <f t="shared" si="62"/>
        <v>5.4272561258154758E-2</v>
      </c>
      <c r="I28" s="20">
        <f t="shared" si="62"/>
        <v>5.9424475389699624E-2</v>
      </c>
      <c r="J28" s="20">
        <f t="shared" si="62"/>
        <v>4.7244412903083448E-2</v>
      </c>
      <c r="K28" s="20">
        <f t="shared" si="62"/>
        <v>4.9767342006096497E-2</v>
      </c>
      <c r="L28" s="20">
        <f t="shared" si="62"/>
        <v>4.9413837110326111E-2</v>
      </c>
      <c r="M28" s="20">
        <f t="shared" si="62"/>
        <v>5.3045469544560554E-2</v>
      </c>
      <c r="N28" s="20">
        <f t="shared" si="62"/>
        <v>5.0789668355185377E-2</v>
      </c>
      <c r="O28" s="20">
        <f t="shared" si="62"/>
        <v>4.9201681908962555E-2</v>
      </c>
      <c r="P28" s="20">
        <f t="shared" si="62"/>
        <v>5.0827233571102047E-2</v>
      </c>
      <c r="Q28" s="20">
        <f t="shared" si="62"/>
        <v>4.9507083728092531E-2</v>
      </c>
      <c r="R28" s="20">
        <f t="shared" si="62"/>
        <v>4.7500935164852362E-2</v>
      </c>
      <c r="S28" s="20">
        <f t="shared" si="62"/>
        <v>4.5252267447206257E-2</v>
      </c>
      <c r="T28" s="20">
        <f t="shared" si="62"/>
        <v>4.5283989939355694E-2</v>
      </c>
      <c r="U28" s="20">
        <f t="shared" si="62"/>
        <v>4.5393326763114979E-2</v>
      </c>
      <c r="V28" s="20">
        <f t="shared" si="62"/>
        <v>4.2791440695351728E-2</v>
      </c>
      <c r="W28" s="20">
        <f t="shared" si="62"/>
        <v>3.9563307969754512E-2</v>
      </c>
      <c r="X28" s="20">
        <f t="shared" si="62"/>
        <v>3.979626690524677E-2</v>
      </c>
      <c r="Y28" s="20">
        <f t="shared" si="62"/>
        <v>3.9944593259122391E-2</v>
      </c>
      <c r="Z28" s="20">
        <f t="shared" si="62"/>
        <v>3.9698145475655054E-2</v>
      </c>
      <c r="AA28" s="20">
        <f t="shared" si="62"/>
        <v>3.9362122419703646E-2</v>
      </c>
      <c r="AB28" s="20">
        <f t="shared" si="62"/>
        <v>4.1281546417106303E-2</v>
      </c>
      <c r="AC28" s="20">
        <f t="shared" si="62"/>
        <v>3.8558054092890259E-2</v>
      </c>
      <c r="AD28" s="20">
        <f t="shared" si="62"/>
        <v>3.7546664632591945E-2</v>
      </c>
      <c r="AE28" s="20">
        <f t="shared" si="62"/>
        <v>4.0521846887636943E-2</v>
      </c>
      <c r="AF28" s="20">
        <f t="shared" si="62"/>
        <v>4.3444460491088403E-2</v>
      </c>
      <c r="AG28" s="20">
        <f t="shared" si="62"/>
        <v>4.2664831449263488E-2</v>
      </c>
      <c r="AH28" s="20">
        <f t="shared" si="62"/>
        <v>4.5224684330599715E-2</v>
      </c>
      <c r="AI28" s="20">
        <f t="shared" si="62"/>
        <v>3.7858823107123372E-2</v>
      </c>
      <c r="AJ28" s="20">
        <f t="shared" si="62"/>
        <v>3.7751726341449618E-2</v>
      </c>
      <c r="AK28" s="20">
        <f t="shared" si="62"/>
        <v>4.2381675729113326E-2</v>
      </c>
      <c r="AL28" s="20">
        <f t="shared" si="62"/>
        <v>4.3453047847313006E-2</v>
      </c>
      <c r="AM28" s="20">
        <f t="shared" si="62"/>
        <v>4.7659321930357476E-2</v>
      </c>
      <c r="AN28" s="20">
        <f t="shared" si="62"/>
        <v>5.5984639552275985E-2</v>
      </c>
      <c r="AO28" s="20">
        <f t="shared" si="62"/>
        <v>5.5884944088813393E-2</v>
      </c>
      <c r="AP28" s="20">
        <f t="shared" si="62"/>
        <v>5.0757750169888365E-2</v>
      </c>
      <c r="AQ28" s="20">
        <f t="shared" si="62"/>
        <v>4.9374745720968477E-2</v>
      </c>
      <c r="AR28" s="20">
        <f t="shared" si="62"/>
        <v>4.9698223241844169E-2</v>
      </c>
      <c r="AS28" s="20">
        <f t="shared" si="62"/>
        <v>4.9452522839154758E-2</v>
      </c>
      <c r="AT28" s="20">
        <f t="shared" si="62"/>
        <v>5.0958722842842696E-2</v>
      </c>
      <c r="AU28" s="20">
        <f t="shared" si="62"/>
        <v>4.9492434864676256E-2</v>
      </c>
      <c r="AV28" s="20">
        <f t="shared" si="62"/>
        <v>5.0725243899855117E-2</v>
      </c>
      <c r="AW28" s="20">
        <f t="shared" si="62"/>
        <v>4.890644054390221E-2</v>
      </c>
      <c r="AX28" s="20">
        <f t="shared" si="62"/>
        <v>4.7857815049045974E-2</v>
      </c>
      <c r="AY28" s="20">
        <f t="shared" si="62"/>
        <v>4.7944787186266387E-2</v>
      </c>
      <c r="AZ28" s="20">
        <f t="shared" si="62"/>
        <v>4.8087955866204374E-2</v>
      </c>
      <c r="BA28" s="20">
        <f t="shared" si="62"/>
        <v>5.1475314592793114E-2</v>
      </c>
      <c r="BB28" s="20">
        <f t="shared" si="62"/>
        <v>5.4433990664560089E-2</v>
      </c>
      <c r="BC28" s="20">
        <f t="shared" si="62"/>
        <v>5.6192377355391634E-2</v>
      </c>
      <c r="BD28" s="20">
        <f t="shared" si="62"/>
        <v>5.3479174420816455E-2</v>
      </c>
      <c r="BE28" s="20">
        <f t="shared" si="62"/>
        <v>5.3194721436968032E-2</v>
      </c>
      <c r="BF28" s="20">
        <f t="shared" si="62"/>
        <v>5.5855563094480525E-2</v>
      </c>
      <c r="BG28" s="20">
        <f t="shared" si="62"/>
        <v>4.972168992229109E-2</v>
      </c>
      <c r="BH28" s="20">
        <f t="shared" si="62"/>
        <v>5.1379865522176459E-2</v>
      </c>
      <c r="BI28" s="20">
        <f t="shared" si="62"/>
        <v>5.1048005775990744E-2</v>
      </c>
      <c r="BJ28" s="20">
        <f t="shared" si="62"/>
        <v>4.9737003997917653E-2</v>
      </c>
      <c r="BK28" s="20">
        <f t="shared" si="62"/>
        <v>5.0120566960820914E-2</v>
      </c>
      <c r="BL28" s="20">
        <f t="shared" si="62"/>
        <v>4.8973392906630442E-2</v>
      </c>
      <c r="BM28" s="20">
        <f t="shared" si="62"/>
        <v>4.7194439600785933E-2</v>
      </c>
      <c r="BN28" s="20">
        <f t="shared" si="62"/>
        <v>4.9987909745145762E-2</v>
      </c>
      <c r="BO28" s="20">
        <f t="shared" si="62"/>
        <v>5.0132943998624994E-2</v>
      </c>
      <c r="BP28" s="20">
        <f t="shared" ref="BP28:EC28" si="63">BP24/BP17</f>
        <v>5.0174054243741502E-2</v>
      </c>
      <c r="BQ28" s="20">
        <f t="shared" si="63"/>
        <v>4.9845645784978153E-2</v>
      </c>
      <c r="BR28" s="20">
        <f t="shared" si="63"/>
        <v>5.0294746163963636E-2</v>
      </c>
      <c r="BS28" s="20">
        <f t="shared" si="63"/>
        <v>5.0906080516812106E-2</v>
      </c>
      <c r="BT28" s="20">
        <f t="shared" si="63"/>
        <v>4.9776766787219179E-2</v>
      </c>
      <c r="BU28" s="20">
        <f t="shared" si="63"/>
        <v>5.0211932756539214E-2</v>
      </c>
      <c r="BV28" s="20">
        <f t="shared" si="63"/>
        <v>4.9872223409762766E-2</v>
      </c>
      <c r="BW28" s="20">
        <f t="shared" si="63"/>
        <v>4.995520745452451E-2</v>
      </c>
      <c r="BX28" s="20">
        <f t="shared" si="63"/>
        <v>4.9958865866151211E-2</v>
      </c>
      <c r="BY28" s="20">
        <f t="shared" si="63"/>
        <v>4.9474440300605688E-2</v>
      </c>
      <c r="BZ28" s="20">
        <f t="shared" si="63"/>
        <v>4.9730955750220261E-2</v>
      </c>
      <c r="CA28" s="20">
        <f t="shared" si="63"/>
        <v>4.9867005150167898E-2</v>
      </c>
      <c r="CB28" s="20">
        <f t="shared" si="63"/>
        <v>4.9917690042103148E-2</v>
      </c>
      <c r="CC28" s="20">
        <f t="shared" si="63"/>
        <v>4.9599117295395775E-2</v>
      </c>
      <c r="CD28" s="20">
        <f t="shared" si="63"/>
        <v>5.0034482702958322E-2</v>
      </c>
      <c r="CE28" s="20">
        <f t="shared" si="63"/>
        <v>5.0645696414555762E-2</v>
      </c>
      <c r="CF28" s="20">
        <f t="shared" si="63"/>
        <v>4.9545965100945499E-2</v>
      </c>
      <c r="CG28" s="20">
        <f t="shared" si="63"/>
        <v>4.9981110639538466E-2</v>
      </c>
      <c r="CH28" s="20">
        <f t="shared" si="63"/>
        <v>4.9679140655759117E-2</v>
      </c>
      <c r="CI28" s="20">
        <f t="shared" si="63"/>
        <v>4.9777383030375905E-2</v>
      </c>
      <c r="CJ28" s="20">
        <f t="shared" si="63"/>
        <v>4.977452077953378E-2</v>
      </c>
      <c r="CK28" s="20">
        <f t="shared" si="63"/>
        <v>4.9335045263042505E-2</v>
      </c>
      <c r="CL28" s="20">
        <f t="shared" ref="CL28:CW28" si="64">CL24/CL17</f>
        <v>4.9716862105921023E-2</v>
      </c>
      <c r="CM28" s="20">
        <f t="shared" si="64"/>
        <v>4.9852779775913111E-2</v>
      </c>
      <c r="CN28" s="20">
        <f t="shared" si="64"/>
        <v>4.9903261472518681E-2</v>
      </c>
      <c r="CO28" s="20">
        <f t="shared" si="64"/>
        <v>4.9591797611979113E-2</v>
      </c>
      <c r="CP28" s="20">
        <f t="shared" si="64"/>
        <v>5.0015337359977902E-2</v>
      </c>
      <c r="CQ28" s="20">
        <f t="shared" si="64"/>
        <v>5.06253338818742E-2</v>
      </c>
      <c r="CR28" s="20">
        <f t="shared" si="64"/>
        <v>4.9542291655421657E-2</v>
      </c>
      <c r="CS28" s="20">
        <f t="shared" si="64"/>
        <v>4.997121014981501E-2</v>
      </c>
      <c r="CT28" s="20">
        <f t="shared" si="64"/>
        <v>4.9693295286512208E-2</v>
      </c>
      <c r="CU28" s="20">
        <f t="shared" si="64"/>
        <v>4.9796950607936291E-2</v>
      </c>
      <c r="CV28" s="20">
        <f t="shared" si="64"/>
        <v>4.9781141300602544E-2</v>
      </c>
      <c r="CW28" s="20">
        <f t="shared" si="64"/>
        <v>4.935506448023743E-2</v>
      </c>
      <c r="CX28" s="168"/>
      <c r="CY28" s="20">
        <f t="shared" si="63"/>
        <v>4.059026854057915E-2</v>
      </c>
      <c r="CZ28" s="20">
        <f t="shared" si="63"/>
        <v>4.1898013909582775E-2</v>
      </c>
      <c r="DA28" s="20">
        <f t="shared" si="63"/>
        <v>4.0906057221782262E-2</v>
      </c>
      <c r="DB28" s="20">
        <f t="shared" si="63"/>
        <v>5.3088662263504671E-2</v>
      </c>
      <c r="DC28" s="20">
        <f t="shared" si="63"/>
        <v>4.9930385965545013E-2</v>
      </c>
      <c r="DD28" s="20">
        <f t="shared" si="63"/>
        <v>4.9955294484192961E-2</v>
      </c>
      <c r="DE28" s="20">
        <f t="shared" si="63"/>
        <v>4.912029351882604E-2</v>
      </c>
      <c r="DF28" s="20">
        <f t="shared" si="63"/>
        <v>4.9352691516304649E-2</v>
      </c>
      <c r="DG28" s="20">
        <f t="shared" si="63"/>
        <v>5.4695416838121104E-2</v>
      </c>
      <c r="DH28" s="20">
        <f t="shared" si="63"/>
        <v>5.2858272301339174E-2</v>
      </c>
      <c r="DI28" s="20">
        <f t="shared" si="63"/>
        <v>5.0668661117901331E-2</v>
      </c>
      <c r="DJ28" s="20">
        <f t="shared" si="63"/>
        <v>4.8722687586518369E-2</v>
      </c>
      <c r="DK28" s="20">
        <f t="shared" si="63"/>
        <v>5.0097869763126288E-2</v>
      </c>
      <c r="DL28" s="20">
        <f t="shared" si="63"/>
        <v>5.0330081963964567E-2</v>
      </c>
      <c r="DM28" s="20">
        <f t="shared" si="63"/>
        <v>4.9945264442079237E-2</v>
      </c>
      <c r="DN28" s="20">
        <f t="shared" si="63"/>
        <v>4.9788190115033659E-2</v>
      </c>
      <c r="DO28" s="20">
        <f t="shared" si="63"/>
        <v>4.9838089297622873E-2</v>
      </c>
      <c r="DP28" s="20">
        <f t="shared" si="63"/>
        <v>5.0074004297844178E-2</v>
      </c>
      <c r="DQ28" s="20">
        <f t="shared" si="63"/>
        <v>4.9728306338796796E-2</v>
      </c>
      <c r="DR28" s="20">
        <f t="shared" si="63"/>
        <v>4.9622644379820301E-2</v>
      </c>
      <c r="DS28" s="20">
        <f t="shared" si="63"/>
        <v>4.9823823258457599E-2</v>
      </c>
      <c r="DT28" s="20">
        <f t="shared" si="63"/>
        <v>5.0058888684911949E-2</v>
      </c>
      <c r="DU28" s="20">
        <f t="shared" si="63"/>
        <v>4.9729366072352989E-2</v>
      </c>
      <c r="DV28" s="20">
        <f t="shared" si="63"/>
        <v>4.9638523775190277E-2</v>
      </c>
      <c r="DW28" s="771"/>
      <c r="DX28" s="20">
        <f t="shared" si="63"/>
        <v>4.3898157129710229E-2</v>
      </c>
      <c r="DY28" s="20">
        <f t="shared" si="63"/>
        <v>4.9555161222693482E-2</v>
      </c>
      <c r="DZ28" s="20">
        <f t="shared" si="63"/>
        <v>5.1421492648345175E-2</v>
      </c>
      <c r="EA28" s="20">
        <f t="shared" si="63"/>
        <v>5.0021775956345861E-2</v>
      </c>
      <c r="EB28" s="20">
        <f t="shared" si="63"/>
        <v>4.9801993307686199E-2</v>
      </c>
      <c r="EC28" s="20">
        <f t="shared" si="63"/>
        <v>4.9800197282189006E-2</v>
      </c>
    </row>
    <row r="29" spans="2:133" x14ac:dyDescent="0.2">
      <c r="B29" s="22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68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X29" s="19"/>
      <c r="DY29" s="19"/>
      <c r="DZ29" s="19"/>
      <c r="EA29" s="19"/>
      <c r="EB29" s="19"/>
      <c r="EC29" s="770"/>
    </row>
    <row r="30" spans="2:133" x14ac:dyDescent="0.2">
      <c r="B30" s="196" t="s">
        <v>13</v>
      </c>
      <c r="C30" s="197">
        <f>SUM(C31:C32)</f>
        <v>41269112.591343224</v>
      </c>
      <c r="D30" s="197">
        <f t="shared" ref="D30:BO30" si="65">SUM(D31:D32)</f>
        <v>39197840.889111854</v>
      </c>
      <c r="E30" s="197">
        <f t="shared" si="65"/>
        <v>44696082.307178065</v>
      </c>
      <c r="F30" s="197">
        <f t="shared" si="65"/>
        <v>25948813.963089794</v>
      </c>
      <c r="G30" s="197">
        <f t="shared" si="65"/>
        <v>4001516.2889830503</v>
      </c>
      <c r="H30" s="197">
        <f t="shared" si="65"/>
        <v>19054409.464540087</v>
      </c>
      <c r="I30" s="197">
        <f t="shared" si="65"/>
        <v>26786767.608115964</v>
      </c>
      <c r="J30" s="197">
        <f t="shared" si="65"/>
        <v>33910846.487011157</v>
      </c>
      <c r="K30" s="197">
        <f t="shared" si="65"/>
        <v>45665876.411791414</v>
      </c>
      <c r="L30" s="197">
        <f t="shared" si="65"/>
        <v>53003465.734232552</v>
      </c>
      <c r="M30" s="197">
        <f t="shared" si="65"/>
        <v>84838219.215397388</v>
      </c>
      <c r="N30" s="197">
        <f t="shared" si="65"/>
        <v>99475152.281986371</v>
      </c>
      <c r="O30" s="197">
        <f t="shared" si="65"/>
        <v>105831954.48944713</v>
      </c>
      <c r="P30" s="197">
        <f t="shared" si="65"/>
        <v>114887130.04088444</v>
      </c>
      <c r="Q30" s="197">
        <f t="shared" si="65"/>
        <v>121344829.1131333</v>
      </c>
      <c r="R30" s="197">
        <f t="shared" si="65"/>
        <v>108730375.72664323</v>
      </c>
      <c r="S30" s="197">
        <f t="shared" si="65"/>
        <v>134828700.26155958</v>
      </c>
      <c r="T30" s="197">
        <f t="shared" si="65"/>
        <v>172946221.19405144</v>
      </c>
      <c r="U30" s="197">
        <f t="shared" si="65"/>
        <v>169136323.83043858</v>
      </c>
      <c r="V30" s="197">
        <f t="shared" si="65"/>
        <v>165809178.70682913</v>
      </c>
      <c r="W30" s="197">
        <f t="shared" si="65"/>
        <v>161898243.81529984</v>
      </c>
      <c r="X30" s="197">
        <f t="shared" si="65"/>
        <v>203372269.37402803</v>
      </c>
      <c r="Y30" s="197">
        <f t="shared" si="65"/>
        <v>198757694.33766577</v>
      </c>
      <c r="Z30" s="197">
        <f t="shared" si="65"/>
        <v>233766612.96099496</v>
      </c>
      <c r="AA30" s="197">
        <f t="shared" si="65"/>
        <v>264712066.78071445</v>
      </c>
      <c r="AB30" s="197">
        <f t="shared" si="65"/>
        <v>282415087.96042168</v>
      </c>
      <c r="AC30" s="197">
        <f t="shared" si="65"/>
        <v>399401217.09562874</v>
      </c>
      <c r="AD30" s="197">
        <f t="shared" si="65"/>
        <v>453766634.92419934</v>
      </c>
      <c r="AE30" s="197">
        <f t="shared" si="65"/>
        <v>468994508.89911604</v>
      </c>
      <c r="AF30" s="197">
        <f t="shared" si="65"/>
        <v>492123317.81489396</v>
      </c>
      <c r="AG30" s="197">
        <f t="shared" si="65"/>
        <v>397043369.59849465</v>
      </c>
      <c r="AH30" s="197">
        <f t="shared" si="65"/>
        <v>416633403.6125226</v>
      </c>
      <c r="AI30" s="197">
        <f t="shared" si="65"/>
        <v>421540610.95389223</v>
      </c>
      <c r="AJ30" s="197">
        <f t="shared" si="65"/>
        <v>630407784.7709713</v>
      </c>
      <c r="AK30" s="197">
        <f t="shared" si="65"/>
        <v>527148664.89801544</v>
      </c>
      <c r="AL30" s="197">
        <f t="shared" si="65"/>
        <v>471039322.23427129</v>
      </c>
      <c r="AM30" s="197">
        <f t="shared" si="65"/>
        <v>446168909.25798368</v>
      </c>
      <c r="AN30" s="197">
        <f t="shared" si="65"/>
        <v>369192131.37807834</v>
      </c>
      <c r="AO30" s="197">
        <f t="shared" si="65"/>
        <v>476416560.66249943</v>
      </c>
      <c r="AP30" s="197">
        <f t="shared" si="65"/>
        <v>485446810.47491896</v>
      </c>
      <c r="AQ30" s="197">
        <f t="shared" si="65"/>
        <v>502294001.72081214</v>
      </c>
      <c r="AR30" s="197">
        <f t="shared" si="65"/>
        <v>530187727.38525641</v>
      </c>
      <c r="AS30" s="197">
        <f t="shared" si="65"/>
        <v>522014968.09673804</v>
      </c>
      <c r="AT30" s="197">
        <f t="shared" si="65"/>
        <v>461691468.06199026</v>
      </c>
      <c r="AU30" s="197">
        <f t="shared" si="65"/>
        <v>435438235.47616506</v>
      </c>
      <c r="AV30" s="197">
        <f t="shared" si="65"/>
        <v>542825007.55264688</v>
      </c>
      <c r="AW30" s="197">
        <f t="shared" si="65"/>
        <v>508409492.07351375</v>
      </c>
      <c r="AX30" s="197">
        <f t="shared" si="65"/>
        <v>605946222.66670895</v>
      </c>
      <c r="AY30" s="197">
        <f t="shared" si="65"/>
        <v>648424046.76014769</v>
      </c>
      <c r="AZ30" s="197">
        <f t="shared" si="65"/>
        <v>618558891.60121965</v>
      </c>
      <c r="BA30" s="197">
        <f t="shared" si="65"/>
        <v>795743380.00617075</v>
      </c>
      <c r="BB30" s="197">
        <f t="shared" si="65"/>
        <v>730926791.50915992</v>
      </c>
      <c r="BC30" s="197">
        <f t="shared" si="65"/>
        <v>713117184.77056944</v>
      </c>
      <c r="BD30" s="197">
        <f t="shared" si="65"/>
        <v>722965027.87862396</v>
      </c>
      <c r="BE30" s="197">
        <f t="shared" si="65"/>
        <v>776751182.2474575</v>
      </c>
      <c r="BF30" s="197">
        <f t="shared" si="65"/>
        <v>662266779.86000085</v>
      </c>
      <c r="BG30" s="197">
        <f t="shared" si="65"/>
        <v>720592617.51670122</v>
      </c>
      <c r="BH30" s="197">
        <f t="shared" si="65"/>
        <v>836598644.91748798</v>
      </c>
      <c r="BI30" s="197">
        <f t="shared" si="65"/>
        <v>776101302.63059998</v>
      </c>
      <c r="BJ30" s="197">
        <f t="shared" si="65"/>
        <v>956188359.45499492</v>
      </c>
      <c r="BK30" s="197">
        <f t="shared" si="65"/>
        <v>1038251091.4506381</v>
      </c>
      <c r="BL30" s="197">
        <f t="shared" si="65"/>
        <v>937204194.63775456</v>
      </c>
      <c r="BM30" s="197">
        <f t="shared" si="65"/>
        <v>1106641271.4014487</v>
      </c>
      <c r="BN30" s="197">
        <f t="shared" si="65"/>
        <v>976243208.07623196</v>
      </c>
      <c r="BO30" s="197">
        <f t="shared" si="65"/>
        <v>966219260.95797396</v>
      </c>
      <c r="BP30" s="197">
        <f t="shared" ref="BP30:CK30" si="66">SUM(BP31:BP32)</f>
        <v>963959474.91404986</v>
      </c>
      <c r="BQ30" s="197">
        <f t="shared" si="66"/>
        <v>1021890973.7109311</v>
      </c>
      <c r="BR30" s="197">
        <f t="shared" si="66"/>
        <v>925577541.94905007</v>
      </c>
      <c r="BS30" s="197">
        <f t="shared" si="66"/>
        <v>915233948.95411646</v>
      </c>
      <c r="BT30" s="197">
        <f t="shared" si="66"/>
        <v>1044995484.4064116</v>
      </c>
      <c r="BU30" s="197">
        <f t="shared" si="66"/>
        <v>988992928.23579907</v>
      </c>
      <c r="BV30" s="197">
        <f t="shared" si="66"/>
        <v>1201595916.4393988</v>
      </c>
      <c r="BW30" s="197">
        <f t="shared" si="66"/>
        <v>1257427967.2386146</v>
      </c>
      <c r="BX30" s="197">
        <f t="shared" si="66"/>
        <v>1127124522.6655588</v>
      </c>
      <c r="BY30" s="197">
        <f t="shared" si="66"/>
        <v>1283154432.4512205</v>
      </c>
      <c r="BZ30" s="197">
        <f t="shared" si="66"/>
        <v>1183903989.1662555</v>
      </c>
      <c r="CA30" s="197">
        <f t="shared" si="66"/>
        <v>1173323713.971802</v>
      </c>
      <c r="CB30" s="197">
        <f t="shared" si="66"/>
        <v>1166886880.5524766</v>
      </c>
      <c r="CC30" s="197">
        <f t="shared" si="66"/>
        <v>1237001992.4743171</v>
      </c>
      <c r="CD30" s="197">
        <f t="shared" si="66"/>
        <v>1118885793.9429667</v>
      </c>
      <c r="CE30" s="197">
        <f t="shared" si="66"/>
        <v>1103707688.2286832</v>
      </c>
      <c r="CF30" s="197">
        <f t="shared" si="66"/>
        <v>1259210243.3326926</v>
      </c>
      <c r="CG30" s="197">
        <f t="shared" si="66"/>
        <v>1187584326.9380429</v>
      </c>
      <c r="CH30" s="197">
        <f t="shared" si="66"/>
        <v>1438972620.5865545</v>
      </c>
      <c r="CI30" s="197">
        <f t="shared" si="66"/>
        <v>1501737530.0248265</v>
      </c>
      <c r="CJ30" s="197">
        <f t="shared" si="66"/>
        <v>1342752350.4609184</v>
      </c>
      <c r="CK30" s="197">
        <f t="shared" si="66"/>
        <v>1517778385.5759263</v>
      </c>
      <c r="CL30" s="197">
        <f t="shared" ref="CL30:CW30" si="67">SUM(CL31:CL32)</f>
        <v>1372210618.3611002</v>
      </c>
      <c r="CM30" s="197">
        <f t="shared" si="67"/>
        <v>1359565162.5220604</v>
      </c>
      <c r="CN30" s="197">
        <f t="shared" si="67"/>
        <v>1351720454.0549684</v>
      </c>
      <c r="CO30" s="197">
        <f t="shared" si="67"/>
        <v>1431546589.2662876</v>
      </c>
      <c r="CP30" s="197">
        <f t="shared" si="67"/>
        <v>1294956370.1890891</v>
      </c>
      <c r="CQ30" s="197">
        <f t="shared" si="67"/>
        <v>1278669747.7517099</v>
      </c>
      <c r="CR30" s="197">
        <f t="shared" si="67"/>
        <v>1454897201.0594416</v>
      </c>
      <c r="CS30" s="197">
        <f t="shared" si="67"/>
        <v>1372960562.2981658</v>
      </c>
      <c r="CT30" s="197">
        <f t="shared" si="67"/>
        <v>1663637443.4125185</v>
      </c>
      <c r="CU30" s="197">
        <f t="shared" si="67"/>
        <v>1736830253.0368547</v>
      </c>
      <c r="CV30" s="197">
        <f t="shared" si="67"/>
        <v>1551416012.5711522</v>
      </c>
      <c r="CW30" s="197">
        <f t="shared" si="67"/>
        <v>1752092139.6651545</v>
      </c>
      <c r="CX30" s="168"/>
      <c r="CY30" s="197">
        <f t="shared" ref="CY30:CY32" si="68">SUM(AD30:AF30)</f>
        <v>1414884461.6382093</v>
      </c>
      <c r="CZ30" s="197">
        <f t="shared" ref="CZ30:CZ32" si="69">SUM(AG30:AI30)</f>
        <v>1235217384.1649094</v>
      </c>
      <c r="DA30" s="197">
        <f t="shared" ref="DA30:DA32" si="70">SUM(AJ30:AL30)</f>
        <v>1628595771.9032581</v>
      </c>
      <c r="DB30" s="197">
        <f t="shared" ref="DB30:DB32" si="71">SUM(AM30:AO30)</f>
        <v>1291777601.2985616</v>
      </c>
      <c r="DC30" s="197">
        <f t="shared" ref="DC30:DC32" si="72">SUM(AP30:AR30)</f>
        <v>1517928539.5809875</v>
      </c>
      <c r="DD30" s="197">
        <f t="shared" ref="DD30:DD32" si="73">SUM(AS30:AU30)</f>
        <v>1419144671.6348934</v>
      </c>
      <c r="DE30" s="197">
        <f t="shared" ref="DE30:DE32" si="74">SUM(AV30:AX30)</f>
        <v>1657180722.2928696</v>
      </c>
      <c r="DF30" s="197">
        <f t="shared" ref="DF30:DF32" si="75">SUM(AY30:BA30)</f>
        <v>2062726318.367538</v>
      </c>
      <c r="DG30" s="197">
        <f t="shared" ref="DG30:DG32" si="76">SUM(BB30:BD30)</f>
        <v>2167009004.1583533</v>
      </c>
      <c r="DH30" s="197">
        <f t="shared" ref="DH30:DH32" si="77">SUM(BE30:BG30)</f>
        <v>2159610579.6241598</v>
      </c>
      <c r="DI30" s="197">
        <f t="shared" ref="DI30:DI32" si="78">SUM(BH30:BJ30)</f>
        <v>2568888307.0030832</v>
      </c>
      <c r="DJ30" s="197">
        <f t="shared" ref="DJ30:DJ32" si="79">SUM(BK30:BM30)</f>
        <v>3082096557.4898415</v>
      </c>
      <c r="DK30" s="197">
        <f t="shared" ref="DK30:DK32" si="80">SUM(BN30:BP30)</f>
        <v>2906421943.9482555</v>
      </c>
      <c r="DL30" s="197">
        <f t="shared" ref="DL30:DL32" si="81">SUM(BQ30:BS30)</f>
        <v>2862702464.6140976</v>
      </c>
      <c r="DM30" s="197">
        <f t="shared" ref="DM30:DM32" si="82">SUM(BT30:BV30)</f>
        <v>3235584329.0816097</v>
      </c>
      <c r="DN30" s="197">
        <f t="shared" ref="DN30:DN32" si="83">SUM(BW30:BY30)</f>
        <v>3667706922.3553939</v>
      </c>
      <c r="DO30" s="197">
        <f t="shared" ref="DO30:DO32" si="84">SUM(BZ30:CB30)</f>
        <v>3524114583.6905346</v>
      </c>
      <c r="DP30" s="197">
        <f t="shared" ref="DP30:DP32" si="85">SUM(CC30:CE30)</f>
        <v>3459595474.6459675</v>
      </c>
      <c r="DQ30" s="197">
        <f t="shared" ref="DQ30:DQ32" si="86">SUM(CF30:CH30)</f>
        <v>3885767190.8572903</v>
      </c>
      <c r="DR30" s="197">
        <f t="shared" ref="DR30:DR32" si="87">SUM(CI30:CK30)</f>
        <v>4362268266.0616713</v>
      </c>
      <c r="DS30" s="197">
        <f t="shared" ref="DS30:DS32" si="88">SUM(CL30:CN30)</f>
        <v>4083496234.9381289</v>
      </c>
      <c r="DT30" s="197">
        <f t="shared" ref="DT30:DT32" si="89">SUM(CO30:CQ30)</f>
        <v>4005172707.2070866</v>
      </c>
      <c r="DU30" s="197">
        <f t="shared" ref="DU30:DU32" si="90">SUM(CR30:CT30)</f>
        <v>4491495206.7701263</v>
      </c>
      <c r="DV30" s="197">
        <f t="shared" ref="DV30:DV32" si="91">SUM(CU30:CW30)</f>
        <v>5040338405.2731609</v>
      </c>
      <c r="DX30" s="197">
        <f t="shared" ref="DX30:DX32" si="92">SUM(CY30:DB30)</f>
        <v>5570475219.0049381</v>
      </c>
      <c r="DY30" s="197">
        <f t="shared" ref="DY30:DY32" si="93">SUM(DC30:DF30)</f>
        <v>6656980251.8762894</v>
      </c>
      <c r="DZ30" s="197">
        <f t="shared" ref="DZ30:DZ32" si="94">SUM(DG30:DJ30)</f>
        <v>9977604448.2754364</v>
      </c>
      <c r="EA30" s="197">
        <f t="shared" ref="EA30:EA32" si="95">SUM(DK30:DN30)</f>
        <v>12672415659.999357</v>
      </c>
      <c r="EB30" s="197">
        <f t="shared" ref="EB30:EB32" si="96">SUM(DO30:DR30)</f>
        <v>15231745515.255463</v>
      </c>
      <c r="EC30" s="811">
        <f t="shared" ref="EC30:EC32" si="97">SUM(DS30:DV30)</f>
        <v>17620502554.188503</v>
      </c>
    </row>
    <row r="31" spans="2:133" x14ac:dyDescent="0.2">
      <c r="B31" s="155" t="s">
        <v>229</v>
      </c>
      <c r="C31" s="19">
        <f>C18-C25</f>
        <v>37256610.594733052</v>
      </c>
      <c r="D31" s="19">
        <f t="shared" ref="D31:BO31" si="98">D18-D25</f>
        <v>35796749.915932193</v>
      </c>
      <c r="E31" s="19">
        <f t="shared" si="98"/>
        <v>39690908.973576367</v>
      </c>
      <c r="F31" s="19">
        <f t="shared" si="98"/>
        <v>22531479.681013525</v>
      </c>
      <c r="G31" s="19">
        <f t="shared" si="98"/>
        <v>621845.61694915278</v>
      </c>
      <c r="H31" s="19">
        <f t="shared" si="98"/>
        <v>14382841.150557041</v>
      </c>
      <c r="I31" s="19">
        <f t="shared" si="98"/>
        <v>21661483.173031218</v>
      </c>
      <c r="J31" s="19">
        <f t="shared" si="98"/>
        <v>28829467.065485731</v>
      </c>
      <c r="K31" s="19">
        <f t="shared" si="98"/>
        <v>39302698.775866009</v>
      </c>
      <c r="L31" s="19">
        <f t="shared" si="98"/>
        <v>49893326.945385091</v>
      </c>
      <c r="M31" s="19">
        <f t="shared" si="98"/>
        <v>72143219.133099005</v>
      </c>
      <c r="N31" s="19">
        <f t="shared" si="98"/>
        <v>85593509.026671112</v>
      </c>
      <c r="O31" s="19">
        <f t="shared" si="98"/>
        <v>84117439.529153913</v>
      </c>
      <c r="P31" s="19">
        <f t="shared" si="98"/>
        <v>91354554.71317257</v>
      </c>
      <c r="Q31" s="19">
        <f t="shared" si="98"/>
        <v>103260389.28736855</v>
      </c>
      <c r="R31" s="19">
        <f t="shared" si="98"/>
        <v>90987132.009789005</v>
      </c>
      <c r="S31" s="19">
        <f t="shared" si="98"/>
        <v>112257195.14155957</v>
      </c>
      <c r="T31" s="19">
        <f t="shared" si="98"/>
        <v>135589777.90662771</v>
      </c>
      <c r="U31" s="19">
        <f t="shared" si="98"/>
        <v>138152647.2644856</v>
      </c>
      <c r="V31" s="19">
        <f t="shared" si="98"/>
        <v>144179337.2394765</v>
      </c>
      <c r="W31" s="19">
        <f t="shared" si="98"/>
        <v>138695458.5780116</v>
      </c>
      <c r="X31" s="19">
        <f t="shared" si="98"/>
        <v>156747913.63551939</v>
      </c>
      <c r="Y31" s="19">
        <f t="shared" si="98"/>
        <v>162733287.85715729</v>
      </c>
      <c r="Z31" s="19">
        <f t="shared" si="98"/>
        <v>199907510.14357099</v>
      </c>
      <c r="AA31" s="19">
        <f t="shared" si="98"/>
        <v>219710757.16367683</v>
      </c>
      <c r="AB31" s="19">
        <f t="shared" si="98"/>
        <v>217911199.97997734</v>
      </c>
      <c r="AC31" s="19">
        <f t="shared" si="98"/>
        <v>279496364.88393301</v>
      </c>
      <c r="AD31" s="19">
        <f t="shared" si="98"/>
        <v>299384838.65871203</v>
      </c>
      <c r="AE31" s="19">
        <f t="shared" si="98"/>
        <v>315822171.68405956</v>
      </c>
      <c r="AF31" s="19">
        <f t="shared" si="98"/>
        <v>307565429.82327205</v>
      </c>
      <c r="AG31" s="19">
        <f t="shared" si="98"/>
        <v>267727256.42488205</v>
      </c>
      <c r="AH31" s="19">
        <f t="shared" si="98"/>
        <v>265586430.97441</v>
      </c>
      <c r="AI31" s="19">
        <f t="shared" si="98"/>
        <v>252402908.24486059</v>
      </c>
      <c r="AJ31" s="19">
        <f t="shared" si="98"/>
        <v>364382385.3273297</v>
      </c>
      <c r="AK31" s="19">
        <f t="shared" si="98"/>
        <v>320622383.80681396</v>
      </c>
      <c r="AL31" s="19">
        <f t="shared" si="98"/>
        <v>275949169.25408685</v>
      </c>
      <c r="AM31" s="19">
        <f t="shared" si="98"/>
        <v>247585382.7787039</v>
      </c>
      <c r="AN31" s="19">
        <f t="shared" si="98"/>
        <v>224446978.21187407</v>
      </c>
      <c r="AO31" s="19">
        <f t="shared" si="98"/>
        <v>271380901.81655037</v>
      </c>
      <c r="AP31" s="19">
        <f t="shared" si="98"/>
        <v>287896322.22383714</v>
      </c>
      <c r="AQ31" s="19">
        <f t="shared" si="98"/>
        <v>287644384.25812042</v>
      </c>
      <c r="AR31" s="19">
        <f t="shared" si="98"/>
        <v>307351435.52079612</v>
      </c>
      <c r="AS31" s="19">
        <f t="shared" si="98"/>
        <v>288651700.4742626</v>
      </c>
      <c r="AT31" s="19">
        <f t="shared" si="98"/>
        <v>242229666.09302434</v>
      </c>
      <c r="AU31" s="19">
        <f t="shared" si="98"/>
        <v>207366722.88939744</v>
      </c>
      <c r="AV31" s="19">
        <f t="shared" si="98"/>
        <v>299103287.22222507</v>
      </c>
      <c r="AW31" s="19">
        <f t="shared" si="98"/>
        <v>294836004.2120747</v>
      </c>
      <c r="AX31" s="19">
        <f t="shared" si="98"/>
        <v>351215484.3363775</v>
      </c>
      <c r="AY31" s="19">
        <f t="shared" si="98"/>
        <v>362447347.44148612</v>
      </c>
      <c r="AZ31" s="19">
        <f t="shared" si="98"/>
        <v>344074355.27270591</v>
      </c>
      <c r="BA31" s="19">
        <f t="shared" si="98"/>
        <v>427881357.20428503</v>
      </c>
      <c r="BB31" s="19">
        <f t="shared" si="98"/>
        <v>416340150.99052358</v>
      </c>
      <c r="BC31" s="19">
        <f t="shared" si="98"/>
        <v>395745213.23942339</v>
      </c>
      <c r="BD31" s="19">
        <f t="shared" si="98"/>
        <v>409788249.96173704</v>
      </c>
      <c r="BE31" s="19">
        <f t="shared" si="98"/>
        <v>448609511.96000105</v>
      </c>
      <c r="BF31" s="19">
        <f t="shared" si="98"/>
        <v>371931954.44000167</v>
      </c>
      <c r="BG31" s="19">
        <f t="shared" si="98"/>
        <v>349198855.12999743</v>
      </c>
      <c r="BH31" s="19">
        <f t="shared" si="98"/>
        <v>519103976.5299961</v>
      </c>
      <c r="BI31" s="19">
        <f t="shared" si="98"/>
        <v>461351431.93000001</v>
      </c>
      <c r="BJ31" s="19">
        <f t="shared" si="98"/>
        <v>577255366.54999566</v>
      </c>
      <c r="BK31" s="19">
        <f t="shared" si="98"/>
        <v>616358895.95999849</v>
      </c>
      <c r="BL31" s="19">
        <f t="shared" si="98"/>
        <v>596732645.29999506</v>
      </c>
      <c r="BM31" s="19">
        <f t="shared" si="98"/>
        <v>703597010.53999901</v>
      </c>
      <c r="BN31" s="19">
        <f t="shared" si="98"/>
        <v>597109261.85769856</v>
      </c>
      <c r="BO31" s="19">
        <f t="shared" si="98"/>
        <v>583226619.35185063</v>
      </c>
      <c r="BP31" s="19">
        <f t="shared" ref="BP31:CK31" si="99">BP18-BP25</f>
        <v>581240823.51296246</v>
      </c>
      <c r="BQ31" s="19">
        <f t="shared" si="99"/>
        <v>633395695.4870019</v>
      </c>
      <c r="BR31" s="19">
        <f t="shared" si="99"/>
        <v>559503795.50389838</v>
      </c>
      <c r="BS31" s="19">
        <f t="shared" si="99"/>
        <v>514774431.7769497</v>
      </c>
      <c r="BT31" s="19">
        <f t="shared" si="99"/>
        <v>655609738.01611555</v>
      </c>
      <c r="BU31" s="19">
        <f t="shared" si="99"/>
        <v>598693881.16204977</v>
      </c>
      <c r="BV31" s="19">
        <f t="shared" si="99"/>
        <v>722501210.41690671</v>
      </c>
      <c r="BW31" s="19">
        <f t="shared" si="99"/>
        <v>741207588.43374753</v>
      </c>
      <c r="BX31" s="19">
        <f t="shared" si="99"/>
        <v>684561843.98119676</v>
      </c>
      <c r="BY31" s="19">
        <f t="shared" si="99"/>
        <v>804927362.07800901</v>
      </c>
      <c r="BZ31" s="19">
        <f t="shared" si="99"/>
        <v>734819829.87040269</v>
      </c>
      <c r="CA31" s="19">
        <f t="shared" si="99"/>
        <v>719668929.98934889</v>
      </c>
      <c r="CB31" s="19">
        <f t="shared" si="99"/>
        <v>713556637.96788871</v>
      </c>
      <c r="CC31" s="19">
        <f t="shared" si="99"/>
        <v>776829335.41807282</v>
      </c>
      <c r="CD31" s="19">
        <f t="shared" si="99"/>
        <v>685271441.2786845</v>
      </c>
      <c r="CE31" s="19">
        <f t="shared" si="99"/>
        <v>629363390.13232911</v>
      </c>
      <c r="CF31" s="19">
        <f t="shared" si="99"/>
        <v>797982826.73338699</v>
      </c>
      <c r="CG31" s="19">
        <f t="shared" si="99"/>
        <v>725275105.67918682</v>
      </c>
      <c r="CH31" s="19">
        <f t="shared" si="99"/>
        <v>871484941.30291235</v>
      </c>
      <c r="CI31" s="19">
        <f t="shared" si="99"/>
        <v>890274491.3304615</v>
      </c>
      <c r="CJ31" s="19">
        <f t="shared" si="99"/>
        <v>818536857.55929184</v>
      </c>
      <c r="CK31" s="19">
        <f t="shared" si="99"/>
        <v>951318420.71885717</v>
      </c>
      <c r="CL31" s="19">
        <f t="shared" ref="CL31:CW31" si="100">CL18-CL25</f>
        <v>840270431.67516267</v>
      </c>
      <c r="CM31" s="19">
        <f t="shared" si="100"/>
        <v>822211070.89484477</v>
      </c>
      <c r="CN31" s="19">
        <f t="shared" si="100"/>
        <v>814750781.71352386</v>
      </c>
      <c r="CO31" s="19">
        <f t="shared" si="100"/>
        <v>886472076.98316646</v>
      </c>
      <c r="CP31" s="19">
        <f t="shared" si="100"/>
        <v>781340169.45824683</v>
      </c>
      <c r="CQ31" s="19">
        <f t="shared" si="100"/>
        <v>716808926.65657842</v>
      </c>
      <c r="CR31" s="19">
        <f t="shared" si="100"/>
        <v>908573326.09756398</v>
      </c>
      <c r="CS31" s="19">
        <f t="shared" si="100"/>
        <v>825355289.71705091</v>
      </c>
      <c r="CT31" s="19">
        <f t="shared" si="100"/>
        <v>991448287.30104458</v>
      </c>
      <c r="CU31" s="19">
        <f t="shared" si="100"/>
        <v>1012552283.7033793</v>
      </c>
      <c r="CV31" s="19">
        <f t="shared" si="100"/>
        <v>930482761.22917533</v>
      </c>
      <c r="CW31" s="19">
        <f t="shared" si="100"/>
        <v>1081120311.2919559</v>
      </c>
      <c r="CX31" s="168"/>
      <c r="CY31" s="19">
        <f t="shared" si="68"/>
        <v>922772440.16604352</v>
      </c>
      <c r="CZ31" s="19">
        <f t="shared" si="69"/>
        <v>785716595.64415264</v>
      </c>
      <c r="DA31" s="19">
        <f t="shared" si="70"/>
        <v>960953938.38823044</v>
      </c>
      <c r="DB31" s="19">
        <f t="shared" si="71"/>
        <v>743413262.80712831</v>
      </c>
      <c r="DC31" s="19">
        <f t="shared" si="72"/>
        <v>882892142.00275373</v>
      </c>
      <c r="DD31" s="19">
        <f t="shared" si="73"/>
        <v>738248089.45668435</v>
      </c>
      <c r="DE31" s="19">
        <f t="shared" si="74"/>
        <v>945154775.77067721</v>
      </c>
      <c r="DF31" s="19">
        <f t="shared" si="75"/>
        <v>1134403059.9184771</v>
      </c>
      <c r="DG31" s="19">
        <f t="shared" si="76"/>
        <v>1221873614.191684</v>
      </c>
      <c r="DH31" s="19">
        <f t="shared" si="77"/>
        <v>1169740321.5300002</v>
      </c>
      <c r="DI31" s="19">
        <f t="shared" si="78"/>
        <v>1557710775.0099916</v>
      </c>
      <c r="DJ31" s="19">
        <f t="shared" si="79"/>
        <v>1916688551.7999926</v>
      </c>
      <c r="DK31" s="19">
        <f t="shared" si="80"/>
        <v>1761576704.7225118</v>
      </c>
      <c r="DL31" s="19">
        <f t="shared" si="81"/>
        <v>1707673922.7678499</v>
      </c>
      <c r="DM31" s="19">
        <f t="shared" si="82"/>
        <v>1976804829.5950723</v>
      </c>
      <c r="DN31" s="19">
        <f t="shared" si="83"/>
        <v>2230696794.4929533</v>
      </c>
      <c r="DO31" s="19">
        <f t="shared" si="84"/>
        <v>2168045397.8276405</v>
      </c>
      <c r="DP31" s="19">
        <f t="shared" si="85"/>
        <v>2091464166.8290863</v>
      </c>
      <c r="DQ31" s="19">
        <f t="shared" si="86"/>
        <v>2394742873.715486</v>
      </c>
      <c r="DR31" s="19">
        <f t="shared" si="87"/>
        <v>2660129769.6086106</v>
      </c>
      <c r="DS31" s="19">
        <f t="shared" si="88"/>
        <v>2477232284.2835312</v>
      </c>
      <c r="DT31" s="19">
        <f t="shared" si="89"/>
        <v>2384621173.0979919</v>
      </c>
      <c r="DU31" s="19">
        <f t="shared" si="90"/>
        <v>2725376903.1156592</v>
      </c>
      <c r="DV31" s="19">
        <f t="shared" si="91"/>
        <v>3024155356.2245107</v>
      </c>
      <c r="DX31" s="19">
        <f t="shared" si="92"/>
        <v>3412856237.0055552</v>
      </c>
      <c r="DY31" s="19">
        <f t="shared" si="93"/>
        <v>3700698067.1485925</v>
      </c>
      <c r="DZ31" s="19">
        <f t="shared" si="94"/>
        <v>5866013262.5316687</v>
      </c>
      <c r="EA31" s="19">
        <f t="shared" si="95"/>
        <v>7676752251.5783873</v>
      </c>
      <c r="EB31" s="19">
        <f t="shared" si="96"/>
        <v>9314382207.9808235</v>
      </c>
      <c r="EC31" s="770">
        <f t="shared" si="97"/>
        <v>10611385716.721693</v>
      </c>
    </row>
    <row r="32" spans="2:133" x14ac:dyDescent="0.2">
      <c r="B32" s="155" t="s">
        <v>237</v>
      </c>
      <c r="C32" s="19">
        <f>C19-C26</f>
        <v>4012501.9966101693</v>
      </c>
      <c r="D32" s="19">
        <f t="shared" ref="D32:BO32" si="101">D19-D26</f>
        <v>3401090.9731796607</v>
      </c>
      <c r="E32" s="19">
        <f t="shared" si="101"/>
        <v>5005173.3336016946</v>
      </c>
      <c r="F32" s="19">
        <f t="shared" si="101"/>
        <v>3417334.2820762713</v>
      </c>
      <c r="G32" s="19">
        <f t="shared" si="101"/>
        <v>3379670.6720338976</v>
      </c>
      <c r="H32" s="19">
        <f t="shared" si="101"/>
        <v>4671568.3139830464</v>
      </c>
      <c r="I32" s="19">
        <f t="shared" si="101"/>
        <v>5125284.4350847453</v>
      </c>
      <c r="J32" s="19">
        <f t="shared" si="101"/>
        <v>5081379.4215254234</v>
      </c>
      <c r="K32" s="19">
        <f t="shared" si="101"/>
        <v>6363177.6359254066</v>
      </c>
      <c r="L32" s="19">
        <f t="shared" si="101"/>
        <v>3110138.7888474581</v>
      </c>
      <c r="M32" s="19">
        <f t="shared" si="101"/>
        <v>12695000.082298389</v>
      </c>
      <c r="N32" s="19">
        <f t="shared" si="101"/>
        <v>13881643.255315254</v>
      </c>
      <c r="O32" s="19">
        <f t="shared" si="101"/>
        <v>21714514.960293222</v>
      </c>
      <c r="P32" s="19">
        <f t="shared" si="101"/>
        <v>23532575.327711865</v>
      </c>
      <c r="Q32" s="19">
        <f t="shared" si="101"/>
        <v>18084439.825764745</v>
      </c>
      <c r="R32" s="19">
        <f t="shared" si="101"/>
        <v>17743243.71685423</v>
      </c>
      <c r="S32" s="19">
        <f t="shared" si="101"/>
        <v>22571505.119999997</v>
      </c>
      <c r="T32" s="19">
        <f t="shared" si="101"/>
        <v>37356443.28742373</v>
      </c>
      <c r="U32" s="19">
        <f t="shared" si="101"/>
        <v>30983676.565952975</v>
      </c>
      <c r="V32" s="19">
        <f t="shared" si="101"/>
        <v>21629841.467352636</v>
      </c>
      <c r="W32" s="19">
        <f t="shared" si="101"/>
        <v>23202785.237288237</v>
      </c>
      <c r="X32" s="19">
        <f t="shared" si="101"/>
        <v>46624355.738508657</v>
      </c>
      <c r="Y32" s="19">
        <f t="shared" si="101"/>
        <v>36024406.480508476</v>
      </c>
      <c r="Z32" s="19">
        <f t="shared" si="101"/>
        <v>33859102.817423955</v>
      </c>
      <c r="AA32" s="19">
        <f t="shared" si="101"/>
        <v>45001309.617037639</v>
      </c>
      <c r="AB32" s="19">
        <f t="shared" si="101"/>
        <v>64503887.980444334</v>
      </c>
      <c r="AC32" s="19">
        <f t="shared" si="101"/>
        <v>119904852.21169575</v>
      </c>
      <c r="AD32" s="19">
        <f t="shared" si="101"/>
        <v>154381796.26548728</v>
      </c>
      <c r="AE32" s="19">
        <f t="shared" si="101"/>
        <v>153172337.21505648</v>
      </c>
      <c r="AF32" s="19">
        <f t="shared" si="101"/>
        <v>184557887.99162194</v>
      </c>
      <c r="AG32" s="19">
        <f t="shared" si="101"/>
        <v>129316113.17361262</v>
      </c>
      <c r="AH32" s="19">
        <f t="shared" si="101"/>
        <v>151046972.63811257</v>
      </c>
      <c r="AI32" s="19">
        <f t="shared" si="101"/>
        <v>169137702.70903161</v>
      </c>
      <c r="AJ32" s="19">
        <f t="shared" si="101"/>
        <v>266025399.4436416</v>
      </c>
      <c r="AK32" s="19">
        <f t="shared" si="101"/>
        <v>206526281.09120148</v>
      </c>
      <c r="AL32" s="19">
        <f t="shared" si="101"/>
        <v>195090152.98018441</v>
      </c>
      <c r="AM32" s="19">
        <f t="shared" si="101"/>
        <v>198583526.47927979</v>
      </c>
      <c r="AN32" s="19">
        <f t="shared" si="101"/>
        <v>144745153.16620427</v>
      </c>
      <c r="AO32" s="19">
        <f t="shared" si="101"/>
        <v>205035658.84594908</v>
      </c>
      <c r="AP32" s="19">
        <f t="shared" si="101"/>
        <v>197550488.25108179</v>
      </c>
      <c r="AQ32" s="19">
        <f t="shared" si="101"/>
        <v>214649617.46269172</v>
      </c>
      <c r="AR32" s="19">
        <f t="shared" si="101"/>
        <v>222836291.86446032</v>
      </c>
      <c r="AS32" s="19">
        <f t="shared" si="101"/>
        <v>233363267.62247545</v>
      </c>
      <c r="AT32" s="19">
        <f t="shared" si="101"/>
        <v>219461801.96896589</v>
      </c>
      <c r="AU32" s="19">
        <f t="shared" si="101"/>
        <v>228071512.58676764</v>
      </c>
      <c r="AV32" s="19">
        <f t="shared" si="101"/>
        <v>243721720.33042181</v>
      </c>
      <c r="AW32" s="19">
        <f t="shared" si="101"/>
        <v>213573487.86143905</v>
      </c>
      <c r="AX32" s="19">
        <f t="shared" si="101"/>
        <v>254730738.33033139</v>
      </c>
      <c r="AY32" s="19">
        <f t="shared" si="101"/>
        <v>285976699.31866157</v>
      </c>
      <c r="AZ32" s="19">
        <f t="shared" si="101"/>
        <v>274484536.3285138</v>
      </c>
      <c r="BA32" s="19">
        <f t="shared" si="101"/>
        <v>367862022.80188572</v>
      </c>
      <c r="BB32" s="19">
        <f t="shared" si="101"/>
        <v>314586640.51863635</v>
      </c>
      <c r="BC32" s="19">
        <f t="shared" si="101"/>
        <v>317371971.53114605</v>
      </c>
      <c r="BD32" s="19">
        <f t="shared" si="101"/>
        <v>313176777.91688687</v>
      </c>
      <c r="BE32" s="19">
        <f t="shared" si="101"/>
        <v>328141670.28745651</v>
      </c>
      <c r="BF32" s="19">
        <f t="shared" si="101"/>
        <v>290334825.41999924</v>
      </c>
      <c r="BG32" s="19">
        <f t="shared" si="101"/>
        <v>371393762.38670385</v>
      </c>
      <c r="BH32" s="19">
        <f t="shared" si="101"/>
        <v>317494668.38749188</v>
      </c>
      <c r="BI32" s="19">
        <f t="shared" si="101"/>
        <v>314749870.70059991</v>
      </c>
      <c r="BJ32" s="19">
        <f t="shared" si="101"/>
        <v>378932992.90499932</v>
      </c>
      <c r="BK32" s="19">
        <f t="shared" si="101"/>
        <v>421892195.49063957</v>
      </c>
      <c r="BL32" s="19">
        <f t="shared" si="101"/>
        <v>340471549.33775949</v>
      </c>
      <c r="BM32" s="19">
        <f t="shared" si="101"/>
        <v>403044260.86144972</v>
      </c>
      <c r="BN32" s="19">
        <f t="shared" si="101"/>
        <v>379133946.21853334</v>
      </c>
      <c r="BO32" s="19">
        <f t="shared" si="101"/>
        <v>382992641.60612327</v>
      </c>
      <c r="BP32" s="19">
        <f t="shared" ref="BP32:CK32" si="102">BP19-BP26</f>
        <v>382718651.40108734</v>
      </c>
      <c r="BQ32" s="19">
        <f t="shared" si="102"/>
        <v>388495278.22392923</v>
      </c>
      <c r="BR32" s="19">
        <f t="shared" si="102"/>
        <v>366073746.44515169</v>
      </c>
      <c r="BS32" s="19">
        <f t="shared" si="102"/>
        <v>400459517.17716676</v>
      </c>
      <c r="BT32" s="19">
        <f t="shared" si="102"/>
        <v>389385746.3902961</v>
      </c>
      <c r="BU32" s="19">
        <f t="shared" si="102"/>
        <v>390299047.0737493</v>
      </c>
      <c r="BV32" s="19">
        <f t="shared" si="102"/>
        <v>479094706.02249217</v>
      </c>
      <c r="BW32" s="19">
        <f t="shared" si="102"/>
        <v>516220378.80486709</v>
      </c>
      <c r="BX32" s="19">
        <f t="shared" si="102"/>
        <v>442562678.68436193</v>
      </c>
      <c r="BY32" s="19">
        <f t="shared" si="102"/>
        <v>478227070.37321156</v>
      </c>
      <c r="BZ32" s="19">
        <f t="shared" si="102"/>
        <v>449084159.29585272</v>
      </c>
      <c r="CA32" s="19">
        <f t="shared" si="102"/>
        <v>453654783.98245305</v>
      </c>
      <c r="CB32" s="19">
        <f t="shared" si="102"/>
        <v>453330242.58458799</v>
      </c>
      <c r="CC32" s="19">
        <f t="shared" si="102"/>
        <v>460172657.05624413</v>
      </c>
      <c r="CD32" s="19">
        <f t="shared" si="102"/>
        <v>433614352.6642822</v>
      </c>
      <c r="CE32" s="19">
        <f t="shared" si="102"/>
        <v>474344298.09635407</v>
      </c>
      <c r="CF32" s="19">
        <f t="shared" si="102"/>
        <v>461227416.59930569</v>
      </c>
      <c r="CG32" s="19">
        <f t="shared" si="102"/>
        <v>462309221.25885612</v>
      </c>
      <c r="CH32" s="19">
        <f t="shared" si="102"/>
        <v>567487679.28364205</v>
      </c>
      <c r="CI32" s="19">
        <f t="shared" si="102"/>
        <v>611463038.69436514</v>
      </c>
      <c r="CJ32" s="19">
        <f t="shared" si="102"/>
        <v>524215492.90162671</v>
      </c>
      <c r="CK32" s="19">
        <f t="shared" si="102"/>
        <v>566459964.85706913</v>
      </c>
      <c r="CL32" s="19">
        <f t="shared" ref="CL32:CW32" si="103">CL19-CL26</f>
        <v>531940186.6859374</v>
      </c>
      <c r="CM32" s="19">
        <f t="shared" si="103"/>
        <v>537354091.62721562</v>
      </c>
      <c r="CN32" s="19">
        <f t="shared" si="103"/>
        <v>536969672.34144437</v>
      </c>
      <c r="CO32" s="19">
        <f t="shared" si="103"/>
        <v>545074512.28312111</v>
      </c>
      <c r="CP32" s="19">
        <f t="shared" si="103"/>
        <v>513616200.73084223</v>
      </c>
      <c r="CQ32" s="19">
        <f t="shared" si="103"/>
        <v>561860821.0951314</v>
      </c>
      <c r="CR32" s="19">
        <f t="shared" si="103"/>
        <v>546323874.96187747</v>
      </c>
      <c r="CS32" s="19">
        <f t="shared" si="103"/>
        <v>547605272.58111489</v>
      </c>
      <c r="CT32" s="19">
        <f t="shared" si="103"/>
        <v>672189156.11147392</v>
      </c>
      <c r="CU32" s="19">
        <f t="shared" si="103"/>
        <v>724277969.33347547</v>
      </c>
      <c r="CV32" s="19">
        <f t="shared" si="103"/>
        <v>620933251.34197676</v>
      </c>
      <c r="CW32" s="19">
        <f t="shared" si="103"/>
        <v>670971828.37319839</v>
      </c>
      <c r="CX32" s="168"/>
      <c r="CY32" s="19">
        <f t="shared" si="68"/>
        <v>492112021.4721657</v>
      </c>
      <c r="CZ32" s="19">
        <f t="shared" si="69"/>
        <v>449500788.52075684</v>
      </c>
      <c r="DA32" s="19">
        <f t="shared" si="70"/>
        <v>667641833.51502752</v>
      </c>
      <c r="DB32" s="19">
        <f t="shared" si="71"/>
        <v>548364338.49143314</v>
      </c>
      <c r="DC32" s="19">
        <f t="shared" si="72"/>
        <v>635036397.57823384</v>
      </c>
      <c r="DD32" s="19">
        <f t="shared" si="73"/>
        <v>680896582.17820895</v>
      </c>
      <c r="DE32" s="19">
        <f t="shared" si="74"/>
        <v>712025946.52219224</v>
      </c>
      <c r="DF32" s="19">
        <f t="shared" si="75"/>
        <v>928323258.44906104</v>
      </c>
      <c r="DG32" s="19">
        <f t="shared" si="76"/>
        <v>945135389.96666932</v>
      </c>
      <c r="DH32" s="19">
        <f t="shared" si="77"/>
        <v>989870258.0941596</v>
      </c>
      <c r="DI32" s="19">
        <f t="shared" si="78"/>
        <v>1011177531.9930911</v>
      </c>
      <c r="DJ32" s="19">
        <f t="shared" si="79"/>
        <v>1165408005.6898489</v>
      </c>
      <c r="DK32" s="19">
        <f t="shared" si="80"/>
        <v>1144845239.225744</v>
      </c>
      <c r="DL32" s="19">
        <f t="shared" si="81"/>
        <v>1155028541.8462477</v>
      </c>
      <c r="DM32" s="19">
        <f t="shared" si="82"/>
        <v>1258779499.4865375</v>
      </c>
      <c r="DN32" s="19">
        <f t="shared" si="83"/>
        <v>1437010127.8624406</v>
      </c>
      <c r="DO32" s="19">
        <f t="shared" si="84"/>
        <v>1356069185.8628938</v>
      </c>
      <c r="DP32" s="19">
        <f t="shared" si="85"/>
        <v>1368131307.8168805</v>
      </c>
      <c r="DQ32" s="19">
        <f t="shared" si="86"/>
        <v>1491024317.1418037</v>
      </c>
      <c r="DR32" s="19">
        <f t="shared" si="87"/>
        <v>1702138496.4530611</v>
      </c>
      <c r="DS32" s="19">
        <f t="shared" si="88"/>
        <v>1606263950.6545973</v>
      </c>
      <c r="DT32" s="19">
        <f t="shared" si="89"/>
        <v>1620551534.1090946</v>
      </c>
      <c r="DU32" s="19">
        <f t="shared" si="90"/>
        <v>1766118303.6544662</v>
      </c>
      <c r="DV32" s="19">
        <f t="shared" si="91"/>
        <v>2016183049.0486507</v>
      </c>
      <c r="DX32" s="19">
        <f t="shared" si="92"/>
        <v>2157618981.999383</v>
      </c>
      <c r="DY32" s="19">
        <f t="shared" si="93"/>
        <v>2956282184.7276959</v>
      </c>
      <c r="DZ32" s="19">
        <f t="shared" si="94"/>
        <v>4111591185.7437687</v>
      </c>
      <c r="EA32" s="19">
        <f t="shared" si="95"/>
        <v>4995663408.42097</v>
      </c>
      <c r="EB32" s="19">
        <f t="shared" si="96"/>
        <v>5917363307.2746391</v>
      </c>
      <c r="EC32" s="770">
        <f t="shared" si="97"/>
        <v>7009116837.4668083</v>
      </c>
    </row>
    <row r="33" spans="2:133" x14ac:dyDescent="0.2">
      <c r="B33" s="155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68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X33" s="19"/>
      <c r="DY33" s="19"/>
      <c r="DZ33" s="19"/>
      <c r="EA33" s="19"/>
      <c r="EB33" s="19"/>
      <c r="EC33" s="770"/>
    </row>
    <row r="34" spans="2:133" x14ac:dyDescent="0.2">
      <c r="B34" s="22" t="s">
        <v>15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68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X34" s="19"/>
      <c r="DY34" s="19"/>
      <c r="DZ34" s="19"/>
      <c r="EA34" s="19"/>
      <c r="EB34" s="19"/>
      <c r="EC34" s="770"/>
    </row>
    <row r="35" spans="2:133" x14ac:dyDescent="0.2">
      <c r="B35" s="22" t="s">
        <v>16</v>
      </c>
      <c r="C35" s="19"/>
      <c r="D35" s="171">
        <f>D30/C30-1</f>
        <v>-5.018939279702006E-2</v>
      </c>
      <c r="E35" s="171">
        <f t="shared" ref="E35:BP35" si="104">E30/D30-1</f>
        <v>0.14026898659087839</v>
      </c>
      <c r="F35" s="171">
        <f t="shared" si="104"/>
        <v>-0.41943873772304896</v>
      </c>
      <c r="G35" s="171">
        <f t="shared" si="104"/>
        <v>-0.84579193890422499</v>
      </c>
      <c r="H35" s="171">
        <f t="shared" si="104"/>
        <v>3.761797300938289</v>
      </c>
      <c r="I35" s="171">
        <f t="shared" si="104"/>
        <v>0.40580413462645781</v>
      </c>
      <c r="J35" s="171">
        <f t="shared" si="104"/>
        <v>0.26595515304865347</v>
      </c>
      <c r="K35" s="171">
        <f t="shared" si="104"/>
        <v>0.34664513400698427</v>
      </c>
      <c r="L35" s="171">
        <f t="shared" si="104"/>
        <v>0.16067991898971834</v>
      </c>
      <c r="M35" s="171">
        <f t="shared" si="104"/>
        <v>0.60061645102207351</v>
      </c>
      <c r="N35" s="171">
        <f t="shared" si="104"/>
        <v>0.17252758487807229</v>
      </c>
      <c r="O35" s="171">
        <f t="shared" si="104"/>
        <v>6.3903417704160637E-2</v>
      </c>
      <c r="P35" s="171">
        <f t="shared" si="104"/>
        <v>8.5561828609526769E-2</v>
      </c>
      <c r="Q35" s="171">
        <f t="shared" si="104"/>
        <v>5.6209072939247262E-2</v>
      </c>
      <c r="R35" s="171">
        <f t="shared" si="104"/>
        <v>-0.10395542586103312</v>
      </c>
      <c r="S35" s="171">
        <f t="shared" si="104"/>
        <v>0.24002790720166001</v>
      </c>
      <c r="T35" s="171">
        <f t="shared" si="104"/>
        <v>0.28271073486984721</v>
      </c>
      <c r="U35" s="171">
        <f t="shared" si="104"/>
        <v>-2.2029376168549164E-2</v>
      </c>
      <c r="V35" s="171">
        <f t="shared" si="104"/>
        <v>-1.9671381334650295E-2</v>
      </c>
      <c r="W35" s="171">
        <f t="shared" si="104"/>
        <v>-2.3586962567641145E-2</v>
      </c>
      <c r="X35" s="171">
        <f t="shared" si="104"/>
        <v>0.25617341227026191</v>
      </c>
      <c r="Y35" s="171">
        <f t="shared" si="104"/>
        <v>-2.269028639236681E-2</v>
      </c>
      <c r="Z35" s="171">
        <f t="shared" si="104"/>
        <v>0.17613868353621154</v>
      </c>
      <c r="AA35" s="171">
        <f t="shared" si="104"/>
        <v>0.13237755994215861</v>
      </c>
      <c r="AB35" s="171">
        <f t="shared" si="104"/>
        <v>6.6876517549811165E-2</v>
      </c>
      <c r="AC35" s="171">
        <f t="shared" si="104"/>
        <v>0.41423469964041648</v>
      </c>
      <c r="AD35" s="171">
        <f t="shared" si="104"/>
        <v>0.13611730636152242</v>
      </c>
      <c r="AE35" s="171">
        <f t="shared" si="104"/>
        <v>3.3558822537625543E-2</v>
      </c>
      <c r="AF35" s="171">
        <f t="shared" si="104"/>
        <v>4.9315734996703497E-2</v>
      </c>
      <c r="AG35" s="171">
        <f t="shared" si="104"/>
        <v>-0.19320350159096189</v>
      </c>
      <c r="AH35" s="171">
        <f t="shared" si="104"/>
        <v>4.9339783797014869E-2</v>
      </c>
      <c r="AI35" s="171">
        <f t="shared" si="104"/>
        <v>1.1778237891682419E-2</v>
      </c>
      <c r="AJ35" s="171">
        <f t="shared" si="104"/>
        <v>0.49548529463018887</v>
      </c>
      <c r="AK35" s="171">
        <f t="shared" si="104"/>
        <v>-0.16379734255735778</v>
      </c>
      <c r="AL35" s="171">
        <f t="shared" si="104"/>
        <v>-0.10643931475117996</v>
      </c>
      <c r="AM35" s="171">
        <f t="shared" si="104"/>
        <v>-5.2799016562609435E-2</v>
      </c>
      <c r="AN35" s="171">
        <f t="shared" si="104"/>
        <v>-0.17252833239304854</v>
      </c>
      <c r="AO35" s="171">
        <f t="shared" si="104"/>
        <v>0.29042988777736389</v>
      </c>
      <c r="AP35" s="171">
        <f t="shared" si="104"/>
        <v>1.8954525425946889E-2</v>
      </c>
      <c r="AQ35" s="171">
        <f t="shared" si="104"/>
        <v>3.4704504968137151E-2</v>
      </c>
      <c r="AR35" s="171">
        <f t="shared" si="104"/>
        <v>5.5532667260375312E-2</v>
      </c>
      <c r="AS35" s="171">
        <f t="shared" si="104"/>
        <v>-1.5414840567555599E-2</v>
      </c>
      <c r="AT35" s="171">
        <f t="shared" si="104"/>
        <v>-0.11555894700622615</v>
      </c>
      <c r="AU35" s="171">
        <f t="shared" si="104"/>
        <v>-5.6863152997014499E-2</v>
      </c>
      <c r="AV35" s="171">
        <f t="shared" si="104"/>
        <v>0.24661769070199147</v>
      </c>
      <c r="AW35" s="171">
        <f t="shared" si="104"/>
        <v>-6.3400755308413603E-2</v>
      </c>
      <c r="AX35" s="171">
        <f t="shared" si="104"/>
        <v>0.19184679301599639</v>
      </c>
      <c r="AY35" s="171">
        <f t="shared" si="104"/>
        <v>7.010164021899179E-2</v>
      </c>
      <c r="AZ35" s="171">
        <f t="shared" si="104"/>
        <v>-4.6058062325339932E-2</v>
      </c>
      <c r="BA35" s="171">
        <f t="shared" si="104"/>
        <v>0.28644724182411507</v>
      </c>
      <c r="BB35" s="171">
        <f t="shared" si="104"/>
        <v>-8.1454134744430085E-2</v>
      </c>
      <c r="BC35" s="171">
        <f t="shared" si="104"/>
        <v>-2.4365787306576348E-2</v>
      </c>
      <c r="BD35" s="171">
        <f t="shared" si="104"/>
        <v>1.3809572000740511E-2</v>
      </c>
      <c r="BE35" s="171">
        <f t="shared" si="104"/>
        <v>7.4396619884445458E-2</v>
      </c>
      <c r="BF35" s="171">
        <f t="shared" si="104"/>
        <v>-0.14738877133885608</v>
      </c>
      <c r="BG35" s="171">
        <f t="shared" si="104"/>
        <v>8.80700035551083E-2</v>
      </c>
      <c r="BH35" s="171">
        <f t="shared" si="104"/>
        <v>0.16098697735839362</v>
      </c>
      <c r="BI35" s="171">
        <f t="shared" si="104"/>
        <v>-7.2313459571590299E-2</v>
      </c>
      <c r="BJ35" s="171">
        <f t="shared" si="104"/>
        <v>0.23204065785482997</v>
      </c>
      <c r="BK35" s="171">
        <f t="shared" si="104"/>
        <v>8.5822768269650407E-2</v>
      </c>
      <c r="BL35" s="171">
        <f t="shared" si="104"/>
        <v>-9.732414215110663E-2</v>
      </c>
      <c r="BM35" s="171">
        <f t="shared" si="104"/>
        <v>0.18078992575271657</v>
      </c>
      <c r="BN35" s="171">
        <f t="shared" si="104"/>
        <v>-0.11783227925349371</v>
      </c>
      <c r="BO35" s="171">
        <f t="shared" si="104"/>
        <v>-1.0267878982749612E-2</v>
      </c>
      <c r="BP35" s="171">
        <f t="shared" si="104"/>
        <v>-2.3387921719585369E-3</v>
      </c>
      <c r="BQ35" s="171">
        <f t="shared" ref="BQ35:CK35" si="105">BQ30/BP30-1</f>
        <v>6.0097442168973503E-2</v>
      </c>
      <c r="BR35" s="171">
        <f t="shared" si="105"/>
        <v>-9.4250203044777825E-2</v>
      </c>
      <c r="BS35" s="171">
        <f t="shared" si="105"/>
        <v>-1.1175285188048556E-2</v>
      </c>
      <c r="BT35" s="171">
        <f t="shared" si="105"/>
        <v>0.14177963525127124</v>
      </c>
      <c r="BU35" s="171">
        <f t="shared" si="105"/>
        <v>-5.3591194417862642E-2</v>
      </c>
      <c r="BV35" s="171">
        <f t="shared" si="105"/>
        <v>0.21496916927692133</v>
      </c>
      <c r="BW35" s="171">
        <f t="shared" si="105"/>
        <v>4.6464913899390448E-2</v>
      </c>
      <c r="BX35" s="171">
        <f t="shared" si="105"/>
        <v>-0.10362696549465955</v>
      </c>
      <c r="BY35" s="171">
        <f t="shared" si="105"/>
        <v>0.13843182953438316</v>
      </c>
      <c r="BZ35" s="171">
        <f t="shared" si="105"/>
        <v>-7.7348790429976666E-2</v>
      </c>
      <c r="CA35" s="171">
        <f t="shared" si="105"/>
        <v>-8.9367679231358021E-3</v>
      </c>
      <c r="CB35" s="171">
        <f t="shared" si="105"/>
        <v>-5.4859825491262448E-3</v>
      </c>
      <c r="CC35" s="171">
        <f t="shared" si="105"/>
        <v>6.0087325592900198E-2</v>
      </c>
      <c r="CD35" s="171">
        <f t="shared" si="105"/>
        <v>-9.5485859562027153E-2</v>
      </c>
      <c r="CE35" s="171">
        <f t="shared" si="105"/>
        <v>-1.3565375301437754E-2</v>
      </c>
      <c r="CF35" s="171">
        <f t="shared" si="105"/>
        <v>0.14089106813559682</v>
      </c>
      <c r="CG35" s="171">
        <f t="shared" si="105"/>
        <v>-5.688161827931193E-2</v>
      </c>
      <c r="CH35" s="171">
        <f t="shared" si="105"/>
        <v>0.21168037329750544</v>
      </c>
      <c r="CI35" s="171">
        <f t="shared" si="105"/>
        <v>4.3617862174950783E-2</v>
      </c>
      <c r="CJ35" s="171">
        <f t="shared" si="105"/>
        <v>-0.10586748775019283</v>
      </c>
      <c r="CK35" s="171">
        <f t="shared" si="105"/>
        <v>0.13034870879572669</v>
      </c>
      <c r="CL35" s="171">
        <f t="shared" ref="CL35" si="106">CL30/CK30-1</f>
        <v>-9.5908446581013829E-2</v>
      </c>
      <c r="CM35" s="171">
        <f t="shared" ref="CM35" si="107">CM30/CL30-1</f>
        <v>-9.2153898751657914E-3</v>
      </c>
      <c r="CN35" s="171">
        <f t="shared" ref="CN35" si="108">CN30/CM30-1</f>
        <v>-5.7700128565664199E-3</v>
      </c>
      <c r="CO35" s="171">
        <f t="shared" ref="CO35" si="109">CO30/CN30-1</f>
        <v>5.9055209952510568E-2</v>
      </c>
      <c r="CP35" s="171">
        <f t="shared" ref="CP35" si="110">CP30/CO30-1</f>
        <v>-9.5414442045651637E-2</v>
      </c>
      <c r="CQ35" s="171">
        <f t="shared" ref="CQ35" si="111">CQ30/CP30-1</f>
        <v>-1.2576966152922142E-2</v>
      </c>
      <c r="CR35" s="171">
        <f t="shared" ref="CR35" si="112">CR30/CQ30-1</f>
        <v>0.13782092961657466</v>
      </c>
      <c r="CS35" s="171">
        <f t="shared" ref="CS35" si="113">CS30/CR30-1</f>
        <v>-5.6317820050523437E-2</v>
      </c>
      <c r="CT35" s="171">
        <f t="shared" ref="CT35" si="114">CT30/CS30-1</f>
        <v>0.21171539015497687</v>
      </c>
      <c r="CU35" s="171">
        <f t="shared" ref="CU35" si="115">CU30/CT30-1</f>
        <v>4.399564936107736E-2</v>
      </c>
      <c r="CV35" s="171">
        <f t="shared" ref="CV35" si="116">CV30/CU30-1</f>
        <v>-0.10675438209433818</v>
      </c>
      <c r="CW35" s="171">
        <f t="shared" ref="CW35" si="117">CW30/CV30-1</f>
        <v>0.12935030028562289</v>
      </c>
      <c r="CX35" s="168"/>
      <c r="CY35" s="171" t="e">
        <f t="shared" ref="CY35" si="118">CY30/CX30-1</f>
        <v>#DIV/0!</v>
      </c>
      <c r="CZ35" s="171">
        <f t="shared" ref="CZ35" si="119">CZ30/CY30-1</f>
        <v>-0.12698356816023992</v>
      </c>
      <c r="DA35" s="171">
        <f t="shared" ref="DA35" si="120">DA30/CZ30-1</f>
        <v>0.3184689535472327</v>
      </c>
      <c r="DB35" s="171">
        <f t="shared" ref="DB35" si="121">DB30/DA30-1</f>
        <v>-0.2068150835311785</v>
      </c>
      <c r="DC35" s="171">
        <f t="shared" ref="DC35" si="122">DC30/DB30-1</f>
        <v>0.17506956155230369</v>
      </c>
      <c r="DD35" s="171">
        <f t="shared" ref="DD35" si="123">DD30/DC30-1</f>
        <v>-6.5078075396989732E-2</v>
      </c>
      <c r="DE35" s="171">
        <f t="shared" ref="DE35" si="124">DE30/DD30-1</f>
        <v>0.16773205397287083</v>
      </c>
      <c r="DF35" s="171">
        <f t="shared" ref="DF35" si="125">DF30/DE30-1</f>
        <v>0.2447201989614971</v>
      </c>
      <c r="DG35" s="171">
        <f t="shared" ref="DG35" si="126">DG30/DF30-1</f>
        <v>5.0555754712697798E-2</v>
      </c>
      <c r="DH35" s="171">
        <f t="shared" ref="DH35" si="127">DH30/DG30-1</f>
        <v>-3.4141180401172644E-3</v>
      </c>
      <c r="DI35" s="171">
        <f t="shared" ref="DI35" si="128">DI30/DH30-1</f>
        <v>0.18951459640012991</v>
      </c>
      <c r="DJ35" s="171">
        <f t="shared" ref="DJ35" si="129">DJ30/DI30-1</f>
        <v>0.19977834345218271</v>
      </c>
      <c r="DK35" s="171">
        <f t="shared" ref="DK35" si="130">DK30/DJ30-1</f>
        <v>-5.6998413341294185E-2</v>
      </c>
      <c r="DL35" s="171">
        <f t="shared" ref="DL35" si="131">DL30/DK30-1</f>
        <v>-1.5042371746879502E-2</v>
      </c>
      <c r="DM35" s="171">
        <f t="shared" ref="DM35" si="132">DM30/DL30-1</f>
        <v>0.13025519385151263</v>
      </c>
      <c r="DN35" s="171">
        <f t="shared" ref="DN35" si="133">DN30/DM30-1</f>
        <v>0.13355318524380366</v>
      </c>
      <c r="DO35" s="171">
        <f t="shared" ref="DO35" si="134">DO30/DN30-1</f>
        <v>-3.9150439690160521E-2</v>
      </c>
      <c r="DP35" s="171">
        <f t="shared" ref="DP35" si="135">DP30/DO30-1</f>
        <v>-1.8307891957644928E-2</v>
      </c>
      <c r="DQ35" s="171">
        <f t="shared" ref="DQ35" si="136">DQ30/DP30-1</f>
        <v>0.12318541844980713</v>
      </c>
      <c r="DR35" s="171">
        <f t="shared" ref="DR35" si="137">DR30/DQ30-1</f>
        <v>0.12262728357106067</v>
      </c>
      <c r="DS35" s="171">
        <f t="shared" ref="DS35" si="138">DS30/DR30-1</f>
        <v>-6.390529287077118E-2</v>
      </c>
      <c r="DT35" s="171">
        <f t="shared" ref="DT35" si="139">DT30/DS30-1</f>
        <v>-1.9180506905066119E-2</v>
      </c>
      <c r="DU35" s="171">
        <f t="shared" ref="DU35" si="140">DU30/DT30-1</f>
        <v>0.12142360270455499</v>
      </c>
      <c r="DV35" s="171">
        <f t="shared" ref="DV35" si="141">DV30/DU30-1</f>
        <v>0.12219610023756711</v>
      </c>
      <c r="DW35" s="818"/>
      <c r="DX35" s="171" t="e">
        <f t="shared" ref="DX35" si="142">DX30/DW30-1</f>
        <v>#DIV/0!</v>
      </c>
      <c r="DY35" s="171">
        <f t="shared" ref="DY35" si="143">DY30/DX30-1</f>
        <v>0.19504709924289632</v>
      </c>
      <c r="DZ35" s="171">
        <f t="shared" ref="DZ35" si="144">DZ30/DY30-1</f>
        <v>0.49881839373989711</v>
      </c>
      <c r="EA35" s="171">
        <f t="shared" ref="EA35" si="145">EA30/DZ30-1</f>
        <v>0.27008599365649344</v>
      </c>
      <c r="EB35" s="171">
        <f t="shared" ref="EB35:EC35" si="146">EB30/EA30-1</f>
        <v>0.20196069351912627</v>
      </c>
      <c r="EC35" s="171">
        <f t="shared" si="146"/>
        <v>0.15682753080010192</v>
      </c>
    </row>
    <row r="36" spans="2:133" x14ac:dyDescent="0.2">
      <c r="B36" s="22" t="s">
        <v>17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68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X36" s="19"/>
      <c r="DY36" s="19"/>
      <c r="DZ36" s="19"/>
      <c r="EA36" s="19"/>
      <c r="EB36" s="19"/>
      <c r="EC36" s="770"/>
    </row>
    <row r="37" spans="2:133" x14ac:dyDescent="0.2">
      <c r="B37" s="22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68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X37" s="19"/>
      <c r="DY37" s="19"/>
      <c r="DZ37" s="19"/>
      <c r="EA37" s="19"/>
      <c r="EB37" s="19"/>
      <c r="EC37" s="770"/>
    </row>
    <row r="38" spans="2:133" x14ac:dyDescent="0.2">
      <c r="B38" s="22" t="s">
        <v>230</v>
      </c>
      <c r="C38" s="158">
        <f>SUM(C39:C40)</f>
        <v>2211</v>
      </c>
      <c r="D38" s="158">
        <f>SUM(D39:D40)</f>
        <v>2418</v>
      </c>
      <c r="E38" s="158">
        <f t="shared" ref="E38:BP38" si="147">SUM(E39:E40)</f>
        <v>3316</v>
      </c>
      <c r="F38" s="158">
        <f t="shared" si="147"/>
        <v>1912</v>
      </c>
      <c r="G38" s="158">
        <f t="shared" si="147"/>
        <v>331</v>
      </c>
      <c r="H38" s="158">
        <f t="shared" si="147"/>
        <v>1479</v>
      </c>
      <c r="I38" s="158">
        <f t="shared" si="147"/>
        <v>2124</v>
      </c>
      <c r="J38" s="158">
        <f t="shared" si="147"/>
        <v>2679</v>
      </c>
      <c r="K38" s="158">
        <f t="shared" si="147"/>
        <v>3713</v>
      </c>
      <c r="L38" s="158">
        <f t="shared" si="147"/>
        <v>3853</v>
      </c>
      <c r="M38" s="158">
        <f t="shared" si="147"/>
        <v>5691</v>
      </c>
      <c r="N38" s="158">
        <f t="shared" si="147"/>
        <v>6957</v>
      </c>
      <c r="O38" s="158">
        <f t="shared" si="147"/>
        <v>7372</v>
      </c>
      <c r="P38" s="158">
        <f t="shared" si="147"/>
        <v>7556</v>
      </c>
      <c r="Q38" s="158">
        <f t="shared" si="147"/>
        <v>7645</v>
      </c>
      <c r="R38" s="158">
        <f t="shared" si="147"/>
        <v>6917</v>
      </c>
      <c r="S38" s="158">
        <f t="shared" si="147"/>
        <v>9152</v>
      </c>
      <c r="T38" s="158">
        <f t="shared" si="147"/>
        <v>10169</v>
      </c>
      <c r="U38" s="158">
        <f t="shared" si="147"/>
        <v>10973</v>
      </c>
      <c r="V38" s="158">
        <f t="shared" si="147"/>
        <v>11160</v>
      </c>
      <c r="W38" s="158">
        <f t="shared" si="147"/>
        <v>11489</v>
      </c>
      <c r="X38" s="158">
        <f t="shared" si="147"/>
        <v>12461</v>
      </c>
      <c r="Y38" s="158">
        <f t="shared" si="147"/>
        <v>11382</v>
      </c>
      <c r="Z38" s="158">
        <f t="shared" si="147"/>
        <v>12657</v>
      </c>
      <c r="AA38" s="158">
        <f t="shared" si="147"/>
        <v>13363</v>
      </c>
      <c r="AB38" s="158">
        <f t="shared" si="147"/>
        <v>13604</v>
      </c>
      <c r="AC38" s="158">
        <f t="shared" si="147"/>
        <v>17479</v>
      </c>
      <c r="AD38" s="158">
        <f t="shared" si="147"/>
        <v>19538</v>
      </c>
      <c r="AE38" s="158">
        <f t="shared" si="147"/>
        <v>21023</v>
      </c>
      <c r="AF38" s="158">
        <f t="shared" si="147"/>
        <v>23252</v>
      </c>
      <c r="AG38" s="158">
        <f t="shared" si="147"/>
        <v>18465</v>
      </c>
      <c r="AH38" s="158">
        <f t="shared" si="147"/>
        <v>19986</v>
      </c>
      <c r="AI38" s="158">
        <f t="shared" si="147"/>
        <v>19513</v>
      </c>
      <c r="AJ38" s="158">
        <f t="shared" si="147"/>
        <v>24406</v>
      </c>
      <c r="AK38" s="158">
        <f t="shared" si="147"/>
        <v>22087</v>
      </c>
      <c r="AL38" s="158">
        <f t="shared" si="147"/>
        <v>19735</v>
      </c>
      <c r="AM38" s="158">
        <f t="shared" si="147"/>
        <v>19017</v>
      </c>
      <c r="AN38" s="158">
        <f t="shared" si="147"/>
        <v>14904</v>
      </c>
      <c r="AO38" s="158">
        <f t="shared" si="147"/>
        <v>20373</v>
      </c>
      <c r="AP38" s="158">
        <f t="shared" si="147"/>
        <v>20441</v>
      </c>
      <c r="AQ38" s="158">
        <f t="shared" si="147"/>
        <v>20495</v>
      </c>
      <c r="AR38" s="158">
        <f t="shared" si="147"/>
        <v>21942</v>
      </c>
      <c r="AS38" s="158">
        <f t="shared" si="147"/>
        <v>21468</v>
      </c>
      <c r="AT38" s="158">
        <f t="shared" si="147"/>
        <v>18542</v>
      </c>
      <c r="AU38" s="158">
        <f t="shared" si="147"/>
        <v>17241</v>
      </c>
      <c r="AV38" s="158">
        <f t="shared" si="147"/>
        <v>19466</v>
      </c>
      <c r="AW38" s="158">
        <f t="shared" si="147"/>
        <v>18172</v>
      </c>
      <c r="AX38" s="158">
        <f t="shared" si="147"/>
        <v>21951</v>
      </c>
      <c r="AY38" s="158">
        <f t="shared" si="147"/>
        <v>23245</v>
      </c>
      <c r="AZ38" s="158">
        <f t="shared" si="147"/>
        <v>22396</v>
      </c>
      <c r="BA38" s="158">
        <f t="shared" si="147"/>
        <v>28618</v>
      </c>
      <c r="BB38" s="158">
        <f t="shared" si="147"/>
        <v>25626</v>
      </c>
      <c r="BC38" s="158">
        <f t="shared" si="147"/>
        <v>25882</v>
      </c>
      <c r="BD38" s="158">
        <f t="shared" si="147"/>
        <v>26274.285714285714</v>
      </c>
      <c r="BE38" s="158">
        <f t="shared" si="147"/>
        <v>28320</v>
      </c>
      <c r="BF38" s="158">
        <f t="shared" si="147"/>
        <v>25318</v>
      </c>
      <c r="BG38" s="158">
        <f t="shared" si="147"/>
        <v>27502</v>
      </c>
      <c r="BH38" s="158">
        <f t="shared" si="147"/>
        <v>28751</v>
      </c>
      <c r="BI38" s="158">
        <f t="shared" si="147"/>
        <v>27477</v>
      </c>
      <c r="BJ38" s="158">
        <f t="shared" si="147"/>
        <v>34592</v>
      </c>
      <c r="BK38" s="158">
        <f t="shared" si="147"/>
        <v>37355</v>
      </c>
      <c r="BL38" s="158">
        <f t="shared" si="147"/>
        <v>33633</v>
      </c>
      <c r="BM38" s="158">
        <f t="shared" si="147"/>
        <v>38363</v>
      </c>
      <c r="BN38" s="158">
        <f t="shared" si="147"/>
        <v>34006.480459410668</v>
      </c>
      <c r="BO38" s="158">
        <f t="shared" si="147"/>
        <v>33711.235971913251</v>
      </c>
      <c r="BP38" s="158">
        <f t="shared" si="147"/>
        <v>33637.603584600896</v>
      </c>
      <c r="BQ38" s="158">
        <f t="shared" ref="BQ38:CK38" si="148">SUM(BQ39:BQ40)</f>
        <v>35538.552784141677</v>
      </c>
      <c r="BR38" s="158">
        <f t="shared" si="148"/>
        <v>32292.750740826534</v>
      </c>
      <c r="BS38" s="158">
        <f t="shared" si="148"/>
        <v>32195.339572492099</v>
      </c>
      <c r="BT38" s="158">
        <f t="shared" si="148"/>
        <v>36289.355036894609</v>
      </c>
      <c r="BU38" s="158">
        <f t="shared" si="148"/>
        <v>34497.241010135011</v>
      </c>
      <c r="BV38" s="158">
        <f t="shared" si="148"/>
        <v>41931.641712674391</v>
      </c>
      <c r="BW38" s="158">
        <f t="shared" si="148"/>
        <v>43978.281732655203</v>
      </c>
      <c r="BX38" s="158">
        <f t="shared" si="148"/>
        <v>39292.159642788742</v>
      </c>
      <c r="BY38" s="158">
        <f t="shared" si="148"/>
        <v>44548.399057689079</v>
      </c>
      <c r="BZ38" s="158">
        <f t="shared" si="148"/>
        <v>39900.043711338425</v>
      </c>
      <c r="CA38" s="158">
        <f t="shared" si="148"/>
        <v>39602.313292979306</v>
      </c>
      <c r="CB38" s="158">
        <f t="shared" si="148"/>
        <v>39400.462840825669</v>
      </c>
      <c r="CC38" s="158">
        <f t="shared" si="148"/>
        <v>41627.656318354682</v>
      </c>
      <c r="CD38" s="158">
        <f t="shared" si="148"/>
        <v>37776.90888653537</v>
      </c>
      <c r="CE38" s="158">
        <f t="shared" si="148"/>
        <v>37578.220559922927</v>
      </c>
      <c r="CF38" s="158">
        <f t="shared" si="148"/>
        <v>42327.6288611317</v>
      </c>
      <c r="CG38" s="158">
        <f t="shared" si="148"/>
        <v>40107.49970404528</v>
      </c>
      <c r="CH38" s="158">
        <f t="shared" si="148"/>
        <v>48630.410463480795</v>
      </c>
      <c r="CI38" s="158">
        <f t="shared" si="148"/>
        <v>50877.009866879242</v>
      </c>
      <c r="CJ38" s="158">
        <f t="shared" si="148"/>
        <v>45348.966292943755</v>
      </c>
      <c r="CK38" s="158">
        <f t="shared" si="148"/>
        <v>51075.832951818913</v>
      </c>
      <c r="CL38" s="158">
        <f t="shared" ref="CL38:CW38" si="149">SUM(CL39:CL40)</f>
        <v>45732.193397028939</v>
      </c>
      <c r="CM38" s="158">
        <f t="shared" si="149"/>
        <v>45369.905902396597</v>
      </c>
      <c r="CN38" s="158">
        <f t="shared" si="149"/>
        <v>45124.286761007461</v>
      </c>
      <c r="CO38" s="158">
        <f t="shared" si="149"/>
        <v>47653.058434398728</v>
      </c>
      <c r="CP38" s="158">
        <f t="shared" si="149"/>
        <v>43229.545006824832</v>
      </c>
      <c r="CQ38" s="158">
        <f t="shared" si="149"/>
        <v>42993.521623288565</v>
      </c>
      <c r="CR38" s="158">
        <f t="shared" si="149"/>
        <v>48388.489760853125</v>
      </c>
      <c r="CS38" s="158">
        <f t="shared" si="149"/>
        <v>45847.573522879087</v>
      </c>
      <c r="CT38" s="158">
        <f t="shared" si="149"/>
        <v>55585.168730373953</v>
      </c>
      <c r="CU38" s="158">
        <f t="shared" si="149"/>
        <v>58153.041613045803</v>
      </c>
      <c r="CV38" s="158">
        <f t="shared" si="149"/>
        <v>51809.047559038241</v>
      </c>
      <c r="CW38" s="158">
        <f t="shared" si="149"/>
        <v>58330.789737717525</v>
      </c>
      <c r="CX38" s="168"/>
      <c r="CY38" s="158">
        <f t="shared" ref="CY38:CY54" si="150">SUM(AD38:AF38)</f>
        <v>63813</v>
      </c>
      <c r="CZ38" s="158">
        <f t="shared" ref="CZ38:CZ54" si="151">SUM(AG38:AI38)</f>
        <v>57964</v>
      </c>
      <c r="DA38" s="158">
        <f t="shared" ref="DA38:DA54" si="152">SUM(AJ38:AL38)</f>
        <v>66228</v>
      </c>
      <c r="DB38" s="158">
        <f t="shared" ref="DB38:DB54" si="153">SUM(AM38:AO38)</f>
        <v>54294</v>
      </c>
      <c r="DC38" s="158">
        <f t="shared" ref="DC38:DC54" si="154">SUM(AP38:AR38)</f>
        <v>62878</v>
      </c>
      <c r="DD38" s="158">
        <f t="shared" ref="DD38:DD54" si="155">SUM(AS38:AU38)</f>
        <v>57251</v>
      </c>
      <c r="DE38" s="158">
        <f t="shared" ref="DE38:DE54" si="156">SUM(AV38:AX38)</f>
        <v>59589</v>
      </c>
      <c r="DF38" s="158">
        <f t="shared" ref="DF38:DF54" si="157">SUM(AY38:BA38)</f>
        <v>74259</v>
      </c>
      <c r="DG38" s="158">
        <f t="shared" ref="DG38:DG54" si="158">SUM(BB38:BD38)</f>
        <v>77782.28571428571</v>
      </c>
      <c r="DH38" s="158">
        <f t="shared" ref="DH38:DH54" si="159">SUM(BE38:BG38)</f>
        <v>81140</v>
      </c>
      <c r="DI38" s="158">
        <f t="shared" ref="DI38:DI54" si="160">SUM(BH38:BJ38)</f>
        <v>90820</v>
      </c>
      <c r="DJ38" s="158">
        <f t="shared" ref="DJ38:DJ54" si="161">SUM(BK38:BM38)</f>
        <v>109351</v>
      </c>
      <c r="DK38" s="158">
        <f t="shared" ref="DK38:DK54" si="162">SUM(BN38:BP38)</f>
        <v>101355.32001592481</v>
      </c>
      <c r="DL38" s="158">
        <f t="shared" ref="DL38:DL54" si="163">SUM(BQ38:BS38)</f>
        <v>100026.64309746031</v>
      </c>
      <c r="DM38" s="158">
        <f t="shared" ref="DM38:DM54" si="164">SUM(BT38:BV38)</f>
        <v>112718.23775970402</v>
      </c>
      <c r="DN38" s="158">
        <f t="shared" ref="DN38:DN54" si="165">SUM(BW38:BY38)</f>
        <v>127818.84043313302</v>
      </c>
      <c r="DO38" s="158">
        <f t="shared" ref="DO38:DO54" si="166">SUM(BZ38:CB38)</f>
        <v>118902.8198451434</v>
      </c>
      <c r="DP38" s="158">
        <f t="shared" ref="DP38:DP54" si="167">SUM(CC38:CE38)</f>
        <v>116982.78576481299</v>
      </c>
      <c r="DQ38" s="158">
        <f t="shared" ref="DQ38:DQ54" si="168">SUM(CF38:CH38)</f>
        <v>131065.53902865777</v>
      </c>
      <c r="DR38" s="158">
        <f t="shared" ref="DR38:DR54" si="169">SUM(CI38:CK38)</f>
        <v>147301.80911164189</v>
      </c>
      <c r="DS38" s="158">
        <f t="shared" ref="DS38:DS42" si="170">SUM(CL38:CN38)</f>
        <v>136226.386060433</v>
      </c>
      <c r="DT38" s="158">
        <f t="shared" ref="DT38:DT42" si="171">SUM(CO38:CQ38)</f>
        <v>133876.12506451213</v>
      </c>
      <c r="DU38" s="158">
        <f t="shared" ref="DU38:DU42" si="172">SUM(CR38:CT38)</f>
        <v>149821.23201410618</v>
      </c>
      <c r="DV38" s="158">
        <f t="shared" ref="DV38:DV42" si="173">SUM(CU38:CW38)</f>
        <v>168292.87890980157</v>
      </c>
      <c r="DX38" s="158">
        <f t="shared" ref="DX38:DX54" si="174">SUM(CY38:DB38)</f>
        <v>242299</v>
      </c>
      <c r="DY38" s="158">
        <f t="shared" ref="DY38:DY54" si="175">SUM(DC38:DF38)</f>
        <v>253977</v>
      </c>
      <c r="DZ38" s="158">
        <f t="shared" ref="DZ38:DZ54" si="176">SUM(DG38:DJ38)</f>
        <v>359093.28571428568</v>
      </c>
      <c r="EA38" s="158">
        <f t="shared" ref="EA38:EA54" si="177">SUM(DK38:DN38)</f>
        <v>441919.04130622215</v>
      </c>
      <c r="EB38" s="158">
        <f t="shared" ref="EB38:EB54" si="178">SUM(DO38:DR38)</f>
        <v>514252.95375025604</v>
      </c>
      <c r="EC38" s="780">
        <f t="shared" ref="EC38:EC54" si="179">SUM(DS38:DV38)</f>
        <v>588216.62204885285</v>
      </c>
    </row>
    <row r="39" spans="2:133" x14ac:dyDescent="0.2">
      <c r="B39" s="22" t="s">
        <v>233</v>
      </c>
      <c r="C39" s="19">
        <f>'D2C - Retail'!J49</f>
        <v>1964</v>
      </c>
      <c r="D39" s="19">
        <f>'D2C - Retail'!K49</f>
        <v>2172</v>
      </c>
      <c r="E39" s="19">
        <f>'D2C - Retail'!L49</f>
        <v>2961</v>
      </c>
      <c r="F39" s="19">
        <f>'D2C - Retail'!M49</f>
        <v>1624</v>
      </c>
      <c r="G39" s="19">
        <f>'D2C - Retail'!N49</f>
        <v>48</v>
      </c>
      <c r="H39" s="19">
        <f>'D2C - Retail'!O49</f>
        <v>1134</v>
      </c>
      <c r="I39" s="19">
        <f>'D2C - Retail'!P49</f>
        <v>1752</v>
      </c>
      <c r="J39" s="19">
        <f>'D2C - Retail'!Q49</f>
        <v>2270</v>
      </c>
      <c r="K39" s="19">
        <f>'D2C - Retail'!R49</f>
        <v>3287</v>
      </c>
      <c r="L39" s="19">
        <f>'D2C - Retail'!S49</f>
        <v>3653</v>
      </c>
      <c r="M39" s="19">
        <f>'D2C - Retail'!T49</f>
        <v>4937</v>
      </c>
      <c r="N39" s="19">
        <f>'D2C - Retail'!U49</f>
        <v>6074</v>
      </c>
      <c r="O39" s="19">
        <f>'D2C - Retail'!V49</f>
        <v>5990</v>
      </c>
      <c r="P39" s="19">
        <f>'D2C - Retail'!W49</f>
        <v>6098</v>
      </c>
      <c r="Q39" s="19">
        <f>'D2C - Retail'!X49</f>
        <v>6690</v>
      </c>
      <c r="R39" s="19">
        <f>'D2C - Retail'!Y49</f>
        <v>5849</v>
      </c>
      <c r="S39" s="19">
        <f>'D2C - Retail'!Z49</f>
        <v>7950</v>
      </c>
      <c r="T39" s="19">
        <f>'D2C - Retail'!AA49</f>
        <v>8208</v>
      </c>
      <c r="U39" s="19">
        <f>'D2C - Retail'!AB49</f>
        <v>9086</v>
      </c>
      <c r="V39" s="19">
        <f>'D2C - Retail'!AC49</f>
        <v>9697</v>
      </c>
      <c r="W39" s="19">
        <f>'D2C - Retail'!AD49</f>
        <v>9845</v>
      </c>
      <c r="X39" s="19">
        <f>'D2C - Retail'!AE49</f>
        <v>10060</v>
      </c>
      <c r="Y39" s="19">
        <f>'D2C - Retail'!AF49</f>
        <v>9749</v>
      </c>
      <c r="Z39" s="19">
        <f>'D2C - Retail'!AG49</f>
        <v>10980</v>
      </c>
      <c r="AA39" s="19">
        <f>'D2C - Retail'!AH49</f>
        <v>11447</v>
      </c>
      <c r="AB39" s="19">
        <f>'D2C - Retail'!AI49</f>
        <v>10477</v>
      </c>
      <c r="AC39" s="19">
        <f>'D2C - Retail'!AJ49</f>
        <v>12211</v>
      </c>
      <c r="AD39" s="19">
        <f>'D2C - Retail'!AK49</f>
        <v>12385</v>
      </c>
      <c r="AE39" s="19">
        <f>'D2C - Retail'!AL49</f>
        <v>13729</v>
      </c>
      <c r="AF39" s="19">
        <f>'D2C - Retail'!AM49</f>
        <v>13687</v>
      </c>
      <c r="AG39" s="19">
        <f>'D2C - Retail'!AN49</f>
        <v>12214</v>
      </c>
      <c r="AH39" s="19">
        <f>'D2C - Retail'!AO49</f>
        <v>12367</v>
      </c>
      <c r="AI39" s="19">
        <f>'D2C - Retail'!AP49</f>
        <v>11643</v>
      </c>
      <c r="AJ39" s="19">
        <f>'D2C - Retail'!AQ49</f>
        <v>14148</v>
      </c>
      <c r="AK39" s="19">
        <f>'D2C - Retail'!AR49</f>
        <v>12925</v>
      </c>
      <c r="AL39" s="19">
        <f>'D2C - Retail'!AS49</f>
        <v>11423</v>
      </c>
      <c r="AM39" s="19">
        <f>'D2C - Retail'!AT49</f>
        <v>10287</v>
      </c>
      <c r="AN39" s="19">
        <f>'D2C - Retail'!AU49</f>
        <v>8990</v>
      </c>
      <c r="AO39" s="19">
        <f>'D2C - Retail'!AV49</f>
        <v>11243</v>
      </c>
      <c r="AP39" s="19">
        <f>'D2C - Retail'!AW49</f>
        <v>12029</v>
      </c>
      <c r="AQ39" s="19">
        <f>'D2C - Retail'!AX49</f>
        <v>11645</v>
      </c>
      <c r="AR39" s="19">
        <f>'D2C - Retail'!AY49</f>
        <v>12689</v>
      </c>
      <c r="AS39" s="19">
        <f>'D2C - Retail'!AZ49</f>
        <v>11836</v>
      </c>
      <c r="AT39" s="19">
        <f>'D2C - Retail'!BA49</f>
        <v>9748</v>
      </c>
      <c r="AU39" s="19">
        <f>'D2C - Retail'!BB49</f>
        <v>8374</v>
      </c>
      <c r="AV39" s="19">
        <f>'D2C - Retail'!BC49</f>
        <v>10601</v>
      </c>
      <c r="AW39" s="19">
        <f>'D2C - Retail'!BD49</f>
        <v>10234</v>
      </c>
      <c r="AX39" s="19">
        <f>'D2C - Retail'!BE49</f>
        <v>12087</v>
      </c>
      <c r="AY39" s="19">
        <f>'D2C - Retail'!BF49</f>
        <v>12189</v>
      </c>
      <c r="AZ39" s="19">
        <f>'D2C - Retail'!BG49</f>
        <v>11467</v>
      </c>
      <c r="BA39" s="19">
        <f>'D2C - Retail'!BH49</f>
        <v>14284</v>
      </c>
      <c r="BB39" s="19">
        <f>'D2C - Retail'!BI49</f>
        <v>14013</v>
      </c>
      <c r="BC39" s="19">
        <f>'D2C - Retail'!BJ49</f>
        <v>13841</v>
      </c>
      <c r="BD39" s="19">
        <f>'D2C - Retail'!BK49</f>
        <v>14082</v>
      </c>
      <c r="BE39" s="19">
        <f>'D2C - Retail'!BL49</f>
        <v>15567</v>
      </c>
      <c r="BF39" s="19">
        <f>'D2C - Retail'!BM49</f>
        <v>13556</v>
      </c>
      <c r="BG39" s="19">
        <f>'D2C - Retail'!BN49</f>
        <v>12405</v>
      </c>
      <c r="BH39" s="19">
        <f>'D2C - Retail'!BO49</f>
        <v>16385</v>
      </c>
      <c r="BI39" s="19">
        <f>'D2C - Retail'!BP49</f>
        <v>14752</v>
      </c>
      <c r="BJ39" s="19">
        <f>'D2C - Retail'!BQ49</f>
        <v>18610</v>
      </c>
      <c r="BK39" s="19">
        <f>'D2C - Retail'!BR49</f>
        <v>19779</v>
      </c>
      <c r="BL39" s="19">
        <f>'D2C - Retail'!BS49</f>
        <v>18826</v>
      </c>
      <c r="BM39" s="19">
        <f>'D2C - Retail'!BT49</f>
        <v>22176</v>
      </c>
      <c r="BN39" s="19">
        <f>'D2C - Retail'!BU49</f>
        <v>19248.643016106773</v>
      </c>
      <c r="BO39" s="19">
        <f>'D2C - Retail'!BV49</f>
        <v>18803.198316148151</v>
      </c>
      <c r="BP39" s="19">
        <f>'D2C - Retail'!BW49</f>
        <v>18740.231032679196</v>
      </c>
      <c r="BQ39" s="19">
        <f>'D2C - Retail'!BX49</f>
        <v>20416.32429285497</v>
      </c>
      <c r="BR39" s="19">
        <f>'D2C - Retail'!BY49</f>
        <v>18043.283247391348</v>
      </c>
      <c r="BS39" s="19">
        <f>'D2C - Retail'!BZ49</f>
        <v>16607.401546710291</v>
      </c>
      <c r="BT39" s="19">
        <f>'D2C - Retail'!CA49</f>
        <v>21132.46495811686</v>
      </c>
      <c r="BU39" s="19">
        <f>'D2C - Retail'!CB49</f>
        <v>19304.800585212601</v>
      </c>
      <c r="BV39" s="19">
        <f>'D2C - Retail'!CC49</f>
        <v>23282.818883836964</v>
      </c>
      <c r="BW39" s="19">
        <f>'D2C - Retail'!CD49</f>
        <v>23884.337333037154</v>
      </c>
      <c r="BX39" s="19">
        <f>'D2C - Retail'!CE49</f>
        <v>22065.350659737898</v>
      </c>
      <c r="BY39" s="19">
        <f>'D2C - Retail'!CF49</f>
        <v>25933.34905768908</v>
      </c>
      <c r="BZ39" s="19">
        <f>'D2C - Retail'!CG49</f>
        <v>22928.530651538953</v>
      </c>
      <c r="CA39" s="19">
        <f>'D2C - Retail'!CH49</f>
        <v>22458.069988849446</v>
      </c>
      <c r="CB39" s="19">
        <f>'D2C - Retail'!CI49</f>
        <v>22268.484406115716</v>
      </c>
      <c r="CC39" s="19">
        <f>'D2C - Retail'!CJ49</f>
        <v>24237.093553374973</v>
      </c>
      <c r="CD39" s="19">
        <f>'D2C - Retail'!CK49</f>
        <v>21390.021269084911</v>
      </c>
      <c r="CE39" s="19">
        <f>'D2C - Retail'!CL49</f>
        <v>19652.09183027385</v>
      </c>
      <c r="CF39" s="19">
        <f>'D2C - Retail'!CM49</f>
        <v>24897.205270537288</v>
      </c>
      <c r="CG39" s="19">
        <f>'D2C - Retail'!CN49</f>
        <v>22636.193215384505</v>
      </c>
      <c r="CH39" s="19">
        <f>'D2C - Retail'!CO49</f>
        <v>27184.264210317757</v>
      </c>
      <c r="CI39" s="19">
        <f>'D2C - Retail'!CP49</f>
        <v>27768.973807318493</v>
      </c>
      <c r="CJ39" s="19">
        <f>'D2C - Retail'!CQ49</f>
        <v>25538.135962435284</v>
      </c>
      <c r="CK39" s="19">
        <f>'D2C - Retail'!CR49</f>
        <v>29668.525451818921</v>
      </c>
      <c r="CL39" s="19">
        <f>'D2C - Retail'!CS49</f>
        <v>26214.953378259543</v>
      </c>
      <c r="CM39" s="19">
        <f>'D2C - Retail'!CT49</f>
        <v>25654.026102647254</v>
      </c>
      <c r="CN39" s="19">
        <f>'D2C - Retail'!CU49</f>
        <v>25422.511561091014</v>
      </c>
      <c r="CO39" s="19">
        <f>'D2C - Retail'!CV49</f>
        <v>27653.911254672064</v>
      </c>
      <c r="CP39" s="19">
        <f>'D2C - Retail'!CW49</f>
        <v>24384.624246756801</v>
      </c>
      <c r="CQ39" s="19">
        <f>'D2C - Retail'!CX49</f>
        <v>22378.473584192128</v>
      </c>
      <c r="CR39" s="19">
        <f>'D2C - Retail'!CY49</f>
        <v>28343.502631669555</v>
      </c>
      <c r="CS39" s="19">
        <f>'D2C - Retail'!CZ49</f>
        <v>25755.571060919196</v>
      </c>
      <c r="CT39" s="19">
        <f>'D2C - Retail'!DA49</f>
        <v>30922.100539236457</v>
      </c>
      <c r="CU39" s="19">
        <f>'D2C - Retail'!DB49</f>
        <v>31578.80014455094</v>
      </c>
      <c r="CV39" s="19">
        <f>'D2C - Retail'!DC49</f>
        <v>29026.592678953508</v>
      </c>
      <c r="CW39" s="19">
        <f>'D2C - Retail'!DD49</f>
        <v>33712.386112717533</v>
      </c>
      <c r="CX39" s="168"/>
      <c r="CY39" s="19">
        <f t="shared" si="150"/>
        <v>39801</v>
      </c>
      <c r="CZ39" s="19">
        <f t="shared" si="151"/>
        <v>36224</v>
      </c>
      <c r="DA39" s="19">
        <f t="shared" si="152"/>
        <v>38496</v>
      </c>
      <c r="DB39" s="19">
        <f t="shared" si="153"/>
        <v>30520</v>
      </c>
      <c r="DC39" s="19">
        <f t="shared" si="154"/>
        <v>36363</v>
      </c>
      <c r="DD39" s="19">
        <f t="shared" si="155"/>
        <v>29958</v>
      </c>
      <c r="DE39" s="19">
        <f t="shared" si="156"/>
        <v>32922</v>
      </c>
      <c r="DF39" s="19">
        <f t="shared" si="157"/>
        <v>37940</v>
      </c>
      <c r="DG39" s="19">
        <f t="shared" si="158"/>
        <v>41936</v>
      </c>
      <c r="DH39" s="19">
        <f t="shared" si="159"/>
        <v>41528</v>
      </c>
      <c r="DI39" s="19">
        <f t="shared" si="160"/>
        <v>49747</v>
      </c>
      <c r="DJ39" s="19">
        <f t="shared" si="161"/>
        <v>60781</v>
      </c>
      <c r="DK39" s="19">
        <f t="shared" si="162"/>
        <v>56792.072364934123</v>
      </c>
      <c r="DL39" s="19">
        <f t="shared" si="163"/>
        <v>55067.009086956605</v>
      </c>
      <c r="DM39" s="19">
        <f t="shared" si="164"/>
        <v>63720.084427166425</v>
      </c>
      <c r="DN39" s="19">
        <f t="shared" si="165"/>
        <v>71883.037050464132</v>
      </c>
      <c r="DO39" s="19">
        <f t="shared" si="166"/>
        <v>67655.085046504115</v>
      </c>
      <c r="DP39" s="19">
        <f t="shared" si="167"/>
        <v>65279.206652733737</v>
      </c>
      <c r="DQ39" s="19">
        <f t="shared" si="168"/>
        <v>74717.662696239538</v>
      </c>
      <c r="DR39" s="19">
        <f t="shared" si="169"/>
        <v>82975.635221572695</v>
      </c>
      <c r="DS39" s="19">
        <f t="shared" si="170"/>
        <v>77291.491041997811</v>
      </c>
      <c r="DT39" s="19">
        <f t="shared" si="171"/>
        <v>74417.009085620986</v>
      </c>
      <c r="DU39" s="19">
        <f t="shared" si="172"/>
        <v>85021.174231825207</v>
      </c>
      <c r="DV39" s="19">
        <f t="shared" si="173"/>
        <v>94317.778936221977</v>
      </c>
      <c r="DX39" s="19">
        <f t="shared" si="174"/>
        <v>145041</v>
      </c>
      <c r="DY39" s="19">
        <f t="shared" si="175"/>
        <v>137183</v>
      </c>
      <c r="DZ39" s="19">
        <f t="shared" si="176"/>
        <v>193992</v>
      </c>
      <c r="EA39" s="19">
        <f t="shared" si="177"/>
        <v>247462.20292952127</v>
      </c>
      <c r="EB39" s="19">
        <f t="shared" si="178"/>
        <v>290627.58961705008</v>
      </c>
      <c r="EC39" s="770">
        <f t="shared" si="179"/>
        <v>331047.45329566597</v>
      </c>
    </row>
    <row r="40" spans="2:133" x14ac:dyDescent="0.2">
      <c r="B40" s="22" t="s">
        <v>243</v>
      </c>
      <c r="C40" s="19">
        <f>'D2C Online'!AA44</f>
        <v>247</v>
      </c>
      <c r="D40" s="19">
        <f>'D2C Online'!AB44</f>
        <v>246</v>
      </c>
      <c r="E40" s="19">
        <f>'D2C Online'!AC44</f>
        <v>355</v>
      </c>
      <c r="F40" s="19">
        <f>'D2C Online'!AD44</f>
        <v>288</v>
      </c>
      <c r="G40" s="19">
        <f>'D2C Online'!AE44</f>
        <v>283</v>
      </c>
      <c r="H40" s="19">
        <f>'D2C Online'!AF44</f>
        <v>345</v>
      </c>
      <c r="I40" s="19">
        <f>'D2C Online'!AG44</f>
        <v>372</v>
      </c>
      <c r="J40" s="19">
        <f>'D2C Online'!AH44</f>
        <v>409</v>
      </c>
      <c r="K40" s="19">
        <f>'D2C Online'!AI44</f>
        <v>426</v>
      </c>
      <c r="L40" s="19">
        <f>'D2C Online'!AJ44</f>
        <v>200</v>
      </c>
      <c r="M40" s="19">
        <f>'D2C Online'!AK44</f>
        <v>754</v>
      </c>
      <c r="N40" s="19">
        <f>'D2C Online'!AL44</f>
        <v>883</v>
      </c>
      <c r="O40" s="19">
        <f>'D2C Online'!AM44</f>
        <v>1382</v>
      </c>
      <c r="P40" s="19">
        <f>'D2C Online'!AN44</f>
        <v>1458</v>
      </c>
      <c r="Q40" s="19">
        <f>'D2C Online'!AO44</f>
        <v>955</v>
      </c>
      <c r="R40" s="19">
        <f>'D2C Online'!AP44</f>
        <v>1068</v>
      </c>
      <c r="S40" s="19">
        <f>'D2C Online'!AQ44</f>
        <v>1202</v>
      </c>
      <c r="T40" s="19">
        <f>'D2C Online'!AR44</f>
        <v>1961</v>
      </c>
      <c r="U40" s="19">
        <f>'D2C Online'!AS44</f>
        <v>1887</v>
      </c>
      <c r="V40" s="19">
        <f>'D2C Online'!AT44</f>
        <v>1463</v>
      </c>
      <c r="W40" s="19">
        <f>'D2C Online'!AU44</f>
        <v>1644</v>
      </c>
      <c r="X40" s="19">
        <f>'D2C Online'!AV44</f>
        <v>2401</v>
      </c>
      <c r="Y40" s="19">
        <f>'D2C Online'!AW44</f>
        <v>1633</v>
      </c>
      <c r="Z40" s="19">
        <f>'D2C Online'!AX44</f>
        <v>1677</v>
      </c>
      <c r="AA40" s="19">
        <f>'D2C Online'!AY44</f>
        <v>1916</v>
      </c>
      <c r="AB40" s="19">
        <f>'D2C Online'!AZ44</f>
        <v>3127</v>
      </c>
      <c r="AC40" s="19">
        <f>'D2C Online'!BA44</f>
        <v>5268</v>
      </c>
      <c r="AD40" s="19">
        <f>'D2C Online'!BB44</f>
        <v>7153</v>
      </c>
      <c r="AE40" s="19">
        <f>'D2C Online'!BC44</f>
        <v>7294</v>
      </c>
      <c r="AF40" s="19">
        <f>'D2C Online'!BD44</f>
        <v>9565</v>
      </c>
      <c r="AG40" s="19">
        <f>'D2C Online'!BE44</f>
        <v>6251</v>
      </c>
      <c r="AH40" s="19">
        <f>'D2C Online'!BF44</f>
        <v>7619</v>
      </c>
      <c r="AI40" s="19">
        <f>'D2C Online'!BG44</f>
        <v>7870</v>
      </c>
      <c r="AJ40" s="19">
        <f>'D2C Online'!BH44</f>
        <v>10258</v>
      </c>
      <c r="AK40" s="19">
        <f>'D2C Online'!BI44</f>
        <v>9162</v>
      </c>
      <c r="AL40" s="19">
        <f>'D2C Online'!BJ44</f>
        <v>8312</v>
      </c>
      <c r="AM40" s="19">
        <f>'D2C Online'!BK44</f>
        <v>8730</v>
      </c>
      <c r="AN40" s="19">
        <f>'D2C Online'!BL44</f>
        <v>5914</v>
      </c>
      <c r="AO40" s="19">
        <f>'D2C Online'!BM44</f>
        <v>9130</v>
      </c>
      <c r="AP40" s="19">
        <f>'D2C Online'!BN44</f>
        <v>8412</v>
      </c>
      <c r="AQ40" s="19">
        <f>'D2C Online'!BO44</f>
        <v>8850</v>
      </c>
      <c r="AR40" s="19">
        <f>'D2C Online'!BP44</f>
        <v>9253</v>
      </c>
      <c r="AS40" s="19">
        <f>'D2C Online'!BQ44</f>
        <v>9632</v>
      </c>
      <c r="AT40" s="19">
        <f>'D2C Online'!BR44</f>
        <v>8794</v>
      </c>
      <c r="AU40" s="19">
        <f>'D2C Online'!BS44</f>
        <v>8867</v>
      </c>
      <c r="AV40" s="19">
        <f>'D2C Online'!BT44</f>
        <v>8865</v>
      </c>
      <c r="AW40" s="19">
        <f>'D2C Online'!BU44</f>
        <v>7938</v>
      </c>
      <c r="AX40" s="19">
        <f>'D2C Online'!BV44</f>
        <v>9864</v>
      </c>
      <c r="AY40" s="19">
        <f>'D2C Online'!BW44</f>
        <v>11056</v>
      </c>
      <c r="AZ40" s="19">
        <f>'D2C Online'!BX44</f>
        <v>10929</v>
      </c>
      <c r="BA40" s="19">
        <f>'D2C Online'!BY44</f>
        <v>14334</v>
      </c>
      <c r="BB40" s="19">
        <f>'D2C Online'!BZ44</f>
        <v>11613</v>
      </c>
      <c r="BC40" s="19">
        <f>'D2C Online'!CA44</f>
        <v>12041</v>
      </c>
      <c r="BD40" s="19">
        <f>'D2C Online'!CB44</f>
        <v>12192.285714285714</v>
      </c>
      <c r="BE40" s="19">
        <f>'D2C Online'!CC44</f>
        <v>12753</v>
      </c>
      <c r="BF40" s="19">
        <f>'D2C Online'!CD44</f>
        <v>11762</v>
      </c>
      <c r="BG40" s="19">
        <f>'D2C Online'!CE44</f>
        <v>15097</v>
      </c>
      <c r="BH40" s="19">
        <f>'D2C Online'!CF44</f>
        <v>12366</v>
      </c>
      <c r="BI40" s="19">
        <f>'D2C Online'!CG44</f>
        <v>12725</v>
      </c>
      <c r="BJ40" s="19">
        <f>'D2C Online'!CH44</f>
        <v>15982</v>
      </c>
      <c r="BK40" s="19">
        <f>'D2C Online'!CI44</f>
        <v>17576</v>
      </c>
      <c r="BL40" s="19">
        <f>'D2C Online'!CJ44</f>
        <v>14807</v>
      </c>
      <c r="BM40" s="19">
        <f>'D2C Online'!CK44</f>
        <v>16187</v>
      </c>
      <c r="BN40" s="19">
        <f>'D2C Online'!CL44</f>
        <v>14757.837443303892</v>
      </c>
      <c r="BO40" s="19">
        <f>'D2C Online'!CM44</f>
        <v>14908.037655765098</v>
      </c>
      <c r="BP40" s="19">
        <f>'D2C Online'!CN44</f>
        <v>14897.372551921699</v>
      </c>
      <c r="BQ40" s="19">
        <f>'D2C Online'!CO44</f>
        <v>15122.228491286704</v>
      </c>
      <c r="BR40" s="19">
        <f>'D2C Online'!CP44</f>
        <v>14249.467493435186</v>
      </c>
      <c r="BS40" s="19">
        <f>'D2C Online'!CQ44</f>
        <v>15587.938025781808</v>
      </c>
      <c r="BT40" s="19">
        <f>'D2C Online'!CR44</f>
        <v>15156.890078777749</v>
      </c>
      <c r="BU40" s="19">
        <f>'D2C Online'!CS44</f>
        <v>15192.440424922414</v>
      </c>
      <c r="BV40" s="19">
        <f>'D2C Online'!CT44</f>
        <v>18648.82282883743</v>
      </c>
      <c r="BW40" s="19">
        <f>'D2C Online'!CU44</f>
        <v>20093.944399618045</v>
      </c>
      <c r="BX40" s="19">
        <f>'D2C Online'!CV44</f>
        <v>17226.808983050847</v>
      </c>
      <c r="BY40" s="19">
        <f>'D2C Online'!CW44</f>
        <v>18615.049999999996</v>
      </c>
      <c r="BZ40" s="19">
        <f>'D2C Online'!CX44</f>
        <v>16971.513059799472</v>
      </c>
      <c r="CA40" s="19">
        <f>'D2C Online'!CY44</f>
        <v>17144.243304129861</v>
      </c>
      <c r="CB40" s="19">
        <f>'D2C Online'!CZ44</f>
        <v>17131.978434709952</v>
      </c>
      <c r="CC40" s="19">
        <f>'D2C Online'!DA44</f>
        <v>17390.562764979706</v>
      </c>
      <c r="CD40" s="19">
        <f>'D2C Online'!DB44</f>
        <v>16386.887617450462</v>
      </c>
      <c r="CE40" s="19">
        <f>'D2C Online'!DC44</f>
        <v>17926.128729649077</v>
      </c>
      <c r="CF40" s="19">
        <f>'D2C Online'!DD44</f>
        <v>17430.423590594412</v>
      </c>
      <c r="CG40" s="19">
        <f>'D2C Online'!DE44</f>
        <v>17471.306488660775</v>
      </c>
      <c r="CH40" s="19">
        <f>'D2C Online'!DF44</f>
        <v>21446.146253163039</v>
      </c>
      <c r="CI40" s="19">
        <f>'D2C Online'!DG44</f>
        <v>23108.036059560749</v>
      </c>
      <c r="CJ40" s="19">
        <f>'D2C Online'!DH44</f>
        <v>19810.83033050847</v>
      </c>
      <c r="CK40" s="19">
        <f>'D2C Online'!DI44</f>
        <v>21407.307499999995</v>
      </c>
      <c r="CL40" s="19">
        <f>'D2C Online'!DJ44</f>
        <v>19517.240018769393</v>
      </c>
      <c r="CM40" s="19">
        <f>'D2C Online'!DK44</f>
        <v>19715.879799749338</v>
      </c>
      <c r="CN40" s="19">
        <f>'D2C Online'!DL44</f>
        <v>19701.775199916447</v>
      </c>
      <c r="CO40" s="19">
        <f>'D2C Online'!DM44</f>
        <v>19999.147179726664</v>
      </c>
      <c r="CP40" s="19">
        <f>'D2C Online'!DN44</f>
        <v>18844.920760068027</v>
      </c>
      <c r="CQ40" s="19">
        <f>'D2C Online'!DO44</f>
        <v>20615.048039096437</v>
      </c>
      <c r="CR40" s="19">
        <f>'D2C Online'!DP44</f>
        <v>20044.98712918357</v>
      </c>
      <c r="CS40" s="19">
        <f>'D2C Online'!DQ44</f>
        <v>20092.002461959888</v>
      </c>
      <c r="CT40" s="19">
        <f>'D2C Online'!DR44</f>
        <v>24663.068191137496</v>
      </c>
      <c r="CU40" s="19">
        <f>'D2C Online'!DS44</f>
        <v>26574.24146849486</v>
      </c>
      <c r="CV40" s="19">
        <f>'D2C Online'!DT44</f>
        <v>22782.454880084737</v>
      </c>
      <c r="CW40" s="19">
        <f>'D2C Online'!DU44</f>
        <v>24618.403624999992</v>
      </c>
      <c r="CX40" s="168"/>
      <c r="CY40" s="19">
        <f t="shared" si="150"/>
        <v>24012</v>
      </c>
      <c r="CZ40" s="19">
        <f t="shared" si="151"/>
        <v>21740</v>
      </c>
      <c r="DA40" s="19">
        <f t="shared" si="152"/>
        <v>27732</v>
      </c>
      <c r="DB40" s="19">
        <f t="shared" si="153"/>
        <v>23774</v>
      </c>
      <c r="DC40" s="19">
        <f t="shared" si="154"/>
        <v>26515</v>
      </c>
      <c r="DD40" s="19">
        <f t="shared" si="155"/>
        <v>27293</v>
      </c>
      <c r="DE40" s="19">
        <f t="shared" si="156"/>
        <v>26667</v>
      </c>
      <c r="DF40" s="19">
        <f t="shared" si="157"/>
        <v>36319</v>
      </c>
      <c r="DG40" s="19">
        <f t="shared" si="158"/>
        <v>35846.28571428571</v>
      </c>
      <c r="DH40" s="19">
        <f t="shared" si="159"/>
        <v>39612</v>
      </c>
      <c r="DI40" s="19">
        <f t="shared" si="160"/>
        <v>41073</v>
      </c>
      <c r="DJ40" s="19">
        <f t="shared" si="161"/>
        <v>48570</v>
      </c>
      <c r="DK40" s="19">
        <f t="shared" si="162"/>
        <v>44563.247650990685</v>
      </c>
      <c r="DL40" s="19">
        <f t="shared" si="163"/>
        <v>44959.634010503694</v>
      </c>
      <c r="DM40" s="19">
        <f t="shared" si="164"/>
        <v>48998.153332537593</v>
      </c>
      <c r="DN40" s="19">
        <f t="shared" si="165"/>
        <v>55935.803382668884</v>
      </c>
      <c r="DO40" s="19">
        <f t="shared" si="166"/>
        <v>51247.734798639285</v>
      </c>
      <c r="DP40" s="19">
        <f t="shared" si="167"/>
        <v>51703.579112079242</v>
      </c>
      <c r="DQ40" s="19">
        <f t="shared" si="168"/>
        <v>56347.876332418222</v>
      </c>
      <c r="DR40" s="19">
        <f t="shared" si="169"/>
        <v>64326.173890069214</v>
      </c>
      <c r="DS40" s="19">
        <f t="shared" si="170"/>
        <v>58934.895018435178</v>
      </c>
      <c r="DT40" s="19">
        <f t="shared" si="171"/>
        <v>59459.115978891132</v>
      </c>
      <c r="DU40" s="19">
        <f t="shared" si="172"/>
        <v>64800.057782280957</v>
      </c>
      <c r="DV40" s="19">
        <f t="shared" si="173"/>
        <v>73975.099973579592</v>
      </c>
      <c r="DX40" s="19">
        <f t="shared" si="174"/>
        <v>97258</v>
      </c>
      <c r="DY40" s="19">
        <f t="shared" si="175"/>
        <v>116794</v>
      </c>
      <c r="DZ40" s="19">
        <f t="shared" si="176"/>
        <v>165101.28571428571</v>
      </c>
      <c r="EA40" s="19">
        <f t="shared" si="177"/>
        <v>194456.83837670085</v>
      </c>
      <c r="EB40" s="19">
        <f t="shared" si="178"/>
        <v>223625.36413320596</v>
      </c>
      <c r="EC40" s="770">
        <f t="shared" si="179"/>
        <v>257169.16875318688</v>
      </c>
    </row>
    <row r="41" spans="2:133" x14ac:dyDescent="0.2">
      <c r="B41" s="22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68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X41" s="19"/>
      <c r="DY41" s="19"/>
      <c r="DZ41" s="19"/>
      <c r="EA41" s="19"/>
      <c r="EB41" s="19"/>
      <c r="EC41" s="770"/>
    </row>
    <row r="42" spans="2:133" x14ac:dyDescent="0.2">
      <c r="B42" s="172" t="s">
        <v>14</v>
      </c>
      <c r="C42" s="158">
        <f>C30/C38</f>
        <v>18665.360737830495</v>
      </c>
      <c r="D42" s="158">
        <f>D30/D38</f>
        <v>16210.852311460651</v>
      </c>
      <c r="E42" s="158">
        <f t="shared" ref="E42:BP42" si="180">E30/E38</f>
        <v>13478.91505041558</v>
      </c>
      <c r="F42" s="158">
        <f t="shared" si="180"/>
        <v>13571.555420026043</v>
      </c>
      <c r="G42" s="158">
        <f t="shared" si="180"/>
        <v>12089.173078498641</v>
      </c>
      <c r="H42" s="158">
        <f t="shared" si="180"/>
        <v>12883.305925990593</v>
      </c>
      <c r="I42" s="158">
        <f t="shared" si="180"/>
        <v>12611.472508529174</v>
      </c>
      <c r="J42" s="158">
        <f t="shared" si="180"/>
        <v>12658.024071299424</v>
      </c>
      <c r="K42" s="158">
        <f t="shared" si="180"/>
        <v>12298.916351142314</v>
      </c>
      <c r="L42" s="158">
        <f t="shared" si="180"/>
        <v>13756.41467278291</v>
      </c>
      <c r="M42" s="158">
        <f t="shared" si="180"/>
        <v>14907.436165067191</v>
      </c>
      <c r="N42" s="158">
        <f t="shared" si="180"/>
        <v>14298.570113840215</v>
      </c>
      <c r="O42" s="158">
        <f t="shared" si="180"/>
        <v>14355.935226457832</v>
      </c>
      <c r="P42" s="158">
        <f t="shared" si="180"/>
        <v>15204.755166871948</v>
      </c>
      <c r="Q42" s="158">
        <f t="shared" si="180"/>
        <v>15872.443311070412</v>
      </c>
      <c r="R42" s="158">
        <f t="shared" si="180"/>
        <v>15719.296765453699</v>
      </c>
      <c r="S42" s="158">
        <f t="shared" si="180"/>
        <v>14732.156934173905</v>
      </c>
      <c r="T42" s="158">
        <f t="shared" si="180"/>
        <v>17007.200432102611</v>
      </c>
      <c r="U42" s="158">
        <f t="shared" si="180"/>
        <v>15413.863467642266</v>
      </c>
      <c r="V42" s="158">
        <f t="shared" si="180"/>
        <v>14857.453289142395</v>
      </c>
      <c r="W42" s="158">
        <f t="shared" si="180"/>
        <v>14091.587067220806</v>
      </c>
      <c r="X42" s="158">
        <f t="shared" si="180"/>
        <v>16320.702140600917</v>
      </c>
      <c r="Y42" s="158">
        <f t="shared" si="180"/>
        <v>17462.457769958335</v>
      </c>
      <c r="Z42" s="158">
        <f t="shared" si="180"/>
        <v>18469.353951251873</v>
      </c>
      <c r="AA42" s="158">
        <f t="shared" si="180"/>
        <v>19809.329250970175</v>
      </c>
      <c r="AB42" s="158">
        <f t="shared" si="180"/>
        <v>20759.709494297389</v>
      </c>
      <c r="AC42" s="158">
        <f t="shared" si="180"/>
        <v>22850.347107708036</v>
      </c>
      <c r="AD42" s="158">
        <f t="shared" si="180"/>
        <v>23224.825208526938</v>
      </c>
      <c r="AE42" s="158">
        <f t="shared" si="180"/>
        <v>22308.638581511488</v>
      </c>
      <c r="AF42" s="158">
        <f t="shared" si="180"/>
        <v>21164.773688925423</v>
      </c>
      <c r="AG42" s="158">
        <f t="shared" si="180"/>
        <v>21502.484137476018</v>
      </c>
      <c r="AH42" s="158">
        <f t="shared" si="180"/>
        <v>20846.262564421224</v>
      </c>
      <c r="AI42" s="158">
        <f t="shared" si="180"/>
        <v>21603.065184948096</v>
      </c>
      <c r="AJ42" s="158">
        <f t="shared" si="180"/>
        <v>25830.032974308418</v>
      </c>
      <c r="AK42" s="158">
        <f t="shared" si="180"/>
        <v>23866.92012939808</v>
      </c>
      <c r="AL42" s="158">
        <f t="shared" si="180"/>
        <v>23868.220027072271</v>
      </c>
      <c r="AM42" s="158">
        <f t="shared" si="180"/>
        <v>23461.58222947803</v>
      </c>
      <c r="AN42" s="158">
        <f t="shared" si="180"/>
        <v>24771.345368899514</v>
      </c>
      <c r="AO42" s="158">
        <f t="shared" si="180"/>
        <v>23384.703316276416</v>
      </c>
      <c r="AP42" s="158">
        <f t="shared" si="180"/>
        <v>23748.682083798198</v>
      </c>
      <c r="AQ42" s="158">
        <f t="shared" si="180"/>
        <v>24508.124016629037</v>
      </c>
      <c r="AR42" s="158">
        <f t="shared" si="180"/>
        <v>24163.144990668872</v>
      </c>
      <c r="AS42" s="158">
        <f t="shared" si="180"/>
        <v>24315.957150025064</v>
      </c>
      <c r="AT42" s="158">
        <f t="shared" si="180"/>
        <v>24899.766371588299</v>
      </c>
      <c r="AU42" s="158">
        <f t="shared" si="180"/>
        <v>25255.973289029931</v>
      </c>
      <c r="AV42" s="158">
        <f t="shared" si="180"/>
        <v>27885.801271583627</v>
      </c>
      <c r="AW42" s="158">
        <f t="shared" si="180"/>
        <v>27977.629984234743</v>
      </c>
      <c r="AX42" s="158">
        <f t="shared" si="180"/>
        <v>27604.49285530085</v>
      </c>
      <c r="AY42" s="158">
        <f t="shared" si="180"/>
        <v>27895.205281142084</v>
      </c>
      <c r="AZ42" s="158">
        <f t="shared" si="180"/>
        <v>27619.16822652347</v>
      </c>
      <c r="BA42" s="158">
        <f t="shared" si="180"/>
        <v>27805.695017337715</v>
      </c>
      <c r="BB42" s="158">
        <f t="shared" si="180"/>
        <v>28522.859264386167</v>
      </c>
      <c r="BC42" s="158">
        <f t="shared" si="180"/>
        <v>27552.630583825416</v>
      </c>
      <c r="BD42" s="158">
        <f t="shared" si="180"/>
        <v>27516.067829221225</v>
      </c>
      <c r="BE42" s="158">
        <f t="shared" si="180"/>
        <v>27427.654740376325</v>
      </c>
      <c r="BF42" s="158">
        <f t="shared" si="180"/>
        <v>26157.942169997663</v>
      </c>
      <c r="BG42" s="158">
        <f t="shared" si="180"/>
        <v>26201.462348800131</v>
      </c>
      <c r="BH42" s="158">
        <f t="shared" si="180"/>
        <v>29098.071194653679</v>
      </c>
      <c r="BI42" s="158">
        <f t="shared" si="180"/>
        <v>28245.489050136475</v>
      </c>
      <c r="BJ42" s="158">
        <f t="shared" si="180"/>
        <v>27641.892907464007</v>
      </c>
      <c r="BK42" s="158">
        <f t="shared" si="180"/>
        <v>27794.166549341135</v>
      </c>
      <c r="BL42" s="158">
        <f t="shared" si="180"/>
        <v>27865.613969546415</v>
      </c>
      <c r="BM42" s="158">
        <f t="shared" si="180"/>
        <v>28846.577989246114</v>
      </c>
      <c r="BN42" s="158">
        <f t="shared" si="180"/>
        <v>28707.563819827014</v>
      </c>
      <c r="BO42" s="158">
        <f t="shared" si="180"/>
        <v>28661.638563563381</v>
      </c>
      <c r="BP42" s="158">
        <f t="shared" si="180"/>
        <v>28657.198259965968</v>
      </c>
      <c r="BQ42" s="158">
        <f t="shared" ref="BQ42:CK42" si="181">BQ30/BQ38</f>
        <v>28754.434090713119</v>
      </c>
      <c r="BR42" s="158">
        <f t="shared" si="181"/>
        <v>28662.084236103074</v>
      </c>
      <c r="BS42" s="158">
        <f t="shared" si="181"/>
        <v>28427.528987335114</v>
      </c>
      <c r="BT42" s="158">
        <f t="shared" si="181"/>
        <v>28796.198867243224</v>
      </c>
      <c r="BU42" s="158">
        <f t="shared" si="181"/>
        <v>28668.754348941729</v>
      </c>
      <c r="BV42" s="158">
        <f t="shared" si="181"/>
        <v>28656.066573138742</v>
      </c>
      <c r="BW42" s="158">
        <f t="shared" si="181"/>
        <v>28592.021281835037</v>
      </c>
      <c r="BX42" s="158">
        <f t="shared" si="181"/>
        <v>28685.73610899545</v>
      </c>
      <c r="BY42" s="158">
        <f t="shared" si="181"/>
        <v>28803.603711764528</v>
      </c>
      <c r="BZ42" s="158">
        <f t="shared" si="181"/>
        <v>29671.746671039979</v>
      </c>
      <c r="CA42" s="158">
        <f t="shared" si="181"/>
        <v>29627.655972809262</v>
      </c>
      <c r="CB42" s="158">
        <f t="shared" si="181"/>
        <v>29616.07038137077</v>
      </c>
      <c r="CC42" s="158">
        <f t="shared" si="181"/>
        <v>29715.869253222689</v>
      </c>
      <c r="CD42" s="158">
        <f t="shared" si="181"/>
        <v>29618.246355295774</v>
      </c>
      <c r="CE42" s="158">
        <f t="shared" si="181"/>
        <v>29370.940714680477</v>
      </c>
      <c r="CF42" s="158">
        <f t="shared" si="181"/>
        <v>29749.132592895861</v>
      </c>
      <c r="CG42" s="158">
        <f t="shared" si="181"/>
        <v>29610.03143305545</v>
      </c>
      <c r="CH42" s="158">
        <f t="shared" si="181"/>
        <v>29589.974809428288</v>
      </c>
      <c r="CI42" s="158">
        <f t="shared" si="181"/>
        <v>29517.016309609273</v>
      </c>
      <c r="CJ42" s="158">
        <f t="shared" si="181"/>
        <v>29609.326523278418</v>
      </c>
      <c r="CK42" s="158">
        <f t="shared" si="181"/>
        <v>29716.174908154389</v>
      </c>
      <c r="CL42" s="158">
        <f t="shared" ref="CL42:CW42" si="182">CL30/CL38</f>
        <v>30005.353262812187</v>
      </c>
      <c r="CM42" s="158">
        <f t="shared" si="182"/>
        <v>29966.232803014111</v>
      </c>
      <c r="CN42" s="158">
        <f t="shared" si="182"/>
        <v>29955.497384681308</v>
      </c>
      <c r="CO42" s="158">
        <f t="shared" si="182"/>
        <v>30041.022261708906</v>
      </c>
      <c r="CP42" s="158">
        <f t="shared" si="182"/>
        <v>29955.355069886784</v>
      </c>
      <c r="CQ42" s="158">
        <f t="shared" si="182"/>
        <v>29740.986536424713</v>
      </c>
      <c r="CR42" s="158">
        <f t="shared" si="182"/>
        <v>30067.009907725434</v>
      </c>
      <c r="CS42" s="158">
        <f t="shared" si="182"/>
        <v>29946.199041766606</v>
      </c>
      <c r="CT42" s="158">
        <f t="shared" si="182"/>
        <v>29929.520435249495</v>
      </c>
      <c r="CU42" s="158">
        <f t="shared" si="182"/>
        <v>29866.541884323757</v>
      </c>
      <c r="CV42" s="158">
        <f t="shared" si="182"/>
        <v>29944.885800173393</v>
      </c>
      <c r="CW42" s="158">
        <f t="shared" si="182"/>
        <v>30037.175007288246</v>
      </c>
      <c r="CX42" s="168"/>
      <c r="CY42" s="158">
        <f t="shared" si="150"/>
        <v>66698.237478963856</v>
      </c>
      <c r="CZ42" s="158">
        <f t="shared" si="151"/>
        <v>63951.811886845331</v>
      </c>
      <c r="DA42" s="158">
        <f t="shared" si="152"/>
        <v>73565.17313077877</v>
      </c>
      <c r="DB42" s="158">
        <f t="shared" si="153"/>
        <v>71617.630914653957</v>
      </c>
      <c r="DC42" s="158">
        <f t="shared" si="154"/>
        <v>72419.951091096096</v>
      </c>
      <c r="DD42" s="158">
        <f t="shared" si="155"/>
        <v>74471.696810643291</v>
      </c>
      <c r="DE42" s="158">
        <f t="shared" si="156"/>
        <v>83467.924111119224</v>
      </c>
      <c r="DF42" s="158">
        <f t="shared" si="157"/>
        <v>83320.068525003269</v>
      </c>
      <c r="DG42" s="158">
        <f t="shared" si="158"/>
        <v>83591.557677432807</v>
      </c>
      <c r="DH42" s="158">
        <f t="shared" si="159"/>
        <v>79787.05925917413</v>
      </c>
      <c r="DI42" s="158">
        <f t="shared" si="160"/>
        <v>84985.453152254166</v>
      </c>
      <c r="DJ42" s="158">
        <f t="shared" si="161"/>
        <v>84506.358508133664</v>
      </c>
      <c r="DK42" s="158">
        <f t="shared" si="162"/>
        <v>86026.400643356363</v>
      </c>
      <c r="DL42" s="158">
        <f t="shared" si="163"/>
        <v>85844.047314151307</v>
      </c>
      <c r="DM42" s="158">
        <f t="shared" si="164"/>
        <v>86121.019789323691</v>
      </c>
      <c r="DN42" s="158">
        <f t="shared" si="165"/>
        <v>86081.361102595023</v>
      </c>
      <c r="DO42" s="158">
        <f t="shared" si="166"/>
        <v>88915.47302522001</v>
      </c>
      <c r="DP42" s="158">
        <f t="shared" si="167"/>
        <v>88705.056323198936</v>
      </c>
      <c r="DQ42" s="158">
        <f t="shared" si="168"/>
        <v>88949.138835379592</v>
      </c>
      <c r="DR42" s="158">
        <f t="shared" si="169"/>
        <v>88842.517741042073</v>
      </c>
      <c r="DS42" s="158">
        <f t="shared" si="170"/>
        <v>89927.083450507605</v>
      </c>
      <c r="DT42" s="158">
        <f t="shared" si="171"/>
        <v>89737.363868020402</v>
      </c>
      <c r="DU42" s="158">
        <f t="shared" si="172"/>
        <v>89942.729384741528</v>
      </c>
      <c r="DV42" s="158">
        <f t="shared" si="173"/>
        <v>89848.602691785389</v>
      </c>
      <c r="DX42" s="158">
        <f t="shared" si="174"/>
        <v>275832.8534112419</v>
      </c>
      <c r="DY42" s="158">
        <f t="shared" si="175"/>
        <v>313679.64053786191</v>
      </c>
      <c r="DZ42" s="158">
        <f t="shared" si="176"/>
        <v>332870.42859699478</v>
      </c>
      <c r="EA42" s="158">
        <f t="shared" si="177"/>
        <v>344072.82884942635</v>
      </c>
      <c r="EB42" s="158">
        <f t="shared" si="178"/>
        <v>355412.18592484063</v>
      </c>
      <c r="EC42" s="780">
        <f t="shared" si="179"/>
        <v>359455.77939505491</v>
      </c>
    </row>
    <row r="43" spans="2:133" x14ac:dyDescent="0.2">
      <c r="B43" s="22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68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X43" s="19"/>
      <c r="DY43" s="19"/>
      <c r="DZ43" s="19"/>
      <c r="EA43" s="19"/>
      <c r="EB43" s="19"/>
      <c r="EC43" s="770"/>
    </row>
    <row r="44" spans="2:133" x14ac:dyDescent="0.2">
      <c r="B44" s="23" t="s">
        <v>18</v>
      </c>
      <c r="C44" s="197">
        <f>SUM(C45:C46)</f>
        <v>34557621.798249714</v>
      </c>
      <c r="D44" s="197">
        <f t="shared" ref="D44:BO44" si="183">SUM(D45:D46)</f>
        <v>32507834.73987405</v>
      </c>
      <c r="E44" s="197">
        <f t="shared" si="183"/>
        <v>35749886.745310865</v>
      </c>
      <c r="F44" s="197">
        <f t="shared" si="183"/>
        <v>20713340.463818207</v>
      </c>
      <c r="G44" s="197">
        <f t="shared" si="183"/>
        <v>3417286.2187747154</v>
      </c>
      <c r="H44" s="197">
        <f t="shared" si="183"/>
        <v>14980544.587579424</v>
      </c>
      <c r="I44" s="197">
        <f t="shared" si="183"/>
        <v>20112715.815811019</v>
      </c>
      <c r="J44" s="197">
        <f t="shared" si="183"/>
        <v>26181513.412462432</v>
      </c>
      <c r="K44" s="197">
        <f t="shared" si="183"/>
        <v>36670370.388528064</v>
      </c>
      <c r="L44" s="197">
        <f t="shared" si="183"/>
        <v>43147438.962673791</v>
      </c>
      <c r="M44" s="197">
        <f t="shared" si="183"/>
        <v>65757053.775872454</v>
      </c>
      <c r="N44" s="197">
        <f t="shared" si="183"/>
        <v>78530873.07567279</v>
      </c>
      <c r="O44" s="197">
        <f t="shared" si="183"/>
        <v>85903434.528240129</v>
      </c>
      <c r="P44" s="197">
        <f t="shared" si="183"/>
        <v>91669734.196661532</v>
      </c>
      <c r="Q44" s="197">
        <f t="shared" si="183"/>
        <v>97948791.372348666</v>
      </c>
      <c r="R44" s="197">
        <f t="shared" si="183"/>
        <v>87131309.94801116</v>
      </c>
      <c r="S44" s="197">
        <f t="shared" si="183"/>
        <v>111074422.71218702</v>
      </c>
      <c r="T44" s="197">
        <f t="shared" si="183"/>
        <v>145113753.5876905</v>
      </c>
      <c r="U44" s="197">
        <f t="shared" si="183"/>
        <v>140004696.94474816</v>
      </c>
      <c r="V44" s="197">
        <f t="shared" si="183"/>
        <v>139635696.91567481</v>
      </c>
      <c r="W44" s="197">
        <f t="shared" si="183"/>
        <v>141101702.50502181</v>
      </c>
      <c r="X44" s="197">
        <f t="shared" si="183"/>
        <v>175140875.7873027</v>
      </c>
      <c r="Y44" s="197">
        <f t="shared" si="183"/>
        <v>170230541.14976349</v>
      </c>
      <c r="Z44" s="197">
        <f t="shared" si="183"/>
        <v>199039791.29353982</v>
      </c>
      <c r="AA44" s="197">
        <f t="shared" si="183"/>
        <v>223002768.24120021</v>
      </c>
      <c r="AB44" s="197">
        <f t="shared" si="183"/>
        <v>235601365.9915674</v>
      </c>
      <c r="AC44" s="197">
        <f t="shared" si="183"/>
        <v>337635518.51268053</v>
      </c>
      <c r="AD44" s="197">
        <f t="shared" si="183"/>
        <v>395323331.5314644</v>
      </c>
      <c r="AE44" s="197">
        <f t="shared" si="183"/>
        <v>402852513.08187985</v>
      </c>
      <c r="AF44" s="197">
        <f t="shared" si="183"/>
        <v>416206965.9916271</v>
      </c>
      <c r="AG44" s="197">
        <f t="shared" si="183"/>
        <v>336168798.52579916</v>
      </c>
      <c r="AH44" s="197">
        <f t="shared" si="183"/>
        <v>351298972.19095701</v>
      </c>
      <c r="AI44" s="197">
        <f t="shared" si="183"/>
        <v>367589249.76997113</v>
      </c>
      <c r="AJ44" s="197">
        <f t="shared" si="183"/>
        <v>548021455.48509908</v>
      </c>
      <c r="AK44" s="197">
        <f t="shared" si="183"/>
        <v>449659365.56172836</v>
      </c>
      <c r="AL44" s="197">
        <f t="shared" si="183"/>
        <v>397053164.24299866</v>
      </c>
      <c r="AM44" s="197">
        <f t="shared" si="183"/>
        <v>370362077.83198321</v>
      </c>
      <c r="AN44" s="197">
        <f t="shared" si="183"/>
        <v>291790179.85301352</v>
      </c>
      <c r="AO44" s="197">
        <f t="shared" si="183"/>
        <v>381061935.0377866</v>
      </c>
      <c r="AP44" s="197">
        <f t="shared" si="183"/>
        <v>395899308.49220383</v>
      </c>
      <c r="AQ44" s="197">
        <f t="shared" si="183"/>
        <v>404938706.44998717</v>
      </c>
      <c r="AR44" s="197">
        <f t="shared" si="183"/>
        <v>424475084.58372176</v>
      </c>
      <c r="AS44" s="197">
        <f t="shared" si="183"/>
        <v>420145527.30259562</v>
      </c>
      <c r="AT44" s="197">
        <f t="shared" si="183"/>
        <v>371883170.95367169</v>
      </c>
      <c r="AU44" s="197">
        <f t="shared" si="183"/>
        <v>354937305.25207663</v>
      </c>
      <c r="AV44" s="197">
        <f t="shared" si="183"/>
        <v>437939186.67802858</v>
      </c>
      <c r="AW44" s="197">
        <f t="shared" si="183"/>
        <v>407868136.61477065</v>
      </c>
      <c r="AX44" s="197">
        <f t="shared" si="183"/>
        <v>491930316.70313978</v>
      </c>
      <c r="AY44" s="197">
        <f t="shared" si="183"/>
        <v>530770991.83800894</v>
      </c>
      <c r="AZ44" s="197">
        <f t="shared" si="183"/>
        <v>509454236.81146628</v>
      </c>
      <c r="BA44" s="197">
        <f t="shared" si="183"/>
        <v>649735037.99656105</v>
      </c>
      <c r="BB44" s="197">
        <f t="shared" si="183"/>
        <v>596924924.62660801</v>
      </c>
      <c r="BC44" s="197">
        <f t="shared" si="183"/>
        <v>583098635.83854461</v>
      </c>
      <c r="BD44" s="197">
        <f t="shared" si="183"/>
        <v>582347597.91407835</v>
      </c>
      <c r="BE44" s="197">
        <f t="shared" si="183"/>
        <v>628978862.46461165</v>
      </c>
      <c r="BF44" s="197">
        <f t="shared" si="183"/>
        <v>526215807.92329311</v>
      </c>
      <c r="BG44" s="197">
        <f t="shared" si="183"/>
        <v>589147058.72333133</v>
      </c>
      <c r="BH44" s="197">
        <f t="shared" si="183"/>
        <v>672137697.81227028</v>
      </c>
      <c r="BI44" s="197">
        <f t="shared" si="183"/>
        <v>627340580.04329991</v>
      </c>
      <c r="BJ44" s="197">
        <f t="shared" si="183"/>
        <v>789931761.28103566</v>
      </c>
      <c r="BK44" s="197">
        <f t="shared" si="183"/>
        <v>858720120.63236332</v>
      </c>
      <c r="BL44" s="197">
        <f t="shared" si="183"/>
        <v>781605365.05866933</v>
      </c>
      <c r="BM44" s="197">
        <f t="shared" si="183"/>
        <v>936309700.31027019</v>
      </c>
      <c r="BN44" s="197">
        <f t="shared" si="183"/>
        <v>798570335.41382194</v>
      </c>
      <c r="BO44" s="197">
        <f t="shared" si="183"/>
        <v>790572336.50994897</v>
      </c>
      <c r="BP44" s="197">
        <f t="shared" ref="BP44:CK44" si="184">SUM(BP45:BP46)</f>
        <v>788750853.64402151</v>
      </c>
      <c r="BQ44" s="197">
        <f t="shared" si="184"/>
        <v>835695109.35207248</v>
      </c>
      <c r="BR44" s="197">
        <f t="shared" si="184"/>
        <v>757363346.3898195</v>
      </c>
      <c r="BS44" s="197">
        <f t="shared" si="184"/>
        <v>749846366.35771298</v>
      </c>
      <c r="BT44" s="197">
        <f t="shared" si="184"/>
        <v>854412732.97098446</v>
      </c>
      <c r="BU44" s="197">
        <f t="shared" si="184"/>
        <v>809204857.21275139</v>
      </c>
      <c r="BV44" s="197">
        <f t="shared" si="184"/>
        <v>983088087.13833857</v>
      </c>
      <c r="BW44" s="197">
        <f t="shared" si="184"/>
        <v>1029088233.4724253</v>
      </c>
      <c r="BX44" s="197">
        <f t="shared" si="184"/>
        <v>922069556.737059</v>
      </c>
      <c r="BY44" s="197">
        <f t="shared" si="184"/>
        <v>1048984276.8806651</v>
      </c>
      <c r="BZ44" s="197">
        <f t="shared" si="184"/>
        <v>969555645.69249749</v>
      </c>
      <c r="CA44" s="197">
        <f t="shared" si="184"/>
        <v>961122982.67583644</v>
      </c>
      <c r="CB44" s="197">
        <f t="shared" si="184"/>
        <v>955916335.26392281</v>
      </c>
      <c r="CC44" s="197">
        <f t="shared" si="184"/>
        <v>1012797559.1918211</v>
      </c>
      <c r="CD44" s="197">
        <f t="shared" si="184"/>
        <v>916625055.17680812</v>
      </c>
      <c r="CE44" s="197">
        <f t="shared" si="184"/>
        <v>905374141.79701304</v>
      </c>
      <c r="CF44" s="197">
        <f t="shared" si="184"/>
        <v>1030812622.1754589</v>
      </c>
      <c r="CG44" s="197">
        <f t="shared" si="184"/>
        <v>972920224.46291876</v>
      </c>
      <c r="CH44" s="197">
        <f t="shared" si="184"/>
        <v>1178838077.0553339</v>
      </c>
      <c r="CI44" s="197">
        <f t="shared" si="184"/>
        <v>1230692170.9484966</v>
      </c>
      <c r="CJ44" s="197">
        <f t="shared" si="184"/>
        <v>1099959105.6513071</v>
      </c>
      <c r="CK44" s="197">
        <f t="shared" si="184"/>
        <v>1242559660.1464374</v>
      </c>
      <c r="CL44" s="197">
        <f t="shared" ref="CL44:CW44" si="185">SUM(CL45:CL46)</f>
        <v>1127267828.4274118</v>
      </c>
      <c r="CM44" s="197">
        <f t="shared" si="185"/>
        <v>1117145090.5421042</v>
      </c>
      <c r="CN44" s="197">
        <f t="shared" si="185"/>
        <v>1110776931.0944781</v>
      </c>
      <c r="CO44" s="197">
        <f t="shared" si="185"/>
        <v>1175757360.9207573</v>
      </c>
      <c r="CP44" s="197">
        <f t="shared" si="185"/>
        <v>1064174534.5240687</v>
      </c>
      <c r="CQ44" s="197">
        <f t="shared" si="185"/>
        <v>1052118147.4877586</v>
      </c>
      <c r="CR44" s="197">
        <f t="shared" si="185"/>
        <v>1194765132.7261348</v>
      </c>
      <c r="CS44" s="197">
        <f t="shared" si="185"/>
        <v>1128309269.0242639</v>
      </c>
      <c r="CT44" s="197">
        <f t="shared" si="185"/>
        <v>1367163887.1265697</v>
      </c>
      <c r="CU44" s="197">
        <f t="shared" si="185"/>
        <v>1427802730.9998741</v>
      </c>
      <c r="CV44" s="197">
        <f t="shared" si="185"/>
        <v>1274886487.9511812</v>
      </c>
      <c r="CW44" s="197">
        <f t="shared" si="185"/>
        <v>1438932225.7877014</v>
      </c>
      <c r="CX44" s="168"/>
      <c r="CY44" s="197">
        <f t="shared" si="150"/>
        <v>1214382810.6049714</v>
      </c>
      <c r="CZ44" s="197">
        <f t="shared" si="151"/>
        <v>1055057020.4867272</v>
      </c>
      <c r="DA44" s="197">
        <f t="shared" si="152"/>
        <v>1394733985.2898262</v>
      </c>
      <c r="DB44" s="197">
        <f t="shared" si="153"/>
        <v>1043214192.7227833</v>
      </c>
      <c r="DC44" s="197">
        <f t="shared" si="154"/>
        <v>1225313099.5259128</v>
      </c>
      <c r="DD44" s="197">
        <f t="shared" si="155"/>
        <v>1146966003.5083439</v>
      </c>
      <c r="DE44" s="197">
        <f t="shared" si="156"/>
        <v>1337737639.995939</v>
      </c>
      <c r="DF44" s="197">
        <f t="shared" si="157"/>
        <v>1689960266.6460361</v>
      </c>
      <c r="DG44" s="197">
        <f t="shared" si="158"/>
        <v>1762371158.379231</v>
      </c>
      <c r="DH44" s="197">
        <f t="shared" si="159"/>
        <v>1744341729.1112361</v>
      </c>
      <c r="DI44" s="197">
        <f t="shared" si="160"/>
        <v>2089410039.136606</v>
      </c>
      <c r="DJ44" s="197">
        <f t="shared" si="161"/>
        <v>2576635186.0013027</v>
      </c>
      <c r="DK44" s="197">
        <f t="shared" si="162"/>
        <v>2377893525.5677924</v>
      </c>
      <c r="DL44" s="197">
        <f t="shared" si="163"/>
        <v>2342904822.0996046</v>
      </c>
      <c r="DM44" s="197">
        <f t="shared" si="164"/>
        <v>2646705677.3220744</v>
      </c>
      <c r="DN44" s="197">
        <f t="shared" si="165"/>
        <v>3000142067.0901494</v>
      </c>
      <c r="DO44" s="197">
        <f t="shared" si="166"/>
        <v>2886594963.6322565</v>
      </c>
      <c r="DP44" s="197">
        <f t="shared" si="167"/>
        <v>2834796756.1656423</v>
      </c>
      <c r="DQ44" s="197">
        <f t="shared" si="168"/>
        <v>3182570923.6937113</v>
      </c>
      <c r="DR44" s="197">
        <f t="shared" si="169"/>
        <v>3573210936.7462416</v>
      </c>
      <c r="DS44" s="197">
        <f t="shared" ref="DS44:DS54" si="186">SUM(CL44:CN44)</f>
        <v>3355189850.0639939</v>
      </c>
      <c r="DT44" s="197">
        <f t="shared" ref="DT44:DT54" si="187">SUM(CO44:CQ44)</f>
        <v>3292050042.9325848</v>
      </c>
      <c r="DU44" s="197">
        <f t="shared" ref="DU44:DU54" si="188">SUM(CR44:CT44)</f>
        <v>3690238288.8769684</v>
      </c>
      <c r="DV44" s="197">
        <f t="shared" ref="DV44:DV54" si="189">SUM(CU44:CW44)</f>
        <v>4141621444.7387571</v>
      </c>
      <c r="DX44" s="197">
        <f t="shared" si="174"/>
        <v>4707388009.1043081</v>
      </c>
      <c r="DY44" s="197">
        <f t="shared" si="175"/>
        <v>5399977009.6762323</v>
      </c>
      <c r="DZ44" s="197">
        <f t="shared" si="176"/>
        <v>8172758112.628376</v>
      </c>
      <c r="EA44" s="197">
        <f t="shared" si="177"/>
        <v>10367646092.07962</v>
      </c>
      <c r="EB44" s="197">
        <f t="shared" si="178"/>
        <v>12477173580.237854</v>
      </c>
      <c r="EC44" s="811">
        <f t="shared" si="179"/>
        <v>14479099626.612305</v>
      </c>
    </row>
    <row r="45" spans="2:133" x14ac:dyDescent="0.2">
      <c r="B45" s="155" t="s">
        <v>229</v>
      </c>
      <c r="C45" s="19">
        <f>'D2C - Retail'!J104+'D2C - Retail'!J110+'D2C - Retail'!J112+'D2C - Retail'!J113+'D2C - Retail'!J114+'D2C - Retail'!J115+'D2C - Retail'!J107</f>
        <v>31252467.821018092</v>
      </c>
      <c r="D45" s="19">
        <f>'D2C - Retail'!K104+'D2C - Retail'!K110+'D2C - Retail'!K112+'D2C - Retail'!K113+'D2C - Retail'!K114+'D2C - Retail'!K115+'D2C - Retail'!K107</f>
        <v>29568948.909458306</v>
      </c>
      <c r="E45" s="19">
        <f>'D2C - Retail'!L104+'D2C - Retail'!L110+'D2C - Retail'!L112+'D2C - Retail'!L113+'D2C - Retail'!L114+'D2C - Retail'!L115+'D2C - Retail'!L107</f>
        <v>31578552.8653019</v>
      </c>
      <c r="F45" s="19">
        <f>'D2C - Retail'!M104+'D2C - Retail'!M110+'D2C - Retail'!M112+'D2C - Retail'!M113+'D2C - Retail'!M114+'D2C - Retail'!M115+'D2C - Retail'!M107</f>
        <v>17878323.79823013</v>
      </c>
      <c r="G45" s="19">
        <f>'D2C - Retail'!N104+'D2C - Retail'!N110+'D2C - Retail'!N112+'D2C - Retail'!N113+'D2C - Retail'!N114+'D2C - Retail'!N115+'D2C - Retail'!N107</f>
        <v>500665.97326422721</v>
      </c>
      <c r="H45" s="19">
        <f>'D2C - Retail'!O104+'D2C - Retail'!O110+'D2C - Retail'!O112+'D2C - Retail'!O113+'D2C - Retail'!O114+'D2C - Retail'!O115+'D2C - Retail'!O107</f>
        <v>11156237.264894575</v>
      </c>
      <c r="I45" s="19">
        <f>'D2C - Retail'!P104+'D2C - Retail'!P110+'D2C - Retail'!P112+'D2C - Retail'!P113+'D2C - Retail'!P114+'D2C - Retail'!P115+'D2C - Retail'!P107</f>
        <v>16446757.186705317</v>
      </c>
      <c r="J45" s="19">
        <f>'D2C - Retail'!Q104+'D2C - Retail'!Q110+'D2C - Retail'!Q112+'D2C - Retail'!Q113+'D2C - Retail'!Q114+'D2C - Retail'!Q115+'D2C - Retail'!Q107</f>
        <v>22174399.486032177</v>
      </c>
      <c r="K45" s="19">
        <f>'D2C - Retail'!R104+'D2C - Retail'!R110+'D2C - Retail'!R112+'D2C - Retail'!R113+'D2C - Retail'!R114+'D2C - Retail'!R115+'D2C - Retail'!R107</f>
        <v>31944307.68373679</v>
      </c>
      <c r="L45" s="19">
        <f>'D2C - Retail'!S104+'D2C - Retail'!S110+'D2C - Retail'!S112+'D2C - Retail'!S113+'D2C - Retail'!S114+'D2C - Retail'!S115+'D2C - Retail'!S107</f>
        <v>40802329.03453505</v>
      </c>
      <c r="M45" s="19">
        <f>'D2C - Retail'!T104+'D2C - Retail'!T110+'D2C - Retail'!T112+'D2C - Retail'!T113+'D2C - Retail'!T114+'D2C - Retail'!T115+'D2C - Retail'!T107</f>
        <v>56164595.343279175</v>
      </c>
      <c r="N45" s="19">
        <f>'D2C - Retail'!U104+'D2C - Retail'!U110+'D2C - Retail'!U112+'D2C - Retail'!U113+'D2C - Retail'!U114+'D2C - Retail'!U115+'D2C - Retail'!U107</f>
        <v>67965747.112845153</v>
      </c>
      <c r="O45" s="19">
        <f>'D2C - Retail'!V104+'D2C - Retail'!V110+'D2C - Retail'!V112+'D2C - Retail'!V113+'D2C - Retail'!V114+'D2C - Retail'!V115+'D2C - Retail'!V107</f>
        <v>68866535.431162134</v>
      </c>
      <c r="P45" s="19">
        <f>'D2C - Retail'!W104+'D2C - Retail'!W110+'D2C - Retail'!W112+'D2C - Retail'!W113+'D2C - Retail'!W114+'D2C - Retail'!W115+'D2C - Retail'!W107</f>
        <v>73327815.333562642</v>
      </c>
      <c r="Q45" s="19">
        <f>'D2C - Retail'!X104+'D2C - Retail'!X110+'D2C - Retail'!X112+'D2C - Retail'!X113+'D2C - Retail'!X114+'D2C - Retail'!X115+'D2C - Retail'!X107</f>
        <v>83276957.109905899</v>
      </c>
      <c r="R45" s="19">
        <f>'D2C - Retail'!Y104+'D2C - Retail'!Y110+'D2C - Retail'!Y112+'D2C - Retail'!Y113+'D2C - Retail'!Y114+'D2C - Retail'!Y115+'D2C - Retail'!Y107</f>
        <v>72818842.751424506</v>
      </c>
      <c r="S45" s="19">
        <f>'D2C - Retail'!Z104+'D2C - Retail'!Z110+'D2C - Retail'!Z112+'D2C - Retail'!Z113+'D2C - Retail'!Z114+'D2C - Retail'!Z115+'D2C - Retail'!Z107</f>
        <v>92384419.777485803</v>
      </c>
      <c r="T45" s="19">
        <f>'D2C - Retail'!AA104+'D2C - Retail'!AA110+'D2C - Retail'!AA112+'D2C - Retail'!AA113+'D2C - Retail'!AA114+'D2C - Retail'!AA115+'D2C - Retail'!AA107</f>
        <v>112845733.55442989</v>
      </c>
      <c r="U45" s="19">
        <f>'D2C - Retail'!AB104+'D2C - Retail'!AB110+'D2C - Retail'!AB112+'D2C - Retail'!AB113+'D2C - Retail'!AB114+'D2C - Retail'!AB115+'D2C - Retail'!AB107</f>
        <v>112687143.35688494</v>
      </c>
      <c r="V45" s="19">
        <f>'D2C - Retail'!AC104+'D2C - Retail'!AC110+'D2C - Retail'!AC112+'D2C - Retail'!AC113+'D2C - Retail'!AC114+'D2C - Retail'!AC115+'D2C - Retail'!AC107</f>
        <v>120719350.89978744</v>
      </c>
      <c r="W45" s="19">
        <f>'D2C - Retail'!AD104+'D2C - Retail'!AD110+'D2C - Retail'!AD112+'D2C - Retail'!AD113+'D2C - Retail'!AD114+'D2C - Retail'!AD115+'D2C - Retail'!AD107</f>
        <v>120775345.87427473</v>
      </c>
      <c r="X45" s="19">
        <f>'D2C - Retail'!AE104+'D2C - Retail'!AE110+'D2C - Retail'!AE112+'D2C - Retail'!AE113+'D2C - Retail'!AE114+'D2C - Retail'!AE115+'D2C - Retail'!AE107</f>
        <v>134520873.02870411</v>
      </c>
      <c r="Y45" s="19">
        <f>'D2C - Retail'!AF104+'D2C - Retail'!AF110+'D2C - Retail'!AF112+'D2C - Retail'!AF113+'D2C - Retail'!AF114+'D2C - Retail'!AF115+'D2C - Retail'!AF107</f>
        <v>139730322.10491768</v>
      </c>
      <c r="Z45" s="19">
        <f>'D2C - Retail'!AG104+'D2C - Retail'!AG110+'D2C - Retail'!AG112+'D2C - Retail'!AG113+'D2C - Retail'!AG114+'D2C - Retail'!AG115+'D2C - Retail'!AG107</f>
        <v>169963426.08480504</v>
      </c>
      <c r="AA45" s="19">
        <f>'D2C - Retail'!AH104+'D2C - Retail'!AH110+'D2C - Retail'!AH112+'D2C - Retail'!AH113+'D2C - Retail'!AH114+'D2C - Retail'!AH115+'D2C - Retail'!AH107</f>
        <v>185113946.65918183</v>
      </c>
      <c r="AB45" s="19">
        <f>'D2C - Retail'!AI104+'D2C - Retail'!AI110+'D2C - Retail'!AI112+'D2C - Retail'!AI113+'D2C - Retail'!AI114+'D2C - Retail'!AI115+'D2C - Retail'!AI107</f>
        <v>181563392.40912977</v>
      </c>
      <c r="AC45" s="19">
        <f>'D2C - Retail'!AJ104+'D2C - Retail'!AJ110+'D2C - Retail'!AJ112+'D2C - Retail'!AJ113+'D2C - Retail'!AJ114+'D2C - Retail'!AJ115+'D2C - Retail'!AJ107</f>
        <v>235161216.55772257</v>
      </c>
      <c r="AD45" s="19">
        <f>'D2C - Retail'!AK104+'D2C - Retail'!AK110+'D2C - Retail'!AK112+'D2C - Retail'!AK113+'D2C - Retail'!AK114+'D2C - Retail'!AK115+'D2C - Retail'!AK107</f>
        <v>259083869.9268406</v>
      </c>
      <c r="AE45" s="19">
        <f>'D2C - Retail'!AL104+'D2C - Retail'!AL110+'D2C - Retail'!AL112+'D2C - Retail'!AL113+'D2C - Retail'!AL114+'D2C - Retail'!AL115+'D2C - Retail'!AL107</f>
        <v>270041960.35829735</v>
      </c>
      <c r="AF45" s="19">
        <f>'D2C - Retail'!AM104+'D2C - Retail'!AM110+'D2C - Retail'!AM112+'D2C - Retail'!AM113+'D2C - Retail'!AM114+'D2C - Retail'!AM115+'D2C - Retail'!AM107</f>
        <v>258185560.32632956</v>
      </c>
      <c r="AG45" s="19">
        <f>'D2C - Retail'!AN104+'D2C - Retail'!AN110+'D2C - Retail'!AN112+'D2C - Retail'!AN113+'D2C - Retail'!AN114+'D2C - Retail'!AN115+'D2C - Retail'!AN107</f>
        <v>225621254.80297753</v>
      </c>
      <c r="AH45" s="19">
        <f>'D2C - Retail'!AO104+'D2C - Retail'!AO110+'D2C - Retail'!AO112+'D2C - Retail'!AO113+'D2C - Retail'!AO114+'D2C - Retail'!AO115+'D2C - Retail'!AO107</f>
        <v>222591163.59512541</v>
      </c>
      <c r="AI45" s="19">
        <f>'D2C - Retail'!AP104+'D2C - Retail'!AP110+'D2C - Retail'!AP112+'D2C - Retail'!AP113+'D2C - Retail'!AP114+'D2C - Retail'!AP115+'D2C - Retail'!AP107</f>
        <v>215771728.90759826</v>
      </c>
      <c r="AJ45" s="19">
        <f>'D2C - Retail'!AQ104+'D2C - Retail'!AQ110+'D2C - Retail'!AQ112+'D2C - Retail'!AQ113+'D2C - Retail'!AQ114+'D2C - Retail'!AQ115+'D2C - Retail'!AQ107</f>
        <v>315160520.01547581</v>
      </c>
      <c r="AK45" s="19">
        <f>'D2C - Retail'!AR104+'D2C - Retail'!AR110+'D2C - Retail'!AR112+'D2C - Retail'!AR113+'D2C - Retail'!AR114+'D2C - Retail'!AR115+'D2C - Retail'!AR107</f>
        <v>272341080.66329879</v>
      </c>
      <c r="AL45" s="19">
        <f>'D2C - Retail'!AS104+'D2C - Retail'!AS110+'D2C - Retail'!AS112+'D2C - Retail'!AS113+'D2C - Retail'!AS114+'D2C - Retail'!AS115+'D2C - Retail'!AS107</f>
        <v>232382669.88977855</v>
      </c>
      <c r="AM45" s="19">
        <f>'D2C - Retail'!AT104+'D2C - Retail'!AT110+'D2C - Retail'!AT112+'D2C - Retail'!AT113+'D2C - Retail'!AT114+'D2C - Retail'!AT115+'D2C - Retail'!AT107</f>
        <v>205208787.27000064</v>
      </c>
      <c r="AN45" s="19">
        <f>'D2C - Retail'!AU104+'D2C - Retail'!AU110+'D2C - Retail'!AU112+'D2C - Retail'!AU113+'D2C - Retail'!AU114+'D2C - Retail'!AU115+'D2C - Retail'!AU107</f>
        <v>176692235.41668507</v>
      </c>
      <c r="AO45" s="19">
        <f>'D2C - Retail'!AV104+'D2C - Retail'!AV110+'D2C - Retail'!AV112+'D2C - Retail'!AV113+'D2C - Retail'!AV114+'D2C - Retail'!AV115+'D2C - Retail'!AV107</f>
        <v>216486106.71763092</v>
      </c>
      <c r="AP45" s="19">
        <f>'D2C - Retail'!AW104+'D2C - Retail'!AW110+'D2C - Retail'!AW112+'D2C - Retail'!AW113+'D2C - Retail'!AW114+'D2C - Retail'!AW115+'D2C - Retail'!AW107</f>
        <v>235087154.01205823</v>
      </c>
      <c r="AQ45" s="19">
        <f>'D2C - Retail'!AX104+'D2C - Retail'!AX110+'D2C - Retail'!AX112+'D2C - Retail'!AX113+'D2C - Retail'!AX114+'D2C - Retail'!AX115+'D2C - Retail'!AX107</f>
        <v>229730555.01070505</v>
      </c>
      <c r="AR45" s="19">
        <f>'D2C - Retail'!AY104+'D2C - Retail'!AY110+'D2C - Retail'!AY112+'D2C - Retail'!AY113+'D2C - Retail'!AY114+'D2C - Retail'!AY115+'D2C - Retail'!AY107</f>
        <v>247142201.05226439</v>
      </c>
      <c r="AS45" s="19">
        <f>'D2C - Retail'!AZ104+'D2C - Retail'!AZ110+'D2C - Retail'!AZ112+'D2C - Retail'!AZ113+'D2C - Retail'!AZ114+'D2C - Retail'!AZ115+'D2C - Retail'!AZ107</f>
        <v>230861079.51608816</v>
      </c>
      <c r="AT45" s="19">
        <f>'D2C - Retail'!BA104+'D2C - Retail'!BA110+'D2C - Retail'!BA112+'D2C - Retail'!BA113+'D2C - Retail'!BA114+'D2C - Retail'!BA115+'D2C - Retail'!BA107</f>
        <v>193455416.87892488</v>
      </c>
      <c r="AU45" s="19">
        <f>'D2C - Retail'!BB104+'D2C - Retail'!BB110+'D2C - Retail'!BB112+'D2C - Retail'!BB113+'D2C - Retail'!BB114+'D2C - Retail'!BB115+'D2C - Retail'!BB107</f>
        <v>168405773.25670418</v>
      </c>
      <c r="AV45" s="19">
        <f>'D2C - Retail'!BC104+'D2C - Retail'!BC110+'D2C - Retail'!BC112+'D2C - Retail'!BC113+'D2C - Retail'!BC114+'D2C - Retail'!BC115+'D2C - Retail'!BC107</f>
        <v>241480908.11791542</v>
      </c>
      <c r="AW45" s="19">
        <f>'D2C - Retail'!BD104+'D2C - Retail'!BD110+'D2C - Retail'!BD112+'D2C - Retail'!BD113+'D2C - Retail'!BD114+'D2C - Retail'!BD115+'D2C - Retail'!BD107</f>
        <v>235925661.9512921</v>
      </c>
      <c r="AX45" s="19">
        <f>'D2C - Retail'!BE104+'D2C - Retail'!BE110+'D2C - Retail'!BE112+'D2C - Retail'!BE113+'D2C - Retail'!BE114+'D2C - Retail'!BE115+'D2C - Retail'!BE107</f>
        <v>283356543.26548249</v>
      </c>
      <c r="AY45" s="19">
        <f>'D2C - Retail'!BF104+'D2C - Retail'!BF110+'D2C - Retail'!BF112+'D2C - Retail'!BF113+'D2C - Retail'!BF114+'D2C - Retail'!BF115+'D2C - Retail'!BF107</f>
        <v>295903301.12254852</v>
      </c>
      <c r="AZ45" s="19">
        <f>'D2C - Retail'!BG104+'D2C - Retail'!BG110+'D2C - Retail'!BG112+'D2C - Retail'!BG113+'D2C - Retail'!BG114+'D2C - Retail'!BG115+'D2C - Retail'!BG107</f>
        <v>279946438.6151399</v>
      </c>
      <c r="BA45" s="19">
        <f>'D2C - Retail'!BH104+'D2C - Retail'!BH110+'D2C - Retail'!BH112+'D2C - Retail'!BH113+'D2C - Retail'!BH114+'D2C - Retail'!BH115+'D2C - Retail'!BH107</f>
        <v>346891915.61453116</v>
      </c>
      <c r="BB45" s="19">
        <f>'D2C - Retail'!BI104+'D2C - Retail'!BI110+'D2C - Retail'!BI112+'D2C - Retail'!BI113+'D2C - Retail'!BI114+'D2C - Retail'!BI115+'D2C - Retail'!BI107</f>
        <v>337157694.28881371</v>
      </c>
      <c r="BC45" s="19">
        <f>'D2C - Retail'!BJ104+'D2C - Retail'!BJ110+'D2C - Retail'!BJ112+'D2C - Retail'!BJ113+'D2C - Retail'!BJ114+'D2C - Retail'!BJ115+'D2C - Retail'!BJ107</f>
        <v>322843460.1433779</v>
      </c>
      <c r="BD45" s="19">
        <f>'D2C - Retail'!BK104+'D2C - Retail'!BK110+'D2C - Retail'!BK112+'D2C - Retail'!BK113+'D2C - Retail'!BK114+'D2C - Retail'!BK115+'D2C - Retail'!BK107</f>
        <v>327912648.5232271</v>
      </c>
      <c r="BE45" s="19">
        <f>'D2C - Retail'!BL104+'D2C - Retail'!BL110+'D2C - Retail'!BL112+'D2C - Retail'!BL113+'D2C - Retail'!BL114+'D2C - Retail'!BL115+'D2C - Retail'!BL107</f>
        <v>363587429.15767843</v>
      </c>
      <c r="BF45" s="19">
        <f>'D2C - Retail'!BM104+'D2C - Retail'!BM110+'D2C - Retail'!BM112+'D2C - Retail'!BM113+'D2C - Retail'!BM114+'D2C - Retail'!BM115+'D2C - Retail'!BM107</f>
        <v>291955201.20314634</v>
      </c>
      <c r="BG45" s="19">
        <f>'D2C - Retail'!BN104+'D2C - Retail'!BN110+'D2C - Retail'!BN112+'D2C - Retail'!BN113+'D2C - Retail'!BN114+'D2C - Retail'!BN115+'D2C - Retail'!BN107</f>
        <v>277103448.69843066</v>
      </c>
      <c r="BH45" s="19">
        <f>'D2C - Retail'!BO104+'D2C - Retail'!BO110+'D2C - Retail'!BO112+'D2C - Retail'!BO113+'D2C - Retail'!BO114+'D2C - Retail'!BO115+'D2C - Retail'!BO107</f>
        <v>408591657.34998447</v>
      </c>
      <c r="BI45" s="19">
        <f>'D2C - Retail'!BP104+'D2C - Retail'!BP110+'D2C - Retail'!BP112+'D2C - Retail'!BP113+'D2C - Retail'!BP114+'D2C - Retail'!BP115+'D2C - Retail'!BP107</f>
        <v>363930166.09938622</v>
      </c>
      <c r="BJ45" s="19">
        <f>'D2C - Retail'!BQ104+'D2C - Retail'!BQ110+'D2C - Retail'!BQ112+'D2C - Retail'!BQ113+'D2C - Retail'!BQ114+'D2C - Retail'!BQ115+'D2C - Retail'!BQ107</f>
        <v>469938851.15837443</v>
      </c>
      <c r="BK45" s="19">
        <f>'D2C - Retail'!BR104+'D2C - Retail'!BR110+'D2C - Retail'!BR112+'D2C - Retail'!BR113+'D2C - Retail'!BR114+'D2C - Retail'!BR115+'D2C - Retail'!BR107</f>
        <v>499518558.90228647</v>
      </c>
      <c r="BL45" s="19">
        <f>'D2C - Retail'!BS104+'D2C - Retail'!BS110+'D2C - Retail'!BS112+'D2C - Retail'!BS113+'D2C - Retail'!BS114+'D2C - Retail'!BS115+'D2C - Retail'!BS107</f>
        <v>489073091.92339915</v>
      </c>
      <c r="BM45" s="19">
        <f>'D2C - Retail'!BT104+'D2C - Retail'!BT110+'D2C - Retail'!BT112+'D2C - Retail'!BT113+'D2C - Retail'!BT114+'D2C - Retail'!BT115+'D2C - Retail'!BT107</f>
        <v>589420365.71869266</v>
      </c>
      <c r="BN45" s="19">
        <f>'D2C - Retail'!BU104+'D2C - Retail'!BU110+'D2C - Retail'!BU112+'D2C - Retail'!BU113+'D2C - Retail'!BU114+'D2C - Retail'!BU115+'D2C - Retail'!BU107</f>
        <v>483202414.45460862</v>
      </c>
      <c r="BO45" s="19">
        <f>'D2C - Retail'!BV104+'D2C - Retail'!BV110+'D2C - Retail'!BV112+'D2C - Retail'!BV113+'D2C - Retail'!BV114+'D2C - Retail'!BV115+'D2C - Retail'!BV107</f>
        <v>471994708.91766703</v>
      </c>
      <c r="BP45" s="19">
        <f>'D2C - Retail'!BW104+'D2C - Retail'!BW110+'D2C - Retail'!BW112+'D2C - Retail'!BW113+'D2C - Retail'!BW114+'D2C - Retail'!BW115+'D2C - Retail'!BW107</f>
        <v>470401134.21503425</v>
      </c>
      <c r="BQ45" s="19">
        <f>'D2C - Retail'!BX104+'D2C - Retail'!BX110+'D2C - Retail'!BX112+'D2C - Retail'!BX113+'D2C - Retail'!BX114+'D2C - Retail'!BX115+'D2C - Retail'!BX107</f>
        <v>512540326.14695275</v>
      </c>
      <c r="BR45" s="19">
        <f>'D2C - Retail'!BY104+'D2C - Retail'!BY110+'D2C - Retail'!BY112+'D2C - Retail'!BY113+'D2C - Retail'!BY114+'D2C - Retail'!BY115+'D2C - Retail'!BY107</f>
        <v>452859047.88099289</v>
      </c>
      <c r="BS45" s="19">
        <f>'D2C - Retail'!BZ104+'D2C - Retail'!BZ110+'D2C - Retail'!BZ112+'D2C - Retail'!BZ113+'D2C - Retail'!BZ114+'D2C - Retail'!BZ115+'D2C - Retail'!BZ107</f>
        <v>416739593.35538584</v>
      </c>
      <c r="BT45" s="19">
        <f>'D2C - Retail'!CA104+'D2C - Retail'!CA110+'D2C - Retail'!CA112+'D2C - Retail'!CA113+'D2C - Retail'!CA114+'D2C - Retail'!CA115+'D2C - Retail'!CA107</f>
        <v>530517248.23515648</v>
      </c>
      <c r="BU45" s="19">
        <f>'D2C - Retail'!CB104+'D2C - Retail'!CB110+'D2C - Retail'!CB112+'D2C - Retail'!CB113+'D2C - Retail'!CB114+'D2C - Retail'!CB115+'D2C - Retail'!CB107</f>
        <v>484549678.59927416</v>
      </c>
      <c r="BV45" s="19">
        <f>'D2C - Retail'!CC104+'D2C - Retail'!CC110+'D2C - Retail'!CC112+'D2C - Retail'!CC113+'D2C - Retail'!CC114+'D2C - Retail'!CC115+'D2C - Retail'!CC107</f>
        <v>584571671.27039695</v>
      </c>
      <c r="BW45" s="19">
        <f>'D2C - Retail'!CD104+'D2C - Retail'!CD110+'D2C - Retail'!CD112+'D2C - Retail'!CD113+'D2C - Retail'!CD114+'D2C - Retail'!CD115+'D2C - Retail'!CD107</f>
        <v>599690261.47803497</v>
      </c>
      <c r="BX45" s="19">
        <f>'D2C - Retail'!CE104+'D2C - Retail'!CE110+'D2C - Retail'!CE112+'D2C - Retail'!CE113+'D2C - Retail'!CE114+'D2C - Retail'!CE115+'D2C - Retail'!CE107</f>
        <v>553940895.97509396</v>
      </c>
      <c r="BY45" s="19">
        <f>'D2C - Retail'!CF104+'D2C - Retail'!CF110+'D2C - Retail'!CF112+'D2C - Retail'!CF113+'D2C - Retail'!CF114+'D2C - Retail'!CF115+'D2C - Retail'!CF107</f>
        <v>651189570.19649041</v>
      </c>
      <c r="BZ45" s="19">
        <f>'D2C - Retail'!CG104+'D2C - Retail'!CG110+'D2C - Retail'!CG112+'D2C - Retail'!CG113+'D2C - Retail'!CG114+'D2C - Retail'!CG115+'D2C - Retail'!CG107</f>
        <v>595230289.48300123</v>
      </c>
      <c r="CA45" s="19">
        <f>'D2C - Retail'!CH104+'D2C - Retail'!CH110+'D2C - Retail'!CH112+'D2C - Retail'!CH113+'D2C - Retail'!CH114+'D2C - Retail'!CH115+'D2C - Retail'!CH107</f>
        <v>582987871.26011276</v>
      </c>
      <c r="CB45" s="19">
        <f>'D2C - Retail'!CI104+'D2C - Retail'!CI110+'D2C - Retail'!CI112+'D2C - Retail'!CI113+'D2C - Retail'!CI114+'D2C - Retail'!CI115+'D2C - Retail'!CI107</f>
        <v>578051739.01077151</v>
      </c>
      <c r="CC45" s="19">
        <f>'D2C - Retail'!CJ104+'D2C - Retail'!CJ110+'D2C - Retail'!CJ112+'D2C - Retail'!CJ113+'D2C - Retail'!CJ114+'D2C - Retail'!CJ115+'D2C - Retail'!CJ107</f>
        <v>629229601.59443605</v>
      </c>
      <c r="CD45" s="19">
        <f>'D2C - Retail'!CK104+'D2C - Retail'!CK110+'D2C - Retail'!CK112+'D2C - Retail'!CK113+'D2C - Retail'!CK114+'D2C - Retail'!CK115+'D2C - Retail'!CK107</f>
        <v>555194255.04992735</v>
      </c>
      <c r="CE45" s="19">
        <f>'D2C - Retail'!CL104+'D2C - Retail'!CL110+'D2C - Retail'!CL112+'D2C - Retail'!CL113+'D2C - Retail'!CL114+'D2C - Retail'!CL115+'D2C - Retail'!CL107</f>
        <v>509993688.76730186</v>
      </c>
      <c r="CF45" s="19">
        <f>'D2C - Retail'!CM104+'D2C - Retail'!CM110+'D2C - Retail'!CM112+'D2C - Retail'!CM113+'D2C - Retail'!CM114+'D2C - Retail'!CM115+'D2C - Retail'!CM107</f>
        <v>646365490.29971361</v>
      </c>
      <c r="CG45" s="19">
        <f>'D2C - Retail'!CN104+'D2C - Retail'!CN110+'D2C - Retail'!CN112+'D2C - Retail'!CN113+'D2C - Retail'!CN114+'D2C - Retail'!CN115+'D2C - Retail'!CN107</f>
        <v>587571375.37859893</v>
      </c>
      <c r="CH45" s="19">
        <f>'D2C - Retail'!CO104+'D2C - Retail'!CO110+'D2C - Retail'!CO112+'D2C - Retail'!CO113+'D2C - Retail'!CO114+'D2C - Retail'!CO115+'D2C - Retail'!CO107</f>
        <v>705819772.3673569</v>
      </c>
      <c r="CI45" s="19">
        <f>'D2C - Retail'!CP104+'D2C - Retail'!CP110+'D2C - Retail'!CP112+'D2C - Retail'!CP113+'D2C - Retail'!CP114+'D2C - Retail'!CP115+'D2C - Retail'!CP107</f>
        <v>721019061.7319653</v>
      </c>
      <c r="CJ45" s="19">
        <f>'D2C - Retail'!CQ104+'D2C - Retail'!CQ110+'D2C - Retail'!CQ112+'D2C - Retail'!CQ113+'D2C - Retail'!CQ114+'D2C - Retail'!CQ115+'D2C - Retail'!CQ107</f>
        <v>663009489.30631053</v>
      </c>
      <c r="CK45" s="19">
        <f>'D2C - Retail'!CR104+'D2C - Retail'!CR110+'D2C - Retail'!CR112+'D2C - Retail'!CR113+'D2C - Retail'!CR114+'D2C - Retail'!CR115+'D2C - Retail'!CR107</f>
        <v>770397986.80660605</v>
      </c>
      <c r="CL45" s="19">
        <f>'D2C - Retail'!CS104+'D2C - Retail'!CS110+'D2C - Retail'!CS112+'D2C - Retail'!CS113+'D2C - Retail'!CS114+'D2C - Retail'!CS115+'D2C - Retail'!CS107</f>
        <v>682947188.99354398</v>
      </c>
      <c r="CM45" s="19">
        <f>'D2C - Retail'!CT104+'D2C - Retail'!CT110+'D2C - Retail'!CT112+'D2C - Retail'!CT113+'D2C - Retail'!CT114+'D2C - Retail'!CT115+'D2C - Retail'!CT107</f>
        <v>668302307.89448607</v>
      </c>
      <c r="CN45" s="19">
        <f>'D2C - Retail'!CU104+'D2C - Retail'!CU110+'D2C - Retail'!CU112+'D2C - Retail'!CU113+'D2C - Retail'!CU114+'D2C - Retail'!CU115+'D2C - Retail'!CU107</f>
        <v>662255247.37328029</v>
      </c>
      <c r="CO45" s="19">
        <f>'D2C - Retail'!CV104+'D2C - Retail'!CV110+'D2C - Retail'!CV112+'D2C - Retail'!CV113+'D2C - Retail'!CV114+'D2C - Retail'!CV115+'D2C - Retail'!CV107</f>
        <v>720465841.5008682</v>
      </c>
      <c r="CP45" s="19">
        <f>'D2C - Retail'!CW104+'D2C - Retail'!CW110+'D2C - Retail'!CW112+'D2C - Retail'!CW113+'D2C - Retail'!CW114+'D2C - Retail'!CW115+'D2C - Retail'!CW107</f>
        <v>635159610.58289421</v>
      </c>
      <c r="CQ45" s="19">
        <f>'D2C - Retail'!CX104+'D2C - Retail'!CX110+'D2C - Retail'!CX112+'D2C - Retail'!CX113+'D2C - Retail'!CX114+'D2C - Retail'!CX115+'D2C - Retail'!CX107</f>
        <v>582805308.28085661</v>
      </c>
      <c r="CR45" s="19">
        <f>'D2C - Retail'!CY104+'D2C - Retail'!CY110+'D2C - Retail'!CY112+'D2C - Retail'!CY113+'D2C - Retail'!CY114+'D2C - Retail'!CY115+'D2C - Retail'!CY107</f>
        <v>738430041.79538012</v>
      </c>
      <c r="CS45" s="19">
        <f>'D2C - Retail'!CZ104+'D2C - Retail'!CZ110+'D2C - Retail'!CZ112+'D2C - Retail'!CZ113+'D2C - Retail'!CZ114+'D2C - Retail'!CZ115+'D2C - Retail'!CZ107</f>
        <v>670903848.3387754</v>
      </c>
      <c r="CT45" s="19">
        <f>'D2C - Retail'!DA104+'D2C - Retail'!DA110+'D2C - Retail'!DA112+'D2C - Retail'!DA113+'D2C - Retail'!DA114+'D2C - Retail'!DA115+'D2C - Retail'!DA107</f>
        <v>805695656.03708768</v>
      </c>
      <c r="CU45" s="19">
        <f>'D2C - Retail'!DB104+'D2C - Retail'!DB110+'D2C - Retail'!DB112+'D2C - Retail'!DB113+'D2C - Retail'!DB114+'D2C - Retail'!DB115+'D2C - Retail'!DB107</f>
        <v>822825595.38046312</v>
      </c>
      <c r="CV45" s="19">
        <f>'D2C - Retail'!DC104+'D2C - Retail'!DC110+'D2C - Retail'!DC112+'D2C - Retail'!DC113+'D2C - Retail'!DC114+'D2C - Retail'!DC115+'D2C - Retail'!DC107</f>
        <v>756231447.05105126</v>
      </c>
      <c r="CW45" s="19">
        <f>'D2C - Retail'!DD104+'D2C - Retail'!DD110+'D2C - Retail'!DD112+'D2C - Retail'!DD113+'D2C - Retail'!DD114+'D2C - Retail'!DD115+'D2C - Retail'!DD107</f>
        <v>878480807.96521652</v>
      </c>
      <c r="CX45" s="168"/>
      <c r="CY45" s="19">
        <f t="shared" si="150"/>
        <v>787311390.61146748</v>
      </c>
      <c r="CZ45" s="19">
        <f t="shared" si="151"/>
        <v>663984147.30570126</v>
      </c>
      <c r="DA45" s="19">
        <f t="shared" si="152"/>
        <v>819884270.56855321</v>
      </c>
      <c r="DB45" s="19">
        <f t="shared" si="153"/>
        <v>598387129.40431666</v>
      </c>
      <c r="DC45" s="19">
        <f t="shared" si="154"/>
        <v>711959910.0750277</v>
      </c>
      <c r="DD45" s="19">
        <f t="shared" si="155"/>
        <v>592722269.65171719</v>
      </c>
      <c r="DE45" s="19">
        <f t="shared" si="156"/>
        <v>760763113.33469009</v>
      </c>
      <c r="DF45" s="19">
        <f t="shared" si="157"/>
        <v>922741655.35221958</v>
      </c>
      <c r="DG45" s="19">
        <f t="shared" si="158"/>
        <v>987913802.95541871</v>
      </c>
      <c r="DH45" s="19">
        <f t="shared" si="159"/>
        <v>932646079.05925548</v>
      </c>
      <c r="DI45" s="19">
        <f t="shared" si="160"/>
        <v>1242460674.6077452</v>
      </c>
      <c r="DJ45" s="19">
        <f t="shared" si="161"/>
        <v>1578012016.5443783</v>
      </c>
      <c r="DK45" s="19">
        <f t="shared" si="162"/>
        <v>1425598257.5873098</v>
      </c>
      <c r="DL45" s="19">
        <f t="shared" si="163"/>
        <v>1382138967.3833315</v>
      </c>
      <c r="DM45" s="19">
        <f t="shared" si="164"/>
        <v>1599638598.1048276</v>
      </c>
      <c r="DN45" s="19">
        <f t="shared" si="165"/>
        <v>1804820727.6496191</v>
      </c>
      <c r="DO45" s="19">
        <f t="shared" si="166"/>
        <v>1756269899.7538855</v>
      </c>
      <c r="DP45" s="19">
        <f t="shared" si="167"/>
        <v>1694417545.4116652</v>
      </c>
      <c r="DQ45" s="19">
        <f t="shared" si="168"/>
        <v>1939756638.0456696</v>
      </c>
      <c r="DR45" s="19">
        <f t="shared" si="169"/>
        <v>2154426537.844882</v>
      </c>
      <c r="DS45" s="19">
        <f t="shared" si="186"/>
        <v>2013504744.2613103</v>
      </c>
      <c r="DT45" s="19">
        <f t="shared" si="187"/>
        <v>1938430760.364619</v>
      </c>
      <c r="DU45" s="19">
        <f t="shared" si="188"/>
        <v>2215029546.1712432</v>
      </c>
      <c r="DV45" s="19">
        <f t="shared" si="189"/>
        <v>2457537850.3967309</v>
      </c>
      <c r="DX45" s="19">
        <f t="shared" si="174"/>
        <v>2869566937.8900385</v>
      </c>
      <c r="DY45" s="19">
        <f t="shared" si="175"/>
        <v>2988186948.4136543</v>
      </c>
      <c r="DZ45" s="19">
        <f t="shared" si="176"/>
        <v>4741032573.1667976</v>
      </c>
      <c r="EA45" s="19">
        <f t="shared" si="177"/>
        <v>6212196550.7250881</v>
      </c>
      <c r="EB45" s="19">
        <f t="shared" si="178"/>
        <v>7544870621.0561018</v>
      </c>
      <c r="EC45" s="770">
        <f t="shared" si="179"/>
        <v>8624502901.193903</v>
      </c>
    </row>
    <row r="46" spans="2:133" x14ac:dyDescent="0.2">
      <c r="B46" s="155" t="s">
        <v>237</v>
      </c>
      <c r="C46" s="19">
        <f>'D2C Online'!AA81</f>
        <v>3305153.9772316236</v>
      </c>
      <c r="D46" s="19">
        <f>'D2C Online'!AB81</f>
        <v>2938885.8304157439</v>
      </c>
      <c r="E46" s="19">
        <f>'D2C Online'!AC81</f>
        <v>4171333.8800089629</v>
      </c>
      <c r="F46" s="19">
        <f>'D2C Online'!AD81</f>
        <v>2835016.6655880767</v>
      </c>
      <c r="G46" s="19">
        <f>'D2C Online'!AE81</f>
        <v>2916620.2455104883</v>
      </c>
      <c r="H46" s="19">
        <f>'D2C Online'!AF81</f>
        <v>3824307.3226848482</v>
      </c>
      <c r="I46" s="19">
        <f>'D2C Online'!AG81</f>
        <v>3665958.6291057011</v>
      </c>
      <c r="J46" s="19">
        <f>'D2C Online'!AH81</f>
        <v>4007113.9264302561</v>
      </c>
      <c r="K46" s="19">
        <f>'D2C Online'!AI81</f>
        <v>4726062.7047912702</v>
      </c>
      <c r="L46" s="19">
        <f>'D2C Online'!AJ81</f>
        <v>2345109.9281387399</v>
      </c>
      <c r="M46" s="19">
        <f>'D2C Online'!AK81</f>
        <v>9592458.4325932749</v>
      </c>
      <c r="N46" s="19">
        <f>'D2C Online'!AL81</f>
        <v>10565125.962827632</v>
      </c>
      <c r="O46" s="19">
        <f>'D2C Online'!AM81</f>
        <v>17036899.097077999</v>
      </c>
      <c r="P46" s="19">
        <f>'D2C Online'!AN81</f>
        <v>18341918.863098893</v>
      </c>
      <c r="Q46" s="19">
        <f>'D2C Online'!AO81</f>
        <v>14671834.262442766</v>
      </c>
      <c r="R46" s="19">
        <f>'D2C Online'!AP81</f>
        <v>14312467.196586652</v>
      </c>
      <c r="S46" s="19">
        <f>'D2C Online'!AQ81</f>
        <v>18690002.934701215</v>
      </c>
      <c r="T46" s="19">
        <f>'D2C Online'!AR81</f>
        <v>32268020.033260625</v>
      </c>
      <c r="U46" s="19">
        <f>'D2C Online'!AS81</f>
        <v>27317553.587863207</v>
      </c>
      <c r="V46" s="19">
        <f>'D2C Online'!AT81</f>
        <v>18916346.015887365</v>
      </c>
      <c r="W46" s="19">
        <f>'D2C Online'!AU81</f>
        <v>20326356.630747091</v>
      </c>
      <c r="X46" s="19">
        <f>'D2C Online'!AV81</f>
        <v>40620002.758598588</v>
      </c>
      <c r="Y46" s="19">
        <f>'D2C Online'!AW81</f>
        <v>30500219.044845816</v>
      </c>
      <c r="Z46" s="19">
        <f>'D2C Online'!AX81</f>
        <v>29076365.208734781</v>
      </c>
      <c r="AA46" s="19">
        <f>'D2C Online'!AY81</f>
        <v>37888821.582018368</v>
      </c>
      <c r="AB46" s="19">
        <f>'D2C Online'!AZ81</f>
        <v>54037973.582437642</v>
      </c>
      <c r="AC46" s="19">
        <f>'D2C Online'!BA81</f>
        <v>102474301.95495798</v>
      </c>
      <c r="AD46" s="19">
        <f>'D2C Online'!BB81</f>
        <v>136239461.60462379</v>
      </c>
      <c r="AE46" s="19">
        <f>'D2C Online'!BC81</f>
        <v>132810552.72358252</v>
      </c>
      <c r="AF46" s="19">
        <f>'D2C Online'!BD81</f>
        <v>158021405.66529757</v>
      </c>
      <c r="AG46" s="19">
        <f>'D2C Online'!BE81</f>
        <v>110547543.72282162</v>
      </c>
      <c r="AH46" s="19">
        <f>'D2C Online'!BF81</f>
        <v>128707808.59583162</v>
      </c>
      <c r="AI46" s="19">
        <f>'D2C Online'!BG81</f>
        <v>151817520.86237288</v>
      </c>
      <c r="AJ46" s="19">
        <f>'D2C Online'!BH81</f>
        <v>232860935.46962333</v>
      </c>
      <c r="AK46" s="19">
        <f>'D2C Online'!BI81</f>
        <v>177318284.89842957</v>
      </c>
      <c r="AL46" s="19">
        <f>'D2C Online'!BJ81</f>
        <v>164670494.35322011</v>
      </c>
      <c r="AM46" s="19">
        <f>'D2C Online'!BK81</f>
        <v>165153290.56198257</v>
      </c>
      <c r="AN46" s="19">
        <f>'D2C Online'!BL81</f>
        <v>115097944.43632841</v>
      </c>
      <c r="AO46" s="19">
        <f>'D2C Online'!BM81</f>
        <v>164575828.32015568</v>
      </c>
      <c r="AP46" s="19">
        <f>'D2C Online'!BN81</f>
        <v>160812154.48014563</v>
      </c>
      <c r="AQ46" s="19">
        <f>'D2C Online'!BO81</f>
        <v>175208151.43928212</v>
      </c>
      <c r="AR46" s="19">
        <f>'D2C Online'!BP81</f>
        <v>177332883.53145739</v>
      </c>
      <c r="AS46" s="19">
        <f>'D2C Online'!BQ81</f>
        <v>189284447.78650746</v>
      </c>
      <c r="AT46" s="19">
        <f>'D2C Online'!BR81</f>
        <v>178427754.07474685</v>
      </c>
      <c r="AU46" s="19">
        <f>'D2C Online'!BS81</f>
        <v>186531531.99537244</v>
      </c>
      <c r="AV46" s="19">
        <f>'D2C Online'!BT81</f>
        <v>196458278.56011313</v>
      </c>
      <c r="AW46" s="19">
        <f>'D2C Online'!BU81</f>
        <v>171942474.66347858</v>
      </c>
      <c r="AX46" s="19">
        <f>'D2C Online'!BV81</f>
        <v>208573773.43765733</v>
      </c>
      <c r="AY46" s="19">
        <f>'D2C Online'!BW81</f>
        <v>234867690.71546042</v>
      </c>
      <c r="AZ46" s="19">
        <f>'D2C Online'!BX81</f>
        <v>229507798.19632638</v>
      </c>
      <c r="BA46" s="19">
        <f>'D2C Online'!BY81</f>
        <v>302843122.38202989</v>
      </c>
      <c r="BB46" s="19">
        <f>'D2C Online'!BZ81</f>
        <v>259767230.3377943</v>
      </c>
      <c r="BC46" s="19">
        <f>'D2C Online'!CA81</f>
        <v>260255175.69516674</v>
      </c>
      <c r="BD46" s="19">
        <f>'D2C Online'!CB81</f>
        <v>254434949.39085126</v>
      </c>
      <c r="BE46" s="19">
        <f>'D2C Online'!CC81</f>
        <v>265391433.30693322</v>
      </c>
      <c r="BF46" s="19">
        <f>'D2C Online'!CD81</f>
        <v>234260606.72014678</v>
      </c>
      <c r="BG46" s="19">
        <f>'D2C Online'!CE81</f>
        <v>312043610.02490067</v>
      </c>
      <c r="BH46" s="19">
        <f>'D2C Online'!CF81</f>
        <v>263546040.46228582</v>
      </c>
      <c r="BI46" s="19">
        <f>'D2C Online'!CG81</f>
        <v>263410413.94391373</v>
      </c>
      <c r="BJ46" s="19">
        <f>'D2C Online'!CH81</f>
        <v>319992910.12266129</v>
      </c>
      <c r="BK46" s="19">
        <f>'D2C Online'!CI81</f>
        <v>359201561.73007691</v>
      </c>
      <c r="BL46" s="19">
        <f>'D2C Online'!CJ81</f>
        <v>292532273.13527018</v>
      </c>
      <c r="BM46" s="19">
        <f>'D2C Online'!CK81</f>
        <v>346889334.59157753</v>
      </c>
      <c r="BN46" s="19">
        <f>'D2C Online'!CL81</f>
        <v>315367920.95921332</v>
      </c>
      <c r="BO46" s="19">
        <f>'D2C Online'!CM81</f>
        <v>318577627.592282</v>
      </c>
      <c r="BP46" s="19">
        <f>'D2C Online'!CN81</f>
        <v>318349719.42898721</v>
      </c>
      <c r="BQ46" s="19">
        <f>'D2C Online'!CO81</f>
        <v>323154783.20511979</v>
      </c>
      <c r="BR46" s="19">
        <f>'D2C Online'!CP81</f>
        <v>304504298.50882661</v>
      </c>
      <c r="BS46" s="19">
        <f>'D2C Online'!CQ81</f>
        <v>333106773.00232708</v>
      </c>
      <c r="BT46" s="19">
        <f>'D2C Online'!CR81</f>
        <v>323895484.73582804</v>
      </c>
      <c r="BU46" s="19">
        <f>'D2C Online'!CS81</f>
        <v>324655178.61347729</v>
      </c>
      <c r="BV46" s="19">
        <f>'D2C Online'!CT81</f>
        <v>398516415.86794168</v>
      </c>
      <c r="BW46" s="19">
        <f>'D2C Online'!CU81</f>
        <v>429397971.99439037</v>
      </c>
      <c r="BX46" s="19">
        <f>'D2C Online'!CV81</f>
        <v>368128660.76196504</v>
      </c>
      <c r="BY46" s="19">
        <f>'D2C Online'!CW81</f>
        <v>397794706.6841746</v>
      </c>
      <c r="BZ46" s="19">
        <f>'D2C Online'!CX81</f>
        <v>374325356.20949632</v>
      </c>
      <c r="CA46" s="19">
        <f>'D2C Online'!CY81</f>
        <v>378135111.41572368</v>
      </c>
      <c r="CB46" s="19">
        <f>'D2C Online'!CZ81</f>
        <v>377864596.2531513</v>
      </c>
      <c r="CC46" s="19">
        <f>'D2C Online'!DA81</f>
        <v>383567957.59738511</v>
      </c>
      <c r="CD46" s="19">
        <f>'D2C Online'!DB81</f>
        <v>361430800.12688071</v>
      </c>
      <c r="CE46" s="19">
        <f>'D2C Online'!DC81</f>
        <v>395380453.02971119</v>
      </c>
      <c r="CF46" s="19">
        <f>'D2C Online'!DD81</f>
        <v>384447131.87574524</v>
      </c>
      <c r="CG46" s="19">
        <f>'D2C Online'!DE81</f>
        <v>385348849.08431977</v>
      </c>
      <c r="CH46" s="19">
        <f>'D2C Online'!DF81</f>
        <v>473018304.68797702</v>
      </c>
      <c r="CI46" s="19">
        <f>'D2C Online'!DG81</f>
        <v>509673109.21653128</v>
      </c>
      <c r="CJ46" s="19">
        <f>'D2C Online'!DH81</f>
        <v>436949616.34499645</v>
      </c>
      <c r="CK46" s="19">
        <f>'D2C Online'!DI81</f>
        <v>472161673.33983129</v>
      </c>
      <c r="CL46" s="19">
        <f>'D2C Online'!DJ81</f>
        <v>444320639.43386781</v>
      </c>
      <c r="CM46" s="19">
        <f>'D2C Online'!DK81</f>
        <v>448842782.64761817</v>
      </c>
      <c r="CN46" s="19">
        <f>'D2C Online'!DL81</f>
        <v>448521683.7211979</v>
      </c>
      <c r="CO46" s="19">
        <f>'D2C Online'!DM81</f>
        <v>455291519.41988921</v>
      </c>
      <c r="CP46" s="19">
        <f>'D2C Online'!DN81</f>
        <v>429014923.94117451</v>
      </c>
      <c r="CQ46" s="19">
        <f>'D2C Online'!DO81</f>
        <v>469312839.20690197</v>
      </c>
      <c r="CR46" s="19">
        <f>'D2C Online'!DP81</f>
        <v>456335090.9307546</v>
      </c>
      <c r="CS46" s="19">
        <f>'D2C Online'!DQ81</f>
        <v>457405420.6854884</v>
      </c>
      <c r="CT46" s="19">
        <f>'D2C Online'!DR81</f>
        <v>561468231.08948195</v>
      </c>
      <c r="CU46" s="19">
        <f>'D2C Online'!DS81</f>
        <v>604977135.61941111</v>
      </c>
      <c r="CV46" s="19">
        <f>'D2C Online'!DT81</f>
        <v>518655040.90012997</v>
      </c>
      <c r="CW46" s="19">
        <f>'D2C Online'!DU81</f>
        <v>560451417.82248485</v>
      </c>
      <c r="CX46" s="168"/>
      <c r="CY46" s="19">
        <f t="shared" si="150"/>
        <v>427071419.99350387</v>
      </c>
      <c r="CZ46" s="19">
        <f t="shared" si="151"/>
        <v>391072873.1810261</v>
      </c>
      <c r="DA46" s="19">
        <f t="shared" si="152"/>
        <v>574849714.72127295</v>
      </c>
      <c r="DB46" s="19">
        <f t="shared" si="153"/>
        <v>444827063.31846666</v>
      </c>
      <c r="DC46" s="19">
        <f t="shared" si="154"/>
        <v>513353189.45088518</v>
      </c>
      <c r="DD46" s="19">
        <f t="shared" si="155"/>
        <v>554243733.85662675</v>
      </c>
      <c r="DE46" s="19">
        <f t="shared" si="156"/>
        <v>576974526.66124904</v>
      </c>
      <c r="DF46" s="19">
        <f t="shared" si="157"/>
        <v>767218611.29381669</v>
      </c>
      <c r="DG46" s="19">
        <f t="shared" si="158"/>
        <v>774457355.42381227</v>
      </c>
      <c r="DH46" s="19">
        <f t="shared" si="159"/>
        <v>811695650.05198073</v>
      </c>
      <c r="DI46" s="19">
        <f t="shared" si="160"/>
        <v>846949364.52886081</v>
      </c>
      <c r="DJ46" s="19">
        <f t="shared" si="161"/>
        <v>998623169.45692468</v>
      </c>
      <c r="DK46" s="19">
        <f t="shared" si="162"/>
        <v>952295267.98048258</v>
      </c>
      <c r="DL46" s="19">
        <f t="shared" si="163"/>
        <v>960765854.71627343</v>
      </c>
      <c r="DM46" s="19">
        <f t="shared" si="164"/>
        <v>1047067079.217247</v>
      </c>
      <c r="DN46" s="19">
        <f t="shared" si="165"/>
        <v>1195321339.4405301</v>
      </c>
      <c r="DO46" s="19">
        <f t="shared" si="166"/>
        <v>1130325063.8783712</v>
      </c>
      <c r="DP46" s="19">
        <f t="shared" si="167"/>
        <v>1140379210.7539771</v>
      </c>
      <c r="DQ46" s="19">
        <f t="shared" si="168"/>
        <v>1242814285.648042</v>
      </c>
      <c r="DR46" s="19">
        <f t="shared" si="169"/>
        <v>1418784398.9013591</v>
      </c>
      <c r="DS46" s="19">
        <f t="shared" si="186"/>
        <v>1341685105.8026838</v>
      </c>
      <c r="DT46" s="19">
        <f t="shared" si="187"/>
        <v>1353619282.5679657</v>
      </c>
      <c r="DU46" s="19">
        <f t="shared" si="188"/>
        <v>1475208742.705725</v>
      </c>
      <c r="DV46" s="19">
        <f t="shared" si="189"/>
        <v>1684083594.3420258</v>
      </c>
      <c r="DX46" s="19">
        <f t="shared" si="174"/>
        <v>1837821071.2142696</v>
      </c>
      <c r="DY46" s="19">
        <f t="shared" si="175"/>
        <v>2411790061.2625775</v>
      </c>
      <c r="DZ46" s="19">
        <f t="shared" si="176"/>
        <v>3431725539.4615784</v>
      </c>
      <c r="EA46" s="19">
        <f t="shared" si="177"/>
        <v>4155449541.3545332</v>
      </c>
      <c r="EB46" s="19">
        <f t="shared" si="178"/>
        <v>4932302959.1817493</v>
      </c>
      <c r="EC46" s="770">
        <f t="shared" si="179"/>
        <v>5854596725.4183998</v>
      </c>
    </row>
    <row r="47" spans="2:133" x14ac:dyDescent="0.2">
      <c r="B47" s="155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68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X47" s="19"/>
      <c r="DY47" s="19"/>
      <c r="DZ47" s="19"/>
      <c r="EA47" s="19"/>
      <c r="EB47" s="19"/>
      <c r="EC47" s="770"/>
    </row>
    <row r="48" spans="2:133" x14ac:dyDescent="0.2">
      <c r="B48" s="155" t="s">
        <v>19</v>
      </c>
      <c r="C48" s="19">
        <f>'D2C - Retail'!J104+'D2C Online'!AA82</f>
        <v>32365606.28325</v>
      </c>
      <c r="D48" s="19">
        <f>'D2C - Retail'!K104+'D2C Online'!AB82</f>
        <v>30151437.626399998</v>
      </c>
      <c r="E48" s="19">
        <f>'D2C - Retail'!L104+'D2C Online'!AC82</f>
        <v>33172539.971500002</v>
      </c>
      <c r="F48" s="19">
        <f>'D2C - Retail'!M104+'D2C Online'!AD82</f>
        <v>18779358.042032998</v>
      </c>
      <c r="G48" s="19">
        <f>'D2C - Retail'!N104+'D2C Online'!AE82</f>
        <v>2616639.3499999996</v>
      </c>
      <c r="H48" s="19">
        <f>'D2C - Retail'!O104+'D2C Online'!AF82</f>
        <v>12990691.779373998</v>
      </c>
      <c r="I48" s="19">
        <f>'D2C - Retail'!P104+'D2C Online'!AG82</f>
        <v>17442293.312093001</v>
      </c>
      <c r="J48" s="19">
        <f>'D2C - Retail'!Q104+'D2C Online'!AH82</f>
        <v>23175357.158105887</v>
      </c>
      <c r="K48" s="19">
        <f>'D2C - Retail'!R104+'D2C Online'!AI82</f>
        <v>32540794.622853898</v>
      </c>
      <c r="L48" s="19">
        <f>'D2C - Retail'!S104+'D2C Online'!AJ82</f>
        <v>38025802.863300003</v>
      </c>
      <c r="M48" s="19">
        <f>'D2C - Retail'!T104+'D2C Online'!AK82</f>
        <v>59061799.206495002</v>
      </c>
      <c r="N48" s="19">
        <f>'D2C - Retail'!U104+'D2C Online'!AL82</f>
        <v>70302168.136358693</v>
      </c>
      <c r="O48" s="19">
        <f>'D2C - Retail'!V104+'D2C Online'!AM82</f>
        <v>76223887.0702499</v>
      </c>
      <c r="P48" s="19">
        <f>'D2C - Retail'!W104+'D2C Online'!AN82</f>
        <v>80964328.459599793</v>
      </c>
      <c r="Q48" s="19">
        <f>'D2C - Retail'!X104+'D2C Online'!AO82</f>
        <v>86975694.567239985</v>
      </c>
      <c r="R48" s="19">
        <f>'D2C - Retail'!Y104+'D2C Online'!AP82</f>
        <v>78706583.316909984</v>
      </c>
      <c r="S48" s="19">
        <f>'D2C - Retail'!Z104+'D2C Online'!AQ82</f>
        <v>99704449.1667099</v>
      </c>
      <c r="T48" s="19">
        <f>'D2C - Retail'!AA104+'D2C Online'!AR82</f>
        <v>127811463.31217994</v>
      </c>
      <c r="U48" s="19">
        <f>'D2C - Retail'!AB104+'D2C Online'!AS82</f>
        <v>124926411.74843997</v>
      </c>
      <c r="V48" s="19">
        <f>'D2C - Retail'!AC104+'D2C Online'!AT82</f>
        <v>125361361.20140006</v>
      </c>
      <c r="W48" s="19">
        <f>'D2C - Retail'!AD104+'D2C Online'!AU82</f>
        <v>125741892.69029999</v>
      </c>
      <c r="X48" s="19">
        <f>'D2C - Retail'!AE104+'D2C Online'!AV82</f>
        <v>157552985.03310007</v>
      </c>
      <c r="Y48" s="19">
        <f>'D2C - Retail'!AF104+'D2C Online'!AW82</f>
        <v>153937999.43360028</v>
      </c>
      <c r="Z48" s="19">
        <f>'D2C - Retail'!AG104+'D2C Online'!AX82</f>
        <v>180507038.61420804</v>
      </c>
      <c r="AA48" s="19">
        <f>'D2C - Retail'!AH104+'D2C Online'!AY82</f>
        <v>204894521.95579991</v>
      </c>
      <c r="AB48" s="19">
        <f>'D2C - Retail'!AI104+'D2C Online'!AZ82</f>
        <v>216457049.84340006</v>
      </c>
      <c r="AC48" s="19">
        <f>'D2C - Retail'!AJ104+'D2C Online'!BA82</f>
        <v>310865490.86479998</v>
      </c>
      <c r="AD48" s="19">
        <f>'D2C - Retail'!AK104+'D2C Online'!BB82</f>
        <v>356298247.93729997</v>
      </c>
      <c r="AE48" s="19">
        <f>'D2C - Retail'!AL104+'D2C Online'!BC82</f>
        <v>359768504.89200008</v>
      </c>
      <c r="AF48" s="19">
        <f>'D2C - Retail'!AM104+'D2C Online'!BD82</f>
        <v>371952108.93627</v>
      </c>
      <c r="AG48" s="19">
        <f>'D2C - Retail'!AN104+'D2C Online'!BE82</f>
        <v>299732064.90023077</v>
      </c>
      <c r="AH48" s="19">
        <f>'D2C - Retail'!AO104+'D2C Online'!BF82</f>
        <v>307809481.16316479</v>
      </c>
      <c r="AI48" s="19">
        <f>'D2C - Retail'!AP104+'D2C Online'!BG82</f>
        <v>326029121.71422672</v>
      </c>
      <c r="AJ48" s="19">
        <f>'D2C - Retail'!AQ104+'D2C Online'!BH82</f>
        <v>491090009.86796999</v>
      </c>
      <c r="AK48" s="19">
        <f>'D2C - Retail'!AR104+'D2C Online'!BI82</f>
        <v>396374322.61050999</v>
      </c>
      <c r="AL48" s="19">
        <f>'D2C - Retail'!AS104+'D2C Online'!BJ82</f>
        <v>350218275.90948999</v>
      </c>
      <c r="AM48" s="19">
        <f>'D2C - Retail'!AT104+'D2C Online'!BK82</f>
        <v>321197281.53999996</v>
      </c>
      <c r="AN48" s="19">
        <f>'D2C - Retail'!AU104+'D2C Online'!BL82</f>
        <v>249670018.48000002</v>
      </c>
      <c r="AO48" s="19">
        <f>'D2C - Retail'!AV104+'D2C Online'!BM82</f>
        <v>329431947.07583773</v>
      </c>
      <c r="AP48" s="19">
        <f>'D2C - Retail'!AW104+'D2C Online'!BN82</f>
        <v>347536900.60220337</v>
      </c>
      <c r="AQ48" s="19">
        <f>'D2C - Retail'!AX104+'D2C Online'!BO82</f>
        <v>356835489.74465203</v>
      </c>
      <c r="AR48" s="19">
        <f>'D2C - Retail'!AY104+'D2C Online'!BP82</f>
        <v>370195507.39256978</v>
      </c>
      <c r="AS48" s="19">
        <f>'D2C - Retail'!AZ104+'D2C Online'!BQ82</f>
        <v>365088845.04286402</v>
      </c>
      <c r="AT48" s="19">
        <f>'D2C - Retail'!BA104+'D2C Online'!BR82</f>
        <v>321527134.40126562</v>
      </c>
      <c r="AU48" s="19">
        <f>'D2C - Retail'!BB104+'D2C Online'!BS82</f>
        <v>304818673.51926565</v>
      </c>
      <c r="AV48" s="19">
        <f>'D2C - Retail'!BC104+'D2C Online'!BT82</f>
        <v>389371477.56064773</v>
      </c>
      <c r="AW48" s="19">
        <f>'D2C - Retail'!BD104+'D2C Online'!BU82</f>
        <v>364085809.26759523</v>
      </c>
      <c r="AX48" s="19">
        <f>'D2C - Retail'!BE104+'D2C Online'!BV82</f>
        <v>438229373.79605389</v>
      </c>
      <c r="AY48" s="19">
        <f>'D2C - Retail'!BF104+'D2C Online'!BW82</f>
        <v>474016859.69854021</v>
      </c>
      <c r="AZ48" s="19">
        <f>'D2C - Retail'!BG104+'D2C Online'!BX82</f>
        <v>455194634.19102395</v>
      </c>
      <c r="BA48" s="19">
        <f>'D2C - Retail'!BH104+'D2C Online'!BY82</f>
        <v>582071170.33330357</v>
      </c>
      <c r="BB48" s="19">
        <f>'D2C - Retail'!BI104+'D2C Online'!BZ82</f>
        <v>534115083.08716714</v>
      </c>
      <c r="BC48" s="19">
        <f>'D2C - Retail'!BJ104+'D2C Online'!CA82</f>
        <v>526004239.23421979</v>
      </c>
      <c r="BD48" s="19">
        <f>'D2C - Retail'!BK104+'D2C Online'!CB82</f>
        <v>523162418.08242071</v>
      </c>
      <c r="BE48" s="19">
        <f>'D2C - Retail'!BL104+'D2C Online'!CC82</f>
        <v>563533451.79375768</v>
      </c>
      <c r="BF48" s="19">
        <f>'D2C - Retail'!BM104+'D2C Online'!CD82</f>
        <v>460217608.3826381</v>
      </c>
      <c r="BG48" s="19">
        <f>'D2C - Retail'!BN104+'D2C Online'!CE82</f>
        <v>514718206.18054843</v>
      </c>
      <c r="BH48" s="19">
        <f>'D2C - Retail'!BO104+'D2C Online'!CF82</f>
        <v>597722332.81700516</v>
      </c>
      <c r="BI48" s="19">
        <f>'D2C - Retail'!BP104+'D2C Online'!CG82</f>
        <v>558619659.56715345</v>
      </c>
      <c r="BJ48" s="19">
        <f>'D2C - Retail'!BQ104+'D2C Online'!CH82</f>
        <v>696158129.1006</v>
      </c>
      <c r="BK48" s="19">
        <f>'D2C - Retail'!BR104+'D2C Online'!CI82</f>
        <v>750764573.40810001</v>
      </c>
      <c r="BL48" s="19">
        <f>'D2C - Retail'!BS104+'D2C Online'!CJ82</f>
        <v>681573264.949</v>
      </c>
      <c r="BM48" s="19">
        <f>'D2C - Retail'!BT104+'D2C Online'!CK82</f>
        <v>823178590.24980009</v>
      </c>
      <c r="BN48" s="19">
        <f>'D2C - Retail'!BU104+'D2C Online'!CL82</f>
        <v>711123321.08350146</v>
      </c>
      <c r="BO48" s="19">
        <f>'D2C - Retail'!BV104+'D2C Online'!CM82</f>
        <v>703629541.24111176</v>
      </c>
      <c r="BP48" s="19">
        <f>'D2C - Retail'!BW104+'D2C Online'!CN82</f>
        <v>701967859.20499253</v>
      </c>
      <c r="BQ48" s="19">
        <f>'D2C - Retail'!BX104+'D2C Online'!CO82</f>
        <v>744581604.65672791</v>
      </c>
      <c r="BR48" s="19">
        <f>'D2C - Retail'!BY104+'D2C Online'!CP82</f>
        <v>674049410.31246078</v>
      </c>
      <c r="BS48" s="19">
        <f>'D2C - Retail'!BZ104+'D2C Online'!CQ82</f>
        <v>665566451.62235451</v>
      </c>
      <c r="BT48" s="19">
        <f>'D2C - Retail'!CA104+'D2C Online'!CR82</f>
        <v>761610251.1886816</v>
      </c>
      <c r="BU48" s="19">
        <f>'D2C - Retail'!CB104+'D2C Online'!CS82</f>
        <v>720254192.02783549</v>
      </c>
      <c r="BV48" s="19">
        <f>'D2C - Retail'!CC104+'D2C Online'!CT82</f>
        <v>874976496.08798361</v>
      </c>
      <c r="BW48" s="19">
        <f>'D2C - Retail'!CD104+'D2C Online'!CU82</f>
        <v>915267595.91451335</v>
      </c>
      <c r="BX48" s="19">
        <f>'D2C - Retail'!CE104+'D2C Online'!CV82</f>
        <v>820912518.04522026</v>
      </c>
      <c r="BY48" s="19">
        <f>'D2C - Retail'!CF104+'D2C Online'!CW82</f>
        <v>935190745.8365463</v>
      </c>
      <c r="BZ48" s="19">
        <f>'D2C - Retail'!CG104+'D2C Online'!CX82</f>
        <v>862718629.32864583</v>
      </c>
      <c r="CA48" s="19">
        <f>'D2C - Retail'!CH104+'D2C Online'!CY82</f>
        <v>854795225.42197847</v>
      </c>
      <c r="CB48" s="19">
        <f>'D2C - Retail'!CI104+'D2C Online'!CZ82</f>
        <v>850051588.33488083</v>
      </c>
      <c r="CC48" s="19">
        <f>'D2C - Retail'!CJ104+'D2C Online'!DA82</f>
        <v>901636525.31921792</v>
      </c>
      <c r="CD48" s="19">
        <f>'D2C - Retail'!CK104+'D2C Online'!DB82</f>
        <v>815107049.43359351</v>
      </c>
      <c r="CE48" s="19">
        <f>'D2C - Retail'!CL104+'D2C Online'!DC82</f>
        <v>802894811.38175476</v>
      </c>
      <c r="CF48" s="19">
        <f>'D2C - Retail'!CM104+'D2C Online'!DD82</f>
        <v>918001608.30594301</v>
      </c>
      <c r="CG48" s="19">
        <f>'D2C - Retail'!CN104+'D2C Online'!DE82</f>
        <v>865104606.16579342</v>
      </c>
      <c r="CH48" s="19">
        <f>'D2C - Retail'!CO104+'D2C Online'!DF82</f>
        <v>1048060998.886718</v>
      </c>
      <c r="CI48" s="19">
        <f>'D2C - Retail'!CP104+'D2C Online'!DG82</f>
        <v>1093301771.4637208</v>
      </c>
      <c r="CJ48" s="19">
        <f>'D2C - Retail'!CQ104+'D2C Online'!DH82</f>
        <v>978107351.13072681</v>
      </c>
      <c r="CK48" s="19">
        <f>'D2C - Retail'!CR104+'D2C Online'!DI82</f>
        <v>1106255200.7914634</v>
      </c>
      <c r="CL48" s="19">
        <f>'D2C - Retail'!CS104+'D2C Online'!DJ82</f>
        <v>999659881.31000721</v>
      </c>
      <c r="CM48" s="19">
        <f>'D2C - Retail'!CT104+'D2C Online'!DK82</f>
        <v>990191220.43900728</v>
      </c>
      <c r="CN48" s="19">
        <f>'D2C - Retail'!CU104+'D2C Online'!DL82</f>
        <v>984409858.5016973</v>
      </c>
      <c r="CO48" s="19">
        <f>'D2C - Retail'!CV104+'D2C Online'!DM82</f>
        <v>1043131634.3005588</v>
      </c>
      <c r="CP48" s="19">
        <f>'D2C - Retail'!CW104+'D2C Online'!DN82</f>
        <v>943087031.00478554</v>
      </c>
      <c r="CQ48" s="19">
        <f>'D2C - Retail'!CX104+'D2C Online'!DO82</f>
        <v>929870595.40948808</v>
      </c>
      <c r="CR48" s="19">
        <f>'D2C - Retail'!CY104+'D2C Online'!DP82</f>
        <v>1060335122.0597737</v>
      </c>
      <c r="CS48" s="19">
        <f>'D2C - Retail'!CZ104+'D2C Online'!DQ82</f>
        <v>999822440.96706712</v>
      </c>
      <c r="CT48" s="19">
        <f>'D2C - Retail'!DA104+'D2C Online'!DR82</f>
        <v>1211299039.2338486</v>
      </c>
      <c r="CU48" s="19">
        <f>'D2C - Retail'!DB104+'D2C Online'!DS82</f>
        <v>1264036268.8117411</v>
      </c>
      <c r="CV48" s="19">
        <f>'D2C - Retail'!DC104+'D2C Online'!DT82</f>
        <v>1129731886.5863218</v>
      </c>
      <c r="CW48" s="19">
        <f>'D2C - Retail'!DD104+'D2C Online'!DU82</f>
        <v>1276620179.7271805</v>
      </c>
      <c r="CX48" s="168"/>
      <c r="CY48" s="19">
        <f t="shared" si="150"/>
        <v>1088018861.7655702</v>
      </c>
      <c r="CZ48" s="19">
        <f t="shared" si="151"/>
        <v>933570667.77762222</v>
      </c>
      <c r="DA48" s="19">
        <f t="shared" si="152"/>
        <v>1237682608.38797</v>
      </c>
      <c r="DB48" s="19">
        <f t="shared" si="153"/>
        <v>900299247.09583771</v>
      </c>
      <c r="DC48" s="19">
        <f t="shared" si="154"/>
        <v>1074567897.7394252</v>
      </c>
      <c r="DD48" s="19">
        <f t="shared" si="155"/>
        <v>991434652.96339536</v>
      </c>
      <c r="DE48" s="19">
        <f t="shared" si="156"/>
        <v>1191686660.6242969</v>
      </c>
      <c r="DF48" s="19">
        <f t="shared" si="157"/>
        <v>1511282664.2228677</v>
      </c>
      <c r="DG48" s="19">
        <f t="shared" si="158"/>
        <v>1583281740.4038076</v>
      </c>
      <c r="DH48" s="19">
        <f t="shared" si="159"/>
        <v>1538469266.3569441</v>
      </c>
      <c r="DI48" s="19">
        <f t="shared" si="160"/>
        <v>1852500121.4847586</v>
      </c>
      <c r="DJ48" s="19">
        <f t="shared" si="161"/>
        <v>2255516428.6069002</v>
      </c>
      <c r="DK48" s="19">
        <f t="shared" si="162"/>
        <v>2116720721.5296056</v>
      </c>
      <c r="DL48" s="19">
        <f t="shared" si="163"/>
        <v>2084197466.5915432</v>
      </c>
      <c r="DM48" s="19">
        <f t="shared" si="164"/>
        <v>2356840939.3045006</v>
      </c>
      <c r="DN48" s="19">
        <f t="shared" si="165"/>
        <v>2671370859.7962799</v>
      </c>
      <c r="DO48" s="19">
        <f t="shared" si="166"/>
        <v>2567565443.085505</v>
      </c>
      <c r="DP48" s="19">
        <f t="shared" si="167"/>
        <v>2519638386.1345663</v>
      </c>
      <c r="DQ48" s="19">
        <f t="shared" si="168"/>
        <v>2831167213.3584547</v>
      </c>
      <c r="DR48" s="19">
        <f t="shared" si="169"/>
        <v>3177664323.385911</v>
      </c>
      <c r="DS48" s="19">
        <f t="shared" si="186"/>
        <v>2974260960.2507114</v>
      </c>
      <c r="DT48" s="19">
        <f t="shared" si="187"/>
        <v>2916089260.7148323</v>
      </c>
      <c r="DU48" s="19">
        <f t="shared" si="188"/>
        <v>3271456602.2606893</v>
      </c>
      <c r="DV48" s="19">
        <f t="shared" si="189"/>
        <v>3670388335.1252432</v>
      </c>
      <c r="DX48" s="19">
        <f t="shared" si="174"/>
        <v>4159571385.027</v>
      </c>
      <c r="DY48" s="19">
        <f t="shared" si="175"/>
        <v>4768971875.5499849</v>
      </c>
      <c r="DZ48" s="19">
        <f t="shared" si="176"/>
        <v>7229767556.8524103</v>
      </c>
      <c r="EA48" s="19">
        <f t="shared" si="177"/>
        <v>9229129987.2219296</v>
      </c>
      <c r="EB48" s="19">
        <f t="shared" si="178"/>
        <v>11096035365.964437</v>
      </c>
      <c r="EC48" s="770">
        <f t="shared" si="179"/>
        <v>12832195158.351475</v>
      </c>
    </row>
    <row r="49" spans="2:133" x14ac:dyDescent="0.2">
      <c r="B49" s="155" t="s">
        <v>142</v>
      </c>
      <c r="C49" s="19">
        <f>'D2C - Retail'!J107+'D2C Online'!AA83</f>
        <v>1128380.904249999</v>
      </c>
      <c r="D49" s="19">
        <f>'D2C - Retail'!K107+'D2C Online'!AB83</f>
        <v>1326338.5372000001</v>
      </c>
      <c r="E49" s="19">
        <f>'D2C - Retail'!L107+'D2C Online'!AC83</f>
        <v>1327389.054</v>
      </c>
      <c r="F49" s="19">
        <f>'D2C - Retail'!M107+'D2C Online'!AD83</f>
        <v>1015332.2963566016</v>
      </c>
      <c r="G49" s="19">
        <f>'D2C - Retail'!N107+'D2C Online'!AE83</f>
        <v>431234</v>
      </c>
      <c r="H49" s="19">
        <f>'D2C - Retail'!O107+'D2C Online'!AF83</f>
        <v>1213254.5388199999</v>
      </c>
      <c r="I49" s="19">
        <f>'D2C - Retail'!P107+'D2C Online'!AG83</f>
        <v>1558221.96111</v>
      </c>
      <c r="J49" s="19">
        <f>'D2C - Retail'!Q107+'D2C Online'!AH83</f>
        <v>1850642</v>
      </c>
      <c r="K49" s="19">
        <f>'D2C - Retail'!R107+'D2C Online'!AI83</f>
        <v>2514667.4563859003</v>
      </c>
      <c r="L49" s="19">
        <f>'D2C - Retail'!S107+'D2C Online'!AJ83</f>
        <v>3615935.7680029003</v>
      </c>
      <c r="M49" s="19">
        <f>'D2C - Retail'!T107+'D2C Online'!AK83</f>
        <v>4057801.6713951137</v>
      </c>
      <c r="N49" s="19">
        <f>'D2C - Retail'!U107+'D2C Online'!AL83</f>
        <v>5145612.9642345738</v>
      </c>
      <c r="O49" s="19">
        <f>'D2C - Retail'!V107+'D2C Online'!AM83</f>
        <v>6744937.1015100135</v>
      </c>
      <c r="P49" s="19">
        <f>'D2C - Retail'!W107+'D2C Online'!AN83</f>
        <v>7717628.7551354878</v>
      </c>
      <c r="Q49" s="19">
        <f>'D2C - Retail'!X107+'D2C Online'!AO83</f>
        <v>7569629</v>
      </c>
      <c r="R49" s="19">
        <f>'D2C - Retail'!Y107+'D2C Online'!AP83</f>
        <v>4728537.533065198</v>
      </c>
      <c r="S49" s="19">
        <f>'D2C - Retail'!Z107+'D2C Online'!AQ83</f>
        <v>6729942.4473099904</v>
      </c>
      <c r="T49" s="19">
        <f>'D2C - Retail'!AA107+'D2C Online'!AR83</f>
        <v>10935634.907880023</v>
      </c>
      <c r="U49" s="19">
        <f>'D2C - Retail'!AB107+'D2C Online'!AS83</f>
        <v>9054303.3974200096</v>
      </c>
      <c r="V49" s="19">
        <f>'D2C - Retail'!AC107+'D2C Online'!AT83</f>
        <v>8092722.7253999971</v>
      </c>
      <c r="W49" s="19">
        <f>'D2C - Retail'!AD107+'D2C Online'!AU83</f>
        <v>7258135.225300001</v>
      </c>
      <c r="X49" s="19">
        <f>'D2C - Retail'!AE107+'D2C Online'!AV83</f>
        <v>8218595.0493000029</v>
      </c>
      <c r="Y49" s="19">
        <f>'D2C - Retail'!AF107+'D2C Online'!AW83</f>
        <v>7711340.2016000049</v>
      </c>
      <c r="Z49" s="19">
        <f>'D2C - Retail'!AG107+'D2C Online'!AX83</f>
        <v>8901478.2067560013</v>
      </c>
      <c r="AA49" s="19">
        <f>'D2C - Retail'!AH107+'D2C Online'!AY83</f>
        <v>8514931.4763999898</v>
      </c>
      <c r="AB49" s="19">
        <f>'D2C - Retail'!AI107+'D2C Online'!AZ83</f>
        <v>8081276.2476999816</v>
      </c>
      <c r="AC49" s="19">
        <f>'D2C - Retail'!AJ107+'D2C Online'!BA83</f>
        <v>13552913.795100037</v>
      </c>
      <c r="AD49" s="19">
        <f>'D2C - Retail'!AK107+'D2C Online'!BB83</f>
        <v>16482447.330762822</v>
      </c>
      <c r="AE49" s="19">
        <f>'D2C - Retail'!AL107+'D2C Online'!BC83</f>
        <v>17533049.946779769</v>
      </c>
      <c r="AF49" s="19">
        <f>'D2C - Retail'!AM107+'D2C Online'!BD83</f>
        <v>18567152.323336929</v>
      </c>
      <c r="AG49" s="19">
        <f>'D2C - Retail'!AN107+'D2C Online'!BE83</f>
        <v>12771418.813390527</v>
      </c>
      <c r="AH49" s="19">
        <f>'D2C - Retail'!AO107+'D2C Online'!BF83</f>
        <v>17515529.09314356</v>
      </c>
      <c r="AI49" s="19">
        <f>'D2C - Retail'!AP107+'D2C Online'!BG83</f>
        <v>18896997.472311616</v>
      </c>
      <c r="AJ49" s="19">
        <f>'D2C - Retail'!AQ107+'D2C Online'!BH83</f>
        <v>26290364.851186283</v>
      </c>
      <c r="AK49" s="19">
        <f>'D2C - Retail'!AR107+'D2C Online'!BI83</f>
        <v>23533322.439152658</v>
      </c>
      <c r="AL49" s="19">
        <f>'D2C - Retail'!AS107+'D2C Online'!BJ83</f>
        <v>22946479.806102492</v>
      </c>
      <c r="AM49" s="19">
        <f>'D2C - Retail'!AT107+'D2C Online'!BK83</f>
        <v>25679931.70915268</v>
      </c>
      <c r="AN49" s="19">
        <f>'D2C - Retail'!AU107+'D2C Online'!BL83</f>
        <v>21456790.949999988</v>
      </c>
      <c r="AO49" s="19">
        <f>'D2C - Retail'!AV107+'D2C Online'!BM83</f>
        <v>30067777.906779662</v>
      </c>
      <c r="AP49" s="19">
        <f>'D2C - Retail'!AW107+'D2C Online'!BN83</f>
        <v>27897990.31830528</v>
      </c>
      <c r="AQ49" s="19">
        <f>'D2C - Retail'!AX107+'D2C Online'!BO83</f>
        <v>28310220.405084766</v>
      </c>
      <c r="AR49" s="19">
        <f>'D2C - Retail'!AY107+'D2C Online'!BP83</f>
        <v>32434045.452033937</v>
      </c>
      <c r="AS49" s="19">
        <f>'D2C - Retail'!AZ107+'D2C Online'!BQ83</f>
        <v>34786191.690508544</v>
      </c>
      <c r="AT49" s="19">
        <f>'D2C - Retail'!BA107+'D2C Online'!BR83</f>
        <v>30651712.482915256</v>
      </c>
      <c r="AU49" s="19">
        <f>'D2C - Retail'!BB107+'D2C Online'!BS83</f>
        <v>29747706.088644255</v>
      </c>
      <c r="AV49" s="19">
        <f>'D2C - Retail'!BC107+'D2C Online'!BT83</f>
        <v>25081242.031355884</v>
      </c>
      <c r="AW49" s="19">
        <f>'D2C - Retail'!BD107+'D2C Online'!BU83</f>
        <v>21939280.608474523</v>
      </c>
      <c r="AX49" s="19">
        <f>'D2C - Retail'!BE107+'D2C Online'!BV83</f>
        <v>29777728.703390129</v>
      </c>
      <c r="AY49" s="19">
        <f>'D2C - Retail'!BF107+'D2C Online'!BW83</f>
        <v>32652781.287288114</v>
      </c>
      <c r="AZ49" s="19">
        <f>'D2C - Retail'!BG107+'D2C Online'!BX83</f>
        <v>30273373.649561316</v>
      </c>
      <c r="BA49" s="19">
        <f>'D2C - Retail'!BH107+'D2C Online'!BY83</f>
        <v>41670035.591386408</v>
      </c>
      <c r="BB49" s="19">
        <f>'D2C - Retail'!BI107+'D2C Online'!BZ83</f>
        <v>35649952.824313968</v>
      </c>
      <c r="BC49" s="19">
        <f>'D2C - Retail'!BJ107+'D2C Online'!CA83</f>
        <v>32071671.440886982</v>
      </c>
      <c r="BD49" s="19">
        <f>'D2C - Retail'!BK107+'D2C Online'!CB83</f>
        <v>33480658.055562995</v>
      </c>
      <c r="BE49" s="19">
        <f>'D2C - Retail'!BL107+'D2C Online'!CC83</f>
        <v>38233508.19491525</v>
      </c>
      <c r="BF49" s="19">
        <f>'D2C - Retail'!BM107+'D2C Online'!CD83</f>
        <v>38259536.161017008</v>
      </c>
      <c r="BG49" s="19">
        <f>'D2C - Retail'!BN107+'D2C Online'!CE83</f>
        <v>43588479.483050793</v>
      </c>
      <c r="BH49" s="19">
        <f>'D2C - Retail'!BO107+'D2C Online'!CF83</f>
        <v>42950905.228813522</v>
      </c>
      <c r="BI49" s="19">
        <f>'D2C - Retail'!BP107+'D2C Online'!CG83</f>
        <v>37133228.483050868</v>
      </c>
      <c r="BJ49" s="19">
        <f>'D2C - Retail'!BQ107+'D2C Online'!CH83</f>
        <v>57429440.915254265</v>
      </c>
      <c r="BK49" s="19">
        <f>'D2C - Retail'!BR107+'D2C Online'!CI83</f>
        <v>67350975.74576278</v>
      </c>
      <c r="BL49" s="19">
        <f>'D2C - Retail'!BS107+'D2C Online'!CJ83</f>
        <v>60607141.537674695</v>
      </c>
      <c r="BM49" s="19">
        <f>'D2C - Retail'!BT107+'D2C Online'!CK83</f>
        <v>71269603.966207922</v>
      </c>
      <c r="BN49" s="19">
        <f>'D2C - Retail'!BU107+'D2C Online'!CL83</f>
        <v>52940211.173115514</v>
      </c>
      <c r="BO49" s="19">
        <f>'D2C - Retail'!BV107+'D2C Online'!CM83</f>
        <v>52621514.305700406</v>
      </c>
      <c r="BP49" s="19">
        <f>'D2C - Retail'!BW107+'D2C Online'!CN83</f>
        <v>52517665.47565721</v>
      </c>
      <c r="BQ49" s="19">
        <f>'D2C - Retail'!BX107+'D2C Online'!CO83</f>
        <v>55173143.524726622</v>
      </c>
      <c r="BR49" s="19">
        <f>'D2C - Retail'!BY107+'D2C Online'!CP83</f>
        <v>50391494.490802601</v>
      </c>
      <c r="BS49" s="19">
        <f>'D2C - Retail'!BZ107+'D2C Online'!CQ83</f>
        <v>50938983.154516838</v>
      </c>
      <c r="BT49" s="19">
        <f>'D2C - Retail'!CA107+'D2C Online'!CR83</f>
        <v>56194538.207227893</v>
      </c>
      <c r="BU49" s="19">
        <f>'D2C - Retail'!CB107+'D2C Online'!CS83</f>
        <v>53816431.737656675</v>
      </c>
      <c r="BV49" s="19">
        <f>'D2C - Retail'!CC107+'D2C Online'!CT83</f>
        <v>65506564.163219512</v>
      </c>
      <c r="BW49" s="19">
        <f>'D2C - Retail'!CD107+'D2C Online'!CU83</f>
        <v>68974712.464991271</v>
      </c>
      <c r="BX49" s="19">
        <f>'D2C - Retail'!CE107+'D2C Online'!CV83</f>
        <v>61257469.750877917</v>
      </c>
      <c r="BY49" s="19">
        <f>'D2C - Retail'!CF107+'D2C Online'!CW83</f>
        <v>68988142.172757506</v>
      </c>
      <c r="BZ49" s="19">
        <f>'D2C - Retail'!CG107+'D2C Online'!CX83</f>
        <v>65038007.722087361</v>
      </c>
      <c r="CA49" s="19">
        <f>'D2C - Retail'!CH107+'D2C Online'!CY83</f>
        <v>64711864.47126694</v>
      </c>
      <c r="CB49" s="19">
        <f>'D2C - Retail'!CI107+'D2C Online'!CZ83</f>
        <v>64421969.914036334</v>
      </c>
      <c r="CC49" s="19">
        <f>'D2C - Retail'!CJ107+'D2C Online'!DA83</f>
        <v>67686161.781625584</v>
      </c>
      <c r="CD49" s="19">
        <f>'D2C - Retail'!CK107+'D2C Online'!DB83</f>
        <v>61746557.35376963</v>
      </c>
      <c r="CE49" s="19">
        <f>'D2C - Retail'!CL107+'D2C Online'!DC83</f>
        <v>62285981.996514663</v>
      </c>
      <c r="CF49" s="19">
        <f>'D2C - Retail'!CM107+'D2C Online'!DD83</f>
        <v>68690031.644524813</v>
      </c>
      <c r="CG49" s="19">
        <f>'D2C - Retail'!CN107+'D2C Online'!DE83</f>
        <v>65594973.193383843</v>
      </c>
      <c r="CH49" s="19">
        <f>'D2C - Retail'!CO107+'D2C Online'!DF83</f>
        <v>79673394.633218408</v>
      </c>
      <c r="CI49" s="19">
        <f>'D2C - Retail'!CP107+'D2C Online'!DG83</f>
        <v>83710917.1623483</v>
      </c>
      <c r="CJ49" s="19">
        <f>'D2C - Retail'!CQ107+'D2C Online'!DH83</f>
        <v>74197202.845403627</v>
      </c>
      <c r="CK49" s="19">
        <f>'D2C - Retail'!CR107+'D2C Online'!DI83</f>
        <v>83085824.633585855</v>
      </c>
      <c r="CL49" s="19">
        <f>'D2C - Retail'!CS107+'D2C Online'!DJ83</f>
        <v>78308072.021484047</v>
      </c>
      <c r="CM49" s="19">
        <f>'D2C - Retail'!CT107+'D2C Online'!DK83</f>
        <v>77884923.643505424</v>
      </c>
      <c r="CN49" s="19">
        <f>'D2C - Retail'!CU107+'D2C Online'!DL83</f>
        <v>77514989.05755201</v>
      </c>
      <c r="CO49" s="19">
        <f>'D2C - Retail'!CV107+'D2C Online'!DM83</f>
        <v>81408592.123151153</v>
      </c>
      <c r="CP49" s="19">
        <f>'D2C - Retail'!CW107+'D2C Online'!DN83</f>
        <v>74243663.313408732</v>
      </c>
      <c r="CQ49" s="19">
        <f>'D2C - Retail'!CX107+'D2C Online'!DO83</f>
        <v>74883916.129068524</v>
      </c>
      <c r="CR49" s="19">
        <f>'D2C - Retail'!CY107+'D2C Online'!DP83</f>
        <v>82518262.171321377</v>
      </c>
      <c r="CS49" s="19">
        <f>'D2C - Retail'!CZ107+'D2C Online'!DQ83</f>
        <v>78799010.393253565</v>
      </c>
      <c r="CT49" s="19">
        <f>'D2C - Retail'!DA107+'D2C Online'!DR83</f>
        <v>95704728.886878639</v>
      </c>
      <c r="CU49" s="19">
        <f>'D2C - Retail'!DB107+'D2C Online'!DS83</f>
        <v>100556870.16188121</v>
      </c>
      <c r="CV49" s="19">
        <f>'D2C - Retail'!DC107+'D2C Online'!DT83</f>
        <v>89088600.528537989</v>
      </c>
      <c r="CW49" s="19">
        <f>'D2C - Retail'!DD107+'D2C Online'!DU83</f>
        <v>99727042.903503045</v>
      </c>
      <c r="CX49" s="168"/>
      <c r="CY49" s="19">
        <f t="shared" si="150"/>
        <v>52582649.60087952</v>
      </c>
      <c r="CZ49" s="19">
        <f t="shared" si="151"/>
        <v>49183945.378845707</v>
      </c>
      <c r="DA49" s="19">
        <f t="shared" si="152"/>
        <v>72770167.096441433</v>
      </c>
      <c r="DB49" s="19">
        <f t="shared" si="153"/>
        <v>77204500.565932333</v>
      </c>
      <c r="DC49" s="19">
        <f t="shared" si="154"/>
        <v>88642256.17542398</v>
      </c>
      <c r="DD49" s="19">
        <f t="shared" si="155"/>
        <v>95185610.262068048</v>
      </c>
      <c r="DE49" s="19">
        <f t="shared" si="156"/>
        <v>76798251.343220532</v>
      </c>
      <c r="DF49" s="19">
        <f t="shared" si="157"/>
        <v>104596190.52823584</v>
      </c>
      <c r="DG49" s="19">
        <f t="shared" si="158"/>
        <v>101202282.32076395</v>
      </c>
      <c r="DH49" s="19">
        <f t="shared" si="159"/>
        <v>120081523.83898306</v>
      </c>
      <c r="DI49" s="19">
        <f t="shared" si="160"/>
        <v>137513574.62711865</v>
      </c>
      <c r="DJ49" s="19">
        <f t="shared" si="161"/>
        <v>199227721.24964541</v>
      </c>
      <c r="DK49" s="19">
        <f t="shared" si="162"/>
        <v>158079390.95447314</v>
      </c>
      <c r="DL49" s="19">
        <f t="shared" si="163"/>
        <v>156503621.17004606</v>
      </c>
      <c r="DM49" s="19">
        <f t="shared" si="164"/>
        <v>175517534.10810408</v>
      </c>
      <c r="DN49" s="19">
        <f t="shared" si="165"/>
        <v>199220324.38862669</v>
      </c>
      <c r="DO49" s="19">
        <f t="shared" si="166"/>
        <v>194171842.10739064</v>
      </c>
      <c r="DP49" s="19">
        <f t="shared" si="167"/>
        <v>191718701.13190988</v>
      </c>
      <c r="DQ49" s="19">
        <f t="shared" si="168"/>
        <v>213958399.47112706</v>
      </c>
      <c r="DR49" s="19">
        <f t="shared" si="169"/>
        <v>240993944.64133781</v>
      </c>
      <c r="DS49" s="19">
        <f t="shared" si="186"/>
        <v>233707984.72254148</v>
      </c>
      <c r="DT49" s="19">
        <f t="shared" si="187"/>
        <v>230536171.56562841</v>
      </c>
      <c r="DU49" s="19">
        <f t="shared" si="188"/>
        <v>257022001.4514536</v>
      </c>
      <c r="DV49" s="19">
        <f t="shared" si="189"/>
        <v>289372513.59392226</v>
      </c>
      <c r="DX49" s="19">
        <f t="shared" si="174"/>
        <v>251741262.64209899</v>
      </c>
      <c r="DY49" s="19">
        <f t="shared" si="175"/>
        <v>365222308.3089484</v>
      </c>
      <c r="DZ49" s="19">
        <f t="shared" si="176"/>
        <v>558025102.03651106</v>
      </c>
      <c r="EA49" s="19">
        <f t="shared" si="177"/>
        <v>689320870.62125003</v>
      </c>
      <c r="EB49" s="19">
        <f t="shared" si="178"/>
        <v>840842887.35176539</v>
      </c>
      <c r="EC49" s="770">
        <f t="shared" si="179"/>
        <v>1010638671.3335457</v>
      </c>
    </row>
    <row r="50" spans="2:133" x14ac:dyDescent="0.2">
      <c r="B50" s="167" t="s">
        <v>22</v>
      </c>
      <c r="C50" s="19">
        <f>'D2C - Retail'!J110+'D2C Online'!AA84</f>
        <v>0</v>
      </c>
      <c r="D50" s="19">
        <f>'D2C - Retail'!K110+'D2C Online'!AB84</f>
        <v>0</v>
      </c>
      <c r="E50" s="19">
        <f>'D2C - Retail'!L110+'D2C Online'!AC84</f>
        <v>0</v>
      </c>
      <c r="F50" s="19">
        <f>'D2C - Retail'!M110+'D2C Online'!AD84</f>
        <v>0</v>
      </c>
      <c r="G50" s="19">
        <f>'D2C - Retail'!N110+'D2C Online'!AE84</f>
        <v>0</v>
      </c>
      <c r="H50" s="19">
        <f>'D2C - Retail'!O110+'D2C Online'!AF84</f>
        <v>0</v>
      </c>
      <c r="I50" s="19">
        <f>'D2C - Retail'!P110+'D2C Online'!AG84</f>
        <v>0</v>
      </c>
      <c r="J50" s="19">
        <f>'D2C - Retail'!Q110+'D2C Online'!AH84</f>
        <v>0</v>
      </c>
      <c r="K50" s="19">
        <f>'D2C - Retail'!R110+'D2C Online'!AI84</f>
        <v>0</v>
      </c>
      <c r="L50" s="19">
        <f>'D2C - Retail'!S110+'D2C Online'!AJ84</f>
        <v>0</v>
      </c>
      <c r="M50" s="19">
        <f>'D2C - Retail'!T110+'D2C Online'!AK84</f>
        <v>0</v>
      </c>
      <c r="N50" s="19">
        <f>'D2C - Retail'!U110+'D2C Online'!AL84</f>
        <v>0</v>
      </c>
      <c r="O50" s="19">
        <f>'D2C - Retail'!V110+'D2C Online'!AM84</f>
        <v>0</v>
      </c>
      <c r="P50" s="19">
        <f>'D2C - Retail'!W110+'D2C Online'!AN84</f>
        <v>0</v>
      </c>
      <c r="Q50" s="19">
        <f>'D2C - Retail'!X110+'D2C Online'!AO84</f>
        <v>0</v>
      </c>
      <c r="R50" s="19">
        <f>'D2C - Retail'!Y110+'D2C Online'!AP84</f>
        <v>0</v>
      </c>
      <c r="S50" s="19">
        <f>'D2C - Retail'!Z110+'D2C Online'!AQ84</f>
        <v>0</v>
      </c>
      <c r="T50" s="19">
        <f>'D2C - Retail'!AA110+'D2C Online'!AR84</f>
        <v>0</v>
      </c>
      <c r="U50" s="19">
        <f>'D2C - Retail'!AB110+'D2C Online'!AS84</f>
        <v>0</v>
      </c>
      <c r="V50" s="19">
        <f>'D2C - Retail'!AC110+'D2C Online'!AT84</f>
        <v>0</v>
      </c>
      <c r="W50" s="19">
        <f>'D2C - Retail'!AD110+'D2C Online'!AU84</f>
        <v>1285667.3831111719</v>
      </c>
      <c r="X50" s="19">
        <f>'D2C - Retail'!AE110+'D2C Online'!AV84</f>
        <v>1247860.7435145634</v>
      </c>
      <c r="Y50" s="19">
        <f>'D2C - Retail'!AF110+'D2C Online'!AW84</f>
        <v>1037967.3634015401</v>
      </c>
      <c r="Z50" s="19">
        <f>'D2C - Retail'!AG110+'D2C Online'!AX84</f>
        <v>1532179.8017247568</v>
      </c>
      <c r="AA50" s="19">
        <f>'D2C - Retail'!AH110+'D2C Online'!AY84</f>
        <v>1099642.7795012791</v>
      </c>
      <c r="AB50" s="19">
        <f>'D2C - Retail'!AI110+'D2C Online'!AZ84</f>
        <v>2372422.8647868535</v>
      </c>
      <c r="AC50" s="19">
        <f>'D2C - Retail'!AJ110+'D2C Online'!BA84</f>
        <v>2739588.504526881</v>
      </c>
      <c r="AD50" s="19">
        <f>'D2C - Retail'!AK110+'D2C Online'!BB84</f>
        <v>4125915.5746235941</v>
      </c>
      <c r="AE50" s="19">
        <f>'D2C - Retail'!AL110+'D2C Online'!BC84</f>
        <v>6046784.4317372302</v>
      </c>
      <c r="AF50" s="19">
        <f>'D2C - Retail'!AM110+'D2C Online'!BD84</f>
        <v>6866565.8903574022</v>
      </c>
      <c r="AG50" s="19">
        <f>'D2C - Retail'!AN110+'D2C Online'!BE84</f>
        <v>5924113.720032189</v>
      </c>
      <c r="AH50" s="19">
        <f>'D2C - Retail'!AO110+'D2C Online'!BF84</f>
        <v>6253429.6199570037</v>
      </c>
      <c r="AI50" s="19">
        <f>'D2C - Retail'!AP110+'D2C Online'!BG84</f>
        <v>3018612.2131831255</v>
      </c>
      <c r="AJ50" s="19">
        <f>'D2C - Retail'!AQ110+'D2C Online'!BH84</f>
        <v>7044450.8657132518</v>
      </c>
      <c r="AK50" s="19">
        <f>'D2C - Retail'!AR110+'D2C Online'!BI84</f>
        <v>4932368.603089652</v>
      </c>
      <c r="AL50" s="19">
        <f>'D2C - Retail'!AS110+'D2C Online'!BJ84</f>
        <v>3778087.903634531</v>
      </c>
      <c r="AM50" s="19">
        <f>'D2C - Retail'!AT110+'D2C Online'!BK84</f>
        <v>4527050.7201855257</v>
      </c>
      <c r="AN50" s="19">
        <f>'D2C - Retail'!AU110+'D2C Online'!BL84</f>
        <v>3189905.8978852797</v>
      </c>
      <c r="AO50" s="19">
        <f>'D2C - Retail'!AV110+'D2C Online'!BM84</f>
        <v>3929792.1920057572</v>
      </c>
      <c r="AP50" s="19">
        <f>'D2C - Retail'!AW110+'D2C Online'!BN84</f>
        <v>3148756.7136107539</v>
      </c>
      <c r="AQ50" s="19">
        <f>'D2C - Retail'!AX110+'D2C Online'!BO84</f>
        <v>2163643.4459893145</v>
      </c>
      <c r="AR50" s="19">
        <f>'D2C - Retail'!AY110+'D2C Online'!BP84</f>
        <v>3234896.5801205346</v>
      </c>
      <c r="AS50" s="19">
        <f>'D2C - Retail'!AZ110+'D2C Online'!BQ84</f>
        <v>1273381.5548752206</v>
      </c>
      <c r="AT50" s="19">
        <f>'D2C - Retail'!BA110+'D2C Online'!BR84</f>
        <v>1232861.7188599594</v>
      </c>
      <c r="AU50" s="19">
        <f>'D2C - Retail'!BB110+'D2C Online'!BS84</f>
        <v>1225747.2277525119</v>
      </c>
      <c r="AV50" s="19">
        <f>'D2C - Retail'!BC110+'D2C Online'!BT84</f>
        <v>2613217.3293188736</v>
      </c>
      <c r="AW50" s="19">
        <f>'D2C - Retail'!BD110+'D2C Online'!BU84</f>
        <v>1446113.0613854008</v>
      </c>
      <c r="AX50" s="19">
        <f>'D2C - Retail'!BE110+'D2C Online'!BV84</f>
        <v>2437949.0996376202</v>
      </c>
      <c r="AY50" s="19">
        <f>'D2C - Retail'!BF110+'D2C Online'!BW84</f>
        <v>2320910.4798699222</v>
      </c>
      <c r="AZ50" s="19">
        <f>'D2C - Retail'!BG110+'D2C Online'!BX84</f>
        <v>2536035.8904065015</v>
      </c>
      <c r="BA50" s="19">
        <f>'D2C - Retail'!BH110+'D2C Online'!BY84</f>
        <v>2358029.3243189761</v>
      </c>
      <c r="BB50" s="19">
        <f>'D2C - Retail'!BI110+'D2C Online'!BZ84</f>
        <v>2586452.0619802959</v>
      </c>
      <c r="BC50" s="19">
        <f>'D2C - Retail'!BJ110+'D2C Online'!CA84</f>
        <v>2267972.9305282226</v>
      </c>
      <c r="BD50" s="19">
        <f>'D2C - Retail'!BK110+'D2C Online'!CB84</f>
        <v>1916676.8614586138</v>
      </c>
      <c r="BE50" s="19">
        <f>'D2C - Retail'!BL110+'D2C Online'!CC84</f>
        <v>3015867.2664904692</v>
      </c>
      <c r="BF50" s="19">
        <f>'D2C - Retail'!BM110+'D2C Online'!CD84</f>
        <v>2559521.9796221266</v>
      </c>
      <c r="BG50" s="19">
        <f>'D2C - Retail'!BN110+'D2C Online'!CE84</f>
        <v>2905407.9124035025</v>
      </c>
      <c r="BH50" s="19">
        <f>'D2C - Retail'!BO110+'D2C Online'!CF84</f>
        <v>1424982.175000699</v>
      </c>
      <c r="BI50" s="19">
        <f>'D2C - Retail'!BP110+'D2C Online'!CG84</f>
        <v>1711305.7855558936</v>
      </c>
      <c r="BJ50" s="19">
        <f>'D2C - Retail'!BQ110+'D2C Online'!CH84</f>
        <v>1757045.3336585565</v>
      </c>
      <c r="BK50" s="19">
        <f>'D2C - Retail'!BR110+'D2C Online'!CI84</f>
        <v>3410115.7672281191</v>
      </c>
      <c r="BL50" s="19">
        <f>'D2C - Retail'!BS110+'D2C Online'!CJ84</f>
        <v>3342264.7573244264</v>
      </c>
      <c r="BM50" s="19">
        <f>'D2C - Retail'!BT110+'D2C Online'!CK84</f>
        <v>4381139.3644823376</v>
      </c>
      <c r="BN50" s="19">
        <f>'D2C - Retail'!BU110+'D2C Online'!CL84</f>
        <v>3349479.619683722</v>
      </c>
      <c r="BO50" s="19">
        <f>'D2C - Retail'!BV110+'D2C Online'!CM84</f>
        <v>3325608.2820411786</v>
      </c>
      <c r="BP50" s="19">
        <f>'D2C - Retail'!BW110+'D2C Online'!CN84</f>
        <v>3320712.2385997716</v>
      </c>
      <c r="BQ50" s="19">
        <f>'D2C - Retail'!BX110+'D2C Online'!CO84</f>
        <v>3495165.9801089847</v>
      </c>
      <c r="BR50" s="19">
        <f>'D2C - Retail'!BY110+'D2C Online'!CP84</f>
        <v>3196427.9156839689</v>
      </c>
      <c r="BS50" s="19">
        <f>'D2C - Retail'!BZ110+'D2C Online'!CQ84</f>
        <v>3203208.2686981894</v>
      </c>
      <c r="BT50" s="19">
        <f>'D2C - Retail'!CA110+'D2C Online'!CR84</f>
        <v>3568555.3094405597</v>
      </c>
      <c r="BU50" s="19">
        <f>'D2C - Retail'!CB110+'D2C Online'!CS84</f>
        <v>3409497.5912970267</v>
      </c>
      <c r="BV50" s="19">
        <f>'D2C - Retail'!CC110+'D2C Online'!CT84</f>
        <v>4113431.892057199</v>
      </c>
      <c r="BW50" s="19">
        <f>'D2C - Retail'!CD110+'D2C Online'!CU84</f>
        <v>4312937.0572955692</v>
      </c>
      <c r="BX50" s="19">
        <f>'D2C - Retail'!CE110+'D2C Online'!CV84</f>
        <v>3865091.46418628</v>
      </c>
      <c r="BY50" s="19">
        <f>'D2C - Retail'!CF110+'D2C Online'!CW84</f>
        <v>4354033.8033809979</v>
      </c>
      <c r="BZ50" s="19">
        <f>'D2C - Retail'!CG110+'D2C Online'!CX84</f>
        <v>4039498.3572265459</v>
      </c>
      <c r="CA50" s="19">
        <f>'D2C - Retail'!CH110+'D2C Online'!CY84</f>
        <v>4015361.6151252114</v>
      </c>
      <c r="CB50" s="19">
        <f>'D2C - Retail'!CI110+'D2C Online'!CZ84</f>
        <v>3997705.9765106263</v>
      </c>
      <c r="CC50" s="19">
        <f>'D2C - Retail'!CJ110+'D2C Online'!DA84</f>
        <v>4208433.719609159</v>
      </c>
      <c r="CD50" s="19">
        <f>'D2C - Retail'!CK110+'D2C Online'!DB84</f>
        <v>3842569.5387144852</v>
      </c>
      <c r="CE50" s="19">
        <f>'D2C - Retail'!CL110+'D2C Online'!DC84</f>
        <v>3841673.7924236059</v>
      </c>
      <c r="CF50" s="19">
        <f>'D2C - Retail'!CM110+'D2C Online'!DD84</f>
        <v>4278759.6462446619</v>
      </c>
      <c r="CG50" s="19">
        <f>'D2C - Retail'!CN110+'D2C Online'!DE84</f>
        <v>4074074.8991914056</v>
      </c>
      <c r="CH50" s="19">
        <f>'D2C - Retail'!CO110+'D2C Online'!DF84</f>
        <v>4905742.8848377056</v>
      </c>
      <c r="CI50" s="19">
        <f>'D2C - Retail'!CP110+'D2C Online'!DG84</f>
        <v>5131450.745873834</v>
      </c>
      <c r="CJ50" s="19">
        <f>'D2C - Retail'!CQ110+'D2C Online'!DH84</f>
        <v>4586575.9494607449</v>
      </c>
      <c r="CK50" s="19">
        <f>'D2C - Retail'!CR110+'D2C Online'!DI84</f>
        <v>5135049.6918373983</v>
      </c>
      <c r="CL50" s="19">
        <f>'D2C - Retail'!CS110+'D2C Online'!DJ84</f>
        <v>4681299.235162314</v>
      </c>
      <c r="CM50" s="19">
        <f>'D2C - Retail'!CT110+'D2C Online'!DK84</f>
        <v>4652030.3235520413</v>
      </c>
      <c r="CN50" s="19">
        <f>'D2C - Retail'!CU110+'D2C Online'!DL84</f>
        <v>4630245.8658933938</v>
      </c>
      <c r="CO50" s="19">
        <f>'D2C - Retail'!CV110+'D2C Online'!DM84</f>
        <v>4870295.9362573354</v>
      </c>
      <c r="CP50" s="19">
        <f>'D2C - Retail'!CW110+'D2C Online'!DN84</f>
        <v>4446169.5298157511</v>
      </c>
      <c r="CQ50" s="19">
        <f>'D2C - Retail'!CX110+'D2C Online'!DO84</f>
        <v>4449529.3930813298</v>
      </c>
      <c r="CR50" s="19">
        <f>'D2C - Retail'!CY110+'D2C Online'!DP84</f>
        <v>4944116.9690234773</v>
      </c>
      <c r="CS50" s="19">
        <f>'D2C - Retail'!CZ110+'D2C Online'!DQ84</f>
        <v>4709827.8251411021</v>
      </c>
      <c r="CT50" s="19">
        <f>'D2C - Retail'!DA110+'D2C Online'!DR84</f>
        <v>5674320.6274678446</v>
      </c>
      <c r="CU50" s="19">
        <f>'D2C - Retail'!DB110+'D2C Online'!DS84</f>
        <v>5938223.8244873453</v>
      </c>
      <c r="CV50" s="19">
        <f>'D2C - Retail'!DC110+'D2C Online'!DT84</f>
        <v>5300977.9644455034</v>
      </c>
      <c r="CW50" s="19">
        <f>'D2C - Retail'!DD110+'D2C Online'!DU84</f>
        <v>5931328.8701172275</v>
      </c>
      <c r="CX50" s="168"/>
      <c r="CY50" s="19">
        <f t="shared" si="150"/>
        <v>17039265.896718226</v>
      </c>
      <c r="CZ50" s="19">
        <f t="shared" si="151"/>
        <v>15196155.553172318</v>
      </c>
      <c r="DA50" s="19">
        <f t="shared" si="152"/>
        <v>15754907.372437434</v>
      </c>
      <c r="DB50" s="19">
        <f t="shared" si="153"/>
        <v>11646748.810076563</v>
      </c>
      <c r="DC50" s="19">
        <f t="shared" si="154"/>
        <v>8547296.7397206016</v>
      </c>
      <c r="DD50" s="19">
        <f t="shared" si="155"/>
        <v>3731990.5014876919</v>
      </c>
      <c r="DE50" s="19">
        <f t="shared" si="156"/>
        <v>6497279.4903418943</v>
      </c>
      <c r="DF50" s="19">
        <f t="shared" si="157"/>
        <v>7214975.6945953993</v>
      </c>
      <c r="DG50" s="19">
        <f t="shared" si="158"/>
        <v>6771101.853967132</v>
      </c>
      <c r="DH50" s="19">
        <f t="shared" si="159"/>
        <v>8480797.1585160978</v>
      </c>
      <c r="DI50" s="19">
        <f t="shared" si="160"/>
        <v>4893333.2942151492</v>
      </c>
      <c r="DJ50" s="19">
        <f t="shared" si="161"/>
        <v>11133519.889034882</v>
      </c>
      <c r="DK50" s="19">
        <f t="shared" si="162"/>
        <v>9995800.1403246727</v>
      </c>
      <c r="DL50" s="19">
        <f t="shared" si="163"/>
        <v>9894802.1644911431</v>
      </c>
      <c r="DM50" s="19">
        <f t="shared" si="164"/>
        <v>11091484.792794786</v>
      </c>
      <c r="DN50" s="19">
        <f t="shared" si="165"/>
        <v>12532062.324862847</v>
      </c>
      <c r="DO50" s="19">
        <f t="shared" si="166"/>
        <v>12052565.948862385</v>
      </c>
      <c r="DP50" s="19">
        <f t="shared" si="167"/>
        <v>11892677.050747249</v>
      </c>
      <c r="DQ50" s="19">
        <f t="shared" si="168"/>
        <v>13258577.430273773</v>
      </c>
      <c r="DR50" s="19">
        <f t="shared" si="169"/>
        <v>14853076.387171978</v>
      </c>
      <c r="DS50" s="19">
        <f t="shared" si="186"/>
        <v>13963575.42460775</v>
      </c>
      <c r="DT50" s="19">
        <f t="shared" si="187"/>
        <v>13765994.859154416</v>
      </c>
      <c r="DU50" s="19">
        <f t="shared" si="188"/>
        <v>15328265.421632424</v>
      </c>
      <c r="DV50" s="19">
        <f t="shared" si="189"/>
        <v>17170530.659050077</v>
      </c>
      <c r="DX50" s="19">
        <f t="shared" si="174"/>
        <v>59637077.632404543</v>
      </c>
      <c r="DY50" s="19">
        <f t="shared" si="175"/>
        <v>25991542.426145587</v>
      </c>
      <c r="DZ50" s="19">
        <f t="shared" si="176"/>
        <v>31278752.19573326</v>
      </c>
      <c r="EA50" s="19">
        <f t="shared" si="177"/>
        <v>43514149.422473446</v>
      </c>
      <c r="EB50" s="19">
        <f t="shared" si="178"/>
        <v>52056896.817055382</v>
      </c>
      <c r="EC50" s="770">
        <f t="shared" si="179"/>
        <v>60228366.364444666</v>
      </c>
    </row>
    <row r="51" spans="2:133" x14ac:dyDescent="0.2">
      <c r="B51" s="155" t="s">
        <v>36</v>
      </c>
      <c r="C51" s="19">
        <f>'D2C - Retail'!J112+'D2C Online'!AA85</f>
        <v>121959.63213721233</v>
      </c>
      <c r="D51" s="19">
        <f>'D2C - Retail'!K112+'D2C Online'!AB85</f>
        <v>136408.56024527337</v>
      </c>
      <c r="E51" s="19">
        <f>'D2C - Retail'!L112+'D2C Online'!AC85</f>
        <v>166410.3961529384</v>
      </c>
      <c r="F51" s="19">
        <f>'D2C - Retail'!M112+'D2C Online'!AD85</f>
        <v>106956.00730234517</v>
      </c>
      <c r="G51" s="19">
        <f>'D2C - Retail'!N112+'D2C Online'!AE85</f>
        <v>21907.188380281688</v>
      </c>
      <c r="H51" s="19">
        <f>'D2C - Retail'!O112+'D2C Online'!AF85</f>
        <v>150092.96771853464</v>
      </c>
      <c r="I51" s="19">
        <f>'D2C - Retail'!P112+'D2C Online'!AG85</f>
        <v>120148.60366213822</v>
      </c>
      <c r="J51" s="19">
        <f>'D2C - Retail'!Q112+'D2C Online'!AH85</f>
        <v>152234.83438818564</v>
      </c>
      <c r="K51" s="19">
        <f>'D2C - Retail'!R112+'D2C Online'!AI85</f>
        <v>212047.63818221164</v>
      </c>
      <c r="L51" s="19">
        <f>'D2C - Retail'!S112+'D2C Online'!AJ85</f>
        <v>246449.8310502283</v>
      </c>
      <c r="M51" s="19">
        <f>'D2C - Retail'!T112+'D2C Online'!AK85</f>
        <v>362567.73535387742</v>
      </c>
      <c r="N51" s="19">
        <f>'D2C - Retail'!U112+'D2C Online'!AL85</f>
        <v>396740.2151861189</v>
      </c>
      <c r="O51" s="19">
        <f>'D2C - Retail'!V112+'D2C Online'!AM85</f>
        <v>383786.08103727712</v>
      </c>
      <c r="P51" s="19">
        <f>'D2C - Retail'!W112+'D2C Online'!AN85</f>
        <v>392013.59726778627</v>
      </c>
      <c r="Q51" s="19">
        <f>'D2C - Retail'!X112+'D2C Online'!AO85</f>
        <v>418008.34863033041</v>
      </c>
      <c r="R51" s="19">
        <f>'D2C - Retail'!Y112+'D2C Online'!AP85</f>
        <v>421327.47839593334</v>
      </c>
      <c r="S51" s="19">
        <f>'D2C - Retail'!Z112+'D2C Online'!AQ85</f>
        <v>595613.76717658527</v>
      </c>
      <c r="T51" s="19">
        <f>'D2C - Retail'!AA112+'D2C Online'!AR85</f>
        <v>534671</v>
      </c>
      <c r="U51" s="19">
        <f>'D2C - Retail'!AB112+'D2C Online'!AS85</f>
        <v>576257</v>
      </c>
      <c r="V51" s="19">
        <f>'D2C - Retail'!AC112+'D2C Online'!AT85</f>
        <v>584709</v>
      </c>
      <c r="W51" s="19">
        <f>'D2C - Retail'!AD112+'D2C Online'!AU85</f>
        <v>602360</v>
      </c>
      <c r="X51" s="19">
        <f>'D2C - Retail'!AE112+'D2C Online'!AV85</f>
        <v>655175</v>
      </c>
      <c r="Y51" s="19">
        <f>'D2C - Retail'!AF112+'D2C Online'!AW85</f>
        <v>596763</v>
      </c>
      <c r="Z51" s="19">
        <f>'D2C - Retail'!AG112+'D2C Online'!AX85</f>
        <v>663195</v>
      </c>
      <c r="AA51" s="19">
        <f>'D2C - Retail'!AH112+'D2C Online'!AY85</f>
        <v>700624</v>
      </c>
      <c r="AB51" s="19">
        <f>'D2C - Retail'!AI112+'D2C Online'!AZ85</f>
        <v>716789</v>
      </c>
      <c r="AC51" s="19">
        <f>'D2C - Retail'!AJ112+'D2C Online'!BA85</f>
        <v>924712</v>
      </c>
      <c r="AD51" s="19">
        <f>'D2C - Retail'!AK112+'D2C Online'!BB85</f>
        <v>1037435</v>
      </c>
      <c r="AE51" s="19">
        <f>'D2C - Retail'!AL112+'D2C Online'!BC85</f>
        <v>1185895</v>
      </c>
      <c r="AF51" s="19">
        <f>'D2C - Retail'!AM112+'D2C Online'!BD85</f>
        <v>1325725</v>
      </c>
      <c r="AG51" s="19">
        <f>'D2C - Retail'!AN112+'D2C Online'!BE85</f>
        <v>1046830</v>
      </c>
      <c r="AH51" s="19">
        <f>'D2C - Retail'!AO112+'D2C Online'!BF85</f>
        <v>1137325</v>
      </c>
      <c r="AI51" s="19">
        <f>'D2C - Retail'!AP112+'D2C Online'!BG85</f>
        <v>1112565</v>
      </c>
      <c r="AJ51" s="19">
        <f>'D2C - Retail'!AQ112+'D2C Online'!BH85</f>
        <v>1393620</v>
      </c>
      <c r="AK51" s="19">
        <f>'D2C - Retail'!AR112+'D2C Online'!BI85</f>
        <v>1260595</v>
      </c>
      <c r="AL51" s="19">
        <f>'D2C - Retail'!AS112+'D2C Online'!BJ85</f>
        <v>1126985</v>
      </c>
      <c r="AM51" s="19">
        <f>'D2C - Retail'!AT112+'D2C Online'!BK85</f>
        <v>1089585</v>
      </c>
      <c r="AN51" s="19">
        <f>'D2C - Retail'!AU112+'D2C Online'!BL85</f>
        <v>849290</v>
      </c>
      <c r="AO51" s="19">
        <f>'D2C - Retail'!AV112+'D2C Online'!BM85</f>
        <v>1166165</v>
      </c>
      <c r="AP51" s="19">
        <f>'D2C - Retail'!AW112+'D2C Online'!BN85</f>
        <v>1166315</v>
      </c>
      <c r="AQ51" s="19">
        <f>'D2C - Retail'!AX112+'D2C Online'!BO85</f>
        <v>1171475</v>
      </c>
      <c r="AR51" s="19">
        <f>'D2C - Retail'!AY112+'D2C Online'!BP85</f>
        <v>1253075</v>
      </c>
      <c r="AS51" s="19">
        <f>'D2C - Retail'!AZ112+'D2C Online'!BQ85</f>
        <v>1228900</v>
      </c>
      <c r="AT51" s="19">
        <f>'D2C - Retail'!BA112+'D2C Online'!BR85</f>
        <v>1063780</v>
      </c>
      <c r="AU51" s="19">
        <f>'D2C - Retail'!BB112+'D2C Online'!BS85</f>
        <v>993250</v>
      </c>
      <c r="AV51" s="19">
        <f>'D2C - Retail'!BC112+'D2C Online'!BT85</f>
        <v>1114955</v>
      </c>
      <c r="AW51" s="19">
        <f>'D2C - Retail'!BD112+'D2C Online'!BU85</f>
        <v>1039150</v>
      </c>
      <c r="AX51" s="19">
        <f>'D2C - Retail'!BE112+'D2C Online'!BV85</f>
        <v>1256625</v>
      </c>
      <c r="AY51" s="19">
        <f>'D2C - Retail'!BF112+'D2C Online'!BW85</f>
        <v>1333755</v>
      </c>
      <c r="AZ51" s="19">
        <f>'D2C - Retail'!BG112+'D2C Online'!BX85</f>
        <v>1286425</v>
      </c>
      <c r="BA51" s="19">
        <f>'D2C - Retail'!BH112+'D2C Online'!BY85</f>
        <v>1645660</v>
      </c>
      <c r="BB51" s="19">
        <f>'D2C - Retail'!BI112+'D2C Online'!BZ85</f>
        <v>1467495</v>
      </c>
      <c r="BC51" s="19">
        <f>'D2C - Retail'!BJ112+'D2C Online'!CA85</f>
        <v>1483715</v>
      </c>
      <c r="BD51" s="19">
        <f>'D2C - Retail'!BK112+'D2C Online'!CB85</f>
        <v>1506047.1428571427</v>
      </c>
      <c r="BE51" s="19">
        <f>'D2C - Retail'!BL112+'D2C Online'!CC85</f>
        <v>1621365</v>
      </c>
      <c r="BF51" s="19">
        <f>'D2C - Retail'!BM112+'D2C Online'!CD85</f>
        <v>1451300</v>
      </c>
      <c r="BG51" s="19">
        <f>'D2C - Retail'!BN112+'D2C Online'!CE85</f>
        <v>1588095</v>
      </c>
      <c r="BH51" s="19">
        <f>'D2C - Retail'!BO112+'D2C Online'!CF85</f>
        <v>1643135</v>
      </c>
      <c r="BI51" s="19">
        <f>'D2C - Retail'!BP112+'D2C Online'!CG85</f>
        <v>1574860</v>
      </c>
      <c r="BJ51" s="19">
        <f>'D2C - Retail'!BQ112+'D2C Online'!CH85</f>
        <v>1982470</v>
      </c>
      <c r="BK51" s="19">
        <f>'D2C - Retail'!BR112+'D2C Online'!CI85</f>
        <v>2142405</v>
      </c>
      <c r="BL51" s="19">
        <f>'D2C - Retail'!BS112+'D2C Online'!CJ85</f>
        <v>1923850</v>
      </c>
      <c r="BM51" s="19">
        <f>'D2C - Retail'!BT112+'D2C Online'!CK85</f>
        <v>2190900</v>
      </c>
      <c r="BN51" s="19">
        <f>'D2C - Retail'!BU112+'D2C Online'!CL85</f>
        <v>2041352.8931083111</v>
      </c>
      <c r="BO51" s="19">
        <f>'D2C - Retail'!BV112+'D2C Online'!CM85</f>
        <v>2025091.075070757</v>
      </c>
      <c r="BP51" s="19">
        <f>'D2C - Retail'!BW112+'D2C Online'!CN85</f>
        <v>2020782.8129082904</v>
      </c>
      <c r="BQ51" s="19">
        <f>'D2C - Retail'!BX112+'D2C Online'!CO85</f>
        <v>2131743.122863437</v>
      </c>
      <c r="BR51" s="19">
        <f>'D2C - Retail'!BY112+'D2C Online'!CP85</f>
        <v>1939716.059623267</v>
      </c>
      <c r="BS51" s="19">
        <f>'D2C - Retail'!BZ112+'D2C Online'!CQ85</f>
        <v>1941117.5349467732</v>
      </c>
      <c r="BT51" s="19">
        <f>'D2C - Retail'!CA112+'D2C Online'!CR85</f>
        <v>2175283.9262942467</v>
      </c>
      <c r="BU51" s="19">
        <f>'D2C - Retail'!CB112+'D2C Online'!CS85</f>
        <v>2071975.9805661398</v>
      </c>
      <c r="BV51" s="19">
        <f>'D2C - Retail'!CC112+'D2C Online'!CT85</f>
        <v>2519458.6287583429</v>
      </c>
      <c r="BW51" s="19">
        <f>'D2C - Retail'!CD112+'D2C Online'!CU85</f>
        <v>2645238.9781588325</v>
      </c>
      <c r="BX51" s="19">
        <f>'D2C - Retail'!CE112+'D2C Online'!CV85</f>
        <v>2359562.9665320674</v>
      </c>
      <c r="BY51" s="19">
        <f>'D2C - Retail'!CF112+'D2C Online'!CW85</f>
        <v>2670399.058081544</v>
      </c>
      <c r="BZ51" s="19">
        <f>'D2C - Retail'!CG112+'D2C Online'!CX85</f>
        <v>2446788.2340321094</v>
      </c>
      <c r="CA51" s="19">
        <f>'D2C - Retail'!CH112+'D2C Online'!CY85</f>
        <v>2431045.2364242459</v>
      </c>
      <c r="CB51" s="19">
        <f>'D2C - Retail'!CI112+'D2C Online'!CZ85</f>
        <v>2419285.3479092461</v>
      </c>
      <c r="CC51" s="19">
        <f>'D2C - Retail'!CJ112+'D2C Online'!DA85</f>
        <v>2550077.8796108123</v>
      </c>
      <c r="CD51" s="19">
        <f>'D2C - Retail'!CK112+'D2C Online'!DB85</f>
        <v>2319266.3441840019</v>
      </c>
      <c r="CE51" s="19">
        <f>'D2C - Retail'!CL112+'D2C Online'!DC85</f>
        <v>2320721.7186646014</v>
      </c>
      <c r="CF51" s="19">
        <f>'D2C - Retail'!CM112+'D2C Online'!DD85</f>
        <v>2590836.1248913491</v>
      </c>
      <c r="CG51" s="19">
        <f>'D2C - Retail'!CN112+'D2C Online'!DE85</f>
        <v>2462967.0824133651</v>
      </c>
      <c r="CH51" s="19">
        <f>'D2C - Retail'!CO112+'D2C Online'!DF85</f>
        <v>2988553.8327925857</v>
      </c>
      <c r="CI51" s="19">
        <f>'D2C - Retail'!CP112+'D2C Online'!DG85</f>
        <v>3132254.8227125863</v>
      </c>
      <c r="CJ51" s="19">
        <f>'D2C - Retail'!CQ112+'D2C Online'!DH85</f>
        <v>2785313.7781937732</v>
      </c>
      <c r="CK51" s="19">
        <f>'D2C - Retail'!CR112+'D2C Online'!DI85</f>
        <v>3129450.7359675425</v>
      </c>
      <c r="CL51" s="19">
        <f>'D2C - Retail'!CS112+'D2C Online'!DJ85</f>
        <v>2945227.9340778883</v>
      </c>
      <c r="CM51" s="19">
        <f>'D2C - Retail'!CT112+'D2C Online'!DK85</f>
        <v>2925011.728990363</v>
      </c>
      <c r="CN51" s="19">
        <f>'D2C - Retail'!CU112+'D2C Online'!DL85</f>
        <v>2909993.5957338531</v>
      </c>
      <c r="CO51" s="19">
        <f>'D2C - Retail'!CV112+'D2C Online'!DM85</f>
        <v>3065954.8089410425</v>
      </c>
      <c r="CP51" s="19">
        <f>'D2C - Retail'!CW112+'D2C Online'!DN85</f>
        <v>2787543.7364551406</v>
      </c>
      <c r="CQ51" s="19">
        <f>'D2C - Retail'!CX112+'D2C Online'!DO85</f>
        <v>2788844.3911369913</v>
      </c>
      <c r="CR51" s="19">
        <f>'D2C - Retail'!CY112+'D2C Online'!DP85</f>
        <v>3110953.8343531308</v>
      </c>
      <c r="CS51" s="19">
        <f>'D2C - Retail'!CZ112+'D2C Online'!DQ85</f>
        <v>2957293.7012080671</v>
      </c>
      <c r="CT51" s="19">
        <f>'D2C - Retail'!DA112+'D2C Online'!DR85</f>
        <v>3588073.9303338835</v>
      </c>
      <c r="CU51" s="19">
        <f>'D2C - Retail'!DB112+'D2C Online'!DS85</f>
        <v>3760639.8705631895</v>
      </c>
      <c r="CV51" s="19">
        <f>'D2C - Retail'!DC112+'D2C Online'!DT85</f>
        <v>3342512.3734035296</v>
      </c>
      <c r="CW51" s="19">
        <f>'D2C - Retail'!DD112+'D2C Online'!DU85</f>
        <v>3754167.5826933468</v>
      </c>
      <c r="CX51" s="168"/>
      <c r="CY51" s="19">
        <f t="shared" si="150"/>
        <v>3549055</v>
      </c>
      <c r="CZ51" s="19">
        <f t="shared" si="151"/>
        <v>3296720</v>
      </c>
      <c r="DA51" s="19">
        <f t="shared" si="152"/>
        <v>3781200</v>
      </c>
      <c r="DB51" s="19">
        <f t="shared" si="153"/>
        <v>3105040</v>
      </c>
      <c r="DC51" s="19">
        <f t="shared" si="154"/>
        <v>3590865</v>
      </c>
      <c r="DD51" s="19">
        <f t="shared" si="155"/>
        <v>3285930</v>
      </c>
      <c r="DE51" s="19">
        <f t="shared" si="156"/>
        <v>3410730</v>
      </c>
      <c r="DF51" s="19">
        <f t="shared" si="157"/>
        <v>4265840</v>
      </c>
      <c r="DG51" s="19">
        <f t="shared" si="158"/>
        <v>4457257.1428571427</v>
      </c>
      <c r="DH51" s="19">
        <f t="shared" si="159"/>
        <v>4660760</v>
      </c>
      <c r="DI51" s="19">
        <f t="shared" si="160"/>
        <v>5200465</v>
      </c>
      <c r="DJ51" s="19">
        <f t="shared" si="161"/>
        <v>6257155</v>
      </c>
      <c r="DK51" s="19">
        <f t="shared" si="162"/>
        <v>6087226.7810873585</v>
      </c>
      <c r="DL51" s="19">
        <f t="shared" si="163"/>
        <v>6012576.7174334768</v>
      </c>
      <c r="DM51" s="19">
        <f t="shared" si="164"/>
        <v>6766718.5356187299</v>
      </c>
      <c r="DN51" s="19">
        <f t="shared" si="165"/>
        <v>7675201.0027724439</v>
      </c>
      <c r="DO51" s="19">
        <f t="shared" si="166"/>
        <v>7297118.8183656018</v>
      </c>
      <c r="DP51" s="19">
        <f t="shared" si="167"/>
        <v>7190065.9424594156</v>
      </c>
      <c r="DQ51" s="19">
        <f t="shared" si="168"/>
        <v>8042357.0400973</v>
      </c>
      <c r="DR51" s="19">
        <f t="shared" si="169"/>
        <v>9047019.336873902</v>
      </c>
      <c r="DS51" s="19">
        <f t="shared" si="186"/>
        <v>8780233.2588021047</v>
      </c>
      <c r="DT51" s="19">
        <f t="shared" si="187"/>
        <v>8642342.9365331735</v>
      </c>
      <c r="DU51" s="19">
        <f t="shared" si="188"/>
        <v>9656321.4658950828</v>
      </c>
      <c r="DV51" s="19">
        <f t="shared" si="189"/>
        <v>10857319.826660067</v>
      </c>
      <c r="DX51" s="19">
        <f t="shared" si="174"/>
        <v>13732015</v>
      </c>
      <c r="DY51" s="19">
        <f t="shared" si="175"/>
        <v>14553365</v>
      </c>
      <c r="DZ51" s="19">
        <f t="shared" si="176"/>
        <v>20575637.142857142</v>
      </c>
      <c r="EA51" s="19">
        <f t="shared" si="177"/>
        <v>26541723.036912009</v>
      </c>
      <c r="EB51" s="19">
        <f t="shared" si="178"/>
        <v>31576561.137796223</v>
      </c>
      <c r="EC51" s="770">
        <f t="shared" si="179"/>
        <v>37936217.487890422</v>
      </c>
    </row>
    <row r="52" spans="2:133" x14ac:dyDescent="0.2">
      <c r="B52" s="167" t="s">
        <v>24</v>
      </c>
      <c r="C52" s="19">
        <f>'D2C - Retail'!J113+'D2C Online'!AA86</f>
        <v>493594.68375827512</v>
      </c>
      <c r="D52" s="19">
        <f>'D2C - Retail'!K113+'D2C Online'!AB86</f>
        <v>425915.44077669905</v>
      </c>
      <c r="E52" s="19">
        <f>'D2C - Retail'!L113+'D2C Online'!AC86</f>
        <v>497771.97356620245</v>
      </c>
      <c r="F52" s="19">
        <f>'D2C - Retail'!M113+'D2C Online'!AD86</f>
        <v>288979.15910686698</v>
      </c>
      <c r="G52" s="19">
        <f>'D2C - Retail'!N113+'D2C Online'!AE86</f>
        <v>35410.423289738435</v>
      </c>
      <c r="H52" s="19">
        <f>'D2C - Retail'!O113+'D2C Online'!AF86</f>
        <v>201596.58723249912</v>
      </c>
      <c r="I52" s="19">
        <f>'D2C - Retail'!P113+'D2C Online'!AG86</f>
        <v>357104.99401063204</v>
      </c>
      <c r="J52" s="19">
        <f>'D2C - Retail'!Q113+'D2C Online'!AH86</f>
        <v>466385.3838159283</v>
      </c>
      <c r="K52" s="19">
        <f>'D2C - Retail'!R113+'D2C Online'!AI86</f>
        <v>735611.11608425947</v>
      </c>
      <c r="L52" s="19">
        <f>'D2C - Retail'!S113+'D2C Online'!AJ86</f>
        <v>735565.38051750395</v>
      </c>
      <c r="M52" s="19">
        <f>'D2C - Retail'!T113+'D2C Online'!AK86</f>
        <v>1121060.3668697998</v>
      </c>
      <c r="N52" s="19">
        <f>'D2C - Retail'!U113+'D2C Online'!AL86</f>
        <v>1394959.2152232509</v>
      </c>
      <c r="O52" s="19">
        <f>'D2C - Retail'!V113+'D2C Online'!AM86</f>
        <v>1474400</v>
      </c>
      <c r="P52" s="19">
        <f>'D2C - Retail'!W113+'D2C Online'!AN86</f>
        <v>1515261.7385501335</v>
      </c>
      <c r="Q52" s="19">
        <f>'D2C - Retail'!X113+'D2C Online'!AO86</f>
        <v>1532911.1974100552</v>
      </c>
      <c r="R52" s="19">
        <f>'D2C - Retail'!Y113+'D2C Online'!AP86</f>
        <v>1626735.2031840186</v>
      </c>
      <c r="S52" s="19">
        <f>'D2C - Retail'!Z113+'D2C Online'!AQ86</f>
        <v>2160411.4892296633</v>
      </c>
      <c r="T52" s="19">
        <f>'D2C - Retail'!AA113+'D2C Online'!AR86</f>
        <v>2425501.9612230947</v>
      </c>
      <c r="U52" s="19">
        <f>'D2C - Retail'!AB113+'D2C Online'!AS86</f>
        <v>2485459.2907141186</v>
      </c>
      <c r="V52" s="19">
        <f>'D2C - Retail'!AC113+'D2C Online'!AT86</f>
        <v>2572974.2655686149</v>
      </c>
      <c r="W52" s="19">
        <f>'D2C - Retail'!AD113+'D2C Online'!AU86</f>
        <v>2702540.8817436574</v>
      </c>
      <c r="X52" s="19">
        <f>'D2C - Retail'!AE113+'D2C Online'!AV86</f>
        <v>2811414.3138723737</v>
      </c>
      <c r="Y52" s="19">
        <f>'D2C - Retail'!AF113+'D2C Online'!AW86</f>
        <v>2522664.3412529789</v>
      </c>
      <c r="Z52" s="19">
        <f>'D2C - Retail'!AG113+'D2C Online'!AX86</f>
        <v>2912159.8330543819</v>
      </c>
      <c r="AA52" s="19">
        <f>'D2C - Retail'!AH113+'D2C Online'!AY86</f>
        <v>2979334.6366256168</v>
      </c>
      <c r="AB52" s="19">
        <f>'D2C - Retail'!AI113+'D2C Online'!AZ86</f>
        <v>3054416.3073374378</v>
      </c>
      <c r="AC52" s="19">
        <f>'D2C - Retail'!AJ113+'D2C Online'!BA86</f>
        <v>4176631.7237749863</v>
      </c>
      <c r="AD52" s="19">
        <f>'D2C - Retail'!AK113+'D2C Online'!BB86</f>
        <v>10047578.2524604</v>
      </c>
      <c r="AE52" s="19">
        <f>'D2C - Retail'!AL113+'D2C Online'!BC86</f>
        <v>9996999.8092921749</v>
      </c>
      <c r="AF52" s="19">
        <f>'D2C - Retail'!AM113+'D2C Online'!BD86</f>
        <v>8656648.0830730349</v>
      </c>
      <c r="AG52" s="19">
        <f>'D2C - Retail'!AN113+'D2C Online'!BE86</f>
        <v>7121986.5190046923</v>
      </c>
      <c r="AH52" s="19">
        <f>'D2C - Retail'!AO113+'D2C Online'!BF86</f>
        <v>7540523.1792429909</v>
      </c>
      <c r="AI52" s="19">
        <f>'D2C - Retail'!AP113+'D2C Online'!BG86</f>
        <v>7522225.5584548078</v>
      </c>
      <c r="AJ52" s="19">
        <f>'D2C - Retail'!AQ113+'D2C Online'!BH86</f>
        <v>8453527.0511910655</v>
      </c>
      <c r="AK52" s="19">
        <f>'D2C - Retail'!AR113+'D2C Online'!BI86</f>
        <v>9167762.9297452588</v>
      </c>
      <c r="AL52" s="19">
        <f>'D2C - Retail'!AS113+'D2C Online'!BJ86</f>
        <v>7043824.4586025495</v>
      </c>
      <c r="AM52" s="19">
        <f>'D2C - Retail'!AT113+'D2C Online'!BK86</f>
        <v>6264547.3782219719</v>
      </c>
      <c r="AN52" s="19">
        <f>'D2C - Retail'!AU113+'D2C Online'!BL86</f>
        <v>6075968</v>
      </c>
      <c r="AO52" s="19">
        <f>'D2C - Retail'!AV113+'D2C Online'!BM86</f>
        <v>6210361.3433977067</v>
      </c>
      <c r="AP52" s="19">
        <f>'D2C - Retail'!AW113+'D2C Online'!BN86</f>
        <v>6777580.0529403808</v>
      </c>
      <c r="AQ52" s="19">
        <f>'D2C - Retail'!AX113+'D2C Online'!BO86</f>
        <v>6684050.2601190871</v>
      </c>
      <c r="AR52" s="19">
        <f>'D2C - Retail'!AY113+'D2C Online'!BP86</f>
        <v>6713777.8395759966</v>
      </c>
      <c r="AS52" s="19">
        <f>'D2C - Retail'!AZ113+'D2C Online'!BQ86</f>
        <v>7111991.6683801161</v>
      </c>
      <c r="AT52" s="19">
        <f>'D2C - Retail'!BA113+'D2C Online'!BR86</f>
        <v>6399896.5439091232</v>
      </c>
      <c r="AU52" s="19">
        <f>'D2C - Retail'!BB113+'D2C Online'!BS86</f>
        <v>6664273.6350808293</v>
      </c>
      <c r="AV52" s="19">
        <f>'D2C - Retail'!BC113+'D2C Online'!BT86</f>
        <v>8165983.3152851406</v>
      </c>
      <c r="AW52" s="19">
        <f>'D2C - Retail'!BD113+'D2C Online'!BU86</f>
        <v>8103156.5627847891</v>
      </c>
      <c r="AX52" s="19">
        <f>'D2C - Retail'!BE113+'D2C Online'!BV86</f>
        <v>7336235.5310102552</v>
      </c>
      <c r="AY52" s="19">
        <f>'D2C - Retail'!BF113+'D2C Online'!BW86</f>
        <v>7457871.313190219</v>
      </c>
      <c r="AZ52" s="19">
        <f>'D2C - Retail'!BG113+'D2C Online'!BX86</f>
        <v>7506248.4549071779</v>
      </c>
      <c r="BA52" s="19">
        <f>'D2C - Retail'!BH113+'D2C Online'!BY86</f>
        <v>8582002.2587320246</v>
      </c>
      <c r="BB52" s="19">
        <f>'D2C - Retail'!BI113+'D2C Online'!BZ86</f>
        <v>8790239.6397568751</v>
      </c>
      <c r="BC52" s="19">
        <f>'D2C - Retail'!BJ113+'D2C Online'!CA86</f>
        <v>8042931.8309139134</v>
      </c>
      <c r="BD52" s="19">
        <f>'D2C - Retail'!BK113+'D2C Online'!CB86</f>
        <v>6603273.0433098963</v>
      </c>
      <c r="BE52" s="19">
        <f>'D2C - Retail'!BL113+'D2C Online'!CC86</f>
        <v>6489102.39253587</v>
      </c>
      <c r="BF52" s="19">
        <f>'D2C - Retail'!BM113+'D2C Online'!CD86</f>
        <v>6465802.8714006161</v>
      </c>
      <c r="BG52" s="19">
        <f>'D2C - Retail'!BN113+'D2C Online'!CE86</f>
        <v>7084439.397507878</v>
      </c>
      <c r="BH52" s="19">
        <f>'D2C - Retail'!BO113+'D2C Online'!CF86</f>
        <v>8480103.6005495936</v>
      </c>
      <c r="BI52" s="19">
        <f>'D2C - Retail'!BP113+'D2C Online'!CG86</f>
        <v>8326918.7421207391</v>
      </c>
      <c r="BJ52" s="19">
        <f>'D2C - Retail'!BQ113+'D2C Online'!CH86</f>
        <v>12829441.127097659</v>
      </c>
      <c r="BK52" s="19">
        <f>'D2C - Retail'!BR113+'D2C Online'!CI86</f>
        <v>15050269.159805648</v>
      </c>
      <c r="BL52" s="19">
        <f>'D2C - Retail'!BS113+'D2C Online'!CJ86</f>
        <v>15341371.300819322</v>
      </c>
      <c r="BM52" s="19">
        <f>'D2C - Retail'!BT113+'D2C Online'!CK86</f>
        <v>15578996.32618409</v>
      </c>
      <c r="BN52" s="19">
        <f>'D2C - Retail'!BU113+'D2C Online'!CL86</f>
        <v>11511381.070923772</v>
      </c>
      <c r="BO52" s="19">
        <f>'D2C - Retail'!BV113+'D2C Online'!CM86</f>
        <v>11426032.201360501</v>
      </c>
      <c r="BP52" s="19">
        <f>'D2C - Retail'!BW113+'D2C Online'!CN86</f>
        <v>11402223.449295972</v>
      </c>
      <c r="BQ52" s="19">
        <f>'D2C - Retail'!BX113+'D2C Online'!CO86</f>
        <v>12014241.289321579</v>
      </c>
      <c r="BR52" s="19">
        <f>'D2C - Retail'!BY113+'D2C Online'!CP86</f>
        <v>10943613.214244917</v>
      </c>
      <c r="BS52" s="19">
        <f>'D2C - Retail'!BZ113+'D2C Online'!CQ86</f>
        <v>10983032.840111375</v>
      </c>
      <c r="BT52" s="19">
        <f>'D2C - Retail'!CA113+'D2C Online'!CR86</f>
        <v>12253125.905285452</v>
      </c>
      <c r="BU52" s="19">
        <f>'D2C - Retail'!CB113+'D2C Online'!CS86</f>
        <v>11689126.35338027</v>
      </c>
      <c r="BV52" s="19">
        <f>'D2C - Retail'!CC113+'D2C Online'!CT86</f>
        <v>14217774.548265871</v>
      </c>
      <c r="BW52" s="19">
        <f>'D2C - Retail'!CD113+'D2C Online'!CU86</f>
        <v>14939774.335443644</v>
      </c>
      <c r="BX52" s="19">
        <f>'D2C - Retail'!CE113+'D2C Online'!CV86</f>
        <v>13309795.291425757</v>
      </c>
      <c r="BY52" s="19">
        <f>'D2C - Retail'!CF113+'D2C Online'!CW86</f>
        <v>15042250.030587068</v>
      </c>
      <c r="BZ52" s="19">
        <f>'D2C - Retail'!CG113+'D2C Online'!CX86</f>
        <v>14162767.96284252</v>
      </c>
      <c r="CA52" s="19">
        <f>'D2C - Retail'!CH113+'D2C Online'!CY86</f>
        <v>14073567.80188974</v>
      </c>
      <c r="CB52" s="19">
        <f>'D2C - Retail'!CI113+'D2C Online'!CZ86</f>
        <v>14005971.182193447</v>
      </c>
      <c r="CC52" s="19">
        <f>'D2C - Retail'!CJ113+'D2C Online'!DA86</f>
        <v>14758609.628579652</v>
      </c>
      <c r="CD52" s="19">
        <f>'D2C - Retail'!CK113+'D2C Online'!DB86</f>
        <v>13426679.6690326</v>
      </c>
      <c r="CE52" s="19">
        <f>'D2C - Retail'!CL113+'D2C Online'!DC86</f>
        <v>13445545.832509246</v>
      </c>
      <c r="CF52" s="19">
        <f>'D2C - Retail'!CM113+'D2C Online'!DD86</f>
        <v>14992872.647948978</v>
      </c>
      <c r="CG52" s="19">
        <f>'D2C - Retail'!CN113+'D2C Online'!DE86</f>
        <v>14259062.747912442</v>
      </c>
      <c r="CH52" s="19">
        <f>'D2C - Retail'!CO113+'D2C Online'!DF86</f>
        <v>17303569.898304284</v>
      </c>
      <c r="CI52" s="19">
        <f>'D2C - Retail'!CP113+'D2C Online'!DG86</f>
        <v>18139897.769233368</v>
      </c>
      <c r="CJ52" s="19">
        <f>'D2C - Retail'!CQ113+'D2C Online'!DH86</f>
        <v>16125613.025736377</v>
      </c>
      <c r="CK52" s="19">
        <f>'D2C - Retail'!CR113+'D2C Online'!DI86</f>
        <v>18112185.982196532</v>
      </c>
      <c r="CL52" s="19">
        <f>'D2C - Retail'!CS113+'D2C Online'!DJ86</f>
        <v>17048330.312892675</v>
      </c>
      <c r="CM52" s="19">
        <f>'D2C - Retail'!CT113+'D2C Online'!DK86</f>
        <v>16933694.46534723</v>
      </c>
      <c r="CN52" s="19">
        <f>'D2C - Retail'!CU113+'D2C Online'!DL86</f>
        <v>16847375.064805292</v>
      </c>
      <c r="CO52" s="19">
        <f>'D2C - Retail'!CV113+'D2C Online'!DM86</f>
        <v>17744871.91440127</v>
      </c>
      <c r="CP52" s="19">
        <f>'D2C - Retail'!CW113+'D2C Online'!DN86</f>
        <v>16138253.502344143</v>
      </c>
      <c r="CQ52" s="19">
        <f>'D2C - Retail'!CX113+'D2C Online'!DO86</f>
        <v>16158412.447963517</v>
      </c>
      <c r="CR52" s="19">
        <f>'D2C - Retail'!CY113+'D2C Online'!DP86</f>
        <v>18003537.497702193</v>
      </c>
      <c r="CS52" s="19">
        <f>'D2C - Retail'!CZ113+'D2C Online'!DQ86</f>
        <v>17121720.306585483</v>
      </c>
      <c r="CT52" s="19">
        <f>'D2C - Retail'!DA113+'D2C Online'!DR86</f>
        <v>20775769.508460999</v>
      </c>
      <c r="CU52" s="19">
        <f>'D2C - Retail'!DB113+'D2C Online'!DS86</f>
        <v>21780164.263233811</v>
      </c>
      <c r="CV52" s="19">
        <f>'D2C - Retail'!DC113+'D2C Online'!DT86</f>
        <v>19352530.087572478</v>
      </c>
      <c r="CW52" s="19">
        <f>'D2C - Retail'!DD113+'D2C Online'!DU86</f>
        <v>21728983.698413737</v>
      </c>
      <c r="CX52" s="168"/>
      <c r="CY52" s="19">
        <f t="shared" si="150"/>
        <v>28701226.144825608</v>
      </c>
      <c r="CZ52" s="19">
        <f t="shared" si="151"/>
        <v>22184735.25670249</v>
      </c>
      <c r="DA52" s="19">
        <f t="shared" si="152"/>
        <v>24665114.439538874</v>
      </c>
      <c r="DB52" s="19">
        <f t="shared" si="153"/>
        <v>18550876.721619681</v>
      </c>
      <c r="DC52" s="19">
        <f t="shared" si="154"/>
        <v>20175408.152635463</v>
      </c>
      <c r="DD52" s="19">
        <f t="shared" si="155"/>
        <v>20176161.847370069</v>
      </c>
      <c r="DE52" s="19">
        <f t="shared" si="156"/>
        <v>23605375.409080185</v>
      </c>
      <c r="DF52" s="19">
        <f t="shared" si="157"/>
        <v>23546122.026829422</v>
      </c>
      <c r="DG52" s="19">
        <f t="shared" si="158"/>
        <v>23436444.513980687</v>
      </c>
      <c r="DH52" s="19">
        <f t="shared" si="159"/>
        <v>20039344.661444366</v>
      </c>
      <c r="DI52" s="19">
        <f t="shared" si="160"/>
        <v>29636463.469767991</v>
      </c>
      <c r="DJ52" s="19">
        <f t="shared" si="161"/>
        <v>45970636.786809057</v>
      </c>
      <c r="DK52" s="19">
        <f t="shared" si="162"/>
        <v>34339636.721580245</v>
      </c>
      <c r="DL52" s="19">
        <f t="shared" si="163"/>
        <v>33940887.343677871</v>
      </c>
      <c r="DM52" s="19">
        <f t="shared" si="164"/>
        <v>38160026.806931593</v>
      </c>
      <c r="DN52" s="19">
        <f t="shared" si="165"/>
        <v>43291819.657456473</v>
      </c>
      <c r="DO52" s="19">
        <f t="shared" si="166"/>
        <v>42242306.946925707</v>
      </c>
      <c r="DP52" s="19">
        <f t="shared" si="167"/>
        <v>41630835.130121499</v>
      </c>
      <c r="DQ52" s="19">
        <f t="shared" si="168"/>
        <v>46555505.294165701</v>
      </c>
      <c r="DR52" s="19">
        <f t="shared" si="169"/>
        <v>52377696.777166277</v>
      </c>
      <c r="DS52" s="19">
        <f t="shared" si="186"/>
        <v>50829399.843045197</v>
      </c>
      <c r="DT52" s="19">
        <f t="shared" si="187"/>
        <v>50041537.86470893</v>
      </c>
      <c r="DU52" s="19">
        <f t="shared" si="188"/>
        <v>55901027.312748671</v>
      </c>
      <c r="DV52" s="19">
        <f t="shared" si="189"/>
        <v>62861678.049220026</v>
      </c>
      <c r="DX52" s="19">
        <f t="shared" si="174"/>
        <v>94101952.562686652</v>
      </c>
      <c r="DY52" s="19">
        <f t="shared" si="175"/>
        <v>87503067.435915142</v>
      </c>
      <c r="DZ52" s="19">
        <f t="shared" si="176"/>
        <v>119082889.4320021</v>
      </c>
      <c r="EA52" s="19">
        <f t="shared" si="177"/>
        <v>149732370.52964616</v>
      </c>
      <c r="EB52" s="19">
        <f t="shared" si="178"/>
        <v>182806344.14837918</v>
      </c>
      <c r="EC52" s="770">
        <f t="shared" si="179"/>
        <v>219633643.06972283</v>
      </c>
    </row>
    <row r="53" spans="2:133" x14ac:dyDescent="0.2">
      <c r="B53" s="167" t="s">
        <v>25</v>
      </c>
      <c r="C53" s="19">
        <f>'D2C - Retail'!J115+'D2C Online'!AA87</f>
        <v>146522.39156625362</v>
      </c>
      <c r="D53" s="19">
        <f>'D2C - Retail'!K115+'D2C Online'!AB87</f>
        <v>233222.09579839668</v>
      </c>
      <c r="E53" s="19">
        <f>'D2C - Retail'!L115+'D2C Online'!AC87</f>
        <v>287288.66624578141</v>
      </c>
      <c r="F53" s="19">
        <f>'D2C - Retail'!M115+'D2C Online'!AD87</f>
        <v>263977.15768159891</v>
      </c>
      <c r="G53" s="19">
        <f>'D2C - Retail'!N115+'D2C Online'!AE87</f>
        <v>158241.15903069644</v>
      </c>
      <c r="H53" s="19">
        <f>'D2C - Retail'!O115+'D2C Online'!AF87</f>
        <v>254321.55405323292</v>
      </c>
      <c r="I53" s="19">
        <f>'D2C - Retail'!P115+'D2C Online'!AG87</f>
        <v>386012.62244494288</v>
      </c>
      <c r="J53" s="19">
        <f>'D2C - Retail'!Q115+'D2C Online'!AH87</f>
        <v>312721.34556672105</v>
      </c>
      <c r="K53" s="19">
        <f>'D2C - Retail'!R115+'D2C Online'!AI87</f>
        <v>376881.46119716071</v>
      </c>
      <c r="L53" s="19">
        <f>'D2C - Retail'!S115+'D2C Online'!AJ87</f>
        <v>342671.43219352158</v>
      </c>
      <c r="M53" s="19">
        <f>'D2C - Retail'!T115+'D2C Online'!AK87</f>
        <v>755988.81701279047</v>
      </c>
      <c r="N53" s="19">
        <f>'D2C - Retail'!U115+'D2C Online'!AL87</f>
        <v>838993.99360544258</v>
      </c>
      <c r="O53" s="19">
        <f>'D2C - Retail'!V115+'D2C Online'!AM87</f>
        <v>616603.98526007077</v>
      </c>
      <c r="P53" s="19">
        <f>'D2C - Retail'!W115+'D2C Online'!AN87</f>
        <v>689555.76632858301</v>
      </c>
      <c r="Q53" s="19">
        <f>'D2C - Retail'!X115+'D2C Online'!AO87</f>
        <v>943476.05322667188</v>
      </c>
      <c r="R53" s="19">
        <f>'D2C - Retail'!Y115+'D2C Online'!AP87</f>
        <v>1037505.6676132522</v>
      </c>
      <c r="S53" s="19">
        <f>'D2C - Retail'!Z115+'D2C Online'!AQ87</f>
        <v>1165570.5365232583</v>
      </c>
      <c r="T53" s="19">
        <f>'D2C - Retail'!AA115+'D2C Online'!AR87</f>
        <v>1767383.7247088812</v>
      </c>
      <c r="U53" s="19">
        <f>'D2C - Retail'!AB115+'D2C Online'!AS87</f>
        <v>1539488.4648303315</v>
      </c>
      <c r="V53" s="19">
        <f>'D2C - Retail'!AC115+'D2C Online'!AT87</f>
        <v>1632597.5523723369</v>
      </c>
      <c r="W53" s="19">
        <f>'D2C - Retail'!AD115+'D2C Online'!AU87</f>
        <v>1972528.5586009764</v>
      </c>
      <c r="X53" s="19">
        <f>'D2C - Retail'!AE115+'D2C Online'!AV87</f>
        <v>2533116.8873229963</v>
      </c>
      <c r="Y53" s="19">
        <f>'D2C - Retail'!AF115+'D2C Online'!AW87</f>
        <v>2376545.8025599164</v>
      </c>
      <c r="Z53" s="19">
        <f>'D2C - Retail'!AG115+'D2C Online'!AX87</f>
        <v>2381853.5492387246</v>
      </c>
      <c r="AA53" s="19">
        <f>'D2C - Retail'!AH115+'D2C Online'!AY87</f>
        <v>2548120.6372530363</v>
      </c>
      <c r="AB53" s="19">
        <f>'D2C - Retail'!AI115+'D2C Online'!AZ87</f>
        <v>2510421.9277806329</v>
      </c>
      <c r="AC53" s="19">
        <f>'D2C - Retail'!AJ115+'D2C Online'!BA87</f>
        <v>2649203.0798956109</v>
      </c>
      <c r="AD53" s="19">
        <f>'D2C - Retail'!AK115+'D2C Online'!BB87</f>
        <v>3515391.1464291597</v>
      </c>
      <c r="AE53" s="19">
        <f>'D2C - Retail'!AL115+'D2C Online'!BC87</f>
        <v>3795257.3405534327</v>
      </c>
      <c r="AF53" s="19">
        <f>'D2C - Retail'!AM115+'D2C Online'!BD87</f>
        <v>4345647.280576922</v>
      </c>
      <c r="AG53" s="19">
        <f>'D2C - Retail'!AN115+'D2C Online'!BE87</f>
        <v>4322220.0951282047</v>
      </c>
      <c r="AH53" s="19">
        <f>'D2C - Retail'!AO115+'D2C Online'!BF87</f>
        <v>5385776.3660256397</v>
      </c>
      <c r="AI53" s="19">
        <f>'D2C - Retail'!AP115+'D2C Online'!BG87</f>
        <v>5317021.6030128207</v>
      </c>
      <c r="AJ53" s="19">
        <f>'D2C - Retail'!AQ115+'D2C Online'!BH87</f>
        <v>7765348.2626923099</v>
      </c>
      <c r="AK53" s="19">
        <f>'D2C - Retail'!AR115+'D2C Online'!BI87</f>
        <v>7325918.51955128</v>
      </c>
      <c r="AL53" s="19">
        <f>'D2C - Retail'!AS115+'D2C Online'!BJ87</f>
        <v>6528208.6888461523</v>
      </c>
      <c r="AM53" s="19">
        <f>'D2C - Retail'!AT115+'D2C Online'!BK87</f>
        <v>6557592.1728846151</v>
      </c>
      <c r="AN53" s="19">
        <f>'D2C - Retail'!AU115+'D2C Online'!BL87</f>
        <v>5971041.4852564102</v>
      </c>
      <c r="AO53" s="19">
        <f>'D2C - Retail'!AV115+'D2C Online'!BM87</f>
        <v>5912933.8114743587</v>
      </c>
      <c r="AP53" s="19">
        <f>'D2C - Retail'!AW115+'D2C Online'!BN87</f>
        <v>5542731.2857124917</v>
      </c>
      <c r="AQ53" s="19">
        <f>'D2C - Retail'!AX115+'D2C Online'!BO87</f>
        <v>5299175.7867370229</v>
      </c>
      <c r="AR53" s="19">
        <f>'D2C - Retail'!AY115+'D2C Online'!BP87</f>
        <v>5595523.848917054</v>
      </c>
      <c r="AS53" s="19">
        <f>'D2C - Retail'!AZ115+'D2C Online'!BQ87</f>
        <v>5613205.2647770038</v>
      </c>
      <c r="AT53" s="19">
        <f>'D2C - Retail'!BA115+'D2C Online'!BR87</f>
        <v>6133768.8355321083</v>
      </c>
      <c r="AU53" s="19">
        <f>'D2C - Retail'!BB115+'D2C Online'!BS87</f>
        <v>6507062.0151514001</v>
      </c>
      <c r="AV53" s="19">
        <f>'D2C - Retail'!BC115+'D2C Online'!BT87</f>
        <v>6647839.6567724422</v>
      </c>
      <c r="AW53" s="19">
        <f>'D2C - Retail'!BD115+'D2C Online'!BU87</f>
        <v>6684929.9178869827</v>
      </c>
      <c r="AX53" s="19">
        <f>'D2C - Retail'!BE115+'D2C Online'!BV87</f>
        <v>7629015.3673294876</v>
      </c>
      <c r="AY53" s="19">
        <f>'D2C - Retail'!BF115+'D2C Online'!BW87</f>
        <v>7856700.2813097313</v>
      </c>
      <c r="AZ53" s="19">
        <f>'D2C - Retail'!BG115+'D2C Online'!BX87</f>
        <v>7700804.7639947888</v>
      </c>
      <c r="BA53" s="19">
        <f>'D2C - Retail'!BH115+'D2C Online'!BY87</f>
        <v>8155766.3272636812</v>
      </c>
      <c r="BB53" s="19">
        <f>'D2C - Retail'!BI115+'D2C Online'!BZ87</f>
        <v>8664915.2187907118</v>
      </c>
      <c r="BC53" s="19">
        <f>'D2C - Retail'!BJ115+'D2C Online'!CA87</f>
        <v>7984391.687886117</v>
      </c>
      <c r="BD53" s="19">
        <f>'D2C - Retail'!BK115+'D2C Online'!CB87</f>
        <v>9894722.2114408165</v>
      </c>
      <c r="BE53" s="19">
        <f>'D2C - Retail'!BL115+'D2C Online'!CC87</f>
        <v>9800700.7808263581</v>
      </c>
      <c r="BF53" s="19">
        <f>'D2C - Retail'!BM115+'D2C Online'!CD87</f>
        <v>10680840.970373441</v>
      </c>
      <c r="BG53" s="19">
        <f>'D2C - Retail'!BN115+'D2C Online'!CE87</f>
        <v>12170496.357534319</v>
      </c>
      <c r="BH53" s="19">
        <f>'D2C - Retail'!BO115+'D2C Online'!CF87</f>
        <v>12668685.896039147</v>
      </c>
      <c r="BI53" s="19">
        <f>'D2C - Retail'!BP115+'D2C Online'!CG87</f>
        <v>12476763.639871728</v>
      </c>
      <c r="BJ53" s="19">
        <f>'D2C - Retail'!BQ115+'D2C Online'!CH87</f>
        <v>12413585.597750906</v>
      </c>
      <c r="BK53" s="19">
        <f>'D2C - Retail'!BR115+'D2C Online'!CI87</f>
        <v>12600642.223935502</v>
      </c>
      <c r="BL53" s="19">
        <f>'D2C - Retail'!BS115+'D2C Online'!CJ87</f>
        <v>11768865.202310378</v>
      </c>
      <c r="BM53" s="19">
        <f>'D2C - Retail'!BT115+'D2C Online'!CK87</f>
        <v>12348291.513836179</v>
      </c>
      <c r="BN53" s="19">
        <f>'D2C - Retail'!BU115+'D2C Online'!CL87</f>
        <v>11020785.292806083</v>
      </c>
      <c r="BO53" s="19">
        <f>'D2C - Retail'!BV115+'D2C Online'!CM87</f>
        <v>10983087.579685349</v>
      </c>
      <c r="BP53" s="19">
        <f>'D2C - Retail'!BW115+'D2C Online'!CN87</f>
        <v>10968722.632947329</v>
      </c>
      <c r="BQ53" s="19">
        <f>'D2C - Retail'!BX115+'D2C Online'!CO87</f>
        <v>11455751.6498389</v>
      </c>
      <c r="BR53" s="19">
        <f>'D2C - Retail'!BY115+'D2C Online'!CP87</f>
        <v>10543746.671063608</v>
      </c>
      <c r="BS53" s="19">
        <f>'D2C - Retail'!BZ115+'D2C Online'!CQ87</f>
        <v>10775358.117296487</v>
      </c>
      <c r="BT53" s="19">
        <f>'D2C - Retail'!CA115+'D2C Online'!CR87</f>
        <v>11651049.780101378</v>
      </c>
      <c r="BU53" s="19">
        <f>'D2C - Retail'!CB115+'D2C Online'!CS87</f>
        <v>11245478.875813555</v>
      </c>
      <c r="BV53" s="19">
        <f>'D2C - Retail'!CC115+'D2C Online'!CT87</f>
        <v>13618387.087766759</v>
      </c>
      <c r="BW53" s="19">
        <f>'D2C - Retail'!CD115+'D2C Online'!CU87</f>
        <v>14365362.764675122</v>
      </c>
      <c r="BX53" s="19">
        <f>'D2C - Retail'!CE115+'D2C Online'!CV87</f>
        <v>12748839.716192702</v>
      </c>
      <c r="BY53" s="19">
        <f>'D2C - Retail'!CF115+'D2C Online'!CW87</f>
        <v>14235081.593014095</v>
      </c>
      <c r="BZ53" s="19">
        <f>'D2C - Retail'!CG115+'D2C Online'!CX87</f>
        <v>13240384.942382194</v>
      </c>
      <c r="CA53" s="19">
        <f>'D2C - Retail'!CH115+'D2C Online'!CY87</f>
        <v>13206433.361280683</v>
      </c>
      <c r="CB53" s="19">
        <f>'D2C - Retail'!CI115+'D2C Online'!CZ87</f>
        <v>13158762.695736011</v>
      </c>
      <c r="CC53" s="19">
        <f>'D2C - Retail'!CJ115+'D2C Online'!DA87</f>
        <v>13746216.585078483</v>
      </c>
      <c r="CD53" s="19">
        <f>'D2C - Retail'!CK115+'D2C Online'!DB87</f>
        <v>12634896.564667329</v>
      </c>
      <c r="CE53" s="19">
        <f>'D2C - Retail'!CL115+'D2C Online'!DC87</f>
        <v>12886158.628839605</v>
      </c>
      <c r="CF53" s="19">
        <f>'D2C - Retail'!CM115+'D2C Online'!DD87</f>
        <v>13934616.884418178</v>
      </c>
      <c r="CG53" s="19">
        <f>'D2C - Retail'!CN115+'D2C Online'!DE87</f>
        <v>13412122.578336503</v>
      </c>
      <c r="CH53" s="19">
        <f>'D2C - Retail'!CO115+'D2C Online'!DF87</f>
        <v>16217293.535552362</v>
      </c>
      <c r="CI53" s="19">
        <f>'D2C - Retail'!CP115+'D2C Online'!DG87</f>
        <v>17074663.510602765</v>
      </c>
      <c r="CJ53" s="19">
        <f>'D2C - Retail'!CQ115+'D2C Online'!DH87</f>
        <v>15122655.188076515</v>
      </c>
      <c r="CK53" s="19">
        <f>'D2C - Retail'!CR115+'D2C Online'!DI87</f>
        <v>16803786.983833801</v>
      </c>
      <c r="CL53" s="19">
        <f>'D2C - Retail'!CS115+'D2C Online'!DJ87</f>
        <v>15415662.827736054</v>
      </c>
      <c r="CM53" s="19">
        <f>'D2C - Retail'!CT115+'D2C Online'!DK87</f>
        <v>15373691.722519351</v>
      </c>
      <c r="CN53" s="19">
        <f>'D2C - Retail'!CU115+'D2C Online'!DL87</f>
        <v>15314972.861623023</v>
      </c>
      <c r="CO53" s="19">
        <f>'D2C - Retail'!CV115+'D2C Online'!DM87</f>
        <v>15986101.726369282</v>
      </c>
      <c r="CP53" s="19">
        <f>'D2C - Retail'!CW115+'D2C Online'!DN87</f>
        <v>14693633.216420559</v>
      </c>
      <c r="CQ53" s="19">
        <f>'D2C - Retail'!CX115+'D2C Online'!DO87</f>
        <v>15002683.671008684</v>
      </c>
      <c r="CR53" s="19">
        <f>'D2C - Retail'!CY115+'D2C Online'!DP87</f>
        <v>16184750.48131213</v>
      </c>
      <c r="CS53" s="19">
        <f>'D2C - Retail'!CZ115+'D2C Online'!DQ87</f>
        <v>15586954.177141175</v>
      </c>
      <c r="CT53" s="19">
        <f>'D2C - Retail'!DA115+'D2C Online'!DR87</f>
        <v>18856369.810674094</v>
      </c>
      <c r="CU53" s="19">
        <f>'D2C - Retail'!DB115+'D2C Online'!DS87</f>
        <v>19863010.064390063</v>
      </c>
      <c r="CV53" s="19">
        <f>'D2C - Retail'!DC115+'D2C Online'!DT87</f>
        <v>17571950.263845045</v>
      </c>
      <c r="CW53" s="19">
        <f>'D2C - Retail'!DD115+'D2C Online'!DU87</f>
        <v>19513307.124229319</v>
      </c>
      <c r="CX53" s="168"/>
      <c r="CY53" s="19">
        <f t="shared" si="150"/>
        <v>11656295.767559513</v>
      </c>
      <c r="CZ53" s="19">
        <f t="shared" si="151"/>
        <v>15025018.064166665</v>
      </c>
      <c r="DA53" s="19">
        <f t="shared" si="152"/>
        <v>21619475.471089743</v>
      </c>
      <c r="DB53" s="19">
        <f t="shared" si="153"/>
        <v>18441567.469615385</v>
      </c>
      <c r="DC53" s="19">
        <f t="shared" si="154"/>
        <v>16437430.921366569</v>
      </c>
      <c r="DD53" s="19">
        <f t="shared" si="155"/>
        <v>18254036.115460511</v>
      </c>
      <c r="DE53" s="19">
        <f t="shared" si="156"/>
        <v>20961784.941988915</v>
      </c>
      <c r="DF53" s="19">
        <f t="shared" si="157"/>
        <v>23713271.372568201</v>
      </c>
      <c r="DG53" s="19">
        <f t="shared" si="158"/>
        <v>26544029.118117645</v>
      </c>
      <c r="DH53" s="19">
        <f t="shared" si="159"/>
        <v>32652038.108734116</v>
      </c>
      <c r="DI53" s="19">
        <f t="shared" si="160"/>
        <v>37559035.133661777</v>
      </c>
      <c r="DJ53" s="19">
        <f t="shared" si="161"/>
        <v>36717798.940082058</v>
      </c>
      <c r="DK53" s="19">
        <f t="shared" si="162"/>
        <v>32972595.505438764</v>
      </c>
      <c r="DL53" s="19">
        <f t="shared" si="163"/>
        <v>32774856.438198995</v>
      </c>
      <c r="DM53" s="19">
        <f t="shared" si="164"/>
        <v>36514915.743681692</v>
      </c>
      <c r="DN53" s="19">
        <f t="shared" si="165"/>
        <v>41349284.073881924</v>
      </c>
      <c r="DO53" s="19">
        <f t="shared" si="166"/>
        <v>39605580.999398887</v>
      </c>
      <c r="DP53" s="19">
        <f t="shared" si="167"/>
        <v>39267271.778585419</v>
      </c>
      <c r="DQ53" s="19">
        <f t="shared" si="168"/>
        <v>43564032.998307042</v>
      </c>
      <c r="DR53" s="19">
        <f t="shared" si="169"/>
        <v>49001105.682513081</v>
      </c>
      <c r="DS53" s="19">
        <f t="shared" si="186"/>
        <v>46104327.411878422</v>
      </c>
      <c r="DT53" s="19">
        <f t="shared" si="187"/>
        <v>45682418.613798529</v>
      </c>
      <c r="DU53" s="19">
        <f t="shared" si="188"/>
        <v>50628074.469127402</v>
      </c>
      <c r="DV53" s="19">
        <f t="shared" si="189"/>
        <v>56948267.452464424</v>
      </c>
      <c r="DX53" s="19">
        <f t="shared" si="174"/>
        <v>66742356.772431307</v>
      </c>
      <c r="DY53" s="19">
        <f t="shared" si="175"/>
        <v>79366523.351384193</v>
      </c>
      <c r="DZ53" s="19">
        <f t="shared" si="176"/>
        <v>133472901.3005956</v>
      </c>
      <c r="EA53" s="19">
        <f t="shared" si="177"/>
        <v>143611651.76120138</v>
      </c>
      <c r="EB53" s="19">
        <f t="shared" si="178"/>
        <v>171437991.45880443</v>
      </c>
      <c r="EC53" s="770">
        <f t="shared" si="179"/>
        <v>199363087.94726878</v>
      </c>
    </row>
    <row r="54" spans="2:133" x14ac:dyDescent="0.2">
      <c r="B54" s="167" t="s">
        <v>26</v>
      </c>
      <c r="C54" s="19">
        <f>'D2C - Retail'!J114+'D2C Online'!AA88</f>
        <v>301557.90328797279</v>
      </c>
      <c r="D54" s="19">
        <f>'D2C - Retail'!K114+'D2C Online'!AB88</f>
        <v>234512.47945368168</v>
      </c>
      <c r="E54" s="19">
        <f>'D2C - Retail'!L114+'D2C Online'!AC88</f>
        <v>298486.68384594069</v>
      </c>
      <c r="F54" s="19">
        <f>'D2C - Retail'!M114+'D2C Online'!AD88</f>
        <v>258737.8013377926</v>
      </c>
      <c r="G54" s="19">
        <f>'D2C - Retail'!N114+'D2C Online'!AE88</f>
        <v>153854.09807399902</v>
      </c>
      <c r="H54" s="19">
        <f>'D2C - Retail'!O114+'D2C Online'!AF88</f>
        <v>170587.16038115689</v>
      </c>
      <c r="I54" s="19">
        <f>'D2C - Retail'!P114+'D2C Online'!AG88</f>
        <v>248934.32249030587</v>
      </c>
      <c r="J54" s="19">
        <f>'D2C - Retail'!Q114+'D2C Online'!AH88</f>
        <v>224172.69058570988</v>
      </c>
      <c r="K54" s="19">
        <f>'D2C - Retail'!R114+'D2C Online'!AI88</f>
        <v>290368.09382463322</v>
      </c>
      <c r="L54" s="19">
        <f>'D2C - Retail'!S114+'D2C Online'!AJ88</f>
        <v>181013.68760963163</v>
      </c>
      <c r="M54" s="19">
        <f>'D2C - Retail'!T114+'D2C Online'!AK88</f>
        <v>397835.97874587466</v>
      </c>
      <c r="N54" s="19">
        <f>'D2C - Retail'!U114+'D2C Online'!AL88</f>
        <v>452398.55106470344</v>
      </c>
      <c r="O54" s="19">
        <f>'D2C - Retail'!V114+'D2C Online'!AM88</f>
        <v>459820.29018286814</v>
      </c>
      <c r="P54" s="19">
        <f>'D2C - Retail'!W114+'D2C Online'!AN88</f>
        <v>390945.87977976771</v>
      </c>
      <c r="Q54" s="19">
        <f>'D2C - Retail'!X114+'D2C Online'!AO88</f>
        <v>509072.20584160066</v>
      </c>
      <c r="R54" s="19">
        <f>'D2C - Retail'!Y114+'D2C Online'!AP88</f>
        <v>610620.74884277326</v>
      </c>
      <c r="S54" s="19">
        <f>'D2C - Retail'!Z114+'D2C Online'!AQ88</f>
        <v>718435.30523760687</v>
      </c>
      <c r="T54" s="19">
        <f>'D2C - Retail'!AA114+'D2C Online'!AR88</f>
        <v>1639098.6816985749</v>
      </c>
      <c r="U54" s="19">
        <f>'D2C - Retail'!AB114+'D2C Online'!AS88</f>
        <v>1422777.0433437175</v>
      </c>
      <c r="V54" s="19">
        <f>'D2C - Retail'!AC114+'D2C Online'!AT88</f>
        <v>1391332.1709338063</v>
      </c>
      <c r="W54" s="19">
        <f>'D2C - Retail'!AD114+'D2C Online'!AU88</f>
        <v>1538577.7659660205</v>
      </c>
      <c r="X54" s="19">
        <f>'D2C - Retail'!AE114+'D2C Online'!AV88</f>
        <v>2121728.7601926792</v>
      </c>
      <c r="Y54" s="19">
        <f>'D2C - Retail'!AF114+'D2C Online'!AW88</f>
        <v>2047261.0073487952</v>
      </c>
      <c r="Z54" s="19">
        <f>'D2C - Retail'!AG114+'D2C Online'!AX88</f>
        <v>2141886.2885579285</v>
      </c>
      <c r="AA54" s="19">
        <f>'D2C - Retail'!AH114+'D2C Online'!AY88</f>
        <v>2265592.7556203557</v>
      </c>
      <c r="AB54" s="19">
        <f>'D2C - Retail'!AI114+'D2C Online'!AZ88</f>
        <v>2408989.8005624549</v>
      </c>
      <c r="AC54" s="19">
        <f>'D2C - Retail'!AJ114+'D2C Online'!BA88</f>
        <v>2726978.5445830314</v>
      </c>
      <c r="AD54" s="19">
        <f>'D2C - Retail'!AK114+'D2C Online'!BB88</f>
        <v>3816316.2898884611</v>
      </c>
      <c r="AE54" s="19">
        <f>'D2C - Retail'!AL114+'D2C Online'!BC88</f>
        <v>4526021.6615172056</v>
      </c>
      <c r="AF54" s="19">
        <f>'D2C - Retail'!AM114+'D2C Online'!BD88</f>
        <v>4493118.4780128207</v>
      </c>
      <c r="AG54" s="19">
        <f>'D2C - Retail'!AN114+'D2C Online'!BE88</f>
        <v>5250164.4780128207</v>
      </c>
      <c r="AH54" s="19">
        <f>'D2C - Retail'!AO114+'D2C Online'!BF88</f>
        <v>5656907.7694230769</v>
      </c>
      <c r="AI54" s="19">
        <f>'D2C - Retail'!AP114+'D2C Online'!BG88</f>
        <v>5692706.2087820508</v>
      </c>
      <c r="AJ54" s="19">
        <f>'D2C - Retail'!AQ114+'D2C Online'!BH88</f>
        <v>5984134.5863461532</v>
      </c>
      <c r="AK54" s="19">
        <f>'D2C - Retail'!AR114+'D2C Online'!BI88</f>
        <v>7065075.4596794881</v>
      </c>
      <c r="AL54" s="19">
        <f>'D2C - Retail'!AS114+'D2C Online'!BJ88</f>
        <v>5411302.4763229918</v>
      </c>
      <c r="AM54" s="19">
        <f>'D2C - Retail'!AT114+'D2C Online'!BK88</f>
        <v>5046089.3115384616</v>
      </c>
      <c r="AN54" s="19">
        <f>'D2C - Retail'!AU114+'D2C Online'!BL88</f>
        <v>4577165.0398717951</v>
      </c>
      <c r="AO54" s="19">
        <f>'D2C - Retail'!AV114+'D2C Online'!BM88</f>
        <v>4342957.7082913928</v>
      </c>
      <c r="AP54" s="19">
        <f>'D2C - Retail'!AW114+'D2C Online'!BN88</f>
        <v>3829034.5194315184</v>
      </c>
      <c r="AQ54" s="19">
        <f>'D2C - Retail'!AX114+'D2C Online'!BO88</f>
        <v>4474651.8074049037</v>
      </c>
      <c r="AR54" s="19">
        <f>'D2C - Retail'!AY114+'D2C Online'!BP88</f>
        <v>5048258.4705044962</v>
      </c>
      <c r="AS54" s="19">
        <f>'D2C - Retail'!AZ114+'D2C Online'!BQ88</f>
        <v>5043012.0811906792</v>
      </c>
      <c r="AT54" s="19">
        <f>'D2C - Retail'!BA114+'D2C Online'!BR88</f>
        <v>4874016.9711896069</v>
      </c>
      <c r="AU54" s="19">
        <f>'D2C - Retail'!BB114+'D2C Online'!BS88</f>
        <v>4980592.766182065</v>
      </c>
      <c r="AV54" s="19">
        <f>'D2C - Retail'!BC114+'D2C Online'!BT88</f>
        <v>4944471.784648452</v>
      </c>
      <c r="AW54" s="19">
        <f>'D2C - Retail'!BD114+'D2C Online'!BU88</f>
        <v>4569697.1966437493</v>
      </c>
      <c r="AX54" s="19">
        <f>'D2C - Retail'!BE114+'D2C Online'!BV88</f>
        <v>5263389.2057185117</v>
      </c>
      <c r="AY54" s="19">
        <f>'D2C - Retail'!BF114+'D2C Online'!BW88</f>
        <v>5132113.7778107524</v>
      </c>
      <c r="AZ54" s="19">
        <f>'D2C - Retail'!BG114+'D2C Online'!BX88</f>
        <v>4956714.8615725562</v>
      </c>
      <c r="BA54" s="19">
        <f>'D2C - Retail'!BH114+'D2C Online'!BY88</f>
        <v>5252374.1615563463</v>
      </c>
      <c r="BB54" s="19">
        <f>'D2C - Retail'!BI114+'D2C Online'!BZ88</f>
        <v>5650786.7945991047</v>
      </c>
      <c r="BC54" s="19">
        <f>'D2C - Retail'!BJ114+'D2C Online'!CA88</f>
        <v>5243713.7141095735</v>
      </c>
      <c r="BD54" s="19">
        <f>'D2C - Retail'!BK114+'D2C Online'!CB88</f>
        <v>5783802.5170281399</v>
      </c>
      <c r="BE54" s="19">
        <f>'D2C - Retail'!BL114+'D2C Online'!CC88</f>
        <v>6284867.0360860797</v>
      </c>
      <c r="BF54" s="19">
        <f>'D2C - Retail'!BM114+'D2C Online'!CD88</f>
        <v>6581197.5582418647</v>
      </c>
      <c r="BG54" s="19">
        <f>'D2C - Retail'!BN114+'D2C Online'!CE88</f>
        <v>7091934.3922863817</v>
      </c>
      <c r="BH54" s="19">
        <f>'D2C - Retail'!BO114+'D2C Online'!CF88</f>
        <v>7247553.0948621593</v>
      </c>
      <c r="BI54" s="19">
        <f>'D2C - Retail'!BP114+'D2C Online'!CG88</f>
        <v>7497843.8255472938</v>
      </c>
      <c r="BJ54" s="19">
        <f>'D2C - Retail'!BQ114+'D2C Online'!CH88</f>
        <v>7361649.2066744138</v>
      </c>
      <c r="BK54" s="19">
        <f>'D2C - Retail'!BR114+'D2C Online'!CI88</f>
        <v>7401139.327531253</v>
      </c>
      <c r="BL54" s="19">
        <f>'D2C - Retail'!BS114+'D2C Online'!CJ88</f>
        <v>7048607.3115404788</v>
      </c>
      <c r="BM54" s="19">
        <f>'D2C - Retail'!BT114+'D2C Online'!CK88</f>
        <v>7362178.8897595126</v>
      </c>
      <c r="BN54" s="19">
        <f>'D2C - Retail'!BU114+'D2C Online'!CL88</f>
        <v>6583804.2806829941</v>
      </c>
      <c r="BO54" s="19">
        <f>'D2C - Retail'!BV114+'D2C Online'!CM88</f>
        <v>6561461.8249792438</v>
      </c>
      <c r="BP54" s="19">
        <f>'D2C - Retail'!BW114+'D2C Online'!CN88</f>
        <v>6552887.8296204386</v>
      </c>
      <c r="BQ54" s="19">
        <f>'D2C - Retail'!BX114+'D2C Online'!CO88</f>
        <v>6843459.1284851711</v>
      </c>
      <c r="BR54" s="19">
        <f>'D2C - Retail'!BY114+'D2C Online'!CP88</f>
        <v>6298937.7259403765</v>
      </c>
      <c r="BS54" s="19">
        <f>'D2C - Retail'!BZ114+'D2C Online'!CQ88</f>
        <v>6438214.8197886525</v>
      </c>
      <c r="BT54" s="19">
        <f>'D2C - Retail'!CA114+'D2C Online'!CR88</f>
        <v>6959928.653953271</v>
      </c>
      <c r="BU54" s="19">
        <f>'D2C - Retail'!CB114+'D2C Online'!CS88</f>
        <v>6718154.646202391</v>
      </c>
      <c r="BV54" s="19">
        <f>'D2C - Retail'!CC114+'D2C Online'!CT88</f>
        <v>8135974.7302873395</v>
      </c>
      <c r="BW54" s="19">
        <f>'D2C - Retail'!CD114+'D2C Online'!CU88</f>
        <v>8582611.9573475625</v>
      </c>
      <c r="BX54" s="19">
        <f>'D2C - Retail'!CE114+'D2C Online'!CV88</f>
        <v>7616279.5026241932</v>
      </c>
      <c r="BY54" s="19">
        <f>'D2C - Retail'!CF114+'D2C Online'!CW88</f>
        <v>8503624.3862974234</v>
      </c>
      <c r="BZ54" s="19">
        <f>'D2C - Retail'!CG114+'D2C Online'!CX88</f>
        <v>7909569.1452810429</v>
      </c>
      <c r="CA54" s="19">
        <f>'D2C - Retail'!CH114+'D2C Online'!CY88</f>
        <v>7889484.7678711712</v>
      </c>
      <c r="CB54" s="19">
        <f>'D2C - Retail'!CI114+'D2C Online'!CZ88</f>
        <v>7861051.8126561483</v>
      </c>
      <c r="CC54" s="19">
        <f>'D2C - Retail'!CJ114+'D2C Online'!DA88</f>
        <v>8211534.2780993879</v>
      </c>
      <c r="CD54" s="19">
        <f>'D2C - Retail'!CK114+'D2C Online'!DB88</f>
        <v>7548036.2728464119</v>
      </c>
      <c r="CE54" s="19">
        <f>'D2C - Retail'!CL114+'D2C Online'!DC88</f>
        <v>7699248.4463065453</v>
      </c>
      <c r="CF54" s="19">
        <f>'D2C - Retail'!CM114+'D2C Online'!DD88</f>
        <v>8323896.9214875288</v>
      </c>
      <c r="CG54" s="19">
        <f>'D2C - Retail'!CN114+'D2C Online'!DE88</f>
        <v>8012417.7958875429</v>
      </c>
      <c r="CH54" s="19">
        <f>'D2C - Retail'!CO114+'D2C Online'!DF88</f>
        <v>9688523.383910723</v>
      </c>
      <c r="CI54" s="19">
        <f>'D2C - Retail'!CP114+'D2C Online'!DG88</f>
        <v>10201215.474004962</v>
      </c>
      <c r="CJ54" s="19">
        <f>'D2C - Retail'!CQ114+'D2C Online'!DH88</f>
        <v>9034393.7337090522</v>
      </c>
      <c r="CK54" s="19">
        <f>'D2C - Retail'!CR114+'D2C Online'!DI88</f>
        <v>10038161.327552974</v>
      </c>
      <c r="CL54" s="19">
        <f>'D2C - Retail'!CS114+'D2C Online'!DJ88</f>
        <v>9209354.7860516347</v>
      </c>
      <c r="CM54" s="19">
        <f>'D2C - Retail'!CT114+'D2C Online'!DK88</f>
        <v>9184518.2191824745</v>
      </c>
      <c r="CN54" s="19">
        <f>'D2C - Retail'!CU114+'D2C Online'!DL88</f>
        <v>9149496.1471732743</v>
      </c>
      <c r="CO54" s="19">
        <f>'D2C - Retail'!CV114+'D2C Online'!DM88</f>
        <v>9549910.1110784337</v>
      </c>
      <c r="CP54" s="19">
        <f>'D2C - Retail'!CW114+'D2C Online'!DN88</f>
        <v>8778240.2208386511</v>
      </c>
      <c r="CQ54" s="19">
        <f>'D2C - Retail'!CX114+'D2C Online'!DO88</f>
        <v>8964166.0460113622</v>
      </c>
      <c r="CR54" s="19">
        <f>'D2C - Retail'!CY114+'D2C Online'!DP88</f>
        <v>9668389.71264874</v>
      </c>
      <c r="CS54" s="19">
        <f>'D2C - Retail'!CZ114+'D2C Online'!DQ88</f>
        <v>9312021.6538671181</v>
      </c>
      <c r="CT54" s="19">
        <f>'D2C - Retail'!DA114+'D2C Online'!DR88</f>
        <v>11265585.128905701</v>
      </c>
      <c r="CU54" s="19">
        <f>'D2C - Retail'!DB114+'D2C Online'!DS88</f>
        <v>11867554.003577124</v>
      </c>
      <c r="CV54" s="19">
        <f>'D2C - Retail'!DC114+'D2C Online'!DT88</f>
        <v>10498030.14705492</v>
      </c>
      <c r="CW54" s="19">
        <f>'D2C - Retail'!DD114+'D2C Online'!DU88</f>
        <v>11657215.881563999</v>
      </c>
      <c r="CX54" s="168"/>
      <c r="CY54" s="19">
        <f t="shared" si="150"/>
        <v>12835456.429418487</v>
      </c>
      <c r="CZ54" s="19">
        <f t="shared" si="151"/>
        <v>16599778.456217948</v>
      </c>
      <c r="DA54" s="19">
        <f t="shared" si="152"/>
        <v>18460512.522348635</v>
      </c>
      <c r="DB54" s="19">
        <f t="shared" si="153"/>
        <v>13966212.059701649</v>
      </c>
      <c r="DC54" s="19">
        <f t="shared" si="154"/>
        <v>13351944.797340918</v>
      </c>
      <c r="DD54" s="19">
        <f t="shared" si="155"/>
        <v>14897621.818562351</v>
      </c>
      <c r="DE54" s="19">
        <f t="shared" si="156"/>
        <v>14777558.187010713</v>
      </c>
      <c r="DF54" s="19">
        <f t="shared" si="157"/>
        <v>15341202.800939655</v>
      </c>
      <c r="DG54" s="19">
        <f t="shared" si="158"/>
        <v>16678303.025736818</v>
      </c>
      <c r="DH54" s="19">
        <f t="shared" si="159"/>
        <v>19957998.986614328</v>
      </c>
      <c r="DI54" s="19">
        <f t="shared" si="160"/>
        <v>22107046.127083868</v>
      </c>
      <c r="DJ54" s="19">
        <f t="shared" si="161"/>
        <v>21811925.528831244</v>
      </c>
      <c r="DK54" s="19">
        <f t="shared" si="162"/>
        <v>19698153.935282677</v>
      </c>
      <c r="DL54" s="19">
        <f t="shared" si="163"/>
        <v>19580611.674214199</v>
      </c>
      <c r="DM54" s="19">
        <f t="shared" si="164"/>
        <v>21814058.030443002</v>
      </c>
      <c r="DN54" s="19">
        <f t="shared" si="165"/>
        <v>24702515.846269179</v>
      </c>
      <c r="DO54" s="19">
        <f t="shared" si="166"/>
        <v>23660105.725808363</v>
      </c>
      <c r="DP54" s="19">
        <f t="shared" si="167"/>
        <v>23458818.997252345</v>
      </c>
      <c r="DQ54" s="19">
        <f t="shared" si="168"/>
        <v>26024838.101285793</v>
      </c>
      <c r="DR54" s="19">
        <f t="shared" si="169"/>
        <v>29273770.535266988</v>
      </c>
      <c r="DS54" s="19">
        <f t="shared" si="186"/>
        <v>27543369.152407382</v>
      </c>
      <c r="DT54" s="19">
        <f t="shared" si="187"/>
        <v>27292316.377928447</v>
      </c>
      <c r="DU54" s="19">
        <f t="shared" si="188"/>
        <v>30245996.495421559</v>
      </c>
      <c r="DV54" s="19">
        <f t="shared" si="189"/>
        <v>34022800.032196045</v>
      </c>
      <c r="DX54" s="19">
        <f t="shared" si="174"/>
        <v>61861959.46768672</v>
      </c>
      <c r="DY54" s="19">
        <f t="shared" si="175"/>
        <v>58368327.603853635</v>
      </c>
      <c r="DZ54" s="19">
        <f t="shared" si="176"/>
        <v>80555273.668266267</v>
      </c>
      <c r="EA54" s="19">
        <f t="shared" si="177"/>
        <v>85795339.48620905</v>
      </c>
      <c r="EB54" s="19">
        <f t="shared" si="178"/>
        <v>102417533.35961351</v>
      </c>
      <c r="EC54" s="770">
        <f t="shared" si="179"/>
        <v>119104482.05795343</v>
      </c>
    </row>
    <row r="55" spans="2:133" x14ac:dyDescent="0.2">
      <c r="B55" s="22" t="s">
        <v>27</v>
      </c>
      <c r="C55" s="20">
        <f>C44/C30</f>
        <v>0.83737254397611305</v>
      </c>
      <c r="D55" s="20">
        <f t="shared" ref="D55:BO55" si="190">D44/D30</f>
        <v>0.82932717727582506</v>
      </c>
      <c r="E55" s="20">
        <f t="shared" si="190"/>
        <v>0.79984385431403981</v>
      </c>
      <c r="F55" s="20">
        <f t="shared" si="190"/>
        <v>0.79823842790199784</v>
      </c>
      <c r="G55" s="20">
        <f t="shared" si="190"/>
        <v>0.85399782781921107</v>
      </c>
      <c r="H55" s="20">
        <f t="shared" si="190"/>
        <v>0.7861983135954933</v>
      </c>
      <c r="I55" s="20">
        <f t="shared" si="190"/>
        <v>0.75084519752645285</v>
      </c>
      <c r="J55" s="20">
        <f t="shared" si="190"/>
        <v>0.77206900224359531</v>
      </c>
      <c r="K55" s="20">
        <f t="shared" si="190"/>
        <v>0.80301470747771275</v>
      </c>
      <c r="L55" s="20">
        <f t="shared" si="190"/>
        <v>0.81404939026103729</v>
      </c>
      <c r="M55" s="20">
        <f t="shared" si="190"/>
        <v>0.77508762423360877</v>
      </c>
      <c r="N55" s="20">
        <f t="shared" si="190"/>
        <v>0.78945215236321575</v>
      </c>
      <c r="O55" s="20">
        <f t="shared" si="190"/>
        <v>0.81169657068750301</v>
      </c>
      <c r="P55" s="20">
        <f t="shared" si="190"/>
        <v>0.79791125571714938</v>
      </c>
      <c r="Q55" s="20">
        <f t="shared" si="190"/>
        <v>0.80719378063508729</v>
      </c>
      <c r="R55" s="20">
        <f t="shared" si="190"/>
        <v>0.80135205425083944</v>
      </c>
      <c r="S55" s="20">
        <f t="shared" si="190"/>
        <v>0.82381883454123128</v>
      </c>
      <c r="T55" s="20">
        <f t="shared" si="190"/>
        <v>0.83906865721493862</v>
      </c>
      <c r="U55" s="20">
        <f t="shared" si="190"/>
        <v>0.82776244495596785</v>
      </c>
      <c r="V55" s="20">
        <f t="shared" si="190"/>
        <v>0.84214696680072076</v>
      </c>
      <c r="W55" s="20">
        <f t="shared" si="190"/>
        <v>0.87154560284172333</v>
      </c>
      <c r="X55" s="20">
        <f t="shared" si="190"/>
        <v>0.86118366248446521</v>
      </c>
      <c r="Y55" s="20">
        <f t="shared" si="190"/>
        <v>0.85647271023662597</v>
      </c>
      <c r="Z55" s="20">
        <f t="shared" si="190"/>
        <v>0.85144661494817708</v>
      </c>
      <c r="AA55" s="20">
        <f t="shared" si="190"/>
        <v>0.8424352200987274</v>
      </c>
      <c r="AB55" s="20">
        <f t="shared" si="190"/>
        <v>0.83423788613087535</v>
      </c>
      <c r="AC55" s="20">
        <f t="shared" si="190"/>
        <v>0.84535425547248733</v>
      </c>
      <c r="AD55" s="20">
        <f t="shared" si="190"/>
        <v>0.87120405315278904</v>
      </c>
      <c r="AE55" s="20">
        <f t="shared" si="190"/>
        <v>0.85897063918191041</v>
      </c>
      <c r="AF55" s="20">
        <f t="shared" si="190"/>
        <v>0.84573713726805799</v>
      </c>
      <c r="AG55" s="20">
        <f t="shared" si="190"/>
        <v>0.84668029808870959</v>
      </c>
      <c r="AH55" s="20">
        <f t="shared" si="190"/>
        <v>0.84318484582592923</v>
      </c>
      <c r="AI55" s="20">
        <f t="shared" si="190"/>
        <v>0.87201384687032624</v>
      </c>
      <c r="AJ55" s="20">
        <f t="shared" si="190"/>
        <v>0.86931263972921369</v>
      </c>
      <c r="AK55" s="20">
        <f t="shared" si="190"/>
        <v>0.85300294870085935</v>
      </c>
      <c r="AL55" s="20">
        <f t="shared" si="190"/>
        <v>0.84292997527184022</v>
      </c>
      <c r="AM55" s="20">
        <f t="shared" si="190"/>
        <v>0.83009387285171077</v>
      </c>
      <c r="AN55" s="20">
        <f t="shared" si="190"/>
        <v>0.79034777573360615</v>
      </c>
      <c r="AO55" s="20">
        <f t="shared" si="190"/>
        <v>0.79985031273448226</v>
      </c>
      <c r="AP55" s="20">
        <f t="shared" si="190"/>
        <v>0.81553591443909246</v>
      </c>
      <c r="AQ55" s="20">
        <f t="shared" si="190"/>
        <v>0.80617866242221714</v>
      </c>
      <c r="AR55" s="20">
        <f t="shared" si="190"/>
        <v>0.80061280685827818</v>
      </c>
      <c r="AS55" s="20">
        <f t="shared" si="190"/>
        <v>0.8048534103043874</v>
      </c>
      <c r="AT55" s="20">
        <f t="shared" si="190"/>
        <v>0.80547984244694726</v>
      </c>
      <c r="AU55" s="20">
        <f t="shared" si="190"/>
        <v>0.81512663871591751</v>
      </c>
      <c r="AV55" s="20">
        <f t="shared" si="190"/>
        <v>0.80677783923865054</v>
      </c>
      <c r="AW55" s="20">
        <f t="shared" si="190"/>
        <v>0.80224335496040411</v>
      </c>
      <c r="AX55" s="20">
        <f t="shared" si="190"/>
        <v>0.81183824290248641</v>
      </c>
      <c r="AY55" s="20">
        <f t="shared" si="190"/>
        <v>0.81855537975497283</v>
      </c>
      <c r="AZ55" s="20">
        <f t="shared" si="190"/>
        <v>0.82361476607777495</v>
      </c>
      <c r="BA55" s="20">
        <f t="shared" si="190"/>
        <v>0.81651328094180631</v>
      </c>
      <c r="BB55" s="20">
        <f t="shared" si="190"/>
        <v>0.81666855225558854</v>
      </c>
      <c r="BC55" s="20">
        <f t="shared" si="190"/>
        <v>0.81767575973666151</v>
      </c>
      <c r="BD55" s="20">
        <f t="shared" si="190"/>
        <v>0.80549898744458581</v>
      </c>
      <c r="BE55" s="20">
        <f t="shared" si="190"/>
        <v>0.80975591262664015</v>
      </c>
      <c r="BF55" s="20">
        <f t="shared" si="190"/>
        <v>0.79456772395337705</v>
      </c>
      <c r="BG55" s="20">
        <f t="shared" si="190"/>
        <v>0.81758686448057682</v>
      </c>
      <c r="BH55" s="20">
        <f t="shared" si="190"/>
        <v>0.80341714858809254</v>
      </c>
      <c r="BI55" s="20">
        <f t="shared" si="190"/>
        <v>0.80832306029757361</v>
      </c>
      <c r="BJ55" s="20">
        <f t="shared" si="190"/>
        <v>0.82612568273815667</v>
      </c>
      <c r="BK55" s="20">
        <f t="shared" si="190"/>
        <v>0.82708328236146123</v>
      </c>
      <c r="BL55" s="20">
        <f t="shared" si="190"/>
        <v>0.83397553012529269</v>
      </c>
      <c r="BM55" s="20">
        <f t="shared" si="190"/>
        <v>0.84608239770827365</v>
      </c>
      <c r="BN55" s="20">
        <f t="shared" si="190"/>
        <v>0.81800347373219717</v>
      </c>
      <c r="BO55" s="20">
        <f t="shared" si="190"/>
        <v>0.81821214754725857</v>
      </c>
      <c r="BP55" s="20">
        <f t="shared" ref="BP55:EC55" si="191">BP44/BP30</f>
        <v>0.81824067730061933</v>
      </c>
      <c r="BQ55" s="20">
        <f t="shared" si="191"/>
        <v>0.81779282805219389</v>
      </c>
      <c r="BR55" s="20">
        <f t="shared" si="191"/>
        <v>0.81826028837625986</v>
      </c>
      <c r="BS55" s="20">
        <f t="shared" si="191"/>
        <v>0.81929474667608193</v>
      </c>
      <c r="BT55" s="20">
        <f t="shared" si="191"/>
        <v>0.81762337323047496</v>
      </c>
      <c r="BU55" s="20">
        <f t="shared" si="191"/>
        <v>0.8182109640118862</v>
      </c>
      <c r="BV55" s="20">
        <f t="shared" si="191"/>
        <v>0.81815198744304285</v>
      </c>
      <c r="BW55" s="20">
        <f t="shared" si="191"/>
        <v>0.81840730466045175</v>
      </c>
      <c r="BX55" s="20">
        <f t="shared" si="191"/>
        <v>0.81807248284904555</v>
      </c>
      <c r="BY55" s="20">
        <f t="shared" si="191"/>
        <v>0.81750430840719757</v>
      </c>
      <c r="BZ55" s="20">
        <f t="shared" si="191"/>
        <v>0.81894786618236737</v>
      </c>
      <c r="CA55" s="20">
        <f t="shared" si="191"/>
        <v>0.81914562130714308</v>
      </c>
      <c r="CB55" s="20">
        <f t="shared" si="191"/>
        <v>0.81920223047784435</v>
      </c>
      <c r="CC55" s="20">
        <f t="shared" si="191"/>
        <v>0.81875176059011001</v>
      </c>
      <c r="CD55" s="20">
        <f t="shared" si="191"/>
        <v>0.81923022004472024</v>
      </c>
      <c r="CE55" s="20">
        <f t="shared" si="191"/>
        <v>0.8203024690804035</v>
      </c>
      <c r="CF55" s="20">
        <f t="shared" si="191"/>
        <v>0.81861835831898533</v>
      </c>
      <c r="CG55" s="20">
        <f t="shared" si="191"/>
        <v>0.81924306543469283</v>
      </c>
      <c r="CH55" s="20">
        <f t="shared" si="191"/>
        <v>0.819222033963937</v>
      </c>
      <c r="CI55" s="20">
        <f t="shared" si="191"/>
        <v>0.8195121626401326</v>
      </c>
      <c r="CJ55" s="20">
        <f t="shared" si="191"/>
        <v>0.81918240938005493</v>
      </c>
      <c r="CK55" s="20">
        <f t="shared" si="191"/>
        <v>0.81867001925643035</v>
      </c>
      <c r="CL55" s="20">
        <f t="shared" ref="CL55:CW55" si="192">CL44/CL30</f>
        <v>0.82149767196362622</v>
      </c>
      <c r="CM55" s="20">
        <f t="shared" si="192"/>
        <v>0.82169293634278262</v>
      </c>
      <c r="CN55" s="20">
        <f t="shared" si="192"/>
        <v>0.82175047937042456</v>
      </c>
      <c r="CO55" s="20">
        <f t="shared" si="192"/>
        <v>0.82131966206099494</v>
      </c>
      <c r="CP55" s="20">
        <f t="shared" si="192"/>
        <v>0.82178408402182568</v>
      </c>
      <c r="CQ55" s="20">
        <f t="shared" si="192"/>
        <v>0.82282242880751821</v>
      </c>
      <c r="CR55" s="20">
        <f t="shared" si="192"/>
        <v>0.82120244087081806</v>
      </c>
      <c r="CS55" s="20">
        <f t="shared" si="192"/>
        <v>0.82180748668819303</v>
      </c>
      <c r="CT55" s="20">
        <f t="shared" si="192"/>
        <v>0.82179196707798874</v>
      </c>
      <c r="CU55" s="20">
        <f t="shared" si="192"/>
        <v>0.82207384889994584</v>
      </c>
      <c r="CV55" s="20">
        <f t="shared" si="192"/>
        <v>0.82175669041749777</v>
      </c>
      <c r="CW55" s="20">
        <f t="shared" si="192"/>
        <v>0.82126515678718714</v>
      </c>
      <c r="CX55" s="168"/>
      <c r="CY55" s="20">
        <f t="shared" si="191"/>
        <v>0.85829114922847538</v>
      </c>
      <c r="CZ55" s="20">
        <f t="shared" si="191"/>
        <v>0.8541468360243466</v>
      </c>
      <c r="DA55" s="20">
        <f t="shared" si="191"/>
        <v>0.85640280378468048</v>
      </c>
      <c r="DB55" s="20">
        <f t="shared" si="191"/>
        <v>0.80758033865433998</v>
      </c>
      <c r="DC55" s="20">
        <f t="shared" si="191"/>
        <v>0.80722713064223106</v>
      </c>
      <c r="DD55" s="20">
        <f t="shared" si="191"/>
        <v>0.80820935767387814</v>
      </c>
      <c r="DE55" s="20">
        <f t="shared" si="191"/>
        <v>0.80723702732014035</v>
      </c>
      <c r="DF55" s="20">
        <f t="shared" si="191"/>
        <v>0.81928477452282056</v>
      </c>
      <c r="DG55" s="20">
        <f t="shared" si="191"/>
        <v>0.81327357431249803</v>
      </c>
      <c r="DH55" s="20">
        <f t="shared" si="191"/>
        <v>0.80771123533521794</v>
      </c>
      <c r="DI55" s="20">
        <f t="shared" si="191"/>
        <v>0.81335184306792763</v>
      </c>
      <c r="DJ55" s="20">
        <f t="shared" si="191"/>
        <v>0.83600079943627637</v>
      </c>
      <c r="DK55" s="20">
        <f t="shared" si="191"/>
        <v>0.81815151806124931</v>
      </c>
      <c r="DL55" s="20">
        <f t="shared" si="191"/>
        <v>0.81842414678447428</v>
      </c>
      <c r="DM55" s="20">
        <f t="shared" si="191"/>
        <v>0.81799928795962396</v>
      </c>
      <c r="DN55" s="20">
        <f t="shared" si="191"/>
        <v>0.81798849542849084</v>
      </c>
      <c r="DO55" s="20">
        <f t="shared" si="191"/>
        <v>0.8190979308650479</v>
      </c>
      <c r="DP55" s="20">
        <f t="shared" si="191"/>
        <v>0.81940122102158108</v>
      </c>
      <c r="DQ55" s="20">
        <f t="shared" si="191"/>
        <v>0.81903283634230351</v>
      </c>
      <c r="DR55" s="20">
        <f t="shared" si="191"/>
        <v>0.81911765137089931</v>
      </c>
      <c r="DS55" s="20">
        <f t="shared" si="191"/>
        <v>0.82164636797193713</v>
      </c>
      <c r="DT55" s="20">
        <f t="shared" si="191"/>
        <v>0.82194958459811807</v>
      </c>
      <c r="DU55" s="20">
        <f t="shared" si="191"/>
        <v>0.8216057501997539</v>
      </c>
      <c r="DV55" s="20">
        <f t="shared" si="191"/>
        <v>0.82169511483709634</v>
      </c>
      <c r="DW55" s="771"/>
      <c r="DX55" s="20">
        <f t="shared" si="191"/>
        <v>0.8450603986252353</v>
      </c>
      <c r="DY55" s="20">
        <f t="shared" si="191"/>
        <v>0.81117515830908959</v>
      </c>
      <c r="DZ55" s="20">
        <f t="shared" si="191"/>
        <v>0.81911025386870129</v>
      </c>
      <c r="EA55" s="20">
        <f t="shared" si="191"/>
        <v>0.81812705408687225</v>
      </c>
      <c r="EB55" s="20">
        <f t="shared" si="191"/>
        <v>0.81915585890935827</v>
      </c>
      <c r="EC55" s="20">
        <f t="shared" si="191"/>
        <v>0.82171888015591998</v>
      </c>
    </row>
    <row r="56" spans="2:133" x14ac:dyDescent="0.2">
      <c r="B56" s="22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68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X56" s="19"/>
      <c r="DY56" s="19"/>
      <c r="DZ56" s="19"/>
      <c r="EA56" s="19"/>
      <c r="EB56" s="19"/>
      <c r="EC56" s="770"/>
    </row>
    <row r="57" spans="2:133" x14ac:dyDescent="0.2">
      <c r="B57" s="212" t="s">
        <v>28</v>
      </c>
      <c r="C57" s="199">
        <f>C30-SUM(C48,C49:C52)</f>
        <v>7159571.0879477412</v>
      </c>
      <c r="D57" s="199">
        <f t="shared" ref="D57:BO57" si="193">D30-SUM(D48,D49:D52)</f>
        <v>7157740.7244898863</v>
      </c>
      <c r="E57" s="199">
        <f t="shared" si="193"/>
        <v>9531970.9119589254</v>
      </c>
      <c r="F57" s="199">
        <f t="shared" si="193"/>
        <v>5758188.4582909867</v>
      </c>
      <c r="G57" s="199">
        <f t="shared" si="193"/>
        <v>896325.32731303014</v>
      </c>
      <c r="H57" s="199">
        <f t="shared" si="193"/>
        <v>4498773.5913950559</v>
      </c>
      <c r="I57" s="199">
        <f t="shared" si="193"/>
        <v>7308998.7372401953</v>
      </c>
      <c r="J57" s="199">
        <f t="shared" si="193"/>
        <v>8266227.1107011549</v>
      </c>
      <c r="K57" s="199">
        <f t="shared" si="193"/>
        <v>9662755.5782851428</v>
      </c>
      <c r="L57" s="199">
        <f t="shared" si="193"/>
        <v>10379711.891361922</v>
      </c>
      <c r="M57" s="199">
        <f t="shared" si="193"/>
        <v>20234990.235283591</v>
      </c>
      <c r="N57" s="199">
        <f t="shared" si="193"/>
        <v>22235671.75098373</v>
      </c>
      <c r="O57" s="199">
        <f t="shared" si="193"/>
        <v>21004944.23664993</v>
      </c>
      <c r="P57" s="199">
        <f t="shared" si="193"/>
        <v>24297897.490331233</v>
      </c>
      <c r="Q57" s="199">
        <f t="shared" si="193"/>
        <v>24848585.999852926</v>
      </c>
      <c r="R57" s="199">
        <f t="shared" si="193"/>
        <v>23247192.195088089</v>
      </c>
      <c r="S57" s="199">
        <f t="shared" si="193"/>
        <v>25638283.391133443</v>
      </c>
      <c r="T57" s="199">
        <f t="shared" si="193"/>
        <v>31238950.012768388</v>
      </c>
      <c r="U57" s="199">
        <f t="shared" si="193"/>
        <v>32093892.393864512</v>
      </c>
      <c r="V57" s="199">
        <f t="shared" si="193"/>
        <v>29197411.514460444</v>
      </c>
      <c r="W57" s="199">
        <f t="shared" si="193"/>
        <v>24307647.634845018</v>
      </c>
      <c r="X57" s="199">
        <f t="shared" si="193"/>
        <v>32886239.234241009</v>
      </c>
      <c r="Y57" s="199">
        <f t="shared" si="193"/>
        <v>32950959.99781096</v>
      </c>
      <c r="Z57" s="199">
        <f t="shared" si="193"/>
        <v>39250561.505251765</v>
      </c>
      <c r="AA57" s="199">
        <f t="shared" si="193"/>
        <v>46523011.93238765</v>
      </c>
      <c r="AB57" s="199">
        <f t="shared" si="193"/>
        <v>51733133.697197348</v>
      </c>
      <c r="AC57" s="199">
        <f t="shared" si="193"/>
        <v>67141880.207426906</v>
      </c>
      <c r="AD57" s="199">
        <f t="shared" si="193"/>
        <v>65775010.829052567</v>
      </c>
      <c r="AE57" s="199">
        <f t="shared" si="193"/>
        <v>74463274.819306731</v>
      </c>
      <c r="AF57" s="199">
        <f t="shared" si="193"/>
        <v>84755117.581856608</v>
      </c>
      <c r="AG57" s="199">
        <f t="shared" si="193"/>
        <v>70446955.645836413</v>
      </c>
      <c r="AH57" s="199">
        <f t="shared" si="193"/>
        <v>76377115.557014227</v>
      </c>
      <c r="AI57" s="199">
        <f t="shared" si="193"/>
        <v>64961088.995715976</v>
      </c>
      <c r="AJ57" s="199">
        <f t="shared" si="193"/>
        <v>96135812.134910703</v>
      </c>
      <c r="AK57" s="199">
        <f t="shared" si="193"/>
        <v>91880293.315517902</v>
      </c>
      <c r="AL57" s="199">
        <f t="shared" si="193"/>
        <v>85925669.156441689</v>
      </c>
      <c r="AM57" s="199">
        <f t="shared" si="193"/>
        <v>87410512.910423517</v>
      </c>
      <c r="AN57" s="199">
        <f t="shared" si="193"/>
        <v>87950158.050193071</v>
      </c>
      <c r="AO57" s="199">
        <f t="shared" si="193"/>
        <v>105610517.14447856</v>
      </c>
      <c r="AP57" s="199">
        <f t="shared" si="193"/>
        <v>98919267.787859201</v>
      </c>
      <c r="AQ57" s="199">
        <f t="shared" si="193"/>
        <v>107129122.86496693</v>
      </c>
      <c r="AR57" s="199">
        <f t="shared" si="193"/>
        <v>116356425.12095612</v>
      </c>
      <c r="AS57" s="199">
        <f t="shared" si="193"/>
        <v>112525658.14011014</v>
      </c>
      <c r="AT57" s="199">
        <f t="shared" si="193"/>
        <v>100816082.91504025</v>
      </c>
      <c r="AU57" s="199">
        <f t="shared" si="193"/>
        <v>91988585.005421817</v>
      </c>
      <c r="AV57" s="199">
        <f t="shared" si="193"/>
        <v>116478132.31603926</v>
      </c>
      <c r="AW57" s="199">
        <f t="shared" si="193"/>
        <v>111795982.57327378</v>
      </c>
      <c r="AX57" s="199">
        <f t="shared" si="193"/>
        <v>126908310.53661704</v>
      </c>
      <c r="AY57" s="199">
        <f t="shared" si="193"/>
        <v>130641868.98125923</v>
      </c>
      <c r="AZ57" s="199">
        <f t="shared" si="193"/>
        <v>121762174.41532075</v>
      </c>
      <c r="BA57" s="199">
        <f t="shared" si="193"/>
        <v>159416482.49842966</v>
      </c>
      <c r="BB57" s="199">
        <f t="shared" si="193"/>
        <v>148317568.89594162</v>
      </c>
      <c r="BC57" s="199">
        <f t="shared" si="193"/>
        <v>143246654.33402061</v>
      </c>
      <c r="BD57" s="199">
        <f t="shared" si="193"/>
        <v>156295954.6930145</v>
      </c>
      <c r="BE57" s="199">
        <f t="shared" si="193"/>
        <v>163857887.59975815</v>
      </c>
      <c r="BF57" s="199">
        <f t="shared" si="193"/>
        <v>153313010.46532303</v>
      </c>
      <c r="BG57" s="199">
        <f t="shared" si="193"/>
        <v>150707989.5431906</v>
      </c>
      <c r="BH57" s="199">
        <f t="shared" si="193"/>
        <v>184377186.09611905</v>
      </c>
      <c r="BI57" s="199">
        <f t="shared" si="193"/>
        <v>168735330.05271912</v>
      </c>
      <c r="BJ57" s="199">
        <f t="shared" si="193"/>
        <v>186031832.97838449</v>
      </c>
      <c r="BK57" s="199">
        <f t="shared" si="193"/>
        <v>199532752.36974144</v>
      </c>
      <c r="BL57" s="199">
        <f t="shared" si="193"/>
        <v>174416302.09293616</v>
      </c>
      <c r="BM57" s="199">
        <f t="shared" si="193"/>
        <v>190042041.49477446</v>
      </c>
      <c r="BN57" s="199">
        <f t="shared" si="193"/>
        <v>195277462.23589909</v>
      </c>
      <c r="BO57" s="199">
        <f t="shared" si="193"/>
        <v>193191473.85268939</v>
      </c>
      <c r="BP57" s="199">
        <f t="shared" ref="BP57:CK57" si="194">BP30-SUM(BP48,BP49:BP52)</f>
        <v>192730231.73259604</v>
      </c>
      <c r="BQ57" s="199">
        <f t="shared" si="194"/>
        <v>204495075.13718259</v>
      </c>
      <c r="BR57" s="199">
        <f t="shared" si="194"/>
        <v>185056879.95623446</v>
      </c>
      <c r="BS57" s="199">
        <f t="shared" si="194"/>
        <v>182601155.53348875</v>
      </c>
      <c r="BT57" s="199">
        <f t="shared" si="194"/>
        <v>209193729.8694818</v>
      </c>
      <c r="BU57" s="199">
        <f t="shared" si="194"/>
        <v>197751704.54506338</v>
      </c>
      <c r="BV57" s="199">
        <f t="shared" si="194"/>
        <v>240262191.1191144</v>
      </c>
      <c r="BW57" s="199">
        <f t="shared" si="194"/>
        <v>251287708.48821187</v>
      </c>
      <c r="BX57" s="199">
        <f t="shared" si="194"/>
        <v>225420085.14731646</v>
      </c>
      <c r="BY57" s="199">
        <f t="shared" si="194"/>
        <v>256908861.54986715</v>
      </c>
      <c r="BZ57" s="199">
        <f t="shared" si="194"/>
        <v>235498297.56142116</v>
      </c>
      <c r="CA57" s="199">
        <f t="shared" si="194"/>
        <v>233296649.42511737</v>
      </c>
      <c r="CB57" s="199">
        <f t="shared" si="194"/>
        <v>231990359.79694629</v>
      </c>
      <c r="CC57" s="199">
        <f t="shared" si="194"/>
        <v>246162184.14567399</v>
      </c>
      <c r="CD57" s="199">
        <f t="shared" si="194"/>
        <v>222443671.60367239</v>
      </c>
      <c r="CE57" s="199">
        <f t="shared" si="194"/>
        <v>218918953.50681627</v>
      </c>
      <c r="CF57" s="199">
        <f t="shared" si="194"/>
        <v>250656134.96313977</v>
      </c>
      <c r="CG57" s="199">
        <f t="shared" si="194"/>
        <v>236088642.84934855</v>
      </c>
      <c r="CH57" s="199">
        <f t="shared" si="194"/>
        <v>286040360.45068359</v>
      </c>
      <c r="CI57" s="199">
        <f t="shared" si="194"/>
        <v>298321238.0609374</v>
      </c>
      <c r="CJ57" s="199">
        <f t="shared" si="194"/>
        <v>266950293.73139691</v>
      </c>
      <c r="CK57" s="199">
        <f t="shared" si="194"/>
        <v>302060673.74087548</v>
      </c>
      <c r="CL57" s="199">
        <f t="shared" ref="CL57:CW57" si="195">CL30-SUM(CL48,CL49:CL52)</f>
        <v>269567807.54747605</v>
      </c>
      <c r="CM57" s="199">
        <f t="shared" si="195"/>
        <v>266978281.92165804</v>
      </c>
      <c r="CN57" s="199">
        <f t="shared" si="195"/>
        <v>265407991.96928644</v>
      </c>
      <c r="CO57" s="199">
        <f t="shared" si="195"/>
        <v>281325240.18297791</v>
      </c>
      <c r="CP57" s="199">
        <f t="shared" si="195"/>
        <v>254253709.10227978</v>
      </c>
      <c r="CQ57" s="199">
        <f t="shared" si="195"/>
        <v>250518449.98097157</v>
      </c>
      <c r="CR57" s="199">
        <f t="shared" si="195"/>
        <v>285985208.52726769</v>
      </c>
      <c r="CS57" s="199">
        <f t="shared" si="195"/>
        <v>269550269.10491037</v>
      </c>
      <c r="CT57" s="199">
        <f t="shared" si="195"/>
        <v>326595511.22552848</v>
      </c>
      <c r="CU57" s="199">
        <f t="shared" si="195"/>
        <v>340758086.10494781</v>
      </c>
      <c r="CV57" s="199">
        <f t="shared" si="195"/>
        <v>304599505.03087068</v>
      </c>
      <c r="CW57" s="199">
        <f t="shared" si="195"/>
        <v>344330436.88324666</v>
      </c>
      <c r="CX57" s="168"/>
      <c r="CY57" s="199">
        <f t="shared" ref="CY57:CY59" si="196">SUM(AD57:AF57)</f>
        <v>224993403.23021591</v>
      </c>
      <c r="CZ57" s="199">
        <f t="shared" ref="CZ57:CZ59" si="197">SUM(AG57:AI57)</f>
        <v>211785160.19856662</v>
      </c>
      <c r="DA57" s="199">
        <f t="shared" ref="DA57:DA59" si="198">SUM(AJ57:AL57)</f>
        <v>273941774.60687029</v>
      </c>
      <c r="DB57" s="199">
        <f t="shared" ref="DB57:DB59" si="199">SUM(AM57:AO57)</f>
        <v>280971188.10509515</v>
      </c>
      <c r="DC57" s="199">
        <f t="shared" ref="DC57:DC59" si="200">SUM(AP57:AR57)</f>
        <v>322404815.77378225</v>
      </c>
      <c r="DD57" s="199">
        <f t="shared" ref="DD57:DD59" si="201">SUM(AS57:AU57)</f>
        <v>305330326.06057221</v>
      </c>
      <c r="DE57" s="199">
        <f t="shared" ref="DE57:DE59" si="202">SUM(AV57:AX57)</f>
        <v>355182425.42593008</v>
      </c>
      <c r="DF57" s="199">
        <f t="shared" ref="DF57:DF59" si="203">SUM(AY57:BA57)</f>
        <v>411820525.89500964</v>
      </c>
      <c r="DG57" s="199">
        <f t="shared" ref="DG57:DG59" si="204">SUM(BB57:BD57)</f>
        <v>447860177.92297673</v>
      </c>
      <c r="DH57" s="199">
        <f t="shared" ref="DH57:DH59" si="205">SUM(BE57:BG57)</f>
        <v>467878887.60827178</v>
      </c>
      <c r="DI57" s="199">
        <f t="shared" ref="DI57:DI59" si="206">SUM(BH57:BJ57)</f>
        <v>539144349.12722266</v>
      </c>
      <c r="DJ57" s="199">
        <f t="shared" ref="DJ57:DJ59" si="207">SUM(BK57:BM57)</f>
        <v>563991095.95745206</v>
      </c>
      <c r="DK57" s="199">
        <f t="shared" ref="DK57:DK59" si="208">SUM(BN57:BP57)</f>
        <v>581199167.82118452</v>
      </c>
      <c r="DL57" s="199">
        <f t="shared" ref="DL57:DL59" si="209">SUM(BQ57:BS57)</f>
        <v>572153110.6269058</v>
      </c>
      <c r="DM57" s="199">
        <f t="shared" ref="DM57:DM59" si="210">SUM(BT57:BV57)</f>
        <v>647207625.53365958</v>
      </c>
      <c r="DN57" s="199">
        <f t="shared" ref="DN57:DN59" si="211">SUM(BW57:BY57)</f>
        <v>733616655.18539548</v>
      </c>
      <c r="DO57" s="199">
        <f t="shared" ref="DO57:DO59" si="212">SUM(BZ57:CB57)</f>
        <v>700785306.78348482</v>
      </c>
      <c r="DP57" s="199">
        <f t="shared" ref="DP57:DP59" si="213">SUM(CC57:CE57)</f>
        <v>687524809.25616264</v>
      </c>
      <c r="DQ57" s="199">
        <f t="shared" ref="DQ57:DQ59" si="214">SUM(CF57:CH57)</f>
        <v>772785138.26317191</v>
      </c>
      <c r="DR57" s="199">
        <f t="shared" ref="DR57:DR59" si="215">SUM(CI57:CK57)</f>
        <v>867332205.5332098</v>
      </c>
      <c r="DS57" s="199">
        <f t="shared" ref="DS57:DS59" si="216">SUM(CL57:CN57)</f>
        <v>801954081.43842053</v>
      </c>
      <c r="DT57" s="199">
        <f t="shared" ref="DT57:DT59" si="217">SUM(CO57:CQ57)</f>
        <v>786097399.26622927</v>
      </c>
      <c r="DU57" s="199">
        <f t="shared" ref="DU57:DU59" si="218">SUM(CR57:CT57)</f>
        <v>882130988.85770655</v>
      </c>
      <c r="DV57" s="199">
        <f t="shared" ref="DV57:DV59" si="219">SUM(CU57:CW57)</f>
        <v>989688028.01906514</v>
      </c>
      <c r="DX57" s="199">
        <f t="shared" ref="DX57:DX59" si="220">SUM(CY57:DB57)</f>
        <v>991691526.14074802</v>
      </c>
      <c r="DY57" s="199">
        <f t="shared" ref="DY57:DY59" si="221">SUM(DC57:DF57)</f>
        <v>1394738093.1552939</v>
      </c>
      <c r="DZ57" s="199">
        <f t="shared" ref="DZ57:DZ59" si="222">SUM(DG57:DJ57)</f>
        <v>2018874510.6159232</v>
      </c>
      <c r="EA57" s="199">
        <f t="shared" ref="EA57:EA59" si="223">SUM(DK57:DN57)</f>
        <v>2534176559.1671457</v>
      </c>
      <c r="EB57" s="199">
        <f t="shared" ref="EB57:EB59" si="224">SUM(DO57:DR57)</f>
        <v>3028427459.8360291</v>
      </c>
      <c r="EC57" s="810">
        <f t="shared" ref="EC57:EC59" si="225">SUM(DS57:DV57)</f>
        <v>3459870497.5814219</v>
      </c>
    </row>
    <row r="58" spans="2:133" x14ac:dyDescent="0.2">
      <c r="B58" s="155" t="s">
        <v>229</v>
      </c>
      <c r="C58" s="19">
        <f>C31-'D2C - Retail'!J104-'D2C - Retail'!J107-'D2C - Retail'!J110-'D2C - Retail'!J112-'D2C - Retail'!J113</f>
        <v>6405964.1050247522</v>
      </c>
      <c r="D58" s="19">
        <f>D31-'D2C - Retail'!K104-'D2C - Retail'!K107-'D2C - Retail'!K110-'D2C - Retail'!K112-'D2C - Retail'!K113</f>
        <v>6586264.2564534014</v>
      </c>
      <c r="E58" s="19">
        <f>E31-'D2C - Retail'!L104-'D2C - Retail'!L107-'D2C - Retail'!L110-'D2C - Retail'!L112-'D2C - Retail'!L113</f>
        <v>8513614.8219131622</v>
      </c>
      <c r="F58" s="19">
        <f>F31-'D2C - Retail'!M104-'D2C - Retail'!M107-'D2C - Retail'!M110-'D2C - Retail'!M112-'D2C - Retail'!M113</f>
        <v>4980615.4485504096</v>
      </c>
      <c r="G58" s="19">
        <f>G31-'D2C - Retail'!N104-'D2C - Retail'!N107-'D2C - Retail'!N110-'D2C - Retail'!N112-'D2C - Retail'!N113</f>
        <v>139843.14743205017</v>
      </c>
      <c r="H58" s="19">
        <f>H31-'D2C - Retail'!O104-'D2C - Retail'!O107-'D2C - Retail'!O110-'D2C - Retail'!O112-'D2C - Retail'!O113</f>
        <v>3429064.1835872</v>
      </c>
      <c r="I58" s="19">
        <f>I31-'D2C - Retail'!P104-'D2C - Retail'!P107-'D2C - Retail'!P110-'D2C - Retail'!P112-'D2C - Retail'!P113</f>
        <v>5660712.7204484195</v>
      </c>
      <c r="J58" s="19">
        <f>J31-'D2C - Retail'!Q104-'D2C - Retail'!Q107-'D2C - Retail'!Q110-'D2C - Retail'!Q112-'D2C - Retail'!Q113</f>
        <v>6989761.191309168</v>
      </c>
      <c r="K58" s="19">
        <f>K31-'D2C - Retail'!R104-'D2C - Retail'!R107-'D2C - Retail'!R110-'D2C - Retail'!R112-'D2C - Retail'!R113</f>
        <v>7845050.8692353284</v>
      </c>
      <c r="L58" s="19">
        <f>L31-'D2C - Retail'!S104-'D2C - Retail'!S107-'D2C - Retail'!S110-'D2C - Retail'!S112-'D2C - Retail'!S113</f>
        <v>9522322.3393298872</v>
      </c>
      <c r="M58" s="19">
        <f>M31-'D2C - Retail'!T104-'D2C - Retail'!T107-'D2C - Retail'!T110-'D2C - Retail'!T112-'D2C - Retail'!T113</f>
        <v>16844660.330202356</v>
      </c>
      <c r="N58" s="19">
        <f>N31-'D2C - Retail'!U104-'D2C - Retail'!U107-'D2C - Retail'!U110-'D2C - Retail'!U112-'D2C - Retail'!U113</f>
        <v>18617088.3348024</v>
      </c>
      <c r="O58" s="19">
        <f>O31-'D2C - Retail'!V104-'D2C - Retail'!V107-'D2C - Retail'!V110-'D2C - Retail'!V112-'D2C - Retail'!V113</f>
        <v>15995196.569759313</v>
      </c>
      <c r="P58" s="19">
        <f>P31-'D2C - Retail'!W104-'D2C - Retail'!W107-'D2C - Retail'!W110-'D2C - Retail'!W112-'D2C - Retail'!W113</f>
        <v>18617967.650132634</v>
      </c>
      <c r="Q58" s="19">
        <f>Q31-'D2C - Retail'!X104-'D2C - Retail'!X107-'D2C - Retail'!X110-'D2C - Retail'!X112-'D2C - Retail'!X113</f>
        <v>21123692.370927565</v>
      </c>
      <c r="R58" s="19">
        <f>R31-'D2C - Retail'!Y104-'D2C - Retail'!Y107-'D2C - Retail'!Y110-'D2C - Retail'!Y112-'D2C - Retail'!Y113</f>
        <v>19187560.399676189</v>
      </c>
      <c r="S58" s="19">
        <f>S31-'D2C - Retail'!Z104-'D2C - Retail'!Z107-'D2C - Retail'!Z110-'D2C - Retail'!Z112-'D2C - Retail'!Z113</f>
        <v>20940982.947994426</v>
      </c>
      <c r="T58" s="19">
        <f>T31-'D2C - Retail'!AA104-'D2C - Retail'!AA107-'D2C - Retail'!AA110-'D2C - Retail'!AA112-'D2C - Retail'!AA113</f>
        <v>24756472.480234958</v>
      </c>
      <c r="U58" s="19">
        <f>U31-'D2C - Retail'!AB104-'D2C - Retail'!AB107-'D2C - Retail'!AB110-'D2C - Retail'!AB112-'D2C - Retail'!AB113</f>
        <v>27078755.923218295</v>
      </c>
      <c r="V58" s="19">
        <f>V31-'D2C - Retail'!AC104-'D2C - Retail'!AC107-'D2C - Retail'!AC110-'D2C - Retail'!AC112-'D2C - Retail'!AC113</f>
        <v>25037847.850740906</v>
      </c>
      <c r="W58" s="19">
        <f>W31-'D2C - Retail'!AD104-'D2C - Retail'!AD107-'D2C - Retail'!AD110-'D2C - Retail'!AD112-'D2C - Retail'!AD113</f>
        <v>19844092.470799014</v>
      </c>
      <c r="X58" s="19">
        <f>X31-'D2C - Retail'!AE104-'D2C - Retail'!AE107-'D2C - Retail'!AE110-'D2C - Retail'!AE112-'D2C - Retail'!AE113</f>
        <v>24600656.01484099</v>
      </c>
      <c r="Y58" s="19">
        <f>Y31-'D2C - Retail'!AF104-'D2C - Retail'!AF107-'D2C - Retail'!AF110-'D2C - Retail'!AF112-'D2C - Retail'!AF113</f>
        <v>25653653.508843362</v>
      </c>
      <c r="Z58" s="19">
        <f>Z31-'D2C - Retail'!AG104-'D2C - Retail'!AG107-'D2C - Retail'!AG110-'D2C - Retail'!AG112-'D2C - Retail'!AG113</f>
        <v>32854161.747707322</v>
      </c>
      <c r="AA58" s="19">
        <f>AA31-'D2C - Retail'!AH104-'D2C - Retail'!AH107-'D2C - Retail'!AH110-'D2C - Retail'!AH112-'D2C - Retail'!AH113</f>
        <v>37889775.278132826</v>
      </c>
      <c r="AB58" s="19">
        <f>AB31-'D2C - Retail'!AI104-'D2C - Retail'!AI107-'D2C - Retail'!AI110-'D2C - Retail'!AI112-'D2C - Retail'!AI113</f>
        <v>39085961.956495665</v>
      </c>
      <c r="AC58" s="19">
        <f>AC31-'D2C - Retail'!AJ104-'D2C - Retail'!AJ107-'D2C - Retail'!AJ110-'D2C - Retail'!AJ112-'D2C - Retail'!AJ113</f>
        <v>46832828.715064816</v>
      </c>
      <c r="AD58" s="19">
        <f>AD31-'D2C - Retail'!AK104-'D2C - Retail'!AK107-'D2C - Retail'!AK110-'D2C - Retail'!AK112-'D2C - Retail'!AK113</f>
        <v>43586570.365998298</v>
      </c>
      <c r="AE58" s="19">
        <f>AE31-'D2C - Retail'!AL104-'D2C - Retail'!AL107-'D2C - Retail'!AL110-'D2C - Retail'!AL112-'D2C - Retail'!AL113</f>
        <v>49711080.690968998</v>
      </c>
      <c r="AF58" s="19">
        <f>AF31-'D2C - Retail'!AM104-'D2C - Retail'!AM107-'D2C - Retail'!AM110-'D2C - Retail'!AM112-'D2C - Retail'!AM113</f>
        <v>53196754.349175639</v>
      </c>
      <c r="AG58" s="19">
        <f>AG31-'D2C - Retail'!AN104-'D2C - Retail'!AN107-'D2C - Retail'!AN110-'D2C - Retail'!AN112-'D2C - Retail'!AN113</f>
        <v>48600165.099911816</v>
      </c>
      <c r="AH58" s="19">
        <f>AH31-'D2C - Retail'!AO104-'D2C - Retail'!AO107-'D2C - Retail'!AO110-'D2C - Retail'!AO112-'D2C - Retail'!AO113</f>
        <v>48908478.294310734</v>
      </c>
      <c r="AI58" s="19">
        <f>AI31-'D2C - Retail'!AP104-'D2C - Retail'!AP107-'D2C - Retail'!AP110-'D2C - Retail'!AP112-'D2C - Retail'!AP113</f>
        <v>42171582.812541492</v>
      </c>
      <c r="AJ58" s="19">
        <f>AJ31-'D2C - Retail'!AQ104-'D2C - Retail'!AQ107-'D2C - Retail'!AQ110-'D2C - Retail'!AQ112-'D2C - Retail'!AQ113</f>
        <v>55921202.269442737</v>
      </c>
      <c r="AK58" s="19">
        <f>AK31-'D2C - Retail'!AR104-'D2C - Retail'!AR107-'D2C - Retail'!AR110-'D2C - Retail'!AR112-'D2C - Retail'!AR113</f>
        <v>55676287.752756208</v>
      </c>
      <c r="AL58" s="19">
        <f>AL31-'D2C - Retail'!AS104-'D2C - Retail'!AS107-'D2C - Retail'!AS110-'D2C - Retail'!AS112-'D2C - Retail'!AS113</f>
        <v>49742369.249887727</v>
      </c>
      <c r="AM58" s="19">
        <f>AM31-'D2C - Retail'!AT104-'D2C - Retail'!AT107-'D2C - Retail'!AT110-'D2C - Retail'!AT112-'D2C - Retail'!AT113</f>
        <v>47980963.501879826</v>
      </c>
      <c r="AN58" s="19">
        <f>AN31-'D2C - Retail'!AU104-'D2C - Retail'!AU107-'D2C - Retail'!AU110-'D2C - Retail'!AU112-'D2C - Retail'!AU113</f>
        <v>53126013.667321935</v>
      </c>
      <c r="AO58" s="19">
        <f>AO31-'D2C - Retail'!AV104-'D2C - Retail'!AV107-'D2C - Retail'!AV110-'D2C - Retail'!AV112-'D2C - Retail'!AV113</f>
        <v>60104245.482494093</v>
      </c>
      <c r="AP58" s="19">
        <f>AP31-'D2C - Retail'!AW104-'D2C - Retail'!AW107-'D2C - Retail'!AW110-'D2C - Retail'!AW112-'D2C - Retail'!AW113</f>
        <v>57691747.29930006</v>
      </c>
      <c r="AQ58" s="19">
        <f>AQ31-'D2C - Retail'!AX104-'D2C - Retail'!AX107-'D2C - Retail'!AX110-'D2C - Retail'!AX112-'D2C - Retail'!AX113</f>
        <v>62886046.808907084</v>
      </c>
      <c r="AR58" s="19">
        <f>AR31-'D2C - Retail'!AY104-'D2C - Retail'!AY107-'D2C - Retail'!AY110-'D2C - Retail'!AY112-'D2C - Retail'!AY113</f>
        <v>65779132.900865451</v>
      </c>
      <c r="AS58" s="19">
        <f>AS31-'D2C - Retail'!AZ104-'D2C - Retail'!AZ107-'D2C - Retail'!AZ110-'D2C - Retail'!AZ112-'D2C - Retail'!AZ113</f>
        <v>63092650.708682902</v>
      </c>
      <c r="AT58" s="19">
        <f>AT31-'D2C - Retail'!BA104-'D2C - Retail'!BA107-'D2C - Retail'!BA110-'D2C - Retail'!BA112-'D2C - Retail'!BA113</f>
        <v>53878786.307530306</v>
      </c>
      <c r="AU58" s="19">
        <f>AU31-'D2C - Retail'!BB104-'D2C - Retail'!BB107-'D2C - Retail'!BB110-'D2C - Retail'!BB112-'D2C - Retail'!BB113</f>
        <v>43890970.945764095</v>
      </c>
      <c r="AV58" s="19">
        <f>AV31-'D2C - Retail'!BC104-'D2C - Retail'!BC107-'D2C - Retail'!BC110-'D2C - Retail'!BC112-'D2C - Retail'!BC113</f>
        <v>63256141.995156802</v>
      </c>
      <c r="AW58" s="19">
        <f>AW31-'D2C - Retail'!BD104-'D2C - Retail'!BD107-'D2C - Retail'!BD110-'D2C - Retail'!BD112-'D2C - Retail'!BD113</f>
        <v>64576732.610779859</v>
      </c>
      <c r="AX58" s="19">
        <f>AX31-'D2C - Retail'!BE104-'D2C - Retail'!BE107-'D2C - Retail'!BE110-'D2C - Retail'!BE112-'D2C - Retail'!BE113</f>
        <v>74408306.632047921</v>
      </c>
      <c r="AY58" s="19">
        <f>AY31-'D2C - Retail'!BF104-'D2C - Retail'!BF107-'D2C - Retail'!BF110-'D2C - Retail'!BF112-'D2C - Retail'!BF113</f>
        <v>72763353.394765705</v>
      </c>
      <c r="AZ58" s="19">
        <f>AZ31-'D2C - Retail'!BG104-'D2C - Retail'!BG107-'D2C - Retail'!BG110-'D2C - Retail'!BG112-'D2C - Retail'!BG113</f>
        <v>70032671.067026064</v>
      </c>
      <c r="BA58" s="19">
        <f>BA31-'D2C - Retail'!BH104-'D2C - Retail'!BH107-'D2C - Retail'!BH110-'D2C - Retail'!BH112-'D2C - Retail'!BH113</f>
        <v>87029218.180393592</v>
      </c>
      <c r="BB58" s="19">
        <f>BB31-'D2C - Retail'!BI104-'D2C - Retail'!BI107-'D2C - Retail'!BI110-'D2C - Retail'!BI112-'D2C - Retail'!BI113</f>
        <v>86054065.396828935</v>
      </c>
      <c r="BC58" s="19">
        <f>BC31-'D2C - Retail'!BJ104-'D2C - Retail'!BJ107-'D2C - Retail'!BJ110-'D2C - Retail'!BJ112-'D2C - Retail'!BJ113</f>
        <v>79187223.138861939</v>
      </c>
      <c r="BD58" s="19">
        <f>BD31-'D2C - Retail'!BK104-'D2C - Retail'!BK107-'D2C - Retail'!BK110-'D2C - Retail'!BK112-'D2C - Retail'!BK113</f>
        <v>89351940.908555061</v>
      </c>
      <c r="BE58" s="19">
        <f>BE31-'D2C - Retail'!BL104-'D2C - Retail'!BL107-'D2C - Retail'!BL110-'D2C - Retail'!BL112-'D2C - Retail'!BL113</f>
        <v>92068123.206889316</v>
      </c>
      <c r="BF58" s="19">
        <f>BF31-'D2C - Retail'!BM104-'D2C - Retail'!BM107-'D2C - Retail'!BM110-'D2C - Retail'!BM112-'D2C - Retail'!BM113</f>
        <v>86990867.445878372</v>
      </c>
      <c r="BG58" s="19">
        <f>BG31-'D2C - Retail'!BN104-'D2C - Retail'!BN107-'D2C - Retail'!BN110-'D2C - Retail'!BN112-'D2C - Retail'!BN113</f>
        <v>79636428.049726114</v>
      </c>
      <c r="BH58" s="19">
        <f>BH31-'D2C - Retail'!BO104-'D2C - Retail'!BO107-'D2C - Retail'!BO110-'D2C - Retail'!BO112-'D2C - Retail'!BO113</f>
        <v>118832298.92153031</v>
      </c>
      <c r="BI58" s="19">
        <f>BI31-'D2C - Retail'!BP104-'D2C - Retail'!BP107-'D2C - Retail'!BP110-'D2C - Retail'!BP112-'D2C - Retail'!BP113</f>
        <v>105597774.1750423</v>
      </c>
      <c r="BJ58" s="19">
        <f>BJ31-'D2C - Retail'!BQ104-'D2C - Retail'!BQ107-'D2C - Retail'!BQ110-'D2C - Retail'!BQ112-'D2C - Retail'!BQ113</f>
        <v>116198468.44109172</v>
      </c>
      <c r="BK58" s="19">
        <f>BK31-'D2C - Retail'!BR104-'D2C - Retail'!BR107-'D2C - Retail'!BR110-'D2C - Retail'!BR112-'D2C - Retail'!BR113</f>
        <v>125196532.81125872</v>
      </c>
      <c r="BL58" s="19">
        <f>BL31-'D2C - Retail'!BS104-'D2C - Retail'!BS107-'D2C - Retail'!BS110-'D2C - Retail'!BS112-'D2C - Retail'!BS113</f>
        <v>116028197.22211903</v>
      </c>
      <c r="BM58" s="19">
        <f>BM31-'D2C - Retail'!BT104-'D2C - Retail'!BT107-'D2C - Retail'!BT110-'D2C - Retail'!BT112-'D2C - Retail'!BT113</f>
        <v>123469015.03677982</v>
      </c>
      <c r="BN58" s="19">
        <f>BN31-'D2C - Retail'!BU104-'D2C - Retail'!BU107-'D2C - Retail'!BU110-'D2C - Retail'!BU112-'D2C - Retail'!BU113</f>
        <v>121654529.88004778</v>
      </c>
      <c r="BO58" s="19">
        <f>BO31-'D2C - Retail'!BV104-'D2C - Retail'!BV107-'D2C - Retail'!BV110-'D2C - Retail'!BV112-'D2C - Retail'!BV113</f>
        <v>118819232.51953366</v>
      </c>
      <c r="BP58" s="19">
        <f>BP31-'D2C - Retail'!BW104-'D2C - Retail'!BW107-'D2C - Retail'!BW110-'D2C - Retail'!BW112-'D2C - Retail'!BW113</f>
        <v>118411195.77060993</v>
      </c>
      <c r="BQ58" s="19">
        <f>BQ31-'D2C - Retail'!BX104-'D2C - Retail'!BX107-'D2C - Retail'!BX110-'D2C - Retail'!BX112-'D2C - Retail'!BX113</f>
        <v>129054292.59970534</v>
      </c>
      <c r="BR58" s="19">
        <f>BR31-'D2C - Retail'!BY104-'D2C - Retail'!BY107-'D2C - Retail'!BY110-'D2C - Retail'!BY112-'D2C - Retail'!BY113</f>
        <v>113970070.29279795</v>
      </c>
      <c r="BS58" s="19">
        <f>BS31-'D2C - Retail'!BZ104-'D2C - Retail'!BZ107-'D2C - Retail'!BZ110-'D2C - Retail'!BZ112-'D2C - Retail'!BZ113</f>
        <v>104837071.78827488</v>
      </c>
      <c r="BT58" s="19">
        <f>BT31-'D2C - Retail'!CA104-'D2C - Retail'!CA107-'D2C - Retail'!CA110-'D2C - Retail'!CA112-'D2C - Retail'!CA113</f>
        <v>133580029.8757036</v>
      </c>
      <c r="BU58" s="19">
        <f>BU31-'D2C - Retail'!CB104-'D2C - Retail'!CB107-'D2C - Retail'!CB110-'D2C - Retail'!CB112-'D2C - Retail'!CB113</f>
        <v>121960653.31405343</v>
      </c>
      <c r="BV58" s="19">
        <f>BV31-'D2C - Retail'!CC104-'D2C - Retail'!CC107-'D2C - Retail'!CC110-'D2C - Retail'!CC112-'D2C - Retail'!CC113</f>
        <v>147228165.84824249</v>
      </c>
      <c r="BW58" s="19">
        <f>BW31-'D2C - Retail'!CD104-'D2C - Retail'!CD107-'D2C - Retail'!CD110-'D2C - Retail'!CD112-'D2C - Retail'!CD113</f>
        <v>151044355.42386734</v>
      </c>
      <c r="BX58" s="19">
        <f>BX31-'D2C - Retail'!CE104-'D2C - Retail'!CE107-'D2C - Retail'!CE110-'D2C - Retail'!CE112-'D2C - Retail'!CE113</f>
        <v>139480109.36571655</v>
      </c>
      <c r="BY58" s="19">
        <f>BY31-'D2C - Retail'!CF104-'D2C - Retail'!CF107-'D2C - Retail'!CF110-'D2C - Retail'!CF112-'D2C - Retail'!CF113</f>
        <v>164043319.95436549</v>
      </c>
      <c r="BZ58" s="19">
        <f>BZ31-'D2C - Retail'!CG104-'D2C - Retail'!CG107-'D2C - Retail'!CG110-'D2C - Retail'!CG112-'D2C - Retail'!CG113</f>
        <v>149063988.01922327</v>
      </c>
      <c r="CA58" s="19">
        <f>CA31-'D2C - Retail'!CH104-'D2C - Retail'!CH107-'D2C - Retail'!CH110-'D2C - Retail'!CH112-'D2C - Retail'!CH113</f>
        <v>145982641.09865996</v>
      </c>
      <c r="CB58" s="19">
        <f>CB31-'D2C - Retail'!CI104-'D2C - Retail'!CI107-'D2C - Retail'!CI110-'D2C - Retail'!CI112-'D2C - Retail'!CI113</f>
        <v>144738815.28948939</v>
      </c>
      <c r="CC58" s="19">
        <f>CC31-'D2C - Retail'!CJ104-'D2C - Retail'!CJ107-'D2C - Retail'!CJ110-'D2C - Retail'!CJ112-'D2C - Retail'!CJ113</f>
        <v>157593694.1209527</v>
      </c>
      <c r="CD58" s="19">
        <f>CD31-'D2C - Retail'!CK104-'D2C - Retail'!CK107-'D2C - Retail'!CK110-'D2C - Retail'!CK112-'D2C - Retail'!CK113</f>
        <v>138986804.10050744</v>
      </c>
      <c r="CE58" s="19">
        <f>CE31-'D2C - Retail'!CL104-'D2C - Retail'!CL107-'D2C - Retail'!CL110-'D2C - Retail'!CL112-'D2C - Retail'!CL113</f>
        <v>127622876.71906525</v>
      </c>
      <c r="CF58" s="19">
        <f>CF31-'D2C - Retail'!CM104-'D2C - Retail'!CM107-'D2C - Retail'!CM110-'D2C - Retail'!CM112-'D2C - Retail'!CM113</f>
        <v>161884637.52666643</v>
      </c>
      <c r="CG58" s="19">
        <f>CG31-'D2C - Retail'!CN104-'D2C - Retail'!CN107-'D2C - Retail'!CN110-'D2C - Retail'!CN112-'D2C - Retail'!CN113</f>
        <v>147108932.68287274</v>
      </c>
      <c r="CH58" s="19">
        <f>CH31-'D2C - Retail'!CO104-'D2C - Retail'!CO107-'D2C - Retail'!CO110-'D2C - Retail'!CO112-'D2C - Retail'!CO113</f>
        <v>176817167.60973585</v>
      </c>
      <c r="CI58" s="19">
        <f>CI31-'D2C - Retail'!CP104-'D2C - Retail'!CP107-'D2C - Retail'!CP110-'D2C - Retail'!CP112-'D2C - Retail'!CP113</f>
        <v>180634197.74539745</v>
      </c>
      <c r="CJ58" s="19">
        <f>CJ31-'D2C - Retail'!CQ104-'D2C - Retail'!CQ107-'D2C - Retail'!CQ110-'D2C - Retail'!CQ112-'D2C - Retail'!CQ113</f>
        <v>166055610.09054095</v>
      </c>
      <c r="CK58" s="19">
        <f>CK31-'D2C - Retail'!CR104-'D2C - Retail'!CR107-'D2C - Retail'!CR110-'D2C - Retail'!CR112-'D2C - Retail'!CR113</f>
        <v>193035282.99343026</v>
      </c>
      <c r="CL58" s="19">
        <f>CL31-'D2C - Retail'!CS104-'D2C - Retail'!CS107-'D2C - Retail'!CS110-'D2C - Retail'!CS112-'D2C - Retail'!CS113</f>
        <v>168118622.89846224</v>
      </c>
      <c r="CM58" s="19">
        <f>CM31-'D2C - Retail'!CT104-'D2C - Retail'!CT107-'D2C - Retail'!CT110-'D2C - Retail'!CT112-'D2C - Retail'!CT113</f>
        <v>164496582.23466274</v>
      </c>
      <c r="CN58" s="19">
        <f>CN31-'D2C - Retail'!CU104-'D2C - Retail'!CU107-'D2C - Retail'!CU110-'D2C - Retail'!CU112-'D2C - Retail'!CU113</f>
        <v>162999606.95954424</v>
      </c>
      <c r="CO58" s="19">
        <f>CO31-'D2C - Retail'!CV104-'D2C - Retail'!CV107-'D2C - Retail'!CV110-'D2C - Retail'!CV112-'D2C - Retail'!CV113</f>
        <v>177371137.39448249</v>
      </c>
      <c r="CP58" s="19">
        <f>CP31-'D2C - Retail'!CW104-'D2C - Retail'!CW107-'D2C - Retail'!CW110-'D2C - Retail'!CW112-'D2C - Retail'!CW113</f>
        <v>156299190.73566505</v>
      </c>
      <c r="CQ58" s="19">
        <f>CQ31-'D2C - Retail'!CX104-'D2C - Retail'!CX107-'D2C - Retail'!CX110-'D2C - Retail'!CX112-'D2C - Retail'!CX113</f>
        <v>143362939.61908934</v>
      </c>
      <c r="CR58" s="19">
        <f>CR31-'D2C - Retail'!CY104-'D2C - Retail'!CY107-'D2C - Retail'!CY110-'D2C - Retail'!CY112-'D2C - Retail'!CY113</f>
        <v>181792833.03769946</v>
      </c>
      <c r="CS58" s="19">
        <f>CS31-'D2C - Retail'!CZ104-'D2C - Retail'!CZ107-'D2C - Retail'!CZ110-'D2C - Retail'!CZ112-'D2C - Retail'!CZ113</f>
        <v>165113511.3578319</v>
      </c>
      <c r="CT58" s="19">
        <f>CT31-'D2C - Retail'!DA104-'D2C - Retail'!DA107-'D2C - Retail'!DA110-'D2C - Retail'!DA112-'D2C - Retail'!DA113</f>
        <v>198398688.49199927</v>
      </c>
      <c r="CU58" s="19">
        <f>CU31-'D2C - Retail'!DB104-'D2C - Retail'!DB107-'D2C - Retail'!DB110-'D2C - Retail'!DB112-'D2C - Retail'!DB113</f>
        <v>202627124.60362005</v>
      </c>
      <c r="CV58" s="19">
        <f>CV31-'D2C - Retail'!DC104-'D2C - Retail'!DC107-'D2C - Retail'!DC110-'D2C - Retail'!DC112-'D2C - Retail'!DC113</f>
        <v>186177972.59775838</v>
      </c>
      <c r="CW58" s="19">
        <f>CW31-'D2C - Retail'!DD104-'D2C - Retail'!DD107-'D2C - Retail'!DD110-'D2C - Retail'!DD112-'D2C - Retail'!DD113</f>
        <v>216365777.29435197</v>
      </c>
      <c r="CX58" s="168"/>
      <c r="CY58" s="19">
        <f t="shared" si="196"/>
        <v>146494405.40614292</v>
      </c>
      <c r="CZ58" s="19">
        <f t="shared" si="197"/>
        <v>139680226.20676404</v>
      </c>
      <c r="DA58" s="19">
        <f t="shared" si="198"/>
        <v>161339859.27208668</v>
      </c>
      <c r="DB58" s="19">
        <f t="shared" si="199"/>
        <v>161211222.65169585</v>
      </c>
      <c r="DC58" s="19">
        <f t="shared" si="200"/>
        <v>186356927.0090726</v>
      </c>
      <c r="DD58" s="19">
        <f t="shared" si="201"/>
        <v>160862407.9619773</v>
      </c>
      <c r="DE58" s="19">
        <f t="shared" si="202"/>
        <v>202241181.2379846</v>
      </c>
      <c r="DF58" s="19">
        <f t="shared" si="203"/>
        <v>229825242.64218533</v>
      </c>
      <c r="DG58" s="19">
        <f t="shared" si="204"/>
        <v>254593229.44424593</v>
      </c>
      <c r="DH58" s="19">
        <f t="shared" si="205"/>
        <v>258695418.70249379</v>
      </c>
      <c r="DI58" s="19">
        <f t="shared" si="206"/>
        <v>340628541.53766429</v>
      </c>
      <c r="DJ58" s="19">
        <f t="shared" si="207"/>
        <v>364693745.07015759</v>
      </c>
      <c r="DK58" s="19">
        <f t="shared" si="208"/>
        <v>358884958.17019135</v>
      </c>
      <c r="DL58" s="19">
        <f t="shared" si="209"/>
        <v>347861434.68077815</v>
      </c>
      <c r="DM58" s="19">
        <f t="shared" si="210"/>
        <v>402768849.03799951</v>
      </c>
      <c r="DN58" s="19">
        <f t="shared" si="211"/>
        <v>454567784.74394941</v>
      </c>
      <c r="DO58" s="19">
        <f t="shared" si="212"/>
        <v>439785444.40737259</v>
      </c>
      <c r="DP58" s="19">
        <f t="shared" si="213"/>
        <v>424203374.94052535</v>
      </c>
      <c r="DQ58" s="19">
        <f t="shared" si="214"/>
        <v>485810737.81927502</v>
      </c>
      <c r="DR58" s="19">
        <f t="shared" si="215"/>
        <v>539725090.82936859</v>
      </c>
      <c r="DS58" s="19">
        <f t="shared" si="216"/>
        <v>495614812.09266919</v>
      </c>
      <c r="DT58" s="19">
        <f t="shared" si="217"/>
        <v>477033267.74923694</v>
      </c>
      <c r="DU58" s="19">
        <f t="shared" si="218"/>
        <v>545305032.88753057</v>
      </c>
      <c r="DV58" s="19">
        <f t="shared" si="219"/>
        <v>605170874.4957304</v>
      </c>
      <c r="DX58" s="19">
        <f t="shared" si="220"/>
        <v>608725713.53668952</v>
      </c>
      <c r="DY58" s="19">
        <f t="shared" si="221"/>
        <v>779285758.85121977</v>
      </c>
      <c r="DZ58" s="19">
        <f t="shared" si="222"/>
        <v>1218610934.7545617</v>
      </c>
      <c r="EA58" s="19">
        <f t="shared" si="223"/>
        <v>1564083026.6329184</v>
      </c>
      <c r="EB58" s="19">
        <f t="shared" si="224"/>
        <v>1889524647.9965415</v>
      </c>
      <c r="EC58" s="770">
        <f t="shared" si="225"/>
        <v>2123123987.225167</v>
      </c>
    </row>
    <row r="59" spans="2:133" x14ac:dyDescent="0.2">
      <c r="B59" s="155" t="s">
        <v>237</v>
      </c>
      <c r="C59" s="19">
        <f>C32-'D2C Online'!AA70-'D2C Online'!AA72-'D2C Online'!AA73-'D2C Online'!AA75-'D2C Online'!AA76</f>
        <v>-19750788.643958684</v>
      </c>
      <c r="D59" s="19">
        <f>D32-'D2C Online'!AB70-'D2C Online'!AB72-'D2C Online'!AB73-'D2C Online'!AB75-'D2C Online'!AB76</f>
        <v>-9997324.8749366403</v>
      </c>
      <c r="E59" s="19">
        <f>E32-'D2C Online'!AC70-'D2C Online'!AC72-'D2C Online'!AC73-'D2C Online'!AC75-'D2C Online'!AC76</f>
        <v>-13043967.465967715</v>
      </c>
      <c r="F59" s="19">
        <f>F32-'D2C Online'!AD70-'D2C Online'!AD72-'D2C Online'!AD73-'D2C Online'!AD75-'D2C Online'!AD76</f>
        <v>-10037780.857366543</v>
      </c>
      <c r="G59" s="19">
        <f>G32-'D2C Online'!AE70-'D2C Online'!AE72-'D2C Online'!AE73-'D2C Online'!AE75-'D2C Online'!AE76</f>
        <v>-5329239.1810727436</v>
      </c>
      <c r="H59" s="19">
        <f>H32-'D2C Online'!AF70-'D2C Online'!AF72-'D2C Online'!AF73-'D2C Online'!AF75-'D2C Online'!AF76</f>
        <v>-9128929.2865553629</v>
      </c>
      <c r="I59" s="19">
        <f>I32-'D2C Online'!AG70-'D2C Online'!AG72-'D2C Online'!AG73-'D2C Online'!AG75-'D2C Online'!AG76</f>
        <v>-5971492.1353802076</v>
      </c>
      <c r="J59" s="19">
        <f>J32-'D2C Online'!AH70-'D2C Online'!AH72-'D2C Online'!AH73-'D2C Online'!AH75-'D2C Online'!AH76</f>
        <v>-2152799.8366391328</v>
      </c>
      <c r="K59" s="19">
        <f>K32-'D2C Online'!AI70-'D2C Online'!AI72-'D2C Online'!AI73-'D2C Online'!AI75-'D2C Online'!AI76</f>
        <v>-2405906.4559507063</v>
      </c>
      <c r="L59" s="19">
        <f>L32-'D2C Online'!AJ70-'D2C Online'!AJ72-'D2C Online'!AJ73-'D2C Online'!AJ75-'D2C Online'!AJ76</f>
        <v>-7117350.7709173029</v>
      </c>
      <c r="M59" s="19">
        <f>M32-'D2C Online'!AK70-'D2C Online'!AK72-'D2C Online'!AK73-'D2C Online'!AK75-'D2C Online'!AK76</f>
        <v>-13025564.965524537</v>
      </c>
      <c r="N59" s="19">
        <f>N32-'D2C Online'!AL70-'D2C Online'!AL72-'D2C Online'!AL73-'D2C Online'!AL75-'D2C Online'!AL76</f>
        <v>-16038685.63600805</v>
      </c>
      <c r="O59" s="19">
        <f>O32-'D2C Online'!AM70-'D2C Online'!AM72-'D2C Online'!AM73-'D2C Online'!AM75-'D2C Online'!AM76</f>
        <v>-13350012.786817634</v>
      </c>
      <c r="P59" s="19">
        <f>P32-'D2C Online'!AN70-'D2C Online'!AN72-'D2C Online'!AN73-'D2C Online'!AN75-'D2C Online'!AN76</f>
        <v>-6693687.1196300983</v>
      </c>
      <c r="Q59" s="19">
        <f>Q32-'D2C Online'!AO70-'D2C Online'!AO72-'D2C Online'!AO73-'D2C Online'!AO75-'D2C Online'!AO76</f>
        <v>327411.99931322999</v>
      </c>
      <c r="R59" s="19">
        <f>R32-'D2C Online'!AP70-'D2C Online'!AP72-'D2C Online'!AP73-'D2C Online'!AP75-'D2C Online'!AP76</f>
        <v>1820490.3973062113</v>
      </c>
      <c r="S59" s="19">
        <f>S32-'D2C Online'!AQ70-'D2C Online'!AQ72-'D2C Online'!AQ73-'D2C Online'!AQ75-'D2C Online'!AQ76</f>
        <v>-869219.68844586378</v>
      </c>
      <c r="T59" s="19">
        <f>T32-'D2C Online'!AR70-'D2C Online'!AR72-'D2C Online'!AR73-'D2C Online'!AR75-'D2C Online'!AR76</f>
        <v>3382894.6837743418</v>
      </c>
      <c r="U59" s="19">
        <f>U32-'D2C Online'!AS70-'D2C Online'!AS72-'D2C Online'!AS73-'D2C Online'!AS75-'D2C Online'!AS76</f>
        <v>-964747.88435047807</v>
      </c>
      <c r="V59" s="19">
        <f>V32-'D2C Online'!AT70-'D2C Online'!AT72-'D2C Online'!AT73-'D2C Online'!AT75-'D2C Online'!AT76</f>
        <v>-348476.89358653908</v>
      </c>
      <c r="W59" s="19">
        <f>W32-'D2C Online'!AU70-'D2C Online'!AU72-'D2C Online'!AU73-'D2C Online'!AU75-'D2C Online'!AU76</f>
        <v>-6638896.2994793709</v>
      </c>
      <c r="X59" s="19">
        <f>X32-'D2C Online'!AV70-'D2C Online'!AV72-'D2C Online'!AV73-'D2C Online'!AV75-'D2C Online'!AV76</f>
        <v>-5450750.0440359823</v>
      </c>
      <c r="Y59" s="19">
        <f>Y32-'D2C Online'!AW70-'D2C Online'!AW72-'D2C Online'!AW73-'D2C Online'!AW75-'D2C Online'!AW76</f>
        <v>-7408394.3637293996</v>
      </c>
      <c r="Z59" s="19">
        <f>Z32-'D2C Online'!AX70-'D2C Online'!AX72-'D2C Online'!AX73-'D2C Online'!AX75-'D2C Online'!AX76</f>
        <v>-3468666.506914258</v>
      </c>
      <c r="AA59" s="19">
        <f>AA32-'D2C Online'!AY70-'D2C Online'!AY72-'D2C Online'!AY73-'D2C Online'!AY75-'D2C Online'!AY76</f>
        <v>-229022.96606603044</v>
      </c>
      <c r="AB59" s="19">
        <f>AB32-'D2C Online'!AZ70-'D2C Online'!AZ72-'D2C Online'!AZ73-'D2C Online'!AZ75-'D2C Online'!AZ76</f>
        <v>-3059295.5075045917</v>
      </c>
      <c r="AC59" s="19">
        <f>AC32-'D2C Online'!BA70-'D2C Online'!BA72-'D2C Online'!BA73-'D2C Online'!BA75-'D2C Online'!BA76</f>
        <v>-664682.75548525574</v>
      </c>
      <c r="AD59" s="19">
        <f>AD32-'D2C Online'!BB70-'D2C Online'!BB72-'D2C Online'!BB73-'D2C Online'!BB75-'D2C Online'!BB76</f>
        <v>8768459.6635604836</v>
      </c>
      <c r="AE59" s="19">
        <f>AE32-'D2C Online'!BC70-'D2C Online'!BC72-'D2C Online'!BC73-'D2C Online'!BC75-'D2C Online'!BC76</f>
        <v>26341246.674778491</v>
      </c>
      <c r="AF59" s="19">
        <f>AF32-'D2C Online'!BD70-'D2C Online'!BD72-'D2C Online'!BD73-'D2C Online'!BD75-'D2C Online'!BD76</f>
        <v>31723267.985223353</v>
      </c>
      <c r="AG59" s="19">
        <f>AG32-'D2C Online'!BE70-'D2C Online'!BE72-'D2C Online'!BE73-'D2C Online'!BE75-'D2C Online'!BE76</f>
        <v>21846790.545924719</v>
      </c>
      <c r="AH59" s="19">
        <f>AH32-'D2C Online'!BF70-'D2C Online'!BF72-'D2C Online'!BF73-'D2C Online'!BF75-'D2C Online'!BF76</f>
        <v>27468637.262703501</v>
      </c>
      <c r="AI59" s="19">
        <f>AI32-'D2C Online'!BG70-'D2C Online'!BG72-'D2C Online'!BG73-'D2C Online'!BG75-'D2C Online'!BG76</f>
        <v>22789506.183174476</v>
      </c>
      <c r="AJ59" s="19">
        <f>AJ32-'D2C Online'!BH70-'D2C Online'!BH72-'D2C Online'!BH73-'D2C Online'!BH75-'D2C Online'!BH76</f>
        <v>40214609.865467981</v>
      </c>
      <c r="AK59" s="19">
        <f>AK32-'D2C Online'!BI70-'D2C Online'!BI72-'D2C Online'!BI73-'D2C Online'!BI75-'D2C Online'!BI76</f>
        <v>36204005.562761642</v>
      </c>
      <c r="AL59" s="19">
        <f>AL32-'D2C Online'!BJ70-'D2C Online'!BJ72-'D2C Online'!BJ73-'D2C Online'!BJ75-'D2C Online'!BJ76</f>
        <v>36183299.906553991</v>
      </c>
      <c r="AM59" s="19">
        <f>AM32-'D2C Online'!BK70-'D2C Online'!BK72-'D2C Online'!BK73-'D2C Online'!BK75-'D2C Online'!BK76</f>
        <v>39429549.408543684</v>
      </c>
      <c r="AN59" s="19">
        <f>AN32-'D2C Online'!BL70-'D2C Online'!BL72-'D2C Online'!BL73-'D2C Online'!BL75-'D2C Online'!BL76</f>
        <v>34824144.382871129</v>
      </c>
      <c r="AO59" s="19">
        <f>AO32-'D2C Online'!BM70-'D2C Online'!BM72-'D2C Online'!BM73-'D2C Online'!BM75-'D2C Online'!BM76</f>
        <v>45506271.661984481</v>
      </c>
      <c r="AP59" s="19">
        <f>AP32-'D2C Online'!BN70-'D2C Online'!BN72-'D2C Online'!BN73-'D2C Online'!BN75-'D2C Online'!BN76</f>
        <v>41227520.48855906</v>
      </c>
      <c r="AQ59" s="19">
        <f>AQ32-'D2C Online'!BO70-'D2C Online'!BO72-'D2C Online'!BO73-'D2C Online'!BO75-'D2C Online'!BO76</f>
        <v>44243076.05605983</v>
      </c>
      <c r="AR59" s="19">
        <f>AR32-'D2C Online'!BP70-'D2C Online'!BP72-'D2C Online'!BP73-'D2C Online'!BP75-'D2C Online'!BP76</f>
        <v>50577292.220090784</v>
      </c>
      <c r="AS59" s="19">
        <f>AS32-'D2C Online'!BQ70-'D2C Online'!BQ72-'D2C Online'!BQ73-'D2C Online'!BQ75-'D2C Online'!BQ76</f>
        <v>49433007.431427233</v>
      </c>
      <c r="AT59" s="19">
        <f>AT32-'D2C Online'!BR70-'D2C Online'!BR72-'D2C Online'!BR73-'D2C Online'!BR75-'D2C Online'!BR76</f>
        <v>46937296.607509963</v>
      </c>
      <c r="AU59" s="19">
        <f>AU32-'D2C Online'!BS70-'D2C Online'!BS72-'D2C Online'!BS73-'D2C Online'!BS75-'D2C Online'!BS76</f>
        <v>48097614.059657767</v>
      </c>
      <c r="AV59" s="19">
        <f>AV32-'D2C Online'!BT70-'D2C Online'!BT72-'D2C Online'!BT73-'D2C Online'!BT75-'D2C Online'!BT76</f>
        <v>53221990.320882432</v>
      </c>
      <c r="AW59" s="19">
        <f>AW32-'D2C Online'!BU70-'D2C Online'!BU72-'D2C Online'!BU73-'D2C Online'!BU75-'D2C Online'!BU76</f>
        <v>47219249.962493934</v>
      </c>
      <c r="AX59" s="19">
        <f>AX32-'D2C Online'!BV70-'D2C Online'!BV72-'D2C Online'!BV73-'D2C Online'!BV75-'D2C Online'!BV76</f>
        <v>52500003.904569089</v>
      </c>
      <c r="AY59" s="19">
        <f>AY32-'D2C Online'!BW70-'D2C Online'!BW72-'D2C Online'!BW73-'D2C Online'!BW75-'D2C Online'!BW76</f>
        <v>57878515.586493477</v>
      </c>
      <c r="AZ59" s="19">
        <f>AZ32-'D2C Online'!BX70-'D2C Online'!BX72-'D2C Online'!BX73-'D2C Online'!BX75-'D2C Online'!BX76</f>
        <v>51729503.348294683</v>
      </c>
      <c r="BA59" s="19">
        <f>BA32-'D2C Online'!BY70-'D2C Online'!BY72-'D2C Online'!BY73-'D2C Online'!BY75-'D2C Online'!BY76</f>
        <v>72387264.318036169</v>
      </c>
      <c r="BB59" s="19">
        <f>BB32-'D2C Online'!BZ70-'D2C Online'!BZ72-'D2C Online'!BZ73-'D2C Online'!BZ75-'D2C Online'!BZ76</f>
        <v>62263503.499112695</v>
      </c>
      <c r="BC59" s="19">
        <f>BC32-'D2C Online'!CA70-'D2C Online'!CA72-'D2C Online'!CA73-'D2C Online'!CA75-'D2C Online'!CA76</f>
        <v>64059431.195158623</v>
      </c>
      <c r="BD59" s="19">
        <f>BD32-'D2C Online'!CB70-'D2C Online'!CB72-'D2C Online'!CB73-'D2C Online'!CB75-'D2C Online'!CB76</f>
        <v>66944013.784459449</v>
      </c>
      <c r="BE59" s="19">
        <f>BE32-'D2C Online'!CC70-'D2C Online'!CC72-'D2C Online'!CC73-'D2C Online'!CC75-'D2C Online'!CC76</f>
        <v>71789764.392868981</v>
      </c>
      <c r="BF59" s="19">
        <f>BF32-'D2C Online'!CD70-'D2C Online'!CD72-'D2C Online'!CD73-'D2C Online'!CD75-'D2C Online'!CD76</f>
        <v>66322143.019444697</v>
      </c>
      <c r="BG59" s="19">
        <f>BG32-'D2C Online'!CE70-'D2C Online'!CE72-'D2C Online'!CE73-'D2C Online'!CE75-'D2C Online'!CE76</f>
        <v>71071561.493464559</v>
      </c>
      <c r="BH59" s="19">
        <f>BH32-'D2C Online'!CF70-'D2C Online'!CF72-'D2C Online'!CF73-'D2C Online'!CF75-'D2C Online'!CF76</f>
        <v>65544887.17458865</v>
      </c>
      <c r="BI59" s="19">
        <f>BI32-'D2C Online'!CG70-'D2C Online'!CG72-'D2C Online'!CG73-'D2C Online'!CG75-'D2C Online'!CG76</f>
        <v>63137555.877676688</v>
      </c>
      <c r="BJ59" s="19">
        <f>BJ32-'D2C Online'!CH70-'D2C Online'!CH72-'D2C Online'!CH73-'D2C Online'!CH75-'D2C Online'!CH76</f>
        <v>69833364.537292823</v>
      </c>
      <c r="BK59" s="19">
        <f>BK32-'D2C Online'!CI70-'D2C Online'!CI72-'D2C Online'!CI73-'D2C Online'!CI75-'D2C Online'!CI76</f>
        <v>74336219.558482811</v>
      </c>
      <c r="BL59" s="19">
        <f>BL32-'D2C Online'!CJ70-'D2C Online'!CJ72-'D2C Online'!CJ73-'D2C Online'!CJ75-'D2C Online'!CJ76</f>
        <v>58388104.87081708</v>
      </c>
      <c r="BM59" s="19">
        <f>BM32-'D2C Online'!CK70-'D2C Online'!CK72-'D2C Online'!CK73-'D2C Online'!CK75-'D2C Online'!CK76</f>
        <v>66573026.457994439</v>
      </c>
      <c r="BN59" s="19">
        <f>BN32-'D2C Online'!CL70-'D2C Online'!CL72-'D2C Online'!CL73-'D2C Online'!CL75-'D2C Online'!CL76</f>
        <v>73622932.355851322</v>
      </c>
      <c r="BO59" s="19">
        <f>BO32-'D2C Online'!CM70-'D2C Online'!CM72-'D2C Online'!CM73-'D2C Online'!CM75-'D2C Online'!CM76</f>
        <v>74372241.333155632</v>
      </c>
      <c r="BP59" s="19">
        <f>BP32-'D2C Online'!CN70-'D2C Online'!CN72-'D2C Online'!CN73-'D2C Online'!CN75-'D2C Online'!CN76</f>
        <v>74319035.96198611</v>
      </c>
      <c r="BQ59" s="19">
        <f>BQ32-'D2C Online'!CO70-'D2C Online'!CO72-'D2C Online'!CO73-'D2C Online'!CO75-'D2C Online'!CO76</f>
        <v>75440782.537477255</v>
      </c>
      <c r="BR59" s="19">
        <f>BR32-'D2C Online'!CP70-'D2C Online'!CP72-'D2C Online'!CP73-'D2C Online'!CP75-'D2C Online'!CP76</f>
        <v>71086809.663436532</v>
      </c>
      <c r="BS59" s="19">
        <f>BS32-'D2C Online'!CQ70-'D2C Online'!CQ72-'D2C Online'!CQ73-'D2C Online'!CQ75-'D2C Online'!CQ76</f>
        <v>77764083.745213851</v>
      </c>
      <c r="BT59" s="19">
        <f>BT32-'D2C Online'!CR70-'D2C Online'!CR72-'D2C Online'!CR73-'D2C Online'!CR75-'D2C Online'!CR76</f>
        <v>75613699.993778259</v>
      </c>
      <c r="BU59" s="19">
        <f>BU32-'D2C Online'!CS70-'D2C Online'!CS72-'D2C Online'!CS73-'D2C Online'!CS75-'D2C Online'!CS76</f>
        <v>75791051.231010064</v>
      </c>
      <c r="BV59" s="19">
        <f>BV32-'D2C Online'!CT70-'D2C Online'!CT72-'D2C Online'!CT73-'D2C Online'!CT75-'D2C Online'!CT76</f>
        <v>93034025.270871878</v>
      </c>
      <c r="BW59" s="19">
        <f>BW32-'D2C Online'!CU70-'D2C Online'!CU72-'D2C Online'!CU73-'D2C Online'!CU75-'D2C Online'!CU76</f>
        <v>100243353.06434461</v>
      </c>
      <c r="BX59" s="19">
        <f>BX32-'D2C Online'!CV70-'D2C Online'!CV72-'D2C Online'!CV73-'D2C Online'!CV75-'D2C Online'!CV76</f>
        <v>85939975.781599849</v>
      </c>
      <c r="BY59" s="19">
        <f>BY32-'D2C Online'!CW70-'D2C Online'!CW72-'D2C Online'!CW73-'D2C Online'!CW75-'D2C Online'!CW76</f>
        <v>92865541.595501676</v>
      </c>
      <c r="BZ59" s="19">
        <f>BZ32-'D2C Online'!CX70-'D2C Online'!CX72-'D2C Online'!CX73-'D2C Online'!CX75-'D2C Online'!CX76</f>
        <v>86434309.542197764</v>
      </c>
      <c r="CA59" s="19">
        <f>CA32-'D2C Online'!CY70-'D2C Online'!CY72-'D2C Online'!CY73-'D2C Online'!CY75-'D2C Online'!CY76</f>
        <v>87314008.326457396</v>
      </c>
      <c r="CB59" s="19">
        <f>CB32-'D2C Online'!CZ70-'D2C Online'!CZ72-'D2C Online'!CZ73-'D2C Online'!CZ75-'D2C Online'!CZ76</f>
        <v>87251544.507456765</v>
      </c>
      <c r="CC59" s="19">
        <f>CC32-'D2C Online'!DA70-'D2C Online'!DA72-'D2C Online'!DA73-'D2C Online'!DA75-'D2C Online'!DA76</f>
        <v>88568490.024721161</v>
      </c>
      <c r="CD59" s="19">
        <f>CD32-'D2C Online'!DB70-'D2C Online'!DB72-'D2C Online'!DB73-'D2C Online'!DB75-'D2C Online'!DB76</f>
        <v>83456867.503165126</v>
      </c>
      <c r="CE59" s="19">
        <f>CE32-'D2C Online'!DC70-'D2C Online'!DC72-'D2C Online'!DC73-'D2C Online'!DC75-'D2C Online'!DC76</f>
        <v>91296076.787751064</v>
      </c>
      <c r="CF59" s="19">
        <f>CF32-'D2C Online'!DD70-'D2C Online'!DD72-'D2C Online'!DD73-'D2C Online'!DD75-'D2C Online'!DD76</f>
        <v>88771497.436473355</v>
      </c>
      <c r="CG59" s="19">
        <f>CG32-'D2C Online'!DE70-'D2C Online'!DE72-'D2C Online'!DE73-'D2C Online'!DE75-'D2C Online'!DE76</f>
        <v>88979710.166475654</v>
      </c>
      <c r="CH59" s="19">
        <f>CH32-'D2C Online'!DF70-'D2C Online'!DF72-'D2C Online'!DF73-'D2C Online'!DF75-'D2C Online'!DF76</f>
        <v>109223192.8409476</v>
      </c>
      <c r="CI59" s="19">
        <f>CI32-'D2C Online'!DG70-'D2C Online'!DG72-'D2C Online'!DG73-'D2C Online'!DG75-'D2C Online'!DG76</f>
        <v>117687040.31554043</v>
      </c>
      <c r="CJ59" s="19">
        <f>CJ32-'D2C Online'!DH70-'D2C Online'!DH72-'D2C Online'!DH73-'D2C Online'!DH75-'D2C Online'!DH76</f>
        <v>100894683.64085628</v>
      </c>
      <c r="CK59" s="19">
        <f>CK32-'D2C Online'!DI70-'D2C Online'!DI72-'D2C Online'!DI73-'D2C Online'!DI75-'D2C Online'!DI76</f>
        <v>109025390.74744546</v>
      </c>
      <c r="CL59" s="19">
        <f>CL32-'D2C Online'!DJ70-'D2C Online'!DJ72-'D2C Online'!DJ73-'D2C Online'!DJ75-'D2C Online'!DJ76</f>
        <v>101449184.64901368</v>
      </c>
      <c r="CM59" s="19">
        <f>CM32-'D2C Online'!DK70-'D2C Online'!DK72-'D2C Online'!DK73-'D2C Online'!DK75-'D2C Online'!DK76</f>
        <v>102481699.68699521</v>
      </c>
      <c r="CN59" s="19">
        <f>CN32-'D2C Online'!DL70-'D2C Online'!DL72-'D2C Online'!DL73-'D2C Online'!DL75-'D2C Online'!DL76</f>
        <v>102408385.0097421</v>
      </c>
      <c r="CO59" s="19">
        <f>CO32-'D2C Online'!DM70-'D2C Online'!DM72-'D2C Online'!DM73-'D2C Online'!DM75-'D2C Online'!DM76</f>
        <v>103954102.78849551</v>
      </c>
      <c r="CP59" s="19">
        <f>CP32-'D2C Online'!DN70-'D2C Online'!DN72-'D2C Online'!DN73-'D2C Online'!DN75-'D2C Online'!DN76</f>
        <v>97954518.366614655</v>
      </c>
      <c r="CQ59" s="19">
        <f>CQ32-'D2C Online'!DO70-'D2C Online'!DO72-'D2C Online'!DO73-'D2C Online'!DO75-'D2C Online'!DO76</f>
        <v>107155510.36188205</v>
      </c>
      <c r="CR59" s="19">
        <f>CR32-'D2C Online'!DP70-'D2C Online'!DP72-'D2C Online'!DP73-'D2C Online'!DP75-'D2C Online'!DP76</f>
        <v>104192375.48956814</v>
      </c>
      <c r="CS59" s="19">
        <f>CS32-'D2C Online'!DQ70-'D2C Online'!DQ72-'D2C Online'!DQ73-'D2C Online'!DQ75-'D2C Online'!DQ76</f>
        <v>104436757.74707857</v>
      </c>
      <c r="CT59" s="19">
        <f>CT32-'D2C Online'!DR70-'D2C Online'!DR72-'D2C Online'!DR73-'D2C Online'!DR75-'D2C Online'!DR76</f>
        <v>128196822.73352933</v>
      </c>
      <c r="CU59" s="19">
        <f>CU32-'D2C Online'!DS70-'D2C Online'!DS72-'D2C Online'!DS73-'D2C Online'!DS75-'D2C Online'!DS76</f>
        <v>138130961.50132799</v>
      </c>
      <c r="CV59" s="19">
        <f>CV32-'D2C Online'!DT70-'D2C Online'!DT72-'D2C Online'!DT73-'D2C Online'!DT75-'D2C Online'!DT76</f>
        <v>118421532.43311244</v>
      </c>
      <c r="CW59" s="19">
        <f>CW32-'D2C Online'!DU70-'D2C Online'!DU72-'D2C Online'!DU73-'D2C Online'!DU75-'D2C Online'!DU76</f>
        <v>127964659.58889446</v>
      </c>
      <c r="CX59" s="168"/>
      <c r="CY59" s="19">
        <f t="shared" si="196"/>
        <v>66832974.323562324</v>
      </c>
      <c r="CZ59" s="19">
        <f t="shared" si="197"/>
        <v>72104933.991802692</v>
      </c>
      <c r="DA59" s="19">
        <f t="shared" si="198"/>
        <v>112601915.33478361</v>
      </c>
      <c r="DB59" s="19">
        <f t="shared" si="199"/>
        <v>119759965.4533993</v>
      </c>
      <c r="DC59" s="19">
        <f t="shared" si="200"/>
        <v>136047888.76470968</v>
      </c>
      <c r="DD59" s="19">
        <f t="shared" si="201"/>
        <v>144467918.09859496</v>
      </c>
      <c r="DE59" s="19">
        <f t="shared" si="202"/>
        <v>152941244.18794546</v>
      </c>
      <c r="DF59" s="19">
        <f t="shared" si="203"/>
        <v>181995283.25282434</v>
      </c>
      <c r="DG59" s="19">
        <f t="shared" si="204"/>
        <v>193266948.47873077</v>
      </c>
      <c r="DH59" s="19">
        <f t="shared" si="205"/>
        <v>209183468.90577823</v>
      </c>
      <c r="DI59" s="19">
        <f t="shared" si="206"/>
        <v>198515807.58955818</v>
      </c>
      <c r="DJ59" s="19">
        <f t="shared" si="207"/>
        <v>199297350.88729432</v>
      </c>
      <c r="DK59" s="19">
        <f t="shared" si="208"/>
        <v>222314209.65099305</v>
      </c>
      <c r="DL59" s="19">
        <f t="shared" si="209"/>
        <v>224291675.94612765</v>
      </c>
      <c r="DM59" s="19">
        <f t="shared" si="210"/>
        <v>244438776.49566019</v>
      </c>
      <c r="DN59" s="19">
        <f t="shared" si="211"/>
        <v>279048870.44144613</v>
      </c>
      <c r="DO59" s="19">
        <f t="shared" si="212"/>
        <v>260999862.37611192</v>
      </c>
      <c r="DP59" s="19">
        <f t="shared" si="213"/>
        <v>263321434.31563735</v>
      </c>
      <c r="DQ59" s="19">
        <f t="shared" si="214"/>
        <v>286974400.44389665</v>
      </c>
      <c r="DR59" s="19">
        <f t="shared" si="215"/>
        <v>327607114.70384216</v>
      </c>
      <c r="DS59" s="19">
        <f t="shared" si="216"/>
        <v>306339269.34575099</v>
      </c>
      <c r="DT59" s="19">
        <f t="shared" si="217"/>
        <v>309064131.51699221</v>
      </c>
      <c r="DU59" s="19">
        <f t="shared" si="218"/>
        <v>336825955.97017604</v>
      </c>
      <c r="DV59" s="19">
        <f t="shared" si="219"/>
        <v>384517153.52333486</v>
      </c>
      <c r="DX59" s="19">
        <f t="shared" si="220"/>
        <v>371299789.10354793</v>
      </c>
      <c r="DY59" s="19">
        <f t="shared" si="221"/>
        <v>615452334.30407441</v>
      </c>
      <c r="DZ59" s="19">
        <f t="shared" si="222"/>
        <v>800263575.8613615</v>
      </c>
      <c r="EA59" s="19">
        <f t="shared" si="223"/>
        <v>970093532.53422689</v>
      </c>
      <c r="EB59" s="19">
        <f t="shared" si="224"/>
        <v>1138902811.839488</v>
      </c>
      <c r="EC59" s="770">
        <f t="shared" si="225"/>
        <v>1336746510.3562541</v>
      </c>
    </row>
    <row r="60" spans="2:133" x14ac:dyDescent="0.2">
      <c r="B60" s="155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68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X60" s="19"/>
      <c r="DY60" s="19"/>
      <c r="DZ60" s="19"/>
      <c r="EA60" s="19"/>
      <c r="EB60" s="19"/>
      <c r="EC60" s="770"/>
    </row>
    <row r="61" spans="2:133" x14ac:dyDescent="0.2">
      <c r="B61" s="22" t="s">
        <v>29</v>
      </c>
      <c r="C61" s="20">
        <f t="shared" ref="C61:BK61" si="226">C57/C30</f>
        <v>0.17348497795054507</v>
      </c>
      <c r="D61" s="20">
        <f t="shared" si="226"/>
        <v>0.18260548443825439</v>
      </c>
      <c r="E61" s="20">
        <f t="shared" si="226"/>
        <v>0.21326188828921405</v>
      </c>
      <c r="F61" s="20">
        <f t="shared" si="226"/>
        <v>0.22190565112076296</v>
      </c>
      <c r="G61" s="20">
        <f t="shared" si="226"/>
        <v>0.22399642100190556</v>
      </c>
      <c r="H61" s="20">
        <f t="shared" si="226"/>
        <v>0.23610144411807632</v>
      </c>
      <c r="I61" s="20">
        <f t="shared" si="226"/>
        <v>0.2728585562905203</v>
      </c>
      <c r="J61" s="20">
        <f t="shared" si="226"/>
        <v>0.24376351424513573</v>
      </c>
      <c r="K61" s="20">
        <f t="shared" si="226"/>
        <v>0.21159684949767255</v>
      </c>
      <c r="L61" s="20">
        <f t="shared" si="226"/>
        <v>0.19583081497740878</v>
      </c>
      <c r="M61" s="20">
        <f t="shared" si="226"/>
        <v>0.23851267061498055</v>
      </c>
      <c r="N61" s="20">
        <f t="shared" si="226"/>
        <v>0.22352990913702089</v>
      </c>
      <c r="O61" s="20">
        <f t="shared" si="226"/>
        <v>0.19847449986142329</v>
      </c>
      <c r="P61" s="20">
        <f t="shared" si="226"/>
        <v>0.21149364146954</v>
      </c>
      <c r="Q61" s="20">
        <f t="shared" si="226"/>
        <v>0.20477663680819783</v>
      </c>
      <c r="R61" s="20">
        <f t="shared" si="226"/>
        <v>0.21380586648144553</v>
      </c>
      <c r="S61" s="20">
        <f t="shared" si="226"/>
        <v>0.19015449486197458</v>
      </c>
      <c r="T61" s="20">
        <f t="shared" si="226"/>
        <v>0.18062811547479399</v>
      </c>
      <c r="U61" s="20">
        <f t="shared" si="226"/>
        <v>0.18975162559426956</v>
      </c>
      <c r="V61" s="20">
        <f t="shared" si="226"/>
        <v>0.17609044168830384</v>
      </c>
      <c r="W61" s="20">
        <f t="shared" si="226"/>
        <v>0.15014151520121602</v>
      </c>
      <c r="X61" s="20">
        <f t="shared" si="226"/>
        <v>0.16170463817640221</v>
      </c>
      <c r="Y61" s="20">
        <f t="shared" si="226"/>
        <v>0.16578457557387027</v>
      </c>
      <c r="Z61" s="20">
        <f t="shared" si="226"/>
        <v>0.16790490741208156</v>
      </c>
      <c r="AA61" s="20">
        <f t="shared" si="226"/>
        <v>0.17574949452881183</v>
      </c>
      <c r="AB61" s="20">
        <f t="shared" si="226"/>
        <v>0.18318119641131692</v>
      </c>
      <c r="AC61" s="20">
        <f t="shared" si="226"/>
        <v>0.16810634853761877</v>
      </c>
      <c r="AD61" s="20">
        <f t="shared" si="226"/>
        <v>0.14495338741694866</v>
      </c>
      <c r="AE61" s="20">
        <f t="shared" si="226"/>
        <v>0.15877216770425834</v>
      </c>
      <c r="AF61" s="20">
        <f t="shared" si="226"/>
        <v>0.17222333206681376</v>
      </c>
      <c r="AG61" s="20">
        <f t="shared" si="226"/>
        <v>0.17742886807825314</v>
      </c>
      <c r="AH61" s="20">
        <f t="shared" si="226"/>
        <v>0.18331971199324784</v>
      </c>
      <c r="AI61" s="20">
        <f t="shared" si="226"/>
        <v>0.15410398739214562</v>
      </c>
      <c r="AJ61" s="20">
        <f t="shared" si="226"/>
        <v>0.15249781880443797</v>
      </c>
      <c r="AK61" s="20">
        <f t="shared" si="226"/>
        <v>0.17429673910545421</v>
      </c>
      <c r="AL61" s="20">
        <f t="shared" si="226"/>
        <v>0.18241718918257652</v>
      </c>
      <c r="AM61" s="20">
        <f t="shared" si="226"/>
        <v>0.19591350068698093</v>
      </c>
      <c r="AN61" s="20">
        <f t="shared" si="226"/>
        <v>0.23822327339941601</v>
      </c>
      <c r="AO61" s="20">
        <f t="shared" si="226"/>
        <v>0.22167683885215447</v>
      </c>
      <c r="AP61" s="20">
        <f t="shared" si="226"/>
        <v>0.20376952871744114</v>
      </c>
      <c r="AQ61" s="20">
        <f t="shared" si="226"/>
        <v>0.21327971765132095</v>
      </c>
      <c r="AR61" s="20">
        <f t="shared" si="226"/>
        <v>0.21946269049793887</v>
      </c>
      <c r="AS61" s="20">
        <f t="shared" si="226"/>
        <v>0.21556021381987894</v>
      </c>
      <c r="AT61" s="20">
        <f t="shared" si="226"/>
        <v>0.21836245607532845</v>
      </c>
      <c r="AU61" s="20">
        <f t="shared" si="226"/>
        <v>0.21125518503176341</v>
      </c>
      <c r="AV61" s="20">
        <f t="shared" si="226"/>
        <v>0.21457768285434495</v>
      </c>
      <c r="AW61" s="20">
        <f t="shared" si="226"/>
        <v>0.21989357853513203</v>
      </c>
      <c r="AX61" s="20">
        <f t="shared" si="226"/>
        <v>0.20943824020901758</v>
      </c>
      <c r="AY61" s="20">
        <f t="shared" si="226"/>
        <v>0.20147597800237613</v>
      </c>
      <c r="AZ61" s="20">
        <f t="shared" si="226"/>
        <v>0.19684815151573301</v>
      </c>
      <c r="BA61" s="20">
        <f t="shared" si="226"/>
        <v>0.20033654882205043</v>
      </c>
      <c r="BB61" s="20">
        <f t="shared" si="226"/>
        <v>0.20291713290425051</v>
      </c>
      <c r="BC61" s="20">
        <f t="shared" si="226"/>
        <v>0.200873934036672</v>
      </c>
      <c r="BD61" s="20">
        <f t="shared" si="226"/>
        <v>0.21618743461440915</v>
      </c>
      <c r="BE61" s="20">
        <f t="shared" si="226"/>
        <v>0.21095286540234229</v>
      </c>
      <c r="BF61" s="20">
        <f t="shared" si="226"/>
        <v>0.23149735896119153</v>
      </c>
      <c r="BG61" s="20">
        <f t="shared" si="226"/>
        <v>0.2091445095046337</v>
      </c>
      <c r="BH61" s="20">
        <f t="shared" si="226"/>
        <v>0.2203890565879458</v>
      </c>
      <c r="BI61" s="20">
        <f t="shared" si="226"/>
        <v>0.21741405339842843</v>
      </c>
      <c r="BJ61" s="20">
        <f t="shared" si="226"/>
        <v>0.19455563450324609</v>
      </c>
      <c r="BK61" s="20">
        <f t="shared" si="226"/>
        <v>0.19218159654516279</v>
      </c>
      <c r="BL61" s="20">
        <f>BL57/BL30</f>
        <v>0.18610277577806941</v>
      </c>
      <c r="BM61" s="20">
        <f t="shared" ref="BM61:EC61" si="227">BM57/BM30</f>
        <v>0.17172867703922295</v>
      </c>
      <c r="BN61" s="20">
        <f t="shared" si="227"/>
        <v>0.2000295219679013</v>
      </c>
      <c r="BO61" s="20">
        <f t="shared" si="227"/>
        <v>0.19994579042146865</v>
      </c>
      <c r="BP61" s="20">
        <f t="shared" si="227"/>
        <v>0.19993603128366011</v>
      </c>
      <c r="BQ61" s="20">
        <f t="shared" si="227"/>
        <v>0.20011437658028422</v>
      </c>
      <c r="BR61" s="20">
        <f t="shared" si="227"/>
        <v>0.19993665745880987</v>
      </c>
      <c r="BS61" s="20">
        <f t="shared" si="227"/>
        <v>0.19951309251820937</v>
      </c>
      <c r="BT61" s="20">
        <f t="shared" si="227"/>
        <v>0.20018625246817218</v>
      </c>
      <c r="BU61" s="20">
        <f t="shared" si="227"/>
        <v>0.19995259713112401</v>
      </c>
      <c r="BV61" s="20">
        <f t="shared" si="227"/>
        <v>0.19995256960515126</v>
      </c>
      <c r="BW61" s="20">
        <f t="shared" si="227"/>
        <v>0.19984262720039098</v>
      </c>
      <c r="BX61" s="20">
        <f t="shared" si="227"/>
        <v>0.19999572417625702</v>
      </c>
      <c r="BY61" s="20">
        <f t="shared" si="227"/>
        <v>0.20021663414207441</v>
      </c>
      <c r="BZ61" s="20">
        <f t="shared" si="227"/>
        <v>0.19891671935936872</v>
      </c>
      <c r="CA61" s="20">
        <f t="shared" si="227"/>
        <v>0.19883400177380553</v>
      </c>
      <c r="CB61" s="20">
        <f t="shared" si="227"/>
        <v>0.19881135323683446</v>
      </c>
      <c r="CC61" s="20">
        <f t="shared" si="227"/>
        <v>0.19899901992339342</v>
      </c>
      <c r="CD61" s="20">
        <f t="shared" si="227"/>
        <v>0.19880820080821499</v>
      </c>
      <c r="CE61" s="20">
        <f t="shared" si="227"/>
        <v>0.19834867133901604</v>
      </c>
      <c r="CF61" s="20">
        <f t="shared" si="227"/>
        <v>0.19905820834155538</v>
      </c>
      <c r="CG61" s="20">
        <f t="shared" si="227"/>
        <v>0.19879737168480285</v>
      </c>
      <c r="CH61" s="20">
        <f t="shared" si="227"/>
        <v>0.19878096105406629</v>
      </c>
      <c r="CI61" s="20">
        <f t="shared" si="227"/>
        <v>0.19865071764971179</v>
      </c>
      <c r="CJ61" s="20">
        <f t="shared" si="227"/>
        <v>0.19880828630816585</v>
      </c>
      <c r="CK61" s="20">
        <f t="shared" si="227"/>
        <v>0.19901500549189696</v>
      </c>
      <c r="CL61" s="20">
        <f t="shared" ref="CL61:CW61" si="228">CL57/CL30</f>
        <v>0.1964478367536861</v>
      </c>
      <c r="CM61" s="20">
        <f t="shared" si="228"/>
        <v>0.19637034640281614</v>
      </c>
      <c r="CN61" s="20">
        <f t="shared" si="228"/>
        <v>0.19634828427216616</v>
      </c>
      <c r="CO61" s="20">
        <f t="shared" si="228"/>
        <v>0.19651839646180563</v>
      </c>
      <c r="CP61" s="20">
        <f t="shared" si="228"/>
        <v>0.19634152544085617</v>
      </c>
      <c r="CQ61" s="20">
        <f t="shared" si="228"/>
        <v>0.19592115197959376</v>
      </c>
      <c r="CR61" s="20">
        <f t="shared" si="228"/>
        <v>0.19656729583300878</v>
      </c>
      <c r="CS61" s="20">
        <f t="shared" si="228"/>
        <v>0.19632775806299682</v>
      </c>
      <c r="CT61" s="20">
        <f t="shared" si="228"/>
        <v>0.19631411430341633</v>
      </c>
      <c r="CU61" s="20">
        <f t="shared" si="228"/>
        <v>0.19619538841468873</v>
      </c>
      <c r="CV61" s="20">
        <f t="shared" si="228"/>
        <v>0.19633644526206726</v>
      </c>
      <c r="CW61" s="20">
        <f t="shared" si="228"/>
        <v>0.19652530200212659</v>
      </c>
      <c r="CX61" s="168"/>
      <c r="CY61" s="20">
        <f t="shared" si="227"/>
        <v>0.15901892297955525</v>
      </c>
      <c r="CZ61" s="20">
        <f t="shared" si="227"/>
        <v>0.17145578010282597</v>
      </c>
      <c r="DA61" s="20">
        <f t="shared" si="227"/>
        <v>0.16820734729449058</v>
      </c>
      <c r="DB61" s="20">
        <f t="shared" si="227"/>
        <v>0.21750740051743303</v>
      </c>
      <c r="DC61" s="20">
        <f t="shared" si="227"/>
        <v>0.21239788788922806</v>
      </c>
      <c r="DD61" s="20">
        <f t="shared" si="227"/>
        <v>0.21515095124785505</v>
      </c>
      <c r="DE61" s="20">
        <f t="shared" si="227"/>
        <v>0.21432932488769293</v>
      </c>
      <c r="DF61" s="20">
        <f t="shared" si="227"/>
        <v>0.19964865053980038</v>
      </c>
      <c r="DG61" s="20">
        <f t="shared" si="227"/>
        <v>0.20667204292347718</v>
      </c>
      <c r="DH61" s="20">
        <f t="shared" si="227"/>
        <v>0.2166496552770627</v>
      </c>
      <c r="DI61" s="20">
        <f t="shared" si="227"/>
        <v>0.20987457790883843</v>
      </c>
      <c r="DJ61" s="20">
        <f t="shared" si="227"/>
        <v>0.18298943119964564</v>
      </c>
      <c r="DK61" s="20">
        <f t="shared" si="227"/>
        <v>0.19997067839078078</v>
      </c>
      <c r="DL61" s="20">
        <f t="shared" si="227"/>
        <v>0.1998646795115098</v>
      </c>
      <c r="DM61" s="20">
        <f t="shared" si="227"/>
        <v>0.20002805048736386</v>
      </c>
      <c r="DN61" s="20">
        <f t="shared" si="227"/>
        <v>0.20002052255425806</v>
      </c>
      <c r="DO61" s="20">
        <f t="shared" si="227"/>
        <v>0.19885429095486623</v>
      </c>
      <c r="DP61" s="20">
        <f t="shared" si="227"/>
        <v>0.19872982673690179</v>
      </c>
      <c r="DQ61" s="20">
        <f t="shared" si="227"/>
        <v>0.19887582047669655</v>
      </c>
      <c r="DR61" s="20">
        <f t="shared" si="227"/>
        <v>0.19882596682121337</v>
      </c>
      <c r="DS61" s="20">
        <f t="shared" si="227"/>
        <v>0.19638908310406986</v>
      </c>
      <c r="DT61" s="20">
        <f t="shared" si="227"/>
        <v>0.19627053731083569</v>
      </c>
      <c r="DU61" s="20">
        <f t="shared" si="227"/>
        <v>0.19640029617042712</v>
      </c>
      <c r="DV61" s="20">
        <f t="shared" si="227"/>
        <v>0.19635348828635427</v>
      </c>
      <c r="DW61" s="771"/>
      <c r="DX61" s="20">
        <f t="shared" si="227"/>
        <v>0.17802637784966133</v>
      </c>
      <c r="DY61" s="20">
        <f t="shared" si="227"/>
        <v>0.20951513154364293</v>
      </c>
      <c r="DZ61" s="20">
        <f t="shared" si="227"/>
        <v>0.20234060400789614</v>
      </c>
      <c r="EA61" s="20">
        <f t="shared" si="227"/>
        <v>0.1999758078616618</v>
      </c>
      <c r="EB61" s="20">
        <f t="shared" si="227"/>
        <v>0.19882340187491224</v>
      </c>
      <c r="EC61" s="20">
        <f t="shared" si="227"/>
        <v>0.19635481377113101</v>
      </c>
    </row>
    <row r="62" spans="2:133" x14ac:dyDescent="0.2">
      <c r="B62" s="22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68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X62" s="19"/>
      <c r="DY62" s="19"/>
      <c r="DZ62" s="19"/>
      <c r="EA62" s="19"/>
      <c r="EB62" s="19"/>
      <c r="EC62" s="770"/>
    </row>
    <row r="63" spans="2:133" x14ac:dyDescent="0.2">
      <c r="B63" s="212" t="s">
        <v>30</v>
      </c>
      <c r="C63" s="199">
        <f>C30-C44</f>
        <v>6711490.79309351</v>
      </c>
      <c r="D63" s="199">
        <f t="shared" ref="D63:BO64" si="229">D30-D44</f>
        <v>6690006.1492378041</v>
      </c>
      <c r="E63" s="199">
        <f t="shared" si="229"/>
        <v>8946195.5618671998</v>
      </c>
      <c r="F63" s="199">
        <f t="shared" si="229"/>
        <v>5235473.4992715865</v>
      </c>
      <c r="G63" s="199">
        <f t="shared" si="229"/>
        <v>584230.07020833483</v>
      </c>
      <c r="H63" s="199">
        <f t="shared" si="229"/>
        <v>4073864.8769606631</v>
      </c>
      <c r="I63" s="199">
        <f t="shared" si="229"/>
        <v>6674051.7923049442</v>
      </c>
      <c r="J63" s="199">
        <f t="shared" si="229"/>
        <v>7729333.074548725</v>
      </c>
      <c r="K63" s="199">
        <f t="shared" si="229"/>
        <v>8995506.0232633501</v>
      </c>
      <c r="L63" s="199">
        <f t="shared" si="229"/>
        <v>9856026.7715587616</v>
      </c>
      <c r="M63" s="199">
        <f t="shared" si="229"/>
        <v>19081165.439524934</v>
      </c>
      <c r="N63" s="199">
        <f t="shared" si="229"/>
        <v>20944279.20631358</v>
      </c>
      <c r="O63" s="199">
        <f t="shared" si="229"/>
        <v>19928519.961207002</v>
      </c>
      <c r="P63" s="199">
        <f t="shared" si="229"/>
        <v>23217395.844222903</v>
      </c>
      <c r="Q63" s="199">
        <f t="shared" si="229"/>
        <v>23396037.74078463</v>
      </c>
      <c r="R63" s="199">
        <f t="shared" si="229"/>
        <v>21599065.778632075</v>
      </c>
      <c r="S63" s="199">
        <f t="shared" si="229"/>
        <v>23754277.549372554</v>
      </c>
      <c r="T63" s="199">
        <f t="shared" si="229"/>
        <v>27832467.606360942</v>
      </c>
      <c r="U63" s="199">
        <f t="shared" si="229"/>
        <v>29131626.885690421</v>
      </c>
      <c r="V63" s="199">
        <f t="shared" si="229"/>
        <v>26173481.791154325</v>
      </c>
      <c r="W63" s="199">
        <f t="shared" si="229"/>
        <v>20796541.310278028</v>
      </c>
      <c r="X63" s="199">
        <f t="shared" si="229"/>
        <v>28231393.586725324</v>
      </c>
      <c r="Y63" s="199">
        <f t="shared" si="229"/>
        <v>28527153.187902272</v>
      </c>
      <c r="Z63" s="199">
        <f t="shared" si="229"/>
        <v>34726821.667455137</v>
      </c>
      <c r="AA63" s="199">
        <f t="shared" si="229"/>
        <v>41709298.539514244</v>
      </c>
      <c r="AB63" s="199">
        <f t="shared" si="229"/>
        <v>46813721.968854278</v>
      </c>
      <c r="AC63" s="199">
        <f t="shared" si="229"/>
        <v>61765698.582948208</v>
      </c>
      <c r="AD63" s="199">
        <f t="shared" si="229"/>
        <v>58443303.392734945</v>
      </c>
      <c r="AE63" s="199">
        <f t="shared" si="229"/>
        <v>66141995.817236185</v>
      </c>
      <c r="AF63" s="199">
        <f t="shared" si="229"/>
        <v>75916351.823266864</v>
      </c>
      <c r="AG63" s="199">
        <f t="shared" si="229"/>
        <v>60874571.072695494</v>
      </c>
      <c r="AH63" s="199">
        <f t="shared" si="229"/>
        <v>65334431.421565592</v>
      </c>
      <c r="AI63" s="199">
        <f t="shared" si="229"/>
        <v>53951361.183921099</v>
      </c>
      <c r="AJ63" s="199">
        <f t="shared" si="229"/>
        <v>82386329.285872221</v>
      </c>
      <c r="AK63" s="199">
        <f t="shared" si="229"/>
        <v>77489299.336287081</v>
      </c>
      <c r="AL63" s="199">
        <f t="shared" si="229"/>
        <v>73986157.991272628</v>
      </c>
      <c r="AM63" s="199">
        <f t="shared" si="229"/>
        <v>75806831.426000476</v>
      </c>
      <c r="AN63" s="199">
        <f t="shared" si="229"/>
        <v>77401951.525064826</v>
      </c>
      <c r="AO63" s="199">
        <f t="shared" si="229"/>
        <v>95354625.624712825</v>
      </c>
      <c r="AP63" s="199">
        <f t="shared" si="229"/>
        <v>89547501.98271513</v>
      </c>
      <c r="AQ63" s="199">
        <f t="shared" si="229"/>
        <v>97355295.270824969</v>
      </c>
      <c r="AR63" s="199">
        <f t="shared" si="229"/>
        <v>105712642.80153465</v>
      </c>
      <c r="AS63" s="199">
        <f t="shared" si="229"/>
        <v>101869440.79414243</v>
      </c>
      <c r="AT63" s="199">
        <f t="shared" si="229"/>
        <v>89808297.108318567</v>
      </c>
      <c r="AU63" s="199">
        <f t="shared" si="229"/>
        <v>80500930.22408843</v>
      </c>
      <c r="AV63" s="199">
        <f t="shared" si="229"/>
        <v>104885820.87461829</v>
      </c>
      <c r="AW63" s="199">
        <f t="shared" si="229"/>
        <v>100541355.4587431</v>
      </c>
      <c r="AX63" s="199">
        <f t="shared" si="229"/>
        <v>114015905.96356916</v>
      </c>
      <c r="AY63" s="199">
        <f t="shared" si="229"/>
        <v>117653054.92213875</v>
      </c>
      <c r="AZ63" s="199">
        <f t="shared" si="229"/>
        <v>109104654.78975338</v>
      </c>
      <c r="BA63" s="199">
        <f t="shared" si="229"/>
        <v>146008342.0096097</v>
      </c>
      <c r="BB63" s="199">
        <f t="shared" si="229"/>
        <v>134001866.88255191</v>
      </c>
      <c r="BC63" s="199">
        <f t="shared" si="229"/>
        <v>130018548.93202484</v>
      </c>
      <c r="BD63" s="199">
        <f t="shared" si="229"/>
        <v>140617429.96454561</v>
      </c>
      <c r="BE63" s="199">
        <f t="shared" si="229"/>
        <v>147772319.78284585</v>
      </c>
      <c r="BF63" s="199">
        <f t="shared" si="229"/>
        <v>136050971.93670774</v>
      </c>
      <c r="BG63" s="199">
        <f t="shared" si="229"/>
        <v>131445558.79336989</v>
      </c>
      <c r="BH63" s="199">
        <f t="shared" si="229"/>
        <v>164460947.1052177</v>
      </c>
      <c r="BI63" s="199">
        <f t="shared" si="229"/>
        <v>148760722.58730006</v>
      </c>
      <c r="BJ63" s="199">
        <f t="shared" si="229"/>
        <v>166256598.17395926</v>
      </c>
      <c r="BK63" s="199">
        <f t="shared" si="229"/>
        <v>179530970.81827474</v>
      </c>
      <c r="BL63" s="199">
        <f t="shared" si="229"/>
        <v>155598829.57908523</v>
      </c>
      <c r="BM63" s="199">
        <f t="shared" si="229"/>
        <v>170331571.09117854</v>
      </c>
      <c r="BN63" s="199">
        <f t="shared" si="229"/>
        <v>177672872.66241002</v>
      </c>
      <c r="BO63" s="199">
        <f t="shared" si="229"/>
        <v>175646924.44802499</v>
      </c>
      <c r="BP63" s="199">
        <f t="shared" ref="BP63:CK65" si="230">BP30-BP44</f>
        <v>175208621.27002835</v>
      </c>
      <c r="BQ63" s="199">
        <f t="shared" si="230"/>
        <v>186195864.35885859</v>
      </c>
      <c r="BR63" s="199">
        <f t="shared" si="230"/>
        <v>168214195.55923057</v>
      </c>
      <c r="BS63" s="199">
        <f t="shared" si="230"/>
        <v>165387582.59640348</v>
      </c>
      <c r="BT63" s="199">
        <f t="shared" si="230"/>
        <v>190582751.43542719</v>
      </c>
      <c r="BU63" s="199">
        <f t="shared" si="230"/>
        <v>179788071.02304769</v>
      </c>
      <c r="BV63" s="199">
        <f t="shared" si="230"/>
        <v>218507829.3010602</v>
      </c>
      <c r="BW63" s="199">
        <f t="shared" si="230"/>
        <v>228339733.76618922</v>
      </c>
      <c r="BX63" s="199">
        <f t="shared" si="230"/>
        <v>205054965.92849982</v>
      </c>
      <c r="BY63" s="199">
        <f t="shared" si="230"/>
        <v>234170155.57055545</v>
      </c>
      <c r="BZ63" s="199">
        <f t="shared" si="230"/>
        <v>214348343.47375798</v>
      </c>
      <c r="CA63" s="199">
        <f t="shared" si="230"/>
        <v>212200731.29596555</v>
      </c>
      <c r="CB63" s="199">
        <f t="shared" si="230"/>
        <v>210970545.28855383</v>
      </c>
      <c r="CC63" s="199">
        <f t="shared" si="230"/>
        <v>224204433.28249598</v>
      </c>
      <c r="CD63" s="199">
        <f t="shared" si="230"/>
        <v>202260738.76615858</v>
      </c>
      <c r="CE63" s="199">
        <f t="shared" si="230"/>
        <v>198333546.43167019</v>
      </c>
      <c r="CF63" s="199">
        <f t="shared" si="230"/>
        <v>228397621.15723372</v>
      </c>
      <c r="CG63" s="199">
        <f t="shared" si="230"/>
        <v>214664102.47512412</v>
      </c>
      <c r="CH63" s="199">
        <f t="shared" si="230"/>
        <v>260134543.53122067</v>
      </c>
      <c r="CI63" s="199">
        <f t="shared" si="230"/>
        <v>271045359.07632995</v>
      </c>
      <c r="CJ63" s="199">
        <f t="shared" si="230"/>
        <v>242793244.80961132</v>
      </c>
      <c r="CK63" s="199">
        <f t="shared" si="230"/>
        <v>275218725.4294889</v>
      </c>
      <c r="CL63" s="199">
        <f t="shared" ref="CL63:CW63" si="231">CL30-CL44</f>
        <v>244942789.9336884</v>
      </c>
      <c r="CM63" s="199">
        <f t="shared" si="231"/>
        <v>242420071.97995615</v>
      </c>
      <c r="CN63" s="199">
        <f t="shared" si="231"/>
        <v>240943522.96049023</v>
      </c>
      <c r="CO63" s="199">
        <f t="shared" si="231"/>
        <v>255789228.34553027</v>
      </c>
      <c r="CP63" s="199">
        <f t="shared" si="231"/>
        <v>230781835.66502035</v>
      </c>
      <c r="CQ63" s="199">
        <f t="shared" si="231"/>
        <v>226551600.2639513</v>
      </c>
      <c r="CR63" s="199">
        <f t="shared" si="231"/>
        <v>260132068.33330679</v>
      </c>
      <c r="CS63" s="199">
        <f t="shared" si="231"/>
        <v>244651293.27390194</v>
      </c>
      <c r="CT63" s="199">
        <f t="shared" si="231"/>
        <v>296473556.28594875</v>
      </c>
      <c r="CU63" s="199">
        <f t="shared" si="231"/>
        <v>309027522.03698063</v>
      </c>
      <c r="CV63" s="199">
        <f t="shared" si="231"/>
        <v>276529524.61997104</v>
      </c>
      <c r="CW63" s="199">
        <f t="shared" si="231"/>
        <v>313159913.87745309</v>
      </c>
      <c r="CX63" s="168"/>
      <c r="CY63" s="199">
        <f t="shared" ref="CY63:CY65" si="232">SUM(AD63:AF63)</f>
        <v>200501651.03323799</v>
      </c>
      <c r="CZ63" s="199">
        <f t="shared" ref="CZ63:CZ65" si="233">SUM(AG63:AI63)</f>
        <v>180160363.67818218</v>
      </c>
      <c r="DA63" s="199">
        <f t="shared" ref="DA63:DA65" si="234">SUM(AJ63:AL63)</f>
        <v>233861786.61343193</v>
      </c>
      <c r="DB63" s="199">
        <f t="shared" ref="DB63:DB65" si="235">SUM(AM63:AO63)</f>
        <v>248563408.57577813</v>
      </c>
      <c r="DC63" s="199">
        <f t="shared" ref="DC63:DC65" si="236">SUM(AP63:AR63)</f>
        <v>292615440.05507475</v>
      </c>
      <c r="DD63" s="199">
        <f t="shared" ref="DD63:DD65" si="237">SUM(AS63:AU63)</f>
        <v>272178668.12654942</v>
      </c>
      <c r="DE63" s="199">
        <f t="shared" ref="DE63:DE65" si="238">SUM(AV63:AX63)</f>
        <v>319443082.29693055</v>
      </c>
      <c r="DF63" s="199">
        <f t="shared" ref="DF63:DF65" si="239">SUM(AY63:BA63)</f>
        <v>372766051.72150183</v>
      </c>
      <c r="DG63" s="199">
        <f t="shared" ref="DG63:DG65" si="240">SUM(BB63:BD63)</f>
        <v>404637845.77912235</v>
      </c>
      <c r="DH63" s="199">
        <f t="shared" ref="DH63:DH65" si="241">SUM(BE63:BG63)</f>
        <v>415268850.51292348</v>
      </c>
      <c r="DI63" s="199">
        <f t="shared" ref="DI63:DI65" si="242">SUM(BH63:BJ63)</f>
        <v>479478267.86647701</v>
      </c>
      <c r="DJ63" s="199">
        <f t="shared" ref="DJ63:DJ65" si="243">SUM(BK63:BM63)</f>
        <v>505461371.4885385</v>
      </c>
      <c r="DK63" s="199">
        <f t="shared" ref="DK63:DK65" si="244">SUM(BN63:BP63)</f>
        <v>528528418.38046336</v>
      </c>
      <c r="DL63" s="199">
        <f t="shared" ref="DL63:DL65" si="245">SUM(BQ63:BS63)</f>
        <v>519797642.51449263</v>
      </c>
      <c r="DM63" s="199">
        <f t="shared" ref="DM63:DM65" si="246">SUM(BT63:BV63)</f>
        <v>588878651.75953507</v>
      </c>
      <c r="DN63" s="199">
        <f t="shared" ref="DN63:DN65" si="247">SUM(BW63:BY63)</f>
        <v>667564855.26524448</v>
      </c>
      <c r="DO63" s="199">
        <f t="shared" ref="DO63:DO65" si="248">SUM(BZ63:CB63)</f>
        <v>637519620.05827737</v>
      </c>
      <c r="DP63" s="199">
        <f t="shared" ref="DP63:DP65" si="249">SUM(CC63:CE63)</f>
        <v>624798718.48032475</v>
      </c>
      <c r="DQ63" s="199">
        <f t="shared" ref="DQ63:DQ65" si="250">SUM(CF63:CH63)</f>
        <v>703196267.16357851</v>
      </c>
      <c r="DR63" s="199">
        <f t="shared" ref="DR63:DR65" si="251">SUM(CI63:CK63)</f>
        <v>789057329.31543016</v>
      </c>
      <c r="DS63" s="199">
        <f t="shared" ref="DS63:DS65" si="252">SUM(CL63:CN63)</f>
        <v>728306384.87413478</v>
      </c>
      <c r="DT63" s="199">
        <f t="shared" ref="DT63:DT65" si="253">SUM(CO63:CQ63)</f>
        <v>713122664.27450192</v>
      </c>
      <c r="DU63" s="199">
        <f t="shared" ref="DU63:DU65" si="254">SUM(CR63:CT63)</f>
        <v>801256917.89315748</v>
      </c>
      <c r="DV63" s="199">
        <f t="shared" ref="DV63:DV65" si="255">SUM(CU63:CW63)</f>
        <v>898716960.53440475</v>
      </c>
      <c r="DX63" s="199">
        <f t="shared" ref="DX63:DX65" si="256">SUM(CY63:DB63)</f>
        <v>863087209.90063024</v>
      </c>
      <c r="DY63" s="199">
        <f t="shared" ref="DY63:DY65" si="257">SUM(DC63:DF63)</f>
        <v>1257003242.2000566</v>
      </c>
      <c r="DZ63" s="199">
        <f t="shared" ref="DZ63:DZ65" si="258">SUM(DG63:DJ63)</f>
        <v>1804846335.6470613</v>
      </c>
      <c r="EA63" s="199">
        <f t="shared" ref="EA63:EA65" si="259">SUM(DK63:DN63)</f>
        <v>2304769567.9197354</v>
      </c>
      <c r="EB63" s="199">
        <f t="shared" ref="EB63:EB65" si="260">SUM(DO63:DR63)</f>
        <v>2754571935.0176105</v>
      </c>
      <c r="EC63" s="810">
        <f t="shared" ref="EC63:EC65" si="261">SUM(DS63:DV63)</f>
        <v>3141402927.5761991</v>
      </c>
    </row>
    <row r="64" spans="2:133" x14ac:dyDescent="0.2">
      <c r="B64" s="155" t="s">
        <v>229</v>
      </c>
      <c r="C64" s="213">
        <f t="shared" ref="C64:R65" si="262">C31-C45</f>
        <v>6004142.7737149596</v>
      </c>
      <c r="D64" s="213">
        <f t="shared" si="262"/>
        <v>6227801.0064738877</v>
      </c>
      <c r="E64" s="213">
        <f t="shared" si="262"/>
        <v>8112356.1082744673</v>
      </c>
      <c r="F64" s="213">
        <f t="shared" si="262"/>
        <v>4653155.8827833943</v>
      </c>
      <c r="G64" s="213">
        <f t="shared" si="262"/>
        <v>121179.64368492557</v>
      </c>
      <c r="H64" s="213">
        <f t="shared" si="262"/>
        <v>3226603.8856624663</v>
      </c>
      <c r="I64" s="213">
        <f t="shared" si="262"/>
        <v>5214725.986325901</v>
      </c>
      <c r="J64" s="213">
        <f t="shared" si="262"/>
        <v>6655067.579453554</v>
      </c>
      <c r="K64" s="213">
        <f t="shared" si="262"/>
        <v>7358391.0921292193</v>
      </c>
      <c r="L64" s="213">
        <f t="shared" si="262"/>
        <v>9090997.9108500406</v>
      </c>
      <c r="M64" s="213">
        <f t="shared" si="262"/>
        <v>15978623.789819829</v>
      </c>
      <c r="N64" s="213">
        <f t="shared" si="262"/>
        <v>17627761.913825959</v>
      </c>
      <c r="O64" s="213">
        <f t="shared" si="262"/>
        <v>15250904.097991779</v>
      </c>
      <c r="P64" s="213">
        <f t="shared" si="262"/>
        <v>18026739.379609928</v>
      </c>
      <c r="Q64" s="213">
        <f t="shared" si="262"/>
        <v>19983432.177462652</v>
      </c>
      <c r="R64" s="213">
        <f t="shared" si="262"/>
        <v>18168289.258364499</v>
      </c>
      <c r="S64" s="213">
        <f t="shared" si="229"/>
        <v>19872775.364073768</v>
      </c>
      <c r="T64" s="213">
        <f t="shared" si="229"/>
        <v>22744044.352197826</v>
      </c>
      <c r="U64" s="213">
        <f t="shared" si="229"/>
        <v>25465503.907600656</v>
      </c>
      <c r="V64" s="213">
        <f t="shared" si="229"/>
        <v>23459986.339689061</v>
      </c>
      <c r="W64" s="213">
        <f t="shared" si="229"/>
        <v>17920112.703736871</v>
      </c>
      <c r="X64" s="213">
        <f t="shared" si="229"/>
        <v>22227040.606815279</v>
      </c>
      <c r="Y64" s="213">
        <f t="shared" si="229"/>
        <v>23002965.752239615</v>
      </c>
      <c r="Z64" s="213">
        <f t="shared" si="229"/>
        <v>29944084.058765948</v>
      </c>
      <c r="AA64" s="213">
        <f t="shared" si="229"/>
        <v>34596810.504494995</v>
      </c>
      <c r="AB64" s="213">
        <f t="shared" si="229"/>
        <v>36347807.570847571</v>
      </c>
      <c r="AC64" s="213">
        <f t="shared" si="229"/>
        <v>44335148.326210439</v>
      </c>
      <c r="AD64" s="213">
        <f t="shared" si="229"/>
        <v>40300968.731871426</v>
      </c>
      <c r="AE64" s="213">
        <f t="shared" si="229"/>
        <v>45780211.325762212</v>
      </c>
      <c r="AF64" s="213">
        <f t="shared" si="229"/>
        <v>49379869.49694249</v>
      </c>
      <c r="AG64" s="213">
        <f t="shared" si="229"/>
        <v>42106001.621904522</v>
      </c>
      <c r="AH64" s="213">
        <f t="shared" si="229"/>
        <v>42995267.37928459</v>
      </c>
      <c r="AI64" s="213">
        <f t="shared" si="229"/>
        <v>36631179.337262332</v>
      </c>
      <c r="AJ64" s="213">
        <f t="shared" si="229"/>
        <v>49221865.311853886</v>
      </c>
      <c r="AK64" s="213">
        <f t="shared" si="229"/>
        <v>48281303.14351517</v>
      </c>
      <c r="AL64" s="213">
        <f t="shared" si="229"/>
        <v>43566499.364308298</v>
      </c>
      <c r="AM64" s="213">
        <f t="shared" si="229"/>
        <v>42376595.508703262</v>
      </c>
      <c r="AN64" s="213">
        <f t="shared" si="229"/>
        <v>47754742.795188993</v>
      </c>
      <c r="AO64" s="213">
        <f t="shared" si="229"/>
        <v>54894795.098919451</v>
      </c>
      <c r="AP64" s="213">
        <f t="shared" si="229"/>
        <v>52809168.211778909</v>
      </c>
      <c r="AQ64" s="213">
        <f t="shared" si="229"/>
        <v>57913829.247415364</v>
      </c>
      <c r="AR64" s="213">
        <f t="shared" si="229"/>
        <v>60209234.468531728</v>
      </c>
      <c r="AS64" s="213">
        <f t="shared" si="229"/>
        <v>57790620.958174437</v>
      </c>
      <c r="AT64" s="213">
        <f t="shared" si="229"/>
        <v>48774249.214099467</v>
      </c>
      <c r="AU64" s="213">
        <f t="shared" si="229"/>
        <v>38960949.632693261</v>
      </c>
      <c r="AV64" s="213">
        <f t="shared" si="229"/>
        <v>57622379.104309648</v>
      </c>
      <c r="AW64" s="213">
        <f t="shared" si="229"/>
        <v>58910342.260782599</v>
      </c>
      <c r="AX64" s="213">
        <f t="shared" si="229"/>
        <v>67858941.070895016</v>
      </c>
      <c r="AY64" s="213">
        <f t="shared" si="229"/>
        <v>66544046.3189376</v>
      </c>
      <c r="AZ64" s="213">
        <f t="shared" si="229"/>
        <v>64127916.657566011</v>
      </c>
      <c r="BA64" s="213">
        <f t="shared" si="229"/>
        <v>80989441.589753866</v>
      </c>
      <c r="BB64" s="213">
        <f t="shared" si="229"/>
        <v>79182456.701709867</v>
      </c>
      <c r="BC64" s="213">
        <f t="shared" si="229"/>
        <v>72901753.096045494</v>
      </c>
      <c r="BD64" s="213">
        <f t="shared" si="229"/>
        <v>81875601.438509941</v>
      </c>
      <c r="BE64" s="213">
        <f t="shared" si="229"/>
        <v>85022082.802322626</v>
      </c>
      <c r="BF64" s="213">
        <f t="shared" si="229"/>
        <v>79976753.236855328</v>
      </c>
      <c r="BG64" s="213">
        <f t="shared" si="229"/>
        <v>72095406.431566775</v>
      </c>
      <c r="BH64" s="213">
        <f t="shared" si="229"/>
        <v>110512319.18001163</v>
      </c>
      <c r="BI64" s="213">
        <f t="shared" si="229"/>
        <v>97421265.830613792</v>
      </c>
      <c r="BJ64" s="213">
        <f t="shared" si="229"/>
        <v>107316515.39162123</v>
      </c>
      <c r="BK64" s="213">
        <f t="shared" si="229"/>
        <v>116840337.05771202</v>
      </c>
      <c r="BL64" s="213">
        <f t="shared" si="229"/>
        <v>107659553.37659591</v>
      </c>
      <c r="BM64" s="213">
        <f t="shared" si="229"/>
        <v>114176644.82130635</v>
      </c>
      <c r="BN64" s="213">
        <f t="shared" si="229"/>
        <v>113906847.40308994</v>
      </c>
      <c r="BO64" s="213">
        <f t="shared" si="229"/>
        <v>111231910.4341836</v>
      </c>
      <c r="BP64" s="213">
        <f t="shared" si="230"/>
        <v>110839689.29792821</v>
      </c>
      <c r="BQ64" s="213">
        <f t="shared" si="230"/>
        <v>120855369.34004915</v>
      </c>
      <c r="BR64" s="213">
        <f t="shared" si="230"/>
        <v>106644747.62290549</v>
      </c>
      <c r="BS64" s="213">
        <f t="shared" si="230"/>
        <v>98034838.421563864</v>
      </c>
      <c r="BT64" s="213">
        <f t="shared" si="230"/>
        <v>125092489.78095907</v>
      </c>
      <c r="BU64" s="213">
        <f t="shared" si="230"/>
        <v>114144202.56277561</v>
      </c>
      <c r="BV64" s="213">
        <f t="shared" si="230"/>
        <v>137929539.14650977</v>
      </c>
      <c r="BW64" s="213">
        <f t="shared" si="230"/>
        <v>141517326.95571256</v>
      </c>
      <c r="BX64" s="213">
        <f t="shared" si="230"/>
        <v>130620948.0061028</v>
      </c>
      <c r="BY64" s="213">
        <f t="shared" si="230"/>
        <v>153737791.8815186</v>
      </c>
      <c r="BZ64" s="213">
        <f t="shared" si="230"/>
        <v>139589540.38740146</v>
      </c>
      <c r="CA64" s="213">
        <f t="shared" si="230"/>
        <v>136681058.72923613</v>
      </c>
      <c r="CB64" s="213">
        <f t="shared" si="230"/>
        <v>135504898.9571172</v>
      </c>
      <c r="CC64" s="213">
        <f t="shared" si="230"/>
        <v>147599733.82363677</v>
      </c>
      <c r="CD64" s="213">
        <f t="shared" si="230"/>
        <v>130077186.22875714</v>
      </c>
      <c r="CE64" s="213">
        <f t="shared" si="230"/>
        <v>119369701.36502725</v>
      </c>
      <c r="CF64" s="213">
        <f t="shared" si="230"/>
        <v>151617336.43367338</v>
      </c>
      <c r="CG64" s="213">
        <f t="shared" si="230"/>
        <v>137703730.30058789</v>
      </c>
      <c r="CH64" s="213">
        <f t="shared" si="230"/>
        <v>165665168.93555546</v>
      </c>
      <c r="CI64" s="213">
        <f t="shared" si="230"/>
        <v>169255429.5984962</v>
      </c>
      <c r="CJ64" s="213">
        <f t="shared" si="230"/>
        <v>155527368.25298131</v>
      </c>
      <c r="CK64" s="213">
        <f t="shared" si="230"/>
        <v>180920433.91225111</v>
      </c>
      <c r="CL64" s="213">
        <f t="shared" ref="CL64:CW64" si="263">CL31-CL45</f>
        <v>157323242.68161869</v>
      </c>
      <c r="CM64" s="213">
        <f t="shared" si="263"/>
        <v>153908763.0003587</v>
      </c>
      <c r="CN64" s="213">
        <f t="shared" si="263"/>
        <v>152495534.34024358</v>
      </c>
      <c r="CO64" s="213">
        <f t="shared" si="263"/>
        <v>166006235.48229825</v>
      </c>
      <c r="CP64" s="213">
        <f t="shared" si="263"/>
        <v>146180558.87535262</v>
      </c>
      <c r="CQ64" s="213">
        <f t="shared" si="263"/>
        <v>134003618.37572181</v>
      </c>
      <c r="CR64" s="213">
        <f t="shared" si="263"/>
        <v>170143284.30218387</v>
      </c>
      <c r="CS64" s="213">
        <f t="shared" si="263"/>
        <v>154451441.37827551</v>
      </c>
      <c r="CT64" s="213">
        <f t="shared" si="263"/>
        <v>185752631.2639569</v>
      </c>
      <c r="CU64" s="213">
        <f t="shared" si="263"/>
        <v>189726688.32291615</v>
      </c>
      <c r="CV64" s="213">
        <f t="shared" si="263"/>
        <v>174251314.17812407</v>
      </c>
      <c r="CW64" s="213">
        <f t="shared" si="263"/>
        <v>202639503.32673943</v>
      </c>
      <c r="CX64" s="168"/>
      <c r="CY64" s="213">
        <f t="shared" si="232"/>
        <v>135461049.55457613</v>
      </c>
      <c r="CZ64" s="213">
        <f t="shared" si="233"/>
        <v>121732448.33845145</v>
      </c>
      <c r="DA64" s="213">
        <f t="shared" si="234"/>
        <v>141069667.81967735</v>
      </c>
      <c r="DB64" s="213">
        <f t="shared" si="235"/>
        <v>145026133.40281171</v>
      </c>
      <c r="DC64" s="213">
        <f t="shared" si="236"/>
        <v>170932231.927726</v>
      </c>
      <c r="DD64" s="213">
        <f t="shared" si="237"/>
        <v>145525819.80496716</v>
      </c>
      <c r="DE64" s="213">
        <f t="shared" si="238"/>
        <v>184391662.43598726</v>
      </c>
      <c r="DF64" s="213">
        <f t="shared" si="239"/>
        <v>211661404.56625748</v>
      </c>
      <c r="DG64" s="213">
        <f t="shared" si="240"/>
        <v>233959811.2362653</v>
      </c>
      <c r="DH64" s="213">
        <f t="shared" si="241"/>
        <v>237094242.47074473</v>
      </c>
      <c r="DI64" s="213">
        <f t="shared" si="242"/>
        <v>315250100.40224665</v>
      </c>
      <c r="DJ64" s="213">
        <f t="shared" si="243"/>
        <v>338676535.25561428</v>
      </c>
      <c r="DK64" s="213">
        <f t="shared" si="244"/>
        <v>335978447.13520175</v>
      </c>
      <c r="DL64" s="213">
        <f t="shared" si="245"/>
        <v>325534955.3845185</v>
      </c>
      <c r="DM64" s="213">
        <f t="shared" si="246"/>
        <v>377166231.49024445</v>
      </c>
      <c r="DN64" s="213">
        <f t="shared" si="247"/>
        <v>425876066.84333396</v>
      </c>
      <c r="DO64" s="213">
        <f t="shared" si="248"/>
        <v>411775498.07375479</v>
      </c>
      <c r="DP64" s="213">
        <f t="shared" si="249"/>
        <v>397046621.41742116</v>
      </c>
      <c r="DQ64" s="213">
        <f t="shared" si="250"/>
        <v>454986235.66981673</v>
      </c>
      <c r="DR64" s="213">
        <f t="shared" si="251"/>
        <v>505703231.76372862</v>
      </c>
      <c r="DS64" s="213">
        <f t="shared" si="252"/>
        <v>463727540.02222097</v>
      </c>
      <c r="DT64" s="213">
        <f t="shared" si="253"/>
        <v>446190412.73337269</v>
      </c>
      <c r="DU64" s="213">
        <f t="shared" si="254"/>
        <v>510347356.94441628</v>
      </c>
      <c r="DV64" s="213">
        <f t="shared" si="255"/>
        <v>566617505.82777965</v>
      </c>
      <c r="DX64" s="213">
        <f t="shared" si="256"/>
        <v>543289299.11551666</v>
      </c>
      <c r="DY64" s="213">
        <f t="shared" si="257"/>
        <v>712511118.73493791</v>
      </c>
      <c r="DZ64" s="213">
        <f t="shared" si="258"/>
        <v>1124980689.364871</v>
      </c>
      <c r="EA64" s="213">
        <f t="shared" si="259"/>
        <v>1464555700.8532987</v>
      </c>
      <c r="EB64" s="213">
        <f t="shared" si="260"/>
        <v>1769511586.9247212</v>
      </c>
      <c r="EC64" s="772">
        <f t="shared" si="261"/>
        <v>1986882815.5277896</v>
      </c>
    </row>
    <row r="65" spans="2:133" x14ac:dyDescent="0.2">
      <c r="B65" s="155" t="s">
        <v>237</v>
      </c>
      <c r="C65" s="213">
        <f t="shared" si="262"/>
        <v>707348.01937854569</v>
      </c>
      <c r="D65" s="213">
        <f t="shared" ref="D65:BO65" si="264">D32-D46</f>
        <v>462205.14276391687</v>
      </c>
      <c r="E65" s="213">
        <f t="shared" si="264"/>
        <v>833839.45359273162</v>
      </c>
      <c r="F65" s="213">
        <f t="shared" si="264"/>
        <v>582317.61648819456</v>
      </c>
      <c r="G65" s="213">
        <f t="shared" si="264"/>
        <v>463050.42652340932</v>
      </c>
      <c r="H65" s="213">
        <f t="shared" si="264"/>
        <v>847260.99129819823</v>
      </c>
      <c r="I65" s="213">
        <f t="shared" si="264"/>
        <v>1459325.8059790442</v>
      </c>
      <c r="J65" s="213">
        <f t="shared" si="264"/>
        <v>1074265.4950951673</v>
      </c>
      <c r="K65" s="213">
        <f t="shared" si="264"/>
        <v>1637114.9311341364</v>
      </c>
      <c r="L65" s="213">
        <f t="shared" si="264"/>
        <v>765028.86070871819</v>
      </c>
      <c r="M65" s="213">
        <f t="shared" si="264"/>
        <v>3102541.6497051138</v>
      </c>
      <c r="N65" s="213">
        <f t="shared" si="264"/>
        <v>3316517.2924876213</v>
      </c>
      <c r="O65" s="213">
        <f t="shared" si="264"/>
        <v>4677615.863215223</v>
      </c>
      <c r="P65" s="213">
        <f t="shared" si="264"/>
        <v>5190656.464612972</v>
      </c>
      <c r="Q65" s="213">
        <f t="shared" si="264"/>
        <v>3412605.5633219797</v>
      </c>
      <c r="R65" s="213">
        <f t="shared" si="264"/>
        <v>3430776.5202675778</v>
      </c>
      <c r="S65" s="213">
        <f t="shared" si="264"/>
        <v>3881502.1852987818</v>
      </c>
      <c r="T65" s="213">
        <f t="shared" si="264"/>
        <v>5088423.254163105</v>
      </c>
      <c r="U65" s="213">
        <f t="shared" si="264"/>
        <v>3666122.9780897684</v>
      </c>
      <c r="V65" s="213">
        <f t="shared" si="264"/>
        <v>2713495.4514652714</v>
      </c>
      <c r="W65" s="213">
        <f t="shared" si="264"/>
        <v>2876428.6065411456</v>
      </c>
      <c r="X65" s="213">
        <f t="shared" si="264"/>
        <v>6004352.9799100682</v>
      </c>
      <c r="Y65" s="213">
        <f t="shared" si="264"/>
        <v>5524187.4356626607</v>
      </c>
      <c r="Z65" s="213">
        <f t="shared" si="264"/>
        <v>4782737.6086891741</v>
      </c>
      <c r="AA65" s="213">
        <f t="shared" si="264"/>
        <v>7112488.0350192711</v>
      </c>
      <c r="AB65" s="213">
        <f t="shared" si="264"/>
        <v>10465914.398006693</v>
      </c>
      <c r="AC65" s="213">
        <f t="shared" si="264"/>
        <v>17430550.256737769</v>
      </c>
      <c r="AD65" s="213">
        <f t="shared" si="264"/>
        <v>18142334.660863489</v>
      </c>
      <c r="AE65" s="213">
        <f t="shared" si="264"/>
        <v>20361784.491473958</v>
      </c>
      <c r="AF65" s="213">
        <f t="shared" si="264"/>
        <v>26536482.326324373</v>
      </c>
      <c r="AG65" s="213">
        <f t="shared" si="264"/>
        <v>18768569.450791001</v>
      </c>
      <c r="AH65" s="213">
        <f t="shared" si="264"/>
        <v>22339164.042280957</v>
      </c>
      <c r="AI65" s="213">
        <f t="shared" si="264"/>
        <v>17320181.846658736</v>
      </c>
      <c r="AJ65" s="213">
        <f t="shared" si="264"/>
        <v>33164463.974018276</v>
      </c>
      <c r="AK65" s="213">
        <f t="shared" si="264"/>
        <v>29207996.192771912</v>
      </c>
      <c r="AL65" s="213">
        <f t="shared" si="264"/>
        <v>30419658.626964301</v>
      </c>
      <c r="AM65" s="213">
        <f t="shared" si="264"/>
        <v>33430235.917297214</v>
      </c>
      <c r="AN65" s="213">
        <f t="shared" si="264"/>
        <v>29647208.729875863</v>
      </c>
      <c r="AO65" s="213">
        <f t="shared" si="264"/>
        <v>40459830.525793403</v>
      </c>
      <c r="AP65" s="213">
        <f t="shared" si="264"/>
        <v>36738333.770936161</v>
      </c>
      <c r="AQ65" s="213">
        <f t="shared" si="264"/>
        <v>39441466.023409605</v>
      </c>
      <c r="AR65" s="213">
        <f t="shared" si="264"/>
        <v>45503408.333002925</v>
      </c>
      <c r="AS65" s="213">
        <f t="shared" si="264"/>
        <v>44078819.835967988</v>
      </c>
      <c r="AT65" s="213">
        <f t="shared" si="264"/>
        <v>41034047.894219041</v>
      </c>
      <c r="AU65" s="213">
        <f t="shared" si="264"/>
        <v>41539980.591395199</v>
      </c>
      <c r="AV65" s="213">
        <f t="shared" si="264"/>
        <v>47263441.770308673</v>
      </c>
      <c r="AW65" s="213">
        <f t="shared" si="264"/>
        <v>41631013.197960466</v>
      </c>
      <c r="AX65" s="213">
        <f t="shared" si="264"/>
        <v>46156964.892674059</v>
      </c>
      <c r="AY65" s="213">
        <f t="shared" si="264"/>
        <v>51109008.603201151</v>
      </c>
      <c r="AZ65" s="213">
        <f t="shared" si="264"/>
        <v>44976738.132187426</v>
      </c>
      <c r="BA65" s="213">
        <f t="shared" si="264"/>
        <v>65018900.419855833</v>
      </c>
      <c r="BB65" s="213">
        <f t="shared" si="264"/>
        <v>54819410.180842042</v>
      </c>
      <c r="BC65" s="213">
        <f t="shared" si="264"/>
        <v>57116795.835979313</v>
      </c>
      <c r="BD65" s="213">
        <f t="shared" si="264"/>
        <v>58741828.526035607</v>
      </c>
      <c r="BE65" s="213">
        <f t="shared" si="264"/>
        <v>62750236.980523288</v>
      </c>
      <c r="BF65" s="213">
        <f t="shared" si="264"/>
        <v>56074218.699852467</v>
      </c>
      <c r="BG65" s="213">
        <f t="shared" si="264"/>
        <v>59350152.361803174</v>
      </c>
      <c r="BH65" s="213">
        <f t="shared" si="264"/>
        <v>53948627.925206065</v>
      </c>
      <c r="BI65" s="213">
        <f t="shared" si="264"/>
        <v>51339456.756686181</v>
      </c>
      <c r="BJ65" s="213">
        <f t="shared" si="264"/>
        <v>58940082.782338023</v>
      </c>
      <c r="BK65" s="213">
        <f t="shared" si="264"/>
        <v>62690633.760562658</v>
      </c>
      <c r="BL65" s="213">
        <f t="shared" si="264"/>
        <v>47939276.202489316</v>
      </c>
      <c r="BM65" s="213">
        <f t="shared" si="264"/>
        <v>56154926.269872189</v>
      </c>
      <c r="BN65" s="213">
        <f t="shared" si="264"/>
        <v>63766025.259320021</v>
      </c>
      <c r="BO65" s="213">
        <f t="shared" si="264"/>
        <v>64415014.013841271</v>
      </c>
      <c r="BP65" s="213">
        <f t="shared" si="230"/>
        <v>64368931.972100139</v>
      </c>
      <c r="BQ65" s="213">
        <f t="shared" si="230"/>
        <v>65340495.018809438</v>
      </c>
      <c r="BR65" s="213">
        <f t="shared" si="230"/>
        <v>61569447.936325073</v>
      </c>
      <c r="BS65" s="213">
        <f t="shared" si="230"/>
        <v>67352744.174839675</v>
      </c>
      <c r="BT65" s="213">
        <f t="shared" si="230"/>
        <v>65490261.65446806</v>
      </c>
      <c r="BU65" s="213">
        <f t="shared" si="230"/>
        <v>65643868.460272014</v>
      </c>
      <c r="BV65" s="213">
        <f t="shared" si="230"/>
        <v>80578290.154550493</v>
      </c>
      <c r="BW65" s="213">
        <f t="shared" si="230"/>
        <v>86822406.81047672</v>
      </c>
      <c r="BX65" s="213">
        <f t="shared" si="230"/>
        <v>74434017.922396898</v>
      </c>
      <c r="BY65" s="213">
        <f t="shared" si="230"/>
        <v>80432363.689036965</v>
      </c>
      <c r="BZ65" s="213">
        <f t="shared" si="230"/>
        <v>74758803.086356401</v>
      </c>
      <c r="CA65" s="213">
        <f t="shared" si="230"/>
        <v>75519672.566729367</v>
      </c>
      <c r="CB65" s="213">
        <f t="shared" si="230"/>
        <v>75465646.331436694</v>
      </c>
      <c r="CC65" s="213">
        <f t="shared" si="230"/>
        <v>76604699.458859026</v>
      </c>
      <c r="CD65" s="213">
        <f t="shared" si="230"/>
        <v>72183552.537401497</v>
      </c>
      <c r="CE65" s="213">
        <f t="shared" si="230"/>
        <v>78963845.06664288</v>
      </c>
      <c r="CF65" s="213">
        <f t="shared" si="230"/>
        <v>76780284.723560452</v>
      </c>
      <c r="CG65" s="213">
        <f t="shared" si="230"/>
        <v>76960372.174536347</v>
      </c>
      <c r="CH65" s="213">
        <f t="shared" si="230"/>
        <v>94469374.595665038</v>
      </c>
      <c r="CI65" s="213">
        <f t="shared" si="230"/>
        <v>101789929.47783387</v>
      </c>
      <c r="CJ65" s="213">
        <f t="shared" si="230"/>
        <v>87265876.556630254</v>
      </c>
      <c r="CK65" s="213">
        <f t="shared" si="230"/>
        <v>94298291.517237842</v>
      </c>
      <c r="CL65" s="213">
        <f t="shared" ref="CL65:CW65" si="265">CL32-CL46</f>
        <v>87619547.252069592</v>
      </c>
      <c r="CM65" s="213">
        <f t="shared" si="265"/>
        <v>88511308.979597449</v>
      </c>
      <c r="CN65" s="213">
        <f t="shared" si="265"/>
        <v>88447988.62024647</v>
      </c>
      <c r="CO65" s="213">
        <f t="shared" si="265"/>
        <v>89782992.863231897</v>
      </c>
      <c r="CP65" s="213">
        <f t="shared" si="265"/>
        <v>84601276.789667726</v>
      </c>
      <c r="CQ65" s="213">
        <f t="shared" si="265"/>
        <v>92547981.88822943</v>
      </c>
      <c r="CR65" s="213">
        <f t="shared" si="265"/>
        <v>89988784.031122863</v>
      </c>
      <c r="CS65" s="213">
        <f t="shared" si="265"/>
        <v>90199851.895626485</v>
      </c>
      <c r="CT65" s="213">
        <f t="shared" si="265"/>
        <v>110720925.02199197</v>
      </c>
      <c r="CU65" s="213">
        <f t="shared" si="265"/>
        <v>119300833.71406436</v>
      </c>
      <c r="CV65" s="213">
        <f t="shared" si="265"/>
        <v>102278210.44184679</v>
      </c>
      <c r="CW65" s="213">
        <f t="shared" si="265"/>
        <v>110520410.55071354</v>
      </c>
      <c r="CX65" s="168"/>
      <c r="CY65" s="213">
        <f t="shared" si="232"/>
        <v>65040601.47866182</v>
      </c>
      <c r="CZ65" s="213">
        <f t="shared" si="233"/>
        <v>58427915.339730695</v>
      </c>
      <c r="DA65" s="213">
        <f t="shared" si="234"/>
        <v>92792118.793754488</v>
      </c>
      <c r="DB65" s="213">
        <f t="shared" si="235"/>
        <v>103537275.17296648</v>
      </c>
      <c r="DC65" s="213">
        <f t="shared" si="236"/>
        <v>121683208.12734869</v>
      </c>
      <c r="DD65" s="213">
        <f t="shared" si="237"/>
        <v>126652848.32158223</v>
      </c>
      <c r="DE65" s="213">
        <f t="shared" si="238"/>
        <v>135051419.8609432</v>
      </c>
      <c r="DF65" s="213">
        <f t="shared" si="239"/>
        <v>161104647.15524441</v>
      </c>
      <c r="DG65" s="213">
        <f t="shared" si="240"/>
        <v>170678034.54285696</v>
      </c>
      <c r="DH65" s="213">
        <f t="shared" si="241"/>
        <v>178174608.04217893</v>
      </c>
      <c r="DI65" s="213">
        <f t="shared" si="242"/>
        <v>164228167.46423027</v>
      </c>
      <c r="DJ65" s="213">
        <f t="shared" si="243"/>
        <v>166784836.23292416</v>
      </c>
      <c r="DK65" s="213">
        <f t="shared" si="244"/>
        <v>192549971.24526143</v>
      </c>
      <c r="DL65" s="213">
        <f t="shared" si="245"/>
        <v>194262687.12997419</v>
      </c>
      <c r="DM65" s="213">
        <f t="shared" si="246"/>
        <v>211712420.26929057</v>
      </c>
      <c r="DN65" s="213">
        <f t="shared" si="247"/>
        <v>241688788.42191058</v>
      </c>
      <c r="DO65" s="213">
        <f t="shared" si="248"/>
        <v>225744121.98452246</v>
      </c>
      <c r="DP65" s="213">
        <f t="shared" si="249"/>
        <v>227752097.0629034</v>
      </c>
      <c r="DQ65" s="213">
        <f t="shared" si="250"/>
        <v>248210031.49376184</v>
      </c>
      <c r="DR65" s="213">
        <f t="shared" si="251"/>
        <v>283354097.55170196</v>
      </c>
      <c r="DS65" s="213">
        <f t="shared" si="252"/>
        <v>264578844.85191351</v>
      </c>
      <c r="DT65" s="213">
        <f t="shared" si="253"/>
        <v>266932251.54112905</v>
      </c>
      <c r="DU65" s="213">
        <f t="shared" si="254"/>
        <v>290909560.94874132</v>
      </c>
      <c r="DV65" s="213">
        <f t="shared" si="255"/>
        <v>332099454.70662469</v>
      </c>
      <c r="DX65" s="213">
        <f t="shared" si="256"/>
        <v>319797910.78511345</v>
      </c>
      <c r="DY65" s="213">
        <f t="shared" si="257"/>
        <v>544492123.46511853</v>
      </c>
      <c r="DZ65" s="213">
        <f t="shared" si="258"/>
        <v>679865646.28219032</v>
      </c>
      <c r="EA65" s="213">
        <f t="shared" si="259"/>
        <v>840213867.06643677</v>
      </c>
      <c r="EB65" s="213">
        <f t="shared" si="260"/>
        <v>985060348.09288979</v>
      </c>
      <c r="EC65" s="772">
        <f t="shared" si="261"/>
        <v>1154520112.0484085</v>
      </c>
    </row>
    <row r="66" spans="2:133" x14ac:dyDescent="0.2">
      <c r="B66" s="155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68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X66" s="19"/>
      <c r="DY66" s="19"/>
      <c r="DZ66" s="19"/>
      <c r="EA66" s="19"/>
      <c r="EB66" s="19"/>
      <c r="EC66" s="770"/>
    </row>
    <row r="67" spans="2:133" x14ac:dyDescent="0.2">
      <c r="B67" s="22" t="s">
        <v>31</v>
      </c>
      <c r="C67" s="20">
        <f>C63/C30</f>
        <v>0.16262745602388695</v>
      </c>
      <c r="D67" s="20">
        <f t="shared" ref="D67:BO67" si="266">D63/D30</f>
        <v>0.17067282272417497</v>
      </c>
      <c r="E67" s="20">
        <f t="shared" si="266"/>
        <v>0.20015614568596019</v>
      </c>
      <c r="F67" s="20">
        <f t="shared" si="266"/>
        <v>0.20176157209800216</v>
      </c>
      <c r="G67" s="20">
        <f t="shared" si="266"/>
        <v>0.14600217218078893</v>
      </c>
      <c r="H67" s="20">
        <f t="shared" si="266"/>
        <v>0.21380168640450664</v>
      </c>
      <c r="I67" s="20">
        <f t="shared" si="266"/>
        <v>0.24915480247354715</v>
      </c>
      <c r="J67" s="20">
        <f t="shared" si="266"/>
        <v>0.22793099775640471</v>
      </c>
      <c r="K67" s="20">
        <f t="shared" si="266"/>
        <v>0.19698529252228728</v>
      </c>
      <c r="L67" s="20">
        <f t="shared" si="266"/>
        <v>0.18595060973896274</v>
      </c>
      <c r="M67" s="20">
        <f t="shared" si="266"/>
        <v>0.22491237576639128</v>
      </c>
      <c r="N67" s="20">
        <f t="shared" si="266"/>
        <v>0.21054784763678427</v>
      </c>
      <c r="O67" s="20">
        <f t="shared" si="266"/>
        <v>0.18830342931249694</v>
      </c>
      <c r="P67" s="20">
        <f t="shared" si="266"/>
        <v>0.20208874428285065</v>
      </c>
      <c r="Q67" s="20">
        <f t="shared" si="266"/>
        <v>0.19280621936491277</v>
      </c>
      <c r="R67" s="20">
        <f t="shared" si="266"/>
        <v>0.19864794574916061</v>
      </c>
      <c r="S67" s="20">
        <f t="shared" si="266"/>
        <v>0.17618116545876866</v>
      </c>
      <c r="T67" s="20">
        <f t="shared" si="266"/>
        <v>0.16093134278506138</v>
      </c>
      <c r="U67" s="20">
        <f t="shared" si="266"/>
        <v>0.17223755504403221</v>
      </c>
      <c r="V67" s="20">
        <f t="shared" si="266"/>
        <v>0.15785303319927926</v>
      </c>
      <c r="W67" s="20">
        <f t="shared" si="266"/>
        <v>0.12845439715827664</v>
      </c>
      <c r="X67" s="20">
        <f t="shared" si="266"/>
        <v>0.13881633751553474</v>
      </c>
      <c r="Y67" s="20">
        <f t="shared" si="266"/>
        <v>0.14352728976337398</v>
      </c>
      <c r="Z67" s="20">
        <f t="shared" si="266"/>
        <v>0.14855338505182289</v>
      </c>
      <c r="AA67" s="20">
        <f t="shared" si="266"/>
        <v>0.1575647799012726</v>
      </c>
      <c r="AB67" s="20">
        <f t="shared" si="266"/>
        <v>0.16576211386912468</v>
      </c>
      <c r="AC67" s="20">
        <f t="shared" si="266"/>
        <v>0.15464574452751262</v>
      </c>
      <c r="AD67" s="20">
        <f t="shared" si="266"/>
        <v>0.12879594684721093</v>
      </c>
      <c r="AE67" s="20">
        <f t="shared" si="266"/>
        <v>0.14102936081808964</v>
      </c>
      <c r="AF67" s="20">
        <f t="shared" si="266"/>
        <v>0.15426286273194201</v>
      </c>
      <c r="AG67" s="20">
        <f t="shared" si="266"/>
        <v>0.15331970191129038</v>
      </c>
      <c r="AH67" s="20">
        <f t="shared" si="266"/>
        <v>0.1568151541740708</v>
      </c>
      <c r="AI67" s="20">
        <f t="shared" si="266"/>
        <v>0.12798615312967379</v>
      </c>
      <c r="AJ67" s="20">
        <f t="shared" si="266"/>
        <v>0.13068736027078628</v>
      </c>
      <c r="AK67" s="20">
        <f t="shared" si="266"/>
        <v>0.14699705129914065</v>
      </c>
      <c r="AL67" s="20">
        <f t="shared" si="266"/>
        <v>0.15707002472815981</v>
      </c>
      <c r="AM67" s="20">
        <f t="shared" si="266"/>
        <v>0.16990612714828918</v>
      </c>
      <c r="AN67" s="20">
        <f t="shared" si="266"/>
        <v>0.20965222426639385</v>
      </c>
      <c r="AO67" s="20">
        <f t="shared" si="266"/>
        <v>0.20014968726551774</v>
      </c>
      <c r="AP67" s="20">
        <f t="shared" si="266"/>
        <v>0.18446408556090757</v>
      </c>
      <c r="AQ67" s="20">
        <f t="shared" si="266"/>
        <v>0.19382133757778286</v>
      </c>
      <c r="AR67" s="20">
        <f t="shared" si="266"/>
        <v>0.19938719314172179</v>
      </c>
      <c r="AS67" s="20">
        <f t="shared" si="266"/>
        <v>0.19514658969561258</v>
      </c>
      <c r="AT67" s="20">
        <f t="shared" si="266"/>
        <v>0.19452015755305274</v>
      </c>
      <c r="AU67" s="20">
        <f t="shared" si="266"/>
        <v>0.18487336128408244</v>
      </c>
      <c r="AV67" s="20">
        <f t="shared" si="266"/>
        <v>0.19322216076134952</v>
      </c>
      <c r="AW67" s="20">
        <f t="shared" si="266"/>
        <v>0.19775664503959589</v>
      </c>
      <c r="AX67" s="20">
        <f t="shared" si="266"/>
        <v>0.18816175709751357</v>
      </c>
      <c r="AY67" s="20">
        <f t="shared" si="266"/>
        <v>0.18144462024502719</v>
      </c>
      <c r="AZ67" s="20">
        <f t="shared" si="266"/>
        <v>0.17638523392222505</v>
      </c>
      <c r="BA67" s="20">
        <f t="shared" si="266"/>
        <v>0.18348671905819366</v>
      </c>
      <c r="BB67" s="20">
        <f t="shared" si="266"/>
        <v>0.18333144774441149</v>
      </c>
      <c r="BC67" s="20">
        <f t="shared" si="266"/>
        <v>0.18232424026333846</v>
      </c>
      <c r="BD67" s="20">
        <f t="shared" si="266"/>
        <v>0.19450101255541419</v>
      </c>
      <c r="BE67" s="20">
        <f t="shared" si="266"/>
        <v>0.19024408737335985</v>
      </c>
      <c r="BF67" s="20">
        <f t="shared" si="266"/>
        <v>0.2054322760466229</v>
      </c>
      <c r="BG67" s="20">
        <f t="shared" si="266"/>
        <v>0.18241313551942318</v>
      </c>
      <c r="BH67" s="20">
        <f t="shared" si="266"/>
        <v>0.19658285141190748</v>
      </c>
      <c r="BI67" s="20">
        <f t="shared" si="266"/>
        <v>0.19167693970242636</v>
      </c>
      <c r="BJ67" s="20">
        <f t="shared" si="266"/>
        <v>0.1738743172618433</v>
      </c>
      <c r="BK67" s="20">
        <f t="shared" si="266"/>
        <v>0.17291671763853883</v>
      </c>
      <c r="BL67" s="20">
        <f t="shared" si="266"/>
        <v>0.16602446987470734</v>
      </c>
      <c r="BM67" s="20">
        <f t="shared" si="266"/>
        <v>0.1539176022917263</v>
      </c>
      <c r="BN67" s="20">
        <f t="shared" si="266"/>
        <v>0.1819965262678028</v>
      </c>
      <c r="BO67" s="20">
        <f t="shared" si="266"/>
        <v>0.18178785245274137</v>
      </c>
      <c r="BP67" s="20">
        <f t="shared" ref="BP67:EC67" si="267">BP63/BP30</f>
        <v>0.18175932269938069</v>
      </c>
      <c r="BQ67" s="20">
        <f t="shared" si="267"/>
        <v>0.18220717194780606</v>
      </c>
      <c r="BR67" s="20">
        <f t="shared" si="267"/>
        <v>0.18173971162374011</v>
      </c>
      <c r="BS67" s="20">
        <f t="shared" si="267"/>
        <v>0.18070525332391804</v>
      </c>
      <c r="BT67" s="20">
        <f t="shared" si="267"/>
        <v>0.18237662676952507</v>
      </c>
      <c r="BU67" s="20">
        <f t="shared" si="267"/>
        <v>0.18178903598811375</v>
      </c>
      <c r="BV67" s="20">
        <f t="shared" si="267"/>
        <v>0.18184801255695712</v>
      </c>
      <c r="BW67" s="20">
        <f t="shared" si="267"/>
        <v>0.18159269533954828</v>
      </c>
      <c r="BX67" s="20">
        <f t="shared" si="267"/>
        <v>0.18192751715095445</v>
      </c>
      <c r="BY67" s="20">
        <f t="shared" si="267"/>
        <v>0.18249569159280249</v>
      </c>
      <c r="BZ67" s="20">
        <f t="shared" si="267"/>
        <v>0.18105213381763263</v>
      </c>
      <c r="CA67" s="20">
        <f t="shared" si="267"/>
        <v>0.18085437869285687</v>
      </c>
      <c r="CB67" s="20">
        <f t="shared" si="267"/>
        <v>0.18079776952215565</v>
      </c>
      <c r="CC67" s="20">
        <f t="shared" si="267"/>
        <v>0.18124823940989002</v>
      </c>
      <c r="CD67" s="20">
        <f t="shared" si="267"/>
        <v>0.18076977995527976</v>
      </c>
      <c r="CE67" s="20">
        <f t="shared" si="267"/>
        <v>0.1796975309195965</v>
      </c>
      <c r="CF67" s="20">
        <f t="shared" si="267"/>
        <v>0.18138164168101464</v>
      </c>
      <c r="CG67" s="20">
        <f t="shared" si="267"/>
        <v>0.18075693456530711</v>
      </c>
      <c r="CH67" s="20">
        <f t="shared" si="267"/>
        <v>0.18077796603606297</v>
      </c>
      <c r="CI67" s="20">
        <f t="shared" si="267"/>
        <v>0.18048783735986745</v>
      </c>
      <c r="CJ67" s="20">
        <f t="shared" si="267"/>
        <v>0.18081759061994504</v>
      </c>
      <c r="CK67" s="20">
        <f t="shared" si="267"/>
        <v>0.18132998074356962</v>
      </c>
      <c r="CL67" s="20">
        <f t="shared" ref="CL67:CW67" si="268">CL63/CL30</f>
        <v>0.17850232803637378</v>
      </c>
      <c r="CM67" s="20">
        <f t="shared" si="268"/>
        <v>0.17830706365721741</v>
      </c>
      <c r="CN67" s="20">
        <f t="shared" si="268"/>
        <v>0.1782495206295755</v>
      </c>
      <c r="CO67" s="20">
        <f t="shared" si="268"/>
        <v>0.17868033793900501</v>
      </c>
      <c r="CP67" s="20">
        <f t="shared" si="268"/>
        <v>0.17821591597817435</v>
      </c>
      <c r="CQ67" s="20">
        <f t="shared" si="268"/>
        <v>0.17717757119248179</v>
      </c>
      <c r="CR67" s="20">
        <f t="shared" si="268"/>
        <v>0.17879755912918194</v>
      </c>
      <c r="CS67" s="20">
        <f t="shared" si="268"/>
        <v>0.17819251331180699</v>
      </c>
      <c r="CT67" s="20">
        <f t="shared" si="268"/>
        <v>0.17820803292201126</v>
      </c>
      <c r="CU67" s="20">
        <f t="shared" si="268"/>
        <v>0.17792615110005411</v>
      </c>
      <c r="CV67" s="20">
        <f t="shared" si="268"/>
        <v>0.17824330958250223</v>
      </c>
      <c r="CW67" s="20">
        <f t="shared" si="268"/>
        <v>0.1787348432128128</v>
      </c>
      <c r="CX67" s="168"/>
      <c r="CY67" s="20">
        <f t="shared" si="267"/>
        <v>0.14170885077152465</v>
      </c>
      <c r="CZ67" s="20">
        <f t="shared" si="267"/>
        <v>0.1458531639756534</v>
      </c>
      <c r="DA67" s="20">
        <f t="shared" si="267"/>
        <v>0.14359719621531952</v>
      </c>
      <c r="DB67" s="20">
        <f t="shared" si="267"/>
        <v>0.19241966134565994</v>
      </c>
      <c r="DC67" s="20">
        <f t="shared" si="267"/>
        <v>0.19277286935776897</v>
      </c>
      <c r="DD67" s="20">
        <f t="shared" si="267"/>
        <v>0.19179064232612181</v>
      </c>
      <c r="DE67" s="20">
        <f t="shared" si="267"/>
        <v>0.19276297267985967</v>
      </c>
      <c r="DF67" s="20">
        <f t="shared" si="267"/>
        <v>0.18071522547717944</v>
      </c>
      <c r="DG67" s="20">
        <f t="shared" si="267"/>
        <v>0.18672642568750195</v>
      </c>
      <c r="DH67" s="20">
        <f t="shared" si="267"/>
        <v>0.19228876466478198</v>
      </c>
      <c r="DI67" s="20">
        <f t="shared" si="267"/>
        <v>0.18664815693207229</v>
      </c>
      <c r="DJ67" s="20">
        <f t="shared" si="267"/>
        <v>0.16399920056372358</v>
      </c>
      <c r="DK67" s="20">
        <f t="shared" si="267"/>
        <v>0.18184848193875081</v>
      </c>
      <c r="DL67" s="20">
        <f t="shared" si="267"/>
        <v>0.18157585321552555</v>
      </c>
      <c r="DM67" s="20">
        <f t="shared" si="267"/>
        <v>0.18200071204037596</v>
      </c>
      <c r="DN67" s="20">
        <f t="shared" si="267"/>
        <v>0.18201150457150914</v>
      </c>
      <c r="DO67" s="20">
        <f t="shared" si="267"/>
        <v>0.18090206913495191</v>
      </c>
      <c r="DP67" s="20">
        <f t="shared" si="267"/>
        <v>0.18059877897841875</v>
      </c>
      <c r="DQ67" s="20">
        <f t="shared" si="267"/>
        <v>0.18096716365769641</v>
      </c>
      <c r="DR67" s="20">
        <f t="shared" si="267"/>
        <v>0.18088234862910077</v>
      </c>
      <c r="DS67" s="20">
        <f t="shared" si="267"/>
        <v>0.17835363202806276</v>
      </c>
      <c r="DT67" s="20">
        <f t="shared" si="267"/>
        <v>0.17805041540188196</v>
      </c>
      <c r="DU67" s="20">
        <f t="shared" si="267"/>
        <v>0.17839424980024601</v>
      </c>
      <c r="DV67" s="20">
        <f t="shared" si="267"/>
        <v>0.17830488516290383</v>
      </c>
      <c r="DW67" s="771"/>
      <c r="DX67" s="20">
        <f t="shared" si="267"/>
        <v>0.1549396013747647</v>
      </c>
      <c r="DY67" s="20">
        <f t="shared" si="267"/>
        <v>0.18882484169091029</v>
      </c>
      <c r="DZ67" s="20">
        <f t="shared" si="267"/>
        <v>0.1808897461312988</v>
      </c>
      <c r="EA67" s="20">
        <f t="shared" si="267"/>
        <v>0.18187294591312769</v>
      </c>
      <c r="EB67" s="20">
        <f t="shared" si="267"/>
        <v>0.18084414109064187</v>
      </c>
      <c r="EC67" s="20">
        <f t="shared" si="267"/>
        <v>0.17828111984408004</v>
      </c>
    </row>
    <row r="68" spans="2:133" x14ac:dyDescent="0.2">
      <c r="B68" s="22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68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X68" s="19"/>
      <c r="DY68" s="19"/>
      <c r="DZ68" s="19"/>
      <c r="EA68" s="19"/>
      <c r="EB68" s="19"/>
      <c r="EC68" s="770"/>
    </row>
    <row r="69" spans="2:133" x14ac:dyDescent="0.2">
      <c r="B69" s="212" t="s">
        <v>32</v>
      </c>
      <c r="C69" s="199">
        <f>C70+C71</f>
        <v>850350.70466111251</v>
      </c>
      <c r="D69" s="199">
        <f t="shared" ref="D69:BO69" si="269">D70+D71</f>
        <v>779642.97560848226</v>
      </c>
      <c r="E69" s="199">
        <f t="shared" si="269"/>
        <v>1073329.13103732</v>
      </c>
      <c r="F69" s="199">
        <f t="shared" si="269"/>
        <v>684183.70542512031</v>
      </c>
      <c r="G69" s="199">
        <f t="shared" si="269"/>
        <v>180494.11343541247</v>
      </c>
      <c r="H69" s="199">
        <f t="shared" si="269"/>
        <v>524376.44873201288</v>
      </c>
      <c r="I69" s="199">
        <f t="shared" si="269"/>
        <v>866314.03307485511</v>
      </c>
      <c r="J69" s="199">
        <f t="shared" si="269"/>
        <v>1137371.1187706569</v>
      </c>
      <c r="K69" s="199">
        <f t="shared" si="269"/>
        <v>1546680.450951118</v>
      </c>
      <c r="L69" s="199">
        <f t="shared" si="269"/>
        <v>1716941.6557972576</v>
      </c>
      <c r="M69" s="199">
        <f t="shared" si="269"/>
        <v>2471061.4216274656</v>
      </c>
      <c r="N69" s="199">
        <f t="shared" si="269"/>
        <v>2888105.2633805634</v>
      </c>
      <c r="O69" s="199">
        <f t="shared" si="269"/>
        <v>2961944.9472865858</v>
      </c>
      <c r="P69" s="199">
        <f t="shared" si="269"/>
        <v>3415468.7282516612</v>
      </c>
      <c r="Q69" s="199">
        <f t="shared" si="269"/>
        <v>3892562.5855937009</v>
      </c>
      <c r="R69" s="199">
        <f t="shared" si="269"/>
        <v>3615992.0734041841</v>
      </c>
      <c r="S69" s="199">
        <f t="shared" si="269"/>
        <v>4256171.0706265233</v>
      </c>
      <c r="T69" s="199">
        <f t="shared" si="269"/>
        <v>5603282.6070287349</v>
      </c>
      <c r="U69" s="199">
        <f t="shared" si="269"/>
        <v>6000959.6237090891</v>
      </c>
      <c r="V69" s="199">
        <f t="shared" si="269"/>
        <v>5138815.1252374891</v>
      </c>
      <c r="W69" s="199">
        <f t="shared" si="269"/>
        <v>5598506.6404985208</v>
      </c>
      <c r="X69" s="199">
        <f t="shared" si="269"/>
        <v>7597320.635032177</v>
      </c>
      <c r="Y69" s="199">
        <f t="shared" si="269"/>
        <v>7013279.115783656</v>
      </c>
      <c r="Z69" s="199">
        <f t="shared" si="269"/>
        <v>7254389.9913355429</v>
      </c>
      <c r="AA69" s="199">
        <f t="shared" si="269"/>
        <v>7903258.3444345882</v>
      </c>
      <c r="AB69" s="199">
        <f t="shared" si="269"/>
        <v>10598899.38170585</v>
      </c>
      <c r="AC69" s="199">
        <f t="shared" si="269"/>
        <v>20618964.310480479</v>
      </c>
      <c r="AD69" s="199">
        <f t="shared" si="269"/>
        <v>23435532.669022363</v>
      </c>
      <c r="AE69" s="199">
        <f t="shared" si="269"/>
        <v>22093981.074309364</v>
      </c>
      <c r="AF69" s="199">
        <f t="shared" si="269"/>
        <v>23799440.775466677</v>
      </c>
      <c r="AG69" s="199">
        <f t="shared" si="269"/>
        <v>20434946.65309681</v>
      </c>
      <c r="AH69" s="199">
        <f t="shared" si="269"/>
        <v>21389426.56514528</v>
      </c>
      <c r="AI69" s="199">
        <f t="shared" si="269"/>
        <v>21851677.278707456</v>
      </c>
      <c r="AJ69" s="199">
        <f t="shared" si="269"/>
        <v>35062193.082518063</v>
      </c>
      <c r="AK69" s="199">
        <f t="shared" si="269"/>
        <v>25546594.537649602</v>
      </c>
      <c r="AL69" s="199">
        <f t="shared" si="269"/>
        <v>23623470.02596521</v>
      </c>
      <c r="AM69" s="199">
        <f t="shared" si="269"/>
        <v>23797227.034203131</v>
      </c>
      <c r="AN69" s="199">
        <f t="shared" si="269"/>
        <v>25645704.072109316</v>
      </c>
      <c r="AO69" s="199">
        <f t="shared" si="269"/>
        <v>28698572.702786423</v>
      </c>
      <c r="AP69" s="199">
        <f t="shared" si="269"/>
        <v>25303219.867993578</v>
      </c>
      <c r="AQ69" s="199">
        <f t="shared" si="269"/>
        <v>27305226.264646206</v>
      </c>
      <c r="AR69" s="199">
        <f t="shared" si="269"/>
        <v>29171125.808588423</v>
      </c>
      <c r="AS69" s="199">
        <f t="shared" si="269"/>
        <v>30366182.903693564</v>
      </c>
      <c r="AT69" s="199">
        <f t="shared" si="269"/>
        <v>25848113.428560697</v>
      </c>
      <c r="AU69" s="199">
        <f t="shared" si="269"/>
        <v>25109935.068123266</v>
      </c>
      <c r="AV69" s="199">
        <f t="shared" si="269"/>
        <v>29919406.035890166</v>
      </c>
      <c r="AW69" s="199">
        <f t="shared" si="269"/>
        <v>27904452.693207178</v>
      </c>
      <c r="AX69" s="199">
        <f t="shared" si="269"/>
        <v>29003690.955443293</v>
      </c>
      <c r="AY69" s="199">
        <f t="shared" si="269"/>
        <v>31042545.03414268</v>
      </c>
      <c r="AZ69" s="199">
        <f t="shared" si="269"/>
        <v>27166423.912037559</v>
      </c>
      <c r="BA69" s="199">
        <f t="shared" si="269"/>
        <v>40990218.789946713</v>
      </c>
      <c r="BB69" s="199">
        <f t="shared" si="269"/>
        <v>39635056.733587444</v>
      </c>
      <c r="BC69" s="199">
        <f t="shared" si="269"/>
        <v>39064855.649196118</v>
      </c>
      <c r="BD69" s="199">
        <f t="shared" si="269"/>
        <v>42303201.216431662</v>
      </c>
      <c r="BE69" s="199">
        <f t="shared" si="269"/>
        <v>44875004.818586975</v>
      </c>
      <c r="BF69" s="199">
        <f t="shared" si="269"/>
        <v>36589226.049496628</v>
      </c>
      <c r="BG69" s="199">
        <f t="shared" si="269"/>
        <v>40453321.323905982</v>
      </c>
      <c r="BH69" s="199">
        <f t="shared" si="269"/>
        <v>53362034.811345682</v>
      </c>
      <c r="BI69" s="199">
        <f t="shared" si="269"/>
        <v>38680694.957107082</v>
      </c>
      <c r="BJ69" s="199">
        <f t="shared" si="269"/>
        <v>40385535.223520942</v>
      </c>
      <c r="BK69" s="199">
        <f t="shared" si="269"/>
        <v>44864827.078801945</v>
      </c>
      <c r="BL69" s="199">
        <f t="shared" si="269"/>
        <v>39667198.708331183</v>
      </c>
      <c r="BM69" s="199">
        <f t="shared" si="269"/>
        <v>48208678.204250678</v>
      </c>
      <c r="BN69" s="199">
        <f t="shared" si="269"/>
        <v>43802828.520379215</v>
      </c>
      <c r="BO69" s="199">
        <f t="shared" si="269"/>
        <v>43651335.965722509</v>
      </c>
      <c r="BP69" s="199">
        <f t="shared" ref="BP69:CK69" si="270">BP70+BP71</f>
        <v>43588311.19620505</v>
      </c>
      <c r="BQ69" s="199">
        <f t="shared" si="270"/>
        <v>45418388.23012349</v>
      </c>
      <c r="BR69" s="199">
        <f t="shared" si="270"/>
        <v>41980462.746965706</v>
      </c>
      <c r="BS69" s="199">
        <f t="shared" si="270"/>
        <v>42816633.90408691</v>
      </c>
      <c r="BT69" s="199">
        <f t="shared" si="270"/>
        <v>46128911.592322797</v>
      </c>
      <c r="BU69" s="199">
        <f t="shared" si="270"/>
        <v>44586471.457573682</v>
      </c>
      <c r="BV69" s="199">
        <f t="shared" si="270"/>
        <v>53478099.56339623</v>
      </c>
      <c r="BW69" s="199">
        <f t="shared" si="270"/>
        <v>56265774.59687379</v>
      </c>
      <c r="BX69" s="199">
        <f t="shared" si="270"/>
        <v>50205833.083047032</v>
      </c>
      <c r="BY69" s="199">
        <f t="shared" si="270"/>
        <v>55782588.029854521</v>
      </c>
      <c r="BZ69" s="199">
        <f t="shared" si="270"/>
        <v>52544764.615516067</v>
      </c>
      <c r="CA69" s="199">
        <f t="shared" si="270"/>
        <v>52402100.074989125</v>
      </c>
      <c r="CB69" s="199">
        <f t="shared" si="270"/>
        <v>52214673.591336116</v>
      </c>
      <c r="CC69" s="199">
        <f t="shared" si="270"/>
        <v>54440920.998586938</v>
      </c>
      <c r="CD69" s="199">
        <f t="shared" si="270"/>
        <v>50221290.095540166</v>
      </c>
      <c r="CE69" s="199">
        <f t="shared" si="270"/>
        <v>51129326.81130226</v>
      </c>
      <c r="CF69" s="199">
        <f t="shared" si="270"/>
        <v>55133612.725997373</v>
      </c>
      <c r="CG69" s="199">
        <f t="shared" si="270"/>
        <v>53135511.668033689</v>
      </c>
      <c r="CH69" s="199">
        <f t="shared" si="270"/>
        <v>63725680.942332208</v>
      </c>
      <c r="CI69" s="199">
        <f t="shared" si="270"/>
        <v>66949511.805395573</v>
      </c>
      <c r="CJ69" s="199">
        <f t="shared" si="270"/>
        <v>59584924.464030877</v>
      </c>
      <c r="CK69" s="199">
        <f t="shared" si="270"/>
        <v>65949408.35316164</v>
      </c>
      <c r="CL69" s="199">
        <f t="shared" ref="CL69:CW69" si="271">CL70+CL71</f>
        <v>60371315.853714734</v>
      </c>
      <c r="CM69" s="199">
        <f t="shared" si="271"/>
        <v>60194123.838070795</v>
      </c>
      <c r="CN69" s="199">
        <f t="shared" si="271"/>
        <v>59964878.292653427</v>
      </c>
      <c r="CO69" s="199">
        <f t="shared" si="271"/>
        <v>62504041.66091691</v>
      </c>
      <c r="CP69" s="199">
        <f t="shared" si="271"/>
        <v>57617173.229505807</v>
      </c>
      <c r="CQ69" s="199">
        <f t="shared" si="271"/>
        <v>58710062.560120098</v>
      </c>
      <c r="CR69" s="199">
        <f t="shared" si="271"/>
        <v>63234871.000823453</v>
      </c>
      <c r="CS69" s="199">
        <f t="shared" si="271"/>
        <v>60948881.249344677</v>
      </c>
      <c r="CT69" s="199">
        <f t="shared" si="271"/>
        <v>73216816.337179422</v>
      </c>
      <c r="CU69" s="199">
        <f t="shared" si="271"/>
        <v>76971287.836008415</v>
      </c>
      <c r="CV69" s="199">
        <f t="shared" si="271"/>
        <v>68390435.844893068</v>
      </c>
      <c r="CW69" s="199">
        <f t="shared" si="271"/>
        <v>75709872.84109965</v>
      </c>
      <c r="CX69" s="168"/>
      <c r="CY69" s="199">
        <f t="shared" ref="CY69:CY77" si="272">SUM(AD69:AF69)</f>
        <v>69328954.518798411</v>
      </c>
      <c r="CZ69" s="199">
        <f t="shared" ref="CZ69:CZ77" si="273">SUM(AG69:AI69)</f>
        <v>63676050.496949553</v>
      </c>
      <c r="DA69" s="199">
        <f t="shared" ref="DA69:DA77" si="274">SUM(AJ69:AL69)</f>
        <v>84232257.646132872</v>
      </c>
      <c r="DB69" s="199">
        <f t="shared" ref="DB69:DB77" si="275">SUM(AM69:AO69)</f>
        <v>78141503.80909887</v>
      </c>
      <c r="DC69" s="199">
        <f t="shared" ref="DC69:DC77" si="276">SUM(AP69:AR69)</f>
        <v>81779571.941228211</v>
      </c>
      <c r="DD69" s="199">
        <f t="shared" ref="DD69:DD77" si="277">SUM(AS69:AU69)</f>
        <v>81324231.400377527</v>
      </c>
      <c r="DE69" s="199">
        <f t="shared" ref="DE69:DE77" si="278">SUM(AV69:AX69)</f>
        <v>86827549.684540629</v>
      </c>
      <c r="DF69" s="199">
        <f t="shared" ref="DF69:DF77" si="279">SUM(AY69:BA69)</f>
        <v>99199187.736126959</v>
      </c>
      <c r="DG69" s="199">
        <f t="shared" ref="DG69:DG77" si="280">SUM(BB69:BD69)</f>
        <v>121003113.59921522</v>
      </c>
      <c r="DH69" s="199">
        <f t="shared" ref="DH69:DH77" si="281">SUM(BE69:BG69)</f>
        <v>121917552.19198957</v>
      </c>
      <c r="DI69" s="199">
        <f t="shared" ref="DI69:DI77" si="282">SUM(BH69:BJ69)</f>
        <v>132428264.9919737</v>
      </c>
      <c r="DJ69" s="199">
        <f t="shared" ref="DJ69:DJ77" si="283">SUM(BK69:BM69)</f>
        <v>132740703.99138381</v>
      </c>
      <c r="DK69" s="199">
        <f t="shared" ref="DK69:DK77" si="284">SUM(BN69:BP69)</f>
        <v>131042475.68230677</v>
      </c>
      <c r="DL69" s="199">
        <f t="shared" ref="DL69:DL77" si="285">SUM(BQ69:BS69)</f>
        <v>130215484.88117611</v>
      </c>
      <c r="DM69" s="199">
        <f t="shared" ref="DM69:DM77" si="286">SUM(BT69:BV69)</f>
        <v>144193482.61329269</v>
      </c>
      <c r="DN69" s="199">
        <f t="shared" ref="DN69:DN77" si="287">SUM(BW69:BY69)</f>
        <v>162254195.70977533</v>
      </c>
      <c r="DO69" s="199">
        <f t="shared" ref="DO69:DO77" si="288">SUM(BZ69:CB69)</f>
        <v>157161538.28184131</v>
      </c>
      <c r="DP69" s="199">
        <f t="shared" ref="DP69:DP77" si="289">SUM(CC69:CE69)</f>
        <v>155791537.90542936</v>
      </c>
      <c r="DQ69" s="199">
        <f t="shared" ref="DQ69:DQ77" si="290">SUM(CF69:CH69)</f>
        <v>171994805.33636326</v>
      </c>
      <c r="DR69" s="199">
        <f t="shared" ref="DR69:DR77" si="291">SUM(CI69:CK69)</f>
        <v>192483844.6225881</v>
      </c>
      <c r="DS69" s="199">
        <f t="shared" ref="DS69:DS77" si="292">SUM(CL69:CN69)</f>
        <v>180530317.98443896</v>
      </c>
      <c r="DT69" s="199">
        <f t="shared" ref="DT69:DT77" si="293">SUM(CO69:CQ69)</f>
        <v>178831277.45054281</v>
      </c>
      <c r="DU69" s="199">
        <f t="shared" ref="DU69:DU77" si="294">SUM(CR69:CT69)</f>
        <v>197400568.58734757</v>
      </c>
      <c r="DV69" s="199">
        <f t="shared" ref="DV69:DV77" si="295">SUM(CU69:CW69)</f>
        <v>221071596.52200112</v>
      </c>
      <c r="DX69" s="199">
        <f t="shared" ref="DX69:DX77" si="296">SUM(CY69:DB69)</f>
        <v>295378766.47097969</v>
      </c>
      <c r="DY69" s="199">
        <f t="shared" ref="DY69:DY77" si="297">SUM(DC69:DF69)</f>
        <v>349130540.76227331</v>
      </c>
      <c r="DZ69" s="199">
        <f t="shared" ref="DZ69:DZ77" si="298">SUM(DG69:DJ69)</f>
        <v>508089634.7745623</v>
      </c>
      <c r="EA69" s="199">
        <f t="shared" ref="EA69:EA77" si="299">SUM(DK69:DN69)</f>
        <v>567705638.8865509</v>
      </c>
      <c r="EB69" s="199">
        <f t="shared" ref="EB69:EB77" si="300">SUM(DO69:DR69)</f>
        <v>677431726.146222</v>
      </c>
      <c r="EC69" s="810">
        <f t="shared" ref="EC69:EC77" si="301">SUM(DS69:DV69)</f>
        <v>777833760.54433048</v>
      </c>
    </row>
    <row r="70" spans="2:133" x14ac:dyDescent="0.2">
      <c r="B70" s="155" t="s">
        <v>229</v>
      </c>
      <c r="C70" s="19">
        <f>'D2C - Retail'!J133</f>
        <v>732107.56636266806</v>
      </c>
      <c r="D70" s="19">
        <f>'D2C - Retail'!K133</f>
        <v>668657.26273367391</v>
      </c>
      <c r="E70" s="19">
        <f>'D2C - Retail'!L133</f>
        <v>879266.22607154236</v>
      </c>
      <c r="F70" s="19">
        <f>'D2C - Retail'!M133</f>
        <v>549840.53128778003</v>
      </c>
      <c r="G70" s="19">
        <f>'D2C - Retail'!N133</f>
        <v>20346.098100603627</v>
      </c>
      <c r="H70" s="19">
        <f>'D2C - Retail'!O133</f>
        <v>359716.77678032639</v>
      </c>
      <c r="I70" s="19">
        <f>'D2C - Retail'!P133</f>
        <v>573798.3543186069</v>
      </c>
      <c r="J70" s="19">
        <f>'D2C - Retail'!Q133</f>
        <v>837764.92443524487</v>
      </c>
      <c r="K70" s="19">
        <f>'D2C - Retail'!R133</f>
        <v>1172951.4825985655</v>
      </c>
      <c r="L70" s="19">
        <f>'D2C - Retail'!S133</f>
        <v>1516671.4000202734</v>
      </c>
      <c r="M70" s="19">
        <f>'D2C - Retail'!T133</f>
        <v>1786737.4024705118</v>
      </c>
      <c r="N70" s="19">
        <f>'D2C - Retail'!U133</f>
        <v>2140822.8130463362</v>
      </c>
      <c r="O70" s="19">
        <f>'D2C - Retail'!V133</f>
        <v>1802641.5596228095</v>
      </c>
      <c r="P70" s="19">
        <f>'D2C - Retail'!W133</f>
        <v>2198900.1404742305</v>
      </c>
      <c r="Q70" s="19">
        <f>'D2C - Retail'!X133</f>
        <v>2897278.0586944404</v>
      </c>
      <c r="R70" s="19">
        <f>'D2C - Retail'!Y133</f>
        <v>2487367.86507075</v>
      </c>
      <c r="S70" s="19">
        <f>'D2C - Retail'!Z133</f>
        <v>2982824.248759659</v>
      </c>
      <c r="T70" s="19">
        <f>'D2C - Retail'!AA133</f>
        <v>3480574.2121569877</v>
      </c>
      <c r="U70" s="19">
        <f>'D2C - Retail'!AB133</f>
        <v>4054442.1777383164</v>
      </c>
      <c r="V70" s="19">
        <f>'D2C - Retail'!AC133</f>
        <v>3519070.2049481506</v>
      </c>
      <c r="W70" s="19">
        <f>'D2C - Retail'!AD133</f>
        <v>3592075.0021107318</v>
      </c>
      <c r="X70" s="19">
        <f>'D2C - Retail'!AE133</f>
        <v>3932358.1898547178</v>
      </c>
      <c r="Y70" s="19">
        <f>'D2C - Retail'!AF133</f>
        <v>3887231.1579370624</v>
      </c>
      <c r="Z70" s="19">
        <f>'D2C - Retail'!AG133</f>
        <v>4353527.2192042209</v>
      </c>
      <c r="AA70" s="19">
        <f>'D2C - Retail'!AH133</f>
        <v>4612904.942500446</v>
      </c>
      <c r="AB70" s="19">
        <f>'D2C - Retail'!AI133</f>
        <v>5519867.3778399294</v>
      </c>
      <c r="AC70" s="19">
        <f>'D2C - Retail'!AJ133</f>
        <v>7738040.5215995191</v>
      </c>
      <c r="AD70" s="19">
        <f>'D2C - Retail'!AK133</f>
        <v>10629899.225881325</v>
      </c>
      <c r="AE70" s="19">
        <f>'D2C - Retail'!AL133</f>
        <v>11150812.547877267</v>
      </c>
      <c r="AF70" s="19">
        <f>'D2C - Retail'!AM133</f>
        <v>11891909.199918626</v>
      </c>
      <c r="AG70" s="19">
        <f>'D2C - Retail'!AN133</f>
        <v>9946606.8633537591</v>
      </c>
      <c r="AH70" s="19">
        <f>'D2C - Retail'!AO133</f>
        <v>10394775.23642534</v>
      </c>
      <c r="AI70" s="19">
        <f>'D2C - Retail'!AP133</f>
        <v>10079453.412495932</v>
      </c>
      <c r="AJ70" s="19">
        <f>'D2C - Retail'!AQ133</f>
        <v>14955152.836107988</v>
      </c>
      <c r="AK70" s="19">
        <f>'D2C - Retail'!AR133</f>
        <v>13759891.745202333</v>
      </c>
      <c r="AL70" s="19">
        <f>'D2C - Retail'!AS133</f>
        <v>13473619.400649462</v>
      </c>
      <c r="AM70" s="19">
        <f>'D2C - Retail'!AT133</f>
        <v>12490885.505439561</v>
      </c>
      <c r="AN70" s="19">
        <f>'D2C - Retail'!AU133</f>
        <v>14413388.284954067</v>
      </c>
      <c r="AO70" s="19">
        <f>'D2C - Retail'!AV133</f>
        <v>15701410.311212385</v>
      </c>
      <c r="AP70" s="19">
        <f>'D2C - Retail'!AW133</f>
        <v>13870986.96624638</v>
      </c>
      <c r="AQ70" s="19">
        <f>'D2C - Retail'!AX133</f>
        <v>13875914.078319829</v>
      </c>
      <c r="AR70" s="19">
        <f>'D2C - Retail'!AY133</f>
        <v>13930896.699784346</v>
      </c>
      <c r="AS70" s="19">
        <f>'D2C - Retail'!AZ133</f>
        <v>14252012.158503862</v>
      </c>
      <c r="AT70" s="19">
        <f>'D2C - Retail'!BA133</f>
        <v>11825781.859210091</v>
      </c>
      <c r="AU70" s="19">
        <f>'D2C - Retail'!BB133</f>
        <v>11363672.105887113</v>
      </c>
      <c r="AV70" s="19">
        <f>'D2C - Retail'!BC133</f>
        <v>14837038.177492809</v>
      </c>
      <c r="AW70" s="19">
        <f>'D2C - Retail'!BD133</f>
        <v>13767089.958780337</v>
      </c>
      <c r="AX70" s="19">
        <f>'D2C - Retail'!BE133</f>
        <v>14848282.128450846</v>
      </c>
      <c r="AY70" s="19">
        <f>'D2C - Retail'!BF133</f>
        <v>15988502.190642331</v>
      </c>
      <c r="AZ70" s="19">
        <f>'D2C - Retail'!BG133</f>
        <v>15890117.645247098</v>
      </c>
      <c r="BA70" s="19">
        <f>'D2C - Retail'!BH133</f>
        <v>20152443.042471968</v>
      </c>
      <c r="BB70" s="19">
        <f>'D2C - Retail'!BI133</f>
        <v>20323055.965860557</v>
      </c>
      <c r="BC70" s="19">
        <f>'D2C - Retail'!BJ133</f>
        <v>19469636.918245416</v>
      </c>
      <c r="BD70" s="19">
        <f>'D2C - Retail'!BK133</f>
        <v>21039946.11563769</v>
      </c>
      <c r="BE70" s="19">
        <f>'D2C - Retail'!BL133</f>
        <v>25358735.072609171</v>
      </c>
      <c r="BF70" s="19">
        <f>'D2C - Retail'!BM133</f>
        <v>20697051.746065527</v>
      </c>
      <c r="BG70" s="19">
        <f>'D2C - Retail'!BN133</f>
        <v>21317536.385019571</v>
      </c>
      <c r="BH70" s="19">
        <f>'D2C - Retail'!BO133</f>
        <v>32631410.232460476</v>
      </c>
      <c r="BI70" s="19">
        <f>'D2C - Retail'!BP133</f>
        <v>19831890.581445239</v>
      </c>
      <c r="BJ70" s="19">
        <f>'D2C - Retail'!BQ133</f>
        <v>18037492.254060939</v>
      </c>
      <c r="BK70" s="19">
        <f>'D2C - Retail'!BR133</f>
        <v>19883810.208931644</v>
      </c>
      <c r="BL70" s="19">
        <f>'D2C - Retail'!BS133</f>
        <v>18365949.479077406</v>
      </c>
      <c r="BM70" s="19">
        <f>'D2C - Retail'!BT133</f>
        <v>23397522.881831151</v>
      </c>
      <c r="BN70" s="19">
        <f>'D2C - Retail'!BU133</f>
        <v>20796156.036749162</v>
      </c>
      <c r="BO70" s="19">
        <f>'D2C - Retail'!BV133</f>
        <v>20410509.453201562</v>
      </c>
      <c r="BP70" s="19">
        <f>'D2C - Retail'!BW133</f>
        <v>20364111.005262148</v>
      </c>
      <c r="BQ70" s="19">
        <f>'D2C - Retail'!BX133</f>
        <v>21843649.759243317</v>
      </c>
      <c r="BR70" s="19">
        <f>'D2C - Retail'!BY133</f>
        <v>19766311.591889493</v>
      </c>
      <c r="BS70" s="19">
        <f>'D2C - Retail'!BZ133</f>
        <v>18515879.390965119</v>
      </c>
      <c r="BT70" s="19">
        <f>'D2C - Retail'!CA133</f>
        <v>22500137.576313961</v>
      </c>
      <c r="BU70" s="19">
        <f>'D2C - Retail'!CB133</f>
        <v>20902276.369638007</v>
      </c>
      <c r="BV70" s="19">
        <f>'D2C - Retail'!CC133</f>
        <v>24405590.757373396</v>
      </c>
      <c r="BW70" s="19">
        <f>'D2C - Retail'!CD133</f>
        <v>24940399.217024859</v>
      </c>
      <c r="BX70" s="19">
        <f>'D2C - Retail'!CE133</f>
        <v>23350167.154097859</v>
      </c>
      <c r="BY70" s="19">
        <f>'D2C - Retail'!CF133</f>
        <v>26762729.24216219</v>
      </c>
      <c r="BZ70" s="19">
        <f>'D2C - Retail'!CG133</f>
        <v>25120009.657842167</v>
      </c>
      <c r="CA70" s="19">
        <f>'D2C - Retail'!CH133</f>
        <v>24698225.358938418</v>
      </c>
      <c r="CB70" s="19">
        <f>'D2C - Retail'!CI133</f>
        <v>24530618.029726364</v>
      </c>
      <c r="CC70" s="19">
        <f>'D2C - Retail'!CJ133</f>
        <v>26339011.597513683</v>
      </c>
      <c r="CD70" s="19">
        <f>'D2C - Retail'!CK133</f>
        <v>23741248.166218542</v>
      </c>
      <c r="CE70" s="19">
        <f>'D2C - Retail'!CL133</f>
        <v>22161980.999640558</v>
      </c>
      <c r="CF70" s="19">
        <f>'D2C - Retail'!CM133</f>
        <v>26967291.072991014</v>
      </c>
      <c r="CG70" s="19">
        <f>'D2C - Retail'!CN133</f>
        <v>24903126.166890807</v>
      </c>
      <c r="CH70" s="19">
        <f>'D2C - Retail'!CO133</f>
        <v>29070237.806115925</v>
      </c>
      <c r="CI70" s="19">
        <f>'D2C - Retail'!CP133</f>
        <v>29608573.242429651</v>
      </c>
      <c r="CJ70" s="19">
        <f>'D2C - Retail'!CQ133</f>
        <v>27572035.253275502</v>
      </c>
      <c r="CK70" s="19">
        <f>'D2C - Retail'!CR133</f>
        <v>31356725.872675054</v>
      </c>
      <c r="CL70" s="19">
        <f>'D2C - Retail'!CS133</f>
        <v>28200676.331074566</v>
      </c>
      <c r="CM70" s="19">
        <f>'D2C - Retail'!CT133</f>
        <v>27696062.57021375</v>
      </c>
      <c r="CN70" s="19">
        <f>'D2C - Retail'!CU133</f>
        <v>27490065.906113558</v>
      </c>
      <c r="CO70" s="19">
        <f>'D2C - Retail'!CV133</f>
        <v>29539065.35993994</v>
      </c>
      <c r="CP70" s="19">
        <f>'D2C - Retail'!CW133</f>
        <v>26554730.382984288</v>
      </c>
      <c r="CQ70" s="19">
        <f>'D2C - Retail'!CX133</f>
        <v>24729885.108293183</v>
      </c>
      <c r="CR70" s="19">
        <f>'D2C - Retail'!CY133</f>
        <v>30194335.835565683</v>
      </c>
      <c r="CS70" s="19">
        <f>'D2C - Retail'!CZ133</f>
        <v>27830849.813029654</v>
      </c>
      <c r="CT70" s="19">
        <f>'D2C - Retail'!DA133</f>
        <v>32564209.947323438</v>
      </c>
      <c r="CU70" s="19">
        <f>'D2C - Retail'!DB133</f>
        <v>33168458.027675282</v>
      </c>
      <c r="CV70" s="19">
        <f>'D2C - Retail'!DC133</f>
        <v>30837680.297327012</v>
      </c>
      <c r="CW70" s="19">
        <f>'D2C - Retail'!DD133</f>
        <v>35130887.908748046</v>
      </c>
      <c r="CX70" s="168"/>
      <c r="CY70" s="19">
        <f t="shared" si="272"/>
        <v>33672620.973677218</v>
      </c>
      <c r="CZ70" s="19">
        <f t="shared" si="273"/>
        <v>30420835.512275033</v>
      </c>
      <c r="DA70" s="19">
        <f t="shared" si="274"/>
        <v>42188663.981959783</v>
      </c>
      <c r="DB70" s="19">
        <f t="shared" si="275"/>
        <v>42605684.101606011</v>
      </c>
      <c r="DC70" s="19">
        <f t="shared" si="276"/>
        <v>41677797.744350553</v>
      </c>
      <c r="DD70" s="19">
        <f t="shared" si="277"/>
        <v>37441466.123601064</v>
      </c>
      <c r="DE70" s="19">
        <f t="shared" si="278"/>
        <v>43452410.264723994</v>
      </c>
      <c r="DF70" s="19">
        <f t="shared" si="279"/>
        <v>52031062.878361396</v>
      </c>
      <c r="DG70" s="19">
        <f t="shared" si="280"/>
        <v>60832638.999743663</v>
      </c>
      <c r="DH70" s="19">
        <f t="shared" si="281"/>
        <v>67373323.203694269</v>
      </c>
      <c r="DI70" s="19">
        <f t="shared" si="282"/>
        <v>70500793.067966655</v>
      </c>
      <c r="DJ70" s="19">
        <f t="shared" si="283"/>
        <v>61647282.569840208</v>
      </c>
      <c r="DK70" s="19">
        <f t="shared" si="284"/>
        <v>61570776.495212868</v>
      </c>
      <c r="DL70" s="19">
        <f t="shared" si="285"/>
        <v>60125840.742097929</v>
      </c>
      <c r="DM70" s="19">
        <f t="shared" si="286"/>
        <v>67808004.703325361</v>
      </c>
      <c r="DN70" s="19">
        <f t="shared" si="287"/>
        <v>75053295.613284916</v>
      </c>
      <c r="DO70" s="19">
        <f t="shared" si="288"/>
        <v>74348853.046506941</v>
      </c>
      <c r="DP70" s="19">
        <f t="shared" si="289"/>
        <v>72242240.763372779</v>
      </c>
      <c r="DQ70" s="19">
        <f t="shared" si="290"/>
        <v>80940655.045997739</v>
      </c>
      <c r="DR70" s="19">
        <f t="shared" si="291"/>
        <v>88537334.368380219</v>
      </c>
      <c r="DS70" s="19">
        <f t="shared" si="292"/>
        <v>83386804.807401866</v>
      </c>
      <c r="DT70" s="19">
        <f t="shared" si="293"/>
        <v>80823680.851217419</v>
      </c>
      <c r="DU70" s="19">
        <f t="shared" si="294"/>
        <v>90589395.595918775</v>
      </c>
      <c r="DV70" s="19">
        <f t="shared" si="295"/>
        <v>99137026.233750343</v>
      </c>
      <c r="DX70" s="19">
        <f t="shared" si="296"/>
        <v>148887804.56951803</v>
      </c>
      <c r="DY70" s="19">
        <f t="shared" si="297"/>
        <v>174602737.01103702</v>
      </c>
      <c r="DZ70" s="19">
        <f t="shared" si="298"/>
        <v>260354037.84124476</v>
      </c>
      <c r="EA70" s="19">
        <f t="shared" si="299"/>
        <v>264557917.55392107</v>
      </c>
      <c r="EB70" s="19">
        <f t="shared" si="300"/>
        <v>316069083.22425771</v>
      </c>
      <c r="EC70" s="772">
        <f t="shared" si="301"/>
        <v>353936907.4882884</v>
      </c>
    </row>
    <row r="71" spans="2:133" x14ac:dyDescent="0.2">
      <c r="B71" s="155" t="s">
        <v>237</v>
      </c>
      <c r="C71" s="19">
        <f>'D2C Online'!AA114</f>
        <v>118243.13829844439</v>
      </c>
      <c r="D71" s="19">
        <f>'D2C Online'!AB114</f>
        <v>110985.71287480838</v>
      </c>
      <c r="E71" s="19">
        <f>'D2C Online'!AC114</f>
        <v>194062.90496577768</v>
      </c>
      <c r="F71" s="19">
        <f>'D2C Online'!AD114</f>
        <v>134343.17413734028</v>
      </c>
      <c r="G71" s="19">
        <f>'D2C Online'!AE114</f>
        <v>160148.01533480885</v>
      </c>
      <c r="H71" s="19">
        <f>'D2C Online'!AF114</f>
        <v>164659.6719516865</v>
      </c>
      <c r="I71" s="19">
        <f>'D2C Online'!AG114</f>
        <v>292515.67875624821</v>
      </c>
      <c r="J71" s="19">
        <f>'D2C Online'!AH114</f>
        <v>299606.19433541206</v>
      </c>
      <c r="K71" s="19">
        <f>'D2C Online'!AI114</f>
        <v>373728.96835255262</v>
      </c>
      <c r="L71" s="19">
        <f>'D2C Online'!AJ114</f>
        <v>200270.25577698415</v>
      </c>
      <c r="M71" s="19">
        <f>'D2C Online'!AK114</f>
        <v>684324.01915695402</v>
      </c>
      <c r="N71" s="19">
        <f>'D2C Online'!AL114</f>
        <v>747282.45033422729</v>
      </c>
      <c r="O71" s="19">
        <f>'D2C Online'!AM114</f>
        <v>1159303.3876637763</v>
      </c>
      <c r="P71" s="19">
        <f>'D2C Online'!AN114</f>
        <v>1216568.5877774304</v>
      </c>
      <c r="Q71" s="19">
        <f>'D2C Online'!AO114</f>
        <v>995284.52689926047</v>
      </c>
      <c r="R71" s="19">
        <f>'D2C Online'!AP114</f>
        <v>1128624.2083334341</v>
      </c>
      <c r="S71" s="19">
        <f>'D2C Online'!AQ114</f>
        <v>1273346.8218668639</v>
      </c>
      <c r="T71" s="19">
        <f>'D2C Online'!AR114</f>
        <v>2122708.3948717471</v>
      </c>
      <c r="U71" s="19">
        <f>'D2C Online'!AS114</f>
        <v>1946517.4459707725</v>
      </c>
      <c r="V71" s="19">
        <f>'D2C Online'!AT114</f>
        <v>1619744.9202893383</v>
      </c>
      <c r="W71" s="19">
        <f>'D2C Online'!AU114</f>
        <v>2006431.6383877893</v>
      </c>
      <c r="X71" s="19">
        <f>'D2C Online'!AV114</f>
        <v>3664962.4451774592</v>
      </c>
      <c r="Y71" s="19">
        <f>'D2C Online'!AW114</f>
        <v>3126047.9578465931</v>
      </c>
      <c r="Z71" s="19">
        <f>'D2C Online'!AX114</f>
        <v>2900862.7721313215</v>
      </c>
      <c r="AA71" s="19">
        <f>'D2C Online'!AY114</f>
        <v>3290353.4019341422</v>
      </c>
      <c r="AB71" s="19">
        <f>'D2C Online'!AZ114</f>
        <v>5079032.00386592</v>
      </c>
      <c r="AC71" s="19">
        <f>'D2C Online'!BA114</f>
        <v>12880923.788880961</v>
      </c>
      <c r="AD71" s="19">
        <f>'D2C Online'!BB114</f>
        <v>12805633.443141038</v>
      </c>
      <c r="AE71" s="19">
        <f>'D2C Online'!BC114</f>
        <v>10943168.526432095</v>
      </c>
      <c r="AF71" s="19">
        <f>'D2C Online'!BD114</f>
        <v>11907531.575548051</v>
      </c>
      <c r="AG71" s="19">
        <f>'D2C Online'!BE114</f>
        <v>10488339.789743049</v>
      </c>
      <c r="AH71" s="19">
        <f>'D2C Online'!BF114</f>
        <v>10994651.32871994</v>
      </c>
      <c r="AI71" s="19">
        <f>'D2C Online'!BG114</f>
        <v>11772223.866211524</v>
      </c>
      <c r="AJ71" s="19">
        <f>'D2C Online'!BH114</f>
        <v>20107040.246410076</v>
      </c>
      <c r="AK71" s="19">
        <f>'D2C Online'!BI114</f>
        <v>11786702.792447269</v>
      </c>
      <c r="AL71" s="19">
        <f>'D2C Online'!BJ114</f>
        <v>10149850.625315748</v>
      </c>
      <c r="AM71" s="19">
        <f>'D2C Online'!BK114</f>
        <v>11306341.52876357</v>
      </c>
      <c r="AN71" s="19">
        <f>'D2C Online'!BL114</f>
        <v>11232315.787155248</v>
      </c>
      <c r="AO71" s="19">
        <f>'D2C Online'!BM114</f>
        <v>12997162.39157404</v>
      </c>
      <c r="AP71" s="19">
        <f>'D2C Online'!BN114</f>
        <v>11432232.901747197</v>
      </c>
      <c r="AQ71" s="19">
        <f>'D2C Online'!BO114</f>
        <v>13429312.186326377</v>
      </c>
      <c r="AR71" s="19">
        <f>'D2C Online'!BP114</f>
        <v>15240229.108804077</v>
      </c>
      <c r="AS71" s="19">
        <f>'D2C Online'!BQ114</f>
        <v>16114170.745189702</v>
      </c>
      <c r="AT71" s="19">
        <f>'D2C Online'!BR114</f>
        <v>14022331.569350606</v>
      </c>
      <c r="AU71" s="19">
        <f>'D2C Online'!BS114</f>
        <v>13746262.962236155</v>
      </c>
      <c r="AV71" s="19">
        <f>'D2C Online'!BT114</f>
        <v>15082367.858397357</v>
      </c>
      <c r="AW71" s="19">
        <f>'D2C Online'!BU114</f>
        <v>14137362.734426841</v>
      </c>
      <c r="AX71" s="19">
        <f>'D2C Online'!BV114</f>
        <v>14155408.826992447</v>
      </c>
      <c r="AY71" s="19">
        <f>'D2C Online'!BW114</f>
        <v>15054042.84350035</v>
      </c>
      <c r="AZ71" s="19">
        <f>'D2C Online'!BX114</f>
        <v>11276306.266790459</v>
      </c>
      <c r="BA71" s="19">
        <f>'D2C Online'!BY114</f>
        <v>20837775.747474745</v>
      </c>
      <c r="BB71" s="19">
        <f>'D2C Online'!BZ114</f>
        <v>19312000.767726883</v>
      </c>
      <c r="BC71" s="19">
        <f>'D2C Online'!CA114</f>
        <v>19595218.730950698</v>
      </c>
      <c r="BD71" s="19">
        <f>'D2C Online'!CB114</f>
        <v>21263255.100793973</v>
      </c>
      <c r="BE71" s="19">
        <f>'D2C Online'!CC114</f>
        <v>19516269.745977808</v>
      </c>
      <c r="BF71" s="19">
        <f>'D2C Online'!CD114</f>
        <v>15892174.303431101</v>
      </c>
      <c r="BG71" s="19">
        <f>'D2C Online'!CE114</f>
        <v>19135784.938886411</v>
      </c>
      <c r="BH71" s="19">
        <f>'D2C Online'!CF114</f>
        <v>20730624.578885205</v>
      </c>
      <c r="BI71" s="19">
        <f>'D2C Online'!CG114</f>
        <v>18848804.375661843</v>
      </c>
      <c r="BJ71" s="19">
        <f>'D2C Online'!CH114</f>
        <v>22348042.969460003</v>
      </c>
      <c r="BK71" s="19">
        <f>'D2C Online'!CI114</f>
        <v>24981016.869870305</v>
      </c>
      <c r="BL71" s="19">
        <f>'D2C Online'!CJ114</f>
        <v>21301249.22925378</v>
      </c>
      <c r="BM71" s="19">
        <f>'D2C Online'!CK114</f>
        <v>24811155.322419528</v>
      </c>
      <c r="BN71" s="19">
        <f>'D2C Online'!CL114</f>
        <v>23006672.48363005</v>
      </c>
      <c r="BO71" s="19">
        <f>'D2C Online'!CM114</f>
        <v>23240826.512520947</v>
      </c>
      <c r="BP71" s="19">
        <f>'D2C Online'!CN114</f>
        <v>23224200.190942898</v>
      </c>
      <c r="BQ71" s="19">
        <f>'D2C Online'!CO114</f>
        <v>23574738.470880173</v>
      </c>
      <c r="BR71" s="19">
        <f>'D2C Online'!CP114</f>
        <v>22214151.155076213</v>
      </c>
      <c r="BS71" s="19">
        <f>'D2C Online'!CQ114</f>
        <v>24300754.513121791</v>
      </c>
      <c r="BT71" s="19">
        <f>'D2C Online'!CR114</f>
        <v>23628774.016008839</v>
      </c>
      <c r="BU71" s="19">
        <f>'D2C Online'!CS114</f>
        <v>23684195.087935679</v>
      </c>
      <c r="BV71" s="19">
        <f>'D2C Online'!CT114</f>
        <v>29072508.806022834</v>
      </c>
      <c r="BW71" s="19">
        <f>'D2C Online'!CU114</f>
        <v>31325375.379848935</v>
      </c>
      <c r="BX71" s="19">
        <f>'D2C Online'!CV114</f>
        <v>26855665.928949177</v>
      </c>
      <c r="BY71" s="19">
        <f>'D2C Online'!CW114</f>
        <v>29019858.787692335</v>
      </c>
      <c r="BZ71" s="19">
        <f>'D2C Online'!CX114</f>
        <v>27424754.9576739</v>
      </c>
      <c r="CA71" s="19">
        <f>'D2C Online'!CY114</f>
        <v>27703874.716050707</v>
      </c>
      <c r="CB71" s="19">
        <f>'D2C Online'!CZ114</f>
        <v>27684055.561609749</v>
      </c>
      <c r="CC71" s="19">
        <f>'D2C Online'!DA114</f>
        <v>28101909.401073255</v>
      </c>
      <c r="CD71" s="19">
        <f>'D2C Online'!DB114</f>
        <v>26480041.929321624</v>
      </c>
      <c r="CE71" s="19">
        <f>'D2C Online'!DC114</f>
        <v>28967345.811661698</v>
      </c>
      <c r="CF71" s="19">
        <f>'D2C Online'!DD114</f>
        <v>28166321.65300636</v>
      </c>
      <c r="CG71" s="19">
        <f>'D2C Online'!DE114</f>
        <v>28232385.501142886</v>
      </c>
      <c r="CH71" s="19">
        <f>'D2C Online'!DF114</f>
        <v>34655443.136216283</v>
      </c>
      <c r="CI71" s="19">
        <f>'D2C Online'!DG114</f>
        <v>37340938.562965922</v>
      </c>
      <c r="CJ71" s="19">
        <f>'D2C Online'!DH114</f>
        <v>32012889.210755378</v>
      </c>
      <c r="CK71" s="19">
        <f>'D2C Online'!DI114</f>
        <v>34592682.480486587</v>
      </c>
      <c r="CL71" s="19">
        <f>'D2C Online'!DJ114</f>
        <v>32170639.522640169</v>
      </c>
      <c r="CM71" s="19">
        <f>'D2C Online'!DK114</f>
        <v>32498061.267857041</v>
      </c>
      <c r="CN71" s="19">
        <f>'D2C Online'!DL114</f>
        <v>32474812.386539869</v>
      </c>
      <c r="CO71" s="19">
        <f>'D2C Online'!DM114</f>
        <v>32964976.300976966</v>
      </c>
      <c r="CP71" s="19">
        <f>'D2C Online'!DN114</f>
        <v>31062442.846521515</v>
      </c>
      <c r="CQ71" s="19">
        <f>'D2C Online'!DO114</f>
        <v>33980177.451826915</v>
      </c>
      <c r="CR71" s="19">
        <f>'D2C Online'!DP114</f>
        <v>33040535.165257774</v>
      </c>
      <c r="CS71" s="19">
        <f>'D2C Online'!DQ114</f>
        <v>33118031.436315022</v>
      </c>
      <c r="CT71" s="19">
        <f>'D2C Online'!DR114</f>
        <v>40652606.389855988</v>
      </c>
      <c r="CU71" s="19">
        <f>'D2C Online'!DS114</f>
        <v>43802829.808333129</v>
      </c>
      <c r="CV71" s="19">
        <f>'D2C Online'!DT114</f>
        <v>37552755.547566056</v>
      </c>
      <c r="CW71" s="19">
        <f>'D2C Online'!DU114</f>
        <v>40578984.932351604</v>
      </c>
      <c r="CX71" s="168"/>
      <c r="CY71" s="19">
        <f t="shared" si="272"/>
        <v>35656333.545121185</v>
      </c>
      <c r="CZ71" s="19">
        <f t="shared" si="273"/>
        <v>33255214.984674513</v>
      </c>
      <c r="DA71" s="19">
        <f t="shared" si="274"/>
        <v>42043593.664173096</v>
      </c>
      <c r="DB71" s="19">
        <f t="shared" si="275"/>
        <v>35535819.707492858</v>
      </c>
      <c r="DC71" s="19">
        <f t="shared" si="276"/>
        <v>40101774.196877651</v>
      </c>
      <c r="DD71" s="19">
        <f t="shared" si="277"/>
        <v>43882765.276776463</v>
      </c>
      <c r="DE71" s="19">
        <f t="shared" si="278"/>
        <v>43375139.419816643</v>
      </c>
      <c r="DF71" s="19">
        <f t="shared" si="279"/>
        <v>47168124.857765555</v>
      </c>
      <c r="DG71" s="19">
        <f t="shared" si="280"/>
        <v>60170474.599471554</v>
      </c>
      <c r="DH71" s="19">
        <f t="shared" si="281"/>
        <v>54544228.988295324</v>
      </c>
      <c r="DI71" s="19">
        <f t="shared" si="282"/>
        <v>61927471.924007051</v>
      </c>
      <c r="DJ71" s="19">
        <f t="shared" si="283"/>
        <v>71093421.421543613</v>
      </c>
      <c r="DK71" s="19">
        <f t="shared" si="284"/>
        <v>69471699.187093899</v>
      </c>
      <c r="DL71" s="19">
        <f t="shared" si="285"/>
        <v>70089644.13907817</v>
      </c>
      <c r="DM71" s="19">
        <f t="shared" si="286"/>
        <v>76385477.909967348</v>
      </c>
      <c r="DN71" s="19">
        <f t="shared" si="287"/>
        <v>87200900.096490443</v>
      </c>
      <c r="DO71" s="19">
        <f t="shared" si="288"/>
        <v>82812685.235334352</v>
      </c>
      <c r="DP71" s="19">
        <f t="shared" si="289"/>
        <v>83549297.142056584</v>
      </c>
      <c r="DQ71" s="19">
        <f t="shared" si="290"/>
        <v>91054150.290365532</v>
      </c>
      <c r="DR71" s="19">
        <f t="shared" si="291"/>
        <v>103946510.25420789</v>
      </c>
      <c r="DS71" s="19">
        <f t="shared" si="292"/>
        <v>97143513.17703709</v>
      </c>
      <c r="DT71" s="19">
        <f t="shared" si="293"/>
        <v>98007596.599325389</v>
      </c>
      <c r="DU71" s="19">
        <f t="shared" si="294"/>
        <v>106811172.99142879</v>
      </c>
      <c r="DV71" s="19">
        <f t="shared" si="295"/>
        <v>121934570.28825079</v>
      </c>
      <c r="DX71" s="19">
        <f t="shared" si="296"/>
        <v>146490961.90146166</v>
      </c>
      <c r="DY71" s="19">
        <f t="shared" si="297"/>
        <v>174527803.75123632</v>
      </c>
      <c r="DZ71" s="19">
        <f t="shared" si="298"/>
        <v>247735596.93331754</v>
      </c>
      <c r="EA71" s="19">
        <f t="shared" si="299"/>
        <v>303147721.33262986</v>
      </c>
      <c r="EB71" s="19">
        <f t="shared" si="300"/>
        <v>361362642.92196435</v>
      </c>
      <c r="EC71" s="772">
        <f t="shared" si="301"/>
        <v>423896853.05604208</v>
      </c>
    </row>
    <row r="72" spans="2:133" x14ac:dyDescent="0.2">
      <c r="B72" s="155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68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X72" s="19"/>
      <c r="DY72" s="19"/>
      <c r="DZ72" s="19"/>
      <c r="EA72" s="19"/>
      <c r="EB72" s="19"/>
      <c r="EC72" s="770"/>
    </row>
    <row r="73" spans="2:133" x14ac:dyDescent="0.2">
      <c r="B73" s="167" t="s">
        <v>33</v>
      </c>
      <c r="C73" s="19">
        <f>'D2C - Retail'!J134+'D2C Online'!AA115</f>
        <v>113919.86774343719</v>
      </c>
      <c r="D73" s="19">
        <f>'D2C - Retail'!K134+'D2C Online'!AB115</f>
        <v>101900.22830863566</v>
      </c>
      <c r="E73" s="19">
        <f>'D2C - Retail'!L134+'D2C Online'!AC115</f>
        <v>237355.12390842577</v>
      </c>
      <c r="F73" s="19">
        <f>'D2C - Retail'!M134+'D2C Online'!AD115</f>
        <v>123027.43996629686</v>
      </c>
      <c r="G73" s="19">
        <f>'D2C - Retail'!N134+'D2C Online'!AE115</f>
        <v>28259.707746478874</v>
      </c>
      <c r="H73" s="19">
        <f>'D2C - Retail'!O134+'D2C Online'!AF115</f>
        <v>94397.923830250278</v>
      </c>
      <c r="I73" s="19">
        <f>'D2C - Retail'!P134+'D2C Online'!AG115</f>
        <v>144596.07860503736</v>
      </c>
      <c r="J73" s="19">
        <f>'D2C - Retail'!Q134+'D2C Online'!AH115</f>
        <v>220997.80775993437</v>
      </c>
      <c r="K73" s="19">
        <f>'D2C - Retail'!R134+'D2C Online'!AI115</f>
        <v>205490.56990007067</v>
      </c>
      <c r="L73" s="19">
        <f>'D2C - Retail'!S134+'D2C Online'!AJ115</f>
        <v>235842.60140925538</v>
      </c>
      <c r="M73" s="19">
        <f>'D2C - Retail'!T134+'D2C Online'!AK115</f>
        <v>91981.954118089518</v>
      </c>
      <c r="N73" s="19">
        <f>'D2C - Retail'!U134+'D2C Online'!AL115</f>
        <v>283392.75274967006</v>
      </c>
      <c r="O73" s="19">
        <f>'D2C - Retail'!V134+'D2C Online'!AM115</f>
        <v>171364.75152346131</v>
      </c>
      <c r="P73" s="19">
        <f>'D2C - Retail'!W134+'D2C Online'!AN115</f>
        <v>452416.24032170937</v>
      </c>
      <c r="Q73" s="19">
        <f>'D2C - Retail'!X134+'D2C Online'!AO115</f>
        <v>736974.45175014506</v>
      </c>
      <c r="R73" s="19">
        <f>'D2C - Retail'!Y134+'D2C Online'!AP115</f>
        <v>249494.30874387413</v>
      </c>
      <c r="S73" s="19">
        <f>'D2C - Retail'!Z134+'D2C Online'!AQ115</f>
        <v>434919.68608445296</v>
      </c>
      <c r="T73" s="19">
        <f>'D2C - Retail'!AA134+'D2C Online'!AR115</f>
        <v>378224.80433467735</v>
      </c>
      <c r="U73" s="19">
        <f>'D2C - Retail'!AB134+'D2C Online'!AS115</f>
        <v>505054.58457975491</v>
      </c>
      <c r="V73" s="19">
        <f>'D2C - Retail'!AC134+'D2C Online'!AT115</f>
        <v>621052.53390893398</v>
      </c>
      <c r="W73" s="19">
        <f>'D2C - Retail'!AD134+'D2C Online'!AU115</f>
        <v>928113.14570121909</v>
      </c>
      <c r="X73" s="19">
        <f>'D2C - Retail'!AE134+'D2C Online'!AV115</f>
        <v>1234509.1921937307</v>
      </c>
      <c r="Y73" s="19">
        <f>'D2C - Retail'!AF134+'D2C Online'!AW115</f>
        <v>1004264.2890555987</v>
      </c>
      <c r="Z73" s="19">
        <f>'D2C - Retail'!AG134+'D2C Online'!AX115</f>
        <v>945735.53738721705</v>
      </c>
      <c r="AA73" s="19">
        <f>'D2C - Retail'!AH134+'D2C Online'!AY115</f>
        <v>898714.01947376993</v>
      </c>
      <c r="AB73" s="19">
        <f>'D2C - Retail'!AI134+'D2C Online'!AZ115</f>
        <v>1507097.8851699019</v>
      </c>
      <c r="AC73" s="19">
        <f>'D2C - Retail'!AJ134+'D2C Online'!BA115</f>
        <v>1689511.4269059901</v>
      </c>
      <c r="AD73" s="19">
        <f>'D2C - Retail'!AK134+'D2C Online'!BB115</f>
        <v>2404542.2224048995</v>
      </c>
      <c r="AE73" s="19">
        <f>'D2C - Retail'!AL134+'D2C Online'!BC115</f>
        <v>2391833.4403285664</v>
      </c>
      <c r="AF73" s="19">
        <f>'D2C - Retail'!AM134+'D2C Online'!BD115</f>
        <v>3014718.6781084267</v>
      </c>
      <c r="AG73" s="19">
        <f>'D2C - Retail'!AN134+'D2C Online'!BE115</f>
        <v>3074649.0993620083</v>
      </c>
      <c r="AH73" s="19">
        <f>'D2C - Retail'!AO134+'D2C Online'!BF115</f>
        <v>2937129.2424238836</v>
      </c>
      <c r="AI73" s="19">
        <f>'D2C - Retail'!AP134+'D2C Online'!BG115</f>
        <v>2598734.1363698309</v>
      </c>
      <c r="AJ73" s="19">
        <f>'D2C - Retail'!AQ134+'D2C Online'!BH115</f>
        <v>4483462.4083562708</v>
      </c>
      <c r="AK73" s="19">
        <f>'D2C - Retail'!AR134+'D2C Online'!BI115</f>
        <v>3224590.5699640652</v>
      </c>
      <c r="AL73" s="19">
        <f>'D2C - Retail'!AS134+'D2C Online'!BJ115</f>
        <v>2868569.0555025488</v>
      </c>
      <c r="AM73" s="19">
        <f>'D2C - Retail'!AT134+'D2C Online'!BK115</f>
        <v>2952268.4809334851</v>
      </c>
      <c r="AN73" s="19">
        <f>'D2C - Retail'!AU134+'D2C Online'!BL115</f>
        <v>3182193.7483175714</v>
      </c>
      <c r="AO73" s="19">
        <f>'D2C - Retail'!AV134+'D2C Online'!BM115</f>
        <v>2838746.5411494258</v>
      </c>
      <c r="AP73" s="19">
        <f>'D2C - Retail'!AW134+'D2C Online'!BN115</f>
        <v>3465440.2070577294</v>
      </c>
      <c r="AQ73" s="19">
        <f>'D2C - Retail'!AX134+'D2C Online'!BO115</f>
        <v>3619924.7060836935</v>
      </c>
      <c r="AR73" s="19">
        <f>'D2C - Retail'!AY134+'D2C Online'!BP115</f>
        <v>4106958.4369108258</v>
      </c>
      <c r="AS73" s="19">
        <f>'D2C - Retail'!AZ134+'D2C Online'!BQ115</f>
        <v>2943226.3931330834</v>
      </c>
      <c r="AT73" s="19">
        <f>'D2C - Retail'!BA134+'D2C Online'!BR115</f>
        <v>3671889.4441771014</v>
      </c>
      <c r="AU73" s="19">
        <f>'D2C - Retail'!BB134+'D2C Online'!BS115</f>
        <v>3473539.6396038206</v>
      </c>
      <c r="AV73" s="19">
        <f>'D2C - Retail'!BC134+'D2C Online'!BT115</f>
        <v>3503028.7908807821</v>
      </c>
      <c r="AW73" s="19">
        <f>'D2C - Retail'!BD134+'D2C Online'!BU115</f>
        <v>3529627.2101994203</v>
      </c>
      <c r="AX73" s="19">
        <f>'D2C - Retail'!BE134+'D2C Online'!BV115</f>
        <v>3481846.5197386928</v>
      </c>
      <c r="AY73" s="19">
        <f>'D2C - Retail'!BF134+'D2C Online'!BW115</f>
        <v>4199490.2600349197</v>
      </c>
      <c r="AZ73" s="19">
        <f>'D2C - Retail'!BG134+'D2C Online'!BX115</f>
        <v>4668857.3129989747</v>
      </c>
      <c r="BA73" s="19">
        <f>'D2C - Retail'!BH134+'D2C Online'!BY115</f>
        <v>6629508.7015833305</v>
      </c>
      <c r="BB73" s="19">
        <f>'D2C - Retail'!BI134+'D2C Online'!BZ115</f>
        <v>5984480.0345064085</v>
      </c>
      <c r="BC73" s="19">
        <f>'D2C - Retail'!BJ134+'D2C Online'!CA115</f>
        <v>6374599.6945064086</v>
      </c>
      <c r="BD73" s="19">
        <f>'D2C - Retail'!BK134+'D2C Online'!CB115</f>
        <v>6329082.327762818</v>
      </c>
      <c r="BE73" s="19">
        <f>'D2C - Retail'!BL134+'D2C Online'!CC115</f>
        <v>7873206.6726474352</v>
      </c>
      <c r="BF73" s="19">
        <f>'D2C - Retail'!BM134+'D2C Online'!CD115</f>
        <v>6786470.4941474358</v>
      </c>
      <c r="BG73" s="19">
        <f>'D2C - Retail'!BN134+'D2C Online'!CE115</f>
        <v>6258268.7239358956</v>
      </c>
      <c r="BH73" s="19">
        <f>'D2C - Retail'!BO134+'D2C Online'!CF115</f>
        <v>7620787.9532109192</v>
      </c>
      <c r="BI73" s="19">
        <f>'D2C - Retail'!BP134+'D2C Online'!CG115</f>
        <v>7085121.5812365599</v>
      </c>
      <c r="BJ73" s="19">
        <f>'D2C - Retail'!BQ134+'D2C Online'!CH115</f>
        <v>7041530.4447262203</v>
      </c>
      <c r="BK73" s="19">
        <f>'D2C - Retail'!BR134+'D2C Online'!CI115</f>
        <v>9805527.1332371794</v>
      </c>
      <c r="BL73" s="19">
        <f>'D2C - Retail'!BS134+'D2C Online'!CJ115</f>
        <v>7858240.0176089741</v>
      </c>
      <c r="BM73" s="19">
        <f>'D2C - Retail'!BT134+'D2C Online'!CK115</f>
        <v>7784230.7003974356</v>
      </c>
      <c r="BN73" s="19">
        <f>'D2C - Retail'!BU134+'D2C Online'!CL115</f>
        <v>8686213.3753846735</v>
      </c>
      <c r="BO73" s="19">
        <f>'D2C - Retail'!BV134+'D2C Online'!CM115</f>
        <v>8626789.7085318603</v>
      </c>
      <c r="BP73" s="19">
        <f>'D2C - Retail'!BW134+'D2C Online'!CN115</f>
        <v>8609205.0010392088</v>
      </c>
      <c r="BQ73" s="19">
        <f>'D2C - Retail'!BX134+'D2C Online'!CO115</f>
        <v>9060284.8174306042</v>
      </c>
      <c r="BR73" s="19">
        <f>'D2C - Retail'!BY134+'D2C Online'!CP115</f>
        <v>8261998.9098065952</v>
      </c>
      <c r="BS73" s="19">
        <f>'D2C - Retail'!BZ134+'D2C Online'!CQ115</f>
        <v>8316441.8981738584</v>
      </c>
      <c r="BT73" s="19">
        <f>'D2C - Retail'!CA134+'D2C Online'!CR115</f>
        <v>9235333.2697013244</v>
      </c>
      <c r="BU73" s="19">
        <f>'D2C - Retail'!CB134+'D2C Online'!CS115</f>
        <v>8824300.0459757335</v>
      </c>
      <c r="BV73" s="19">
        <f>'D2C - Retail'!CC134+'D2C Online'!CT115</f>
        <v>10736472.883412872</v>
      </c>
      <c r="BW73" s="19">
        <f>'D2C - Retail'!CD134+'D2C Online'!CU115</f>
        <v>11291238.852188777</v>
      </c>
      <c r="BX73" s="19">
        <f>'D2C - Retail'!CE134+'D2C Online'!CV115</f>
        <v>10046386.581217732</v>
      </c>
      <c r="BY73" s="19">
        <f>'D2C - Retail'!CF134+'D2C Online'!CW115</f>
        <v>11337685.44141363</v>
      </c>
      <c r="BZ73" s="19">
        <f>'D2C - Retail'!CG134+'D2C Online'!CX115</f>
        <v>10680426.433665562</v>
      </c>
      <c r="CA73" s="19">
        <f>'D2C - Retail'!CH134+'D2C Online'!CY115</f>
        <v>10618789.01719093</v>
      </c>
      <c r="CB73" s="19">
        <f>'D2C - Retail'!CI134+'D2C Online'!CZ115</f>
        <v>10569197.095552722</v>
      </c>
      <c r="CC73" s="19">
        <f>'D2C - Retail'!CJ134+'D2C Online'!DA115</f>
        <v>11123823.500058295</v>
      </c>
      <c r="CD73" s="19">
        <f>'D2C - Retail'!CK134+'D2C Online'!DB115</f>
        <v>10131316.606426436</v>
      </c>
      <c r="CE73" s="19">
        <f>'D2C - Retail'!CL134+'D2C Online'!DC115</f>
        <v>10176081.640119122</v>
      </c>
      <c r="CF73" s="19">
        <f>'D2C - Retail'!CM134+'D2C Online'!DD115</f>
        <v>11295636.147249162</v>
      </c>
      <c r="CG73" s="19">
        <f>'D2C - Retail'!CN134+'D2C Online'!DE115</f>
        <v>10760784.249575567</v>
      </c>
      <c r="CH73" s="19">
        <f>'D2C - Retail'!CO134+'D2C Online'!DF115</f>
        <v>13063283.076969471</v>
      </c>
      <c r="CI73" s="19">
        <f>'D2C - Retail'!CP134+'D2C Online'!DG115</f>
        <v>13707257.864810966</v>
      </c>
      <c r="CJ73" s="19">
        <f>'D2C - Retail'!CQ134+'D2C Online'!DH115</f>
        <v>12170457.048604829</v>
      </c>
      <c r="CK73" s="19">
        <f>'D2C - Retail'!CR134+'D2C Online'!DI115</f>
        <v>13652784.021646515</v>
      </c>
      <c r="CL73" s="19">
        <f>'D2C - Retail'!CS134+'D2C Online'!DJ115</f>
        <v>12245495.812015461</v>
      </c>
      <c r="CM73" s="19">
        <f>'D2C - Retail'!CT134+'D2C Online'!DK115</f>
        <v>12169797.165138034</v>
      </c>
      <c r="CN73" s="19">
        <f>'D2C - Retail'!CU134+'D2C Online'!DL115</f>
        <v>12109501.319330053</v>
      </c>
      <c r="CO73" s="19">
        <f>'D2C - Retail'!CV134+'D2C Online'!DM115</f>
        <v>12739455.799198529</v>
      </c>
      <c r="CP73" s="19">
        <f>'D2C - Retail'!CW134+'D2C Online'!DN115</f>
        <v>11599245.734534172</v>
      </c>
      <c r="CQ73" s="19">
        <f>'D2C - Retail'!CX134+'D2C Online'!DO115</f>
        <v>11648902.666907316</v>
      </c>
      <c r="CR73" s="19">
        <f>'D2C - Retail'!CY134+'D2C Online'!DP115</f>
        <v>12920210.899203127</v>
      </c>
      <c r="CS73" s="19">
        <f>'D2C - Retail'!CZ134+'D2C Online'!DQ115</f>
        <v>12308091.689698106</v>
      </c>
      <c r="CT73" s="19">
        <f>'D2C - Retail'!DA134+'D2C Online'!DR115</f>
        <v>14940535.972462354</v>
      </c>
      <c r="CU73" s="19">
        <f>'D2C - Retail'!DB134+'D2C Online'!DS115</f>
        <v>15677303.270644469</v>
      </c>
      <c r="CV73" s="19">
        <f>'D2C - Retail'!DC134+'D2C Online'!DT115</f>
        <v>13913190.577148277</v>
      </c>
      <c r="CW73" s="19">
        <f>'D2C - Retail'!DD134+'D2C Online'!DU115</f>
        <v>15602339.859134831</v>
      </c>
      <c r="CX73" s="168"/>
      <c r="CY73" s="19">
        <f t="shared" si="272"/>
        <v>7811094.3408418922</v>
      </c>
      <c r="CZ73" s="19">
        <f t="shared" si="273"/>
        <v>8610512.4781557228</v>
      </c>
      <c r="DA73" s="19">
        <f t="shared" si="274"/>
        <v>10576622.033822885</v>
      </c>
      <c r="DB73" s="19">
        <f t="shared" si="275"/>
        <v>8973208.7704004832</v>
      </c>
      <c r="DC73" s="19">
        <f t="shared" si="276"/>
        <v>11192323.350052249</v>
      </c>
      <c r="DD73" s="19">
        <f t="shared" si="277"/>
        <v>10088655.476914005</v>
      </c>
      <c r="DE73" s="19">
        <f t="shared" si="278"/>
        <v>10514502.520818895</v>
      </c>
      <c r="DF73" s="19">
        <f t="shared" si="279"/>
        <v>15497856.274617225</v>
      </c>
      <c r="DG73" s="19">
        <f t="shared" si="280"/>
        <v>18688162.056775637</v>
      </c>
      <c r="DH73" s="19">
        <f t="shared" si="281"/>
        <v>20917945.890730765</v>
      </c>
      <c r="DI73" s="19">
        <f t="shared" si="282"/>
        <v>21747439.979173701</v>
      </c>
      <c r="DJ73" s="19">
        <f t="shared" si="283"/>
        <v>25447997.851243589</v>
      </c>
      <c r="DK73" s="19">
        <f t="shared" si="284"/>
        <v>25922208.084955744</v>
      </c>
      <c r="DL73" s="19">
        <f t="shared" si="285"/>
        <v>25638725.625411056</v>
      </c>
      <c r="DM73" s="19">
        <f t="shared" si="286"/>
        <v>28796106.199089929</v>
      </c>
      <c r="DN73" s="19">
        <f t="shared" si="287"/>
        <v>32675310.874820139</v>
      </c>
      <c r="DO73" s="19">
        <f t="shared" si="288"/>
        <v>31868412.546409212</v>
      </c>
      <c r="DP73" s="19">
        <f t="shared" si="289"/>
        <v>31431221.746603854</v>
      </c>
      <c r="DQ73" s="19">
        <f t="shared" si="290"/>
        <v>35119703.4737942</v>
      </c>
      <c r="DR73" s="19">
        <f t="shared" si="291"/>
        <v>39530498.935062312</v>
      </c>
      <c r="DS73" s="19">
        <f t="shared" si="292"/>
        <v>36524794.296483546</v>
      </c>
      <c r="DT73" s="19">
        <f t="shared" si="293"/>
        <v>35987604.200640015</v>
      </c>
      <c r="DU73" s="19">
        <f t="shared" si="294"/>
        <v>40168838.561363585</v>
      </c>
      <c r="DV73" s="19">
        <f t="shared" si="295"/>
        <v>45192833.706927575</v>
      </c>
      <c r="DX73" s="19">
        <f t="shared" si="296"/>
        <v>35971437.62322098</v>
      </c>
      <c r="DY73" s="19">
        <f t="shared" si="297"/>
        <v>47293337.622402377</v>
      </c>
      <c r="DZ73" s="19">
        <f t="shared" si="298"/>
        <v>86801545.777923688</v>
      </c>
      <c r="EA73" s="19">
        <f t="shared" si="299"/>
        <v>113032350.78427687</v>
      </c>
      <c r="EB73" s="19">
        <f t="shared" si="300"/>
        <v>137949836.70186958</v>
      </c>
      <c r="EC73" s="770">
        <f t="shared" si="301"/>
        <v>157874070.76541471</v>
      </c>
    </row>
    <row r="74" spans="2:133" x14ac:dyDescent="0.2">
      <c r="B74" s="167" t="s">
        <v>34</v>
      </c>
      <c r="C74" s="19">
        <f>'D2C - Retail'!J135+'D2C Online'!AA116</f>
        <v>171107.74859767529</v>
      </c>
      <c r="D74" s="19">
        <f>'D2C - Retail'!K135+'D2C Online'!AB116</f>
        <v>144401.42789984669</v>
      </c>
      <c r="E74" s="19">
        <f>'D2C - Retail'!L135+'D2C Online'!AC116</f>
        <v>210599.10136889308</v>
      </c>
      <c r="F74" s="19">
        <f>'D2C - Retail'!M135+'D2C Online'!AD116</f>
        <v>190747.57477882321</v>
      </c>
      <c r="G74" s="19">
        <f>'D2C - Retail'!N135+'D2C Online'!AE116</f>
        <v>57968.206488933603</v>
      </c>
      <c r="H74" s="19">
        <f>'D2C - Retail'!O135+'D2C Online'!AF116</f>
        <v>128355.42002176278</v>
      </c>
      <c r="I74" s="19">
        <f>'D2C - Retail'!P135+'D2C Online'!AG116</f>
        <v>151120.36266981688</v>
      </c>
      <c r="J74" s="19">
        <f>'D2C - Retail'!Q135+'D2C Online'!AH116</f>
        <v>224469.19549072089</v>
      </c>
      <c r="K74" s="19">
        <f>'D2C - Retail'!R135+'D2C Online'!AI116</f>
        <v>367731.06137104577</v>
      </c>
      <c r="L74" s="19">
        <f>'D2C - Retail'!S135+'D2C Online'!AJ116</f>
        <v>481728.15180799813</v>
      </c>
      <c r="M74" s="19">
        <f>'D2C - Retail'!T135+'D2C Online'!AK116</f>
        <v>607601.71988937806</v>
      </c>
      <c r="N74" s="19">
        <f>'D2C - Retail'!U135+'D2C Online'!AL116</f>
        <v>556695.76459090004</v>
      </c>
      <c r="O74" s="19">
        <f>'D2C - Retail'!V135+'D2C Online'!AM116</f>
        <v>406514.16698309791</v>
      </c>
      <c r="P74" s="19">
        <f>'D2C - Retail'!W135+'D2C Online'!AN116</f>
        <v>459118.99776999583</v>
      </c>
      <c r="Q74" s="19">
        <f>'D2C - Retail'!X135+'D2C Online'!AO116</f>
        <v>572689.51920361479</v>
      </c>
      <c r="R74" s="19">
        <f>'D2C - Retail'!Y135+'D2C Online'!AP116</f>
        <v>1025965.0005603578</v>
      </c>
      <c r="S74" s="19">
        <f>'D2C - Retail'!Z135+'D2C Online'!AQ116</f>
        <v>980022.42974201217</v>
      </c>
      <c r="T74" s="19">
        <f>'D2C - Retail'!AA135+'D2C Online'!AR116</f>
        <v>1182116.4556541764</v>
      </c>
      <c r="U74" s="19">
        <f>'D2C - Retail'!AB135+'D2C Online'!AS116</f>
        <v>1419039.0762893446</v>
      </c>
      <c r="V74" s="19">
        <f>'D2C - Retail'!AC135+'D2C Online'!AT116</f>
        <v>597817.24096848874</v>
      </c>
      <c r="W74" s="19">
        <f>'D2C - Retail'!AD135+'D2C Online'!AU116</f>
        <v>853543.6068973022</v>
      </c>
      <c r="X74" s="19">
        <f>'D2C - Retail'!AE135+'D2C Online'!AV116</f>
        <v>1002796.5938984768</v>
      </c>
      <c r="Y74" s="19">
        <f>'D2C - Retail'!AF135+'D2C Online'!AW116</f>
        <v>926009.04100807314</v>
      </c>
      <c r="Z74" s="19">
        <f>'D2C - Retail'!AG135+'D2C Online'!AX116</f>
        <v>764866.2906282089</v>
      </c>
      <c r="AA74" s="19">
        <f>'D2C - Retail'!AH135+'D2C Online'!AY116</f>
        <v>618110.41730081732</v>
      </c>
      <c r="AB74" s="19">
        <f>'D2C - Retail'!AI135+'D2C Online'!AZ116</f>
        <v>1125354.0597359159</v>
      </c>
      <c r="AC74" s="19">
        <f>'D2C - Retail'!AJ135+'D2C Online'!BA116</f>
        <v>1568913.6261945898</v>
      </c>
      <c r="AD74" s="19">
        <f>'D2C - Retail'!AK135+'D2C Online'!BB116</f>
        <v>2118639.3210231829</v>
      </c>
      <c r="AE74" s="19">
        <f>'D2C - Retail'!AL135+'D2C Online'!BC116</f>
        <v>2119633.6339807957</v>
      </c>
      <c r="AF74" s="19">
        <f>'D2C - Retail'!AM135+'D2C Online'!BD116</f>
        <v>2948205.0973582491</v>
      </c>
      <c r="AG74" s="19">
        <f>'D2C - Retail'!AN135+'D2C Online'!BE116</f>
        <v>2412039.0452602236</v>
      </c>
      <c r="AH74" s="19">
        <f>'D2C - Retail'!AO135+'D2C Online'!BF116</f>
        <v>2786041.3227213966</v>
      </c>
      <c r="AI74" s="19">
        <f>'D2C - Retail'!AP135+'D2C Online'!BG116</f>
        <v>2496323.8023376241</v>
      </c>
      <c r="AJ74" s="19">
        <f>'D2C - Retail'!AQ135+'D2C Online'!BH116</f>
        <v>3711318.5560288145</v>
      </c>
      <c r="AK74" s="19">
        <f>'D2C - Retail'!AR135+'D2C Online'!BI116</f>
        <v>2963871.5852411771</v>
      </c>
      <c r="AL74" s="19">
        <f>'D2C - Retail'!AS135+'D2C Online'!BJ116</f>
        <v>3092211.248852565</v>
      </c>
      <c r="AM74" s="19">
        <f>'D2C - Retail'!AT135+'D2C Online'!BK116</f>
        <v>2695593.4132696446</v>
      </c>
      <c r="AN74" s="19">
        <f>'D2C - Retail'!AU135+'D2C Online'!BL116</f>
        <v>2575975</v>
      </c>
      <c r="AO74" s="19">
        <f>'D2C - Retail'!AV135+'D2C Online'!BM116</f>
        <v>3603417.4463669057</v>
      </c>
      <c r="AP74" s="19">
        <f>'D2C - Retail'!AW135+'D2C Online'!BN116</f>
        <v>3077232.3182492582</v>
      </c>
      <c r="AQ74" s="19">
        <f>'D2C - Retail'!AX135+'D2C Online'!BO116</f>
        <v>3810239.5585625134</v>
      </c>
      <c r="AR74" s="19">
        <f>'D2C - Retail'!AY135+'D2C Online'!BP116</f>
        <v>3369904.7928634165</v>
      </c>
      <c r="AS74" s="19">
        <f>'D2C - Retail'!AZ135+'D2C Online'!BQ116</f>
        <v>3735843.5105604827</v>
      </c>
      <c r="AT74" s="19">
        <f>'D2C - Retail'!BA135+'D2C Online'!BR116</f>
        <v>3549515.1043835948</v>
      </c>
      <c r="AU74" s="19">
        <f>'D2C - Retail'!BB135+'D2C Online'!BS116</f>
        <v>3633047.6068455996</v>
      </c>
      <c r="AV74" s="19">
        <f>'D2C - Retail'!BC135+'D2C Online'!BT116</f>
        <v>3825794.8129754858</v>
      </c>
      <c r="AW74" s="19">
        <f>'D2C - Retail'!BD135+'D2C Online'!BU116</f>
        <v>3324107.2254572082</v>
      </c>
      <c r="AX74" s="19">
        <f>'D2C - Retail'!BE135+'D2C Online'!BV116</f>
        <v>3301837.4357045996</v>
      </c>
      <c r="AY74" s="19">
        <f>'D2C - Retail'!BF135+'D2C Online'!BW116</f>
        <v>3299789.5863960502</v>
      </c>
      <c r="AZ74" s="19">
        <f>'D2C - Retail'!BG135+'D2C Online'!BX116</f>
        <v>3216200.8886044882</v>
      </c>
      <c r="BA74" s="19">
        <f>'D2C - Retail'!BH135+'D2C Online'!BY116</f>
        <v>3925705.9481728193</v>
      </c>
      <c r="BB74" s="19">
        <f>'D2C - Retail'!BI135+'D2C Online'!BZ116</f>
        <v>4119562.7909014076</v>
      </c>
      <c r="BC74" s="19">
        <f>'D2C - Retail'!BJ135+'D2C Online'!CA116</f>
        <v>4039542.8322807308</v>
      </c>
      <c r="BD74" s="19">
        <f>'D2C - Retail'!BK135+'D2C Online'!CB116</f>
        <v>4547561.7700247727</v>
      </c>
      <c r="BE74" s="19">
        <f>'D2C - Retail'!BL135+'D2C Online'!CC116</f>
        <v>4694936.1459395476</v>
      </c>
      <c r="BF74" s="19">
        <f>'D2C - Retail'!BM135+'D2C Online'!CD116</f>
        <v>4369034.5553491917</v>
      </c>
      <c r="BG74" s="19">
        <f>'D2C - Retail'!BN135+'D2C Online'!CE116</f>
        <v>5236185.3717400841</v>
      </c>
      <c r="BH74" s="19">
        <f>'D2C - Retail'!BO135+'D2C Online'!CF116</f>
        <v>5512665.5501347641</v>
      </c>
      <c r="BI74" s="19">
        <f>'D2C - Retail'!BP135+'D2C Online'!CG116</f>
        <v>5126359.8052705228</v>
      </c>
      <c r="BJ74" s="19">
        <f>'D2C - Retail'!BQ135+'D2C Online'!CH116</f>
        <v>5335841.2037947197</v>
      </c>
      <c r="BK74" s="19">
        <f>'D2C - Retail'!BR135+'D2C Online'!CI116</f>
        <v>5503536.7249247693</v>
      </c>
      <c r="BL74" s="19">
        <f>'D2C - Retail'!BS135+'D2C Online'!CJ116</f>
        <v>5493721.3559622131</v>
      </c>
      <c r="BM74" s="19">
        <f>'D2C - Retail'!BT135+'D2C Online'!CK116</f>
        <v>5643889.7449032422</v>
      </c>
      <c r="BN74" s="19">
        <f>'D2C - Retail'!BU135+'D2C Online'!CL116</f>
        <v>5985192.942615686</v>
      </c>
      <c r="BO74" s="19">
        <f>'D2C - Retail'!BV135+'D2C Online'!CM116</f>
        <v>6013920.9115583375</v>
      </c>
      <c r="BP74" s="19">
        <f>'D2C - Retail'!BW135+'D2C Online'!CN116</f>
        <v>6011881.0557754273</v>
      </c>
      <c r="BQ74" s="19">
        <f>'D2C - Retail'!BX135+'D2C Online'!CO116</f>
        <v>6054888.0151984515</v>
      </c>
      <c r="BR74" s="19">
        <f>'D2C - Retail'!BY135+'D2C Online'!CP116</f>
        <v>5887959.8169636307</v>
      </c>
      <c r="BS74" s="19">
        <f>'D2C - Retail'!BZ135+'D2C Online'!CQ116</f>
        <v>6143961.7177188639</v>
      </c>
      <c r="BT74" s="19">
        <f>'D2C - Retail'!CA135+'D2C Online'!CR116</f>
        <v>6061517.5464929091</v>
      </c>
      <c r="BU74" s="19">
        <f>'D2C - Retail'!CB135+'D2C Online'!CS116</f>
        <v>6068317.0657692757</v>
      </c>
      <c r="BV74" s="19">
        <f>'D2C - Retail'!CC135+'D2C Online'!CT116</f>
        <v>6729400.3274140991</v>
      </c>
      <c r="BW74" s="19">
        <f>'D2C - Retail'!CD135+'D2C Online'!CU116</f>
        <v>7005800.7859984348</v>
      </c>
      <c r="BX74" s="19">
        <f>'D2C - Retail'!CE135+'D2C Online'!CV116</f>
        <v>6457419.5563594019</v>
      </c>
      <c r="BY74" s="19">
        <f>'D2C - Retail'!CF135+'D2C Online'!CW116</f>
        <v>6722940.7841015495</v>
      </c>
      <c r="BZ74" s="19">
        <f>'D2C - Retail'!CG135+'D2C Online'!CX116</f>
        <v>6664099.0738729425</v>
      </c>
      <c r="CA74" s="19">
        <f>'D2C - Retail'!CH135+'D2C Online'!CY116</f>
        <v>6698127.3530855132</v>
      </c>
      <c r="CB74" s="19">
        <f>'D2C - Retail'!CI135+'D2C Online'!CZ116</f>
        <v>6695711.1439106567</v>
      </c>
      <c r="CC74" s="19">
        <f>'D2C - Retail'!CJ135+'D2C Online'!DA116</f>
        <v>6746652.8873472288</v>
      </c>
      <c r="CD74" s="19">
        <f>'D2C - Retail'!CK135+'D2C Online'!DB116</f>
        <v>6548926.4365380835</v>
      </c>
      <c r="CE74" s="19">
        <f>'D2C - Retail'!CL135+'D2C Online'!DC116</f>
        <v>6852160.6879826579</v>
      </c>
      <c r="CF74" s="19">
        <f>'D2C - Retail'!CM135+'D2C Online'!DD116</f>
        <v>6754505.5671655135</v>
      </c>
      <c r="CG74" s="19">
        <f>'D2C - Retail'!CN135+'D2C Online'!DE116</f>
        <v>6762559.5977483708</v>
      </c>
      <c r="CH74" s="19">
        <f>'D2C - Retail'!CO135+'D2C Online'!DF116</f>
        <v>7545612.7211666629</v>
      </c>
      <c r="CI74" s="19">
        <f>'D2C - Retail'!CP135+'D2C Online'!DG116</f>
        <v>7873009.0643598102</v>
      </c>
      <c r="CJ74" s="19">
        <f>'D2C - Retail'!CQ135+'D2C Online'!DH116</f>
        <v>7223451.4978523748</v>
      </c>
      <c r="CK74" s="19">
        <f>'D2C - Retail'!CR135+'D2C Online'!DI116</f>
        <v>7537961.392112948</v>
      </c>
      <c r="CL74" s="19">
        <f>'D2C - Retail'!CS135+'D2C Online'!DJ116</f>
        <v>7280961.8066061772</v>
      </c>
      <c r="CM74" s="19">
        <f>'D2C - Retail'!CT135+'D2C Online'!DK116</f>
        <v>7321268.3033334697</v>
      </c>
      <c r="CN74" s="19">
        <f>'D2C - Retail'!CU135+'D2C Online'!DL116</f>
        <v>7318406.3035658505</v>
      </c>
      <c r="CO74" s="19">
        <f>'D2C - Retail'!CV135+'D2C Online'!DM116</f>
        <v>7378746.7986664707</v>
      </c>
      <c r="CP74" s="19">
        <f>'D2C - Retail'!CW135+'D2C Online'!DN116</f>
        <v>7144539.8176830392</v>
      </c>
      <c r="CQ74" s="19">
        <f>'D2C - Retail'!CX135+'D2C Online'!DO116</f>
        <v>7503720.7885191366</v>
      </c>
      <c r="CR74" s="19">
        <f>'D2C - Retail'!CY135+'D2C Online'!DP116</f>
        <v>7388048.2979112286</v>
      </c>
      <c r="CS74" s="19">
        <f>'D2C - Retail'!CZ135+'D2C Online'!DQ116</f>
        <v>7397588.2971366234</v>
      </c>
      <c r="CT74" s="19">
        <f>'D2C - Retail'!DA135+'D2C Online'!DR116</f>
        <v>8325114.7218255904</v>
      </c>
      <c r="CU74" s="19">
        <f>'D2C - Retail'!DB135+'D2C Online'!DS116</f>
        <v>8712915.6903378721</v>
      </c>
      <c r="CV74" s="19">
        <f>'D2C - Retail'!DC135+'D2C Online'!DT116</f>
        <v>7943514.752809817</v>
      </c>
      <c r="CW74" s="19">
        <f>'D2C - Retail'!DD135+'D2C Online'!DU116</f>
        <v>8316051.7225614674</v>
      </c>
      <c r="CX74" s="168"/>
      <c r="CY74" s="19">
        <f t="shared" si="272"/>
        <v>7186478.0523622278</v>
      </c>
      <c r="CZ74" s="19">
        <f t="shared" si="273"/>
        <v>7694404.1703192443</v>
      </c>
      <c r="DA74" s="19">
        <f t="shared" si="274"/>
        <v>9767401.3901225552</v>
      </c>
      <c r="DB74" s="19">
        <f t="shared" si="275"/>
        <v>8874985.8596365508</v>
      </c>
      <c r="DC74" s="19">
        <f t="shared" si="276"/>
        <v>10257376.669675188</v>
      </c>
      <c r="DD74" s="19">
        <f t="shared" si="277"/>
        <v>10918406.221789677</v>
      </c>
      <c r="DE74" s="19">
        <f t="shared" si="278"/>
        <v>10451739.474137293</v>
      </c>
      <c r="DF74" s="19">
        <f t="shared" si="279"/>
        <v>10441696.423173357</v>
      </c>
      <c r="DG74" s="19">
        <f t="shared" si="280"/>
        <v>12706667.393206911</v>
      </c>
      <c r="DH74" s="19">
        <f t="shared" si="281"/>
        <v>14300156.073028823</v>
      </c>
      <c r="DI74" s="19">
        <f t="shared" si="282"/>
        <v>15974866.559200006</v>
      </c>
      <c r="DJ74" s="19">
        <f t="shared" si="283"/>
        <v>16641147.825790225</v>
      </c>
      <c r="DK74" s="19">
        <f t="shared" si="284"/>
        <v>18010994.909949452</v>
      </c>
      <c r="DL74" s="19">
        <f t="shared" si="285"/>
        <v>18086809.549880944</v>
      </c>
      <c r="DM74" s="19">
        <f t="shared" si="286"/>
        <v>18859234.939676285</v>
      </c>
      <c r="DN74" s="19">
        <f t="shared" si="287"/>
        <v>20186161.126459386</v>
      </c>
      <c r="DO74" s="19">
        <f t="shared" si="288"/>
        <v>20057937.570869114</v>
      </c>
      <c r="DP74" s="19">
        <f t="shared" si="289"/>
        <v>20147740.01186797</v>
      </c>
      <c r="DQ74" s="19">
        <f t="shared" si="290"/>
        <v>21062677.886080548</v>
      </c>
      <c r="DR74" s="19">
        <f t="shared" si="291"/>
        <v>22634421.954325132</v>
      </c>
      <c r="DS74" s="19">
        <f t="shared" si="292"/>
        <v>21920636.413505495</v>
      </c>
      <c r="DT74" s="19">
        <f t="shared" si="293"/>
        <v>22027007.404868647</v>
      </c>
      <c r="DU74" s="19">
        <f t="shared" si="294"/>
        <v>23110751.316873442</v>
      </c>
      <c r="DV74" s="19">
        <f t="shared" si="295"/>
        <v>24972482.165709157</v>
      </c>
      <c r="DX74" s="19">
        <f t="shared" si="296"/>
        <v>33523269.472440578</v>
      </c>
      <c r="DY74" s="19">
        <f t="shared" si="297"/>
        <v>42069218.788775519</v>
      </c>
      <c r="DZ74" s="19">
        <f t="shared" si="298"/>
        <v>59622837.851225965</v>
      </c>
      <c r="EA74" s="19">
        <f t="shared" si="299"/>
        <v>75143200.525966063</v>
      </c>
      <c r="EB74" s="19">
        <f t="shared" si="300"/>
        <v>83902777.423142761</v>
      </c>
      <c r="EC74" s="770">
        <f t="shared" si="301"/>
        <v>92030877.300956741</v>
      </c>
    </row>
    <row r="75" spans="2:133" x14ac:dyDescent="0.2">
      <c r="B75" s="167" t="s">
        <v>234</v>
      </c>
      <c r="C75" s="19">
        <f>'D2C - Retail'!J136+'D2C Online'!AA117</f>
        <v>0</v>
      </c>
      <c r="D75" s="19">
        <f>'D2C - Retail'!K136+'D2C Online'!AB117</f>
        <v>0</v>
      </c>
      <c r="E75" s="19">
        <f>'D2C - Retail'!L136+'D2C Online'!AC117</f>
        <v>0</v>
      </c>
      <c r="F75" s="19">
        <f>'D2C - Retail'!M136+'D2C Online'!AD117</f>
        <v>0</v>
      </c>
      <c r="G75" s="19">
        <f>'D2C - Retail'!N136+'D2C Online'!AE117</f>
        <v>0</v>
      </c>
      <c r="H75" s="19">
        <f>'D2C - Retail'!O136+'D2C Online'!AF117</f>
        <v>0</v>
      </c>
      <c r="I75" s="19">
        <f>'D2C - Retail'!P136+'D2C Online'!AG117</f>
        <v>162422</v>
      </c>
      <c r="J75" s="19">
        <f>'D2C - Retail'!Q136+'D2C Online'!AH117</f>
        <v>199501</v>
      </c>
      <c r="K75" s="19">
        <f>'D2C - Retail'!R136+'D2C Online'!AI117</f>
        <v>301715</v>
      </c>
      <c r="L75" s="19">
        <f>'D2C - Retail'!S136+'D2C Online'!AJ117</f>
        <v>284100</v>
      </c>
      <c r="M75" s="19">
        <f>'D2C - Retail'!T136+'D2C Online'!AK117</f>
        <v>507635</v>
      </c>
      <c r="N75" s="19">
        <f>'D2C - Retail'!U136+'D2C Online'!AL117</f>
        <v>584182</v>
      </c>
      <c r="O75" s="19">
        <f>'D2C - Retail'!V136+'D2C Online'!AM117</f>
        <v>726395</v>
      </c>
      <c r="P75" s="19">
        <f>'D2C - Retail'!W136+'D2C Online'!AN117</f>
        <v>702542</v>
      </c>
      <c r="Q75" s="19">
        <f>'D2C - Retail'!X136+'D2C Online'!AO117</f>
        <v>784079.17000000062</v>
      </c>
      <c r="R75" s="19">
        <f>'D2C - Retail'!Y136+'D2C Online'!AP117</f>
        <v>707885.63890000037</v>
      </c>
      <c r="S75" s="19">
        <f>'D2C - Retail'!Z136+'D2C Online'!AQ117</f>
        <v>813830</v>
      </c>
      <c r="T75" s="19">
        <f>'D2C - Retail'!AA136+'D2C Online'!AR117</f>
        <v>1319492.76</v>
      </c>
      <c r="U75" s="19">
        <f>'D2C - Retail'!AB136+'D2C Online'!AS117</f>
        <v>1493819</v>
      </c>
      <c r="V75" s="19">
        <f>'D2C - Retail'!AC136+'D2C Online'!AT117</f>
        <v>1520200</v>
      </c>
      <c r="W75" s="19">
        <f>'D2C - Retail'!AD136+'D2C Online'!AU117</f>
        <v>1451597</v>
      </c>
      <c r="X75" s="19">
        <f>'D2C - Retail'!AE136+'D2C Online'!AV117</f>
        <v>2786331</v>
      </c>
      <c r="Y75" s="19">
        <f>'D2C - Retail'!AF136+'D2C Online'!AW117</f>
        <v>2745862</v>
      </c>
      <c r="Z75" s="19">
        <f>'D2C - Retail'!AG136+'D2C Online'!AX117</f>
        <v>2958346.8200000003</v>
      </c>
      <c r="AA75" s="19">
        <f>'D2C - Retail'!AH136+'D2C Online'!AY117</f>
        <v>3874102.9</v>
      </c>
      <c r="AB75" s="19">
        <f>'D2C - Retail'!AI136+'D2C Online'!AZ117</f>
        <v>3304385</v>
      </c>
      <c r="AC75" s="19">
        <f>'D2C - Retail'!AJ136+'D2C Online'!BA117</f>
        <v>3952787.3448275859</v>
      </c>
      <c r="AD75" s="19">
        <f>'D2C - Retail'!AK136+'D2C Online'!BB117</f>
        <v>4658033</v>
      </c>
      <c r="AE75" s="19">
        <f>'D2C - Retail'!AL136+'D2C Online'!BC117</f>
        <v>4628200</v>
      </c>
      <c r="AF75" s="19">
        <f>'D2C - Retail'!AM136+'D2C Online'!BD117</f>
        <v>4932235</v>
      </c>
      <c r="AG75" s="19">
        <f>'D2C - Retail'!AN136+'D2C Online'!BE117</f>
        <v>3824198</v>
      </c>
      <c r="AH75" s="19">
        <f>'D2C - Retail'!AO136+'D2C Online'!BF117</f>
        <v>4321941</v>
      </c>
      <c r="AI75" s="19">
        <f>'D2C - Retail'!AP136+'D2C Online'!BG117</f>
        <v>4642905.6765617393</v>
      </c>
      <c r="AJ75" s="19">
        <f>'D2C - Retail'!AQ136+'D2C Online'!BH117</f>
        <v>6156270.3535000002</v>
      </c>
      <c r="AK75" s="19">
        <f>'D2C - Retail'!AR136+'D2C Online'!BI117</f>
        <v>4712966</v>
      </c>
      <c r="AL75" s="19">
        <f>'D2C - Retail'!AS136+'D2C Online'!BJ117</f>
        <v>5171693.08</v>
      </c>
      <c r="AM75" s="19">
        <f>'D2C - Retail'!AT136+'D2C Online'!BK117</f>
        <v>3380851.1399999997</v>
      </c>
      <c r="AN75" s="19">
        <f>'D2C - Retail'!AU136+'D2C Online'!BL117</f>
        <v>4865695.2259999989</v>
      </c>
      <c r="AO75" s="19">
        <f>'D2C - Retail'!AV136+'D2C Online'!BM117</f>
        <v>5063958.7992893495</v>
      </c>
      <c r="AP75" s="19">
        <f>'D2C - Retail'!AW136+'D2C Online'!BN117</f>
        <v>4551434</v>
      </c>
      <c r="AQ75" s="19">
        <f>'D2C - Retail'!AX136+'D2C Online'!BO117</f>
        <v>4423347.9210932199</v>
      </c>
      <c r="AR75" s="19">
        <f>'D2C - Retail'!AY136+'D2C Online'!BP117</f>
        <v>4187581.2542372914</v>
      </c>
      <c r="AS75" s="19">
        <f>'D2C - Retail'!AZ136+'D2C Online'!BQ117</f>
        <v>3794477</v>
      </c>
      <c r="AT75" s="19">
        <f>'D2C - Retail'!BA136+'D2C Online'!BR117</f>
        <v>3715162.88</v>
      </c>
      <c r="AU75" s="19">
        <f>'D2C - Retail'!BB136+'D2C Online'!BS117</f>
        <v>3561658.8299999991</v>
      </c>
      <c r="AV75" s="19">
        <f>'D2C - Retail'!BC136+'D2C Online'!BT117</f>
        <v>3816728.9111863999</v>
      </c>
      <c r="AW75" s="19">
        <f>'D2C - Retail'!BD136+'D2C Online'!BU117</f>
        <v>3699571.6150000002</v>
      </c>
      <c r="AX75" s="19">
        <f>'D2C - Retail'!BE136+'D2C Online'!BV117</f>
        <v>4656854</v>
      </c>
      <c r="AY75" s="19">
        <f>'D2C - Retail'!BF136+'D2C Online'!BW117</f>
        <v>5678660.0069491006</v>
      </c>
      <c r="AZ75" s="19">
        <f>'D2C - Retail'!BG136+'D2C Online'!BX117</f>
        <v>4306761.4357627099</v>
      </c>
      <c r="BA75" s="19">
        <f>'D2C - Retail'!BH136+'D2C Online'!BY117</f>
        <v>5879984.03779661</v>
      </c>
      <c r="BB75" s="19">
        <f>'D2C - Retail'!BI136+'D2C Online'!BZ117</f>
        <v>5404328.0266101696</v>
      </c>
      <c r="BC75" s="19">
        <f>'D2C - Retail'!BJ136+'D2C Online'!CA117</f>
        <v>5302926</v>
      </c>
      <c r="BD75" s="19">
        <f>'D2C - Retail'!BK136+'D2C Online'!CB117</f>
        <v>5192795.4745762702</v>
      </c>
      <c r="BE75" s="19">
        <f>'D2C - Retail'!BL136+'D2C Online'!CC117</f>
        <v>5314910</v>
      </c>
      <c r="BF75" s="19">
        <f>'D2C - Retail'!BM136+'D2C Online'!CD117</f>
        <v>5383136</v>
      </c>
      <c r="BG75" s="19">
        <f>'D2C - Retail'!BN136+'D2C Online'!CE117</f>
        <v>4632473</v>
      </c>
      <c r="BH75" s="19">
        <f>'D2C - Retail'!BO136+'D2C Online'!CF117</f>
        <v>6193078</v>
      </c>
      <c r="BI75" s="19">
        <f>'D2C - Retail'!BP136+'D2C Online'!CG117</f>
        <v>5817265.2400000002</v>
      </c>
      <c r="BJ75" s="19">
        <f>'D2C - Retail'!BQ136+'D2C Online'!CH117</f>
        <v>7211182.71</v>
      </c>
      <c r="BK75" s="19">
        <f>'D2C - Retail'!BR136+'D2C Online'!CI117</f>
        <v>7939742.9900000002</v>
      </c>
      <c r="BL75" s="19">
        <f>'D2C - Retail'!BS136+'D2C Online'!CJ117</f>
        <v>7021485</v>
      </c>
      <c r="BM75" s="19">
        <f>'D2C - Retail'!BT136+'D2C Online'!CK117</f>
        <v>8218698</v>
      </c>
      <c r="BN75" s="19">
        <f>'D2C - Retail'!BU136+'D2C Online'!CL117</f>
        <v>7308517.3066780251</v>
      </c>
      <c r="BO75" s="19">
        <f>'D2C - Retail'!BV136+'D2C Online'!CM117</f>
        <v>7248925.0041153254</v>
      </c>
      <c r="BP75" s="19">
        <f>'D2C - Retail'!BW136+'D2C Online'!CN117</f>
        <v>7233395.5410890151</v>
      </c>
      <c r="BQ75" s="19">
        <f>'D2C - Retail'!BX136+'D2C Online'!CO117</f>
        <v>7633615.6910530105</v>
      </c>
      <c r="BR75" s="19">
        <f>'D2C - Retail'!BY136+'D2C Online'!CP117</f>
        <v>6943474.414126996</v>
      </c>
      <c r="BS75" s="19">
        <f>'D2C - Retail'!BZ136+'D2C Online'!CQ117</f>
        <v>6941689.6051569022</v>
      </c>
      <c r="BT75" s="19">
        <f>'D2C - Retail'!CA136+'D2C Online'!CR117</f>
        <v>7790936.3389744628</v>
      </c>
      <c r="BU75" s="19">
        <f>'D2C - Retail'!CB136+'D2C Online'!CS117</f>
        <v>7417063.1955200341</v>
      </c>
      <c r="BV75" s="19">
        <f>'D2C - Retail'!CC136+'D2C Online'!CT117</f>
        <v>9018021.5214804076</v>
      </c>
      <c r="BW75" s="19">
        <f>'D2C - Retail'!CD136+'D2C Online'!CU117</f>
        <v>9465600.5453110691</v>
      </c>
      <c r="BX75" s="19">
        <f>'D2C - Retail'!CE136+'D2C Online'!CV117</f>
        <v>8446920.4078896306</v>
      </c>
      <c r="BY75" s="19">
        <f>'D2C - Retail'!CF136+'D2C Online'!CW117</f>
        <v>9564184.3588779196</v>
      </c>
      <c r="BZ75" s="19">
        <f>'D2C - Retail'!CG136+'D2C Online'!CX117</f>
        <v>8998882.5850834511</v>
      </c>
      <c r="CA75" s="19">
        <f>'D2C - Retail'!CH136+'D2C Online'!CY117</f>
        <v>8936093.5066105332</v>
      </c>
      <c r="CB75" s="19">
        <f>'D2C - Retail'!CI136+'D2C Online'!CZ117</f>
        <v>8891640.7628975455</v>
      </c>
      <c r="CC75" s="19">
        <f>'D2C - Retail'!CJ136+'D2C Online'!DA117</f>
        <v>9383921.9354920909</v>
      </c>
      <c r="CD75" s="19">
        <f>'D2C - Retail'!CK136+'D2C Online'!DB117</f>
        <v>8524677.6080518384</v>
      </c>
      <c r="CE75" s="19">
        <f>'D2C - Retail'!CL136+'D2C Online'!DC117</f>
        <v>8503513.1362296622</v>
      </c>
      <c r="CF75" s="19">
        <f>'D2C - Retail'!CM136+'D2C Online'!DD117</f>
        <v>9538035.2807732467</v>
      </c>
      <c r="CG75" s="19">
        <f>'D2C - Retail'!CN136+'D2C Online'!DE117</f>
        <v>9051664.7666764706</v>
      </c>
      <c r="CH75" s="19">
        <f>'D2C - Retail'!CO136+'D2C Online'!DF117</f>
        <v>10978976.490445845</v>
      </c>
      <c r="CI75" s="19">
        <f>'D2C - Retail'!CP136+'D2C Online'!DG117</f>
        <v>11495950.616266718</v>
      </c>
      <c r="CJ75" s="19">
        <f>'D2C - Retail'!CQ136+'D2C Online'!DH117</f>
        <v>10235405.221762307</v>
      </c>
      <c r="CK75" s="19">
        <f>'D2C - Retail'!CR136+'D2C Online'!DI117</f>
        <v>11514792.893447898</v>
      </c>
      <c r="CL75" s="19">
        <f>'D2C - Retail'!CS136+'D2C Online'!DJ117</f>
        <v>10315187.156372521</v>
      </c>
      <c r="CM75" s="19">
        <f>'D2C - Retail'!CT136+'D2C Online'!DK117</f>
        <v>10238615.370730609</v>
      </c>
      <c r="CN75" s="19">
        <f>'D2C - Retail'!CU136+'D2C Online'!DL117</f>
        <v>10184535.556086626</v>
      </c>
      <c r="CO75" s="19">
        <f>'D2C - Retail'!CV136+'D2C Online'!DM117</f>
        <v>10743530.13296622</v>
      </c>
      <c r="CP75" s="19">
        <f>'D2C - Retail'!CW136+'D2C Online'!DN117</f>
        <v>9756462.110191334</v>
      </c>
      <c r="CQ75" s="19">
        <f>'D2C - Retail'!CX136+'D2C Online'!DO117</f>
        <v>9730470.931463033</v>
      </c>
      <c r="CR75" s="19">
        <f>'D2C - Retail'!CY136+'D2C Online'!DP117</f>
        <v>10905508.126411695</v>
      </c>
      <c r="CS75" s="19">
        <f>'D2C - Retail'!CZ136+'D2C Online'!DQ117</f>
        <v>10348865.08151136</v>
      </c>
      <c r="CT75" s="19">
        <f>'D2C - Retail'!DA136+'D2C Online'!DR117</f>
        <v>12551290.084382791</v>
      </c>
      <c r="CU75" s="19">
        <f>'D2C - Retail'!DB136+'D2C Online'!DS117</f>
        <v>13142363.067474306</v>
      </c>
      <c r="CV75" s="19">
        <f>'D2C - Retail'!DC136+'D2C Online'!DT117</f>
        <v>11695643.463631939</v>
      </c>
      <c r="CW75" s="19">
        <f>'D2C - Retail'!DD136+'D2C Online'!DU117</f>
        <v>13152867.562734963</v>
      </c>
      <c r="CX75" s="168"/>
      <c r="CY75" s="19">
        <f t="shared" si="272"/>
        <v>14218468</v>
      </c>
      <c r="CZ75" s="19">
        <f t="shared" si="273"/>
        <v>12789044.676561739</v>
      </c>
      <c r="DA75" s="19">
        <f t="shared" si="274"/>
        <v>16040929.433500001</v>
      </c>
      <c r="DB75" s="19">
        <f t="shared" si="275"/>
        <v>13310505.165289348</v>
      </c>
      <c r="DC75" s="19">
        <f t="shared" si="276"/>
        <v>13162363.175330512</v>
      </c>
      <c r="DD75" s="19">
        <f t="shared" si="277"/>
        <v>11071298.709999999</v>
      </c>
      <c r="DE75" s="19">
        <f t="shared" si="278"/>
        <v>12173154.526186399</v>
      </c>
      <c r="DF75" s="19">
        <f t="shared" si="279"/>
        <v>15865405.480508421</v>
      </c>
      <c r="DG75" s="19">
        <f t="shared" si="280"/>
        <v>15900049.50118644</v>
      </c>
      <c r="DH75" s="19">
        <f t="shared" si="281"/>
        <v>15330519</v>
      </c>
      <c r="DI75" s="19">
        <f t="shared" si="282"/>
        <v>19221525.949999999</v>
      </c>
      <c r="DJ75" s="19">
        <f t="shared" si="283"/>
        <v>23179925.990000002</v>
      </c>
      <c r="DK75" s="19">
        <f t="shared" si="284"/>
        <v>21790837.851882368</v>
      </c>
      <c r="DL75" s="19">
        <f t="shared" si="285"/>
        <v>21518779.710336909</v>
      </c>
      <c r="DM75" s="19">
        <f t="shared" si="286"/>
        <v>24226021.055974904</v>
      </c>
      <c r="DN75" s="19">
        <f t="shared" si="287"/>
        <v>27476705.312078618</v>
      </c>
      <c r="DO75" s="19">
        <f t="shared" si="288"/>
        <v>26826616.854591526</v>
      </c>
      <c r="DP75" s="19">
        <f t="shared" si="289"/>
        <v>26412112.679773591</v>
      </c>
      <c r="DQ75" s="19">
        <f t="shared" si="290"/>
        <v>29568676.53789556</v>
      </c>
      <c r="DR75" s="19">
        <f t="shared" si="291"/>
        <v>33246148.731476925</v>
      </c>
      <c r="DS75" s="19">
        <f t="shared" si="292"/>
        <v>30738338.083189756</v>
      </c>
      <c r="DT75" s="19">
        <f t="shared" si="293"/>
        <v>30230463.174620587</v>
      </c>
      <c r="DU75" s="19">
        <f t="shared" si="294"/>
        <v>33805663.292305842</v>
      </c>
      <c r="DV75" s="19">
        <f t="shared" si="295"/>
        <v>37990874.09384121</v>
      </c>
      <c r="DX75" s="19">
        <f t="shared" si="296"/>
        <v>56358947.275351092</v>
      </c>
      <c r="DY75" s="19">
        <f t="shared" si="297"/>
        <v>52272221.892025337</v>
      </c>
      <c r="DZ75" s="19">
        <f t="shared" si="298"/>
        <v>73632020.441186428</v>
      </c>
      <c r="EA75" s="19">
        <f t="shared" si="299"/>
        <v>95012343.930272788</v>
      </c>
      <c r="EB75" s="19">
        <f t="shared" si="300"/>
        <v>116053554.80373761</v>
      </c>
      <c r="EC75" s="770">
        <f t="shared" si="301"/>
        <v>132765338.64395739</v>
      </c>
    </row>
    <row r="76" spans="2:133" x14ac:dyDescent="0.2">
      <c r="B76" s="167" t="s">
        <v>149</v>
      </c>
      <c r="C76" s="19">
        <f>'D2C - Retail'!J138+'D2C Online'!AA119</f>
        <v>565323.08831999998</v>
      </c>
      <c r="D76" s="19">
        <f>'D2C - Retail'!K138+'D2C Online'!AB119</f>
        <v>533341.31939999992</v>
      </c>
      <c r="E76" s="19">
        <f>'D2C - Retail'!L138+'D2C Online'!AC119</f>
        <v>625374.90576000116</v>
      </c>
      <c r="F76" s="19">
        <f>'D2C - Retail'!M138+'D2C Online'!AD119</f>
        <v>370408.69068000023</v>
      </c>
      <c r="G76" s="19">
        <f>'D2C - Retail'!N138+'D2C Online'!AE119</f>
        <v>94266.199199999988</v>
      </c>
      <c r="H76" s="19">
        <f>'D2C - Retail'!O138+'D2C Online'!AF119</f>
        <v>301623.10487999977</v>
      </c>
      <c r="I76" s="19">
        <f>'D2C - Retail'!P138+'D2C Online'!AG119</f>
        <v>408175.59180000098</v>
      </c>
      <c r="J76" s="19">
        <f>'D2C - Retail'!Q138+'D2C Online'!AH119</f>
        <v>492403.11552000168</v>
      </c>
      <c r="K76" s="19">
        <f>'D2C - Retail'!R138+'D2C Online'!AI119</f>
        <v>671743.8196800017</v>
      </c>
      <c r="L76" s="19">
        <f>'D2C - Retail'!S138+'D2C Online'!AJ119</f>
        <v>715270.90258000419</v>
      </c>
      <c r="M76" s="19">
        <f>'D2C - Retail'!T138+'D2C Online'!AK119</f>
        <v>1263842.7476199982</v>
      </c>
      <c r="N76" s="19">
        <f>'D2C - Retail'!U138+'D2C Online'!AL119</f>
        <v>1463834.7460399934</v>
      </c>
      <c r="O76" s="19">
        <f>'D2C - Retail'!V138+'D2C Online'!AM119</f>
        <v>1657671.0287800266</v>
      </c>
      <c r="P76" s="19">
        <f>'D2C - Retail'!W138+'D2C Online'!AN119</f>
        <v>1801391.4901599558</v>
      </c>
      <c r="Q76" s="19">
        <f>'D2C - Retail'!X138+'D2C Online'!AO119</f>
        <v>1798819.4446399403</v>
      </c>
      <c r="R76" s="19">
        <f>'D2C - Retail'!Y138+'D2C Online'!AP119</f>
        <v>1632647.1251999517</v>
      </c>
      <c r="S76" s="19">
        <f>'D2C - Retail'!Z138+'D2C Online'!AQ119</f>
        <v>2027398.9548000577</v>
      </c>
      <c r="T76" s="19">
        <f>'D2C - Retail'!AA138+'D2C Online'!AR119</f>
        <v>2723448.5870398814</v>
      </c>
      <c r="U76" s="19">
        <f>'D2C - Retail'!AB138+'D2C Online'!AS119</f>
        <v>2583046.962839989</v>
      </c>
      <c r="V76" s="19">
        <f>'D2C - Retail'!AC138+'D2C Online'!AT119</f>
        <v>2399745.3503600666</v>
      </c>
      <c r="W76" s="19">
        <f>'D2C - Retail'!AD138+'D2C Online'!AU119</f>
        <v>2365252.8879</v>
      </c>
      <c r="X76" s="19">
        <f>'D2C - Retail'!AE138+'D2C Online'!AV119</f>
        <v>2573683.8489399701</v>
      </c>
      <c r="Y76" s="19">
        <f>'D2C - Retail'!AF138+'D2C Online'!AW119</f>
        <v>2337143.7857199837</v>
      </c>
      <c r="Z76" s="19">
        <f>'D2C - Retail'!AG138+'D2C Online'!AX119</f>
        <v>2585441.3433201169</v>
      </c>
      <c r="AA76" s="19">
        <f>'D2C - Retail'!AH138+'D2C Online'!AY119</f>
        <v>2512331.0076600006</v>
      </c>
      <c r="AB76" s="19">
        <f>'D2C - Retail'!AI138+'D2C Online'!AZ119</f>
        <v>2715999.4368000319</v>
      </c>
      <c r="AC76" s="19">
        <f>'D2C - Retail'!AJ138+'D2C Online'!BA119</f>
        <v>4240254.2573798997</v>
      </c>
      <c r="AD76" s="19">
        <f>'D2C - Retail'!AK138+'D2C Online'!BB119</f>
        <v>4714687.1255942807</v>
      </c>
      <c r="AE76" s="19">
        <f>'D2C - Retail'!AL138+'D2C Online'!BC119</f>
        <v>5407216</v>
      </c>
      <c r="AF76" s="19">
        <f>'D2C - Retail'!AM138+'D2C Online'!BD119</f>
        <v>5003555</v>
      </c>
      <c r="AG76" s="19">
        <f>'D2C - Retail'!AN138+'D2C Online'!BE119</f>
        <v>4401446.5084745763</v>
      </c>
      <c r="AH76" s="19">
        <f>'D2C - Retail'!AO138+'D2C Online'!BF119</f>
        <v>4414339</v>
      </c>
      <c r="AI76" s="19">
        <f>'D2C - Retail'!AP138+'D2C Online'!BG119</f>
        <v>4833617</v>
      </c>
      <c r="AJ76" s="19">
        <f>'D2C - Retail'!AQ138+'D2C Online'!BH119</f>
        <v>7807166.1181329805</v>
      </c>
      <c r="AK76" s="19">
        <f>'D2C - Retail'!AR138+'D2C Online'!BI119</f>
        <v>6365052.3824443594</v>
      </c>
      <c r="AL76" s="19">
        <f>'D2C - Retail'!AS138+'D2C Online'!BJ119</f>
        <v>7558640.6416100953</v>
      </c>
      <c r="AM76" s="19">
        <f>'D2C - Retail'!AT138+'D2C Online'!BK119</f>
        <v>9317167</v>
      </c>
      <c r="AN76" s="19">
        <f>'D2C - Retail'!AU138+'D2C Online'!BL119</f>
        <v>10282925.323791746</v>
      </c>
      <c r="AO76" s="19">
        <f>'D2C - Retail'!AV138+'D2C Online'!BM119</f>
        <v>10723923.915980741</v>
      </c>
      <c r="AP76" s="19">
        <f>'D2C - Retail'!AW138+'D2C Online'!BN119</f>
        <v>7872013.342686587</v>
      </c>
      <c r="AQ76" s="19">
        <f>'D2C - Retail'!AX138+'D2C Online'!BO119</f>
        <v>6773800</v>
      </c>
      <c r="AR76" s="19">
        <f>'D2C - Retail'!AY138+'D2C Online'!BP119</f>
        <v>5859378.5788141806</v>
      </c>
      <c r="AS76" s="19">
        <f>'D2C - Retail'!AZ138+'D2C Online'!BQ119</f>
        <v>7218576</v>
      </c>
      <c r="AT76" s="19">
        <f>'D2C - Retail'!BA138+'D2C Online'!BR119</f>
        <v>5029160</v>
      </c>
      <c r="AU76" s="19">
        <f>'D2C - Retail'!BB138+'D2C Online'!BS119</f>
        <v>5507193.7204873962</v>
      </c>
      <c r="AV76" s="19">
        <f>'D2C - Retail'!BC138+'D2C Online'!BT119</f>
        <v>6834038</v>
      </c>
      <c r="AW76" s="19">
        <f>'D2C - Retail'!BD138+'D2C Online'!BU119</f>
        <v>4771130.5578047894</v>
      </c>
      <c r="AX76" s="19">
        <f>'D2C - Retail'!BE138+'D2C Online'!BV119</f>
        <v>4764700</v>
      </c>
      <c r="AY76" s="19">
        <f>'D2C - Retail'!BF138+'D2C Online'!BW119</f>
        <v>5474163.1807626095</v>
      </c>
      <c r="AZ76" s="19">
        <f>'D2C - Retail'!BG138+'D2C Online'!BX119</f>
        <v>4907090.2746713851</v>
      </c>
      <c r="BA76" s="19">
        <f>'D2C - Retail'!BH138+'D2C Online'!BY119</f>
        <v>8284550.3566312417</v>
      </c>
      <c r="BB76" s="19">
        <f>'D2C - Retail'!BI138+'D2C Online'!BZ119</f>
        <v>8427014.4747897945</v>
      </c>
      <c r="BC76" s="19">
        <f>'D2C - Retail'!BJ138+'D2C Online'!CA119</f>
        <v>8004942.7649152549</v>
      </c>
      <c r="BD76" s="19">
        <f>'D2C - Retail'!BK138+'D2C Online'!CB119</f>
        <v>8656398.1186440699</v>
      </c>
      <c r="BE76" s="19">
        <f>'D2C - Retail'!BL138+'D2C Online'!CC119</f>
        <v>10043911</v>
      </c>
      <c r="BF76" s="19">
        <f>'D2C - Retail'!BM138+'D2C Online'!CD119</f>
        <v>7327038.0000000009</v>
      </c>
      <c r="BG76" s="19">
        <f>'D2C - Retail'!BN138+'D2C Online'!CE119</f>
        <v>10395752</v>
      </c>
      <c r="BH76" s="19">
        <f>'D2C - Retail'!BO138+'D2C Online'!CF119</f>
        <v>16120003.859999999</v>
      </c>
      <c r="BI76" s="19">
        <f>'D2C - Retail'!BP138+'D2C Online'!CG119</f>
        <v>9828786.9600000009</v>
      </c>
      <c r="BJ76" s="19">
        <f>'D2C - Retail'!BQ138+'D2C Online'!CH119</f>
        <v>11681145</v>
      </c>
      <c r="BK76" s="19">
        <f>'D2C - Retail'!BR138+'D2C Online'!CI119</f>
        <v>10222177</v>
      </c>
      <c r="BL76" s="19">
        <f>'D2C - Retail'!BS138+'D2C Online'!CJ119</f>
        <v>9420616.0969999991</v>
      </c>
      <c r="BM76" s="19">
        <f>'D2C - Retail'!BT138+'D2C Online'!CK119</f>
        <v>14978459.1675</v>
      </c>
      <c r="BN76" s="19">
        <f>'D2C - Retail'!BU138+'D2C Online'!CL119</f>
        <v>11378699.587136077</v>
      </c>
      <c r="BO76" s="19">
        <f>'D2C - Retail'!BV138+'D2C Online'!CM119</f>
        <v>11312528.651262414</v>
      </c>
      <c r="BP76" s="19">
        <f>'D2C - Retail'!BW138+'D2C Online'!CN119</f>
        <v>11296533.410489507</v>
      </c>
      <c r="BQ76" s="19">
        <f>'D2C - Retail'!BX138+'D2C Online'!CO119</f>
        <v>11857401.927642349</v>
      </c>
      <c r="BR76" s="19">
        <f>'D2C - Retail'!BY138+'D2C Online'!CP119</f>
        <v>10868458.644044111</v>
      </c>
      <c r="BS76" s="19">
        <f>'D2C - Retail'!BZ138+'D2C Online'!CQ119</f>
        <v>10967963.949804846</v>
      </c>
      <c r="BT76" s="19">
        <f>'D2C - Retail'!CA138+'D2C Online'!CR119</f>
        <v>12089846.28085833</v>
      </c>
      <c r="BU76" s="19">
        <f>'D2C - Retail'!CB138+'D2C Online'!CS119</f>
        <v>11592533.861559335</v>
      </c>
      <c r="BV76" s="19">
        <f>'D2C - Retail'!CC138+'D2C Online'!CT119</f>
        <v>14004643.536709137</v>
      </c>
      <c r="BW76" s="19">
        <f>'D2C - Retail'!CD138+'D2C Online'!CU119</f>
        <v>14715474.998282813</v>
      </c>
      <c r="BX76" s="19">
        <f>'D2C - Retail'!CE138+'D2C Online'!CV119</f>
        <v>13141835.474565893</v>
      </c>
      <c r="BY76" s="19">
        <f>'D2C - Retail'!CF138+'D2C Online'!CW119</f>
        <v>14758082.279261958</v>
      </c>
      <c r="BZ76" s="19">
        <f>'D2C - Retail'!CG138+'D2C Online'!CX119</f>
        <v>13704251.218805656</v>
      </c>
      <c r="CA76" s="19">
        <f>'D2C - Retail'!CH138+'D2C Online'!CY119</f>
        <v>13638866.421532266</v>
      </c>
      <c r="CB76" s="19">
        <f>'D2C - Retail'!CI138+'D2C Online'!CZ119</f>
        <v>13582695.18131141</v>
      </c>
      <c r="CC76" s="19">
        <f>'D2C - Retail'!CJ138+'D2C Online'!DA119</f>
        <v>14259876.699677946</v>
      </c>
      <c r="CD76" s="19">
        <f>'D2C - Retail'!CK138+'D2C Online'!DB119</f>
        <v>13050769.173147889</v>
      </c>
      <c r="CE76" s="19">
        <f>'D2C - Retail'!CL138+'D2C Online'!DC119</f>
        <v>13140605.075198635</v>
      </c>
      <c r="CF76" s="19">
        <f>'D2C - Retail'!CM138+'D2C Online'!DD119</f>
        <v>14483076.670092225</v>
      </c>
      <c r="CG76" s="19">
        <f>'D2C - Retail'!CN138+'D2C Online'!DE119</f>
        <v>13842893.400968112</v>
      </c>
      <c r="CH76" s="19">
        <f>'D2C - Retail'!CO138+'D2C Online'!DF119</f>
        <v>16693311.514633562</v>
      </c>
      <c r="CI76" s="19">
        <f>'D2C - Retail'!CP138+'D2C Online'!DG119</f>
        <v>17501991.941257432</v>
      </c>
      <c r="CJ76" s="19">
        <f>'D2C - Retail'!CQ138+'D2C Online'!DH119</f>
        <v>15592799.262471089</v>
      </c>
      <c r="CK76" s="19">
        <f>'D2C - Retail'!CR138+'D2C Online'!DI119</f>
        <v>17410923.144366048</v>
      </c>
      <c r="CL76" s="19">
        <f>'D2C - Retail'!CS138+'D2C Online'!DJ119</f>
        <v>15907771.141158508</v>
      </c>
      <c r="CM76" s="19">
        <f>'D2C - Retail'!CT138+'D2C Online'!DK119</f>
        <v>15828191.194451666</v>
      </c>
      <c r="CN76" s="19">
        <f>'D2C - Retail'!CU138+'D2C Online'!DL119</f>
        <v>15758920.590949323</v>
      </c>
      <c r="CO76" s="19">
        <f>'D2C - Retail'!CV138+'D2C Online'!DM119</f>
        <v>16531036.388047524</v>
      </c>
      <c r="CP76" s="19">
        <f>'D2C - Retail'!CW138+'D2C Online'!DN119</f>
        <v>15127858.248564906</v>
      </c>
      <c r="CQ76" s="19">
        <f>'D2C - Retail'!CX138+'D2C Online'!DO119</f>
        <v>15248148.994465346</v>
      </c>
      <c r="CR76" s="19">
        <f>'D2C - Retail'!CY138+'D2C Online'!DP119</f>
        <v>16765652.526741557</v>
      </c>
      <c r="CS76" s="19">
        <f>'D2C - Retail'!CZ138+'D2C Online'!DQ119</f>
        <v>16032975.019407894</v>
      </c>
      <c r="CT76" s="19">
        <f>'D2C - Retail'!DA138+'D2C Online'!DR119</f>
        <v>19344561.639486879</v>
      </c>
      <c r="CU76" s="19">
        <f>'D2C - Retail'!DB138+'D2C Online'!DS119</f>
        <v>20291618.737401456</v>
      </c>
      <c r="CV76" s="19">
        <f>'D2C - Retail'!DC138+'D2C Online'!DT119</f>
        <v>18055794.552384913</v>
      </c>
      <c r="CW76" s="19">
        <f>'D2C - Retail'!DD138+'D2C Online'!DU119</f>
        <v>20148715.524151936</v>
      </c>
      <c r="CX76" s="168"/>
      <c r="CY76" s="19">
        <f t="shared" si="272"/>
        <v>15125458.125594281</v>
      </c>
      <c r="CZ76" s="19">
        <f t="shared" si="273"/>
        <v>13649402.508474577</v>
      </c>
      <c r="DA76" s="19">
        <f t="shared" si="274"/>
        <v>21730859.142187435</v>
      </c>
      <c r="DB76" s="19">
        <f t="shared" si="275"/>
        <v>30324016.239772487</v>
      </c>
      <c r="DC76" s="19">
        <f t="shared" si="276"/>
        <v>20505191.921500765</v>
      </c>
      <c r="DD76" s="19">
        <f t="shared" si="277"/>
        <v>17754929.720487397</v>
      </c>
      <c r="DE76" s="19">
        <f t="shared" si="278"/>
        <v>16369868.557804789</v>
      </c>
      <c r="DF76" s="19">
        <f t="shared" si="279"/>
        <v>18665803.812065236</v>
      </c>
      <c r="DG76" s="19">
        <f t="shared" si="280"/>
        <v>25088355.358349118</v>
      </c>
      <c r="DH76" s="19">
        <f t="shared" si="281"/>
        <v>27766701</v>
      </c>
      <c r="DI76" s="19">
        <f t="shared" si="282"/>
        <v>37629935.82</v>
      </c>
      <c r="DJ76" s="19">
        <f t="shared" si="283"/>
        <v>34621252.2645</v>
      </c>
      <c r="DK76" s="19">
        <f t="shared" si="284"/>
        <v>33987761.648887999</v>
      </c>
      <c r="DL76" s="19">
        <f t="shared" si="285"/>
        <v>33693824.521491304</v>
      </c>
      <c r="DM76" s="19">
        <f t="shared" si="286"/>
        <v>37687023.679126799</v>
      </c>
      <c r="DN76" s="19">
        <f t="shared" si="287"/>
        <v>42615392.75211066</v>
      </c>
      <c r="DO76" s="19">
        <f t="shared" si="288"/>
        <v>40925812.821649328</v>
      </c>
      <c r="DP76" s="19">
        <f t="shared" si="289"/>
        <v>40451250.948024467</v>
      </c>
      <c r="DQ76" s="19">
        <f t="shared" si="290"/>
        <v>45019281.585693896</v>
      </c>
      <c r="DR76" s="19">
        <f t="shared" si="291"/>
        <v>50505714.348094568</v>
      </c>
      <c r="DS76" s="19">
        <f t="shared" si="292"/>
        <v>47494882.926559493</v>
      </c>
      <c r="DT76" s="19">
        <f t="shared" si="293"/>
        <v>46907043.631077774</v>
      </c>
      <c r="DU76" s="19">
        <f t="shared" si="294"/>
        <v>52143189.185636327</v>
      </c>
      <c r="DV76" s="19">
        <f t="shared" si="295"/>
        <v>58496128.813938305</v>
      </c>
      <c r="DX76" s="19">
        <f t="shared" si="296"/>
        <v>80829736.016028777</v>
      </c>
      <c r="DY76" s="19">
        <f t="shared" si="297"/>
        <v>73295794.011858195</v>
      </c>
      <c r="DZ76" s="19">
        <f t="shared" si="298"/>
        <v>125106244.4428491</v>
      </c>
      <c r="EA76" s="19">
        <f t="shared" si="299"/>
        <v>147984002.60161677</v>
      </c>
      <c r="EB76" s="19">
        <f t="shared" si="300"/>
        <v>176902059.70346224</v>
      </c>
      <c r="EC76" s="770">
        <f t="shared" si="301"/>
        <v>205041244.55721194</v>
      </c>
    </row>
    <row r="77" spans="2:133" x14ac:dyDescent="0.2">
      <c r="B77" s="25" t="s">
        <v>148</v>
      </c>
      <c r="C77" s="19">
        <f>'D2C - Retail'!I137+'D2C Online'!AA118</f>
        <v>0</v>
      </c>
      <c r="D77" s="19">
        <f>'D2C - Retail'!J137+'D2C Online'!AB118</f>
        <v>0</v>
      </c>
      <c r="E77" s="19">
        <f>'D2C - Retail'!K137+'D2C Online'!AC118</f>
        <v>0</v>
      </c>
      <c r="F77" s="19">
        <f>'D2C - Retail'!L137+'D2C Online'!AD118</f>
        <v>0</v>
      </c>
      <c r="G77" s="19">
        <f>'D2C - Retail'!M137+'D2C Online'!AE118</f>
        <v>0</v>
      </c>
      <c r="H77" s="19">
        <f>'D2C - Retail'!N137+'D2C Online'!AF118</f>
        <v>0</v>
      </c>
      <c r="I77" s="19">
        <f>'D2C - Retail'!O137+'D2C Online'!AG118</f>
        <v>0</v>
      </c>
      <c r="J77" s="19">
        <f>'D2C - Retail'!P137+'D2C Online'!AH118</f>
        <v>0</v>
      </c>
      <c r="K77" s="19">
        <f>'D2C - Retail'!Q137+'D2C Online'!AI118</f>
        <v>0</v>
      </c>
      <c r="L77" s="19">
        <f>'D2C - Retail'!R137+'D2C Online'!AJ118</f>
        <v>0</v>
      </c>
      <c r="M77" s="19">
        <f>'D2C - Retail'!S137+'D2C Online'!AK118</f>
        <v>0</v>
      </c>
      <c r="N77" s="19">
        <f>'D2C - Retail'!T137+'D2C Online'!AL118</f>
        <v>0</v>
      </c>
      <c r="O77" s="19">
        <f>'D2C - Retail'!U137+'D2C Online'!AM118</f>
        <v>0</v>
      </c>
      <c r="P77" s="19">
        <f>'D2C - Retail'!V137+'D2C Online'!AN118</f>
        <v>0</v>
      </c>
      <c r="Q77" s="19">
        <f>'D2C - Retail'!W137+'D2C Online'!AO118</f>
        <v>0</v>
      </c>
      <c r="R77" s="19">
        <f>'D2C - Retail'!X137+'D2C Online'!AP118</f>
        <v>0</v>
      </c>
      <c r="S77" s="19">
        <f>'D2C - Retail'!Y137+'D2C Online'!AQ118</f>
        <v>0</v>
      </c>
      <c r="T77" s="19">
        <f>'D2C - Retail'!Z137+'D2C Online'!AR118</f>
        <v>0</v>
      </c>
      <c r="U77" s="19">
        <f>'D2C - Retail'!AA137+'D2C Online'!AS118</f>
        <v>0</v>
      </c>
      <c r="V77" s="19">
        <f>'D2C - Retail'!AB137+'D2C Online'!AT118</f>
        <v>0</v>
      </c>
      <c r="W77" s="19">
        <f>'D2C - Retail'!AC137+'D2C Online'!AU118</f>
        <v>0</v>
      </c>
      <c r="X77" s="19">
        <f>'D2C - Retail'!AD137+'D2C Online'!AV118</f>
        <v>0</v>
      </c>
      <c r="Y77" s="19">
        <f>'D2C - Retail'!AE137+'D2C Online'!AW118</f>
        <v>0</v>
      </c>
      <c r="Z77" s="19">
        <f>'D2C - Retail'!AF137+'D2C Online'!AX118</f>
        <v>0</v>
      </c>
      <c r="AA77" s="19">
        <f>'D2C - Retail'!AG137+'D2C Online'!AY118</f>
        <v>0</v>
      </c>
      <c r="AB77" s="19">
        <f>'D2C - Retail'!AI137+'D2C Online'!AZ118</f>
        <v>1946063</v>
      </c>
      <c r="AC77" s="19">
        <f>'D2C - Retail'!AJ137+'D2C Online'!BA118</f>
        <v>9167497.6551724151</v>
      </c>
      <c r="AD77" s="19">
        <f>'D2C - Retail'!AK137+'D2C Online'!BB118</f>
        <v>9539631</v>
      </c>
      <c r="AE77" s="19">
        <f>'D2C - Retail'!AL137+'D2C Online'!BC118</f>
        <v>7547098</v>
      </c>
      <c r="AF77" s="19">
        <f>'D2C - Retail'!AM137+'D2C Online'!BD118</f>
        <v>7900727</v>
      </c>
      <c r="AG77" s="19">
        <f>'D2C - Retail'!AN137+'D2C Online'!BE118</f>
        <v>6722614</v>
      </c>
      <c r="AH77" s="19">
        <f>'D2C - Retail'!AO137+'D2C Online'!BF118</f>
        <v>6929976</v>
      </c>
      <c r="AI77" s="19">
        <f>'D2C - Retail'!AP137+'D2C Online'!BG118</f>
        <v>7280096.6634382606</v>
      </c>
      <c r="AJ77" s="19">
        <f>'D2C - Retail'!AQ137+'D2C Online'!BH118</f>
        <v>12903975.646499999</v>
      </c>
      <c r="AK77" s="19">
        <f>'D2C - Retail'!AR137+'D2C Online'!BI118</f>
        <v>8280114</v>
      </c>
      <c r="AL77" s="19">
        <f>'D2C - Retail'!AS137+'D2C Online'!BJ118</f>
        <v>4932356</v>
      </c>
      <c r="AM77" s="19">
        <f>'D2C - Retail'!AT137+'D2C Online'!BK118</f>
        <v>5451347</v>
      </c>
      <c r="AN77" s="19">
        <f>'D2C - Retail'!AU137+'D2C Online'!BL118</f>
        <v>4738914.7740000011</v>
      </c>
      <c r="AO77" s="19">
        <f>'D2C - Retail'!AV137+'D2C Online'!BM118</f>
        <v>6468526</v>
      </c>
      <c r="AP77" s="19">
        <f>'D2C - Retail'!AW137+'D2C Online'!BN118</f>
        <v>6337100</v>
      </c>
      <c r="AQ77" s="19">
        <f>'D2C - Retail'!AX137+'D2C Online'!BO118</f>
        <v>8677914.0789067801</v>
      </c>
      <c r="AR77" s="19">
        <f>'D2C - Retail'!AY137+'D2C Online'!BP118</f>
        <v>11647302.74576271</v>
      </c>
      <c r="AS77" s="19">
        <f>'D2C - Retail'!AZ137+'D2C Online'!BQ118</f>
        <v>12674060</v>
      </c>
      <c r="AT77" s="19">
        <f>'D2C - Retail'!BA137+'D2C Online'!BR118</f>
        <v>9882386</v>
      </c>
      <c r="AU77" s="19">
        <f>'D2C - Retail'!BB137+'D2C Online'!BS118</f>
        <v>8934495.2711864505</v>
      </c>
      <c r="AV77" s="19">
        <f>'D2C - Retail'!BC137+'D2C Online'!BT118</f>
        <v>11939815.520847499</v>
      </c>
      <c r="AW77" s="19">
        <f>'D2C - Retail'!BD137+'D2C Online'!BU118</f>
        <v>12580016.084745759</v>
      </c>
      <c r="AX77" s="19">
        <f>'D2C - Retail'!BE137+'D2C Online'!BV118</f>
        <v>12798453</v>
      </c>
      <c r="AY77" s="19">
        <f>'D2C - Retail'!BF137+'D2C Online'!BW118</f>
        <v>12390442</v>
      </c>
      <c r="AZ77" s="19">
        <f>'D2C - Retail'!BG137+'D2C Online'!BX118</f>
        <v>10067514</v>
      </c>
      <c r="BA77" s="19">
        <f>'D2C - Retail'!BH137+'D2C Online'!BY118</f>
        <v>16270469.74576271</v>
      </c>
      <c r="BB77" s="19">
        <f>'D2C - Retail'!BI137+'D2C Online'!BZ118</f>
        <v>15699671.40677966</v>
      </c>
      <c r="BC77" s="19">
        <f>'D2C - Retail'!BJ137+'D2C Online'!CA118</f>
        <v>15342844.357493721</v>
      </c>
      <c r="BD77" s="19">
        <f>'D2C - Retail'!BK137+'D2C Online'!CB118</f>
        <v>17577363.525423728</v>
      </c>
      <c r="BE77" s="19">
        <f>'D2C - Retail'!BL137+'D2C Online'!CC118</f>
        <v>16948041</v>
      </c>
      <c r="BF77" s="19">
        <f>'D2C - Retail'!BM137+'D2C Online'!CD118</f>
        <v>12723547</v>
      </c>
      <c r="BG77" s="19">
        <f>'D2C - Retail'!BN137+'D2C Online'!CE118</f>
        <v>13930642.22823</v>
      </c>
      <c r="BH77" s="19">
        <f>'D2C - Retail'!BO137+'D2C Online'!CF118</f>
        <v>17915499.447999999</v>
      </c>
      <c r="BI77" s="19">
        <f>'D2C - Retail'!BP137+'D2C Online'!CG118</f>
        <v>10823161.3706</v>
      </c>
      <c r="BJ77" s="19">
        <f>'D2C - Retail'!BQ137+'D2C Online'!CH118</f>
        <v>9115835.8649999984</v>
      </c>
      <c r="BK77" s="19">
        <f>'D2C - Retail'!BR137+'D2C Online'!CI118</f>
        <v>11393843.230640002</v>
      </c>
      <c r="BL77" s="19">
        <f>'D2C - Retail'!BS137+'D2C Online'!CJ118</f>
        <v>9873136.2377599999</v>
      </c>
      <c r="BM77" s="19">
        <f>'D2C - Retail'!BT137+'D2C Online'!CK118</f>
        <v>11583400.591449998</v>
      </c>
      <c r="BN77" s="19">
        <f>'D2C - Retail'!BU137+'D2C Online'!CL118</f>
        <v>10444205.308564749</v>
      </c>
      <c r="BO77" s="19">
        <f>'D2C - Retail'!BV137+'D2C Online'!CM118</f>
        <v>10449171.690254575</v>
      </c>
      <c r="BP77" s="19">
        <f>'D2C - Retail'!BW137+'D2C Online'!CN118</f>
        <v>10437296.187811887</v>
      </c>
      <c r="BQ77" s="19">
        <f>'D2C - Retail'!BX137+'D2C Online'!CO118</f>
        <v>10812197.77879907</v>
      </c>
      <c r="BR77" s="19">
        <f>'D2C - Retail'!BY137+'D2C Online'!CP118</f>
        <v>10018570.962024374</v>
      </c>
      <c r="BS77" s="19">
        <f>'D2C - Retail'!BZ137+'D2C Online'!CQ118</f>
        <v>10446576.733232431</v>
      </c>
      <c r="BT77" s="19">
        <f>'D2C - Retail'!CA137+'D2C Online'!CR118</f>
        <v>10951278.156295773</v>
      </c>
      <c r="BU77" s="19">
        <f>'D2C - Retail'!CB137+'D2C Online'!CS118</f>
        <v>10684257.2887493</v>
      </c>
      <c r="BV77" s="19">
        <f>'D2C - Retail'!CC137+'D2C Online'!CT118</f>
        <v>12989561.294379715</v>
      </c>
      <c r="BW77" s="19">
        <f>'D2C - Retail'!CD137+'D2C Online'!CU118</f>
        <v>13787659.415092701</v>
      </c>
      <c r="BX77" s="19">
        <f>'D2C - Retail'!CE137+'D2C Online'!CV118</f>
        <v>12113271.063014377</v>
      </c>
      <c r="BY77" s="19">
        <f>'D2C - Retail'!CF137+'D2C Online'!CW118</f>
        <v>13399695.166199466</v>
      </c>
      <c r="BZ77" s="19">
        <f>'D2C - Retail'!CG137+'D2C Online'!CX118</f>
        <v>12497105.304088458</v>
      </c>
      <c r="CA77" s="19">
        <f>'D2C - Retail'!CH137+'D2C Online'!CY118</f>
        <v>12510223.776569879</v>
      </c>
      <c r="CB77" s="19">
        <f>'D2C - Retail'!CI137+'D2C Online'!CZ118</f>
        <v>12475429.407663781</v>
      </c>
      <c r="CC77" s="19">
        <f>'D2C - Retail'!CJ137+'D2C Online'!DA118</f>
        <v>12926645.976011377</v>
      </c>
      <c r="CD77" s="19">
        <f>'D2C - Retail'!CK137+'D2C Online'!DB118</f>
        <v>11965600.271375915</v>
      </c>
      <c r="CE77" s="19">
        <f>'D2C - Retail'!CL137+'D2C Online'!DC118</f>
        <v>12456966.271772176</v>
      </c>
      <c r="CF77" s="19">
        <f>'D2C - Retail'!CM137+'D2C Online'!DD118</f>
        <v>13062359.060717225</v>
      </c>
      <c r="CG77" s="19">
        <f>'D2C - Retail'!CN137+'D2C Online'!DE118</f>
        <v>12717609.653065173</v>
      </c>
      <c r="CH77" s="19">
        <f>'D2C - Retail'!CO137+'D2C Online'!DF118</f>
        <v>15444497.139116663</v>
      </c>
      <c r="CI77" s="19">
        <f>'D2C - Retail'!CP137+'D2C Online'!DG118</f>
        <v>16371302.318700649</v>
      </c>
      <c r="CJ77" s="19">
        <f>'D2C - Retail'!CQ137+'D2C Online'!DH118</f>
        <v>14362811.433340281</v>
      </c>
      <c r="CK77" s="19">
        <f>'D2C - Retail'!CR137+'D2C Online'!DI118</f>
        <v>15832946.901588224</v>
      </c>
      <c r="CL77" s="19">
        <f>'D2C - Retail'!CS137+'D2C Online'!DJ118</f>
        <v>14621899.937562069</v>
      </c>
      <c r="CM77" s="19">
        <f>'D2C - Retail'!CT137+'D2C Online'!DK118</f>
        <v>14636251.804417014</v>
      </c>
      <c r="CN77" s="19">
        <f>'D2C - Retail'!CU137+'D2C Online'!DL118</f>
        <v>14593514.52272157</v>
      </c>
      <c r="CO77" s="19">
        <f>'D2C - Retail'!CV137+'D2C Online'!DM118</f>
        <v>15111272.542038161</v>
      </c>
      <c r="CP77" s="19">
        <f>'D2C - Retail'!CW137+'D2C Online'!DN118</f>
        <v>13989067.318532359</v>
      </c>
      <c r="CQ77" s="19">
        <f>'D2C - Retail'!CX137+'D2C Online'!DO118</f>
        <v>14578819.178765267</v>
      </c>
      <c r="CR77" s="19">
        <f>'D2C - Retail'!CY137+'D2C Online'!DP118</f>
        <v>15255451.150555849</v>
      </c>
      <c r="CS77" s="19">
        <f>'D2C - Retail'!CZ137+'D2C Online'!DQ118</f>
        <v>14861361.161590692</v>
      </c>
      <c r="CT77" s="19">
        <f>'D2C - Retail'!DA137+'D2C Online'!DR118</f>
        <v>18055313.919021808</v>
      </c>
      <c r="CU77" s="19">
        <f>'D2C - Retail'!DB137+'D2C Online'!DS118</f>
        <v>19147087.070150312</v>
      </c>
      <c r="CV77" s="19">
        <f>'D2C - Retail'!DC137+'D2C Online'!DT118</f>
        <v>16782292.49891812</v>
      </c>
      <c r="CW77" s="19">
        <f>'D2C - Retail'!DD137+'D2C Online'!DU118</f>
        <v>18489898.172516443</v>
      </c>
      <c r="CX77" s="168"/>
      <c r="CY77" s="19">
        <f t="shared" si="272"/>
        <v>24987456</v>
      </c>
      <c r="CZ77" s="19">
        <f t="shared" si="273"/>
        <v>20932686.663438261</v>
      </c>
      <c r="DA77" s="19">
        <f t="shared" si="274"/>
        <v>26116445.646499999</v>
      </c>
      <c r="DB77" s="19">
        <f t="shared" si="275"/>
        <v>16658787.774</v>
      </c>
      <c r="DC77" s="19">
        <f t="shared" si="276"/>
        <v>26662316.824669488</v>
      </c>
      <c r="DD77" s="19">
        <f t="shared" si="277"/>
        <v>31490941.271186449</v>
      </c>
      <c r="DE77" s="19">
        <f t="shared" si="278"/>
        <v>37318284.605593257</v>
      </c>
      <c r="DF77" s="19">
        <f t="shared" si="279"/>
        <v>38728425.745762706</v>
      </c>
      <c r="DG77" s="19">
        <f t="shared" si="280"/>
        <v>48619879.289697111</v>
      </c>
      <c r="DH77" s="19">
        <f t="shared" si="281"/>
        <v>43602230.22823</v>
      </c>
      <c r="DI77" s="19">
        <f t="shared" si="282"/>
        <v>37854496.683599994</v>
      </c>
      <c r="DJ77" s="19">
        <f t="shared" si="283"/>
        <v>32850380.05985</v>
      </c>
      <c r="DK77" s="19">
        <f t="shared" si="284"/>
        <v>31330673.18663121</v>
      </c>
      <c r="DL77" s="19">
        <f t="shared" si="285"/>
        <v>31277345.474055875</v>
      </c>
      <c r="DM77" s="19">
        <f t="shared" si="286"/>
        <v>34625096.739424787</v>
      </c>
      <c r="DN77" s="19">
        <f t="shared" si="287"/>
        <v>39300625.644306548</v>
      </c>
      <c r="DO77" s="19">
        <f t="shared" si="288"/>
        <v>37482758.488322124</v>
      </c>
      <c r="DP77" s="19">
        <f t="shared" si="289"/>
        <v>37349212.519159466</v>
      </c>
      <c r="DQ77" s="19">
        <f t="shared" si="290"/>
        <v>41224465.85289906</v>
      </c>
      <c r="DR77" s="19">
        <f t="shared" si="291"/>
        <v>46567060.653629154</v>
      </c>
      <c r="DS77" s="19">
        <f t="shared" si="292"/>
        <v>43851666.264700651</v>
      </c>
      <c r="DT77" s="19">
        <f t="shared" si="293"/>
        <v>43679159.039335787</v>
      </c>
      <c r="DU77" s="19">
        <f t="shared" si="294"/>
        <v>48172126.231168345</v>
      </c>
      <c r="DV77" s="19">
        <f t="shared" si="295"/>
        <v>54419277.741584875</v>
      </c>
      <c r="DX77" s="19">
        <f t="shared" si="296"/>
        <v>88695376.083938256</v>
      </c>
      <c r="DY77" s="19">
        <f t="shared" si="297"/>
        <v>134199968.44721189</v>
      </c>
      <c r="DZ77" s="19">
        <f t="shared" si="298"/>
        <v>162926986.2613771</v>
      </c>
      <c r="EA77" s="19">
        <f t="shared" si="299"/>
        <v>136533741.04441842</v>
      </c>
      <c r="EB77" s="19">
        <f t="shared" si="300"/>
        <v>162623497.5140098</v>
      </c>
      <c r="EC77" s="770">
        <f t="shared" si="301"/>
        <v>190122229.27678964</v>
      </c>
    </row>
    <row r="78" spans="2:133" x14ac:dyDescent="0.2">
      <c r="B78" s="167" t="s">
        <v>150</v>
      </c>
      <c r="C78" s="19">
        <f>'D2C Online'!AA120</f>
        <v>0</v>
      </c>
      <c r="D78" s="19">
        <f>'D2C Online'!AB120</f>
        <v>0</v>
      </c>
      <c r="E78" s="19">
        <f>'D2C Online'!AC120</f>
        <v>0</v>
      </c>
      <c r="F78" s="19">
        <f>'D2C Online'!AD120</f>
        <v>0</v>
      </c>
      <c r="G78" s="19">
        <f>'D2C Online'!AE120</f>
        <v>0</v>
      </c>
      <c r="H78" s="19">
        <f>'D2C Online'!AF120</f>
        <v>0</v>
      </c>
      <c r="I78" s="19">
        <f>'D2C Online'!AG120</f>
        <v>0</v>
      </c>
      <c r="J78" s="19">
        <f>'D2C Online'!AH120</f>
        <v>0</v>
      </c>
      <c r="K78" s="19">
        <f>'D2C Online'!AI120</f>
        <v>0</v>
      </c>
      <c r="L78" s="19">
        <f>'D2C Online'!AJ120</f>
        <v>0</v>
      </c>
      <c r="M78" s="19">
        <f>'D2C Online'!AK120</f>
        <v>0</v>
      </c>
      <c r="N78" s="19">
        <f>'D2C Online'!AL120</f>
        <v>0</v>
      </c>
      <c r="O78" s="19">
        <f>'D2C Online'!AM120</f>
        <v>0</v>
      </c>
      <c r="P78" s="19">
        <f>'D2C Online'!AN120</f>
        <v>0</v>
      </c>
      <c r="Q78" s="19">
        <f>'D2C Online'!AO120</f>
        <v>0</v>
      </c>
      <c r="R78" s="19">
        <f>'D2C Online'!AP120</f>
        <v>0</v>
      </c>
      <c r="S78" s="19">
        <f>'D2C Online'!AQ120</f>
        <v>0</v>
      </c>
      <c r="T78" s="19">
        <f>'D2C Online'!AR120</f>
        <v>0</v>
      </c>
      <c r="U78" s="19">
        <f>'D2C Online'!AS120</f>
        <v>0</v>
      </c>
      <c r="V78" s="19">
        <f>'D2C Online'!AT120</f>
        <v>0</v>
      </c>
      <c r="W78" s="19">
        <f>'D2C Online'!AU120</f>
        <v>0</v>
      </c>
      <c r="X78" s="19">
        <f>'D2C Online'!AV120</f>
        <v>0</v>
      </c>
      <c r="Y78" s="19">
        <f>'D2C Online'!AW120</f>
        <v>0</v>
      </c>
      <c r="Z78" s="19">
        <f>'D2C Online'!AX120</f>
        <v>0</v>
      </c>
      <c r="AA78" s="19">
        <f>'D2C Online'!AY120</f>
        <v>0</v>
      </c>
      <c r="AB78" s="19">
        <f>'D2C Online'!AZ120</f>
        <v>0</v>
      </c>
      <c r="AC78" s="19">
        <f>'D2C Online'!BA120</f>
        <v>0</v>
      </c>
      <c r="AD78" s="19">
        <f>'D2C Online'!BB120</f>
        <v>0</v>
      </c>
      <c r="AE78" s="19">
        <f>'D2C Online'!BC120</f>
        <v>0</v>
      </c>
      <c r="AF78" s="19">
        <f>'D2C Online'!BD120</f>
        <v>0</v>
      </c>
      <c r="AG78" s="19">
        <f>'D2C Online'!BE120</f>
        <v>0</v>
      </c>
      <c r="AH78" s="19">
        <f>'D2C Online'!BF120</f>
        <v>0</v>
      </c>
      <c r="AI78" s="19">
        <f>'D2C Online'!BG120</f>
        <v>0</v>
      </c>
      <c r="AJ78" s="19">
        <f>'D2C Online'!BH120</f>
        <v>0</v>
      </c>
      <c r="AK78" s="19">
        <f>'D2C Online'!BI120</f>
        <v>0</v>
      </c>
      <c r="AL78" s="19">
        <f>'D2C Online'!BJ120</f>
        <v>0</v>
      </c>
      <c r="AM78" s="19">
        <f>'D2C Online'!BK120</f>
        <v>0</v>
      </c>
      <c r="AN78" s="19">
        <f>'D2C Online'!BL120</f>
        <v>0</v>
      </c>
      <c r="AO78" s="19">
        <f>'D2C Online'!BM120</f>
        <v>0</v>
      </c>
      <c r="AP78" s="19">
        <f>'D2C Online'!BN120</f>
        <v>0</v>
      </c>
      <c r="AQ78" s="19">
        <f>'D2C Online'!BO120</f>
        <v>0</v>
      </c>
      <c r="AR78" s="19">
        <f>'D2C Online'!BP120</f>
        <v>0</v>
      </c>
      <c r="AS78" s="19">
        <f>'D2C Online'!BQ120</f>
        <v>0</v>
      </c>
      <c r="AT78" s="19">
        <f>'D2C Online'!BR120</f>
        <v>0</v>
      </c>
      <c r="AU78" s="19">
        <f>'D2C Online'!BS120</f>
        <v>0</v>
      </c>
      <c r="AV78" s="19">
        <f>'D2C Online'!BT120</f>
        <v>0</v>
      </c>
      <c r="AW78" s="19">
        <f>'D2C Online'!BU120</f>
        <v>0</v>
      </c>
      <c r="AX78" s="19">
        <f>'D2C Online'!BV120</f>
        <v>0</v>
      </c>
      <c r="AY78" s="19">
        <f>'D2C Online'!BW120</f>
        <v>0</v>
      </c>
      <c r="AZ78" s="19">
        <f>'D2C Online'!BX120</f>
        <v>0</v>
      </c>
      <c r="BA78" s="19">
        <f>'D2C Online'!BY120</f>
        <v>0</v>
      </c>
      <c r="BB78" s="19">
        <f>'D2C Online'!BZ120</f>
        <v>0</v>
      </c>
      <c r="BC78" s="19">
        <f>'D2C Online'!CA120</f>
        <v>0</v>
      </c>
      <c r="BD78" s="19">
        <f>'D2C Online'!CB120</f>
        <v>0</v>
      </c>
      <c r="BE78" s="19">
        <f>'D2C Online'!CC120</f>
        <v>0</v>
      </c>
      <c r="BF78" s="19">
        <f>'D2C Online'!CD120</f>
        <v>0</v>
      </c>
      <c r="BG78" s="19">
        <f>'D2C Online'!CE120</f>
        <v>0</v>
      </c>
      <c r="BH78" s="19">
        <f>'D2C Online'!CF120</f>
        <v>0</v>
      </c>
      <c r="BI78" s="19">
        <f>'D2C Online'!CG120</f>
        <v>0</v>
      </c>
      <c r="BJ78" s="19">
        <f>'D2C Online'!CH120</f>
        <v>0</v>
      </c>
      <c r="BK78" s="19">
        <f>'D2C Online'!CI120</f>
        <v>0</v>
      </c>
      <c r="BL78" s="19">
        <f>'D2C Online'!CJ120</f>
        <v>0</v>
      </c>
      <c r="BM78" s="19">
        <f>'D2C Online'!CK120</f>
        <v>0</v>
      </c>
      <c r="BN78" s="19">
        <f>'D2C Online'!CL120</f>
        <v>0</v>
      </c>
      <c r="BO78" s="19">
        <f>'D2C Online'!CM120</f>
        <v>0</v>
      </c>
      <c r="BP78" s="19">
        <f>'D2C Online'!CN120</f>
        <v>0</v>
      </c>
      <c r="BQ78" s="19">
        <f>'D2C Online'!CO120</f>
        <v>0</v>
      </c>
      <c r="BR78" s="19">
        <f>'D2C Online'!CP120</f>
        <v>0</v>
      </c>
      <c r="BS78" s="19">
        <f>'D2C Online'!CQ120</f>
        <v>0</v>
      </c>
      <c r="BT78" s="19">
        <f>'D2C Online'!CR120</f>
        <v>0</v>
      </c>
      <c r="BU78" s="19">
        <f>'D2C Online'!CS120</f>
        <v>0</v>
      </c>
      <c r="BV78" s="19">
        <f>'D2C Online'!CT120</f>
        <v>0</v>
      </c>
      <c r="BW78" s="19">
        <f>'D2C Online'!CU120</f>
        <v>0</v>
      </c>
      <c r="BX78" s="19">
        <f>'D2C Online'!CV120</f>
        <v>0</v>
      </c>
      <c r="BY78" s="19">
        <f>'D2C Online'!CW120</f>
        <v>0</v>
      </c>
      <c r="BZ78" s="19">
        <f>'D2C Online'!CX120</f>
        <v>0</v>
      </c>
      <c r="CA78" s="19">
        <f>'D2C Online'!CY120</f>
        <v>0</v>
      </c>
      <c r="CB78" s="19">
        <f>'D2C Online'!CZ120</f>
        <v>0</v>
      </c>
      <c r="CC78" s="19">
        <f>'D2C Online'!DA120</f>
        <v>0</v>
      </c>
      <c r="CD78" s="19">
        <f>'D2C Online'!DB120</f>
        <v>0</v>
      </c>
      <c r="CE78" s="19">
        <f>'D2C Online'!DC120</f>
        <v>0</v>
      </c>
      <c r="CF78" s="19">
        <f>'D2C Online'!DD120</f>
        <v>0</v>
      </c>
      <c r="CG78" s="19">
        <f>'D2C Online'!DE120</f>
        <v>0</v>
      </c>
      <c r="CH78" s="19">
        <f>'D2C Online'!DF120</f>
        <v>0</v>
      </c>
      <c r="CI78" s="19">
        <f>'D2C Online'!DG120</f>
        <v>0</v>
      </c>
      <c r="CJ78" s="19">
        <f>'D2C Online'!DH120</f>
        <v>0</v>
      </c>
      <c r="CK78" s="19">
        <f>'D2C Online'!DI120</f>
        <v>0</v>
      </c>
      <c r="CL78" s="19">
        <f>'D2C Online'!DJ120</f>
        <v>0</v>
      </c>
      <c r="CM78" s="19">
        <f>'D2C Online'!DK120</f>
        <v>0</v>
      </c>
      <c r="CN78" s="19">
        <f>'D2C Online'!DL120</f>
        <v>0</v>
      </c>
      <c r="CO78" s="19">
        <f>'D2C Online'!DM120</f>
        <v>0</v>
      </c>
      <c r="CP78" s="19">
        <f>'D2C Online'!DN120</f>
        <v>0</v>
      </c>
      <c r="CQ78" s="19">
        <f>'D2C Online'!DO120</f>
        <v>0</v>
      </c>
      <c r="CR78" s="19">
        <f>'D2C Online'!DP120</f>
        <v>0</v>
      </c>
      <c r="CS78" s="19">
        <f>'D2C Online'!DQ120</f>
        <v>0</v>
      </c>
      <c r="CT78" s="19">
        <f>'D2C Online'!DR120</f>
        <v>0</v>
      </c>
      <c r="CU78" s="19">
        <f>'D2C Online'!DS120</f>
        <v>0</v>
      </c>
      <c r="CV78" s="19">
        <f>'D2C Online'!DT120</f>
        <v>0</v>
      </c>
      <c r="CW78" s="19">
        <f>'D2C Online'!DU120</f>
        <v>0</v>
      </c>
      <c r="CX78" s="168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X78" s="19"/>
      <c r="DY78" s="19"/>
      <c r="DZ78" s="19"/>
      <c r="EA78" s="19"/>
      <c r="EB78" s="19"/>
      <c r="EC78" s="770"/>
    </row>
    <row r="79" spans="2:133" x14ac:dyDescent="0.2">
      <c r="B79" s="22" t="s">
        <v>37</v>
      </c>
      <c r="C79" s="20">
        <f>C69/C30</f>
        <v>2.0605015501096224E-2</v>
      </c>
      <c r="D79" s="20">
        <f t="shared" ref="D79:BO79" si="302">D69/D30</f>
        <v>1.9889946944119743E-2</v>
      </c>
      <c r="E79" s="20">
        <f t="shared" si="302"/>
        <v>2.4013942064558674E-2</v>
      </c>
      <c r="F79" s="20">
        <f t="shared" si="302"/>
        <v>2.6366665790518187E-2</v>
      </c>
      <c r="G79" s="20">
        <f t="shared" si="302"/>
        <v>4.5106429763224438E-2</v>
      </c>
      <c r="H79" s="20">
        <f t="shared" si="302"/>
        <v>2.7519952780896622E-2</v>
      </c>
      <c r="I79" s="20">
        <f t="shared" si="302"/>
        <v>3.2341118784797902E-2</v>
      </c>
      <c r="J79" s="20">
        <f t="shared" si="302"/>
        <v>3.3540039149606696E-2</v>
      </c>
      <c r="K79" s="20">
        <f t="shared" si="302"/>
        <v>3.3869501091010459E-2</v>
      </c>
      <c r="L79" s="20">
        <f t="shared" si="302"/>
        <v>3.2393007363070644E-2</v>
      </c>
      <c r="M79" s="20">
        <f t="shared" si="302"/>
        <v>2.9126747879439103E-2</v>
      </c>
      <c r="N79" s="20">
        <f t="shared" si="302"/>
        <v>2.9033433949349791E-2</v>
      </c>
      <c r="O79" s="20">
        <f t="shared" si="302"/>
        <v>2.7987246022012486E-2</v>
      </c>
      <c r="P79" s="20">
        <f t="shared" si="302"/>
        <v>2.9728906336473127E-2</v>
      </c>
      <c r="Q79" s="20">
        <f t="shared" si="302"/>
        <v>3.2078520477906415E-2</v>
      </c>
      <c r="R79" s="20">
        <f t="shared" si="302"/>
        <v>3.3256503063091351E-2</v>
      </c>
      <c r="S79" s="20">
        <f t="shared" si="302"/>
        <v>3.1567248385320094E-2</v>
      </c>
      <c r="T79" s="20">
        <f t="shared" si="302"/>
        <v>3.2398988358014857E-2</v>
      </c>
      <c r="U79" s="20">
        <f t="shared" si="302"/>
        <v>3.548001687517538E-2</v>
      </c>
      <c r="V79" s="20">
        <f t="shared" si="302"/>
        <v>3.0992344123020727E-2</v>
      </c>
      <c r="W79" s="20">
        <f t="shared" si="302"/>
        <v>3.4580403768218304E-2</v>
      </c>
      <c r="X79" s="20">
        <f t="shared" si="302"/>
        <v>3.735671858516619E-2</v>
      </c>
      <c r="Y79" s="20">
        <f t="shared" si="302"/>
        <v>3.5285572914067545E-2</v>
      </c>
      <c r="Z79" s="20">
        <f t="shared" si="302"/>
        <v>3.1032617957920155E-2</v>
      </c>
      <c r="AA79" s="20">
        <f t="shared" si="302"/>
        <v>2.9856056206843E-2</v>
      </c>
      <c r="AB79" s="20">
        <f t="shared" si="302"/>
        <v>3.7529508278931631E-2</v>
      </c>
      <c r="AC79" s="20">
        <f t="shared" si="302"/>
        <v>5.1624690731835392E-2</v>
      </c>
      <c r="AD79" s="20">
        <f t="shared" si="302"/>
        <v>5.1646663428520284E-2</v>
      </c>
      <c r="AE79" s="20">
        <f t="shared" si="302"/>
        <v>4.7109253211026256E-2</v>
      </c>
      <c r="AF79" s="20">
        <f t="shared" si="302"/>
        <v>4.8360725683838736E-2</v>
      </c>
      <c r="AG79" s="20">
        <f t="shared" si="302"/>
        <v>5.1467794749378147E-2</v>
      </c>
      <c r="AH79" s="20">
        <f t="shared" si="302"/>
        <v>5.1338722194819199E-2</v>
      </c>
      <c r="AI79" s="20">
        <f t="shared" si="302"/>
        <v>5.1837656232598603E-2</v>
      </c>
      <c r="AJ79" s="20">
        <f t="shared" si="302"/>
        <v>5.5618274281394299E-2</v>
      </c>
      <c r="AK79" s="20">
        <f t="shared" si="302"/>
        <v>4.8461840537131894E-2</v>
      </c>
      <c r="AL79" s="20">
        <f t="shared" si="302"/>
        <v>5.0151800308119679E-2</v>
      </c>
      <c r="AM79" s="20">
        <f t="shared" si="302"/>
        <v>5.333681155367799E-2</v>
      </c>
      <c r="AN79" s="20">
        <f t="shared" si="302"/>
        <v>6.9464384239127611E-2</v>
      </c>
      <c r="AO79" s="20">
        <f t="shared" si="302"/>
        <v>6.0238402844096171E-2</v>
      </c>
      <c r="AP79" s="20">
        <f t="shared" si="302"/>
        <v>5.2123568065549977E-2</v>
      </c>
      <c r="AQ79" s="20">
        <f t="shared" si="302"/>
        <v>5.4361043872913198E-2</v>
      </c>
      <c r="AR79" s="20">
        <f t="shared" si="302"/>
        <v>5.502037165675748E-2</v>
      </c>
      <c r="AS79" s="20">
        <f t="shared" si="302"/>
        <v>5.8171096155361979E-2</v>
      </c>
      <c r="AT79" s="20">
        <f t="shared" si="302"/>
        <v>5.598568571574758E-2</v>
      </c>
      <c r="AU79" s="20">
        <f t="shared" si="302"/>
        <v>5.7665893856713758E-2</v>
      </c>
      <c r="AV79" s="20">
        <f t="shared" si="302"/>
        <v>5.5117958125737929E-2</v>
      </c>
      <c r="AW79" s="20">
        <f t="shared" si="302"/>
        <v>5.4885782284277887E-2</v>
      </c>
      <c r="AX79" s="20">
        <f t="shared" si="302"/>
        <v>4.7865123785739497E-2</v>
      </c>
      <c r="AY79" s="20">
        <f t="shared" si="302"/>
        <v>4.7873833780913637E-2</v>
      </c>
      <c r="AZ79" s="20">
        <f t="shared" si="302"/>
        <v>4.3918896455782501E-2</v>
      </c>
      <c r="BA79" s="20">
        <f t="shared" si="302"/>
        <v>5.1511856485226236E-2</v>
      </c>
      <c r="BB79" s="20">
        <f t="shared" si="302"/>
        <v>5.4225754472280473E-2</v>
      </c>
      <c r="BC79" s="20">
        <f t="shared" si="302"/>
        <v>5.4780415454108597E-2</v>
      </c>
      <c r="BD79" s="20">
        <f t="shared" si="302"/>
        <v>5.8513482098243065E-2</v>
      </c>
      <c r="BE79" s="20">
        <f t="shared" si="302"/>
        <v>5.7772689432857134E-2</v>
      </c>
      <c r="BF79" s="20">
        <f t="shared" si="302"/>
        <v>5.5248469592920492E-2</v>
      </c>
      <c r="BG79" s="20">
        <f t="shared" si="302"/>
        <v>5.6138961655360552E-2</v>
      </c>
      <c r="BH79" s="20">
        <f t="shared" si="302"/>
        <v>6.3784510213507062E-2</v>
      </c>
      <c r="BI79" s="20">
        <f t="shared" si="302"/>
        <v>4.9839750076438004E-2</v>
      </c>
      <c r="BJ79" s="20">
        <f t="shared" si="302"/>
        <v>4.2235962009137776E-2</v>
      </c>
      <c r="BK79" s="20">
        <f t="shared" si="302"/>
        <v>4.3211923828673351E-2</v>
      </c>
      <c r="BL79" s="20">
        <f t="shared" si="302"/>
        <v>4.2325033258801444E-2</v>
      </c>
      <c r="BM79" s="20">
        <f t="shared" si="302"/>
        <v>4.3563058282833862E-2</v>
      </c>
      <c r="BN79" s="20">
        <f t="shared" si="302"/>
        <v>4.48687664692657E-2</v>
      </c>
      <c r="BO79" s="20">
        <f t="shared" si="302"/>
        <v>4.5177464090752732E-2</v>
      </c>
      <c r="BP79" s="20">
        <f t="shared" ref="BP79:EC79" si="303">BP69/BP30</f>
        <v>4.521799134770841E-2</v>
      </c>
      <c r="BQ79" s="20">
        <f t="shared" si="303"/>
        <v>4.4445434394228524E-2</v>
      </c>
      <c r="BR79" s="20">
        <f t="shared" si="303"/>
        <v>4.5355965161562435E-2</v>
      </c>
      <c r="BS79" s="20">
        <f t="shared" si="303"/>
        <v>4.6782174058354824E-2</v>
      </c>
      <c r="BT79" s="20">
        <f t="shared" si="303"/>
        <v>4.4142689878248979E-2</v>
      </c>
      <c r="BU79" s="20">
        <f t="shared" si="303"/>
        <v>4.5082699971483745E-2</v>
      </c>
      <c r="BV79" s="20">
        <f t="shared" si="303"/>
        <v>4.4505893230616135E-2</v>
      </c>
      <c r="BW79" s="20">
        <f t="shared" si="303"/>
        <v>4.4746717953503712E-2</v>
      </c>
      <c r="BX79" s="20">
        <f t="shared" si="303"/>
        <v>4.4543288761311195E-2</v>
      </c>
      <c r="BY79" s="20">
        <f t="shared" si="303"/>
        <v>4.3473011992245222E-2</v>
      </c>
      <c r="BZ79" s="20">
        <f t="shared" si="303"/>
        <v>4.4382623165684101E-2</v>
      </c>
      <c r="CA79" s="20">
        <f t="shared" si="303"/>
        <v>4.4661246892900082E-2</v>
      </c>
      <c r="CB79" s="20">
        <f t="shared" si="303"/>
        <v>4.4746988299855121E-2</v>
      </c>
      <c r="CC79" s="20">
        <f t="shared" si="303"/>
        <v>4.401037454247856E-2</v>
      </c>
      <c r="CD79" s="20">
        <f t="shared" si="303"/>
        <v>4.4885090477875984E-2</v>
      </c>
      <c r="CE79" s="20">
        <f t="shared" si="303"/>
        <v>4.6325061750143844E-2</v>
      </c>
      <c r="CF79" s="20">
        <f t="shared" si="303"/>
        <v>4.3784279089151806E-2</v>
      </c>
      <c r="CG79" s="20">
        <f t="shared" si="303"/>
        <v>4.4742516773552711E-2</v>
      </c>
      <c r="CH79" s="20">
        <f t="shared" si="303"/>
        <v>4.4285540969053551E-2</v>
      </c>
      <c r="CI79" s="20">
        <f t="shared" si="303"/>
        <v>4.4581366894578957E-2</v>
      </c>
      <c r="CJ79" s="20">
        <f t="shared" si="303"/>
        <v>4.4375215164268768E-2</v>
      </c>
      <c r="CK79" s="20">
        <f t="shared" si="303"/>
        <v>4.3451276536750065E-2</v>
      </c>
      <c r="CL79" s="20">
        <f t="shared" ref="CL79:CW79" si="304">CL69/CL30</f>
        <v>4.3995662944088874E-2</v>
      </c>
      <c r="CM79" s="20">
        <f t="shared" si="304"/>
        <v>4.427454122640781E-2</v>
      </c>
      <c r="CN79" s="20">
        <f t="shared" si="304"/>
        <v>4.4361893106497984E-2</v>
      </c>
      <c r="CO79" s="20">
        <f t="shared" si="304"/>
        <v>4.3661898347962386E-2</v>
      </c>
      <c r="CP79" s="20">
        <f t="shared" si="304"/>
        <v>4.4493524690019146E-2</v>
      </c>
      <c r="CQ79" s="20">
        <f t="shared" si="304"/>
        <v>4.5914953930325041E-2</v>
      </c>
      <c r="CR79" s="20">
        <f t="shared" si="304"/>
        <v>4.3463463229413357E-2</v>
      </c>
      <c r="CS79" s="20">
        <f t="shared" si="304"/>
        <v>4.4392302971415144E-2</v>
      </c>
      <c r="CT79" s="20">
        <f t="shared" si="304"/>
        <v>4.4010079616261952E-2</v>
      </c>
      <c r="CU79" s="20">
        <f t="shared" si="304"/>
        <v>4.4317104507722506E-2</v>
      </c>
      <c r="CV79" s="20">
        <f t="shared" si="304"/>
        <v>4.408258989898526E-2</v>
      </c>
      <c r="CW79" s="20">
        <f t="shared" si="304"/>
        <v>4.3211125218316833E-2</v>
      </c>
      <c r="CX79" s="168"/>
      <c r="CY79" s="20">
        <f t="shared" si="303"/>
        <v>4.899972852802878E-2</v>
      </c>
      <c r="CZ79" s="20">
        <f t="shared" si="303"/>
        <v>5.1550481164899471E-2</v>
      </c>
      <c r="DA79" s="20">
        <f t="shared" si="303"/>
        <v>5.1720788607780101E-2</v>
      </c>
      <c r="DB79" s="20">
        <f t="shared" si="303"/>
        <v>6.0491452809328008E-2</v>
      </c>
      <c r="DC79" s="20">
        <f t="shared" si="303"/>
        <v>5.3875772020073383E-2</v>
      </c>
      <c r="DD79" s="20">
        <f t="shared" si="303"/>
        <v>5.7305102873472222E-2</v>
      </c>
      <c r="DE79" s="20">
        <f t="shared" si="303"/>
        <v>5.2394737952542875E-2</v>
      </c>
      <c r="DF79" s="20">
        <f t="shared" si="303"/>
        <v>4.8091298808188077E-2</v>
      </c>
      <c r="DG79" s="20">
        <f t="shared" si="303"/>
        <v>5.5838768259392504E-2</v>
      </c>
      <c r="DH79" s="20">
        <f t="shared" si="303"/>
        <v>5.6453489042087884E-2</v>
      </c>
      <c r="DI79" s="20">
        <f t="shared" si="303"/>
        <v>5.15508068727469E-2</v>
      </c>
      <c r="DJ79" s="20">
        <f t="shared" si="303"/>
        <v>4.3068314543491172E-2</v>
      </c>
      <c r="DK79" s="20">
        <f t="shared" si="303"/>
        <v>4.5087216587792106E-2</v>
      </c>
      <c r="DL79" s="20">
        <f t="shared" si="303"/>
        <v>4.5486908433821333E-2</v>
      </c>
      <c r="DM79" s="20">
        <f t="shared" si="303"/>
        <v>4.4564897078179587E-2</v>
      </c>
      <c r="DN79" s="20">
        <f t="shared" si="303"/>
        <v>4.4238593525781501E-2</v>
      </c>
      <c r="DO79" s="20">
        <f t="shared" si="303"/>
        <v>4.4596035273421243E-2</v>
      </c>
      <c r="DP79" s="20">
        <f t="shared" si="303"/>
        <v>4.5031720918577066E-2</v>
      </c>
      <c r="DQ79" s="20">
        <f t="shared" si="303"/>
        <v>4.4262766369803336E-2</v>
      </c>
      <c r="DR79" s="20">
        <f t="shared" si="303"/>
        <v>4.4124715144207703E-2</v>
      </c>
      <c r="DS79" s="20">
        <f t="shared" si="303"/>
        <v>4.4209742729730779E-2</v>
      </c>
      <c r="DT79" s="20">
        <f t="shared" si="303"/>
        <v>4.4650078916383763E-2</v>
      </c>
      <c r="DU79" s="20">
        <f t="shared" si="303"/>
        <v>4.3949856228233636E-2</v>
      </c>
      <c r="DV79" s="20">
        <f t="shared" si="303"/>
        <v>4.3860467045370964E-2</v>
      </c>
      <c r="DW79" s="771"/>
      <c r="DX79" s="20">
        <f t="shared" si="303"/>
        <v>5.3025775155273666E-2</v>
      </c>
      <c r="DY79" s="20">
        <f t="shared" si="303"/>
        <v>5.2445782855352445E-2</v>
      </c>
      <c r="DZ79" s="20">
        <f t="shared" si="303"/>
        <v>5.0923008364235391E-2</v>
      </c>
      <c r="EA79" s="20">
        <f t="shared" si="303"/>
        <v>4.4798533611750208E-2</v>
      </c>
      <c r="EB79" s="20">
        <f t="shared" si="303"/>
        <v>4.4474989781554286E-2</v>
      </c>
      <c r="EC79" s="20">
        <f t="shared" si="303"/>
        <v>4.4143676274399704E-2</v>
      </c>
    </row>
    <row r="80" spans="2:133" x14ac:dyDescent="0.2">
      <c r="B80" s="22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68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X80" s="19"/>
      <c r="DY80" s="19"/>
      <c r="DZ80" s="19"/>
      <c r="EA80" s="19"/>
      <c r="EB80" s="19"/>
      <c r="EC80" s="770"/>
    </row>
    <row r="81" spans="2:133" x14ac:dyDescent="0.2">
      <c r="B81" s="212" t="s">
        <v>38</v>
      </c>
      <c r="C81" s="199">
        <f>C63-C69</f>
        <v>5861140.0884323977</v>
      </c>
      <c r="D81" s="199">
        <f t="shared" ref="D81:BO82" si="305">D63-D69</f>
        <v>5910363.1736293221</v>
      </c>
      <c r="E81" s="199">
        <f t="shared" si="305"/>
        <v>7872866.4308298798</v>
      </c>
      <c r="F81" s="199">
        <f t="shared" si="305"/>
        <v>4551289.7938464666</v>
      </c>
      <c r="G81" s="199">
        <f t="shared" si="305"/>
        <v>403735.95677292236</v>
      </c>
      <c r="H81" s="199">
        <f t="shared" si="305"/>
        <v>3549488.4282286502</v>
      </c>
      <c r="I81" s="199">
        <f t="shared" si="305"/>
        <v>5807737.7592300894</v>
      </c>
      <c r="J81" s="199">
        <f t="shared" si="305"/>
        <v>6591961.9557780679</v>
      </c>
      <c r="K81" s="199">
        <f t="shared" si="305"/>
        <v>7448825.5723122321</v>
      </c>
      <c r="L81" s="199">
        <f t="shared" si="305"/>
        <v>8139085.1157615036</v>
      </c>
      <c r="M81" s="199">
        <f t="shared" si="305"/>
        <v>16610104.017897468</v>
      </c>
      <c r="N81" s="199">
        <f t="shared" si="305"/>
        <v>18056173.942933016</v>
      </c>
      <c r="O81" s="199">
        <f t="shared" si="305"/>
        <v>16966575.013920415</v>
      </c>
      <c r="P81" s="199">
        <f t="shared" si="305"/>
        <v>19801927.115971241</v>
      </c>
      <c r="Q81" s="199">
        <f t="shared" si="305"/>
        <v>19503475.15519093</v>
      </c>
      <c r="R81" s="199">
        <f t="shared" si="305"/>
        <v>17983073.705227889</v>
      </c>
      <c r="S81" s="199">
        <f t="shared" si="305"/>
        <v>19498106.47874603</v>
      </c>
      <c r="T81" s="199">
        <f t="shared" si="305"/>
        <v>22229184.999332208</v>
      </c>
      <c r="U81" s="199">
        <f t="shared" si="305"/>
        <v>23130667.261981331</v>
      </c>
      <c r="V81" s="199">
        <f t="shared" si="305"/>
        <v>21034666.665916838</v>
      </c>
      <c r="W81" s="199">
        <f t="shared" si="305"/>
        <v>15198034.669779507</v>
      </c>
      <c r="X81" s="199">
        <f t="shared" si="305"/>
        <v>20634072.951693147</v>
      </c>
      <c r="Y81" s="199">
        <f t="shared" si="305"/>
        <v>21513874.072118618</v>
      </c>
      <c r="Z81" s="199">
        <f t="shared" si="305"/>
        <v>27472431.676119596</v>
      </c>
      <c r="AA81" s="199">
        <f t="shared" si="305"/>
        <v>33806040.195079654</v>
      </c>
      <c r="AB81" s="199">
        <f t="shared" si="305"/>
        <v>36214822.587148428</v>
      </c>
      <c r="AC81" s="199">
        <f t="shared" si="305"/>
        <v>41146734.272467732</v>
      </c>
      <c r="AD81" s="199">
        <f t="shared" si="305"/>
        <v>35007770.723712578</v>
      </c>
      <c r="AE81" s="199">
        <f t="shared" si="305"/>
        <v>44048014.742926821</v>
      </c>
      <c r="AF81" s="199">
        <f t="shared" si="305"/>
        <v>52116911.047800183</v>
      </c>
      <c r="AG81" s="199">
        <f t="shared" si="305"/>
        <v>40439624.419598684</v>
      </c>
      <c r="AH81" s="199">
        <f t="shared" si="305"/>
        <v>43945004.856420308</v>
      </c>
      <c r="AI81" s="199">
        <f t="shared" si="305"/>
        <v>32099683.905213643</v>
      </c>
      <c r="AJ81" s="199">
        <f t="shared" si="305"/>
        <v>47324136.203354158</v>
      </c>
      <c r="AK81" s="199">
        <f t="shared" si="305"/>
        <v>51942704.79863748</v>
      </c>
      <c r="AL81" s="199">
        <f t="shared" si="305"/>
        <v>50362687.965307415</v>
      </c>
      <c r="AM81" s="199">
        <f t="shared" si="305"/>
        <v>52009604.391797349</v>
      </c>
      <c r="AN81" s="199">
        <f t="shared" si="305"/>
        <v>51756247.452955514</v>
      </c>
      <c r="AO81" s="199">
        <f t="shared" si="305"/>
        <v>66656052.921926402</v>
      </c>
      <c r="AP81" s="199">
        <f t="shared" si="305"/>
        <v>64244282.114721552</v>
      </c>
      <c r="AQ81" s="199">
        <f t="shared" si="305"/>
        <v>70050069.006178766</v>
      </c>
      <c r="AR81" s="199">
        <f t="shared" si="305"/>
        <v>76541516.992946237</v>
      </c>
      <c r="AS81" s="199">
        <f t="shared" si="305"/>
        <v>71503257.890448868</v>
      </c>
      <c r="AT81" s="199">
        <f t="shared" si="305"/>
        <v>63960183.679757871</v>
      </c>
      <c r="AU81" s="199">
        <f t="shared" si="305"/>
        <v>55390995.155965164</v>
      </c>
      <c r="AV81" s="199">
        <f t="shared" si="305"/>
        <v>74966414.83872813</v>
      </c>
      <c r="AW81" s="199">
        <f t="shared" si="305"/>
        <v>72636902.765535921</v>
      </c>
      <c r="AX81" s="199">
        <f t="shared" si="305"/>
        <v>85012215.008125871</v>
      </c>
      <c r="AY81" s="199">
        <f t="shared" si="305"/>
        <v>86610509.887996078</v>
      </c>
      <c r="AZ81" s="199">
        <f t="shared" si="305"/>
        <v>81938230.877715826</v>
      </c>
      <c r="BA81" s="199">
        <f t="shared" si="305"/>
        <v>105018123.21966299</v>
      </c>
      <c r="BB81" s="199">
        <f t="shared" si="305"/>
        <v>94366810.148964465</v>
      </c>
      <c r="BC81" s="199">
        <f t="shared" si="305"/>
        <v>90953693.282828718</v>
      </c>
      <c r="BD81" s="199">
        <f t="shared" si="305"/>
        <v>98314228.748113945</v>
      </c>
      <c r="BE81" s="199">
        <f t="shared" si="305"/>
        <v>102897314.96425888</v>
      </c>
      <c r="BF81" s="199">
        <f t="shared" si="305"/>
        <v>99461745.887211114</v>
      </c>
      <c r="BG81" s="199">
        <f t="shared" si="305"/>
        <v>90992237.469463915</v>
      </c>
      <c r="BH81" s="199">
        <f t="shared" si="305"/>
        <v>111098912.29387201</v>
      </c>
      <c r="BI81" s="199">
        <f t="shared" si="305"/>
        <v>110080027.63019298</v>
      </c>
      <c r="BJ81" s="199">
        <f t="shared" si="305"/>
        <v>125871062.95043832</v>
      </c>
      <c r="BK81" s="199">
        <f t="shared" si="305"/>
        <v>134666143.73947281</v>
      </c>
      <c r="BL81" s="199">
        <f t="shared" si="305"/>
        <v>115931630.87075405</v>
      </c>
      <c r="BM81" s="199">
        <f t="shared" si="305"/>
        <v>122122892.88692786</v>
      </c>
      <c r="BN81" s="199">
        <f t="shared" si="305"/>
        <v>133870044.14203081</v>
      </c>
      <c r="BO81" s="199">
        <f t="shared" si="305"/>
        <v>131995588.48230249</v>
      </c>
      <c r="BP81" s="199">
        <f t="shared" ref="BP81:CK83" si="306">BP63-BP69</f>
        <v>131620310.0738233</v>
      </c>
      <c r="BQ81" s="199">
        <f t="shared" si="306"/>
        <v>140777476.1287351</v>
      </c>
      <c r="BR81" s="199">
        <f t="shared" si="306"/>
        <v>126233732.81226486</v>
      </c>
      <c r="BS81" s="199">
        <f t="shared" si="306"/>
        <v>122570948.69231656</v>
      </c>
      <c r="BT81" s="199">
        <f t="shared" si="306"/>
        <v>144453839.84310439</v>
      </c>
      <c r="BU81" s="199">
        <f t="shared" si="306"/>
        <v>135201599.565474</v>
      </c>
      <c r="BV81" s="199">
        <f t="shared" si="306"/>
        <v>165029729.73766398</v>
      </c>
      <c r="BW81" s="199">
        <f t="shared" si="306"/>
        <v>172073959.16931543</v>
      </c>
      <c r="BX81" s="199">
        <f t="shared" si="306"/>
        <v>154849132.84545279</v>
      </c>
      <c r="BY81" s="199">
        <f t="shared" si="306"/>
        <v>178387567.54070091</v>
      </c>
      <c r="BZ81" s="199">
        <f t="shared" si="306"/>
        <v>161803578.85824192</v>
      </c>
      <c r="CA81" s="199">
        <f t="shared" si="306"/>
        <v>159798631.22097641</v>
      </c>
      <c r="CB81" s="199">
        <f t="shared" si="306"/>
        <v>158755871.6972177</v>
      </c>
      <c r="CC81" s="199">
        <f t="shared" si="306"/>
        <v>169763512.28390902</v>
      </c>
      <c r="CD81" s="199">
        <f t="shared" si="306"/>
        <v>152039448.67061841</v>
      </c>
      <c r="CE81" s="199">
        <f t="shared" si="306"/>
        <v>147204219.62036794</v>
      </c>
      <c r="CF81" s="199">
        <f t="shared" si="306"/>
        <v>173264008.43123633</v>
      </c>
      <c r="CG81" s="199">
        <f t="shared" si="306"/>
        <v>161528590.80709043</v>
      </c>
      <c r="CH81" s="199">
        <f t="shared" si="306"/>
        <v>196408862.58888847</v>
      </c>
      <c r="CI81" s="199">
        <f t="shared" si="306"/>
        <v>204095847.27093437</v>
      </c>
      <c r="CJ81" s="199">
        <f t="shared" si="306"/>
        <v>183208320.34558046</v>
      </c>
      <c r="CK81" s="199">
        <f t="shared" si="306"/>
        <v>209269317.07632726</v>
      </c>
      <c r="CL81" s="199">
        <f t="shared" ref="CL81:CW81" si="307">CL63-CL69</f>
        <v>184571474.07997367</v>
      </c>
      <c r="CM81" s="199">
        <f t="shared" si="307"/>
        <v>182225948.14188534</v>
      </c>
      <c r="CN81" s="199">
        <f t="shared" si="307"/>
        <v>180978644.66783679</v>
      </c>
      <c r="CO81" s="199">
        <f t="shared" si="307"/>
        <v>193285186.68461335</v>
      </c>
      <c r="CP81" s="199">
        <f t="shared" si="307"/>
        <v>173164662.43551454</v>
      </c>
      <c r="CQ81" s="199">
        <f t="shared" si="307"/>
        <v>167841537.7038312</v>
      </c>
      <c r="CR81" s="199">
        <f t="shared" si="307"/>
        <v>196897197.33248335</v>
      </c>
      <c r="CS81" s="199">
        <f t="shared" si="307"/>
        <v>183702412.02455726</v>
      </c>
      <c r="CT81" s="199">
        <f t="shared" si="307"/>
        <v>223256739.94876933</v>
      </c>
      <c r="CU81" s="199">
        <f t="shared" si="307"/>
        <v>232056234.2009722</v>
      </c>
      <c r="CV81" s="199">
        <f t="shared" si="307"/>
        <v>208139088.77507797</v>
      </c>
      <c r="CW81" s="199">
        <f t="shared" si="307"/>
        <v>237450041.03635344</v>
      </c>
      <c r="CX81" s="168"/>
      <c r="CY81" s="199">
        <f t="shared" ref="CY81:CY83" si="308">SUM(AD81:AF81)</f>
        <v>131172696.51443958</v>
      </c>
      <c r="CZ81" s="199">
        <f t="shared" ref="CZ81:CZ83" si="309">SUM(AG81:AI81)</f>
        <v>116484313.18123263</v>
      </c>
      <c r="DA81" s="199">
        <f t="shared" ref="DA81:DA83" si="310">SUM(AJ81:AL81)</f>
        <v>149629528.96729904</v>
      </c>
      <c r="DB81" s="199">
        <f t="shared" ref="DB81:DB83" si="311">SUM(AM81:AO81)</f>
        <v>170421904.76667926</v>
      </c>
      <c r="DC81" s="199">
        <f t="shared" ref="DC81:DC83" si="312">SUM(AP81:AR81)</f>
        <v>210835868.11384657</v>
      </c>
      <c r="DD81" s="199">
        <f t="shared" ref="DD81:DD83" si="313">SUM(AS81:AU81)</f>
        <v>190854436.72617191</v>
      </c>
      <c r="DE81" s="199">
        <f t="shared" ref="DE81:DE83" si="314">SUM(AV81:AX81)</f>
        <v>232615532.61238992</v>
      </c>
      <c r="DF81" s="199">
        <f t="shared" ref="DF81:DF83" si="315">SUM(AY81:BA81)</f>
        <v>273566863.98537493</v>
      </c>
      <c r="DG81" s="199">
        <f t="shared" ref="DG81:DG83" si="316">SUM(BB81:BD81)</f>
        <v>283634732.17990714</v>
      </c>
      <c r="DH81" s="199">
        <f t="shared" ref="DH81:DH83" si="317">SUM(BE81:BG81)</f>
        <v>293351298.32093394</v>
      </c>
      <c r="DI81" s="199">
        <f t="shared" ref="DI81:DI83" si="318">SUM(BH81:BJ81)</f>
        <v>347050002.87450331</v>
      </c>
      <c r="DJ81" s="199">
        <f t="shared" ref="DJ81:DJ83" si="319">SUM(BK81:BM81)</f>
        <v>372720667.49715471</v>
      </c>
      <c r="DK81" s="199">
        <f t="shared" ref="DK81:DK83" si="320">SUM(BN81:BP81)</f>
        <v>397485942.6981566</v>
      </c>
      <c r="DL81" s="199">
        <f t="shared" ref="DL81:DL83" si="321">SUM(BQ81:BS81)</f>
        <v>389582157.63331652</v>
      </c>
      <c r="DM81" s="199">
        <f t="shared" ref="DM81:DM83" si="322">SUM(BT81:BV81)</f>
        <v>444685169.14624238</v>
      </c>
      <c r="DN81" s="199">
        <f t="shared" ref="DN81:DN83" si="323">SUM(BW81:BY81)</f>
        <v>505310659.55546916</v>
      </c>
      <c r="DO81" s="199">
        <f t="shared" ref="DO81:DO83" si="324">SUM(BZ81:CB81)</f>
        <v>480358081.77643603</v>
      </c>
      <c r="DP81" s="199">
        <f t="shared" ref="DP81:DP83" si="325">SUM(CC81:CE81)</f>
        <v>469007180.57489538</v>
      </c>
      <c r="DQ81" s="199">
        <f t="shared" ref="DQ81:DQ83" si="326">SUM(CF81:CH81)</f>
        <v>531201461.82721525</v>
      </c>
      <c r="DR81" s="199">
        <f t="shared" ref="DR81:DR83" si="327">SUM(CI81:CK81)</f>
        <v>596573484.69284201</v>
      </c>
      <c r="DS81" s="199">
        <f t="shared" ref="DS81:DS83" si="328">SUM(CL81:CN81)</f>
        <v>547776066.88969576</v>
      </c>
      <c r="DT81" s="199">
        <f t="shared" ref="DT81:DT83" si="329">SUM(CO81:CQ81)</f>
        <v>534291386.82395911</v>
      </c>
      <c r="DU81" s="199">
        <f t="shared" ref="DU81:DU83" si="330">SUM(CR81:CT81)</f>
        <v>603856349.30580997</v>
      </c>
      <c r="DV81" s="199">
        <f t="shared" ref="DV81:DV83" si="331">SUM(CU81:CW81)</f>
        <v>677645364.01240361</v>
      </c>
      <c r="DX81" s="199">
        <f t="shared" ref="DX81:DX83" si="332">SUM(CY81:DB81)</f>
        <v>567708443.42965055</v>
      </c>
      <c r="DY81" s="199">
        <f t="shared" ref="DY81:DY83" si="333">SUM(DC81:DF81)</f>
        <v>907872701.43778336</v>
      </c>
      <c r="DZ81" s="199">
        <f t="shared" ref="DZ81:DZ83" si="334">SUM(DG81:DJ81)</f>
        <v>1296756700.8724992</v>
      </c>
      <c r="EA81" s="199">
        <f t="shared" ref="EA81:EA83" si="335">SUM(DK81:DN81)</f>
        <v>1737063929.0331845</v>
      </c>
      <c r="EB81" s="199">
        <f t="shared" ref="EB81:EB83" si="336">SUM(DO81:DR81)</f>
        <v>2077140208.8713887</v>
      </c>
      <c r="EC81" s="810">
        <f t="shared" ref="EC81:EC83" si="337">SUM(DS81:DV81)</f>
        <v>2363569167.0318685</v>
      </c>
    </row>
    <row r="82" spans="2:133" x14ac:dyDescent="0.2">
      <c r="B82" s="155" t="s">
        <v>229</v>
      </c>
      <c r="C82" s="19">
        <f t="shared" ref="C82:R83" si="338">C64-C70</f>
        <v>5272035.2073522918</v>
      </c>
      <c r="D82" s="19">
        <f t="shared" si="338"/>
        <v>5559143.743740214</v>
      </c>
      <c r="E82" s="19">
        <f t="shared" si="338"/>
        <v>7233089.8822029252</v>
      </c>
      <c r="F82" s="19">
        <f t="shared" si="338"/>
        <v>4103315.3514956143</v>
      </c>
      <c r="G82" s="19">
        <f t="shared" si="338"/>
        <v>100833.54558432194</v>
      </c>
      <c r="H82" s="19">
        <f t="shared" si="338"/>
        <v>2866887.1088821399</v>
      </c>
      <c r="I82" s="19">
        <f t="shared" si="338"/>
        <v>4640927.6320072943</v>
      </c>
      <c r="J82" s="19">
        <f t="shared" si="338"/>
        <v>5817302.6550183091</v>
      </c>
      <c r="K82" s="19">
        <f t="shared" si="338"/>
        <v>6185439.6095306538</v>
      </c>
      <c r="L82" s="19">
        <f t="shared" si="338"/>
        <v>7574326.5108297672</v>
      </c>
      <c r="M82" s="19">
        <f t="shared" si="338"/>
        <v>14191886.387349317</v>
      </c>
      <c r="N82" s="19">
        <f t="shared" si="338"/>
        <v>15486939.100779623</v>
      </c>
      <c r="O82" s="19">
        <f t="shared" si="338"/>
        <v>13448262.53836897</v>
      </c>
      <c r="P82" s="19">
        <f t="shared" si="338"/>
        <v>15827839.239135697</v>
      </c>
      <c r="Q82" s="19">
        <f t="shared" si="338"/>
        <v>17086154.118768211</v>
      </c>
      <c r="R82" s="19">
        <f t="shared" si="338"/>
        <v>15680921.39329375</v>
      </c>
      <c r="S82" s="19">
        <f t="shared" si="305"/>
        <v>16889951.115314111</v>
      </c>
      <c r="T82" s="19">
        <f t="shared" si="305"/>
        <v>19263470.140040837</v>
      </c>
      <c r="U82" s="19">
        <f t="shared" si="305"/>
        <v>21411061.72986234</v>
      </c>
      <c r="V82" s="19">
        <f t="shared" si="305"/>
        <v>19940916.134740911</v>
      </c>
      <c r="W82" s="19">
        <f t="shared" si="305"/>
        <v>14328037.701626141</v>
      </c>
      <c r="X82" s="19">
        <f t="shared" si="305"/>
        <v>18294682.41696056</v>
      </c>
      <c r="Y82" s="19">
        <f t="shared" si="305"/>
        <v>19115734.594302554</v>
      </c>
      <c r="Z82" s="19">
        <f t="shared" si="305"/>
        <v>25590556.839561727</v>
      </c>
      <c r="AA82" s="19">
        <f t="shared" si="305"/>
        <v>29983905.561994549</v>
      </c>
      <c r="AB82" s="19">
        <f t="shared" si="305"/>
        <v>30827940.193007641</v>
      </c>
      <c r="AC82" s="19">
        <f t="shared" si="305"/>
        <v>36597107.804610923</v>
      </c>
      <c r="AD82" s="19">
        <f t="shared" si="305"/>
        <v>29671069.505990103</v>
      </c>
      <c r="AE82" s="19">
        <f t="shared" si="305"/>
        <v>34629398.777884945</v>
      </c>
      <c r="AF82" s="19">
        <f t="shared" si="305"/>
        <v>37487960.297023863</v>
      </c>
      <c r="AG82" s="19">
        <f t="shared" si="305"/>
        <v>32159394.758550763</v>
      </c>
      <c r="AH82" s="19">
        <f t="shared" si="305"/>
        <v>32600492.14285925</v>
      </c>
      <c r="AI82" s="19">
        <f t="shared" si="305"/>
        <v>26551725.924766399</v>
      </c>
      <c r="AJ82" s="19">
        <f t="shared" si="305"/>
        <v>34266712.475745901</v>
      </c>
      <c r="AK82" s="19">
        <f t="shared" si="305"/>
        <v>34521411.398312837</v>
      </c>
      <c r="AL82" s="19">
        <f t="shared" si="305"/>
        <v>30092879.963658836</v>
      </c>
      <c r="AM82" s="19">
        <f t="shared" si="305"/>
        <v>29885710.003263701</v>
      </c>
      <c r="AN82" s="19">
        <f t="shared" si="305"/>
        <v>33341354.510234926</v>
      </c>
      <c r="AO82" s="19">
        <f t="shared" si="305"/>
        <v>39193384.787707068</v>
      </c>
      <c r="AP82" s="19">
        <f t="shared" si="305"/>
        <v>38938181.245532528</v>
      </c>
      <c r="AQ82" s="19">
        <f t="shared" si="305"/>
        <v>44037915.169095531</v>
      </c>
      <c r="AR82" s="19">
        <f t="shared" si="305"/>
        <v>46278337.768747382</v>
      </c>
      <c r="AS82" s="19">
        <f t="shared" si="305"/>
        <v>43538608.799670577</v>
      </c>
      <c r="AT82" s="19">
        <f t="shared" si="305"/>
        <v>36948467.354889378</v>
      </c>
      <c r="AU82" s="19">
        <f t="shared" si="305"/>
        <v>27597277.526806146</v>
      </c>
      <c r="AV82" s="19">
        <f t="shared" si="305"/>
        <v>42785340.926816836</v>
      </c>
      <c r="AW82" s="19">
        <f t="shared" si="305"/>
        <v>45143252.302002266</v>
      </c>
      <c r="AX82" s="19">
        <f t="shared" si="305"/>
        <v>53010658.942444168</v>
      </c>
      <c r="AY82" s="19">
        <f t="shared" si="305"/>
        <v>50555544.128295273</v>
      </c>
      <c r="AZ82" s="19">
        <f t="shared" si="305"/>
        <v>48237799.012318909</v>
      </c>
      <c r="BA82" s="19">
        <f t="shared" si="305"/>
        <v>60836998.547281899</v>
      </c>
      <c r="BB82" s="19">
        <f t="shared" si="305"/>
        <v>58859400.735849306</v>
      </c>
      <c r="BC82" s="19">
        <f t="shared" si="305"/>
        <v>53432116.177800074</v>
      </c>
      <c r="BD82" s="19">
        <f t="shared" si="305"/>
        <v>60835655.322872251</v>
      </c>
      <c r="BE82" s="19">
        <f t="shared" si="305"/>
        <v>59663347.729713455</v>
      </c>
      <c r="BF82" s="19">
        <f t="shared" si="305"/>
        <v>59279701.490789801</v>
      </c>
      <c r="BG82" s="19">
        <f t="shared" si="305"/>
        <v>50777870.046547204</v>
      </c>
      <c r="BH82" s="19">
        <f t="shared" si="305"/>
        <v>77880908.947551161</v>
      </c>
      <c r="BI82" s="19">
        <f t="shared" si="305"/>
        <v>77589375.249168545</v>
      </c>
      <c r="BJ82" s="19">
        <f t="shared" si="305"/>
        <v>89279023.137560293</v>
      </c>
      <c r="BK82" s="19">
        <f t="shared" si="305"/>
        <v>96956526.848780379</v>
      </c>
      <c r="BL82" s="19">
        <f t="shared" si="305"/>
        <v>89293603.897518516</v>
      </c>
      <c r="BM82" s="19">
        <f t="shared" si="305"/>
        <v>90779121.939475194</v>
      </c>
      <c r="BN82" s="19">
        <f t="shared" si="305"/>
        <v>93110691.366340786</v>
      </c>
      <c r="BO82" s="19">
        <f t="shared" si="305"/>
        <v>90821400.980982035</v>
      </c>
      <c r="BP82" s="19">
        <f t="shared" si="306"/>
        <v>90475578.292666063</v>
      </c>
      <c r="BQ82" s="19">
        <f t="shared" si="306"/>
        <v>99011719.580805838</v>
      </c>
      <c r="BR82" s="19">
        <f t="shared" si="306"/>
        <v>86878436.031015992</v>
      </c>
      <c r="BS82" s="19">
        <f t="shared" si="306"/>
        <v>79518959.030598745</v>
      </c>
      <c r="BT82" s="19">
        <f t="shared" si="306"/>
        <v>102592352.20464511</v>
      </c>
      <c r="BU82" s="19">
        <f t="shared" si="306"/>
        <v>93241926.193137601</v>
      </c>
      <c r="BV82" s="19">
        <f t="shared" si="306"/>
        <v>113523948.38913637</v>
      </c>
      <c r="BW82" s="19">
        <f t="shared" si="306"/>
        <v>116576927.73868769</v>
      </c>
      <c r="BX82" s="19">
        <f t="shared" si="306"/>
        <v>107270780.85200495</v>
      </c>
      <c r="BY82" s="19">
        <f t="shared" si="306"/>
        <v>126975062.6393564</v>
      </c>
      <c r="BZ82" s="19">
        <f t="shared" si="306"/>
        <v>114469530.7295593</v>
      </c>
      <c r="CA82" s="19">
        <f t="shared" si="306"/>
        <v>111982833.3702977</v>
      </c>
      <c r="CB82" s="19">
        <f t="shared" si="306"/>
        <v>110974280.92739084</v>
      </c>
      <c r="CC82" s="19">
        <f t="shared" si="306"/>
        <v>121260722.22612309</v>
      </c>
      <c r="CD82" s="19">
        <f t="shared" si="306"/>
        <v>106335938.06253859</v>
      </c>
      <c r="CE82" s="19">
        <f t="shared" si="306"/>
        <v>97207720.365386695</v>
      </c>
      <c r="CF82" s="19">
        <f t="shared" si="306"/>
        <v>124650045.36068237</v>
      </c>
      <c r="CG82" s="19">
        <f t="shared" si="306"/>
        <v>112800604.13369709</v>
      </c>
      <c r="CH82" s="19">
        <f t="shared" si="306"/>
        <v>136594931.12943953</v>
      </c>
      <c r="CI82" s="19">
        <f t="shared" si="306"/>
        <v>139646856.35606655</v>
      </c>
      <c r="CJ82" s="19">
        <f t="shared" si="306"/>
        <v>127955332.99970581</v>
      </c>
      <c r="CK82" s="19">
        <f t="shared" si="306"/>
        <v>149563708.03957605</v>
      </c>
      <c r="CL82" s="19">
        <f t="shared" ref="CL82:CW82" si="339">CL64-CL70</f>
        <v>129122566.35054412</v>
      </c>
      <c r="CM82" s="19">
        <f t="shared" si="339"/>
        <v>126212700.43014495</v>
      </c>
      <c r="CN82" s="19">
        <f t="shared" si="339"/>
        <v>125005468.43413001</v>
      </c>
      <c r="CO82" s="19">
        <f t="shared" si="339"/>
        <v>136467170.12235832</v>
      </c>
      <c r="CP82" s="19">
        <f t="shared" si="339"/>
        <v>119625828.49236834</v>
      </c>
      <c r="CQ82" s="19">
        <f t="shared" si="339"/>
        <v>109273733.26742864</v>
      </c>
      <c r="CR82" s="19">
        <f t="shared" si="339"/>
        <v>139948948.46661818</v>
      </c>
      <c r="CS82" s="19">
        <f t="shared" si="339"/>
        <v>126620591.56524587</v>
      </c>
      <c r="CT82" s="19">
        <f t="shared" si="339"/>
        <v>153188421.31663346</v>
      </c>
      <c r="CU82" s="19">
        <f t="shared" si="339"/>
        <v>156558230.29524088</v>
      </c>
      <c r="CV82" s="19">
        <f t="shared" si="339"/>
        <v>143413633.88079706</v>
      </c>
      <c r="CW82" s="19">
        <f t="shared" si="339"/>
        <v>167508615.4179914</v>
      </c>
      <c r="CX82" s="168"/>
      <c r="CY82" s="19">
        <f t="shared" si="308"/>
        <v>101788428.58089891</v>
      </c>
      <c r="CZ82" s="19">
        <f t="shared" si="309"/>
        <v>91311612.826176405</v>
      </c>
      <c r="DA82" s="19">
        <f t="shared" si="310"/>
        <v>98881003.837717578</v>
      </c>
      <c r="DB82" s="19">
        <f t="shared" si="311"/>
        <v>102420449.30120569</v>
      </c>
      <c r="DC82" s="19">
        <f t="shared" si="312"/>
        <v>129254434.18337545</v>
      </c>
      <c r="DD82" s="19">
        <f t="shared" si="313"/>
        <v>108084353.6813661</v>
      </c>
      <c r="DE82" s="19">
        <f t="shared" si="314"/>
        <v>140939252.17126328</v>
      </c>
      <c r="DF82" s="19">
        <f t="shared" si="315"/>
        <v>159630341.68789607</v>
      </c>
      <c r="DG82" s="19">
        <f t="shared" si="316"/>
        <v>173127172.23652163</v>
      </c>
      <c r="DH82" s="19">
        <f t="shared" si="317"/>
        <v>169720919.26705045</v>
      </c>
      <c r="DI82" s="19">
        <f t="shared" si="318"/>
        <v>244749307.33428001</v>
      </c>
      <c r="DJ82" s="19">
        <f t="shared" si="319"/>
        <v>277029252.68577409</v>
      </c>
      <c r="DK82" s="19">
        <f t="shared" si="320"/>
        <v>274407670.6399889</v>
      </c>
      <c r="DL82" s="19">
        <f t="shared" si="321"/>
        <v>265409114.64242059</v>
      </c>
      <c r="DM82" s="19">
        <f t="shared" si="322"/>
        <v>309358226.78691912</v>
      </c>
      <c r="DN82" s="19">
        <f t="shared" si="323"/>
        <v>350822771.23004901</v>
      </c>
      <c r="DO82" s="19">
        <f t="shared" si="324"/>
        <v>337426645.02724785</v>
      </c>
      <c r="DP82" s="19">
        <f t="shared" si="325"/>
        <v>324804380.65404838</v>
      </c>
      <c r="DQ82" s="19">
        <f t="shared" si="326"/>
        <v>374045580.62381899</v>
      </c>
      <c r="DR82" s="19">
        <f t="shared" si="327"/>
        <v>417165897.39534843</v>
      </c>
      <c r="DS82" s="19">
        <f t="shared" si="328"/>
        <v>380340735.21481907</v>
      </c>
      <c r="DT82" s="19">
        <f t="shared" si="329"/>
        <v>365366731.8821553</v>
      </c>
      <c r="DU82" s="19">
        <f t="shared" si="330"/>
        <v>419757961.34849751</v>
      </c>
      <c r="DV82" s="19">
        <f t="shared" si="331"/>
        <v>467480479.59402931</v>
      </c>
      <c r="DX82" s="19">
        <f t="shared" si="332"/>
        <v>394401494.54599857</v>
      </c>
      <c r="DY82" s="19">
        <f t="shared" si="333"/>
        <v>537908381.72390091</v>
      </c>
      <c r="DZ82" s="19">
        <f t="shared" si="334"/>
        <v>864626651.52362621</v>
      </c>
      <c r="EA82" s="19">
        <f t="shared" si="335"/>
        <v>1199997783.2993774</v>
      </c>
      <c r="EB82" s="19">
        <f t="shared" si="336"/>
        <v>1453442503.7004638</v>
      </c>
      <c r="EC82" s="770">
        <f t="shared" si="337"/>
        <v>1632945908.0395012</v>
      </c>
    </row>
    <row r="83" spans="2:133" x14ac:dyDescent="0.2">
      <c r="B83" s="155" t="s">
        <v>237</v>
      </c>
      <c r="C83" s="19">
        <f t="shared" si="338"/>
        <v>589104.88108010124</v>
      </c>
      <c r="D83" s="19">
        <f t="shared" ref="D83:BO83" si="340">D65-D71</f>
        <v>351219.42988910852</v>
      </c>
      <c r="E83" s="19">
        <f t="shared" si="340"/>
        <v>639776.54862695397</v>
      </c>
      <c r="F83" s="19">
        <f t="shared" si="340"/>
        <v>447974.44235085428</v>
      </c>
      <c r="G83" s="19">
        <f t="shared" si="340"/>
        <v>302902.41118860047</v>
      </c>
      <c r="H83" s="19">
        <f t="shared" si="340"/>
        <v>682601.31934651174</v>
      </c>
      <c r="I83" s="19">
        <f t="shared" si="340"/>
        <v>1166810.127222796</v>
      </c>
      <c r="J83" s="19">
        <f t="shared" si="340"/>
        <v>774659.30075975531</v>
      </c>
      <c r="K83" s="19">
        <f t="shared" si="340"/>
        <v>1263385.9627815839</v>
      </c>
      <c r="L83" s="19">
        <f t="shared" si="340"/>
        <v>564758.60493173404</v>
      </c>
      <c r="M83" s="19">
        <f t="shared" si="340"/>
        <v>2418217.6305481596</v>
      </c>
      <c r="N83" s="19">
        <f t="shared" si="340"/>
        <v>2569234.8421533941</v>
      </c>
      <c r="O83" s="19">
        <f t="shared" si="340"/>
        <v>3518312.4755514469</v>
      </c>
      <c r="P83" s="19">
        <f t="shared" si="340"/>
        <v>3974087.8768355418</v>
      </c>
      <c r="Q83" s="19">
        <f t="shared" si="340"/>
        <v>2417321.0364227192</v>
      </c>
      <c r="R83" s="19">
        <f t="shared" si="340"/>
        <v>2302152.3119341438</v>
      </c>
      <c r="S83" s="19">
        <f t="shared" si="340"/>
        <v>2608155.363431918</v>
      </c>
      <c r="T83" s="19">
        <f t="shared" si="340"/>
        <v>2965714.8592913579</v>
      </c>
      <c r="U83" s="19">
        <f t="shared" si="340"/>
        <v>1719605.5321189959</v>
      </c>
      <c r="V83" s="19">
        <f t="shared" si="340"/>
        <v>1093750.5311759331</v>
      </c>
      <c r="W83" s="19">
        <f t="shared" si="340"/>
        <v>869996.96815335634</v>
      </c>
      <c r="X83" s="19">
        <f t="shared" si="340"/>
        <v>2339390.5347326091</v>
      </c>
      <c r="Y83" s="19">
        <f t="shared" si="340"/>
        <v>2398139.4778160676</v>
      </c>
      <c r="Z83" s="19">
        <f t="shared" si="340"/>
        <v>1881874.8365578526</v>
      </c>
      <c r="AA83" s="19">
        <f t="shared" si="340"/>
        <v>3822134.6330851289</v>
      </c>
      <c r="AB83" s="19">
        <f t="shared" si="340"/>
        <v>5386882.3941407725</v>
      </c>
      <c r="AC83" s="19">
        <f t="shared" si="340"/>
        <v>4549626.4678568076</v>
      </c>
      <c r="AD83" s="19">
        <f t="shared" si="340"/>
        <v>5336701.2177224513</v>
      </c>
      <c r="AE83" s="19">
        <f t="shared" si="340"/>
        <v>9418615.9650418628</v>
      </c>
      <c r="AF83" s="19">
        <f t="shared" si="340"/>
        <v>14628950.750776323</v>
      </c>
      <c r="AG83" s="19">
        <f t="shared" si="340"/>
        <v>8280229.6610479522</v>
      </c>
      <c r="AH83" s="19">
        <f t="shared" si="340"/>
        <v>11344512.713561017</v>
      </c>
      <c r="AI83" s="19">
        <f t="shared" si="340"/>
        <v>5547957.9804472122</v>
      </c>
      <c r="AJ83" s="19">
        <f t="shared" si="340"/>
        <v>13057423.7276082</v>
      </c>
      <c r="AK83" s="19">
        <f t="shared" si="340"/>
        <v>17421293.400324643</v>
      </c>
      <c r="AL83" s="19">
        <f t="shared" si="340"/>
        <v>20269808.001648553</v>
      </c>
      <c r="AM83" s="19">
        <f t="shared" si="340"/>
        <v>22123894.388533644</v>
      </c>
      <c r="AN83" s="19">
        <f t="shared" si="340"/>
        <v>18414892.942720614</v>
      </c>
      <c r="AO83" s="19">
        <f t="shared" si="340"/>
        <v>27462668.134219363</v>
      </c>
      <c r="AP83" s="19">
        <f t="shared" si="340"/>
        <v>25306100.869188964</v>
      </c>
      <c r="AQ83" s="19">
        <f t="shared" si="340"/>
        <v>26012153.837083228</v>
      </c>
      <c r="AR83" s="19">
        <f t="shared" si="340"/>
        <v>30263179.224198848</v>
      </c>
      <c r="AS83" s="19">
        <f t="shared" si="340"/>
        <v>27964649.090778284</v>
      </c>
      <c r="AT83" s="19">
        <f t="shared" si="340"/>
        <v>27011716.324868433</v>
      </c>
      <c r="AU83" s="19">
        <f t="shared" si="340"/>
        <v>27793717.629159044</v>
      </c>
      <c r="AV83" s="19">
        <f t="shared" si="340"/>
        <v>32181073.911911316</v>
      </c>
      <c r="AW83" s="19">
        <f t="shared" si="340"/>
        <v>27493650.463533625</v>
      </c>
      <c r="AX83" s="19">
        <f t="shared" si="340"/>
        <v>32001556.065681614</v>
      </c>
      <c r="AY83" s="19">
        <f t="shared" si="340"/>
        <v>36054965.759700805</v>
      </c>
      <c r="AZ83" s="19">
        <f t="shared" si="340"/>
        <v>33700431.865396969</v>
      </c>
      <c r="BA83" s="19">
        <f t="shared" si="340"/>
        <v>44181124.672381088</v>
      </c>
      <c r="BB83" s="19">
        <f t="shared" si="340"/>
        <v>35507409.413115159</v>
      </c>
      <c r="BC83" s="19">
        <f t="shared" si="340"/>
        <v>37521577.105028614</v>
      </c>
      <c r="BD83" s="19">
        <f t="shared" si="340"/>
        <v>37478573.425241634</v>
      </c>
      <c r="BE83" s="19">
        <f t="shared" si="340"/>
        <v>43233967.234545484</v>
      </c>
      <c r="BF83" s="19">
        <f t="shared" si="340"/>
        <v>40182044.396421365</v>
      </c>
      <c r="BG83" s="19">
        <f t="shared" si="340"/>
        <v>40214367.422916763</v>
      </c>
      <c r="BH83" s="19">
        <f t="shared" si="340"/>
        <v>33218003.34632086</v>
      </c>
      <c r="BI83" s="19">
        <f t="shared" si="340"/>
        <v>32490652.381024338</v>
      </c>
      <c r="BJ83" s="19">
        <f t="shared" si="340"/>
        <v>36592039.81287802</v>
      </c>
      <c r="BK83" s="19">
        <f t="shared" si="340"/>
        <v>37709616.890692353</v>
      </c>
      <c r="BL83" s="19">
        <f t="shared" si="340"/>
        <v>26638026.973235536</v>
      </c>
      <c r="BM83" s="19">
        <f t="shared" si="340"/>
        <v>31343770.947452661</v>
      </c>
      <c r="BN83" s="19">
        <f t="shared" si="340"/>
        <v>40759352.775689974</v>
      </c>
      <c r="BO83" s="19">
        <f t="shared" si="340"/>
        <v>41174187.501320325</v>
      </c>
      <c r="BP83" s="19">
        <f t="shared" si="306"/>
        <v>41144731.78115724</v>
      </c>
      <c r="BQ83" s="19">
        <f t="shared" si="306"/>
        <v>41765756.547929265</v>
      </c>
      <c r="BR83" s="19">
        <f t="shared" si="306"/>
        <v>39355296.78124886</v>
      </c>
      <c r="BS83" s="19">
        <f t="shared" si="306"/>
        <v>43051989.661717884</v>
      </c>
      <c r="BT83" s="19">
        <f t="shared" si="306"/>
        <v>41861487.638459221</v>
      </c>
      <c r="BU83" s="19">
        <f t="shared" si="306"/>
        <v>41959673.372336335</v>
      </c>
      <c r="BV83" s="19">
        <f t="shared" si="306"/>
        <v>51505781.348527655</v>
      </c>
      <c r="BW83" s="19">
        <f t="shared" si="306"/>
        <v>55497031.430627786</v>
      </c>
      <c r="BX83" s="19">
        <f t="shared" si="306"/>
        <v>47578351.993447721</v>
      </c>
      <c r="BY83" s="19">
        <f t="shared" si="306"/>
        <v>51412504.901344627</v>
      </c>
      <c r="BZ83" s="19">
        <f t="shared" si="306"/>
        <v>47334048.128682502</v>
      </c>
      <c r="CA83" s="19">
        <f t="shared" si="306"/>
        <v>47815797.85067866</v>
      </c>
      <c r="CB83" s="19">
        <f t="shared" si="306"/>
        <v>47781590.769826949</v>
      </c>
      <c r="CC83" s="19">
        <f t="shared" si="306"/>
        <v>48502790.057785772</v>
      </c>
      <c r="CD83" s="19">
        <f t="shared" si="306"/>
        <v>45703510.608079873</v>
      </c>
      <c r="CE83" s="19">
        <f t="shared" si="306"/>
        <v>49996499.254981183</v>
      </c>
      <c r="CF83" s="19">
        <f t="shared" si="306"/>
        <v>48613963.070554093</v>
      </c>
      <c r="CG83" s="19">
        <f t="shared" si="306"/>
        <v>48727986.673393458</v>
      </c>
      <c r="CH83" s="19">
        <f t="shared" si="306"/>
        <v>59813931.459448755</v>
      </c>
      <c r="CI83" s="19">
        <f t="shared" si="306"/>
        <v>64448990.914867945</v>
      </c>
      <c r="CJ83" s="19">
        <f t="shared" si="306"/>
        <v>55252987.345874876</v>
      </c>
      <c r="CK83" s="19">
        <f t="shared" si="306"/>
        <v>59705609.036751255</v>
      </c>
      <c r="CL83" s="19">
        <f t="shared" ref="CL83:CW83" si="341">CL65-CL71</f>
        <v>55448907.729429424</v>
      </c>
      <c r="CM83" s="19">
        <f t="shared" si="341"/>
        <v>56013247.711740404</v>
      </c>
      <c r="CN83" s="19">
        <f t="shared" si="341"/>
        <v>55973176.233706601</v>
      </c>
      <c r="CO83" s="19">
        <f t="shared" si="341"/>
        <v>56818016.562254936</v>
      </c>
      <c r="CP83" s="19">
        <f t="shared" si="341"/>
        <v>53538833.943146214</v>
      </c>
      <c r="CQ83" s="19">
        <f t="shared" si="341"/>
        <v>58567804.436402515</v>
      </c>
      <c r="CR83" s="19">
        <f t="shared" si="341"/>
        <v>56948248.865865089</v>
      </c>
      <c r="CS83" s="19">
        <f t="shared" si="341"/>
        <v>57081820.459311463</v>
      </c>
      <c r="CT83" s="19">
        <f t="shared" si="341"/>
        <v>70068318.632135987</v>
      </c>
      <c r="CU83" s="19">
        <f t="shared" si="341"/>
        <v>75498003.905731231</v>
      </c>
      <c r="CV83" s="19">
        <f t="shared" si="341"/>
        <v>64725454.894280732</v>
      </c>
      <c r="CW83" s="19">
        <f t="shared" si="341"/>
        <v>69941425.618361935</v>
      </c>
      <c r="CX83" s="168"/>
      <c r="CY83" s="19">
        <f t="shared" si="308"/>
        <v>29384267.933540635</v>
      </c>
      <c r="CZ83" s="19">
        <f t="shared" si="309"/>
        <v>25172700.355056182</v>
      </c>
      <c r="DA83" s="19">
        <f t="shared" si="310"/>
        <v>50748525.129581392</v>
      </c>
      <c r="DB83" s="19">
        <f t="shared" si="311"/>
        <v>68001455.465473622</v>
      </c>
      <c r="DC83" s="19">
        <f t="shared" si="312"/>
        <v>81581433.930471033</v>
      </c>
      <c r="DD83" s="19">
        <f t="shared" si="313"/>
        <v>82770083.044805765</v>
      </c>
      <c r="DE83" s="19">
        <f t="shared" si="314"/>
        <v>91676280.441126555</v>
      </c>
      <c r="DF83" s="19">
        <f t="shared" si="315"/>
        <v>113936522.29747887</v>
      </c>
      <c r="DG83" s="19">
        <f t="shared" si="316"/>
        <v>110507559.94338541</v>
      </c>
      <c r="DH83" s="19">
        <f t="shared" si="317"/>
        <v>123630379.05388361</v>
      </c>
      <c r="DI83" s="19">
        <f t="shared" si="318"/>
        <v>102300695.54022321</v>
      </c>
      <c r="DJ83" s="19">
        <f t="shared" si="319"/>
        <v>95691414.81138055</v>
      </c>
      <c r="DK83" s="19">
        <f t="shared" si="320"/>
        <v>123078272.05816753</v>
      </c>
      <c r="DL83" s="19">
        <f t="shared" si="321"/>
        <v>124173042.99089602</v>
      </c>
      <c r="DM83" s="19">
        <f t="shared" si="322"/>
        <v>135326942.3593232</v>
      </c>
      <c r="DN83" s="19">
        <f t="shared" si="323"/>
        <v>154487888.32542014</v>
      </c>
      <c r="DO83" s="19">
        <f t="shared" si="324"/>
        <v>142931436.74918813</v>
      </c>
      <c r="DP83" s="19">
        <f t="shared" si="325"/>
        <v>144202799.92084682</v>
      </c>
      <c r="DQ83" s="19">
        <f t="shared" si="326"/>
        <v>157155881.20339632</v>
      </c>
      <c r="DR83" s="19">
        <f t="shared" si="327"/>
        <v>179407587.29749405</v>
      </c>
      <c r="DS83" s="19">
        <f t="shared" si="328"/>
        <v>167435331.67487642</v>
      </c>
      <c r="DT83" s="19">
        <f t="shared" si="329"/>
        <v>168924654.94180366</v>
      </c>
      <c r="DU83" s="19">
        <f t="shared" si="330"/>
        <v>184098387.95731252</v>
      </c>
      <c r="DV83" s="19">
        <f t="shared" si="331"/>
        <v>210164884.41837388</v>
      </c>
      <c r="DX83" s="19">
        <f t="shared" si="332"/>
        <v>173306948.88365182</v>
      </c>
      <c r="DY83" s="19">
        <f t="shared" si="333"/>
        <v>369964319.71388221</v>
      </c>
      <c r="DZ83" s="19">
        <f t="shared" si="334"/>
        <v>432130049.34887284</v>
      </c>
      <c r="EA83" s="19">
        <f t="shared" si="335"/>
        <v>537066145.73380685</v>
      </c>
      <c r="EB83" s="19">
        <f t="shared" si="336"/>
        <v>623697705.17092538</v>
      </c>
      <c r="EC83" s="770">
        <f t="shared" si="337"/>
        <v>730623258.99236655</v>
      </c>
    </row>
    <row r="84" spans="2:133" x14ac:dyDescent="0.2">
      <c r="B84" s="155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68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X84" s="19"/>
      <c r="DY84" s="19"/>
      <c r="DZ84" s="19"/>
      <c r="EA84" s="19"/>
      <c r="EB84" s="19"/>
      <c r="EC84" s="770"/>
    </row>
    <row r="85" spans="2:133" x14ac:dyDescent="0.2">
      <c r="B85" s="22" t="s">
        <v>39</v>
      </c>
      <c r="C85" s="20">
        <f>C81/C30</f>
        <v>0.14202244052279075</v>
      </c>
      <c r="D85" s="20">
        <f t="shared" ref="D85:BO85" si="342">D81/D30</f>
        <v>0.15078287578005523</v>
      </c>
      <c r="E85" s="20">
        <f t="shared" si="342"/>
        <v>0.17614220362140151</v>
      </c>
      <c r="F85" s="20">
        <f t="shared" si="342"/>
        <v>0.17539490630748397</v>
      </c>
      <c r="G85" s="20">
        <f t="shared" si="342"/>
        <v>0.10089574241756448</v>
      </c>
      <c r="H85" s="20">
        <f t="shared" si="342"/>
        <v>0.18628173362361003</v>
      </c>
      <c r="I85" s="20">
        <f t="shared" si="342"/>
        <v>0.21681368368874926</v>
      </c>
      <c r="J85" s="20">
        <f t="shared" si="342"/>
        <v>0.19439095860679803</v>
      </c>
      <c r="K85" s="20">
        <f t="shared" si="342"/>
        <v>0.16311579143127683</v>
      </c>
      <c r="L85" s="20">
        <f t="shared" si="342"/>
        <v>0.15355760237589208</v>
      </c>
      <c r="M85" s="20">
        <f t="shared" si="342"/>
        <v>0.19578562788695217</v>
      </c>
      <c r="N85" s="20">
        <f t="shared" si="342"/>
        <v>0.18151441368743448</v>
      </c>
      <c r="O85" s="20">
        <f t="shared" si="342"/>
        <v>0.16031618329048444</v>
      </c>
      <c r="P85" s="20">
        <f t="shared" si="342"/>
        <v>0.17235983794637752</v>
      </c>
      <c r="Q85" s="20">
        <f t="shared" si="342"/>
        <v>0.16072769888700636</v>
      </c>
      <c r="R85" s="20">
        <f t="shared" si="342"/>
        <v>0.16539144268606926</v>
      </c>
      <c r="S85" s="20">
        <f t="shared" si="342"/>
        <v>0.14461391707344856</v>
      </c>
      <c r="T85" s="20">
        <f t="shared" si="342"/>
        <v>0.12853235442704655</v>
      </c>
      <c r="U85" s="20">
        <f t="shared" si="342"/>
        <v>0.1367575381688568</v>
      </c>
      <c r="V85" s="20">
        <f t="shared" si="342"/>
        <v>0.12686068907625853</v>
      </c>
      <c r="W85" s="20">
        <f t="shared" si="342"/>
        <v>9.3873993390058322E-2</v>
      </c>
      <c r="X85" s="20">
        <f t="shared" si="342"/>
        <v>0.10145961893036856</v>
      </c>
      <c r="Y85" s="20">
        <f t="shared" si="342"/>
        <v>0.10824171684930645</v>
      </c>
      <c r="Z85" s="20">
        <f t="shared" si="342"/>
        <v>0.11752076709390274</v>
      </c>
      <c r="AA85" s="20">
        <f t="shared" si="342"/>
        <v>0.12770872369442959</v>
      </c>
      <c r="AB85" s="20">
        <f t="shared" si="342"/>
        <v>0.12823260559019303</v>
      </c>
      <c r="AC85" s="20">
        <f t="shared" si="342"/>
        <v>0.10302105379567723</v>
      </c>
      <c r="AD85" s="20">
        <f t="shared" si="342"/>
        <v>7.7149283418690637E-2</v>
      </c>
      <c r="AE85" s="20">
        <f t="shared" si="342"/>
        <v>9.3920107607063374E-2</v>
      </c>
      <c r="AF85" s="20">
        <f t="shared" si="342"/>
        <v>0.10590213704810328</v>
      </c>
      <c r="AG85" s="20">
        <f t="shared" si="342"/>
        <v>0.10185190716191224</v>
      </c>
      <c r="AH85" s="20">
        <f t="shared" si="342"/>
        <v>0.10547643197925158</v>
      </c>
      <c r="AI85" s="20">
        <f t="shared" si="342"/>
        <v>7.6148496897075188E-2</v>
      </c>
      <c r="AJ85" s="20">
        <f t="shared" si="342"/>
        <v>7.5069085989391979E-2</v>
      </c>
      <c r="AK85" s="20">
        <f t="shared" si="342"/>
        <v>9.853521076200876E-2</v>
      </c>
      <c r="AL85" s="20">
        <f t="shared" si="342"/>
        <v>0.10691822442004012</v>
      </c>
      <c r="AM85" s="20">
        <f t="shared" si="342"/>
        <v>0.1165693155946112</v>
      </c>
      <c r="AN85" s="20">
        <f t="shared" si="342"/>
        <v>0.14018784002726625</v>
      </c>
      <c r="AO85" s="20">
        <f t="shared" si="342"/>
        <v>0.13991128442142156</v>
      </c>
      <c r="AP85" s="20">
        <f t="shared" si="342"/>
        <v>0.13234051749535758</v>
      </c>
      <c r="AQ85" s="20">
        <f t="shared" si="342"/>
        <v>0.13946029370486965</v>
      </c>
      <c r="AR85" s="20">
        <f t="shared" si="342"/>
        <v>0.14436682148496432</v>
      </c>
      <c r="AS85" s="20">
        <f t="shared" si="342"/>
        <v>0.1369754935402506</v>
      </c>
      <c r="AT85" s="20">
        <f t="shared" si="342"/>
        <v>0.13853447183730516</v>
      </c>
      <c r="AU85" s="20">
        <f t="shared" si="342"/>
        <v>0.12720746742736869</v>
      </c>
      <c r="AV85" s="20">
        <f t="shared" si="342"/>
        <v>0.13810420263561157</v>
      </c>
      <c r="AW85" s="20">
        <f t="shared" si="342"/>
        <v>0.14287086275531802</v>
      </c>
      <c r="AX85" s="20">
        <f t="shared" si="342"/>
        <v>0.14029663331177408</v>
      </c>
      <c r="AY85" s="20">
        <f t="shared" si="342"/>
        <v>0.13357078646411358</v>
      </c>
      <c r="AZ85" s="20">
        <f t="shared" si="342"/>
        <v>0.13246633746644257</v>
      </c>
      <c r="BA85" s="20">
        <f t="shared" si="342"/>
        <v>0.13197486257296745</v>
      </c>
      <c r="BB85" s="20">
        <f t="shared" si="342"/>
        <v>0.12910569327213103</v>
      </c>
      <c r="BC85" s="20">
        <f t="shared" si="342"/>
        <v>0.12754382480922988</v>
      </c>
      <c r="BD85" s="20">
        <f t="shared" si="342"/>
        <v>0.13598753045717113</v>
      </c>
      <c r="BE85" s="20">
        <f t="shared" si="342"/>
        <v>0.13247139794050269</v>
      </c>
      <c r="BF85" s="20">
        <f t="shared" si="342"/>
        <v>0.15018380645370241</v>
      </c>
      <c r="BG85" s="20">
        <f t="shared" si="342"/>
        <v>0.12627417386406264</v>
      </c>
      <c r="BH85" s="20">
        <f t="shared" si="342"/>
        <v>0.13279834119840042</v>
      </c>
      <c r="BI85" s="20">
        <f t="shared" si="342"/>
        <v>0.14183718962598835</v>
      </c>
      <c r="BJ85" s="20">
        <f t="shared" si="342"/>
        <v>0.13163835525270554</v>
      </c>
      <c r="BK85" s="20">
        <f t="shared" si="342"/>
        <v>0.12970479380986549</v>
      </c>
      <c r="BL85" s="20">
        <f t="shared" si="342"/>
        <v>0.12369943661590589</v>
      </c>
      <c r="BM85" s="20">
        <f t="shared" si="342"/>
        <v>0.11035454400889244</v>
      </c>
      <c r="BN85" s="20">
        <f t="shared" si="342"/>
        <v>0.13712775979853709</v>
      </c>
      <c r="BO85" s="20">
        <f t="shared" si="342"/>
        <v>0.13661038836198866</v>
      </c>
      <c r="BP85" s="20">
        <f t="shared" ref="BP85:EC85" si="343">BP81/BP30</f>
        <v>0.13654133135167229</v>
      </c>
      <c r="BQ85" s="20">
        <f t="shared" si="343"/>
        <v>0.13776173755357754</v>
      </c>
      <c r="BR85" s="20">
        <f t="shared" si="343"/>
        <v>0.13638374646217766</v>
      </c>
      <c r="BS85" s="20">
        <f t="shared" si="343"/>
        <v>0.13392307926556321</v>
      </c>
      <c r="BT85" s="20">
        <f t="shared" si="343"/>
        <v>0.13823393689127608</v>
      </c>
      <c r="BU85" s="20">
        <f t="shared" si="343"/>
        <v>0.13670633601663001</v>
      </c>
      <c r="BV85" s="20">
        <f t="shared" si="343"/>
        <v>0.13734211932634099</v>
      </c>
      <c r="BW85" s="20">
        <f t="shared" si="343"/>
        <v>0.13684597738604456</v>
      </c>
      <c r="BX85" s="20">
        <f t="shared" si="343"/>
        <v>0.13738422838964326</v>
      </c>
      <c r="BY85" s="20">
        <f t="shared" si="343"/>
        <v>0.13902267960055725</v>
      </c>
      <c r="BZ85" s="20">
        <f t="shared" si="343"/>
        <v>0.13666951065194854</v>
      </c>
      <c r="CA85" s="20">
        <f t="shared" si="343"/>
        <v>0.13619313179995676</v>
      </c>
      <c r="CB85" s="20">
        <f t="shared" si="343"/>
        <v>0.13605078122230049</v>
      </c>
      <c r="CC85" s="20">
        <f t="shared" si="343"/>
        <v>0.13723786486741144</v>
      </c>
      <c r="CD85" s="20">
        <f t="shared" si="343"/>
        <v>0.13588468947740379</v>
      </c>
      <c r="CE85" s="20">
        <f t="shared" si="343"/>
        <v>0.13337246916945267</v>
      </c>
      <c r="CF85" s="20">
        <f t="shared" si="343"/>
        <v>0.13759736259186284</v>
      </c>
      <c r="CG85" s="20">
        <f t="shared" si="343"/>
        <v>0.13601441779175441</v>
      </c>
      <c r="CH85" s="20">
        <f t="shared" si="343"/>
        <v>0.13649242506700943</v>
      </c>
      <c r="CI85" s="20">
        <f t="shared" si="343"/>
        <v>0.1359064704652885</v>
      </c>
      <c r="CJ85" s="20">
        <f t="shared" si="343"/>
        <v>0.13644237545567628</v>
      </c>
      <c r="CK85" s="20">
        <f t="shared" si="343"/>
        <v>0.13787870420681955</v>
      </c>
      <c r="CL85" s="20">
        <f t="shared" ref="CL85:CW85" si="344">CL81/CL30</f>
        <v>0.1345066650922849</v>
      </c>
      <c r="CM85" s="20">
        <f t="shared" si="344"/>
        <v>0.1340325224308096</v>
      </c>
      <c r="CN85" s="20">
        <f t="shared" si="344"/>
        <v>0.13388762752307748</v>
      </c>
      <c r="CO85" s="20">
        <f t="shared" si="344"/>
        <v>0.13501843959104262</v>
      </c>
      <c r="CP85" s="20">
        <f t="shared" si="344"/>
        <v>0.13372239128815522</v>
      </c>
      <c r="CQ85" s="20">
        <f t="shared" si="344"/>
        <v>0.13126261726215674</v>
      </c>
      <c r="CR85" s="20">
        <f t="shared" si="344"/>
        <v>0.13533409589976858</v>
      </c>
      <c r="CS85" s="20">
        <f t="shared" si="344"/>
        <v>0.13380021034039186</v>
      </c>
      <c r="CT85" s="20">
        <f t="shared" si="344"/>
        <v>0.13419795330574932</v>
      </c>
      <c r="CU85" s="20">
        <f t="shared" si="344"/>
        <v>0.13360904659233158</v>
      </c>
      <c r="CV85" s="20">
        <f t="shared" si="344"/>
        <v>0.13416071968351695</v>
      </c>
      <c r="CW85" s="20">
        <f t="shared" si="344"/>
        <v>0.13552371799449597</v>
      </c>
      <c r="CX85" s="168"/>
      <c r="CY85" s="20">
        <f t="shared" si="343"/>
        <v>9.2709122243495867E-2</v>
      </c>
      <c r="CZ85" s="20">
        <f t="shared" si="343"/>
        <v>9.4302682810753935E-2</v>
      </c>
      <c r="DA85" s="20">
        <f t="shared" si="343"/>
        <v>9.1876407607539429E-2</v>
      </c>
      <c r="DB85" s="20">
        <f t="shared" si="343"/>
        <v>0.13192820853633191</v>
      </c>
      <c r="DC85" s="20">
        <f t="shared" si="343"/>
        <v>0.13889709733769562</v>
      </c>
      <c r="DD85" s="20">
        <f t="shared" si="343"/>
        <v>0.1344855394526496</v>
      </c>
      <c r="DE85" s="20">
        <f t="shared" si="343"/>
        <v>0.1403682347273168</v>
      </c>
      <c r="DF85" s="20">
        <f t="shared" si="343"/>
        <v>0.13262392666899139</v>
      </c>
      <c r="DG85" s="20">
        <f t="shared" si="343"/>
        <v>0.13088765742810946</v>
      </c>
      <c r="DH85" s="20">
        <f t="shared" si="343"/>
        <v>0.13583527562269412</v>
      </c>
      <c r="DI85" s="20">
        <f t="shared" si="343"/>
        <v>0.13509735005932541</v>
      </c>
      <c r="DJ85" s="20">
        <f t="shared" si="343"/>
        <v>0.12093088602023241</v>
      </c>
      <c r="DK85" s="20">
        <f t="shared" si="343"/>
        <v>0.1367612653509587</v>
      </c>
      <c r="DL85" s="20">
        <f t="shared" si="343"/>
        <v>0.13608894478170422</v>
      </c>
      <c r="DM85" s="20">
        <f t="shared" si="343"/>
        <v>0.13743581496219637</v>
      </c>
      <c r="DN85" s="20">
        <f t="shared" si="343"/>
        <v>0.13777291104572764</v>
      </c>
      <c r="DO85" s="20">
        <f t="shared" si="343"/>
        <v>0.13630603386153067</v>
      </c>
      <c r="DP85" s="20">
        <f t="shared" si="343"/>
        <v>0.13556705805984168</v>
      </c>
      <c r="DQ85" s="20">
        <f t="shared" si="343"/>
        <v>0.13670439728789308</v>
      </c>
      <c r="DR85" s="20">
        <f t="shared" si="343"/>
        <v>0.13675763348489306</v>
      </c>
      <c r="DS85" s="20">
        <f t="shared" si="343"/>
        <v>0.13414388929833196</v>
      </c>
      <c r="DT85" s="20">
        <f t="shared" si="343"/>
        <v>0.13340033648549821</v>
      </c>
      <c r="DU85" s="20">
        <f t="shared" si="343"/>
        <v>0.13444439357201238</v>
      </c>
      <c r="DV85" s="20">
        <f t="shared" si="343"/>
        <v>0.13444441811753285</v>
      </c>
      <c r="DW85" s="771"/>
      <c r="DX85" s="20">
        <f t="shared" si="343"/>
        <v>0.10191382621949104</v>
      </c>
      <c r="DY85" s="20">
        <f t="shared" si="343"/>
        <v>0.13637905883555787</v>
      </c>
      <c r="DZ85" s="20">
        <f t="shared" si="343"/>
        <v>0.12996673776706344</v>
      </c>
      <c r="EA85" s="20">
        <f t="shared" si="343"/>
        <v>0.13707441230137749</v>
      </c>
      <c r="EB85" s="20">
        <f t="shared" si="343"/>
        <v>0.13636915130908761</v>
      </c>
      <c r="EC85" s="20">
        <f t="shared" si="343"/>
        <v>0.13413744356968033</v>
      </c>
    </row>
    <row r="86" spans="2:133" x14ac:dyDescent="0.2">
      <c r="B86" s="22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68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X86" s="19"/>
      <c r="DY86" s="19"/>
      <c r="DZ86" s="19"/>
      <c r="EA86" s="19"/>
      <c r="EB86" s="19"/>
      <c r="EC86" s="770"/>
    </row>
    <row r="87" spans="2:133" x14ac:dyDescent="0.2">
      <c r="B87" s="212" t="s">
        <v>40</v>
      </c>
      <c r="C87" s="199">
        <f>C88+C89</f>
        <v>5099927.9436650984</v>
      </c>
      <c r="D87" s="199">
        <f t="shared" ref="D87:BO87" si="345">D88+D89</f>
        <v>4920131.7830556408</v>
      </c>
      <c r="E87" s="199">
        <f t="shared" si="345"/>
        <v>6682886.8266057344</v>
      </c>
      <c r="F87" s="199">
        <f t="shared" si="345"/>
        <v>6733609.0152333705</v>
      </c>
      <c r="G87" s="199">
        <f t="shared" si="345"/>
        <v>5834736.3944168286</v>
      </c>
      <c r="H87" s="199">
        <f t="shared" si="345"/>
        <v>4977365.0938368468</v>
      </c>
      <c r="I87" s="199">
        <f t="shared" si="345"/>
        <v>6962819.7638107445</v>
      </c>
      <c r="J87" s="199">
        <f t="shared" si="345"/>
        <v>8205884.6848872975</v>
      </c>
      <c r="K87" s="199">
        <f t="shared" si="345"/>
        <v>9183365.1302121989</v>
      </c>
      <c r="L87" s="199">
        <f t="shared" si="345"/>
        <v>11592740.848878017</v>
      </c>
      <c r="M87" s="199">
        <f t="shared" si="345"/>
        <v>12358285.179206641</v>
      </c>
      <c r="N87" s="199">
        <f t="shared" si="345"/>
        <v>14081501.508064022</v>
      </c>
      <c r="O87" s="199">
        <f t="shared" si="345"/>
        <v>14616240.039735414</v>
      </c>
      <c r="P87" s="199">
        <f t="shared" si="345"/>
        <v>14871536.668935882</v>
      </c>
      <c r="Q87" s="199">
        <f t="shared" si="345"/>
        <v>17574359.599352561</v>
      </c>
      <c r="R87" s="199">
        <f t="shared" si="345"/>
        <v>19344626.734018013</v>
      </c>
      <c r="S87" s="199">
        <f t="shared" si="345"/>
        <v>21200386.586958133</v>
      </c>
      <c r="T87" s="199">
        <f t="shared" si="345"/>
        <v>22974217.35612924</v>
      </c>
      <c r="U87" s="199">
        <f t="shared" si="345"/>
        <v>24433364.241761487</v>
      </c>
      <c r="V87" s="199">
        <f t="shared" si="345"/>
        <v>26791083.839486737</v>
      </c>
      <c r="W87" s="199">
        <f t="shared" si="345"/>
        <v>29557617.849301424</v>
      </c>
      <c r="X87" s="199">
        <f t="shared" si="345"/>
        <v>30685263.88328224</v>
      </c>
      <c r="Y87" s="199">
        <f t="shared" si="345"/>
        <v>32307685.250480745</v>
      </c>
      <c r="Z87" s="199">
        <f t="shared" si="345"/>
        <v>35287965.726696678</v>
      </c>
      <c r="AA87" s="199">
        <f t="shared" si="345"/>
        <v>37469001.05962415</v>
      </c>
      <c r="AB87" s="199">
        <f t="shared" si="345"/>
        <v>36612224.616207808</v>
      </c>
      <c r="AC87" s="199">
        <f t="shared" si="345"/>
        <v>38072753.117350116</v>
      </c>
      <c r="AD87" s="199">
        <f t="shared" si="345"/>
        <v>41229810.069595516</v>
      </c>
      <c r="AE87" s="199">
        <f t="shared" si="345"/>
        <v>40944881.611584306</v>
      </c>
      <c r="AF87" s="199">
        <f t="shared" si="345"/>
        <v>43146189.813233897</v>
      </c>
      <c r="AG87" s="199">
        <f t="shared" si="345"/>
        <v>40901161.224612594</v>
      </c>
      <c r="AH87" s="199">
        <f t="shared" si="345"/>
        <v>40556599.402128868</v>
      </c>
      <c r="AI87" s="199">
        <f t="shared" si="345"/>
        <v>39666422.922983363</v>
      </c>
      <c r="AJ87" s="199">
        <f t="shared" si="345"/>
        <v>41249140.391345382</v>
      </c>
      <c r="AK87" s="199">
        <f t="shared" si="345"/>
        <v>41997939.064145736</v>
      </c>
      <c r="AL87" s="199">
        <f t="shared" si="345"/>
        <v>41942065.922505043</v>
      </c>
      <c r="AM87" s="199">
        <f t="shared" si="345"/>
        <v>40176193.21436432</v>
      </c>
      <c r="AN87" s="199">
        <f t="shared" si="345"/>
        <v>36667484.807361409</v>
      </c>
      <c r="AO87" s="199">
        <f t="shared" si="345"/>
        <v>37620876.564093038</v>
      </c>
      <c r="AP87" s="199">
        <f t="shared" si="345"/>
        <v>40013492.008101061</v>
      </c>
      <c r="AQ87" s="199">
        <f t="shared" si="345"/>
        <v>41170666.761608526</v>
      </c>
      <c r="AR87" s="199">
        <f t="shared" si="345"/>
        <v>40752455.77916459</v>
      </c>
      <c r="AS87" s="199">
        <f t="shared" si="345"/>
        <v>40629700.48347754</v>
      </c>
      <c r="AT87" s="199">
        <f t="shared" si="345"/>
        <v>40456894.703057408</v>
      </c>
      <c r="AU87" s="199">
        <f t="shared" si="345"/>
        <v>39090204.941205487</v>
      </c>
      <c r="AV87" s="199">
        <f t="shared" si="345"/>
        <v>40079213.319060832</v>
      </c>
      <c r="AW87" s="199">
        <f t="shared" si="345"/>
        <v>40852515.029706016</v>
      </c>
      <c r="AX87" s="199">
        <f t="shared" si="345"/>
        <v>42084929.893786117</v>
      </c>
      <c r="AY87" s="199">
        <f t="shared" si="345"/>
        <v>42684678.511083111</v>
      </c>
      <c r="AZ87" s="199">
        <f t="shared" si="345"/>
        <v>43885393.880015194</v>
      </c>
      <c r="BA87" s="199">
        <f t="shared" si="345"/>
        <v>49537630.576941565</v>
      </c>
      <c r="BB87" s="199">
        <f t="shared" si="345"/>
        <v>52263259.88433072</v>
      </c>
      <c r="BC87" s="199">
        <f t="shared" si="345"/>
        <v>51624330.255842417</v>
      </c>
      <c r="BD87" s="199">
        <f t="shared" si="345"/>
        <v>54553084.744503506</v>
      </c>
      <c r="BE87" s="199">
        <f t="shared" si="345"/>
        <v>58872570.47164306</v>
      </c>
      <c r="BF87" s="199">
        <f t="shared" si="345"/>
        <v>59294682.343570121</v>
      </c>
      <c r="BG87" s="199">
        <f t="shared" si="345"/>
        <v>60057906.342861913</v>
      </c>
      <c r="BH87" s="199">
        <f t="shared" si="345"/>
        <v>66172909.326547474</v>
      </c>
      <c r="BI87" s="199">
        <f t="shared" si="345"/>
        <v>64399478.430268504</v>
      </c>
      <c r="BJ87" s="199">
        <f t="shared" si="345"/>
        <v>70280674.586278006</v>
      </c>
      <c r="BK87" s="199">
        <f t="shared" si="345"/>
        <v>74032113.496049747</v>
      </c>
      <c r="BL87" s="199">
        <f t="shared" si="345"/>
        <v>72394782.049494028</v>
      </c>
      <c r="BM87" s="199">
        <f t="shared" si="345"/>
        <v>75882675.839217842</v>
      </c>
      <c r="BN87" s="199">
        <f t="shared" si="345"/>
        <v>81932285.215512127</v>
      </c>
      <c r="BO87" s="199">
        <f t="shared" si="345"/>
        <v>81717695.45996359</v>
      </c>
      <c r="BP87" s="199">
        <f t="shared" ref="BP87:CK87" si="346">BP88+BP89</f>
        <v>81656097.750741258</v>
      </c>
      <c r="BQ87" s="199">
        <f t="shared" si="346"/>
        <v>82365985.588163733</v>
      </c>
      <c r="BR87" s="199">
        <f t="shared" si="346"/>
        <v>81270650.670677364</v>
      </c>
      <c r="BS87" s="199">
        <f t="shared" si="346"/>
        <v>80564567.669962153</v>
      </c>
      <c r="BT87" s="199">
        <f t="shared" si="346"/>
        <v>82577288.847054854</v>
      </c>
      <c r="BU87" s="199">
        <f t="shared" si="346"/>
        <v>81760488.12705566</v>
      </c>
      <c r="BV87" s="199">
        <f t="shared" si="346"/>
        <v>83474081.135645211</v>
      </c>
      <c r="BW87" s="199">
        <f t="shared" si="346"/>
        <v>83722282.018893749</v>
      </c>
      <c r="BX87" s="199">
        <f t="shared" si="346"/>
        <v>82909218.884241089</v>
      </c>
      <c r="BY87" s="199">
        <f t="shared" si="346"/>
        <v>84422973.026271939</v>
      </c>
      <c r="BZ87" s="199">
        <f t="shared" si="346"/>
        <v>91430925.141917571</v>
      </c>
      <c r="CA87" s="199">
        <f t="shared" si="346"/>
        <v>91206024.082912624</v>
      </c>
      <c r="CB87" s="199">
        <f t="shared" si="346"/>
        <v>91104908.756880522</v>
      </c>
      <c r="CC87" s="199">
        <f t="shared" si="346"/>
        <v>91918273.691287458</v>
      </c>
      <c r="CD87" s="199">
        <f t="shared" si="346"/>
        <v>90655714.13870883</v>
      </c>
      <c r="CE87" s="199">
        <f t="shared" si="346"/>
        <v>89849085.209841445</v>
      </c>
      <c r="CF87" s="199">
        <f t="shared" si="346"/>
        <v>92118233.293717936</v>
      </c>
      <c r="CG87" s="199">
        <f t="shared" si="346"/>
        <v>91154055.513140291</v>
      </c>
      <c r="CH87" s="199">
        <f t="shared" si="346"/>
        <v>93086001.991661862</v>
      </c>
      <c r="CI87" s="199">
        <f t="shared" si="346"/>
        <v>93338970.805270806</v>
      </c>
      <c r="CJ87" s="199">
        <f t="shared" si="346"/>
        <v>92375355.094431862</v>
      </c>
      <c r="CK87" s="199">
        <f t="shared" si="346"/>
        <v>94004660.052752271</v>
      </c>
      <c r="CL87" s="199">
        <f t="shared" ref="CL87:CW87" si="347">CL88+CL89</f>
        <v>101506177.1653025</v>
      </c>
      <c r="CM87" s="199">
        <f t="shared" si="347"/>
        <v>101251566.93511966</v>
      </c>
      <c r="CN87" s="199">
        <f t="shared" si="347"/>
        <v>101136133.36811915</v>
      </c>
      <c r="CO87" s="199">
        <f t="shared" si="347"/>
        <v>102036499.90817901</v>
      </c>
      <c r="CP87" s="199">
        <f t="shared" si="347"/>
        <v>100629793.83645028</v>
      </c>
      <c r="CQ87" s="199">
        <f t="shared" si="347"/>
        <v>99736200.289736107</v>
      </c>
      <c r="CR87" s="199">
        <f t="shared" si="347"/>
        <v>102244830.99163049</v>
      </c>
      <c r="CS87" s="199">
        <f t="shared" si="347"/>
        <v>101172768.52294834</v>
      </c>
      <c r="CT87" s="199">
        <f t="shared" si="347"/>
        <v>103321188.86421476</v>
      </c>
      <c r="CU87" s="199">
        <f t="shared" si="347"/>
        <v>103603221.4416393</v>
      </c>
      <c r="CV87" s="199">
        <f t="shared" si="347"/>
        <v>102523605.69289806</v>
      </c>
      <c r="CW87" s="199">
        <f t="shared" si="347"/>
        <v>104336113.51287854</v>
      </c>
      <c r="CX87" s="168"/>
      <c r="CY87" s="199">
        <f t="shared" ref="CY87:CY99" si="348">SUM(AD87:AF87)</f>
        <v>125320881.49441372</v>
      </c>
      <c r="CZ87" s="199">
        <f t="shared" ref="CZ87:CZ99" si="349">SUM(AG87:AI87)</f>
        <v>121124183.54972483</v>
      </c>
      <c r="DA87" s="199">
        <f t="shared" ref="DA87:DA99" si="350">SUM(AJ87:AL87)</f>
        <v>125189145.37799618</v>
      </c>
      <c r="DB87" s="199">
        <f t="shared" ref="DB87:DB99" si="351">SUM(AM87:AO87)</f>
        <v>114464554.58581877</v>
      </c>
      <c r="DC87" s="199">
        <f t="shared" ref="DC87:DC99" si="352">SUM(AP87:AR87)</f>
        <v>121936614.54887417</v>
      </c>
      <c r="DD87" s="199">
        <f t="shared" ref="DD87:DD99" si="353">SUM(AS87:AU87)</f>
        <v>120176800.12774043</v>
      </c>
      <c r="DE87" s="199">
        <f t="shared" ref="DE87:DE99" si="354">SUM(AV87:AX87)</f>
        <v>123016658.24255297</v>
      </c>
      <c r="DF87" s="199">
        <f t="shared" ref="DF87:DF99" si="355">SUM(AY87:BA87)</f>
        <v>136107702.96803987</v>
      </c>
      <c r="DG87" s="199">
        <f t="shared" ref="DG87:DG99" si="356">SUM(BB87:BD87)</f>
        <v>158440674.88467664</v>
      </c>
      <c r="DH87" s="199">
        <f t="shared" ref="DH87:DH99" si="357">SUM(BE87:BG87)</f>
        <v>178225159.15807509</v>
      </c>
      <c r="DI87" s="199">
        <f t="shared" ref="DI87:DI99" si="358">SUM(BH87:BJ87)</f>
        <v>200853062.34309399</v>
      </c>
      <c r="DJ87" s="199">
        <f t="shared" ref="DJ87:DJ99" si="359">SUM(BK87:BM87)</f>
        <v>222309571.38476163</v>
      </c>
      <c r="DK87" s="199">
        <f t="shared" ref="DK87:DK99" si="360">SUM(BN87:BP87)</f>
        <v>245306078.42621696</v>
      </c>
      <c r="DL87" s="199">
        <f t="shared" ref="DL87:DL99" si="361">SUM(BQ87:BS87)</f>
        <v>244201203.92880327</v>
      </c>
      <c r="DM87" s="199">
        <f t="shared" ref="DM87:DM99" si="362">SUM(BT87:BV87)</f>
        <v>247811858.10975572</v>
      </c>
      <c r="DN87" s="199">
        <f t="shared" ref="DN87:DN99" si="363">SUM(BW87:BY87)</f>
        <v>251054473.92940676</v>
      </c>
      <c r="DO87" s="199">
        <f t="shared" ref="DO87:DO99" si="364">SUM(BZ87:CB87)</f>
        <v>273741857.98171073</v>
      </c>
      <c r="DP87" s="199">
        <f t="shared" ref="DP87:DP99" si="365">SUM(CC87:CE87)</f>
        <v>272423073.03983772</v>
      </c>
      <c r="DQ87" s="199">
        <f t="shared" ref="DQ87:DQ99" si="366">SUM(CF87:CH87)</f>
        <v>276358290.79852009</v>
      </c>
      <c r="DR87" s="199">
        <f t="shared" ref="DR87:DR99" si="367">SUM(CI87:CK87)</f>
        <v>279718985.95245492</v>
      </c>
      <c r="DS87" s="199">
        <f t="shared" ref="DS87:DS99" si="368">SUM(CL87:CN87)</f>
        <v>303893877.46854126</v>
      </c>
      <c r="DT87" s="199">
        <f t="shared" ref="DT87:DT99" si="369">SUM(CO87:CQ87)</f>
        <v>302402494.03436542</v>
      </c>
      <c r="DU87" s="199">
        <f t="shared" ref="DU87:DU99" si="370">SUM(CR87:CT87)</f>
        <v>306738788.3787936</v>
      </c>
      <c r="DV87" s="199">
        <f t="shared" ref="DV87:DV99" si="371">SUM(CU87:CW87)</f>
        <v>310462940.64741588</v>
      </c>
      <c r="DX87" s="199">
        <f t="shared" ref="DX87:DX99" si="372">SUM(CY87:DB87)</f>
        <v>486098765.00795352</v>
      </c>
      <c r="DY87" s="199">
        <f t="shared" ref="DY87:DY99" si="373">SUM(DC87:DF87)</f>
        <v>501237775.88720739</v>
      </c>
      <c r="DZ87" s="199">
        <f t="shared" ref="DZ87:DZ99" si="374">SUM(DG87:DJ87)</f>
        <v>759828467.77060723</v>
      </c>
      <c r="EA87" s="199">
        <f t="shared" ref="EA87:EA99" si="375">SUM(DK87:DN87)</f>
        <v>988373614.39418268</v>
      </c>
      <c r="EB87" s="199">
        <f t="shared" ref="EB87:EB99" si="376">SUM(DO87:DR87)</f>
        <v>1102242207.7725234</v>
      </c>
      <c r="EC87" s="810">
        <f t="shared" ref="EC87:EC99" si="377">SUM(DS87:DV87)</f>
        <v>1223498100.5291162</v>
      </c>
    </row>
    <row r="88" spans="2:133" x14ac:dyDescent="0.2">
      <c r="B88" s="155" t="s">
        <v>229</v>
      </c>
      <c r="C88" s="19">
        <f>'D2C - Retail'!J146+'D2C - Retail'!J152+SUM('D2C - Retail'!J148,'D2C - Retail'!J151,'D2C - Retail'!J153,'D2C - Retail'!J154)*'D2C - Retail'!J75/SUM('D2C - Retail'!J75:J78)+'D2C - Retail'!J155</f>
        <v>4753165.6903757807</v>
      </c>
      <c r="D88" s="19">
        <f>'D2C - Retail'!K146+'D2C - Retail'!K152+SUM('D2C - Retail'!K148,'D2C - Retail'!K151,'D2C - Retail'!K153,'D2C - Retail'!K154)*'D2C - Retail'!K75/SUM('D2C - Retail'!K75:K78)+'D2C - Retail'!K155</f>
        <v>4674463.3560541356</v>
      </c>
      <c r="E88" s="19">
        <f>'D2C - Retail'!L146+'D2C - Retail'!L152+SUM('D2C - Retail'!L148,'D2C - Retail'!L151,'D2C - Retail'!L153,'D2C - Retail'!L154)*'D2C - Retail'!L75/SUM('D2C - Retail'!L75:L78)+'D2C - Retail'!L155</f>
        <v>6374684.8535404801</v>
      </c>
      <c r="F88" s="19">
        <f>'D2C - Retail'!M146+'D2C - Retail'!M152+SUM('D2C - Retail'!M148,'D2C - Retail'!M151,'D2C - Retail'!M153,'D2C - Retail'!M154)*'D2C - Retail'!M75/SUM('D2C - Retail'!M75:M78)+'D2C - Retail'!M155</f>
        <v>6371537.2206837153</v>
      </c>
      <c r="G88" s="19">
        <f>'D2C - Retail'!N146+'D2C - Retail'!N152+SUM('D2C - Retail'!N148,'D2C - Retail'!N151,'D2C - Retail'!N153,'D2C - Retail'!N154)*'D2C - Retail'!N75/SUM('D2C - Retail'!N75:N78)+'D2C - Retail'!N155</f>
        <v>5523549.0793305617</v>
      </c>
      <c r="H88" s="19">
        <f>'D2C - Retail'!O146+'D2C - Retail'!O152+SUM('D2C - Retail'!O148,'D2C - Retail'!O151,'D2C - Retail'!O153,'D2C - Retail'!O154)*'D2C - Retail'!O75/SUM('D2C - Retail'!O75:O78)+'D2C - Retail'!O155</f>
        <v>4706634.7852105629</v>
      </c>
      <c r="I88" s="19">
        <f>'D2C - Retail'!P146+'D2C - Retail'!P152+SUM('D2C - Retail'!P148,'D2C - Retail'!P151,'D2C - Retail'!P153,'D2C - Retail'!P154)*'D2C - Retail'!P75/SUM('D2C - Retail'!P75:P78)+'D2C - Retail'!P155</f>
        <v>6646405.228650813</v>
      </c>
      <c r="J88" s="19">
        <f>'D2C - Retail'!Q146+'D2C - Retail'!Q152+SUM('D2C - Retail'!Q148,'D2C - Retail'!Q151,'D2C - Retail'!Q153,'D2C - Retail'!Q154)*'D2C - Retail'!Q75/SUM('D2C - Retail'!Q75:Q78)+'D2C - Retail'!Q155</f>
        <v>7934756.2268646881</v>
      </c>
      <c r="K88" s="19">
        <f>'D2C - Retail'!R146+'D2C - Retail'!R152+SUM('D2C - Retail'!R148,'D2C - Retail'!R151,'D2C - Retail'!R153,'D2C - Retail'!R154)*'D2C - Retail'!R75/SUM('D2C - Retail'!R75:R78)+'D2C - Retail'!R155</f>
        <v>8875035.1660523862</v>
      </c>
      <c r="L88" s="19">
        <f>'D2C - Retail'!S146+'D2C - Retail'!S152+SUM('D2C - Retail'!S148,'D2C - Retail'!S151,'D2C - Retail'!S153,'D2C - Retail'!S154)*'D2C - Retail'!S75/SUM('D2C - Retail'!S75:S78)+'D2C - Retail'!S155</f>
        <v>11203528.151732987</v>
      </c>
      <c r="M88" s="19">
        <f>'D2C - Retail'!T146+'D2C - Retail'!T152+SUM('D2C - Retail'!T148,'D2C - Retail'!T151,'D2C - Retail'!T153,'D2C - Retail'!T154)*'D2C - Retail'!T75/SUM('D2C - Retail'!T75:T78)+'D2C - Retail'!T155</f>
        <v>11822852.962657364</v>
      </c>
      <c r="N88" s="19">
        <f>'D2C - Retail'!U146+'D2C - Retail'!U152+SUM('D2C - Retail'!U148,'D2C - Retail'!U151,'D2C - Retail'!U153,'D2C - Retail'!U154)*'D2C - Retail'!U75/SUM('D2C - Retail'!U75:U78)+'D2C - Retail'!U155</f>
        <v>13607458.480437275</v>
      </c>
      <c r="O88" s="19">
        <f>'D2C - Retail'!V146+'D2C - Retail'!V152+SUM('D2C - Retail'!V148,'D2C - Retail'!V151,'D2C - Retail'!V153,'D2C - Retail'!V154)*'D2C - Retail'!V75/SUM('D2C - Retail'!V75:V78)+'D2C - Retail'!V155</f>
        <v>13985604.718552444</v>
      </c>
      <c r="P88" s="19">
        <f>'D2C - Retail'!W146+'D2C - Retail'!W152+SUM('D2C - Retail'!W148,'D2C - Retail'!W151,'D2C - Retail'!W153,'D2C - Retail'!W154)*'D2C - Retail'!W75/SUM('D2C - Retail'!W75:W78)+'D2C - Retail'!W155</f>
        <v>14230983.50493785</v>
      </c>
      <c r="Q88" s="19">
        <f>'D2C - Retail'!X146+'D2C - Retail'!X152+SUM('D2C - Retail'!X148,'D2C - Retail'!X151,'D2C - Retail'!X153,'D2C - Retail'!X154)*'D2C - Retail'!X75/SUM('D2C - Retail'!X75:X78)+'D2C - Retail'!X155</f>
        <v>16995823.42029516</v>
      </c>
      <c r="R88" s="19">
        <f>'D2C - Retail'!Y146+'D2C - Retail'!Y152+SUM('D2C - Retail'!Y148,'D2C - Retail'!Y151,'D2C - Retail'!Y153,'D2C - Retail'!Y154)*'D2C - Retail'!Y75/SUM('D2C - Retail'!Y75:Y78)+'D2C - Retail'!Y155</f>
        <v>18635308.213994198</v>
      </c>
      <c r="S88" s="19">
        <f>'D2C - Retail'!Z146+'D2C - Retail'!Z152+SUM('D2C - Retail'!Z148,'D2C - Retail'!Z151,'D2C - Retail'!Z153,'D2C - Retail'!Z154)*'D2C - Retail'!Z75/SUM('D2C - Retail'!Z75:Z78)+'D2C - Retail'!Z155</f>
        <v>20042152.375131488</v>
      </c>
      <c r="T88" s="19">
        <f>'D2C - Retail'!AA146+'D2C - Retail'!AA152+SUM('D2C - Retail'!AA148,'D2C - Retail'!AA151,'D2C - Retail'!AA153,'D2C - Retail'!AA154)*'D2C - Retail'!AA75/SUM('D2C - Retail'!AA75:AA78)+'D2C - Retail'!AA155</f>
        <v>22077394.924002416</v>
      </c>
      <c r="U88" s="19">
        <f>'D2C - Retail'!AB146+'D2C - Retail'!AB152+SUM('D2C - Retail'!AB148,'D2C - Retail'!AB151,'D2C - Retail'!AB153,'D2C - Retail'!AB154)*'D2C - Retail'!AB75/SUM('D2C - Retail'!AB75:AB78)+'D2C - Retail'!AB155</f>
        <v>23483965.246608477</v>
      </c>
      <c r="V88" s="19">
        <f>'D2C - Retail'!AC146+'D2C - Retail'!AC152+SUM('D2C - Retail'!AC148,'D2C - Retail'!AC151,'D2C - Retail'!AC153,'D2C - Retail'!AC154)*'D2C - Retail'!AC75/SUM('D2C - Retail'!AC75:AC78)+'D2C - Retail'!AC155</f>
        <v>25429309.781691555</v>
      </c>
      <c r="W88" s="19">
        <f>'D2C - Retail'!AD146+'D2C - Retail'!AD152+SUM('D2C - Retail'!AD148,'D2C - Retail'!AD151,'D2C - Retail'!AD153,'D2C - Retail'!AD154)*'D2C - Retail'!AD75/SUM('D2C - Retail'!AD75:AD78)+'D2C - Retail'!AD155</f>
        <v>27957240.722971465</v>
      </c>
      <c r="X88" s="19">
        <f>'D2C - Retail'!AE146+'D2C - Retail'!AE152+SUM('D2C - Retail'!AE148,'D2C - Retail'!AE151,'D2C - Retail'!AE153,'D2C - Retail'!AE154)*'D2C - Retail'!AE75/SUM('D2C - Retail'!AE75:AE78)+'D2C - Retail'!AE155</f>
        <v>29040472.26372806</v>
      </c>
      <c r="Y88" s="19">
        <f>'D2C - Retail'!AF146+'D2C - Retail'!AF152+SUM('D2C - Retail'!AF148,'D2C - Retail'!AF151,'D2C - Retail'!AF153,'D2C - Retail'!AF154)*'D2C - Retail'!AF75/SUM('D2C - Retail'!AF75:AF78)+'D2C - Retail'!AF155</f>
        <v>31053418.335487321</v>
      </c>
      <c r="Z88" s="19">
        <f>'D2C - Retail'!AG146+'D2C - Retail'!AG152+SUM('D2C - Retail'!AG148,'D2C - Retail'!AG151,'D2C - Retail'!AG153,'D2C - Retail'!AG154)*'D2C - Retail'!AG75/SUM('D2C - Retail'!AG75:AG78)+'D2C - Retail'!AG155</f>
        <v>33149773.215587366</v>
      </c>
      <c r="AA88" s="19">
        <f>'D2C - Retail'!AH146+'D2C - Retail'!AH152+SUM('D2C - Retail'!AH148,'D2C - Retail'!AH151,'D2C - Retail'!AH153,'D2C - Retail'!AH154)*'D2C - Retail'!AH75/SUM('D2C - Retail'!AH75:AH78)+'D2C - Retail'!AH155</f>
        <v>35482311.968636513</v>
      </c>
      <c r="AB88" s="19">
        <f>'D2C - Retail'!AI146+'D2C - Retail'!AI152+SUM('D2C - Retail'!AI148,'D2C - Retail'!AI151,'D2C - Retail'!AI153,'D2C - Retail'!AI154)*'D2C - Retail'!AI75/SUM('D2C - Retail'!AI75:AI78)+'D2C - Retail'!AI155</f>
        <v>34866973.564206146</v>
      </c>
      <c r="AC88" s="19">
        <f>'D2C - Retail'!AJ146+'D2C - Retail'!AJ152+SUM('D2C - Retail'!AJ148,'D2C - Retail'!AJ151,'D2C - Retail'!AJ153,'D2C - Retail'!AJ154)*'D2C - Retail'!AJ75/SUM('D2C - Retail'!AJ75:AJ78)+'D2C - Retail'!AJ155</f>
        <v>36470261.873430558</v>
      </c>
      <c r="AD88" s="19">
        <f>'D2C - Retail'!AK146+'D2C - Retail'!AK152+SUM('D2C - Retail'!AK148,'D2C - Retail'!AK151,'D2C - Retail'!AK153,'D2C - Retail'!AK154)*'D2C - Retail'!AK75/SUM('D2C - Retail'!AK75:AK78)+'D2C - Retail'!AK155</f>
        <v>32515136.235001609</v>
      </c>
      <c r="AE88" s="19">
        <f>'D2C - Retail'!AL146+'D2C - Retail'!AL152+SUM('D2C - Retail'!AL148,'D2C - Retail'!AL151,'D2C - Retail'!AL153,'D2C - Retail'!AL154)*'D2C - Retail'!AL75/SUM('D2C - Retail'!AL75:AL78)+'D2C - Retail'!AL155</f>
        <v>32556947.280566156</v>
      </c>
      <c r="AF88" s="19">
        <f>'D2C - Retail'!AM146+'D2C - Retail'!AM152+SUM('D2C - Retail'!AM148,'D2C - Retail'!AM151,'D2C - Retail'!AM153,'D2C - Retail'!AM154)*'D2C - Retail'!AM75/SUM('D2C - Retail'!AM75:AM78)+'D2C - Retail'!AM155</f>
        <v>34410793.639984414</v>
      </c>
      <c r="AG88" s="19">
        <f>'D2C - Retail'!AN146+'D2C - Retail'!AN152+SUM('D2C - Retail'!AN148,'D2C - Retail'!AN151,'D2C - Retail'!AN153,'D2C - Retail'!AN154)*'D2C - Retail'!AN75/SUM('D2C - Retail'!AN75:AN78)+'D2C - Retail'!AN155</f>
        <v>32355297.4211151</v>
      </c>
      <c r="AH88" s="19">
        <f>'D2C - Retail'!AO146+'D2C - Retail'!AO152+SUM('D2C - Retail'!AO148,'D2C - Retail'!AO151,'D2C - Retail'!AO153,'D2C - Retail'!AO154)*'D2C - Retail'!AO75/SUM('D2C - Retail'!AO75:AO78)+'D2C - Retail'!AO155</f>
        <v>32249560.428191435</v>
      </c>
      <c r="AI88" s="19">
        <f>'D2C - Retail'!AP146+'D2C - Retail'!AP152+SUM('D2C - Retail'!AP148,'D2C - Retail'!AP151,'D2C - Retail'!AP153,'D2C - Retail'!AP154)*'D2C - Retail'!AP75/SUM('D2C - Retail'!AP75:AP78)+'D2C - Retail'!AP155</f>
        <v>31567092.767197441</v>
      </c>
      <c r="AJ88" s="19">
        <f>'D2C - Retail'!AQ146+'D2C - Retail'!AQ152+SUM('D2C - Retail'!AQ148,'D2C - Retail'!AQ151,'D2C - Retail'!AQ153,'D2C - Retail'!AQ154)*'D2C - Retail'!AQ75/SUM('D2C - Retail'!AQ75:AQ78)+'D2C - Retail'!AQ155</f>
        <v>33134486.697742023</v>
      </c>
      <c r="AK88" s="19">
        <f>'D2C - Retail'!AR146+'D2C - Retail'!AR152+SUM('D2C - Retail'!AR148,'D2C - Retail'!AR151,'D2C - Retail'!AR153,'D2C - Retail'!AR154)*'D2C - Retail'!AR75/SUM('D2C - Retail'!AR75:AR78)+'D2C - Retail'!AR155</f>
        <v>33119306.977532577</v>
      </c>
      <c r="AL88" s="19">
        <f>'D2C - Retail'!AS146+'D2C - Retail'!AS152+SUM('D2C - Retail'!AS148,'D2C - Retail'!AS151,'D2C - Retail'!AS153,'D2C - Retail'!AS154)*'D2C - Retail'!AS75/SUM('D2C - Retail'!AS75:AS78)+'D2C - Retail'!AS155</f>
        <v>32946690.285305019</v>
      </c>
      <c r="AM88" s="19">
        <f>'D2C - Retail'!AT146+'D2C - Retail'!AT152+SUM('D2C - Retail'!AT148,'D2C - Retail'!AT151,'D2C - Retail'!AT153,'D2C - Retail'!AT154)*'D2C - Retail'!AT75/SUM('D2C - Retail'!AT75:AT78)+'D2C - Retail'!AT155</f>
        <v>31611275.571662761</v>
      </c>
      <c r="AN88" s="19">
        <f>'D2C - Retail'!AU146+'D2C - Retail'!AU152+SUM('D2C - Retail'!AU148,'D2C - Retail'!AU151,'D2C - Retail'!AU153,'D2C - Retail'!AU154)*'D2C - Retail'!AU75/SUM('D2C - Retail'!AU75:AU78)+'D2C - Retail'!AU155</f>
        <v>28479053.384929843</v>
      </c>
      <c r="AO88" s="19">
        <f>'D2C - Retail'!AV146+'D2C - Retail'!AV152+SUM('D2C - Retail'!AV148,'D2C - Retail'!AV151,'D2C - Retail'!AV153,'D2C - Retail'!AV154)*'D2C - Retail'!AV75/SUM('D2C - Retail'!AV75:AV78)+'D2C - Retail'!AV155</f>
        <v>29369561.740658477</v>
      </c>
      <c r="AP88" s="19">
        <f>'D2C - Retail'!AW146+'D2C - Retail'!AW152+SUM('D2C - Retail'!AW148,'D2C - Retail'!AW151,'D2C - Retail'!AW153,'D2C - Retail'!AW154)*'D2C - Retail'!AW75/SUM('D2C - Retail'!AW75:AW78)+'D2C - Retail'!AW155</f>
        <v>30764410.562567636</v>
      </c>
      <c r="AQ88" s="19">
        <f>'D2C - Retail'!AX146+'D2C - Retail'!AX152+SUM('D2C - Retail'!AX148,'D2C - Retail'!AX151,'D2C - Retail'!AX153,'D2C - Retail'!AX154)*'D2C - Retail'!AX75/SUM('D2C - Retail'!AX75:AX78)+'D2C - Retail'!AX155</f>
        <v>32096729.884609759</v>
      </c>
      <c r="AR88" s="19">
        <f>'D2C - Retail'!AY146+'D2C - Retail'!AY152+SUM('D2C - Retail'!AY148,'D2C - Retail'!AY151,'D2C - Retail'!AY153,'D2C - Retail'!AY154)*'D2C - Retail'!AY75/SUM('D2C - Retail'!AY75:AY78)+'D2C - Retail'!AY155</f>
        <v>31746095.444525994</v>
      </c>
      <c r="AS88" s="19">
        <f>'D2C - Retail'!AZ146+'D2C - Retail'!AZ152+SUM('D2C - Retail'!AZ148,'D2C - Retail'!AZ151,'D2C - Retail'!AZ153,'D2C - Retail'!AZ154)*'D2C - Retail'!AZ75/SUM('D2C - Retail'!AZ75:AZ78)+'D2C - Retail'!AZ155</f>
        <v>31438822.587058172</v>
      </c>
      <c r="AT88" s="19">
        <f>'D2C - Retail'!BA146+'D2C - Retail'!BA152+SUM('D2C - Retail'!BA148,'D2C - Retail'!BA151,'D2C - Retail'!BA153,'D2C - Retail'!BA154)*'D2C - Retail'!BA75/SUM('D2C - Retail'!BA75:BA78)+'D2C - Retail'!BA155</f>
        <v>31706675.937773522</v>
      </c>
      <c r="AU88" s="19">
        <f>'D2C - Retail'!BB146+'D2C - Retail'!BB152+SUM('D2C - Retail'!BB148,'D2C - Retail'!BB151,'D2C - Retail'!BB153,'D2C - Retail'!BB154)*'D2C - Retail'!BB75/SUM('D2C - Retail'!BB75:BB78)+'D2C - Retail'!BB155</f>
        <v>30432179.073025465</v>
      </c>
      <c r="AV88" s="19">
        <f>'D2C - Retail'!BC146+'D2C - Retail'!BC152+SUM('D2C - Retail'!BC148,'D2C - Retail'!BC151,'D2C - Retail'!BC153,'D2C - Retail'!BC154)*'D2C - Retail'!BC75/SUM('D2C - Retail'!BC75:BC78)+'D2C - Retail'!BC155</f>
        <v>34258833.434635565</v>
      </c>
      <c r="AW88" s="19">
        <f>'D2C - Retail'!BD146+'D2C - Retail'!BD152+SUM('D2C - Retail'!BD148,'D2C - Retail'!BD151,'D2C - Retail'!BD153,'D2C - Retail'!BD154)*'D2C - Retail'!BD75/SUM('D2C - Retail'!BD75:BD78)+'D2C - Retail'!BD155</f>
        <v>34074123.058784738</v>
      </c>
      <c r="AX88" s="19">
        <f>'D2C - Retail'!BE146+'D2C - Retail'!BE152+SUM('D2C - Retail'!BE148,'D2C - Retail'!BE151,'D2C - Retail'!BE153,'D2C - Retail'!BE154)*'D2C - Retail'!BE75/SUM('D2C - Retail'!BE75:BE78)+'D2C - Retail'!BE155</f>
        <v>36272835.496077046</v>
      </c>
      <c r="AY88" s="19">
        <f>'D2C - Retail'!BF146+'D2C - Retail'!BF152+SUM('D2C - Retail'!BF148,'D2C - Retail'!BF151,'D2C - Retail'!BF153,'D2C - Retail'!BF154)*'D2C - Retail'!BF75/SUM('D2C - Retail'!BF75:BF78)+'D2C - Retail'!BF155</f>
        <v>36663736.040545821</v>
      </c>
      <c r="AZ88" s="19">
        <f>'D2C - Retail'!BG146+'D2C - Retail'!BG152+SUM('D2C - Retail'!BG148,'D2C - Retail'!BG151,'D2C - Retail'!BG153,'D2C - Retail'!BG154)*'D2C - Retail'!BG75/SUM('D2C - Retail'!BG75:BG78)+'D2C - Retail'!BG155</f>
        <v>37785310.289613672</v>
      </c>
      <c r="BA88" s="19">
        <f>'D2C - Retail'!BH146+'D2C - Retail'!BH152+SUM('D2C - Retail'!BH148,'D2C - Retail'!BH151,'D2C - Retail'!BH153,'D2C - Retail'!BH154)*'D2C - Retail'!BH75/SUM('D2C - Retail'!BH75:BH78)+'D2C - Retail'!BH155</f>
        <v>41572406.467898116</v>
      </c>
      <c r="BB88" s="19">
        <f>'D2C - Retail'!BI146+'D2C - Retail'!BI152+SUM('D2C - Retail'!BI148,'D2C - Retail'!BI151,'D2C - Retail'!BI153,'D2C - Retail'!BI154)*'D2C - Retail'!BI75/SUM('D2C - Retail'!BI75:BI78)+'D2C - Retail'!BI155</f>
        <v>46096231.421944872</v>
      </c>
      <c r="BC88" s="19">
        <f>'D2C - Retail'!BJ146+'D2C - Retail'!BJ152+SUM('D2C - Retail'!BJ148,'D2C - Retail'!BJ151,'D2C - Retail'!BJ153,'D2C - Retail'!BJ154)*'D2C - Retail'!BJ75/SUM('D2C - Retail'!BJ75:BJ78)+'D2C - Retail'!BJ155</f>
        <v>44115304.049272761</v>
      </c>
      <c r="BD88" s="19">
        <f>'D2C - Retail'!BK146+'D2C - Retail'!BK152+SUM('D2C - Retail'!BK148,'D2C - Retail'!BK151,'D2C - Retail'!BK153,'D2C - Retail'!BK154)*'D2C - Retail'!BK75/SUM('D2C - Retail'!BK75:BK78)+'D2C - Retail'!BK155</f>
        <v>46923954.539998114</v>
      </c>
      <c r="BE88" s="19">
        <f>'D2C - Retail'!BL146+'D2C - Retail'!BL152+SUM('D2C - Retail'!BL148,'D2C - Retail'!BL151,'D2C - Retail'!BL153,'D2C - Retail'!BL154)*'D2C - Retail'!BL75/SUM('D2C - Retail'!BL75:BL78)+'D2C - Retail'!BL155</f>
        <v>49338161.672166854</v>
      </c>
      <c r="BF88" s="19">
        <f>'D2C - Retail'!BM146+'D2C - Retail'!BM152+SUM('D2C - Retail'!BM148,'D2C - Retail'!BM151,'D2C - Retail'!BM153,'D2C - Retail'!BM154)*'D2C - Retail'!BM75/SUM('D2C - Retail'!BM75:BM78)+'D2C - Retail'!BM155</f>
        <v>50887154.446853451</v>
      </c>
      <c r="BG88" s="19">
        <f>'D2C - Retail'!BN146+'D2C - Retail'!BN152+SUM('D2C - Retail'!BN148,'D2C - Retail'!BN151,'D2C - Retail'!BN153,'D2C - Retail'!BN154)*'D2C - Retail'!BN75/SUM('D2C - Retail'!BN75:BN78)+'D2C - Retail'!BN155</f>
        <v>51280781.481684387</v>
      </c>
      <c r="BH88" s="19">
        <f>'D2C - Retail'!BO146+'D2C - Retail'!BO152+SUM('D2C - Retail'!BO148,'D2C - Retail'!BO151,'D2C - Retail'!BO153,'D2C - Retail'!BO154)*'D2C - Retail'!BO75/SUM('D2C - Retail'!BO75:BO77)+'D2C - Retail'!BO155</f>
        <v>57655556.786401272</v>
      </c>
      <c r="BI88" s="19">
        <f>'D2C - Retail'!BP146+'D2C - Retail'!BP152+SUM('D2C - Retail'!BP148,'D2C - Retail'!BP151,'D2C - Retail'!BP153,'D2C - Retail'!BP154)*'D2C - Retail'!BP75/SUM('D2C - Retail'!BP75:BP77)+'D2C - Retail'!BP155</f>
        <v>56688483.967505455</v>
      </c>
      <c r="BJ88" s="19">
        <f>'D2C - Retail'!BQ146+'D2C - Retail'!BQ152+SUM('D2C - Retail'!BQ148,'D2C - Retail'!BQ151,'D2C - Retail'!BQ153,'D2C - Retail'!BQ154)*'D2C - Retail'!BQ75/SUM('D2C - Retail'!BQ75:BQ77)+'D2C - Retail'!BQ155</f>
        <v>62179746.547942616</v>
      </c>
      <c r="BK88" s="19">
        <f>'D2C - Retail'!BR146+'D2C - Retail'!BR152+SUM('D2C - Retail'!BR148,'D2C - Retail'!BR151,'D2C - Retail'!BR153,'D2C - Retail'!BR154)*'D2C - Retail'!BR75/SUM('D2C - Retail'!BR75:BR77)+'D2C - Retail'!BR155</f>
        <v>66149703.90864028</v>
      </c>
      <c r="BL88" s="19">
        <f>'D2C - Retail'!BS146+'D2C - Retail'!BS152+SUM('D2C - Retail'!BS148,'D2C - Retail'!BS151,'D2C - Retail'!BS153,'D2C - Retail'!BS154)*'D2C - Retail'!BS75/SUM('D2C - Retail'!BS75:BS77)+'D2C - Retail'!BS155</f>
        <v>64797390.888148621</v>
      </c>
      <c r="BM88" s="19">
        <f>'D2C - Retail'!BT146+'D2C - Retail'!BT152+SUM('D2C - Retail'!BT148,'D2C - Retail'!BT151,'D2C - Retail'!BT153,'D2C - Retail'!BT154)*'D2C - Retail'!BT75/SUM('D2C - Retail'!BT75:BT77)+'D2C - Retail'!BT155</f>
        <v>68638955.671987623</v>
      </c>
      <c r="BN88" s="19">
        <f>'D2C - Retail'!BU146+'D2C - Retail'!BU152+SUM('D2C - Retail'!BU148,'D2C - Retail'!BU151,'D2C - Retail'!BU153,'D2C - Retail'!BU154)*'D2C - Retail'!BU75/SUM('D2C - Retail'!BU75:BU77)+'D2C - Retail'!BU155</f>
        <v>73530698.465587169</v>
      </c>
      <c r="BO88" s="19">
        <f>'D2C - Retail'!BV146+'D2C - Retail'!BV152+SUM('D2C - Retail'!BV148,'D2C - Retail'!BV151,'D2C - Retail'!BV153,'D2C - Retail'!BV154)*'D2C - Retail'!BV75/SUM('D2C - Retail'!BV75:BV77)+'D2C - Retail'!BV155</f>
        <v>73313129.481571406</v>
      </c>
      <c r="BP88" s="19">
        <f>'D2C - Retail'!BW146+'D2C - Retail'!BW152+SUM('D2C - Retail'!BW148,'D2C - Retail'!BW151,'D2C - Retail'!BW153,'D2C - Retail'!BW154)*'D2C - Retail'!BW75/SUM('D2C - Retail'!BW75:BW77)+'D2C - Retail'!BW155</f>
        <v>73251743.315198809</v>
      </c>
      <c r="BQ88" s="19">
        <f>'D2C - Retail'!BX146+'D2C - Retail'!BX152+SUM('D2C - Retail'!BX148,'D2C - Retail'!BX151,'D2C - Retail'!BX153,'D2C - Retail'!BX154)*'D2C - Retail'!BX75/SUM('D2C - Retail'!BX75:BX77)+'D2C - Retail'!BX155</f>
        <v>73957171.124205858</v>
      </c>
      <c r="BR88" s="19">
        <f>'D2C - Retail'!BY146+'D2C - Retail'!BY152+SUM('D2C - Retail'!BY148,'D2C - Retail'!BY151,'D2C - Retail'!BY153,'D2C - Retail'!BY154)*'D2C - Retail'!BY75/SUM('D2C - Retail'!BY75:BY77)+'D2C - Retail'!BY155</f>
        <v>72879147.463256866</v>
      </c>
      <c r="BS88" s="19">
        <f>'D2C - Retail'!BZ146+'D2C - Retail'!BZ152+SUM('D2C - Retail'!BZ148,'D2C - Retail'!BZ151,'D2C - Retail'!BZ153,'D2C - Retail'!BZ154)*'D2C - Retail'!BZ75/SUM('D2C - Retail'!BZ75:BZ77)+'D2C - Retail'!BZ155</f>
        <v>72146515.834898785</v>
      </c>
      <c r="BT88" s="19">
        <f>'D2C - Retail'!CA146+'D2C - Retail'!CA152+SUM('D2C - Retail'!CA148,'D2C - Retail'!CA151,'D2C - Retail'!CA153,'D2C - Retail'!CA154)*'D2C - Retail'!CA75/SUM('D2C - Retail'!CA75:CA77)+'D2C - Retail'!CA155</f>
        <v>74167786.8688353</v>
      </c>
      <c r="BU88" s="19">
        <f>'D2C - Retail'!CB146+'D2C - Retail'!CB152+SUM('D2C - Retail'!CB148,'D2C - Retail'!CB151,'D2C - Retail'!CB153,'D2C - Retail'!CB154)*'D2C - Retail'!CB75/SUM('D2C - Retail'!CB75:CB77)+'D2C - Retail'!CB155</f>
        <v>73350281.006003633</v>
      </c>
      <c r="BV88" s="19">
        <f>'D2C - Retail'!CC146+'D2C - Retail'!CC152+SUM('D2C - Retail'!CC148,'D2C - Retail'!CC151,'D2C - Retail'!CC153,'D2C - Retail'!CC154)*'D2C - Retail'!CC75/SUM('D2C - Retail'!CC75:CC77)+'D2C - Retail'!CC155</f>
        <v>74995316.502705291</v>
      </c>
      <c r="BW88" s="19">
        <f>'D2C - Retail'!CD146+'D2C - Retail'!CD152+SUM('D2C - Retail'!CD148,'D2C - Retail'!CD151,'D2C - Retail'!CD153,'D2C - Retail'!CD154)*'D2C - Retail'!CD75/SUM('D2C - Retail'!CD75:CD77)+'D2C - Retail'!CD155</f>
        <v>75214853.32981351</v>
      </c>
      <c r="BX88" s="19">
        <f>'D2C - Retail'!CE146+'D2C - Retail'!CE152+SUM('D2C - Retail'!CE148,'D2C - Retail'!CE151,'D2C - Retail'!CE153,'D2C - Retail'!CE154)*'D2C - Retail'!CE75/SUM('D2C - Retail'!CE75:CE77)+'D2C - Retail'!CE155</f>
        <v>74458659.964600384</v>
      </c>
      <c r="BY88" s="19">
        <f>'D2C - Retail'!CF146+'D2C - Retail'!CF152+SUM('D2C - Retail'!CF148,'D2C - Retail'!CF151,'D2C - Retail'!CF153,'D2C - Retail'!CF154)*'D2C - Retail'!CF75/SUM('D2C - Retail'!CF75:CF77)+'D2C - Retail'!CF155</f>
        <v>75944878.279022872</v>
      </c>
      <c r="BZ88" s="19">
        <f>'D2C - Retail'!CG146+'D2C - Retail'!CG152+SUM('D2C - Retail'!CG148,'D2C - Retail'!CG151,'D2C - Retail'!CG153,'D2C - Retail'!CG154)*'D2C - Retail'!CG75/SUM('D2C - Retail'!CG75:CG77)+'D2C - Retail'!CG155</f>
        <v>82365079.316163793</v>
      </c>
      <c r="CA88" s="19">
        <f>'D2C - Retail'!CH146+'D2C - Retail'!CH152+SUM('D2C - Retail'!CH148,'D2C - Retail'!CH151,'D2C - Retail'!CH153,'D2C - Retail'!CH154)*'D2C - Retail'!CH75/SUM('D2C - Retail'!CH75:CH77)+'D2C - Retail'!CH155</f>
        <v>82136649.361039415</v>
      </c>
      <c r="CB88" s="19">
        <f>'D2C - Retail'!CI146+'D2C - Retail'!CI152+SUM('D2C - Retail'!CI148,'D2C - Retail'!CI151,'D2C - Retail'!CI153,'D2C - Retail'!CI154)*'D2C - Retail'!CI75/SUM('D2C - Retail'!CI75:CI77)+'D2C - Retail'!CI155</f>
        <v>82035784.607512832</v>
      </c>
      <c r="CC88" s="19">
        <f>'D2C - Retail'!CJ146+'D2C - Retail'!CJ152+SUM('D2C - Retail'!CJ148,'D2C - Retail'!CJ151,'D2C - Retail'!CJ153,'D2C - Retail'!CJ154)*'D2C - Retail'!CJ75/SUM('D2C - Retail'!CJ75:CJ77)+'D2C - Retail'!CJ155</f>
        <v>82843866.638261676</v>
      </c>
      <c r="CD88" s="19">
        <f>'D2C - Retail'!CK146+'D2C - Retail'!CK152+SUM('D2C - Retail'!CK148,'D2C - Retail'!CK151,'D2C - Retail'!CK153,'D2C - Retail'!CK154)*'D2C - Retail'!CK75/SUM('D2C - Retail'!CK75:CK77)+'D2C - Retail'!CK155</f>
        <v>81601812.269051597</v>
      </c>
      <c r="CE88" s="19">
        <f>'D2C - Retail'!CL146+'D2C - Retail'!CL152+SUM('D2C - Retail'!CL148,'D2C - Retail'!CL151,'D2C - Retail'!CL153,'D2C - Retail'!CL154)*'D2C - Retail'!CL75/SUM('D2C - Retail'!CL75:CL77)+'D2C - Retail'!CL155</f>
        <v>80763736.490741208</v>
      </c>
      <c r="CF88" s="19">
        <f>'D2C - Retail'!CM146+'D2C - Retail'!CM152+SUM('D2C - Retail'!CM148,'D2C - Retail'!CM151,'D2C - Retail'!CM153,'D2C - Retail'!CM154)*'D2C - Retail'!CM75/SUM('D2C - Retail'!CM75:CM77)+'D2C - Retail'!CM155</f>
        <v>83043011.880049214</v>
      </c>
      <c r="CG88" s="19">
        <f>'D2C - Retail'!CN146+'D2C - Retail'!CN152+SUM('D2C - Retail'!CN148,'D2C - Retail'!CN151,'D2C - Retail'!CN153,'D2C - Retail'!CN154)*'D2C - Retail'!CN75/SUM('D2C - Retail'!CN75:CN77)+'D2C - Retail'!CN155</f>
        <v>82077998.857786492</v>
      </c>
      <c r="CH88" s="19">
        <f>'D2C - Retail'!CO146+'D2C - Retail'!CO152+SUM('D2C - Retail'!CO148,'D2C - Retail'!CO151,'D2C - Retail'!CO153,'D2C - Retail'!CO154)*'D2C - Retail'!CO75/SUM('D2C - Retail'!CO75:CO77)+'D2C - Retail'!CO155</f>
        <v>83928738.963476866</v>
      </c>
      <c r="CI88" s="19">
        <f>'D2C - Retail'!CP146+'D2C - Retail'!CP152+SUM('D2C - Retail'!CP148,'D2C - Retail'!CP151,'D2C - Retail'!CP153,'D2C - Retail'!CP154)*'D2C - Retail'!CP75/SUM('D2C - Retail'!CP75:CP77)+'D2C - Retail'!CP155</f>
        <v>84147755.202587605</v>
      </c>
      <c r="CJ88" s="19">
        <f>'D2C - Retail'!CQ146+'D2C - Retail'!CQ152+SUM('D2C - Retail'!CQ148,'D2C - Retail'!CQ151,'D2C - Retail'!CQ153,'D2C - Retail'!CQ154)*'D2C - Retail'!CQ75/SUM('D2C - Retail'!CQ75:CQ77)+'D2C - Retail'!CQ155</f>
        <v>83251501.733649775</v>
      </c>
      <c r="CK88" s="19">
        <f>'D2C - Retail'!CR146+'D2C - Retail'!CR152+SUM('D2C - Retail'!CR148,'D2C - Retail'!CR151,'D2C - Retail'!CR153,'D2C - Retail'!CR154)*'D2C - Retail'!CR75/SUM('D2C - Retail'!CR75:CR77)+'D2C - Retail'!CR155</f>
        <v>84848190.504168093</v>
      </c>
      <c r="CL88" s="19">
        <f>'D2C - Retail'!CS146+'D2C - Retail'!CS152+SUM('D2C - Retail'!CS148,'D2C - Retail'!CS151,'D2C - Retail'!CS153,'D2C - Retail'!CS154)*'D2C - Retail'!CS75/SUM('D2C - Retail'!CS75:CS77)+'D2C - Retail'!CS155</f>
        <v>91708150.981145963</v>
      </c>
      <c r="CM88" s="19">
        <f>'D2C - Retail'!CT146+'D2C - Retail'!CT152+SUM('D2C - Retail'!CT148,'D2C - Retail'!CT151,'D2C - Retail'!CT153,'D2C - Retail'!CT154)*'D2C - Retail'!CT75/SUM('D2C - Retail'!CT75:CT77)+'D2C - Retail'!CT155</f>
        <v>91449360.773509666</v>
      </c>
      <c r="CN88" s="19">
        <f>'D2C - Retail'!CU146+'D2C - Retail'!CU152+SUM('D2C - Retail'!CU148,'D2C - Retail'!CU151,'D2C - Retail'!CU153,'D2C - Retail'!CU154)*'D2C - Retail'!CU75/SUM('D2C - Retail'!CU75:CU77)+'D2C - Retail'!CU155</f>
        <v>91334224.009641945</v>
      </c>
      <c r="CO88" s="19">
        <f>'D2C - Retail'!CV146+'D2C - Retail'!CV152+SUM('D2C - Retail'!CV148,'D2C - Retail'!CV151,'D2C - Retail'!CV153,'D2C - Retail'!CV154)*'D2C - Retail'!CV75/SUM('D2C - Retail'!CV75:CV77)+'D2C - Retail'!CV155</f>
        <v>92228332.950318798</v>
      </c>
      <c r="CP88" s="19">
        <f>'D2C - Retail'!CW146+'D2C - Retail'!CW152+SUM('D2C - Retail'!CW148,'D2C - Retail'!CW151,'D2C - Retail'!CW153,'D2C - Retail'!CW154)*'D2C - Retail'!CW75/SUM('D2C - Retail'!CW75:CW77)+'D2C - Retail'!CW155</f>
        <v>90845915.268290102</v>
      </c>
      <c r="CQ88" s="19">
        <f>'D2C - Retail'!CX146+'D2C - Retail'!CX152+SUM('D2C - Retail'!CX148,'D2C - Retail'!CX151,'D2C - Retail'!CX153,'D2C - Retail'!CX154)*'D2C - Retail'!CX75/SUM('D2C - Retail'!CX75:CX77)+'D2C - Retail'!CX155</f>
        <v>89915072.928410709</v>
      </c>
      <c r="CR88" s="19">
        <f>'D2C - Retail'!CY146+'D2C - Retail'!CY152+SUM('D2C - Retail'!CY148,'D2C - Retail'!CY151,'D2C - Retail'!CY153,'D2C - Retail'!CY154)*'D2C - Retail'!CY75/SUM('D2C - Retail'!CY75:CY77)+'D2C - Retail'!CY155</f>
        <v>92435699.423588708</v>
      </c>
      <c r="CS88" s="19">
        <f>'D2C - Retail'!CZ146+'D2C - Retail'!CZ152+SUM('D2C - Retail'!CZ148,'D2C - Retail'!CZ151,'D2C - Retail'!CZ153,'D2C - Retail'!CZ154)*'D2C - Retail'!CZ75/SUM('D2C - Retail'!CZ75:CZ77)+'D2C - Retail'!CZ155</f>
        <v>91362647.611130595</v>
      </c>
      <c r="CT88" s="19">
        <f>'D2C - Retail'!DA146+'D2C - Retail'!DA152+SUM('D2C - Retail'!DA148,'D2C - Retail'!DA151,'D2C - Retail'!DA153,'D2C - Retail'!DA154)*'D2C - Retail'!DA75/SUM('D2C - Retail'!DA75:DA77)+'D2C - Retail'!DA155</f>
        <v>93414879.003778458</v>
      </c>
      <c r="CU88" s="19">
        <f>'D2C - Retail'!DB146+'D2C - Retail'!DB152+SUM('D2C - Retail'!DB148,'D2C - Retail'!DB151,'D2C - Retail'!DB153,'D2C - Retail'!DB154)*'D2C - Retail'!DB75/SUM('D2C - Retail'!DB75:DB77)+'D2C - Retail'!DB155</f>
        <v>93656694.756709874</v>
      </c>
      <c r="CV88" s="19">
        <f>'D2C - Retail'!DC146+'D2C - Retail'!DC152+SUM('D2C - Retail'!DC148,'D2C - Retail'!DC151,'D2C - Retail'!DC153,'D2C - Retail'!DC154)*'D2C - Retail'!DC75/SUM('D2C - Retail'!DC75:DC77)+'D2C - Retail'!DC155</f>
        <v>92656869.583500504</v>
      </c>
      <c r="CW88" s="19">
        <f>'D2C - Retail'!DD146+'D2C - Retail'!DD152+SUM('D2C - Retail'!DD148,'D2C - Retail'!DD151,'D2C - Retail'!DD153,'D2C - Retail'!DD154)*'D2C - Retail'!DD75/SUM('D2C - Retail'!DD75:DD77)+'D2C - Retail'!DD155</f>
        <v>94430743.529029399</v>
      </c>
      <c r="CX88" s="168"/>
      <c r="CY88" s="19">
        <f t="shared" si="348"/>
        <v>99482877.155552179</v>
      </c>
      <c r="CZ88" s="19">
        <f t="shared" si="349"/>
        <v>96171950.616503984</v>
      </c>
      <c r="DA88" s="19">
        <f t="shared" si="350"/>
        <v>99200483.960579619</v>
      </c>
      <c r="DB88" s="19">
        <f t="shared" si="351"/>
        <v>89459890.697251081</v>
      </c>
      <c r="DC88" s="19">
        <f t="shared" si="352"/>
        <v>94607235.891703397</v>
      </c>
      <c r="DD88" s="19">
        <f t="shared" si="353"/>
        <v>93577677.597857162</v>
      </c>
      <c r="DE88" s="19">
        <f t="shared" si="354"/>
        <v>104605791.98949735</v>
      </c>
      <c r="DF88" s="19">
        <f t="shared" si="355"/>
        <v>116021452.7980576</v>
      </c>
      <c r="DG88" s="19">
        <f t="shared" si="356"/>
        <v>137135490.01121575</v>
      </c>
      <c r="DH88" s="19">
        <f t="shared" si="357"/>
        <v>151506097.6007047</v>
      </c>
      <c r="DI88" s="19">
        <f t="shared" si="358"/>
        <v>176523787.30184934</v>
      </c>
      <c r="DJ88" s="19">
        <f t="shared" si="359"/>
        <v>199586050.46877652</v>
      </c>
      <c r="DK88" s="19">
        <f t="shared" si="360"/>
        <v>220095571.26235738</v>
      </c>
      <c r="DL88" s="19">
        <f t="shared" si="361"/>
        <v>218982834.42236149</v>
      </c>
      <c r="DM88" s="19">
        <f t="shared" si="362"/>
        <v>222513384.37754422</v>
      </c>
      <c r="DN88" s="19">
        <f t="shared" si="363"/>
        <v>225618391.57343677</v>
      </c>
      <c r="DO88" s="19">
        <f t="shared" si="364"/>
        <v>246537513.28471604</v>
      </c>
      <c r="DP88" s="19">
        <f t="shared" si="365"/>
        <v>245209415.39805448</v>
      </c>
      <c r="DQ88" s="19">
        <f t="shared" si="366"/>
        <v>249049749.70131257</v>
      </c>
      <c r="DR88" s="19">
        <f t="shared" si="367"/>
        <v>252247447.44040549</v>
      </c>
      <c r="DS88" s="19">
        <f t="shared" si="368"/>
        <v>274491735.7642976</v>
      </c>
      <c r="DT88" s="19">
        <f t="shared" si="369"/>
        <v>272989321.14701962</v>
      </c>
      <c r="DU88" s="19">
        <f t="shared" si="370"/>
        <v>277213226.03849775</v>
      </c>
      <c r="DV88" s="19">
        <f t="shared" si="371"/>
        <v>280744307.86923981</v>
      </c>
      <c r="DX88" s="19">
        <f t="shared" si="372"/>
        <v>384315202.42988688</v>
      </c>
      <c r="DY88" s="19">
        <f t="shared" si="373"/>
        <v>408812158.27711552</v>
      </c>
      <c r="DZ88" s="19">
        <f t="shared" si="374"/>
        <v>664751425.38254642</v>
      </c>
      <c r="EA88" s="19">
        <f t="shared" si="375"/>
        <v>887210181.63569975</v>
      </c>
      <c r="EB88" s="19">
        <f t="shared" si="376"/>
        <v>993044125.82448852</v>
      </c>
      <c r="EC88" s="770">
        <f t="shared" si="377"/>
        <v>1105438590.8190548</v>
      </c>
    </row>
    <row r="89" spans="2:133" x14ac:dyDescent="0.2">
      <c r="B89" s="155" t="s">
        <v>237</v>
      </c>
      <c r="C89" s="19">
        <f>'D2C Online'!AA134</f>
        <v>346762.253289318</v>
      </c>
      <c r="D89" s="19">
        <f>'D2C Online'!AB134</f>
        <v>245668.42700150507</v>
      </c>
      <c r="E89" s="19">
        <f>'D2C Online'!AC134</f>
        <v>308201.97306525422</v>
      </c>
      <c r="F89" s="19">
        <f>'D2C Online'!AD134</f>
        <v>362071.79454965505</v>
      </c>
      <c r="G89" s="19">
        <f>'D2C Online'!AE134</f>
        <v>311187.31508626702</v>
      </c>
      <c r="H89" s="19">
        <f>'D2C Online'!AF134</f>
        <v>270730.30862628418</v>
      </c>
      <c r="I89" s="19">
        <f>'D2C Online'!AG134</f>
        <v>316414.53515993134</v>
      </c>
      <c r="J89" s="19">
        <f>'D2C Online'!AH134</f>
        <v>271128.45802260912</v>
      </c>
      <c r="K89" s="19">
        <f>'D2C Online'!AI134</f>
        <v>308329.96415981342</v>
      </c>
      <c r="L89" s="19">
        <f>'D2C Online'!AJ134</f>
        <v>389212.69714503048</v>
      </c>
      <c r="M89" s="19">
        <f>'D2C Online'!AK134</f>
        <v>535432.21654927649</v>
      </c>
      <c r="N89" s="19">
        <f>'D2C Online'!AL134</f>
        <v>474043.02762674761</v>
      </c>
      <c r="O89" s="19">
        <f>'D2C Online'!AM134</f>
        <v>630635.32118296949</v>
      </c>
      <c r="P89" s="19">
        <f>'D2C Online'!AN134</f>
        <v>640553.16399803117</v>
      </c>
      <c r="Q89" s="19">
        <f>'D2C Online'!AO134</f>
        <v>578536.17905740114</v>
      </c>
      <c r="R89" s="19">
        <f>'D2C Online'!AP134</f>
        <v>709318.52002381487</v>
      </c>
      <c r="S89" s="19">
        <f>'D2C Online'!AQ134</f>
        <v>1158234.2118266444</v>
      </c>
      <c r="T89" s="19">
        <f>'D2C Online'!AR134</f>
        <v>896822.43212682276</v>
      </c>
      <c r="U89" s="19">
        <f>'D2C Online'!AS134</f>
        <v>949398.99515301082</v>
      </c>
      <c r="V89" s="19">
        <f>'D2C Online'!AT134</f>
        <v>1361774.0577951805</v>
      </c>
      <c r="W89" s="19">
        <f>'D2C Online'!AU134</f>
        <v>1600377.1263299575</v>
      </c>
      <c r="X89" s="19">
        <f>'D2C Online'!AV134</f>
        <v>1644791.6195541818</v>
      </c>
      <c r="Y89" s="19">
        <f>'D2C Online'!AW134</f>
        <v>1254266.9149934249</v>
      </c>
      <c r="Z89" s="19">
        <f>'D2C Online'!AX134</f>
        <v>2138192.511109313</v>
      </c>
      <c r="AA89" s="19">
        <f>'D2C Online'!AY134</f>
        <v>1986689.0909876414</v>
      </c>
      <c r="AB89" s="19">
        <f>'D2C Online'!AZ134</f>
        <v>1745251.0520016593</v>
      </c>
      <c r="AC89" s="19">
        <f>'D2C Online'!BA134</f>
        <v>1602491.2439195565</v>
      </c>
      <c r="AD89" s="19">
        <f>'D2C Online'!BB134</f>
        <v>8714673.8345939089</v>
      </c>
      <c r="AE89" s="19">
        <f>'D2C Online'!BC134</f>
        <v>8387934.3310181526</v>
      </c>
      <c r="AF89" s="19">
        <f>'D2C Online'!BD134</f>
        <v>8735396.1732494812</v>
      </c>
      <c r="AG89" s="19">
        <f>'D2C Online'!BE134</f>
        <v>8545863.803497497</v>
      </c>
      <c r="AH89" s="19">
        <f>'D2C Online'!BF134</f>
        <v>8307038.9739374351</v>
      </c>
      <c r="AI89" s="19">
        <f>'D2C Online'!BG134</f>
        <v>8099330.1557859201</v>
      </c>
      <c r="AJ89" s="19">
        <f>'D2C Online'!BH134</f>
        <v>8114653.693603361</v>
      </c>
      <c r="AK89" s="19">
        <f>'D2C Online'!BI134</f>
        <v>8878632.0866131596</v>
      </c>
      <c r="AL89" s="19">
        <f>'D2C Online'!BJ134</f>
        <v>8995375.6372000221</v>
      </c>
      <c r="AM89" s="19">
        <f>'D2C Online'!BK134</f>
        <v>8564917.642701555</v>
      </c>
      <c r="AN89" s="19">
        <f>'D2C Online'!BL134</f>
        <v>8188431.4224315658</v>
      </c>
      <c r="AO89" s="19">
        <f>'D2C Online'!BM134</f>
        <v>8251314.8234345606</v>
      </c>
      <c r="AP89" s="19">
        <f>'D2C Online'!BN134</f>
        <v>9249081.4455334209</v>
      </c>
      <c r="AQ89" s="19">
        <f>'D2C Online'!BO134</f>
        <v>9073936.8769987635</v>
      </c>
      <c r="AR89" s="19">
        <f>'D2C Online'!BP134</f>
        <v>9006360.3346385956</v>
      </c>
      <c r="AS89" s="19">
        <f>'D2C Online'!BQ134</f>
        <v>9190877.8964193687</v>
      </c>
      <c r="AT89" s="19">
        <f>'D2C Online'!BR134</f>
        <v>8750218.7652838882</v>
      </c>
      <c r="AU89" s="19">
        <f>'D2C Online'!BS134</f>
        <v>8658025.8681800198</v>
      </c>
      <c r="AV89" s="19">
        <f>'D2C Online'!BT134</f>
        <v>5820379.8844252666</v>
      </c>
      <c r="AW89" s="19">
        <f>'D2C Online'!BU134</f>
        <v>6778391.9709212817</v>
      </c>
      <c r="AX89" s="19">
        <f>'D2C Online'!BV134</f>
        <v>5812094.3977090679</v>
      </c>
      <c r="AY89" s="19">
        <f>'D2C Online'!BW134</f>
        <v>6020942.4705372863</v>
      </c>
      <c r="AZ89" s="19">
        <f>'D2C Online'!BX134</f>
        <v>6100083.5904015219</v>
      </c>
      <c r="BA89" s="19">
        <f>'D2C Online'!BY134</f>
        <v>7965224.1090434529</v>
      </c>
      <c r="BB89" s="19">
        <f>'D2C Online'!BZ134</f>
        <v>6167028.4623858444</v>
      </c>
      <c r="BC89" s="19">
        <f>'D2C Online'!CA134</f>
        <v>7509026.2065696586</v>
      </c>
      <c r="BD89" s="19">
        <f>'D2C Online'!CB134</f>
        <v>7629130.2045053942</v>
      </c>
      <c r="BE89" s="19">
        <f>'D2C Online'!CC134</f>
        <v>9534408.79947621</v>
      </c>
      <c r="BF89" s="19">
        <f>'D2C Online'!CD134</f>
        <v>8407527.8967166711</v>
      </c>
      <c r="BG89" s="19">
        <f>'D2C Online'!CE134</f>
        <v>8777124.8611775246</v>
      </c>
      <c r="BH89" s="19">
        <f>'D2C Online'!CF134</f>
        <v>8517352.5401461981</v>
      </c>
      <c r="BI89" s="19">
        <f>'D2C Online'!CG134</f>
        <v>7710994.4627630487</v>
      </c>
      <c r="BJ89" s="19">
        <f>'D2C Online'!CH134</f>
        <v>8100928.0383353913</v>
      </c>
      <c r="BK89" s="19">
        <f>'D2C Online'!CI134</f>
        <v>7882409.5874094702</v>
      </c>
      <c r="BL89" s="19">
        <f>'D2C Online'!CJ134</f>
        <v>7597391.1613454018</v>
      </c>
      <c r="BM89" s="19">
        <f>'D2C Online'!CK134</f>
        <v>7243720.1672302261</v>
      </c>
      <c r="BN89" s="19">
        <f>'D2C Online'!CL134</f>
        <v>8401586.7499249615</v>
      </c>
      <c r="BO89" s="19">
        <f>'D2C Online'!CM134</f>
        <v>8404565.9783921912</v>
      </c>
      <c r="BP89" s="19">
        <f>'D2C Online'!CN134</f>
        <v>8404354.4355424456</v>
      </c>
      <c r="BQ89" s="19">
        <f>'D2C Online'!CO134</f>
        <v>8408814.4639578834</v>
      </c>
      <c r="BR89" s="19">
        <f>'D2C Online'!CP134</f>
        <v>8391503.2074204944</v>
      </c>
      <c r="BS89" s="19">
        <f>'D2C Online'!CQ134</f>
        <v>8418051.8350633737</v>
      </c>
      <c r="BT89" s="19">
        <f>'D2C Online'!CR134</f>
        <v>8409501.978219552</v>
      </c>
      <c r="BU89" s="19">
        <f>'D2C Online'!CS134</f>
        <v>8410207.1210520323</v>
      </c>
      <c r="BV89" s="19">
        <f>'D2C Online'!CT134</f>
        <v>8478764.632939918</v>
      </c>
      <c r="BW89" s="19">
        <f>'D2C Online'!CU134</f>
        <v>8507428.6890802365</v>
      </c>
      <c r="BX89" s="19">
        <f>'D2C Online'!CV134</f>
        <v>8450558.9196407106</v>
      </c>
      <c r="BY89" s="19">
        <f>'D2C Online'!CW134</f>
        <v>8478094.7472490612</v>
      </c>
      <c r="BZ89" s="19">
        <f>'D2C Online'!CX134</f>
        <v>9065845.8257537819</v>
      </c>
      <c r="CA89" s="19">
        <f>'D2C Online'!CY134</f>
        <v>9069374.7218732145</v>
      </c>
      <c r="CB89" s="19">
        <f>'D2C Online'!CZ134</f>
        <v>9069124.1493676919</v>
      </c>
      <c r="CC89" s="19">
        <f>'D2C Online'!DA134</f>
        <v>9074407.0530257784</v>
      </c>
      <c r="CD89" s="19">
        <f>'D2C Online'!DB134</f>
        <v>9053901.8696572408</v>
      </c>
      <c r="CE89" s="19">
        <f>'D2C Online'!DC134</f>
        <v>9085348.7191002313</v>
      </c>
      <c r="CF89" s="19">
        <f>'D2C Online'!DD134</f>
        <v>9075221.4136687238</v>
      </c>
      <c r="CG89" s="19">
        <f>'D2C Online'!DE134</f>
        <v>9076056.6553537957</v>
      </c>
      <c r="CH89" s="19">
        <f>'D2C Online'!DF134</f>
        <v>9157263.0281849969</v>
      </c>
      <c r="CI89" s="19">
        <f>'D2C Online'!DG134</f>
        <v>9191215.6026832052</v>
      </c>
      <c r="CJ89" s="19">
        <f>'D2C Online'!DH134</f>
        <v>9123853.360782085</v>
      </c>
      <c r="CK89" s="19">
        <f>'D2C Online'!DI134</f>
        <v>9156469.5485841781</v>
      </c>
      <c r="CL89" s="19">
        <f>'D2C Online'!DJ134</f>
        <v>9798026.1841565315</v>
      </c>
      <c r="CM89" s="19">
        <f>'D2C Online'!DK134</f>
        <v>9802206.1616099998</v>
      </c>
      <c r="CN89" s="19">
        <f>'D2C Online'!DL134</f>
        <v>9801909.3584772088</v>
      </c>
      <c r="CO89" s="19">
        <f>'D2C Online'!DM134</f>
        <v>9808166.9578602109</v>
      </c>
      <c r="CP89" s="19">
        <f>'D2C Online'!DN134</f>
        <v>9783878.56816018</v>
      </c>
      <c r="CQ89" s="19">
        <f>'D2C Online'!DO134</f>
        <v>9821127.3613254</v>
      </c>
      <c r="CR89" s="19">
        <f>'D2C Online'!DP134</f>
        <v>9809131.568041781</v>
      </c>
      <c r="CS89" s="19">
        <f>'D2C Online'!DQ134</f>
        <v>9810120.9118177481</v>
      </c>
      <c r="CT89" s="19">
        <f>'D2C Online'!DR134</f>
        <v>9906309.8604363054</v>
      </c>
      <c r="CU89" s="19">
        <f>'D2C Online'!DS134</f>
        <v>9946526.6849294323</v>
      </c>
      <c r="CV89" s="19">
        <f>'D2C Online'!DT134</f>
        <v>9866736.1093975566</v>
      </c>
      <c r="CW89" s="19">
        <f>'D2C Online'!DU134</f>
        <v>9905369.9838491343</v>
      </c>
      <c r="CX89" s="168"/>
      <c r="CY89" s="19">
        <f t="shared" si="348"/>
        <v>25838004.33886154</v>
      </c>
      <c r="CZ89" s="19">
        <f t="shared" si="349"/>
        <v>24952232.933220848</v>
      </c>
      <c r="DA89" s="19">
        <f t="shared" si="350"/>
        <v>25988661.417416543</v>
      </c>
      <c r="DB89" s="19">
        <f t="shared" si="351"/>
        <v>25004663.888567682</v>
      </c>
      <c r="DC89" s="19">
        <f t="shared" si="352"/>
        <v>27329378.65717078</v>
      </c>
      <c r="DD89" s="19">
        <f t="shared" si="353"/>
        <v>26599122.52988328</v>
      </c>
      <c r="DE89" s="19">
        <f t="shared" si="354"/>
        <v>18410866.253055617</v>
      </c>
      <c r="DF89" s="19">
        <f t="shared" si="355"/>
        <v>20086250.169982262</v>
      </c>
      <c r="DG89" s="19">
        <f t="shared" si="356"/>
        <v>21305184.873460896</v>
      </c>
      <c r="DH89" s="19">
        <f t="shared" si="357"/>
        <v>26719061.557370409</v>
      </c>
      <c r="DI89" s="19">
        <f t="shared" si="358"/>
        <v>24329275.041244637</v>
      </c>
      <c r="DJ89" s="19">
        <f t="shared" si="359"/>
        <v>22723520.9159851</v>
      </c>
      <c r="DK89" s="19">
        <f t="shared" si="360"/>
        <v>25210507.163859598</v>
      </c>
      <c r="DL89" s="19">
        <f t="shared" si="361"/>
        <v>25218369.50644175</v>
      </c>
      <c r="DM89" s="19">
        <f t="shared" si="362"/>
        <v>25298473.7322115</v>
      </c>
      <c r="DN89" s="19">
        <f t="shared" si="363"/>
        <v>25436082.35597001</v>
      </c>
      <c r="DO89" s="19">
        <f t="shared" si="364"/>
        <v>27204344.696994685</v>
      </c>
      <c r="DP89" s="19">
        <f t="shared" si="365"/>
        <v>27213657.641783252</v>
      </c>
      <c r="DQ89" s="19">
        <f t="shared" si="366"/>
        <v>27308541.097207516</v>
      </c>
      <c r="DR89" s="19">
        <f t="shared" si="367"/>
        <v>27471538.512049466</v>
      </c>
      <c r="DS89" s="19">
        <f t="shared" si="368"/>
        <v>29402141.704243738</v>
      </c>
      <c r="DT89" s="19">
        <f t="shared" si="369"/>
        <v>29413172.887345791</v>
      </c>
      <c r="DU89" s="19">
        <f t="shared" si="370"/>
        <v>29525562.340295836</v>
      </c>
      <c r="DV89" s="19">
        <f t="shared" si="371"/>
        <v>29718632.778176125</v>
      </c>
      <c r="DX89" s="19">
        <f t="shared" si="372"/>
        <v>101783562.57806662</v>
      </c>
      <c r="DY89" s="19">
        <f t="shared" si="373"/>
        <v>92425617.610091925</v>
      </c>
      <c r="DZ89" s="19">
        <f t="shared" si="374"/>
        <v>95077042.388061047</v>
      </c>
      <c r="EA89" s="19">
        <f t="shared" si="375"/>
        <v>101163432.75848286</v>
      </c>
      <c r="EB89" s="19">
        <f t="shared" si="376"/>
        <v>109198081.94803491</v>
      </c>
      <c r="EC89" s="770">
        <f t="shared" si="377"/>
        <v>118059509.71006149</v>
      </c>
    </row>
    <row r="90" spans="2:133" x14ac:dyDescent="0.2">
      <c r="B90" s="155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68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X90" s="19"/>
      <c r="DY90" s="19"/>
      <c r="DZ90" s="19"/>
      <c r="EA90" s="19"/>
      <c r="EB90" s="19"/>
      <c r="EC90" s="770"/>
    </row>
    <row r="91" spans="2:133" x14ac:dyDescent="0.2">
      <c r="B91" s="24" t="s">
        <v>235</v>
      </c>
      <c r="C91" s="19">
        <f>C92+C94</f>
        <v>3319637.4430206642</v>
      </c>
      <c r="D91" s="19">
        <f t="shared" ref="D91:BO91" si="378">D92+D94</f>
        <v>3233163.5840965547</v>
      </c>
      <c r="E91" s="19">
        <f t="shared" si="378"/>
        <v>4001632.5665495815</v>
      </c>
      <c r="F91" s="19">
        <f t="shared" si="378"/>
        <v>4499739.0267795632</v>
      </c>
      <c r="G91" s="19">
        <f t="shared" si="378"/>
        <v>3783939.3659985848</v>
      </c>
      <c r="H91" s="19">
        <f t="shared" si="378"/>
        <v>3020885.0491290744</v>
      </c>
      <c r="I91" s="19">
        <f t="shared" si="378"/>
        <v>4639725.6260491004</v>
      </c>
      <c r="J91" s="19">
        <f t="shared" si="378"/>
        <v>5283243.3034990076</v>
      </c>
      <c r="K91" s="19">
        <f t="shared" si="378"/>
        <v>5974755.807929853</v>
      </c>
      <c r="L91" s="19">
        <f t="shared" si="378"/>
        <v>7544371.9768386912</v>
      </c>
      <c r="M91" s="19">
        <f t="shared" si="378"/>
        <v>8020410.7461157143</v>
      </c>
      <c r="N91" s="19">
        <f t="shared" si="378"/>
        <v>8954512.9341407362</v>
      </c>
      <c r="O91" s="19">
        <f t="shared" si="378"/>
        <v>9519888.7339380682</v>
      </c>
      <c r="P91" s="19">
        <f t="shared" si="378"/>
        <v>9897188.850232318</v>
      </c>
      <c r="Q91" s="19">
        <f t="shared" si="378"/>
        <v>11967783.419034358</v>
      </c>
      <c r="R91" s="19">
        <f t="shared" si="378"/>
        <v>13993356.49321533</v>
      </c>
      <c r="S91" s="19">
        <f t="shared" si="378"/>
        <v>12793977.800126148</v>
      </c>
      <c r="T91" s="19">
        <f t="shared" si="378"/>
        <v>13874496.945460932</v>
      </c>
      <c r="U91" s="19">
        <f t="shared" si="378"/>
        <v>15195657.557851719</v>
      </c>
      <c r="V91" s="19">
        <f t="shared" si="378"/>
        <v>16702506.546573274</v>
      </c>
      <c r="W91" s="19">
        <f t="shared" si="378"/>
        <v>17621851.798628539</v>
      </c>
      <c r="X91" s="19">
        <f t="shared" si="378"/>
        <v>18695485.973777797</v>
      </c>
      <c r="Y91" s="19">
        <f t="shared" si="378"/>
        <v>18637643.107444659</v>
      </c>
      <c r="Z91" s="19">
        <f t="shared" si="378"/>
        <v>20338260.886695623</v>
      </c>
      <c r="AA91" s="19">
        <f t="shared" si="378"/>
        <v>21722942.312533446</v>
      </c>
      <c r="AB91" s="19">
        <f t="shared" si="378"/>
        <v>22679957.639063455</v>
      </c>
      <c r="AC91" s="19">
        <f t="shared" si="378"/>
        <v>23071611.947963811</v>
      </c>
      <c r="AD91" s="19">
        <f t="shared" si="378"/>
        <v>28408020.196151759</v>
      </c>
      <c r="AE91" s="19">
        <f t="shared" si="378"/>
        <v>27810308.753370479</v>
      </c>
      <c r="AF91" s="19">
        <f t="shared" si="378"/>
        <v>27892724.889318805</v>
      </c>
      <c r="AG91" s="19">
        <f t="shared" si="378"/>
        <v>27467205.2353114</v>
      </c>
      <c r="AH91" s="19">
        <f t="shared" si="378"/>
        <v>25827129.94403648</v>
      </c>
      <c r="AI91" s="19">
        <f t="shared" si="378"/>
        <v>25922664.065267149</v>
      </c>
      <c r="AJ91" s="19">
        <f t="shared" si="378"/>
        <v>27351114.544207819</v>
      </c>
      <c r="AK91" s="19">
        <f t="shared" si="378"/>
        <v>26591032.699061442</v>
      </c>
      <c r="AL91" s="19">
        <f t="shared" si="378"/>
        <v>26011751.12176165</v>
      </c>
      <c r="AM91" s="19">
        <f t="shared" si="378"/>
        <v>23383547.990403362</v>
      </c>
      <c r="AN91" s="19">
        <f t="shared" si="378"/>
        <v>22621774.116312202</v>
      </c>
      <c r="AO91" s="19">
        <f t="shared" si="378"/>
        <v>23278145.533664696</v>
      </c>
      <c r="AP91" s="19">
        <f t="shared" si="378"/>
        <v>26220981.470957831</v>
      </c>
      <c r="AQ91" s="19">
        <f t="shared" si="378"/>
        <v>26970235.797902741</v>
      </c>
      <c r="AR91" s="19">
        <f t="shared" si="378"/>
        <v>27011208.327050809</v>
      </c>
      <c r="AS91" s="19">
        <f t="shared" si="378"/>
        <v>27158642.142319184</v>
      </c>
      <c r="AT91" s="19">
        <f t="shared" si="378"/>
        <v>26376385.998150468</v>
      </c>
      <c r="AU91" s="19">
        <f t="shared" si="378"/>
        <v>24747473.595810436</v>
      </c>
      <c r="AV91" s="19">
        <f t="shared" si="378"/>
        <v>25476966.517811421</v>
      </c>
      <c r="AW91" s="19">
        <f t="shared" si="378"/>
        <v>27569889.62247574</v>
      </c>
      <c r="AX91" s="19">
        <f t="shared" si="378"/>
        <v>26486469.570577443</v>
      </c>
      <c r="AY91" s="19">
        <f t="shared" si="378"/>
        <v>26893033.034483522</v>
      </c>
      <c r="AZ91" s="19">
        <f t="shared" si="378"/>
        <v>27672013.682382114</v>
      </c>
      <c r="BA91" s="19">
        <f t="shared" si="378"/>
        <v>32576123.511580251</v>
      </c>
      <c r="BB91" s="19">
        <f t="shared" si="378"/>
        <v>34246992.522707835</v>
      </c>
      <c r="BC91" s="19">
        <f t="shared" si="378"/>
        <v>34518077.415419862</v>
      </c>
      <c r="BD91" s="19">
        <f t="shared" si="378"/>
        <v>34114927.130462572</v>
      </c>
      <c r="BE91" s="19">
        <f t="shared" si="378"/>
        <v>36270792.303920656</v>
      </c>
      <c r="BF91" s="19">
        <f t="shared" si="378"/>
        <v>37018792.330852941</v>
      </c>
      <c r="BG91" s="19">
        <f t="shared" si="378"/>
        <v>36253657.333813198</v>
      </c>
      <c r="BH91" s="19">
        <f t="shared" si="378"/>
        <v>36666431.111910246</v>
      </c>
      <c r="BI91" s="19">
        <f t="shared" si="378"/>
        <v>38944872.834185928</v>
      </c>
      <c r="BJ91" s="19">
        <f t="shared" si="378"/>
        <v>38725279.024365604</v>
      </c>
      <c r="BK91" s="19">
        <f t="shared" si="378"/>
        <v>44177698.058079548</v>
      </c>
      <c r="BL91" s="19">
        <f t="shared" si="378"/>
        <v>45183928.787176684</v>
      </c>
      <c r="BM91" s="19">
        <f t="shared" si="378"/>
        <v>43122867.581757285</v>
      </c>
      <c r="BN91" s="19">
        <f t="shared" si="378"/>
        <v>51206490.19336471</v>
      </c>
      <c r="BO91" s="19">
        <f t="shared" si="378"/>
        <v>51162209.470350787</v>
      </c>
      <c r="BP91" s="19">
        <f t="shared" ref="BP91:CK91" si="379">BP92+BP94</f>
        <v>51139784.366313517</v>
      </c>
      <c r="BQ91" s="19">
        <f t="shared" si="379"/>
        <v>51247086.328213841</v>
      </c>
      <c r="BR91" s="19">
        <f t="shared" si="379"/>
        <v>51054354.213571355</v>
      </c>
      <c r="BS91" s="19">
        <f t="shared" si="379"/>
        <v>50899541.897912711</v>
      </c>
      <c r="BT91" s="19">
        <f t="shared" si="379"/>
        <v>51244939.915353373</v>
      </c>
      <c r="BU91" s="19">
        <f t="shared" si="379"/>
        <v>51101687.883345991</v>
      </c>
      <c r="BV91" s="19">
        <f t="shared" si="379"/>
        <v>51345480.642396078</v>
      </c>
      <c r="BW91" s="19">
        <f t="shared" si="379"/>
        <v>51367689.533157684</v>
      </c>
      <c r="BX91" s="19">
        <f t="shared" si="379"/>
        <v>51251079.153238341</v>
      </c>
      <c r="BY91" s="19">
        <f t="shared" si="379"/>
        <v>51435130.086967289</v>
      </c>
      <c r="BZ91" s="19">
        <f t="shared" si="379"/>
        <v>57993009.075112492</v>
      </c>
      <c r="CA91" s="19">
        <f t="shared" si="379"/>
        <v>57946134.526027232</v>
      </c>
      <c r="CB91" s="19">
        <f t="shared" si="379"/>
        <v>57922389.372516513</v>
      </c>
      <c r="CC91" s="19">
        <f t="shared" si="379"/>
        <v>58035968.337372579</v>
      </c>
      <c r="CD91" s="19">
        <f t="shared" si="379"/>
        <v>57831890.59205091</v>
      </c>
      <c r="CE91" s="19">
        <f t="shared" si="379"/>
        <v>57667732.342501029</v>
      </c>
      <c r="CF91" s="19">
        <f t="shared" si="379"/>
        <v>58033697.336390898</v>
      </c>
      <c r="CG91" s="19">
        <f t="shared" si="379"/>
        <v>57882040.390517965</v>
      </c>
      <c r="CH91" s="19">
        <f t="shared" si="379"/>
        <v>58140031.285426125</v>
      </c>
      <c r="CI91" s="19">
        <f t="shared" si="379"/>
        <v>58163508.120865077</v>
      </c>
      <c r="CJ91" s="19">
        <f t="shared" si="379"/>
        <v>58040192.819446027</v>
      </c>
      <c r="CK91" s="19">
        <f t="shared" si="379"/>
        <v>58234772.944503114</v>
      </c>
      <c r="CL91" s="19">
        <f t="shared" ref="CL91:CW91" si="380">CL92+CL94</f>
        <v>65635694.144392334</v>
      </c>
      <c r="CM91" s="19">
        <f t="shared" si="380"/>
        <v>65584715.991796508</v>
      </c>
      <c r="CN91" s="19">
        <f t="shared" si="380"/>
        <v>65558888.08663664</v>
      </c>
      <c r="CO91" s="19">
        <f t="shared" si="380"/>
        <v>65682405.05272226</v>
      </c>
      <c r="CP91" s="19">
        <f t="shared" si="380"/>
        <v>65460426.761847824</v>
      </c>
      <c r="CQ91" s="19">
        <f t="shared" si="380"/>
        <v>65281725.296505138</v>
      </c>
      <c r="CR91" s="19">
        <f t="shared" si="380"/>
        <v>65679935.944645718</v>
      </c>
      <c r="CS91" s="19">
        <f t="shared" si="380"/>
        <v>65514993.820749849</v>
      </c>
      <c r="CT91" s="19">
        <f t="shared" si="380"/>
        <v>65795519.409381583</v>
      </c>
      <c r="CU91" s="19">
        <f t="shared" si="380"/>
        <v>65821031.13373293</v>
      </c>
      <c r="CV91" s="19">
        <f t="shared" si="380"/>
        <v>65686997.985284209</v>
      </c>
      <c r="CW91" s="19">
        <f t="shared" si="380"/>
        <v>65898456.870886736</v>
      </c>
      <c r="CX91" s="168"/>
      <c r="CY91" s="19">
        <f t="shared" si="348"/>
        <v>84111053.838841051</v>
      </c>
      <c r="CZ91" s="19">
        <f t="shared" si="349"/>
        <v>79216999.244615033</v>
      </c>
      <c r="DA91" s="19">
        <f t="shared" si="350"/>
        <v>79953898.365030915</v>
      </c>
      <c r="DB91" s="19">
        <f t="shared" si="351"/>
        <v>69283467.640380263</v>
      </c>
      <c r="DC91" s="19">
        <f t="shared" si="352"/>
        <v>80202425.595911384</v>
      </c>
      <c r="DD91" s="19">
        <f t="shared" si="353"/>
        <v>78282501.736280084</v>
      </c>
      <c r="DE91" s="19">
        <f t="shared" si="354"/>
        <v>79533325.710864604</v>
      </c>
      <c r="DF91" s="19">
        <f t="shared" si="355"/>
        <v>87141170.228445888</v>
      </c>
      <c r="DG91" s="19">
        <f t="shared" si="356"/>
        <v>102879997.06859027</v>
      </c>
      <c r="DH91" s="19">
        <f t="shared" si="357"/>
        <v>109543241.9685868</v>
      </c>
      <c r="DI91" s="19">
        <f t="shared" si="358"/>
        <v>114336582.97046179</v>
      </c>
      <c r="DJ91" s="19">
        <f t="shared" si="359"/>
        <v>132484494.42701352</v>
      </c>
      <c r="DK91" s="19">
        <f t="shared" si="360"/>
        <v>153508484.030029</v>
      </c>
      <c r="DL91" s="19">
        <f t="shared" si="361"/>
        <v>153200982.43969792</v>
      </c>
      <c r="DM91" s="19">
        <f t="shared" si="362"/>
        <v>153692108.44109544</v>
      </c>
      <c r="DN91" s="19">
        <f t="shared" si="363"/>
        <v>154053898.77336332</v>
      </c>
      <c r="DO91" s="19">
        <f t="shared" si="364"/>
        <v>173861532.97365624</v>
      </c>
      <c r="DP91" s="19">
        <f t="shared" si="365"/>
        <v>173535591.2719245</v>
      </c>
      <c r="DQ91" s="19">
        <f t="shared" si="366"/>
        <v>174055769.012335</v>
      </c>
      <c r="DR91" s="19">
        <f t="shared" si="367"/>
        <v>174438473.8848142</v>
      </c>
      <c r="DS91" s="19">
        <f t="shared" si="368"/>
        <v>196779298.22282547</v>
      </c>
      <c r="DT91" s="19">
        <f t="shared" si="369"/>
        <v>196424557.11107522</v>
      </c>
      <c r="DU91" s="19">
        <f t="shared" si="370"/>
        <v>196990449.17477715</v>
      </c>
      <c r="DV91" s="19">
        <f t="shared" si="371"/>
        <v>197406485.98990387</v>
      </c>
      <c r="DX91" s="19">
        <f t="shared" si="372"/>
        <v>312565419.08886731</v>
      </c>
      <c r="DY91" s="19">
        <f t="shared" si="373"/>
        <v>325159423.27150196</v>
      </c>
      <c r="DZ91" s="19">
        <f t="shared" si="374"/>
        <v>459244316.43465239</v>
      </c>
      <c r="EA91" s="19">
        <f t="shared" si="375"/>
        <v>614455473.68418574</v>
      </c>
      <c r="EB91" s="19">
        <f t="shared" si="376"/>
        <v>695891367.14273</v>
      </c>
      <c r="EC91" s="770">
        <f t="shared" si="377"/>
        <v>787600790.49858165</v>
      </c>
    </row>
    <row r="92" spans="2:133" x14ac:dyDescent="0.2">
      <c r="B92" s="24" t="s">
        <v>188</v>
      </c>
      <c r="C92" s="19">
        <f>'D2C - Retail'!J146+'D2C Online'!AA136</f>
        <v>2960520.329381356</v>
      </c>
      <c r="D92" s="19">
        <f>'D2C - Retail'!K146+'D2C Online'!AB136</f>
        <v>2888452.7541666669</v>
      </c>
      <c r="E92" s="19">
        <f>'D2C - Retail'!L146+'D2C Online'!AC136</f>
        <v>3613819.6596560739</v>
      </c>
      <c r="F92" s="19">
        <f>'D2C - Retail'!M146+'D2C Online'!AD136</f>
        <v>4048883.6498386534</v>
      </c>
      <c r="G92" s="19">
        <f>'D2C - Retail'!N146+'D2C Online'!AE136</f>
        <v>3388179.2131730765</v>
      </c>
      <c r="H92" s="19">
        <f>'D2C - Retail'!O146+'D2C Online'!AF136</f>
        <v>2692545.2355070622</v>
      </c>
      <c r="I92" s="19">
        <f>'D2C - Retail'!P146+'D2C Online'!AG136</f>
        <v>3783840.1583401314</v>
      </c>
      <c r="J92" s="19">
        <f>'D2C - Retail'!Q146+'D2C Online'!AH136</f>
        <v>4346893.8521945886</v>
      </c>
      <c r="K92" s="19">
        <f>'D2C - Retail'!R146+'D2C Online'!AI136</f>
        <v>5000257.6105067916</v>
      </c>
      <c r="L92" s="19">
        <f>'D2C - Retail'!S146+'D2C Online'!AJ136</f>
        <v>6397731.5946376566</v>
      </c>
      <c r="M92" s="19">
        <f>'D2C - Retail'!T146+'D2C Online'!AK136</f>
        <v>6757323.7065418316</v>
      </c>
      <c r="N92" s="19">
        <f>'D2C - Retail'!U146+'D2C Online'!AL136</f>
        <v>7450994.5454147113</v>
      </c>
      <c r="O92" s="19">
        <f>'D2C - Retail'!V146+'D2C Online'!AM136</f>
        <v>7925374.6721481867</v>
      </c>
      <c r="P92" s="19">
        <f>'D2C - Retail'!W146+'D2C Online'!AN136</f>
        <v>8226433.1311297808</v>
      </c>
      <c r="Q92" s="19">
        <f>'D2C - Retail'!X146+'D2C Online'!AO136</f>
        <v>9843950.103401944</v>
      </c>
      <c r="R92" s="19">
        <f>'D2C - Retail'!Y146+'D2C Online'!AP136</f>
        <v>11526389.556748318</v>
      </c>
      <c r="S92" s="19">
        <f>'D2C - Retail'!Z146+'D2C Online'!AQ136</f>
        <v>9984862.7224815227</v>
      </c>
      <c r="T92" s="19">
        <f>'D2C - Retail'!AA146+'D2C Online'!AR136</f>
        <v>11147295.178613648</v>
      </c>
      <c r="U92" s="19">
        <f>'D2C - Retail'!AB146+'D2C Online'!AS136</f>
        <v>12186517.645256767</v>
      </c>
      <c r="V92" s="19">
        <f>'D2C - Retail'!AC146+'D2C Online'!AT136</f>
        <v>13678531.144800087</v>
      </c>
      <c r="W92" s="19">
        <f>'D2C - Retail'!AD146+'D2C Online'!AU136</f>
        <v>13812314.569163414</v>
      </c>
      <c r="X92" s="19">
        <f>'D2C - Retail'!AE146+'D2C Online'!AV136</f>
        <v>14907303.449801171</v>
      </c>
      <c r="Y92" s="19">
        <f>'D2C - Retail'!AF146+'D2C Online'!AW136</f>
        <v>14521196.070744235</v>
      </c>
      <c r="Z92" s="19">
        <f>'D2C - Retail'!AG146+'D2C Online'!AX136</f>
        <v>16214534.555388959</v>
      </c>
      <c r="AA92" s="19">
        <f>'D2C - Retail'!AH146+'D2C Online'!AY136</f>
        <v>17302297.809787057</v>
      </c>
      <c r="AB92" s="19">
        <f>'D2C - Retail'!AI146+'D2C Online'!AZ136</f>
        <v>18248422.565310739</v>
      </c>
      <c r="AC92" s="19">
        <f>'D2C - Retail'!AJ146+'D2C Online'!BA136</f>
        <v>17438067.816518907</v>
      </c>
      <c r="AD92" s="19">
        <f>'D2C - Retail'!AK146+'D2C Online'!BB136</f>
        <v>18114584.155481126</v>
      </c>
      <c r="AE92" s="19">
        <f>'D2C - Retail'!AL146+'D2C Online'!BC136</f>
        <v>17325053.958066553</v>
      </c>
      <c r="AF92" s="19">
        <f>'D2C - Retail'!AM146+'D2C Online'!BD136</f>
        <v>17345638.365077417</v>
      </c>
      <c r="AG92" s="19">
        <f>'D2C - Retail'!AN146+'D2C Online'!BE136</f>
        <v>17109518.710709631</v>
      </c>
      <c r="AH92" s="19">
        <f>'D2C - Retail'!AO146+'D2C Online'!BF136</f>
        <v>16029638.969796877</v>
      </c>
      <c r="AI92" s="19">
        <f>'D2C - Retail'!AP146+'D2C Online'!BG136</f>
        <v>16474438.169228528</v>
      </c>
      <c r="AJ92" s="19">
        <f>'D2C - Retail'!AQ146+'D2C Online'!BH136</f>
        <v>18163281.938638382</v>
      </c>
      <c r="AK92" s="19">
        <f>'D2C - Retail'!AR146+'D2C Online'!BI136</f>
        <v>16760064.358283237</v>
      </c>
      <c r="AL92" s="19">
        <f>'D2C - Retail'!AS146+'D2C Online'!BJ136</f>
        <v>16173981.699542066</v>
      </c>
      <c r="AM92" s="19">
        <f>'D2C - Retail'!AT146+'D2C Online'!BK136</f>
        <v>14171721.738624126</v>
      </c>
      <c r="AN92" s="19">
        <f>'D2C - Retail'!AU146+'D2C Online'!BL136</f>
        <v>13939491.558407735</v>
      </c>
      <c r="AO92" s="19">
        <f>'D2C - Retail'!AV146+'D2C Online'!BM136</f>
        <v>14167941.533852343</v>
      </c>
      <c r="AP92" s="19">
        <f>'D2C - Retail'!AW146+'D2C Online'!BN136</f>
        <v>16254143.867937969</v>
      </c>
      <c r="AQ92" s="19">
        <f>'D2C - Retail'!AX146+'D2C Online'!BO136</f>
        <v>16415147.978328232</v>
      </c>
      <c r="AR92" s="19">
        <f>'D2C - Retail'!AY146+'D2C Online'!BP136</f>
        <v>15864676.058838796</v>
      </c>
      <c r="AS92" s="19">
        <f>'D2C - Retail'!AZ146+'D2C Online'!BQ136</f>
        <v>15938825.212245319</v>
      </c>
      <c r="AT92" s="19">
        <f>'D2C - Retail'!BA146+'D2C Online'!BR136</f>
        <v>15556973.196027217</v>
      </c>
      <c r="AU92" s="19">
        <f>'D2C - Retail'!BB146+'D2C Online'!BS136</f>
        <v>14504868.76171279</v>
      </c>
      <c r="AV92" s="19">
        <f>'D2C - Retail'!BC146+'D2C Online'!BT136</f>
        <v>17057628.106575374</v>
      </c>
      <c r="AW92" s="19">
        <f>'D2C - Retail'!BD146+'D2C Online'!BU136</f>
        <v>17983568.876556892</v>
      </c>
      <c r="AX92" s="19">
        <f>'D2C - Retail'!BE146+'D2C Online'!BV136</f>
        <v>18150449.68829095</v>
      </c>
      <c r="AY92" s="19">
        <f>'D2C - Retail'!BF146+'D2C Online'!BW136</f>
        <v>17918612.277669493</v>
      </c>
      <c r="AZ92" s="19">
        <f>'D2C - Retail'!BG146+'D2C Online'!BX136</f>
        <v>18575150.410773523</v>
      </c>
      <c r="BA92" s="19">
        <f>'D2C - Retail'!BH146+'D2C Online'!BY136</f>
        <v>21446587.604450215</v>
      </c>
      <c r="BB92" s="19">
        <f>'D2C - Retail'!BI146+'D2C Online'!BZ136</f>
        <v>20657592.35004231</v>
      </c>
      <c r="BC92" s="19">
        <f>'D2C - Retail'!BJ146+'D2C Online'!CA136</f>
        <v>20480035.53212795</v>
      </c>
      <c r="BD92" s="19">
        <f>'D2C - Retail'!BK146+'D2C Online'!CB136</f>
        <v>20280914.027277052</v>
      </c>
      <c r="BE92" s="19">
        <f>'D2C - Retail'!BL146+'D2C Online'!CC136</f>
        <v>21732660.04463201</v>
      </c>
      <c r="BF92" s="19">
        <f>'D2C - Retail'!BM146+'D2C Online'!CD136</f>
        <v>22660853.967915911</v>
      </c>
      <c r="BG92" s="19">
        <f>'D2C - Retail'!BN146+'D2C Online'!CE136</f>
        <v>21549895.410087578</v>
      </c>
      <c r="BH92" s="19">
        <f>'D2C - Retail'!BO146+'D2C Online'!CF136</f>
        <v>23263485.018828973</v>
      </c>
      <c r="BI92" s="19">
        <f>'D2C - Retail'!BP146+'D2C Online'!CG136</f>
        <v>24604608.31774186</v>
      </c>
      <c r="BJ92" s="19">
        <f>'D2C - Retail'!BQ146+'D2C Online'!CH136</f>
        <v>24180924.628740732</v>
      </c>
      <c r="BK92" s="19">
        <f>'D2C - Retail'!BR146+'D2C Online'!CI136</f>
        <v>28102943.7892607</v>
      </c>
      <c r="BL92" s="19">
        <f>'D2C - Retail'!BS146+'D2C Online'!CJ136</f>
        <v>28800442.542883001</v>
      </c>
      <c r="BM92" s="19">
        <f>'D2C - Retail'!BT146+'D2C Online'!CK136</f>
        <v>26877472.464568667</v>
      </c>
      <c r="BN92" s="19">
        <f>'D2C - Retail'!BU146+'D2C Online'!CL136</f>
        <v>31930437.287907582</v>
      </c>
      <c r="BO92" s="19">
        <f>'D2C - Retail'!BV146+'D2C Online'!CM136</f>
        <v>31930437.287907582</v>
      </c>
      <c r="BP92" s="19">
        <f>'D2C - Retail'!BW146+'D2C Online'!CN136</f>
        <v>31930437.287907582</v>
      </c>
      <c r="BQ92" s="19">
        <f>'D2C - Retail'!BX146+'D2C Online'!CO136</f>
        <v>31930437.287907582</v>
      </c>
      <c r="BR92" s="19">
        <f>'D2C - Retail'!BY146+'D2C Online'!CP136</f>
        <v>31930437.287907582</v>
      </c>
      <c r="BS92" s="19">
        <f>'D2C - Retail'!BZ146+'D2C Online'!CQ136</f>
        <v>31930437.287907582</v>
      </c>
      <c r="BT92" s="19">
        <f>'D2C - Retail'!CA146+'D2C Online'!CR136</f>
        <v>31930437.287907582</v>
      </c>
      <c r="BU92" s="19">
        <f>'D2C - Retail'!CB146+'D2C Online'!CS136</f>
        <v>31930437.287907582</v>
      </c>
      <c r="BV92" s="19">
        <f>'D2C - Retail'!CC146+'D2C Online'!CT136</f>
        <v>31930437.287907582</v>
      </c>
      <c r="BW92" s="19">
        <f>'D2C - Retail'!CD146+'D2C Online'!CU136</f>
        <v>31930437.287907582</v>
      </c>
      <c r="BX92" s="19">
        <f>'D2C - Retail'!CE146+'D2C Online'!CV136</f>
        <v>31930437.287907582</v>
      </c>
      <c r="BY92" s="19">
        <f>'D2C - Retail'!CF146+'D2C Online'!CW136</f>
        <v>31930437.287907582</v>
      </c>
      <c r="BZ92" s="19">
        <f>'D2C - Retail'!CG146+'D2C Online'!CX136</f>
        <v>36209115.884487197</v>
      </c>
      <c r="CA92" s="19">
        <f>'D2C - Retail'!CH146+'D2C Online'!CY136</f>
        <v>36209115.884487197</v>
      </c>
      <c r="CB92" s="19">
        <f>'D2C - Retail'!CI146+'D2C Online'!CZ136</f>
        <v>36209115.884487197</v>
      </c>
      <c r="CC92" s="19">
        <f>'D2C - Retail'!CJ146+'D2C Online'!DA136</f>
        <v>36209115.884487197</v>
      </c>
      <c r="CD92" s="19">
        <f>'D2C - Retail'!CK146+'D2C Online'!DB136</f>
        <v>36209115.884487197</v>
      </c>
      <c r="CE92" s="19">
        <f>'D2C - Retail'!CL146+'D2C Online'!DC136</f>
        <v>36209115.884487197</v>
      </c>
      <c r="CF92" s="19">
        <f>'D2C - Retail'!CM146+'D2C Online'!DD136</f>
        <v>36209115.884487197</v>
      </c>
      <c r="CG92" s="19">
        <f>'D2C - Retail'!CN146+'D2C Online'!DE136</f>
        <v>36209115.884487197</v>
      </c>
      <c r="CH92" s="19">
        <f>'D2C - Retail'!CO146+'D2C Online'!DF136</f>
        <v>36209115.884487197</v>
      </c>
      <c r="CI92" s="19">
        <f>'D2C - Retail'!CP146+'D2C Online'!DG136</f>
        <v>36209115.884487197</v>
      </c>
      <c r="CJ92" s="19">
        <f>'D2C - Retail'!CQ146+'D2C Online'!DH136</f>
        <v>36209115.884487197</v>
      </c>
      <c r="CK92" s="19">
        <f>'D2C - Retail'!CR146+'D2C Online'!DI136</f>
        <v>36209115.884487197</v>
      </c>
      <c r="CL92" s="19">
        <f>'D2C - Retail'!CS146+'D2C Online'!DJ136</f>
        <v>41061137.413008496</v>
      </c>
      <c r="CM92" s="19">
        <f>'D2C - Retail'!CT146+'D2C Online'!DK136</f>
        <v>41061137.413008496</v>
      </c>
      <c r="CN92" s="19">
        <f>'D2C - Retail'!CU146+'D2C Online'!DL136</f>
        <v>41061137.413008496</v>
      </c>
      <c r="CO92" s="19">
        <f>'D2C - Retail'!CV146+'D2C Online'!DM136</f>
        <v>41061137.413008496</v>
      </c>
      <c r="CP92" s="19">
        <f>'D2C - Retail'!CW146+'D2C Online'!DN136</f>
        <v>41061137.413008496</v>
      </c>
      <c r="CQ92" s="19">
        <f>'D2C - Retail'!CX146+'D2C Online'!DO136</f>
        <v>41061137.413008496</v>
      </c>
      <c r="CR92" s="19">
        <f>'D2C - Retail'!CY146+'D2C Online'!DP136</f>
        <v>41061137.413008496</v>
      </c>
      <c r="CS92" s="19">
        <f>'D2C - Retail'!CZ146+'D2C Online'!DQ136</f>
        <v>41061137.413008496</v>
      </c>
      <c r="CT92" s="19">
        <f>'D2C - Retail'!DA146+'D2C Online'!DR136</f>
        <v>41061137.413008496</v>
      </c>
      <c r="CU92" s="19">
        <f>'D2C - Retail'!DB146+'D2C Online'!DS136</f>
        <v>41061137.413008496</v>
      </c>
      <c r="CV92" s="19">
        <f>'D2C - Retail'!DC146+'D2C Online'!DT136</f>
        <v>41061137.413008496</v>
      </c>
      <c r="CW92" s="19">
        <f>'D2C - Retail'!DD146+'D2C Online'!DU136</f>
        <v>41061137.413008496</v>
      </c>
      <c r="CX92" s="168"/>
      <c r="CY92" s="19">
        <f t="shared" si="348"/>
        <v>52785276.478625104</v>
      </c>
      <c r="CZ92" s="19">
        <f t="shared" si="349"/>
        <v>49613595.849735036</v>
      </c>
      <c r="DA92" s="19">
        <f t="shared" si="350"/>
        <v>51097327.996463686</v>
      </c>
      <c r="DB92" s="19">
        <f t="shared" si="351"/>
        <v>42279154.830884203</v>
      </c>
      <c r="DC92" s="19">
        <f t="shared" si="352"/>
        <v>48533967.905104995</v>
      </c>
      <c r="DD92" s="19">
        <f t="shared" si="353"/>
        <v>46000667.169985324</v>
      </c>
      <c r="DE92" s="19">
        <f t="shared" si="354"/>
        <v>53191646.671423212</v>
      </c>
      <c r="DF92" s="19">
        <f t="shared" si="355"/>
        <v>57940350.292893231</v>
      </c>
      <c r="DG92" s="19">
        <f t="shared" si="356"/>
        <v>61418541.909447312</v>
      </c>
      <c r="DH92" s="19">
        <f t="shared" si="357"/>
        <v>65943409.422635503</v>
      </c>
      <c r="DI92" s="19">
        <f t="shared" si="358"/>
        <v>72049017.965311557</v>
      </c>
      <c r="DJ92" s="19">
        <f t="shared" si="359"/>
        <v>83780858.796712369</v>
      </c>
      <c r="DK92" s="19">
        <f t="shared" si="360"/>
        <v>95791311.863722742</v>
      </c>
      <c r="DL92" s="19">
        <f t="shared" si="361"/>
        <v>95791311.863722742</v>
      </c>
      <c r="DM92" s="19">
        <f t="shared" si="362"/>
        <v>95791311.863722742</v>
      </c>
      <c r="DN92" s="19">
        <f t="shared" si="363"/>
        <v>95791311.863722742</v>
      </c>
      <c r="DO92" s="19">
        <f t="shared" si="364"/>
        <v>108627347.65346159</v>
      </c>
      <c r="DP92" s="19">
        <f t="shared" si="365"/>
        <v>108627347.65346159</v>
      </c>
      <c r="DQ92" s="19">
        <f t="shared" si="366"/>
        <v>108627347.65346159</v>
      </c>
      <c r="DR92" s="19">
        <f t="shared" si="367"/>
        <v>108627347.65346159</v>
      </c>
      <c r="DS92" s="19">
        <f t="shared" si="368"/>
        <v>123183412.23902549</v>
      </c>
      <c r="DT92" s="19">
        <f t="shared" si="369"/>
        <v>123183412.23902549</v>
      </c>
      <c r="DU92" s="19">
        <f t="shared" si="370"/>
        <v>123183412.23902549</v>
      </c>
      <c r="DV92" s="19">
        <f t="shared" si="371"/>
        <v>123183412.23902549</v>
      </c>
      <c r="DX92" s="19">
        <f t="shared" si="372"/>
        <v>195775355.15570801</v>
      </c>
      <c r="DY92" s="19">
        <f t="shared" si="373"/>
        <v>205666632.03940678</v>
      </c>
      <c r="DZ92" s="19">
        <f t="shared" si="374"/>
        <v>283191828.09410673</v>
      </c>
      <c r="EA92" s="19">
        <f t="shared" si="375"/>
        <v>383165247.45489097</v>
      </c>
      <c r="EB92" s="19">
        <f t="shared" si="376"/>
        <v>434509390.61384636</v>
      </c>
      <c r="EC92" s="770">
        <f t="shared" si="377"/>
        <v>492733648.95610195</v>
      </c>
    </row>
    <row r="93" spans="2:133" x14ac:dyDescent="0.2">
      <c r="B93" s="173" t="s">
        <v>45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68"/>
      <c r="CY93" s="19">
        <f t="shared" si="348"/>
        <v>0</v>
      </c>
      <c r="CZ93" s="19">
        <f t="shared" si="349"/>
        <v>0</v>
      </c>
      <c r="DA93" s="19">
        <f t="shared" si="350"/>
        <v>0</v>
      </c>
      <c r="DB93" s="19">
        <f t="shared" si="351"/>
        <v>0</v>
      </c>
      <c r="DC93" s="19">
        <f t="shared" si="352"/>
        <v>0</v>
      </c>
      <c r="DD93" s="19">
        <f t="shared" si="353"/>
        <v>0</v>
      </c>
      <c r="DE93" s="19">
        <f t="shared" si="354"/>
        <v>0</v>
      </c>
      <c r="DF93" s="19">
        <f t="shared" si="355"/>
        <v>0</v>
      </c>
      <c r="DG93" s="19">
        <f t="shared" si="356"/>
        <v>0</v>
      </c>
      <c r="DH93" s="19">
        <f t="shared" si="357"/>
        <v>0</v>
      </c>
      <c r="DI93" s="19">
        <f t="shared" si="358"/>
        <v>0</v>
      </c>
      <c r="DJ93" s="19">
        <f t="shared" si="359"/>
        <v>0</v>
      </c>
      <c r="DK93" s="19">
        <f t="shared" si="360"/>
        <v>0</v>
      </c>
      <c r="DL93" s="19">
        <f t="shared" si="361"/>
        <v>0</v>
      </c>
      <c r="DM93" s="19">
        <f t="shared" si="362"/>
        <v>0</v>
      </c>
      <c r="DN93" s="19">
        <f t="shared" si="363"/>
        <v>0</v>
      </c>
      <c r="DO93" s="19">
        <f t="shared" si="364"/>
        <v>0</v>
      </c>
      <c r="DP93" s="19">
        <f t="shared" si="365"/>
        <v>0</v>
      </c>
      <c r="DQ93" s="19">
        <f t="shared" si="366"/>
        <v>0</v>
      </c>
      <c r="DR93" s="19">
        <f t="shared" si="367"/>
        <v>0</v>
      </c>
      <c r="DS93" s="19">
        <f t="shared" si="368"/>
        <v>0</v>
      </c>
      <c r="DT93" s="19">
        <f t="shared" si="369"/>
        <v>0</v>
      </c>
      <c r="DU93" s="19">
        <f t="shared" si="370"/>
        <v>0</v>
      </c>
      <c r="DV93" s="19">
        <f t="shared" si="371"/>
        <v>0</v>
      </c>
      <c r="DX93" s="19">
        <f t="shared" si="372"/>
        <v>0</v>
      </c>
      <c r="DY93" s="19">
        <f t="shared" si="373"/>
        <v>0</v>
      </c>
      <c r="DZ93" s="19">
        <f t="shared" si="374"/>
        <v>0</v>
      </c>
      <c r="EA93" s="19">
        <f t="shared" si="375"/>
        <v>0</v>
      </c>
      <c r="EB93" s="19">
        <f t="shared" si="376"/>
        <v>0</v>
      </c>
      <c r="EC93" s="770">
        <f t="shared" si="377"/>
        <v>0</v>
      </c>
    </row>
    <row r="94" spans="2:133" x14ac:dyDescent="0.2">
      <c r="B94" s="24" t="s">
        <v>46</v>
      </c>
      <c r="C94" s="19">
        <f>'D2C - Retail'!J148*'D2C - Retail'!J75/SUM('D2C - Retail'!J75:J77)+'D2C Online'!AA138</f>
        <v>359117.11363930826</v>
      </c>
      <c r="D94" s="19">
        <f>'D2C - Retail'!K148*'D2C - Retail'!K75/SUM('D2C - Retail'!K75:K77)+'D2C Online'!AB138</f>
        <v>344710.82992988796</v>
      </c>
      <c r="E94" s="19">
        <f>'D2C - Retail'!L148*'D2C - Retail'!L75/SUM('D2C - Retail'!L75:L77)+'D2C Online'!AC138</f>
        <v>387812.90689350758</v>
      </c>
      <c r="F94" s="19">
        <f>'D2C - Retail'!M148*'D2C - Retail'!M75/SUM('D2C - Retail'!M75:M77)+'D2C Online'!AD138</f>
        <v>450855.37694090977</v>
      </c>
      <c r="G94" s="19">
        <f>'D2C - Retail'!N148*'D2C - Retail'!N75/SUM('D2C - Retail'!N75:N77)+'D2C Online'!AE138</f>
        <v>395760.15282550803</v>
      </c>
      <c r="H94" s="19">
        <f>'D2C - Retail'!O148*'D2C - Retail'!O75/SUM('D2C - Retail'!O75:O77)+'D2C Online'!AF138</f>
        <v>328339.81362201227</v>
      </c>
      <c r="I94" s="19">
        <f>'D2C - Retail'!P148*'D2C - Retail'!P75/SUM('D2C - Retail'!P75:P77)+'D2C Online'!AG138</f>
        <v>855885.46770896879</v>
      </c>
      <c r="J94" s="19">
        <f>'D2C - Retail'!Q148*'D2C - Retail'!Q75/SUM('D2C - Retail'!Q75:Q77)+'D2C Online'!AH138</f>
        <v>936349.45130441897</v>
      </c>
      <c r="K94" s="19">
        <f>'D2C - Retail'!R148*'D2C - Retail'!R75/SUM('D2C - Retail'!R75:R77)+'D2C Online'!AI138</f>
        <v>974498.19742306089</v>
      </c>
      <c r="L94" s="19">
        <f>'D2C - Retail'!S148*'D2C - Retail'!S75/SUM('D2C - Retail'!S75:S77)+'D2C Online'!AJ138</f>
        <v>1146640.3822010346</v>
      </c>
      <c r="M94" s="19">
        <f>'D2C - Retail'!T148*'D2C - Retail'!T75/SUM('D2C - Retail'!T75:T77)+'D2C Online'!AK138</f>
        <v>1263087.0395738822</v>
      </c>
      <c r="N94" s="19">
        <f>'D2C - Retail'!U148*'D2C - Retail'!U75/SUM('D2C - Retail'!U75:U77)+'D2C Online'!AL138</f>
        <v>1503518.3887260254</v>
      </c>
      <c r="O94" s="19">
        <f>'D2C - Retail'!V148*'D2C - Retail'!V75/SUM('D2C - Retail'!V75:V77)+'D2C Online'!AM138</f>
        <v>1594514.0617898807</v>
      </c>
      <c r="P94" s="19">
        <f>'D2C - Retail'!W148*'D2C - Retail'!W75/SUM('D2C - Retail'!W75:W77)+'D2C Online'!AN138</f>
        <v>1670755.7191025366</v>
      </c>
      <c r="Q94" s="19">
        <f>'D2C - Retail'!X148*'D2C - Retail'!X75/SUM('D2C - Retail'!X75:X77)+'D2C Online'!AO138</f>
        <v>2123833.3156324136</v>
      </c>
      <c r="R94" s="19">
        <f>'D2C - Retail'!Y148*'D2C - Retail'!Y75/SUM('D2C - Retail'!Y75:Y77)+'D2C Online'!AP138</f>
        <v>2466966.9364670129</v>
      </c>
      <c r="S94" s="19">
        <f>'D2C - Retail'!Z148*'D2C - Retail'!Z75/SUM('D2C - Retail'!Z75:Z77)+'D2C Online'!AQ138</f>
        <v>2809115.0776446257</v>
      </c>
      <c r="T94" s="19">
        <f>'D2C - Retail'!AA148*'D2C - Retail'!AA75/SUM('D2C - Retail'!AA75:AA77)+'D2C Online'!AR138</f>
        <v>2727201.766847285</v>
      </c>
      <c r="U94" s="19">
        <f>'D2C - Retail'!AB148*'D2C - Retail'!AB75/SUM('D2C - Retail'!AB75:AB77)+'D2C Online'!AS138</f>
        <v>3009139.9125949522</v>
      </c>
      <c r="V94" s="19">
        <f>'D2C - Retail'!AC148*'D2C - Retail'!AC75/SUM('D2C - Retail'!AC75:AC77)+'D2C Online'!AT138</f>
        <v>3023975.4017731869</v>
      </c>
      <c r="W94" s="19">
        <f>'D2C - Retail'!AD148*'D2C - Retail'!AD75/SUM('D2C - Retail'!AD75:AD77)+'D2C Online'!AU138</f>
        <v>3809537.2294651261</v>
      </c>
      <c r="X94" s="19">
        <f>'D2C - Retail'!AE148*'D2C - Retail'!AE75/SUM('D2C - Retail'!AE75:AE77)+'D2C Online'!AV138</f>
        <v>3788182.5239766273</v>
      </c>
      <c r="Y94" s="19">
        <f>'D2C - Retail'!AF148*'D2C - Retail'!AF75/SUM('D2C - Retail'!AF75:AF77)+'D2C Online'!AW138</f>
        <v>4116447.0367004224</v>
      </c>
      <c r="Z94" s="19">
        <f>'D2C - Retail'!AG148*'D2C - Retail'!AG75/SUM('D2C - Retail'!AG75:AG77)+'D2C Online'!AX138</f>
        <v>4123726.3313066624</v>
      </c>
      <c r="AA94" s="19">
        <f>'D2C - Retail'!AH148*'D2C - Retail'!AH75/SUM('D2C - Retail'!AH75:AH77)+'D2C Online'!AY138</f>
        <v>4420644.5027463883</v>
      </c>
      <c r="AB94" s="19">
        <f>'D2C - Retail'!AI148*'D2C - Retail'!AI75/SUM('D2C - Retail'!AI75:AI77)+'D2C Online'!AZ138</f>
        <v>4431535.0737527171</v>
      </c>
      <c r="AC94" s="19">
        <f>'D2C - Retail'!AJ148*'D2C - Retail'!AJ75/SUM('D2C - Retail'!AJ75:AJ77)+'D2C Online'!BA138</f>
        <v>5633544.131444904</v>
      </c>
      <c r="AD94" s="19">
        <f>'D2C - Retail'!AK148*'D2C - Retail'!AK75/SUM('D2C - Retail'!AK75:AK77)+'D2C Online'!BB138</f>
        <v>10293436.040670633</v>
      </c>
      <c r="AE94" s="19">
        <f>'D2C - Retail'!AL148*'D2C - Retail'!AL75/SUM('D2C - Retail'!AL75:AL77)+'D2C Online'!BC138</f>
        <v>10485254.795303926</v>
      </c>
      <c r="AF94" s="19">
        <f>'D2C - Retail'!AM148*'D2C - Retail'!AM75/SUM('D2C - Retail'!AM75:AM77)+'D2C Online'!BD138</f>
        <v>10547086.524241388</v>
      </c>
      <c r="AG94" s="19">
        <f>'D2C - Retail'!AN148*'D2C - Retail'!AN75/SUM('D2C - Retail'!AN75:AN77)+'D2C Online'!BE138</f>
        <v>10357686.524601769</v>
      </c>
      <c r="AH94" s="19">
        <f>'D2C - Retail'!AO148*'D2C - Retail'!AO75/SUM('D2C - Retail'!AO75:AO77)+'D2C Online'!BF138</f>
        <v>9797490.9742396027</v>
      </c>
      <c r="AI94" s="19">
        <f>'D2C - Retail'!AP148*'D2C - Retail'!AP75/SUM('D2C - Retail'!AP75:AP77)+'D2C Online'!BG138</f>
        <v>9448225.8960386217</v>
      </c>
      <c r="AJ94" s="19">
        <f>'D2C - Retail'!AQ148*'D2C - Retail'!AQ75/SUM('D2C - Retail'!AQ75:AQ77)+'D2C Online'!BH138</f>
        <v>9187832.6055694371</v>
      </c>
      <c r="AK94" s="19">
        <f>'D2C - Retail'!AR148*'D2C - Retail'!AR75/SUM('D2C - Retail'!AR75:AR77)+'D2C Online'!BI138</f>
        <v>9830968.3407782055</v>
      </c>
      <c r="AL94" s="19">
        <f>'D2C - Retail'!AS148*'D2C - Retail'!AS75/SUM('D2C - Retail'!AS75:AS77)+'D2C Online'!BJ138</f>
        <v>9837769.4222195838</v>
      </c>
      <c r="AM94" s="19">
        <f>'D2C - Retail'!AT148*'D2C - Retail'!AT75/SUM('D2C - Retail'!AT75:AT77)+'D2C Online'!BK138</f>
        <v>9211826.2517792359</v>
      </c>
      <c r="AN94" s="19">
        <f>'D2C - Retail'!AU148*'D2C - Retail'!AU75/SUM('D2C - Retail'!AU75:AU77)+'D2C Online'!BL138</f>
        <v>8682282.557904467</v>
      </c>
      <c r="AO94" s="19">
        <f>'D2C - Retail'!AV148*'D2C - Retail'!AV75/SUM('D2C - Retail'!AV75:AV77)+'D2C Online'!BM138</f>
        <v>9110203.9998123534</v>
      </c>
      <c r="AP94" s="19">
        <f>'D2C - Retail'!AW148*'D2C - Retail'!AW75/SUM('D2C - Retail'!AW75:AW77)+'D2C Online'!BN138</f>
        <v>9966837.6030198596</v>
      </c>
      <c r="AQ94" s="19">
        <f>'D2C - Retail'!AX148*'D2C - Retail'!AX75/SUM('D2C - Retail'!AX75:AX77)+'D2C Online'!BO138</f>
        <v>10555087.819574511</v>
      </c>
      <c r="AR94" s="19">
        <f>'D2C - Retail'!AY148*'D2C - Retail'!AY75/SUM('D2C - Retail'!AY75:AY77)+'D2C Online'!BP138</f>
        <v>11146532.268212013</v>
      </c>
      <c r="AS94" s="19">
        <f>'D2C - Retail'!AZ148*'D2C - Retail'!AZ75/SUM('D2C - Retail'!AZ75:AZ77)+'D2C Online'!BQ138</f>
        <v>11219816.930073865</v>
      </c>
      <c r="AT94" s="19">
        <f>'D2C - Retail'!BA148*'D2C - Retail'!BA75/SUM('D2C - Retail'!BA75:BA77)+'D2C Online'!BR138</f>
        <v>10819412.802123249</v>
      </c>
      <c r="AU94" s="19">
        <f>'D2C - Retail'!BB148*'D2C - Retail'!BB75/SUM('D2C - Retail'!BB75:BB77)+'D2C Online'!BS138</f>
        <v>10242604.834097644</v>
      </c>
      <c r="AV94" s="19">
        <f>'D2C - Retail'!BC148*'D2C - Retail'!BC75/SUM('D2C - Retail'!BC75:BC77)+'D2C Online'!BT138</f>
        <v>8419338.4112360477</v>
      </c>
      <c r="AW94" s="19">
        <f>'D2C - Retail'!BD148*'D2C - Retail'!BD75/SUM('D2C - Retail'!BD75:BD77)+'D2C Online'!BU138</f>
        <v>9586320.7459188476</v>
      </c>
      <c r="AX94" s="19">
        <f>'D2C - Retail'!BE148*'D2C - Retail'!BE75/SUM('D2C - Retail'!BE75:BE77)+'D2C Online'!BV138</f>
        <v>8336019.8822864909</v>
      </c>
      <c r="AY94" s="19">
        <f>'D2C - Retail'!BF148*'D2C - Retail'!BF75/SUM('D2C - Retail'!BF75:BF77)+'D2C Online'!BW138</f>
        <v>8974420.7568140291</v>
      </c>
      <c r="AZ94" s="19">
        <f>'D2C - Retail'!BG148*'D2C - Retail'!BG75/SUM('D2C - Retail'!BG75:BG77)+'D2C Online'!BX138</f>
        <v>9096863.2716085892</v>
      </c>
      <c r="BA94" s="19">
        <f>'D2C - Retail'!BH148*'D2C - Retail'!BH75/SUM('D2C - Retail'!BH75:BH77)+'D2C Online'!BY138</f>
        <v>11129535.907130038</v>
      </c>
      <c r="BB94" s="19">
        <f>'D2C - Retail'!BI148*'D2C - Retail'!BI75/SUM('D2C - Retail'!BI75:BI77)+'D2C Online'!BZ138</f>
        <v>13589400.172665522</v>
      </c>
      <c r="BC94" s="19">
        <f>'D2C - Retail'!BJ148*'D2C - Retail'!BJ75/SUM('D2C - Retail'!BJ75:BJ77)+'D2C Online'!CA138</f>
        <v>14038041.883291913</v>
      </c>
      <c r="BD94" s="19">
        <f>'D2C - Retail'!BK148*'D2C - Retail'!BK75/SUM('D2C - Retail'!BK75:BK77)+'D2C Online'!CB138</f>
        <v>13834013.103185521</v>
      </c>
      <c r="BE94" s="19">
        <f>'D2C - Retail'!BL148*'D2C - Retail'!BL75/SUM('D2C - Retail'!BL75:BL77)+'D2C Online'!CC138</f>
        <v>14538132.259288644</v>
      </c>
      <c r="BF94" s="19">
        <f>'D2C - Retail'!BM148*'D2C - Retail'!BM75/SUM('D2C - Retail'!BM75:BM77)+'D2C Online'!CD138</f>
        <v>14357938.362937031</v>
      </c>
      <c r="BG94" s="19">
        <f>'D2C - Retail'!BN148*'D2C - Retail'!BN75/SUM('D2C - Retail'!BN75:BN77)+'D2C Online'!CE138</f>
        <v>14703761.923725618</v>
      </c>
      <c r="BH94" s="19">
        <f>'D2C - Retail'!BO148*'D2C - Retail'!BO75/SUM('D2C - Retail'!BO75:BO77)+'D2C Online'!CF138</f>
        <v>13402946.093081271</v>
      </c>
      <c r="BI94" s="19">
        <f>'D2C - Retail'!BP148*'D2C - Retail'!BP75/SUM('D2C - Retail'!BP75:BP77)+'D2C Online'!CG138</f>
        <v>14340264.516444072</v>
      </c>
      <c r="BJ94" s="19">
        <f>'D2C - Retail'!BQ148*'D2C - Retail'!BQ75/SUM('D2C - Retail'!BQ75:BQ77)+'D2C Online'!CH138</f>
        <v>14544354.395624869</v>
      </c>
      <c r="BK94" s="19">
        <f>'D2C - Retail'!BR148*'D2C - Retail'!BR75/SUM('D2C - Retail'!BR75:BR77)+'D2C Online'!CI138</f>
        <v>16074754.268818846</v>
      </c>
      <c r="BL94" s="19">
        <f>'D2C - Retail'!BS148*'D2C - Retail'!BS75/SUM('D2C - Retail'!BS75:BS77)+'D2C Online'!CJ138</f>
        <v>16383486.24429368</v>
      </c>
      <c r="BM94" s="19">
        <f>'D2C - Retail'!BT148*'D2C - Retail'!BT75/SUM('D2C - Retail'!BT75:BT77)+'D2C Online'!CK138</f>
        <v>16245395.117188619</v>
      </c>
      <c r="BN94" s="19">
        <f>'D2C - Retail'!BU148*'D2C - Retail'!BU75/SUM('D2C - Retail'!BU75:BU77)+'D2C Online'!CL138</f>
        <v>19276052.905457132</v>
      </c>
      <c r="BO94" s="19">
        <f>'D2C - Retail'!BV148*'D2C - Retail'!BV75/SUM('D2C - Retail'!BV75:BV77)+'D2C Online'!CM138</f>
        <v>19231772.182443209</v>
      </c>
      <c r="BP94" s="19">
        <f>'D2C - Retail'!BW148*'D2C - Retail'!BW75/SUM('D2C - Retail'!BW75:BW77)+'D2C Online'!CN138</f>
        <v>19209347.078405939</v>
      </c>
      <c r="BQ94" s="19">
        <f>'D2C - Retail'!BX148*'D2C - Retail'!BX75/SUM('D2C - Retail'!BX75:BX77)+'D2C Online'!CO138</f>
        <v>19316649.040306259</v>
      </c>
      <c r="BR94" s="19">
        <f>'D2C - Retail'!BY148*'D2C - Retail'!BY75/SUM('D2C - Retail'!BY75:BY77)+'D2C Online'!CP138</f>
        <v>19123916.925663769</v>
      </c>
      <c r="BS94" s="19">
        <f>'D2C - Retail'!BZ148*'D2C - Retail'!BZ75/SUM('D2C - Retail'!BZ75:BZ77)+'D2C Online'!CQ138</f>
        <v>18969104.610005129</v>
      </c>
      <c r="BT94" s="19">
        <f>'D2C - Retail'!CA148*'D2C - Retail'!CA75/SUM('D2C - Retail'!CA75:CA77)+'D2C Online'!CR138</f>
        <v>19314502.627445791</v>
      </c>
      <c r="BU94" s="19">
        <f>'D2C - Retail'!CB148*'D2C - Retail'!CB75/SUM('D2C - Retail'!CB75:CB77)+'D2C Online'!CS138</f>
        <v>19171250.595438413</v>
      </c>
      <c r="BV94" s="19">
        <f>'D2C - Retail'!CC148*'D2C - Retail'!CC75/SUM('D2C - Retail'!CC75:CC77)+'D2C Online'!CT138</f>
        <v>19415043.354488496</v>
      </c>
      <c r="BW94" s="19">
        <f>'D2C - Retail'!CD148*'D2C - Retail'!CD75/SUM('D2C - Retail'!CD75:CD77)+'D2C Online'!CU138</f>
        <v>19437252.245250102</v>
      </c>
      <c r="BX94" s="19">
        <f>'D2C - Retail'!CE148*'D2C - Retail'!CE75/SUM('D2C - Retail'!CE75:CE77)+'D2C Online'!CV138</f>
        <v>19320641.865330759</v>
      </c>
      <c r="BY94" s="19">
        <f>'D2C - Retail'!CF148*'D2C - Retail'!CF75/SUM('D2C - Retail'!CF75:CF77)+'D2C Online'!CW138</f>
        <v>19504692.799059704</v>
      </c>
      <c r="BZ94" s="19">
        <f>'D2C - Retail'!CG148*'D2C - Retail'!CG75/SUM('D2C - Retail'!CG75:CG77)+'D2C Online'!CX138</f>
        <v>21783893.190625299</v>
      </c>
      <c r="CA94" s="19">
        <f>'D2C - Retail'!CH148*'D2C - Retail'!CH75/SUM('D2C - Retail'!CH75:CH77)+'D2C Online'!CY138</f>
        <v>21737018.641540036</v>
      </c>
      <c r="CB94" s="19">
        <f>'D2C - Retail'!CI148*'D2C - Retail'!CI75/SUM('D2C - Retail'!CI75:CI77)+'D2C Online'!CZ138</f>
        <v>21713273.488029312</v>
      </c>
      <c r="CC94" s="19">
        <f>'D2C - Retail'!CJ148*'D2C - Retail'!CJ75/SUM('D2C - Retail'!CJ75:CJ77)+'D2C Online'!DA138</f>
        <v>21826852.452885382</v>
      </c>
      <c r="CD94" s="19">
        <f>'D2C - Retail'!CK148*'D2C - Retail'!CK75/SUM('D2C - Retail'!CK75:CK77)+'D2C Online'!DB138</f>
        <v>21622774.707563713</v>
      </c>
      <c r="CE94" s="19">
        <f>'D2C - Retail'!CL148*'D2C - Retail'!CL75/SUM('D2C - Retail'!CL75:CL77)+'D2C Online'!DC138</f>
        <v>21458616.458013836</v>
      </c>
      <c r="CF94" s="19">
        <f>'D2C - Retail'!CM148*'D2C - Retail'!CM75/SUM('D2C - Retail'!CM75:CM77)+'D2C Online'!DD138</f>
        <v>21824581.451903697</v>
      </c>
      <c r="CG94" s="19">
        <f>'D2C - Retail'!CN148*'D2C - Retail'!CN75/SUM('D2C - Retail'!CN75:CN77)+'D2C Online'!DE138</f>
        <v>21672924.506030768</v>
      </c>
      <c r="CH94" s="19">
        <f>'D2C - Retail'!CO148*'D2C - Retail'!CO75/SUM('D2C - Retail'!CO75:CO77)+'D2C Online'!DF138</f>
        <v>21930915.400938928</v>
      </c>
      <c r="CI94" s="19">
        <f>'D2C - Retail'!CP148*'D2C - Retail'!CP75/SUM('D2C - Retail'!CP75:CP77)+'D2C Online'!DG138</f>
        <v>21954392.23637788</v>
      </c>
      <c r="CJ94" s="19">
        <f>'D2C - Retail'!CQ148*'D2C - Retail'!CQ75/SUM('D2C - Retail'!CQ75:CQ77)+'D2C Online'!DH138</f>
        <v>21831076.93495883</v>
      </c>
      <c r="CK94" s="19">
        <f>'D2C - Retail'!CR148*'D2C - Retail'!CR75/SUM('D2C - Retail'!CR75:CR77)+'D2C Online'!DI138</f>
        <v>22025657.060015921</v>
      </c>
      <c r="CL94" s="19">
        <f>'D2C - Retail'!CS148*'D2C - Retail'!CS75/SUM('D2C - Retail'!CS75:CS77)+'D2C Online'!DJ138</f>
        <v>24574556.731383838</v>
      </c>
      <c r="CM94" s="19">
        <f>'D2C - Retail'!CT148*'D2C - Retail'!CT75/SUM('D2C - Retail'!CT75:CT77)+'D2C Online'!DK138</f>
        <v>24523578.578788016</v>
      </c>
      <c r="CN94" s="19">
        <f>'D2C - Retail'!CU148*'D2C - Retail'!CU75/SUM('D2C - Retail'!CU75:CU77)+'D2C Online'!DL138</f>
        <v>24497750.673628144</v>
      </c>
      <c r="CO94" s="19">
        <f>'D2C - Retail'!CV148*'D2C - Retail'!CV75/SUM('D2C - Retail'!CV75:CV77)+'D2C Online'!DM138</f>
        <v>24621267.639713768</v>
      </c>
      <c r="CP94" s="19">
        <f>'D2C - Retail'!CW148*'D2C - Retail'!CW75/SUM('D2C - Retail'!CW75:CW77)+'D2C Online'!DN138</f>
        <v>24399289.348839328</v>
      </c>
      <c r="CQ94" s="19">
        <f>'D2C - Retail'!CX148*'D2C - Retail'!CX75/SUM('D2C - Retail'!CX75:CX77)+'D2C Online'!DO138</f>
        <v>24220587.883496646</v>
      </c>
      <c r="CR94" s="19">
        <f>'D2C - Retail'!CY148*'D2C - Retail'!CY75/SUM('D2C - Retail'!CY75:CY77)+'D2C Online'!DP138</f>
        <v>24618798.531637222</v>
      </c>
      <c r="CS94" s="19">
        <f>'D2C - Retail'!CZ148*'D2C - Retail'!CZ75/SUM('D2C - Retail'!CZ75:CZ77)+'D2C Online'!DQ138</f>
        <v>24453856.407741357</v>
      </c>
      <c r="CT94" s="19">
        <f>'D2C - Retail'!DA148*'D2C - Retail'!DA75/SUM('D2C - Retail'!DA75:DA77)+'D2C Online'!DR138</f>
        <v>24734381.996373087</v>
      </c>
      <c r="CU94" s="19">
        <f>'D2C - Retail'!DB148*'D2C - Retail'!DB75/SUM('D2C - Retail'!DB75:DB77)+'D2C Online'!DS138</f>
        <v>24759893.72072443</v>
      </c>
      <c r="CV94" s="19">
        <f>'D2C - Retail'!DC148*'D2C - Retail'!DC75/SUM('D2C - Retail'!DC75:DC77)+'D2C Online'!DT138</f>
        <v>24625860.572275713</v>
      </c>
      <c r="CW94" s="19">
        <f>'D2C - Retail'!DD148*'D2C - Retail'!DD75/SUM('D2C - Retail'!DD75:DD77)+'D2C Online'!DU138</f>
        <v>24837319.457878239</v>
      </c>
      <c r="CX94" s="168"/>
      <c r="CY94" s="19">
        <f t="shared" si="348"/>
        <v>31325777.360215947</v>
      </c>
      <c r="CZ94" s="19">
        <f t="shared" si="349"/>
        <v>29603403.394879993</v>
      </c>
      <c r="DA94" s="19">
        <f t="shared" si="350"/>
        <v>28856570.368567228</v>
      </c>
      <c r="DB94" s="19">
        <f t="shared" si="351"/>
        <v>27004312.809496056</v>
      </c>
      <c r="DC94" s="19">
        <f t="shared" si="352"/>
        <v>31668457.690806381</v>
      </c>
      <c r="DD94" s="19">
        <f t="shared" si="353"/>
        <v>32281834.56629476</v>
      </c>
      <c r="DE94" s="19">
        <f t="shared" si="354"/>
        <v>26341679.039441384</v>
      </c>
      <c r="DF94" s="19">
        <f t="shared" si="355"/>
        <v>29200819.935552657</v>
      </c>
      <c r="DG94" s="19">
        <f t="shared" si="356"/>
        <v>41461455.159142956</v>
      </c>
      <c r="DH94" s="19">
        <f t="shared" si="357"/>
        <v>43599832.545951292</v>
      </c>
      <c r="DI94" s="19">
        <f t="shared" si="358"/>
        <v>42287565.005150214</v>
      </c>
      <c r="DJ94" s="19">
        <f t="shared" si="359"/>
        <v>48703635.630301148</v>
      </c>
      <c r="DK94" s="19">
        <f t="shared" si="360"/>
        <v>57717172.16630628</v>
      </c>
      <c r="DL94" s="19">
        <f t="shared" si="361"/>
        <v>57409670.57597515</v>
      </c>
      <c r="DM94" s="19">
        <f t="shared" si="362"/>
        <v>57900796.5773727</v>
      </c>
      <c r="DN94" s="19">
        <f t="shared" si="363"/>
        <v>58262586.909640566</v>
      </c>
      <c r="DO94" s="19">
        <f t="shared" si="364"/>
        <v>65234185.320194647</v>
      </c>
      <c r="DP94" s="19">
        <f t="shared" si="365"/>
        <v>64908243.618462935</v>
      </c>
      <c r="DQ94" s="19">
        <f t="shared" si="366"/>
        <v>65428421.358873397</v>
      </c>
      <c r="DR94" s="19">
        <f t="shared" si="367"/>
        <v>65811126.231352627</v>
      </c>
      <c r="DS94" s="19">
        <f t="shared" si="368"/>
        <v>73595885.983799994</v>
      </c>
      <c r="DT94" s="19">
        <f t="shared" si="369"/>
        <v>73241144.872049734</v>
      </c>
      <c r="DU94" s="19">
        <f t="shared" si="370"/>
        <v>73807036.935751662</v>
      </c>
      <c r="DV94" s="19">
        <f t="shared" si="371"/>
        <v>74223073.750878394</v>
      </c>
      <c r="DX94" s="19">
        <f t="shared" si="372"/>
        <v>116790063.93315923</v>
      </c>
      <c r="DY94" s="19">
        <f t="shared" si="373"/>
        <v>119492791.23209518</v>
      </c>
      <c r="DZ94" s="19">
        <f t="shared" si="374"/>
        <v>176052488.34054559</v>
      </c>
      <c r="EA94" s="19">
        <f t="shared" si="375"/>
        <v>231290226.22929472</v>
      </c>
      <c r="EB94" s="19">
        <f t="shared" si="376"/>
        <v>261381976.52888361</v>
      </c>
      <c r="EC94" s="770">
        <f t="shared" si="377"/>
        <v>294867141.54247981</v>
      </c>
    </row>
    <row r="95" spans="2:133" x14ac:dyDescent="0.2">
      <c r="B95" s="167" t="s">
        <v>189</v>
      </c>
      <c r="C95" s="19">
        <f>'D2C - Retail'!J151*'D2C - Retail'!J75/SUM('D2C - Retail'!J75:J77)</f>
        <v>1420063.1369288964</v>
      </c>
      <c r="D95" s="19">
        <f>'D2C - Retail'!K151*'D2C - Retail'!K75/SUM('D2C - Retail'!K75:K77)</f>
        <v>1325735.8342791391</v>
      </c>
      <c r="E95" s="19">
        <f>'D2C - Retail'!L151*'D2C - Retail'!L75/SUM('D2C - Retail'!L75:L77)</f>
        <v>1919250.0070853976</v>
      </c>
      <c r="F95" s="19">
        <f>'D2C - Retail'!M151*'D2C - Retail'!M75/SUM('D2C - Retail'!M75:M77)</f>
        <v>1893830.9749979733</v>
      </c>
      <c r="G95" s="19">
        <f>'D2C - Retail'!N151*'D2C - Retail'!N75/SUM('D2C - Retail'!N75:N77)</f>
        <v>1879361.0090290238</v>
      </c>
      <c r="H95" s="19">
        <f>'D2C - Retail'!O151*'D2C - Retail'!O75/SUM('D2C - Retail'!O75:O77)</f>
        <v>1666516.783621134</v>
      </c>
      <c r="I95" s="19">
        <f>'D2C - Retail'!P151*'D2C - Retail'!P75/SUM('D2C - Retail'!P75:P77)</f>
        <v>1681025.7440592402</v>
      </c>
      <c r="J95" s="19">
        <f>'D2C - Retail'!Q151*'D2C - Retail'!Q75/SUM('D2C - Retail'!Q75:Q77)</f>
        <v>1922371.9979837013</v>
      </c>
      <c r="K95" s="19">
        <f>'D2C - Retail'!R151*'D2C - Retail'!R75/SUM('D2C - Retail'!R75:R77)</f>
        <v>2246014.777142223</v>
      </c>
      <c r="L95" s="19">
        <f>'D2C - Retail'!S151*'D2C - Retail'!S75/SUM('D2C - Retail'!S75:S77)</f>
        <v>2821640.8948595389</v>
      </c>
      <c r="M95" s="19">
        <f>'D2C - Retail'!T151*'D2C - Retail'!T75/SUM('D2C - Retail'!T75:T77)</f>
        <v>3130465.6069077621</v>
      </c>
      <c r="N95" s="19">
        <f>'D2C - Retail'!U151*'D2C - Retail'!U75/SUM('D2C - Retail'!U75:U77)</f>
        <v>3640258.5222548568</v>
      </c>
      <c r="O95" s="19">
        <f>'D2C - Retail'!V151*'D2C - Retail'!V75/SUM('D2C - Retail'!V75:V77)</f>
        <v>3611980.3740099487</v>
      </c>
      <c r="P95" s="19">
        <f>'D2C - Retail'!W151*'D2C - Retail'!W75/SUM('D2C - Retail'!W75:W77)</f>
        <v>3654127.7322874409</v>
      </c>
      <c r="Q95" s="19">
        <f>'D2C - Retail'!X151*'D2C - Retail'!X75/SUM('D2C - Retail'!X75:X77)</f>
        <v>3932775.4045890542</v>
      </c>
      <c r="R95" s="19">
        <f>'D2C - Retail'!Y151*'D2C - Retail'!Y75/SUM('D2C - Retail'!Y75:Y77)</f>
        <v>4528646.0095781283</v>
      </c>
      <c r="S95" s="19">
        <f>'D2C - Retail'!Z151*'D2C - Retail'!Z75/SUM('D2C - Retail'!Z75:Z77)</f>
        <v>6121305.1818040255</v>
      </c>
      <c r="T95" s="19">
        <f>'D2C - Retail'!AA151*'D2C - Retail'!AA75/SUM('D2C - Retail'!AA75:AA77)</f>
        <v>6796615.3824791629</v>
      </c>
      <c r="U95" s="19">
        <f>'D2C - Retail'!AB151*'D2C - Retail'!AB75/SUM('D2C - Retail'!AB75:AB77)</f>
        <v>6780412.6894074557</v>
      </c>
      <c r="V95" s="19">
        <f>'D2C - Retail'!AC151*'D2C - Retail'!AC75/SUM('D2C - Retail'!AC75:AC77)</f>
        <v>7321822.6861445541</v>
      </c>
      <c r="W95" s="19">
        <f>'D2C - Retail'!AD151*'D2C - Retail'!AD75/SUM('D2C - Retail'!AD75:AD77)</f>
        <v>8293339.0864575626</v>
      </c>
      <c r="X95" s="19">
        <f>'D2C - Retail'!AE151*'D2C - Retail'!AE75/SUM('D2C - Retail'!AE75:AE77)</f>
        <v>8267793.3707113368</v>
      </c>
      <c r="Y95" s="19">
        <f>'D2C - Retail'!AF151*'D2C - Retail'!AF75/SUM('D2C - Retail'!AF75:AF77)</f>
        <v>10308319.107559506</v>
      </c>
      <c r="Z95" s="19">
        <f>'D2C - Retail'!AG151*'D2C - Retail'!AG75/SUM('D2C - Retail'!AG75:AG77)</f>
        <v>10603112.585172495</v>
      </c>
      <c r="AA95" s="19">
        <f>'D2C - Retail'!AH151*'D2C - Retail'!AH75/SUM('D2C - Retail'!AH75:AH77)</f>
        <v>11299052.726450017</v>
      </c>
      <c r="AB95" s="19">
        <f>'D2C - Retail'!AI151*'D2C - Retail'!AI75/SUM('D2C - Retail'!AI75:AI77)</f>
        <v>10445102.194824217</v>
      </c>
      <c r="AC95" s="19">
        <f>'D2C - Retail'!AJ151*'D2C - Retail'!AJ75/SUM('D2C - Retail'!AJ75:AJ77)</f>
        <v>11384678.299386485</v>
      </c>
      <c r="AD95" s="19">
        <f>'D2C - Retail'!AK151*'D2C - Retail'!AK75/SUM('D2C - Retail'!AK75:AK77)</f>
        <v>9113866.8524707928</v>
      </c>
      <c r="AE95" s="19">
        <f>'D2C - Retail'!AL151*'D2C - Retail'!AL75/SUM('D2C - Retail'!AL75:AL77)</f>
        <v>9116609.8921314944</v>
      </c>
      <c r="AF95" s="19">
        <f>'D2C - Retail'!AM151*'D2C - Retail'!AM75/SUM('D2C - Retail'!AM75:AM77)</f>
        <v>9357943.4522107225</v>
      </c>
      <c r="AG95" s="19">
        <f>'D2C - Retail'!AN151*'D2C - Retail'!AN75/SUM('D2C - Retail'!AN75:AN77)</f>
        <v>9253579.2951924372</v>
      </c>
      <c r="AH95" s="19">
        <f>'D2C - Retail'!AO151*'D2C - Retail'!AO75/SUM('D2C - Retail'!AO75:AO77)</f>
        <v>9236477.794182498</v>
      </c>
      <c r="AI95" s="19">
        <f>'D2C - Retail'!AP151*'D2C - Retail'!AP75/SUM('D2C - Retail'!AP75:AP77)</f>
        <v>9392466.6639532857</v>
      </c>
      <c r="AJ95" s="19">
        <f>'D2C - Retail'!AQ151*'D2C - Retail'!AQ75/SUM('D2C - Retail'!AQ75:AQ77)</f>
        <v>9590798.4613099471</v>
      </c>
      <c r="AK95" s="19">
        <f>'D2C - Retail'!AR151*'D2C - Retail'!AR75/SUM('D2C - Retail'!AR75:AR77)</f>
        <v>10522578.171634121</v>
      </c>
      <c r="AL95" s="19">
        <f>'D2C - Retail'!AS151*'D2C - Retail'!AS75/SUM('D2C - Retail'!AS75:AS77)</f>
        <v>10863558.364276672</v>
      </c>
      <c r="AM95" s="19">
        <f>'D2C - Retail'!AT151*'D2C - Retail'!AT75/SUM('D2C - Retail'!AT75:AT77)</f>
        <v>11756860.867453018</v>
      </c>
      <c r="AN95" s="19">
        <f>'D2C - Retail'!AU151*'D2C - Retail'!AU75/SUM('D2C - Retail'!AU75:AU77)</f>
        <v>9475229.3616921939</v>
      </c>
      <c r="AO95" s="19">
        <f>'D2C - Retail'!AV151*'D2C - Retail'!AV75/SUM('D2C - Retail'!AV75:AV77)</f>
        <v>10071563.159876259</v>
      </c>
      <c r="AP95" s="19">
        <f>'D2C - Retail'!AW151*'D2C - Retail'!AW75/SUM('D2C - Retail'!AW75:AW77)</f>
        <v>9563278.2079370804</v>
      </c>
      <c r="AQ95" s="19">
        <f>'D2C - Retail'!AX151*'D2C - Retail'!AX75/SUM('D2C - Retail'!AX75:AX77)</f>
        <v>9923662.3520295061</v>
      </c>
      <c r="AR95" s="19">
        <f>'D2C - Retail'!AY151*'D2C - Retail'!AY75/SUM('D2C - Retail'!AY75:AY77)</f>
        <v>9172349.1858095191</v>
      </c>
      <c r="AS95" s="19">
        <f>'D2C - Retail'!AZ151*'D2C - Retail'!AZ75/SUM('D2C - Retail'!AZ75:AZ77)</f>
        <v>9205403.0429750048</v>
      </c>
      <c r="AT95" s="19">
        <f>'D2C - Retail'!BA151*'D2C - Retail'!BA75/SUM('D2C - Retail'!BA75:BA77)</f>
        <v>9351918.765878981</v>
      </c>
      <c r="AU95" s="19">
        <f>'D2C - Retail'!BB151*'D2C - Retail'!BB75/SUM('D2C - Retail'!BB75:BB77)</f>
        <v>9499005.6930072121</v>
      </c>
      <c r="AV95" s="19">
        <f>'D2C - Retail'!BC151*'D2C - Retail'!BC75/SUM('D2C - Retail'!BC75:BC77)</f>
        <v>9866073.6818452161</v>
      </c>
      <c r="AW95" s="19">
        <f>'D2C - Retail'!BD151*'D2C - Retail'!BD75/SUM('D2C - Retail'!BD75:BD77)</f>
        <v>8149641.9131055912</v>
      </c>
      <c r="AX95" s="19">
        <f>'D2C - Retail'!BE151*'D2C - Retail'!BE75/SUM('D2C - Retail'!BE75:BE77)</f>
        <v>10397908.448861465</v>
      </c>
      <c r="AY95" s="19">
        <f>'D2C - Retail'!BF151*'D2C - Retail'!BF75/SUM('D2C - Retail'!BF75:BF77)</f>
        <v>9949550.620375257</v>
      </c>
      <c r="AZ95" s="19">
        <f>'D2C - Retail'!BG151*'D2C - Retail'!BG75/SUM('D2C - Retail'!BG75:BG77)</f>
        <v>10038020.575814795</v>
      </c>
      <c r="BA95" s="19">
        <f>'D2C - Retail'!BH151*'D2C - Retail'!BH75/SUM('D2C - Retail'!BH75:BH77)</f>
        <v>9336190.254294293</v>
      </c>
      <c r="BB95" s="19">
        <f>'D2C - Retail'!BI151*'D2C - Retail'!BI75/SUM('D2C - Retail'!BI75:BI77)</f>
        <v>10326210.269144041</v>
      </c>
      <c r="BC95" s="19">
        <f>'D2C - Retail'!BJ151*'D2C - Retail'!BJ75/SUM('D2C - Retail'!BJ75:BJ77)</f>
        <v>10128655.456746548</v>
      </c>
      <c r="BD95" s="19">
        <f>'D2C - Retail'!BK151*'D2C - Retail'!BK75/SUM('D2C - Retail'!BK75:BK77)</f>
        <v>11951522.575969022</v>
      </c>
      <c r="BE95" s="19">
        <f>'D2C - Retail'!BL151*'D2C - Retail'!BL75/SUM('D2C - Retail'!BL75:BL77)</f>
        <v>13150799.620944049</v>
      </c>
      <c r="BF95" s="19">
        <f>'D2C - Retail'!BM151*'D2C - Retail'!BM75/SUM('D2C - Retail'!BM75:BM77)</f>
        <v>13591649.176566709</v>
      </c>
      <c r="BG95" s="19">
        <f>'D2C - Retail'!BN151*'D2C - Retail'!BN75/SUM('D2C - Retail'!BN75:BN77)</f>
        <v>14705829.320217809</v>
      </c>
      <c r="BH95" s="19">
        <f>'D2C - Retail'!BO151*'D2C - Retail'!BO75/SUM('D2C - Retail'!BO75:BO77)</f>
        <v>17095043.857456177</v>
      </c>
      <c r="BI95" s="19">
        <f>'D2C - Retail'!BP151*'D2C - Retail'!BP75/SUM('D2C - Retail'!BP75:BP77)</f>
        <v>14685695.059535762</v>
      </c>
      <c r="BJ95" s="19">
        <f>'D2C - Retail'!BQ151*'D2C - Retail'!BQ75/SUM('D2C - Retail'!BQ75:BQ77)</f>
        <v>17776984.993475303</v>
      </c>
      <c r="BK95" s="19">
        <f>'D2C - Retail'!BR151*'D2C - Retail'!BR75/SUM('D2C - Retail'!BR75:BR77)</f>
        <v>17381787.347468466</v>
      </c>
      <c r="BL95" s="19">
        <f>'D2C - Retail'!BS151*'D2C - Retail'!BS75/SUM('D2C - Retail'!BS75:BS77)</f>
        <v>16276920.872688288</v>
      </c>
      <c r="BM95" s="19">
        <f>'D2C - Retail'!BT151*'D2C - Retail'!BT75/SUM('D2C - Retail'!BT75:BT77)</f>
        <v>17255417.36255309</v>
      </c>
      <c r="BN95" s="19">
        <f>'D2C - Retail'!BU151*'D2C - Retail'!BU75/SUM('D2C - Retail'!BU75:BU77)</f>
        <v>15362930.05027801</v>
      </c>
      <c r="BO95" s="19">
        <f>'D2C - Retail'!BV151*'D2C - Retail'!BV75/SUM('D2C - Retail'!BV75:BV77)</f>
        <v>15322740.140781606</v>
      </c>
      <c r="BP95" s="19">
        <f>'D2C - Retail'!BW151*'D2C - Retail'!BW75/SUM('D2C - Retail'!BW75:BW77)</f>
        <v>15302386.749048995</v>
      </c>
      <c r="BQ95" s="19">
        <f>'D2C - Retail'!BX151*'D2C - Retail'!BX75/SUM('D2C - Retail'!BX75:BX77)</f>
        <v>15399775.767204935</v>
      </c>
      <c r="BR95" s="19">
        <f>'D2C - Retail'!BY151*'D2C - Retail'!BY75/SUM('D2C - Retail'!BY75:BY77)</f>
        <v>15224848.943130763</v>
      </c>
      <c r="BS95" s="19">
        <f>'D2C - Retail'!BZ151*'D2C - Retail'!BZ75/SUM('D2C - Retail'!BZ75:BZ77)</f>
        <v>15084338.749715582</v>
      </c>
      <c r="BT95" s="19">
        <f>'D2C - Retail'!CA151*'D2C - Retail'!CA75/SUM('D2C - Retail'!CA75:CA77)</f>
        <v>15397827.64773595</v>
      </c>
      <c r="BU95" s="19">
        <f>'D2C - Retail'!CB151*'D2C - Retail'!CB75/SUM('D2C - Retail'!CB75:CB77)</f>
        <v>15267809.757112458</v>
      </c>
      <c r="BV95" s="19">
        <f>'D2C - Retail'!CC151*'D2C - Retail'!CC75/SUM('D2C - Retail'!CC75:CC77)</f>
        <v>15489080.058390565</v>
      </c>
      <c r="BW95" s="19">
        <f>'D2C - Retail'!CD151*'D2C - Retail'!CD75/SUM('D2C - Retail'!CD75:CD77)</f>
        <v>15509237.211412746</v>
      </c>
      <c r="BX95" s="19">
        <f>'D2C - Retail'!CE151*'D2C - Retail'!CE75/SUM('D2C - Retail'!CE75:CE77)</f>
        <v>15403399.720597005</v>
      </c>
      <c r="BY95" s="19">
        <f>'D2C - Retail'!CF151*'D2C - Retail'!CF75/SUM('D2C - Retail'!CF75:CF77)</f>
        <v>15570447.362682035</v>
      </c>
      <c r="BZ95" s="19">
        <f>'D2C - Retail'!CG151*'D2C - Retail'!CG75/SUM('D2C - Retail'!CG75:CG77)</f>
        <v>16233768.893589685</v>
      </c>
      <c r="CA95" s="19">
        <f>'D2C - Retail'!CH151*'D2C - Retail'!CH75/SUM('D2C - Retail'!CH75:CH77)</f>
        <v>16194376.200511981</v>
      </c>
      <c r="CB95" s="19">
        <f>'D2C - Retail'!CI151*'D2C - Retail'!CI75/SUM('D2C - Retail'!CI75:CI77)</f>
        <v>16174421.116941379</v>
      </c>
      <c r="CC95" s="19">
        <f>'D2C - Retail'!CJ151*'D2C - Retail'!CJ75/SUM('D2C - Retail'!CJ75:CJ77)</f>
        <v>16269871.236248545</v>
      </c>
      <c r="CD95" s="19">
        <f>'D2C - Retail'!CK151*'D2C - Retail'!CK75/SUM('D2C - Retail'!CK75:CK77)</f>
        <v>16098367.250773987</v>
      </c>
      <c r="CE95" s="19">
        <f>'D2C - Retail'!CL151*'D2C - Retail'!CL75/SUM('D2C - Retail'!CL75:CL77)</f>
        <v>15960411.032167422</v>
      </c>
      <c r="CF95" s="19">
        <f>'D2C - Retail'!CM151*'D2C - Retail'!CM75/SUM('D2C - Retail'!CM75:CM77)</f>
        <v>16267962.719870331</v>
      </c>
      <c r="CG95" s="19">
        <f>'D2C - Retail'!CN151*'D2C - Retail'!CN75/SUM('D2C - Retail'!CN75:CN77)</f>
        <v>16140512.41606033</v>
      </c>
      <c r="CH95" s="19">
        <f>'D2C - Retail'!CO151*'D2C - Retail'!CO75/SUM('D2C - Retail'!CO75:CO77)</f>
        <v>16357324.232670495</v>
      </c>
      <c r="CI95" s="19">
        <f>'D2C - Retail'!CP151*'D2C - Retail'!CP75/SUM('D2C - Retail'!CP75:CP77)</f>
        <v>16377053.825614419</v>
      </c>
      <c r="CJ95" s="19">
        <f>'D2C - Retail'!CQ151*'D2C - Retail'!CQ75/SUM('D2C - Retail'!CQ75:CQ77)</f>
        <v>16273421.429881958</v>
      </c>
      <c r="CK95" s="19">
        <f>'D2C - Retail'!CR151*'D2C - Retail'!CR75/SUM('D2C - Retail'!CR75:CR77)</f>
        <v>16436943.752655709</v>
      </c>
      <c r="CL95" s="19">
        <f>'D2C - Retail'!CS151*'D2C - Retail'!CS75/SUM('D2C - Retail'!CS75:CS77)</f>
        <v>17106802.941416506</v>
      </c>
      <c r="CM95" s="19">
        <f>'D2C - Retail'!CT151*'D2C - Retail'!CT75/SUM('D2C - Retail'!CT75:CT77)</f>
        <v>17067135.069087621</v>
      </c>
      <c r="CN95" s="19">
        <f>'D2C - Retail'!CU151*'D2C - Retail'!CU75/SUM('D2C - Retail'!CU75:CU77)</f>
        <v>17047037.478409365</v>
      </c>
      <c r="CO95" s="19">
        <f>'D2C - Retail'!CV151*'D2C - Retail'!CV75/SUM('D2C - Retail'!CV75:CV77)</f>
        <v>17143150.322669975</v>
      </c>
      <c r="CP95" s="19">
        <f>'D2C - Retail'!CW151*'D2C - Retail'!CW75/SUM('D2C - Retail'!CW75:CW77)</f>
        <v>16970421.299474396</v>
      </c>
      <c r="CQ95" s="19">
        <f>'D2C - Retail'!CX151*'D2C - Retail'!CX75/SUM('D2C - Retail'!CX75:CX77)</f>
        <v>16831367.478352223</v>
      </c>
      <c r="CR95" s="19">
        <f>'D2C - Retail'!CY151*'D2C - Retail'!CY75/SUM('D2C - Retail'!CY75:CY77)</f>
        <v>17141229.023859419</v>
      </c>
      <c r="CS95" s="19">
        <f>'D2C - Retail'!CZ151*'D2C - Retail'!CZ75/SUM('D2C - Retail'!CZ75:CZ77)</f>
        <v>17012881.824535985</v>
      </c>
      <c r="CT95" s="19">
        <f>'D2C - Retail'!DA151*'D2C - Retail'!DA75/SUM('D2C - Retail'!DA75:DA77)</f>
        <v>17231168.534983411</v>
      </c>
      <c r="CU95" s="19">
        <f>'D2C - Retail'!DB151*'D2C - Retail'!DB75/SUM('D2C - Retail'!DB75:DB77)</f>
        <v>17251020.094385386</v>
      </c>
      <c r="CV95" s="19">
        <f>'D2C - Retail'!DC151*'D2C - Retail'!DC75/SUM('D2C - Retail'!DC75:DC77)</f>
        <v>17146724.243128154</v>
      </c>
      <c r="CW95" s="19">
        <f>'D2C - Retail'!DD151*'D2C - Retail'!DD75/SUM('D2C - Retail'!DD75:DD77)</f>
        <v>17311267.751469743</v>
      </c>
      <c r="CX95" s="168"/>
      <c r="CY95" s="19">
        <f t="shared" si="348"/>
        <v>27588420.19681301</v>
      </c>
      <c r="CZ95" s="19">
        <f t="shared" si="349"/>
        <v>27882523.753328223</v>
      </c>
      <c r="DA95" s="19">
        <f t="shared" si="350"/>
        <v>30976934.99722074</v>
      </c>
      <c r="DB95" s="19">
        <f t="shared" si="351"/>
        <v>31303653.389021471</v>
      </c>
      <c r="DC95" s="19">
        <f t="shared" si="352"/>
        <v>28659289.745776106</v>
      </c>
      <c r="DD95" s="19">
        <f t="shared" si="353"/>
        <v>28056327.501861196</v>
      </c>
      <c r="DE95" s="19">
        <f t="shared" si="354"/>
        <v>28413624.043812271</v>
      </c>
      <c r="DF95" s="19">
        <f t="shared" si="355"/>
        <v>29323761.450484343</v>
      </c>
      <c r="DG95" s="19">
        <f t="shared" si="356"/>
        <v>32406388.301859614</v>
      </c>
      <c r="DH95" s="19">
        <f t="shared" si="357"/>
        <v>41448278.117728569</v>
      </c>
      <c r="DI95" s="19">
        <f t="shared" si="358"/>
        <v>49557723.910467245</v>
      </c>
      <c r="DJ95" s="19">
        <f t="shared" si="359"/>
        <v>50914125.582709841</v>
      </c>
      <c r="DK95" s="19">
        <f t="shared" si="360"/>
        <v>45988056.940108612</v>
      </c>
      <c r="DL95" s="19">
        <f t="shared" si="361"/>
        <v>45708963.460051283</v>
      </c>
      <c r="DM95" s="19">
        <f t="shared" si="362"/>
        <v>46154717.463238969</v>
      </c>
      <c r="DN95" s="19">
        <f t="shared" si="363"/>
        <v>46483084.294691786</v>
      </c>
      <c r="DO95" s="19">
        <f t="shared" si="364"/>
        <v>48602566.211043045</v>
      </c>
      <c r="DP95" s="19">
        <f t="shared" si="365"/>
        <v>48328649.519189954</v>
      </c>
      <c r="DQ95" s="19">
        <f t="shared" si="366"/>
        <v>48765799.368601158</v>
      </c>
      <c r="DR95" s="19">
        <f t="shared" si="367"/>
        <v>49087419.008152083</v>
      </c>
      <c r="DS95" s="19">
        <f t="shared" si="368"/>
        <v>51220975.488913491</v>
      </c>
      <c r="DT95" s="19">
        <f t="shared" si="369"/>
        <v>50944939.10049659</v>
      </c>
      <c r="DU95" s="19">
        <f t="shared" si="370"/>
        <v>51385279.383378819</v>
      </c>
      <c r="DV95" s="19">
        <f t="shared" si="371"/>
        <v>51709012.088983282</v>
      </c>
      <c r="DX95" s="19">
        <f t="shared" si="372"/>
        <v>117751532.33638345</v>
      </c>
      <c r="DY95" s="19">
        <f t="shared" si="373"/>
        <v>114453002.74193391</v>
      </c>
      <c r="DZ95" s="19">
        <f t="shared" si="374"/>
        <v>174326515.91276526</v>
      </c>
      <c r="EA95" s="19">
        <f t="shared" si="375"/>
        <v>184334822.15809065</v>
      </c>
      <c r="EB95" s="19">
        <f t="shared" si="376"/>
        <v>194784434.10698622</v>
      </c>
      <c r="EC95" s="770">
        <f t="shared" si="377"/>
        <v>205260206.06177217</v>
      </c>
    </row>
    <row r="96" spans="2:133" x14ac:dyDescent="0.2">
      <c r="B96" s="167" t="s">
        <v>152</v>
      </c>
      <c r="C96" s="19">
        <f>'D2C - Retail'!J152+'D2C Online'!AA139</f>
        <v>100575.43856332704</v>
      </c>
      <c r="D96" s="19">
        <f>'D2C - Retail'!K152+'D2C Online'!AB139</f>
        <v>87202.640981093515</v>
      </c>
      <c r="E96" s="19">
        <f>'D2C - Retail'!L152+'D2C Online'!AC139</f>
        <v>100580.87325938164</v>
      </c>
      <c r="F96" s="19">
        <f>'D2C - Retail'!M152+'D2C Online'!AD139</f>
        <v>103061.75270327201</v>
      </c>
      <c r="G96" s="19">
        <f>'D2C - Retail'!N152+'D2C Online'!AE139</f>
        <v>65776.428756771362</v>
      </c>
      <c r="H96" s="19">
        <f>'D2C - Retail'!O152+'D2C Online'!AF139</f>
        <v>75140.502357635109</v>
      </c>
      <c r="I96" s="19">
        <f>'D2C - Retail'!P152+'D2C Online'!AG139</f>
        <v>260050.65879110061</v>
      </c>
      <c r="J96" s="19">
        <f>'D2C - Retail'!Q152+'D2C Online'!AH139</f>
        <v>265421.82137834036</v>
      </c>
      <c r="K96" s="19">
        <f>'D2C - Retail'!R152+'D2C Online'!AI139</f>
        <v>230659.53424632674</v>
      </c>
      <c r="L96" s="19">
        <f>'D2C - Retail'!S152+'D2C Online'!AJ139</f>
        <v>617271.69267421076</v>
      </c>
      <c r="M96" s="19">
        <f>'D2C - Retail'!T152+'D2C Online'!AK139</f>
        <v>563052.59803589573</v>
      </c>
      <c r="N96" s="19">
        <f>'D2C - Retail'!U152+'D2C Online'!AL139</f>
        <v>443864.70547234168</v>
      </c>
      <c r="O96" s="19">
        <f>'D2C - Retail'!V152+'D2C Online'!AM139</f>
        <v>575221.86126418156</v>
      </c>
      <c r="P96" s="19">
        <f>'D2C - Retail'!W152+'D2C Online'!AN139</f>
        <v>584803.38864928449</v>
      </c>
      <c r="Q96" s="19">
        <f>'D2C - Retail'!X152+'D2C Online'!AO139</f>
        <v>375430.56655370421</v>
      </c>
      <c r="R96" s="19">
        <f>'D2C - Retail'!Y152+'D2C Online'!AP139</f>
        <v>376339.67850308312</v>
      </c>
      <c r="S96" s="19">
        <f>'D2C - Retail'!Z152+'D2C Online'!AQ139</f>
        <v>1078467.1408207947</v>
      </c>
      <c r="T96" s="19">
        <f>'D2C - Retail'!AA152+'D2C Online'!AR139</f>
        <v>1069740.7241952557</v>
      </c>
      <c r="U96" s="19">
        <f>'D2C - Retail'!AB152+'D2C Online'!AS139</f>
        <v>1273434.7811350257</v>
      </c>
      <c r="V96" s="19">
        <f>'D2C - Retail'!AC152+'D2C Online'!AT139</f>
        <v>1370510.376874313</v>
      </c>
      <c r="W96" s="19">
        <f>'D2C - Retail'!AD152+'D2C Online'!AU139</f>
        <v>1814976.8796051606</v>
      </c>
      <c r="X96" s="19">
        <f>'D2C - Retail'!AE152+'D2C Online'!AV139</f>
        <v>1762285.8664745239</v>
      </c>
      <c r="Y96" s="19">
        <f>'D2C - Retail'!AF152+'D2C Online'!AW139</f>
        <v>924725.76227275562</v>
      </c>
      <c r="Z96" s="19">
        <f>'D2C - Retail'!AG152+'D2C Online'!AX139</f>
        <v>843656.29150822759</v>
      </c>
      <c r="AA96" s="19">
        <f>'D2C - Retail'!AH152+'D2C Online'!AY139</f>
        <v>895700.9481143119</v>
      </c>
      <c r="AB96" s="19">
        <f>'D2C - Retail'!AI152+'D2C Online'!AZ139</f>
        <v>1054326.5914228386</v>
      </c>
      <c r="AC96" s="19">
        <f>'D2C - Retail'!AJ152+'D2C Online'!BA139</f>
        <v>991241.97226933774</v>
      </c>
      <c r="AD96" s="19">
        <f>'D2C - Retail'!AK152+'D2C Online'!BB139</f>
        <v>1886246.3043461964</v>
      </c>
      <c r="AE96" s="19">
        <f>'D2C - Retail'!AL152+'D2C Online'!BC139</f>
        <v>1833575.7601034092</v>
      </c>
      <c r="AF96" s="19">
        <f>'D2C - Retail'!AM152+'D2C Online'!BD139</f>
        <v>1700599.8491029188</v>
      </c>
      <c r="AG96" s="19">
        <f>'D2C - Retail'!AN152+'D2C Online'!BE139</f>
        <v>1882660.3177757431</v>
      </c>
      <c r="AH96" s="19">
        <f>'D2C - Retail'!AO152+'D2C Online'!BF139</f>
        <v>2009765.7327930171</v>
      </c>
      <c r="AI96" s="19">
        <f>'D2C - Retail'!AP152+'D2C Online'!BG139</f>
        <v>1790757.2994911559</v>
      </c>
      <c r="AJ96" s="19">
        <f>'D2C - Retail'!AQ152+'D2C Online'!BH139</f>
        <v>2080699.4544735481</v>
      </c>
      <c r="AK96" s="19">
        <f>'D2C - Retail'!AR152+'D2C Online'!BI139</f>
        <v>2014429.9448120869</v>
      </c>
      <c r="AL96" s="19">
        <f>'D2C - Retail'!AS152+'D2C Online'!BJ139</f>
        <v>2194873.3922429858</v>
      </c>
      <c r="AM96" s="19">
        <f>'D2C - Retail'!AT152+'D2C Online'!BK139</f>
        <v>2146146.845110937</v>
      </c>
      <c r="AN96" s="19">
        <f>'D2C - Retail'!AU152+'D2C Online'!BL139</f>
        <v>2039102.2561614646</v>
      </c>
      <c r="AO96" s="19">
        <f>'D2C - Retail'!AV152+'D2C Online'!BM139</f>
        <v>2063355.7610430326</v>
      </c>
      <c r="AP96" s="19">
        <f>'D2C - Retail'!AW152+'D2C Online'!BN139</f>
        <v>2126612.0716057294</v>
      </c>
      <c r="AQ96" s="19">
        <f>'D2C - Retail'!AX152+'D2C Online'!BO139</f>
        <v>2124414.2187563516</v>
      </c>
      <c r="AR96" s="19">
        <f>'D2C - Retail'!AY152+'D2C Online'!BP139</f>
        <v>2195350.2846812569</v>
      </c>
      <c r="AS96" s="19">
        <f>'D2C - Retail'!AZ152+'D2C Online'!BQ139</f>
        <v>2169027.6017505592</v>
      </c>
      <c r="AT96" s="19">
        <f>'D2C - Retail'!BA152+'D2C Online'!BR139</f>
        <v>2117919.9417659962</v>
      </c>
      <c r="AU96" s="19">
        <f>'D2C - Retail'!BB152+'D2C Online'!BS139</f>
        <v>2176877.0851302263</v>
      </c>
      <c r="AV96" s="19">
        <f>'D2C - Retail'!BC152+'D2C Online'!BT139</f>
        <v>2250785.269250928</v>
      </c>
      <c r="AW96" s="19">
        <f>'D2C - Retail'!BD152+'D2C Online'!BU139</f>
        <v>2356757.5473573375</v>
      </c>
      <c r="AX96" s="19">
        <f>'D2C - Retail'!BE152+'D2C Online'!BV139</f>
        <v>2363654.5791914919</v>
      </c>
      <c r="AY96" s="19">
        <f>'D2C - Retail'!BF152+'D2C Online'!BW139</f>
        <v>2322176.562730697</v>
      </c>
      <c r="AZ96" s="19">
        <f>'D2C - Retail'!BG152+'D2C Online'!BX139</f>
        <v>2437629.791662287</v>
      </c>
      <c r="BA96" s="19">
        <f>'D2C - Retail'!BH152+'D2C Online'!BY139</f>
        <v>2554271.2354343939</v>
      </c>
      <c r="BB96" s="19">
        <f>'D2C - Retail'!BI152+'D2C Online'!BZ139</f>
        <v>2501061.8356437813</v>
      </c>
      <c r="BC96" s="19">
        <f>'D2C - Retail'!BJ152+'D2C Online'!CA139</f>
        <v>3276365.3163396167</v>
      </c>
      <c r="BD96" s="19">
        <f>'D2C - Retail'!BK152+'D2C Online'!CB139</f>
        <v>4140714.3787278607</v>
      </c>
      <c r="BE96" s="19">
        <f>'D2C - Retail'!BL152+'D2C Online'!CC139</f>
        <v>4968390.2292234506</v>
      </c>
      <c r="BF96" s="19">
        <f>'D2C - Retail'!BM152+'D2C Online'!CD139</f>
        <v>4601026.8987068702</v>
      </c>
      <c r="BG96" s="19">
        <f>'D2C - Retail'!BN152+'D2C Online'!CE139</f>
        <v>4416278.081313665</v>
      </c>
      <c r="BH96" s="19">
        <f>'D2C - Retail'!BO152+'D2C Online'!CF139</f>
        <v>4400317.556584971</v>
      </c>
      <c r="BI96" s="19">
        <f>'D2C - Retail'!BP152+'D2C Online'!CG139</f>
        <v>4294684.6914952854</v>
      </c>
      <c r="BJ96" s="19">
        <f>'D2C - Retail'!BQ152+'D2C Online'!CH139</f>
        <v>4331752.1233869921</v>
      </c>
      <c r="BK96" s="19">
        <f>'D2C - Retail'!BR152+'D2C Online'!CI139</f>
        <v>3888917.2178691411</v>
      </c>
      <c r="BL96" s="19">
        <f>'D2C - Retail'!BS152+'D2C Online'!CJ139</f>
        <v>3405826.8575907671</v>
      </c>
      <c r="BM96" s="19">
        <f>'D2C - Retail'!BT152+'D2C Online'!CK139</f>
        <v>3220193.9435393885</v>
      </c>
      <c r="BN96" s="19">
        <f>'D2C - Retail'!BU152+'D2C Online'!CL139</f>
        <v>4151483.7989119068</v>
      </c>
      <c r="BO96" s="19">
        <f>'D2C - Retail'!BV152+'D2C Online'!CM139</f>
        <v>4151483.7989119068</v>
      </c>
      <c r="BP96" s="19">
        <f>'D2C - Retail'!BW152+'D2C Online'!CN139</f>
        <v>4151483.7989119068</v>
      </c>
      <c r="BQ96" s="19">
        <f>'D2C - Retail'!BX152+'D2C Online'!CO139</f>
        <v>4151483.7989119068</v>
      </c>
      <c r="BR96" s="19">
        <f>'D2C - Retail'!BY152+'D2C Online'!CP139</f>
        <v>4151483.7989119068</v>
      </c>
      <c r="BS96" s="19">
        <f>'D2C - Retail'!BZ152+'D2C Online'!CQ139</f>
        <v>4151483.7989119068</v>
      </c>
      <c r="BT96" s="19">
        <f>'D2C - Retail'!CA152+'D2C Online'!CR139</f>
        <v>4151483.7989119068</v>
      </c>
      <c r="BU96" s="19">
        <f>'D2C - Retail'!CB152+'D2C Online'!CS139</f>
        <v>4151483.7989119068</v>
      </c>
      <c r="BV96" s="19">
        <f>'D2C - Retail'!CC152+'D2C Online'!CT139</f>
        <v>4151483.7989119068</v>
      </c>
      <c r="BW96" s="19">
        <f>'D2C - Retail'!CD152+'D2C Online'!CU139</f>
        <v>4151483.7989119068</v>
      </c>
      <c r="BX96" s="19">
        <f>'D2C - Retail'!CE152+'D2C Online'!CV139</f>
        <v>4151483.7989119068</v>
      </c>
      <c r="BY96" s="19">
        <f>'D2C - Retail'!CF152+'D2C Online'!CW139</f>
        <v>4151483.7989119068</v>
      </c>
      <c r="BZ96" s="19">
        <f>'D2C - Retail'!CG152+'D2C Online'!CX139</f>
        <v>4359057.9888575021</v>
      </c>
      <c r="CA96" s="19">
        <f>'D2C - Retail'!CH152+'D2C Online'!CY139</f>
        <v>4359057.9888575021</v>
      </c>
      <c r="CB96" s="19">
        <f>'D2C - Retail'!CI152+'D2C Online'!CZ139</f>
        <v>4359057.9888575021</v>
      </c>
      <c r="CC96" s="19">
        <f>'D2C - Retail'!CJ152+'D2C Online'!DA139</f>
        <v>4359057.9888575021</v>
      </c>
      <c r="CD96" s="19">
        <f>'D2C - Retail'!CK152+'D2C Online'!DB139</f>
        <v>4359057.9888575021</v>
      </c>
      <c r="CE96" s="19">
        <f>'D2C - Retail'!CL152+'D2C Online'!DC139</f>
        <v>4359057.9888575021</v>
      </c>
      <c r="CF96" s="19">
        <f>'D2C - Retail'!CM152+'D2C Online'!DD139</f>
        <v>4359057.9888575021</v>
      </c>
      <c r="CG96" s="19">
        <f>'D2C - Retail'!CN152+'D2C Online'!DE139</f>
        <v>4359057.9888575021</v>
      </c>
      <c r="CH96" s="19">
        <f>'D2C - Retail'!CO152+'D2C Online'!DF139</f>
        <v>4359057.9888575021</v>
      </c>
      <c r="CI96" s="19">
        <f>'D2C - Retail'!CP152+'D2C Online'!DG139</f>
        <v>4359057.9888575021</v>
      </c>
      <c r="CJ96" s="19">
        <f>'D2C - Retail'!CQ152+'D2C Online'!DH139</f>
        <v>4359057.9888575021</v>
      </c>
      <c r="CK96" s="19">
        <f>'D2C - Retail'!CR152+'D2C Online'!DI139</f>
        <v>4359057.9888575021</v>
      </c>
      <c r="CL96" s="19">
        <f>'D2C - Retail'!CS152+'D2C Online'!DJ139</f>
        <v>4577010.8883003779</v>
      </c>
      <c r="CM96" s="19">
        <f>'D2C - Retail'!CT152+'D2C Online'!DK139</f>
        <v>4577010.8883003779</v>
      </c>
      <c r="CN96" s="19">
        <f>'D2C - Retail'!CU152+'D2C Online'!DL139</f>
        <v>4577010.8883003779</v>
      </c>
      <c r="CO96" s="19">
        <f>'D2C - Retail'!CV152+'D2C Online'!DM139</f>
        <v>4577010.8883003779</v>
      </c>
      <c r="CP96" s="19">
        <f>'D2C - Retail'!CW152+'D2C Online'!DN139</f>
        <v>4577010.8883003779</v>
      </c>
      <c r="CQ96" s="19">
        <f>'D2C - Retail'!CX152+'D2C Online'!DO139</f>
        <v>4577010.8883003779</v>
      </c>
      <c r="CR96" s="19">
        <f>'D2C - Retail'!CY152+'D2C Online'!DP139</f>
        <v>4577010.8883003779</v>
      </c>
      <c r="CS96" s="19">
        <f>'D2C - Retail'!CZ152+'D2C Online'!DQ139</f>
        <v>4577010.8883003779</v>
      </c>
      <c r="CT96" s="19">
        <f>'D2C - Retail'!DA152+'D2C Online'!DR139</f>
        <v>4577010.8883003779</v>
      </c>
      <c r="CU96" s="19">
        <f>'D2C - Retail'!DB152+'D2C Online'!DS139</f>
        <v>4577010.8883003779</v>
      </c>
      <c r="CV96" s="19">
        <f>'D2C - Retail'!DC152+'D2C Online'!DT139</f>
        <v>4577010.8883003779</v>
      </c>
      <c r="CW96" s="19">
        <f>'D2C - Retail'!DD152+'D2C Online'!DU139</f>
        <v>4577010.8883003779</v>
      </c>
      <c r="CX96" s="168"/>
      <c r="CY96" s="19">
        <f t="shared" si="348"/>
        <v>5420421.9135525245</v>
      </c>
      <c r="CZ96" s="19">
        <f t="shared" si="349"/>
        <v>5683183.3500599163</v>
      </c>
      <c r="DA96" s="19">
        <f t="shared" si="350"/>
        <v>6290002.7915286208</v>
      </c>
      <c r="DB96" s="19">
        <f t="shared" si="351"/>
        <v>6248604.862315434</v>
      </c>
      <c r="DC96" s="19">
        <f t="shared" si="352"/>
        <v>6446376.5750433374</v>
      </c>
      <c r="DD96" s="19">
        <f t="shared" si="353"/>
        <v>6463824.6286467817</v>
      </c>
      <c r="DE96" s="19">
        <f t="shared" si="354"/>
        <v>6971197.395799757</v>
      </c>
      <c r="DF96" s="19">
        <f t="shared" si="355"/>
        <v>7314077.5898273773</v>
      </c>
      <c r="DG96" s="19">
        <f t="shared" si="356"/>
        <v>9918141.5307112597</v>
      </c>
      <c r="DH96" s="19">
        <f t="shared" si="357"/>
        <v>13985695.209243987</v>
      </c>
      <c r="DI96" s="19">
        <f t="shared" si="358"/>
        <v>13026754.371467249</v>
      </c>
      <c r="DJ96" s="19">
        <f t="shared" si="359"/>
        <v>10514938.018999297</v>
      </c>
      <c r="DK96" s="19">
        <f t="shared" si="360"/>
        <v>12454451.39673572</v>
      </c>
      <c r="DL96" s="19">
        <f t="shared" si="361"/>
        <v>12454451.39673572</v>
      </c>
      <c r="DM96" s="19">
        <f t="shared" si="362"/>
        <v>12454451.39673572</v>
      </c>
      <c r="DN96" s="19">
        <f t="shared" si="363"/>
        <v>12454451.39673572</v>
      </c>
      <c r="DO96" s="19">
        <f t="shared" si="364"/>
        <v>13077173.966572506</v>
      </c>
      <c r="DP96" s="19">
        <f t="shared" si="365"/>
        <v>13077173.966572506</v>
      </c>
      <c r="DQ96" s="19">
        <f t="shared" si="366"/>
        <v>13077173.966572506</v>
      </c>
      <c r="DR96" s="19">
        <f t="shared" si="367"/>
        <v>13077173.966572506</v>
      </c>
      <c r="DS96" s="19">
        <f t="shared" si="368"/>
        <v>13731032.664901134</v>
      </c>
      <c r="DT96" s="19">
        <f t="shared" si="369"/>
        <v>13731032.664901134</v>
      </c>
      <c r="DU96" s="19">
        <f t="shared" si="370"/>
        <v>13731032.664901134</v>
      </c>
      <c r="DV96" s="19">
        <f t="shared" si="371"/>
        <v>13731032.664901134</v>
      </c>
      <c r="DX96" s="19">
        <f t="shared" si="372"/>
        <v>23642212.917456497</v>
      </c>
      <c r="DY96" s="19">
        <f t="shared" si="373"/>
        <v>27195476.189317252</v>
      </c>
      <c r="DZ96" s="19">
        <f t="shared" si="374"/>
        <v>47445529.130421788</v>
      </c>
      <c r="EA96" s="19">
        <f t="shared" si="375"/>
        <v>49817805.586942881</v>
      </c>
      <c r="EB96" s="19">
        <f t="shared" si="376"/>
        <v>52308695.866290025</v>
      </c>
      <c r="EC96" s="770">
        <f t="shared" si="377"/>
        <v>54924130.659604535</v>
      </c>
    </row>
    <row r="97" spans="2:133" x14ac:dyDescent="0.2">
      <c r="B97" s="167" t="s">
        <v>51</v>
      </c>
      <c r="C97" s="19">
        <f>'D2C - Retail'!J153*'D2C - Retail'!J75/SUM('D2C - Retail'!J75:J77)+'D2C Online'!AA140</f>
        <v>109508.90363694393</v>
      </c>
      <c r="D97" s="19">
        <f>'D2C - Retail'!K153*'D2C - Retail'!K75/SUM('D2C - Retail'!K75:K77)+'D2C Online'!AB140</f>
        <v>62508.499183485634</v>
      </c>
      <c r="E97" s="19">
        <f>'D2C - Retail'!L153*'D2C - Retail'!L75/SUM('D2C - Retail'!L75:L77)+'D2C Online'!AC140</f>
        <v>152288.70208443122</v>
      </c>
      <c r="F97" s="19">
        <f>'D2C - Retail'!M153*'D2C - Retail'!M75/SUM('D2C - Retail'!M75:M77)+'D2C Online'!AD140</f>
        <v>11466.890100308055</v>
      </c>
      <c r="G97" s="19">
        <f>'D2C - Retail'!N153*'D2C - Retail'!N75/SUM('D2C - Retail'!N75:N77)+'D2C Online'!AE140</f>
        <v>41020.97698892263</v>
      </c>
      <c r="H97" s="19">
        <f>'D2C - Retail'!O153*'D2C - Retail'!O75/SUM('D2C - Retail'!O75:O77)+'D2C Online'!AF140</f>
        <v>30101.344959679649</v>
      </c>
      <c r="I97" s="19">
        <f>'D2C - Retail'!P153*'D2C - Retail'!P75/SUM('D2C - Retail'!P75:P77)+'D2C Online'!AG140</f>
        <v>165599.73811987162</v>
      </c>
      <c r="J97" s="19">
        <f>'D2C - Retail'!Q153*'D2C - Retail'!Q75/SUM('D2C - Retail'!Q75:Q77)+'D2C Online'!AH140</f>
        <v>166970.91724045156</v>
      </c>
      <c r="K97" s="19">
        <f>'D2C - Retail'!R153*'D2C - Retail'!R75/SUM('D2C - Retail'!R75:R77)+'D2C Online'!AI140</f>
        <v>416112.84948923736</v>
      </c>
      <c r="L97" s="19">
        <f>'D2C - Retail'!S153*'D2C - Retail'!S75/SUM('D2C - Retail'!S75:S77)+'D2C Online'!AJ140</f>
        <v>382819.59566703782</v>
      </c>
      <c r="M97" s="19">
        <f>'D2C - Retail'!T153*'D2C - Retail'!T75/SUM('D2C - Retail'!T75:T77)+'D2C Online'!AK140</f>
        <v>422235.40097459458</v>
      </c>
      <c r="N97" s="19">
        <f>'D2C - Retail'!U153*'D2C - Retail'!U75/SUM('D2C - Retail'!U75:U77)+'D2C Online'!AL140</f>
        <v>540902.81367729581</v>
      </c>
      <c r="O97" s="19">
        <f>'D2C - Retail'!V153*'D2C - Retail'!V75/SUM('D2C - Retail'!V75:V77)+'D2C Online'!AM140</f>
        <v>559839.33856370626</v>
      </c>
      <c r="P97" s="19">
        <f>'D2C - Retail'!W153*'D2C - Retail'!W75/SUM('D2C - Retail'!W75:W77)+'D2C Online'!AN140</f>
        <v>434317.34216982208</v>
      </c>
      <c r="Q97" s="19">
        <f>'D2C - Retail'!X153*'D2C - Retail'!X75/SUM('D2C - Retail'!X75:X77)+'D2C Online'!AO140</f>
        <v>1007549.1504141457</v>
      </c>
      <c r="R97" s="19">
        <f>'D2C - Retail'!Y153*'D2C - Retail'!Y75/SUM('D2C - Retail'!Y75:Y77)+'D2C Online'!AP140</f>
        <v>280541.41250908974</v>
      </c>
      <c r="S97" s="19">
        <f>'D2C - Retail'!Z153*'D2C - Retail'!Z75/SUM('D2C - Retail'!Z75:Z77)+'D2C Online'!AQ140</f>
        <v>663898.76612256945</v>
      </c>
      <c r="T97" s="19">
        <f>'D2C - Retail'!AA153*'D2C - Retail'!AA75/SUM('D2C - Retail'!AA75:AA77)+'D2C Online'!AR140</f>
        <v>481621.41721233679</v>
      </c>
      <c r="U97" s="19">
        <f>'D2C - Retail'!AB153*'D2C - Retail'!AB75/SUM('D2C - Retail'!AB75:AB77)+'D2C Online'!AS140</f>
        <v>493360.87243157806</v>
      </c>
      <c r="V97" s="19">
        <f>'D2C - Retail'!AC153*'D2C - Retail'!AC75/SUM('D2C - Retail'!AC75:AC77)+'D2C Online'!AT140</f>
        <v>208495.80548843229</v>
      </c>
      <c r="W97" s="19">
        <f>'D2C - Retail'!AD153*'D2C - Retail'!AD75/SUM('D2C - Retail'!AD75:AD77)+'D2C Online'!AU140</f>
        <v>494891.97262800887</v>
      </c>
      <c r="X97" s="19">
        <f>'D2C - Retail'!AE153*'D2C - Retail'!AE75/SUM('D2C - Retail'!AE75:AE77)+'D2C Online'!AV140</f>
        <v>806943.55903055076</v>
      </c>
      <c r="Y97" s="19">
        <f>'D2C - Retail'!AF153*'D2C - Retail'!AF75/SUM('D2C - Retail'!AF75:AF77)+'D2C Online'!AW140</f>
        <v>789654.08943883039</v>
      </c>
      <c r="Z97" s="19">
        <f>'D2C - Retail'!AG153*'D2C - Retail'!AG75/SUM('D2C - Retail'!AG75:AG77)+'D2C Online'!AX140</f>
        <v>1170446.0382527495</v>
      </c>
      <c r="AA97" s="19">
        <f>'D2C - Retail'!AH153*'D2C - Retail'!AH75/SUM('D2C - Retail'!AH75:AH77)+'D2C Online'!AY140</f>
        <v>1586328.2541522325</v>
      </c>
      <c r="AB97" s="19">
        <f>'D2C - Retail'!AI153*'D2C - Retail'!AI75/SUM('D2C - Retail'!AI75:AI77)+'D2C Online'!AZ140</f>
        <v>1111872.2596603849</v>
      </c>
      <c r="AC97" s="19">
        <f>'D2C - Retail'!AJ153*'D2C - Retail'!AJ75/SUM('D2C - Retail'!AJ75:AJ77)+'D2C Online'!BA140</f>
        <v>1000937.6984613846</v>
      </c>
      <c r="AD97" s="19">
        <f>'D2C - Retail'!AK153*'D2C - Retail'!AK75/SUM('D2C - Retail'!AK75:AK77)+'D2C Online'!BB140</f>
        <v>517457.23014002707</v>
      </c>
      <c r="AE97" s="19">
        <f>'D2C - Retail'!AL153*'D2C - Retail'!AL75/SUM('D2C - Retail'!AL75:AL77)+'D2C Online'!BC140</f>
        <v>788654.27409558592</v>
      </c>
      <c r="AF97" s="19">
        <f>'D2C - Retail'!AM153*'D2C - Retail'!AM75/SUM('D2C - Retail'!AM75:AM77)+'D2C Online'!BD140</f>
        <v>673488.53191735607</v>
      </c>
      <c r="AG97" s="19">
        <f>'D2C - Retail'!AN153*'D2C - Retail'!AN75/SUM('D2C - Retail'!AN75:AN77)+'D2C Online'!BE140</f>
        <v>705615.67914124043</v>
      </c>
      <c r="AH97" s="19">
        <f>'D2C - Retail'!AO153*'D2C - Retail'!AO75/SUM('D2C - Retail'!AO75:AO77)+'D2C Online'!BF140</f>
        <v>795300.08883056394</v>
      </c>
      <c r="AI97" s="19">
        <f>'D2C - Retail'!AP153*'D2C - Retail'!AP75/SUM('D2C - Retail'!AP75:AP77)+'D2C Online'!BG140</f>
        <v>724939.70408732677</v>
      </c>
      <c r="AJ97" s="19">
        <f>'D2C - Retail'!AQ153*'D2C - Retail'!AQ75/SUM('D2C - Retail'!AQ75:AQ77)+'D2C Online'!BH140</f>
        <v>628373.9661379715</v>
      </c>
      <c r="AK97" s="19">
        <f>'D2C - Retail'!AR153*'D2C - Retail'!AR75/SUM('D2C - Retail'!AR75:AR77)+'D2C Online'!BI140</f>
        <v>829952.22739212133</v>
      </c>
      <c r="AL97" s="19">
        <f>'D2C - Retail'!AS153*'D2C - Retail'!AS75/SUM('D2C - Retail'!AS75:AS77)+'D2C Online'!BJ140</f>
        <v>931483.0715058808</v>
      </c>
      <c r="AM97" s="19">
        <f>'D2C - Retail'!AT153*'D2C - Retail'!AT75/SUM('D2C - Retail'!AT75:AT77)+'D2C Online'!BK140</f>
        <v>1247715.6227497216</v>
      </c>
      <c r="AN97" s="19">
        <f>'D2C - Retail'!AU153*'D2C - Retail'!AU75/SUM('D2C - Retail'!AU75:AU77)+'D2C Online'!BL140</f>
        <v>909172.42210722936</v>
      </c>
      <c r="AO97" s="19">
        <f>'D2C - Retail'!AV153*'D2C - Retail'!AV75/SUM('D2C - Retail'!AV75:AV77)+'D2C Online'!BM140</f>
        <v>729091.35344385775</v>
      </c>
      <c r="AP97" s="19">
        <f>'D2C - Retail'!AW153*'D2C - Retail'!AW75/SUM('D2C - Retail'!AW75:AW77)+'D2C Online'!BN140</f>
        <v>712418.74328416062</v>
      </c>
      <c r="AQ97" s="19">
        <f>'D2C - Retail'!AX153*'D2C - Retail'!AX75/SUM('D2C - Retail'!AX75:AX77)+'D2C Online'!BO140</f>
        <v>1024261.939743723</v>
      </c>
      <c r="AR97" s="19">
        <f>'D2C - Retail'!AY153*'D2C - Retail'!AY75/SUM('D2C - Retail'!AY75:AY77)+'D2C Online'!BP140</f>
        <v>668880.48939694907</v>
      </c>
      <c r="AS97" s="19">
        <f>'D2C - Retail'!AZ153*'D2C - Retail'!AZ75/SUM('D2C - Retail'!AZ75:AZ77)+'D2C Online'!BQ140</f>
        <v>912231.7026258012</v>
      </c>
      <c r="AT97" s="19">
        <f>'D2C - Retail'!BA153*'D2C - Retail'!BA75/SUM('D2C - Retail'!BA75:BA77)+'D2C Online'!BR140</f>
        <v>897634.71357157722</v>
      </c>
      <c r="AU97" s="19">
        <f>'D2C - Retail'!BB153*'D2C - Retail'!BB75/SUM('D2C - Retail'!BB75:BB77)+'D2C Online'!BS140</f>
        <v>975024.02954586106</v>
      </c>
      <c r="AV97" s="19">
        <f>'D2C - Retail'!BC153*'D2C - Retail'!BC75/SUM('D2C - Retail'!BC75:BC77)+'D2C Online'!BT140</f>
        <v>939388.00127482309</v>
      </c>
      <c r="AW97" s="19">
        <f>'D2C - Retail'!BD153*'D2C - Retail'!BD75/SUM('D2C - Retail'!BD75:BD77)+'D2C Online'!BU140</f>
        <v>1004121.4825463375</v>
      </c>
      <c r="AX97" s="19">
        <f>'D2C - Retail'!BE153*'D2C - Retail'!BE75/SUM('D2C - Retail'!BE75:BE77)+'D2C Online'!BV140</f>
        <v>1156540.4976548683</v>
      </c>
      <c r="AY97" s="19">
        <f>'D2C - Retail'!BF153*'D2C - Retail'!BF75/SUM('D2C - Retail'!BF75:BF77)+'D2C Online'!BW140</f>
        <v>1126805.9274535368</v>
      </c>
      <c r="AZ97" s="19">
        <f>'D2C - Retail'!BG153*'D2C - Retail'!BG75/SUM('D2C - Retail'!BG75:BG77)+'D2C Online'!BX140</f>
        <v>906501.426272779</v>
      </c>
      <c r="BA97" s="19">
        <f>'D2C - Retail'!BH153*'D2C - Retail'!BH75/SUM('D2C - Retail'!BH75:BH77)+'D2C Online'!BY140</f>
        <v>1723580.4945051146</v>
      </c>
      <c r="BB97" s="19">
        <f>'D2C - Retail'!BI153*'D2C - Retail'!BI75/SUM('D2C - Retail'!BI75:BI77)+'D2C Online'!BZ140</f>
        <v>1269029.6058778763</v>
      </c>
      <c r="BC97" s="19">
        <f>'D2C - Retail'!BJ153*'D2C - Retail'!BJ75/SUM('D2C - Retail'!BJ75:BJ77)+'D2C Online'!CA140</f>
        <v>1550432.9697904533</v>
      </c>
      <c r="BD97" s="19">
        <f>'D2C - Retail'!BK153*'D2C - Retail'!BK75/SUM('D2C - Retail'!BK75:BK77)+'D2C Online'!CB140</f>
        <v>1775720.6947851134</v>
      </c>
      <c r="BE97" s="19">
        <f>'D2C - Retail'!BL153*'D2C - Retail'!BL75/SUM('D2C - Retail'!BL75:BL77)+'D2C Online'!CC140</f>
        <v>1879533.7178637974</v>
      </c>
      <c r="BF97" s="19">
        <f>'D2C - Retail'!BM153*'D2C - Retail'!BM75/SUM('D2C - Retail'!BM75:BM77)+'D2C Online'!CD140</f>
        <v>1958897.4622535459</v>
      </c>
      <c r="BG97" s="19">
        <f>'D2C - Retail'!BN153*'D2C - Retail'!BN75/SUM('D2C - Retail'!BN75:BN77)+'D2C Online'!CE140</f>
        <v>1720433.1407450875</v>
      </c>
      <c r="BH97" s="19">
        <f>'D2C - Retail'!BO153*'D2C - Retail'!BO75/SUM('D2C - Retail'!BO75:BO77)+'D2C Online'!CF140</f>
        <v>1921112.2154735669</v>
      </c>
      <c r="BI97" s="19">
        <f>'D2C - Retail'!BP153*'D2C - Retail'!BP75/SUM('D2C - Retail'!BP75:BP77)+'D2C Online'!CG140</f>
        <v>2176676.4706224971</v>
      </c>
      <c r="BJ97" s="19">
        <f>'D2C - Retail'!BQ153*'D2C - Retail'!BQ75/SUM('D2C - Retail'!BQ75:BQ77)+'D2C Online'!CH140</f>
        <v>2416400.6610239209</v>
      </c>
      <c r="BK97" s="19">
        <f>'D2C - Retail'!BR153*'D2C - Retail'!BR75/SUM('D2C - Retail'!BR75:BR77)+'D2C Online'!CI140</f>
        <v>2343323.8813189249</v>
      </c>
      <c r="BL97" s="19">
        <f>'D2C - Retail'!BS153*'D2C - Retail'!BS75/SUM('D2C - Retail'!BS75:BS77)+'D2C Online'!CJ140</f>
        <v>2550470.36678096</v>
      </c>
      <c r="BM97" s="19">
        <f>'D2C - Retail'!BT153*'D2C - Retail'!BT75/SUM('D2C - Retail'!BT75:BT77)+'D2C Online'!CK140</f>
        <v>2266592.4604522744</v>
      </c>
      <c r="BN97" s="19">
        <f>'D2C - Retail'!BU153*'D2C - Retail'!BU75/SUM('D2C - Retail'!BU75:BU77)+'D2C Online'!CL140</f>
        <v>2199529.1338613946</v>
      </c>
      <c r="BO97" s="19">
        <f>'D2C - Retail'!BV153*'D2C - Retail'!BV75/SUM('D2C - Retail'!BV75:BV77)+'D2C Online'!CM140</f>
        <v>2193775.0962829315</v>
      </c>
      <c r="BP97" s="19">
        <f>'D2C - Retail'!BW153*'D2C - Retail'!BW75/SUM('D2C - Retail'!BW75:BW77)+'D2C Online'!CN140</f>
        <v>2190861.0767604671</v>
      </c>
      <c r="BQ97" s="19">
        <f>'D2C - Retail'!BX153*'D2C - Retail'!BX75/SUM('D2C - Retail'!BX75:BX77)+'D2C Online'!CO140</f>
        <v>2204804.3793759905</v>
      </c>
      <c r="BR97" s="19">
        <f>'D2C - Retail'!BY153*'D2C - Retail'!BY75/SUM('D2C - Retail'!BY75:BY77)+'D2C Online'!CP140</f>
        <v>2179759.8960264078</v>
      </c>
      <c r="BS97" s="19">
        <f>'D2C - Retail'!BZ153*'D2C - Retail'!BZ75/SUM('D2C - Retail'!BZ75:BZ77)+'D2C Online'!CQ140</f>
        <v>2159642.882995056</v>
      </c>
      <c r="BT97" s="19">
        <f>'D2C - Retail'!CA153*'D2C - Retail'!CA75/SUM('D2C - Retail'!CA75:CA77)+'D2C Online'!CR140</f>
        <v>2204525.4647734864</v>
      </c>
      <c r="BU97" s="19">
        <f>'D2C - Retail'!CB153*'D2C - Retail'!CB75/SUM('D2C - Retail'!CB75:CB77)+'D2C Online'!CS140</f>
        <v>2185910.6473256648</v>
      </c>
      <c r="BV97" s="19">
        <f>'D2C - Retail'!CC153*'D2C - Retail'!CC75/SUM('D2C - Retail'!CC75:CC77)+'D2C Online'!CT140</f>
        <v>2217590.1819278989</v>
      </c>
      <c r="BW97" s="19">
        <f>'D2C - Retail'!CD153*'D2C - Retail'!CD75/SUM('D2C - Retail'!CD75:CD77)+'D2C Online'!CU140</f>
        <v>2220476.1057186662</v>
      </c>
      <c r="BX97" s="19">
        <f>'D2C - Retail'!CE153*'D2C - Retail'!CE75/SUM('D2C - Retail'!CE75:CE77)+'D2C Online'!CV140</f>
        <v>2205323.2251325957</v>
      </c>
      <c r="BY97" s="19">
        <f>'D2C - Retail'!CF153*'D2C - Retail'!CF75/SUM('D2C - Retail'!CF75:CF77)+'D2C Online'!CW140</f>
        <v>2229239.6365402117</v>
      </c>
      <c r="BZ97" s="19">
        <f>'D2C - Retail'!CG153*'D2C - Retail'!CG75/SUM('D2C - Retail'!CG75:CG77)+'D2C Online'!CX140</f>
        <v>2324208.1762376577</v>
      </c>
      <c r="CA97" s="19">
        <f>'D2C - Retail'!CH153*'D2C - Retail'!CH75/SUM('D2C - Retail'!CH75:CH77)+'D2C Online'!CY140</f>
        <v>2318568.2770906785</v>
      </c>
      <c r="CB97" s="19">
        <f>'D2C - Retail'!CI153*'D2C - Retail'!CI75/SUM('D2C - Retail'!CI75:CI77)+'D2C Online'!CZ140</f>
        <v>2315711.2838258175</v>
      </c>
      <c r="CC97" s="19">
        <f>'D2C - Retail'!CJ153*'D2C - Retail'!CJ75/SUM('D2C - Retail'!CJ75:CJ77)+'D2C Online'!DA140</f>
        <v>2329376.991966099</v>
      </c>
      <c r="CD97" s="19">
        <f>'D2C - Retail'!CK153*'D2C - Retail'!CK75/SUM('D2C - Retail'!CK75:CK77)+'D2C Online'!DB140</f>
        <v>2304822.5605269084</v>
      </c>
      <c r="CE97" s="19">
        <f>'D2C - Retail'!CL153*'D2C - Retail'!CL75/SUM('D2C - Retail'!CL75:CL77)+'D2C Online'!DC140</f>
        <v>2285071.2031341819</v>
      </c>
      <c r="CF97" s="19">
        <f>'D2C - Retail'!CM153*'D2C - Retail'!CM75/SUM('D2C - Retail'!CM75:CM77)+'D2C Online'!DD140</f>
        <v>2329103.7473856318</v>
      </c>
      <c r="CG97" s="19">
        <f>'D2C - Retail'!CN153*'D2C - Retail'!CN75/SUM('D2C - Retail'!CN75:CN77)+'D2C Online'!DE140</f>
        <v>2310856.534423511</v>
      </c>
      <c r="CH97" s="19">
        <f>'D2C - Retail'!CO153*'D2C - Retail'!CO75/SUM('D2C - Retail'!CO75:CO77)+'D2C Online'!DF140</f>
        <v>2341897.7424247703</v>
      </c>
      <c r="CI97" s="19">
        <f>'D2C - Retail'!CP153*'D2C - Retail'!CP75/SUM('D2C - Retail'!CP75:CP77)+'D2C Online'!DG140</f>
        <v>2344722.4519259762</v>
      </c>
      <c r="CJ97" s="19">
        <f>'D2C - Retail'!CQ153*'D2C - Retail'!CQ75/SUM('D2C - Retail'!CQ75:CQ77)+'D2C Online'!DH140</f>
        <v>2329885.2774495305</v>
      </c>
      <c r="CK97" s="19">
        <f>'D2C - Retail'!CR153*'D2C - Retail'!CR75/SUM('D2C - Retail'!CR75:CR77)+'D2C Online'!DI140</f>
        <v>2353296.9646602683</v>
      </c>
      <c r="CL97" s="19">
        <f>'D2C - Retail'!CS153*'D2C - Retail'!CS75/SUM('D2C - Retail'!CS75:CS77)+'D2C Online'!DJ140</f>
        <v>2449201.5086790356</v>
      </c>
      <c r="CM97" s="19">
        <f>'D2C - Retail'!CT153*'D2C - Retail'!CT75/SUM('D2C - Retail'!CT75:CT77)+'D2C Online'!DK140</f>
        <v>2443522.211788395</v>
      </c>
      <c r="CN97" s="19">
        <f>'D2C - Retail'!CU153*'D2C - Retail'!CU75/SUM('D2C - Retail'!CU75:CU77)+'D2C Online'!DL140</f>
        <v>2440644.8156098947</v>
      </c>
      <c r="CO97" s="19">
        <f>'D2C - Retail'!CV153*'D2C - Retail'!CV75/SUM('D2C - Retail'!CV75:CV77)+'D2C Online'!DM140</f>
        <v>2454405.4068771615</v>
      </c>
      <c r="CP97" s="19">
        <f>'D2C - Retail'!CW153*'D2C - Retail'!CW75/SUM('D2C - Retail'!CW75:CW77)+'D2C Online'!DN140</f>
        <v>2429675.5853171642</v>
      </c>
      <c r="CQ97" s="19">
        <f>'D2C - Retail'!CX153*'D2C - Retail'!CX75/SUM('D2C - Retail'!CX75:CX77)+'D2C Online'!DO140</f>
        <v>2409767.0828549382</v>
      </c>
      <c r="CR97" s="19">
        <f>'D2C - Retail'!CY153*'D2C - Retail'!CY75/SUM('D2C - Retail'!CY75:CY77)+'D2C Online'!DP140</f>
        <v>2454130.3322205148</v>
      </c>
      <c r="CS97" s="19">
        <f>'D2C - Retail'!CZ153*'D2C - Retail'!CZ75/SUM('D2C - Retail'!CZ75:CZ77)+'D2C Online'!DQ140</f>
        <v>2435754.7096512839</v>
      </c>
      <c r="CT97" s="19">
        <f>'D2C - Retail'!DA153*'D2C - Retail'!DA75/SUM('D2C - Retail'!DA75:DA77)+'D2C Online'!DR140</f>
        <v>2467007.0799733885</v>
      </c>
      <c r="CU97" s="19">
        <f>'D2C - Retail'!DB153*'D2C - Retail'!DB75/SUM('D2C - Retail'!DB75:DB77)+'D2C Online'!DS140</f>
        <v>2469849.2515587779</v>
      </c>
      <c r="CV97" s="19">
        <f>'D2C - Retail'!DC153*'D2C - Retail'!DC75/SUM('D2C - Retail'!DC75:DC77)+'D2C Online'!DT140</f>
        <v>2454917.0893585728</v>
      </c>
      <c r="CW97" s="19">
        <f>'D2C - Retail'!DD153*'D2C - Retail'!DD75/SUM('D2C - Retail'!DD75:DD77)+'D2C Online'!DU140</f>
        <v>2478474.9809326828</v>
      </c>
      <c r="CX97" s="168"/>
      <c r="CY97" s="19">
        <f t="shared" si="348"/>
        <v>1979600.0361529691</v>
      </c>
      <c r="CZ97" s="19">
        <f t="shared" si="349"/>
        <v>2225855.4720591311</v>
      </c>
      <c r="DA97" s="19">
        <f t="shared" si="350"/>
        <v>2389809.2650359739</v>
      </c>
      <c r="DB97" s="19">
        <f t="shared" si="351"/>
        <v>2885979.3983008089</v>
      </c>
      <c r="DC97" s="19">
        <f t="shared" si="352"/>
        <v>2405561.1724248324</v>
      </c>
      <c r="DD97" s="19">
        <f t="shared" si="353"/>
        <v>2784890.4457432395</v>
      </c>
      <c r="DE97" s="19">
        <f t="shared" si="354"/>
        <v>3100049.9814760289</v>
      </c>
      <c r="DF97" s="19">
        <f t="shared" si="355"/>
        <v>3756887.8482314302</v>
      </c>
      <c r="DG97" s="19">
        <f t="shared" si="356"/>
        <v>4595183.2704534428</v>
      </c>
      <c r="DH97" s="19">
        <f t="shared" si="357"/>
        <v>5558864.3208624311</v>
      </c>
      <c r="DI97" s="19">
        <f t="shared" si="358"/>
        <v>6514189.3471199851</v>
      </c>
      <c r="DJ97" s="19">
        <f t="shared" si="359"/>
        <v>7160386.7085521594</v>
      </c>
      <c r="DK97" s="19">
        <f t="shared" si="360"/>
        <v>6584165.3069047928</v>
      </c>
      <c r="DL97" s="19">
        <f t="shared" si="361"/>
        <v>6544207.1583974548</v>
      </c>
      <c r="DM97" s="19">
        <f t="shared" si="362"/>
        <v>6608026.29402705</v>
      </c>
      <c r="DN97" s="19">
        <f t="shared" si="363"/>
        <v>6655038.9673914742</v>
      </c>
      <c r="DO97" s="19">
        <f t="shared" si="364"/>
        <v>6958487.7371541532</v>
      </c>
      <c r="DP97" s="19">
        <f t="shared" si="365"/>
        <v>6919270.7556271898</v>
      </c>
      <c r="DQ97" s="19">
        <f t="shared" si="366"/>
        <v>6981858.024233913</v>
      </c>
      <c r="DR97" s="19">
        <f t="shared" si="367"/>
        <v>7027904.694035775</v>
      </c>
      <c r="DS97" s="19">
        <f t="shared" si="368"/>
        <v>7333368.5360773252</v>
      </c>
      <c r="DT97" s="19">
        <f t="shared" si="369"/>
        <v>7293848.0750492644</v>
      </c>
      <c r="DU97" s="19">
        <f t="shared" si="370"/>
        <v>7356892.1218451876</v>
      </c>
      <c r="DV97" s="19">
        <f t="shared" si="371"/>
        <v>7403241.3218500335</v>
      </c>
      <c r="DX97" s="19">
        <f t="shared" si="372"/>
        <v>9481244.1715488844</v>
      </c>
      <c r="DY97" s="19">
        <f t="shared" si="373"/>
        <v>12047389.44787553</v>
      </c>
      <c r="DZ97" s="19">
        <f t="shared" si="374"/>
        <v>23828623.646988019</v>
      </c>
      <c r="EA97" s="19">
        <f t="shared" si="375"/>
        <v>26391437.726720773</v>
      </c>
      <c r="EB97" s="19">
        <f t="shared" si="376"/>
        <v>27887521.211051032</v>
      </c>
      <c r="EC97" s="770">
        <f t="shared" si="377"/>
        <v>29387350.054821812</v>
      </c>
    </row>
    <row r="98" spans="2:133" x14ac:dyDescent="0.2">
      <c r="B98" s="167" t="s">
        <v>52</v>
      </c>
      <c r="C98" s="19">
        <f>'D2C - Retail'!J154*'D2C - Retail'!J75/SUM('D2C - Retail'!J75:J77)+'D2C Online'!AA141</f>
        <v>150143.02151526677</v>
      </c>
      <c r="D98" s="19">
        <f>'D2C - Retail'!K154*'D2C - Retail'!K75/SUM('D2C - Retail'!K75:K77)+'D2C Online'!AB141</f>
        <v>211521.22451536715</v>
      </c>
      <c r="E98" s="19">
        <f>'D2C - Retail'!L154*'D2C - Retail'!L75/SUM('D2C - Retail'!L75:L77)+'D2C Online'!AC141</f>
        <v>509134.67762694159</v>
      </c>
      <c r="F98" s="19">
        <f>'D2C - Retail'!M154*'D2C - Retail'!M75/SUM('D2C - Retail'!M75:M77)+'D2C Online'!AD141</f>
        <v>225510.37065225348</v>
      </c>
      <c r="G98" s="19">
        <f>'D2C - Retail'!N154*'D2C - Retail'!N75/SUM('D2C - Retail'!N75:N77)+'D2C Online'!AE141</f>
        <v>64638.613643525772</v>
      </c>
      <c r="H98" s="19">
        <f>'D2C - Retail'!O154*'D2C - Retail'!O75/SUM('D2C - Retail'!O75:O77)+'D2C Online'!AF141</f>
        <v>184721.41376932414</v>
      </c>
      <c r="I98" s="19">
        <f>'D2C - Retail'!P154*'D2C - Retail'!P75/SUM('D2C - Retail'!P75:P77)+'D2C Online'!AG141</f>
        <v>216417.99679143156</v>
      </c>
      <c r="J98" s="19">
        <f>'D2C - Retail'!Q154*'D2C - Retail'!Q75/SUM('D2C - Retail'!Q75:Q77)+'D2C Online'!AH141</f>
        <v>567876.64478579641</v>
      </c>
      <c r="K98" s="19">
        <f>'D2C - Retail'!R154*'D2C - Retail'!R75/SUM('D2C - Retail'!R75:R77)+'D2C Online'!AI141</f>
        <v>315822.16140455898</v>
      </c>
      <c r="L98" s="19">
        <f>'D2C - Retail'!S154*'D2C - Retail'!S75/SUM('D2C - Retail'!S75:S77)+'D2C Online'!AJ141</f>
        <v>226636.68883853845</v>
      </c>
      <c r="M98" s="19">
        <f>'D2C - Retail'!T154*'D2C - Retail'!T75/SUM('D2C - Retail'!T75:T77)+'D2C Online'!AK141</f>
        <v>222120.827172675</v>
      </c>
      <c r="N98" s="19">
        <f>'D2C - Retail'!U154*'D2C - Retail'!U75/SUM('D2C - Retail'!U75:U77)+'D2C Online'!AL141</f>
        <v>501962.53251879278</v>
      </c>
      <c r="O98" s="19">
        <f>'D2C - Retail'!V154*'D2C - Retail'!V75/SUM('D2C - Retail'!V75:V77)+'D2C Online'!AM141</f>
        <v>349309.73195950891</v>
      </c>
      <c r="P98" s="19">
        <f>'D2C - Retail'!W154*'D2C - Retail'!W75/SUM('D2C - Retail'!W75:W77)+'D2C Online'!AN141</f>
        <v>301099.35559701506</v>
      </c>
      <c r="Q98" s="19">
        <f>'D2C - Retail'!X154*'D2C - Retail'!X75/SUM('D2C - Retail'!X75:X77)+'D2C Online'!AO141</f>
        <v>290821.0587613025</v>
      </c>
      <c r="R98" s="19">
        <f>'D2C - Retail'!Y154*'D2C - Retail'!Y75/SUM('D2C - Retail'!Y75:Y77)+'D2C Online'!AP141</f>
        <v>165743.14021238132</v>
      </c>
      <c r="S98" s="19">
        <f>'D2C - Retail'!Z154*'D2C - Retail'!Z75/SUM('D2C - Retail'!Z75:Z77)+'D2C Online'!AQ141</f>
        <v>542737.69808459294</v>
      </c>
      <c r="T98" s="19">
        <f>'D2C - Retail'!AA154*'D2C - Retail'!AA75/SUM('D2C - Retail'!AA75:AA77)+'D2C Online'!AR141</f>
        <v>751742.88678155176</v>
      </c>
      <c r="U98" s="19">
        <f>'D2C - Retail'!AB154*'D2C - Retail'!AB75/SUM('D2C - Retail'!AB75:AB77)+'D2C Online'!AS141</f>
        <v>690498.34093571024</v>
      </c>
      <c r="V98" s="19">
        <f>'D2C - Retail'!AC154*'D2C - Retail'!AC75/SUM('D2C - Retail'!AC75:AC77)+'D2C Online'!AT141</f>
        <v>1187748.4244061613</v>
      </c>
      <c r="W98" s="19">
        <f>'D2C - Retail'!AD154*'D2C - Retail'!AD75/SUM('D2C - Retail'!AD75:AD77)+'D2C Online'!AU141</f>
        <v>1332558.1119821519</v>
      </c>
      <c r="X98" s="19">
        <f>'D2C - Retail'!AE154*'D2C - Retail'!AE75/SUM('D2C - Retail'!AE75:AE77)+'D2C Online'!AV141</f>
        <v>1152755.1132880333</v>
      </c>
      <c r="Y98" s="19">
        <f>'D2C - Retail'!AF154*'D2C - Retail'!AF75/SUM('D2C - Retail'!AF75:AF77)+'D2C Online'!AW141</f>
        <v>1647343.1837649995</v>
      </c>
      <c r="Z98" s="19">
        <f>'D2C - Retail'!AG154*'D2C - Retail'!AG75/SUM('D2C - Retail'!AG75:AG77)+'D2C Online'!AX141</f>
        <v>2332489.9250675845</v>
      </c>
      <c r="AA98" s="19">
        <f>'D2C - Retail'!AH154*'D2C - Retail'!AH75/SUM('D2C - Retail'!AH75:AH77)+'D2C Online'!AY141</f>
        <v>1964976.8183741404</v>
      </c>
      <c r="AB98" s="19">
        <f>'D2C - Retail'!AI154*'D2C - Retail'!AI75/SUM('D2C - Retail'!AI75:AI77)+'D2C Online'!AZ141</f>
        <v>1320965.9312369088</v>
      </c>
      <c r="AC98" s="19">
        <f>'D2C - Retail'!AJ154*'D2C - Retail'!AJ75/SUM('D2C - Retail'!AJ75:AJ77)+'D2C Online'!BA141</f>
        <v>1624283.1992690959</v>
      </c>
      <c r="AD98" s="19">
        <f>'D2C - Retail'!AK154*'D2C - Retail'!AK75/SUM('D2C - Retail'!AK75:AK77)+'D2C Online'!BB141</f>
        <v>1304219.4864867413</v>
      </c>
      <c r="AE98" s="19">
        <f>'D2C - Retail'!AL154*'D2C - Retail'!AL75/SUM('D2C - Retail'!AL75:AL77)+'D2C Online'!BC141</f>
        <v>1395732.9318833374</v>
      </c>
      <c r="AF98" s="19">
        <f>'D2C - Retail'!AM154*'D2C - Retail'!AM75/SUM('D2C - Retail'!AM75:AM77)+'D2C Online'!BD141</f>
        <v>3521433.0906840963</v>
      </c>
      <c r="AG98" s="19">
        <f>'D2C - Retail'!AN154*'D2C - Retail'!AN75/SUM('D2C - Retail'!AN75:AN77)+'D2C Online'!BE141</f>
        <v>1592100.6971917818</v>
      </c>
      <c r="AH98" s="19">
        <f>'D2C - Retail'!AO154*'D2C - Retail'!AO75/SUM('D2C - Retail'!AO75:AO77)+'D2C Online'!BF141</f>
        <v>2687925.8422863097</v>
      </c>
      <c r="AI98" s="19">
        <f>'D2C - Retail'!AP154*'D2C - Retail'!AP75/SUM('D2C - Retail'!AP75:AP77)+'D2C Online'!BG141</f>
        <v>1835595.1901844442</v>
      </c>
      <c r="AJ98" s="19">
        <f>'D2C - Retail'!AQ154*'D2C - Retail'!AQ75/SUM('D2C - Retail'!AQ75:AQ77)+'D2C Online'!BH141</f>
        <v>1598153.9652160986</v>
      </c>
      <c r="AK98" s="19">
        <f>'D2C - Retail'!AR154*'D2C - Retail'!AR75/SUM('D2C - Retail'!AR75:AR77)+'D2C Online'!BI141</f>
        <v>2039946.0212459634</v>
      </c>
      <c r="AL98" s="19">
        <f>'D2C - Retail'!AS154*'D2C - Retail'!AS75/SUM('D2C - Retail'!AS75:AS77)+'D2C Online'!BJ141</f>
        <v>1940399.9727178514</v>
      </c>
      <c r="AM98" s="19">
        <f>'D2C - Retail'!AT154*'D2C - Retail'!AT75/SUM('D2C - Retail'!AT75:AT77)+'D2C Online'!BK141</f>
        <v>1641921.8886472788</v>
      </c>
      <c r="AN98" s="19">
        <f>'D2C - Retail'!AU154*'D2C - Retail'!AU75/SUM('D2C - Retail'!AU75:AU77)+'D2C Online'!BL141</f>
        <v>1622206.6510883179</v>
      </c>
      <c r="AO98" s="19">
        <f>'D2C - Retail'!AV154*'D2C - Retail'!AV75/SUM('D2C - Retail'!AV75:AV77)+'D2C Online'!BM141</f>
        <v>1478720.7560651903</v>
      </c>
      <c r="AP98" s="19">
        <f>'D2C - Retail'!AW154*'D2C - Retail'!AW75/SUM('D2C - Retail'!AW75:AW77)+'D2C Online'!BN141</f>
        <v>1390201.5143162606</v>
      </c>
      <c r="AQ98" s="19">
        <f>'D2C - Retail'!AX154*'D2C - Retail'!AX75/SUM('D2C - Retail'!AX75:AX77)+'D2C Online'!BO141</f>
        <v>1128092.4531761985</v>
      </c>
      <c r="AR98" s="19">
        <f>'D2C - Retail'!AY154*'D2C - Retail'!AY75/SUM('D2C - Retail'!AY75:AY77)+'D2C Online'!BP141</f>
        <v>1704667.4922260582</v>
      </c>
      <c r="AS98" s="19">
        <f>'D2C - Retail'!AZ154*'D2C - Retail'!AZ75/SUM('D2C - Retail'!AZ75:AZ77)+'D2C Online'!BQ141</f>
        <v>1184395.9938069936</v>
      </c>
      <c r="AT98" s="19">
        <f>'D2C - Retail'!BA154*'D2C - Retail'!BA75/SUM('D2C - Retail'!BA75:BA77)+'D2C Online'!BR141</f>
        <v>1713035.2836903867</v>
      </c>
      <c r="AU98" s="19">
        <f>'D2C - Retail'!BB154*'D2C - Retail'!BB75/SUM('D2C - Retail'!BB75:BB77)+'D2C Online'!BS141</f>
        <v>1691824.5377117526</v>
      </c>
      <c r="AV98" s="19">
        <f>'D2C - Retail'!BC154*'D2C - Retail'!BC75/SUM('D2C - Retail'!BC75:BC77)+'D2C Online'!BT141</f>
        <v>1545999.8488784435</v>
      </c>
      <c r="AW98" s="19">
        <f>'D2C - Retail'!BD154*'D2C - Retail'!BD75/SUM('D2C - Retail'!BD75:BD77)+'D2C Online'!BU141</f>
        <v>1772104.4642210074</v>
      </c>
      <c r="AX98" s="19">
        <f>'D2C - Retail'!BE154*'D2C - Retail'!BE75/SUM('D2C - Retail'!BE75:BE77)+'D2C Online'!BV141</f>
        <v>1680356.7975008481</v>
      </c>
      <c r="AY98" s="19">
        <f>'D2C - Retail'!BF154*'D2C - Retail'!BF75/SUM('D2C - Retail'!BF75:BF77)+'D2C Online'!BW141</f>
        <v>2393112.3660401027</v>
      </c>
      <c r="AZ98" s="19">
        <f>'D2C - Retail'!BG154*'D2C - Retail'!BG75/SUM('D2C - Retail'!BG75:BG77)+'D2C Online'!BX141</f>
        <v>2831228.4038832211</v>
      </c>
      <c r="BA98" s="19">
        <f>'D2C - Retail'!BH154*'D2C - Retail'!BH75/SUM('D2C - Retail'!BH75:BH77)+'D2C Online'!BY141</f>
        <v>3347465.0811275081</v>
      </c>
      <c r="BB98" s="19">
        <f>'D2C - Retail'!BI154*'D2C - Retail'!BI75/SUM('D2C - Retail'!BI75:BI77)+'D2C Online'!BZ141</f>
        <v>3544732.6509571751</v>
      </c>
      <c r="BC98" s="19">
        <f>'D2C - Retail'!BJ154*'D2C - Retail'!BJ75/SUM('D2C - Retail'!BJ75:BJ77)+'D2C Online'!CA141</f>
        <v>2150799.0975459395</v>
      </c>
      <c r="BD98" s="19">
        <f>'D2C - Retail'!BK154*'D2C - Retail'!BK75/SUM('D2C - Retail'!BK75:BK77)+'D2C Online'!CB141</f>
        <v>2570199.9645589371</v>
      </c>
      <c r="BE98" s="19">
        <f>'D2C - Retail'!BL154*'D2C - Retail'!BL75/SUM('D2C - Retail'!BL75:BL77)+'D2C Online'!CC141</f>
        <v>2603054.5996911083</v>
      </c>
      <c r="BF98" s="19">
        <f>'D2C - Retail'!BM154*'D2C - Retail'!BM75/SUM('D2C - Retail'!BM75:BM77)+'D2C Online'!CD141</f>
        <v>2124316.4751900551</v>
      </c>
      <c r="BG98" s="19">
        <f>'D2C - Retail'!BN154*'D2C - Retail'!BN75/SUM('D2C - Retail'!BN75:BN77)+'D2C Online'!CE141</f>
        <v>2961708.4667721493</v>
      </c>
      <c r="BH98" s="19">
        <f>'D2C - Retail'!BO154*'D2C - Retail'!BO75/SUM('D2C - Retail'!BO75:BO77)+'D2C Online'!CF141</f>
        <v>4343004.5851225182</v>
      </c>
      <c r="BI98" s="19">
        <f>'D2C - Retail'!BP154*'D2C - Retail'!BP75/SUM('D2C - Retail'!BP75:BP77)+'D2C Online'!CG141</f>
        <v>3308046.8320561429</v>
      </c>
      <c r="BJ98" s="19">
        <f>'D2C - Retail'!BQ154*'D2C - Retail'!BQ75/SUM('D2C - Retail'!BQ75:BQ77)+'D2C Online'!CH141</f>
        <v>4009480.7840261878</v>
      </c>
      <c r="BK98" s="19">
        <f>'D2C - Retail'!BR154*'D2C - Retail'!BR75/SUM('D2C - Retail'!BR75:BR77)+'D2C Online'!CI141</f>
        <v>3889980.6813136754</v>
      </c>
      <c r="BL98" s="19">
        <f>'D2C - Retail'!BS154*'D2C - Retail'!BS75/SUM('D2C - Retail'!BS75:BS77)+'D2C Online'!CJ141</f>
        <v>2277367.1652573352</v>
      </c>
      <c r="BM98" s="19">
        <f>'D2C - Retail'!BT154*'D2C - Retail'!BT75/SUM('D2C - Retail'!BT75:BT77)+'D2C Online'!CK141</f>
        <v>3089019.8637971627</v>
      </c>
      <c r="BN98" s="19">
        <f>'D2C - Retail'!BU154*'D2C - Retail'!BU75/SUM('D2C - Retail'!BU75:BU77)+'D2C Online'!CL141</f>
        <v>3230642.600718305</v>
      </c>
      <c r="BO98" s="19">
        <f>'D2C - Retail'!BV154*'D2C - Retail'!BV75/SUM('D2C - Retail'!BV75:BV77)+'D2C Online'!CM141</f>
        <v>3225936.1373382565</v>
      </c>
      <c r="BP98" s="19">
        <f>'D2C - Retail'!BW154*'D2C - Retail'!BW75/SUM('D2C - Retail'!BW75:BW77)+'D2C Online'!CN141</f>
        <v>3221832.3265321054</v>
      </c>
      <c r="BQ98" s="19">
        <f>'D2C - Retail'!BX154*'D2C - Retail'!BX75/SUM('D2C - Retail'!BX75:BX77)+'D2C Online'!CO141</f>
        <v>3244916.4820539346</v>
      </c>
      <c r="BR98" s="19">
        <f>'D2C - Retail'!BY154*'D2C - Retail'!BY75/SUM('D2C - Retail'!BY75:BY77)+'D2C Online'!CP141</f>
        <v>3194153.2052830285</v>
      </c>
      <c r="BS98" s="19">
        <f>'D2C - Retail'!BZ154*'D2C - Retail'!BZ75/SUM('D2C - Retail'!BZ75:BZ77)+'D2C Online'!CQ141</f>
        <v>3193831.4552235883</v>
      </c>
      <c r="BT98" s="19">
        <f>'D2C - Retail'!CA154*'D2C - Retail'!CA75/SUM('D2C - Retail'!CA75:CA77)+'D2C Online'!CR141</f>
        <v>3245231.4489247799</v>
      </c>
      <c r="BU98" s="19">
        <f>'D2C - Retail'!CB154*'D2C - Retail'!CB75/SUM('D2C - Retail'!CB75:CB77)+'D2C Online'!CS141</f>
        <v>3221072.7029233086</v>
      </c>
      <c r="BV98" s="19">
        <f>'D2C - Retail'!CC154*'D2C - Retail'!CC75/SUM('D2C - Retail'!CC75:CC77)+'D2C Online'!CT141</f>
        <v>3331944.7005089005</v>
      </c>
      <c r="BW98" s="19">
        <f>'D2C - Retail'!CD154*'D2C - Retail'!CD75/SUM('D2C - Retail'!CD75:CD77)+'D2C Online'!CU141</f>
        <v>3364463.4970203261</v>
      </c>
      <c r="BX98" s="19">
        <f>'D2C - Retail'!CE154*'D2C - Retail'!CE75/SUM('D2C - Retail'!CE75:CE77)+'D2C Online'!CV141</f>
        <v>3287353.9621647666</v>
      </c>
      <c r="BY98" s="19">
        <f>'D2C - Retail'!CF154*'D2C - Retail'!CF75/SUM('D2C - Retail'!CF75:CF77)+'D2C Online'!CW141</f>
        <v>3346835.0396372573</v>
      </c>
      <c r="BZ98" s="19">
        <f>'D2C - Retail'!CG154*'D2C - Retail'!CG75/SUM('D2C - Retail'!CG75:CG77)+'D2C Online'!CX141</f>
        <v>3451184.2006675894</v>
      </c>
      <c r="CA98" s="19">
        <f>'D2C - Retail'!CH154*'D2C - Retail'!CH75/SUM('D2C - Retail'!CH75:CH77)+'D2C Online'!CY141</f>
        <v>3447179.8601158448</v>
      </c>
      <c r="CB98" s="19">
        <f>'D2C - Retail'!CI154*'D2C - Retail'!CI75/SUM('D2C - Retail'!CI75:CI77)+'D2C Online'!CZ141</f>
        <v>3443113.1898626024</v>
      </c>
      <c r="CC98" s="19">
        <f>'D2C - Retail'!CJ154*'D2C - Retail'!CJ75/SUM('D2C - Retail'!CJ75:CJ77)+'D2C Online'!DA141</f>
        <v>3466649.4365357142</v>
      </c>
      <c r="CD98" s="19">
        <f>'D2C - Retail'!CK154*'D2C - Retail'!CK75/SUM('D2C - Retail'!CK75:CK77)+'D2C Online'!DB141</f>
        <v>3413346.7973019113</v>
      </c>
      <c r="CE98" s="19">
        <f>'D2C - Retail'!CL154*'D2C - Retail'!CL75/SUM('D2C - Retail'!CL75:CL77)+'D2C Online'!DC141</f>
        <v>3418411.6767949425</v>
      </c>
      <c r="CF98" s="19">
        <f>'D2C - Retail'!CM154*'D2C - Retail'!CM75/SUM('D2C - Retail'!CM75:CM77)+'D2C Online'!DD141</f>
        <v>3467098.8232597769</v>
      </c>
      <c r="CG98" s="19">
        <f>'D2C - Retail'!CN154*'D2C - Retail'!CN75/SUM('D2C - Retail'!CN75:CN77)+'D2C Online'!DE141</f>
        <v>3443561.1869463767</v>
      </c>
      <c r="CH98" s="19">
        <f>'D2C - Retail'!CO154*'D2C - Retail'!CO75/SUM('D2C - Retail'!CO75:CO77)+'D2C Online'!DF141</f>
        <v>3566229.4299881379</v>
      </c>
      <c r="CI98" s="19">
        <f>'D2C - Retail'!CP154*'D2C - Retail'!CP75/SUM('D2C - Retail'!CP75:CP77)+'D2C Online'!DG141</f>
        <v>3603954.9806771181</v>
      </c>
      <c r="CJ98" s="19">
        <f>'D2C - Retail'!CQ154*'D2C - Retail'!CQ75/SUM('D2C - Retail'!CQ75:CQ77)+'D2C Online'!DH141</f>
        <v>3516774.6633193716</v>
      </c>
      <c r="CK98" s="19">
        <f>'D2C - Retail'!CR154*'D2C - Retail'!CR75/SUM('D2C - Retail'!CR75:CR77)+'D2C Online'!DI141</f>
        <v>3580661.9387834664</v>
      </c>
      <c r="CL98" s="19">
        <f>'D2C - Retail'!CS154*'D2C - Retail'!CS75/SUM('D2C - Retail'!CS75:CS77)+'D2C Online'!DJ141</f>
        <v>3682109.9434604263</v>
      </c>
      <c r="CM98" s="19">
        <f>'D2C - Retail'!CT154*'D2C - Retail'!CT75/SUM('D2C - Retail'!CT75:CT77)+'D2C Online'!DK141</f>
        <v>3678704.060513183</v>
      </c>
      <c r="CN98" s="19">
        <f>'D2C - Retail'!CU154*'D2C - Retail'!CU75/SUM('D2C - Retail'!CU75:CU77)+'D2C Online'!DL141</f>
        <v>3674563.9073763425</v>
      </c>
      <c r="CO98" s="19">
        <f>'D2C - Retail'!CV154*'D2C - Retail'!CV75/SUM('D2C - Retail'!CV75:CV77)+'D2C Online'!DM141</f>
        <v>3699201.5855604289</v>
      </c>
      <c r="CP98" s="19">
        <f>'D2C - Retail'!CW154*'D2C - Retail'!CW75/SUM('D2C - Retail'!CW75:CW77)+'D2C Online'!DN141</f>
        <v>3641881.470683679</v>
      </c>
      <c r="CQ98" s="19">
        <f>'D2C - Retail'!CX154*'D2C - Retail'!CX75/SUM('D2C - Retail'!CX75:CX77)+'D2C Online'!DO141</f>
        <v>3652538.394578157</v>
      </c>
      <c r="CR98" s="19">
        <f>'D2C - Retail'!CY154*'D2C - Retail'!CY75/SUM('D2C - Retail'!CY75:CY77)+'D2C Online'!DP141</f>
        <v>3699798.7773827761</v>
      </c>
      <c r="CS98" s="19">
        <f>'D2C - Retail'!CZ154*'D2C - Retail'!CZ75/SUM('D2C - Retail'!CZ75:CZ77)+'D2C Online'!DQ141</f>
        <v>3676243.7259157244</v>
      </c>
      <c r="CT98" s="19">
        <f>'D2C - Retail'!DA154*'D2C - Retail'!DA75/SUM('D2C - Retail'!DA75:DA77)+'D2C Online'!DR141</f>
        <v>3814176.5951321819</v>
      </c>
      <c r="CU98" s="19">
        <f>'D2C - Retail'!DB154*'D2C - Retail'!DB75/SUM('D2C - Retail'!DB75:DB77)+'D2C Online'!DS141</f>
        <v>3858189.7199943149</v>
      </c>
      <c r="CV98" s="19">
        <f>'D2C - Retail'!DC154*'D2C - Retail'!DC75/SUM('D2C - Retail'!DC75:DC77)+'D2C Online'!DT141</f>
        <v>3758454.1935094087</v>
      </c>
      <c r="CW98" s="19">
        <f>'D2C - Retail'!DD154*'D2C - Retail'!DD75/SUM('D2C - Retail'!DD75:DD77)+'D2C Online'!DU141</f>
        <v>3828554.441397245</v>
      </c>
      <c r="CX98" s="168"/>
      <c r="CY98" s="19">
        <f t="shared" si="348"/>
        <v>6221385.5090541746</v>
      </c>
      <c r="CZ98" s="19">
        <f t="shared" si="349"/>
        <v>6115621.7296625357</v>
      </c>
      <c r="DA98" s="19">
        <f t="shared" si="350"/>
        <v>5578499.9591799136</v>
      </c>
      <c r="DB98" s="19">
        <f t="shared" si="351"/>
        <v>4742849.2958007865</v>
      </c>
      <c r="DC98" s="19">
        <f t="shared" si="352"/>
        <v>4222961.459718518</v>
      </c>
      <c r="DD98" s="19">
        <f t="shared" si="353"/>
        <v>4589255.8152091326</v>
      </c>
      <c r="DE98" s="19">
        <f t="shared" si="354"/>
        <v>4998461.1106002992</v>
      </c>
      <c r="DF98" s="19">
        <f t="shared" si="355"/>
        <v>8571805.8510508314</v>
      </c>
      <c r="DG98" s="19">
        <f t="shared" si="356"/>
        <v>8265731.7130620517</v>
      </c>
      <c r="DH98" s="19">
        <f t="shared" si="357"/>
        <v>7689079.5416533127</v>
      </c>
      <c r="DI98" s="19">
        <f t="shared" si="358"/>
        <v>11660532.201204848</v>
      </c>
      <c r="DJ98" s="19">
        <f t="shared" si="359"/>
        <v>9256367.7103681732</v>
      </c>
      <c r="DK98" s="19">
        <f t="shared" si="360"/>
        <v>9678411.064588666</v>
      </c>
      <c r="DL98" s="19">
        <f t="shared" si="361"/>
        <v>9632901.1425605509</v>
      </c>
      <c r="DM98" s="19">
        <f t="shared" si="362"/>
        <v>9798248.8523569889</v>
      </c>
      <c r="DN98" s="19">
        <f t="shared" si="363"/>
        <v>9998652.4988223501</v>
      </c>
      <c r="DO98" s="19">
        <f t="shared" si="364"/>
        <v>10341477.250646036</v>
      </c>
      <c r="DP98" s="19">
        <f t="shared" si="365"/>
        <v>10298407.910632567</v>
      </c>
      <c r="DQ98" s="19">
        <f t="shared" si="366"/>
        <v>10476889.440194292</v>
      </c>
      <c r="DR98" s="19">
        <f t="shared" si="367"/>
        <v>10701391.582779957</v>
      </c>
      <c r="DS98" s="19">
        <f t="shared" si="368"/>
        <v>11035377.911349952</v>
      </c>
      <c r="DT98" s="19">
        <f t="shared" si="369"/>
        <v>10993621.450822264</v>
      </c>
      <c r="DU98" s="19">
        <f t="shared" si="370"/>
        <v>11190219.098430682</v>
      </c>
      <c r="DV98" s="19">
        <f t="shared" si="371"/>
        <v>11445198.354900967</v>
      </c>
      <c r="DX98" s="19">
        <f t="shared" si="372"/>
        <v>22658356.493697409</v>
      </c>
      <c r="DY98" s="19">
        <f t="shared" si="373"/>
        <v>22382484.236578781</v>
      </c>
      <c r="DZ98" s="19">
        <f t="shared" si="374"/>
        <v>36871711.166288383</v>
      </c>
      <c r="EA98" s="19">
        <f t="shared" si="375"/>
        <v>39108213.558328554</v>
      </c>
      <c r="EB98" s="19">
        <f t="shared" si="376"/>
        <v>41818166.184252858</v>
      </c>
      <c r="EC98" s="770">
        <f t="shared" si="377"/>
        <v>44664416.815503865</v>
      </c>
    </row>
    <row r="99" spans="2:133" x14ac:dyDescent="0.2">
      <c r="B99" s="167" t="s">
        <v>283</v>
      </c>
      <c r="C99" s="19">
        <f>'D2C - Retail'!J155</f>
        <v>0</v>
      </c>
      <c r="D99" s="19">
        <f>'D2C - Retail'!K155</f>
        <v>0</v>
      </c>
      <c r="E99" s="19">
        <f>'D2C - Retail'!L155</f>
        <v>0</v>
      </c>
      <c r="F99" s="19">
        <f>'D2C - Retail'!M155</f>
        <v>0</v>
      </c>
      <c r="G99" s="19">
        <f>'D2C - Retail'!N155</f>
        <v>0</v>
      </c>
      <c r="H99" s="19">
        <f>'D2C - Retail'!O155</f>
        <v>0</v>
      </c>
      <c r="I99" s="19">
        <f>'D2C - Retail'!P155</f>
        <v>0</v>
      </c>
      <c r="J99" s="19">
        <f>'D2C - Retail'!Q155</f>
        <v>0</v>
      </c>
      <c r="K99" s="19">
        <f>'D2C - Retail'!R155</f>
        <v>0</v>
      </c>
      <c r="L99" s="19">
        <f>'D2C - Retail'!S155</f>
        <v>0</v>
      </c>
      <c r="M99" s="19">
        <f>'D2C - Retail'!T155</f>
        <v>0</v>
      </c>
      <c r="N99" s="19">
        <f>'D2C - Retail'!U155</f>
        <v>0</v>
      </c>
      <c r="O99" s="19">
        <f>'D2C - Retail'!V155</f>
        <v>0</v>
      </c>
      <c r="P99" s="19">
        <f>'D2C - Retail'!W155</f>
        <v>0</v>
      </c>
      <c r="Q99" s="19">
        <f>'D2C - Retail'!X155</f>
        <v>0</v>
      </c>
      <c r="R99" s="19">
        <f>'D2C - Retail'!Y155</f>
        <v>0</v>
      </c>
      <c r="S99" s="19">
        <f>'D2C - Retail'!Z155</f>
        <v>0</v>
      </c>
      <c r="T99" s="19">
        <f>'D2C - Retail'!AA155</f>
        <v>0</v>
      </c>
      <c r="U99" s="19">
        <f>'D2C - Retail'!AB155</f>
        <v>0</v>
      </c>
      <c r="V99" s="19">
        <f>'D2C - Retail'!AC155</f>
        <v>0</v>
      </c>
      <c r="W99" s="19">
        <f>'D2C - Retail'!AD155</f>
        <v>0</v>
      </c>
      <c r="X99" s="19">
        <f>'D2C - Retail'!AE155</f>
        <v>0</v>
      </c>
      <c r="Y99" s="19">
        <f>'D2C - Retail'!AF155</f>
        <v>0</v>
      </c>
      <c r="Z99" s="19">
        <f>'D2C - Retail'!AG155</f>
        <v>0</v>
      </c>
      <c r="AA99" s="19">
        <f>'D2C - Retail'!AH155</f>
        <v>0</v>
      </c>
      <c r="AB99" s="19">
        <f>'D2C - Retail'!AI155</f>
        <v>0</v>
      </c>
      <c r="AC99" s="19">
        <f>'D2C - Retail'!AJ155</f>
        <v>0</v>
      </c>
      <c r="AD99" s="19">
        <f>'D2C - Retail'!AK155</f>
        <v>0</v>
      </c>
      <c r="AE99" s="19">
        <f>'D2C - Retail'!AL155</f>
        <v>0</v>
      </c>
      <c r="AF99" s="19">
        <f>'D2C - Retail'!AM155</f>
        <v>0</v>
      </c>
      <c r="AG99" s="19">
        <f>'D2C - Retail'!AN155</f>
        <v>0</v>
      </c>
      <c r="AH99" s="19">
        <f>'D2C - Retail'!AO155</f>
        <v>0</v>
      </c>
      <c r="AI99" s="19">
        <f>'D2C - Retail'!AP155</f>
        <v>0</v>
      </c>
      <c r="AJ99" s="19">
        <f>'D2C - Retail'!AQ155</f>
        <v>0</v>
      </c>
      <c r="AK99" s="19">
        <f>'D2C - Retail'!AR155</f>
        <v>0</v>
      </c>
      <c r="AL99" s="19">
        <f>'D2C - Retail'!AS155</f>
        <v>0</v>
      </c>
      <c r="AM99" s="19">
        <f>'D2C - Retail'!AT155</f>
        <v>0</v>
      </c>
      <c r="AN99" s="19">
        <f>'D2C - Retail'!AU155</f>
        <v>0</v>
      </c>
      <c r="AO99" s="19">
        <f>'D2C - Retail'!AV155</f>
        <v>0</v>
      </c>
      <c r="AP99" s="19">
        <f>'D2C - Retail'!AW155</f>
        <v>0</v>
      </c>
      <c r="AQ99" s="19">
        <f>'D2C - Retail'!AX155</f>
        <v>0</v>
      </c>
      <c r="AR99" s="19">
        <f>'D2C - Retail'!AY155</f>
        <v>0</v>
      </c>
      <c r="AS99" s="19">
        <f>'D2C - Retail'!AZ155</f>
        <v>0</v>
      </c>
      <c r="AT99" s="19">
        <f>'D2C - Retail'!BA155</f>
        <v>0</v>
      </c>
      <c r="AU99" s="19">
        <f>'D2C - Retail'!BB155</f>
        <v>0</v>
      </c>
      <c r="AV99" s="19">
        <f>'D2C - Retail'!BC155</f>
        <v>0</v>
      </c>
      <c r="AW99" s="19">
        <f>'D2C - Retail'!BD155</f>
        <v>0</v>
      </c>
      <c r="AX99" s="19">
        <f>'D2C - Retail'!BE155</f>
        <v>0</v>
      </c>
      <c r="AY99" s="19">
        <f>'D2C - Retail'!BF155</f>
        <v>0</v>
      </c>
      <c r="AZ99" s="19">
        <f>'D2C - Retail'!BG155</f>
        <v>0</v>
      </c>
      <c r="BA99" s="19">
        <f>'D2C - Retail'!BH155</f>
        <v>0</v>
      </c>
      <c r="BB99" s="19">
        <f>'D2C - Retail'!BI155</f>
        <v>375233</v>
      </c>
      <c r="BC99" s="19">
        <f>'D2C - Retail'!BJ155</f>
        <v>0</v>
      </c>
      <c r="BD99" s="19">
        <f>'D2C - Retail'!BK155</f>
        <v>0</v>
      </c>
      <c r="BE99" s="19">
        <f>'D2C - Retail'!BL155</f>
        <v>0</v>
      </c>
      <c r="BF99" s="19">
        <f>'D2C - Retail'!BM155</f>
        <v>0</v>
      </c>
      <c r="BG99" s="19">
        <f>'D2C - Retail'!BN155</f>
        <v>0</v>
      </c>
      <c r="BH99" s="19">
        <f>'D2C - Retail'!BO155</f>
        <v>1747000</v>
      </c>
      <c r="BI99" s="19">
        <f>'D2C - Retail'!BP155</f>
        <v>989502.54237288143</v>
      </c>
      <c r="BJ99" s="19">
        <f>'D2C - Retail'!BQ155</f>
        <v>3020777</v>
      </c>
      <c r="BK99" s="19">
        <f>'D2C - Retail'!BR155</f>
        <v>2350406.31</v>
      </c>
      <c r="BL99" s="19">
        <f>'D2C - Retail'!BS155</f>
        <v>2700268</v>
      </c>
      <c r="BM99" s="19">
        <f>'D2C - Retail'!BT155</f>
        <v>6928584.6271186443</v>
      </c>
      <c r="BN99" s="19">
        <f>'D2C - Retail'!BU155</f>
        <v>5781209.4383778051</v>
      </c>
      <c r="BO99" s="19">
        <f>'D2C - Retail'!BV155</f>
        <v>5661550.8162980992</v>
      </c>
      <c r="BP99" s="19">
        <f>'D2C - Retail'!BW155</f>
        <v>5649749.4331742506</v>
      </c>
      <c r="BQ99" s="19">
        <f>'D2C - Retail'!BX155</f>
        <v>6117918.8324031308</v>
      </c>
      <c r="BR99" s="19">
        <f>'D2C - Retail'!BY155</f>
        <v>5466050.6137538999</v>
      </c>
      <c r="BS99" s="19">
        <f>'D2C - Retail'!BZ155</f>
        <v>5075728.8852033094</v>
      </c>
      <c r="BT99" s="19">
        <f>'D2C - Retail'!CA155</f>
        <v>6333280.5713553587</v>
      </c>
      <c r="BU99" s="19">
        <f>'D2C - Retail'!CB155</f>
        <v>5832523.3374363389</v>
      </c>
      <c r="BV99" s="19">
        <f>'D2C - Retail'!CC155</f>
        <v>6938501.7535098642</v>
      </c>
      <c r="BW99" s="19">
        <f>'D2C - Retail'!CD155</f>
        <v>7108931.8726724023</v>
      </c>
      <c r="BX99" s="19">
        <f>'D2C - Retail'!CE155</f>
        <v>6610579.0241964757</v>
      </c>
      <c r="BY99" s="19">
        <f>'D2C - Retail'!CF155</f>
        <v>7689837.1015332406</v>
      </c>
      <c r="BZ99" s="19">
        <f>'D2C - Retail'!CG155</f>
        <v>7069696.8074526303</v>
      </c>
      <c r="CA99" s="19">
        <f>'D2C - Retail'!CH155</f>
        <v>6940707.2303093811</v>
      </c>
      <c r="CB99" s="19">
        <f>'D2C - Retail'!CI155</f>
        <v>6890215.8048767122</v>
      </c>
      <c r="CC99" s="19">
        <f>'D2C - Retail'!CJ155</f>
        <v>7457349.7003070153</v>
      </c>
      <c r="CD99" s="19">
        <f>'D2C - Retail'!CK155</f>
        <v>6648228.9491976043</v>
      </c>
      <c r="CE99" s="19">
        <f>'D2C - Retail'!CL155</f>
        <v>6158400.9663863694</v>
      </c>
      <c r="CF99" s="19">
        <f>'D2C - Retail'!CM155</f>
        <v>7661312.6779537899</v>
      </c>
      <c r="CG99" s="19">
        <f>'D2C - Retail'!CN155</f>
        <v>7018026.9963345928</v>
      </c>
      <c r="CH99" s="19">
        <f>'D2C - Retail'!CO155</f>
        <v>8321461.3122948203</v>
      </c>
      <c r="CI99" s="19">
        <f>'D2C - Retail'!CP155</f>
        <v>8490673.4373307154</v>
      </c>
      <c r="CJ99" s="19">
        <f>'D2C - Retail'!CQ155</f>
        <v>7856022.9154774714</v>
      </c>
      <c r="CK99" s="19">
        <f>'D2C - Retail'!CR155</f>
        <v>9039926.4632922094</v>
      </c>
      <c r="CL99" s="19">
        <f>'D2C - Retail'!CS155</f>
        <v>8055357.7390538156</v>
      </c>
      <c r="CM99" s="19">
        <f>'D2C - Retail'!CT155</f>
        <v>7900478.7136335829</v>
      </c>
      <c r="CN99" s="19">
        <f>'D2C - Retail'!CU155</f>
        <v>7837988.1917865276</v>
      </c>
      <c r="CO99" s="19">
        <f>'D2C - Retail'!CV155</f>
        <v>8480326.6520487908</v>
      </c>
      <c r="CP99" s="19">
        <f>'D2C - Retail'!CW155</f>
        <v>7550377.8308268506</v>
      </c>
      <c r="CQ99" s="19">
        <f>'D2C - Retail'!CX155</f>
        <v>6983791.1491452754</v>
      </c>
      <c r="CR99" s="19">
        <f>'D2C - Retail'!CY155</f>
        <v>8692726.0252216961</v>
      </c>
      <c r="CS99" s="19">
        <f>'D2C - Retail'!CZ155</f>
        <v>7955883.5537951319</v>
      </c>
      <c r="CT99" s="19">
        <f>'D2C - Retail'!DA155</f>
        <v>9436306.3564438205</v>
      </c>
      <c r="CU99" s="19">
        <f>'D2C - Retail'!DB155</f>
        <v>9626120.3536675218</v>
      </c>
      <c r="CV99" s="19">
        <f>'D2C - Retail'!DC155</f>
        <v>8899501.2933173496</v>
      </c>
      <c r="CW99" s="19">
        <f>'D2C - Retail'!DD155</f>
        <v>10242348.579891756</v>
      </c>
      <c r="CX99" s="168"/>
      <c r="CY99" s="19">
        <f t="shared" si="348"/>
        <v>0</v>
      </c>
      <c r="CZ99" s="19">
        <f t="shared" si="349"/>
        <v>0</v>
      </c>
      <c r="DA99" s="19">
        <f t="shared" si="350"/>
        <v>0</v>
      </c>
      <c r="DB99" s="19">
        <f t="shared" si="351"/>
        <v>0</v>
      </c>
      <c r="DC99" s="19">
        <f t="shared" si="352"/>
        <v>0</v>
      </c>
      <c r="DD99" s="19">
        <f t="shared" si="353"/>
        <v>0</v>
      </c>
      <c r="DE99" s="19">
        <f t="shared" si="354"/>
        <v>0</v>
      </c>
      <c r="DF99" s="19">
        <f t="shared" si="355"/>
        <v>0</v>
      </c>
      <c r="DG99" s="19">
        <f t="shared" si="356"/>
        <v>375233</v>
      </c>
      <c r="DH99" s="19">
        <f t="shared" si="357"/>
        <v>0</v>
      </c>
      <c r="DI99" s="19">
        <f t="shared" si="358"/>
        <v>5757279.5423728814</v>
      </c>
      <c r="DJ99" s="19">
        <f t="shared" si="359"/>
        <v>11979258.937118646</v>
      </c>
      <c r="DK99" s="19">
        <f t="shared" si="360"/>
        <v>17092509.687850155</v>
      </c>
      <c r="DL99" s="19">
        <f t="shared" si="361"/>
        <v>16659698.33136034</v>
      </c>
      <c r="DM99" s="19">
        <f t="shared" si="362"/>
        <v>19104305.662301563</v>
      </c>
      <c r="DN99" s="19">
        <f t="shared" si="363"/>
        <v>21409347.998402119</v>
      </c>
      <c r="DO99" s="19">
        <f t="shared" si="364"/>
        <v>20900619.842638724</v>
      </c>
      <c r="DP99" s="19">
        <f t="shared" si="365"/>
        <v>20263979.615890991</v>
      </c>
      <c r="DQ99" s="19">
        <f t="shared" si="366"/>
        <v>23000800.986583203</v>
      </c>
      <c r="DR99" s="19">
        <f t="shared" si="367"/>
        <v>25386622.816100396</v>
      </c>
      <c r="DS99" s="19">
        <f t="shared" si="368"/>
        <v>23793824.644473925</v>
      </c>
      <c r="DT99" s="19">
        <f t="shared" si="369"/>
        <v>23014495.632020917</v>
      </c>
      <c r="DU99" s="19">
        <f t="shared" si="370"/>
        <v>26084915.935460649</v>
      </c>
      <c r="DV99" s="19">
        <f t="shared" si="371"/>
        <v>28767970.226876628</v>
      </c>
      <c r="DX99" s="19">
        <f t="shared" si="372"/>
        <v>0</v>
      </c>
      <c r="DY99" s="19">
        <f t="shared" si="373"/>
        <v>0</v>
      </c>
      <c r="DZ99" s="19">
        <f t="shared" si="374"/>
        <v>18111771.479491528</v>
      </c>
      <c r="EA99" s="19">
        <f t="shared" si="375"/>
        <v>74265861.679914176</v>
      </c>
      <c r="EB99" s="19">
        <f t="shared" si="376"/>
        <v>89552023.261213303</v>
      </c>
      <c r="EC99" s="770">
        <f t="shared" si="377"/>
        <v>101661206.43883212</v>
      </c>
    </row>
    <row r="100" spans="2:133" x14ac:dyDescent="0.2">
      <c r="B100" s="22" t="s">
        <v>53</v>
      </c>
      <c r="C100" s="171">
        <f>C87/C30</f>
        <v>0.12357735903279103</v>
      </c>
      <c r="D100" s="171">
        <f t="shared" ref="D100:BO100" si="381">D87/D30</f>
        <v>0.12552047948187692</v>
      </c>
      <c r="E100" s="171">
        <f t="shared" si="381"/>
        <v>0.1495184025453721</v>
      </c>
      <c r="F100" s="171">
        <f t="shared" si="381"/>
        <v>0.25949582993702197</v>
      </c>
      <c r="G100" s="171">
        <f t="shared" si="381"/>
        <v>1.4581313614743963</v>
      </c>
      <c r="H100" s="171">
        <f t="shared" si="381"/>
        <v>0.26121854382837911</v>
      </c>
      <c r="I100" s="171">
        <f t="shared" si="381"/>
        <v>0.25993504948693852</v>
      </c>
      <c r="J100" s="171">
        <f t="shared" si="381"/>
        <v>0.24198407102666666</v>
      </c>
      <c r="K100" s="171">
        <f t="shared" si="381"/>
        <v>0.20109906678241166</v>
      </c>
      <c r="L100" s="171">
        <f t="shared" si="381"/>
        <v>0.21871665726550382</v>
      </c>
      <c r="M100" s="171">
        <f t="shared" si="381"/>
        <v>0.14566884233896935</v>
      </c>
      <c r="N100" s="171">
        <f t="shared" si="381"/>
        <v>0.1415579789025766</v>
      </c>
      <c r="O100" s="171">
        <f t="shared" si="381"/>
        <v>0.13810800443256341</v>
      </c>
      <c r="P100" s="171">
        <f t="shared" si="381"/>
        <v>0.12944475733394686</v>
      </c>
      <c r="Q100" s="171">
        <f t="shared" si="381"/>
        <v>0.14482990109918467</v>
      </c>
      <c r="R100" s="171">
        <f t="shared" si="381"/>
        <v>0.17791373022247192</v>
      </c>
      <c r="S100" s="171">
        <f t="shared" si="381"/>
        <v>0.1572394196920289</v>
      </c>
      <c r="T100" s="171">
        <f t="shared" si="381"/>
        <v>0.13284023899170019</v>
      </c>
      <c r="U100" s="171">
        <f t="shared" si="381"/>
        <v>0.14445959146100551</v>
      </c>
      <c r="V100" s="171">
        <f t="shared" si="381"/>
        <v>0.16157780919267831</v>
      </c>
      <c r="W100" s="171">
        <f t="shared" si="381"/>
        <v>0.18256910731546888</v>
      </c>
      <c r="X100" s="171">
        <f t="shared" si="381"/>
        <v>0.15088224160417885</v>
      </c>
      <c r="Y100" s="171">
        <f t="shared" si="381"/>
        <v>0.16254809836742126</v>
      </c>
      <c r="Z100" s="171">
        <f t="shared" si="381"/>
        <v>0.15095383074478919</v>
      </c>
      <c r="AA100" s="171">
        <f t="shared" si="381"/>
        <v>0.14154625255773925</v>
      </c>
      <c r="AB100" s="171">
        <f t="shared" si="381"/>
        <v>0.12963976139029346</v>
      </c>
      <c r="AC100" s="171">
        <f t="shared" si="381"/>
        <v>9.5324579614974855E-2</v>
      </c>
      <c r="AD100" s="171">
        <f t="shared" si="381"/>
        <v>9.0861264130807806E-2</v>
      </c>
      <c r="AE100" s="171">
        <f t="shared" si="381"/>
        <v>8.7303541586649644E-2</v>
      </c>
      <c r="AF100" s="171">
        <f t="shared" si="381"/>
        <v>8.7673532733238205E-2</v>
      </c>
      <c r="AG100" s="171">
        <f t="shared" si="381"/>
        <v>0.10301434139543346</v>
      </c>
      <c r="AH100" s="171">
        <f t="shared" si="381"/>
        <v>9.7343609634928163E-2</v>
      </c>
      <c r="AI100" s="171">
        <f t="shared" si="381"/>
        <v>9.4098698659717137E-2</v>
      </c>
      <c r="AJ100" s="171">
        <f t="shared" si="381"/>
        <v>6.5432473056041496E-2</v>
      </c>
      <c r="AK100" s="171">
        <f t="shared" si="381"/>
        <v>7.9670009355464921E-2</v>
      </c>
      <c r="AL100" s="171">
        <f t="shared" si="381"/>
        <v>8.9041538450679858E-2</v>
      </c>
      <c r="AM100" s="171">
        <f t="shared" si="381"/>
        <v>9.0047048058953055E-2</v>
      </c>
      <c r="AN100" s="171">
        <f t="shared" si="381"/>
        <v>9.9318164421579619E-2</v>
      </c>
      <c r="AO100" s="171">
        <f t="shared" si="381"/>
        <v>7.8966349347255854E-2</v>
      </c>
      <c r="AP100" s="171">
        <f t="shared" si="381"/>
        <v>8.2426109606025297E-2</v>
      </c>
      <c r="AQ100" s="171">
        <f t="shared" si="381"/>
        <v>8.1965276552301403E-2</v>
      </c>
      <c r="AR100" s="171">
        <f t="shared" si="381"/>
        <v>7.6864200497708174E-2</v>
      </c>
      <c r="AS100" s="171">
        <f t="shared" si="381"/>
        <v>7.7832443448150671E-2</v>
      </c>
      <c r="AT100" s="171">
        <f t="shared" si="381"/>
        <v>8.7627555416781827E-2</v>
      </c>
      <c r="AU100" s="171">
        <f t="shared" si="381"/>
        <v>8.9772100280672756E-2</v>
      </c>
      <c r="AV100" s="171">
        <f t="shared" si="381"/>
        <v>7.3834500550665358E-2</v>
      </c>
      <c r="AW100" s="171">
        <f t="shared" si="381"/>
        <v>8.0353564728093088E-2</v>
      </c>
      <c r="AX100" s="171">
        <f t="shared" si="381"/>
        <v>6.9453242415761812E-2</v>
      </c>
      <c r="AY100" s="171">
        <f t="shared" si="381"/>
        <v>6.5828339840814376E-2</v>
      </c>
      <c r="AZ100" s="171">
        <f t="shared" si="381"/>
        <v>7.0947802183252404E-2</v>
      </c>
      <c r="BA100" s="171">
        <f t="shared" si="381"/>
        <v>6.225327388404716E-2</v>
      </c>
      <c r="BB100" s="171">
        <f t="shared" si="381"/>
        <v>7.1502728442094279E-2</v>
      </c>
      <c r="BC100" s="171">
        <f t="shared" si="381"/>
        <v>7.2392492227559294E-2</v>
      </c>
      <c r="BD100" s="171">
        <f t="shared" si="381"/>
        <v>7.5457432435669949E-2</v>
      </c>
      <c r="BE100" s="171">
        <f t="shared" si="381"/>
        <v>7.5793345175607887E-2</v>
      </c>
      <c r="BF100" s="171">
        <f t="shared" si="381"/>
        <v>8.9532925622669249E-2</v>
      </c>
      <c r="BG100" s="171">
        <f t="shared" si="381"/>
        <v>8.334515908563267E-2</v>
      </c>
      <c r="BH100" s="171">
        <f t="shared" si="381"/>
        <v>7.909755738735863E-2</v>
      </c>
      <c r="BI100" s="171">
        <f t="shared" si="381"/>
        <v>8.2978186239329954E-2</v>
      </c>
      <c r="BJ100" s="171">
        <f t="shared" si="381"/>
        <v>7.350086820376725E-2</v>
      </c>
      <c r="BK100" s="171">
        <f t="shared" si="381"/>
        <v>7.1304633441427484E-2</v>
      </c>
      <c r="BL100" s="171">
        <f t="shared" si="381"/>
        <v>7.7245473786505883E-2</v>
      </c>
      <c r="BM100" s="171">
        <f t="shared" si="381"/>
        <v>6.8570256505181795E-2</v>
      </c>
      <c r="BN100" s="171">
        <f t="shared" si="381"/>
        <v>8.392610011286683E-2</v>
      </c>
      <c r="BO100" s="171">
        <f t="shared" si="381"/>
        <v>8.4574691027110391E-2</v>
      </c>
      <c r="BP100" s="171">
        <f t="shared" ref="BP100:EC100" si="382">BP87/BP30</f>
        <v>8.4709056631267626E-2</v>
      </c>
      <c r="BQ100" s="171">
        <f t="shared" si="382"/>
        <v>8.0601539407924291E-2</v>
      </c>
      <c r="BR100" s="171">
        <f t="shared" si="382"/>
        <v>8.7805339895715664E-2</v>
      </c>
      <c r="BS100" s="171">
        <f t="shared" si="382"/>
        <v>8.8026201128167614E-2</v>
      </c>
      <c r="BT100" s="171">
        <f t="shared" si="382"/>
        <v>7.9021670504118208E-2</v>
      </c>
      <c r="BU100" s="171">
        <f t="shared" si="382"/>
        <v>8.2670447677419642E-2</v>
      </c>
      <c r="BV100" s="171">
        <f t="shared" si="382"/>
        <v>6.9469344888419604E-2</v>
      </c>
      <c r="BW100" s="171">
        <f t="shared" si="382"/>
        <v>6.6582169476278458E-2</v>
      </c>
      <c r="BX100" s="171">
        <f t="shared" si="382"/>
        <v>7.3558171450451154E-2</v>
      </c>
      <c r="BY100" s="171">
        <f t="shared" si="382"/>
        <v>6.5793306628725928E-2</v>
      </c>
      <c r="BZ100" s="171">
        <f t="shared" si="382"/>
        <v>7.722832761658846E-2</v>
      </c>
      <c r="CA100" s="171">
        <f t="shared" si="382"/>
        <v>7.7733044169176771E-2</v>
      </c>
      <c r="CB100" s="171">
        <f t="shared" si="382"/>
        <v>7.8075184728913741E-2</v>
      </c>
      <c r="CC100" s="171">
        <f t="shared" si="382"/>
        <v>7.4307296391194683E-2</v>
      </c>
      <c r="CD100" s="171">
        <f t="shared" si="382"/>
        <v>8.1023205969250028E-2</v>
      </c>
      <c r="CE100" s="171">
        <f t="shared" si="382"/>
        <v>8.140659539487155E-2</v>
      </c>
      <c r="CF100" s="171">
        <f t="shared" si="382"/>
        <v>7.3155562211686689E-2</v>
      </c>
      <c r="CG100" s="171">
        <f t="shared" si="382"/>
        <v>7.6755859306566837E-2</v>
      </c>
      <c r="CH100" s="171">
        <f t="shared" si="382"/>
        <v>6.4689209968232825E-2</v>
      </c>
      <c r="CI100" s="171">
        <f t="shared" si="382"/>
        <v>6.2153984260969852E-2</v>
      </c>
      <c r="CJ100" s="171">
        <f t="shared" si="382"/>
        <v>6.8795526638045154E-2</v>
      </c>
      <c r="CK100" s="171">
        <f t="shared" si="382"/>
        <v>6.1935695583833127E-2</v>
      </c>
      <c r="CL100" s="171">
        <f t="shared" ref="CL100:CW100" si="383">CL87/CL30</f>
        <v>7.3972738446330052E-2</v>
      </c>
      <c r="CM100" s="171">
        <f t="shared" si="383"/>
        <v>7.4473493236096908E-2</v>
      </c>
      <c r="CN100" s="171">
        <f t="shared" si="383"/>
        <v>7.4820302574193642E-2</v>
      </c>
      <c r="CO100" s="171">
        <f t="shared" si="383"/>
        <v>7.1277107341980339E-2</v>
      </c>
      <c r="CP100" s="171">
        <f t="shared" si="383"/>
        <v>7.7709022599546235E-2</v>
      </c>
      <c r="CQ100" s="171">
        <f t="shared" si="383"/>
        <v>7.7999968690197499E-2</v>
      </c>
      <c r="CR100" s="171">
        <f t="shared" si="383"/>
        <v>7.0276326682858992E-2</v>
      </c>
      <c r="CS100" s="171">
        <f t="shared" si="383"/>
        <v>7.3689493566805486E-2</v>
      </c>
      <c r="CT100" s="171">
        <f t="shared" si="383"/>
        <v>6.210559234124851E-2</v>
      </c>
      <c r="CU100" s="171">
        <f t="shared" si="383"/>
        <v>5.9650746675150697E-2</v>
      </c>
      <c r="CV100" s="171">
        <f t="shared" si="383"/>
        <v>6.6083890369924903E-2</v>
      </c>
      <c r="CW100" s="171">
        <f t="shared" si="383"/>
        <v>5.9549444433223929E-2</v>
      </c>
      <c r="CX100" s="168"/>
      <c r="CY100" s="171">
        <f t="shared" si="382"/>
        <v>8.8573226218989096E-2</v>
      </c>
      <c r="CZ100" s="171">
        <f t="shared" si="382"/>
        <v>9.8059001680593241E-2</v>
      </c>
      <c r="DA100" s="171">
        <f t="shared" si="382"/>
        <v>7.6869378846350506E-2</v>
      </c>
      <c r="DB100" s="171">
        <f t="shared" si="382"/>
        <v>8.8610109411057361E-2</v>
      </c>
      <c r="DC100" s="171">
        <f t="shared" si="382"/>
        <v>8.0330932167948982E-2</v>
      </c>
      <c r="DD100" s="171">
        <f t="shared" si="382"/>
        <v>8.4682557409241063E-2</v>
      </c>
      <c r="DE100" s="171">
        <f t="shared" si="382"/>
        <v>7.4232494131567947E-2</v>
      </c>
      <c r="DF100" s="171">
        <f t="shared" si="382"/>
        <v>6.5984373087243517E-2</v>
      </c>
      <c r="DG100" s="171">
        <f t="shared" si="382"/>
        <v>7.3114913034804649E-2</v>
      </c>
      <c r="DH100" s="171">
        <f t="shared" si="382"/>
        <v>8.2526526235619707E-2</v>
      </c>
      <c r="DI100" s="171">
        <f t="shared" si="382"/>
        <v>7.818676343208289E-2</v>
      </c>
      <c r="DJ100" s="171">
        <f t="shared" si="382"/>
        <v>7.2129333795375214E-2</v>
      </c>
      <c r="DK100" s="171">
        <f t="shared" si="382"/>
        <v>8.4401399093821411E-2</v>
      </c>
      <c r="DL100" s="171">
        <f t="shared" si="382"/>
        <v>8.5304430672547185E-2</v>
      </c>
      <c r="DM100" s="171">
        <f t="shared" si="382"/>
        <v>7.6589522295064022E-2</v>
      </c>
      <c r="DN100" s="171">
        <f t="shared" si="382"/>
        <v>6.8449982303433368E-2</v>
      </c>
      <c r="DO100" s="171">
        <f t="shared" si="382"/>
        <v>7.7676775678230614E-2</v>
      </c>
      <c r="DP100" s="171">
        <f t="shared" si="382"/>
        <v>7.8744198573596449E-2</v>
      </c>
      <c r="DQ100" s="171">
        <f t="shared" si="382"/>
        <v>7.1120650626922674E-2</v>
      </c>
      <c r="DR100" s="171">
        <f t="shared" si="382"/>
        <v>6.4122371411373544E-2</v>
      </c>
      <c r="DS100" s="171">
        <f t="shared" si="382"/>
        <v>7.4420021467987402E-2</v>
      </c>
      <c r="DT100" s="171">
        <f t="shared" si="382"/>
        <v>7.5502984800183234E-2</v>
      </c>
      <c r="DU100" s="171">
        <f t="shared" si="382"/>
        <v>6.8293246292780121E-2</v>
      </c>
      <c r="DV100" s="171">
        <f t="shared" si="382"/>
        <v>6.1595654038350295E-2</v>
      </c>
      <c r="DW100" s="818"/>
      <c r="DX100" s="171">
        <f t="shared" si="382"/>
        <v>8.7263428324663841E-2</v>
      </c>
      <c r="DY100" s="171">
        <f t="shared" si="382"/>
        <v>7.5295067271069646E-2</v>
      </c>
      <c r="DZ100" s="171">
        <f t="shared" si="382"/>
        <v>7.6153396510115073E-2</v>
      </c>
      <c r="EA100" s="171">
        <f t="shared" si="382"/>
        <v>7.7994096856686665E-2</v>
      </c>
      <c r="EB100" s="171">
        <f t="shared" si="382"/>
        <v>7.2364799337578542E-2</v>
      </c>
      <c r="EC100" s="171">
        <f t="shared" si="382"/>
        <v>6.9436050235598026E-2</v>
      </c>
    </row>
    <row r="101" spans="2:133" x14ac:dyDescent="0.2">
      <c r="B101" s="22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68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X101" s="19"/>
      <c r="DY101" s="19"/>
      <c r="DZ101" s="19"/>
      <c r="EA101" s="19"/>
      <c r="EB101" s="19"/>
      <c r="EC101" s="770"/>
    </row>
    <row r="102" spans="2:133" x14ac:dyDescent="0.2">
      <c r="B102" s="212" t="s">
        <v>54</v>
      </c>
      <c r="C102" s="199">
        <f>C81-C87</f>
        <v>761212.14476729929</v>
      </c>
      <c r="D102" s="199">
        <f t="shared" ref="D102:BO103" si="384">D81-D87</f>
        <v>990231.39057368133</v>
      </c>
      <c r="E102" s="199">
        <f t="shared" si="384"/>
        <v>1189979.6042241454</v>
      </c>
      <c r="F102" s="199">
        <f t="shared" si="384"/>
        <v>-2182319.2213869039</v>
      </c>
      <c r="G102" s="199">
        <f t="shared" si="384"/>
        <v>-5431000.4376439061</v>
      </c>
      <c r="H102" s="199">
        <f t="shared" si="384"/>
        <v>-1427876.6656081965</v>
      </c>
      <c r="I102" s="199">
        <f t="shared" si="384"/>
        <v>-1155082.0045806551</v>
      </c>
      <c r="J102" s="199">
        <f t="shared" si="384"/>
        <v>-1613922.7291092295</v>
      </c>
      <c r="K102" s="199">
        <f t="shared" si="384"/>
        <v>-1734539.5578999668</v>
      </c>
      <c r="L102" s="199">
        <f t="shared" si="384"/>
        <v>-3453655.7331165131</v>
      </c>
      <c r="M102" s="199">
        <f t="shared" si="384"/>
        <v>4251818.8386908267</v>
      </c>
      <c r="N102" s="199">
        <f t="shared" si="384"/>
        <v>3974672.4348689932</v>
      </c>
      <c r="O102" s="199">
        <f t="shared" si="384"/>
        <v>2350334.9741850011</v>
      </c>
      <c r="P102" s="199">
        <f t="shared" si="384"/>
        <v>4930390.4470353592</v>
      </c>
      <c r="Q102" s="199">
        <f t="shared" si="384"/>
        <v>1929115.5558383688</v>
      </c>
      <c r="R102" s="199">
        <f t="shared" si="384"/>
        <v>-1361553.0287901238</v>
      </c>
      <c r="S102" s="199">
        <f t="shared" si="384"/>
        <v>-1702280.1082121022</v>
      </c>
      <c r="T102" s="199">
        <f t="shared" si="384"/>
        <v>-745032.35679703206</v>
      </c>
      <c r="U102" s="199">
        <f t="shared" si="384"/>
        <v>-1302696.9797801562</v>
      </c>
      <c r="V102" s="199">
        <f t="shared" si="384"/>
        <v>-5756417.1735698991</v>
      </c>
      <c r="W102" s="199">
        <f t="shared" si="384"/>
        <v>-14359583.179521916</v>
      </c>
      <c r="X102" s="199">
        <f t="shared" si="384"/>
        <v>-10051190.931589093</v>
      </c>
      <c r="Y102" s="199">
        <f t="shared" si="384"/>
        <v>-10793811.178362127</v>
      </c>
      <c r="Z102" s="199">
        <f t="shared" si="384"/>
        <v>-7815534.0505770817</v>
      </c>
      <c r="AA102" s="199">
        <f t="shared" si="384"/>
        <v>-3662960.8645444959</v>
      </c>
      <c r="AB102" s="199">
        <f t="shared" si="384"/>
        <v>-397402.02905938029</v>
      </c>
      <c r="AC102" s="199">
        <f t="shared" si="384"/>
        <v>3073981.1551176161</v>
      </c>
      <c r="AD102" s="199">
        <f t="shared" si="384"/>
        <v>-6222039.3458829373</v>
      </c>
      <c r="AE102" s="199">
        <f t="shared" si="384"/>
        <v>3103133.1313425153</v>
      </c>
      <c r="AF102" s="199">
        <f t="shared" si="384"/>
        <v>8970721.2345662862</v>
      </c>
      <c r="AG102" s="199">
        <f t="shared" si="384"/>
        <v>-461536.80501390994</v>
      </c>
      <c r="AH102" s="199">
        <f t="shared" si="384"/>
        <v>3388405.4542914405</v>
      </c>
      <c r="AI102" s="199">
        <f t="shared" si="384"/>
        <v>-7566739.0177697204</v>
      </c>
      <c r="AJ102" s="199">
        <f t="shared" si="384"/>
        <v>6074995.8120087758</v>
      </c>
      <c r="AK102" s="199">
        <f t="shared" si="384"/>
        <v>9944765.7344917431</v>
      </c>
      <c r="AL102" s="199">
        <f t="shared" si="384"/>
        <v>8420622.0428023711</v>
      </c>
      <c r="AM102" s="199">
        <f t="shared" si="384"/>
        <v>11833411.177433029</v>
      </c>
      <c r="AN102" s="199">
        <f t="shared" si="384"/>
        <v>15088762.645594105</v>
      </c>
      <c r="AO102" s="199">
        <f t="shared" si="384"/>
        <v>29035176.357833363</v>
      </c>
      <c r="AP102" s="199">
        <f t="shared" si="384"/>
        <v>24230790.106620491</v>
      </c>
      <c r="AQ102" s="199">
        <f t="shared" si="384"/>
        <v>28879402.24457024</v>
      </c>
      <c r="AR102" s="199">
        <f t="shared" si="384"/>
        <v>35789061.213781647</v>
      </c>
      <c r="AS102" s="199">
        <f t="shared" si="384"/>
        <v>30873557.406971328</v>
      </c>
      <c r="AT102" s="199">
        <f t="shared" si="384"/>
        <v>23503288.976700462</v>
      </c>
      <c r="AU102" s="199">
        <f t="shared" si="384"/>
        <v>16300790.214759678</v>
      </c>
      <c r="AV102" s="199">
        <f t="shared" si="384"/>
        <v>34887201.519667298</v>
      </c>
      <c r="AW102" s="199">
        <f t="shared" si="384"/>
        <v>31784387.735829905</v>
      </c>
      <c r="AX102" s="199">
        <f t="shared" si="384"/>
        <v>42927285.114339754</v>
      </c>
      <c r="AY102" s="199">
        <f t="shared" si="384"/>
        <v>43925831.376912966</v>
      </c>
      <c r="AZ102" s="199">
        <f t="shared" si="384"/>
        <v>38052836.997700632</v>
      </c>
      <c r="BA102" s="199">
        <f t="shared" si="384"/>
        <v>55480492.642721429</v>
      </c>
      <c r="BB102" s="199">
        <f t="shared" si="384"/>
        <v>42103550.264633745</v>
      </c>
      <c r="BC102" s="199">
        <f t="shared" si="384"/>
        <v>39329363.026986301</v>
      </c>
      <c r="BD102" s="199">
        <f t="shared" si="384"/>
        <v>43761144.00361044</v>
      </c>
      <c r="BE102" s="199">
        <f t="shared" si="384"/>
        <v>44024744.492615819</v>
      </c>
      <c r="BF102" s="199">
        <f t="shared" si="384"/>
        <v>40167063.543640994</v>
      </c>
      <c r="BG102" s="199">
        <f t="shared" si="384"/>
        <v>30934331.126602001</v>
      </c>
      <c r="BH102" s="199">
        <f t="shared" si="384"/>
        <v>44926002.96732454</v>
      </c>
      <c r="BI102" s="199">
        <f t="shared" si="384"/>
        <v>45680549.199924476</v>
      </c>
      <c r="BJ102" s="199">
        <f t="shared" si="384"/>
        <v>55590388.364160314</v>
      </c>
      <c r="BK102" s="199">
        <f t="shared" si="384"/>
        <v>60634030.24342306</v>
      </c>
      <c r="BL102" s="199">
        <f t="shared" si="384"/>
        <v>43536848.82126002</v>
      </c>
      <c r="BM102" s="199">
        <f t="shared" si="384"/>
        <v>46240217.047710016</v>
      </c>
      <c r="BN102" s="199">
        <f t="shared" si="384"/>
        <v>51937758.926518679</v>
      </c>
      <c r="BO102" s="199">
        <f t="shared" si="384"/>
        <v>50277893.022338897</v>
      </c>
      <c r="BP102" s="199">
        <f t="shared" ref="BP102:CK104" si="385">BP81-BP87</f>
        <v>49964212.323082045</v>
      </c>
      <c r="BQ102" s="199">
        <f t="shared" si="385"/>
        <v>58411490.540571362</v>
      </c>
      <c r="BR102" s="199">
        <f t="shared" si="385"/>
        <v>44963082.141587496</v>
      </c>
      <c r="BS102" s="199">
        <f t="shared" si="385"/>
        <v>42006381.022354409</v>
      </c>
      <c r="BT102" s="199">
        <f t="shared" si="385"/>
        <v>61876550.996049538</v>
      </c>
      <c r="BU102" s="199">
        <f t="shared" si="385"/>
        <v>53441111.438418344</v>
      </c>
      <c r="BV102" s="199">
        <f t="shared" si="385"/>
        <v>81555648.602018774</v>
      </c>
      <c r="BW102" s="199">
        <f t="shared" si="385"/>
        <v>88351677.150421679</v>
      </c>
      <c r="BX102" s="199">
        <f t="shared" si="385"/>
        <v>71939913.961211696</v>
      </c>
      <c r="BY102" s="199">
        <f t="shared" si="385"/>
        <v>93964594.514428973</v>
      </c>
      <c r="BZ102" s="199">
        <f t="shared" si="385"/>
        <v>70372653.716324344</v>
      </c>
      <c r="CA102" s="199">
        <f t="shared" si="385"/>
        <v>68592607.138063788</v>
      </c>
      <c r="CB102" s="199">
        <f t="shared" si="385"/>
        <v>67650962.940337181</v>
      </c>
      <c r="CC102" s="199">
        <f t="shared" si="385"/>
        <v>77845238.592621565</v>
      </c>
      <c r="CD102" s="199">
        <f t="shared" si="385"/>
        <v>61383734.531909585</v>
      </c>
      <c r="CE102" s="199">
        <f t="shared" si="385"/>
        <v>57355134.410526499</v>
      </c>
      <c r="CF102" s="199">
        <f t="shared" si="385"/>
        <v>81145775.137518391</v>
      </c>
      <c r="CG102" s="199">
        <f t="shared" si="385"/>
        <v>70374535.29395014</v>
      </c>
      <c r="CH102" s="199">
        <f t="shared" si="385"/>
        <v>103322860.5972266</v>
      </c>
      <c r="CI102" s="199">
        <f t="shared" si="385"/>
        <v>110756876.46566357</v>
      </c>
      <c r="CJ102" s="199">
        <f t="shared" si="385"/>
        <v>90832965.251148596</v>
      </c>
      <c r="CK102" s="199">
        <f t="shared" si="385"/>
        <v>115264657.02357499</v>
      </c>
      <c r="CL102" s="199">
        <f t="shared" ref="CL102:CW102" si="386">CL81-CL87</f>
        <v>83065296.914671168</v>
      </c>
      <c r="CM102" s="199">
        <f t="shared" si="386"/>
        <v>80974381.206765682</v>
      </c>
      <c r="CN102" s="199">
        <f t="shared" si="386"/>
        <v>79842511.299717635</v>
      </c>
      <c r="CO102" s="199">
        <f t="shared" si="386"/>
        <v>91248686.776434332</v>
      </c>
      <c r="CP102" s="199">
        <f t="shared" si="386"/>
        <v>72534868.599064261</v>
      </c>
      <c r="CQ102" s="199">
        <f t="shared" si="386"/>
        <v>68105337.414095089</v>
      </c>
      <c r="CR102" s="199">
        <f t="shared" si="386"/>
        <v>94652366.340852857</v>
      </c>
      <c r="CS102" s="199">
        <f t="shared" si="386"/>
        <v>82529643.501608923</v>
      </c>
      <c r="CT102" s="199">
        <f t="shared" si="386"/>
        <v>119935551.08455457</v>
      </c>
      <c r="CU102" s="199">
        <f t="shared" si="386"/>
        <v>128453012.7593329</v>
      </c>
      <c r="CV102" s="199">
        <f t="shared" si="386"/>
        <v>105615483.0821799</v>
      </c>
      <c r="CW102" s="199">
        <f t="shared" si="386"/>
        <v>133113927.5234749</v>
      </c>
      <c r="CX102" s="168"/>
      <c r="CY102" s="199">
        <f t="shared" ref="CY102:CY104" si="387">SUM(AD102:AF102)</f>
        <v>5851815.0200258642</v>
      </c>
      <c r="CZ102" s="199">
        <f t="shared" ref="CZ102:CZ104" si="388">SUM(AG102:AI102)</f>
        <v>-4639870.3684921898</v>
      </c>
      <c r="DA102" s="199">
        <f t="shared" ref="DA102:DA104" si="389">SUM(AJ102:AL102)</f>
        <v>24440383.58930289</v>
      </c>
      <c r="DB102" s="199">
        <f t="shared" ref="DB102:DB104" si="390">SUM(AM102:AO102)</f>
        <v>55957350.180860497</v>
      </c>
      <c r="DC102" s="199">
        <f t="shared" ref="DC102:DC104" si="391">SUM(AP102:AR102)</f>
        <v>88899253.564972371</v>
      </c>
      <c r="DD102" s="199">
        <f t="shared" ref="DD102:DD104" si="392">SUM(AS102:AU102)</f>
        <v>70677636.598431468</v>
      </c>
      <c r="DE102" s="199">
        <f t="shared" ref="DE102:DE104" si="393">SUM(AV102:AX102)</f>
        <v>109598874.36983696</v>
      </c>
      <c r="DF102" s="199">
        <f t="shared" ref="DF102:DF104" si="394">SUM(AY102:BA102)</f>
        <v>137459161.01733503</v>
      </c>
      <c r="DG102" s="199">
        <f t="shared" ref="DG102:DG104" si="395">SUM(BB102:BD102)</f>
        <v>125194057.29523048</v>
      </c>
      <c r="DH102" s="199">
        <f t="shared" ref="DH102:DH104" si="396">SUM(BE102:BG102)</f>
        <v>115126139.16285881</v>
      </c>
      <c r="DI102" s="199">
        <f t="shared" ref="DI102:DI104" si="397">SUM(BH102:BJ102)</f>
        <v>146196940.53140932</v>
      </c>
      <c r="DJ102" s="199">
        <f t="shared" ref="DJ102:DJ104" si="398">SUM(BK102:BM102)</f>
        <v>150411096.11239308</v>
      </c>
      <c r="DK102" s="199">
        <f t="shared" ref="DK102:DK104" si="399">SUM(BN102:BP102)</f>
        <v>152179864.27193964</v>
      </c>
      <c r="DL102" s="199">
        <f t="shared" ref="DL102:DL104" si="400">SUM(BQ102:BS102)</f>
        <v>145380953.70451325</v>
      </c>
      <c r="DM102" s="199">
        <f t="shared" ref="DM102:DM104" si="401">SUM(BT102:BV102)</f>
        <v>196873311.03648666</v>
      </c>
      <c r="DN102" s="199">
        <f t="shared" ref="DN102:DN104" si="402">SUM(BW102:BY102)</f>
        <v>254256185.62606233</v>
      </c>
      <c r="DO102" s="199">
        <f t="shared" ref="DO102:DO104" si="403">SUM(BZ102:CB102)</f>
        <v>206616223.7947253</v>
      </c>
      <c r="DP102" s="199">
        <f t="shared" ref="DP102:DP104" si="404">SUM(CC102:CE102)</f>
        <v>196584107.53505766</v>
      </c>
      <c r="DQ102" s="199">
        <f t="shared" ref="DQ102:DQ104" si="405">SUM(CF102:CH102)</f>
        <v>254843171.02869517</v>
      </c>
      <c r="DR102" s="199">
        <f t="shared" ref="DR102:DR104" si="406">SUM(CI102:CK102)</f>
        <v>316854498.74038714</v>
      </c>
      <c r="DS102" s="199">
        <f t="shared" ref="DS102:DS104" si="407">SUM(CL102:CN102)</f>
        <v>243882189.42115447</v>
      </c>
      <c r="DT102" s="199">
        <f t="shared" ref="DT102:DT104" si="408">SUM(CO102:CQ102)</f>
        <v>231888892.7895937</v>
      </c>
      <c r="DU102" s="199">
        <f t="shared" ref="DU102:DU104" si="409">SUM(CR102:CT102)</f>
        <v>297117560.92701632</v>
      </c>
      <c r="DV102" s="199">
        <f t="shared" ref="DV102:DV104" si="410">SUM(CU102:CW102)</f>
        <v>367182423.36498773</v>
      </c>
      <c r="DX102" s="199">
        <f t="shared" ref="DX102:DX104" si="411">SUM(CY102:DB102)</f>
        <v>81609678.421697065</v>
      </c>
      <c r="DY102" s="199">
        <f t="shared" ref="DY102:DY104" si="412">SUM(DC102:DF102)</f>
        <v>406634925.55057585</v>
      </c>
      <c r="DZ102" s="199">
        <f t="shared" ref="DZ102:DZ104" si="413">SUM(DG102:DJ102)</f>
        <v>536928233.10189176</v>
      </c>
      <c r="EA102" s="199">
        <f t="shared" ref="EA102:EA104" si="414">SUM(DK102:DN102)</f>
        <v>748690314.63900185</v>
      </c>
      <c r="EB102" s="199">
        <f t="shared" ref="EB102:EB104" si="415">SUM(DO102:DR102)</f>
        <v>974898001.09886527</v>
      </c>
      <c r="EC102" s="810">
        <f t="shared" ref="EC102:EC104" si="416">SUM(DS102:DV102)</f>
        <v>1140071066.5027523</v>
      </c>
    </row>
    <row r="103" spans="2:133" x14ac:dyDescent="0.2">
      <c r="B103" s="155" t="s">
        <v>229</v>
      </c>
      <c r="C103" s="19">
        <f t="shared" ref="C103:R104" si="417">C82-C88</f>
        <v>518869.51697651111</v>
      </c>
      <c r="D103" s="19">
        <f t="shared" si="417"/>
        <v>884680.38768607844</v>
      </c>
      <c r="E103" s="19">
        <f t="shared" si="417"/>
        <v>858405.02866244502</v>
      </c>
      <c r="F103" s="19">
        <f t="shared" si="417"/>
        <v>-2268221.869188101</v>
      </c>
      <c r="G103" s="19">
        <f t="shared" si="417"/>
        <v>-5422715.5337462397</v>
      </c>
      <c r="H103" s="19">
        <f t="shared" si="417"/>
        <v>-1839747.676328423</v>
      </c>
      <c r="I103" s="19">
        <f t="shared" si="417"/>
        <v>-2005477.5966435187</v>
      </c>
      <c r="J103" s="19">
        <f t="shared" si="417"/>
        <v>-2117453.571846379</v>
      </c>
      <c r="K103" s="19">
        <f t="shared" si="417"/>
        <v>-2689595.5565217324</v>
      </c>
      <c r="L103" s="19">
        <f t="shared" si="417"/>
        <v>-3629201.6409032196</v>
      </c>
      <c r="M103" s="19">
        <f t="shared" si="417"/>
        <v>2369033.4246919528</v>
      </c>
      <c r="N103" s="19">
        <f t="shared" si="417"/>
        <v>1879480.6203423478</v>
      </c>
      <c r="O103" s="19">
        <f t="shared" si="417"/>
        <v>-537342.18018347397</v>
      </c>
      <c r="P103" s="19">
        <f t="shared" si="417"/>
        <v>1596855.7341978475</v>
      </c>
      <c r="Q103" s="19">
        <f t="shared" si="417"/>
        <v>90330.69847305119</v>
      </c>
      <c r="R103" s="19">
        <f t="shared" si="417"/>
        <v>-2954386.820700448</v>
      </c>
      <c r="S103" s="19">
        <f t="shared" si="384"/>
        <v>-3152201.2598173767</v>
      </c>
      <c r="T103" s="19">
        <f t="shared" si="384"/>
        <v>-2813924.7839615792</v>
      </c>
      <c r="U103" s="19">
        <f t="shared" si="384"/>
        <v>-2072903.5167461373</v>
      </c>
      <c r="V103" s="19">
        <f t="shared" si="384"/>
        <v>-5488393.6469506435</v>
      </c>
      <c r="W103" s="19">
        <f t="shared" si="384"/>
        <v>-13629203.021345325</v>
      </c>
      <c r="X103" s="19">
        <f t="shared" si="384"/>
        <v>-10745789.8467675</v>
      </c>
      <c r="Y103" s="19">
        <f t="shared" si="384"/>
        <v>-11937683.741184767</v>
      </c>
      <c r="Z103" s="19">
        <f t="shared" si="384"/>
        <v>-7559216.3760256395</v>
      </c>
      <c r="AA103" s="19">
        <f t="shared" si="384"/>
        <v>-5498406.4066419639</v>
      </c>
      <c r="AB103" s="19">
        <f t="shared" si="384"/>
        <v>-4039033.3711985052</v>
      </c>
      <c r="AC103" s="19">
        <f t="shared" si="384"/>
        <v>126845.93118036538</v>
      </c>
      <c r="AD103" s="19">
        <f t="shared" si="384"/>
        <v>-2844066.7290115058</v>
      </c>
      <c r="AE103" s="19">
        <f t="shared" si="384"/>
        <v>2072451.4973187894</v>
      </c>
      <c r="AF103" s="19">
        <f t="shared" si="384"/>
        <v>3077166.6570394486</v>
      </c>
      <c r="AG103" s="19">
        <f t="shared" si="384"/>
        <v>-195902.66256433725</v>
      </c>
      <c r="AH103" s="19">
        <f t="shared" si="384"/>
        <v>350931.71466781572</v>
      </c>
      <c r="AI103" s="19">
        <f t="shared" si="384"/>
        <v>-5015366.8424310423</v>
      </c>
      <c r="AJ103" s="19">
        <f t="shared" si="384"/>
        <v>1132225.7780038789</v>
      </c>
      <c r="AK103" s="19">
        <f t="shared" si="384"/>
        <v>1402104.4207802601</v>
      </c>
      <c r="AL103" s="19">
        <f t="shared" si="384"/>
        <v>-2853810.3216461837</v>
      </c>
      <c r="AM103" s="19">
        <f t="shared" si="384"/>
        <v>-1725565.5683990605</v>
      </c>
      <c r="AN103" s="19">
        <f t="shared" si="384"/>
        <v>4862301.1253050826</v>
      </c>
      <c r="AO103" s="19">
        <f t="shared" si="384"/>
        <v>9823823.0470485911</v>
      </c>
      <c r="AP103" s="19">
        <f t="shared" si="384"/>
        <v>8173770.6829648912</v>
      </c>
      <c r="AQ103" s="19">
        <f t="shared" si="384"/>
        <v>11941185.284485772</v>
      </c>
      <c r="AR103" s="19">
        <f t="shared" si="384"/>
        <v>14532242.324221388</v>
      </c>
      <c r="AS103" s="19">
        <f t="shared" si="384"/>
        <v>12099786.212612405</v>
      </c>
      <c r="AT103" s="19">
        <f t="shared" si="384"/>
        <v>5241791.417115856</v>
      </c>
      <c r="AU103" s="19">
        <f t="shared" si="384"/>
        <v>-2834901.5462193191</v>
      </c>
      <c r="AV103" s="19">
        <f t="shared" si="384"/>
        <v>8526507.4921812713</v>
      </c>
      <c r="AW103" s="19">
        <f t="shared" si="384"/>
        <v>11069129.243217528</v>
      </c>
      <c r="AX103" s="19">
        <f t="shared" si="384"/>
        <v>16737823.446367122</v>
      </c>
      <c r="AY103" s="19">
        <f t="shared" si="384"/>
        <v>13891808.087749451</v>
      </c>
      <c r="AZ103" s="19">
        <f t="shared" si="384"/>
        <v>10452488.722705238</v>
      </c>
      <c r="BA103" s="19">
        <f t="shared" si="384"/>
        <v>19264592.079383783</v>
      </c>
      <c r="BB103" s="19">
        <f t="shared" si="384"/>
        <v>12763169.313904434</v>
      </c>
      <c r="BC103" s="19">
        <f t="shared" si="384"/>
        <v>9316812.1285273135</v>
      </c>
      <c r="BD103" s="19">
        <f t="shared" si="384"/>
        <v>13911700.782874137</v>
      </c>
      <c r="BE103" s="19">
        <f t="shared" si="384"/>
        <v>10325186.057546601</v>
      </c>
      <c r="BF103" s="19">
        <f t="shared" si="384"/>
        <v>8392547.0439363495</v>
      </c>
      <c r="BG103" s="19">
        <f t="shared" si="384"/>
        <v>-502911.43513718247</v>
      </c>
      <c r="BH103" s="19">
        <f t="shared" si="384"/>
        <v>20225352.161149889</v>
      </c>
      <c r="BI103" s="19">
        <f t="shared" si="384"/>
        <v>20900891.28166309</v>
      </c>
      <c r="BJ103" s="19">
        <f t="shared" si="384"/>
        <v>27099276.589617677</v>
      </c>
      <c r="BK103" s="19">
        <f t="shared" si="384"/>
        <v>30806822.940140098</v>
      </c>
      <c r="BL103" s="19">
        <f t="shared" si="384"/>
        <v>24496213.009369895</v>
      </c>
      <c r="BM103" s="19">
        <f t="shared" si="384"/>
        <v>22140166.267487571</v>
      </c>
      <c r="BN103" s="19">
        <f t="shared" si="384"/>
        <v>19579992.900753617</v>
      </c>
      <c r="BO103" s="19">
        <f t="shared" si="384"/>
        <v>17508271.499410629</v>
      </c>
      <c r="BP103" s="19">
        <f t="shared" si="385"/>
        <v>17223834.977467254</v>
      </c>
      <c r="BQ103" s="19">
        <f t="shared" si="385"/>
        <v>25054548.456599981</v>
      </c>
      <c r="BR103" s="19">
        <f t="shared" si="385"/>
        <v>13999288.567759126</v>
      </c>
      <c r="BS103" s="19">
        <f t="shared" si="385"/>
        <v>7372443.19569996</v>
      </c>
      <c r="BT103" s="19">
        <f t="shared" si="385"/>
        <v>28424565.335809812</v>
      </c>
      <c r="BU103" s="19">
        <f t="shared" si="385"/>
        <v>19891645.187133968</v>
      </c>
      <c r="BV103" s="19">
        <f t="shared" si="385"/>
        <v>38528631.886431083</v>
      </c>
      <c r="BW103" s="19">
        <f t="shared" si="385"/>
        <v>41362074.408874184</v>
      </c>
      <c r="BX103" s="19">
        <f t="shared" si="385"/>
        <v>32812120.887404561</v>
      </c>
      <c r="BY103" s="19">
        <f t="shared" si="385"/>
        <v>51030184.360333532</v>
      </c>
      <c r="BZ103" s="19">
        <f t="shared" si="385"/>
        <v>32104451.413395509</v>
      </c>
      <c r="CA103" s="19">
        <f t="shared" si="385"/>
        <v>29846184.009258285</v>
      </c>
      <c r="CB103" s="19">
        <f t="shared" si="385"/>
        <v>28938496.319878012</v>
      </c>
      <c r="CC103" s="19">
        <f t="shared" si="385"/>
        <v>38416855.587861419</v>
      </c>
      <c r="CD103" s="19">
        <f t="shared" si="385"/>
        <v>24734125.793486997</v>
      </c>
      <c r="CE103" s="19">
        <f t="shared" si="385"/>
        <v>16443983.874645486</v>
      </c>
      <c r="CF103" s="19">
        <f t="shared" si="385"/>
        <v>41607033.480633155</v>
      </c>
      <c r="CG103" s="19">
        <f t="shared" si="385"/>
        <v>30722605.275910601</v>
      </c>
      <c r="CH103" s="19">
        <f t="shared" si="385"/>
        <v>52666192.165962666</v>
      </c>
      <c r="CI103" s="19">
        <f t="shared" si="385"/>
        <v>55499101.15347895</v>
      </c>
      <c r="CJ103" s="19">
        <f t="shared" si="385"/>
        <v>44703831.266056031</v>
      </c>
      <c r="CK103" s="19">
        <f t="shared" si="385"/>
        <v>64715517.53540796</v>
      </c>
      <c r="CL103" s="19">
        <f t="shared" ref="CL103:CW103" si="418">CL82-CL88</f>
        <v>37414415.369398162</v>
      </c>
      <c r="CM103" s="19">
        <f t="shared" si="418"/>
        <v>34763339.656635284</v>
      </c>
      <c r="CN103" s="19">
        <f t="shared" si="418"/>
        <v>33671244.424488068</v>
      </c>
      <c r="CO103" s="19">
        <f t="shared" si="418"/>
        <v>44238837.172039524</v>
      </c>
      <c r="CP103" s="19">
        <f t="shared" si="418"/>
        <v>28779913.224078238</v>
      </c>
      <c r="CQ103" s="19">
        <f t="shared" si="418"/>
        <v>19358660.339017928</v>
      </c>
      <c r="CR103" s="19">
        <f t="shared" si="418"/>
        <v>47513249.043029472</v>
      </c>
      <c r="CS103" s="19">
        <f t="shared" si="418"/>
        <v>35257943.954115272</v>
      </c>
      <c r="CT103" s="19">
        <f t="shared" si="418"/>
        <v>59773542.312855005</v>
      </c>
      <c r="CU103" s="19">
        <f t="shared" si="418"/>
        <v>62901535.538531005</v>
      </c>
      <c r="CV103" s="19">
        <f t="shared" si="418"/>
        <v>50756764.297296554</v>
      </c>
      <c r="CW103" s="19">
        <f t="shared" si="418"/>
        <v>73077871.888962001</v>
      </c>
      <c r="CX103" s="168"/>
      <c r="CY103" s="19">
        <f t="shared" si="387"/>
        <v>2305551.4253467321</v>
      </c>
      <c r="CZ103" s="19">
        <f t="shared" si="388"/>
        <v>-4860337.7903275639</v>
      </c>
      <c r="DA103" s="19">
        <f t="shared" si="389"/>
        <v>-319480.12286204472</v>
      </c>
      <c r="DB103" s="19">
        <f t="shared" si="390"/>
        <v>12960558.603954613</v>
      </c>
      <c r="DC103" s="19">
        <f t="shared" si="391"/>
        <v>34647198.291672051</v>
      </c>
      <c r="DD103" s="19">
        <f t="shared" si="392"/>
        <v>14506676.083508942</v>
      </c>
      <c r="DE103" s="19">
        <f t="shared" si="393"/>
        <v>36333460.181765921</v>
      </c>
      <c r="DF103" s="19">
        <f t="shared" si="394"/>
        <v>43608888.889838472</v>
      </c>
      <c r="DG103" s="19">
        <f t="shared" si="395"/>
        <v>35991682.225305885</v>
      </c>
      <c r="DH103" s="19">
        <f t="shared" si="396"/>
        <v>18214821.666345768</v>
      </c>
      <c r="DI103" s="19">
        <f t="shared" si="397"/>
        <v>68225520.032430649</v>
      </c>
      <c r="DJ103" s="19">
        <f t="shared" si="398"/>
        <v>77443202.216997564</v>
      </c>
      <c r="DK103" s="19">
        <f t="shared" si="399"/>
        <v>54312099.3776315</v>
      </c>
      <c r="DL103" s="19">
        <f t="shared" si="400"/>
        <v>46426280.220059067</v>
      </c>
      <c r="DM103" s="19">
        <f t="shared" si="401"/>
        <v>86844842.409374863</v>
      </c>
      <c r="DN103" s="19">
        <f t="shared" si="402"/>
        <v>125204379.65661228</v>
      </c>
      <c r="DO103" s="19">
        <f t="shared" si="403"/>
        <v>90889131.742531806</v>
      </c>
      <c r="DP103" s="19">
        <f t="shared" si="404"/>
        <v>79594965.255993903</v>
      </c>
      <c r="DQ103" s="19">
        <f t="shared" si="405"/>
        <v>124995830.92250642</v>
      </c>
      <c r="DR103" s="19">
        <f t="shared" si="406"/>
        <v>164918449.95494294</v>
      </c>
      <c r="DS103" s="19">
        <f t="shared" si="407"/>
        <v>105848999.45052151</v>
      </c>
      <c r="DT103" s="19">
        <f t="shared" si="408"/>
        <v>92377410.735135689</v>
      </c>
      <c r="DU103" s="19">
        <f t="shared" si="409"/>
        <v>142544735.30999976</v>
      </c>
      <c r="DV103" s="19">
        <f t="shared" si="410"/>
        <v>186736171.72478956</v>
      </c>
      <c r="DX103" s="19">
        <f t="shared" si="411"/>
        <v>10086292.116111737</v>
      </c>
      <c r="DY103" s="19">
        <f t="shared" si="412"/>
        <v>129096223.44678538</v>
      </c>
      <c r="DZ103" s="19">
        <f t="shared" si="413"/>
        <v>199875226.14107987</v>
      </c>
      <c r="EA103" s="19">
        <f t="shared" si="414"/>
        <v>312787601.66367769</v>
      </c>
      <c r="EB103" s="19">
        <f t="shared" si="415"/>
        <v>460398377.87597507</v>
      </c>
      <c r="EC103" s="770">
        <f t="shared" si="416"/>
        <v>527507317.22044653</v>
      </c>
    </row>
    <row r="104" spans="2:133" x14ac:dyDescent="0.2">
      <c r="B104" s="155" t="s">
        <v>237</v>
      </c>
      <c r="C104" s="19">
        <f t="shared" si="417"/>
        <v>242342.62779078324</v>
      </c>
      <c r="D104" s="19">
        <f t="shared" ref="D104:BO104" si="419">D83-D89</f>
        <v>105551.00288760345</v>
      </c>
      <c r="E104" s="19">
        <f t="shared" si="419"/>
        <v>331574.57556169975</v>
      </c>
      <c r="F104" s="19">
        <f t="shared" si="419"/>
        <v>85902.647801199229</v>
      </c>
      <c r="G104" s="19">
        <f t="shared" si="419"/>
        <v>-8284.903897666547</v>
      </c>
      <c r="H104" s="19">
        <f t="shared" si="419"/>
        <v>411871.01072022755</v>
      </c>
      <c r="I104" s="19">
        <f t="shared" si="419"/>
        <v>850395.59206286469</v>
      </c>
      <c r="J104" s="19">
        <f t="shared" si="419"/>
        <v>503530.84273714619</v>
      </c>
      <c r="K104" s="19">
        <f t="shared" si="419"/>
        <v>955055.99862177041</v>
      </c>
      <c r="L104" s="19">
        <f t="shared" si="419"/>
        <v>175545.90778670355</v>
      </c>
      <c r="M104" s="19">
        <f t="shared" si="419"/>
        <v>1882785.4139988832</v>
      </c>
      <c r="N104" s="19">
        <f t="shared" si="419"/>
        <v>2095191.8145266464</v>
      </c>
      <c r="O104" s="19">
        <f t="shared" si="419"/>
        <v>2887677.1543684774</v>
      </c>
      <c r="P104" s="19">
        <f t="shared" si="419"/>
        <v>3333534.7128375107</v>
      </c>
      <c r="Q104" s="19">
        <f t="shared" si="419"/>
        <v>1838784.8573653181</v>
      </c>
      <c r="R104" s="19">
        <f t="shared" si="419"/>
        <v>1592833.7919103289</v>
      </c>
      <c r="S104" s="19">
        <f t="shared" si="419"/>
        <v>1449921.1516052736</v>
      </c>
      <c r="T104" s="19">
        <f t="shared" si="419"/>
        <v>2068892.427164535</v>
      </c>
      <c r="U104" s="19">
        <f t="shared" si="419"/>
        <v>770206.53696598508</v>
      </c>
      <c r="V104" s="19">
        <f t="shared" si="419"/>
        <v>-268023.52661924739</v>
      </c>
      <c r="W104" s="19">
        <f t="shared" si="419"/>
        <v>-730380.15817660117</v>
      </c>
      <c r="X104" s="19">
        <f t="shared" si="419"/>
        <v>694598.91517842724</v>
      </c>
      <c r="Y104" s="19">
        <f t="shared" si="419"/>
        <v>1143872.5628226427</v>
      </c>
      <c r="Z104" s="19">
        <f t="shared" si="419"/>
        <v>-256317.67455146043</v>
      </c>
      <c r="AA104" s="19">
        <f t="shared" si="419"/>
        <v>1835445.5420974875</v>
      </c>
      <c r="AB104" s="19">
        <f t="shared" si="419"/>
        <v>3641631.3421391132</v>
      </c>
      <c r="AC104" s="19">
        <f t="shared" si="419"/>
        <v>2947135.2239372511</v>
      </c>
      <c r="AD104" s="19">
        <f t="shared" si="419"/>
        <v>-3377972.6168714575</v>
      </c>
      <c r="AE104" s="19">
        <f t="shared" si="419"/>
        <v>1030681.6340237102</v>
      </c>
      <c r="AF104" s="19">
        <f t="shared" si="419"/>
        <v>5893554.5775268413</v>
      </c>
      <c r="AG104" s="19">
        <f t="shared" si="419"/>
        <v>-265634.14244954474</v>
      </c>
      <c r="AH104" s="19">
        <f t="shared" si="419"/>
        <v>3037473.739623582</v>
      </c>
      <c r="AI104" s="19">
        <f t="shared" si="419"/>
        <v>-2551372.1753387079</v>
      </c>
      <c r="AJ104" s="19">
        <f t="shared" si="419"/>
        <v>4942770.0340048391</v>
      </c>
      <c r="AK104" s="19">
        <f t="shared" si="419"/>
        <v>8542661.313711483</v>
      </c>
      <c r="AL104" s="19">
        <f t="shared" si="419"/>
        <v>11274432.364448531</v>
      </c>
      <c r="AM104" s="19">
        <f t="shared" si="419"/>
        <v>13558976.745832089</v>
      </c>
      <c r="AN104" s="19">
        <f t="shared" si="419"/>
        <v>10226461.520289049</v>
      </c>
      <c r="AO104" s="19">
        <f t="shared" si="419"/>
        <v>19211353.310784802</v>
      </c>
      <c r="AP104" s="19">
        <f t="shared" si="419"/>
        <v>16057019.423655543</v>
      </c>
      <c r="AQ104" s="19">
        <f t="shared" si="419"/>
        <v>16938216.960084464</v>
      </c>
      <c r="AR104" s="19">
        <f t="shared" si="419"/>
        <v>21256818.889560252</v>
      </c>
      <c r="AS104" s="19">
        <f t="shared" si="419"/>
        <v>18773771.194358915</v>
      </c>
      <c r="AT104" s="19">
        <f t="shared" si="419"/>
        <v>18261497.559584543</v>
      </c>
      <c r="AU104" s="19">
        <f t="shared" si="419"/>
        <v>19135691.760979027</v>
      </c>
      <c r="AV104" s="19">
        <f t="shared" si="419"/>
        <v>26360694.027486049</v>
      </c>
      <c r="AW104" s="19">
        <f t="shared" si="419"/>
        <v>20715258.492612343</v>
      </c>
      <c r="AX104" s="19">
        <f t="shared" si="419"/>
        <v>26189461.667972546</v>
      </c>
      <c r="AY104" s="19">
        <f t="shared" si="419"/>
        <v>30034023.289163519</v>
      </c>
      <c r="AZ104" s="19">
        <f t="shared" si="419"/>
        <v>27600348.274995446</v>
      </c>
      <c r="BA104" s="19">
        <f t="shared" si="419"/>
        <v>36215900.563337639</v>
      </c>
      <c r="BB104" s="19">
        <f t="shared" si="419"/>
        <v>29340380.950729314</v>
      </c>
      <c r="BC104" s="19">
        <f t="shared" si="419"/>
        <v>30012550.898458958</v>
      </c>
      <c r="BD104" s="19">
        <f t="shared" si="419"/>
        <v>29849443.220736239</v>
      </c>
      <c r="BE104" s="19">
        <f t="shared" si="419"/>
        <v>33699558.435069278</v>
      </c>
      <c r="BF104" s="19">
        <f t="shared" si="419"/>
        <v>31774516.499704696</v>
      </c>
      <c r="BG104" s="19">
        <f t="shared" si="419"/>
        <v>31437242.561739236</v>
      </c>
      <c r="BH104" s="19">
        <f t="shared" si="419"/>
        <v>24700650.806174662</v>
      </c>
      <c r="BI104" s="19">
        <f t="shared" si="419"/>
        <v>24779657.91826129</v>
      </c>
      <c r="BJ104" s="19">
        <f t="shared" si="419"/>
        <v>28491111.77454263</v>
      </c>
      <c r="BK104" s="19">
        <f t="shared" si="419"/>
        <v>29827207.303282883</v>
      </c>
      <c r="BL104" s="19">
        <f t="shared" si="419"/>
        <v>19040635.811890133</v>
      </c>
      <c r="BM104" s="19">
        <f t="shared" si="419"/>
        <v>24100050.780222435</v>
      </c>
      <c r="BN104" s="19">
        <f t="shared" si="419"/>
        <v>32357766.025765013</v>
      </c>
      <c r="BO104" s="19">
        <f t="shared" si="419"/>
        <v>32769621.522928134</v>
      </c>
      <c r="BP104" s="19">
        <f t="shared" si="385"/>
        <v>32740377.345614795</v>
      </c>
      <c r="BQ104" s="19">
        <f t="shared" si="385"/>
        <v>33356942.083971381</v>
      </c>
      <c r="BR104" s="19">
        <f t="shared" si="385"/>
        <v>30963793.573828366</v>
      </c>
      <c r="BS104" s="19">
        <f t="shared" si="385"/>
        <v>34633937.826654509</v>
      </c>
      <c r="BT104" s="19">
        <f t="shared" si="385"/>
        <v>33451985.660239667</v>
      </c>
      <c r="BU104" s="19">
        <f t="shared" si="385"/>
        <v>33549466.251284301</v>
      </c>
      <c r="BV104" s="19">
        <f t="shared" si="385"/>
        <v>43027016.715587735</v>
      </c>
      <c r="BW104" s="19">
        <f t="shared" si="385"/>
        <v>46989602.741547547</v>
      </c>
      <c r="BX104" s="19">
        <f t="shared" si="385"/>
        <v>39127793.073807009</v>
      </c>
      <c r="BY104" s="19">
        <f t="shared" si="385"/>
        <v>42934410.154095568</v>
      </c>
      <c r="BZ104" s="19">
        <f t="shared" si="385"/>
        <v>38268202.302928716</v>
      </c>
      <c r="CA104" s="19">
        <f t="shared" si="385"/>
        <v>38746423.128805444</v>
      </c>
      <c r="CB104" s="19">
        <f t="shared" si="385"/>
        <v>38712466.620459259</v>
      </c>
      <c r="CC104" s="19">
        <f t="shared" si="385"/>
        <v>39428383.004759997</v>
      </c>
      <c r="CD104" s="19">
        <f t="shared" si="385"/>
        <v>36649608.738422632</v>
      </c>
      <c r="CE104" s="19">
        <f t="shared" si="385"/>
        <v>40911150.535880953</v>
      </c>
      <c r="CF104" s="19">
        <f t="shared" si="385"/>
        <v>39538741.656885371</v>
      </c>
      <c r="CG104" s="19">
        <f t="shared" si="385"/>
        <v>39651930.018039659</v>
      </c>
      <c r="CH104" s="19">
        <f t="shared" si="385"/>
        <v>50656668.43126376</v>
      </c>
      <c r="CI104" s="19">
        <f t="shared" si="385"/>
        <v>55257775.312184736</v>
      </c>
      <c r="CJ104" s="19">
        <f t="shared" si="385"/>
        <v>46129133.985092789</v>
      </c>
      <c r="CK104" s="19">
        <f t="shared" si="385"/>
        <v>50549139.488167077</v>
      </c>
      <c r="CL104" s="19">
        <f t="shared" ref="CL104:CW104" si="420">CL83-CL89</f>
        <v>45650881.545272894</v>
      </c>
      <c r="CM104" s="19">
        <f t="shared" si="420"/>
        <v>46211041.550130405</v>
      </c>
      <c r="CN104" s="19">
        <f t="shared" si="420"/>
        <v>46171266.875229388</v>
      </c>
      <c r="CO104" s="19">
        <f t="shared" si="420"/>
        <v>47009849.604394726</v>
      </c>
      <c r="CP104" s="19">
        <f t="shared" si="420"/>
        <v>43754955.374986038</v>
      </c>
      <c r="CQ104" s="19">
        <f t="shared" si="420"/>
        <v>48746677.075077116</v>
      </c>
      <c r="CR104" s="19">
        <f t="shared" si="420"/>
        <v>47139117.29782331</v>
      </c>
      <c r="CS104" s="19">
        <f t="shared" si="420"/>
        <v>47271699.547493711</v>
      </c>
      <c r="CT104" s="19">
        <f t="shared" si="420"/>
        <v>60162008.771699682</v>
      </c>
      <c r="CU104" s="19">
        <f t="shared" si="420"/>
        <v>65551477.2208018</v>
      </c>
      <c r="CV104" s="19">
        <f t="shared" si="420"/>
        <v>54858718.784883171</v>
      </c>
      <c r="CW104" s="19">
        <f t="shared" si="420"/>
        <v>60036055.634512797</v>
      </c>
      <c r="CX104" s="168"/>
      <c r="CY104" s="19">
        <f t="shared" si="387"/>
        <v>3546263.5946790939</v>
      </c>
      <c r="CZ104" s="19">
        <f t="shared" si="388"/>
        <v>220467.42183532938</v>
      </c>
      <c r="DA104" s="19">
        <f t="shared" si="389"/>
        <v>24759863.712164853</v>
      </c>
      <c r="DB104" s="19">
        <f t="shared" si="390"/>
        <v>42996791.576905936</v>
      </c>
      <c r="DC104" s="19">
        <f t="shared" si="391"/>
        <v>54252055.27330026</v>
      </c>
      <c r="DD104" s="19">
        <f t="shared" si="392"/>
        <v>56170960.514922485</v>
      </c>
      <c r="DE104" s="19">
        <f t="shared" si="393"/>
        <v>73265414.188070938</v>
      </c>
      <c r="DF104" s="19">
        <f t="shared" si="394"/>
        <v>93850272.1274966</v>
      </c>
      <c r="DG104" s="19">
        <f t="shared" si="395"/>
        <v>89202375.069924504</v>
      </c>
      <c r="DH104" s="19">
        <f t="shared" si="396"/>
        <v>96911317.496513218</v>
      </c>
      <c r="DI104" s="19">
        <f t="shared" si="397"/>
        <v>77971420.498978585</v>
      </c>
      <c r="DJ104" s="19">
        <f t="shared" si="398"/>
        <v>72967893.895395443</v>
      </c>
      <c r="DK104" s="19">
        <f t="shared" si="399"/>
        <v>97867764.894307941</v>
      </c>
      <c r="DL104" s="19">
        <f t="shared" si="400"/>
        <v>98954673.484454259</v>
      </c>
      <c r="DM104" s="19">
        <f t="shared" si="401"/>
        <v>110028468.6271117</v>
      </c>
      <c r="DN104" s="19">
        <f t="shared" si="402"/>
        <v>129051805.96945012</v>
      </c>
      <c r="DO104" s="19">
        <f t="shared" si="403"/>
        <v>115727092.05219342</v>
      </c>
      <c r="DP104" s="19">
        <f t="shared" si="404"/>
        <v>116989142.27906358</v>
      </c>
      <c r="DQ104" s="19">
        <f t="shared" si="405"/>
        <v>129847340.10618879</v>
      </c>
      <c r="DR104" s="19">
        <f t="shared" si="406"/>
        <v>151936048.78544462</v>
      </c>
      <c r="DS104" s="19">
        <f t="shared" si="407"/>
        <v>138033189.97063267</v>
      </c>
      <c r="DT104" s="19">
        <f t="shared" si="408"/>
        <v>139511482.05445787</v>
      </c>
      <c r="DU104" s="19">
        <f t="shared" si="409"/>
        <v>154572825.6170167</v>
      </c>
      <c r="DV104" s="19">
        <f t="shared" si="410"/>
        <v>180446251.64019775</v>
      </c>
      <c r="DX104" s="19">
        <f t="shared" si="411"/>
        <v>71523386.305585206</v>
      </c>
      <c r="DY104" s="19">
        <f t="shared" si="412"/>
        <v>277538702.10379028</v>
      </c>
      <c r="DZ104" s="19">
        <f t="shared" si="413"/>
        <v>337053006.96081173</v>
      </c>
      <c r="EA104" s="19">
        <f t="shared" si="414"/>
        <v>435902712.97532403</v>
      </c>
      <c r="EB104" s="19">
        <f t="shared" si="415"/>
        <v>514499623.22289038</v>
      </c>
      <c r="EC104" s="770">
        <f t="shared" si="416"/>
        <v>612563749.282305</v>
      </c>
    </row>
    <row r="105" spans="2:133" x14ac:dyDescent="0.2">
      <c r="B105" s="22" t="s">
        <v>55</v>
      </c>
      <c r="C105" s="20">
        <f>C102/C30</f>
        <v>1.844508148999972E-2</v>
      </c>
      <c r="D105" s="20">
        <f t="shared" ref="D105:BO105" si="421">D102/D30</f>
        <v>2.5262396298178301E-2</v>
      </c>
      <c r="E105" s="20">
        <f t="shared" si="421"/>
        <v>2.6623801076029387E-2</v>
      </c>
      <c r="F105" s="20">
        <f t="shared" si="421"/>
        <v>-8.4100923629537999E-2</v>
      </c>
      <c r="G105" s="20">
        <f t="shared" si="421"/>
        <v>-1.3572356190568318</v>
      </c>
      <c r="H105" s="20">
        <f t="shared" si="421"/>
        <v>-7.4936810204769097E-2</v>
      </c>
      <c r="I105" s="20">
        <f t="shared" si="421"/>
        <v>-4.3121365798189239E-2</v>
      </c>
      <c r="J105" s="20">
        <f t="shared" si="421"/>
        <v>-4.759311241986864E-2</v>
      </c>
      <c r="K105" s="20">
        <f t="shared" si="421"/>
        <v>-3.798327535113484E-2</v>
      </c>
      <c r="L105" s="20">
        <f t="shared" si="421"/>
        <v>-6.5159054889611726E-2</v>
      </c>
      <c r="M105" s="20">
        <f t="shared" si="421"/>
        <v>5.0116785547982823E-2</v>
      </c>
      <c r="N105" s="20">
        <f t="shared" si="421"/>
        <v>3.9956434784857865E-2</v>
      </c>
      <c r="O105" s="20">
        <f t="shared" si="421"/>
        <v>2.2208178857921035E-2</v>
      </c>
      <c r="P105" s="20">
        <f t="shared" si="421"/>
        <v>4.2915080612430656E-2</v>
      </c>
      <c r="Q105" s="20">
        <f t="shared" si="421"/>
        <v>1.5897797787821667E-2</v>
      </c>
      <c r="R105" s="20">
        <f t="shared" si="421"/>
        <v>-1.2522287536402669E-2</v>
      </c>
      <c r="S105" s="20">
        <f t="shared" si="421"/>
        <v>-1.2625502618580324E-2</v>
      </c>
      <c r="T105" s="20">
        <f t="shared" si="421"/>
        <v>-4.3078845646536612E-3</v>
      </c>
      <c r="U105" s="20">
        <f t="shared" si="421"/>
        <v>-7.7020532921486884E-3</v>
      </c>
      <c r="V105" s="20">
        <f t="shared" si="421"/>
        <v>-3.4717120116419774E-2</v>
      </c>
      <c r="W105" s="20">
        <f t="shared" si="421"/>
        <v>-8.8695113925410574E-2</v>
      </c>
      <c r="X105" s="20">
        <f t="shared" si="421"/>
        <v>-4.9422622673810299E-2</v>
      </c>
      <c r="Y105" s="20">
        <f t="shared" si="421"/>
        <v>-5.4306381518114823E-2</v>
      </c>
      <c r="Z105" s="20">
        <f t="shared" si="421"/>
        <v>-3.3433063650886448E-2</v>
      </c>
      <c r="AA105" s="20">
        <f t="shared" si="421"/>
        <v>-1.3837528863309681E-2</v>
      </c>
      <c r="AB105" s="20">
        <f t="shared" si="421"/>
        <v>-1.4071558001004293E-3</v>
      </c>
      <c r="AC105" s="20">
        <f t="shared" si="421"/>
        <v>7.6964741807023888E-3</v>
      </c>
      <c r="AD105" s="20">
        <f t="shared" si="421"/>
        <v>-1.3711980712117176E-2</v>
      </c>
      <c r="AE105" s="20">
        <f t="shared" si="421"/>
        <v>6.6165660204137288E-3</v>
      </c>
      <c r="AF105" s="20">
        <f t="shared" si="421"/>
        <v>1.8228604314865064E-2</v>
      </c>
      <c r="AG105" s="20">
        <f t="shared" si="421"/>
        <v>-1.1624342335212234E-3</v>
      </c>
      <c r="AH105" s="20">
        <f t="shared" si="421"/>
        <v>8.1328223443234166E-3</v>
      </c>
      <c r="AI105" s="20">
        <f t="shared" si="421"/>
        <v>-1.7950201762641949E-2</v>
      </c>
      <c r="AJ105" s="20">
        <f t="shared" si="421"/>
        <v>9.6366129333504934E-3</v>
      </c>
      <c r="AK105" s="20">
        <f t="shared" si="421"/>
        <v>1.8865201406543831E-2</v>
      </c>
      <c r="AL105" s="20">
        <f t="shared" si="421"/>
        <v>1.7876685969360276E-2</v>
      </c>
      <c r="AM105" s="20">
        <f t="shared" si="421"/>
        <v>2.6522267535658152E-2</v>
      </c>
      <c r="AN105" s="20">
        <f t="shared" si="421"/>
        <v>4.0869675605686641E-2</v>
      </c>
      <c r="AO105" s="20">
        <f t="shared" si="421"/>
        <v>6.0944935074165721E-2</v>
      </c>
      <c r="AP105" s="20">
        <f t="shared" si="421"/>
        <v>4.9914407889332289E-2</v>
      </c>
      <c r="AQ105" s="20">
        <f t="shared" si="421"/>
        <v>5.7495017152568252E-2</v>
      </c>
      <c r="AR105" s="20">
        <f t="shared" si="421"/>
        <v>6.7502620987256137E-2</v>
      </c>
      <c r="AS105" s="20">
        <f t="shared" si="421"/>
        <v>5.9143050092099934E-2</v>
      </c>
      <c r="AT105" s="20">
        <f t="shared" si="421"/>
        <v>5.0906916420523349E-2</v>
      </c>
      <c r="AU105" s="20">
        <f t="shared" si="421"/>
        <v>3.7435367146695937E-2</v>
      </c>
      <c r="AV105" s="20">
        <f t="shared" si="421"/>
        <v>6.4269702084946229E-2</v>
      </c>
      <c r="AW105" s="20">
        <f t="shared" si="421"/>
        <v>6.2517298027224916E-2</v>
      </c>
      <c r="AX105" s="20">
        <f t="shared" si="421"/>
        <v>7.084339089601227E-2</v>
      </c>
      <c r="AY105" s="20">
        <f t="shared" si="421"/>
        <v>6.7742446623299202E-2</v>
      </c>
      <c r="AZ105" s="20">
        <f t="shared" si="421"/>
        <v>6.1518535283190165E-2</v>
      </c>
      <c r="BA105" s="20">
        <f t="shared" si="421"/>
        <v>6.9721588688920283E-2</v>
      </c>
      <c r="BB105" s="20">
        <f t="shared" si="421"/>
        <v>5.7602964830036754E-2</v>
      </c>
      <c r="BC105" s="20">
        <f t="shared" si="421"/>
        <v>5.515133258167057E-2</v>
      </c>
      <c r="BD105" s="20">
        <f t="shared" si="421"/>
        <v>6.053009802150118E-2</v>
      </c>
      <c r="BE105" s="20">
        <f t="shared" si="421"/>
        <v>5.6678052764894807E-2</v>
      </c>
      <c r="BF105" s="20">
        <f t="shared" si="421"/>
        <v>6.0650880831033177E-2</v>
      </c>
      <c r="BG105" s="20">
        <f t="shared" si="421"/>
        <v>4.2929014778429968E-2</v>
      </c>
      <c r="BH105" s="20">
        <f t="shared" si="421"/>
        <v>5.3700783811041791E-2</v>
      </c>
      <c r="BI105" s="20">
        <f t="shared" si="421"/>
        <v>5.8859003386658393E-2</v>
      </c>
      <c r="BJ105" s="20">
        <f t="shared" si="421"/>
        <v>5.8137487048938286E-2</v>
      </c>
      <c r="BK105" s="20">
        <f t="shared" si="421"/>
        <v>5.8400160368438009E-2</v>
      </c>
      <c r="BL105" s="20">
        <f t="shared" si="421"/>
        <v>4.6453962829400008E-2</v>
      </c>
      <c r="BM105" s="20">
        <f t="shared" si="421"/>
        <v>4.1784287503710646E-2</v>
      </c>
      <c r="BN105" s="20">
        <f t="shared" si="421"/>
        <v>5.3201659685670269E-2</v>
      </c>
      <c r="BO105" s="20">
        <f t="shared" si="421"/>
        <v>5.203569733487827E-2</v>
      </c>
      <c r="BP105" s="20">
        <f t="shared" ref="BP105:EC105" si="422">BP102/BP30</f>
        <v>5.183227472040465E-2</v>
      </c>
      <c r="BQ105" s="20">
        <f t="shared" si="422"/>
        <v>5.7160198145653256E-2</v>
      </c>
      <c r="BR105" s="20">
        <f t="shared" si="422"/>
        <v>4.8578406566462007E-2</v>
      </c>
      <c r="BS105" s="20">
        <f t="shared" si="422"/>
        <v>4.5896878137395576E-2</v>
      </c>
      <c r="BT105" s="20">
        <f t="shared" si="422"/>
        <v>5.9212266387157882E-2</v>
      </c>
      <c r="BU105" s="20">
        <f t="shared" si="422"/>
        <v>5.4035888339210379E-2</v>
      </c>
      <c r="BV105" s="20">
        <f t="shared" si="422"/>
        <v>6.7872774437921404E-2</v>
      </c>
      <c r="BW105" s="20">
        <f t="shared" si="422"/>
        <v>7.0263807909766107E-2</v>
      </c>
      <c r="BX105" s="20">
        <f t="shared" si="422"/>
        <v>6.3826056939192119E-2</v>
      </c>
      <c r="BY105" s="20">
        <f t="shared" si="422"/>
        <v>7.3229372971831325E-2</v>
      </c>
      <c r="BZ105" s="20">
        <f t="shared" si="422"/>
        <v>5.9441183035360078E-2</v>
      </c>
      <c r="CA105" s="20">
        <f t="shared" si="422"/>
        <v>5.8460087630779999E-2</v>
      </c>
      <c r="CB105" s="20">
        <f t="shared" si="422"/>
        <v>5.7975596493386759E-2</v>
      </c>
      <c r="CC105" s="20">
        <f t="shared" si="422"/>
        <v>6.2930568476216753E-2</v>
      </c>
      <c r="CD105" s="20">
        <f t="shared" si="422"/>
        <v>5.4861483508153751E-2</v>
      </c>
      <c r="CE105" s="20">
        <f t="shared" si="422"/>
        <v>5.1965873774581131E-2</v>
      </c>
      <c r="CF105" s="20">
        <f t="shared" si="422"/>
        <v>6.4441800380176134E-2</v>
      </c>
      <c r="CG105" s="20">
        <f t="shared" si="422"/>
        <v>5.925855848518758E-2</v>
      </c>
      <c r="CH105" s="20">
        <f t="shared" si="422"/>
        <v>7.1803215098776588E-2</v>
      </c>
      <c r="CI105" s="20">
        <f t="shared" si="422"/>
        <v>7.3752486204318637E-2</v>
      </c>
      <c r="CJ105" s="20">
        <f t="shared" si="422"/>
        <v>6.7646848817631125E-2</v>
      </c>
      <c r="CK105" s="20">
        <f t="shared" si="422"/>
        <v>7.5943008622986433E-2</v>
      </c>
      <c r="CL105" s="20">
        <f t="shared" ref="CL105:CW105" si="423">CL102/CL30</f>
        <v>6.053392664595484E-2</v>
      </c>
      <c r="CM105" s="20">
        <f t="shared" si="423"/>
        <v>5.9559029194712676E-2</v>
      </c>
      <c r="CN105" s="20">
        <f t="shared" si="423"/>
        <v>5.9067324948883851E-2</v>
      </c>
      <c r="CO105" s="20">
        <f t="shared" si="423"/>
        <v>6.3741332249062282E-2</v>
      </c>
      <c r="CP105" s="20">
        <f t="shared" si="423"/>
        <v>5.6013368688608983E-2</v>
      </c>
      <c r="CQ105" s="20">
        <f t="shared" si="423"/>
        <v>5.3262648571959233E-2</v>
      </c>
      <c r="CR105" s="20">
        <f t="shared" si="423"/>
        <v>6.5057769216909589E-2</v>
      </c>
      <c r="CS105" s="20">
        <f t="shared" si="423"/>
        <v>6.0110716773586363E-2</v>
      </c>
      <c r="CT105" s="20">
        <f t="shared" si="423"/>
        <v>7.2092360964500807E-2</v>
      </c>
      <c r="CU105" s="20">
        <f t="shared" si="423"/>
        <v>7.3958299917180906E-2</v>
      </c>
      <c r="CV105" s="20">
        <f t="shared" si="423"/>
        <v>6.8076829313592047E-2</v>
      </c>
      <c r="CW105" s="20">
        <f t="shared" si="423"/>
        <v>7.5974273561272038E-2</v>
      </c>
      <c r="CX105" s="20"/>
      <c r="CY105" s="20">
        <f t="shared" si="422"/>
        <v>4.1358960245067647E-3</v>
      </c>
      <c r="CZ105" s="20">
        <f t="shared" si="422"/>
        <v>-3.7563188698393007E-3</v>
      </c>
      <c r="DA105" s="20">
        <f t="shared" si="422"/>
        <v>1.5007028761188935E-2</v>
      </c>
      <c r="DB105" s="20">
        <f t="shared" si="422"/>
        <v>4.3318099125274567E-2</v>
      </c>
      <c r="DC105" s="20">
        <f t="shared" si="422"/>
        <v>5.8566165169746616E-2</v>
      </c>
      <c r="DD105" s="20">
        <f t="shared" si="422"/>
        <v>4.9802982043408515E-2</v>
      </c>
      <c r="DE105" s="20">
        <f t="shared" si="422"/>
        <v>6.6135740595748865E-2</v>
      </c>
      <c r="DF105" s="20">
        <f t="shared" si="422"/>
        <v>6.6639553581747848E-2</v>
      </c>
      <c r="DG105" s="20">
        <f t="shared" si="422"/>
        <v>5.7772744393304779E-2</v>
      </c>
      <c r="DH105" s="20">
        <f t="shared" si="422"/>
        <v>5.3308749387074396E-2</v>
      </c>
      <c r="DI105" s="20">
        <f t="shared" si="422"/>
        <v>5.6910586627242514E-2</v>
      </c>
      <c r="DJ105" s="20">
        <f t="shared" si="422"/>
        <v>4.88015522248572E-2</v>
      </c>
      <c r="DK105" s="20">
        <f t="shared" si="422"/>
        <v>5.2359866257137289E-2</v>
      </c>
      <c r="DL105" s="20">
        <f t="shared" si="422"/>
        <v>5.0784514109157033E-2</v>
      </c>
      <c r="DM105" s="20">
        <f t="shared" si="422"/>
        <v>6.0846292667132339E-2</v>
      </c>
      <c r="DN105" s="20">
        <f t="shared" si="422"/>
        <v>6.932292874229426E-2</v>
      </c>
      <c r="DO105" s="20">
        <f t="shared" si="422"/>
        <v>5.8629258183300045E-2</v>
      </c>
      <c r="DP105" s="20">
        <f t="shared" si="422"/>
        <v>5.6822859486245228E-2</v>
      </c>
      <c r="DQ105" s="20">
        <f t="shared" si="422"/>
        <v>6.5583746660970402E-2</v>
      </c>
      <c r="DR105" s="20">
        <f t="shared" si="422"/>
        <v>7.263526207351953E-2</v>
      </c>
      <c r="DS105" s="20">
        <f t="shared" si="422"/>
        <v>5.9723867830344564E-2</v>
      </c>
      <c r="DT105" s="20">
        <f t="shared" si="422"/>
        <v>5.7897351685314957E-2</v>
      </c>
      <c r="DU105" s="20">
        <f t="shared" si="422"/>
        <v>6.6151147279232242E-2</v>
      </c>
      <c r="DV105" s="20">
        <f t="shared" si="422"/>
        <v>7.284876407918256E-2</v>
      </c>
      <c r="DW105" s="771"/>
      <c r="DX105" s="20">
        <f t="shared" si="422"/>
        <v>1.4650397894827206E-2</v>
      </c>
      <c r="DY105" s="20">
        <f t="shared" si="422"/>
        <v>6.108399156448821E-2</v>
      </c>
      <c r="DZ105" s="20">
        <f t="shared" si="422"/>
        <v>5.3813341256948331E-2</v>
      </c>
      <c r="EA105" s="20">
        <f t="shared" si="422"/>
        <v>5.908031544469082E-2</v>
      </c>
      <c r="EB105" s="20">
        <f t="shared" si="422"/>
        <v>6.4004351971509055E-2</v>
      </c>
      <c r="EC105" s="20">
        <f t="shared" si="422"/>
        <v>6.4701393334082313E-2</v>
      </c>
    </row>
    <row r="106" spans="2:133" x14ac:dyDescent="0.2">
      <c r="B106" s="22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68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X106" s="19"/>
      <c r="DY106" s="19"/>
      <c r="DZ106" s="19"/>
      <c r="EA106" s="19"/>
      <c r="EB106" s="19"/>
      <c r="EC106" s="770"/>
    </row>
    <row r="107" spans="2:133" x14ac:dyDescent="0.2">
      <c r="B107" s="212" t="s">
        <v>56</v>
      </c>
      <c r="C107" s="199">
        <f>C108+C109</f>
        <v>86695.245296606357</v>
      </c>
      <c r="D107" s="199">
        <f t="shared" ref="D107:BO107" si="424">D108+D109</f>
        <v>70837.879407255998</v>
      </c>
      <c r="E107" s="199">
        <f t="shared" si="424"/>
        <v>168573.09889072456</v>
      </c>
      <c r="F107" s="199">
        <f t="shared" si="424"/>
        <v>60209.734026119921</v>
      </c>
      <c r="G107" s="199">
        <f t="shared" si="424"/>
        <v>2006.3103621730384</v>
      </c>
      <c r="H107" s="199">
        <f t="shared" si="424"/>
        <v>27347.799056945954</v>
      </c>
      <c r="I107" s="199">
        <f t="shared" si="424"/>
        <v>77708.401653868874</v>
      </c>
      <c r="J107" s="199">
        <f t="shared" si="424"/>
        <v>240967.02390998593</v>
      </c>
      <c r="K107" s="199">
        <f t="shared" si="424"/>
        <v>286862.81367395178</v>
      </c>
      <c r="L107" s="199">
        <f t="shared" si="424"/>
        <v>556715.5032757594</v>
      </c>
      <c r="M107" s="199">
        <f t="shared" si="424"/>
        <v>725841.01117507624</v>
      </c>
      <c r="N107" s="199">
        <f t="shared" si="424"/>
        <v>547733.79489841312</v>
      </c>
      <c r="O107" s="199">
        <f t="shared" si="424"/>
        <v>776503.00453808764</v>
      </c>
      <c r="P107" s="199">
        <f t="shared" si="424"/>
        <v>870095.12566163496</v>
      </c>
      <c r="Q107" s="199">
        <f t="shared" si="424"/>
        <v>719906.19161971041</v>
      </c>
      <c r="R107" s="199">
        <f t="shared" si="424"/>
        <v>679856.56081224757</v>
      </c>
      <c r="S107" s="199">
        <f t="shared" si="424"/>
        <v>827732.34751013177</v>
      </c>
      <c r="T107" s="199">
        <f t="shared" si="424"/>
        <v>1291103.5423691687</v>
      </c>
      <c r="U107" s="199">
        <f t="shared" si="424"/>
        <v>3344815.6584359212</v>
      </c>
      <c r="V107" s="199">
        <f t="shared" si="424"/>
        <v>4928604.0396399219</v>
      </c>
      <c r="W107" s="199">
        <f t="shared" si="424"/>
        <v>3346454.2709055487</v>
      </c>
      <c r="X107" s="199">
        <f t="shared" si="424"/>
        <v>3862257.5749145234</v>
      </c>
      <c r="Y107" s="199">
        <f t="shared" si="424"/>
        <v>1418275.8228252886</v>
      </c>
      <c r="Z107" s="199">
        <f t="shared" si="424"/>
        <v>587891.23423558753</v>
      </c>
      <c r="AA107" s="199">
        <f t="shared" si="424"/>
        <v>1346890.5059942929</v>
      </c>
      <c r="AB107" s="199">
        <f t="shared" si="424"/>
        <v>1950425.2504770432</v>
      </c>
      <c r="AC107" s="199">
        <f t="shared" si="424"/>
        <v>3621200.6197417402</v>
      </c>
      <c r="AD107" s="199">
        <f t="shared" si="424"/>
        <v>3858697</v>
      </c>
      <c r="AE107" s="199">
        <f t="shared" si="424"/>
        <v>5295267</v>
      </c>
      <c r="AF107" s="199">
        <f t="shared" si="424"/>
        <v>5368932</v>
      </c>
      <c r="AG107" s="199">
        <f t="shared" si="424"/>
        <v>6488294</v>
      </c>
      <c r="AH107" s="199">
        <f t="shared" si="424"/>
        <v>6465330</v>
      </c>
      <c r="AI107" s="199">
        <f t="shared" si="424"/>
        <v>7027515</v>
      </c>
      <c r="AJ107" s="199">
        <f t="shared" si="424"/>
        <v>12745910</v>
      </c>
      <c r="AK107" s="199">
        <f t="shared" si="424"/>
        <v>10055584</v>
      </c>
      <c r="AL107" s="199">
        <f t="shared" si="424"/>
        <v>7933364</v>
      </c>
      <c r="AM107" s="199">
        <f t="shared" si="424"/>
        <v>7501110</v>
      </c>
      <c r="AN107" s="199">
        <f t="shared" si="424"/>
        <v>6698996</v>
      </c>
      <c r="AO107" s="199">
        <f t="shared" si="424"/>
        <v>9967858</v>
      </c>
      <c r="AP107" s="199">
        <f t="shared" si="424"/>
        <v>8592017</v>
      </c>
      <c r="AQ107" s="199">
        <f t="shared" si="424"/>
        <v>9992560</v>
      </c>
      <c r="AR107" s="199">
        <f t="shared" si="424"/>
        <v>8031862</v>
      </c>
      <c r="AS107" s="199">
        <f t="shared" si="424"/>
        <v>8834028</v>
      </c>
      <c r="AT107" s="199">
        <f t="shared" si="424"/>
        <v>6298726</v>
      </c>
      <c r="AU107" s="199">
        <f t="shared" si="424"/>
        <v>3441300</v>
      </c>
      <c r="AV107" s="199">
        <f t="shared" si="424"/>
        <v>4868965</v>
      </c>
      <c r="AW107" s="199">
        <f t="shared" si="424"/>
        <v>7250147</v>
      </c>
      <c r="AX107" s="199">
        <f t="shared" si="424"/>
        <v>10505819</v>
      </c>
      <c r="AY107" s="199">
        <f t="shared" si="424"/>
        <v>10668875.289999999</v>
      </c>
      <c r="AZ107" s="199">
        <f t="shared" si="424"/>
        <v>10066236</v>
      </c>
      <c r="BA107" s="199">
        <f t="shared" si="424"/>
        <v>8953663</v>
      </c>
      <c r="BB107" s="199">
        <f t="shared" si="424"/>
        <v>8771757</v>
      </c>
      <c r="BC107" s="199">
        <f t="shared" si="424"/>
        <v>8342037</v>
      </c>
      <c r="BD107" s="199">
        <f t="shared" si="424"/>
        <v>9171252</v>
      </c>
      <c r="BE107" s="199">
        <f t="shared" si="424"/>
        <v>9682011</v>
      </c>
      <c r="BF107" s="199">
        <f t="shared" si="424"/>
        <v>9122112</v>
      </c>
      <c r="BG107" s="199">
        <f t="shared" si="424"/>
        <v>6143302</v>
      </c>
      <c r="BH107" s="199">
        <f t="shared" si="424"/>
        <v>5689502</v>
      </c>
      <c r="BI107" s="199">
        <f t="shared" si="424"/>
        <v>7284183</v>
      </c>
      <c r="BJ107" s="199">
        <f t="shared" si="424"/>
        <v>8342376.25</v>
      </c>
      <c r="BK107" s="199">
        <f t="shared" si="424"/>
        <v>8905449</v>
      </c>
      <c r="BL107" s="199">
        <f t="shared" si="424"/>
        <v>8065531</v>
      </c>
      <c r="BM107" s="199">
        <f t="shared" si="424"/>
        <v>9562209</v>
      </c>
      <c r="BN107" s="199">
        <f t="shared" si="424"/>
        <v>9317598.8569989335</v>
      </c>
      <c r="BO107" s="199">
        <f t="shared" si="424"/>
        <v>9292204.8713118732</v>
      </c>
      <c r="BP107" s="199">
        <f t="shared" ref="BP107:CK107" si="425">BP108+BP109</f>
        <v>9289700.3785396367</v>
      </c>
      <c r="BQ107" s="199">
        <f t="shared" si="425"/>
        <v>9389055.4172030296</v>
      </c>
      <c r="BR107" s="199">
        <f t="shared" si="425"/>
        <v>9250715.7645601872</v>
      </c>
      <c r="BS107" s="199">
        <f t="shared" si="425"/>
        <v>9167881.5799783207</v>
      </c>
      <c r="BT107" s="199">
        <f t="shared" si="425"/>
        <v>9839294.9946736787</v>
      </c>
      <c r="BU107" s="199">
        <f t="shared" si="425"/>
        <v>9733024.1567698233</v>
      </c>
      <c r="BV107" s="199">
        <f t="shared" si="425"/>
        <v>9967735.2004024349</v>
      </c>
      <c r="BW107" s="199">
        <f t="shared" si="425"/>
        <v>10003903.927163925</v>
      </c>
      <c r="BX107" s="199">
        <f t="shared" si="425"/>
        <v>9898143.3486000728</v>
      </c>
      <c r="BY107" s="199">
        <f t="shared" si="425"/>
        <v>10127183.794597164</v>
      </c>
      <c r="BZ107" s="199">
        <f t="shared" si="425"/>
        <v>9995577.450832298</v>
      </c>
      <c r="CA107" s="199">
        <f t="shared" si="425"/>
        <v>9968203.2472953927</v>
      </c>
      <c r="CB107" s="199">
        <f t="shared" si="425"/>
        <v>9957487.9431035854</v>
      </c>
      <c r="CC107" s="199">
        <f t="shared" si="425"/>
        <v>10077845.254368715</v>
      </c>
      <c r="CD107" s="199">
        <f t="shared" si="425"/>
        <v>9906133.4260385428</v>
      </c>
      <c r="CE107" s="199">
        <f t="shared" si="425"/>
        <v>9802181.9968106169</v>
      </c>
      <c r="CF107" s="199">
        <f t="shared" si="425"/>
        <v>10545892.556080157</v>
      </c>
      <c r="CG107" s="199">
        <f t="shared" si="425"/>
        <v>10409374.291806256</v>
      </c>
      <c r="CH107" s="199">
        <f t="shared" si="425"/>
        <v>10685989.480818449</v>
      </c>
      <c r="CI107" s="199">
        <f t="shared" si="425"/>
        <v>10721899.724531401</v>
      </c>
      <c r="CJ107" s="199">
        <f t="shared" si="425"/>
        <v>10587214.016237929</v>
      </c>
      <c r="CK107" s="199">
        <f t="shared" si="425"/>
        <v>10838462.352760144</v>
      </c>
      <c r="CL107" s="199">
        <f t="shared" ref="CL107:CW107" si="426">CL108+CL109</f>
        <v>10629516.90731968</v>
      </c>
      <c r="CM107" s="199">
        <f t="shared" si="426"/>
        <v>10596648.437949147</v>
      </c>
      <c r="CN107" s="199">
        <f t="shared" si="426"/>
        <v>10583386.682216208</v>
      </c>
      <c r="CO107" s="199">
        <f t="shared" si="426"/>
        <v>10719703.926913232</v>
      </c>
      <c r="CP107" s="199">
        <f t="shared" si="426"/>
        <v>10522349.932312844</v>
      </c>
      <c r="CQ107" s="199">
        <f t="shared" si="426"/>
        <v>10402108.750899971</v>
      </c>
      <c r="CR107" s="199">
        <f t="shared" si="426"/>
        <v>11210779.713928463</v>
      </c>
      <c r="CS107" s="199">
        <f t="shared" si="426"/>
        <v>11054406.801991034</v>
      </c>
      <c r="CT107" s="199">
        <f t="shared" si="426"/>
        <v>11368582.536324795</v>
      </c>
      <c r="CU107" s="199">
        <f t="shared" si="426"/>
        <v>11408864.915019507</v>
      </c>
      <c r="CV107" s="199">
        <f t="shared" si="426"/>
        <v>11254661.618192421</v>
      </c>
      <c r="CW107" s="199">
        <f t="shared" si="426"/>
        <v>11539641.038667969</v>
      </c>
      <c r="CX107" s="168"/>
      <c r="CY107" s="199">
        <f t="shared" ref="CY107:CY109" si="427">SUM(AD107:AF107)</f>
        <v>14522896</v>
      </c>
      <c r="CZ107" s="199">
        <f t="shared" ref="CZ107:CZ109" si="428">SUM(AG107:AI107)</f>
        <v>19981139</v>
      </c>
      <c r="DA107" s="199">
        <f t="shared" ref="DA107:DA109" si="429">SUM(AJ107:AL107)</f>
        <v>30734858</v>
      </c>
      <c r="DB107" s="199">
        <f t="shared" ref="DB107:DB109" si="430">SUM(AM107:AO107)</f>
        <v>24167964</v>
      </c>
      <c r="DC107" s="199">
        <f t="shared" ref="DC107:DC109" si="431">SUM(AP107:AR107)</f>
        <v>26616439</v>
      </c>
      <c r="DD107" s="199">
        <f t="shared" ref="DD107:DD109" si="432">SUM(AS107:AU107)</f>
        <v>18574054</v>
      </c>
      <c r="DE107" s="199">
        <f t="shared" ref="DE107:DE109" si="433">SUM(AV107:AX107)</f>
        <v>22624931</v>
      </c>
      <c r="DF107" s="199">
        <f t="shared" ref="DF107:DF109" si="434">SUM(AY107:BA107)</f>
        <v>29688774.289999999</v>
      </c>
      <c r="DG107" s="199">
        <f t="shared" ref="DG107:DG109" si="435">SUM(BB107:BD107)</f>
        <v>26285046</v>
      </c>
      <c r="DH107" s="199">
        <f t="shared" ref="DH107:DH109" si="436">SUM(BE107:BG107)</f>
        <v>24947425</v>
      </c>
      <c r="DI107" s="199">
        <f t="shared" ref="DI107:DI109" si="437">SUM(BH107:BJ107)</f>
        <v>21316061.25</v>
      </c>
      <c r="DJ107" s="199">
        <f t="shared" ref="DJ107:DJ109" si="438">SUM(BK107:BM107)</f>
        <v>26533189</v>
      </c>
      <c r="DK107" s="199">
        <f t="shared" ref="DK107:DK109" si="439">SUM(BN107:BP107)</f>
        <v>27899504.106850445</v>
      </c>
      <c r="DL107" s="199">
        <f t="shared" ref="DL107:DL109" si="440">SUM(BQ107:BS107)</f>
        <v>27807652.761741538</v>
      </c>
      <c r="DM107" s="199">
        <f t="shared" ref="DM107:DM109" si="441">SUM(BT107:BV107)</f>
        <v>29540054.351845939</v>
      </c>
      <c r="DN107" s="199">
        <f t="shared" ref="DN107:DN109" si="442">SUM(BW107:BY107)</f>
        <v>30029231.07036116</v>
      </c>
      <c r="DO107" s="199">
        <f t="shared" ref="DO107:DO109" si="443">SUM(BZ107:CB107)</f>
        <v>29921268.641231276</v>
      </c>
      <c r="DP107" s="199">
        <f t="shared" ref="DP107:DP109" si="444">SUM(CC107:CE107)</f>
        <v>29786160.677217871</v>
      </c>
      <c r="DQ107" s="199">
        <f t="shared" ref="DQ107:DQ109" si="445">SUM(CF107:CH107)</f>
        <v>31641256.328704864</v>
      </c>
      <c r="DR107" s="199">
        <f t="shared" ref="DR107:DR109" si="446">SUM(CI107:CK107)</f>
        <v>32147576.093529474</v>
      </c>
      <c r="DS107" s="199">
        <f t="shared" ref="DS107:DS109" si="447">SUM(CL107:CN107)</f>
        <v>31809552.027485035</v>
      </c>
      <c r="DT107" s="199">
        <f t="shared" ref="DT107:DT109" si="448">SUM(CO107:CQ107)</f>
        <v>31644162.610126048</v>
      </c>
      <c r="DU107" s="199">
        <f t="shared" ref="DU107:DU109" si="449">SUM(CR107:CT107)</f>
        <v>33633769.052244291</v>
      </c>
      <c r="DV107" s="199">
        <f t="shared" ref="DV107:DV109" si="450">SUM(CU107:CW107)</f>
        <v>34203167.571879894</v>
      </c>
      <c r="DX107" s="199">
        <f t="shared" ref="DX107:DX109" si="451">SUM(CY107:DB107)</f>
        <v>89406857</v>
      </c>
      <c r="DY107" s="199">
        <f t="shared" ref="DY107:DY109" si="452">SUM(DC107:DF107)</f>
        <v>97504198.289999992</v>
      </c>
      <c r="DZ107" s="199">
        <f t="shared" ref="DZ107:DZ109" si="453">SUM(DG107:DJ107)</f>
        <v>99081721.25</v>
      </c>
      <c r="EA107" s="199">
        <f t="shared" ref="EA107:EA109" si="454">SUM(DK107:DN107)</f>
        <v>115276442.29079908</v>
      </c>
      <c r="EB107" s="199">
        <f t="shared" ref="EB107:EB109" si="455">SUM(DO107:DR107)</f>
        <v>123496261.74068348</v>
      </c>
      <c r="EC107" s="810">
        <f t="shared" ref="EC107:EC109" si="456">SUM(DS107:DV107)</f>
        <v>131290651.26173526</v>
      </c>
    </row>
    <row r="108" spans="2:133" x14ac:dyDescent="0.2">
      <c r="B108" s="155" t="s">
        <v>229</v>
      </c>
      <c r="C108" s="216">
        <f>'D2C - Retail'!J161</f>
        <v>47828.500495094064</v>
      </c>
      <c r="D108" s="216">
        <f>'D2C - Retail'!K161</f>
        <v>39522.187020950434</v>
      </c>
      <c r="E108" s="216">
        <f>'D2C - Retail'!L161</f>
        <v>77873.859806466833</v>
      </c>
      <c r="F108" s="216">
        <f>'D2C - Retail'!M161</f>
        <v>26441.484061227355</v>
      </c>
      <c r="G108" s="216">
        <f>'D2C - Retail'!N161</f>
        <v>0</v>
      </c>
      <c r="H108" s="216">
        <f>'D2C - Retail'!O161</f>
        <v>10399.867247007616</v>
      </c>
      <c r="I108" s="216">
        <f>'D2C - Retail'!P161</f>
        <v>41206.150029533375</v>
      </c>
      <c r="J108" s="216">
        <f>'D2C - Retail'!Q161</f>
        <v>211935.56399437413</v>
      </c>
      <c r="K108" s="216">
        <f>'D2C - Retail'!R161</f>
        <v>215179.84220590585</v>
      </c>
      <c r="L108" s="216">
        <f>'D2C - Retail'!S161</f>
        <v>405525.97379392496</v>
      </c>
      <c r="M108" s="216">
        <f>'D2C - Retail'!T161</f>
        <v>448046.5761937013</v>
      </c>
      <c r="N108" s="216">
        <f>'D2C - Retail'!U161</f>
        <v>341329.13411439024</v>
      </c>
      <c r="O108" s="216">
        <f>'D2C - Retail'!V161</f>
        <v>472256.37091919431</v>
      </c>
      <c r="P108" s="216">
        <f>'D2C - Retail'!W161</f>
        <v>584214.93903156242</v>
      </c>
      <c r="Q108" s="216">
        <f>'D2C - Retail'!X161</f>
        <v>586837.14170048281</v>
      </c>
      <c r="R108" s="216">
        <f>'D2C - Retail'!Y161</f>
        <v>531288.9130342335</v>
      </c>
      <c r="S108" s="216">
        <f>'D2C - Retail'!Z161</f>
        <v>750597</v>
      </c>
      <c r="T108" s="216">
        <f>'D2C - Retail'!AA161</f>
        <v>1088971.9486847478</v>
      </c>
      <c r="U108" s="216">
        <f>'D2C - Retail'!AB161</f>
        <v>2723535.6805717899</v>
      </c>
      <c r="V108" s="216">
        <f>'D2C - Retail'!AC161</f>
        <v>4317268.9406789113</v>
      </c>
      <c r="W108" s="216">
        <f>'D2C - Retail'!AD161</f>
        <v>3002268.1213020701</v>
      </c>
      <c r="X108" s="216">
        <f>'D2C - Retail'!AE161</f>
        <v>2904116.0428485167</v>
      </c>
      <c r="Y108" s="216">
        <f>'D2C - Retail'!AF161</f>
        <v>999261.18623588956</v>
      </c>
      <c r="Z108" s="216">
        <f>'D2C - Retail'!AG161</f>
        <v>419917.12626221951</v>
      </c>
      <c r="AA108" s="216">
        <f>'D2C - Retail'!AH161</f>
        <v>1020779.6924305564</v>
      </c>
      <c r="AB108" s="216">
        <f>'D2C - Retail'!AI161</f>
        <v>1274197.6848224055</v>
      </c>
      <c r="AC108" s="216">
        <f>'D2C - Retail'!AJ161</f>
        <v>728169.38350239431</v>
      </c>
      <c r="AD108" s="216">
        <f>'D2C - Retail'!AK161</f>
        <v>0</v>
      </c>
      <c r="AE108" s="216">
        <f>'D2C - Retail'!AL161</f>
        <v>0</v>
      </c>
      <c r="AF108" s="216">
        <f>'D2C - Retail'!AM161</f>
        <v>180000</v>
      </c>
      <c r="AG108" s="216">
        <f>'D2C - Retail'!AN161</f>
        <v>582854</v>
      </c>
      <c r="AH108" s="216">
        <f>'D2C - Retail'!AO161</f>
        <v>247040</v>
      </c>
      <c r="AI108" s="216">
        <f>'D2C - Retail'!AP161</f>
        <v>0</v>
      </c>
      <c r="AJ108" s="216">
        <f>'D2C - Retail'!AQ161</f>
        <v>0</v>
      </c>
      <c r="AK108" s="216">
        <f>'D2C - Retail'!AR161</f>
        <v>342323</v>
      </c>
      <c r="AL108" s="216">
        <f>'D2C - Retail'!AS161</f>
        <v>314374</v>
      </c>
      <c r="AM108" s="216">
        <f>'D2C - Retail'!AT161</f>
        <v>198210</v>
      </c>
      <c r="AN108" s="216">
        <f>'D2C - Retail'!AU161</f>
        <v>0</v>
      </c>
      <c r="AO108" s="216">
        <f>'D2C - Retail'!AV161</f>
        <v>165544</v>
      </c>
      <c r="AP108" s="216">
        <f>'D2C - Retail'!AW161</f>
        <v>0</v>
      </c>
      <c r="AQ108" s="216">
        <f>'D2C - Retail'!AX161</f>
        <v>0</v>
      </c>
      <c r="AR108" s="216">
        <f>'D2C - Retail'!AY161</f>
        <v>248712</v>
      </c>
      <c r="AS108" s="216">
        <f>'D2C - Retail'!AZ161</f>
        <v>233828</v>
      </c>
      <c r="AT108" s="216">
        <f>'D2C - Retail'!BA161</f>
        <v>176926</v>
      </c>
      <c r="AU108" s="216">
        <f>'D2C - Retail'!BB161</f>
        <v>13000</v>
      </c>
      <c r="AV108" s="216">
        <f>'D2C - Retail'!BC161</f>
        <v>0</v>
      </c>
      <c r="AW108" s="216">
        <f>'D2C - Retail'!BD161</f>
        <v>0</v>
      </c>
      <c r="AX108" s="216">
        <f>'D2C - Retail'!BE161</f>
        <v>0</v>
      </c>
      <c r="AY108" s="216">
        <f>'D2C - Retail'!BF161</f>
        <v>0</v>
      </c>
      <c r="AZ108" s="216">
        <f>'D2C - Retail'!BG161</f>
        <v>0</v>
      </c>
      <c r="BA108" s="216">
        <f>'D2C - Retail'!BH161</f>
        <v>0</v>
      </c>
      <c r="BB108" s="216">
        <f>'D2C - Retail'!BI161</f>
        <v>0</v>
      </c>
      <c r="BC108" s="216">
        <f>'D2C - Retail'!BJ161</f>
        <v>0</v>
      </c>
      <c r="BD108" s="216">
        <f>'D2C - Retail'!BK161</f>
        <v>0</v>
      </c>
      <c r="BE108" s="216">
        <f>'D2C - Retail'!BL161</f>
        <v>0</v>
      </c>
      <c r="BF108" s="216">
        <f>'D2C - Retail'!BM161</f>
        <v>0</v>
      </c>
      <c r="BG108" s="216">
        <f>'D2C - Retail'!BN161</f>
        <v>0</v>
      </c>
      <c r="BH108" s="216">
        <f>'D2C - Retail'!BO161</f>
        <v>0</v>
      </c>
      <c r="BI108" s="216">
        <f>'D2C - Retail'!BP161</f>
        <v>505000</v>
      </c>
      <c r="BJ108" s="216">
        <f>'D2C - Retail'!BQ161</f>
        <v>816500</v>
      </c>
      <c r="BK108" s="216">
        <f>'D2C - Retail'!BR161</f>
        <v>957536</v>
      </c>
      <c r="BL108" s="216">
        <f>'D2C - Retail'!BS161</f>
        <v>927000</v>
      </c>
      <c r="BM108" s="216">
        <f>'D2C - Retail'!BT161</f>
        <v>1471500</v>
      </c>
      <c r="BN108" s="216">
        <f>'D2C - Retail'!BU161</f>
        <v>1226889.8569989335</v>
      </c>
      <c r="BO108" s="216">
        <f>'D2C - Retail'!BV161</f>
        <v>1201495.8713118734</v>
      </c>
      <c r="BP108" s="216">
        <f>'D2C - Retail'!BW161</f>
        <v>1198991.3785396363</v>
      </c>
      <c r="BQ108" s="216">
        <f>'D2C - Retail'!BX161</f>
        <v>1298346.4172030289</v>
      </c>
      <c r="BR108" s="216">
        <f>'D2C - Retail'!BY161</f>
        <v>1160006.764560187</v>
      </c>
      <c r="BS108" s="216">
        <f>'D2C - Retail'!BZ161</f>
        <v>1077172.5799783214</v>
      </c>
      <c r="BT108" s="216">
        <f>'D2C - Retail'!CA161</f>
        <v>1344050.5446736782</v>
      </c>
      <c r="BU108" s="216">
        <f>'D2C - Retail'!CB161</f>
        <v>1237779.7067698226</v>
      </c>
      <c r="BV108" s="216">
        <f>'D2C - Retail'!CC161</f>
        <v>1472490.7504024331</v>
      </c>
      <c r="BW108" s="216">
        <f>'D2C - Retail'!CD161</f>
        <v>1508659.4771639239</v>
      </c>
      <c r="BX108" s="216">
        <f>'D2C - Retail'!CE161</f>
        <v>1402898.8986000719</v>
      </c>
      <c r="BY108" s="216">
        <f>'D2C - Retail'!CF161</f>
        <v>1631939.3445971631</v>
      </c>
      <c r="BZ108" s="216">
        <f>'D2C - Retail'!CG161</f>
        <v>1500333.0008322971</v>
      </c>
      <c r="CA108" s="216">
        <f>'D2C - Retail'!CH161</f>
        <v>1472958.7972953918</v>
      </c>
      <c r="CB108" s="216">
        <f>'D2C - Retail'!CI161</f>
        <v>1462243.4931035852</v>
      </c>
      <c r="CC108" s="216">
        <f>'D2C - Retail'!CJ161</f>
        <v>1582600.8043687134</v>
      </c>
      <c r="CD108" s="216">
        <f>'D2C - Retail'!CK161</f>
        <v>1410888.9760385423</v>
      </c>
      <c r="CE108" s="216">
        <f>'D2C - Retail'!CL161</f>
        <v>1306937.5468106153</v>
      </c>
      <c r="CF108" s="216">
        <f>'D2C - Retail'!CM161</f>
        <v>1625885.8835801564</v>
      </c>
      <c r="CG108" s="216">
        <f>'D2C - Retail'!CN161</f>
        <v>1489367.6193062547</v>
      </c>
      <c r="CH108" s="216">
        <f>'D2C - Retail'!CO161</f>
        <v>1765982.8083184469</v>
      </c>
      <c r="CI108" s="216">
        <f>'D2C - Retail'!CP161</f>
        <v>1801893.0520314004</v>
      </c>
      <c r="CJ108" s="216">
        <f>'D2C - Retail'!CQ161</f>
        <v>1667207.3437379277</v>
      </c>
      <c r="CK108" s="216">
        <f>'D2C - Retail'!CR161</f>
        <v>1918455.6802601432</v>
      </c>
      <c r="CL108" s="216">
        <f>'D2C - Retail'!CS161</f>
        <v>1709510.2348196788</v>
      </c>
      <c r="CM108" s="216">
        <f>'D2C - Retail'!CT161</f>
        <v>1676641.7654491449</v>
      </c>
      <c r="CN108" s="216">
        <f>'D2C - Retail'!CU161</f>
        <v>1663380.0097162067</v>
      </c>
      <c r="CO108" s="216">
        <f>'D2C - Retail'!CV161</f>
        <v>1799697.2544132294</v>
      </c>
      <c r="CP108" s="216">
        <f>'D2C - Retail'!CW161</f>
        <v>1602343.2598128433</v>
      </c>
      <c r="CQ108" s="216">
        <f>'D2C - Retail'!CX161</f>
        <v>1482102.0783999688</v>
      </c>
      <c r="CR108" s="216">
        <f>'D2C - Retail'!CY161</f>
        <v>1844772.7078034615</v>
      </c>
      <c r="CS108" s="216">
        <f>'D2C - Retail'!CZ161</f>
        <v>1688399.7958660338</v>
      </c>
      <c r="CT108" s="216">
        <f>'D2C - Retail'!DA161</f>
        <v>2002575.5301997934</v>
      </c>
      <c r="CU108" s="216">
        <f>'D2C - Retail'!DB161</f>
        <v>2042857.9088945061</v>
      </c>
      <c r="CV108" s="216">
        <f>'D2C - Retail'!DC161</f>
        <v>1888654.6120674203</v>
      </c>
      <c r="CW108" s="216">
        <f>'D2C - Retail'!DD161</f>
        <v>2173634.0325429691</v>
      </c>
      <c r="CX108" s="168"/>
      <c r="CY108" s="216">
        <f t="shared" si="427"/>
        <v>180000</v>
      </c>
      <c r="CZ108" s="216">
        <f t="shared" si="428"/>
        <v>829894</v>
      </c>
      <c r="DA108" s="216">
        <f t="shared" si="429"/>
        <v>656697</v>
      </c>
      <c r="DB108" s="216">
        <f t="shared" si="430"/>
        <v>363754</v>
      </c>
      <c r="DC108" s="216">
        <f t="shared" si="431"/>
        <v>248712</v>
      </c>
      <c r="DD108" s="216">
        <f t="shared" si="432"/>
        <v>423754</v>
      </c>
      <c r="DE108" s="216">
        <f t="shared" si="433"/>
        <v>0</v>
      </c>
      <c r="DF108" s="216">
        <f t="shared" si="434"/>
        <v>0</v>
      </c>
      <c r="DG108" s="216">
        <f t="shared" si="435"/>
        <v>0</v>
      </c>
      <c r="DH108" s="216">
        <f t="shared" si="436"/>
        <v>0</v>
      </c>
      <c r="DI108" s="216">
        <f t="shared" si="437"/>
        <v>1321500</v>
      </c>
      <c r="DJ108" s="216">
        <f t="shared" si="438"/>
        <v>3356036</v>
      </c>
      <c r="DK108" s="216">
        <f t="shared" si="439"/>
        <v>3627377.1068504429</v>
      </c>
      <c r="DL108" s="216">
        <f t="shared" si="440"/>
        <v>3535525.7617415376</v>
      </c>
      <c r="DM108" s="216">
        <f t="shared" si="441"/>
        <v>4054321.0018459335</v>
      </c>
      <c r="DN108" s="216">
        <f t="shared" si="442"/>
        <v>4543497.7203611583</v>
      </c>
      <c r="DO108" s="216">
        <f t="shared" si="443"/>
        <v>4435535.2912312746</v>
      </c>
      <c r="DP108" s="216">
        <f t="shared" si="444"/>
        <v>4300427.3272178713</v>
      </c>
      <c r="DQ108" s="216">
        <f t="shared" si="445"/>
        <v>4881236.3112048581</v>
      </c>
      <c r="DR108" s="216">
        <f t="shared" si="446"/>
        <v>5387556.0760294711</v>
      </c>
      <c r="DS108" s="216">
        <f t="shared" si="447"/>
        <v>5049532.0099850297</v>
      </c>
      <c r="DT108" s="216">
        <f t="shared" si="448"/>
        <v>4884142.5926260408</v>
      </c>
      <c r="DU108" s="216">
        <f t="shared" si="449"/>
        <v>5535748.0338692889</v>
      </c>
      <c r="DV108" s="216">
        <f t="shared" si="450"/>
        <v>6105146.5535048954</v>
      </c>
      <c r="DX108" s="216">
        <f t="shared" si="451"/>
        <v>2030345</v>
      </c>
      <c r="DY108" s="216">
        <f t="shared" si="452"/>
        <v>672466</v>
      </c>
      <c r="DZ108" s="216">
        <f t="shared" si="453"/>
        <v>4677536</v>
      </c>
      <c r="EA108" s="216">
        <f t="shared" si="454"/>
        <v>15760721.590799073</v>
      </c>
      <c r="EB108" s="216">
        <f t="shared" si="455"/>
        <v>19004755.005683474</v>
      </c>
      <c r="EC108" s="770">
        <f t="shared" si="456"/>
        <v>21574569.189985253</v>
      </c>
    </row>
    <row r="109" spans="2:133" x14ac:dyDescent="0.2">
      <c r="B109" s="155" t="s">
        <v>237</v>
      </c>
      <c r="C109" s="216">
        <f>'D2C Online'!AA147</f>
        <v>38866.744801512286</v>
      </c>
      <c r="D109" s="216">
        <f>'D2C Online'!AB147</f>
        <v>31315.692386305567</v>
      </c>
      <c r="E109" s="216">
        <f>'D2C Online'!AC147</f>
        <v>90699.23908425773</v>
      </c>
      <c r="F109" s="216">
        <f>'D2C Online'!AD147</f>
        <v>33768.249964892566</v>
      </c>
      <c r="G109" s="216">
        <f>'D2C Online'!AE147</f>
        <v>2006.3103621730384</v>
      </c>
      <c r="H109" s="216">
        <f>'D2C Online'!AF147</f>
        <v>16947.931809938338</v>
      </c>
      <c r="I109" s="216">
        <f>'D2C Online'!AG147</f>
        <v>36502.251624335498</v>
      </c>
      <c r="J109" s="216">
        <f>'D2C Online'!AH147</f>
        <v>29031.459915611813</v>
      </c>
      <c r="K109" s="216">
        <f>'D2C Online'!AI147</f>
        <v>71682.971468045915</v>
      </c>
      <c r="L109" s="216">
        <f>'D2C Online'!AJ147</f>
        <v>151189.52948183441</v>
      </c>
      <c r="M109" s="216">
        <f>'D2C Online'!AK147</f>
        <v>277794.43498137488</v>
      </c>
      <c r="N109" s="216">
        <f>'D2C Online'!AL147</f>
        <v>206404.66078402294</v>
      </c>
      <c r="O109" s="216">
        <f>'D2C Online'!AM147</f>
        <v>304246.63361889328</v>
      </c>
      <c r="P109" s="216">
        <f>'D2C Online'!AN147</f>
        <v>285880.18663007254</v>
      </c>
      <c r="Q109" s="216">
        <f>'D2C Online'!AO147</f>
        <v>133069.04991922757</v>
      </c>
      <c r="R109" s="216">
        <f>'D2C Online'!AP147</f>
        <v>148567.64777801404</v>
      </c>
      <c r="S109" s="216">
        <f>'D2C Online'!AQ147</f>
        <v>77135.347510131818</v>
      </c>
      <c r="T109" s="216">
        <f>'D2C Online'!AR147</f>
        <v>202131.59368442092</v>
      </c>
      <c r="U109" s="216">
        <f>'D2C Online'!AS147</f>
        <v>621279.97786413156</v>
      </c>
      <c r="V109" s="216">
        <f>'D2C Online'!AT147</f>
        <v>611335.09896101081</v>
      </c>
      <c r="W109" s="216">
        <f>'D2C Online'!AU147</f>
        <v>344186.14960347855</v>
      </c>
      <c r="X109" s="216">
        <f>'D2C Online'!AV147</f>
        <v>958141.53206600668</v>
      </c>
      <c r="Y109" s="216">
        <f>'D2C Online'!AW147</f>
        <v>419014.63658939913</v>
      </c>
      <c r="Z109" s="216">
        <f>'D2C Online'!AX147</f>
        <v>167974.10797336797</v>
      </c>
      <c r="AA109" s="216">
        <f>'D2C Online'!AY147</f>
        <v>326110.81356373656</v>
      </c>
      <c r="AB109" s="216">
        <f>'D2C Online'!AZ147</f>
        <v>676227.56565463776</v>
      </c>
      <c r="AC109" s="216">
        <f>'D2C Online'!BA147</f>
        <v>2893031.2362393457</v>
      </c>
      <c r="AD109" s="216">
        <f>'D2C Online'!BB147</f>
        <v>3858697</v>
      </c>
      <c r="AE109" s="216">
        <f>'D2C Online'!BC147</f>
        <v>5295267</v>
      </c>
      <c r="AF109" s="216">
        <f>'D2C Online'!BD147</f>
        <v>5188932</v>
      </c>
      <c r="AG109" s="216">
        <f>'D2C Online'!BE147</f>
        <v>5905440</v>
      </c>
      <c r="AH109" s="216">
        <f>'D2C Online'!BF147</f>
        <v>6218290</v>
      </c>
      <c r="AI109" s="216">
        <f>'D2C Online'!BG147</f>
        <v>7027515</v>
      </c>
      <c r="AJ109" s="216">
        <f>'D2C Online'!BH147</f>
        <v>12745910</v>
      </c>
      <c r="AK109" s="216">
        <f>'D2C Online'!BI147</f>
        <v>9713261</v>
      </c>
      <c r="AL109" s="216">
        <f>'D2C Online'!BJ147</f>
        <v>7618990</v>
      </c>
      <c r="AM109" s="216">
        <f>'D2C Online'!BK147</f>
        <v>7302900</v>
      </c>
      <c r="AN109" s="216">
        <f>'D2C Online'!BL147</f>
        <v>6698996</v>
      </c>
      <c r="AO109" s="216">
        <f>'D2C Online'!BM147</f>
        <v>9802314</v>
      </c>
      <c r="AP109" s="216">
        <f>'D2C Online'!BN147</f>
        <v>8592017</v>
      </c>
      <c r="AQ109" s="216">
        <f>'D2C Online'!BO147</f>
        <v>9992560</v>
      </c>
      <c r="AR109" s="216">
        <f>'D2C Online'!BP147</f>
        <v>7783150</v>
      </c>
      <c r="AS109" s="216">
        <f>'D2C Online'!BQ147</f>
        <v>8600200</v>
      </c>
      <c r="AT109" s="216">
        <f>'D2C Online'!BR147</f>
        <v>6121800</v>
      </c>
      <c r="AU109" s="216">
        <f>'D2C Online'!BS147</f>
        <v>3428300</v>
      </c>
      <c r="AV109" s="216">
        <f>'D2C Online'!BT147</f>
        <v>4868965</v>
      </c>
      <c r="AW109" s="216">
        <f>'D2C Online'!BU147</f>
        <v>7250147</v>
      </c>
      <c r="AX109" s="216">
        <f>'D2C Online'!BV147</f>
        <v>10505819</v>
      </c>
      <c r="AY109" s="216">
        <f>'D2C Online'!BW147</f>
        <v>10668875.289999999</v>
      </c>
      <c r="AZ109" s="216">
        <f>'D2C Online'!BX147</f>
        <v>10066236</v>
      </c>
      <c r="BA109" s="216">
        <f>'D2C Online'!BY147</f>
        <v>8953663</v>
      </c>
      <c r="BB109" s="216">
        <f>'D2C Online'!BZ147</f>
        <v>8771757</v>
      </c>
      <c r="BC109" s="216">
        <f>'D2C Online'!CA147</f>
        <v>8342037</v>
      </c>
      <c r="BD109" s="216">
        <f>'D2C Online'!CB147</f>
        <v>9171252</v>
      </c>
      <c r="BE109" s="216">
        <f>'D2C Online'!CC147</f>
        <v>9682011</v>
      </c>
      <c r="BF109" s="216">
        <f>'D2C Online'!CD147</f>
        <v>9122112</v>
      </c>
      <c r="BG109" s="216">
        <f>'D2C Online'!CE147</f>
        <v>6143302</v>
      </c>
      <c r="BH109" s="216">
        <f>'D2C Online'!CF147</f>
        <v>5689502</v>
      </c>
      <c r="BI109" s="216">
        <f>'D2C Online'!CG147</f>
        <v>6779183</v>
      </c>
      <c r="BJ109" s="216">
        <f>'D2C Online'!CH147</f>
        <v>7525876.25</v>
      </c>
      <c r="BK109" s="216">
        <f>'D2C Online'!CI147</f>
        <v>7947913</v>
      </c>
      <c r="BL109" s="216">
        <f>'D2C Online'!CJ147</f>
        <v>7138531</v>
      </c>
      <c r="BM109" s="216">
        <f>'D2C Online'!CK147</f>
        <v>8090709</v>
      </c>
      <c r="BN109" s="216">
        <f>'D2C Online'!CL147</f>
        <v>8090709</v>
      </c>
      <c r="BO109" s="216">
        <f>'D2C Online'!CM147</f>
        <v>8090709</v>
      </c>
      <c r="BP109" s="216">
        <f>'D2C Online'!CN147</f>
        <v>8090709</v>
      </c>
      <c r="BQ109" s="216">
        <f>'D2C Online'!CO147</f>
        <v>8090709</v>
      </c>
      <c r="BR109" s="216">
        <f>'D2C Online'!CP147</f>
        <v>8090709</v>
      </c>
      <c r="BS109" s="216">
        <f>'D2C Online'!CQ147</f>
        <v>8090709</v>
      </c>
      <c r="BT109" s="216">
        <f>'D2C Online'!CR147</f>
        <v>8495244.4500000011</v>
      </c>
      <c r="BU109" s="216">
        <f>'D2C Online'!CS147</f>
        <v>8495244.4500000011</v>
      </c>
      <c r="BV109" s="216">
        <f>'D2C Online'!CT147</f>
        <v>8495244.4500000011</v>
      </c>
      <c r="BW109" s="216">
        <f>'D2C Online'!CU147</f>
        <v>8495244.4500000011</v>
      </c>
      <c r="BX109" s="216">
        <f>'D2C Online'!CV147</f>
        <v>8495244.4500000011</v>
      </c>
      <c r="BY109" s="216">
        <f>'D2C Online'!CW147</f>
        <v>8495244.4500000011</v>
      </c>
      <c r="BZ109" s="216">
        <f>'D2C Online'!CX147</f>
        <v>8495244.4500000011</v>
      </c>
      <c r="CA109" s="216">
        <f>'D2C Online'!CY147</f>
        <v>8495244.4500000011</v>
      </c>
      <c r="CB109" s="216">
        <f>'D2C Online'!CZ147</f>
        <v>8495244.4500000011</v>
      </c>
      <c r="CC109" s="216">
        <f>'D2C Online'!DA147</f>
        <v>8495244.4500000011</v>
      </c>
      <c r="CD109" s="216">
        <f>'D2C Online'!DB147</f>
        <v>8495244.4500000011</v>
      </c>
      <c r="CE109" s="216">
        <f>'D2C Online'!DC147</f>
        <v>8495244.4500000011</v>
      </c>
      <c r="CF109" s="216">
        <f>'D2C Online'!DD147</f>
        <v>8920006.6725000013</v>
      </c>
      <c r="CG109" s="216">
        <f>'D2C Online'!DE147</f>
        <v>8920006.6725000013</v>
      </c>
      <c r="CH109" s="216">
        <f>'D2C Online'!DF147</f>
        <v>8920006.6725000013</v>
      </c>
      <c r="CI109" s="216">
        <f>'D2C Online'!DG147</f>
        <v>8920006.6725000013</v>
      </c>
      <c r="CJ109" s="216">
        <f>'D2C Online'!DH147</f>
        <v>8920006.6725000013</v>
      </c>
      <c r="CK109" s="216">
        <f>'D2C Online'!DI147</f>
        <v>8920006.6725000013</v>
      </c>
      <c r="CL109" s="216">
        <f>'D2C Online'!DJ147</f>
        <v>8920006.6725000013</v>
      </c>
      <c r="CM109" s="216">
        <f>'D2C Online'!DK147</f>
        <v>8920006.6725000013</v>
      </c>
      <c r="CN109" s="216">
        <f>'D2C Online'!DL147</f>
        <v>8920006.6725000013</v>
      </c>
      <c r="CO109" s="216">
        <f>'D2C Online'!DM147</f>
        <v>8920006.6725000013</v>
      </c>
      <c r="CP109" s="216">
        <f>'D2C Online'!DN147</f>
        <v>8920006.6725000013</v>
      </c>
      <c r="CQ109" s="216">
        <f>'D2C Online'!DO147</f>
        <v>8920006.6725000013</v>
      </c>
      <c r="CR109" s="216">
        <f>'D2C Online'!DP147</f>
        <v>9366007.0061250012</v>
      </c>
      <c r="CS109" s="216">
        <f>'D2C Online'!DQ147</f>
        <v>9366007.0061250012</v>
      </c>
      <c r="CT109" s="216">
        <f>'D2C Online'!DR147</f>
        <v>9366007.0061250012</v>
      </c>
      <c r="CU109" s="216">
        <f>'D2C Online'!DS147</f>
        <v>9366007.0061250012</v>
      </c>
      <c r="CV109" s="216">
        <f>'D2C Online'!DT147</f>
        <v>9366007.0061250012</v>
      </c>
      <c r="CW109" s="216">
        <f>'D2C Online'!DU147</f>
        <v>9366007.0061250012</v>
      </c>
      <c r="CX109" s="168"/>
      <c r="CY109" s="216">
        <f t="shared" si="427"/>
        <v>14342896</v>
      </c>
      <c r="CZ109" s="216">
        <f t="shared" si="428"/>
        <v>19151245</v>
      </c>
      <c r="DA109" s="216">
        <f t="shared" si="429"/>
        <v>30078161</v>
      </c>
      <c r="DB109" s="216">
        <f t="shared" si="430"/>
        <v>23804210</v>
      </c>
      <c r="DC109" s="216">
        <f t="shared" si="431"/>
        <v>26367727</v>
      </c>
      <c r="DD109" s="216">
        <f t="shared" si="432"/>
        <v>18150300</v>
      </c>
      <c r="DE109" s="216">
        <f t="shared" si="433"/>
        <v>22624931</v>
      </c>
      <c r="DF109" s="216">
        <f t="shared" si="434"/>
        <v>29688774.289999999</v>
      </c>
      <c r="DG109" s="216">
        <f t="shared" si="435"/>
        <v>26285046</v>
      </c>
      <c r="DH109" s="216">
        <f t="shared" si="436"/>
        <v>24947425</v>
      </c>
      <c r="DI109" s="216">
        <f t="shared" si="437"/>
        <v>19994561.25</v>
      </c>
      <c r="DJ109" s="216">
        <f t="shared" si="438"/>
        <v>23177153</v>
      </c>
      <c r="DK109" s="216">
        <f t="shared" si="439"/>
        <v>24272127</v>
      </c>
      <c r="DL109" s="216">
        <f t="shared" si="440"/>
        <v>24272127</v>
      </c>
      <c r="DM109" s="216">
        <f t="shared" si="441"/>
        <v>25485733.350000001</v>
      </c>
      <c r="DN109" s="216">
        <f t="shared" si="442"/>
        <v>25485733.350000001</v>
      </c>
      <c r="DO109" s="216">
        <f t="shared" si="443"/>
        <v>25485733.350000001</v>
      </c>
      <c r="DP109" s="216">
        <f t="shared" si="444"/>
        <v>25485733.350000001</v>
      </c>
      <c r="DQ109" s="216">
        <f t="shared" si="445"/>
        <v>26760020.017500006</v>
      </c>
      <c r="DR109" s="216">
        <f t="shared" si="446"/>
        <v>26760020.017500006</v>
      </c>
      <c r="DS109" s="216">
        <f t="shared" si="447"/>
        <v>26760020.017500006</v>
      </c>
      <c r="DT109" s="216">
        <f t="shared" si="448"/>
        <v>26760020.017500006</v>
      </c>
      <c r="DU109" s="216">
        <f t="shared" si="449"/>
        <v>28098021.018375002</v>
      </c>
      <c r="DV109" s="216">
        <f t="shared" si="450"/>
        <v>28098021.018375002</v>
      </c>
      <c r="DX109" s="216">
        <f t="shared" si="451"/>
        <v>87376512</v>
      </c>
      <c r="DY109" s="216">
        <f t="shared" si="452"/>
        <v>96831732.289999992</v>
      </c>
      <c r="DZ109" s="216">
        <f t="shared" si="453"/>
        <v>94404185.25</v>
      </c>
      <c r="EA109" s="216">
        <f t="shared" si="454"/>
        <v>99515720.699999988</v>
      </c>
      <c r="EB109" s="216">
        <f t="shared" si="455"/>
        <v>104491506.73500001</v>
      </c>
      <c r="EC109" s="770">
        <f t="shared" si="456"/>
        <v>109716082.07175002</v>
      </c>
    </row>
    <row r="110" spans="2:133" x14ac:dyDescent="0.2">
      <c r="B110" s="22" t="s">
        <v>57</v>
      </c>
      <c r="C110" s="171">
        <f>C107/C30</f>
        <v>2.1007295735937853E-3</v>
      </c>
      <c r="D110" s="171">
        <f t="shared" ref="D110:BO110" si="457">D107/D30</f>
        <v>1.8071882991630014E-3</v>
      </c>
      <c r="E110" s="171">
        <f t="shared" si="457"/>
        <v>3.7715408194434123E-3</v>
      </c>
      <c r="F110" s="171">
        <f t="shared" si="457"/>
        <v>2.3203270142428734E-3</v>
      </c>
      <c r="G110" s="171">
        <f t="shared" si="457"/>
        <v>5.0138752844685393E-4</v>
      </c>
      <c r="H110" s="171">
        <f t="shared" si="457"/>
        <v>1.4352477891188241E-3</v>
      </c>
      <c r="I110" s="171">
        <f t="shared" si="457"/>
        <v>2.9009995827314551E-3</v>
      </c>
      <c r="J110" s="171">
        <f t="shared" si="457"/>
        <v>7.1058982264651906E-3</v>
      </c>
      <c r="K110" s="171">
        <f t="shared" si="457"/>
        <v>6.2817761579164778E-3</v>
      </c>
      <c r="L110" s="171">
        <f t="shared" si="457"/>
        <v>1.0503379270842697E-2</v>
      </c>
      <c r="M110" s="171">
        <f t="shared" si="457"/>
        <v>8.5555898967212465E-3</v>
      </c>
      <c r="N110" s="171">
        <f t="shared" si="457"/>
        <v>5.5062373098533112E-3</v>
      </c>
      <c r="O110" s="171">
        <f t="shared" si="457"/>
        <v>7.3371318547794133E-3</v>
      </c>
      <c r="P110" s="171">
        <f t="shared" si="457"/>
        <v>7.5734777720707063E-3</v>
      </c>
      <c r="Q110" s="171">
        <f t="shared" si="457"/>
        <v>5.9327306889074031E-3</v>
      </c>
      <c r="R110" s="171">
        <f t="shared" si="457"/>
        <v>6.2526828981209516E-3</v>
      </c>
      <c r="S110" s="171">
        <f t="shared" si="457"/>
        <v>6.1391405976945618E-3</v>
      </c>
      <c r="T110" s="171">
        <f t="shared" si="457"/>
        <v>7.465346935337242E-3</v>
      </c>
      <c r="U110" s="171">
        <f t="shared" si="457"/>
        <v>1.9775856437492065E-2</v>
      </c>
      <c r="V110" s="171">
        <f t="shared" si="457"/>
        <v>2.9724554925600926E-2</v>
      </c>
      <c r="W110" s="171">
        <f t="shared" si="457"/>
        <v>2.067010853263684E-2</v>
      </c>
      <c r="X110" s="171">
        <f t="shared" si="457"/>
        <v>1.8991072808512206E-2</v>
      </c>
      <c r="Y110" s="171">
        <f t="shared" si="457"/>
        <v>7.135702733680368E-3</v>
      </c>
      <c r="Z110" s="171">
        <f t="shared" si="457"/>
        <v>2.514863978175018E-3</v>
      </c>
      <c r="AA110" s="171">
        <f t="shared" si="457"/>
        <v>5.0881341465632817E-3</v>
      </c>
      <c r="AB110" s="171">
        <f t="shared" si="457"/>
        <v>6.9062360108408244E-3</v>
      </c>
      <c r="AC110" s="171">
        <f t="shared" si="457"/>
        <v>9.0665738228702369E-3</v>
      </c>
      <c r="AD110" s="171">
        <f t="shared" si="457"/>
        <v>8.5037036728021799E-3</v>
      </c>
      <c r="AE110" s="171">
        <f t="shared" si="457"/>
        <v>1.129068016687387E-2</v>
      </c>
      <c r="AF110" s="171">
        <f t="shared" si="457"/>
        <v>1.0909728935094794E-2</v>
      </c>
      <c r="AG110" s="171">
        <f t="shared" si="457"/>
        <v>1.634152462125538E-2</v>
      </c>
      <c r="AH110" s="171">
        <f t="shared" si="457"/>
        <v>1.5518030825038902E-2</v>
      </c>
      <c r="AI110" s="171">
        <f t="shared" si="457"/>
        <v>1.6671027221072807E-2</v>
      </c>
      <c r="AJ110" s="171">
        <f t="shared" si="457"/>
        <v>2.0218516185726704E-2</v>
      </c>
      <c r="AK110" s="171">
        <f t="shared" si="457"/>
        <v>1.9075423442351691E-2</v>
      </c>
      <c r="AL110" s="171">
        <f t="shared" si="457"/>
        <v>1.6842254193067865E-2</v>
      </c>
      <c r="AM110" s="171">
        <f t="shared" si="457"/>
        <v>1.6812265140740027E-2</v>
      </c>
      <c r="AN110" s="171">
        <f t="shared" si="457"/>
        <v>1.8145012936745836E-2</v>
      </c>
      <c r="AO110" s="171">
        <f t="shared" si="457"/>
        <v>2.0922568237633912E-2</v>
      </c>
      <c r="AP110" s="171">
        <f t="shared" si="457"/>
        <v>1.7699193432941331E-2</v>
      </c>
      <c r="AQ110" s="171">
        <f t="shared" si="457"/>
        <v>1.98938469616727E-2</v>
      </c>
      <c r="AR110" s="171">
        <f t="shared" si="457"/>
        <v>1.5149090756232679E-2</v>
      </c>
      <c r="AS110" s="171">
        <f t="shared" si="457"/>
        <v>1.6922940030261562E-2</v>
      </c>
      <c r="AT110" s="171">
        <f t="shared" si="457"/>
        <v>1.3642716913179528E-2</v>
      </c>
      <c r="AU110" s="171">
        <f t="shared" si="457"/>
        <v>7.9030726280544319E-3</v>
      </c>
      <c r="AV110" s="171">
        <f t="shared" si="457"/>
        <v>8.9696770271361793E-3</v>
      </c>
      <c r="AW110" s="171">
        <f t="shared" si="457"/>
        <v>1.4260447755274524E-2</v>
      </c>
      <c r="AX110" s="171">
        <f t="shared" si="457"/>
        <v>1.7337873571956496E-2</v>
      </c>
      <c r="AY110" s="171">
        <f t="shared" si="457"/>
        <v>1.6453546630954018E-2</v>
      </c>
      <c r="AZ110" s="171">
        <f t="shared" si="457"/>
        <v>1.6273690567994662E-2</v>
      </c>
      <c r="BA110" s="171">
        <f t="shared" si="457"/>
        <v>1.1251947832642438E-2</v>
      </c>
      <c r="BB110" s="171">
        <f t="shared" si="457"/>
        <v>1.2000869446704462E-2</v>
      </c>
      <c r="BC110" s="171">
        <f t="shared" si="457"/>
        <v>1.1697989023618714E-2</v>
      </c>
      <c r="BD110" s="171">
        <f t="shared" si="457"/>
        <v>1.2685609464279272E-2</v>
      </c>
      <c r="BE110" s="171">
        <f t="shared" si="457"/>
        <v>1.2464752189994741E-2</v>
      </c>
      <c r="BF110" s="171">
        <f t="shared" si="457"/>
        <v>1.3774074553351986E-2</v>
      </c>
      <c r="BG110" s="171">
        <f t="shared" si="457"/>
        <v>8.5253468473920589E-3</v>
      </c>
      <c r="BH110" s="171">
        <f t="shared" si="457"/>
        <v>6.8007545010560517E-3</v>
      </c>
      <c r="BI110" s="171">
        <f t="shared" si="457"/>
        <v>9.3856085221223299E-3</v>
      </c>
      <c r="BJ110" s="171">
        <f t="shared" si="457"/>
        <v>8.7246159896309135E-3</v>
      </c>
      <c r="BK110" s="171">
        <f t="shared" si="457"/>
        <v>8.5773557796672874E-3</v>
      </c>
      <c r="BL110" s="171">
        <f t="shared" si="457"/>
        <v>8.6059484647499525E-3</v>
      </c>
      <c r="BM110" s="171">
        <f t="shared" si="457"/>
        <v>8.6407485850319259E-3</v>
      </c>
      <c r="BN110" s="171">
        <f t="shared" si="457"/>
        <v>9.5443417991711646E-3</v>
      </c>
      <c r="BO110" s="171">
        <f t="shared" si="457"/>
        <v>9.6170768341949254E-3</v>
      </c>
      <c r="BP110" s="171">
        <f t="shared" ref="BP110:EC110" si="458">BP107/BP30</f>
        <v>9.6370237756809637E-3</v>
      </c>
      <c r="BQ110" s="171">
        <f t="shared" si="458"/>
        <v>9.1879228398576429E-3</v>
      </c>
      <c r="BR110" s="171">
        <f t="shared" si="458"/>
        <v>9.9945335158849475E-3</v>
      </c>
      <c r="BS110" s="171">
        <f t="shared" si="458"/>
        <v>1.0016981549313065E-2</v>
      </c>
      <c r="BT110" s="171">
        <f t="shared" si="458"/>
        <v>9.4156339826316944E-3</v>
      </c>
      <c r="BU110" s="171">
        <f t="shared" si="458"/>
        <v>9.8413485869225971E-3</v>
      </c>
      <c r="BV110" s="171">
        <f t="shared" si="458"/>
        <v>8.2954136777853692E-3</v>
      </c>
      <c r="BW110" s="171">
        <f t="shared" si="458"/>
        <v>7.9558465278397484E-3</v>
      </c>
      <c r="BX110" s="171">
        <f t="shared" si="458"/>
        <v>8.7817655898318678E-3</v>
      </c>
      <c r="BY110" s="171">
        <f t="shared" si="458"/>
        <v>7.8924122759340201E-3</v>
      </c>
      <c r="BZ110" s="171">
        <f t="shared" si="458"/>
        <v>8.4428953211581927E-3</v>
      </c>
      <c r="CA110" s="171">
        <f t="shared" si="458"/>
        <v>8.4956974180229981E-3</v>
      </c>
      <c r="CB110" s="171">
        <f t="shared" si="458"/>
        <v>8.5333789496279989E-3</v>
      </c>
      <c r="CC110" s="171">
        <f t="shared" si="458"/>
        <v>8.1469919334652592E-3</v>
      </c>
      <c r="CD110" s="171">
        <f t="shared" si="458"/>
        <v>8.8535697563280457E-3</v>
      </c>
      <c r="CE110" s="171">
        <f t="shared" si="458"/>
        <v>8.8811395456906972E-3</v>
      </c>
      <c r="CF110" s="171">
        <f t="shared" si="458"/>
        <v>8.3750053749315437E-3</v>
      </c>
      <c r="CG110" s="171">
        <f t="shared" si="458"/>
        <v>8.7651664439230351E-3</v>
      </c>
      <c r="CH110" s="171">
        <f t="shared" si="458"/>
        <v>7.4261242555557598E-3</v>
      </c>
      <c r="CI110" s="171">
        <f t="shared" si="458"/>
        <v>7.1396628972535221E-3</v>
      </c>
      <c r="CJ110" s="171">
        <f t="shared" si="458"/>
        <v>7.8847108423260037E-3</v>
      </c>
      <c r="CK110" s="171">
        <f t="shared" si="458"/>
        <v>7.1410045470159016E-3</v>
      </c>
      <c r="CL110" s="171">
        <f t="shared" ref="CL110:CW110" si="459">CL107/CL30</f>
        <v>7.7462721575606549E-3</v>
      </c>
      <c r="CM110" s="171">
        <f t="shared" si="459"/>
        <v>7.7941453120877573E-3</v>
      </c>
      <c r="CN110" s="171">
        <f t="shared" si="459"/>
        <v>7.8295676080565035E-3</v>
      </c>
      <c r="CO110" s="171">
        <f t="shared" si="459"/>
        <v>7.4881977347362582E-3</v>
      </c>
      <c r="CP110" s="171">
        <f t="shared" si="459"/>
        <v>8.1256405038390399E-3</v>
      </c>
      <c r="CQ110" s="171">
        <f t="shared" si="459"/>
        <v>8.1351019441806924E-3</v>
      </c>
      <c r="CR110" s="171">
        <f t="shared" si="459"/>
        <v>7.7055476536520146E-3</v>
      </c>
      <c r="CS110" s="171">
        <f t="shared" si="459"/>
        <v>8.0515108048605042E-3</v>
      </c>
      <c r="CT110" s="171">
        <f t="shared" si="459"/>
        <v>6.8335697668628521E-3</v>
      </c>
      <c r="CU110" s="171">
        <f t="shared" si="459"/>
        <v>6.5687852310673768E-3</v>
      </c>
      <c r="CV110" s="171">
        <f t="shared" si="459"/>
        <v>7.2544446666759224E-3</v>
      </c>
      <c r="CW110" s="171">
        <f t="shared" si="459"/>
        <v>6.5862067281880115E-3</v>
      </c>
      <c r="CX110" s="168"/>
      <c r="CY110" s="171">
        <f t="shared" si="458"/>
        <v>1.026436885396622E-2</v>
      </c>
      <c r="CZ110" s="171">
        <f t="shared" si="458"/>
        <v>1.6176212589097103E-2</v>
      </c>
      <c r="DA110" s="171">
        <f t="shared" si="458"/>
        <v>1.8871999135845547E-2</v>
      </c>
      <c r="DB110" s="171">
        <f t="shared" si="458"/>
        <v>1.8709074979861174E-2</v>
      </c>
      <c r="DC110" s="171">
        <f t="shared" si="458"/>
        <v>1.7534711487371641E-2</v>
      </c>
      <c r="DD110" s="171">
        <f t="shared" si="458"/>
        <v>1.3088203317990254E-2</v>
      </c>
      <c r="DE110" s="171">
        <f t="shared" si="458"/>
        <v>1.3652663644732858E-2</v>
      </c>
      <c r="DF110" s="171">
        <f t="shared" si="458"/>
        <v>1.4392977888358931E-2</v>
      </c>
      <c r="DG110" s="171">
        <f t="shared" si="458"/>
        <v>1.2129643185404703E-2</v>
      </c>
      <c r="DH110" s="171">
        <f t="shared" si="458"/>
        <v>1.1551816441064868E-2</v>
      </c>
      <c r="DI110" s="171">
        <f t="shared" si="458"/>
        <v>8.2977765875962683E-3</v>
      </c>
      <c r="DJ110" s="171">
        <f t="shared" si="458"/>
        <v>8.6088117309372943E-3</v>
      </c>
      <c r="DK110" s="171">
        <f t="shared" si="458"/>
        <v>9.5992614441074951E-3</v>
      </c>
      <c r="DL110" s="171">
        <f t="shared" si="458"/>
        <v>9.713776791501141E-3</v>
      </c>
      <c r="DM110" s="171">
        <f t="shared" si="458"/>
        <v>9.1297433005650044E-3</v>
      </c>
      <c r="DN110" s="171">
        <f t="shared" si="458"/>
        <v>8.1874674574806128E-3</v>
      </c>
      <c r="DO110" s="171">
        <f t="shared" si="458"/>
        <v>8.4904358046999223E-3</v>
      </c>
      <c r="DP110" s="171">
        <f t="shared" si="458"/>
        <v>8.6097235632053171E-3</v>
      </c>
      <c r="DQ110" s="171">
        <f t="shared" si="458"/>
        <v>8.1428595112832975E-3</v>
      </c>
      <c r="DR110" s="171">
        <f t="shared" si="458"/>
        <v>7.3694633463138306E-3</v>
      </c>
      <c r="DS110" s="171">
        <f t="shared" si="458"/>
        <v>7.7897836063431551E-3</v>
      </c>
      <c r="DT110" s="171">
        <f t="shared" si="458"/>
        <v>7.9008234908782161E-3</v>
      </c>
      <c r="DU110" s="171">
        <f t="shared" si="458"/>
        <v>7.4883234878103389E-3</v>
      </c>
      <c r="DV110" s="171">
        <f t="shared" si="458"/>
        <v>6.7858871412476629E-3</v>
      </c>
      <c r="DW110" s="818"/>
      <c r="DX110" s="171">
        <f t="shared" si="458"/>
        <v>1.6050131000487761E-2</v>
      </c>
      <c r="DY110" s="171">
        <f t="shared" si="458"/>
        <v>1.4646911152022442E-2</v>
      </c>
      <c r="DZ110" s="171">
        <f t="shared" si="458"/>
        <v>9.9304118301788997E-3</v>
      </c>
      <c r="EA110" s="171">
        <f t="shared" si="458"/>
        <v>9.0966430855539768E-3</v>
      </c>
      <c r="EB110" s="171">
        <f t="shared" si="458"/>
        <v>8.1078207101736906E-3</v>
      </c>
      <c r="EC110" s="171">
        <f t="shared" si="458"/>
        <v>7.4510162725481771E-3</v>
      </c>
    </row>
    <row r="111" spans="2:133" x14ac:dyDescent="0.2">
      <c r="B111" s="22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68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X111" s="19"/>
      <c r="DY111" s="19"/>
      <c r="DZ111" s="19"/>
      <c r="EA111" s="19"/>
      <c r="EB111" s="19"/>
      <c r="EC111" s="770"/>
    </row>
    <row r="112" spans="2:133" x14ac:dyDescent="0.2">
      <c r="B112" s="212" t="s">
        <v>153</v>
      </c>
      <c r="C112" s="199">
        <f>C113+C114</f>
        <v>0</v>
      </c>
      <c r="D112" s="199">
        <f t="shared" ref="D112:BO112" si="460">D113+D114</f>
        <v>0</v>
      </c>
      <c r="E112" s="199">
        <f t="shared" si="460"/>
        <v>0</v>
      </c>
      <c r="F112" s="199">
        <f t="shared" si="460"/>
        <v>0</v>
      </c>
      <c r="G112" s="199">
        <f t="shared" si="460"/>
        <v>0</v>
      </c>
      <c r="H112" s="199">
        <f t="shared" si="460"/>
        <v>0</v>
      </c>
      <c r="I112" s="199">
        <f t="shared" si="460"/>
        <v>0</v>
      </c>
      <c r="J112" s="199">
        <f t="shared" si="460"/>
        <v>0</v>
      </c>
      <c r="K112" s="199">
        <f t="shared" si="460"/>
        <v>0</v>
      </c>
      <c r="L112" s="199">
        <f t="shared" si="460"/>
        <v>0</v>
      </c>
      <c r="M112" s="199">
        <f t="shared" si="460"/>
        <v>0</v>
      </c>
      <c r="N112" s="199">
        <f t="shared" si="460"/>
        <v>0</v>
      </c>
      <c r="O112" s="199">
        <f t="shared" si="460"/>
        <v>0</v>
      </c>
      <c r="P112" s="199">
        <f t="shared" si="460"/>
        <v>0</v>
      </c>
      <c r="Q112" s="199">
        <f t="shared" si="460"/>
        <v>0</v>
      </c>
      <c r="R112" s="199">
        <f t="shared" si="460"/>
        <v>0</v>
      </c>
      <c r="S112" s="199">
        <f t="shared" si="460"/>
        <v>0</v>
      </c>
      <c r="T112" s="199">
        <f t="shared" si="460"/>
        <v>0</v>
      </c>
      <c r="U112" s="199">
        <f t="shared" si="460"/>
        <v>0</v>
      </c>
      <c r="V112" s="199">
        <f t="shared" si="460"/>
        <v>0</v>
      </c>
      <c r="W112" s="199">
        <f t="shared" si="460"/>
        <v>0</v>
      </c>
      <c r="X112" s="199">
        <f t="shared" si="460"/>
        <v>0</v>
      </c>
      <c r="Y112" s="199">
        <f t="shared" si="460"/>
        <v>0</v>
      </c>
      <c r="Z112" s="199">
        <f t="shared" si="460"/>
        <v>0</v>
      </c>
      <c r="AA112" s="199">
        <f t="shared" si="460"/>
        <v>0</v>
      </c>
      <c r="AB112" s="199">
        <f t="shared" si="460"/>
        <v>0</v>
      </c>
      <c r="AC112" s="199">
        <f t="shared" si="460"/>
        <v>0</v>
      </c>
      <c r="AD112" s="199">
        <f t="shared" si="460"/>
        <v>2577526</v>
      </c>
      <c r="AE112" s="199">
        <f t="shared" si="460"/>
        <v>4592181</v>
      </c>
      <c r="AF112" s="199">
        <f t="shared" si="460"/>
        <v>3583553</v>
      </c>
      <c r="AG112" s="199">
        <f t="shared" si="460"/>
        <v>2830750</v>
      </c>
      <c r="AH112" s="199">
        <f t="shared" si="460"/>
        <v>3860166</v>
      </c>
      <c r="AI112" s="199">
        <f t="shared" si="460"/>
        <v>4028187</v>
      </c>
      <c r="AJ112" s="199">
        <f t="shared" si="460"/>
        <v>3414132</v>
      </c>
      <c r="AK112" s="199">
        <f t="shared" si="460"/>
        <v>7771609</v>
      </c>
      <c r="AL112" s="199">
        <f t="shared" si="460"/>
        <v>3758475</v>
      </c>
      <c r="AM112" s="199">
        <f t="shared" si="460"/>
        <v>4060056</v>
      </c>
      <c r="AN112" s="199">
        <f t="shared" si="460"/>
        <v>12093988</v>
      </c>
      <c r="AO112" s="199">
        <f t="shared" si="460"/>
        <v>3288406</v>
      </c>
      <c r="AP112" s="199">
        <f t="shared" si="460"/>
        <v>6165511</v>
      </c>
      <c r="AQ112" s="199">
        <f t="shared" si="460"/>
        <v>5450781</v>
      </c>
      <c r="AR112" s="199">
        <f t="shared" si="460"/>
        <v>7603834</v>
      </c>
      <c r="AS112" s="199">
        <f t="shared" si="460"/>
        <v>4662930</v>
      </c>
      <c r="AT112" s="199">
        <f t="shared" si="460"/>
        <v>5661283</v>
      </c>
      <c r="AU112" s="199">
        <f t="shared" si="460"/>
        <v>3731264</v>
      </c>
      <c r="AV112" s="199">
        <f t="shared" si="460"/>
        <v>2839923</v>
      </c>
      <c r="AW112" s="199">
        <f t="shared" si="460"/>
        <v>2762011</v>
      </c>
      <c r="AX112" s="199">
        <f t="shared" si="460"/>
        <v>3208090</v>
      </c>
      <c r="AY112" s="199">
        <f t="shared" si="460"/>
        <v>2464000</v>
      </c>
      <c r="AZ112" s="199">
        <f t="shared" si="460"/>
        <v>2550234</v>
      </c>
      <c r="BA112" s="199">
        <f t="shared" si="460"/>
        <v>2574828</v>
      </c>
      <c r="BB112" s="199">
        <f t="shared" si="460"/>
        <v>3707370</v>
      </c>
      <c r="BC112" s="199">
        <f t="shared" si="460"/>
        <v>4143910</v>
      </c>
      <c r="BD112" s="199">
        <f t="shared" si="460"/>
        <v>3165281</v>
      </c>
      <c r="BE112" s="199">
        <f t="shared" si="460"/>
        <v>2730929</v>
      </c>
      <c r="BF112" s="199">
        <f t="shared" si="460"/>
        <v>1991184</v>
      </c>
      <c r="BG112" s="199">
        <f t="shared" si="460"/>
        <v>2719490</v>
      </c>
      <c r="BH112" s="199">
        <f t="shared" si="460"/>
        <v>3554961.5</v>
      </c>
      <c r="BI112" s="199">
        <f t="shared" si="460"/>
        <v>3985494</v>
      </c>
      <c r="BJ112" s="199">
        <f t="shared" si="460"/>
        <v>4407009.5</v>
      </c>
      <c r="BK112" s="199">
        <f t="shared" si="460"/>
        <v>4902167</v>
      </c>
      <c r="BL112" s="199">
        <f t="shared" si="460"/>
        <v>4158966.5</v>
      </c>
      <c r="BM112" s="199">
        <f t="shared" si="460"/>
        <v>4610148.5</v>
      </c>
      <c r="BN112" s="199">
        <f t="shared" si="460"/>
        <v>1082880.25</v>
      </c>
      <c r="BO112" s="199">
        <f t="shared" si="460"/>
        <v>1082880.25</v>
      </c>
      <c r="BP112" s="199">
        <f t="shared" ref="BP112:CK112" si="461">BP113+BP114</f>
        <v>1082880.25</v>
      </c>
      <c r="BQ112" s="199">
        <f t="shared" si="461"/>
        <v>1082880.25</v>
      </c>
      <c r="BR112" s="199">
        <f t="shared" si="461"/>
        <v>1082880.25</v>
      </c>
      <c r="BS112" s="199">
        <f t="shared" si="461"/>
        <v>1082880.25</v>
      </c>
      <c r="BT112" s="199">
        <f t="shared" si="461"/>
        <v>1137024.2625</v>
      </c>
      <c r="BU112" s="199">
        <f t="shared" si="461"/>
        <v>1137024.2625</v>
      </c>
      <c r="BV112" s="199">
        <f t="shared" si="461"/>
        <v>1137024.2625</v>
      </c>
      <c r="BW112" s="199">
        <f t="shared" si="461"/>
        <v>1137024.2625</v>
      </c>
      <c r="BX112" s="199">
        <f t="shared" si="461"/>
        <v>1137024.2625</v>
      </c>
      <c r="BY112" s="199">
        <f t="shared" si="461"/>
        <v>1137024.2625</v>
      </c>
      <c r="BZ112" s="199">
        <f t="shared" si="461"/>
        <v>1137024.2625</v>
      </c>
      <c r="CA112" s="199">
        <f t="shared" si="461"/>
        <v>1137024.2625</v>
      </c>
      <c r="CB112" s="199">
        <f t="shared" si="461"/>
        <v>1137024.2625</v>
      </c>
      <c r="CC112" s="199">
        <f t="shared" si="461"/>
        <v>1137024.2625</v>
      </c>
      <c r="CD112" s="199">
        <f t="shared" si="461"/>
        <v>1137024.2625</v>
      </c>
      <c r="CE112" s="199">
        <f t="shared" si="461"/>
        <v>1137024.2625</v>
      </c>
      <c r="CF112" s="199">
        <f t="shared" si="461"/>
        <v>1193875.475625</v>
      </c>
      <c r="CG112" s="199">
        <f t="shared" si="461"/>
        <v>1193875.475625</v>
      </c>
      <c r="CH112" s="199">
        <f t="shared" si="461"/>
        <v>1193875.475625</v>
      </c>
      <c r="CI112" s="199">
        <f t="shared" si="461"/>
        <v>1193875.475625</v>
      </c>
      <c r="CJ112" s="199">
        <f t="shared" si="461"/>
        <v>1193875.475625</v>
      </c>
      <c r="CK112" s="199">
        <f t="shared" si="461"/>
        <v>1193875.475625</v>
      </c>
      <c r="CL112" s="199">
        <f t="shared" ref="CL112:CW112" si="462">CL113+CL114</f>
        <v>1193875.475625</v>
      </c>
      <c r="CM112" s="199">
        <f t="shared" si="462"/>
        <v>1193875.475625</v>
      </c>
      <c r="CN112" s="199">
        <f t="shared" si="462"/>
        <v>1193875.475625</v>
      </c>
      <c r="CO112" s="199">
        <f t="shared" si="462"/>
        <v>1193875.475625</v>
      </c>
      <c r="CP112" s="199">
        <f t="shared" si="462"/>
        <v>1193875.475625</v>
      </c>
      <c r="CQ112" s="199">
        <f t="shared" si="462"/>
        <v>1193875.475625</v>
      </c>
      <c r="CR112" s="199">
        <f t="shared" si="462"/>
        <v>1253569.24940625</v>
      </c>
      <c r="CS112" s="199">
        <f t="shared" si="462"/>
        <v>1253569.24940625</v>
      </c>
      <c r="CT112" s="199">
        <f t="shared" si="462"/>
        <v>1253569.24940625</v>
      </c>
      <c r="CU112" s="199">
        <f t="shared" si="462"/>
        <v>1253569.24940625</v>
      </c>
      <c r="CV112" s="199">
        <f t="shared" si="462"/>
        <v>1253569.24940625</v>
      </c>
      <c r="CW112" s="199">
        <f t="shared" si="462"/>
        <v>1253569.24940625</v>
      </c>
      <c r="CX112" s="168"/>
      <c r="CY112" s="199">
        <f t="shared" ref="CY112:CY114" si="463">SUM(AD112:AF112)</f>
        <v>10753260</v>
      </c>
      <c r="CZ112" s="199">
        <f t="shared" ref="CZ112:CZ114" si="464">SUM(AG112:AI112)</f>
        <v>10719103</v>
      </c>
      <c r="DA112" s="199">
        <f t="shared" ref="DA112:DA114" si="465">SUM(AJ112:AL112)</f>
        <v>14944216</v>
      </c>
      <c r="DB112" s="199">
        <f t="shared" ref="DB112:DB114" si="466">SUM(AM112:AO112)</f>
        <v>19442450</v>
      </c>
      <c r="DC112" s="199">
        <f t="shared" ref="DC112:DC114" si="467">SUM(AP112:AR112)</f>
        <v>19220126</v>
      </c>
      <c r="DD112" s="199">
        <f t="shared" ref="DD112:DD114" si="468">SUM(AS112:AU112)</f>
        <v>14055477</v>
      </c>
      <c r="DE112" s="199">
        <f t="shared" ref="DE112:DE114" si="469">SUM(AV112:AX112)</f>
        <v>8810024</v>
      </c>
      <c r="DF112" s="199">
        <f t="shared" ref="DF112:DF114" si="470">SUM(AY112:BA112)</f>
        <v>7589062</v>
      </c>
      <c r="DG112" s="199">
        <f t="shared" ref="DG112:DG114" si="471">SUM(BB112:BD112)</f>
        <v>11016561</v>
      </c>
      <c r="DH112" s="199">
        <f t="shared" ref="DH112:DH114" si="472">SUM(BE112:BG112)</f>
        <v>7441603</v>
      </c>
      <c r="DI112" s="199">
        <f t="shared" ref="DI112:DI114" si="473">SUM(BH112:BJ112)</f>
        <v>11947465</v>
      </c>
      <c r="DJ112" s="199">
        <f t="shared" ref="DJ112:DJ114" si="474">SUM(BK112:BM112)</f>
        <v>13671282</v>
      </c>
      <c r="DK112" s="199">
        <f t="shared" ref="DK112:DK114" si="475">SUM(BN112:BP112)</f>
        <v>3248640.75</v>
      </c>
      <c r="DL112" s="199">
        <f t="shared" ref="DL112:DL114" si="476">SUM(BQ112:BS112)</f>
        <v>3248640.75</v>
      </c>
      <c r="DM112" s="199">
        <f t="shared" ref="DM112:DM114" si="477">SUM(BT112:BV112)</f>
        <v>3411072.7874999996</v>
      </c>
      <c r="DN112" s="199">
        <f t="shared" ref="DN112:DN114" si="478">SUM(BW112:BY112)</f>
        <v>3411072.7874999996</v>
      </c>
      <c r="DO112" s="199">
        <f t="shared" ref="DO112:DO114" si="479">SUM(BZ112:CB112)</f>
        <v>3411072.7874999996</v>
      </c>
      <c r="DP112" s="199">
        <f t="shared" ref="DP112:DP114" si="480">SUM(CC112:CE112)</f>
        <v>3411072.7874999996</v>
      </c>
      <c r="DQ112" s="199">
        <f t="shared" ref="DQ112:DQ114" si="481">SUM(CF112:CH112)</f>
        <v>3581626.4268749999</v>
      </c>
      <c r="DR112" s="199">
        <f t="shared" ref="DR112:DR114" si="482">SUM(CI112:CK112)</f>
        <v>3581626.4268749999</v>
      </c>
      <c r="DS112" s="199">
        <f t="shared" ref="DS112:DS114" si="483">SUM(CL112:CN112)</f>
        <v>3581626.4268749999</v>
      </c>
      <c r="DT112" s="199">
        <f t="shared" ref="DT112:DT114" si="484">SUM(CO112:CQ112)</f>
        <v>3581626.4268749999</v>
      </c>
      <c r="DU112" s="199">
        <f t="shared" ref="DU112:DU114" si="485">SUM(CR112:CT112)</f>
        <v>3760707.7482187496</v>
      </c>
      <c r="DV112" s="199">
        <f t="shared" ref="DV112:DV114" si="486">SUM(CU112:CW112)</f>
        <v>3760707.7482187496</v>
      </c>
      <c r="DX112" s="199">
        <f t="shared" ref="DX112:DX114" si="487">SUM(CY112:DB112)</f>
        <v>55859029</v>
      </c>
      <c r="DY112" s="199">
        <f t="shared" ref="DY112:DY114" si="488">SUM(DC112:DF112)</f>
        <v>49674689</v>
      </c>
      <c r="DZ112" s="199">
        <f t="shared" ref="DZ112:DZ114" si="489">SUM(DG112:DJ112)</f>
        <v>44076911</v>
      </c>
      <c r="EA112" s="199">
        <f t="shared" ref="EA112:EA114" si="490">SUM(DK112:DN112)</f>
        <v>13319427.074999999</v>
      </c>
      <c r="EB112" s="199">
        <f t="shared" ref="EB112:EB114" si="491">SUM(DO112:DR112)</f>
        <v>13985398.428749997</v>
      </c>
      <c r="EC112" s="810">
        <f t="shared" ref="EC112:EC114" si="492">SUM(DS112:DV112)</f>
        <v>14684668.350187499</v>
      </c>
    </row>
    <row r="113" spans="2:133" x14ac:dyDescent="0.2">
      <c r="B113" s="155" t="s">
        <v>229</v>
      </c>
      <c r="C113" s="19">
        <f>'D2C - Retail'!J164</f>
        <v>0</v>
      </c>
      <c r="D113" s="19">
        <f>'D2C - Retail'!K164</f>
        <v>0</v>
      </c>
      <c r="E113" s="19">
        <f>'D2C - Retail'!L164</f>
        <v>0</v>
      </c>
      <c r="F113" s="19">
        <f>'D2C - Retail'!M164</f>
        <v>0</v>
      </c>
      <c r="G113" s="19">
        <f>'D2C - Retail'!N164</f>
        <v>0</v>
      </c>
      <c r="H113" s="19">
        <f>'D2C - Retail'!O164</f>
        <v>0</v>
      </c>
      <c r="I113" s="19">
        <f>'D2C - Retail'!P164</f>
        <v>0</v>
      </c>
      <c r="J113" s="19">
        <f>'D2C - Retail'!Q164</f>
        <v>0</v>
      </c>
      <c r="K113" s="19">
        <f>'D2C - Retail'!R164</f>
        <v>0</v>
      </c>
      <c r="L113" s="19">
        <f>'D2C - Retail'!S164</f>
        <v>0</v>
      </c>
      <c r="M113" s="19">
        <f>'D2C - Retail'!T164</f>
        <v>0</v>
      </c>
      <c r="N113" s="19">
        <f>'D2C - Retail'!U164</f>
        <v>0</v>
      </c>
      <c r="O113" s="19">
        <f>'D2C - Retail'!V164</f>
        <v>0</v>
      </c>
      <c r="P113" s="19">
        <f>'D2C - Retail'!W164</f>
        <v>0</v>
      </c>
      <c r="Q113" s="19">
        <f>'D2C - Retail'!X164</f>
        <v>0</v>
      </c>
      <c r="R113" s="19">
        <f>'D2C - Retail'!Y164</f>
        <v>0</v>
      </c>
      <c r="S113" s="19">
        <f>'D2C - Retail'!Z164</f>
        <v>0</v>
      </c>
      <c r="T113" s="19">
        <f>'D2C - Retail'!AA164</f>
        <v>0</v>
      </c>
      <c r="U113" s="19">
        <f>'D2C - Retail'!AB164</f>
        <v>0</v>
      </c>
      <c r="V113" s="19">
        <f>'D2C - Retail'!AC164</f>
        <v>0</v>
      </c>
      <c r="W113" s="19">
        <f>'D2C - Retail'!AD164</f>
        <v>0</v>
      </c>
      <c r="X113" s="19">
        <f>'D2C - Retail'!AE164</f>
        <v>0</v>
      </c>
      <c r="Y113" s="19">
        <f>'D2C - Retail'!AF164</f>
        <v>0</v>
      </c>
      <c r="Z113" s="19">
        <f>'D2C - Retail'!AG164</f>
        <v>0</v>
      </c>
      <c r="AA113" s="19">
        <f>'D2C - Retail'!AH164</f>
        <v>0</v>
      </c>
      <c r="AB113" s="19">
        <f>'D2C - Retail'!AI164</f>
        <v>0</v>
      </c>
      <c r="AC113" s="19">
        <f>'D2C - Retail'!AJ164</f>
        <v>0</v>
      </c>
      <c r="AD113" s="19">
        <f>'D2C - Retail'!AK164</f>
        <v>1892126</v>
      </c>
      <c r="AE113" s="19">
        <f>'D2C - Retail'!AL164</f>
        <v>4243002</v>
      </c>
      <c r="AF113" s="19">
        <f>'D2C - Retail'!AM164</f>
        <v>2888553</v>
      </c>
      <c r="AG113" s="19">
        <f>'D2C - Retail'!AN164</f>
        <v>2104750</v>
      </c>
      <c r="AH113" s="19">
        <f>'D2C - Retail'!AO164</f>
        <v>3000918</v>
      </c>
      <c r="AI113" s="19">
        <f>'D2C - Retail'!AP164</f>
        <v>3320854</v>
      </c>
      <c r="AJ113" s="19">
        <f>'D2C - Retail'!AQ164</f>
        <v>2475388</v>
      </c>
      <c r="AK113" s="19">
        <f>'D2C - Retail'!AR164</f>
        <v>6460376</v>
      </c>
      <c r="AL113" s="19">
        <f>'D2C - Retail'!AS164</f>
        <v>3062375</v>
      </c>
      <c r="AM113" s="19">
        <f>'D2C - Retail'!AT164</f>
        <v>1250646</v>
      </c>
      <c r="AN113" s="19">
        <f>'D2C - Retail'!AU164</f>
        <v>5979508</v>
      </c>
      <c r="AO113" s="19">
        <f>'D2C - Retail'!AV164</f>
        <v>2356534</v>
      </c>
      <c r="AP113" s="19">
        <f>'D2C - Retail'!AW164</f>
        <v>1627181</v>
      </c>
      <c r="AQ113" s="19">
        <f>'D2C - Retail'!AX164</f>
        <v>2075701</v>
      </c>
      <c r="AR113" s="19">
        <f>'D2C - Retail'!AY164</f>
        <v>1497698</v>
      </c>
      <c r="AS113" s="19">
        <f>'D2C - Retail'!AZ164</f>
        <v>1841441</v>
      </c>
      <c r="AT113" s="19">
        <f>'D2C - Retail'!BA164</f>
        <v>1682855</v>
      </c>
      <c r="AU113" s="19">
        <f>'D2C - Retail'!BB164</f>
        <v>2023170</v>
      </c>
      <c r="AV113" s="19">
        <f>'D2C - Retail'!BC164</f>
        <v>1335647</v>
      </c>
      <c r="AW113" s="19">
        <f>'D2C - Retail'!BD164</f>
        <v>2019684</v>
      </c>
      <c r="AX113" s="19">
        <f>'D2C - Retail'!BE164</f>
        <v>1854515</v>
      </c>
      <c r="AY113" s="19">
        <f>'D2C - Retail'!BF164</f>
        <v>1827988</v>
      </c>
      <c r="AZ113" s="19">
        <f>'D2C - Retail'!BG164</f>
        <v>1668344</v>
      </c>
      <c r="BA113" s="19">
        <f>'D2C - Retail'!BH164</f>
        <v>1569374</v>
      </c>
      <c r="BB113" s="19">
        <f>'D2C - Retail'!BI164</f>
        <v>1590841</v>
      </c>
      <c r="BC113" s="19">
        <f>'D2C - Retail'!BJ164</f>
        <v>1932340</v>
      </c>
      <c r="BD113" s="19">
        <f>'D2C - Retail'!BK164</f>
        <v>1603602</v>
      </c>
      <c r="BE113" s="19">
        <f>'D2C - Retail'!BL164</f>
        <v>1937297</v>
      </c>
      <c r="BF113" s="19">
        <f>'D2C - Retail'!BM164</f>
        <v>1460566</v>
      </c>
      <c r="BG113" s="19">
        <f>'D2C - Retail'!BN164</f>
        <v>1995120</v>
      </c>
      <c r="BH113" s="19">
        <f>'D2C - Retail'!BO164</f>
        <v>1893728.25</v>
      </c>
      <c r="BI113" s="19">
        <f>'D2C - Retail'!BP164</f>
        <v>2341462</v>
      </c>
      <c r="BJ113" s="19">
        <f>'D2C - Retail'!BQ164</f>
        <v>3236282.75</v>
      </c>
      <c r="BK113" s="19">
        <f>'D2C - Retail'!BR164</f>
        <v>3307202</v>
      </c>
      <c r="BL113" s="19">
        <f>'D2C - Retail'!BS164</f>
        <v>3009367.75</v>
      </c>
      <c r="BM113" s="19">
        <f>'D2C - Retail'!BT164</f>
        <v>3527268.25</v>
      </c>
      <c r="BN113" s="19">
        <f>'D2C - Retail'!BU164</f>
        <v>0</v>
      </c>
      <c r="BO113" s="19">
        <f>'D2C - Retail'!BV164</f>
        <v>0</v>
      </c>
      <c r="BP113" s="19">
        <f>'D2C - Retail'!BW164</f>
        <v>0</v>
      </c>
      <c r="BQ113" s="19">
        <f>'D2C - Retail'!BX164</f>
        <v>0</v>
      </c>
      <c r="BR113" s="19">
        <f>'D2C - Retail'!BY164</f>
        <v>0</v>
      </c>
      <c r="BS113" s="19">
        <f>'D2C - Retail'!BZ164</f>
        <v>0</v>
      </c>
      <c r="BT113" s="19">
        <f>'D2C - Retail'!CA164</f>
        <v>0</v>
      </c>
      <c r="BU113" s="19">
        <f>'D2C - Retail'!CB164</f>
        <v>0</v>
      </c>
      <c r="BV113" s="19">
        <f>'D2C - Retail'!CC164</f>
        <v>0</v>
      </c>
      <c r="BW113" s="19">
        <f>'D2C - Retail'!CD164</f>
        <v>0</v>
      </c>
      <c r="BX113" s="19">
        <f>'D2C - Retail'!CE164</f>
        <v>0</v>
      </c>
      <c r="BY113" s="19">
        <f>'D2C - Retail'!CF164</f>
        <v>0</v>
      </c>
      <c r="BZ113" s="19">
        <f>'D2C - Retail'!CG164</f>
        <v>0</v>
      </c>
      <c r="CA113" s="19">
        <f>'D2C - Retail'!CH164</f>
        <v>0</v>
      </c>
      <c r="CB113" s="19">
        <f>'D2C - Retail'!CI164</f>
        <v>0</v>
      </c>
      <c r="CC113" s="19">
        <f>'D2C - Retail'!CJ164</f>
        <v>0</v>
      </c>
      <c r="CD113" s="19">
        <f>'D2C - Retail'!CK164</f>
        <v>0</v>
      </c>
      <c r="CE113" s="19">
        <f>'D2C - Retail'!CL164</f>
        <v>0</v>
      </c>
      <c r="CF113" s="19">
        <f>'D2C - Retail'!CM164</f>
        <v>0</v>
      </c>
      <c r="CG113" s="19">
        <f>'D2C - Retail'!CN164</f>
        <v>0</v>
      </c>
      <c r="CH113" s="19">
        <f>'D2C - Retail'!CO164</f>
        <v>0</v>
      </c>
      <c r="CI113" s="19">
        <f>'D2C - Retail'!CP164</f>
        <v>0</v>
      </c>
      <c r="CJ113" s="19">
        <f>'D2C - Retail'!CQ164</f>
        <v>0</v>
      </c>
      <c r="CK113" s="19">
        <f>'D2C - Retail'!CR164</f>
        <v>0</v>
      </c>
      <c r="CL113" s="19">
        <f>'D2C - Retail'!CS164</f>
        <v>0</v>
      </c>
      <c r="CM113" s="19">
        <f>'D2C - Retail'!CT164</f>
        <v>0</v>
      </c>
      <c r="CN113" s="19">
        <f>'D2C - Retail'!CU164</f>
        <v>0</v>
      </c>
      <c r="CO113" s="19">
        <f>'D2C - Retail'!CV164</f>
        <v>0</v>
      </c>
      <c r="CP113" s="19">
        <f>'D2C - Retail'!CW164</f>
        <v>0</v>
      </c>
      <c r="CQ113" s="19">
        <f>'D2C - Retail'!CX164</f>
        <v>0</v>
      </c>
      <c r="CR113" s="19">
        <f>'D2C - Retail'!CY164</f>
        <v>0</v>
      </c>
      <c r="CS113" s="19">
        <f>'D2C - Retail'!CZ164</f>
        <v>0</v>
      </c>
      <c r="CT113" s="19">
        <f>'D2C - Retail'!DA164</f>
        <v>0</v>
      </c>
      <c r="CU113" s="19">
        <f>'D2C - Retail'!DB164</f>
        <v>0</v>
      </c>
      <c r="CV113" s="19">
        <f>'D2C - Retail'!DC164</f>
        <v>0</v>
      </c>
      <c r="CW113" s="19">
        <f>'D2C - Retail'!DD164</f>
        <v>0</v>
      </c>
      <c r="CX113" s="168"/>
      <c r="CY113" s="19">
        <f t="shared" si="463"/>
        <v>9023681</v>
      </c>
      <c r="CZ113" s="19">
        <f t="shared" si="464"/>
        <v>8426522</v>
      </c>
      <c r="DA113" s="19">
        <f t="shared" si="465"/>
        <v>11998139</v>
      </c>
      <c r="DB113" s="19">
        <f t="shared" si="466"/>
        <v>9586688</v>
      </c>
      <c r="DC113" s="19">
        <f t="shared" si="467"/>
        <v>5200580</v>
      </c>
      <c r="DD113" s="19">
        <f t="shared" si="468"/>
        <v>5547466</v>
      </c>
      <c r="DE113" s="19">
        <f t="shared" si="469"/>
        <v>5209846</v>
      </c>
      <c r="DF113" s="19">
        <f t="shared" si="470"/>
        <v>5065706</v>
      </c>
      <c r="DG113" s="19">
        <f t="shared" si="471"/>
        <v>5126783</v>
      </c>
      <c r="DH113" s="19">
        <f t="shared" si="472"/>
        <v>5392983</v>
      </c>
      <c r="DI113" s="19">
        <f t="shared" si="473"/>
        <v>7471473</v>
      </c>
      <c r="DJ113" s="19">
        <f t="shared" si="474"/>
        <v>9843838</v>
      </c>
      <c r="DK113" s="19">
        <f t="shared" si="475"/>
        <v>0</v>
      </c>
      <c r="DL113" s="19">
        <f t="shared" si="476"/>
        <v>0</v>
      </c>
      <c r="DM113" s="19">
        <f t="shared" si="477"/>
        <v>0</v>
      </c>
      <c r="DN113" s="19">
        <f t="shared" si="478"/>
        <v>0</v>
      </c>
      <c r="DO113" s="19">
        <f t="shared" si="479"/>
        <v>0</v>
      </c>
      <c r="DP113" s="19">
        <f t="shared" si="480"/>
        <v>0</v>
      </c>
      <c r="DQ113" s="19">
        <f t="shared" si="481"/>
        <v>0</v>
      </c>
      <c r="DR113" s="19">
        <f t="shared" si="482"/>
        <v>0</v>
      </c>
      <c r="DS113" s="19">
        <f t="shared" si="483"/>
        <v>0</v>
      </c>
      <c r="DT113" s="19">
        <f t="shared" si="484"/>
        <v>0</v>
      </c>
      <c r="DU113" s="19">
        <f t="shared" si="485"/>
        <v>0</v>
      </c>
      <c r="DV113" s="19">
        <f t="shared" si="486"/>
        <v>0</v>
      </c>
      <c r="DX113" s="19">
        <f t="shared" si="487"/>
        <v>39035030</v>
      </c>
      <c r="DY113" s="19">
        <f t="shared" si="488"/>
        <v>21023598</v>
      </c>
      <c r="DZ113" s="19">
        <f t="shared" si="489"/>
        <v>27835077</v>
      </c>
      <c r="EA113" s="19">
        <f t="shared" si="490"/>
        <v>0</v>
      </c>
      <c r="EB113" s="19">
        <f t="shared" si="491"/>
        <v>0</v>
      </c>
      <c r="EC113" s="770">
        <f t="shared" si="492"/>
        <v>0</v>
      </c>
    </row>
    <row r="114" spans="2:133" x14ac:dyDescent="0.2">
      <c r="B114" s="155" t="s">
        <v>237</v>
      </c>
      <c r="C114" s="19">
        <f>'D2C Online'!AA150</f>
        <v>0</v>
      </c>
      <c r="D114" s="19">
        <f>'D2C Online'!AB150</f>
        <v>0</v>
      </c>
      <c r="E114" s="19">
        <f>'D2C Online'!AC150</f>
        <v>0</v>
      </c>
      <c r="F114" s="19">
        <f>'D2C Online'!AD150</f>
        <v>0</v>
      </c>
      <c r="G114" s="19">
        <f>'D2C Online'!AE150</f>
        <v>0</v>
      </c>
      <c r="H114" s="19">
        <f>'D2C Online'!AF150</f>
        <v>0</v>
      </c>
      <c r="I114" s="19">
        <f>'D2C Online'!AG150</f>
        <v>0</v>
      </c>
      <c r="J114" s="19">
        <f>'D2C Online'!AH150</f>
        <v>0</v>
      </c>
      <c r="K114" s="19">
        <f>'D2C Online'!AI150</f>
        <v>0</v>
      </c>
      <c r="L114" s="19">
        <f>'D2C Online'!AJ150</f>
        <v>0</v>
      </c>
      <c r="M114" s="19">
        <f>'D2C Online'!AK150</f>
        <v>0</v>
      </c>
      <c r="N114" s="19">
        <f>'D2C Online'!AL150</f>
        <v>0</v>
      </c>
      <c r="O114" s="19">
        <f>'D2C Online'!AM150</f>
        <v>0</v>
      </c>
      <c r="P114" s="19">
        <f>'D2C Online'!AN150</f>
        <v>0</v>
      </c>
      <c r="Q114" s="19">
        <f>'D2C Online'!AO150</f>
        <v>0</v>
      </c>
      <c r="R114" s="19">
        <f>'D2C Online'!AP150</f>
        <v>0</v>
      </c>
      <c r="S114" s="19">
        <f>'D2C Online'!AQ150</f>
        <v>0</v>
      </c>
      <c r="T114" s="19">
        <f>'D2C Online'!AR150</f>
        <v>0</v>
      </c>
      <c r="U114" s="19">
        <f>'D2C Online'!AS150</f>
        <v>0</v>
      </c>
      <c r="V114" s="19">
        <f>'D2C Online'!AT150</f>
        <v>0</v>
      </c>
      <c r="W114" s="19">
        <f>'D2C Online'!AU150</f>
        <v>0</v>
      </c>
      <c r="X114" s="19">
        <f>'D2C Online'!AV150</f>
        <v>0</v>
      </c>
      <c r="Y114" s="19">
        <f>'D2C Online'!AW150</f>
        <v>0</v>
      </c>
      <c r="Z114" s="19">
        <f>'D2C Online'!AX150</f>
        <v>0</v>
      </c>
      <c r="AA114" s="19">
        <f>'D2C Online'!AY150</f>
        <v>0</v>
      </c>
      <c r="AB114" s="19">
        <f>'D2C Online'!AZ150</f>
        <v>0</v>
      </c>
      <c r="AC114" s="19">
        <f>'D2C Online'!BA150</f>
        <v>0</v>
      </c>
      <c r="AD114" s="19">
        <f>'D2C Online'!BB150</f>
        <v>685400</v>
      </c>
      <c r="AE114" s="19">
        <f>'D2C Online'!BC150</f>
        <v>349179</v>
      </c>
      <c r="AF114" s="19">
        <f>'D2C Online'!BD150</f>
        <v>695000</v>
      </c>
      <c r="AG114" s="19">
        <f>'D2C Online'!BE150</f>
        <v>726000</v>
      </c>
      <c r="AH114" s="19">
        <f>'D2C Online'!BF150</f>
        <v>859248</v>
      </c>
      <c r="AI114" s="19">
        <f>'D2C Online'!BG150</f>
        <v>707333</v>
      </c>
      <c r="AJ114" s="19">
        <f>'D2C Online'!BH150</f>
        <v>938744</v>
      </c>
      <c r="AK114" s="19">
        <f>'D2C Online'!BI150</f>
        <v>1311233</v>
      </c>
      <c r="AL114" s="19">
        <f>'D2C Online'!BJ150</f>
        <v>696100</v>
      </c>
      <c r="AM114" s="19">
        <f>'D2C Online'!BK150</f>
        <v>2809410</v>
      </c>
      <c r="AN114" s="19">
        <f>'D2C Online'!BL150</f>
        <v>6114480</v>
      </c>
      <c r="AO114" s="19">
        <f>'D2C Online'!BM150</f>
        <v>931872</v>
      </c>
      <c r="AP114" s="19">
        <f>'D2C Online'!BN150</f>
        <v>4538330</v>
      </c>
      <c r="AQ114" s="19">
        <f>'D2C Online'!BO150</f>
        <v>3375080</v>
      </c>
      <c r="AR114" s="19">
        <f>'D2C Online'!BP150</f>
        <v>6106136</v>
      </c>
      <c r="AS114" s="19">
        <f>'D2C Online'!BQ150</f>
        <v>2821489</v>
      </c>
      <c r="AT114" s="19">
        <f>'D2C Online'!BR150</f>
        <v>3978428</v>
      </c>
      <c r="AU114" s="19">
        <f>'D2C Online'!BS150</f>
        <v>1708094</v>
      </c>
      <c r="AV114" s="19">
        <f>'D2C Online'!BT150</f>
        <v>1504276</v>
      </c>
      <c r="AW114" s="19">
        <f>'D2C Online'!BU150</f>
        <v>742327</v>
      </c>
      <c r="AX114" s="19">
        <f>'D2C Online'!BV150</f>
        <v>1353575</v>
      </c>
      <c r="AY114" s="19">
        <f>'D2C Online'!BW150</f>
        <v>636012</v>
      </c>
      <c r="AZ114" s="19">
        <f>'D2C Online'!BX150</f>
        <v>881890</v>
      </c>
      <c r="BA114" s="19">
        <f>'D2C Online'!BY150</f>
        <v>1005454</v>
      </c>
      <c r="BB114" s="19">
        <f>'D2C Online'!BZ150</f>
        <v>2116529</v>
      </c>
      <c r="BC114" s="19">
        <f>'D2C Online'!CA150</f>
        <v>2211570</v>
      </c>
      <c r="BD114" s="19">
        <f>'D2C Online'!CB150</f>
        <v>1561679</v>
      </c>
      <c r="BE114" s="19">
        <f>'D2C Online'!CC150</f>
        <v>793632</v>
      </c>
      <c r="BF114" s="19">
        <f>'D2C Online'!CD150</f>
        <v>530618</v>
      </c>
      <c r="BG114" s="19">
        <f>'D2C Online'!CE150</f>
        <v>724370</v>
      </c>
      <c r="BH114" s="19">
        <f>'D2C Online'!CF150</f>
        <v>1661233.25</v>
      </c>
      <c r="BI114" s="19">
        <f>'D2C Online'!CG150</f>
        <v>1644032</v>
      </c>
      <c r="BJ114" s="19">
        <f>'D2C Online'!CH150</f>
        <v>1170726.75</v>
      </c>
      <c r="BK114" s="19">
        <f>'D2C Online'!CI150</f>
        <v>1594965</v>
      </c>
      <c r="BL114" s="19">
        <f>'D2C Online'!CJ150</f>
        <v>1149598.75</v>
      </c>
      <c r="BM114" s="19">
        <f>'D2C Online'!CK150</f>
        <v>1082880.25</v>
      </c>
      <c r="BN114" s="19">
        <f>'D2C Online'!CL150</f>
        <v>1082880.25</v>
      </c>
      <c r="BO114" s="19">
        <f>'D2C Online'!CM150</f>
        <v>1082880.25</v>
      </c>
      <c r="BP114" s="19">
        <f>'D2C Online'!CN150</f>
        <v>1082880.25</v>
      </c>
      <c r="BQ114" s="19">
        <f>'D2C Online'!CO150</f>
        <v>1082880.25</v>
      </c>
      <c r="BR114" s="19">
        <f>'D2C Online'!CP150</f>
        <v>1082880.25</v>
      </c>
      <c r="BS114" s="19">
        <f>'D2C Online'!CQ150</f>
        <v>1082880.25</v>
      </c>
      <c r="BT114" s="19">
        <f>'D2C Online'!CR150</f>
        <v>1137024.2625</v>
      </c>
      <c r="BU114" s="19">
        <f>'D2C Online'!CS150</f>
        <v>1137024.2625</v>
      </c>
      <c r="BV114" s="19">
        <f>'D2C Online'!CT150</f>
        <v>1137024.2625</v>
      </c>
      <c r="BW114" s="19">
        <f>'D2C Online'!CU150</f>
        <v>1137024.2625</v>
      </c>
      <c r="BX114" s="19">
        <f>'D2C Online'!CV150</f>
        <v>1137024.2625</v>
      </c>
      <c r="BY114" s="19">
        <f>'D2C Online'!CW150</f>
        <v>1137024.2625</v>
      </c>
      <c r="BZ114" s="19">
        <f>'D2C Online'!CX150</f>
        <v>1137024.2625</v>
      </c>
      <c r="CA114" s="19">
        <f>'D2C Online'!CY150</f>
        <v>1137024.2625</v>
      </c>
      <c r="CB114" s="19">
        <f>'D2C Online'!CZ150</f>
        <v>1137024.2625</v>
      </c>
      <c r="CC114" s="19">
        <f>'D2C Online'!DA150</f>
        <v>1137024.2625</v>
      </c>
      <c r="CD114" s="19">
        <f>'D2C Online'!DB150</f>
        <v>1137024.2625</v>
      </c>
      <c r="CE114" s="19">
        <f>'D2C Online'!DC150</f>
        <v>1137024.2625</v>
      </c>
      <c r="CF114" s="19">
        <f>'D2C Online'!DD150</f>
        <v>1193875.475625</v>
      </c>
      <c r="CG114" s="19">
        <f>'D2C Online'!DE150</f>
        <v>1193875.475625</v>
      </c>
      <c r="CH114" s="19">
        <f>'D2C Online'!DF150</f>
        <v>1193875.475625</v>
      </c>
      <c r="CI114" s="19">
        <f>'D2C Online'!DG150</f>
        <v>1193875.475625</v>
      </c>
      <c r="CJ114" s="19">
        <f>'D2C Online'!DH150</f>
        <v>1193875.475625</v>
      </c>
      <c r="CK114" s="19">
        <f>'D2C Online'!DI150</f>
        <v>1193875.475625</v>
      </c>
      <c r="CL114" s="19">
        <f>'D2C Online'!DJ150</f>
        <v>1193875.475625</v>
      </c>
      <c r="CM114" s="19">
        <f>'D2C Online'!DK150</f>
        <v>1193875.475625</v>
      </c>
      <c r="CN114" s="19">
        <f>'D2C Online'!DL150</f>
        <v>1193875.475625</v>
      </c>
      <c r="CO114" s="19">
        <f>'D2C Online'!DM150</f>
        <v>1193875.475625</v>
      </c>
      <c r="CP114" s="19">
        <f>'D2C Online'!DN150</f>
        <v>1193875.475625</v>
      </c>
      <c r="CQ114" s="19">
        <f>'D2C Online'!DO150</f>
        <v>1193875.475625</v>
      </c>
      <c r="CR114" s="19">
        <f>'D2C Online'!DP150</f>
        <v>1253569.24940625</v>
      </c>
      <c r="CS114" s="19">
        <f>'D2C Online'!DQ150</f>
        <v>1253569.24940625</v>
      </c>
      <c r="CT114" s="19">
        <f>'D2C Online'!DR150</f>
        <v>1253569.24940625</v>
      </c>
      <c r="CU114" s="19">
        <f>'D2C Online'!DS150</f>
        <v>1253569.24940625</v>
      </c>
      <c r="CV114" s="19">
        <f>'D2C Online'!DT150</f>
        <v>1253569.24940625</v>
      </c>
      <c r="CW114" s="19">
        <f>'D2C Online'!DU150</f>
        <v>1253569.24940625</v>
      </c>
      <c r="CX114" s="168"/>
      <c r="CY114" s="19">
        <f t="shared" si="463"/>
        <v>1729579</v>
      </c>
      <c r="CZ114" s="19">
        <f t="shared" si="464"/>
        <v>2292581</v>
      </c>
      <c r="DA114" s="19">
        <f t="shared" si="465"/>
        <v>2946077</v>
      </c>
      <c r="DB114" s="19">
        <f t="shared" si="466"/>
        <v>9855762</v>
      </c>
      <c r="DC114" s="19">
        <f t="shared" si="467"/>
        <v>14019546</v>
      </c>
      <c r="DD114" s="19">
        <f t="shared" si="468"/>
        <v>8508011</v>
      </c>
      <c r="DE114" s="19">
        <f t="shared" si="469"/>
        <v>3600178</v>
      </c>
      <c r="DF114" s="19">
        <f t="shared" si="470"/>
        <v>2523356</v>
      </c>
      <c r="DG114" s="19">
        <f t="shared" si="471"/>
        <v>5889778</v>
      </c>
      <c r="DH114" s="19">
        <f t="shared" si="472"/>
        <v>2048620</v>
      </c>
      <c r="DI114" s="19">
        <f t="shared" si="473"/>
        <v>4475992</v>
      </c>
      <c r="DJ114" s="19">
        <f t="shared" si="474"/>
        <v>3827444</v>
      </c>
      <c r="DK114" s="19">
        <f t="shared" si="475"/>
        <v>3248640.75</v>
      </c>
      <c r="DL114" s="19">
        <f t="shared" si="476"/>
        <v>3248640.75</v>
      </c>
      <c r="DM114" s="19">
        <f t="shared" si="477"/>
        <v>3411072.7874999996</v>
      </c>
      <c r="DN114" s="19">
        <f t="shared" si="478"/>
        <v>3411072.7874999996</v>
      </c>
      <c r="DO114" s="19">
        <f t="shared" si="479"/>
        <v>3411072.7874999996</v>
      </c>
      <c r="DP114" s="19">
        <f t="shared" si="480"/>
        <v>3411072.7874999996</v>
      </c>
      <c r="DQ114" s="19">
        <f t="shared" si="481"/>
        <v>3581626.4268749999</v>
      </c>
      <c r="DR114" s="19">
        <f t="shared" si="482"/>
        <v>3581626.4268749999</v>
      </c>
      <c r="DS114" s="19">
        <f t="shared" si="483"/>
        <v>3581626.4268749999</v>
      </c>
      <c r="DT114" s="19">
        <f t="shared" si="484"/>
        <v>3581626.4268749999</v>
      </c>
      <c r="DU114" s="19">
        <f t="shared" si="485"/>
        <v>3760707.7482187496</v>
      </c>
      <c r="DV114" s="19">
        <f t="shared" si="486"/>
        <v>3760707.7482187496</v>
      </c>
      <c r="DX114" s="19">
        <f t="shared" si="487"/>
        <v>16823999</v>
      </c>
      <c r="DY114" s="19">
        <f t="shared" si="488"/>
        <v>28651091</v>
      </c>
      <c r="DZ114" s="19">
        <f t="shared" si="489"/>
        <v>16241834</v>
      </c>
      <c r="EA114" s="19">
        <f t="shared" si="490"/>
        <v>13319427.074999999</v>
      </c>
      <c r="EB114" s="19">
        <f t="shared" si="491"/>
        <v>13985398.428749997</v>
      </c>
      <c r="EC114" s="770">
        <f t="shared" si="492"/>
        <v>14684668.350187499</v>
      </c>
    </row>
    <row r="115" spans="2:133" x14ac:dyDescent="0.2">
      <c r="B115" s="22" t="s">
        <v>172</v>
      </c>
      <c r="C115" s="171">
        <f>C112/C30</f>
        <v>0</v>
      </c>
      <c r="D115" s="171">
        <f t="shared" ref="D115:BO115" si="493">D112/D30</f>
        <v>0</v>
      </c>
      <c r="E115" s="171">
        <f t="shared" si="493"/>
        <v>0</v>
      </c>
      <c r="F115" s="171">
        <f t="shared" si="493"/>
        <v>0</v>
      </c>
      <c r="G115" s="171">
        <f t="shared" si="493"/>
        <v>0</v>
      </c>
      <c r="H115" s="171">
        <f t="shared" si="493"/>
        <v>0</v>
      </c>
      <c r="I115" s="171">
        <f t="shared" si="493"/>
        <v>0</v>
      </c>
      <c r="J115" s="171">
        <f t="shared" si="493"/>
        <v>0</v>
      </c>
      <c r="K115" s="171">
        <f t="shared" si="493"/>
        <v>0</v>
      </c>
      <c r="L115" s="171">
        <f t="shared" si="493"/>
        <v>0</v>
      </c>
      <c r="M115" s="171">
        <f t="shared" si="493"/>
        <v>0</v>
      </c>
      <c r="N115" s="171">
        <f t="shared" si="493"/>
        <v>0</v>
      </c>
      <c r="O115" s="171">
        <f t="shared" si="493"/>
        <v>0</v>
      </c>
      <c r="P115" s="171">
        <f t="shared" si="493"/>
        <v>0</v>
      </c>
      <c r="Q115" s="171">
        <f t="shared" si="493"/>
        <v>0</v>
      </c>
      <c r="R115" s="171">
        <f t="shared" si="493"/>
        <v>0</v>
      </c>
      <c r="S115" s="171">
        <f t="shared" si="493"/>
        <v>0</v>
      </c>
      <c r="T115" s="171">
        <f t="shared" si="493"/>
        <v>0</v>
      </c>
      <c r="U115" s="171">
        <f t="shared" si="493"/>
        <v>0</v>
      </c>
      <c r="V115" s="171">
        <f t="shared" si="493"/>
        <v>0</v>
      </c>
      <c r="W115" s="171">
        <f t="shared" si="493"/>
        <v>0</v>
      </c>
      <c r="X115" s="171">
        <f t="shared" si="493"/>
        <v>0</v>
      </c>
      <c r="Y115" s="171">
        <f t="shared" si="493"/>
        <v>0</v>
      </c>
      <c r="Z115" s="171">
        <f t="shared" si="493"/>
        <v>0</v>
      </c>
      <c r="AA115" s="171">
        <f t="shared" si="493"/>
        <v>0</v>
      </c>
      <c r="AB115" s="171">
        <f t="shared" si="493"/>
        <v>0</v>
      </c>
      <c r="AC115" s="171">
        <f t="shared" si="493"/>
        <v>0</v>
      </c>
      <c r="AD115" s="171">
        <f t="shared" si="493"/>
        <v>5.6802898265769794E-3</v>
      </c>
      <c r="AE115" s="171">
        <f t="shared" si="493"/>
        <v>9.7915453440581956E-3</v>
      </c>
      <c r="AF115" s="171">
        <f t="shared" si="493"/>
        <v>7.2818191503535067E-3</v>
      </c>
      <c r="AG115" s="171">
        <f t="shared" si="493"/>
        <v>7.1295737865174832E-3</v>
      </c>
      <c r="AH115" s="171">
        <f t="shared" si="493"/>
        <v>9.2651380482925254E-3</v>
      </c>
      <c r="AI115" s="171">
        <f t="shared" si="493"/>
        <v>9.5558693405238711E-3</v>
      </c>
      <c r="AJ115" s="171">
        <f t="shared" si="493"/>
        <v>5.4157516491335246E-3</v>
      </c>
      <c r="AK115" s="171">
        <f t="shared" si="493"/>
        <v>1.4742727275053482E-2</v>
      </c>
      <c r="AL115" s="171">
        <f t="shared" si="493"/>
        <v>7.9791109204482152E-3</v>
      </c>
      <c r="AM115" s="171">
        <f t="shared" si="493"/>
        <v>9.0998182879936957E-3</v>
      </c>
      <c r="AN115" s="171">
        <f t="shared" si="493"/>
        <v>3.2757978765302877E-2</v>
      </c>
      <c r="AO115" s="171">
        <f t="shared" si="493"/>
        <v>6.9023755081628144E-3</v>
      </c>
      <c r="AP115" s="171">
        <f t="shared" si="493"/>
        <v>1.2700693190193587E-2</v>
      </c>
      <c r="AQ115" s="171">
        <f t="shared" si="493"/>
        <v>1.0851774023432761E-2</v>
      </c>
      <c r="AR115" s="171">
        <f t="shared" si="493"/>
        <v>1.4341776708978288E-2</v>
      </c>
      <c r="AS115" s="171">
        <f t="shared" si="493"/>
        <v>8.9325599551311752E-3</v>
      </c>
      <c r="AT115" s="171">
        <f t="shared" si="493"/>
        <v>1.2262048124397813E-2</v>
      </c>
      <c r="AU115" s="171">
        <f t="shared" si="493"/>
        <v>8.5689856700795885E-3</v>
      </c>
      <c r="AV115" s="171">
        <f t="shared" si="493"/>
        <v>5.2317468069570557E-3</v>
      </c>
      <c r="AW115" s="171">
        <f t="shared" si="493"/>
        <v>5.4326503400542831E-3</v>
      </c>
      <c r="AX115" s="171">
        <f t="shared" si="493"/>
        <v>5.2943477160093773E-3</v>
      </c>
      <c r="AY115" s="171">
        <f t="shared" si="493"/>
        <v>3.7999824533210664E-3</v>
      </c>
      <c r="AZ115" s="171">
        <f t="shared" si="493"/>
        <v>4.122863699199909E-3</v>
      </c>
      <c r="BA115" s="171">
        <f t="shared" si="493"/>
        <v>3.235751706762591E-3</v>
      </c>
      <c r="BB115" s="171">
        <f t="shared" si="493"/>
        <v>5.072149554602199E-3</v>
      </c>
      <c r="BC115" s="171">
        <f t="shared" si="493"/>
        <v>5.8109804229906706E-3</v>
      </c>
      <c r="BD115" s="171">
        <f t="shared" si="493"/>
        <v>4.3781937962999338E-3</v>
      </c>
      <c r="BE115" s="171">
        <f t="shared" si="493"/>
        <v>3.5158350092217563E-3</v>
      </c>
      <c r="BF115" s="171">
        <f t="shared" si="493"/>
        <v>3.0066191760681764E-3</v>
      </c>
      <c r="BG115" s="171">
        <f t="shared" si="493"/>
        <v>3.7739631712740522E-3</v>
      </c>
      <c r="BH115" s="171">
        <f t="shared" si="493"/>
        <v>4.2493034403021518E-3</v>
      </c>
      <c r="BI115" s="171">
        <f t="shared" si="493"/>
        <v>5.1352754936644799E-3</v>
      </c>
      <c r="BJ115" s="171">
        <f t="shared" si="493"/>
        <v>4.6089344807668364E-3</v>
      </c>
      <c r="BK115" s="171">
        <f t="shared" si="493"/>
        <v>4.7215620964584995E-3</v>
      </c>
      <c r="BL115" s="171">
        <f t="shared" si="493"/>
        <v>4.4376311200863879E-3</v>
      </c>
      <c r="BM115" s="171">
        <f t="shared" si="493"/>
        <v>4.1658924342860585E-3</v>
      </c>
      <c r="BN115" s="171">
        <f t="shared" si="493"/>
        <v>1.109232044885521E-3</v>
      </c>
      <c r="BO115" s="171">
        <f t="shared" si="493"/>
        <v>1.1207396641279544E-3</v>
      </c>
      <c r="BP115" s="171">
        <f t="shared" ref="BP115:EC115" si="494">BP112/BP30</f>
        <v>1.1233669860411441E-3</v>
      </c>
      <c r="BQ115" s="171">
        <f t="shared" si="494"/>
        <v>1.059682762504096E-3</v>
      </c>
      <c r="BR115" s="171">
        <f t="shared" si="494"/>
        <v>1.1699508695076019E-3</v>
      </c>
      <c r="BS115" s="171">
        <f t="shared" si="494"/>
        <v>1.1831731670765286E-3</v>
      </c>
      <c r="BT115" s="171">
        <f t="shared" si="494"/>
        <v>1.0880661969040596E-3</v>
      </c>
      <c r="BU115" s="171">
        <f t="shared" si="494"/>
        <v>1.1496788602202287E-3</v>
      </c>
      <c r="BV115" s="171">
        <f t="shared" si="494"/>
        <v>9.4626175650568177E-4</v>
      </c>
      <c r="BW115" s="171">
        <f t="shared" si="494"/>
        <v>9.0424604201938649E-4</v>
      </c>
      <c r="BX115" s="171">
        <f t="shared" si="494"/>
        <v>1.0087831820134914E-3</v>
      </c>
      <c r="BY115" s="171">
        <f t="shared" si="494"/>
        <v>8.8611645936329984E-4</v>
      </c>
      <c r="BZ115" s="171">
        <f t="shared" si="494"/>
        <v>9.6040242528511979E-4</v>
      </c>
      <c r="CA115" s="171">
        <f t="shared" si="494"/>
        <v>9.6906271386186743E-4</v>
      </c>
      <c r="CB115" s="171">
        <f t="shared" si="494"/>
        <v>9.7440830079575675E-4</v>
      </c>
      <c r="CC115" s="171">
        <f t="shared" si="494"/>
        <v>9.1917738970303815E-4</v>
      </c>
      <c r="CD115" s="171">
        <f t="shared" si="494"/>
        <v>1.0162111885370472E-3</v>
      </c>
      <c r="CE115" s="171">
        <f t="shared" si="494"/>
        <v>1.0301860489209654E-3</v>
      </c>
      <c r="CF115" s="171">
        <f t="shared" si="494"/>
        <v>9.4811448838378709E-4</v>
      </c>
      <c r="CG115" s="171">
        <f t="shared" si="494"/>
        <v>1.0052974332384274E-3</v>
      </c>
      <c r="CH115" s="171">
        <f t="shared" si="494"/>
        <v>8.2967212756164326E-4</v>
      </c>
      <c r="CI115" s="171">
        <f t="shared" si="494"/>
        <v>7.9499609735748098E-4</v>
      </c>
      <c r="CJ115" s="171">
        <f t="shared" si="494"/>
        <v>8.8912558984922691E-4</v>
      </c>
      <c r="CK115" s="171">
        <f t="shared" si="494"/>
        <v>7.8659406865382378E-4</v>
      </c>
      <c r="CL115" s="171">
        <f t="shared" ref="CL115:CW115" si="495">CL112/CL30</f>
        <v>8.7003806824560595E-4</v>
      </c>
      <c r="CM115" s="171">
        <f t="shared" si="495"/>
        <v>8.7813038207768001E-4</v>
      </c>
      <c r="CN115" s="171">
        <f t="shared" si="495"/>
        <v>8.8322661097828628E-4</v>
      </c>
      <c r="CO115" s="171">
        <f t="shared" si="495"/>
        <v>8.3397598413957206E-4</v>
      </c>
      <c r="CP115" s="171">
        <f t="shared" si="495"/>
        <v>9.2194262533391044E-4</v>
      </c>
      <c r="CQ115" s="171">
        <f t="shared" si="495"/>
        <v>9.3368555698153952E-4</v>
      </c>
      <c r="CR115" s="171">
        <f t="shared" si="495"/>
        <v>8.6162049696254372E-4</v>
      </c>
      <c r="CS115" s="171">
        <f t="shared" si="495"/>
        <v>9.130409742490567E-4</v>
      </c>
      <c r="CT115" s="171">
        <f t="shared" si="495"/>
        <v>7.5351108161816763E-4</v>
      </c>
      <c r="CU115" s="171">
        <f t="shared" si="495"/>
        <v>7.2175691735814652E-4</v>
      </c>
      <c r="CV115" s="171">
        <f t="shared" si="495"/>
        <v>8.0801618601880826E-4</v>
      </c>
      <c r="CW115" s="171">
        <f t="shared" si="495"/>
        <v>7.1546993507192033E-4</v>
      </c>
      <c r="CX115" s="168"/>
      <c r="CY115" s="171">
        <f t="shared" si="494"/>
        <v>7.6000975991703584E-3</v>
      </c>
      <c r="CZ115" s="171">
        <f t="shared" si="494"/>
        <v>8.6779081458984164E-3</v>
      </c>
      <c r="DA115" s="171">
        <f t="shared" si="494"/>
        <v>9.1761358206987401E-3</v>
      </c>
      <c r="DB115" s="171">
        <f t="shared" si="494"/>
        <v>1.5050926707860119E-2</v>
      </c>
      <c r="DC115" s="171">
        <f t="shared" si="494"/>
        <v>1.2662075650350159E-2</v>
      </c>
      <c r="DD115" s="171">
        <f t="shared" si="494"/>
        <v>9.9041889674346632E-3</v>
      </c>
      <c r="DE115" s="171">
        <f t="shared" si="494"/>
        <v>5.3162723180912221E-3</v>
      </c>
      <c r="DF115" s="171">
        <f t="shared" si="494"/>
        <v>3.6791414994918272E-3</v>
      </c>
      <c r="DG115" s="171">
        <f t="shared" si="494"/>
        <v>5.0837633710150328E-3</v>
      </c>
      <c r="DH115" s="171">
        <f t="shared" si="494"/>
        <v>3.4458078091537565E-3</v>
      </c>
      <c r="DI115" s="171">
        <f t="shared" si="494"/>
        <v>4.6508308545100399E-3</v>
      </c>
      <c r="DJ115" s="171">
        <f t="shared" si="494"/>
        <v>4.4357085331338001E-3</v>
      </c>
      <c r="DK115" s="171">
        <f t="shared" si="494"/>
        <v>1.117745741207436E-3</v>
      </c>
      <c r="DL115" s="171">
        <f t="shared" si="494"/>
        <v>1.1348160663416792E-3</v>
      </c>
      <c r="DM115" s="171">
        <f t="shared" si="494"/>
        <v>1.0542370219935515E-3</v>
      </c>
      <c r="DN115" s="171">
        <f t="shared" si="494"/>
        <v>9.3002872358989238E-4</v>
      </c>
      <c r="DO115" s="171">
        <f t="shared" si="494"/>
        <v>9.6792334826067007E-4</v>
      </c>
      <c r="DP115" s="171">
        <f t="shared" si="494"/>
        <v>9.8597446218739396E-4</v>
      </c>
      <c r="DQ115" s="171">
        <f t="shared" si="494"/>
        <v>9.2172954553276006E-4</v>
      </c>
      <c r="DR115" s="171">
        <f t="shared" si="494"/>
        <v>8.210468060251948E-4</v>
      </c>
      <c r="DS115" s="171">
        <f t="shared" si="494"/>
        <v>8.7709801131462706E-4</v>
      </c>
      <c r="DT115" s="171">
        <f t="shared" si="494"/>
        <v>8.9425018312695021E-4</v>
      </c>
      <c r="DU115" s="171">
        <f t="shared" si="494"/>
        <v>8.3729528254870551E-4</v>
      </c>
      <c r="DV115" s="171">
        <f t="shared" si="494"/>
        <v>7.4612207471711183E-4</v>
      </c>
      <c r="DW115" s="818"/>
      <c r="DX115" s="171">
        <f t="shared" si="494"/>
        <v>1.0027695448572191E-2</v>
      </c>
      <c r="DY115" s="171">
        <f t="shared" si="494"/>
        <v>7.4620454200685126E-3</v>
      </c>
      <c r="DZ115" s="171">
        <f t="shared" si="494"/>
        <v>4.4175845242710949E-3</v>
      </c>
      <c r="EA115" s="171">
        <f t="shared" si="494"/>
        <v>1.051056675566833E-3</v>
      </c>
      <c r="EB115" s="171">
        <f t="shared" si="494"/>
        <v>9.1817437566448455E-4</v>
      </c>
      <c r="EC115" s="171">
        <f t="shared" si="494"/>
        <v>8.3338533081151324E-4</v>
      </c>
    </row>
    <row r="116" spans="2:133" x14ac:dyDescent="0.2">
      <c r="B116" s="22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68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X116" s="19"/>
      <c r="DY116" s="19"/>
      <c r="DZ116" s="19"/>
      <c r="EA116" s="19"/>
      <c r="EB116" s="19"/>
      <c r="EC116" s="770"/>
    </row>
    <row r="117" spans="2:133" x14ac:dyDescent="0.2">
      <c r="B117" s="212" t="s">
        <v>58</v>
      </c>
      <c r="C117" s="199">
        <f>C102-C107-C112</f>
        <v>674516.89947069297</v>
      </c>
      <c r="D117" s="199">
        <f t="shared" ref="D117:BO117" si="496">D102-D107-D112</f>
        <v>919393.51116642531</v>
      </c>
      <c r="E117" s="199">
        <f t="shared" si="496"/>
        <v>1021406.5053334208</v>
      </c>
      <c r="F117" s="199">
        <f t="shared" si="496"/>
        <v>-2242528.9554130239</v>
      </c>
      <c r="G117" s="199">
        <f t="shared" si="496"/>
        <v>-5433006.7480060793</v>
      </c>
      <c r="H117" s="199">
        <f t="shared" si="496"/>
        <v>-1455224.4646651426</v>
      </c>
      <c r="I117" s="199">
        <f t="shared" si="496"/>
        <v>-1232790.406234524</v>
      </c>
      <c r="J117" s="199">
        <f t="shared" si="496"/>
        <v>-1854889.7530192155</v>
      </c>
      <c r="K117" s="199">
        <f t="shared" si="496"/>
        <v>-2021402.3715739185</v>
      </c>
      <c r="L117" s="199">
        <f t="shared" si="496"/>
        <v>-4010371.2363922726</v>
      </c>
      <c r="M117" s="199">
        <f t="shared" si="496"/>
        <v>3525977.8275157502</v>
      </c>
      <c r="N117" s="199">
        <f t="shared" si="496"/>
        <v>3426938.6399705801</v>
      </c>
      <c r="O117" s="199">
        <f t="shared" si="496"/>
        <v>1573831.9696469135</v>
      </c>
      <c r="P117" s="199">
        <f t="shared" si="496"/>
        <v>4060295.3213737244</v>
      </c>
      <c r="Q117" s="199">
        <f t="shared" si="496"/>
        <v>1209209.3642186583</v>
      </c>
      <c r="R117" s="199">
        <f t="shared" si="496"/>
        <v>-2041409.5896023712</v>
      </c>
      <c r="S117" s="199">
        <f t="shared" si="496"/>
        <v>-2530012.4557222342</v>
      </c>
      <c r="T117" s="199">
        <f t="shared" si="496"/>
        <v>-2036135.8991662008</v>
      </c>
      <c r="U117" s="199">
        <f t="shared" si="496"/>
        <v>-4647512.6382160774</v>
      </c>
      <c r="V117" s="199">
        <f t="shared" si="496"/>
        <v>-10685021.213209821</v>
      </c>
      <c r="W117" s="199">
        <f t="shared" si="496"/>
        <v>-17706037.450427465</v>
      </c>
      <c r="X117" s="199">
        <f t="shared" si="496"/>
        <v>-13913448.506503616</v>
      </c>
      <c r="Y117" s="199">
        <f t="shared" si="496"/>
        <v>-12212087.001187416</v>
      </c>
      <c r="Z117" s="199">
        <f t="shared" si="496"/>
        <v>-8403425.2848126702</v>
      </c>
      <c r="AA117" s="199">
        <f t="shared" si="496"/>
        <v>-5009851.3705387888</v>
      </c>
      <c r="AB117" s="199">
        <f t="shared" si="496"/>
        <v>-2347827.2795364233</v>
      </c>
      <c r="AC117" s="199">
        <f t="shared" si="496"/>
        <v>-547219.46462412411</v>
      </c>
      <c r="AD117" s="199">
        <f t="shared" si="496"/>
        <v>-12658262.345882937</v>
      </c>
      <c r="AE117" s="199">
        <f t="shared" si="496"/>
        <v>-6784314.8686574847</v>
      </c>
      <c r="AF117" s="199">
        <f t="shared" si="496"/>
        <v>18236.234566286206</v>
      </c>
      <c r="AG117" s="199">
        <f t="shared" si="496"/>
        <v>-9780580.8050139099</v>
      </c>
      <c r="AH117" s="199">
        <f t="shared" si="496"/>
        <v>-6937090.5457085595</v>
      </c>
      <c r="AI117" s="199">
        <f t="shared" si="496"/>
        <v>-18622441.01776972</v>
      </c>
      <c r="AJ117" s="199">
        <f t="shared" si="496"/>
        <v>-10085046.187991224</v>
      </c>
      <c r="AK117" s="199">
        <f t="shared" si="496"/>
        <v>-7882427.2655082569</v>
      </c>
      <c r="AL117" s="199">
        <f t="shared" si="496"/>
        <v>-3271216.9571976289</v>
      </c>
      <c r="AM117" s="199">
        <f t="shared" si="496"/>
        <v>272245.17743302882</v>
      </c>
      <c r="AN117" s="199">
        <f t="shared" si="496"/>
        <v>-3704221.3544058949</v>
      </c>
      <c r="AO117" s="199">
        <f t="shared" si="496"/>
        <v>15778912.357833363</v>
      </c>
      <c r="AP117" s="199">
        <f t="shared" si="496"/>
        <v>9473262.1066204906</v>
      </c>
      <c r="AQ117" s="199">
        <f t="shared" si="496"/>
        <v>13436061.24457024</v>
      </c>
      <c r="AR117" s="199">
        <f t="shared" si="496"/>
        <v>20153365.213781647</v>
      </c>
      <c r="AS117" s="199">
        <f t="shared" si="496"/>
        <v>17376599.406971328</v>
      </c>
      <c r="AT117" s="199">
        <f t="shared" si="496"/>
        <v>11543279.976700462</v>
      </c>
      <c r="AU117" s="199">
        <f t="shared" si="496"/>
        <v>9128226.2147596776</v>
      </c>
      <c r="AV117" s="199">
        <f t="shared" si="496"/>
        <v>27178313.519667298</v>
      </c>
      <c r="AW117" s="199">
        <f t="shared" si="496"/>
        <v>21772229.735829905</v>
      </c>
      <c r="AX117" s="199">
        <f t="shared" si="496"/>
        <v>29213376.114339754</v>
      </c>
      <c r="AY117" s="199">
        <f t="shared" si="496"/>
        <v>30792956.086912967</v>
      </c>
      <c r="AZ117" s="199">
        <f t="shared" si="496"/>
        <v>25436366.997700632</v>
      </c>
      <c r="BA117" s="199">
        <f t="shared" si="496"/>
        <v>43952001.642721429</v>
      </c>
      <c r="BB117" s="199">
        <f t="shared" si="496"/>
        <v>29624423.264633745</v>
      </c>
      <c r="BC117" s="199">
        <f t="shared" si="496"/>
        <v>26843416.026986301</v>
      </c>
      <c r="BD117" s="199">
        <f t="shared" si="496"/>
        <v>31424611.00361044</v>
      </c>
      <c r="BE117" s="199">
        <f t="shared" si="496"/>
        <v>31611804.492615819</v>
      </c>
      <c r="BF117" s="199">
        <f t="shared" si="496"/>
        <v>29053767.543640994</v>
      </c>
      <c r="BG117" s="199">
        <f t="shared" si="496"/>
        <v>22071539.126602001</v>
      </c>
      <c r="BH117" s="199">
        <f t="shared" si="496"/>
        <v>35681539.46732454</v>
      </c>
      <c r="BI117" s="199">
        <f t="shared" si="496"/>
        <v>34410872.199924476</v>
      </c>
      <c r="BJ117" s="199">
        <f t="shared" si="496"/>
        <v>42841002.614160314</v>
      </c>
      <c r="BK117" s="199">
        <f t="shared" si="496"/>
        <v>46826414.24342306</v>
      </c>
      <c r="BL117" s="199">
        <f t="shared" si="496"/>
        <v>31312351.32126002</v>
      </c>
      <c r="BM117" s="199">
        <f t="shared" si="496"/>
        <v>32067859.547710016</v>
      </c>
      <c r="BN117" s="199">
        <f t="shared" si="496"/>
        <v>41537279.819519743</v>
      </c>
      <c r="BO117" s="199">
        <f t="shared" si="496"/>
        <v>39902807.901027024</v>
      </c>
      <c r="BP117" s="199">
        <f t="shared" ref="BP117:CK117" si="497">BP102-BP107-BP112</f>
        <v>39591631.694542408</v>
      </c>
      <c r="BQ117" s="199">
        <f t="shared" si="497"/>
        <v>47939554.87336833</v>
      </c>
      <c r="BR117" s="199">
        <f t="shared" si="497"/>
        <v>34629486.12702731</v>
      </c>
      <c r="BS117" s="199">
        <f t="shared" si="497"/>
        <v>31755619.192376088</v>
      </c>
      <c r="BT117" s="199">
        <f t="shared" si="497"/>
        <v>50900231.738875858</v>
      </c>
      <c r="BU117" s="199">
        <f t="shared" si="497"/>
        <v>42571063.019148514</v>
      </c>
      <c r="BV117" s="199">
        <f t="shared" si="497"/>
        <v>70450889.139116332</v>
      </c>
      <c r="BW117" s="199">
        <f t="shared" si="497"/>
        <v>77210748.960757747</v>
      </c>
      <c r="BX117" s="199">
        <f t="shared" si="497"/>
        <v>60904746.350111619</v>
      </c>
      <c r="BY117" s="199">
        <f t="shared" si="497"/>
        <v>82700386.457331806</v>
      </c>
      <c r="BZ117" s="199">
        <f t="shared" si="497"/>
        <v>59240052.002992041</v>
      </c>
      <c r="CA117" s="199">
        <f t="shared" si="497"/>
        <v>57487379.628268391</v>
      </c>
      <c r="CB117" s="199">
        <f t="shared" si="497"/>
        <v>56556450.734733596</v>
      </c>
      <c r="CC117" s="199">
        <f t="shared" si="497"/>
        <v>66630369.075752839</v>
      </c>
      <c r="CD117" s="199">
        <f t="shared" si="497"/>
        <v>50340576.843371041</v>
      </c>
      <c r="CE117" s="199">
        <f t="shared" si="497"/>
        <v>46415928.151215881</v>
      </c>
      <c r="CF117" s="199">
        <f t="shared" si="497"/>
        <v>69406007.105813235</v>
      </c>
      <c r="CG117" s="199">
        <f t="shared" si="497"/>
        <v>58771285.526518881</v>
      </c>
      <c r="CH117" s="199">
        <f t="shared" si="497"/>
        <v>91442995.640783161</v>
      </c>
      <c r="CI117" s="199">
        <f t="shared" si="497"/>
        <v>98841101.265507177</v>
      </c>
      <c r="CJ117" s="199">
        <f t="shared" si="497"/>
        <v>79051875.759285673</v>
      </c>
      <c r="CK117" s="199">
        <f t="shared" si="497"/>
        <v>103232319.19518985</v>
      </c>
      <c r="CL117" s="199">
        <f t="shared" ref="CL117:CW117" si="498">CL102-CL107-CL112</f>
        <v>71241904.531726494</v>
      </c>
      <c r="CM117" s="199">
        <f t="shared" si="498"/>
        <v>69183857.293191537</v>
      </c>
      <c r="CN117" s="199">
        <f t="shared" si="498"/>
        <v>68065249.141876429</v>
      </c>
      <c r="CO117" s="199">
        <f t="shared" si="498"/>
        <v>79335107.373896107</v>
      </c>
      <c r="CP117" s="199">
        <f t="shared" si="498"/>
        <v>60818643.191126414</v>
      </c>
      <c r="CQ117" s="199">
        <f t="shared" si="498"/>
        <v>56509353.187570117</v>
      </c>
      <c r="CR117" s="199">
        <f t="shared" si="498"/>
        <v>82188017.377518147</v>
      </c>
      <c r="CS117" s="199">
        <f t="shared" si="498"/>
        <v>70221667.450211644</v>
      </c>
      <c r="CT117" s="199">
        <f t="shared" si="498"/>
        <v>107313399.29882352</v>
      </c>
      <c r="CU117" s="199">
        <f t="shared" si="498"/>
        <v>115790578.59490713</v>
      </c>
      <c r="CV117" s="199">
        <f t="shared" si="498"/>
        <v>93107252.214581236</v>
      </c>
      <c r="CW117" s="199">
        <f t="shared" si="498"/>
        <v>120320717.23540068</v>
      </c>
      <c r="CX117" s="168"/>
      <c r="CY117" s="199">
        <f t="shared" ref="CY117:CY119" si="499">SUM(AD117:AF117)</f>
        <v>-19424340.979974136</v>
      </c>
      <c r="CZ117" s="199">
        <f t="shared" ref="CZ117:CZ119" si="500">SUM(AG117:AI117)</f>
        <v>-35340112.368492186</v>
      </c>
      <c r="DA117" s="199">
        <f t="shared" ref="DA117:DA119" si="501">SUM(AJ117:AL117)</f>
        <v>-21238690.41069711</v>
      </c>
      <c r="DB117" s="199">
        <f t="shared" ref="DB117:DB119" si="502">SUM(AM117:AO117)</f>
        <v>12346936.180860497</v>
      </c>
      <c r="DC117" s="199">
        <f t="shared" ref="DC117:DC119" si="503">SUM(AP117:AR117)</f>
        <v>43062688.564972378</v>
      </c>
      <c r="DD117" s="199">
        <f t="shared" ref="DD117:DD119" si="504">SUM(AS117:AU117)</f>
        <v>38048105.598431468</v>
      </c>
      <c r="DE117" s="199">
        <f t="shared" ref="DE117:DE119" si="505">SUM(AV117:AX117)</f>
        <v>78163919.369836956</v>
      </c>
      <c r="DF117" s="199">
        <f t="shared" ref="DF117:DF119" si="506">SUM(AY117:BA117)</f>
        <v>100181324.72733504</v>
      </c>
      <c r="DG117" s="199">
        <f t="shared" ref="DG117:DG119" si="507">SUM(BB117:BD117)</f>
        <v>87892450.295230478</v>
      </c>
      <c r="DH117" s="199">
        <f t="shared" ref="DH117:DH119" si="508">SUM(BE117:BG117)</f>
        <v>82737111.162858814</v>
      </c>
      <c r="DI117" s="199">
        <f t="shared" ref="DI117:DI119" si="509">SUM(BH117:BJ117)</f>
        <v>112933414.28140934</v>
      </c>
      <c r="DJ117" s="199">
        <f t="shared" ref="DJ117:DJ119" si="510">SUM(BK117:BM117)</f>
        <v>110206625.1123931</v>
      </c>
      <c r="DK117" s="199">
        <f t="shared" ref="DK117:DK119" si="511">SUM(BN117:BP117)</f>
        <v>121031719.41508918</v>
      </c>
      <c r="DL117" s="199">
        <f t="shared" ref="DL117:DL119" si="512">SUM(BQ117:BS117)</f>
        <v>114324660.19277173</v>
      </c>
      <c r="DM117" s="199">
        <f t="shared" ref="DM117:DM119" si="513">SUM(BT117:BV117)</f>
        <v>163922183.89714068</v>
      </c>
      <c r="DN117" s="199">
        <f t="shared" ref="DN117:DN119" si="514">SUM(BW117:BY117)</f>
        <v>220815881.76820117</v>
      </c>
      <c r="DO117" s="199">
        <f t="shared" ref="DO117:DO119" si="515">SUM(BZ117:CB117)</f>
        <v>173283882.36599404</v>
      </c>
      <c r="DP117" s="199">
        <f t="shared" ref="DP117:DP119" si="516">SUM(CC117:CE117)</f>
        <v>163386874.07033977</v>
      </c>
      <c r="DQ117" s="199">
        <f t="shared" ref="DQ117:DQ119" si="517">SUM(CF117:CH117)</f>
        <v>219620288.27311528</v>
      </c>
      <c r="DR117" s="199">
        <f t="shared" ref="DR117:DR119" si="518">SUM(CI117:CK117)</f>
        <v>281125296.21998268</v>
      </c>
      <c r="DS117" s="199">
        <f t="shared" ref="DS117:DS119" si="519">SUM(CL117:CN117)</f>
        <v>208491010.96679446</v>
      </c>
      <c r="DT117" s="199">
        <f t="shared" ref="DT117:DT119" si="520">SUM(CO117:CQ117)</f>
        <v>196663103.75259265</v>
      </c>
      <c r="DU117" s="199">
        <f t="shared" ref="DU117:DU119" si="521">SUM(CR117:CT117)</f>
        <v>259723084.1265533</v>
      </c>
      <c r="DV117" s="199">
        <f t="shared" ref="DV117:DV119" si="522">SUM(CU117:CW117)</f>
        <v>329218548.04488903</v>
      </c>
      <c r="DX117" s="199">
        <f t="shared" ref="DX117:DX119" si="523">SUM(CY117:DB117)</f>
        <v>-63656207.578302942</v>
      </c>
      <c r="DY117" s="199">
        <f t="shared" ref="DY117:DY119" si="524">SUM(DC117:DF117)</f>
        <v>259456038.26057583</v>
      </c>
      <c r="DZ117" s="199">
        <f t="shared" ref="DZ117:DZ119" si="525">SUM(DG117:DJ117)</f>
        <v>393769600.8518917</v>
      </c>
      <c r="EA117" s="199">
        <f t="shared" ref="EA117:EA119" si="526">SUM(DK117:DN117)</f>
        <v>620094445.27320278</v>
      </c>
      <c r="EB117" s="199">
        <f t="shared" ref="EB117:EB119" si="527">SUM(DO117:DR117)</f>
        <v>837416340.92943168</v>
      </c>
      <c r="EC117" s="810">
        <f t="shared" ref="EC117:EC119" si="528">SUM(DS117:DV117)</f>
        <v>994095746.89082932</v>
      </c>
    </row>
    <row r="118" spans="2:133" x14ac:dyDescent="0.2">
      <c r="B118" s="155" t="s">
        <v>229</v>
      </c>
      <c r="C118" s="213">
        <f>C103-C108-C113</f>
        <v>471041.01648141706</v>
      </c>
      <c r="D118" s="213">
        <f t="shared" ref="D118:BO118" si="529">D103-D108-D113</f>
        <v>845158.20066512795</v>
      </c>
      <c r="E118" s="213">
        <f t="shared" si="529"/>
        <v>780531.16885597818</v>
      </c>
      <c r="F118" s="213">
        <f t="shared" si="529"/>
        <v>-2294663.3532493282</v>
      </c>
      <c r="G118" s="213">
        <f t="shared" si="529"/>
        <v>-5422715.5337462397</v>
      </c>
      <c r="H118" s="213">
        <f t="shared" si="529"/>
        <v>-1850147.5435754305</v>
      </c>
      <c r="I118" s="213">
        <f t="shared" si="529"/>
        <v>-2046683.746673052</v>
      </c>
      <c r="J118" s="213">
        <f t="shared" si="529"/>
        <v>-2329389.1358407531</v>
      </c>
      <c r="K118" s="213">
        <f t="shared" si="529"/>
        <v>-2904775.3987276382</v>
      </c>
      <c r="L118" s="213">
        <f t="shared" si="529"/>
        <v>-4034727.6146971444</v>
      </c>
      <c r="M118" s="213">
        <f t="shared" si="529"/>
        <v>1920986.8484982515</v>
      </c>
      <c r="N118" s="213">
        <f t="shared" si="529"/>
        <v>1538151.4862279575</v>
      </c>
      <c r="O118" s="213">
        <f t="shared" si="529"/>
        <v>-1009598.5511026683</v>
      </c>
      <c r="P118" s="213">
        <f t="shared" si="529"/>
        <v>1012640.7951662851</v>
      </c>
      <c r="Q118" s="213">
        <f t="shared" si="529"/>
        <v>-496506.44322743162</v>
      </c>
      <c r="R118" s="213">
        <f t="shared" si="529"/>
        <v>-3485675.7337346813</v>
      </c>
      <c r="S118" s="213">
        <f t="shared" si="529"/>
        <v>-3902798.2598173767</v>
      </c>
      <c r="T118" s="213">
        <f t="shared" si="529"/>
        <v>-3902896.732646327</v>
      </c>
      <c r="U118" s="213">
        <f t="shared" si="529"/>
        <v>-4796439.1973179271</v>
      </c>
      <c r="V118" s="213">
        <f t="shared" si="529"/>
        <v>-9805662.5876295548</v>
      </c>
      <c r="W118" s="213">
        <f t="shared" si="529"/>
        <v>-16631471.142647395</v>
      </c>
      <c r="X118" s="213">
        <f t="shared" si="529"/>
        <v>-13649905.889616016</v>
      </c>
      <c r="Y118" s="213">
        <f t="shared" si="529"/>
        <v>-12936944.927420657</v>
      </c>
      <c r="Z118" s="213">
        <f t="shared" si="529"/>
        <v>-7979133.5022878591</v>
      </c>
      <c r="AA118" s="213">
        <f t="shared" si="529"/>
        <v>-6519186.0990725206</v>
      </c>
      <c r="AB118" s="213">
        <f t="shared" si="529"/>
        <v>-5313231.0560209109</v>
      </c>
      <c r="AC118" s="213">
        <f t="shared" si="529"/>
        <v>-601323.45232202893</v>
      </c>
      <c r="AD118" s="213">
        <f t="shared" si="529"/>
        <v>-4736192.7290115058</v>
      </c>
      <c r="AE118" s="213">
        <f t="shared" si="529"/>
        <v>-2170550.5026812106</v>
      </c>
      <c r="AF118" s="213">
        <f t="shared" si="529"/>
        <v>8613.6570394486189</v>
      </c>
      <c r="AG118" s="213">
        <f t="shared" si="529"/>
        <v>-2883506.6625643373</v>
      </c>
      <c r="AH118" s="213">
        <f t="shared" si="529"/>
        <v>-2897026.2853321843</v>
      </c>
      <c r="AI118" s="213">
        <f t="shared" si="529"/>
        <v>-8336220.8424310423</v>
      </c>
      <c r="AJ118" s="213">
        <f t="shared" si="529"/>
        <v>-1343162.2219961211</v>
      </c>
      <c r="AK118" s="213">
        <f t="shared" si="529"/>
        <v>-5400594.5792197399</v>
      </c>
      <c r="AL118" s="213">
        <f t="shared" si="529"/>
        <v>-6230559.3216461837</v>
      </c>
      <c r="AM118" s="213">
        <f t="shared" si="529"/>
        <v>-3174421.5683990605</v>
      </c>
      <c r="AN118" s="213">
        <f t="shared" si="529"/>
        <v>-1117206.8746949174</v>
      </c>
      <c r="AO118" s="213">
        <f t="shared" si="529"/>
        <v>7301745.0470485911</v>
      </c>
      <c r="AP118" s="213">
        <f t="shared" si="529"/>
        <v>6546589.6829648912</v>
      </c>
      <c r="AQ118" s="213">
        <f t="shared" si="529"/>
        <v>9865484.2844857723</v>
      </c>
      <c r="AR118" s="213">
        <f t="shared" si="529"/>
        <v>12785832.324221388</v>
      </c>
      <c r="AS118" s="213">
        <f t="shared" si="529"/>
        <v>10024517.212612405</v>
      </c>
      <c r="AT118" s="213">
        <f t="shared" si="529"/>
        <v>3382010.417115856</v>
      </c>
      <c r="AU118" s="213">
        <f t="shared" si="529"/>
        <v>-4871071.5462193191</v>
      </c>
      <c r="AV118" s="213">
        <f t="shared" si="529"/>
        <v>7190860.4921812713</v>
      </c>
      <c r="AW118" s="213">
        <f t="shared" si="529"/>
        <v>9049445.2432175279</v>
      </c>
      <c r="AX118" s="213">
        <f t="shared" si="529"/>
        <v>14883308.446367122</v>
      </c>
      <c r="AY118" s="213">
        <f t="shared" si="529"/>
        <v>12063820.087749451</v>
      </c>
      <c r="AZ118" s="213">
        <f t="shared" si="529"/>
        <v>8784144.7227052376</v>
      </c>
      <c r="BA118" s="213">
        <f t="shared" si="529"/>
        <v>17695218.079383783</v>
      </c>
      <c r="BB118" s="213">
        <f t="shared" si="529"/>
        <v>11172328.313904434</v>
      </c>
      <c r="BC118" s="213">
        <f t="shared" si="529"/>
        <v>7384472.1285273135</v>
      </c>
      <c r="BD118" s="213">
        <f t="shared" si="529"/>
        <v>12308098.782874137</v>
      </c>
      <c r="BE118" s="213">
        <f t="shared" si="529"/>
        <v>8387889.0575466007</v>
      </c>
      <c r="BF118" s="213">
        <f t="shared" si="529"/>
        <v>6931981.0439363495</v>
      </c>
      <c r="BG118" s="213">
        <f t="shared" si="529"/>
        <v>-2498031.4351371825</v>
      </c>
      <c r="BH118" s="213">
        <f t="shared" si="529"/>
        <v>18331623.911149889</v>
      </c>
      <c r="BI118" s="213">
        <f t="shared" si="529"/>
        <v>18054429.28166309</v>
      </c>
      <c r="BJ118" s="213">
        <f t="shared" si="529"/>
        <v>23046493.839617677</v>
      </c>
      <c r="BK118" s="213">
        <f t="shared" si="529"/>
        <v>26542084.940140098</v>
      </c>
      <c r="BL118" s="213">
        <f t="shared" si="529"/>
        <v>20559845.259369895</v>
      </c>
      <c r="BM118" s="213">
        <f t="shared" si="529"/>
        <v>17141398.017487571</v>
      </c>
      <c r="BN118" s="213">
        <f t="shared" si="529"/>
        <v>18353103.043754682</v>
      </c>
      <c r="BO118" s="213">
        <f t="shared" si="529"/>
        <v>16306775.628098756</v>
      </c>
      <c r="BP118" s="213">
        <f t="shared" ref="BP118:CK118" si="530">BP103-BP108-BP113</f>
        <v>16024843.598927617</v>
      </c>
      <c r="BQ118" s="213">
        <f t="shared" si="530"/>
        <v>23756202.039396953</v>
      </c>
      <c r="BR118" s="213">
        <f t="shared" si="530"/>
        <v>12839281.803198939</v>
      </c>
      <c r="BS118" s="213">
        <f t="shared" si="530"/>
        <v>6295270.6157216383</v>
      </c>
      <c r="BT118" s="213">
        <f t="shared" si="530"/>
        <v>27080514.791136134</v>
      </c>
      <c r="BU118" s="213">
        <f t="shared" si="530"/>
        <v>18653865.480364144</v>
      </c>
      <c r="BV118" s="213">
        <f t="shared" si="530"/>
        <v>37056141.136028647</v>
      </c>
      <c r="BW118" s="213">
        <f t="shared" si="530"/>
        <v>39853414.931710258</v>
      </c>
      <c r="BX118" s="213">
        <f t="shared" si="530"/>
        <v>31409221.988804489</v>
      </c>
      <c r="BY118" s="213">
        <f t="shared" si="530"/>
        <v>49398245.015736371</v>
      </c>
      <c r="BZ118" s="213">
        <f t="shared" si="530"/>
        <v>30604118.412563212</v>
      </c>
      <c r="CA118" s="213">
        <f t="shared" si="530"/>
        <v>28373225.211962894</v>
      </c>
      <c r="CB118" s="213">
        <f t="shared" si="530"/>
        <v>27476252.826774426</v>
      </c>
      <c r="CC118" s="213">
        <f t="shared" si="530"/>
        <v>36834254.783492707</v>
      </c>
      <c r="CD118" s="213">
        <f t="shared" si="530"/>
        <v>23323236.817448456</v>
      </c>
      <c r="CE118" s="213">
        <f t="shared" si="530"/>
        <v>15137046.327834871</v>
      </c>
      <c r="CF118" s="213">
        <f t="shared" si="530"/>
        <v>39981147.597052999</v>
      </c>
      <c r="CG118" s="213">
        <f t="shared" si="530"/>
        <v>29233237.656604346</v>
      </c>
      <c r="CH118" s="213">
        <f t="shared" si="530"/>
        <v>50900209.357644223</v>
      </c>
      <c r="CI118" s="213">
        <f t="shared" si="530"/>
        <v>53697208.101447552</v>
      </c>
      <c r="CJ118" s="213">
        <f t="shared" si="530"/>
        <v>43036623.922318101</v>
      </c>
      <c r="CK118" s="213">
        <f t="shared" si="530"/>
        <v>62797061.855147816</v>
      </c>
      <c r="CL118" s="213">
        <f t="shared" ref="CL118:CW118" si="531">CL103-CL108-CL113</f>
        <v>35704905.134578481</v>
      </c>
      <c r="CM118" s="213">
        <f t="shared" si="531"/>
        <v>33086697.89118614</v>
      </c>
      <c r="CN118" s="213">
        <f t="shared" si="531"/>
        <v>32007864.414771862</v>
      </c>
      <c r="CO118" s="213">
        <f t="shared" si="531"/>
        <v>42439139.917626292</v>
      </c>
      <c r="CP118" s="213">
        <f t="shared" si="531"/>
        <v>27177569.964265395</v>
      </c>
      <c r="CQ118" s="213">
        <f t="shared" si="531"/>
        <v>17876558.26061796</v>
      </c>
      <c r="CR118" s="213">
        <f t="shared" si="531"/>
        <v>45668476.335226014</v>
      </c>
      <c r="CS118" s="213">
        <f t="shared" si="531"/>
        <v>33569544.158249237</v>
      </c>
      <c r="CT118" s="213">
        <f t="shared" si="531"/>
        <v>57770966.782655209</v>
      </c>
      <c r="CU118" s="213">
        <f t="shared" si="531"/>
        <v>60858677.629636496</v>
      </c>
      <c r="CV118" s="213">
        <f t="shared" si="531"/>
        <v>48868109.68522913</v>
      </c>
      <c r="CW118" s="213">
        <f t="shared" si="531"/>
        <v>70904237.856419027</v>
      </c>
      <c r="CX118" s="168"/>
      <c r="CY118" s="213">
        <f t="shared" si="499"/>
        <v>-6898129.5746532679</v>
      </c>
      <c r="CZ118" s="213">
        <f t="shared" si="500"/>
        <v>-14116753.790327564</v>
      </c>
      <c r="DA118" s="213">
        <f t="shared" si="501"/>
        <v>-12974316.122862045</v>
      </c>
      <c r="DB118" s="213">
        <f t="shared" si="502"/>
        <v>3010116.6039546132</v>
      </c>
      <c r="DC118" s="213">
        <f t="shared" si="503"/>
        <v>29197906.291672051</v>
      </c>
      <c r="DD118" s="213">
        <f t="shared" si="504"/>
        <v>8535456.0835089423</v>
      </c>
      <c r="DE118" s="213">
        <f t="shared" si="505"/>
        <v>31123614.181765921</v>
      </c>
      <c r="DF118" s="213">
        <f t="shared" si="506"/>
        <v>38543182.889838472</v>
      </c>
      <c r="DG118" s="213">
        <f t="shared" si="507"/>
        <v>30864899.225305885</v>
      </c>
      <c r="DH118" s="213">
        <f t="shared" si="508"/>
        <v>12821838.666345768</v>
      </c>
      <c r="DI118" s="213">
        <f t="shared" si="509"/>
        <v>59432547.032430656</v>
      </c>
      <c r="DJ118" s="213">
        <f t="shared" si="510"/>
        <v>64243328.216997564</v>
      </c>
      <c r="DK118" s="213">
        <f t="shared" si="511"/>
        <v>50684722.270781055</v>
      </c>
      <c r="DL118" s="213">
        <f t="shared" si="512"/>
        <v>42890754.458317526</v>
      </c>
      <c r="DM118" s="213">
        <f t="shared" si="513"/>
        <v>82790521.407528922</v>
      </c>
      <c r="DN118" s="213">
        <f t="shared" si="514"/>
        <v>120660881.93625112</v>
      </c>
      <c r="DO118" s="213">
        <f t="shared" si="515"/>
        <v>86453596.451300532</v>
      </c>
      <c r="DP118" s="213">
        <f t="shared" si="516"/>
        <v>75294537.928776041</v>
      </c>
      <c r="DQ118" s="213">
        <f t="shared" si="517"/>
        <v>120114594.61130157</v>
      </c>
      <c r="DR118" s="213">
        <f t="shared" si="518"/>
        <v>159530893.87891346</v>
      </c>
      <c r="DS118" s="213">
        <f t="shared" si="519"/>
        <v>100799467.44053647</v>
      </c>
      <c r="DT118" s="213">
        <f t="shared" si="520"/>
        <v>87493268.142509639</v>
      </c>
      <c r="DU118" s="213">
        <f t="shared" si="521"/>
        <v>137008987.27613047</v>
      </c>
      <c r="DV118" s="213">
        <f t="shared" si="522"/>
        <v>180631025.17128465</v>
      </c>
      <c r="DX118" s="213">
        <f t="shared" si="523"/>
        <v>-30979082.88388826</v>
      </c>
      <c r="DY118" s="213">
        <f t="shared" si="524"/>
        <v>107400159.44678538</v>
      </c>
      <c r="DZ118" s="213">
        <f t="shared" si="525"/>
        <v>167362613.14107987</v>
      </c>
      <c r="EA118" s="213">
        <f t="shared" si="526"/>
        <v>297026880.0728786</v>
      </c>
      <c r="EB118" s="213">
        <f t="shared" si="527"/>
        <v>441393622.87029165</v>
      </c>
      <c r="EC118" s="770">
        <f t="shared" si="528"/>
        <v>505932748.03046119</v>
      </c>
    </row>
    <row r="119" spans="2:133" x14ac:dyDescent="0.2">
      <c r="B119" s="155" t="s">
        <v>237</v>
      </c>
      <c r="C119" s="213">
        <f>C104-C109-C114</f>
        <v>203475.88298927096</v>
      </c>
      <c r="D119" s="213">
        <f t="shared" ref="D119:BO119" si="532">D104-D109-D114</f>
        <v>74235.310501297878</v>
      </c>
      <c r="E119" s="213">
        <f t="shared" si="532"/>
        <v>240875.336477442</v>
      </c>
      <c r="F119" s="213">
        <f t="shared" si="532"/>
        <v>52134.397836306664</v>
      </c>
      <c r="G119" s="213">
        <f t="shared" si="532"/>
        <v>-10291.214259839586</v>
      </c>
      <c r="H119" s="213">
        <f t="shared" si="532"/>
        <v>394923.07891028922</v>
      </c>
      <c r="I119" s="213">
        <f t="shared" si="532"/>
        <v>813893.34043852915</v>
      </c>
      <c r="J119" s="213">
        <f t="shared" si="532"/>
        <v>474499.38282153435</v>
      </c>
      <c r="K119" s="213">
        <f t="shared" si="532"/>
        <v>883373.02715372446</v>
      </c>
      <c r="L119" s="213">
        <f t="shared" si="532"/>
        <v>24356.37830486914</v>
      </c>
      <c r="M119" s="213">
        <f t="shared" si="532"/>
        <v>1604990.9790175082</v>
      </c>
      <c r="N119" s="213">
        <f t="shared" si="532"/>
        <v>1888787.1537426235</v>
      </c>
      <c r="O119" s="213">
        <f t="shared" si="532"/>
        <v>2583430.5207495843</v>
      </c>
      <c r="P119" s="213">
        <f t="shared" si="532"/>
        <v>3047654.5262074382</v>
      </c>
      <c r="Q119" s="213">
        <f t="shared" si="532"/>
        <v>1705715.8074460905</v>
      </c>
      <c r="R119" s="213">
        <f t="shared" si="532"/>
        <v>1444266.1441323149</v>
      </c>
      <c r="S119" s="213">
        <f t="shared" si="532"/>
        <v>1372785.8040951418</v>
      </c>
      <c r="T119" s="213">
        <f t="shared" si="532"/>
        <v>1866760.8334801141</v>
      </c>
      <c r="U119" s="213">
        <f t="shared" si="532"/>
        <v>148926.55910185352</v>
      </c>
      <c r="V119" s="213">
        <f t="shared" si="532"/>
        <v>-879358.6255802582</v>
      </c>
      <c r="W119" s="213">
        <f t="shared" si="532"/>
        <v>-1074566.3077800798</v>
      </c>
      <c r="X119" s="213">
        <f t="shared" si="532"/>
        <v>-263542.61688757944</v>
      </c>
      <c r="Y119" s="213">
        <f t="shared" si="532"/>
        <v>724857.92623324366</v>
      </c>
      <c r="Z119" s="213">
        <f t="shared" si="532"/>
        <v>-424291.78252482839</v>
      </c>
      <c r="AA119" s="213">
        <f t="shared" si="532"/>
        <v>1509334.7285337509</v>
      </c>
      <c r="AB119" s="213">
        <f t="shared" si="532"/>
        <v>2965403.7764844755</v>
      </c>
      <c r="AC119" s="213">
        <f t="shared" si="532"/>
        <v>54103.987697905395</v>
      </c>
      <c r="AD119" s="213">
        <f t="shared" si="532"/>
        <v>-7922069.6168714575</v>
      </c>
      <c r="AE119" s="213">
        <f t="shared" si="532"/>
        <v>-4613764.3659762898</v>
      </c>
      <c r="AF119" s="213">
        <f t="shared" si="532"/>
        <v>9622.5775268413126</v>
      </c>
      <c r="AG119" s="213">
        <f t="shared" si="532"/>
        <v>-6897074.1424495447</v>
      </c>
      <c r="AH119" s="213">
        <f t="shared" si="532"/>
        <v>-4040064.260376418</v>
      </c>
      <c r="AI119" s="213">
        <f t="shared" si="532"/>
        <v>-10286220.175338708</v>
      </c>
      <c r="AJ119" s="213">
        <f t="shared" si="532"/>
        <v>-8741883.9659951609</v>
      </c>
      <c r="AK119" s="213">
        <f t="shared" si="532"/>
        <v>-2481832.686288517</v>
      </c>
      <c r="AL119" s="213">
        <f t="shared" si="532"/>
        <v>2959342.3644485306</v>
      </c>
      <c r="AM119" s="213">
        <f t="shared" si="532"/>
        <v>3446666.7458320893</v>
      </c>
      <c r="AN119" s="213">
        <f t="shared" si="532"/>
        <v>-2587014.4797109514</v>
      </c>
      <c r="AO119" s="213">
        <f t="shared" si="532"/>
        <v>8477167.3107848018</v>
      </c>
      <c r="AP119" s="213">
        <f t="shared" si="532"/>
        <v>2926672.4236555435</v>
      </c>
      <c r="AQ119" s="213">
        <f t="shared" si="532"/>
        <v>3570576.9600844644</v>
      </c>
      <c r="AR119" s="213">
        <f t="shared" si="532"/>
        <v>7367532.8895602524</v>
      </c>
      <c r="AS119" s="213">
        <f t="shared" si="532"/>
        <v>7352082.1943589151</v>
      </c>
      <c r="AT119" s="213">
        <f t="shared" si="532"/>
        <v>8161269.5595845431</v>
      </c>
      <c r="AU119" s="213">
        <f t="shared" si="532"/>
        <v>13999297.760979027</v>
      </c>
      <c r="AV119" s="213">
        <f t="shared" si="532"/>
        <v>19987453.027486049</v>
      </c>
      <c r="AW119" s="213">
        <f t="shared" si="532"/>
        <v>12722784.492612343</v>
      </c>
      <c r="AX119" s="213">
        <f t="shared" si="532"/>
        <v>14330067.667972546</v>
      </c>
      <c r="AY119" s="213">
        <f t="shared" si="532"/>
        <v>18729135.99916352</v>
      </c>
      <c r="AZ119" s="213">
        <f t="shared" si="532"/>
        <v>16652222.274995446</v>
      </c>
      <c r="BA119" s="213">
        <f t="shared" si="532"/>
        <v>26256783.563337639</v>
      </c>
      <c r="BB119" s="213">
        <f t="shared" si="532"/>
        <v>18452094.950729314</v>
      </c>
      <c r="BC119" s="213">
        <f t="shared" si="532"/>
        <v>19458943.898458958</v>
      </c>
      <c r="BD119" s="213">
        <f t="shared" si="532"/>
        <v>19116512.220736239</v>
      </c>
      <c r="BE119" s="213">
        <f t="shared" si="532"/>
        <v>23223915.435069278</v>
      </c>
      <c r="BF119" s="213">
        <f t="shared" si="532"/>
        <v>22121786.499704696</v>
      </c>
      <c r="BG119" s="213">
        <f t="shared" si="532"/>
        <v>24569570.561739236</v>
      </c>
      <c r="BH119" s="213">
        <f t="shared" si="532"/>
        <v>17349915.556174662</v>
      </c>
      <c r="BI119" s="213">
        <f t="shared" si="532"/>
        <v>16356442.91826129</v>
      </c>
      <c r="BJ119" s="213">
        <f t="shared" si="532"/>
        <v>19794508.77454263</v>
      </c>
      <c r="BK119" s="213">
        <f t="shared" si="532"/>
        <v>20284329.303282883</v>
      </c>
      <c r="BL119" s="213">
        <f t="shared" si="532"/>
        <v>10752506.061890133</v>
      </c>
      <c r="BM119" s="213">
        <f t="shared" si="532"/>
        <v>14926461.530222435</v>
      </c>
      <c r="BN119" s="213">
        <f t="shared" si="532"/>
        <v>23184176.775765013</v>
      </c>
      <c r="BO119" s="213">
        <f t="shared" si="532"/>
        <v>23596032.272928134</v>
      </c>
      <c r="BP119" s="213">
        <f t="shared" ref="BP119:CK119" si="533">BP104-BP109-BP114</f>
        <v>23566788.095614795</v>
      </c>
      <c r="BQ119" s="213">
        <f t="shared" si="533"/>
        <v>24183352.833971381</v>
      </c>
      <c r="BR119" s="213">
        <f t="shared" si="533"/>
        <v>21790204.323828366</v>
      </c>
      <c r="BS119" s="213">
        <f t="shared" si="533"/>
        <v>25460348.576654509</v>
      </c>
      <c r="BT119" s="213">
        <f t="shared" si="533"/>
        <v>23819716.947739664</v>
      </c>
      <c r="BU119" s="213">
        <f t="shared" si="533"/>
        <v>23917197.538784299</v>
      </c>
      <c r="BV119" s="213">
        <f t="shared" si="533"/>
        <v>33394748.003087733</v>
      </c>
      <c r="BW119" s="213">
        <f t="shared" si="533"/>
        <v>37357334.029047541</v>
      </c>
      <c r="BX119" s="213">
        <f t="shared" si="533"/>
        <v>29495524.361307006</v>
      </c>
      <c r="BY119" s="213">
        <f t="shared" si="533"/>
        <v>33302141.441595566</v>
      </c>
      <c r="BZ119" s="213">
        <f t="shared" si="533"/>
        <v>28635933.590428714</v>
      </c>
      <c r="CA119" s="213">
        <f t="shared" si="533"/>
        <v>29114154.416305441</v>
      </c>
      <c r="CB119" s="213">
        <f t="shared" si="533"/>
        <v>29080197.907959256</v>
      </c>
      <c r="CC119" s="213">
        <f t="shared" si="533"/>
        <v>29796114.292259995</v>
      </c>
      <c r="CD119" s="213">
        <f t="shared" si="533"/>
        <v>27017340.02592263</v>
      </c>
      <c r="CE119" s="213">
        <f t="shared" si="533"/>
        <v>31278881.823380951</v>
      </c>
      <c r="CF119" s="213">
        <f t="shared" si="533"/>
        <v>29424859.50876037</v>
      </c>
      <c r="CG119" s="213">
        <f t="shared" si="533"/>
        <v>29538047.869914658</v>
      </c>
      <c r="CH119" s="213">
        <f t="shared" si="533"/>
        <v>40542786.283138759</v>
      </c>
      <c r="CI119" s="213">
        <f t="shared" si="533"/>
        <v>45143893.164059736</v>
      </c>
      <c r="CJ119" s="213">
        <f t="shared" si="533"/>
        <v>36015251.836967789</v>
      </c>
      <c r="CK119" s="213">
        <f t="shared" si="533"/>
        <v>40435257.340042077</v>
      </c>
      <c r="CL119" s="213">
        <f t="shared" ref="CL119:CW119" si="534">CL104-CL109-CL114</f>
        <v>35536999.397147894</v>
      </c>
      <c r="CM119" s="213">
        <f t="shared" si="534"/>
        <v>36097159.402005404</v>
      </c>
      <c r="CN119" s="213">
        <f t="shared" si="534"/>
        <v>36057384.727104388</v>
      </c>
      <c r="CO119" s="213">
        <f t="shared" si="534"/>
        <v>36895967.456269726</v>
      </c>
      <c r="CP119" s="213">
        <f t="shared" si="534"/>
        <v>33641073.226861037</v>
      </c>
      <c r="CQ119" s="213">
        <f t="shared" si="534"/>
        <v>38632794.926952116</v>
      </c>
      <c r="CR119" s="213">
        <f t="shared" si="534"/>
        <v>36519541.042292058</v>
      </c>
      <c r="CS119" s="213">
        <f t="shared" si="534"/>
        <v>36652123.29196246</v>
      </c>
      <c r="CT119" s="213">
        <f t="shared" si="534"/>
        <v>49542432.51616843</v>
      </c>
      <c r="CU119" s="213">
        <f t="shared" si="534"/>
        <v>54931900.965270549</v>
      </c>
      <c r="CV119" s="213">
        <f t="shared" si="534"/>
        <v>44239142.52935192</v>
      </c>
      <c r="CW119" s="213">
        <f t="shared" si="534"/>
        <v>49416479.378981546</v>
      </c>
      <c r="CX119" s="168"/>
      <c r="CY119" s="213">
        <f t="shared" si="499"/>
        <v>-12526211.405320905</v>
      </c>
      <c r="CZ119" s="213">
        <f t="shared" si="500"/>
        <v>-21223358.578164671</v>
      </c>
      <c r="DA119" s="213">
        <f t="shared" si="501"/>
        <v>-8264374.2878351472</v>
      </c>
      <c r="DB119" s="213">
        <f t="shared" si="502"/>
        <v>9336819.5769059397</v>
      </c>
      <c r="DC119" s="213">
        <f t="shared" si="503"/>
        <v>13864782.27330026</v>
      </c>
      <c r="DD119" s="213">
        <f t="shared" si="504"/>
        <v>29512649.514922485</v>
      </c>
      <c r="DE119" s="213">
        <f t="shared" si="505"/>
        <v>47040305.188070938</v>
      </c>
      <c r="DF119" s="213">
        <f t="shared" si="506"/>
        <v>61638141.837496608</v>
      </c>
      <c r="DG119" s="213">
        <f t="shared" si="507"/>
        <v>57027551.069924504</v>
      </c>
      <c r="DH119" s="213">
        <f t="shared" si="508"/>
        <v>69915272.496513218</v>
      </c>
      <c r="DI119" s="213">
        <f t="shared" si="509"/>
        <v>53500867.248978585</v>
      </c>
      <c r="DJ119" s="213">
        <f t="shared" si="510"/>
        <v>45963296.89539545</v>
      </c>
      <c r="DK119" s="213">
        <f t="shared" si="511"/>
        <v>70346997.144307941</v>
      </c>
      <c r="DL119" s="213">
        <f t="shared" si="512"/>
        <v>71433905.734454259</v>
      </c>
      <c r="DM119" s="213">
        <f t="shared" si="513"/>
        <v>81131662.4896117</v>
      </c>
      <c r="DN119" s="213">
        <f t="shared" si="514"/>
        <v>100154999.83195011</v>
      </c>
      <c r="DO119" s="213">
        <f t="shared" si="515"/>
        <v>86830285.914693415</v>
      </c>
      <c r="DP119" s="213">
        <f t="shared" si="516"/>
        <v>88092336.141563579</v>
      </c>
      <c r="DQ119" s="213">
        <f t="shared" si="517"/>
        <v>99505693.661813796</v>
      </c>
      <c r="DR119" s="213">
        <f t="shared" si="518"/>
        <v>121594402.34106961</v>
      </c>
      <c r="DS119" s="213">
        <f t="shared" si="519"/>
        <v>107691543.52625769</v>
      </c>
      <c r="DT119" s="213">
        <f t="shared" si="520"/>
        <v>109169835.61008289</v>
      </c>
      <c r="DU119" s="213">
        <f t="shared" si="521"/>
        <v>122714096.85042295</v>
      </c>
      <c r="DV119" s="213">
        <f t="shared" si="522"/>
        <v>148587522.873604</v>
      </c>
      <c r="DX119" s="213">
        <f t="shared" si="523"/>
        <v>-32677124.694414791</v>
      </c>
      <c r="DY119" s="213">
        <f t="shared" si="524"/>
        <v>152055878.81379029</v>
      </c>
      <c r="DZ119" s="213">
        <f t="shared" si="525"/>
        <v>226406987.71081176</v>
      </c>
      <c r="EA119" s="213">
        <f t="shared" si="526"/>
        <v>323067565.200324</v>
      </c>
      <c r="EB119" s="213">
        <f t="shared" si="527"/>
        <v>396022718.05914044</v>
      </c>
      <c r="EC119" s="770">
        <f t="shared" si="528"/>
        <v>488162998.86036754</v>
      </c>
    </row>
    <row r="120" spans="2:133" x14ac:dyDescent="0.2">
      <c r="B120" s="22" t="s">
        <v>59</v>
      </c>
      <c r="C120" s="171">
        <f>C117/C30</f>
        <v>1.6344351916405937E-2</v>
      </c>
      <c r="D120" s="171">
        <f t="shared" ref="D120:BO120" si="535">D117/D30</f>
        <v>2.34552079990153E-2</v>
      </c>
      <c r="E120" s="171">
        <f t="shared" si="535"/>
        <v>2.2852260256585974E-2</v>
      </c>
      <c r="F120" s="171">
        <f t="shared" si="535"/>
        <v>-8.6421250643780867E-2</v>
      </c>
      <c r="G120" s="171">
        <f t="shared" si="535"/>
        <v>-1.3577370065852785</v>
      </c>
      <c r="H120" s="171">
        <f t="shared" si="535"/>
        <v>-7.6372057993887937E-2</v>
      </c>
      <c r="I120" s="171">
        <f t="shared" si="535"/>
        <v>-4.6022365380920693E-2</v>
      </c>
      <c r="J120" s="171">
        <f t="shared" si="535"/>
        <v>-5.4699010646333833E-2</v>
      </c>
      <c r="K120" s="171">
        <f t="shared" si="535"/>
        <v>-4.4265051509051315E-2</v>
      </c>
      <c r="L120" s="171">
        <f t="shared" si="535"/>
        <v>-7.5662434160454428E-2</v>
      </c>
      <c r="M120" s="171">
        <f t="shared" si="535"/>
        <v>4.1561195651261575E-2</v>
      </c>
      <c r="N120" s="171">
        <f t="shared" si="535"/>
        <v>3.4450197475004551E-2</v>
      </c>
      <c r="O120" s="171">
        <f t="shared" si="535"/>
        <v>1.4871047003141624E-2</v>
      </c>
      <c r="P120" s="171">
        <f t="shared" si="535"/>
        <v>3.5341602840359948E-2</v>
      </c>
      <c r="Q120" s="171">
        <f t="shared" si="535"/>
        <v>9.9650670989142633E-3</v>
      </c>
      <c r="R120" s="171">
        <f t="shared" si="535"/>
        <v>-1.8774970434523617E-2</v>
      </c>
      <c r="S120" s="171">
        <f t="shared" si="535"/>
        <v>-1.8764643216274888E-2</v>
      </c>
      <c r="T120" s="171">
        <f t="shared" si="535"/>
        <v>-1.1773231499990903E-2</v>
      </c>
      <c r="U120" s="171">
        <f t="shared" si="535"/>
        <v>-2.7477909729640752E-2</v>
      </c>
      <c r="V120" s="171">
        <f t="shared" si="535"/>
        <v>-6.4441675042020696E-2</v>
      </c>
      <c r="W120" s="171">
        <f t="shared" si="535"/>
        <v>-0.1093652224580474</v>
      </c>
      <c r="X120" s="171">
        <f t="shared" si="535"/>
        <v>-6.8413695482322498E-2</v>
      </c>
      <c r="Y120" s="171">
        <f t="shared" si="535"/>
        <v>-6.144208425179519E-2</v>
      </c>
      <c r="Z120" s="171">
        <f t="shared" si="535"/>
        <v>-3.5947927629061474E-2</v>
      </c>
      <c r="AA120" s="171">
        <f t="shared" si="535"/>
        <v>-1.8925663009872962E-2</v>
      </c>
      <c r="AB120" s="171">
        <f t="shared" si="535"/>
        <v>-8.3133918109412532E-3</v>
      </c>
      <c r="AC120" s="171">
        <f t="shared" si="535"/>
        <v>-1.3700996421678485E-3</v>
      </c>
      <c r="AD120" s="171">
        <f t="shared" si="535"/>
        <v>-2.7895974211496335E-2</v>
      </c>
      <c r="AE120" s="171">
        <f t="shared" si="535"/>
        <v>-1.4465659490518337E-2</v>
      </c>
      <c r="AF120" s="171">
        <f t="shared" si="535"/>
        <v>3.7056229416760815E-5</v>
      </c>
      <c r="AG120" s="171">
        <f t="shared" si="535"/>
        <v>-2.4633532641294087E-2</v>
      </c>
      <c r="AH120" s="171">
        <f t="shared" si="535"/>
        <v>-1.6650346529008011E-2</v>
      </c>
      <c r="AI120" s="171">
        <f t="shared" si="535"/>
        <v>-4.4177098324238627E-2</v>
      </c>
      <c r="AJ120" s="171">
        <f t="shared" si="535"/>
        <v>-1.5997654901509738E-2</v>
      </c>
      <c r="AK120" s="171">
        <f t="shared" si="535"/>
        <v>-1.4952949310861342E-2</v>
      </c>
      <c r="AL120" s="171">
        <f t="shared" si="535"/>
        <v>-6.9446791441558032E-3</v>
      </c>
      <c r="AM120" s="171">
        <f t="shared" si="535"/>
        <v>6.101841069244277E-4</v>
      </c>
      <c r="AN120" s="171">
        <f t="shared" si="535"/>
        <v>-1.0033316096362073E-2</v>
      </c>
      <c r="AO120" s="171">
        <f t="shared" si="535"/>
        <v>3.3119991328369E-2</v>
      </c>
      <c r="AP120" s="171">
        <f t="shared" si="535"/>
        <v>1.951452126619737E-2</v>
      </c>
      <c r="AQ120" s="171">
        <f t="shared" si="535"/>
        <v>2.6749396167462788E-2</v>
      </c>
      <c r="AR120" s="171">
        <f t="shared" si="535"/>
        <v>3.8011753522045173E-2</v>
      </c>
      <c r="AS120" s="171">
        <f t="shared" si="535"/>
        <v>3.3287550106707198E-2</v>
      </c>
      <c r="AT120" s="171">
        <f t="shared" si="535"/>
        <v>2.5002151382946008E-2</v>
      </c>
      <c r="AU120" s="171">
        <f t="shared" si="535"/>
        <v>2.0963308848561915E-2</v>
      </c>
      <c r="AV120" s="171">
        <f t="shared" si="535"/>
        <v>5.0068278250852985E-2</v>
      </c>
      <c r="AW120" s="171">
        <f t="shared" si="535"/>
        <v>4.2824199931896116E-2</v>
      </c>
      <c r="AX120" s="171">
        <f t="shared" si="535"/>
        <v>4.8211169608046396E-2</v>
      </c>
      <c r="AY120" s="171">
        <f t="shared" si="535"/>
        <v>4.7488917539024109E-2</v>
      </c>
      <c r="AZ120" s="171">
        <f t="shared" si="535"/>
        <v>4.1121981015995596E-2</v>
      </c>
      <c r="BA120" s="171">
        <f t="shared" si="535"/>
        <v>5.5233889149515256E-2</v>
      </c>
      <c r="BB120" s="171">
        <f t="shared" si="535"/>
        <v>4.0529945828730089E-2</v>
      </c>
      <c r="BC120" s="171">
        <f t="shared" si="535"/>
        <v>3.764236313506119E-2</v>
      </c>
      <c r="BD120" s="171">
        <f t="shared" si="535"/>
        <v>4.3466294760921974E-2</v>
      </c>
      <c r="BE120" s="171">
        <f t="shared" si="535"/>
        <v>4.0697465565678312E-2</v>
      </c>
      <c r="BF120" s="171">
        <f t="shared" si="535"/>
        <v>4.3870187101613015E-2</v>
      </c>
      <c r="BG120" s="171">
        <f t="shared" si="535"/>
        <v>3.062970475976386E-2</v>
      </c>
      <c r="BH120" s="171">
        <f t="shared" si="535"/>
        <v>4.2650725869683589E-2</v>
      </c>
      <c r="BI120" s="171">
        <f t="shared" si="535"/>
        <v>4.4338119370871586E-2</v>
      </c>
      <c r="BJ120" s="171">
        <f t="shared" si="535"/>
        <v>4.4803936578540537E-2</v>
      </c>
      <c r="BK120" s="171">
        <f t="shared" si="535"/>
        <v>4.5101242492312218E-2</v>
      </c>
      <c r="BL120" s="171">
        <f t="shared" si="535"/>
        <v>3.341038324456367E-2</v>
      </c>
      <c r="BM120" s="171">
        <f t="shared" si="535"/>
        <v>2.8977646484392661E-2</v>
      </c>
      <c r="BN120" s="171">
        <f t="shared" si="535"/>
        <v>4.2548085841613577E-2</v>
      </c>
      <c r="BO120" s="171">
        <f t="shared" si="535"/>
        <v>4.129788083655539E-2</v>
      </c>
      <c r="BP120" s="171">
        <f t="shared" ref="BP120:EC120" si="536">BP117/BP30</f>
        <v>4.107188395868254E-2</v>
      </c>
      <c r="BQ120" s="171">
        <f t="shared" si="536"/>
        <v>4.6912592543291512E-2</v>
      </c>
      <c r="BR120" s="171">
        <f t="shared" si="536"/>
        <v>3.741392218106946E-2</v>
      </c>
      <c r="BS120" s="171">
        <f t="shared" si="536"/>
        <v>3.4696723421005986E-2</v>
      </c>
      <c r="BT120" s="171">
        <f t="shared" si="536"/>
        <v>4.870856620762213E-2</v>
      </c>
      <c r="BU120" s="171">
        <f t="shared" si="536"/>
        <v>4.3044860892067549E-2</v>
      </c>
      <c r="BV120" s="171">
        <f t="shared" si="536"/>
        <v>5.8631099003630352E-2</v>
      </c>
      <c r="BW120" s="171">
        <f t="shared" si="536"/>
        <v>6.1403715339906961E-2</v>
      </c>
      <c r="BX120" s="171">
        <f t="shared" si="536"/>
        <v>5.4035508167346757E-2</v>
      </c>
      <c r="BY120" s="171">
        <f t="shared" si="536"/>
        <v>6.4450844236534008E-2</v>
      </c>
      <c r="BZ120" s="171">
        <f t="shared" si="536"/>
        <v>5.0037885288916763E-2</v>
      </c>
      <c r="CA120" s="171">
        <f t="shared" si="536"/>
        <v>4.8995327498895125E-2</v>
      </c>
      <c r="CB120" s="171">
        <f t="shared" si="536"/>
        <v>4.8467809242963004E-2</v>
      </c>
      <c r="CC120" s="171">
        <f t="shared" si="536"/>
        <v>5.3864399153048442E-2</v>
      </c>
      <c r="CD120" s="171">
        <f t="shared" si="536"/>
        <v>4.499170256328866E-2</v>
      </c>
      <c r="CE120" s="171">
        <f t="shared" si="536"/>
        <v>4.2054548179969467E-2</v>
      </c>
      <c r="CF120" s="171">
        <f t="shared" si="536"/>
        <v>5.51186805168608E-2</v>
      </c>
      <c r="CG120" s="171">
        <f t="shared" si="536"/>
        <v>4.9488094608026112E-2</v>
      </c>
      <c r="CH120" s="171">
        <f t="shared" si="536"/>
        <v>6.3547418715659193E-2</v>
      </c>
      <c r="CI120" s="171">
        <f t="shared" si="536"/>
        <v>6.5817827209707649E-2</v>
      </c>
      <c r="CJ120" s="171">
        <f t="shared" si="536"/>
        <v>5.8873012385455899E-2</v>
      </c>
      <c r="CK120" s="171">
        <f t="shared" si="536"/>
        <v>6.8015410007316701E-2</v>
      </c>
      <c r="CL120" s="171">
        <f t="shared" ref="CL120:CW120" si="537">CL117/CL30</f>
        <v>5.1917616420148582E-2</v>
      </c>
      <c r="CM120" s="171">
        <f t="shared" si="537"/>
        <v>5.0886753500547242E-2</v>
      </c>
      <c r="CN120" s="171">
        <f t="shared" si="537"/>
        <v>5.0354530729849058E-2</v>
      </c>
      <c r="CO120" s="171">
        <f t="shared" si="537"/>
        <v>5.5419158530186453E-2</v>
      </c>
      <c r="CP120" s="171">
        <f t="shared" si="537"/>
        <v>4.6965785559436028E-2</v>
      </c>
      <c r="CQ120" s="171">
        <f t="shared" si="537"/>
        <v>4.4193861070797001E-2</v>
      </c>
      <c r="CR120" s="171">
        <f t="shared" si="537"/>
        <v>5.6490601066295033E-2</v>
      </c>
      <c r="CS120" s="171">
        <f t="shared" si="537"/>
        <v>5.1146164994476807E-2</v>
      </c>
      <c r="CT120" s="171">
        <f t="shared" si="537"/>
        <v>6.4505280116019789E-2</v>
      </c>
      <c r="CU120" s="171">
        <f t="shared" si="537"/>
        <v>6.6667757768755373E-2</v>
      </c>
      <c r="CV120" s="171">
        <f t="shared" si="537"/>
        <v>6.0014368460897319E-2</v>
      </c>
      <c r="CW120" s="171">
        <f t="shared" si="537"/>
        <v>6.8672596898012098E-2</v>
      </c>
      <c r="CX120" s="168"/>
      <c r="CY120" s="171">
        <f t="shared" si="536"/>
        <v>-1.3728570428629815E-2</v>
      </c>
      <c r="CZ120" s="171">
        <f t="shared" si="536"/>
        <v>-2.8610439604834816E-2</v>
      </c>
      <c r="DA120" s="171">
        <f t="shared" si="536"/>
        <v>-1.3041106195355352E-2</v>
      </c>
      <c r="DB120" s="171">
        <f t="shared" si="536"/>
        <v>9.5580974375532746E-3</v>
      </c>
      <c r="DC120" s="171">
        <f t="shared" si="536"/>
        <v>2.8369378032024817E-2</v>
      </c>
      <c r="DD120" s="171">
        <f t="shared" si="536"/>
        <v>2.6810589757983595E-2</v>
      </c>
      <c r="DE120" s="171">
        <f t="shared" si="536"/>
        <v>4.7166804632924782E-2</v>
      </c>
      <c r="DF120" s="171">
        <f t="shared" si="536"/>
        <v>4.8567434193897099E-2</v>
      </c>
      <c r="DG120" s="171">
        <f t="shared" si="536"/>
        <v>4.0559337836885041E-2</v>
      </c>
      <c r="DH120" s="171">
        <f t="shared" si="536"/>
        <v>3.8311125136855771E-2</v>
      </c>
      <c r="DI120" s="171">
        <f t="shared" si="536"/>
        <v>4.396197918513621E-2</v>
      </c>
      <c r="DJ120" s="171">
        <f t="shared" si="536"/>
        <v>3.5757031960786105E-2</v>
      </c>
      <c r="DK120" s="171">
        <f t="shared" si="536"/>
        <v>4.1642859071822351E-2</v>
      </c>
      <c r="DL120" s="171">
        <f t="shared" si="536"/>
        <v>3.9935921251314219E-2</v>
      </c>
      <c r="DM120" s="171">
        <f t="shared" si="536"/>
        <v>5.0662312344573773E-2</v>
      </c>
      <c r="DN120" s="171">
        <f t="shared" si="536"/>
        <v>6.0205432561223751E-2</v>
      </c>
      <c r="DO120" s="171">
        <f t="shared" si="536"/>
        <v>4.9170899030339457E-2</v>
      </c>
      <c r="DP120" s="171">
        <f t="shared" si="536"/>
        <v>4.7227161460852506E-2</v>
      </c>
      <c r="DQ120" s="171">
        <f t="shared" si="536"/>
        <v>5.6519157604154345E-2</v>
      </c>
      <c r="DR120" s="171">
        <f t="shared" si="536"/>
        <v>6.4444751921180515E-2</v>
      </c>
      <c r="DS120" s="171">
        <f t="shared" si="536"/>
        <v>5.105698621268679E-2</v>
      </c>
      <c r="DT120" s="171">
        <f t="shared" si="536"/>
        <v>4.9102278011309793E-2</v>
      </c>
      <c r="DU120" s="171">
        <f t="shared" si="536"/>
        <v>5.7825528508873208E-2</v>
      </c>
      <c r="DV120" s="171">
        <f t="shared" si="536"/>
        <v>6.5316754863217766E-2</v>
      </c>
      <c r="DW120" s="818"/>
      <c r="DX120" s="171">
        <f t="shared" si="536"/>
        <v>-1.1427428554232746E-2</v>
      </c>
      <c r="DY120" s="171">
        <f t="shared" si="536"/>
        <v>3.8975034992397246E-2</v>
      </c>
      <c r="DZ120" s="171">
        <f t="shared" si="536"/>
        <v>3.9465344902498332E-2</v>
      </c>
      <c r="EA120" s="171">
        <f t="shared" si="536"/>
        <v>4.8932615683570012E-2</v>
      </c>
      <c r="EB120" s="171">
        <f t="shared" si="536"/>
        <v>5.4978356885670876E-2</v>
      </c>
      <c r="EC120" s="171">
        <f t="shared" si="536"/>
        <v>5.6416991730722607E-2</v>
      </c>
    </row>
    <row r="121" spans="2:133" x14ac:dyDescent="0.2">
      <c r="B121" s="22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68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X121" s="19"/>
      <c r="DY121" s="19"/>
      <c r="DZ121" s="19"/>
      <c r="EA121" s="19"/>
      <c r="EB121" s="19"/>
      <c r="EC121" s="770"/>
    </row>
    <row r="122" spans="2:133" x14ac:dyDescent="0.2">
      <c r="B122" s="212" t="s">
        <v>60</v>
      </c>
      <c r="C122" s="199">
        <f>C123+C124</f>
        <v>0</v>
      </c>
      <c r="D122" s="199">
        <f t="shared" ref="D122:BO122" si="538">D123+D124</f>
        <v>0</v>
      </c>
      <c r="E122" s="199">
        <f t="shared" si="538"/>
        <v>0</v>
      </c>
      <c r="F122" s="199">
        <f t="shared" si="538"/>
        <v>0</v>
      </c>
      <c r="G122" s="199">
        <f t="shared" si="538"/>
        <v>0</v>
      </c>
      <c r="H122" s="199">
        <f t="shared" si="538"/>
        <v>0</v>
      </c>
      <c r="I122" s="199">
        <f t="shared" si="538"/>
        <v>0</v>
      </c>
      <c r="J122" s="199">
        <f t="shared" si="538"/>
        <v>0</v>
      </c>
      <c r="K122" s="199">
        <f t="shared" si="538"/>
        <v>0</v>
      </c>
      <c r="L122" s="199">
        <f t="shared" si="538"/>
        <v>0</v>
      </c>
      <c r="M122" s="199">
        <f t="shared" si="538"/>
        <v>0</v>
      </c>
      <c r="N122" s="199">
        <f t="shared" si="538"/>
        <v>0</v>
      </c>
      <c r="O122" s="199">
        <f t="shared" si="538"/>
        <v>0</v>
      </c>
      <c r="P122" s="199">
        <f t="shared" si="538"/>
        <v>0</v>
      </c>
      <c r="Q122" s="199">
        <f t="shared" si="538"/>
        <v>0</v>
      </c>
      <c r="R122" s="199">
        <f t="shared" si="538"/>
        <v>0</v>
      </c>
      <c r="S122" s="199">
        <f t="shared" si="538"/>
        <v>0</v>
      </c>
      <c r="T122" s="199">
        <f t="shared" si="538"/>
        <v>0</v>
      </c>
      <c r="U122" s="199">
        <f t="shared" si="538"/>
        <v>0</v>
      </c>
      <c r="V122" s="199">
        <f t="shared" si="538"/>
        <v>0</v>
      </c>
      <c r="W122" s="199">
        <f t="shared" si="538"/>
        <v>0</v>
      </c>
      <c r="X122" s="199">
        <f t="shared" si="538"/>
        <v>0</v>
      </c>
      <c r="Y122" s="199">
        <f t="shared" si="538"/>
        <v>0</v>
      </c>
      <c r="Z122" s="199">
        <f t="shared" si="538"/>
        <v>0</v>
      </c>
      <c r="AA122" s="199">
        <f t="shared" si="538"/>
        <v>0</v>
      </c>
      <c r="AB122" s="199">
        <f t="shared" si="538"/>
        <v>0</v>
      </c>
      <c r="AC122" s="199">
        <f t="shared" si="538"/>
        <v>0</v>
      </c>
      <c r="AD122" s="199">
        <f t="shared" si="538"/>
        <v>33378933.791765206</v>
      </c>
      <c r="AE122" s="199">
        <f t="shared" si="538"/>
        <v>34595401.367821001</v>
      </c>
      <c r="AF122" s="199">
        <f t="shared" si="538"/>
        <v>34413906.72884807</v>
      </c>
      <c r="AG122" s="199">
        <f t="shared" si="538"/>
        <v>34248380.766669109</v>
      </c>
      <c r="AH122" s="199">
        <f t="shared" si="538"/>
        <v>34233417.481300279</v>
      </c>
      <c r="AI122" s="199">
        <f t="shared" si="538"/>
        <v>35074670.679239526</v>
      </c>
      <c r="AJ122" s="199">
        <f t="shared" si="538"/>
        <v>37946990.22451409</v>
      </c>
      <c r="AK122" s="199">
        <f t="shared" si="538"/>
        <v>34040098.497519232</v>
      </c>
      <c r="AL122" s="199">
        <f t="shared" si="538"/>
        <v>32091119.719582617</v>
      </c>
      <c r="AM122" s="199">
        <f t="shared" si="538"/>
        <v>30604224.584655397</v>
      </c>
      <c r="AN122" s="199">
        <f t="shared" si="538"/>
        <v>28925775.568718046</v>
      </c>
      <c r="AO122" s="199">
        <f t="shared" si="538"/>
        <v>31331229.206124462</v>
      </c>
      <c r="AP122" s="199">
        <f t="shared" si="538"/>
        <v>33120403.984108984</v>
      </c>
      <c r="AQ122" s="199">
        <f t="shared" si="538"/>
        <v>33841325.927996784</v>
      </c>
      <c r="AR122" s="199">
        <f t="shared" si="538"/>
        <v>34209665.931241088</v>
      </c>
      <c r="AS122" s="199">
        <f t="shared" si="538"/>
        <v>34164909.304131389</v>
      </c>
      <c r="AT122" s="199">
        <f t="shared" si="538"/>
        <v>34491791.366576917</v>
      </c>
      <c r="AU122" s="199">
        <f t="shared" si="538"/>
        <v>34133209.824576914</v>
      </c>
      <c r="AV122" s="199">
        <f t="shared" si="538"/>
        <v>37694449.800825752</v>
      </c>
      <c r="AW122" s="199">
        <f t="shared" si="538"/>
        <v>35845554.266429484</v>
      </c>
      <c r="AX122" s="199">
        <f t="shared" si="538"/>
        <v>37136512.578796104</v>
      </c>
      <c r="AY122" s="199">
        <f t="shared" si="538"/>
        <v>37334882.309944242</v>
      </c>
      <c r="AZ122" s="199">
        <f t="shared" si="538"/>
        <v>36035895.84569414</v>
      </c>
      <c r="BA122" s="199">
        <f t="shared" si="538"/>
        <v>39710534.109620854</v>
      </c>
      <c r="BB122" s="199">
        <f t="shared" si="538"/>
        <v>35981048.019093469</v>
      </c>
      <c r="BC122" s="199">
        <f t="shared" si="538"/>
        <v>34770834.090680599</v>
      </c>
      <c r="BD122" s="199">
        <f t="shared" si="538"/>
        <v>35043403.838559054</v>
      </c>
      <c r="BE122" s="199">
        <f t="shared" si="538"/>
        <v>34704549.266413495</v>
      </c>
      <c r="BF122" s="199">
        <f t="shared" si="538"/>
        <v>34562913.293633409</v>
      </c>
      <c r="BG122" s="199">
        <f t="shared" si="538"/>
        <v>36077463.026007622</v>
      </c>
      <c r="BH122" s="199">
        <f t="shared" si="538"/>
        <v>39574651.216700837</v>
      </c>
      <c r="BI122" s="199">
        <f t="shared" si="538"/>
        <v>36076529.506491475</v>
      </c>
      <c r="BJ122" s="199">
        <f t="shared" si="538"/>
        <v>36443022.822318494</v>
      </c>
      <c r="BK122" s="199">
        <f t="shared" si="538"/>
        <v>39028085.777934</v>
      </c>
      <c r="BL122" s="199">
        <f t="shared" si="538"/>
        <v>37949443.999810614</v>
      </c>
      <c r="BM122" s="199">
        <f t="shared" si="538"/>
        <v>40460811.214326322</v>
      </c>
      <c r="BN122" s="199">
        <f t="shared" si="538"/>
        <v>42483851.775042646</v>
      </c>
      <c r="BO122" s="199">
        <f t="shared" si="538"/>
        <v>42483851.775042646</v>
      </c>
      <c r="BP122" s="199">
        <f t="shared" ref="BP122:CK122" si="539">BP123+BP124</f>
        <v>42483851.775042646</v>
      </c>
      <c r="BQ122" s="199">
        <f t="shared" si="539"/>
        <v>42483851.775042646</v>
      </c>
      <c r="BR122" s="199">
        <f t="shared" si="539"/>
        <v>42483851.775042646</v>
      </c>
      <c r="BS122" s="199">
        <f t="shared" si="539"/>
        <v>42483851.775042646</v>
      </c>
      <c r="BT122" s="199">
        <f t="shared" si="539"/>
        <v>42483851.775042646</v>
      </c>
      <c r="BU122" s="199">
        <f t="shared" si="539"/>
        <v>42483851.775042646</v>
      </c>
      <c r="BV122" s="199">
        <f t="shared" si="539"/>
        <v>42483851.775042646</v>
      </c>
      <c r="BW122" s="199">
        <f t="shared" si="539"/>
        <v>42483851.775042646</v>
      </c>
      <c r="BX122" s="199">
        <f t="shared" si="539"/>
        <v>42483851.775042646</v>
      </c>
      <c r="BY122" s="199">
        <f t="shared" si="539"/>
        <v>42483851.775042646</v>
      </c>
      <c r="BZ122" s="199">
        <f t="shared" si="539"/>
        <v>44608044.363794774</v>
      </c>
      <c r="CA122" s="199">
        <f t="shared" si="539"/>
        <v>44608044.363794774</v>
      </c>
      <c r="CB122" s="199">
        <f t="shared" si="539"/>
        <v>44608044.363794774</v>
      </c>
      <c r="CC122" s="199">
        <f t="shared" si="539"/>
        <v>44608044.363794774</v>
      </c>
      <c r="CD122" s="199">
        <f t="shared" si="539"/>
        <v>44608044.363794774</v>
      </c>
      <c r="CE122" s="199">
        <f t="shared" si="539"/>
        <v>44608044.363794774</v>
      </c>
      <c r="CF122" s="199">
        <f t="shared" si="539"/>
        <v>44608044.363794774</v>
      </c>
      <c r="CG122" s="199">
        <f t="shared" si="539"/>
        <v>44608044.363794774</v>
      </c>
      <c r="CH122" s="199">
        <f t="shared" si="539"/>
        <v>44608044.363794774</v>
      </c>
      <c r="CI122" s="199">
        <f t="shared" si="539"/>
        <v>44608044.363794774</v>
      </c>
      <c r="CJ122" s="199">
        <f t="shared" si="539"/>
        <v>44608044.363794774</v>
      </c>
      <c r="CK122" s="199">
        <f t="shared" si="539"/>
        <v>44608044.363794774</v>
      </c>
      <c r="CL122" s="199">
        <f t="shared" ref="CL122:CW122" si="540">CL123+CL124</f>
        <v>46838446.58198452</v>
      </c>
      <c r="CM122" s="199">
        <f t="shared" si="540"/>
        <v>46838446.58198452</v>
      </c>
      <c r="CN122" s="199">
        <f t="shared" si="540"/>
        <v>46838446.58198452</v>
      </c>
      <c r="CO122" s="199">
        <f t="shared" si="540"/>
        <v>46838446.58198452</v>
      </c>
      <c r="CP122" s="199">
        <f t="shared" si="540"/>
        <v>46838446.58198452</v>
      </c>
      <c r="CQ122" s="199">
        <f t="shared" si="540"/>
        <v>46838446.58198452</v>
      </c>
      <c r="CR122" s="199">
        <f t="shared" si="540"/>
        <v>46838446.58198452</v>
      </c>
      <c r="CS122" s="199">
        <f t="shared" si="540"/>
        <v>46838446.58198452</v>
      </c>
      <c r="CT122" s="199">
        <f t="shared" si="540"/>
        <v>46838446.58198452</v>
      </c>
      <c r="CU122" s="199">
        <f t="shared" si="540"/>
        <v>46838446.58198452</v>
      </c>
      <c r="CV122" s="199">
        <f t="shared" si="540"/>
        <v>46838446.58198452</v>
      </c>
      <c r="CW122" s="199">
        <f t="shared" si="540"/>
        <v>46838446.58198452</v>
      </c>
      <c r="CX122" s="168"/>
      <c r="CY122" s="199">
        <f t="shared" ref="CY122:CY124" si="541">SUM(AD122:AF122)</f>
        <v>102388241.88843428</v>
      </c>
      <c r="CZ122" s="199">
        <f t="shared" ref="CZ122:CZ124" si="542">SUM(AG122:AI122)</f>
        <v>103556468.92720892</v>
      </c>
      <c r="DA122" s="199">
        <f t="shared" ref="DA122:DA124" si="543">SUM(AJ122:AL122)</f>
        <v>104078208.44161594</v>
      </c>
      <c r="DB122" s="199">
        <f t="shared" ref="DB122:DB124" si="544">SUM(AM122:AO122)</f>
        <v>90861229.359497905</v>
      </c>
      <c r="DC122" s="199">
        <f t="shared" ref="DC122:DC124" si="545">SUM(AP122:AR122)</f>
        <v>101171395.84334686</v>
      </c>
      <c r="DD122" s="199">
        <f t="shared" ref="DD122:DD124" si="546">SUM(AS122:AU122)</f>
        <v>102789910.49528521</v>
      </c>
      <c r="DE122" s="199">
        <f t="shared" ref="DE122:DE124" si="547">SUM(AV122:AX122)</f>
        <v>110676516.64605133</v>
      </c>
      <c r="DF122" s="199">
        <f t="shared" ref="DF122:DF124" si="548">SUM(AY122:BA122)</f>
        <v>113081312.26525924</v>
      </c>
      <c r="DG122" s="199">
        <f t="shared" ref="DG122:DG124" si="549">SUM(BB122:BD122)</f>
        <v>105795285.94833311</v>
      </c>
      <c r="DH122" s="199">
        <f t="shared" ref="DH122:DH124" si="550">SUM(BE122:BG122)</f>
        <v>105344925.58605453</v>
      </c>
      <c r="DI122" s="199">
        <f t="shared" ref="DI122:DI124" si="551">SUM(BH122:BJ122)</f>
        <v>112094203.5455108</v>
      </c>
      <c r="DJ122" s="199">
        <f t="shared" ref="DJ122:DJ124" si="552">SUM(BK122:BM122)</f>
        <v>117438340.99207094</v>
      </c>
      <c r="DK122" s="199">
        <f t="shared" ref="DK122:DK124" si="553">SUM(BN122:BP122)</f>
        <v>127451555.32512793</v>
      </c>
      <c r="DL122" s="199">
        <f t="shared" ref="DL122:DL124" si="554">SUM(BQ122:BS122)</f>
        <v>127451555.32512793</v>
      </c>
      <c r="DM122" s="199">
        <f t="shared" ref="DM122:DM124" si="555">SUM(BT122:BV122)</f>
        <v>127451555.32512793</v>
      </c>
      <c r="DN122" s="199">
        <f t="shared" ref="DN122:DN124" si="556">SUM(BW122:BY122)</f>
        <v>127451555.32512793</v>
      </c>
      <c r="DO122" s="199">
        <f t="shared" ref="DO122:DO124" si="557">SUM(BZ122:CB122)</f>
        <v>133824133.09138432</v>
      </c>
      <c r="DP122" s="199">
        <f t="shared" ref="DP122:DP124" si="558">SUM(CC122:CE122)</f>
        <v>133824133.09138432</v>
      </c>
      <c r="DQ122" s="199">
        <f t="shared" ref="DQ122:DQ124" si="559">SUM(CF122:CH122)</f>
        <v>133824133.09138432</v>
      </c>
      <c r="DR122" s="199">
        <f t="shared" ref="DR122:DR124" si="560">SUM(CI122:CK122)</f>
        <v>133824133.09138432</v>
      </c>
      <c r="DS122" s="199">
        <f t="shared" ref="DS122:DS124" si="561">SUM(CL122:CN122)</f>
        <v>140515339.74595356</v>
      </c>
      <c r="DT122" s="199">
        <f t="shared" ref="DT122:DT124" si="562">SUM(CO122:CQ122)</f>
        <v>140515339.74595356</v>
      </c>
      <c r="DU122" s="199">
        <f t="shared" ref="DU122:DU124" si="563">SUM(CR122:CT122)</f>
        <v>140515339.74595356</v>
      </c>
      <c r="DV122" s="199">
        <f t="shared" ref="DV122:DV124" si="564">SUM(CU122:CW122)</f>
        <v>140515339.74595356</v>
      </c>
      <c r="DX122" s="199">
        <f t="shared" ref="DX122:DX124" si="565">SUM(CY122:DB122)</f>
        <v>400884148.61675704</v>
      </c>
      <c r="DY122" s="199">
        <f t="shared" ref="DY122:DY124" si="566">SUM(DC122:DF122)</f>
        <v>427719135.24994266</v>
      </c>
      <c r="DZ122" s="199">
        <f t="shared" ref="DZ122:DZ124" si="567">SUM(DG122:DJ122)</f>
        <v>440672756.07196939</v>
      </c>
      <c r="EA122" s="199">
        <f t="shared" ref="EA122:EA124" si="568">SUM(DK122:DN122)</f>
        <v>509806221.30051172</v>
      </c>
      <c r="EB122" s="199">
        <f t="shared" ref="EB122:EB124" si="569">SUM(DO122:DR122)</f>
        <v>535296532.36553729</v>
      </c>
      <c r="EC122" s="810">
        <f t="shared" ref="EC122:EC124" si="570">SUM(DS122:DV122)</f>
        <v>562061358.98381424</v>
      </c>
    </row>
    <row r="123" spans="2:133" x14ac:dyDescent="0.2">
      <c r="B123" s="155" t="s">
        <v>229</v>
      </c>
      <c r="C123" s="19">
        <f>'D2C - Retail'!J170</f>
        <v>0</v>
      </c>
      <c r="D123" s="19">
        <f>'D2C - Retail'!K170</f>
        <v>0</v>
      </c>
      <c r="E123" s="19">
        <f>'D2C - Retail'!L170</f>
        <v>0</v>
      </c>
      <c r="F123" s="19">
        <f>'D2C - Retail'!M170</f>
        <v>0</v>
      </c>
      <c r="G123" s="19">
        <f>'D2C - Retail'!N170</f>
        <v>0</v>
      </c>
      <c r="H123" s="19">
        <f>'D2C - Retail'!O170</f>
        <v>0</v>
      </c>
      <c r="I123" s="19">
        <f>'D2C - Retail'!P170</f>
        <v>0</v>
      </c>
      <c r="J123" s="19">
        <f>'D2C - Retail'!Q170</f>
        <v>0</v>
      </c>
      <c r="K123" s="19">
        <f>'D2C - Retail'!R170</f>
        <v>0</v>
      </c>
      <c r="L123" s="19">
        <f>'D2C - Retail'!S170</f>
        <v>0</v>
      </c>
      <c r="M123" s="19">
        <f>'D2C - Retail'!T170</f>
        <v>0</v>
      </c>
      <c r="N123" s="19">
        <f>'D2C - Retail'!U170</f>
        <v>0</v>
      </c>
      <c r="O123" s="19">
        <f>'D2C - Retail'!V170</f>
        <v>0</v>
      </c>
      <c r="P123" s="19">
        <f>'D2C - Retail'!W170</f>
        <v>0</v>
      </c>
      <c r="Q123" s="19">
        <f>'D2C - Retail'!X170</f>
        <v>0</v>
      </c>
      <c r="R123" s="19">
        <f>'D2C - Retail'!Y170</f>
        <v>0</v>
      </c>
      <c r="S123" s="19">
        <f>'D2C - Retail'!Z170</f>
        <v>0</v>
      </c>
      <c r="T123" s="19">
        <f>'D2C - Retail'!AA170</f>
        <v>0</v>
      </c>
      <c r="U123" s="19">
        <f>'D2C - Retail'!AB170</f>
        <v>0</v>
      </c>
      <c r="V123" s="19">
        <f>'D2C - Retail'!AC170</f>
        <v>0</v>
      </c>
      <c r="W123" s="19">
        <f>'D2C - Retail'!AD170</f>
        <v>0</v>
      </c>
      <c r="X123" s="19">
        <f>'D2C - Retail'!AE170</f>
        <v>0</v>
      </c>
      <c r="Y123" s="19">
        <f>'D2C - Retail'!AF170</f>
        <v>0</v>
      </c>
      <c r="Z123" s="19">
        <f>'D2C - Retail'!AG170</f>
        <v>0</v>
      </c>
      <c r="AA123" s="19">
        <f>'D2C - Retail'!AH170</f>
        <v>0</v>
      </c>
      <c r="AB123" s="19">
        <f>'D2C - Retail'!AI170</f>
        <v>0</v>
      </c>
      <c r="AC123" s="19">
        <f>'D2C - Retail'!AJ170</f>
        <v>0</v>
      </c>
      <c r="AD123" s="19">
        <f>'D2C - Retail'!AK170</f>
        <v>19045908.039529681</v>
      </c>
      <c r="AE123" s="19">
        <f>'D2C - Retail'!AL170</f>
        <v>18594527.312316075</v>
      </c>
      <c r="AF123" s="19">
        <f>'D2C - Retail'!AM170</f>
        <v>17196719.551983632</v>
      </c>
      <c r="AG123" s="19">
        <f>'D2C - Retail'!AN170</f>
        <v>16734158.254174411</v>
      </c>
      <c r="AH123" s="19">
        <f>'D2C - Retail'!AO170</f>
        <v>16371865.15581014</v>
      </c>
      <c r="AI123" s="19">
        <f>'D2C - Retail'!AP170</f>
        <v>16767992.866612013</v>
      </c>
      <c r="AJ123" s="19">
        <f>'D2C - Retail'!AQ170</f>
        <v>17179798.172649235</v>
      </c>
      <c r="AK123" s="19">
        <f>'D2C - Retail'!AR170</f>
        <v>17020049.248759616</v>
      </c>
      <c r="AL123" s="19">
        <f>'D2C - Retail'!AS170</f>
        <v>16045559.859791309</v>
      </c>
      <c r="AM123" s="19">
        <f>'D2C - Retail'!AT170</f>
        <v>15302112.292327698</v>
      </c>
      <c r="AN123" s="19">
        <f>'D2C - Retail'!AU170</f>
        <v>14462887.784359023</v>
      </c>
      <c r="AO123" s="19">
        <f>'D2C - Retail'!AV170</f>
        <v>15665614.603062231</v>
      </c>
      <c r="AP123" s="19">
        <f>'D2C - Retail'!AW170</f>
        <v>16560201.992054492</v>
      </c>
      <c r="AQ123" s="19">
        <f>'D2C - Retail'!AX170</f>
        <v>16920662.963998392</v>
      </c>
      <c r="AR123" s="19">
        <f>'D2C - Retail'!AY170</f>
        <v>17104832.965620544</v>
      </c>
      <c r="AS123" s="19">
        <f>'D2C - Retail'!AZ170</f>
        <v>17082454.652065694</v>
      </c>
      <c r="AT123" s="19">
        <f>'D2C - Retail'!BA170</f>
        <v>17245895.683288459</v>
      </c>
      <c r="AU123" s="19">
        <f>'D2C - Retail'!BB170</f>
        <v>17066604.912288457</v>
      </c>
      <c r="AV123" s="19">
        <f>'D2C - Retail'!BC170</f>
        <v>18847224.900412876</v>
      </c>
      <c r="AW123" s="19">
        <f>'D2C - Retail'!BD170</f>
        <v>17922777.133214742</v>
      </c>
      <c r="AX123" s="19">
        <f>'D2C - Retail'!BE170</f>
        <v>18568256.289398052</v>
      </c>
      <c r="AY123" s="19">
        <f>'D2C - Retail'!BF170</f>
        <v>18667441.154972121</v>
      </c>
      <c r="AZ123" s="19">
        <f>'D2C - Retail'!BG170</f>
        <v>18017947.92284707</v>
      </c>
      <c r="BA123" s="19">
        <f>'D2C - Retail'!BH170</f>
        <v>19855267.054810427</v>
      </c>
      <c r="BB123" s="19">
        <f>'D2C - Retail'!BI170</f>
        <v>17123056.394830644</v>
      </c>
      <c r="BC123" s="19">
        <f>'D2C - Retail'!BJ170</f>
        <v>16023017.481309216</v>
      </c>
      <c r="BD123" s="19">
        <f>'D2C - Retail'!BK170</f>
        <v>16152730.967196869</v>
      </c>
      <c r="BE123" s="19">
        <f>'D2C - Retail'!BL170</f>
        <v>15991473.130976655</v>
      </c>
      <c r="BF123" s="19">
        <f>'D2C - Retail'!BM170</f>
        <v>15924069.848332882</v>
      </c>
      <c r="BG123" s="19">
        <f>'D2C - Retail'!BN170</f>
        <v>16644830.41279608</v>
      </c>
      <c r="BH123" s="19">
        <f>'D2C - Retail'!BO170</f>
        <v>18309110.746731848</v>
      </c>
      <c r="BI123" s="19">
        <f>'D2C - Retail'!BP170</f>
        <v>16644386.159273721</v>
      </c>
      <c r="BJ123" s="19">
        <f>'D2C - Retail'!BQ170</f>
        <v>16818797.024457648</v>
      </c>
      <c r="BK123" s="19">
        <f>'D2C - Retail'!BR170</f>
        <v>18049005.181532536</v>
      </c>
      <c r="BL123" s="19">
        <f>'D2C - Retail'!BS170</f>
        <v>17535689.282928742</v>
      </c>
      <c r="BM123" s="19">
        <f>'D2C - Retail'!BT170</f>
        <v>18730826.301157393</v>
      </c>
      <c r="BN123" s="19">
        <f>'D2C - Retail'!BU170</f>
        <v>19667367.616215266</v>
      </c>
      <c r="BO123" s="19">
        <f>'D2C - Retail'!BV170</f>
        <v>19667367.616215266</v>
      </c>
      <c r="BP123" s="19">
        <f>'D2C - Retail'!BW170</f>
        <v>19667367.616215266</v>
      </c>
      <c r="BQ123" s="19">
        <f>'D2C - Retail'!BX170</f>
        <v>19667367.616215266</v>
      </c>
      <c r="BR123" s="19">
        <f>'D2C - Retail'!BY170</f>
        <v>19667367.616215266</v>
      </c>
      <c r="BS123" s="19">
        <f>'D2C - Retail'!BZ170</f>
        <v>19667367.616215266</v>
      </c>
      <c r="BT123" s="19">
        <f>'D2C - Retail'!CA170</f>
        <v>19667367.616215266</v>
      </c>
      <c r="BU123" s="19">
        <f>'D2C - Retail'!CB170</f>
        <v>19667367.616215266</v>
      </c>
      <c r="BV123" s="19">
        <f>'D2C - Retail'!CC170</f>
        <v>19667367.616215266</v>
      </c>
      <c r="BW123" s="19">
        <f>'D2C - Retail'!CD170</f>
        <v>19667367.616215266</v>
      </c>
      <c r="BX123" s="19">
        <f>'D2C - Retail'!CE170</f>
        <v>19667367.616215266</v>
      </c>
      <c r="BY123" s="19">
        <f>'D2C - Retail'!CF170</f>
        <v>19667367.616215266</v>
      </c>
      <c r="BZ123" s="19">
        <f>'D2C - Retail'!CG170</f>
        <v>20650735.99702603</v>
      </c>
      <c r="CA123" s="19">
        <f>'D2C - Retail'!CH170</f>
        <v>20650735.99702603</v>
      </c>
      <c r="CB123" s="19">
        <f>'D2C - Retail'!CI170</f>
        <v>20650735.99702603</v>
      </c>
      <c r="CC123" s="19">
        <f>'D2C - Retail'!CJ170</f>
        <v>20650735.99702603</v>
      </c>
      <c r="CD123" s="19">
        <f>'D2C - Retail'!CK170</f>
        <v>20650735.99702603</v>
      </c>
      <c r="CE123" s="19">
        <f>'D2C - Retail'!CL170</f>
        <v>20650735.99702603</v>
      </c>
      <c r="CF123" s="19">
        <f>'D2C - Retail'!CM170</f>
        <v>20650735.99702603</v>
      </c>
      <c r="CG123" s="19">
        <f>'D2C - Retail'!CN170</f>
        <v>20650735.99702603</v>
      </c>
      <c r="CH123" s="19">
        <f>'D2C - Retail'!CO170</f>
        <v>20650735.99702603</v>
      </c>
      <c r="CI123" s="19">
        <f>'D2C - Retail'!CP170</f>
        <v>20650735.99702603</v>
      </c>
      <c r="CJ123" s="19">
        <f>'D2C - Retail'!CQ170</f>
        <v>20650735.99702603</v>
      </c>
      <c r="CK123" s="19">
        <f>'D2C - Retail'!CR170</f>
        <v>20650735.99702603</v>
      </c>
      <c r="CL123" s="19">
        <f>'D2C - Retail'!CS170</f>
        <v>21683272.796877332</v>
      </c>
      <c r="CM123" s="19">
        <f>'D2C - Retail'!CT170</f>
        <v>21683272.796877332</v>
      </c>
      <c r="CN123" s="19">
        <f>'D2C - Retail'!CU170</f>
        <v>21683272.796877332</v>
      </c>
      <c r="CO123" s="19">
        <f>'D2C - Retail'!CV170</f>
        <v>21683272.796877332</v>
      </c>
      <c r="CP123" s="19">
        <f>'D2C - Retail'!CW170</f>
        <v>21683272.796877332</v>
      </c>
      <c r="CQ123" s="19">
        <f>'D2C - Retail'!CX170</f>
        <v>21683272.796877332</v>
      </c>
      <c r="CR123" s="19">
        <f>'D2C - Retail'!CY170</f>
        <v>21683272.796877332</v>
      </c>
      <c r="CS123" s="19">
        <f>'D2C - Retail'!CZ170</f>
        <v>21683272.796877332</v>
      </c>
      <c r="CT123" s="19">
        <f>'D2C - Retail'!DA170</f>
        <v>21683272.796877332</v>
      </c>
      <c r="CU123" s="19">
        <f>'D2C - Retail'!DB170</f>
        <v>21683272.796877332</v>
      </c>
      <c r="CV123" s="19">
        <f>'D2C - Retail'!DC170</f>
        <v>21683272.796877332</v>
      </c>
      <c r="CW123" s="19">
        <f>'D2C - Retail'!DD170</f>
        <v>21683272.796877332</v>
      </c>
      <c r="CX123" s="168"/>
      <c r="CY123" s="19">
        <f t="shared" si="541"/>
        <v>54837154.903829388</v>
      </c>
      <c r="CZ123" s="19">
        <f t="shared" si="542"/>
        <v>49874016.276596561</v>
      </c>
      <c r="DA123" s="19">
        <f t="shared" si="543"/>
        <v>50245407.281200156</v>
      </c>
      <c r="DB123" s="19">
        <f t="shared" si="544"/>
        <v>45430614.679748952</v>
      </c>
      <c r="DC123" s="19">
        <f t="shared" si="545"/>
        <v>50585697.921673432</v>
      </c>
      <c r="DD123" s="19">
        <f t="shared" si="546"/>
        <v>51394955.247642606</v>
      </c>
      <c r="DE123" s="19">
        <f t="shared" si="547"/>
        <v>55338258.323025666</v>
      </c>
      <c r="DF123" s="19">
        <f t="shared" si="548"/>
        <v>56540656.132629618</v>
      </c>
      <c r="DG123" s="19">
        <f t="shared" si="549"/>
        <v>49298804.843336731</v>
      </c>
      <c r="DH123" s="19">
        <f t="shared" si="550"/>
        <v>48560373.392105617</v>
      </c>
      <c r="DI123" s="19">
        <f t="shared" si="551"/>
        <v>51772293.930463217</v>
      </c>
      <c r="DJ123" s="19">
        <f t="shared" si="552"/>
        <v>54315520.765618674</v>
      </c>
      <c r="DK123" s="19">
        <f t="shared" si="553"/>
        <v>59002102.848645799</v>
      </c>
      <c r="DL123" s="19">
        <f t="shared" si="554"/>
        <v>59002102.848645799</v>
      </c>
      <c r="DM123" s="19">
        <f t="shared" si="555"/>
        <v>59002102.848645799</v>
      </c>
      <c r="DN123" s="19">
        <f t="shared" si="556"/>
        <v>59002102.848645799</v>
      </c>
      <c r="DO123" s="19">
        <f t="shared" si="557"/>
        <v>61952207.991078094</v>
      </c>
      <c r="DP123" s="19">
        <f t="shared" si="558"/>
        <v>61952207.991078094</v>
      </c>
      <c r="DQ123" s="19">
        <f t="shared" si="559"/>
        <v>61952207.991078094</v>
      </c>
      <c r="DR123" s="19">
        <f t="shared" si="560"/>
        <v>61952207.991078094</v>
      </c>
      <c r="DS123" s="19">
        <f t="shared" si="561"/>
        <v>65049818.390631996</v>
      </c>
      <c r="DT123" s="19">
        <f t="shared" si="562"/>
        <v>65049818.390631996</v>
      </c>
      <c r="DU123" s="19">
        <f t="shared" si="563"/>
        <v>65049818.390631996</v>
      </c>
      <c r="DV123" s="19">
        <f t="shared" si="564"/>
        <v>65049818.390631996</v>
      </c>
      <c r="DX123" s="19">
        <f t="shared" si="565"/>
        <v>200387193.14137506</v>
      </c>
      <c r="DY123" s="19">
        <f t="shared" si="566"/>
        <v>213859567.62497133</v>
      </c>
      <c r="DZ123" s="19">
        <f t="shared" si="567"/>
        <v>203946992.93152425</v>
      </c>
      <c r="EA123" s="19">
        <f t="shared" si="568"/>
        <v>236008411.3945832</v>
      </c>
      <c r="EB123" s="19">
        <f t="shared" si="569"/>
        <v>247808831.96431237</v>
      </c>
      <c r="EC123" s="770">
        <f t="shared" si="570"/>
        <v>260199273.56252798</v>
      </c>
    </row>
    <row r="124" spans="2:133" x14ac:dyDescent="0.2">
      <c r="B124" s="155" t="s">
        <v>237</v>
      </c>
      <c r="C124" s="19">
        <f>'D2C Online'!AA156</f>
        <v>0</v>
      </c>
      <c r="D124" s="19">
        <f>'D2C Online'!AB156</f>
        <v>0</v>
      </c>
      <c r="E124" s="19">
        <f>'D2C Online'!AC156</f>
        <v>0</v>
      </c>
      <c r="F124" s="19">
        <f>'D2C Online'!AD156</f>
        <v>0</v>
      </c>
      <c r="G124" s="19">
        <f>'D2C Online'!AE156</f>
        <v>0</v>
      </c>
      <c r="H124" s="19">
        <f>'D2C Online'!AF156</f>
        <v>0</v>
      </c>
      <c r="I124" s="19">
        <f>'D2C Online'!AG156</f>
        <v>0</v>
      </c>
      <c r="J124" s="19">
        <f>'D2C Online'!AH156</f>
        <v>0</v>
      </c>
      <c r="K124" s="19">
        <f>'D2C Online'!AI156</f>
        <v>0</v>
      </c>
      <c r="L124" s="19">
        <f>'D2C Online'!AJ156</f>
        <v>0</v>
      </c>
      <c r="M124" s="19">
        <f>'D2C Online'!AK156</f>
        <v>0</v>
      </c>
      <c r="N124" s="19">
        <f>'D2C Online'!AL156</f>
        <v>0</v>
      </c>
      <c r="O124" s="19">
        <f>'D2C Online'!AM156</f>
        <v>0</v>
      </c>
      <c r="P124" s="19">
        <f>'D2C Online'!AN156</f>
        <v>0</v>
      </c>
      <c r="Q124" s="19">
        <f>'D2C Online'!AO156</f>
        <v>0</v>
      </c>
      <c r="R124" s="19">
        <f>'D2C Online'!AP156</f>
        <v>0</v>
      </c>
      <c r="S124" s="19">
        <f>'D2C Online'!AQ156</f>
        <v>0</v>
      </c>
      <c r="T124" s="19">
        <f>'D2C Online'!AR156</f>
        <v>0</v>
      </c>
      <c r="U124" s="19">
        <f>'D2C Online'!AS156</f>
        <v>0</v>
      </c>
      <c r="V124" s="19">
        <f>'D2C Online'!AT156</f>
        <v>0</v>
      </c>
      <c r="W124" s="19">
        <f>'D2C Online'!AU156</f>
        <v>0</v>
      </c>
      <c r="X124" s="19">
        <f>'D2C Online'!AV156</f>
        <v>0</v>
      </c>
      <c r="Y124" s="19">
        <f>'D2C Online'!AW156</f>
        <v>0</v>
      </c>
      <c r="Z124" s="19">
        <f>'D2C Online'!AX156</f>
        <v>0</v>
      </c>
      <c r="AA124" s="19">
        <f>'D2C Online'!AY156</f>
        <v>0</v>
      </c>
      <c r="AB124" s="19">
        <f>'D2C Online'!AZ156</f>
        <v>0</v>
      </c>
      <c r="AC124" s="19">
        <f>'D2C Online'!BA156</f>
        <v>0</v>
      </c>
      <c r="AD124" s="19">
        <f>'D2C Online'!BB156</f>
        <v>14333025.752235526</v>
      </c>
      <c r="AE124" s="19">
        <f>'D2C Online'!BC156</f>
        <v>16000874.055504926</v>
      </c>
      <c r="AF124" s="19">
        <f>'D2C Online'!BD156</f>
        <v>17217187.176864438</v>
      </c>
      <c r="AG124" s="19">
        <f>'D2C Online'!BE156</f>
        <v>17514222.512494698</v>
      </c>
      <c r="AH124" s="19">
        <f>'D2C Online'!BF156</f>
        <v>17861552.325490139</v>
      </c>
      <c r="AI124" s="19">
        <f>'D2C Online'!BG156</f>
        <v>18306677.812627513</v>
      </c>
      <c r="AJ124" s="19">
        <f>'D2C Online'!BH156</f>
        <v>20767192.051864855</v>
      </c>
      <c r="AK124" s="19">
        <f>'D2C Online'!BI156</f>
        <v>17020049.248759616</v>
      </c>
      <c r="AL124" s="19">
        <f>'D2C Online'!BJ156</f>
        <v>16045559.859791309</v>
      </c>
      <c r="AM124" s="19">
        <f>'D2C Online'!BK156</f>
        <v>15302112.292327698</v>
      </c>
      <c r="AN124" s="19">
        <f>'D2C Online'!BL156</f>
        <v>14462887.784359023</v>
      </c>
      <c r="AO124" s="19">
        <f>'D2C Online'!BM156</f>
        <v>15665614.603062231</v>
      </c>
      <c r="AP124" s="19">
        <f>'D2C Online'!BN156</f>
        <v>16560201.992054492</v>
      </c>
      <c r="AQ124" s="19">
        <f>'D2C Online'!BO156</f>
        <v>16920662.963998392</v>
      </c>
      <c r="AR124" s="19">
        <f>'D2C Online'!BP156</f>
        <v>17104832.965620544</v>
      </c>
      <c r="AS124" s="19">
        <f>'D2C Online'!BQ156</f>
        <v>17082454.652065694</v>
      </c>
      <c r="AT124" s="19">
        <f>'D2C Online'!BR156</f>
        <v>17245895.683288459</v>
      </c>
      <c r="AU124" s="19">
        <f>'D2C Online'!BS156</f>
        <v>17066604.912288457</v>
      </c>
      <c r="AV124" s="19">
        <f>'D2C Online'!BT156</f>
        <v>18847224.900412876</v>
      </c>
      <c r="AW124" s="19">
        <f>'D2C Online'!BU156</f>
        <v>17922777.133214742</v>
      </c>
      <c r="AX124" s="19">
        <f>'D2C Online'!BV156</f>
        <v>18568256.289398052</v>
      </c>
      <c r="AY124" s="19">
        <f>'D2C Online'!BW156</f>
        <v>18667441.154972121</v>
      </c>
      <c r="AZ124" s="19">
        <f>'D2C Online'!BX156</f>
        <v>18017947.92284707</v>
      </c>
      <c r="BA124" s="19">
        <f>'D2C Online'!BY156</f>
        <v>19855267.054810427</v>
      </c>
      <c r="BB124" s="19">
        <f>'D2C Online'!BZ156</f>
        <v>18857991.624262821</v>
      </c>
      <c r="BC124" s="19">
        <f>'D2C Online'!CA156</f>
        <v>18747816.609371383</v>
      </c>
      <c r="BD124" s="19">
        <f>'D2C Online'!CB156</f>
        <v>18890672.871362187</v>
      </c>
      <c r="BE124" s="19">
        <f>'D2C Online'!CC156</f>
        <v>18713076.13543684</v>
      </c>
      <c r="BF124" s="19">
        <f>'D2C Online'!CD156</f>
        <v>18638843.445300527</v>
      </c>
      <c r="BG124" s="19">
        <f>'D2C Online'!CE156</f>
        <v>19432632.613211539</v>
      </c>
      <c r="BH124" s="19">
        <f>'D2C Online'!CF156</f>
        <v>21265540.469968993</v>
      </c>
      <c r="BI124" s="19">
        <f>'D2C Online'!CG156</f>
        <v>19432143.347217754</v>
      </c>
      <c r="BJ124" s="19">
        <f>'D2C Online'!CH156</f>
        <v>19624225.797860842</v>
      </c>
      <c r="BK124" s="19">
        <f>'D2C Online'!CI156</f>
        <v>20979080.596401468</v>
      </c>
      <c r="BL124" s="19">
        <f>'D2C Online'!CJ156</f>
        <v>20413754.716881871</v>
      </c>
      <c r="BM124" s="19">
        <f>'D2C Online'!CK156</f>
        <v>21729984.913168933</v>
      </c>
      <c r="BN124" s="19">
        <f>'D2C Online'!CL156</f>
        <v>22816484.158827379</v>
      </c>
      <c r="BO124" s="19">
        <f>'D2C Online'!CM156</f>
        <v>22816484.158827379</v>
      </c>
      <c r="BP124" s="19">
        <f>'D2C Online'!CN156</f>
        <v>22816484.158827379</v>
      </c>
      <c r="BQ124" s="19">
        <f>'D2C Online'!CO156</f>
        <v>22816484.158827379</v>
      </c>
      <c r="BR124" s="19">
        <f>'D2C Online'!CP156</f>
        <v>22816484.158827379</v>
      </c>
      <c r="BS124" s="19">
        <f>'D2C Online'!CQ156</f>
        <v>22816484.158827379</v>
      </c>
      <c r="BT124" s="19">
        <f>'D2C Online'!CR156</f>
        <v>22816484.158827379</v>
      </c>
      <c r="BU124" s="19">
        <f>'D2C Online'!CS156</f>
        <v>22816484.158827379</v>
      </c>
      <c r="BV124" s="19">
        <f>'D2C Online'!CT156</f>
        <v>22816484.158827379</v>
      </c>
      <c r="BW124" s="19">
        <f>'D2C Online'!CU156</f>
        <v>22816484.158827379</v>
      </c>
      <c r="BX124" s="19">
        <f>'D2C Online'!CV156</f>
        <v>22816484.158827379</v>
      </c>
      <c r="BY124" s="19">
        <f>'D2C Online'!CW156</f>
        <v>22816484.158827379</v>
      </c>
      <c r="BZ124" s="19">
        <f>'D2C Online'!CX156</f>
        <v>23957308.366768748</v>
      </c>
      <c r="CA124" s="19">
        <f>'D2C Online'!CY156</f>
        <v>23957308.366768748</v>
      </c>
      <c r="CB124" s="19">
        <f>'D2C Online'!CZ156</f>
        <v>23957308.366768748</v>
      </c>
      <c r="CC124" s="19">
        <f>'D2C Online'!DA156</f>
        <v>23957308.366768748</v>
      </c>
      <c r="CD124" s="19">
        <f>'D2C Online'!DB156</f>
        <v>23957308.366768748</v>
      </c>
      <c r="CE124" s="19">
        <f>'D2C Online'!DC156</f>
        <v>23957308.366768748</v>
      </c>
      <c r="CF124" s="19">
        <f>'D2C Online'!DD156</f>
        <v>23957308.366768748</v>
      </c>
      <c r="CG124" s="19">
        <f>'D2C Online'!DE156</f>
        <v>23957308.366768748</v>
      </c>
      <c r="CH124" s="19">
        <f>'D2C Online'!DF156</f>
        <v>23957308.366768748</v>
      </c>
      <c r="CI124" s="19">
        <f>'D2C Online'!DG156</f>
        <v>23957308.366768748</v>
      </c>
      <c r="CJ124" s="19">
        <f>'D2C Online'!DH156</f>
        <v>23957308.366768748</v>
      </c>
      <c r="CK124" s="19">
        <f>'D2C Online'!DI156</f>
        <v>23957308.366768748</v>
      </c>
      <c r="CL124" s="19">
        <f>'D2C Online'!DJ156</f>
        <v>25155173.785107184</v>
      </c>
      <c r="CM124" s="19">
        <f>'D2C Online'!DK156</f>
        <v>25155173.785107184</v>
      </c>
      <c r="CN124" s="19">
        <f>'D2C Online'!DL156</f>
        <v>25155173.785107184</v>
      </c>
      <c r="CO124" s="19">
        <f>'D2C Online'!DM156</f>
        <v>25155173.785107184</v>
      </c>
      <c r="CP124" s="19">
        <f>'D2C Online'!DN156</f>
        <v>25155173.785107184</v>
      </c>
      <c r="CQ124" s="19">
        <f>'D2C Online'!DO156</f>
        <v>25155173.785107184</v>
      </c>
      <c r="CR124" s="19">
        <f>'D2C Online'!DP156</f>
        <v>25155173.785107184</v>
      </c>
      <c r="CS124" s="19">
        <f>'D2C Online'!DQ156</f>
        <v>25155173.785107184</v>
      </c>
      <c r="CT124" s="19">
        <f>'D2C Online'!DR156</f>
        <v>25155173.785107184</v>
      </c>
      <c r="CU124" s="19">
        <f>'D2C Online'!DS156</f>
        <v>25155173.785107184</v>
      </c>
      <c r="CV124" s="19">
        <f>'D2C Online'!DT156</f>
        <v>25155173.785107184</v>
      </c>
      <c r="CW124" s="19">
        <f>'D2C Online'!DU156</f>
        <v>25155173.785107184</v>
      </c>
      <c r="CX124" s="168"/>
      <c r="CY124" s="19">
        <f t="shared" si="541"/>
        <v>47551086.984604888</v>
      </c>
      <c r="CZ124" s="19">
        <f t="shared" si="542"/>
        <v>53682452.650612354</v>
      </c>
      <c r="DA124" s="19">
        <f t="shared" si="543"/>
        <v>53832801.160415784</v>
      </c>
      <c r="DB124" s="19">
        <f t="shared" si="544"/>
        <v>45430614.679748952</v>
      </c>
      <c r="DC124" s="19">
        <f t="shared" si="545"/>
        <v>50585697.921673432</v>
      </c>
      <c r="DD124" s="19">
        <f t="shared" si="546"/>
        <v>51394955.247642606</v>
      </c>
      <c r="DE124" s="19">
        <f t="shared" si="547"/>
        <v>55338258.323025666</v>
      </c>
      <c r="DF124" s="19">
        <f t="shared" si="548"/>
        <v>56540656.132629618</v>
      </c>
      <c r="DG124" s="19">
        <f t="shared" si="549"/>
        <v>56496481.104996391</v>
      </c>
      <c r="DH124" s="19">
        <f t="shared" si="550"/>
        <v>56784552.19394891</v>
      </c>
      <c r="DI124" s="19">
        <f t="shared" si="551"/>
        <v>60321909.615047589</v>
      </c>
      <c r="DJ124" s="19">
        <f t="shared" si="552"/>
        <v>63122820.226452276</v>
      </c>
      <c r="DK124" s="19">
        <f t="shared" si="553"/>
        <v>68449452.476482138</v>
      </c>
      <c r="DL124" s="19">
        <f t="shared" si="554"/>
        <v>68449452.476482138</v>
      </c>
      <c r="DM124" s="19">
        <f t="shared" si="555"/>
        <v>68449452.476482138</v>
      </c>
      <c r="DN124" s="19">
        <f t="shared" si="556"/>
        <v>68449452.476482138</v>
      </c>
      <c r="DO124" s="19">
        <f t="shared" si="557"/>
        <v>71871925.100306243</v>
      </c>
      <c r="DP124" s="19">
        <f t="shared" si="558"/>
        <v>71871925.100306243</v>
      </c>
      <c r="DQ124" s="19">
        <f t="shared" si="559"/>
        <v>71871925.100306243</v>
      </c>
      <c r="DR124" s="19">
        <f t="shared" si="560"/>
        <v>71871925.100306243</v>
      </c>
      <c r="DS124" s="19">
        <f t="shared" si="561"/>
        <v>75465521.355321556</v>
      </c>
      <c r="DT124" s="19">
        <f t="shared" si="562"/>
        <v>75465521.355321556</v>
      </c>
      <c r="DU124" s="19">
        <f t="shared" si="563"/>
        <v>75465521.355321556</v>
      </c>
      <c r="DV124" s="19">
        <f t="shared" si="564"/>
        <v>75465521.355321556</v>
      </c>
      <c r="DX124" s="19">
        <f t="shared" si="565"/>
        <v>200496955.47538197</v>
      </c>
      <c r="DY124" s="19">
        <f t="shared" si="566"/>
        <v>213859567.62497133</v>
      </c>
      <c r="DZ124" s="19">
        <f t="shared" si="567"/>
        <v>236725763.14044517</v>
      </c>
      <c r="EA124" s="19">
        <f t="shared" si="568"/>
        <v>273797809.90592855</v>
      </c>
      <c r="EB124" s="19">
        <f t="shared" si="569"/>
        <v>287487700.40122497</v>
      </c>
      <c r="EC124" s="770">
        <f t="shared" si="570"/>
        <v>301862085.42128623</v>
      </c>
    </row>
    <row r="125" spans="2:133" x14ac:dyDescent="0.2">
      <c r="B125" s="21" t="s">
        <v>62</v>
      </c>
      <c r="C125" s="20">
        <f>C122/C30</f>
        <v>0</v>
      </c>
      <c r="D125" s="20">
        <f t="shared" ref="D125:BO125" si="571">D122/D30</f>
        <v>0</v>
      </c>
      <c r="E125" s="20">
        <f t="shared" si="571"/>
        <v>0</v>
      </c>
      <c r="F125" s="20">
        <f t="shared" si="571"/>
        <v>0</v>
      </c>
      <c r="G125" s="20">
        <f t="shared" si="571"/>
        <v>0</v>
      </c>
      <c r="H125" s="20">
        <f t="shared" si="571"/>
        <v>0</v>
      </c>
      <c r="I125" s="20">
        <f t="shared" si="571"/>
        <v>0</v>
      </c>
      <c r="J125" s="20">
        <f t="shared" si="571"/>
        <v>0</v>
      </c>
      <c r="K125" s="20">
        <f t="shared" si="571"/>
        <v>0</v>
      </c>
      <c r="L125" s="20">
        <f t="shared" si="571"/>
        <v>0</v>
      </c>
      <c r="M125" s="20">
        <f t="shared" si="571"/>
        <v>0</v>
      </c>
      <c r="N125" s="20">
        <f t="shared" si="571"/>
        <v>0</v>
      </c>
      <c r="O125" s="20">
        <f t="shared" si="571"/>
        <v>0</v>
      </c>
      <c r="P125" s="20">
        <f t="shared" si="571"/>
        <v>0</v>
      </c>
      <c r="Q125" s="20">
        <f t="shared" si="571"/>
        <v>0</v>
      </c>
      <c r="R125" s="20">
        <f t="shared" si="571"/>
        <v>0</v>
      </c>
      <c r="S125" s="20">
        <f t="shared" si="571"/>
        <v>0</v>
      </c>
      <c r="T125" s="20">
        <f t="shared" si="571"/>
        <v>0</v>
      </c>
      <c r="U125" s="20">
        <f t="shared" si="571"/>
        <v>0</v>
      </c>
      <c r="V125" s="20">
        <f t="shared" si="571"/>
        <v>0</v>
      </c>
      <c r="W125" s="20">
        <f t="shared" si="571"/>
        <v>0</v>
      </c>
      <c r="X125" s="20">
        <f t="shared" si="571"/>
        <v>0</v>
      </c>
      <c r="Y125" s="20">
        <f t="shared" si="571"/>
        <v>0</v>
      </c>
      <c r="Z125" s="20">
        <f t="shared" si="571"/>
        <v>0</v>
      </c>
      <c r="AA125" s="20">
        <f t="shared" si="571"/>
        <v>0</v>
      </c>
      <c r="AB125" s="20">
        <f t="shared" si="571"/>
        <v>0</v>
      </c>
      <c r="AC125" s="20">
        <f t="shared" si="571"/>
        <v>0</v>
      </c>
      <c r="AD125" s="20">
        <f t="shared" si="571"/>
        <v>7.355969175067506E-2</v>
      </c>
      <c r="AE125" s="20">
        <f t="shared" si="571"/>
        <v>7.3765045669783549E-2</v>
      </c>
      <c r="AF125" s="20">
        <f t="shared" si="571"/>
        <v>6.9929437364706276E-2</v>
      </c>
      <c r="AG125" s="20">
        <f t="shared" si="571"/>
        <v>8.6258538459670978E-2</v>
      </c>
      <c r="AH125" s="20">
        <f t="shared" si="571"/>
        <v>8.2166761436963526E-2</v>
      </c>
      <c r="AI125" s="20">
        <f t="shared" si="571"/>
        <v>8.3205911287811754E-2</v>
      </c>
      <c r="AJ125" s="20">
        <f t="shared" si="571"/>
        <v>6.0194355369993291E-2</v>
      </c>
      <c r="AK125" s="20">
        <f t="shared" si="571"/>
        <v>6.4574001157917726E-2</v>
      </c>
      <c r="AL125" s="20">
        <f t="shared" si="571"/>
        <v>6.8128324334718937E-2</v>
      </c>
      <c r="AM125" s="20">
        <f t="shared" si="571"/>
        <v>6.8593359935260362E-2</v>
      </c>
      <c r="AN125" s="20">
        <f t="shared" si="571"/>
        <v>7.8348840915832108E-2</v>
      </c>
      <c r="AO125" s="20">
        <f t="shared" si="571"/>
        <v>6.5764357902579229E-2</v>
      </c>
      <c r="AP125" s="20">
        <f t="shared" si="571"/>
        <v>6.8226638365811609E-2</v>
      </c>
      <c r="AQ125" s="20">
        <f t="shared" si="571"/>
        <v>6.7373541814275253E-2</v>
      </c>
      <c r="AR125" s="20">
        <f t="shared" si="571"/>
        <v>6.4523685035023315E-2</v>
      </c>
      <c r="AS125" s="20">
        <f t="shared" si="571"/>
        <v>6.5448141130313456E-2</v>
      </c>
      <c r="AT125" s="20">
        <f t="shared" si="571"/>
        <v>7.4707448052615477E-2</v>
      </c>
      <c r="AU125" s="20">
        <f t="shared" si="571"/>
        <v>7.8388177802647951E-2</v>
      </c>
      <c r="AV125" s="20">
        <f t="shared" si="571"/>
        <v>6.9441255057081888E-2</v>
      </c>
      <c r="AW125" s="20">
        <f t="shared" si="571"/>
        <v>7.0505281323989089E-2</v>
      </c>
      <c r="AX125" s="20">
        <f t="shared" si="571"/>
        <v>6.1286812574492193E-2</v>
      </c>
      <c r="AY125" s="20">
        <f t="shared" si="571"/>
        <v>5.7577880549754552E-2</v>
      </c>
      <c r="AZ125" s="20">
        <f t="shared" si="571"/>
        <v>5.8257825301662972E-2</v>
      </c>
      <c r="BA125" s="20">
        <f t="shared" si="571"/>
        <v>4.9903693963891868E-2</v>
      </c>
      <c r="BB125" s="20">
        <f t="shared" si="571"/>
        <v>4.922660988360085E-2</v>
      </c>
      <c r="BC125" s="20">
        <f t="shared" si="571"/>
        <v>4.8758934482650826E-2</v>
      </c>
      <c r="BD125" s="20">
        <f t="shared" si="571"/>
        <v>4.8471782848730501E-2</v>
      </c>
      <c r="BE125" s="20">
        <f t="shared" si="571"/>
        <v>4.4679107106086531E-2</v>
      </c>
      <c r="BF125" s="20">
        <f t="shared" si="571"/>
        <v>5.2188807206877866E-2</v>
      </c>
      <c r="BG125" s="20">
        <f t="shared" si="571"/>
        <v>5.0066378906763437E-2</v>
      </c>
      <c r="BH125" s="20">
        <f t="shared" si="571"/>
        <v>4.7304225816196491E-2</v>
      </c>
      <c r="BI125" s="20">
        <f t="shared" si="571"/>
        <v>4.6484304799141382E-2</v>
      </c>
      <c r="BJ125" s="20">
        <f t="shared" si="571"/>
        <v>3.8112807442134279E-2</v>
      </c>
      <c r="BK125" s="20">
        <f t="shared" si="571"/>
        <v>3.7590218877982778E-2</v>
      </c>
      <c r="BL125" s="20">
        <f t="shared" si="571"/>
        <v>4.0492183258397305E-2</v>
      </c>
      <c r="BM125" s="20">
        <f t="shared" si="571"/>
        <v>3.6561812992106119E-2</v>
      </c>
      <c r="BN125" s="20">
        <f t="shared" si="571"/>
        <v>4.3517692541759745E-2</v>
      </c>
      <c r="BO125" s="20">
        <f t="shared" si="571"/>
        <v>4.3969162582125854E-2</v>
      </c>
      <c r="BP125" s="20">
        <f t="shared" ref="BP125:EC125" si="572">BP122/BP30</f>
        <v>4.4072238388269028E-2</v>
      </c>
      <c r="BQ125" s="20">
        <f t="shared" si="572"/>
        <v>4.1573761651661607E-2</v>
      </c>
      <c r="BR125" s="20">
        <f t="shared" si="572"/>
        <v>4.5899829943563217E-2</v>
      </c>
      <c r="BS125" s="20">
        <f t="shared" si="572"/>
        <v>4.6418570709260802E-2</v>
      </c>
      <c r="BT125" s="20">
        <f t="shared" si="572"/>
        <v>4.0654579286698765E-2</v>
      </c>
      <c r="BU125" s="20">
        <f t="shared" si="572"/>
        <v>4.2956679023809459E-2</v>
      </c>
      <c r="BV125" s="20">
        <f t="shared" si="572"/>
        <v>3.5356188543759312E-2</v>
      </c>
      <c r="BW125" s="20">
        <f t="shared" si="572"/>
        <v>3.3786310533826976E-2</v>
      </c>
      <c r="BX125" s="20">
        <f t="shared" si="572"/>
        <v>3.7692243333125035E-2</v>
      </c>
      <c r="BY125" s="20">
        <f t="shared" si="572"/>
        <v>3.3108915576035063E-2</v>
      </c>
      <c r="BZ125" s="20">
        <f t="shared" si="572"/>
        <v>3.7678768525148093E-2</v>
      </c>
      <c r="CA125" s="20">
        <f t="shared" si="572"/>
        <v>3.8018531316300334E-2</v>
      </c>
      <c r="CB125" s="20">
        <f t="shared" si="572"/>
        <v>3.8228250833255199E-2</v>
      </c>
      <c r="CC125" s="20">
        <f t="shared" si="572"/>
        <v>3.6061416744016229E-2</v>
      </c>
      <c r="CD125" s="20">
        <f t="shared" si="572"/>
        <v>3.9868273067079976E-2</v>
      </c>
      <c r="CE125" s="20">
        <f t="shared" si="572"/>
        <v>4.0416538581320625E-2</v>
      </c>
      <c r="CF125" s="20">
        <f t="shared" si="572"/>
        <v>3.5425414143497404E-2</v>
      </c>
      <c r="CG125" s="20">
        <f t="shared" si="572"/>
        <v>3.7562001579128292E-2</v>
      </c>
      <c r="CH125" s="20">
        <f t="shared" si="572"/>
        <v>3.0999925728685252E-2</v>
      </c>
      <c r="CI125" s="20">
        <f t="shared" si="572"/>
        <v>2.9704288180809679E-2</v>
      </c>
      <c r="CJ125" s="20">
        <f t="shared" si="572"/>
        <v>3.3221348931902775E-2</v>
      </c>
      <c r="CK125" s="20">
        <f t="shared" si="572"/>
        <v>2.9390354209628631E-2</v>
      </c>
      <c r="CL125" s="20">
        <f t="shared" ref="CL125:CW125" si="573">CL122/CL30</f>
        <v>3.413356955211877E-2</v>
      </c>
      <c r="CM125" s="20">
        <f t="shared" si="573"/>
        <v>3.4451049403985093E-2</v>
      </c>
      <c r="CN125" s="20">
        <f t="shared" si="573"/>
        <v>3.4650986038922374E-2</v>
      </c>
      <c r="CO125" s="20">
        <f t="shared" si="573"/>
        <v>3.2718772084107083E-2</v>
      </c>
      <c r="CP125" s="20">
        <f t="shared" si="573"/>
        <v>3.6169903218550278E-2</v>
      </c>
      <c r="CQ125" s="20">
        <f t="shared" si="573"/>
        <v>3.6630605099041987E-2</v>
      </c>
      <c r="CR125" s="20">
        <f t="shared" si="573"/>
        <v>3.2193646773034705E-2</v>
      </c>
      <c r="CS125" s="20">
        <f t="shared" si="573"/>
        <v>3.4114924979041471E-2</v>
      </c>
      <c r="CT125" s="20">
        <f t="shared" si="573"/>
        <v>2.8154239234906651E-2</v>
      </c>
      <c r="CU125" s="20">
        <f t="shared" si="573"/>
        <v>2.6967774484632168E-2</v>
      </c>
      <c r="CV125" s="20">
        <f t="shared" si="573"/>
        <v>3.0190771657925233E-2</v>
      </c>
      <c r="CW125" s="20">
        <f t="shared" si="573"/>
        <v>2.6732867251453969E-2</v>
      </c>
      <c r="CX125" s="168"/>
      <c r="CY125" s="20">
        <f t="shared" si="572"/>
        <v>7.2365090340935051E-2</v>
      </c>
      <c r="CZ125" s="20">
        <f t="shared" si="572"/>
        <v>8.3836634955733E-2</v>
      </c>
      <c r="DA125" s="20">
        <f t="shared" si="572"/>
        <v>6.3906716594250373E-2</v>
      </c>
      <c r="DB125" s="20">
        <f t="shared" si="572"/>
        <v>7.0338136586483233E-2</v>
      </c>
      <c r="DC125" s="20">
        <f t="shared" si="572"/>
        <v>6.665096096768458E-2</v>
      </c>
      <c r="DD125" s="20">
        <f t="shared" si="572"/>
        <v>7.243088921784728E-2</v>
      </c>
      <c r="DE125" s="20">
        <f t="shared" si="572"/>
        <v>6.6786027110501064E-2</v>
      </c>
      <c r="DF125" s="20">
        <f t="shared" si="572"/>
        <v>5.4821287370179536E-2</v>
      </c>
      <c r="DG125" s="20">
        <f t="shared" si="572"/>
        <v>4.8820879721920236E-2</v>
      </c>
      <c r="DH125" s="20">
        <f t="shared" si="572"/>
        <v>4.8779593219249677E-2</v>
      </c>
      <c r="DI125" s="20">
        <f t="shared" si="572"/>
        <v>4.3635296731247206E-2</v>
      </c>
      <c r="DJ125" s="20">
        <f t="shared" si="572"/>
        <v>3.8103394491870335E-2</v>
      </c>
      <c r="DK125" s="20">
        <f t="shared" si="572"/>
        <v>4.3851704185796987E-2</v>
      </c>
      <c r="DL125" s="20">
        <f t="shared" si="572"/>
        <v>4.4521411812983802E-2</v>
      </c>
      <c r="DM125" s="20">
        <f t="shared" si="572"/>
        <v>3.9390583697536903E-2</v>
      </c>
      <c r="DN125" s="20">
        <f t="shared" si="572"/>
        <v>3.4749656399284706E-2</v>
      </c>
      <c r="DO125" s="20">
        <f t="shared" si="572"/>
        <v>3.7973831415901521E-2</v>
      </c>
      <c r="DP125" s="20">
        <f t="shared" si="572"/>
        <v>3.8682017615102531E-2</v>
      </c>
      <c r="DQ125" s="20">
        <f t="shared" si="572"/>
        <v>3.4439565346646418E-2</v>
      </c>
      <c r="DR125" s="20">
        <f t="shared" si="572"/>
        <v>3.0677648628932897E-2</v>
      </c>
      <c r="DS125" s="20">
        <f t="shared" si="572"/>
        <v>3.4410547154106186E-2</v>
      </c>
      <c r="DT125" s="20">
        <f t="shared" si="572"/>
        <v>3.5083465812374079E-2</v>
      </c>
      <c r="DU125" s="20">
        <f t="shared" si="572"/>
        <v>3.1284757809415406E-2</v>
      </c>
      <c r="DV125" s="20">
        <f t="shared" si="572"/>
        <v>2.787815587916628E-2</v>
      </c>
      <c r="DW125" s="771"/>
      <c r="DX125" s="20">
        <f t="shared" si="572"/>
        <v>7.1965879544540465E-2</v>
      </c>
      <c r="DY125" s="20">
        <f t="shared" si="572"/>
        <v>6.4251224889752198E-2</v>
      </c>
      <c r="DZ125" s="20">
        <f t="shared" si="572"/>
        <v>4.4166188222478274E-2</v>
      </c>
      <c r="EA125" s="20">
        <f t="shared" si="572"/>
        <v>4.0229600652204107E-2</v>
      </c>
      <c r="EB125" s="20">
        <f t="shared" si="572"/>
        <v>3.514347924401752E-2</v>
      </c>
      <c r="EC125" s="20">
        <f t="shared" si="572"/>
        <v>3.1898145768277687E-2</v>
      </c>
    </row>
    <row r="126" spans="2:133" x14ac:dyDescent="0.2">
      <c r="B126" s="22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68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X126" s="19"/>
      <c r="DY126" s="19"/>
      <c r="DZ126" s="19"/>
      <c r="EA126" s="19"/>
      <c r="EB126" s="19"/>
      <c r="EC126" s="770"/>
    </row>
    <row r="127" spans="2:133" x14ac:dyDescent="0.2">
      <c r="B127" s="212" t="s">
        <v>63</v>
      </c>
      <c r="C127" s="199">
        <f>C117-C122</f>
        <v>674516.89947069297</v>
      </c>
      <c r="D127" s="199">
        <f t="shared" ref="D127:BO128" si="574">D117-D122</f>
        <v>919393.51116642531</v>
      </c>
      <c r="E127" s="199">
        <f t="shared" si="574"/>
        <v>1021406.5053334208</v>
      </c>
      <c r="F127" s="199">
        <f t="shared" si="574"/>
        <v>-2242528.9554130239</v>
      </c>
      <c r="G127" s="199">
        <f t="shared" si="574"/>
        <v>-5433006.7480060793</v>
      </c>
      <c r="H127" s="199">
        <f t="shared" si="574"/>
        <v>-1455224.4646651426</v>
      </c>
      <c r="I127" s="199">
        <f t="shared" si="574"/>
        <v>-1232790.406234524</v>
      </c>
      <c r="J127" s="199">
        <f t="shared" si="574"/>
        <v>-1854889.7530192155</v>
      </c>
      <c r="K127" s="199">
        <f t="shared" si="574"/>
        <v>-2021402.3715739185</v>
      </c>
      <c r="L127" s="199">
        <f t="shared" si="574"/>
        <v>-4010371.2363922726</v>
      </c>
      <c r="M127" s="199">
        <f t="shared" si="574"/>
        <v>3525977.8275157502</v>
      </c>
      <c r="N127" s="199">
        <f t="shared" si="574"/>
        <v>3426938.6399705801</v>
      </c>
      <c r="O127" s="199">
        <f t="shared" si="574"/>
        <v>1573831.9696469135</v>
      </c>
      <c r="P127" s="199">
        <f t="shared" si="574"/>
        <v>4060295.3213737244</v>
      </c>
      <c r="Q127" s="199">
        <f t="shared" si="574"/>
        <v>1209209.3642186583</v>
      </c>
      <c r="R127" s="199">
        <f t="shared" si="574"/>
        <v>-2041409.5896023712</v>
      </c>
      <c r="S127" s="199">
        <f t="shared" si="574"/>
        <v>-2530012.4557222342</v>
      </c>
      <c r="T127" s="199">
        <f t="shared" si="574"/>
        <v>-2036135.8991662008</v>
      </c>
      <c r="U127" s="199">
        <f t="shared" si="574"/>
        <v>-4647512.6382160774</v>
      </c>
      <c r="V127" s="199">
        <f t="shared" si="574"/>
        <v>-10685021.213209821</v>
      </c>
      <c r="W127" s="199">
        <f t="shared" si="574"/>
        <v>-17706037.450427465</v>
      </c>
      <c r="X127" s="199">
        <f t="shared" si="574"/>
        <v>-13913448.506503616</v>
      </c>
      <c r="Y127" s="199">
        <f t="shared" si="574"/>
        <v>-12212087.001187416</v>
      </c>
      <c r="Z127" s="199">
        <f t="shared" si="574"/>
        <v>-8403425.2848126702</v>
      </c>
      <c r="AA127" s="199">
        <f t="shared" si="574"/>
        <v>-5009851.3705387888</v>
      </c>
      <c r="AB127" s="199">
        <f t="shared" si="574"/>
        <v>-2347827.2795364233</v>
      </c>
      <c r="AC127" s="199">
        <f t="shared" si="574"/>
        <v>-547219.46462412411</v>
      </c>
      <c r="AD127" s="199">
        <f t="shared" si="574"/>
        <v>-46037196.137648143</v>
      </c>
      <c r="AE127" s="199">
        <f t="shared" si="574"/>
        <v>-41379716.236478485</v>
      </c>
      <c r="AF127" s="199">
        <f t="shared" si="574"/>
        <v>-34395670.494281784</v>
      </c>
      <c r="AG127" s="199">
        <f t="shared" si="574"/>
        <v>-44028961.571683019</v>
      </c>
      <c r="AH127" s="199">
        <f t="shared" si="574"/>
        <v>-41170508.027008839</v>
      </c>
      <c r="AI127" s="199">
        <f t="shared" si="574"/>
        <v>-53697111.697009251</v>
      </c>
      <c r="AJ127" s="199">
        <f t="shared" si="574"/>
        <v>-48032036.412505314</v>
      </c>
      <c r="AK127" s="199">
        <f t="shared" si="574"/>
        <v>-41922525.763027489</v>
      </c>
      <c r="AL127" s="199">
        <f t="shared" si="574"/>
        <v>-35362336.676780246</v>
      </c>
      <c r="AM127" s="199">
        <f t="shared" si="574"/>
        <v>-30331979.407222368</v>
      </c>
      <c r="AN127" s="199">
        <f t="shared" si="574"/>
        <v>-32629996.923123941</v>
      </c>
      <c r="AO127" s="199">
        <f t="shared" si="574"/>
        <v>-15552316.848291099</v>
      </c>
      <c r="AP127" s="199">
        <f t="shared" si="574"/>
        <v>-23647141.877488494</v>
      </c>
      <c r="AQ127" s="199">
        <f t="shared" si="574"/>
        <v>-20405264.683426544</v>
      </c>
      <c r="AR127" s="199">
        <f t="shared" si="574"/>
        <v>-14056300.71745944</v>
      </c>
      <c r="AS127" s="199">
        <f t="shared" si="574"/>
        <v>-16788309.897160061</v>
      </c>
      <c r="AT127" s="199">
        <f t="shared" si="574"/>
        <v>-22948511.389876455</v>
      </c>
      <c r="AU127" s="199">
        <f t="shared" si="574"/>
        <v>-25004983.609817237</v>
      </c>
      <c r="AV127" s="199">
        <f t="shared" si="574"/>
        <v>-10516136.281158455</v>
      </c>
      <c r="AW127" s="199">
        <f t="shared" si="574"/>
        <v>-14073324.530599579</v>
      </c>
      <c r="AX127" s="199">
        <f t="shared" si="574"/>
        <v>-7923136.4644563496</v>
      </c>
      <c r="AY127" s="199">
        <f t="shared" si="574"/>
        <v>-6541926.223031275</v>
      </c>
      <c r="AZ127" s="199">
        <f t="shared" si="574"/>
        <v>-10599528.847993508</v>
      </c>
      <c r="BA127" s="199">
        <f t="shared" si="574"/>
        <v>4241467.5331005752</v>
      </c>
      <c r="BB127" s="199">
        <f t="shared" si="574"/>
        <v>-6356624.7544597238</v>
      </c>
      <c r="BC127" s="199">
        <f t="shared" si="574"/>
        <v>-7927418.0636942983</v>
      </c>
      <c r="BD127" s="199">
        <f t="shared" si="574"/>
        <v>-3618792.8349486142</v>
      </c>
      <c r="BE127" s="199">
        <f t="shared" si="574"/>
        <v>-3092744.773797676</v>
      </c>
      <c r="BF127" s="199">
        <f t="shared" si="574"/>
        <v>-5509145.7499924153</v>
      </c>
      <c r="BG127" s="199">
        <f t="shared" si="574"/>
        <v>-14005923.899405621</v>
      </c>
      <c r="BH127" s="199">
        <f t="shared" si="574"/>
        <v>-3893111.749376297</v>
      </c>
      <c r="BI127" s="199">
        <f t="shared" si="574"/>
        <v>-1665657.3065669984</v>
      </c>
      <c r="BJ127" s="199">
        <f t="shared" si="574"/>
        <v>6397979.7918418199</v>
      </c>
      <c r="BK127" s="199">
        <f t="shared" si="574"/>
        <v>7798328.4654890597</v>
      </c>
      <c r="BL127" s="199">
        <f t="shared" si="574"/>
        <v>-6637092.6785505936</v>
      </c>
      <c r="BM127" s="199">
        <f t="shared" si="574"/>
        <v>-8392951.6666163057</v>
      </c>
      <c r="BN127" s="199">
        <f t="shared" si="574"/>
        <v>-946571.95552290231</v>
      </c>
      <c r="BO127" s="199">
        <f t="shared" si="574"/>
        <v>-2581043.8740156218</v>
      </c>
      <c r="BP127" s="199">
        <f t="shared" ref="BP127:CK129" si="575">BP117-BP122</f>
        <v>-2892220.0805002376</v>
      </c>
      <c r="BQ127" s="199">
        <f t="shared" si="575"/>
        <v>5455703.0983256847</v>
      </c>
      <c r="BR127" s="199">
        <f t="shared" si="575"/>
        <v>-7854365.6480153352</v>
      </c>
      <c r="BS127" s="199">
        <f t="shared" si="575"/>
        <v>-10728232.582666557</v>
      </c>
      <c r="BT127" s="199">
        <f t="shared" si="575"/>
        <v>8416379.9638332129</v>
      </c>
      <c r="BU127" s="199">
        <f t="shared" si="575"/>
        <v>87211.244105868042</v>
      </c>
      <c r="BV127" s="199">
        <f t="shared" si="575"/>
        <v>27967037.364073686</v>
      </c>
      <c r="BW127" s="199">
        <f t="shared" si="575"/>
        <v>34726897.185715102</v>
      </c>
      <c r="BX127" s="199">
        <f t="shared" si="575"/>
        <v>18420894.575068973</v>
      </c>
      <c r="BY127" s="199">
        <f t="shared" si="575"/>
        <v>40216534.682289161</v>
      </c>
      <c r="BZ127" s="199">
        <f t="shared" si="575"/>
        <v>14632007.639197268</v>
      </c>
      <c r="CA127" s="199">
        <f t="shared" si="575"/>
        <v>12879335.264473617</v>
      </c>
      <c r="CB127" s="199">
        <f t="shared" si="575"/>
        <v>11948406.370938823</v>
      </c>
      <c r="CC127" s="199">
        <f t="shared" si="575"/>
        <v>22022324.711958066</v>
      </c>
      <c r="CD127" s="199">
        <f t="shared" si="575"/>
        <v>5732532.4795762673</v>
      </c>
      <c r="CE127" s="199">
        <f t="shared" si="575"/>
        <v>1807883.7874211073</v>
      </c>
      <c r="CF127" s="199">
        <f t="shared" si="575"/>
        <v>24797962.742018461</v>
      </c>
      <c r="CG127" s="199">
        <f t="shared" si="575"/>
        <v>14163241.162724108</v>
      </c>
      <c r="CH127" s="199">
        <f t="shared" si="575"/>
        <v>46834951.276988387</v>
      </c>
      <c r="CI127" s="199">
        <f t="shared" si="575"/>
        <v>54233056.901712403</v>
      </c>
      <c r="CJ127" s="199">
        <f t="shared" si="575"/>
        <v>34443831.3954909</v>
      </c>
      <c r="CK127" s="199">
        <f t="shared" si="575"/>
        <v>58624274.831395075</v>
      </c>
      <c r="CL127" s="199">
        <f t="shared" ref="CL127:CW127" si="576">CL117-CL122</f>
        <v>24403457.949741974</v>
      </c>
      <c r="CM127" s="199">
        <f t="shared" si="576"/>
        <v>22345410.711207017</v>
      </c>
      <c r="CN127" s="199">
        <f t="shared" si="576"/>
        <v>21226802.559891909</v>
      </c>
      <c r="CO127" s="199">
        <f t="shared" si="576"/>
        <v>32496660.791911587</v>
      </c>
      <c r="CP127" s="199">
        <f t="shared" si="576"/>
        <v>13980196.609141894</v>
      </c>
      <c r="CQ127" s="199">
        <f t="shared" si="576"/>
        <v>9670906.6055855975</v>
      </c>
      <c r="CR127" s="199">
        <f t="shared" si="576"/>
        <v>35349570.795533627</v>
      </c>
      <c r="CS127" s="199">
        <f t="shared" si="576"/>
        <v>23383220.868227124</v>
      </c>
      <c r="CT127" s="199">
        <f t="shared" si="576"/>
        <v>60474952.716839001</v>
      </c>
      <c r="CU127" s="199">
        <f t="shared" si="576"/>
        <v>68952132.012922615</v>
      </c>
      <c r="CV127" s="199">
        <f t="shared" si="576"/>
        <v>46268805.632596716</v>
      </c>
      <c r="CW127" s="199">
        <f t="shared" si="576"/>
        <v>73482270.653416157</v>
      </c>
      <c r="CX127" s="168"/>
      <c r="CY127" s="199">
        <f t="shared" ref="CY127:CY129" si="577">SUM(AD127:AF127)</f>
        <v>-121812582.86840841</v>
      </c>
      <c r="CZ127" s="199">
        <f t="shared" ref="CZ127:CZ129" si="578">SUM(AG127:AI127)</f>
        <v>-138896581.29570109</v>
      </c>
      <c r="DA127" s="199">
        <f t="shared" ref="DA127:DA129" si="579">SUM(AJ127:AL127)</f>
        <v>-125316898.85231304</v>
      </c>
      <c r="DB127" s="199">
        <f t="shared" ref="DB127:DB129" si="580">SUM(AM127:AO127)</f>
        <v>-78514293.178637415</v>
      </c>
      <c r="DC127" s="199">
        <f t="shared" ref="DC127:DC129" si="581">SUM(AP127:AR127)</f>
        <v>-58108707.278374478</v>
      </c>
      <c r="DD127" s="199">
        <f t="shared" ref="DD127:DD129" si="582">SUM(AS127:AU127)</f>
        <v>-64741804.896853752</v>
      </c>
      <c r="DE127" s="199">
        <f t="shared" ref="DE127:DE129" si="583">SUM(AV127:AX127)</f>
        <v>-32512597.276214384</v>
      </c>
      <c r="DF127" s="199">
        <f t="shared" ref="DF127:DF129" si="584">SUM(AY127:BA127)</f>
        <v>-12899987.537924208</v>
      </c>
      <c r="DG127" s="199">
        <f t="shared" ref="DG127:DG129" si="585">SUM(BB127:BD127)</f>
        <v>-17902835.653102636</v>
      </c>
      <c r="DH127" s="199">
        <f t="shared" ref="DH127:DH129" si="586">SUM(BE127:BG127)</f>
        <v>-22607814.423195712</v>
      </c>
      <c r="DI127" s="199">
        <f t="shared" ref="DI127:DI129" si="587">SUM(BH127:BJ127)</f>
        <v>839210.73589852452</v>
      </c>
      <c r="DJ127" s="199">
        <f t="shared" ref="DJ127:DJ129" si="588">SUM(BK127:BM127)</f>
        <v>-7231715.8796778396</v>
      </c>
      <c r="DK127" s="199">
        <f t="shared" ref="DK127:DK129" si="589">SUM(BN127:BP127)</f>
        <v>-6419835.9100387618</v>
      </c>
      <c r="DL127" s="199">
        <f t="shared" ref="DL127:DL129" si="590">SUM(BQ127:BS127)</f>
        <v>-13126895.132356208</v>
      </c>
      <c r="DM127" s="199">
        <f t="shared" ref="DM127:DM129" si="591">SUM(BT127:BV127)</f>
        <v>36470628.572012767</v>
      </c>
      <c r="DN127" s="199">
        <f t="shared" ref="DN127:DN129" si="592">SUM(BW127:BY127)</f>
        <v>93364326.443073243</v>
      </c>
      <c r="DO127" s="199">
        <f t="shared" ref="DO127:DO129" si="593">SUM(BZ127:CB127)</f>
        <v>39459749.274609707</v>
      </c>
      <c r="DP127" s="199">
        <f t="shared" ref="DP127:DP129" si="594">SUM(CC127:CE127)</f>
        <v>29562740.97895544</v>
      </c>
      <c r="DQ127" s="199">
        <f t="shared" ref="DQ127:DQ129" si="595">SUM(CF127:CH127)</f>
        <v>85796155.181730956</v>
      </c>
      <c r="DR127" s="199">
        <f t="shared" ref="DR127:DR129" si="596">SUM(CI127:CK127)</f>
        <v>147301163.12859839</v>
      </c>
      <c r="DS127" s="199">
        <f t="shared" ref="DS127:DS129" si="597">SUM(CL127:CN127)</f>
        <v>67975671.220840901</v>
      </c>
      <c r="DT127" s="199">
        <f t="shared" ref="DT127:DT129" si="598">SUM(CO127:CQ127)</f>
        <v>56147764.006639078</v>
      </c>
      <c r="DU127" s="199">
        <f t="shared" ref="DU127:DU129" si="599">SUM(CR127:CT127)</f>
        <v>119207744.38059975</v>
      </c>
      <c r="DV127" s="199">
        <f t="shared" ref="DV127:DV129" si="600">SUM(CU127:CW127)</f>
        <v>188703208.29893547</v>
      </c>
      <c r="DX127" s="199">
        <f t="shared" ref="DX127:DX129" si="601">SUM(CY127:DB127)</f>
        <v>-464540356.1950599</v>
      </c>
      <c r="DY127" s="199">
        <f t="shared" ref="DY127:DY129" si="602">SUM(DC127:DF127)</f>
        <v>-168263096.98936683</v>
      </c>
      <c r="DZ127" s="199">
        <f t="shared" ref="DZ127:DZ129" si="603">SUM(DG127:DJ127)</f>
        <v>-46903155.220077664</v>
      </c>
      <c r="EA127" s="199">
        <f t="shared" ref="EA127:EA129" si="604">SUM(DK127:DN127)</f>
        <v>110288223.97269104</v>
      </c>
      <c r="EB127" s="199">
        <f t="shared" ref="EB127:EB129" si="605">SUM(DO127:DR127)</f>
        <v>302119808.56389451</v>
      </c>
      <c r="EC127" s="810">
        <f t="shared" ref="EC127:EC129" si="606">SUM(DS127:DV127)</f>
        <v>432034387.9070152</v>
      </c>
    </row>
    <row r="128" spans="2:133" x14ac:dyDescent="0.2">
      <c r="B128" s="155" t="s">
        <v>229</v>
      </c>
      <c r="C128" s="19">
        <f t="shared" ref="C128:R129" si="607">C118-C123</f>
        <v>471041.01648141706</v>
      </c>
      <c r="D128" s="19">
        <f t="shared" si="607"/>
        <v>845158.20066512795</v>
      </c>
      <c r="E128" s="19">
        <f t="shared" si="607"/>
        <v>780531.16885597818</v>
      </c>
      <c r="F128" s="19">
        <f t="shared" si="607"/>
        <v>-2294663.3532493282</v>
      </c>
      <c r="G128" s="19">
        <f t="shared" si="607"/>
        <v>-5422715.5337462397</v>
      </c>
      <c r="H128" s="19">
        <f t="shared" si="607"/>
        <v>-1850147.5435754305</v>
      </c>
      <c r="I128" s="19">
        <f t="shared" si="607"/>
        <v>-2046683.746673052</v>
      </c>
      <c r="J128" s="19">
        <f t="shared" si="607"/>
        <v>-2329389.1358407531</v>
      </c>
      <c r="K128" s="19">
        <f t="shared" si="607"/>
        <v>-2904775.3987276382</v>
      </c>
      <c r="L128" s="19">
        <f t="shared" si="607"/>
        <v>-4034727.6146971444</v>
      </c>
      <c r="M128" s="19">
        <f t="shared" si="607"/>
        <v>1920986.8484982515</v>
      </c>
      <c r="N128" s="19">
        <f t="shared" si="607"/>
        <v>1538151.4862279575</v>
      </c>
      <c r="O128" s="19">
        <f t="shared" si="607"/>
        <v>-1009598.5511026683</v>
      </c>
      <c r="P128" s="19">
        <f t="shared" si="607"/>
        <v>1012640.7951662851</v>
      </c>
      <c r="Q128" s="19">
        <f t="shared" si="607"/>
        <v>-496506.44322743162</v>
      </c>
      <c r="R128" s="19">
        <f t="shared" si="607"/>
        <v>-3485675.7337346813</v>
      </c>
      <c r="S128" s="19">
        <f t="shared" si="574"/>
        <v>-3902798.2598173767</v>
      </c>
      <c r="T128" s="19">
        <f t="shared" si="574"/>
        <v>-3902896.732646327</v>
      </c>
      <c r="U128" s="19">
        <f t="shared" si="574"/>
        <v>-4796439.1973179271</v>
      </c>
      <c r="V128" s="19">
        <f t="shared" si="574"/>
        <v>-9805662.5876295548</v>
      </c>
      <c r="W128" s="19">
        <f t="shared" si="574"/>
        <v>-16631471.142647395</v>
      </c>
      <c r="X128" s="19">
        <f t="shared" si="574"/>
        <v>-13649905.889616016</v>
      </c>
      <c r="Y128" s="19">
        <f t="shared" si="574"/>
        <v>-12936944.927420657</v>
      </c>
      <c r="Z128" s="19">
        <f t="shared" si="574"/>
        <v>-7979133.5022878591</v>
      </c>
      <c r="AA128" s="19">
        <f t="shared" si="574"/>
        <v>-6519186.0990725206</v>
      </c>
      <c r="AB128" s="19">
        <f t="shared" si="574"/>
        <v>-5313231.0560209109</v>
      </c>
      <c r="AC128" s="19">
        <f t="shared" si="574"/>
        <v>-601323.45232202893</v>
      </c>
      <c r="AD128" s="19">
        <f t="shared" si="574"/>
        <v>-23782100.768541187</v>
      </c>
      <c r="AE128" s="19">
        <f t="shared" si="574"/>
        <v>-20765077.814997286</v>
      </c>
      <c r="AF128" s="19">
        <f t="shared" si="574"/>
        <v>-17188105.894944184</v>
      </c>
      <c r="AG128" s="19">
        <f t="shared" si="574"/>
        <v>-19617664.916738749</v>
      </c>
      <c r="AH128" s="19">
        <f t="shared" si="574"/>
        <v>-19268891.441142324</v>
      </c>
      <c r="AI128" s="19">
        <f t="shared" si="574"/>
        <v>-25104213.709043056</v>
      </c>
      <c r="AJ128" s="19">
        <f t="shared" si="574"/>
        <v>-18522960.394645356</v>
      </c>
      <c r="AK128" s="19">
        <f t="shared" si="574"/>
        <v>-22420643.827979356</v>
      </c>
      <c r="AL128" s="19">
        <f t="shared" si="574"/>
        <v>-22276119.181437492</v>
      </c>
      <c r="AM128" s="19">
        <f t="shared" si="574"/>
        <v>-18476533.860726759</v>
      </c>
      <c r="AN128" s="19">
        <f t="shared" si="574"/>
        <v>-15580094.65905394</v>
      </c>
      <c r="AO128" s="19">
        <f t="shared" si="574"/>
        <v>-8363869.55601364</v>
      </c>
      <c r="AP128" s="19">
        <f t="shared" si="574"/>
        <v>-10013612.309089601</v>
      </c>
      <c r="AQ128" s="19">
        <f t="shared" si="574"/>
        <v>-7055178.67951262</v>
      </c>
      <c r="AR128" s="19">
        <f t="shared" si="574"/>
        <v>-4319000.6413991563</v>
      </c>
      <c r="AS128" s="19">
        <f t="shared" si="574"/>
        <v>-7057937.4394532889</v>
      </c>
      <c r="AT128" s="19">
        <f t="shared" si="574"/>
        <v>-13863885.266172603</v>
      </c>
      <c r="AU128" s="19">
        <f t="shared" si="574"/>
        <v>-21937676.458507776</v>
      </c>
      <c r="AV128" s="19">
        <f t="shared" si="574"/>
        <v>-11656364.408231605</v>
      </c>
      <c r="AW128" s="19">
        <f t="shared" si="574"/>
        <v>-8873331.8899972141</v>
      </c>
      <c r="AX128" s="19">
        <f t="shared" si="574"/>
        <v>-3684947.8430309296</v>
      </c>
      <c r="AY128" s="19">
        <f t="shared" si="574"/>
        <v>-6603621.0672226697</v>
      </c>
      <c r="AZ128" s="19">
        <f t="shared" si="574"/>
        <v>-9233803.2001418322</v>
      </c>
      <c r="BA128" s="19">
        <f t="shared" si="574"/>
        <v>-2160048.9754266441</v>
      </c>
      <c r="BB128" s="19">
        <f t="shared" si="574"/>
        <v>-5950728.0809262097</v>
      </c>
      <c r="BC128" s="19">
        <f t="shared" si="574"/>
        <v>-8638545.352781903</v>
      </c>
      <c r="BD128" s="19">
        <f t="shared" si="574"/>
        <v>-3844632.1843227316</v>
      </c>
      <c r="BE128" s="19">
        <f t="shared" si="574"/>
        <v>-7603584.0734300539</v>
      </c>
      <c r="BF128" s="19">
        <f t="shared" si="574"/>
        <v>-8992088.8043965325</v>
      </c>
      <c r="BG128" s="19">
        <f t="shared" si="574"/>
        <v>-19142861.847933263</v>
      </c>
      <c r="BH128" s="19">
        <f t="shared" si="574"/>
        <v>22513.164418041706</v>
      </c>
      <c r="BI128" s="19">
        <f t="shared" si="574"/>
        <v>1410043.1223893687</v>
      </c>
      <c r="BJ128" s="19">
        <f t="shared" si="574"/>
        <v>6227696.8151600286</v>
      </c>
      <c r="BK128" s="19">
        <f t="shared" si="574"/>
        <v>8493079.7586075626</v>
      </c>
      <c r="BL128" s="19">
        <f t="shared" si="574"/>
        <v>3024155.9764411524</v>
      </c>
      <c r="BM128" s="19">
        <f t="shared" si="574"/>
        <v>-1589428.2836698219</v>
      </c>
      <c r="BN128" s="19">
        <f t="shared" si="574"/>
        <v>-1314264.5724605843</v>
      </c>
      <c r="BO128" s="19">
        <f t="shared" si="574"/>
        <v>-3360591.9881165102</v>
      </c>
      <c r="BP128" s="19">
        <f t="shared" si="575"/>
        <v>-3642524.0172876492</v>
      </c>
      <c r="BQ128" s="19">
        <f t="shared" si="575"/>
        <v>4088834.4231816866</v>
      </c>
      <c r="BR128" s="19">
        <f t="shared" si="575"/>
        <v>-6828085.8130163271</v>
      </c>
      <c r="BS128" s="19">
        <f t="shared" si="575"/>
        <v>-13372097.000493627</v>
      </c>
      <c r="BT128" s="19">
        <f t="shared" si="575"/>
        <v>7413147.1749208681</v>
      </c>
      <c r="BU128" s="19">
        <f t="shared" si="575"/>
        <v>-1013502.1358511224</v>
      </c>
      <c r="BV128" s="19">
        <f t="shared" si="575"/>
        <v>17388773.519813381</v>
      </c>
      <c r="BW128" s="19">
        <f t="shared" si="575"/>
        <v>20186047.315494992</v>
      </c>
      <c r="BX128" s="19">
        <f t="shared" si="575"/>
        <v>11741854.372589223</v>
      </c>
      <c r="BY128" s="19">
        <f t="shared" si="575"/>
        <v>29730877.399521105</v>
      </c>
      <c r="BZ128" s="19">
        <f t="shared" si="575"/>
        <v>9953382.4155371822</v>
      </c>
      <c r="CA128" s="19">
        <f t="shared" si="575"/>
        <v>7722489.2149368636</v>
      </c>
      <c r="CB128" s="19">
        <f t="shared" si="575"/>
        <v>6825516.8297483958</v>
      </c>
      <c r="CC128" s="19">
        <f t="shared" si="575"/>
        <v>16183518.786466677</v>
      </c>
      <c r="CD128" s="19">
        <f t="shared" si="575"/>
        <v>2672500.8204224259</v>
      </c>
      <c r="CE128" s="19">
        <f t="shared" si="575"/>
        <v>-5513689.6691911593</v>
      </c>
      <c r="CF128" s="19">
        <f t="shared" si="575"/>
        <v>19330411.600026969</v>
      </c>
      <c r="CG128" s="19">
        <f t="shared" si="575"/>
        <v>8582501.6595783159</v>
      </c>
      <c r="CH128" s="19">
        <f t="shared" si="575"/>
        <v>30249473.360618193</v>
      </c>
      <c r="CI128" s="19">
        <f t="shared" si="575"/>
        <v>33046472.104421522</v>
      </c>
      <c r="CJ128" s="19">
        <f t="shared" si="575"/>
        <v>22385887.925292071</v>
      </c>
      <c r="CK128" s="19">
        <f t="shared" si="575"/>
        <v>42146325.858121783</v>
      </c>
      <c r="CL128" s="19">
        <f t="shared" ref="CL128:CW128" si="608">CL118-CL123</f>
        <v>14021632.337701149</v>
      </c>
      <c r="CM128" s="19">
        <f t="shared" si="608"/>
        <v>11403425.094308808</v>
      </c>
      <c r="CN128" s="19">
        <f t="shared" si="608"/>
        <v>10324591.61789453</v>
      </c>
      <c r="CO128" s="19">
        <f t="shared" si="608"/>
        <v>20755867.120748959</v>
      </c>
      <c r="CP128" s="19">
        <f t="shared" si="608"/>
        <v>5494297.1673880629</v>
      </c>
      <c r="CQ128" s="19">
        <f t="shared" si="608"/>
        <v>-3806714.5362593718</v>
      </c>
      <c r="CR128" s="19">
        <f t="shared" si="608"/>
        <v>23985203.538348682</v>
      </c>
      <c r="CS128" s="19">
        <f t="shared" si="608"/>
        <v>11886271.361371905</v>
      </c>
      <c r="CT128" s="19">
        <f t="shared" si="608"/>
        <v>36087693.985777877</v>
      </c>
      <c r="CU128" s="19">
        <f t="shared" si="608"/>
        <v>39175404.832759164</v>
      </c>
      <c r="CV128" s="19">
        <f t="shared" si="608"/>
        <v>27184836.888351798</v>
      </c>
      <c r="CW128" s="19">
        <f t="shared" si="608"/>
        <v>49220965.059541695</v>
      </c>
      <c r="CX128" s="168"/>
      <c r="CY128" s="19">
        <f t="shared" si="577"/>
        <v>-61735284.478482656</v>
      </c>
      <c r="CZ128" s="19">
        <f t="shared" si="578"/>
        <v>-63990770.066924125</v>
      </c>
      <c r="DA128" s="19">
        <f t="shared" si="579"/>
        <v>-63219723.404062204</v>
      </c>
      <c r="DB128" s="19">
        <f t="shared" si="580"/>
        <v>-42420498.075794339</v>
      </c>
      <c r="DC128" s="19">
        <f t="shared" si="581"/>
        <v>-21387791.630001377</v>
      </c>
      <c r="DD128" s="19">
        <f t="shared" si="582"/>
        <v>-42859499.164133668</v>
      </c>
      <c r="DE128" s="19">
        <f t="shared" si="583"/>
        <v>-24214644.141259748</v>
      </c>
      <c r="DF128" s="19">
        <f t="shared" si="584"/>
        <v>-17997473.242791146</v>
      </c>
      <c r="DG128" s="19">
        <f t="shared" si="585"/>
        <v>-18433905.618030846</v>
      </c>
      <c r="DH128" s="19">
        <f t="shared" si="586"/>
        <v>-35738534.725759849</v>
      </c>
      <c r="DI128" s="19">
        <f t="shared" si="587"/>
        <v>7660253.1019674391</v>
      </c>
      <c r="DJ128" s="19">
        <f t="shared" si="588"/>
        <v>9927807.4513788931</v>
      </c>
      <c r="DK128" s="19">
        <f t="shared" si="589"/>
        <v>-8317380.5778647438</v>
      </c>
      <c r="DL128" s="19">
        <f t="shared" si="590"/>
        <v>-16111348.390328268</v>
      </c>
      <c r="DM128" s="19">
        <f t="shared" si="591"/>
        <v>23788418.558883127</v>
      </c>
      <c r="DN128" s="19">
        <f t="shared" si="592"/>
        <v>61658779.08760532</v>
      </c>
      <c r="DO128" s="19">
        <f t="shared" si="593"/>
        <v>24501388.460222442</v>
      </c>
      <c r="DP128" s="19">
        <f t="shared" si="594"/>
        <v>13342329.937697943</v>
      </c>
      <c r="DQ128" s="19">
        <f t="shared" si="595"/>
        <v>58162386.620223477</v>
      </c>
      <c r="DR128" s="19">
        <f t="shared" si="596"/>
        <v>97578685.887835383</v>
      </c>
      <c r="DS128" s="19">
        <f t="shared" si="597"/>
        <v>35749649.049904488</v>
      </c>
      <c r="DT128" s="19">
        <f t="shared" si="598"/>
        <v>22443449.751877651</v>
      </c>
      <c r="DU128" s="19">
        <f t="shared" si="599"/>
        <v>71959168.885498464</v>
      </c>
      <c r="DV128" s="19">
        <f t="shared" si="600"/>
        <v>115581206.78065266</v>
      </c>
      <c r="DX128" s="19">
        <f t="shared" si="601"/>
        <v>-231366276.02526334</v>
      </c>
      <c r="DY128" s="19">
        <f t="shared" si="602"/>
        <v>-106459408.17818594</v>
      </c>
      <c r="DZ128" s="19">
        <f t="shared" si="603"/>
        <v>-36584379.790444359</v>
      </c>
      <c r="EA128" s="19">
        <f t="shared" si="604"/>
        <v>61018468.678295434</v>
      </c>
      <c r="EB128" s="19">
        <f t="shared" si="605"/>
        <v>193584790.90597925</v>
      </c>
      <c r="EC128" s="770">
        <f t="shared" si="606"/>
        <v>245733474.46793324</v>
      </c>
    </row>
    <row r="129" spans="2:133" x14ac:dyDescent="0.2">
      <c r="B129" s="155" t="s">
        <v>237</v>
      </c>
      <c r="C129" s="19">
        <f t="shared" si="607"/>
        <v>203475.88298927096</v>
      </c>
      <c r="D129" s="19">
        <f t="shared" ref="D129:BO129" si="609">D119-D124</f>
        <v>74235.310501297878</v>
      </c>
      <c r="E129" s="19">
        <f t="shared" si="609"/>
        <v>240875.336477442</v>
      </c>
      <c r="F129" s="19">
        <f t="shared" si="609"/>
        <v>52134.397836306664</v>
      </c>
      <c r="G129" s="19">
        <f t="shared" si="609"/>
        <v>-10291.214259839586</v>
      </c>
      <c r="H129" s="19">
        <f t="shared" si="609"/>
        <v>394923.07891028922</v>
      </c>
      <c r="I129" s="19">
        <f t="shared" si="609"/>
        <v>813893.34043852915</v>
      </c>
      <c r="J129" s="19">
        <f t="shared" si="609"/>
        <v>474499.38282153435</v>
      </c>
      <c r="K129" s="19">
        <f t="shared" si="609"/>
        <v>883373.02715372446</v>
      </c>
      <c r="L129" s="19">
        <f t="shared" si="609"/>
        <v>24356.37830486914</v>
      </c>
      <c r="M129" s="19">
        <f t="shared" si="609"/>
        <v>1604990.9790175082</v>
      </c>
      <c r="N129" s="19">
        <f t="shared" si="609"/>
        <v>1888787.1537426235</v>
      </c>
      <c r="O129" s="19">
        <f t="shared" si="609"/>
        <v>2583430.5207495843</v>
      </c>
      <c r="P129" s="19">
        <f t="shared" si="609"/>
        <v>3047654.5262074382</v>
      </c>
      <c r="Q129" s="19">
        <f t="shared" si="609"/>
        <v>1705715.8074460905</v>
      </c>
      <c r="R129" s="19">
        <f t="shared" si="609"/>
        <v>1444266.1441323149</v>
      </c>
      <c r="S129" s="19">
        <f t="shared" si="609"/>
        <v>1372785.8040951418</v>
      </c>
      <c r="T129" s="19">
        <f t="shared" si="609"/>
        <v>1866760.8334801141</v>
      </c>
      <c r="U129" s="19">
        <f t="shared" si="609"/>
        <v>148926.55910185352</v>
      </c>
      <c r="V129" s="19">
        <f t="shared" si="609"/>
        <v>-879358.6255802582</v>
      </c>
      <c r="W129" s="19">
        <f t="shared" si="609"/>
        <v>-1074566.3077800798</v>
      </c>
      <c r="X129" s="19">
        <f t="shared" si="609"/>
        <v>-263542.61688757944</v>
      </c>
      <c r="Y129" s="19">
        <f t="shared" si="609"/>
        <v>724857.92623324366</v>
      </c>
      <c r="Z129" s="19">
        <f t="shared" si="609"/>
        <v>-424291.78252482839</v>
      </c>
      <c r="AA129" s="19">
        <f t="shared" si="609"/>
        <v>1509334.7285337509</v>
      </c>
      <c r="AB129" s="19">
        <f t="shared" si="609"/>
        <v>2965403.7764844755</v>
      </c>
      <c r="AC129" s="19">
        <f t="shared" si="609"/>
        <v>54103.987697905395</v>
      </c>
      <c r="AD129" s="19">
        <f t="shared" si="609"/>
        <v>-22255095.369106986</v>
      </c>
      <c r="AE129" s="19">
        <f t="shared" si="609"/>
        <v>-20614638.421481214</v>
      </c>
      <c r="AF129" s="19">
        <f t="shared" si="609"/>
        <v>-17207564.599337596</v>
      </c>
      <c r="AG129" s="19">
        <f t="shared" si="609"/>
        <v>-24411296.654944241</v>
      </c>
      <c r="AH129" s="19">
        <f t="shared" si="609"/>
        <v>-21901616.585866556</v>
      </c>
      <c r="AI129" s="19">
        <f t="shared" si="609"/>
        <v>-28592897.987966221</v>
      </c>
      <c r="AJ129" s="19">
        <f t="shared" si="609"/>
        <v>-29509076.017860018</v>
      </c>
      <c r="AK129" s="19">
        <f t="shared" si="609"/>
        <v>-19501881.935048133</v>
      </c>
      <c r="AL129" s="19">
        <f t="shared" si="609"/>
        <v>-13086217.495342778</v>
      </c>
      <c r="AM129" s="19">
        <f t="shared" si="609"/>
        <v>-11855445.546495609</v>
      </c>
      <c r="AN129" s="19">
        <f t="shared" si="609"/>
        <v>-17049902.264069974</v>
      </c>
      <c r="AO129" s="19">
        <f t="shared" si="609"/>
        <v>-7188447.2922774293</v>
      </c>
      <c r="AP129" s="19">
        <f t="shared" si="609"/>
        <v>-13633529.568398949</v>
      </c>
      <c r="AQ129" s="19">
        <f t="shared" si="609"/>
        <v>-13350086.003913928</v>
      </c>
      <c r="AR129" s="19">
        <f t="shared" si="609"/>
        <v>-9737300.0760602914</v>
      </c>
      <c r="AS129" s="19">
        <f t="shared" si="609"/>
        <v>-9730372.4577067792</v>
      </c>
      <c r="AT129" s="19">
        <f t="shared" si="609"/>
        <v>-9084626.1237039156</v>
      </c>
      <c r="AU129" s="19">
        <f t="shared" si="609"/>
        <v>-3067307.1513094306</v>
      </c>
      <c r="AV129" s="19">
        <f t="shared" si="609"/>
        <v>1140228.1270731725</v>
      </c>
      <c r="AW129" s="19">
        <f t="shared" si="609"/>
        <v>-5199992.6406023987</v>
      </c>
      <c r="AX129" s="19">
        <f t="shared" si="609"/>
        <v>-4238188.6214255057</v>
      </c>
      <c r="AY129" s="19">
        <f t="shared" si="609"/>
        <v>61694.844191398472</v>
      </c>
      <c r="AZ129" s="19">
        <f t="shared" si="609"/>
        <v>-1365725.6478516236</v>
      </c>
      <c r="BA129" s="19">
        <f t="shared" si="609"/>
        <v>6401516.5085272118</v>
      </c>
      <c r="BB129" s="19">
        <f t="shared" si="609"/>
        <v>-405896.67353350669</v>
      </c>
      <c r="BC129" s="19">
        <f t="shared" si="609"/>
        <v>711127.28908757493</v>
      </c>
      <c r="BD129" s="19">
        <f t="shared" si="609"/>
        <v>225839.34937405214</v>
      </c>
      <c r="BE129" s="19">
        <f t="shared" si="609"/>
        <v>4510839.2996324375</v>
      </c>
      <c r="BF129" s="19">
        <f t="shared" si="609"/>
        <v>3482943.0544041693</v>
      </c>
      <c r="BG129" s="19">
        <f t="shared" si="609"/>
        <v>5136937.9485276975</v>
      </c>
      <c r="BH129" s="19">
        <f t="shared" si="609"/>
        <v>-3915624.9137943313</v>
      </c>
      <c r="BI129" s="19">
        <f t="shared" si="609"/>
        <v>-3075700.4289564639</v>
      </c>
      <c r="BJ129" s="19">
        <f t="shared" si="609"/>
        <v>170282.97668178752</v>
      </c>
      <c r="BK129" s="19">
        <f t="shared" si="609"/>
        <v>-694751.2931185849</v>
      </c>
      <c r="BL129" s="19">
        <f t="shared" si="609"/>
        <v>-9661248.6549917385</v>
      </c>
      <c r="BM129" s="19">
        <f t="shared" si="609"/>
        <v>-6803523.3829464987</v>
      </c>
      <c r="BN129" s="19">
        <f t="shared" si="609"/>
        <v>367692.6169376336</v>
      </c>
      <c r="BO129" s="19">
        <f t="shared" si="609"/>
        <v>779548.11410075426</v>
      </c>
      <c r="BP129" s="19">
        <f t="shared" si="575"/>
        <v>750303.9367874153</v>
      </c>
      <c r="BQ129" s="19">
        <f t="shared" si="575"/>
        <v>1366868.6751440018</v>
      </c>
      <c r="BR129" s="19">
        <f t="shared" si="575"/>
        <v>-1026279.8349990137</v>
      </c>
      <c r="BS129" s="19">
        <f t="shared" si="575"/>
        <v>2643864.4178271294</v>
      </c>
      <c r="BT129" s="19">
        <f t="shared" si="575"/>
        <v>1003232.7889122851</v>
      </c>
      <c r="BU129" s="19">
        <f t="shared" si="575"/>
        <v>1100713.3799569197</v>
      </c>
      <c r="BV129" s="19">
        <f t="shared" si="575"/>
        <v>10578263.844260354</v>
      </c>
      <c r="BW129" s="19">
        <f t="shared" si="575"/>
        <v>14540849.870220162</v>
      </c>
      <c r="BX129" s="19">
        <f t="shared" si="575"/>
        <v>6679040.202479627</v>
      </c>
      <c r="BY129" s="19">
        <f t="shared" si="575"/>
        <v>10485657.282768186</v>
      </c>
      <c r="BZ129" s="19">
        <f t="shared" si="575"/>
        <v>4678625.2236599661</v>
      </c>
      <c r="CA129" s="19">
        <f t="shared" si="575"/>
        <v>5156846.0495366938</v>
      </c>
      <c r="CB129" s="19">
        <f t="shared" si="575"/>
        <v>5122889.5411905088</v>
      </c>
      <c r="CC129" s="19">
        <f t="shared" si="575"/>
        <v>5838805.9254912473</v>
      </c>
      <c r="CD129" s="19">
        <f t="shared" si="575"/>
        <v>3060031.6591538824</v>
      </c>
      <c r="CE129" s="19">
        <f t="shared" si="575"/>
        <v>7321573.4566122033</v>
      </c>
      <c r="CF129" s="19">
        <f t="shared" si="575"/>
        <v>5467551.1419916227</v>
      </c>
      <c r="CG129" s="19">
        <f t="shared" si="575"/>
        <v>5580739.5031459108</v>
      </c>
      <c r="CH129" s="19">
        <f t="shared" si="575"/>
        <v>16585477.916370012</v>
      </c>
      <c r="CI129" s="19">
        <f t="shared" si="575"/>
        <v>21186584.797290988</v>
      </c>
      <c r="CJ129" s="19">
        <f t="shared" si="575"/>
        <v>12057943.470199041</v>
      </c>
      <c r="CK129" s="19">
        <f t="shared" si="575"/>
        <v>16477948.973273329</v>
      </c>
      <c r="CL129" s="19">
        <f t="shared" ref="CL129:CW129" si="610">CL119-CL124</f>
        <v>10381825.61204071</v>
      </c>
      <c r="CM129" s="19">
        <f t="shared" si="610"/>
        <v>10941985.61689822</v>
      </c>
      <c r="CN129" s="19">
        <f t="shared" si="610"/>
        <v>10902210.941997204</v>
      </c>
      <c r="CO129" s="19">
        <f t="shared" si="610"/>
        <v>11740793.671162542</v>
      </c>
      <c r="CP129" s="19">
        <f t="shared" si="610"/>
        <v>8485899.4417538531</v>
      </c>
      <c r="CQ129" s="19">
        <f t="shared" si="610"/>
        <v>13477621.141844932</v>
      </c>
      <c r="CR129" s="19">
        <f t="shared" si="610"/>
        <v>11364367.257184874</v>
      </c>
      <c r="CS129" s="19">
        <f t="shared" si="610"/>
        <v>11496949.506855275</v>
      </c>
      <c r="CT129" s="19">
        <f t="shared" si="610"/>
        <v>24387258.731061246</v>
      </c>
      <c r="CU129" s="19">
        <f t="shared" si="610"/>
        <v>29776727.180163365</v>
      </c>
      <c r="CV129" s="19">
        <f t="shared" si="610"/>
        <v>19083968.744244736</v>
      </c>
      <c r="CW129" s="19">
        <f t="shared" si="610"/>
        <v>24261305.593874361</v>
      </c>
      <c r="CX129" s="168"/>
      <c r="CY129" s="19">
        <f t="shared" si="577"/>
        <v>-60077298.389925793</v>
      </c>
      <c r="CZ129" s="19">
        <f t="shared" si="578"/>
        <v>-74905811.228777021</v>
      </c>
      <c r="DA129" s="19">
        <f t="shared" si="579"/>
        <v>-62097175.448250927</v>
      </c>
      <c r="DB129" s="19">
        <f t="shared" si="580"/>
        <v>-36093795.102843016</v>
      </c>
      <c r="DC129" s="19">
        <f t="shared" si="581"/>
        <v>-36720915.648373172</v>
      </c>
      <c r="DD129" s="19">
        <f t="shared" si="582"/>
        <v>-21882305.732720125</v>
      </c>
      <c r="DE129" s="19">
        <f t="shared" si="583"/>
        <v>-8297953.1349547319</v>
      </c>
      <c r="DF129" s="19">
        <f t="shared" si="584"/>
        <v>5097485.7048669867</v>
      </c>
      <c r="DG129" s="19">
        <f t="shared" si="585"/>
        <v>531069.96492812037</v>
      </c>
      <c r="DH129" s="19">
        <f t="shared" si="586"/>
        <v>13130720.302564304</v>
      </c>
      <c r="DI129" s="19">
        <f t="shared" si="587"/>
        <v>-6821042.3660690077</v>
      </c>
      <c r="DJ129" s="19">
        <f t="shared" si="588"/>
        <v>-17159523.331056822</v>
      </c>
      <c r="DK129" s="19">
        <f t="shared" si="589"/>
        <v>1897544.6678258032</v>
      </c>
      <c r="DL129" s="19">
        <f t="shared" si="590"/>
        <v>2984453.2579721175</v>
      </c>
      <c r="DM129" s="19">
        <f t="shared" si="591"/>
        <v>12682210.013129558</v>
      </c>
      <c r="DN129" s="19">
        <f t="shared" si="592"/>
        <v>31705547.355467975</v>
      </c>
      <c r="DO129" s="19">
        <f t="shared" si="593"/>
        <v>14958360.814387169</v>
      </c>
      <c r="DP129" s="19">
        <f t="shared" si="594"/>
        <v>16220411.041257333</v>
      </c>
      <c r="DQ129" s="19">
        <f t="shared" si="595"/>
        <v>27633768.561507545</v>
      </c>
      <c r="DR129" s="19">
        <f t="shared" si="596"/>
        <v>49722477.240763359</v>
      </c>
      <c r="DS129" s="19">
        <f t="shared" si="597"/>
        <v>32226022.170936134</v>
      </c>
      <c r="DT129" s="19">
        <f t="shared" si="598"/>
        <v>33704314.254761323</v>
      </c>
      <c r="DU129" s="19">
        <f t="shared" si="599"/>
        <v>47248575.495101392</v>
      </c>
      <c r="DV129" s="19">
        <f t="shared" si="600"/>
        <v>73122001.518282458</v>
      </c>
      <c r="DX129" s="19">
        <f t="shared" si="601"/>
        <v>-233174080.16979676</v>
      </c>
      <c r="DY129" s="19">
        <f t="shared" si="602"/>
        <v>-61803688.811181039</v>
      </c>
      <c r="DZ129" s="19">
        <f t="shared" si="603"/>
        <v>-10318775.429633405</v>
      </c>
      <c r="EA129" s="19">
        <f t="shared" si="604"/>
        <v>49269755.294395454</v>
      </c>
      <c r="EB129" s="19">
        <f t="shared" si="605"/>
        <v>108535017.65791541</v>
      </c>
      <c r="EC129" s="770">
        <f t="shared" si="606"/>
        <v>186300913.43908131</v>
      </c>
    </row>
    <row r="130" spans="2:133" x14ac:dyDescent="0.2">
      <c r="B130" s="150" t="s">
        <v>59</v>
      </c>
      <c r="C130" s="217">
        <f>C127/C30</f>
        <v>1.6344351916405937E-2</v>
      </c>
      <c r="D130" s="217">
        <f t="shared" ref="D130:BO130" si="611">D127/D30</f>
        <v>2.34552079990153E-2</v>
      </c>
      <c r="E130" s="217">
        <f t="shared" si="611"/>
        <v>2.2852260256585974E-2</v>
      </c>
      <c r="F130" s="217">
        <f t="shared" si="611"/>
        <v>-8.6421250643780867E-2</v>
      </c>
      <c r="G130" s="217">
        <f t="shared" si="611"/>
        <v>-1.3577370065852785</v>
      </c>
      <c r="H130" s="217">
        <f t="shared" si="611"/>
        <v>-7.6372057993887937E-2</v>
      </c>
      <c r="I130" s="217">
        <f t="shared" si="611"/>
        <v>-4.6022365380920693E-2</v>
      </c>
      <c r="J130" s="217">
        <f t="shared" si="611"/>
        <v>-5.4699010646333833E-2</v>
      </c>
      <c r="K130" s="217">
        <f t="shared" si="611"/>
        <v>-4.4265051509051315E-2</v>
      </c>
      <c r="L130" s="217">
        <f t="shared" si="611"/>
        <v>-7.5662434160454428E-2</v>
      </c>
      <c r="M130" s="217">
        <f t="shared" si="611"/>
        <v>4.1561195651261575E-2</v>
      </c>
      <c r="N130" s="217">
        <f t="shared" si="611"/>
        <v>3.4450197475004551E-2</v>
      </c>
      <c r="O130" s="217">
        <f t="shared" si="611"/>
        <v>1.4871047003141624E-2</v>
      </c>
      <c r="P130" s="217">
        <f t="shared" si="611"/>
        <v>3.5341602840359948E-2</v>
      </c>
      <c r="Q130" s="217">
        <f t="shared" si="611"/>
        <v>9.9650670989142633E-3</v>
      </c>
      <c r="R130" s="217">
        <f t="shared" si="611"/>
        <v>-1.8774970434523617E-2</v>
      </c>
      <c r="S130" s="217">
        <f t="shared" si="611"/>
        <v>-1.8764643216274888E-2</v>
      </c>
      <c r="T130" s="217">
        <f t="shared" si="611"/>
        <v>-1.1773231499990903E-2</v>
      </c>
      <c r="U130" s="217">
        <f t="shared" si="611"/>
        <v>-2.7477909729640752E-2</v>
      </c>
      <c r="V130" s="217">
        <f t="shared" si="611"/>
        <v>-6.4441675042020696E-2</v>
      </c>
      <c r="W130" s="217">
        <f t="shared" si="611"/>
        <v>-0.1093652224580474</v>
      </c>
      <c r="X130" s="217">
        <f t="shared" si="611"/>
        <v>-6.8413695482322498E-2</v>
      </c>
      <c r="Y130" s="217">
        <f t="shared" si="611"/>
        <v>-6.144208425179519E-2</v>
      </c>
      <c r="Z130" s="217">
        <f t="shared" si="611"/>
        <v>-3.5947927629061474E-2</v>
      </c>
      <c r="AA130" s="217">
        <f t="shared" si="611"/>
        <v>-1.8925663009872962E-2</v>
      </c>
      <c r="AB130" s="217">
        <f t="shared" si="611"/>
        <v>-8.3133918109412532E-3</v>
      </c>
      <c r="AC130" s="217">
        <f t="shared" si="611"/>
        <v>-1.3700996421678485E-3</v>
      </c>
      <c r="AD130" s="217">
        <f t="shared" si="611"/>
        <v>-0.10145566596217138</v>
      </c>
      <c r="AE130" s="217">
        <f t="shared" si="611"/>
        <v>-8.8230705160301889E-2</v>
      </c>
      <c r="AF130" s="217">
        <f t="shared" si="611"/>
        <v>-6.9892381135289519E-2</v>
      </c>
      <c r="AG130" s="217">
        <f t="shared" si="611"/>
        <v>-0.11089207110096506</v>
      </c>
      <c r="AH130" s="217">
        <f t="shared" si="611"/>
        <v>-9.8817107965971526E-2</v>
      </c>
      <c r="AI130" s="217">
        <f t="shared" si="611"/>
        <v>-0.1273830096120504</v>
      </c>
      <c r="AJ130" s="217">
        <f t="shared" si="611"/>
        <v>-7.6192010271503019E-2</v>
      </c>
      <c r="AK130" s="217">
        <f t="shared" si="611"/>
        <v>-7.952695046877907E-2</v>
      </c>
      <c r="AL130" s="217">
        <f t="shared" si="611"/>
        <v>-7.5073003478874731E-2</v>
      </c>
      <c r="AM130" s="217">
        <f t="shared" si="611"/>
        <v>-6.7983175828335934E-2</v>
      </c>
      <c r="AN130" s="217">
        <f t="shared" si="611"/>
        <v>-8.8382157012194179E-2</v>
      </c>
      <c r="AO130" s="217">
        <f t="shared" si="611"/>
        <v>-3.2644366574210236E-2</v>
      </c>
      <c r="AP130" s="217">
        <f t="shared" si="611"/>
        <v>-4.871211709961424E-2</v>
      </c>
      <c r="AQ130" s="217">
        <f t="shared" si="611"/>
        <v>-4.0624145646812465E-2</v>
      </c>
      <c r="AR130" s="217">
        <f t="shared" si="611"/>
        <v>-2.6511931512978135E-2</v>
      </c>
      <c r="AS130" s="217">
        <f t="shared" si="611"/>
        <v>-3.2160591023606258E-2</v>
      </c>
      <c r="AT130" s="217">
        <f t="shared" si="611"/>
        <v>-4.9705296669669476E-2</v>
      </c>
      <c r="AU130" s="217">
        <f t="shared" si="611"/>
        <v>-5.7424868954086036E-2</v>
      </c>
      <c r="AV130" s="217">
        <f t="shared" si="611"/>
        <v>-1.93729768062289E-2</v>
      </c>
      <c r="AW130" s="217">
        <f t="shared" si="611"/>
        <v>-2.7681081392092969E-2</v>
      </c>
      <c r="AX130" s="217">
        <f t="shared" si="611"/>
        <v>-1.3075642966445793E-2</v>
      </c>
      <c r="AY130" s="217">
        <f t="shared" si="611"/>
        <v>-1.008896301073044E-2</v>
      </c>
      <c r="AZ130" s="217">
        <f t="shared" si="611"/>
        <v>-1.7135844285667379E-2</v>
      </c>
      <c r="BA130" s="217">
        <f t="shared" si="611"/>
        <v>5.3301951856233902E-3</v>
      </c>
      <c r="BB130" s="217">
        <f t="shared" si="611"/>
        <v>-8.6966640548707588E-3</v>
      </c>
      <c r="BC130" s="217">
        <f t="shared" si="611"/>
        <v>-1.1116571347589638E-2</v>
      </c>
      <c r="BD130" s="217">
        <f t="shared" si="611"/>
        <v>-5.0054880878085302E-3</v>
      </c>
      <c r="BE130" s="217">
        <f t="shared" si="611"/>
        <v>-3.9816415404082244E-3</v>
      </c>
      <c r="BF130" s="217">
        <f t="shared" si="611"/>
        <v>-8.3186201052648529E-3</v>
      </c>
      <c r="BG130" s="217">
        <f t="shared" si="611"/>
        <v>-1.9436674146999577E-2</v>
      </c>
      <c r="BH130" s="217">
        <f t="shared" si="611"/>
        <v>-4.6534999465129021E-3</v>
      </c>
      <c r="BI130" s="217">
        <f t="shared" si="611"/>
        <v>-2.146185428269793E-3</v>
      </c>
      <c r="BJ130" s="217">
        <f t="shared" si="611"/>
        <v>6.6911291364062609E-3</v>
      </c>
      <c r="BK130" s="217">
        <f t="shared" si="611"/>
        <v>7.5110236143294418E-3</v>
      </c>
      <c r="BL130" s="217">
        <f t="shared" si="611"/>
        <v>-7.0818000138336374E-3</v>
      </c>
      <c r="BM130" s="217">
        <f t="shared" si="611"/>
        <v>-7.584166507713457E-3</v>
      </c>
      <c r="BN130" s="217">
        <f t="shared" si="611"/>
        <v>-9.6960670014616611E-4</v>
      </c>
      <c r="BO130" s="217">
        <f t="shared" si="611"/>
        <v>-2.6712817455704654E-3</v>
      </c>
      <c r="BP130" s="217">
        <f t="shared" ref="BP130:EC130" si="612">BP127/BP30</f>
        <v>-3.0003544295864912E-3</v>
      </c>
      <c r="BQ130" s="217">
        <f t="shared" si="612"/>
        <v>5.3388308916299081E-3</v>
      </c>
      <c r="BR130" s="217">
        <f t="shared" si="612"/>
        <v>-8.4859077624937565E-3</v>
      </c>
      <c r="BS130" s="217">
        <f t="shared" si="612"/>
        <v>-1.1721847288254816E-2</v>
      </c>
      <c r="BT130" s="217">
        <f t="shared" si="612"/>
        <v>8.0539869209233627E-3</v>
      </c>
      <c r="BU130" s="217">
        <f t="shared" si="612"/>
        <v>8.8181868258086103E-5</v>
      </c>
      <c r="BV130" s="217">
        <f t="shared" si="612"/>
        <v>2.3274910459871036E-2</v>
      </c>
      <c r="BW130" s="217">
        <f t="shared" si="612"/>
        <v>2.7617404806079986E-2</v>
      </c>
      <c r="BX130" s="217">
        <f t="shared" si="612"/>
        <v>1.6343264834221723E-2</v>
      </c>
      <c r="BY130" s="217">
        <f t="shared" si="612"/>
        <v>3.1341928660498938E-2</v>
      </c>
      <c r="BZ130" s="217">
        <f t="shared" si="612"/>
        <v>1.2359116763768668E-2</v>
      </c>
      <c r="CA130" s="217">
        <f t="shared" si="612"/>
        <v>1.097679618259479E-2</v>
      </c>
      <c r="CB130" s="217">
        <f t="shared" si="612"/>
        <v>1.0239558409707809E-2</v>
      </c>
      <c r="CC130" s="217">
        <f t="shared" si="612"/>
        <v>1.7802982409032213E-2</v>
      </c>
      <c r="CD130" s="217">
        <f t="shared" si="612"/>
        <v>5.123429496208684E-3</v>
      </c>
      <c r="CE130" s="217">
        <f t="shared" si="612"/>
        <v>1.6380095986488425E-3</v>
      </c>
      <c r="CF130" s="217">
        <f t="shared" si="612"/>
        <v>1.96932663733634E-2</v>
      </c>
      <c r="CG130" s="217">
        <f t="shared" si="612"/>
        <v>1.1926093028897824E-2</v>
      </c>
      <c r="CH130" s="217">
        <f t="shared" si="612"/>
        <v>3.2547492986973937E-2</v>
      </c>
      <c r="CI130" s="217">
        <f t="shared" si="612"/>
        <v>3.6113539028897967E-2</v>
      </c>
      <c r="CJ130" s="217">
        <f t="shared" si="612"/>
        <v>2.5651663453553127E-2</v>
      </c>
      <c r="CK130" s="217">
        <f t="shared" si="612"/>
        <v>3.8625055797688074E-2</v>
      </c>
      <c r="CL130" s="217">
        <f t="shared" ref="CL130:CW130" si="613">CL127/CL30</f>
        <v>1.7784046868029812E-2</v>
      </c>
      <c r="CM130" s="217">
        <f t="shared" si="613"/>
        <v>1.6435704096562153E-2</v>
      </c>
      <c r="CN130" s="217">
        <f t="shared" si="613"/>
        <v>1.5703544690926687E-2</v>
      </c>
      <c r="CO130" s="217">
        <f t="shared" si="613"/>
        <v>2.2700386446079371E-2</v>
      </c>
      <c r="CP130" s="217">
        <f t="shared" si="613"/>
        <v>1.0795882340885748E-2</v>
      </c>
      <c r="CQ130" s="217">
        <f t="shared" si="613"/>
        <v>7.5632559717550138E-3</v>
      </c>
      <c r="CR130" s="217">
        <f t="shared" si="613"/>
        <v>2.4296954293260325E-2</v>
      </c>
      <c r="CS130" s="217">
        <f t="shared" si="613"/>
        <v>1.703124001543534E-2</v>
      </c>
      <c r="CT130" s="217">
        <f t="shared" si="613"/>
        <v>3.6351040881113135E-2</v>
      </c>
      <c r="CU130" s="217">
        <f t="shared" si="613"/>
        <v>3.9699983284123205E-2</v>
      </c>
      <c r="CV130" s="217">
        <f t="shared" si="613"/>
        <v>2.9823596802972085E-2</v>
      </c>
      <c r="CW130" s="217">
        <f t="shared" si="613"/>
        <v>4.1939729646558135E-2</v>
      </c>
      <c r="CX130" s="168"/>
      <c r="CY130" s="217">
        <f t="shared" si="612"/>
        <v>-8.6093660769564873E-2</v>
      </c>
      <c r="CZ130" s="217">
        <f t="shared" si="612"/>
        <v>-0.11244707456056781</v>
      </c>
      <c r="DA130" s="217">
        <f t="shared" si="612"/>
        <v>-7.6947822789605727E-2</v>
      </c>
      <c r="DB130" s="217">
        <f t="shared" si="612"/>
        <v>-6.0780039148929967E-2</v>
      </c>
      <c r="DC130" s="217">
        <f t="shared" si="612"/>
        <v>-3.8281582935659766E-2</v>
      </c>
      <c r="DD130" s="217">
        <f t="shared" si="612"/>
        <v>-4.5620299459863685E-2</v>
      </c>
      <c r="DE130" s="217">
        <f t="shared" si="612"/>
        <v>-1.9619222477576293E-2</v>
      </c>
      <c r="DF130" s="217">
        <f t="shared" si="612"/>
        <v>-6.2538531762824385E-3</v>
      </c>
      <c r="DG130" s="217">
        <f t="shared" si="612"/>
        <v>-8.2615418850351917E-3</v>
      </c>
      <c r="DH130" s="217">
        <f t="shared" si="612"/>
        <v>-1.0468468082393902E-2</v>
      </c>
      <c r="DI130" s="217">
        <f t="shared" si="612"/>
        <v>3.2668245388899942E-4</v>
      </c>
      <c r="DJ130" s="217">
        <f t="shared" si="612"/>
        <v>-2.3463625310842246E-3</v>
      </c>
      <c r="DK130" s="217">
        <f t="shared" si="612"/>
        <v>-2.2088451139746341E-3</v>
      </c>
      <c r="DL130" s="217">
        <f t="shared" si="612"/>
        <v>-4.5854905616695861E-3</v>
      </c>
      <c r="DM130" s="217">
        <f t="shared" si="612"/>
        <v>1.1271728647036875E-2</v>
      </c>
      <c r="DN130" s="217">
        <f t="shared" si="612"/>
        <v>2.5455776161939041E-2</v>
      </c>
      <c r="DO130" s="217">
        <f t="shared" si="612"/>
        <v>1.1197067614437934E-2</v>
      </c>
      <c r="DP130" s="217">
        <f t="shared" si="612"/>
        <v>8.5451438457499716E-3</v>
      </c>
      <c r="DQ130" s="217">
        <f t="shared" si="612"/>
        <v>2.2079592257507927E-2</v>
      </c>
      <c r="DR130" s="217">
        <f t="shared" si="612"/>
        <v>3.3767103292247622E-2</v>
      </c>
      <c r="DS130" s="217">
        <f t="shared" si="612"/>
        <v>1.6646439058580601E-2</v>
      </c>
      <c r="DT130" s="217">
        <f t="shared" si="612"/>
        <v>1.4018812198935712E-2</v>
      </c>
      <c r="DU130" s="217">
        <f t="shared" si="612"/>
        <v>2.6540770699457806E-2</v>
      </c>
      <c r="DV130" s="217">
        <f t="shared" si="612"/>
        <v>3.743859898405149E-2</v>
      </c>
      <c r="DW130" s="809"/>
      <c r="DX130" s="217">
        <f t="shared" si="612"/>
        <v>-8.3393308098773197E-2</v>
      </c>
      <c r="DY130" s="217">
        <f t="shared" si="612"/>
        <v>-2.5276189897354941E-2</v>
      </c>
      <c r="DZ130" s="217">
        <f t="shared" si="612"/>
        <v>-4.7008433199799346E-3</v>
      </c>
      <c r="EA130" s="217">
        <f t="shared" si="612"/>
        <v>8.7030150313659009E-3</v>
      </c>
      <c r="EB130" s="217">
        <f t="shared" si="612"/>
        <v>1.9834877641653367E-2</v>
      </c>
      <c r="EC130" s="217">
        <f t="shared" si="612"/>
        <v>2.451884596244492E-2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E933-23B7-416C-A604-D8663E488495}">
  <sheetPr>
    <tabColor theme="7" tint="0.59999389629810485"/>
  </sheetPr>
  <dimension ref="B2:CH57"/>
  <sheetViews>
    <sheetView showGridLines="0" workbookViewId="0">
      <pane xSplit="2" ySplit="2" topLeftCell="BG3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baseColWidth="10" defaultColWidth="8.6640625" defaultRowHeight="15" x14ac:dyDescent="0.2"/>
  <cols>
    <col min="1" max="1" width="2.6640625" customWidth="1"/>
    <col min="2" max="2" width="22.83203125" bestFit="1" customWidth="1"/>
    <col min="3" max="12" width="11.33203125" bestFit="1" customWidth="1"/>
    <col min="13" max="47" width="12.33203125" bestFit="1" customWidth="1"/>
    <col min="48" max="59" width="12.33203125" customWidth="1"/>
    <col min="60" max="60" width="1.83203125" bestFit="1" customWidth="1"/>
    <col min="61" max="61" width="9" bestFit="1" customWidth="1"/>
    <col min="62" max="68" width="12.33203125" bestFit="1" customWidth="1"/>
    <col min="69" max="76" width="14" bestFit="1" customWidth="1"/>
    <col min="77" max="80" width="14" customWidth="1"/>
    <col min="82" max="86" width="17.83203125" customWidth="1"/>
  </cols>
  <sheetData>
    <row r="2" spans="2:86" ht="16" x14ac:dyDescent="0.2">
      <c r="B2" s="153" t="s">
        <v>209</v>
      </c>
      <c r="C2" s="154">
        <v>45501</v>
      </c>
      <c r="D2" s="154">
        <v>45531</v>
      </c>
      <c r="E2" s="154">
        <v>45561</v>
      </c>
      <c r="F2" s="154">
        <v>45591</v>
      </c>
      <c r="G2" s="154">
        <v>45621</v>
      </c>
      <c r="H2" s="154">
        <v>45651</v>
      </c>
      <c r="I2" s="154">
        <v>45681</v>
      </c>
      <c r="J2" s="154">
        <v>45711</v>
      </c>
      <c r="K2" s="154">
        <v>45741</v>
      </c>
      <c r="L2" s="154">
        <v>45771</v>
      </c>
      <c r="M2" s="154">
        <v>45801</v>
      </c>
      <c r="N2" s="154">
        <v>45831</v>
      </c>
      <c r="O2" s="154">
        <v>45861</v>
      </c>
      <c r="P2" s="154">
        <v>45891</v>
      </c>
      <c r="Q2" s="154">
        <v>45921</v>
      </c>
      <c r="R2" s="154">
        <v>45951</v>
      </c>
      <c r="S2" s="154">
        <v>45981</v>
      </c>
      <c r="T2" s="154">
        <v>46011</v>
      </c>
      <c r="U2" s="154">
        <v>46041</v>
      </c>
      <c r="V2" s="154">
        <v>46071</v>
      </c>
      <c r="W2" s="154">
        <v>46101</v>
      </c>
      <c r="X2" s="154">
        <f>W2+30</f>
        <v>46131</v>
      </c>
      <c r="Y2" s="154">
        <f t="shared" ref="Y2:AU2" si="0">X2+30</f>
        <v>46161</v>
      </c>
      <c r="Z2" s="154">
        <f t="shared" si="0"/>
        <v>46191</v>
      </c>
      <c r="AA2" s="154">
        <f t="shared" si="0"/>
        <v>46221</v>
      </c>
      <c r="AB2" s="154">
        <f t="shared" si="0"/>
        <v>46251</v>
      </c>
      <c r="AC2" s="154">
        <f t="shared" si="0"/>
        <v>46281</v>
      </c>
      <c r="AD2" s="154">
        <f t="shared" si="0"/>
        <v>46311</v>
      </c>
      <c r="AE2" s="154">
        <f t="shared" si="0"/>
        <v>46341</v>
      </c>
      <c r="AF2" s="154">
        <f t="shared" si="0"/>
        <v>46371</v>
      </c>
      <c r="AG2" s="154">
        <f t="shared" si="0"/>
        <v>46401</v>
      </c>
      <c r="AH2" s="154">
        <f t="shared" si="0"/>
        <v>46431</v>
      </c>
      <c r="AI2" s="154">
        <f t="shared" si="0"/>
        <v>46461</v>
      </c>
      <c r="AJ2" s="154">
        <f t="shared" si="0"/>
        <v>46491</v>
      </c>
      <c r="AK2" s="154">
        <f t="shared" si="0"/>
        <v>46521</v>
      </c>
      <c r="AL2" s="154">
        <f t="shared" si="0"/>
        <v>46551</v>
      </c>
      <c r="AM2" s="154">
        <f t="shared" si="0"/>
        <v>46581</v>
      </c>
      <c r="AN2" s="154">
        <f t="shared" si="0"/>
        <v>46611</v>
      </c>
      <c r="AO2" s="154">
        <f t="shared" si="0"/>
        <v>46641</v>
      </c>
      <c r="AP2" s="154">
        <f t="shared" si="0"/>
        <v>46671</v>
      </c>
      <c r="AQ2" s="154">
        <f t="shared" si="0"/>
        <v>46701</v>
      </c>
      <c r="AR2" s="154">
        <f t="shared" si="0"/>
        <v>46731</v>
      </c>
      <c r="AS2" s="154">
        <f t="shared" si="0"/>
        <v>46761</v>
      </c>
      <c r="AT2" s="154">
        <f t="shared" si="0"/>
        <v>46791</v>
      </c>
      <c r="AU2" s="154">
        <f t="shared" si="0"/>
        <v>46821</v>
      </c>
      <c r="AV2" s="773">
        <v>46851</v>
      </c>
      <c r="AW2" s="773">
        <v>46881</v>
      </c>
      <c r="AX2" s="773">
        <v>46911</v>
      </c>
      <c r="AY2" s="773">
        <v>46941</v>
      </c>
      <c r="AZ2" s="773">
        <v>46971</v>
      </c>
      <c r="BA2" s="773">
        <v>47001</v>
      </c>
      <c r="BB2" s="773">
        <v>47031</v>
      </c>
      <c r="BC2" s="773">
        <v>47061</v>
      </c>
      <c r="BD2" s="773">
        <v>47091</v>
      </c>
      <c r="BE2" s="773">
        <v>47121</v>
      </c>
      <c r="BF2" s="773">
        <v>47151</v>
      </c>
      <c r="BG2" s="773">
        <v>47181</v>
      </c>
      <c r="BI2" s="154" t="s">
        <v>81</v>
      </c>
      <c r="BJ2" s="154" t="s">
        <v>82</v>
      </c>
      <c r="BK2" s="154" t="s">
        <v>83</v>
      </c>
      <c r="BL2" s="154" t="s">
        <v>84</v>
      </c>
      <c r="BM2" s="154" t="s">
        <v>85</v>
      </c>
      <c r="BN2" s="154" t="s">
        <v>86</v>
      </c>
      <c r="BO2" s="154" t="s">
        <v>87</v>
      </c>
      <c r="BP2" s="154" t="s">
        <v>88</v>
      </c>
      <c r="BQ2" s="154" t="s">
        <v>117</v>
      </c>
      <c r="BR2" s="154" t="s">
        <v>118</v>
      </c>
      <c r="BS2" s="154" t="s">
        <v>119</v>
      </c>
      <c r="BT2" s="154" t="s">
        <v>120</v>
      </c>
      <c r="BU2" s="154" t="s">
        <v>121</v>
      </c>
      <c r="BV2" s="154" t="s">
        <v>122</v>
      </c>
      <c r="BW2" s="154" t="s">
        <v>123</v>
      </c>
      <c r="BX2" s="154" t="s">
        <v>124</v>
      </c>
      <c r="BY2" s="154" t="s">
        <v>583</v>
      </c>
      <c r="BZ2" s="154" t="s">
        <v>584</v>
      </c>
      <c r="CA2" s="154" t="s">
        <v>585</v>
      </c>
      <c r="CB2" s="154" t="s">
        <v>581</v>
      </c>
      <c r="CC2" s="60"/>
      <c r="CD2" s="154" t="s">
        <v>128</v>
      </c>
      <c r="CE2" s="154" t="s">
        <v>125</v>
      </c>
      <c r="CF2" s="154" t="s">
        <v>126</v>
      </c>
      <c r="CG2" s="154" t="s">
        <v>127</v>
      </c>
      <c r="CH2" s="154" t="s">
        <v>582</v>
      </c>
    </row>
    <row r="3" spans="2:86" x14ac:dyDescent="0.2">
      <c r="B3" s="208" t="s">
        <v>2</v>
      </c>
      <c r="C3" s="197">
        <f>SUM(C4:C5)</f>
        <v>37786901.641506806</v>
      </c>
      <c r="D3" s="197">
        <f t="shared" ref="D3:AU3" si="1">SUM(D4:D5)</f>
        <v>50300091.482633591</v>
      </c>
      <c r="E3" s="197">
        <f t="shared" si="1"/>
        <v>66715716.41191677</v>
      </c>
      <c r="F3" s="197">
        <f t="shared" si="1"/>
        <v>51439030.139884964</v>
      </c>
      <c r="G3" s="197">
        <f t="shared" si="1"/>
        <v>58215128.779999979</v>
      </c>
      <c r="H3" s="197">
        <f t="shared" si="1"/>
        <v>59095491.269973516</v>
      </c>
      <c r="I3" s="197">
        <f t="shared" si="1"/>
        <v>74667884.560063988</v>
      </c>
      <c r="J3" s="197">
        <f t="shared" si="1"/>
        <v>67591245.458987087</v>
      </c>
      <c r="K3" s="197">
        <f t="shared" si="1"/>
        <v>75799119.970091969</v>
      </c>
      <c r="L3" s="197">
        <f t="shared" si="1"/>
        <v>75128692.090031326</v>
      </c>
      <c r="M3" s="197">
        <f t="shared" si="1"/>
        <v>109530682.61039603</v>
      </c>
      <c r="N3" s="197">
        <f t="shared" si="1"/>
        <v>128439497.11012277</v>
      </c>
      <c r="O3" s="197">
        <f t="shared" si="1"/>
        <v>116783223.76999977</v>
      </c>
      <c r="P3" s="197">
        <f t="shared" si="1"/>
        <v>121689356.47999993</v>
      </c>
      <c r="Q3" s="197">
        <f t="shared" si="1"/>
        <v>129330957.89999986</v>
      </c>
      <c r="R3" s="197">
        <f t="shared" si="1"/>
        <v>116081452.96999992</v>
      </c>
      <c r="S3" s="197">
        <f t="shared" si="1"/>
        <v>139634650.85999981</v>
      </c>
      <c r="T3" s="197">
        <f t="shared" si="1"/>
        <v>164545670.86999977</v>
      </c>
      <c r="U3" s="197">
        <f t="shared" si="1"/>
        <v>160681086.00999999</v>
      </c>
      <c r="V3" s="197">
        <f t="shared" si="1"/>
        <v>140090295.66999999</v>
      </c>
      <c r="W3" s="197">
        <f t="shared" si="1"/>
        <v>136052323.94999999</v>
      </c>
      <c r="X3" s="197">
        <f t="shared" si="1"/>
        <v>175882591.0640527</v>
      </c>
      <c r="Y3" s="197">
        <f t="shared" si="1"/>
        <v>193470850.17045796</v>
      </c>
      <c r="Z3" s="197">
        <f t="shared" si="1"/>
        <v>203144392.67898089</v>
      </c>
      <c r="AA3" s="197">
        <f t="shared" si="1"/>
        <v>213301612.31292993</v>
      </c>
      <c r="AB3" s="197">
        <f t="shared" si="1"/>
        <v>223966692.92857641</v>
      </c>
      <c r="AC3" s="197">
        <f t="shared" si="1"/>
        <v>235165027.57500523</v>
      </c>
      <c r="AD3" s="197">
        <f t="shared" si="1"/>
        <v>246923278.95375553</v>
      </c>
      <c r="AE3" s="197">
        <f t="shared" si="1"/>
        <v>259269442.9014433</v>
      </c>
      <c r="AF3" s="197">
        <f t="shared" si="1"/>
        <v>272232915.04651552</v>
      </c>
      <c r="AG3" s="197">
        <f t="shared" si="1"/>
        <v>285844560.7988413</v>
      </c>
      <c r="AH3" s="197">
        <f t="shared" si="1"/>
        <v>300136788.83878338</v>
      </c>
      <c r="AI3" s="197">
        <f t="shared" si="1"/>
        <v>315143628.2807225</v>
      </c>
      <c r="AJ3" s="197">
        <f t="shared" si="1"/>
        <v>347445850.17949665</v>
      </c>
      <c r="AK3" s="197">
        <f t="shared" si="1"/>
        <v>364818142.6884715</v>
      </c>
      <c r="AL3" s="197">
        <f t="shared" si="1"/>
        <v>383059049.82289511</v>
      </c>
      <c r="AM3" s="197">
        <f t="shared" si="1"/>
        <v>402212002.31403989</v>
      </c>
      <c r="AN3" s="197">
        <f t="shared" si="1"/>
        <v>422322602.42974186</v>
      </c>
      <c r="AO3" s="197">
        <f t="shared" si="1"/>
        <v>443438732.551229</v>
      </c>
      <c r="AP3" s="197">
        <f t="shared" si="1"/>
        <v>465610669.17879045</v>
      </c>
      <c r="AQ3" s="197">
        <f t="shared" si="1"/>
        <v>488891202.63773</v>
      </c>
      <c r="AR3" s="197">
        <f t="shared" si="1"/>
        <v>513335762.76961654</v>
      </c>
      <c r="AS3" s="197">
        <f t="shared" si="1"/>
        <v>539002550.90809739</v>
      </c>
      <c r="AT3" s="197">
        <f t="shared" si="1"/>
        <v>565952678.4535023</v>
      </c>
      <c r="AU3" s="197">
        <f t="shared" si="1"/>
        <v>594250312.37617743</v>
      </c>
      <c r="AV3" s="197">
        <f t="shared" ref="AV3:BG3" si="2">SUM(AV4:AV5)</f>
        <v>609106570.1855818</v>
      </c>
      <c r="AW3" s="197">
        <f t="shared" si="2"/>
        <v>624334234.44022131</v>
      </c>
      <c r="AX3" s="197">
        <f t="shared" si="2"/>
        <v>639942590.30122685</v>
      </c>
      <c r="AY3" s="197">
        <f t="shared" si="2"/>
        <v>655941155.05875742</v>
      </c>
      <c r="AZ3" s="197">
        <f t="shared" si="2"/>
        <v>672339683.93522632</v>
      </c>
      <c r="BA3" s="197">
        <f t="shared" si="2"/>
        <v>689148176.03360689</v>
      </c>
      <c r="BB3" s="197">
        <f t="shared" si="2"/>
        <v>706376880.43444705</v>
      </c>
      <c r="BC3" s="197">
        <f t="shared" si="2"/>
        <v>724036302.44530809</v>
      </c>
      <c r="BD3" s="197">
        <f t="shared" si="2"/>
        <v>742137210.00644076</v>
      </c>
      <c r="BE3" s="197">
        <f t="shared" si="2"/>
        <v>760690640.25660169</v>
      </c>
      <c r="BF3" s="197">
        <f t="shared" si="2"/>
        <v>779707906.26301646</v>
      </c>
      <c r="BG3" s="197">
        <f t="shared" si="2"/>
        <v>799200603.9195919</v>
      </c>
      <c r="BI3" s="197">
        <v>0</v>
      </c>
      <c r="BJ3" s="197">
        <f t="shared" ref="BJ3:BJ17" si="3">SUM(C3:E3)</f>
        <v>154802709.53605717</v>
      </c>
      <c r="BK3" s="197">
        <f t="shared" ref="BK3:BK17" si="4">SUM(F3:H3)</f>
        <v>168749650.18985847</v>
      </c>
      <c r="BL3" s="197">
        <f t="shared" ref="BL3:BL17" si="5">SUM(I3:K3)</f>
        <v>218058249.98914304</v>
      </c>
      <c r="BM3" s="197">
        <f t="shared" ref="BM3:BM17" si="6">SUM(L3:N3)</f>
        <v>313098871.81055009</v>
      </c>
      <c r="BN3" s="197">
        <f t="shared" ref="BN3:BN17" si="7">SUM(O3:Q3)</f>
        <v>367803538.14999956</v>
      </c>
      <c r="BO3" s="197">
        <f t="shared" ref="BO3:BO17" si="8">SUM(R3:T3)</f>
        <v>420261774.69999951</v>
      </c>
      <c r="BP3" s="197">
        <f t="shared" ref="BP3:BP17" si="9">SUM(U3:W3)</f>
        <v>436823705.62999994</v>
      </c>
      <c r="BQ3" s="197">
        <f t="shared" ref="BQ3:BQ17" si="10">SUM(X3:Z3)</f>
        <v>572497833.91349149</v>
      </c>
      <c r="BR3" s="197">
        <f t="shared" ref="BR3:BR17" si="11">SUM(AA3:AC3)</f>
        <v>672433332.81651163</v>
      </c>
      <c r="BS3" s="197">
        <f t="shared" ref="BS3:BS17" si="12">SUM(AD3:AF3)</f>
        <v>778425636.90171432</v>
      </c>
      <c r="BT3" s="197">
        <f t="shared" ref="BT3:BT17" si="13">SUM(AG3:AI3)</f>
        <v>901124977.91834724</v>
      </c>
      <c r="BU3" s="197">
        <f t="shared" ref="BU3:BU17" si="14">SUM(AJ3:AL3)</f>
        <v>1095323042.6908631</v>
      </c>
      <c r="BV3" s="197">
        <f t="shared" ref="BV3:BV17" si="15">SUM(AM3:AO3)</f>
        <v>1267973337.2950108</v>
      </c>
      <c r="BW3" s="197">
        <f t="shared" ref="BW3:BW17" si="16">SUM(AP3:AR3)</f>
        <v>1467837634.5861371</v>
      </c>
      <c r="BX3" s="197">
        <f t="shared" ref="BX3:BX17" si="17">SUM(AS3:AU3)</f>
        <v>1699205541.7377772</v>
      </c>
      <c r="BY3" s="197">
        <f>SUM(AV3:AX3)</f>
        <v>1873383394.9270298</v>
      </c>
      <c r="BZ3" s="197">
        <f>SUM(AY3:BA3)</f>
        <v>2017429015.0275908</v>
      </c>
      <c r="CA3" s="197">
        <f>SUM(BB3:BD3)</f>
        <v>2172550392.8861957</v>
      </c>
      <c r="CB3" s="197">
        <f>SUM(BE3:BG3)</f>
        <v>2339599150.4392099</v>
      </c>
      <c r="CD3" s="197">
        <f>SUM(BI3:BL3)</f>
        <v>541610609.71505868</v>
      </c>
      <c r="CE3" s="197">
        <f>SUM(BM3:BP3)</f>
        <v>1537987890.290549</v>
      </c>
      <c r="CF3" s="197">
        <f>SUM(BQ3:BT3)</f>
        <v>2924481781.5500646</v>
      </c>
      <c r="CG3" s="197">
        <f>SUM(BU3:BX3)</f>
        <v>5530339556.3097878</v>
      </c>
      <c r="CH3" s="811">
        <f>SUM(BY3:CB3)</f>
        <v>8402961953.2800264</v>
      </c>
    </row>
    <row r="4" spans="2:86" x14ac:dyDescent="0.2">
      <c r="B4" s="160" t="s">
        <v>221</v>
      </c>
      <c r="C4" s="19">
        <f>'P&amp;L - Inputs'!BY606</f>
        <v>13450811.27</v>
      </c>
      <c r="D4" s="19">
        <f>'P&amp;L - Inputs'!BZ606</f>
        <v>25733872.649999999</v>
      </c>
      <c r="E4" s="19">
        <f>'P&amp;L - Inputs'!CA606</f>
        <v>35147906.209999993</v>
      </c>
      <c r="F4" s="19">
        <f>'P&amp;L - Inputs'!CB606</f>
        <v>24717017.870000001</v>
      </c>
      <c r="G4" s="19">
        <f>'P&amp;L - Inputs'!CC606</f>
        <v>27014209.689999998</v>
      </c>
      <c r="H4" s="19">
        <f>'P&amp;L - Inputs'!CD606</f>
        <v>14390702.539999999</v>
      </c>
      <c r="I4" s="19">
        <f>'P&amp;L - Inputs'!CE606</f>
        <v>24940662.390000001</v>
      </c>
      <c r="J4" s="19">
        <f>'P&amp;L - Inputs'!CF606</f>
        <v>25714769.48</v>
      </c>
      <c r="K4" s="19">
        <f>'P&amp;L - Inputs'!CG606</f>
        <v>27276623.340000011</v>
      </c>
      <c r="L4" s="19">
        <f>'P&amp;L - Inputs'!CH606</f>
        <v>25330425.25999999</v>
      </c>
      <c r="M4" s="19">
        <f>'P&amp;L - Inputs'!CI606</f>
        <v>51204765.490000285</v>
      </c>
      <c r="N4" s="19">
        <f>'P&amp;L - Inputs'!CJ606</f>
        <v>56981826.280000433</v>
      </c>
      <c r="O4" s="19">
        <f>'P&amp;L - Inputs'!CK606</f>
        <v>32126441.439999998</v>
      </c>
      <c r="P4" s="19">
        <f>'P&amp;L - Inputs'!CL606</f>
        <v>30598745.450000003</v>
      </c>
      <c r="Q4" s="19">
        <f>'P&amp;L - Inputs'!CM606</f>
        <v>42270537.189999998</v>
      </c>
      <c r="R4" s="19">
        <f>'P&amp;L - Inputs'!CN606</f>
        <v>36022999.230000004</v>
      </c>
      <c r="S4" s="19">
        <f>'P&amp;L - Inputs'!CO606</f>
        <v>50033807.56000001</v>
      </c>
      <c r="T4" s="19">
        <f>'P&amp;L - Inputs'!CP606</f>
        <v>50081652.479999982</v>
      </c>
      <c r="U4" s="19">
        <f>'P&amp;L - Inputs'!CQ606</f>
        <v>49050415.229999989</v>
      </c>
      <c r="V4" s="19">
        <f>'P&amp;L - Inputs'!CR606</f>
        <v>53961665.619999997</v>
      </c>
      <c r="W4" s="19">
        <f>'P&amp;L - Inputs'!CS606</f>
        <v>42651707.610000014</v>
      </c>
      <c r="X4" s="19">
        <f>'P&amp;L - Inputs'!CT606</f>
        <v>43079195.026553258</v>
      </c>
      <c r="Y4" s="19">
        <f>'P&amp;L - Inputs'!CU606</f>
        <v>47387114.529208586</v>
      </c>
      <c r="Z4" s="19">
        <f>'P&amp;L - Inputs'!CV606</f>
        <v>49756470.255669013</v>
      </c>
      <c r="AA4" s="19">
        <f>'P&amp;L - Inputs'!CW606</f>
        <v>52244293.768452466</v>
      </c>
      <c r="AB4" s="19">
        <f>'P&amp;L - Inputs'!CX606</f>
        <v>54856508.456875086</v>
      </c>
      <c r="AC4" s="19">
        <f>'P&amp;L - Inputs'!CY606</f>
        <v>57599333.87971884</v>
      </c>
      <c r="AD4" s="19">
        <f>'P&amp;L - Inputs'!CZ606</f>
        <v>60479300.573704787</v>
      </c>
      <c r="AE4" s="19">
        <f>'P&amp;L - Inputs'!DA606</f>
        <v>63503265.602390029</v>
      </c>
      <c r="AF4" s="19">
        <f>'P&amp;L - Inputs'!DB606</f>
        <v>66678428.882509537</v>
      </c>
      <c r="AG4" s="19">
        <f>'P&amp;L - Inputs'!DC606</f>
        <v>70012350.326635018</v>
      </c>
      <c r="AH4" s="19">
        <f>'P&amp;L - Inputs'!DD606</f>
        <v>73512967.84296678</v>
      </c>
      <c r="AI4" s="19">
        <f>'P&amp;L - Inputs'!DE606</f>
        <v>77188616.235115111</v>
      </c>
      <c r="AJ4" s="19">
        <f>'P&amp;L - Inputs'!DF606</f>
        <v>85100449.399214417</v>
      </c>
      <c r="AK4" s="19">
        <f>'P&amp;L - Inputs'!DG606</f>
        <v>89355471.869175136</v>
      </c>
      <c r="AL4" s="19">
        <f>'P&amp;L - Inputs'!DH606</f>
        <v>93823245.462633908</v>
      </c>
      <c r="AM4" s="19">
        <f>'P&amp;L - Inputs'!DI606</f>
        <v>98514407.735765621</v>
      </c>
      <c r="AN4" s="19">
        <f>'P&amp;L - Inputs'!DJ606</f>
        <v>103440128.1225539</v>
      </c>
      <c r="AO4" s="19">
        <f>'P&amp;L - Inputs'!DK606</f>
        <v>108612134.52868161</v>
      </c>
      <c r="AP4" s="19">
        <f>'P&amp;L - Inputs'!DL606</f>
        <v>114042741.25511569</v>
      </c>
      <c r="AQ4" s="19">
        <f>'P&amp;L - Inputs'!DM606</f>
        <v>119744878.31787148</v>
      </c>
      <c r="AR4" s="19">
        <f>'P&amp;L - Inputs'!DN606</f>
        <v>125732122.23376505</v>
      </c>
      <c r="AS4" s="19">
        <f>'P&amp;L - Inputs'!DO606</f>
        <v>132018728.34545331</v>
      </c>
      <c r="AT4" s="19">
        <f>'P&amp;L - Inputs'!DP606</f>
        <v>138619664.76272598</v>
      </c>
      <c r="AU4" s="19">
        <f>'P&amp;L - Inputs'!DQ606</f>
        <v>145550648.0008623</v>
      </c>
      <c r="AV4" s="19">
        <f>'P&amp;L - Inputs'!DR606</f>
        <v>149189414.20088384</v>
      </c>
      <c r="AW4" s="19">
        <f>'P&amp;L - Inputs'!DS606</f>
        <v>152919149.55590594</v>
      </c>
      <c r="AX4" s="19">
        <f>'P&amp;L - Inputs'!DT606</f>
        <v>156742128.29480356</v>
      </c>
      <c r="AY4" s="19">
        <f>'P&amp;L - Inputs'!DU606</f>
        <v>160660681.50217363</v>
      </c>
      <c r="AZ4" s="19">
        <f>'P&amp;L - Inputs'!DV606</f>
        <v>164677198.53972796</v>
      </c>
      <c r="BA4" s="19">
        <f>'P&amp;L - Inputs'!DW606</f>
        <v>168794128.50322112</v>
      </c>
      <c r="BB4" s="19">
        <f>'P&amp;L - Inputs'!DX606</f>
        <v>173013981.71580166</v>
      </c>
      <c r="BC4" s="19">
        <f>'P&amp;L - Inputs'!DY606</f>
        <v>177339331.25869668</v>
      </c>
      <c r="BD4" s="19">
        <f>'P&amp;L - Inputs'!DZ606</f>
        <v>181772814.54016408</v>
      </c>
      <c r="BE4" s="19">
        <f>'P&amp;L - Inputs'!EA606</f>
        <v>186317134.90366817</v>
      </c>
      <c r="BF4" s="19">
        <f>'P&amp;L - Inputs'!EB606</f>
        <v>190975063.27625981</v>
      </c>
      <c r="BG4" s="19">
        <f>'P&amp;L - Inputs'!EC606</f>
        <v>195749439.85816631</v>
      </c>
      <c r="BI4" s="19"/>
      <c r="BJ4" s="19">
        <f t="shared" si="3"/>
        <v>74332590.129999995</v>
      </c>
      <c r="BK4" s="19">
        <f t="shared" si="4"/>
        <v>66121930.100000001</v>
      </c>
      <c r="BL4" s="19">
        <f t="shared" si="5"/>
        <v>77932055.210000008</v>
      </c>
      <c r="BM4" s="19">
        <f t="shared" si="6"/>
        <v>133517017.0300007</v>
      </c>
      <c r="BN4" s="19">
        <f t="shared" si="7"/>
        <v>104995724.08</v>
      </c>
      <c r="BO4" s="19">
        <f t="shared" si="8"/>
        <v>136138459.27000001</v>
      </c>
      <c r="BP4" s="19">
        <f t="shared" si="9"/>
        <v>145663788.46000001</v>
      </c>
      <c r="BQ4" s="19">
        <f t="shared" si="10"/>
        <v>140222779.81143087</v>
      </c>
      <c r="BR4" s="19">
        <f t="shared" si="11"/>
        <v>164700136.10504639</v>
      </c>
      <c r="BS4" s="19">
        <f t="shared" si="12"/>
        <v>190660995.05860436</v>
      </c>
      <c r="BT4" s="19">
        <f t="shared" si="13"/>
        <v>220713934.40471691</v>
      </c>
      <c r="BU4" s="19">
        <f t="shared" si="14"/>
        <v>268279166.73102346</v>
      </c>
      <c r="BV4" s="19">
        <f t="shared" si="15"/>
        <v>310566670.38700116</v>
      </c>
      <c r="BW4" s="19">
        <f t="shared" si="16"/>
        <v>359519741.8067522</v>
      </c>
      <c r="BX4" s="19">
        <f t="shared" si="17"/>
        <v>416189041.10904157</v>
      </c>
      <c r="BY4" s="19">
        <f t="shared" ref="BY4:BY52" si="18">SUM(AV4:AX4)</f>
        <v>458850692.05159336</v>
      </c>
      <c r="BZ4" s="19">
        <f t="shared" ref="BZ4:BZ52" si="19">SUM(AY4:BA4)</f>
        <v>494132008.54512274</v>
      </c>
      <c r="CA4" s="19">
        <f t="shared" ref="CA4:CA52" si="20">SUM(BB4:BD4)</f>
        <v>532126127.51466238</v>
      </c>
      <c r="CB4" s="19">
        <f t="shared" ref="CB4:CB52" si="21">SUM(BE4:BG4)</f>
        <v>573041638.03809428</v>
      </c>
      <c r="CD4" s="19">
        <f t="shared" ref="CD4:CD17" si="22">SUM(BI4:BL4)</f>
        <v>218386575.44</v>
      </c>
      <c r="CE4" s="19">
        <f t="shared" ref="CE4:CE17" si="23">SUM(BM4:BP4)</f>
        <v>520314988.84000075</v>
      </c>
      <c r="CF4" s="19">
        <f t="shared" ref="CF4:CF17" si="24">SUM(BQ4:BT4)</f>
        <v>716297845.37979853</v>
      </c>
      <c r="CG4" s="19">
        <f t="shared" ref="CG4:CG17" si="25">SUM(BU4:BX4)</f>
        <v>1354554620.0338182</v>
      </c>
      <c r="CH4" s="770">
        <f t="shared" ref="CH4:CH52" si="26">SUM(BY4:CB4)</f>
        <v>2058150466.149473</v>
      </c>
    </row>
    <row r="5" spans="2:86" x14ac:dyDescent="0.2">
      <c r="B5" s="160" t="s">
        <v>222</v>
      </c>
      <c r="C5" s="19">
        <f>'P&amp;L - Inputs'!BY607</f>
        <v>24336090.371506803</v>
      </c>
      <c r="D5" s="19">
        <f>'P&amp;L - Inputs'!BZ607</f>
        <v>24566218.832633592</v>
      </c>
      <c r="E5" s="19">
        <f>'P&amp;L - Inputs'!CA607</f>
        <v>31567810.201916777</v>
      </c>
      <c r="F5" s="19">
        <f>'P&amp;L - Inputs'!CB607</f>
        <v>26722012.269884966</v>
      </c>
      <c r="G5" s="19">
        <f>'P&amp;L - Inputs'!CC607</f>
        <v>31200919.089999981</v>
      </c>
      <c r="H5" s="19">
        <f>'P&amp;L - Inputs'!CD607</f>
        <v>44704788.729973517</v>
      </c>
      <c r="I5" s="19">
        <f>'P&amp;L - Inputs'!CE607</f>
        <v>49727222.17006398</v>
      </c>
      <c r="J5" s="19">
        <f>'P&amp;L - Inputs'!CF607</f>
        <v>41876475.978987083</v>
      </c>
      <c r="K5" s="19">
        <f>'P&amp;L - Inputs'!CG607</f>
        <v>48522496.630091965</v>
      </c>
      <c r="L5" s="19">
        <f>'P&amp;L - Inputs'!CH607</f>
        <v>49798266.830031328</v>
      </c>
      <c r="M5" s="19">
        <f>'P&amp;L - Inputs'!CI607</f>
        <v>58325917.120395742</v>
      </c>
      <c r="N5" s="19">
        <f>'P&amp;L - Inputs'!CJ607</f>
        <v>71457670.830122337</v>
      </c>
      <c r="O5" s="19">
        <f>'P&amp;L - Inputs'!CK607</f>
        <v>84656782.329999775</v>
      </c>
      <c r="P5" s="19">
        <f>'P&amp;L - Inputs'!CL607</f>
        <v>91090611.029999927</v>
      </c>
      <c r="Q5" s="19">
        <f>'P&amp;L - Inputs'!CM607</f>
        <v>87060420.709999859</v>
      </c>
      <c r="R5" s="19">
        <f>'P&amp;L - Inputs'!CN607</f>
        <v>80058453.73999992</v>
      </c>
      <c r="S5" s="19">
        <f>'P&amp;L - Inputs'!CO607</f>
        <v>89600843.299999803</v>
      </c>
      <c r="T5" s="19">
        <f>'P&amp;L - Inputs'!CP607</f>
        <v>114464018.38999979</v>
      </c>
      <c r="U5" s="19">
        <f>'P&amp;L - Inputs'!CQ607</f>
        <v>111630670.78000002</v>
      </c>
      <c r="V5" s="19">
        <f>'P&amp;L - Inputs'!CR607</f>
        <v>86128630.049999982</v>
      </c>
      <c r="W5" s="19">
        <f>'P&amp;L - Inputs'!CS607</f>
        <v>93400616.339999974</v>
      </c>
      <c r="X5" s="19">
        <f>'P&amp;L - Inputs'!CT607</f>
        <v>132803396.03749944</v>
      </c>
      <c r="Y5" s="19">
        <f>'P&amp;L - Inputs'!CU607</f>
        <v>146083735.64124939</v>
      </c>
      <c r="Z5" s="19">
        <f>'P&amp;L - Inputs'!CV607</f>
        <v>153387922.42331186</v>
      </c>
      <c r="AA5" s="19">
        <f>'P&amp;L - Inputs'!CW607</f>
        <v>161057318.54447746</v>
      </c>
      <c r="AB5" s="19">
        <f>'P&amp;L - Inputs'!CX607</f>
        <v>169110184.47170132</v>
      </c>
      <c r="AC5" s="19">
        <f>'P&amp;L - Inputs'!CY607</f>
        <v>177565693.69528639</v>
      </c>
      <c r="AD5" s="19">
        <f>'P&amp;L - Inputs'!CZ607</f>
        <v>186443978.38005075</v>
      </c>
      <c r="AE5" s="19">
        <f>'P&amp;L - Inputs'!DA607</f>
        <v>195766177.29905328</v>
      </c>
      <c r="AF5" s="19">
        <f>'P&amp;L - Inputs'!DB607</f>
        <v>205554486.16400596</v>
      </c>
      <c r="AG5" s="19">
        <f>'P&amp;L - Inputs'!DC607</f>
        <v>215832210.47220626</v>
      </c>
      <c r="AH5" s="19">
        <f>'P&amp;L - Inputs'!DD607</f>
        <v>226623820.99581659</v>
      </c>
      <c r="AI5" s="19">
        <f>'P&amp;L - Inputs'!DE607</f>
        <v>237955012.04560742</v>
      </c>
      <c r="AJ5" s="19">
        <f>'P&amp;L - Inputs'!DF607</f>
        <v>262345400.78028223</v>
      </c>
      <c r="AK5" s="19">
        <f>'P&amp;L - Inputs'!DG607</f>
        <v>275462670.81929636</v>
      </c>
      <c r="AL5" s="19">
        <f>'P&amp;L - Inputs'!DH607</f>
        <v>289235804.3602612</v>
      </c>
      <c r="AM5" s="19">
        <f>'P&amp;L - Inputs'!DI607</f>
        <v>303697594.57827425</v>
      </c>
      <c r="AN5" s="19">
        <f>'P&amp;L - Inputs'!DJ607</f>
        <v>318882474.30718797</v>
      </c>
      <c r="AO5" s="19">
        <f>'P&amp;L - Inputs'!DK607</f>
        <v>334826598.02254742</v>
      </c>
      <c r="AP5" s="19">
        <f>'P&amp;L - Inputs'!DL607</f>
        <v>351567927.92367476</v>
      </c>
      <c r="AQ5" s="19">
        <f>'P&amp;L - Inputs'!DM607</f>
        <v>369146324.31985855</v>
      </c>
      <c r="AR5" s="19">
        <f>'P&amp;L - Inputs'!DN607</f>
        <v>387603640.53585148</v>
      </c>
      <c r="AS5" s="19">
        <f>'P&amp;L - Inputs'!DO607</f>
        <v>406983822.56264412</v>
      </c>
      <c r="AT5" s="19">
        <f>'P&amp;L - Inputs'!DP607</f>
        <v>427333013.69077635</v>
      </c>
      <c r="AU5" s="19">
        <f>'P&amp;L - Inputs'!DQ607</f>
        <v>448699664.37531513</v>
      </c>
      <c r="AV5" s="19">
        <f>'P&amp;L - Inputs'!DR607</f>
        <v>459917155.984698</v>
      </c>
      <c r="AW5" s="19">
        <f>'P&amp;L - Inputs'!DS607</f>
        <v>471415084.88431543</v>
      </c>
      <c r="AX5" s="19">
        <f>'P&amp;L - Inputs'!DT607</f>
        <v>483200462.00642323</v>
      </c>
      <c r="AY5" s="19">
        <f>'P&amp;L - Inputs'!DU607</f>
        <v>495280473.55658376</v>
      </c>
      <c r="AZ5" s="19">
        <f>'P&amp;L - Inputs'!DV607</f>
        <v>507662485.39549834</v>
      </c>
      <c r="BA5" s="19">
        <f>'P&amp;L - Inputs'!DW607</f>
        <v>520354047.53038573</v>
      </c>
      <c r="BB5" s="19">
        <f>'P&amp;L - Inputs'!DX607</f>
        <v>533362898.71864533</v>
      </c>
      <c r="BC5" s="19">
        <f>'P&amp;L - Inputs'!DY607</f>
        <v>546696971.18661141</v>
      </c>
      <c r="BD5" s="19">
        <f>'P&amp;L - Inputs'!DZ607</f>
        <v>560364395.46627665</v>
      </c>
      <c r="BE5" s="19">
        <f>'P&amp;L - Inputs'!EA607</f>
        <v>574373505.35293353</v>
      </c>
      <c r="BF5" s="19">
        <f>'P&amp;L - Inputs'!EB607</f>
        <v>588732842.98675668</v>
      </c>
      <c r="BG5" s="19">
        <f>'P&amp;L - Inputs'!EC607</f>
        <v>603451164.06142557</v>
      </c>
      <c r="BI5" s="19">
        <v>0</v>
      </c>
      <c r="BJ5" s="19">
        <f t="shared" si="3"/>
        <v>80470119.406057179</v>
      </c>
      <c r="BK5" s="19">
        <f t="shared" si="4"/>
        <v>102627720.08985847</v>
      </c>
      <c r="BL5" s="19">
        <f t="shared" si="5"/>
        <v>140126194.77914304</v>
      </c>
      <c r="BM5" s="19">
        <f t="shared" si="6"/>
        <v>179581854.78054941</v>
      </c>
      <c r="BN5" s="19">
        <f t="shared" si="7"/>
        <v>262807814.06999958</v>
      </c>
      <c r="BO5" s="19">
        <f t="shared" si="8"/>
        <v>284123315.42999953</v>
      </c>
      <c r="BP5" s="19">
        <f t="shared" si="9"/>
        <v>291159917.16999996</v>
      </c>
      <c r="BQ5" s="19">
        <f t="shared" si="10"/>
        <v>432275054.10206068</v>
      </c>
      <c r="BR5" s="19">
        <f t="shared" si="11"/>
        <v>507733196.71146518</v>
      </c>
      <c r="BS5" s="19">
        <f t="shared" si="12"/>
        <v>587764641.84310997</v>
      </c>
      <c r="BT5" s="19">
        <f t="shared" si="13"/>
        <v>680411043.51363027</v>
      </c>
      <c r="BU5" s="19">
        <f t="shared" si="14"/>
        <v>827043875.95983982</v>
      </c>
      <c r="BV5" s="19">
        <f t="shared" si="15"/>
        <v>957406666.90800977</v>
      </c>
      <c r="BW5" s="19">
        <f t="shared" si="16"/>
        <v>1108317892.7793849</v>
      </c>
      <c r="BX5" s="19">
        <f t="shared" si="17"/>
        <v>1283016500.6287355</v>
      </c>
      <c r="BY5" s="19">
        <f t="shared" si="18"/>
        <v>1414532702.8754368</v>
      </c>
      <c r="BZ5" s="19">
        <f t="shared" si="19"/>
        <v>1523297006.4824679</v>
      </c>
      <c r="CA5" s="19">
        <f t="shared" si="20"/>
        <v>1640424265.3715334</v>
      </c>
      <c r="CB5" s="19">
        <f t="shared" si="21"/>
        <v>1766557512.4011159</v>
      </c>
      <c r="CD5" s="19">
        <f t="shared" si="22"/>
        <v>323224034.27505869</v>
      </c>
      <c r="CE5" s="19">
        <f t="shared" si="23"/>
        <v>1017672901.4505485</v>
      </c>
      <c r="CF5" s="19">
        <f t="shared" si="24"/>
        <v>2208183936.1702662</v>
      </c>
      <c r="CG5" s="19">
        <f t="shared" si="25"/>
        <v>4175784936.27597</v>
      </c>
      <c r="CH5" s="770">
        <f t="shared" si="26"/>
        <v>6344811487.1305542</v>
      </c>
    </row>
    <row r="6" spans="2:86" x14ac:dyDescent="0.2">
      <c r="B6" s="155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D6" s="10"/>
      <c r="CE6" s="10"/>
      <c r="CF6" s="10"/>
      <c r="CG6" s="10"/>
      <c r="CH6" s="812"/>
    </row>
    <row r="7" spans="2:86" x14ac:dyDescent="0.2">
      <c r="B7" s="159" t="s">
        <v>5</v>
      </c>
      <c r="C7" s="158">
        <f>SUM(C8:C9)</f>
        <v>1667</v>
      </c>
      <c r="D7" s="158">
        <f t="shared" ref="D7" si="27">SUM(D8:D9)</f>
        <v>2516</v>
      </c>
      <c r="E7" s="158">
        <f t="shared" ref="E7" si="28">SUM(E8:E9)</f>
        <v>3173</v>
      </c>
      <c r="F7" s="158">
        <f t="shared" ref="F7" si="29">SUM(F8:F9)</f>
        <v>2505</v>
      </c>
      <c r="G7" s="158">
        <f t="shared" ref="G7" si="30">SUM(G8:G9)</f>
        <v>2810</v>
      </c>
      <c r="H7" s="158">
        <f t="shared" ref="H7" si="31">SUM(H8:H9)</f>
        <v>2580</v>
      </c>
      <c r="I7" s="158">
        <f t="shared" ref="I7" si="32">SUM(I8:I9)</f>
        <v>3229</v>
      </c>
      <c r="J7" s="158">
        <f t="shared" ref="J7" si="33">SUM(J8:J9)</f>
        <v>3348</v>
      </c>
      <c r="K7" s="158">
        <f t="shared" ref="K7" si="34">SUM(K8:K9)</f>
        <v>3725</v>
      </c>
      <c r="L7" s="158">
        <f t="shared" ref="L7" si="35">SUM(L8:L9)</f>
        <v>3442</v>
      </c>
      <c r="M7" s="158">
        <f t="shared" ref="M7" si="36">SUM(M8:M9)</f>
        <v>5844</v>
      </c>
      <c r="N7" s="158">
        <f t="shared" ref="N7" si="37">SUM(N8:N9)</f>
        <v>7327</v>
      </c>
      <c r="O7" s="158">
        <f t="shared" ref="O7" si="38">SUM(O8:O9)</f>
        <v>5653</v>
      </c>
      <c r="P7" s="158">
        <f t="shared" ref="P7" si="39">SUM(P8:P9)</f>
        <v>5370</v>
      </c>
      <c r="Q7" s="158">
        <f t="shared" ref="Q7" si="40">SUM(Q8:Q9)</f>
        <v>6406</v>
      </c>
      <c r="R7" s="158">
        <f t="shared" ref="R7" si="41">SUM(R8:R9)</f>
        <v>5818</v>
      </c>
      <c r="S7" s="158">
        <f t="shared" ref="S7" si="42">SUM(S8:S9)</f>
        <v>10252</v>
      </c>
      <c r="T7" s="158">
        <f t="shared" ref="T7" si="43">SUM(T8:T9)</f>
        <v>8569</v>
      </c>
      <c r="U7" s="158">
        <f t="shared" ref="U7" si="44">SUM(U8:U9)</f>
        <v>8770</v>
      </c>
      <c r="V7" s="158">
        <f t="shared" ref="V7" si="45">SUM(V8:V9)</f>
        <v>7051</v>
      </c>
      <c r="W7" s="158">
        <f t="shared" ref="W7" si="46">SUM(W8:W9)</f>
        <v>6313</v>
      </c>
      <c r="X7" s="158">
        <f t="shared" ref="X7" si="47">SUM(X8:X9)</f>
        <v>8000</v>
      </c>
      <c r="Y7" s="158">
        <f t="shared" ref="Y7" si="48">SUM(Y8:Y9)</f>
        <v>8800</v>
      </c>
      <c r="Z7" s="158">
        <f t="shared" ref="Z7" si="49">SUM(Z8:Z9)</f>
        <v>9240</v>
      </c>
      <c r="AA7" s="158">
        <f t="shared" ref="AA7" si="50">SUM(AA8:AA9)</f>
        <v>9702</v>
      </c>
      <c r="AB7" s="158">
        <f t="shared" ref="AB7" si="51">SUM(AB8:AB9)</f>
        <v>10187.1</v>
      </c>
      <c r="AC7" s="158">
        <f t="shared" ref="AC7" si="52">SUM(AC8:AC9)</f>
        <v>10696.455</v>
      </c>
      <c r="AD7" s="158">
        <f t="shared" ref="AD7" si="53">SUM(AD8:AD9)</f>
        <v>11231.277750000001</v>
      </c>
      <c r="AE7" s="158">
        <f t="shared" ref="AE7" si="54">SUM(AE8:AE9)</f>
        <v>11792.841637500002</v>
      </c>
      <c r="AF7" s="158">
        <f t="shared" ref="AF7" si="55">SUM(AF8:AF9)</f>
        <v>12382.483719375003</v>
      </c>
      <c r="AG7" s="158">
        <f t="shared" ref="AG7" si="56">SUM(AG8:AG9)</f>
        <v>13001.607905343753</v>
      </c>
      <c r="AH7" s="158">
        <f t="shared" ref="AH7" si="57">SUM(AH8:AH9)</f>
        <v>13651.688300610942</v>
      </c>
      <c r="AI7" s="158">
        <f t="shared" ref="AI7" si="58">SUM(AI8:AI9)</f>
        <v>14334.272715641489</v>
      </c>
      <c r="AJ7" s="158">
        <f t="shared" ref="AJ7" si="59">SUM(AJ8:AJ9)</f>
        <v>15050.986351423564</v>
      </c>
      <c r="AK7" s="158">
        <f t="shared" ref="AK7" si="60">SUM(AK8:AK9)</f>
        <v>15803.535668994742</v>
      </c>
      <c r="AL7" s="158">
        <f t="shared" ref="AL7" si="61">SUM(AL8:AL9)</f>
        <v>16593.712452444481</v>
      </c>
      <c r="AM7" s="158">
        <f t="shared" ref="AM7" si="62">SUM(AM8:AM9)</f>
        <v>17423.398075066707</v>
      </c>
      <c r="AN7" s="158">
        <f t="shared" ref="AN7" si="63">SUM(AN8:AN9)</f>
        <v>18294.567978820043</v>
      </c>
      <c r="AO7" s="158">
        <f t="shared" ref="AO7" si="64">SUM(AO8:AO9)</f>
        <v>19209.296377761046</v>
      </c>
      <c r="AP7" s="158">
        <f t="shared" ref="AP7" si="65">SUM(AP8:AP9)</f>
        <v>20169.761196649099</v>
      </c>
      <c r="AQ7" s="158">
        <f t="shared" ref="AQ7" si="66">SUM(AQ8:AQ9)</f>
        <v>21178.249256481555</v>
      </c>
      <c r="AR7" s="158">
        <f t="shared" ref="AR7" si="67">SUM(AR8:AR9)</f>
        <v>22237.161719305634</v>
      </c>
      <c r="AS7" s="158">
        <f t="shared" ref="AS7" si="68">SUM(AS8:AS9)</f>
        <v>23349.019805270917</v>
      </c>
      <c r="AT7" s="158">
        <f t="shared" ref="AT7" si="69">SUM(AT8:AT9)</f>
        <v>24516.470795534464</v>
      </c>
      <c r="AU7" s="158">
        <f t="shared" ref="AU7" si="70">SUM(AU8:AU9)</f>
        <v>25742.294335311188</v>
      </c>
      <c r="AV7" s="158">
        <f t="shared" ref="AV7:BG7" si="71">SUM(AV8:AV9)</f>
        <v>26385.851693693967</v>
      </c>
      <c r="AW7" s="158">
        <f t="shared" si="71"/>
        <v>27045.497986036313</v>
      </c>
      <c r="AX7" s="158">
        <f t="shared" si="71"/>
        <v>27721.635435687218</v>
      </c>
      <c r="AY7" s="158">
        <f t="shared" si="71"/>
        <v>28414.676321579394</v>
      </c>
      <c r="AZ7" s="158">
        <f t="shared" si="71"/>
        <v>29125.043229618877</v>
      </c>
      <c r="BA7" s="158">
        <f t="shared" si="71"/>
        <v>29853.169310359346</v>
      </c>
      <c r="BB7" s="158">
        <f t="shared" si="71"/>
        <v>30599.498543118327</v>
      </c>
      <c r="BC7" s="158">
        <f t="shared" si="71"/>
        <v>31364.486006696283</v>
      </c>
      <c r="BD7" s="158">
        <f t="shared" si="71"/>
        <v>32148.598156863689</v>
      </c>
      <c r="BE7" s="158">
        <f t="shared" si="71"/>
        <v>32952.313110785275</v>
      </c>
      <c r="BF7" s="158">
        <f t="shared" si="71"/>
        <v>33776.120938554901</v>
      </c>
      <c r="BG7" s="158">
        <f t="shared" si="71"/>
        <v>34620.523962018771</v>
      </c>
      <c r="BI7" s="158">
        <v>0</v>
      </c>
      <c r="BJ7" s="158">
        <f t="shared" si="3"/>
        <v>7356</v>
      </c>
      <c r="BK7" s="158">
        <f t="shared" si="4"/>
        <v>7895</v>
      </c>
      <c r="BL7" s="158">
        <f t="shared" si="5"/>
        <v>10302</v>
      </c>
      <c r="BM7" s="158">
        <f t="shared" si="6"/>
        <v>16613</v>
      </c>
      <c r="BN7" s="158">
        <f t="shared" si="7"/>
        <v>17429</v>
      </c>
      <c r="BO7" s="158">
        <f t="shared" si="8"/>
        <v>24639</v>
      </c>
      <c r="BP7" s="158">
        <f t="shared" si="9"/>
        <v>22134</v>
      </c>
      <c r="BQ7" s="158">
        <f t="shared" si="10"/>
        <v>26040</v>
      </c>
      <c r="BR7" s="158">
        <f t="shared" si="11"/>
        <v>30585.555</v>
      </c>
      <c r="BS7" s="158">
        <f t="shared" si="12"/>
        <v>35406.603106875002</v>
      </c>
      <c r="BT7" s="158">
        <f t="shared" si="13"/>
        <v>40987.568921596183</v>
      </c>
      <c r="BU7" s="158">
        <f t="shared" si="14"/>
        <v>47448.234472862787</v>
      </c>
      <c r="BV7" s="158">
        <f t="shared" si="15"/>
        <v>54927.262431647789</v>
      </c>
      <c r="BW7" s="158">
        <f t="shared" si="16"/>
        <v>63585.172172436287</v>
      </c>
      <c r="BX7" s="158">
        <f t="shared" si="17"/>
        <v>73607.784936116572</v>
      </c>
      <c r="BY7" s="158">
        <f t="shared" si="18"/>
        <v>81152.985115417498</v>
      </c>
      <c r="BZ7" s="158">
        <f t="shared" si="19"/>
        <v>87392.888861557614</v>
      </c>
      <c r="CA7" s="158">
        <f t="shared" si="20"/>
        <v>94112.582706678295</v>
      </c>
      <c r="CB7" s="158">
        <f t="shared" si="21"/>
        <v>101348.95801135895</v>
      </c>
      <c r="CD7" s="158">
        <f t="shared" si="22"/>
        <v>25553</v>
      </c>
      <c r="CE7" s="158">
        <f t="shared" si="23"/>
        <v>80815</v>
      </c>
      <c r="CF7" s="158">
        <f t="shared" si="24"/>
        <v>133019.72702847118</v>
      </c>
      <c r="CG7" s="158">
        <f t="shared" si="25"/>
        <v>239568.45401306343</v>
      </c>
      <c r="CH7" s="780">
        <f t="shared" si="26"/>
        <v>364007.41469501238</v>
      </c>
    </row>
    <row r="8" spans="2:86" x14ac:dyDescent="0.2">
      <c r="B8" s="160" t="s">
        <v>221</v>
      </c>
      <c r="C8" s="19">
        <f>'P&amp;L - Inputs'!BY610</f>
        <v>989</v>
      </c>
      <c r="D8" s="19">
        <f>'P&amp;L - Inputs'!BZ610</f>
        <v>1848</v>
      </c>
      <c r="E8" s="19">
        <f>'P&amp;L - Inputs'!CA610</f>
        <v>2374</v>
      </c>
      <c r="F8" s="19">
        <f>'P&amp;L - Inputs'!CB610</f>
        <v>1834</v>
      </c>
      <c r="G8" s="19">
        <f>'P&amp;L - Inputs'!CC610</f>
        <v>1961</v>
      </c>
      <c r="H8" s="19">
        <f>'P&amp;L - Inputs'!CD610</f>
        <v>1237</v>
      </c>
      <c r="I8" s="19">
        <f>'P&amp;L - Inputs'!CE610</f>
        <v>1942</v>
      </c>
      <c r="J8" s="19">
        <f>'P&amp;L - Inputs'!CF610</f>
        <v>1922</v>
      </c>
      <c r="K8" s="19">
        <f>'P&amp;L - Inputs'!CG610</f>
        <v>2152</v>
      </c>
      <c r="L8" s="19">
        <f>'P&amp;L - Inputs'!CH610</f>
        <v>2032</v>
      </c>
      <c r="M8" s="19">
        <f>'P&amp;L - Inputs'!CI610</f>
        <v>4116</v>
      </c>
      <c r="N8" s="19">
        <f>'P&amp;L - Inputs'!CJ610</f>
        <v>5089</v>
      </c>
      <c r="O8" s="19">
        <f>'P&amp;L - Inputs'!CK610</f>
        <v>3155</v>
      </c>
      <c r="P8" s="19">
        <f>'P&amp;L - Inputs'!CL610</f>
        <v>2792</v>
      </c>
      <c r="Q8" s="19">
        <f>'P&amp;L - Inputs'!CM610</f>
        <v>3741</v>
      </c>
      <c r="R8" s="19">
        <f>'P&amp;L - Inputs'!CN610</f>
        <v>3252</v>
      </c>
      <c r="S8" s="19">
        <f>'P&amp;L - Inputs'!CO610</f>
        <v>7287</v>
      </c>
      <c r="T8" s="19">
        <f>'P&amp;L - Inputs'!CP610</f>
        <v>4890</v>
      </c>
      <c r="U8" s="19">
        <f>'P&amp;L - Inputs'!CQ610</f>
        <v>5316</v>
      </c>
      <c r="V8" s="19">
        <f>'P&amp;L - Inputs'!CR610</f>
        <v>4554</v>
      </c>
      <c r="W8" s="19">
        <f>'P&amp;L - Inputs'!CS610</f>
        <v>3731</v>
      </c>
      <c r="X8" s="19">
        <f>'P&amp;L - Inputs'!CT610</f>
        <v>4000</v>
      </c>
      <c r="Y8" s="19">
        <f>'P&amp;L - Inputs'!CU610</f>
        <v>4400</v>
      </c>
      <c r="Z8" s="19">
        <f>'P&amp;L - Inputs'!CV610</f>
        <v>4620</v>
      </c>
      <c r="AA8" s="19">
        <f>'P&amp;L - Inputs'!CW610</f>
        <v>4851</v>
      </c>
      <c r="AB8" s="19">
        <f>'P&amp;L - Inputs'!CX610</f>
        <v>5093.55</v>
      </c>
      <c r="AC8" s="19">
        <f>'P&amp;L - Inputs'!CY610</f>
        <v>5348.2275</v>
      </c>
      <c r="AD8" s="19">
        <f>'P&amp;L - Inputs'!CZ610</f>
        <v>5615.6388750000006</v>
      </c>
      <c r="AE8" s="19">
        <f>'P&amp;L - Inputs'!DA610</f>
        <v>5896.4208187500008</v>
      </c>
      <c r="AF8" s="19">
        <f>'P&amp;L - Inputs'!DB610</f>
        <v>6191.2418596875013</v>
      </c>
      <c r="AG8" s="19">
        <f>'P&amp;L - Inputs'!DC610</f>
        <v>6500.8039526718767</v>
      </c>
      <c r="AH8" s="19">
        <f>'P&amp;L - Inputs'!DD610</f>
        <v>6825.844150305471</v>
      </c>
      <c r="AI8" s="19">
        <f>'P&amp;L - Inputs'!DE610</f>
        <v>7167.1363578207447</v>
      </c>
      <c r="AJ8" s="19">
        <f>'P&amp;L - Inputs'!DF610</f>
        <v>7525.493175711782</v>
      </c>
      <c r="AK8" s="19">
        <f>'P&amp;L - Inputs'!DG610</f>
        <v>7901.767834497371</v>
      </c>
      <c r="AL8" s="19">
        <f>'P&amp;L - Inputs'!DH610</f>
        <v>8296.8562262222404</v>
      </c>
      <c r="AM8" s="19">
        <f>'P&amp;L - Inputs'!DI610</f>
        <v>8711.6990375333535</v>
      </c>
      <c r="AN8" s="19">
        <f>'P&amp;L - Inputs'!DJ610</f>
        <v>9147.2839894100216</v>
      </c>
      <c r="AO8" s="19">
        <f>'P&amp;L - Inputs'!DK610</f>
        <v>9604.6481888805229</v>
      </c>
      <c r="AP8" s="19">
        <f>'P&amp;L - Inputs'!DL610</f>
        <v>10084.880598324549</v>
      </c>
      <c r="AQ8" s="19">
        <f>'P&amp;L - Inputs'!DM610</f>
        <v>10589.124628240777</v>
      </c>
      <c r="AR8" s="19">
        <f>'P&amp;L - Inputs'!DN610</f>
        <v>11118.580859652817</v>
      </c>
      <c r="AS8" s="19">
        <f>'P&amp;L - Inputs'!DO610</f>
        <v>11674.509902635458</v>
      </c>
      <c r="AT8" s="19">
        <f>'P&amp;L - Inputs'!DP610</f>
        <v>12258.235397767232</v>
      </c>
      <c r="AU8" s="19">
        <f>'P&amp;L - Inputs'!DQ610</f>
        <v>12871.147167655594</v>
      </c>
      <c r="AV8" s="19">
        <f>'P&amp;L - Inputs'!DR610</f>
        <v>13192.925846846983</v>
      </c>
      <c r="AW8" s="19">
        <f>'P&amp;L - Inputs'!DS610</f>
        <v>13522.748993018156</v>
      </c>
      <c r="AX8" s="19">
        <f>'P&amp;L - Inputs'!DT610</f>
        <v>13860.817717843609</v>
      </c>
      <c r="AY8" s="19">
        <f>'P&amp;L - Inputs'!DU610</f>
        <v>14207.338160789697</v>
      </c>
      <c r="AZ8" s="19">
        <f>'P&amp;L - Inputs'!DV610</f>
        <v>14562.521614809439</v>
      </c>
      <c r="BA8" s="19">
        <f>'P&amp;L - Inputs'!DW610</f>
        <v>14926.584655179673</v>
      </c>
      <c r="BB8" s="19">
        <f>'P&amp;L - Inputs'!DX610</f>
        <v>15299.749271559163</v>
      </c>
      <c r="BC8" s="19">
        <f>'P&amp;L - Inputs'!DY610</f>
        <v>15682.243003348141</v>
      </c>
      <c r="BD8" s="19">
        <f>'P&amp;L - Inputs'!DZ610</f>
        <v>16074.299078431844</v>
      </c>
      <c r="BE8" s="19">
        <f>'P&amp;L - Inputs'!EA610</f>
        <v>16476.156555392638</v>
      </c>
      <c r="BF8" s="19">
        <f>'P&amp;L - Inputs'!EB610</f>
        <v>16888.06046927745</v>
      </c>
      <c r="BG8" s="19">
        <f>'P&amp;L - Inputs'!EC610</f>
        <v>17310.261981009386</v>
      </c>
      <c r="BI8" s="19"/>
      <c r="BJ8" s="19">
        <f t="shared" si="3"/>
        <v>5211</v>
      </c>
      <c r="BK8" s="19">
        <f t="shared" si="4"/>
        <v>5032</v>
      </c>
      <c r="BL8" s="19">
        <f t="shared" si="5"/>
        <v>6016</v>
      </c>
      <c r="BM8" s="19">
        <f t="shared" si="6"/>
        <v>11237</v>
      </c>
      <c r="BN8" s="19">
        <f t="shared" si="7"/>
        <v>9688</v>
      </c>
      <c r="BO8" s="19">
        <f t="shared" si="8"/>
        <v>15429</v>
      </c>
      <c r="BP8" s="19">
        <f t="shared" si="9"/>
        <v>13601</v>
      </c>
      <c r="BQ8" s="19">
        <f t="shared" si="10"/>
        <v>13020</v>
      </c>
      <c r="BR8" s="19">
        <f t="shared" si="11"/>
        <v>15292.7775</v>
      </c>
      <c r="BS8" s="19">
        <f t="shared" si="12"/>
        <v>17703.301553437501</v>
      </c>
      <c r="BT8" s="19">
        <f t="shared" si="13"/>
        <v>20493.784460798091</v>
      </c>
      <c r="BU8" s="19">
        <f t="shared" si="14"/>
        <v>23724.117236431393</v>
      </c>
      <c r="BV8" s="19">
        <f t="shared" si="15"/>
        <v>27463.631215823894</v>
      </c>
      <c r="BW8" s="19">
        <f t="shared" si="16"/>
        <v>31792.586086218143</v>
      </c>
      <c r="BX8" s="19">
        <f t="shared" si="17"/>
        <v>36803.892468058286</v>
      </c>
      <c r="BY8" s="19">
        <f t="shared" si="18"/>
        <v>40576.492557708749</v>
      </c>
      <c r="BZ8" s="19">
        <f t="shared" si="19"/>
        <v>43696.444430778807</v>
      </c>
      <c r="CA8" s="19">
        <f t="shared" si="20"/>
        <v>47056.291353339147</v>
      </c>
      <c r="CB8" s="19">
        <f t="shared" si="21"/>
        <v>50674.479005679474</v>
      </c>
      <c r="CD8" s="19">
        <f t="shared" si="22"/>
        <v>16259</v>
      </c>
      <c r="CE8" s="19">
        <f t="shared" si="23"/>
        <v>49955</v>
      </c>
      <c r="CF8" s="19">
        <f t="shared" si="24"/>
        <v>66509.863514235592</v>
      </c>
      <c r="CG8" s="19">
        <f t="shared" si="25"/>
        <v>119784.22700653171</v>
      </c>
      <c r="CH8" s="770">
        <f t="shared" si="26"/>
        <v>182003.70734750619</v>
      </c>
    </row>
    <row r="9" spans="2:86" x14ac:dyDescent="0.2">
      <c r="B9" s="160" t="s">
        <v>222</v>
      </c>
      <c r="C9" s="19">
        <f>'P&amp;L - Inputs'!BY611</f>
        <v>678</v>
      </c>
      <c r="D9" s="19">
        <f>'P&amp;L - Inputs'!BZ611</f>
        <v>668</v>
      </c>
      <c r="E9" s="19">
        <f>'P&amp;L - Inputs'!CA611</f>
        <v>799</v>
      </c>
      <c r="F9" s="19">
        <f>'P&amp;L - Inputs'!CB611</f>
        <v>671</v>
      </c>
      <c r="G9" s="19">
        <f>'P&amp;L - Inputs'!CC611</f>
        <v>849</v>
      </c>
      <c r="H9" s="19">
        <f>'P&amp;L - Inputs'!CD611</f>
        <v>1343</v>
      </c>
      <c r="I9" s="19">
        <f>'P&amp;L - Inputs'!CE611</f>
        <v>1287</v>
      </c>
      <c r="J9" s="19">
        <f>'P&amp;L - Inputs'!CF611</f>
        <v>1426</v>
      </c>
      <c r="K9" s="19">
        <f>'P&amp;L - Inputs'!CG611</f>
        <v>1573</v>
      </c>
      <c r="L9" s="19">
        <f>'P&amp;L - Inputs'!CH611</f>
        <v>1410</v>
      </c>
      <c r="M9" s="19">
        <f>'P&amp;L - Inputs'!CI611</f>
        <v>1728</v>
      </c>
      <c r="N9" s="19">
        <f>'P&amp;L - Inputs'!CJ611</f>
        <v>2238</v>
      </c>
      <c r="O9" s="19">
        <f>'P&amp;L - Inputs'!CK611</f>
        <v>2498</v>
      </c>
      <c r="P9" s="19">
        <f>'P&amp;L - Inputs'!CL611</f>
        <v>2578</v>
      </c>
      <c r="Q9" s="19">
        <f>'P&amp;L - Inputs'!CM611</f>
        <v>2665</v>
      </c>
      <c r="R9" s="19">
        <f>'P&amp;L - Inputs'!CN611</f>
        <v>2566</v>
      </c>
      <c r="S9" s="19">
        <f>'P&amp;L - Inputs'!CO611</f>
        <v>2965</v>
      </c>
      <c r="T9" s="19">
        <f>'P&amp;L - Inputs'!CP611</f>
        <v>3679</v>
      </c>
      <c r="U9" s="19">
        <f>'P&amp;L - Inputs'!CQ611</f>
        <v>3454</v>
      </c>
      <c r="V9" s="19">
        <f>'P&amp;L - Inputs'!CR611</f>
        <v>2497</v>
      </c>
      <c r="W9" s="19">
        <f>'P&amp;L - Inputs'!CS611</f>
        <v>2582</v>
      </c>
      <c r="X9" s="19">
        <f>'P&amp;L - Inputs'!CT611</f>
        <v>4000</v>
      </c>
      <c r="Y9" s="19">
        <f>'P&amp;L - Inputs'!CU611</f>
        <v>4400</v>
      </c>
      <c r="Z9" s="19">
        <f>'P&amp;L - Inputs'!CV611</f>
        <v>4620</v>
      </c>
      <c r="AA9" s="19">
        <f>'P&amp;L - Inputs'!CW611</f>
        <v>4851</v>
      </c>
      <c r="AB9" s="19">
        <f>'P&amp;L - Inputs'!CX611</f>
        <v>5093.55</v>
      </c>
      <c r="AC9" s="19">
        <f>'P&amp;L - Inputs'!CY611</f>
        <v>5348.2275</v>
      </c>
      <c r="AD9" s="19">
        <f>'P&amp;L - Inputs'!CZ611</f>
        <v>5615.6388750000006</v>
      </c>
      <c r="AE9" s="19">
        <f>'P&amp;L - Inputs'!DA611</f>
        <v>5896.4208187500008</v>
      </c>
      <c r="AF9" s="19">
        <f>'P&amp;L - Inputs'!DB611</f>
        <v>6191.2418596875013</v>
      </c>
      <c r="AG9" s="19">
        <f>'P&amp;L - Inputs'!DC611</f>
        <v>6500.8039526718767</v>
      </c>
      <c r="AH9" s="19">
        <f>'P&amp;L - Inputs'!DD611</f>
        <v>6825.844150305471</v>
      </c>
      <c r="AI9" s="19">
        <f>'P&amp;L - Inputs'!DE611</f>
        <v>7167.1363578207447</v>
      </c>
      <c r="AJ9" s="19">
        <f>'P&amp;L - Inputs'!DF611</f>
        <v>7525.493175711782</v>
      </c>
      <c r="AK9" s="19">
        <f>'P&amp;L - Inputs'!DG611</f>
        <v>7901.767834497371</v>
      </c>
      <c r="AL9" s="19">
        <f>'P&amp;L - Inputs'!DH611</f>
        <v>8296.8562262222404</v>
      </c>
      <c r="AM9" s="19">
        <f>'P&amp;L - Inputs'!DI611</f>
        <v>8711.6990375333535</v>
      </c>
      <c r="AN9" s="19">
        <f>'P&amp;L - Inputs'!DJ611</f>
        <v>9147.2839894100216</v>
      </c>
      <c r="AO9" s="19">
        <f>'P&amp;L - Inputs'!DK611</f>
        <v>9604.6481888805229</v>
      </c>
      <c r="AP9" s="19">
        <f>'P&amp;L - Inputs'!DL611</f>
        <v>10084.880598324549</v>
      </c>
      <c r="AQ9" s="19">
        <f>'P&amp;L - Inputs'!DM611</f>
        <v>10589.124628240777</v>
      </c>
      <c r="AR9" s="19">
        <f>'P&amp;L - Inputs'!DN611</f>
        <v>11118.580859652817</v>
      </c>
      <c r="AS9" s="19">
        <f>'P&amp;L - Inputs'!DO611</f>
        <v>11674.509902635458</v>
      </c>
      <c r="AT9" s="19">
        <f>'P&amp;L - Inputs'!DP611</f>
        <v>12258.235397767232</v>
      </c>
      <c r="AU9" s="19">
        <f>'P&amp;L - Inputs'!DQ611</f>
        <v>12871.147167655594</v>
      </c>
      <c r="AV9" s="19">
        <f>'P&amp;L - Inputs'!DR611</f>
        <v>13192.925846846983</v>
      </c>
      <c r="AW9" s="19">
        <f>'P&amp;L - Inputs'!DS611</f>
        <v>13522.748993018156</v>
      </c>
      <c r="AX9" s="19">
        <f>'P&amp;L - Inputs'!DT611</f>
        <v>13860.817717843609</v>
      </c>
      <c r="AY9" s="19">
        <f>'P&amp;L - Inputs'!DU611</f>
        <v>14207.338160789697</v>
      </c>
      <c r="AZ9" s="19">
        <f>'P&amp;L - Inputs'!DV611</f>
        <v>14562.521614809439</v>
      </c>
      <c r="BA9" s="19">
        <f>'P&amp;L - Inputs'!DW611</f>
        <v>14926.584655179673</v>
      </c>
      <c r="BB9" s="19">
        <f>'P&amp;L - Inputs'!DX611</f>
        <v>15299.749271559163</v>
      </c>
      <c r="BC9" s="19">
        <f>'P&amp;L - Inputs'!DY611</f>
        <v>15682.243003348141</v>
      </c>
      <c r="BD9" s="19">
        <f>'P&amp;L - Inputs'!DZ611</f>
        <v>16074.299078431844</v>
      </c>
      <c r="BE9" s="19">
        <f>'P&amp;L - Inputs'!EA611</f>
        <v>16476.156555392638</v>
      </c>
      <c r="BF9" s="19">
        <f>'P&amp;L - Inputs'!EB611</f>
        <v>16888.06046927745</v>
      </c>
      <c r="BG9" s="19">
        <f>'P&amp;L - Inputs'!EC611</f>
        <v>17310.261981009386</v>
      </c>
      <c r="BI9" s="19">
        <v>0</v>
      </c>
      <c r="BJ9" s="19">
        <f t="shared" si="3"/>
        <v>2145</v>
      </c>
      <c r="BK9" s="19">
        <f t="shared" si="4"/>
        <v>2863</v>
      </c>
      <c r="BL9" s="19">
        <f t="shared" si="5"/>
        <v>4286</v>
      </c>
      <c r="BM9" s="19">
        <f t="shared" si="6"/>
        <v>5376</v>
      </c>
      <c r="BN9" s="19">
        <f t="shared" si="7"/>
        <v>7741</v>
      </c>
      <c r="BO9" s="19">
        <f t="shared" si="8"/>
        <v>9210</v>
      </c>
      <c r="BP9" s="19">
        <f t="shared" si="9"/>
        <v>8533</v>
      </c>
      <c r="BQ9" s="19">
        <f t="shared" si="10"/>
        <v>13020</v>
      </c>
      <c r="BR9" s="19">
        <f t="shared" si="11"/>
        <v>15292.7775</v>
      </c>
      <c r="BS9" s="19">
        <f t="shared" si="12"/>
        <v>17703.301553437501</v>
      </c>
      <c r="BT9" s="19">
        <f t="shared" si="13"/>
        <v>20493.784460798091</v>
      </c>
      <c r="BU9" s="19">
        <f t="shared" si="14"/>
        <v>23724.117236431393</v>
      </c>
      <c r="BV9" s="19">
        <f t="shared" si="15"/>
        <v>27463.631215823894</v>
      </c>
      <c r="BW9" s="19">
        <f t="shared" si="16"/>
        <v>31792.586086218143</v>
      </c>
      <c r="BX9" s="19">
        <f t="shared" si="17"/>
        <v>36803.892468058286</v>
      </c>
      <c r="BY9" s="19">
        <f t="shared" si="18"/>
        <v>40576.492557708749</v>
      </c>
      <c r="BZ9" s="19">
        <f t="shared" si="19"/>
        <v>43696.444430778807</v>
      </c>
      <c r="CA9" s="19">
        <f t="shared" si="20"/>
        <v>47056.291353339147</v>
      </c>
      <c r="CB9" s="19">
        <f t="shared" si="21"/>
        <v>50674.479005679474</v>
      </c>
      <c r="CD9" s="19">
        <f t="shared" si="22"/>
        <v>9294</v>
      </c>
      <c r="CE9" s="19">
        <f t="shared" si="23"/>
        <v>30860</v>
      </c>
      <c r="CF9" s="19">
        <f t="shared" si="24"/>
        <v>66509.863514235592</v>
      </c>
      <c r="CG9" s="19">
        <f t="shared" si="25"/>
        <v>119784.22700653171</v>
      </c>
      <c r="CH9" s="770">
        <f t="shared" si="26"/>
        <v>182003.70734750619</v>
      </c>
    </row>
    <row r="10" spans="2:86" x14ac:dyDescent="0.2">
      <c r="B10" s="155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D10" s="10"/>
      <c r="CE10" s="10"/>
      <c r="CF10" s="10"/>
      <c r="CG10" s="10"/>
      <c r="CH10" s="812"/>
    </row>
    <row r="11" spans="2:86" x14ac:dyDescent="0.2">
      <c r="B11" s="208" t="s">
        <v>6</v>
      </c>
      <c r="C11" s="199">
        <f>SUM(C12:C13)</f>
        <v>5835889.0485994704</v>
      </c>
      <c r="D11" s="199">
        <f t="shared" ref="D11" si="72">SUM(D12:D13)</f>
        <v>7351091.3076656507</v>
      </c>
      <c r="E11" s="199">
        <f t="shared" ref="E11" si="73">SUM(E12:E13)</f>
        <v>8007534.3849297045</v>
      </c>
      <c r="F11" s="199">
        <f t="shared" ref="F11" si="74">SUM(F12:F13)</f>
        <v>8325240.3456979403</v>
      </c>
      <c r="G11" s="199">
        <f t="shared" ref="G11" si="75">SUM(G12:G13)</f>
        <v>5890643.803521568</v>
      </c>
      <c r="H11" s="199">
        <f t="shared" ref="H11" si="76">SUM(H12:H13)</f>
        <v>8965457.9202921651</v>
      </c>
      <c r="I11" s="199">
        <f t="shared" ref="I11" si="77">SUM(I12:I13)</f>
        <v>9604720.5683551859</v>
      </c>
      <c r="J11" s="199">
        <f t="shared" ref="J11" si="78">SUM(J12:J13)</f>
        <v>8573534.7523372415</v>
      </c>
      <c r="K11" s="199">
        <f t="shared" ref="K11" si="79">SUM(K12:K13)</f>
        <v>13880344.679999994</v>
      </c>
      <c r="L11" s="199">
        <f t="shared" ref="L11" si="80">SUM(L12:L13)</f>
        <v>12850723.21004807</v>
      </c>
      <c r="M11" s="199">
        <f t="shared" ref="M11" si="81">SUM(M12:M13)</f>
        <v>12198090.165457856</v>
      </c>
      <c r="N11" s="199">
        <f t="shared" ref="N11" si="82">SUM(N12:N13)</f>
        <v>16305036.703169426</v>
      </c>
      <c r="O11" s="199">
        <f t="shared" ref="O11" si="83">SUM(O12:O13)</f>
        <v>19921815.379999958</v>
      </c>
      <c r="P11" s="199">
        <f t="shared" ref="P11" si="84">SUM(P12:P13)</f>
        <v>22617816.909999952</v>
      </c>
      <c r="Q11" s="199">
        <f t="shared" ref="Q11" si="85">SUM(Q12:Q13)</f>
        <v>22619063.719999943</v>
      </c>
      <c r="R11" s="199">
        <f t="shared" ref="R11" si="86">SUM(R12:R13)</f>
        <v>17868119.530000001</v>
      </c>
      <c r="S11" s="199">
        <f t="shared" ref="S11" si="87">SUM(S12:S13)</f>
        <v>18387052.780000001</v>
      </c>
      <c r="T11" s="199">
        <f t="shared" ref="T11" si="88">SUM(T12:T13)</f>
        <v>22413318.419999953</v>
      </c>
      <c r="U11" s="199">
        <f t="shared" ref="U11" si="89">SUM(U12:U13)</f>
        <v>22402346.019999988</v>
      </c>
      <c r="V11" s="199">
        <f t="shared" ref="V11" si="90">SUM(V12:V13)</f>
        <v>17636289.739999983</v>
      </c>
      <c r="W11" s="199">
        <f t="shared" ref="W11" si="91">SUM(W12:W13)</f>
        <v>17197800.689999986</v>
      </c>
      <c r="X11" s="199">
        <f t="shared" ref="X11" si="92">SUM(X12:X13)</f>
        <v>23636825.42084391</v>
      </c>
      <c r="Y11" s="199">
        <f t="shared" ref="Y11" si="93">SUM(Y12:Y13)</f>
        <v>26000507.962928303</v>
      </c>
      <c r="Z11" s="199">
        <f t="shared" ref="Z11" si="94">SUM(Z12:Z13)</f>
        <v>27300533.361074716</v>
      </c>
      <c r="AA11" s="199">
        <f t="shared" ref="AA11" si="95">SUM(AA12:AA13)</f>
        <v>28665560.029128455</v>
      </c>
      <c r="AB11" s="199">
        <f t="shared" ref="AB11" si="96">SUM(AB12:AB13)</f>
        <v>30098838.030584875</v>
      </c>
      <c r="AC11" s="199">
        <f t="shared" ref="AC11" si="97">SUM(AC12:AC13)</f>
        <v>31603779.932114117</v>
      </c>
      <c r="AD11" s="199">
        <f t="shared" ref="AD11" si="98">SUM(AD12:AD13)</f>
        <v>33183968.92871983</v>
      </c>
      <c r="AE11" s="199">
        <f t="shared" ref="AE11" si="99">SUM(AE12:AE13)</f>
        <v>34843167.375155821</v>
      </c>
      <c r="AF11" s="199">
        <f t="shared" ref="AF11" si="100">SUM(AF12:AF13)</f>
        <v>36585325.743913621</v>
      </c>
      <c r="AG11" s="199">
        <f t="shared" ref="AG11" si="101">SUM(AG12:AG13)</f>
        <v>38414592.031109296</v>
      </c>
      <c r="AH11" s="199">
        <f t="shared" ref="AH11" si="102">SUM(AH12:AH13)</f>
        <v>40335321.63266477</v>
      </c>
      <c r="AI11" s="199">
        <f t="shared" ref="AI11" si="103">SUM(AI12:AI13)</f>
        <v>42352087.71429801</v>
      </c>
      <c r="AJ11" s="199">
        <f t="shared" ref="AJ11" si="104">SUM(AJ12:AJ13)</f>
        <v>46693176.705013566</v>
      </c>
      <c r="AK11" s="199">
        <f t="shared" ref="AK11" si="105">SUM(AK12:AK13)</f>
        <v>49027835.540264241</v>
      </c>
      <c r="AL11" s="199">
        <f t="shared" ref="AL11" si="106">SUM(AL12:AL13)</f>
        <v>51479227.317277461</v>
      </c>
      <c r="AM11" s="199">
        <f t="shared" ref="AM11" si="107">SUM(AM12:AM13)</f>
        <v>54053188.683141336</v>
      </c>
      <c r="AN11" s="199">
        <f t="shared" ref="AN11" si="108">SUM(AN12:AN13)</f>
        <v>56755848.117298402</v>
      </c>
      <c r="AO11" s="199">
        <f t="shared" ref="AO11" si="109">SUM(AO12:AO13)</f>
        <v>59593640.523163334</v>
      </c>
      <c r="AP11" s="199">
        <f t="shared" ref="AP11" si="110">SUM(AP12:AP13)</f>
        <v>62573322.549321495</v>
      </c>
      <c r="AQ11" s="199">
        <f t="shared" ref="AQ11" si="111">SUM(AQ12:AQ13)</f>
        <v>65701988.676787578</v>
      </c>
      <c r="AR11" s="199">
        <f t="shared" ref="AR11" si="112">SUM(AR12:AR13)</f>
        <v>68987088.110626951</v>
      </c>
      <c r="AS11" s="199">
        <f t="shared" ref="AS11" si="113">SUM(AS12:AS13)</f>
        <v>72436442.516158313</v>
      </c>
      <c r="AT11" s="199">
        <f t="shared" ref="AT11" si="114">SUM(AT12:AT13)</f>
        <v>76058264.641966239</v>
      </c>
      <c r="AU11" s="199">
        <f t="shared" ref="AU11" si="115">SUM(AU12:AU13)</f>
        <v>79861177.874064565</v>
      </c>
      <c r="AV11" s="199">
        <f t="shared" ref="AV11:BG11" si="116">SUM(AV12:AV13)</f>
        <v>81857707.320916161</v>
      </c>
      <c r="AW11" s="199">
        <f t="shared" si="116"/>
        <v>83904150.003939047</v>
      </c>
      <c r="AX11" s="199">
        <f t="shared" si="116"/>
        <v>86001753.754037514</v>
      </c>
      <c r="AY11" s="199">
        <f t="shared" si="116"/>
        <v>88151797.597888425</v>
      </c>
      <c r="AZ11" s="199">
        <f t="shared" si="116"/>
        <v>90355592.537835643</v>
      </c>
      <c r="BA11" s="199">
        <f t="shared" si="116"/>
        <v>92614482.351281524</v>
      </c>
      <c r="BB11" s="199">
        <f t="shared" si="116"/>
        <v>94929844.410063535</v>
      </c>
      <c r="BC11" s="199">
        <f t="shared" si="116"/>
        <v>97303090.520315126</v>
      </c>
      <c r="BD11" s="199">
        <f t="shared" si="116"/>
        <v>99735667.783323005</v>
      </c>
      <c r="BE11" s="199">
        <f t="shared" si="116"/>
        <v>102229059.47790606</v>
      </c>
      <c r="BF11" s="199">
        <f t="shared" si="116"/>
        <v>104784785.96485369</v>
      </c>
      <c r="BG11" s="199">
        <f t="shared" si="116"/>
        <v>107404405.61397502</v>
      </c>
      <c r="BI11" s="199">
        <v>0</v>
      </c>
      <c r="BJ11" s="199">
        <f t="shared" si="3"/>
        <v>21194514.741194826</v>
      </c>
      <c r="BK11" s="199">
        <f t="shared" si="4"/>
        <v>23181342.069511674</v>
      </c>
      <c r="BL11" s="199">
        <f t="shared" si="5"/>
        <v>32058600.00069242</v>
      </c>
      <c r="BM11" s="199">
        <f t="shared" si="6"/>
        <v>41353850.078675352</v>
      </c>
      <c r="BN11" s="199">
        <f t="shared" si="7"/>
        <v>65158696.009999856</v>
      </c>
      <c r="BO11" s="199">
        <f t="shared" si="8"/>
        <v>58668490.729999959</v>
      </c>
      <c r="BP11" s="199">
        <f t="shared" si="9"/>
        <v>57236436.449999958</v>
      </c>
      <c r="BQ11" s="199">
        <f t="shared" si="10"/>
        <v>76937866.744846925</v>
      </c>
      <c r="BR11" s="199">
        <f t="shared" si="11"/>
        <v>90368177.991827458</v>
      </c>
      <c r="BS11" s="199">
        <f t="shared" si="12"/>
        <v>104612462.04778928</v>
      </c>
      <c r="BT11" s="199">
        <f t="shared" si="13"/>
        <v>121102001.37807208</v>
      </c>
      <c r="BU11" s="199">
        <f t="shared" si="14"/>
        <v>147200239.56255525</v>
      </c>
      <c r="BV11" s="199">
        <f t="shared" si="15"/>
        <v>170402677.32360309</v>
      </c>
      <c r="BW11" s="199">
        <f t="shared" si="16"/>
        <v>197262399.33673602</v>
      </c>
      <c r="BX11" s="199">
        <f t="shared" si="17"/>
        <v>228355885.03218913</v>
      </c>
      <c r="BY11" s="199">
        <f t="shared" si="18"/>
        <v>251763611.07889271</v>
      </c>
      <c r="BZ11" s="199">
        <f t="shared" si="19"/>
        <v>271121872.48700559</v>
      </c>
      <c r="CA11" s="199">
        <f t="shared" si="20"/>
        <v>291968602.71370167</v>
      </c>
      <c r="CB11" s="199">
        <f t="shared" si="21"/>
        <v>314418251.0567348</v>
      </c>
      <c r="CD11" s="199">
        <f t="shared" si="22"/>
        <v>76434456.811398923</v>
      </c>
      <c r="CE11" s="199">
        <f t="shared" si="23"/>
        <v>222417473.26867512</v>
      </c>
      <c r="CF11" s="199">
        <f t="shared" si="24"/>
        <v>393020508.16253573</v>
      </c>
      <c r="CG11" s="199">
        <f t="shared" si="25"/>
        <v>743221201.25508356</v>
      </c>
      <c r="CH11" s="810">
        <f t="shared" si="26"/>
        <v>1129272337.3363347</v>
      </c>
    </row>
    <row r="12" spans="2:86" x14ac:dyDescent="0.2">
      <c r="B12" s="155" t="s">
        <v>221</v>
      </c>
      <c r="C12" s="19">
        <f>'P&amp;L - Inputs'!BY626</f>
        <v>944880.6981853008</v>
      </c>
      <c r="D12" s="19">
        <f>'P&amp;L - Inputs'!BZ626</f>
        <v>1112262.1870378221</v>
      </c>
      <c r="E12" s="19">
        <f>'P&amp;L - Inputs'!CA626</f>
        <v>1924367.664611944</v>
      </c>
      <c r="F12" s="19">
        <f>'P&amp;L - Inputs'!CB626</f>
        <v>1925474.1360382792</v>
      </c>
      <c r="G12" s="19">
        <f>'P&amp;L - Inputs'!CC626</f>
        <v>1424127.2533446378</v>
      </c>
      <c r="H12" s="19">
        <f>'P&amp;L - Inputs'!CD626</f>
        <v>1419100.7502921645</v>
      </c>
      <c r="I12" s="19">
        <f>'P&amp;L - Inputs'!CE626</f>
        <v>990990.51835518808</v>
      </c>
      <c r="J12" s="19">
        <f>'P&amp;L - Inputs'!CF626</f>
        <v>979721.71236371691</v>
      </c>
      <c r="K12" s="19">
        <f>'P&amp;L - Inputs'!CG626</f>
        <v>796764.03</v>
      </c>
      <c r="L12" s="19">
        <f>'P&amp;L - Inputs'!CH626</f>
        <v>675149.76004807616</v>
      </c>
      <c r="M12" s="19">
        <f>'P&amp;L - Inputs'!CI626</f>
        <v>2248065.9053640375</v>
      </c>
      <c r="N12" s="19">
        <f>'P&amp;L - Inputs'!CJ626</f>
        <v>1234478.2331694248</v>
      </c>
      <c r="O12" s="19">
        <f>'P&amp;L - Inputs'!CK626</f>
        <v>1798751.7899999996</v>
      </c>
      <c r="P12" s="19">
        <f>'P&amp;L - Inputs'!CL626</f>
        <v>2372177.5100000002</v>
      </c>
      <c r="Q12" s="19">
        <f>'P&amp;L - Inputs'!CM626</f>
        <v>2303498.3600000003</v>
      </c>
      <c r="R12" s="19">
        <f>'P&amp;L - Inputs'!CN626</f>
        <v>1670880.9099999997</v>
      </c>
      <c r="S12" s="19">
        <f>'P&amp;L - Inputs'!CO626</f>
        <v>1426458.4000000001</v>
      </c>
      <c r="T12" s="19">
        <f>'P&amp;L - Inputs'!CP626</f>
        <v>1898518.6099999999</v>
      </c>
      <c r="U12" s="19">
        <f>'P&amp;L - Inputs'!CQ626</f>
        <v>1534869.14</v>
      </c>
      <c r="V12" s="19">
        <f>'P&amp;L - Inputs'!CR626</f>
        <v>1993280.2399999998</v>
      </c>
      <c r="W12" s="19">
        <f>'P&amp;L - Inputs'!CS626</f>
        <v>1981775.7999999998</v>
      </c>
      <c r="X12" s="19">
        <f>'P&amp;L - Inputs'!CT626</f>
        <v>2001638.6440548322</v>
      </c>
      <c r="Y12" s="19">
        <f>'P&amp;L - Inputs'!CU626</f>
        <v>2201802.5084603154</v>
      </c>
      <c r="Z12" s="19">
        <f>'P&amp;L - Inputs'!CV626</f>
        <v>2311892.633883331</v>
      </c>
      <c r="AA12" s="19">
        <f>'P&amp;L - Inputs'!CW626</f>
        <v>2427487.2655774979</v>
      </c>
      <c r="AB12" s="19">
        <f>'P&amp;L - Inputs'!CX626</f>
        <v>2548861.628856373</v>
      </c>
      <c r="AC12" s="19">
        <f>'P&amp;L - Inputs'!CY626</f>
        <v>2676304.710299192</v>
      </c>
      <c r="AD12" s="19">
        <f>'P&amp;L - Inputs'!CZ626</f>
        <v>2810119.9458141518</v>
      </c>
      <c r="AE12" s="19">
        <f>'P&amp;L - Inputs'!DA626</f>
        <v>2950625.9431048594</v>
      </c>
      <c r="AF12" s="19">
        <f>'P&amp;L - Inputs'!DB626</f>
        <v>3098157.2402601028</v>
      </c>
      <c r="AG12" s="19">
        <f>'P&amp;L - Inputs'!DC626</f>
        <v>3253065.102273108</v>
      </c>
      <c r="AH12" s="19">
        <f>'P&amp;L - Inputs'!DD626</f>
        <v>3415718.3573867641</v>
      </c>
      <c r="AI12" s="19">
        <f>'P&amp;L - Inputs'!DE626</f>
        <v>3586504.2752561015</v>
      </c>
      <c r="AJ12" s="19">
        <f>'P&amp;L - Inputs'!DF626</f>
        <v>3954120.9634698527</v>
      </c>
      <c r="AK12" s="19">
        <f>'P&amp;L - Inputs'!DG626</f>
        <v>4151827.011643345</v>
      </c>
      <c r="AL12" s="19">
        <f>'P&amp;L - Inputs'!DH626</f>
        <v>4359418.362225513</v>
      </c>
      <c r="AM12" s="19">
        <f>'P&amp;L - Inputs'!DI626</f>
        <v>4577389.2803367898</v>
      </c>
      <c r="AN12" s="19">
        <f>'P&amp;L - Inputs'!DJ626</f>
        <v>4806258.7443536287</v>
      </c>
      <c r="AO12" s="19">
        <f>'P&amp;L - Inputs'!DK626</f>
        <v>5046571.6815713104</v>
      </c>
      <c r="AP12" s="19">
        <f>'P&amp;L - Inputs'!DL626</f>
        <v>5298900.2656498756</v>
      </c>
      <c r="AQ12" s="19">
        <f>'P&amp;L - Inputs'!DM626</f>
        <v>5563845.2789323702</v>
      </c>
      <c r="AR12" s="19">
        <f>'P&amp;L - Inputs'!DN626</f>
        <v>5842037.5428789891</v>
      </c>
      <c r="AS12" s="19">
        <f>'P&amp;L - Inputs'!DO626</f>
        <v>6134139.4200229384</v>
      </c>
      <c r="AT12" s="19">
        <f>'P&amp;L - Inputs'!DP626</f>
        <v>6440846.3910240857</v>
      </c>
      <c r="AU12" s="19">
        <f>'P&amp;L - Inputs'!DQ626</f>
        <v>6762888.710575291</v>
      </c>
      <c r="AV12" s="19">
        <f>'P&amp;L - Inputs'!DR626</f>
        <v>6931960.9283396723</v>
      </c>
      <c r="AW12" s="19">
        <f>'P&amp;L - Inputs'!DS626</f>
        <v>7105259.9515481647</v>
      </c>
      <c r="AX12" s="19">
        <f>'P&amp;L - Inputs'!DT626</f>
        <v>7282891.450336867</v>
      </c>
      <c r="AY12" s="19">
        <f>'P&amp;L - Inputs'!DU626</f>
        <v>7464963.7365952879</v>
      </c>
      <c r="AZ12" s="19">
        <f>'P&amp;L - Inputs'!DV626</f>
        <v>7651587.8300101701</v>
      </c>
      <c r="BA12" s="19">
        <f>'P&amp;L - Inputs'!DW626</f>
        <v>7842877.5257604225</v>
      </c>
      <c r="BB12" s="19">
        <f>'P&amp;L - Inputs'!DX626</f>
        <v>8038949.463904433</v>
      </c>
      <c r="BC12" s="19">
        <f>'P&amp;L - Inputs'!DY626</f>
        <v>8239923.2005020427</v>
      </c>
      <c r="BD12" s="19">
        <f>'P&amp;L - Inputs'!DZ626</f>
        <v>8445921.2805145942</v>
      </c>
      <c r="BE12" s="19">
        <f>'P&amp;L - Inputs'!EA626</f>
        <v>8657069.3125274573</v>
      </c>
      <c r="BF12" s="19">
        <f>'P&amp;L - Inputs'!EB626</f>
        <v>8873496.0453406405</v>
      </c>
      <c r="BG12" s="19">
        <f>'P&amp;L - Inputs'!EC626</f>
        <v>9095333.4464741554</v>
      </c>
      <c r="BI12" s="19"/>
      <c r="BJ12" s="19">
        <f t="shared" si="3"/>
        <v>3981510.5498350668</v>
      </c>
      <c r="BK12" s="19">
        <f t="shared" si="4"/>
        <v>4768702.1396750817</v>
      </c>
      <c r="BL12" s="19">
        <f t="shared" si="5"/>
        <v>2767476.2607189054</v>
      </c>
      <c r="BM12" s="19">
        <f t="shared" si="6"/>
        <v>4157693.8985815383</v>
      </c>
      <c r="BN12" s="19">
        <f t="shared" si="7"/>
        <v>6474427.6600000001</v>
      </c>
      <c r="BO12" s="19">
        <f t="shared" si="8"/>
        <v>4995857.92</v>
      </c>
      <c r="BP12" s="19">
        <f t="shared" si="9"/>
        <v>5509925.1799999997</v>
      </c>
      <c r="BQ12" s="19">
        <f t="shared" si="10"/>
        <v>6515333.7863984788</v>
      </c>
      <c r="BR12" s="19">
        <f t="shared" si="11"/>
        <v>7652653.6047330629</v>
      </c>
      <c r="BS12" s="19">
        <f t="shared" si="12"/>
        <v>8858903.1291791126</v>
      </c>
      <c r="BT12" s="19">
        <f t="shared" si="13"/>
        <v>10255287.734915974</v>
      </c>
      <c r="BU12" s="19">
        <f t="shared" si="14"/>
        <v>12465366.337338712</v>
      </c>
      <c r="BV12" s="19">
        <f t="shared" si="15"/>
        <v>14430219.70626173</v>
      </c>
      <c r="BW12" s="19">
        <f t="shared" si="16"/>
        <v>16704783.087461235</v>
      </c>
      <c r="BX12" s="19">
        <f t="shared" si="17"/>
        <v>19337874.521622315</v>
      </c>
      <c r="BY12" s="19">
        <f t="shared" si="18"/>
        <v>21320112.330224704</v>
      </c>
      <c r="BZ12" s="19">
        <f t="shared" si="19"/>
        <v>22959429.09236588</v>
      </c>
      <c r="CA12" s="19">
        <f t="shared" si="20"/>
        <v>24724793.944921069</v>
      </c>
      <c r="CB12" s="19">
        <f t="shared" si="21"/>
        <v>26625898.804342255</v>
      </c>
      <c r="CD12" s="19">
        <f t="shared" si="22"/>
        <v>11517688.950229052</v>
      </c>
      <c r="CE12" s="19">
        <f t="shared" si="23"/>
        <v>21137904.65858154</v>
      </c>
      <c r="CF12" s="19">
        <f t="shared" si="24"/>
        <v>33282178.255226627</v>
      </c>
      <c r="CG12" s="19">
        <f t="shared" si="25"/>
        <v>62938243.652683988</v>
      </c>
      <c r="CH12" s="770">
        <f t="shared" si="26"/>
        <v>95630234.171853915</v>
      </c>
    </row>
    <row r="13" spans="2:86" x14ac:dyDescent="0.2">
      <c r="B13" s="155" t="s">
        <v>222</v>
      </c>
      <c r="C13" s="19">
        <f>'P&amp;L - Inputs'!BY627</f>
        <v>4891008.35041417</v>
      </c>
      <c r="D13" s="19">
        <f>'P&amp;L - Inputs'!BZ627</f>
        <v>6238829.1206278289</v>
      </c>
      <c r="E13" s="19">
        <f>'P&amp;L - Inputs'!CA627</f>
        <v>6083166.7203177605</v>
      </c>
      <c r="F13" s="19">
        <f>'P&amp;L - Inputs'!CB627</f>
        <v>6399766.2096596612</v>
      </c>
      <c r="G13" s="19">
        <f>'P&amp;L - Inputs'!CC627</f>
        <v>4466516.5501769297</v>
      </c>
      <c r="H13" s="19">
        <f>'P&amp;L - Inputs'!CD627</f>
        <v>7546357.1700000009</v>
      </c>
      <c r="I13" s="19">
        <f>'P&amp;L - Inputs'!CE627</f>
        <v>8613730.049999997</v>
      </c>
      <c r="J13" s="19">
        <f>'P&amp;L - Inputs'!CF627</f>
        <v>7593813.0399735253</v>
      </c>
      <c r="K13" s="19">
        <f>'P&amp;L - Inputs'!CG627</f>
        <v>13083580.649999995</v>
      </c>
      <c r="L13" s="19">
        <f>'P&amp;L - Inputs'!CH627</f>
        <v>12175573.449999994</v>
      </c>
      <c r="M13" s="19">
        <f>'P&amp;L - Inputs'!CI627</f>
        <v>9950024.2600938175</v>
      </c>
      <c r="N13" s="19">
        <f>'P&amp;L - Inputs'!CJ627</f>
        <v>15070558.470000001</v>
      </c>
      <c r="O13" s="19">
        <f>'P&amp;L - Inputs'!CK627</f>
        <v>18123063.589999959</v>
      </c>
      <c r="P13" s="19">
        <f>'P&amp;L - Inputs'!CL627</f>
        <v>20245639.39999995</v>
      </c>
      <c r="Q13" s="19">
        <f>'P&amp;L - Inputs'!CM627</f>
        <v>20315565.359999944</v>
      </c>
      <c r="R13" s="19">
        <f>'P&amp;L - Inputs'!CN627</f>
        <v>16197238.620000003</v>
      </c>
      <c r="S13" s="19">
        <f>'P&amp;L - Inputs'!CO627</f>
        <v>16960594.380000003</v>
      </c>
      <c r="T13" s="19">
        <f>'P&amp;L - Inputs'!CP627</f>
        <v>20514799.809999954</v>
      </c>
      <c r="U13" s="19">
        <f>'P&amp;L - Inputs'!CQ627</f>
        <v>20867476.879999988</v>
      </c>
      <c r="V13" s="19">
        <f>'P&amp;L - Inputs'!CR627</f>
        <v>15643009.499999985</v>
      </c>
      <c r="W13" s="19">
        <f>'P&amp;L - Inputs'!CS627</f>
        <v>15216024.889999988</v>
      </c>
      <c r="X13" s="19">
        <f>'P&amp;L - Inputs'!CT627</f>
        <v>21635186.776789077</v>
      </c>
      <c r="Y13" s="19">
        <f>'P&amp;L - Inputs'!CU627</f>
        <v>23798705.454467986</v>
      </c>
      <c r="Z13" s="19">
        <f>'P&amp;L - Inputs'!CV627</f>
        <v>24988640.727191385</v>
      </c>
      <c r="AA13" s="19">
        <f>'P&amp;L - Inputs'!CW627</f>
        <v>26238072.763550956</v>
      </c>
      <c r="AB13" s="19">
        <f>'P&amp;L - Inputs'!CX627</f>
        <v>27549976.401728503</v>
      </c>
      <c r="AC13" s="19">
        <f>'P&amp;L - Inputs'!CY627</f>
        <v>28927475.221814927</v>
      </c>
      <c r="AD13" s="19">
        <f>'P&amp;L - Inputs'!CZ627</f>
        <v>30373848.982905678</v>
      </c>
      <c r="AE13" s="19">
        <f>'P&amp;L - Inputs'!DA627</f>
        <v>31892541.432050962</v>
      </c>
      <c r="AF13" s="19">
        <f>'P&amp;L - Inputs'!DB627</f>
        <v>33487168.503653515</v>
      </c>
      <c r="AG13" s="19">
        <f>'P&amp;L - Inputs'!DC627</f>
        <v>35161526.928836189</v>
      </c>
      <c r="AH13" s="19">
        <f>'P&amp;L - Inputs'!DD627</f>
        <v>36919603.275278002</v>
      </c>
      <c r="AI13" s="19">
        <f>'P&amp;L - Inputs'!DE627</f>
        <v>38765583.439041905</v>
      </c>
      <c r="AJ13" s="19">
        <f>'P&amp;L - Inputs'!DF627</f>
        <v>42739055.74154371</v>
      </c>
      <c r="AK13" s="19">
        <f>'P&amp;L - Inputs'!DG627</f>
        <v>44876008.528620899</v>
      </c>
      <c r="AL13" s="19">
        <f>'P&amp;L - Inputs'!DH627</f>
        <v>47119808.955051951</v>
      </c>
      <c r="AM13" s="19">
        <f>'P&amp;L - Inputs'!DI627</f>
        <v>49475799.402804546</v>
      </c>
      <c r="AN13" s="19">
        <f>'P&amp;L - Inputs'!DJ627</f>
        <v>51949589.372944772</v>
      </c>
      <c r="AO13" s="19">
        <f>'P&amp;L - Inputs'!DK627</f>
        <v>54547068.841592021</v>
      </c>
      <c r="AP13" s="19">
        <f>'P&amp;L - Inputs'!DL627</f>
        <v>57274422.283671618</v>
      </c>
      <c r="AQ13" s="19">
        <f>'P&amp;L - Inputs'!DM627</f>
        <v>60138143.397855207</v>
      </c>
      <c r="AR13" s="19">
        <f>'P&amp;L - Inputs'!DN627</f>
        <v>63145050.567747965</v>
      </c>
      <c r="AS13" s="19">
        <f>'P&amp;L - Inputs'!DO627</f>
        <v>66302303.096135378</v>
      </c>
      <c r="AT13" s="19">
        <f>'P&amp;L - Inputs'!DP627</f>
        <v>69617418.250942156</v>
      </c>
      <c r="AU13" s="19">
        <f>'P&amp;L - Inputs'!DQ627</f>
        <v>73098289.163489267</v>
      </c>
      <c r="AV13" s="19">
        <f>'P&amp;L - Inputs'!DR627</f>
        <v>74925746.392576486</v>
      </c>
      <c r="AW13" s="19">
        <f>'P&amp;L - Inputs'!DS627</f>
        <v>76798890.052390888</v>
      </c>
      <c r="AX13" s="19">
        <f>'P&amp;L - Inputs'!DT627</f>
        <v>78718862.303700641</v>
      </c>
      <c r="AY13" s="19">
        <f>'P&amp;L - Inputs'!DU627</f>
        <v>80686833.861293137</v>
      </c>
      <c r="AZ13" s="19">
        <f>'P&amp;L - Inputs'!DV627</f>
        <v>82704004.707825467</v>
      </c>
      <c r="BA13" s="19">
        <f>'P&amp;L - Inputs'!DW627</f>
        <v>84771604.825521097</v>
      </c>
      <c r="BB13" s="19">
        <f>'P&amp;L - Inputs'!DX627</f>
        <v>86890894.946159109</v>
      </c>
      <c r="BC13" s="19">
        <f>'P&amp;L - Inputs'!DY627</f>
        <v>89063167.319813088</v>
      </c>
      <c r="BD13" s="19">
        <f>'P&amp;L - Inputs'!DZ627</f>
        <v>91289746.502808407</v>
      </c>
      <c r="BE13" s="19">
        <f>'P&amp;L - Inputs'!EA627</f>
        <v>93571990.1653786</v>
      </c>
      <c r="BF13" s="19">
        <f>'P&amp;L - Inputs'!EB627</f>
        <v>95911289.919513047</v>
      </c>
      <c r="BG13" s="19">
        <f>'P&amp;L - Inputs'!EC627</f>
        <v>98309072.167500868</v>
      </c>
      <c r="BI13" s="19">
        <v>0</v>
      </c>
      <c r="BJ13" s="19">
        <f t="shared" si="3"/>
        <v>17213004.191359758</v>
      </c>
      <c r="BK13" s="19">
        <f t="shared" si="4"/>
        <v>18412639.929836594</v>
      </c>
      <c r="BL13" s="19">
        <f t="shared" si="5"/>
        <v>29291123.739973515</v>
      </c>
      <c r="BM13" s="19">
        <f t="shared" si="6"/>
        <v>37196156.18009381</v>
      </c>
      <c r="BN13" s="19">
        <f t="shared" si="7"/>
        <v>58684268.349999845</v>
      </c>
      <c r="BO13" s="19">
        <f t="shared" si="8"/>
        <v>53672632.809999958</v>
      </c>
      <c r="BP13" s="19">
        <f t="shared" si="9"/>
        <v>51726511.269999959</v>
      </c>
      <c r="BQ13" s="19">
        <f t="shared" si="10"/>
        <v>70422532.958448455</v>
      </c>
      <c r="BR13" s="19">
        <f t="shared" si="11"/>
        <v>82715524.387094393</v>
      </c>
      <c r="BS13" s="19">
        <f t="shared" si="12"/>
        <v>95753558.918610156</v>
      </c>
      <c r="BT13" s="19">
        <f t="shared" si="13"/>
        <v>110846713.64315611</v>
      </c>
      <c r="BU13" s="19">
        <f t="shared" si="14"/>
        <v>134734873.22521657</v>
      </c>
      <c r="BV13" s="19">
        <f t="shared" si="15"/>
        <v>155972457.61734134</v>
      </c>
      <c r="BW13" s="19">
        <f t="shared" si="16"/>
        <v>180557616.24927479</v>
      </c>
      <c r="BX13" s="19">
        <f t="shared" si="17"/>
        <v>209018010.51056683</v>
      </c>
      <c r="BY13" s="19">
        <f t="shared" si="18"/>
        <v>230443498.74866802</v>
      </c>
      <c r="BZ13" s="19">
        <f t="shared" si="19"/>
        <v>248162443.39463973</v>
      </c>
      <c r="CA13" s="19">
        <f t="shared" si="20"/>
        <v>267243808.76878059</v>
      </c>
      <c r="CB13" s="19">
        <f t="shared" si="21"/>
        <v>287792352.25239253</v>
      </c>
      <c r="CD13" s="19">
        <f t="shared" si="22"/>
        <v>64916767.861169867</v>
      </c>
      <c r="CE13" s="19">
        <f t="shared" si="23"/>
        <v>201279568.61009356</v>
      </c>
      <c r="CF13" s="19">
        <f t="shared" si="24"/>
        <v>359738329.90730911</v>
      </c>
      <c r="CG13" s="19">
        <f t="shared" si="25"/>
        <v>680282957.60239959</v>
      </c>
      <c r="CH13" s="770">
        <f t="shared" si="26"/>
        <v>1033642103.1644809</v>
      </c>
    </row>
    <row r="14" spans="2:86" x14ac:dyDescent="0.2">
      <c r="B14" s="15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D14" s="10"/>
      <c r="CE14" s="10"/>
      <c r="CF14" s="10"/>
      <c r="CG14" s="10"/>
      <c r="CH14" s="812"/>
    </row>
    <row r="15" spans="2:86" x14ac:dyDescent="0.2">
      <c r="B15" s="159" t="s">
        <v>5</v>
      </c>
      <c r="C15" s="158">
        <f>SUM(C16:C17)</f>
        <v>196</v>
      </c>
      <c r="D15" s="158">
        <f t="shared" ref="D15" si="117">SUM(D16:D17)</f>
        <v>250</v>
      </c>
      <c r="E15" s="158">
        <f t="shared" ref="E15" si="118">SUM(E16:E17)</f>
        <v>296</v>
      </c>
      <c r="F15" s="158">
        <f t="shared" ref="F15" si="119">SUM(F16:F17)</f>
        <v>331</v>
      </c>
      <c r="G15" s="158">
        <f t="shared" ref="G15" si="120">SUM(G16:G17)</f>
        <v>235</v>
      </c>
      <c r="H15" s="158">
        <f t="shared" ref="H15" si="121">SUM(H16:H17)</f>
        <v>339</v>
      </c>
      <c r="I15" s="158">
        <f t="shared" ref="I15" si="122">SUM(I16:I17)</f>
        <v>353</v>
      </c>
      <c r="J15" s="158">
        <f t="shared" ref="J15" si="123">SUM(J16:J17)</f>
        <v>337</v>
      </c>
      <c r="K15" s="158">
        <f t="shared" ref="K15" si="124">SUM(K16:K17)</f>
        <v>396</v>
      </c>
      <c r="L15" s="158">
        <f t="shared" ref="L15" si="125">SUM(L16:L17)</f>
        <v>423</v>
      </c>
      <c r="M15" s="158">
        <f t="shared" ref="M15" si="126">SUM(M16:M17)</f>
        <v>410</v>
      </c>
      <c r="N15" s="158">
        <f t="shared" ref="N15" si="127">SUM(N16:N17)</f>
        <v>600</v>
      </c>
      <c r="O15" s="158">
        <f t="shared" ref="O15" si="128">SUM(O16:O17)</f>
        <v>708</v>
      </c>
      <c r="P15" s="158">
        <f t="shared" ref="P15" si="129">SUM(P16:P17)</f>
        <v>735</v>
      </c>
      <c r="Q15" s="158">
        <f t="shared" ref="Q15" si="130">SUM(Q16:Q17)</f>
        <v>817</v>
      </c>
      <c r="R15" s="158">
        <f t="shared" ref="R15" si="131">SUM(R16:R17)</f>
        <v>658</v>
      </c>
      <c r="S15" s="158">
        <f t="shared" ref="S15" si="132">SUM(S16:S17)</f>
        <v>696</v>
      </c>
      <c r="T15" s="158">
        <f t="shared" ref="T15" si="133">SUM(T16:T17)</f>
        <v>828</v>
      </c>
      <c r="U15" s="158">
        <f t="shared" ref="U15" si="134">SUM(U16:U17)</f>
        <v>776</v>
      </c>
      <c r="V15" s="158">
        <f t="shared" ref="V15" si="135">SUM(V16:V17)</f>
        <v>603</v>
      </c>
      <c r="W15" s="158">
        <f t="shared" ref="W15" si="136">SUM(W16:W17)</f>
        <v>589</v>
      </c>
      <c r="X15" s="158">
        <f t="shared" ref="X15" si="137">SUM(X16:X17)</f>
        <v>961.23768939449781</v>
      </c>
      <c r="Y15" s="158">
        <f t="shared" ref="Y15" si="138">SUM(Y16:Y17)</f>
        <v>1057.3614583339477</v>
      </c>
      <c r="Z15" s="158">
        <f t="shared" ref="Z15" si="139">SUM(Z16:Z17)</f>
        <v>1110.2295312506449</v>
      </c>
      <c r="AA15" s="158">
        <f t="shared" ref="AA15" si="140">SUM(AA16:AA17)</f>
        <v>1165.741007813177</v>
      </c>
      <c r="AB15" s="158">
        <f t="shared" ref="AB15" si="141">SUM(AB16:AB17)</f>
        <v>1224.0280582038361</v>
      </c>
      <c r="AC15" s="158">
        <f t="shared" ref="AC15" si="142">SUM(AC16:AC17)</f>
        <v>1285.2294611140278</v>
      </c>
      <c r="AD15" s="158">
        <f t="shared" ref="AD15" si="143">SUM(AD16:AD17)</f>
        <v>1349.4909341697294</v>
      </c>
      <c r="AE15" s="158">
        <f t="shared" ref="AE15" si="144">SUM(AE16:AE17)</f>
        <v>1416.9654808782157</v>
      </c>
      <c r="AF15" s="158">
        <f t="shared" ref="AF15" si="145">SUM(AF16:AF17)</f>
        <v>1487.8137549221267</v>
      </c>
      <c r="AG15" s="158">
        <f t="shared" ref="AG15" si="146">SUM(AG16:AG17)</f>
        <v>1562.2044426682332</v>
      </c>
      <c r="AH15" s="158">
        <f t="shared" ref="AH15" si="147">SUM(AH16:AH17)</f>
        <v>1640.314664801645</v>
      </c>
      <c r="AI15" s="158">
        <f t="shared" ref="AI15" si="148">SUM(AI16:AI17)</f>
        <v>1722.3303980417274</v>
      </c>
      <c r="AJ15" s="158">
        <f t="shared" ref="AJ15" si="149">SUM(AJ16:AJ17)</f>
        <v>1808.4469179438136</v>
      </c>
      <c r="AK15" s="158">
        <f t="shared" ref="AK15" si="150">SUM(AK16:AK17)</f>
        <v>1898.8692638410043</v>
      </c>
      <c r="AL15" s="158">
        <f t="shared" ref="AL15" si="151">SUM(AL16:AL17)</f>
        <v>1993.8127270330547</v>
      </c>
      <c r="AM15" s="158">
        <f t="shared" ref="AM15" si="152">SUM(AM16:AM17)</f>
        <v>2093.5033633847079</v>
      </c>
      <c r="AN15" s="158">
        <f t="shared" ref="AN15" si="153">SUM(AN16:AN17)</f>
        <v>2198.1785315539432</v>
      </c>
      <c r="AO15" s="158">
        <f t="shared" ref="AO15" si="154">SUM(AO16:AO17)</f>
        <v>2308.0874581316402</v>
      </c>
      <c r="AP15" s="158">
        <f t="shared" ref="AP15" si="155">SUM(AP16:AP17)</f>
        <v>2423.4918310382227</v>
      </c>
      <c r="AQ15" s="158">
        <f t="shared" ref="AQ15" si="156">SUM(AQ16:AQ17)</f>
        <v>2544.6664225901341</v>
      </c>
      <c r="AR15" s="158">
        <f t="shared" ref="AR15" si="157">SUM(AR16:AR17)</f>
        <v>2671.8997437196404</v>
      </c>
      <c r="AS15" s="158">
        <f t="shared" ref="AS15" si="158">SUM(AS16:AS17)</f>
        <v>2805.4947309056229</v>
      </c>
      <c r="AT15" s="158">
        <f t="shared" ref="AT15" si="159">SUM(AT16:AT17)</f>
        <v>2945.7694674509039</v>
      </c>
      <c r="AU15" s="158">
        <f t="shared" ref="AU15" si="160">SUM(AU16:AU17)</f>
        <v>3093.0579408234494</v>
      </c>
      <c r="AV15" s="158">
        <f t="shared" ref="AV15:BG15" si="161">SUM(AV16:AV17)</f>
        <v>3170.3843893440353</v>
      </c>
      <c r="AW15" s="158">
        <f t="shared" si="161"/>
        <v>3249.6439990776362</v>
      </c>
      <c r="AX15" s="158">
        <f t="shared" si="161"/>
        <v>3330.8850990545766</v>
      </c>
      <c r="AY15" s="158">
        <f t="shared" si="161"/>
        <v>3414.1572265309405</v>
      </c>
      <c r="AZ15" s="158">
        <f t="shared" si="161"/>
        <v>3499.5111571942139</v>
      </c>
      <c r="BA15" s="158">
        <f t="shared" si="161"/>
        <v>3586.9989361240687</v>
      </c>
      <c r="BB15" s="158">
        <f t="shared" si="161"/>
        <v>3676.6739095271701</v>
      </c>
      <c r="BC15" s="158">
        <f t="shared" si="161"/>
        <v>3768.5907572653491</v>
      </c>
      <c r="BD15" s="158">
        <f t="shared" si="161"/>
        <v>3862.805526196983</v>
      </c>
      <c r="BE15" s="158">
        <f t="shared" si="161"/>
        <v>3959.3756643519068</v>
      </c>
      <c r="BF15" s="158">
        <f t="shared" si="161"/>
        <v>4058.3600559607034</v>
      </c>
      <c r="BG15" s="158">
        <f t="shared" si="161"/>
        <v>4159.8190573597203</v>
      </c>
      <c r="BI15" s="158">
        <v>0</v>
      </c>
      <c r="BJ15" s="158">
        <f t="shared" si="3"/>
        <v>742</v>
      </c>
      <c r="BK15" s="158">
        <f t="shared" si="4"/>
        <v>905</v>
      </c>
      <c r="BL15" s="158">
        <f t="shared" si="5"/>
        <v>1086</v>
      </c>
      <c r="BM15" s="158">
        <f t="shared" si="6"/>
        <v>1433</v>
      </c>
      <c r="BN15" s="158">
        <f t="shared" si="7"/>
        <v>2260</v>
      </c>
      <c r="BO15" s="158">
        <f t="shared" si="8"/>
        <v>2182</v>
      </c>
      <c r="BP15" s="158">
        <f t="shared" si="9"/>
        <v>1968</v>
      </c>
      <c r="BQ15" s="158">
        <f t="shared" si="10"/>
        <v>3128.8286789790905</v>
      </c>
      <c r="BR15" s="158">
        <f t="shared" si="11"/>
        <v>3674.9985271310406</v>
      </c>
      <c r="BS15" s="158">
        <f t="shared" si="12"/>
        <v>4254.2701699700719</v>
      </c>
      <c r="BT15" s="158">
        <f t="shared" si="13"/>
        <v>4924.8495055116055</v>
      </c>
      <c r="BU15" s="158">
        <f t="shared" si="14"/>
        <v>5701.1289088178728</v>
      </c>
      <c r="BV15" s="158">
        <f t="shared" si="15"/>
        <v>6599.7693530702909</v>
      </c>
      <c r="BW15" s="158">
        <f t="shared" si="16"/>
        <v>7640.0579973479971</v>
      </c>
      <c r="BX15" s="158">
        <f t="shared" si="17"/>
        <v>8844.3221391799761</v>
      </c>
      <c r="BY15" s="158">
        <f t="shared" si="18"/>
        <v>9750.9134874762476</v>
      </c>
      <c r="BZ15" s="158">
        <f t="shared" si="19"/>
        <v>10500.667319849224</v>
      </c>
      <c r="CA15" s="158">
        <f t="shared" si="20"/>
        <v>11308.070192989502</v>
      </c>
      <c r="CB15" s="158">
        <f t="shared" si="21"/>
        <v>12177.554777672331</v>
      </c>
      <c r="CD15" s="158">
        <f t="shared" si="22"/>
        <v>2733</v>
      </c>
      <c r="CE15" s="158">
        <f t="shared" si="23"/>
        <v>7843</v>
      </c>
      <c r="CF15" s="158">
        <f t="shared" si="24"/>
        <v>15982.946881591808</v>
      </c>
      <c r="CG15" s="158">
        <f t="shared" si="25"/>
        <v>28785.278398416136</v>
      </c>
      <c r="CH15" s="780">
        <f t="shared" si="26"/>
        <v>43737.205777987307</v>
      </c>
    </row>
    <row r="16" spans="2:86" x14ac:dyDescent="0.2">
      <c r="B16" s="155" t="s">
        <v>221</v>
      </c>
      <c r="C16" s="19">
        <f>'P&amp;L - Inputs'!BY630</f>
        <v>53</v>
      </c>
      <c r="D16" s="19">
        <f>'P&amp;L - Inputs'!BZ630</f>
        <v>61</v>
      </c>
      <c r="E16" s="19">
        <f>'P&amp;L - Inputs'!CA630</f>
        <v>130</v>
      </c>
      <c r="F16" s="19">
        <f>'P&amp;L - Inputs'!CB630</f>
        <v>153</v>
      </c>
      <c r="G16" s="19">
        <f>'P&amp;L - Inputs'!CC630</f>
        <v>111</v>
      </c>
      <c r="H16" s="19">
        <f>'P&amp;L - Inputs'!CD630</f>
        <v>115</v>
      </c>
      <c r="I16" s="19">
        <f>'P&amp;L - Inputs'!CE630</f>
        <v>87</v>
      </c>
      <c r="J16" s="19">
        <f>'P&amp;L - Inputs'!CF630</f>
        <v>73</v>
      </c>
      <c r="K16" s="19">
        <f>'P&amp;L - Inputs'!CG630</f>
        <v>66</v>
      </c>
      <c r="L16" s="19">
        <f>'P&amp;L - Inputs'!CH630</f>
        <v>60</v>
      </c>
      <c r="M16" s="19">
        <f>'P&amp;L - Inputs'!CI630</f>
        <v>106</v>
      </c>
      <c r="N16" s="19">
        <f>'P&amp;L - Inputs'!CJ630</f>
        <v>114</v>
      </c>
      <c r="O16" s="19">
        <f>'P&amp;L - Inputs'!CK630</f>
        <v>161</v>
      </c>
      <c r="P16" s="19">
        <f>'P&amp;L - Inputs'!CL630</f>
        <v>143</v>
      </c>
      <c r="Q16" s="19">
        <f>'P&amp;L - Inputs'!CM630</f>
        <v>185</v>
      </c>
      <c r="R16" s="19">
        <f>'P&amp;L - Inputs'!CN630</f>
        <v>136</v>
      </c>
      <c r="S16" s="19">
        <f>'P&amp;L - Inputs'!CO630</f>
        <v>114</v>
      </c>
      <c r="T16" s="19">
        <f>'P&amp;L - Inputs'!CP630</f>
        <v>121</v>
      </c>
      <c r="U16" s="19">
        <f>'P&amp;L - Inputs'!CQ630</f>
        <v>110</v>
      </c>
      <c r="V16" s="19">
        <f>'P&amp;L - Inputs'!CR630</f>
        <v>119</v>
      </c>
      <c r="W16" s="19">
        <f>'P&amp;L - Inputs'!CS630</f>
        <v>148</v>
      </c>
      <c r="X16" s="19">
        <f>'P&amp;L - Inputs'!CT630</f>
        <v>132.6939116569022</v>
      </c>
      <c r="Y16" s="19">
        <f>'P&amp;L - Inputs'!CU630</f>
        <v>145.96330282259242</v>
      </c>
      <c r="Z16" s="19">
        <f>'P&amp;L - Inputs'!CV630</f>
        <v>153.26146796372203</v>
      </c>
      <c r="AA16" s="19">
        <f>'P&amp;L - Inputs'!CW630</f>
        <v>160.92454136190813</v>
      </c>
      <c r="AB16" s="19">
        <f>'P&amp;L - Inputs'!CX630</f>
        <v>168.97076843000355</v>
      </c>
      <c r="AC16" s="19">
        <f>'P&amp;L - Inputs'!CY630</f>
        <v>177.41930685150373</v>
      </c>
      <c r="AD16" s="19">
        <f>'P&amp;L - Inputs'!CZ630</f>
        <v>186.29027219407894</v>
      </c>
      <c r="AE16" s="19">
        <f>'P&amp;L - Inputs'!DA630</f>
        <v>195.60478580378287</v>
      </c>
      <c r="AF16" s="19">
        <f>'P&amp;L - Inputs'!DB630</f>
        <v>205.38502509397205</v>
      </c>
      <c r="AG16" s="19">
        <f>'P&amp;L - Inputs'!DC630</f>
        <v>215.65427634867066</v>
      </c>
      <c r="AH16" s="19">
        <f>'P&amp;L - Inputs'!DD630</f>
        <v>226.43699016610421</v>
      </c>
      <c r="AI16" s="19">
        <f>'P&amp;L - Inputs'!DE630</f>
        <v>237.75883967440942</v>
      </c>
      <c r="AJ16" s="19">
        <f>'P&amp;L - Inputs'!DF630</f>
        <v>249.6467816581299</v>
      </c>
      <c r="AK16" s="19">
        <f>'P&amp;L - Inputs'!DG630</f>
        <v>262.12912074103639</v>
      </c>
      <c r="AL16" s="19">
        <f>'P&amp;L - Inputs'!DH630</f>
        <v>275.23557677808822</v>
      </c>
      <c r="AM16" s="19">
        <f>'P&amp;L - Inputs'!DI630</f>
        <v>288.99735561699265</v>
      </c>
      <c r="AN16" s="19">
        <f>'P&amp;L - Inputs'!DJ630</f>
        <v>303.44722339784232</v>
      </c>
      <c r="AO16" s="19">
        <f>'P&amp;L - Inputs'!DK630</f>
        <v>318.61958456773442</v>
      </c>
      <c r="AP16" s="19">
        <f>'P&amp;L - Inputs'!DL630</f>
        <v>334.5505637961212</v>
      </c>
      <c r="AQ16" s="19">
        <f>'P&amp;L - Inputs'!DM630</f>
        <v>351.27809198592723</v>
      </c>
      <c r="AR16" s="19">
        <f>'P&amp;L - Inputs'!DN630</f>
        <v>368.84199658522363</v>
      </c>
      <c r="AS16" s="19">
        <f>'P&amp;L - Inputs'!DO630</f>
        <v>387.28409641448485</v>
      </c>
      <c r="AT16" s="19">
        <f>'P&amp;L - Inputs'!DP630</f>
        <v>406.64830123520909</v>
      </c>
      <c r="AU16" s="19">
        <f>'P&amp;L - Inputs'!DQ630</f>
        <v>426.9807162969696</v>
      </c>
      <c r="AV16" s="19">
        <f>'P&amp;L - Inputs'!DR630</f>
        <v>437.65523420439382</v>
      </c>
      <c r="AW16" s="19">
        <f>'P&amp;L - Inputs'!DS630</f>
        <v>448.59661505950362</v>
      </c>
      <c r="AX16" s="19">
        <f>'P&amp;L - Inputs'!DT630</f>
        <v>459.81153043599113</v>
      </c>
      <c r="AY16" s="19">
        <f>'P&amp;L - Inputs'!DU630</f>
        <v>471.30681869689084</v>
      </c>
      <c r="AZ16" s="19">
        <f>'P&amp;L - Inputs'!DV630</f>
        <v>483.08948916431308</v>
      </c>
      <c r="BA16" s="19">
        <f>'P&amp;L - Inputs'!DW630</f>
        <v>495.16672639342084</v>
      </c>
      <c r="BB16" s="19">
        <f>'P&amp;L - Inputs'!DX630</f>
        <v>507.54589455325635</v>
      </c>
      <c r="BC16" s="19">
        <f>'P&amp;L - Inputs'!DY630</f>
        <v>520.23454191708777</v>
      </c>
      <c r="BD16" s="19">
        <f>'P&amp;L - Inputs'!DZ630</f>
        <v>533.24040546501487</v>
      </c>
      <c r="BE16" s="19">
        <f>'P&amp;L - Inputs'!EA630</f>
        <v>546.57141560164018</v>
      </c>
      <c r="BF16" s="19">
        <f>'P&amp;L - Inputs'!EB630</f>
        <v>560.23570099168103</v>
      </c>
      <c r="BG16" s="19">
        <f>'P&amp;L - Inputs'!EC630</f>
        <v>574.24159351647302</v>
      </c>
      <c r="BI16" s="19"/>
      <c r="BJ16" s="19">
        <f t="shared" si="3"/>
        <v>244</v>
      </c>
      <c r="BK16" s="19">
        <f t="shared" si="4"/>
        <v>379</v>
      </c>
      <c r="BL16" s="19">
        <f t="shared" si="5"/>
        <v>226</v>
      </c>
      <c r="BM16" s="19">
        <f t="shared" si="6"/>
        <v>280</v>
      </c>
      <c r="BN16" s="19">
        <f t="shared" si="7"/>
        <v>489</v>
      </c>
      <c r="BO16" s="19">
        <f t="shared" si="8"/>
        <v>371</v>
      </c>
      <c r="BP16" s="19">
        <f t="shared" si="9"/>
        <v>377</v>
      </c>
      <c r="BQ16" s="19">
        <f t="shared" si="10"/>
        <v>431.91868244321665</v>
      </c>
      <c r="BR16" s="19">
        <f t="shared" si="11"/>
        <v>507.31461664341543</v>
      </c>
      <c r="BS16" s="19">
        <f t="shared" si="12"/>
        <v>587.28008309183383</v>
      </c>
      <c r="BT16" s="19">
        <f t="shared" si="13"/>
        <v>679.85010618918432</v>
      </c>
      <c r="BU16" s="19">
        <f t="shared" si="14"/>
        <v>787.0114791772545</v>
      </c>
      <c r="BV16" s="19">
        <f t="shared" si="15"/>
        <v>911.06416358256934</v>
      </c>
      <c r="BW16" s="19">
        <f t="shared" si="16"/>
        <v>1054.6706523672719</v>
      </c>
      <c r="BX16" s="19">
        <f t="shared" si="17"/>
        <v>1220.9131139466635</v>
      </c>
      <c r="BY16" s="19">
        <f t="shared" si="18"/>
        <v>1346.0633796998886</v>
      </c>
      <c r="BZ16" s="19">
        <f t="shared" si="19"/>
        <v>1449.5630342546247</v>
      </c>
      <c r="CA16" s="19">
        <f t="shared" si="20"/>
        <v>1561.0208419353589</v>
      </c>
      <c r="CB16" s="19">
        <f t="shared" si="21"/>
        <v>1681.0487101097942</v>
      </c>
      <c r="CD16" s="19">
        <f t="shared" si="22"/>
        <v>849</v>
      </c>
      <c r="CE16" s="19">
        <f t="shared" si="23"/>
        <v>1517</v>
      </c>
      <c r="CF16" s="19">
        <f t="shared" si="24"/>
        <v>2206.3634883676505</v>
      </c>
      <c r="CG16" s="19">
        <f t="shared" si="25"/>
        <v>3973.6594090737594</v>
      </c>
      <c r="CH16" s="770">
        <f t="shared" si="26"/>
        <v>6037.6959659996664</v>
      </c>
    </row>
    <row r="17" spans="2:86" x14ac:dyDescent="0.2">
      <c r="B17" s="155" t="s">
        <v>222</v>
      </c>
      <c r="C17" s="19">
        <f>'P&amp;L - Inputs'!BY631</f>
        <v>143</v>
      </c>
      <c r="D17" s="19">
        <f>'P&amp;L - Inputs'!BZ631</f>
        <v>189</v>
      </c>
      <c r="E17" s="19">
        <f>'P&amp;L - Inputs'!CA631</f>
        <v>166</v>
      </c>
      <c r="F17" s="19">
        <f>'P&amp;L - Inputs'!CB631</f>
        <v>178</v>
      </c>
      <c r="G17" s="19">
        <f>'P&amp;L - Inputs'!CC631</f>
        <v>124</v>
      </c>
      <c r="H17" s="19">
        <f>'P&amp;L - Inputs'!CD631</f>
        <v>224</v>
      </c>
      <c r="I17" s="19">
        <f>'P&amp;L - Inputs'!CE631</f>
        <v>266</v>
      </c>
      <c r="J17" s="19">
        <f>'P&amp;L - Inputs'!CF631</f>
        <v>264</v>
      </c>
      <c r="K17" s="19">
        <f>'P&amp;L - Inputs'!CG631</f>
        <v>330</v>
      </c>
      <c r="L17" s="19">
        <f>'P&amp;L - Inputs'!CH631</f>
        <v>363</v>
      </c>
      <c r="M17" s="19">
        <f>'P&amp;L - Inputs'!CI631</f>
        <v>304</v>
      </c>
      <c r="N17" s="19">
        <f>'P&amp;L - Inputs'!CJ631</f>
        <v>486</v>
      </c>
      <c r="O17" s="19">
        <f>'P&amp;L - Inputs'!CK631</f>
        <v>547</v>
      </c>
      <c r="P17" s="19">
        <f>'P&amp;L - Inputs'!CL631</f>
        <v>592</v>
      </c>
      <c r="Q17" s="19">
        <f>'P&amp;L - Inputs'!CM631</f>
        <v>632</v>
      </c>
      <c r="R17" s="19">
        <f>'P&amp;L - Inputs'!CN631</f>
        <v>522</v>
      </c>
      <c r="S17" s="19">
        <f>'P&amp;L - Inputs'!CO631</f>
        <v>582</v>
      </c>
      <c r="T17" s="19">
        <f>'P&amp;L - Inputs'!CP631</f>
        <v>707</v>
      </c>
      <c r="U17" s="19">
        <f>'P&amp;L - Inputs'!CQ631</f>
        <v>666</v>
      </c>
      <c r="V17" s="19">
        <f>'P&amp;L - Inputs'!CR631</f>
        <v>484</v>
      </c>
      <c r="W17" s="19">
        <f>'P&amp;L - Inputs'!CS631</f>
        <v>441</v>
      </c>
      <c r="X17" s="19">
        <f>'P&amp;L - Inputs'!CT631</f>
        <v>828.54377773759563</v>
      </c>
      <c r="Y17" s="19">
        <f>'P&amp;L - Inputs'!CU631</f>
        <v>911.39815551135518</v>
      </c>
      <c r="Z17" s="19">
        <f>'P&amp;L - Inputs'!CV631</f>
        <v>956.96806328692287</v>
      </c>
      <c r="AA17" s="19">
        <f>'P&amp;L - Inputs'!CW631</f>
        <v>1004.816466451269</v>
      </c>
      <c r="AB17" s="19">
        <f>'P&amp;L - Inputs'!CX631</f>
        <v>1055.0572897738325</v>
      </c>
      <c r="AC17" s="19">
        <f>'P&amp;L - Inputs'!CY631</f>
        <v>1107.8101542625241</v>
      </c>
      <c r="AD17" s="19">
        <f>'P&amp;L - Inputs'!CZ631</f>
        <v>1163.2006619756505</v>
      </c>
      <c r="AE17" s="19">
        <f>'P&amp;L - Inputs'!DA631</f>
        <v>1221.3606950744329</v>
      </c>
      <c r="AF17" s="19">
        <f>'P&amp;L - Inputs'!DB631</f>
        <v>1282.4287298281547</v>
      </c>
      <c r="AG17" s="19">
        <f>'P&amp;L - Inputs'!DC631</f>
        <v>1346.5501663195625</v>
      </c>
      <c r="AH17" s="19">
        <f>'P&amp;L - Inputs'!DD631</f>
        <v>1413.8776746355409</v>
      </c>
      <c r="AI17" s="19">
        <f>'P&amp;L - Inputs'!DE631</f>
        <v>1484.5715583673179</v>
      </c>
      <c r="AJ17" s="19">
        <f>'P&amp;L - Inputs'!DF631</f>
        <v>1558.8001362856837</v>
      </c>
      <c r="AK17" s="19">
        <f>'P&amp;L - Inputs'!DG631</f>
        <v>1636.740143099968</v>
      </c>
      <c r="AL17" s="19">
        <f>'P&amp;L - Inputs'!DH631</f>
        <v>1718.5771502549665</v>
      </c>
      <c r="AM17" s="19">
        <f>'P&amp;L - Inputs'!DI631</f>
        <v>1804.5060077677151</v>
      </c>
      <c r="AN17" s="19">
        <f>'P&amp;L - Inputs'!DJ631</f>
        <v>1894.7313081561008</v>
      </c>
      <c r="AO17" s="19">
        <f>'P&amp;L - Inputs'!DK631</f>
        <v>1989.4678735639059</v>
      </c>
      <c r="AP17" s="19">
        <f>'P&amp;L - Inputs'!DL631</f>
        <v>2088.9412672421013</v>
      </c>
      <c r="AQ17" s="19">
        <f>'P&amp;L - Inputs'!DM631</f>
        <v>2193.3883306042067</v>
      </c>
      <c r="AR17" s="19">
        <f>'P&amp;L - Inputs'!DN631</f>
        <v>2303.0577471344168</v>
      </c>
      <c r="AS17" s="19">
        <f>'P&amp;L - Inputs'!DO631</f>
        <v>2418.2106344911381</v>
      </c>
      <c r="AT17" s="19">
        <f>'P&amp;L - Inputs'!DP631</f>
        <v>2539.1211662156948</v>
      </c>
      <c r="AU17" s="19">
        <f>'P&amp;L - Inputs'!DQ631</f>
        <v>2666.0772245264798</v>
      </c>
      <c r="AV17" s="19">
        <f>'P&amp;L - Inputs'!DR631</f>
        <v>2732.7291551396415</v>
      </c>
      <c r="AW17" s="19">
        <f>'P&amp;L - Inputs'!DS631</f>
        <v>2801.0473840181326</v>
      </c>
      <c r="AX17" s="19">
        <f>'P&amp;L - Inputs'!DT631</f>
        <v>2871.0735686185853</v>
      </c>
      <c r="AY17" s="19">
        <f>'P&amp;L - Inputs'!DU631</f>
        <v>2942.8504078340497</v>
      </c>
      <c r="AZ17" s="19">
        <f>'P&amp;L - Inputs'!DV631</f>
        <v>3016.421668029901</v>
      </c>
      <c r="BA17" s="19">
        <f>'P&amp;L - Inputs'!DW631</f>
        <v>3091.8322097306477</v>
      </c>
      <c r="BB17" s="19">
        <f>'P&amp;L - Inputs'!DX631</f>
        <v>3169.1280149739137</v>
      </c>
      <c r="BC17" s="19">
        <f>'P&amp;L - Inputs'!DY631</f>
        <v>3248.3562153482612</v>
      </c>
      <c r="BD17" s="19">
        <f>'P&amp;L - Inputs'!DZ631</f>
        <v>3329.5651207319679</v>
      </c>
      <c r="BE17" s="19">
        <f>'P&amp;L - Inputs'!EA631</f>
        <v>3412.8042487502667</v>
      </c>
      <c r="BF17" s="19">
        <f>'P&amp;L - Inputs'!EB631</f>
        <v>3498.1243549690225</v>
      </c>
      <c r="BG17" s="19">
        <f>'P&amp;L - Inputs'!EC631</f>
        <v>3585.5774638432476</v>
      </c>
      <c r="BI17" s="19">
        <v>0</v>
      </c>
      <c r="BJ17" s="19">
        <f t="shared" si="3"/>
        <v>498</v>
      </c>
      <c r="BK17" s="19">
        <f t="shared" si="4"/>
        <v>526</v>
      </c>
      <c r="BL17" s="19">
        <f t="shared" si="5"/>
        <v>860</v>
      </c>
      <c r="BM17" s="19">
        <f t="shared" si="6"/>
        <v>1153</v>
      </c>
      <c r="BN17" s="19">
        <f t="shared" si="7"/>
        <v>1771</v>
      </c>
      <c r="BO17" s="19">
        <f t="shared" si="8"/>
        <v>1811</v>
      </c>
      <c r="BP17" s="19">
        <f t="shared" si="9"/>
        <v>1591</v>
      </c>
      <c r="BQ17" s="19">
        <f t="shared" si="10"/>
        <v>2696.9099965358737</v>
      </c>
      <c r="BR17" s="19">
        <f t="shared" si="11"/>
        <v>3167.6839104876258</v>
      </c>
      <c r="BS17" s="19">
        <f t="shared" si="12"/>
        <v>3666.9900868782383</v>
      </c>
      <c r="BT17" s="19">
        <f t="shared" si="13"/>
        <v>4244.9993993224216</v>
      </c>
      <c r="BU17" s="19">
        <f t="shared" si="14"/>
        <v>4914.1174296406189</v>
      </c>
      <c r="BV17" s="19">
        <f t="shared" si="15"/>
        <v>5688.7051894877222</v>
      </c>
      <c r="BW17" s="19">
        <f t="shared" si="16"/>
        <v>6585.3873449807252</v>
      </c>
      <c r="BX17" s="19">
        <f t="shared" si="17"/>
        <v>7623.4090252333126</v>
      </c>
      <c r="BY17" s="19">
        <f t="shared" si="18"/>
        <v>8404.8501077763594</v>
      </c>
      <c r="BZ17" s="19">
        <f t="shared" si="19"/>
        <v>9051.104285594598</v>
      </c>
      <c r="CA17" s="19">
        <f t="shared" si="20"/>
        <v>9747.0493510541419</v>
      </c>
      <c r="CB17" s="19">
        <f t="shared" si="21"/>
        <v>10496.506067562535</v>
      </c>
      <c r="CD17" s="19">
        <f t="shared" si="22"/>
        <v>1884</v>
      </c>
      <c r="CE17" s="19">
        <f t="shared" si="23"/>
        <v>6326</v>
      </c>
      <c r="CF17" s="19">
        <f t="shared" si="24"/>
        <v>13776.58339322416</v>
      </c>
      <c r="CG17" s="19">
        <f t="shared" si="25"/>
        <v>24811.61898934238</v>
      </c>
      <c r="CH17" s="770">
        <f t="shared" si="26"/>
        <v>37699.509811987635</v>
      </c>
    </row>
    <row r="18" spans="2:86" x14ac:dyDescent="0.2">
      <c r="B18" s="15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D18" s="10"/>
      <c r="CE18" s="10"/>
      <c r="CF18" s="10"/>
      <c r="CG18" s="10"/>
      <c r="CH18" s="812"/>
    </row>
    <row r="19" spans="2:86" x14ac:dyDescent="0.2">
      <c r="B19" s="162" t="s">
        <v>7</v>
      </c>
      <c r="C19" s="163">
        <f>C15/C7</f>
        <v>0.11757648470305938</v>
      </c>
      <c r="D19" s="163">
        <f t="shared" ref="D19:AU19" si="162">D15/D7</f>
        <v>9.9364069952305248E-2</v>
      </c>
      <c r="E19" s="163">
        <f t="shared" si="162"/>
        <v>9.3287109990545222E-2</v>
      </c>
      <c r="F19" s="163">
        <f t="shared" si="162"/>
        <v>0.13213572854291417</v>
      </c>
      <c r="G19" s="163">
        <f t="shared" si="162"/>
        <v>8.3629893238434158E-2</v>
      </c>
      <c r="H19" s="163">
        <f t="shared" si="162"/>
        <v>0.1313953488372093</v>
      </c>
      <c r="I19" s="163">
        <f t="shared" si="162"/>
        <v>0.1093217714462682</v>
      </c>
      <c r="J19" s="163">
        <f t="shared" si="162"/>
        <v>0.10065710872162485</v>
      </c>
      <c r="K19" s="163">
        <f t="shared" si="162"/>
        <v>0.10630872483221476</v>
      </c>
      <c r="L19" s="163">
        <f t="shared" si="162"/>
        <v>0.12289366647298082</v>
      </c>
      <c r="M19" s="163">
        <f t="shared" si="162"/>
        <v>7.0157426420260099E-2</v>
      </c>
      <c r="N19" s="163">
        <f t="shared" si="162"/>
        <v>8.1888904053500744E-2</v>
      </c>
      <c r="O19" s="163">
        <f t="shared" si="162"/>
        <v>0.12524323368123119</v>
      </c>
      <c r="P19" s="163">
        <f t="shared" si="162"/>
        <v>0.13687150837988826</v>
      </c>
      <c r="Q19" s="163">
        <f t="shared" si="162"/>
        <v>0.12753668435841398</v>
      </c>
      <c r="R19" s="163">
        <f t="shared" si="162"/>
        <v>0.11309728429013406</v>
      </c>
      <c r="S19" s="163">
        <f t="shared" si="162"/>
        <v>6.7889192352711666E-2</v>
      </c>
      <c r="T19" s="163">
        <f t="shared" si="162"/>
        <v>9.662737775703116E-2</v>
      </c>
      <c r="U19" s="163">
        <f t="shared" si="162"/>
        <v>8.8483466362599766E-2</v>
      </c>
      <c r="V19" s="163">
        <f t="shared" si="162"/>
        <v>8.5519784427740747E-2</v>
      </c>
      <c r="W19" s="163">
        <f t="shared" si="162"/>
        <v>9.3299540630445113E-2</v>
      </c>
      <c r="X19" s="163">
        <f t="shared" si="162"/>
        <v>0.12015471117431223</v>
      </c>
      <c r="Y19" s="163">
        <f t="shared" si="162"/>
        <v>0.12015471117431223</v>
      </c>
      <c r="Z19" s="163">
        <f t="shared" si="162"/>
        <v>0.12015471117431221</v>
      </c>
      <c r="AA19" s="163">
        <f t="shared" si="162"/>
        <v>0.1201547111743122</v>
      </c>
      <c r="AB19" s="163">
        <f t="shared" si="162"/>
        <v>0.12015471117431221</v>
      </c>
      <c r="AC19" s="163">
        <f t="shared" si="162"/>
        <v>0.12015471117431221</v>
      </c>
      <c r="AD19" s="163">
        <f t="shared" si="162"/>
        <v>0.12015471117431223</v>
      </c>
      <c r="AE19" s="163">
        <f t="shared" si="162"/>
        <v>0.1201547111743122</v>
      </c>
      <c r="AF19" s="163">
        <f t="shared" si="162"/>
        <v>0.12015471117431221</v>
      </c>
      <c r="AG19" s="163">
        <f t="shared" si="162"/>
        <v>0.12015471117431223</v>
      </c>
      <c r="AH19" s="163">
        <f t="shared" si="162"/>
        <v>0.12015471117431223</v>
      </c>
      <c r="AI19" s="163">
        <f t="shared" si="162"/>
        <v>0.12015471117431223</v>
      </c>
      <c r="AJ19" s="163">
        <f t="shared" si="162"/>
        <v>0.12015471117431221</v>
      </c>
      <c r="AK19" s="163">
        <f t="shared" si="162"/>
        <v>0.12015471117431223</v>
      </c>
      <c r="AL19" s="163">
        <f t="shared" si="162"/>
        <v>0.12015471117431221</v>
      </c>
      <c r="AM19" s="163">
        <f t="shared" si="162"/>
        <v>0.12015471117431223</v>
      </c>
      <c r="AN19" s="163">
        <f t="shared" si="162"/>
        <v>0.12015471117431223</v>
      </c>
      <c r="AO19" s="163">
        <f t="shared" si="162"/>
        <v>0.12015471117431221</v>
      </c>
      <c r="AP19" s="163">
        <f t="shared" si="162"/>
        <v>0.12015471117431223</v>
      </c>
      <c r="AQ19" s="163">
        <f t="shared" si="162"/>
        <v>0.12015471117431223</v>
      </c>
      <c r="AR19" s="163">
        <f t="shared" si="162"/>
        <v>0.12015471117431221</v>
      </c>
      <c r="AS19" s="163">
        <f t="shared" si="162"/>
        <v>0.12015471117431223</v>
      </c>
      <c r="AT19" s="163">
        <f t="shared" si="162"/>
        <v>0.12015471117431221</v>
      </c>
      <c r="AU19" s="163">
        <f t="shared" si="162"/>
        <v>0.12015471117431221</v>
      </c>
      <c r="AV19" s="163">
        <f t="shared" ref="AV19:BG19" si="163">AV15/AV7</f>
        <v>0.12015471117431221</v>
      </c>
      <c r="AW19" s="163">
        <f t="shared" si="163"/>
        <v>0.12015471117431223</v>
      </c>
      <c r="AX19" s="163">
        <f t="shared" si="163"/>
        <v>0.12015471117431221</v>
      </c>
      <c r="AY19" s="163">
        <f t="shared" si="163"/>
        <v>0.12015471117431221</v>
      </c>
      <c r="AZ19" s="163">
        <f t="shared" si="163"/>
        <v>0.12015471117431223</v>
      </c>
      <c r="BA19" s="163">
        <f t="shared" si="163"/>
        <v>0.12015471117431221</v>
      </c>
      <c r="BB19" s="163">
        <f t="shared" si="163"/>
        <v>0.12015471117431221</v>
      </c>
      <c r="BC19" s="163">
        <f t="shared" si="163"/>
        <v>0.12015471117431221</v>
      </c>
      <c r="BD19" s="163">
        <f t="shared" si="163"/>
        <v>0.12015471117431223</v>
      </c>
      <c r="BE19" s="163">
        <f t="shared" si="163"/>
        <v>0.12015471117431223</v>
      </c>
      <c r="BF19" s="163">
        <f t="shared" si="163"/>
        <v>0.12015471117431221</v>
      </c>
      <c r="BG19" s="163">
        <f t="shared" si="163"/>
        <v>0.1201547111743122</v>
      </c>
      <c r="BI19" s="163">
        <v>0</v>
      </c>
      <c r="BJ19" s="163">
        <f t="shared" ref="BJ19:CG19" si="164">BJ15/BJ7</f>
        <v>0.10087003806416531</v>
      </c>
      <c r="BK19" s="163">
        <f t="shared" si="164"/>
        <v>0.11462951234958835</v>
      </c>
      <c r="BL19" s="163">
        <f t="shared" si="164"/>
        <v>0.10541642399534071</v>
      </c>
      <c r="BM19" s="163">
        <f t="shared" si="164"/>
        <v>8.6257749954854634E-2</v>
      </c>
      <c r="BN19" s="163">
        <f t="shared" si="164"/>
        <v>0.12966894256698605</v>
      </c>
      <c r="BO19" s="163">
        <f t="shared" si="164"/>
        <v>8.8558788911887662E-2</v>
      </c>
      <c r="BP19" s="163">
        <f t="shared" si="164"/>
        <v>8.8912984548658175E-2</v>
      </c>
      <c r="BQ19" s="163">
        <f t="shared" si="164"/>
        <v>0.12015471117431223</v>
      </c>
      <c r="BR19" s="163">
        <f t="shared" si="164"/>
        <v>0.1201547111743122</v>
      </c>
      <c r="BS19" s="163">
        <f t="shared" si="164"/>
        <v>0.12015471117431223</v>
      </c>
      <c r="BT19" s="163">
        <f t="shared" si="164"/>
        <v>0.12015471117431223</v>
      </c>
      <c r="BU19" s="163">
        <f t="shared" si="164"/>
        <v>0.12015471117431223</v>
      </c>
      <c r="BV19" s="163">
        <f t="shared" si="164"/>
        <v>0.12015471117431223</v>
      </c>
      <c r="BW19" s="163">
        <f t="shared" si="164"/>
        <v>0.12015471117431223</v>
      </c>
      <c r="BX19" s="163">
        <f t="shared" si="164"/>
        <v>0.12015471117431221</v>
      </c>
      <c r="BY19" s="163">
        <f t="shared" ref="BY19:CB19" si="165">BY15/BY7</f>
        <v>0.12015471117431221</v>
      </c>
      <c r="BZ19" s="163">
        <f t="shared" si="165"/>
        <v>0.12015471117431224</v>
      </c>
      <c r="CA19" s="163">
        <f t="shared" si="165"/>
        <v>0.12015471117431223</v>
      </c>
      <c r="CB19" s="163">
        <f t="shared" si="165"/>
        <v>0.12015471117431221</v>
      </c>
      <c r="CC19" s="820"/>
      <c r="CD19" s="163">
        <f t="shared" si="164"/>
        <v>0.10695417367823738</v>
      </c>
      <c r="CE19" s="163">
        <f t="shared" si="164"/>
        <v>9.7048815195198909E-2</v>
      </c>
      <c r="CF19" s="163">
        <f t="shared" si="164"/>
        <v>0.12015471117431221</v>
      </c>
      <c r="CG19" s="163">
        <f t="shared" si="164"/>
        <v>0.12015471117431223</v>
      </c>
      <c r="CH19" s="163">
        <f t="shared" ref="CH19" si="166">CH15/CH7</f>
        <v>0.12015471117431221</v>
      </c>
    </row>
    <row r="20" spans="2:86" x14ac:dyDescent="0.2">
      <c r="B20" s="164" t="s">
        <v>221</v>
      </c>
      <c r="C20" s="161">
        <f>C16/C8</f>
        <v>5.3589484327603638E-2</v>
      </c>
      <c r="D20" s="161">
        <f t="shared" ref="D20:AU20" si="167">D16/D8</f>
        <v>3.3008658008658008E-2</v>
      </c>
      <c r="E20" s="161">
        <f t="shared" si="167"/>
        <v>5.4759898904802019E-2</v>
      </c>
      <c r="F20" s="161">
        <f t="shared" si="167"/>
        <v>8.3424209378407846E-2</v>
      </c>
      <c r="G20" s="161">
        <f t="shared" si="167"/>
        <v>5.6603773584905662E-2</v>
      </c>
      <c r="H20" s="161">
        <f t="shared" si="167"/>
        <v>9.296685529506872E-2</v>
      </c>
      <c r="I20" s="161">
        <f t="shared" si="167"/>
        <v>4.4799176107106077E-2</v>
      </c>
      <c r="J20" s="161">
        <f t="shared" si="167"/>
        <v>3.7981269510926119E-2</v>
      </c>
      <c r="K20" s="161">
        <f t="shared" si="167"/>
        <v>3.0669144981412641E-2</v>
      </c>
      <c r="L20" s="161">
        <f t="shared" si="167"/>
        <v>2.952755905511811E-2</v>
      </c>
      <c r="M20" s="161">
        <f t="shared" si="167"/>
        <v>2.5753158406219629E-2</v>
      </c>
      <c r="N20" s="161">
        <f t="shared" si="167"/>
        <v>2.2401257614462565E-2</v>
      </c>
      <c r="O20" s="161">
        <f t="shared" si="167"/>
        <v>5.103011093502377E-2</v>
      </c>
      <c r="P20" s="161">
        <f t="shared" si="167"/>
        <v>5.1217765042979944E-2</v>
      </c>
      <c r="Q20" s="161">
        <f t="shared" si="167"/>
        <v>4.9452018176958032E-2</v>
      </c>
      <c r="R20" s="161">
        <f t="shared" si="167"/>
        <v>4.1820418204182044E-2</v>
      </c>
      <c r="S20" s="161">
        <f t="shared" si="167"/>
        <v>1.5644298065047343E-2</v>
      </c>
      <c r="T20" s="161">
        <f t="shared" si="167"/>
        <v>2.474437627811861E-2</v>
      </c>
      <c r="U20" s="161">
        <f t="shared" si="167"/>
        <v>2.0692249811888639E-2</v>
      </c>
      <c r="V20" s="161">
        <f t="shared" si="167"/>
        <v>2.6130873956960912E-2</v>
      </c>
      <c r="W20" s="161">
        <f t="shared" si="167"/>
        <v>3.9667649423746988E-2</v>
      </c>
      <c r="X20" s="161">
        <f t="shared" si="167"/>
        <v>3.3173477914225549E-2</v>
      </c>
      <c r="Y20" s="161">
        <f t="shared" si="167"/>
        <v>3.3173477914225549E-2</v>
      </c>
      <c r="Z20" s="161">
        <f t="shared" si="167"/>
        <v>3.3173477914225549E-2</v>
      </c>
      <c r="AA20" s="161">
        <f t="shared" si="167"/>
        <v>3.3173477914225549E-2</v>
      </c>
      <c r="AB20" s="161">
        <f t="shared" si="167"/>
        <v>3.3173477914225549E-2</v>
      </c>
      <c r="AC20" s="161">
        <f t="shared" si="167"/>
        <v>3.3173477914225549E-2</v>
      </c>
      <c r="AD20" s="161">
        <f t="shared" si="167"/>
        <v>3.3173477914225549E-2</v>
      </c>
      <c r="AE20" s="161">
        <f t="shared" si="167"/>
        <v>3.3173477914225549E-2</v>
      </c>
      <c r="AF20" s="161">
        <f t="shared" si="167"/>
        <v>3.3173477914225549E-2</v>
      </c>
      <c r="AG20" s="161">
        <f t="shared" si="167"/>
        <v>3.3173477914225549E-2</v>
      </c>
      <c r="AH20" s="161">
        <f t="shared" si="167"/>
        <v>3.3173477914225549E-2</v>
      </c>
      <c r="AI20" s="161">
        <f t="shared" si="167"/>
        <v>3.3173477914225549E-2</v>
      </c>
      <c r="AJ20" s="161">
        <f t="shared" si="167"/>
        <v>3.3173477914225549E-2</v>
      </c>
      <c r="AK20" s="161">
        <f t="shared" si="167"/>
        <v>3.3173477914225549E-2</v>
      </c>
      <c r="AL20" s="161">
        <f t="shared" si="167"/>
        <v>3.3173477914225549E-2</v>
      </c>
      <c r="AM20" s="161">
        <f t="shared" si="167"/>
        <v>3.3173477914225549E-2</v>
      </c>
      <c r="AN20" s="161">
        <f t="shared" si="167"/>
        <v>3.3173477914225549E-2</v>
      </c>
      <c r="AO20" s="161">
        <f t="shared" si="167"/>
        <v>3.3173477914225549E-2</v>
      </c>
      <c r="AP20" s="161">
        <f t="shared" si="167"/>
        <v>3.3173477914225549E-2</v>
      </c>
      <c r="AQ20" s="161">
        <f t="shared" si="167"/>
        <v>3.3173477914225549E-2</v>
      </c>
      <c r="AR20" s="161">
        <f t="shared" si="167"/>
        <v>3.3173477914225549E-2</v>
      </c>
      <c r="AS20" s="161">
        <f t="shared" si="167"/>
        <v>3.3173477914225549E-2</v>
      </c>
      <c r="AT20" s="161">
        <f t="shared" si="167"/>
        <v>3.3173477914225549E-2</v>
      </c>
      <c r="AU20" s="161">
        <f t="shared" si="167"/>
        <v>3.3173477914225549E-2</v>
      </c>
      <c r="AV20" s="161">
        <f t="shared" ref="AV20:BG20" si="168">AV16/AV8</f>
        <v>3.3173477914225549E-2</v>
      </c>
      <c r="AW20" s="161">
        <f t="shared" si="168"/>
        <v>3.3173477914225549E-2</v>
      </c>
      <c r="AX20" s="161">
        <f t="shared" si="168"/>
        <v>3.3173477914225549E-2</v>
      </c>
      <c r="AY20" s="161">
        <f t="shared" si="168"/>
        <v>3.3173477914225549E-2</v>
      </c>
      <c r="AZ20" s="161">
        <f t="shared" si="168"/>
        <v>3.3173477914225549E-2</v>
      </c>
      <c r="BA20" s="161">
        <f t="shared" si="168"/>
        <v>3.3173477914225549E-2</v>
      </c>
      <c r="BB20" s="161">
        <f t="shared" si="168"/>
        <v>3.3173477914225549E-2</v>
      </c>
      <c r="BC20" s="161">
        <f t="shared" si="168"/>
        <v>3.3173477914225549E-2</v>
      </c>
      <c r="BD20" s="161">
        <f t="shared" si="168"/>
        <v>3.3173477914225549E-2</v>
      </c>
      <c r="BE20" s="161">
        <f t="shared" si="168"/>
        <v>3.3173477914225549E-2</v>
      </c>
      <c r="BF20" s="161">
        <f t="shared" si="168"/>
        <v>3.3173477914225549E-2</v>
      </c>
      <c r="BG20" s="161">
        <f t="shared" si="168"/>
        <v>3.3173477914225549E-2</v>
      </c>
      <c r="BI20" s="161"/>
      <c r="BJ20" s="161">
        <f t="shared" ref="BJ20:CG20" si="169">BJ16/BJ8</f>
        <v>4.6824026098637499E-2</v>
      </c>
      <c r="BK20" s="161">
        <f t="shared" si="169"/>
        <v>7.5317965023847383E-2</v>
      </c>
      <c r="BL20" s="161">
        <f t="shared" si="169"/>
        <v>3.7566489361702128E-2</v>
      </c>
      <c r="BM20" s="161">
        <f t="shared" si="169"/>
        <v>2.4917682655513036E-2</v>
      </c>
      <c r="BN20" s="161">
        <f t="shared" si="169"/>
        <v>5.0474814203137902E-2</v>
      </c>
      <c r="BO20" s="161">
        <f t="shared" si="169"/>
        <v>2.4045628362175126E-2</v>
      </c>
      <c r="BP20" s="161">
        <f t="shared" si="169"/>
        <v>2.7718550106609809E-2</v>
      </c>
      <c r="BQ20" s="161">
        <f t="shared" si="169"/>
        <v>3.3173477914225549E-2</v>
      </c>
      <c r="BR20" s="161">
        <f t="shared" si="169"/>
        <v>3.3173477914225549E-2</v>
      </c>
      <c r="BS20" s="161">
        <f t="shared" si="169"/>
        <v>3.3173477914225549E-2</v>
      </c>
      <c r="BT20" s="161">
        <f t="shared" si="169"/>
        <v>3.3173477914225556E-2</v>
      </c>
      <c r="BU20" s="161">
        <f t="shared" si="169"/>
        <v>3.3173477914225549E-2</v>
      </c>
      <c r="BV20" s="161">
        <f t="shared" si="169"/>
        <v>3.3173477914225549E-2</v>
      </c>
      <c r="BW20" s="161">
        <f t="shared" si="169"/>
        <v>3.3173477914225542E-2</v>
      </c>
      <c r="BX20" s="161">
        <f t="shared" si="169"/>
        <v>3.3173477914225549E-2</v>
      </c>
      <c r="BY20" s="161">
        <f t="shared" ref="BY20:CB20" si="170">BY16/BY8</f>
        <v>3.3173477914225549E-2</v>
      </c>
      <c r="BZ20" s="161">
        <f t="shared" si="170"/>
        <v>3.3173477914225549E-2</v>
      </c>
      <c r="CA20" s="161">
        <f t="shared" si="170"/>
        <v>3.3173477914225549E-2</v>
      </c>
      <c r="CB20" s="161">
        <f t="shared" si="170"/>
        <v>3.3173477914225549E-2</v>
      </c>
      <c r="CC20" s="613"/>
      <c r="CD20" s="161">
        <f t="shared" si="169"/>
        <v>5.2217233532197552E-2</v>
      </c>
      <c r="CE20" s="161">
        <f t="shared" si="169"/>
        <v>3.0367330597537785E-2</v>
      </c>
      <c r="CF20" s="161">
        <f t="shared" si="169"/>
        <v>3.3173477914225556E-2</v>
      </c>
      <c r="CG20" s="161">
        <f t="shared" si="169"/>
        <v>3.3173477914225549E-2</v>
      </c>
      <c r="CH20" s="161">
        <f t="shared" ref="CH20" si="171">CH16/CH8</f>
        <v>3.3173477914225549E-2</v>
      </c>
    </row>
    <row r="21" spans="2:86" x14ac:dyDescent="0.2">
      <c r="B21" s="164" t="s">
        <v>222</v>
      </c>
      <c r="C21" s="161">
        <f>C17/C9</f>
        <v>0.21091445427728614</v>
      </c>
      <c r="D21" s="161">
        <f t="shared" ref="D21:AU21" si="172">D17/D9</f>
        <v>0.28293413173652693</v>
      </c>
      <c r="E21" s="161">
        <f t="shared" si="172"/>
        <v>0.20775969962453067</v>
      </c>
      <c r="F21" s="161">
        <f t="shared" si="172"/>
        <v>0.26527570789865873</v>
      </c>
      <c r="G21" s="161">
        <f t="shared" si="172"/>
        <v>0.14605418138987045</v>
      </c>
      <c r="H21" s="161">
        <f t="shared" si="172"/>
        <v>0.16679076693968728</v>
      </c>
      <c r="I21" s="161">
        <f t="shared" si="172"/>
        <v>0.20668220668220669</v>
      </c>
      <c r="J21" s="161">
        <f t="shared" si="172"/>
        <v>0.18513323983169705</v>
      </c>
      <c r="K21" s="161">
        <f t="shared" si="172"/>
        <v>0.20979020979020979</v>
      </c>
      <c r="L21" s="161">
        <f t="shared" si="172"/>
        <v>0.25744680851063828</v>
      </c>
      <c r="M21" s="161">
        <f t="shared" si="172"/>
        <v>0.17592592592592593</v>
      </c>
      <c r="N21" s="161">
        <f t="shared" si="172"/>
        <v>0.21715817694369974</v>
      </c>
      <c r="O21" s="161">
        <f t="shared" si="172"/>
        <v>0.21897518014411529</v>
      </c>
      <c r="P21" s="161">
        <f t="shared" si="172"/>
        <v>0.22963537626066718</v>
      </c>
      <c r="Q21" s="161">
        <f t="shared" si="172"/>
        <v>0.23714821763602251</v>
      </c>
      <c r="R21" s="161">
        <f t="shared" si="172"/>
        <v>0.2034294621979735</v>
      </c>
      <c r="S21" s="161">
        <f t="shared" si="172"/>
        <v>0.19629005059021923</v>
      </c>
      <c r="T21" s="161">
        <f t="shared" si="172"/>
        <v>0.19217178581136179</v>
      </c>
      <c r="U21" s="161">
        <f t="shared" si="172"/>
        <v>0.19281991893456862</v>
      </c>
      <c r="V21" s="161">
        <f t="shared" si="172"/>
        <v>0.19383259911894274</v>
      </c>
      <c r="W21" s="161">
        <f t="shared" si="172"/>
        <v>0.17079783113865221</v>
      </c>
      <c r="X21" s="161">
        <f t="shared" si="172"/>
        <v>0.20713594443439892</v>
      </c>
      <c r="Y21" s="161">
        <f t="shared" si="172"/>
        <v>0.20713594443439889</v>
      </c>
      <c r="Z21" s="161">
        <f t="shared" si="172"/>
        <v>0.20713594443439889</v>
      </c>
      <c r="AA21" s="161">
        <f t="shared" si="172"/>
        <v>0.20713594443439889</v>
      </c>
      <c r="AB21" s="161">
        <f t="shared" si="172"/>
        <v>0.20713594443439889</v>
      </c>
      <c r="AC21" s="161">
        <f t="shared" si="172"/>
        <v>0.20713594443439889</v>
      </c>
      <c r="AD21" s="161">
        <f t="shared" si="172"/>
        <v>0.20713594443439892</v>
      </c>
      <c r="AE21" s="161">
        <f t="shared" si="172"/>
        <v>0.20713594443439887</v>
      </c>
      <c r="AF21" s="161">
        <f t="shared" si="172"/>
        <v>0.20713594443439889</v>
      </c>
      <c r="AG21" s="161">
        <f t="shared" si="172"/>
        <v>0.20713594443439889</v>
      </c>
      <c r="AH21" s="161">
        <f t="shared" si="172"/>
        <v>0.20713594443439892</v>
      </c>
      <c r="AI21" s="161">
        <f t="shared" si="172"/>
        <v>0.20713594443439892</v>
      </c>
      <c r="AJ21" s="161">
        <f t="shared" si="172"/>
        <v>0.20713594443439889</v>
      </c>
      <c r="AK21" s="161">
        <f t="shared" si="172"/>
        <v>0.20713594443439889</v>
      </c>
      <c r="AL21" s="161">
        <f t="shared" si="172"/>
        <v>0.20713594443439889</v>
      </c>
      <c r="AM21" s="161">
        <f t="shared" si="172"/>
        <v>0.20713594443439889</v>
      </c>
      <c r="AN21" s="161">
        <f t="shared" si="172"/>
        <v>0.20713594443439889</v>
      </c>
      <c r="AO21" s="161">
        <f t="shared" si="172"/>
        <v>0.20713594443439889</v>
      </c>
      <c r="AP21" s="161">
        <f t="shared" si="172"/>
        <v>0.20713594443439889</v>
      </c>
      <c r="AQ21" s="161">
        <f t="shared" si="172"/>
        <v>0.20713594443439889</v>
      </c>
      <c r="AR21" s="161">
        <f t="shared" si="172"/>
        <v>0.20713594443439887</v>
      </c>
      <c r="AS21" s="161">
        <f t="shared" si="172"/>
        <v>0.20713594443439889</v>
      </c>
      <c r="AT21" s="161">
        <f t="shared" si="172"/>
        <v>0.20713594443439887</v>
      </c>
      <c r="AU21" s="161">
        <f t="shared" si="172"/>
        <v>0.20713594443439889</v>
      </c>
      <c r="AV21" s="161">
        <f t="shared" ref="AV21:BG21" si="173">AV17/AV9</f>
        <v>0.20713594443439887</v>
      </c>
      <c r="AW21" s="161">
        <f t="shared" si="173"/>
        <v>0.20713594443439889</v>
      </c>
      <c r="AX21" s="161">
        <f t="shared" si="173"/>
        <v>0.20713594443439889</v>
      </c>
      <c r="AY21" s="161">
        <f t="shared" si="173"/>
        <v>0.20713594443439889</v>
      </c>
      <c r="AZ21" s="161">
        <f t="shared" si="173"/>
        <v>0.20713594443439892</v>
      </c>
      <c r="BA21" s="161">
        <f t="shared" si="173"/>
        <v>0.20713594443439887</v>
      </c>
      <c r="BB21" s="161">
        <f t="shared" si="173"/>
        <v>0.20713594443439889</v>
      </c>
      <c r="BC21" s="161">
        <f t="shared" si="173"/>
        <v>0.20713594443439887</v>
      </c>
      <c r="BD21" s="161">
        <f t="shared" si="173"/>
        <v>0.20713594443439889</v>
      </c>
      <c r="BE21" s="161">
        <f t="shared" si="173"/>
        <v>0.20713594443439889</v>
      </c>
      <c r="BF21" s="161">
        <f t="shared" si="173"/>
        <v>0.20713594443439889</v>
      </c>
      <c r="BG21" s="161">
        <f t="shared" si="173"/>
        <v>0.20713594443439889</v>
      </c>
      <c r="BI21" s="161">
        <v>0</v>
      </c>
      <c r="BJ21" s="161">
        <f t="shared" ref="BJ21:CG21" si="174">BJ17/BJ9</f>
        <v>0.23216783216783216</v>
      </c>
      <c r="BK21" s="161">
        <f t="shared" si="174"/>
        <v>0.18372336709745024</v>
      </c>
      <c r="BL21" s="161">
        <f t="shared" si="174"/>
        <v>0.20065328978068128</v>
      </c>
      <c r="BM21" s="161">
        <f t="shared" si="174"/>
        <v>0.21447172619047619</v>
      </c>
      <c r="BN21" s="161">
        <f t="shared" si="174"/>
        <v>0.22878181113551221</v>
      </c>
      <c r="BO21" s="161">
        <f t="shared" si="174"/>
        <v>0.19663409337676438</v>
      </c>
      <c r="BP21" s="161">
        <f t="shared" si="174"/>
        <v>0.18645259580452361</v>
      </c>
      <c r="BQ21" s="161">
        <f t="shared" si="174"/>
        <v>0.20713594443439889</v>
      </c>
      <c r="BR21" s="161">
        <f t="shared" si="174"/>
        <v>0.20713594443439889</v>
      </c>
      <c r="BS21" s="161">
        <f t="shared" si="174"/>
        <v>0.20713594443439892</v>
      </c>
      <c r="BT21" s="161">
        <f t="shared" si="174"/>
        <v>0.20713594443439892</v>
      </c>
      <c r="BU21" s="161">
        <f t="shared" si="174"/>
        <v>0.20713594443439892</v>
      </c>
      <c r="BV21" s="161">
        <f t="shared" si="174"/>
        <v>0.20713594443439892</v>
      </c>
      <c r="BW21" s="161">
        <f t="shared" si="174"/>
        <v>0.20713594443439889</v>
      </c>
      <c r="BX21" s="161">
        <f t="shared" si="174"/>
        <v>0.20713594443439889</v>
      </c>
      <c r="BY21" s="161">
        <f t="shared" ref="BY21:CB21" si="175">BY17/BY9</f>
        <v>0.20713594443439889</v>
      </c>
      <c r="BZ21" s="161">
        <f t="shared" si="175"/>
        <v>0.20713594443439889</v>
      </c>
      <c r="CA21" s="161">
        <f t="shared" si="175"/>
        <v>0.20713594443439887</v>
      </c>
      <c r="CB21" s="161">
        <f t="shared" si="175"/>
        <v>0.20713594443439887</v>
      </c>
      <c r="CC21" s="613"/>
      <c r="CD21" s="161">
        <f t="shared" si="174"/>
        <v>0.20271142672692061</v>
      </c>
      <c r="CE21" s="161">
        <f t="shared" si="174"/>
        <v>0.20499027867790021</v>
      </c>
      <c r="CF21" s="161">
        <f t="shared" si="174"/>
        <v>0.20713594443439892</v>
      </c>
      <c r="CG21" s="161">
        <f t="shared" si="174"/>
        <v>0.20713594443439892</v>
      </c>
      <c r="CH21" s="161">
        <f t="shared" ref="CH21" si="176">CH17/CH9</f>
        <v>0.20713594443439887</v>
      </c>
    </row>
    <row r="22" spans="2:86" x14ac:dyDescent="0.2">
      <c r="B22" s="15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D22" s="10"/>
      <c r="CE22" s="10"/>
      <c r="CF22" s="10"/>
      <c r="CG22" s="10"/>
      <c r="CH22" s="812"/>
    </row>
    <row r="23" spans="2:86" x14ac:dyDescent="0.2">
      <c r="B23" s="208" t="s">
        <v>10</v>
      </c>
      <c r="C23" s="199">
        <f>SUM(C24:C25)</f>
        <v>31951012.592907332</v>
      </c>
      <c r="D23" s="199">
        <f t="shared" ref="D23" si="177">SUM(D24:D25)</f>
        <v>42949000.174967945</v>
      </c>
      <c r="E23" s="199">
        <f t="shared" ref="E23" si="178">SUM(E24:E25)</f>
        <v>58708182.026987068</v>
      </c>
      <c r="F23" s="199">
        <f t="shared" ref="F23" si="179">SUM(F24:F25)</f>
        <v>43113789.794187024</v>
      </c>
      <c r="G23" s="199">
        <f t="shared" ref="G23" si="180">SUM(G24:G25)</f>
        <v>52324484.976478413</v>
      </c>
      <c r="H23" s="199">
        <f t="shared" ref="H23" si="181">SUM(H24:H25)</f>
        <v>50130033.349681348</v>
      </c>
      <c r="I23" s="199">
        <f t="shared" ref="I23" si="182">SUM(I24:I25)</f>
        <v>65063163.9917088</v>
      </c>
      <c r="J23" s="199">
        <f t="shared" ref="J23" si="183">SUM(J24:J25)</f>
        <v>59017710.70664984</v>
      </c>
      <c r="K23" s="199">
        <f t="shared" ref="K23" si="184">SUM(K24:K25)</f>
        <v>61918775.290091984</v>
      </c>
      <c r="L23" s="199">
        <f t="shared" ref="L23" si="185">SUM(L24:L25)</f>
        <v>62277968.879983246</v>
      </c>
      <c r="M23" s="199">
        <f t="shared" ref="M23" si="186">SUM(M24:M25)</f>
        <v>97332592.444938183</v>
      </c>
      <c r="N23" s="199">
        <f t="shared" ref="N23" si="187">SUM(N24:N25)</f>
        <v>112134460.40695335</v>
      </c>
      <c r="O23" s="199">
        <f t="shared" ref="O23" si="188">SUM(O24:O25)</f>
        <v>96861408.389999807</v>
      </c>
      <c r="P23" s="199">
        <f t="shared" ref="P23" si="189">SUM(P24:P25)</f>
        <v>99071539.569999978</v>
      </c>
      <c r="Q23" s="199">
        <f t="shared" ref="Q23" si="190">SUM(Q24:Q25)</f>
        <v>106711894.17999992</v>
      </c>
      <c r="R23" s="199">
        <f t="shared" ref="R23" si="191">SUM(R24:R25)</f>
        <v>98213333.439999923</v>
      </c>
      <c r="S23" s="199">
        <f t="shared" ref="S23" si="192">SUM(S24:S25)</f>
        <v>121247598.07999982</v>
      </c>
      <c r="T23" s="199">
        <f t="shared" ref="T23" si="193">SUM(T24:T25)</f>
        <v>142132352.44999981</v>
      </c>
      <c r="U23" s="199">
        <f t="shared" ref="U23" si="194">SUM(U24:U25)</f>
        <v>138278739.99000001</v>
      </c>
      <c r="V23" s="199">
        <f t="shared" ref="V23" si="195">SUM(V24:V25)</f>
        <v>122454005.92999999</v>
      </c>
      <c r="W23" s="199">
        <f t="shared" ref="W23" si="196">SUM(W24:W25)</f>
        <v>118854523.26000001</v>
      </c>
      <c r="X23" s="199">
        <f t="shared" ref="X23" si="197">SUM(X24:X25)</f>
        <v>152245765.6432088</v>
      </c>
      <c r="Y23" s="199">
        <f t="shared" ref="Y23" si="198">SUM(Y24:Y25)</f>
        <v>167470342.20752966</v>
      </c>
      <c r="Z23" s="199">
        <f t="shared" ref="Z23" si="199">SUM(Z24:Z25)</f>
        <v>175843859.31790614</v>
      </c>
      <c r="AA23" s="199">
        <f t="shared" ref="AA23" si="200">SUM(AA24:AA25)</f>
        <v>184636052.28380147</v>
      </c>
      <c r="AB23" s="199">
        <f t="shared" ref="AB23" si="201">SUM(AB24:AB25)</f>
        <v>193867854.89799154</v>
      </c>
      <c r="AC23" s="199">
        <f t="shared" ref="AC23" si="202">SUM(AC24:AC25)</f>
        <v>203561247.64289111</v>
      </c>
      <c r="AD23" s="199">
        <f t="shared" ref="AD23" si="203">SUM(AD24:AD25)</f>
        <v>213739310.02503568</v>
      </c>
      <c r="AE23" s="199">
        <f t="shared" ref="AE23" si="204">SUM(AE24:AE25)</f>
        <v>224426275.5262875</v>
      </c>
      <c r="AF23" s="199">
        <f t="shared" ref="AF23" si="205">SUM(AF24:AF25)</f>
        <v>235647589.30260187</v>
      </c>
      <c r="AG23" s="199">
        <f t="shared" ref="AG23" si="206">SUM(AG24:AG25)</f>
        <v>247429968.76773196</v>
      </c>
      <c r="AH23" s="199">
        <f t="shared" ref="AH23" si="207">SUM(AH24:AH25)</f>
        <v>259801467.20611858</v>
      </c>
      <c r="AI23" s="199">
        <f t="shared" ref="AI23" si="208">SUM(AI24:AI25)</f>
        <v>272791540.56642449</v>
      </c>
      <c r="AJ23" s="199">
        <f t="shared" ref="AJ23" si="209">SUM(AJ24:AJ25)</f>
        <v>300752673.47448307</v>
      </c>
      <c r="AK23" s="199">
        <f t="shared" ref="AK23" si="210">SUM(AK24:AK25)</f>
        <v>315790307.14820725</v>
      </c>
      <c r="AL23" s="199">
        <f t="shared" ref="AL23" si="211">SUM(AL24:AL25)</f>
        <v>331579822.50561762</v>
      </c>
      <c r="AM23" s="199">
        <f t="shared" ref="AM23" si="212">SUM(AM24:AM25)</f>
        <v>348158813.63089854</v>
      </c>
      <c r="AN23" s="199">
        <f t="shared" ref="AN23" si="213">SUM(AN24:AN25)</f>
        <v>365566754.31244349</v>
      </c>
      <c r="AO23" s="199">
        <f t="shared" ref="AO23" si="214">SUM(AO24:AO25)</f>
        <v>383845092.02806568</v>
      </c>
      <c r="AP23" s="199">
        <f t="shared" ref="AP23" si="215">SUM(AP24:AP25)</f>
        <v>403037346.62946898</v>
      </c>
      <c r="AQ23" s="199">
        <f t="shared" ref="AQ23" si="216">SUM(AQ24:AQ25)</f>
        <v>423189213.96094245</v>
      </c>
      <c r="AR23" s="199">
        <f t="shared" ref="AR23" si="217">SUM(AR24:AR25)</f>
        <v>444348674.65898961</v>
      </c>
      <c r="AS23" s="199">
        <f t="shared" ref="AS23" si="218">SUM(AS24:AS25)</f>
        <v>466566108.3919391</v>
      </c>
      <c r="AT23" s="199">
        <f t="shared" ref="AT23" si="219">SUM(AT24:AT25)</f>
        <v>489894413.81153607</v>
      </c>
      <c r="AU23" s="199">
        <f t="shared" ref="AU23" si="220">SUM(AU24:AU25)</f>
        <v>514389134.50211287</v>
      </c>
      <c r="AV23" s="199">
        <f t="shared" ref="AV23:BG23" si="221">SUM(AV24:AV25)</f>
        <v>527248862.86466563</v>
      </c>
      <c r="AW23" s="199">
        <f t="shared" si="221"/>
        <v>540430084.4362824</v>
      </c>
      <c r="AX23" s="199">
        <f t="shared" si="221"/>
        <v>553940836.54718924</v>
      </c>
      <c r="AY23" s="199">
        <f t="shared" si="221"/>
        <v>567789357.46086895</v>
      </c>
      <c r="AZ23" s="199">
        <f t="shared" si="221"/>
        <v>581984091.3973906</v>
      </c>
      <c r="BA23" s="199">
        <f t="shared" si="221"/>
        <v>596533693.68232536</v>
      </c>
      <c r="BB23" s="199">
        <f t="shared" si="221"/>
        <v>611447036.02438343</v>
      </c>
      <c r="BC23" s="199">
        <f t="shared" si="221"/>
        <v>626733211.92499304</v>
      </c>
      <c r="BD23" s="199">
        <f t="shared" si="221"/>
        <v>642401542.22311771</v>
      </c>
      <c r="BE23" s="199">
        <f t="shared" si="221"/>
        <v>658461580.7786957</v>
      </c>
      <c r="BF23" s="199">
        <f t="shared" si="221"/>
        <v>674923120.29816282</v>
      </c>
      <c r="BG23" s="199">
        <f t="shared" si="221"/>
        <v>691796198.30561686</v>
      </c>
      <c r="BI23" s="199">
        <v>0</v>
      </c>
      <c r="BJ23" s="199">
        <f t="shared" ref="BJ23:BJ52" si="222">SUM(C23:E23)</f>
        <v>133608194.79486236</v>
      </c>
      <c r="BK23" s="199">
        <f t="shared" ref="BK23:BK52" si="223">SUM(F23:H23)</f>
        <v>145568308.12034678</v>
      </c>
      <c r="BL23" s="199">
        <f t="shared" ref="BL23:BL52" si="224">SUM(I23:K23)</f>
        <v>185999649.98845062</v>
      </c>
      <c r="BM23" s="199">
        <f t="shared" ref="BM23:BM52" si="225">SUM(L23:N23)</f>
        <v>271745021.73187476</v>
      </c>
      <c r="BN23" s="199">
        <f t="shared" ref="BN23:BN52" si="226">SUM(O23:Q23)</f>
        <v>302644842.13999975</v>
      </c>
      <c r="BO23" s="199">
        <f t="shared" ref="BO23:BO52" si="227">SUM(R23:T23)</f>
        <v>361593283.96999955</v>
      </c>
      <c r="BP23" s="199">
        <f t="shared" ref="BP23:BP52" si="228">SUM(U23:W23)</f>
        <v>379587269.18000001</v>
      </c>
      <c r="BQ23" s="199">
        <f t="shared" ref="BQ23:BQ52" si="229">SUM(X23:Z23)</f>
        <v>495559967.16864461</v>
      </c>
      <c r="BR23" s="199">
        <f t="shared" ref="BR23:BR52" si="230">SUM(AA23:AC23)</f>
        <v>582065154.82468414</v>
      </c>
      <c r="BS23" s="199">
        <f t="shared" ref="BS23:BS52" si="231">SUM(AD23:AF23)</f>
        <v>673813174.85392499</v>
      </c>
      <c r="BT23" s="199">
        <f t="shared" ref="BT23:BT52" si="232">SUM(AG23:AI23)</f>
        <v>780022976.5402751</v>
      </c>
      <c r="BU23" s="199">
        <f t="shared" ref="BU23:BU52" si="233">SUM(AJ23:AL23)</f>
        <v>948122803.12830794</v>
      </c>
      <c r="BV23" s="199">
        <f t="shared" ref="BV23:BV52" si="234">SUM(AM23:AO23)</f>
        <v>1097570659.9714077</v>
      </c>
      <c r="BW23" s="199">
        <f t="shared" ref="BW23:BW52" si="235">SUM(AP23:AR23)</f>
        <v>1270575235.2494011</v>
      </c>
      <c r="BX23" s="199">
        <f t="shared" ref="BX23:BX52" si="236">SUM(AS23:AU23)</f>
        <v>1470849656.7055881</v>
      </c>
      <c r="BY23" s="199">
        <f t="shared" si="18"/>
        <v>1621619783.8481374</v>
      </c>
      <c r="BZ23" s="199">
        <f t="shared" si="19"/>
        <v>1746307142.540585</v>
      </c>
      <c r="CA23" s="199">
        <f t="shared" si="20"/>
        <v>1880581790.1724944</v>
      </c>
      <c r="CB23" s="199">
        <f t="shared" si="21"/>
        <v>2025180899.3824754</v>
      </c>
      <c r="CD23" s="199">
        <f t="shared" ref="CD23:CD52" si="237">SUM(BI23:BL23)</f>
        <v>465176152.90365982</v>
      </c>
      <c r="CE23" s="199">
        <f t="shared" ref="CE23:CE52" si="238">SUM(BM23:BP23)</f>
        <v>1315570417.0218742</v>
      </c>
      <c r="CF23" s="199">
        <f t="shared" ref="CF23:CF52" si="239">SUM(BQ23:BT23)</f>
        <v>2531461273.3875289</v>
      </c>
      <c r="CG23" s="199">
        <f t="shared" ref="CG23:CG52" si="240">SUM(BU23:BX23)</f>
        <v>4787118355.0547047</v>
      </c>
      <c r="CH23" s="810">
        <f t="shared" si="26"/>
        <v>7273689615.9436913</v>
      </c>
    </row>
    <row r="24" spans="2:86" x14ac:dyDescent="0.2">
      <c r="B24" s="155" t="s">
        <v>221</v>
      </c>
      <c r="C24" s="19">
        <f>C4-C12</f>
        <v>12505930.571814699</v>
      </c>
      <c r="D24" s="19">
        <f t="shared" ref="D24:AU24" si="241">D4-D12</f>
        <v>24621610.462962177</v>
      </c>
      <c r="E24" s="19">
        <f t="shared" si="241"/>
        <v>33223538.54538805</v>
      </c>
      <c r="F24" s="19">
        <f t="shared" si="241"/>
        <v>22791543.733961724</v>
      </c>
      <c r="G24" s="19">
        <f t="shared" si="241"/>
        <v>25590082.436655361</v>
      </c>
      <c r="H24" s="19">
        <f t="shared" si="241"/>
        <v>12971601.789707834</v>
      </c>
      <c r="I24" s="19">
        <f t="shared" si="241"/>
        <v>23949671.871644814</v>
      </c>
      <c r="J24" s="19">
        <f t="shared" si="241"/>
        <v>24735047.767636284</v>
      </c>
      <c r="K24" s="19">
        <f t="shared" si="241"/>
        <v>26479859.31000001</v>
      </c>
      <c r="L24" s="19">
        <f t="shared" si="241"/>
        <v>24655275.499951914</v>
      </c>
      <c r="M24" s="19">
        <f t="shared" si="241"/>
        <v>48956699.584636249</v>
      </c>
      <c r="N24" s="19">
        <f t="shared" si="241"/>
        <v>55747348.046831012</v>
      </c>
      <c r="O24" s="19">
        <f t="shared" si="241"/>
        <v>30327689.649999999</v>
      </c>
      <c r="P24" s="19">
        <f t="shared" si="241"/>
        <v>28226567.940000001</v>
      </c>
      <c r="Q24" s="19">
        <f t="shared" si="241"/>
        <v>39967038.829999998</v>
      </c>
      <c r="R24" s="19">
        <f t="shared" si="241"/>
        <v>34352118.320000008</v>
      </c>
      <c r="S24" s="19">
        <f t="shared" si="241"/>
        <v>48607349.160000011</v>
      </c>
      <c r="T24" s="19">
        <f t="shared" si="241"/>
        <v>48183133.869999982</v>
      </c>
      <c r="U24" s="19">
        <f t="shared" si="241"/>
        <v>47515546.089999989</v>
      </c>
      <c r="V24" s="19">
        <f t="shared" si="241"/>
        <v>51968385.379999995</v>
      </c>
      <c r="W24" s="19">
        <f t="shared" si="241"/>
        <v>40669931.810000017</v>
      </c>
      <c r="X24" s="19">
        <f t="shared" si="241"/>
        <v>41077556.382498428</v>
      </c>
      <c r="Y24" s="19">
        <f t="shared" si="241"/>
        <v>45185312.020748273</v>
      </c>
      <c r="Z24" s="19">
        <f t="shared" si="241"/>
        <v>47444577.621785685</v>
      </c>
      <c r="AA24" s="19">
        <f t="shared" si="241"/>
        <v>49816806.50287497</v>
      </c>
      <c r="AB24" s="19">
        <f t="shared" si="241"/>
        <v>52307646.82801871</v>
      </c>
      <c r="AC24" s="19">
        <f t="shared" si="241"/>
        <v>54923029.169419646</v>
      </c>
      <c r="AD24" s="19">
        <f t="shared" si="241"/>
        <v>57669180.627890632</v>
      </c>
      <c r="AE24" s="19">
        <f t="shared" si="241"/>
        <v>60552639.659285173</v>
      </c>
      <c r="AF24" s="19">
        <f t="shared" si="241"/>
        <v>63580271.642249435</v>
      </c>
      <c r="AG24" s="19">
        <f t="shared" si="241"/>
        <v>66759285.224361911</v>
      </c>
      <c r="AH24" s="19">
        <f t="shared" si="241"/>
        <v>70097249.485580012</v>
      </c>
      <c r="AI24" s="19">
        <f t="shared" si="241"/>
        <v>73602111.959859014</v>
      </c>
      <c r="AJ24" s="19">
        <f t="shared" si="241"/>
        <v>81146328.435744569</v>
      </c>
      <c r="AK24" s="19">
        <f t="shared" si="241"/>
        <v>85203644.857531786</v>
      </c>
      <c r="AL24" s="19">
        <f t="shared" si="241"/>
        <v>89463827.10040839</v>
      </c>
      <c r="AM24" s="19">
        <f t="shared" si="241"/>
        <v>93937018.455428839</v>
      </c>
      <c r="AN24" s="19">
        <f t="shared" si="241"/>
        <v>98633869.378200278</v>
      </c>
      <c r="AO24" s="19">
        <f t="shared" si="241"/>
        <v>103565562.8471103</v>
      </c>
      <c r="AP24" s="19">
        <f t="shared" si="241"/>
        <v>108743840.98946582</v>
      </c>
      <c r="AQ24" s="19">
        <f t="shared" si="241"/>
        <v>114181033.03893912</v>
      </c>
      <c r="AR24" s="19">
        <f t="shared" si="241"/>
        <v>119890084.69088607</v>
      </c>
      <c r="AS24" s="19">
        <f t="shared" si="241"/>
        <v>125884588.92543037</v>
      </c>
      <c r="AT24" s="19">
        <f t="shared" si="241"/>
        <v>132178818.3717019</v>
      </c>
      <c r="AU24" s="19">
        <f t="shared" si="241"/>
        <v>138787759.29028702</v>
      </c>
      <c r="AV24" s="19">
        <f t="shared" ref="AV24:BG24" si="242">AV4-AV12</f>
        <v>142257453.27254418</v>
      </c>
      <c r="AW24" s="19">
        <f t="shared" si="242"/>
        <v>145813889.60435778</v>
      </c>
      <c r="AX24" s="19">
        <f t="shared" si="242"/>
        <v>149459236.84446669</v>
      </c>
      <c r="AY24" s="19">
        <f t="shared" si="242"/>
        <v>153195717.76557833</v>
      </c>
      <c r="AZ24" s="19">
        <f t="shared" si="242"/>
        <v>157025610.70971778</v>
      </c>
      <c r="BA24" s="19">
        <f t="shared" si="242"/>
        <v>160951250.97746071</v>
      </c>
      <c r="BB24" s="19">
        <f t="shared" si="242"/>
        <v>164975032.25189722</v>
      </c>
      <c r="BC24" s="19">
        <f t="shared" si="242"/>
        <v>169099408.05819464</v>
      </c>
      <c r="BD24" s="19">
        <f t="shared" si="242"/>
        <v>173326893.25964949</v>
      </c>
      <c r="BE24" s="19">
        <f t="shared" si="242"/>
        <v>177660065.59114072</v>
      </c>
      <c r="BF24" s="19">
        <f t="shared" si="242"/>
        <v>182101567.23091918</v>
      </c>
      <c r="BG24" s="19">
        <f t="shared" si="242"/>
        <v>186654106.41169214</v>
      </c>
      <c r="BI24" s="19"/>
      <c r="BJ24" s="19">
        <f t="shared" si="222"/>
        <v>70351079.580164924</v>
      </c>
      <c r="BK24" s="19">
        <f t="shared" si="223"/>
        <v>61353227.960324921</v>
      </c>
      <c r="BL24" s="19">
        <f t="shared" si="224"/>
        <v>75164578.949281096</v>
      </c>
      <c r="BM24" s="19">
        <f t="shared" si="225"/>
        <v>129359323.13141918</v>
      </c>
      <c r="BN24" s="19">
        <f t="shared" si="226"/>
        <v>98521296.420000002</v>
      </c>
      <c r="BO24" s="19">
        <f t="shared" si="227"/>
        <v>131142601.34999999</v>
      </c>
      <c r="BP24" s="19">
        <f t="shared" si="228"/>
        <v>140153863.28</v>
      </c>
      <c r="BQ24" s="19">
        <f t="shared" si="229"/>
        <v>133707446.02503239</v>
      </c>
      <c r="BR24" s="19">
        <f t="shared" si="230"/>
        <v>157047482.50031334</v>
      </c>
      <c r="BS24" s="19">
        <f t="shared" si="231"/>
        <v>181802091.92942524</v>
      </c>
      <c r="BT24" s="19">
        <f t="shared" si="232"/>
        <v>210458646.66980094</v>
      </c>
      <c r="BU24" s="19">
        <f t="shared" si="233"/>
        <v>255813800.39368474</v>
      </c>
      <c r="BV24" s="19">
        <f t="shared" si="234"/>
        <v>296136450.6807394</v>
      </c>
      <c r="BW24" s="19">
        <f t="shared" si="235"/>
        <v>342814958.71929103</v>
      </c>
      <c r="BX24" s="19">
        <f t="shared" si="236"/>
        <v>396851166.58741927</v>
      </c>
      <c r="BY24" s="19">
        <f t="shared" si="18"/>
        <v>437530579.72136867</v>
      </c>
      <c r="BZ24" s="19">
        <f t="shared" si="19"/>
        <v>471172579.45275688</v>
      </c>
      <c r="CA24" s="19">
        <f t="shared" si="20"/>
        <v>507401333.56974137</v>
      </c>
      <c r="CB24" s="19">
        <f t="shared" si="21"/>
        <v>546415739.23375201</v>
      </c>
      <c r="CD24" s="19">
        <f t="shared" si="237"/>
        <v>206868886.48977095</v>
      </c>
      <c r="CE24" s="19">
        <f t="shared" si="238"/>
        <v>499177084.18141913</v>
      </c>
      <c r="CF24" s="19">
        <f t="shared" si="239"/>
        <v>683015667.12457192</v>
      </c>
      <c r="CG24" s="19">
        <f t="shared" si="240"/>
        <v>1291616376.3811345</v>
      </c>
      <c r="CH24" s="770">
        <f t="shared" si="26"/>
        <v>1962520231.9776189</v>
      </c>
    </row>
    <row r="25" spans="2:86" x14ac:dyDescent="0.2">
      <c r="B25" s="155" t="s">
        <v>222</v>
      </c>
      <c r="C25" s="19">
        <f t="shared" ref="C25:AU25" si="243">C5-C13</f>
        <v>19445082.021092631</v>
      </c>
      <c r="D25" s="19">
        <f t="shared" si="243"/>
        <v>18327389.712005764</v>
      </c>
      <c r="E25" s="19">
        <f t="shared" si="243"/>
        <v>25484643.481599018</v>
      </c>
      <c r="F25" s="19">
        <f t="shared" si="243"/>
        <v>20322246.060225304</v>
      </c>
      <c r="G25" s="19">
        <f t="shared" si="243"/>
        <v>26734402.539823052</v>
      </c>
      <c r="H25" s="19">
        <f t="shared" si="243"/>
        <v>37158431.559973516</v>
      </c>
      <c r="I25" s="19">
        <f t="shared" si="243"/>
        <v>41113492.120063983</v>
      </c>
      <c r="J25" s="19">
        <f t="shared" si="243"/>
        <v>34282662.939013556</v>
      </c>
      <c r="K25" s="19">
        <f t="shared" si="243"/>
        <v>35438915.980091974</v>
      </c>
      <c r="L25" s="19">
        <f t="shared" si="243"/>
        <v>37622693.380031332</v>
      </c>
      <c r="M25" s="19">
        <f t="shared" si="243"/>
        <v>48375892.860301927</v>
      </c>
      <c r="N25" s="19">
        <f t="shared" si="243"/>
        <v>56387112.360122338</v>
      </c>
      <c r="O25" s="19">
        <f t="shared" si="243"/>
        <v>66533718.739999816</v>
      </c>
      <c r="P25" s="19">
        <f t="shared" si="243"/>
        <v>70844971.62999998</v>
      </c>
      <c r="Q25" s="19">
        <f t="shared" si="243"/>
        <v>66744855.34999992</v>
      </c>
      <c r="R25" s="19">
        <f t="shared" si="243"/>
        <v>63861215.119999915</v>
      </c>
      <c r="S25" s="19">
        <f t="shared" si="243"/>
        <v>72640248.919999808</v>
      </c>
      <c r="T25" s="19">
        <f t="shared" si="243"/>
        <v>93949218.579999834</v>
      </c>
      <c r="U25" s="19">
        <f t="shared" si="243"/>
        <v>90763193.900000036</v>
      </c>
      <c r="V25" s="19">
        <f t="shared" si="243"/>
        <v>70485620.549999997</v>
      </c>
      <c r="W25" s="19">
        <f t="shared" si="243"/>
        <v>78184591.449999988</v>
      </c>
      <c r="X25" s="19">
        <f t="shared" si="243"/>
        <v>111168209.26071036</v>
      </c>
      <c r="Y25" s="19">
        <f t="shared" si="243"/>
        <v>122285030.18678141</v>
      </c>
      <c r="Z25" s="19">
        <f t="shared" si="243"/>
        <v>128399281.69612047</v>
      </c>
      <c r="AA25" s="19">
        <f t="shared" si="243"/>
        <v>134819245.7809265</v>
      </c>
      <c r="AB25" s="19">
        <f t="shared" si="243"/>
        <v>141560208.06997281</v>
      </c>
      <c r="AC25" s="19">
        <f t="shared" si="243"/>
        <v>148638218.47347146</v>
      </c>
      <c r="AD25" s="19">
        <f t="shared" si="243"/>
        <v>156070129.39714506</v>
      </c>
      <c r="AE25" s="19">
        <f t="shared" si="243"/>
        <v>163873635.86700231</v>
      </c>
      <c r="AF25" s="19">
        <f t="shared" si="243"/>
        <v>172067317.66035244</v>
      </c>
      <c r="AG25" s="19">
        <f t="shared" si="243"/>
        <v>180670683.54337007</v>
      </c>
      <c r="AH25" s="19">
        <f t="shared" si="243"/>
        <v>189704217.72053859</v>
      </c>
      <c r="AI25" s="19">
        <f t="shared" si="243"/>
        <v>199189428.60656551</v>
      </c>
      <c r="AJ25" s="19">
        <f t="shared" si="243"/>
        <v>219606345.03873852</v>
      </c>
      <c r="AK25" s="19">
        <f t="shared" si="243"/>
        <v>230586662.29067546</v>
      </c>
      <c r="AL25" s="19">
        <f t="shared" si="243"/>
        <v>242115995.40520924</v>
      </c>
      <c r="AM25" s="19">
        <f t="shared" si="243"/>
        <v>254221795.1754697</v>
      </c>
      <c r="AN25" s="19">
        <f t="shared" si="243"/>
        <v>266932884.9342432</v>
      </c>
      <c r="AO25" s="19">
        <f t="shared" si="243"/>
        <v>280279529.18095541</v>
      </c>
      <c r="AP25" s="19">
        <f t="shared" si="243"/>
        <v>294293505.64000314</v>
      </c>
      <c r="AQ25" s="19">
        <f t="shared" si="243"/>
        <v>309008180.92200333</v>
      </c>
      <c r="AR25" s="19">
        <f t="shared" si="243"/>
        <v>324458589.96810353</v>
      </c>
      <c r="AS25" s="19">
        <f t="shared" si="243"/>
        <v>340681519.46650875</v>
      </c>
      <c r="AT25" s="19">
        <f t="shared" si="243"/>
        <v>357715595.43983418</v>
      </c>
      <c r="AU25" s="19">
        <f t="shared" si="243"/>
        <v>375601375.21182585</v>
      </c>
      <c r="AV25" s="19">
        <f t="shared" ref="AV25:BG25" si="244">AV5-AV13</f>
        <v>384991409.59212148</v>
      </c>
      <c r="AW25" s="19">
        <f t="shared" si="244"/>
        <v>394616194.83192456</v>
      </c>
      <c r="AX25" s="19">
        <f t="shared" si="244"/>
        <v>404481599.70272261</v>
      </c>
      <c r="AY25" s="19">
        <f t="shared" si="244"/>
        <v>414593639.69529063</v>
      </c>
      <c r="AZ25" s="19">
        <f t="shared" si="244"/>
        <v>424958480.68767285</v>
      </c>
      <c r="BA25" s="19">
        <f t="shared" si="244"/>
        <v>435582442.70486462</v>
      </c>
      <c r="BB25" s="19">
        <f t="shared" si="244"/>
        <v>446472003.77248621</v>
      </c>
      <c r="BC25" s="19">
        <f t="shared" si="244"/>
        <v>457633803.86679834</v>
      </c>
      <c r="BD25" s="19">
        <f t="shared" si="244"/>
        <v>469074648.96346825</v>
      </c>
      <c r="BE25" s="19">
        <f t="shared" si="244"/>
        <v>480801515.18755496</v>
      </c>
      <c r="BF25" s="19">
        <f t="shared" si="244"/>
        <v>492821553.06724364</v>
      </c>
      <c r="BG25" s="19">
        <f t="shared" si="244"/>
        <v>505142091.89392471</v>
      </c>
      <c r="BI25" s="19">
        <v>0</v>
      </c>
      <c r="BJ25" s="19">
        <f t="shared" si="222"/>
        <v>63257115.214697413</v>
      </c>
      <c r="BK25" s="19">
        <f t="shared" si="223"/>
        <v>84215080.160021871</v>
      </c>
      <c r="BL25" s="19">
        <f t="shared" si="224"/>
        <v>110835071.03916951</v>
      </c>
      <c r="BM25" s="19">
        <f t="shared" si="225"/>
        <v>142385698.60045558</v>
      </c>
      <c r="BN25" s="19">
        <f t="shared" si="226"/>
        <v>204123545.71999973</v>
      </c>
      <c r="BO25" s="19">
        <f t="shared" si="227"/>
        <v>230450682.61999956</v>
      </c>
      <c r="BP25" s="19">
        <f t="shared" si="228"/>
        <v>239433405.90000004</v>
      </c>
      <c r="BQ25" s="19">
        <f t="shared" si="229"/>
        <v>361852521.14361227</v>
      </c>
      <c r="BR25" s="19">
        <f t="shared" si="230"/>
        <v>425017672.3243708</v>
      </c>
      <c r="BS25" s="19">
        <f t="shared" si="231"/>
        <v>492011082.92449987</v>
      </c>
      <c r="BT25" s="19">
        <f t="shared" si="232"/>
        <v>569564329.8704741</v>
      </c>
      <c r="BU25" s="19">
        <f t="shared" si="233"/>
        <v>692309002.73462319</v>
      </c>
      <c r="BV25" s="19">
        <f t="shared" si="234"/>
        <v>801434209.29066825</v>
      </c>
      <c r="BW25" s="19">
        <f t="shared" si="235"/>
        <v>927760276.53011</v>
      </c>
      <c r="BX25" s="19">
        <f t="shared" si="236"/>
        <v>1073998490.1181688</v>
      </c>
      <c r="BY25" s="19">
        <f t="shared" si="18"/>
        <v>1184089204.1267686</v>
      </c>
      <c r="BZ25" s="19">
        <f t="shared" si="19"/>
        <v>1275134563.0878282</v>
      </c>
      <c r="CA25" s="19">
        <f t="shared" si="20"/>
        <v>1373180456.6027529</v>
      </c>
      <c r="CB25" s="19">
        <f t="shared" si="21"/>
        <v>1478765160.1487234</v>
      </c>
      <c r="CD25" s="19">
        <f t="shared" si="237"/>
        <v>258307266.41388881</v>
      </c>
      <c r="CE25" s="19">
        <f t="shared" si="238"/>
        <v>816393332.84045482</v>
      </c>
      <c r="CF25" s="19">
        <f t="shared" si="239"/>
        <v>1848445606.2629569</v>
      </c>
      <c r="CG25" s="19">
        <f t="shared" si="240"/>
        <v>3495501978.6735702</v>
      </c>
      <c r="CH25" s="770">
        <f t="shared" si="26"/>
        <v>5311169383.966073</v>
      </c>
    </row>
    <row r="26" spans="2:86" x14ac:dyDescent="0.2">
      <c r="B26" s="15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D26" s="10"/>
      <c r="CE26" s="10"/>
      <c r="CF26" s="10"/>
      <c r="CG26" s="10"/>
      <c r="CH26" s="812"/>
    </row>
    <row r="27" spans="2:86" x14ac:dyDescent="0.2">
      <c r="B27" s="159" t="s">
        <v>5</v>
      </c>
      <c r="C27" s="158">
        <f>SUM(C28:C29)</f>
        <v>1471</v>
      </c>
      <c r="D27" s="158">
        <f t="shared" ref="D27" si="245">SUM(D28:D29)</f>
        <v>2266</v>
      </c>
      <c r="E27" s="158">
        <f t="shared" ref="E27" si="246">SUM(E28:E29)</f>
        <v>2877</v>
      </c>
      <c r="F27" s="158">
        <f t="shared" ref="F27" si="247">SUM(F28:F29)</f>
        <v>2174</v>
      </c>
      <c r="G27" s="158">
        <f t="shared" ref="G27" si="248">SUM(G28:G29)</f>
        <v>2575</v>
      </c>
      <c r="H27" s="158">
        <f t="shared" ref="H27" si="249">SUM(H28:H29)</f>
        <v>2241</v>
      </c>
      <c r="I27" s="158">
        <f t="shared" ref="I27" si="250">SUM(I28:I29)</f>
        <v>2876</v>
      </c>
      <c r="J27" s="158">
        <f t="shared" ref="J27" si="251">SUM(J28:J29)</f>
        <v>3011</v>
      </c>
      <c r="K27" s="158">
        <f t="shared" ref="K27" si="252">SUM(K28:K29)</f>
        <v>3329</v>
      </c>
      <c r="L27" s="158">
        <f t="shared" ref="L27" si="253">SUM(L28:L29)</f>
        <v>3019</v>
      </c>
      <c r="M27" s="158">
        <f t="shared" ref="M27" si="254">SUM(M28:M29)</f>
        <v>5434</v>
      </c>
      <c r="N27" s="158">
        <f t="shared" ref="N27" si="255">SUM(N28:N29)</f>
        <v>6727</v>
      </c>
      <c r="O27" s="158">
        <f t="shared" ref="O27" si="256">SUM(O28:O29)</f>
        <v>4945</v>
      </c>
      <c r="P27" s="158">
        <f t="shared" ref="P27" si="257">SUM(P28:P29)</f>
        <v>4635</v>
      </c>
      <c r="Q27" s="158">
        <f t="shared" ref="Q27" si="258">SUM(Q28:Q29)</f>
        <v>5589</v>
      </c>
      <c r="R27" s="158">
        <f t="shared" ref="R27" si="259">SUM(R28:R29)</f>
        <v>5160</v>
      </c>
      <c r="S27" s="158">
        <f t="shared" ref="S27" si="260">SUM(S28:S29)</f>
        <v>9556</v>
      </c>
      <c r="T27" s="158">
        <f t="shared" ref="T27" si="261">SUM(T28:T29)</f>
        <v>7741</v>
      </c>
      <c r="U27" s="158">
        <f t="shared" ref="U27" si="262">SUM(U28:U29)</f>
        <v>7994</v>
      </c>
      <c r="V27" s="158">
        <f t="shared" ref="V27" si="263">SUM(V28:V29)</f>
        <v>6448</v>
      </c>
      <c r="W27" s="158">
        <f t="shared" ref="W27" si="264">SUM(W28:W29)</f>
        <v>5724</v>
      </c>
      <c r="X27" s="158">
        <f t="shared" ref="X27" si="265">SUM(X28:X29)</f>
        <v>7038.7623106055016</v>
      </c>
      <c r="Y27" s="158">
        <f t="shared" ref="Y27" si="266">SUM(Y28:Y29)</f>
        <v>7742.6385416660523</v>
      </c>
      <c r="Z27" s="158">
        <f t="shared" ref="Z27" si="267">SUM(Z28:Z29)</f>
        <v>8129.7704687493551</v>
      </c>
      <c r="AA27" s="158">
        <f t="shared" ref="AA27" si="268">SUM(AA28:AA29)</f>
        <v>8536.2589921868239</v>
      </c>
      <c r="AB27" s="158">
        <f t="shared" ref="AB27" si="269">SUM(AB28:AB29)</f>
        <v>8963.0719417961645</v>
      </c>
      <c r="AC27" s="158">
        <f t="shared" ref="AC27" si="270">SUM(AC28:AC29)</f>
        <v>9411.2255388859721</v>
      </c>
      <c r="AD27" s="158">
        <f t="shared" ref="AD27" si="271">SUM(AD28:AD29)</f>
        <v>9881.7868158302717</v>
      </c>
      <c r="AE27" s="158">
        <f t="shared" ref="AE27" si="272">SUM(AE28:AE29)</f>
        <v>10375.876156621787</v>
      </c>
      <c r="AF27" s="158">
        <f t="shared" ref="AF27" si="273">SUM(AF28:AF29)</f>
        <v>10894.669964452876</v>
      </c>
      <c r="AG27" s="158">
        <f t="shared" ref="AG27" si="274">SUM(AG28:AG29)</f>
        <v>11439.40346267552</v>
      </c>
      <c r="AH27" s="158">
        <f t="shared" ref="AH27" si="275">SUM(AH28:AH29)</f>
        <v>12011.373635809297</v>
      </c>
      <c r="AI27" s="158">
        <f t="shared" ref="AI27" si="276">SUM(AI28:AI29)</f>
        <v>12611.942317599762</v>
      </c>
      <c r="AJ27" s="158">
        <f t="shared" ref="AJ27" si="277">SUM(AJ28:AJ29)</f>
        <v>13242.539433479749</v>
      </c>
      <c r="AK27" s="158">
        <f t="shared" ref="AK27" si="278">SUM(AK28:AK29)</f>
        <v>13904.666405153737</v>
      </c>
      <c r="AL27" s="158">
        <f t="shared" ref="AL27" si="279">SUM(AL28:AL29)</f>
        <v>14599.899725411426</v>
      </c>
      <c r="AM27" s="158">
        <f t="shared" ref="AM27" si="280">SUM(AM28:AM29)</f>
        <v>15329.894711681998</v>
      </c>
      <c r="AN27" s="158">
        <f t="shared" ref="AN27" si="281">SUM(AN28:AN29)</f>
        <v>16096.3894472661</v>
      </c>
      <c r="AO27" s="158">
        <f t="shared" ref="AO27" si="282">SUM(AO28:AO29)</f>
        <v>16901.208919629404</v>
      </c>
      <c r="AP27" s="158">
        <f t="shared" ref="AP27" si="283">SUM(AP28:AP29)</f>
        <v>17746.269365610875</v>
      </c>
      <c r="AQ27" s="158">
        <f t="shared" ref="AQ27" si="284">SUM(AQ28:AQ29)</f>
        <v>18633.582833891422</v>
      </c>
      <c r="AR27" s="158">
        <f t="shared" ref="AR27" si="285">SUM(AR28:AR29)</f>
        <v>19565.261975585992</v>
      </c>
      <c r="AS27" s="158">
        <f t="shared" ref="AS27" si="286">SUM(AS28:AS29)</f>
        <v>20543.525074365294</v>
      </c>
      <c r="AT27" s="158">
        <f t="shared" ref="AT27" si="287">SUM(AT28:AT29)</f>
        <v>21570.70132808356</v>
      </c>
      <c r="AU27" s="158">
        <f t="shared" ref="AU27" si="288">SUM(AU28:AU29)</f>
        <v>22649.236394487736</v>
      </c>
      <c r="AV27" s="158">
        <f t="shared" ref="AV27:BG27" si="289">SUM(AV28:AV29)</f>
        <v>23215.467304349932</v>
      </c>
      <c r="AW27" s="158">
        <f t="shared" si="289"/>
        <v>23795.853986958675</v>
      </c>
      <c r="AX27" s="158">
        <f t="shared" si="289"/>
        <v>24390.750336632642</v>
      </c>
      <c r="AY27" s="158">
        <f t="shared" si="289"/>
        <v>25000.519095048454</v>
      </c>
      <c r="AZ27" s="158">
        <f t="shared" si="289"/>
        <v>25625.532072424663</v>
      </c>
      <c r="BA27" s="158">
        <f t="shared" si="289"/>
        <v>26266.170374235277</v>
      </c>
      <c r="BB27" s="158">
        <f t="shared" si="289"/>
        <v>26922.824633591157</v>
      </c>
      <c r="BC27" s="158">
        <f t="shared" si="289"/>
        <v>27595.895249430934</v>
      </c>
      <c r="BD27" s="158">
        <f t="shared" si="289"/>
        <v>28285.792630666707</v>
      </c>
      <c r="BE27" s="158">
        <f t="shared" si="289"/>
        <v>28992.937446433367</v>
      </c>
      <c r="BF27" s="158">
        <f t="shared" si="289"/>
        <v>29717.760882594197</v>
      </c>
      <c r="BG27" s="158">
        <f t="shared" si="289"/>
        <v>30460.704904659051</v>
      </c>
      <c r="BI27" s="158">
        <v>0</v>
      </c>
      <c r="BJ27" s="158">
        <f t="shared" si="222"/>
        <v>6614</v>
      </c>
      <c r="BK27" s="158">
        <f t="shared" si="223"/>
        <v>6990</v>
      </c>
      <c r="BL27" s="158">
        <f t="shared" si="224"/>
        <v>9216</v>
      </c>
      <c r="BM27" s="158">
        <f t="shared" si="225"/>
        <v>15180</v>
      </c>
      <c r="BN27" s="158">
        <f t="shared" si="226"/>
        <v>15169</v>
      </c>
      <c r="BO27" s="158">
        <f t="shared" si="227"/>
        <v>22457</v>
      </c>
      <c r="BP27" s="158">
        <f t="shared" si="228"/>
        <v>20166</v>
      </c>
      <c r="BQ27" s="158">
        <f t="shared" si="229"/>
        <v>22911.171321020909</v>
      </c>
      <c r="BR27" s="158">
        <f t="shared" si="230"/>
        <v>26910.556472868957</v>
      </c>
      <c r="BS27" s="158">
        <f t="shared" si="231"/>
        <v>31152.332936904939</v>
      </c>
      <c r="BT27" s="158">
        <f t="shared" si="232"/>
        <v>36062.719416084583</v>
      </c>
      <c r="BU27" s="158">
        <f t="shared" si="233"/>
        <v>41747.105564044912</v>
      </c>
      <c r="BV27" s="158">
        <f t="shared" si="234"/>
        <v>48327.4930785775</v>
      </c>
      <c r="BW27" s="158">
        <f t="shared" si="235"/>
        <v>55945.114175088289</v>
      </c>
      <c r="BX27" s="158">
        <f t="shared" si="236"/>
        <v>64763.46279693659</v>
      </c>
      <c r="BY27" s="158">
        <f t="shared" si="18"/>
        <v>71402.071627941245</v>
      </c>
      <c r="BZ27" s="158">
        <f t="shared" si="19"/>
        <v>76892.221541708393</v>
      </c>
      <c r="CA27" s="158">
        <f t="shared" si="20"/>
        <v>82804.512513688795</v>
      </c>
      <c r="CB27" s="158">
        <f t="shared" si="21"/>
        <v>89171.403233686622</v>
      </c>
      <c r="CD27" s="158">
        <f t="shared" si="237"/>
        <v>22820</v>
      </c>
      <c r="CE27" s="158">
        <f t="shared" si="238"/>
        <v>72972</v>
      </c>
      <c r="CF27" s="158">
        <f t="shared" si="239"/>
        <v>117036.78014687938</v>
      </c>
      <c r="CG27" s="158">
        <f t="shared" si="240"/>
        <v>210783.17561464731</v>
      </c>
      <c r="CH27" s="780">
        <f t="shared" si="26"/>
        <v>320270.20891702507</v>
      </c>
    </row>
    <row r="28" spans="2:86" x14ac:dyDescent="0.2">
      <c r="B28" s="155" t="s">
        <v>221</v>
      </c>
      <c r="C28" s="165">
        <f>C8-C16</f>
        <v>936</v>
      </c>
      <c r="D28" s="165">
        <f t="shared" ref="D28:AU28" si="290">D8-D16</f>
        <v>1787</v>
      </c>
      <c r="E28" s="165">
        <f t="shared" si="290"/>
        <v>2244</v>
      </c>
      <c r="F28" s="165">
        <f t="shared" si="290"/>
        <v>1681</v>
      </c>
      <c r="G28" s="165">
        <f t="shared" si="290"/>
        <v>1850</v>
      </c>
      <c r="H28" s="165">
        <f t="shared" si="290"/>
        <v>1122</v>
      </c>
      <c r="I28" s="165">
        <f t="shared" si="290"/>
        <v>1855</v>
      </c>
      <c r="J28" s="165">
        <f t="shared" si="290"/>
        <v>1849</v>
      </c>
      <c r="K28" s="165">
        <f t="shared" si="290"/>
        <v>2086</v>
      </c>
      <c r="L28" s="165">
        <f t="shared" si="290"/>
        <v>1972</v>
      </c>
      <c r="M28" s="165">
        <f t="shared" si="290"/>
        <v>4010</v>
      </c>
      <c r="N28" s="165">
        <f t="shared" si="290"/>
        <v>4975</v>
      </c>
      <c r="O28" s="165">
        <f t="shared" si="290"/>
        <v>2994</v>
      </c>
      <c r="P28" s="165">
        <f t="shared" si="290"/>
        <v>2649</v>
      </c>
      <c r="Q28" s="165">
        <f t="shared" si="290"/>
        <v>3556</v>
      </c>
      <c r="R28" s="165">
        <f t="shared" si="290"/>
        <v>3116</v>
      </c>
      <c r="S28" s="165">
        <f t="shared" si="290"/>
        <v>7173</v>
      </c>
      <c r="T28" s="165">
        <f t="shared" si="290"/>
        <v>4769</v>
      </c>
      <c r="U28" s="165">
        <f t="shared" si="290"/>
        <v>5206</v>
      </c>
      <c r="V28" s="165">
        <f t="shared" si="290"/>
        <v>4435</v>
      </c>
      <c r="W28" s="165">
        <f t="shared" si="290"/>
        <v>3583</v>
      </c>
      <c r="X28" s="165">
        <f t="shared" si="290"/>
        <v>3867.3060883430976</v>
      </c>
      <c r="Y28" s="165">
        <f t="shared" si="290"/>
        <v>4254.0366971774074</v>
      </c>
      <c r="Z28" s="165">
        <f t="shared" si="290"/>
        <v>4466.7385320362782</v>
      </c>
      <c r="AA28" s="165">
        <f t="shared" si="290"/>
        <v>4690.0754586380917</v>
      </c>
      <c r="AB28" s="165">
        <f t="shared" si="290"/>
        <v>4924.5792315699964</v>
      </c>
      <c r="AC28" s="165">
        <f t="shared" si="290"/>
        <v>5170.8081931484958</v>
      </c>
      <c r="AD28" s="165">
        <f t="shared" si="290"/>
        <v>5429.3486028059215</v>
      </c>
      <c r="AE28" s="165">
        <f t="shared" si="290"/>
        <v>5700.816032946218</v>
      </c>
      <c r="AF28" s="165">
        <f t="shared" si="290"/>
        <v>5985.8568345935291</v>
      </c>
      <c r="AG28" s="165">
        <f t="shared" si="290"/>
        <v>6285.1496763232062</v>
      </c>
      <c r="AH28" s="165">
        <f t="shared" si="290"/>
        <v>6599.4071601393671</v>
      </c>
      <c r="AI28" s="165">
        <f t="shared" si="290"/>
        <v>6929.3775181463352</v>
      </c>
      <c r="AJ28" s="165">
        <f t="shared" si="290"/>
        <v>7275.8463940536521</v>
      </c>
      <c r="AK28" s="165">
        <f t="shared" si="290"/>
        <v>7639.6387137563343</v>
      </c>
      <c r="AL28" s="165">
        <f t="shared" si="290"/>
        <v>8021.6206494441521</v>
      </c>
      <c r="AM28" s="165">
        <f t="shared" si="290"/>
        <v>8422.70168191636</v>
      </c>
      <c r="AN28" s="165">
        <f t="shared" si="290"/>
        <v>8843.8367660121785</v>
      </c>
      <c r="AO28" s="165">
        <f t="shared" si="290"/>
        <v>9286.028604312789</v>
      </c>
      <c r="AP28" s="165">
        <f t="shared" si="290"/>
        <v>9750.3300345284279</v>
      </c>
      <c r="AQ28" s="165">
        <f t="shared" si="290"/>
        <v>10237.84653625485</v>
      </c>
      <c r="AR28" s="165">
        <f t="shared" si="290"/>
        <v>10749.738863067592</v>
      </c>
      <c r="AS28" s="165">
        <f t="shared" si="290"/>
        <v>11287.225806220973</v>
      </c>
      <c r="AT28" s="165">
        <f t="shared" si="290"/>
        <v>11851.587096532023</v>
      </c>
      <c r="AU28" s="165">
        <f t="shared" si="290"/>
        <v>12444.166451358624</v>
      </c>
      <c r="AV28" s="165">
        <f t="shared" ref="AV28:BG28" si="291">AV8-AV16</f>
        <v>12755.270612642589</v>
      </c>
      <c r="AW28" s="165">
        <f t="shared" si="291"/>
        <v>13074.152377958653</v>
      </c>
      <c r="AX28" s="165">
        <f t="shared" si="291"/>
        <v>13401.006187407618</v>
      </c>
      <c r="AY28" s="165">
        <f t="shared" si="291"/>
        <v>13736.031342092807</v>
      </c>
      <c r="AZ28" s="165">
        <f t="shared" si="291"/>
        <v>14079.432125645126</v>
      </c>
      <c r="BA28" s="165">
        <f t="shared" si="291"/>
        <v>14431.417928786252</v>
      </c>
      <c r="BB28" s="165">
        <f t="shared" si="291"/>
        <v>14792.203377005908</v>
      </c>
      <c r="BC28" s="165">
        <f t="shared" si="291"/>
        <v>15162.008461431054</v>
      </c>
      <c r="BD28" s="165">
        <f t="shared" si="291"/>
        <v>15541.05867296683</v>
      </c>
      <c r="BE28" s="165">
        <f t="shared" si="291"/>
        <v>15929.585139790997</v>
      </c>
      <c r="BF28" s="165">
        <f t="shared" si="291"/>
        <v>16327.824768285769</v>
      </c>
      <c r="BG28" s="165">
        <f t="shared" si="291"/>
        <v>16736.020387492914</v>
      </c>
      <c r="BI28" s="165"/>
      <c r="BJ28" s="165">
        <f t="shared" si="222"/>
        <v>4967</v>
      </c>
      <c r="BK28" s="165">
        <f t="shared" si="223"/>
        <v>4653</v>
      </c>
      <c r="BL28" s="165">
        <f t="shared" si="224"/>
        <v>5790</v>
      </c>
      <c r="BM28" s="165">
        <f t="shared" si="225"/>
        <v>10957</v>
      </c>
      <c r="BN28" s="165">
        <f t="shared" si="226"/>
        <v>9199</v>
      </c>
      <c r="BO28" s="165">
        <f t="shared" si="227"/>
        <v>15058</v>
      </c>
      <c r="BP28" s="165">
        <f t="shared" si="228"/>
        <v>13224</v>
      </c>
      <c r="BQ28" s="165">
        <f t="shared" si="229"/>
        <v>12588.081317556782</v>
      </c>
      <c r="BR28" s="165">
        <f t="shared" si="230"/>
        <v>14785.462883356584</v>
      </c>
      <c r="BS28" s="165">
        <f t="shared" si="231"/>
        <v>17116.021470345666</v>
      </c>
      <c r="BT28" s="165">
        <f t="shared" si="232"/>
        <v>19813.934354608908</v>
      </c>
      <c r="BU28" s="165">
        <f t="shared" si="233"/>
        <v>22937.105757254139</v>
      </c>
      <c r="BV28" s="165">
        <f t="shared" si="234"/>
        <v>26552.567052241327</v>
      </c>
      <c r="BW28" s="165">
        <f t="shared" si="235"/>
        <v>30737.915433850871</v>
      </c>
      <c r="BX28" s="165">
        <f t="shared" si="236"/>
        <v>35582.979354111616</v>
      </c>
      <c r="BY28" s="165">
        <f t="shared" si="18"/>
        <v>39230.429178008861</v>
      </c>
      <c r="BZ28" s="165">
        <f t="shared" si="19"/>
        <v>42246.881396524186</v>
      </c>
      <c r="CA28" s="165">
        <f t="shared" si="20"/>
        <v>45495.270511403789</v>
      </c>
      <c r="CB28" s="165">
        <f t="shared" si="21"/>
        <v>48993.430295569677</v>
      </c>
      <c r="CD28" s="165">
        <f t="shared" si="237"/>
        <v>15410</v>
      </c>
      <c r="CE28" s="165">
        <f t="shared" si="238"/>
        <v>48438</v>
      </c>
      <c r="CF28" s="165">
        <f t="shared" si="239"/>
        <v>64303.500025867936</v>
      </c>
      <c r="CG28" s="165">
        <f t="shared" si="240"/>
        <v>115810.56759745796</v>
      </c>
      <c r="CH28" s="804">
        <f t="shared" si="26"/>
        <v>175966.01138150651</v>
      </c>
    </row>
    <row r="29" spans="2:86" x14ac:dyDescent="0.2">
      <c r="B29" s="155" t="s">
        <v>222</v>
      </c>
      <c r="C29" s="165">
        <f>C9-C17</f>
        <v>535</v>
      </c>
      <c r="D29" s="165">
        <f t="shared" ref="D29:AU29" si="292">D9-D17</f>
        <v>479</v>
      </c>
      <c r="E29" s="165">
        <f t="shared" si="292"/>
        <v>633</v>
      </c>
      <c r="F29" s="165">
        <f t="shared" si="292"/>
        <v>493</v>
      </c>
      <c r="G29" s="165">
        <f t="shared" si="292"/>
        <v>725</v>
      </c>
      <c r="H29" s="165">
        <f t="shared" si="292"/>
        <v>1119</v>
      </c>
      <c r="I29" s="165">
        <f t="shared" si="292"/>
        <v>1021</v>
      </c>
      <c r="J29" s="165">
        <f t="shared" si="292"/>
        <v>1162</v>
      </c>
      <c r="K29" s="165">
        <f t="shared" si="292"/>
        <v>1243</v>
      </c>
      <c r="L29" s="165">
        <f t="shared" si="292"/>
        <v>1047</v>
      </c>
      <c r="M29" s="165">
        <f t="shared" si="292"/>
        <v>1424</v>
      </c>
      <c r="N29" s="165">
        <f t="shared" si="292"/>
        <v>1752</v>
      </c>
      <c r="O29" s="165">
        <f t="shared" si="292"/>
        <v>1951</v>
      </c>
      <c r="P29" s="165">
        <f t="shared" si="292"/>
        <v>1986</v>
      </c>
      <c r="Q29" s="165">
        <f t="shared" si="292"/>
        <v>2033</v>
      </c>
      <c r="R29" s="165">
        <f t="shared" si="292"/>
        <v>2044</v>
      </c>
      <c r="S29" s="165">
        <f t="shared" si="292"/>
        <v>2383</v>
      </c>
      <c r="T29" s="165">
        <f t="shared" si="292"/>
        <v>2972</v>
      </c>
      <c r="U29" s="165">
        <f t="shared" si="292"/>
        <v>2788</v>
      </c>
      <c r="V29" s="165">
        <f t="shared" si="292"/>
        <v>2013</v>
      </c>
      <c r="W29" s="165">
        <f t="shared" si="292"/>
        <v>2141</v>
      </c>
      <c r="X29" s="165">
        <f t="shared" si="292"/>
        <v>3171.4562222624045</v>
      </c>
      <c r="Y29" s="165">
        <f t="shared" si="292"/>
        <v>3488.6018444886449</v>
      </c>
      <c r="Z29" s="165">
        <f t="shared" si="292"/>
        <v>3663.0319367130769</v>
      </c>
      <c r="AA29" s="165">
        <f t="shared" si="292"/>
        <v>3846.1835335487312</v>
      </c>
      <c r="AB29" s="165">
        <f t="shared" si="292"/>
        <v>4038.4927102261677</v>
      </c>
      <c r="AC29" s="165">
        <f t="shared" si="292"/>
        <v>4240.4173457374764</v>
      </c>
      <c r="AD29" s="165">
        <f t="shared" si="292"/>
        <v>4452.4382130243503</v>
      </c>
      <c r="AE29" s="165">
        <f t="shared" si="292"/>
        <v>4675.0601236755683</v>
      </c>
      <c r="AF29" s="165">
        <f t="shared" si="292"/>
        <v>4908.8131298593471</v>
      </c>
      <c r="AG29" s="165">
        <f t="shared" si="292"/>
        <v>5154.2537863523139</v>
      </c>
      <c r="AH29" s="165">
        <f t="shared" si="292"/>
        <v>5411.9664756699303</v>
      </c>
      <c r="AI29" s="165">
        <f t="shared" si="292"/>
        <v>5682.5647994534265</v>
      </c>
      <c r="AJ29" s="165">
        <f t="shared" si="292"/>
        <v>5966.693039426098</v>
      </c>
      <c r="AK29" s="165">
        <f t="shared" si="292"/>
        <v>6265.027691397403</v>
      </c>
      <c r="AL29" s="165">
        <f t="shared" si="292"/>
        <v>6578.2790759672735</v>
      </c>
      <c r="AM29" s="165">
        <f t="shared" si="292"/>
        <v>6907.1930297656381</v>
      </c>
      <c r="AN29" s="165">
        <f t="shared" si="292"/>
        <v>7252.552681253921</v>
      </c>
      <c r="AO29" s="165">
        <f t="shared" si="292"/>
        <v>7615.1803153166165</v>
      </c>
      <c r="AP29" s="165">
        <f t="shared" si="292"/>
        <v>7995.939331082448</v>
      </c>
      <c r="AQ29" s="165">
        <f t="shared" si="292"/>
        <v>8395.7362976365712</v>
      </c>
      <c r="AR29" s="165">
        <f t="shared" si="292"/>
        <v>8815.5231125184</v>
      </c>
      <c r="AS29" s="165">
        <f t="shared" si="292"/>
        <v>9256.2992681443211</v>
      </c>
      <c r="AT29" s="165">
        <f t="shared" si="292"/>
        <v>9719.1142315515372</v>
      </c>
      <c r="AU29" s="165">
        <f t="shared" si="292"/>
        <v>10205.069943129114</v>
      </c>
      <c r="AV29" s="165">
        <f t="shared" ref="AV29:BG29" si="293">AV9-AV17</f>
        <v>10460.196691707342</v>
      </c>
      <c r="AW29" s="165">
        <f t="shared" si="293"/>
        <v>10721.701609000023</v>
      </c>
      <c r="AX29" s="165">
        <f t="shared" si="293"/>
        <v>10989.744149225024</v>
      </c>
      <c r="AY29" s="165">
        <f t="shared" si="293"/>
        <v>11264.487752955647</v>
      </c>
      <c r="AZ29" s="165">
        <f t="shared" si="293"/>
        <v>11546.099946779537</v>
      </c>
      <c r="BA29" s="165">
        <f t="shared" si="293"/>
        <v>11834.752445449025</v>
      </c>
      <c r="BB29" s="165">
        <f t="shared" si="293"/>
        <v>12130.621256585249</v>
      </c>
      <c r="BC29" s="165">
        <f t="shared" si="293"/>
        <v>12433.88678799988</v>
      </c>
      <c r="BD29" s="165">
        <f t="shared" si="293"/>
        <v>12744.733957699877</v>
      </c>
      <c r="BE29" s="165">
        <f t="shared" si="293"/>
        <v>13063.352306642371</v>
      </c>
      <c r="BF29" s="165">
        <f t="shared" si="293"/>
        <v>13389.936114308428</v>
      </c>
      <c r="BG29" s="165">
        <f t="shared" si="293"/>
        <v>13724.684517166137</v>
      </c>
      <c r="BI29" s="165">
        <v>0</v>
      </c>
      <c r="BJ29" s="165">
        <f t="shared" si="222"/>
        <v>1647</v>
      </c>
      <c r="BK29" s="165">
        <f t="shared" si="223"/>
        <v>2337</v>
      </c>
      <c r="BL29" s="165">
        <f t="shared" si="224"/>
        <v>3426</v>
      </c>
      <c r="BM29" s="165">
        <f t="shared" si="225"/>
        <v>4223</v>
      </c>
      <c r="BN29" s="165">
        <f t="shared" si="226"/>
        <v>5970</v>
      </c>
      <c r="BO29" s="165">
        <f t="shared" si="227"/>
        <v>7399</v>
      </c>
      <c r="BP29" s="165">
        <f t="shared" si="228"/>
        <v>6942</v>
      </c>
      <c r="BQ29" s="165">
        <f t="shared" si="229"/>
        <v>10323.090003464127</v>
      </c>
      <c r="BR29" s="165">
        <f t="shared" si="230"/>
        <v>12125.093589512375</v>
      </c>
      <c r="BS29" s="165">
        <f t="shared" si="231"/>
        <v>14036.311466559266</v>
      </c>
      <c r="BT29" s="165">
        <f t="shared" si="232"/>
        <v>16248.785061475672</v>
      </c>
      <c r="BU29" s="165">
        <f t="shared" si="233"/>
        <v>18809.999806790773</v>
      </c>
      <c r="BV29" s="165">
        <f t="shared" si="234"/>
        <v>21774.926026336176</v>
      </c>
      <c r="BW29" s="165">
        <f t="shared" si="235"/>
        <v>25207.198741237418</v>
      </c>
      <c r="BX29" s="165">
        <f t="shared" si="236"/>
        <v>29180.483442824974</v>
      </c>
      <c r="BY29" s="165">
        <f t="shared" si="18"/>
        <v>32171.642449932391</v>
      </c>
      <c r="BZ29" s="165">
        <f t="shared" si="19"/>
        <v>34645.340145184207</v>
      </c>
      <c r="CA29" s="165">
        <f t="shared" si="20"/>
        <v>37309.242002285006</v>
      </c>
      <c r="CB29" s="165">
        <f t="shared" si="21"/>
        <v>40177.972938116931</v>
      </c>
      <c r="CD29" s="165">
        <f t="shared" si="237"/>
        <v>7410</v>
      </c>
      <c r="CE29" s="165">
        <f t="shared" si="238"/>
        <v>24534</v>
      </c>
      <c r="CF29" s="165">
        <f t="shared" si="239"/>
        <v>52733.280121011441</v>
      </c>
      <c r="CG29" s="165">
        <f t="shared" si="240"/>
        <v>94972.608017189341</v>
      </c>
      <c r="CH29" s="804">
        <f t="shared" si="26"/>
        <v>144304.19753551853</v>
      </c>
    </row>
    <row r="30" spans="2:86" x14ac:dyDescent="0.2">
      <c r="B30" s="15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D30" s="10"/>
      <c r="CE30" s="10"/>
      <c r="CF30" s="10"/>
      <c r="CG30" s="10"/>
      <c r="CH30" s="812"/>
    </row>
    <row r="31" spans="2:86" x14ac:dyDescent="0.2">
      <c r="B31" s="208" t="s">
        <v>11</v>
      </c>
      <c r="C31" s="199">
        <f>SUM(C32:C33)</f>
        <v>1010108.5618146998</v>
      </c>
      <c r="D31" s="199">
        <f t="shared" ref="D31" si="294">SUM(D32:D33)</f>
        <v>1028268.8321289414</v>
      </c>
      <c r="E31" s="199">
        <f t="shared" ref="E31" si="295">SUM(E32:E33)</f>
        <v>1551133.8084666131</v>
      </c>
      <c r="F31" s="199">
        <f t="shared" ref="F31" si="296">SUM(F32:F33)</f>
        <v>1214887.6808935583</v>
      </c>
      <c r="G31" s="199">
        <f t="shared" ref="G31" si="297">SUM(G32:G33)</f>
        <v>3078562.7577933213</v>
      </c>
      <c r="H31" s="199">
        <f t="shared" ref="H31" si="298">SUM(H32:H33)</f>
        <v>2015748.3613780031</v>
      </c>
      <c r="I31" s="199">
        <f t="shared" ref="I31" si="299">SUM(I32:I33)</f>
        <v>3157125.292563003</v>
      </c>
      <c r="J31" s="199">
        <f t="shared" ref="J31" si="300">SUM(J32:J33)</f>
        <v>3590241.6049287524</v>
      </c>
      <c r="K31" s="199">
        <f t="shared" ref="K31" si="301">SUM(K32:K33)</f>
        <v>2545376.3187090019</v>
      </c>
      <c r="L31" s="199">
        <f t="shared" ref="L31" si="302">SUM(L32:L33)</f>
        <v>2970753.9414439993</v>
      </c>
      <c r="M31" s="199">
        <f t="shared" ref="M31" si="303">SUM(M32:M33)</f>
        <v>6904229.3068523416</v>
      </c>
      <c r="N31" s="199">
        <f t="shared" ref="N31" si="304">SUM(N32:N33)</f>
        <v>9034349.3831409905</v>
      </c>
      <c r="O31" s="199">
        <f t="shared" ref="O31" si="305">SUM(O32:O33)</f>
        <v>5662017.2699999986</v>
      </c>
      <c r="P31" s="199">
        <f t="shared" ref="P31" si="306">SUM(P32:P33)</f>
        <v>5944289.9000000004</v>
      </c>
      <c r="Q31" s="199">
        <f t="shared" ref="Q31" si="307">SUM(Q32:Q33)</f>
        <v>7569568.0199999996</v>
      </c>
      <c r="R31" s="199">
        <f t="shared" ref="R31" si="308">SUM(R32:R33)</f>
        <v>6221501.7199999969</v>
      </c>
      <c r="S31" s="199">
        <f t="shared" ref="S31" si="309">SUM(S32:S33)</f>
        <v>7635388.709999999</v>
      </c>
      <c r="T31" s="199">
        <f t="shared" ref="T31" si="310">SUM(T32:T33)</f>
        <v>9322183.7899999935</v>
      </c>
      <c r="U31" s="199">
        <f t="shared" ref="U31" si="311">SUM(U32:U33)</f>
        <v>8961683.5299999975</v>
      </c>
      <c r="V31" s="199">
        <f t="shared" ref="V31" si="312">SUM(V32:V33)</f>
        <v>7515438.4299999997</v>
      </c>
      <c r="W31" s="199">
        <f t="shared" ref="W31" si="313">SUM(W32:W33)</f>
        <v>7168194.6500000004</v>
      </c>
      <c r="X31" s="199">
        <f t="shared" ref="X31" si="314">SUM(X32:X33)</f>
        <v>9182042.4905619454</v>
      </c>
      <c r="Y31" s="199">
        <f t="shared" ref="Y31" si="315">SUM(Y32:Y33)</f>
        <v>10100246.739618139</v>
      </c>
      <c r="Z31" s="199">
        <f t="shared" ref="Z31" si="316">SUM(Z32:Z33)</f>
        <v>10605259.076599047</v>
      </c>
      <c r="AA31" s="199">
        <f t="shared" ref="AA31" si="317">SUM(AA32:AA33)</f>
        <v>11135522.030429</v>
      </c>
      <c r="AB31" s="199">
        <f t="shared" ref="AB31" si="318">SUM(AB32:AB33)</f>
        <v>11692298.131950449</v>
      </c>
      <c r="AC31" s="199">
        <f t="shared" ref="AC31" si="319">SUM(AC32:AC33)</f>
        <v>12276913.038547972</v>
      </c>
      <c r="AD31" s="199">
        <f t="shared" ref="AD31" si="320">SUM(AD32:AD33)</f>
        <v>12890758.690475371</v>
      </c>
      <c r="AE31" s="199">
        <f t="shared" ref="AE31" si="321">SUM(AE32:AE33)</f>
        <v>13535296.624999143</v>
      </c>
      <c r="AF31" s="199">
        <f t="shared" ref="AF31" si="322">SUM(AF32:AF33)</f>
        <v>14212061.456249099</v>
      </c>
      <c r="AG31" s="199">
        <f t="shared" ref="AG31" si="323">SUM(AG32:AG33)</f>
        <v>14922664.529061554</v>
      </c>
      <c r="AH31" s="199">
        <f t="shared" ref="AH31" si="324">SUM(AH32:AH33)</f>
        <v>15668797.755514633</v>
      </c>
      <c r="AI31" s="199">
        <f t="shared" ref="AI31" si="325">SUM(AI32:AI33)</f>
        <v>16452237.643290363</v>
      </c>
      <c r="AJ31" s="199">
        <f t="shared" ref="AJ31" si="326">SUM(AJ32:AJ33)</f>
        <v>18138592.001727629</v>
      </c>
      <c r="AK31" s="199">
        <f t="shared" ref="AK31" si="327">SUM(AK32:AK33)</f>
        <v>19045521.601814013</v>
      </c>
      <c r="AL31" s="199">
        <f t="shared" ref="AL31" si="328">SUM(AL32:AL33)</f>
        <v>19997797.681904715</v>
      </c>
      <c r="AM31" s="199">
        <f t="shared" ref="AM31" si="329">SUM(AM32:AM33)</f>
        <v>20997687.565999955</v>
      </c>
      <c r="AN31" s="199">
        <f t="shared" ref="AN31" si="330">SUM(AN32:AN33)</f>
        <v>22047571.944299951</v>
      </c>
      <c r="AO31" s="199">
        <f t="shared" ref="AO31" si="331">SUM(AO32:AO33)</f>
        <v>23149950.541514952</v>
      </c>
      <c r="AP31" s="199">
        <f t="shared" ref="AP31" si="332">SUM(AP32:AP33)</f>
        <v>24307448.068590701</v>
      </c>
      <c r="AQ31" s="199">
        <f t="shared" ref="AQ31" si="333">SUM(AQ32:AQ33)</f>
        <v>25522820.472020235</v>
      </c>
      <c r="AR31" s="199">
        <f t="shared" ref="AR31" si="334">SUM(AR32:AR33)</f>
        <v>26798961.495621249</v>
      </c>
      <c r="AS31" s="199">
        <f t="shared" ref="AS31" si="335">SUM(AS32:AS33)</f>
        <v>28138909.570402317</v>
      </c>
      <c r="AT31" s="199">
        <f t="shared" ref="AT31" si="336">SUM(AT32:AT33)</f>
        <v>29545855.048922431</v>
      </c>
      <c r="AU31" s="199">
        <f t="shared" ref="AU31" si="337">SUM(AU32:AU33)</f>
        <v>31023147.801368553</v>
      </c>
      <c r="AV31" s="199">
        <f t="shared" ref="AV31:BG31" si="338">SUM(AV32:AV33)</f>
        <v>31798726.496402763</v>
      </c>
      <c r="AW31" s="199">
        <f t="shared" si="338"/>
        <v>32593694.658812836</v>
      </c>
      <c r="AX31" s="199">
        <f t="shared" si="338"/>
        <v>33408537.025283143</v>
      </c>
      <c r="AY31" s="199">
        <f t="shared" si="338"/>
        <v>34243750.450915225</v>
      </c>
      <c r="AZ31" s="199">
        <f t="shared" si="338"/>
        <v>35099844.212188102</v>
      </c>
      <c r="BA31" s="199">
        <f t="shared" si="338"/>
        <v>35977340.317492798</v>
      </c>
      <c r="BB31" s="199">
        <f t="shared" si="338"/>
        <v>36876773.825430118</v>
      </c>
      <c r="BC31" s="199">
        <f t="shared" si="338"/>
        <v>37798693.171065874</v>
      </c>
      <c r="BD31" s="199">
        <f t="shared" si="338"/>
        <v>38743660.500342511</v>
      </c>
      <c r="BE31" s="199">
        <f t="shared" si="338"/>
        <v>39712252.012851074</v>
      </c>
      <c r="BF31" s="199">
        <f t="shared" si="338"/>
        <v>40705058.31317234</v>
      </c>
      <c r="BG31" s="199">
        <f t="shared" si="338"/>
        <v>41722684.771001644</v>
      </c>
      <c r="BI31" s="199">
        <v>0</v>
      </c>
      <c r="BJ31" s="199">
        <f t="shared" si="222"/>
        <v>3589511.2024102546</v>
      </c>
      <c r="BK31" s="199">
        <f t="shared" si="223"/>
        <v>6309198.8000648823</v>
      </c>
      <c r="BL31" s="199">
        <f t="shared" si="224"/>
        <v>9292743.2162007578</v>
      </c>
      <c r="BM31" s="199">
        <f t="shared" si="225"/>
        <v>18909332.631437331</v>
      </c>
      <c r="BN31" s="199">
        <f t="shared" si="226"/>
        <v>19175875.189999998</v>
      </c>
      <c r="BO31" s="199">
        <f t="shared" si="227"/>
        <v>23179074.219999991</v>
      </c>
      <c r="BP31" s="199">
        <f t="shared" si="228"/>
        <v>23645316.609999999</v>
      </c>
      <c r="BQ31" s="199">
        <f t="shared" si="229"/>
        <v>29887548.306779131</v>
      </c>
      <c r="BR31" s="199">
        <f t="shared" si="230"/>
        <v>35104733.200927421</v>
      </c>
      <c r="BS31" s="199">
        <f t="shared" si="231"/>
        <v>40638116.771723613</v>
      </c>
      <c r="BT31" s="199">
        <f t="shared" si="232"/>
        <v>47043699.927866548</v>
      </c>
      <c r="BU31" s="199">
        <f t="shared" si="233"/>
        <v>57181911.285446361</v>
      </c>
      <c r="BV31" s="199">
        <f t="shared" si="234"/>
        <v>66195210.051814854</v>
      </c>
      <c r="BW31" s="199">
        <f t="shared" si="235"/>
        <v>76629230.036232188</v>
      </c>
      <c r="BX31" s="199">
        <f t="shared" si="236"/>
        <v>88707912.420693293</v>
      </c>
      <c r="BY31" s="199">
        <f t="shared" si="18"/>
        <v>97800958.180498749</v>
      </c>
      <c r="BZ31" s="199">
        <f t="shared" si="19"/>
        <v>105320934.98059613</v>
      </c>
      <c r="CA31" s="199">
        <f t="shared" si="20"/>
        <v>113419127.49683851</v>
      </c>
      <c r="CB31" s="199">
        <f t="shared" si="21"/>
        <v>122139995.09702507</v>
      </c>
      <c r="CD31" s="199">
        <f t="shared" si="237"/>
        <v>19191453.218675897</v>
      </c>
      <c r="CE31" s="199">
        <f t="shared" si="238"/>
        <v>84909598.651437312</v>
      </c>
      <c r="CF31" s="199">
        <f t="shared" si="239"/>
        <v>152674098.20729673</v>
      </c>
      <c r="CG31" s="199">
        <f t="shared" si="240"/>
        <v>288714263.79418671</v>
      </c>
      <c r="CH31" s="810">
        <f t="shared" si="26"/>
        <v>438681015.75495839</v>
      </c>
    </row>
    <row r="32" spans="2:86" x14ac:dyDescent="0.2">
      <c r="B32" s="155" t="s">
        <v>221</v>
      </c>
      <c r="C32" s="19">
        <f>'P&amp;L - Inputs'!BY646</f>
        <v>160694.90181469917</v>
      </c>
      <c r="D32" s="19">
        <f>'P&amp;L - Inputs'!BZ646</f>
        <v>177917.22212894124</v>
      </c>
      <c r="E32" s="19">
        <f>'P&amp;L - Inputs'!CA646</f>
        <v>325570.89846661314</v>
      </c>
      <c r="F32" s="19">
        <f>'P&amp;L - Inputs'!CB646</f>
        <v>213983.1502325582</v>
      </c>
      <c r="G32" s="19">
        <f>'P&amp;L - Inputs'!CC646</f>
        <v>1685211.1597233212</v>
      </c>
      <c r="H32" s="19">
        <f>'P&amp;L - Inputs'!CD646</f>
        <v>158112.87000000014</v>
      </c>
      <c r="I32" s="19">
        <f>'P&amp;L - Inputs'!CE646</f>
        <v>1046298.0299999998</v>
      </c>
      <c r="J32" s="19">
        <f>'P&amp;L - Inputs'!CF646</f>
        <v>1908864.6835547546</v>
      </c>
      <c r="K32" s="19">
        <f>'P&amp;L - Inputs'!CG646</f>
        <v>751612.3</v>
      </c>
      <c r="L32" s="19">
        <f>'P&amp;L - Inputs'!CH646</f>
        <v>1104251.2899999998</v>
      </c>
      <c r="M32" s="19">
        <f>'P&amp;L - Inputs'!CI646</f>
        <v>3905742.9960773368</v>
      </c>
      <c r="N32" s="19">
        <f>'P&amp;L - Inputs'!CJ646</f>
        <v>5695242.9371109894</v>
      </c>
      <c r="O32" s="19">
        <f>'P&amp;L - Inputs'!CK646</f>
        <v>1306842.5</v>
      </c>
      <c r="P32" s="19">
        <f>'P&amp;L - Inputs'!CL646</f>
        <v>1403654.84</v>
      </c>
      <c r="Q32" s="19">
        <f>'P&amp;L - Inputs'!CM646</f>
        <v>3489925.57</v>
      </c>
      <c r="R32" s="19">
        <f>'P&amp;L - Inputs'!CN646</f>
        <v>2561008.84</v>
      </c>
      <c r="S32" s="19">
        <f>'P&amp;L - Inputs'!CO646</f>
        <v>3622852.99</v>
      </c>
      <c r="T32" s="19">
        <f>'P&amp;L - Inputs'!CP646</f>
        <v>4284204.92</v>
      </c>
      <c r="U32" s="19">
        <f>'P&amp;L - Inputs'!CQ646</f>
        <v>4198259.1500000004</v>
      </c>
      <c r="V32" s="19">
        <f>'P&amp;L - Inputs'!CR646</f>
        <v>4127549.22</v>
      </c>
      <c r="W32" s="19">
        <f>'P&amp;L - Inputs'!CS646</f>
        <v>3174777.5799999996</v>
      </c>
      <c r="X32" s="19">
        <f>'P&amp;L - Inputs'!CT646</f>
        <v>4066706.3411347824</v>
      </c>
      <c r="Y32" s="19">
        <f>'P&amp;L - Inputs'!CU646</f>
        <v>4473376.9752482604</v>
      </c>
      <c r="Z32" s="19">
        <f>'P&amp;L - Inputs'!CV646</f>
        <v>4697045.8240106739</v>
      </c>
      <c r="AA32" s="19">
        <f>'P&amp;L - Inputs'!CW646</f>
        <v>4931898.1152112084</v>
      </c>
      <c r="AB32" s="19">
        <f>'P&amp;L - Inputs'!CX646</f>
        <v>5178493.0209717685</v>
      </c>
      <c r="AC32" s="19">
        <f>'P&amp;L - Inputs'!CY646</f>
        <v>5437417.6720203571</v>
      </c>
      <c r="AD32" s="19">
        <f>'P&amp;L - Inputs'!CZ646</f>
        <v>5709288.5556213753</v>
      </c>
      <c r="AE32" s="19">
        <f>'P&amp;L - Inputs'!DA646</f>
        <v>5994752.983402445</v>
      </c>
      <c r="AF32" s="19">
        <f>'P&amp;L - Inputs'!DB646</f>
        <v>6294490.6325725671</v>
      </c>
      <c r="AG32" s="19">
        <f>'P&amp;L - Inputs'!DC646</f>
        <v>6609215.1642011954</v>
      </c>
      <c r="AH32" s="19">
        <f>'P&amp;L - Inputs'!DD646</f>
        <v>6939675.9224112555</v>
      </c>
      <c r="AI32" s="19">
        <f>'P&amp;L - Inputs'!DE646</f>
        <v>7286659.7185318181</v>
      </c>
      <c r="AJ32" s="19">
        <f>'P&amp;L - Inputs'!DF646</f>
        <v>8033542.3396813311</v>
      </c>
      <c r="AK32" s="19">
        <f>'P&amp;L - Inputs'!DG646</f>
        <v>8435219.4566653986</v>
      </c>
      <c r="AL32" s="19">
        <f>'P&amp;L - Inputs'!DH646</f>
        <v>8856980.4294986688</v>
      </c>
      <c r="AM32" s="19">
        <f>'P&amp;L - Inputs'!DI646</f>
        <v>9299829.4509736039</v>
      </c>
      <c r="AN32" s="19">
        <f>'P&amp;L - Inputs'!DJ646</f>
        <v>9764820.9235222861</v>
      </c>
      <c r="AO32" s="19">
        <f>'P&amp;L - Inputs'!DK646</f>
        <v>10253061.969698401</v>
      </c>
      <c r="AP32" s="19">
        <f>'P&amp;L - Inputs'!DL646</f>
        <v>10765715.068183322</v>
      </c>
      <c r="AQ32" s="19">
        <f>'P&amp;L - Inputs'!DM646</f>
        <v>11304000.821592487</v>
      </c>
      <c r="AR32" s="19">
        <f>'P&amp;L - Inputs'!DN646</f>
        <v>11869200.862672113</v>
      </c>
      <c r="AS32" s="19">
        <f>'P&amp;L - Inputs'!DO646</f>
        <v>12462660.90580572</v>
      </c>
      <c r="AT32" s="19">
        <f>'P&amp;L - Inputs'!DP646</f>
        <v>13085793.951096006</v>
      </c>
      <c r="AU32" s="19">
        <f>'P&amp;L - Inputs'!DQ646</f>
        <v>13740083.648650806</v>
      </c>
      <c r="AV32" s="19">
        <f>'P&amp;L - Inputs'!DR646</f>
        <v>14083585.739867074</v>
      </c>
      <c r="AW32" s="19">
        <f>'P&amp;L - Inputs'!DS646</f>
        <v>14435675.383363755</v>
      </c>
      <c r="AX32" s="19">
        <f>'P&amp;L - Inputs'!DT646</f>
        <v>14796567.267947843</v>
      </c>
      <c r="AY32" s="19">
        <f>'P&amp;L - Inputs'!DU646</f>
        <v>15166481.449646538</v>
      </c>
      <c r="AZ32" s="19">
        <f>'P&amp;L - Inputs'!DV646</f>
        <v>15545643.485887701</v>
      </c>
      <c r="BA32" s="19">
        <f>'P&amp;L - Inputs'!DW646</f>
        <v>15934284.573034892</v>
      </c>
      <c r="BB32" s="19">
        <f>'P&amp;L - Inputs'!DX646</f>
        <v>16332641.687360764</v>
      </c>
      <c r="BC32" s="19">
        <f>'P&amp;L - Inputs'!DY646</f>
        <v>16740957.729544783</v>
      </c>
      <c r="BD32" s="19">
        <f>'P&amp;L - Inputs'!DZ646</f>
        <v>17159481.672783397</v>
      </c>
      <c r="BE32" s="19">
        <f>'P&amp;L - Inputs'!EA646</f>
        <v>17588468.714602984</v>
      </c>
      <c r="BF32" s="19">
        <f>'P&amp;L - Inputs'!EB646</f>
        <v>18028180.432468053</v>
      </c>
      <c r="BG32" s="19">
        <f>'P&amp;L - Inputs'!EC646</f>
        <v>18478884.943279754</v>
      </c>
      <c r="BI32" s="19"/>
      <c r="BJ32" s="19">
        <f t="shared" si="222"/>
        <v>664183.02241025353</v>
      </c>
      <c r="BK32" s="19">
        <f t="shared" si="223"/>
        <v>2057307.1799558795</v>
      </c>
      <c r="BL32" s="19">
        <f t="shared" si="224"/>
        <v>3706775.0135547547</v>
      </c>
      <c r="BM32" s="19">
        <f t="shared" si="225"/>
        <v>10705237.223188326</v>
      </c>
      <c r="BN32" s="19">
        <f t="shared" si="226"/>
        <v>6200422.9100000001</v>
      </c>
      <c r="BO32" s="19">
        <f t="shared" si="227"/>
        <v>10468066.75</v>
      </c>
      <c r="BP32" s="19">
        <f t="shared" si="228"/>
        <v>11500585.950000001</v>
      </c>
      <c r="BQ32" s="19">
        <f t="shared" si="229"/>
        <v>13237129.140393717</v>
      </c>
      <c r="BR32" s="19">
        <f t="shared" si="230"/>
        <v>15547808.808203334</v>
      </c>
      <c r="BS32" s="19">
        <f t="shared" si="231"/>
        <v>17998532.171596386</v>
      </c>
      <c r="BT32" s="19">
        <f t="shared" si="232"/>
        <v>20835550.805144269</v>
      </c>
      <c r="BU32" s="19">
        <f t="shared" si="233"/>
        <v>25325742.225845397</v>
      </c>
      <c r="BV32" s="19">
        <f t="shared" si="234"/>
        <v>29317712.344194293</v>
      </c>
      <c r="BW32" s="19">
        <f t="shared" si="235"/>
        <v>33938916.752447918</v>
      </c>
      <c r="BX32" s="19">
        <f t="shared" si="236"/>
        <v>39288538.50555253</v>
      </c>
      <c r="BY32" s="19">
        <f t="shared" si="18"/>
        <v>43315828.391178675</v>
      </c>
      <c r="BZ32" s="19">
        <f t="shared" si="19"/>
        <v>46646409.508569129</v>
      </c>
      <c r="CA32" s="19">
        <f t="shared" si="20"/>
        <v>50233081.089688942</v>
      </c>
      <c r="CB32" s="19">
        <f t="shared" si="21"/>
        <v>54095534.090350792</v>
      </c>
      <c r="CD32" s="19">
        <f t="shared" si="237"/>
        <v>6428265.2159208879</v>
      </c>
      <c r="CE32" s="19">
        <f t="shared" si="238"/>
        <v>38874312.833188325</v>
      </c>
      <c r="CF32" s="19">
        <f t="shared" si="239"/>
        <v>67619020.925337702</v>
      </c>
      <c r="CG32" s="19">
        <f t="shared" si="240"/>
        <v>127870909.82804014</v>
      </c>
      <c r="CH32" s="770">
        <f t="shared" si="26"/>
        <v>194290853.07978755</v>
      </c>
    </row>
    <row r="33" spans="2:86" x14ac:dyDescent="0.2">
      <c r="B33" s="155" t="s">
        <v>222</v>
      </c>
      <c r="C33" s="19">
        <f>'P&amp;L - Inputs'!BY647</f>
        <v>849413.66000000061</v>
      </c>
      <c r="D33" s="19">
        <f>'P&amp;L - Inputs'!BZ647</f>
        <v>850351.61000000022</v>
      </c>
      <c r="E33" s="19">
        <f>'P&amp;L - Inputs'!CA647</f>
        <v>1225562.9099999999</v>
      </c>
      <c r="F33" s="19">
        <f>'P&amp;L - Inputs'!CB647</f>
        <v>1000904.5306610001</v>
      </c>
      <c r="G33" s="19">
        <f>'P&amp;L - Inputs'!CC647</f>
        <v>1393351.5980700003</v>
      </c>
      <c r="H33" s="19">
        <f>'P&amp;L - Inputs'!CD647</f>
        <v>1857635.491378003</v>
      </c>
      <c r="I33" s="19">
        <f>'P&amp;L - Inputs'!CE647</f>
        <v>2110827.2625630032</v>
      </c>
      <c r="J33" s="19">
        <f>'P&amp;L - Inputs'!CF647</f>
        <v>1681376.921373998</v>
      </c>
      <c r="K33" s="19">
        <f>'P&amp;L - Inputs'!CG647</f>
        <v>1793764.0187090018</v>
      </c>
      <c r="L33" s="19">
        <f>'P&amp;L - Inputs'!CH647</f>
        <v>1866502.6514439993</v>
      </c>
      <c r="M33" s="19">
        <f>'P&amp;L - Inputs'!CI647</f>
        <v>2998486.3107750048</v>
      </c>
      <c r="N33" s="19">
        <f>'P&amp;L - Inputs'!CJ647</f>
        <v>3339106.4460300016</v>
      </c>
      <c r="O33" s="19">
        <f>'P&amp;L - Inputs'!CK647</f>
        <v>4355174.7699999986</v>
      </c>
      <c r="P33" s="19">
        <f>'P&amp;L - Inputs'!CL647</f>
        <v>4540635.0600000005</v>
      </c>
      <c r="Q33" s="19">
        <f>'P&amp;L - Inputs'!CM647</f>
        <v>4079642.4499999997</v>
      </c>
      <c r="R33" s="19">
        <f>'P&amp;L - Inputs'!CN647</f>
        <v>3660492.8799999971</v>
      </c>
      <c r="S33" s="19">
        <f>'P&amp;L - Inputs'!CO647</f>
        <v>4012535.7199999983</v>
      </c>
      <c r="T33" s="19">
        <f>'P&amp;L - Inputs'!CP647</f>
        <v>5037978.8699999936</v>
      </c>
      <c r="U33" s="19">
        <f>'P&amp;L - Inputs'!CQ647</f>
        <v>4763424.3799999971</v>
      </c>
      <c r="V33" s="19">
        <f>'P&amp;L - Inputs'!CR647</f>
        <v>3387889.2099999995</v>
      </c>
      <c r="W33" s="19">
        <f>'P&amp;L - Inputs'!CS647</f>
        <v>3993417.0700000003</v>
      </c>
      <c r="X33" s="19">
        <f>'P&amp;L - Inputs'!CT647</f>
        <v>5115336.1494271625</v>
      </c>
      <c r="Y33" s="19">
        <f>'P&amp;L - Inputs'!CU647</f>
        <v>5626869.7643698789</v>
      </c>
      <c r="Z33" s="19">
        <f>'P&amp;L - Inputs'!CV647</f>
        <v>5908213.2525883717</v>
      </c>
      <c r="AA33" s="19">
        <f>'P&amp;L - Inputs'!CW647</f>
        <v>6203623.9152177917</v>
      </c>
      <c r="AB33" s="19">
        <f>'P&amp;L - Inputs'!CX647</f>
        <v>6513805.1109786807</v>
      </c>
      <c r="AC33" s="19">
        <f>'P&amp;L - Inputs'!CY647</f>
        <v>6839495.3665276151</v>
      </c>
      <c r="AD33" s="19">
        <f>'P&amp;L - Inputs'!CZ647</f>
        <v>7181470.1348539963</v>
      </c>
      <c r="AE33" s="19">
        <f>'P&amp;L - Inputs'!DA647</f>
        <v>7540543.6415966973</v>
      </c>
      <c r="AF33" s="19">
        <f>'P&amp;L - Inputs'!DB647</f>
        <v>7917570.8236765321</v>
      </c>
      <c r="AG33" s="19">
        <f>'P&amp;L - Inputs'!DC647</f>
        <v>8313449.3648603586</v>
      </c>
      <c r="AH33" s="19">
        <f>'P&amp;L - Inputs'!DD647</f>
        <v>8729121.8331033774</v>
      </c>
      <c r="AI33" s="19">
        <f>'P&amp;L - Inputs'!DE647</f>
        <v>9165577.9247585442</v>
      </c>
      <c r="AJ33" s="19">
        <f>'P&amp;L - Inputs'!DF647</f>
        <v>10105049.662046298</v>
      </c>
      <c r="AK33" s="19">
        <f>'P&amp;L - Inputs'!DG647</f>
        <v>10610302.145148614</v>
      </c>
      <c r="AL33" s="19">
        <f>'P&amp;L - Inputs'!DH647</f>
        <v>11140817.252406046</v>
      </c>
      <c r="AM33" s="19">
        <f>'P&amp;L - Inputs'!DI647</f>
        <v>11697858.115026349</v>
      </c>
      <c r="AN33" s="19">
        <f>'P&amp;L - Inputs'!DJ647</f>
        <v>12282751.020777667</v>
      </c>
      <c r="AO33" s="19">
        <f>'P&amp;L - Inputs'!DK647</f>
        <v>12896888.571816551</v>
      </c>
      <c r="AP33" s="19">
        <f>'P&amp;L - Inputs'!DL647</f>
        <v>13541733.000407379</v>
      </c>
      <c r="AQ33" s="19">
        <f>'P&amp;L - Inputs'!DM647</f>
        <v>14218819.650427748</v>
      </c>
      <c r="AR33" s="19">
        <f>'P&amp;L - Inputs'!DN647</f>
        <v>14929760.632949136</v>
      </c>
      <c r="AS33" s="19">
        <f>'P&amp;L - Inputs'!DO647</f>
        <v>15676248.664596595</v>
      </c>
      <c r="AT33" s="19">
        <f>'P&amp;L - Inputs'!DP647</f>
        <v>16460061.097826425</v>
      </c>
      <c r="AU33" s="19">
        <f>'P&amp;L - Inputs'!DQ647</f>
        <v>17283064.152717747</v>
      </c>
      <c r="AV33" s="19">
        <f>'P&amp;L - Inputs'!DR647</f>
        <v>17715140.756535687</v>
      </c>
      <c r="AW33" s="19">
        <f>'P&amp;L - Inputs'!DS647</f>
        <v>18158019.275449082</v>
      </c>
      <c r="AX33" s="19">
        <f>'P&amp;L - Inputs'!DT647</f>
        <v>18611969.757335301</v>
      </c>
      <c r="AY33" s="19">
        <f>'P&amp;L - Inputs'!DU647</f>
        <v>19077269.001268685</v>
      </c>
      <c r="AZ33" s="19">
        <f>'P&amp;L - Inputs'!DV647</f>
        <v>19554200.7263004</v>
      </c>
      <c r="BA33" s="19">
        <f>'P&amp;L - Inputs'!DW647</f>
        <v>20043055.744457908</v>
      </c>
      <c r="BB33" s="19">
        <f>'P&amp;L - Inputs'!DX647</f>
        <v>20544132.138069354</v>
      </c>
      <c r="BC33" s="19">
        <f>'P&amp;L - Inputs'!DY647</f>
        <v>21057735.44152109</v>
      </c>
      <c r="BD33" s="19">
        <f>'P&amp;L - Inputs'!DZ647</f>
        <v>21584178.827559114</v>
      </c>
      <c r="BE33" s="19">
        <f>'P&amp;L - Inputs'!EA647</f>
        <v>22123783.29824809</v>
      </c>
      <c r="BF33" s="19">
        <f>'P&amp;L - Inputs'!EB647</f>
        <v>22676877.880704284</v>
      </c>
      <c r="BG33" s="19">
        <f>'P&amp;L - Inputs'!EC647</f>
        <v>23243799.82772189</v>
      </c>
      <c r="BI33" s="19">
        <v>0</v>
      </c>
      <c r="BJ33" s="19">
        <f t="shared" si="222"/>
        <v>2925328.1800000006</v>
      </c>
      <c r="BK33" s="19">
        <f t="shared" si="223"/>
        <v>4251891.620109003</v>
      </c>
      <c r="BL33" s="19">
        <f t="shared" si="224"/>
        <v>5585968.2026460031</v>
      </c>
      <c r="BM33" s="19">
        <f t="shared" si="225"/>
        <v>8204095.4082490057</v>
      </c>
      <c r="BN33" s="19">
        <f t="shared" si="226"/>
        <v>12975452.279999997</v>
      </c>
      <c r="BO33" s="19">
        <f t="shared" si="227"/>
        <v>12711007.469999989</v>
      </c>
      <c r="BP33" s="19">
        <f t="shared" si="228"/>
        <v>12144730.659999996</v>
      </c>
      <c r="BQ33" s="19">
        <f t="shared" si="229"/>
        <v>16650419.166385412</v>
      </c>
      <c r="BR33" s="19">
        <f t="shared" si="230"/>
        <v>19556924.392724089</v>
      </c>
      <c r="BS33" s="19">
        <f t="shared" si="231"/>
        <v>22639584.600127228</v>
      </c>
      <c r="BT33" s="19">
        <f t="shared" si="232"/>
        <v>26208149.122722283</v>
      </c>
      <c r="BU33" s="19">
        <f t="shared" si="233"/>
        <v>31856169.059600957</v>
      </c>
      <c r="BV33" s="19">
        <f t="shared" si="234"/>
        <v>36877497.707620569</v>
      </c>
      <c r="BW33" s="19">
        <f t="shared" si="235"/>
        <v>42690313.283784263</v>
      </c>
      <c r="BX33" s="19">
        <f t="shared" si="236"/>
        <v>49419373.915140763</v>
      </c>
      <c r="BY33" s="19">
        <f t="shared" si="18"/>
        <v>54485129.789320067</v>
      </c>
      <c r="BZ33" s="19">
        <f t="shared" si="19"/>
        <v>58674525.472026996</v>
      </c>
      <c r="CA33" s="19">
        <f t="shared" si="20"/>
        <v>63186046.407149553</v>
      </c>
      <c r="CB33" s="19">
        <f t="shared" si="21"/>
        <v>68044461.00667426</v>
      </c>
      <c r="CD33" s="19">
        <f t="shared" si="237"/>
        <v>12763188.002755007</v>
      </c>
      <c r="CE33" s="19">
        <f t="shared" si="238"/>
        <v>46035285.818248987</v>
      </c>
      <c r="CF33" s="19">
        <f t="shared" si="239"/>
        <v>85055077.281959012</v>
      </c>
      <c r="CG33" s="19">
        <f t="shared" si="240"/>
        <v>160843353.96614653</v>
      </c>
      <c r="CH33" s="770">
        <f t="shared" si="26"/>
        <v>244390162.67517087</v>
      </c>
    </row>
    <row r="34" spans="2:86" x14ac:dyDescent="0.2">
      <c r="B34" s="15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D34" s="10"/>
      <c r="CE34" s="10"/>
      <c r="CF34" s="10"/>
      <c r="CG34" s="10"/>
      <c r="CH34" s="812"/>
    </row>
    <row r="35" spans="2:86" x14ac:dyDescent="0.2">
      <c r="B35" s="208" t="s">
        <v>13</v>
      </c>
      <c r="C35" s="199">
        <f>SUM(C36:C37)</f>
        <v>30940904.031092629</v>
      </c>
      <c r="D35" s="199">
        <f t="shared" ref="D35" si="339">SUM(D36:D37)</f>
        <v>41920731.342839003</v>
      </c>
      <c r="E35" s="199">
        <f t="shared" ref="E35" si="340">SUM(E36:E37)</f>
        <v>57157048.218520455</v>
      </c>
      <c r="F35" s="199">
        <f t="shared" ref="F35" si="341">SUM(F36:F37)</f>
        <v>41898902.113293469</v>
      </c>
      <c r="G35" s="199">
        <f t="shared" ref="G35" si="342">SUM(G36:G37)</f>
        <v>49245922.218685091</v>
      </c>
      <c r="H35" s="199">
        <f t="shared" ref="H35" si="343">SUM(H36:H37)</f>
        <v>48114284.988303348</v>
      </c>
      <c r="I35" s="199">
        <f t="shared" ref="I35" si="344">SUM(I36:I37)</f>
        <v>61906038.699145794</v>
      </c>
      <c r="J35" s="199">
        <f t="shared" ref="J35" si="345">SUM(J36:J37)</f>
        <v>55427469.101721093</v>
      </c>
      <c r="K35" s="199">
        <f t="shared" ref="K35" si="346">SUM(K36:K37)</f>
        <v>59373398.971382976</v>
      </c>
      <c r="L35" s="199">
        <f t="shared" ref="L35" si="347">SUM(L36:L37)</f>
        <v>59307214.938539244</v>
      </c>
      <c r="M35" s="199">
        <f t="shared" ref="M35" si="348">SUM(M36:M37)</f>
        <v>90428363.138085842</v>
      </c>
      <c r="N35" s="199">
        <f t="shared" ref="N35" si="349">SUM(N36:N37)</f>
        <v>103100111.02381235</v>
      </c>
      <c r="O35" s="199">
        <f t="shared" ref="O35" si="350">SUM(O36:O37)</f>
        <v>91199391.119999826</v>
      </c>
      <c r="P35" s="199">
        <f t="shared" ref="P35" si="351">SUM(P36:P37)</f>
        <v>93127249.669999987</v>
      </c>
      <c r="Q35" s="199">
        <f t="shared" ref="Q35" si="352">SUM(Q36:Q37)</f>
        <v>99142326.159999907</v>
      </c>
      <c r="R35" s="199">
        <f t="shared" ref="R35" si="353">SUM(R36:R37)</f>
        <v>91991831.719999924</v>
      </c>
      <c r="S35" s="199">
        <f t="shared" ref="S35" si="354">SUM(S36:S37)</f>
        <v>113612209.36999983</v>
      </c>
      <c r="T35" s="199">
        <f t="shared" ref="T35" si="355">SUM(T36:T37)</f>
        <v>132810168.65999982</v>
      </c>
      <c r="U35" s="199">
        <f t="shared" ref="U35" si="356">SUM(U36:U37)</f>
        <v>129317056.46000004</v>
      </c>
      <c r="V35" s="199">
        <f t="shared" ref="V35" si="357">SUM(V36:V37)</f>
        <v>114938567.5</v>
      </c>
      <c r="W35" s="199">
        <f t="shared" ref="W35" si="358">SUM(W36:W37)</f>
        <v>111686328.61000001</v>
      </c>
      <c r="X35" s="199">
        <f t="shared" ref="X35" si="359">SUM(X36:X37)</f>
        <v>143063723.15264684</v>
      </c>
      <c r="Y35" s="199">
        <f t="shared" ref="Y35" si="360">SUM(Y36:Y37)</f>
        <v>157370095.46791154</v>
      </c>
      <c r="Z35" s="199">
        <f t="shared" ref="Z35" si="361">SUM(Z36:Z37)</f>
        <v>165238600.24130711</v>
      </c>
      <c r="AA35" s="199">
        <f t="shared" ref="AA35" si="362">SUM(AA36:AA37)</f>
        <v>173500530.25337246</v>
      </c>
      <c r="AB35" s="199">
        <f t="shared" ref="AB35" si="363">SUM(AB36:AB37)</f>
        <v>182175556.76604107</v>
      </c>
      <c r="AC35" s="199">
        <f t="shared" ref="AC35" si="364">SUM(AC36:AC37)</f>
        <v>191284334.60434312</v>
      </c>
      <c r="AD35" s="199">
        <f t="shared" ref="AD35" si="365">SUM(AD36:AD37)</f>
        <v>200848551.33456033</v>
      </c>
      <c r="AE35" s="199">
        <f t="shared" ref="AE35" si="366">SUM(AE36:AE37)</f>
        <v>210890978.90128833</v>
      </c>
      <c r="AF35" s="199">
        <f t="shared" ref="AF35" si="367">SUM(AF36:AF37)</f>
        <v>221435527.84635279</v>
      </c>
      <c r="AG35" s="199">
        <f t="shared" ref="AG35" si="368">SUM(AG36:AG37)</f>
        <v>232507304.23867044</v>
      </c>
      <c r="AH35" s="199">
        <f t="shared" ref="AH35" si="369">SUM(AH36:AH37)</f>
        <v>244132669.45060396</v>
      </c>
      <c r="AI35" s="199">
        <f t="shared" ref="AI35" si="370">SUM(AI36:AI37)</f>
        <v>256339302.92313415</v>
      </c>
      <c r="AJ35" s="199">
        <f t="shared" ref="AJ35" si="371">SUM(AJ36:AJ37)</f>
        <v>282614081.47275549</v>
      </c>
      <c r="AK35" s="199">
        <f t="shared" ref="AK35" si="372">SUM(AK36:AK37)</f>
        <v>296744785.54639328</v>
      </c>
      <c r="AL35" s="199">
        <f t="shared" ref="AL35" si="373">SUM(AL36:AL37)</f>
        <v>311582024.82371289</v>
      </c>
      <c r="AM35" s="199">
        <f t="shared" ref="AM35" si="374">SUM(AM36:AM37)</f>
        <v>327161126.06489861</v>
      </c>
      <c r="AN35" s="199">
        <f t="shared" ref="AN35" si="375">SUM(AN36:AN37)</f>
        <v>343519182.36814356</v>
      </c>
      <c r="AO35" s="199">
        <f t="shared" ref="AO35" si="376">SUM(AO36:AO37)</f>
        <v>360695141.48655075</v>
      </c>
      <c r="AP35" s="199">
        <f t="shared" ref="AP35" si="377">SUM(AP36:AP37)</f>
        <v>378729898.56087828</v>
      </c>
      <c r="AQ35" s="199">
        <f t="shared" ref="AQ35" si="378">SUM(AQ36:AQ37)</f>
        <v>397666393.48892224</v>
      </c>
      <c r="AR35" s="199">
        <f t="shared" ref="AR35" si="379">SUM(AR36:AR37)</f>
        <v>417549713.16336834</v>
      </c>
      <c r="AS35" s="199">
        <f t="shared" ref="AS35" si="380">SUM(AS36:AS37)</f>
        <v>438427198.82153678</v>
      </c>
      <c r="AT35" s="199">
        <f t="shared" ref="AT35" si="381">SUM(AT36:AT37)</f>
        <v>460348558.76261365</v>
      </c>
      <c r="AU35" s="199">
        <f t="shared" ref="AU35" si="382">SUM(AU36:AU37)</f>
        <v>483365986.70074427</v>
      </c>
      <c r="AV35" s="199">
        <f t="shared" ref="AV35:BG35" si="383">SUM(AV36:AV37)</f>
        <v>495450136.36826289</v>
      </c>
      <c r="AW35" s="199">
        <f t="shared" si="383"/>
        <v>507836389.77746952</v>
      </c>
      <c r="AX35" s="199">
        <f t="shared" si="383"/>
        <v>520532299.52190614</v>
      </c>
      <c r="AY35" s="199">
        <f t="shared" si="383"/>
        <v>533545607.00995374</v>
      </c>
      <c r="AZ35" s="199">
        <f t="shared" si="383"/>
        <v>546884247.18520248</v>
      </c>
      <c r="BA35" s="199">
        <f t="shared" si="383"/>
        <v>560556353.36483252</v>
      </c>
      <c r="BB35" s="199">
        <f t="shared" si="383"/>
        <v>574570262.19895339</v>
      </c>
      <c r="BC35" s="199">
        <f t="shared" si="383"/>
        <v>588934518.75392711</v>
      </c>
      <c r="BD35" s="199">
        <f t="shared" si="383"/>
        <v>603657881.72277522</v>
      </c>
      <c r="BE35" s="199">
        <f t="shared" si="383"/>
        <v>618749328.76584458</v>
      </c>
      <c r="BF35" s="199">
        <f t="shared" si="383"/>
        <v>634218061.98499048</v>
      </c>
      <c r="BG35" s="199">
        <f t="shared" si="383"/>
        <v>650073513.53461528</v>
      </c>
      <c r="BI35" s="199">
        <v>0</v>
      </c>
      <c r="BJ35" s="199">
        <f t="shared" si="222"/>
        <v>130018683.59245208</v>
      </c>
      <c r="BK35" s="199">
        <f t="shared" si="223"/>
        <v>139259109.32028192</v>
      </c>
      <c r="BL35" s="199">
        <f t="shared" si="224"/>
        <v>176706906.77224988</v>
      </c>
      <c r="BM35" s="199">
        <f t="shared" si="225"/>
        <v>252835689.10043743</v>
      </c>
      <c r="BN35" s="199">
        <f t="shared" si="226"/>
        <v>283468966.94999969</v>
      </c>
      <c r="BO35" s="199">
        <f t="shared" si="227"/>
        <v>338414209.74999952</v>
      </c>
      <c r="BP35" s="199">
        <f t="shared" si="228"/>
        <v>355941952.57000005</v>
      </c>
      <c r="BQ35" s="199">
        <f t="shared" si="229"/>
        <v>465672418.86186552</v>
      </c>
      <c r="BR35" s="199">
        <f t="shared" si="230"/>
        <v>546960421.62375665</v>
      </c>
      <c r="BS35" s="199">
        <f t="shared" si="231"/>
        <v>633175058.08220148</v>
      </c>
      <c r="BT35" s="199">
        <f t="shared" si="232"/>
        <v>732979276.61240864</v>
      </c>
      <c r="BU35" s="199">
        <f t="shared" si="233"/>
        <v>890940891.84286165</v>
      </c>
      <c r="BV35" s="199">
        <f t="shared" si="234"/>
        <v>1031375449.9195929</v>
      </c>
      <c r="BW35" s="199">
        <f t="shared" si="235"/>
        <v>1193946005.2131689</v>
      </c>
      <c r="BX35" s="199">
        <f t="shared" si="236"/>
        <v>1382141744.2848947</v>
      </c>
      <c r="BY35" s="199">
        <f t="shared" si="18"/>
        <v>1523818825.6676385</v>
      </c>
      <c r="BZ35" s="199">
        <f t="shared" si="19"/>
        <v>1640986207.5599885</v>
      </c>
      <c r="CA35" s="199">
        <f t="shared" si="20"/>
        <v>1767162662.6756556</v>
      </c>
      <c r="CB35" s="199">
        <f t="shared" si="21"/>
        <v>1903040904.2854502</v>
      </c>
      <c r="CD35" s="199">
        <f t="shared" si="237"/>
        <v>445984699.68498391</v>
      </c>
      <c r="CE35" s="199">
        <f t="shared" si="238"/>
        <v>1230660818.3704367</v>
      </c>
      <c r="CF35" s="199">
        <f t="shared" si="239"/>
        <v>2378787175.180232</v>
      </c>
      <c r="CG35" s="199">
        <f t="shared" si="240"/>
        <v>4498404091.2605181</v>
      </c>
      <c r="CH35" s="810">
        <f t="shared" si="26"/>
        <v>6835008600.1887321</v>
      </c>
    </row>
    <row r="36" spans="2:86" x14ac:dyDescent="0.2">
      <c r="B36" s="155" t="s">
        <v>221</v>
      </c>
      <c r="C36" s="165">
        <f>C24-C32</f>
        <v>12345235.67</v>
      </c>
      <c r="D36" s="165">
        <f t="shared" ref="D36:AU36" si="384">D24-D32</f>
        <v>24443693.240833234</v>
      </c>
      <c r="E36" s="165">
        <f t="shared" si="384"/>
        <v>32897967.646921437</v>
      </c>
      <c r="F36" s="165">
        <f t="shared" si="384"/>
        <v>22577560.583729167</v>
      </c>
      <c r="G36" s="165">
        <f t="shared" si="384"/>
        <v>23904871.276932038</v>
      </c>
      <c r="H36" s="165">
        <f t="shared" si="384"/>
        <v>12813488.919707833</v>
      </c>
      <c r="I36" s="165">
        <f t="shared" si="384"/>
        <v>22903373.841644812</v>
      </c>
      <c r="J36" s="165">
        <f t="shared" si="384"/>
        <v>22826183.084081531</v>
      </c>
      <c r="K36" s="165">
        <f t="shared" si="384"/>
        <v>25728247.010000009</v>
      </c>
      <c r="L36" s="165">
        <f t="shared" si="384"/>
        <v>23551024.209951915</v>
      </c>
      <c r="M36" s="165">
        <f t="shared" si="384"/>
        <v>45050956.588558912</v>
      </c>
      <c r="N36" s="165">
        <f t="shared" si="384"/>
        <v>50052105.109720021</v>
      </c>
      <c r="O36" s="165">
        <f t="shared" si="384"/>
        <v>29020847.149999999</v>
      </c>
      <c r="P36" s="165">
        <f t="shared" si="384"/>
        <v>26822913.100000001</v>
      </c>
      <c r="Q36" s="165">
        <f t="shared" si="384"/>
        <v>36477113.259999998</v>
      </c>
      <c r="R36" s="165">
        <f t="shared" si="384"/>
        <v>31791109.480000008</v>
      </c>
      <c r="S36" s="165">
        <f t="shared" si="384"/>
        <v>44984496.170000009</v>
      </c>
      <c r="T36" s="165">
        <f t="shared" si="384"/>
        <v>43898928.949999981</v>
      </c>
      <c r="U36" s="165">
        <f t="shared" si="384"/>
        <v>43317286.93999999</v>
      </c>
      <c r="V36" s="165">
        <f t="shared" si="384"/>
        <v>47840836.159999996</v>
      </c>
      <c r="W36" s="165">
        <f t="shared" si="384"/>
        <v>37495154.230000019</v>
      </c>
      <c r="X36" s="165">
        <f t="shared" si="384"/>
        <v>37010850.041363649</v>
      </c>
      <c r="Y36" s="165">
        <f t="shared" si="384"/>
        <v>40711935.04550001</v>
      </c>
      <c r="Z36" s="165">
        <f t="shared" si="384"/>
        <v>42747531.797775015</v>
      </c>
      <c r="AA36" s="165">
        <f t="shared" si="384"/>
        <v>44884908.387663759</v>
      </c>
      <c r="AB36" s="165">
        <f t="shared" si="384"/>
        <v>47129153.807046942</v>
      </c>
      <c r="AC36" s="165">
        <f t="shared" si="384"/>
        <v>49485611.497399285</v>
      </c>
      <c r="AD36" s="165">
        <f t="shared" si="384"/>
        <v>51959892.072269253</v>
      </c>
      <c r="AE36" s="165">
        <f t="shared" si="384"/>
        <v>54557886.675882727</v>
      </c>
      <c r="AF36" s="165">
        <f t="shared" si="384"/>
        <v>57285781.009676866</v>
      </c>
      <c r="AG36" s="165">
        <f t="shared" si="384"/>
        <v>60150070.060160719</v>
      </c>
      <c r="AH36" s="165">
        <f t="shared" si="384"/>
        <v>63157573.563168757</v>
      </c>
      <c r="AI36" s="165">
        <f t="shared" si="384"/>
        <v>66315452.241327196</v>
      </c>
      <c r="AJ36" s="165">
        <f t="shared" si="384"/>
        <v>73112786.096063241</v>
      </c>
      <c r="AK36" s="165">
        <f t="shared" si="384"/>
        <v>76768425.400866389</v>
      </c>
      <c r="AL36" s="165">
        <f t="shared" si="384"/>
        <v>80606846.670909718</v>
      </c>
      <c r="AM36" s="165">
        <f t="shared" si="384"/>
        <v>84637189.004455239</v>
      </c>
      <c r="AN36" s="165">
        <f t="shared" si="384"/>
        <v>88869048.454677999</v>
      </c>
      <c r="AO36" s="165">
        <f t="shared" si="384"/>
        <v>93312500.877411902</v>
      </c>
      <c r="AP36" s="165">
        <f t="shared" si="384"/>
        <v>97978125.9212825</v>
      </c>
      <c r="AQ36" s="165">
        <f t="shared" si="384"/>
        <v>102877032.21734664</v>
      </c>
      <c r="AR36" s="165">
        <f t="shared" si="384"/>
        <v>108020883.82821396</v>
      </c>
      <c r="AS36" s="165">
        <f t="shared" si="384"/>
        <v>113421928.01962465</v>
      </c>
      <c r="AT36" s="165">
        <f t="shared" si="384"/>
        <v>119093024.4206059</v>
      </c>
      <c r="AU36" s="165">
        <f t="shared" si="384"/>
        <v>125047675.64163621</v>
      </c>
      <c r="AV36" s="165">
        <f t="shared" ref="AV36:BG36" si="385">AV24-AV32</f>
        <v>128173867.5326771</v>
      </c>
      <c r="AW36" s="165">
        <f t="shared" si="385"/>
        <v>131378214.22099403</v>
      </c>
      <c r="AX36" s="165">
        <f t="shared" si="385"/>
        <v>134662669.57651883</v>
      </c>
      <c r="AY36" s="165">
        <f t="shared" si="385"/>
        <v>138029236.3159318</v>
      </c>
      <c r="AZ36" s="165">
        <f t="shared" si="385"/>
        <v>141479967.22383007</v>
      </c>
      <c r="BA36" s="165">
        <f t="shared" si="385"/>
        <v>145016966.40442583</v>
      </c>
      <c r="BB36" s="165">
        <f t="shared" si="385"/>
        <v>148642390.56453645</v>
      </c>
      <c r="BC36" s="165">
        <f t="shared" si="385"/>
        <v>152358450.32864985</v>
      </c>
      <c r="BD36" s="165">
        <f t="shared" si="385"/>
        <v>156167411.58686608</v>
      </c>
      <c r="BE36" s="165">
        <f t="shared" si="385"/>
        <v>160071596.87653774</v>
      </c>
      <c r="BF36" s="165">
        <f t="shared" si="385"/>
        <v>164073386.79845113</v>
      </c>
      <c r="BG36" s="165">
        <f t="shared" si="385"/>
        <v>168175221.4684124</v>
      </c>
      <c r="BI36" s="165"/>
      <c r="BJ36" s="165">
        <f t="shared" si="222"/>
        <v>69686896.557754666</v>
      </c>
      <c r="BK36" s="165">
        <f t="shared" si="223"/>
        <v>59295920.780369043</v>
      </c>
      <c r="BL36" s="165">
        <f t="shared" si="224"/>
        <v>71457803.935726345</v>
      </c>
      <c r="BM36" s="165">
        <f t="shared" si="225"/>
        <v>118654085.90823084</v>
      </c>
      <c r="BN36" s="165">
        <f t="shared" si="226"/>
        <v>92320873.50999999</v>
      </c>
      <c r="BO36" s="165">
        <f t="shared" si="227"/>
        <v>120674534.59999999</v>
      </c>
      <c r="BP36" s="165">
        <f t="shared" si="228"/>
        <v>128653277.33000001</v>
      </c>
      <c r="BQ36" s="165">
        <f t="shared" si="229"/>
        <v>120470316.88463868</v>
      </c>
      <c r="BR36" s="165">
        <f t="shared" si="230"/>
        <v>141499673.69211</v>
      </c>
      <c r="BS36" s="165">
        <f t="shared" si="231"/>
        <v>163803559.75782886</v>
      </c>
      <c r="BT36" s="165">
        <f t="shared" si="232"/>
        <v>189623095.86465669</v>
      </c>
      <c r="BU36" s="165">
        <f t="shared" si="233"/>
        <v>230488058.16783935</v>
      </c>
      <c r="BV36" s="165">
        <f t="shared" si="234"/>
        <v>266818738.33654514</v>
      </c>
      <c r="BW36" s="165">
        <f t="shared" si="235"/>
        <v>308876041.96684313</v>
      </c>
      <c r="BX36" s="165">
        <f t="shared" si="236"/>
        <v>357562628.08186674</v>
      </c>
      <c r="BY36" s="165">
        <f t="shared" si="18"/>
        <v>394214751.33018994</v>
      </c>
      <c r="BZ36" s="165">
        <f t="shared" si="19"/>
        <v>424526169.94418776</v>
      </c>
      <c r="CA36" s="165">
        <f t="shared" si="20"/>
        <v>457168252.48005241</v>
      </c>
      <c r="CB36" s="165">
        <f t="shared" si="21"/>
        <v>492320205.14340127</v>
      </c>
      <c r="CD36" s="165">
        <f t="shared" si="237"/>
        <v>200440621.27385005</v>
      </c>
      <c r="CE36" s="165">
        <f t="shared" si="238"/>
        <v>460302771.34823084</v>
      </c>
      <c r="CF36" s="165">
        <f t="shared" si="239"/>
        <v>615396646.19923425</v>
      </c>
      <c r="CG36" s="165">
        <f t="shared" si="240"/>
        <v>1163745466.5530944</v>
      </c>
      <c r="CH36" s="804">
        <f t="shared" si="26"/>
        <v>1768229378.8978314</v>
      </c>
    </row>
    <row r="37" spans="2:86" x14ac:dyDescent="0.2">
      <c r="B37" s="155" t="s">
        <v>222</v>
      </c>
      <c r="C37" s="165">
        <f>C25-C33</f>
        <v>18595668.361092631</v>
      </c>
      <c r="D37" s="165">
        <f t="shared" ref="D37:AU37" si="386">D25-D33</f>
        <v>17477038.102005765</v>
      </c>
      <c r="E37" s="165">
        <f t="shared" si="386"/>
        <v>24259080.571599018</v>
      </c>
      <c r="F37" s="165">
        <f t="shared" si="386"/>
        <v>19321341.529564302</v>
      </c>
      <c r="G37" s="165">
        <f t="shared" si="386"/>
        <v>25341050.941753052</v>
      </c>
      <c r="H37" s="165">
        <f t="shared" si="386"/>
        <v>35300796.068595514</v>
      </c>
      <c r="I37" s="165">
        <f t="shared" si="386"/>
        <v>39002664.857500978</v>
      </c>
      <c r="J37" s="165">
        <f t="shared" si="386"/>
        <v>32601286.017639559</v>
      </c>
      <c r="K37" s="165">
        <f t="shared" si="386"/>
        <v>33645151.96138297</v>
      </c>
      <c r="L37" s="165">
        <f t="shared" si="386"/>
        <v>35756190.728587329</v>
      </c>
      <c r="M37" s="165">
        <f t="shared" si="386"/>
        <v>45377406.549526922</v>
      </c>
      <c r="N37" s="165">
        <f t="shared" si="386"/>
        <v>53048005.91409234</v>
      </c>
      <c r="O37" s="165">
        <f t="shared" si="386"/>
        <v>62178543.96999982</v>
      </c>
      <c r="P37" s="165">
        <f t="shared" si="386"/>
        <v>66304336.569999978</v>
      </c>
      <c r="Q37" s="165">
        <f t="shared" si="386"/>
        <v>62665212.899999917</v>
      </c>
      <c r="R37" s="165">
        <f t="shared" si="386"/>
        <v>60200722.23999992</v>
      </c>
      <c r="S37" s="165">
        <f t="shared" si="386"/>
        <v>68627713.199999809</v>
      </c>
      <c r="T37" s="165">
        <f t="shared" si="386"/>
        <v>88911239.709999844</v>
      </c>
      <c r="U37" s="165">
        <f t="shared" si="386"/>
        <v>85999769.520000041</v>
      </c>
      <c r="V37" s="165">
        <f t="shared" si="386"/>
        <v>67097731.339999996</v>
      </c>
      <c r="W37" s="165">
        <f t="shared" si="386"/>
        <v>74191174.379999995</v>
      </c>
      <c r="X37" s="165">
        <f t="shared" si="386"/>
        <v>106052873.1112832</v>
      </c>
      <c r="Y37" s="165">
        <f t="shared" si="386"/>
        <v>116658160.42241153</v>
      </c>
      <c r="Z37" s="165">
        <f t="shared" si="386"/>
        <v>122491068.44353209</v>
      </c>
      <c r="AA37" s="165">
        <f t="shared" si="386"/>
        <v>128615621.86570871</v>
      </c>
      <c r="AB37" s="165">
        <f t="shared" si="386"/>
        <v>135046402.95899412</v>
      </c>
      <c r="AC37" s="165">
        <f t="shared" si="386"/>
        <v>141798723.10694385</v>
      </c>
      <c r="AD37" s="165">
        <f t="shared" si="386"/>
        <v>148888659.26229107</v>
      </c>
      <c r="AE37" s="165">
        <f t="shared" si="386"/>
        <v>156333092.2254056</v>
      </c>
      <c r="AF37" s="165">
        <f t="shared" si="386"/>
        <v>164149746.83667591</v>
      </c>
      <c r="AG37" s="165">
        <f t="shared" si="386"/>
        <v>172357234.17850971</v>
      </c>
      <c r="AH37" s="165">
        <f t="shared" si="386"/>
        <v>180975095.8874352</v>
      </c>
      <c r="AI37" s="165">
        <f t="shared" si="386"/>
        <v>190023850.68180695</v>
      </c>
      <c r="AJ37" s="165">
        <f t="shared" si="386"/>
        <v>209501295.37669224</v>
      </c>
      <c r="AK37" s="165">
        <f t="shared" si="386"/>
        <v>219976360.14552686</v>
      </c>
      <c r="AL37" s="165">
        <f t="shared" si="386"/>
        <v>230975178.15280318</v>
      </c>
      <c r="AM37" s="165">
        <f t="shared" si="386"/>
        <v>242523937.06044334</v>
      </c>
      <c r="AN37" s="165">
        <f t="shared" si="386"/>
        <v>254650133.91346553</v>
      </c>
      <c r="AO37" s="165">
        <f t="shared" si="386"/>
        <v>267382640.60913885</v>
      </c>
      <c r="AP37" s="165">
        <f t="shared" si="386"/>
        <v>280751772.63959575</v>
      </c>
      <c r="AQ37" s="165">
        <f t="shared" si="386"/>
        <v>294789361.27157557</v>
      </c>
      <c r="AR37" s="165">
        <f t="shared" si="386"/>
        <v>309528829.33515441</v>
      </c>
      <c r="AS37" s="165">
        <f t="shared" si="386"/>
        <v>325005270.80191213</v>
      </c>
      <c r="AT37" s="165">
        <f t="shared" si="386"/>
        <v>341255534.34200776</v>
      </c>
      <c r="AU37" s="165">
        <f t="shared" si="386"/>
        <v>358318311.05910808</v>
      </c>
      <c r="AV37" s="165">
        <f t="shared" ref="AV37:BG37" si="387">AV25-AV33</f>
        <v>367276268.83558577</v>
      </c>
      <c r="AW37" s="165">
        <f t="shared" si="387"/>
        <v>376458175.55647546</v>
      </c>
      <c r="AX37" s="165">
        <f t="shared" si="387"/>
        <v>385869629.9453873</v>
      </c>
      <c r="AY37" s="165">
        <f t="shared" si="387"/>
        <v>395516370.69402194</v>
      </c>
      <c r="AZ37" s="165">
        <f t="shared" si="387"/>
        <v>405404279.96137244</v>
      </c>
      <c r="BA37" s="165">
        <f t="shared" si="387"/>
        <v>415539386.96040672</v>
      </c>
      <c r="BB37" s="165">
        <f t="shared" si="387"/>
        <v>425927871.63441688</v>
      </c>
      <c r="BC37" s="165">
        <f t="shared" si="387"/>
        <v>436576068.42527723</v>
      </c>
      <c r="BD37" s="165">
        <f t="shared" si="387"/>
        <v>447490470.13590914</v>
      </c>
      <c r="BE37" s="165">
        <f t="shared" si="387"/>
        <v>458677731.88930684</v>
      </c>
      <c r="BF37" s="165">
        <f t="shared" si="387"/>
        <v>470144675.18653935</v>
      </c>
      <c r="BG37" s="165">
        <f t="shared" si="387"/>
        <v>481898292.06620282</v>
      </c>
      <c r="BI37" s="165">
        <v>0</v>
      </c>
      <c r="BJ37" s="165">
        <f t="shared" si="222"/>
        <v>60331787.034697413</v>
      </c>
      <c r="BK37" s="165">
        <f t="shared" si="223"/>
        <v>79963188.539912865</v>
      </c>
      <c r="BL37" s="165">
        <f t="shared" si="224"/>
        <v>105249102.8365235</v>
      </c>
      <c r="BM37" s="165">
        <f t="shared" si="225"/>
        <v>134181603.19220659</v>
      </c>
      <c r="BN37" s="165">
        <f t="shared" si="226"/>
        <v>191148093.4399997</v>
      </c>
      <c r="BO37" s="165">
        <f t="shared" si="227"/>
        <v>217739675.14999956</v>
      </c>
      <c r="BP37" s="165">
        <f t="shared" si="228"/>
        <v>227288675.24000004</v>
      </c>
      <c r="BQ37" s="165">
        <f t="shared" si="229"/>
        <v>345202101.97722685</v>
      </c>
      <c r="BR37" s="165">
        <f t="shared" si="230"/>
        <v>405460747.9316467</v>
      </c>
      <c r="BS37" s="165">
        <f t="shared" si="231"/>
        <v>469371498.32437253</v>
      </c>
      <c r="BT37" s="165">
        <f t="shared" si="232"/>
        <v>543356180.74775183</v>
      </c>
      <c r="BU37" s="165">
        <f t="shared" si="233"/>
        <v>660452833.67502224</v>
      </c>
      <c r="BV37" s="165">
        <f t="shared" si="234"/>
        <v>764556711.58304775</v>
      </c>
      <c r="BW37" s="165">
        <f t="shared" si="235"/>
        <v>885069963.24632573</v>
      </c>
      <c r="BX37" s="165">
        <f t="shared" si="236"/>
        <v>1024579116.203028</v>
      </c>
      <c r="BY37" s="165">
        <f t="shared" si="18"/>
        <v>1129604074.3374486</v>
      </c>
      <c r="BZ37" s="165">
        <f t="shared" si="19"/>
        <v>1216460037.6158011</v>
      </c>
      <c r="CA37" s="165">
        <f t="shared" si="20"/>
        <v>1309994410.1956031</v>
      </c>
      <c r="CB37" s="165">
        <f t="shared" si="21"/>
        <v>1410720699.1420491</v>
      </c>
      <c r="CD37" s="165">
        <f t="shared" si="237"/>
        <v>245544078.4111338</v>
      </c>
      <c r="CE37" s="165">
        <f t="shared" si="238"/>
        <v>770358047.02220583</v>
      </c>
      <c r="CF37" s="165">
        <f t="shared" si="239"/>
        <v>1763390528.980998</v>
      </c>
      <c r="CG37" s="165">
        <f t="shared" si="240"/>
        <v>3334658624.7074232</v>
      </c>
      <c r="CH37" s="804">
        <f t="shared" si="26"/>
        <v>5066779221.2909021</v>
      </c>
    </row>
    <row r="38" spans="2:86" x14ac:dyDescent="0.2">
      <c r="B38" s="155"/>
      <c r="C38" s="10"/>
      <c r="D38" s="10"/>
      <c r="E38" s="10"/>
      <c r="F38" s="10"/>
      <c r="G38" s="10"/>
      <c r="H38" s="10"/>
      <c r="I38" s="10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D38" s="10"/>
      <c r="CE38" s="10"/>
      <c r="CF38" s="10"/>
      <c r="CG38" s="10"/>
      <c r="CH38" s="812"/>
    </row>
    <row r="39" spans="2:86" x14ac:dyDescent="0.2">
      <c r="B39" s="159" t="s">
        <v>224</v>
      </c>
      <c r="C39" s="158">
        <f>SUM(C40:C41)</f>
        <v>1471</v>
      </c>
      <c r="D39" s="158">
        <f t="shared" ref="D39" si="388">SUM(D40:D41)</f>
        <v>2266</v>
      </c>
      <c r="E39" s="158">
        <f t="shared" ref="E39" si="389">SUM(E40:E41)</f>
        <v>2877</v>
      </c>
      <c r="F39" s="158">
        <f t="shared" ref="F39" si="390">SUM(F40:F41)</f>
        <v>2174</v>
      </c>
      <c r="G39" s="158">
        <f t="shared" ref="G39" si="391">SUM(G40:G41)</f>
        <v>2575</v>
      </c>
      <c r="H39" s="158">
        <f t="shared" ref="H39" si="392">SUM(H40:H41)</f>
        <v>2241</v>
      </c>
      <c r="I39" s="158">
        <f t="shared" ref="I39" si="393">SUM(I40:I41)</f>
        <v>2876</v>
      </c>
      <c r="J39" s="158">
        <f t="shared" ref="J39" si="394">SUM(J40:J41)</f>
        <v>3011</v>
      </c>
      <c r="K39" s="158">
        <f t="shared" ref="K39" si="395">SUM(K40:K41)</f>
        <v>3329</v>
      </c>
      <c r="L39" s="158">
        <f t="shared" ref="L39" si="396">SUM(L40:L41)</f>
        <v>3019</v>
      </c>
      <c r="M39" s="158">
        <f t="shared" ref="M39" si="397">SUM(M40:M41)</f>
        <v>5434</v>
      </c>
      <c r="N39" s="158">
        <f t="shared" ref="N39" si="398">SUM(N40:N41)</f>
        <v>6727</v>
      </c>
      <c r="O39" s="158">
        <f t="shared" ref="O39" si="399">SUM(O40:O41)</f>
        <v>4945</v>
      </c>
      <c r="P39" s="158">
        <f t="shared" ref="P39" si="400">SUM(P40:P41)</f>
        <v>4635</v>
      </c>
      <c r="Q39" s="158">
        <f t="shared" ref="Q39" si="401">SUM(Q40:Q41)</f>
        <v>5589</v>
      </c>
      <c r="R39" s="158">
        <f t="shared" ref="R39" si="402">SUM(R40:R41)</f>
        <v>5160</v>
      </c>
      <c r="S39" s="158">
        <f t="shared" ref="S39" si="403">SUM(S40:S41)</f>
        <v>9556</v>
      </c>
      <c r="T39" s="158">
        <f t="shared" ref="T39" si="404">SUM(T40:T41)</f>
        <v>7741</v>
      </c>
      <c r="U39" s="158">
        <f t="shared" ref="U39" si="405">SUM(U40:U41)</f>
        <v>7994</v>
      </c>
      <c r="V39" s="158">
        <f t="shared" ref="V39" si="406">SUM(V40:V41)</f>
        <v>6448</v>
      </c>
      <c r="W39" s="158">
        <f t="shared" ref="W39" si="407">SUM(W40:W41)</f>
        <v>5724</v>
      </c>
      <c r="X39" s="158">
        <f t="shared" ref="X39" si="408">SUM(X40:X41)</f>
        <v>7038.7623106055016</v>
      </c>
      <c r="Y39" s="158">
        <f t="shared" ref="Y39" si="409">SUM(Y40:Y41)</f>
        <v>7742.6385416660523</v>
      </c>
      <c r="Z39" s="158">
        <f t="shared" ref="Z39" si="410">SUM(Z40:Z41)</f>
        <v>8129.7704687493551</v>
      </c>
      <c r="AA39" s="158">
        <f t="shared" ref="AA39" si="411">SUM(AA40:AA41)</f>
        <v>8536.2589921868239</v>
      </c>
      <c r="AB39" s="158">
        <f t="shared" ref="AB39" si="412">SUM(AB40:AB41)</f>
        <v>8963.0719417961645</v>
      </c>
      <c r="AC39" s="158">
        <f t="shared" ref="AC39" si="413">SUM(AC40:AC41)</f>
        <v>9411.2255388859721</v>
      </c>
      <c r="AD39" s="158">
        <f t="shared" ref="AD39" si="414">SUM(AD40:AD41)</f>
        <v>9881.7868158302717</v>
      </c>
      <c r="AE39" s="158">
        <f t="shared" ref="AE39" si="415">SUM(AE40:AE41)</f>
        <v>10375.876156621787</v>
      </c>
      <c r="AF39" s="158">
        <f t="shared" ref="AF39" si="416">SUM(AF40:AF41)</f>
        <v>10894.669964452876</v>
      </c>
      <c r="AG39" s="158">
        <f t="shared" ref="AG39" si="417">SUM(AG40:AG41)</f>
        <v>11439.40346267552</v>
      </c>
      <c r="AH39" s="158">
        <f t="shared" ref="AH39" si="418">SUM(AH40:AH41)</f>
        <v>12011.373635809297</v>
      </c>
      <c r="AI39" s="158">
        <f t="shared" ref="AI39" si="419">SUM(AI40:AI41)</f>
        <v>12611.942317599762</v>
      </c>
      <c r="AJ39" s="158">
        <f t="shared" ref="AJ39" si="420">SUM(AJ40:AJ41)</f>
        <v>13242.539433479749</v>
      </c>
      <c r="AK39" s="158">
        <f t="shared" ref="AK39" si="421">SUM(AK40:AK41)</f>
        <v>13904.666405153737</v>
      </c>
      <c r="AL39" s="158">
        <f t="shared" ref="AL39" si="422">SUM(AL40:AL41)</f>
        <v>14599.899725411426</v>
      </c>
      <c r="AM39" s="158">
        <f t="shared" ref="AM39" si="423">SUM(AM40:AM41)</f>
        <v>15329.894711681998</v>
      </c>
      <c r="AN39" s="158">
        <f t="shared" ref="AN39" si="424">SUM(AN40:AN41)</f>
        <v>16096.3894472661</v>
      </c>
      <c r="AO39" s="158">
        <f t="shared" ref="AO39" si="425">SUM(AO40:AO41)</f>
        <v>16901.208919629404</v>
      </c>
      <c r="AP39" s="158">
        <f t="shared" ref="AP39" si="426">SUM(AP40:AP41)</f>
        <v>17746.269365610875</v>
      </c>
      <c r="AQ39" s="158">
        <f t="shared" ref="AQ39" si="427">SUM(AQ40:AQ41)</f>
        <v>18633.582833891422</v>
      </c>
      <c r="AR39" s="158">
        <f t="shared" ref="AR39" si="428">SUM(AR40:AR41)</f>
        <v>19565.261975585992</v>
      </c>
      <c r="AS39" s="158">
        <f t="shared" ref="AS39" si="429">SUM(AS40:AS41)</f>
        <v>20543.525074365294</v>
      </c>
      <c r="AT39" s="158">
        <f t="shared" ref="AT39" si="430">SUM(AT40:AT41)</f>
        <v>21570.70132808356</v>
      </c>
      <c r="AU39" s="158">
        <f t="shared" ref="AU39" si="431">SUM(AU40:AU41)</f>
        <v>22649.236394487736</v>
      </c>
      <c r="AV39" s="158">
        <f t="shared" ref="AV39:BG39" si="432">SUM(AV40:AV41)</f>
        <v>23215.467304349932</v>
      </c>
      <c r="AW39" s="158">
        <f t="shared" si="432"/>
        <v>23795.853986958675</v>
      </c>
      <c r="AX39" s="158">
        <f t="shared" si="432"/>
        <v>24390.750336632642</v>
      </c>
      <c r="AY39" s="158">
        <f t="shared" si="432"/>
        <v>25000.519095048454</v>
      </c>
      <c r="AZ39" s="158">
        <f t="shared" si="432"/>
        <v>25625.532072424663</v>
      </c>
      <c r="BA39" s="158">
        <f t="shared" si="432"/>
        <v>26266.170374235277</v>
      </c>
      <c r="BB39" s="158">
        <f t="shared" si="432"/>
        <v>26922.824633591157</v>
      </c>
      <c r="BC39" s="158">
        <f t="shared" si="432"/>
        <v>27595.895249430934</v>
      </c>
      <c r="BD39" s="158">
        <f t="shared" si="432"/>
        <v>28285.792630666707</v>
      </c>
      <c r="BE39" s="158">
        <f t="shared" si="432"/>
        <v>28992.937446433367</v>
      </c>
      <c r="BF39" s="158">
        <f t="shared" si="432"/>
        <v>29717.760882594197</v>
      </c>
      <c r="BG39" s="158">
        <f t="shared" si="432"/>
        <v>30460.704904659051</v>
      </c>
      <c r="BI39" s="158">
        <v>0</v>
      </c>
      <c r="BJ39" s="158">
        <f t="shared" si="222"/>
        <v>6614</v>
      </c>
      <c r="BK39" s="158">
        <f t="shared" si="223"/>
        <v>6990</v>
      </c>
      <c r="BL39" s="158">
        <f t="shared" si="224"/>
        <v>9216</v>
      </c>
      <c r="BM39" s="158">
        <f t="shared" si="225"/>
        <v>15180</v>
      </c>
      <c r="BN39" s="158">
        <f t="shared" si="226"/>
        <v>15169</v>
      </c>
      <c r="BO39" s="158">
        <f t="shared" si="227"/>
        <v>22457</v>
      </c>
      <c r="BP39" s="158">
        <f t="shared" si="228"/>
        <v>20166</v>
      </c>
      <c r="BQ39" s="158">
        <f t="shared" si="229"/>
        <v>22911.171321020909</v>
      </c>
      <c r="BR39" s="158">
        <f t="shared" si="230"/>
        <v>26910.556472868957</v>
      </c>
      <c r="BS39" s="158">
        <f t="shared" si="231"/>
        <v>31152.332936904939</v>
      </c>
      <c r="BT39" s="158">
        <f t="shared" si="232"/>
        <v>36062.719416084583</v>
      </c>
      <c r="BU39" s="158">
        <f t="shared" si="233"/>
        <v>41747.105564044912</v>
      </c>
      <c r="BV39" s="158">
        <f t="shared" si="234"/>
        <v>48327.4930785775</v>
      </c>
      <c r="BW39" s="158">
        <f t="shared" si="235"/>
        <v>55945.114175088289</v>
      </c>
      <c r="BX39" s="158">
        <f t="shared" si="236"/>
        <v>64763.46279693659</v>
      </c>
      <c r="BY39" s="158">
        <f t="shared" si="18"/>
        <v>71402.071627941245</v>
      </c>
      <c r="BZ39" s="158">
        <f t="shared" si="19"/>
        <v>76892.221541708393</v>
      </c>
      <c r="CA39" s="158">
        <f t="shared" si="20"/>
        <v>82804.512513688795</v>
      </c>
      <c r="CB39" s="158">
        <f t="shared" si="21"/>
        <v>89171.403233686622</v>
      </c>
      <c r="CD39" s="158">
        <f t="shared" si="237"/>
        <v>22820</v>
      </c>
      <c r="CE39" s="158">
        <f t="shared" si="238"/>
        <v>72972</v>
      </c>
      <c r="CF39" s="158">
        <f t="shared" si="239"/>
        <v>117036.78014687938</v>
      </c>
      <c r="CG39" s="158">
        <f t="shared" si="240"/>
        <v>210783.17561464731</v>
      </c>
      <c r="CH39" s="780">
        <f t="shared" si="26"/>
        <v>320270.20891702507</v>
      </c>
    </row>
    <row r="40" spans="2:86" x14ac:dyDescent="0.2">
      <c r="B40" s="155" t="s">
        <v>221</v>
      </c>
      <c r="C40" s="165">
        <f>C28</f>
        <v>936</v>
      </c>
      <c r="D40" s="165">
        <f t="shared" ref="D40:AU40" si="433">D28</f>
        <v>1787</v>
      </c>
      <c r="E40" s="165">
        <f t="shared" si="433"/>
        <v>2244</v>
      </c>
      <c r="F40" s="165">
        <f t="shared" si="433"/>
        <v>1681</v>
      </c>
      <c r="G40" s="165">
        <f t="shared" si="433"/>
        <v>1850</v>
      </c>
      <c r="H40" s="165">
        <f t="shared" si="433"/>
        <v>1122</v>
      </c>
      <c r="I40" s="165">
        <f t="shared" si="433"/>
        <v>1855</v>
      </c>
      <c r="J40" s="165">
        <f t="shared" si="433"/>
        <v>1849</v>
      </c>
      <c r="K40" s="165">
        <f t="shared" si="433"/>
        <v>2086</v>
      </c>
      <c r="L40" s="165">
        <f t="shared" si="433"/>
        <v>1972</v>
      </c>
      <c r="M40" s="165">
        <f t="shared" si="433"/>
        <v>4010</v>
      </c>
      <c r="N40" s="165">
        <f t="shared" si="433"/>
        <v>4975</v>
      </c>
      <c r="O40" s="165">
        <f t="shared" si="433"/>
        <v>2994</v>
      </c>
      <c r="P40" s="165">
        <f t="shared" si="433"/>
        <v>2649</v>
      </c>
      <c r="Q40" s="165">
        <f t="shared" si="433"/>
        <v>3556</v>
      </c>
      <c r="R40" s="165">
        <f t="shared" si="433"/>
        <v>3116</v>
      </c>
      <c r="S40" s="165">
        <f t="shared" si="433"/>
        <v>7173</v>
      </c>
      <c r="T40" s="165">
        <f t="shared" si="433"/>
        <v>4769</v>
      </c>
      <c r="U40" s="165">
        <f t="shared" si="433"/>
        <v>5206</v>
      </c>
      <c r="V40" s="165">
        <f t="shared" si="433"/>
        <v>4435</v>
      </c>
      <c r="W40" s="165">
        <f t="shared" si="433"/>
        <v>3583</v>
      </c>
      <c r="X40" s="165">
        <f t="shared" si="433"/>
        <v>3867.3060883430976</v>
      </c>
      <c r="Y40" s="165">
        <f t="shared" si="433"/>
        <v>4254.0366971774074</v>
      </c>
      <c r="Z40" s="165">
        <f t="shared" si="433"/>
        <v>4466.7385320362782</v>
      </c>
      <c r="AA40" s="165">
        <f t="shared" si="433"/>
        <v>4690.0754586380917</v>
      </c>
      <c r="AB40" s="165">
        <f t="shared" si="433"/>
        <v>4924.5792315699964</v>
      </c>
      <c r="AC40" s="165">
        <f t="shared" si="433"/>
        <v>5170.8081931484958</v>
      </c>
      <c r="AD40" s="165">
        <f t="shared" si="433"/>
        <v>5429.3486028059215</v>
      </c>
      <c r="AE40" s="165">
        <f t="shared" si="433"/>
        <v>5700.816032946218</v>
      </c>
      <c r="AF40" s="165">
        <f t="shared" si="433"/>
        <v>5985.8568345935291</v>
      </c>
      <c r="AG40" s="165">
        <f t="shared" si="433"/>
        <v>6285.1496763232062</v>
      </c>
      <c r="AH40" s="165">
        <f t="shared" si="433"/>
        <v>6599.4071601393671</v>
      </c>
      <c r="AI40" s="165">
        <f t="shared" si="433"/>
        <v>6929.3775181463352</v>
      </c>
      <c r="AJ40" s="165">
        <f t="shared" si="433"/>
        <v>7275.8463940536521</v>
      </c>
      <c r="AK40" s="165">
        <f t="shared" si="433"/>
        <v>7639.6387137563343</v>
      </c>
      <c r="AL40" s="165">
        <f t="shared" si="433"/>
        <v>8021.6206494441521</v>
      </c>
      <c r="AM40" s="165">
        <f t="shared" si="433"/>
        <v>8422.70168191636</v>
      </c>
      <c r="AN40" s="165">
        <f t="shared" si="433"/>
        <v>8843.8367660121785</v>
      </c>
      <c r="AO40" s="165">
        <f t="shared" si="433"/>
        <v>9286.028604312789</v>
      </c>
      <c r="AP40" s="165">
        <f t="shared" si="433"/>
        <v>9750.3300345284279</v>
      </c>
      <c r="AQ40" s="165">
        <f t="shared" si="433"/>
        <v>10237.84653625485</v>
      </c>
      <c r="AR40" s="165">
        <f t="shared" si="433"/>
        <v>10749.738863067592</v>
      </c>
      <c r="AS40" s="165">
        <f t="shared" si="433"/>
        <v>11287.225806220973</v>
      </c>
      <c r="AT40" s="165">
        <f t="shared" si="433"/>
        <v>11851.587096532023</v>
      </c>
      <c r="AU40" s="165">
        <f t="shared" si="433"/>
        <v>12444.166451358624</v>
      </c>
      <c r="AV40" s="165">
        <f t="shared" ref="AV40:BG40" si="434">AV28</f>
        <v>12755.270612642589</v>
      </c>
      <c r="AW40" s="165">
        <f t="shared" si="434"/>
        <v>13074.152377958653</v>
      </c>
      <c r="AX40" s="165">
        <f t="shared" si="434"/>
        <v>13401.006187407618</v>
      </c>
      <c r="AY40" s="165">
        <f t="shared" si="434"/>
        <v>13736.031342092807</v>
      </c>
      <c r="AZ40" s="165">
        <f t="shared" si="434"/>
        <v>14079.432125645126</v>
      </c>
      <c r="BA40" s="165">
        <f t="shared" si="434"/>
        <v>14431.417928786252</v>
      </c>
      <c r="BB40" s="165">
        <f t="shared" si="434"/>
        <v>14792.203377005908</v>
      </c>
      <c r="BC40" s="165">
        <f t="shared" si="434"/>
        <v>15162.008461431054</v>
      </c>
      <c r="BD40" s="165">
        <f t="shared" si="434"/>
        <v>15541.05867296683</v>
      </c>
      <c r="BE40" s="165">
        <f t="shared" si="434"/>
        <v>15929.585139790997</v>
      </c>
      <c r="BF40" s="165">
        <f t="shared" si="434"/>
        <v>16327.824768285769</v>
      </c>
      <c r="BG40" s="165">
        <f t="shared" si="434"/>
        <v>16736.020387492914</v>
      </c>
      <c r="BI40" s="165"/>
      <c r="BJ40" s="165">
        <f t="shared" si="222"/>
        <v>4967</v>
      </c>
      <c r="BK40" s="165">
        <f t="shared" si="223"/>
        <v>4653</v>
      </c>
      <c r="BL40" s="165">
        <f t="shared" si="224"/>
        <v>5790</v>
      </c>
      <c r="BM40" s="165">
        <f t="shared" si="225"/>
        <v>10957</v>
      </c>
      <c r="BN40" s="165">
        <f t="shared" si="226"/>
        <v>9199</v>
      </c>
      <c r="BO40" s="165">
        <f t="shared" si="227"/>
        <v>15058</v>
      </c>
      <c r="BP40" s="165">
        <f t="shared" si="228"/>
        <v>13224</v>
      </c>
      <c r="BQ40" s="165">
        <f t="shared" si="229"/>
        <v>12588.081317556782</v>
      </c>
      <c r="BR40" s="165">
        <f t="shared" si="230"/>
        <v>14785.462883356584</v>
      </c>
      <c r="BS40" s="165">
        <f t="shared" si="231"/>
        <v>17116.021470345666</v>
      </c>
      <c r="BT40" s="165">
        <f t="shared" si="232"/>
        <v>19813.934354608908</v>
      </c>
      <c r="BU40" s="165">
        <f t="shared" si="233"/>
        <v>22937.105757254139</v>
      </c>
      <c r="BV40" s="165">
        <f t="shared" si="234"/>
        <v>26552.567052241327</v>
      </c>
      <c r="BW40" s="165">
        <f t="shared" si="235"/>
        <v>30737.915433850871</v>
      </c>
      <c r="BX40" s="165">
        <f t="shared" si="236"/>
        <v>35582.979354111616</v>
      </c>
      <c r="BY40" s="165">
        <f t="shared" si="18"/>
        <v>39230.429178008861</v>
      </c>
      <c r="BZ40" s="165">
        <f t="shared" si="19"/>
        <v>42246.881396524186</v>
      </c>
      <c r="CA40" s="165">
        <f t="shared" si="20"/>
        <v>45495.270511403789</v>
      </c>
      <c r="CB40" s="165">
        <f t="shared" si="21"/>
        <v>48993.430295569677</v>
      </c>
      <c r="CD40" s="165">
        <f t="shared" si="237"/>
        <v>15410</v>
      </c>
      <c r="CE40" s="165">
        <f t="shared" si="238"/>
        <v>48438</v>
      </c>
      <c r="CF40" s="165">
        <f t="shared" si="239"/>
        <v>64303.500025867936</v>
      </c>
      <c r="CG40" s="165">
        <f t="shared" si="240"/>
        <v>115810.56759745796</v>
      </c>
      <c r="CH40" s="804">
        <f t="shared" si="26"/>
        <v>175966.01138150651</v>
      </c>
    </row>
    <row r="41" spans="2:86" x14ac:dyDescent="0.2">
      <c r="B41" s="155" t="s">
        <v>222</v>
      </c>
      <c r="C41" s="165">
        <f>C29</f>
        <v>535</v>
      </c>
      <c r="D41" s="165">
        <f t="shared" ref="D41:AU41" si="435">D29</f>
        <v>479</v>
      </c>
      <c r="E41" s="165">
        <f t="shared" si="435"/>
        <v>633</v>
      </c>
      <c r="F41" s="165">
        <f t="shared" si="435"/>
        <v>493</v>
      </c>
      <c r="G41" s="165">
        <f t="shared" si="435"/>
        <v>725</v>
      </c>
      <c r="H41" s="165">
        <f t="shared" si="435"/>
        <v>1119</v>
      </c>
      <c r="I41" s="165">
        <f t="shared" si="435"/>
        <v>1021</v>
      </c>
      <c r="J41" s="165">
        <f t="shared" si="435"/>
        <v>1162</v>
      </c>
      <c r="K41" s="165">
        <f t="shared" si="435"/>
        <v>1243</v>
      </c>
      <c r="L41" s="165">
        <f t="shared" si="435"/>
        <v>1047</v>
      </c>
      <c r="M41" s="165">
        <f t="shared" si="435"/>
        <v>1424</v>
      </c>
      <c r="N41" s="165">
        <f t="shared" si="435"/>
        <v>1752</v>
      </c>
      <c r="O41" s="165">
        <f t="shared" si="435"/>
        <v>1951</v>
      </c>
      <c r="P41" s="165">
        <f t="shared" si="435"/>
        <v>1986</v>
      </c>
      <c r="Q41" s="165">
        <f t="shared" si="435"/>
        <v>2033</v>
      </c>
      <c r="R41" s="165">
        <f t="shared" si="435"/>
        <v>2044</v>
      </c>
      <c r="S41" s="165">
        <f t="shared" si="435"/>
        <v>2383</v>
      </c>
      <c r="T41" s="165">
        <f t="shared" si="435"/>
        <v>2972</v>
      </c>
      <c r="U41" s="165">
        <f t="shared" si="435"/>
        <v>2788</v>
      </c>
      <c r="V41" s="165">
        <f t="shared" si="435"/>
        <v>2013</v>
      </c>
      <c r="W41" s="165">
        <f t="shared" si="435"/>
        <v>2141</v>
      </c>
      <c r="X41" s="165">
        <f t="shared" si="435"/>
        <v>3171.4562222624045</v>
      </c>
      <c r="Y41" s="165">
        <f t="shared" si="435"/>
        <v>3488.6018444886449</v>
      </c>
      <c r="Z41" s="165">
        <f t="shared" si="435"/>
        <v>3663.0319367130769</v>
      </c>
      <c r="AA41" s="165">
        <f t="shared" si="435"/>
        <v>3846.1835335487312</v>
      </c>
      <c r="AB41" s="165">
        <f t="shared" si="435"/>
        <v>4038.4927102261677</v>
      </c>
      <c r="AC41" s="165">
        <f t="shared" si="435"/>
        <v>4240.4173457374764</v>
      </c>
      <c r="AD41" s="165">
        <f t="shared" si="435"/>
        <v>4452.4382130243503</v>
      </c>
      <c r="AE41" s="165">
        <f t="shared" si="435"/>
        <v>4675.0601236755683</v>
      </c>
      <c r="AF41" s="165">
        <f t="shared" si="435"/>
        <v>4908.8131298593471</v>
      </c>
      <c r="AG41" s="165">
        <f t="shared" si="435"/>
        <v>5154.2537863523139</v>
      </c>
      <c r="AH41" s="165">
        <f t="shared" si="435"/>
        <v>5411.9664756699303</v>
      </c>
      <c r="AI41" s="165">
        <f t="shared" si="435"/>
        <v>5682.5647994534265</v>
      </c>
      <c r="AJ41" s="165">
        <f t="shared" si="435"/>
        <v>5966.693039426098</v>
      </c>
      <c r="AK41" s="165">
        <f t="shared" si="435"/>
        <v>6265.027691397403</v>
      </c>
      <c r="AL41" s="165">
        <f t="shared" si="435"/>
        <v>6578.2790759672735</v>
      </c>
      <c r="AM41" s="165">
        <f t="shared" si="435"/>
        <v>6907.1930297656381</v>
      </c>
      <c r="AN41" s="165">
        <f t="shared" si="435"/>
        <v>7252.552681253921</v>
      </c>
      <c r="AO41" s="165">
        <f t="shared" si="435"/>
        <v>7615.1803153166165</v>
      </c>
      <c r="AP41" s="165">
        <f t="shared" si="435"/>
        <v>7995.939331082448</v>
      </c>
      <c r="AQ41" s="165">
        <f t="shared" si="435"/>
        <v>8395.7362976365712</v>
      </c>
      <c r="AR41" s="165">
        <f t="shared" si="435"/>
        <v>8815.5231125184</v>
      </c>
      <c r="AS41" s="165">
        <f t="shared" si="435"/>
        <v>9256.2992681443211</v>
      </c>
      <c r="AT41" s="165">
        <f t="shared" si="435"/>
        <v>9719.1142315515372</v>
      </c>
      <c r="AU41" s="165">
        <f t="shared" si="435"/>
        <v>10205.069943129114</v>
      </c>
      <c r="AV41" s="165">
        <f t="shared" ref="AV41:BG41" si="436">AV29</f>
        <v>10460.196691707342</v>
      </c>
      <c r="AW41" s="165">
        <f t="shared" si="436"/>
        <v>10721.701609000023</v>
      </c>
      <c r="AX41" s="165">
        <f t="shared" si="436"/>
        <v>10989.744149225024</v>
      </c>
      <c r="AY41" s="165">
        <f t="shared" si="436"/>
        <v>11264.487752955647</v>
      </c>
      <c r="AZ41" s="165">
        <f t="shared" si="436"/>
        <v>11546.099946779537</v>
      </c>
      <c r="BA41" s="165">
        <f t="shared" si="436"/>
        <v>11834.752445449025</v>
      </c>
      <c r="BB41" s="165">
        <f t="shared" si="436"/>
        <v>12130.621256585249</v>
      </c>
      <c r="BC41" s="165">
        <f t="shared" si="436"/>
        <v>12433.88678799988</v>
      </c>
      <c r="BD41" s="165">
        <f t="shared" si="436"/>
        <v>12744.733957699877</v>
      </c>
      <c r="BE41" s="165">
        <f t="shared" si="436"/>
        <v>13063.352306642371</v>
      </c>
      <c r="BF41" s="165">
        <f t="shared" si="436"/>
        <v>13389.936114308428</v>
      </c>
      <c r="BG41" s="165">
        <f t="shared" si="436"/>
        <v>13724.684517166137</v>
      </c>
      <c r="BI41" s="165">
        <v>0</v>
      </c>
      <c r="BJ41" s="165">
        <f t="shared" si="222"/>
        <v>1647</v>
      </c>
      <c r="BK41" s="165">
        <f t="shared" si="223"/>
        <v>2337</v>
      </c>
      <c r="BL41" s="165">
        <f t="shared" si="224"/>
        <v>3426</v>
      </c>
      <c r="BM41" s="165">
        <f t="shared" si="225"/>
        <v>4223</v>
      </c>
      <c r="BN41" s="165">
        <f t="shared" si="226"/>
        <v>5970</v>
      </c>
      <c r="BO41" s="165">
        <f t="shared" si="227"/>
        <v>7399</v>
      </c>
      <c r="BP41" s="165">
        <f t="shared" si="228"/>
        <v>6942</v>
      </c>
      <c r="BQ41" s="165">
        <f t="shared" si="229"/>
        <v>10323.090003464127</v>
      </c>
      <c r="BR41" s="165">
        <f t="shared" si="230"/>
        <v>12125.093589512375</v>
      </c>
      <c r="BS41" s="165">
        <f t="shared" si="231"/>
        <v>14036.311466559266</v>
      </c>
      <c r="BT41" s="165">
        <f t="shared" si="232"/>
        <v>16248.785061475672</v>
      </c>
      <c r="BU41" s="165">
        <f t="shared" si="233"/>
        <v>18809.999806790773</v>
      </c>
      <c r="BV41" s="165">
        <f t="shared" si="234"/>
        <v>21774.926026336176</v>
      </c>
      <c r="BW41" s="165">
        <f t="shared" si="235"/>
        <v>25207.198741237418</v>
      </c>
      <c r="BX41" s="165">
        <f t="shared" si="236"/>
        <v>29180.483442824974</v>
      </c>
      <c r="BY41" s="165">
        <f t="shared" si="18"/>
        <v>32171.642449932391</v>
      </c>
      <c r="BZ41" s="165">
        <f t="shared" si="19"/>
        <v>34645.340145184207</v>
      </c>
      <c r="CA41" s="165">
        <f t="shared" si="20"/>
        <v>37309.242002285006</v>
      </c>
      <c r="CB41" s="165">
        <f t="shared" si="21"/>
        <v>40177.972938116931</v>
      </c>
      <c r="CD41" s="165">
        <f t="shared" si="237"/>
        <v>7410</v>
      </c>
      <c r="CE41" s="165">
        <f t="shared" si="238"/>
        <v>24534</v>
      </c>
      <c r="CF41" s="165">
        <f t="shared" si="239"/>
        <v>52733.280121011441</v>
      </c>
      <c r="CG41" s="165">
        <f t="shared" si="240"/>
        <v>94972.608017189341</v>
      </c>
      <c r="CH41" s="804">
        <f t="shared" si="26"/>
        <v>144304.19753551853</v>
      </c>
    </row>
    <row r="42" spans="2:86" x14ac:dyDescent="0.2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D42" s="10"/>
      <c r="CE42" s="10"/>
      <c r="CF42" s="10"/>
      <c r="CG42" s="10"/>
      <c r="CH42" s="812"/>
    </row>
    <row r="43" spans="2:86" x14ac:dyDescent="0.2">
      <c r="B43" s="209" t="s">
        <v>18</v>
      </c>
      <c r="C43" s="199">
        <f>SUM(C44:C45)</f>
        <v>26507878.76101695</v>
      </c>
      <c r="D43" s="199">
        <f t="shared" ref="D43" si="437">SUM(D44:D45)</f>
        <v>36119079.76983051</v>
      </c>
      <c r="E43" s="199">
        <f t="shared" ref="E43" si="438">SUM(E44:E45)</f>
        <v>49394539.750508472</v>
      </c>
      <c r="F43" s="199">
        <f t="shared" ref="F43" si="439">SUM(F44:F45)</f>
        <v>35189843.499152541</v>
      </c>
      <c r="G43" s="199">
        <f t="shared" ref="G43" si="440">SUM(G44:G45)</f>
        <v>39813984.301525414</v>
      </c>
      <c r="H43" s="199">
        <f t="shared" ref="H43" si="441">SUM(H44:H45)</f>
        <v>37624707.582711861</v>
      </c>
      <c r="I43" s="199">
        <f t="shared" ref="I43" si="442">SUM(I44:I45)</f>
        <v>50581393.4779661</v>
      </c>
      <c r="J43" s="199">
        <f t="shared" ref="J43" si="443">SUM(J44:J45)</f>
        <v>46130299.426610172</v>
      </c>
      <c r="K43" s="199">
        <f t="shared" ref="K43" si="444">SUM(K44:K45)</f>
        <v>60559789.062203385</v>
      </c>
      <c r="L43" s="199">
        <f t="shared" ref="L43" si="445">SUM(L44:L45)</f>
        <v>47654074.742372878</v>
      </c>
      <c r="M43" s="199">
        <f t="shared" ref="M43" si="446">SUM(M44:M45)</f>
        <v>75410187.490879148</v>
      </c>
      <c r="N43" s="199">
        <f t="shared" ref="N43" si="447">SUM(N44:N45)</f>
        <v>84704690.954694092</v>
      </c>
      <c r="O43" s="199">
        <f t="shared" ref="O43" si="448">SUM(O44:O45)</f>
        <v>68165540.44271186</v>
      </c>
      <c r="P43" s="199">
        <f t="shared" ref="P43" si="449">SUM(P44:P45)</f>
        <v>67482719.231694937</v>
      </c>
      <c r="Q43" s="199">
        <f t="shared" ref="Q43" si="450">SUM(Q44:Q45)</f>
        <v>77733819.352203369</v>
      </c>
      <c r="R43" s="199">
        <f t="shared" ref="R43" si="451">SUM(R44:R45)</f>
        <v>73910782.119661018</v>
      </c>
      <c r="S43" s="199">
        <f t="shared" ref="S43" si="452">SUM(S44:S45)</f>
        <v>95371459.579491526</v>
      </c>
      <c r="T43" s="199">
        <f t="shared" ref="T43" si="453">SUM(T44:T45)</f>
        <v>111351019.45305084</v>
      </c>
      <c r="U43" s="199">
        <f t="shared" ref="U43" si="454">SUM(U44:U45)</f>
        <v>107813415.15118645</v>
      </c>
      <c r="V43" s="199">
        <f t="shared" ref="V43" si="455">SUM(V44:V45)</f>
        <v>96904377.734067783</v>
      </c>
      <c r="W43" s="199">
        <f t="shared" ref="W43" si="456">SUM(W44:W45)</f>
        <v>94085469.181271195</v>
      </c>
      <c r="X43" s="199">
        <f t="shared" ref="X43" si="457">SUM(X44:X45)</f>
        <v>115488235.0792608</v>
      </c>
      <c r="Y43" s="199">
        <f t="shared" ref="Y43" si="458">SUM(Y44:Y45)</f>
        <v>127037058.58718689</v>
      </c>
      <c r="Z43" s="199">
        <f t="shared" ref="Z43" si="459">SUM(Z44:Z45)</f>
        <v>133388911.51654622</v>
      </c>
      <c r="AA43" s="199">
        <f t="shared" ref="AA43" si="460">SUM(AA44:AA45)</f>
        <v>140058357.09237355</v>
      </c>
      <c r="AB43" s="199">
        <f t="shared" ref="AB43" si="461">SUM(AB44:AB45)</f>
        <v>147061274.94699219</v>
      </c>
      <c r="AC43" s="199">
        <f t="shared" ref="AC43" si="462">SUM(AC44:AC45)</f>
        <v>154414338.69434181</v>
      </c>
      <c r="AD43" s="199">
        <f t="shared" ref="AD43" si="463">SUM(AD44:AD45)</f>
        <v>162135055.62905893</v>
      </c>
      <c r="AE43" s="199">
        <f t="shared" ref="AE43" si="464">SUM(AE44:AE45)</f>
        <v>170241808.41051188</v>
      </c>
      <c r="AF43" s="199">
        <f t="shared" ref="AF43" si="465">SUM(AF44:AF45)</f>
        <v>178753898.83103749</v>
      </c>
      <c r="AG43" s="199">
        <f t="shared" ref="AG43" si="466">SUM(AG44:AG45)</f>
        <v>187691593.77258939</v>
      </c>
      <c r="AH43" s="199">
        <f t="shared" ref="AH43" si="467">SUM(AH44:AH45)</f>
        <v>197076173.46121883</v>
      </c>
      <c r="AI43" s="199">
        <f t="shared" ref="AI43" si="468">SUM(AI44:AI45)</f>
        <v>206929982.13427979</v>
      </c>
      <c r="AJ43" s="199">
        <f t="shared" ref="AJ43" si="469">SUM(AJ44:AJ45)</f>
        <v>219566951.60151786</v>
      </c>
      <c r="AK43" s="199">
        <f t="shared" ref="AK43" si="470">SUM(AK44:AK45)</f>
        <v>230545299.18159372</v>
      </c>
      <c r="AL43" s="199">
        <f t="shared" ref="AL43" si="471">SUM(AL44:AL45)</f>
        <v>242072564.1406734</v>
      </c>
      <c r="AM43" s="199">
        <f t="shared" ref="AM43" si="472">SUM(AM44:AM45)</f>
        <v>254176192.34770715</v>
      </c>
      <c r="AN43" s="199">
        <f t="shared" ref="AN43" si="473">SUM(AN44:AN45)</f>
        <v>266885001.96509248</v>
      </c>
      <c r="AO43" s="199">
        <f t="shared" ref="AO43" si="474">SUM(AO44:AO45)</f>
        <v>280229252.06334716</v>
      </c>
      <c r="AP43" s="199">
        <f t="shared" ref="AP43" si="475">SUM(AP44:AP45)</f>
        <v>294240714.66651446</v>
      </c>
      <c r="AQ43" s="199">
        <f t="shared" ref="AQ43" si="476">SUM(AQ44:AQ45)</f>
        <v>308952750.39984024</v>
      </c>
      <c r="AR43" s="199">
        <f t="shared" ref="AR43" si="477">SUM(AR44:AR45)</f>
        <v>324400387.91983229</v>
      </c>
      <c r="AS43" s="199">
        <f t="shared" ref="AS43" si="478">SUM(AS44:AS45)</f>
        <v>340620407.31582391</v>
      </c>
      <c r="AT43" s="199">
        <f t="shared" ref="AT43" si="479">SUM(AT44:AT45)</f>
        <v>357651427.68161511</v>
      </c>
      <c r="AU43" s="199">
        <f t="shared" ref="AU43" si="480">SUM(AU44:AU45)</f>
        <v>375533999.06569582</v>
      </c>
      <c r="AV43" s="199">
        <f t="shared" ref="AV43:BG43" si="481">SUM(AV44:AV45)</f>
        <v>375013346.314973</v>
      </c>
      <c r="AW43" s="199">
        <f t="shared" si="481"/>
        <v>384388679.97284734</v>
      </c>
      <c r="AX43" s="199">
        <f t="shared" si="481"/>
        <v>393998396.97216839</v>
      </c>
      <c r="AY43" s="199">
        <f t="shared" si="481"/>
        <v>403848356.89647257</v>
      </c>
      <c r="AZ43" s="199">
        <f t="shared" si="481"/>
        <v>413944565.81888437</v>
      </c>
      <c r="BA43" s="199">
        <f t="shared" si="481"/>
        <v>424293179.96435648</v>
      </c>
      <c r="BB43" s="199">
        <f t="shared" si="481"/>
        <v>434900509.46346533</v>
      </c>
      <c r="BC43" s="199">
        <f t="shared" si="481"/>
        <v>445773022.2000519</v>
      </c>
      <c r="BD43" s="199">
        <f t="shared" si="481"/>
        <v>456917347.75505316</v>
      </c>
      <c r="BE43" s="199">
        <f t="shared" si="481"/>
        <v>468340281.44892949</v>
      </c>
      <c r="BF43" s="199">
        <f t="shared" si="481"/>
        <v>480048788.48515254</v>
      </c>
      <c r="BG43" s="199">
        <f t="shared" si="481"/>
        <v>492050008.19728136</v>
      </c>
      <c r="BI43" s="199">
        <v>0</v>
      </c>
      <c r="BJ43" s="199">
        <f t="shared" si="222"/>
        <v>112021498.28135593</v>
      </c>
      <c r="BK43" s="199">
        <f t="shared" si="223"/>
        <v>112628535.38338982</v>
      </c>
      <c r="BL43" s="199">
        <f t="shared" si="224"/>
        <v>157271481.96677965</v>
      </c>
      <c r="BM43" s="199">
        <f t="shared" si="225"/>
        <v>207768953.18794611</v>
      </c>
      <c r="BN43" s="199">
        <f t="shared" si="226"/>
        <v>213382079.02661017</v>
      </c>
      <c r="BO43" s="199">
        <f t="shared" si="227"/>
        <v>280633261.15220338</v>
      </c>
      <c r="BP43" s="199">
        <f t="shared" si="228"/>
        <v>298803262.06652546</v>
      </c>
      <c r="BQ43" s="199">
        <f t="shared" si="229"/>
        <v>375914205.18299389</v>
      </c>
      <c r="BR43" s="199">
        <f t="shared" si="230"/>
        <v>441533970.73370755</v>
      </c>
      <c r="BS43" s="199">
        <f t="shared" si="231"/>
        <v>511130762.87060833</v>
      </c>
      <c r="BT43" s="199">
        <f t="shared" si="232"/>
        <v>591697749.36808801</v>
      </c>
      <c r="BU43" s="199">
        <f t="shared" si="233"/>
        <v>692184814.92378497</v>
      </c>
      <c r="BV43" s="199">
        <f t="shared" si="234"/>
        <v>801290446.37614679</v>
      </c>
      <c r="BW43" s="199">
        <f t="shared" si="235"/>
        <v>927593852.98618698</v>
      </c>
      <c r="BX43" s="199">
        <f t="shared" si="236"/>
        <v>1073805834.0631349</v>
      </c>
      <c r="BY43" s="199">
        <f t="shared" si="18"/>
        <v>1153400423.2599888</v>
      </c>
      <c r="BZ43" s="199">
        <f t="shared" si="19"/>
        <v>1242086102.6797135</v>
      </c>
      <c r="CA43" s="199">
        <f t="shared" si="20"/>
        <v>1337590879.4185705</v>
      </c>
      <c r="CB43" s="199">
        <f t="shared" si="21"/>
        <v>1440439078.1313634</v>
      </c>
      <c r="CD43" s="199">
        <f t="shared" si="237"/>
        <v>381921515.6315254</v>
      </c>
      <c r="CE43" s="199">
        <f t="shared" si="238"/>
        <v>1000587555.4332851</v>
      </c>
      <c r="CF43" s="199">
        <f t="shared" si="239"/>
        <v>1920276688.1553977</v>
      </c>
      <c r="CG43" s="199">
        <f t="shared" si="240"/>
        <v>3494874948.3492537</v>
      </c>
      <c r="CH43" s="810">
        <f t="shared" si="26"/>
        <v>5173516483.4896355</v>
      </c>
    </row>
    <row r="44" spans="2:86" x14ac:dyDescent="0.2">
      <c r="B44" s="155" t="s">
        <v>221</v>
      </c>
      <c r="C44" s="19">
        <f>'P&amp;L - Inputs'!BY657</f>
        <v>13177726.161016949</v>
      </c>
      <c r="D44" s="19">
        <f>'P&amp;L - Inputs'!BZ657</f>
        <v>23667836.189830508</v>
      </c>
      <c r="E44" s="19">
        <f>'P&amp;L - Inputs'!CA657</f>
        <v>31562198.477966104</v>
      </c>
      <c r="F44" s="19">
        <f>'P&amp;L - Inputs'!CB657</f>
        <v>20800702.276271187</v>
      </c>
      <c r="G44" s="19">
        <f>'P&amp;L - Inputs'!CC657</f>
        <v>21236601.4559322</v>
      </c>
      <c r="H44" s="19">
        <f>'P&amp;L - Inputs'!CD657</f>
        <v>11287399.701864406</v>
      </c>
      <c r="I44" s="19">
        <f>'P&amp;L - Inputs'!CE657</f>
        <v>22423740.611864407</v>
      </c>
      <c r="J44" s="19">
        <f>'P&amp;L - Inputs'!CF657</f>
        <v>21492846.663898304</v>
      </c>
      <c r="K44" s="19">
        <f>'P&amp;L - Inputs'!CG657</f>
        <v>35162616.765084743</v>
      </c>
      <c r="L44" s="19">
        <f>'P&amp;L - Inputs'!CH657</f>
        <v>21108499.962711863</v>
      </c>
      <c r="M44" s="19">
        <f>'P&amp;L - Inputs'!CI657</f>
        <v>41271592.903591022</v>
      </c>
      <c r="N44" s="19">
        <f>'P&amp;L - Inputs'!CJ657</f>
        <v>44934271.128592387</v>
      </c>
      <c r="O44" s="19">
        <f>'P&amp;L - Inputs'!CK657</f>
        <v>26025208.737627119</v>
      </c>
      <c r="P44" s="19">
        <f>'P&amp;L - Inputs'!CL657</f>
        <v>23105247.364576273</v>
      </c>
      <c r="Q44" s="19">
        <f>'P&amp;L - Inputs'!CM657</f>
        <v>34241425.894576266</v>
      </c>
      <c r="R44" s="19">
        <f>'P&amp;L - Inputs'!CN657</f>
        <v>28671962.227627117</v>
      </c>
      <c r="S44" s="19">
        <f>'P&amp;L - Inputs'!CO657</f>
        <v>41692651.39254237</v>
      </c>
      <c r="T44" s="19">
        <f>'P&amp;L - Inputs'!CP657</f>
        <v>41307371.181525424</v>
      </c>
      <c r="U44" s="19">
        <f>'P&amp;L - Inputs'!CQ657</f>
        <v>42402435.531355932</v>
      </c>
      <c r="V44" s="19">
        <f>'P&amp;L - Inputs'!CR657</f>
        <v>44984691.67949152</v>
      </c>
      <c r="W44" s="19">
        <f>'P&amp;L - Inputs'!CS657</f>
        <v>37890638.198728815</v>
      </c>
      <c r="X44" s="19">
        <f>'P&amp;L - Inputs'!CT657</f>
        <v>35160307.539295465</v>
      </c>
      <c r="Y44" s="19">
        <f>'P&amp;L - Inputs'!CU657</f>
        <v>38676338.293225005</v>
      </c>
      <c r="Z44" s="19">
        <f>'P&amp;L - Inputs'!CV657</f>
        <v>40610155.207886264</v>
      </c>
      <c r="AA44" s="19">
        <f>'P&amp;L - Inputs'!CW657</f>
        <v>42640662.968280569</v>
      </c>
      <c r="AB44" s="19">
        <f>'P&amp;L - Inputs'!CX657</f>
        <v>44772696.116694592</v>
      </c>
      <c r="AC44" s="19">
        <f>'P&amp;L - Inputs'!CY657</f>
        <v>47011330.922529317</v>
      </c>
      <c r="AD44" s="19">
        <f>'P&amp;L - Inputs'!CZ657</f>
        <v>49361897.468655787</v>
      </c>
      <c r="AE44" s="19">
        <f>'P&amp;L - Inputs'!DA657</f>
        <v>51829992.342088588</v>
      </c>
      <c r="AF44" s="19">
        <f>'P&amp;L - Inputs'!DB657</f>
        <v>54421491.959193021</v>
      </c>
      <c r="AG44" s="19">
        <f>'P&amp;L - Inputs'!DC657</f>
        <v>57142566.557152681</v>
      </c>
      <c r="AH44" s="19">
        <f>'P&amp;L - Inputs'!DD657</f>
        <v>59999694.885010317</v>
      </c>
      <c r="AI44" s="19">
        <f>'P&amp;L - Inputs'!DE657</f>
        <v>62999679.629260831</v>
      </c>
      <c r="AJ44" s="19">
        <f>'P&amp;L - Inputs'!DF657</f>
        <v>68726018.930299446</v>
      </c>
      <c r="AK44" s="19">
        <f>'P&amp;L - Inputs'!DG657</f>
        <v>72162319.876814395</v>
      </c>
      <c r="AL44" s="19">
        <f>'P&amp;L - Inputs'!DH657</f>
        <v>75770435.870655134</v>
      </c>
      <c r="AM44" s="19">
        <f>'P&amp;L - Inputs'!DI657</f>
        <v>79558957.664187923</v>
      </c>
      <c r="AN44" s="19">
        <f>'P&amp;L - Inputs'!DJ657</f>
        <v>83536905.547397316</v>
      </c>
      <c r="AO44" s="19">
        <f>'P&amp;L - Inputs'!DK657</f>
        <v>87713750.824767187</v>
      </c>
      <c r="AP44" s="19">
        <f>'P&amp;L - Inputs'!DL657</f>
        <v>92099438.36600554</v>
      </c>
      <c r="AQ44" s="19">
        <f>'P&amp;L - Inputs'!DM657</f>
        <v>96704410.284305841</v>
      </c>
      <c r="AR44" s="19">
        <f>'P&amp;L - Inputs'!DN657</f>
        <v>101539630.79852112</v>
      </c>
      <c r="AS44" s="19">
        <f>'P&amp;L - Inputs'!DO657</f>
        <v>106616612.33844717</v>
      </c>
      <c r="AT44" s="19">
        <f>'P&amp;L - Inputs'!DP657</f>
        <v>111947442.95536953</v>
      </c>
      <c r="AU44" s="19">
        <f>'P&amp;L - Inputs'!DQ657</f>
        <v>117544815.10313803</v>
      </c>
      <c r="AV44" s="19">
        <f>'P&amp;L - Inputs'!DR657</f>
        <v>117919958.13006294</v>
      </c>
      <c r="AW44" s="19">
        <f>'P&amp;L - Inputs'!DS657</f>
        <v>120867957.08331451</v>
      </c>
      <c r="AX44" s="19">
        <f>'P&amp;L - Inputs'!DT657</f>
        <v>123889656.01039733</v>
      </c>
      <c r="AY44" s="19">
        <f>'P&amp;L - Inputs'!DU657</f>
        <v>126986897.41065726</v>
      </c>
      <c r="AZ44" s="19">
        <f>'P&amp;L - Inputs'!DV657</f>
        <v>130161569.84592368</v>
      </c>
      <c r="BA44" s="19">
        <f>'P&amp;L - Inputs'!DW657</f>
        <v>133415609.09207177</v>
      </c>
      <c r="BB44" s="19">
        <f>'P&amp;L - Inputs'!DX657</f>
        <v>136750999.31937355</v>
      </c>
      <c r="BC44" s="19">
        <f>'P&amp;L - Inputs'!DY657</f>
        <v>140169774.30235785</v>
      </c>
      <c r="BD44" s="19">
        <f>'P&amp;L - Inputs'!DZ657</f>
        <v>143674018.65991679</v>
      </c>
      <c r="BE44" s="19">
        <f>'P&amp;L - Inputs'!EA657</f>
        <v>147265869.12641472</v>
      </c>
      <c r="BF44" s="19">
        <f>'P&amp;L - Inputs'!EB657</f>
        <v>150947515.85457504</v>
      </c>
      <c r="BG44" s="19">
        <f>'P&amp;L - Inputs'!EC657</f>
        <v>154721203.75093943</v>
      </c>
      <c r="BI44" s="19"/>
      <c r="BJ44" s="19">
        <f t="shared" si="222"/>
        <v>68407760.828813553</v>
      </c>
      <c r="BK44" s="19">
        <f t="shared" si="223"/>
        <v>53324703.434067793</v>
      </c>
      <c r="BL44" s="19">
        <f t="shared" si="224"/>
        <v>79079204.04084745</v>
      </c>
      <c r="BM44" s="19">
        <f t="shared" si="225"/>
        <v>107314363.99489528</v>
      </c>
      <c r="BN44" s="19">
        <f t="shared" si="226"/>
        <v>83371881.99677965</v>
      </c>
      <c r="BO44" s="19">
        <f t="shared" si="227"/>
        <v>111671984.80169491</v>
      </c>
      <c r="BP44" s="19">
        <f t="shared" si="228"/>
        <v>125277765.40957627</v>
      </c>
      <c r="BQ44" s="19">
        <f t="shared" si="229"/>
        <v>114446801.04040673</v>
      </c>
      <c r="BR44" s="19">
        <f t="shared" si="230"/>
        <v>134424690.00750446</v>
      </c>
      <c r="BS44" s="19">
        <f t="shared" si="231"/>
        <v>155613381.7699374</v>
      </c>
      <c r="BT44" s="19">
        <f t="shared" si="232"/>
        <v>180141941.07142383</v>
      </c>
      <c r="BU44" s="19">
        <f t="shared" si="233"/>
        <v>216658774.67776895</v>
      </c>
      <c r="BV44" s="19">
        <f t="shared" si="234"/>
        <v>250809614.0363524</v>
      </c>
      <c r="BW44" s="19">
        <f t="shared" si="235"/>
        <v>290343479.44883251</v>
      </c>
      <c r="BX44" s="19">
        <f t="shared" si="236"/>
        <v>336108870.39695472</v>
      </c>
      <c r="BY44" s="19">
        <f t="shared" si="18"/>
        <v>362677571.22377479</v>
      </c>
      <c r="BZ44" s="19">
        <f t="shared" si="19"/>
        <v>390564076.34865272</v>
      </c>
      <c r="CA44" s="19">
        <f t="shared" si="20"/>
        <v>420594792.28164816</v>
      </c>
      <c r="CB44" s="19">
        <f t="shared" si="21"/>
        <v>452934588.73192918</v>
      </c>
      <c r="CD44" s="19">
        <f t="shared" si="237"/>
        <v>200811668.30372879</v>
      </c>
      <c r="CE44" s="19">
        <f t="shared" si="238"/>
        <v>427635996.20294607</v>
      </c>
      <c r="CF44" s="19">
        <f t="shared" si="239"/>
        <v>584626813.88927245</v>
      </c>
      <c r="CG44" s="19">
        <f t="shared" si="240"/>
        <v>1093920738.5599086</v>
      </c>
      <c r="CH44" s="770">
        <f t="shared" si="26"/>
        <v>1626771028.5860047</v>
      </c>
    </row>
    <row r="45" spans="2:86" x14ac:dyDescent="0.2">
      <c r="B45" s="155" t="s">
        <v>222</v>
      </c>
      <c r="C45" s="19">
        <f>'P&amp;L - Inputs'!BY658</f>
        <v>13330152.6</v>
      </c>
      <c r="D45" s="19">
        <f>'P&amp;L - Inputs'!BZ658</f>
        <v>12451243.58</v>
      </c>
      <c r="E45" s="19">
        <f>'P&amp;L - Inputs'!CA658</f>
        <v>17832341.272542369</v>
      </c>
      <c r="F45" s="19">
        <f>'P&amp;L - Inputs'!CB658</f>
        <v>14389141.222881356</v>
      </c>
      <c r="G45" s="19">
        <f>'P&amp;L - Inputs'!CC658</f>
        <v>18577382.845593218</v>
      </c>
      <c r="H45" s="19">
        <f>'P&amp;L - Inputs'!CD658</f>
        <v>26337307.880847454</v>
      </c>
      <c r="I45" s="19">
        <f>'P&amp;L - Inputs'!CE658</f>
        <v>28157652.86610169</v>
      </c>
      <c r="J45" s="19">
        <f>'P&amp;L - Inputs'!CF658</f>
        <v>24637452.762711864</v>
      </c>
      <c r="K45" s="19">
        <f>'P&amp;L - Inputs'!CG658</f>
        <v>25397172.297118641</v>
      </c>
      <c r="L45" s="19">
        <f>'P&amp;L - Inputs'!CH658</f>
        <v>26545574.779661015</v>
      </c>
      <c r="M45" s="19">
        <f>'P&amp;L - Inputs'!CI658</f>
        <v>34138594.587288134</v>
      </c>
      <c r="N45" s="19">
        <f>'P&amp;L - Inputs'!CJ658</f>
        <v>39770419.826101713</v>
      </c>
      <c r="O45" s="19">
        <f>'P&amp;L - Inputs'!CK658</f>
        <v>42140331.705084741</v>
      </c>
      <c r="P45" s="19">
        <f>'P&amp;L - Inputs'!CL658</f>
        <v>44377471.867118657</v>
      </c>
      <c r="Q45" s="19">
        <f>'P&amp;L - Inputs'!CM658</f>
        <v>43492393.45762711</v>
      </c>
      <c r="R45" s="19">
        <f>'P&amp;L - Inputs'!CN658</f>
        <v>45238819.892033905</v>
      </c>
      <c r="S45" s="19">
        <f>'P&amp;L - Inputs'!CO658</f>
        <v>53678808.186949149</v>
      </c>
      <c r="T45" s="19">
        <f>'P&amp;L - Inputs'!CP658</f>
        <v>70043648.271525413</v>
      </c>
      <c r="U45" s="19">
        <f>'P&amp;L - Inputs'!CQ658</f>
        <v>65410979.619830519</v>
      </c>
      <c r="V45" s="19">
        <f>'P&amp;L - Inputs'!CR658</f>
        <v>51919686.054576263</v>
      </c>
      <c r="W45" s="19">
        <f>'P&amp;L - Inputs'!CS658</f>
        <v>56194830.982542373</v>
      </c>
      <c r="X45" s="19">
        <f>'P&amp;L - Inputs'!CT658</f>
        <v>80327927.539965332</v>
      </c>
      <c r="Y45" s="19">
        <f>'P&amp;L - Inputs'!CU658</f>
        <v>88360720.293961883</v>
      </c>
      <c r="Z45" s="19">
        <f>'P&amp;L - Inputs'!CV658</f>
        <v>92778756.308659956</v>
      </c>
      <c r="AA45" s="19">
        <f>'P&amp;L - Inputs'!CW658</f>
        <v>97417694.124092966</v>
      </c>
      <c r="AB45" s="19">
        <f>'P&amp;L - Inputs'!CX658</f>
        <v>102288578.83029759</v>
      </c>
      <c r="AC45" s="19">
        <f>'P&amp;L - Inputs'!CY658</f>
        <v>107403007.77181248</v>
      </c>
      <c r="AD45" s="19">
        <f>'P&amp;L - Inputs'!CZ658</f>
        <v>112773158.16040315</v>
      </c>
      <c r="AE45" s="19">
        <f>'P&amp;L - Inputs'!DA658</f>
        <v>118411816.06842329</v>
      </c>
      <c r="AF45" s="19">
        <f>'P&amp;L - Inputs'!DB658</f>
        <v>124332406.87184447</v>
      </c>
      <c r="AG45" s="19">
        <f>'P&amp;L - Inputs'!DC658</f>
        <v>130549027.2154367</v>
      </c>
      <c r="AH45" s="19">
        <f>'P&amp;L - Inputs'!DD658</f>
        <v>137076478.57620853</v>
      </c>
      <c r="AI45" s="19">
        <f>'P&amp;L - Inputs'!DE658</f>
        <v>143930302.50501895</v>
      </c>
      <c r="AJ45" s="19">
        <f>'P&amp;L - Inputs'!DF658</f>
        <v>150840932.6712184</v>
      </c>
      <c r="AK45" s="19">
        <f>'P&amp;L - Inputs'!DG658</f>
        <v>158382979.30477932</v>
      </c>
      <c r="AL45" s="19">
        <f>'P&amp;L - Inputs'!DH658</f>
        <v>166302128.27001828</v>
      </c>
      <c r="AM45" s="19">
        <f>'P&amp;L - Inputs'!DI658</f>
        <v>174617234.68351921</v>
      </c>
      <c r="AN45" s="19">
        <f>'P&amp;L - Inputs'!DJ658</f>
        <v>183348096.41769516</v>
      </c>
      <c r="AO45" s="19">
        <f>'P&amp;L - Inputs'!DK658</f>
        <v>192515501.23857996</v>
      </c>
      <c r="AP45" s="19">
        <f>'P&amp;L - Inputs'!DL658</f>
        <v>202141276.30050892</v>
      </c>
      <c r="AQ45" s="19">
        <f>'P&amp;L - Inputs'!DM658</f>
        <v>212248340.11553439</v>
      </c>
      <c r="AR45" s="19">
        <f>'P&amp;L - Inputs'!DN658</f>
        <v>222860757.12131116</v>
      </c>
      <c r="AS45" s="19">
        <f>'P&amp;L - Inputs'!DO658</f>
        <v>234003794.97737673</v>
      </c>
      <c r="AT45" s="19">
        <f>'P&amp;L - Inputs'!DP658</f>
        <v>245703984.72624558</v>
      </c>
      <c r="AU45" s="19">
        <f>'P&amp;L - Inputs'!DQ658</f>
        <v>257989183.96255779</v>
      </c>
      <c r="AV45" s="19">
        <f>'P&amp;L - Inputs'!DR658</f>
        <v>257093388.18491003</v>
      </c>
      <c r="AW45" s="19">
        <f>'P&amp;L - Inputs'!DS658</f>
        <v>263520722.8895328</v>
      </c>
      <c r="AX45" s="19">
        <f>'P&amp;L - Inputs'!DT658</f>
        <v>270108740.96177107</v>
      </c>
      <c r="AY45" s="19">
        <f>'P&amp;L - Inputs'!DU658</f>
        <v>276861459.48581535</v>
      </c>
      <c r="AZ45" s="19">
        <f>'P&amp;L - Inputs'!DV658</f>
        <v>283782995.97296071</v>
      </c>
      <c r="BA45" s="19">
        <f>'P&amp;L - Inputs'!DW658</f>
        <v>290877570.87228471</v>
      </c>
      <c r="BB45" s="19">
        <f>'P&amp;L - Inputs'!DX658</f>
        <v>298149510.14409178</v>
      </c>
      <c r="BC45" s="19">
        <f>'P&amp;L - Inputs'!DY658</f>
        <v>305603247.89769405</v>
      </c>
      <c r="BD45" s="19">
        <f>'P&amp;L - Inputs'!DZ658</f>
        <v>313243329.0951364</v>
      </c>
      <c r="BE45" s="19">
        <f>'P&amp;L - Inputs'!EA658</f>
        <v>321074412.32251477</v>
      </c>
      <c r="BF45" s="19">
        <f>'P&amp;L - Inputs'!EB658</f>
        <v>329101272.6305775</v>
      </c>
      <c r="BG45" s="19">
        <f>'P&amp;L - Inputs'!EC658</f>
        <v>337328804.44634193</v>
      </c>
      <c r="BI45" s="19">
        <v>0</v>
      </c>
      <c r="BJ45" s="19">
        <f t="shared" si="222"/>
        <v>43613737.452542365</v>
      </c>
      <c r="BK45" s="19">
        <f t="shared" si="223"/>
        <v>59303831.94932203</v>
      </c>
      <c r="BL45" s="19">
        <f t="shared" si="224"/>
        <v>78192277.925932199</v>
      </c>
      <c r="BM45" s="19">
        <f t="shared" si="225"/>
        <v>100454589.19305086</v>
      </c>
      <c r="BN45" s="19">
        <f t="shared" si="226"/>
        <v>130010197.02983052</v>
      </c>
      <c r="BO45" s="19">
        <f t="shared" si="227"/>
        <v>168961276.35050845</v>
      </c>
      <c r="BP45" s="19">
        <f t="shared" si="228"/>
        <v>173525496.65694916</v>
      </c>
      <c r="BQ45" s="19">
        <f t="shared" si="229"/>
        <v>261467404.14258718</v>
      </c>
      <c r="BR45" s="19">
        <f t="shared" si="230"/>
        <v>307109280.72620302</v>
      </c>
      <c r="BS45" s="19">
        <f t="shared" si="231"/>
        <v>355517381.10067093</v>
      </c>
      <c r="BT45" s="19">
        <f t="shared" si="232"/>
        <v>411555808.29666418</v>
      </c>
      <c r="BU45" s="19">
        <f t="shared" si="233"/>
        <v>475526040.24601597</v>
      </c>
      <c r="BV45" s="19">
        <f t="shared" si="234"/>
        <v>550480832.3397944</v>
      </c>
      <c r="BW45" s="19">
        <f t="shared" si="235"/>
        <v>637250373.53735447</v>
      </c>
      <c r="BX45" s="19">
        <f t="shared" si="236"/>
        <v>737696963.66618013</v>
      </c>
      <c r="BY45" s="19">
        <f t="shared" si="18"/>
        <v>790722852.03621387</v>
      </c>
      <c r="BZ45" s="19">
        <f t="shared" si="19"/>
        <v>851522026.33106065</v>
      </c>
      <c r="CA45" s="19">
        <f t="shared" si="20"/>
        <v>916996087.13692224</v>
      </c>
      <c r="CB45" s="19">
        <f t="shared" si="21"/>
        <v>987504489.39943433</v>
      </c>
      <c r="CD45" s="19">
        <f t="shared" si="237"/>
        <v>181109847.32779658</v>
      </c>
      <c r="CE45" s="19">
        <f t="shared" si="238"/>
        <v>572951559.23033905</v>
      </c>
      <c r="CF45" s="19">
        <f t="shared" si="239"/>
        <v>1335649874.2661252</v>
      </c>
      <c r="CG45" s="19">
        <f t="shared" si="240"/>
        <v>2400954209.7893448</v>
      </c>
      <c r="CH45" s="770">
        <f t="shared" si="26"/>
        <v>3546745454.9036312</v>
      </c>
    </row>
    <row r="46" spans="2:86" x14ac:dyDescent="0.2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D46" s="10"/>
      <c r="CE46" s="10"/>
      <c r="CF46" s="10"/>
      <c r="CG46" s="10"/>
      <c r="CH46" s="812"/>
    </row>
    <row r="47" spans="2:86" x14ac:dyDescent="0.2">
      <c r="B47" s="155" t="s">
        <v>19</v>
      </c>
      <c r="C47" s="19">
        <f>'P&amp;L - Inputs'!BY660</f>
        <v>26408659</v>
      </c>
      <c r="D47" s="19">
        <f>'P&amp;L - Inputs'!BZ660</f>
        <v>35966863</v>
      </c>
      <c r="E47" s="19">
        <f>'P&amp;L - Inputs'!CA660</f>
        <v>48807617.519999996</v>
      </c>
      <c r="F47" s="19">
        <f>'P&amp;L - Inputs'!CB660</f>
        <v>34593796.369999997</v>
      </c>
      <c r="G47" s="19">
        <f>'P&amp;L - Inputs'!CC660</f>
        <v>39042321.009999998</v>
      </c>
      <c r="H47" s="19">
        <f>'P&amp;L - Inputs'!CD660</f>
        <v>36685797.619999997</v>
      </c>
      <c r="I47" s="19">
        <f>'P&amp;L - Inputs'!CE660</f>
        <v>49487117.899999999</v>
      </c>
      <c r="J47" s="19">
        <f>'P&amp;L - Inputs'!CF660</f>
        <v>44944221.629999995</v>
      </c>
      <c r="K47" s="19">
        <f>'P&amp;L - Inputs'!CG660</f>
        <v>58444624.43</v>
      </c>
      <c r="L47" s="19">
        <f>'P&amp;L - Inputs'!CH660</f>
        <v>46376517.200000003</v>
      </c>
      <c r="M47" s="19">
        <f>'P&amp;L - Inputs'!CI660</f>
        <v>74086761.473930001</v>
      </c>
      <c r="N47" s="19">
        <f>'P&amp;L - Inputs'!CJ660</f>
        <v>83155595.762321219</v>
      </c>
      <c r="O47" s="19">
        <f>'P&amp;L - Inputs'!CK660</f>
        <v>65879903.679999992</v>
      </c>
      <c r="P47" s="19">
        <f>'P&amp;L - Inputs'!CL660</f>
        <v>64272085.63000001</v>
      </c>
      <c r="Q47" s="19">
        <f>'P&amp;L - Inputs'!CM660</f>
        <v>74995369.419999987</v>
      </c>
      <c r="R47" s="19">
        <f>'P&amp;L - Inputs'!CN660</f>
        <v>69758811.840000004</v>
      </c>
      <c r="S47" s="19">
        <f>'P&amp;L - Inputs'!CO660</f>
        <v>90548626.409999982</v>
      </c>
      <c r="T47" s="19">
        <f>'P&amp;L - Inputs'!CP660</f>
        <v>103968557.97</v>
      </c>
      <c r="U47" s="19">
        <f>'P&amp;L - Inputs'!CQ660</f>
        <v>100907952.88</v>
      </c>
      <c r="V47" s="19">
        <f>'P&amp;L - Inputs'!CR660</f>
        <v>92142639.090000004</v>
      </c>
      <c r="W47" s="19">
        <f>'P&amp;L - Inputs'!CS660</f>
        <v>88497125.605000019</v>
      </c>
      <c r="X47" s="19">
        <f>'P&amp;L - Inputs'!CT660</f>
        <v>108628643.02688301</v>
      </c>
      <c r="Y47" s="19">
        <f>'P&amp;L - Inputs'!CU660</f>
        <v>119491507.32957131</v>
      </c>
      <c r="Z47" s="19">
        <f>'P&amp;L - Inputs'!CV660</f>
        <v>125466082.69604987</v>
      </c>
      <c r="AA47" s="19">
        <f>'P&amp;L - Inputs'!CW660</f>
        <v>131739386.83085237</v>
      </c>
      <c r="AB47" s="19">
        <f>'P&amp;L - Inputs'!CX660</f>
        <v>138326356.17239496</v>
      </c>
      <c r="AC47" s="19">
        <f>'P&amp;L - Inputs'!CY660</f>
        <v>145242673.98101473</v>
      </c>
      <c r="AD47" s="19">
        <f>'P&amp;L - Inputs'!CZ660</f>
        <v>152504807.68006548</v>
      </c>
      <c r="AE47" s="19">
        <f>'P&amp;L - Inputs'!DA660</f>
        <v>160130048.06406876</v>
      </c>
      <c r="AF47" s="19">
        <f>'P&amp;L - Inputs'!DB660</f>
        <v>168136550.46727222</v>
      </c>
      <c r="AG47" s="19">
        <f>'P&amp;L - Inputs'!DC660</f>
        <v>176543377.99063584</v>
      </c>
      <c r="AH47" s="19">
        <f>'P&amp;L - Inputs'!DD660</f>
        <v>185370546.89016762</v>
      </c>
      <c r="AI47" s="19">
        <f>'P&amp;L - Inputs'!DE660</f>
        <v>194639074.234676</v>
      </c>
      <c r="AJ47" s="19">
        <f>'P&amp;L - Inputs'!DF660</f>
        <v>206525452.48139611</v>
      </c>
      <c r="AK47" s="19">
        <f>'P&amp;L - Inputs'!DG660</f>
        <v>216851725.10546589</v>
      </c>
      <c r="AL47" s="19">
        <f>'P&amp;L - Inputs'!DH660</f>
        <v>227694311.36073917</v>
      </c>
      <c r="AM47" s="19">
        <f>'P&amp;L - Inputs'!DI660</f>
        <v>239079026.9287762</v>
      </c>
      <c r="AN47" s="19">
        <f>'P&amp;L - Inputs'!DJ660</f>
        <v>251032978.27521497</v>
      </c>
      <c r="AO47" s="19">
        <f>'P&amp;L - Inputs'!DK660</f>
        <v>263584627.18897578</v>
      </c>
      <c r="AP47" s="19">
        <f>'P&amp;L - Inputs'!DL660</f>
        <v>276763858.54842448</v>
      </c>
      <c r="AQ47" s="19">
        <f>'P&amp;L - Inputs'!DM660</f>
        <v>290602051.47584575</v>
      </c>
      <c r="AR47" s="19">
        <f>'P&amp;L - Inputs'!DN660</f>
        <v>305132154.04963809</v>
      </c>
      <c r="AS47" s="19">
        <f>'P&amp;L - Inputs'!DO660</f>
        <v>320388761.75212002</v>
      </c>
      <c r="AT47" s="19">
        <f>'P&amp;L - Inputs'!DP660</f>
        <v>336408199.83972603</v>
      </c>
      <c r="AU47" s="19">
        <f>'P&amp;L - Inputs'!DQ660</f>
        <v>353228609.83171231</v>
      </c>
      <c r="AV47" s="19">
        <f>'P&amp;L - Inputs'!DR660</f>
        <v>352738882.00999594</v>
      </c>
      <c r="AW47" s="19">
        <f>'P&amp;L - Inputs'!DS660</f>
        <v>361557354.06024581</v>
      </c>
      <c r="AX47" s="19">
        <f>'P&amp;L - Inputs'!DT660</f>
        <v>370596287.91175181</v>
      </c>
      <c r="AY47" s="19">
        <f>'P&amp;L - Inputs'!DU660</f>
        <v>379861195.10954559</v>
      </c>
      <c r="AZ47" s="19">
        <f>'P&amp;L - Inputs'!DV660</f>
        <v>389357724.98728418</v>
      </c>
      <c r="BA47" s="19">
        <f>'P&amp;L - Inputs'!DW660</f>
        <v>399091668.11196625</v>
      </c>
      <c r="BB47" s="19">
        <f>'P&amp;L - Inputs'!DX660</f>
        <v>409068959.81476539</v>
      </c>
      <c r="BC47" s="19">
        <f>'P&amp;L - Inputs'!DY660</f>
        <v>419295683.81013447</v>
      </c>
      <c r="BD47" s="19">
        <f>'P&amp;L - Inputs'!DZ660</f>
        <v>429778075.90538782</v>
      </c>
      <c r="BE47" s="19">
        <f>'P&amp;L - Inputs'!EA660</f>
        <v>440522527.8030225</v>
      </c>
      <c r="BF47" s="19">
        <f>'P&amp;L - Inputs'!EB660</f>
        <v>451535590.9980979</v>
      </c>
      <c r="BG47" s="19">
        <f>'P&amp;L - Inputs'!EC660</f>
        <v>462823980.77305037</v>
      </c>
      <c r="BI47" s="19">
        <v>0</v>
      </c>
      <c r="BJ47" s="19">
        <f t="shared" si="222"/>
        <v>111183139.52</v>
      </c>
      <c r="BK47" s="19">
        <f t="shared" si="223"/>
        <v>110321915</v>
      </c>
      <c r="BL47" s="19">
        <f t="shared" si="224"/>
        <v>152875963.96000001</v>
      </c>
      <c r="BM47" s="19">
        <f t="shared" si="225"/>
        <v>203618874.43625122</v>
      </c>
      <c r="BN47" s="19">
        <f t="shared" si="226"/>
        <v>205147358.72999999</v>
      </c>
      <c r="BO47" s="19">
        <f t="shared" si="227"/>
        <v>264275996.22</v>
      </c>
      <c r="BP47" s="19">
        <f t="shared" si="228"/>
        <v>281547717.57500005</v>
      </c>
      <c r="BQ47" s="19">
        <f t="shared" si="229"/>
        <v>353586233.05250418</v>
      </c>
      <c r="BR47" s="19">
        <f t="shared" si="230"/>
        <v>415308416.98426205</v>
      </c>
      <c r="BS47" s="19">
        <f t="shared" si="231"/>
        <v>480771406.21140647</v>
      </c>
      <c r="BT47" s="19">
        <f t="shared" si="232"/>
        <v>556552999.11547947</v>
      </c>
      <c r="BU47" s="19">
        <f t="shared" si="233"/>
        <v>651071488.94760108</v>
      </c>
      <c r="BV47" s="19">
        <f t="shared" si="234"/>
        <v>753696632.39296699</v>
      </c>
      <c r="BW47" s="19">
        <f t="shared" si="235"/>
        <v>872498064.07390833</v>
      </c>
      <c r="BX47" s="19">
        <f t="shared" si="236"/>
        <v>1010025571.4235582</v>
      </c>
      <c r="BY47" s="19">
        <f t="shared" si="18"/>
        <v>1084892523.9819934</v>
      </c>
      <c r="BZ47" s="19">
        <f t="shared" si="19"/>
        <v>1168310588.208796</v>
      </c>
      <c r="CA47" s="19">
        <f t="shared" si="20"/>
        <v>1258142719.5302877</v>
      </c>
      <c r="CB47" s="19">
        <f t="shared" si="21"/>
        <v>1354882099.5741708</v>
      </c>
      <c r="CD47" s="19">
        <f t="shared" si="237"/>
        <v>374381018.48000002</v>
      </c>
      <c r="CE47" s="19">
        <f t="shared" si="238"/>
        <v>954589946.96125126</v>
      </c>
      <c r="CF47" s="19">
        <f t="shared" si="239"/>
        <v>1806219055.3636522</v>
      </c>
      <c r="CG47" s="19">
        <f t="shared" si="240"/>
        <v>3287291756.8380346</v>
      </c>
      <c r="CH47" s="770">
        <f t="shared" si="26"/>
        <v>4866227931.295248</v>
      </c>
    </row>
    <row r="48" spans="2:86" x14ac:dyDescent="0.2">
      <c r="B48" s="155" t="s">
        <v>142</v>
      </c>
      <c r="C48" s="19">
        <f>'P&amp;L - Inputs'!BY661</f>
        <v>99219.761016949138</v>
      </c>
      <c r="D48" s="19">
        <f>'P&amp;L - Inputs'!BZ661</f>
        <v>152216.76983050851</v>
      </c>
      <c r="E48" s="19">
        <f>'P&amp;L - Inputs'!CA661</f>
        <v>586922.23050847475</v>
      </c>
      <c r="F48" s="19">
        <f>'P&amp;L - Inputs'!CB661</f>
        <v>596047.12915254245</v>
      </c>
      <c r="G48" s="19">
        <f>'P&amp;L - Inputs'!CC661</f>
        <v>771663.29152542388</v>
      </c>
      <c r="H48" s="19">
        <f>'P&amp;L - Inputs'!CD661</f>
        <v>938909.96271186438</v>
      </c>
      <c r="I48" s="19">
        <f>'P&amp;L - Inputs'!CE661</f>
        <v>1094275.5779661015</v>
      </c>
      <c r="J48" s="19">
        <f>'P&amp;L - Inputs'!CF661</f>
        <v>1186077.7966101693</v>
      </c>
      <c r="K48" s="19">
        <f>'P&amp;L - Inputs'!CG661</f>
        <v>2115164.6322033899</v>
      </c>
      <c r="L48" s="19">
        <f>'P&amp;L - Inputs'!CH661</f>
        <v>1277557.5423728814</v>
      </c>
      <c r="M48" s="19">
        <f>'P&amp;L - Inputs'!CI661</f>
        <v>1323426.0169491526</v>
      </c>
      <c r="N48" s="19">
        <f>'P&amp;L - Inputs'!CJ661</f>
        <v>1549095.3559322024</v>
      </c>
      <c r="O48" s="19">
        <f>'P&amp;L - Inputs'!CK661</f>
        <v>2285636.7627118644</v>
      </c>
      <c r="P48" s="19">
        <f>'P&amp;L - Inputs'!CL661</f>
        <v>3210633.6016949164</v>
      </c>
      <c r="Q48" s="19">
        <f>'P&amp;L - Inputs'!CM661</f>
        <v>2738449.9322033897</v>
      </c>
      <c r="R48" s="19">
        <f>'P&amp;L - Inputs'!CN661</f>
        <v>4151970.2796610165</v>
      </c>
      <c r="S48" s="19">
        <f>'P&amp;L - Inputs'!CO661</f>
        <v>4822833.1694915276</v>
      </c>
      <c r="T48" s="19">
        <f>'P&amp;L - Inputs'!CP661</f>
        <v>7382461.4830508484</v>
      </c>
      <c r="U48" s="19">
        <f>'P&amp;L - Inputs'!CQ661</f>
        <v>6905462.2711864421</v>
      </c>
      <c r="V48" s="19">
        <f>'P&amp;L - Inputs'!CR661</f>
        <v>4761738.6440677959</v>
      </c>
      <c r="W48" s="19">
        <f>'P&amp;L - Inputs'!CS661</f>
        <v>5588343.5762711866</v>
      </c>
      <c r="X48" s="19">
        <f>'P&amp;L - Inputs'!CT661</f>
        <v>6859592.0523777949</v>
      </c>
      <c r="Y48" s="19">
        <f>'P&amp;L - Inputs'!CU661</f>
        <v>7545551.2576155746</v>
      </c>
      <c r="Z48" s="19">
        <f>'P&amp;L - Inputs'!CV661</f>
        <v>7922828.8204963524</v>
      </c>
      <c r="AA48" s="19">
        <f>'P&amp;L - Inputs'!CW661</f>
        <v>8318970.2615211718</v>
      </c>
      <c r="AB48" s="19">
        <f>'P&amp;L - Inputs'!CX661</f>
        <v>8734918.7745972276</v>
      </c>
      <c r="AC48" s="19">
        <f>'P&amp;L - Inputs'!CY661</f>
        <v>9171664.7133270893</v>
      </c>
      <c r="AD48" s="19">
        <f>'P&amp;L - Inputs'!CZ661</f>
        <v>9630247.9489934463</v>
      </c>
      <c r="AE48" s="19">
        <f>'P&amp;L - Inputs'!DA661</f>
        <v>10111760.346443119</v>
      </c>
      <c r="AF48" s="19">
        <f>'P&amp;L - Inputs'!DB661</f>
        <v>10617348.363765275</v>
      </c>
      <c r="AG48" s="19">
        <f>'P&amp;L - Inputs'!DC661</f>
        <v>11148215.78195354</v>
      </c>
      <c r="AH48" s="19">
        <f>'P&amp;L - Inputs'!DD661</f>
        <v>11705626.571051216</v>
      </c>
      <c r="AI48" s="19">
        <f>'P&amp;L - Inputs'!DE661</f>
        <v>12290907.899603778</v>
      </c>
      <c r="AJ48" s="19">
        <f>'P&amp;L - Inputs'!DF661</f>
        <v>13041499.120121734</v>
      </c>
      <c r="AK48" s="19">
        <f>'P&amp;L - Inputs'!DG661</f>
        <v>13693574.07612782</v>
      </c>
      <c r="AL48" s="19">
        <f>'P&amp;L - Inputs'!DH661</f>
        <v>14378252.779934211</v>
      </c>
      <c r="AM48" s="19">
        <f>'P&amp;L - Inputs'!DI661</f>
        <v>15097165.418930925</v>
      </c>
      <c r="AN48" s="19">
        <f>'P&amp;L - Inputs'!DJ661</f>
        <v>15852023.689877471</v>
      </c>
      <c r="AO48" s="19">
        <f>'P&amp;L - Inputs'!DK661</f>
        <v>16644624.874371348</v>
      </c>
      <c r="AP48" s="19">
        <f>'P&amp;L - Inputs'!DL661</f>
        <v>17476856.118089911</v>
      </c>
      <c r="AQ48" s="19">
        <f>'P&amp;L - Inputs'!DM661</f>
        <v>18350698.923994411</v>
      </c>
      <c r="AR48" s="19">
        <f>'P&amp;L - Inputs'!DN661</f>
        <v>19268233.870194133</v>
      </c>
      <c r="AS48" s="19">
        <f>'P&amp;L - Inputs'!DO661</f>
        <v>20231645.563703839</v>
      </c>
      <c r="AT48" s="19">
        <f>'P&amp;L - Inputs'!DP661</f>
        <v>21243227.841889031</v>
      </c>
      <c r="AU48" s="19">
        <f>'P&amp;L - Inputs'!DQ661</f>
        <v>22305389.233983479</v>
      </c>
      <c r="AV48" s="19">
        <f>'P&amp;L - Inputs'!DR661</f>
        <v>22274464.304977022</v>
      </c>
      <c r="AW48" s="19">
        <f>'P&amp;L - Inputs'!DS661</f>
        <v>22831325.912601449</v>
      </c>
      <c r="AX48" s="19">
        <f>'P&amp;L - Inputs'!DT661</f>
        <v>23402109.060416475</v>
      </c>
      <c r="AY48" s="19">
        <f>'P&amp;L - Inputs'!DU661</f>
        <v>23987161.786926888</v>
      </c>
      <c r="AZ48" s="19">
        <f>'P&amp;L - Inputs'!DV661</f>
        <v>24586840.831600059</v>
      </c>
      <c r="BA48" s="19">
        <f>'P&amp;L - Inputs'!DW661</f>
        <v>25201511.852390058</v>
      </c>
      <c r="BB48" s="19">
        <f>'P&amp;L - Inputs'!DX661</f>
        <v>25831549.648699805</v>
      </c>
      <c r="BC48" s="19">
        <f>'P&amp;L - Inputs'!DY661</f>
        <v>26477338.389917295</v>
      </c>
      <c r="BD48" s="19">
        <f>'P&amp;L - Inputs'!DZ661</f>
        <v>27139271.849665225</v>
      </c>
      <c r="BE48" s="19">
        <f>'P&amp;L - Inputs'!EA661</f>
        <v>27817753.645906854</v>
      </c>
      <c r="BF48" s="19">
        <f>'P&amp;L - Inputs'!EB661</f>
        <v>28513197.487054516</v>
      </c>
      <c r="BG48" s="19">
        <f>'P&amp;L - Inputs'!EC661</f>
        <v>29226027.424230881</v>
      </c>
      <c r="BI48" s="19"/>
      <c r="BJ48" s="19">
        <f t="shared" si="222"/>
        <v>838358.76135593234</v>
      </c>
      <c r="BK48" s="19">
        <f t="shared" si="223"/>
        <v>2306620.3833898306</v>
      </c>
      <c r="BL48" s="19">
        <f t="shared" si="224"/>
        <v>4395518.0067796605</v>
      </c>
      <c r="BM48" s="19">
        <f t="shared" si="225"/>
        <v>4150078.9152542362</v>
      </c>
      <c r="BN48" s="19">
        <f t="shared" si="226"/>
        <v>8234720.296610171</v>
      </c>
      <c r="BO48" s="19">
        <f t="shared" si="227"/>
        <v>16357264.932203393</v>
      </c>
      <c r="BP48" s="19">
        <f t="shared" si="228"/>
        <v>17255544.491525427</v>
      </c>
      <c r="BQ48" s="19">
        <f t="shared" si="229"/>
        <v>22327972.130489722</v>
      </c>
      <c r="BR48" s="19">
        <f t="shared" si="230"/>
        <v>26225553.749445491</v>
      </c>
      <c r="BS48" s="19">
        <f t="shared" si="231"/>
        <v>30359356.659201838</v>
      </c>
      <c r="BT48" s="19">
        <f t="shared" si="232"/>
        <v>35144750.25260853</v>
      </c>
      <c r="BU48" s="19">
        <f t="shared" si="233"/>
        <v>41113325.976183765</v>
      </c>
      <c r="BV48" s="19">
        <f t="shared" si="234"/>
        <v>47593813.983179748</v>
      </c>
      <c r="BW48" s="19">
        <f t="shared" si="235"/>
        <v>55095788.912278458</v>
      </c>
      <c r="BX48" s="19">
        <f t="shared" si="236"/>
        <v>63780262.639576353</v>
      </c>
      <c r="BY48" s="19">
        <f t="shared" si="18"/>
        <v>68507899.277994946</v>
      </c>
      <c r="BZ48" s="19">
        <f t="shared" si="19"/>
        <v>73775514.470917016</v>
      </c>
      <c r="CA48" s="19">
        <f t="shared" si="20"/>
        <v>79448159.888282329</v>
      </c>
      <c r="CB48" s="19">
        <f t="shared" si="21"/>
        <v>85556978.557192251</v>
      </c>
      <c r="CD48" s="19">
        <f t="shared" si="237"/>
        <v>7540497.1515254229</v>
      </c>
      <c r="CE48" s="19">
        <f t="shared" si="238"/>
        <v>45997608.635593228</v>
      </c>
      <c r="CF48" s="19">
        <f t="shared" si="239"/>
        <v>114057632.79174557</v>
      </c>
      <c r="CG48" s="19">
        <f t="shared" si="240"/>
        <v>207583191.51121834</v>
      </c>
      <c r="CH48" s="770">
        <f t="shared" si="26"/>
        <v>307288552.19438654</v>
      </c>
    </row>
    <row r="49" spans="2:86" x14ac:dyDescent="0.2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D49" s="10"/>
      <c r="CE49" s="10"/>
      <c r="CF49" s="10"/>
      <c r="CG49" s="10"/>
      <c r="CH49" s="812"/>
    </row>
    <row r="50" spans="2:86" x14ac:dyDescent="0.2">
      <c r="B50" s="209" t="s">
        <v>223</v>
      </c>
      <c r="C50" s="199">
        <f>SUM(C51:C52)</f>
        <v>4433025.2700756826</v>
      </c>
      <c r="D50" s="199">
        <f t="shared" ref="D50" si="482">SUM(D51:D52)</f>
        <v>5801651.5730084907</v>
      </c>
      <c r="E50" s="199">
        <f t="shared" ref="E50" si="483">SUM(E51:E52)</f>
        <v>7762508.4680119827</v>
      </c>
      <c r="F50" s="199">
        <f t="shared" ref="F50" si="484">SUM(F51:F52)</f>
        <v>6709058.6141409259</v>
      </c>
      <c r="G50" s="199">
        <f t="shared" ref="G50" si="485">SUM(G51:G52)</f>
        <v>9431937.9171596728</v>
      </c>
      <c r="H50" s="199">
        <f t="shared" ref="H50" si="486">SUM(H51:H52)</f>
        <v>10489577.405591486</v>
      </c>
      <c r="I50" s="199">
        <f t="shared" ref="I50" si="487">SUM(I51:I52)</f>
        <v>11324645.221179694</v>
      </c>
      <c r="J50" s="199">
        <f t="shared" ref="J50" si="488">SUM(J51:J52)</f>
        <v>9297169.6751109213</v>
      </c>
      <c r="K50" s="199">
        <f t="shared" ref="K50" si="489">SUM(K51:K52)</f>
        <v>-1186390.0908204056</v>
      </c>
      <c r="L50" s="199">
        <f t="shared" ref="L50" si="490">SUM(L51:L52)</f>
        <v>11653140.196166366</v>
      </c>
      <c r="M50" s="199">
        <f t="shared" ref="M50" si="491">SUM(M51:M52)</f>
        <v>15018175.647206679</v>
      </c>
      <c r="N50" s="199">
        <f t="shared" ref="N50" si="492">SUM(N51:N52)</f>
        <v>18395420.069118261</v>
      </c>
      <c r="O50" s="199">
        <f t="shared" ref="O50" si="493">SUM(O51:O52)</f>
        <v>23033850.677287959</v>
      </c>
      <c r="P50" s="199">
        <f t="shared" ref="P50" si="494">SUM(P51:P52)</f>
        <v>25644530.43830505</v>
      </c>
      <c r="Q50" s="199">
        <f t="shared" ref="Q50" si="495">SUM(Q51:Q52)</f>
        <v>21408506.807796538</v>
      </c>
      <c r="R50" s="199">
        <f t="shared" ref="R50" si="496">SUM(R51:R52)</f>
        <v>18081049.600338906</v>
      </c>
      <c r="S50" s="199">
        <f t="shared" ref="S50" si="497">SUM(S51:S52)</f>
        <v>18240749.7905083</v>
      </c>
      <c r="T50" s="199">
        <f t="shared" ref="T50" si="498">SUM(T51:T52)</f>
        <v>21459149.206948988</v>
      </c>
      <c r="U50" s="199">
        <f t="shared" ref="U50" si="499">SUM(U51:U52)</f>
        <v>21503641.308813579</v>
      </c>
      <c r="V50" s="199">
        <f t="shared" ref="V50" si="500">SUM(V51:V52)</f>
        <v>18034189.76593221</v>
      </c>
      <c r="W50" s="199">
        <f t="shared" ref="W50" si="501">SUM(W51:W52)</f>
        <v>17600859.428728826</v>
      </c>
      <c r="X50" s="199">
        <f t="shared" ref="X50" si="502">SUM(X51:X52)</f>
        <v>27575488.073386051</v>
      </c>
      <c r="Y50" s="199">
        <f t="shared" ref="Y50" si="503">SUM(Y51:Y52)</f>
        <v>30333036.880724654</v>
      </c>
      <c r="Z50" s="199">
        <f t="shared" ref="Z50" si="504">SUM(Z51:Z52)</f>
        <v>31849688.72476089</v>
      </c>
      <c r="AA50" s="199">
        <f t="shared" ref="AA50" si="505">SUM(AA51:AA52)</f>
        <v>33442173.160998933</v>
      </c>
      <c r="AB50" s="199">
        <f t="shared" ref="AB50" si="506">SUM(AB51:AB52)</f>
        <v>35114281.819048882</v>
      </c>
      <c r="AC50" s="199">
        <f t="shared" ref="AC50" si="507">SUM(AC51:AC52)</f>
        <v>36869995.91000133</v>
      </c>
      <c r="AD50" s="199">
        <f t="shared" ref="AD50" si="508">SUM(AD51:AD52)</f>
        <v>38713495.705501392</v>
      </c>
      <c r="AE50" s="199">
        <f t="shared" ref="AE50" si="509">SUM(AE51:AE52)</f>
        <v>40649170.490776457</v>
      </c>
      <c r="AF50" s="199">
        <f t="shared" ref="AF50" si="510">SUM(AF51:AF52)</f>
        <v>42681629.015315287</v>
      </c>
      <c r="AG50" s="199">
        <f t="shared" ref="AG50" si="511">SUM(AG51:AG52)</f>
        <v>44815710.466081053</v>
      </c>
      <c r="AH50" s="199">
        <f t="shared" ref="AH50" si="512">SUM(AH51:AH52)</f>
        <v>47056495.989385106</v>
      </c>
      <c r="AI50" s="199">
        <f t="shared" ref="AI50" si="513">SUM(AI51:AI52)</f>
        <v>49409320.788854368</v>
      </c>
      <c r="AJ50" s="199">
        <f t="shared" ref="AJ50" si="514">SUM(AJ51:AJ52)</f>
        <v>63047129.871237636</v>
      </c>
      <c r="AK50" s="199">
        <f t="shared" ref="AK50" si="515">SUM(AK51:AK52)</f>
        <v>66199486.364799529</v>
      </c>
      <c r="AL50" s="199">
        <f t="shared" ref="AL50" si="516">SUM(AL51:AL52)</f>
        <v>69509460.683039486</v>
      </c>
      <c r="AM50" s="199">
        <f t="shared" ref="AM50" si="517">SUM(AM51:AM52)</f>
        <v>72984933.717191443</v>
      </c>
      <c r="AN50" s="199">
        <f t="shared" ref="AN50" si="518">SUM(AN51:AN52)</f>
        <v>76634180.403051049</v>
      </c>
      <c r="AO50" s="199">
        <f t="shared" ref="AO50" si="519">SUM(AO51:AO52)</f>
        <v>80465889.423203602</v>
      </c>
      <c r="AP50" s="199">
        <f t="shared" ref="AP50" si="520">SUM(AP51:AP52)</f>
        <v>84489183.894363791</v>
      </c>
      <c r="AQ50" s="199">
        <f t="shared" ref="AQ50" si="521">SUM(AQ51:AQ52)</f>
        <v>88713643.089081973</v>
      </c>
      <c r="AR50" s="199">
        <f t="shared" ref="AR50" si="522">SUM(AR51:AR52)</f>
        <v>93149325.2435361</v>
      </c>
      <c r="AS50" s="199">
        <f t="shared" ref="AS50" si="523">SUM(AS51:AS52)</f>
        <v>97806791.505712882</v>
      </c>
      <c r="AT50" s="199">
        <f t="shared" ref="AT50" si="524">SUM(AT51:AT52)</f>
        <v>102697131.08099854</v>
      </c>
      <c r="AU50" s="199">
        <f t="shared" ref="AU50" si="525">SUM(AU51:AU52)</f>
        <v>107831987.63504846</v>
      </c>
      <c r="AV50" s="199">
        <f t="shared" ref="AV50:BG50" si="526">SUM(AV51:AV52)</f>
        <v>120436790.05328991</v>
      </c>
      <c r="AW50" s="199">
        <f t="shared" si="526"/>
        <v>123447709.80462217</v>
      </c>
      <c r="AX50" s="199">
        <f t="shared" si="526"/>
        <v>126533902.54973774</v>
      </c>
      <c r="AY50" s="199">
        <f t="shared" si="526"/>
        <v>129697250.11348113</v>
      </c>
      <c r="AZ50" s="199">
        <f t="shared" si="526"/>
        <v>132939681.36631812</v>
      </c>
      <c r="BA50" s="199">
        <f t="shared" si="526"/>
        <v>136263173.40047607</v>
      </c>
      <c r="BB50" s="199">
        <f t="shared" si="526"/>
        <v>139669752.735488</v>
      </c>
      <c r="BC50" s="199">
        <f t="shared" si="526"/>
        <v>143161496.55387518</v>
      </c>
      <c r="BD50" s="199">
        <f t="shared" si="526"/>
        <v>146740533.96772203</v>
      </c>
      <c r="BE50" s="199">
        <f t="shared" si="526"/>
        <v>150409047.31691509</v>
      </c>
      <c r="BF50" s="199">
        <f t="shared" si="526"/>
        <v>154169273.49983793</v>
      </c>
      <c r="BG50" s="199">
        <f t="shared" si="526"/>
        <v>158023505.33733386</v>
      </c>
      <c r="BI50" s="199"/>
      <c r="BJ50" s="199">
        <f t="shared" si="222"/>
        <v>17997185.311096154</v>
      </c>
      <c r="BK50" s="199">
        <f t="shared" si="223"/>
        <v>26630573.936892085</v>
      </c>
      <c r="BL50" s="199">
        <f t="shared" si="224"/>
        <v>19435424.80547021</v>
      </c>
      <c r="BM50" s="199">
        <f t="shared" si="225"/>
        <v>45066735.912491307</v>
      </c>
      <c r="BN50" s="199">
        <f t="shared" si="226"/>
        <v>70086887.923389554</v>
      </c>
      <c r="BO50" s="199">
        <f t="shared" si="227"/>
        <v>57780948.597796194</v>
      </c>
      <c r="BP50" s="199">
        <f t="shared" si="228"/>
        <v>57138690.503474616</v>
      </c>
      <c r="BQ50" s="199">
        <f t="shared" si="229"/>
        <v>89758213.678871602</v>
      </c>
      <c r="BR50" s="199">
        <f t="shared" si="230"/>
        <v>105426450.89004916</v>
      </c>
      <c r="BS50" s="199">
        <f t="shared" si="231"/>
        <v>122044295.21159315</v>
      </c>
      <c r="BT50" s="199">
        <f t="shared" si="232"/>
        <v>141281527.24432051</v>
      </c>
      <c r="BU50" s="199">
        <f t="shared" si="233"/>
        <v>198756076.91907665</v>
      </c>
      <c r="BV50" s="199">
        <f t="shared" si="234"/>
        <v>230085003.54344606</v>
      </c>
      <c r="BW50" s="199">
        <f t="shared" si="235"/>
        <v>266352152.22698188</v>
      </c>
      <c r="BX50" s="199">
        <f t="shared" si="236"/>
        <v>308335910.22175986</v>
      </c>
      <c r="BY50" s="199">
        <f t="shared" si="18"/>
        <v>370418402.40764982</v>
      </c>
      <c r="BZ50" s="199">
        <f t="shared" si="19"/>
        <v>398900104.88027537</v>
      </c>
      <c r="CA50" s="199">
        <f t="shared" si="20"/>
        <v>429571783.2570852</v>
      </c>
      <c r="CB50" s="199">
        <f t="shared" si="21"/>
        <v>462601826.15408689</v>
      </c>
      <c r="CD50" s="199">
        <f t="shared" si="237"/>
        <v>64063184.053458452</v>
      </c>
      <c r="CE50" s="199">
        <f t="shared" si="238"/>
        <v>230073262.93715167</v>
      </c>
      <c r="CF50" s="199">
        <f t="shared" si="239"/>
        <v>458510487.02483439</v>
      </c>
      <c r="CG50" s="199">
        <f t="shared" si="240"/>
        <v>1003529142.9112644</v>
      </c>
      <c r="CH50" s="810">
        <f t="shared" si="26"/>
        <v>1661492116.6990974</v>
      </c>
    </row>
    <row r="51" spans="2:86" x14ac:dyDescent="0.2">
      <c r="B51" s="155" t="s">
        <v>221</v>
      </c>
      <c r="C51" s="165">
        <f>C36-C44</f>
        <v>-832490.4910169486</v>
      </c>
      <c r="D51" s="165">
        <f t="shared" ref="D51:AU51" si="527">D36-D44</f>
        <v>775857.05100272596</v>
      </c>
      <c r="E51" s="165">
        <f t="shared" si="527"/>
        <v>1335769.1689553335</v>
      </c>
      <c r="F51" s="165">
        <f t="shared" si="527"/>
        <v>1776858.3074579798</v>
      </c>
      <c r="G51" s="165">
        <f t="shared" si="527"/>
        <v>2668269.8209998384</v>
      </c>
      <c r="H51" s="165">
        <f t="shared" si="527"/>
        <v>1526089.2178434264</v>
      </c>
      <c r="I51" s="165">
        <f t="shared" si="527"/>
        <v>479633.22978040576</v>
      </c>
      <c r="J51" s="165">
        <f t="shared" si="527"/>
        <v>1333336.4201832265</v>
      </c>
      <c r="K51" s="165">
        <f t="shared" si="527"/>
        <v>-9434369.7550847344</v>
      </c>
      <c r="L51" s="165">
        <f t="shared" si="527"/>
        <v>2442524.2472400516</v>
      </c>
      <c r="M51" s="165">
        <f t="shared" si="527"/>
        <v>3779363.6849678904</v>
      </c>
      <c r="N51" s="165">
        <f t="shared" si="527"/>
        <v>5117833.9811276346</v>
      </c>
      <c r="O51" s="165">
        <f t="shared" si="527"/>
        <v>2995638.4123728797</v>
      </c>
      <c r="P51" s="165">
        <f t="shared" si="527"/>
        <v>3717665.7354237288</v>
      </c>
      <c r="Q51" s="165">
        <f t="shared" si="527"/>
        <v>2235687.3654237315</v>
      </c>
      <c r="R51" s="165">
        <f t="shared" si="527"/>
        <v>3119147.2523728907</v>
      </c>
      <c r="S51" s="165">
        <f t="shared" si="527"/>
        <v>3291844.7774576396</v>
      </c>
      <c r="T51" s="165">
        <f t="shared" si="527"/>
        <v>2591557.7684745565</v>
      </c>
      <c r="U51" s="165">
        <f t="shared" si="527"/>
        <v>914851.40864405781</v>
      </c>
      <c r="V51" s="165">
        <f t="shared" si="527"/>
        <v>2856144.4805084765</v>
      </c>
      <c r="W51" s="165">
        <f t="shared" si="527"/>
        <v>-395483.96872879565</v>
      </c>
      <c r="X51" s="165">
        <f t="shared" si="527"/>
        <v>1850542.5020681843</v>
      </c>
      <c r="Y51" s="165">
        <f t="shared" si="527"/>
        <v>2035596.752275005</v>
      </c>
      <c r="Z51" s="165">
        <f t="shared" si="527"/>
        <v>2137376.5898887515</v>
      </c>
      <c r="AA51" s="165">
        <f t="shared" si="527"/>
        <v>2244245.4193831906</v>
      </c>
      <c r="AB51" s="165">
        <f t="shared" si="527"/>
        <v>2356457.6903523505</v>
      </c>
      <c r="AC51" s="165">
        <f t="shared" si="527"/>
        <v>2474280.574869968</v>
      </c>
      <c r="AD51" s="165">
        <f t="shared" si="527"/>
        <v>2597994.603613466</v>
      </c>
      <c r="AE51" s="165">
        <f t="shared" si="527"/>
        <v>2727894.3337941393</v>
      </c>
      <c r="AF51" s="165">
        <f t="shared" si="527"/>
        <v>2864289.0504838452</v>
      </c>
      <c r="AG51" s="165">
        <f t="shared" si="527"/>
        <v>3007503.5030080378</v>
      </c>
      <c r="AH51" s="165">
        <f t="shared" si="527"/>
        <v>3157878.6781584397</v>
      </c>
      <c r="AI51" s="165">
        <f t="shared" si="527"/>
        <v>3315772.6120663658</v>
      </c>
      <c r="AJ51" s="165">
        <f t="shared" si="527"/>
        <v>4386767.1657637954</v>
      </c>
      <c r="AK51" s="165">
        <f t="shared" si="527"/>
        <v>4606105.5240519941</v>
      </c>
      <c r="AL51" s="165">
        <f t="shared" si="527"/>
        <v>4836410.8002545834</v>
      </c>
      <c r="AM51" s="165">
        <f t="shared" si="527"/>
        <v>5078231.3402673155</v>
      </c>
      <c r="AN51" s="165">
        <f t="shared" si="527"/>
        <v>5332142.9072806835</v>
      </c>
      <c r="AO51" s="165">
        <f t="shared" si="527"/>
        <v>5598750.0526447147</v>
      </c>
      <c r="AP51" s="165">
        <f t="shared" si="527"/>
        <v>5878687.5552769601</v>
      </c>
      <c r="AQ51" s="165">
        <f t="shared" si="527"/>
        <v>6172621.9330407977</v>
      </c>
      <c r="AR51" s="165">
        <f t="shared" si="527"/>
        <v>6481253.0296928436</v>
      </c>
      <c r="AS51" s="165">
        <f t="shared" si="527"/>
        <v>6805315.681177482</v>
      </c>
      <c r="AT51" s="165">
        <f t="shared" si="527"/>
        <v>7145581.4652363658</v>
      </c>
      <c r="AU51" s="165">
        <f t="shared" si="527"/>
        <v>7502860.5384981781</v>
      </c>
      <c r="AV51" s="165">
        <f t="shared" ref="AV51:BG51" si="528">AV36-AV44</f>
        <v>10253909.402614161</v>
      </c>
      <c r="AW51" s="165">
        <f t="shared" si="528"/>
        <v>10510257.137679517</v>
      </c>
      <c r="AX51" s="165">
        <f t="shared" si="528"/>
        <v>10773013.566121504</v>
      </c>
      <c r="AY51" s="165">
        <f t="shared" si="528"/>
        <v>11042338.90527454</v>
      </c>
      <c r="AZ51" s="165">
        <f t="shared" si="528"/>
        <v>11318397.377906397</v>
      </c>
      <c r="BA51" s="165">
        <f t="shared" si="528"/>
        <v>11601357.312354058</v>
      </c>
      <c r="BB51" s="165">
        <f t="shared" si="528"/>
        <v>11891391.245162904</v>
      </c>
      <c r="BC51" s="165">
        <f t="shared" si="528"/>
        <v>12188676.026291996</v>
      </c>
      <c r="BD51" s="165">
        <f t="shared" si="528"/>
        <v>12493392.926949292</v>
      </c>
      <c r="BE51" s="165">
        <f t="shared" si="528"/>
        <v>12805727.750123024</v>
      </c>
      <c r="BF51" s="165">
        <f t="shared" si="528"/>
        <v>13125870.943876088</v>
      </c>
      <c r="BG51" s="165">
        <f t="shared" si="528"/>
        <v>13454017.71747297</v>
      </c>
      <c r="BI51" s="165">
        <v>0</v>
      </c>
      <c r="BJ51" s="165">
        <f t="shared" si="222"/>
        <v>1279135.7289411109</v>
      </c>
      <c r="BK51" s="165">
        <f t="shared" si="223"/>
        <v>5971217.3463012446</v>
      </c>
      <c r="BL51" s="165">
        <f t="shared" si="224"/>
        <v>-7621400.1051211022</v>
      </c>
      <c r="BM51" s="165">
        <f t="shared" si="225"/>
        <v>11339721.913335577</v>
      </c>
      <c r="BN51" s="165">
        <f t="shared" si="226"/>
        <v>8948991.51322034</v>
      </c>
      <c r="BO51" s="165">
        <f t="shared" si="227"/>
        <v>9002549.7983050868</v>
      </c>
      <c r="BP51" s="165">
        <f t="shared" si="228"/>
        <v>3375511.9204237387</v>
      </c>
      <c r="BQ51" s="165">
        <f t="shared" si="229"/>
        <v>6023515.8442319408</v>
      </c>
      <c r="BR51" s="165">
        <f t="shared" si="230"/>
        <v>7074983.684605509</v>
      </c>
      <c r="BS51" s="165">
        <f t="shared" si="231"/>
        <v>8190177.9878914505</v>
      </c>
      <c r="BT51" s="165">
        <f t="shared" si="232"/>
        <v>9481154.7932328433</v>
      </c>
      <c r="BU51" s="165">
        <f t="shared" si="233"/>
        <v>13829283.490070373</v>
      </c>
      <c r="BV51" s="165">
        <f t="shared" si="234"/>
        <v>16009124.300192714</v>
      </c>
      <c r="BW51" s="165">
        <f t="shared" si="235"/>
        <v>18532562.518010601</v>
      </c>
      <c r="BX51" s="165">
        <f t="shared" si="236"/>
        <v>21453757.684912026</v>
      </c>
      <c r="BY51" s="165">
        <f t="shared" si="18"/>
        <v>31537180.106415182</v>
      </c>
      <c r="BZ51" s="165">
        <f t="shared" si="19"/>
        <v>33962093.595534995</v>
      </c>
      <c r="CA51" s="165">
        <f t="shared" si="20"/>
        <v>36573460.198404193</v>
      </c>
      <c r="CB51" s="165">
        <f t="shared" si="21"/>
        <v>39385616.411472082</v>
      </c>
      <c r="CD51" s="165">
        <f t="shared" si="237"/>
        <v>-371047.02987874672</v>
      </c>
      <c r="CE51" s="165">
        <f t="shared" si="238"/>
        <v>32666775.145284742</v>
      </c>
      <c r="CF51" s="165">
        <f t="shared" si="239"/>
        <v>30769832.309961744</v>
      </c>
      <c r="CG51" s="165">
        <f t="shared" si="240"/>
        <v>69824727.993185714</v>
      </c>
      <c r="CH51" s="804">
        <f t="shared" si="26"/>
        <v>141458350.31182647</v>
      </c>
    </row>
    <row r="52" spans="2:86" x14ac:dyDescent="0.2">
      <c r="B52" s="155" t="s">
        <v>222</v>
      </c>
      <c r="C52" s="165">
        <f>C37-C45</f>
        <v>5265515.7610926311</v>
      </c>
      <c r="D52" s="165">
        <f t="shared" ref="D52:AU52" si="529">D37-D45</f>
        <v>5025794.5220057648</v>
      </c>
      <c r="E52" s="165">
        <f t="shared" si="529"/>
        <v>6426739.2990566492</v>
      </c>
      <c r="F52" s="165">
        <f t="shared" si="529"/>
        <v>4932200.3066829462</v>
      </c>
      <c r="G52" s="165">
        <f t="shared" si="529"/>
        <v>6763668.0961598344</v>
      </c>
      <c r="H52" s="165">
        <f t="shared" si="529"/>
        <v>8963488.1877480596</v>
      </c>
      <c r="I52" s="165">
        <f t="shared" si="529"/>
        <v>10845011.991399288</v>
      </c>
      <c r="J52" s="165">
        <f t="shared" si="529"/>
        <v>7963833.2549276948</v>
      </c>
      <c r="K52" s="165">
        <f t="shared" si="529"/>
        <v>8247979.6642643288</v>
      </c>
      <c r="L52" s="165">
        <f t="shared" si="529"/>
        <v>9210615.9489263147</v>
      </c>
      <c r="M52" s="165">
        <f t="shared" si="529"/>
        <v>11238811.962238789</v>
      </c>
      <c r="N52" s="165">
        <f t="shared" si="529"/>
        <v>13277586.087990627</v>
      </c>
      <c r="O52" s="165">
        <f t="shared" si="529"/>
        <v>20038212.264915079</v>
      </c>
      <c r="P52" s="165">
        <f t="shared" si="529"/>
        <v>21926864.702881321</v>
      </c>
      <c r="Q52" s="165">
        <f t="shared" si="529"/>
        <v>19172819.442372806</v>
      </c>
      <c r="R52" s="165">
        <f t="shared" si="529"/>
        <v>14961902.347966015</v>
      </c>
      <c r="S52" s="165">
        <f t="shared" si="529"/>
        <v>14948905.01305066</v>
      </c>
      <c r="T52" s="165">
        <f t="shared" si="529"/>
        <v>18867591.438474432</v>
      </c>
      <c r="U52" s="165">
        <f t="shared" si="529"/>
        <v>20588789.900169522</v>
      </c>
      <c r="V52" s="165">
        <f t="shared" si="529"/>
        <v>15178045.285423733</v>
      </c>
      <c r="W52" s="165">
        <f t="shared" si="529"/>
        <v>17996343.397457622</v>
      </c>
      <c r="X52" s="165">
        <f t="shared" si="529"/>
        <v>25724945.571317866</v>
      </c>
      <c r="Y52" s="165">
        <f t="shared" si="529"/>
        <v>28297440.128449649</v>
      </c>
      <c r="Z52" s="165">
        <f t="shared" si="529"/>
        <v>29712312.134872139</v>
      </c>
      <c r="AA52" s="165">
        <f t="shared" si="529"/>
        <v>31197927.741615742</v>
      </c>
      <c r="AB52" s="165">
        <f t="shared" si="529"/>
        <v>32757824.128696531</v>
      </c>
      <c r="AC52" s="165">
        <f t="shared" si="529"/>
        <v>34395715.335131362</v>
      </c>
      <c r="AD52" s="165">
        <f t="shared" si="529"/>
        <v>36115501.101887926</v>
      </c>
      <c r="AE52" s="165">
        <f t="shared" si="529"/>
        <v>37921276.156982318</v>
      </c>
      <c r="AF52" s="165">
        <f t="shared" si="529"/>
        <v>39817339.964831442</v>
      </c>
      <c r="AG52" s="165">
        <f t="shared" si="529"/>
        <v>41808206.963073015</v>
      </c>
      <c r="AH52" s="165">
        <f t="shared" si="529"/>
        <v>43898617.311226666</v>
      </c>
      <c r="AI52" s="165">
        <f t="shared" si="529"/>
        <v>46093548.176788002</v>
      </c>
      <c r="AJ52" s="165">
        <f t="shared" si="529"/>
        <v>58660362.70547384</v>
      </c>
      <c r="AK52" s="165">
        <f t="shared" si="529"/>
        <v>61593380.840747535</v>
      </c>
      <c r="AL52" s="165">
        <f t="shared" si="529"/>
        <v>64673049.882784903</v>
      </c>
      <c r="AM52" s="165">
        <f t="shared" si="529"/>
        <v>67906702.376924127</v>
      </c>
      <c r="AN52" s="165">
        <f t="shared" si="529"/>
        <v>71302037.495770365</v>
      </c>
      <c r="AO52" s="165">
        <f t="shared" si="529"/>
        <v>74867139.370558888</v>
      </c>
      <c r="AP52" s="165">
        <f t="shared" si="529"/>
        <v>78610496.339086831</v>
      </c>
      <c r="AQ52" s="165">
        <f t="shared" si="529"/>
        <v>82541021.156041175</v>
      </c>
      <c r="AR52" s="165">
        <f t="shared" si="529"/>
        <v>86668072.213843256</v>
      </c>
      <c r="AS52" s="165">
        <f t="shared" si="529"/>
        <v>91001475.8245354</v>
      </c>
      <c r="AT52" s="165">
        <f t="shared" si="529"/>
        <v>95551549.615762174</v>
      </c>
      <c r="AU52" s="165">
        <f t="shared" si="529"/>
        <v>100329127.09655029</v>
      </c>
      <c r="AV52" s="165">
        <f t="shared" ref="AV52:BG52" si="530">AV37-AV45</f>
        <v>110182880.65067574</v>
      </c>
      <c r="AW52" s="165">
        <f t="shared" si="530"/>
        <v>112937452.66694266</v>
      </c>
      <c r="AX52" s="165">
        <f t="shared" si="530"/>
        <v>115760888.98361623</v>
      </c>
      <c r="AY52" s="165">
        <f t="shared" si="530"/>
        <v>118654911.20820659</v>
      </c>
      <c r="AZ52" s="165">
        <f t="shared" si="530"/>
        <v>121621283.98841172</v>
      </c>
      <c r="BA52" s="165">
        <f t="shared" si="530"/>
        <v>124661816.08812201</v>
      </c>
      <c r="BB52" s="165">
        <f t="shared" si="530"/>
        <v>127778361.49032509</v>
      </c>
      <c r="BC52" s="165">
        <f t="shared" si="530"/>
        <v>130972820.52758318</v>
      </c>
      <c r="BD52" s="165">
        <f t="shared" si="530"/>
        <v>134247141.04077274</v>
      </c>
      <c r="BE52" s="165">
        <f t="shared" si="530"/>
        <v>137603319.56679207</v>
      </c>
      <c r="BF52" s="165">
        <f t="shared" si="530"/>
        <v>141043402.55596185</v>
      </c>
      <c r="BG52" s="165">
        <f t="shared" si="530"/>
        <v>144569487.61986089</v>
      </c>
      <c r="BI52" s="165"/>
      <c r="BJ52" s="165">
        <f t="shared" si="222"/>
        <v>16718049.582155045</v>
      </c>
      <c r="BK52" s="165">
        <f t="shared" si="223"/>
        <v>20659356.590590842</v>
      </c>
      <c r="BL52" s="165">
        <f t="shared" si="224"/>
        <v>27056824.910591312</v>
      </c>
      <c r="BM52" s="165">
        <f t="shared" si="225"/>
        <v>33727013.99915573</v>
      </c>
      <c r="BN52" s="165">
        <f t="shared" si="226"/>
        <v>61137896.410169207</v>
      </c>
      <c r="BO52" s="165">
        <f t="shared" si="227"/>
        <v>48778398.799491107</v>
      </c>
      <c r="BP52" s="165">
        <f t="shared" si="228"/>
        <v>53763178.583050877</v>
      </c>
      <c r="BQ52" s="165">
        <f t="shared" si="229"/>
        <v>83734697.834639654</v>
      </c>
      <c r="BR52" s="165">
        <f t="shared" si="230"/>
        <v>98351467.205443636</v>
      </c>
      <c r="BS52" s="165">
        <f t="shared" si="231"/>
        <v>113854117.22370169</v>
      </c>
      <c r="BT52" s="165">
        <f t="shared" si="232"/>
        <v>131800372.45108768</v>
      </c>
      <c r="BU52" s="165">
        <f t="shared" si="233"/>
        <v>184926793.42900628</v>
      </c>
      <c r="BV52" s="165">
        <f t="shared" si="234"/>
        <v>214075879.24325338</v>
      </c>
      <c r="BW52" s="165">
        <f t="shared" si="235"/>
        <v>247819589.70897126</v>
      </c>
      <c r="BX52" s="165">
        <f t="shared" si="236"/>
        <v>286882152.53684783</v>
      </c>
      <c r="BY52" s="165">
        <f t="shared" si="18"/>
        <v>338881222.3012346</v>
      </c>
      <c r="BZ52" s="165">
        <f t="shared" si="19"/>
        <v>364938011.28474033</v>
      </c>
      <c r="CA52" s="165">
        <f t="shared" si="20"/>
        <v>392998323.05868101</v>
      </c>
      <c r="CB52" s="165">
        <f t="shared" si="21"/>
        <v>423216209.74261481</v>
      </c>
      <c r="CD52" s="165">
        <f t="shared" si="237"/>
        <v>64434231.083337195</v>
      </c>
      <c r="CE52" s="165">
        <f t="shared" si="238"/>
        <v>197406487.79186693</v>
      </c>
      <c r="CF52" s="165">
        <f t="shared" si="239"/>
        <v>427740654.71487272</v>
      </c>
      <c r="CG52" s="165">
        <f t="shared" si="240"/>
        <v>933704414.91807878</v>
      </c>
      <c r="CH52" s="804">
        <f t="shared" si="26"/>
        <v>1520033766.3872707</v>
      </c>
    </row>
    <row r="53" spans="2:86" x14ac:dyDescent="0.2">
      <c r="B53" s="155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D53" s="10"/>
      <c r="CE53" s="10"/>
      <c r="CF53" s="10"/>
      <c r="CG53" s="10"/>
      <c r="CH53" s="812"/>
    </row>
    <row r="54" spans="2:86" x14ac:dyDescent="0.2">
      <c r="B54" s="210" t="s">
        <v>29</v>
      </c>
      <c r="C54" s="211">
        <f>C50/C35</f>
        <v>0.14327394136968069</v>
      </c>
      <c r="D54" s="211">
        <f t="shared" ref="D54:AU54" si="531">D50/D35</f>
        <v>0.13839576236304241</v>
      </c>
      <c r="E54" s="211">
        <f t="shared" si="531"/>
        <v>0.13581017057309683</v>
      </c>
      <c r="F54" s="211">
        <f t="shared" si="531"/>
        <v>0.160124926328614</v>
      </c>
      <c r="G54" s="211">
        <f t="shared" si="531"/>
        <v>0.191527287787921</v>
      </c>
      <c r="H54" s="211">
        <f t="shared" si="531"/>
        <v>0.21801378547226707</v>
      </c>
      <c r="I54" s="211">
        <f t="shared" si="531"/>
        <v>0.18293280363513159</v>
      </c>
      <c r="J54" s="211">
        <f t="shared" si="531"/>
        <v>0.16773577841067674</v>
      </c>
      <c r="K54" s="211">
        <f t="shared" si="531"/>
        <v>-1.9981845597086781E-2</v>
      </c>
      <c r="L54" s="211">
        <f t="shared" si="531"/>
        <v>0.19648773270238118</v>
      </c>
      <c r="M54" s="211">
        <f t="shared" si="531"/>
        <v>0.16607815430954598</v>
      </c>
      <c r="N54" s="211">
        <f t="shared" si="531"/>
        <v>0.17842289291880192</v>
      </c>
      <c r="O54" s="211">
        <f t="shared" si="531"/>
        <v>0.25256583837254026</v>
      </c>
      <c r="P54" s="211">
        <f t="shared" si="531"/>
        <v>0.27537085578257103</v>
      </c>
      <c r="Q54" s="211">
        <f t="shared" si="531"/>
        <v>0.2159371041309503</v>
      </c>
      <c r="R54" s="211">
        <f t="shared" si="531"/>
        <v>0.19655059870286187</v>
      </c>
      <c r="S54" s="211">
        <f t="shared" si="531"/>
        <v>0.16055272484934976</v>
      </c>
      <c r="T54" s="211">
        <f t="shared" si="531"/>
        <v>0.16157760677110053</v>
      </c>
      <c r="U54" s="211">
        <f t="shared" si="531"/>
        <v>0.16628619532076205</v>
      </c>
      <c r="V54" s="211">
        <f t="shared" si="531"/>
        <v>0.15690285826758898</v>
      </c>
      <c r="W54" s="211">
        <f t="shared" si="531"/>
        <v>0.15759188835179336</v>
      </c>
      <c r="X54" s="211">
        <f t="shared" si="531"/>
        <v>0.1927496885004413</v>
      </c>
      <c r="Y54" s="211">
        <f t="shared" si="531"/>
        <v>0.19274968850044127</v>
      </c>
      <c r="Z54" s="211">
        <f t="shared" si="531"/>
        <v>0.1927496885004413</v>
      </c>
      <c r="AA54" s="211">
        <f t="shared" si="531"/>
        <v>0.1927496885004413</v>
      </c>
      <c r="AB54" s="211">
        <f t="shared" si="531"/>
        <v>0.19274968850044133</v>
      </c>
      <c r="AC54" s="211">
        <f t="shared" si="531"/>
        <v>0.19274968850044136</v>
      </c>
      <c r="AD54" s="211">
        <f t="shared" si="531"/>
        <v>0.19274968850044127</v>
      </c>
      <c r="AE54" s="211">
        <f t="shared" si="531"/>
        <v>0.19274968850044127</v>
      </c>
      <c r="AF54" s="211">
        <f t="shared" si="531"/>
        <v>0.19274968850044127</v>
      </c>
      <c r="AG54" s="211">
        <f t="shared" si="531"/>
        <v>0.19274968850044127</v>
      </c>
      <c r="AH54" s="211">
        <f t="shared" si="531"/>
        <v>0.19274968850044125</v>
      </c>
      <c r="AI54" s="211">
        <f t="shared" si="531"/>
        <v>0.1927496885004413</v>
      </c>
      <c r="AJ54" s="211">
        <f t="shared" si="531"/>
        <v>0.22308559270184664</v>
      </c>
      <c r="AK54" s="211">
        <f t="shared" si="531"/>
        <v>0.22308559270184669</v>
      </c>
      <c r="AL54" s="211">
        <f t="shared" si="531"/>
        <v>0.22308559270184666</v>
      </c>
      <c r="AM54" s="211">
        <f t="shared" si="531"/>
        <v>0.22308559270184655</v>
      </c>
      <c r="AN54" s="211">
        <f t="shared" si="531"/>
        <v>0.22308559270184664</v>
      </c>
      <c r="AO54" s="211">
        <f t="shared" si="531"/>
        <v>0.22308559270184664</v>
      </c>
      <c r="AP54" s="211">
        <f t="shared" si="531"/>
        <v>0.22308559270184666</v>
      </c>
      <c r="AQ54" s="211">
        <f t="shared" si="531"/>
        <v>0.22308559270184661</v>
      </c>
      <c r="AR54" s="211">
        <f t="shared" si="531"/>
        <v>0.22308559270184669</v>
      </c>
      <c r="AS54" s="211">
        <f t="shared" si="531"/>
        <v>0.22308559270184661</v>
      </c>
      <c r="AT54" s="211">
        <f t="shared" si="531"/>
        <v>0.22308559270184664</v>
      </c>
      <c r="AU54" s="211">
        <f t="shared" si="531"/>
        <v>0.22308559270184666</v>
      </c>
      <c r="AV54" s="211">
        <f t="shared" ref="AV54:BG54" si="532">AV50/AV35</f>
        <v>0.2430855927018466</v>
      </c>
      <c r="AW54" s="211">
        <f t="shared" si="532"/>
        <v>0.2430855927018466</v>
      </c>
      <c r="AX54" s="211">
        <f t="shared" si="532"/>
        <v>0.24308559270184668</v>
      </c>
      <c r="AY54" s="211">
        <f t="shared" si="532"/>
        <v>0.24308559270184663</v>
      </c>
      <c r="AZ54" s="211">
        <f t="shared" si="532"/>
        <v>0.2430855927018466</v>
      </c>
      <c r="BA54" s="211">
        <f t="shared" si="532"/>
        <v>0.2430855927018466</v>
      </c>
      <c r="BB54" s="211">
        <f t="shared" si="532"/>
        <v>0.2430855927018466</v>
      </c>
      <c r="BC54" s="211">
        <f t="shared" si="532"/>
        <v>0.24308559270184663</v>
      </c>
      <c r="BD54" s="211">
        <f t="shared" si="532"/>
        <v>0.2430855927018466</v>
      </c>
      <c r="BE54" s="211">
        <f t="shared" si="532"/>
        <v>0.24308559270184663</v>
      </c>
      <c r="BF54" s="211">
        <f t="shared" si="532"/>
        <v>0.24308559270184665</v>
      </c>
      <c r="BG54" s="211">
        <f t="shared" si="532"/>
        <v>0.2430855927018466</v>
      </c>
      <c r="BI54" s="211"/>
      <c r="BJ54" s="211">
        <f t="shared" ref="BJ54:CG54" si="533">BJ50/BJ35</f>
        <v>0.13841999329503238</v>
      </c>
      <c r="BK54" s="211">
        <f t="shared" si="533"/>
        <v>0.19123039108087678</v>
      </c>
      <c r="BL54" s="211">
        <f t="shared" si="533"/>
        <v>0.10998678637117289</v>
      </c>
      <c r="BM54" s="211">
        <f t="shared" si="533"/>
        <v>0.17824515230754792</v>
      </c>
      <c r="BN54" s="211">
        <f t="shared" si="533"/>
        <v>0.24724712788667264</v>
      </c>
      <c r="BO54" s="211">
        <f t="shared" si="533"/>
        <v>0.17074031448171562</v>
      </c>
      <c r="BP54" s="211">
        <f t="shared" si="533"/>
        <v>0.16052811446056683</v>
      </c>
      <c r="BQ54" s="211">
        <f t="shared" si="533"/>
        <v>0.1927496885004413</v>
      </c>
      <c r="BR54" s="211">
        <f t="shared" si="533"/>
        <v>0.19274968850044136</v>
      </c>
      <c r="BS54" s="211">
        <f t="shared" si="533"/>
        <v>0.19274968850044127</v>
      </c>
      <c r="BT54" s="211">
        <f t="shared" si="533"/>
        <v>0.19274968850044122</v>
      </c>
      <c r="BU54" s="211">
        <f t="shared" si="533"/>
        <v>0.22308559270184666</v>
      </c>
      <c r="BV54" s="211">
        <f t="shared" si="533"/>
        <v>0.22308559270184658</v>
      </c>
      <c r="BW54" s="211">
        <f t="shared" si="533"/>
        <v>0.22308559270184666</v>
      </c>
      <c r="BX54" s="211">
        <f t="shared" si="533"/>
        <v>0.22308559270184661</v>
      </c>
      <c r="BY54" s="211">
        <f t="shared" ref="BY54:CB54" si="534">BY50/BY35</f>
        <v>0.24308559270184663</v>
      </c>
      <c r="BZ54" s="211">
        <f t="shared" si="534"/>
        <v>0.24308559270184665</v>
      </c>
      <c r="CA54" s="211">
        <f t="shared" si="534"/>
        <v>0.24308559270184663</v>
      </c>
      <c r="CB54" s="211">
        <f t="shared" si="534"/>
        <v>0.24308559270184665</v>
      </c>
      <c r="CC54" s="820"/>
      <c r="CD54" s="211">
        <f t="shared" si="533"/>
        <v>0.14364435394018837</v>
      </c>
      <c r="CE54" s="211">
        <f t="shared" si="533"/>
        <v>0.18695099372855647</v>
      </c>
      <c r="CF54" s="211">
        <f t="shared" si="533"/>
        <v>0.1927496885004413</v>
      </c>
      <c r="CG54" s="211">
        <f t="shared" si="533"/>
        <v>0.22308559270184664</v>
      </c>
      <c r="CH54" s="211">
        <f t="shared" ref="CH54" si="535">CH50/CH35</f>
        <v>0.24308559270184668</v>
      </c>
    </row>
    <row r="55" spans="2:86" x14ac:dyDescent="0.2">
      <c r="B55" s="156" t="s">
        <v>221</v>
      </c>
      <c r="C55" s="161">
        <f>C51/C36</f>
        <v>-6.7434151381975893E-2</v>
      </c>
      <c r="D55" s="161">
        <f t="shared" ref="D55:AT55" si="536">D51/D36</f>
        <v>3.1740582053560361E-2</v>
      </c>
      <c r="E55" s="161">
        <f t="shared" si="536"/>
        <v>4.0603394814279159E-2</v>
      </c>
      <c r="F55" s="161">
        <f t="shared" si="536"/>
        <v>7.8700189990343658E-2</v>
      </c>
      <c r="G55" s="161">
        <f t="shared" si="536"/>
        <v>0.11162033838578717</v>
      </c>
      <c r="H55" s="161">
        <f t="shared" si="536"/>
        <v>0.1191002097403947</v>
      </c>
      <c r="I55" s="161">
        <f t="shared" si="536"/>
        <v>2.094159721168664E-2</v>
      </c>
      <c r="J55" s="161">
        <f t="shared" si="536"/>
        <v>5.841258765303891E-2</v>
      </c>
      <c r="K55" s="161">
        <f t="shared" si="536"/>
        <v>-0.36669306507426647</v>
      </c>
      <c r="L55" s="161">
        <f t="shared" si="536"/>
        <v>0.10371201801949312</v>
      </c>
      <c r="M55" s="161">
        <f t="shared" si="536"/>
        <v>8.3890864282506555E-2</v>
      </c>
      <c r="N55" s="161">
        <f t="shared" si="536"/>
        <v>0.1022501245433883</v>
      </c>
      <c r="O55" s="161">
        <f t="shared" si="536"/>
        <v>0.10322367217226049</v>
      </c>
      <c r="P55" s="161">
        <f t="shared" si="536"/>
        <v>0.13860037206114381</v>
      </c>
      <c r="Q55" s="161">
        <f t="shared" si="536"/>
        <v>6.129013964148685E-2</v>
      </c>
      <c r="R55" s="161">
        <f t="shared" si="536"/>
        <v>9.8113821863787629E-2</v>
      </c>
      <c r="S55" s="161">
        <f t="shared" si="536"/>
        <v>7.3177317914543155E-2</v>
      </c>
      <c r="T55" s="161">
        <f t="shared" si="536"/>
        <v>5.9034646868635222E-2</v>
      </c>
      <c r="U55" s="161">
        <f t="shared" si="536"/>
        <v>2.1119776266487894E-2</v>
      </c>
      <c r="V55" s="161">
        <f t="shared" si="536"/>
        <v>5.9700973263851848E-2</v>
      </c>
      <c r="W55" s="161">
        <f t="shared" si="536"/>
        <v>-1.054760213287421E-2</v>
      </c>
      <c r="X55" s="161">
        <f t="shared" si="536"/>
        <v>5.0000000000000051E-2</v>
      </c>
      <c r="Y55" s="161">
        <f t="shared" si="536"/>
        <v>5.0000000000000107E-2</v>
      </c>
      <c r="Z55" s="161">
        <f t="shared" si="536"/>
        <v>5.0000000000000017E-2</v>
      </c>
      <c r="AA55" s="161">
        <f t="shared" si="536"/>
        <v>5.0000000000000058E-2</v>
      </c>
      <c r="AB55" s="161">
        <f t="shared" si="536"/>
        <v>5.0000000000000072E-2</v>
      </c>
      <c r="AC55" s="161">
        <f t="shared" si="536"/>
        <v>5.0000000000000072E-2</v>
      </c>
      <c r="AD55" s="161">
        <f t="shared" si="536"/>
        <v>5.0000000000000065E-2</v>
      </c>
      <c r="AE55" s="161">
        <f t="shared" si="536"/>
        <v>5.0000000000000051E-2</v>
      </c>
      <c r="AF55" s="161">
        <f t="shared" si="536"/>
        <v>5.0000000000000031E-2</v>
      </c>
      <c r="AG55" s="161">
        <f t="shared" si="536"/>
        <v>5.0000000000000031E-2</v>
      </c>
      <c r="AH55" s="161">
        <f t="shared" si="536"/>
        <v>5.0000000000000031E-2</v>
      </c>
      <c r="AI55" s="161">
        <f t="shared" si="536"/>
        <v>5.0000000000000093E-2</v>
      </c>
      <c r="AJ55" s="161">
        <f t="shared" si="536"/>
        <v>6.0000000000000012E-2</v>
      </c>
      <c r="AK55" s="161">
        <f t="shared" si="536"/>
        <v>6.0000000000000137E-2</v>
      </c>
      <c r="AL55" s="161">
        <f t="shared" si="536"/>
        <v>6.0000000000000005E-2</v>
      </c>
      <c r="AM55" s="161">
        <f t="shared" si="536"/>
        <v>6.0000000000000012E-2</v>
      </c>
      <c r="AN55" s="161">
        <f t="shared" si="536"/>
        <v>6.0000000000000039E-2</v>
      </c>
      <c r="AO55" s="161">
        <f t="shared" si="536"/>
        <v>6.0000000000000005E-2</v>
      </c>
      <c r="AP55" s="161">
        <f t="shared" si="536"/>
        <v>6.0000000000000102E-2</v>
      </c>
      <c r="AQ55" s="161">
        <f t="shared" si="536"/>
        <v>5.9999999999999991E-2</v>
      </c>
      <c r="AR55" s="161">
        <f t="shared" si="536"/>
        <v>6.0000000000000053E-2</v>
      </c>
      <c r="AS55" s="161">
        <f t="shared" si="536"/>
        <v>6.0000000000000026E-2</v>
      </c>
      <c r="AT55" s="161">
        <f t="shared" si="536"/>
        <v>6.0000000000000102E-2</v>
      </c>
      <c r="AU55" s="161">
        <f t="shared" ref="AU55:CG55" si="537">AU51/AU36</f>
        <v>6.0000000000000046E-2</v>
      </c>
      <c r="AV55" s="161">
        <f t="shared" ref="AV55:BG55" si="538">AV51/AV36</f>
        <v>7.9999999999999946E-2</v>
      </c>
      <c r="AW55" s="161">
        <f t="shared" si="538"/>
        <v>7.999999999999996E-2</v>
      </c>
      <c r="AX55" s="161">
        <f t="shared" si="538"/>
        <v>7.9999999999999974E-2</v>
      </c>
      <c r="AY55" s="161">
        <f t="shared" si="538"/>
        <v>7.9999999999999974E-2</v>
      </c>
      <c r="AZ55" s="161">
        <f t="shared" si="538"/>
        <v>7.9999999999999932E-2</v>
      </c>
      <c r="BA55" s="161">
        <f t="shared" si="538"/>
        <v>7.9999999999999946E-2</v>
      </c>
      <c r="BB55" s="161">
        <f t="shared" si="538"/>
        <v>7.9999999999999918E-2</v>
      </c>
      <c r="BC55" s="161">
        <f t="shared" si="538"/>
        <v>8.0000000000000057E-2</v>
      </c>
      <c r="BD55" s="161">
        <f t="shared" si="538"/>
        <v>8.0000000000000043E-2</v>
      </c>
      <c r="BE55" s="161">
        <f t="shared" si="538"/>
        <v>8.0000000000000029E-2</v>
      </c>
      <c r="BF55" s="161">
        <f t="shared" si="538"/>
        <v>7.9999999999999988E-2</v>
      </c>
      <c r="BG55" s="161">
        <f t="shared" si="538"/>
        <v>7.9999999999999877E-2</v>
      </c>
      <c r="BI55" s="161">
        <v>0</v>
      </c>
      <c r="BJ55" s="161">
        <f t="shared" si="537"/>
        <v>1.8355469853374756E-2</v>
      </c>
      <c r="BK55" s="161">
        <f t="shared" si="537"/>
        <v>0.10070199210530045</v>
      </c>
      <c r="BL55" s="161">
        <f t="shared" si="537"/>
        <v>-0.1066559519793845</v>
      </c>
      <c r="BM55" s="161">
        <f t="shared" si="537"/>
        <v>9.5569586386649322E-2</v>
      </c>
      <c r="BN55" s="161">
        <f t="shared" si="537"/>
        <v>9.6933566299619175E-2</v>
      </c>
      <c r="BO55" s="161">
        <f t="shared" si="537"/>
        <v>7.4601901951773408E-2</v>
      </c>
      <c r="BP55" s="161">
        <f t="shared" si="537"/>
        <v>2.6237278913349687E-2</v>
      </c>
      <c r="BQ55" s="161">
        <f t="shared" si="537"/>
        <v>5.0000000000000058E-2</v>
      </c>
      <c r="BR55" s="161">
        <f t="shared" si="537"/>
        <v>5.0000000000000065E-2</v>
      </c>
      <c r="BS55" s="161">
        <f t="shared" si="537"/>
        <v>5.0000000000000044E-2</v>
      </c>
      <c r="BT55" s="161">
        <f t="shared" si="537"/>
        <v>5.0000000000000044E-2</v>
      </c>
      <c r="BU55" s="161">
        <f t="shared" si="537"/>
        <v>6.0000000000000053E-2</v>
      </c>
      <c r="BV55" s="161">
        <f t="shared" si="537"/>
        <v>6.0000000000000019E-2</v>
      </c>
      <c r="BW55" s="161">
        <f t="shared" si="537"/>
        <v>6.0000000000000046E-2</v>
      </c>
      <c r="BX55" s="161">
        <f t="shared" si="537"/>
        <v>6.000000000000006E-2</v>
      </c>
      <c r="BY55" s="161">
        <f t="shared" ref="BY55:CB55" si="539">BY51/BY36</f>
        <v>7.999999999999996E-2</v>
      </c>
      <c r="BZ55" s="161">
        <f t="shared" si="539"/>
        <v>7.9999999999999946E-2</v>
      </c>
      <c r="CA55" s="161">
        <f t="shared" si="539"/>
        <v>0.08</v>
      </c>
      <c r="CB55" s="161">
        <f t="shared" si="539"/>
        <v>7.999999999999996E-2</v>
      </c>
      <c r="CC55" s="613"/>
      <c r="CD55" s="161">
        <f t="shared" si="537"/>
        <v>-1.8511568539383407E-3</v>
      </c>
      <c r="CE55" s="161">
        <f t="shared" si="537"/>
        <v>7.096801752812279E-2</v>
      </c>
      <c r="CF55" s="161">
        <f t="shared" si="537"/>
        <v>5.0000000000000051E-2</v>
      </c>
      <c r="CG55" s="161">
        <f t="shared" si="537"/>
        <v>6.0000000000000046E-2</v>
      </c>
      <c r="CH55" s="161">
        <f t="shared" ref="CH55" si="540">CH51/CH36</f>
        <v>7.9999999999999974E-2</v>
      </c>
    </row>
    <row r="56" spans="2:86" x14ac:dyDescent="0.2">
      <c r="B56" s="157" t="s">
        <v>222</v>
      </c>
      <c r="C56" s="166">
        <f>C52/C37</f>
        <v>0.28315818817835942</v>
      </c>
      <c r="D56" s="166">
        <f t="shared" ref="D56:AT56" si="541">D52/D37</f>
        <v>0.2875655756239941</v>
      </c>
      <c r="E56" s="166">
        <f t="shared" si="541"/>
        <v>0.26492097588317776</v>
      </c>
      <c r="F56" s="166">
        <f t="shared" si="541"/>
        <v>0.25527214552550626</v>
      </c>
      <c r="G56" s="166">
        <f t="shared" si="541"/>
        <v>0.26690558776375417</v>
      </c>
      <c r="H56" s="166">
        <f t="shared" si="541"/>
        <v>0.25391745189911474</v>
      </c>
      <c r="I56" s="166">
        <f t="shared" si="541"/>
        <v>0.27805823091889526</v>
      </c>
      <c r="J56" s="166">
        <f t="shared" si="541"/>
        <v>0.24427972720520008</v>
      </c>
      <c r="K56" s="166">
        <f t="shared" si="541"/>
        <v>0.24514615578883833</v>
      </c>
      <c r="L56" s="166">
        <f t="shared" si="541"/>
        <v>0.25759499994954332</v>
      </c>
      <c r="M56" s="166">
        <f t="shared" si="541"/>
        <v>0.2476741801004482</v>
      </c>
      <c r="N56" s="166">
        <f t="shared" si="541"/>
        <v>0.25029378313470974</v>
      </c>
      <c r="O56" s="166">
        <f t="shared" si="541"/>
        <v>0.32226892084483683</v>
      </c>
      <c r="P56" s="166">
        <f t="shared" si="541"/>
        <v>0.33070031067624522</v>
      </c>
      <c r="Q56" s="166">
        <f t="shared" si="541"/>
        <v>0.30595634411979844</v>
      </c>
      <c r="R56" s="166">
        <f t="shared" si="541"/>
        <v>0.24853360211058551</v>
      </c>
      <c r="S56" s="166">
        <f t="shared" si="541"/>
        <v>0.21782606932399873</v>
      </c>
      <c r="T56" s="166">
        <f t="shared" si="541"/>
        <v>0.21220704491371967</v>
      </c>
      <c r="U56" s="166">
        <f t="shared" si="541"/>
        <v>0.23940517532877117</v>
      </c>
      <c r="V56" s="166">
        <f t="shared" si="541"/>
        <v>0.22620802495561296</v>
      </c>
      <c r="W56" s="166">
        <f t="shared" si="541"/>
        <v>0.24256717254915117</v>
      </c>
      <c r="X56" s="166">
        <f t="shared" si="541"/>
        <v>0.24256717254915117</v>
      </c>
      <c r="Y56" s="166">
        <f t="shared" si="541"/>
        <v>0.24256717254915111</v>
      </c>
      <c r="Z56" s="166">
        <f t="shared" si="541"/>
        <v>0.24256717254915119</v>
      </c>
      <c r="AA56" s="166">
        <f t="shared" si="541"/>
        <v>0.24256717254915117</v>
      </c>
      <c r="AB56" s="166">
        <f t="shared" si="541"/>
        <v>0.24256717254915119</v>
      </c>
      <c r="AC56" s="166">
        <f t="shared" si="541"/>
        <v>0.24256717254915119</v>
      </c>
      <c r="AD56" s="166">
        <f t="shared" si="541"/>
        <v>0.24256717254915111</v>
      </c>
      <c r="AE56" s="166">
        <f t="shared" si="541"/>
        <v>0.24256717254915114</v>
      </c>
      <c r="AF56" s="166">
        <f t="shared" si="541"/>
        <v>0.24256717254915114</v>
      </c>
      <c r="AG56" s="166">
        <f t="shared" si="541"/>
        <v>0.24256717254915114</v>
      </c>
      <c r="AH56" s="166">
        <f t="shared" si="541"/>
        <v>0.24256717254915114</v>
      </c>
      <c r="AI56" s="166">
        <f t="shared" si="541"/>
        <v>0.24256717254915117</v>
      </c>
      <c r="AJ56" s="166">
        <f t="shared" si="541"/>
        <v>0.28000000000000008</v>
      </c>
      <c r="AK56" s="166">
        <f t="shared" si="541"/>
        <v>0.28000000000000008</v>
      </c>
      <c r="AL56" s="166">
        <f t="shared" si="541"/>
        <v>0.28000000000000003</v>
      </c>
      <c r="AM56" s="166">
        <f t="shared" si="541"/>
        <v>0.27999999999999997</v>
      </c>
      <c r="AN56" s="166">
        <f t="shared" si="541"/>
        <v>0.28000000000000008</v>
      </c>
      <c r="AO56" s="166">
        <f t="shared" si="541"/>
        <v>0.28000000000000003</v>
      </c>
      <c r="AP56" s="166">
        <f t="shared" si="541"/>
        <v>0.28000000000000008</v>
      </c>
      <c r="AQ56" s="166">
        <f t="shared" si="541"/>
        <v>0.28000000000000003</v>
      </c>
      <c r="AR56" s="166">
        <f t="shared" si="541"/>
        <v>0.28000000000000008</v>
      </c>
      <c r="AS56" s="166">
        <f t="shared" si="541"/>
        <v>0.28000000000000003</v>
      </c>
      <c r="AT56" s="166">
        <f t="shared" si="541"/>
        <v>0.28000000000000003</v>
      </c>
      <c r="AU56" s="166">
        <f t="shared" ref="AU56:CG56" si="542">AU52/AU37</f>
        <v>0.28000000000000008</v>
      </c>
      <c r="AV56" s="166">
        <f t="shared" ref="AV56:BG56" si="543">AV52/AV37</f>
        <v>0.30000000000000004</v>
      </c>
      <c r="AW56" s="166">
        <f t="shared" si="543"/>
        <v>0.30000000000000004</v>
      </c>
      <c r="AX56" s="166">
        <f t="shared" si="543"/>
        <v>0.3000000000000001</v>
      </c>
      <c r="AY56" s="166">
        <f t="shared" si="543"/>
        <v>0.30000000000000004</v>
      </c>
      <c r="AZ56" s="166">
        <f t="shared" si="543"/>
        <v>0.3</v>
      </c>
      <c r="BA56" s="166">
        <f t="shared" si="543"/>
        <v>0.3</v>
      </c>
      <c r="BB56" s="166">
        <f t="shared" si="543"/>
        <v>0.30000000000000004</v>
      </c>
      <c r="BC56" s="166">
        <f t="shared" si="543"/>
        <v>0.30000000000000004</v>
      </c>
      <c r="BD56" s="166">
        <f t="shared" si="543"/>
        <v>0.3</v>
      </c>
      <c r="BE56" s="166">
        <f t="shared" si="543"/>
        <v>0.30000000000000004</v>
      </c>
      <c r="BF56" s="166">
        <f t="shared" si="543"/>
        <v>0.3000000000000001</v>
      </c>
      <c r="BG56" s="166">
        <f t="shared" si="543"/>
        <v>0.3000000000000001</v>
      </c>
      <c r="BI56" s="166"/>
      <c r="BJ56" s="166">
        <f t="shared" si="542"/>
        <v>0.2771018463706425</v>
      </c>
      <c r="BK56" s="166">
        <f t="shared" si="542"/>
        <v>0.25836084037943186</v>
      </c>
      <c r="BL56" s="166">
        <f t="shared" si="542"/>
        <v>0.25707416197757899</v>
      </c>
      <c r="BM56" s="166">
        <f t="shared" si="542"/>
        <v>0.25135348808468128</v>
      </c>
      <c r="BN56" s="166">
        <f t="shared" si="542"/>
        <v>0.31984570345379898</v>
      </c>
      <c r="BO56" s="166">
        <f t="shared" si="542"/>
        <v>0.22402163852723653</v>
      </c>
      <c r="BP56" s="166">
        <f t="shared" si="542"/>
        <v>0.23654138740648181</v>
      </c>
      <c r="BQ56" s="166">
        <f t="shared" si="542"/>
        <v>0.24256717254915114</v>
      </c>
      <c r="BR56" s="166">
        <f t="shared" si="542"/>
        <v>0.24256717254915117</v>
      </c>
      <c r="BS56" s="166">
        <f t="shared" si="542"/>
        <v>0.24256717254915117</v>
      </c>
      <c r="BT56" s="166">
        <f t="shared" si="542"/>
        <v>0.24256717254915117</v>
      </c>
      <c r="BU56" s="166">
        <f t="shared" si="542"/>
        <v>0.28000000000000008</v>
      </c>
      <c r="BV56" s="166">
        <f t="shared" si="542"/>
        <v>0.28000000000000003</v>
      </c>
      <c r="BW56" s="166">
        <f t="shared" si="542"/>
        <v>0.28000000000000008</v>
      </c>
      <c r="BX56" s="166">
        <f t="shared" si="542"/>
        <v>0.28000000000000003</v>
      </c>
      <c r="BY56" s="166">
        <f t="shared" ref="BY56:CB56" si="544">BY52/BY37</f>
        <v>0.30000000000000004</v>
      </c>
      <c r="BZ56" s="166">
        <f t="shared" si="544"/>
        <v>0.3</v>
      </c>
      <c r="CA56" s="166">
        <f t="shared" si="544"/>
        <v>0.30000000000000004</v>
      </c>
      <c r="CB56" s="166">
        <f t="shared" si="544"/>
        <v>0.30000000000000004</v>
      </c>
      <c r="CC56" s="613"/>
      <c r="CD56" s="166">
        <f t="shared" si="542"/>
        <v>0.26241411114565705</v>
      </c>
      <c r="CE56" s="166">
        <f t="shared" si="542"/>
        <v>0.25625290545731993</v>
      </c>
      <c r="CF56" s="166">
        <f t="shared" si="542"/>
        <v>0.24256717254915117</v>
      </c>
      <c r="CG56" s="166">
        <f t="shared" si="542"/>
        <v>0.28000000000000008</v>
      </c>
      <c r="CH56" s="166">
        <f t="shared" ref="CH56" si="545">CH52/CH37</f>
        <v>0.3</v>
      </c>
    </row>
    <row r="57" spans="2:86" x14ac:dyDescent="0.2">
      <c r="B57" s="12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6D24-0E7E-4B28-98C8-8C09C1394C4D}">
  <sheetPr>
    <tabColor theme="7" tint="0.59999389629810485"/>
  </sheetPr>
  <dimension ref="A1:BJ54"/>
  <sheetViews>
    <sheetView showGridLines="0" zoomScaleNormal="100" workbookViewId="0">
      <pane xSplit="1" ySplit="1" topLeftCell="AA2" activePane="bottomRight" state="frozen"/>
      <selection activeCell="A18" sqref="A18"/>
      <selection pane="topRight" activeCell="A18" sqref="A18"/>
      <selection pane="bottomLeft" activeCell="A18" sqref="A18"/>
      <selection pane="bottomRight"/>
    </sheetView>
  </sheetViews>
  <sheetFormatPr baseColWidth="10" defaultColWidth="8.83203125" defaultRowHeight="15" x14ac:dyDescent="0.2"/>
  <cols>
    <col min="1" max="1" width="32.33203125" style="339" bestFit="1" customWidth="1"/>
    <col min="2" max="62" width="12.6640625" style="339" customWidth="1"/>
    <col min="63" max="16384" width="8.83203125" style="339"/>
  </cols>
  <sheetData>
    <row r="1" spans="1:62" ht="18" customHeight="1" thickBot="1" x14ac:dyDescent="0.25">
      <c r="A1" s="335" t="s">
        <v>496</v>
      </c>
      <c r="B1" s="336">
        <v>43208</v>
      </c>
      <c r="C1" s="336">
        <v>43238</v>
      </c>
      <c r="D1" s="336">
        <v>43269</v>
      </c>
      <c r="E1" s="336">
        <v>43238</v>
      </c>
      <c r="F1" s="336">
        <v>43313</v>
      </c>
      <c r="G1" s="336">
        <v>43344</v>
      </c>
      <c r="H1" s="336">
        <v>43374</v>
      </c>
      <c r="I1" s="336">
        <v>43405</v>
      </c>
      <c r="J1" s="336">
        <v>43435</v>
      </c>
      <c r="K1" s="336">
        <v>43466</v>
      </c>
      <c r="L1" s="336">
        <v>43497</v>
      </c>
      <c r="M1" s="336">
        <v>43525</v>
      </c>
      <c r="N1" s="336">
        <v>43556</v>
      </c>
      <c r="O1" s="336">
        <v>43586</v>
      </c>
      <c r="P1" s="337">
        <v>43617</v>
      </c>
      <c r="Q1" s="337">
        <v>43647</v>
      </c>
      <c r="R1" s="338">
        <f>Q1+31</f>
        <v>43678</v>
      </c>
      <c r="S1" s="337">
        <f t="shared" ref="S1:BJ1" si="0">R1+31</f>
        <v>43709</v>
      </c>
      <c r="T1" s="337">
        <f t="shared" si="0"/>
        <v>43740</v>
      </c>
      <c r="U1" s="337">
        <f t="shared" si="0"/>
        <v>43771</v>
      </c>
      <c r="V1" s="337">
        <f t="shared" si="0"/>
        <v>43802</v>
      </c>
      <c r="W1" s="337">
        <f t="shared" si="0"/>
        <v>43833</v>
      </c>
      <c r="X1" s="337">
        <f t="shared" si="0"/>
        <v>43864</v>
      </c>
      <c r="Y1" s="337">
        <f t="shared" si="0"/>
        <v>43895</v>
      </c>
      <c r="Z1" s="337">
        <f t="shared" si="0"/>
        <v>43926</v>
      </c>
      <c r="AA1" s="337">
        <f t="shared" si="0"/>
        <v>43957</v>
      </c>
      <c r="AB1" s="338">
        <f t="shared" si="0"/>
        <v>43988</v>
      </c>
      <c r="AC1" s="337">
        <f t="shared" si="0"/>
        <v>44019</v>
      </c>
      <c r="AD1" s="337">
        <f t="shared" si="0"/>
        <v>44050</v>
      </c>
      <c r="AE1" s="337">
        <f t="shared" si="0"/>
        <v>44081</v>
      </c>
      <c r="AF1" s="337">
        <f t="shared" si="0"/>
        <v>44112</v>
      </c>
      <c r="AG1" s="337">
        <f t="shared" si="0"/>
        <v>44143</v>
      </c>
      <c r="AH1" s="337">
        <f t="shared" si="0"/>
        <v>44174</v>
      </c>
      <c r="AI1" s="337">
        <f t="shared" si="0"/>
        <v>44205</v>
      </c>
      <c r="AJ1" s="338">
        <f t="shared" si="0"/>
        <v>44236</v>
      </c>
      <c r="AK1" s="337">
        <f t="shared" si="0"/>
        <v>44267</v>
      </c>
      <c r="AL1" s="337">
        <f t="shared" si="0"/>
        <v>44298</v>
      </c>
      <c r="AM1" s="337">
        <f t="shared" si="0"/>
        <v>44329</v>
      </c>
      <c r="AN1" s="337">
        <f t="shared" si="0"/>
        <v>44360</v>
      </c>
      <c r="AO1" s="337">
        <f t="shared" si="0"/>
        <v>44391</v>
      </c>
      <c r="AP1" s="337">
        <f t="shared" si="0"/>
        <v>44422</v>
      </c>
      <c r="AQ1" s="337">
        <f t="shared" si="0"/>
        <v>44453</v>
      </c>
      <c r="AR1" s="337">
        <f t="shared" si="0"/>
        <v>44484</v>
      </c>
      <c r="AS1" s="337">
        <f t="shared" si="0"/>
        <v>44515</v>
      </c>
      <c r="AT1" s="337">
        <f t="shared" si="0"/>
        <v>44546</v>
      </c>
      <c r="AU1" s="337">
        <f t="shared" si="0"/>
        <v>44577</v>
      </c>
      <c r="AV1" s="337">
        <f t="shared" si="0"/>
        <v>44608</v>
      </c>
      <c r="AW1" s="337">
        <f t="shared" si="0"/>
        <v>44639</v>
      </c>
      <c r="AX1" s="337">
        <f t="shared" si="0"/>
        <v>44670</v>
      </c>
      <c r="AY1" s="337">
        <f t="shared" si="0"/>
        <v>44701</v>
      </c>
      <c r="AZ1" s="337">
        <f t="shared" si="0"/>
        <v>44732</v>
      </c>
      <c r="BA1" s="337">
        <f t="shared" si="0"/>
        <v>44763</v>
      </c>
      <c r="BB1" s="336">
        <f t="shared" si="0"/>
        <v>44794</v>
      </c>
      <c r="BC1" s="337">
        <f t="shared" si="0"/>
        <v>44825</v>
      </c>
      <c r="BD1" s="337">
        <f t="shared" si="0"/>
        <v>44856</v>
      </c>
      <c r="BE1" s="337">
        <f t="shared" si="0"/>
        <v>44887</v>
      </c>
      <c r="BF1" s="337">
        <f t="shared" si="0"/>
        <v>44918</v>
      </c>
      <c r="BG1" s="337">
        <f t="shared" si="0"/>
        <v>44949</v>
      </c>
      <c r="BH1" s="337">
        <f t="shared" si="0"/>
        <v>44980</v>
      </c>
      <c r="BI1" s="336">
        <f t="shared" si="0"/>
        <v>45011</v>
      </c>
      <c r="BJ1" s="336">
        <f t="shared" si="0"/>
        <v>45042</v>
      </c>
    </row>
    <row r="2" spans="1:62" ht="16" customHeight="1" x14ac:dyDescent="0.2">
      <c r="A2" s="340" t="s">
        <v>169</v>
      </c>
      <c r="B2" s="341">
        <v>1122221.3</v>
      </c>
      <c r="C2" s="342">
        <v>1450136.22</v>
      </c>
      <c r="D2" s="342">
        <v>1972016</v>
      </c>
      <c r="E2" s="342">
        <v>2300746.2999999998</v>
      </c>
      <c r="F2" s="342">
        <v>2454507.38</v>
      </c>
      <c r="G2" s="342">
        <v>3129509.86</v>
      </c>
      <c r="H2" s="342">
        <v>3675259.86</v>
      </c>
      <c r="I2" s="342">
        <v>5148563.0199999996</v>
      </c>
      <c r="J2" s="342">
        <v>7472148.2199999997</v>
      </c>
      <c r="K2" s="342">
        <v>10007707.439999999</v>
      </c>
      <c r="L2" s="342">
        <v>9620099.8599999994</v>
      </c>
      <c r="M2" s="342">
        <v>10683960.720000001</v>
      </c>
      <c r="N2" s="342">
        <v>11188042.560000001</v>
      </c>
      <c r="O2" s="342">
        <v>11181957.380000141</v>
      </c>
      <c r="P2" s="342">
        <v>9904954.2200000007</v>
      </c>
      <c r="Q2" s="342">
        <f t="shared" ref="Q2:V2" si="1">Q3+Q6</f>
        <v>7466791.0000000056</v>
      </c>
      <c r="R2" s="343">
        <f t="shared" si="1"/>
        <v>6939939.9000000004</v>
      </c>
      <c r="S2" s="344">
        <f t="shared" si="1"/>
        <v>6410732.3200000003</v>
      </c>
      <c r="T2" s="344">
        <f t="shared" si="1"/>
        <v>6104551.8200000003</v>
      </c>
      <c r="U2" s="344">
        <f t="shared" si="1"/>
        <v>5469154.8600000003</v>
      </c>
      <c r="V2" s="344">
        <f t="shared" si="1"/>
        <v>5245282.839999998</v>
      </c>
      <c r="W2" s="344">
        <f>W3+W6</f>
        <v>4628703.9799999958</v>
      </c>
      <c r="X2" s="344">
        <f>X3+X6</f>
        <v>4482612.32</v>
      </c>
      <c r="Y2" s="344">
        <f>Y3+Y6</f>
        <v>3142376.58</v>
      </c>
      <c r="Z2" s="344">
        <f>Z3+Z6</f>
        <v>0</v>
      </c>
      <c r="AA2" s="344">
        <f>AA3+AA6</f>
        <v>629338.27360000042</v>
      </c>
      <c r="AB2" s="343"/>
      <c r="AC2" s="344"/>
      <c r="AD2" s="344"/>
      <c r="AE2" s="344"/>
      <c r="AF2" s="344"/>
      <c r="AG2" s="344"/>
      <c r="AH2" s="344"/>
      <c r="AI2" s="344"/>
      <c r="AJ2" s="343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5"/>
      <c r="BC2" s="344"/>
      <c r="BD2" s="344"/>
      <c r="BE2" s="344"/>
      <c r="BF2" s="344"/>
      <c r="BG2" s="344"/>
      <c r="BH2" s="344"/>
      <c r="BI2" s="346"/>
      <c r="BJ2" s="340"/>
    </row>
    <row r="3" spans="1:62" ht="16" customHeight="1" x14ac:dyDescent="0.2">
      <c r="A3" s="347" t="s">
        <v>11</v>
      </c>
      <c r="B3" s="348">
        <v>171186.3</v>
      </c>
      <c r="C3" s="349">
        <v>221207.22</v>
      </c>
      <c r="D3" s="349">
        <v>300816</v>
      </c>
      <c r="E3" s="349">
        <v>350961.3</v>
      </c>
      <c r="F3" s="349">
        <v>374416.38</v>
      </c>
      <c r="G3" s="349">
        <v>477382.86</v>
      </c>
      <c r="H3" s="349">
        <v>560632.86</v>
      </c>
      <c r="I3" s="349">
        <v>785374.02</v>
      </c>
      <c r="J3" s="349">
        <v>1139819.22</v>
      </c>
      <c r="K3" s="349">
        <v>1526599.44</v>
      </c>
      <c r="L3" s="349">
        <v>1467472.8599999999</v>
      </c>
      <c r="M3" s="349">
        <v>1629756.72</v>
      </c>
      <c r="N3" s="349">
        <v>1706650.5599999998</v>
      </c>
      <c r="O3" s="349">
        <v>1705722.3122034112</v>
      </c>
      <c r="P3" s="349">
        <v>1510925.22</v>
      </c>
      <c r="Q3" s="349">
        <v>1059797.898305085</v>
      </c>
      <c r="R3" s="350">
        <f t="shared" ref="R3:W3" si="2">R6*18%</f>
        <v>1058634.8999999999</v>
      </c>
      <c r="S3" s="349">
        <f t="shared" si="2"/>
        <v>977908.32</v>
      </c>
      <c r="T3" s="349">
        <f t="shared" si="2"/>
        <v>931202.82</v>
      </c>
      <c r="U3" s="349">
        <f t="shared" si="2"/>
        <v>834277.86</v>
      </c>
      <c r="V3" s="349">
        <f t="shared" si="2"/>
        <v>800127.89084745722</v>
      </c>
      <c r="W3" s="349">
        <f t="shared" si="2"/>
        <v>706073.48847457557</v>
      </c>
      <c r="X3" s="349">
        <f>X6*18%</f>
        <v>683788.32</v>
      </c>
      <c r="Y3" s="349">
        <f>Y6*18%</f>
        <v>479345.57999999996</v>
      </c>
      <c r="Z3" s="349">
        <f>Z6*18%</f>
        <v>0</v>
      </c>
      <c r="AA3" s="349">
        <f>AA6*18%</f>
        <v>96000.753600000069</v>
      </c>
      <c r="AB3" s="350"/>
      <c r="AC3" s="349"/>
      <c r="AD3" s="349"/>
      <c r="AE3" s="349"/>
      <c r="AF3" s="349"/>
      <c r="AG3" s="349"/>
      <c r="AH3" s="349"/>
      <c r="AI3" s="349"/>
      <c r="AJ3" s="350"/>
      <c r="AK3" s="349"/>
      <c r="AL3" s="349"/>
      <c r="AM3" s="349"/>
      <c r="AN3" s="349"/>
      <c r="AO3" s="349"/>
      <c r="AP3" s="349"/>
      <c r="AQ3" s="349"/>
      <c r="AR3" s="349"/>
      <c r="AS3" s="349"/>
      <c r="AT3" s="349"/>
      <c r="AU3" s="349"/>
      <c r="AV3" s="349"/>
      <c r="AW3" s="349"/>
      <c r="AX3" s="349"/>
      <c r="AY3" s="349"/>
      <c r="AZ3" s="349"/>
      <c r="BA3" s="349"/>
      <c r="BB3" s="351"/>
      <c r="BC3" s="349"/>
      <c r="BD3" s="349"/>
      <c r="BE3" s="349"/>
      <c r="BF3" s="349"/>
      <c r="BG3" s="349"/>
      <c r="BH3" s="349"/>
      <c r="BI3" s="352"/>
      <c r="BJ3" s="353"/>
    </row>
    <row r="4" spans="1:62" ht="16" customHeight="1" x14ac:dyDescent="0.2">
      <c r="A4" s="354" t="s">
        <v>12</v>
      </c>
      <c r="B4" s="355">
        <f>B3/B2</f>
        <v>0.15254237288135591</v>
      </c>
      <c r="C4" s="356">
        <f t="shared" ref="C4:Y4" si="3">C3/C2</f>
        <v>0.15254237288135594</v>
      </c>
      <c r="D4" s="356">
        <f t="shared" si="3"/>
        <v>0.15254237288135594</v>
      </c>
      <c r="E4" s="356">
        <f t="shared" si="3"/>
        <v>0.15254237288135594</v>
      </c>
      <c r="F4" s="356">
        <f t="shared" si="3"/>
        <v>0.15254237288135594</v>
      </c>
      <c r="G4" s="356">
        <f t="shared" si="3"/>
        <v>0.15254237288135594</v>
      </c>
      <c r="H4" s="356">
        <f t="shared" si="3"/>
        <v>0.15254237288135594</v>
      </c>
      <c r="I4" s="356">
        <f t="shared" si="3"/>
        <v>0.15254237288135594</v>
      </c>
      <c r="J4" s="356">
        <f t="shared" si="3"/>
        <v>0.15254237288135594</v>
      </c>
      <c r="K4" s="356">
        <f t="shared" si="3"/>
        <v>0.15254237288135594</v>
      </c>
      <c r="L4" s="356">
        <f t="shared" si="3"/>
        <v>0.15254237288135591</v>
      </c>
      <c r="M4" s="356">
        <f t="shared" si="3"/>
        <v>0.15254237288135591</v>
      </c>
      <c r="N4" s="356">
        <f t="shared" si="3"/>
        <v>0.15254237288135591</v>
      </c>
      <c r="O4" s="356">
        <f t="shared" si="3"/>
        <v>0.15254237288135594</v>
      </c>
      <c r="P4" s="356">
        <f t="shared" si="3"/>
        <v>0.15254237288135591</v>
      </c>
      <c r="Q4" s="356">
        <f t="shared" si="3"/>
        <v>0.14193485505421061</v>
      </c>
      <c r="R4" s="357">
        <f t="shared" si="3"/>
        <v>0.15254237288135591</v>
      </c>
      <c r="S4" s="356">
        <f t="shared" si="3"/>
        <v>0.15254237288135591</v>
      </c>
      <c r="T4" s="356">
        <f t="shared" si="3"/>
        <v>0.15254237288135591</v>
      </c>
      <c r="U4" s="356">
        <f t="shared" si="3"/>
        <v>0.15254237288135591</v>
      </c>
      <c r="V4" s="356">
        <f t="shared" si="3"/>
        <v>0.15254237288135591</v>
      </c>
      <c r="W4" s="356">
        <f t="shared" si="3"/>
        <v>0.15254237288135591</v>
      </c>
      <c r="X4" s="356">
        <f t="shared" si="3"/>
        <v>0.15254237288135591</v>
      </c>
      <c r="Y4" s="356">
        <f t="shared" si="3"/>
        <v>0.15254237288135591</v>
      </c>
      <c r="Z4" s="356">
        <f>IFERROR(Z3/Z2,0)</f>
        <v>0</v>
      </c>
      <c r="AA4" s="356">
        <f>IFERROR(AA3/AA2,0)</f>
        <v>0.15254237288135594</v>
      </c>
      <c r="AB4" s="357"/>
      <c r="AC4" s="356"/>
      <c r="AD4" s="356"/>
      <c r="AE4" s="356"/>
      <c r="AF4" s="356"/>
      <c r="AG4" s="356"/>
      <c r="AH4" s="356"/>
      <c r="AI4" s="356"/>
      <c r="AJ4" s="357"/>
      <c r="AK4" s="356"/>
      <c r="AL4" s="356"/>
      <c r="AM4" s="356"/>
      <c r="AN4" s="356"/>
      <c r="AO4" s="356"/>
      <c r="AP4" s="356"/>
      <c r="AQ4" s="356"/>
      <c r="AR4" s="356"/>
      <c r="AS4" s="356"/>
      <c r="AT4" s="356"/>
      <c r="AU4" s="356"/>
      <c r="AV4" s="356"/>
      <c r="AW4" s="356"/>
      <c r="AX4" s="356"/>
      <c r="AY4" s="356"/>
      <c r="AZ4" s="356"/>
      <c r="BA4" s="356"/>
      <c r="BB4" s="358"/>
      <c r="BC4" s="356"/>
      <c r="BD4" s="356"/>
      <c r="BE4" s="356"/>
      <c r="BF4" s="356"/>
      <c r="BG4" s="356"/>
      <c r="BH4" s="356"/>
      <c r="BI4" s="359"/>
      <c r="BJ4" s="360"/>
    </row>
    <row r="5" spans="1:62" ht="16" customHeight="1" x14ac:dyDescent="0.2">
      <c r="A5" s="354"/>
      <c r="B5" s="355"/>
      <c r="C5" s="356"/>
      <c r="D5" s="356"/>
      <c r="E5" s="356"/>
      <c r="F5" s="356"/>
      <c r="G5" s="356"/>
      <c r="H5" s="356"/>
      <c r="I5" s="356"/>
      <c r="J5" s="356"/>
      <c r="K5" s="356"/>
      <c r="L5" s="356"/>
      <c r="M5" s="356"/>
      <c r="N5" s="356"/>
      <c r="O5" s="356"/>
      <c r="P5" s="356"/>
      <c r="Q5" s="356"/>
      <c r="R5" s="357"/>
      <c r="S5" s="356"/>
      <c r="T5" s="356"/>
      <c r="U5" s="356"/>
      <c r="V5" s="356"/>
      <c r="W5" s="356"/>
      <c r="X5" s="356"/>
      <c r="Y5" s="356"/>
      <c r="Z5" s="356"/>
      <c r="AA5" s="356"/>
      <c r="AB5" s="357"/>
      <c r="AC5" s="356"/>
      <c r="AD5" s="356"/>
      <c r="AE5" s="356"/>
      <c r="AF5" s="356"/>
      <c r="AG5" s="356"/>
      <c r="AH5" s="356"/>
      <c r="AI5" s="356"/>
      <c r="AJ5" s="357"/>
      <c r="AK5" s="356"/>
      <c r="AL5" s="356"/>
      <c r="AM5" s="356"/>
      <c r="AN5" s="356"/>
      <c r="AO5" s="356"/>
      <c r="AP5" s="356"/>
      <c r="AQ5" s="356"/>
      <c r="AR5" s="356"/>
      <c r="AS5" s="356"/>
      <c r="AT5" s="356"/>
      <c r="AU5" s="356"/>
      <c r="AV5" s="356"/>
      <c r="AW5" s="356"/>
      <c r="AX5" s="356"/>
      <c r="AY5" s="356"/>
      <c r="AZ5" s="356"/>
      <c r="BA5" s="356"/>
      <c r="BB5" s="358"/>
      <c r="BC5" s="356"/>
      <c r="BD5" s="356"/>
      <c r="BE5" s="356"/>
      <c r="BF5" s="356"/>
      <c r="BG5" s="356"/>
      <c r="BH5" s="356"/>
      <c r="BI5" s="359"/>
      <c r="BJ5" s="360"/>
    </row>
    <row r="6" spans="1:62" ht="16" customHeight="1" x14ac:dyDescent="0.2">
      <c r="A6" s="340" t="s">
        <v>170</v>
      </c>
      <c r="B6" s="361">
        <f>B2-B3</f>
        <v>951035</v>
      </c>
      <c r="C6" s="342">
        <f t="shared" ref="C6:P6" si="4">C2-C3</f>
        <v>1228929</v>
      </c>
      <c r="D6" s="342">
        <f t="shared" si="4"/>
        <v>1671200</v>
      </c>
      <c r="E6" s="342">
        <f t="shared" si="4"/>
        <v>1949784.9999999998</v>
      </c>
      <c r="F6" s="342">
        <f t="shared" si="4"/>
        <v>2080091</v>
      </c>
      <c r="G6" s="342">
        <f t="shared" si="4"/>
        <v>2652127</v>
      </c>
      <c r="H6" s="342">
        <f t="shared" si="4"/>
        <v>3114627</v>
      </c>
      <c r="I6" s="342">
        <f t="shared" si="4"/>
        <v>4363189</v>
      </c>
      <c r="J6" s="342">
        <f t="shared" si="4"/>
        <v>6332329</v>
      </c>
      <c r="K6" s="342">
        <f t="shared" si="4"/>
        <v>8481108</v>
      </c>
      <c r="L6" s="342">
        <f t="shared" si="4"/>
        <v>8152627</v>
      </c>
      <c r="M6" s="342">
        <f t="shared" si="4"/>
        <v>9054204</v>
      </c>
      <c r="N6" s="342">
        <f t="shared" si="4"/>
        <v>9481392</v>
      </c>
      <c r="O6" s="342">
        <f t="shared" si="4"/>
        <v>9476235.0677967295</v>
      </c>
      <c r="P6" s="342">
        <f t="shared" si="4"/>
        <v>8394029</v>
      </c>
      <c r="Q6" s="342">
        <f>5887766.10169492+519227</f>
        <v>6406993.1016949201</v>
      </c>
      <c r="R6" s="362">
        <f>5951592-123399+53112</f>
        <v>5881305</v>
      </c>
      <c r="S6" s="363">
        <f>5503486-92091+21429</f>
        <v>5432824</v>
      </c>
      <c r="T6" s="363">
        <f>5320032-163370+16687</f>
        <v>5173349</v>
      </c>
      <c r="U6" s="363">
        <f>4716931-100690+18636</f>
        <v>4634877</v>
      </c>
      <c r="V6" s="363">
        <f>4542966.94915254-97812</f>
        <v>4445154.9491525404</v>
      </c>
      <c r="W6" s="363">
        <f>3969469.49152542-46839</f>
        <v>3922630.49152542</v>
      </c>
      <c r="X6" s="363">
        <f>3866304-67480</f>
        <v>3798824</v>
      </c>
      <c r="Y6" s="363">
        <f>2701367-38336</f>
        <v>2663031</v>
      </c>
      <c r="Z6" s="363">
        <v>0</v>
      </c>
      <c r="AA6" s="363">
        <v>533337.52000000037</v>
      </c>
      <c r="AB6" s="362"/>
      <c r="AC6" s="363"/>
      <c r="AD6" s="363"/>
      <c r="AE6" s="363"/>
      <c r="AF6" s="363"/>
      <c r="AG6" s="363"/>
      <c r="AH6" s="363"/>
      <c r="AI6" s="363"/>
      <c r="AJ6" s="362"/>
      <c r="AK6" s="363"/>
      <c r="AL6" s="363"/>
      <c r="AM6" s="363"/>
      <c r="AN6" s="363"/>
      <c r="AO6" s="363"/>
      <c r="AP6" s="363"/>
      <c r="AQ6" s="363"/>
      <c r="AR6" s="363"/>
      <c r="AS6" s="363"/>
      <c r="AT6" s="363"/>
      <c r="AU6" s="363"/>
      <c r="AV6" s="363"/>
      <c r="AW6" s="363"/>
      <c r="AX6" s="363"/>
      <c r="AY6" s="363"/>
      <c r="AZ6" s="363"/>
      <c r="BA6" s="363"/>
      <c r="BB6" s="364"/>
      <c r="BC6" s="363"/>
      <c r="BD6" s="363"/>
      <c r="BE6" s="363"/>
      <c r="BF6" s="363"/>
      <c r="BG6" s="363"/>
      <c r="BH6" s="363"/>
      <c r="BI6" s="365"/>
      <c r="BJ6" s="366"/>
    </row>
    <row r="7" spans="1:62" ht="16" customHeight="1" x14ac:dyDescent="0.2">
      <c r="A7" s="367" t="s">
        <v>497</v>
      </c>
      <c r="B7" s="368">
        <v>396</v>
      </c>
      <c r="C7" s="369">
        <v>580</v>
      </c>
      <c r="D7" s="369">
        <v>800</v>
      </c>
      <c r="E7" s="369">
        <v>1200</v>
      </c>
      <c r="F7" s="369">
        <v>1400</v>
      </c>
      <c r="G7" s="369">
        <v>1700</v>
      </c>
      <c r="H7" s="369">
        <v>1981</v>
      </c>
      <c r="I7" s="369">
        <v>2586</v>
      </c>
      <c r="J7" s="369">
        <v>2916</v>
      </c>
      <c r="K7" s="369">
        <v>3957</v>
      </c>
      <c r="L7" s="369">
        <v>3761</v>
      </c>
      <c r="M7" s="369">
        <v>4178</v>
      </c>
      <c r="N7" s="369">
        <v>4090</v>
      </c>
      <c r="O7" s="369">
        <v>4095</v>
      </c>
      <c r="P7" s="369">
        <v>3486</v>
      </c>
      <c r="Q7" s="369">
        <f>2681-43</f>
        <v>2638</v>
      </c>
      <c r="R7" s="370">
        <f>2594-39+28</f>
        <v>2583</v>
      </c>
      <c r="S7" s="371">
        <f>2388-32+14</f>
        <v>2370</v>
      </c>
      <c r="T7" s="371">
        <f>2305-44+9</f>
        <v>2270</v>
      </c>
      <c r="U7" s="371">
        <f>2056-34+10</f>
        <v>2032</v>
      </c>
      <c r="V7" s="371">
        <f>2041-30</f>
        <v>2011</v>
      </c>
      <c r="W7" s="371">
        <f>1867-20</f>
        <v>1847</v>
      </c>
      <c r="X7" s="371">
        <f>1799-24</f>
        <v>1775</v>
      </c>
      <c r="Y7" s="371">
        <f>1283-13</f>
        <v>1270</v>
      </c>
      <c r="Z7" s="371">
        <v>0</v>
      </c>
      <c r="AA7" s="371">
        <v>237</v>
      </c>
      <c r="AB7" s="370"/>
      <c r="AC7" s="371"/>
      <c r="AD7" s="371"/>
      <c r="AE7" s="371"/>
      <c r="AF7" s="371"/>
      <c r="AG7" s="371"/>
      <c r="AH7" s="371"/>
      <c r="AI7" s="371"/>
      <c r="AJ7" s="370"/>
      <c r="AK7" s="371"/>
      <c r="AL7" s="371"/>
      <c r="AM7" s="371"/>
      <c r="AN7" s="371"/>
      <c r="AO7" s="371"/>
      <c r="AP7" s="371"/>
      <c r="AQ7" s="371"/>
      <c r="AR7" s="371"/>
      <c r="AS7" s="371"/>
      <c r="AT7" s="371"/>
      <c r="AU7" s="371"/>
      <c r="AV7" s="371"/>
      <c r="AW7" s="371"/>
      <c r="AX7" s="371"/>
      <c r="AY7" s="371"/>
      <c r="AZ7" s="371"/>
      <c r="BA7" s="371"/>
      <c r="BB7" s="372"/>
      <c r="BC7" s="371"/>
      <c r="BD7" s="371"/>
      <c r="BE7" s="371"/>
      <c r="BF7" s="371"/>
      <c r="BG7" s="371"/>
      <c r="BH7" s="371"/>
      <c r="BI7" s="373"/>
      <c r="BJ7" s="374"/>
    </row>
    <row r="8" spans="1:62" ht="16" customHeight="1" x14ac:dyDescent="0.2">
      <c r="A8" s="354" t="s">
        <v>14</v>
      </c>
      <c r="B8" s="375">
        <f t="shared" ref="B8:Y8" si="5">B6/B7</f>
        <v>2401.6035353535353</v>
      </c>
      <c r="C8" s="371">
        <f t="shared" si="5"/>
        <v>2118.843103448276</v>
      </c>
      <c r="D8" s="371">
        <f t="shared" si="5"/>
        <v>2089</v>
      </c>
      <c r="E8" s="371">
        <f t="shared" si="5"/>
        <v>1624.8208333333332</v>
      </c>
      <c r="F8" s="371">
        <f t="shared" si="5"/>
        <v>1485.7792857142856</v>
      </c>
      <c r="G8" s="371">
        <f t="shared" si="5"/>
        <v>1560.0747058823529</v>
      </c>
      <c r="H8" s="371">
        <f t="shared" si="5"/>
        <v>1572.2498738011107</v>
      </c>
      <c r="I8" s="371">
        <f t="shared" si="5"/>
        <v>1687.2347254447022</v>
      </c>
      <c r="J8" s="371">
        <f t="shared" si="5"/>
        <v>2171.5805898491085</v>
      </c>
      <c r="K8" s="371">
        <f t="shared" si="5"/>
        <v>2143.3176648976496</v>
      </c>
      <c r="L8" s="371">
        <f t="shared" si="5"/>
        <v>2167.6753522999202</v>
      </c>
      <c r="M8" s="371">
        <f t="shared" si="5"/>
        <v>2167.1144088080423</v>
      </c>
      <c r="N8" s="371">
        <f t="shared" si="5"/>
        <v>2318.1887530562349</v>
      </c>
      <c r="O8" s="371">
        <f t="shared" si="5"/>
        <v>2314.0989176548792</v>
      </c>
      <c r="P8" s="371">
        <f t="shared" si="5"/>
        <v>2407.9257028112452</v>
      </c>
      <c r="Q8" s="371">
        <f t="shared" si="5"/>
        <v>2428.7312743346929</v>
      </c>
      <c r="R8" s="370">
        <f t="shared" si="5"/>
        <v>2276.9279907084783</v>
      </c>
      <c r="S8" s="371">
        <f t="shared" si="5"/>
        <v>2292.3308016877636</v>
      </c>
      <c r="T8" s="371">
        <f t="shared" si="5"/>
        <v>2279.0083700440528</v>
      </c>
      <c r="U8" s="371">
        <f t="shared" si="5"/>
        <v>2280.9434055118109</v>
      </c>
      <c r="V8" s="371">
        <f t="shared" si="5"/>
        <v>2210.4201636760517</v>
      </c>
      <c r="W8" s="371">
        <f t="shared" si="5"/>
        <v>2123.7847815513915</v>
      </c>
      <c r="X8" s="371">
        <f t="shared" si="5"/>
        <v>2140.1825352112678</v>
      </c>
      <c r="Y8" s="371">
        <f t="shared" si="5"/>
        <v>2096.8748031496061</v>
      </c>
      <c r="Z8" s="371">
        <f>IFERROR(Z6/Z7,0)</f>
        <v>0</v>
      </c>
      <c r="AA8" s="371">
        <f>IFERROR(AA6/AA7,0)</f>
        <v>2250.3692827004234</v>
      </c>
      <c r="AB8" s="370"/>
      <c r="AC8" s="371"/>
      <c r="AD8" s="371"/>
      <c r="AE8" s="371"/>
      <c r="AF8" s="371"/>
      <c r="AG8" s="371"/>
      <c r="AH8" s="371"/>
      <c r="AI8" s="371"/>
      <c r="AJ8" s="370"/>
      <c r="AK8" s="371"/>
      <c r="AL8" s="371"/>
      <c r="AM8" s="371"/>
      <c r="AN8" s="371"/>
      <c r="AO8" s="371"/>
      <c r="AP8" s="371"/>
      <c r="AQ8" s="371"/>
      <c r="AR8" s="371"/>
      <c r="AS8" s="371"/>
      <c r="AT8" s="371"/>
      <c r="AU8" s="371"/>
      <c r="AV8" s="371"/>
      <c r="AW8" s="371"/>
      <c r="AX8" s="371"/>
      <c r="AY8" s="371"/>
      <c r="AZ8" s="371"/>
      <c r="BA8" s="371"/>
      <c r="BB8" s="372"/>
      <c r="BC8" s="371"/>
      <c r="BD8" s="371"/>
      <c r="BE8" s="371"/>
      <c r="BF8" s="371"/>
      <c r="BG8" s="371"/>
      <c r="BH8" s="371"/>
      <c r="BI8" s="373"/>
      <c r="BJ8" s="374"/>
    </row>
    <row r="9" spans="1:62" ht="8" customHeight="1" x14ac:dyDescent="0.2">
      <c r="A9" s="354"/>
      <c r="B9" s="375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  <c r="N9" s="371"/>
      <c r="O9" s="371"/>
      <c r="P9" s="371"/>
      <c r="Q9" s="371"/>
      <c r="R9" s="370"/>
      <c r="S9" s="371"/>
      <c r="T9" s="371"/>
      <c r="U9" s="371"/>
      <c r="V9" s="371"/>
      <c r="W9" s="371"/>
      <c r="X9" s="371"/>
      <c r="Y9" s="371"/>
      <c r="Z9" s="371"/>
      <c r="AA9" s="371"/>
      <c r="AB9" s="370"/>
      <c r="AC9" s="371"/>
      <c r="AD9" s="371"/>
      <c r="AE9" s="371"/>
      <c r="AF9" s="371"/>
      <c r="AG9" s="371"/>
      <c r="AH9" s="371"/>
      <c r="AI9" s="371"/>
      <c r="AJ9" s="370"/>
      <c r="AK9" s="371"/>
      <c r="AL9" s="371"/>
      <c r="AM9" s="371"/>
      <c r="AN9" s="371"/>
      <c r="AO9" s="371"/>
      <c r="AP9" s="371"/>
      <c r="AQ9" s="371"/>
      <c r="AR9" s="371"/>
      <c r="AS9" s="371"/>
      <c r="AT9" s="371"/>
      <c r="AU9" s="371"/>
      <c r="AV9" s="371"/>
      <c r="AW9" s="371"/>
      <c r="AX9" s="371"/>
      <c r="AY9" s="371"/>
      <c r="AZ9" s="371"/>
      <c r="BA9" s="371"/>
      <c r="BB9" s="372"/>
      <c r="BC9" s="371"/>
      <c r="BD9" s="371"/>
      <c r="BE9" s="371"/>
      <c r="BF9" s="371"/>
      <c r="BG9" s="371"/>
      <c r="BH9" s="371"/>
      <c r="BI9" s="373"/>
      <c r="BJ9" s="374"/>
    </row>
    <row r="10" spans="1:62" ht="16" customHeight="1" x14ac:dyDescent="0.2">
      <c r="A10" s="367" t="s">
        <v>15</v>
      </c>
      <c r="B10" s="355"/>
      <c r="C10" s="376"/>
      <c r="D10" s="376"/>
      <c r="E10" s="376"/>
      <c r="F10" s="376"/>
      <c r="G10" s="376"/>
      <c r="H10" s="376"/>
      <c r="I10" s="376"/>
      <c r="J10" s="376"/>
      <c r="K10" s="376"/>
      <c r="L10" s="376"/>
      <c r="M10" s="376"/>
      <c r="N10" s="376"/>
      <c r="O10" s="376"/>
      <c r="P10" s="376"/>
      <c r="Q10" s="376"/>
      <c r="R10" s="377"/>
      <c r="S10" s="378"/>
      <c r="T10" s="378"/>
      <c r="U10" s="378"/>
      <c r="V10" s="378"/>
      <c r="W10" s="378"/>
      <c r="X10" s="378"/>
      <c r="Y10" s="378"/>
      <c r="Z10" s="378"/>
      <c r="AA10" s="378"/>
      <c r="AB10" s="377"/>
      <c r="AC10" s="378"/>
      <c r="AD10" s="378"/>
      <c r="AE10" s="378"/>
      <c r="AF10" s="378"/>
      <c r="AG10" s="378"/>
      <c r="AH10" s="378"/>
      <c r="AI10" s="378"/>
      <c r="AJ10" s="377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9"/>
      <c r="BC10" s="378"/>
      <c r="BD10" s="378"/>
      <c r="BE10" s="378"/>
      <c r="BF10" s="378"/>
      <c r="BG10" s="378"/>
      <c r="BH10" s="378"/>
      <c r="BI10" s="380"/>
      <c r="BJ10" s="381"/>
    </row>
    <row r="11" spans="1:62" ht="16" customHeight="1" x14ac:dyDescent="0.2">
      <c r="A11" s="354" t="s">
        <v>16</v>
      </c>
      <c r="B11" s="355"/>
      <c r="C11" s="376">
        <f t="shared" ref="C11:P12" si="6">C6/B6-1</f>
        <v>0.29220165398749787</v>
      </c>
      <c r="D11" s="376">
        <f t="shared" si="6"/>
        <v>0.35988328048243634</v>
      </c>
      <c r="E11" s="376">
        <f t="shared" si="6"/>
        <v>0.16669758257539469</v>
      </c>
      <c r="F11" s="376">
        <f t="shared" si="6"/>
        <v>6.6830958285144293E-2</v>
      </c>
      <c r="G11" s="376">
        <f t="shared" si="6"/>
        <v>0.27500527621147342</v>
      </c>
      <c r="H11" s="376">
        <f t="shared" si="6"/>
        <v>0.1743883305739129</v>
      </c>
      <c r="I11" s="376">
        <f t="shared" si="6"/>
        <v>0.40087047341463355</v>
      </c>
      <c r="J11" s="376">
        <f t="shared" si="6"/>
        <v>0.45130751842287831</v>
      </c>
      <c r="K11" s="376">
        <f t="shared" si="6"/>
        <v>0.33933470607733751</v>
      </c>
      <c r="L11" s="376">
        <f t="shared" si="6"/>
        <v>-3.8730906386288178E-2</v>
      </c>
      <c r="M11" s="376">
        <f t="shared" si="6"/>
        <v>0.11058729903870246</v>
      </c>
      <c r="N11" s="376">
        <f t="shared" si="6"/>
        <v>4.718117683233114E-2</v>
      </c>
      <c r="O11" s="376">
        <f t="shared" si="6"/>
        <v>-5.4390032637297026E-4</v>
      </c>
      <c r="P11" s="376">
        <f t="shared" si="6"/>
        <v>-0.11420211297569127</v>
      </c>
      <c r="Q11" s="376">
        <f>Q6/P6-1</f>
        <v>-0.23672016123664574</v>
      </c>
      <c r="R11" s="382">
        <f t="shared" ref="R11:Z12" si="7">R6/Q6-1</f>
        <v>-8.2049113109838312E-2</v>
      </c>
      <c r="S11" s="383">
        <f t="shared" si="7"/>
        <v>-7.6255354891473948E-2</v>
      </c>
      <c r="T11" s="383">
        <f t="shared" si="7"/>
        <v>-4.7760612160452798E-2</v>
      </c>
      <c r="U11" s="383">
        <f t="shared" si="7"/>
        <v>-0.1040857672660398</v>
      </c>
      <c r="V11" s="383">
        <f t="shared" si="7"/>
        <v>-4.0933567567695839E-2</v>
      </c>
      <c r="W11" s="383">
        <f t="shared" si="7"/>
        <v>-0.11754921113081529</v>
      </c>
      <c r="X11" s="383">
        <f t="shared" si="7"/>
        <v>-3.1562109098192015E-2</v>
      </c>
      <c r="Y11" s="383">
        <f t="shared" si="7"/>
        <v>-0.298985422857179</v>
      </c>
      <c r="Z11" s="383">
        <f t="shared" si="7"/>
        <v>-1</v>
      </c>
      <c r="AA11" s="383">
        <f>IFERROR(AA6/Z6-1,0)</f>
        <v>0</v>
      </c>
      <c r="AB11" s="382"/>
      <c r="AC11" s="383"/>
      <c r="AD11" s="383"/>
      <c r="AE11" s="383"/>
      <c r="AF11" s="383"/>
      <c r="AG11" s="383"/>
      <c r="AH11" s="383"/>
      <c r="AI11" s="383"/>
      <c r="AJ11" s="382"/>
      <c r="AK11" s="383"/>
      <c r="AL11" s="383"/>
      <c r="AM11" s="383"/>
      <c r="AN11" s="383"/>
      <c r="AO11" s="383"/>
      <c r="AP11" s="383"/>
      <c r="AQ11" s="383"/>
      <c r="AR11" s="383"/>
      <c r="AS11" s="383"/>
      <c r="AT11" s="383"/>
      <c r="AU11" s="383"/>
      <c r="AV11" s="383"/>
      <c r="AW11" s="383"/>
      <c r="AX11" s="383"/>
      <c r="AY11" s="383"/>
      <c r="AZ11" s="383"/>
      <c r="BA11" s="383"/>
      <c r="BB11" s="384"/>
      <c r="BC11" s="383"/>
      <c r="BD11" s="383"/>
      <c r="BE11" s="383"/>
      <c r="BF11" s="383"/>
      <c r="BG11" s="383"/>
      <c r="BH11" s="383"/>
      <c r="BI11" s="385"/>
      <c r="BJ11" s="386"/>
    </row>
    <row r="12" spans="1:62" ht="16" customHeight="1" x14ac:dyDescent="0.2">
      <c r="A12" s="354" t="s">
        <v>498</v>
      </c>
      <c r="B12" s="355"/>
      <c r="C12" s="376">
        <f t="shared" si="6"/>
        <v>0.46464646464646475</v>
      </c>
      <c r="D12" s="376">
        <f t="shared" si="6"/>
        <v>0.3793103448275863</v>
      </c>
      <c r="E12" s="376">
        <f t="shared" si="6"/>
        <v>0.5</v>
      </c>
      <c r="F12" s="376">
        <f t="shared" si="6"/>
        <v>0.16666666666666674</v>
      </c>
      <c r="G12" s="376">
        <f t="shared" si="6"/>
        <v>0.21428571428571419</v>
      </c>
      <c r="H12" s="376">
        <f t="shared" si="6"/>
        <v>0.16529411764705881</v>
      </c>
      <c r="I12" s="376">
        <f t="shared" si="6"/>
        <v>0.30540131246845026</v>
      </c>
      <c r="J12" s="376">
        <f t="shared" si="6"/>
        <v>0.12761020881670526</v>
      </c>
      <c r="K12" s="376">
        <f t="shared" si="6"/>
        <v>0.35699588477366251</v>
      </c>
      <c r="L12" s="376">
        <f t="shared" si="6"/>
        <v>-4.9532474096537826E-2</v>
      </c>
      <c r="M12" s="376">
        <f t="shared" si="6"/>
        <v>0.11087476734910928</v>
      </c>
      <c r="N12" s="376">
        <f t="shared" si="6"/>
        <v>-2.1062709430349491E-2</v>
      </c>
      <c r="O12" s="376">
        <f t="shared" si="6"/>
        <v>1.2224938875304847E-3</v>
      </c>
      <c r="P12" s="376">
        <f t="shared" si="6"/>
        <v>-0.14871794871794874</v>
      </c>
      <c r="Q12" s="376">
        <f>Q7/P7-1</f>
        <v>-0.24325874928284563</v>
      </c>
      <c r="R12" s="382">
        <f t="shared" si="7"/>
        <v>-2.0849128127369165E-2</v>
      </c>
      <c r="S12" s="383">
        <f t="shared" si="7"/>
        <v>-8.24622531939605E-2</v>
      </c>
      <c r="T12" s="383">
        <f t="shared" si="7"/>
        <v>-4.2194092827004259E-2</v>
      </c>
      <c r="U12" s="383">
        <f t="shared" si="7"/>
        <v>-0.10484581497797352</v>
      </c>
      <c r="V12" s="383">
        <f t="shared" si="7"/>
        <v>-1.033464566929132E-2</v>
      </c>
      <c r="W12" s="383">
        <f t="shared" si="7"/>
        <v>-8.155146693187465E-2</v>
      </c>
      <c r="X12" s="383">
        <f t="shared" si="7"/>
        <v>-3.8982133188955048E-2</v>
      </c>
      <c r="Y12" s="383">
        <f t="shared" si="7"/>
        <v>-0.28450704225352108</v>
      </c>
      <c r="Z12" s="383">
        <f t="shared" si="7"/>
        <v>-1</v>
      </c>
      <c r="AA12" s="383">
        <f>IFERROR(AA7/Z7-1,0)</f>
        <v>0</v>
      </c>
      <c r="AB12" s="382"/>
      <c r="AC12" s="383"/>
      <c r="AD12" s="383"/>
      <c r="AE12" s="383"/>
      <c r="AF12" s="383"/>
      <c r="AG12" s="383"/>
      <c r="AH12" s="383"/>
      <c r="AI12" s="383"/>
      <c r="AJ12" s="382"/>
      <c r="AK12" s="383"/>
      <c r="AL12" s="383"/>
      <c r="AM12" s="383"/>
      <c r="AN12" s="383"/>
      <c r="AO12" s="383"/>
      <c r="AP12" s="383"/>
      <c r="AQ12" s="383"/>
      <c r="AR12" s="383"/>
      <c r="AS12" s="383"/>
      <c r="AT12" s="383"/>
      <c r="AU12" s="383"/>
      <c r="AV12" s="383"/>
      <c r="AW12" s="383"/>
      <c r="AX12" s="383"/>
      <c r="AY12" s="383"/>
      <c r="AZ12" s="383"/>
      <c r="BA12" s="383"/>
      <c r="BB12" s="384"/>
      <c r="BC12" s="383"/>
      <c r="BD12" s="383"/>
      <c r="BE12" s="383"/>
      <c r="BF12" s="383"/>
      <c r="BG12" s="383"/>
      <c r="BH12" s="383"/>
      <c r="BI12" s="385"/>
      <c r="BJ12" s="386"/>
    </row>
    <row r="13" spans="1:62" ht="16" customHeight="1" x14ac:dyDescent="0.2">
      <c r="A13" s="354"/>
      <c r="B13" s="375"/>
      <c r="C13" s="371"/>
      <c r="D13" s="371"/>
      <c r="E13" s="371"/>
      <c r="F13" s="371"/>
      <c r="G13" s="371"/>
      <c r="H13" s="371"/>
      <c r="I13" s="371"/>
      <c r="J13" s="371"/>
      <c r="K13" s="371"/>
      <c r="L13" s="371"/>
      <c r="M13" s="371"/>
      <c r="N13" s="371"/>
      <c r="O13" s="371"/>
      <c r="P13" s="371"/>
      <c r="Q13" s="371"/>
      <c r="R13" s="370"/>
      <c r="S13" s="387"/>
      <c r="T13" s="387"/>
      <c r="U13" s="387"/>
      <c r="V13" s="387"/>
      <c r="W13" s="387"/>
      <c r="X13" s="387"/>
      <c r="Y13" s="387"/>
      <c r="Z13" s="387"/>
      <c r="AA13" s="387"/>
      <c r="AB13" s="388"/>
      <c r="AC13" s="387"/>
      <c r="AD13" s="387"/>
      <c r="AE13" s="387"/>
      <c r="AF13" s="387"/>
      <c r="AG13" s="387"/>
      <c r="AH13" s="387"/>
      <c r="AI13" s="387"/>
      <c r="AJ13" s="388"/>
      <c r="AK13" s="387"/>
      <c r="AL13" s="387"/>
      <c r="AM13" s="387"/>
      <c r="AN13" s="387"/>
      <c r="AO13" s="387"/>
      <c r="AP13" s="387"/>
      <c r="AQ13" s="387"/>
      <c r="AR13" s="387"/>
      <c r="AS13" s="387"/>
      <c r="AT13" s="387"/>
      <c r="AU13" s="387"/>
      <c r="AV13" s="387"/>
      <c r="AW13" s="387"/>
      <c r="AX13" s="387"/>
      <c r="AY13" s="387"/>
      <c r="AZ13" s="387"/>
      <c r="BA13" s="387"/>
      <c r="BB13" s="389"/>
      <c r="BC13" s="387"/>
      <c r="BD13" s="387"/>
      <c r="BE13" s="387"/>
      <c r="BF13" s="387"/>
      <c r="BG13" s="387"/>
      <c r="BH13" s="387"/>
      <c r="BI13" s="390"/>
      <c r="BJ13" s="391"/>
    </row>
    <row r="14" spans="1:62" ht="16" customHeight="1" x14ac:dyDescent="0.2">
      <c r="A14" s="340" t="s">
        <v>18</v>
      </c>
      <c r="B14" s="361">
        <f t="shared" ref="B14:AA14" si="8">SUM(B15:B16)</f>
        <v>552980</v>
      </c>
      <c r="C14" s="342">
        <f t="shared" si="8"/>
        <v>789800</v>
      </c>
      <c r="D14" s="342">
        <f t="shared" si="8"/>
        <v>1029182.7142857143</v>
      </c>
      <c r="E14" s="342">
        <f t="shared" si="8"/>
        <v>1134297.857142857</v>
      </c>
      <c r="F14" s="342">
        <f t="shared" si="8"/>
        <v>1396822</v>
      </c>
      <c r="G14" s="342">
        <f t="shared" si="8"/>
        <v>5144783.4285714282</v>
      </c>
      <c r="H14" s="342">
        <f t="shared" si="8"/>
        <v>4402332.4285714282</v>
      </c>
      <c r="I14" s="342">
        <f t="shared" si="8"/>
        <v>3283598.8571428573</v>
      </c>
      <c r="J14" s="342">
        <f t="shared" si="8"/>
        <v>3806318.8571428573</v>
      </c>
      <c r="K14" s="342">
        <f t="shared" si="8"/>
        <v>6138978.1428571427</v>
      </c>
      <c r="L14" s="342">
        <f t="shared" si="8"/>
        <v>6184341.4285714282</v>
      </c>
      <c r="M14" s="342">
        <f t="shared" si="8"/>
        <v>6882824.8571428573</v>
      </c>
      <c r="N14" s="342">
        <f t="shared" si="8"/>
        <v>6556055.2857142854</v>
      </c>
      <c r="O14" s="342">
        <f t="shared" si="8"/>
        <v>5626007.1428571427</v>
      </c>
      <c r="P14" s="342">
        <f t="shared" si="8"/>
        <v>5518757</v>
      </c>
      <c r="Q14" s="342">
        <f t="shared" si="8"/>
        <v>4452071</v>
      </c>
      <c r="R14" s="362">
        <f t="shared" si="8"/>
        <v>3284529</v>
      </c>
      <c r="S14" s="363">
        <f t="shared" si="8"/>
        <v>3208601</v>
      </c>
      <c r="T14" s="363">
        <f t="shared" si="8"/>
        <v>3291388</v>
      </c>
      <c r="U14" s="363">
        <f t="shared" si="8"/>
        <v>2673789</v>
      </c>
      <c r="V14" s="363">
        <f t="shared" si="8"/>
        <v>2535859</v>
      </c>
      <c r="W14" s="363">
        <f t="shared" si="8"/>
        <v>2170325</v>
      </c>
      <c r="X14" s="363">
        <f t="shared" si="8"/>
        <v>2141701</v>
      </c>
      <c r="Y14" s="363">
        <f t="shared" si="8"/>
        <v>1554542.9352112676</v>
      </c>
      <c r="Z14" s="363">
        <f t="shared" si="8"/>
        <v>26600</v>
      </c>
      <c r="AA14" s="363">
        <f t="shared" si="8"/>
        <v>264753.43436619715</v>
      </c>
      <c r="AB14" s="362"/>
      <c r="AC14" s="363"/>
      <c r="AD14" s="363"/>
      <c r="AE14" s="363"/>
      <c r="AF14" s="363"/>
      <c r="AG14" s="363"/>
      <c r="AH14" s="363"/>
      <c r="AI14" s="363"/>
      <c r="AJ14" s="362"/>
      <c r="AK14" s="363"/>
      <c r="AL14" s="363"/>
      <c r="AM14" s="363"/>
      <c r="AN14" s="363"/>
      <c r="AO14" s="363"/>
      <c r="AP14" s="363"/>
      <c r="AQ14" s="363"/>
      <c r="AR14" s="363"/>
      <c r="AS14" s="363"/>
      <c r="AT14" s="363"/>
      <c r="AU14" s="363"/>
      <c r="AV14" s="363"/>
      <c r="AW14" s="363"/>
      <c r="AX14" s="363"/>
      <c r="AY14" s="363"/>
      <c r="AZ14" s="363"/>
      <c r="BA14" s="363"/>
      <c r="BB14" s="364"/>
      <c r="BC14" s="363"/>
      <c r="BD14" s="363"/>
      <c r="BE14" s="363"/>
      <c r="BF14" s="363"/>
      <c r="BG14" s="363"/>
      <c r="BH14" s="363"/>
      <c r="BI14" s="365"/>
      <c r="BJ14" s="366"/>
    </row>
    <row r="15" spans="1:62" ht="16" customHeight="1" x14ac:dyDescent="0.2">
      <c r="A15" s="347" t="s">
        <v>142</v>
      </c>
      <c r="B15" s="392">
        <v>530000</v>
      </c>
      <c r="C15" s="393">
        <v>723749</v>
      </c>
      <c r="D15" s="393">
        <v>948734</v>
      </c>
      <c r="E15" s="393">
        <v>1020681</v>
      </c>
      <c r="F15" s="393">
        <v>1262772</v>
      </c>
      <c r="G15" s="393">
        <v>5000000</v>
      </c>
      <c r="H15" s="393">
        <v>4223100</v>
      </c>
      <c r="I15" s="393">
        <v>3076578</v>
      </c>
      <c r="J15" s="393">
        <v>3532966</v>
      </c>
      <c r="K15" s="393">
        <v>5720496</v>
      </c>
      <c r="L15" s="393">
        <v>5742744</v>
      </c>
      <c r="M15" s="393">
        <v>6448881</v>
      </c>
      <c r="N15" s="393">
        <v>6099409</v>
      </c>
      <c r="O15" s="393">
        <v>5219700</v>
      </c>
      <c r="P15" s="394">
        <v>5063470</v>
      </c>
      <c r="Q15" s="393">
        <v>4086961</v>
      </c>
      <c r="R15" s="350">
        <v>3109581</v>
      </c>
      <c r="S15" s="349">
        <v>2982023</v>
      </c>
      <c r="T15" s="349">
        <v>3092840</v>
      </c>
      <c r="U15" s="349">
        <v>2536011</v>
      </c>
      <c r="V15" s="349">
        <f>2309822+88750</f>
        <v>2398572</v>
      </c>
      <c r="W15" s="349">
        <f>1931454+88750</f>
        <v>2020204</v>
      </c>
      <c r="X15" s="349">
        <v>1982858</v>
      </c>
      <c r="Y15" s="395">
        <v>1418720.9352112676</v>
      </c>
      <c r="Z15" s="395">
        <v>0</v>
      </c>
      <c r="AA15" s="395">
        <v>264753.43436619715</v>
      </c>
      <c r="AB15" s="396"/>
      <c r="AC15" s="395"/>
      <c r="AD15" s="395"/>
      <c r="AE15" s="395"/>
      <c r="AF15" s="395"/>
      <c r="AG15" s="395"/>
      <c r="AH15" s="395"/>
      <c r="AI15" s="395"/>
      <c r="AJ15" s="396"/>
      <c r="AK15" s="395"/>
      <c r="AL15" s="395"/>
      <c r="AM15" s="395"/>
      <c r="AN15" s="395"/>
      <c r="AO15" s="395"/>
      <c r="AP15" s="395"/>
      <c r="AQ15" s="395"/>
      <c r="AR15" s="395"/>
      <c r="AS15" s="395"/>
      <c r="AT15" s="395"/>
      <c r="AU15" s="395"/>
      <c r="AV15" s="395"/>
      <c r="AW15" s="395"/>
      <c r="AX15" s="395"/>
      <c r="AY15" s="395"/>
      <c r="AZ15" s="395"/>
      <c r="BA15" s="395"/>
      <c r="BB15" s="397"/>
      <c r="BC15" s="395"/>
      <c r="BD15" s="395"/>
      <c r="BE15" s="395"/>
      <c r="BF15" s="395"/>
      <c r="BG15" s="395"/>
      <c r="BH15" s="395"/>
      <c r="BI15" s="398"/>
      <c r="BJ15" s="399"/>
    </row>
    <row r="16" spans="1:62" ht="16" customHeight="1" x14ac:dyDescent="0.2">
      <c r="A16" s="347" t="s">
        <v>499</v>
      </c>
      <c r="B16" s="392">
        <v>22980</v>
      </c>
      <c r="C16" s="393">
        <v>66051</v>
      </c>
      <c r="D16" s="393">
        <v>80448.71428571429</v>
      </c>
      <c r="E16" s="393">
        <v>113616.85714285714</v>
      </c>
      <c r="F16" s="393">
        <v>134050</v>
      </c>
      <c r="G16" s="393">
        <v>144783.42857142858</v>
      </c>
      <c r="H16" s="393">
        <v>179232.42857142858</v>
      </c>
      <c r="I16" s="393">
        <v>207020.85714285716</v>
      </c>
      <c r="J16" s="393">
        <v>273352.85714285716</v>
      </c>
      <c r="K16" s="393">
        <v>418482.1428571429</v>
      </c>
      <c r="L16" s="393">
        <v>441597.42857142858</v>
      </c>
      <c r="M16" s="393">
        <v>433943.8571428571</v>
      </c>
      <c r="N16" s="393">
        <v>456646.2857142858</v>
      </c>
      <c r="O16" s="393">
        <v>406307.1428571429</v>
      </c>
      <c r="P16" s="394">
        <v>455287</v>
      </c>
      <c r="Q16" s="393">
        <v>365110</v>
      </c>
      <c r="R16" s="350">
        <v>174948</v>
      </c>
      <c r="S16" s="349">
        <v>226578</v>
      </c>
      <c r="T16" s="349">
        <v>198548</v>
      </c>
      <c r="U16" s="349">
        <f>50353+87425</f>
        <v>137778</v>
      </c>
      <c r="V16" s="349">
        <f>50453+86834</f>
        <v>137287</v>
      </c>
      <c r="W16" s="349">
        <f>50353+99768</f>
        <v>150121</v>
      </c>
      <c r="X16" s="349">
        <f>65580+93263</f>
        <v>158843</v>
      </c>
      <c r="Y16" s="349">
        <v>135822</v>
      </c>
      <c r="Z16" s="349">
        <v>26600</v>
      </c>
      <c r="AA16" s="349">
        <v>0</v>
      </c>
      <c r="AB16" s="350"/>
      <c r="AC16" s="349"/>
      <c r="AD16" s="349"/>
      <c r="AE16" s="349"/>
      <c r="AF16" s="349"/>
      <c r="AG16" s="349"/>
      <c r="AH16" s="349"/>
      <c r="AI16" s="349"/>
      <c r="AJ16" s="350"/>
      <c r="AK16" s="349"/>
      <c r="AL16" s="349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  <c r="AW16" s="349"/>
      <c r="AX16" s="349"/>
      <c r="AY16" s="349"/>
      <c r="AZ16" s="349"/>
      <c r="BA16" s="349"/>
      <c r="BB16" s="351"/>
      <c r="BC16" s="349"/>
      <c r="BD16" s="349"/>
      <c r="BE16" s="349"/>
      <c r="BF16" s="349"/>
      <c r="BG16" s="349"/>
      <c r="BH16" s="349"/>
      <c r="BI16" s="352"/>
      <c r="BJ16" s="353"/>
    </row>
    <row r="17" spans="1:62" ht="16" customHeight="1" x14ac:dyDescent="0.2">
      <c r="A17" s="354" t="s">
        <v>27</v>
      </c>
      <c r="B17" s="355">
        <f t="shared" ref="B17:Y17" si="9">B14/B6</f>
        <v>0.5814507352515943</v>
      </c>
      <c r="C17" s="356">
        <f t="shared" si="9"/>
        <v>0.64267341726006955</v>
      </c>
      <c r="D17" s="356">
        <f t="shared" si="9"/>
        <v>0.61583455857211244</v>
      </c>
      <c r="E17" s="356">
        <f t="shared" si="9"/>
        <v>0.5817553510478628</v>
      </c>
      <c r="F17" s="356">
        <f t="shared" si="9"/>
        <v>0.67151965947643633</v>
      </c>
      <c r="G17" s="356">
        <f t="shared" si="9"/>
        <v>1.9398706881576291</v>
      </c>
      <c r="H17" s="356">
        <f t="shared" si="9"/>
        <v>1.4134380869912924</v>
      </c>
      <c r="I17" s="356">
        <f t="shared" si="9"/>
        <v>0.75256855871768502</v>
      </c>
      <c r="J17" s="356">
        <f t="shared" si="9"/>
        <v>0.60109303498647293</v>
      </c>
      <c r="K17" s="356">
        <f t="shared" si="9"/>
        <v>0.7238415243453028</v>
      </c>
      <c r="L17" s="356">
        <f t="shared" si="9"/>
        <v>0.75857038824067724</v>
      </c>
      <c r="M17" s="356">
        <f t="shared" si="9"/>
        <v>0.76018000667345875</v>
      </c>
      <c r="N17" s="356">
        <f t="shared" si="9"/>
        <v>0.69146548162066135</v>
      </c>
      <c r="O17" s="356">
        <f t="shared" si="9"/>
        <v>0.5936964525052898</v>
      </c>
      <c r="P17" s="356">
        <f t="shared" si="9"/>
        <v>0.65746222701875345</v>
      </c>
      <c r="Q17" s="356">
        <f t="shared" si="9"/>
        <v>0.69487682120685279</v>
      </c>
      <c r="R17" s="357">
        <f t="shared" si="9"/>
        <v>0.55846942132740951</v>
      </c>
      <c r="S17" s="356">
        <f t="shared" si="9"/>
        <v>0.59059542514169427</v>
      </c>
      <c r="T17" s="356">
        <f t="shared" si="9"/>
        <v>0.63621998051938888</v>
      </c>
      <c r="U17" s="356">
        <f t="shared" si="9"/>
        <v>0.57688456457420556</v>
      </c>
      <c r="V17" s="356">
        <f t="shared" si="9"/>
        <v>0.57047707650403867</v>
      </c>
      <c r="W17" s="400">
        <f t="shared" si="9"/>
        <v>0.55328305959198598</v>
      </c>
      <c r="X17" s="400">
        <f t="shared" si="9"/>
        <v>0.56378000138990381</v>
      </c>
      <c r="Y17" s="400">
        <f t="shared" si="9"/>
        <v>0.58374947013807488</v>
      </c>
      <c r="Z17" s="400">
        <f>IFERROR(Z14/Z6,0)</f>
        <v>0</v>
      </c>
      <c r="AA17" s="400">
        <f>IFERROR(AA14/AA6,0)</f>
        <v>0.49640879262759718</v>
      </c>
      <c r="AB17" s="401"/>
      <c r="AC17" s="400"/>
      <c r="AD17" s="400"/>
      <c r="AE17" s="402"/>
      <c r="AF17" s="402"/>
      <c r="AG17" s="400"/>
      <c r="AH17" s="400"/>
      <c r="AI17" s="400"/>
      <c r="AJ17" s="401"/>
      <c r="AK17" s="400"/>
      <c r="AL17" s="400"/>
      <c r="AM17" s="400"/>
      <c r="AN17" s="400"/>
      <c r="AO17" s="400"/>
      <c r="AP17" s="400"/>
      <c r="AQ17" s="400"/>
      <c r="AR17" s="400"/>
      <c r="AS17" s="400"/>
      <c r="AT17" s="400"/>
      <c r="AU17" s="400"/>
      <c r="AV17" s="400"/>
      <c r="AW17" s="400"/>
      <c r="AX17" s="400"/>
      <c r="AY17" s="400"/>
      <c r="AZ17" s="400"/>
      <c r="BA17" s="400"/>
      <c r="BB17" s="403"/>
      <c r="BC17" s="400"/>
      <c r="BD17" s="400"/>
      <c r="BE17" s="400"/>
      <c r="BF17" s="400"/>
      <c r="BG17" s="400"/>
      <c r="BH17" s="400"/>
      <c r="BI17" s="404"/>
      <c r="BJ17" s="405"/>
    </row>
    <row r="18" spans="1:62" ht="16" customHeight="1" x14ac:dyDescent="0.2">
      <c r="A18" s="354"/>
      <c r="B18" s="355"/>
      <c r="C18" s="356"/>
      <c r="D18" s="356"/>
      <c r="E18" s="356"/>
      <c r="F18" s="356"/>
      <c r="G18" s="356"/>
      <c r="H18" s="356"/>
      <c r="I18" s="356"/>
      <c r="J18" s="356"/>
      <c r="K18" s="356"/>
      <c r="L18" s="356"/>
      <c r="M18" s="356"/>
      <c r="N18" s="356"/>
      <c r="O18" s="356"/>
      <c r="P18" s="356"/>
      <c r="Q18" s="356"/>
      <c r="R18" s="401"/>
      <c r="S18" s="400"/>
      <c r="T18" s="400"/>
      <c r="U18" s="400"/>
      <c r="V18" s="400"/>
      <c r="W18" s="400"/>
      <c r="X18" s="400"/>
      <c r="Y18" s="400"/>
      <c r="Z18" s="400"/>
      <c r="AA18" s="400"/>
      <c r="AB18" s="401"/>
      <c r="AC18" s="400"/>
      <c r="AD18" s="400"/>
      <c r="AE18" s="400"/>
      <c r="AF18" s="400"/>
      <c r="AG18" s="400"/>
      <c r="AH18" s="400"/>
      <c r="AI18" s="400"/>
      <c r="AJ18" s="401"/>
      <c r="AK18" s="400"/>
      <c r="AL18" s="400"/>
      <c r="AM18" s="400"/>
      <c r="AN18" s="400"/>
      <c r="AO18" s="400"/>
      <c r="AP18" s="400"/>
      <c r="AQ18" s="400"/>
      <c r="AR18" s="400"/>
      <c r="AS18" s="400"/>
      <c r="AT18" s="400"/>
      <c r="AU18" s="400"/>
      <c r="AV18" s="400"/>
      <c r="AW18" s="400"/>
      <c r="AX18" s="400"/>
      <c r="AY18" s="400"/>
      <c r="AZ18" s="400"/>
      <c r="BA18" s="400"/>
      <c r="BB18" s="403"/>
      <c r="BC18" s="400"/>
      <c r="BD18" s="400"/>
      <c r="BE18" s="400"/>
      <c r="BF18" s="400"/>
      <c r="BG18" s="400"/>
      <c r="BH18" s="400"/>
      <c r="BI18" s="404"/>
      <c r="BJ18" s="405"/>
    </row>
    <row r="19" spans="1:62" ht="16" customHeight="1" x14ac:dyDescent="0.2">
      <c r="A19" s="340" t="s">
        <v>500</v>
      </c>
      <c r="B19" s="361">
        <f t="shared" ref="B19:AA19" si="10">B6-B14</f>
        <v>398055</v>
      </c>
      <c r="C19" s="342">
        <f t="shared" si="10"/>
        <v>439129</v>
      </c>
      <c r="D19" s="342">
        <f t="shared" si="10"/>
        <v>642017.28571428568</v>
      </c>
      <c r="E19" s="342">
        <f t="shared" si="10"/>
        <v>815487.14285714272</v>
      </c>
      <c r="F19" s="342">
        <f t="shared" si="10"/>
        <v>683269</v>
      </c>
      <c r="G19" s="342">
        <f t="shared" si="10"/>
        <v>-2492656.4285714282</v>
      </c>
      <c r="H19" s="342">
        <f t="shared" si="10"/>
        <v>-1287705.4285714282</v>
      </c>
      <c r="I19" s="342">
        <f t="shared" si="10"/>
        <v>1079590.1428571427</v>
      </c>
      <c r="J19" s="342">
        <f t="shared" si="10"/>
        <v>2526010.1428571427</v>
      </c>
      <c r="K19" s="342">
        <f t="shared" si="10"/>
        <v>2342129.8571428573</v>
      </c>
      <c r="L19" s="342">
        <f t="shared" si="10"/>
        <v>1968285.5714285718</v>
      </c>
      <c r="M19" s="342">
        <f t="shared" si="10"/>
        <v>2171379.1428571427</v>
      </c>
      <c r="N19" s="342">
        <f t="shared" si="10"/>
        <v>2925336.7142857146</v>
      </c>
      <c r="O19" s="342">
        <f t="shared" si="10"/>
        <v>3850227.9249395868</v>
      </c>
      <c r="P19" s="342">
        <f t="shared" si="10"/>
        <v>2875272</v>
      </c>
      <c r="Q19" s="342">
        <f t="shared" si="10"/>
        <v>1954922.1016949201</v>
      </c>
      <c r="R19" s="362">
        <f t="shared" si="10"/>
        <v>2596776</v>
      </c>
      <c r="S19" s="363">
        <f t="shared" si="10"/>
        <v>2224223</v>
      </c>
      <c r="T19" s="363">
        <f t="shared" si="10"/>
        <v>1881961</v>
      </c>
      <c r="U19" s="363">
        <f t="shared" si="10"/>
        <v>1961088</v>
      </c>
      <c r="V19" s="363">
        <f t="shared" si="10"/>
        <v>1909295.9491525404</v>
      </c>
      <c r="W19" s="363">
        <f t="shared" si="10"/>
        <v>1752305.49152542</v>
      </c>
      <c r="X19" s="363">
        <f t="shared" si="10"/>
        <v>1657123</v>
      </c>
      <c r="Y19" s="363">
        <f t="shared" si="10"/>
        <v>1108488.0647887324</v>
      </c>
      <c r="Z19" s="363">
        <f t="shared" si="10"/>
        <v>-26600</v>
      </c>
      <c r="AA19" s="363">
        <f t="shared" si="10"/>
        <v>268584.08563380322</v>
      </c>
      <c r="AB19" s="362"/>
      <c r="AC19" s="363"/>
      <c r="AD19" s="363"/>
      <c r="AE19" s="363"/>
      <c r="AF19" s="363"/>
      <c r="AG19" s="363"/>
      <c r="AH19" s="363"/>
      <c r="AI19" s="363"/>
      <c r="AJ19" s="362"/>
      <c r="AK19" s="363"/>
      <c r="AL19" s="363"/>
      <c r="AM19" s="363"/>
      <c r="AN19" s="363"/>
      <c r="AO19" s="363"/>
      <c r="AP19" s="363"/>
      <c r="AQ19" s="363"/>
      <c r="AR19" s="363"/>
      <c r="AS19" s="363"/>
      <c r="AT19" s="363"/>
      <c r="AU19" s="363"/>
      <c r="AV19" s="363"/>
      <c r="AW19" s="363"/>
      <c r="AX19" s="363"/>
      <c r="AY19" s="363"/>
      <c r="AZ19" s="363"/>
      <c r="BA19" s="363"/>
      <c r="BB19" s="364"/>
      <c r="BC19" s="363"/>
      <c r="BD19" s="363"/>
      <c r="BE19" s="363"/>
      <c r="BF19" s="363"/>
      <c r="BG19" s="363"/>
      <c r="BH19" s="363"/>
      <c r="BI19" s="365"/>
      <c r="BJ19" s="366"/>
    </row>
    <row r="20" spans="1:62" ht="16" customHeight="1" x14ac:dyDescent="0.2">
      <c r="A20" s="367" t="s">
        <v>501</v>
      </c>
      <c r="B20" s="355">
        <f t="shared" ref="B20:Y20" si="11">B19/B6</f>
        <v>0.4185492647484057</v>
      </c>
      <c r="C20" s="356">
        <f t="shared" si="11"/>
        <v>0.35732658273993045</v>
      </c>
      <c r="D20" s="356">
        <f t="shared" si="11"/>
        <v>0.38416544142788756</v>
      </c>
      <c r="E20" s="356">
        <f t="shared" si="11"/>
        <v>0.4182446489521372</v>
      </c>
      <c r="F20" s="356">
        <f t="shared" si="11"/>
        <v>0.32848034052356362</v>
      </c>
      <c r="G20" s="356">
        <f t="shared" si="11"/>
        <v>-0.93987068815762898</v>
      </c>
      <c r="H20" s="356">
        <f t="shared" si="11"/>
        <v>-0.41343808699129242</v>
      </c>
      <c r="I20" s="356">
        <f t="shared" si="11"/>
        <v>0.24743144128231501</v>
      </c>
      <c r="J20" s="356">
        <f t="shared" si="11"/>
        <v>0.39890696501352707</v>
      </c>
      <c r="K20" s="356">
        <f t="shared" si="11"/>
        <v>0.27615847565469714</v>
      </c>
      <c r="L20" s="356">
        <f t="shared" si="11"/>
        <v>0.2414296117593227</v>
      </c>
      <c r="M20" s="356">
        <f t="shared" si="11"/>
        <v>0.23981999332654122</v>
      </c>
      <c r="N20" s="356">
        <f t="shared" si="11"/>
        <v>0.30853451837933865</v>
      </c>
      <c r="O20" s="356">
        <f t="shared" si="11"/>
        <v>0.4063035474947102</v>
      </c>
      <c r="P20" s="356">
        <f t="shared" si="11"/>
        <v>0.34253777298124655</v>
      </c>
      <c r="Q20" s="356">
        <f t="shared" si="11"/>
        <v>0.30512317879314726</v>
      </c>
      <c r="R20" s="357">
        <f t="shared" si="11"/>
        <v>0.44153057867259055</v>
      </c>
      <c r="S20" s="356">
        <f t="shared" si="11"/>
        <v>0.40940457485830573</v>
      </c>
      <c r="T20" s="356">
        <f t="shared" si="11"/>
        <v>0.36378001948061112</v>
      </c>
      <c r="U20" s="356">
        <f t="shared" si="11"/>
        <v>0.42311543542579449</v>
      </c>
      <c r="V20" s="356">
        <f t="shared" si="11"/>
        <v>0.42952292349596133</v>
      </c>
      <c r="W20" s="356">
        <f t="shared" si="11"/>
        <v>0.44671694040801407</v>
      </c>
      <c r="X20" s="356">
        <f t="shared" si="11"/>
        <v>0.43621999861009619</v>
      </c>
      <c r="Y20" s="356">
        <f t="shared" si="11"/>
        <v>0.41625052986192518</v>
      </c>
      <c r="Z20" s="356">
        <f>IFERROR(Z19/Z6,0)</f>
        <v>0</v>
      </c>
      <c r="AA20" s="356">
        <f>IFERROR(AA19/AA6,0)</f>
        <v>0.50359120737240282</v>
      </c>
      <c r="AB20" s="357"/>
      <c r="AC20" s="356"/>
      <c r="AD20" s="356"/>
      <c r="AE20" s="356"/>
      <c r="AF20" s="356"/>
      <c r="AG20" s="356"/>
      <c r="AH20" s="356"/>
      <c r="AI20" s="356"/>
      <c r="AJ20" s="357"/>
      <c r="AK20" s="356"/>
      <c r="AL20" s="356"/>
      <c r="AM20" s="356"/>
      <c r="AN20" s="356"/>
      <c r="AO20" s="356"/>
      <c r="AP20" s="356"/>
      <c r="AQ20" s="356"/>
      <c r="AR20" s="356"/>
      <c r="AS20" s="356"/>
      <c r="AT20" s="356"/>
      <c r="AU20" s="356"/>
      <c r="AV20" s="356"/>
      <c r="AW20" s="356"/>
      <c r="AX20" s="356"/>
      <c r="AY20" s="356"/>
      <c r="AZ20" s="356"/>
      <c r="BA20" s="356"/>
      <c r="BB20" s="358"/>
      <c r="BC20" s="356"/>
      <c r="BD20" s="356"/>
      <c r="BE20" s="356"/>
      <c r="BF20" s="356"/>
      <c r="BG20" s="356"/>
      <c r="BH20" s="356"/>
      <c r="BI20" s="359"/>
      <c r="BJ20" s="360"/>
    </row>
    <row r="21" spans="1:62" ht="16" customHeight="1" x14ac:dyDescent="0.2">
      <c r="A21" s="367"/>
      <c r="B21" s="355"/>
      <c r="C21" s="356"/>
      <c r="D21" s="356"/>
      <c r="E21" s="356"/>
      <c r="F21" s="356"/>
      <c r="G21" s="356"/>
      <c r="H21" s="356"/>
      <c r="I21" s="356"/>
      <c r="J21" s="356"/>
      <c r="K21" s="356"/>
      <c r="L21" s="356"/>
      <c r="M21" s="356"/>
      <c r="N21" s="406"/>
      <c r="O21" s="406"/>
      <c r="P21" s="406"/>
      <c r="Q21" s="406"/>
      <c r="R21" s="407"/>
      <c r="S21" s="406"/>
      <c r="T21" s="406"/>
      <c r="U21" s="406"/>
      <c r="V21" s="406"/>
      <c r="W21" s="406"/>
      <c r="X21" s="406"/>
      <c r="Y21" s="406"/>
      <c r="Z21" s="406"/>
      <c r="AA21" s="406"/>
      <c r="AB21" s="407"/>
      <c r="AC21" s="406"/>
      <c r="AD21" s="406"/>
      <c r="AE21" s="406"/>
      <c r="AF21" s="406"/>
      <c r="AG21" s="406"/>
      <c r="AH21" s="406"/>
      <c r="AI21" s="406"/>
      <c r="AJ21" s="407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8"/>
      <c r="BC21" s="406"/>
      <c r="BD21" s="406"/>
      <c r="BE21" s="406"/>
      <c r="BF21" s="406"/>
      <c r="BG21" s="406"/>
      <c r="BH21" s="406"/>
      <c r="BI21" s="409"/>
      <c r="BJ21" s="410"/>
    </row>
    <row r="22" spans="1:62" ht="16" customHeight="1" x14ac:dyDescent="0.2">
      <c r="A22" s="340" t="s">
        <v>32</v>
      </c>
      <c r="B22" s="361">
        <f t="shared" ref="B22:AA22" si="12">B25+B23+B24</f>
        <v>531199.85714285716</v>
      </c>
      <c r="C22" s="342">
        <f t="shared" si="12"/>
        <v>583013.28571428568</v>
      </c>
      <c r="D22" s="342">
        <f t="shared" si="12"/>
        <v>700247.57142857148</v>
      </c>
      <c r="E22" s="342">
        <f t="shared" si="12"/>
        <v>855551.14285714284</v>
      </c>
      <c r="F22" s="342">
        <f t="shared" si="12"/>
        <v>986558.42857142864</v>
      </c>
      <c r="G22" s="342">
        <f t="shared" si="12"/>
        <v>1275733.5714285714</v>
      </c>
      <c r="H22" s="342">
        <f t="shared" si="12"/>
        <v>1422624.7142857141</v>
      </c>
      <c r="I22" s="342">
        <f t="shared" si="12"/>
        <v>1651412.8571428573</v>
      </c>
      <c r="J22" s="342">
        <f t="shared" si="12"/>
        <v>2133427.8362857141</v>
      </c>
      <c r="K22" s="342">
        <f t="shared" si="12"/>
        <v>2308360.5051428573</v>
      </c>
      <c r="L22" s="342">
        <f t="shared" si="12"/>
        <v>3125187.8385714288</v>
      </c>
      <c r="M22" s="342">
        <f t="shared" si="12"/>
        <v>3362972.6673523802</v>
      </c>
      <c r="N22" s="342">
        <f t="shared" si="12"/>
        <v>3468885.3369573317</v>
      </c>
      <c r="O22" s="342">
        <f t="shared" si="12"/>
        <v>3511641.697619047</v>
      </c>
      <c r="P22" s="342">
        <f t="shared" si="12"/>
        <v>3766303.027619048</v>
      </c>
      <c r="Q22" s="342">
        <f t="shared" si="12"/>
        <v>3273644.9513333333</v>
      </c>
      <c r="R22" s="362">
        <f t="shared" si="12"/>
        <v>3026956</v>
      </c>
      <c r="S22" s="363">
        <f t="shared" si="12"/>
        <v>2676203.6</v>
      </c>
      <c r="T22" s="363">
        <f t="shared" si="12"/>
        <v>2474898.4</v>
      </c>
      <c r="U22" s="363">
        <f t="shared" si="12"/>
        <v>2284648</v>
      </c>
      <c r="V22" s="363">
        <f t="shared" si="12"/>
        <v>2380789</v>
      </c>
      <c r="W22" s="363">
        <f t="shared" si="12"/>
        <v>2245342</v>
      </c>
      <c r="X22" s="363">
        <f t="shared" si="12"/>
        <v>2169345.166666667</v>
      </c>
      <c r="Y22" s="363">
        <f t="shared" si="12"/>
        <v>2127229.4591666702</v>
      </c>
      <c r="Z22" s="363">
        <f t="shared" si="12"/>
        <v>608680</v>
      </c>
      <c r="AA22" s="363">
        <f t="shared" si="12"/>
        <v>830472.47809523798</v>
      </c>
      <c r="AB22" s="362"/>
      <c r="AC22" s="363"/>
      <c r="AD22" s="363"/>
      <c r="AE22" s="363"/>
      <c r="AF22" s="363"/>
      <c r="AG22" s="363"/>
      <c r="AH22" s="363"/>
      <c r="AI22" s="363"/>
      <c r="AJ22" s="362"/>
      <c r="AK22" s="363"/>
      <c r="AL22" s="363"/>
      <c r="AM22" s="363"/>
      <c r="AN22" s="363"/>
      <c r="AO22" s="363"/>
      <c r="AP22" s="363"/>
      <c r="AQ22" s="363"/>
      <c r="AR22" s="363"/>
      <c r="AS22" s="363"/>
      <c r="AT22" s="363"/>
      <c r="AU22" s="363"/>
      <c r="AV22" s="363"/>
      <c r="AW22" s="363"/>
      <c r="AX22" s="363"/>
      <c r="AY22" s="363"/>
      <c r="AZ22" s="363"/>
      <c r="BA22" s="363"/>
      <c r="BB22" s="364"/>
      <c r="BC22" s="363"/>
      <c r="BD22" s="363"/>
      <c r="BE22" s="363"/>
      <c r="BF22" s="363"/>
      <c r="BG22" s="363"/>
      <c r="BH22" s="363"/>
      <c r="BI22" s="365"/>
      <c r="BJ22" s="366"/>
    </row>
    <row r="23" spans="1:62" ht="16" customHeight="1" x14ac:dyDescent="0.2">
      <c r="A23" s="347" t="s">
        <v>502</v>
      </c>
      <c r="B23" s="348">
        <v>0</v>
      </c>
      <c r="C23" s="349">
        <v>0</v>
      </c>
      <c r="D23" s="349">
        <v>0</v>
      </c>
      <c r="E23" s="349">
        <v>0</v>
      </c>
      <c r="F23" s="349">
        <v>0</v>
      </c>
      <c r="G23" s="349">
        <v>0</v>
      </c>
      <c r="H23" s="349">
        <v>0</v>
      </c>
      <c r="I23" s="349">
        <v>0</v>
      </c>
      <c r="J23" s="349">
        <v>0</v>
      </c>
      <c r="K23" s="349">
        <v>0</v>
      </c>
      <c r="L23" s="349">
        <v>0</v>
      </c>
      <c r="M23" s="349">
        <v>45792</v>
      </c>
      <c r="N23" s="349">
        <v>49926</v>
      </c>
      <c r="O23" s="349">
        <v>70986</v>
      </c>
      <c r="P23" s="395">
        <v>53536</v>
      </c>
      <c r="Q23" s="349">
        <v>251649</v>
      </c>
      <c r="R23" s="350">
        <v>131446</v>
      </c>
      <c r="S23" s="349">
        <v>95000</v>
      </c>
      <c r="T23" s="349">
        <v>89685</v>
      </c>
      <c r="U23" s="411">
        <v>110445</v>
      </c>
      <c r="V23" s="411">
        <v>183559</v>
      </c>
      <c r="W23" s="411">
        <v>100927</v>
      </c>
      <c r="X23" s="411">
        <v>93833</v>
      </c>
      <c r="Y23" s="411">
        <v>94969</v>
      </c>
      <c r="Z23" s="411">
        <v>0</v>
      </c>
      <c r="AA23" s="411">
        <v>0</v>
      </c>
      <c r="AB23" s="412"/>
      <c r="AC23" s="411"/>
      <c r="AD23" s="411"/>
      <c r="AE23" s="411"/>
      <c r="AF23" s="411"/>
      <c r="AG23" s="411"/>
      <c r="AH23" s="411"/>
      <c r="AI23" s="411"/>
      <c r="AJ23" s="412"/>
      <c r="AK23" s="411"/>
      <c r="AL23" s="411"/>
      <c r="AM23" s="411"/>
      <c r="AN23" s="411"/>
      <c r="AO23" s="411"/>
      <c r="AP23" s="411"/>
      <c r="AQ23" s="411"/>
      <c r="AR23" s="411"/>
      <c r="AS23" s="411"/>
      <c r="AT23" s="411"/>
      <c r="AU23" s="411"/>
      <c r="AV23" s="411"/>
      <c r="AW23" s="411"/>
      <c r="AX23" s="411"/>
      <c r="AY23" s="411"/>
      <c r="AZ23" s="411"/>
      <c r="BA23" s="411"/>
      <c r="BB23" s="413"/>
      <c r="BC23" s="411"/>
      <c r="BD23" s="411"/>
      <c r="BE23" s="411"/>
      <c r="BF23" s="411"/>
      <c r="BG23" s="411"/>
      <c r="BH23" s="411"/>
      <c r="BI23" s="414"/>
      <c r="BJ23" s="415"/>
    </row>
    <row r="24" spans="1:62" ht="16" customHeight="1" x14ac:dyDescent="0.2">
      <c r="A24" s="347" t="s">
        <v>34</v>
      </c>
      <c r="B24" s="392">
        <v>392895.85714285716</v>
      </c>
      <c r="C24" s="393">
        <v>420476.85714285716</v>
      </c>
      <c r="D24" s="393">
        <v>491025.85714285716</v>
      </c>
      <c r="E24" s="393">
        <v>528997.85714285716</v>
      </c>
      <c r="F24" s="393">
        <v>578027.85714285716</v>
      </c>
      <c r="G24" s="393">
        <v>753462.85714285704</v>
      </c>
      <c r="H24" s="393">
        <v>868069.85714285704</v>
      </c>
      <c r="I24" s="393">
        <v>888854.42857142875</v>
      </c>
      <c r="J24" s="393">
        <v>1036616.5505714286</v>
      </c>
      <c r="K24" s="393">
        <v>1182128.790857143</v>
      </c>
      <c r="L24" s="393">
        <v>1658287.5528571429</v>
      </c>
      <c r="M24" s="393">
        <v>1631214.8102095239</v>
      </c>
      <c r="N24" s="393">
        <v>1689827.7655287606</v>
      </c>
      <c r="O24" s="393">
        <v>1794210.8404761904</v>
      </c>
      <c r="P24" s="394">
        <v>2038068.4476190477</v>
      </c>
      <c r="Q24" s="393">
        <v>1695822.9513333333</v>
      </c>
      <c r="R24" s="412">
        <v>1652309</v>
      </c>
      <c r="S24" s="411">
        <v>1404763.6</v>
      </c>
      <c r="T24" s="411">
        <v>1192615.3999999999</v>
      </c>
      <c r="U24" s="411">
        <f>718475+384143+81505</f>
        <v>1184123</v>
      </c>
      <c r="V24" s="411">
        <v>1179715</v>
      </c>
      <c r="W24" s="411">
        <f>(703174+81505)+350098</f>
        <v>1134777</v>
      </c>
      <c r="X24" s="411">
        <f>665019.966666667+368666+107050+50000</f>
        <v>1190735.966666667</v>
      </c>
      <c r="Y24" s="411">
        <v>1171036.45916667</v>
      </c>
      <c r="Z24" s="411">
        <v>150293</v>
      </c>
      <c r="AA24" s="411">
        <v>282975</v>
      </c>
      <c r="AB24" s="412"/>
      <c r="AC24" s="411"/>
      <c r="AD24" s="411"/>
      <c r="AE24" s="411"/>
      <c r="AF24" s="411"/>
      <c r="AG24" s="411"/>
      <c r="AH24" s="411"/>
      <c r="AI24" s="411"/>
      <c r="AJ24" s="412"/>
      <c r="AK24" s="411"/>
      <c r="AL24" s="411"/>
      <c r="AM24" s="411"/>
      <c r="AN24" s="411"/>
      <c r="AO24" s="411"/>
      <c r="AP24" s="411"/>
      <c r="AQ24" s="411"/>
      <c r="AR24" s="411"/>
      <c r="AS24" s="411"/>
      <c r="AT24" s="411"/>
      <c r="AU24" s="411"/>
      <c r="AV24" s="411"/>
      <c r="AW24" s="411"/>
      <c r="AX24" s="411"/>
      <c r="AY24" s="411"/>
      <c r="AZ24" s="411"/>
      <c r="BA24" s="411"/>
      <c r="BB24" s="413"/>
      <c r="BC24" s="411"/>
      <c r="BD24" s="411"/>
      <c r="BE24" s="411"/>
      <c r="BF24" s="411"/>
      <c r="BG24" s="411"/>
      <c r="BH24" s="411"/>
      <c r="BI24" s="414"/>
      <c r="BJ24" s="415"/>
    </row>
    <row r="25" spans="1:62" ht="16" customHeight="1" x14ac:dyDescent="0.2">
      <c r="A25" s="347" t="s">
        <v>25</v>
      </c>
      <c r="B25" s="348">
        <v>138304</v>
      </c>
      <c r="C25" s="349">
        <v>162536.42857142855</v>
      </c>
      <c r="D25" s="349">
        <v>209221.71428571429</v>
      </c>
      <c r="E25" s="349">
        <v>326553.28571428568</v>
      </c>
      <c r="F25" s="349">
        <v>408530.57142857142</v>
      </c>
      <c r="G25" s="349">
        <v>522270.71428571432</v>
      </c>
      <c r="H25" s="349">
        <v>554554.85714285716</v>
      </c>
      <c r="I25" s="349">
        <v>762558.42857142864</v>
      </c>
      <c r="J25" s="349">
        <v>1096811.2857142857</v>
      </c>
      <c r="K25" s="349">
        <v>1126231.7142857143</v>
      </c>
      <c r="L25" s="349">
        <v>1466900.2857142859</v>
      </c>
      <c r="M25" s="349">
        <v>1685965.8571428566</v>
      </c>
      <c r="N25" s="349">
        <v>1729131.5714285711</v>
      </c>
      <c r="O25" s="349">
        <v>1646444.8571428566</v>
      </c>
      <c r="P25" s="395">
        <v>1674698.58</v>
      </c>
      <c r="Q25" s="349">
        <v>1326173</v>
      </c>
      <c r="R25" s="350">
        <f>1036086+207115</f>
        <v>1243201</v>
      </c>
      <c r="S25" s="349">
        <v>1176440</v>
      </c>
      <c r="T25" s="411">
        <v>1192598</v>
      </c>
      <c r="U25" s="411">
        <v>990080</v>
      </c>
      <c r="V25" s="411">
        <f>947006+70509</f>
        <v>1017515</v>
      </c>
      <c r="W25" s="411">
        <v>1009638</v>
      </c>
      <c r="X25" s="411">
        <v>884776.20000000007</v>
      </c>
      <c r="Y25" s="411">
        <v>861224</v>
      </c>
      <c r="Z25" s="411">
        <v>458387</v>
      </c>
      <c r="AA25" s="411">
        <f>254560.478095238+292937</f>
        <v>547497.47809523798</v>
      </c>
      <c r="AB25" s="412"/>
      <c r="AC25" s="411"/>
      <c r="AD25" s="411"/>
      <c r="AE25" s="411"/>
      <c r="AF25" s="411"/>
      <c r="AG25" s="411"/>
      <c r="AH25" s="411"/>
      <c r="AI25" s="411"/>
      <c r="AJ25" s="412"/>
      <c r="AK25" s="411"/>
      <c r="AL25" s="411"/>
      <c r="AM25" s="411"/>
      <c r="AN25" s="411"/>
      <c r="AO25" s="411"/>
      <c r="AP25" s="411"/>
      <c r="AQ25" s="411"/>
      <c r="AR25" s="411"/>
      <c r="AS25" s="411"/>
      <c r="AT25" s="411"/>
      <c r="AU25" s="411"/>
      <c r="AV25" s="411"/>
      <c r="AW25" s="411"/>
      <c r="AX25" s="411"/>
      <c r="AY25" s="411"/>
      <c r="AZ25" s="411"/>
      <c r="BA25" s="411"/>
      <c r="BB25" s="413"/>
      <c r="BC25" s="411"/>
      <c r="BD25" s="411"/>
      <c r="BE25" s="411"/>
      <c r="BF25" s="411"/>
      <c r="BG25" s="411"/>
      <c r="BH25" s="411"/>
      <c r="BI25" s="414"/>
      <c r="BJ25" s="415"/>
    </row>
    <row r="26" spans="1:62" ht="16" customHeight="1" x14ac:dyDescent="0.2">
      <c r="A26" s="354" t="s">
        <v>503</v>
      </c>
      <c r="B26" s="375">
        <v>6</v>
      </c>
      <c r="C26" s="371">
        <v>8</v>
      </c>
      <c r="D26" s="371">
        <v>12</v>
      </c>
      <c r="E26" s="371">
        <v>15</v>
      </c>
      <c r="F26" s="371">
        <v>18</v>
      </c>
      <c r="G26" s="371">
        <v>22</v>
      </c>
      <c r="H26" s="371">
        <v>28</v>
      </c>
      <c r="I26" s="371">
        <v>34</v>
      </c>
      <c r="J26" s="371">
        <v>45</v>
      </c>
      <c r="K26" s="371">
        <v>54</v>
      </c>
      <c r="L26" s="371">
        <v>73</v>
      </c>
      <c r="M26" s="371">
        <v>76</v>
      </c>
      <c r="N26" s="371">
        <v>80</v>
      </c>
      <c r="O26" s="371">
        <v>78</v>
      </c>
      <c r="P26" s="416">
        <v>76</v>
      </c>
      <c r="Q26" s="371">
        <v>59</v>
      </c>
      <c r="R26" s="370">
        <f>45+10</f>
        <v>55</v>
      </c>
      <c r="S26" s="371">
        <v>53</v>
      </c>
      <c r="T26" s="371">
        <v>53</v>
      </c>
      <c r="U26" s="371">
        <v>48</v>
      </c>
      <c r="V26" s="371">
        <f>45+4</f>
        <v>49</v>
      </c>
      <c r="W26" s="371">
        <v>44</v>
      </c>
      <c r="X26" s="371">
        <v>44</v>
      </c>
      <c r="Y26" s="371">
        <v>39</v>
      </c>
      <c r="Z26" s="371">
        <v>18</v>
      </c>
      <c r="AA26" s="371">
        <f>9+13</f>
        <v>22</v>
      </c>
      <c r="AB26" s="370"/>
      <c r="AC26" s="371"/>
      <c r="AD26" s="371"/>
      <c r="AE26" s="371"/>
      <c r="AF26" s="371"/>
      <c r="AG26" s="371"/>
      <c r="AH26" s="371"/>
      <c r="AI26" s="371"/>
      <c r="AJ26" s="370"/>
      <c r="AK26" s="371"/>
      <c r="AL26" s="371"/>
      <c r="AM26" s="371"/>
      <c r="AN26" s="371"/>
      <c r="AO26" s="371"/>
      <c r="AP26" s="371"/>
      <c r="AQ26" s="371"/>
      <c r="AR26" s="371"/>
      <c r="AS26" s="371"/>
      <c r="AT26" s="371"/>
      <c r="AU26" s="371"/>
      <c r="AV26" s="371"/>
      <c r="AW26" s="371"/>
      <c r="AX26" s="371"/>
      <c r="AY26" s="371"/>
      <c r="AZ26" s="371"/>
      <c r="BA26" s="371"/>
      <c r="BB26" s="372"/>
      <c r="BC26" s="371"/>
      <c r="BD26" s="371"/>
      <c r="BE26" s="371"/>
      <c r="BF26" s="371"/>
      <c r="BG26" s="371"/>
      <c r="BH26" s="371"/>
      <c r="BI26" s="373"/>
      <c r="BJ26" s="374"/>
    </row>
    <row r="27" spans="1:62" ht="16" customHeight="1" x14ac:dyDescent="0.2">
      <c r="A27" s="354" t="s">
        <v>37</v>
      </c>
      <c r="B27" s="417">
        <f t="shared" ref="B27:Y27" si="13">B22/B6</f>
        <v>0.55854921968471949</v>
      </c>
      <c r="C27" s="376">
        <f t="shared" si="13"/>
        <v>0.47440762299065747</v>
      </c>
      <c r="D27" s="376">
        <f t="shared" si="13"/>
        <v>0.41900883881556455</v>
      </c>
      <c r="E27" s="376">
        <f t="shared" si="13"/>
        <v>0.43879255551619434</v>
      </c>
      <c r="F27" s="376">
        <f t="shared" si="13"/>
        <v>0.47428618679251466</v>
      </c>
      <c r="G27" s="376">
        <f t="shared" si="13"/>
        <v>0.48102280600762004</v>
      </c>
      <c r="H27" s="376">
        <f t="shared" si="13"/>
        <v>0.45675604632134575</v>
      </c>
      <c r="I27" s="376">
        <f t="shared" si="13"/>
        <v>0.37848758262428173</v>
      </c>
      <c r="J27" s="376">
        <f t="shared" si="13"/>
        <v>0.33691045368705796</v>
      </c>
      <c r="K27" s="376">
        <f t="shared" si="13"/>
        <v>0.27217676100137594</v>
      </c>
      <c r="L27" s="376">
        <f t="shared" si="13"/>
        <v>0.3833350696127063</v>
      </c>
      <c r="M27" s="376">
        <f t="shared" si="13"/>
        <v>0.37142665079695358</v>
      </c>
      <c r="N27" s="376">
        <f t="shared" si="13"/>
        <v>0.36586245320912075</v>
      </c>
      <c r="O27" s="376">
        <f t="shared" si="13"/>
        <v>0.37057351073452433</v>
      </c>
      <c r="P27" s="418">
        <f t="shared" si="13"/>
        <v>0.44868835068583252</v>
      </c>
      <c r="Q27" s="376">
        <f t="shared" si="13"/>
        <v>0.5109487242100067</v>
      </c>
      <c r="R27" s="377">
        <f t="shared" si="13"/>
        <v>0.51467420921037088</v>
      </c>
      <c r="S27" s="378">
        <f t="shared" si="13"/>
        <v>0.49259898719340073</v>
      </c>
      <c r="T27" s="378">
        <f t="shared" si="13"/>
        <v>0.47839386053405636</v>
      </c>
      <c r="U27" s="378">
        <f t="shared" si="13"/>
        <v>0.49292527072455211</v>
      </c>
      <c r="V27" s="378">
        <f t="shared" si="13"/>
        <v>0.53559190337198315</v>
      </c>
      <c r="W27" s="378">
        <f t="shared" si="13"/>
        <v>0.57240721624198632</v>
      </c>
      <c r="X27" s="378">
        <f t="shared" si="13"/>
        <v>0.5710570341417941</v>
      </c>
      <c r="Y27" s="378">
        <f t="shared" si="13"/>
        <v>0.79880011128923034</v>
      </c>
      <c r="Z27" s="378">
        <f>IFERROR(Z22/Z6,)</f>
        <v>0</v>
      </c>
      <c r="AA27" s="378">
        <f>IFERROR(AA22/AA6,)</f>
        <v>1.5571236730077371</v>
      </c>
      <c r="AB27" s="377"/>
      <c r="AC27" s="378"/>
      <c r="AD27" s="378"/>
      <c r="AE27" s="378"/>
      <c r="AF27" s="378"/>
      <c r="AG27" s="378"/>
      <c r="AH27" s="378"/>
      <c r="AI27" s="378"/>
      <c r="AJ27" s="377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9"/>
      <c r="BC27" s="378"/>
      <c r="BD27" s="378"/>
      <c r="BE27" s="378"/>
      <c r="BF27" s="378"/>
      <c r="BG27" s="378"/>
      <c r="BH27" s="378"/>
      <c r="BI27" s="380"/>
      <c r="BJ27" s="381"/>
    </row>
    <row r="28" spans="1:62" ht="16" customHeight="1" x14ac:dyDescent="0.2">
      <c r="A28" s="354"/>
      <c r="B28" s="348"/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  <c r="P28" s="349"/>
      <c r="Q28" s="349"/>
      <c r="R28" s="350"/>
      <c r="S28" s="349"/>
      <c r="T28" s="349"/>
      <c r="U28" s="349"/>
      <c r="V28" s="349"/>
      <c r="W28" s="349"/>
      <c r="X28" s="349"/>
      <c r="Y28" s="349"/>
      <c r="Z28" s="349"/>
      <c r="AA28" s="349"/>
      <c r="AB28" s="350"/>
      <c r="AC28" s="349"/>
      <c r="AD28" s="349"/>
      <c r="AE28" s="349"/>
      <c r="AF28" s="349"/>
      <c r="AG28" s="349"/>
      <c r="AH28" s="349"/>
      <c r="AI28" s="349"/>
      <c r="AJ28" s="350"/>
      <c r="AK28" s="349"/>
      <c r="AL28" s="349"/>
      <c r="AM28" s="349"/>
      <c r="AN28" s="349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  <c r="AY28" s="349"/>
      <c r="AZ28" s="349"/>
      <c r="BA28" s="349"/>
      <c r="BB28" s="351"/>
      <c r="BC28" s="349"/>
      <c r="BD28" s="349"/>
      <c r="BE28" s="349"/>
      <c r="BF28" s="349"/>
      <c r="BG28" s="349"/>
      <c r="BH28" s="349"/>
      <c r="BI28" s="352"/>
      <c r="BJ28" s="352"/>
    </row>
    <row r="29" spans="1:62" ht="16" customHeight="1" x14ac:dyDescent="0.2">
      <c r="A29" s="340" t="s">
        <v>38</v>
      </c>
      <c r="B29" s="361">
        <f t="shared" ref="B29:AA29" si="14">B19-B22</f>
        <v>-133144.85714285716</v>
      </c>
      <c r="C29" s="342">
        <f t="shared" si="14"/>
        <v>-143884.28571428568</v>
      </c>
      <c r="D29" s="342">
        <f t="shared" si="14"/>
        <v>-58230.285714285797</v>
      </c>
      <c r="E29" s="342">
        <f t="shared" si="14"/>
        <v>-40064.000000000116</v>
      </c>
      <c r="F29" s="342">
        <f t="shared" si="14"/>
        <v>-303289.42857142864</v>
      </c>
      <c r="G29" s="342">
        <f t="shared" si="14"/>
        <v>-3768389.9999999995</v>
      </c>
      <c r="H29" s="342">
        <f t="shared" si="14"/>
        <v>-2710330.1428571423</v>
      </c>
      <c r="I29" s="342">
        <f t="shared" si="14"/>
        <v>-571822.71428571455</v>
      </c>
      <c r="J29" s="342">
        <f t="shared" si="14"/>
        <v>392582.30657142866</v>
      </c>
      <c r="K29" s="342">
        <f t="shared" si="14"/>
        <v>33769.351999999955</v>
      </c>
      <c r="L29" s="342">
        <f t="shared" si="14"/>
        <v>-1156902.267142857</v>
      </c>
      <c r="M29" s="342">
        <f t="shared" si="14"/>
        <v>-1191593.5244952375</v>
      </c>
      <c r="N29" s="342">
        <f t="shared" si="14"/>
        <v>-543548.6226716172</v>
      </c>
      <c r="O29" s="342">
        <f t="shared" si="14"/>
        <v>338586.22732053977</v>
      </c>
      <c r="P29" s="342">
        <f t="shared" si="14"/>
        <v>-891031.02761904802</v>
      </c>
      <c r="Q29" s="342">
        <f t="shared" si="14"/>
        <v>-1318722.8496384132</v>
      </c>
      <c r="R29" s="362">
        <f t="shared" si="14"/>
        <v>-430180</v>
      </c>
      <c r="S29" s="363">
        <f t="shared" si="14"/>
        <v>-451980.60000000009</v>
      </c>
      <c r="T29" s="363">
        <f t="shared" si="14"/>
        <v>-592937.39999999991</v>
      </c>
      <c r="U29" s="363">
        <f t="shared" si="14"/>
        <v>-323560</v>
      </c>
      <c r="V29" s="363">
        <f t="shared" si="14"/>
        <v>-471493.05084745958</v>
      </c>
      <c r="W29" s="363">
        <f t="shared" si="14"/>
        <v>-493036.50847458001</v>
      </c>
      <c r="X29" s="363">
        <f t="shared" si="14"/>
        <v>-512222.16666666698</v>
      </c>
      <c r="Y29" s="363">
        <f t="shared" si="14"/>
        <v>-1018741.3943779378</v>
      </c>
      <c r="Z29" s="363">
        <f t="shared" si="14"/>
        <v>-635280</v>
      </c>
      <c r="AA29" s="363">
        <f t="shared" si="14"/>
        <v>-561888.39246143471</v>
      </c>
      <c r="AB29" s="362"/>
      <c r="AC29" s="363"/>
      <c r="AD29" s="363"/>
      <c r="AE29" s="363"/>
      <c r="AF29" s="363"/>
      <c r="AG29" s="363"/>
      <c r="AH29" s="363"/>
      <c r="AI29" s="363"/>
      <c r="AJ29" s="362"/>
      <c r="AK29" s="363"/>
      <c r="AL29" s="363"/>
      <c r="AM29" s="363"/>
      <c r="AN29" s="363"/>
      <c r="AO29" s="363"/>
      <c r="AP29" s="363"/>
      <c r="AQ29" s="363"/>
      <c r="AR29" s="363"/>
      <c r="AS29" s="363"/>
      <c r="AT29" s="363"/>
      <c r="AU29" s="363"/>
      <c r="AV29" s="363"/>
      <c r="AW29" s="363"/>
      <c r="AX29" s="363"/>
      <c r="AY29" s="363"/>
      <c r="AZ29" s="363"/>
      <c r="BA29" s="363"/>
      <c r="BB29" s="364"/>
      <c r="BC29" s="363"/>
      <c r="BD29" s="363"/>
      <c r="BE29" s="363"/>
      <c r="BF29" s="363"/>
      <c r="BG29" s="363"/>
      <c r="BH29" s="363"/>
      <c r="BI29" s="365"/>
      <c r="BJ29" s="366"/>
    </row>
    <row r="30" spans="1:62" ht="16" customHeight="1" x14ac:dyDescent="0.2">
      <c r="A30" s="367" t="s">
        <v>39</v>
      </c>
      <c r="B30" s="417">
        <f t="shared" ref="B30:Y30" si="15">B29/B6</f>
        <v>-0.13999995493631376</v>
      </c>
      <c r="C30" s="376">
        <f t="shared" si="15"/>
        <v>-0.11708104025072701</v>
      </c>
      <c r="D30" s="376">
        <f t="shared" si="15"/>
        <v>-3.4843397387677E-2</v>
      </c>
      <c r="E30" s="376">
        <f t="shared" si="15"/>
        <v>-2.0547906564057125E-2</v>
      </c>
      <c r="F30" s="376">
        <f t="shared" si="15"/>
        <v>-0.14580584626895104</v>
      </c>
      <c r="G30" s="376">
        <f t="shared" si="15"/>
        <v>-1.4208934941652491</v>
      </c>
      <c r="H30" s="376">
        <f t="shared" si="15"/>
        <v>-0.87019413331263817</v>
      </c>
      <c r="I30" s="376">
        <f t="shared" si="15"/>
        <v>-0.13105614134196675</v>
      </c>
      <c r="J30" s="376">
        <f t="shared" si="15"/>
        <v>6.1996511326469085E-2</v>
      </c>
      <c r="K30" s="376">
        <f t="shared" si="15"/>
        <v>3.9817146533212356E-3</v>
      </c>
      <c r="L30" s="376">
        <f t="shared" si="15"/>
        <v>-0.14190545785338357</v>
      </c>
      <c r="M30" s="376">
        <f t="shared" si="15"/>
        <v>-0.13160665747041236</v>
      </c>
      <c r="N30" s="376">
        <f t="shared" si="15"/>
        <v>-5.732793482978208E-2</v>
      </c>
      <c r="O30" s="376">
        <f t="shared" si="15"/>
        <v>3.5730036760185886E-2</v>
      </c>
      <c r="P30" s="376">
        <f t="shared" si="15"/>
        <v>-0.10615057770458597</v>
      </c>
      <c r="Q30" s="376">
        <f t="shared" si="15"/>
        <v>-0.20582554541685949</v>
      </c>
      <c r="R30" s="377">
        <f t="shared" si="15"/>
        <v>-7.3143630537780308E-2</v>
      </c>
      <c r="S30" s="378">
        <f t="shared" si="15"/>
        <v>-8.3194412335094989E-2</v>
      </c>
      <c r="T30" s="378">
        <f t="shared" si="15"/>
        <v>-0.11461384105344524</v>
      </c>
      <c r="U30" s="378">
        <f t="shared" si="15"/>
        <v>-6.9809835298757658E-2</v>
      </c>
      <c r="V30" s="378">
        <f t="shared" si="15"/>
        <v>-0.10606897987602182</v>
      </c>
      <c r="W30" s="378">
        <f t="shared" si="15"/>
        <v>-0.12569027583397221</v>
      </c>
      <c r="X30" s="378">
        <f t="shared" si="15"/>
        <v>-0.13483703553169796</v>
      </c>
      <c r="Y30" s="378">
        <f t="shared" si="15"/>
        <v>-0.38254958142730511</v>
      </c>
      <c r="Z30" s="378">
        <f>IFERROR(Z29/Z6,0)</f>
        <v>0</v>
      </c>
      <c r="AA30" s="378">
        <f>IFERROR(AA29/AA6,0)</f>
        <v>-1.0535324656353342</v>
      </c>
      <c r="AB30" s="377"/>
      <c r="AC30" s="378"/>
      <c r="AD30" s="378"/>
      <c r="AE30" s="378"/>
      <c r="AF30" s="378"/>
      <c r="AG30" s="378"/>
      <c r="AH30" s="378"/>
      <c r="AI30" s="378"/>
      <c r="AJ30" s="377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9"/>
      <c r="BC30" s="378"/>
      <c r="BD30" s="378"/>
      <c r="BE30" s="378"/>
      <c r="BF30" s="378"/>
      <c r="BG30" s="378"/>
      <c r="BH30" s="378"/>
      <c r="BI30" s="380"/>
      <c r="BJ30" s="381"/>
    </row>
    <row r="31" spans="1:62" ht="16" customHeight="1" x14ac:dyDescent="0.2">
      <c r="A31" s="367"/>
      <c r="B31" s="348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50"/>
      <c r="S31" s="349"/>
      <c r="T31" s="349"/>
      <c r="U31" s="349"/>
      <c r="V31" s="349"/>
      <c r="W31" s="349"/>
      <c r="X31" s="349"/>
      <c r="Y31" s="349"/>
      <c r="Z31" s="349"/>
      <c r="AA31" s="349"/>
      <c r="AB31" s="350"/>
      <c r="AC31" s="349"/>
      <c r="AD31" s="349"/>
      <c r="AE31" s="349"/>
      <c r="AF31" s="349"/>
      <c r="AG31" s="349"/>
      <c r="AH31" s="349"/>
      <c r="AI31" s="349"/>
      <c r="AJ31" s="350"/>
      <c r="AK31" s="349"/>
      <c r="AL31" s="349"/>
      <c r="AM31" s="349"/>
      <c r="AN31" s="349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  <c r="AY31" s="349"/>
      <c r="AZ31" s="349"/>
      <c r="BA31" s="349"/>
      <c r="BB31" s="351"/>
      <c r="BC31" s="349"/>
      <c r="BD31" s="349"/>
      <c r="BE31" s="349"/>
      <c r="BF31" s="349"/>
      <c r="BG31" s="349"/>
      <c r="BH31" s="349"/>
      <c r="BI31" s="352"/>
      <c r="BJ31" s="353"/>
    </row>
    <row r="32" spans="1:62" ht="16" customHeight="1" x14ac:dyDescent="0.2">
      <c r="A32" s="340" t="s">
        <v>40</v>
      </c>
      <c r="B32" s="361">
        <f t="shared" ref="B32:Y32" si="16">SUM(B33:B38)</f>
        <v>164646</v>
      </c>
      <c r="C32" s="342">
        <f t="shared" si="16"/>
        <v>260854.71428571426</v>
      </c>
      <c r="D32" s="342">
        <f t="shared" si="16"/>
        <v>278574.57142857142</v>
      </c>
      <c r="E32" s="342">
        <f t="shared" si="16"/>
        <v>329864.85714285716</v>
      </c>
      <c r="F32" s="342">
        <f t="shared" si="16"/>
        <v>319572</v>
      </c>
      <c r="G32" s="342">
        <f t="shared" si="16"/>
        <v>519482.14285714284</v>
      </c>
      <c r="H32" s="342">
        <f t="shared" si="16"/>
        <v>600678.28571428568</v>
      </c>
      <c r="I32" s="342">
        <f t="shared" si="16"/>
        <v>714337.71428571432</v>
      </c>
      <c r="J32" s="342">
        <f t="shared" si="16"/>
        <v>1107917.1042857142</v>
      </c>
      <c r="K32" s="342">
        <f t="shared" si="16"/>
        <v>1096556.4285714286</v>
      </c>
      <c r="L32" s="342">
        <f t="shared" si="16"/>
        <v>1208532.1471428573</v>
      </c>
      <c r="M32" s="342">
        <f t="shared" si="16"/>
        <v>1569607.1428571427</v>
      </c>
      <c r="N32" s="342">
        <f t="shared" si="16"/>
        <v>1642747.6885714286</v>
      </c>
      <c r="O32" s="342">
        <f t="shared" si="16"/>
        <v>1478282.6642857143</v>
      </c>
      <c r="P32" s="342">
        <f t="shared" si="16"/>
        <v>1548471.3571428573</v>
      </c>
      <c r="Q32" s="342">
        <f t="shared" si="16"/>
        <v>1585311.7</v>
      </c>
      <c r="R32" s="362">
        <f t="shared" si="16"/>
        <v>1164276.9200000002</v>
      </c>
      <c r="S32" s="363">
        <f t="shared" si="16"/>
        <v>1178889.3699999999</v>
      </c>
      <c r="T32" s="363">
        <f t="shared" si="16"/>
        <v>1181237.6499999999</v>
      </c>
      <c r="U32" s="363">
        <f t="shared" si="16"/>
        <v>1038599.4299999999</v>
      </c>
      <c r="V32" s="363">
        <f t="shared" si="16"/>
        <v>831986.6</v>
      </c>
      <c r="W32" s="363">
        <f t="shared" si="16"/>
        <v>798212</v>
      </c>
      <c r="X32" s="363">
        <f t="shared" si="16"/>
        <v>820028.2533333333</v>
      </c>
      <c r="Y32" s="363">
        <f t="shared" si="16"/>
        <v>1925957.3055952382</v>
      </c>
      <c r="Z32" s="363">
        <f>SUM(Z33:Z38)</f>
        <v>72578</v>
      </c>
      <c r="AA32" s="363">
        <f>SUM(AA33:AA38)</f>
        <v>155140.47666666668</v>
      </c>
      <c r="AB32" s="362"/>
      <c r="AC32" s="363"/>
      <c r="AD32" s="363"/>
      <c r="AE32" s="363"/>
      <c r="AF32" s="363"/>
      <c r="AG32" s="363"/>
      <c r="AH32" s="363"/>
      <c r="AI32" s="363"/>
      <c r="AJ32" s="362"/>
      <c r="AK32" s="363"/>
      <c r="AL32" s="363"/>
      <c r="AM32" s="363"/>
      <c r="AN32" s="363"/>
      <c r="AO32" s="363"/>
      <c r="AP32" s="363"/>
      <c r="AQ32" s="363"/>
      <c r="AR32" s="363"/>
      <c r="AS32" s="363"/>
      <c r="AT32" s="363"/>
      <c r="AU32" s="363"/>
      <c r="AV32" s="363"/>
      <c r="AW32" s="363"/>
      <c r="AX32" s="363"/>
      <c r="AY32" s="363"/>
      <c r="AZ32" s="363"/>
      <c r="BA32" s="363"/>
      <c r="BB32" s="364"/>
      <c r="BC32" s="363"/>
      <c r="BD32" s="363"/>
      <c r="BE32" s="363"/>
      <c r="BF32" s="363"/>
      <c r="BG32" s="363"/>
      <c r="BH32" s="363"/>
      <c r="BI32" s="365"/>
      <c r="BJ32" s="366"/>
    </row>
    <row r="33" spans="1:62" ht="16" customHeight="1" x14ac:dyDescent="0.2">
      <c r="A33" s="347" t="s">
        <v>72</v>
      </c>
      <c r="B33" s="392">
        <v>116670</v>
      </c>
      <c r="C33" s="393">
        <v>116670</v>
      </c>
      <c r="D33" s="393">
        <v>116670</v>
      </c>
      <c r="E33" s="393">
        <v>155611.14285714287</v>
      </c>
      <c r="F33" s="393">
        <v>146091.71428571429</v>
      </c>
      <c r="G33" s="393">
        <v>246705.85714285716</v>
      </c>
      <c r="H33" s="393">
        <v>265645.42857142858</v>
      </c>
      <c r="I33" s="393">
        <v>297277.00000000006</v>
      </c>
      <c r="J33" s="393">
        <v>483855.57142857142</v>
      </c>
      <c r="K33" s="393">
        <v>518014.57142857148</v>
      </c>
      <c r="L33" s="393">
        <v>542973.57142857148</v>
      </c>
      <c r="M33" s="393">
        <v>598362</v>
      </c>
      <c r="N33" s="393">
        <v>572837.57142857148</v>
      </c>
      <c r="O33" s="393">
        <v>510176.71428571426</v>
      </c>
      <c r="P33" s="393">
        <v>547127.71428571432</v>
      </c>
      <c r="Q33" s="393">
        <v>482847</v>
      </c>
      <c r="R33" s="412">
        <v>496469</v>
      </c>
      <c r="S33" s="411">
        <v>511110</v>
      </c>
      <c r="T33" s="411">
        <v>516333</v>
      </c>
      <c r="U33" s="411">
        <f>366653+72453</f>
        <v>439106</v>
      </c>
      <c r="V33" s="411">
        <v>258173</v>
      </c>
      <c r="W33" s="411">
        <v>321556</v>
      </c>
      <c r="X33" s="411">
        <v>284031.25</v>
      </c>
      <c r="Y33" s="411">
        <v>228707.97559523809</v>
      </c>
      <c r="Z33" s="411">
        <v>72578</v>
      </c>
      <c r="AA33" s="411">
        <v>33530</v>
      </c>
      <c r="AB33" s="412"/>
      <c r="AC33" s="411"/>
      <c r="AD33" s="411"/>
      <c r="AE33" s="411"/>
      <c r="AF33" s="411"/>
      <c r="AG33" s="411"/>
      <c r="AH33" s="411"/>
      <c r="AI33" s="411"/>
      <c r="AJ33" s="412"/>
      <c r="AK33" s="411"/>
      <c r="AL33" s="411"/>
      <c r="AM33" s="411"/>
      <c r="AN33" s="411"/>
      <c r="AO33" s="411"/>
      <c r="AP33" s="411"/>
      <c r="AQ33" s="411"/>
      <c r="AR33" s="411"/>
      <c r="AS33" s="411"/>
      <c r="AT33" s="411"/>
      <c r="AU33" s="411"/>
      <c r="AV33" s="411"/>
      <c r="AW33" s="411"/>
      <c r="AX33" s="411"/>
      <c r="AY33" s="411"/>
      <c r="AZ33" s="411"/>
      <c r="BA33" s="411"/>
      <c r="BB33" s="413"/>
      <c r="BC33" s="411"/>
      <c r="BD33" s="411"/>
      <c r="BE33" s="411"/>
      <c r="BF33" s="411"/>
      <c r="BG33" s="411"/>
      <c r="BH33" s="411"/>
      <c r="BI33" s="414"/>
      <c r="BJ33" s="415"/>
    </row>
    <row r="34" spans="1:62" ht="16" customHeight="1" x14ac:dyDescent="0.2">
      <c r="A34" s="347" t="s">
        <v>152</v>
      </c>
      <c r="B34" s="392">
        <v>47976</v>
      </c>
      <c r="C34" s="393">
        <v>144184.71428571426</v>
      </c>
      <c r="D34" s="393">
        <v>161904.57142857142</v>
      </c>
      <c r="E34" s="393">
        <v>174253.71428571426</v>
      </c>
      <c r="F34" s="393">
        <v>173480.28571428571</v>
      </c>
      <c r="G34" s="393">
        <v>272776.28571428568</v>
      </c>
      <c r="H34" s="393">
        <v>335032.85714285716</v>
      </c>
      <c r="I34" s="393">
        <v>417060.7142857142</v>
      </c>
      <c r="J34" s="393">
        <v>496672.14285714284</v>
      </c>
      <c r="K34" s="393">
        <v>511589.85714285716</v>
      </c>
      <c r="L34" s="393">
        <v>524256.28571428568</v>
      </c>
      <c r="M34" s="393">
        <v>555199.14285714284</v>
      </c>
      <c r="N34" s="393">
        <v>674397.85714285716</v>
      </c>
      <c r="O34" s="393">
        <v>584680</v>
      </c>
      <c r="P34" s="394">
        <v>573496.14285714284</v>
      </c>
      <c r="Q34" s="393">
        <v>563187</v>
      </c>
      <c r="R34" s="412">
        <v>383139</v>
      </c>
      <c r="S34" s="411">
        <v>343772</v>
      </c>
      <c r="T34" s="411">
        <v>337849</v>
      </c>
      <c r="U34" s="411">
        <v>301501</v>
      </c>
      <c r="V34" s="411">
        <f>256190+12602</f>
        <v>268792</v>
      </c>
      <c r="W34" s="411">
        <v>247845</v>
      </c>
      <c r="X34" s="411">
        <v>253984.33333333334</v>
      </c>
      <c r="Y34" s="411">
        <v>207323.5</v>
      </c>
      <c r="Z34" s="411">
        <v>0</v>
      </c>
      <c r="AA34" s="411">
        <v>121610.47666666667</v>
      </c>
      <c r="AB34" s="412"/>
      <c r="AC34" s="411"/>
      <c r="AD34" s="411"/>
      <c r="AE34" s="411"/>
      <c r="AF34" s="411"/>
      <c r="AG34" s="411"/>
      <c r="AH34" s="411"/>
      <c r="AI34" s="411"/>
      <c r="AJ34" s="412"/>
      <c r="AK34" s="411"/>
      <c r="AL34" s="411"/>
      <c r="AM34" s="411"/>
      <c r="AN34" s="411"/>
      <c r="AO34" s="411"/>
      <c r="AP34" s="411"/>
      <c r="AQ34" s="411"/>
      <c r="AR34" s="411"/>
      <c r="AS34" s="411"/>
      <c r="AT34" s="411"/>
      <c r="AU34" s="411"/>
      <c r="AV34" s="411"/>
      <c r="AW34" s="411"/>
      <c r="AX34" s="411"/>
      <c r="AY34" s="411"/>
      <c r="AZ34" s="411"/>
      <c r="BA34" s="411"/>
      <c r="BB34" s="413"/>
      <c r="BC34" s="411"/>
      <c r="BD34" s="411"/>
      <c r="BE34" s="411"/>
      <c r="BF34" s="411"/>
      <c r="BG34" s="411"/>
      <c r="BH34" s="411"/>
      <c r="BI34" s="414"/>
      <c r="BJ34" s="415"/>
    </row>
    <row r="35" spans="1:62" ht="16" customHeight="1" x14ac:dyDescent="0.2">
      <c r="A35" s="347" t="s">
        <v>51</v>
      </c>
      <c r="B35" s="392">
        <v>0</v>
      </c>
      <c r="C35" s="393">
        <v>0</v>
      </c>
      <c r="D35" s="393">
        <v>0</v>
      </c>
      <c r="E35" s="393">
        <v>0</v>
      </c>
      <c r="F35" s="393">
        <v>0</v>
      </c>
      <c r="G35" s="393">
        <v>0</v>
      </c>
      <c r="H35" s="393">
        <v>0</v>
      </c>
      <c r="I35" s="393">
        <v>0</v>
      </c>
      <c r="J35" s="393">
        <v>126422.39</v>
      </c>
      <c r="K35" s="393">
        <v>56771</v>
      </c>
      <c r="L35" s="393">
        <v>134692</v>
      </c>
      <c r="M35" s="393">
        <v>359351</v>
      </c>
      <c r="N35" s="393">
        <v>381414</v>
      </c>
      <c r="O35" s="393">
        <v>366047</v>
      </c>
      <c r="P35" s="393">
        <v>343979</v>
      </c>
      <c r="Q35" s="393">
        <v>329242</v>
      </c>
      <c r="R35" s="412">
        <v>222519</v>
      </c>
      <c r="S35" s="411">
        <v>244873.4</v>
      </c>
      <c r="T35" s="411">
        <v>257419.9</v>
      </c>
      <c r="U35" s="411">
        <v>210954.1</v>
      </c>
      <c r="V35" s="411">
        <v>192088.5</v>
      </c>
      <c r="W35" s="411">
        <v>167449</v>
      </c>
      <c r="X35" s="411">
        <v>172785.83</v>
      </c>
      <c r="Y35" s="411">
        <v>249971.31</v>
      </c>
      <c r="Z35" s="411">
        <v>0</v>
      </c>
      <c r="AA35" s="411">
        <v>0</v>
      </c>
      <c r="AB35" s="412"/>
      <c r="AC35" s="411"/>
      <c r="AD35" s="411"/>
      <c r="AE35" s="411"/>
      <c r="AF35" s="411"/>
      <c r="AG35" s="411"/>
      <c r="AH35" s="411"/>
      <c r="AI35" s="411"/>
      <c r="AJ35" s="412"/>
      <c r="AK35" s="411"/>
      <c r="AL35" s="411"/>
      <c r="AM35" s="411"/>
      <c r="AN35" s="411"/>
      <c r="AO35" s="411"/>
      <c r="AP35" s="411"/>
      <c r="AQ35" s="411"/>
      <c r="AR35" s="411"/>
      <c r="AS35" s="411"/>
      <c r="AT35" s="411"/>
      <c r="AU35" s="411"/>
      <c r="AV35" s="411"/>
      <c r="AW35" s="411"/>
      <c r="AX35" s="411"/>
      <c r="AY35" s="411"/>
      <c r="AZ35" s="411"/>
      <c r="BA35" s="411"/>
      <c r="BB35" s="413"/>
      <c r="BC35" s="411"/>
      <c r="BD35" s="411"/>
      <c r="BE35" s="411"/>
      <c r="BF35" s="411"/>
      <c r="BG35" s="411"/>
      <c r="BH35" s="411"/>
      <c r="BI35" s="414"/>
      <c r="BJ35" s="415"/>
    </row>
    <row r="36" spans="1:62" ht="16" customHeight="1" x14ac:dyDescent="0.2">
      <c r="A36" s="347" t="s">
        <v>149</v>
      </c>
      <c r="B36" s="392"/>
      <c r="C36" s="393"/>
      <c r="D36" s="393"/>
      <c r="E36" s="393"/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393"/>
      <c r="Q36" s="393"/>
      <c r="R36" s="412"/>
      <c r="S36" s="411"/>
      <c r="T36" s="411"/>
      <c r="U36" s="411"/>
      <c r="V36" s="411"/>
      <c r="W36" s="411"/>
      <c r="X36" s="411"/>
      <c r="Y36" s="411">
        <v>1200000</v>
      </c>
      <c r="Z36" s="411">
        <v>0</v>
      </c>
      <c r="AA36" s="411">
        <v>0</v>
      </c>
      <c r="AB36" s="412"/>
      <c r="AC36" s="411"/>
      <c r="AD36" s="411"/>
      <c r="AE36" s="411"/>
      <c r="AF36" s="411"/>
      <c r="AG36" s="411"/>
      <c r="AH36" s="411"/>
      <c r="AI36" s="411"/>
      <c r="AJ36" s="412"/>
      <c r="AK36" s="411"/>
      <c r="AL36" s="411"/>
      <c r="AM36" s="411"/>
      <c r="AN36" s="411"/>
      <c r="AO36" s="411"/>
      <c r="AP36" s="411"/>
      <c r="AQ36" s="411"/>
      <c r="AR36" s="411"/>
      <c r="AS36" s="411"/>
      <c r="AT36" s="411"/>
      <c r="AU36" s="411"/>
      <c r="AV36" s="411"/>
      <c r="AW36" s="411"/>
      <c r="AX36" s="411"/>
      <c r="AY36" s="411"/>
      <c r="AZ36" s="411"/>
      <c r="BA36" s="411"/>
      <c r="BB36" s="413"/>
      <c r="BC36" s="411"/>
      <c r="BD36" s="411"/>
      <c r="BE36" s="411"/>
      <c r="BF36" s="411"/>
      <c r="BG36" s="411"/>
      <c r="BH36" s="411"/>
      <c r="BI36" s="414"/>
      <c r="BJ36" s="415"/>
    </row>
    <row r="37" spans="1:62" ht="16" customHeight="1" x14ac:dyDescent="0.2">
      <c r="A37" s="347" t="s">
        <v>461</v>
      </c>
      <c r="B37" s="392"/>
      <c r="C37" s="393"/>
      <c r="D37" s="393"/>
      <c r="E37" s="393"/>
      <c r="F37" s="393"/>
      <c r="G37" s="393"/>
      <c r="H37" s="393"/>
      <c r="I37" s="393"/>
      <c r="J37" s="393">
        <v>0</v>
      </c>
      <c r="K37" s="393">
        <v>0</v>
      </c>
      <c r="L37" s="393">
        <v>2897.29</v>
      </c>
      <c r="M37" s="393">
        <v>3540</v>
      </c>
      <c r="N37" s="393">
        <v>2852.26</v>
      </c>
      <c r="O37" s="393">
        <v>2835.05</v>
      </c>
      <c r="P37" s="393">
        <v>69771.899999999994</v>
      </c>
      <c r="Q37" s="393">
        <v>2809.7</v>
      </c>
      <c r="R37" s="412">
        <v>2809.12</v>
      </c>
      <c r="S37" s="411">
        <v>2766.97</v>
      </c>
      <c r="T37" s="411">
        <v>2760.42</v>
      </c>
      <c r="U37" s="411">
        <v>2790.33</v>
      </c>
      <c r="V37" s="411">
        <v>2782.75</v>
      </c>
      <c r="W37" s="411">
        <v>0</v>
      </c>
      <c r="X37" s="411">
        <v>3101.84</v>
      </c>
      <c r="Y37" s="411">
        <v>3254.24</v>
      </c>
      <c r="Z37" s="411">
        <v>0</v>
      </c>
      <c r="AA37" s="411">
        <v>0</v>
      </c>
      <c r="AB37" s="412"/>
      <c r="AC37" s="411"/>
      <c r="AD37" s="411"/>
      <c r="AE37" s="411"/>
      <c r="AF37" s="411"/>
      <c r="AG37" s="411"/>
      <c r="AH37" s="411"/>
      <c r="AI37" s="411"/>
      <c r="AJ37" s="412"/>
      <c r="AK37" s="411"/>
      <c r="AL37" s="411"/>
      <c r="AM37" s="411"/>
      <c r="AN37" s="411"/>
      <c r="AO37" s="411"/>
      <c r="AP37" s="411"/>
      <c r="AQ37" s="411"/>
      <c r="AR37" s="411"/>
      <c r="AS37" s="411"/>
      <c r="AT37" s="411"/>
      <c r="AU37" s="411"/>
      <c r="AV37" s="411"/>
      <c r="AW37" s="411"/>
      <c r="AX37" s="411"/>
      <c r="AY37" s="411"/>
      <c r="AZ37" s="411"/>
      <c r="BA37" s="411"/>
      <c r="BB37" s="413"/>
      <c r="BC37" s="411"/>
      <c r="BD37" s="411"/>
      <c r="BE37" s="411"/>
      <c r="BF37" s="411"/>
      <c r="BG37" s="411"/>
      <c r="BH37" s="411"/>
      <c r="BI37" s="414"/>
      <c r="BJ37" s="415"/>
    </row>
    <row r="38" spans="1:62" ht="16" customHeight="1" x14ac:dyDescent="0.2">
      <c r="A38" s="347" t="s">
        <v>52</v>
      </c>
      <c r="B38" s="392"/>
      <c r="C38" s="393"/>
      <c r="D38" s="393"/>
      <c r="E38" s="393"/>
      <c r="F38" s="393"/>
      <c r="G38" s="393"/>
      <c r="H38" s="393"/>
      <c r="I38" s="393"/>
      <c r="J38" s="393">
        <v>967</v>
      </c>
      <c r="K38" s="393">
        <v>10181</v>
      </c>
      <c r="L38" s="393">
        <v>3713</v>
      </c>
      <c r="M38" s="393">
        <v>53155</v>
      </c>
      <c r="N38" s="393">
        <v>11246</v>
      </c>
      <c r="O38" s="393">
        <v>14543.900000000001</v>
      </c>
      <c r="P38" s="393">
        <v>14096.599999999999</v>
      </c>
      <c r="Q38" s="393">
        <f>650+351906-145330</f>
        <v>207226</v>
      </c>
      <c r="R38" s="412">
        <v>59340.800000000003</v>
      </c>
      <c r="S38" s="411">
        <v>76367</v>
      </c>
      <c r="T38" s="411">
        <v>66875.33</v>
      </c>
      <c r="U38" s="411">
        <v>84248</v>
      </c>
      <c r="V38" s="411">
        <v>110150.35</v>
      </c>
      <c r="W38" s="411">
        <v>61362</v>
      </c>
      <c r="X38" s="411">
        <f>52974+53151</f>
        <v>106125</v>
      </c>
      <c r="Y38" s="411">
        <v>36700.28</v>
      </c>
      <c r="Z38" s="411">
        <v>0</v>
      </c>
      <c r="AA38" s="411">
        <v>0</v>
      </c>
      <c r="AB38" s="412"/>
      <c r="AC38" s="411"/>
      <c r="AD38" s="411"/>
      <c r="AE38" s="411"/>
      <c r="AF38" s="411"/>
      <c r="AG38" s="411"/>
      <c r="AH38" s="411"/>
      <c r="AI38" s="411"/>
      <c r="AJ38" s="412"/>
      <c r="AK38" s="411"/>
      <c r="AL38" s="411"/>
      <c r="AM38" s="411"/>
      <c r="AN38" s="411"/>
      <c r="AO38" s="411"/>
      <c r="AP38" s="411"/>
      <c r="AQ38" s="411"/>
      <c r="AR38" s="411"/>
      <c r="AS38" s="411"/>
      <c r="AT38" s="411"/>
      <c r="AU38" s="411"/>
      <c r="AV38" s="411"/>
      <c r="AW38" s="411"/>
      <c r="AX38" s="411"/>
      <c r="AY38" s="411"/>
      <c r="AZ38" s="411"/>
      <c r="BA38" s="411"/>
      <c r="BB38" s="413"/>
      <c r="BC38" s="411"/>
      <c r="BD38" s="411"/>
      <c r="BE38" s="411"/>
      <c r="BF38" s="411"/>
      <c r="BG38" s="411"/>
      <c r="BH38" s="411"/>
      <c r="BI38" s="414"/>
      <c r="BJ38" s="415"/>
    </row>
    <row r="39" spans="1:62" ht="16" customHeight="1" x14ac:dyDescent="0.2">
      <c r="A39" s="354" t="s">
        <v>53</v>
      </c>
      <c r="B39" s="417">
        <f t="shared" ref="B39:Y39" si="17">B32/B6</f>
        <v>0.17312296603174437</v>
      </c>
      <c r="C39" s="376">
        <f t="shared" si="17"/>
        <v>0.21226182658698287</v>
      </c>
      <c r="D39" s="376">
        <f t="shared" si="17"/>
        <v>0.16669134240579908</v>
      </c>
      <c r="E39" s="376">
        <f t="shared" si="17"/>
        <v>0.1691801183940061</v>
      </c>
      <c r="F39" s="376">
        <f t="shared" si="17"/>
        <v>0.15363366314262211</v>
      </c>
      <c r="G39" s="376">
        <f t="shared" si="17"/>
        <v>0.1958737808774402</v>
      </c>
      <c r="H39" s="376">
        <f t="shared" si="17"/>
        <v>0.19285721395026939</v>
      </c>
      <c r="I39" s="376">
        <f t="shared" si="17"/>
        <v>0.16371917748365114</v>
      </c>
      <c r="J39" s="376">
        <f t="shared" si="17"/>
        <v>0.17496202491780105</v>
      </c>
      <c r="K39" s="376">
        <f t="shared" si="17"/>
        <v>0.12929400599207422</v>
      </c>
      <c r="L39" s="376">
        <f t="shared" si="17"/>
        <v>0.14823837115850599</v>
      </c>
      <c r="M39" s="376">
        <f t="shared" si="17"/>
        <v>0.17335672388838849</v>
      </c>
      <c r="N39" s="376">
        <f t="shared" si="17"/>
        <v>0.17326018042197061</v>
      </c>
      <c r="O39" s="376">
        <f t="shared" si="17"/>
        <v>0.15599894406475737</v>
      </c>
      <c r="P39" s="376">
        <f t="shared" si="17"/>
        <v>0.18447295775876604</v>
      </c>
      <c r="Q39" s="376">
        <f t="shared" si="17"/>
        <v>0.24743458824399517</v>
      </c>
      <c r="R39" s="377">
        <f t="shared" si="17"/>
        <v>0.19796234339147523</v>
      </c>
      <c r="S39" s="378">
        <f t="shared" si="17"/>
        <v>0.21699384518990489</v>
      </c>
      <c r="T39" s="378">
        <f t="shared" si="17"/>
        <v>0.22833132850693041</v>
      </c>
      <c r="U39" s="378">
        <f t="shared" si="17"/>
        <v>0.22408349347782044</v>
      </c>
      <c r="V39" s="378">
        <f t="shared" si="17"/>
        <v>0.18716706380699202</v>
      </c>
      <c r="W39" s="378">
        <f t="shared" si="17"/>
        <v>0.20348896020782062</v>
      </c>
      <c r="X39" s="378">
        <f t="shared" si="17"/>
        <v>0.21586371291045159</v>
      </c>
      <c r="Y39" s="378">
        <f t="shared" si="17"/>
        <v>0.72322000967891031</v>
      </c>
      <c r="Z39" s="378">
        <f>IFERROR(Z32/Z6,0)</f>
        <v>0</v>
      </c>
      <c r="AA39" s="378">
        <f>IFERROR(AA32/AA6,0)</f>
        <v>0.29088611029403405</v>
      </c>
      <c r="AB39" s="377"/>
      <c r="AC39" s="378"/>
      <c r="AD39" s="378"/>
      <c r="AE39" s="378"/>
      <c r="AF39" s="378"/>
      <c r="AG39" s="378"/>
      <c r="AH39" s="378"/>
      <c r="AI39" s="378"/>
      <c r="AJ39" s="377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9"/>
      <c r="BC39" s="378"/>
      <c r="BD39" s="378"/>
      <c r="BE39" s="378"/>
      <c r="BF39" s="378"/>
      <c r="BG39" s="378"/>
      <c r="BH39" s="378"/>
      <c r="BI39" s="380"/>
      <c r="BJ39" s="381"/>
    </row>
    <row r="40" spans="1:62" ht="16" customHeight="1" x14ac:dyDescent="0.2">
      <c r="A40" s="354"/>
      <c r="B40" s="348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50"/>
      <c r="S40" s="349"/>
      <c r="T40" s="349"/>
      <c r="U40" s="349"/>
      <c r="V40" s="349"/>
      <c r="W40" s="349"/>
      <c r="X40" s="349"/>
      <c r="Y40" s="349"/>
      <c r="Z40" s="349"/>
      <c r="AA40" s="349"/>
      <c r="AB40" s="350"/>
      <c r="AC40" s="349"/>
      <c r="AD40" s="349"/>
      <c r="AE40" s="349"/>
      <c r="AF40" s="349"/>
      <c r="AG40" s="349"/>
      <c r="AH40" s="349"/>
      <c r="AI40" s="349"/>
      <c r="AJ40" s="350"/>
      <c r="AK40" s="349"/>
      <c r="AL40" s="349"/>
      <c r="AM40" s="349"/>
      <c r="AN40" s="349"/>
      <c r="AO40" s="349"/>
      <c r="AP40" s="349"/>
      <c r="AQ40" s="349"/>
      <c r="AR40" s="349"/>
      <c r="AS40" s="349"/>
      <c r="AT40" s="349"/>
      <c r="AU40" s="349"/>
      <c r="AV40" s="349"/>
      <c r="AW40" s="349"/>
      <c r="AX40" s="349"/>
      <c r="AY40" s="349"/>
      <c r="AZ40" s="349"/>
      <c r="BA40" s="349"/>
      <c r="BB40" s="351"/>
      <c r="BC40" s="349"/>
      <c r="BD40" s="349"/>
      <c r="BE40" s="349"/>
      <c r="BF40" s="349"/>
      <c r="BG40" s="349"/>
      <c r="BH40" s="349"/>
      <c r="BI40" s="352"/>
      <c r="BJ40" s="353"/>
    </row>
    <row r="41" spans="1:62" ht="16" customHeight="1" x14ac:dyDescent="0.2">
      <c r="A41" s="340" t="s">
        <v>54</v>
      </c>
      <c r="B41" s="361">
        <f t="shared" ref="B41:Y41" si="18">B29-B32</f>
        <v>-297790.85714285716</v>
      </c>
      <c r="C41" s="342">
        <f t="shared" si="18"/>
        <v>-404738.99999999994</v>
      </c>
      <c r="D41" s="342">
        <f t="shared" si="18"/>
        <v>-336804.85714285722</v>
      </c>
      <c r="E41" s="342">
        <f t="shared" si="18"/>
        <v>-369928.85714285728</v>
      </c>
      <c r="F41" s="342">
        <f t="shared" si="18"/>
        <v>-622861.42857142864</v>
      </c>
      <c r="G41" s="342">
        <f t="shared" si="18"/>
        <v>-4287872.1428571427</v>
      </c>
      <c r="H41" s="342">
        <f t="shared" si="18"/>
        <v>-3311008.4285714282</v>
      </c>
      <c r="I41" s="342">
        <f t="shared" si="18"/>
        <v>-1286160.4285714289</v>
      </c>
      <c r="J41" s="342">
        <f t="shared" si="18"/>
        <v>-715334.79771428555</v>
      </c>
      <c r="K41" s="342">
        <f t="shared" si="18"/>
        <v>-1062787.0765714287</v>
      </c>
      <c r="L41" s="342">
        <f t="shared" si="18"/>
        <v>-2365434.4142857143</v>
      </c>
      <c r="M41" s="342">
        <f t="shared" si="18"/>
        <v>-2761200.6673523802</v>
      </c>
      <c r="N41" s="342">
        <f t="shared" si="18"/>
        <v>-2186296.3112430461</v>
      </c>
      <c r="O41" s="342">
        <f t="shared" si="18"/>
        <v>-1139696.4369651745</v>
      </c>
      <c r="P41" s="342">
        <f t="shared" si="18"/>
        <v>-2439502.3847619053</v>
      </c>
      <c r="Q41" s="342">
        <f t="shared" si="18"/>
        <v>-2904034.5496384129</v>
      </c>
      <c r="R41" s="362">
        <f t="shared" si="18"/>
        <v>-1594456.9200000002</v>
      </c>
      <c r="S41" s="363">
        <f t="shared" si="18"/>
        <v>-1630869.97</v>
      </c>
      <c r="T41" s="363">
        <f t="shared" si="18"/>
        <v>-1774175.0499999998</v>
      </c>
      <c r="U41" s="363">
        <f t="shared" si="18"/>
        <v>-1362159.43</v>
      </c>
      <c r="V41" s="363">
        <f t="shared" si="18"/>
        <v>-1303479.6508474597</v>
      </c>
      <c r="W41" s="363">
        <f t="shared" si="18"/>
        <v>-1291248.50847458</v>
      </c>
      <c r="X41" s="363">
        <f t="shared" si="18"/>
        <v>-1332250.4200000004</v>
      </c>
      <c r="Y41" s="363">
        <f t="shared" si="18"/>
        <v>-2944698.6999731762</v>
      </c>
      <c r="Z41" s="363">
        <f>Z29-Z32</f>
        <v>-707858</v>
      </c>
      <c r="AA41" s="363">
        <f>AA29-AA32</f>
        <v>-717028.86912810139</v>
      </c>
      <c r="AB41" s="362"/>
      <c r="AC41" s="363"/>
      <c r="AD41" s="363"/>
      <c r="AE41" s="363"/>
      <c r="AF41" s="363"/>
      <c r="AG41" s="363"/>
      <c r="AH41" s="363"/>
      <c r="AI41" s="363"/>
      <c r="AJ41" s="362"/>
      <c r="AK41" s="363"/>
      <c r="AL41" s="363"/>
      <c r="AM41" s="363"/>
      <c r="AN41" s="363"/>
      <c r="AO41" s="363"/>
      <c r="AP41" s="363"/>
      <c r="AQ41" s="363"/>
      <c r="AR41" s="363"/>
      <c r="AS41" s="363"/>
      <c r="AT41" s="363"/>
      <c r="AU41" s="363"/>
      <c r="AV41" s="363"/>
      <c r="AW41" s="363"/>
      <c r="AX41" s="363"/>
      <c r="AY41" s="363"/>
      <c r="AZ41" s="363"/>
      <c r="BA41" s="363"/>
      <c r="BB41" s="364"/>
      <c r="BC41" s="363"/>
      <c r="BD41" s="363"/>
      <c r="BE41" s="363"/>
      <c r="BF41" s="363"/>
      <c r="BG41" s="363"/>
      <c r="BH41" s="363"/>
      <c r="BI41" s="365"/>
      <c r="BJ41" s="366"/>
    </row>
    <row r="42" spans="1:62" ht="16" customHeight="1" x14ac:dyDescent="0.2">
      <c r="A42" s="367" t="s">
        <v>55</v>
      </c>
      <c r="B42" s="417">
        <f t="shared" ref="B42:Y42" si="19">B41/B6</f>
        <v>-0.3131229209680581</v>
      </c>
      <c r="C42" s="376">
        <f t="shared" si="19"/>
        <v>-0.32934286683770986</v>
      </c>
      <c r="D42" s="376">
        <f t="shared" si="19"/>
        <v>-0.20153473979347608</v>
      </c>
      <c r="E42" s="376">
        <f t="shared" si="19"/>
        <v>-0.18972802495806323</v>
      </c>
      <c r="F42" s="376">
        <f t="shared" si="19"/>
        <v>-0.29943950941157316</v>
      </c>
      <c r="G42" s="376">
        <f t="shared" si="19"/>
        <v>-1.6167672750426894</v>
      </c>
      <c r="H42" s="376">
        <f t="shared" si="19"/>
        <v>-1.0630513472629077</v>
      </c>
      <c r="I42" s="376">
        <f t="shared" si="19"/>
        <v>-0.29477531882561786</v>
      </c>
      <c r="J42" s="376">
        <f t="shared" si="19"/>
        <v>-0.11296551359133196</v>
      </c>
      <c r="K42" s="376">
        <f t="shared" si="19"/>
        <v>-0.12531229133875299</v>
      </c>
      <c r="L42" s="376">
        <f t="shared" si="19"/>
        <v>-0.29014382901188956</v>
      </c>
      <c r="M42" s="376">
        <f t="shared" si="19"/>
        <v>-0.30496338135880086</v>
      </c>
      <c r="N42" s="376">
        <f t="shared" si="19"/>
        <v>-0.23058811525175271</v>
      </c>
      <c r="O42" s="376">
        <f t="shared" si="19"/>
        <v>-0.12026890730457149</v>
      </c>
      <c r="P42" s="376">
        <f t="shared" si="19"/>
        <v>-0.29062353546335201</v>
      </c>
      <c r="Q42" s="376">
        <f t="shared" si="19"/>
        <v>-0.4532601336608546</v>
      </c>
      <c r="R42" s="377">
        <f t="shared" si="19"/>
        <v>-0.27110597392925551</v>
      </c>
      <c r="S42" s="378">
        <f t="shared" si="19"/>
        <v>-0.30018825752499989</v>
      </c>
      <c r="T42" s="378">
        <f t="shared" si="19"/>
        <v>-0.34294516956037563</v>
      </c>
      <c r="U42" s="378">
        <f t="shared" si="19"/>
        <v>-0.29389332877657809</v>
      </c>
      <c r="V42" s="378">
        <f t="shared" si="19"/>
        <v>-0.29323604368301387</v>
      </c>
      <c r="W42" s="378">
        <f t="shared" si="19"/>
        <v>-0.32917923604179283</v>
      </c>
      <c r="X42" s="378">
        <f t="shared" si="19"/>
        <v>-0.35070074844214955</v>
      </c>
      <c r="Y42" s="378">
        <f t="shared" si="19"/>
        <v>-1.1057695911062155</v>
      </c>
      <c r="Z42" s="378">
        <f>IFERROR(Z41/Z6,0)</f>
        <v>0</v>
      </c>
      <c r="AA42" s="378">
        <f>IFERROR(AA41/AA6,0)</f>
        <v>-1.3444185759293681</v>
      </c>
      <c r="AB42" s="377"/>
      <c r="AC42" s="378"/>
      <c r="AD42" s="378"/>
      <c r="AE42" s="378"/>
      <c r="AF42" s="378"/>
      <c r="AG42" s="378"/>
      <c r="AH42" s="378"/>
      <c r="AI42" s="378"/>
      <c r="AJ42" s="377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9"/>
      <c r="BC42" s="378"/>
      <c r="BD42" s="378"/>
      <c r="BE42" s="378"/>
      <c r="BF42" s="378"/>
      <c r="BG42" s="378"/>
      <c r="BH42" s="378"/>
      <c r="BI42" s="380"/>
      <c r="BJ42" s="381"/>
    </row>
    <row r="43" spans="1:62" ht="16" customHeight="1" x14ac:dyDescent="0.2">
      <c r="A43" s="367"/>
      <c r="B43" s="392"/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412"/>
      <c r="S43" s="411"/>
      <c r="T43" s="411"/>
      <c r="U43" s="411"/>
      <c r="V43" s="411"/>
      <c r="W43" s="411"/>
      <c r="X43" s="411"/>
      <c r="Y43" s="411"/>
      <c r="Z43" s="411"/>
      <c r="AA43" s="411"/>
      <c r="AB43" s="412"/>
      <c r="AC43" s="411"/>
      <c r="AD43" s="411"/>
      <c r="AE43" s="411"/>
      <c r="AF43" s="411"/>
      <c r="AG43" s="411"/>
      <c r="AH43" s="411"/>
      <c r="AI43" s="411"/>
      <c r="AJ43" s="412"/>
      <c r="AK43" s="411"/>
      <c r="AL43" s="411"/>
      <c r="AM43" s="411"/>
      <c r="AN43" s="411"/>
      <c r="AO43" s="411"/>
      <c r="AP43" s="411"/>
      <c r="AQ43" s="411"/>
      <c r="AR43" s="411"/>
      <c r="AS43" s="411"/>
      <c r="AT43" s="411"/>
      <c r="AU43" s="411"/>
      <c r="AV43" s="411"/>
      <c r="AW43" s="411"/>
      <c r="AX43" s="411"/>
      <c r="AY43" s="411"/>
      <c r="AZ43" s="411"/>
      <c r="BA43" s="411"/>
      <c r="BB43" s="413"/>
      <c r="BC43" s="411"/>
      <c r="BD43" s="411"/>
      <c r="BE43" s="411"/>
      <c r="BF43" s="411"/>
      <c r="BG43" s="411"/>
      <c r="BH43" s="411"/>
      <c r="BI43" s="414"/>
      <c r="BJ43" s="415"/>
    </row>
    <row r="44" spans="1:62" ht="16" customHeight="1" x14ac:dyDescent="0.2">
      <c r="A44" s="340" t="s">
        <v>56</v>
      </c>
      <c r="B44" s="361">
        <v>526986</v>
      </c>
      <c r="C44" s="342">
        <v>905464</v>
      </c>
      <c r="D44" s="342">
        <v>1435806</v>
      </c>
      <c r="E44" s="342">
        <v>1083835</v>
      </c>
      <c r="F44" s="342">
        <v>2148782</v>
      </c>
      <c r="G44" s="342">
        <v>1292154</v>
      </c>
      <c r="H44" s="342">
        <v>1656926</v>
      </c>
      <c r="I44" s="342">
        <v>4136800</v>
      </c>
      <c r="J44" s="342">
        <v>1170763</v>
      </c>
      <c r="K44" s="342">
        <v>1831802</v>
      </c>
      <c r="L44" s="342">
        <v>1586231</v>
      </c>
      <c r="M44" s="342">
        <v>1659451</v>
      </c>
      <c r="N44" s="342">
        <v>1943544</v>
      </c>
      <c r="O44" s="342">
        <v>2151840.87</v>
      </c>
      <c r="P44" s="342">
        <v>2109827</v>
      </c>
      <c r="Q44" s="342">
        <f>519227</f>
        <v>519227</v>
      </c>
      <c r="R44" s="362">
        <v>98658</v>
      </c>
      <c r="S44" s="363">
        <v>18050</v>
      </c>
      <c r="T44" s="363">
        <v>22550</v>
      </c>
      <c r="U44" s="363">
        <v>11250</v>
      </c>
      <c r="V44" s="363">
        <v>10050</v>
      </c>
      <c r="W44" s="363">
        <v>800</v>
      </c>
      <c r="X44" s="363">
        <v>16420</v>
      </c>
      <c r="Y44" s="363">
        <v>10250</v>
      </c>
      <c r="Z44" s="363">
        <v>0</v>
      </c>
      <c r="AA44" s="363">
        <v>0</v>
      </c>
      <c r="AB44" s="362"/>
      <c r="AC44" s="363"/>
      <c r="AD44" s="363"/>
      <c r="AE44" s="363"/>
      <c r="AF44" s="363"/>
      <c r="AG44" s="363"/>
      <c r="AH44" s="363"/>
      <c r="AI44" s="363"/>
      <c r="AJ44" s="362"/>
      <c r="AK44" s="363"/>
      <c r="AL44" s="363"/>
      <c r="AM44" s="363"/>
      <c r="AN44" s="363"/>
      <c r="AO44" s="363"/>
      <c r="AP44" s="363"/>
      <c r="AQ44" s="363"/>
      <c r="AR44" s="363"/>
      <c r="AS44" s="363"/>
      <c r="AT44" s="363"/>
      <c r="AU44" s="363"/>
      <c r="AV44" s="363"/>
      <c r="AW44" s="363"/>
      <c r="AX44" s="363"/>
      <c r="AY44" s="363"/>
      <c r="AZ44" s="363"/>
      <c r="BA44" s="363"/>
      <c r="BB44" s="364"/>
      <c r="BC44" s="363"/>
      <c r="BD44" s="363"/>
      <c r="BE44" s="363"/>
      <c r="BF44" s="363"/>
      <c r="BG44" s="363"/>
      <c r="BH44" s="363"/>
      <c r="BI44" s="365"/>
      <c r="BJ44" s="366"/>
    </row>
    <row r="45" spans="1:62" ht="16" customHeight="1" x14ac:dyDescent="0.2">
      <c r="A45" s="367" t="s">
        <v>57</v>
      </c>
      <c r="B45" s="417">
        <f t="shared" ref="B45:Y45" si="20">B44/B6</f>
        <v>0.55411840783987976</v>
      </c>
      <c r="C45" s="418">
        <f t="shared" si="20"/>
        <v>0.73679114090399034</v>
      </c>
      <c r="D45" s="418">
        <f t="shared" si="20"/>
        <v>0.85914672091910005</v>
      </c>
      <c r="E45" s="418">
        <f t="shared" si="20"/>
        <v>0.55587410919665503</v>
      </c>
      <c r="F45" s="418">
        <f t="shared" si="20"/>
        <v>1.0330230744712612</v>
      </c>
      <c r="G45" s="418">
        <f t="shared" si="20"/>
        <v>0.4872142246581706</v>
      </c>
      <c r="H45" s="418">
        <f t="shared" si="20"/>
        <v>0.53198216030362544</v>
      </c>
      <c r="I45" s="418">
        <f t="shared" si="20"/>
        <v>0.94811386809051823</v>
      </c>
      <c r="J45" s="418">
        <f t="shared" si="20"/>
        <v>0.18488663491742138</v>
      </c>
      <c r="K45" s="418">
        <f t="shared" si="20"/>
        <v>0.21598616595850448</v>
      </c>
      <c r="L45" s="418">
        <f t="shared" si="20"/>
        <v>0.19456685556692341</v>
      </c>
      <c r="M45" s="418">
        <f t="shared" si="20"/>
        <v>0.18327961243197083</v>
      </c>
      <c r="N45" s="418">
        <f t="shared" si="20"/>
        <v>0.20498509079679439</v>
      </c>
      <c r="O45" s="418">
        <f t="shared" si="20"/>
        <v>0.22707761622679054</v>
      </c>
      <c r="P45" s="418">
        <f t="shared" si="20"/>
        <v>0.25134854787849792</v>
      </c>
      <c r="Q45" s="418">
        <f t="shared" si="20"/>
        <v>8.1040667870025104E-2</v>
      </c>
      <c r="R45" s="377">
        <f t="shared" si="20"/>
        <v>1.6774848439249451E-2</v>
      </c>
      <c r="S45" s="378">
        <f t="shared" si="20"/>
        <v>3.3223973388425616E-3</v>
      </c>
      <c r="T45" s="378">
        <f t="shared" si="20"/>
        <v>4.3588785523652083E-3</v>
      </c>
      <c r="U45" s="378">
        <f t="shared" si="20"/>
        <v>2.4272488784492017E-3</v>
      </c>
      <c r="V45" s="378">
        <f t="shared" si="20"/>
        <v>2.2608885663065606E-3</v>
      </c>
      <c r="W45" s="378">
        <f t="shared" si="20"/>
        <v>2.0394477678393271E-4</v>
      </c>
      <c r="X45" s="378">
        <f t="shared" si="20"/>
        <v>4.3223902976289507E-3</v>
      </c>
      <c r="Y45" s="378">
        <f t="shared" si="20"/>
        <v>3.8489976271399019E-3</v>
      </c>
      <c r="Z45" s="378">
        <f>IFERROR(Z44/Z6,0)</f>
        <v>0</v>
      </c>
      <c r="AA45" s="378">
        <f>IFERROR(AA44/AA6,0)</f>
        <v>0</v>
      </c>
      <c r="AB45" s="377"/>
      <c r="AC45" s="378"/>
      <c r="AD45" s="378"/>
      <c r="AE45" s="378"/>
      <c r="AF45" s="378"/>
      <c r="AG45" s="378"/>
      <c r="AH45" s="378"/>
      <c r="AI45" s="378"/>
      <c r="AJ45" s="377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9"/>
      <c r="BC45" s="378"/>
      <c r="BD45" s="378"/>
      <c r="BE45" s="378"/>
      <c r="BF45" s="378"/>
      <c r="BG45" s="378"/>
      <c r="BH45" s="378"/>
      <c r="BI45" s="380"/>
      <c r="BJ45" s="381"/>
    </row>
    <row r="46" spans="1:62" ht="16" customHeight="1" x14ac:dyDescent="0.2">
      <c r="A46" s="367"/>
      <c r="B46" s="419"/>
      <c r="C46" s="420"/>
      <c r="D46" s="420"/>
      <c r="E46" s="420"/>
      <c r="F46" s="420"/>
      <c r="G46" s="420"/>
      <c r="H46" s="420"/>
      <c r="I46" s="420"/>
      <c r="J46" s="420"/>
      <c r="K46" s="420"/>
      <c r="L46" s="420"/>
      <c r="M46" s="420"/>
      <c r="N46" s="420"/>
      <c r="O46" s="420"/>
      <c r="P46" s="420"/>
      <c r="Q46" s="420"/>
      <c r="R46" s="421"/>
      <c r="S46" s="422"/>
      <c r="T46" s="422"/>
      <c r="U46" s="422"/>
      <c r="V46" s="422"/>
      <c r="W46" s="422"/>
      <c r="X46" s="422"/>
      <c r="Y46" s="422"/>
      <c r="Z46" s="422"/>
      <c r="AA46" s="422"/>
      <c r="AB46" s="421"/>
      <c r="AC46" s="422"/>
      <c r="AD46" s="422"/>
      <c r="AE46" s="422"/>
      <c r="AF46" s="422"/>
      <c r="AG46" s="422"/>
      <c r="AH46" s="422"/>
      <c r="AI46" s="422"/>
      <c r="AJ46" s="421"/>
      <c r="AK46" s="422"/>
      <c r="AL46" s="422"/>
      <c r="AM46" s="422"/>
      <c r="AN46" s="422"/>
      <c r="AO46" s="422"/>
      <c r="AP46" s="422"/>
      <c r="AQ46" s="422"/>
      <c r="AR46" s="422"/>
      <c r="AS46" s="422"/>
      <c r="AT46" s="422"/>
      <c r="AU46" s="422"/>
      <c r="AV46" s="422"/>
      <c r="AW46" s="422"/>
      <c r="AX46" s="422"/>
      <c r="AY46" s="422"/>
      <c r="AZ46" s="422"/>
      <c r="BA46" s="422"/>
      <c r="BB46" s="423"/>
      <c r="BC46" s="422"/>
      <c r="BD46" s="422"/>
      <c r="BE46" s="422"/>
      <c r="BF46" s="422"/>
      <c r="BG46" s="422"/>
      <c r="BH46" s="422"/>
      <c r="BI46" s="424"/>
      <c r="BJ46" s="425"/>
    </row>
    <row r="47" spans="1:62" ht="16" customHeight="1" x14ac:dyDescent="0.2">
      <c r="A47" s="340" t="s">
        <v>58</v>
      </c>
      <c r="B47" s="361">
        <f>B41-B44</f>
        <v>-824776.85714285716</v>
      </c>
      <c r="C47" s="342">
        <f t="shared" ref="C47:AA47" si="21">C41-C44</f>
        <v>-1310203</v>
      </c>
      <c r="D47" s="342">
        <f t="shared" si="21"/>
        <v>-1772610.8571428573</v>
      </c>
      <c r="E47" s="342">
        <f t="shared" si="21"/>
        <v>-1453763.8571428573</v>
      </c>
      <c r="F47" s="342">
        <f t="shared" si="21"/>
        <v>-2771643.4285714286</v>
      </c>
      <c r="G47" s="342">
        <f t="shared" si="21"/>
        <v>-5580026.1428571427</v>
      </c>
      <c r="H47" s="342">
        <f t="shared" si="21"/>
        <v>-4967934.4285714282</v>
      </c>
      <c r="I47" s="342">
        <f t="shared" si="21"/>
        <v>-5422960.4285714291</v>
      </c>
      <c r="J47" s="342">
        <f t="shared" si="21"/>
        <v>-1886097.7977142856</v>
      </c>
      <c r="K47" s="342">
        <f t="shared" si="21"/>
        <v>-2894589.0765714287</v>
      </c>
      <c r="L47" s="342">
        <f t="shared" si="21"/>
        <v>-3951665.4142857143</v>
      </c>
      <c r="M47" s="342">
        <f t="shared" si="21"/>
        <v>-4420651.6673523802</v>
      </c>
      <c r="N47" s="342">
        <f t="shared" si="21"/>
        <v>-4129840.3112430461</v>
      </c>
      <c r="O47" s="342">
        <f t="shared" si="21"/>
        <v>-3291537.3069651746</v>
      </c>
      <c r="P47" s="342">
        <f t="shared" si="21"/>
        <v>-4549329.3847619053</v>
      </c>
      <c r="Q47" s="342">
        <f t="shared" si="21"/>
        <v>-3423261.5496384129</v>
      </c>
      <c r="R47" s="362">
        <f t="shared" si="21"/>
        <v>-1693114.9200000002</v>
      </c>
      <c r="S47" s="363">
        <f t="shared" si="21"/>
        <v>-1648919.97</v>
      </c>
      <c r="T47" s="363">
        <f t="shared" si="21"/>
        <v>-1796725.0499999998</v>
      </c>
      <c r="U47" s="363">
        <f t="shared" si="21"/>
        <v>-1373409.43</v>
      </c>
      <c r="V47" s="363">
        <f t="shared" si="21"/>
        <v>-1313529.6508474597</v>
      </c>
      <c r="W47" s="363">
        <f t="shared" si="21"/>
        <v>-1292048.50847458</v>
      </c>
      <c r="X47" s="363">
        <f t="shared" si="21"/>
        <v>-1348670.4200000004</v>
      </c>
      <c r="Y47" s="363">
        <f t="shared" si="21"/>
        <v>-2954948.6999731762</v>
      </c>
      <c r="Z47" s="363">
        <f t="shared" si="21"/>
        <v>-707858</v>
      </c>
      <c r="AA47" s="363">
        <f t="shared" si="21"/>
        <v>-717028.86912810139</v>
      </c>
      <c r="AB47" s="362"/>
      <c r="AC47" s="363"/>
      <c r="AD47" s="363"/>
      <c r="AE47" s="363"/>
      <c r="AF47" s="363"/>
      <c r="AG47" s="363"/>
      <c r="AH47" s="363"/>
      <c r="AI47" s="363"/>
      <c r="AJ47" s="362"/>
      <c r="AK47" s="363"/>
      <c r="AL47" s="363"/>
      <c r="AM47" s="363"/>
      <c r="AN47" s="363"/>
      <c r="AO47" s="363"/>
      <c r="AP47" s="363"/>
      <c r="AQ47" s="363"/>
      <c r="AR47" s="363"/>
      <c r="AS47" s="363"/>
      <c r="AT47" s="363"/>
      <c r="AU47" s="363"/>
      <c r="AV47" s="363"/>
      <c r="AW47" s="363"/>
      <c r="AX47" s="363"/>
      <c r="AY47" s="363"/>
      <c r="AZ47" s="363"/>
      <c r="BA47" s="363"/>
      <c r="BB47" s="364"/>
      <c r="BC47" s="363"/>
      <c r="BD47" s="363"/>
      <c r="BE47" s="363"/>
      <c r="BF47" s="363"/>
      <c r="BG47" s="363"/>
      <c r="BH47" s="363"/>
      <c r="BI47" s="365"/>
      <c r="BJ47" s="366"/>
    </row>
    <row r="48" spans="1:62" ht="16" customHeight="1" x14ac:dyDescent="0.2">
      <c r="A48" s="367" t="s">
        <v>59</v>
      </c>
      <c r="B48" s="417">
        <f t="shared" ref="B48:Y48" si="22">B47/B6</f>
        <v>-0.86724132880793781</v>
      </c>
      <c r="C48" s="426">
        <f t="shared" si="22"/>
        <v>-1.0661340077417003</v>
      </c>
      <c r="D48" s="426">
        <f t="shared" si="22"/>
        <v>-1.0606814607125761</v>
      </c>
      <c r="E48" s="426">
        <f t="shared" si="22"/>
        <v>-0.74560213415471832</v>
      </c>
      <c r="F48" s="426">
        <f t="shared" si="22"/>
        <v>-1.3324625838828343</v>
      </c>
      <c r="G48" s="426">
        <f t="shared" si="22"/>
        <v>-2.1039814997008599</v>
      </c>
      <c r="H48" s="426">
        <f t="shared" si="22"/>
        <v>-1.5950335075665332</v>
      </c>
      <c r="I48" s="426">
        <f t="shared" si="22"/>
        <v>-1.242889186916136</v>
      </c>
      <c r="J48" s="426">
        <f t="shared" si="22"/>
        <v>-0.29785214850875336</v>
      </c>
      <c r="K48" s="426">
        <f t="shared" si="22"/>
        <v>-0.34129845729725744</v>
      </c>
      <c r="L48" s="426">
        <f t="shared" si="22"/>
        <v>-0.484710684578813</v>
      </c>
      <c r="M48" s="426">
        <f t="shared" si="22"/>
        <v>-0.48824299379077168</v>
      </c>
      <c r="N48" s="426">
        <f t="shared" si="22"/>
        <v>-0.4355732060485471</v>
      </c>
      <c r="O48" s="426">
        <f t="shared" si="22"/>
        <v>-0.34734652353136203</v>
      </c>
      <c r="P48" s="426">
        <f t="shared" si="22"/>
        <v>-0.54197208334184999</v>
      </c>
      <c r="Q48" s="426">
        <f t="shared" si="22"/>
        <v>-0.53430080153087967</v>
      </c>
      <c r="R48" s="427">
        <f t="shared" si="22"/>
        <v>-0.28788082236850498</v>
      </c>
      <c r="S48" s="428">
        <f t="shared" si="22"/>
        <v>-0.30351065486384243</v>
      </c>
      <c r="T48" s="428">
        <f t="shared" si="22"/>
        <v>-0.34730404811274085</v>
      </c>
      <c r="U48" s="428">
        <f t="shared" si="22"/>
        <v>-0.29632057765502728</v>
      </c>
      <c r="V48" s="428">
        <f t="shared" si="22"/>
        <v>-0.29549693224932044</v>
      </c>
      <c r="W48" s="428">
        <f t="shared" si="22"/>
        <v>-0.32938318081857676</v>
      </c>
      <c r="X48" s="428">
        <f t="shared" si="22"/>
        <v>-0.35502313873977853</v>
      </c>
      <c r="Y48" s="428">
        <f t="shared" si="22"/>
        <v>-1.1096185887333554</v>
      </c>
      <c r="Z48" s="428">
        <f>IFERROR(Z47/Z6,0)</f>
        <v>0</v>
      </c>
      <c r="AA48" s="428">
        <f>IFERROR(AA47/AA6,0)</f>
        <v>-1.3444185759293681</v>
      </c>
      <c r="AB48" s="427"/>
      <c r="AC48" s="428"/>
      <c r="AD48" s="428"/>
      <c r="AE48" s="428"/>
      <c r="AF48" s="428"/>
      <c r="AG48" s="428"/>
      <c r="AH48" s="428"/>
      <c r="AI48" s="428"/>
      <c r="AJ48" s="427"/>
      <c r="AK48" s="428"/>
      <c r="AL48" s="428"/>
      <c r="AM48" s="428"/>
      <c r="AN48" s="428"/>
      <c r="AO48" s="428"/>
      <c r="AP48" s="428"/>
      <c r="AQ48" s="428"/>
      <c r="AR48" s="428"/>
      <c r="AS48" s="428"/>
      <c r="AT48" s="428"/>
      <c r="AU48" s="428"/>
      <c r="AV48" s="428"/>
      <c r="AW48" s="428"/>
      <c r="AX48" s="428"/>
      <c r="AY48" s="428"/>
      <c r="AZ48" s="428"/>
      <c r="BA48" s="428"/>
      <c r="BB48" s="429"/>
      <c r="BC48" s="428"/>
      <c r="BD48" s="428"/>
      <c r="BE48" s="428"/>
      <c r="BF48" s="428"/>
      <c r="BG48" s="428"/>
      <c r="BH48" s="428"/>
      <c r="BI48" s="430"/>
      <c r="BJ48" s="431"/>
    </row>
    <row r="49" spans="1:62" ht="16" customHeight="1" x14ac:dyDescent="0.2">
      <c r="A49" s="367"/>
      <c r="B49" s="392"/>
      <c r="C49" s="393"/>
      <c r="D49" s="393"/>
      <c r="E49" s="393"/>
      <c r="F49" s="393"/>
      <c r="G49" s="393"/>
      <c r="H49" s="393"/>
      <c r="I49" s="393"/>
      <c r="J49" s="393"/>
      <c r="K49" s="393"/>
      <c r="L49" s="393"/>
      <c r="M49" s="393"/>
      <c r="N49" s="393"/>
      <c r="O49" s="393"/>
      <c r="P49" s="393"/>
      <c r="Q49" s="393"/>
      <c r="R49" s="412"/>
      <c r="S49" s="411"/>
      <c r="T49" s="411"/>
      <c r="U49" s="411"/>
      <c r="V49" s="411"/>
      <c r="W49" s="411"/>
      <c r="X49" s="411"/>
      <c r="Y49" s="411"/>
      <c r="Z49" s="411"/>
      <c r="AA49" s="411"/>
      <c r="AB49" s="412"/>
      <c r="AC49" s="411"/>
      <c r="AD49" s="411"/>
      <c r="AE49" s="411"/>
      <c r="AF49" s="411"/>
      <c r="AG49" s="411"/>
      <c r="AH49" s="411"/>
      <c r="AI49" s="411"/>
      <c r="AJ49" s="412"/>
      <c r="AK49" s="411"/>
      <c r="AL49" s="411"/>
      <c r="AM49" s="411"/>
      <c r="AN49" s="411"/>
      <c r="AO49" s="411"/>
      <c r="AP49" s="411"/>
      <c r="AQ49" s="411"/>
      <c r="AR49" s="411"/>
      <c r="AS49" s="411"/>
      <c r="AT49" s="411"/>
      <c r="AU49" s="411"/>
      <c r="AV49" s="411"/>
      <c r="AW49" s="411"/>
      <c r="AX49" s="411"/>
      <c r="AY49" s="411"/>
      <c r="AZ49" s="411"/>
      <c r="BA49" s="411"/>
      <c r="BB49" s="413"/>
      <c r="BC49" s="411"/>
      <c r="BD49" s="411"/>
      <c r="BE49" s="411"/>
      <c r="BF49" s="411"/>
      <c r="BG49" s="411"/>
      <c r="BH49" s="411"/>
      <c r="BI49" s="414"/>
      <c r="BJ49" s="415"/>
    </row>
    <row r="50" spans="1:62" ht="16" customHeight="1" x14ac:dyDescent="0.2">
      <c r="A50" s="340" t="s">
        <v>153</v>
      </c>
      <c r="B50" s="361">
        <v>0</v>
      </c>
      <c r="C50" s="342">
        <v>0</v>
      </c>
      <c r="D50" s="342">
        <v>0</v>
      </c>
      <c r="E50" s="342">
        <v>0</v>
      </c>
      <c r="F50" s="342">
        <v>0</v>
      </c>
      <c r="G50" s="342">
        <v>0</v>
      </c>
      <c r="H50" s="342">
        <v>0</v>
      </c>
      <c r="I50" s="342">
        <v>0</v>
      </c>
      <c r="J50" s="342">
        <v>4387420.41</v>
      </c>
      <c r="K50" s="342">
        <v>6348055.1950000003</v>
      </c>
      <c r="L50" s="342">
        <v>7878046.8300000001</v>
      </c>
      <c r="M50" s="342">
        <v>4529495.38</v>
      </c>
      <c r="N50" s="342">
        <v>4487306.4800000004</v>
      </c>
      <c r="O50" s="342">
        <v>2593488.96</v>
      </c>
      <c r="P50" s="342">
        <v>0</v>
      </c>
      <c r="Q50" s="342">
        <v>0</v>
      </c>
      <c r="R50" s="362">
        <v>0</v>
      </c>
      <c r="S50" s="363">
        <v>0</v>
      </c>
      <c r="T50" s="363">
        <v>0</v>
      </c>
      <c r="U50" s="363">
        <v>0</v>
      </c>
      <c r="V50" s="363">
        <v>0</v>
      </c>
      <c r="W50" s="363">
        <v>0</v>
      </c>
      <c r="X50" s="363">
        <v>0</v>
      </c>
      <c r="Y50" s="363">
        <v>0</v>
      </c>
      <c r="Z50" s="363">
        <v>0</v>
      </c>
      <c r="AA50" s="363">
        <v>0</v>
      </c>
      <c r="AB50" s="362"/>
      <c r="AC50" s="363"/>
      <c r="AD50" s="363"/>
      <c r="AE50" s="363"/>
      <c r="AF50" s="363"/>
      <c r="AG50" s="363"/>
      <c r="AH50" s="363"/>
      <c r="AI50" s="363"/>
      <c r="AJ50" s="362"/>
      <c r="AK50" s="363"/>
      <c r="AL50" s="363"/>
      <c r="AM50" s="363"/>
      <c r="AN50" s="363"/>
      <c r="AO50" s="363"/>
      <c r="AP50" s="363"/>
      <c r="AQ50" s="363"/>
      <c r="AR50" s="363"/>
      <c r="AS50" s="363"/>
      <c r="AT50" s="363"/>
      <c r="AU50" s="363"/>
      <c r="AV50" s="363"/>
      <c r="AW50" s="363"/>
      <c r="AX50" s="363"/>
      <c r="AY50" s="363"/>
      <c r="AZ50" s="363"/>
      <c r="BA50" s="363"/>
      <c r="BB50" s="364"/>
      <c r="BC50" s="363"/>
      <c r="BD50" s="363"/>
      <c r="BE50" s="363"/>
      <c r="BF50" s="363"/>
      <c r="BG50" s="363"/>
      <c r="BH50" s="363"/>
      <c r="BI50" s="365"/>
      <c r="BJ50" s="366"/>
    </row>
    <row r="51" spans="1:62" x14ac:dyDescent="0.2">
      <c r="A51" s="367" t="s">
        <v>172</v>
      </c>
      <c r="B51" s="417">
        <f t="shared" ref="B51:Y51" si="23">B50/B6</f>
        <v>0</v>
      </c>
      <c r="C51" s="426">
        <f t="shared" si="23"/>
        <v>0</v>
      </c>
      <c r="D51" s="426">
        <f t="shared" si="23"/>
        <v>0</v>
      </c>
      <c r="E51" s="426">
        <f t="shared" si="23"/>
        <v>0</v>
      </c>
      <c r="F51" s="426">
        <f t="shared" si="23"/>
        <v>0</v>
      </c>
      <c r="G51" s="426">
        <f t="shared" si="23"/>
        <v>0</v>
      </c>
      <c r="H51" s="426">
        <f t="shared" si="23"/>
        <v>0</v>
      </c>
      <c r="I51" s="426">
        <f t="shared" si="23"/>
        <v>0</v>
      </c>
      <c r="J51" s="426">
        <f t="shared" si="23"/>
        <v>0.69286046413570745</v>
      </c>
      <c r="K51" s="426">
        <f t="shared" si="23"/>
        <v>0.74849361604639397</v>
      </c>
      <c r="L51" s="426">
        <f t="shared" si="23"/>
        <v>0.96632003770073127</v>
      </c>
      <c r="M51" s="426">
        <f t="shared" si="23"/>
        <v>0.50026433908491563</v>
      </c>
      <c r="N51" s="426">
        <f t="shared" si="23"/>
        <v>0.4732750718459906</v>
      </c>
      <c r="O51" s="426">
        <f t="shared" si="23"/>
        <v>0.27368347676531402</v>
      </c>
      <c r="P51" s="426">
        <f t="shared" si="23"/>
        <v>0</v>
      </c>
      <c r="Q51" s="426">
        <f t="shared" si="23"/>
        <v>0</v>
      </c>
      <c r="R51" s="427">
        <f t="shared" si="23"/>
        <v>0</v>
      </c>
      <c r="S51" s="428">
        <f t="shared" si="23"/>
        <v>0</v>
      </c>
      <c r="T51" s="428">
        <f t="shared" si="23"/>
        <v>0</v>
      </c>
      <c r="U51" s="428">
        <f t="shared" si="23"/>
        <v>0</v>
      </c>
      <c r="V51" s="428">
        <f t="shared" si="23"/>
        <v>0</v>
      </c>
      <c r="W51" s="428">
        <f t="shared" si="23"/>
        <v>0</v>
      </c>
      <c r="X51" s="428">
        <f t="shared" si="23"/>
        <v>0</v>
      </c>
      <c r="Y51" s="428">
        <f t="shared" si="23"/>
        <v>0</v>
      </c>
      <c r="Z51" s="428">
        <f>IFERROR(Z50/Z6,0)</f>
        <v>0</v>
      </c>
      <c r="AA51" s="428">
        <f>IFERROR(AA50/AA6,0)</f>
        <v>0</v>
      </c>
      <c r="AB51" s="427"/>
      <c r="AC51" s="428"/>
      <c r="AD51" s="428"/>
      <c r="AE51" s="428"/>
      <c r="AF51" s="428"/>
      <c r="AG51" s="428"/>
      <c r="AH51" s="428"/>
      <c r="AI51" s="428"/>
      <c r="AJ51" s="427"/>
      <c r="AK51" s="428"/>
      <c r="AL51" s="428"/>
      <c r="AM51" s="428"/>
      <c r="AN51" s="428"/>
      <c r="AO51" s="428"/>
      <c r="AP51" s="428"/>
      <c r="AQ51" s="428"/>
      <c r="AR51" s="428"/>
      <c r="AS51" s="428"/>
      <c r="AT51" s="428"/>
      <c r="AU51" s="428"/>
      <c r="AV51" s="428"/>
      <c r="AW51" s="428"/>
      <c r="AX51" s="428"/>
      <c r="AY51" s="428"/>
      <c r="AZ51" s="428"/>
      <c r="BA51" s="428"/>
      <c r="BB51" s="429"/>
      <c r="BC51" s="428"/>
      <c r="BD51" s="428"/>
      <c r="BE51" s="428"/>
      <c r="BF51" s="428"/>
      <c r="BG51" s="428"/>
      <c r="BH51" s="428"/>
      <c r="BI51" s="430"/>
      <c r="BJ51" s="431"/>
    </row>
    <row r="52" spans="1:62" x14ac:dyDescent="0.2">
      <c r="A52" s="367"/>
      <c r="B52" s="432"/>
      <c r="C52" s="433"/>
      <c r="D52" s="433"/>
      <c r="E52" s="433"/>
      <c r="F52" s="433"/>
      <c r="G52" s="433"/>
      <c r="H52" s="433"/>
      <c r="I52" s="433"/>
      <c r="J52" s="433"/>
      <c r="K52" s="433"/>
      <c r="L52" s="433"/>
      <c r="M52" s="433"/>
      <c r="N52" s="433"/>
      <c r="O52" s="433"/>
      <c r="P52" s="433"/>
      <c r="Q52" s="433"/>
      <c r="S52" s="433"/>
      <c r="T52" s="433"/>
      <c r="U52" s="433"/>
      <c r="V52" s="433"/>
      <c r="W52" s="433"/>
      <c r="X52" s="433"/>
      <c r="Y52" s="433"/>
      <c r="Z52" s="433"/>
      <c r="AA52" s="433"/>
      <c r="AC52" s="433"/>
      <c r="AD52" s="433"/>
      <c r="AE52" s="433"/>
      <c r="AF52" s="433"/>
      <c r="AG52" s="433"/>
      <c r="AH52" s="433"/>
      <c r="AI52" s="433"/>
      <c r="AK52" s="433"/>
      <c r="AL52" s="433"/>
      <c r="AM52" s="433"/>
      <c r="AN52" s="433"/>
      <c r="AO52" s="433"/>
      <c r="AP52" s="433"/>
      <c r="AQ52" s="433"/>
      <c r="AR52" s="433"/>
      <c r="AS52" s="433"/>
      <c r="AT52" s="433"/>
      <c r="AU52" s="433"/>
      <c r="AV52" s="433"/>
      <c r="AW52" s="433"/>
      <c r="AX52" s="433"/>
      <c r="AY52" s="433"/>
      <c r="AZ52" s="433"/>
      <c r="BA52" s="433"/>
      <c r="BB52" s="434"/>
      <c r="BC52" s="433"/>
      <c r="BD52" s="433"/>
      <c r="BE52" s="433"/>
      <c r="BF52" s="433"/>
      <c r="BG52" s="433"/>
      <c r="BH52" s="433"/>
      <c r="BI52" s="435"/>
      <c r="BJ52" s="436"/>
    </row>
    <row r="53" spans="1:62" ht="16" customHeight="1" x14ac:dyDescent="0.2">
      <c r="A53" s="340" t="s">
        <v>504</v>
      </c>
      <c r="B53" s="361">
        <f>B47-B50</f>
        <v>-824776.85714285716</v>
      </c>
      <c r="C53" s="342">
        <f t="shared" ref="C53:AA53" si="24">C47-C50</f>
        <v>-1310203</v>
      </c>
      <c r="D53" s="342">
        <f t="shared" si="24"/>
        <v>-1772610.8571428573</v>
      </c>
      <c r="E53" s="342">
        <f t="shared" si="24"/>
        <v>-1453763.8571428573</v>
      </c>
      <c r="F53" s="342">
        <f t="shared" si="24"/>
        <v>-2771643.4285714286</v>
      </c>
      <c r="G53" s="342">
        <f t="shared" si="24"/>
        <v>-5580026.1428571427</v>
      </c>
      <c r="H53" s="342">
        <f t="shared" si="24"/>
        <v>-4967934.4285714282</v>
      </c>
      <c r="I53" s="342">
        <f t="shared" si="24"/>
        <v>-5422960.4285714291</v>
      </c>
      <c r="J53" s="342">
        <f t="shared" si="24"/>
        <v>-6273518.2077142857</v>
      </c>
      <c r="K53" s="342">
        <f t="shared" si="24"/>
        <v>-9242644.2715714294</v>
      </c>
      <c r="L53" s="342">
        <f t="shared" si="24"/>
        <v>-11829712.244285714</v>
      </c>
      <c r="M53" s="342">
        <f t="shared" si="24"/>
        <v>-8950147.0473523811</v>
      </c>
      <c r="N53" s="342">
        <f t="shared" si="24"/>
        <v>-8617146.7912430465</v>
      </c>
      <c r="O53" s="342">
        <f t="shared" si="24"/>
        <v>-5885026.266965175</v>
      </c>
      <c r="P53" s="342">
        <f t="shared" si="24"/>
        <v>-4549329.3847619053</v>
      </c>
      <c r="Q53" s="342">
        <f t="shared" si="24"/>
        <v>-3423261.5496384129</v>
      </c>
      <c r="R53" s="362">
        <f t="shared" si="24"/>
        <v>-1693114.9200000002</v>
      </c>
      <c r="S53" s="363">
        <f t="shared" si="24"/>
        <v>-1648919.97</v>
      </c>
      <c r="T53" s="363">
        <f t="shared" si="24"/>
        <v>-1796725.0499999998</v>
      </c>
      <c r="U53" s="363">
        <f t="shared" si="24"/>
        <v>-1373409.43</v>
      </c>
      <c r="V53" s="363">
        <f t="shared" si="24"/>
        <v>-1313529.6508474597</v>
      </c>
      <c r="W53" s="363">
        <f t="shared" si="24"/>
        <v>-1292048.50847458</v>
      </c>
      <c r="X53" s="363">
        <f t="shared" si="24"/>
        <v>-1348670.4200000004</v>
      </c>
      <c r="Y53" s="363">
        <f t="shared" si="24"/>
        <v>-2954948.6999731762</v>
      </c>
      <c r="Z53" s="363">
        <f t="shared" si="24"/>
        <v>-707858</v>
      </c>
      <c r="AA53" s="363">
        <f t="shared" si="24"/>
        <v>-717028.86912810139</v>
      </c>
      <c r="AB53" s="362"/>
      <c r="AC53" s="363"/>
      <c r="AD53" s="363"/>
      <c r="AE53" s="363"/>
      <c r="AF53" s="363"/>
      <c r="AG53" s="363"/>
      <c r="AH53" s="363"/>
      <c r="AI53" s="363"/>
      <c r="AJ53" s="362"/>
      <c r="AK53" s="363"/>
      <c r="AL53" s="363"/>
      <c r="AM53" s="363"/>
      <c r="AN53" s="363"/>
      <c r="AO53" s="363"/>
      <c r="AP53" s="363"/>
      <c r="AQ53" s="363"/>
      <c r="AR53" s="363"/>
      <c r="AS53" s="363"/>
      <c r="AT53" s="363"/>
      <c r="AU53" s="363"/>
      <c r="AV53" s="363"/>
      <c r="AW53" s="363"/>
      <c r="AX53" s="363"/>
      <c r="AY53" s="363"/>
      <c r="AZ53" s="363"/>
      <c r="BA53" s="363"/>
      <c r="BB53" s="364"/>
      <c r="BC53" s="363"/>
      <c r="BD53" s="363"/>
      <c r="BE53" s="363"/>
      <c r="BF53" s="363"/>
      <c r="BG53" s="363"/>
      <c r="BH53" s="363"/>
      <c r="BI53" s="365"/>
      <c r="BJ53" s="366"/>
    </row>
    <row r="54" spans="1:62" ht="16" customHeight="1" x14ac:dyDescent="0.2">
      <c r="A54" s="367" t="s">
        <v>505</v>
      </c>
      <c r="B54" s="355">
        <f t="shared" ref="B54:Y54" si="25">B53/B6</f>
        <v>-0.86724132880793781</v>
      </c>
      <c r="C54" s="437">
        <f t="shared" si="25"/>
        <v>-1.0661340077417003</v>
      </c>
      <c r="D54" s="437">
        <f t="shared" si="25"/>
        <v>-1.0606814607125761</v>
      </c>
      <c r="E54" s="437">
        <f t="shared" si="25"/>
        <v>-0.74560213415471832</v>
      </c>
      <c r="F54" s="437">
        <f t="shared" si="25"/>
        <v>-1.3324625838828343</v>
      </c>
      <c r="G54" s="437">
        <f t="shared" si="25"/>
        <v>-2.1039814997008599</v>
      </c>
      <c r="H54" s="437">
        <f t="shared" si="25"/>
        <v>-1.5950335075665332</v>
      </c>
      <c r="I54" s="437">
        <f t="shared" si="25"/>
        <v>-1.242889186916136</v>
      </c>
      <c r="J54" s="437">
        <f t="shared" si="25"/>
        <v>-0.99071261264446076</v>
      </c>
      <c r="K54" s="437">
        <f t="shared" si="25"/>
        <v>-1.0897920733436515</v>
      </c>
      <c r="L54" s="437">
        <f t="shared" si="25"/>
        <v>-1.4510307222795442</v>
      </c>
      <c r="M54" s="437">
        <f t="shared" si="25"/>
        <v>-0.98850733287568748</v>
      </c>
      <c r="N54" s="437">
        <f t="shared" si="25"/>
        <v>-0.9088482778945377</v>
      </c>
      <c r="O54" s="437">
        <f t="shared" si="25"/>
        <v>-0.6210300002966761</v>
      </c>
      <c r="P54" s="437">
        <f t="shared" si="25"/>
        <v>-0.54197208334184999</v>
      </c>
      <c r="Q54" s="437">
        <f t="shared" si="25"/>
        <v>-0.53430080153087967</v>
      </c>
      <c r="R54" s="438">
        <f t="shared" si="25"/>
        <v>-0.28788082236850498</v>
      </c>
      <c r="S54" s="437">
        <f t="shared" si="25"/>
        <v>-0.30351065486384243</v>
      </c>
      <c r="T54" s="437">
        <f t="shared" si="25"/>
        <v>-0.34730404811274085</v>
      </c>
      <c r="U54" s="437">
        <f t="shared" si="25"/>
        <v>-0.29632057765502728</v>
      </c>
      <c r="V54" s="437">
        <f t="shared" si="25"/>
        <v>-0.29549693224932044</v>
      </c>
      <c r="W54" s="437">
        <f t="shared" si="25"/>
        <v>-0.32938318081857676</v>
      </c>
      <c r="X54" s="437">
        <f t="shared" si="25"/>
        <v>-0.35502313873977853</v>
      </c>
      <c r="Y54" s="437">
        <f t="shared" si="25"/>
        <v>-1.1096185887333554</v>
      </c>
      <c r="Z54" s="437">
        <f>IFERROR(Z53/Z6,0)</f>
        <v>0</v>
      </c>
      <c r="AA54" s="437">
        <f>IFERROR(AA53/AA6,0)</f>
        <v>-1.3444185759293681</v>
      </c>
      <c r="AB54" s="438"/>
      <c r="AC54" s="437"/>
      <c r="AD54" s="437"/>
      <c r="AE54" s="437"/>
      <c r="AF54" s="437"/>
      <c r="AG54" s="437"/>
      <c r="AH54" s="437"/>
      <c r="AI54" s="437"/>
      <c r="AJ54" s="438"/>
      <c r="AK54" s="437"/>
      <c r="AL54" s="437"/>
      <c r="AM54" s="437"/>
      <c r="AN54" s="437"/>
      <c r="AO54" s="437"/>
      <c r="AP54" s="437"/>
      <c r="AQ54" s="437"/>
      <c r="AR54" s="437"/>
      <c r="AS54" s="437"/>
      <c r="AT54" s="437"/>
      <c r="AU54" s="437"/>
      <c r="AV54" s="437"/>
      <c r="AW54" s="437"/>
      <c r="AX54" s="437"/>
      <c r="AY54" s="437"/>
      <c r="AZ54" s="437"/>
      <c r="BA54" s="437"/>
      <c r="BB54" s="439"/>
      <c r="BC54" s="437"/>
      <c r="BD54" s="437"/>
      <c r="BE54" s="437"/>
      <c r="BF54" s="437"/>
      <c r="BG54" s="437"/>
      <c r="BH54" s="437"/>
      <c r="BI54" s="440"/>
      <c r="BJ54" s="441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C279-C588-4FE9-A819-272F2E0DD4EF}">
  <sheetPr>
    <tabColor theme="7" tint="0.59999389629810485"/>
  </sheetPr>
  <dimension ref="A1:CP996"/>
  <sheetViews>
    <sheetView showGridLines="0" zoomScaleNormal="100" workbookViewId="0">
      <pane xSplit="1" ySplit="2" topLeftCell="BN3" activePane="bottomRight" state="frozen"/>
      <selection activeCell="A18" sqref="A18"/>
      <selection pane="topRight" activeCell="A18" sqref="A18"/>
      <selection pane="bottomLeft" activeCell="A18" sqref="A18"/>
      <selection pane="bottomRight" activeCell="A2" sqref="A2"/>
    </sheetView>
  </sheetViews>
  <sheetFormatPr baseColWidth="10" defaultColWidth="14.5" defaultRowHeight="15" customHeight="1" outlineLevelCol="1" x14ac:dyDescent="0.15"/>
  <cols>
    <col min="1" max="1" width="29.83203125" style="456" bestFit="1" customWidth="1"/>
    <col min="2" max="8" width="10.5" style="456" bestFit="1" customWidth="1" outlineLevel="1"/>
    <col min="9" max="18" width="12" style="456" bestFit="1" customWidth="1" outlineLevel="1"/>
    <col min="19" max="21" width="11.1640625" style="456" bestFit="1" customWidth="1" outlineLevel="1"/>
    <col min="22" max="25" width="12" style="456" bestFit="1" customWidth="1" outlineLevel="1"/>
    <col min="26" max="26" width="11.1640625" style="456" bestFit="1" customWidth="1" outlineLevel="1"/>
    <col min="27" max="37" width="12" style="456" bestFit="1" customWidth="1" outlineLevel="1"/>
    <col min="38" max="38" width="12" style="456" bestFit="1" customWidth="1"/>
    <col min="39" max="77" width="14.6640625" style="456" customWidth="1"/>
    <col min="78" max="78" width="7" style="456" hidden="1" customWidth="1"/>
    <col min="79" max="81" width="8.33203125" style="456" hidden="1" customWidth="1"/>
    <col min="82" max="82" width="8.33203125" style="456" hidden="1" customWidth="1" collapsed="1"/>
    <col min="83" max="89" width="8.33203125" style="456" hidden="1" customWidth="1"/>
    <col min="90" max="92" width="0" style="456" hidden="1" customWidth="1"/>
    <col min="93" max="16384" width="14.5" style="456"/>
  </cols>
  <sheetData>
    <row r="1" spans="1:89" ht="18" customHeight="1" thickBot="1" x14ac:dyDescent="0.2">
      <c r="A1" s="442" t="s">
        <v>358</v>
      </c>
      <c r="B1" s="443"/>
      <c r="C1" s="444"/>
      <c r="D1" s="445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6"/>
      <c r="Q1" s="444"/>
      <c r="R1" s="447"/>
      <c r="S1" s="444"/>
      <c r="T1" s="448"/>
      <c r="U1" s="444"/>
      <c r="V1" s="444"/>
      <c r="W1" s="444"/>
      <c r="X1" s="444"/>
      <c r="Y1" s="444"/>
      <c r="Z1" s="444"/>
      <c r="AA1" s="444"/>
      <c r="AB1" s="446"/>
      <c r="AC1" s="449"/>
      <c r="AD1" s="449"/>
      <c r="AE1" s="449"/>
      <c r="AF1" s="449"/>
      <c r="AG1" s="449"/>
      <c r="AH1" s="449"/>
      <c r="AI1" s="449"/>
      <c r="AJ1" s="450"/>
      <c r="AK1" s="449"/>
      <c r="AL1" s="451"/>
      <c r="AM1" s="449"/>
      <c r="AN1" s="449"/>
      <c r="AO1" s="449"/>
      <c r="AP1" s="449"/>
      <c r="AQ1" s="449"/>
      <c r="AR1" s="449"/>
      <c r="AS1" s="449"/>
      <c r="AT1" s="449"/>
      <c r="AU1" s="449"/>
      <c r="AV1" s="449"/>
      <c r="AW1" s="449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49"/>
      <c r="BI1" s="449"/>
      <c r="BJ1" s="449"/>
      <c r="BK1" s="449"/>
      <c r="BL1" s="449"/>
      <c r="BM1" s="449"/>
      <c r="BN1" s="449"/>
      <c r="BO1" s="449"/>
      <c r="BP1" s="449"/>
      <c r="BQ1" s="449"/>
      <c r="BR1" s="449"/>
      <c r="BS1" s="449"/>
      <c r="BT1" s="449"/>
      <c r="BU1" s="449"/>
      <c r="BV1" s="449"/>
      <c r="BW1" s="449"/>
      <c r="BX1" s="452"/>
      <c r="BY1" s="453"/>
      <c r="BZ1" s="454" t="s">
        <v>359</v>
      </c>
      <c r="CA1" s="454" t="s">
        <v>359</v>
      </c>
      <c r="CB1" s="454"/>
      <c r="CC1" s="455"/>
      <c r="CD1" s="455"/>
      <c r="CE1" s="454"/>
      <c r="CF1" s="454"/>
      <c r="CG1" s="454"/>
      <c r="CH1" s="455"/>
      <c r="CI1" s="454"/>
      <c r="CJ1" s="455"/>
      <c r="CK1" s="455"/>
    </row>
    <row r="2" spans="1:89" ht="18" customHeight="1" thickBot="1" x14ac:dyDescent="0.2">
      <c r="A2" s="442" t="s">
        <v>506</v>
      </c>
      <c r="B2" s="443">
        <v>43208</v>
      </c>
      <c r="C2" s="444">
        <v>43238</v>
      </c>
      <c r="D2" s="445">
        <v>43269</v>
      </c>
      <c r="E2" s="444">
        <v>43282</v>
      </c>
      <c r="F2" s="444">
        <v>43313</v>
      </c>
      <c r="G2" s="444">
        <v>43344</v>
      </c>
      <c r="H2" s="444">
        <v>43374</v>
      </c>
      <c r="I2" s="444">
        <v>43405</v>
      </c>
      <c r="J2" s="444">
        <v>43435</v>
      </c>
      <c r="K2" s="444">
        <v>43466</v>
      </c>
      <c r="L2" s="444">
        <v>43497</v>
      </c>
      <c r="M2" s="444">
        <v>43525</v>
      </c>
      <c r="N2" s="444">
        <v>43556</v>
      </c>
      <c r="O2" s="444">
        <v>43586</v>
      </c>
      <c r="P2" s="446">
        <v>43617</v>
      </c>
      <c r="Q2" s="444">
        <v>43647</v>
      </c>
      <c r="R2" s="447">
        <f>Q2+31</f>
        <v>43678</v>
      </c>
      <c r="S2" s="444">
        <f>R2+31</f>
        <v>43709</v>
      </c>
      <c r="T2" s="448">
        <v>43740</v>
      </c>
      <c r="U2" s="444">
        <f t="shared" ref="U2:BS2" si="0">T2+31</f>
        <v>43771</v>
      </c>
      <c r="V2" s="444">
        <f t="shared" si="0"/>
        <v>43802</v>
      </c>
      <c r="W2" s="444">
        <f t="shared" si="0"/>
        <v>43833</v>
      </c>
      <c r="X2" s="444">
        <f t="shared" si="0"/>
        <v>43864</v>
      </c>
      <c r="Y2" s="444">
        <f t="shared" si="0"/>
        <v>43895</v>
      </c>
      <c r="Z2" s="444">
        <f t="shared" si="0"/>
        <v>43926</v>
      </c>
      <c r="AA2" s="444">
        <f t="shared" si="0"/>
        <v>43957</v>
      </c>
      <c r="AB2" s="446">
        <f t="shared" si="0"/>
        <v>43988</v>
      </c>
      <c r="AC2" s="449">
        <f t="shared" si="0"/>
        <v>44019</v>
      </c>
      <c r="AD2" s="449">
        <f t="shared" si="0"/>
        <v>44050</v>
      </c>
      <c r="AE2" s="449">
        <f t="shared" si="0"/>
        <v>44081</v>
      </c>
      <c r="AF2" s="449">
        <f t="shared" si="0"/>
        <v>44112</v>
      </c>
      <c r="AG2" s="449">
        <f t="shared" si="0"/>
        <v>44143</v>
      </c>
      <c r="AH2" s="449">
        <f t="shared" si="0"/>
        <v>44174</v>
      </c>
      <c r="AI2" s="449">
        <f t="shared" si="0"/>
        <v>44205</v>
      </c>
      <c r="AJ2" s="450">
        <f t="shared" si="0"/>
        <v>44236</v>
      </c>
      <c r="AK2" s="449">
        <f t="shared" si="0"/>
        <v>44267</v>
      </c>
      <c r="AL2" s="451">
        <f t="shared" si="0"/>
        <v>44298</v>
      </c>
      <c r="AM2" s="449">
        <f t="shared" si="0"/>
        <v>44329</v>
      </c>
      <c r="AN2" s="449">
        <f t="shared" si="0"/>
        <v>44360</v>
      </c>
      <c r="AO2" s="449">
        <f t="shared" si="0"/>
        <v>44391</v>
      </c>
      <c r="AP2" s="449">
        <f t="shared" si="0"/>
        <v>44422</v>
      </c>
      <c r="AQ2" s="449">
        <f t="shared" si="0"/>
        <v>44453</v>
      </c>
      <c r="AR2" s="449">
        <f t="shared" si="0"/>
        <v>44484</v>
      </c>
      <c r="AS2" s="449">
        <f t="shared" si="0"/>
        <v>44515</v>
      </c>
      <c r="AT2" s="449">
        <f t="shared" si="0"/>
        <v>44546</v>
      </c>
      <c r="AU2" s="449">
        <f t="shared" si="0"/>
        <v>44577</v>
      </c>
      <c r="AV2" s="449">
        <f t="shared" si="0"/>
        <v>44608</v>
      </c>
      <c r="AW2" s="449">
        <f t="shared" si="0"/>
        <v>44639</v>
      </c>
      <c r="AX2" s="449">
        <f t="shared" si="0"/>
        <v>44670</v>
      </c>
      <c r="AY2" s="449">
        <f t="shared" si="0"/>
        <v>44701</v>
      </c>
      <c r="AZ2" s="449">
        <f t="shared" si="0"/>
        <v>44732</v>
      </c>
      <c r="BA2" s="449">
        <f t="shared" si="0"/>
        <v>44763</v>
      </c>
      <c r="BB2" s="449">
        <f t="shared" si="0"/>
        <v>44794</v>
      </c>
      <c r="BC2" s="449">
        <f t="shared" si="0"/>
        <v>44825</v>
      </c>
      <c r="BD2" s="449">
        <f t="shared" si="0"/>
        <v>44856</v>
      </c>
      <c r="BE2" s="449">
        <f t="shared" si="0"/>
        <v>44887</v>
      </c>
      <c r="BF2" s="449">
        <f t="shared" si="0"/>
        <v>44918</v>
      </c>
      <c r="BG2" s="449">
        <f t="shared" si="0"/>
        <v>44949</v>
      </c>
      <c r="BH2" s="449">
        <f t="shared" si="0"/>
        <v>44980</v>
      </c>
      <c r="BI2" s="449">
        <f t="shared" si="0"/>
        <v>45011</v>
      </c>
      <c r="BJ2" s="449">
        <f t="shared" si="0"/>
        <v>45042</v>
      </c>
      <c r="BK2" s="449">
        <f t="shared" si="0"/>
        <v>45073</v>
      </c>
      <c r="BL2" s="449">
        <f t="shared" si="0"/>
        <v>45104</v>
      </c>
      <c r="BM2" s="449">
        <f t="shared" si="0"/>
        <v>45135</v>
      </c>
      <c r="BN2" s="449">
        <f t="shared" si="0"/>
        <v>45166</v>
      </c>
      <c r="BO2" s="449">
        <f t="shared" si="0"/>
        <v>45197</v>
      </c>
      <c r="BP2" s="449">
        <f t="shared" si="0"/>
        <v>45228</v>
      </c>
      <c r="BQ2" s="449">
        <f t="shared" si="0"/>
        <v>45259</v>
      </c>
      <c r="BR2" s="449">
        <f t="shared" si="0"/>
        <v>45290</v>
      </c>
      <c r="BS2" s="449">
        <f t="shared" si="0"/>
        <v>45321</v>
      </c>
      <c r="BT2" s="449">
        <f t="shared" ref="BT2:BY2" si="1">BS2+30</f>
        <v>45351</v>
      </c>
      <c r="BU2" s="449">
        <f t="shared" si="1"/>
        <v>45381</v>
      </c>
      <c r="BV2" s="449">
        <f t="shared" si="1"/>
        <v>45411</v>
      </c>
      <c r="BW2" s="449">
        <f t="shared" si="1"/>
        <v>45441</v>
      </c>
      <c r="BX2" s="452">
        <f t="shared" si="1"/>
        <v>45471</v>
      </c>
      <c r="BY2" s="453">
        <f t="shared" si="1"/>
        <v>45501</v>
      </c>
      <c r="BZ2" s="454">
        <v>45042</v>
      </c>
      <c r="CA2" s="454">
        <f>BZ2+31</f>
        <v>45073</v>
      </c>
      <c r="CB2" s="454">
        <f>CA2+31</f>
        <v>45104</v>
      </c>
      <c r="CC2" s="454">
        <f t="shared" ref="CC2:CK2" si="2">CB2+31</f>
        <v>45135</v>
      </c>
      <c r="CD2" s="454">
        <f t="shared" si="2"/>
        <v>45166</v>
      </c>
      <c r="CE2" s="454">
        <f t="shared" si="2"/>
        <v>45197</v>
      </c>
      <c r="CF2" s="454">
        <f t="shared" si="2"/>
        <v>45228</v>
      </c>
      <c r="CG2" s="454">
        <f t="shared" si="2"/>
        <v>45259</v>
      </c>
      <c r="CH2" s="454">
        <f t="shared" si="2"/>
        <v>45290</v>
      </c>
      <c r="CI2" s="454">
        <f t="shared" si="2"/>
        <v>45321</v>
      </c>
      <c r="CJ2" s="454">
        <v>45323</v>
      </c>
      <c r="CK2" s="454">
        <f t="shared" si="2"/>
        <v>45354</v>
      </c>
    </row>
    <row r="3" spans="1:89" ht="15.75" customHeight="1" x14ac:dyDescent="0.2">
      <c r="A3" s="457" t="s">
        <v>2</v>
      </c>
      <c r="B3" s="458">
        <v>6493223.7199999997</v>
      </c>
      <c r="C3" s="459">
        <v>6995016</v>
      </c>
      <c r="D3" s="459">
        <v>6266782.9689844027</v>
      </c>
      <c r="E3" s="459">
        <v>9975111.8193185106</v>
      </c>
      <c r="F3" s="459">
        <v>8792729.1163709052</v>
      </c>
      <c r="G3" s="459">
        <v>7349297.6943097655</v>
      </c>
      <c r="H3" s="459">
        <v>8404052.8000000007</v>
      </c>
      <c r="I3" s="459">
        <v>10228739.060000001</v>
      </c>
      <c r="J3" s="459">
        <v>12234584.41</v>
      </c>
      <c r="K3" s="459">
        <v>13610742.350000001</v>
      </c>
      <c r="L3" s="459">
        <v>17897923.789999999</v>
      </c>
      <c r="M3" s="459">
        <v>14418973.220000003</v>
      </c>
      <c r="N3" s="459">
        <v>18714235.899999999</v>
      </c>
      <c r="O3" s="459">
        <v>19781350.84</v>
      </c>
      <c r="P3" s="460">
        <v>23902174</v>
      </c>
      <c r="Q3" s="460">
        <v>20183750</v>
      </c>
      <c r="R3" s="460">
        <v>11938886.534285715</v>
      </c>
      <c r="S3" s="460">
        <v>9402642.0871428568</v>
      </c>
      <c r="T3" s="460">
        <v>6961926.599642857</v>
      </c>
      <c r="U3" s="460">
        <v>8697026.6571428571</v>
      </c>
      <c r="V3" s="460">
        <v>12812303.094642857</v>
      </c>
      <c r="W3" s="459">
        <v>13166349.6644</v>
      </c>
      <c r="X3" s="459">
        <v>22810554.246812254</v>
      </c>
      <c r="Y3" s="459">
        <v>9938850.0580000002</v>
      </c>
      <c r="Z3" s="459">
        <v>2797892</v>
      </c>
      <c r="AA3" s="459">
        <v>11360423.3652</v>
      </c>
      <c r="AB3" s="461">
        <v>12728670.46976429</v>
      </c>
      <c r="AC3" s="462">
        <v>17725715.018400002</v>
      </c>
      <c r="AD3" s="462">
        <v>18950307.23</v>
      </c>
      <c r="AE3" s="462">
        <v>17728045</v>
      </c>
      <c r="AF3" s="462">
        <v>16018491</v>
      </c>
      <c r="AG3" s="462">
        <v>23641091</v>
      </c>
      <c r="AH3" s="462">
        <v>31077302</v>
      </c>
      <c r="AI3" s="462">
        <v>39517512</v>
      </c>
      <c r="AJ3" s="463">
        <v>31816231</v>
      </c>
      <c r="AK3" s="462">
        <v>24484407</v>
      </c>
      <c r="AL3" s="462">
        <v>18383577</v>
      </c>
      <c r="AM3" s="462">
        <v>14623536</v>
      </c>
      <c r="AN3" s="462">
        <v>28521965</v>
      </c>
      <c r="AO3" s="462">
        <v>39561819</v>
      </c>
      <c r="AP3" s="462">
        <v>51609864</v>
      </c>
      <c r="AQ3" s="462">
        <v>60595201</v>
      </c>
      <c r="AR3" s="462">
        <v>60517807</v>
      </c>
      <c r="AS3" s="462">
        <v>54147450</v>
      </c>
      <c r="AT3" s="462">
        <v>64450744.490000002</v>
      </c>
      <c r="AU3" s="462">
        <v>75792539.609999999</v>
      </c>
      <c r="AV3" s="462">
        <v>77594057</v>
      </c>
      <c r="AW3" s="462">
        <v>87830548</v>
      </c>
      <c r="AX3" s="462">
        <v>52056539</v>
      </c>
      <c r="AY3" s="462">
        <v>54622563</v>
      </c>
      <c r="AZ3" s="462">
        <v>51017601</v>
      </c>
      <c r="BA3" s="462">
        <v>40157370</v>
      </c>
      <c r="BB3" s="462">
        <v>37071431.389999993</v>
      </c>
      <c r="BC3" s="462">
        <v>24729092.040000007</v>
      </c>
      <c r="BD3" s="462">
        <v>14859194.84</v>
      </c>
      <c r="BE3" s="462">
        <v>29701075.367189877</v>
      </c>
      <c r="BF3" s="462">
        <v>39769727.153314941</v>
      </c>
      <c r="BG3" s="462">
        <v>47138126.25651826</v>
      </c>
      <c r="BH3" s="462">
        <v>40772023.234515883</v>
      </c>
      <c r="BI3" s="462">
        <v>48257190.86445643</v>
      </c>
      <c r="BJ3" s="462">
        <v>0</v>
      </c>
      <c r="BK3" s="462">
        <v>0</v>
      </c>
      <c r="BL3" s="462">
        <v>0</v>
      </c>
      <c r="BM3" s="462">
        <v>0</v>
      </c>
      <c r="BN3" s="462">
        <v>0</v>
      </c>
      <c r="BO3" s="462">
        <v>0</v>
      </c>
      <c r="BP3" s="462">
        <v>0</v>
      </c>
      <c r="BQ3" s="462">
        <v>0</v>
      </c>
      <c r="BR3" s="462">
        <v>0</v>
      </c>
      <c r="BS3" s="462">
        <v>0</v>
      </c>
      <c r="BT3" s="462">
        <v>0</v>
      </c>
      <c r="BU3" s="462">
        <v>0</v>
      </c>
      <c r="BV3" s="462">
        <v>0</v>
      </c>
      <c r="BW3" s="462">
        <v>0</v>
      </c>
      <c r="BX3" s="464">
        <v>0</v>
      </c>
      <c r="BY3" s="465">
        <v>0</v>
      </c>
      <c r="BZ3" s="463">
        <f>0</f>
        <v>0</v>
      </c>
      <c r="CA3" s="463">
        <f>0</f>
        <v>0</v>
      </c>
      <c r="CB3" s="463">
        <f>0</f>
        <v>0</v>
      </c>
      <c r="CC3" s="463">
        <f>0</f>
        <v>0</v>
      </c>
      <c r="CD3" s="463">
        <f>0</f>
        <v>0</v>
      </c>
      <c r="CE3" s="463">
        <f>0</f>
        <v>0</v>
      </c>
      <c r="CF3" s="463">
        <f>0</f>
        <v>0</v>
      </c>
      <c r="CG3" s="463">
        <f>0</f>
        <v>0</v>
      </c>
      <c r="CH3" s="463">
        <f>0</f>
        <v>0</v>
      </c>
      <c r="CI3" s="463">
        <f>0</f>
        <v>0</v>
      </c>
      <c r="CJ3" s="463">
        <f>0</f>
        <v>0</v>
      </c>
      <c r="CK3" s="463">
        <f>0</f>
        <v>0</v>
      </c>
    </row>
    <row r="4" spans="1:89" ht="15.75" customHeight="1" x14ac:dyDescent="0.2">
      <c r="A4" s="466" t="s">
        <v>5</v>
      </c>
      <c r="B4" s="467">
        <v>957</v>
      </c>
      <c r="C4" s="468">
        <v>1008</v>
      </c>
      <c r="D4" s="468">
        <v>894</v>
      </c>
      <c r="E4" s="468">
        <v>1508</v>
      </c>
      <c r="F4" s="468">
        <v>1514</v>
      </c>
      <c r="G4" s="468">
        <v>1391</v>
      </c>
      <c r="H4" s="468">
        <v>1527</v>
      </c>
      <c r="I4" s="468">
        <v>1783</v>
      </c>
      <c r="J4" s="468">
        <v>2276</v>
      </c>
      <c r="K4" s="468">
        <v>2302</v>
      </c>
      <c r="L4" s="468">
        <v>3169</v>
      </c>
      <c r="M4" s="468">
        <v>2503</v>
      </c>
      <c r="N4" s="468">
        <v>3435</v>
      </c>
      <c r="O4" s="468">
        <v>3539</v>
      </c>
      <c r="P4" s="468">
        <v>4220</v>
      </c>
      <c r="Q4" s="468">
        <v>3491</v>
      </c>
      <c r="R4" s="469">
        <v>2247</v>
      </c>
      <c r="S4" s="468">
        <v>1749</v>
      </c>
      <c r="T4" s="470">
        <v>1375</v>
      </c>
      <c r="U4" s="468">
        <v>1548</v>
      </c>
      <c r="V4" s="468">
        <v>3943</v>
      </c>
      <c r="W4" s="468">
        <v>2697</v>
      </c>
      <c r="X4" s="468">
        <v>2654</v>
      </c>
      <c r="Y4" s="468">
        <v>1322</v>
      </c>
      <c r="Z4" s="468">
        <v>219</v>
      </c>
      <c r="AA4" s="468">
        <v>1725</v>
      </c>
      <c r="AB4" s="471">
        <v>1807</v>
      </c>
      <c r="AC4" s="472">
        <v>2282</v>
      </c>
      <c r="AD4" s="472">
        <v>2417</v>
      </c>
      <c r="AE4" s="472">
        <v>2598</v>
      </c>
      <c r="AF4" s="472">
        <v>2701</v>
      </c>
      <c r="AG4" s="472">
        <v>4317</v>
      </c>
      <c r="AH4" s="472">
        <v>5996</v>
      </c>
      <c r="AI4" s="472">
        <v>7633</v>
      </c>
      <c r="AJ4" s="469">
        <v>6140</v>
      </c>
      <c r="AK4" s="472">
        <v>4565</v>
      </c>
      <c r="AL4" s="472">
        <v>3496</v>
      </c>
      <c r="AM4" s="472">
        <v>2680</v>
      </c>
      <c r="AN4" s="472">
        <v>5319</v>
      </c>
      <c r="AO4" s="472">
        <v>6983</v>
      </c>
      <c r="AP4" s="472">
        <v>8332</v>
      </c>
      <c r="AQ4" s="472">
        <v>9742</v>
      </c>
      <c r="AR4" s="472">
        <v>10550</v>
      </c>
      <c r="AS4" s="472">
        <v>10220</v>
      </c>
      <c r="AT4" s="472">
        <v>11472</v>
      </c>
      <c r="AU4" s="472">
        <v>12940</v>
      </c>
      <c r="AV4" s="472">
        <v>12717</v>
      </c>
      <c r="AW4" s="472">
        <v>15011</v>
      </c>
      <c r="AX4" s="472">
        <v>10170</v>
      </c>
      <c r="AY4" s="472">
        <v>8989</v>
      </c>
      <c r="AZ4" s="472">
        <v>7521</v>
      </c>
      <c r="BA4" s="472">
        <v>7152</v>
      </c>
      <c r="BB4" s="472">
        <v>6225</v>
      </c>
      <c r="BC4" s="472">
        <v>4170</v>
      </c>
      <c r="BD4" s="472">
        <v>2423</v>
      </c>
      <c r="BE4" s="472">
        <v>3369</v>
      </c>
      <c r="BF4" s="472">
        <v>4732</v>
      </c>
      <c r="BG4" s="472">
        <v>5172</v>
      </c>
      <c r="BH4" s="472">
        <v>4577</v>
      </c>
      <c r="BI4" s="472">
        <v>4934</v>
      </c>
      <c r="BJ4" s="472">
        <v>0</v>
      </c>
      <c r="BK4" s="472">
        <v>0</v>
      </c>
      <c r="BL4" s="472">
        <v>0</v>
      </c>
      <c r="BM4" s="472">
        <v>0</v>
      </c>
      <c r="BN4" s="472">
        <v>0</v>
      </c>
      <c r="BO4" s="472">
        <v>0</v>
      </c>
      <c r="BP4" s="472">
        <v>0</v>
      </c>
      <c r="BQ4" s="472">
        <v>0</v>
      </c>
      <c r="BR4" s="472">
        <v>0</v>
      </c>
      <c r="BS4" s="472">
        <v>0</v>
      </c>
      <c r="BT4" s="472">
        <v>0</v>
      </c>
      <c r="BU4" s="472">
        <v>0</v>
      </c>
      <c r="BV4" s="472">
        <v>0</v>
      </c>
      <c r="BW4" s="472">
        <v>0</v>
      </c>
      <c r="BX4" s="473">
        <v>0</v>
      </c>
      <c r="BY4" s="474">
        <v>0</v>
      </c>
      <c r="BZ4" s="469">
        <f>0</f>
        <v>0</v>
      </c>
      <c r="CA4" s="469">
        <f>0</f>
        <v>0</v>
      </c>
      <c r="CB4" s="469">
        <f>0</f>
        <v>0</v>
      </c>
      <c r="CC4" s="469">
        <f>0</f>
        <v>0</v>
      </c>
      <c r="CD4" s="469">
        <f>0</f>
        <v>0</v>
      </c>
      <c r="CE4" s="469">
        <f>0</f>
        <v>0</v>
      </c>
      <c r="CF4" s="469">
        <f>0</f>
        <v>0</v>
      </c>
      <c r="CG4" s="469">
        <f>0</f>
        <v>0</v>
      </c>
      <c r="CH4" s="469">
        <f>0</f>
        <v>0</v>
      </c>
      <c r="CI4" s="469">
        <f>0</f>
        <v>0</v>
      </c>
      <c r="CJ4" s="469">
        <f>0</f>
        <v>0</v>
      </c>
      <c r="CK4" s="469">
        <f>0</f>
        <v>0</v>
      </c>
    </row>
    <row r="5" spans="1:89" ht="18" customHeight="1" x14ac:dyDescent="0.15">
      <c r="A5" s="475"/>
      <c r="B5" s="476"/>
      <c r="C5" s="477"/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  <c r="P5" s="478"/>
      <c r="Q5" s="477"/>
      <c r="R5" s="479"/>
      <c r="S5" s="477"/>
      <c r="T5" s="480"/>
      <c r="U5" s="477"/>
      <c r="V5" s="477"/>
      <c r="W5" s="477"/>
      <c r="X5" s="477"/>
      <c r="Y5" s="477"/>
      <c r="Z5" s="477"/>
      <c r="AA5" s="477"/>
      <c r="AB5" s="478"/>
      <c r="AC5" s="481"/>
      <c r="AD5" s="481"/>
      <c r="AE5" s="481"/>
      <c r="AF5" s="481"/>
      <c r="AG5" s="481"/>
      <c r="AH5" s="481"/>
      <c r="AI5" s="481"/>
      <c r="AJ5" s="479"/>
      <c r="AK5" s="481"/>
      <c r="AL5" s="481"/>
      <c r="AM5" s="481"/>
      <c r="AN5" s="481"/>
      <c r="AO5" s="481"/>
      <c r="AP5" s="481"/>
      <c r="AQ5" s="481"/>
      <c r="AR5" s="481"/>
      <c r="AS5" s="481"/>
      <c r="AT5" s="481"/>
      <c r="AU5" s="481"/>
      <c r="AV5" s="481"/>
      <c r="AW5" s="481"/>
      <c r="AX5" s="481"/>
      <c r="AY5" s="481"/>
      <c r="AZ5" s="481"/>
      <c r="BA5" s="481"/>
      <c r="BB5" s="481"/>
      <c r="BC5" s="481"/>
      <c r="BD5" s="481"/>
      <c r="BE5" s="481"/>
      <c r="BF5" s="481"/>
      <c r="BG5" s="481"/>
      <c r="BH5" s="481"/>
      <c r="BI5" s="481"/>
      <c r="BJ5" s="481"/>
      <c r="BK5" s="481"/>
      <c r="BL5" s="481"/>
      <c r="BM5" s="481"/>
      <c r="BN5" s="481"/>
      <c r="BO5" s="481"/>
      <c r="BP5" s="481"/>
      <c r="BQ5" s="481"/>
      <c r="BR5" s="481"/>
      <c r="BS5" s="481"/>
      <c r="BT5" s="481"/>
      <c r="BU5" s="481"/>
      <c r="BV5" s="481"/>
      <c r="BW5" s="481"/>
      <c r="BX5" s="482"/>
      <c r="BY5" s="483"/>
      <c r="BZ5" s="479"/>
      <c r="CA5" s="479"/>
      <c r="CB5" s="479"/>
      <c r="CC5" s="479"/>
      <c r="CD5" s="479"/>
      <c r="CE5" s="479"/>
      <c r="CF5" s="479"/>
      <c r="CG5" s="479"/>
      <c r="CH5" s="479"/>
      <c r="CI5" s="479"/>
      <c r="CJ5" s="479"/>
      <c r="CK5" s="479"/>
    </row>
    <row r="6" spans="1:89" ht="15.75" customHeight="1" x14ac:dyDescent="0.2">
      <c r="A6" s="457" t="s">
        <v>6</v>
      </c>
      <c r="B6" s="458">
        <v>300576.72000000003</v>
      </c>
      <c r="C6" s="459">
        <v>227209</v>
      </c>
      <c r="D6" s="459">
        <v>519222.19999999995</v>
      </c>
      <c r="E6" s="459">
        <v>643912.92000000016</v>
      </c>
      <c r="F6" s="459">
        <v>1657311.1800000002</v>
      </c>
      <c r="G6" s="459">
        <v>1519172.1300000004</v>
      </c>
      <c r="H6" s="459">
        <v>1077853.7999999998</v>
      </c>
      <c r="I6" s="459">
        <v>692513.06000000041</v>
      </c>
      <c r="J6" s="459">
        <v>829728.4099999998</v>
      </c>
      <c r="K6" s="459">
        <v>904574.21000000008</v>
      </c>
      <c r="L6" s="459">
        <v>1234937.1299999999</v>
      </c>
      <c r="M6" s="459">
        <v>981776.48</v>
      </c>
      <c r="N6" s="459">
        <v>1443258</v>
      </c>
      <c r="O6" s="459">
        <v>1177639</v>
      </c>
      <c r="P6" s="459">
        <v>859873.5</v>
      </c>
      <c r="Q6" s="459">
        <v>1018009.5</v>
      </c>
      <c r="R6" s="459">
        <v>659257</v>
      </c>
      <c r="S6" s="459">
        <v>1799517</v>
      </c>
      <c r="T6" s="484">
        <v>1168836</v>
      </c>
      <c r="U6" s="484">
        <v>566718</v>
      </c>
      <c r="V6" s="484">
        <v>396475</v>
      </c>
      <c r="W6" s="459">
        <v>297452</v>
      </c>
      <c r="X6" s="459">
        <v>438871</v>
      </c>
      <c r="Y6" s="459">
        <v>221743</v>
      </c>
      <c r="Z6" s="459">
        <v>2557192</v>
      </c>
      <c r="AA6" s="459">
        <v>2282396</v>
      </c>
      <c r="AB6" s="461">
        <v>2783482</v>
      </c>
      <c r="AC6" s="462">
        <v>3829671</v>
      </c>
      <c r="AD6" s="462">
        <v>2691068</v>
      </c>
      <c r="AE6" s="462">
        <v>914089</v>
      </c>
      <c r="AF6" s="462">
        <v>476148</v>
      </c>
      <c r="AG6" s="462">
        <v>562400</v>
      </c>
      <c r="AH6" s="462">
        <v>814317</v>
      </c>
      <c r="AI6" s="462">
        <v>532766</v>
      </c>
      <c r="AJ6" s="463">
        <v>776426</v>
      </c>
      <c r="AK6" s="462">
        <v>974211</v>
      </c>
      <c r="AL6" s="462">
        <v>477322</v>
      </c>
      <c r="AM6" s="462">
        <v>124788</v>
      </c>
      <c r="AN6" s="462">
        <v>177041</v>
      </c>
      <c r="AO6" s="462">
        <v>902531</v>
      </c>
      <c r="AP6" s="462">
        <v>1486257</v>
      </c>
      <c r="AQ6" s="462">
        <v>1868859</v>
      </c>
      <c r="AR6" s="462">
        <v>1902443</v>
      </c>
      <c r="AS6" s="462">
        <v>2175314</v>
      </c>
      <c r="AT6" s="462">
        <v>6050090.0200000005</v>
      </c>
      <c r="AU6" s="462">
        <v>7076750.6100000003</v>
      </c>
      <c r="AV6" s="462">
        <v>8509365</v>
      </c>
      <c r="AW6" s="462">
        <v>12171890.260000002</v>
      </c>
      <c r="AX6" s="462">
        <v>10791843.950000001</v>
      </c>
      <c r="AY6" s="462">
        <v>10900312</v>
      </c>
      <c r="AZ6" s="462">
        <v>11807616.829999994</v>
      </c>
      <c r="BA6" s="462">
        <v>6774514</v>
      </c>
      <c r="BB6" s="462">
        <v>9698430.7100000028</v>
      </c>
      <c r="BC6" s="462">
        <v>11263196.090516085</v>
      </c>
      <c r="BD6" s="462">
        <v>7405202.6222883072</v>
      </c>
      <c r="BE6" s="462">
        <v>9109551.3051559236</v>
      </c>
      <c r="BF6" s="462">
        <v>6339990.7191799264</v>
      </c>
      <c r="BG6" s="462">
        <v>6956895.7676462643</v>
      </c>
      <c r="BH6" s="462">
        <v>5969801.7500725407</v>
      </c>
      <c r="BI6" s="462">
        <v>6976898.0358145181</v>
      </c>
      <c r="BJ6" s="462">
        <v>0</v>
      </c>
      <c r="BK6" s="462">
        <v>0</v>
      </c>
      <c r="BL6" s="462">
        <v>0</v>
      </c>
      <c r="BM6" s="462">
        <v>0</v>
      </c>
      <c r="BN6" s="462">
        <v>0</v>
      </c>
      <c r="BO6" s="462">
        <v>0</v>
      </c>
      <c r="BP6" s="462">
        <v>0</v>
      </c>
      <c r="BQ6" s="462">
        <v>0</v>
      </c>
      <c r="BR6" s="462">
        <v>0</v>
      </c>
      <c r="BS6" s="462">
        <v>0</v>
      </c>
      <c r="BT6" s="462">
        <v>0</v>
      </c>
      <c r="BU6" s="462">
        <v>0</v>
      </c>
      <c r="BV6" s="462">
        <v>0</v>
      </c>
      <c r="BW6" s="462">
        <v>0</v>
      </c>
      <c r="BX6" s="464">
        <v>0</v>
      </c>
      <c r="BY6" s="465">
        <v>0</v>
      </c>
      <c r="BZ6" s="463">
        <f>0</f>
        <v>0</v>
      </c>
      <c r="CA6" s="463">
        <f>0</f>
        <v>0</v>
      </c>
      <c r="CB6" s="463">
        <f>0</f>
        <v>0</v>
      </c>
      <c r="CC6" s="463">
        <f>0</f>
        <v>0</v>
      </c>
      <c r="CD6" s="463">
        <f>0</f>
        <v>0</v>
      </c>
      <c r="CE6" s="463">
        <f>0</f>
        <v>0</v>
      </c>
      <c r="CF6" s="463">
        <f>0</f>
        <v>0</v>
      </c>
      <c r="CG6" s="463">
        <f>0</f>
        <v>0</v>
      </c>
      <c r="CH6" s="463">
        <f>0</f>
        <v>0</v>
      </c>
      <c r="CI6" s="463">
        <f>0</f>
        <v>0</v>
      </c>
      <c r="CJ6" s="463">
        <f>0</f>
        <v>0</v>
      </c>
      <c r="CK6" s="463">
        <f>0</f>
        <v>0</v>
      </c>
    </row>
    <row r="7" spans="1:89" ht="15.75" customHeight="1" x14ac:dyDescent="0.2">
      <c r="A7" s="466" t="s">
        <v>5</v>
      </c>
      <c r="B7" s="467">
        <v>41</v>
      </c>
      <c r="C7" s="468">
        <v>39</v>
      </c>
      <c r="D7" s="468">
        <v>77</v>
      </c>
      <c r="E7" s="468">
        <v>89</v>
      </c>
      <c r="F7" s="468">
        <v>176</v>
      </c>
      <c r="G7" s="468">
        <v>214</v>
      </c>
      <c r="H7" s="468">
        <v>161</v>
      </c>
      <c r="I7" s="468">
        <v>94</v>
      </c>
      <c r="J7" s="468">
        <v>118</v>
      </c>
      <c r="K7" s="468">
        <v>139</v>
      </c>
      <c r="L7" s="468">
        <v>194</v>
      </c>
      <c r="M7" s="468">
        <v>168</v>
      </c>
      <c r="N7" s="468">
        <v>202</v>
      </c>
      <c r="O7" s="468">
        <v>165</v>
      </c>
      <c r="P7" s="468">
        <v>122</v>
      </c>
      <c r="Q7" s="468">
        <v>179</v>
      </c>
      <c r="R7" s="469">
        <v>111</v>
      </c>
      <c r="S7" s="468">
        <v>243</v>
      </c>
      <c r="T7" s="470">
        <v>191</v>
      </c>
      <c r="U7" s="468">
        <v>83</v>
      </c>
      <c r="V7" s="468">
        <v>52</v>
      </c>
      <c r="W7" s="468">
        <v>55</v>
      </c>
      <c r="X7" s="468">
        <v>54</v>
      </c>
      <c r="Y7" s="468">
        <v>37</v>
      </c>
      <c r="Z7" s="468">
        <v>266</v>
      </c>
      <c r="AA7" s="468">
        <v>198</v>
      </c>
      <c r="AB7" s="471">
        <v>250</v>
      </c>
      <c r="AC7" s="472">
        <v>347</v>
      </c>
      <c r="AD7" s="472">
        <v>216</v>
      </c>
      <c r="AE7" s="472">
        <v>109</v>
      </c>
      <c r="AF7" s="472">
        <v>59</v>
      </c>
      <c r="AG7" s="472">
        <v>84</v>
      </c>
      <c r="AH7" s="472">
        <v>111</v>
      </c>
      <c r="AI7" s="472">
        <v>84</v>
      </c>
      <c r="AJ7" s="469">
        <v>111</v>
      </c>
      <c r="AK7" s="472">
        <v>151</v>
      </c>
      <c r="AL7" s="472">
        <v>73</v>
      </c>
      <c r="AM7" s="472">
        <v>17</v>
      </c>
      <c r="AN7" s="472">
        <v>30</v>
      </c>
      <c r="AO7" s="472">
        <v>129</v>
      </c>
      <c r="AP7" s="472">
        <v>210</v>
      </c>
      <c r="AQ7" s="472">
        <v>261</v>
      </c>
      <c r="AR7" s="472">
        <v>248</v>
      </c>
      <c r="AS7" s="472">
        <v>338</v>
      </c>
      <c r="AT7" s="472">
        <v>990</v>
      </c>
      <c r="AU7" s="472">
        <v>1194</v>
      </c>
      <c r="AV7" s="472">
        <v>1395</v>
      </c>
      <c r="AW7" s="472">
        <v>1972</v>
      </c>
      <c r="AX7" s="472">
        <v>1764</v>
      </c>
      <c r="AY7" s="472">
        <v>1725</v>
      </c>
      <c r="AZ7" s="472">
        <v>1873</v>
      </c>
      <c r="BA7" s="472">
        <v>1137</v>
      </c>
      <c r="BB7" s="472">
        <v>1527</v>
      </c>
      <c r="BC7" s="472">
        <v>1761</v>
      </c>
      <c r="BD7" s="472">
        <v>1332</v>
      </c>
      <c r="BE7" s="472">
        <v>1366</v>
      </c>
      <c r="BF7" s="472">
        <v>891</v>
      </c>
      <c r="BG7" s="472">
        <v>876</v>
      </c>
      <c r="BH7" s="472">
        <v>723</v>
      </c>
      <c r="BI7" s="472">
        <v>750</v>
      </c>
      <c r="BJ7" s="472">
        <v>0</v>
      </c>
      <c r="BK7" s="472">
        <v>0</v>
      </c>
      <c r="BL7" s="472">
        <v>0</v>
      </c>
      <c r="BM7" s="472">
        <v>0</v>
      </c>
      <c r="BN7" s="472">
        <v>0</v>
      </c>
      <c r="BO7" s="472">
        <v>0</v>
      </c>
      <c r="BP7" s="472">
        <v>0</v>
      </c>
      <c r="BQ7" s="472">
        <v>0</v>
      </c>
      <c r="BR7" s="472">
        <v>0</v>
      </c>
      <c r="BS7" s="472">
        <v>0</v>
      </c>
      <c r="BT7" s="472">
        <v>0</v>
      </c>
      <c r="BU7" s="472">
        <v>0</v>
      </c>
      <c r="BV7" s="472">
        <v>0</v>
      </c>
      <c r="BW7" s="472">
        <v>0</v>
      </c>
      <c r="BX7" s="473">
        <v>0</v>
      </c>
      <c r="BY7" s="474">
        <v>0</v>
      </c>
      <c r="BZ7" s="469">
        <f>0</f>
        <v>0</v>
      </c>
      <c r="CA7" s="469">
        <f>0</f>
        <v>0</v>
      </c>
      <c r="CB7" s="469">
        <f>0</f>
        <v>0</v>
      </c>
      <c r="CC7" s="469">
        <f>0</f>
        <v>0</v>
      </c>
      <c r="CD7" s="469">
        <f>0</f>
        <v>0</v>
      </c>
      <c r="CE7" s="469">
        <f>0</f>
        <v>0</v>
      </c>
      <c r="CF7" s="469">
        <f>0</f>
        <v>0</v>
      </c>
      <c r="CG7" s="469">
        <f>0</f>
        <v>0</v>
      </c>
      <c r="CH7" s="469">
        <f>0</f>
        <v>0</v>
      </c>
      <c r="CI7" s="469">
        <f>0</f>
        <v>0</v>
      </c>
      <c r="CJ7" s="469">
        <f>0</f>
        <v>0</v>
      </c>
      <c r="CK7" s="469">
        <f>0</f>
        <v>0</v>
      </c>
    </row>
    <row r="8" spans="1:89" ht="15.75" customHeight="1" x14ac:dyDescent="0.2">
      <c r="A8" s="485" t="s">
        <v>7</v>
      </c>
      <c r="B8" s="486">
        <f>B7/B4</f>
        <v>4.2842215256008356E-2</v>
      </c>
      <c r="C8" s="486">
        <f t="shared" ref="C8:BI8" si="3">C7/C4</f>
        <v>3.8690476190476192E-2</v>
      </c>
      <c r="D8" s="486">
        <f t="shared" si="3"/>
        <v>8.612975391498881E-2</v>
      </c>
      <c r="E8" s="486">
        <f t="shared" si="3"/>
        <v>5.9018567639257294E-2</v>
      </c>
      <c r="F8" s="486">
        <f t="shared" si="3"/>
        <v>0.11624834874504623</v>
      </c>
      <c r="G8" s="486">
        <f t="shared" si="3"/>
        <v>0.15384615384615385</v>
      </c>
      <c r="H8" s="486">
        <f t="shared" si="3"/>
        <v>0.1054354944335298</v>
      </c>
      <c r="I8" s="486">
        <f t="shared" si="3"/>
        <v>5.2720134604598991E-2</v>
      </c>
      <c r="J8" s="486">
        <f t="shared" si="3"/>
        <v>5.1845342706502637E-2</v>
      </c>
      <c r="K8" s="486">
        <f t="shared" si="3"/>
        <v>6.0382276281494354E-2</v>
      </c>
      <c r="L8" s="486">
        <f t="shared" si="3"/>
        <v>6.121804985799937E-2</v>
      </c>
      <c r="M8" s="486">
        <f t="shared" si="3"/>
        <v>6.7119456652017573E-2</v>
      </c>
      <c r="N8" s="486">
        <f t="shared" si="3"/>
        <v>5.8806404657933041E-2</v>
      </c>
      <c r="O8" s="486">
        <f t="shared" si="3"/>
        <v>4.662333992653292E-2</v>
      </c>
      <c r="P8" s="486">
        <f t="shared" si="3"/>
        <v>2.8909952606635071E-2</v>
      </c>
      <c r="Q8" s="486">
        <f t="shared" si="3"/>
        <v>5.1274706387854481E-2</v>
      </c>
      <c r="R8" s="486">
        <f t="shared" si="3"/>
        <v>4.9399198931909215E-2</v>
      </c>
      <c r="S8" s="486">
        <f t="shared" si="3"/>
        <v>0.13893653516295026</v>
      </c>
      <c r="T8" s="486">
        <f t="shared" si="3"/>
        <v>0.1389090909090909</v>
      </c>
      <c r="U8" s="486">
        <f t="shared" si="3"/>
        <v>5.3617571059431525E-2</v>
      </c>
      <c r="V8" s="486">
        <f t="shared" si="3"/>
        <v>1.3187927973624143E-2</v>
      </c>
      <c r="W8" s="486">
        <f t="shared" si="3"/>
        <v>2.0393029291805712E-2</v>
      </c>
      <c r="X8" s="486">
        <f t="shared" si="3"/>
        <v>2.0346646571213264E-2</v>
      </c>
      <c r="Y8" s="486">
        <f t="shared" si="3"/>
        <v>2.7987897125567322E-2</v>
      </c>
      <c r="Z8" s="486">
        <f t="shared" si="3"/>
        <v>1.2146118721461188</v>
      </c>
      <c r="AA8" s="486">
        <f t="shared" si="3"/>
        <v>0.11478260869565217</v>
      </c>
      <c r="AB8" s="487">
        <f t="shared" si="3"/>
        <v>0.13835085777531822</v>
      </c>
      <c r="AC8" s="488">
        <f t="shared" si="3"/>
        <v>0.15205959684487291</v>
      </c>
      <c r="AD8" s="488">
        <f t="shared" si="3"/>
        <v>8.9366983864294577E-2</v>
      </c>
      <c r="AE8" s="488">
        <f t="shared" si="3"/>
        <v>4.195535026943803E-2</v>
      </c>
      <c r="AF8" s="488">
        <f t="shared" si="3"/>
        <v>2.1843761569788966E-2</v>
      </c>
      <c r="AG8" s="488">
        <f t="shared" si="3"/>
        <v>1.9457956914523976E-2</v>
      </c>
      <c r="AH8" s="488">
        <f t="shared" si="3"/>
        <v>1.8512341561040695E-2</v>
      </c>
      <c r="AI8" s="488">
        <f t="shared" si="3"/>
        <v>1.100484737324774E-2</v>
      </c>
      <c r="AJ8" s="489">
        <f t="shared" si="3"/>
        <v>1.8078175895765471E-2</v>
      </c>
      <c r="AK8" s="488">
        <f t="shared" si="3"/>
        <v>3.3077765607886091E-2</v>
      </c>
      <c r="AL8" s="488">
        <f t="shared" si="3"/>
        <v>2.0881006864988557E-2</v>
      </c>
      <c r="AM8" s="488">
        <f t="shared" si="3"/>
        <v>6.3432835820895518E-3</v>
      </c>
      <c r="AN8" s="488">
        <f t="shared" si="3"/>
        <v>5.6401579244218835E-3</v>
      </c>
      <c r="AO8" s="488">
        <f t="shared" si="3"/>
        <v>1.8473435486180724E-2</v>
      </c>
      <c r="AP8" s="488">
        <f t="shared" si="3"/>
        <v>2.5204032645223237E-2</v>
      </c>
      <c r="AQ8" s="488">
        <f t="shared" si="3"/>
        <v>2.6791213303223156E-2</v>
      </c>
      <c r="AR8" s="488">
        <f t="shared" si="3"/>
        <v>2.3507109004739336E-2</v>
      </c>
      <c r="AS8" s="488">
        <f t="shared" si="3"/>
        <v>3.3072407045009786E-2</v>
      </c>
      <c r="AT8" s="488">
        <f t="shared" si="3"/>
        <v>8.6297071129707109E-2</v>
      </c>
      <c r="AU8" s="488">
        <f t="shared" si="3"/>
        <v>9.2272024729520868E-2</v>
      </c>
      <c r="AV8" s="488">
        <f t="shared" si="3"/>
        <v>0.10969568294409059</v>
      </c>
      <c r="AW8" s="488">
        <f t="shared" si="3"/>
        <v>0.13137032842582105</v>
      </c>
      <c r="AX8" s="488">
        <f t="shared" si="3"/>
        <v>0.17345132743362832</v>
      </c>
      <c r="AY8" s="488">
        <f t="shared" si="3"/>
        <v>0.19190121259316942</v>
      </c>
      <c r="AZ8" s="488">
        <f t="shared" si="3"/>
        <v>0.24903603244249434</v>
      </c>
      <c r="BA8" s="488">
        <f t="shared" si="3"/>
        <v>0.15897651006711411</v>
      </c>
      <c r="BB8" s="488">
        <f t="shared" si="3"/>
        <v>0.24530120481927711</v>
      </c>
      <c r="BC8" s="488">
        <f t="shared" si="3"/>
        <v>0.4223021582733813</v>
      </c>
      <c r="BD8" s="488">
        <f t="shared" si="3"/>
        <v>0.54973173751547666</v>
      </c>
      <c r="BE8" s="488">
        <f t="shared" si="3"/>
        <v>0.40546156129415256</v>
      </c>
      <c r="BF8" s="488">
        <f t="shared" si="3"/>
        <v>0.18829247675401523</v>
      </c>
      <c r="BG8" s="488">
        <f t="shared" si="3"/>
        <v>0.16937354988399073</v>
      </c>
      <c r="BH8" s="488">
        <f t="shared" si="3"/>
        <v>0.15796373170198821</v>
      </c>
      <c r="BI8" s="488">
        <f t="shared" si="3"/>
        <v>0.1520064856100527</v>
      </c>
      <c r="BJ8" s="488">
        <f t="shared" ref="BJ8:BU8" si="4">IFERROR((BJ7/BJ4),0)</f>
        <v>0</v>
      </c>
      <c r="BK8" s="488">
        <f t="shared" si="4"/>
        <v>0</v>
      </c>
      <c r="BL8" s="488">
        <f t="shared" si="4"/>
        <v>0</v>
      </c>
      <c r="BM8" s="488">
        <f t="shared" si="4"/>
        <v>0</v>
      </c>
      <c r="BN8" s="488">
        <f t="shared" si="4"/>
        <v>0</v>
      </c>
      <c r="BO8" s="488">
        <f t="shared" si="4"/>
        <v>0</v>
      </c>
      <c r="BP8" s="488">
        <f t="shared" si="4"/>
        <v>0</v>
      </c>
      <c r="BQ8" s="488">
        <f t="shared" si="4"/>
        <v>0</v>
      </c>
      <c r="BR8" s="488">
        <f t="shared" si="4"/>
        <v>0</v>
      </c>
      <c r="BS8" s="488">
        <f t="shared" si="4"/>
        <v>0</v>
      </c>
      <c r="BT8" s="488">
        <f t="shared" si="4"/>
        <v>0</v>
      </c>
      <c r="BU8" s="488">
        <f t="shared" si="4"/>
        <v>0</v>
      </c>
      <c r="BV8" s="488">
        <f>IFERROR((BV7/BV4),0)</f>
        <v>0</v>
      </c>
      <c r="BW8" s="488">
        <f>IFERROR((BW7/BW4),0)</f>
        <v>0</v>
      </c>
      <c r="BX8" s="490">
        <f>IFERROR((BX7/BX4),0)</f>
        <v>0</v>
      </c>
      <c r="BY8" s="491">
        <f>IFERROR((BY7/BY4),0)</f>
        <v>0</v>
      </c>
      <c r="BZ8" s="489">
        <f>IFERROR((BZ7/BZ4),0)</f>
        <v>0</v>
      </c>
      <c r="CA8" s="489">
        <f t="shared" ref="CA8:CK8" si="5">IFERROR((CA7/CA4),0)</f>
        <v>0</v>
      </c>
      <c r="CB8" s="489">
        <f t="shared" si="5"/>
        <v>0</v>
      </c>
      <c r="CC8" s="489">
        <f t="shared" si="5"/>
        <v>0</v>
      </c>
      <c r="CD8" s="489">
        <f t="shared" si="5"/>
        <v>0</v>
      </c>
      <c r="CE8" s="489">
        <f t="shared" si="5"/>
        <v>0</v>
      </c>
      <c r="CF8" s="489">
        <f t="shared" si="5"/>
        <v>0</v>
      </c>
      <c r="CG8" s="489">
        <f t="shared" si="5"/>
        <v>0</v>
      </c>
      <c r="CH8" s="489">
        <f t="shared" si="5"/>
        <v>0</v>
      </c>
      <c r="CI8" s="489">
        <f t="shared" si="5"/>
        <v>0</v>
      </c>
      <c r="CJ8" s="489">
        <f t="shared" si="5"/>
        <v>0</v>
      </c>
      <c r="CK8" s="489">
        <f t="shared" si="5"/>
        <v>0</v>
      </c>
    </row>
    <row r="9" spans="1:89" ht="18" customHeight="1" x14ac:dyDescent="0.2">
      <c r="A9" s="475"/>
      <c r="B9" s="476"/>
      <c r="C9" s="477"/>
      <c r="D9" s="477"/>
      <c r="E9" s="477"/>
      <c r="F9" s="477"/>
      <c r="G9" s="477"/>
      <c r="H9" s="477"/>
      <c r="I9" s="477"/>
      <c r="J9" s="477"/>
      <c r="K9" s="477"/>
      <c r="L9" s="477"/>
      <c r="M9" s="477"/>
      <c r="N9" s="477"/>
      <c r="O9" s="477"/>
      <c r="P9" s="468"/>
      <c r="Q9" s="468"/>
      <c r="R9" s="468"/>
      <c r="S9" s="468"/>
      <c r="T9" s="468"/>
      <c r="U9" s="468"/>
      <c r="V9" s="468"/>
      <c r="W9" s="468"/>
      <c r="X9" s="477"/>
      <c r="Y9" s="477"/>
      <c r="Z9" s="477"/>
      <c r="AA9" s="477"/>
      <c r="AB9" s="478"/>
      <c r="AC9" s="481"/>
      <c r="AD9" s="481"/>
      <c r="AE9" s="481"/>
      <c r="AF9" s="481"/>
      <c r="AG9" s="481"/>
      <c r="AH9" s="481"/>
      <c r="AI9" s="481"/>
      <c r="AJ9" s="479"/>
      <c r="AK9" s="481"/>
      <c r="AL9" s="481"/>
      <c r="AM9" s="481"/>
      <c r="AN9" s="481"/>
      <c r="AO9" s="481"/>
      <c r="AP9" s="481"/>
      <c r="AQ9" s="481"/>
      <c r="AR9" s="481"/>
      <c r="AS9" s="481"/>
      <c r="AT9" s="481"/>
      <c r="AU9" s="481"/>
      <c r="AV9" s="481"/>
      <c r="AW9" s="481"/>
      <c r="AX9" s="481"/>
      <c r="AY9" s="481"/>
      <c r="AZ9" s="481"/>
      <c r="BA9" s="481"/>
      <c r="BB9" s="481"/>
      <c r="BC9" s="481"/>
      <c r="BD9" s="481"/>
      <c r="BE9" s="481"/>
      <c r="BF9" s="481"/>
      <c r="BG9" s="481"/>
      <c r="BH9" s="481"/>
      <c r="BI9" s="481"/>
      <c r="BJ9" s="481"/>
      <c r="BK9" s="481"/>
      <c r="BL9" s="481"/>
      <c r="BM9" s="481"/>
      <c r="BN9" s="481"/>
      <c r="BO9" s="481"/>
      <c r="BP9" s="481"/>
      <c r="BQ9" s="481"/>
      <c r="BR9" s="481"/>
      <c r="BS9" s="481"/>
      <c r="BT9" s="481"/>
      <c r="BU9" s="481"/>
      <c r="BV9" s="481"/>
      <c r="BW9" s="481"/>
      <c r="BX9" s="482"/>
      <c r="BY9" s="483"/>
      <c r="BZ9" s="479"/>
      <c r="CA9" s="479"/>
      <c r="CB9" s="479"/>
      <c r="CC9" s="479"/>
      <c r="CD9" s="479"/>
      <c r="CE9" s="479"/>
      <c r="CF9" s="479"/>
      <c r="CG9" s="479"/>
      <c r="CH9" s="479"/>
      <c r="CI9" s="479"/>
      <c r="CJ9" s="479"/>
      <c r="CK9" s="479"/>
    </row>
    <row r="10" spans="1:89" ht="15.75" customHeight="1" x14ac:dyDescent="0.2">
      <c r="A10" s="457" t="s">
        <v>10</v>
      </c>
      <c r="B10" s="458">
        <f>B3-B6</f>
        <v>6192647</v>
      </c>
      <c r="C10" s="459">
        <f t="shared" ref="C10:BN10" si="6">C3-C6</f>
        <v>6767807</v>
      </c>
      <c r="D10" s="459">
        <f t="shared" si="6"/>
        <v>5747560.7689844025</v>
      </c>
      <c r="E10" s="459">
        <f t="shared" si="6"/>
        <v>9331198.8993185107</v>
      </c>
      <c r="F10" s="459">
        <f t="shared" si="6"/>
        <v>7135417.9363709055</v>
      </c>
      <c r="G10" s="459">
        <f t="shared" si="6"/>
        <v>5830125.5643097647</v>
      </c>
      <c r="H10" s="459">
        <f t="shared" si="6"/>
        <v>7326199.0000000009</v>
      </c>
      <c r="I10" s="459">
        <f t="shared" si="6"/>
        <v>9536226</v>
      </c>
      <c r="J10" s="459">
        <f t="shared" si="6"/>
        <v>11404856</v>
      </c>
      <c r="K10" s="459">
        <f t="shared" si="6"/>
        <v>12706168.140000001</v>
      </c>
      <c r="L10" s="459">
        <f t="shared" si="6"/>
        <v>16662986.66</v>
      </c>
      <c r="M10" s="459">
        <f t="shared" si="6"/>
        <v>13437196.740000002</v>
      </c>
      <c r="N10" s="459">
        <f t="shared" si="6"/>
        <v>17270977.899999999</v>
      </c>
      <c r="O10" s="459">
        <f t="shared" si="6"/>
        <v>18603711.84</v>
      </c>
      <c r="P10" s="459">
        <f t="shared" si="6"/>
        <v>23042300.5</v>
      </c>
      <c r="Q10" s="459">
        <f t="shared" si="6"/>
        <v>19165740.5</v>
      </c>
      <c r="R10" s="459">
        <f t="shared" si="6"/>
        <v>11279629.534285715</v>
      </c>
      <c r="S10" s="459">
        <f t="shared" si="6"/>
        <v>7603125.0871428568</v>
      </c>
      <c r="T10" s="484">
        <f t="shared" si="6"/>
        <v>5793090.599642857</v>
      </c>
      <c r="U10" s="484">
        <f t="shared" si="6"/>
        <v>8130308.6571428571</v>
      </c>
      <c r="V10" s="484">
        <f t="shared" si="6"/>
        <v>12415828.094642857</v>
      </c>
      <c r="W10" s="459">
        <f t="shared" si="6"/>
        <v>12868897.6644</v>
      </c>
      <c r="X10" s="459">
        <f t="shared" si="6"/>
        <v>22371683.246812254</v>
      </c>
      <c r="Y10" s="459">
        <f t="shared" si="6"/>
        <v>9717107.0580000002</v>
      </c>
      <c r="Z10" s="459">
        <f t="shared" si="6"/>
        <v>240700</v>
      </c>
      <c r="AA10" s="459">
        <f t="shared" si="6"/>
        <v>9078027.3651999999</v>
      </c>
      <c r="AB10" s="461">
        <f t="shared" si="6"/>
        <v>9945188.4697642904</v>
      </c>
      <c r="AC10" s="462">
        <f t="shared" si="6"/>
        <v>13896044.018400002</v>
      </c>
      <c r="AD10" s="462">
        <f t="shared" si="6"/>
        <v>16259239.23</v>
      </c>
      <c r="AE10" s="462">
        <f t="shared" si="6"/>
        <v>16813956</v>
      </c>
      <c r="AF10" s="462">
        <f t="shared" si="6"/>
        <v>15542343</v>
      </c>
      <c r="AG10" s="462">
        <f t="shared" si="6"/>
        <v>23078691</v>
      </c>
      <c r="AH10" s="462">
        <f t="shared" si="6"/>
        <v>30262985</v>
      </c>
      <c r="AI10" s="462">
        <f t="shared" si="6"/>
        <v>38984746</v>
      </c>
      <c r="AJ10" s="463">
        <f t="shared" si="6"/>
        <v>31039805</v>
      </c>
      <c r="AK10" s="462">
        <f t="shared" si="6"/>
        <v>23510196</v>
      </c>
      <c r="AL10" s="462">
        <f t="shared" si="6"/>
        <v>17906255</v>
      </c>
      <c r="AM10" s="462">
        <f t="shared" si="6"/>
        <v>14498748</v>
      </c>
      <c r="AN10" s="462">
        <f t="shared" si="6"/>
        <v>28344924</v>
      </c>
      <c r="AO10" s="462">
        <f t="shared" si="6"/>
        <v>38659288</v>
      </c>
      <c r="AP10" s="462">
        <f t="shared" si="6"/>
        <v>50123607</v>
      </c>
      <c r="AQ10" s="462">
        <f t="shared" si="6"/>
        <v>58726342</v>
      </c>
      <c r="AR10" s="462">
        <f t="shared" si="6"/>
        <v>58615364</v>
      </c>
      <c r="AS10" s="462">
        <f t="shared" si="6"/>
        <v>51972136</v>
      </c>
      <c r="AT10" s="462">
        <f t="shared" si="6"/>
        <v>58400654.469999999</v>
      </c>
      <c r="AU10" s="462">
        <f t="shared" si="6"/>
        <v>68715789</v>
      </c>
      <c r="AV10" s="462">
        <f t="shared" si="6"/>
        <v>69084692</v>
      </c>
      <c r="AW10" s="462">
        <f t="shared" si="6"/>
        <v>75658657.739999995</v>
      </c>
      <c r="AX10" s="462">
        <f t="shared" si="6"/>
        <v>41264695.049999997</v>
      </c>
      <c r="AY10" s="462">
        <f t="shared" si="6"/>
        <v>43722251</v>
      </c>
      <c r="AZ10" s="462">
        <f t="shared" si="6"/>
        <v>39209984.170000002</v>
      </c>
      <c r="BA10" s="462">
        <f t="shared" si="6"/>
        <v>33382856</v>
      </c>
      <c r="BB10" s="462">
        <f t="shared" si="6"/>
        <v>27373000.679999992</v>
      </c>
      <c r="BC10" s="462">
        <f t="shared" si="6"/>
        <v>13465895.949483922</v>
      </c>
      <c r="BD10" s="462">
        <f t="shared" si="6"/>
        <v>7453992.2177116927</v>
      </c>
      <c r="BE10" s="462">
        <f t="shared" si="6"/>
        <v>20591524.062033951</v>
      </c>
      <c r="BF10" s="462">
        <f t="shared" si="6"/>
        <v>33429736.434135012</v>
      </c>
      <c r="BG10" s="462">
        <f t="shared" si="6"/>
        <v>40181230.488871992</v>
      </c>
      <c r="BH10" s="462">
        <f t="shared" si="6"/>
        <v>34802221.484443344</v>
      </c>
      <c r="BI10" s="462">
        <f t="shared" si="6"/>
        <v>41280292.828641914</v>
      </c>
      <c r="BJ10" s="462">
        <f t="shared" si="6"/>
        <v>0</v>
      </c>
      <c r="BK10" s="462">
        <f t="shared" si="6"/>
        <v>0</v>
      </c>
      <c r="BL10" s="462">
        <f t="shared" si="6"/>
        <v>0</v>
      </c>
      <c r="BM10" s="462">
        <f t="shared" si="6"/>
        <v>0</v>
      </c>
      <c r="BN10" s="462">
        <f t="shared" si="6"/>
        <v>0</v>
      </c>
      <c r="BO10" s="462">
        <f t="shared" ref="BO10:CK10" si="7">BO3-BO6</f>
        <v>0</v>
      </c>
      <c r="BP10" s="462">
        <f t="shared" si="7"/>
        <v>0</v>
      </c>
      <c r="BQ10" s="462">
        <f t="shared" si="7"/>
        <v>0</v>
      </c>
      <c r="BR10" s="462">
        <f t="shared" si="7"/>
        <v>0</v>
      </c>
      <c r="BS10" s="462">
        <f t="shared" si="7"/>
        <v>0</v>
      </c>
      <c r="BT10" s="462">
        <f t="shared" si="7"/>
        <v>0</v>
      </c>
      <c r="BU10" s="462">
        <f t="shared" si="7"/>
        <v>0</v>
      </c>
      <c r="BV10" s="462">
        <f t="shared" si="7"/>
        <v>0</v>
      </c>
      <c r="BW10" s="462">
        <f t="shared" si="7"/>
        <v>0</v>
      </c>
      <c r="BX10" s="464">
        <f t="shared" si="7"/>
        <v>0</v>
      </c>
      <c r="BY10" s="465">
        <f t="shared" si="7"/>
        <v>0</v>
      </c>
      <c r="BZ10" s="463">
        <f t="shared" si="7"/>
        <v>0</v>
      </c>
      <c r="CA10" s="463">
        <f t="shared" si="7"/>
        <v>0</v>
      </c>
      <c r="CB10" s="463">
        <f t="shared" si="7"/>
        <v>0</v>
      </c>
      <c r="CC10" s="463">
        <f t="shared" si="7"/>
        <v>0</v>
      </c>
      <c r="CD10" s="463">
        <f t="shared" si="7"/>
        <v>0</v>
      </c>
      <c r="CE10" s="463">
        <f t="shared" si="7"/>
        <v>0</v>
      </c>
      <c r="CF10" s="463">
        <f t="shared" si="7"/>
        <v>0</v>
      </c>
      <c r="CG10" s="463">
        <f t="shared" si="7"/>
        <v>0</v>
      </c>
      <c r="CH10" s="463">
        <f t="shared" si="7"/>
        <v>0</v>
      </c>
      <c r="CI10" s="463">
        <f t="shared" si="7"/>
        <v>0</v>
      </c>
      <c r="CJ10" s="463">
        <f t="shared" si="7"/>
        <v>0</v>
      </c>
      <c r="CK10" s="463">
        <f t="shared" si="7"/>
        <v>0</v>
      </c>
    </row>
    <row r="11" spans="1:89" ht="15.75" customHeight="1" x14ac:dyDescent="0.2">
      <c r="A11" s="466" t="s">
        <v>11</v>
      </c>
      <c r="B11" s="467">
        <v>148437.03571428571</v>
      </c>
      <c r="C11" s="468">
        <v>181862.96612203572</v>
      </c>
      <c r="D11" s="468">
        <v>152245.41916668598</v>
      </c>
      <c r="E11" s="468">
        <v>198155.38593951135</v>
      </c>
      <c r="F11" s="468">
        <v>189099.35581218151</v>
      </c>
      <c r="G11" s="468">
        <v>181161.42060316404</v>
      </c>
      <c r="H11" s="468">
        <v>246219.82886114286</v>
      </c>
      <c r="I11" s="468">
        <v>370723.31821428571</v>
      </c>
      <c r="J11" s="468">
        <v>429065.23714285716</v>
      </c>
      <c r="K11" s="468">
        <v>472258.76891835715</v>
      </c>
      <c r="L11" s="468">
        <v>786612.24964285712</v>
      </c>
      <c r="M11" s="468">
        <v>1233450.0264285714</v>
      </c>
      <c r="N11" s="468">
        <v>1359110.9350000001</v>
      </c>
      <c r="O11" s="468">
        <v>1435127.3253087166</v>
      </c>
      <c r="P11" s="468">
        <v>1153023.1719673122</v>
      </c>
      <c r="Q11" s="468">
        <v>1896283.2040980631</v>
      </c>
      <c r="R11" s="469">
        <v>558558.91319007275</v>
      </c>
      <c r="S11" s="468">
        <v>484183.61308716761</v>
      </c>
      <c r="T11" s="470">
        <v>378576.1668946732</v>
      </c>
      <c r="U11" s="468">
        <v>389874.98198547238</v>
      </c>
      <c r="V11" s="468">
        <v>446928.57799636811</v>
      </c>
      <c r="W11" s="468">
        <v>523465.50588305091</v>
      </c>
      <c r="X11" s="468">
        <v>946281.27076166193</v>
      </c>
      <c r="Y11" s="468">
        <v>445470.97858565359</v>
      </c>
      <c r="Z11" s="468">
        <v>38629.57808716681</v>
      </c>
      <c r="AA11" s="468">
        <v>331601.55007590813</v>
      </c>
      <c r="AB11" s="471">
        <v>441971.45697256655</v>
      </c>
      <c r="AC11" s="472">
        <v>591664.04053202202</v>
      </c>
      <c r="AD11" s="472">
        <v>804343.58940072625</v>
      </c>
      <c r="AE11" s="472">
        <v>754215.76783898321</v>
      </c>
      <c r="AF11" s="472">
        <v>749983.98368038738</v>
      </c>
      <c r="AG11" s="472">
        <v>1291997.321398305</v>
      </c>
      <c r="AH11" s="472">
        <v>1777932.8</v>
      </c>
      <c r="AI11" s="472">
        <f>2243457.46-135369</f>
        <v>2108088.46</v>
      </c>
      <c r="AJ11" s="469">
        <v>1600378.96</v>
      </c>
      <c r="AK11" s="472">
        <v>1231275.3399999999</v>
      </c>
      <c r="AL11" s="472">
        <v>874019</v>
      </c>
      <c r="AM11" s="472">
        <v>660392.52</v>
      </c>
      <c r="AN11" s="472">
        <v>1465915.9</v>
      </c>
      <c r="AO11" s="472">
        <v>1965952.4569491525</v>
      </c>
      <c r="AP11" s="472">
        <v>2535409.5932203392</v>
      </c>
      <c r="AQ11" s="472">
        <v>3011972.92</v>
      </c>
      <c r="AR11" s="472">
        <f>3500513-101527</f>
        <v>3398986</v>
      </c>
      <c r="AS11" s="472">
        <v>2926853.209999999</v>
      </c>
      <c r="AT11" s="472">
        <f>3634299.91-348202</f>
        <v>3286097.91</v>
      </c>
      <c r="AU11" s="472">
        <f>4174256.83-402199</f>
        <v>3772057.83</v>
      </c>
      <c r="AV11" s="472">
        <v>3633313</v>
      </c>
      <c r="AW11" s="472">
        <f>3633313-672901</f>
        <v>2960412</v>
      </c>
      <c r="AX11" s="472">
        <f>3011637-672901</f>
        <v>2338736</v>
      </c>
      <c r="AY11" s="472">
        <f>3164271-584542</f>
        <v>2579729</v>
      </c>
      <c r="AZ11" s="472">
        <f>2822438-650885.999999999</f>
        <v>2171552.0000000009</v>
      </c>
      <c r="BA11" s="472">
        <v>2263770.3724613413</v>
      </c>
      <c r="BB11" s="472">
        <v>1658399.683170995</v>
      </c>
      <c r="BC11" s="472">
        <v>895798.49784005084</v>
      </c>
      <c r="BD11" s="472">
        <v>691348.32833217899</v>
      </c>
      <c r="BE11" s="472">
        <v>1178567.3106673989</v>
      </c>
      <c r="BF11" s="472">
        <v>1310184.3838772709</v>
      </c>
      <c r="BG11" s="472">
        <v>1500357.6083393174</v>
      </c>
      <c r="BH11" s="472">
        <v>1337231.7751945276</v>
      </c>
      <c r="BI11" s="472">
        <v>1484451.5827785125</v>
      </c>
      <c r="BJ11" s="472">
        <v>0</v>
      </c>
      <c r="BK11" s="472">
        <v>0</v>
      </c>
      <c r="BL11" s="472">
        <v>0</v>
      </c>
      <c r="BM11" s="472">
        <v>0</v>
      </c>
      <c r="BN11" s="472">
        <v>0</v>
      </c>
      <c r="BO11" s="472">
        <v>0</v>
      </c>
      <c r="BP11" s="472">
        <v>0</v>
      </c>
      <c r="BQ11" s="472">
        <v>0</v>
      </c>
      <c r="BR11" s="472">
        <v>0</v>
      </c>
      <c r="BS11" s="472">
        <v>0</v>
      </c>
      <c r="BT11" s="472">
        <v>0</v>
      </c>
      <c r="BU11" s="472">
        <v>0</v>
      </c>
      <c r="BV11" s="472">
        <v>0</v>
      </c>
      <c r="BW11" s="472">
        <v>0</v>
      </c>
      <c r="BX11" s="473">
        <v>0</v>
      </c>
      <c r="BY11" s="474">
        <v>0</v>
      </c>
      <c r="BZ11" s="469">
        <v>0</v>
      </c>
      <c r="CA11" s="469">
        <v>0</v>
      </c>
      <c r="CB11" s="469">
        <v>0</v>
      </c>
      <c r="CC11" s="469">
        <v>0</v>
      </c>
      <c r="CD11" s="469">
        <v>0</v>
      </c>
      <c r="CE11" s="469">
        <v>0</v>
      </c>
      <c r="CF11" s="469">
        <v>0</v>
      </c>
      <c r="CG11" s="469">
        <v>0</v>
      </c>
      <c r="CH11" s="469">
        <v>0</v>
      </c>
      <c r="CI11" s="469">
        <v>0</v>
      </c>
      <c r="CJ11" s="469">
        <v>0</v>
      </c>
      <c r="CK11" s="469">
        <v>0</v>
      </c>
    </row>
    <row r="12" spans="1:89" ht="15.75" customHeight="1" x14ac:dyDescent="0.2">
      <c r="A12" s="485" t="s">
        <v>12</v>
      </c>
      <c r="B12" s="486">
        <f t="shared" ref="B12:S12" si="8">B11/B10</f>
        <v>2.3969884883521652E-2</v>
      </c>
      <c r="C12" s="486">
        <f t="shared" si="8"/>
        <v>2.6871771922874828E-2</v>
      </c>
      <c r="D12" s="486">
        <f t="shared" si="8"/>
        <v>2.6488701083118404E-2</v>
      </c>
      <c r="E12" s="486">
        <f t="shared" si="8"/>
        <v>2.123579060714088E-2</v>
      </c>
      <c r="F12" s="486">
        <f t="shared" si="8"/>
        <v>2.6501510843295887E-2</v>
      </c>
      <c r="G12" s="486">
        <f t="shared" si="8"/>
        <v>3.1073330857945586E-2</v>
      </c>
      <c r="H12" s="486">
        <f t="shared" si="8"/>
        <v>3.3608127333306509E-2</v>
      </c>
      <c r="I12" s="486">
        <f t="shared" si="8"/>
        <v>3.8875265562528162E-2</v>
      </c>
      <c r="J12" s="486">
        <f t="shared" si="8"/>
        <v>3.762127616015995E-2</v>
      </c>
      <c r="K12" s="486">
        <f t="shared" si="8"/>
        <v>3.716767822642375E-2</v>
      </c>
      <c r="L12" s="486">
        <f t="shared" si="8"/>
        <v>4.7207158338015323E-2</v>
      </c>
      <c r="M12" s="486">
        <f t="shared" si="8"/>
        <v>9.1793701491087287E-2</v>
      </c>
      <c r="N12" s="486">
        <f t="shared" si="8"/>
        <v>7.8693339941104334E-2</v>
      </c>
      <c r="O12" s="486">
        <f t="shared" si="8"/>
        <v>7.7141988526345434E-2</v>
      </c>
      <c r="P12" s="486">
        <f t="shared" si="8"/>
        <v>5.0039412165782331E-2</v>
      </c>
      <c r="Q12" s="486">
        <f t="shared" si="8"/>
        <v>9.89412960119158E-2</v>
      </c>
      <c r="R12" s="486">
        <f t="shared" si="8"/>
        <v>4.9519260494528608E-2</v>
      </c>
      <c r="S12" s="486">
        <f t="shared" si="8"/>
        <v>6.3682184304180212E-2</v>
      </c>
      <c r="T12" s="486">
        <f t="shared" ref="T12:BI12" si="9">T11/T20</f>
        <v>6.9918765864757995E-2</v>
      </c>
      <c r="U12" s="486">
        <f t="shared" si="9"/>
        <v>5.0368622527799792E-2</v>
      </c>
      <c r="V12" s="486">
        <f t="shared" si="9"/>
        <v>3.7340824640960051E-2</v>
      </c>
      <c r="W12" s="486">
        <f t="shared" si="9"/>
        <v>4.2401553802385042E-2</v>
      </c>
      <c r="X12" s="486">
        <f t="shared" si="9"/>
        <v>4.416632517884235E-2</v>
      </c>
      <c r="Y12" s="486">
        <f t="shared" si="9"/>
        <v>4.8046641905491211E-2</v>
      </c>
      <c r="Z12" s="486">
        <f t="shared" si="9"/>
        <v>0.19116888915009242</v>
      </c>
      <c r="AA12" s="486">
        <f t="shared" si="9"/>
        <v>3.7912806566370381E-2</v>
      </c>
      <c r="AB12" s="487">
        <f t="shared" si="9"/>
        <v>4.6507562268403919E-2</v>
      </c>
      <c r="AC12" s="488">
        <f t="shared" si="9"/>
        <v>4.4471372699536792E-2</v>
      </c>
      <c r="AD12" s="488">
        <f t="shared" si="9"/>
        <v>5.2044582383834019E-2</v>
      </c>
      <c r="AE12" s="488">
        <f t="shared" si="9"/>
        <v>4.69631361987164E-2</v>
      </c>
      <c r="AF12" s="488">
        <f t="shared" si="9"/>
        <v>5.070076942108899E-2</v>
      </c>
      <c r="AG12" s="488">
        <f t="shared" si="9"/>
        <v>5.930212910953396E-2</v>
      </c>
      <c r="AH12" s="488">
        <f t="shared" si="9"/>
        <v>6.2416343404138125E-2</v>
      </c>
      <c r="AI12" s="488">
        <f t="shared" si="9"/>
        <v>5.7165930988006784E-2</v>
      </c>
      <c r="AJ12" s="489">
        <f t="shared" si="9"/>
        <v>5.4361758202266908E-2</v>
      </c>
      <c r="AK12" s="488">
        <f t="shared" si="9"/>
        <v>5.5266382011524243E-2</v>
      </c>
      <c r="AL12" s="488">
        <f t="shared" si="9"/>
        <v>5.131557594669308E-2</v>
      </c>
      <c r="AM12" s="488">
        <f t="shared" si="9"/>
        <v>4.7721893035226469E-2</v>
      </c>
      <c r="AN12" s="488">
        <f t="shared" si="9"/>
        <v>5.4537574249252145E-2</v>
      </c>
      <c r="AO12" s="488">
        <f t="shared" si="9"/>
        <v>5.357791620340914E-2</v>
      </c>
      <c r="AP12" s="488">
        <f t="shared" si="9"/>
        <v>5.327811792381805E-2</v>
      </c>
      <c r="AQ12" s="488">
        <f t="shared" si="9"/>
        <v>5.4060971518408871E-2</v>
      </c>
      <c r="AR12" s="488">
        <f t="shared" si="9"/>
        <v>6.1557569024176126E-2</v>
      </c>
      <c r="AS12" s="488">
        <f t="shared" si="9"/>
        <v>5.9676548762743899E-2</v>
      </c>
      <c r="AT12" s="488">
        <f t="shared" si="9"/>
        <v>5.9623049065497188E-2</v>
      </c>
      <c r="AU12" s="488">
        <f t="shared" si="9"/>
        <v>5.8081938965380206E-2</v>
      </c>
      <c r="AV12" s="488">
        <f t="shared" si="9"/>
        <v>5.5511634063508425E-2</v>
      </c>
      <c r="AW12" s="488">
        <f t="shared" si="9"/>
        <v>4.072191797567852E-2</v>
      </c>
      <c r="AX12" s="488">
        <f t="shared" si="9"/>
        <v>6.0081653916244364E-2</v>
      </c>
      <c r="AY12" s="488">
        <f t="shared" si="9"/>
        <v>6.2702257289915284E-2</v>
      </c>
      <c r="AZ12" s="492">
        <f t="shared" si="9"/>
        <v>5.862969550203833E-2</v>
      </c>
      <c r="BA12" s="492">
        <f t="shared" si="9"/>
        <v>7.274540131275678E-2</v>
      </c>
      <c r="BB12" s="492">
        <f t="shared" si="9"/>
        <v>6.4492530270078896E-2</v>
      </c>
      <c r="BC12" s="492">
        <f t="shared" si="9"/>
        <v>7.1264244472734897E-2</v>
      </c>
      <c r="BD12" s="492">
        <f t="shared" si="9"/>
        <v>0.10223047962320128</v>
      </c>
      <c r="BE12" s="492">
        <f t="shared" si="9"/>
        <v>6.0710345454431353E-2</v>
      </c>
      <c r="BF12" s="492">
        <f t="shared" si="9"/>
        <v>4.0790867252046788E-2</v>
      </c>
      <c r="BG12" s="492">
        <f t="shared" si="9"/>
        <v>3.8788101110676279E-2</v>
      </c>
      <c r="BH12" s="492">
        <f t="shared" si="9"/>
        <v>3.9959127040309621E-2</v>
      </c>
      <c r="BI12" s="492">
        <f t="shared" si="9"/>
        <v>3.7301676162777804E-2</v>
      </c>
      <c r="BJ12" s="492">
        <f t="shared" ref="BJ12:BU12" si="10">IFERROR((BJ11/BJ20),0)</f>
        <v>0</v>
      </c>
      <c r="BK12" s="492">
        <f t="shared" si="10"/>
        <v>0</v>
      </c>
      <c r="BL12" s="492">
        <f t="shared" si="10"/>
        <v>0</v>
      </c>
      <c r="BM12" s="492">
        <f t="shared" si="10"/>
        <v>0</v>
      </c>
      <c r="BN12" s="492">
        <f t="shared" si="10"/>
        <v>0</v>
      </c>
      <c r="BO12" s="492">
        <f t="shared" si="10"/>
        <v>0</v>
      </c>
      <c r="BP12" s="492">
        <f t="shared" si="10"/>
        <v>0</v>
      </c>
      <c r="BQ12" s="492">
        <f t="shared" si="10"/>
        <v>0</v>
      </c>
      <c r="BR12" s="492">
        <f t="shared" si="10"/>
        <v>0</v>
      </c>
      <c r="BS12" s="492">
        <f t="shared" si="10"/>
        <v>0</v>
      </c>
      <c r="BT12" s="492">
        <f t="shared" si="10"/>
        <v>0</v>
      </c>
      <c r="BU12" s="492">
        <f t="shared" si="10"/>
        <v>0</v>
      </c>
      <c r="BV12" s="492">
        <f>IFERROR((BV11/BV20),0)</f>
        <v>0</v>
      </c>
      <c r="BW12" s="492">
        <f>IFERROR((BW11/BW20),0)</f>
        <v>0</v>
      </c>
      <c r="BX12" s="493">
        <f>IFERROR((BX11/BX20),0)</f>
        <v>0</v>
      </c>
      <c r="BY12" s="494">
        <f>IFERROR((BY11/BY20),0)</f>
        <v>0</v>
      </c>
      <c r="BZ12" s="489">
        <f>IFERROR((BZ11/BZ20),0)</f>
        <v>0</v>
      </c>
      <c r="CA12" s="489">
        <f t="shared" ref="CA12:CK12" si="11">IFERROR((CA11/CA20),0)</f>
        <v>0</v>
      </c>
      <c r="CB12" s="489">
        <f t="shared" si="11"/>
        <v>0</v>
      </c>
      <c r="CC12" s="489">
        <f t="shared" si="11"/>
        <v>0</v>
      </c>
      <c r="CD12" s="489">
        <f t="shared" si="11"/>
        <v>0</v>
      </c>
      <c r="CE12" s="489">
        <f t="shared" si="11"/>
        <v>0</v>
      </c>
      <c r="CF12" s="489">
        <f t="shared" si="11"/>
        <v>0</v>
      </c>
      <c r="CG12" s="489">
        <f t="shared" si="11"/>
        <v>0</v>
      </c>
      <c r="CH12" s="489">
        <f t="shared" si="11"/>
        <v>0</v>
      </c>
      <c r="CI12" s="489">
        <f t="shared" si="11"/>
        <v>0</v>
      </c>
      <c r="CJ12" s="489">
        <f t="shared" si="11"/>
        <v>0</v>
      </c>
      <c r="CK12" s="489">
        <f t="shared" si="11"/>
        <v>0</v>
      </c>
    </row>
    <row r="13" spans="1:89" ht="15.75" customHeight="1" x14ac:dyDescent="0.2">
      <c r="A13" s="485"/>
      <c r="B13" s="486"/>
      <c r="C13" s="486"/>
      <c r="D13" s="486"/>
      <c r="E13" s="486"/>
      <c r="F13" s="486"/>
      <c r="G13" s="486"/>
      <c r="H13" s="486"/>
      <c r="I13" s="486"/>
      <c r="J13" s="486"/>
      <c r="K13" s="486"/>
      <c r="L13" s="486"/>
      <c r="M13" s="486"/>
      <c r="N13" s="486"/>
      <c r="O13" s="486"/>
      <c r="P13" s="486"/>
      <c r="Q13" s="486"/>
      <c r="R13" s="486"/>
      <c r="S13" s="486"/>
      <c r="T13" s="495"/>
      <c r="U13" s="486"/>
      <c r="V13" s="486"/>
      <c r="W13" s="486"/>
      <c r="X13" s="486"/>
      <c r="Y13" s="486"/>
      <c r="Z13" s="486"/>
      <c r="AA13" s="486"/>
      <c r="AB13" s="487"/>
      <c r="AC13" s="488"/>
      <c r="AD13" s="488"/>
      <c r="AE13" s="488"/>
      <c r="AF13" s="488"/>
      <c r="AG13" s="488"/>
      <c r="AH13" s="488"/>
      <c r="AI13" s="488"/>
      <c r="AJ13" s="489"/>
      <c r="AK13" s="488"/>
      <c r="AL13" s="488"/>
      <c r="AM13" s="488"/>
      <c r="AN13" s="488"/>
      <c r="AO13" s="488"/>
      <c r="AP13" s="488"/>
      <c r="AQ13" s="488"/>
      <c r="AR13" s="488"/>
      <c r="AS13" s="488"/>
      <c r="AT13" s="488"/>
      <c r="AU13" s="488"/>
      <c r="AV13" s="488"/>
      <c r="AW13" s="488"/>
      <c r="AX13" s="488"/>
      <c r="AY13" s="488"/>
      <c r="AZ13" s="488"/>
      <c r="BA13" s="488"/>
      <c r="BB13" s="488"/>
      <c r="BC13" s="488"/>
      <c r="BD13" s="488"/>
      <c r="BE13" s="488"/>
      <c r="BF13" s="488"/>
      <c r="BG13" s="488"/>
      <c r="BH13" s="488"/>
      <c r="BI13" s="488"/>
      <c r="BJ13" s="488"/>
      <c r="BK13" s="488"/>
      <c r="BL13" s="488"/>
      <c r="BM13" s="488"/>
      <c r="BN13" s="488"/>
      <c r="BO13" s="488"/>
      <c r="BP13" s="488"/>
      <c r="BQ13" s="488"/>
      <c r="BR13" s="488"/>
      <c r="BS13" s="488"/>
      <c r="BT13" s="488"/>
      <c r="BU13" s="488"/>
      <c r="BV13" s="488"/>
      <c r="BW13" s="488"/>
      <c r="BX13" s="490"/>
      <c r="BY13" s="491"/>
      <c r="BZ13" s="489"/>
      <c r="CA13" s="489"/>
      <c r="CB13" s="489"/>
      <c r="CC13" s="489"/>
      <c r="CD13" s="489"/>
      <c r="CE13" s="489"/>
      <c r="CF13" s="489"/>
      <c r="CG13" s="489"/>
      <c r="CH13" s="489"/>
      <c r="CI13" s="489"/>
      <c r="CJ13" s="489"/>
      <c r="CK13" s="489"/>
    </row>
    <row r="14" spans="1:89" ht="15.75" customHeight="1" x14ac:dyDescent="0.2">
      <c r="A14" s="485" t="s">
        <v>230</v>
      </c>
      <c r="B14" s="496">
        <f t="shared" ref="B14:R14" si="12">B15</f>
        <v>916</v>
      </c>
      <c r="C14" s="496">
        <f t="shared" si="12"/>
        <v>969</v>
      </c>
      <c r="D14" s="496">
        <f t="shared" si="12"/>
        <v>817</v>
      </c>
      <c r="E14" s="496">
        <f t="shared" si="12"/>
        <v>1419</v>
      </c>
      <c r="F14" s="496">
        <f t="shared" si="12"/>
        <v>1338</v>
      </c>
      <c r="G14" s="496">
        <f t="shared" si="12"/>
        <v>1177</v>
      </c>
      <c r="H14" s="496">
        <f t="shared" si="12"/>
        <v>1366</v>
      </c>
      <c r="I14" s="496">
        <f t="shared" si="12"/>
        <v>1689</v>
      </c>
      <c r="J14" s="496">
        <f t="shared" si="12"/>
        <v>2158</v>
      </c>
      <c r="K14" s="496">
        <f t="shared" si="12"/>
        <v>2163</v>
      </c>
      <c r="L14" s="496">
        <f t="shared" si="12"/>
        <v>2975</v>
      </c>
      <c r="M14" s="496">
        <f t="shared" si="12"/>
        <v>2335</v>
      </c>
      <c r="N14" s="496">
        <f t="shared" si="12"/>
        <v>3233</v>
      </c>
      <c r="O14" s="496">
        <f t="shared" si="12"/>
        <v>3374</v>
      </c>
      <c r="P14" s="496">
        <f t="shared" si="12"/>
        <v>4098</v>
      </c>
      <c r="Q14" s="496">
        <f t="shared" si="12"/>
        <v>3312</v>
      </c>
      <c r="R14" s="496">
        <f t="shared" si="12"/>
        <v>2136</v>
      </c>
      <c r="S14" s="496">
        <f>S15</f>
        <v>1506</v>
      </c>
      <c r="T14" s="497">
        <f>T15</f>
        <v>1184</v>
      </c>
      <c r="U14" s="496">
        <f>U15</f>
        <v>1465</v>
      </c>
      <c r="V14" s="496">
        <f t="shared" ref="V14:CG14" si="13">V15+V16</f>
        <v>3891</v>
      </c>
      <c r="W14" s="496">
        <f t="shared" si="13"/>
        <v>2642</v>
      </c>
      <c r="X14" s="496">
        <f t="shared" si="13"/>
        <v>2600</v>
      </c>
      <c r="Y14" s="496">
        <f t="shared" si="13"/>
        <v>1285</v>
      </c>
      <c r="Z14" s="496">
        <f t="shared" si="13"/>
        <v>-47</v>
      </c>
      <c r="AA14" s="496">
        <f t="shared" si="13"/>
        <v>1527</v>
      </c>
      <c r="AB14" s="498">
        <f t="shared" si="13"/>
        <v>1557</v>
      </c>
      <c r="AC14" s="499">
        <f t="shared" si="13"/>
        <v>1935</v>
      </c>
      <c r="AD14" s="499">
        <f t="shared" si="13"/>
        <v>2201</v>
      </c>
      <c r="AE14" s="499">
        <f t="shared" si="13"/>
        <v>2489</v>
      </c>
      <c r="AF14" s="499">
        <f t="shared" si="13"/>
        <v>2642</v>
      </c>
      <c r="AG14" s="499">
        <f t="shared" si="13"/>
        <v>4233</v>
      </c>
      <c r="AH14" s="499">
        <f t="shared" si="13"/>
        <v>5885</v>
      </c>
      <c r="AI14" s="499">
        <f t="shared" si="13"/>
        <v>7549</v>
      </c>
      <c r="AJ14" s="500">
        <f t="shared" si="13"/>
        <v>6029</v>
      </c>
      <c r="AK14" s="499">
        <f t="shared" si="13"/>
        <v>4414</v>
      </c>
      <c r="AL14" s="499">
        <f t="shared" si="13"/>
        <v>3423</v>
      </c>
      <c r="AM14" s="499">
        <f t="shared" si="13"/>
        <v>2663</v>
      </c>
      <c r="AN14" s="499">
        <f t="shared" si="13"/>
        <v>5289</v>
      </c>
      <c r="AO14" s="499">
        <f t="shared" si="13"/>
        <v>6854</v>
      </c>
      <c r="AP14" s="499">
        <f t="shared" si="13"/>
        <v>8122</v>
      </c>
      <c r="AQ14" s="499">
        <f t="shared" si="13"/>
        <v>9481</v>
      </c>
      <c r="AR14" s="499">
        <f t="shared" si="13"/>
        <v>10302</v>
      </c>
      <c r="AS14" s="499">
        <f t="shared" si="13"/>
        <v>9882</v>
      </c>
      <c r="AT14" s="499">
        <f t="shared" si="13"/>
        <v>10482</v>
      </c>
      <c r="AU14" s="499">
        <f t="shared" si="13"/>
        <v>11746</v>
      </c>
      <c r="AV14" s="499">
        <f t="shared" si="13"/>
        <v>11322</v>
      </c>
      <c r="AW14" s="499">
        <f t="shared" si="13"/>
        <v>13039</v>
      </c>
      <c r="AX14" s="499">
        <f t="shared" si="13"/>
        <v>8406</v>
      </c>
      <c r="AY14" s="499">
        <f t="shared" si="13"/>
        <v>7264</v>
      </c>
      <c r="AZ14" s="499">
        <f t="shared" si="13"/>
        <v>5648</v>
      </c>
      <c r="BA14" s="499">
        <f t="shared" si="13"/>
        <v>6015</v>
      </c>
      <c r="BB14" s="499">
        <f t="shared" si="13"/>
        <v>4698</v>
      </c>
      <c r="BC14" s="499">
        <f t="shared" si="13"/>
        <v>2409</v>
      </c>
      <c r="BD14" s="499">
        <f t="shared" si="13"/>
        <v>1091</v>
      </c>
      <c r="BE14" s="499">
        <f t="shared" si="13"/>
        <v>2003</v>
      </c>
      <c r="BF14" s="499">
        <f t="shared" si="13"/>
        <v>3841</v>
      </c>
      <c r="BG14" s="499">
        <f t="shared" si="13"/>
        <v>4296</v>
      </c>
      <c r="BH14" s="499">
        <f t="shared" si="13"/>
        <v>3854</v>
      </c>
      <c r="BI14" s="499">
        <f t="shared" si="13"/>
        <v>4184</v>
      </c>
      <c r="BJ14" s="499">
        <f t="shared" si="13"/>
        <v>0</v>
      </c>
      <c r="BK14" s="499">
        <f t="shared" si="13"/>
        <v>0</v>
      </c>
      <c r="BL14" s="499">
        <f t="shared" si="13"/>
        <v>0</v>
      </c>
      <c r="BM14" s="499">
        <f t="shared" si="13"/>
        <v>0</v>
      </c>
      <c r="BN14" s="499">
        <f t="shared" si="13"/>
        <v>0</v>
      </c>
      <c r="BO14" s="499">
        <f t="shared" si="13"/>
        <v>0</v>
      </c>
      <c r="BP14" s="499">
        <f t="shared" si="13"/>
        <v>0</v>
      </c>
      <c r="BQ14" s="499">
        <f t="shared" si="13"/>
        <v>0</v>
      </c>
      <c r="BR14" s="499">
        <f t="shared" si="13"/>
        <v>0</v>
      </c>
      <c r="BS14" s="499">
        <f t="shared" si="13"/>
        <v>0</v>
      </c>
      <c r="BT14" s="499">
        <f t="shared" si="13"/>
        <v>0</v>
      </c>
      <c r="BU14" s="499">
        <f t="shared" si="13"/>
        <v>0</v>
      </c>
      <c r="BV14" s="499">
        <f t="shared" si="13"/>
        <v>0</v>
      </c>
      <c r="BW14" s="499">
        <f t="shared" si="13"/>
        <v>0</v>
      </c>
      <c r="BX14" s="501">
        <f t="shared" si="13"/>
        <v>0</v>
      </c>
      <c r="BY14" s="502">
        <f t="shared" si="13"/>
        <v>0</v>
      </c>
      <c r="BZ14" s="500">
        <f t="shared" si="13"/>
        <v>0</v>
      </c>
      <c r="CA14" s="500">
        <f t="shared" si="13"/>
        <v>0</v>
      </c>
      <c r="CB14" s="500">
        <f t="shared" si="13"/>
        <v>0</v>
      </c>
      <c r="CC14" s="500">
        <f t="shared" si="13"/>
        <v>0</v>
      </c>
      <c r="CD14" s="500">
        <f t="shared" si="13"/>
        <v>0</v>
      </c>
      <c r="CE14" s="500">
        <f t="shared" si="13"/>
        <v>0</v>
      </c>
      <c r="CF14" s="500">
        <f t="shared" si="13"/>
        <v>0</v>
      </c>
      <c r="CG14" s="500">
        <f t="shared" si="13"/>
        <v>0</v>
      </c>
      <c r="CH14" s="500">
        <f t="shared" ref="CH14:CK14" si="14">CH15+CH16</f>
        <v>0</v>
      </c>
      <c r="CI14" s="500">
        <f t="shared" si="14"/>
        <v>0</v>
      </c>
      <c r="CJ14" s="500">
        <f t="shared" si="14"/>
        <v>0</v>
      </c>
      <c r="CK14" s="500">
        <f t="shared" si="14"/>
        <v>0</v>
      </c>
    </row>
    <row r="15" spans="1:89" ht="15.75" customHeight="1" x14ac:dyDescent="0.2">
      <c r="A15" s="485" t="s">
        <v>231</v>
      </c>
      <c r="B15" s="467">
        <f t="shared" ref="B15:BM15" si="15">B4-B7</f>
        <v>916</v>
      </c>
      <c r="C15" s="468">
        <f t="shared" si="15"/>
        <v>969</v>
      </c>
      <c r="D15" s="468">
        <f t="shared" si="15"/>
        <v>817</v>
      </c>
      <c r="E15" s="468">
        <f t="shared" si="15"/>
        <v>1419</v>
      </c>
      <c r="F15" s="468">
        <f t="shared" si="15"/>
        <v>1338</v>
      </c>
      <c r="G15" s="468">
        <f t="shared" si="15"/>
        <v>1177</v>
      </c>
      <c r="H15" s="468">
        <f t="shared" si="15"/>
        <v>1366</v>
      </c>
      <c r="I15" s="468">
        <f t="shared" si="15"/>
        <v>1689</v>
      </c>
      <c r="J15" s="496">
        <f t="shared" si="15"/>
        <v>2158</v>
      </c>
      <c r="K15" s="496">
        <f t="shared" si="15"/>
        <v>2163</v>
      </c>
      <c r="L15" s="496">
        <f t="shared" si="15"/>
        <v>2975</v>
      </c>
      <c r="M15" s="496">
        <f t="shared" si="15"/>
        <v>2335</v>
      </c>
      <c r="N15" s="496">
        <f t="shared" si="15"/>
        <v>3233</v>
      </c>
      <c r="O15" s="496">
        <f t="shared" si="15"/>
        <v>3374</v>
      </c>
      <c r="P15" s="496">
        <f t="shared" si="15"/>
        <v>4098</v>
      </c>
      <c r="Q15" s="496">
        <f t="shared" si="15"/>
        <v>3312</v>
      </c>
      <c r="R15" s="500">
        <f t="shared" si="15"/>
        <v>2136</v>
      </c>
      <c r="S15" s="496">
        <f t="shared" si="15"/>
        <v>1506</v>
      </c>
      <c r="T15" s="497">
        <f t="shared" si="15"/>
        <v>1184</v>
      </c>
      <c r="U15" s="497">
        <f t="shared" si="15"/>
        <v>1465</v>
      </c>
      <c r="V15" s="497">
        <f t="shared" si="15"/>
        <v>3891</v>
      </c>
      <c r="W15" s="497">
        <f t="shared" si="15"/>
        <v>2642</v>
      </c>
      <c r="X15" s="497">
        <f t="shared" si="15"/>
        <v>2600</v>
      </c>
      <c r="Y15" s="497">
        <f t="shared" si="15"/>
        <v>1285</v>
      </c>
      <c r="Z15" s="497">
        <f t="shared" si="15"/>
        <v>-47</v>
      </c>
      <c r="AA15" s="497">
        <f t="shared" si="15"/>
        <v>1527</v>
      </c>
      <c r="AB15" s="500">
        <f t="shared" si="15"/>
        <v>1557</v>
      </c>
      <c r="AC15" s="499">
        <f t="shared" si="15"/>
        <v>1935</v>
      </c>
      <c r="AD15" s="499">
        <f t="shared" si="15"/>
        <v>2201</v>
      </c>
      <c r="AE15" s="499">
        <f t="shared" si="15"/>
        <v>2489</v>
      </c>
      <c r="AF15" s="499">
        <f t="shared" si="15"/>
        <v>2642</v>
      </c>
      <c r="AG15" s="499">
        <f t="shared" si="15"/>
        <v>4233</v>
      </c>
      <c r="AH15" s="499">
        <f t="shared" si="15"/>
        <v>5885</v>
      </c>
      <c r="AI15" s="499">
        <f t="shared" si="15"/>
        <v>7549</v>
      </c>
      <c r="AJ15" s="500">
        <f t="shared" si="15"/>
        <v>6029</v>
      </c>
      <c r="AK15" s="499">
        <f t="shared" si="15"/>
        <v>4414</v>
      </c>
      <c r="AL15" s="499">
        <f t="shared" si="15"/>
        <v>3423</v>
      </c>
      <c r="AM15" s="499">
        <f t="shared" si="15"/>
        <v>2663</v>
      </c>
      <c r="AN15" s="499">
        <f t="shared" si="15"/>
        <v>5289</v>
      </c>
      <c r="AO15" s="499">
        <f t="shared" si="15"/>
        <v>6854</v>
      </c>
      <c r="AP15" s="499">
        <f t="shared" si="15"/>
        <v>8122</v>
      </c>
      <c r="AQ15" s="499">
        <f t="shared" si="15"/>
        <v>9481</v>
      </c>
      <c r="AR15" s="499">
        <f t="shared" si="15"/>
        <v>10302</v>
      </c>
      <c r="AS15" s="499">
        <f t="shared" si="15"/>
        <v>9882</v>
      </c>
      <c r="AT15" s="499">
        <f t="shared" si="15"/>
        <v>10482</v>
      </c>
      <c r="AU15" s="499">
        <f t="shared" si="15"/>
        <v>11746</v>
      </c>
      <c r="AV15" s="499">
        <f t="shared" si="15"/>
        <v>11322</v>
      </c>
      <c r="AW15" s="499">
        <f t="shared" si="15"/>
        <v>13039</v>
      </c>
      <c r="AX15" s="499">
        <f t="shared" si="15"/>
        <v>8406</v>
      </c>
      <c r="AY15" s="499">
        <f t="shared" si="15"/>
        <v>7264</v>
      </c>
      <c r="AZ15" s="499">
        <f t="shared" si="15"/>
        <v>5648</v>
      </c>
      <c r="BA15" s="499">
        <f t="shared" si="15"/>
        <v>6015</v>
      </c>
      <c r="BB15" s="499">
        <f t="shared" si="15"/>
        <v>4698</v>
      </c>
      <c r="BC15" s="499">
        <f t="shared" si="15"/>
        <v>2409</v>
      </c>
      <c r="BD15" s="499">
        <f t="shared" si="15"/>
        <v>1091</v>
      </c>
      <c r="BE15" s="499">
        <f t="shared" si="15"/>
        <v>2003</v>
      </c>
      <c r="BF15" s="499">
        <f t="shared" si="15"/>
        <v>3841</v>
      </c>
      <c r="BG15" s="499">
        <f t="shared" si="15"/>
        <v>4296</v>
      </c>
      <c r="BH15" s="499">
        <f t="shared" si="15"/>
        <v>3854</v>
      </c>
      <c r="BI15" s="499">
        <f t="shared" si="15"/>
        <v>4184</v>
      </c>
      <c r="BJ15" s="499">
        <f t="shared" si="15"/>
        <v>0</v>
      </c>
      <c r="BK15" s="499">
        <f t="shared" si="15"/>
        <v>0</v>
      </c>
      <c r="BL15" s="499">
        <f t="shared" si="15"/>
        <v>0</v>
      </c>
      <c r="BM15" s="499">
        <f t="shared" si="15"/>
        <v>0</v>
      </c>
      <c r="BN15" s="499">
        <f t="shared" ref="BN15:CK15" si="16">BN4-BN7</f>
        <v>0</v>
      </c>
      <c r="BO15" s="499">
        <f t="shared" si="16"/>
        <v>0</v>
      </c>
      <c r="BP15" s="499">
        <f t="shared" si="16"/>
        <v>0</v>
      </c>
      <c r="BQ15" s="499">
        <f t="shared" si="16"/>
        <v>0</v>
      </c>
      <c r="BR15" s="499">
        <f t="shared" si="16"/>
        <v>0</v>
      </c>
      <c r="BS15" s="499">
        <f t="shared" si="16"/>
        <v>0</v>
      </c>
      <c r="BT15" s="499">
        <f t="shared" si="16"/>
        <v>0</v>
      </c>
      <c r="BU15" s="499">
        <f t="shared" si="16"/>
        <v>0</v>
      </c>
      <c r="BV15" s="499">
        <f t="shared" si="16"/>
        <v>0</v>
      </c>
      <c r="BW15" s="499">
        <f t="shared" si="16"/>
        <v>0</v>
      </c>
      <c r="BX15" s="501">
        <f t="shared" si="16"/>
        <v>0</v>
      </c>
      <c r="BY15" s="502">
        <f t="shared" si="16"/>
        <v>0</v>
      </c>
      <c r="BZ15" s="500">
        <f t="shared" si="16"/>
        <v>0</v>
      </c>
      <c r="CA15" s="500">
        <f t="shared" si="16"/>
        <v>0</v>
      </c>
      <c r="CB15" s="500">
        <f t="shared" si="16"/>
        <v>0</v>
      </c>
      <c r="CC15" s="500">
        <f t="shared" si="16"/>
        <v>0</v>
      </c>
      <c r="CD15" s="500">
        <f t="shared" si="16"/>
        <v>0</v>
      </c>
      <c r="CE15" s="500">
        <f t="shared" si="16"/>
        <v>0</v>
      </c>
      <c r="CF15" s="500">
        <f t="shared" si="16"/>
        <v>0</v>
      </c>
      <c r="CG15" s="500">
        <f t="shared" si="16"/>
        <v>0</v>
      </c>
      <c r="CH15" s="500">
        <f t="shared" si="16"/>
        <v>0</v>
      </c>
      <c r="CI15" s="500">
        <f t="shared" si="16"/>
        <v>0</v>
      </c>
      <c r="CJ15" s="500">
        <f t="shared" si="16"/>
        <v>0</v>
      </c>
      <c r="CK15" s="500">
        <f t="shared" si="16"/>
        <v>0</v>
      </c>
    </row>
    <row r="16" spans="1:89" ht="15.75" hidden="1" customHeight="1" x14ac:dyDescent="0.2">
      <c r="A16" s="485"/>
      <c r="B16" s="467"/>
      <c r="C16" s="468"/>
      <c r="D16" s="468"/>
      <c r="E16" s="468"/>
      <c r="F16" s="468"/>
      <c r="G16" s="468"/>
      <c r="H16" s="468"/>
      <c r="I16" s="468"/>
      <c r="J16" s="496"/>
      <c r="K16" s="496"/>
      <c r="L16" s="496"/>
      <c r="M16" s="496"/>
      <c r="N16" s="496"/>
      <c r="O16" s="496"/>
      <c r="P16" s="496"/>
      <c r="Q16" s="496"/>
      <c r="R16" s="500"/>
      <c r="S16" s="496"/>
      <c r="T16" s="497"/>
      <c r="U16" s="497"/>
      <c r="V16" s="497"/>
      <c r="W16" s="497"/>
      <c r="X16" s="497"/>
      <c r="Y16" s="497"/>
      <c r="Z16" s="497"/>
      <c r="AA16" s="497"/>
      <c r="AB16" s="500"/>
      <c r="AC16" s="499"/>
      <c r="AD16" s="499"/>
      <c r="AE16" s="499"/>
      <c r="AF16" s="499"/>
      <c r="AG16" s="499"/>
      <c r="AH16" s="499"/>
      <c r="AI16" s="499"/>
      <c r="AJ16" s="500"/>
      <c r="AK16" s="499"/>
      <c r="AL16" s="499"/>
      <c r="AM16" s="499"/>
      <c r="AN16" s="499"/>
      <c r="AO16" s="499"/>
      <c r="AP16" s="499"/>
      <c r="AQ16" s="499"/>
      <c r="AR16" s="499"/>
      <c r="AS16" s="499"/>
      <c r="AT16" s="499"/>
      <c r="AU16" s="499"/>
      <c r="AV16" s="499"/>
      <c r="AW16" s="499"/>
      <c r="AX16" s="499"/>
      <c r="AY16" s="499"/>
      <c r="AZ16" s="499"/>
      <c r="BA16" s="499"/>
      <c r="BB16" s="499"/>
      <c r="BC16" s="499"/>
      <c r="BD16" s="499"/>
      <c r="BE16" s="499"/>
      <c r="BF16" s="499"/>
      <c r="BG16" s="499"/>
      <c r="BH16" s="499"/>
      <c r="BI16" s="499"/>
      <c r="BJ16" s="499"/>
      <c r="BK16" s="499"/>
      <c r="BL16" s="499"/>
      <c r="BM16" s="499"/>
      <c r="BN16" s="499"/>
      <c r="BO16" s="499"/>
      <c r="BP16" s="499"/>
      <c r="BQ16" s="499"/>
      <c r="BR16" s="499"/>
      <c r="BS16" s="499"/>
      <c r="BT16" s="499"/>
      <c r="BU16" s="499"/>
      <c r="BV16" s="499"/>
      <c r="BW16" s="499"/>
      <c r="BX16" s="501"/>
      <c r="BY16" s="502"/>
      <c r="BZ16" s="500"/>
      <c r="CA16" s="500"/>
      <c r="CB16" s="500"/>
      <c r="CC16" s="500"/>
      <c r="CD16" s="500"/>
      <c r="CE16" s="500"/>
      <c r="CF16" s="500"/>
      <c r="CG16" s="500"/>
      <c r="CH16" s="500"/>
      <c r="CI16" s="500"/>
      <c r="CJ16" s="500"/>
      <c r="CK16" s="500"/>
    </row>
    <row r="17" spans="1:94" ht="15.75" hidden="1" customHeight="1" x14ac:dyDescent="0.2">
      <c r="A17" s="485"/>
      <c r="B17" s="467"/>
      <c r="C17" s="468"/>
      <c r="D17" s="468"/>
      <c r="E17" s="468"/>
      <c r="F17" s="468"/>
      <c r="G17" s="468"/>
      <c r="H17" s="468"/>
      <c r="I17" s="468"/>
      <c r="J17" s="496"/>
      <c r="K17" s="496"/>
      <c r="L17" s="496"/>
      <c r="M17" s="496"/>
      <c r="N17" s="496"/>
      <c r="O17" s="496"/>
      <c r="P17" s="496"/>
      <c r="Q17" s="496"/>
      <c r="R17" s="500"/>
      <c r="S17" s="496"/>
      <c r="T17" s="497"/>
      <c r="U17" s="497"/>
      <c r="V17" s="497"/>
      <c r="W17" s="497"/>
      <c r="X17" s="497"/>
      <c r="Y17" s="497"/>
      <c r="Z17" s="497"/>
      <c r="AA17" s="497"/>
      <c r="AB17" s="500"/>
      <c r="AC17" s="499"/>
      <c r="AD17" s="499"/>
      <c r="AE17" s="499"/>
      <c r="AF17" s="499"/>
      <c r="AG17" s="499"/>
      <c r="AH17" s="499"/>
      <c r="AI17" s="499"/>
      <c r="AJ17" s="500"/>
      <c r="AK17" s="499"/>
      <c r="AL17" s="499"/>
      <c r="AM17" s="499"/>
      <c r="AN17" s="499"/>
      <c r="AO17" s="499"/>
      <c r="AP17" s="499"/>
      <c r="AQ17" s="499"/>
      <c r="AR17" s="499"/>
      <c r="AS17" s="499"/>
      <c r="AT17" s="499"/>
      <c r="AU17" s="499"/>
      <c r="AV17" s="499"/>
      <c r="AW17" s="499"/>
      <c r="AX17" s="499"/>
      <c r="AY17" s="499"/>
      <c r="AZ17" s="499"/>
      <c r="BA17" s="499"/>
      <c r="BB17" s="499"/>
      <c r="BC17" s="499"/>
      <c r="BD17" s="499"/>
      <c r="BE17" s="499"/>
      <c r="BF17" s="499"/>
      <c r="BG17" s="499"/>
      <c r="BH17" s="499"/>
      <c r="BI17" s="499"/>
      <c r="BJ17" s="499"/>
      <c r="BK17" s="499"/>
      <c r="BL17" s="499"/>
      <c r="BM17" s="499"/>
      <c r="BN17" s="499"/>
      <c r="BO17" s="499"/>
      <c r="BP17" s="499"/>
      <c r="BQ17" s="499"/>
      <c r="BR17" s="499"/>
      <c r="BS17" s="499"/>
      <c r="BT17" s="499"/>
      <c r="BU17" s="499"/>
      <c r="BV17" s="499"/>
      <c r="BW17" s="499"/>
      <c r="BX17" s="501"/>
      <c r="BY17" s="502"/>
      <c r="BZ17" s="500"/>
      <c r="CA17" s="500"/>
      <c r="CB17" s="500"/>
      <c r="CC17" s="500"/>
      <c r="CD17" s="500"/>
      <c r="CE17" s="500"/>
      <c r="CF17" s="500"/>
      <c r="CG17" s="500"/>
      <c r="CH17" s="500"/>
      <c r="CI17" s="500"/>
      <c r="CJ17" s="500"/>
      <c r="CK17" s="500"/>
    </row>
    <row r="18" spans="1:94" ht="15.75" customHeight="1" x14ac:dyDescent="0.2">
      <c r="A18" s="485" t="s">
        <v>14</v>
      </c>
      <c r="B18" s="503">
        <f t="shared" ref="B18:BI18" si="17">B10/SUM(B14)</f>
        <v>6760.5316593886464</v>
      </c>
      <c r="C18" s="504">
        <f t="shared" si="17"/>
        <v>6984.3209494324046</v>
      </c>
      <c r="D18" s="504">
        <f t="shared" si="17"/>
        <v>7034.958101572096</v>
      </c>
      <c r="E18" s="504">
        <f t="shared" si="17"/>
        <v>6575.8977444105076</v>
      </c>
      <c r="F18" s="504">
        <f t="shared" si="17"/>
        <v>5332.8983081994811</v>
      </c>
      <c r="G18" s="504">
        <f t="shared" si="17"/>
        <v>4953.3777096939375</v>
      </c>
      <c r="H18" s="504">
        <f t="shared" si="17"/>
        <v>5363.24963396779</v>
      </c>
      <c r="I18" s="504">
        <f t="shared" si="17"/>
        <v>5646.078152753108</v>
      </c>
      <c r="J18" s="496">
        <f t="shared" si="17"/>
        <v>5284.9193697868395</v>
      </c>
      <c r="K18" s="496">
        <f t="shared" si="17"/>
        <v>5874.326463245493</v>
      </c>
      <c r="L18" s="496">
        <f t="shared" si="17"/>
        <v>5601.0039193277307</v>
      </c>
      <c r="M18" s="496">
        <f t="shared" si="17"/>
        <v>5754.6881113490372</v>
      </c>
      <c r="N18" s="496">
        <f t="shared" si="17"/>
        <v>5342.0902876585214</v>
      </c>
      <c r="O18" s="496">
        <f t="shared" si="17"/>
        <v>5513.8446473029044</v>
      </c>
      <c r="P18" s="496">
        <f t="shared" si="17"/>
        <v>5622.8161298194245</v>
      </c>
      <c r="Q18" s="496">
        <f t="shared" si="17"/>
        <v>5786.7573973429953</v>
      </c>
      <c r="R18" s="500">
        <f t="shared" si="17"/>
        <v>5280.7254373996793</v>
      </c>
      <c r="S18" s="496">
        <f t="shared" si="17"/>
        <v>5048.5558347562128</v>
      </c>
      <c r="T18" s="496">
        <f t="shared" si="17"/>
        <v>4892.813006455116</v>
      </c>
      <c r="U18" s="496">
        <f t="shared" si="17"/>
        <v>5549.6987420770356</v>
      </c>
      <c r="V18" s="496">
        <f t="shared" si="17"/>
        <v>3190.9093021441422</v>
      </c>
      <c r="W18" s="496">
        <f t="shared" si="17"/>
        <v>4870.8923786525356</v>
      </c>
      <c r="X18" s="496">
        <f t="shared" si="17"/>
        <v>8604.4935564662519</v>
      </c>
      <c r="Y18" s="496">
        <f t="shared" si="17"/>
        <v>7561.951017898833</v>
      </c>
      <c r="Z18" s="496">
        <f t="shared" si="17"/>
        <v>-5121.2765957446809</v>
      </c>
      <c r="AA18" s="496">
        <f t="shared" si="17"/>
        <v>5945.0080977079242</v>
      </c>
      <c r="AB18" s="498">
        <f t="shared" si="17"/>
        <v>6387.4042837278676</v>
      </c>
      <c r="AC18" s="499">
        <f t="shared" si="17"/>
        <v>7181.4180973643424</v>
      </c>
      <c r="AD18" s="499">
        <f t="shared" si="17"/>
        <v>7387.2054656974105</v>
      </c>
      <c r="AE18" s="499">
        <f t="shared" si="17"/>
        <v>6755.3057452792282</v>
      </c>
      <c r="AF18" s="499">
        <f t="shared" si="17"/>
        <v>5882.7944738834212</v>
      </c>
      <c r="AG18" s="499">
        <f t="shared" si="17"/>
        <v>5452.0885896527288</v>
      </c>
      <c r="AH18" s="499">
        <f t="shared" si="17"/>
        <v>5142.3933729821583</v>
      </c>
      <c r="AI18" s="499">
        <f t="shared" si="17"/>
        <v>5164.2265200688835</v>
      </c>
      <c r="AJ18" s="500">
        <f t="shared" si="17"/>
        <v>5148.4168187095702</v>
      </c>
      <c r="AK18" s="499">
        <f t="shared" si="17"/>
        <v>5326.2791119166286</v>
      </c>
      <c r="AL18" s="499">
        <f t="shared" si="17"/>
        <v>5231.1583406368682</v>
      </c>
      <c r="AM18" s="499">
        <f t="shared" si="17"/>
        <v>5444.5167104769062</v>
      </c>
      <c r="AN18" s="499">
        <f t="shared" si="17"/>
        <v>5359.2217810550201</v>
      </c>
      <c r="AO18" s="499">
        <f t="shared" si="17"/>
        <v>5640.3980157572223</v>
      </c>
      <c r="AP18" s="499">
        <f t="shared" si="17"/>
        <v>6171.3379709431174</v>
      </c>
      <c r="AQ18" s="499">
        <f t="shared" si="17"/>
        <v>6194.1084273810784</v>
      </c>
      <c r="AR18" s="499">
        <f t="shared" si="17"/>
        <v>5689.7072413123669</v>
      </c>
      <c r="AS18" s="499">
        <f t="shared" si="17"/>
        <v>5259.2730216555356</v>
      </c>
      <c r="AT18" s="499">
        <f t="shared" si="17"/>
        <v>5571.5182665521843</v>
      </c>
      <c r="AU18" s="499">
        <f t="shared" si="17"/>
        <v>5850.1437936318744</v>
      </c>
      <c r="AV18" s="499">
        <f t="shared" si="17"/>
        <v>6101.8099275746335</v>
      </c>
      <c r="AW18" s="499">
        <f t="shared" si="17"/>
        <v>5802.489281386609</v>
      </c>
      <c r="AX18" s="499">
        <f t="shared" si="17"/>
        <v>4908.9572983583148</v>
      </c>
      <c r="AY18" s="499">
        <f t="shared" si="17"/>
        <v>6019.0323513215862</v>
      </c>
      <c r="AZ18" s="499">
        <f t="shared" si="17"/>
        <v>6942.277650495751</v>
      </c>
      <c r="BA18" s="499">
        <f t="shared" si="17"/>
        <v>5549.9344970906068</v>
      </c>
      <c r="BB18" s="499">
        <f t="shared" si="17"/>
        <v>5826.5220689655152</v>
      </c>
      <c r="BC18" s="499">
        <f t="shared" si="17"/>
        <v>5589.8281234885517</v>
      </c>
      <c r="BD18" s="499">
        <f t="shared" si="17"/>
        <v>6832.2568448319826</v>
      </c>
      <c r="BE18" s="499">
        <f t="shared" si="17"/>
        <v>10280.341518738867</v>
      </c>
      <c r="BF18" s="499">
        <f t="shared" si="17"/>
        <v>8703.3940208630593</v>
      </c>
      <c r="BG18" s="499">
        <f t="shared" si="17"/>
        <v>9353.1728326052125</v>
      </c>
      <c r="BH18" s="499">
        <f t="shared" si="17"/>
        <v>9030.1560675774108</v>
      </c>
      <c r="BI18" s="499">
        <f t="shared" si="17"/>
        <v>9866.2267754880286</v>
      </c>
      <c r="BJ18" s="499">
        <f t="shared" ref="BJ18:BU18" si="18">IFERROR((BJ10/SUM(BJ14)),0)</f>
        <v>0</v>
      </c>
      <c r="BK18" s="499">
        <f t="shared" si="18"/>
        <v>0</v>
      </c>
      <c r="BL18" s="499">
        <f t="shared" si="18"/>
        <v>0</v>
      </c>
      <c r="BM18" s="499">
        <f t="shared" si="18"/>
        <v>0</v>
      </c>
      <c r="BN18" s="499">
        <f t="shared" si="18"/>
        <v>0</v>
      </c>
      <c r="BO18" s="499">
        <f t="shared" si="18"/>
        <v>0</v>
      </c>
      <c r="BP18" s="499">
        <f t="shared" si="18"/>
        <v>0</v>
      </c>
      <c r="BQ18" s="499">
        <f t="shared" si="18"/>
        <v>0</v>
      </c>
      <c r="BR18" s="499">
        <f t="shared" si="18"/>
        <v>0</v>
      </c>
      <c r="BS18" s="499">
        <f t="shared" si="18"/>
        <v>0</v>
      </c>
      <c r="BT18" s="499">
        <f t="shared" si="18"/>
        <v>0</v>
      </c>
      <c r="BU18" s="499">
        <f t="shared" si="18"/>
        <v>0</v>
      </c>
      <c r="BV18" s="499">
        <f>IFERROR((BV10/SUM(BV14)),0)</f>
        <v>0</v>
      </c>
      <c r="BW18" s="499">
        <f>IFERROR((BW10/SUM(BW14)),0)</f>
        <v>0</v>
      </c>
      <c r="BX18" s="501">
        <f>IFERROR((BX10/SUM(BX14)),0)</f>
        <v>0</v>
      </c>
      <c r="BY18" s="502">
        <f>IFERROR((BY10/SUM(BY14)),0)</f>
        <v>0</v>
      </c>
      <c r="BZ18" s="500">
        <f>IFERROR((BZ10/SUM(BZ14)),0)</f>
        <v>0</v>
      </c>
      <c r="CA18" s="500">
        <f t="shared" ref="CA18:CK18" si="19">IFERROR((CA10/SUM(CA14)),0)</f>
        <v>0</v>
      </c>
      <c r="CB18" s="500">
        <f t="shared" si="19"/>
        <v>0</v>
      </c>
      <c r="CC18" s="500">
        <f t="shared" si="19"/>
        <v>0</v>
      </c>
      <c r="CD18" s="500">
        <f t="shared" si="19"/>
        <v>0</v>
      </c>
      <c r="CE18" s="500">
        <f t="shared" si="19"/>
        <v>0</v>
      </c>
      <c r="CF18" s="500">
        <f t="shared" si="19"/>
        <v>0</v>
      </c>
      <c r="CG18" s="500">
        <f t="shared" si="19"/>
        <v>0</v>
      </c>
      <c r="CH18" s="500">
        <f t="shared" si="19"/>
        <v>0</v>
      </c>
      <c r="CI18" s="500">
        <f t="shared" si="19"/>
        <v>0</v>
      </c>
      <c r="CJ18" s="500">
        <f t="shared" si="19"/>
        <v>0</v>
      </c>
      <c r="CK18" s="500">
        <f t="shared" si="19"/>
        <v>0</v>
      </c>
    </row>
    <row r="19" spans="1:94" ht="15.75" customHeight="1" x14ac:dyDescent="0.2">
      <c r="A19" s="485"/>
      <c r="B19" s="467"/>
      <c r="C19" s="468"/>
      <c r="D19" s="468"/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  <c r="AA19" s="468"/>
      <c r="AB19" s="471"/>
      <c r="AC19" s="472"/>
      <c r="AD19" s="472"/>
      <c r="AE19" s="472"/>
      <c r="AF19" s="472"/>
      <c r="AG19" s="472"/>
      <c r="AH19" s="472"/>
      <c r="AI19" s="472"/>
      <c r="AJ19" s="469"/>
      <c r="AK19" s="472"/>
      <c r="AL19" s="472"/>
      <c r="AM19" s="472"/>
      <c r="AN19" s="472"/>
      <c r="AO19" s="472"/>
      <c r="AP19" s="472"/>
      <c r="AQ19" s="472"/>
      <c r="AR19" s="472"/>
      <c r="AS19" s="472"/>
      <c r="AT19" s="472"/>
      <c r="AU19" s="472"/>
      <c r="AV19" s="472"/>
      <c r="AW19" s="472"/>
      <c r="AX19" s="472"/>
      <c r="AY19" s="472"/>
      <c r="AZ19" s="472"/>
      <c r="BA19" s="472"/>
      <c r="BB19" s="472"/>
      <c r="BC19" s="472"/>
      <c r="BD19" s="472"/>
      <c r="BE19" s="472"/>
      <c r="BF19" s="472"/>
      <c r="BG19" s="472"/>
      <c r="BH19" s="472"/>
      <c r="BI19" s="472"/>
      <c r="BJ19" s="472"/>
      <c r="BK19" s="472"/>
      <c r="BL19" s="472"/>
      <c r="BM19" s="472"/>
      <c r="BN19" s="472"/>
      <c r="BO19" s="472"/>
      <c r="BP19" s="472"/>
      <c r="BQ19" s="472"/>
      <c r="BR19" s="472"/>
      <c r="BS19" s="472"/>
      <c r="BT19" s="472"/>
      <c r="BU19" s="472"/>
      <c r="BV19" s="472"/>
      <c r="BW19" s="472"/>
      <c r="BX19" s="473"/>
      <c r="BY19" s="474"/>
      <c r="BZ19" s="469"/>
      <c r="CA19" s="469"/>
      <c r="CB19" s="469"/>
      <c r="CC19" s="469"/>
      <c r="CD19" s="469"/>
      <c r="CE19" s="469"/>
      <c r="CF19" s="469"/>
      <c r="CG19" s="469"/>
      <c r="CH19" s="469"/>
      <c r="CI19" s="469"/>
      <c r="CJ19" s="469"/>
      <c r="CK19" s="469"/>
    </row>
    <row r="20" spans="1:94" ht="15.75" customHeight="1" x14ac:dyDescent="0.2">
      <c r="A20" s="457" t="s">
        <v>13</v>
      </c>
      <c r="B20" s="458">
        <f t="shared" ref="B20:Y20" si="20">B10-B11</f>
        <v>6044209.9642857146</v>
      </c>
      <c r="C20" s="459">
        <f t="shared" si="20"/>
        <v>6585944.0338779641</v>
      </c>
      <c r="D20" s="459">
        <f t="shared" si="20"/>
        <v>5595315.3498177165</v>
      </c>
      <c r="E20" s="459">
        <f t="shared" si="20"/>
        <v>9133043.5133790001</v>
      </c>
      <c r="F20" s="459">
        <f t="shared" si="20"/>
        <v>6946318.5805587238</v>
      </c>
      <c r="G20" s="459">
        <f t="shared" si="20"/>
        <v>5648964.1437066002</v>
      </c>
      <c r="H20" s="459">
        <f t="shared" si="20"/>
        <v>7079979.1711388584</v>
      </c>
      <c r="I20" s="459">
        <f t="shared" si="20"/>
        <v>9165502.6817857139</v>
      </c>
      <c r="J20" s="459">
        <f t="shared" si="20"/>
        <v>10975790.762857143</v>
      </c>
      <c r="K20" s="459">
        <f t="shared" si="20"/>
        <v>12233909.371081643</v>
      </c>
      <c r="L20" s="459">
        <f t="shared" si="20"/>
        <v>15876374.410357144</v>
      </c>
      <c r="M20" s="459">
        <f t="shared" si="20"/>
        <v>12203746.713571431</v>
      </c>
      <c r="N20" s="459">
        <f t="shared" si="20"/>
        <v>15911866.964999998</v>
      </c>
      <c r="O20" s="459">
        <f t="shared" si="20"/>
        <v>17168584.514691282</v>
      </c>
      <c r="P20" s="459">
        <f t="shared" si="20"/>
        <v>21889277.328032687</v>
      </c>
      <c r="Q20" s="459">
        <f t="shared" si="20"/>
        <v>17269457.295901936</v>
      </c>
      <c r="R20" s="459">
        <f t="shared" si="20"/>
        <v>10721070.621095642</v>
      </c>
      <c r="S20" s="459">
        <f t="shared" si="20"/>
        <v>7118941.4740556888</v>
      </c>
      <c r="T20" s="484">
        <f t="shared" si="20"/>
        <v>5414514.4327481836</v>
      </c>
      <c r="U20" s="484">
        <f t="shared" si="20"/>
        <v>7740433.6751573849</v>
      </c>
      <c r="V20" s="484">
        <f t="shared" si="20"/>
        <v>11968899.51664649</v>
      </c>
      <c r="W20" s="484">
        <f t="shared" si="20"/>
        <v>12345432.158516949</v>
      </c>
      <c r="X20" s="484">
        <f t="shared" si="20"/>
        <v>21425401.976050593</v>
      </c>
      <c r="Y20" s="484">
        <f t="shared" si="20"/>
        <v>9271636.0794143472</v>
      </c>
      <c r="Z20" s="484">
        <f>Z10-Z11</f>
        <v>202070.42191283318</v>
      </c>
      <c r="AA20" s="484">
        <f t="shared" ref="AA20:CK20" si="21">AA10-AA11</f>
        <v>8746425.8151240926</v>
      </c>
      <c r="AB20" s="463">
        <f t="shared" si="21"/>
        <v>9503217.012791723</v>
      </c>
      <c r="AC20" s="462">
        <f t="shared" si="21"/>
        <v>13304379.97786798</v>
      </c>
      <c r="AD20" s="462">
        <f t="shared" si="21"/>
        <v>15454895.640599275</v>
      </c>
      <c r="AE20" s="462">
        <f t="shared" si="21"/>
        <v>16059740.232161017</v>
      </c>
      <c r="AF20" s="462">
        <f t="shared" si="21"/>
        <v>14792359.016319612</v>
      </c>
      <c r="AG20" s="462">
        <f t="shared" si="21"/>
        <v>21786693.678601693</v>
      </c>
      <c r="AH20" s="462">
        <f t="shared" si="21"/>
        <v>28485052.199999999</v>
      </c>
      <c r="AI20" s="462">
        <f t="shared" si="21"/>
        <v>36876657.539999999</v>
      </c>
      <c r="AJ20" s="463">
        <f t="shared" si="21"/>
        <v>29439426.039999999</v>
      </c>
      <c r="AK20" s="462">
        <f t="shared" si="21"/>
        <v>22278920.66</v>
      </c>
      <c r="AL20" s="462">
        <f t="shared" si="21"/>
        <v>17032236</v>
      </c>
      <c r="AM20" s="462">
        <f t="shared" si="21"/>
        <v>13838355.48</v>
      </c>
      <c r="AN20" s="462">
        <f t="shared" si="21"/>
        <v>26879008.100000001</v>
      </c>
      <c r="AO20" s="462">
        <f t="shared" si="21"/>
        <v>36693335.543050848</v>
      </c>
      <c r="AP20" s="462">
        <f t="shared" si="21"/>
        <v>47588197.406779662</v>
      </c>
      <c r="AQ20" s="462">
        <f t="shared" si="21"/>
        <v>55714369.079999998</v>
      </c>
      <c r="AR20" s="462">
        <f t="shared" si="21"/>
        <v>55216378</v>
      </c>
      <c r="AS20" s="462">
        <f t="shared" si="21"/>
        <v>49045282.789999999</v>
      </c>
      <c r="AT20" s="462">
        <f t="shared" si="21"/>
        <v>55114556.560000002</v>
      </c>
      <c r="AU20" s="462">
        <f t="shared" si="21"/>
        <v>64943731.170000002</v>
      </c>
      <c r="AV20" s="462">
        <f t="shared" si="21"/>
        <v>65451379</v>
      </c>
      <c r="AW20" s="462">
        <f t="shared" si="21"/>
        <v>72698245.739999995</v>
      </c>
      <c r="AX20" s="462">
        <f t="shared" si="21"/>
        <v>38925959.049999997</v>
      </c>
      <c r="AY20" s="462">
        <f t="shared" si="21"/>
        <v>41142522</v>
      </c>
      <c r="AZ20" s="462">
        <f t="shared" si="21"/>
        <v>37038432.170000002</v>
      </c>
      <c r="BA20" s="462">
        <f t="shared" si="21"/>
        <v>31119085.627538659</v>
      </c>
      <c r="BB20" s="462">
        <f t="shared" si="21"/>
        <v>25714600.996828996</v>
      </c>
      <c r="BC20" s="462">
        <f t="shared" si="21"/>
        <v>12570097.451643871</v>
      </c>
      <c r="BD20" s="462">
        <f t="shared" si="21"/>
        <v>6762643.8893795134</v>
      </c>
      <c r="BE20" s="462">
        <f t="shared" si="21"/>
        <v>19412956.751366552</v>
      </c>
      <c r="BF20" s="462">
        <f t="shared" si="21"/>
        <v>32119552.050257742</v>
      </c>
      <c r="BG20" s="462">
        <f t="shared" si="21"/>
        <v>38680872.880532674</v>
      </c>
      <c r="BH20" s="462">
        <f t="shared" si="21"/>
        <v>33464989.709248818</v>
      </c>
      <c r="BI20" s="462">
        <f t="shared" si="21"/>
        <v>39795841.2458634</v>
      </c>
      <c r="BJ20" s="462">
        <f t="shared" si="21"/>
        <v>0</v>
      </c>
      <c r="BK20" s="462">
        <f t="shared" si="21"/>
        <v>0</v>
      </c>
      <c r="BL20" s="462">
        <f t="shared" si="21"/>
        <v>0</v>
      </c>
      <c r="BM20" s="462">
        <f t="shared" si="21"/>
        <v>0</v>
      </c>
      <c r="BN20" s="462">
        <f t="shared" si="21"/>
        <v>0</v>
      </c>
      <c r="BO20" s="462">
        <f t="shared" si="21"/>
        <v>0</v>
      </c>
      <c r="BP20" s="462">
        <f t="shared" si="21"/>
        <v>0</v>
      </c>
      <c r="BQ20" s="462">
        <f t="shared" si="21"/>
        <v>0</v>
      </c>
      <c r="BR20" s="462">
        <f t="shared" si="21"/>
        <v>0</v>
      </c>
      <c r="BS20" s="462">
        <f t="shared" si="21"/>
        <v>0</v>
      </c>
      <c r="BT20" s="462">
        <f t="shared" si="21"/>
        <v>0</v>
      </c>
      <c r="BU20" s="462">
        <f t="shared" si="21"/>
        <v>0</v>
      </c>
      <c r="BV20" s="462">
        <f t="shared" si="21"/>
        <v>0</v>
      </c>
      <c r="BW20" s="462">
        <f t="shared" si="21"/>
        <v>0</v>
      </c>
      <c r="BX20" s="464">
        <f t="shared" si="21"/>
        <v>0</v>
      </c>
      <c r="BY20" s="465">
        <f t="shared" si="21"/>
        <v>0</v>
      </c>
      <c r="BZ20" s="463">
        <f t="shared" si="21"/>
        <v>0</v>
      </c>
      <c r="CA20" s="463">
        <f t="shared" si="21"/>
        <v>0</v>
      </c>
      <c r="CB20" s="463">
        <f t="shared" si="21"/>
        <v>0</v>
      </c>
      <c r="CC20" s="463">
        <f t="shared" si="21"/>
        <v>0</v>
      </c>
      <c r="CD20" s="463">
        <f t="shared" si="21"/>
        <v>0</v>
      </c>
      <c r="CE20" s="463">
        <f t="shared" si="21"/>
        <v>0</v>
      </c>
      <c r="CF20" s="463">
        <f t="shared" si="21"/>
        <v>0</v>
      </c>
      <c r="CG20" s="463">
        <f t="shared" si="21"/>
        <v>0</v>
      </c>
      <c r="CH20" s="463">
        <f t="shared" si="21"/>
        <v>0</v>
      </c>
      <c r="CI20" s="463">
        <f t="shared" si="21"/>
        <v>0</v>
      </c>
      <c r="CJ20" s="463">
        <f t="shared" si="21"/>
        <v>0</v>
      </c>
      <c r="CK20" s="463">
        <f t="shared" si="21"/>
        <v>0</v>
      </c>
    </row>
    <row r="21" spans="1:94" ht="15.75" hidden="1" customHeight="1" x14ac:dyDescent="0.2">
      <c r="A21" s="466" t="s">
        <v>507</v>
      </c>
      <c r="B21" s="505"/>
      <c r="C21" s="506"/>
      <c r="D21" s="506"/>
      <c r="E21" s="506"/>
      <c r="F21" s="506"/>
      <c r="G21" s="506"/>
      <c r="H21" s="506"/>
      <c r="I21" s="506"/>
      <c r="J21" s="506"/>
      <c r="K21" s="506"/>
      <c r="L21" s="506"/>
      <c r="M21" s="506"/>
      <c r="N21" s="506"/>
      <c r="O21" s="506"/>
      <c r="P21" s="506"/>
      <c r="Q21" s="468"/>
      <c r="R21" s="469"/>
      <c r="S21" s="468"/>
      <c r="T21" s="470"/>
      <c r="U21" s="470"/>
      <c r="V21" s="470"/>
      <c r="W21" s="470"/>
      <c r="X21" s="470"/>
      <c r="Y21" s="470"/>
      <c r="Z21" s="470"/>
      <c r="AA21" s="470"/>
      <c r="AB21" s="469"/>
      <c r="AC21" s="472"/>
      <c r="AD21" s="472"/>
      <c r="AE21" s="472"/>
      <c r="AF21" s="472"/>
      <c r="AG21" s="472"/>
      <c r="AH21" s="472"/>
      <c r="AI21" s="472"/>
      <c r="AJ21" s="469"/>
      <c r="AK21" s="472"/>
      <c r="AL21" s="472"/>
      <c r="AM21" s="472"/>
      <c r="AN21" s="472"/>
      <c r="AO21" s="472"/>
      <c r="AP21" s="472"/>
      <c r="AQ21" s="472"/>
      <c r="AR21" s="472"/>
      <c r="AS21" s="472"/>
      <c r="AT21" s="472"/>
      <c r="AU21" s="472"/>
      <c r="AV21" s="472"/>
      <c r="AW21" s="472"/>
      <c r="AX21" s="472"/>
      <c r="AY21" s="472"/>
      <c r="AZ21" s="472"/>
      <c r="BA21" s="472"/>
      <c r="BB21" s="472"/>
      <c r="BC21" s="472"/>
      <c r="BD21" s="472"/>
      <c r="BE21" s="472"/>
      <c r="BF21" s="472"/>
      <c r="BG21" s="472"/>
      <c r="BH21" s="472"/>
      <c r="BI21" s="472"/>
      <c r="BJ21" s="472"/>
      <c r="BK21" s="472"/>
      <c r="BL21" s="472"/>
      <c r="BM21" s="472"/>
      <c r="BN21" s="472"/>
      <c r="BO21" s="472"/>
      <c r="BP21" s="472"/>
      <c r="BQ21" s="472"/>
      <c r="BR21" s="472"/>
      <c r="BS21" s="472"/>
      <c r="BT21" s="472"/>
      <c r="BU21" s="472"/>
      <c r="BV21" s="472"/>
      <c r="BW21" s="472"/>
      <c r="BX21" s="473"/>
      <c r="BY21" s="474"/>
      <c r="BZ21" s="469"/>
      <c r="CA21" s="469"/>
      <c r="CB21" s="469"/>
      <c r="CC21" s="469"/>
      <c r="CD21" s="469"/>
      <c r="CE21" s="469"/>
      <c r="CF21" s="469"/>
      <c r="CG21" s="469"/>
      <c r="CH21" s="469"/>
      <c r="CI21" s="469"/>
      <c r="CJ21" s="469"/>
      <c r="CK21" s="469"/>
    </row>
    <row r="22" spans="1:94" ht="15.75" hidden="1" customHeight="1" x14ac:dyDescent="0.2">
      <c r="A22" s="466" t="s">
        <v>508</v>
      </c>
      <c r="B22" s="505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  <c r="O22" s="506"/>
      <c r="P22" s="506"/>
      <c r="Q22" s="468"/>
      <c r="R22" s="469"/>
      <c r="S22" s="468"/>
      <c r="T22" s="470"/>
      <c r="U22" s="470"/>
      <c r="V22" s="470"/>
      <c r="W22" s="470"/>
      <c r="X22" s="470"/>
      <c r="Y22" s="470"/>
      <c r="Z22" s="470"/>
      <c r="AA22" s="470"/>
      <c r="AB22" s="469"/>
      <c r="AC22" s="472"/>
      <c r="AD22" s="472"/>
      <c r="AE22" s="472"/>
      <c r="AF22" s="472"/>
      <c r="AG22" s="472"/>
      <c r="AH22" s="472"/>
      <c r="AI22" s="472"/>
      <c r="AJ22" s="469"/>
      <c r="AK22" s="472"/>
      <c r="AL22" s="472"/>
      <c r="AM22" s="472"/>
      <c r="AN22" s="472"/>
      <c r="AO22" s="472"/>
      <c r="AP22" s="472"/>
      <c r="AQ22" s="472"/>
      <c r="AR22" s="472"/>
      <c r="AS22" s="472"/>
      <c r="AT22" s="472"/>
      <c r="AU22" s="472"/>
      <c r="AV22" s="472"/>
      <c r="AW22" s="472"/>
      <c r="AX22" s="472"/>
      <c r="AY22" s="472"/>
      <c r="AZ22" s="472"/>
      <c r="BA22" s="472"/>
      <c r="BB22" s="472"/>
      <c r="BC22" s="472"/>
      <c r="BD22" s="472"/>
      <c r="BE22" s="472"/>
      <c r="BF22" s="472"/>
      <c r="BG22" s="472"/>
      <c r="BH22" s="472"/>
      <c r="BI22" s="472"/>
      <c r="BJ22" s="472"/>
      <c r="BK22" s="472"/>
      <c r="BL22" s="472"/>
      <c r="BM22" s="472"/>
      <c r="BN22" s="472"/>
      <c r="BO22" s="472"/>
      <c r="BP22" s="472"/>
      <c r="BQ22" s="472"/>
      <c r="BR22" s="472"/>
      <c r="BS22" s="472"/>
      <c r="BT22" s="472"/>
      <c r="BU22" s="472"/>
      <c r="BV22" s="472"/>
      <c r="BW22" s="472"/>
      <c r="BX22" s="473"/>
      <c r="BY22" s="474"/>
      <c r="BZ22" s="469"/>
      <c r="CA22" s="469"/>
      <c r="CB22" s="469"/>
      <c r="CC22" s="469"/>
      <c r="CD22" s="469"/>
      <c r="CE22" s="469"/>
      <c r="CF22" s="469"/>
      <c r="CG22" s="469"/>
      <c r="CH22" s="469"/>
      <c r="CI22" s="469"/>
      <c r="CJ22" s="469"/>
      <c r="CK22" s="469"/>
    </row>
    <row r="23" spans="1:94" ht="7.5" customHeight="1" x14ac:dyDescent="0.2">
      <c r="A23" s="485"/>
      <c r="B23" s="507"/>
      <c r="C23" s="508"/>
      <c r="D23" s="508"/>
      <c r="E23" s="508"/>
      <c r="F23" s="508"/>
      <c r="G23" s="508"/>
      <c r="H23" s="508"/>
      <c r="I23" s="508"/>
      <c r="J23" s="508"/>
      <c r="K23" s="508"/>
      <c r="L23" s="508"/>
      <c r="M23" s="508"/>
      <c r="N23" s="508"/>
      <c r="O23" s="508"/>
      <c r="P23" s="508"/>
      <c r="Q23" s="508"/>
      <c r="R23" s="509"/>
      <c r="S23" s="508"/>
      <c r="T23" s="510"/>
      <c r="U23" s="508"/>
      <c r="V23" s="508"/>
      <c r="W23" s="508"/>
      <c r="X23" s="508"/>
      <c r="Y23" s="508"/>
      <c r="Z23" s="508"/>
      <c r="AA23" s="508"/>
      <c r="AB23" s="511"/>
      <c r="AC23" s="512"/>
      <c r="AD23" s="512"/>
      <c r="AE23" s="512"/>
      <c r="AF23" s="512"/>
      <c r="AG23" s="512"/>
      <c r="AH23" s="512"/>
      <c r="AI23" s="512"/>
      <c r="AJ23" s="509"/>
      <c r="AK23" s="512"/>
      <c r="AL23" s="512"/>
      <c r="AM23" s="512"/>
      <c r="AN23" s="512"/>
      <c r="AO23" s="512"/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3"/>
      <c r="BY23" s="514"/>
      <c r="BZ23" s="509"/>
      <c r="CA23" s="509"/>
      <c r="CB23" s="509"/>
      <c r="CC23" s="509"/>
      <c r="CD23" s="509"/>
      <c r="CE23" s="509"/>
      <c r="CF23" s="509"/>
      <c r="CG23" s="509"/>
      <c r="CH23" s="509"/>
      <c r="CI23" s="509"/>
      <c r="CJ23" s="509"/>
      <c r="CK23" s="509"/>
    </row>
    <row r="24" spans="1:94" ht="15.75" customHeight="1" x14ac:dyDescent="0.2">
      <c r="A24" s="485" t="s">
        <v>15</v>
      </c>
      <c r="B24" s="507"/>
      <c r="C24" s="508"/>
      <c r="D24" s="508"/>
      <c r="E24" s="508"/>
      <c r="F24" s="508"/>
      <c r="G24" s="508"/>
      <c r="H24" s="508"/>
      <c r="I24" s="508"/>
      <c r="J24" s="508"/>
      <c r="K24" s="508"/>
      <c r="L24" s="508"/>
      <c r="M24" s="508"/>
      <c r="N24" s="508"/>
      <c r="O24" s="508"/>
      <c r="P24" s="508"/>
      <c r="Q24" s="508"/>
      <c r="R24" s="509"/>
      <c r="S24" s="508"/>
      <c r="T24" s="515"/>
      <c r="U24" s="516"/>
      <c r="V24" s="516"/>
      <c r="W24" s="516"/>
      <c r="X24" s="516"/>
      <c r="Y24" s="516"/>
      <c r="Z24" s="516"/>
      <c r="AA24" s="516"/>
      <c r="AB24" s="517"/>
      <c r="AC24" s="518"/>
      <c r="AD24" s="518"/>
      <c r="AE24" s="518"/>
      <c r="AF24" s="518"/>
      <c r="AG24" s="518"/>
      <c r="AH24" s="518"/>
      <c r="AI24" s="518"/>
      <c r="AJ24" s="519"/>
      <c r="AK24" s="518"/>
      <c r="AL24" s="518"/>
      <c r="AM24" s="518"/>
      <c r="AN24" s="518"/>
      <c r="AO24" s="518"/>
      <c r="AP24" s="518"/>
      <c r="AQ24" s="518"/>
      <c r="AR24" s="518"/>
      <c r="AS24" s="518"/>
      <c r="AT24" s="518"/>
      <c r="AU24" s="518"/>
      <c r="AV24" s="518"/>
      <c r="AW24" s="518"/>
      <c r="AX24" s="518"/>
      <c r="AY24" s="518"/>
      <c r="AZ24" s="518"/>
      <c r="BA24" s="518"/>
      <c r="BB24" s="518"/>
      <c r="BC24" s="518"/>
      <c r="BD24" s="518"/>
      <c r="BE24" s="518"/>
      <c r="BF24" s="518"/>
      <c r="BG24" s="520"/>
      <c r="BH24" s="520"/>
      <c r="BI24" s="518"/>
      <c r="BJ24" s="518"/>
      <c r="BK24" s="518"/>
      <c r="BL24" s="518"/>
      <c r="BM24" s="518"/>
      <c r="BN24" s="518"/>
      <c r="BO24" s="518"/>
      <c r="BP24" s="518"/>
      <c r="BQ24" s="518"/>
      <c r="BR24" s="518"/>
      <c r="BS24" s="518"/>
      <c r="BT24" s="518"/>
      <c r="BU24" s="518"/>
      <c r="BV24" s="518"/>
      <c r="BW24" s="518"/>
      <c r="BX24" s="521"/>
      <c r="BY24" s="522"/>
      <c r="BZ24" s="519"/>
      <c r="CA24" s="519"/>
      <c r="CB24" s="519"/>
      <c r="CC24" s="519"/>
      <c r="CD24" s="519"/>
      <c r="CE24" s="519"/>
      <c r="CF24" s="519"/>
      <c r="CG24" s="519"/>
      <c r="CH24" s="519"/>
      <c r="CI24" s="519"/>
      <c r="CJ24" s="519"/>
      <c r="CK24" s="519"/>
    </row>
    <row r="25" spans="1:94" ht="15.75" customHeight="1" x14ac:dyDescent="0.2">
      <c r="A25" s="485" t="s">
        <v>16</v>
      </c>
      <c r="B25" s="523"/>
      <c r="C25" s="486">
        <f t="shared" ref="C25:BF25" si="22">C20/B20-1</f>
        <v>8.9628598740492338E-2</v>
      </c>
      <c r="D25" s="486">
        <f t="shared" si="22"/>
        <v>-0.15041559402334326</v>
      </c>
      <c r="E25" s="486">
        <f t="shared" si="22"/>
        <v>0.63226609089629515</v>
      </c>
      <c r="F25" s="486">
        <f t="shared" si="22"/>
        <v>-0.23943003552068287</v>
      </c>
      <c r="G25" s="486">
        <f t="shared" si="22"/>
        <v>-0.18676863460929427</v>
      </c>
      <c r="H25" s="486">
        <f t="shared" si="22"/>
        <v>0.25332343966575244</v>
      </c>
      <c r="I25" s="486">
        <f t="shared" si="22"/>
        <v>0.294566334198888</v>
      </c>
      <c r="J25" s="486">
        <f t="shared" si="22"/>
        <v>0.19751105246730782</v>
      </c>
      <c r="K25" s="486">
        <f t="shared" si="22"/>
        <v>0.11462669391275782</v>
      </c>
      <c r="L25" s="486">
        <f t="shared" si="22"/>
        <v>0.29773516615101903</v>
      </c>
      <c r="M25" s="486">
        <f t="shared" si="22"/>
        <v>-0.2313265989991915</v>
      </c>
      <c r="N25" s="486">
        <f t="shared" si="22"/>
        <v>0.3038509679412531</v>
      </c>
      <c r="O25" s="486">
        <f t="shared" si="22"/>
        <v>7.897989296011465E-2</v>
      </c>
      <c r="P25" s="486">
        <f t="shared" si="22"/>
        <v>0.274961095907579</v>
      </c>
      <c r="Q25" s="486">
        <f t="shared" si="22"/>
        <v>-0.21105402261107731</v>
      </c>
      <c r="R25" s="489">
        <f t="shared" si="22"/>
        <v>-0.37918890921721282</v>
      </c>
      <c r="S25" s="486">
        <f t="shared" si="22"/>
        <v>-0.33598595460719327</v>
      </c>
      <c r="T25" s="495">
        <f t="shared" si="22"/>
        <v>-0.23942141504030179</v>
      </c>
      <c r="U25" s="486">
        <f t="shared" si="22"/>
        <v>0.42957115938994006</v>
      </c>
      <c r="V25" s="486">
        <f t="shared" si="22"/>
        <v>0.54628280777861304</v>
      </c>
      <c r="W25" s="486">
        <f t="shared" si="22"/>
        <v>3.1459253321224123E-2</v>
      </c>
      <c r="X25" s="486">
        <f t="shared" si="22"/>
        <v>0.73549226150576619</v>
      </c>
      <c r="Y25" s="486">
        <f t="shared" si="22"/>
        <v>-0.56725964396008899</v>
      </c>
      <c r="Z25" s="486">
        <f t="shared" si="22"/>
        <v>-0.97820552703082397</v>
      </c>
      <c r="AA25" s="486">
        <f t="shared" si="22"/>
        <v>42.284047869692806</v>
      </c>
      <c r="AB25" s="487">
        <f t="shared" si="22"/>
        <v>8.6525766486123645E-2</v>
      </c>
      <c r="AC25" s="488">
        <f t="shared" si="22"/>
        <v>0.39998696861912486</v>
      </c>
      <c r="AD25" s="488">
        <f t="shared" si="22"/>
        <v>0.1616396755285634</v>
      </c>
      <c r="AE25" s="488">
        <f t="shared" si="22"/>
        <v>3.9136116194330217E-2</v>
      </c>
      <c r="AF25" s="488">
        <f t="shared" si="22"/>
        <v>-7.8916669729399813E-2</v>
      </c>
      <c r="AG25" s="488">
        <f t="shared" si="22"/>
        <v>0.47283429604200444</v>
      </c>
      <c r="AH25" s="488">
        <f t="shared" si="22"/>
        <v>0.30745181532419741</v>
      </c>
      <c r="AI25" s="488">
        <f t="shared" si="22"/>
        <v>0.29459680400375032</v>
      </c>
      <c r="AJ25" s="489">
        <f t="shared" si="22"/>
        <v>-0.20167856839879961</v>
      </c>
      <c r="AK25" s="488">
        <f t="shared" si="22"/>
        <v>-0.24322843014231532</v>
      </c>
      <c r="AL25" s="488">
        <f t="shared" si="22"/>
        <v>-0.23549994813797237</v>
      </c>
      <c r="AM25" s="488">
        <f t="shared" si="22"/>
        <v>-0.18751974315057629</v>
      </c>
      <c r="AN25" s="488">
        <f t="shared" si="22"/>
        <v>0.94235566060194897</v>
      </c>
      <c r="AO25" s="488">
        <f t="shared" si="22"/>
        <v>0.3651298219985597</v>
      </c>
      <c r="AP25" s="488">
        <f t="shared" si="22"/>
        <v>0.29691663901599519</v>
      </c>
      <c r="AQ25" s="488">
        <f t="shared" si="22"/>
        <v>0.17076023291570697</v>
      </c>
      <c r="AR25" s="488">
        <f t="shared" si="22"/>
        <v>-8.9382880614682358E-3</v>
      </c>
      <c r="AS25" s="488">
        <f t="shared" si="22"/>
        <v>-0.11176204295761671</v>
      </c>
      <c r="AT25" s="488">
        <f t="shared" si="22"/>
        <v>0.12374836935872424</v>
      </c>
      <c r="AU25" s="488">
        <f t="shared" si="22"/>
        <v>0.17834080909821992</v>
      </c>
      <c r="AV25" s="488">
        <f t="shared" si="22"/>
        <v>7.816733360624939E-3</v>
      </c>
      <c r="AW25" s="488">
        <f t="shared" si="22"/>
        <v>0.11072137593922959</v>
      </c>
      <c r="AX25" s="488">
        <f t="shared" si="22"/>
        <v>-0.46455435542123169</v>
      </c>
      <c r="AY25" s="488">
        <f t="shared" si="22"/>
        <v>5.6943053019011147E-2</v>
      </c>
      <c r="AZ25" s="488">
        <f t="shared" si="22"/>
        <v>-9.9752995939334954E-2</v>
      </c>
      <c r="BA25" s="488">
        <f t="shared" si="22"/>
        <v>-0.15981633659039796</v>
      </c>
      <c r="BB25" s="488">
        <f t="shared" si="22"/>
        <v>-0.17367106139927824</v>
      </c>
      <c r="BC25" s="488">
        <f t="shared" si="22"/>
        <v>-0.51116887043302928</v>
      </c>
      <c r="BD25" s="488">
        <f t="shared" si="22"/>
        <v>-0.46200545259137038</v>
      </c>
      <c r="BE25" s="488">
        <f t="shared" si="22"/>
        <v>1.8706164436447548</v>
      </c>
      <c r="BF25" s="488">
        <f t="shared" si="22"/>
        <v>0.65454198768545258</v>
      </c>
      <c r="BG25" s="488">
        <f>BG20/BF20-1</f>
        <v>0.2042780926710428</v>
      </c>
      <c r="BH25" s="488">
        <f>BH20/BG20-1</f>
        <v>-0.13484398832966638</v>
      </c>
      <c r="BI25" s="488">
        <f>BI20/BH20-1</f>
        <v>0.18917835001948036</v>
      </c>
      <c r="BJ25" s="488">
        <f>BJ20/BI20-1</f>
        <v>-1</v>
      </c>
      <c r="BK25" s="488">
        <f t="shared" ref="BK25:BY26" si="23">IFERROR(BK20/BJ20-1,0)</f>
        <v>0</v>
      </c>
      <c r="BL25" s="488">
        <f t="shared" si="23"/>
        <v>0</v>
      </c>
      <c r="BM25" s="488">
        <f t="shared" si="23"/>
        <v>0</v>
      </c>
      <c r="BN25" s="488">
        <f t="shared" si="23"/>
        <v>0</v>
      </c>
      <c r="BO25" s="488">
        <f t="shared" si="23"/>
        <v>0</v>
      </c>
      <c r="BP25" s="488">
        <f t="shared" si="23"/>
        <v>0</v>
      </c>
      <c r="BQ25" s="488">
        <f t="shared" si="23"/>
        <v>0</v>
      </c>
      <c r="BR25" s="488">
        <f t="shared" si="23"/>
        <v>0</v>
      </c>
      <c r="BS25" s="488">
        <f t="shared" si="23"/>
        <v>0</v>
      </c>
      <c r="BT25" s="488">
        <f t="shared" si="23"/>
        <v>0</v>
      </c>
      <c r="BU25" s="488">
        <f t="shared" si="23"/>
        <v>0</v>
      </c>
      <c r="BV25" s="488">
        <f t="shared" si="23"/>
        <v>0</v>
      </c>
      <c r="BW25" s="488">
        <f t="shared" si="23"/>
        <v>0</v>
      </c>
      <c r="BX25" s="490">
        <f t="shared" si="23"/>
        <v>0</v>
      </c>
      <c r="BY25" s="491">
        <f t="shared" si="23"/>
        <v>0</v>
      </c>
      <c r="BZ25" s="489"/>
      <c r="CA25" s="489">
        <f>IFERROR((CA20/BZ20-1),0)</f>
        <v>0</v>
      </c>
      <c r="CB25" s="489">
        <f t="shared" ref="CB25:CK25" si="24">IFERROR((CB20/CA20-1),0)</f>
        <v>0</v>
      </c>
      <c r="CC25" s="489">
        <f t="shared" si="24"/>
        <v>0</v>
      </c>
      <c r="CD25" s="489">
        <f t="shared" si="24"/>
        <v>0</v>
      </c>
      <c r="CE25" s="489">
        <f t="shared" si="24"/>
        <v>0</v>
      </c>
      <c r="CF25" s="489">
        <f t="shared" si="24"/>
        <v>0</v>
      </c>
      <c r="CG25" s="489">
        <f t="shared" si="24"/>
        <v>0</v>
      </c>
      <c r="CH25" s="489">
        <f t="shared" si="24"/>
        <v>0</v>
      </c>
      <c r="CI25" s="489">
        <f t="shared" si="24"/>
        <v>0</v>
      </c>
      <c r="CJ25" s="489">
        <f t="shared" si="24"/>
        <v>0</v>
      </c>
      <c r="CK25" s="489">
        <f t="shared" si="24"/>
        <v>0</v>
      </c>
    </row>
    <row r="26" spans="1:94" ht="15.75" customHeight="1" x14ac:dyDescent="0.2">
      <c r="A26" s="485" t="s">
        <v>17</v>
      </c>
      <c r="B26" s="507"/>
      <c r="C26" s="508"/>
      <c r="D26" s="508"/>
      <c r="E26" s="508"/>
      <c r="F26" s="508"/>
      <c r="G26" s="508"/>
      <c r="H26" s="508"/>
      <c r="I26" s="508"/>
      <c r="J26" s="486"/>
      <c r="K26" s="486">
        <f t="shared" ref="K26:BF26" si="25">SUM(K14)/SUM(J14)-1</f>
        <v>2.3169601482855295E-3</v>
      </c>
      <c r="L26" s="486">
        <f t="shared" si="25"/>
        <v>0.37540453074433655</v>
      </c>
      <c r="M26" s="486">
        <f t="shared" si="25"/>
        <v>-0.21512605042016808</v>
      </c>
      <c r="N26" s="486">
        <f t="shared" si="25"/>
        <v>0.38458244111349038</v>
      </c>
      <c r="O26" s="486">
        <f t="shared" si="25"/>
        <v>4.3612743581812552E-2</v>
      </c>
      <c r="P26" s="486">
        <f t="shared" si="25"/>
        <v>0.21458209839952569</v>
      </c>
      <c r="Q26" s="486">
        <f t="shared" si="25"/>
        <v>-0.19180087847730598</v>
      </c>
      <c r="R26" s="489">
        <f t="shared" si="25"/>
        <v>-0.35507246376811596</v>
      </c>
      <c r="S26" s="486">
        <f t="shared" si="25"/>
        <v>-0.2949438202247191</v>
      </c>
      <c r="T26" s="495">
        <f t="shared" si="25"/>
        <v>-0.21381142098273576</v>
      </c>
      <c r="U26" s="486">
        <f t="shared" si="25"/>
        <v>0.23733108108108114</v>
      </c>
      <c r="V26" s="486">
        <f t="shared" si="25"/>
        <v>1.6559726962457337</v>
      </c>
      <c r="W26" s="486">
        <f t="shared" si="25"/>
        <v>-0.32099717296324848</v>
      </c>
      <c r="X26" s="486">
        <f t="shared" si="25"/>
        <v>-1.5897047691143085E-2</v>
      </c>
      <c r="Y26" s="486">
        <f t="shared" si="25"/>
        <v>-0.50576923076923075</v>
      </c>
      <c r="Z26" s="486">
        <f t="shared" si="25"/>
        <v>-1.0365758754863814</v>
      </c>
      <c r="AA26" s="486">
        <f t="shared" si="25"/>
        <v>-33.48936170212766</v>
      </c>
      <c r="AB26" s="487">
        <f t="shared" si="25"/>
        <v>1.9646365422396839E-2</v>
      </c>
      <c r="AC26" s="488">
        <f t="shared" si="25"/>
        <v>0.24277456647398843</v>
      </c>
      <c r="AD26" s="488">
        <f t="shared" si="25"/>
        <v>0.13746770025839794</v>
      </c>
      <c r="AE26" s="488">
        <f t="shared" si="25"/>
        <v>0.13084961381190374</v>
      </c>
      <c r="AF26" s="488">
        <f t="shared" si="25"/>
        <v>6.147047006830042E-2</v>
      </c>
      <c r="AG26" s="488">
        <f t="shared" si="25"/>
        <v>0.6021953065859198</v>
      </c>
      <c r="AH26" s="488">
        <f t="shared" si="25"/>
        <v>0.39026695015355539</v>
      </c>
      <c r="AI26" s="488">
        <f t="shared" si="25"/>
        <v>0.28275276125743409</v>
      </c>
      <c r="AJ26" s="489">
        <f t="shared" si="25"/>
        <v>-0.20135117234070743</v>
      </c>
      <c r="AK26" s="488">
        <f t="shared" si="25"/>
        <v>-0.26787195223088411</v>
      </c>
      <c r="AL26" s="488">
        <f t="shared" si="25"/>
        <v>-0.22451291345718172</v>
      </c>
      <c r="AM26" s="488">
        <f t="shared" si="25"/>
        <v>-0.22202746129126494</v>
      </c>
      <c r="AN26" s="488">
        <f t="shared" si="25"/>
        <v>0.98610589560645878</v>
      </c>
      <c r="AO26" s="488">
        <f t="shared" si="25"/>
        <v>0.29589714501796172</v>
      </c>
      <c r="AP26" s="488">
        <f t="shared" si="25"/>
        <v>0.18500145900204257</v>
      </c>
      <c r="AQ26" s="488">
        <f t="shared" si="25"/>
        <v>0.16732331937946321</v>
      </c>
      <c r="AR26" s="488">
        <f t="shared" si="25"/>
        <v>8.6594241113806536E-2</v>
      </c>
      <c r="AS26" s="488">
        <f t="shared" si="25"/>
        <v>-4.0768782760629008E-2</v>
      </c>
      <c r="AT26" s="488">
        <f t="shared" si="25"/>
        <v>6.0716454159077005E-2</v>
      </c>
      <c r="AU26" s="488">
        <f t="shared" si="25"/>
        <v>0.12058767410799476</v>
      </c>
      <c r="AV26" s="488">
        <f t="shared" si="25"/>
        <v>-3.6097394857823928E-2</v>
      </c>
      <c r="AW26" s="488">
        <f t="shared" si="25"/>
        <v>0.15165165165165173</v>
      </c>
      <c r="AX26" s="488">
        <f t="shared" si="25"/>
        <v>-0.35531865940639618</v>
      </c>
      <c r="AY26" s="488">
        <f t="shared" si="25"/>
        <v>-0.13585534142279321</v>
      </c>
      <c r="AZ26" s="488">
        <f t="shared" si="25"/>
        <v>-0.22246696035242286</v>
      </c>
      <c r="BA26" s="488">
        <f t="shared" si="25"/>
        <v>6.4978753541076406E-2</v>
      </c>
      <c r="BB26" s="488">
        <f t="shared" si="25"/>
        <v>-0.21895261845386538</v>
      </c>
      <c r="BC26" s="488">
        <f t="shared" si="25"/>
        <v>-0.48722860791826306</v>
      </c>
      <c r="BD26" s="488">
        <f t="shared" si="25"/>
        <v>-0.54711498547114989</v>
      </c>
      <c r="BE26" s="488">
        <f t="shared" si="25"/>
        <v>0.8359303391384052</v>
      </c>
      <c r="BF26" s="488">
        <f t="shared" si="25"/>
        <v>0.91762356465302042</v>
      </c>
      <c r="BG26" s="488">
        <f>SUM(BG14)/SUM(BF14)-1</f>
        <v>0.11845873470450408</v>
      </c>
      <c r="BH26" s="488">
        <f>SUM(BH14)/SUM(BG14)-1</f>
        <v>-0.10288640595903165</v>
      </c>
      <c r="BI26" s="488">
        <f>SUM(BI14)/SUM(BH14)-1</f>
        <v>8.5625324338349795E-2</v>
      </c>
      <c r="BJ26" s="488">
        <f>SUM(BJ14)/SUM(BI14)-1</f>
        <v>-1</v>
      </c>
      <c r="BK26" s="488">
        <f t="shared" si="23"/>
        <v>0</v>
      </c>
      <c r="BL26" s="488">
        <f t="shared" si="23"/>
        <v>0</v>
      </c>
      <c r="BM26" s="488">
        <f t="shared" si="23"/>
        <v>0</v>
      </c>
      <c r="BN26" s="488">
        <f t="shared" si="23"/>
        <v>0</v>
      </c>
      <c r="BO26" s="488">
        <f t="shared" si="23"/>
        <v>0</v>
      </c>
      <c r="BP26" s="488">
        <f t="shared" si="23"/>
        <v>0</v>
      </c>
      <c r="BQ26" s="488">
        <f t="shared" si="23"/>
        <v>0</v>
      </c>
      <c r="BR26" s="488">
        <f t="shared" si="23"/>
        <v>0</v>
      </c>
      <c r="BS26" s="488">
        <f t="shared" si="23"/>
        <v>0</v>
      </c>
      <c r="BT26" s="488">
        <f t="shared" si="23"/>
        <v>0</v>
      </c>
      <c r="BU26" s="488">
        <f t="shared" si="23"/>
        <v>0</v>
      </c>
      <c r="BV26" s="488">
        <f t="shared" si="23"/>
        <v>0</v>
      </c>
      <c r="BW26" s="488">
        <f t="shared" si="23"/>
        <v>0</v>
      </c>
      <c r="BX26" s="490">
        <f t="shared" si="23"/>
        <v>0</v>
      </c>
      <c r="BY26" s="491">
        <f t="shared" si="23"/>
        <v>0</v>
      </c>
      <c r="BZ26" s="489"/>
      <c r="CA26" s="489">
        <f>IFERROR((SUM(CA14)/SUM(BZ14)-1),0)</f>
        <v>0</v>
      </c>
      <c r="CB26" s="489">
        <f t="shared" ref="CB26:CK26" si="26">IFERROR((SUM(CB14)/SUM(CA14)-1),0)</f>
        <v>0</v>
      </c>
      <c r="CC26" s="489">
        <f t="shared" si="26"/>
        <v>0</v>
      </c>
      <c r="CD26" s="489">
        <f t="shared" si="26"/>
        <v>0</v>
      </c>
      <c r="CE26" s="489">
        <f t="shared" si="26"/>
        <v>0</v>
      </c>
      <c r="CF26" s="489">
        <f t="shared" si="26"/>
        <v>0</v>
      </c>
      <c r="CG26" s="489">
        <f t="shared" si="26"/>
        <v>0</v>
      </c>
      <c r="CH26" s="489">
        <f t="shared" si="26"/>
        <v>0</v>
      </c>
      <c r="CI26" s="489">
        <f t="shared" si="26"/>
        <v>0</v>
      </c>
      <c r="CJ26" s="489">
        <f t="shared" si="26"/>
        <v>0</v>
      </c>
      <c r="CK26" s="489">
        <f t="shared" si="26"/>
        <v>0</v>
      </c>
    </row>
    <row r="27" spans="1:94" ht="9.75" customHeight="1" x14ac:dyDescent="0.2">
      <c r="A27" s="485"/>
      <c r="B27" s="507"/>
      <c r="C27" s="508"/>
      <c r="D27" s="508"/>
      <c r="E27" s="508"/>
      <c r="F27" s="508"/>
      <c r="G27" s="508"/>
      <c r="H27" s="508"/>
      <c r="I27" s="508"/>
      <c r="J27" s="508"/>
      <c r="K27" s="508"/>
      <c r="L27" s="508"/>
      <c r="M27" s="508"/>
      <c r="N27" s="508"/>
      <c r="O27" s="508"/>
      <c r="P27" s="508"/>
      <c r="Q27" s="508"/>
      <c r="R27" s="509"/>
      <c r="S27" s="508"/>
      <c r="T27" s="510"/>
      <c r="U27" s="508"/>
      <c r="V27" s="508"/>
      <c r="W27" s="508"/>
      <c r="X27" s="508"/>
      <c r="Y27" s="508"/>
      <c r="Z27" s="508"/>
      <c r="AA27" s="508"/>
      <c r="AB27" s="511"/>
      <c r="AC27" s="512"/>
      <c r="AD27" s="512"/>
      <c r="AE27" s="512"/>
      <c r="AF27" s="512"/>
      <c r="AG27" s="512"/>
      <c r="AH27" s="512"/>
      <c r="AI27" s="512"/>
      <c r="AJ27" s="509"/>
      <c r="AK27" s="512"/>
      <c r="AL27" s="512"/>
      <c r="AM27" s="512"/>
      <c r="AN27" s="512"/>
      <c r="AO27" s="512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3"/>
      <c r="BY27" s="514"/>
      <c r="BZ27" s="509"/>
      <c r="CA27" s="509"/>
      <c r="CB27" s="509"/>
      <c r="CC27" s="509"/>
      <c r="CD27" s="509"/>
      <c r="CE27" s="509"/>
      <c r="CF27" s="509"/>
      <c r="CG27" s="509"/>
      <c r="CH27" s="509"/>
      <c r="CI27" s="509"/>
      <c r="CJ27" s="509"/>
      <c r="CK27" s="509"/>
    </row>
    <row r="28" spans="1:94" ht="15.75" hidden="1" customHeight="1" x14ac:dyDescent="0.2">
      <c r="A28" s="485" t="s">
        <v>231</v>
      </c>
      <c r="B28" s="507"/>
      <c r="C28" s="508"/>
      <c r="D28" s="508"/>
      <c r="E28" s="508"/>
      <c r="F28" s="508"/>
      <c r="G28" s="508"/>
      <c r="H28" s="508"/>
      <c r="I28" s="508"/>
      <c r="J28" s="496"/>
      <c r="K28" s="496"/>
      <c r="L28" s="496"/>
      <c r="M28" s="496"/>
      <c r="N28" s="496"/>
      <c r="O28" s="496"/>
      <c r="P28" s="496"/>
      <c r="Q28" s="496">
        <f t="shared" ref="Q28:CB29" si="27">Q21/Q15</f>
        <v>0</v>
      </c>
      <c r="R28" s="496">
        <f t="shared" si="27"/>
        <v>0</v>
      </c>
      <c r="S28" s="496">
        <f t="shared" si="27"/>
        <v>0</v>
      </c>
      <c r="T28" s="496">
        <f t="shared" si="27"/>
        <v>0</v>
      </c>
      <c r="U28" s="496">
        <f t="shared" si="27"/>
        <v>0</v>
      </c>
      <c r="V28" s="496">
        <f t="shared" si="27"/>
        <v>0</v>
      </c>
      <c r="W28" s="496">
        <f t="shared" si="27"/>
        <v>0</v>
      </c>
      <c r="X28" s="496">
        <f t="shared" si="27"/>
        <v>0</v>
      </c>
      <c r="Y28" s="496">
        <f t="shared" si="27"/>
        <v>0</v>
      </c>
      <c r="Z28" s="496">
        <f t="shared" si="27"/>
        <v>0</v>
      </c>
      <c r="AA28" s="496">
        <f t="shared" si="27"/>
        <v>0</v>
      </c>
      <c r="AB28" s="498">
        <f t="shared" si="27"/>
        <v>0</v>
      </c>
      <c r="AC28" s="499">
        <f t="shared" si="27"/>
        <v>0</v>
      </c>
      <c r="AD28" s="499">
        <f t="shared" si="27"/>
        <v>0</v>
      </c>
      <c r="AE28" s="499">
        <f t="shared" si="27"/>
        <v>0</v>
      </c>
      <c r="AF28" s="499">
        <f t="shared" si="27"/>
        <v>0</v>
      </c>
      <c r="AG28" s="499">
        <f t="shared" si="27"/>
        <v>0</v>
      </c>
      <c r="AH28" s="499">
        <f t="shared" si="27"/>
        <v>0</v>
      </c>
      <c r="AI28" s="499">
        <f t="shared" si="27"/>
        <v>0</v>
      </c>
      <c r="AJ28" s="500">
        <f t="shared" si="27"/>
        <v>0</v>
      </c>
      <c r="AK28" s="499">
        <f t="shared" si="27"/>
        <v>0</v>
      </c>
      <c r="AL28" s="499">
        <f t="shared" si="27"/>
        <v>0</v>
      </c>
      <c r="AM28" s="499">
        <f t="shared" si="27"/>
        <v>0</v>
      </c>
      <c r="AN28" s="499">
        <f t="shared" si="27"/>
        <v>0</v>
      </c>
      <c r="AO28" s="499">
        <f t="shared" si="27"/>
        <v>0</v>
      </c>
      <c r="AP28" s="499">
        <f t="shared" si="27"/>
        <v>0</v>
      </c>
      <c r="AQ28" s="499">
        <f t="shared" si="27"/>
        <v>0</v>
      </c>
      <c r="AR28" s="499">
        <f t="shared" si="27"/>
        <v>0</v>
      </c>
      <c r="AS28" s="499">
        <f t="shared" si="27"/>
        <v>0</v>
      </c>
      <c r="AT28" s="499">
        <f t="shared" si="27"/>
        <v>0</v>
      </c>
      <c r="AU28" s="499">
        <f t="shared" si="27"/>
        <v>0</v>
      </c>
      <c r="AV28" s="499">
        <f t="shared" si="27"/>
        <v>0</v>
      </c>
      <c r="AW28" s="499">
        <f t="shared" si="27"/>
        <v>0</v>
      </c>
      <c r="AX28" s="499">
        <f t="shared" si="27"/>
        <v>0</v>
      </c>
      <c r="AY28" s="499">
        <f t="shared" si="27"/>
        <v>0</v>
      </c>
      <c r="AZ28" s="499">
        <f t="shared" si="27"/>
        <v>0</v>
      </c>
      <c r="BA28" s="499">
        <f t="shared" si="27"/>
        <v>0</v>
      </c>
      <c r="BB28" s="499">
        <f t="shared" si="27"/>
        <v>0</v>
      </c>
      <c r="BC28" s="499">
        <f t="shared" si="27"/>
        <v>0</v>
      </c>
      <c r="BD28" s="499">
        <f t="shared" si="27"/>
        <v>0</v>
      </c>
      <c r="BE28" s="499">
        <f t="shared" si="27"/>
        <v>0</v>
      </c>
      <c r="BF28" s="499">
        <f t="shared" si="27"/>
        <v>0</v>
      </c>
      <c r="BG28" s="499">
        <f t="shared" si="27"/>
        <v>0</v>
      </c>
      <c r="BH28" s="499">
        <f t="shared" si="27"/>
        <v>0</v>
      </c>
      <c r="BI28" s="499">
        <f t="shared" si="27"/>
        <v>0</v>
      </c>
      <c r="BJ28" s="499" t="e">
        <f t="shared" si="27"/>
        <v>#DIV/0!</v>
      </c>
      <c r="BK28" s="499" t="e">
        <f t="shared" si="27"/>
        <v>#DIV/0!</v>
      </c>
      <c r="BL28" s="499" t="e">
        <f t="shared" si="27"/>
        <v>#DIV/0!</v>
      </c>
      <c r="BM28" s="499" t="e">
        <f t="shared" si="27"/>
        <v>#DIV/0!</v>
      </c>
      <c r="BN28" s="499" t="e">
        <f t="shared" si="27"/>
        <v>#DIV/0!</v>
      </c>
      <c r="BO28" s="499" t="e">
        <f t="shared" si="27"/>
        <v>#DIV/0!</v>
      </c>
      <c r="BP28" s="499" t="e">
        <f t="shared" si="27"/>
        <v>#DIV/0!</v>
      </c>
      <c r="BQ28" s="499" t="e">
        <f t="shared" si="27"/>
        <v>#DIV/0!</v>
      </c>
      <c r="BR28" s="499" t="e">
        <f t="shared" si="27"/>
        <v>#DIV/0!</v>
      </c>
      <c r="BS28" s="499" t="e">
        <f t="shared" si="27"/>
        <v>#DIV/0!</v>
      </c>
      <c r="BT28" s="499" t="e">
        <f t="shared" si="27"/>
        <v>#DIV/0!</v>
      </c>
      <c r="BU28" s="499" t="e">
        <f t="shared" si="27"/>
        <v>#DIV/0!</v>
      </c>
      <c r="BV28" s="499" t="e">
        <f t="shared" si="27"/>
        <v>#DIV/0!</v>
      </c>
      <c r="BW28" s="499" t="e">
        <f t="shared" si="27"/>
        <v>#DIV/0!</v>
      </c>
      <c r="BX28" s="501" t="e">
        <f t="shared" si="27"/>
        <v>#DIV/0!</v>
      </c>
      <c r="BY28" s="502" t="e">
        <f t="shared" si="27"/>
        <v>#DIV/0!</v>
      </c>
      <c r="BZ28" s="500" t="e">
        <f t="shared" si="27"/>
        <v>#DIV/0!</v>
      </c>
      <c r="CA28" s="500" t="e">
        <f t="shared" si="27"/>
        <v>#DIV/0!</v>
      </c>
      <c r="CB28" s="500" t="e">
        <f t="shared" si="27"/>
        <v>#DIV/0!</v>
      </c>
      <c r="CC28" s="500" t="e">
        <f t="shared" ref="CC28:CK28" si="28">CC21/CC15</f>
        <v>#DIV/0!</v>
      </c>
      <c r="CD28" s="500" t="e">
        <f t="shared" si="28"/>
        <v>#DIV/0!</v>
      </c>
      <c r="CE28" s="500" t="e">
        <f t="shared" si="28"/>
        <v>#DIV/0!</v>
      </c>
      <c r="CF28" s="500" t="e">
        <f t="shared" si="28"/>
        <v>#DIV/0!</v>
      </c>
      <c r="CG28" s="500" t="e">
        <f t="shared" si="28"/>
        <v>#DIV/0!</v>
      </c>
      <c r="CH28" s="500" t="e">
        <f t="shared" si="28"/>
        <v>#DIV/0!</v>
      </c>
      <c r="CI28" s="500" t="e">
        <f t="shared" si="28"/>
        <v>#DIV/0!</v>
      </c>
      <c r="CJ28" s="500" t="e">
        <f t="shared" si="28"/>
        <v>#DIV/0!</v>
      </c>
      <c r="CK28" s="500" t="e">
        <f t="shared" si="28"/>
        <v>#DIV/0!</v>
      </c>
    </row>
    <row r="29" spans="1:94" ht="15.75" hidden="1" customHeight="1" x14ac:dyDescent="0.2">
      <c r="A29" s="485" t="s">
        <v>232</v>
      </c>
      <c r="B29" s="507"/>
      <c r="C29" s="508"/>
      <c r="D29" s="508"/>
      <c r="E29" s="508"/>
      <c r="F29" s="508"/>
      <c r="G29" s="508"/>
      <c r="H29" s="508"/>
      <c r="I29" s="508"/>
      <c r="J29" s="496"/>
      <c r="K29" s="496"/>
      <c r="L29" s="496"/>
      <c r="M29" s="496"/>
      <c r="N29" s="496"/>
      <c r="O29" s="496"/>
      <c r="P29" s="496"/>
      <c r="Q29" s="496" t="e">
        <f t="shared" si="27"/>
        <v>#DIV/0!</v>
      </c>
      <c r="R29" s="496" t="e">
        <f t="shared" si="27"/>
        <v>#DIV/0!</v>
      </c>
      <c r="S29" s="496" t="e">
        <f t="shared" si="27"/>
        <v>#DIV/0!</v>
      </c>
      <c r="T29" s="496" t="e">
        <f t="shared" si="27"/>
        <v>#DIV/0!</v>
      </c>
      <c r="U29" s="496" t="e">
        <f t="shared" si="27"/>
        <v>#DIV/0!</v>
      </c>
      <c r="V29" s="496" t="e">
        <f t="shared" si="27"/>
        <v>#DIV/0!</v>
      </c>
      <c r="W29" s="496" t="e">
        <f t="shared" si="27"/>
        <v>#DIV/0!</v>
      </c>
      <c r="X29" s="496" t="e">
        <f t="shared" si="27"/>
        <v>#DIV/0!</v>
      </c>
      <c r="Y29" s="496" t="e">
        <f t="shared" si="27"/>
        <v>#DIV/0!</v>
      </c>
      <c r="Z29" s="496">
        <f t="shared" ref="Z29:CK29" si="29">IFERROR(Z22/Z16,)</f>
        <v>0</v>
      </c>
      <c r="AA29" s="496">
        <f t="shared" si="29"/>
        <v>0</v>
      </c>
      <c r="AB29" s="498">
        <f t="shared" si="29"/>
        <v>0</v>
      </c>
      <c r="AC29" s="499">
        <f t="shared" si="29"/>
        <v>0</v>
      </c>
      <c r="AD29" s="499">
        <f t="shared" si="29"/>
        <v>0</v>
      </c>
      <c r="AE29" s="499">
        <f t="shared" si="29"/>
        <v>0</v>
      </c>
      <c r="AF29" s="499">
        <f t="shared" si="29"/>
        <v>0</v>
      </c>
      <c r="AG29" s="499">
        <f t="shared" si="29"/>
        <v>0</v>
      </c>
      <c r="AH29" s="499">
        <f t="shared" si="29"/>
        <v>0</v>
      </c>
      <c r="AI29" s="499">
        <f t="shared" si="29"/>
        <v>0</v>
      </c>
      <c r="AJ29" s="500">
        <f t="shared" si="29"/>
        <v>0</v>
      </c>
      <c r="AK29" s="499">
        <f t="shared" si="29"/>
        <v>0</v>
      </c>
      <c r="AL29" s="499">
        <f t="shared" si="29"/>
        <v>0</v>
      </c>
      <c r="AM29" s="499">
        <f t="shared" si="29"/>
        <v>0</v>
      </c>
      <c r="AN29" s="499">
        <f t="shared" si="29"/>
        <v>0</v>
      </c>
      <c r="AO29" s="499">
        <f t="shared" si="29"/>
        <v>0</v>
      </c>
      <c r="AP29" s="499">
        <f t="shared" si="29"/>
        <v>0</v>
      </c>
      <c r="AQ29" s="499">
        <f t="shared" si="29"/>
        <v>0</v>
      </c>
      <c r="AR29" s="499">
        <f t="shared" si="29"/>
        <v>0</v>
      </c>
      <c r="AS29" s="499">
        <f t="shared" si="29"/>
        <v>0</v>
      </c>
      <c r="AT29" s="499">
        <f t="shared" si="29"/>
        <v>0</v>
      </c>
      <c r="AU29" s="499">
        <f t="shared" si="29"/>
        <v>0</v>
      </c>
      <c r="AV29" s="499">
        <f t="shared" si="29"/>
        <v>0</v>
      </c>
      <c r="AW29" s="499">
        <f t="shared" si="29"/>
        <v>0</v>
      </c>
      <c r="AX29" s="499">
        <f t="shared" si="29"/>
        <v>0</v>
      </c>
      <c r="AY29" s="499">
        <f t="shared" si="29"/>
        <v>0</v>
      </c>
      <c r="AZ29" s="499">
        <f t="shared" si="29"/>
        <v>0</v>
      </c>
      <c r="BA29" s="499">
        <f t="shared" si="29"/>
        <v>0</v>
      </c>
      <c r="BB29" s="499">
        <f t="shared" si="29"/>
        <v>0</v>
      </c>
      <c r="BC29" s="499">
        <f t="shared" si="29"/>
        <v>0</v>
      </c>
      <c r="BD29" s="499">
        <f t="shared" si="29"/>
        <v>0</v>
      </c>
      <c r="BE29" s="499">
        <f t="shared" si="29"/>
        <v>0</v>
      </c>
      <c r="BF29" s="499">
        <f t="shared" si="29"/>
        <v>0</v>
      </c>
      <c r="BG29" s="499">
        <f t="shared" si="29"/>
        <v>0</v>
      </c>
      <c r="BH29" s="499">
        <f t="shared" si="29"/>
        <v>0</v>
      </c>
      <c r="BI29" s="499">
        <f t="shared" si="29"/>
        <v>0</v>
      </c>
      <c r="BJ29" s="499">
        <f t="shared" si="29"/>
        <v>0</v>
      </c>
      <c r="BK29" s="499">
        <f t="shared" si="29"/>
        <v>0</v>
      </c>
      <c r="BL29" s="499">
        <f t="shared" si="29"/>
        <v>0</v>
      </c>
      <c r="BM29" s="499">
        <f t="shared" si="29"/>
        <v>0</v>
      </c>
      <c r="BN29" s="499">
        <f t="shared" si="29"/>
        <v>0</v>
      </c>
      <c r="BO29" s="499">
        <f t="shared" si="29"/>
        <v>0</v>
      </c>
      <c r="BP29" s="499">
        <f t="shared" si="29"/>
        <v>0</v>
      </c>
      <c r="BQ29" s="499">
        <f t="shared" si="29"/>
        <v>0</v>
      </c>
      <c r="BR29" s="499">
        <f t="shared" si="29"/>
        <v>0</v>
      </c>
      <c r="BS29" s="499">
        <f t="shared" si="29"/>
        <v>0</v>
      </c>
      <c r="BT29" s="499">
        <f t="shared" si="29"/>
        <v>0</v>
      </c>
      <c r="BU29" s="499">
        <f t="shared" si="29"/>
        <v>0</v>
      </c>
      <c r="BV29" s="499">
        <f t="shared" si="29"/>
        <v>0</v>
      </c>
      <c r="BW29" s="499">
        <f t="shared" si="29"/>
        <v>0</v>
      </c>
      <c r="BX29" s="501">
        <f t="shared" si="29"/>
        <v>0</v>
      </c>
      <c r="BY29" s="502">
        <f t="shared" si="29"/>
        <v>0</v>
      </c>
      <c r="BZ29" s="500">
        <f t="shared" si="29"/>
        <v>0</v>
      </c>
      <c r="CA29" s="500">
        <f t="shared" si="29"/>
        <v>0</v>
      </c>
      <c r="CB29" s="500">
        <f t="shared" si="29"/>
        <v>0</v>
      </c>
      <c r="CC29" s="500">
        <f t="shared" si="29"/>
        <v>0</v>
      </c>
      <c r="CD29" s="500">
        <f t="shared" si="29"/>
        <v>0</v>
      </c>
      <c r="CE29" s="500">
        <f t="shared" si="29"/>
        <v>0</v>
      </c>
      <c r="CF29" s="500">
        <f t="shared" si="29"/>
        <v>0</v>
      </c>
      <c r="CG29" s="500">
        <f t="shared" si="29"/>
        <v>0</v>
      </c>
      <c r="CH29" s="500">
        <f t="shared" si="29"/>
        <v>0</v>
      </c>
      <c r="CI29" s="500">
        <f t="shared" si="29"/>
        <v>0</v>
      </c>
      <c r="CJ29" s="500">
        <f t="shared" si="29"/>
        <v>0</v>
      </c>
      <c r="CK29" s="500">
        <f t="shared" si="29"/>
        <v>0</v>
      </c>
    </row>
    <row r="30" spans="1:94" ht="15.75" customHeight="1" x14ac:dyDescent="0.2">
      <c r="A30" s="457" t="s">
        <v>18</v>
      </c>
      <c r="B30" s="458">
        <f t="shared" ref="B30:BM30" si="30">SUM(B31:B37)</f>
        <v>5337303</v>
      </c>
      <c r="C30" s="459">
        <f t="shared" si="30"/>
        <v>5928574.727146714</v>
      </c>
      <c r="D30" s="459">
        <f t="shared" si="30"/>
        <v>5220342.011460687</v>
      </c>
      <c r="E30" s="459">
        <f t="shared" si="30"/>
        <v>8931326.3157385718</v>
      </c>
      <c r="F30" s="459">
        <f t="shared" si="30"/>
        <v>6794675.8106614156</v>
      </c>
      <c r="G30" s="459">
        <f t="shared" si="30"/>
        <v>5307917.5767754726</v>
      </c>
      <c r="H30" s="459">
        <f t="shared" si="30"/>
        <v>5965095.5015817136</v>
      </c>
      <c r="I30" s="459">
        <f t="shared" si="30"/>
        <v>6879744.2414285708</v>
      </c>
      <c r="J30" s="459">
        <f t="shared" si="30"/>
        <v>8919662.0542857144</v>
      </c>
      <c r="K30" s="459">
        <f t="shared" si="30"/>
        <v>10306459.287137477</v>
      </c>
      <c r="L30" s="459">
        <f t="shared" si="30"/>
        <v>14068185.789090911</v>
      </c>
      <c r="M30" s="459">
        <f t="shared" si="30"/>
        <v>11240365.022562465</v>
      </c>
      <c r="N30" s="459">
        <f t="shared" si="30"/>
        <v>15132435.035363087</v>
      </c>
      <c r="O30" s="459">
        <f t="shared" si="30"/>
        <v>16866183.354075696</v>
      </c>
      <c r="P30" s="459">
        <f t="shared" si="30"/>
        <v>22455851.905629691</v>
      </c>
      <c r="Q30" s="459">
        <f t="shared" si="30"/>
        <v>16856095.559604689</v>
      </c>
      <c r="R30" s="463">
        <f t="shared" si="30"/>
        <v>11080417.401609642</v>
      </c>
      <c r="S30" s="459">
        <f t="shared" si="30"/>
        <v>7662319.3236500174</v>
      </c>
      <c r="T30" s="484">
        <f t="shared" si="30"/>
        <v>6399778.4638679251</v>
      </c>
      <c r="U30" s="459">
        <f t="shared" si="30"/>
        <v>9965065.9585753586</v>
      </c>
      <c r="V30" s="459">
        <f t="shared" si="30"/>
        <v>13759703.734462716</v>
      </c>
      <c r="W30" s="459">
        <f t="shared" si="30"/>
        <v>12695137.866419384</v>
      </c>
      <c r="X30" s="459">
        <f t="shared" si="30"/>
        <v>22773300.773799684</v>
      </c>
      <c r="Y30" s="459">
        <f t="shared" si="30"/>
        <v>10260136.529428639</v>
      </c>
      <c r="Z30" s="459">
        <f t="shared" si="30"/>
        <v>4670376.633987546</v>
      </c>
      <c r="AA30" s="459">
        <f t="shared" si="30"/>
        <v>9538891.3959602639</v>
      </c>
      <c r="AB30" s="461">
        <f t="shared" si="30"/>
        <v>9607592.5629407912</v>
      </c>
      <c r="AC30" s="462">
        <f t="shared" si="30"/>
        <v>13158335.633498894</v>
      </c>
      <c r="AD30" s="462">
        <f t="shared" si="30"/>
        <v>15181147.295739416</v>
      </c>
      <c r="AE30" s="462">
        <f t="shared" si="30"/>
        <v>16967895.909254085</v>
      </c>
      <c r="AF30" s="462">
        <f t="shared" si="30"/>
        <v>15324532.598110583</v>
      </c>
      <c r="AG30" s="462">
        <f t="shared" si="30"/>
        <v>20445361.097537849</v>
      </c>
      <c r="AH30" s="462">
        <f t="shared" si="30"/>
        <v>23184790.000057917</v>
      </c>
      <c r="AI30" s="462">
        <f t="shared" si="30"/>
        <v>33802620.784833528</v>
      </c>
      <c r="AJ30" s="463">
        <f t="shared" si="30"/>
        <v>27440277.834669031</v>
      </c>
      <c r="AK30" s="462">
        <f t="shared" si="30"/>
        <v>20901425.622294035</v>
      </c>
      <c r="AL30" s="462">
        <f t="shared" si="30"/>
        <v>17423884.703904081</v>
      </c>
      <c r="AM30" s="462">
        <f t="shared" si="30"/>
        <v>14706730.264181044</v>
      </c>
      <c r="AN30" s="462">
        <f t="shared" si="30"/>
        <v>27063634.189431388</v>
      </c>
      <c r="AO30" s="462">
        <f t="shared" si="30"/>
        <v>36675106.605863512</v>
      </c>
      <c r="AP30" s="462">
        <f t="shared" si="30"/>
        <v>46994134.556269594</v>
      </c>
      <c r="AQ30" s="462">
        <f t="shared" si="30"/>
        <v>54991095.433349028</v>
      </c>
      <c r="AR30" s="462">
        <f t="shared" si="30"/>
        <v>52098425.261857584</v>
      </c>
      <c r="AS30" s="462">
        <f t="shared" si="30"/>
        <v>44383264.739341162</v>
      </c>
      <c r="AT30" s="462">
        <f t="shared" si="30"/>
        <v>51736960.289862394</v>
      </c>
      <c r="AU30" s="462">
        <f t="shared" si="30"/>
        <v>59141151.778395787</v>
      </c>
      <c r="AV30" s="462">
        <f t="shared" si="30"/>
        <v>63316519.591568999</v>
      </c>
      <c r="AW30" s="462">
        <f t="shared" si="30"/>
        <v>71132821.557473883</v>
      </c>
      <c r="AX30" s="462">
        <f t="shared" si="30"/>
        <v>40558021.809097186</v>
      </c>
      <c r="AY30" s="462">
        <f t="shared" si="30"/>
        <v>40382868.374712646</v>
      </c>
      <c r="AZ30" s="462">
        <f t="shared" si="30"/>
        <v>34994119.303183272</v>
      </c>
      <c r="BA30" s="462">
        <f t="shared" si="30"/>
        <v>32395390.870149881</v>
      </c>
      <c r="BB30" s="462">
        <f t="shared" si="30"/>
        <v>27668216.830732856</v>
      </c>
      <c r="BC30" s="462">
        <f t="shared" si="30"/>
        <v>15128262.127808513</v>
      </c>
      <c r="BD30" s="462">
        <f t="shared" si="30"/>
        <v>7716858.0434657698</v>
      </c>
      <c r="BE30" s="462">
        <f t="shared" si="30"/>
        <v>21455546.95643191</v>
      </c>
      <c r="BF30" s="462">
        <f t="shared" si="30"/>
        <v>32043913.678336289</v>
      </c>
      <c r="BG30" s="462">
        <f t="shared" si="30"/>
        <v>36803690.364186428</v>
      </c>
      <c r="BH30" s="462">
        <f t="shared" si="30"/>
        <v>32717935.642737795</v>
      </c>
      <c r="BI30" s="462">
        <f t="shared" si="30"/>
        <v>38659573.562137306</v>
      </c>
      <c r="BJ30" s="462">
        <f t="shared" si="30"/>
        <v>0</v>
      </c>
      <c r="BK30" s="462">
        <f t="shared" si="30"/>
        <v>0</v>
      </c>
      <c r="BL30" s="462">
        <f t="shared" si="30"/>
        <v>0</v>
      </c>
      <c r="BM30" s="462">
        <f t="shared" si="30"/>
        <v>0</v>
      </c>
      <c r="BN30" s="462">
        <f t="shared" ref="BN30:CK30" si="31">SUM(BN31:BN37)</f>
        <v>0</v>
      </c>
      <c r="BO30" s="462">
        <f t="shared" si="31"/>
        <v>0</v>
      </c>
      <c r="BP30" s="462">
        <f t="shared" si="31"/>
        <v>0</v>
      </c>
      <c r="BQ30" s="462">
        <f t="shared" si="31"/>
        <v>0</v>
      </c>
      <c r="BR30" s="462">
        <f t="shared" si="31"/>
        <v>0</v>
      </c>
      <c r="BS30" s="462">
        <f t="shared" si="31"/>
        <v>0</v>
      </c>
      <c r="BT30" s="462">
        <f t="shared" si="31"/>
        <v>0</v>
      </c>
      <c r="BU30" s="462">
        <f t="shared" si="31"/>
        <v>0</v>
      </c>
      <c r="BV30" s="462">
        <f t="shared" si="31"/>
        <v>0</v>
      </c>
      <c r="BW30" s="462">
        <f t="shared" si="31"/>
        <v>0</v>
      </c>
      <c r="BX30" s="464">
        <f t="shared" si="31"/>
        <v>0</v>
      </c>
      <c r="BY30" s="465">
        <f t="shared" si="31"/>
        <v>0</v>
      </c>
      <c r="BZ30" s="463">
        <f t="shared" si="31"/>
        <v>0</v>
      </c>
      <c r="CA30" s="463">
        <f t="shared" si="31"/>
        <v>0</v>
      </c>
      <c r="CB30" s="463">
        <f t="shared" si="31"/>
        <v>0</v>
      </c>
      <c r="CC30" s="463">
        <f t="shared" si="31"/>
        <v>0</v>
      </c>
      <c r="CD30" s="463">
        <f t="shared" si="31"/>
        <v>0</v>
      </c>
      <c r="CE30" s="463">
        <f t="shared" si="31"/>
        <v>0</v>
      </c>
      <c r="CF30" s="463">
        <f t="shared" si="31"/>
        <v>0</v>
      </c>
      <c r="CG30" s="463">
        <f t="shared" si="31"/>
        <v>0</v>
      </c>
      <c r="CH30" s="463">
        <f t="shared" si="31"/>
        <v>0</v>
      </c>
      <c r="CI30" s="463">
        <f t="shared" si="31"/>
        <v>0</v>
      </c>
      <c r="CJ30" s="463">
        <f t="shared" si="31"/>
        <v>0</v>
      </c>
      <c r="CK30" s="463">
        <f t="shared" si="31"/>
        <v>0</v>
      </c>
    </row>
    <row r="31" spans="1:94" ht="15.75" customHeight="1" x14ac:dyDescent="0.2">
      <c r="A31" s="466" t="s">
        <v>19</v>
      </c>
      <c r="B31" s="467">
        <v>4433468</v>
      </c>
      <c r="C31" s="468">
        <v>4778197.0128610004</v>
      </c>
      <c r="D31" s="468">
        <v>4094665.7257464025</v>
      </c>
      <c r="E31" s="468">
        <v>7338617.74431</v>
      </c>
      <c r="F31" s="468">
        <v>5203386.5249471301</v>
      </c>
      <c r="G31" s="468">
        <v>3970987.0053468994</v>
      </c>
      <c r="H31" s="468">
        <v>4667509.7872959999</v>
      </c>
      <c r="I31" s="468">
        <v>5575253.6699999999</v>
      </c>
      <c r="J31" s="468">
        <v>6924003.3399999999</v>
      </c>
      <c r="K31" s="468">
        <v>7871198.2067620009</v>
      </c>
      <c r="L31" s="468">
        <v>10656241.32</v>
      </c>
      <c r="M31" s="468">
        <v>8594257.8499999996</v>
      </c>
      <c r="N31" s="468">
        <v>11110006.499999998</v>
      </c>
      <c r="O31" s="468">
        <v>12052584.049999999</v>
      </c>
      <c r="P31" s="468">
        <v>16784892.07</v>
      </c>
      <c r="Q31" s="468">
        <v>11409101.85</v>
      </c>
      <c r="R31" s="468">
        <v>6986026.5199999996</v>
      </c>
      <c r="S31" s="468">
        <v>4699173.97</v>
      </c>
      <c r="T31" s="468">
        <v>3417948.5700000003</v>
      </c>
      <c r="U31" s="468">
        <v>5837414.9999999981</v>
      </c>
      <c r="V31" s="468">
        <v>8917683.8971167374</v>
      </c>
      <c r="W31" s="468">
        <v>8107413.8499999978</v>
      </c>
      <c r="X31" s="468">
        <v>15938325.780000001</v>
      </c>
      <c r="Y31" s="468">
        <v>6319188.0905885044</v>
      </c>
      <c r="Z31" s="468">
        <v>241430</v>
      </c>
      <c r="AA31" s="468">
        <v>6198257.5899999989</v>
      </c>
      <c r="AB31" s="471">
        <v>6028759.1397999981</v>
      </c>
      <c r="AC31" s="472">
        <v>8689101.2702000011</v>
      </c>
      <c r="AD31" s="472">
        <v>9831853.6400000006</v>
      </c>
      <c r="AE31" s="472">
        <v>11774019.1000001</v>
      </c>
      <c r="AF31" s="472">
        <v>10669166.250000002</v>
      </c>
      <c r="AG31" s="472">
        <v>14809002.68</v>
      </c>
      <c r="AH31" s="472">
        <f>18300653.88-2183583</f>
        <v>16117070.879999999</v>
      </c>
      <c r="AI31" s="472">
        <f>26644997-2286371</f>
        <v>24358626</v>
      </c>
      <c r="AJ31" s="469">
        <v>19832387.556666002</v>
      </c>
      <c r="AK31" s="472">
        <f>14080063.1708332+481795</f>
        <v>14561858.1708332</v>
      </c>
      <c r="AL31" s="472">
        <f>11604016.5176671+240632</f>
        <v>11844648.5176671</v>
      </c>
      <c r="AM31" s="472">
        <v>9844988.5927166268</v>
      </c>
      <c r="AN31" s="472">
        <v>18323968.641949765</v>
      </c>
      <c r="AO31" s="472">
        <v>25099420.342876881</v>
      </c>
      <c r="AP31" s="472">
        <v>31956546.573368501</v>
      </c>
      <c r="AQ31" s="472">
        <v>39371132</v>
      </c>
      <c r="AR31" s="472">
        <v>35605866.365336515</v>
      </c>
      <c r="AS31" s="472">
        <v>30718666.855895795</v>
      </c>
      <c r="AT31" s="472">
        <f>38660200-3728052+518166</f>
        <v>35450314</v>
      </c>
      <c r="AU31" s="472">
        <f>43693798.287501-4398477+1109513</f>
        <v>40404834.287501</v>
      </c>
      <c r="AV31" s="472">
        <v>40932885.487245634</v>
      </c>
      <c r="AW31" s="472">
        <v>50348312.816776805</v>
      </c>
      <c r="AX31" s="472">
        <v>25201121.327304546</v>
      </c>
      <c r="AY31" s="472">
        <v>25006257.241262402</v>
      </c>
      <c r="AZ31" s="472">
        <v>19630335.311006926</v>
      </c>
      <c r="BA31" s="472">
        <v>19436259.325000003</v>
      </c>
      <c r="BB31" s="472">
        <v>17372299.194999997</v>
      </c>
      <c r="BC31" s="472">
        <v>8572373.4150000066</v>
      </c>
      <c r="BD31" s="472">
        <v>3859228.6174999988</v>
      </c>
      <c r="BE31" s="472">
        <v>16082827.379999999</v>
      </c>
      <c r="BF31" s="472">
        <v>24874493.339999951</v>
      </c>
      <c r="BG31" s="472">
        <v>30303663.509999998</v>
      </c>
      <c r="BH31" s="472">
        <v>25813065.100000001</v>
      </c>
      <c r="BI31" s="472">
        <v>31257966.700000003</v>
      </c>
      <c r="BJ31" s="472">
        <v>0</v>
      </c>
      <c r="BK31" s="472">
        <v>0</v>
      </c>
      <c r="BL31" s="472">
        <v>0</v>
      </c>
      <c r="BM31" s="472">
        <v>0</v>
      </c>
      <c r="BN31" s="472">
        <v>0</v>
      </c>
      <c r="BO31" s="472">
        <v>0</v>
      </c>
      <c r="BP31" s="472">
        <v>0</v>
      </c>
      <c r="BQ31" s="472">
        <v>0</v>
      </c>
      <c r="BR31" s="472">
        <v>0</v>
      </c>
      <c r="BS31" s="472">
        <v>0</v>
      </c>
      <c r="BT31" s="472">
        <v>0</v>
      </c>
      <c r="BU31" s="472">
        <v>0</v>
      </c>
      <c r="BV31" s="472">
        <v>0</v>
      </c>
      <c r="BW31" s="472">
        <v>0</v>
      </c>
      <c r="BX31" s="473">
        <v>0</v>
      </c>
      <c r="BY31" s="474">
        <v>0</v>
      </c>
      <c r="BZ31" s="469">
        <f>0</f>
        <v>0</v>
      </c>
      <c r="CA31" s="469">
        <f>0</f>
        <v>0</v>
      </c>
      <c r="CB31" s="469">
        <f>0</f>
        <v>0</v>
      </c>
      <c r="CC31" s="469">
        <f>0</f>
        <v>0</v>
      </c>
      <c r="CD31" s="469">
        <f>0</f>
        <v>0</v>
      </c>
      <c r="CE31" s="469">
        <f>0</f>
        <v>0</v>
      </c>
      <c r="CF31" s="469">
        <f>0</f>
        <v>0</v>
      </c>
      <c r="CG31" s="469">
        <f>0</f>
        <v>0</v>
      </c>
      <c r="CH31" s="469">
        <f>0</f>
        <v>0</v>
      </c>
      <c r="CI31" s="469">
        <f>0</f>
        <v>0</v>
      </c>
      <c r="CJ31" s="469">
        <f>0</f>
        <v>0</v>
      </c>
      <c r="CK31" s="469">
        <f>0</f>
        <v>0</v>
      </c>
      <c r="CL31" s="524"/>
      <c r="CM31" s="524"/>
      <c r="CN31" s="524"/>
      <c r="CO31" s="524"/>
      <c r="CP31" s="525"/>
    </row>
    <row r="32" spans="1:94" ht="15.75" customHeight="1" x14ac:dyDescent="0.2">
      <c r="A32" s="466" t="s">
        <v>142</v>
      </c>
      <c r="B32" s="467">
        <v>377851</v>
      </c>
      <c r="C32" s="468">
        <v>538764</v>
      </c>
      <c r="D32" s="468">
        <v>465203</v>
      </c>
      <c r="E32" s="468">
        <v>725484</v>
      </c>
      <c r="F32" s="468">
        <v>677591</v>
      </c>
      <c r="G32" s="468">
        <v>569051</v>
      </c>
      <c r="H32" s="468">
        <v>470156</v>
      </c>
      <c r="I32" s="468">
        <v>387114</v>
      </c>
      <c r="J32" s="468">
        <v>765273</v>
      </c>
      <c r="K32" s="468">
        <v>1138945.7002053389</v>
      </c>
      <c r="L32" s="468">
        <v>1850825.2234965037</v>
      </c>
      <c r="M32" s="468">
        <v>1313411.1815589354</v>
      </c>
      <c r="N32" s="468">
        <v>2311368.7878214829</v>
      </c>
      <c r="O32" s="468">
        <v>2564622.9928119117</v>
      </c>
      <c r="P32" s="468">
        <v>2443370.7174280877</v>
      </c>
      <c r="Q32" s="468">
        <v>3156685.7204268752</v>
      </c>
      <c r="R32" s="468">
        <v>2084988.4169906687</v>
      </c>
      <c r="S32" s="468">
        <v>1541613.684247293</v>
      </c>
      <c r="T32" s="468">
        <v>1391600.8254716981</v>
      </c>
      <c r="U32" s="468">
        <v>1604407.8430143688</v>
      </c>
      <c r="V32" s="468">
        <v>2116397.3948251079</v>
      </c>
      <c r="W32" s="468">
        <v>2161325.6367952521</v>
      </c>
      <c r="X32" s="468">
        <v>3533656.054054054</v>
      </c>
      <c r="Y32" s="468">
        <v>1671627.6646469969</v>
      </c>
      <c r="Z32" s="468">
        <v>12250</v>
      </c>
      <c r="AA32" s="468">
        <v>1318860</v>
      </c>
      <c r="AB32" s="471">
        <v>1307200</v>
      </c>
      <c r="AC32" s="472">
        <v>1174984.26</v>
      </c>
      <c r="AD32" s="472">
        <v>1879028.23</v>
      </c>
      <c r="AE32" s="472">
        <v>2115134.27999999</v>
      </c>
      <c r="AF32" s="472">
        <v>1964900.74000001</v>
      </c>
      <c r="AG32" s="472">
        <v>2356022.46</v>
      </c>
      <c r="AH32" s="472">
        <v>3241563.08</v>
      </c>
      <c r="AI32" s="472">
        <f>3274770.95999999+1178700</f>
        <v>4453470.9599999897</v>
      </c>
      <c r="AJ32" s="469">
        <f>2848217.55+(150*AJ18)</f>
        <v>3620480.0728064352</v>
      </c>
      <c r="AK32" s="472">
        <v>3078566.6699999799</v>
      </c>
      <c r="AL32" s="472">
        <v>2549712.8520338982</v>
      </c>
      <c r="AM32" s="472">
        <v>1639441.6099999999</v>
      </c>
      <c r="AN32" s="472">
        <v>4313154.3107999898</v>
      </c>
      <c r="AO32" s="472">
        <v>6554081.0697864303</v>
      </c>
      <c r="AP32" s="472">
        <v>9146765</v>
      </c>
      <c r="AQ32" s="472">
        <v>9180971.5821033698</v>
      </c>
      <c r="AR32" s="472">
        <v>9003026.0084745772</v>
      </c>
      <c r="AS32" s="472">
        <f>6150649+(180*AS15)</f>
        <v>7929409</v>
      </c>
      <c r="AT32" s="472">
        <f>AT15*(161+842)</f>
        <v>10513446</v>
      </c>
      <c r="AU32" s="472">
        <f>10849116.5433001+(230*AU15)</f>
        <v>13550696.5433001</v>
      </c>
      <c r="AV32" s="472">
        <f>13270397.720339+(243*AV15)</f>
        <v>16021643.720339</v>
      </c>
      <c r="AW32" s="472">
        <f>10602606+(243*AW15)</f>
        <v>13771083</v>
      </c>
      <c r="AX32" s="472">
        <f>9087084.39830508+(176*AX15)-1500000</f>
        <v>9066540.3983050808</v>
      </c>
      <c r="AY32" s="472">
        <f>10272459+1797800-2316297</f>
        <v>9753962</v>
      </c>
      <c r="AZ32" s="472">
        <f>9219966.98305083+(200*AZ15)</f>
        <v>10349566.983050831</v>
      </c>
      <c r="BA32" s="472">
        <v>8015139.9393220264</v>
      </c>
      <c r="BB32" s="472">
        <v>5395700.196872877</v>
      </c>
      <c r="BC32" s="472">
        <v>2486590.6444983045</v>
      </c>
      <c r="BD32" s="472">
        <v>961414.03152542468</v>
      </c>
      <c r="BE32" s="472">
        <v>1606647.2998305098</v>
      </c>
      <c r="BF32" s="472">
        <v>3611701.4271186432</v>
      </c>
      <c r="BG32" s="472">
        <v>2778723.5427118633</v>
      </c>
      <c r="BH32" s="472">
        <v>3319261.4210169432</v>
      </c>
      <c r="BI32" s="472">
        <v>4459900.1900000004</v>
      </c>
      <c r="BJ32" s="472">
        <v>0</v>
      </c>
      <c r="BK32" s="472">
        <v>0</v>
      </c>
      <c r="BL32" s="472">
        <v>0</v>
      </c>
      <c r="BM32" s="472">
        <v>0</v>
      </c>
      <c r="BN32" s="472">
        <v>0</v>
      </c>
      <c r="BO32" s="472">
        <v>0</v>
      </c>
      <c r="BP32" s="472">
        <v>0</v>
      </c>
      <c r="BQ32" s="472">
        <v>0</v>
      </c>
      <c r="BR32" s="472">
        <v>0</v>
      </c>
      <c r="BS32" s="472">
        <v>0</v>
      </c>
      <c r="BT32" s="472">
        <v>0</v>
      </c>
      <c r="BU32" s="472">
        <v>0</v>
      </c>
      <c r="BV32" s="472">
        <v>0</v>
      </c>
      <c r="BW32" s="472">
        <v>0</v>
      </c>
      <c r="BX32" s="473">
        <v>0</v>
      </c>
      <c r="BY32" s="474">
        <v>0</v>
      </c>
      <c r="BZ32" s="469">
        <f>0</f>
        <v>0</v>
      </c>
      <c r="CA32" s="469">
        <f>0</f>
        <v>0</v>
      </c>
      <c r="CB32" s="469">
        <f>0</f>
        <v>0</v>
      </c>
      <c r="CC32" s="469">
        <f>0</f>
        <v>0</v>
      </c>
      <c r="CD32" s="469">
        <f>0</f>
        <v>0</v>
      </c>
      <c r="CE32" s="469">
        <f>0</f>
        <v>0</v>
      </c>
      <c r="CF32" s="469">
        <f>0</f>
        <v>0</v>
      </c>
      <c r="CG32" s="469">
        <f>0</f>
        <v>0</v>
      </c>
      <c r="CH32" s="469">
        <f>0</f>
        <v>0</v>
      </c>
      <c r="CI32" s="469">
        <f>0</f>
        <v>0</v>
      </c>
      <c r="CJ32" s="469">
        <f>0</f>
        <v>0</v>
      </c>
      <c r="CK32" s="469">
        <f>0</f>
        <v>0</v>
      </c>
      <c r="CM32" s="524"/>
      <c r="CN32" s="524"/>
      <c r="CO32" s="524"/>
      <c r="CP32" s="525"/>
    </row>
    <row r="33" spans="1:94" ht="15.75" customHeight="1" x14ac:dyDescent="0.2">
      <c r="A33" s="466" t="s">
        <v>22</v>
      </c>
      <c r="B33" s="467"/>
      <c r="C33" s="468"/>
      <c r="D33" s="468"/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71"/>
      <c r="AC33" s="472"/>
      <c r="AD33" s="472"/>
      <c r="AE33" s="472"/>
      <c r="AF33" s="472"/>
      <c r="AG33" s="472"/>
      <c r="AH33" s="472"/>
      <c r="AI33" s="472"/>
      <c r="AJ33" s="469"/>
      <c r="AK33" s="472"/>
      <c r="AL33" s="472">
        <v>0</v>
      </c>
      <c r="AM33" s="472">
        <v>0</v>
      </c>
      <c r="AN33" s="472">
        <v>0</v>
      </c>
      <c r="AO33" s="472">
        <v>0</v>
      </c>
      <c r="AP33" s="472">
        <v>0</v>
      </c>
      <c r="AQ33" s="472">
        <v>0</v>
      </c>
      <c r="AR33" s="472">
        <v>0</v>
      </c>
      <c r="AS33" s="472">
        <v>0</v>
      </c>
      <c r="AT33" s="472">
        <v>0</v>
      </c>
      <c r="AU33" s="472">
        <v>0</v>
      </c>
      <c r="AV33" s="472">
        <v>0</v>
      </c>
      <c r="AW33" s="472">
        <v>0</v>
      </c>
      <c r="AX33" s="472">
        <v>0</v>
      </c>
      <c r="AY33" s="472">
        <v>0</v>
      </c>
      <c r="AZ33" s="472">
        <v>0</v>
      </c>
      <c r="BA33" s="472">
        <v>0</v>
      </c>
      <c r="BB33" s="472">
        <v>0</v>
      </c>
      <c r="BC33" s="472">
        <v>89706.574239950191</v>
      </c>
      <c r="BD33" s="472">
        <v>32050.657083389167</v>
      </c>
      <c r="BE33" s="472">
        <v>111533.13496055249</v>
      </c>
      <c r="BF33" s="472">
        <v>145090.8542957801</v>
      </c>
      <c r="BG33" s="472">
        <v>130537.91221797751</v>
      </c>
      <c r="BH33" s="472">
        <v>286854.44528351474</v>
      </c>
      <c r="BI33" s="472">
        <v>200858.82746962024</v>
      </c>
      <c r="BJ33" s="472">
        <v>0</v>
      </c>
      <c r="BK33" s="472">
        <v>0</v>
      </c>
      <c r="BL33" s="472">
        <v>0</v>
      </c>
      <c r="BM33" s="472">
        <v>0</v>
      </c>
      <c r="BN33" s="472">
        <v>0</v>
      </c>
      <c r="BO33" s="472">
        <v>0</v>
      </c>
      <c r="BP33" s="472">
        <v>0</v>
      </c>
      <c r="BQ33" s="472">
        <v>0</v>
      </c>
      <c r="BR33" s="472">
        <v>0</v>
      </c>
      <c r="BS33" s="472">
        <v>0</v>
      </c>
      <c r="BT33" s="472">
        <v>0</v>
      </c>
      <c r="BU33" s="472">
        <v>0</v>
      </c>
      <c r="BV33" s="472">
        <v>0</v>
      </c>
      <c r="BW33" s="472">
        <v>0</v>
      </c>
      <c r="BX33" s="473">
        <v>0</v>
      </c>
      <c r="BY33" s="474">
        <v>0</v>
      </c>
      <c r="BZ33" s="469">
        <v>0</v>
      </c>
      <c r="CA33" s="469">
        <v>0</v>
      </c>
      <c r="CB33" s="469">
        <v>0</v>
      </c>
      <c r="CC33" s="469"/>
      <c r="CD33" s="469"/>
      <c r="CE33" s="469"/>
      <c r="CF33" s="469"/>
      <c r="CG33" s="469"/>
      <c r="CH33" s="469"/>
      <c r="CI33" s="469"/>
      <c r="CJ33" s="469"/>
      <c r="CK33" s="469"/>
      <c r="CM33" s="524"/>
      <c r="CN33" s="524"/>
      <c r="CO33" s="524"/>
      <c r="CP33" s="525"/>
    </row>
    <row r="34" spans="1:94" ht="15.75" customHeight="1" x14ac:dyDescent="0.2">
      <c r="A34" s="466" t="s">
        <v>24</v>
      </c>
      <c r="B34" s="467">
        <v>67915</v>
      </c>
      <c r="C34" s="468">
        <v>122434</v>
      </c>
      <c r="D34" s="468">
        <v>165989</v>
      </c>
      <c r="E34" s="468">
        <v>263384</v>
      </c>
      <c r="F34" s="468">
        <v>274412</v>
      </c>
      <c r="G34" s="468">
        <v>147481</v>
      </c>
      <c r="H34" s="468">
        <v>236750</v>
      </c>
      <c r="I34" s="468">
        <v>280324</v>
      </c>
      <c r="J34" s="468">
        <v>213596</v>
      </c>
      <c r="K34" s="468">
        <v>233178.85010266941</v>
      </c>
      <c r="L34" s="468">
        <v>289058.41314685316</v>
      </c>
      <c r="M34" s="468">
        <v>249316.16872623574</v>
      </c>
      <c r="N34" s="468">
        <v>343775.87046142208</v>
      </c>
      <c r="O34" s="468">
        <v>389697.62399452337</v>
      </c>
      <c r="P34" s="468">
        <v>645311.54653130285</v>
      </c>
      <c r="Q34" s="468">
        <v>537702.15391552681</v>
      </c>
      <c r="R34" s="468">
        <v>261265.73153188179</v>
      </c>
      <c r="S34" s="468">
        <v>205867.92961928048</v>
      </c>
      <c r="T34" s="468">
        <v>341885.90801886795</v>
      </c>
      <c r="U34" s="468">
        <v>294310.68022011616</v>
      </c>
      <c r="V34" s="468">
        <v>312973.18689077935</v>
      </c>
      <c r="W34" s="468">
        <v>296704.56874381797</v>
      </c>
      <c r="X34" s="468">
        <v>391978.12082670903</v>
      </c>
      <c r="Y34" s="468">
        <v>296751.35177480133</v>
      </c>
      <c r="Z34" s="468">
        <v>373926.10982087604</v>
      </c>
      <c r="AA34" s="468">
        <v>206484.63576158942</v>
      </c>
      <c r="AB34" s="471">
        <f>218756.809647979-17824-44071</f>
        <v>156861.80964797901</v>
      </c>
      <c r="AC34" s="472">
        <v>631522.64973102219</v>
      </c>
      <c r="AD34" s="472">
        <v>936252.04092622502</v>
      </c>
      <c r="AE34" s="472">
        <v>898728.24205544288</v>
      </c>
      <c r="AF34" s="472">
        <v>741953.89600000007</v>
      </c>
      <c r="AG34" s="472">
        <v>1000128.4284490146</v>
      </c>
      <c r="AH34" s="472">
        <v>1626612.2958494208</v>
      </c>
      <c r="AI34" s="472">
        <v>1782684.5599963993</v>
      </c>
      <c r="AJ34" s="469">
        <v>1037838.6174757282</v>
      </c>
      <c r="AK34" s="472">
        <v>853084.65801274485</v>
      </c>
      <c r="AL34" s="472">
        <v>517351.28745962644</v>
      </c>
      <c r="AM34" s="472">
        <v>284888.08827967808</v>
      </c>
      <c r="AN34" s="472">
        <v>720922.48132027569</v>
      </c>
      <c r="AO34" s="472">
        <v>1152352.9326501279</v>
      </c>
      <c r="AP34" s="472">
        <v>1413953.7466789733</v>
      </c>
      <c r="AQ34" s="472">
        <v>1878354.1587920452</v>
      </c>
      <c r="AR34" s="472">
        <v>2046393.3432598771</v>
      </c>
      <c r="AS34" s="472">
        <v>1322574.526895582</v>
      </c>
      <c r="AT34" s="472">
        <v>1589643.049087943</v>
      </c>
      <c r="AU34" s="472">
        <v>1751244.5640194491</v>
      </c>
      <c r="AV34" s="472">
        <v>1977795.9218780631</v>
      </c>
      <c r="AW34" s="472">
        <v>2036692.9046879413</v>
      </c>
      <c r="AX34" s="472">
        <v>1756019.8197958749</v>
      </c>
      <c r="AY34" s="472">
        <v>1469180.8021148739</v>
      </c>
      <c r="AZ34" s="472">
        <v>1210507.0919856101</v>
      </c>
      <c r="BA34" s="472">
        <v>1175531.2074558658</v>
      </c>
      <c r="BB34" s="472">
        <v>1083114.4387527441</v>
      </c>
      <c r="BC34" s="472">
        <f>1228579.68737111+43576.7474500444</f>
        <v>1272156.4348211545</v>
      </c>
      <c r="BD34" s="472">
        <v>1142322.6331375749</v>
      </c>
      <c r="BE34" s="472">
        <f>1327732.34495344-100000</f>
        <v>1227732.3449534399</v>
      </c>
      <c r="BF34" s="472">
        <v>612709.35617597785</v>
      </c>
      <c r="BG34" s="472">
        <v>629538.72683512897</v>
      </c>
      <c r="BH34" s="472">
        <v>721449.53961399756</v>
      </c>
      <c r="BI34" s="472">
        <v>720546.2791332294</v>
      </c>
      <c r="BJ34" s="472">
        <v>0</v>
      </c>
      <c r="BK34" s="472">
        <v>0</v>
      </c>
      <c r="BL34" s="472">
        <v>0</v>
      </c>
      <c r="BM34" s="472">
        <v>0</v>
      </c>
      <c r="BN34" s="472">
        <v>0</v>
      </c>
      <c r="BO34" s="472">
        <v>0</v>
      </c>
      <c r="BP34" s="472">
        <v>0</v>
      </c>
      <c r="BQ34" s="472">
        <v>0</v>
      </c>
      <c r="BR34" s="472">
        <v>0</v>
      </c>
      <c r="BS34" s="472">
        <v>0</v>
      </c>
      <c r="BT34" s="472">
        <v>0</v>
      </c>
      <c r="BU34" s="472">
        <v>0</v>
      </c>
      <c r="BV34" s="472">
        <v>0</v>
      </c>
      <c r="BW34" s="472">
        <v>0</v>
      </c>
      <c r="BX34" s="473">
        <v>0</v>
      </c>
      <c r="BY34" s="474">
        <v>0</v>
      </c>
      <c r="BZ34" s="469">
        <f>0</f>
        <v>0</v>
      </c>
      <c r="CA34" s="469">
        <f>0</f>
        <v>0</v>
      </c>
      <c r="CB34" s="469">
        <f>0</f>
        <v>0</v>
      </c>
      <c r="CC34" s="469">
        <f>0</f>
        <v>0</v>
      </c>
      <c r="CD34" s="469">
        <f>0</f>
        <v>0</v>
      </c>
      <c r="CE34" s="469">
        <f>0</f>
        <v>0</v>
      </c>
      <c r="CF34" s="469">
        <f>0</f>
        <v>0</v>
      </c>
      <c r="CG34" s="469">
        <f>0</f>
        <v>0</v>
      </c>
      <c r="CH34" s="469">
        <f>0</f>
        <v>0</v>
      </c>
      <c r="CI34" s="469">
        <f>0</f>
        <v>0</v>
      </c>
      <c r="CJ34" s="469">
        <f>0</f>
        <v>0</v>
      </c>
      <c r="CK34" s="469">
        <f>0</f>
        <v>0</v>
      </c>
      <c r="CM34" s="524"/>
      <c r="CN34" s="524"/>
      <c r="CO34" s="524"/>
    </row>
    <row r="35" spans="1:94" ht="15.75" customHeight="1" x14ac:dyDescent="0.2">
      <c r="A35" s="466" t="s">
        <v>25</v>
      </c>
      <c r="B35" s="467">
        <v>244948.285714286</v>
      </c>
      <c r="C35" s="468">
        <v>272924</v>
      </c>
      <c r="D35" s="468">
        <v>284318.57142857101</v>
      </c>
      <c r="E35" s="468">
        <v>364083.85714285698</v>
      </c>
      <c r="F35" s="468">
        <v>375896.14285714302</v>
      </c>
      <c r="G35" s="468">
        <v>363984.28571428597</v>
      </c>
      <c r="H35" s="468">
        <v>317753.71428571403</v>
      </c>
      <c r="I35" s="468">
        <v>333520.57142857101</v>
      </c>
      <c r="J35" s="468">
        <v>368816.28571428597</v>
      </c>
      <c r="K35" s="468">
        <v>458301.51393370505</v>
      </c>
      <c r="L35" s="468">
        <v>623239.75636363635</v>
      </c>
      <c r="M35" s="468">
        <v>561290.01734790881</v>
      </c>
      <c r="N35" s="468">
        <v>846433.30562459654</v>
      </c>
      <c r="O35" s="468">
        <v>866367.20481161913</v>
      </c>
      <c r="P35" s="468">
        <v>1114016.552090887</v>
      </c>
      <c r="Q35" s="468">
        <v>827839.7778445814</v>
      </c>
      <c r="R35" s="468">
        <v>767275.80384914472</v>
      </c>
      <c r="S35" s="468">
        <v>564507.92420537898</v>
      </c>
      <c r="T35" s="468">
        <v>573065.74292452831</v>
      </c>
      <c r="U35" s="468">
        <v>1102927.165698563</v>
      </c>
      <c r="V35" s="468">
        <v>1158672.7398179204</v>
      </c>
      <c r="W35" s="468">
        <v>1072948.3643916913</v>
      </c>
      <c r="X35" s="468">
        <v>1496756.9174880763</v>
      </c>
      <c r="Y35" s="468">
        <v>1064113.7216807166</v>
      </c>
      <c r="Z35" s="468">
        <v>2570486.5241666702</v>
      </c>
      <c r="AA35" s="468">
        <v>965609.3026490066</v>
      </c>
      <c r="AB35" s="471">
        <v>914830.29211080598</v>
      </c>
      <c r="AC35" s="472">
        <v>1120551.9191984748</v>
      </c>
      <c r="AD35" s="472">
        <v>1069775.5732892272</v>
      </c>
      <c r="AE35" s="472">
        <v>984607.56103222712</v>
      </c>
      <c r="AF35" s="472">
        <v>859988.15815935133</v>
      </c>
      <c r="AG35" s="472">
        <v>1020345.1494830048</v>
      </c>
      <c r="AH35" s="472">
        <v>938413.80646718154</v>
      </c>
      <c r="AI35" s="472">
        <v>1445523.4734278754</v>
      </c>
      <c r="AJ35" s="469">
        <v>1304980.6158064133</v>
      </c>
      <c r="AK35" s="472">
        <v>1041070.9076732665</v>
      </c>
      <c r="AL35" s="472">
        <v>1171976.4082284218</v>
      </c>
      <c r="AM35" s="472">
        <v>1399987.397005796</v>
      </c>
      <c r="AN35" s="472">
        <v>2041133.079495522</v>
      </c>
      <c r="AO35" s="472">
        <v>2116584.4113901109</v>
      </c>
      <c r="AP35" s="472">
        <v>2338787.0798277245</v>
      </c>
      <c r="AQ35" s="472">
        <v>2270148.1153813726</v>
      </c>
      <c r="AR35" s="472">
        <v>3113052.1115146908</v>
      </c>
      <c r="AS35" s="472">
        <v>2471280.6780418111</v>
      </c>
      <c r="AT35" s="472">
        <v>2329625.1764164898</v>
      </c>
      <c r="AU35" s="472">
        <v>1617019.5157099334</v>
      </c>
      <c r="AV35" s="472">
        <v>2423092.4941607607</v>
      </c>
      <c r="AW35" s="472">
        <v>2769469.6663715835</v>
      </c>
      <c r="AX35" s="472">
        <v>2579230.2718052738</v>
      </c>
      <c r="AY35" s="472">
        <v>2262187.671952493</v>
      </c>
      <c r="AZ35" s="472">
        <v>1812307.8837016723</v>
      </c>
      <c r="BA35" s="472">
        <v>1791207.5508765767</v>
      </c>
      <c r="BB35" s="472">
        <v>1909588.5665810057</v>
      </c>
      <c r="BC35" s="472">
        <v>1415607.3702831718</v>
      </c>
      <c r="BD35" s="472">
        <v>877672.26263947925</v>
      </c>
      <c r="BE35" s="472">
        <v>1222277.89599289</v>
      </c>
      <c r="BF35" s="472">
        <v>1362104.0601613994</v>
      </c>
      <c r="BG35" s="472">
        <v>1444313.9071719672</v>
      </c>
      <c r="BH35" s="472">
        <v>1210117.1047361582</v>
      </c>
      <c r="BI35" s="472">
        <v>886128.27889060881</v>
      </c>
      <c r="BJ35" s="472">
        <v>0</v>
      </c>
      <c r="BK35" s="472">
        <v>0</v>
      </c>
      <c r="BL35" s="472">
        <v>0</v>
      </c>
      <c r="BM35" s="472">
        <v>0</v>
      </c>
      <c r="BN35" s="472">
        <v>0</v>
      </c>
      <c r="BO35" s="472">
        <v>0</v>
      </c>
      <c r="BP35" s="472">
        <v>0</v>
      </c>
      <c r="BQ35" s="472">
        <v>0</v>
      </c>
      <c r="BR35" s="472">
        <v>0</v>
      </c>
      <c r="BS35" s="472">
        <v>0</v>
      </c>
      <c r="BT35" s="472">
        <v>0</v>
      </c>
      <c r="BU35" s="472">
        <v>0</v>
      </c>
      <c r="BV35" s="472">
        <v>0</v>
      </c>
      <c r="BW35" s="472">
        <v>0</v>
      </c>
      <c r="BX35" s="473">
        <v>0</v>
      </c>
      <c r="BY35" s="474">
        <v>0</v>
      </c>
      <c r="BZ35" s="469">
        <f>0</f>
        <v>0</v>
      </c>
      <c r="CA35" s="469">
        <f>0</f>
        <v>0</v>
      </c>
      <c r="CB35" s="469">
        <f>0</f>
        <v>0</v>
      </c>
      <c r="CC35" s="469">
        <f>0</f>
        <v>0</v>
      </c>
      <c r="CD35" s="469">
        <f>0</f>
        <v>0</v>
      </c>
      <c r="CE35" s="469">
        <f>0</f>
        <v>0</v>
      </c>
      <c r="CF35" s="469">
        <f>0</f>
        <v>0</v>
      </c>
      <c r="CG35" s="469">
        <f>0</f>
        <v>0</v>
      </c>
      <c r="CH35" s="469">
        <f>0</f>
        <v>0</v>
      </c>
      <c r="CI35" s="469">
        <f>0</f>
        <v>0</v>
      </c>
      <c r="CJ35" s="469">
        <f>0</f>
        <v>0</v>
      </c>
      <c r="CK35" s="469">
        <f>0</f>
        <v>0</v>
      </c>
      <c r="CM35" s="524"/>
      <c r="CN35" s="524"/>
      <c r="CO35" s="524"/>
    </row>
    <row r="36" spans="1:94" ht="15.75" customHeight="1" x14ac:dyDescent="0.2">
      <c r="A36" s="466" t="s">
        <v>26</v>
      </c>
      <c r="B36" s="467">
        <v>154930.714285714</v>
      </c>
      <c r="C36" s="468">
        <v>155680.714285714</v>
      </c>
      <c r="D36" s="468">
        <v>156430.714285714</v>
      </c>
      <c r="E36" s="468">
        <v>158181.714285714</v>
      </c>
      <c r="F36" s="468">
        <v>155304.14285714299</v>
      </c>
      <c r="G36" s="468">
        <v>150247.285714286</v>
      </c>
      <c r="H36" s="468">
        <v>160074</v>
      </c>
      <c r="I36" s="468">
        <v>176190</v>
      </c>
      <c r="J36" s="468">
        <v>494171.42857142899</v>
      </c>
      <c r="K36" s="468">
        <v>449166.13112349703</v>
      </c>
      <c r="L36" s="468">
        <v>448848.90993007034</v>
      </c>
      <c r="M36" s="468">
        <v>367708.00074687687</v>
      </c>
      <c r="N36" s="468">
        <v>316710.58771882439</v>
      </c>
      <c r="O36" s="468">
        <v>757129.77152147866</v>
      </c>
      <c r="P36" s="468">
        <v>1167892.7014745015</v>
      </c>
      <c r="Q36" s="468">
        <v>681548.35502780706</v>
      </c>
      <c r="R36" s="468">
        <v>822923.12577760499</v>
      </c>
      <c r="S36" s="468">
        <v>515666.04540691589</v>
      </c>
      <c r="T36" s="468">
        <v>540915.38915094337</v>
      </c>
      <c r="U36" s="468">
        <v>936187.94160807098</v>
      </c>
      <c r="V36" s="468">
        <v>1039639.1576425491</v>
      </c>
      <c r="W36" s="468">
        <v>864807.77922848659</v>
      </c>
      <c r="X36" s="468">
        <v>1156955.3608903021</v>
      </c>
      <c r="Y36" s="468">
        <v>748304.99209694413</v>
      </c>
      <c r="Z36" s="468">
        <v>1328178</v>
      </c>
      <c r="AA36" s="468">
        <v>725175.09933774837</v>
      </c>
      <c r="AB36" s="471">
        <v>1062008.3937418512</v>
      </c>
      <c r="AC36" s="472">
        <v>1355421.5236102808</v>
      </c>
      <c r="AD36" s="472">
        <v>1263869.8373721056</v>
      </c>
      <c r="AE36" s="472">
        <v>986802.60851926974</v>
      </c>
      <c r="AF36" s="472">
        <v>910954.80721951229</v>
      </c>
      <c r="AG36" s="472">
        <v>998600.03041988006</v>
      </c>
      <c r="AH36" s="472">
        <v>906776.25096525089</v>
      </c>
      <c r="AI36" s="472">
        <v>1321841.9364268193</v>
      </c>
      <c r="AJ36" s="469">
        <v>1312200.8821852731</v>
      </c>
      <c r="AK36" s="472">
        <v>1081650.0592962038</v>
      </c>
      <c r="AL36" s="472">
        <v>1148715.2969899664</v>
      </c>
      <c r="AM36" s="472">
        <v>1361174.2962493664</v>
      </c>
      <c r="AN36" s="472">
        <v>1369097.8623003624</v>
      </c>
      <c r="AO36" s="472">
        <v>1364956.6770788452</v>
      </c>
      <c r="AP36" s="472">
        <v>1676547.5073085965</v>
      </c>
      <c r="AQ36" s="472">
        <v>1749034.2424087343</v>
      </c>
      <c r="AR36" s="472">
        <v>1644447.0985488757</v>
      </c>
      <c r="AS36" s="472">
        <v>1300501.2047524753</v>
      </c>
      <c r="AT36" s="472">
        <v>1256169.9635126414</v>
      </c>
      <c r="AU36" s="472">
        <v>1205860.4886108439</v>
      </c>
      <c r="AV36" s="472">
        <v>1373780.1540855062</v>
      </c>
      <c r="AW36" s="472">
        <v>1494325.189547193</v>
      </c>
      <c r="AX36" s="472">
        <v>1517997.9918864099</v>
      </c>
      <c r="AY36" s="472">
        <v>1394369.0576220306</v>
      </c>
      <c r="AZ36" s="472">
        <v>1680762.0334382376</v>
      </c>
      <c r="BA36" s="472">
        <v>1655412.8474954106</v>
      </c>
      <c r="BB36" s="472">
        <v>1627389.4335262291</v>
      </c>
      <c r="BC36" s="472">
        <v>1104177.6889659259</v>
      </c>
      <c r="BD36" s="472">
        <v>735134.84157990222</v>
      </c>
      <c r="BE36" s="472">
        <v>1052923.9006945177</v>
      </c>
      <c r="BF36" s="472">
        <v>1224874.6405845364</v>
      </c>
      <c r="BG36" s="472">
        <v>1284172.7652494961</v>
      </c>
      <c r="BH36" s="472">
        <v>1161223.0320871812</v>
      </c>
      <c r="BI36" s="472">
        <v>912143.28664384491</v>
      </c>
      <c r="BJ36" s="472">
        <v>0</v>
      </c>
      <c r="BK36" s="472">
        <v>0</v>
      </c>
      <c r="BL36" s="472">
        <v>0</v>
      </c>
      <c r="BM36" s="472">
        <v>0</v>
      </c>
      <c r="BN36" s="472">
        <v>0</v>
      </c>
      <c r="BO36" s="472">
        <v>0</v>
      </c>
      <c r="BP36" s="472">
        <v>0</v>
      </c>
      <c r="BQ36" s="472">
        <v>0</v>
      </c>
      <c r="BR36" s="472">
        <v>0</v>
      </c>
      <c r="BS36" s="472">
        <v>0</v>
      </c>
      <c r="BT36" s="472">
        <v>0</v>
      </c>
      <c r="BU36" s="472">
        <v>0</v>
      </c>
      <c r="BV36" s="472">
        <v>0</v>
      </c>
      <c r="BW36" s="472">
        <v>0</v>
      </c>
      <c r="BX36" s="473">
        <v>0</v>
      </c>
      <c r="BY36" s="474">
        <v>0</v>
      </c>
      <c r="BZ36" s="469">
        <f>0</f>
        <v>0</v>
      </c>
      <c r="CA36" s="469">
        <f>0</f>
        <v>0</v>
      </c>
      <c r="CB36" s="469">
        <f>0</f>
        <v>0</v>
      </c>
      <c r="CC36" s="469">
        <f>0</f>
        <v>0</v>
      </c>
      <c r="CD36" s="469">
        <f>0</f>
        <v>0</v>
      </c>
      <c r="CE36" s="469">
        <f>0</f>
        <v>0</v>
      </c>
      <c r="CF36" s="469">
        <f>0</f>
        <v>0</v>
      </c>
      <c r="CG36" s="469">
        <f>0</f>
        <v>0</v>
      </c>
      <c r="CH36" s="469">
        <f>0</f>
        <v>0</v>
      </c>
      <c r="CI36" s="469">
        <f>0</f>
        <v>0</v>
      </c>
      <c r="CJ36" s="469">
        <f>0</f>
        <v>0</v>
      </c>
      <c r="CK36" s="469">
        <f>0</f>
        <v>0</v>
      </c>
      <c r="CM36" s="524"/>
      <c r="CN36" s="524"/>
      <c r="CO36" s="524"/>
    </row>
    <row r="37" spans="1:94" ht="15.75" customHeight="1" x14ac:dyDescent="0.2">
      <c r="A37" s="466" t="s">
        <v>36</v>
      </c>
      <c r="B37" s="467">
        <v>58190</v>
      </c>
      <c r="C37" s="468">
        <v>60575</v>
      </c>
      <c r="D37" s="468">
        <v>53735</v>
      </c>
      <c r="E37" s="468">
        <v>81575</v>
      </c>
      <c r="F37" s="468">
        <v>108086</v>
      </c>
      <c r="G37" s="468">
        <v>106167</v>
      </c>
      <c r="H37" s="468">
        <v>112852</v>
      </c>
      <c r="I37" s="468">
        <v>127342</v>
      </c>
      <c r="J37" s="468">
        <v>153802</v>
      </c>
      <c r="K37" s="468">
        <v>155668.88501026694</v>
      </c>
      <c r="L37" s="468">
        <v>199972.16615384613</v>
      </c>
      <c r="M37" s="468">
        <v>154381.80418250951</v>
      </c>
      <c r="N37" s="468">
        <v>204139.98373676249</v>
      </c>
      <c r="O37" s="468">
        <v>235781.71093616294</v>
      </c>
      <c r="P37" s="468">
        <v>300368.31810490694</v>
      </c>
      <c r="Q37" s="468">
        <v>243217.70238989932</v>
      </c>
      <c r="R37" s="468">
        <v>157937.80346034214</v>
      </c>
      <c r="S37" s="468">
        <v>135489.77017114914</v>
      </c>
      <c r="T37" s="468">
        <v>134362.02830188681</v>
      </c>
      <c r="U37" s="468">
        <v>189817.32803424029</v>
      </c>
      <c r="V37" s="468">
        <v>214337.35816962147</v>
      </c>
      <c r="W37" s="468">
        <v>191937.66726013846</v>
      </c>
      <c r="X37" s="468">
        <v>255628.54054054056</v>
      </c>
      <c r="Y37" s="468">
        <v>160150.70864067439</v>
      </c>
      <c r="Z37" s="468">
        <v>144106</v>
      </c>
      <c r="AA37" s="468">
        <v>124504.76821192053</v>
      </c>
      <c r="AB37" s="471">
        <v>137932.92764015644</v>
      </c>
      <c r="AC37" s="472">
        <v>186754.01075911536</v>
      </c>
      <c r="AD37" s="472">
        <v>200367.97415185784</v>
      </c>
      <c r="AE37" s="472">
        <v>208604.11764705883</v>
      </c>
      <c r="AF37" s="472">
        <v>177568.7467317073</v>
      </c>
      <c r="AG37" s="472">
        <v>261262.34918594686</v>
      </c>
      <c r="AH37" s="472">
        <v>354353.68677606178</v>
      </c>
      <c r="AI37" s="472">
        <v>440473.85498244665</v>
      </c>
      <c r="AJ37" s="469">
        <v>332390.0897291773</v>
      </c>
      <c r="AK37" s="472">
        <v>285195.15647864057</v>
      </c>
      <c r="AL37" s="472">
        <v>191480.3415250667</v>
      </c>
      <c r="AM37" s="472">
        <v>176250.27992957749</v>
      </c>
      <c r="AN37" s="472">
        <v>295357.8135654697</v>
      </c>
      <c r="AO37" s="472">
        <v>387711.17208111833</v>
      </c>
      <c r="AP37" s="472">
        <v>461534.64908579463</v>
      </c>
      <c r="AQ37" s="472">
        <v>541455.33466349274</v>
      </c>
      <c r="AR37" s="472">
        <v>685640.33472304943</v>
      </c>
      <c r="AS37" s="472">
        <v>640832.47375550284</v>
      </c>
      <c r="AT37" s="472">
        <v>597762.10084532108</v>
      </c>
      <c r="AU37" s="472">
        <v>611496.37925445708</v>
      </c>
      <c r="AV37" s="472">
        <v>587321.81386002747</v>
      </c>
      <c r="AW37" s="472">
        <v>712937.98009036994</v>
      </c>
      <c r="AX37" s="472">
        <f>52*AX15</f>
        <v>437112</v>
      </c>
      <c r="AY37" s="472">
        <v>496911.6017608422</v>
      </c>
      <c r="AZ37" s="472">
        <f>AZ15*55</f>
        <v>310640</v>
      </c>
      <c r="BA37" s="472">
        <f t="shared" ref="BA37:BU37" si="32">BA4*45</f>
        <v>321840</v>
      </c>
      <c r="BB37" s="472">
        <f t="shared" si="32"/>
        <v>280125</v>
      </c>
      <c r="BC37" s="472">
        <f t="shared" si="32"/>
        <v>187650</v>
      </c>
      <c r="BD37" s="472">
        <f t="shared" si="32"/>
        <v>109035</v>
      </c>
      <c r="BE37" s="472">
        <f t="shared" si="32"/>
        <v>151605</v>
      </c>
      <c r="BF37" s="472">
        <f t="shared" si="32"/>
        <v>212940</v>
      </c>
      <c r="BG37" s="472">
        <f t="shared" si="32"/>
        <v>232740</v>
      </c>
      <c r="BH37" s="472">
        <f t="shared" si="32"/>
        <v>205965</v>
      </c>
      <c r="BI37" s="472">
        <f t="shared" si="32"/>
        <v>222030</v>
      </c>
      <c r="BJ37" s="472">
        <f t="shared" si="32"/>
        <v>0</v>
      </c>
      <c r="BK37" s="472">
        <f t="shared" si="32"/>
        <v>0</v>
      </c>
      <c r="BL37" s="472">
        <f t="shared" si="32"/>
        <v>0</v>
      </c>
      <c r="BM37" s="472">
        <f t="shared" si="32"/>
        <v>0</v>
      </c>
      <c r="BN37" s="472">
        <f t="shared" si="32"/>
        <v>0</v>
      </c>
      <c r="BO37" s="472">
        <f t="shared" si="32"/>
        <v>0</v>
      </c>
      <c r="BP37" s="472">
        <f t="shared" si="32"/>
        <v>0</v>
      </c>
      <c r="BQ37" s="472">
        <f t="shared" si="32"/>
        <v>0</v>
      </c>
      <c r="BR37" s="472">
        <f t="shared" si="32"/>
        <v>0</v>
      </c>
      <c r="BS37" s="472">
        <f t="shared" si="32"/>
        <v>0</v>
      </c>
      <c r="BT37" s="472">
        <f t="shared" si="32"/>
        <v>0</v>
      </c>
      <c r="BU37" s="472">
        <f t="shared" si="32"/>
        <v>0</v>
      </c>
      <c r="BV37" s="472">
        <f>BV4*45</f>
        <v>0</v>
      </c>
      <c r="BW37" s="472">
        <f>BW4*45</f>
        <v>0</v>
      </c>
      <c r="BX37" s="473">
        <f>BX4*45</f>
        <v>0</v>
      </c>
      <c r="BY37" s="474">
        <f>BY4*45</f>
        <v>0</v>
      </c>
      <c r="BZ37" s="469">
        <f>0</f>
        <v>0</v>
      </c>
      <c r="CA37" s="469">
        <f>0</f>
        <v>0</v>
      </c>
      <c r="CB37" s="469">
        <f>0</f>
        <v>0</v>
      </c>
      <c r="CC37" s="469">
        <f>0</f>
        <v>0</v>
      </c>
      <c r="CD37" s="469">
        <f>0</f>
        <v>0</v>
      </c>
      <c r="CE37" s="469">
        <f>0</f>
        <v>0</v>
      </c>
      <c r="CF37" s="469">
        <f>0</f>
        <v>0</v>
      </c>
      <c r="CG37" s="469">
        <f>0</f>
        <v>0</v>
      </c>
      <c r="CH37" s="469">
        <f>0</f>
        <v>0</v>
      </c>
      <c r="CI37" s="469">
        <f>0</f>
        <v>0</v>
      </c>
      <c r="CJ37" s="469">
        <f>0</f>
        <v>0</v>
      </c>
      <c r="CK37" s="469">
        <f>0</f>
        <v>0</v>
      </c>
      <c r="CM37" s="524"/>
      <c r="CN37" s="524"/>
      <c r="CO37" s="524"/>
      <c r="CP37" s="525"/>
    </row>
    <row r="38" spans="1:94" ht="15.75" customHeight="1" x14ac:dyDescent="0.2">
      <c r="A38" s="485" t="s">
        <v>27</v>
      </c>
      <c r="B38" s="523">
        <f t="shared" ref="B38:BI38" si="33">B30/B20</f>
        <v>0.88304394313521262</v>
      </c>
      <c r="C38" s="486">
        <f t="shared" si="33"/>
        <v>0.90018601686413435</v>
      </c>
      <c r="D38" s="486">
        <f t="shared" si="33"/>
        <v>0.9329844137615505</v>
      </c>
      <c r="E38" s="486">
        <f t="shared" si="33"/>
        <v>0.97791347458873568</v>
      </c>
      <c r="F38" s="486">
        <f t="shared" si="33"/>
        <v>0.97816933269923378</v>
      </c>
      <c r="G38" s="486">
        <f t="shared" si="33"/>
        <v>0.93962670708202656</v>
      </c>
      <c r="H38" s="486">
        <f t="shared" si="33"/>
        <v>0.84253009188192163</v>
      </c>
      <c r="I38" s="486">
        <f t="shared" si="33"/>
        <v>0.75061286655891213</v>
      </c>
      <c r="J38" s="486">
        <f t="shared" si="33"/>
        <v>0.81266691822064296</v>
      </c>
      <c r="K38" s="486">
        <f t="shared" si="33"/>
        <v>0.84245019106482444</v>
      </c>
      <c r="L38" s="486">
        <f t="shared" si="33"/>
        <v>0.88610821497843739</v>
      </c>
      <c r="M38" s="486">
        <f t="shared" si="33"/>
        <v>0.92105853115276326</v>
      </c>
      <c r="N38" s="486">
        <f t="shared" si="33"/>
        <v>0.95101568336692599</v>
      </c>
      <c r="O38" s="486">
        <f t="shared" si="33"/>
        <v>0.98238636619362429</v>
      </c>
      <c r="P38" s="486">
        <f t="shared" si="33"/>
        <v>1.0258836584281115</v>
      </c>
      <c r="Q38" s="486">
        <f t="shared" si="33"/>
        <v>0.97606399962578227</v>
      </c>
      <c r="R38" s="489">
        <f t="shared" si="33"/>
        <v>1.0335178074293179</v>
      </c>
      <c r="S38" s="486">
        <f t="shared" si="33"/>
        <v>1.0763284614116604</v>
      </c>
      <c r="T38" s="495">
        <f t="shared" si="33"/>
        <v>1.1819672000799639</v>
      </c>
      <c r="U38" s="486">
        <f t="shared" si="33"/>
        <v>1.2874040882951872</v>
      </c>
      <c r="V38" s="486">
        <f t="shared" si="33"/>
        <v>1.1496214597946581</v>
      </c>
      <c r="W38" s="486">
        <f t="shared" si="33"/>
        <v>1.0283267287375741</v>
      </c>
      <c r="X38" s="486">
        <f t="shared" si="33"/>
        <v>1.0629112489583989</v>
      </c>
      <c r="Y38" s="486">
        <f t="shared" si="33"/>
        <v>1.1066155359795713</v>
      </c>
      <c r="Z38" s="486">
        <f t="shared" si="33"/>
        <v>23.112618807725354</v>
      </c>
      <c r="AA38" s="486">
        <f t="shared" si="33"/>
        <v>1.0906045049242699</v>
      </c>
      <c r="AB38" s="487">
        <f t="shared" si="33"/>
        <v>1.0109831807490637</v>
      </c>
      <c r="AC38" s="488">
        <f t="shared" si="33"/>
        <v>0.98902283724517548</v>
      </c>
      <c r="AD38" s="488">
        <f t="shared" si="33"/>
        <v>0.9822872731575919</v>
      </c>
      <c r="AE38" s="488">
        <f t="shared" si="33"/>
        <v>1.0565485906972771</v>
      </c>
      <c r="AF38" s="488">
        <f t="shared" si="33"/>
        <v>1.0359762483592949</v>
      </c>
      <c r="AG38" s="488">
        <f t="shared" si="33"/>
        <v>0.9384334033951528</v>
      </c>
      <c r="AH38" s="488">
        <f t="shared" si="33"/>
        <v>0.81392829605058326</v>
      </c>
      <c r="AI38" s="488">
        <f t="shared" si="33"/>
        <v>0.91664003843536868</v>
      </c>
      <c r="AJ38" s="489">
        <f t="shared" si="33"/>
        <v>0.93209282672105487</v>
      </c>
      <c r="AK38" s="488">
        <f t="shared" si="33"/>
        <v>0.93817047698458989</v>
      </c>
      <c r="AL38" s="488">
        <f t="shared" si="33"/>
        <v>1.0229945559645885</v>
      </c>
      <c r="AM38" s="488">
        <f t="shared" si="33"/>
        <v>1.0627512991291537</v>
      </c>
      <c r="AN38" s="488">
        <f t="shared" si="33"/>
        <v>1.0068687835780439</v>
      </c>
      <c r="AO38" s="488">
        <f t="shared" si="33"/>
        <v>0.99950320850046603</v>
      </c>
      <c r="AP38" s="488">
        <f t="shared" si="33"/>
        <v>0.98751659270822822</v>
      </c>
      <c r="AQ38" s="488">
        <f t="shared" si="33"/>
        <v>0.98701818474131109</v>
      </c>
      <c r="AR38" s="488">
        <f t="shared" si="33"/>
        <v>0.94353210313537017</v>
      </c>
      <c r="AS38" s="488">
        <f t="shared" si="33"/>
        <v>0.90494461882052002</v>
      </c>
      <c r="AT38" s="488">
        <f t="shared" si="33"/>
        <v>0.93871680222155796</v>
      </c>
      <c r="AU38" s="488">
        <f t="shared" si="33"/>
        <v>0.91065220172806072</v>
      </c>
      <c r="AV38" s="488">
        <f t="shared" si="33"/>
        <v>0.96738251445502776</v>
      </c>
      <c r="AW38" s="488">
        <f t="shared" si="33"/>
        <v>0.97846682314557165</v>
      </c>
      <c r="AX38" s="488">
        <f t="shared" si="33"/>
        <v>1.0419273615584095</v>
      </c>
      <c r="AY38" s="488">
        <f t="shared" si="33"/>
        <v>0.9815360462033087</v>
      </c>
      <c r="AZ38" s="488">
        <f t="shared" si="33"/>
        <v>0.94480563168997844</v>
      </c>
      <c r="BA38" s="488">
        <f t="shared" si="33"/>
        <v>1.0410135843285113</v>
      </c>
      <c r="BB38" s="488">
        <f t="shared" si="33"/>
        <v>1.0759730175920199</v>
      </c>
      <c r="BC38" s="488">
        <f t="shared" si="33"/>
        <v>1.2035119207313778</v>
      </c>
      <c r="BD38" s="488">
        <f t="shared" si="33"/>
        <v>1.1411007543343832</v>
      </c>
      <c r="BE38" s="488">
        <f t="shared" si="33"/>
        <v>1.1052178826350898</v>
      </c>
      <c r="BF38" s="488">
        <f t="shared" si="33"/>
        <v>0.99764509879206587</v>
      </c>
      <c r="BG38" s="488">
        <f t="shared" si="33"/>
        <v>0.95147000632214285</v>
      </c>
      <c r="BH38" s="488">
        <f t="shared" si="33"/>
        <v>0.97767654874537258</v>
      </c>
      <c r="BI38" s="488">
        <f t="shared" si="33"/>
        <v>0.97144757723034181</v>
      </c>
      <c r="BJ38" s="488">
        <f t="shared" ref="BJ38:BU38" si="34">IFERROR(BJ30/BJ20,)</f>
        <v>0</v>
      </c>
      <c r="BK38" s="488">
        <f t="shared" si="34"/>
        <v>0</v>
      </c>
      <c r="BL38" s="488">
        <f t="shared" si="34"/>
        <v>0</v>
      </c>
      <c r="BM38" s="488">
        <f t="shared" si="34"/>
        <v>0</v>
      </c>
      <c r="BN38" s="488">
        <f t="shared" si="34"/>
        <v>0</v>
      </c>
      <c r="BO38" s="488">
        <f t="shared" si="34"/>
        <v>0</v>
      </c>
      <c r="BP38" s="488">
        <f t="shared" si="34"/>
        <v>0</v>
      </c>
      <c r="BQ38" s="488">
        <f t="shared" si="34"/>
        <v>0</v>
      </c>
      <c r="BR38" s="488">
        <f t="shared" si="34"/>
        <v>0</v>
      </c>
      <c r="BS38" s="488">
        <f t="shared" si="34"/>
        <v>0</v>
      </c>
      <c r="BT38" s="488">
        <f t="shared" si="34"/>
        <v>0</v>
      </c>
      <c r="BU38" s="488">
        <f t="shared" si="34"/>
        <v>0</v>
      </c>
      <c r="BV38" s="488">
        <f>IFERROR(BV30/BV20,)</f>
        <v>0</v>
      </c>
      <c r="BW38" s="488">
        <f>IFERROR(BW30/BW20,)</f>
        <v>0</v>
      </c>
      <c r="BX38" s="490">
        <f>IFERROR(BX30/BX20,)</f>
        <v>0</v>
      </c>
      <c r="BY38" s="491">
        <f>IFERROR(BY30/BY20,)</f>
        <v>0</v>
      </c>
      <c r="BZ38" s="489">
        <f>IFERROR((BZ30/BZ20),0)</f>
        <v>0</v>
      </c>
      <c r="CA38" s="489">
        <f t="shared" ref="CA38:CK38" si="35">IFERROR((CA30/CA20),0)</f>
        <v>0</v>
      </c>
      <c r="CB38" s="489">
        <f t="shared" si="35"/>
        <v>0</v>
      </c>
      <c r="CC38" s="489">
        <f t="shared" si="35"/>
        <v>0</v>
      </c>
      <c r="CD38" s="489">
        <f t="shared" si="35"/>
        <v>0</v>
      </c>
      <c r="CE38" s="489">
        <f t="shared" si="35"/>
        <v>0</v>
      </c>
      <c r="CF38" s="489">
        <f t="shared" si="35"/>
        <v>0</v>
      </c>
      <c r="CG38" s="489">
        <f t="shared" si="35"/>
        <v>0</v>
      </c>
      <c r="CH38" s="489">
        <f t="shared" si="35"/>
        <v>0</v>
      </c>
      <c r="CI38" s="489">
        <f t="shared" si="35"/>
        <v>0</v>
      </c>
      <c r="CJ38" s="489">
        <f t="shared" si="35"/>
        <v>0</v>
      </c>
      <c r="CK38" s="489">
        <f t="shared" si="35"/>
        <v>0</v>
      </c>
    </row>
    <row r="39" spans="1:94" ht="15.75" customHeight="1" x14ac:dyDescent="0.2">
      <c r="A39" s="485"/>
      <c r="B39" s="467"/>
      <c r="C39" s="468"/>
      <c r="D39" s="468"/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9"/>
      <c r="S39" s="468"/>
      <c r="T39" s="526"/>
      <c r="U39" s="526"/>
      <c r="V39" s="526"/>
      <c r="W39" s="526"/>
      <c r="X39" s="526"/>
      <c r="Y39" s="526"/>
      <c r="Z39" s="526"/>
      <c r="AA39" s="526"/>
      <c r="AB39" s="526"/>
      <c r="AC39" s="526"/>
      <c r="AD39" s="472"/>
      <c r="AE39" s="472"/>
      <c r="AF39" s="472"/>
      <c r="AG39" s="472"/>
      <c r="AH39" s="472"/>
      <c r="AI39" s="472"/>
      <c r="AJ39" s="469"/>
      <c r="AK39" s="472"/>
      <c r="AL39" s="472"/>
      <c r="AM39" s="472"/>
      <c r="AN39" s="472"/>
      <c r="AO39" s="472"/>
      <c r="AP39" s="472"/>
      <c r="AQ39" s="472"/>
      <c r="AR39" s="472"/>
      <c r="AS39" s="472"/>
      <c r="AT39" s="472"/>
      <c r="AU39" s="472"/>
      <c r="AV39" s="472"/>
      <c r="AW39" s="472"/>
      <c r="AX39" s="472"/>
      <c r="AY39" s="472"/>
      <c r="AZ39" s="472"/>
      <c r="BA39" s="527"/>
      <c r="BB39" s="527"/>
      <c r="BC39" s="527"/>
      <c r="BD39" s="527"/>
      <c r="BE39" s="527"/>
      <c r="BF39" s="527"/>
      <c r="BG39" s="527"/>
      <c r="BH39" s="527"/>
      <c r="BI39" s="527"/>
      <c r="BJ39" s="527"/>
      <c r="BK39" s="527"/>
      <c r="BL39" s="527"/>
      <c r="BM39" s="527"/>
      <c r="BN39" s="527"/>
      <c r="BO39" s="527"/>
      <c r="BP39" s="527"/>
      <c r="BQ39" s="527"/>
      <c r="BR39" s="527"/>
      <c r="BS39" s="527"/>
      <c r="BT39" s="527"/>
      <c r="BU39" s="527"/>
      <c r="BV39" s="527"/>
      <c r="BW39" s="527"/>
      <c r="BX39" s="528"/>
      <c r="BY39" s="529"/>
      <c r="BZ39" s="469"/>
      <c r="CA39" s="469"/>
      <c r="CB39" s="469"/>
      <c r="CC39" s="469"/>
      <c r="CD39" s="469"/>
      <c r="CE39" s="469"/>
      <c r="CF39" s="469"/>
      <c r="CG39" s="469"/>
      <c r="CH39" s="469"/>
      <c r="CI39" s="469"/>
      <c r="CJ39" s="469"/>
      <c r="CK39" s="469"/>
    </row>
    <row r="40" spans="1:94" ht="15.75" customHeight="1" x14ac:dyDescent="0.2">
      <c r="A40" s="457" t="s">
        <v>500</v>
      </c>
      <c r="B40" s="458">
        <f t="shared" ref="B40:BM40" si="36">B20-B30</f>
        <v>706906.96428571455</v>
      </c>
      <c r="C40" s="459">
        <f t="shared" si="36"/>
        <v>657369.30673125014</v>
      </c>
      <c r="D40" s="459">
        <f t="shared" si="36"/>
        <v>374973.33835702948</v>
      </c>
      <c r="E40" s="459">
        <f t="shared" si="36"/>
        <v>201717.19764042832</v>
      </c>
      <c r="F40" s="459">
        <f t="shared" si="36"/>
        <v>151642.7698973082</v>
      </c>
      <c r="G40" s="459">
        <f t="shared" si="36"/>
        <v>341046.56693112757</v>
      </c>
      <c r="H40" s="459">
        <f t="shared" si="36"/>
        <v>1114883.6695571449</v>
      </c>
      <c r="I40" s="459">
        <f t="shared" si="36"/>
        <v>2285758.4403571431</v>
      </c>
      <c r="J40" s="459">
        <f t="shared" si="36"/>
        <v>2056128.7085714284</v>
      </c>
      <c r="K40" s="459">
        <f t="shared" si="36"/>
        <v>1927450.0839441661</v>
      </c>
      <c r="L40" s="459">
        <f t="shared" si="36"/>
        <v>1808188.6212662328</v>
      </c>
      <c r="M40" s="459">
        <f t="shared" si="36"/>
        <v>963381.69100896642</v>
      </c>
      <c r="N40" s="459">
        <f t="shared" si="36"/>
        <v>779431.92963691056</v>
      </c>
      <c r="O40" s="459">
        <f t="shared" si="36"/>
        <v>302401.16061558574</v>
      </c>
      <c r="P40" s="459">
        <f t="shared" si="36"/>
        <v>-566574.57759700343</v>
      </c>
      <c r="Q40" s="459">
        <f t="shared" si="36"/>
        <v>413361.73629724607</v>
      </c>
      <c r="R40" s="463">
        <f t="shared" si="36"/>
        <v>-359346.78051399998</v>
      </c>
      <c r="S40" s="459">
        <f t="shared" si="36"/>
        <v>-543377.84959432855</v>
      </c>
      <c r="T40" s="484">
        <f t="shared" si="36"/>
        <v>-985264.0311197415</v>
      </c>
      <c r="U40" s="459">
        <f t="shared" si="36"/>
        <v>-2224632.2834179737</v>
      </c>
      <c r="V40" s="459">
        <f t="shared" si="36"/>
        <v>-1790804.2178162262</v>
      </c>
      <c r="W40" s="459">
        <f t="shared" si="36"/>
        <v>-349705.70790243521</v>
      </c>
      <c r="X40" s="459">
        <f t="shared" si="36"/>
        <v>-1347898.7977490909</v>
      </c>
      <c r="Y40" s="459">
        <f t="shared" si="36"/>
        <v>-988500.45001429133</v>
      </c>
      <c r="Z40" s="459">
        <f t="shared" si="36"/>
        <v>-4468306.2120747129</v>
      </c>
      <c r="AA40" s="459">
        <f t="shared" si="36"/>
        <v>-792465.58083617128</v>
      </c>
      <c r="AB40" s="461">
        <f t="shared" si="36"/>
        <v>-104375.55014906824</v>
      </c>
      <c r="AC40" s="462">
        <f t="shared" si="36"/>
        <v>146044.34436908551</v>
      </c>
      <c r="AD40" s="462">
        <f t="shared" si="36"/>
        <v>273748.34485985897</v>
      </c>
      <c r="AE40" s="462">
        <f t="shared" si="36"/>
        <v>-908155.67709306814</v>
      </c>
      <c r="AF40" s="462">
        <f t="shared" si="36"/>
        <v>-532173.58179097064</v>
      </c>
      <c r="AG40" s="462">
        <f t="shared" si="36"/>
        <v>1341332.5810638443</v>
      </c>
      <c r="AH40" s="462">
        <f t="shared" si="36"/>
        <v>5300262.1999420822</v>
      </c>
      <c r="AI40" s="462">
        <f t="shared" si="36"/>
        <v>3074036.755166471</v>
      </c>
      <c r="AJ40" s="463">
        <f t="shared" si="36"/>
        <v>1999148.2053309679</v>
      </c>
      <c r="AK40" s="462">
        <f t="shared" si="36"/>
        <v>1377495.0377059653</v>
      </c>
      <c r="AL40" s="462">
        <f t="shared" si="36"/>
        <v>-391648.70390408114</v>
      </c>
      <c r="AM40" s="462">
        <f t="shared" si="36"/>
        <v>-868374.78418104351</v>
      </c>
      <c r="AN40" s="462">
        <f t="shared" si="36"/>
        <v>-184626.08943138644</v>
      </c>
      <c r="AO40" s="462">
        <f t="shared" si="36"/>
        <v>18228.937187336385</v>
      </c>
      <c r="AP40" s="462">
        <f t="shared" si="36"/>
        <v>594062.85051006824</v>
      </c>
      <c r="AQ40" s="462">
        <f t="shared" si="36"/>
        <v>723273.64665096998</v>
      </c>
      <c r="AR40" s="462">
        <f t="shared" si="36"/>
        <v>3117952.7381424159</v>
      </c>
      <c r="AS40" s="462">
        <f t="shared" si="36"/>
        <v>4662018.050658837</v>
      </c>
      <c r="AT40" s="462">
        <f t="shared" si="36"/>
        <v>3377596.2701376081</v>
      </c>
      <c r="AU40" s="462">
        <f t="shared" si="36"/>
        <v>5802579.3916042149</v>
      </c>
      <c r="AV40" s="462">
        <f t="shared" si="36"/>
        <v>2134859.408431001</v>
      </c>
      <c r="AW40" s="462">
        <f t="shared" si="36"/>
        <v>1565424.1825261116</v>
      </c>
      <c r="AX40" s="462">
        <f t="shared" si="36"/>
        <v>-1632062.7590971887</v>
      </c>
      <c r="AY40" s="462">
        <f t="shared" si="36"/>
        <v>759653.62528735399</v>
      </c>
      <c r="AZ40" s="462">
        <f t="shared" si="36"/>
        <v>2044312.8668167293</v>
      </c>
      <c r="BA40" s="462">
        <f t="shared" si="36"/>
        <v>-1276305.242611222</v>
      </c>
      <c r="BB40" s="462">
        <f t="shared" si="36"/>
        <v>-1953615.8339038603</v>
      </c>
      <c r="BC40" s="462">
        <f t="shared" si="36"/>
        <v>-2558164.676164642</v>
      </c>
      <c r="BD40" s="462">
        <f t="shared" si="36"/>
        <v>-954214.1540862564</v>
      </c>
      <c r="BE40" s="462">
        <f t="shared" si="36"/>
        <v>-2042590.2050653584</v>
      </c>
      <c r="BF40" s="462">
        <f t="shared" si="36"/>
        <v>75638.371921453625</v>
      </c>
      <c r="BG40" s="462">
        <f t="shared" si="36"/>
        <v>1877182.516346246</v>
      </c>
      <c r="BH40" s="462">
        <f t="shared" si="36"/>
        <v>747054.06651102379</v>
      </c>
      <c r="BI40" s="462">
        <f t="shared" si="36"/>
        <v>1136267.6837260947</v>
      </c>
      <c r="BJ40" s="462">
        <f t="shared" si="36"/>
        <v>0</v>
      </c>
      <c r="BK40" s="462">
        <f t="shared" si="36"/>
        <v>0</v>
      </c>
      <c r="BL40" s="462">
        <f t="shared" si="36"/>
        <v>0</v>
      </c>
      <c r="BM40" s="462">
        <f t="shared" si="36"/>
        <v>0</v>
      </c>
      <c r="BN40" s="462">
        <f t="shared" ref="BN40:CK40" si="37">BN20-BN30</f>
        <v>0</v>
      </c>
      <c r="BO40" s="462">
        <f t="shared" si="37"/>
        <v>0</v>
      </c>
      <c r="BP40" s="462">
        <f t="shared" si="37"/>
        <v>0</v>
      </c>
      <c r="BQ40" s="462">
        <f t="shared" si="37"/>
        <v>0</v>
      </c>
      <c r="BR40" s="462">
        <f t="shared" si="37"/>
        <v>0</v>
      </c>
      <c r="BS40" s="462">
        <f t="shared" si="37"/>
        <v>0</v>
      </c>
      <c r="BT40" s="462">
        <f t="shared" si="37"/>
        <v>0</v>
      </c>
      <c r="BU40" s="462">
        <f t="shared" si="37"/>
        <v>0</v>
      </c>
      <c r="BV40" s="462">
        <f t="shared" si="37"/>
        <v>0</v>
      </c>
      <c r="BW40" s="462">
        <f t="shared" si="37"/>
        <v>0</v>
      </c>
      <c r="BX40" s="464">
        <f t="shared" si="37"/>
        <v>0</v>
      </c>
      <c r="BY40" s="465">
        <f t="shared" si="37"/>
        <v>0</v>
      </c>
      <c r="BZ40" s="463">
        <f t="shared" si="37"/>
        <v>0</v>
      </c>
      <c r="CA40" s="463">
        <f t="shared" si="37"/>
        <v>0</v>
      </c>
      <c r="CB40" s="463">
        <f t="shared" si="37"/>
        <v>0</v>
      </c>
      <c r="CC40" s="463">
        <f t="shared" si="37"/>
        <v>0</v>
      </c>
      <c r="CD40" s="463">
        <f t="shared" si="37"/>
        <v>0</v>
      </c>
      <c r="CE40" s="463">
        <f t="shared" si="37"/>
        <v>0</v>
      </c>
      <c r="CF40" s="463">
        <f t="shared" si="37"/>
        <v>0</v>
      </c>
      <c r="CG40" s="463">
        <f t="shared" si="37"/>
        <v>0</v>
      </c>
      <c r="CH40" s="463">
        <f t="shared" si="37"/>
        <v>0</v>
      </c>
      <c r="CI40" s="463">
        <f t="shared" si="37"/>
        <v>0</v>
      </c>
      <c r="CJ40" s="463">
        <f t="shared" si="37"/>
        <v>0</v>
      </c>
      <c r="CK40" s="463">
        <f t="shared" si="37"/>
        <v>0</v>
      </c>
    </row>
    <row r="41" spans="1:94" ht="15.75" customHeight="1" x14ac:dyDescent="0.2">
      <c r="A41" s="485" t="s">
        <v>501</v>
      </c>
      <c r="B41" s="523">
        <f t="shared" ref="B41:BI41" si="38">B40/B20</f>
        <v>0.11695605686478738</v>
      </c>
      <c r="C41" s="486">
        <f t="shared" si="38"/>
        <v>9.9813983135865661E-2</v>
      </c>
      <c r="D41" s="486">
        <f t="shared" si="38"/>
        <v>6.7015586238449512E-2</v>
      </c>
      <c r="E41" s="486">
        <f t="shared" si="38"/>
        <v>2.2086525411264348E-2</v>
      </c>
      <c r="F41" s="486">
        <f t="shared" si="38"/>
        <v>2.1830667300766226E-2</v>
      </c>
      <c r="G41" s="486">
        <f t="shared" si="38"/>
        <v>6.0373292917973435E-2</v>
      </c>
      <c r="H41" s="486">
        <f t="shared" si="38"/>
        <v>0.1574699081180784</v>
      </c>
      <c r="I41" s="486">
        <f t="shared" si="38"/>
        <v>0.24938713344108793</v>
      </c>
      <c r="J41" s="486">
        <f t="shared" si="38"/>
        <v>0.18733308177935701</v>
      </c>
      <c r="K41" s="486">
        <f t="shared" si="38"/>
        <v>0.15754980893517551</v>
      </c>
      <c r="L41" s="486">
        <f t="shared" si="38"/>
        <v>0.11389178502156255</v>
      </c>
      <c r="M41" s="486">
        <f t="shared" si="38"/>
        <v>7.8941468847236698E-2</v>
      </c>
      <c r="N41" s="486">
        <f t="shared" si="38"/>
        <v>4.8984316633074031E-2</v>
      </c>
      <c r="O41" s="486">
        <f t="shared" si="38"/>
        <v>1.7613633806375761E-2</v>
      </c>
      <c r="P41" s="486">
        <f t="shared" si="38"/>
        <v>-2.5883658428111508E-2</v>
      </c>
      <c r="Q41" s="486">
        <f t="shared" si="38"/>
        <v>2.3936000374217743E-2</v>
      </c>
      <c r="R41" s="489">
        <f t="shared" si="38"/>
        <v>-3.3517807429317766E-2</v>
      </c>
      <c r="S41" s="486">
        <f t="shared" si="38"/>
        <v>-7.6328461411660414E-2</v>
      </c>
      <c r="T41" s="495">
        <f t="shared" si="38"/>
        <v>-0.181967200079964</v>
      </c>
      <c r="U41" s="486">
        <f t="shared" si="38"/>
        <v>-0.28740408829518721</v>
      </c>
      <c r="V41" s="486">
        <f t="shared" si="38"/>
        <v>-0.14962145979465816</v>
      </c>
      <c r="W41" s="486">
        <f t="shared" si="38"/>
        <v>-2.8326728737574237E-2</v>
      </c>
      <c r="X41" s="486">
        <f t="shared" si="38"/>
        <v>-6.2911248958398919E-2</v>
      </c>
      <c r="Y41" s="486">
        <f t="shared" si="38"/>
        <v>-0.10661553597957125</v>
      </c>
      <c r="Z41" s="486">
        <f t="shared" si="38"/>
        <v>-22.112618807725358</v>
      </c>
      <c r="AA41" s="486">
        <f t="shared" si="38"/>
        <v>-9.0604504924269788E-2</v>
      </c>
      <c r="AB41" s="487">
        <f t="shared" si="38"/>
        <v>-1.0983180749063652E-2</v>
      </c>
      <c r="AC41" s="488">
        <f t="shared" si="38"/>
        <v>1.0977162754824524E-2</v>
      </c>
      <c r="AD41" s="488">
        <f t="shared" si="38"/>
        <v>1.7712726842408117E-2</v>
      </c>
      <c r="AE41" s="488">
        <f t="shared" si="38"/>
        <v>-5.6548590697277155E-2</v>
      </c>
      <c r="AF41" s="488">
        <f t="shared" si="38"/>
        <v>-3.5976248359294971E-2</v>
      </c>
      <c r="AG41" s="488">
        <f t="shared" si="38"/>
        <v>6.1566596604847167E-2</v>
      </c>
      <c r="AH41" s="488">
        <f t="shared" si="38"/>
        <v>0.18607170394941674</v>
      </c>
      <c r="AI41" s="488">
        <f t="shared" si="38"/>
        <v>8.3359961564631296E-2</v>
      </c>
      <c r="AJ41" s="489">
        <f t="shared" si="38"/>
        <v>6.7907173278945077E-2</v>
      </c>
      <c r="AK41" s="488">
        <f t="shared" si="38"/>
        <v>6.1829523015410087E-2</v>
      </c>
      <c r="AL41" s="488">
        <f t="shared" si="38"/>
        <v>-2.2994555964588628E-2</v>
      </c>
      <c r="AM41" s="488">
        <f t="shared" si="38"/>
        <v>-6.2751299129153712E-2</v>
      </c>
      <c r="AN41" s="488">
        <f t="shared" si="38"/>
        <v>-6.8687835780438054E-3</v>
      </c>
      <c r="AO41" s="488">
        <f t="shared" si="38"/>
        <v>4.9679149953399816E-4</v>
      </c>
      <c r="AP41" s="488">
        <f t="shared" si="38"/>
        <v>1.2483407291771782E-2</v>
      </c>
      <c r="AQ41" s="488">
        <f t="shared" si="38"/>
        <v>1.2981815258688916E-2</v>
      </c>
      <c r="AR41" s="488">
        <f t="shared" si="38"/>
        <v>5.6467896864629837E-2</v>
      </c>
      <c r="AS41" s="488">
        <f t="shared" si="38"/>
        <v>9.5055381179479939E-2</v>
      </c>
      <c r="AT41" s="488">
        <f t="shared" si="38"/>
        <v>6.1283197778441996E-2</v>
      </c>
      <c r="AU41" s="488">
        <f t="shared" si="38"/>
        <v>8.9347798271939269E-2</v>
      </c>
      <c r="AV41" s="488">
        <f t="shared" si="38"/>
        <v>3.2617485544972263E-2</v>
      </c>
      <c r="AW41" s="488">
        <f t="shared" si="38"/>
        <v>2.1533176854428342E-2</v>
      </c>
      <c r="AX41" s="488">
        <f t="shared" si="38"/>
        <v>-4.1927361558409412E-2</v>
      </c>
      <c r="AY41" s="488">
        <f t="shared" si="38"/>
        <v>1.8463953796691267E-2</v>
      </c>
      <c r="AZ41" s="488">
        <f t="shared" si="38"/>
        <v>5.5194368310021509E-2</v>
      </c>
      <c r="BA41" s="488">
        <f t="shared" si="38"/>
        <v>-4.1013584328511342E-2</v>
      </c>
      <c r="BB41" s="492">
        <f t="shared" si="38"/>
        <v>-7.597301759201984E-2</v>
      </c>
      <c r="BC41" s="492">
        <f t="shared" si="38"/>
        <v>-0.20351192073137783</v>
      </c>
      <c r="BD41" s="492">
        <f t="shared" si="38"/>
        <v>-0.14110075433438318</v>
      </c>
      <c r="BE41" s="492">
        <f t="shared" si="38"/>
        <v>-0.10521788263508972</v>
      </c>
      <c r="BF41" s="492">
        <f t="shared" si="38"/>
        <v>2.3549012079340835E-3</v>
      </c>
      <c r="BG41" s="492">
        <f t="shared" si="38"/>
        <v>4.8529993677857132E-2</v>
      </c>
      <c r="BH41" s="492">
        <f t="shared" si="38"/>
        <v>2.2323451254627407E-2</v>
      </c>
      <c r="BI41" s="492">
        <f t="shared" si="38"/>
        <v>2.8552422769658241E-2</v>
      </c>
      <c r="BJ41" s="492">
        <f t="shared" ref="BJ41:BU41" si="39">IFERROR(BJ40/BJ20,)</f>
        <v>0</v>
      </c>
      <c r="BK41" s="492">
        <f t="shared" si="39"/>
        <v>0</v>
      </c>
      <c r="BL41" s="492">
        <f t="shared" si="39"/>
        <v>0</v>
      </c>
      <c r="BM41" s="492">
        <f t="shared" si="39"/>
        <v>0</v>
      </c>
      <c r="BN41" s="492">
        <f t="shared" si="39"/>
        <v>0</v>
      </c>
      <c r="BO41" s="492">
        <f t="shared" si="39"/>
        <v>0</v>
      </c>
      <c r="BP41" s="492">
        <f t="shared" si="39"/>
        <v>0</v>
      </c>
      <c r="BQ41" s="492">
        <f t="shared" si="39"/>
        <v>0</v>
      </c>
      <c r="BR41" s="492">
        <f t="shared" si="39"/>
        <v>0</v>
      </c>
      <c r="BS41" s="492">
        <f t="shared" si="39"/>
        <v>0</v>
      </c>
      <c r="BT41" s="492">
        <f t="shared" si="39"/>
        <v>0</v>
      </c>
      <c r="BU41" s="492">
        <f t="shared" si="39"/>
        <v>0</v>
      </c>
      <c r="BV41" s="492">
        <f>IFERROR(BV40/BV20,)</f>
        <v>0</v>
      </c>
      <c r="BW41" s="492">
        <f>IFERROR(BW40/BW20,)</f>
        <v>0</v>
      </c>
      <c r="BX41" s="493">
        <f>IFERROR(BX40/BX20,)</f>
        <v>0</v>
      </c>
      <c r="BY41" s="494">
        <f>IFERROR(BY40/BY20,)</f>
        <v>0</v>
      </c>
      <c r="BZ41" s="489">
        <f>IFERROR((BZ40/BZ20),0)</f>
        <v>0</v>
      </c>
      <c r="CA41" s="489">
        <f t="shared" ref="CA41:CK41" si="40">IFERROR((CA40/CA20),0)</f>
        <v>0</v>
      </c>
      <c r="CB41" s="489">
        <f t="shared" si="40"/>
        <v>0</v>
      </c>
      <c r="CC41" s="489">
        <f t="shared" si="40"/>
        <v>0</v>
      </c>
      <c r="CD41" s="489">
        <f t="shared" si="40"/>
        <v>0</v>
      </c>
      <c r="CE41" s="489">
        <f t="shared" si="40"/>
        <v>0</v>
      </c>
      <c r="CF41" s="489">
        <f t="shared" si="40"/>
        <v>0</v>
      </c>
      <c r="CG41" s="489">
        <f t="shared" si="40"/>
        <v>0</v>
      </c>
      <c r="CH41" s="489">
        <f t="shared" si="40"/>
        <v>0</v>
      </c>
      <c r="CI41" s="489">
        <f t="shared" si="40"/>
        <v>0</v>
      </c>
      <c r="CJ41" s="489">
        <f t="shared" si="40"/>
        <v>0</v>
      </c>
      <c r="CK41" s="489">
        <f t="shared" si="40"/>
        <v>0</v>
      </c>
    </row>
    <row r="42" spans="1:94" ht="15.75" customHeight="1" x14ac:dyDescent="0.2">
      <c r="A42" s="485"/>
      <c r="B42" s="467"/>
      <c r="C42" s="468"/>
      <c r="D42" s="468"/>
      <c r="E42" s="468"/>
      <c r="F42" s="468"/>
      <c r="G42" s="468"/>
      <c r="H42" s="468"/>
      <c r="I42" s="468"/>
      <c r="J42" s="468"/>
      <c r="K42" s="468"/>
      <c r="L42" s="468"/>
      <c r="M42" s="468"/>
      <c r="N42" s="468"/>
      <c r="O42" s="468"/>
      <c r="P42" s="468"/>
      <c r="Q42" s="468"/>
      <c r="R42" s="469"/>
      <c r="S42" s="468"/>
      <c r="T42" s="470"/>
      <c r="U42" s="468"/>
      <c r="V42" s="468"/>
      <c r="W42" s="468"/>
      <c r="X42" s="468"/>
      <c r="Y42" s="468"/>
      <c r="Z42" s="468"/>
      <c r="AA42" s="468"/>
      <c r="AB42" s="471"/>
      <c r="AC42" s="472"/>
      <c r="AD42" s="472"/>
      <c r="AE42" s="472"/>
      <c r="AF42" s="472"/>
      <c r="AG42" s="472"/>
      <c r="AH42" s="472"/>
      <c r="AI42" s="472"/>
      <c r="AJ42" s="469"/>
      <c r="AK42" s="472"/>
      <c r="AL42" s="472"/>
      <c r="AM42" s="472"/>
      <c r="AN42" s="472"/>
      <c r="AO42" s="472"/>
      <c r="AP42" s="472"/>
      <c r="AQ42" s="472"/>
      <c r="AR42" s="472"/>
      <c r="AS42" s="472"/>
      <c r="AT42" s="472"/>
      <c r="AU42" s="472"/>
      <c r="AV42" s="472"/>
      <c r="AW42" s="472"/>
      <c r="AX42" s="472"/>
      <c r="AY42" s="472"/>
      <c r="AZ42" s="472"/>
      <c r="BA42" s="472"/>
      <c r="BB42" s="472"/>
      <c r="BC42" s="472"/>
      <c r="BD42" s="472"/>
      <c r="BE42" s="472"/>
      <c r="BF42" s="472"/>
      <c r="BG42" s="472"/>
      <c r="BH42" s="472"/>
      <c r="BI42" s="472"/>
      <c r="BJ42" s="472"/>
      <c r="BK42" s="472"/>
      <c r="BL42" s="472"/>
      <c r="BM42" s="472"/>
      <c r="BN42" s="472"/>
      <c r="BO42" s="472"/>
      <c r="BP42" s="472"/>
      <c r="BQ42" s="472"/>
      <c r="BR42" s="472"/>
      <c r="BS42" s="472"/>
      <c r="BT42" s="472"/>
      <c r="BU42" s="472"/>
      <c r="BV42" s="472"/>
      <c r="BW42" s="472"/>
      <c r="BX42" s="473"/>
      <c r="BY42" s="474"/>
      <c r="BZ42" s="469"/>
      <c r="CA42" s="469"/>
      <c r="CB42" s="469"/>
      <c r="CC42" s="469"/>
      <c r="CD42" s="469"/>
      <c r="CE42" s="469"/>
      <c r="CF42" s="469"/>
      <c r="CG42" s="469"/>
      <c r="CH42" s="469"/>
      <c r="CI42" s="469"/>
      <c r="CJ42" s="469"/>
      <c r="CK42" s="469"/>
    </row>
    <row r="43" spans="1:94" ht="15.75" customHeight="1" x14ac:dyDescent="0.2">
      <c r="A43" s="457" t="s">
        <v>32</v>
      </c>
      <c r="B43" s="458">
        <f t="shared" ref="B43:BM43" si="41">SUM(B44:B45,B47:B47)</f>
        <v>259742</v>
      </c>
      <c r="C43" s="459">
        <f t="shared" si="41"/>
        <v>300887</v>
      </c>
      <c r="D43" s="459">
        <f t="shared" si="41"/>
        <v>343726</v>
      </c>
      <c r="E43" s="459">
        <f t="shared" si="41"/>
        <v>481425</v>
      </c>
      <c r="F43" s="459">
        <f t="shared" si="41"/>
        <v>484377</v>
      </c>
      <c r="G43" s="459">
        <f t="shared" si="41"/>
        <v>515353</v>
      </c>
      <c r="H43" s="459">
        <f t="shared" si="41"/>
        <v>500586</v>
      </c>
      <c r="I43" s="459">
        <f t="shared" si="41"/>
        <v>637103</v>
      </c>
      <c r="J43" s="459">
        <f t="shared" si="41"/>
        <v>634462</v>
      </c>
      <c r="K43" s="459">
        <f t="shared" si="41"/>
        <v>568554.06160164275</v>
      </c>
      <c r="L43" s="459">
        <f t="shared" si="41"/>
        <v>868398.15216783225</v>
      </c>
      <c r="M43" s="459">
        <f t="shared" si="41"/>
        <v>627273.92728136876</v>
      </c>
      <c r="N43" s="459">
        <f t="shared" si="41"/>
        <v>728158.0497352496</v>
      </c>
      <c r="O43" s="459">
        <f t="shared" si="41"/>
        <v>1061621.8670203662</v>
      </c>
      <c r="P43" s="459">
        <f t="shared" si="41"/>
        <v>829210.72081218264</v>
      </c>
      <c r="Q43" s="459">
        <f t="shared" si="41"/>
        <v>882742.8759957914</v>
      </c>
      <c r="R43" s="459">
        <f t="shared" si="41"/>
        <v>577060.52682737168</v>
      </c>
      <c r="S43" s="459">
        <f t="shared" si="41"/>
        <v>343050.80265455809</v>
      </c>
      <c r="T43" s="459">
        <f t="shared" si="41"/>
        <v>272456.66273584904</v>
      </c>
      <c r="U43" s="459">
        <f t="shared" si="41"/>
        <v>415921.50106389477</v>
      </c>
      <c r="V43" s="459">
        <f t="shared" si="41"/>
        <v>567889.73549832287</v>
      </c>
      <c r="W43" s="459">
        <f t="shared" si="41"/>
        <v>584306.8231315529</v>
      </c>
      <c r="X43" s="459">
        <f t="shared" si="41"/>
        <v>821934.24896661367</v>
      </c>
      <c r="Y43" s="459">
        <f t="shared" si="41"/>
        <v>472306.72438751318</v>
      </c>
      <c r="Z43" s="459">
        <f t="shared" si="41"/>
        <v>405825.14028042229</v>
      </c>
      <c r="AA43" s="459">
        <f t="shared" si="41"/>
        <v>422190.64569536422</v>
      </c>
      <c r="AB43" s="461">
        <f t="shared" si="41"/>
        <v>416457.35819057201</v>
      </c>
      <c r="AC43" s="462">
        <f t="shared" si="41"/>
        <v>713042.05292564072</v>
      </c>
      <c r="AD43" s="462">
        <f t="shared" si="41"/>
        <v>681658.69578292558</v>
      </c>
      <c r="AE43" s="462">
        <f t="shared" si="41"/>
        <v>661343.49496314547</v>
      </c>
      <c r="AF43" s="462">
        <f t="shared" si="41"/>
        <v>557686.65082926827</v>
      </c>
      <c r="AG43" s="462">
        <f t="shared" si="41"/>
        <v>761389.12918937451</v>
      </c>
      <c r="AH43" s="462">
        <f t="shared" si="41"/>
        <v>1387447.3040154441</v>
      </c>
      <c r="AI43" s="462">
        <f t="shared" si="41"/>
        <v>2043019.5294053471</v>
      </c>
      <c r="AJ43" s="463">
        <f t="shared" si="41"/>
        <v>1407204.2262698007</v>
      </c>
      <c r="AK43" s="462">
        <f t="shared" si="41"/>
        <v>1378971.7917753127</v>
      </c>
      <c r="AL43" s="462">
        <f t="shared" si="41"/>
        <v>1027305.2426948464</v>
      </c>
      <c r="AM43" s="462">
        <f t="shared" si="41"/>
        <v>1041700.8752897384</v>
      </c>
      <c r="AN43" s="462">
        <f t="shared" si="41"/>
        <v>1369576.6449880304</v>
      </c>
      <c r="AO43" s="462">
        <f t="shared" si="41"/>
        <v>2226093.7136863586</v>
      </c>
      <c r="AP43" s="462">
        <f t="shared" si="41"/>
        <v>2896220.3629931957</v>
      </c>
      <c r="AQ43" s="462">
        <f t="shared" si="41"/>
        <v>2921907.1771656135</v>
      </c>
      <c r="AR43" s="462">
        <f t="shared" si="41"/>
        <v>3525722.6241154536</v>
      </c>
      <c r="AS43" s="462">
        <f t="shared" si="41"/>
        <v>3026600.5693522794</v>
      </c>
      <c r="AT43" s="462">
        <f t="shared" si="41"/>
        <v>3171355.8177957311</v>
      </c>
      <c r="AU43" s="462">
        <f t="shared" si="41"/>
        <v>3340400.3942431519</v>
      </c>
      <c r="AV43" s="462">
        <f t="shared" si="41"/>
        <v>3443466.0821036976</v>
      </c>
      <c r="AW43" s="462">
        <f t="shared" si="41"/>
        <v>4200834.5214186888</v>
      </c>
      <c r="AX43" s="462">
        <f t="shared" si="41"/>
        <v>3266059.9147547539</v>
      </c>
      <c r="AY43" s="462">
        <f t="shared" si="41"/>
        <v>2674960.803370506</v>
      </c>
      <c r="AZ43" s="462">
        <f t="shared" si="41"/>
        <v>2451095.0905472441</v>
      </c>
      <c r="BA43" s="462">
        <f t="shared" si="41"/>
        <v>2303363.4558377634</v>
      </c>
      <c r="BB43" s="462">
        <f t="shared" si="41"/>
        <v>2190684.1393192234</v>
      </c>
      <c r="BC43" s="462">
        <f t="shared" si="41"/>
        <v>1572610.1663397253</v>
      </c>
      <c r="BD43" s="462">
        <f t="shared" si="41"/>
        <v>1234780.3916312032</v>
      </c>
      <c r="BE43" s="462">
        <f t="shared" si="41"/>
        <v>1804722.0365653406</v>
      </c>
      <c r="BF43" s="462">
        <f t="shared" si="41"/>
        <v>1766341.7789845909</v>
      </c>
      <c r="BG43" s="462">
        <f t="shared" si="41"/>
        <v>1484794.6551199965</v>
      </c>
      <c r="BH43" s="462">
        <f t="shared" si="41"/>
        <v>1487987.3014713726</v>
      </c>
      <c r="BI43" s="462">
        <f t="shared" si="41"/>
        <v>1703905.1722025285</v>
      </c>
      <c r="BJ43" s="462">
        <f t="shared" si="41"/>
        <v>0</v>
      </c>
      <c r="BK43" s="462">
        <f t="shared" si="41"/>
        <v>0</v>
      </c>
      <c r="BL43" s="462">
        <f t="shared" si="41"/>
        <v>0</v>
      </c>
      <c r="BM43" s="462">
        <f t="shared" si="41"/>
        <v>0</v>
      </c>
      <c r="BN43" s="462">
        <f t="shared" ref="BN43:CK43" si="42">SUM(BN44:BN45,BN47:BN47)</f>
        <v>0</v>
      </c>
      <c r="BO43" s="462">
        <f t="shared" si="42"/>
        <v>0</v>
      </c>
      <c r="BP43" s="462">
        <f t="shared" si="42"/>
        <v>0</v>
      </c>
      <c r="BQ43" s="462">
        <f t="shared" si="42"/>
        <v>0</v>
      </c>
      <c r="BR43" s="462">
        <f t="shared" si="42"/>
        <v>0</v>
      </c>
      <c r="BS43" s="462">
        <f t="shared" si="42"/>
        <v>0</v>
      </c>
      <c r="BT43" s="462">
        <f t="shared" si="42"/>
        <v>0</v>
      </c>
      <c r="BU43" s="462">
        <f t="shared" si="42"/>
        <v>0</v>
      </c>
      <c r="BV43" s="462">
        <f t="shared" si="42"/>
        <v>0</v>
      </c>
      <c r="BW43" s="462">
        <f t="shared" si="42"/>
        <v>0</v>
      </c>
      <c r="BX43" s="464">
        <f t="shared" si="42"/>
        <v>0</v>
      </c>
      <c r="BY43" s="465">
        <f t="shared" si="42"/>
        <v>0</v>
      </c>
      <c r="BZ43" s="463">
        <f t="shared" si="42"/>
        <v>0</v>
      </c>
      <c r="CA43" s="463">
        <f t="shared" si="42"/>
        <v>0</v>
      </c>
      <c r="CB43" s="463">
        <f t="shared" si="42"/>
        <v>0</v>
      </c>
      <c r="CC43" s="463">
        <f t="shared" si="42"/>
        <v>0</v>
      </c>
      <c r="CD43" s="463">
        <f t="shared" si="42"/>
        <v>0</v>
      </c>
      <c r="CE43" s="463">
        <f t="shared" si="42"/>
        <v>0</v>
      </c>
      <c r="CF43" s="463">
        <f t="shared" si="42"/>
        <v>0</v>
      </c>
      <c r="CG43" s="463">
        <f t="shared" si="42"/>
        <v>0</v>
      </c>
      <c r="CH43" s="463">
        <f t="shared" si="42"/>
        <v>0</v>
      </c>
      <c r="CI43" s="463">
        <f t="shared" si="42"/>
        <v>0</v>
      </c>
      <c r="CJ43" s="463">
        <f t="shared" si="42"/>
        <v>0</v>
      </c>
      <c r="CK43" s="463">
        <f t="shared" si="42"/>
        <v>0</v>
      </c>
    </row>
    <row r="44" spans="1:94" ht="15.75" customHeight="1" x14ac:dyDescent="0.2">
      <c r="A44" s="466" t="s">
        <v>146</v>
      </c>
      <c r="B44" s="467">
        <v>0</v>
      </c>
      <c r="C44" s="468">
        <v>0</v>
      </c>
      <c r="D44" s="468">
        <v>0</v>
      </c>
      <c r="E44" s="468">
        <v>0</v>
      </c>
      <c r="F44" s="468">
        <v>0</v>
      </c>
      <c r="G44" s="468">
        <v>0</v>
      </c>
      <c r="H44" s="468">
        <v>0</v>
      </c>
      <c r="I44" s="468">
        <v>0</v>
      </c>
      <c r="J44" s="468">
        <v>0</v>
      </c>
      <c r="K44" s="468">
        <v>1283.4024640657083</v>
      </c>
      <c r="L44" s="468">
        <v>146901.62209790209</v>
      </c>
      <c r="M44" s="468">
        <v>186600.19653041824</v>
      </c>
      <c r="N44" s="468">
        <v>182793.50208018153</v>
      </c>
      <c r="O44" s="468">
        <v>170681.19116892008</v>
      </c>
      <c r="P44" s="468">
        <v>200622.79864636209</v>
      </c>
      <c r="Q44" s="468">
        <v>322465.44882008119</v>
      </c>
      <c r="R44" s="468">
        <v>214160.4167962675</v>
      </c>
      <c r="S44" s="468">
        <v>66534.39137268599</v>
      </c>
      <c r="T44" s="468">
        <v>22836.379716981133</v>
      </c>
      <c r="U44" s="468">
        <v>135667.67990828492</v>
      </c>
      <c r="V44" s="468">
        <v>90562.106372783906</v>
      </c>
      <c r="W44" s="468">
        <v>104383.38424530167</v>
      </c>
      <c r="X44" s="468">
        <v>125285.95230524642</v>
      </c>
      <c r="Y44" s="468">
        <v>74179.469178082189</v>
      </c>
      <c r="Z44" s="468">
        <v>0</v>
      </c>
      <c r="AA44" s="468">
        <v>44565.298013245032</v>
      </c>
      <c r="AB44" s="471">
        <v>61152.503259452409</v>
      </c>
      <c r="AC44" s="472">
        <v>93360.809324566653</v>
      </c>
      <c r="AD44" s="472">
        <v>84902.169089930001</v>
      </c>
      <c r="AE44" s="472">
        <v>87319.617308992558</v>
      </c>
      <c r="AF44" s="472">
        <v>94439.608585365859</v>
      </c>
      <c r="AG44" s="472">
        <v>122074.5501285347</v>
      </c>
      <c r="AH44" s="472">
        <v>235613.58687258686</v>
      </c>
      <c r="AI44" s="472">
        <v>411437.14870825456</v>
      </c>
      <c r="AJ44" s="469">
        <v>248302.78957588144</v>
      </c>
      <c r="AK44" s="472">
        <v>406780.66556525842</v>
      </c>
      <c r="AL44" s="472">
        <v>220252.57688526894</v>
      </c>
      <c r="AM44" s="472">
        <v>227358.3133802817</v>
      </c>
      <c r="AN44" s="472">
        <v>230291.15560391729</v>
      </c>
      <c r="AO44" s="472">
        <v>810615.9213949627</v>
      </c>
      <c r="AP44" s="472">
        <v>1012724.1922400657</v>
      </c>
      <c r="AQ44" s="472">
        <v>456035.43009992933</v>
      </c>
      <c r="AR44" s="472">
        <v>661522.39859074459</v>
      </c>
      <c r="AS44" s="472">
        <v>601399.04588191048</v>
      </c>
      <c r="AT44" s="472">
        <v>814174.24725032994</v>
      </c>
      <c r="AU44" s="472">
        <v>906080.24847653869</v>
      </c>
      <c r="AV44" s="472">
        <v>959403.75967829057</v>
      </c>
      <c r="AW44" s="472">
        <v>1256953.5482498549</v>
      </c>
      <c r="AX44" s="472">
        <f>722510.691256126+184563</f>
        <v>907073.69125612604</v>
      </c>
      <c r="AY44" s="472">
        <v>720564.31391554698</v>
      </c>
      <c r="AZ44" s="472">
        <v>696658.53651647363</v>
      </c>
      <c r="BA44" s="472">
        <v>591123.89134420536</v>
      </c>
      <c r="BB44" s="472">
        <v>773067.1804957398</v>
      </c>
      <c r="BC44" s="472">
        <v>773075</v>
      </c>
      <c r="BD44" s="472">
        <v>794047.42191338586</v>
      </c>
      <c r="BE44" s="472">
        <v>1036138.8195610209</v>
      </c>
      <c r="BF44" s="472">
        <v>707526.43190727779</v>
      </c>
      <c r="BG44" s="472">
        <v>606454.26551250473</v>
      </c>
      <c r="BH44" s="472">
        <v>627968.40536488185</v>
      </c>
      <c r="BI44" s="472">
        <v>871076.62871199928</v>
      </c>
      <c r="BJ44" s="472">
        <v>0</v>
      </c>
      <c r="BK44" s="472">
        <v>0</v>
      </c>
      <c r="BL44" s="472">
        <v>0</v>
      </c>
      <c r="BM44" s="472">
        <v>0</v>
      </c>
      <c r="BN44" s="472">
        <v>0</v>
      </c>
      <c r="BO44" s="472">
        <v>0</v>
      </c>
      <c r="BP44" s="472">
        <v>0</v>
      </c>
      <c r="BQ44" s="472">
        <v>0</v>
      </c>
      <c r="BR44" s="472">
        <v>0</v>
      </c>
      <c r="BS44" s="472">
        <v>0</v>
      </c>
      <c r="BT44" s="472">
        <v>0</v>
      </c>
      <c r="BU44" s="472">
        <v>0</v>
      </c>
      <c r="BV44" s="472">
        <v>0</v>
      </c>
      <c r="BW44" s="472">
        <v>0</v>
      </c>
      <c r="BX44" s="473">
        <v>0</v>
      </c>
      <c r="BY44" s="474">
        <v>0</v>
      </c>
      <c r="BZ44" s="469">
        <f>0</f>
        <v>0</v>
      </c>
      <c r="CA44" s="469">
        <f>0</f>
        <v>0</v>
      </c>
      <c r="CB44" s="469">
        <f>0</f>
        <v>0</v>
      </c>
      <c r="CC44" s="469">
        <f>0</f>
        <v>0</v>
      </c>
      <c r="CD44" s="469">
        <f>0</f>
        <v>0</v>
      </c>
      <c r="CE44" s="469">
        <f>0</f>
        <v>0</v>
      </c>
      <c r="CF44" s="469">
        <f>0</f>
        <v>0</v>
      </c>
      <c r="CG44" s="469">
        <f>0</f>
        <v>0</v>
      </c>
      <c r="CH44" s="469">
        <f>0</f>
        <v>0</v>
      </c>
      <c r="CI44" s="469">
        <f>0</f>
        <v>0</v>
      </c>
      <c r="CJ44" s="469">
        <f>0</f>
        <v>0</v>
      </c>
      <c r="CK44" s="469">
        <f>0</f>
        <v>0</v>
      </c>
    </row>
    <row r="45" spans="1:94" ht="15.75" customHeight="1" x14ac:dyDescent="0.2">
      <c r="A45" s="466" t="s">
        <v>34</v>
      </c>
      <c r="B45" s="467">
        <v>199231</v>
      </c>
      <c r="C45" s="468">
        <v>232753</v>
      </c>
      <c r="D45" s="468">
        <v>282710</v>
      </c>
      <c r="E45" s="468">
        <v>384727</v>
      </c>
      <c r="F45" s="468">
        <v>403857</v>
      </c>
      <c r="G45" s="468">
        <v>444318</v>
      </c>
      <c r="H45" s="468">
        <v>419259</v>
      </c>
      <c r="I45" s="468">
        <v>539374</v>
      </c>
      <c r="J45" s="468">
        <v>516297</v>
      </c>
      <c r="K45" s="468">
        <v>433429.28747433267</v>
      </c>
      <c r="L45" s="468">
        <v>539185.82601398602</v>
      </c>
      <c r="M45" s="468">
        <v>245442.70484790875</v>
      </c>
      <c r="N45" s="468">
        <v>283973.92984114977</v>
      </c>
      <c r="O45" s="468">
        <v>609217.37857265107</v>
      </c>
      <c r="P45" s="468">
        <v>326719.39763113367</v>
      </c>
      <c r="Q45" s="468">
        <v>261173.8154216143</v>
      </c>
      <c r="R45" s="468">
        <v>201385.19090202177</v>
      </c>
      <c r="S45" s="468">
        <v>124568.75270695075</v>
      </c>
      <c r="T45" s="468">
        <v>131933.96226415093</v>
      </c>
      <c r="U45" s="468">
        <v>165994.2895139101</v>
      </c>
      <c r="V45" s="468">
        <v>215100.81384762819</v>
      </c>
      <c r="W45" s="468">
        <v>202431.56280909991</v>
      </c>
      <c r="X45" s="468">
        <v>258398.44197138317</v>
      </c>
      <c r="Y45" s="468">
        <v>190395.47418335092</v>
      </c>
      <c r="Z45" s="468">
        <v>402214.64028042229</v>
      </c>
      <c r="AA45" s="468">
        <v>178801.19205298013</v>
      </c>
      <c r="AB45" s="471">
        <v>212756.5997392438</v>
      </c>
      <c r="AC45" s="472">
        <v>420115.54393305437</v>
      </c>
      <c r="AD45" s="472">
        <v>364933.09208400646</v>
      </c>
      <c r="AE45" s="472">
        <v>333127.77417173766</v>
      </c>
      <c r="AF45" s="472">
        <v>276738.92624390242</v>
      </c>
      <c r="AG45" s="472">
        <v>362370.28706083976</v>
      </c>
      <c r="AH45" s="472">
        <v>364996.10714285716</v>
      </c>
      <c r="AI45" s="472">
        <v>617978.98469709244</v>
      </c>
      <c r="AJ45" s="469">
        <v>351866.50669391925</v>
      </c>
      <c r="AK45" s="472">
        <v>360926.03021005425</v>
      </c>
      <c r="AL45" s="472">
        <v>341490.03580957733</v>
      </c>
      <c r="AM45" s="472">
        <v>466372.60990945681</v>
      </c>
      <c r="AN45" s="472">
        <v>459007.31338411319</v>
      </c>
      <c r="AO45" s="472">
        <v>487654.88029139588</v>
      </c>
      <c r="AP45" s="472">
        <v>680529.6027531299</v>
      </c>
      <c r="AQ45" s="472">
        <v>938986.85506568407</v>
      </c>
      <c r="AR45" s="472">
        <v>1340200.7615247089</v>
      </c>
      <c r="AS45" s="472">
        <v>1073925.9874703691</v>
      </c>
      <c r="AT45" s="472">
        <v>838764.55432540085</v>
      </c>
      <c r="AU45" s="472">
        <v>647709.63176661264</v>
      </c>
      <c r="AV45" s="472">
        <v>687860.33042540681</v>
      </c>
      <c r="AW45" s="472">
        <v>976755.87192883366</v>
      </c>
      <c r="AX45" s="472">
        <v>1286104.1521986281</v>
      </c>
      <c r="AY45" s="472">
        <v>817617.96345495887</v>
      </c>
      <c r="AZ45" s="472">
        <v>734976.96561077063</v>
      </c>
      <c r="BA45" s="472">
        <v>844285.30849355785</v>
      </c>
      <c r="BB45" s="472">
        <v>705918.94114348339</v>
      </c>
      <c r="BC45" s="472">
        <v>449421.87165314343</v>
      </c>
      <c r="BD45" s="472">
        <v>291653.1253635835</v>
      </c>
      <c r="BE45" s="472">
        <v>356752.73576364067</v>
      </c>
      <c r="BF45" s="472">
        <v>390220.61839461274</v>
      </c>
      <c r="BG45" s="472">
        <v>476528.08471877186</v>
      </c>
      <c r="BH45" s="472">
        <v>511996.68126205733</v>
      </c>
      <c r="BI45" s="472">
        <v>420025.6152041101</v>
      </c>
      <c r="BJ45" s="472">
        <v>0</v>
      </c>
      <c r="BK45" s="472">
        <v>0</v>
      </c>
      <c r="BL45" s="472">
        <v>0</v>
      </c>
      <c r="BM45" s="472">
        <v>0</v>
      </c>
      <c r="BN45" s="472">
        <v>0</v>
      </c>
      <c r="BO45" s="472">
        <v>0</v>
      </c>
      <c r="BP45" s="472">
        <v>0</v>
      </c>
      <c r="BQ45" s="472">
        <v>0</v>
      </c>
      <c r="BR45" s="472">
        <v>0</v>
      </c>
      <c r="BS45" s="472">
        <v>0</v>
      </c>
      <c r="BT45" s="472">
        <v>0</v>
      </c>
      <c r="BU45" s="472">
        <v>0</v>
      </c>
      <c r="BV45" s="472">
        <v>0</v>
      </c>
      <c r="BW45" s="472">
        <v>0</v>
      </c>
      <c r="BX45" s="473">
        <v>0</v>
      </c>
      <c r="BY45" s="474">
        <v>0</v>
      </c>
      <c r="BZ45" s="469">
        <f>0</f>
        <v>0</v>
      </c>
      <c r="CA45" s="469">
        <f>0</f>
        <v>0</v>
      </c>
      <c r="CB45" s="469">
        <f>0</f>
        <v>0</v>
      </c>
      <c r="CC45" s="469">
        <f>0</f>
        <v>0</v>
      </c>
      <c r="CD45" s="469">
        <f>0</f>
        <v>0</v>
      </c>
      <c r="CE45" s="469">
        <f>0</f>
        <v>0</v>
      </c>
      <c r="CF45" s="469">
        <f>0</f>
        <v>0</v>
      </c>
      <c r="CG45" s="469">
        <f>0</f>
        <v>0</v>
      </c>
      <c r="CH45" s="469">
        <f>0</f>
        <v>0</v>
      </c>
      <c r="CI45" s="469">
        <f>0</f>
        <v>0</v>
      </c>
      <c r="CJ45" s="469">
        <f>0</f>
        <v>0</v>
      </c>
      <c r="CK45" s="469">
        <f>0</f>
        <v>0</v>
      </c>
    </row>
    <row r="46" spans="1:94" ht="15.75" hidden="1" customHeight="1" x14ac:dyDescent="0.2">
      <c r="A46" s="485" t="s">
        <v>503</v>
      </c>
      <c r="B46" s="530">
        <v>16</v>
      </c>
      <c r="C46" s="496">
        <v>13</v>
      </c>
      <c r="D46" s="496">
        <v>14</v>
      </c>
      <c r="E46" s="496">
        <v>17</v>
      </c>
      <c r="F46" s="496">
        <v>17</v>
      </c>
      <c r="G46" s="496">
        <v>17</v>
      </c>
      <c r="H46" s="496">
        <v>16</v>
      </c>
      <c r="I46" s="496">
        <v>16</v>
      </c>
      <c r="J46" s="496">
        <v>18</v>
      </c>
      <c r="K46" s="496"/>
      <c r="L46" s="496"/>
      <c r="M46" s="496"/>
      <c r="N46" s="496"/>
      <c r="O46" s="496"/>
      <c r="P46" s="496"/>
      <c r="Q46" s="496"/>
      <c r="R46" s="496"/>
      <c r="S46" s="496"/>
      <c r="T46" s="496"/>
      <c r="U46" s="496"/>
      <c r="V46" s="496"/>
      <c r="W46" s="496"/>
      <c r="X46" s="496"/>
      <c r="Y46" s="496"/>
      <c r="Z46" s="496"/>
      <c r="AA46" s="496"/>
      <c r="AB46" s="498"/>
      <c r="AC46" s="499"/>
      <c r="AD46" s="499"/>
      <c r="AE46" s="499"/>
      <c r="AF46" s="499"/>
      <c r="AG46" s="499"/>
      <c r="AH46" s="499"/>
      <c r="AI46" s="499"/>
      <c r="AJ46" s="500"/>
      <c r="AK46" s="499"/>
      <c r="AL46" s="499"/>
      <c r="AM46" s="499"/>
      <c r="AN46" s="499"/>
      <c r="AO46" s="499"/>
      <c r="AP46" s="499"/>
      <c r="AQ46" s="499"/>
      <c r="AR46" s="499"/>
      <c r="AS46" s="499"/>
      <c r="AT46" s="499"/>
      <c r="AU46" s="499"/>
      <c r="AV46" s="499"/>
      <c r="AW46" s="499"/>
      <c r="AX46" s="499"/>
      <c r="AY46" s="499"/>
      <c r="AZ46" s="499"/>
      <c r="BA46" s="499"/>
      <c r="BB46" s="499"/>
      <c r="BC46" s="499"/>
      <c r="BD46" s="499"/>
      <c r="BE46" s="499"/>
      <c r="BF46" s="499"/>
      <c r="BG46" s="499"/>
      <c r="BH46" s="499"/>
      <c r="BI46" s="499"/>
      <c r="BJ46" s="499"/>
      <c r="BK46" s="499"/>
      <c r="BL46" s="499"/>
      <c r="BM46" s="499"/>
      <c r="BN46" s="499"/>
      <c r="BO46" s="499"/>
      <c r="BP46" s="499"/>
      <c r="BQ46" s="499"/>
      <c r="BR46" s="499"/>
      <c r="BS46" s="499"/>
      <c r="BT46" s="499"/>
      <c r="BU46" s="499"/>
      <c r="BV46" s="499"/>
      <c r="BW46" s="499"/>
      <c r="BX46" s="501"/>
      <c r="BY46" s="502"/>
      <c r="BZ46" s="500">
        <f>0</f>
        <v>0</v>
      </c>
      <c r="CA46" s="500">
        <f>0</f>
        <v>0</v>
      </c>
      <c r="CB46" s="500">
        <f>0</f>
        <v>0</v>
      </c>
      <c r="CC46" s="500">
        <f>0</f>
        <v>0</v>
      </c>
      <c r="CD46" s="500">
        <f>0</f>
        <v>0</v>
      </c>
      <c r="CE46" s="500">
        <f>0</f>
        <v>0</v>
      </c>
      <c r="CF46" s="500">
        <f>0</f>
        <v>0</v>
      </c>
      <c r="CG46" s="500">
        <f>0</f>
        <v>0</v>
      </c>
      <c r="CH46" s="500">
        <f>0</f>
        <v>0</v>
      </c>
      <c r="CI46" s="500">
        <f>0</f>
        <v>0</v>
      </c>
      <c r="CJ46" s="500">
        <f>0</f>
        <v>0</v>
      </c>
      <c r="CK46" s="500">
        <f>0</f>
        <v>0</v>
      </c>
    </row>
    <row r="47" spans="1:94" ht="15.75" customHeight="1" x14ac:dyDescent="0.2">
      <c r="A47" s="466" t="s">
        <v>149</v>
      </c>
      <c r="B47" s="467">
        <v>60511</v>
      </c>
      <c r="C47" s="468">
        <v>68134</v>
      </c>
      <c r="D47" s="468">
        <v>61016</v>
      </c>
      <c r="E47" s="468">
        <v>96698</v>
      </c>
      <c r="F47" s="468">
        <v>80520</v>
      </c>
      <c r="G47" s="468">
        <v>71035</v>
      </c>
      <c r="H47" s="468">
        <v>81327</v>
      </c>
      <c r="I47" s="468">
        <v>97729</v>
      </c>
      <c r="J47" s="468">
        <v>118165</v>
      </c>
      <c r="K47" s="468">
        <v>133841.37166324435</v>
      </c>
      <c r="L47" s="468">
        <v>182310.70405594405</v>
      </c>
      <c r="M47" s="468">
        <v>195231.02590304182</v>
      </c>
      <c r="N47" s="468">
        <v>261390.6178139183</v>
      </c>
      <c r="O47" s="468">
        <v>281723.29727879516</v>
      </c>
      <c r="P47" s="468">
        <v>301868.52453468699</v>
      </c>
      <c r="Q47" s="468">
        <v>299103.61175409588</v>
      </c>
      <c r="R47" s="468">
        <v>161514.91912908241</v>
      </c>
      <c r="S47" s="468">
        <v>151947.6585749214</v>
      </c>
      <c r="T47" s="468">
        <v>117686.32075471699</v>
      </c>
      <c r="U47" s="468">
        <v>114259.53164169978</v>
      </c>
      <c r="V47" s="468">
        <v>262226.81527791085</v>
      </c>
      <c r="W47" s="468">
        <v>277491.87607715133</v>
      </c>
      <c r="X47" s="468">
        <v>438249.85468998406</v>
      </c>
      <c r="Y47" s="468">
        <v>207731.78102608008</v>
      </c>
      <c r="Z47" s="468">
        <v>3610.5</v>
      </c>
      <c r="AA47" s="468">
        <v>198824.15562913907</v>
      </c>
      <c r="AB47" s="471">
        <f>AB20*1.5%</f>
        <v>142548.25519187583</v>
      </c>
      <c r="AC47" s="472">
        <f>AC20*1.5%</f>
        <v>199565.69966801969</v>
      </c>
      <c r="AD47" s="472">
        <f>AD20*1.5%</f>
        <v>231823.4346089891</v>
      </c>
      <c r="AE47" s="472">
        <f>AE20*1.5%</f>
        <v>240896.10348241526</v>
      </c>
      <c r="AF47" s="472">
        <f>AF10*1.2%</f>
        <v>186508.11600000001</v>
      </c>
      <c r="AG47" s="472">
        <f>AG10*1.2%</f>
        <v>276944.29200000002</v>
      </c>
      <c r="AH47" s="472">
        <f>AH10*2.6%</f>
        <v>786837.6100000001</v>
      </c>
      <c r="AI47" s="472">
        <f>AI10*2.6%</f>
        <v>1013603.3960000001</v>
      </c>
      <c r="AJ47" s="469">
        <f>AJ10*2.6%</f>
        <v>807034.93</v>
      </c>
      <c r="AK47" s="472">
        <f>AK10*2.6%</f>
        <v>611265.09600000002</v>
      </c>
      <c r="AL47" s="472">
        <f>AL10*2.6%</f>
        <v>465562.63000000006</v>
      </c>
      <c r="AM47" s="472">
        <f>AM10*2.4%</f>
        <v>347969.95199999999</v>
      </c>
      <c r="AN47" s="472">
        <f>AN10*2.4%</f>
        <v>680278.17599999998</v>
      </c>
      <c r="AO47" s="472">
        <f>AO10*2.4%</f>
        <v>927822.91200000001</v>
      </c>
      <c r="AP47" s="472">
        <f>AP10*2.4%</f>
        <v>1202966.568</v>
      </c>
      <c r="AQ47" s="472">
        <f t="shared" ref="AQ47:BC47" si="43">AQ10*2.6%</f>
        <v>1526884.8920000002</v>
      </c>
      <c r="AR47" s="472">
        <f t="shared" si="43"/>
        <v>1523999.4640000002</v>
      </c>
      <c r="AS47" s="472">
        <f t="shared" si="43"/>
        <v>1351275.5360000001</v>
      </c>
      <c r="AT47" s="472">
        <f t="shared" si="43"/>
        <v>1518417.0162200001</v>
      </c>
      <c r="AU47" s="472">
        <f t="shared" si="43"/>
        <v>1786610.5140000002</v>
      </c>
      <c r="AV47" s="472">
        <f t="shared" si="43"/>
        <v>1796201.9920000001</v>
      </c>
      <c r="AW47" s="472">
        <f t="shared" si="43"/>
        <v>1967125.10124</v>
      </c>
      <c r="AX47" s="472">
        <f t="shared" si="43"/>
        <v>1072882.0713</v>
      </c>
      <c r="AY47" s="472">
        <f t="shared" si="43"/>
        <v>1136778.5260000001</v>
      </c>
      <c r="AZ47" s="472">
        <f t="shared" si="43"/>
        <v>1019459.5884200002</v>
      </c>
      <c r="BA47" s="472">
        <f t="shared" si="43"/>
        <v>867954.25600000005</v>
      </c>
      <c r="BB47" s="472">
        <f t="shared" si="43"/>
        <v>711698.01767999982</v>
      </c>
      <c r="BC47" s="472">
        <f t="shared" si="43"/>
        <v>350113.294686582</v>
      </c>
      <c r="BD47" s="472">
        <f>BD10*2%</f>
        <v>149079.84435423385</v>
      </c>
      <c r="BE47" s="472">
        <f>BE10*2%</f>
        <v>411830.48124067904</v>
      </c>
      <c r="BF47" s="472">
        <f>BF10*2%</f>
        <v>668594.72868270031</v>
      </c>
      <c r="BG47" s="472">
        <f t="shared" ref="BG47:BU47" si="44">BG10*1%</f>
        <v>401812.30488871993</v>
      </c>
      <c r="BH47" s="472">
        <f t="shared" si="44"/>
        <v>348022.21484443347</v>
      </c>
      <c r="BI47" s="472">
        <f t="shared" si="44"/>
        <v>412802.92828641913</v>
      </c>
      <c r="BJ47" s="472">
        <f t="shared" si="44"/>
        <v>0</v>
      </c>
      <c r="BK47" s="472">
        <f t="shared" si="44"/>
        <v>0</v>
      </c>
      <c r="BL47" s="472">
        <f t="shared" si="44"/>
        <v>0</v>
      </c>
      <c r="BM47" s="472">
        <f t="shared" si="44"/>
        <v>0</v>
      </c>
      <c r="BN47" s="472">
        <f t="shared" si="44"/>
        <v>0</v>
      </c>
      <c r="BO47" s="472">
        <f t="shared" si="44"/>
        <v>0</v>
      </c>
      <c r="BP47" s="472">
        <f t="shared" si="44"/>
        <v>0</v>
      </c>
      <c r="BQ47" s="472">
        <f t="shared" si="44"/>
        <v>0</v>
      </c>
      <c r="BR47" s="472">
        <f t="shared" si="44"/>
        <v>0</v>
      </c>
      <c r="BS47" s="472">
        <f t="shared" si="44"/>
        <v>0</v>
      </c>
      <c r="BT47" s="472">
        <f t="shared" si="44"/>
        <v>0</v>
      </c>
      <c r="BU47" s="472">
        <f t="shared" si="44"/>
        <v>0</v>
      </c>
      <c r="BV47" s="472">
        <f>BV10*1%</f>
        <v>0</v>
      </c>
      <c r="BW47" s="472">
        <f>BW10*1%</f>
        <v>0</v>
      </c>
      <c r="BX47" s="473">
        <f>BX10*1%</f>
        <v>0</v>
      </c>
      <c r="BY47" s="474">
        <f>BY10*1%</f>
        <v>0</v>
      </c>
      <c r="BZ47" s="469">
        <f>0</f>
        <v>0</v>
      </c>
      <c r="CA47" s="469">
        <f>0</f>
        <v>0</v>
      </c>
      <c r="CB47" s="469">
        <f>0</f>
        <v>0</v>
      </c>
      <c r="CC47" s="469">
        <f>0</f>
        <v>0</v>
      </c>
      <c r="CD47" s="469">
        <f>0</f>
        <v>0</v>
      </c>
      <c r="CE47" s="469">
        <f>0</f>
        <v>0</v>
      </c>
      <c r="CF47" s="469">
        <f>0</f>
        <v>0</v>
      </c>
      <c r="CG47" s="469">
        <f>0</f>
        <v>0</v>
      </c>
      <c r="CH47" s="469">
        <f>0</f>
        <v>0</v>
      </c>
      <c r="CI47" s="469">
        <f>0</f>
        <v>0</v>
      </c>
      <c r="CJ47" s="469">
        <f>0</f>
        <v>0</v>
      </c>
      <c r="CK47" s="469">
        <f>0</f>
        <v>0</v>
      </c>
    </row>
    <row r="48" spans="1:94" ht="15.75" customHeight="1" x14ac:dyDescent="0.2">
      <c r="A48" s="485" t="s">
        <v>37</v>
      </c>
      <c r="B48" s="523">
        <f t="shared" ref="B48:BI48" si="45">B43/B20</f>
        <v>4.2973689123107006E-2</v>
      </c>
      <c r="C48" s="486">
        <f t="shared" si="45"/>
        <v>4.5686236999926404E-2</v>
      </c>
      <c r="D48" s="486">
        <f t="shared" si="45"/>
        <v>6.1431032660419729E-2</v>
      </c>
      <c r="E48" s="486">
        <f t="shared" si="45"/>
        <v>5.2712439100367832E-2</v>
      </c>
      <c r="F48" s="486">
        <f t="shared" si="45"/>
        <v>6.9731469177884919E-2</v>
      </c>
      <c r="G48" s="486">
        <f t="shared" si="45"/>
        <v>9.1229646159844122E-2</v>
      </c>
      <c r="H48" s="486">
        <f t="shared" si="45"/>
        <v>7.0704445295631801E-2</v>
      </c>
      <c r="I48" s="486">
        <f t="shared" si="45"/>
        <v>6.9510971969501761E-2</v>
      </c>
      <c r="J48" s="486">
        <f t="shared" si="45"/>
        <v>5.7805584463860644E-2</v>
      </c>
      <c r="K48" s="486">
        <f t="shared" si="45"/>
        <v>4.6473620521138036E-2</v>
      </c>
      <c r="L48" s="486">
        <f t="shared" si="45"/>
        <v>5.4697510257840878E-2</v>
      </c>
      <c r="M48" s="486">
        <f t="shared" si="45"/>
        <v>5.140011031069628E-2</v>
      </c>
      <c r="N48" s="486">
        <f t="shared" si="45"/>
        <v>4.5761949326054444E-2</v>
      </c>
      <c r="O48" s="486">
        <f t="shared" si="45"/>
        <v>6.1835142327075869E-2</v>
      </c>
      <c r="P48" s="486">
        <f t="shared" si="45"/>
        <v>3.78820510328245E-2</v>
      </c>
      <c r="Q48" s="486">
        <f t="shared" si="45"/>
        <v>5.1115843472699485E-2</v>
      </c>
      <c r="R48" s="489">
        <f t="shared" si="45"/>
        <v>5.382489745864568E-2</v>
      </c>
      <c r="S48" s="486">
        <f t="shared" si="45"/>
        <v>4.8188456655357315E-2</v>
      </c>
      <c r="T48" s="495">
        <f t="shared" si="45"/>
        <v>5.0319685378982598E-2</v>
      </c>
      <c r="U48" s="486">
        <f t="shared" si="45"/>
        <v>5.3733617329320749E-2</v>
      </c>
      <c r="V48" s="486">
        <f t="shared" si="45"/>
        <v>4.7447113638851672E-2</v>
      </c>
      <c r="W48" s="486">
        <f t="shared" si="45"/>
        <v>4.7329799040566382E-2</v>
      </c>
      <c r="X48" s="486">
        <f t="shared" si="45"/>
        <v>3.8362605746458119E-2</v>
      </c>
      <c r="Y48" s="486">
        <f t="shared" si="45"/>
        <v>5.0941033528717504E-2</v>
      </c>
      <c r="Z48" s="486">
        <f t="shared" si="45"/>
        <v>2.0083351954175783</v>
      </c>
      <c r="AA48" s="486">
        <f t="shared" si="45"/>
        <v>4.8270076785573726E-2</v>
      </c>
      <c r="AB48" s="487">
        <f t="shared" si="45"/>
        <v>4.3822776816524675E-2</v>
      </c>
      <c r="AC48" s="488">
        <f t="shared" si="45"/>
        <v>5.3594534590247427E-2</v>
      </c>
      <c r="AD48" s="488">
        <f t="shared" si="45"/>
        <v>4.4106327964599165E-2</v>
      </c>
      <c r="AE48" s="488">
        <f t="shared" si="45"/>
        <v>4.1180211224011457E-2</v>
      </c>
      <c r="AF48" s="488">
        <f t="shared" si="45"/>
        <v>3.7700994832129388E-2</v>
      </c>
      <c r="AG48" s="488">
        <f t="shared" si="45"/>
        <v>3.4947438120782437E-2</v>
      </c>
      <c r="AH48" s="488">
        <f t="shared" si="45"/>
        <v>4.8707908073113662E-2</v>
      </c>
      <c r="AI48" s="488">
        <f t="shared" si="45"/>
        <v>5.5401429134115256E-2</v>
      </c>
      <c r="AJ48" s="489">
        <f t="shared" si="45"/>
        <v>4.7799988503777251E-2</v>
      </c>
      <c r="AK48" s="488">
        <f t="shared" si="45"/>
        <v>6.1895807827492516E-2</v>
      </c>
      <c r="AL48" s="488">
        <f t="shared" si="45"/>
        <v>6.031534806673923E-2</v>
      </c>
      <c r="AM48" s="488">
        <f t="shared" si="45"/>
        <v>7.5276348898195691E-2</v>
      </c>
      <c r="AN48" s="488">
        <f t="shared" si="45"/>
        <v>5.0953392323581703E-2</v>
      </c>
      <c r="AO48" s="488">
        <f t="shared" si="45"/>
        <v>6.0667521247136841E-2</v>
      </c>
      <c r="AP48" s="488">
        <f t="shared" si="45"/>
        <v>6.0860056081480929E-2</v>
      </c>
      <c r="AQ48" s="488">
        <f t="shared" si="45"/>
        <v>5.2444409322307158E-2</v>
      </c>
      <c r="AR48" s="488">
        <f t="shared" si="45"/>
        <v>6.3852841345650266E-2</v>
      </c>
      <c r="AS48" s="488">
        <f t="shared" si="45"/>
        <v>6.1710329662313268E-2</v>
      </c>
      <c r="AT48" s="488">
        <f t="shared" si="45"/>
        <v>5.7541165451331554E-2</v>
      </c>
      <c r="AU48" s="488">
        <f t="shared" si="45"/>
        <v>5.1435301515078496E-2</v>
      </c>
      <c r="AV48" s="488">
        <f t="shared" si="45"/>
        <v>5.2611054720538397E-2</v>
      </c>
      <c r="AW48" s="488">
        <f t="shared" si="45"/>
        <v>5.7784537696310707E-2</v>
      </c>
      <c r="AX48" s="488">
        <f t="shared" si="45"/>
        <v>8.3904417372466872E-2</v>
      </c>
      <c r="AY48" s="488">
        <f t="shared" si="45"/>
        <v>6.5016938032396415E-2</v>
      </c>
      <c r="AZ48" s="488">
        <f t="shared" si="45"/>
        <v>6.6177074647683284E-2</v>
      </c>
      <c r="BA48" s="488">
        <f t="shared" si="45"/>
        <v>7.4017710012643012E-2</v>
      </c>
      <c r="BB48" s="488">
        <f t="shared" si="45"/>
        <v>8.5192227543774382E-2</v>
      </c>
      <c r="BC48" s="488">
        <f t="shared" si="45"/>
        <v>0.12510723742512156</v>
      </c>
      <c r="BD48" s="488">
        <f t="shared" si="45"/>
        <v>0.18258840947848534</v>
      </c>
      <c r="BE48" s="488">
        <f t="shared" si="45"/>
        <v>9.2964820335176362E-2</v>
      </c>
      <c r="BF48" s="488">
        <f t="shared" si="45"/>
        <v>5.4992727676300736E-2</v>
      </c>
      <c r="BG48" s="488">
        <f t="shared" si="45"/>
        <v>3.8385758762627731E-2</v>
      </c>
      <c r="BH48" s="488">
        <f t="shared" si="45"/>
        <v>4.4463999971293376E-2</v>
      </c>
      <c r="BI48" s="488">
        <f t="shared" si="45"/>
        <v>4.2816161660601704E-2</v>
      </c>
      <c r="BJ48" s="488">
        <f t="shared" ref="BJ48:BU48" si="46">IFERROR((BJ43/BJ20),0)</f>
        <v>0</v>
      </c>
      <c r="BK48" s="488">
        <f t="shared" si="46"/>
        <v>0</v>
      </c>
      <c r="BL48" s="488">
        <f t="shared" si="46"/>
        <v>0</v>
      </c>
      <c r="BM48" s="488">
        <f t="shared" si="46"/>
        <v>0</v>
      </c>
      <c r="BN48" s="488">
        <f t="shared" si="46"/>
        <v>0</v>
      </c>
      <c r="BO48" s="488">
        <f t="shared" si="46"/>
        <v>0</v>
      </c>
      <c r="BP48" s="488">
        <f t="shared" si="46"/>
        <v>0</v>
      </c>
      <c r="BQ48" s="488">
        <f t="shared" si="46"/>
        <v>0</v>
      </c>
      <c r="BR48" s="488">
        <f t="shared" si="46"/>
        <v>0</v>
      </c>
      <c r="BS48" s="488">
        <f t="shared" si="46"/>
        <v>0</v>
      </c>
      <c r="BT48" s="488">
        <f t="shared" si="46"/>
        <v>0</v>
      </c>
      <c r="BU48" s="488">
        <f t="shared" si="46"/>
        <v>0</v>
      </c>
      <c r="BV48" s="488">
        <f>IFERROR((BV43/BV20),0)</f>
        <v>0</v>
      </c>
      <c r="BW48" s="488">
        <f>IFERROR((BW43/BW20),0)</f>
        <v>0</v>
      </c>
      <c r="BX48" s="490">
        <f>IFERROR((BX43/BX20),0)</f>
        <v>0</v>
      </c>
      <c r="BY48" s="491">
        <f>IFERROR((BY43/BY20),0)</f>
        <v>0</v>
      </c>
      <c r="BZ48" s="489">
        <f>IFERROR((BZ43/BZ20),0)</f>
        <v>0</v>
      </c>
      <c r="CA48" s="489">
        <f t="shared" ref="CA48:CK48" si="47">IFERROR((CA43/CA20),0)</f>
        <v>0</v>
      </c>
      <c r="CB48" s="489">
        <f t="shared" si="47"/>
        <v>0</v>
      </c>
      <c r="CC48" s="489">
        <f t="shared" si="47"/>
        <v>0</v>
      </c>
      <c r="CD48" s="489">
        <f t="shared" si="47"/>
        <v>0</v>
      </c>
      <c r="CE48" s="489">
        <f t="shared" si="47"/>
        <v>0</v>
      </c>
      <c r="CF48" s="489">
        <f t="shared" si="47"/>
        <v>0</v>
      </c>
      <c r="CG48" s="489">
        <f t="shared" si="47"/>
        <v>0</v>
      </c>
      <c r="CH48" s="489">
        <f t="shared" si="47"/>
        <v>0</v>
      </c>
      <c r="CI48" s="489">
        <f t="shared" si="47"/>
        <v>0</v>
      </c>
      <c r="CJ48" s="489">
        <f t="shared" si="47"/>
        <v>0</v>
      </c>
      <c r="CK48" s="489">
        <f t="shared" si="47"/>
        <v>0</v>
      </c>
    </row>
    <row r="49" spans="1:89" ht="15.75" customHeight="1" x14ac:dyDescent="0.2">
      <c r="A49" s="485"/>
      <c r="B49" s="467"/>
      <c r="C49" s="468"/>
      <c r="D49" s="468"/>
      <c r="E49" s="468"/>
      <c r="F49" s="468"/>
      <c r="G49" s="468"/>
      <c r="H49" s="468"/>
      <c r="I49" s="468"/>
      <c r="J49" s="468"/>
      <c r="K49" s="468"/>
      <c r="L49" s="468"/>
      <c r="M49" s="468"/>
      <c r="N49" s="468"/>
      <c r="O49" s="468"/>
      <c r="P49" s="468"/>
      <c r="Q49" s="468"/>
      <c r="R49" s="469"/>
      <c r="S49" s="468"/>
      <c r="T49" s="470"/>
      <c r="U49" s="468"/>
      <c r="V49" s="468"/>
      <c r="W49" s="468"/>
      <c r="X49" s="468"/>
      <c r="Y49" s="468"/>
      <c r="Z49" s="468"/>
      <c r="AA49" s="468"/>
      <c r="AB49" s="471"/>
      <c r="AC49" s="472"/>
      <c r="AD49" s="472"/>
      <c r="AE49" s="472"/>
      <c r="AF49" s="472"/>
      <c r="AG49" s="472"/>
      <c r="AH49" s="472"/>
      <c r="AI49" s="472"/>
      <c r="AJ49" s="469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3"/>
      <c r="BY49" s="474"/>
      <c r="BZ49" s="469"/>
      <c r="CA49" s="469"/>
      <c r="CB49" s="469"/>
      <c r="CC49" s="469"/>
      <c r="CD49" s="469"/>
      <c r="CE49" s="469"/>
      <c r="CF49" s="469"/>
      <c r="CG49" s="469"/>
      <c r="CH49" s="469"/>
      <c r="CI49" s="469"/>
      <c r="CJ49" s="469"/>
      <c r="CK49" s="469"/>
    </row>
    <row r="50" spans="1:89" ht="15.75" customHeight="1" x14ac:dyDescent="0.2">
      <c r="A50" s="457" t="s">
        <v>38</v>
      </c>
      <c r="B50" s="458">
        <f t="shared" ref="B50:BM50" si="48">B40-B43</f>
        <v>447164.96428571455</v>
      </c>
      <c r="C50" s="459">
        <f t="shared" si="48"/>
        <v>356482.30673125014</v>
      </c>
      <c r="D50" s="459">
        <f t="shared" si="48"/>
        <v>31247.338357029483</v>
      </c>
      <c r="E50" s="459">
        <f t="shared" si="48"/>
        <v>-279707.80235957168</v>
      </c>
      <c r="F50" s="459">
        <f t="shared" si="48"/>
        <v>-332734.2301026918</v>
      </c>
      <c r="G50" s="459">
        <f t="shared" si="48"/>
        <v>-174306.43306887243</v>
      </c>
      <c r="H50" s="459">
        <f t="shared" si="48"/>
        <v>614297.66955714487</v>
      </c>
      <c r="I50" s="459">
        <f t="shared" si="48"/>
        <v>1648655.4403571431</v>
      </c>
      <c r="J50" s="459">
        <f t="shared" si="48"/>
        <v>1421666.7085714284</v>
      </c>
      <c r="K50" s="459">
        <f t="shared" si="48"/>
        <v>1358896.0223425233</v>
      </c>
      <c r="L50" s="459">
        <f t="shared" si="48"/>
        <v>939790.46909840056</v>
      </c>
      <c r="M50" s="459">
        <f t="shared" si="48"/>
        <v>336107.76372759766</v>
      </c>
      <c r="N50" s="459">
        <f t="shared" si="48"/>
        <v>51273.879901660956</v>
      </c>
      <c r="O50" s="459">
        <f t="shared" si="48"/>
        <v>-759220.7064047805</v>
      </c>
      <c r="P50" s="459">
        <f t="shared" si="48"/>
        <v>-1395785.2984091861</v>
      </c>
      <c r="Q50" s="459">
        <f t="shared" si="48"/>
        <v>-469381.13969854533</v>
      </c>
      <c r="R50" s="463">
        <f t="shared" si="48"/>
        <v>-936407.30734137166</v>
      </c>
      <c r="S50" s="459">
        <f t="shared" si="48"/>
        <v>-886428.65224888665</v>
      </c>
      <c r="T50" s="484">
        <f t="shared" si="48"/>
        <v>-1257720.6938555907</v>
      </c>
      <c r="U50" s="459">
        <f t="shared" si="48"/>
        <v>-2640553.7844818686</v>
      </c>
      <c r="V50" s="459">
        <f t="shared" si="48"/>
        <v>-2358693.9533145493</v>
      </c>
      <c r="W50" s="459">
        <f t="shared" si="48"/>
        <v>-934012.53103398811</v>
      </c>
      <c r="X50" s="459">
        <f t="shared" si="48"/>
        <v>-2169833.0467157047</v>
      </c>
      <c r="Y50" s="459">
        <f t="shared" si="48"/>
        <v>-1460807.1744018046</v>
      </c>
      <c r="Z50" s="459">
        <f t="shared" si="48"/>
        <v>-4874131.3523551356</v>
      </c>
      <c r="AA50" s="459">
        <f t="shared" si="48"/>
        <v>-1214656.2265315354</v>
      </c>
      <c r="AB50" s="461">
        <f t="shared" si="48"/>
        <v>-520832.90833964024</v>
      </c>
      <c r="AC50" s="462">
        <f t="shared" si="48"/>
        <v>-566997.70855655521</v>
      </c>
      <c r="AD50" s="462">
        <f t="shared" si="48"/>
        <v>-407910.35092306661</v>
      </c>
      <c r="AE50" s="462">
        <f t="shared" si="48"/>
        <v>-1569499.1720562135</v>
      </c>
      <c r="AF50" s="462">
        <f t="shared" si="48"/>
        <v>-1089860.2326202388</v>
      </c>
      <c r="AG50" s="462">
        <f t="shared" si="48"/>
        <v>579943.45187446976</v>
      </c>
      <c r="AH50" s="462">
        <f t="shared" si="48"/>
        <v>3912814.895926638</v>
      </c>
      <c r="AI50" s="462">
        <f t="shared" si="48"/>
        <v>1031017.2257611239</v>
      </c>
      <c r="AJ50" s="463">
        <f t="shared" si="48"/>
        <v>591943.97906116722</v>
      </c>
      <c r="AK50" s="462">
        <f t="shared" si="48"/>
        <v>-1476.7540693474002</v>
      </c>
      <c r="AL50" s="462">
        <f t="shared" si="48"/>
        <v>-1418953.9465989275</v>
      </c>
      <c r="AM50" s="462">
        <f t="shared" si="48"/>
        <v>-1910075.6594707819</v>
      </c>
      <c r="AN50" s="462">
        <f t="shared" si="48"/>
        <v>-1554202.7344194169</v>
      </c>
      <c r="AO50" s="462">
        <f t="shared" si="48"/>
        <v>-2207864.7764990223</v>
      </c>
      <c r="AP50" s="462">
        <f t="shared" si="48"/>
        <v>-2302157.5124831274</v>
      </c>
      <c r="AQ50" s="462">
        <f t="shared" si="48"/>
        <v>-2198633.5305146435</v>
      </c>
      <c r="AR50" s="462">
        <f t="shared" si="48"/>
        <v>-407769.88597303769</v>
      </c>
      <c r="AS50" s="462">
        <f t="shared" si="48"/>
        <v>1635417.4813065575</v>
      </c>
      <c r="AT50" s="462">
        <f t="shared" si="48"/>
        <v>206240.45234187692</v>
      </c>
      <c r="AU50" s="462">
        <f t="shared" si="48"/>
        <v>2462178.997361063</v>
      </c>
      <c r="AV50" s="462">
        <f t="shared" si="48"/>
        <v>-1308606.6736726966</v>
      </c>
      <c r="AW50" s="462">
        <f t="shared" si="48"/>
        <v>-2635410.3388925772</v>
      </c>
      <c r="AX50" s="462">
        <f t="shared" si="48"/>
        <v>-4898122.6738519426</v>
      </c>
      <c r="AY50" s="462">
        <f t="shared" si="48"/>
        <v>-1915307.178083152</v>
      </c>
      <c r="AZ50" s="462">
        <f t="shared" si="48"/>
        <v>-406782.22373051476</v>
      </c>
      <c r="BA50" s="462">
        <f t="shared" si="48"/>
        <v>-3579668.6984489853</v>
      </c>
      <c r="BB50" s="462">
        <f t="shared" si="48"/>
        <v>-4144299.9732230837</v>
      </c>
      <c r="BC50" s="462">
        <f t="shared" si="48"/>
        <v>-4130774.8425043672</v>
      </c>
      <c r="BD50" s="462">
        <f t="shared" si="48"/>
        <v>-2188994.5457174596</v>
      </c>
      <c r="BE50" s="462">
        <f t="shared" si="48"/>
        <v>-3847312.241630699</v>
      </c>
      <c r="BF50" s="462">
        <f t="shared" si="48"/>
        <v>-1690703.4070631373</v>
      </c>
      <c r="BG50" s="462">
        <f t="shared" si="48"/>
        <v>392387.86122624949</v>
      </c>
      <c r="BH50" s="462">
        <f t="shared" si="48"/>
        <v>-740933.23496034881</v>
      </c>
      <c r="BI50" s="462">
        <f t="shared" si="48"/>
        <v>-567637.48847643379</v>
      </c>
      <c r="BJ50" s="462">
        <f t="shared" si="48"/>
        <v>0</v>
      </c>
      <c r="BK50" s="462">
        <f t="shared" si="48"/>
        <v>0</v>
      </c>
      <c r="BL50" s="462">
        <f t="shared" si="48"/>
        <v>0</v>
      </c>
      <c r="BM50" s="462">
        <f t="shared" si="48"/>
        <v>0</v>
      </c>
      <c r="BN50" s="462">
        <f t="shared" ref="BN50:CK50" si="49">BN40-BN43</f>
        <v>0</v>
      </c>
      <c r="BO50" s="462">
        <f t="shared" si="49"/>
        <v>0</v>
      </c>
      <c r="BP50" s="462">
        <f t="shared" si="49"/>
        <v>0</v>
      </c>
      <c r="BQ50" s="462">
        <f t="shared" si="49"/>
        <v>0</v>
      </c>
      <c r="BR50" s="462">
        <f t="shared" si="49"/>
        <v>0</v>
      </c>
      <c r="BS50" s="462">
        <f t="shared" si="49"/>
        <v>0</v>
      </c>
      <c r="BT50" s="462">
        <f t="shared" si="49"/>
        <v>0</v>
      </c>
      <c r="BU50" s="462">
        <f t="shared" si="49"/>
        <v>0</v>
      </c>
      <c r="BV50" s="462">
        <f t="shared" si="49"/>
        <v>0</v>
      </c>
      <c r="BW50" s="462">
        <f t="shared" si="49"/>
        <v>0</v>
      </c>
      <c r="BX50" s="464">
        <f t="shared" si="49"/>
        <v>0</v>
      </c>
      <c r="BY50" s="465">
        <f t="shared" si="49"/>
        <v>0</v>
      </c>
      <c r="BZ50" s="463">
        <f t="shared" si="49"/>
        <v>0</v>
      </c>
      <c r="CA50" s="463">
        <f t="shared" si="49"/>
        <v>0</v>
      </c>
      <c r="CB50" s="463">
        <f t="shared" si="49"/>
        <v>0</v>
      </c>
      <c r="CC50" s="463">
        <f t="shared" si="49"/>
        <v>0</v>
      </c>
      <c r="CD50" s="463">
        <f t="shared" si="49"/>
        <v>0</v>
      </c>
      <c r="CE50" s="463">
        <f t="shared" si="49"/>
        <v>0</v>
      </c>
      <c r="CF50" s="463">
        <f t="shared" si="49"/>
        <v>0</v>
      </c>
      <c r="CG50" s="463">
        <f t="shared" si="49"/>
        <v>0</v>
      </c>
      <c r="CH50" s="463">
        <f t="shared" si="49"/>
        <v>0</v>
      </c>
      <c r="CI50" s="463">
        <f t="shared" si="49"/>
        <v>0</v>
      </c>
      <c r="CJ50" s="463">
        <f t="shared" si="49"/>
        <v>0</v>
      </c>
      <c r="CK50" s="463">
        <f t="shared" si="49"/>
        <v>0</v>
      </c>
    </row>
    <row r="51" spans="1:89" ht="15.75" customHeight="1" x14ac:dyDescent="0.2">
      <c r="A51" s="485" t="s">
        <v>39</v>
      </c>
      <c r="B51" s="523">
        <f t="shared" ref="B51:BI51" si="50">B50/B20</f>
        <v>7.3982367741680377E-2</v>
      </c>
      <c r="C51" s="486">
        <f t="shared" si="50"/>
        <v>5.412774613593925E-2</v>
      </c>
      <c r="D51" s="486">
        <f t="shared" si="50"/>
        <v>5.5845535780297811E-3</v>
      </c>
      <c r="E51" s="486">
        <f t="shared" si="50"/>
        <v>-3.0625913689103484E-2</v>
      </c>
      <c r="F51" s="486">
        <f t="shared" si="50"/>
        <v>-4.7900801877118697E-2</v>
      </c>
      <c r="G51" s="486">
        <f t="shared" si="50"/>
        <v>-3.085635324187069E-2</v>
      </c>
      <c r="H51" s="486">
        <f t="shared" si="50"/>
        <v>8.6765462822446598E-2</v>
      </c>
      <c r="I51" s="486">
        <f t="shared" si="50"/>
        <v>0.17987616147158617</v>
      </c>
      <c r="J51" s="486">
        <f t="shared" si="50"/>
        <v>0.12952749731549637</v>
      </c>
      <c r="K51" s="486">
        <f t="shared" si="50"/>
        <v>0.11107618841403748</v>
      </c>
      <c r="L51" s="486">
        <f t="shared" si="50"/>
        <v>5.9194274763721681E-2</v>
      </c>
      <c r="M51" s="486">
        <f t="shared" si="50"/>
        <v>2.7541358536540422E-2</v>
      </c>
      <c r="N51" s="486">
        <f t="shared" si="50"/>
        <v>3.2223673070195858E-3</v>
      </c>
      <c r="O51" s="486">
        <f t="shared" si="50"/>
        <v>-4.4221508520700108E-2</v>
      </c>
      <c r="P51" s="486">
        <f t="shared" si="50"/>
        <v>-6.3765709460936015E-2</v>
      </c>
      <c r="Q51" s="486">
        <f t="shared" si="50"/>
        <v>-2.7179843098481739E-2</v>
      </c>
      <c r="R51" s="489">
        <f t="shared" si="50"/>
        <v>-8.7342704887963446E-2</v>
      </c>
      <c r="S51" s="486">
        <f t="shared" si="50"/>
        <v>-0.12451691806701773</v>
      </c>
      <c r="T51" s="495">
        <f t="shared" si="50"/>
        <v>-0.23228688545894663</v>
      </c>
      <c r="U51" s="486">
        <f t="shared" si="50"/>
        <v>-0.34113770562450801</v>
      </c>
      <c r="V51" s="486">
        <f t="shared" si="50"/>
        <v>-0.19706857343350986</v>
      </c>
      <c r="W51" s="486">
        <f t="shared" si="50"/>
        <v>-7.5656527778140623E-2</v>
      </c>
      <c r="X51" s="486">
        <f t="shared" si="50"/>
        <v>-0.10127385470485704</v>
      </c>
      <c r="Y51" s="486">
        <f t="shared" si="50"/>
        <v>-0.15755656950828878</v>
      </c>
      <c r="Z51" s="486">
        <f t="shared" si="50"/>
        <v>-24.120954003142938</v>
      </c>
      <c r="AA51" s="486">
        <f t="shared" si="50"/>
        <v>-0.13887458170984351</v>
      </c>
      <c r="AB51" s="487">
        <f t="shared" si="50"/>
        <v>-5.4805957565588329E-2</v>
      </c>
      <c r="AC51" s="488">
        <f t="shared" si="50"/>
        <v>-4.2617371835422906E-2</v>
      </c>
      <c r="AD51" s="488">
        <f t="shared" si="50"/>
        <v>-2.6393601122191052E-2</v>
      </c>
      <c r="AE51" s="488">
        <f t="shared" si="50"/>
        <v>-9.7728801921288605E-2</v>
      </c>
      <c r="AF51" s="488">
        <f t="shared" si="50"/>
        <v>-7.3677243191424352E-2</v>
      </c>
      <c r="AG51" s="488">
        <f t="shared" si="50"/>
        <v>2.6619158484064733E-2</v>
      </c>
      <c r="AH51" s="488">
        <f t="shared" si="50"/>
        <v>0.1373637958763031</v>
      </c>
      <c r="AI51" s="488">
        <f t="shared" si="50"/>
        <v>2.7958532430516044E-2</v>
      </c>
      <c r="AJ51" s="489">
        <f t="shared" si="50"/>
        <v>2.0107184775167826E-2</v>
      </c>
      <c r="AK51" s="488">
        <f t="shared" si="50"/>
        <v>-6.6284812082426984E-5</v>
      </c>
      <c r="AL51" s="488">
        <f t="shared" si="50"/>
        <v>-8.3309904031327861E-2</v>
      </c>
      <c r="AM51" s="488">
        <f t="shared" si="50"/>
        <v>-0.1380276480273494</v>
      </c>
      <c r="AN51" s="488">
        <f t="shared" si="50"/>
        <v>-5.7822175901625507E-2</v>
      </c>
      <c r="AO51" s="488">
        <f t="shared" si="50"/>
        <v>-6.017072974760284E-2</v>
      </c>
      <c r="AP51" s="488">
        <f t="shared" si="50"/>
        <v>-4.8376648789709147E-2</v>
      </c>
      <c r="AQ51" s="488">
        <f t="shared" si="50"/>
        <v>-3.9462594063618239E-2</v>
      </c>
      <c r="AR51" s="488">
        <f t="shared" si="50"/>
        <v>-7.3849444810204267E-3</v>
      </c>
      <c r="AS51" s="488">
        <f t="shared" si="50"/>
        <v>3.3345051517166664E-2</v>
      </c>
      <c r="AT51" s="488">
        <f t="shared" si="50"/>
        <v>3.7420323271104426E-3</v>
      </c>
      <c r="AU51" s="488">
        <f t="shared" si="50"/>
        <v>3.7912496756860772E-2</v>
      </c>
      <c r="AV51" s="488">
        <f t="shared" si="50"/>
        <v>-1.9993569175566134E-2</v>
      </c>
      <c r="AW51" s="488">
        <f t="shared" si="50"/>
        <v>-3.6251360841882366E-2</v>
      </c>
      <c r="AX51" s="488">
        <f t="shared" si="50"/>
        <v>-0.1258317789308763</v>
      </c>
      <c r="AY51" s="488">
        <f t="shared" si="50"/>
        <v>-4.6552984235705142E-2</v>
      </c>
      <c r="AZ51" s="488">
        <f t="shared" si="50"/>
        <v>-1.0982706337661774E-2</v>
      </c>
      <c r="BA51" s="488">
        <f t="shared" si="50"/>
        <v>-0.11503129434115435</v>
      </c>
      <c r="BB51" s="488">
        <f t="shared" si="50"/>
        <v>-0.16116524513579422</v>
      </c>
      <c r="BC51" s="488">
        <f t="shared" si="50"/>
        <v>-0.32861915815649939</v>
      </c>
      <c r="BD51" s="488">
        <f t="shared" si="50"/>
        <v>-0.3236891638128685</v>
      </c>
      <c r="BE51" s="488">
        <f t="shared" si="50"/>
        <v>-0.19818270297026608</v>
      </c>
      <c r="BF51" s="488">
        <f t="shared" si="50"/>
        <v>-5.263782646836665E-2</v>
      </c>
      <c r="BG51" s="488">
        <f t="shared" si="50"/>
        <v>1.0144234915229398E-2</v>
      </c>
      <c r="BH51" s="488">
        <f t="shared" si="50"/>
        <v>-2.2140548716665969E-2</v>
      </c>
      <c r="BI51" s="488">
        <f t="shared" si="50"/>
        <v>-1.4263738890943465E-2</v>
      </c>
      <c r="BJ51" s="488">
        <f t="shared" ref="BJ51:BU51" si="51">IFERROR((BJ50/BJ20),0)</f>
        <v>0</v>
      </c>
      <c r="BK51" s="488">
        <f t="shared" si="51"/>
        <v>0</v>
      </c>
      <c r="BL51" s="488">
        <f t="shared" si="51"/>
        <v>0</v>
      </c>
      <c r="BM51" s="488">
        <f t="shared" si="51"/>
        <v>0</v>
      </c>
      <c r="BN51" s="488">
        <f t="shared" si="51"/>
        <v>0</v>
      </c>
      <c r="BO51" s="488">
        <f t="shared" si="51"/>
        <v>0</v>
      </c>
      <c r="BP51" s="488">
        <f t="shared" si="51"/>
        <v>0</v>
      </c>
      <c r="BQ51" s="488">
        <f t="shared" si="51"/>
        <v>0</v>
      </c>
      <c r="BR51" s="488">
        <f t="shared" si="51"/>
        <v>0</v>
      </c>
      <c r="BS51" s="488">
        <f t="shared" si="51"/>
        <v>0</v>
      </c>
      <c r="BT51" s="488">
        <f t="shared" si="51"/>
        <v>0</v>
      </c>
      <c r="BU51" s="488">
        <f t="shared" si="51"/>
        <v>0</v>
      </c>
      <c r="BV51" s="488">
        <f>IFERROR((BV50/BV20),0)</f>
        <v>0</v>
      </c>
      <c r="BW51" s="488">
        <f>IFERROR((BW50/BW20),0)</f>
        <v>0</v>
      </c>
      <c r="BX51" s="490">
        <f>IFERROR((BX50/BX20),0)</f>
        <v>0</v>
      </c>
      <c r="BY51" s="491">
        <f>IFERROR((BY50/BY20),0)</f>
        <v>0</v>
      </c>
      <c r="BZ51" s="489">
        <f>IFERROR((BZ50/BZ20),0)</f>
        <v>0</v>
      </c>
      <c r="CA51" s="489">
        <f t="shared" ref="CA51:CK51" si="52">IFERROR((CA50/CA20),0)</f>
        <v>0</v>
      </c>
      <c r="CB51" s="489">
        <f t="shared" si="52"/>
        <v>0</v>
      </c>
      <c r="CC51" s="489">
        <f t="shared" si="52"/>
        <v>0</v>
      </c>
      <c r="CD51" s="489">
        <f t="shared" si="52"/>
        <v>0</v>
      </c>
      <c r="CE51" s="489">
        <f t="shared" si="52"/>
        <v>0</v>
      </c>
      <c r="CF51" s="489">
        <f t="shared" si="52"/>
        <v>0</v>
      </c>
      <c r="CG51" s="489">
        <f t="shared" si="52"/>
        <v>0</v>
      </c>
      <c r="CH51" s="489">
        <f t="shared" si="52"/>
        <v>0</v>
      </c>
      <c r="CI51" s="489">
        <f t="shared" si="52"/>
        <v>0</v>
      </c>
      <c r="CJ51" s="489">
        <f t="shared" si="52"/>
        <v>0</v>
      </c>
      <c r="CK51" s="489">
        <f t="shared" si="52"/>
        <v>0</v>
      </c>
    </row>
    <row r="52" spans="1:89" ht="15.75" customHeight="1" x14ac:dyDescent="0.2">
      <c r="A52" s="485"/>
      <c r="B52" s="467"/>
      <c r="C52" s="468"/>
      <c r="D52" s="468"/>
      <c r="E52" s="468"/>
      <c r="F52" s="468"/>
      <c r="G52" s="468"/>
      <c r="H52" s="468"/>
      <c r="I52" s="468"/>
      <c r="J52" s="468"/>
      <c r="K52" s="468"/>
      <c r="L52" s="468"/>
      <c r="M52" s="468"/>
      <c r="N52" s="468"/>
      <c r="O52" s="468"/>
      <c r="P52" s="468"/>
      <c r="Q52" s="468"/>
      <c r="R52" s="469"/>
      <c r="S52" s="468"/>
      <c r="T52" s="470"/>
      <c r="U52" s="468"/>
      <c r="V52" s="468"/>
      <c r="W52" s="468"/>
      <c r="X52" s="468"/>
      <c r="Y52" s="468"/>
      <c r="Z52" s="468"/>
      <c r="AA52" s="468"/>
      <c r="AB52" s="471"/>
      <c r="AC52" s="472"/>
      <c r="AD52" s="472"/>
      <c r="AE52" s="472"/>
      <c r="AF52" s="472"/>
      <c r="AG52" s="472"/>
      <c r="AH52" s="472"/>
      <c r="AI52" s="472"/>
      <c r="AJ52" s="469"/>
      <c r="AK52" s="472"/>
      <c r="AL52" s="472"/>
      <c r="AM52" s="472"/>
      <c r="AN52" s="472"/>
      <c r="AO52" s="472"/>
      <c r="AP52" s="472"/>
      <c r="AQ52" s="472"/>
      <c r="AR52" s="472"/>
      <c r="AS52" s="472"/>
      <c r="AT52" s="472"/>
      <c r="AU52" s="472"/>
      <c r="AV52" s="472"/>
      <c r="AW52" s="472"/>
      <c r="AX52" s="472"/>
      <c r="AY52" s="472"/>
      <c r="AZ52" s="472"/>
      <c r="BA52" s="472"/>
      <c r="BB52" s="472"/>
      <c r="BC52" s="472"/>
      <c r="BD52" s="472"/>
      <c r="BE52" s="472"/>
      <c r="BF52" s="472"/>
      <c r="BG52" s="472"/>
      <c r="BH52" s="472"/>
      <c r="BI52" s="472"/>
      <c r="BJ52" s="472"/>
      <c r="BK52" s="472"/>
      <c r="BL52" s="472"/>
      <c r="BM52" s="472"/>
      <c r="BN52" s="472"/>
      <c r="BO52" s="472"/>
      <c r="BP52" s="472"/>
      <c r="BQ52" s="472"/>
      <c r="BR52" s="472"/>
      <c r="BS52" s="472"/>
      <c r="BT52" s="472"/>
      <c r="BU52" s="472"/>
      <c r="BV52" s="472"/>
      <c r="BW52" s="472"/>
      <c r="BX52" s="473"/>
      <c r="BY52" s="474"/>
      <c r="BZ52" s="469"/>
      <c r="CA52" s="469"/>
      <c r="CB52" s="469"/>
      <c r="CC52" s="469"/>
      <c r="CD52" s="469"/>
      <c r="CE52" s="469"/>
      <c r="CF52" s="469"/>
      <c r="CG52" s="469"/>
      <c r="CH52" s="469"/>
      <c r="CI52" s="469"/>
      <c r="CJ52" s="469"/>
      <c r="CK52" s="469"/>
    </row>
    <row r="53" spans="1:89" ht="15.75" customHeight="1" x14ac:dyDescent="0.2">
      <c r="A53" s="457" t="s">
        <v>40</v>
      </c>
      <c r="B53" s="458">
        <f t="shared" ref="B53:AK53" si="53">B54+B36+B58+B59+B60</f>
        <v>490698.28571428498</v>
      </c>
      <c r="C53" s="459">
        <f t="shared" si="53"/>
        <v>527346.71428571397</v>
      </c>
      <c r="D53" s="459">
        <f t="shared" si="53"/>
        <v>492922.71428571397</v>
      </c>
      <c r="E53" s="459">
        <f t="shared" si="53"/>
        <v>514260.71428571397</v>
      </c>
      <c r="F53" s="459">
        <f t="shared" si="53"/>
        <v>544897.14285714296</v>
      </c>
      <c r="G53" s="459">
        <f t="shared" si="53"/>
        <v>651666.28571428603</v>
      </c>
      <c r="H53" s="459">
        <f t="shared" si="53"/>
        <v>569034</v>
      </c>
      <c r="I53" s="459">
        <f t="shared" si="53"/>
        <v>597510</v>
      </c>
      <c r="J53" s="459">
        <f t="shared" si="53"/>
        <v>1086277.768571429</v>
      </c>
      <c r="K53" s="459">
        <f t="shared" si="53"/>
        <v>850515.39026107406</v>
      </c>
      <c r="L53" s="459">
        <f t="shared" si="53"/>
        <v>977189.39804195845</v>
      </c>
      <c r="M53" s="459">
        <f t="shared" si="53"/>
        <v>956411.93178299849</v>
      </c>
      <c r="N53" s="459">
        <f t="shared" si="53"/>
        <v>801318.02043440682</v>
      </c>
      <c r="O53" s="459">
        <f t="shared" si="53"/>
        <v>1320464.8938045523</v>
      </c>
      <c r="P53" s="459">
        <f t="shared" si="53"/>
        <v>1939177.3404338923</v>
      </c>
      <c r="Q53" s="459">
        <f t="shared" si="53"/>
        <v>1573304.1128313041</v>
      </c>
      <c r="R53" s="463">
        <f t="shared" si="53"/>
        <v>1699705.291718507</v>
      </c>
      <c r="S53" s="459">
        <f t="shared" si="53"/>
        <v>1330533.0466932335</v>
      </c>
      <c r="T53" s="484">
        <f t="shared" si="53"/>
        <v>1287703.1268782162</v>
      </c>
      <c r="U53" s="459">
        <f t="shared" si="53"/>
        <v>1955594.6484347295</v>
      </c>
      <c r="V53" s="459">
        <f t="shared" si="53"/>
        <v>2135933.8086260813</v>
      </c>
      <c r="W53" s="459">
        <f t="shared" si="53"/>
        <v>2431175.1526706233</v>
      </c>
      <c r="X53" s="459">
        <f t="shared" si="53"/>
        <v>2462765.1070482247</v>
      </c>
      <c r="Y53" s="459">
        <f t="shared" si="53"/>
        <v>1942249.8419178082</v>
      </c>
      <c r="Z53" s="459">
        <f t="shared" si="53"/>
        <v>2580204.3767246464</v>
      </c>
      <c r="AA53" s="459">
        <f t="shared" si="53"/>
        <v>1828703.772851279</v>
      </c>
      <c r="AB53" s="461">
        <f t="shared" si="53"/>
        <v>1954209.0007295688</v>
      </c>
      <c r="AC53" s="462">
        <f t="shared" si="53"/>
        <v>2612445.6349083534</v>
      </c>
      <c r="AD53" s="462">
        <f t="shared" si="53"/>
        <v>2513736.5537111498</v>
      </c>
      <c r="AE53" s="462">
        <f t="shared" si="53"/>
        <v>1909840.5612438212</v>
      </c>
      <c r="AF53" s="462">
        <f t="shared" si="53"/>
        <v>1854879.108632315</v>
      </c>
      <c r="AG53" s="462">
        <f t="shared" si="53"/>
        <v>1914885.9991386868</v>
      </c>
      <c r="AH53" s="462">
        <f t="shared" si="53"/>
        <v>1916921.9579367037</v>
      </c>
      <c r="AI53" s="462">
        <f t="shared" si="53"/>
        <v>2569519.8230690882</v>
      </c>
      <c r="AJ53" s="463">
        <f t="shared" si="53"/>
        <v>2731221.7017118135</v>
      </c>
      <c r="AK53" s="462">
        <f t="shared" si="53"/>
        <v>2097367.8272438515</v>
      </c>
      <c r="AL53" s="462">
        <f t="shared" ref="AL53:CK53" si="54">AL54+AL58+AL59+AL60</f>
        <v>928909.97184044181</v>
      </c>
      <c r="AM53" s="462">
        <f t="shared" si="54"/>
        <v>1331265.6090894281</v>
      </c>
      <c r="AN53" s="462">
        <f t="shared" si="54"/>
        <v>1343530.5114143116</v>
      </c>
      <c r="AO53" s="462">
        <f t="shared" si="54"/>
        <v>1777810.3496144032</v>
      </c>
      <c r="AP53" s="462">
        <f t="shared" si="54"/>
        <v>2105753.6585737341</v>
      </c>
      <c r="AQ53" s="462">
        <f t="shared" si="54"/>
        <v>2940147.1518503325</v>
      </c>
      <c r="AR53" s="462">
        <f t="shared" si="54"/>
        <v>3443267.6197614768</v>
      </c>
      <c r="AS53" s="462">
        <f t="shared" si="54"/>
        <v>2897664.2038411782</v>
      </c>
      <c r="AT53" s="462">
        <f t="shared" si="54"/>
        <v>2794549.6836031419</v>
      </c>
      <c r="AU53" s="462">
        <f t="shared" si="54"/>
        <v>2721820.4337430727</v>
      </c>
      <c r="AV53" s="462">
        <f t="shared" si="54"/>
        <v>2974043.4642445259</v>
      </c>
      <c r="AW53" s="462">
        <f t="shared" si="54"/>
        <v>4329145.4762027049</v>
      </c>
      <c r="AX53" s="462">
        <f t="shared" si="54"/>
        <v>3462549.9029636947</v>
      </c>
      <c r="AY53" s="462">
        <f t="shared" si="54"/>
        <v>3506119.6110700136</v>
      </c>
      <c r="AZ53" s="462">
        <f t="shared" si="54"/>
        <v>2881340.097530758</v>
      </c>
      <c r="BA53" s="462">
        <f t="shared" si="54"/>
        <v>3001305.9495205162</v>
      </c>
      <c r="BB53" s="462">
        <f t="shared" si="54"/>
        <v>3042160.1227695374</v>
      </c>
      <c r="BC53" s="462">
        <f t="shared" si="54"/>
        <v>2622500.3375936691</v>
      </c>
      <c r="BD53" s="462">
        <f t="shared" si="54"/>
        <v>2088747.9422027697</v>
      </c>
      <c r="BE53" s="462">
        <f t="shared" si="54"/>
        <v>2100556.2866362217</v>
      </c>
      <c r="BF53" s="462">
        <f t="shared" si="54"/>
        <v>2229844.3032932845</v>
      </c>
      <c r="BG53" s="462">
        <f t="shared" si="54"/>
        <v>2398655.8778699739</v>
      </c>
      <c r="BH53" s="462">
        <f t="shared" si="54"/>
        <v>2671883.7266247575</v>
      </c>
      <c r="BI53" s="462">
        <f t="shared" si="54"/>
        <v>2128807.0226115403</v>
      </c>
      <c r="BJ53" s="462">
        <f t="shared" si="54"/>
        <v>0</v>
      </c>
      <c r="BK53" s="462">
        <f t="shared" si="54"/>
        <v>0</v>
      </c>
      <c r="BL53" s="462">
        <f t="shared" si="54"/>
        <v>0</v>
      </c>
      <c r="BM53" s="462">
        <f t="shared" si="54"/>
        <v>0</v>
      </c>
      <c r="BN53" s="462">
        <f t="shared" si="54"/>
        <v>0</v>
      </c>
      <c r="BO53" s="462">
        <f t="shared" si="54"/>
        <v>0</v>
      </c>
      <c r="BP53" s="462">
        <f t="shared" si="54"/>
        <v>0</v>
      </c>
      <c r="BQ53" s="462">
        <f t="shared" si="54"/>
        <v>0</v>
      </c>
      <c r="BR53" s="462">
        <f t="shared" si="54"/>
        <v>0</v>
      </c>
      <c r="BS53" s="462">
        <f t="shared" si="54"/>
        <v>0</v>
      </c>
      <c r="BT53" s="462">
        <f t="shared" si="54"/>
        <v>0</v>
      </c>
      <c r="BU53" s="462">
        <f t="shared" si="54"/>
        <v>0</v>
      </c>
      <c r="BV53" s="462">
        <f t="shared" si="54"/>
        <v>0</v>
      </c>
      <c r="BW53" s="462">
        <f t="shared" si="54"/>
        <v>0</v>
      </c>
      <c r="BX53" s="464">
        <f t="shared" si="54"/>
        <v>0</v>
      </c>
      <c r="BY53" s="465">
        <f t="shared" si="54"/>
        <v>0</v>
      </c>
      <c r="BZ53" s="463">
        <f t="shared" si="54"/>
        <v>0</v>
      </c>
      <c r="CA53" s="463">
        <f t="shared" si="54"/>
        <v>0</v>
      </c>
      <c r="CB53" s="463">
        <f t="shared" si="54"/>
        <v>0</v>
      </c>
      <c r="CC53" s="463">
        <f t="shared" si="54"/>
        <v>0</v>
      </c>
      <c r="CD53" s="463">
        <f t="shared" si="54"/>
        <v>0</v>
      </c>
      <c r="CE53" s="463">
        <f t="shared" si="54"/>
        <v>0</v>
      </c>
      <c r="CF53" s="463">
        <f t="shared" si="54"/>
        <v>0</v>
      </c>
      <c r="CG53" s="463">
        <f t="shared" si="54"/>
        <v>0</v>
      </c>
      <c r="CH53" s="463">
        <f t="shared" si="54"/>
        <v>0</v>
      </c>
      <c r="CI53" s="463">
        <f t="shared" si="54"/>
        <v>0</v>
      </c>
      <c r="CJ53" s="463">
        <f t="shared" si="54"/>
        <v>0</v>
      </c>
      <c r="CK53" s="463">
        <f t="shared" si="54"/>
        <v>0</v>
      </c>
    </row>
    <row r="54" spans="1:89" ht="15.75" customHeight="1" x14ac:dyDescent="0.2">
      <c r="A54" s="531" t="s">
        <v>72</v>
      </c>
      <c r="B54" s="467">
        <f t="shared" ref="B54:BM54" si="55">B55+B57</f>
        <v>332255.57142857101</v>
      </c>
      <c r="C54" s="468">
        <f t="shared" si="55"/>
        <v>364777</v>
      </c>
      <c r="D54" s="468">
        <f t="shared" si="55"/>
        <v>326310</v>
      </c>
      <c r="E54" s="468">
        <f t="shared" si="55"/>
        <v>339634</v>
      </c>
      <c r="F54" s="468">
        <f t="shared" si="55"/>
        <v>371073</v>
      </c>
      <c r="G54" s="468">
        <f t="shared" si="55"/>
        <v>490675</v>
      </c>
      <c r="H54" s="468">
        <f t="shared" si="55"/>
        <v>398017</v>
      </c>
      <c r="I54" s="468">
        <f t="shared" si="55"/>
        <v>413772</v>
      </c>
      <c r="J54" s="468">
        <f t="shared" si="55"/>
        <v>475206</v>
      </c>
      <c r="K54" s="468">
        <f t="shared" si="55"/>
        <v>350145.52607802872</v>
      </c>
      <c r="L54" s="468">
        <f t="shared" si="55"/>
        <v>448118.6324475524</v>
      </c>
      <c r="M54" s="468">
        <f t="shared" si="55"/>
        <v>401981.92461977189</v>
      </c>
      <c r="N54" s="468">
        <f t="shared" si="55"/>
        <v>417747.70862329798</v>
      </c>
      <c r="O54" s="468">
        <f t="shared" si="55"/>
        <v>474116.47740886529</v>
      </c>
      <c r="P54" s="468">
        <f t="shared" si="55"/>
        <v>596558.78447546531</v>
      </c>
      <c r="Q54" s="468">
        <f t="shared" si="55"/>
        <v>563268.12485595467</v>
      </c>
      <c r="R54" s="468">
        <f t="shared" si="55"/>
        <v>538916.78219284606</v>
      </c>
      <c r="S54" s="468">
        <f t="shared" si="55"/>
        <v>508089.09090909088</v>
      </c>
      <c r="T54" s="468">
        <f t="shared" si="55"/>
        <v>471368.1194253859</v>
      </c>
      <c r="U54" s="468">
        <f t="shared" si="55"/>
        <v>763996.49036991748</v>
      </c>
      <c r="V54" s="468">
        <f t="shared" si="55"/>
        <v>959599.01967064291</v>
      </c>
      <c r="W54" s="468">
        <f t="shared" si="55"/>
        <v>1205680.2246785362</v>
      </c>
      <c r="X54" s="468">
        <f t="shared" si="55"/>
        <v>1026195.8288288286</v>
      </c>
      <c r="Y54" s="468">
        <f t="shared" si="55"/>
        <v>872588.35142255004</v>
      </c>
      <c r="Z54" s="468">
        <f t="shared" si="55"/>
        <v>1200930.4323958333</v>
      </c>
      <c r="AA54" s="468">
        <f t="shared" si="55"/>
        <v>898992.59404333192</v>
      </c>
      <c r="AB54" s="471">
        <f t="shared" si="55"/>
        <v>829851.22928237193</v>
      </c>
      <c r="AC54" s="472">
        <f t="shared" si="55"/>
        <v>948527.33783722413</v>
      </c>
      <c r="AD54" s="472">
        <f t="shared" si="55"/>
        <v>982323.91127711616</v>
      </c>
      <c r="AE54" s="472">
        <f t="shared" si="55"/>
        <v>732219.96641623485</v>
      </c>
      <c r="AF54" s="472">
        <f t="shared" si="55"/>
        <v>749495.30375426612</v>
      </c>
      <c r="AG54" s="472">
        <f t="shared" si="55"/>
        <v>741641.38899301412</v>
      </c>
      <c r="AH54" s="472">
        <f t="shared" si="55"/>
        <v>829115.63168187742</v>
      </c>
      <c r="AI54" s="472">
        <f t="shared" si="55"/>
        <v>1034832.4659923456</v>
      </c>
      <c r="AJ54" s="469">
        <f t="shared" si="55"/>
        <v>969734.0405076337</v>
      </c>
      <c r="AK54" s="472">
        <f t="shared" si="55"/>
        <v>798253.07120702951</v>
      </c>
      <c r="AL54" s="472">
        <f t="shared" si="55"/>
        <v>738584.72454371385</v>
      </c>
      <c r="AM54" s="472">
        <f t="shared" si="55"/>
        <v>1135459.908807738</v>
      </c>
      <c r="AN54" s="472">
        <f t="shared" si="55"/>
        <v>1256774.0137719468</v>
      </c>
      <c r="AO54" s="472">
        <f t="shared" si="55"/>
        <v>1402127.0084055038</v>
      </c>
      <c r="AP54" s="472">
        <f t="shared" si="55"/>
        <v>1594065.9799520746</v>
      </c>
      <c r="AQ54" s="472">
        <f t="shared" si="55"/>
        <v>1951644.8544542978</v>
      </c>
      <c r="AR54" s="472">
        <f t="shared" si="55"/>
        <v>1986127.3124356875</v>
      </c>
      <c r="AS54" s="472">
        <f t="shared" si="55"/>
        <v>1834416.401877074</v>
      </c>
      <c r="AT54" s="472">
        <f t="shared" si="55"/>
        <v>1680483.6690754832</v>
      </c>
      <c r="AU54" s="472">
        <f t="shared" si="55"/>
        <v>1765882.1650072546</v>
      </c>
      <c r="AV54" s="472">
        <f t="shared" si="55"/>
        <v>1806404.8528938103</v>
      </c>
      <c r="AW54" s="472">
        <f t="shared" si="55"/>
        <v>2604840.2027564095</v>
      </c>
      <c r="AX54" s="472">
        <f t="shared" si="55"/>
        <v>2559999.5814667777</v>
      </c>
      <c r="AY54" s="472">
        <f t="shared" si="55"/>
        <v>2436208.7518908083</v>
      </c>
      <c r="AZ54" s="472">
        <f t="shared" si="55"/>
        <v>1793538.7432051282</v>
      </c>
      <c r="BA54" s="472">
        <f t="shared" si="55"/>
        <v>1745943.7378205128</v>
      </c>
      <c r="BB54" s="472">
        <f t="shared" si="55"/>
        <v>1723993.58301282</v>
      </c>
      <c r="BC54" s="472">
        <f t="shared" si="55"/>
        <v>1212854.9254487178</v>
      </c>
      <c r="BD54" s="472">
        <f t="shared" si="55"/>
        <v>1069802.4554239039</v>
      </c>
      <c r="BE54" s="472">
        <f t="shared" si="55"/>
        <v>1073292.6341025641</v>
      </c>
      <c r="BF54" s="472">
        <f t="shared" si="55"/>
        <v>999475.86673076928</v>
      </c>
      <c r="BG54" s="472">
        <f t="shared" si="55"/>
        <v>1392136</v>
      </c>
      <c r="BH54" s="472">
        <f t="shared" si="55"/>
        <v>1360908.5505128207</v>
      </c>
      <c r="BI54" s="472">
        <f t="shared" si="55"/>
        <v>982959.40874069475</v>
      </c>
      <c r="BJ54" s="472">
        <f t="shared" si="55"/>
        <v>0</v>
      </c>
      <c r="BK54" s="472">
        <f t="shared" si="55"/>
        <v>0</v>
      </c>
      <c r="BL54" s="472">
        <f t="shared" si="55"/>
        <v>0</v>
      </c>
      <c r="BM54" s="472">
        <f t="shared" si="55"/>
        <v>0</v>
      </c>
      <c r="BN54" s="472">
        <f t="shared" ref="BN54:CK54" si="56">BN55+BN57</f>
        <v>0</v>
      </c>
      <c r="BO54" s="472">
        <f t="shared" si="56"/>
        <v>0</v>
      </c>
      <c r="BP54" s="472">
        <f t="shared" si="56"/>
        <v>0</v>
      </c>
      <c r="BQ54" s="472">
        <f t="shared" si="56"/>
        <v>0</v>
      </c>
      <c r="BR54" s="472">
        <f t="shared" si="56"/>
        <v>0</v>
      </c>
      <c r="BS54" s="472">
        <f t="shared" si="56"/>
        <v>0</v>
      </c>
      <c r="BT54" s="472">
        <f t="shared" si="56"/>
        <v>0</v>
      </c>
      <c r="BU54" s="472">
        <f t="shared" si="56"/>
        <v>0</v>
      </c>
      <c r="BV54" s="472">
        <f t="shared" si="56"/>
        <v>0</v>
      </c>
      <c r="BW54" s="472">
        <f t="shared" si="56"/>
        <v>0</v>
      </c>
      <c r="BX54" s="473">
        <f t="shared" si="56"/>
        <v>0</v>
      </c>
      <c r="BY54" s="474">
        <f t="shared" si="56"/>
        <v>0</v>
      </c>
      <c r="BZ54" s="469">
        <f t="shared" si="56"/>
        <v>0</v>
      </c>
      <c r="CA54" s="469">
        <f t="shared" si="56"/>
        <v>0</v>
      </c>
      <c r="CB54" s="469">
        <f t="shared" si="56"/>
        <v>0</v>
      </c>
      <c r="CC54" s="469">
        <f t="shared" si="56"/>
        <v>0</v>
      </c>
      <c r="CD54" s="469">
        <f t="shared" si="56"/>
        <v>0</v>
      </c>
      <c r="CE54" s="469">
        <f t="shared" si="56"/>
        <v>0</v>
      </c>
      <c r="CF54" s="469">
        <f t="shared" si="56"/>
        <v>0</v>
      </c>
      <c r="CG54" s="469">
        <f t="shared" si="56"/>
        <v>0</v>
      </c>
      <c r="CH54" s="469">
        <f t="shared" si="56"/>
        <v>0</v>
      </c>
      <c r="CI54" s="469">
        <f t="shared" si="56"/>
        <v>0</v>
      </c>
      <c r="CJ54" s="469">
        <f t="shared" si="56"/>
        <v>0</v>
      </c>
      <c r="CK54" s="469">
        <f t="shared" si="56"/>
        <v>0</v>
      </c>
    </row>
    <row r="55" spans="1:89" ht="15.75" customHeight="1" x14ac:dyDescent="0.2">
      <c r="A55" s="532" t="s">
        <v>73</v>
      </c>
      <c r="B55" s="467">
        <v>110960</v>
      </c>
      <c r="C55" s="468">
        <v>126320</v>
      </c>
      <c r="D55" s="468">
        <v>110960</v>
      </c>
      <c r="E55" s="468">
        <v>126360</v>
      </c>
      <c r="F55" s="468">
        <v>158799</v>
      </c>
      <c r="G55" s="468">
        <v>177626</v>
      </c>
      <c r="H55" s="468">
        <v>213143</v>
      </c>
      <c r="I55" s="468">
        <v>215126</v>
      </c>
      <c r="J55" s="468">
        <v>255932</v>
      </c>
      <c r="K55" s="468">
        <v>138075.6</v>
      </c>
      <c r="L55" s="468">
        <v>139342.39999999999</v>
      </c>
      <c r="M55" s="468">
        <v>173993.60000000001</v>
      </c>
      <c r="N55" s="468">
        <v>146728.4</v>
      </c>
      <c r="O55" s="468">
        <v>208267.5</v>
      </c>
      <c r="P55" s="468">
        <v>280424.375</v>
      </c>
      <c r="Q55" s="468">
        <v>332463.33333333331</v>
      </c>
      <c r="R55" s="468">
        <v>346963.39999999997</v>
      </c>
      <c r="S55" s="468">
        <v>361173.09090909088</v>
      </c>
      <c r="T55" s="468">
        <v>348183.27272727271</v>
      </c>
      <c r="U55" s="468">
        <v>393885</v>
      </c>
      <c r="V55" s="468">
        <v>624174.31578947371</v>
      </c>
      <c r="W55" s="468">
        <v>907097.05</v>
      </c>
      <c r="X55" s="468">
        <v>638853.49019607832</v>
      </c>
      <c r="Y55" s="468">
        <v>616373.875</v>
      </c>
      <c r="Z55" s="468">
        <v>602972.5473958333</v>
      </c>
      <c r="AA55" s="468">
        <v>585916.50880208309</v>
      </c>
      <c r="AB55" s="471">
        <v>367128.5</v>
      </c>
      <c r="AC55" s="472">
        <v>429570.5</v>
      </c>
      <c r="AD55" s="472">
        <v>428862</v>
      </c>
      <c r="AE55" s="472">
        <v>348092.8783333333</v>
      </c>
      <c r="AF55" s="472">
        <f>339546+60368</f>
        <v>399914</v>
      </c>
      <c r="AG55" s="472">
        <v>331508</v>
      </c>
      <c r="AH55" s="472">
        <v>398618.5</v>
      </c>
      <c r="AI55" s="472">
        <v>468198.5</v>
      </c>
      <c r="AJ55" s="469">
        <v>452320.69230769231</v>
      </c>
      <c r="AK55" s="472">
        <v>445723.69999999995</v>
      </c>
      <c r="AL55" s="472">
        <v>485940.27230769233</v>
      </c>
      <c r="AM55" s="472">
        <v>674865.1323717949</v>
      </c>
      <c r="AN55" s="472">
        <v>757794.42307692312</v>
      </c>
      <c r="AO55" s="472">
        <v>835022.5</v>
      </c>
      <c r="AP55" s="472">
        <v>927470.7810897436</v>
      </c>
      <c r="AQ55" s="472">
        <v>1131865.3076923077</v>
      </c>
      <c r="AR55" s="472">
        <v>1192838.2078846155</v>
      </c>
      <c r="AS55" s="472">
        <v>1050979.681794872</v>
      </c>
      <c r="AT55" s="472">
        <v>1003764.2692307694</v>
      </c>
      <c r="AU55" s="472">
        <v>1083698.3501282053</v>
      </c>
      <c r="AV55" s="472">
        <v>1142656.2692307692</v>
      </c>
      <c r="AW55" s="472">
        <v>1344752.1813461536</v>
      </c>
      <c r="AX55" s="472">
        <v>1814690.8813461536</v>
      </c>
      <c r="AY55" s="472">
        <v>1757402.6612820509</v>
      </c>
      <c r="AZ55" s="472">
        <v>1793538.7432051282</v>
      </c>
      <c r="BA55" s="472">
        <v>1745943.7378205128</v>
      </c>
      <c r="BB55" s="472">
        <v>1723993.58301282</v>
      </c>
      <c r="BC55" s="472">
        <v>1212854.9254487178</v>
      </c>
      <c r="BD55" s="472">
        <v>1069802.4554239039</v>
      </c>
      <c r="BE55" s="472">
        <v>1073292.6341025641</v>
      </c>
      <c r="BF55" s="472">
        <v>999475.86673076928</v>
      </c>
      <c r="BG55" s="472">
        <v>1392136</v>
      </c>
      <c r="BH55" s="472">
        <v>1360908.5505128207</v>
      </c>
      <c r="BI55" s="472">
        <v>982959.40874069475</v>
      </c>
      <c r="BJ55" s="472">
        <v>0</v>
      </c>
      <c r="BK55" s="472">
        <v>0</v>
      </c>
      <c r="BL55" s="472">
        <v>0</v>
      </c>
      <c r="BM55" s="472">
        <v>0</v>
      </c>
      <c r="BN55" s="472">
        <v>0</v>
      </c>
      <c r="BO55" s="472">
        <v>0</v>
      </c>
      <c r="BP55" s="472">
        <v>0</v>
      </c>
      <c r="BQ55" s="472">
        <v>0</v>
      </c>
      <c r="BR55" s="472">
        <v>0</v>
      </c>
      <c r="BS55" s="472">
        <v>0</v>
      </c>
      <c r="BT55" s="472">
        <v>0</v>
      </c>
      <c r="BU55" s="472">
        <v>0</v>
      </c>
      <c r="BV55" s="472">
        <v>0</v>
      </c>
      <c r="BW55" s="472">
        <v>0</v>
      </c>
      <c r="BX55" s="473">
        <v>0</v>
      </c>
      <c r="BY55" s="474">
        <v>0</v>
      </c>
      <c r="BZ55" s="469">
        <f>0</f>
        <v>0</v>
      </c>
      <c r="CA55" s="469">
        <f>0</f>
        <v>0</v>
      </c>
      <c r="CB55" s="469">
        <f>0</f>
        <v>0</v>
      </c>
      <c r="CC55" s="469">
        <f>0</f>
        <v>0</v>
      </c>
      <c r="CD55" s="469">
        <f>0</f>
        <v>0</v>
      </c>
      <c r="CE55" s="469">
        <f>0</f>
        <v>0</v>
      </c>
      <c r="CF55" s="469">
        <f>0</f>
        <v>0</v>
      </c>
      <c r="CG55" s="469">
        <f>0</f>
        <v>0</v>
      </c>
      <c r="CH55" s="469">
        <f>0</f>
        <v>0</v>
      </c>
      <c r="CI55" s="469">
        <f>0</f>
        <v>0</v>
      </c>
      <c r="CJ55" s="469">
        <f>0</f>
        <v>0</v>
      </c>
      <c r="CK55" s="469">
        <f>0</f>
        <v>0</v>
      </c>
    </row>
    <row r="56" spans="1:89" ht="15.75" customHeight="1" x14ac:dyDescent="0.2">
      <c r="A56" s="533" t="s">
        <v>45</v>
      </c>
      <c r="B56" s="530">
        <v>1</v>
      </c>
      <c r="C56" s="496">
        <v>1</v>
      </c>
      <c r="D56" s="496">
        <v>1</v>
      </c>
      <c r="E56" s="496">
        <v>1</v>
      </c>
      <c r="F56" s="496">
        <v>2</v>
      </c>
      <c r="G56" s="496">
        <v>2</v>
      </c>
      <c r="H56" s="496">
        <v>3</v>
      </c>
      <c r="I56" s="496">
        <v>3</v>
      </c>
      <c r="J56" s="496">
        <v>4</v>
      </c>
      <c r="K56" s="496">
        <v>2</v>
      </c>
      <c r="L56" s="496">
        <v>2</v>
      </c>
      <c r="M56" s="496">
        <v>2</v>
      </c>
      <c r="N56" s="496">
        <v>2</v>
      </c>
      <c r="O56" s="496">
        <v>3</v>
      </c>
      <c r="P56" s="496">
        <v>5</v>
      </c>
      <c r="Q56" s="496">
        <v>6</v>
      </c>
      <c r="R56" s="496">
        <v>7</v>
      </c>
      <c r="S56" s="496">
        <v>8</v>
      </c>
      <c r="T56" s="496">
        <v>8</v>
      </c>
      <c r="U56" s="496">
        <v>9</v>
      </c>
      <c r="V56" s="496">
        <v>16</v>
      </c>
      <c r="W56" s="496">
        <v>17</v>
      </c>
      <c r="X56" s="496">
        <v>14</v>
      </c>
      <c r="Y56" s="496">
        <v>13</v>
      </c>
      <c r="Z56" s="496">
        <v>13</v>
      </c>
      <c r="AA56" s="496">
        <v>13</v>
      </c>
      <c r="AB56" s="498">
        <v>10</v>
      </c>
      <c r="AC56" s="499">
        <v>11</v>
      </c>
      <c r="AD56" s="499">
        <v>11</v>
      </c>
      <c r="AE56" s="499">
        <v>11</v>
      </c>
      <c r="AF56" s="499">
        <f>8+3</f>
        <v>11</v>
      </c>
      <c r="AG56" s="499">
        <v>8</v>
      </c>
      <c r="AH56" s="499">
        <v>8</v>
      </c>
      <c r="AI56" s="499">
        <v>8</v>
      </c>
      <c r="AJ56" s="500">
        <v>9</v>
      </c>
      <c r="AK56" s="499">
        <v>10</v>
      </c>
      <c r="AL56" s="499">
        <v>12</v>
      </c>
      <c r="AM56" s="499">
        <v>16</v>
      </c>
      <c r="AN56" s="499">
        <v>18</v>
      </c>
      <c r="AO56" s="499">
        <v>20</v>
      </c>
      <c r="AP56" s="499">
        <v>23</v>
      </c>
      <c r="AQ56" s="499">
        <v>26</v>
      </c>
      <c r="AR56" s="499">
        <v>26</v>
      </c>
      <c r="AS56" s="499">
        <v>25</v>
      </c>
      <c r="AT56" s="499">
        <v>25</v>
      </c>
      <c r="AU56" s="499">
        <v>23</v>
      </c>
      <c r="AV56" s="499">
        <v>25</v>
      </c>
      <c r="AW56" s="499">
        <v>24</v>
      </c>
      <c r="AX56" s="499">
        <v>29</v>
      </c>
      <c r="AY56" s="499">
        <v>29</v>
      </c>
      <c r="AZ56" s="499">
        <v>29</v>
      </c>
      <c r="BA56" s="499">
        <v>26</v>
      </c>
      <c r="BB56" s="499">
        <v>28</v>
      </c>
      <c r="BC56" s="499">
        <v>22</v>
      </c>
      <c r="BD56" s="499">
        <v>22</v>
      </c>
      <c r="BE56" s="499">
        <v>13</v>
      </c>
      <c r="BF56" s="499">
        <v>15</v>
      </c>
      <c r="BG56" s="499">
        <v>20</v>
      </c>
      <c r="BH56" s="499">
        <v>22</v>
      </c>
      <c r="BI56" s="499">
        <v>16</v>
      </c>
      <c r="BJ56" s="499">
        <v>0</v>
      </c>
      <c r="BK56" s="499">
        <v>0</v>
      </c>
      <c r="BL56" s="499">
        <v>0</v>
      </c>
      <c r="BM56" s="499">
        <v>0</v>
      </c>
      <c r="BN56" s="499">
        <v>0</v>
      </c>
      <c r="BO56" s="499">
        <v>0</v>
      </c>
      <c r="BP56" s="499">
        <v>0</v>
      </c>
      <c r="BQ56" s="499">
        <v>0</v>
      </c>
      <c r="BR56" s="499">
        <v>0</v>
      </c>
      <c r="BS56" s="499">
        <v>0</v>
      </c>
      <c r="BT56" s="499">
        <v>0</v>
      </c>
      <c r="BU56" s="499">
        <v>0</v>
      </c>
      <c r="BV56" s="499">
        <v>0</v>
      </c>
      <c r="BW56" s="499">
        <v>0</v>
      </c>
      <c r="BX56" s="501">
        <v>0</v>
      </c>
      <c r="BY56" s="502">
        <v>0</v>
      </c>
      <c r="BZ56" s="500">
        <f>0</f>
        <v>0</v>
      </c>
      <c r="CA56" s="500">
        <f>0</f>
        <v>0</v>
      </c>
      <c r="CB56" s="500">
        <f>0</f>
        <v>0</v>
      </c>
      <c r="CC56" s="500">
        <f>0</f>
        <v>0</v>
      </c>
      <c r="CD56" s="500">
        <f>0</f>
        <v>0</v>
      </c>
      <c r="CE56" s="500">
        <f>0</f>
        <v>0</v>
      </c>
      <c r="CF56" s="500">
        <f>0</f>
        <v>0</v>
      </c>
      <c r="CG56" s="500">
        <f>0</f>
        <v>0</v>
      </c>
      <c r="CH56" s="500">
        <f>0</f>
        <v>0</v>
      </c>
      <c r="CI56" s="500">
        <f>0</f>
        <v>0</v>
      </c>
      <c r="CJ56" s="500">
        <f>0</f>
        <v>0</v>
      </c>
      <c r="CK56" s="500">
        <f>0</f>
        <v>0</v>
      </c>
    </row>
    <row r="57" spans="1:89" ht="15.75" customHeight="1" x14ac:dyDescent="0.2">
      <c r="A57" s="532" t="s">
        <v>321</v>
      </c>
      <c r="B57" s="467">
        <v>221295.57142857101</v>
      </c>
      <c r="C57" s="468">
        <v>238457</v>
      </c>
      <c r="D57" s="468">
        <v>215350</v>
      </c>
      <c r="E57" s="468">
        <v>213274</v>
      </c>
      <c r="F57" s="468">
        <v>212274</v>
      </c>
      <c r="G57" s="468">
        <v>313049</v>
      </c>
      <c r="H57" s="468">
        <v>184874</v>
      </c>
      <c r="I57" s="468">
        <v>198646</v>
      </c>
      <c r="J57" s="468">
        <v>219274</v>
      </c>
      <c r="K57" s="468">
        <v>212069.92607802874</v>
      </c>
      <c r="L57" s="468">
        <v>308776.23244755244</v>
      </c>
      <c r="M57" s="468">
        <v>227988.32461977188</v>
      </c>
      <c r="N57" s="468">
        <v>271019.30862329801</v>
      </c>
      <c r="O57" s="468">
        <v>265848.97740886529</v>
      </c>
      <c r="P57" s="468">
        <v>316134.40947546531</v>
      </c>
      <c r="Q57" s="468">
        <v>230804.79152262138</v>
      </c>
      <c r="R57" s="468">
        <v>191953.38219284604</v>
      </c>
      <c r="S57" s="468">
        <v>146916</v>
      </c>
      <c r="T57" s="468">
        <v>123184.84669811321</v>
      </c>
      <c r="U57" s="468">
        <v>370111.49036991748</v>
      </c>
      <c r="V57" s="468">
        <v>335424.70388116915</v>
      </c>
      <c r="W57" s="468">
        <v>298583.17467853607</v>
      </c>
      <c r="X57" s="468">
        <v>387342.33863275038</v>
      </c>
      <c r="Y57" s="468">
        <v>256214.47642255004</v>
      </c>
      <c r="Z57" s="468">
        <v>597957.88500000001</v>
      </c>
      <c r="AA57" s="468">
        <v>313076.08524124883</v>
      </c>
      <c r="AB57" s="471">
        <v>462722.72928237199</v>
      </c>
      <c r="AC57" s="472">
        <v>518956.83783722413</v>
      </c>
      <c r="AD57" s="472">
        <v>553461.91127711616</v>
      </c>
      <c r="AE57" s="472">
        <v>384127.08808290161</v>
      </c>
      <c r="AF57" s="472">
        <v>349581.30375426618</v>
      </c>
      <c r="AG57" s="472">
        <v>410133.38899301417</v>
      </c>
      <c r="AH57" s="472">
        <v>430497.13168187748</v>
      </c>
      <c r="AI57" s="472">
        <v>566633.96599234559</v>
      </c>
      <c r="AJ57" s="469">
        <v>517413.34819994133</v>
      </c>
      <c r="AK57" s="472">
        <v>352529.37120702956</v>
      </c>
      <c r="AL57" s="472">
        <v>252644.45223602152</v>
      </c>
      <c r="AM57" s="472">
        <v>460594.77643594309</v>
      </c>
      <c r="AN57" s="472">
        <v>498979.59069502365</v>
      </c>
      <c r="AO57" s="472">
        <v>567104.50840550393</v>
      </c>
      <c r="AP57" s="472">
        <v>666595.19886233087</v>
      </c>
      <c r="AQ57" s="472">
        <v>819779.54676199006</v>
      </c>
      <c r="AR57" s="472">
        <v>793289.10455107212</v>
      </c>
      <c r="AS57" s="472">
        <v>783436.72008220211</v>
      </c>
      <c r="AT57" s="472">
        <v>676719.39984471386</v>
      </c>
      <c r="AU57" s="472">
        <v>682183.81487904943</v>
      </c>
      <c r="AV57" s="472">
        <v>663748.58366304089</v>
      </c>
      <c r="AW57" s="472">
        <v>1260088.0214102562</v>
      </c>
      <c r="AX57" s="472">
        <f>929871.700120624-184563</f>
        <v>745308.70012062404</v>
      </c>
      <c r="AY57" s="472">
        <v>678806.09060875722</v>
      </c>
      <c r="AZ57" s="472">
        <v>0</v>
      </c>
      <c r="BA57" s="472">
        <v>0</v>
      </c>
      <c r="BB57" s="472">
        <v>0</v>
      </c>
      <c r="BC57" s="472">
        <v>0</v>
      </c>
      <c r="BD57" s="472">
        <v>0</v>
      </c>
      <c r="BE57" s="472">
        <v>0</v>
      </c>
      <c r="BF57" s="472">
        <v>0</v>
      </c>
      <c r="BG57" s="472">
        <v>0</v>
      </c>
      <c r="BH57" s="472">
        <v>0</v>
      </c>
      <c r="BI57" s="472">
        <v>0</v>
      </c>
      <c r="BJ57" s="472">
        <v>0</v>
      </c>
      <c r="BK57" s="472">
        <v>0</v>
      </c>
      <c r="BL57" s="472">
        <v>0</v>
      </c>
      <c r="BM57" s="472">
        <v>0</v>
      </c>
      <c r="BN57" s="472">
        <v>0</v>
      </c>
      <c r="BO57" s="472">
        <v>0</v>
      </c>
      <c r="BP57" s="472">
        <v>0</v>
      </c>
      <c r="BQ57" s="472">
        <v>0</v>
      </c>
      <c r="BR57" s="472">
        <v>0</v>
      </c>
      <c r="BS57" s="472">
        <v>0</v>
      </c>
      <c r="BT57" s="472">
        <v>0</v>
      </c>
      <c r="BU57" s="472">
        <v>0</v>
      </c>
      <c r="BV57" s="472">
        <v>0</v>
      </c>
      <c r="BW57" s="472">
        <v>0</v>
      </c>
      <c r="BX57" s="473">
        <v>0</v>
      </c>
      <c r="BY57" s="474">
        <v>0</v>
      </c>
      <c r="BZ57" s="469">
        <v>0</v>
      </c>
      <c r="CA57" s="469">
        <v>0</v>
      </c>
      <c r="CB57" s="469">
        <v>0</v>
      </c>
      <c r="CC57" s="469">
        <v>0</v>
      </c>
      <c r="CD57" s="469">
        <v>0</v>
      </c>
      <c r="CE57" s="469">
        <v>0</v>
      </c>
      <c r="CF57" s="469">
        <v>0</v>
      </c>
      <c r="CG57" s="469">
        <v>0</v>
      </c>
      <c r="CH57" s="469">
        <v>0</v>
      </c>
      <c r="CI57" s="469">
        <v>0</v>
      </c>
      <c r="CJ57" s="469">
        <v>0</v>
      </c>
      <c r="CK57" s="469">
        <v>0</v>
      </c>
    </row>
    <row r="58" spans="1:89" ht="15.75" customHeight="1" x14ac:dyDescent="0.2">
      <c r="A58" s="466" t="s">
        <v>152</v>
      </c>
      <c r="B58" s="467">
        <v>3512</v>
      </c>
      <c r="C58" s="468">
        <v>6889</v>
      </c>
      <c r="D58" s="468">
        <v>10182</v>
      </c>
      <c r="E58" s="468">
        <v>16445</v>
      </c>
      <c r="F58" s="468">
        <v>18520</v>
      </c>
      <c r="G58" s="468">
        <v>10744</v>
      </c>
      <c r="H58" s="468">
        <v>10943</v>
      </c>
      <c r="I58" s="468">
        <v>7548</v>
      </c>
      <c r="J58" s="468">
        <v>4338</v>
      </c>
      <c r="K58" s="468">
        <v>6660.7330595482545</v>
      </c>
      <c r="L58" s="468">
        <v>11088.855664335664</v>
      </c>
      <c r="M58" s="468">
        <v>10172.006416349812</v>
      </c>
      <c r="N58" s="468">
        <v>18158.724092284418</v>
      </c>
      <c r="O58" s="468">
        <v>26504.644874208454</v>
      </c>
      <c r="P58" s="468">
        <v>41363.854483925556</v>
      </c>
      <c r="Q58" s="468">
        <v>32790.632947542457</v>
      </c>
      <c r="R58" s="468">
        <v>16044.383748055987</v>
      </c>
      <c r="S58" s="468">
        <v>13097.340377226685</v>
      </c>
      <c r="T58" s="468">
        <v>20768.278301886792</v>
      </c>
      <c r="U58" s="468">
        <v>15569.286456741056</v>
      </c>
      <c r="V58" s="468">
        <v>18043.981312889315</v>
      </c>
      <c r="W58" s="468">
        <v>15695.148763600395</v>
      </c>
      <c r="X58" s="468">
        <v>23317.917329093802</v>
      </c>
      <c r="Y58" s="468">
        <v>15321.978398314015</v>
      </c>
      <c r="Z58" s="468">
        <v>51095.944328812853</v>
      </c>
      <c r="AA58" s="468">
        <v>7848.0794701986752</v>
      </c>
      <c r="AB58" s="471">
        <v>5494.777705345502</v>
      </c>
      <c r="AC58" s="472">
        <v>14272.773460848774</v>
      </c>
      <c r="AD58" s="472">
        <v>20033.80506192784</v>
      </c>
      <c r="AE58" s="472">
        <v>33703.736308316431</v>
      </c>
      <c r="AF58" s="472">
        <v>51688.997658536588</v>
      </c>
      <c r="AG58" s="472">
        <v>72462.959725792622</v>
      </c>
      <c r="AH58" s="472">
        <v>64410.075289575296</v>
      </c>
      <c r="AI58" s="472">
        <v>95924.420649923486</v>
      </c>
      <c r="AJ58" s="469">
        <v>52455.359018906493</v>
      </c>
      <c r="AK58" s="472">
        <v>43399.126740618362</v>
      </c>
      <c r="AL58" s="472">
        <v>36489.24729672799</v>
      </c>
      <c r="AM58" s="472">
        <v>10680.130281690141</v>
      </c>
      <c r="AN58" s="472">
        <v>25947.497642364888</v>
      </c>
      <c r="AO58" s="472">
        <v>195465.34120889939</v>
      </c>
      <c r="AP58" s="472">
        <v>221826.17862165964</v>
      </c>
      <c r="AQ58" s="472">
        <v>452154.29739603464</v>
      </c>
      <c r="AR58" s="472">
        <v>1037129.3073257891</v>
      </c>
      <c r="AS58" s="472">
        <v>596942.40196410427</v>
      </c>
      <c r="AT58" s="472">
        <v>400392.29452765832</v>
      </c>
      <c r="AU58" s="472">
        <v>536003.13873581844</v>
      </c>
      <c r="AV58" s="472">
        <v>554660.61135071563</v>
      </c>
      <c r="AW58" s="472">
        <v>624056.43344629579</v>
      </c>
      <c r="AX58" s="472">
        <v>532950.32149691693</v>
      </c>
      <c r="AY58" s="472">
        <v>516991.85917920526</v>
      </c>
      <c r="AZ58" s="472">
        <f>2049103.35432563-1680762+140541</f>
        <v>508882.35432563</v>
      </c>
      <c r="BA58" s="472">
        <v>620253.21170000336</v>
      </c>
      <c r="BB58" s="472">
        <v>650293.53975671728</v>
      </c>
      <c r="BC58" s="472">
        <v>784272.41214495129</v>
      </c>
      <c r="BD58" s="472">
        <v>618226.83677886601</v>
      </c>
      <c r="BE58" s="472">
        <v>585054.65253365762</v>
      </c>
      <c r="BF58" s="472">
        <v>605239.97656251537</v>
      </c>
      <c r="BG58" s="472">
        <v>591701.87786997401</v>
      </c>
      <c r="BH58" s="472">
        <v>640707.17611193692</v>
      </c>
      <c r="BI58" s="472">
        <v>564763.61387084564</v>
      </c>
      <c r="BJ58" s="472">
        <v>0</v>
      </c>
      <c r="BK58" s="472">
        <v>0</v>
      </c>
      <c r="BL58" s="472">
        <v>0</v>
      </c>
      <c r="BM58" s="472">
        <v>0</v>
      </c>
      <c r="BN58" s="472">
        <v>0</v>
      </c>
      <c r="BO58" s="472">
        <v>0</v>
      </c>
      <c r="BP58" s="472">
        <v>0</v>
      </c>
      <c r="BQ58" s="472">
        <v>0</v>
      </c>
      <c r="BR58" s="472">
        <v>0</v>
      </c>
      <c r="BS58" s="472">
        <v>0</v>
      </c>
      <c r="BT58" s="472">
        <v>0</v>
      </c>
      <c r="BU58" s="472">
        <v>0</v>
      </c>
      <c r="BV58" s="472">
        <v>0</v>
      </c>
      <c r="BW58" s="472">
        <v>0</v>
      </c>
      <c r="BX58" s="473">
        <v>0</v>
      </c>
      <c r="BY58" s="474">
        <v>0</v>
      </c>
      <c r="BZ58" s="469">
        <f>0</f>
        <v>0</v>
      </c>
      <c r="CA58" s="469">
        <f>0</f>
        <v>0</v>
      </c>
      <c r="CB58" s="469">
        <f>0</f>
        <v>0</v>
      </c>
      <c r="CC58" s="469">
        <f>0</f>
        <v>0</v>
      </c>
      <c r="CD58" s="469">
        <f>0</f>
        <v>0</v>
      </c>
      <c r="CE58" s="469">
        <f>0</f>
        <v>0</v>
      </c>
      <c r="CF58" s="469">
        <f>0</f>
        <v>0</v>
      </c>
      <c r="CG58" s="469">
        <f>0</f>
        <v>0</v>
      </c>
      <c r="CH58" s="469">
        <f>0</f>
        <v>0</v>
      </c>
      <c r="CI58" s="469">
        <f>0</f>
        <v>0</v>
      </c>
      <c r="CJ58" s="469">
        <f>0</f>
        <v>0</v>
      </c>
      <c r="CK58" s="469">
        <f>0</f>
        <v>0</v>
      </c>
    </row>
    <row r="59" spans="1:89" ht="15.75" customHeight="1" x14ac:dyDescent="0.2">
      <c r="A59" s="466" t="s">
        <v>51</v>
      </c>
      <c r="B59" s="467">
        <v>0</v>
      </c>
      <c r="C59" s="468">
        <v>0</v>
      </c>
      <c r="D59" s="468">
        <v>0</v>
      </c>
      <c r="E59" s="468">
        <v>0</v>
      </c>
      <c r="F59" s="468">
        <v>0</v>
      </c>
      <c r="G59" s="468">
        <v>0</v>
      </c>
      <c r="H59" s="468">
        <v>0</v>
      </c>
      <c r="I59" s="468">
        <v>0</v>
      </c>
      <c r="J59" s="468">
        <v>35198</v>
      </c>
      <c r="K59" s="468">
        <v>19159</v>
      </c>
      <c r="L59" s="468">
        <v>43462</v>
      </c>
      <c r="M59" s="468">
        <v>140008</v>
      </c>
      <c r="N59" s="468">
        <v>37213</v>
      </c>
      <c r="O59" s="468">
        <v>38956</v>
      </c>
      <c r="P59" s="468">
        <v>94635</v>
      </c>
      <c r="Q59" s="468">
        <v>107993</v>
      </c>
      <c r="R59" s="468">
        <v>26852</v>
      </c>
      <c r="S59" s="468">
        <v>122827.57</v>
      </c>
      <c r="T59" s="468">
        <v>107450.34</v>
      </c>
      <c r="U59" s="468">
        <v>82270</v>
      </c>
      <c r="V59" s="468">
        <v>41701.65</v>
      </c>
      <c r="W59" s="468">
        <v>131127</v>
      </c>
      <c r="X59" s="468">
        <v>88176</v>
      </c>
      <c r="Y59" s="468">
        <v>139591.51999999999</v>
      </c>
      <c r="Z59" s="468">
        <v>0</v>
      </c>
      <c r="AA59" s="468">
        <v>24355</v>
      </c>
      <c r="AB59" s="471">
        <v>12920</v>
      </c>
      <c r="AC59" s="472">
        <v>125008</v>
      </c>
      <c r="AD59" s="472">
        <v>100142</v>
      </c>
      <c r="AE59" s="472">
        <v>80884</v>
      </c>
      <c r="AF59" s="472">
        <v>54017</v>
      </c>
      <c r="AG59" s="472">
        <v>48896.62</v>
      </c>
      <c r="AH59" s="472">
        <v>52826</v>
      </c>
      <c r="AI59" s="472">
        <v>69246</v>
      </c>
      <c r="AJ59" s="469">
        <v>64135.42</v>
      </c>
      <c r="AK59" s="472">
        <v>51493.57</v>
      </c>
      <c r="AL59" s="472">
        <v>13098</v>
      </c>
      <c r="AM59" s="472">
        <v>32862.57</v>
      </c>
      <c r="AN59" s="472">
        <v>8215</v>
      </c>
      <c r="AO59" s="472">
        <v>137227</v>
      </c>
      <c r="AP59" s="472">
        <v>188857.5</v>
      </c>
      <c r="AQ59" s="472">
        <v>360291</v>
      </c>
      <c r="AR59" s="472">
        <v>310376</v>
      </c>
      <c r="AS59" s="472">
        <v>241160</v>
      </c>
      <c r="AT59" s="472">
        <v>563922</v>
      </c>
      <c r="AU59" s="472">
        <v>212271</v>
      </c>
      <c r="AV59" s="472">
        <v>560935</v>
      </c>
      <c r="AW59" s="472">
        <v>910978</v>
      </c>
      <c r="AX59" s="472">
        <f>75000+256100</f>
        <v>331100</v>
      </c>
      <c r="AY59" s="472">
        <v>436600</v>
      </c>
      <c r="AZ59" s="472">
        <v>362961</v>
      </c>
      <c r="BA59" s="472">
        <v>438588</v>
      </c>
      <c r="BB59" s="472">
        <v>442298</v>
      </c>
      <c r="BC59" s="472">
        <v>398056</v>
      </c>
      <c r="BD59" s="472">
        <v>200109</v>
      </c>
      <c r="BE59" s="472">
        <v>181693</v>
      </c>
      <c r="BF59" s="472">
        <v>373165</v>
      </c>
      <c r="BG59" s="472">
        <v>236557</v>
      </c>
      <c r="BH59" s="472">
        <v>335435</v>
      </c>
      <c r="BI59" s="472">
        <v>414704</v>
      </c>
      <c r="BJ59" s="472">
        <v>0</v>
      </c>
      <c r="BK59" s="472">
        <v>0</v>
      </c>
      <c r="BL59" s="472">
        <v>0</v>
      </c>
      <c r="BM59" s="472">
        <v>0</v>
      </c>
      <c r="BN59" s="472">
        <v>0</v>
      </c>
      <c r="BO59" s="472">
        <v>0</v>
      </c>
      <c r="BP59" s="472">
        <v>0</v>
      </c>
      <c r="BQ59" s="472">
        <v>0</v>
      </c>
      <c r="BR59" s="472">
        <v>0</v>
      </c>
      <c r="BS59" s="472">
        <v>0</v>
      </c>
      <c r="BT59" s="472">
        <v>0</v>
      </c>
      <c r="BU59" s="472">
        <v>0</v>
      </c>
      <c r="BV59" s="472">
        <v>0</v>
      </c>
      <c r="BW59" s="472">
        <v>0</v>
      </c>
      <c r="BX59" s="473">
        <v>0</v>
      </c>
      <c r="BY59" s="474">
        <v>0</v>
      </c>
      <c r="BZ59" s="469">
        <f>0</f>
        <v>0</v>
      </c>
      <c r="CA59" s="469">
        <f>0</f>
        <v>0</v>
      </c>
      <c r="CB59" s="469">
        <f>0</f>
        <v>0</v>
      </c>
      <c r="CC59" s="469">
        <f>0</f>
        <v>0</v>
      </c>
      <c r="CD59" s="469">
        <f>0</f>
        <v>0</v>
      </c>
      <c r="CE59" s="469">
        <f>0</f>
        <v>0</v>
      </c>
      <c r="CF59" s="469">
        <f>0</f>
        <v>0</v>
      </c>
      <c r="CG59" s="469">
        <f>0</f>
        <v>0</v>
      </c>
      <c r="CH59" s="469">
        <f>0</f>
        <v>0</v>
      </c>
      <c r="CI59" s="469">
        <f>0</f>
        <v>0</v>
      </c>
      <c r="CJ59" s="469">
        <f>0</f>
        <v>0</v>
      </c>
      <c r="CK59" s="469">
        <f>0</f>
        <v>0</v>
      </c>
    </row>
    <row r="60" spans="1:89" ht="15.75" customHeight="1" x14ac:dyDescent="0.2">
      <c r="A60" s="466" t="s">
        <v>52</v>
      </c>
      <c r="B60" s="467">
        <v>0</v>
      </c>
      <c r="C60" s="468">
        <v>0</v>
      </c>
      <c r="D60" s="468">
        <v>0</v>
      </c>
      <c r="E60" s="468">
        <v>0</v>
      </c>
      <c r="F60" s="468">
        <v>0</v>
      </c>
      <c r="G60" s="468">
        <v>0</v>
      </c>
      <c r="H60" s="468">
        <v>0</v>
      </c>
      <c r="I60" s="468">
        <v>0</v>
      </c>
      <c r="J60" s="468">
        <v>77364.34</v>
      </c>
      <c r="K60" s="468">
        <v>25384</v>
      </c>
      <c r="L60" s="468">
        <v>25671</v>
      </c>
      <c r="M60" s="468">
        <v>36542</v>
      </c>
      <c r="N60" s="468">
        <v>11488</v>
      </c>
      <c r="O60" s="468">
        <v>23758</v>
      </c>
      <c r="P60" s="468">
        <v>38727</v>
      </c>
      <c r="Q60" s="468">
        <v>187704</v>
      </c>
      <c r="R60" s="468">
        <v>294969</v>
      </c>
      <c r="S60" s="468">
        <v>170853</v>
      </c>
      <c r="T60" s="468">
        <v>147201</v>
      </c>
      <c r="U60" s="468">
        <v>157570.93</v>
      </c>
      <c r="V60" s="468">
        <v>76950</v>
      </c>
      <c r="W60" s="468">
        <v>213865</v>
      </c>
      <c r="X60" s="468">
        <v>168120</v>
      </c>
      <c r="Y60" s="468">
        <v>166443</v>
      </c>
      <c r="Z60" s="468">
        <v>0</v>
      </c>
      <c r="AA60" s="468">
        <v>172333</v>
      </c>
      <c r="AB60" s="471">
        <v>43934.6</v>
      </c>
      <c r="AC60" s="472">
        <v>169216</v>
      </c>
      <c r="AD60" s="472">
        <v>147367</v>
      </c>
      <c r="AE60" s="472">
        <v>76230.25</v>
      </c>
      <c r="AF60" s="472">
        <v>88723</v>
      </c>
      <c r="AG60" s="472">
        <v>53285</v>
      </c>
      <c r="AH60" s="472">
        <v>63794</v>
      </c>
      <c r="AI60" s="472">
        <v>47675</v>
      </c>
      <c r="AJ60" s="469">
        <f>111400+221296</f>
        <v>332696</v>
      </c>
      <c r="AK60" s="472">
        <v>122572</v>
      </c>
      <c r="AL60" s="472">
        <v>140738</v>
      </c>
      <c r="AM60" s="472">
        <v>152263</v>
      </c>
      <c r="AN60" s="472">
        <v>52594</v>
      </c>
      <c r="AO60" s="472">
        <v>42991</v>
      </c>
      <c r="AP60" s="472">
        <v>101004</v>
      </c>
      <c r="AQ60" s="472">
        <v>176057</v>
      </c>
      <c r="AR60" s="472">
        <f>274385-164750</f>
        <v>109635</v>
      </c>
      <c r="AS60" s="472">
        <v>225145.40000000002</v>
      </c>
      <c r="AT60" s="472">
        <v>149751.72</v>
      </c>
      <c r="AU60" s="472">
        <v>207664.13</v>
      </c>
      <c r="AV60" s="472">
        <v>52043</v>
      </c>
      <c r="AW60" s="472">
        <v>189270.84</v>
      </c>
      <c r="AX60" s="472">
        <v>38500</v>
      </c>
      <c r="AY60" s="472">
        <v>116319</v>
      </c>
      <c r="AZ60" s="472">
        <v>215958</v>
      </c>
      <c r="BA60" s="472">
        <v>196521</v>
      </c>
      <c r="BB60" s="472">
        <v>225575</v>
      </c>
      <c r="BC60" s="472">
        <v>227317</v>
      </c>
      <c r="BD60" s="472">
        <v>200609.65</v>
      </c>
      <c r="BE60" s="472">
        <v>260516</v>
      </c>
      <c r="BF60" s="472">
        <v>251963.46</v>
      </c>
      <c r="BG60" s="472">
        <v>178261</v>
      </c>
      <c r="BH60" s="472">
        <v>334833</v>
      </c>
      <c r="BI60" s="472">
        <v>166380</v>
      </c>
      <c r="BJ60" s="472">
        <v>0</v>
      </c>
      <c r="BK60" s="472">
        <v>0</v>
      </c>
      <c r="BL60" s="472">
        <v>0</v>
      </c>
      <c r="BM60" s="472">
        <v>0</v>
      </c>
      <c r="BN60" s="472">
        <v>0</v>
      </c>
      <c r="BO60" s="472">
        <v>0</v>
      </c>
      <c r="BP60" s="472">
        <v>0</v>
      </c>
      <c r="BQ60" s="472">
        <v>0</v>
      </c>
      <c r="BR60" s="472">
        <v>0</v>
      </c>
      <c r="BS60" s="472">
        <v>0</v>
      </c>
      <c r="BT60" s="472">
        <v>0</v>
      </c>
      <c r="BU60" s="472">
        <v>0</v>
      </c>
      <c r="BV60" s="472">
        <v>0</v>
      </c>
      <c r="BW60" s="472">
        <v>0</v>
      </c>
      <c r="BX60" s="473">
        <v>0</v>
      </c>
      <c r="BY60" s="474">
        <v>0</v>
      </c>
      <c r="BZ60" s="469">
        <f>0</f>
        <v>0</v>
      </c>
      <c r="CA60" s="469">
        <f>0</f>
        <v>0</v>
      </c>
      <c r="CB60" s="469">
        <f>0</f>
        <v>0</v>
      </c>
      <c r="CC60" s="469">
        <f>0</f>
        <v>0</v>
      </c>
      <c r="CD60" s="469">
        <f>0</f>
        <v>0</v>
      </c>
      <c r="CE60" s="469">
        <f>0</f>
        <v>0</v>
      </c>
      <c r="CF60" s="469">
        <f>0</f>
        <v>0</v>
      </c>
      <c r="CG60" s="469">
        <f>0</f>
        <v>0</v>
      </c>
      <c r="CH60" s="469">
        <f>0</f>
        <v>0</v>
      </c>
      <c r="CI60" s="469">
        <f>0</f>
        <v>0</v>
      </c>
      <c r="CJ60" s="469">
        <f>0</f>
        <v>0</v>
      </c>
      <c r="CK60" s="469">
        <f>0</f>
        <v>0</v>
      </c>
    </row>
    <row r="61" spans="1:89" ht="15.75" customHeight="1" x14ac:dyDescent="0.2">
      <c r="A61" s="485" t="s">
        <v>53</v>
      </c>
      <c r="B61" s="523">
        <f t="shared" ref="B61:BI61" si="57">B53/B20</f>
        <v>8.1184851058077712E-2</v>
      </c>
      <c r="C61" s="486">
        <f t="shared" si="57"/>
        <v>8.0071545031821262E-2</v>
      </c>
      <c r="D61" s="486">
        <f t="shared" si="57"/>
        <v>8.8095609178090797E-2</v>
      </c>
      <c r="E61" s="486">
        <f t="shared" si="57"/>
        <v>5.6307704384893513E-2</v>
      </c>
      <c r="F61" s="486">
        <f t="shared" si="57"/>
        <v>7.8444018444848579E-2</v>
      </c>
      <c r="G61" s="486">
        <f t="shared" si="57"/>
        <v>0.11536031547311106</v>
      </c>
      <c r="H61" s="486">
        <f t="shared" si="57"/>
        <v>8.0372270347861402E-2</v>
      </c>
      <c r="I61" s="486">
        <f t="shared" si="57"/>
        <v>6.5191187078850674E-2</v>
      </c>
      <c r="J61" s="486">
        <f t="shared" si="57"/>
        <v>9.8970342277976936E-2</v>
      </c>
      <c r="K61" s="486">
        <f t="shared" si="57"/>
        <v>6.9521145241725535E-2</v>
      </c>
      <c r="L61" s="486">
        <f t="shared" si="57"/>
        <v>6.1549908863605361E-2</v>
      </c>
      <c r="M61" s="486">
        <f t="shared" si="57"/>
        <v>7.8370352501613352E-2</v>
      </c>
      <c r="N61" s="486">
        <f t="shared" si="57"/>
        <v>5.0359773758604127E-2</v>
      </c>
      <c r="O61" s="486">
        <f t="shared" si="57"/>
        <v>7.691169255535428E-2</v>
      </c>
      <c r="P61" s="486">
        <f t="shared" si="57"/>
        <v>8.8590286073559343E-2</v>
      </c>
      <c r="Q61" s="486">
        <f t="shared" si="57"/>
        <v>9.1103274751120941E-2</v>
      </c>
      <c r="R61" s="489">
        <f t="shared" si="57"/>
        <v>0.15853876462431185</v>
      </c>
      <c r="S61" s="486">
        <f t="shared" si="57"/>
        <v>0.18690040528388044</v>
      </c>
      <c r="T61" s="495">
        <f t="shared" si="57"/>
        <v>0.23782430407607785</v>
      </c>
      <c r="U61" s="486">
        <f t="shared" si="57"/>
        <v>0.2526466514028966</v>
      </c>
      <c r="V61" s="486">
        <f t="shared" si="57"/>
        <v>0.17845699227864675</v>
      </c>
      <c r="W61" s="486">
        <f t="shared" si="57"/>
        <v>0.19692912499570847</v>
      </c>
      <c r="X61" s="486">
        <f t="shared" si="57"/>
        <v>0.11494603974297024</v>
      </c>
      <c r="Y61" s="486">
        <f t="shared" si="57"/>
        <v>0.20948296776122952</v>
      </c>
      <c r="Z61" s="486">
        <f t="shared" si="57"/>
        <v>12.768837479033252</v>
      </c>
      <c r="AA61" s="486">
        <f t="shared" si="57"/>
        <v>0.20908012158396541</v>
      </c>
      <c r="AB61" s="487">
        <f t="shared" si="57"/>
        <v>0.20563657528804433</v>
      </c>
      <c r="AC61" s="488">
        <f t="shared" si="57"/>
        <v>0.19635981828948007</v>
      </c>
      <c r="AD61" s="488">
        <f t="shared" si="57"/>
        <v>0.1626498562117549</v>
      </c>
      <c r="AE61" s="488">
        <f t="shared" si="57"/>
        <v>0.11892101202354446</v>
      </c>
      <c r="AF61" s="488">
        <f t="shared" si="57"/>
        <v>0.12539440846358088</v>
      </c>
      <c r="AG61" s="488">
        <f t="shared" si="57"/>
        <v>8.7892455247554915E-2</v>
      </c>
      <c r="AH61" s="488">
        <f t="shared" si="57"/>
        <v>6.7295715116741261E-2</v>
      </c>
      <c r="AI61" s="488">
        <f t="shared" si="57"/>
        <v>6.9678761430098102E-2</v>
      </c>
      <c r="AJ61" s="489">
        <f t="shared" si="57"/>
        <v>9.2774285001373399E-2</v>
      </c>
      <c r="AK61" s="488">
        <f t="shared" si="57"/>
        <v>9.4141357171288187E-2</v>
      </c>
      <c r="AL61" s="488">
        <f t="shared" si="57"/>
        <v>5.4538345513791719E-2</v>
      </c>
      <c r="AM61" s="488">
        <f t="shared" si="57"/>
        <v>9.6201142615063684E-2</v>
      </c>
      <c r="AN61" s="488">
        <f t="shared" si="57"/>
        <v>4.9984378382411793E-2</v>
      </c>
      <c r="AO61" s="488">
        <f t="shared" si="57"/>
        <v>4.8450497162586058E-2</v>
      </c>
      <c r="AP61" s="488">
        <f t="shared" si="57"/>
        <v>4.424949406202424E-2</v>
      </c>
      <c r="AQ61" s="488">
        <f t="shared" si="57"/>
        <v>5.2771792993448231E-2</v>
      </c>
      <c r="AR61" s="488">
        <f t="shared" si="57"/>
        <v>6.2359534335292267E-2</v>
      </c>
      <c r="AS61" s="488">
        <f t="shared" si="57"/>
        <v>5.9081404755035732E-2</v>
      </c>
      <c r="AT61" s="488">
        <f t="shared" si="57"/>
        <v>5.0704384794620978E-2</v>
      </c>
      <c r="AU61" s="488">
        <f t="shared" si="57"/>
        <v>4.1910441311391509E-2</v>
      </c>
      <c r="AV61" s="488">
        <f t="shared" si="57"/>
        <v>4.5438973321624374E-2</v>
      </c>
      <c r="AW61" s="488">
        <f t="shared" si="57"/>
        <v>5.9549517765333432E-2</v>
      </c>
      <c r="AX61" s="488">
        <f t="shared" si="57"/>
        <v>8.8952205352630737E-2</v>
      </c>
      <c r="AY61" s="488">
        <f t="shared" si="57"/>
        <v>8.5218879170071621E-2</v>
      </c>
      <c r="AZ61" s="488">
        <f t="shared" si="57"/>
        <v>7.7793252271205898E-2</v>
      </c>
      <c r="BA61" s="488">
        <f t="shared" si="57"/>
        <v>9.644582702213228E-2</v>
      </c>
      <c r="BB61" s="488">
        <f t="shared" si="57"/>
        <v>0.1183047764631729</v>
      </c>
      <c r="BC61" s="488">
        <f t="shared" si="57"/>
        <v>0.20863007209627543</v>
      </c>
      <c r="BD61" s="488">
        <f t="shared" si="57"/>
        <v>0.30886558221453481</v>
      </c>
      <c r="BE61" s="488">
        <f t="shared" si="57"/>
        <v>0.10820383074764515</v>
      </c>
      <c r="BF61" s="488">
        <f t="shared" si="57"/>
        <v>6.9423269035764498E-2</v>
      </c>
      <c r="BG61" s="488">
        <f t="shared" si="57"/>
        <v>6.2011420612929614E-2</v>
      </c>
      <c r="BH61" s="488">
        <f t="shared" si="57"/>
        <v>7.9841163850300573E-2</v>
      </c>
      <c r="BI61" s="488">
        <f t="shared" si="57"/>
        <v>5.3493203208333236E-2</v>
      </c>
      <c r="BJ61" s="488">
        <f t="shared" ref="BJ61:BU61" si="58">IFERROR((BJ53/BJ20),0)</f>
        <v>0</v>
      </c>
      <c r="BK61" s="488">
        <f t="shared" si="58"/>
        <v>0</v>
      </c>
      <c r="BL61" s="488">
        <f t="shared" si="58"/>
        <v>0</v>
      </c>
      <c r="BM61" s="488">
        <f t="shared" si="58"/>
        <v>0</v>
      </c>
      <c r="BN61" s="488">
        <f t="shared" si="58"/>
        <v>0</v>
      </c>
      <c r="BO61" s="488">
        <f t="shared" si="58"/>
        <v>0</v>
      </c>
      <c r="BP61" s="488">
        <f t="shared" si="58"/>
        <v>0</v>
      </c>
      <c r="BQ61" s="488">
        <f t="shared" si="58"/>
        <v>0</v>
      </c>
      <c r="BR61" s="488">
        <f t="shared" si="58"/>
        <v>0</v>
      </c>
      <c r="BS61" s="488">
        <f t="shared" si="58"/>
        <v>0</v>
      </c>
      <c r="BT61" s="488">
        <f t="shared" si="58"/>
        <v>0</v>
      </c>
      <c r="BU61" s="488">
        <f t="shared" si="58"/>
        <v>0</v>
      </c>
      <c r="BV61" s="488">
        <f>IFERROR((BV53/BV20),0)</f>
        <v>0</v>
      </c>
      <c r="BW61" s="488">
        <f>IFERROR((BW53/BW20),0)</f>
        <v>0</v>
      </c>
      <c r="BX61" s="490">
        <f>IFERROR((BX53/BX20),0)</f>
        <v>0</v>
      </c>
      <c r="BY61" s="491">
        <f>IFERROR((BY53/BY20),0)</f>
        <v>0</v>
      </c>
      <c r="BZ61" s="489">
        <f>IFERROR((BZ53/BZ20),0)</f>
        <v>0</v>
      </c>
      <c r="CA61" s="489">
        <f t="shared" ref="CA61:CK61" si="59">IFERROR((CA53/CA20),0)</f>
        <v>0</v>
      </c>
      <c r="CB61" s="489">
        <f t="shared" si="59"/>
        <v>0</v>
      </c>
      <c r="CC61" s="489">
        <f t="shared" si="59"/>
        <v>0</v>
      </c>
      <c r="CD61" s="489">
        <f t="shared" si="59"/>
        <v>0</v>
      </c>
      <c r="CE61" s="489">
        <f t="shared" si="59"/>
        <v>0</v>
      </c>
      <c r="CF61" s="489">
        <f t="shared" si="59"/>
        <v>0</v>
      </c>
      <c r="CG61" s="489">
        <f t="shared" si="59"/>
        <v>0</v>
      </c>
      <c r="CH61" s="489">
        <f t="shared" si="59"/>
        <v>0</v>
      </c>
      <c r="CI61" s="489">
        <f t="shared" si="59"/>
        <v>0</v>
      </c>
      <c r="CJ61" s="489">
        <f t="shared" si="59"/>
        <v>0</v>
      </c>
      <c r="CK61" s="489">
        <f t="shared" si="59"/>
        <v>0</v>
      </c>
    </row>
    <row r="62" spans="1:89" ht="15.75" customHeight="1" x14ac:dyDescent="0.2">
      <c r="A62" s="485"/>
      <c r="B62" s="467"/>
      <c r="C62" s="468"/>
      <c r="D62" s="468"/>
      <c r="E62" s="468"/>
      <c r="F62" s="468"/>
      <c r="G62" s="468"/>
      <c r="H62" s="468"/>
      <c r="I62" s="468"/>
      <c r="J62" s="468"/>
      <c r="K62" s="468"/>
      <c r="L62" s="468"/>
      <c r="M62" s="468"/>
      <c r="N62" s="468"/>
      <c r="O62" s="468"/>
      <c r="P62" s="468"/>
      <c r="Q62" s="468"/>
      <c r="R62" s="469"/>
      <c r="S62" s="468"/>
      <c r="T62" s="470"/>
      <c r="U62" s="468"/>
      <c r="V62" s="468"/>
      <c r="W62" s="468"/>
      <c r="X62" s="468"/>
      <c r="Y62" s="468"/>
      <c r="Z62" s="468"/>
      <c r="AA62" s="468"/>
      <c r="AB62" s="471"/>
      <c r="AC62" s="472"/>
      <c r="AD62" s="472"/>
      <c r="AE62" s="472"/>
      <c r="AF62" s="472"/>
      <c r="AG62" s="472"/>
      <c r="AH62" s="472"/>
      <c r="AI62" s="472"/>
      <c r="AJ62" s="469"/>
      <c r="AK62" s="472"/>
      <c r="AL62" s="472"/>
      <c r="AM62" s="472"/>
      <c r="AN62" s="472"/>
      <c r="AO62" s="472"/>
      <c r="AP62" s="472"/>
      <c r="AQ62" s="472"/>
      <c r="AR62" s="472"/>
      <c r="AS62" s="472"/>
      <c r="AT62" s="472"/>
      <c r="AU62" s="472"/>
      <c r="AV62" s="472"/>
      <c r="AW62" s="472"/>
      <c r="AX62" s="472"/>
      <c r="AY62" s="472"/>
      <c r="AZ62" s="472"/>
      <c r="BA62" s="472"/>
      <c r="BB62" s="472"/>
      <c r="BC62" s="472"/>
      <c r="BD62" s="472"/>
      <c r="BE62" s="472"/>
      <c r="BF62" s="472"/>
      <c r="BG62" s="472"/>
      <c r="BH62" s="472"/>
      <c r="BI62" s="472"/>
      <c r="BJ62" s="472"/>
      <c r="BK62" s="472"/>
      <c r="BL62" s="472"/>
      <c r="BM62" s="472"/>
      <c r="BN62" s="472"/>
      <c r="BO62" s="472"/>
      <c r="BP62" s="472"/>
      <c r="BQ62" s="472"/>
      <c r="BR62" s="472"/>
      <c r="BS62" s="472"/>
      <c r="BT62" s="472"/>
      <c r="BU62" s="472"/>
      <c r="BV62" s="472"/>
      <c r="BW62" s="472"/>
      <c r="BX62" s="473"/>
      <c r="BY62" s="474"/>
      <c r="BZ62" s="469"/>
      <c r="CA62" s="469"/>
      <c r="CB62" s="469"/>
      <c r="CC62" s="469"/>
      <c r="CD62" s="469"/>
      <c r="CE62" s="469"/>
      <c r="CF62" s="469"/>
      <c r="CG62" s="469"/>
      <c r="CH62" s="469"/>
      <c r="CI62" s="469"/>
      <c r="CJ62" s="469"/>
      <c r="CK62" s="469"/>
    </row>
    <row r="63" spans="1:89" ht="15.75" customHeight="1" x14ac:dyDescent="0.2">
      <c r="A63" s="457" t="s">
        <v>54</v>
      </c>
      <c r="B63" s="458">
        <f t="shared" ref="B63:BM63" si="60">B50-B53</f>
        <v>-43533.321428570431</v>
      </c>
      <c r="C63" s="459">
        <f t="shared" si="60"/>
        <v>-170864.40755446383</v>
      </c>
      <c r="D63" s="459">
        <f t="shared" si="60"/>
        <v>-461675.37592868449</v>
      </c>
      <c r="E63" s="459">
        <f t="shared" si="60"/>
        <v>-793968.51664528565</v>
      </c>
      <c r="F63" s="459">
        <f t="shared" si="60"/>
        <v>-877631.37295983476</v>
      </c>
      <c r="G63" s="459">
        <f t="shared" si="60"/>
        <v>-825972.71878315846</v>
      </c>
      <c r="H63" s="459">
        <f t="shared" si="60"/>
        <v>45263.669557144865</v>
      </c>
      <c r="I63" s="459">
        <f t="shared" si="60"/>
        <v>1051145.4403571431</v>
      </c>
      <c r="J63" s="459">
        <f t="shared" si="60"/>
        <v>335388.93999999948</v>
      </c>
      <c r="K63" s="459">
        <f t="shared" si="60"/>
        <v>508380.63208144926</v>
      </c>
      <c r="L63" s="459">
        <f t="shared" si="60"/>
        <v>-37398.928943557898</v>
      </c>
      <c r="M63" s="459">
        <f t="shared" si="60"/>
        <v>-620304.16805540083</v>
      </c>
      <c r="N63" s="459">
        <f t="shared" si="60"/>
        <v>-750044.14053274586</v>
      </c>
      <c r="O63" s="459">
        <f t="shared" si="60"/>
        <v>-2079685.6002093328</v>
      </c>
      <c r="P63" s="459">
        <f t="shared" si="60"/>
        <v>-3334962.6388430782</v>
      </c>
      <c r="Q63" s="459">
        <f t="shared" si="60"/>
        <v>-2042685.2525298493</v>
      </c>
      <c r="R63" s="463">
        <f t="shared" si="60"/>
        <v>-2636112.5990598788</v>
      </c>
      <c r="S63" s="459">
        <f t="shared" si="60"/>
        <v>-2216961.6989421202</v>
      </c>
      <c r="T63" s="484">
        <f t="shared" si="60"/>
        <v>-2545423.820733807</v>
      </c>
      <c r="U63" s="459">
        <f t="shared" si="60"/>
        <v>-4596148.4329165984</v>
      </c>
      <c r="V63" s="459">
        <f t="shared" si="60"/>
        <v>-4494627.7619406302</v>
      </c>
      <c r="W63" s="459">
        <f t="shared" si="60"/>
        <v>-3365187.6837046114</v>
      </c>
      <c r="X63" s="459">
        <f t="shared" si="60"/>
        <v>-4632598.1537639294</v>
      </c>
      <c r="Y63" s="459">
        <f t="shared" si="60"/>
        <v>-3403057.016319613</v>
      </c>
      <c r="Z63" s="459">
        <f t="shared" si="60"/>
        <v>-7454335.729079782</v>
      </c>
      <c r="AA63" s="459">
        <f t="shared" si="60"/>
        <v>-3043359.9993828144</v>
      </c>
      <c r="AB63" s="461">
        <f t="shared" si="60"/>
        <v>-2475041.9090692089</v>
      </c>
      <c r="AC63" s="462">
        <f t="shared" si="60"/>
        <v>-3179443.3434649087</v>
      </c>
      <c r="AD63" s="462">
        <f t="shared" si="60"/>
        <v>-2921646.9046342163</v>
      </c>
      <c r="AE63" s="462">
        <f t="shared" si="60"/>
        <v>-3479339.7333000349</v>
      </c>
      <c r="AF63" s="462">
        <f t="shared" si="60"/>
        <v>-2944739.3412525537</v>
      </c>
      <c r="AG63" s="462">
        <f t="shared" si="60"/>
        <v>-1334942.5472642169</v>
      </c>
      <c r="AH63" s="462">
        <f t="shared" si="60"/>
        <v>1995892.9379899343</v>
      </c>
      <c r="AI63" s="462">
        <f t="shared" si="60"/>
        <v>-1538502.5973079642</v>
      </c>
      <c r="AJ63" s="463">
        <f t="shared" si="60"/>
        <v>-2139277.7226506462</v>
      </c>
      <c r="AK63" s="462">
        <f t="shared" si="60"/>
        <v>-2098844.5813131989</v>
      </c>
      <c r="AL63" s="462">
        <f t="shared" si="60"/>
        <v>-2347863.9184393692</v>
      </c>
      <c r="AM63" s="462">
        <f t="shared" si="60"/>
        <v>-3241341.2685602102</v>
      </c>
      <c r="AN63" s="462">
        <f t="shared" si="60"/>
        <v>-2897733.2458337285</v>
      </c>
      <c r="AO63" s="462">
        <f t="shared" si="60"/>
        <v>-3985675.1261134255</v>
      </c>
      <c r="AP63" s="462">
        <f t="shared" si="60"/>
        <v>-4407911.1710568611</v>
      </c>
      <c r="AQ63" s="462">
        <f t="shared" si="60"/>
        <v>-5138780.682364976</v>
      </c>
      <c r="AR63" s="462">
        <f t="shared" si="60"/>
        <v>-3851037.5057345144</v>
      </c>
      <c r="AS63" s="462">
        <f t="shared" si="60"/>
        <v>-1262246.7225346207</v>
      </c>
      <c r="AT63" s="462">
        <f t="shared" si="60"/>
        <v>-2588309.231261265</v>
      </c>
      <c r="AU63" s="462">
        <f t="shared" si="60"/>
        <v>-259641.43638200965</v>
      </c>
      <c r="AV63" s="462">
        <f t="shared" si="60"/>
        <v>-4282650.1379172225</v>
      </c>
      <c r="AW63" s="462">
        <f t="shared" si="60"/>
        <v>-6964555.8150952822</v>
      </c>
      <c r="AX63" s="462">
        <f t="shared" si="60"/>
        <v>-8360672.5768156368</v>
      </c>
      <c r="AY63" s="462">
        <f t="shared" si="60"/>
        <v>-5421426.7891531661</v>
      </c>
      <c r="AZ63" s="462">
        <f t="shared" si="60"/>
        <v>-3288122.3212612728</v>
      </c>
      <c r="BA63" s="462">
        <f t="shared" si="60"/>
        <v>-6580974.6479695011</v>
      </c>
      <c r="BB63" s="462">
        <f t="shared" si="60"/>
        <v>-7186460.095992621</v>
      </c>
      <c r="BC63" s="462">
        <f t="shared" si="60"/>
        <v>-6753275.1800980363</v>
      </c>
      <c r="BD63" s="462">
        <f t="shared" si="60"/>
        <v>-4277742.4879202293</v>
      </c>
      <c r="BE63" s="462">
        <f t="shared" si="60"/>
        <v>-5947868.5282669207</v>
      </c>
      <c r="BF63" s="462">
        <f t="shared" si="60"/>
        <v>-3920547.7103564218</v>
      </c>
      <c r="BG63" s="462">
        <f t="shared" si="60"/>
        <v>-2006268.0166437244</v>
      </c>
      <c r="BH63" s="462">
        <f t="shared" si="60"/>
        <v>-3412816.9615851063</v>
      </c>
      <c r="BI63" s="462">
        <f t="shared" si="60"/>
        <v>-2696444.5110879741</v>
      </c>
      <c r="BJ63" s="462">
        <f t="shared" si="60"/>
        <v>0</v>
      </c>
      <c r="BK63" s="462">
        <f t="shared" si="60"/>
        <v>0</v>
      </c>
      <c r="BL63" s="462">
        <f t="shared" si="60"/>
        <v>0</v>
      </c>
      <c r="BM63" s="462">
        <f t="shared" si="60"/>
        <v>0</v>
      </c>
      <c r="BN63" s="462">
        <f t="shared" ref="BN63:CK63" si="61">BN50-BN53</f>
        <v>0</v>
      </c>
      <c r="BO63" s="462">
        <f t="shared" si="61"/>
        <v>0</v>
      </c>
      <c r="BP63" s="462">
        <f t="shared" si="61"/>
        <v>0</v>
      </c>
      <c r="BQ63" s="462">
        <f t="shared" si="61"/>
        <v>0</v>
      </c>
      <c r="BR63" s="462">
        <f t="shared" si="61"/>
        <v>0</v>
      </c>
      <c r="BS63" s="462">
        <f t="shared" si="61"/>
        <v>0</v>
      </c>
      <c r="BT63" s="462">
        <f t="shared" si="61"/>
        <v>0</v>
      </c>
      <c r="BU63" s="462">
        <f t="shared" si="61"/>
        <v>0</v>
      </c>
      <c r="BV63" s="462">
        <f t="shared" si="61"/>
        <v>0</v>
      </c>
      <c r="BW63" s="462">
        <f t="shared" si="61"/>
        <v>0</v>
      </c>
      <c r="BX63" s="464">
        <f t="shared" si="61"/>
        <v>0</v>
      </c>
      <c r="BY63" s="465">
        <f t="shared" si="61"/>
        <v>0</v>
      </c>
      <c r="BZ63" s="463">
        <f t="shared" si="61"/>
        <v>0</v>
      </c>
      <c r="CA63" s="463">
        <f t="shared" si="61"/>
        <v>0</v>
      </c>
      <c r="CB63" s="463">
        <f t="shared" si="61"/>
        <v>0</v>
      </c>
      <c r="CC63" s="463">
        <f t="shared" si="61"/>
        <v>0</v>
      </c>
      <c r="CD63" s="463">
        <f t="shared" si="61"/>
        <v>0</v>
      </c>
      <c r="CE63" s="463">
        <f t="shared" si="61"/>
        <v>0</v>
      </c>
      <c r="CF63" s="463">
        <f t="shared" si="61"/>
        <v>0</v>
      </c>
      <c r="CG63" s="463">
        <f t="shared" si="61"/>
        <v>0</v>
      </c>
      <c r="CH63" s="463">
        <f t="shared" si="61"/>
        <v>0</v>
      </c>
      <c r="CI63" s="463">
        <f t="shared" si="61"/>
        <v>0</v>
      </c>
      <c r="CJ63" s="463">
        <f t="shared" si="61"/>
        <v>0</v>
      </c>
      <c r="CK63" s="463">
        <f t="shared" si="61"/>
        <v>0</v>
      </c>
    </row>
    <row r="64" spans="1:89" ht="15.75" customHeight="1" x14ac:dyDescent="0.2">
      <c r="A64" s="485" t="s">
        <v>55</v>
      </c>
      <c r="B64" s="523">
        <f t="shared" ref="B64:BI64" si="62">B63/B20</f>
        <v>-7.2024833163973415E-3</v>
      </c>
      <c r="C64" s="486">
        <f t="shared" si="62"/>
        <v>-2.5943798895882008E-2</v>
      </c>
      <c r="D64" s="486">
        <f t="shared" si="62"/>
        <v>-8.2511055600061015E-2</v>
      </c>
      <c r="E64" s="486">
        <f t="shared" si="62"/>
        <v>-8.6933618073996993E-2</v>
      </c>
      <c r="F64" s="486">
        <f t="shared" si="62"/>
        <v>-0.12634482032196728</v>
      </c>
      <c r="G64" s="486">
        <f t="shared" si="62"/>
        <v>-0.14621666871498173</v>
      </c>
      <c r="H64" s="486">
        <f t="shared" si="62"/>
        <v>6.3931924745851939E-3</v>
      </c>
      <c r="I64" s="486">
        <f t="shared" si="62"/>
        <v>0.11468497439273549</v>
      </c>
      <c r="J64" s="486">
        <f t="shared" si="62"/>
        <v>3.0557155037519441E-2</v>
      </c>
      <c r="K64" s="486">
        <f t="shared" si="62"/>
        <v>4.1555043172311935E-2</v>
      </c>
      <c r="L64" s="486">
        <f t="shared" si="62"/>
        <v>-2.3556340998836774E-3</v>
      </c>
      <c r="M64" s="486">
        <f t="shared" si="62"/>
        <v>-5.0828993965072927E-2</v>
      </c>
      <c r="N64" s="486">
        <f t="shared" si="62"/>
        <v>-4.713740645158454E-2</v>
      </c>
      <c r="O64" s="486">
        <f t="shared" si="62"/>
        <v>-0.12113320107605439</v>
      </c>
      <c r="P64" s="486">
        <f t="shared" si="62"/>
        <v>-0.15235599553449533</v>
      </c>
      <c r="Q64" s="486">
        <f t="shared" si="62"/>
        <v>-0.11828311784960267</v>
      </c>
      <c r="R64" s="489">
        <f t="shared" si="62"/>
        <v>-0.24588146951227532</v>
      </c>
      <c r="S64" s="486">
        <f t="shared" si="62"/>
        <v>-0.31141732335089817</v>
      </c>
      <c r="T64" s="495">
        <f t="shared" si="62"/>
        <v>-0.47011118953502451</v>
      </c>
      <c r="U64" s="486">
        <f t="shared" si="62"/>
        <v>-0.59378435702740462</v>
      </c>
      <c r="V64" s="486">
        <f t="shared" si="62"/>
        <v>-0.37552556571215656</v>
      </c>
      <c r="W64" s="486">
        <f t="shared" si="62"/>
        <v>-0.27258565277384911</v>
      </c>
      <c r="X64" s="486">
        <f t="shared" si="62"/>
        <v>-0.2162198944478273</v>
      </c>
      <c r="Y64" s="486">
        <f t="shared" si="62"/>
        <v>-0.36703953726951832</v>
      </c>
      <c r="Z64" s="486">
        <f t="shared" si="62"/>
        <v>-36.889791482176186</v>
      </c>
      <c r="AA64" s="486">
        <f t="shared" si="62"/>
        <v>-0.3479547032938089</v>
      </c>
      <c r="AB64" s="487">
        <f t="shared" si="62"/>
        <v>-0.26044253285363261</v>
      </c>
      <c r="AC64" s="488">
        <f t="shared" si="62"/>
        <v>-0.23897719012490298</v>
      </c>
      <c r="AD64" s="488">
        <f t="shared" si="62"/>
        <v>-0.18904345733394595</v>
      </c>
      <c r="AE64" s="488">
        <f t="shared" si="62"/>
        <v>-0.2166498139448331</v>
      </c>
      <c r="AF64" s="488">
        <f t="shared" si="62"/>
        <v>-0.19907165165500523</v>
      </c>
      <c r="AG64" s="488">
        <f t="shared" si="62"/>
        <v>-6.1273296763490172E-2</v>
      </c>
      <c r="AH64" s="488">
        <f t="shared" si="62"/>
        <v>7.0068080759561835E-2</v>
      </c>
      <c r="AI64" s="488">
        <f t="shared" si="62"/>
        <v>-4.1720228999582054E-2</v>
      </c>
      <c r="AJ64" s="489">
        <f t="shared" si="62"/>
        <v>-7.266710022620558E-2</v>
      </c>
      <c r="AK64" s="488">
        <f t="shared" si="62"/>
        <v>-9.4207641983370616E-2</v>
      </c>
      <c r="AL64" s="488">
        <f t="shared" si="62"/>
        <v>-0.13784824954511957</v>
      </c>
      <c r="AM64" s="488">
        <f t="shared" si="62"/>
        <v>-0.23422879064241311</v>
      </c>
      <c r="AN64" s="488">
        <f t="shared" si="62"/>
        <v>-0.10780655428403731</v>
      </c>
      <c r="AO64" s="488">
        <f t="shared" si="62"/>
        <v>-0.1086212269101889</v>
      </c>
      <c r="AP64" s="488">
        <f t="shared" si="62"/>
        <v>-9.2626142851733387E-2</v>
      </c>
      <c r="AQ64" s="488">
        <f t="shared" si="62"/>
        <v>-9.2234387057066464E-2</v>
      </c>
      <c r="AR64" s="488">
        <f t="shared" si="62"/>
        <v>-6.9744478816312697E-2</v>
      </c>
      <c r="AS64" s="488">
        <f t="shared" si="62"/>
        <v>-2.5736353237869072E-2</v>
      </c>
      <c r="AT64" s="488">
        <f t="shared" si="62"/>
        <v>-4.6962352467510536E-2</v>
      </c>
      <c r="AU64" s="488">
        <f t="shared" si="62"/>
        <v>-3.997944554530738E-3</v>
      </c>
      <c r="AV64" s="488">
        <f t="shared" si="62"/>
        <v>-6.5432542497190507E-2</v>
      </c>
      <c r="AW64" s="488">
        <f t="shared" si="62"/>
        <v>-9.5800878607215798E-2</v>
      </c>
      <c r="AX64" s="488">
        <f t="shared" si="62"/>
        <v>-0.21478398428350701</v>
      </c>
      <c r="AY64" s="488">
        <f t="shared" si="62"/>
        <v>-0.13177186340577679</v>
      </c>
      <c r="AZ64" s="488">
        <f t="shared" si="62"/>
        <v>-8.8775958608867667E-2</v>
      </c>
      <c r="BA64" s="488">
        <f t="shared" si="62"/>
        <v>-0.21147712136328661</v>
      </c>
      <c r="BB64" s="488">
        <f t="shared" si="62"/>
        <v>-0.27947002159896711</v>
      </c>
      <c r="BC64" s="488">
        <f t="shared" si="62"/>
        <v>-0.53724923025277482</v>
      </c>
      <c r="BD64" s="488">
        <f t="shared" si="62"/>
        <v>-0.63255474602740336</v>
      </c>
      <c r="BE64" s="488">
        <f t="shared" si="62"/>
        <v>-0.30638653371791125</v>
      </c>
      <c r="BF64" s="488">
        <f t="shared" si="62"/>
        <v>-0.12206109550413115</v>
      </c>
      <c r="BG64" s="488">
        <f t="shared" si="62"/>
        <v>-5.1867185697700213E-2</v>
      </c>
      <c r="BH64" s="488">
        <f t="shared" si="62"/>
        <v>-0.10198171256696655</v>
      </c>
      <c r="BI64" s="488">
        <f t="shared" si="62"/>
        <v>-6.7756942099276699E-2</v>
      </c>
      <c r="BJ64" s="488">
        <f t="shared" ref="BJ64:BU64" si="63">IFERROR((BJ63/BJ20),0)</f>
        <v>0</v>
      </c>
      <c r="BK64" s="488">
        <f t="shared" si="63"/>
        <v>0</v>
      </c>
      <c r="BL64" s="488">
        <f t="shared" si="63"/>
        <v>0</v>
      </c>
      <c r="BM64" s="488">
        <f t="shared" si="63"/>
        <v>0</v>
      </c>
      <c r="BN64" s="488">
        <f t="shared" si="63"/>
        <v>0</v>
      </c>
      <c r="BO64" s="488">
        <f t="shared" si="63"/>
        <v>0</v>
      </c>
      <c r="BP64" s="488">
        <f t="shared" si="63"/>
        <v>0</v>
      </c>
      <c r="BQ64" s="488">
        <f t="shared" si="63"/>
        <v>0</v>
      </c>
      <c r="BR64" s="488">
        <f t="shared" si="63"/>
        <v>0</v>
      </c>
      <c r="BS64" s="488">
        <f t="shared" si="63"/>
        <v>0</v>
      </c>
      <c r="BT64" s="488">
        <f t="shared" si="63"/>
        <v>0</v>
      </c>
      <c r="BU64" s="488">
        <f t="shared" si="63"/>
        <v>0</v>
      </c>
      <c r="BV64" s="488">
        <f>IFERROR((BV63/BV20),0)</f>
        <v>0</v>
      </c>
      <c r="BW64" s="488">
        <f>IFERROR((BW63/BW20),0)</f>
        <v>0</v>
      </c>
      <c r="BX64" s="490">
        <f>IFERROR((BX63/BX20),0)</f>
        <v>0</v>
      </c>
      <c r="BY64" s="491">
        <f>IFERROR((BY63/BY20),0)</f>
        <v>0</v>
      </c>
      <c r="BZ64" s="489">
        <f>IFERROR((BZ63/BZ20),0)</f>
        <v>0</v>
      </c>
      <c r="CA64" s="489">
        <f t="shared" ref="CA64:CK64" si="64">IFERROR((CA63/CA20),0)</f>
        <v>0</v>
      </c>
      <c r="CB64" s="489">
        <f t="shared" si="64"/>
        <v>0</v>
      </c>
      <c r="CC64" s="489">
        <f t="shared" si="64"/>
        <v>0</v>
      </c>
      <c r="CD64" s="489">
        <f t="shared" si="64"/>
        <v>0</v>
      </c>
      <c r="CE64" s="489">
        <f t="shared" si="64"/>
        <v>0</v>
      </c>
      <c r="CF64" s="489">
        <f t="shared" si="64"/>
        <v>0</v>
      </c>
      <c r="CG64" s="489">
        <f t="shared" si="64"/>
        <v>0</v>
      </c>
      <c r="CH64" s="489">
        <f t="shared" si="64"/>
        <v>0</v>
      </c>
      <c r="CI64" s="489">
        <f t="shared" si="64"/>
        <v>0</v>
      </c>
      <c r="CJ64" s="489">
        <f t="shared" si="64"/>
        <v>0</v>
      </c>
      <c r="CK64" s="489">
        <f t="shared" si="64"/>
        <v>0</v>
      </c>
    </row>
    <row r="65" spans="1:89" ht="15.75" customHeight="1" x14ac:dyDescent="0.2">
      <c r="A65" s="485"/>
      <c r="B65" s="467"/>
      <c r="C65" s="468"/>
      <c r="D65" s="468"/>
      <c r="E65" s="468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9"/>
      <c r="S65" s="468"/>
      <c r="T65" s="470"/>
      <c r="U65" s="468"/>
      <c r="V65" s="468"/>
      <c r="W65" s="468"/>
      <c r="X65" s="468"/>
      <c r="Y65" s="468"/>
      <c r="Z65" s="468"/>
      <c r="AA65" s="468"/>
      <c r="AB65" s="471"/>
      <c r="AC65" s="472"/>
      <c r="AD65" s="472"/>
      <c r="AE65" s="472"/>
      <c r="AF65" s="472"/>
      <c r="AG65" s="472"/>
      <c r="AH65" s="472"/>
      <c r="AI65" s="472"/>
      <c r="AJ65" s="469"/>
      <c r="AK65" s="472"/>
      <c r="AL65" s="472"/>
      <c r="AM65" s="472"/>
      <c r="AN65" s="472"/>
      <c r="AO65" s="472"/>
      <c r="AP65" s="472"/>
      <c r="AQ65" s="472"/>
      <c r="AR65" s="472"/>
      <c r="AS65" s="472"/>
      <c r="AT65" s="472"/>
      <c r="AU65" s="472"/>
      <c r="AV65" s="472"/>
      <c r="AW65" s="472"/>
      <c r="AX65" s="472"/>
      <c r="AY65" s="472"/>
      <c r="AZ65" s="472"/>
      <c r="BA65" s="472"/>
      <c r="BB65" s="472"/>
      <c r="BC65" s="472"/>
      <c r="BD65" s="472"/>
      <c r="BE65" s="472"/>
      <c r="BF65" s="472"/>
      <c r="BG65" s="472"/>
      <c r="BH65" s="472"/>
      <c r="BI65" s="472"/>
      <c r="BJ65" s="472"/>
      <c r="BK65" s="472"/>
      <c r="BL65" s="472"/>
      <c r="BM65" s="472"/>
      <c r="BN65" s="472"/>
      <c r="BO65" s="472"/>
      <c r="BP65" s="472"/>
      <c r="BQ65" s="472"/>
      <c r="BR65" s="472"/>
      <c r="BS65" s="472"/>
      <c r="BT65" s="472"/>
      <c r="BU65" s="472"/>
      <c r="BV65" s="472"/>
      <c r="BW65" s="472"/>
      <c r="BX65" s="473"/>
      <c r="BY65" s="474"/>
      <c r="BZ65" s="469"/>
      <c r="CA65" s="469"/>
      <c r="CB65" s="469"/>
      <c r="CC65" s="469"/>
      <c r="CD65" s="469"/>
      <c r="CE65" s="469"/>
      <c r="CF65" s="469"/>
      <c r="CG65" s="469"/>
      <c r="CH65" s="469"/>
      <c r="CI65" s="469"/>
      <c r="CJ65" s="469"/>
      <c r="CK65" s="469"/>
    </row>
    <row r="66" spans="1:89" ht="15.75" customHeight="1" x14ac:dyDescent="0.2">
      <c r="A66" s="534" t="s">
        <v>56</v>
      </c>
      <c r="B66" s="458">
        <v>16000</v>
      </c>
      <c r="C66" s="459">
        <v>27850</v>
      </c>
      <c r="D66" s="459">
        <v>32350</v>
      </c>
      <c r="E66" s="459">
        <v>81736</v>
      </c>
      <c r="F66" s="459">
        <v>79559</v>
      </c>
      <c r="G66" s="459">
        <v>43179</v>
      </c>
      <c r="H66" s="459">
        <v>53950</v>
      </c>
      <c r="I66" s="459">
        <v>34759</v>
      </c>
      <c r="J66" s="459">
        <v>147846</v>
      </c>
      <c r="K66" s="459">
        <v>152293.54620123203</v>
      </c>
      <c r="L66" s="459">
        <v>125526.58461538462</v>
      </c>
      <c r="M66" s="459">
        <v>78075.993346007599</v>
      </c>
      <c r="N66" s="459">
        <v>199937.32829046898</v>
      </c>
      <c r="O66" s="459">
        <v>259055.64795481774</v>
      </c>
      <c r="P66" s="459">
        <v>516996.41285956005</v>
      </c>
      <c r="Q66" s="459">
        <v>334090.22170449421</v>
      </c>
      <c r="R66" s="463">
        <v>73310.995917573877</v>
      </c>
      <c r="S66" s="459">
        <v>40558.106531610196</v>
      </c>
      <c r="T66" s="484">
        <v>41885.023584905663</v>
      </c>
      <c r="U66" s="484">
        <v>22976.079180678691</v>
      </c>
      <c r="V66" s="484">
        <v>38124.220891231431</v>
      </c>
      <c r="W66" s="484">
        <v>33104.77606330366</v>
      </c>
      <c r="X66" s="484">
        <v>59646.190779014309</v>
      </c>
      <c r="Y66" s="484">
        <v>34261.683350895677</v>
      </c>
      <c r="Z66" s="484">
        <v>12330.382593950897</v>
      </c>
      <c r="AA66" s="484">
        <v>5876.8211920529802</v>
      </c>
      <c r="AB66" s="463">
        <v>14474.321382007822</v>
      </c>
      <c r="AC66" s="462">
        <v>53822.864913329344</v>
      </c>
      <c r="AD66" s="462">
        <v>91708.471728594508</v>
      </c>
      <c r="AE66" s="462">
        <v>92461.748478701818</v>
      </c>
      <c r="AF66" s="462">
        <v>121540.78380487805</v>
      </c>
      <c r="AG66" s="462">
        <v>90787.706083976009</v>
      </c>
      <c r="AH66" s="462">
        <v>136959.7417953668</v>
      </c>
      <c r="AI66" s="462">
        <v>183837.75470339364</v>
      </c>
      <c r="AJ66" s="463">
        <v>107212.12059274399</v>
      </c>
      <c r="AK66" s="462">
        <v>156822.90110927541</v>
      </c>
      <c r="AL66" s="462">
        <v>55732.265973880072</v>
      </c>
      <c r="AM66" s="462">
        <v>4223.5608651911471</v>
      </c>
      <c r="AN66" s="462">
        <v>48505.200943054042</v>
      </c>
      <c r="AO66" s="462">
        <v>113682.74620988383</v>
      </c>
      <c r="AP66" s="462">
        <v>269956.54571026721</v>
      </c>
      <c r="AQ66" s="462">
        <v>620663.24428177474</v>
      </c>
      <c r="AR66" s="462">
        <v>1192614.4967242407</v>
      </c>
      <c r="AS66" s="462">
        <v>915359.98882492376</v>
      </c>
      <c r="AT66" s="462">
        <v>589037.20510158688</v>
      </c>
      <c r="AU66" s="462">
        <v>926063.99546191248</v>
      </c>
      <c r="AV66" s="462">
        <v>1084696.8743383652</v>
      </c>
      <c r="AW66" s="462">
        <v>4143762.2556999396</v>
      </c>
      <c r="AX66" s="462">
        <v>1692934.4391877525</v>
      </c>
      <c r="AY66" s="462">
        <v>1156942.4747286532</v>
      </c>
      <c r="AZ66" s="462">
        <v>1347390.1459978016</v>
      </c>
      <c r="BA66" s="462">
        <v>1134143.5239475174</v>
      </c>
      <c r="BB66" s="462">
        <v>1045196.6468091985</v>
      </c>
      <c r="BC66" s="462">
        <v>1067259.4375196951</v>
      </c>
      <c r="BD66" s="462">
        <v>216282.11939040554</v>
      </c>
      <c r="BE66" s="462">
        <v>121202.70554910296</v>
      </c>
      <c r="BF66" s="462">
        <v>171711.7042406518</v>
      </c>
      <c r="BG66" s="462">
        <v>440837.72288333648</v>
      </c>
      <c r="BH66" s="462">
        <v>529075.82358996186</v>
      </c>
      <c r="BI66" s="462">
        <v>277821.50774828438</v>
      </c>
      <c r="BJ66" s="462">
        <f>0</f>
        <v>0</v>
      </c>
      <c r="BK66" s="462">
        <f>0</f>
        <v>0</v>
      </c>
      <c r="BL66" s="462">
        <f>0</f>
        <v>0</v>
      </c>
      <c r="BM66" s="462">
        <f>0</f>
        <v>0</v>
      </c>
      <c r="BN66" s="462">
        <f>0</f>
        <v>0</v>
      </c>
      <c r="BO66" s="462">
        <f>0</f>
        <v>0</v>
      </c>
      <c r="BP66" s="462">
        <f>0</f>
        <v>0</v>
      </c>
      <c r="BQ66" s="462">
        <f>0</f>
        <v>0</v>
      </c>
      <c r="BR66" s="462">
        <f>0</f>
        <v>0</v>
      </c>
      <c r="BS66" s="462">
        <f>0</f>
        <v>0</v>
      </c>
      <c r="BT66" s="462">
        <f>0</f>
        <v>0</v>
      </c>
      <c r="BU66" s="462">
        <f>0</f>
        <v>0</v>
      </c>
      <c r="BV66" s="462">
        <f>0</f>
        <v>0</v>
      </c>
      <c r="BW66" s="462">
        <f>0</f>
        <v>0</v>
      </c>
      <c r="BX66" s="464">
        <f>0</f>
        <v>0</v>
      </c>
      <c r="BY66" s="465">
        <f>0</f>
        <v>0</v>
      </c>
      <c r="BZ66" s="463">
        <f>0</f>
        <v>0</v>
      </c>
      <c r="CA66" s="463">
        <f>0</f>
        <v>0</v>
      </c>
      <c r="CB66" s="463">
        <f>0</f>
        <v>0</v>
      </c>
      <c r="CC66" s="463">
        <f>0</f>
        <v>0</v>
      </c>
      <c r="CD66" s="463">
        <f>0</f>
        <v>0</v>
      </c>
      <c r="CE66" s="463">
        <f>0</f>
        <v>0</v>
      </c>
      <c r="CF66" s="463">
        <f>0</f>
        <v>0</v>
      </c>
      <c r="CG66" s="463">
        <f>0</f>
        <v>0</v>
      </c>
      <c r="CH66" s="463">
        <f>0</f>
        <v>0</v>
      </c>
      <c r="CI66" s="463">
        <f>0</f>
        <v>0</v>
      </c>
      <c r="CJ66" s="463">
        <f>0</f>
        <v>0</v>
      </c>
      <c r="CK66" s="463">
        <f>0</f>
        <v>0</v>
      </c>
    </row>
    <row r="67" spans="1:89" ht="15.75" customHeight="1" x14ac:dyDescent="0.2">
      <c r="A67" s="535" t="s">
        <v>57</v>
      </c>
      <c r="B67" s="523">
        <f t="shared" ref="B67:BF67" si="65">B66/B20</f>
        <v>2.6471615140012477E-3</v>
      </c>
      <c r="C67" s="486">
        <f t="shared" si="65"/>
        <v>4.2287028035373755E-3</v>
      </c>
      <c r="D67" s="486">
        <f t="shared" si="65"/>
        <v>5.7816222996356931E-3</v>
      </c>
      <c r="E67" s="486">
        <f t="shared" si="65"/>
        <v>8.9494810662256122E-3</v>
      </c>
      <c r="F67" s="486">
        <f t="shared" si="65"/>
        <v>1.1453405005446888E-2</v>
      </c>
      <c r="G67" s="486">
        <f t="shared" si="65"/>
        <v>7.6437022614322791E-3</v>
      </c>
      <c r="H67" s="486">
        <f t="shared" si="65"/>
        <v>7.6200789149103963E-3</v>
      </c>
      <c r="I67" s="486">
        <f t="shared" si="65"/>
        <v>3.7923724651868092E-3</v>
      </c>
      <c r="J67" s="486">
        <f t="shared" si="65"/>
        <v>1.3470191186617859E-2</v>
      </c>
      <c r="K67" s="486">
        <f t="shared" si="65"/>
        <v>1.244847755380807E-2</v>
      </c>
      <c r="L67" s="486">
        <f t="shared" si="65"/>
        <v>7.9065019110090926E-3</v>
      </c>
      <c r="M67" s="486">
        <f t="shared" si="65"/>
        <v>6.3977068009107045E-3</v>
      </c>
      <c r="N67" s="486">
        <f t="shared" si="65"/>
        <v>1.2565296626112724E-2</v>
      </c>
      <c r="O67" s="486">
        <f t="shared" si="65"/>
        <v>1.5088934543971401E-2</v>
      </c>
      <c r="P67" s="486">
        <f t="shared" si="65"/>
        <v>2.3618706324190258E-2</v>
      </c>
      <c r="Q67" s="486">
        <f t="shared" si="65"/>
        <v>1.9345727892895292E-2</v>
      </c>
      <c r="R67" s="489">
        <f t="shared" si="65"/>
        <v>6.8380293823754185E-3</v>
      </c>
      <c r="S67" s="486">
        <f t="shared" si="65"/>
        <v>5.697210277598206E-3</v>
      </c>
      <c r="T67" s="495">
        <f t="shared" si="65"/>
        <v>7.7356934043015481E-3</v>
      </c>
      <c r="U67" s="486">
        <f t="shared" si="65"/>
        <v>2.968319366189973E-3</v>
      </c>
      <c r="V67" s="486">
        <f t="shared" si="65"/>
        <v>3.1852737035855138E-3</v>
      </c>
      <c r="W67" s="486">
        <f t="shared" si="65"/>
        <v>2.6815404789588605E-3</v>
      </c>
      <c r="X67" s="486">
        <f t="shared" si="65"/>
        <v>2.7839006635995479E-3</v>
      </c>
      <c r="Y67" s="486">
        <f t="shared" si="65"/>
        <v>3.6953222772587351E-3</v>
      </c>
      <c r="Z67" s="486">
        <f t="shared" si="65"/>
        <v>6.1020224915796117E-2</v>
      </c>
      <c r="AA67" s="486">
        <f t="shared" si="65"/>
        <v>6.7191116877604259E-4</v>
      </c>
      <c r="AB67" s="487">
        <f t="shared" si="65"/>
        <v>1.5230970062584898E-3</v>
      </c>
      <c r="AC67" s="488">
        <f t="shared" si="65"/>
        <v>4.0454996777650985E-3</v>
      </c>
      <c r="AD67" s="488">
        <f t="shared" si="65"/>
        <v>5.9339431246420533E-3</v>
      </c>
      <c r="AE67" s="488">
        <f t="shared" si="65"/>
        <v>5.757362643608592E-3</v>
      </c>
      <c r="AF67" s="488">
        <f t="shared" si="65"/>
        <v>8.2164571364708398E-3</v>
      </c>
      <c r="AG67" s="488">
        <f t="shared" si="65"/>
        <v>4.1671172057256792E-3</v>
      </c>
      <c r="AH67" s="488">
        <f t="shared" si="65"/>
        <v>4.8081267618448253E-3</v>
      </c>
      <c r="AI67" s="488">
        <f t="shared" si="65"/>
        <v>4.98520654980689E-3</v>
      </c>
      <c r="AJ67" s="489">
        <f t="shared" si="65"/>
        <v>3.6417870527459505E-3</v>
      </c>
      <c r="AK67" s="488">
        <f t="shared" si="65"/>
        <v>7.0390708554763266E-3</v>
      </c>
      <c r="AL67" s="488">
        <f t="shared" si="65"/>
        <v>3.272163794224086E-3</v>
      </c>
      <c r="AM67" s="488">
        <f t="shared" si="65"/>
        <v>3.0520684855185891E-4</v>
      </c>
      <c r="AN67" s="488">
        <f t="shared" si="65"/>
        <v>1.8045755543730068E-3</v>
      </c>
      <c r="AO67" s="488">
        <f t="shared" si="65"/>
        <v>3.0981851207422758E-3</v>
      </c>
      <c r="AP67" s="488">
        <f t="shared" si="65"/>
        <v>5.6727625844430031E-3</v>
      </c>
      <c r="AQ67" s="488">
        <f t="shared" si="65"/>
        <v>1.1140092843743189E-2</v>
      </c>
      <c r="AR67" s="488">
        <f t="shared" si="65"/>
        <v>2.1598926621449903E-2</v>
      </c>
      <c r="AS67" s="488">
        <f t="shared" si="65"/>
        <v>1.8663568375051953E-2</v>
      </c>
      <c r="AT67" s="488">
        <f t="shared" si="65"/>
        <v>1.0687506928597646E-2</v>
      </c>
      <c r="AU67" s="488">
        <f t="shared" si="65"/>
        <v>1.4259482459327759E-2</v>
      </c>
      <c r="AV67" s="488">
        <f t="shared" si="65"/>
        <v>1.6572559522976059E-2</v>
      </c>
      <c r="AW67" s="488">
        <f t="shared" si="65"/>
        <v>5.6999480709889548E-2</v>
      </c>
      <c r="AX67" s="488">
        <f t="shared" si="65"/>
        <v>4.3491142684839071E-2</v>
      </c>
      <c r="AY67" s="488">
        <f t="shared" si="65"/>
        <v>2.812035865785411E-2</v>
      </c>
      <c r="AZ67" s="488">
        <f t="shared" si="65"/>
        <v>3.637816362780999E-2</v>
      </c>
      <c r="BA67" s="488">
        <f t="shared" si="65"/>
        <v>3.6445271481365879E-2</v>
      </c>
      <c r="BB67" s="488">
        <f t="shared" si="65"/>
        <v>4.0646037904227536E-2</v>
      </c>
      <c r="BC67" s="488">
        <f t="shared" si="65"/>
        <v>8.4904627161830226E-2</v>
      </c>
      <c r="BD67" s="488">
        <f t="shared" si="65"/>
        <v>3.1981887990593261E-2</v>
      </c>
      <c r="BE67" s="488">
        <f t="shared" si="65"/>
        <v>6.2433923436506413E-3</v>
      </c>
      <c r="BF67" s="488">
        <f t="shared" si="65"/>
        <v>5.3460180257798428E-3</v>
      </c>
      <c r="BG67" s="488">
        <f>BG66/BG20</f>
        <v>1.1396788388020102E-2</v>
      </c>
      <c r="BH67" s="488">
        <f>BH66/BH20</f>
        <v>1.5809830757059506E-2</v>
      </c>
      <c r="BI67" s="488">
        <f>BI66/BI20</f>
        <v>6.9811693647049786E-3</v>
      </c>
      <c r="BJ67" s="488">
        <f t="shared" ref="BJ67:BU67" si="66">IFERROR((BJ66/BJ20),0)</f>
        <v>0</v>
      </c>
      <c r="BK67" s="488">
        <f t="shared" si="66"/>
        <v>0</v>
      </c>
      <c r="BL67" s="488">
        <f t="shared" si="66"/>
        <v>0</v>
      </c>
      <c r="BM67" s="488">
        <f t="shared" si="66"/>
        <v>0</v>
      </c>
      <c r="BN67" s="488">
        <f t="shared" si="66"/>
        <v>0</v>
      </c>
      <c r="BO67" s="488">
        <f t="shared" si="66"/>
        <v>0</v>
      </c>
      <c r="BP67" s="488">
        <f t="shared" si="66"/>
        <v>0</v>
      </c>
      <c r="BQ67" s="488">
        <f t="shared" si="66"/>
        <v>0</v>
      </c>
      <c r="BR67" s="488">
        <f t="shared" si="66"/>
        <v>0</v>
      </c>
      <c r="BS67" s="488">
        <f t="shared" si="66"/>
        <v>0</v>
      </c>
      <c r="BT67" s="488">
        <f t="shared" si="66"/>
        <v>0</v>
      </c>
      <c r="BU67" s="488">
        <f t="shared" si="66"/>
        <v>0</v>
      </c>
      <c r="BV67" s="488">
        <f>IFERROR((BV66/BV20),0)</f>
        <v>0</v>
      </c>
      <c r="BW67" s="488">
        <f>IFERROR((BW66/BW20),0)</f>
        <v>0</v>
      </c>
      <c r="BX67" s="490">
        <f>IFERROR((BX66/BX20),0)</f>
        <v>0</v>
      </c>
      <c r="BY67" s="491">
        <f>IFERROR((BY66/BY20),0)</f>
        <v>0</v>
      </c>
      <c r="BZ67" s="489">
        <f>IFERROR((BZ66/BZ20),0)</f>
        <v>0</v>
      </c>
      <c r="CA67" s="489">
        <f t="shared" ref="CA67:CK67" si="67">IFERROR((CA66/CA20),0)</f>
        <v>0</v>
      </c>
      <c r="CB67" s="489">
        <f t="shared" si="67"/>
        <v>0</v>
      </c>
      <c r="CC67" s="489">
        <f t="shared" si="67"/>
        <v>0</v>
      </c>
      <c r="CD67" s="489">
        <f t="shared" si="67"/>
        <v>0</v>
      </c>
      <c r="CE67" s="489">
        <f t="shared" si="67"/>
        <v>0</v>
      </c>
      <c r="CF67" s="489">
        <f t="shared" si="67"/>
        <v>0</v>
      </c>
      <c r="CG67" s="489">
        <f t="shared" si="67"/>
        <v>0</v>
      </c>
      <c r="CH67" s="489">
        <f t="shared" si="67"/>
        <v>0</v>
      </c>
      <c r="CI67" s="489">
        <f t="shared" si="67"/>
        <v>0</v>
      </c>
      <c r="CJ67" s="489">
        <f t="shared" si="67"/>
        <v>0</v>
      </c>
      <c r="CK67" s="489">
        <f t="shared" si="67"/>
        <v>0</v>
      </c>
    </row>
    <row r="68" spans="1:89" ht="15.75" customHeight="1" x14ac:dyDescent="0.2">
      <c r="A68" s="485"/>
      <c r="B68" s="505"/>
      <c r="C68" s="506"/>
      <c r="D68" s="506"/>
      <c r="E68" s="506"/>
      <c r="F68" s="506"/>
      <c r="G68" s="506"/>
      <c r="H68" s="506"/>
      <c r="I68" s="506"/>
      <c r="J68" s="506"/>
      <c r="K68" s="506"/>
      <c r="L68" s="506"/>
      <c r="M68" s="506"/>
      <c r="N68" s="506"/>
      <c r="O68" s="506"/>
      <c r="P68" s="506"/>
      <c r="Q68" s="506"/>
      <c r="R68" s="536"/>
      <c r="S68" s="506"/>
      <c r="T68" s="537"/>
      <c r="U68" s="506"/>
      <c r="V68" s="506"/>
      <c r="W68" s="506"/>
      <c r="X68" s="506"/>
      <c r="Y68" s="506"/>
      <c r="Z68" s="506"/>
      <c r="AA68" s="506"/>
      <c r="AB68" s="538"/>
      <c r="AC68" s="539"/>
      <c r="AD68" s="539"/>
      <c r="AE68" s="539"/>
      <c r="AF68" s="539"/>
      <c r="AG68" s="539"/>
      <c r="AH68" s="539"/>
      <c r="AI68" s="539"/>
      <c r="AJ68" s="536"/>
      <c r="AK68" s="539"/>
      <c r="AL68" s="539"/>
      <c r="AM68" s="539"/>
      <c r="AN68" s="539"/>
      <c r="AO68" s="539"/>
      <c r="AP68" s="539"/>
      <c r="AQ68" s="539"/>
      <c r="AR68" s="539"/>
      <c r="AS68" s="539"/>
      <c r="AT68" s="539"/>
      <c r="AU68" s="539"/>
      <c r="AV68" s="539"/>
      <c r="AW68" s="539"/>
      <c r="AX68" s="539"/>
      <c r="AY68" s="539"/>
      <c r="AZ68" s="539"/>
      <c r="BA68" s="539"/>
      <c r="BB68" s="539"/>
      <c r="BC68" s="539"/>
      <c r="BD68" s="539"/>
      <c r="BE68" s="539"/>
      <c r="BF68" s="539"/>
      <c r="BG68" s="539"/>
      <c r="BH68" s="539"/>
      <c r="BI68" s="539"/>
      <c r="BJ68" s="539"/>
      <c r="BK68" s="539"/>
      <c r="BL68" s="539"/>
      <c r="BM68" s="539"/>
      <c r="BN68" s="539"/>
      <c r="BO68" s="539"/>
      <c r="BP68" s="539"/>
      <c r="BQ68" s="539"/>
      <c r="BR68" s="539"/>
      <c r="BS68" s="539"/>
      <c r="BT68" s="539"/>
      <c r="BU68" s="539"/>
      <c r="BV68" s="539"/>
      <c r="BW68" s="539"/>
      <c r="BX68" s="540"/>
      <c r="BY68" s="541"/>
      <c r="BZ68" s="536"/>
      <c r="CA68" s="536"/>
      <c r="CB68" s="536"/>
      <c r="CC68" s="536"/>
      <c r="CD68" s="536"/>
      <c r="CE68" s="536"/>
      <c r="CF68" s="536"/>
      <c r="CG68" s="536"/>
      <c r="CH68" s="536"/>
      <c r="CI68" s="536"/>
      <c r="CJ68" s="536"/>
      <c r="CK68" s="536"/>
    </row>
    <row r="69" spans="1:89" ht="15.75" customHeight="1" x14ac:dyDescent="0.2">
      <c r="A69" s="534" t="s">
        <v>58</v>
      </c>
      <c r="B69" s="458">
        <f t="shared" ref="B69:BM69" si="68">B63-B66</f>
        <v>-59533.321428570431</v>
      </c>
      <c r="C69" s="459">
        <f t="shared" si="68"/>
        <v>-198714.40755446383</v>
      </c>
      <c r="D69" s="459">
        <f t="shared" si="68"/>
        <v>-494025.37592868449</v>
      </c>
      <c r="E69" s="459">
        <f t="shared" si="68"/>
        <v>-875704.51664528565</v>
      </c>
      <c r="F69" s="459">
        <f t="shared" si="68"/>
        <v>-957190.37295983476</v>
      </c>
      <c r="G69" s="459">
        <f t="shared" si="68"/>
        <v>-869151.71878315846</v>
      </c>
      <c r="H69" s="459">
        <f t="shared" si="68"/>
        <v>-8686.3304428551346</v>
      </c>
      <c r="I69" s="459">
        <f t="shared" si="68"/>
        <v>1016386.4403571431</v>
      </c>
      <c r="J69" s="459">
        <f t="shared" si="68"/>
        <v>187542.93999999948</v>
      </c>
      <c r="K69" s="459">
        <f t="shared" si="68"/>
        <v>356087.08588021726</v>
      </c>
      <c r="L69" s="459">
        <f t="shared" si="68"/>
        <v>-162925.51355894253</v>
      </c>
      <c r="M69" s="459">
        <f t="shared" si="68"/>
        <v>-698380.16140140849</v>
      </c>
      <c r="N69" s="459">
        <f t="shared" si="68"/>
        <v>-949981.46882321488</v>
      </c>
      <c r="O69" s="459">
        <f t="shared" si="68"/>
        <v>-2338741.2481641504</v>
      </c>
      <c r="P69" s="459">
        <f t="shared" si="68"/>
        <v>-3851959.0517026382</v>
      </c>
      <c r="Q69" s="459">
        <f t="shared" si="68"/>
        <v>-2376775.4742343435</v>
      </c>
      <c r="R69" s="463">
        <f t="shared" si="68"/>
        <v>-2709423.5949774529</v>
      </c>
      <c r="S69" s="459">
        <f t="shared" si="68"/>
        <v>-2257519.8054737304</v>
      </c>
      <c r="T69" s="484">
        <f t="shared" si="68"/>
        <v>-2587308.8443187126</v>
      </c>
      <c r="U69" s="459">
        <f t="shared" si="68"/>
        <v>-4619124.5120972767</v>
      </c>
      <c r="V69" s="459">
        <f t="shared" si="68"/>
        <v>-4532751.9828318618</v>
      </c>
      <c r="W69" s="459">
        <f t="shared" si="68"/>
        <v>-3398292.4597679148</v>
      </c>
      <c r="X69" s="459">
        <f t="shared" si="68"/>
        <v>-4692244.3445429439</v>
      </c>
      <c r="Y69" s="459">
        <f t="shared" si="68"/>
        <v>-3437318.6996705085</v>
      </c>
      <c r="Z69" s="459">
        <f t="shared" si="68"/>
        <v>-7466666.1116737332</v>
      </c>
      <c r="AA69" s="459">
        <f t="shared" si="68"/>
        <v>-3049236.8205748675</v>
      </c>
      <c r="AB69" s="461">
        <f t="shared" si="68"/>
        <v>-2489516.2304512169</v>
      </c>
      <c r="AC69" s="462">
        <f t="shared" si="68"/>
        <v>-3233266.2083782381</v>
      </c>
      <c r="AD69" s="462">
        <f t="shared" si="68"/>
        <v>-3013355.3763628108</v>
      </c>
      <c r="AE69" s="462">
        <f t="shared" si="68"/>
        <v>-3571801.4817787367</v>
      </c>
      <c r="AF69" s="462">
        <f t="shared" si="68"/>
        <v>-3066280.1250574319</v>
      </c>
      <c r="AG69" s="462">
        <f t="shared" si="68"/>
        <v>-1425730.2533481929</v>
      </c>
      <c r="AH69" s="462">
        <f t="shared" si="68"/>
        <v>1858933.1961945675</v>
      </c>
      <c r="AI69" s="462">
        <f t="shared" si="68"/>
        <v>-1722340.3520113579</v>
      </c>
      <c r="AJ69" s="463">
        <f t="shared" si="68"/>
        <v>-2246489.8432433903</v>
      </c>
      <c r="AK69" s="462">
        <f t="shared" si="68"/>
        <v>-2255667.4824224743</v>
      </c>
      <c r="AL69" s="462">
        <f t="shared" si="68"/>
        <v>-2403596.1844132491</v>
      </c>
      <c r="AM69" s="462">
        <f t="shared" si="68"/>
        <v>-3245564.8294254015</v>
      </c>
      <c r="AN69" s="462">
        <f t="shared" si="68"/>
        <v>-2946238.4467767826</v>
      </c>
      <c r="AO69" s="462">
        <f t="shared" si="68"/>
        <v>-4099357.8723233091</v>
      </c>
      <c r="AP69" s="462">
        <f t="shared" si="68"/>
        <v>-4677867.7167671286</v>
      </c>
      <c r="AQ69" s="462">
        <f t="shared" si="68"/>
        <v>-5759443.9266467504</v>
      </c>
      <c r="AR69" s="462">
        <f t="shared" si="68"/>
        <v>-5043652.0024587549</v>
      </c>
      <c r="AS69" s="462">
        <f t="shared" si="68"/>
        <v>-2177606.7113595447</v>
      </c>
      <c r="AT69" s="462">
        <f t="shared" si="68"/>
        <v>-3177346.4363628519</v>
      </c>
      <c r="AU69" s="462">
        <f t="shared" si="68"/>
        <v>-1185705.431843922</v>
      </c>
      <c r="AV69" s="462">
        <f t="shared" si="68"/>
        <v>-5367347.0122555876</v>
      </c>
      <c r="AW69" s="462">
        <f t="shared" si="68"/>
        <v>-11108318.070795221</v>
      </c>
      <c r="AX69" s="462">
        <f t="shared" si="68"/>
        <v>-10053607.016003389</v>
      </c>
      <c r="AY69" s="462">
        <f t="shared" si="68"/>
        <v>-6578369.2638818193</v>
      </c>
      <c r="AZ69" s="462">
        <f t="shared" si="68"/>
        <v>-4635512.4672590746</v>
      </c>
      <c r="BA69" s="462">
        <f t="shared" si="68"/>
        <v>-7715118.1719170185</v>
      </c>
      <c r="BB69" s="462">
        <f t="shared" si="68"/>
        <v>-8231656.7428018199</v>
      </c>
      <c r="BC69" s="462">
        <f t="shared" si="68"/>
        <v>-7820534.6176177319</v>
      </c>
      <c r="BD69" s="462">
        <f t="shared" si="68"/>
        <v>-4494024.607310635</v>
      </c>
      <c r="BE69" s="462">
        <f t="shared" si="68"/>
        <v>-6069071.2338160239</v>
      </c>
      <c r="BF69" s="462">
        <f t="shared" si="68"/>
        <v>-4092259.4145970736</v>
      </c>
      <c r="BG69" s="462">
        <f t="shared" si="68"/>
        <v>-2447105.7395270607</v>
      </c>
      <c r="BH69" s="462">
        <f t="shared" si="68"/>
        <v>-3941892.7851750683</v>
      </c>
      <c r="BI69" s="462">
        <f t="shared" si="68"/>
        <v>-2974266.0188362584</v>
      </c>
      <c r="BJ69" s="462">
        <f t="shared" si="68"/>
        <v>0</v>
      </c>
      <c r="BK69" s="462">
        <f t="shared" si="68"/>
        <v>0</v>
      </c>
      <c r="BL69" s="462">
        <f t="shared" si="68"/>
        <v>0</v>
      </c>
      <c r="BM69" s="462">
        <f t="shared" si="68"/>
        <v>0</v>
      </c>
      <c r="BN69" s="462">
        <f t="shared" ref="BN69:CK69" si="69">BN63-BN66</f>
        <v>0</v>
      </c>
      <c r="BO69" s="462">
        <f t="shared" si="69"/>
        <v>0</v>
      </c>
      <c r="BP69" s="462">
        <f t="shared" si="69"/>
        <v>0</v>
      </c>
      <c r="BQ69" s="462">
        <f t="shared" si="69"/>
        <v>0</v>
      </c>
      <c r="BR69" s="462">
        <f t="shared" si="69"/>
        <v>0</v>
      </c>
      <c r="BS69" s="462">
        <f t="shared" si="69"/>
        <v>0</v>
      </c>
      <c r="BT69" s="462">
        <f t="shared" si="69"/>
        <v>0</v>
      </c>
      <c r="BU69" s="462">
        <f t="shared" si="69"/>
        <v>0</v>
      </c>
      <c r="BV69" s="462">
        <f t="shared" si="69"/>
        <v>0</v>
      </c>
      <c r="BW69" s="462">
        <f t="shared" si="69"/>
        <v>0</v>
      </c>
      <c r="BX69" s="464">
        <f t="shared" si="69"/>
        <v>0</v>
      </c>
      <c r="BY69" s="465">
        <f t="shared" si="69"/>
        <v>0</v>
      </c>
      <c r="BZ69" s="463">
        <f t="shared" si="69"/>
        <v>0</v>
      </c>
      <c r="CA69" s="463">
        <f t="shared" si="69"/>
        <v>0</v>
      </c>
      <c r="CB69" s="463">
        <f t="shared" si="69"/>
        <v>0</v>
      </c>
      <c r="CC69" s="463">
        <f t="shared" si="69"/>
        <v>0</v>
      </c>
      <c r="CD69" s="463">
        <f t="shared" si="69"/>
        <v>0</v>
      </c>
      <c r="CE69" s="463">
        <f t="shared" si="69"/>
        <v>0</v>
      </c>
      <c r="CF69" s="463">
        <f t="shared" si="69"/>
        <v>0</v>
      </c>
      <c r="CG69" s="463">
        <f t="shared" si="69"/>
        <v>0</v>
      </c>
      <c r="CH69" s="463">
        <f t="shared" si="69"/>
        <v>0</v>
      </c>
      <c r="CI69" s="463">
        <f t="shared" si="69"/>
        <v>0</v>
      </c>
      <c r="CJ69" s="463">
        <f t="shared" si="69"/>
        <v>0</v>
      </c>
      <c r="CK69" s="463">
        <f t="shared" si="69"/>
        <v>0</v>
      </c>
    </row>
    <row r="70" spans="1:89" ht="15.75" customHeight="1" x14ac:dyDescent="0.2">
      <c r="A70" s="485" t="s">
        <v>59</v>
      </c>
      <c r="B70" s="523">
        <f t="shared" ref="B70:BF70" si="70">B69/B20</f>
        <v>-9.8496448303985896E-3</v>
      </c>
      <c r="C70" s="486">
        <f t="shared" si="70"/>
        <v>-3.0172501699419384E-2</v>
      </c>
      <c r="D70" s="486">
        <f t="shared" si="70"/>
        <v>-8.829267789969672E-2</v>
      </c>
      <c r="E70" s="486">
        <f t="shared" si="70"/>
        <v>-9.5883099140222611E-2</v>
      </c>
      <c r="F70" s="486">
        <f t="shared" si="70"/>
        <v>-0.13779822532741418</v>
      </c>
      <c r="G70" s="486">
        <f t="shared" si="70"/>
        <v>-0.15386037097641403</v>
      </c>
      <c r="H70" s="486">
        <f t="shared" si="70"/>
        <v>-1.2268864403252029E-3</v>
      </c>
      <c r="I70" s="486">
        <f t="shared" si="70"/>
        <v>0.11089260192754868</v>
      </c>
      <c r="J70" s="486">
        <f t="shared" si="70"/>
        <v>1.7086963850901579E-2</v>
      </c>
      <c r="K70" s="486">
        <f t="shared" si="70"/>
        <v>2.9106565618503871E-2</v>
      </c>
      <c r="L70" s="486">
        <f t="shared" si="70"/>
        <v>-1.0262136010892771E-2</v>
      </c>
      <c r="M70" s="486">
        <f t="shared" si="70"/>
        <v>-5.7226700765983636E-2</v>
      </c>
      <c r="N70" s="486">
        <f t="shared" si="70"/>
        <v>-5.9702703077697268E-2</v>
      </c>
      <c r="O70" s="486">
        <f t="shared" si="70"/>
        <v>-0.13622213562002577</v>
      </c>
      <c r="P70" s="486">
        <f t="shared" si="70"/>
        <v>-0.17597470185868561</v>
      </c>
      <c r="Q70" s="486">
        <f t="shared" si="70"/>
        <v>-0.13762884574249795</v>
      </c>
      <c r="R70" s="489">
        <f t="shared" si="70"/>
        <v>-0.25271949889465073</v>
      </c>
      <c r="S70" s="486">
        <f t="shared" si="70"/>
        <v>-0.3171145336284964</v>
      </c>
      <c r="T70" s="495">
        <f t="shared" si="70"/>
        <v>-0.47784688293932603</v>
      </c>
      <c r="U70" s="486">
        <f t="shared" si="70"/>
        <v>-0.59675267639359453</v>
      </c>
      <c r="V70" s="486">
        <f t="shared" si="70"/>
        <v>-0.37871083941574207</v>
      </c>
      <c r="W70" s="486">
        <f t="shared" si="70"/>
        <v>-0.27526719325280796</v>
      </c>
      <c r="X70" s="486">
        <f t="shared" si="70"/>
        <v>-0.21900379511142684</v>
      </c>
      <c r="Y70" s="486">
        <f t="shared" si="70"/>
        <v>-0.37073485954677704</v>
      </c>
      <c r="Z70" s="486">
        <f t="shared" si="70"/>
        <v>-36.950811707091987</v>
      </c>
      <c r="AA70" s="486">
        <f t="shared" si="70"/>
        <v>-0.34862661446258497</v>
      </c>
      <c r="AB70" s="487">
        <f t="shared" si="70"/>
        <v>-0.26196562985989114</v>
      </c>
      <c r="AC70" s="488">
        <f t="shared" si="70"/>
        <v>-0.24302268980266808</v>
      </c>
      <c r="AD70" s="488">
        <f t="shared" si="70"/>
        <v>-0.194977400458588</v>
      </c>
      <c r="AE70" s="488">
        <f t="shared" si="70"/>
        <v>-0.22240717658844167</v>
      </c>
      <c r="AF70" s="488">
        <f t="shared" si="70"/>
        <v>-0.20728810879147608</v>
      </c>
      <c r="AG70" s="488">
        <f t="shared" si="70"/>
        <v>-6.5440413969215849E-2</v>
      </c>
      <c r="AH70" s="488">
        <f t="shared" si="70"/>
        <v>6.5259953997717002E-2</v>
      </c>
      <c r="AI70" s="488">
        <f t="shared" si="70"/>
        <v>-4.6705435549388948E-2</v>
      </c>
      <c r="AJ70" s="489">
        <f t="shared" si="70"/>
        <v>-7.6308887278951534E-2</v>
      </c>
      <c r="AK70" s="488">
        <f t="shared" si="70"/>
        <v>-0.10124671283884694</v>
      </c>
      <c r="AL70" s="488">
        <f t="shared" si="70"/>
        <v>-0.14112041333934364</v>
      </c>
      <c r="AM70" s="488">
        <f t="shared" si="70"/>
        <v>-0.23453399749096498</v>
      </c>
      <c r="AN70" s="488">
        <f t="shared" si="70"/>
        <v>-0.10961112983841031</v>
      </c>
      <c r="AO70" s="488">
        <f t="shared" si="70"/>
        <v>-0.11171941203093116</v>
      </c>
      <c r="AP70" s="488">
        <f t="shared" si="70"/>
        <v>-9.8298905436176393E-2</v>
      </c>
      <c r="AQ70" s="488">
        <f t="shared" si="70"/>
        <v>-0.10337447990080965</v>
      </c>
      <c r="AR70" s="488">
        <f t="shared" si="70"/>
        <v>-9.1343405437762593E-2</v>
      </c>
      <c r="AS70" s="488">
        <f t="shared" si="70"/>
        <v>-4.4399921612921028E-2</v>
      </c>
      <c r="AT70" s="488">
        <f t="shared" si="70"/>
        <v>-5.7649859396108179E-2</v>
      </c>
      <c r="AU70" s="488">
        <f t="shared" si="70"/>
        <v>-1.8257427013858494E-2</v>
      </c>
      <c r="AV70" s="488">
        <f t="shared" si="70"/>
        <v>-8.2005102020166573E-2</v>
      </c>
      <c r="AW70" s="488">
        <f t="shared" si="70"/>
        <v>-0.15280035931710534</v>
      </c>
      <c r="AX70" s="488">
        <f t="shared" si="70"/>
        <v>-0.25827512696834609</v>
      </c>
      <c r="AY70" s="488">
        <f t="shared" si="70"/>
        <v>-0.15989222206363088</v>
      </c>
      <c r="AZ70" s="488">
        <f t="shared" si="70"/>
        <v>-0.12515412223667766</v>
      </c>
      <c r="BA70" s="488">
        <f t="shared" si="70"/>
        <v>-0.24792239284465248</v>
      </c>
      <c r="BB70" s="488">
        <f t="shared" si="70"/>
        <v>-0.32011605950319466</v>
      </c>
      <c r="BC70" s="488">
        <f t="shared" si="70"/>
        <v>-0.62215385741460505</v>
      </c>
      <c r="BD70" s="488">
        <f t="shared" si="70"/>
        <v>-0.66453663401799667</v>
      </c>
      <c r="BE70" s="488">
        <f t="shared" si="70"/>
        <v>-0.31262992606156187</v>
      </c>
      <c r="BF70" s="488">
        <f t="shared" si="70"/>
        <v>-0.12740711352991099</v>
      </c>
      <c r="BG70" s="488">
        <f>BG69/BG20</f>
        <v>-6.3263974085720306E-2</v>
      </c>
      <c r="BH70" s="488">
        <f>BH69/BH20</f>
        <v>-0.11779154332402605</v>
      </c>
      <c r="BI70" s="488">
        <f>BI69/BI20</f>
        <v>-7.4738111463981682E-2</v>
      </c>
      <c r="BJ70" s="488">
        <f t="shared" ref="BJ70:BU70" si="71">IFERROR((BJ69/BJ20),0)</f>
        <v>0</v>
      </c>
      <c r="BK70" s="488">
        <f t="shared" si="71"/>
        <v>0</v>
      </c>
      <c r="BL70" s="488">
        <f t="shared" si="71"/>
        <v>0</v>
      </c>
      <c r="BM70" s="488">
        <f t="shared" si="71"/>
        <v>0</v>
      </c>
      <c r="BN70" s="488">
        <f t="shared" si="71"/>
        <v>0</v>
      </c>
      <c r="BO70" s="488">
        <f t="shared" si="71"/>
        <v>0</v>
      </c>
      <c r="BP70" s="488">
        <f t="shared" si="71"/>
        <v>0</v>
      </c>
      <c r="BQ70" s="488">
        <f t="shared" si="71"/>
        <v>0</v>
      </c>
      <c r="BR70" s="488">
        <f t="shared" si="71"/>
        <v>0</v>
      </c>
      <c r="BS70" s="488">
        <f t="shared" si="71"/>
        <v>0</v>
      </c>
      <c r="BT70" s="488">
        <f t="shared" si="71"/>
        <v>0</v>
      </c>
      <c r="BU70" s="488">
        <f t="shared" si="71"/>
        <v>0</v>
      </c>
      <c r="BV70" s="488">
        <f>IFERROR((BV69/BV20),0)</f>
        <v>0</v>
      </c>
      <c r="BW70" s="488">
        <f>IFERROR((BW69/BW20),0)</f>
        <v>0</v>
      </c>
      <c r="BX70" s="490">
        <f>IFERROR((BX69/BX20),0)</f>
        <v>0</v>
      </c>
      <c r="BY70" s="491">
        <f>IFERROR((BY69/BY20),0)</f>
        <v>0</v>
      </c>
      <c r="BZ70" s="489">
        <f>IFERROR((BZ69/BZ20),0)</f>
        <v>0</v>
      </c>
      <c r="CA70" s="489">
        <f t="shared" ref="CA70:CK70" si="72">IFERROR((CA69/CA20),0)</f>
        <v>0</v>
      </c>
      <c r="CB70" s="489">
        <f t="shared" si="72"/>
        <v>0</v>
      </c>
      <c r="CC70" s="489">
        <f t="shared" si="72"/>
        <v>0</v>
      </c>
      <c r="CD70" s="489">
        <f t="shared" si="72"/>
        <v>0</v>
      </c>
      <c r="CE70" s="489">
        <f t="shared" si="72"/>
        <v>0</v>
      </c>
      <c r="CF70" s="489">
        <f t="shared" si="72"/>
        <v>0</v>
      </c>
      <c r="CG70" s="489">
        <f t="shared" si="72"/>
        <v>0</v>
      </c>
      <c r="CH70" s="489">
        <f t="shared" si="72"/>
        <v>0</v>
      </c>
      <c r="CI70" s="489">
        <f t="shared" si="72"/>
        <v>0</v>
      </c>
      <c r="CJ70" s="489">
        <f t="shared" si="72"/>
        <v>0</v>
      </c>
      <c r="CK70" s="489">
        <f t="shared" si="72"/>
        <v>0</v>
      </c>
    </row>
    <row r="71" spans="1:89" ht="15.75" customHeight="1" x14ac:dyDescent="0.2">
      <c r="A71" s="542"/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2"/>
      <c r="Q71" s="542"/>
    </row>
    <row r="72" spans="1:89" ht="15.75" customHeight="1" x14ac:dyDescent="0.2">
      <c r="A72" s="542"/>
      <c r="B72" s="542"/>
      <c r="C72" s="542"/>
      <c r="D72" s="542"/>
      <c r="E72" s="542"/>
      <c r="F72" s="542"/>
      <c r="G72" s="542"/>
      <c r="H72" s="542"/>
      <c r="I72" s="542"/>
      <c r="J72" s="542"/>
      <c r="K72" s="542"/>
      <c r="L72" s="542"/>
      <c r="M72" s="542"/>
      <c r="N72" s="542"/>
      <c r="O72" s="542"/>
      <c r="P72" s="542"/>
      <c r="Q72" s="469"/>
    </row>
    <row r="73" spans="1:89" ht="15.75" customHeight="1" x14ac:dyDescent="0.2">
      <c r="A73" s="542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2"/>
      <c r="Q73" s="542"/>
      <c r="CC73" s="543"/>
      <c r="CD73" s="543"/>
      <c r="CE73" s="543"/>
      <c r="CF73" s="543"/>
      <c r="CG73" s="543"/>
      <c r="CH73" s="543"/>
      <c r="CI73" s="543"/>
      <c r="CJ73" s="543"/>
      <c r="CK73" s="543"/>
    </row>
    <row r="74" spans="1:89" ht="15.75" customHeight="1" x14ac:dyDescent="0.2">
      <c r="A74" s="542"/>
      <c r="B74" s="542"/>
      <c r="C74" s="542"/>
      <c r="D74" s="542"/>
      <c r="E74" s="542"/>
      <c r="F74" s="542"/>
      <c r="G74" s="542"/>
      <c r="H74" s="542"/>
      <c r="I74" s="542"/>
      <c r="J74" s="542"/>
      <c r="K74" s="542"/>
      <c r="L74" s="542"/>
      <c r="M74" s="542"/>
      <c r="N74" s="542"/>
      <c r="O74" s="542"/>
      <c r="P74" s="542"/>
      <c r="Q74" s="542"/>
    </row>
    <row r="75" spans="1:89" ht="15.75" customHeight="1" x14ac:dyDescent="0.15"/>
    <row r="76" spans="1:89" ht="15.75" customHeight="1" x14ac:dyDescent="0.15"/>
    <row r="77" spans="1:89" ht="15.75" customHeight="1" x14ac:dyDescent="0.15"/>
    <row r="78" spans="1:89" ht="15.75" customHeight="1" x14ac:dyDescent="0.15"/>
    <row r="79" spans="1:89" ht="15.75" customHeight="1" x14ac:dyDescent="0.15"/>
    <row r="80" spans="1:89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795A-C92C-4BA4-AB74-D7652D754271}">
  <sheetPr>
    <tabColor theme="7" tint="0.59999389629810485"/>
  </sheetPr>
  <dimension ref="B2:DK82"/>
  <sheetViews>
    <sheetView showGridLines="0" workbookViewId="0">
      <pane xSplit="2" ySplit="2" topLeftCell="CO3" activePane="bottomRight" state="frozen"/>
      <selection pane="topRight" activeCell="C1" sqref="C1"/>
      <selection pane="bottomLeft" activeCell="A3" sqref="A3"/>
      <selection pane="bottomRight" activeCell="CT7" sqref="CT7"/>
    </sheetView>
  </sheetViews>
  <sheetFormatPr baseColWidth="10" defaultColWidth="8.6640625" defaultRowHeight="15" x14ac:dyDescent="0.2"/>
  <cols>
    <col min="1" max="1" width="2.6640625" customWidth="1"/>
    <col min="2" max="2" width="33.1640625" bestFit="1" customWidth="1"/>
    <col min="3" max="98" width="13.6640625" customWidth="1"/>
    <col min="100" max="111" width="13.33203125" bestFit="1" customWidth="1"/>
    <col min="113" max="114" width="13.33203125" bestFit="1" customWidth="1"/>
    <col min="115" max="115" width="14.33203125" bestFit="1" customWidth="1"/>
  </cols>
  <sheetData>
    <row r="2" spans="2:115" x14ac:dyDescent="0.2">
      <c r="B2" s="153" t="s">
        <v>285</v>
      </c>
      <c r="C2" s="2">
        <v>43208</v>
      </c>
      <c r="D2" s="2">
        <v>43238</v>
      </c>
      <c r="E2" s="2">
        <v>43269</v>
      </c>
      <c r="F2" s="2">
        <v>43282</v>
      </c>
      <c r="G2" s="2">
        <v>43313</v>
      </c>
      <c r="H2" s="2">
        <v>43344</v>
      </c>
      <c r="I2" s="2">
        <v>43374</v>
      </c>
      <c r="J2" s="2">
        <v>43405</v>
      </c>
      <c r="K2" s="2">
        <v>43435</v>
      </c>
      <c r="L2" s="2">
        <v>43466</v>
      </c>
      <c r="M2" s="2">
        <v>43497</v>
      </c>
      <c r="N2" s="2">
        <v>43525</v>
      </c>
      <c r="O2" s="2">
        <v>43556</v>
      </c>
      <c r="P2" s="2">
        <v>43586</v>
      </c>
      <c r="Q2" s="2">
        <v>43617</v>
      </c>
      <c r="R2" s="2">
        <v>43647</v>
      </c>
      <c r="S2" s="2">
        <f t="shared" ref="S2:BT2" si="0">R2+31</f>
        <v>43678</v>
      </c>
      <c r="T2" s="2">
        <f t="shared" si="0"/>
        <v>43709</v>
      </c>
      <c r="U2" s="2">
        <f t="shared" si="0"/>
        <v>43740</v>
      </c>
      <c r="V2" s="2">
        <f t="shared" si="0"/>
        <v>43771</v>
      </c>
      <c r="W2" s="2">
        <f t="shared" si="0"/>
        <v>43802</v>
      </c>
      <c r="X2" s="2">
        <f t="shared" si="0"/>
        <v>43833</v>
      </c>
      <c r="Y2" s="2">
        <f t="shared" si="0"/>
        <v>43864</v>
      </c>
      <c r="Z2" s="2">
        <f t="shared" si="0"/>
        <v>43895</v>
      </c>
      <c r="AA2" s="2">
        <f t="shared" si="0"/>
        <v>43926</v>
      </c>
      <c r="AB2" s="2">
        <f t="shared" si="0"/>
        <v>43957</v>
      </c>
      <c r="AC2" s="2">
        <f t="shared" si="0"/>
        <v>43988</v>
      </c>
      <c r="AD2" s="2">
        <f t="shared" si="0"/>
        <v>44019</v>
      </c>
      <c r="AE2" s="2">
        <f t="shared" si="0"/>
        <v>44050</v>
      </c>
      <c r="AF2" s="2">
        <f t="shared" si="0"/>
        <v>44081</v>
      </c>
      <c r="AG2" s="2">
        <f t="shared" si="0"/>
        <v>44112</v>
      </c>
      <c r="AH2" s="2">
        <f t="shared" si="0"/>
        <v>44143</v>
      </c>
      <c r="AI2" s="2">
        <f t="shared" si="0"/>
        <v>44174</v>
      </c>
      <c r="AJ2" s="2">
        <f t="shared" si="0"/>
        <v>44205</v>
      </c>
      <c r="AK2" s="2">
        <f t="shared" si="0"/>
        <v>44236</v>
      </c>
      <c r="AL2" s="2">
        <f t="shared" si="0"/>
        <v>44267</v>
      </c>
      <c r="AM2" s="2">
        <f t="shared" si="0"/>
        <v>44298</v>
      </c>
      <c r="AN2" s="2">
        <f t="shared" si="0"/>
        <v>44329</v>
      </c>
      <c r="AO2" s="2">
        <f t="shared" si="0"/>
        <v>44360</v>
      </c>
      <c r="AP2" s="2">
        <f t="shared" si="0"/>
        <v>44391</v>
      </c>
      <c r="AQ2" s="2">
        <f t="shared" si="0"/>
        <v>44422</v>
      </c>
      <c r="AR2" s="2">
        <f t="shared" si="0"/>
        <v>44453</v>
      </c>
      <c r="AS2" s="2">
        <f t="shared" si="0"/>
        <v>44484</v>
      </c>
      <c r="AT2" s="2">
        <f t="shared" si="0"/>
        <v>44515</v>
      </c>
      <c r="AU2" s="2">
        <f t="shared" si="0"/>
        <v>44546</v>
      </c>
      <c r="AV2" s="2">
        <f t="shared" si="0"/>
        <v>44577</v>
      </c>
      <c r="AW2" s="2">
        <f t="shared" si="0"/>
        <v>44608</v>
      </c>
      <c r="AX2" s="2">
        <f t="shared" si="0"/>
        <v>44639</v>
      </c>
      <c r="AY2" s="2">
        <f t="shared" si="0"/>
        <v>44670</v>
      </c>
      <c r="AZ2" s="2">
        <f t="shared" si="0"/>
        <v>44701</v>
      </c>
      <c r="BA2" s="2">
        <f t="shared" si="0"/>
        <v>44732</v>
      </c>
      <c r="BB2" s="2">
        <f t="shared" si="0"/>
        <v>44763</v>
      </c>
      <c r="BC2" s="2">
        <f t="shared" si="0"/>
        <v>44794</v>
      </c>
      <c r="BD2" s="2">
        <f t="shared" si="0"/>
        <v>44825</v>
      </c>
      <c r="BE2" s="2">
        <f t="shared" si="0"/>
        <v>44856</v>
      </c>
      <c r="BF2" s="2">
        <f t="shared" si="0"/>
        <v>44887</v>
      </c>
      <c r="BG2" s="2">
        <f t="shared" si="0"/>
        <v>44918</v>
      </c>
      <c r="BH2" s="2">
        <f t="shared" si="0"/>
        <v>44949</v>
      </c>
      <c r="BI2" s="2">
        <f t="shared" si="0"/>
        <v>44980</v>
      </c>
      <c r="BJ2" s="2">
        <f t="shared" si="0"/>
        <v>45011</v>
      </c>
      <c r="BK2" s="2">
        <f t="shared" si="0"/>
        <v>45042</v>
      </c>
      <c r="BL2" s="2">
        <f t="shared" si="0"/>
        <v>45073</v>
      </c>
      <c r="BM2" s="2">
        <f t="shared" si="0"/>
        <v>45104</v>
      </c>
      <c r="BN2" s="2">
        <f t="shared" si="0"/>
        <v>45135</v>
      </c>
      <c r="BO2" s="2">
        <f t="shared" si="0"/>
        <v>45166</v>
      </c>
      <c r="BP2" s="2">
        <f t="shared" si="0"/>
        <v>45197</v>
      </c>
      <c r="BQ2" s="2">
        <f t="shared" si="0"/>
        <v>45228</v>
      </c>
      <c r="BR2" s="2">
        <f t="shared" si="0"/>
        <v>45259</v>
      </c>
      <c r="BS2" s="2">
        <f t="shared" si="0"/>
        <v>45290</v>
      </c>
      <c r="BT2" s="2">
        <f t="shared" si="0"/>
        <v>45321</v>
      </c>
      <c r="BU2" s="2">
        <f t="shared" ref="BU2:CQ2" si="1">BT2+30</f>
        <v>45351</v>
      </c>
      <c r="BV2" s="2">
        <f t="shared" si="1"/>
        <v>45381</v>
      </c>
      <c r="BW2" s="2">
        <f t="shared" si="1"/>
        <v>45411</v>
      </c>
      <c r="BX2" s="2">
        <f t="shared" si="1"/>
        <v>45441</v>
      </c>
      <c r="BY2" s="2">
        <f t="shared" si="1"/>
        <v>45471</v>
      </c>
      <c r="BZ2" s="2">
        <f t="shared" si="1"/>
        <v>45501</v>
      </c>
      <c r="CA2" s="2">
        <f t="shared" si="1"/>
        <v>45531</v>
      </c>
      <c r="CB2" s="2">
        <f t="shared" si="1"/>
        <v>45561</v>
      </c>
      <c r="CC2" s="2">
        <f t="shared" si="1"/>
        <v>45591</v>
      </c>
      <c r="CD2" s="2">
        <f t="shared" si="1"/>
        <v>45621</v>
      </c>
      <c r="CE2" s="2">
        <f t="shared" si="1"/>
        <v>45651</v>
      </c>
      <c r="CF2" s="2">
        <f t="shared" si="1"/>
        <v>45681</v>
      </c>
      <c r="CG2" s="2">
        <f t="shared" si="1"/>
        <v>45711</v>
      </c>
      <c r="CH2" s="2">
        <f t="shared" si="1"/>
        <v>45741</v>
      </c>
      <c r="CI2" s="2">
        <f t="shared" si="1"/>
        <v>45771</v>
      </c>
      <c r="CJ2" s="2">
        <f t="shared" si="1"/>
        <v>45801</v>
      </c>
      <c r="CK2" s="2">
        <f t="shared" si="1"/>
        <v>45831</v>
      </c>
      <c r="CL2" s="2">
        <f t="shared" si="1"/>
        <v>45861</v>
      </c>
      <c r="CM2" s="2">
        <f t="shared" si="1"/>
        <v>45891</v>
      </c>
      <c r="CN2" s="2">
        <f t="shared" si="1"/>
        <v>45921</v>
      </c>
      <c r="CO2" s="2">
        <f t="shared" si="1"/>
        <v>45951</v>
      </c>
      <c r="CP2" s="2">
        <f t="shared" si="1"/>
        <v>45981</v>
      </c>
      <c r="CQ2" s="2">
        <f t="shared" si="1"/>
        <v>46011</v>
      </c>
      <c r="CR2" s="2">
        <f>CQ2+30</f>
        <v>46041</v>
      </c>
      <c r="CS2" s="2">
        <f t="shared" ref="CS2:CT2" si="2">CR2+30</f>
        <v>46071</v>
      </c>
      <c r="CT2" s="2">
        <f t="shared" si="2"/>
        <v>46101</v>
      </c>
      <c r="CU2" s="222"/>
      <c r="CV2" s="2" t="s">
        <v>77</v>
      </c>
      <c r="CW2" s="2" t="s">
        <v>78</v>
      </c>
      <c r="CX2" s="2" t="s">
        <v>79</v>
      </c>
      <c r="CY2" s="2" t="s">
        <v>80</v>
      </c>
      <c r="CZ2" s="2" t="s">
        <v>81</v>
      </c>
      <c r="DA2" s="2" t="s">
        <v>82</v>
      </c>
      <c r="DB2" s="2" t="s">
        <v>83</v>
      </c>
      <c r="DC2" s="2" t="s">
        <v>84</v>
      </c>
      <c r="DD2" s="2" t="s">
        <v>85</v>
      </c>
      <c r="DE2" s="2" t="s">
        <v>86</v>
      </c>
      <c r="DF2" s="2" t="s">
        <v>87</v>
      </c>
      <c r="DG2" s="2" t="s">
        <v>88</v>
      </c>
      <c r="DI2" s="2" t="s">
        <v>486</v>
      </c>
      <c r="DJ2" s="2" t="s">
        <v>128</v>
      </c>
      <c r="DK2" s="2" t="s">
        <v>125</v>
      </c>
    </row>
    <row r="3" spans="2:115" x14ac:dyDescent="0.2">
      <c r="B3" s="223" t="s">
        <v>286</v>
      </c>
      <c r="C3" s="224">
        <f>C4+C7+C10+C13+C16</f>
        <v>25066</v>
      </c>
      <c r="D3" s="224">
        <f t="shared" ref="D3:BO3" si="3">D4+D7+D10+D13+D16</f>
        <v>42693</v>
      </c>
      <c r="E3" s="224">
        <f t="shared" si="3"/>
        <v>59410</v>
      </c>
      <c r="F3" s="224">
        <f t="shared" si="3"/>
        <v>36969</v>
      </c>
      <c r="G3" s="224">
        <f t="shared" si="3"/>
        <v>61300</v>
      </c>
      <c r="H3" s="224">
        <f t="shared" si="3"/>
        <v>35290</v>
      </c>
      <c r="I3" s="224">
        <f t="shared" si="3"/>
        <v>60467</v>
      </c>
      <c r="J3" s="224">
        <f t="shared" si="3"/>
        <v>72908</v>
      </c>
      <c r="K3" s="224">
        <f t="shared" si="3"/>
        <v>29675</v>
      </c>
      <c r="L3" s="224">
        <f t="shared" si="3"/>
        <v>67325</v>
      </c>
      <c r="M3" s="224">
        <f t="shared" si="3"/>
        <v>57481</v>
      </c>
      <c r="N3" s="224">
        <f t="shared" si="3"/>
        <v>84083</v>
      </c>
      <c r="O3" s="224">
        <f t="shared" si="3"/>
        <v>82962</v>
      </c>
      <c r="P3" s="224">
        <f t="shared" si="3"/>
        <v>90749</v>
      </c>
      <c r="Q3" s="224">
        <f t="shared" si="3"/>
        <v>61115</v>
      </c>
      <c r="R3" s="224">
        <f t="shared" si="3"/>
        <v>87685</v>
      </c>
      <c r="S3" s="224">
        <f t="shared" si="3"/>
        <v>78095</v>
      </c>
      <c r="T3" s="224">
        <f t="shared" si="3"/>
        <v>39463</v>
      </c>
      <c r="U3" s="224">
        <f t="shared" si="3"/>
        <v>88415</v>
      </c>
      <c r="V3" s="224">
        <f t="shared" si="3"/>
        <v>80346</v>
      </c>
      <c r="W3" s="224">
        <f t="shared" si="3"/>
        <v>33832</v>
      </c>
      <c r="X3" s="224">
        <f t="shared" si="3"/>
        <v>62085</v>
      </c>
      <c r="Y3" s="224">
        <f t="shared" si="3"/>
        <v>95244</v>
      </c>
      <c r="Z3" s="224">
        <f t="shared" si="3"/>
        <v>47493</v>
      </c>
      <c r="AA3" s="224">
        <f t="shared" si="3"/>
        <v>9775</v>
      </c>
      <c r="AB3" s="224">
        <f t="shared" si="3"/>
        <v>12066</v>
      </c>
      <c r="AC3" s="224">
        <f t="shared" si="3"/>
        <v>28082</v>
      </c>
      <c r="AD3" s="224">
        <f t="shared" si="3"/>
        <v>23143</v>
      </c>
      <c r="AE3" s="224">
        <f t="shared" si="3"/>
        <v>54864</v>
      </c>
      <c r="AF3" s="224">
        <f t="shared" si="3"/>
        <v>43269</v>
      </c>
      <c r="AG3" s="224">
        <f t="shared" si="3"/>
        <v>77830</v>
      </c>
      <c r="AH3" s="224">
        <f t="shared" si="3"/>
        <v>101282</v>
      </c>
      <c r="AI3" s="224">
        <f t="shared" si="3"/>
        <v>32100</v>
      </c>
      <c r="AJ3" s="224">
        <f t="shared" si="3"/>
        <v>67879</v>
      </c>
      <c r="AK3" s="224">
        <f t="shared" si="3"/>
        <v>75497</v>
      </c>
      <c r="AL3" s="224">
        <f t="shared" si="3"/>
        <v>64561</v>
      </c>
      <c r="AM3" s="224">
        <f t="shared" si="3"/>
        <v>40758</v>
      </c>
      <c r="AN3" s="224">
        <f t="shared" si="3"/>
        <v>34205</v>
      </c>
      <c r="AO3" s="224">
        <f t="shared" si="3"/>
        <v>58941</v>
      </c>
      <c r="AP3" s="224">
        <f t="shared" si="3"/>
        <v>60663</v>
      </c>
      <c r="AQ3" s="224">
        <f t="shared" si="3"/>
        <v>103073</v>
      </c>
      <c r="AR3" s="224">
        <f t="shared" si="3"/>
        <v>81368</v>
      </c>
      <c r="AS3" s="224">
        <f t="shared" si="3"/>
        <v>144059</v>
      </c>
      <c r="AT3" s="224">
        <f t="shared" si="3"/>
        <v>169170</v>
      </c>
      <c r="AU3" s="224">
        <f t="shared" si="3"/>
        <v>97600</v>
      </c>
      <c r="AV3" s="224">
        <f t="shared" si="3"/>
        <v>71370</v>
      </c>
      <c r="AW3" s="224">
        <f t="shared" si="3"/>
        <v>53306</v>
      </c>
      <c r="AX3" s="224">
        <f t="shared" si="3"/>
        <v>92592</v>
      </c>
      <c r="AY3" s="224">
        <f t="shared" si="3"/>
        <v>64497</v>
      </c>
      <c r="AZ3" s="224">
        <f t="shared" si="3"/>
        <v>39331</v>
      </c>
      <c r="BA3" s="224">
        <f t="shared" si="3"/>
        <v>44960</v>
      </c>
      <c r="BB3" s="224">
        <f t="shared" si="3"/>
        <v>84423</v>
      </c>
      <c r="BC3" s="224">
        <f t="shared" si="3"/>
        <v>94475</v>
      </c>
      <c r="BD3" s="224">
        <f t="shared" si="3"/>
        <v>78537</v>
      </c>
      <c r="BE3" s="224">
        <f t="shared" si="3"/>
        <v>136127</v>
      </c>
      <c r="BF3" s="224">
        <f t="shared" si="3"/>
        <v>70185</v>
      </c>
      <c r="BG3" s="224">
        <f t="shared" si="3"/>
        <v>49223</v>
      </c>
      <c r="BH3" s="224">
        <f t="shared" si="3"/>
        <v>72882</v>
      </c>
      <c r="BI3" s="224">
        <f t="shared" si="3"/>
        <v>100918</v>
      </c>
      <c r="BJ3" s="224">
        <f t="shared" si="3"/>
        <v>87161</v>
      </c>
      <c r="BK3" s="224">
        <f t="shared" si="3"/>
        <v>59929</v>
      </c>
      <c r="BL3" s="224">
        <f t="shared" si="3"/>
        <v>59880</v>
      </c>
      <c r="BM3" s="224">
        <f t="shared" si="3"/>
        <v>58291</v>
      </c>
      <c r="BN3" s="224">
        <f t="shared" si="3"/>
        <v>65112</v>
      </c>
      <c r="BO3" s="224">
        <f t="shared" si="3"/>
        <v>93650</v>
      </c>
      <c r="BP3" s="224">
        <f t="shared" ref="BP3:CT3" si="4">BP4+BP7+BP10+BP13+BP16</f>
        <v>37958</v>
      </c>
      <c r="BQ3" s="224">
        <f t="shared" si="4"/>
        <v>74275</v>
      </c>
      <c r="BR3" s="224">
        <f t="shared" si="4"/>
        <v>62143</v>
      </c>
      <c r="BS3" s="224">
        <f t="shared" si="4"/>
        <v>28601</v>
      </c>
      <c r="BT3" s="224">
        <f t="shared" si="4"/>
        <v>34333</v>
      </c>
      <c r="BU3" s="224">
        <f t="shared" si="4"/>
        <v>38684</v>
      </c>
      <c r="BV3" s="224">
        <f t="shared" si="4"/>
        <v>41733</v>
      </c>
      <c r="BW3" s="224">
        <f t="shared" si="4"/>
        <v>56839</v>
      </c>
      <c r="BX3" s="224">
        <f t="shared" si="4"/>
        <v>57474</v>
      </c>
      <c r="BY3" s="224">
        <f t="shared" si="4"/>
        <v>52125</v>
      </c>
      <c r="BZ3" s="224">
        <f t="shared" si="4"/>
        <v>52813</v>
      </c>
      <c r="CA3" s="224">
        <f t="shared" si="4"/>
        <v>48937</v>
      </c>
      <c r="CB3" s="224">
        <f t="shared" si="4"/>
        <v>42283</v>
      </c>
      <c r="CC3" s="224">
        <f t="shared" si="4"/>
        <v>92632</v>
      </c>
      <c r="CD3" s="224">
        <f t="shared" si="4"/>
        <v>74080</v>
      </c>
      <c r="CE3" s="224">
        <f t="shared" si="4"/>
        <v>63870</v>
      </c>
      <c r="CF3" s="224">
        <f t="shared" si="4"/>
        <v>78398</v>
      </c>
      <c r="CG3" s="224">
        <f t="shared" si="4"/>
        <v>65780</v>
      </c>
      <c r="CH3" s="224">
        <f t="shared" si="4"/>
        <v>56269</v>
      </c>
      <c r="CI3" s="224">
        <f t="shared" si="4"/>
        <v>77585</v>
      </c>
      <c r="CJ3" s="224">
        <f t="shared" si="4"/>
        <v>78039</v>
      </c>
      <c r="CK3" s="224">
        <f t="shared" si="4"/>
        <v>71346</v>
      </c>
      <c r="CL3" s="224">
        <f t="shared" si="4"/>
        <v>70644</v>
      </c>
      <c r="CM3" s="224">
        <f t="shared" si="4"/>
        <v>64467</v>
      </c>
      <c r="CN3" s="224">
        <f t="shared" si="4"/>
        <v>66552</v>
      </c>
      <c r="CO3" s="224">
        <f t="shared" si="4"/>
        <v>125952</v>
      </c>
      <c r="CP3" s="224">
        <f t="shared" si="4"/>
        <v>90863</v>
      </c>
      <c r="CQ3" s="224">
        <f t="shared" si="4"/>
        <v>74612</v>
      </c>
      <c r="CR3" s="224">
        <f t="shared" si="4"/>
        <v>96789</v>
      </c>
      <c r="CS3" s="224">
        <f t="shared" si="4"/>
        <v>74932</v>
      </c>
      <c r="CT3" s="224">
        <f t="shared" si="4"/>
        <v>93196</v>
      </c>
      <c r="CU3" s="222"/>
      <c r="CV3" s="224">
        <f t="shared" ref="CV3:CV34" si="5">SUM(BK3:BM3)</f>
        <v>178100</v>
      </c>
      <c r="CW3" s="224">
        <f t="shared" ref="CW3:CW34" si="6">SUM(BN3:BP3)</f>
        <v>196720</v>
      </c>
      <c r="CX3" s="224">
        <f t="shared" ref="CX3:CX34" si="7">SUM(BQ3:BS3)</f>
        <v>165019</v>
      </c>
      <c r="CY3" s="224">
        <f t="shared" ref="CY3:CY34" si="8">SUM(BT3:BV3)</f>
        <v>114750</v>
      </c>
      <c r="CZ3" s="224">
        <f t="shared" ref="CZ3:CZ34" si="9">SUM(BW3:BY3)</f>
        <v>166438</v>
      </c>
      <c r="DA3" s="224">
        <f t="shared" ref="DA3:DA34" si="10">SUM(BZ3:CB3)</f>
        <v>144033</v>
      </c>
      <c r="DB3" s="224">
        <f t="shared" ref="DB3:DB34" si="11">SUM(CC3:CE3)</f>
        <v>230582</v>
      </c>
      <c r="DC3" s="224">
        <f t="shared" ref="DC3:DC34" si="12">SUM(CF3:CH3)</f>
        <v>200447</v>
      </c>
      <c r="DD3" s="224">
        <f t="shared" ref="DD3:DD34" si="13">SUM(CI3:CK3)</f>
        <v>226970</v>
      </c>
      <c r="DE3" s="224">
        <f t="shared" ref="DE3:DE34" si="14">SUM(CL3:CN3)</f>
        <v>201663</v>
      </c>
      <c r="DF3" s="224">
        <f t="shared" ref="DF3:DF34" si="15">SUM(CO3:CQ3)</f>
        <v>291427</v>
      </c>
      <c r="DG3" s="224">
        <f t="shared" ref="DG3:DG34" si="16">SUM(CR3:CT3)</f>
        <v>264917</v>
      </c>
      <c r="DI3" s="224">
        <f>SUM(CV3:CY3)</f>
        <v>654589</v>
      </c>
      <c r="DJ3" s="224">
        <f>SUM(CZ3:DC3)</f>
        <v>741500</v>
      </c>
      <c r="DK3" s="224">
        <f>SUM(DD3:DG3)</f>
        <v>984977</v>
      </c>
    </row>
    <row r="4" spans="2:115" x14ac:dyDescent="0.2">
      <c r="B4" s="225" t="s">
        <v>287</v>
      </c>
      <c r="C4" s="19">
        <v>2380</v>
      </c>
      <c r="D4" s="19">
        <v>3040</v>
      </c>
      <c r="E4" s="19">
        <v>5410</v>
      </c>
      <c r="F4" s="19">
        <v>8000</v>
      </c>
      <c r="G4" s="19">
        <v>11638</v>
      </c>
      <c r="H4" s="19">
        <v>17315</v>
      </c>
      <c r="I4" s="19">
        <v>15860</v>
      </c>
      <c r="J4" s="19">
        <v>13804</v>
      </c>
      <c r="K4" s="19">
        <v>10172</v>
      </c>
      <c r="L4" s="19">
        <v>16292</v>
      </c>
      <c r="M4" s="19">
        <v>12072</v>
      </c>
      <c r="N4" s="19">
        <v>17409</v>
      </c>
      <c r="O4" s="19">
        <v>18109</v>
      </c>
      <c r="P4" s="19">
        <v>16611</v>
      </c>
      <c r="Q4" s="19">
        <v>16697</v>
      </c>
      <c r="R4" s="19">
        <v>16667</v>
      </c>
      <c r="S4" s="19">
        <v>12792</v>
      </c>
      <c r="T4" s="19">
        <v>11151</v>
      </c>
      <c r="U4" s="19">
        <v>18983</v>
      </c>
      <c r="V4" s="19">
        <v>9234</v>
      </c>
      <c r="W4" s="19">
        <v>6353</v>
      </c>
      <c r="X4" s="19">
        <v>6380</v>
      </c>
      <c r="Y4" s="19">
        <v>4449</v>
      </c>
      <c r="Z4" s="19">
        <v>3720</v>
      </c>
      <c r="AA4" s="19">
        <v>16</v>
      </c>
      <c r="AB4" s="19">
        <v>1071</v>
      </c>
      <c r="AC4" s="19">
        <v>1620</v>
      </c>
      <c r="AD4" s="19">
        <v>2881</v>
      </c>
      <c r="AE4" s="19">
        <v>3198</v>
      </c>
      <c r="AF4" s="19">
        <v>3711</v>
      </c>
      <c r="AG4" s="19">
        <v>9823</v>
      </c>
      <c r="AH4" s="19">
        <v>11724</v>
      </c>
      <c r="AI4" s="19">
        <v>5734</v>
      </c>
      <c r="AJ4" s="19">
        <v>4457</v>
      </c>
      <c r="AK4" s="19">
        <v>4115</v>
      </c>
      <c r="AL4" s="19">
        <v>5386</v>
      </c>
      <c r="AM4" s="19">
        <v>4695</v>
      </c>
      <c r="AN4" s="19">
        <v>1073</v>
      </c>
      <c r="AO4" s="19">
        <v>3927</v>
      </c>
      <c r="AP4" s="19">
        <v>3669</v>
      </c>
      <c r="AQ4" s="19">
        <v>9549</v>
      </c>
      <c r="AR4" s="19">
        <v>20983</v>
      </c>
      <c r="AS4" s="19">
        <v>37898</v>
      </c>
      <c r="AT4" s="19">
        <v>33201</v>
      </c>
      <c r="AU4" s="19">
        <v>22868</v>
      </c>
      <c r="AV4" s="19">
        <v>14178</v>
      </c>
      <c r="AW4" s="19">
        <v>16797</v>
      </c>
      <c r="AX4" s="19">
        <v>32043</v>
      </c>
      <c r="AY4" s="19">
        <v>23675</v>
      </c>
      <c r="AZ4" s="19">
        <v>5153</v>
      </c>
      <c r="BA4" s="19">
        <v>6020</v>
      </c>
      <c r="BB4" s="19">
        <v>11095</v>
      </c>
      <c r="BC4" s="19">
        <v>17278</v>
      </c>
      <c r="BD4" s="19">
        <v>23182</v>
      </c>
      <c r="BE4" s="19">
        <v>28853</v>
      </c>
      <c r="BF4" s="19">
        <v>17193</v>
      </c>
      <c r="BG4" s="19">
        <v>9687</v>
      </c>
      <c r="BH4" s="19">
        <v>15492</v>
      </c>
      <c r="BI4" s="19">
        <v>14559</v>
      </c>
      <c r="BJ4" s="19">
        <v>16748</v>
      </c>
      <c r="BK4" s="19">
        <v>10704</v>
      </c>
      <c r="BL4" s="19">
        <v>10859</v>
      </c>
      <c r="BM4" s="19">
        <v>10859</v>
      </c>
      <c r="BN4" s="19">
        <v>13008</v>
      </c>
      <c r="BO4" s="19">
        <v>12225</v>
      </c>
      <c r="BP4" s="19">
        <v>2979</v>
      </c>
      <c r="BQ4" s="19">
        <v>7408</v>
      </c>
      <c r="BR4" s="19">
        <v>6158</v>
      </c>
      <c r="BS4" s="19">
        <v>1941</v>
      </c>
      <c r="BT4" s="19">
        <v>3347</v>
      </c>
      <c r="BU4" s="19">
        <v>3310</v>
      </c>
      <c r="BV4" s="19">
        <v>5422</v>
      </c>
      <c r="BW4" s="19">
        <v>8349</v>
      </c>
      <c r="BX4" s="19">
        <v>7176</v>
      </c>
      <c r="BY4" s="19">
        <v>5711</v>
      </c>
      <c r="BZ4" s="19">
        <v>5837</v>
      </c>
      <c r="CA4" s="19">
        <v>5275</v>
      </c>
      <c r="CB4" s="19">
        <v>3998</v>
      </c>
      <c r="CC4" s="19">
        <v>9903</v>
      </c>
      <c r="CD4" s="19">
        <v>8185</v>
      </c>
      <c r="CE4" s="19">
        <v>7544</v>
      </c>
      <c r="CF4" s="19">
        <v>8788</v>
      </c>
      <c r="CG4" s="19">
        <v>8327</v>
      </c>
      <c r="CH4" s="19">
        <v>9718</v>
      </c>
      <c r="CI4" s="19">
        <v>9357</v>
      </c>
      <c r="CJ4" s="19">
        <v>10255</v>
      </c>
      <c r="CK4" s="19">
        <v>11166</v>
      </c>
      <c r="CL4" s="19">
        <v>12950</v>
      </c>
      <c r="CM4" s="19">
        <v>12032</v>
      </c>
      <c r="CN4" s="19">
        <v>7568</v>
      </c>
      <c r="CO4" s="19">
        <v>16059</v>
      </c>
      <c r="CP4" s="19">
        <v>9436</v>
      </c>
      <c r="CQ4" s="19">
        <v>7153</v>
      </c>
      <c r="CR4" s="19">
        <v>8370</v>
      </c>
      <c r="CS4" s="19">
        <v>6619</v>
      </c>
      <c r="CT4" s="19">
        <v>7431</v>
      </c>
      <c r="CU4" s="222"/>
      <c r="CV4" s="19">
        <f t="shared" si="5"/>
        <v>32422</v>
      </c>
      <c r="CW4" s="19">
        <f t="shared" si="6"/>
        <v>28212</v>
      </c>
      <c r="CX4" s="19">
        <f t="shared" si="7"/>
        <v>15507</v>
      </c>
      <c r="CY4" s="19">
        <f t="shared" si="8"/>
        <v>12079</v>
      </c>
      <c r="CZ4" s="19">
        <f t="shared" si="9"/>
        <v>21236</v>
      </c>
      <c r="DA4" s="19">
        <f t="shared" si="10"/>
        <v>15110</v>
      </c>
      <c r="DB4" s="19">
        <f t="shared" si="11"/>
        <v>25632</v>
      </c>
      <c r="DC4" s="19">
        <f t="shared" si="12"/>
        <v>26833</v>
      </c>
      <c r="DD4" s="19">
        <f t="shared" si="13"/>
        <v>30778</v>
      </c>
      <c r="DE4" s="19">
        <f t="shared" si="14"/>
        <v>32550</v>
      </c>
      <c r="DF4" s="19">
        <f t="shared" si="15"/>
        <v>32648</v>
      </c>
      <c r="DG4" s="19">
        <f t="shared" si="16"/>
        <v>22420</v>
      </c>
      <c r="DI4" s="19">
        <f t="shared" ref="DI4:DI57" si="17">SUM(CV4:CY4)</f>
        <v>88220</v>
      </c>
      <c r="DJ4" s="19">
        <f t="shared" ref="DJ4:DJ57" si="18">SUM(CZ4:DC4)</f>
        <v>88811</v>
      </c>
      <c r="DK4" s="19">
        <f t="shared" ref="DK4:DK57" si="19">SUM(DD4:DG4)</f>
        <v>118396</v>
      </c>
    </row>
    <row r="5" spans="2:115" x14ac:dyDescent="0.2">
      <c r="B5" s="226" t="s">
        <v>288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>
        <v>915</v>
      </c>
      <c r="BN5" s="19">
        <v>1711</v>
      </c>
      <c r="BO5" s="19">
        <v>2542</v>
      </c>
      <c r="BP5" s="19">
        <v>1041</v>
      </c>
      <c r="BQ5" s="19">
        <v>958</v>
      </c>
      <c r="BR5" s="19">
        <v>1232</v>
      </c>
      <c r="BS5" s="19">
        <v>994</v>
      </c>
      <c r="BT5" s="19">
        <v>402</v>
      </c>
      <c r="BU5" s="19">
        <v>494</v>
      </c>
      <c r="BV5" s="19">
        <v>760</v>
      </c>
      <c r="BW5" s="19">
        <v>1378</v>
      </c>
      <c r="BX5" s="19">
        <v>884</v>
      </c>
      <c r="BY5" s="19">
        <v>790</v>
      </c>
      <c r="BZ5" s="19">
        <v>423</v>
      </c>
      <c r="CA5" s="19">
        <v>607</v>
      </c>
      <c r="CB5" s="19">
        <v>315</v>
      </c>
      <c r="CC5" s="19">
        <v>917</v>
      </c>
      <c r="CD5" s="19">
        <v>894</v>
      </c>
      <c r="CE5" s="19">
        <v>989</v>
      </c>
      <c r="CF5" s="19">
        <v>1550</v>
      </c>
      <c r="CG5" s="19">
        <v>1431</v>
      </c>
      <c r="CH5" s="19">
        <v>1578</v>
      </c>
      <c r="CI5" s="19">
        <v>1401</v>
      </c>
      <c r="CJ5" s="19">
        <v>1592</v>
      </c>
      <c r="CK5" s="19">
        <v>1446</v>
      </c>
      <c r="CL5" s="19">
        <v>1629</v>
      </c>
      <c r="CM5" s="19">
        <v>1497</v>
      </c>
      <c r="CN5" s="19">
        <v>1192</v>
      </c>
      <c r="CO5" s="19">
        <v>2349</v>
      </c>
      <c r="CP5" s="19">
        <v>1458</v>
      </c>
      <c r="CQ5" s="19">
        <v>1486</v>
      </c>
      <c r="CR5" s="19">
        <v>1855</v>
      </c>
      <c r="CS5" s="19">
        <v>1548</v>
      </c>
      <c r="CT5" s="19">
        <v>1622</v>
      </c>
      <c r="CU5" s="222"/>
      <c r="CV5" s="19">
        <f t="shared" si="5"/>
        <v>915</v>
      </c>
      <c r="CW5" s="19">
        <f t="shared" si="6"/>
        <v>5294</v>
      </c>
      <c r="CX5" s="19">
        <f t="shared" si="7"/>
        <v>3184</v>
      </c>
      <c r="CY5" s="19">
        <f t="shared" si="8"/>
        <v>1656</v>
      </c>
      <c r="CZ5" s="19">
        <f t="shared" si="9"/>
        <v>3052</v>
      </c>
      <c r="DA5" s="19">
        <f t="shared" si="10"/>
        <v>1345</v>
      </c>
      <c r="DB5" s="19">
        <f t="shared" si="11"/>
        <v>2800</v>
      </c>
      <c r="DC5" s="19">
        <f t="shared" si="12"/>
        <v>4559</v>
      </c>
      <c r="DD5" s="19">
        <f t="shared" si="13"/>
        <v>4439</v>
      </c>
      <c r="DE5" s="19">
        <f t="shared" si="14"/>
        <v>4318</v>
      </c>
      <c r="DF5" s="19">
        <f t="shared" si="15"/>
        <v>5293</v>
      </c>
      <c r="DG5" s="19">
        <f t="shared" si="16"/>
        <v>5025</v>
      </c>
      <c r="DI5" s="19">
        <f t="shared" si="17"/>
        <v>11049</v>
      </c>
      <c r="DJ5" s="19">
        <f t="shared" si="18"/>
        <v>11756</v>
      </c>
      <c r="DK5" s="19">
        <f t="shared" si="19"/>
        <v>19075</v>
      </c>
    </row>
    <row r="6" spans="2:115" x14ac:dyDescent="0.2">
      <c r="B6" s="226" t="s">
        <v>289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>
        <v>9944</v>
      </c>
      <c r="BN6" s="19">
        <v>11297</v>
      </c>
      <c r="BO6" s="19">
        <v>9683</v>
      </c>
      <c r="BP6" s="19">
        <v>1938</v>
      </c>
      <c r="BQ6" s="19">
        <v>6450</v>
      </c>
      <c r="BR6" s="19">
        <v>4926</v>
      </c>
      <c r="BS6" s="19">
        <v>947</v>
      </c>
      <c r="BT6" s="19">
        <v>2945</v>
      </c>
      <c r="BU6" s="19">
        <v>2816</v>
      </c>
      <c r="BV6" s="19">
        <v>4662</v>
      </c>
      <c r="BW6" s="19">
        <v>6971</v>
      </c>
      <c r="BX6" s="19">
        <v>6292</v>
      </c>
      <c r="BY6" s="19">
        <v>4921</v>
      </c>
      <c r="BZ6" s="19">
        <v>5414</v>
      </c>
      <c r="CA6" s="19">
        <v>4668</v>
      </c>
      <c r="CB6" s="19">
        <v>3683</v>
      </c>
      <c r="CC6" s="19">
        <v>8986</v>
      </c>
      <c r="CD6" s="19">
        <v>7291</v>
      </c>
      <c r="CE6" s="19">
        <v>6555</v>
      </c>
      <c r="CF6" s="19">
        <v>7238</v>
      </c>
      <c r="CG6" s="19">
        <v>6896</v>
      </c>
      <c r="CH6" s="19">
        <v>8140</v>
      </c>
      <c r="CI6" s="19">
        <v>7956</v>
      </c>
      <c r="CJ6" s="19">
        <v>8663</v>
      </c>
      <c r="CK6" s="19">
        <v>9720</v>
      </c>
      <c r="CL6" s="19">
        <v>11321</v>
      </c>
      <c r="CM6" s="19">
        <v>10535</v>
      </c>
      <c r="CN6" s="19">
        <v>6376</v>
      </c>
      <c r="CO6" s="19">
        <v>13710</v>
      </c>
      <c r="CP6" s="19">
        <v>7978</v>
      </c>
      <c r="CQ6" s="19">
        <v>5667</v>
      </c>
      <c r="CR6" s="19">
        <v>6515</v>
      </c>
      <c r="CS6" s="19">
        <v>5071</v>
      </c>
      <c r="CT6" s="19">
        <v>5809</v>
      </c>
      <c r="CU6" s="222"/>
      <c r="CV6" s="19">
        <f t="shared" si="5"/>
        <v>9944</v>
      </c>
      <c r="CW6" s="19">
        <f t="shared" si="6"/>
        <v>22918</v>
      </c>
      <c r="CX6" s="19">
        <f t="shared" si="7"/>
        <v>12323</v>
      </c>
      <c r="CY6" s="19">
        <f t="shared" si="8"/>
        <v>10423</v>
      </c>
      <c r="CZ6" s="19">
        <f t="shared" si="9"/>
        <v>18184</v>
      </c>
      <c r="DA6" s="19">
        <f t="shared" si="10"/>
        <v>13765</v>
      </c>
      <c r="DB6" s="19">
        <f t="shared" si="11"/>
        <v>22832</v>
      </c>
      <c r="DC6" s="19">
        <f t="shared" si="12"/>
        <v>22274</v>
      </c>
      <c r="DD6" s="19">
        <f t="shared" si="13"/>
        <v>26339</v>
      </c>
      <c r="DE6" s="19">
        <f t="shared" si="14"/>
        <v>28232</v>
      </c>
      <c r="DF6" s="19">
        <f t="shared" si="15"/>
        <v>27355</v>
      </c>
      <c r="DG6" s="19">
        <f t="shared" si="16"/>
        <v>17395</v>
      </c>
      <c r="DI6" s="19">
        <f t="shared" si="17"/>
        <v>55608</v>
      </c>
      <c r="DJ6" s="19">
        <f t="shared" si="18"/>
        <v>77055</v>
      </c>
      <c r="DK6" s="19">
        <f t="shared" si="19"/>
        <v>99321</v>
      </c>
    </row>
    <row r="7" spans="2:115" x14ac:dyDescent="0.2">
      <c r="B7" s="225" t="s">
        <v>290</v>
      </c>
      <c r="C7" s="19">
        <v>4304</v>
      </c>
      <c r="D7" s="19">
        <v>3837</v>
      </c>
      <c r="E7" s="19">
        <v>4612</v>
      </c>
      <c r="F7" s="19">
        <v>6008</v>
      </c>
      <c r="G7" s="19">
        <v>5854</v>
      </c>
      <c r="H7" s="19">
        <v>5887</v>
      </c>
      <c r="I7" s="19">
        <v>13782</v>
      </c>
      <c r="J7" s="19">
        <v>8351</v>
      </c>
      <c r="K7" s="19">
        <v>3972</v>
      </c>
      <c r="L7" s="19">
        <v>3759</v>
      </c>
      <c r="M7" s="19">
        <v>4237</v>
      </c>
      <c r="N7" s="19">
        <v>5163</v>
      </c>
      <c r="O7" s="19">
        <v>8142</v>
      </c>
      <c r="P7" s="19">
        <v>6528</v>
      </c>
      <c r="Q7" s="19">
        <v>7654</v>
      </c>
      <c r="R7" s="19">
        <v>8022</v>
      </c>
      <c r="S7" s="19">
        <v>8556</v>
      </c>
      <c r="T7" s="19">
        <v>9274</v>
      </c>
      <c r="U7" s="19">
        <v>15483</v>
      </c>
      <c r="V7" s="19">
        <v>7969</v>
      </c>
      <c r="W7" s="19">
        <v>5120</v>
      </c>
      <c r="X7" s="19">
        <v>7111</v>
      </c>
      <c r="Y7" s="19">
        <v>10142</v>
      </c>
      <c r="Z7" s="19">
        <v>2749</v>
      </c>
      <c r="AA7" s="19">
        <v>100</v>
      </c>
      <c r="AB7" s="19">
        <v>938</v>
      </c>
      <c r="AC7" s="19">
        <v>2045</v>
      </c>
      <c r="AD7" s="19">
        <v>2376</v>
      </c>
      <c r="AE7" s="19">
        <v>4323</v>
      </c>
      <c r="AF7" s="19">
        <v>4754</v>
      </c>
      <c r="AG7" s="19">
        <v>12257</v>
      </c>
      <c r="AH7" s="19">
        <v>17472</v>
      </c>
      <c r="AI7" s="19">
        <v>13431</v>
      </c>
      <c r="AJ7" s="19">
        <v>12266</v>
      </c>
      <c r="AK7" s="19">
        <v>15746</v>
      </c>
      <c r="AL7" s="19">
        <v>9791</v>
      </c>
      <c r="AM7" s="19">
        <v>6673</v>
      </c>
      <c r="AN7" s="19">
        <v>1797</v>
      </c>
      <c r="AO7" s="19">
        <v>5459</v>
      </c>
      <c r="AP7" s="19">
        <v>7694</v>
      </c>
      <c r="AQ7" s="19">
        <v>12993</v>
      </c>
      <c r="AR7" s="19">
        <v>14419</v>
      </c>
      <c r="AS7" s="19">
        <v>16721</v>
      </c>
      <c r="AT7" s="19">
        <v>15705</v>
      </c>
      <c r="AU7" s="19">
        <v>17377</v>
      </c>
      <c r="AV7" s="19">
        <v>26033</v>
      </c>
      <c r="AW7" s="19">
        <v>26399</v>
      </c>
      <c r="AX7" s="19">
        <v>32460</v>
      </c>
      <c r="AY7" s="19">
        <v>32218</v>
      </c>
      <c r="AZ7" s="19">
        <v>27922</v>
      </c>
      <c r="BA7" s="19">
        <v>23485</v>
      </c>
      <c r="BB7" s="19">
        <v>43150</v>
      </c>
      <c r="BC7" s="19">
        <v>36756</v>
      </c>
      <c r="BD7" s="19">
        <v>26486</v>
      </c>
      <c r="BE7" s="19">
        <v>43720</v>
      </c>
      <c r="BF7" s="19">
        <v>32051</v>
      </c>
      <c r="BG7" s="19">
        <v>28854</v>
      </c>
      <c r="BH7" s="19">
        <v>33472</v>
      </c>
      <c r="BI7" s="19">
        <v>45748</v>
      </c>
      <c r="BJ7" s="19">
        <v>44204</v>
      </c>
      <c r="BK7" s="19">
        <v>34773</v>
      </c>
      <c r="BL7" s="19">
        <v>34023</v>
      </c>
      <c r="BM7" s="19">
        <v>25587</v>
      </c>
      <c r="BN7" s="19">
        <v>22855</v>
      </c>
      <c r="BO7" s="19">
        <v>37245</v>
      </c>
      <c r="BP7" s="19">
        <v>26187</v>
      </c>
      <c r="BQ7" s="19">
        <v>49895</v>
      </c>
      <c r="BR7" s="19">
        <v>36594</v>
      </c>
      <c r="BS7" s="19">
        <v>19667</v>
      </c>
      <c r="BT7" s="19">
        <v>26707</v>
      </c>
      <c r="BU7" s="19">
        <v>27747</v>
      </c>
      <c r="BV7" s="19">
        <v>22508</v>
      </c>
      <c r="BW7" s="19">
        <v>30620</v>
      </c>
      <c r="BX7" s="19">
        <v>32715</v>
      </c>
      <c r="BY7" s="19">
        <v>29447</v>
      </c>
      <c r="BZ7" s="19">
        <v>29490</v>
      </c>
      <c r="CA7" s="19">
        <v>24918</v>
      </c>
      <c r="CB7" s="19">
        <v>18760</v>
      </c>
      <c r="CC7" s="19">
        <v>45526</v>
      </c>
      <c r="CD7" s="19">
        <v>33540</v>
      </c>
      <c r="CE7" s="19">
        <v>25293</v>
      </c>
      <c r="CF7" s="19">
        <v>41807</v>
      </c>
      <c r="CG7" s="19">
        <v>35394</v>
      </c>
      <c r="CH7" s="19">
        <v>28527</v>
      </c>
      <c r="CI7" s="19">
        <v>31120</v>
      </c>
      <c r="CJ7" s="19">
        <v>34952</v>
      </c>
      <c r="CK7" s="19">
        <v>36298</v>
      </c>
      <c r="CL7" s="19">
        <v>34240</v>
      </c>
      <c r="CM7" s="19">
        <v>29732</v>
      </c>
      <c r="CN7" s="19">
        <v>30000</v>
      </c>
      <c r="CO7" s="19">
        <v>61402</v>
      </c>
      <c r="CP7" s="19">
        <v>41338</v>
      </c>
      <c r="CQ7" s="19">
        <v>37772</v>
      </c>
      <c r="CR7" s="19">
        <v>47040</v>
      </c>
      <c r="CS7" s="19">
        <v>38362</v>
      </c>
      <c r="CT7" s="19">
        <v>44177</v>
      </c>
      <c r="CU7" s="222"/>
      <c r="CV7" s="19">
        <f t="shared" si="5"/>
        <v>94383</v>
      </c>
      <c r="CW7" s="19">
        <f t="shared" si="6"/>
        <v>86287</v>
      </c>
      <c r="CX7" s="19">
        <f t="shared" si="7"/>
        <v>106156</v>
      </c>
      <c r="CY7" s="19">
        <f t="shared" si="8"/>
        <v>76962</v>
      </c>
      <c r="CZ7" s="19">
        <f t="shared" si="9"/>
        <v>92782</v>
      </c>
      <c r="DA7" s="19">
        <f t="shared" si="10"/>
        <v>73168</v>
      </c>
      <c r="DB7" s="19">
        <f t="shared" si="11"/>
        <v>104359</v>
      </c>
      <c r="DC7" s="19">
        <f t="shared" si="12"/>
        <v>105728</v>
      </c>
      <c r="DD7" s="19">
        <f t="shared" si="13"/>
        <v>102370</v>
      </c>
      <c r="DE7" s="19">
        <f t="shared" si="14"/>
        <v>93972</v>
      </c>
      <c r="DF7" s="19">
        <f t="shared" si="15"/>
        <v>140512</v>
      </c>
      <c r="DG7" s="19">
        <f t="shared" si="16"/>
        <v>129579</v>
      </c>
      <c r="DI7" s="19">
        <f t="shared" si="17"/>
        <v>363788</v>
      </c>
      <c r="DJ7" s="19">
        <f t="shared" si="18"/>
        <v>376037</v>
      </c>
      <c r="DK7" s="19">
        <f t="shared" si="19"/>
        <v>466433</v>
      </c>
    </row>
    <row r="8" spans="2:115" x14ac:dyDescent="0.2">
      <c r="B8" s="226" t="s">
        <v>288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>
        <v>7807</v>
      </c>
      <c r="BN8" s="19">
        <v>6798</v>
      </c>
      <c r="BO8" s="19">
        <v>12094</v>
      </c>
      <c r="BP8" s="19">
        <v>13268</v>
      </c>
      <c r="BQ8" s="19">
        <v>28871</v>
      </c>
      <c r="BR8" s="19">
        <v>22395</v>
      </c>
      <c r="BS8" s="19">
        <v>11641</v>
      </c>
      <c r="BT8" s="19">
        <v>12780</v>
      </c>
      <c r="BU8" s="19">
        <v>10573</v>
      </c>
      <c r="BV8" s="19">
        <v>11452</v>
      </c>
      <c r="BW8" s="19">
        <v>15180</v>
      </c>
      <c r="BX8" s="19">
        <v>13989</v>
      </c>
      <c r="BY8" s="19">
        <v>12415</v>
      </c>
      <c r="BZ8" s="19">
        <v>10883</v>
      </c>
      <c r="CA8" s="19">
        <v>10286</v>
      </c>
      <c r="CB8" s="19">
        <v>10606</v>
      </c>
      <c r="CC8" s="19">
        <v>30541</v>
      </c>
      <c r="CD8" s="19">
        <v>22807</v>
      </c>
      <c r="CE8" s="19">
        <v>16736</v>
      </c>
      <c r="CF8" s="19">
        <v>24291</v>
      </c>
      <c r="CG8" s="19">
        <v>16704</v>
      </c>
      <c r="CH8" s="19">
        <v>15130</v>
      </c>
      <c r="CI8" s="19">
        <v>16652</v>
      </c>
      <c r="CJ8" s="19">
        <v>17864</v>
      </c>
      <c r="CK8" s="19">
        <v>16193</v>
      </c>
      <c r="CL8" s="19">
        <v>14208</v>
      </c>
      <c r="CM8" s="19">
        <v>11399</v>
      </c>
      <c r="CN8" s="19">
        <v>16571</v>
      </c>
      <c r="CO8" s="19">
        <v>43097</v>
      </c>
      <c r="CP8" s="19">
        <v>25939</v>
      </c>
      <c r="CQ8" s="19">
        <v>22801</v>
      </c>
      <c r="CR8" s="19">
        <v>29054</v>
      </c>
      <c r="CS8" s="19">
        <v>23114</v>
      </c>
      <c r="CT8" s="19">
        <v>21219</v>
      </c>
      <c r="CU8" s="222"/>
      <c r="CV8" s="19">
        <f t="shared" si="5"/>
        <v>7807</v>
      </c>
      <c r="CW8" s="19">
        <f t="shared" si="6"/>
        <v>32160</v>
      </c>
      <c r="CX8" s="19">
        <f t="shared" si="7"/>
        <v>62907</v>
      </c>
      <c r="CY8" s="19">
        <f t="shared" si="8"/>
        <v>34805</v>
      </c>
      <c r="CZ8" s="19">
        <f t="shared" si="9"/>
        <v>41584</v>
      </c>
      <c r="DA8" s="19">
        <f t="shared" si="10"/>
        <v>31775</v>
      </c>
      <c r="DB8" s="19">
        <f t="shared" si="11"/>
        <v>70084</v>
      </c>
      <c r="DC8" s="19">
        <f t="shared" si="12"/>
        <v>56125</v>
      </c>
      <c r="DD8" s="19">
        <f t="shared" si="13"/>
        <v>50709</v>
      </c>
      <c r="DE8" s="19">
        <f t="shared" si="14"/>
        <v>42178</v>
      </c>
      <c r="DF8" s="19">
        <f t="shared" si="15"/>
        <v>91837</v>
      </c>
      <c r="DG8" s="19">
        <f t="shared" si="16"/>
        <v>73387</v>
      </c>
      <c r="DI8" s="19">
        <f t="shared" si="17"/>
        <v>137679</v>
      </c>
      <c r="DJ8" s="19">
        <f t="shared" si="18"/>
        <v>199568</v>
      </c>
      <c r="DK8" s="19">
        <f t="shared" si="19"/>
        <v>258111</v>
      </c>
    </row>
    <row r="9" spans="2:115" x14ac:dyDescent="0.2">
      <c r="B9" s="226" t="s">
        <v>289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>
        <v>17780</v>
      </c>
      <c r="BN9" s="19">
        <v>16057</v>
      </c>
      <c r="BO9" s="19">
        <v>25151</v>
      </c>
      <c r="BP9" s="19">
        <v>12919</v>
      </c>
      <c r="BQ9" s="19">
        <v>21024</v>
      </c>
      <c r="BR9" s="19">
        <v>14199</v>
      </c>
      <c r="BS9" s="19">
        <v>8026</v>
      </c>
      <c r="BT9" s="19">
        <v>13927</v>
      </c>
      <c r="BU9" s="19">
        <v>17174</v>
      </c>
      <c r="BV9" s="19">
        <v>11056</v>
      </c>
      <c r="BW9" s="19">
        <v>15440</v>
      </c>
      <c r="BX9" s="19">
        <v>18726</v>
      </c>
      <c r="BY9" s="19">
        <v>17032</v>
      </c>
      <c r="BZ9" s="19">
        <v>18607</v>
      </c>
      <c r="CA9" s="19">
        <v>14632</v>
      </c>
      <c r="CB9" s="19">
        <v>8154</v>
      </c>
      <c r="CC9" s="19">
        <v>14985</v>
      </c>
      <c r="CD9" s="19">
        <v>10733</v>
      </c>
      <c r="CE9" s="19">
        <v>8557</v>
      </c>
      <c r="CF9" s="19">
        <v>17516</v>
      </c>
      <c r="CG9" s="19">
        <v>18690</v>
      </c>
      <c r="CH9" s="19">
        <v>13397</v>
      </c>
      <c r="CI9" s="19">
        <v>14468</v>
      </c>
      <c r="CJ9" s="19">
        <v>17088</v>
      </c>
      <c r="CK9" s="19">
        <v>20105</v>
      </c>
      <c r="CL9" s="19">
        <v>20032</v>
      </c>
      <c r="CM9" s="19">
        <v>18333</v>
      </c>
      <c r="CN9" s="19">
        <v>13429</v>
      </c>
      <c r="CO9" s="19">
        <v>18305</v>
      </c>
      <c r="CP9" s="19">
        <v>15399</v>
      </c>
      <c r="CQ9" s="19">
        <v>14971</v>
      </c>
      <c r="CR9" s="19">
        <v>17986</v>
      </c>
      <c r="CS9" s="19">
        <v>15248</v>
      </c>
      <c r="CT9" s="19">
        <v>22958</v>
      </c>
      <c r="CU9" s="222"/>
      <c r="CV9" s="19">
        <f t="shared" si="5"/>
        <v>17780</v>
      </c>
      <c r="CW9" s="19">
        <f t="shared" si="6"/>
        <v>54127</v>
      </c>
      <c r="CX9" s="19">
        <f t="shared" si="7"/>
        <v>43249</v>
      </c>
      <c r="CY9" s="19">
        <f t="shared" si="8"/>
        <v>42157</v>
      </c>
      <c r="CZ9" s="19">
        <f t="shared" si="9"/>
        <v>51198</v>
      </c>
      <c r="DA9" s="19">
        <f t="shared" si="10"/>
        <v>41393</v>
      </c>
      <c r="DB9" s="19">
        <f t="shared" si="11"/>
        <v>34275</v>
      </c>
      <c r="DC9" s="19">
        <f t="shared" si="12"/>
        <v>49603</v>
      </c>
      <c r="DD9" s="19">
        <f t="shared" si="13"/>
        <v>51661</v>
      </c>
      <c r="DE9" s="19">
        <f t="shared" si="14"/>
        <v>51794</v>
      </c>
      <c r="DF9" s="19">
        <f t="shared" si="15"/>
        <v>48675</v>
      </c>
      <c r="DG9" s="19">
        <f t="shared" si="16"/>
        <v>56192</v>
      </c>
      <c r="DI9" s="19">
        <f t="shared" si="17"/>
        <v>157313</v>
      </c>
      <c r="DJ9" s="19">
        <f t="shared" si="18"/>
        <v>176469</v>
      </c>
      <c r="DK9" s="19">
        <f t="shared" si="19"/>
        <v>208322</v>
      </c>
    </row>
    <row r="10" spans="2:115" x14ac:dyDescent="0.2">
      <c r="B10" s="225" t="s">
        <v>291</v>
      </c>
      <c r="C10" s="19">
        <v>39</v>
      </c>
      <c r="D10" s="19">
        <v>37</v>
      </c>
      <c r="E10" s="19">
        <v>122</v>
      </c>
      <c r="F10" s="19">
        <v>357</v>
      </c>
      <c r="G10" s="19">
        <v>773</v>
      </c>
      <c r="H10" s="19">
        <v>1719</v>
      </c>
      <c r="I10" s="19">
        <v>1703</v>
      </c>
      <c r="J10" s="19">
        <v>1851</v>
      </c>
      <c r="K10" s="19">
        <v>1891</v>
      </c>
      <c r="L10" s="19">
        <v>3002</v>
      </c>
      <c r="M10" s="19">
        <v>2078</v>
      </c>
      <c r="N10" s="19">
        <v>3028</v>
      </c>
      <c r="O10" s="19">
        <v>3880</v>
      </c>
      <c r="P10" s="19">
        <v>5284</v>
      </c>
      <c r="Q10" s="19">
        <v>6210</v>
      </c>
      <c r="R10" s="19">
        <v>7541</v>
      </c>
      <c r="S10" s="19">
        <v>7204</v>
      </c>
      <c r="T10" s="19">
        <v>6770</v>
      </c>
      <c r="U10" s="19">
        <v>10724</v>
      </c>
      <c r="V10" s="19">
        <v>6743</v>
      </c>
      <c r="W10" s="19">
        <v>5807</v>
      </c>
      <c r="X10" s="19">
        <v>7015</v>
      </c>
      <c r="Y10" s="19">
        <v>7290</v>
      </c>
      <c r="Z10" s="19">
        <v>4371</v>
      </c>
      <c r="AA10" s="19">
        <v>14</v>
      </c>
      <c r="AB10" s="19">
        <v>246</v>
      </c>
      <c r="AC10" s="19">
        <v>558</v>
      </c>
      <c r="AD10" s="19">
        <v>1282</v>
      </c>
      <c r="AE10" s="19">
        <v>1853</v>
      </c>
      <c r="AF10" s="19">
        <v>2617</v>
      </c>
      <c r="AG10" s="19">
        <v>4932</v>
      </c>
      <c r="AH10" s="19">
        <v>5358</v>
      </c>
      <c r="AI10" s="19">
        <v>5821</v>
      </c>
      <c r="AJ10" s="19">
        <v>5419</v>
      </c>
      <c r="AK10" s="19">
        <v>7157</v>
      </c>
      <c r="AL10" s="19">
        <v>4781</v>
      </c>
      <c r="AM10" s="19">
        <v>3042</v>
      </c>
      <c r="AN10" s="19">
        <v>0</v>
      </c>
      <c r="AO10" s="19">
        <v>1112</v>
      </c>
      <c r="AP10" s="19">
        <v>2902</v>
      </c>
      <c r="AQ10" s="19">
        <v>4387</v>
      </c>
      <c r="AR10" s="19">
        <v>5532</v>
      </c>
      <c r="AS10" s="19">
        <v>8057</v>
      </c>
      <c r="AT10" s="19">
        <v>6716</v>
      </c>
      <c r="AU10" s="19">
        <v>6622</v>
      </c>
      <c r="AV10" s="19">
        <v>6519</v>
      </c>
      <c r="AW10" s="19">
        <v>7038</v>
      </c>
      <c r="AX10" s="19">
        <v>7638</v>
      </c>
      <c r="AY10" s="19">
        <v>7908</v>
      </c>
      <c r="AZ10" s="19">
        <v>6234</v>
      </c>
      <c r="BA10" s="19">
        <v>7790</v>
      </c>
      <c r="BB10" s="19">
        <v>10043</v>
      </c>
      <c r="BC10" s="19">
        <v>12641</v>
      </c>
      <c r="BD10" s="19">
        <v>13294</v>
      </c>
      <c r="BE10" s="19">
        <v>15523</v>
      </c>
      <c r="BF10" s="19">
        <v>9612</v>
      </c>
      <c r="BG10" s="19">
        <v>8019</v>
      </c>
      <c r="BH10" s="19">
        <v>9011</v>
      </c>
      <c r="BI10" s="19">
        <v>10625</v>
      </c>
      <c r="BJ10" s="19">
        <v>11552</v>
      </c>
      <c r="BK10" s="19">
        <v>10685</v>
      </c>
      <c r="BL10" s="19">
        <v>10337</v>
      </c>
      <c r="BM10" s="19">
        <v>9671</v>
      </c>
      <c r="BN10" s="19">
        <v>11325</v>
      </c>
      <c r="BO10" s="19">
        <v>11979</v>
      </c>
      <c r="BP10" s="19">
        <v>7289</v>
      </c>
      <c r="BQ10" s="19">
        <v>11552</v>
      </c>
      <c r="BR10" s="19">
        <v>9826</v>
      </c>
      <c r="BS10" s="19">
        <v>5088</v>
      </c>
      <c r="BT10" s="19">
        <v>2955</v>
      </c>
      <c r="BU10" s="19">
        <v>4933</v>
      </c>
      <c r="BV10" s="19">
        <v>7910</v>
      </c>
      <c r="BW10" s="19">
        <v>8507</v>
      </c>
      <c r="BX10" s="19">
        <v>9739</v>
      </c>
      <c r="BY10" s="19">
        <v>9460</v>
      </c>
      <c r="BZ10" s="19">
        <v>9745</v>
      </c>
      <c r="CA10" s="19">
        <v>9696</v>
      </c>
      <c r="CB10" s="19">
        <v>8957</v>
      </c>
      <c r="CC10" s="19">
        <v>12314</v>
      </c>
      <c r="CD10" s="19">
        <v>10506</v>
      </c>
      <c r="CE10" s="19">
        <v>11496</v>
      </c>
      <c r="CF10" s="19">
        <v>13740</v>
      </c>
      <c r="CG10" s="19">
        <v>10840</v>
      </c>
      <c r="CH10" s="19">
        <v>13706</v>
      </c>
      <c r="CI10" s="19">
        <v>12395</v>
      </c>
      <c r="CJ10" s="19">
        <v>13663</v>
      </c>
      <c r="CK10" s="19">
        <v>14951</v>
      </c>
      <c r="CL10" s="19">
        <v>16542</v>
      </c>
      <c r="CM10" s="19">
        <v>15998</v>
      </c>
      <c r="CN10" s="19">
        <v>17971</v>
      </c>
      <c r="CO10" s="19">
        <v>25149</v>
      </c>
      <c r="CP10" s="19">
        <v>20238</v>
      </c>
      <c r="CQ10" s="19">
        <v>22516</v>
      </c>
      <c r="CR10" s="19">
        <v>23561</v>
      </c>
      <c r="CS10" s="19">
        <v>20929</v>
      </c>
      <c r="CT10" s="19">
        <v>25377</v>
      </c>
      <c r="CU10" s="222"/>
      <c r="CV10" s="19">
        <f t="shared" si="5"/>
        <v>30693</v>
      </c>
      <c r="CW10" s="19">
        <f t="shared" si="6"/>
        <v>30593</v>
      </c>
      <c r="CX10" s="19">
        <f t="shared" si="7"/>
        <v>26466</v>
      </c>
      <c r="CY10" s="19">
        <f t="shared" si="8"/>
        <v>15798</v>
      </c>
      <c r="CZ10" s="19">
        <f t="shared" si="9"/>
        <v>27706</v>
      </c>
      <c r="DA10" s="19">
        <f t="shared" si="10"/>
        <v>28398</v>
      </c>
      <c r="DB10" s="19">
        <f t="shared" si="11"/>
        <v>34316</v>
      </c>
      <c r="DC10" s="19">
        <f t="shared" si="12"/>
        <v>38286</v>
      </c>
      <c r="DD10" s="19">
        <f t="shared" si="13"/>
        <v>41009</v>
      </c>
      <c r="DE10" s="19">
        <f t="shared" si="14"/>
        <v>50511</v>
      </c>
      <c r="DF10" s="19">
        <f t="shared" si="15"/>
        <v>67903</v>
      </c>
      <c r="DG10" s="19">
        <f t="shared" si="16"/>
        <v>69867</v>
      </c>
      <c r="DI10" s="19">
        <f t="shared" si="17"/>
        <v>103550</v>
      </c>
      <c r="DJ10" s="19">
        <f t="shared" si="18"/>
        <v>128706</v>
      </c>
      <c r="DK10" s="19">
        <f t="shared" si="19"/>
        <v>229290</v>
      </c>
    </row>
    <row r="11" spans="2:115" x14ac:dyDescent="0.2">
      <c r="B11" s="226" t="s">
        <v>288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>
        <v>1665</v>
      </c>
      <c r="BN11" s="19">
        <v>2284</v>
      </c>
      <c r="BO11" s="19">
        <v>2579</v>
      </c>
      <c r="BP11" s="19">
        <v>2046</v>
      </c>
      <c r="BQ11" s="19">
        <v>2767</v>
      </c>
      <c r="BR11" s="19">
        <v>2657</v>
      </c>
      <c r="BS11" s="19">
        <v>1692</v>
      </c>
      <c r="BT11" s="19">
        <v>1031</v>
      </c>
      <c r="BU11" s="19">
        <v>1408</v>
      </c>
      <c r="BV11" s="19">
        <v>1951</v>
      </c>
      <c r="BW11" s="19">
        <v>2617</v>
      </c>
      <c r="BX11" s="19">
        <v>3004</v>
      </c>
      <c r="BY11" s="19">
        <v>3201</v>
      </c>
      <c r="BZ11" s="19">
        <v>3487</v>
      </c>
      <c r="CA11" s="19">
        <v>3547</v>
      </c>
      <c r="CB11" s="19">
        <v>3149</v>
      </c>
      <c r="CC11" s="19">
        <v>4838</v>
      </c>
      <c r="CD11" s="19">
        <v>4445</v>
      </c>
      <c r="CE11" s="19">
        <v>4715</v>
      </c>
      <c r="CF11" s="19">
        <v>5692</v>
      </c>
      <c r="CG11" s="19">
        <v>4303</v>
      </c>
      <c r="CH11" s="19">
        <v>5109</v>
      </c>
      <c r="CI11" s="19">
        <v>4373</v>
      </c>
      <c r="CJ11" s="19">
        <v>4407</v>
      </c>
      <c r="CK11" s="19">
        <v>4707</v>
      </c>
      <c r="CL11" s="19">
        <v>4600</v>
      </c>
      <c r="CM11" s="19">
        <v>4106</v>
      </c>
      <c r="CN11" s="19">
        <v>6066</v>
      </c>
      <c r="CO11" s="19">
        <v>8687</v>
      </c>
      <c r="CP11" s="19">
        <v>6717</v>
      </c>
      <c r="CQ11" s="19">
        <v>8019</v>
      </c>
      <c r="CR11" s="19">
        <v>7700</v>
      </c>
      <c r="CS11" s="19">
        <v>6901</v>
      </c>
      <c r="CT11" s="19">
        <v>7952</v>
      </c>
      <c r="CU11" s="222"/>
      <c r="CV11" s="19">
        <f t="shared" si="5"/>
        <v>1665</v>
      </c>
      <c r="CW11" s="19">
        <f t="shared" si="6"/>
        <v>6909</v>
      </c>
      <c r="CX11" s="19">
        <f t="shared" si="7"/>
        <v>7116</v>
      </c>
      <c r="CY11" s="19">
        <f t="shared" si="8"/>
        <v>4390</v>
      </c>
      <c r="CZ11" s="19">
        <f t="shared" si="9"/>
        <v>8822</v>
      </c>
      <c r="DA11" s="19">
        <f t="shared" si="10"/>
        <v>10183</v>
      </c>
      <c r="DB11" s="19">
        <f t="shared" si="11"/>
        <v>13998</v>
      </c>
      <c r="DC11" s="19">
        <f t="shared" si="12"/>
        <v>15104</v>
      </c>
      <c r="DD11" s="19">
        <f t="shared" si="13"/>
        <v>13487</v>
      </c>
      <c r="DE11" s="19">
        <f t="shared" si="14"/>
        <v>14772</v>
      </c>
      <c r="DF11" s="19">
        <f t="shared" si="15"/>
        <v>23423</v>
      </c>
      <c r="DG11" s="19">
        <f t="shared" si="16"/>
        <v>22553</v>
      </c>
      <c r="DI11" s="19">
        <f t="shared" si="17"/>
        <v>20080</v>
      </c>
      <c r="DJ11" s="19">
        <f t="shared" si="18"/>
        <v>48107</v>
      </c>
      <c r="DK11" s="19">
        <f t="shared" si="19"/>
        <v>74235</v>
      </c>
    </row>
    <row r="12" spans="2:115" x14ac:dyDescent="0.2">
      <c r="B12" s="226" t="s">
        <v>289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>
        <v>8006</v>
      </c>
      <c r="BN12" s="19">
        <v>9041</v>
      </c>
      <c r="BO12" s="19">
        <v>9400</v>
      </c>
      <c r="BP12" s="19">
        <v>5243</v>
      </c>
      <c r="BQ12" s="19">
        <v>8785</v>
      </c>
      <c r="BR12" s="19">
        <v>7169</v>
      </c>
      <c r="BS12" s="19">
        <v>3396</v>
      </c>
      <c r="BT12" s="19">
        <v>1924</v>
      </c>
      <c r="BU12" s="19">
        <v>3525</v>
      </c>
      <c r="BV12" s="19">
        <v>5959</v>
      </c>
      <c r="BW12" s="19">
        <v>5890</v>
      </c>
      <c r="BX12" s="19">
        <v>6735</v>
      </c>
      <c r="BY12" s="19">
        <v>6259</v>
      </c>
      <c r="BZ12" s="19">
        <v>6258</v>
      </c>
      <c r="CA12" s="19">
        <v>6149</v>
      </c>
      <c r="CB12" s="19">
        <v>5808</v>
      </c>
      <c r="CC12" s="19">
        <v>7476</v>
      </c>
      <c r="CD12" s="19">
        <v>6061</v>
      </c>
      <c r="CE12" s="19">
        <v>6781</v>
      </c>
      <c r="CF12" s="19">
        <v>8048</v>
      </c>
      <c r="CG12" s="19">
        <v>6537</v>
      </c>
      <c r="CH12" s="19">
        <v>8597</v>
      </c>
      <c r="CI12" s="19">
        <v>8022</v>
      </c>
      <c r="CJ12" s="19">
        <v>9256</v>
      </c>
      <c r="CK12" s="19">
        <v>10244</v>
      </c>
      <c r="CL12" s="19">
        <v>11942</v>
      </c>
      <c r="CM12" s="19">
        <v>11892</v>
      </c>
      <c r="CN12" s="19">
        <v>11905</v>
      </c>
      <c r="CO12" s="19">
        <v>16462</v>
      </c>
      <c r="CP12" s="19">
        <v>13521</v>
      </c>
      <c r="CQ12" s="19">
        <v>14497</v>
      </c>
      <c r="CR12" s="19">
        <v>15861</v>
      </c>
      <c r="CS12" s="19">
        <v>14028</v>
      </c>
      <c r="CT12" s="19">
        <v>17425</v>
      </c>
      <c r="CU12" s="222"/>
      <c r="CV12" s="19">
        <f t="shared" si="5"/>
        <v>8006</v>
      </c>
      <c r="CW12" s="19">
        <f t="shared" si="6"/>
        <v>23684</v>
      </c>
      <c r="CX12" s="19">
        <f t="shared" si="7"/>
        <v>19350</v>
      </c>
      <c r="CY12" s="19">
        <f t="shared" si="8"/>
        <v>11408</v>
      </c>
      <c r="CZ12" s="19">
        <f t="shared" si="9"/>
        <v>18884</v>
      </c>
      <c r="DA12" s="19">
        <f t="shared" si="10"/>
        <v>18215</v>
      </c>
      <c r="DB12" s="19">
        <f t="shared" si="11"/>
        <v>20318</v>
      </c>
      <c r="DC12" s="19">
        <f t="shared" si="12"/>
        <v>23182</v>
      </c>
      <c r="DD12" s="19">
        <f t="shared" si="13"/>
        <v>27522</v>
      </c>
      <c r="DE12" s="19">
        <f t="shared" si="14"/>
        <v>35739</v>
      </c>
      <c r="DF12" s="19">
        <f t="shared" si="15"/>
        <v>44480</v>
      </c>
      <c r="DG12" s="19">
        <f t="shared" si="16"/>
        <v>47314</v>
      </c>
      <c r="DI12" s="19">
        <f t="shared" si="17"/>
        <v>62448</v>
      </c>
      <c r="DJ12" s="19">
        <f t="shared" si="18"/>
        <v>80599</v>
      </c>
      <c r="DK12" s="19">
        <f t="shared" si="19"/>
        <v>155055</v>
      </c>
    </row>
    <row r="13" spans="2:115" x14ac:dyDescent="0.2">
      <c r="B13" s="225" t="s">
        <v>306</v>
      </c>
      <c r="C13" s="19">
        <v>18343</v>
      </c>
      <c r="D13" s="19">
        <v>35779</v>
      </c>
      <c r="E13" s="19">
        <v>49266</v>
      </c>
      <c r="F13" s="19">
        <v>22604</v>
      </c>
      <c r="G13" s="19">
        <v>43035</v>
      </c>
      <c r="H13" s="19">
        <v>10369</v>
      </c>
      <c r="I13" s="19">
        <v>29122</v>
      </c>
      <c r="J13" s="19">
        <v>48902</v>
      </c>
      <c r="K13" s="19">
        <v>13640</v>
      </c>
      <c r="L13" s="19">
        <v>44272</v>
      </c>
      <c r="M13" s="19">
        <v>39094</v>
      </c>
      <c r="N13" s="19">
        <v>58483</v>
      </c>
      <c r="O13" s="19">
        <v>52831</v>
      </c>
      <c r="P13" s="19">
        <v>62326</v>
      </c>
      <c r="Q13" s="19">
        <v>30554</v>
      </c>
      <c r="R13" s="19">
        <v>55455</v>
      </c>
      <c r="S13" s="19">
        <v>49543</v>
      </c>
      <c r="T13" s="19">
        <v>12268</v>
      </c>
      <c r="U13" s="19">
        <v>43225</v>
      </c>
      <c r="V13" s="19">
        <v>56400</v>
      </c>
      <c r="W13" s="19">
        <v>16552</v>
      </c>
      <c r="X13" s="19">
        <v>41579</v>
      </c>
      <c r="Y13" s="19">
        <v>73363</v>
      </c>
      <c r="Z13" s="19">
        <v>36653</v>
      </c>
      <c r="AA13" s="19">
        <v>9645</v>
      </c>
      <c r="AB13" s="19">
        <v>9811</v>
      </c>
      <c r="AC13" s="19">
        <v>23859</v>
      </c>
      <c r="AD13" s="19">
        <v>16604</v>
      </c>
      <c r="AE13" s="19">
        <v>45490</v>
      </c>
      <c r="AF13" s="19">
        <v>32187</v>
      </c>
      <c r="AG13" s="19">
        <v>50818</v>
      </c>
      <c r="AH13" s="19">
        <v>66728</v>
      </c>
      <c r="AI13" s="19">
        <v>7114</v>
      </c>
      <c r="AJ13" s="19">
        <v>45737</v>
      </c>
      <c r="AK13" s="19">
        <v>48479</v>
      </c>
      <c r="AL13" s="19">
        <v>44603</v>
      </c>
      <c r="AM13" s="19">
        <v>26348</v>
      </c>
      <c r="AN13" s="19">
        <v>31335</v>
      </c>
      <c r="AO13" s="19">
        <v>48443</v>
      </c>
      <c r="AP13" s="19">
        <v>46398</v>
      </c>
      <c r="AQ13" s="19">
        <v>76144</v>
      </c>
      <c r="AR13" s="19">
        <v>40434</v>
      </c>
      <c r="AS13" s="19">
        <v>81383</v>
      </c>
      <c r="AT13" s="19">
        <v>113548</v>
      </c>
      <c r="AU13" s="19">
        <v>50733</v>
      </c>
      <c r="AV13" s="19">
        <v>24640</v>
      </c>
      <c r="AW13" s="19">
        <v>3072</v>
      </c>
      <c r="AX13" s="19">
        <v>20451</v>
      </c>
      <c r="AY13" s="19">
        <v>696</v>
      </c>
      <c r="AZ13" s="19">
        <v>22</v>
      </c>
      <c r="BA13" s="19">
        <v>7665</v>
      </c>
      <c r="BB13" s="19">
        <v>20135</v>
      </c>
      <c r="BC13" s="19">
        <v>27800</v>
      </c>
      <c r="BD13" s="19">
        <v>15575</v>
      </c>
      <c r="BE13" s="19">
        <v>43477</v>
      </c>
      <c r="BF13" s="19">
        <v>2327</v>
      </c>
      <c r="BG13" s="19">
        <v>330</v>
      </c>
      <c r="BH13" s="19">
        <v>6501</v>
      </c>
      <c r="BI13" s="19">
        <v>10755</v>
      </c>
      <c r="BJ13" s="19">
        <v>4515</v>
      </c>
      <c r="BK13" s="19">
        <v>27</v>
      </c>
      <c r="BL13" s="19">
        <v>508</v>
      </c>
      <c r="BM13" s="19">
        <v>3714</v>
      </c>
      <c r="BN13" s="19">
        <v>10664</v>
      </c>
      <c r="BO13" s="19">
        <v>28240</v>
      </c>
      <c r="BP13" s="19">
        <v>97</v>
      </c>
      <c r="BQ13" s="19">
        <v>973</v>
      </c>
      <c r="BR13" s="19">
        <v>107</v>
      </c>
      <c r="BS13" s="19">
        <v>0</v>
      </c>
      <c r="BT13" s="19">
        <v>0</v>
      </c>
      <c r="BU13" s="19">
        <v>727</v>
      </c>
      <c r="BV13" s="19">
        <v>1374</v>
      </c>
      <c r="BW13" s="19">
        <v>2918</v>
      </c>
      <c r="BX13" s="19">
        <v>2323</v>
      </c>
      <c r="BY13" s="19">
        <v>3780</v>
      </c>
      <c r="BZ13" s="19">
        <v>2234</v>
      </c>
      <c r="CA13" s="19">
        <v>665</v>
      </c>
      <c r="CB13" s="19">
        <v>1537</v>
      </c>
      <c r="CC13" s="19">
        <v>11995</v>
      </c>
      <c r="CD13" s="19">
        <v>17321</v>
      </c>
      <c r="CE13" s="19">
        <v>12275</v>
      </c>
      <c r="CF13" s="19">
        <v>5605</v>
      </c>
      <c r="CG13" s="19">
        <v>3581</v>
      </c>
      <c r="CH13" s="19">
        <v>3430</v>
      </c>
      <c r="CI13" s="19">
        <v>13375</v>
      </c>
      <c r="CJ13" s="19">
        <v>14967</v>
      </c>
      <c r="CK13" s="19">
        <v>8360</v>
      </c>
      <c r="CL13" s="19">
        <v>4907</v>
      </c>
      <c r="CM13" s="19">
        <v>4261</v>
      </c>
      <c r="CN13" s="19">
        <v>8175</v>
      </c>
      <c r="CO13" s="19">
        <v>21280</v>
      </c>
      <c r="CP13" s="19">
        <v>17503</v>
      </c>
      <c r="CQ13" s="19">
        <v>2554</v>
      </c>
      <c r="CR13" s="19">
        <v>15401</v>
      </c>
      <c r="CS13" s="19">
        <v>8602</v>
      </c>
      <c r="CT13" s="19">
        <v>9527</v>
      </c>
      <c r="CU13" s="222"/>
      <c r="CV13" s="19">
        <f t="shared" si="5"/>
        <v>4249</v>
      </c>
      <c r="CW13" s="19">
        <f t="shared" si="6"/>
        <v>39001</v>
      </c>
      <c r="CX13" s="19">
        <f t="shared" si="7"/>
        <v>1080</v>
      </c>
      <c r="CY13" s="19">
        <f t="shared" si="8"/>
        <v>2101</v>
      </c>
      <c r="CZ13" s="19">
        <f t="shared" si="9"/>
        <v>9021</v>
      </c>
      <c r="DA13" s="19">
        <f t="shared" si="10"/>
        <v>4436</v>
      </c>
      <c r="DB13" s="19">
        <f t="shared" si="11"/>
        <v>41591</v>
      </c>
      <c r="DC13" s="19">
        <f t="shared" si="12"/>
        <v>12616</v>
      </c>
      <c r="DD13" s="19">
        <f t="shared" si="13"/>
        <v>36702</v>
      </c>
      <c r="DE13" s="19">
        <f t="shared" si="14"/>
        <v>17343</v>
      </c>
      <c r="DF13" s="19">
        <f t="shared" si="15"/>
        <v>41337</v>
      </c>
      <c r="DG13" s="19">
        <f t="shared" si="16"/>
        <v>33530</v>
      </c>
      <c r="DI13" s="19">
        <f t="shared" si="17"/>
        <v>46431</v>
      </c>
      <c r="DJ13" s="19">
        <f t="shared" si="18"/>
        <v>67664</v>
      </c>
      <c r="DK13" s="19">
        <f t="shared" si="19"/>
        <v>128912</v>
      </c>
    </row>
    <row r="14" spans="2:115" x14ac:dyDescent="0.2">
      <c r="B14" s="226" t="s">
        <v>288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>
        <v>59</v>
      </c>
      <c r="BN14" s="19"/>
      <c r="BO14" s="19">
        <v>2920</v>
      </c>
      <c r="BP14" s="19">
        <v>4</v>
      </c>
      <c r="BQ14" s="19">
        <v>62</v>
      </c>
      <c r="BR14" s="19">
        <v>25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1</v>
      </c>
      <c r="BY14" s="19">
        <v>0</v>
      </c>
      <c r="BZ14" s="19">
        <v>16</v>
      </c>
      <c r="CA14" s="19">
        <v>2</v>
      </c>
      <c r="CB14" s="19">
        <v>11</v>
      </c>
      <c r="CC14" s="19">
        <v>2033</v>
      </c>
      <c r="CD14" s="19">
        <v>5400</v>
      </c>
      <c r="CE14" s="19">
        <v>1698</v>
      </c>
      <c r="CF14" s="19">
        <v>158</v>
      </c>
      <c r="CG14" s="19">
        <v>244</v>
      </c>
      <c r="CH14" s="19">
        <v>218</v>
      </c>
      <c r="CI14" s="19">
        <v>3994</v>
      </c>
      <c r="CJ14" s="19">
        <v>4939</v>
      </c>
      <c r="CK14" s="19">
        <v>1730</v>
      </c>
      <c r="CL14" s="19">
        <v>256</v>
      </c>
      <c r="CM14" s="19">
        <v>672</v>
      </c>
      <c r="CN14" s="19">
        <v>1998</v>
      </c>
      <c r="CO14" s="19">
        <v>8319</v>
      </c>
      <c r="CP14" s="19">
        <v>6029</v>
      </c>
      <c r="CQ14" s="19">
        <v>127</v>
      </c>
      <c r="CR14" s="19">
        <v>5026</v>
      </c>
      <c r="CS14" s="19">
        <v>2127</v>
      </c>
      <c r="CT14" s="19">
        <v>1467</v>
      </c>
      <c r="CU14" s="222"/>
      <c r="CV14" s="19">
        <f t="shared" si="5"/>
        <v>59</v>
      </c>
      <c r="CW14" s="19">
        <f t="shared" si="6"/>
        <v>2924</v>
      </c>
      <c r="CX14" s="19">
        <f t="shared" si="7"/>
        <v>87</v>
      </c>
      <c r="CY14" s="19">
        <f t="shared" si="8"/>
        <v>0</v>
      </c>
      <c r="CZ14" s="19">
        <f t="shared" si="9"/>
        <v>1</v>
      </c>
      <c r="DA14" s="19">
        <f t="shared" si="10"/>
        <v>29</v>
      </c>
      <c r="DB14" s="19">
        <f t="shared" si="11"/>
        <v>9131</v>
      </c>
      <c r="DC14" s="19">
        <f t="shared" si="12"/>
        <v>620</v>
      </c>
      <c r="DD14" s="19">
        <f t="shared" si="13"/>
        <v>10663</v>
      </c>
      <c r="DE14" s="19">
        <f t="shared" si="14"/>
        <v>2926</v>
      </c>
      <c r="DF14" s="19">
        <f t="shared" si="15"/>
        <v>14475</v>
      </c>
      <c r="DG14" s="19">
        <f t="shared" si="16"/>
        <v>8620</v>
      </c>
      <c r="DI14" s="19">
        <f t="shared" si="17"/>
        <v>3070</v>
      </c>
      <c r="DJ14" s="19">
        <f t="shared" si="18"/>
        <v>9781</v>
      </c>
      <c r="DK14" s="19">
        <f t="shared" si="19"/>
        <v>36684</v>
      </c>
    </row>
    <row r="15" spans="2:115" x14ac:dyDescent="0.2">
      <c r="B15" s="226" t="s">
        <v>289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>
        <v>3655</v>
      </c>
      <c r="BN15" s="19">
        <v>10664</v>
      </c>
      <c r="BO15" s="19">
        <v>25320</v>
      </c>
      <c r="BP15" s="19">
        <v>93</v>
      </c>
      <c r="BQ15" s="19">
        <v>911</v>
      </c>
      <c r="BR15" s="19">
        <v>82</v>
      </c>
      <c r="BS15" s="19">
        <v>0</v>
      </c>
      <c r="BT15" s="19">
        <v>0</v>
      </c>
      <c r="BU15" s="19">
        <v>727</v>
      </c>
      <c r="BV15" s="19">
        <v>1374</v>
      </c>
      <c r="BW15" s="19">
        <v>2918</v>
      </c>
      <c r="BX15" s="19">
        <v>2322</v>
      </c>
      <c r="BY15" s="19">
        <v>3780</v>
      </c>
      <c r="BZ15" s="19">
        <v>2218</v>
      </c>
      <c r="CA15" s="19">
        <v>663</v>
      </c>
      <c r="CB15" s="19">
        <v>1526</v>
      </c>
      <c r="CC15" s="19">
        <v>9962</v>
      </c>
      <c r="CD15" s="19">
        <v>11921</v>
      </c>
      <c r="CE15" s="19">
        <v>10577</v>
      </c>
      <c r="CF15" s="19">
        <v>5447</v>
      </c>
      <c r="CG15" s="19">
        <v>3337</v>
      </c>
      <c r="CH15" s="19">
        <v>3212</v>
      </c>
      <c r="CI15" s="19">
        <v>9381</v>
      </c>
      <c r="CJ15" s="19">
        <v>10028</v>
      </c>
      <c r="CK15" s="19">
        <v>6630</v>
      </c>
      <c r="CL15" s="19">
        <v>4651</v>
      </c>
      <c r="CM15" s="19">
        <v>3589</v>
      </c>
      <c r="CN15" s="19">
        <v>6177</v>
      </c>
      <c r="CO15" s="19">
        <v>12961</v>
      </c>
      <c r="CP15" s="19">
        <v>11474</v>
      </c>
      <c r="CQ15" s="19">
        <v>2427</v>
      </c>
      <c r="CR15" s="19">
        <v>10375</v>
      </c>
      <c r="CS15" s="19">
        <v>6475</v>
      </c>
      <c r="CT15" s="19">
        <v>8060</v>
      </c>
      <c r="CU15" s="222"/>
      <c r="CV15" s="19">
        <f t="shared" si="5"/>
        <v>3655</v>
      </c>
      <c r="CW15" s="19">
        <f t="shared" si="6"/>
        <v>36077</v>
      </c>
      <c r="CX15" s="19">
        <f t="shared" si="7"/>
        <v>993</v>
      </c>
      <c r="CY15" s="19">
        <f t="shared" si="8"/>
        <v>2101</v>
      </c>
      <c r="CZ15" s="19">
        <f t="shared" si="9"/>
        <v>9020</v>
      </c>
      <c r="DA15" s="19">
        <f t="shared" si="10"/>
        <v>4407</v>
      </c>
      <c r="DB15" s="19">
        <f t="shared" si="11"/>
        <v>32460</v>
      </c>
      <c r="DC15" s="19">
        <f t="shared" si="12"/>
        <v>11996</v>
      </c>
      <c r="DD15" s="19">
        <f t="shared" si="13"/>
        <v>26039</v>
      </c>
      <c r="DE15" s="19">
        <f t="shared" si="14"/>
        <v>14417</v>
      </c>
      <c r="DF15" s="19">
        <f t="shared" si="15"/>
        <v>26862</v>
      </c>
      <c r="DG15" s="19">
        <f t="shared" si="16"/>
        <v>24910</v>
      </c>
      <c r="DI15" s="19">
        <f t="shared" si="17"/>
        <v>42826</v>
      </c>
      <c r="DJ15" s="19">
        <f t="shared" si="18"/>
        <v>57883</v>
      </c>
      <c r="DK15" s="19">
        <f t="shared" si="19"/>
        <v>92228</v>
      </c>
    </row>
    <row r="16" spans="2:115" x14ac:dyDescent="0.2">
      <c r="B16" s="225" t="s">
        <v>292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4554</v>
      </c>
      <c r="BF16" s="19">
        <v>9002</v>
      </c>
      <c r="BG16" s="19">
        <v>2333</v>
      </c>
      <c r="BH16" s="19">
        <v>8406</v>
      </c>
      <c r="BI16" s="19">
        <v>19231</v>
      </c>
      <c r="BJ16" s="19">
        <v>10142</v>
      </c>
      <c r="BK16" s="19">
        <v>3740</v>
      </c>
      <c r="BL16" s="19">
        <v>4153</v>
      </c>
      <c r="BM16" s="19">
        <v>8460</v>
      </c>
      <c r="BN16" s="19">
        <v>7260</v>
      </c>
      <c r="BO16" s="19">
        <v>3961</v>
      </c>
      <c r="BP16" s="19">
        <v>1406</v>
      </c>
      <c r="BQ16" s="19">
        <v>4447</v>
      </c>
      <c r="BR16" s="19">
        <v>9458</v>
      </c>
      <c r="BS16" s="19">
        <v>1905</v>
      </c>
      <c r="BT16" s="19">
        <v>1324</v>
      </c>
      <c r="BU16" s="19">
        <v>1967</v>
      </c>
      <c r="BV16" s="19">
        <v>4519</v>
      </c>
      <c r="BW16" s="19">
        <v>6445</v>
      </c>
      <c r="BX16" s="19">
        <v>5521</v>
      </c>
      <c r="BY16" s="19">
        <v>3727</v>
      </c>
      <c r="BZ16" s="19">
        <v>5507</v>
      </c>
      <c r="CA16" s="19">
        <v>8383</v>
      </c>
      <c r="CB16" s="19">
        <v>9031</v>
      </c>
      <c r="CC16" s="19">
        <v>12894</v>
      </c>
      <c r="CD16" s="19">
        <v>4528</v>
      </c>
      <c r="CE16" s="19">
        <v>7262</v>
      </c>
      <c r="CF16" s="19">
        <v>8458</v>
      </c>
      <c r="CG16" s="19">
        <v>7638</v>
      </c>
      <c r="CH16" s="19">
        <v>888</v>
      </c>
      <c r="CI16" s="19">
        <v>11338</v>
      </c>
      <c r="CJ16" s="19">
        <v>4202</v>
      </c>
      <c r="CK16" s="19">
        <v>571</v>
      </c>
      <c r="CL16" s="19">
        <v>2005</v>
      </c>
      <c r="CM16" s="19">
        <v>2444</v>
      </c>
      <c r="CN16" s="19">
        <v>2838</v>
      </c>
      <c r="CO16" s="19">
        <v>2062</v>
      </c>
      <c r="CP16" s="19">
        <v>2348</v>
      </c>
      <c r="CQ16" s="19">
        <v>4617</v>
      </c>
      <c r="CR16" s="19">
        <v>2417</v>
      </c>
      <c r="CS16" s="19">
        <v>420</v>
      </c>
      <c r="CT16" s="19">
        <v>6684</v>
      </c>
      <c r="CU16" s="222"/>
      <c r="CV16" s="19">
        <f t="shared" si="5"/>
        <v>16353</v>
      </c>
      <c r="CW16" s="19">
        <f t="shared" si="6"/>
        <v>12627</v>
      </c>
      <c r="CX16" s="19">
        <f t="shared" si="7"/>
        <v>15810</v>
      </c>
      <c r="CY16" s="19">
        <f t="shared" si="8"/>
        <v>7810</v>
      </c>
      <c r="CZ16" s="19">
        <f t="shared" si="9"/>
        <v>15693</v>
      </c>
      <c r="DA16" s="19">
        <f t="shared" si="10"/>
        <v>22921</v>
      </c>
      <c r="DB16" s="19">
        <f t="shared" si="11"/>
        <v>24684</v>
      </c>
      <c r="DC16" s="19">
        <f t="shared" si="12"/>
        <v>16984</v>
      </c>
      <c r="DD16" s="19">
        <f t="shared" si="13"/>
        <v>16111</v>
      </c>
      <c r="DE16" s="19">
        <f t="shared" si="14"/>
        <v>7287</v>
      </c>
      <c r="DF16" s="19">
        <f t="shared" si="15"/>
        <v>9027</v>
      </c>
      <c r="DG16" s="19">
        <f t="shared" si="16"/>
        <v>9521</v>
      </c>
      <c r="DI16" s="19">
        <f t="shared" si="17"/>
        <v>52600</v>
      </c>
      <c r="DJ16" s="19">
        <f t="shared" si="18"/>
        <v>80282</v>
      </c>
      <c r="DK16" s="19">
        <f t="shared" si="19"/>
        <v>41946</v>
      </c>
    </row>
    <row r="17" spans="2:115" x14ac:dyDescent="0.2">
      <c r="B17" s="226" t="s">
        <v>288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>
        <v>2117</v>
      </c>
      <c r="BN17" s="19">
        <v>621</v>
      </c>
      <c r="BO17" s="19">
        <v>302</v>
      </c>
      <c r="BP17" s="19">
        <v>88</v>
      </c>
      <c r="BQ17" s="19">
        <v>62</v>
      </c>
      <c r="BR17" s="19">
        <v>27</v>
      </c>
      <c r="BS17" s="19">
        <v>4</v>
      </c>
      <c r="BT17" s="19">
        <v>20</v>
      </c>
      <c r="BU17" s="19">
        <v>180</v>
      </c>
      <c r="BV17" s="19">
        <v>475</v>
      </c>
      <c r="BW17" s="19">
        <v>700</v>
      </c>
      <c r="BX17" s="19">
        <v>1048</v>
      </c>
      <c r="BY17" s="19">
        <v>612</v>
      </c>
      <c r="BZ17" s="19">
        <v>1246</v>
      </c>
      <c r="CA17" s="19">
        <v>559</v>
      </c>
      <c r="CB17" s="19">
        <v>879</v>
      </c>
      <c r="CC17" s="19">
        <v>3607</v>
      </c>
      <c r="CD17" s="19">
        <v>16</v>
      </c>
      <c r="CE17" s="19">
        <v>219</v>
      </c>
      <c r="CF17" s="19">
        <v>118</v>
      </c>
      <c r="CG17" s="19">
        <v>639</v>
      </c>
      <c r="CH17" s="19">
        <v>8</v>
      </c>
      <c r="CI17" s="19">
        <v>1238</v>
      </c>
      <c r="CJ17" s="19">
        <v>326</v>
      </c>
      <c r="CK17" s="19">
        <v>26</v>
      </c>
      <c r="CL17" s="19">
        <v>120</v>
      </c>
      <c r="CM17" s="19">
        <v>25</v>
      </c>
      <c r="CN17" s="19">
        <v>115</v>
      </c>
      <c r="CO17" s="19">
        <v>4</v>
      </c>
      <c r="CP17" s="19">
        <v>31</v>
      </c>
      <c r="CQ17" s="19">
        <v>5</v>
      </c>
      <c r="CR17" s="19">
        <v>60</v>
      </c>
      <c r="CS17" s="19">
        <v>87</v>
      </c>
      <c r="CT17" s="19">
        <v>11</v>
      </c>
      <c r="CU17" s="222"/>
      <c r="CV17" s="19">
        <f t="shared" si="5"/>
        <v>2117</v>
      </c>
      <c r="CW17" s="19">
        <f t="shared" si="6"/>
        <v>1011</v>
      </c>
      <c r="CX17" s="19">
        <f t="shared" si="7"/>
        <v>93</v>
      </c>
      <c r="CY17" s="19">
        <f t="shared" si="8"/>
        <v>675</v>
      </c>
      <c r="CZ17" s="19">
        <f t="shared" si="9"/>
        <v>2360</v>
      </c>
      <c r="DA17" s="19">
        <f t="shared" si="10"/>
        <v>2684</v>
      </c>
      <c r="DB17" s="19">
        <f t="shared" si="11"/>
        <v>3842</v>
      </c>
      <c r="DC17" s="19">
        <f t="shared" si="12"/>
        <v>765</v>
      </c>
      <c r="DD17" s="19">
        <f t="shared" si="13"/>
        <v>1590</v>
      </c>
      <c r="DE17" s="19">
        <f t="shared" si="14"/>
        <v>260</v>
      </c>
      <c r="DF17" s="19">
        <f t="shared" si="15"/>
        <v>40</v>
      </c>
      <c r="DG17" s="19">
        <f t="shared" si="16"/>
        <v>158</v>
      </c>
      <c r="DI17" s="19">
        <f t="shared" si="17"/>
        <v>3896</v>
      </c>
      <c r="DJ17" s="19">
        <f t="shared" si="18"/>
        <v>9651</v>
      </c>
      <c r="DK17" s="19">
        <f t="shared" si="19"/>
        <v>2048</v>
      </c>
    </row>
    <row r="18" spans="2:115" x14ac:dyDescent="0.2">
      <c r="B18" s="226" t="s">
        <v>289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>
        <v>6343</v>
      </c>
      <c r="BN18" s="19">
        <v>6639</v>
      </c>
      <c r="BO18" s="19">
        <v>3659</v>
      </c>
      <c r="BP18" s="19">
        <v>1318</v>
      </c>
      <c r="BQ18" s="19">
        <v>4385</v>
      </c>
      <c r="BR18" s="19">
        <v>9431</v>
      </c>
      <c r="BS18" s="19">
        <v>1901</v>
      </c>
      <c r="BT18" s="19">
        <v>1304</v>
      </c>
      <c r="BU18" s="19">
        <v>1787</v>
      </c>
      <c r="BV18" s="19">
        <v>4044</v>
      </c>
      <c r="BW18" s="19">
        <v>5745</v>
      </c>
      <c r="BX18" s="19">
        <v>4473</v>
      </c>
      <c r="BY18" s="19">
        <v>3115</v>
      </c>
      <c r="BZ18" s="19">
        <v>4261</v>
      </c>
      <c r="CA18" s="19">
        <v>7824</v>
      </c>
      <c r="CB18" s="19">
        <v>8152</v>
      </c>
      <c r="CC18" s="19">
        <v>9287</v>
      </c>
      <c r="CD18" s="19">
        <v>4512</v>
      </c>
      <c r="CE18" s="19">
        <v>7043</v>
      </c>
      <c r="CF18" s="19">
        <v>8340</v>
      </c>
      <c r="CG18" s="19">
        <v>6999</v>
      </c>
      <c r="CH18" s="19">
        <v>880</v>
      </c>
      <c r="CI18" s="19">
        <v>10100</v>
      </c>
      <c r="CJ18" s="19">
        <v>3876</v>
      </c>
      <c r="CK18" s="19">
        <v>545</v>
      </c>
      <c r="CL18" s="19">
        <v>1885</v>
      </c>
      <c r="CM18" s="19">
        <v>2419</v>
      </c>
      <c r="CN18" s="19">
        <v>2723</v>
      </c>
      <c r="CO18" s="19">
        <v>2058</v>
      </c>
      <c r="CP18" s="19">
        <v>2317</v>
      </c>
      <c r="CQ18" s="19">
        <v>4612</v>
      </c>
      <c r="CR18" s="19">
        <v>2357</v>
      </c>
      <c r="CS18" s="19">
        <v>333</v>
      </c>
      <c r="CT18" s="19">
        <v>6673</v>
      </c>
      <c r="CU18" s="222"/>
      <c r="CV18" s="19">
        <f t="shared" si="5"/>
        <v>6343</v>
      </c>
      <c r="CW18" s="19">
        <f t="shared" si="6"/>
        <v>11616</v>
      </c>
      <c r="CX18" s="19">
        <f t="shared" si="7"/>
        <v>15717</v>
      </c>
      <c r="CY18" s="19">
        <f t="shared" si="8"/>
        <v>7135</v>
      </c>
      <c r="CZ18" s="19">
        <f t="shared" si="9"/>
        <v>13333</v>
      </c>
      <c r="DA18" s="19">
        <f t="shared" si="10"/>
        <v>20237</v>
      </c>
      <c r="DB18" s="19">
        <f t="shared" si="11"/>
        <v>20842</v>
      </c>
      <c r="DC18" s="19">
        <f t="shared" si="12"/>
        <v>16219</v>
      </c>
      <c r="DD18" s="19">
        <f t="shared" si="13"/>
        <v>14521</v>
      </c>
      <c r="DE18" s="19">
        <f t="shared" si="14"/>
        <v>7027</v>
      </c>
      <c r="DF18" s="19">
        <f t="shared" si="15"/>
        <v>8987</v>
      </c>
      <c r="DG18" s="19">
        <f t="shared" si="16"/>
        <v>9363</v>
      </c>
      <c r="DI18" s="19">
        <f t="shared" si="17"/>
        <v>40811</v>
      </c>
      <c r="DJ18" s="19">
        <f t="shared" si="18"/>
        <v>70631</v>
      </c>
      <c r="DK18" s="19">
        <f t="shared" si="19"/>
        <v>39898</v>
      </c>
    </row>
    <row r="19" spans="2:115" x14ac:dyDescent="0.2">
      <c r="B19" s="22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222"/>
      <c r="CV19" s="10">
        <f t="shared" si="5"/>
        <v>0</v>
      </c>
      <c r="CW19" s="10">
        <f t="shared" si="6"/>
        <v>0</v>
      </c>
      <c r="CX19" s="10">
        <f t="shared" si="7"/>
        <v>0</v>
      </c>
      <c r="CY19" s="10">
        <f t="shared" si="8"/>
        <v>0</v>
      </c>
      <c r="CZ19" s="10">
        <f t="shared" si="9"/>
        <v>0</v>
      </c>
      <c r="DA19" s="10">
        <f t="shared" si="10"/>
        <v>0</v>
      </c>
      <c r="DB19" s="10">
        <f t="shared" si="11"/>
        <v>0</v>
      </c>
      <c r="DC19" s="10">
        <f t="shared" si="12"/>
        <v>0</v>
      </c>
      <c r="DD19" s="10">
        <f t="shared" si="13"/>
        <v>0</v>
      </c>
      <c r="DE19" s="10">
        <f t="shared" si="14"/>
        <v>0</v>
      </c>
      <c r="DF19" s="10">
        <f t="shared" si="15"/>
        <v>0</v>
      </c>
      <c r="DG19" s="10">
        <f t="shared" si="16"/>
        <v>0</v>
      </c>
      <c r="DI19" s="10">
        <f t="shared" si="17"/>
        <v>0</v>
      </c>
      <c r="DJ19" s="10">
        <f t="shared" si="18"/>
        <v>0</v>
      </c>
      <c r="DK19" s="10">
        <f t="shared" si="19"/>
        <v>0</v>
      </c>
    </row>
    <row r="20" spans="2:115" x14ac:dyDescent="0.2">
      <c r="B20" s="223" t="s">
        <v>293</v>
      </c>
      <c r="C20" s="224">
        <f>C21+C28+C35+C43+C49+C54</f>
        <v>105317780.45</v>
      </c>
      <c r="D20" s="224">
        <f t="shared" ref="D20:BO20" si="20">D21+D28+D35+D43+D49+D54</f>
        <v>166881726.69714287</v>
      </c>
      <c r="E20" s="224">
        <f t="shared" si="20"/>
        <v>232646582.84999999</v>
      </c>
      <c r="F20" s="224">
        <f t="shared" si="20"/>
        <v>140649223.79857144</v>
      </c>
      <c r="G20" s="224">
        <f t="shared" si="20"/>
        <v>213312336.99571428</v>
      </c>
      <c r="H20" s="224">
        <f t="shared" si="20"/>
        <v>166767323.23285711</v>
      </c>
      <c r="I20" s="224">
        <f t="shared" si="20"/>
        <v>199262638.03714287</v>
      </c>
      <c r="J20" s="224">
        <f t="shared" si="20"/>
        <v>250709772.01857138</v>
      </c>
      <c r="K20" s="224">
        <f t="shared" si="20"/>
        <v>126601002.94428572</v>
      </c>
      <c r="L20" s="224">
        <f t="shared" si="20"/>
        <v>258651942.76857144</v>
      </c>
      <c r="M20" s="224">
        <f t="shared" si="20"/>
        <v>213954743.15142858</v>
      </c>
      <c r="N20" s="224">
        <f t="shared" si="20"/>
        <v>351086598.80000001</v>
      </c>
      <c r="O20" s="224">
        <f t="shared" si="20"/>
        <v>316701899.89401972</v>
      </c>
      <c r="P20" s="224">
        <f t="shared" si="20"/>
        <v>336804000.85428572</v>
      </c>
      <c r="Q20" s="224">
        <f t="shared" si="20"/>
        <v>269377181.33428574</v>
      </c>
      <c r="R20" s="224">
        <f t="shared" si="20"/>
        <v>333245651.11000001</v>
      </c>
      <c r="S20" s="224">
        <f t="shared" si="20"/>
        <v>299888399.12</v>
      </c>
      <c r="T20" s="224">
        <f t="shared" si="20"/>
        <v>188352888.21000001</v>
      </c>
      <c r="U20" s="224">
        <f t="shared" si="20"/>
        <v>348129042</v>
      </c>
      <c r="V20" s="224">
        <f t="shared" si="20"/>
        <v>288844696</v>
      </c>
      <c r="W20" s="224">
        <f t="shared" si="20"/>
        <v>149420906.56</v>
      </c>
      <c r="X20" s="224">
        <f t="shared" si="20"/>
        <v>300184674.63999999</v>
      </c>
      <c r="Y20" s="224">
        <f t="shared" si="20"/>
        <v>306185835.99333334</v>
      </c>
      <c r="Z20" s="224">
        <f t="shared" si="20"/>
        <v>170661422.95173812</v>
      </c>
      <c r="AA20" s="224">
        <f t="shared" si="20"/>
        <v>40258350.771071427</v>
      </c>
      <c r="AB20" s="224">
        <f t="shared" si="20"/>
        <v>51511656.782095239</v>
      </c>
      <c r="AC20" s="224">
        <f t="shared" si="20"/>
        <v>101675923.8507857</v>
      </c>
      <c r="AD20" s="224">
        <f t="shared" si="20"/>
        <v>129380329.8537024</v>
      </c>
      <c r="AE20" s="224">
        <f t="shared" si="20"/>
        <v>271221690.23166668</v>
      </c>
      <c r="AF20" s="224">
        <f t="shared" si="20"/>
        <v>254590094.43583331</v>
      </c>
      <c r="AG20" s="224">
        <f t="shared" si="20"/>
        <v>388673879.68583333</v>
      </c>
      <c r="AH20" s="224">
        <f t="shared" si="20"/>
        <v>514190656.26283336</v>
      </c>
      <c r="AI20" s="224">
        <f t="shared" si="20"/>
        <v>220349073.79316667</v>
      </c>
      <c r="AJ20" s="224">
        <f t="shared" si="20"/>
        <v>369870280.68916667</v>
      </c>
      <c r="AK20" s="224">
        <f t="shared" si="20"/>
        <v>428098345.51173717</v>
      </c>
      <c r="AL20" s="224">
        <f t="shared" si="20"/>
        <v>350995994.26399356</v>
      </c>
      <c r="AM20" s="224">
        <f t="shared" si="20"/>
        <v>216242652.96668589</v>
      </c>
      <c r="AN20" s="224">
        <f t="shared" si="20"/>
        <v>150466844.13746154</v>
      </c>
      <c r="AO20" s="224">
        <f t="shared" si="20"/>
        <v>261712977.34942308</v>
      </c>
      <c r="AP20" s="224">
        <f t="shared" si="20"/>
        <v>279820213.82474363</v>
      </c>
      <c r="AQ20" s="224">
        <f t="shared" si="20"/>
        <v>454125181.44621795</v>
      </c>
      <c r="AR20" s="224">
        <f t="shared" si="20"/>
        <v>403789972.85043544</v>
      </c>
      <c r="AS20" s="224">
        <f t="shared" si="20"/>
        <v>664441442.9749999</v>
      </c>
      <c r="AT20" s="224">
        <f t="shared" si="20"/>
        <v>730813791.6859616</v>
      </c>
      <c r="AU20" s="224">
        <f t="shared" si="20"/>
        <v>521378024.53121793</v>
      </c>
      <c r="AV20" s="224">
        <f t="shared" si="20"/>
        <v>507589729.81589735</v>
      </c>
      <c r="AW20" s="224">
        <f t="shared" si="20"/>
        <v>418636897.18756407</v>
      </c>
      <c r="AX20" s="224">
        <f t="shared" si="20"/>
        <v>624308060.39782047</v>
      </c>
      <c r="AY20" s="224">
        <f t="shared" si="20"/>
        <v>537036615.2389102</v>
      </c>
      <c r="AZ20" s="224">
        <f t="shared" si="20"/>
        <v>263673861.82045108</v>
      </c>
      <c r="BA20" s="224">
        <f t="shared" si="20"/>
        <v>350582730.4145174</v>
      </c>
      <c r="BB20" s="224">
        <f t="shared" si="20"/>
        <v>478505094.5822109</v>
      </c>
      <c r="BC20" s="224">
        <f t="shared" si="20"/>
        <v>522537227.25837147</v>
      </c>
      <c r="BD20" s="224">
        <f t="shared" si="20"/>
        <v>604479734.83658266</v>
      </c>
      <c r="BE20" s="224">
        <f t="shared" si="20"/>
        <v>957309451.82147396</v>
      </c>
      <c r="BF20" s="224">
        <f t="shared" si="20"/>
        <v>705147967.00415242</v>
      </c>
      <c r="BG20" s="224">
        <f t="shared" si="20"/>
        <v>539281705.90021551</v>
      </c>
      <c r="BH20" s="224">
        <f t="shared" si="20"/>
        <v>612313380.90108371</v>
      </c>
      <c r="BI20" s="224">
        <f t="shared" si="20"/>
        <v>945881470.28591251</v>
      </c>
      <c r="BJ20" s="224">
        <f t="shared" si="20"/>
        <v>831217182.15576863</v>
      </c>
      <c r="BK20" s="224">
        <f t="shared" si="20"/>
        <v>589945439.75241947</v>
      </c>
      <c r="BL20" s="224">
        <f t="shared" si="20"/>
        <v>603001281.66207349</v>
      </c>
      <c r="BM20" s="224">
        <f t="shared" si="20"/>
        <v>500180034.66188836</v>
      </c>
      <c r="BN20" s="224">
        <f t="shared" si="20"/>
        <v>540539498.37159634</v>
      </c>
      <c r="BO20" s="224">
        <f t="shared" si="20"/>
        <v>846696062.26081312</v>
      </c>
      <c r="BP20" s="224">
        <f t="shared" ref="BP20:CT20" si="21">BP21+BP28+BP35+BP43+BP49+BP54</f>
        <v>507730305.39259177</v>
      </c>
      <c r="BQ20" s="224">
        <f t="shared" si="21"/>
        <v>887944120.01600826</v>
      </c>
      <c r="BR20" s="224">
        <f t="shared" si="21"/>
        <v>723225263.3741281</v>
      </c>
      <c r="BS20" s="224">
        <f t="shared" si="21"/>
        <v>374418548.45320714</v>
      </c>
      <c r="BT20" s="224">
        <f t="shared" si="21"/>
        <v>423709000.35573053</v>
      </c>
      <c r="BU20" s="224">
        <f t="shared" si="21"/>
        <v>429309668.90098584</v>
      </c>
      <c r="BV20" s="224">
        <f t="shared" si="21"/>
        <v>483170375.97423279</v>
      </c>
      <c r="BW20" s="224">
        <f t="shared" si="21"/>
        <v>620425184.93422139</v>
      </c>
      <c r="BX20" s="224">
        <f t="shared" si="21"/>
        <v>597423806.65509033</v>
      </c>
      <c r="BY20" s="224">
        <f t="shared" si="21"/>
        <v>539242023.07181668</v>
      </c>
      <c r="BZ20" s="224">
        <f t="shared" si="21"/>
        <v>594618610.54688013</v>
      </c>
      <c r="CA20" s="224">
        <f t="shared" si="21"/>
        <v>529280321.46541739</v>
      </c>
      <c r="CB20" s="224">
        <f t="shared" si="21"/>
        <v>547230241.23404455</v>
      </c>
      <c r="CC20" s="224">
        <f t="shared" si="21"/>
        <v>1149151892.8431702</v>
      </c>
      <c r="CD20" s="224">
        <f t="shared" si="21"/>
        <v>917935448.99776709</v>
      </c>
      <c r="CE20" s="224">
        <f t="shared" si="21"/>
        <v>724528412.18273973</v>
      </c>
      <c r="CF20" s="224">
        <f t="shared" si="21"/>
        <v>949935925.6006968</v>
      </c>
      <c r="CG20" s="224">
        <f t="shared" si="21"/>
        <v>872076522.885203</v>
      </c>
      <c r="CH20" s="224">
        <f t="shared" si="21"/>
        <v>725260431.71602249</v>
      </c>
      <c r="CI20" s="224">
        <f t="shared" si="21"/>
        <v>917049819.15747368</v>
      </c>
      <c r="CJ20" s="224">
        <f t="shared" si="21"/>
        <v>966574378.42160618</v>
      </c>
      <c r="CK20" s="224">
        <f t="shared" si="21"/>
        <v>828790568.73605323</v>
      </c>
      <c r="CL20" s="224">
        <f t="shared" si="21"/>
        <v>757705861.46803141</v>
      </c>
      <c r="CM20" s="224">
        <f t="shared" si="21"/>
        <v>646346888.1467582</v>
      </c>
      <c r="CN20" s="224">
        <f t="shared" si="21"/>
        <v>856970372.24136889</v>
      </c>
      <c r="CO20" s="224">
        <f t="shared" si="21"/>
        <v>1766548215.4303851</v>
      </c>
      <c r="CP20" s="224">
        <f t="shared" si="21"/>
        <v>1260609035.4299998</v>
      </c>
      <c r="CQ20" s="224">
        <f t="shared" si="21"/>
        <v>1020373424.5706809</v>
      </c>
      <c r="CR20" s="224">
        <f t="shared" si="21"/>
        <v>1289421072.2508335</v>
      </c>
      <c r="CS20" s="224">
        <f t="shared" si="21"/>
        <v>1117571540.9561262</v>
      </c>
      <c r="CT20" s="224">
        <f t="shared" si="21"/>
        <v>1378824408.2400014</v>
      </c>
      <c r="CU20" s="222"/>
      <c r="CV20" s="224">
        <f t="shared" si="5"/>
        <v>1693126756.0763814</v>
      </c>
      <c r="CW20" s="224">
        <f t="shared" si="6"/>
        <v>1894965866.0250013</v>
      </c>
      <c r="CX20" s="224">
        <f t="shared" si="7"/>
        <v>1985587931.8433433</v>
      </c>
      <c r="CY20" s="224">
        <f t="shared" si="8"/>
        <v>1336189045.2309492</v>
      </c>
      <c r="CZ20" s="224">
        <f t="shared" si="9"/>
        <v>1757091014.6611283</v>
      </c>
      <c r="DA20" s="224">
        <f t="shared" si="10"/>
        <v>1671129173.2463422</v>
      </c>
      <c r="DB20" s="224">
        <f t="shared" si="11"/>
        <v>2791615754.0236769</v>
      </c>
      <c r="DC20" s="224">
        <f t="shared" si="12"/>
        <v>2547272880.2019224</v>
      </c>
      <c r="DD20" s="224">
        <f t="shared" si="13"/>
        <v>2712414766.3151331</v>
      </c>
      <c r="DE20" s="224">
        <f t="shared" si="14"/>
        <v>2261023121.8561583</v>
      </c>
      <c r="DF20" s="224">
        <f t="shared" si="15"/>
        <v>4047530675.4310656</v>
      </c>
      <c r="DG20" s="224">
        <f t="shared" si="16"/>
        <v>3785817021.4469614</v>
      </c>
      <c r="DI20" s="224">
        <f t="shared" si="17"/>
        <v>6909869599.1756754</v>
      </c>
      <c r="DJ20" s="224">
        <f t="shared" si="18"/>
        <v>8767108822.13307</v>
      </c>
      <c r="DK20" s="224">
        <f t="shared" si="19"/>
        <v>12806785585.049316</v>
      </c>
    </row>
    <row r="21" spans="2:115" x14ac:dyDescent="0.2">
      <c r="B21" s="227" t="s">
        <v>287</v>
      </c>
      <c r="C21" s="169">
        <f>SUM(C22:C25)</f>
        <v>16763459.571428573</v>
      </c>
      <c r="D21" s="169">
        <f t="shared" ref="D21:BO21" si="22">SUM(D22:D25)</f>
        <v>23031533.428571429</v>
      </c>
      <c r="E21" s="169">
        <f t="shared" si="22"/>
        <v>42497635</v>
      </c>
      <c r="F21" s="169">
        <f t="shared" si="22"/>
        <v>49167814.714285709</v>
      </c>
      <c r="G21" s="169">
        <f t="shared" si="22"/>
        <v>74799908.142857134</v>
      </c>
      <c r="H21" s="169">
        <f t="shared" si="22"/>
        <v>102404531.28571427</v>
      </c>
      <c r="I21" s="169">
        <f t="shared" si="22"/>
        <v>78087150.714285702</v>
      </c>
      <c r="J21" s="169">
        <f t="shared" si="22"/>
        <v>71508556.857142851</v>
      </c>
      <c r="K21" s="169">
        <f t="shared" si="22"/>
        <v>53461693.142857134</v>
      </c>
      <c r="L21" s="169">
        <f t="shared" si="22"/>
        <v>81934077.999999985</v>
      </c>
      <c r="M21" s="169">
        <f t="shared" si="22"/>
        <v>58766529.714285716</v>
      </c>
      <c r="N21" s="169">
        <f t="shared" si="22"/>
        <v>96455966</v>
      </c>
      <c r="O21" s="169">
        <f t="shared" si="22"/>
        <v>90760933.385714263</v>
      </c>
      <c r="P21" s="169">
        <f t="shared" si="22"/>
        <v>86607294.428571403</v>
      </c>
      <c r="Q21" s="169">
        <f t="shared" si="22"/>
        <v>85616183.124285728</v>
      </c>
      <c r="R21" s="169">
        <f t="shared" si="22"/>
        <v>75798080</v>
      </c>
      <c r="S21" s="169">
        <f t="shared" si="22"/>
        <v>56428037</v>
      </c>
      <c r="T21" s="169">
        <f t="shared" si="22"/>
        <v>52948537</v>
      </c>
      <c r="U21" s="169">
        <f t="shared" si="22"/>
        <v>93596001</v>
      </c>
      <c r="V21" s="169">
        <f t="shared" si="22"/>
        <v>44481323</v>
      </c>
      <c r="W21" s="169">
        <f t="shared" si="22"/>
        <v>32367907</v>
      </c>
      <c r="X21" s="169">
        <f t="shared" si="22"/>
        <v>29982916</v>
      </c>
      <c r="Y21" s="169">
        <f t="shared" si="22"/>
        <v>22104602.416666672</v>
      </c>
      <c r="Z21" s="169">
        <f t="shared" si="22"/>
        <v>19512278.508452378</v>
      </c>
      <c r="AA21" s="169">
        <f t="shared" si="22"/>
        <v>3437881.3510714266</v>
      </c>
      <c r="AB21" s="169">
        <f t="shared" si="22"/>
        <v>7880889.2845238084</v>
      </c>
      <c r="AC21" s="169">
        <f t="shared" si="22"/>
        <v>9666925.1759523824</v>
      </c>
      <c r="AD21" s="169">
        <f t="shared" si="22"/>
        <v>13254922.633571431</v>
      </c>
      <c r="AE21" s="169">
        <f t="shared" si="22"/>
        <v>15290172.598809522</v>
      </c>
      <c r="AF21" s="169">
        <f t="shared" si="22"/>
        <v>20093569.19083333</v>
      </c>
      <c r="AG21" s="169">
        <f t="shared" si="22"/>
        <v>45541362.05416666</v>
      </c>
      <c r="AH21" s="169">
        <f t="shared" si="22"/>
        <v>58829988.578333333</v>
      </c>
      <c r="AI21" s="169">
        <f t="shared" si="22"/>
        <v>31906995.512500003</v>
      </c>
      <c r="AJ21" s="169">
        <f t="shared" si="22"/>
        <v>26685049.434999999</v>
      </c>
      <c r="AK21" s="169">
        <f t="shared" si="22"/>
        <v>24278039.257692304</v>
      </c>
      <c r="AL21" s="169">
        <f t="shared" si="22"/>
        <v>26203597.351025641</v>
      </c>
      <c r="AM21" s="169">
        <f t="shared" si="22"/>
        <v>24622969.741602562</v>
      </c>
      <c r="AN21" s="169">
        <f t="shared" si="22"/>
        <v>7743243.7292307699</v>
      </c>
      <c r="AO21" s="169">
        <f t="shared" si="22"/>
        <v>18073638.780705132</v>
      </c>
      <c r="AP21" s="169">
        <f t="shared" si="22"/>
        <v>18352111.693846155</v>
      </c>
      <c r="AQ21" s="169">
        <f t="shared" si="22"/>
        <v>42950386.673782051</v>
      </c>
      <c r="AR21" s="169">
        <f t="shared" si="22"/>
        <v>87852452.549743578</v>
      </c>
      <c r="AS21" s="169">
        <f t="shared" si="22"/>
        <v>162317715.61384618</v>
      </c>
      <c r="AT21" s="169">
        <f t="shared" si="22"/>
        <v>139520670.53057694</v>
      </c>
      <c r="AU21" s="169">
        <f t="shared" si="22"/>
        <v>123993644.92365384</v>
      </c>
      <c r="AV21" s="169">
        <f t="shared" si="22"/>
        <v>106458968.05974358</v>
      </c>
      <c r="AW21" s="169">
        <f t="shared" si="22"/>
        <v>102373016.92205128</v>
      </c>
      <c r="AX21" s="169">
        <f t="shared" si="22"/>
        <v>162237639.64692309</v>
      </c>
      <c r="AY21" s="169">
        <f t="shared" si="22"/>
        <v>152321957.44621795</v>
      </c>
      <c r="AZ21" s="169">
        <f t="shared" si="22"/>
        <v>35097378.52263058</v>
      </c>
      <c r="BA21" s="169">
        <f t="shared" si="22"/>
        <v>52097811.650158413</v>
      </c>
      <c r="BB21" s="169">
        <f t="shared" si="22"/>
        <v>71772633.709390357</v>
      </c>
      <c r="BC21" s="169">
        <f t="shared" si="22"/>
        <v>100388745.13221765</v>
      </c>
      <c r="BD21" s="169">
        <f t="shared" si="22"/>
        <v>181039360.64965963</v>
      </c>
      <c r="BE21" s="169">
        <f t="shared" si="22"/>
        <v>206087027.55217916</v>
      </c>
      <c r="BF21" s="169">
        <f t="shared" si="22"/>
        <v>174744481.86210108</v>
      </c>
      <c r="BG21" s="169">
        <f t="shared" si="22"/>
        <v>84593286.516689897</v>
      </c>
      <c r="BH21" s="169">
        <f t="shared" si="22"/>
        <v>95459489.468455538</v>
      </c>
      <c r="BI21" s="169">
        <f t="shared" si="22"/>
        <v>105657542.10257912</v>
      </c>
      <c r="BJ21" s="169">
        <f t="shared" si="22"/>
        <v>124674893.84557644</v>
      </c>
      <c r="BK21" s="169">
        <f t="shared" si="22"/>
        <v>67450408.916106239</v>
      </c>
      <c r="BL21" s="169">
        <f t="shared" si="22"/>
        <v>86054897.598769888</v>
      </c>
      <c r="BM21" s="169">
        <f t="shared" si="22"/>
        <v>68943144.005835816</v>
      </c>
      <c r="BN21" s="169">
        <f t="shared" si="22"/>
        <v>88651371.632842645</v>
      </c>
      <c r="BO21" s="169">
        <f t="shared" si="22"/>
        <v>103751039.31891263</v>
      </c>
      <c r="BP21" s="169">
        <f t="shared" ref="BP21:CT21" si="23">SUM(BP22:BP25)</f>
        <v>34193736.971362904</v>
      </c>
      <c r="BQ21" s="169">
        <f t="shared" si="23"/>
        <v>48503346.439083427</v>
      </c>
      <c r="BR21" s="169">
        <f t="shared" si="23"/>
        <v>52876955.169055358</v>
      </c>
      <c r="BS21" s="169">
        <f t="shared" si="23"/>
        <v>29171122.407718327</v>
      </c>
      <c r="BT21" s="169">
        <f t="shared" si="23"/>
        <v>22618837.552867051</v>
      </c>
      <c r="BU21" s="169">
        <f t="shared" si="23"/>
        <v>27894134.909766335</v>
      </c>
      <c r="BV21" s="169">
        <f t="shared" si="23"/>
        <v>39512455.565726824</v>
      </c>
      <c r="BW21" s="169">
        <f t="shared" si="23"/>
        <v>66232359.40303909</v>
      </c>
      <c r="BX21" s="169">
        <f t="shared" si="23"/>
        <v>48740089.734727077</v>
      </c>
      <c r="BY21" s="169">
        <f t="shared" si="23"/>
        <v>47339423.165588781</v>
      </c>
      <c r="BZ21" s="169">
        <f t="shared" si="23"/>
        <v>55717023.755941592</v>
      </c>
      <c r="CA21" s="169">
        <f t="shared" si="23"/>
        <v>44949874.042794384</v>
      </c>
      <c r="CB21" s="169">
        <f t="shared" si="23"/>
        <v>30799973.534257561</v>
      </c>
      <c r="CC21" s="169">
        <f t="shared" si="23"/>
        <v>68191089.376208216</v>
      </c>
      <c r="CD21" s="169">
        <f t="shared" si="23"/>
        <v>56325315.899730481</v>
      </c>
      <c r="CE21" s="169">
        <f t="shared" si="23"/>
        <v>49573665.124037832</v>
      </c>
      <c r="CF21" s="169">
        <f t="shared" si="23"/>
        <v>64036084.546198279</v>
      </c>
      <c r="CG21" s="169">
        <f t="shared" si="23"/>
        <v>69671773.938952923</v>
      </c>
      <c r="CH21" s="169">
        <f t="shared" si="23"/>
        <v>90165593.371077523</v>
      </c>
      <c r="CI21" s="169">
        <f t="shared" si="23"/>
        <v>75212328.648851603</v>
      </c>
      <c r="CJ21" s="169">
        <f t="shared" si="23"/>
        <v>84387695.420862123</v>
      </c>
      <c r="CK21" s="169">
        <f t="shared" si="23"/>
        <v>78524133.362721622</v>
      </c>
      <c r="CL21" s="169">
        <f t="shared" si="23"/>
        <v>86349808.634818882</v>
      </c>
      <c r="CM21" s="169">
        <f t="shared" si="23"/>
        <v>75457324.726443067</v>
      </c>
      <c r="CN21" s="169">
        <f t="shared" si="23"/>
        <v>47479740.38451004</v>
      </c>
      <c r="CO21" s="169">
        <f t="shared" si="23"/>
        <v>97376825.209885269</v>
      </c>
      <c r="CP21" s="169">
        <f t="shared" si="23"/>
        <v>64610654.249734268</v>
      </c>
      <c r="CQ21" s="169">
        <f t="shared" si="23"/>
        <v>57514461.21606952</v>
      </c>
      <c r="CR21" s="169">
        <f t="shared" si="23"/>
        <v>67452651.705584198</v>
      </c>
      <c r="CS21" s="169">
        <f t="shared" si="23"/>
        <v>55195436.535219185</v>
      </c>
      <c r="CT21" s="169">
        <f t="shared" si="23"/>
        <v>65801302.282523625</v>
      </c>
      <c r="CU21" s="222"/>
      <c r="CV21" s="169">
        <f t="shared" si="5"/>
        <v>222448450.52071196</v>
      </c>
      <c r="CW21" s="169">
        <f t="shared" si="6"/>
        <v>226596147.92311817</v>
      </c>
      <c r="CX21" s="169">
        <f t="shared" si="7"/>
        <v>130551424.01585712</v>
      </c>
      <c r="CY21" s="169">
        <f t="shared" si="8"/>
        <v>90025428.028360218</v>
      </c>
      <c r="CZ21" s="169">
        <f t="shared" si="9"/>
        <v>162311872.30335495</v>
      </c>
      <c r="DA21" s="169">
        <f t="shared" si="10"/>
        <v>131466871.33299354</v>
      </c>
      <c r="DB21" s="169">
        <f t="shared" si="11"/>
        <v>174090070.39997652</v>
      </c>
      <c r="DC21" s="169">
        <f t="shared" si="12"/>
        <v>223873451.85622871</v>
      </c>
      <c r="DD21" s="169">
        <f t="shared" si="13"/>
        <v>238124157.43243533</v>
      </c>
      <c r="DE21" s="169">
        <f t="shared" si="14"/>
        <v>209286873.745772</v>
      </c>
      <c r="DF21" s="169">
        <f t="shared" si="15"/>
        <v>219501940.67568904</v>
      </c>
      <c r="DG21" s="169">
        <f t="shared" si="16"/>
        <v>188449390.52332702</v>
      </c>
      <c r="DI21" s="169">
        <f t="shared" si="17"/>
        <v>669621450.48804748</v>
      </c>
      <c r="DJ21" s="169">
        <f t="shared" si="18"/>
        <v>691742265.89255369</v>
      </c>
      <c r="DK21" s="169">
        <f t="shared" si="19"/>
        <v>855362362.37722337</v>
      </c>
    </row>
    <row r="22" spans="2:115" x14ac:dyDescent="0.2">
      <c r="B22" s="225" t="s">
        <v>19</v>
      </c>
      <c r="C22" s="19">
        <v>15040030</v>
      </c>
      <c r="D22" s="19">
        <v>21202450</v>
      </c>
      <c r="E22" s="19">
        <v>39834603</v>
      </c>
      <c r="F22" s="19">
        <v>45019482</v>
      </c>
      <c r="G22" s="19">
        <v>68784103</v>
      </c>
      <c r="H22" s="19">
        <v>95681931</v>
      </c>
      <c r="I22" s="19">
        <v>72178542</v>
      </c>
      <c r="J22" s="19">
        <v>66470520</v>
      </c>
      <c r="K22" s="19">
        <v>47781234</v>
      </c>
      <c r="L22" s="19">
        <v>74588661</v>
      </c>
      <c r="M22" s="19">
        <v>51675322</v>
      </c>
      <c r="N22" s="19">
        <v>89429184</v>
      </c>
      <c r="O22" s="19">
        <v>83801495.099999994</v>
      </c>
      <c r="P22" s="19">
        <v>79566979</v>
      </c>
      <c r="Q22" s="19">
        <v>78467244.480000004</v>
      </c>
      <c r="R22" s="19">
        <v>68695588</v>
      </c>
      <c r="S22" s="19">
        <v>50813415</v>
      </c>
      <c r="T22" s="19">
        <v>47161197</v>
      </c>
      <c r="U22" s="19">
        <v>86271862</v>
      </c>
      <c r="V22" s="19">
        <v>39243102</v>
      </c>
      <c r="W22" s="19">
        <v>27828189</v>
      </c>
      <c r="X22" s="19">
        <v>24969934</v>
      </c>
      <c r="Y22" s="19">
        <v>16973861</v>
      </c>
      <c r="Z22" s="19">
        <v>15360038</v>
      </c>
      <c r="AA22" s="19">
        <v>14070</v>
      </c>
      <c r="AB22" s="19">
        <v>4489215</v>
      </c>
      <c r="AC22" s="19">
        <v>6898633</v>
      </c>
      <c r="AD22" s="19">
        <v>10609410</v>
      </c>
      <c r="AE22" s="19">
        <v>12397440</v>
      </c>
      <c r="AF22" s="19">
        <v>16511921</v>
      </c>
      <c r="AG22" s="19">
        <v>41568168</v>
      </c>
      <c r="AH22" s="19">
        <v>54651160</v>
      </c>
      <c r="AI22" s="19">
        <v>27777899</v>
      </c>
      <c r="AJ22" s="19">
        <v>22296464</v>
      </c>
      <c r="AK22" s="19">
        <v>20213519</v>
      </c>
      <c r="AL22" s="19">
        <v>21867536</v>
      </c>
      <c r="AM22" s="19">
        <v>20324756</v>
      </c>
      <c r="AN22" s="19">
        <v>3524728</v>
      </c>
      <c r="AO22" s="19">
        <v>13006106</v>
      </c>
      <c r="AP22" s="19">
        <v>13045244</v>
      </c>
      <c r="AQ22" s="19">
        <v>36859857</v>
      </c>
      <c r="AR22" s="19">
        <v>76819259</v>
      </c>
      <c r="AS22" s="19">
        <v>148958323</v>
      </c>
      <c r="AT22" s="19">
        <v>131411972</v>
      </c>
      <c r="AU22" s="19">
        <v>115531449</v>
      </c>
      <c r="AV22" s="19">
        <v>98848601</v>
      </c>
      <c r="AW22" s="19">
        <v>93640744</v>
      </c>
      <c r="AX22" s="19">
        <v>152500220</v>
      </c>
      <c r="AY22" s="19">
        <v>142587470</v>
      </c>
      <c r="AZ22" s="19">
        <v>26536994</v>
      </c>
      <c r="BA22" s="19">
        <v>42776154</v>
      </c>
      <c r="BB22" s="19">
        <v>61617008</v>
      </c>
      <c r="BC22" s="19">
        <v>88060978</v>
      </c>
      <c r="BD22" s="19">
        <v>155190127</v>
      </c>
      <c r="BE22" s="19">
        <v>179088182</v>
      </c>
      <c r="BF22" s="19">
        <v>158430160</v>
      </c>
      <c r="BG22" s="19">
        <v>69452207</v>
      </c>
      <c r="BH22" s="19">
        <v>83124446</v>
      </c>
      <c r="BI22" s="19">
        <v>91530167</v>
      </c>
      <c r="BJ22" s="19">
        <v>110985503</v>
      </c>
      <c r="BK22" s="19">
        <v>63926354</v>
      </c>
      <c r="BL22" s="19">
        <v>82792739</v>
      </c>
      <c r="BM22" s="19">
        <v>64984647</v>
      </c>
      <c r="BN22" s="19">
        <v>84250624</v>
      </c>
      <c r="BO22" s="19">
        <v>100397228</v>
      </c>
      <c r="BP22" s="19">
        <v>32962172</v>
      </c>
      <c r="BQ22" s="19">
        <v>46672457</v>
      </c>
      <c r="BR22" s="19">
        <v>51101930</v>
      </c>
      <c r="BS22" s="19">
        <v>28380073</v>
      </c>
      <c r="BT22" s="19">
        <v>21453543</v>
      </c>
      <c r="BU22" s="19">
        <v>26506955</v>
      </c>
      <c r="BV22" s="19">
        <v>37783182</v>
      </c>
      <c r="BW22" s="19">
        <v>64053322</v>
      </c>
      <c r="BX22" s="19">
        <v>46565571</v>
      </c>
      <c r="BY22" s="19">
        <v>45272104</v>
      </c>
      <c r="BZ22" s="19">
        <v>53668529</v>
      </c>
      <c r="CA22" s="19">
        <v>43208717</v>
      </c>
      <c r="CB22" s="19">
        <v>29043504</v>
      </c>
      <c r="CC22" s="19">
        <v>66070113</v>
      </c>
      <c r="CD22" s="19">
        <v>54009836</v>
      </c>
      <c r="CE22" s="19">
        <v>47064805</v>
      </c>
      <c r="CF22" s="19">
        <v>61793964</v>
      </c>
      <c r="CG22" s="19">
        <v>66926599</v>
      </c>
      <c r="CH22" s="19">
        <v>86791681</v>
      </c>
      <c r="CI22" s="19">
        <v>72063469</v>
      </c>
      <c r="CJ22" s="19">
        <v>81014995</v>
      </c>
      <c r="CK22" s="19">
        <v>75449596</v>
      </c>
      <c r="CL22" s="19">
        <v>82372467</v>
      </c>
      <c r="CM22" s="19">
        <v>72072492</v>
      </c>
      <c r="CN22" s="19">
        <v>45063515</v>
      </c>
      <c r="CO22" s="19">
        <v>94743578</v>
      </c>
      <c r="CP22" s="19">
        <v>61944607</v>
      </c>
      <c r="CQ22" s="19">
        <v>54923666</v>
      </c>
      <c r="CR22" s="19">
        <v>65142608</v>
      </c>
      <c r="CS22" s="19">
        <v>53045810</v>
      </c>
      <c r="CT22" s="19">
        <v>63708507</v>
      </c>
      <c r="CU22" s="222"/>
      <c r="CV22" s="19">
        <f t="shared" si="5"/>
        <v>211703740</v>
      </c>
      <c r="CW22" s="19">
        <f t="shared" si="6"/>
        <v>217610024</v>
      </c>
      <c r="CX22" s="19">
        <f t="shared" si="7"/>
        <v>126154460</v>
      </c>
      <c r="CY22" s="19">
        <f t="shared" si="8"/>
        <v>85743680</v>
      </c>
      <c r="CZ22" s="19">
        <f t="shared" si="9"/>
        <v>155890997</v>
      </c>
      <c r="DA22" s="19">
        <f t="shared" si="10"/>
        <v>125920750</v>
      </c>
      <c r="DB22" s="19">
        <f t="shared" si="11"/>
        <v>167144754</v>
      </c>
      <c r="DC22" s="19">
        <f t="shared" si="12"/>
        <v>215512244</v>
      </c>
      <c r="DD22" s="19">
        <f t="shared" si="13"/>
        <v>228528060</v>
      </c>
      <c r="DE22" s="19">
        <f t="shared" si="14"/>
        <v>199508474</v>
      </c>
      <c r="DF22" s="19">
        <f t="shared" si="15"/>
        <v>211611851</v>
      </c>
      <c r="DG22" s="19">
        <f t="shared" si="16"/>
        <v>181896925</v>
      </c>
      <c r="DI22" s="19">
        <f t="shared" si="17"/>
        <v>641211904</v>
      </c>
      <c r="DJ22" s="19">
        <f t="shared" si="18"/>
        <v>664468745</v>
      </c>
      <c r="DK22" s="19">
        <f t="shared" si="19"/>
        <v>821545310</v>
      </c>
    </row>
    <row r="23" spans="2:115" x14ac:dyDescent="0.2">
      <c r="B23" s="225" t="s">
        <v>294</v>
      </c>
      <c r="C23" s="19">
        <v>399850</v>
      </c>
      <c r="D23" s="19">
        <v>406000</v>
      </c>
      <c r="E23" s="19">
        <v>781860</v>
      </c>
      <c r="F23" s="19">
        <v>1231614</v>
      </c>
      <c r="G23" s="19">
        <v>1592127</v>
      </c>
      <c r="H23" s="19">
        <v>1742679</v>
      </c>
      <c r="I23" s="19">
        <v>1064972</v>
      </c>
      <c r="J23" s="19">
        <v>168663</v>
      </c>
      <c r="K23" s="19">
        <v>654400</v>
      </c>
      <c r="L23" s="19">
        <v>1559900</v>
      </c>
      <c r="M23" s="19">
        <v>1149064</v>
      </c>
      <c r="N23" s="19">
        <v>891668</v>
      </c>
      <c r="O23" s="19">
        <v>1027600</v>
      </c>
      <c r="P23" s="19">
        <v>1192550</v>
      </c>
      <c r="Q23" s="19">
        <v>1046080</v>
      </c>
      <c r="R23" s="19">
        <v>1419464</v>
      </c>
      <c r="S23" s="19">
        <v>847214</v>
      </c>
      <c r="T23" s="19">
        <v>771767</v>
      </c>
      <c r="U23" s="19">
        <v>1340581</v>
      </c>
      <c r="V23" s="19">
        <v>605990</v>
      </c>
      <c r="W23" s="19">
        <v>393749</v>
      </c>
      <c r="X23" s="19">
        <v>431095</v>
      </c>
      <c r="Y23" s="19">
        <v>290988</v>
      </c>
      <c r="Z23" s="19">
        <v>282333</v>
      </c>
      <c r="AA23" s="19">
        <v>250</v>
      </c>
      <c r="AB23" s="19">
        <v>43758</v>
      </c>
      <c r="AC23" s="19">
        <v>7803</v>
      </c>
      <c r="AD23" s="19">
        <v>1450</v>
      </c>
      <c r="AE23" s="19">
        <v>1349</v>
      </c>
      <c r="AF23" s="19">
        <v>18534</v>
      </c>
      <c r="AG23" s="19">
        <v>1286</v>
      </c>
      <c r="AH23" s="19">
        <v>40270</v>
      </c>
      <c r="AI23" s="19">
        <v>166268</v>
      </c>
      <c r="AJ23" s="19">
        <v>117591</v>
      </c>
      <c r="AK23" s="19">
        <v>117849</v>
      </c>
      <c r="AL23" s="19">
        <v>126969</v>
      </c>
      <c r="AM23" s="19">
        <v>89674</v>
      </c>
      <c r="AN23" s="19">
        <v>18372</v>
      </c>
      <c r="AO23" s="19">
        <v>89384</v>
      </c>
      <c r="AP23" s="19">
        <v>72949</v>
      </c>
      <c r="AQ23" s="19">
        <v>192809</v>
      </c>
      <c r="AR23" s="19">
        <v>261459</v>
      </c>
      <c r="AS23" s="19">
        <v>766277</v>
      </c>
      <c r="AT23" s="19">
        <v>630553</v>
      </c>
      <c r="AU23" s="19">
        <v>473495</v>
      </c>
      <c r="AV23" s="19">
        <v>275426</v>
      </c>
      <c r="AW23" s="19">
        <v>272781</v>
      </c>
      <c r="AX23" s="19">
        <v>413745</v>
      </c>
      <c r="AY23" s="19">
        <v>453559</v>
      </c>
      <c r="AZ23" s="19">
        <v>76931</v>
      </c>
      <c r="BA23" s="19">
        <v>147076</v>
      </c>
      <c r="BB23" s="19">
        <v>275314</v>
      </c>
      <c r="BC23" s="19">
        <v>495546</v>
      </c>
      <c r="BD23" s="19">
        <v>740356</v>
      </c>
      <c r="BE23" s="19">
        <v>612515</v>
      </c>
      <c r="BF23" s="19">
        <v>408277</v>
      </c>
      <c r="BG23" s="19">
        <v>311587</v>
      </c>
      <c r="BH23" s="19">
        <v>294622</v>
      </c>
      <c r="BI23" s="19">
        <v>253413</v>
      </c>
      <c r="BJ23" s="19">
        <v>285874</v>
      </c>
      <c r="BK23" s="19">
        <v>165349</v>
      </c>
      <c r="BL23" s="19">
        <v>214784</v>
      </c>
      <c r="BM23" s="19">
        <v>164089</v>
      </c>
      <c r="BN23" s="19">
        <v>212509</v>
      </c>
      <c r="BO23" s="19">
        <v>143095</v>
      </c>
      <c r="BP23" s="19">
        <v>37197</v>
      </c>
      <c r="BQ23" s="19">
        <v>131617</v>
      </c>
      <c r="BR23" s="19">
        <v>109688</v>
      </c>
      <c r="BS23" s="19">
        <v>30600</v>
      </c>
      <c r="BT23" s="19">
        <v>63509</v>
      </c>
      <c r="BU23" s="19">
        <v>50101</v>
      </c>
      <c r="BV23" s="19">
        <v>80718</v>
      </c>
      <c r="BW23" s="19">
        <v>122393</v>
      </c>
      <c r="BX23" s="19">
        <v>123029</v>
      </c>
      <c r="BY23" s="19">
        <v>173827</v>
      </c>
      <c r="BZ23" s="19">
        <v>170542</v>
      </c>
      <c r="CA23" s="19">
        <v>109997</v>
      </c>
      <c r="CB23" s="19">
        <v>79290</v>
      </c>
      <c r="CC23" s="19">
        <v>150729</v>
      </c>
      <c r="CD23" s="19">
        <v>124491</v>
      </c>
      <c r="CE23" s="19">
        <v>117324</v>
      </c>
      <c r="CF23" s="19">
        <v>148206</v>
      </c>
      <c r="CG23" s="19">
        <v>184289</v>
      </c>
      <c r="CH23" s="19">
        <v>240098</v>
      </c>
      <c r="CI23" s="19">
        <v>207416</v>
      </c>
      <c r="CJ23" s="19">
        <v>235931</v>
      </c>
      <c r="CK23" s="19">
        <v>255697</v>
      </c>
      <c r="CL23" s="19">
        <v>252206</v>
      </c>
      <c r="CM23" s="19">
        <v>292395</v>
      </c>
      <c r="CN23" s="19">
        <v>119312</v>
      </c>
      <c r="CO23" s="19">
        <v>267931</v>
      </c>
      <c r="CP23" s="19">
        <v>300799</v>
      </c>
      <c r="CQ23" s="19">
        <v>688338</v>
      </c>
      <c r="CR23" s="19">
        <v>410483</v>
      </c>
      <c r="CS23" s="19">
        <v>216285</v>
      </c>
      <c r="CT23" s="19">
        <v>243040</v>
      </c>
      <c r="CU23" s="222"/>
      <c r="CV23" s="19">
        <f t="shared" si="5"/>
        <v>544222</v>
      </c>
      <c r="CW23" s="19">
        <f t="shared" si="6"/>
        <v>392801</v>
      </c>
      <c r="CX23" s="19">
        <f t="shared" si="7"/>
        <v>271905</v>
      </c>
      <c r="CY23" s="19">
        <f t="shared" si="8"/>
        <v>194328</v>
      </c>
      <c r="CZ23" s="19">
        <f t="shared" si="9"/>
        <v>419249</v>
      </c>
      <c r="DA23" s="19">
        <f t="shared" si="10"/>
        <v>359829</v>
      </c>
      <c r="DB23" s="19">
        <f t="shared" si="11"/>
        <v>392544</v>
      </c>
      <c r="DC23" s="19">
        <f t="shared" si="12"/>
        <v>572593</v>
      </c>
      <c r="DD23" s="19">
        <f t="shared" si="13"/>
        <v>699044</v>
      </c>
      <c r="DE23" s="19">
        <f t="shared" si="14"/>
        <v>663913</v>
      </c>
      <c r="DF23" s="19">
        <f t="shared" si="15"/>
        <v>1257068</v>
      </c>
      <c r="DG23" s="19">
        <f t="shared" si="16"/>
        <v>869808</v>
      </c>
      <c r="DI23" s="19">
        <f t="shared" si="17"/>
        <v>1403256</v>
      </c>
      <c r="DJ23" s="19">
        <f t="shared" si="18"/>
        <v>1744215</v>
      </c>
      <c r="DK23" s="19">
        <f t="shared" si="19"/>
        <v>3489833</v>
      </c>
    </row>
    <row r="24" spans="2:115" x14ac:dyDescent="0.2">
      <c r="B24" s="225" t="s">
        <v>295</v>
      </c>
      <c r="C24" s="19">
        <v>815693.42857142875</v>
      </c>
      <c r="D24" s="19">
        <v>943762.85714285763</v>
      </c>
      <c r="E24" s="19">
        <v>1435196.9999999995</v>
      </c>
      <c r="F24" s="19">
        <v>2467995.5714285709</v>
      </c>
      <c r="G24" s="19">
        <v>3904737.7142857085</v>
      </c>
      <c r="H24" s="19">
        <v>4501246.4285714161</v>
      </c>
      <c r="I24" s="19">
        <v>4370611.4285714179</v>
      </c>
      <c r="J24" s="19">
        <v>4445025.4285714179</v>
      </c>
      <c r="K24" s="19">
        <v>4630906.7142857099</v>
      </c>
      <c r="L24" s="19">
        <v>5347098.7142857062</v>
      </c>
      <c r="M24" s="19">
        <v>5416976.9999999963</v>
      </c>
      <c r="N24" s="19">
        <v>5482527.7142857127</v>
      </c>
      <c r="O24" s="19">
        <v>5285450.7142857062</v>
      </c>
      <c r="P24" s="19">
        <v>5071308.8571428424</v>
      </c>
      <c r="Q24" s="19">
        <v>5323356.5014285715</v>
      </c>
      <c r="R24" s="19">
        <v>4951408</v>
      </c>
      <c r="S24" s="19">
        <v>4142125</v>
      </c>
      <c r="T24" s="19">
        <v>4301932</v>
      </c>
      <c r="U24" s="19">
        <v>5224943</v>
      </c>
      <c r="V24" s="19">
        <v>3884875</v>
      </c>
      <c r="W24" s="19">
        <v>3461259</v>
      </c>
      <c r="X24" s="19">
        <v>3865848</v>
      </c>
      <c r="Y24" s="19">
        <v>4150401.5666666701</v>
      </c>
      <c r="Z24" s="19">
        <v>3270801.6433333298</v>
      </c>
      <c r="AA24" s="19">
        <v>2531421.5594047601</v>
      </c>
      <c r="AB24" s="19">
        <v>2653199.1364285699</v>
      </c>
      <c r="AC24" s="19">
        <v>2244311.37059524</v>
      </c>
      <c r="AD24" s="19">
        <v>2087429.1835714299</v>
      </c>
      <c r="AE24" s="19">
        <v>2172226.8733333303</v>
      </c>
      <c r="AF24" s="19">
        <v>2253947.3525</v>
      </c>
      <c r="AG24" s="19">
        <v>2430533.17833333</v>
      </c>
      <c r="AH24" s="19">
        <v>2587291.3675000002</v>
      </c>
      <c r="AI24" s="19">
        <v>2416583.6775000002</v>
      </c>
      <c r="AJ24" s="19">
        <v>2749213.3783333302</v>
      </c>
      <c r="AK24" s="19">
        <v>2485786.3726281999</v>
      </c>
      <c r="AL24" s="19">
        <v>2677293.3044230798</v>
      </c>
      <c r="AM24" s="19">
        <v>2365678.1764743598</v>
      </c>
      <c r="AN24" s="19">
        <v>2224483.7658974398</v>
      </c>
      <c r="AO24" s="19">
        <v>2843785.4232051298</v>
      </c>
      <c r="AP24" s="19">
        <v>3272924.5539102601</v>
      </c>
      <c r="AQ24" s="19">
        <v>3786987</v>
      </c>
      <c r="AR24" s="19">
        <v>6328368.0073717898</v>
      </c>
      <c r="AS24" s="19">
        <v>4602028.6099359002</v>
      </c>
      <c r="AT24" s="19">
        <v>3095826.1715384619</v>
      </c>
      <c r="AU24" s="19">
        <v>3854423.2699999996</v>
      </c>
      <c r="AV24" s="19">
        <v>3618489.0597435902</v>
      </c>
      <c r="AW24" s="19">
        <v>4365670.5880128201</v>
      </c>
      <c r="AX24" s="19">
        <v>4554406.809358974</v>
      </c>
      <c r="AY24" s="19">
        <v>4829448.240448718</v>
      </c>
      <c r="AZ24" s="19">
        <v>4973049.4576923084</v>
      </c>
      <c r="BA24" s="19">
        <v>5390946.1464102603</v>
      </c>
      <c r="BB24" s="19">
        <v>5835745.1326923063</v>
      </c>
      <c r="BC24" s="19">
        <v>7738403.2028846117</v>
      </c>
      <c r="BD24" s="19">
        <v>17183927.303141013</v>
      </c>
      <c r="BE24" s="19">
        <v>16852210.05294871</v>
      </c>
      <c r="BF24" s="19">
        <v>11905667.607051279</v>
      </c>
      <c r="BG24" s="19">
        <v>10576050.25583332</v>
      </c>
      <c r="BH24" s="19">
        <v>8191418.5780769195</v>
      </c>
      <c r="BI24" s="19">
        <v>9838225.0433974303</v>
      </c>
      <c r="BJ24" s="19">
        <v>9436035.3930231594</v>
      </c>
      <c r="BK24" s="19">
        <v>2607375.8636867381</v>
      </c>
      <c r="BL24" s="19">
        <v>2386104.4366964148</v>
      </c>
      <c r="BM24" s="19">
        <v>3213758.1839474677</v>
      </c>
      <c r="BN24" s="19">
        <v>3577667.3112462484</v>
      </c>
      <c r="BO24" s="19">
        <v>2588859.7343036951</v>
      </c>
      <c r="BP24" s="19">
        <v>1004040.6787711043</v>
      </c>
      <c r="BQ24" s="19">
        <v>1335285.3230751564</v>
      </c>
      <c r="BR24" s="19">
        <v>1344189.694927254</v>
      </c>
      <c r="BS24" s="19">
        <v>662430.65451115998</v>
      </c>
      <c r="BT24" s="19">
        <v>889520.6971365083</v>
      </c>
      <c r="BU24" s="19">
        <v>1141025.7087804878</v>
      </c>
      <c r="BV24" s="19">
        <v>1363635.7914940228</v>
      </c>
      <c r="BW24" s="19">
        <v>1686410.468817706</v>
      </c>
      <c r="BX24" s="19">
        <v>1750234.4684828287</v>
      </c>
      <c r="BY24" s="19">
        <v>1578105.7737720783</v>
      </c>
      <c r="BZ24" s="19">
        <v>1632689.3090614176</v>
      </c>
      <c r="CA24" s="19">
        <v>1395053.807377049</v>
      </c>
      <c r="CB24" s="19">
        <v>1475037.4802131352</v>
      </c>
      <c r="CC24" s="19">
        <v>1647723.4930381672</v>
      </c>
      <c r="CD24" s="19">
        <v>1819194.273019335</v>
      </c>
      <c r="CE24" s="19">
        <v>2071672.1245980707</v>
      </c>
      <c r="CF24" s="19">
        <v>1713205.1955014416</v>
      </c>
      <c r="CG24" s="19">
        <v>2162958.021396704</v>
      </c>
      <c r="CH24" s="19">
        <v>2680791.9678676398</v>
      </c>
      <c r="CI24" s="19">
        <v>2485315.3122279146</v>
      </c>
      <c r="CJ24" s="19">
        <v>2705381.9681778913</v>
      </c>
      <c r="CK24" s="19">
        <v>2359753.9032481811</v>
      </c>
      <c r="CL24" s="19">
        <v>2817973.1767874248</v>
      </c>
      <c r="CM24" s="19">
        <v>3092437.7264430621</v>
      </c>
      <c r="CN24" s="19">
        <v>2296913.3845100375</v>
      </c>
      <c r="CO24" s="19">
        <v>2365316.2098852741</v>
      </c>
      <c r="CP24" s="19">
        <v>2365248.2497342713</v>
      </c>
      <c r="CQ24" s="19">
        <v>1902457.2160695211</v>
      </c>
      <c r="CR24" s="19">
        <v>1899560.7055842001</v>
      </c>
      <c r="CS24" s="19">
        <v>1933341.5352191883</v>
      </c>
      <c r="CT24" s="19">
        <v>1849755.2825236232</v>
      </c>
      <c r="CU24" s="222"/>
      <c r="CV24" s="19">
        <f t="shared" si="5"/>
        <v>8207238.4843306206</v>
      </c>
      <c r="CW24" s="19">
        <f t="shared" si="6"/>
        <v>7170567.7243210487</v>
      </c>
      <c r="CX24" s="19">
        <f t="shared" si="7"/>
        <v>3341905.6725135706</v>
      </c>
      <c r="CY24" s="19">
        <f t="shared" si="8"/>
        <v>3394182.1974110189</v>
      </c>
      <c r="CZ24" s="19">
        <f t="shared" si="9"/>
        <v>5014750.7110726135</v>
      </c>
      <c r="DA24" s="19">
        <f t="shared" si="10"/>
        <v>4502780.5966516016</v>
      </c>
      <c r="DB24" s="19">
        <f t="shared" si="11"/>
        <v>5538589.8906555735</v>
      </c>
      <c r="DC24" s="19">
        <f t="shared" si="12"/>
        <v>6556955.1847657859</v>
      </c>
      <c r="DD24" s="19">
        <f t="shared" si="13"/>
        <v>7550451.1836539879</v>
      </c>
      <c r="DE24" s="19">
        <f t="shared" si="14"/>
        <v>8207324.2877405239</v>
      </c>
      <c r="DF24" s="19">
        <f t="shared" si="15"/>
        <v>6633021.6756890668</v>
      </c>
      <c r="DG24" s="19">
        <f t="shared" si="16"/>
        <v>5682657.5233270116</v>
      </c>
      <c r="DI24" s="19">
        <f t="shared" si="17"/>
        <v>22113894.078576259</v>
      </c>
      <c r="DJ24" s="19">
        <f t="shared" si="18"/>
        <v>21613076.383145574</v>
      </c>
      <c r="DK24" s="19">
        <f t="shared" si="19"/>
        <v>28073454.670410592</v>
      </c>
    </row>
    <row r="25" spans="2:115" x14ac:dyDescent="0.2">
      <c r="B25" s="225" t="s">
        <v>50</v>
      </c>
      <c r="C25" s="19">
        <v>507886.14285714284</v>
      </c>
      <c r="D25" s="19">
        <v>479320.57142857142</v>
      </c>
      <c r="E25" s="19">
        <v>445975</v>
      </c>
      <c r="F25" s="19">
        <v>448723.1428571429</v>
      </c>
      <c r="G25" s="19">
        <v>518940.42857142864</v>
      </c>
      <c r="H25" s="19">
        <v>478674.85714285716</v>
      </c>
      <c r="I25" s="19">
        <v>473025.28571428574</v>
      </c>
      <c r="J25" s="19">
        <v>424348.42857142858</v>
      </c>
      <c r="K25" s="19">
        <v>395152.42857142858</v>
      </c>
      <c r="L25" s="19">
        <v>438418.28571428574</v>
      </c>
      <c r="M25" s="19">
        <v>525166.71428571432</v>
      </c>
      <c r="N25" s="19">
        <v>652586.28571428568</v>
      </c>
      <c r="O25" s="19">
        <v>646387.57142857136</v>
      </c>
      <c r="P25" s="19">
        <v>776456.57142857148</v>
      </c>
      <c r="Q25" s="19">
        <v>779502.14285714284</v>
      </c>
      <c r="R25" s="19">
        <v>731620</v>
      </c>
      <c r="S25" s="19">
        <v>625283</v>
      </c>
      <c r="T25" s="19">
        <v>713641</v>
      </c>
      <c r="U25" s="19">
        <v>758615</v>
      </c>
      <c r="V25" s="19">
        <v>747356</v>
      </c>
      <c r="W25" s="19">
        <v>684710</v>
      </c>
      <c r="X25" s="19">
        <v>716039</v>
      </c>
      <c r="Y25" s="19">
        <v>689351.85</v>
      </c>
      <c r="Z25" s="19">
        <v>599105.8651190477</v>
      </c>
      <c r="AA25" s="19">
        <v>892139.79166666663</v>
      </c>
      <c r="AB25" s="19">
        <v>694717.14809523802</v>
      </c>
      <c r="AC25" s="19">
        <v>516177.80535714293</v>
      </c>
      <c r="AD25" s="19">
        <v>556633.45000000019</v>
      </c>
      <c r="AE25" s="19">
        <v>719156.72547618998</v>
      </c>
      <c r="AF25" s="19">
        <v>1309166.8383333299</v>
      </c>
      <c r="AG25" s="19">
        <v>1541374.87583333</v>
      </c>
      <c r="AH25" s="19">
        <v>1551267.210833333</v>
      </c>
      <c r="AI25" s="19">
        <v>1546244.835</v>
      </c>
      <c r="AJ25" s="19">
        <v>1521781.0566666671</v>
      </c>
      <c r="AK25" s="19">
        <v>1460884.885064102</v>
      </c>
      <c r="AL25" s="19">
        <v>1531799.0466025639</v>
      </c>
      <c r="AM25" s="19">
        <v>1842861.5651282049</v>
      </c>
      <c r="AN25" s="19">
        <v>1975659.9633333299</v>
      </c>
      <c r="AO25" s="19">
        <v>2134363.3574999999</v>
      </c>
      <c r="AP25" s="19">
        <v>1960994.139935897</v>
      </c>
      <c r="AQ25" s="19">
        <v>2110733.6737820501</v>
      </c>
      <c r="AR25" s="19">
        <v>4443366.5423717899</v>
      </c>
      <c r="AS25" s="19">
        <v>7991087.0039102603</v>
      </c>
      <c r="AT25" s="19">
        <v>4382319.359038461</v>
      </c>
      <c r="AU25" s="19">
        <v>4134277.6536538498</v>
      </c>
      <c r="AV25" s="19">
        <v>3716452</v>
      </c>
      <c r="AW25" s="19">
        <v>4093821.3340384611</v>
      </c>
      <c r="AX25" s="19">
        <v>4769267.8375640996</v>
      </c>
      <c r="AY25" s="19">
        <v>4451480.2057692297</v>
      </c>
      <c r="AZ25" s="19">
        <v>3510404.06493827</v>
      </c>
      <c r="BA25" s="19">
        <v>3783635.5037481561</v>
      </c>
      <c r="BB25" s="19">
        <v>4044566.5766980452</v>
      </c>
      <c r="BC25" s="19">
        <v>4093817.9293330349</v>
      </c>
      <c r="BD25" s="19">
        <v>7924950.3465186283</v>
      </c>
      <c r="BE25" s="19">
        <v>9534120.4992304575</v>
      </c>
      <c r="BF25" s="19">
        <v>4000377.2550498028</v>
      </c>
      <c r="BG25" s="19">
        <v>4253442.2608565679</v>
      </c>
      <c r="BH25" s="19">
        <v>3849002.8903786261</v>
      </c>
      <c r="BI25" s="19">
        <v>4035737.0591816967</v>
      </c>
      <c r="BJ25" s="19">
        <v>3967481.452553276</v>
      </c>
      <c r="BK25" s="19">
        <v>751330.05241950322</v>
      </c>
      <c r="BL25" s="19">
        <v>661270.16207347903</v>
      </c>
      <c r="BM25" s="19">
        <v>580649.82188834902</v>
      </c>
      <c r="BN25" s="19">
        <v>610571.32159639522</v>
      </c>
      <c r="BO25" s="19">
        <v>621856.58460892132</v>
      </c>
      <c r="BP25" s="19">
        <v>190327.29259180184</v>
      </c>
      <c r="BQ25" s="19">
        <v>363987.11600827379</v>
      </c>
      <c r="BR25" s="19">
        <v>321147.47412810428</v>
      </c>
      <c r="BS25" s="19">
        <v>98018.753207166679</v>
      </c>
      <c r="BT25" s="19">
        <v>212264.85573054338</v>
      </c>
      <c r="BU25" s="19">
        <v>196053.20098584983</v>
      </c>
      <c r="BV25" s="19">
        <v>284919.77423280803</v>
      </c>
      <c r="BW25" s="19">
        <v>370233.93422138458</v>
      </c>
      <c r="BX25" s="19">
        <v>301255.26624424895</v>
      </c>
      <c r="BY25" s="19">
        <v>315386.3918167064</v>
      </c>
      <c r="BZ25" s="19">
        <v>245263.44688017434</v>
      </c>
      <c r="CA25" s="19">
        <v>236106.23541733483</v>
      </c>
      <c r="CB25" s="19">
        <v>202142.05404442549</v>
      </c>
      <c r="CC25" s="19">
        <v>322523.88317005616</v>
      </c>
      <c r="CD25" s="19">
        <v>371794.6267111483</v>
      </c>
      <c r="CE25" s="19">
        <v>319863.99943976244</v>
      </c>
      <c r="CF25" s="19">
        <v>380709.35069683753</v>
      </c>
      <c r="CG25" s="19">
        <v>397927.91755623231</v>
      </c>
      <c r="CH25" s="19">
        <v>453022.40320988558</v>
      </c>
      <c r="CI25" s="19">
        <v>456128.33662368264</v>
      </c>
      <c r="CJ25" s="19">
        <v>431387.4526842325</v>
      </c>
      <c r="CK25" s="19">
        <v>459086.45947344974</v>
      </c>
      <c r="CL25" s="19">
        <v>907162.45803146018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222"/>
      <c r="CV25" s="19">
        <f t="shared" si="5"/>
        <v>1993250.0363813313</v>
      </c>
      <c r="CW25" s="19">
        <f t="shared" si="6"/>
        <v>1422755.1987971184</v>
      </c>
      <c r="CX25" s="19">
        <f t="shared" si="7"/>
        <v>783153.34334354475</v>
      </c>
      <c r="CY25" s="19">
        <f t="shared" si="8"/>
        <v>693237.83094920125</v>
      </c>
      <c r="CZ25" s="19">
        <f t="shared" si="9"/>
        <v>986875.59228233993</v>
      </c>
      <c r="DA25" s="19">
        <f t="shared" si="10"/>
        <v>683511.73634193465</v>
      </c>
      <c r="DB25" s="19">
        <f t="shared" si="11"/>
        <v>1014182.5093209669</v>
      </c>
      <c r="DC25" s="19">
        <f t="shared" si="12"/>
        <v>1231659.6714629554</v>
      </c>
      <c r="DD25" s="19">
        <f t="shared" si="13"/>
        <v>1346602.2487813649</v>
      </c>
      <c r="DE25" s="19">
        <f t="shared" si="14"/>
        <v>907162.45803146018</v>
      </c>
      <c r="DF25" s="19">
        <f t="shared" si="15"/>
        <v>0</v>
      </c>
      <c r="DG25" s="19">
        <f t="shared" si="16"/>
        <v>0</v>
      </c>
      <c r="DI25" s="19">
        <f t="shared" si="17"/>
        <v>4892396.4094711961</v>
      </c>
      <c r="DJ25" s="19">
        <f t="shared" si="18"/>
        <v>3916229.5094081969</v>
      </c>
      <c r="DK25" s="19">
        <f t="shared" si="19"/>
        <v>2253764.7068128251</v>
      </c>
    </row>
    <row r="26" spans="2:115" x14ac:dyDescent="0.2">
      <c r="B26" s="226" t="s">
        <v>296</v>
      </c>
      <c r="C26" s="19">
        <f>C21/C4</f>
        <v>7043.4704081632663</v>
      </c>
      <c r="D26" s="19">
        <f t="shared" ref="D26:BO26" si="24">D21/D4</f>
        <v>7576.1623120300756</v>
      </c>
      <c r="E26" s="19">
        <f t="shared" si="24"/>
        <v>7855.3853974121994</v>
      </c>
      <c r="F26" s="19">
        <f t="shared" si="24"/>
        <v>6145.976839285714</v>
      </c>
      <c r="G26" s="19">
        <f t="shared" si="24"/>
        <v>6427.2132791594031</v>
      </c>
      <c r="H26" s="19">
        <f t="shared" si="24"/>
        <v>5914.2091415370642</v>
      </c>
      <c r="I26" s="19">
        <f t="shared" si="24"/>
        <v>4923.5277877859835</v>
      </c>
      <c r="J26" s="19">
        <f t="shared" si="24"/>
        <v>5180.2779525603337</v>
      </c>
      <c r="K26" s="19">
        <f t="shared" si="24"/>
        <v>5255.7700690972406</v>
      </c>
      <c r="L26" s="19">
        <f t="shared" si="24"/>
        <v>5029.0988215074876</v>
      </c>
      <c r="M26" s="19">
        <f t="shared" si="24"/>
        <v>4868.0027927672063</v>
      </c>
      <c r="N26" s="19">
        <f t="shared" si="24"/>
        <v>5540.5805043368373</v>
      </c>
      <c r="O26" s="19">
        <f t="shared" si="24"/>
        <v>5011.9240922035597</v>
      </c>
      <c r="P26" s="19">
        <f t="shared" si="24"/>
        <v>5213.8519311643731</v>
      </c>
      <c r="Q26" s="19">
        <f t="shared" si="24"/>
        <v>5127.6386850503523</v>
      </c>
      <c r="R26" s="19">
        <f t="shared" si="24"/>
        <v>4547.7938441231172</v>
      </c>
      <c r="S26" s="19">
        <f t="shared" si="24"/>
        <v>4411.1973889931205</v>
      </c>
      <c r="T26" s="19">
        <f t="shared" si="24"/>
        <v>4748.3218545421933</v>
      </c>
      <c r="U26" s="19">
        <f t="shared" si="24"/>
        <v>4930.5168308486536</v>
      </c>
      <c r="V26" s="19">
        <f t="shared" si="24"/>
        <v>4817.1239982672732</v>
      </c>
      <c r="W26" s="19">
        <f t="shared" si="24"/>
        <v>5094.9011490634348</v>
      </c>
      <c r="X26" s="19">
        <f t="shared" si="24"/>
        <v>4699.516614420063</v>
      </c>
      <c r="Y26" s="19">
        <f t="shared" si="24"/>
        <v>4968.4428897879689</v>
      </c>
      <c r="Z26" s="19">
        <f t="shared" si="24"/>
        <v>5245.2361581861232</v>
      </c>
      <c r="AA26" s="19">
        <f t="shared" si="24"/>
        <v>214867.58444196417</v>
      </c>
      <c r="AB26" s="19">
        <f t="shared" si="24"/>
        <v>7358.440041572183</v>
      </c>
      <c r="AC26" s="19">
        <f t="shared" si="24"/>
        <v>5967.2377629335697</v>
      </c>
      <c r="AD26" s="19">
        <f t="shared" si="24"/>
        <v>4600.8061900629755</v>
      </c>
      <c r="AE26" s="19">
        <f t="shared" si="24"/>
        <v>4781.1671666071052</v>
      </c>
      <c r="AF26" s="19">
        <f t="shared" si="24"/>
        <v>5414.5969255816035</v>
      </c>
      <c r="AG26" s="19">
        <f t="shared" si="24"/>
        <v>4636.1968903763272</v>
      </c>
      <c r="AH26" s="19">
        <f t="shared" si="24"/>
        <v>5017.9110012225638</v>
      </c>
      <c r="AI26" s="19">
        <f t="shared" si="24"/>
        <v>5564.5265979246606</v>
      </c>
      <c r="AJ26" s="19">
        <f t="shared" si="24"/>
        <v>5987.2222201032082</v>
      </c>
      <c r="AK26" s="19">
        <f t="shared" si="24"/>
        <v>5899.8880334610703</v>
      </c>
      <c r="AL26" s="19">
        <f t="shared" si="24"/>
        <v>4865.1313314195395</v>
      </c>
      <c r="AM26" s="19">
        <f t="shared" si="24"/>
        <v>5244.5089971464458</v>
      </c>
      <c r="AN26" s="19">
        <f t="shared" si="24"/>
        <v>7216.4433636819849</v>
      </c>
      <c r="AO26" s="19">
        <f t="shared" si="24"/>
        <v>4602.4035601490023</v>
      </c>
      <c r="AP26" s="19">
        <f t="shared" si="24"/>
        <v>5001.9383193911572</v>
      </c>
      <c r="AQ26" s="19">
        <f t="shared" si="24"/>
        <v>4497.8936719847161</v>
      </c>
      <c r="AR26" s="19">
        <f t="shared" si="24"/>
        <v>4186.8394676520793</v>
      </c>
      <c r="AS26" s="19">
        <f t="shared" si="24"/>
        <v>4283.0153468216313</v>
      </c>
      <c r="AT26" s="19">
        <f t="shared" si="24"/>
        <v>4202.303259858948</v>
      </c>
      <c r="AU26" s="19">
        <f t="shared" si="24"/>
        <v>5422.1464458480777</v>
      </c>
      <c r="AV26" s="19">
        <f t="shared" si="24"/>
        <v>7508.7436916168417</v>
      </c>
      <c r="AW26" s="19">
        <f t="shared" si="24"/>
        <v>6094.7203025570807</v>
      </c>
      <c r="AX26" s="19">
        <f t="shared" si="24"/>
        <v>5063.1226678813809</v>
      </c>
      <c r="AY26" s="19">
        <f t="shared" si="24"/>
        <v>6433.8735985730918</v>
      </c>
      <c r="AZ26" s="19">
        <f t="shared" si="24"/>
        <v>6811.0573496275138</v>
      </c>
      <c r="BA26" s="19">
        <f t="shared" si="24"/>
        <v>8654.1215365711651</v>
      </c>
      <c r="BB26" s="19">
        <f t="shared" si="24"/>
        <v>6468.9169634421232</v>
      </c>
      <c r="BC26" s="19">
        <f t="shared" si="24"/>
        <v>5810.2063394037295</v>
      </c>
      <c r="BD26" s="19">
        <f t="shared" si="24"/>
        <v>7809.4797968104403</v>
      </c>
      <c r="BE26" s="19">
        <f t="shared" si="24"/>
        <v>7142.6550983322068</v>
      </c>
      <c r="BF26" s="19">
        <f t="shared" si="24"/>
        <v>10163.699288204565</v>
      </c>
      <c r="BG26" s="19">
        <f t="shared" si="24"/>
        <v>8732.6609390616177</v>
      </c>
      <c r="BH26" s="19">
        <f t="shared" si="24"/>
        <v>6161.8570532181475</v>
      </c>
      <c r="BI26" s="19">
        <f t="shared" si="24"/>
        <v>7257.1977541437682</v>
      </c>
      <c r="BJ26" s="19">
        <f t="shared" si="24"/>
        <v>7444.1661001657767</v>
      </c>
      <c r="BK26" s="19">
        <f t="shared" si="24"/>
        <v>6301.420862864933</v>
      </c>
      <c r="BL26" s="19">
        <f t="shared" si="24"/>
        <v>7924.7534394299555</v>
      </c>
      <c r="BM26" s="19">
        <f t="shared" si="24"/>
        <v>6348.9404186237971</v>
      </c>
      <c r="BN26" s="19">
        <f t="shared" si="24"/>
        <v>6815.1423456982357</v>
      </c>
      <c r="BO26" s="19">
        <f t="shared" si="24"/>
        <v>8486.7925823241403</v>
      </c>
      <c r="BP26" s="19">
        <f t="shared" ref="BP26:CT26" si="25">BP21/BP4</f>
        <v>11478.260144801243</v>
      </c>
      <c r="BQ26" s="19">
        <f t="shared" si="25"/>
        <v>6547.4279750382593</v>
      </c>
      <c r="BR26" s="19">
        <f t="shared" si="25"/>
        <v>8586.7091862707621</v>
      </c>
      <c r="BS26" s="19">
        <f t="shared" si="25"/>
        <v>15028.914171931132</v>
      </c>
      <c r="BT26" s="19">
        <f t="shared" si="25"/>
        <v>6757.9436967036308</v>
      </c>
      <c r="BU26" s="19">
        <f t="shared" si="25"/>
        <v>8427.2310905638478</v>
      </c>
      <c r="BV26" s="19">
        <f t="shared" si="25"/>
        <v>7287.4318638374816</v>
      </c>
      <c r="BW26" s="19">
        <f t="shared" si="25"/>
        <v>7932.9691463695162</v>
      </c>
      <c r="BX26" s="19">
        <f t="shared" si="25"/>
        <v>6792.0972317066717</v>
      </c>
      <c r="BY26" s="19">
        <f t="shared" si="25"/>
        <v>8289.1653240393589</v>
      </c>
      <c r="BZ26" s="19">
        <f t="shared" si="25"/>
        <v>9545.4897645950987</v>
      </c>
      <c r="CA26" s="19">
        <f t="shared" si="25"/>
        <v>8521.3031360747646</v>
      </c>
      <c r="CB26" s="19">
        <f t="shared" si="25"/>
        <v>7703.8453062174985</v>
      </c>
      <c r="CC26" s="19">
        <f t="shared" si="25"/>
        <v>6885.9021888526931</v>
      </c>
      <c r="CD26" s="19">
        <f t="shared" si="25"/>
        <v>6881.5291264178959</v>
      </c>
      <c r="CE26" s="19">
        <f t="shared" si="25"/>
        <v>6571.2705625712924</v>
      </c>
      <c r="CF26" s="19">
        <f t="shared" si="25"/>
        <v>7286.7642860944788</v>
      </c>
      <c r="CG26" s="19">
        <f t="shared" si="25"/>
        <v>8366.9717712204783</v>
      </c>
      <c r="CH26" s="19">
        <f t="shared" si="25"/>
        <v>9278.2047099277133</v>
      </c>
      <c r="CI26" s="19">
        <f t="shared" si="25"/>
        <v>8038.0815057017853</v>
      </c>
      <c r="CJ26" s="19">
        <f t="shared" si="25"/>
        <v>8228.9317816540351</v>
      </c>
      <c r="CK26" s="19">
        <f t="shared" si="25"/>
        <v>7032.4317896043003</v>
      </c>
      <c r="CL26" s="19">
        <f t="shared" si="25"/>
        <v>6667.9388907196044</v>
      </c>
      <c r="CM26" s="19">
        <f t="shared" si="25"/>
        <v>6271.3866960142177</v>
      </c>
      <c r="CN26" s="19">
        <f t="shared" si="25"/>
        <v>6273.7500508073517</v>
      </c>
      <c r="CO26" s="19">
        <f t="shared" si="25"/>
        <v>6063.69171242825</v>
      </c>
      <c r="CP26" s="19">
        <f t="shared" si="25"/>
        <v>6847.2503443974429</v>
      </c>
      <c r="CQ26" s="19">
        <f t="shared" si="25"/>
        <v>8040.6069084397486</v>
      </c>
      <c r="CR26" s="19">
        <f t="shared" si="25"/>
        <v>8058.8592240841335</v>
      </c>
      <c r="CS26" s="19">
        <f t="shared" si="25"/>
        <v>8338.9388933704759</v>
      </c>
      <c r="CT26" s="19">
        <f t="shared" si="25"/>
        <v>8854.9727200274028</v>
      </c>
      <c r="CU26" s="222"/>
      <c r="CV26" s="19">
        <f t="shared" si="5"/>
        <v>20575.114720918686</v>
      </c>
      <c r="CW26" s="19">
        <f t="shared" si="6"/>
        <v>26780.195072823619</v>
      </c>
      <c r="CX26" s="19">
        <f t="shared" si="7"/>
        <v>30163.051333240153</v>
      </c>
      <c r="CY26" s="19">
        <f t="shared" si="8"/>
        <v>22472.606651104961</v>
      </c>
      <c r="CZ26" s="19">
        <f t="shared" si="9"/>
        <v>23014.231702115547</v>
      </c>
      <c r="DA26" s="19">
        <f t="shared" si="10"/>
        <v>25770.638206887361</v>
      </c>
      <c r="DB26" s="19">
        <f t="shared" si="11"/>
        <v>20338.701877841882</v>
      </c>
      <c r="DC26" s="19">
        <f t="shared" si="12"/>
        <v>24931.940767242668</v>
      </c>
      <c r="DD26" s="19">
        <f t="shared" si="13"/>
        <v>23299.445076960121</v>
      </c>
      <c r="DE26" s="19">
        <f t="shared" si="14"/>
        <v>19213.075637541173</v>
      </c>
      <c r="DF26" s="19">
        <f t="shared" si="15"/>
        <v>20951.548965265443</v>
      </c>
      <c r="DG26" s="19">
        <f t="shared" si="16"/>
        <v>25252.77083748201</v>
      </c>
      <c r="DI26" s="19">
        <f t="shared" si="17"/>
        <v>99990.967778087419</v>
      </c>
      <c r="DJ26" s="19">
        <f t="shared" si="18"/>
        <v>94055.512554087472</v>
      </c>
      <c r="DK26" s="19">
        <f t="shared" si="19"/>
        <v>88716.840517248755</v>
      </c>
    </row>
    <row r="27" spans="2:115" x14ac:dyDescent="0.2">
      <c r="B27" s="228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222"/>
      <c r="CV27" s="10">
        <f t="shared" si="5"/>
        <v>0</v>
      </c>
      <c r="CW27" s="10">
        <f t="shared" si="6"/>
        <v>0</v>
      </c>
      <c r="CX27" s="10">
        <f t="shared" si="7"/>
        <v>0</v>
      </c>
      <c r="CY27" s="10">
        <f t="shared" si="8"/>
        <v>0</v>
      </c>
      <c r="CZ27" s="10">
        <f t="shared" si="9"/>
        <v>0</v>
      </c>
      <c r="DA27" s="10">
        <f t="shared" si="10"/>
        <v>0</v>
      </c>
      <c r="DB27" s="10">
        <f t="shared" si="11"/>
        <v>0</v>
      </c>
      <c r="DC27" s="10">
        <f t="shared" si="12"/>
        <v>0</v>
      </c>
      <c r="DD27" s="10">
        <f t="shared" si="13"/>
        <v>0</v>
      </c>
      <c r="DE27" s="10">
        <f t="shared" si="14"/>
        <v>0</v>
      </c>
      <c r="DF27" s="10">
        <f t="shared" si="15"/>
        <v>0</v>
      </c>
      <c r="DG27" s="10">
        <f t="shared" si="16"/>
        <v>0</v>
      </c>
      <c r="DI27" s="10">
        <f t="shared" si="17"/>
        <v>0</v>
      </c>
      <c r="DJ27" s="10">
        <f t="shared" si="18"/>
        <v>0</v>
      </c>
      <c r="DK27" s="10">
        <f t="shared" si="19"/>
        <v>0</v>
      </c>
    </row>
    <row r="28" spans="2:115" x14ac:dyDescent="0.2">
      <c r="B28" s="227" t="s">
        <v>290</v>
      </c>
      <c r="C28" s="169">
        <f>SUM(C29:C32)</f>
        <v>36359106.780000001</v>
      </c>
      <c r="D28" s="169">
        <f t="shared" ref="D28:BO28" si="26">SUM(D29:D32)</f>
        <v>23298863</v>
      </c>
      <c r="E28" s="169">
        <f t="shared" si="26"/>
        <v>19689025</v>
      </c>
      <c r="F28" s="169">
        <f t="shared" si="26"/>
        <v>22678925</v>
      </c>
      <c r="G28" s="169">
        <f t="shared" si="26"/>
        <v>22864924</v>
      </c>
      <c r="H28" s="169">
        <f t="shared" si="26"/>
        <v>21296475.5</v>
      </c>
      <c r="I28" s="169">
        <f t="shared" si="26"/>
        <v>39978550.299999997</v>
      </c>
      <c r="J28" s="169">
        <f t="shared" si="26"/>
        <v>24258100</v>
      </c>
      <c r="K28" s="169">
        <f t="shared" si="26"/>
        <v>13558296.6</v>
      </c>
      <c r="L28" s="169">
        <f t="shared" si="26"/>
        <v>13714845.390000001</v>
      </c>
      <c r="M28" s="169">
        <f t="shared" si="26"/>
        <v>16505983.529999999</v>
      </c>
      <c r="N28" s="169">
        <f t="shared" si="26"/>
        <v>25090116.859999999</v>
      </c>
      <c r="O28" s="169">
        <f t="shared" si="26"/>
        <v>31526451.5</v>
      </c>
      <c r="P28" s="169">
        <f t="shared" si="26"/>
        <v>30523462.5</v>
      </c>
      <c r="Q28" s="169">
        <f t="shared" si="26"/>
        <v>33858646</v>
      </c>
      <c r="R28" s="169">
        <f t="shared" si="26"/>
        <v>34826597.5</v>
      </c>
      <c r="S28" s="169">
        <f t="shared" si="26"/>
        <v>37945655.5</v>
      </c>
      <c r="T28" s="169">
        <f t="shared" si="26"/>
        <v>37293900.75</v>
      </c>
      <c r="U28" s="169">
        <f t="shared" si="26"/>
        <v>56782262.5</v>
      </c>
      <c r="V28" s="169">
        <f t="shared" si="26"/>
        <v>30659644.5</v>
      </c>
      <c r="W28" s="169">
        <f t="shared" si="26"/>
        <v>19478982</v>
      </c>
      <c r="X28" s="169">
        <f t="shared" si="26"/>
        <v>25031237</v>
      </c>
      <c r="Y28" s="169">
        <f t="shared" si="26"/>
        <v>25033888</v>
      </c>
      <c r="Z28" s="169">
        <f t="shared" si="26"/>
        <v>12824647</v>
      </c>
      <c r="AA28" s="169">
        <f t="shared" si="26"/>
        <v>477341</v>
      </c>
      <c r="AB28" s="169">
        <f t="shared" si="26"/>
        <v>7783164</v>
      </c>
      <c r="AC28" s="169">
        <f t="shared" si="26"/>
        <v>10118539.210000001</v>
      </c>
      <c r="AD28" s="169">
        <f t="shared" si="26"/>
        <v>15051325.5</v>
      </c>
      <c r="AE28" s="169">
        <f t="shared" si="26"/>
        <v>25907622</v>
      </c>
      <c r="AF28" s="169">
        <f t="shared" si="26"/>
        <v>39670574</v>
      </c>
      <c r="AG28" s="169">
        <f t="shared" si="26"/>
        <v>100257053.5</v>
      </c>
      <c r="AH28" s="169">
        <f t="shared" si="26"/>
        <v>195456538.80000001</v>
      </c>
      <c r="AI28" s="169">
        <f t="shared" si="26"/>
        <v>112511807</v>
      </c>
      <c r="AJ28" s="169">
        <f t="shared" si="26"/>
        <v>109446170.5</v>
      </c>
      <c r="AK28" s="169">
        <f t="shared" si="26"/>
        <v>160496210</v>
      </c>
      <c r="AL28" s="169">
        <f t="shared" si="26"/>
        <v>87631491.5</v>
      </c>
      <c r="AM28" s="169">
        <f t="shared" si="26"/>
        <v>55877945.700000003</v>
      </c>
      <c r="AN28" s="169">
        <f t="shared" si="26"/>
        <v>12681075.4</v>
      </c>
      <c r="AO28" s="169">
        <f t="shared" si="26"/>
        <v>34870606.299999997</v>
      </c>
      <c r="AP28" s="169">
        <f t="shared" si="26"/>
        <v>48376924.899999999</v>
      </c>
      <c r="AQ28" s="169">
        <f t="shared" si="26"/>
        <v>85644826</v>
      </c>
      <c r="AR28" s="169">
        <f t="shared" si="26"/>
        <v>94561692.900000006</v>
      </c>
      <c r="AS28" s="169">
        <f t="shared" si="26"/>
        <v>139349427.02552497</v>
      </c>
      <c r="AT28" s="169">
        <f t="shared" si="26"/>
        <v>136775979.59999999</v>
      </c>
      <c r="AU28" s="169">
        <f t="shared" si="26"/>
        <v>157952925.19999999</v>
      </c>
      <c r="AV28" s="169">
        <f t="shared" si="26"/>
        <v>230486418</v>
      </c>
      <c r="AW28" s="169">
        <f t="shared" si="26"/>
        <v>232558538.69999999</v>
      </c>
      <c r="AX28" s="169">
        <f t="shared" si="26"/>
        <v>299688678</v>
      </c>
      <c r="AY28" s="169">
        <f t="shared" si="26"/>
        <v>304971313.5</v>
      </c>
      <c r="AZ28" s="169">
        <f t="shared" si="26"/>
        <v>177502599.5</v>
      </c>
      <c r="BA28" s="169">
        <f t="shared" si="26"/>
        <v>190428144.5</v>
      </c>
      <c r="BB28" s="169">
        <f t="shared" si="26"/>
        <v>233087775.5</v>
      </c>
      <c r="BC28" s="169">
        <f t="shared" si="26"/>
        <v>205878025</v>
      </c>
      <c r="BD28" s="169">
        <f t="shared" si="26"/>
        <v>236763935.285</v>
      </c>
      <c r="BE28" s="169">
        <f t="shared" si="26"/>
        <v>396245106.70083332</v>
      </c>
      <c r="BF28" s="169">
        <f t="shared" si="26"/>
        <v>378293151.54205126</v>
      </c>
      <c r="BG28" s="169">
        <f t="shared" si="26"/>
        <v>355326975.12352562</v>
      </c>
      <c r="BH28" s="169">
        <f t="shared" si="26"/>
        <v>347332293.83262819</v>
      </c>
      <c r="BI28" s="169">
        <f t="shared" si="26"/>
        <v>596897785.98333335</v>
      </c>
      <c r="BJ28" s="169">
        <f t="shared" si="26"/>
        <v>513690690.25019228</v>
      </c>
      <c r="BK28" s="169">
        <f t="shared" si="26"/>
        <v>380777663.13631326</v>
      </c>
      <c r="BL28" s="169">
        <f t="shared" si="26"/>
        <v>364017021.06330359</v>
      </c>
      <c r="BM28" s="169">
        <f t="shared" si="26"/>
        <v>245140864.31605256</v>
      </c>
      <c r="BN28" s="169">
        <f t="shared" si="26"/>
        <v>229857028.68875375</v>
      </c>
      <c r="BO28" s="169">
        <f t="shared" si="26"/>
        <v>399311058.26569635</v>
      </c>
      <c r="BP28" s="169">
        <f t="shared" ref="BP28:CT28" si="27">SUM(BP29:BP32)</f>
        <v>360891878.82122886</v>
      </c>
      <c r="BQ28" s="169">
        <f t="shared" si="27"/>
        <v>686726004.17692482</v>
      </c>
      <c r="BR28" s="169">
        <f t="shared" si="27"/>
        <v>503559299.30507278</v>
      </c>
      <c r="BS28" s="169">
        <f t="shared" si="27"/>
        <v>262997199.0454888</v>
      </c>
      <c r="BT28" s="169">
        <f t="shared" si="27"/>
        <v>353283695.80286348</v>
      </c>
      <c r="BU28" s="169">
        <f t="shared" si="27"/>
        <v>326096275.29121953</v>
      </c>
      <c r="BV28" s="169">
        <f t="shared" si="27"/>
        <v>315510764.20850599</v>
      </c>
      <c r="BW28" s="169">
        <f t="shared" si="27"/>
        <v>394342220.03118229</v>
      </c>
      <c r="BX28" s="169">
        <f t="shared" si="27"/>
        <v>393891559.1203633</v>
      </c>
      <c r="BY28" s="169">
        <f t="shared" si="27"/>
        <v>343574884.22622794</v>
      </c>
      <c r="BZ28" s="169">
        <f t="shared" si="27"/>
        <v>366661736.69093859</v>
      </c>
      <c r="CA28" s="169">
        <f t="shared" si="27"/>
        <v>309986071.69262296</v>
      </c>
      <c r="CB28" s="169">
        <f t="shared" si="27"/>
        <v>295828843.01978689</v>
      </c>
      <c r="CC28" s="169">
        <f t="shared" si="27"/>
        <v>754137649.56696188</v>
      </c>
      <c r="CD28" s="169">
        <f t="shared" si="27"/>
        <v>546182259.51698077</v>
      </c>
      <c r="CE28" s="169">
        <f t="shared" si="27"/>
        <v>409216153.10540193</v>
      </c>
      <c r="CF28" s="169">
        <f t="shared" si="27"/>
        <v>641557374.30449855</v>
      </c>
      <c r="CG28" s="169">
        <f t="shared" si="27"/>
        <v>592929235.74625003</v>
      </c>
      <c r="CH28" s="169">
        <f t="shared" si="27"/>
        <v>433598105.11494499</v>
      </c>
      <c r="CI28" s="169">
        <f t="shared" si="27"/>
        <v>446807739.34777212</v>
      </c>
      <c r="CJ28" s="169">
        <f t="shared" si="27"/>
        <v>530942162.04499334</v>
      </c>
      <c r="CK28" s="169">
        <f t="shared" si="27"/>
        <v>495881526.47833157</v>
      </c>
      <c r="CL28" s="169">
        <f t="shared" si="27"/>
        <v>421350264.32321256</v>
      </c>
      <c r="CM28" s="169">
        <f t="shared" si="27"/>
        <v>329424073.86031508</v>
      </c>
      <c r="CN28" s="169">
        <f t="shared" si="27"/>
        <v>464373761.6568588</v>
      </c>
      <c r="CO28" s="169">
        <f t="shared" si="27"/>
        <v>1058364478.9405</v>
      </c>
      <c r="CP28" s="169">
        <f t="shared" si="27"/>
        <v>696846383.28026569</v>
      </c>
      <c r="CQ28" s="169">
        <f t="shared" si="27"/>
        <v>600225011.85901296</v>
      </c>
      <c r="CR28" s="169">
        <f t="shared" si="27"/>
        <v>759880563.41524911</v>
      </c>
      <c r="CS28" s="169">
        <f t="shared" si="27"/>
        <v>698062086.02696037</v>
      </c>
      <c r="CT28" s="169">
        <f t="shared" si="27"/>
        <v>759729238.03747642</v>
      </c>
      <c r="CU28" s="222"/>
      <c r="CV28" s="169">
        <f t="shared" si="5"/>
        <v>989935548.51566947</v>
      </c>
      <c r="CW28" s="169">
        <f t="shared" si="6"/>
        <v>990059965.77567899</v>
      </c>
      <c r="CX28" s="169">
        <f t="shared" si="7"/>
        <v>1453282502.5274863</v>
      </c>
      <c r="CY28" s="169">
        <f t="shared" si="8"/>
        <v>994890735.30258906</v>
      </c>
      <c r="CZ28" s="169">
        <f t="shared" si="9"/>
        <v>1131808663.3777735</v>
      </c>
      <c r="DA28" s="169">
        <f t="shared" si="10"/>
        <v>972476651.40334845</v>
      </c>
      <c r="DB28" s="169">
        <f t="shared" si="11"/>
        <v>1709536062.1893446</v>
      </c>
      <c r="DC28" s="169">
        <f t="shared" si="12"/>
        <v>1668084715.1656935</v>
      </c>
      <c r="DD28" s="169">
        <f t="shared" si="13"/>
        <v>1473631427.8710971</v>
      </c>
      <c r="DE28" s="169">
        <f t="shared" si="14"/>
        <v>1215148099.8403864</v>
      </c>
      <c r="DF28" s="169">
        <f t="shared" si="15"/>
        <v>2355435874.0797787</v>
      </c>
      <c r="DG28" s="169">
        <f t="shared" si="16"/>
        <v>2217671887.4796858</v>
      </c>
      <c r="DI28" s="169">
        <f t="shared" si="17"/>
        <v>4428168752.1214237</v>
      </c>
      <c r="DJ28" s="169">
        <f t="shared" si="18"/>
        <v>5481906092.1361599</v>
      </c>
      <c r="DK28" s="169">
        <f t="shared" si="19"/>
        <v>7261887289.2709475</v>
      </c>
    </row>
    <row r="29" spans="2:115" x14ac:dyDescent="0.2">
      <c r="B29" s="225" t="s">
        <v>19</v>
      </c>
      <c r="C29" s="19">
        <v>36357706.780000001</v>
      </c>
      <c r="D29" s="19">
        <v>23296263</v>
      </c>
      <c r="E29" s="19">
        <v>19678575</v>
      </c>
      <c r="F29" s="19">
        <v>22668275</v>
      </c>
      <c r="G29" s="19">
        <v>22861974</v>
      </c>
      <c r="H29" s="19">
        <v>21288875.5</v>
      </c>
      <c r="I29" s="19">
        <v>39968450.299999997</v>
      </c>
      <c r="J29" s="19">
        <v>24246700</v>
      </c>
      <c r="K29" s="19">
        <v>13544996.6</v>
      </c>
      <c r="L29" s="19">
        <v>13677145.390000001</v>
      </c>
      <c r="M29" s="19">
        <v>16426233.529999999</v>
      </c>
      <c r="N29" s="19">
        <v>24988616.859999999</v>
      </c>
      <c r="O29" s="19">
        <v>31412101.5</v>
      </c>
      <c r="P29" s="19">
        <v>30429862.5</v>
      </c>
      <c r="Q29" s="19">
        <v>33749896</v>
      </c>
      <c r="R29" s="19">
        <v>34621947.5</v>
      </c>
      <c r="S29" s="19">
        <v>37728981.5</v>
      </c>
      <c r="T29" s="19">
        <v>37078389.75</v>
      </c>
      <c r="U29" s="19">
        <v>56401712.5</v>
      </c>
      <c r="V29" s="19">
        <v>30525494.5</v>
      </c>
      <c r="W29" s="19">
        <v>19414232</v>
      </c>
      <c r="X29" s="19">
        <v>24913330</v>
      </c>
      <c r="Y29" s="19">
        <v>24875606</v>
      </c>
      <c r="Z29" s="19">
        <v>12682597</v>
      </c>
      <c r="AA29" s="19">
        <v>468791</v>
      </c>
      <c r="AB29" s="19">
        <v>7776208</v>
      </c>
      <c r="AC29" s="19">
        <v>10111423.210000001</v>
      </c>
      <c r="AD29" s="19">
        <v>15050125.5</v>
      </c>
      <c r="AE29" s="19">
        <v>25887189</v>
      </c>
      <c r="AF29" s="19">
        <v>39629376</v>
      </c>
      <c r="AG29" s="19">
        <v>99943403.5</v>
      </c>
      <c r="AH29" s="19">
        <v>194333021.80000001</v>
      </c>
      <c r="AI29" s="19">
        <v>111888573</v>
      </c>
      <c r="AJ29" s="19">
        <v>108058917.5</v>
      </c>
      <c r="AK29" s="19">
        <v>156460180</v>
      </c>
      <c r="AL29" s="19">
        <v>85501591.5</v>
      </c>
      <c r="AM29" s="19">
        <v>54653895.700000003</v>
      </c>
      <c r="AN29" s="19">
        <v>12567575.4</v>
      </c>
      <c r="AO29" s="19">
        <v>33127258.300000001</v>
      </c>
      <c r="AP29" s="19">
        <v>45952177.899999999</v>
      </c>
      <c r="AQ29" s="19">
        <v>81898199</v>
      </c>
      <c r="AR29" s="19">
        <v>92109390.400000006</v>
      </c>
      <c r="AS29" s="19">
        <v>131831465.7</v>
      </c>
      <c r="AT29" s="19">
        <v>128280079.59999999</v>
      </c>
      <c r="AU29" s="19">
        <v>148356938.69999999</v>
      </c>
      <c r="AV29" s="19">
        <v>217673738</v>
      </c>
      <c r="AW29" s="19">
        <v>219432878.69999999</v>
      </c>
      <c r="AX29" s="19">
        <v>284269868</v>
      </c>
      <c r="AY29" s="19">
        <v>290436391.5</v>
      </c>
      <c r="AZ29" s="19">
        <v>169208338</v>
      </c>
      <c r="BA29" s="19">
        <v>186388744.5</v>
      </c>
      <c r="BB29" s="19">
        <v>228053090.5</v>
      </c>
      <c r="BC29" s="19">
        <v>199223014</v>
      </c>
      <c r="BD29" s="19">
        <v>229711823</v>
      </c>
      <c r="BE29" s="19">
        <v>377911659</v>
      </c>
      <c r="BF29" s="19">
        <v>350951175</v>
      </c>
      <c r="BG29" s="19">
        <v>328665668</v>
      </c>
      <c r="BH29" s="19">
        <v>323031435.5</v>
      </c>
      <c r="BI29" s="19">
        <v>552602374.5</v>
      </c>
      <c r="BJ29" s="19">
        <v>480599705</v>
      </c>
      <c r="BK29" s="19">
        <v>350659762</v>
      </c>
      <c r="BL29" s="19">
        <v>330701730.5</v>
      </c>
      <c r="BM29" s="19">
        <v>223230072.5</v>
      </c>
      <c r="BN29" s="19">
        <v>213002197</v>
      </c>
      <c r="BO29" s="19">
        <v>366968568</v>
      </c>
      <c r="BP29" s="19">
        <v>329427899.5</v>
      </c>
      <c r="BQ29" s="19">
        <v>633482851.5</v>
      </c>
      <c r="BR29" s="19">
        <v>462173690</v>
      </c>
      <c r="BS29" s="19">
        <v>238126293.69999999</v>
      </c>
      <c r="BT29" s="19">
        <v>330143344.5</v>
      </c>
      <c r="BU29" s="19">
        <v>304403949</v>
      </c>
      <c r="BV29" s="19">
        <v>288558743</v>
      </c>
      <c r="BW29" s="19">
        <v>355827524.5</v>
      </c>
      <c r="BX29" s="19">
        <v>352678870.5</v>
      </c>
      <c r="BY29" s="19">
        <v>306752634</v>
      </c>
      <c r="BZ29" s="19">
        <v>334336113</v>
      </c>
      <c r="CA29" s="19">
        <v>274375702.5</v>
      </c>
      <c r="CB29" s="19">
        <v>264152449.5</v>
      </c>
      <c r="CC29" s="19">
        <v>681107574.06000006</v>
      </c>
      <c r="CD29" s="19">
        <v>494721204.79000008</v>
      </c>
      <c r="CE29" s="19">
        <v>374766690.23000002</v>
      </c>
      <c r="CF29" s="19">
        <v>587137867.5</v>
      </c>
      <c r="CG29" s="19">
        <v>550980296.5</v>
      </c>
      <c r="CH29" s="19">
        <v>396088592.00999999</v>
      </c>
      <c r="CI29" s="19">
        <v>402747308.49000001</v>
      </c>
      <c r="CJ29" s="19">
        <v>487658859.49000001</v>
      </c>
      <c r="CK29" s="19">
        <v>455965500.36000001</v>
      </c>
      <c r="CL29" s="19">
        <v>384474604.5</v>
      </c>
      <c r="CM29" s="19">
        <v>297629177</v>
      </c>
      <c r="CN29" s="19">
        <v>420380879</v>
      </c>
      <c r="CO29" s="19">
        <v>971345702</v>
      </c>
      <c r="CP29" s="19">
        <v>638536612.52999997</v>
      </c>
      <c r="CQ29" s="19">
        <v>547544848.5</v>
      </c>
      <c r="CR29" s="19">
        <v>690008889.87</v>
      </c>
      <c r="CS29" s="19">
        <v>626392494.59000003</v>
      </c>
      <c r="CT29" s="19">
        <v>691005102.32000005</v>
      </c>
      <c r="CU29" s="222"/>
      <c r="CV29" s="19">
        <f t="shared" si="5"/>
        <v>904591565</v>
      </c>
      <c r="CW29" s="19">
        <f t="shared" si="6"/>
        <v>909398664.5</v>
      </c>
      <c r="CX29" s="19">
        <f t="shared" si="7"/>
        <v>1333782835.2</v>
      </c>
      <c r="CY29" s="19">
        <f t="shared" si="8"/>
        <v>923106036.5</v>
      </c>
      <c r="CZ29" s="19">
        <f t="shared" si="9"/>
        <v>1015259029</v>
      </c>
      <c r="DA29" s="19">
        <f t="shared" si="10"/>
        <v>872864265</v>
      </c>
      <c r="DB29" s="19">
        <f t="shared" si="11"/>
        <v>1550595469.0800002</v>
      </c>
      <c r="DC29" s="19">
        <f t="shared" si="12"/>
        <v>1534206756.01</v>
      </c>
      <c r="DD29" s="19">
        <f t="shared" si="13"/>
        <v>1346371668.3400002</v>
      </c>
      <c r="DE29" s="19">
        <f t="shared" si="14"/>
        <v>1102484660.5</v>
      </c>
      <c r="DF29" s="19">
        <f t="shared" si="15"/>
        <v>2157427163.0299997</v>
      </c>
      <c r="DG29" s="19">
        <f t="shared" si="16"/>
        <v>2007406486.7800002</v>
      </c>
      <c r="DI29" s="19">
        <f t="shared" si="17"/>
        <v>4070879101.1999998</v>
      </c>
      <c r="DJ29" s="19">
        <f t="shared" si="18"/>
        <v>4972925519.0900002</v>
      </c>
      <c r="DK29" s="19">
        <f t="shared" si="19"/>
        <v>6613689978.6499996</v>
      </c>
    </row>
    <row r="30" spans="2:115" x14ac:dyDescent="0.2">
      <c r="B30" s="225" t="s">
        <v>294</v>
      </c>
      <c r="C30" s="19">
        <v>1400</v>
      </c>
      <c r="D30" s="19">
        <v>2600</v>
      </c>
      <c r="E30" s="19">
        <v>10450</v>
      </c>
      <c r="F30" s="19">
        <v>10650</v>
      </c>
      <c r="G30" s="19">
        <v>2950</v>
      </c>
      <c r="H30" s="19">
        <v>7600</v>
      </c>
      <c r="I30" s="19">
        <v>10100</v>
      </c>
      <c r="J30" s="19">
        <v>11400</v>
      </c>
      <c r="K30" s="19">
        <v>13300</v>
      </c>
      <c r="L30" s="19">
        <v>37700</v>
      </c>
      <c r="M30" s="19">
        <v>79750</v>
      </c>
      <c r="N30" s="19">
        <v>101500</v>
      </c>
      <c r="O30" s="19">
        <v>114350</v>
      </c>
      <c r="P30" s="19">
        <v>93600</v>
      </c>
      <c r="Q30" s="19">
        <v>108750</v>
      </c>
      <c r="R30" s="19">
        <v>204650</v>
      </c>
      <c r="S30" s="19">
        <v>216674</v>
      </c>
      <c r="T30" s="19">
        <v>215511</v>
      </c>
      <c r="U30" s="19">
        <v>380550</v>
      </c>
      <c r="V30" s="19">
        <v>134150</v>
      </c>
      <c r="W30" s="19">
        <v>64750</v>
      </c>
      <c r="X30" s="19">
        <v>117907</v>
      </c>
      <c r="Y30" s="19">
        <v>158282</v>
      </c>
      <c r="Z30" s="19">
        <v>142050</v>
      </c>
      <c r="AA30" s="19">
        <v>8550</v>
      </c>
      <c r="AB30" s="19">
        <v>6956</v>
      </c>
      <c r="AC30" s="19">
        <v>7116</v>
      </c>
      <c r="AD30" s="19">
        <v>1200</v>
      </c>
      <c r="AE30" s="19">
        <v>20433</v>
      </c>
      <c r="AF30" s="19">
        <v>41198</v>
      </c>
      <c r="AG30" s="19">
        <v>313650</v>
      </c>
      <c r="AH30" s="19">
        <v>1123517</v>
      </c>
      <c r="AI30" s="19">
        <v>623234</v>
      </c>
      <c r="AJ30" s="19">
        <v>1387253</v>
      </c>
      <c r="AK30" s="19">
        <v>4036030</v>
      </c>
      <c r="AL30" s="19">
        <v>2129900</v>
      </c>
      <c r="AM30" s="19">
        <v>1224050</v>
      </c>
      <c r="AN30" s="19">
        <v>113500</v>
      </c>
      <c r="AO30" s="19">
        <v>389698</v>
      </c>
      <c r="AP30" s="19">
        <v>668527</v>
      </c>
      <c r="AQ30" s="19">
        <v>1323177</v>
      </c>
      <c r="AR30" s="19">
        <v>717100</v>
      </c>
      <c r="AS30" s="19">
        <v>3207700</v>
      </c>
      <c r="AT30" s="19">
        <v>5140850</v>
      </c>
      <c r="AU30" s="19">
        <v>5782450</v>
      </c>
      <c r="AV30" s="19">
        <v>7133800</v>
      </c>
      <c r="AW30" s="19">
        <v>7335900</v>
      </c>
      <c r="AX30" s="19">
        <v>8085250</v>
      </c>
      <c r="AY30" s="19">
        <v>7382372</v>
      </c>
      <c r="AZ30" s="19">
        <v>3215481</v>
      </c>
      <c r="BA30" s="19">
        <v>2186500</v>
      </c>
      <c r="BB30" s="19">
        <v>3137000</v>
      </c>
      <c r="BC30" s="19">
        <v>3894000</v>
      </c>
      <c r="BD30" s="19">
        <v>3641500</v>
      </c>
      <c r="BE30" s="19">
        <v>9579773</v>
      </c>
      <c r="BF30" s="19">
        <v>22354543</v>
      </c>
      <c r="BG30" s="19">
        <v>21870987</v>
      </c>
      <c r="BH30" s="19">
        <v>19278570</v>
      </c>
      <c r="BI30" s="19">
        <v>38535172</v>
      </c>
      <c r="BJ30" s="19">
        <v>27830145</v>
      </c>
      <c r="BK30" s="19">
        <v>20620772</v>
      </c>
      <c r="BL30" s="19">
        <v>24782013</v>
      </c>
      <c r="BM30" s="19">
        <v>13777054</v>
      </c>
      <c r="BN30" s="19">
        <v>10009150</v>
      </c>
      <c r="BO30" s="19">
        <v>23665114</v>
      </c>
      <c r="BP30" s="19">
        <v>20939550</v>
      </c>
      <c r="BQ30" s="19">
        <v>40102000</v>
      </c>
      <c r="BR30" s="19">
        <v>29544950</v>
      </c>
      <c r="BS30" s="19">
        <v>14730100</v>
      </c>
      <c r="BT30" s="19">
        <v>13619250</v>
      </c>
      <c r="BU30" s="19">
        <v>11203850</v>
      </c>
      <c r="BV30" s="19">
        <v>19317850</v>
      </c>
      <c r="BW30" s="19">
        <v>29902400</v>
      </c>
      <c r="BX30" s="19">
        <v>29714500</v>
      </c>
      <c r="BY30" s="19">
        <v>26753450</v>
      </c>
      <c r="BZ30" s="19">
        <v>21769400</v>
      </c>
      <c r="CA30" s="19">
        <v>25990900</v>
      </c>
      <c r="CB30" s="19">
        <v>20328450</v>
      </c>
      <c r="CC30" s="19">
        <v>58994450</v>
      </c>
      <c r="CD30" s="19">
        <v>38557250</v>
      </c>
      <c r="CE30" s="19">
        <v>23194800</v>
      </c>
      <c r="CF30" s="19">
        <v>42240100</v>
      </c>
      <c r="CG30" s="19">
        <v>29092821</v>
      </c>
      <c r="CH30" s="19">
        <v>25843501</v>
      </c>
      <c r="CI30" s="19">
        <v>32323050</v>
      </c>
      <c r="CJ30" s="19">
        <v>31197002</v>
      </c>
      <c r="CK30" s="19">
        <v>28311502</v>
      </c>
      <c r="CL30" s="19">
        <v>25270000</v>
      </c>
      <c r="CM30" s="19">
        <v>20161400</v>
      </c>
      <c r="CN30" s="19">
        <v>25464900</v>
      </c>
      <c r="CO30" s="19">
        <v>68950700</v>
      </c>
      <c r="CP30" s="19">
        <v>39962150</v>
      </c>
      <c r="CQ30" s="19">
        <v>31149890</v>
      </c>
      <c r="CR30" s="19">
        <v>50041829</v>
      </c>
      <c r="CS30" s="19">
        <v>42791552</v>
      </c>
      <c r="CT30" s="19">
        <v>48156755</v>
      </c>
      <c r="CU30" s="222"/>
      <c r="CV30" s="19">
        <f t="shared" si="5"/>
        <v>59179839</v>
      </c>
      <c r="CW30" s="19">
        <f t="shared" si="6"/>
        <v>54613814</v>
      </c>
      <c r="CX30" s="19">
        <f t="shared" si="7"/>
        <v>84377050</v>
      </c>
      <c r="CY30" s="19">
        <f t="shared" si="8"/>
        <v>44140950</v>
      </c>
      <c r="CZ30" s="19">
        <f t="shared" si="9"/>
        <v>86370350</v>
      </c>
      <c r="DA30" s="19">
        <f t="shared" si="10"/>
        <v>68088750</v>
      </c>
      <c r="DB30" s="19">
        <f t="shared" si="11"/>
        <v>120746500</v>
      </c>
      <c r="DC30" s="19">
        <f t="shared" si="12"/>
        <v>97176422</v>
      </c>
      <c r="DD30" s="19">
        <f t="shared" si="13"/>
        <v>91831554</v>
      </c>
      <c r="DE30" s="19">
        <f t="shared" si="14"/>
        <v>70896300</v>
      </c>
      <c r="DF30" s="19">
        <f t="shared" si="15"/>
        <v>140062740</v>
      </c>
      <c r="DG30" s="19">
        <f t="shared" si="16"/>
        <v>140990136</v>
      </c>
      <c r="DI30" s="19">
        <f t="shared" si="17"/>
        <v>242311653</v>
      </c>
      <c r="DJ30" s="19">
        <f t="shared" si="18"/>
        <v>372382022</v>
      </c>
      <c r="DK30" s="19">
        <f t="shared" si="19"/>
        <v>443780730</v>
      </c>
    </row>
    <row r="31" spans="2:115" x14ac:dyDescent="0.2">
      <c r="B31" s="229" t="s">
        <v>204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>
        <v>0</v>
      </c>
      <c r="AM31" s="19">
        <v>0</v>
      </c>
      <c r="AN31" s="19">
        <v>0</v>
      </c>
      <c r="AO31" s="19">
        <v>1353650</v>
      </c>
      <c r="AP31" s="19">
        <v>1756220</v>
      </c>
      <c r="AQ31" s="19">
        <v>2423450</v>
      </c>
      <c r="AR31" s="19">
        <v>1735202.5</v>
      </c>
      <c r="AS31" s="19">
        <v>4310261.3255249998</v>
      </c>
      <c r="AT31" s="19">
        <v>3355050</v>
      </c>
      <c r="AU31" s="19">
        <v>3813536.5</v>
      </c>
      <c r="AV31" s="19">
        <v>5678880</v>
      </c>
      <c r="AW31" s="19">
        <v>5789760</v>
      </c>
      <c r="AX31" s="19">
        <v>7333560</v>
      </c>
      <c r="AY31" s="19">
        <v>7152550</v>
      </c>
      <c r="AZ31" s="19">
        <v>5078780.5</v>
      </c>
      <c r="BA31" s="19">
        <v>1852900</v>
      </c>
      <c r="BB31" s="19">
        <v>1897685</v>
      </c>
      <c r="BC31" s="19">
        <v>2221130</v>
      </c>
      <c r="BD31" s="19">
        <v>2599335</v>
      </c>
      <c r="BE31" s="19">
        <v>7466835</v>
      </c>
      <c r="BF31" s="19">
        <v>3749239</v>
      </c>
      <c r="BG31" s="19">
        <v>3508835</v>
      </c>
      <c r="BH31" s="19">
        <v>3878499</v>
      </c>
      <c r="BI31" s="19">
        <v>4445680</v>
      </c>
      <c r="BJ31" s="19">
        <v>4031505</v>
      </c>
      <c r="BK31" s="19">
        <v>8272506.5301842103</v>
      </c>
      <c r="BL31" s="19">
        <v>7378104.6153880376</v>
      </c>
      <c r="BM31" s="19">
        <v>6958396.5991294561</v>
      </c>
      <c r="BN31" s="19">
        <v>5703042.2434332389</v>
      </c>
      <c r="BO31" s="19">
        <v>7433140.4594783559</v>
      </c>
      <c r="BP31" s="19">
        <v>9133834.7328955624</v>
      </c>
      <c r="BQ31" s="19">
        <v>11898665.428912023</v>
      </c>
      <c r="BR31" s="19">
        <v>10521544.058854798</v>
      </c>
      <c r="BS31" s="19">
        <v>8955881.5238221716</v>
      </c>
      <c r="BT31" s="19">
        <v>8626440.1494019534</v>
      </c>
      <c r="BU31" s="19">
        <v>9656228.1346810497</v>
      </c>
      <c r="BV31" s="19">
        <v>6926915.6019034134</v>
      </c>
      <c r="BW31" s="19">
        <v>6953673.8169515235</v>
      </c>
      <c r="BX31" s="19">
        <v>10057748.53151717</v>
      </c>
      <c r="BY31" s="19">
        <v>8252231.1653945874</v>
      </c>
      <c r="BZ31" s="19">
        <v>8230074.7466437109</v>
      </c>
      <c r="CA31" s="19">
        <v>7150728.3625588473</v>
      </c>
      <c r="CB31" s="19">
        <v>7673458.5615176335</v>
      </c>
      <c r="CC31" s="19">
        <v>10511932.889333628</v>
      </c>
      <c r="CD31" s="19">
        <v>8837671.8135191258</v>
      </c>
      <c r="CE31" s="19">
        <v>7579395.2586070523</v>
      </c>
      <c r="CF31" s="19">
        <v>8925544.0783447102</v>
      </c>
      <c r="CG31" s="19">
        <v>9422737.6128526218</v>
      </c>
      <c r="CH31" s="19">
        <v>8238349.7100732308</v>
      </c>
      <c r="CI31" s="19">
        <v>8422615.6894387528</v>
      </c>
      <c r="CJ31" s="19">
        <v>8117954.5549933268</v>
      </c>
      <c r="CK31" s="19">
        <v>7517503.2791649085</v>
      </c>
      <c r="CL31" s="19">
        <v>7577740.77859719</v>
      </c>
      <c r="CM31" s="19">
        <v>7372779.8203150621</v>
      </c>
      <c r="CN31" s="19">
        <v>14158013.945576701</v>
      </c>
      <c r="CO31" s="19">
        <v>13308629.555051317</v>
      </c>
      <c r="CP31" s="19">
        <v>12373661.070265725</v>
      </c>
      <c r="CQ31" s="19">
        <v>16292077.591000244</v>
      </c>
      <c r="CR31" s="19">
        <v>14554391.526402982</v>
      </c>
      <c r="CS31" s="19">
        <v>20371302.464780815</v>
      </c>
      <c r="CT31" s="19">
        <v>11231674.036963554</v>
      </c>
      <c r="CU31" s="222"/>
      <c r="CV31" s="19">
        <f t="shared" si="5"/>
        <v>22609007.744701706</v>
      </c>
      <c r="CW31" s="19">
        <f t="shared" si="6"/>
        <v>22270017.435807157</v>
      </c>
      <c r="CX31" s="19">
        <f t="shared" si="7"/>
        <v>31376091.011588991</v>
      </c>
      <c r="CY31" s="19">
        <f t="shared" si="8"/>
        <v>25209583.885986414</v>
      </c>
      <c r="CZ31" s="19">
        <f t="shared" si="9"/>
        <v>25263653.51386328</v>
      </c>
      <c r="DA31" s="19">
        <f t="shared" si="10"/>
        <v>23054261.67072019</v>
      </c>
      <c r="DB31" s="19">
        <f t="shared" si="11"/>
        <v>26928999.961459808</v>
      </c>
      <c r="DC31" s="19">
        <f t="shared" si="12"/>
        <v>26586631.401270561</v>
      </c>
      <c r="DD31" s="19">
        <f t="shared" si="13"/>
        <v>24058073.523596987</v>
      </c>
      <c r="DE31" s="19">
        <f t="shared" si="14"/>
        <v>29108534.544488952</v>
      </c>
      <c r="DF31" s="19">
        <f t="shared" si="15"/>
        <v>41974368.216317289</v>
      </c>
      <c r="DG31" s="19">
        <f t="shared" si="16"/>
        <v>46157368.028147347</v>
      </c>
      <c r="DI31" s="19">
        <f t="shared" si="17"/>
        <v>101464700.07808428</v>
      </c>
      <c r="DJ31" s="19">
        <f t="shared" si="18"/>
        <v>101833546.54731384</v>
      </c>
      <c r="DK31" s="19">
        <f t="shared" si="19"/>
        <v>141298344.31255057</v>
      </c>
    </row>
    <row r="32" spans="2:115" x14ac:dyDescent="0.2">
      <c r="B32" s="229" t="s">
        <v>297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>
        <v>539881</v>
      </c>
      <c r="BD32" s="19">
        <v>811277.28500000015</v>
      </c>
      <c r="BE32" s="19">
        <v>1286839.7008333332</v>
      </c>
      <c r="BF32" s="19">
        <v>1238194.5420512808</v>
      </c>
      <c r="BG32" s="19">
        <v>1281485.1235256402</v>
      </c>
      <c r="BH32" s="19">
        <v>1143789.3326282047</v>
      </c>
      <c r="BI32" s="19">
        <v>1314559.4833333329</v>
      </c>
      <c r="BJ32" s="19">
        <v>1229335.2501923074</v>
      </c>
      <c r="BK32" s="19">
        <v>1224622.606129053</v>
      </c>
      <c r="BL32" s="19">
        <v>1155172.9479155489</v>
      </c>
      <c r="BM32" s="19">
        <v>1175341.2169230767</v>
      </c>
      <c r="BN32" s="19">
        <v>1142639.4453205126</v>
      </c>
      <c r="BO32" s="19">
        <v>1244235.8062179482</v>
      </c>
      <c r="BP32" s="19">
        <v>1390594.5883333331</v>
      </c>
      <c r="BQ32" s="19">
        <v>1242487.2480128207</v>
      </c>
      <c r="BR32" s="19">
        <v>1319115.2462179489</v>
      </c>
      <c r="BS32" s="19">
        <v>1184923.8216666665</v>
      </c>
      <c r="BT32" s="19">
        <v>894661.15346153837</v>
      </c>
      <c r="BU32" s="19">
        <v>832248.15653846134</v>
      </c>
      <c r="BV32" s="19">
        <v>707255.60660256387</v>
      </c>
      <c r="BW32" s="19">
        <v>1658621.7142307691</v>
      </c>
      <c r="BX32" s="19">
        <v>1440440.088846154</v>
      </c>
      <c r="BY32" s="19">
        <v>1816569.0608333331</v>
      </c>
      <c r="BZ32" s="19">
        <v>2326148.9442948718</v>
      </c>
      <c r="CA32" s="19">
        <v>2468740.8300641025</v>
      </c>
      <c r="CB32" s="19">
        <v>3674484.958269231</v>
      </c>
      <c r="CC32" s="19">
        <v>3523692.6176282051</v>
      </c>
      <c r="CD32" s="19">
        <v>4066132.913461538</v>
      </c>
      <c r="CE32" s="19">
        <v>3675267.6167948763</v>
      </c>
      <c r="CF32" s="19">
        <v>3253862.7261538459</v>
      </c>
      <c r="CG32" s="19">
        <v>3433380.6333974358</v>
      </c>
      <c r="CH32" s="19">
        <v>3427662.3948717951</v>
      </c>
      <c r="CI32" s="19">
        <v>3314765.168333333</v>
      </c>
      <c r="CJ32" s="19">
        <v>3968346.0000000028</v>
      </c>
      <c r="CK32" s="19">
        <v>4087020.8391666668</v>
      </c>
      <c r="CL32" s="19">
        <v>4027919.0446153851</v>
      </c>
      <c r="CM32" s="19">
        <v>4260717.04</v>
      </c>
      <c r="CN32" s="19">
        <v>4369968.7112820512</v>
      </c>
      <c r="CO32" s="19">
        <v>4759447.3854487184</v>
      </c>
      <c r="CP32" s="19">
        <v>5973959.6799999997</v>
      </c>
      <c r="CQ32" s="19">
        <v>5238195.7680128198</v>
      </c>
      <c r="CR32" s="19">
        <v>5275453.0188461542</v>
      </c>
      <c r="CS32" s="19">
        <v>8506736.9721794873</v>
      </c>
      <c r="CT32" s="19">
        <v>9335706.6805128213</v>
      </c>
      <c r="CU32" s="222"/>
      <c r="CV32" s="19">
        <f t="shared" si="5"/>
        <v>3555136.7709676786</v>
      </c>
      <c r="CW32" s="19">
        <f t="shared" si="6"/>
        <v>3777469.839871794</v>
      </c>
      <c r="CX32" s="19">
        <f t="shared" si="7"/>
        <v>3746526.3158974359</v>
      </c>
      <c r="CY32" s="19">
        <f t="shared" si="8"/>
        <v>2434164.9166025636</v>
      </c>
      <c r="CZ32" s="19">
        <f t="shared" si="9"/>
        <v>4915630.863910256</v>
      </c>
      <c r="DA32" s="19">
        <f t="shared" si="10"/>
        <v>8469374.7326282058</v>
      </c>
      <c r="DB32" s="19">
        <f t="shared" si="11"/>
        <v>11265093.14788462</v>
      </c>
      <c r="DC32" s="19">
        <f t="shared" si="12"/>
        <v>10114905.754423076</v>
      </c>
      <c r="DD32" s="19">
        <f t="shared" si="13"/>
        <v>11370132.007500002</v>
      </c>
      <c r="DE32" s="19">
        <f t="shared" si="14"/>
        <v>12658604.795897435</v>
      </c>
      <c r="DF32" s="19">
        <f t="shared" si="15"/>
        <v>15971602.833461538</v>
      </c>
      <c r="DG32" s="19">
        <f t="shared" si="16"/>
        <v>23117896.671538465</v>
      </c>
      <c r="DI32" s="19">
        <f t="shared" si="17"/>
        <v>13513297.843339473</v>
      </c>
      <c r="DJ32" s="19">
        <f t="shared" si="18"/>
        <v>34765004.498846158</v>
      </c>
      <c r="DK32" s="19">
        <f t="shared" si="19"/>
        <v>63118236.308397442</v>
      </c>
    </row>
    <row r="33" spans="2:115" x14ac:dyDescent="0.2">
      <c r="B33" s="226" t="s">
        <v>296</v>
      </c>
      <c r="C33" s="19">
        <f>C28/C7</f>
        <v>8447.7478578066912</v>
      </c>
      <c r="D33" s="19">
        <f t="shared" ref="D33:BO33" si="28">D28/D7</f>
        <v>6072.1561115454779</v>
      </c>
      <c r="E33" s="19">
        <f t="shared" si="28"/>
        <v>4269.0860797918476</v>
      </c>
      <c r="F33" s="19">
        <f t="shared" si="28"/>
        <v>3774.7877829560584</v>
      </c>
      <c r="G33" s="19">
        <f t="shared" si="28"/>
        <v>3905.8633413050907</v>
      </c>
      <c r="H33" s="19">
        <f t="shared" si="28"/>
        <v>3617.5429760489214</v>
      </c>
      <c r="I33" s="19">
        <f t="shared" si="28"/>
        <v>2900.7800246698589</v>
      </c>
      <c r="J33" s="19">
        <f t="shared" si="28"/>
        <v>2904.813794755119</v>
      </c>
      <c r="K33" s="19">
        <f t="shared" si="28"/>
        <v>3413.4684290030209</v>
      </c>
      <c r="L33" s="19">
        <f t="shared" si="28"/>
        <v>3648.5356185155629</v>
      </c>
      <c r="M33" s="19">
        <f t="shared" si="28"/>
        <v>3895.6770191173</v>
      </c>
      <c r="N33" s="19">
        <f t="shared" si="28"/>
        <v>4859.6003989928331</v>
      </c>
      <c r="O33" s="19">
        <f t="shared" si="28"/>
        <v>3872.0770695160895</v>
      </c>
      <c r="P33" s="19">
        <f t="shared" si="28"/>
        <v>4675.7755055147063</v>
      </c>
      <c r="Q33" s="19">
        <f t="shared" si="28"/>
        <v>4423.653775803501</v>
      </c>
      <c r="R33" s="19">
        <f t="shared" si="28"/>
        <v>4341.3858763400649</v>
      </c>
      <c r="S33" s="19">
        <f t="shared" si="28"/>
        <v>4434.9760986442261</v>
      </c>
      <c r="T33" s="19">
        <f t="shared" si="28"/>
        <v>4021.3393088203579</v>
      </c>
      <c r="U33" s="19">
        <f t="shared" si="28"/>
        <v>3667.3940773751856</v>
      </c>
      <c r="V33" s="19">
        <f t="shared" si="28"/>
        <v>3847.3640983812274</v>
      </c>
      <c r="W33" s="19">
        <f t="shared" si="28"/>
        <v>3804.4886718749999</v>
      </c>
      <c r="X33" s="19">
        <f t="shared" si="28"/>
        <v>3520.0727042610042</v>
      </c>
      <c r="Y33" s="19">
        <f t="shared" si="28"/>
        <v>2468.3383947939265</v>
      </c>
      <c r="Z33" s="19">
        <f t="shared" si="28"/>
        <v>4665.2044379774461</v>
      </c>
      <c r="AA33" s="19">
        <f t="shared" si="28"/>
        <v>4773.41</v>
      </c>
      <c r="AB33" s="19">
        <f t="shared" si="28"/>
        <v>8297.6162046908321</v>
      </c>
      <c r="AC33" s="19">
        <f t="shared" si="28"/>
        <v>4947.940933985331</v>
      </c>
      <c r="AD33" s="19">
        <f t="shared" si="28"/>
        <v>6334.732954545455</v>
      </c>
      <c r="AE33" s="19">
        <f t="shared" si="28"/>
        <v>5992.9729354614847</v>
      </c>
      <c r="AF33" s="19">
        <f t="shared" si="28"/>
        <v>8344.6726966764836</v>
      </c>
      <c r="AG33" s="19">
        <f t="shared" si="28"/>
        <v>8179.5752223219388</v>
      </c>
      <c r="AH33" s="19">
        <f t="shared" si="28"/>
        <v>11186.844024725275</v>
      </c>
      <c r="AI33" s="19">
        <f t="shared" si="28"/>
        <v>8377.0238254783708</v>
      </c>
      <c r="AJ33" s="19">
        <f t="shared" si="28"/>
        <v>8922.7270911462583</v>
      </c>
      <c r="AK33" s="19">
        <f t="shared" si="28"/>
        <v>10192.824209323002</v>
      </c>
      <c r="AL33" s="19">
        <f t="shared" si="28"/>
        <v>8950.2085078132986</v>
      </c>
      <c r="AM33" s="19">
        <f t="shared" si="28"/>
        <v>8373.7368050352161</v>
      </c>
      <c r="AN33" s="19">
        <f t="shared" si="28"/>
        <v>7056.8032276015583</v>
      </c>
      <c r="AO33" s="19">
        <f t="shared" si="28"/>
        <v>6387.7278439274587</v>
      </c>
      <c r="AP33" s="19">
        <f t="shared" si="28"/>
        <v>6287.6169612685208</v>
      </c>
      <c r="AQ33" s="19">
        <f t="shared" si="28"/>
        <v>6591.6128684676369</v>
      </c>
      <c r="AR33" s="19">
        <f t="shared" si="28"/>
        <v>6558.1311394687573</v>
      </c>
      <c r="AS33" s="19">
        <f t="shared" si="28"/>
        <v>8333.7974418709982</v>
      </c>
      <c r="AT33" s="19">
        <f t="shared" si="28"/>
        <v>8709.0722445081174</v>
      </c>
      <c r="AU33" s="19">
        <f t="shared" si="28"/>
        <v>9089.7695344420772</v>
      </c>
      <c r="AV33" s="19">
        <f t="shared" si="28"/>
        <v>8853.6249375792268</v>
      </c>
      <c r="AW33" s="19">
        <f t="shared" si="28"/>
        <v>8809.3692450471608</v>
      </c>
      <c r="AX33" s="19">
        <f t="shared" si="28"/>
        <v>9232.5532347504613</v>
      </c>
      <c r="AY33" s="19">
        <f t="shared" si="28"/>
        <v>9465.8673257185419</v>
      </c>
      <c r="AZ33" s="19">
        <f t="shared" si="28"/>
        <v>6357.0875832676738</v>
      </c>
      <c r="BA33" s="19">
        <f t="shared" si="28"/>
        <v>8108.5009367681496</v>
      </c>
      <c r="BB33" s="19">
        <f t="shared" si="28"/>
        <v>5401.8024449594441</v>
      </c>
      <c r="BC33" s="19">
        <f t="shared" si="28"/>
        <v>5601.2086462074221</v>
      </c>
      <c r="BD33" s="19">
        <f t="shared" si="28"/>
        <v>8939.2107258551678</v>
      </c>
      <c r="BE33" s="19">
        <f t="shared" si="28"/>
        <v>9063.2458074298556</v>
      </c>
      <c r="BF33" s="19">
        <f t="shared" si="28"/>
        <v>11802.850193193699</v>
      </c>
      <c r="BG33" s="19">
        <f t="shared" si="28"/>
        <v>12314.652218878686</v>
      </c>
      <c r="BH33" s="19">
        <f t="shared" si="28"/>
        <v>10376.801321481482</v>
      </c>
      <c r="BI33" s="19">
        <f t="shared" si="28"/>
        <v>13047.516524948267</v>
      </c>
      <c r="BJ33" s="19">
        <f t="shared" si="28"/>
        <v>11620.909651845812</v>
      </c>
      <c r="BK33" s="19">
        <f t="shared" si="28"/>
        <v>10950.382858433648</v>
      </c>
      <c r="BL33" s="19">
        <f t="shared" si="28"/>
        <v>10699.145315325033</v>
      </c>
      <c r="BM33" s="19">
        <f t="shared" si="28"/>
        <v>9580.6802015106332</v>
      </c>
      <c r="BN33" s="19">
        <f t="shared" si="28"/>
        <v>10057.18786649546</v>
      </c>
      <c r="BO33" s="19">
        <f t="shared" si="28"/>
        <v>10721.19904056105</v>
      </c>
      <c r="BP33" s="19">
        <f t="shared" ref="BP33:CT33" si="29">BP28/BP7</f>
        <v>13781.337259755943</v>
      </c>
      <c r="BQ33" s="19">
        <f t="shared" si="29"/>
        <v>13763.423272410559</v>
      </c>
      <c r="BR33" s="19">
        <f t="shared" si="29"/>
        <v>13760.706654234924</v>
      </c>
      <c r="BS33" s="19">
        <f t="shared" si="29"/>
        <v>13372.512281765841</v>
      </c>
      <c r="BT33" s="19">
        <f t="shared" si="29"/>
        <v>13228.131044402722</v>
      </c>
      <c r="BU33" s="19">
        <f t="shared" si="29"/>
        <v>11752.487666818739</v>
      </c>
      <c r="BV33" s="19">
        <f t="shared" si="29"/>
        <v>14017.716554492003</v>
      </c>
      <c r="BW33" s="19">
        <f t="shared" si="29"/>
        <v>12878.583279921042</v>
      </c>
      <c r="BX33" s="19">
        <f t="shared" si="29"/>
        <v>12040.090451485963</v>
      </c>
      <c r="BY33" s="19">
        <f t="shared" si="29"/>
        <v>11667.568316848166</v>
      </c>
      <c r="BZ33" s="19">
        <f t="shared" si="29"/>
        <v>12433.426133975538</v>
      </c>
      <c r="CA33" s="19">
        <f t="shared" si="29"/>
        <v>12440.246877462998</v>
      </c>
      <c r="CB33" s="19">
        <f t="shared" si="29"/>
        <v>15769.128092739173</v>
      </c>
      <c r="CC33" s="19">
        <f t="shared" si="29"/>
        <v>16564.988129134163</v>
      </c>
      <c r="CD33" s="19">
        <f t="shared" si="29"/>
        <v>16284.503861567704</v>
      </c>
      <c r="CE33" s="19">
        <f t="shared" si="29"/>
        <v>16179.027917028503</v>
      </c>
      <c r="CF33" s="19">
        <f t="shared" si="29"/>
        <v>15345.692690326945</v>
      </c>
      <c r="CG33" s="19">
        <f t="shared" si="29"/>
        <v>16752.252804041647</v>
      </c>
      <c r="CH33" s="19">
        <f t="shared" si="29"/>
        <v>15199.569008831808</v>
      </c>
      <c r="CI33" s="19">
        <f t="shared" si="29"/>
        <v>14357.575171843577</v>
      </c>
      <c r="CJ33" s="19">
        <f t="shared" si="29"/>
        <v>15190.6088934823</v>
      </c>
      <c r="CK33" s="19">
        <f t="shared" si="29"/>
        <v>13661.400806610049</v>
      </c>
      <c r="CL33" s="19">
        <f t="shared" si="29"/>
        <v>12305.790430000367</v>
      </c>
      <c r="CM33" s="19">
        <f t="shared" si="29"/>
        <v>11079.781846505955</v>
      </c>
      <c r="CN33" s="19">
        <f t="shared" si="29"/>
        <v>15479.125388561961</v>
      </c>
      <c r="CO33" s="19">
        <f t="shared" si="29"/>
        <v>17236.645043166347</v>
      </c>
      <c r="CP33" s="19">
        <f t="shared" si="29"/>
        <v>16857.283450584589</v>
      </c>
      <c r="CQ33" s="19">
        <f t="shared" si="29"/>
        <v>15890.739485836411</v>
      </c>
      <c r="CR33" s="19">
        <f t="shared" si="29"/>
        <v>16153.92354199084</v>
      </c>
      <c r="CS33" s="19">
        <f t="shared" si="29"/>
        <v>18196.707315232794</v>
      </c>
      <c r="CT33" s="19">
        <f t="shared" si="29"/>
        <v>17197.393169239116</v>
      </c>
      <c r="CU33" s="222"/>
      <c r="CV33" s="19">
        <f t="shared" si="5"/>
        <v>31230.208375269314</v>
      </c>
      <c r="CW33" s="19">
        <f t="shared" si="6"/>
        <v>34559.724166812455</v>
      </c>
      <c r="CX33" s="19">
        <f t="shared" si="7"/>
        <v>40896.642208411322</v>
      </c>
      <c r="CY33" s="19">
        <f t="shared" si="8"/>
        <v>38998.335265713467</v>
      </c>
      <c r="CZ33" s="19">
        <f t="shared" si="9"/>
        <v>36586.242048255168</v>
      </c>
      <c r="DA33" s="19">
        <f t="shared" si="10"/>
        <v>40642.801104177706</v>
      </c>
      <c r="DB33" s="19">
        <f t="shared" si="11"/>
        <v>49028.51990773037</v>
      </c>
      <c r="DC33" s="19">
        <f t="shared" si="12"/>
        <v>47297.5145032004</v>
      </c>
      <c r="DD33" s="19">
        <f t="shared" si="13"/>
        <v>43209.584871935927</v>
      </c>
      <c r="DE33" s="19">
        <f t="shared" si="14"/>
        <v>38864.697665068285</v>
      </c>
      <c r="DF33" s="19">
        <f t="shared" si="15"/>
        <v>49984.66797958735</v>
      </c>
      <c r="DG33" s="19">
        <f t="shared" si="16"/>
        <v>51548.02402646275</v>
      </c>
      <c r="DI33" s="19">
        <f t="shared" si="17"/>
        <v>145684.91001620656</v>
      </c>
      <c r="DJ33" s="19">
        <f t="shared" si="18"/>
        <v>173555.07756336365</v>
      </c>
      <c r="DK33" s="19">
        <f t="shared" si="19"/>
        <v>183606.9745430543</v>
      </c>
    </row>
    <row r="34" spans="2:115" x14ac:dyDescent="0.2">
      <c r="B34" s="228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222"/>
      <c r="CV34" s="10">
        <f t="shared" si="5"/>
        <v>0</v>
      </c>
      <c r="CW34" s="10">
        <f t="shared" si="6"/>
        <v>0</v>
      </c>
      <c r="CX34" s="10">
        <f t="shared" si="7"/>
        <v>0</v>
      </c>
      <c r="CY34" s="10">
        <f t="shared" si="8"/>
        <v>0</v>
      </c>
      <c r="CZ34" s="10">
        <f t="shared" si="9"/>
        <v>0</v>
      </c>
      <c r="DA34" s="10">
        <f t="shared" si="10"/>
        <v>0</v>
      </c>
      <c r="DB34" s="10">
        <f t="shared" si="11"/>
        <v>0</v>
      </c>
      <c r="DC34" s="10">
        <f t="shared" si="12"/>
        <v>0</v>
      </c>
      <c r="DD34" s="10">
        <f t="shared" si="13"/>
        <v>0</v>
      </c>
      <c r="DE34" s="10">
        <f t="shared" si="14"/>
        <v>0</v>
      </c>
      <c r="DF34" s="10">
        <f t="shared" si="15"/>
        <v>0</v>
      </c>
      <c r="DG34" s="10">
        <f t="shared" si="16"/>
        <v>0</v>
      </c>
      <c r="DI34" s="10">
        <f t="shared" si="17"/>
        <v>0</v>
      </c>
      <c r="DJ34" s="10">
        <f t="shared" si="18"/>
        <v>0</v>
      </c>
      <c r="DK34" s="10">
        <f t="shared" si="19"/>
        <v>0</v>
      </c>
    </row>
    <row r="35" spans="2:115" x14ac:dyDescent="0.2">
      <c r="B35" s="227" t="s">
        <v>298</v>
      </c>
      <c r="C35" s="158">
        <f>SUM(C36:C40)</f>
        <v>1704825.4285714286</v>
      </c>
      <c r="D35" s="158">
        <f t="shared" ref="D35:BO35" si="30">SUM(D36:D40)</f>
        <v>1577826.1428571427</v>
      </c>
      <c r="E35" s="158">
        <f t="shared" si="30"/>
        <v>2157851</v>
      </c>
      <c r="F35" s="158">
        <f t="shared" si="30"/>
        <v>3658337.1428571427</v>
      </c>
      <c r="G35" s="158">
        <f t="shared" si="30"/>
        <v>7116885.4285714282</v>
      </c>
      <c r="H35" s="158">
        <f t="shared" si="30"/>
        <v>12713121.142857142</v>
      </c>
      <c r="I35" s="158">
        <f t="shared" si="30"/>
        <v>10554345.285714285</v>
      </c>
      <c r="J35" s="158">
        <f t="shared" si="30"/>
        <v>12904055.460000001</v>
      </c>
      <c r="K35" s="158">
        <f t="shared" si="30"/>
        <v>13339823.142857142</v>
      </c>
      <c r="L35" s="158">
        <f t="shared" si="30"/>
        <v>18300204.801428571</v>
      </c>
      <c r="M35" s="158">
        <f t="shared" si="30"/>
        <v>12128850.368571427</v>
      </c>
      <c r="N35" s="158">
        <f t="shared" si="30"/>
        <v>19884354.857142858</v>
      </c>
      <c r="O35" s="158">
        <f t="shared" si="30"/>
        <v>24611177.394285716</v>
      </c>
      <c r="P35" s="158">
        <f t="shared" si="30"/>
        <v>34386165.251428574</v>
      </c>
      <c r="Q35" s="158">
        <f t="shared" si="30"/>
        <v>42017605.835714281</v>
      </c>
      <c r="R35" s="158">
        <f t="shared" si="30"/>
        <v>41048102.18</v>
      </c>
      <c r="S35" s="158">
        <f t="shared" si="30"/>
        <v>39527763.18</v>
      </c>
      <c r="T35" s="158">
        <f t="shared" si="30"/>
        <v>38000949</v>
      </c>
      <c r="U35" s="158">
        <f t="shared" si="30"/>
        <v>58153044</v>
      </c>
      <c r="V35" s="158">
        <f t="shared" si="30"/>
        <v>37998175</v>
      </c>
      <c r="W35" s="158">
        <f t="shared" si="30"/>
        <v>34731366</v>
      </c>
      <c r="X35" s="158">
        <f t="shared" si="30"/>
        <v>41539536.43</v>
      </c>
      <c r="Y35" s="158">
        <f t="shared" si="30"/>
        <v>43363700.963333331</v>
      </c>
      <c r="Z35" s="158">
        <f t="shared" si="30"/>
        <v>31021390.950952381</v>
      </c>
      <c r="AA35" s="158">
        <f t="shared" si="30"/>
        <v>6136779.0250000004</v>
      </c>
      <c r="AB35" s="158">
        <f t="shared" si="30"/>
        <v>7768673.0200000005</v>
      </c>
      <c r="AC35" s="158">
        <f t="shared" si="30"/>
        <v>7280398.7914285697</v>
      </c>
      <c r="AD35" s="158">
        <f t="shared" si="30"/>
        <v>13702286.055119049</v>
      </c>
      <c r="AE35" s="158">
        <f t="shared" si="30"/>
        <v>20141510.191428572</v>
      </c>
      <c r="AF35" s="158">
        <f t="shared" si="30"/>
        <v>27336577.317499999</v>
      </c>
      <c r="AG35" s="158">
        <f t="shared" si="30"/>
        <v>37183851.399999999</v>
      </c>
      <c r="AH35" s="158">
        <f t="shared" si="30"/>
        <v>41964140.659999996</v>
      </c>
      <c r="AI35" s="158">
        <f t="shared" si="30"/>
        <v>46407285.928333335</v>
      </c>
      <c r="AJ35" s="158">
        <f t="shared" si="30"/>
        <v>46213168.125</v>
      </c>
      <c r="AK35" s="158">
        <f t="shared" si="30"/>
        <v>52353682.809807688</v>
      </c>
      <c r="AL35" s="158">
        <f t="shared" si="30"/>
        <v>36582278.474935897</v>
      </c>
      <c r="AM35" s="158">
        <f t="shared" si="30"/>
        <v>23024627.48326923</v>
      </c>
      <c r="AN35" s="158">
        <f t="shared" si="30"/>
        <v>3330363.6494871802</v>
      </c>
      <c r="AO35" s="158">
        <f t="shared" si="30"/>
        <v>9329465.3293589745</v>
      </c>
      <c r="AP35" s="158">
        <f t="shared" si="30"/>
        <v>18196396.275448721</v>
      </c>
      <c r="AQ35" s="158">
        <f t="shared" si="30"/>
        <v>29489863.511217952</v>
      </c>
      <c r="AR35" s="158">
        <f t="shared" si="30"/>
        <v>36677668.094423078</v>
      </c>
      <c r="AS35" s="158">
        <f t="shared" si="30"/>
        <v>55113187.320576921</v>
      </c>
      <c r="AT35" s="158">
        <f t="shared" si="30"/>
        <v>47724414.032692306</v>
      </c>
      <c r="AU35" s="158">
        <f t="shared" si="30"/>
        <v>60264595.563782051</v>
      </c>
      <c r="AV35" s="158">
        <f t="shared" si="30"/>
        <v>62543982.328076921</v>
      </c>
      <c r="AW35" s="158">
        <f t="shared" si="30"/>
        <v>62573402.507756412</v>
      </c>
      <c r="AX35" s="158">
        <f t="shared" si="30"/>
        <v>67532453.575448722</v>
      </c>
      <c r="AY35" s="158">
        <f t="shared" si="30"/>
        <v>73664110.396346152</v>
      </c>
      <c r="AZ35" s="158">
        <f t="shared" si="30"/>
        <v>48646596.398910254</v>
      </c>
      <c r="BA35" s="158">
        <f t="shared" si="30"/>
        <v>68976241.882179499</v>
      </c>
      <c r="BB35" s="158">
        <f t="shared" si="30"/>
        <v>80576175.23641026</v>
      </c>
      <c r="BC35" s="158">
        <f t="shared" si="30"/>
        <v>98998374.263076931</v>
      </c>
      <c r="BD35" s="158">
        <f t="shared" si="30"/>
        <v>116089780.70096155</v>
      </c>
      <c r="BE35" s="158">
        <f t="shared" si="30"/>
        <v>127955065.33423077</v>
      </c>
      <c r="BF35" s="158">
        <f t="shared" si="30"/>
        <v>94218680</v>
      </c>
      <c r="BG35" s="158">
        <f t="shared" si="30"/>
        <v>79191359</v>
      </c>
      <c r="BH35" s="158">
        <f t="shared" si="30"/>
        <v>86846140</v>
      </c>
      <c r="BI35" s="158">
        <f t="shared" si="30"/>
        <v>108374920</v>
      </c>
      <c r="BJ35" s="158">
        <f t="shared" si="30"/>
        <v>119670990</v>
      </c>
      <c r="BK35" s="158">
        <f t="shared" si="30"/>
        <v>109005730</v>
      </c>
      <c r="BL35" s="158">
        <f t="shared" si="30"/>
        <v>106547140</v>
      </c>
      <c r="BM35" s="158">
        <f t="shared" si="30"/>
        <v>101888080</v>
      </c>
      <c r="BN35" s="158">
        <f t="shared" si="30"/>
        <v>131501670</v>
      </c>
      <c r="BO35" s="158">
        <f t="shared" si="30"/>
        <v>149529910</v>
      </c>
      <c r="BP35" s="158">
        <f t="shared" ref="BP35:CT35" si="31">SUM(BP36:BP40)</f>
        <v>103010180</v>
      </c>
      <c r="BQ35" s="158">
        <f t="shared" si="31"/>
        <v>131340270</v>
      </c>
      <c r="BR35" s="158">
        <f t="shared" si="31"/>
        <v>126903700</v>
      </c>
      <c r="BS35" s="158">
        <f t="shared" si="31"/>
        <v>68686530</v>
      </c>
      <c r="BT35" s="158">
        <f t="shared" si="31"/>
        <v>34765810</v>
      </c>
      <c r="BU35" s="158">
        <f t="shared" si="31"/>
        <v>55096610</v>
      </c>
      <c r="BV35" s="158">
        <f t="shared" si="31"/>
        <v>83626490</v>
      </c>
      <c r="BW35" s="158">
        <f t="shared" si="31"/>
        <v>93413770</v>
      </c>
      <c r="BX35" s="158">
        <f t="shared" si="31"/>
        <v>102189770</v>
      </c>
      <c r="BY35" s="158">
        <f t="shared" si="31"/>
        <v>109865450</v>
      </c>
      <c r="BZ35" s="158">
        <f t="shared" si="31"/>
        <v>120828750</v>
      </c>
      <c r="CA35" s="158">
        <f t="shared" si="31"/>
        <v>117985630</v>
      </c>
      <c r="CB35" s="158">
        <f t="shared" si="31"/>
        <v>103123990</v>
      </c>
      <c r="CC35" s="158">
        <f t="shared" si="31"/>
        <v>143069280</v>
      </c>
      <c r="CD35" s="158">
        <f t="shared" si="31"/>
        <v>134808431</v>
      </c>
      <c r="CE35" s="158">
        <f t="shared" si="31"/>
        <v>150118544</v>
      </c>
      <c r="CF35" s="158">
        <f t="shared" si="31"/>
        <v>174522643</v>
      </c>
      <c r="CG35" s="158">
        <f t="shared" si="31"/>
        <v>137956510</v>
      </c>
      <c r="CH35" s="158">
        <f t="shared" si="31"/>
        <v>168474247</v>
      </c>
      <c r="CI35" s="158">
        <f t="shared" si="31"/>
        <v>146449500</v>
      </c>
      <c r="CJ35" s="158">
        <f t="shared" si="31"/>
        <v>154020584</v>
      </c>
      <c r="CK35" s="158">
        <f t="shared" si="31"/>
        <v>163188370</v>
      </c>
      <c r="CL35" s="158">
        <f t="shared" si="31"/>
        <v>178182070</v>
      </c>
      <c r="CM35" s="158">
        <f t="shared" si="31"/>
        <v>163567840</v>
      </c>
      <c r="CN35" s="158">
        <f t="shared" si="31"/>
        <v>197360900</v>
      </c>
      <c r="CO35" s="158">
        <f t="shared" si="31"/>
        <v>271584890</v>
      </c>
      <c r="CP35" s="158">
        <f t="shared" si="31"/>
        <v>234384163</v>
      </c>
      <c r="CQ35" s="158">
        <f t="shared" si="31"/>
        <v>283648186.39559829</v>
      </c>
      <c r="CR35" s="158">
        <f t="shared" si="31"/>
        <v>277671506</v>
      </c>
      <c r="CS35" s="158">
        <f t="shared" si="31"/>
        <v>257588071.43394676</v>
      </c>
      <c r="CT35" s="158">
        <f t="shared" si="31"/>
        <v>315862462</v>
      </c>
      <c r="CU35" s="222"/>
      <c r="CV35" s="158">
        <f t="shared" ref="CV35:CV57" si="32">SUM(BK35:BM35)</f>
        <v>317440950</v>
      </c>
      <c r="CW35" s="158">
        <f t="shared" ref="CW35:CW57" si="33">SUM(BN35:BP35)</f>
        <v>384041760</v>
      </c>
      <c r="CX35" s="158">
        <f t="shared" ref="CX35:CX57" si="34">SUM(BQ35:BS35)</f>
        <v>326930500</v>
      </c>
      <c r="CY35" s="158">
        <f t="shared" ref="CY35:CY57" si="35">SUM(BT35:BV35)</f>
        <v>173488910</v>
      </c>
      <c r="CZ35" s="158">
        <f t="shared" ref="CZ35:CZ57" si="36">SUM(BW35:BY35)</f>
        <v>305468990</v>
      </c>
      <c r="DA35" s="158">
        <f t="shared" ref="DA35:DA57" si="37">SUM(BZ35:CB35)</f>
        <v>341938370</v>
      </c>
      <c r="DB35" s="158">
        <f t="shared" ref="DB35:DB57" si="38">SUM(CC35:CE35)</f>
        <v>427996255</v>
      </c>
      <c r="DC35" s="158">
        <f t="shared" ref="DC35:DC57" si="39">SUM(CF35:CH35)</f>
        <v>480953400</v>
      </c>
      <c r="DD35" s="158">
        <f t="shared" ref="DD35:DD57" si="40">SUM(CI35:CK35)</f>
        <v>463658454</v>
      </c>
      <c r="DE35" s="158">
        <f t="shared" ref="DE35:DE57" si="41">SUM(CL35:CN35)</f>
        <v>539110810</v>
      </c>
      <c r="DF35" s="158">
        <f t="shared" ref="DF35:DF57" si="42">SUM(CO35:CQ35)</f>
        <v>789617239.39559829</v>
      </c>
      <c r="DG35" s="158">
        <f t="shared" ref="DG35:DG57" si="43">SUM(CR35:CT35)</f>
        <v>851122039.43394673</v>
      </c>
      <c r="DI35" s="158">
        <f t="shared" si="17"/>
        <v>1201902120</v>
      </c>
      <c r="DJ35" s="158">
        <f t="shared" si="18"/>
        <v>1556357015</v>
      </c>
      <c r="DK35" s="158">
        <f t="shared" si="19"/>
        <v>2643508542.829545</v>
      </c>
    </row>
    <row r="36" spans="2:115" x14ac:dyDescent="0.2">
      <c r="B36" s="225" t="s">
        <v>19</v>
      </c>
      <c r="C36" s="19">
        <v>253950</v>
      </c>
      <c r="D36" s="19">
        <v>280050</v>
      </c>
      <c r="E36" s="19">
        <v>807600</v>
      </c>
      <c r="F36" s="19">
        <v>1896100</v>
      </c>
      <c r="G36" s="19">
        <v>4345750</v>
      </c>
      <c r="H36" s="19">
        <v>9904900</v>
      </c>
      <c r="I36" s="19">
        <v>7854117</v>
      </c>
      <c r="J36" s="19">
        <v>9941300</v>
      </c>
      <c r="K36" s="19">
        <v>10097100</v>
      </c>
      <c r="L36" s="19">
        <v>14285500</v>
      </c>
      <c r="M36" s="19">
        <v>8414540</v>
      </c>
      <c r="N36" s="19">
        <v>14744165</v>
      </c>
      <c r="O36" s="19">
        <v>18825090</v>
      </c>
      <c r="P36" s="19">
        <v>28021520</v>
      </c>
      <c r="Q36" s="19">
        <v>34334646</v>
      </c>
      <c r="R36" s="19">
        <v>34196300</v>
      </c>
      <c r="S36" s="19">
        <v>33823020</v>
      </c>
      <c r="T36" s="19">
        <v>32252882</v>
      </c>
      <c r="U36" s="19">
        <v>51665156</v>
      </c>
      <c r="V36" s="19">
        <v>31672908</v>
      </c>
      <c r="W36" s="19">
        <v>28311547</v>
      </c>
      <c r="X36" s="19">
        <v>34687752</v>
      </c>
      <c r="Y36" s="19">
        <v>36214500</v>
      </c>
      <c r="Z36" s="19">
        <v>24378150</v>
      </c>
      <c r="AA36" s="19">
        <v>202230</v>
      </c>
      <c r="AB36" s="19">
        <v>1959470</v>
      </c>
      <c r="AC36" s="19">
        <v>4141290</v>
      </c>
      <c r="AD36" s="19">
        <v>11015930</v>
      </c>
      <c r="AE36" s="19">
        <v>17443490</v>
      </c>
      <c r="AF36" s="19">
        <v>24066430</v>
      </c>
      <c r="AG36" s="19">
        <v>33746170</v>
      </c>
      <c r="AH36" s="19">
        <v>37906070</v>
      </c>
      <c r="AI36" s="19">
        <v>42231770</v>
      </c>
      <c r="AJ36" s="19">
        <v>41006280</v>
      </c>
      <c r="AK36" s="19">
        <v>46891180</v>
      </c>
      <c r="AL36" s="19">
        <v>32330250</v>
      </c>
      <c r="AM36" s="19">
        <v>19247840</v>
      </c>
      <c r="AN36" s="19">
        <v>0</v>
      </c>
      <c r="AO36" s="19">
        <v>5670740</v>
      </c>
      <c r="AP36" s="19">
        <v>15518259</v>
      </c>
      <c r="AQ36" s="19">
        <v>26017507</v>
      </c>
      <c r="AR36" s="19">
        <v>33007582</v>
      </c>
      <c r="AS36" s="19">
        <v>51521873</v>
      </c>
      <c r="AT36" s="19">
        <v>44509158</v>
      </c>
      <c r="AU36" s="19">
        <v>56570070</v>
      </c>
      <c r="AV36" s="19">
        <v>59096680</v>
      </c>
      <c r="AW36" s="19">
        <v>59269210</v>
      </c>
      <c r="AX36" s="19">
        <v>64345850</v>
      </c>
      <c r="AY36" s="19">
        <v>70694510</v>
      </c>
      <c r="AZ36" s="19">
        <v>46112640</v>
      </c>
      <c r="BA36" s="19">
        <v>66068110</v>
      </c>
      <c r="BB36" s="19">
        <v>77700470</v>
      </c>
      <c r="BC36" s="19">
        <v>95344200</v>
      </c>
      <c r="BD36" s="19">
        <v>112662530</v>
      </c>
      <c r="BE36" s="19">
        <v>124595580</v>
      </c>
      <c r="BF36" s="19">
        <v>93202630</v>
      </c>
      <c r="BG36" s="19">
        <v>78298210</v>
      </c>
      <c r="BH36" s="19">
        <v>86005340</v>
      </c>
      <c r="BI36" s="19">
        <v>107299770</v>
      </c>
      <c r="BJ36" s="19">
        <v>118310290</v>
      </c>
      <c r="BK36" s="19">
        <v>107894880</v>
      </c>
      <c r="BL36" s="19">
        <v>105323590</v>
      </c>
      <c r="BM36" s="19">
        <v>100671980</v>
      </c>
      <c r="BN36" s="19">
        <v>130017470</v>
      </c>
      <c r="BO36" s="19">
        <v>147686660</v>
      </c>
      <c r="BP36" s="19">
        <v>101650120</v>
      </c>
      <c r="BQ36" s="19">
        <v>129598970</v>
      </c>
      <c r="BR36" s="19">
        <v>125523000</v>
      </c>
      <c r="BS36" s="19">
        <v>67955030</v>
      </c>
      <c r="BT36" s="19">
        <v>34424860</v>
      </c>
      <c r="BU36" s="19">
        <v>54531260</v>
      </c>
      <c r="BV36" s="19">
        <v>82718390</v>
      </c>
      <c r="BW36" s="19">
        <v>92327170</v>
      </c>
      <c r="BX36" s="19">
        <v>100719370</v>
      </c>
      <c r="BY36" s="19">
        <v>108244250</v>
      </c>
      <c r="BZ36" s="19">
        <v>118924490</v>
      </c>
      <c r="CA36" s="19">
        <v>116027510</v>
      </c>
      <c r="CB36" s="19">
        <v>101262940</v>
      </c>
      <c r="CC36" s="19">
        <v>140585360</v>
      </c>
      <c r="CD36" s="19">
        <v>132403570</v>
      </c>
      <c r="CE36" s="19">
        <v>147220370</v>
      </c>
      <c r="CF36" s="19">
        <v>171147040</v>
      </c>
      <c r="CG36" s="19">
        <v>135223070</v>
      </c>
      <c r="CH36" s="19">
        <v>164600160</v>
      </c>
      <c r="CI36" s="19">
        <v>143015530</v>
      </c>
      <c r="CJ36" s="19">
        <v>149459970</v>
      </c>
      <c r="CK36" s="19">
        <v>157925930</v>
      </c>
      <c r="CL36" s="19">
        <v>171767470</v>
      </c>
      <c r="CM36" s="19">
        <v>156600680</v>
      </c>
      <c r="CN36" s="19">
        <v>188887330</v>
      </c>
      <c r="CO36" s="19">
        <v>260619510</v>
      </c>
      <c r="CP36" s="19">
        <v>224230288</v>
      </c>
      <c r="CQ36" s="19">
        <v>271339414</v>
      </c>
      <c r="CR36" s="19">
        <v>266358087</v>
      </c>
      <c r="CS36" s="19">
        <v>246181662</v>
      </c>
      <c r="CT36" s="19">
        <v>301956968</v>
      </c>
      <c r="CU36" s="222"/>
      <c r="CV36" s="19">
        <f t="shared" si="32"/>
        <v>313890450</v>
      </c>
      <c r="CW36" s="19">
        <f t="shared" si="33"/>
        <v>379354250</v>
      </c>
      <c r="CX36" s="19">
        <f t="shared" si="34"/>
        <v>323077000</v>
      </c>
      <c r="CY36" s="19">
        <f t="shared" si="35"/>
        <v>171674510</v>
      </c>
      <c r="CZ36" s="19">
        <f t="shared" si="36"/>
        <v>301290790</v>
      </c>
      <c r="DA36" s="19">
        <f t="shared" si="37"/>
        <v>336214940</v>
      </c>
      <c r="DB36" s="19">
        <f t="shared" si="38"/>
        <v>420209300</v>
      </c>
      <c r="DC36" s="19">
        <f t="shared" si="39"/>
        <v>470970270</v>
      </c>
      <c r="DD36" s="19">
        <f t="shared" si="40"/>
        <v>450401430</v>
      </c>
      <c r="DE36" s="19">
        <f t="shared" si="41"/>
        <v>517255480</v>
      </c>
      <c r="DF36" s="19">
        <f t="shared" si="42"/>
        <v>756189212</v>
      </c>
      <c r="DG36" s="19">
        <f t="shared" si="43"/>
        <v>814496717</v>
      </c>
      <c r="DI36" s="19">
        <f t="shared" si="17"/>
        <v>1187996210</v>
      </c>
      <c r="DJ36" s="19">
        <f t="shared" si="18"/>
        <v>1528685300</v>
      </c>
      <c r="DK36" s="19">
        <f t="shared" si="19"/>
        <v>2538342839</v>
      </c>
    </row>
    <row r="37" spans="2:115" x14ac:dyDescent="0.2">
      <c r="B37" s="225" t="s">
        <v>294</v>
      </c>
      <c r="C37" s="19">
        <v>9750</v>
      </c>
      <c r="D37" s="19">
        <v>9250</v>
      </c>
      <c r="E37" s="19">
        <v>31500</v>
      </c>
      <c r="F37" s="19">
        <v>93750</v>
      </c>
      <c r="G37" s="19">
        <v>196000</v>
      </c>
      <c r="H37" s="19">
        <v>457250</v>
      </c>
      <c r="I37" s="19">
        <v>485500</v>
      </c>
      <c r="J37" s="19">
        <v>534750</v>
      </c>
      <c r="K37" s="19">
        <v>522450</v>
      </c>
      <c r="L37" s="19">
        <v>810650</v>
      </c>
      <c r="M37" s="19">
        <v>562600</v>
      </c>
      <c r="N37" s="19">
        <v>623375</v>
      </c>
      <c r="O37" s="19">
        <v>713200</v>
      </c>
      <c r="P37" s="19">
        <v>1230000</v>
      </c>
      <c r="Q37" s="19">
        <v>1464050</v>
      </c>
      <c r="R37" s="19">
        <v>1242015</v>
      </c>
      <c r="S37" s="19">
        <v>505003</v>
      </c>
      <c r="T37" s="19">
        <v>263100</v>
      </c>
      <c r="U37" s="19">
        <v>285501</v>
      </c>
      <c r="V37" s="19">
        <v>125800</v>
      </c>
      <c r="W37" s="19">
        <v>175700</v>
      </c>
      <c r="X37" s="19">
        <v>224050</v>
      </c>
      <c r="Y37" s="19">
        <v>198850</v>
      </c>
      <c r="Z37" s="19">
        <v>128450</v>
      </c>
      <c r="AA37" s="19">
        <v>450</v>
      </c>
      <c r="AB37" s="19">
        <v>14500</v>
      </c>
      <c r="AC37" s="19">
        <v>6850</v>
      </c>
      <c r="AD37" s="19">
        <v>5150</v>
      </c>
      <c r="AE37" s="19">
        <v>11250</v>
      </c>
      <c r="AF37" s="19">
        <v>12150</v>
      </c>
      <c r="AG37" s="19">
        <v>16250</v>
      </c>
      <c r="AH37" s="19">
        <v>22800</v>
      </c>
      <c r="AI37" s="19">
        <v>47400</v>
      </c>
      <c r="AJ37" s="19">
        <v>50900</v>
      </c>
      <c r="AK37" s="19">
        <v>386100</v>
      </c>
      <c r="AL37" s="19">
        <v>349050</v>
      </c>
      <c r="AM37" s="19">
        <v>145250</v>
      </c>
      <c r="AN37" s="19">
        <v>0</v>
      </c>
      <c r="AO37" s="19">
        <v>5676</v>
      </c>
      <c r="AP37" s="19">
        <v>44596</v>
      </c>
      <c r="AQ37" s="19">
        <v>408178</v>
      </c>
      <c r="AR37" s="19">
        <v>833102</v>
      </c>
      <c r="AS37" s="19">
        <v>675509</v>
      </c>
      <c r="AT37" s="19">
        <v>217590</v>
      </c>
      <c r="AU37" s="19">
        <v>467886</v>
      </c>
      <c r="AV37" s="19">
        <v>596798</v>
      </c>
      <c r="AW37" s="19">
        <v>792250</v>
      </c>
      <c r="AX37" s="19">
        <v>704672</v>
      </c>
      <c r="AY37" s="19">
        <v>1087350</v>
      </c>
      <c r="AZ37" s="19">
        <v>778500</v>
      </c>
      <c r="BA37" s="19">
        <v>1176150</v>
      </c>
      <c r="BB37" s="19">
        <v>1290000</v>
      </c>
      <c r="BC37" s="19">
        <v>2007818</v>
      </c>
      <c r="BD37" s="19">
        <v>1899000</v>
      </c>
      <c r="BE37" s="19">
        <v>1688550</v>
      </c>
      <c r="BF37" s="19">
        <v>1016050</v>
      </c>
      <c r="BG37" s="19">
        <v>893149</v>
      </c>
      <c r="BH37" s="19">
        <v>840800</v>
      </c>
      <c r="BI37" s="19">
        <v>1075150</v>
      </c>
      <c r="BJ37" s="19">
        <v>1360700</v>
      </c>
      <c r="BK37" s="19">
        <v>1110850</v>
      </c>
      <c r="BL37" s="19">
        <v>1223550</v>
      </c>
      <c r="BM37" s="19">
        <v>1216100</v>
      </c>
      <c r="BN37" s="19">
        <v>1484200</v>
      </c>
      <c r="BO37" s="19">
        <v>1843250</v>
      </c>
      <c r="BP37" s="19">
        <v>1360060</v>
      </c>
      <c r="BQ37" s="19">
        <v>1741300</v>
      </c>
      <c r="BR37" s="19">
        <v>1380700</v>
      </c>
      <c r="BS37" s="19">
        <v>731500</v>
      </c>
      <c r="BT37" s="19">
        <v>340950</v>
      </c>
      <c r="BU37" s="19">
        <v>565350</v>
      </c>
      <c r="BV37" s="19">
        <v>908100</v>
      </c>
      <c r="BW37" s="19">
        <v>1086600</v>
      </c>
      <c r="BX37" s="19">
        <v>1470400</v>
      </c>
      <c r="BY37" s="19">
        <v>1621200</v>
      </c>
      <c r="BZ37" s="19">
        <v>1904260</v>
      </c>
      <c r="CA37" s="19">
        <v>1958120</v>
      </c>
      <c r="CB37" s="19">
        <v>1861050</v>
      </c>
      <c r="CC37" s="19">
        <v>2483920</v>
      </c>
      <c r="CD37" s="19">
        <v>2404861</v>
      </c>
      <c r="CE37" s="19">
        <v>2898174</v>
      </c>
      <c r="CF37" s="19">
        <v>3375603</v>
      </c>
      <c r="CG37" s="19">
        <v>2733440</v>
      </c>
      <c r="CH37" s="19">
        <v>3874087</v>
      </c>
      <c r="CI37" s="19">
        <v>3433970</v>
      </c>
      <c r="CJ37" s="19">
        <v>4560614</v>
      </c>
      <c r="CK37" s="19">
        <v>5262440</v>
      </c>
      <c r="CL37" s="19">
        <v>6414600</v>
      </c>
      <c r="CM37" s="19">
        <v>6967160</v>
      </c>
      <c r="CN37" s="19">
        <v>8473570</v>
      </c>
      <c r="CO37" s="19">
        <v>10965380</v>
      </c>
      <c r="CP37" s="19">
        <v>10040590</v>
      </c>
      <c r="CQ37" s="19">
        <v>12202689</v>
      </c>
      <c r="CR37" s="19">
        <v>11211657</v>
      </c>
      <c r="CS37" s="19">
        <v>11304328</v>
      </c>
      <c r="CT37" s="19">
        <v>13782967</v>
      </c>
      <c r="CU37" s="222"/>
      <c r="CV37" s="19">
        <f t="shared" si="32"/>
        <v>3550500</v>
      </c>
      <c r="CW37" s="19">
        <f t="shared" si="33"/>
        <v>4687510</v>
      </c>
      <c r="CX37" s="19">
        <f t="shared" si="34"/>
        <v>3853500</v>
      </c>
      <c r="CY37" s="19">
        <f t="shared" si="35"/>
        <v>1814400</v>
      </c>
      <c r="CZ37" s="19">
        <f t="shared" si="36"/>
        <v>4178200</v>
      </c>
      <c r="DA37" s="19">
        <f t="shared" si="37"/>
        <v>5723430</v>
      </c>
      <c r="DB37" s="19">
        <f t="shared" si="38"/>
        <v>7786955</v>
      </c>
      <c r="DC37" s="19">
        <f t="shared" si="39"/>
        <v>9983130</v>
      </c>
      <c r="DD37" s="19">
        <f t="shared" si="40"/>
        <v>13257024</v>
      </c>
      <c r="DE37" s="19">
        <f t="shared" si="41"/>
        <v>21855330</v>
      </c>
      <c r="DF37" s="19">
        <f t="shared" si="42"/>
        <v>33208659</v>
      </c>
      <c r="DG37" s="19">
        <f t="shared" si="43"/>
        <v>36298952</v>
      </c>
      <c r="DI37" s="19">
        <f t="shared" si="17"/>
        <v>13905910</v>
      </c>
      <c r="DJ37" s="19">
        <f t="shared" si="18"/>
        <v>27671715</v>
      </c>
      <c r="DK37" s="19">
        <f t="shared" si="19"/>
        <v>104619965</v>
      </c>
    </row>
    <row r="38" spans="2:115" x14ac:dyDescent="0.2">
      <c r="B38" s="225" t="s">
        <v>295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113285</v>
      </c>
      <c r="CQ38" s="19">
        <v>106083.39559831683</v>
      </c>
      <c r="CR38" s="19">
        <v>101761.99999999999</v>
      </c>
      <c r="CS38" s="19">
        <v>102081.43394675736</v>
      </c>
      <c r="CT38" s="19">
        <v>122527</v>
      </c>
      <c r="CU38" s="222"/>
      <c r="CV38" s="19">
        <f t="shared" si="32"/>
        <v>0</v>
      </c>
      <c r="CW38" s="19">
        <f t="shared" si="33"/>
        <v>0</v>
      </c>
      <c r="CX38" s="19">
        <f t="shared" si="34"/>
        <v>0</v>
      </c>
      <c r="CY38" s="19">
        <f t="shared" si="35"/>
        <v>0</v>
      </c>
      <c r="CZ38" s="19">
        <f t="shared" si="36"/>
        <v>0</v>
      </c>
      <c r="DA38" s="19">
        <f t="shared" si="37"/>
        <v>0</v>
      </c>
      <c r="DB38" s="19">
        <f t="shared" si="38"/>
        <v>0</v>
      </c>
      <c r="DC38" s="19">
        <f t="shared" si="39"/>
        <v>0</v>
      </c>
      <c r="DD38" s="19">
        <f t="shared" si="40"/>
        <v>0</v>
      </c>
      <c r="DE38" s="19">
        <f t="shared" si="41"/>
        <v>0</v>
      </c>
      <c r="DF38" s="19">
        <f t="shared" si="42"/>
        <v>219368.39559831683</v>
      </c>
      <c r="DG38" s="19">
        <f t="shared" si="43"/>
        <v>326370.43394675734</v>
      </c>
      <c r="DI38" s="19">
        <f t="shared" si="17"/>
        <v>0</v>
      </c>
      <c r="DJ38" s="19">
        <f t="shared" si="18"/>
        <v>0</v>
      </c>
      <c r="DK38" s="19">
        <f t="shared" si="19"/>
        <v>545738.82954507414</v>
      </c>
    </row>
    <row r="39" spans="2:115" x14ac:dyDescent="0.2">
      <c r="B39" s="229" t="s">
        <v>299</v>
      </c>
      <c r="C39" s="19">
        <v>400000</v>
      </c>
      <c r="D39" s="19">
        <v>366612</v>
      </c>
      <c r="E39" s="19">
        <v>300000</v>
      </c>
      <c r="F39" s="19">
        <v>490000</v>
      </c>
      <c r="G39" s="19">
        <v>1326129</v>
      </c>
      <c r="H39" s="19">
        <v>940000</v>
      </c>
      <c r="I39" s="19">
        <v>1060000</v>
      </c>
      <c r="J39" s="19">
        <v>1117903</v>
      </c>
      <c r="K39" s="19">
        <v>1165386</v>
      </c>
      <c r="L39" s="19">
        <v>1381229.23</v>
      </c>
      <c r="M39" s="19">
        <v>1062516.94</v>
      </c>
      <c r="N39" s="19">
        <v>1705477</v>
      </c>
      <c r="O39" s="19">
        <v>2074162.1799999997</v>
      </c>
      <c r="P39" s="19">
        <v>1911533.18</v>
      </c>
      <c r="Q39" s="19">
        <v>2694415.55</v>
      </c>
      <c r="R39" s="19">
        <v>2236626.1800000002</v>
      </c>
      <c r="S39" s="19">
        <v>2201479.1799999997</v>
      </c>
      <c r="T39" s="19">
        <v>2340229</v>
      </c>
      <c r="U39" s="19">
        <v>2589867</v>
      </c>
      <c r="V39" s="19">
        <v>2427549</v>
      </c>
      <c r="W39" s="19">
        <v>2608965</v>
      </c>
      <c r="X39" s="19">
        <v>2774202.18</v>
      </c>
      <c r="Y39" s="19">
        <v>2780091.18</v>
      </c>
      <c r="Z39" s="19">
        <v>3013029</v>
      </c>
      <c r="AA39" s="19">
        <v>2376866</v>
      </c>
      <c r="AB39" s="19">
        <v>2471984</v>
      </c>
      <c r="AC39" s="19">
        <v>1844322</v>
      </c>
      <c r="AD39" s="19">
        <v>1467123.27</v>
      </c>
      <c r="AE39" s="19">
        <v>1332803</v>
      </c>
      <c r="AF39" s="19">
        <v>1420158</v>
      </c>
      <c r="AG39" s="19">
        <v>1307431</v>
      </c>
      <c r="AH39" s="19">
        <v>1457037</v>
      </c>
      <c r="AI39" s="19">
        <v>1280757</v>
      </c>
      <c r="AJ39" s="19">
        <v>1337912</v>
      </c>
      <c r="AK39" s="19">
        <v>1181818</v>
      </c>
      <c r="AL39" s="19">
        <v>1076972</v>
      </c>
      <c r="AM39" s="19">
        <v>907208</v>
      </c>
      <c r="AN39" s="19">
        <v>834142</v>
      </c>
      <c r="AO39" s="19">
        <v>890715</v>
      </c>
      <c r="AP39" s="19">
        <v>767099</v>
      </c>
      <c r="AQ39" s="19">
        <v>737245</v>
      </c>
      <c r="AR39" s="19">
        <v>758439</v>
      </c>
      <c r="AS39" s="19">
        <v>817800</v>
      </c>
      <c r="AT39" s="19">
        <v>806418</v>
      </c>
      <c r="AU39" s="19">
        <v>885223.6</v>
      </c>
      <c r="AV39" s="19">
        <v>778308</v>
      </c>
      <c r="AW39" s="19">
        <v>711121</v>
      </c>
      <c r="AX39" s="19">
        <v>548322.46</v>
      </c>
      <c r="AY39" s="19">
        <v>589472</v>
      </c>
      <c r="AZ39" s="19">
        <v>695712</v>
      </c>
      <c r="BA39" s="19">
        <v>465271.31</v>
      </c>
      <c r="BB39" s="19">
        <v>465271.31</v>
      </c>
      <c r="BC39" s="19">
        <v>621500.48</v>
      </c>
      <c r="BD39" s="19">
        <v>680703.48</v>
      </c>
      <c r="BE39" s="19">
        <v>650154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222"/>
      <c r="CV39" s="19">
        <f t="shared" si="32"/>
        <v>0</v>
      </c>
      <c r="CW39" s="19">
        <f t="shared" si="33"/>
        <v>0</v>
      </c>
      <c r="CX39" s="19">
        <f t="shared" si="34"/>
        <v>0</v>
      </c>
      <c r="CY39" s="19">
        <f t="shared" si="35"/>
        <v>0</v>
      </c>
      <c r="CZ39" s="19">
        <f t="shared" si="36"/>
        <v>0</v>
      </c>
      <c r="DA39" s="19">
        <f t="shared" si="37"/>
        <v>0</v>
      </c>
      <c r="DB39" s="19">
        <f t="shared" si="38"/>
        <v>0</v>
      </c>
      <c r="DC39" s="19">
        <f t="shared" si="39"/>
        <v>0</v>
      </c>
      <c r="DD39" s="19">
        <f t="shared" si="40"/>
        <v>0</v>
      </c>
      <c r="DE39" s="19">
        <f t="shared" si="41"/>
        <v>0</v>
      </c>
      <c r="DF39" s="19">
        <f t="shared" si="42"/>
        <v>0</v>
      </c>
      <c r="DG39" s="19">
        <f t="shared" si="43"/>
        <v>0</v>
      </c>
      <c r="DI39" s="19">
        <f t="shared" si="17"/>
        <v>0</v>
      </c>
      <c r="DJ39" s="19">
        <f t="shared" si="18"/>
        <v>0</v>
      </c>
      <c r="DK39" s="19">
        <f t="shared" si="19"/>
        <v>0</v>
      </c>
    </row>
    <row r="40" spans="2:115" x14ac:dyDescent="0.2">
      <c r="B40" s="229" t="s">
        <v>300</v>
      </c>
      <c r="C40" s="19">
        <v>1041125.4285714285</v>
      </c>
      <c r="D40" s="19">
        <v>921914.14285714284</v>
      </c>
      <c r="E40" s="19">
        <v>1018751</v>
      </c>
      <c r="F40" s="19">
        <v>1178487.1428571427</v>
      </c>
      <c r="G40" s="19">
        <v>1249006.4285714284</v>
      </c>
      <c r="H40" s="19">
        <v>1410971.1428571427</v>
      </c>
      <c r="I40" s="19">
        <v>1154728.2857142854</v>
      </c>
      <c r="J40" s="19">
        <v>1310102.46</v>
      </c>
      <c r="K40" s="19">
        <v>1554887.1428571427</v>
      </c>
      <c r="L40" s="19">
        <v>1822825.5714285711</v>
      </c>
      <c r="M40" s="19">
        <v>2089193.4285714282</v>
      </c>
      <c r="N40" s="19">
        <v>2811337.8571428573</v>
      </c>
      <c r="O40" s="19">
        <v>2998725.2142857146</v>
      </c>
      <c r="P40" s="19">
        <v>3223112.0714285709</v>
      </c>
      <c r="Q40" s="19">
        <v>3524494.2857142854</v>
      </c>
      <c r="R40" s="19">
        <v>3373161</v>
      </c>
      <c r="S40" s="19">
        <v>2998261</v>
      </c>
      <c r="T40" s="19">
        <v>3144738</v>
      </c>
      <c r="U40" s="19">
        <v>3612520</v>
      </c>
      <c r="V40" s="19">
        <v>3771918</v>
      </c>
      <c r="W40" s="19">
        <v>3635154</v>
      </c>
      <c r="X40" s="19">
        <v>3853532.25</v>
      </c>
      <c r="Y40" s="19">
        <v>4170259.7833333332</v>
      </c>
      <c r="Z40" s="19">
        <v>3501761.95095238</v>
      </c>
      <c r="AA40" s="19">
        <v>3557233.0249999999</v>
      </c>
      <c r="AB40" s="19">
        <v>3322719.0200000005</v>
      </c>
      <c r="AC40" s="19">
        <v>1287936.7914285702</v>
      </c>
      <c r="AD40" s="19">
        <v>1214082.7851190499</v>
      </c>
      <c r="AE40" s="19">
        <v>1353967.1914285701</v>
      </c>
      <c r="AF40" s="19">
        <v>1837839.3174999997</v>
      </c>
      <c r="AG40" s="19">
        <v>2114000.4</v>
      </c>
      <c r="AH40" s="19">
        <v>2578233.66</v>
      </c>
      <c r="AI40" s="19">
        <v>2847358.9283333332</v>
      </c>
      <c r="AJ40" s="19">
        <v>3818076.125</v>
      </c>
      <c r="AK40" s="19">
        <v>3894584.8098076899</v>
      </c>
      <c r="AL40" s="19">
        <v>2826006.4749359</v>
      </c>
      <c r="AM40" s="19">
        <v>2724329.48326923</v>
      </c>
      <c r="AN40" s="19">
        <v>2496221.6494871802</v>
      </c>
      <c r="AO40" s="19">
        <v>2762334.329358974</v>
      </c>
      <c r="AP40" s="19">
        <v>1866442.27544872</v>
      </c>
      <c r="AQ40" s="19">
        <v>2326933.5112179499</v>
      </c>
      <c r="AR40" s="19">
        <v>2078545.0944230801</v>
      </c>
      <c r="AS40" s="19">
        <v>2098005.320576923</v>
      </c>
      <c r="AT40" s="19">
        <v>2191248.0326923076</v>
      </c>
      <c r="AU40" s="19">
        <v>2341415.9637820502</v>
      </c>
      <c r="AV40" s="19">
        <v>2072196.3280769233</v>
      </c>
      <c r="AW40" s="19">
        <v>1800821.5077564099</v>
      </c>
      <c r="AX40" s="19">
        <v>1933609.1154487177</v>
      </c>
      <c r="AY40" s="19">
        <v>1292778.3963461537</v>
      </c>
      <c r="AZ40" s="19">
        <v>1059744.3989102563</v>
      </c>
      <c r="BA40" s="19">
        <v>1266710.57217949</v>
      </c>
      <c r="BB40" s="19">
        <v>1120433.9264102564</v>
      </c>
      <c r="BC40" s="19">
        <v>1024855.7830769231</v>
      </c>
      <c r="BD40" s="19">
        <v>847547.22096153849</v>
      </c>
      <c r="BE40" s="19">
        <v>1020781.3342307691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222"/>
      <c r="CV40" s="19">
        <f t="shared" si="32"/>
        <v>0</v>
      </c>
      <c r="CW40" s="19">
        <f t="shared" si="33"/>
        <v>0</v>
      </c>
      <c r="CX40" s="19">
        <f t="shared" si="34"/>
        <v>0</v>
      </c>
      <c r="CY40" s="19">
        <f t="shared" si="35"/>
        <v>0</v>
      </c>
      <c r="CZ40" s="19">
        <f t="shared" si="36"/>
        <v>0</v>
      </c>
      <c r="DA40" s="19">
        <f t="shared" si="37"/>
        <v>0</v>
      </c>
      <c r="DB40" s="19">
        <f t="shared" si="38"/>
        <v>0</v>
      </c>
      <c r="DC40" s="19">
        <f t="shared" si="39"/>
        <v>0</v>
      </c>
      <c r="DD40" s="19">
        <f t="shared" si="40"/>
        <v>0</v>
      </c>
      <c r="DE40" s="19">
        <f t="shared" si="41"/>
        <v>0</v>
      </c>
      <c r="DF40" s="19">
        <f t="shared" si="42"/>
        <v>0</v>
      </c>
      <c r="DG40" s="19">
        <f t="shared" si="43"/>
        <v>0</v>
      </c>
      <c r="DI40" s="19">
        <f t="shared" si="17"/>
        <v>0</v>
      </c>
      <c r="DJ40" s="19">
        <f t="shared" si="18"/>
        <v>0</v>
      </c>
      <c r="DK40" s="19">
        <f t="shared" si="19"/>
        <v>0</v>
      </c>
    </row>
    <row r="41" spans="2:115" x14ac:dyDescent="0.2">
      <c r="B41" s="226" t="s">
        <v>296</v>
      </c>
      <c r="C41" s="19">
        <f>C35/C10</f>
        <v>43713.472527472528</v>
      </c>
      <c r="D41" s="19">
        <f t="shared" ref="D41:BO41" si="44">D35/D10</f>
        <v>42643.9498069498</v>
      </c>
      <c r="E41" s="19">
        <f t="shared" si="44"/>
        <v>17687.303278688523</v>
      </c>
      <c r="F41" s="19">
        <f t="shared" si="44"/>
        <v>10247.442977190876</v>
      </c>
      <c r="G41" s="19">
        <f t="shared" si="44"/>
        <v>9206.8375531325073</v>
      </c>
      <c r="H41" s="19">
        <f t="shared" si="44"/>
        <v>7395.6492977644803</v>
      </c>
      <c r="I41" s="19">
        <f t="shared" si="44"/>
        <v>6197.501635768811</v>
      </c>
      <c r="J41" s="19">
        <f t="shared" si="44"/>
        <v>6971.3967909238254</v>
      </c>
      <c r="K41" s="19">
        <f t="shared" si="44"/>
        <v>7054.3750094432271</v>
      </c>
      <c r="L41" s="19">
        <f t="shared" si="44"/>
        <v>6096.0042642999906</v>
      </c>
      <c r="M41" s="19">
        <f t="shared" si="44"/>
        <v>5836.7903602364904</v>
      </c>
      <c r="N41" s="19">
        <f t="shared" si="44"/>
        <v>6566.8278920551047</v>
      </c>
      <c r="O41" s="19">
        <f t="shared" si="44"/>
        <v>6343.0869572901329</v>
      </c>
      <c r="P41" s="19">
        <f t="shared" si="44"/>
        <v>6507.601296636748</v>
      </c>
      <c r="Q41" s="19">
        <f t="shared" si="44"/>
        <v>6766.1201023694493</v>
      </c>
      <c r="R41" s="19">
        <f t="shared" si="44"/>
        <v>5443.3234557750957</v>
      </c>
      <c r="S41" s="19">
        <f t="shared" si="44"/>
        <v>5486.9188200999442</v>
      </c>
      <c r="T41" s="19">
        <f t="shared" si="44"/>
        <v>5613.1387001477106</v>
      </c>
      <c r="U41" s="19">
        <f t="shared" si="44"/>
        <v>5422.7008578888472</v>
      </c>
      <c r="V41" s="19">
        <f t="shared" si="44"/>
        <v>5635.2031736615754</v>
      </c>
      <c r="W41" s="19">
        <f t="shared" si="44"/>
        <v>5980.9481660065439</v>
      </c>
      <c r="X41" s="19">
        <f t="shared" si="44"/>
        <v>5921.5304960798285</v>
      </c>
      <c r="Y41" s="19">
        <f t="shared" si="44"/>
        <v>5948.3814764517601</v>
      </c>
      <c r="Z41" s="19">
        <f t="shared" si="44"/>
        <v>7097.0924161410157</v>
      </c>
      <c r="AA41" s="19">
        <f t="shared" si="44"/>
        <v>438341.35892857146</v>
      </c>
      <c r="AB41" s="19">
        <f t="shared" si="44"/>
        <v>31579.97162601626</v>
      </c>
      <c r="AC41" s="19">
        <f t="shared" si="44"/>
        <v>13047.309662058369</v>
      </c>
      <c r="AD41" s="19">
        <f t="shared" si="44"/>
        <v>10688.210651418914</v>
      </c>
      <c r="AE41" s="19">
        <f t="shared" si="44"/>
        <v>10869.67630406291</v>
      </c>
      <c r="AF41" s="19">
        <f t="shared" si="44"/>
        <v>10445.768940580818</v>
      </c>
      <c r="AG41" s="19">
        <f t="shared" si="44"/>
        <v>7539.3048256285483</v>
      </c>
      <c r="AH41" s="19">
        <f t="shared" si="44"/>
        <v>7832.0531280328478</v>
      </c>
      <c r="AI41" s="19">
        <f t="shared" si="44"/>
        <v>7972.3906422149694</v>
      </c>
      <c r="AJ41" s="19">
        <f t="shared" si="44"/>
        <v>8527.9882127698838</v>
      </c>
      <c r="AK41" s="19">
        <f t="shared" si="44"/>
        <v>7315.0318303489857</v>
      </c>
      <c r="AL41" s="19">
        <f t="shared" si="44"/>
        <v>7651.5955814549043</v>
      </c>
      <c r="AM41" s="19">
        <f t="shared" si="44"/>
        <v>7568.9110727380767</v>
      </c>
      <c r="AN41" s="19" t="e">
        <f t="shared" si="44"/>
        <v>#DIV/0!</v>
      </c>
      <c r="AO41" s="19">
        <f t="shared" si="44"/>
        <v>8389.8069508623867</v>
      </c>
      <c r="AP41" s="19">
        <f t="shared" si="44"/>
        <v>6270.2950639037635</v>
      </c>
      <c r="AQ41" s="19">
        <f t="shared" si="44"/>
        <v>6722.1024643761002</v>
      </c>
      <c r="AR41" s="19">
        <f t="shared" si="44"/>
        <v>6630.0918464249962</v>
      </c>
      <c r="AS41" s="19">
        <f t="shared" si="44"/>
        <v>6840.4104903285242</v>
      </c>
      <c r="AT41" s="19">
        <f t="shared" si="44"/>
        <v>7106.0771341114214</v>
      </c>
      <c r="AU41" s="19">
        <f t="shared" si="44"/>
        <v>9100.6637819060779</v>
      </c>
      <c r="AV41" s="19">
        <f t="shared" si="44"/>
        <v>9594.106815167499</v>
      </c>
      <c r="AW41" s="19">
        <f t="shared" si="44"/>
        <v>8890.7931951913069</v>
      </c>
      <c r="AX41" s="19">
        <f t="shared" si="44"/>
        <v>8841.6409499147321</v>
      </c>
      <c r="AY41" s="19">
        <f t="shared" si="44"/>
        <v>9315.1378852233374</v>
      </c>
      <c r="AZ41" s="19">
        <f t="shared" si="44"/>
        <v>7803.4322102839678</v>
      </c>
      <c r="BA41" s="19">
        <f t="shared" si="44"/>
        <v>8854.4598051578305</v>
      </c>
      <c r="BB41" s="19">
        <f t="shared" si="44"/>
        <v>8023.1181157433293</v>
      </c>
      <c r="BC41" s="19">
        <f t="shared" si="44"/>
        <v>7831.5302794934678</v>
      </c>
      <c r="BD41" s="19">
        <f t="shared" si="44"/>
        <v>8732.4944110848155</v>
      </c>
      <c r="BE41" s="19">
        <f t="shared" si="44"/>
        <v>8242.9340549011631</v>
      </c>
      <c r="BF41" s="19">
        <f t="shared" si="44"/>
        <v>9802.1930919683728</v>
      </c>
      <c r="BG41" s="19">
        <f t="shared" si="44"/>
        <v>9875.4656440952731</v>
      </c>
      <c r="BH41" s="19">
        <f t="shared" si="44"/>
        <v>9637.791588059039</v>
      </c>
      <c r="BI41" s="19">
        <f t="shared" si="44"/>
        <v>10199.992470588235</v>
      </c>
      <c r="BJ41" s="19">
        <f t="shared" si="44"/>
        <v>10359.330851800554</v>
      </c>
      <c r="BK41" s="19">
        <f t="shared" si="44"/>
        <v>10201.752924660739</v>
      </c>
      <c r="BL41" s="19">
        <f t="shared" si="44"/>
        <v>10307.356099448583</v>
      </c>
      <c r="BM41" s="19">
        <f t="shared" si="44"/>
        <v>10535.423430875815</v>
      </c>
      <c r="BN41" s="19">
        <f t="shared" si="44"/>
        <v>11611.626490066225</v>
      </c>
      <c r="BO41" s="19">
        <f t="shared" si="44"/>
        <v>12482.670506720093</v>
      </c>
      <c r="BP41" s="19">
        <f t="shared" ref="BP41:CT41" si="45">BP35/BP10</f>
        <v>14132.278776238167</v>
      </c>
      <c r="BQ41" s="19">
        <f t="shared" si="45"/>
        <v>11369.483206371191</v>
      </c>
      <c r="BR41" s="19">
        <f t="shared" si="45"/>
        <v>12915.092611439039</v>
      </c>
      <c r="BS41" s="19">
        <f t="shared" si="45"/>
        <v>13499.711084905661</v>
      </c>
      <c r="BT41" s="19">
        <f t="shared" si="45"/>
        <v>11765.079526226735</v>
      </c>
      <c r="BU41" s="19">
        <f t="shared" si="45"/>
        <v>11168.986418001215</v>
      </c>
      <c r="BV41" s="19">
        <f t="shared" si="45"/>
        <v>10572.249051833123</v>
      </c>
      <c r="BW41" s="19">
        <f t="shared" si="45"/>
        <v>10980.812272246385</v>
      </c>
      <c r="BX41" s="19">
        <f t="shared" si="45"/>
        <v>10492.840127323134</v>
      </c>
      <c r="BY41" s="19">
        <f t="shared" si="45"/>
        <v>11613.683932346723</v>
      </c>
      <c r="BZ41" s="19">
        <f t="shared" si="45"/>
        <v>12399.050795279631</v>
      </c>
      <c r="CA41" s="19">
        <f t="shared" si="45"/>
        <v>12168.484942244224</v>
      </c>
      <c r="CB41" s="19">
        <f t="shared" si="45"/>
        <v>11513.228759629341</v>
      </c>
      <c r="CC41" s="19">
        <f t="shared" si="45"/>
        <v>11618.424557414326</v>
      </c>
      <c r="CD41" s="19">
        <f t="shared" si="45"/>
        <v>12831.565867123549</v>
      </c>
      <c r="CE41" s="19">
        <f t="shared" si="45"/>
        <v>13058.328462073765</v>
      </c>
      <c r="CF41" s="19">
        <f t="shared" si="45"/>
        <v>12701.793522561864</v>
      </c>
      <c r="CG41" s="19">
        <f t="shared" si="45"/>
        <v>12726.615313653136</v>
      </c>
      <c r="CH41" s="19">
        <f t="shared" si="45"/>
        <v>12292.006931270977</v>
      </c>
      <c r="CI41" s="19">
        <f t="shared" si="45"/>
        <v>11815.207745058491</v>
      </c>
      <c r="CJ41" s="19">
        <f t="shared" si="45"/>
        <v>11272.823245260925</v>
      </c>
      <c r="CK41" s="19">
        <f t="shared" si="45"/>
        <v>10914.87994114106</v>
      </c>
      <c r="CL41" s="19">
        <f t="shared" si="45"/>
        <v>10771.494982468867</v>
      </c>
      <c r="CM41" s="19">
        <f t="shared" si="45"/>
        <v>10224.268033504188</v>
      </c>
      <c r="CN41" s="19">
        <f t="shared" si="45"/>
        <v>10982.187969506427</v>
      </c>
      <c r="CO41" s="19">
        <f t="shared" si="45"/>
        <v>10799.033361167441</v>
      </c>
      <c r="CP41" s="19">
        <f t="shared" si="45"/>
        <v>11581.389613598181</v>
      </c>
      <c r="CQ41" s="19">
        <f t="shared" si="45"/>
        <v>12597.627748960664</v>
      </c>
      <c r="CR41" s="19">
        <f t="shared" si="45"/>
        <v>11785.217350706676</v>
      </c>
      <c r="CS41" s="19">
        <f t="shared" si="45"/>
        <v>12307.710422569007</v>
      </c>
      <c r="CT41" s="19">
        <f t="shared" si="45"/>
        <v>12446.800725066005</v>
      </c>
      <c r="CU41" s="222"/>
      <c r="CV41" s="19">
        <f t="shared" si="32"/>
        <v>31044.532454985136</v>
      </c>
      <c r="CW41" s="19">
        <f t="shared" si="33"/>
        <v>38226.57577302448</v>
      </c>
      <c r="CX41" s="19">
        <f t="shared" si="34"/>
        <v>37784.286902715889</v>
      </c>
      <c r="CY41" s="19">
        <f t="shared" si="35"/>
        <v>33506.314996061075</v>
      </c>
      <c r="CZ41" s="19">
        <f t="shared" si="36"/>
        <v>33087.336331916238</v>
      </c>
      <c r="DA41" s="19">
        <f t="shared" si="37"/>
        <v>36080.764497153192</v>
      </c>
      <c r="DB41" s="19">
        <f t="shared" si="38"/>
        <v>37508.31888661164</v>
      </c>
      <c r="DC41" s="19">
        <f t="shared" si="39"/>
        <v>37720.415767485974</v>
      </c>
      <c r="DD41" s="19">
        <f t="shared" si="40"/>
        <v>34002.910931460472</v>
      </c>
      <c r="DE41" s="19">
        <f t="shared" si="41"/>
        <v>31977.950985479481</v>
      </c>
      <c r="DF41" s="19">
        <f t="shared" si="42"/>
        <v>34978.050723726286</v>
      </c>
      <c r="DG41" s="19">
        <f t="shared" si="43"/>
        <v>36539.72849834169</v>
      </c>
      <c r="DI41" s="19">
        <f t="shared" si="17"/>
        <v>140561.71012678658</v>
      </c>
      <c r="DJ41" s="19">
        <f t="shared" si="18"/>
        <v>144396.83548316703</v>
      </c>
      <c r="DK41" s="19">
        <f t="shared" si="19"/>
        <v>137498.64113900793</v>
      </c>
    </row>
    <row r="42" spans="2:115" x14ac:dyDescent="0.2">
      <c r="B42" s="226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222"/>
      <c r="CV42" s="10">
        <f t="shared" si="32"/>
        <v>0</v>
      </c>
      <c r="CW42" s="10">
        <f t="shared" si="33"/>
        <v>0</v>
      </c>
      <c r="CX42" s="10">
        <f t="shared" si="34"/>
        <v>0</v>
      </c>
      <c r="CY42" s="10">
        <f t="shared" si="35"/>
        <v>0</v>
      </c>
      <c r="CZ42" s="10">
        <f t="shared" si="36"/>
        <v>0</v>
      </c>
      <c r="DA42" s="10">
        <f t="shared" si="37"/>
        <v>0</v>
      </c>
      <c r="DB42" s="10">
        <f t="shared" si="38"/>
        <v>0</v>
      </c>
      <c r="DC42" s="10">
        <f t="shared" si="39"/>
        <v>0</v>
      </c>
      <c r="DD42" s="10">
        <f t="shared" si="40"/>
        <v>0</v>
      </c>
      <c r="DE42" s="10">
        <f t="shared" si="41"/>
        <v>0</v>
      </c>
      <c r="DF42" s="10">
        <f t="shared" si="42"/>
        <v>0</v>
      </c>
      <c r="DG42" s="10">
        <f t="shared" si="43"/>
        <v>0</v>
      </c>
      <c r="DI42" s="10">
        <f t="shared" si="17"/>
        <v>0</v>
      </c>
      <c r="DJ42" s="10">
        <f t="shared" si="18"/>
        <v>0</v>
      </c>
      <c r="DK42" s="10">
        <f t="shared" si="19"/>
        <v>0</v>
      </c>
    </row>
    <row r="43" spans="2:115" x14ac:dyDescent="0.2">
      <c r="B43" s="230" t="s">
        <v>302</v>
      </c>
      <c r="C43" s="169">
        <f>SUM(C44:C47)</f>
        <v>1873462.4285714286</v>
      </c>
      <c r="D43" s="169">
        <f t="shared" ref="D43:BO43" si="46">SUM(D44:D47)</f>
        <v>1675084.1428571427</v>
      </c>
      <c r="E43" s="169">
        <f t="shared" si="46"/>
        <v>1714377</v>
      </c>
      <c r="F43" s="169">
        <f t="shared" si="46"/>
        <v>2169033.1428571427</v>
      </c>
      <c r="G43" s="169">
        <f t="shared" si="46"/>
        <v>3347675.4285714282</v>
      </c>
      <c r="H43" s="169">
        <f t="shared" si="46"/>
        <v>3056262.1428571427</v>
      </c>
      <c r="I43" s="169">
        <f t="shared" si="46"/>
        <v>2879147.2857142854</v>
      </c>
      <c r="J43" s="169">
        <f t="shared" si="46"/>
        <v>3156407.46</v>
      </c>
      <c r="K43" s="169">
        <f t="shared" si="46"/>
        <v>3536355.1428571427</v>
      </c>
      <c r="L43" s="169">
        <f t="shared" si="46"/>
        <v>4165270.8014285709</v>
      </c>
      <c r="M43" s="169">
        <f t="shared" si="46"/>
        <v>4097223.3685714277</v>
      </c>
      <c r="N43" s="169">
        <f t="shared" si="46"/>
        <v>5871859.8571428563</v>
      </c>
      <c r="O43" s="169">
        <f t="shared" si="46"/>
        <v>6594753.3942857143</v>
      </c>
      <c r="P43" s="169">
        <f t="shared" si="46"/>
        <v>6675039.2514285706</v>
      </c>
      <c r="Q43" s="169">
        <f t="shared" si="46"/>
        <v>8084582.8357142853</v>
      </c>
      <c r="R43" s="169">
        <f t="shared" si="46"/>
        <v>7292723.1799999997</v>
      </c>
      <c r="S43" s="169">
        <f t="shared" si="46"/>
        <v>6759662.1799999997</v>
      </c>
      <c r="T43" s="169">
        <f t="shared" si="46"/>
        <v>7130457</v>
      </c>
      <c r="U43" s="169">
        <f t="shared" si="46"/>
        <v>8063102.9999999991</v>
      </c>
      <c r="V43" s="169">
        <f t="shared" si="46"/>
        <v>8059306.9999999991</v>
      </c>
      <c r="W43" s="169">
        <f t="shared" si="46"/>
        <v>8117355</v>
      </c>
      <c r="X43" s="169">
        <f t="shared" si="46"/>
        <v>8616054.4299999997</v>
      </c>
      <c r="Y43" s="169">
        <f t="shared" si="46"/>
        <v>9035455.9633333329</v>
      </c>
      <c r="Z43" s="169">
        <f t="shared" si="46"/>
        <v>8469227.9509523809</v>
      </c>
      <c r="AA43" s="169">
        <f t="shared" si="46"/>
        <v>7714329.0249999994</v>
      </c>
      <c r="AB43" s="169">
        <f t="shared" si="46"/>
        <v>7533113.0200000005</v>
      </c>
      <c r="AC43" s="169">
        <f t="shared" si="46"/>
        <v>4071937.7914285702</v>
      </c>
      <c r="AD43" s="169">
        <f t="shared" si="46"/>
        <v>3485568.0551190497</v>
      </c>
      <c r="AE43" s="169">
        <f t="shared" si="46"/>
        <v>3492801.1914285701</v>
      </c>
      <c r="AF43" s="169">
        <f t="shared" si="46"/>
        <v>4235396.317499999</v>
      </c>
      <c r="AG43" s="169">
        <f t="shared" si="46"/>
        <v>4447860.4000000004</v>
      </c>
      <c r="AH43" s="169">
        <f t="shared" si="46"/>
        <v>5245851.66</v>
      </c>
      <c r="AI43" s="169">
        <f t="shared" si="46"/>
        <v>5366549.9283333328</v>
      </c>
      <c r="AJ43" s="169">
        <f t="shared" si="46"/>
        <v>6702784.125</v>
      </c>
      <c r="AK43" s="169">
        <f t="shared" si="46"/>
        <v>6854911.8098076899</v>
      </c>
      <c r="AL43" s="169">
        <f t="shared" si="46"/>
        <v>5073871.4749359004</v>
      </c>
      <c r="AM43" s="169">
        <f t="shared" si="46"/>
        <v>4720999.4832692295</v>
      </c>
      <c r="AN43" s="169">
        <f t="shared" si="46"/>
        <v>4329472.6494871806</v>
      </c>
      <c r="AO43" s="169">
        <f t="shared" si="46"/>
        <v>4748963.3293589745</v>
      </c>
      <c r="AP43" s="169">
        <f t="shared" si="46"/>
        <v>3423603.27544872</v>
      </c>
      <c r="AQ43" s="169">
        <f t="shared" si="46"/>
        <v>3983432.5112179499</v>
      </c>
      <c r="AR43" s="169">
        <f t="shared" si="46"/>
        <v>3688079.7362687634</v>
      </c>
      <c r="AS43" s="169">
        <f t="shared" si="46"/>
        <v>3790547.320576923</v>
      </c>
      <c r="AT43" s="169">
        <f t="shared" si="46"/>
        <v>3896965.0326923076</v>
      </c>
      <c r="AU43" s="169">
        <f t="shared" si="46"/>
        <v>4194631.5637820503</v>
      </c>
      <c r="AV43" s="169">
        <f t="shared" si="46"/>
        <v>3705655.3280769233</v>
      </c>
      <c r="AW43" s="169">
        <f t="shared" si="46"/>
        <v>3265525.5077564102</v>
      </c>
      <c r="AX43" s="169">
        <f t="shared" si="46"/>
        <v>3226510.5754487179</v>
      </c>
      <c r="AY43" s="169">
        <f t="shared" si="46"/>
        <v>2446925.3963461537</v>
      </c>
      <c r="AZ43" s="169">
        <f t="shared" si="46"/>
        <v>2282093.3989102561</v>
      </c>
      <c r="BA43" s="169">
        <f t="shared" si="46"/>
        <v>2251575.8821794898</v>
      </c>
      <c r="BB43" s="169">
        <f t="shared" si="46"/>
        <v>2061416.7364102565</v>
      </c>
      <c r="BC43" s="169">
        <f t="shared" si="46"/>
        <v>2140263.0630769231</v>
      </c>
      <c r="BD43" s="169">
        <f t="shared" si="46"/>
        <v>1986725.7009615386</v>
      </c>
      <c r="BE43" s="169">
        <f t="shared" si="46"/>
        <v>2172215.834230769</v>
      </c>
      <c r="BF43" s="169">
        <f t="shared" si="46"/>
        <v>0</v>
      </c>
      <c r="BG43" s="169">
        <f t="shared" si="46"/>
        <v>0</v>
      </c>
      <c r="BH43" s="169">
        <f t="shared" si="46"/>
        <v>0</v>
      </c>
      <c r="BI43" s="169">
        <f t="shared" si="46"/>
        <v>0</v>
      </c>
      <c r="BJ43" s="169">
        <f t="shared" si="46"/>
        <v>0</v>
      </c>
      <c r="BK43" s="169">
        <f t="shared" si="46"/>
        <v>0</v>
      </c>
      <c r="BL43" s="169">
        <f t="shared" si="46"/>
        <v>0</v>
      </c>
      <c r="BM43" s="169">
        <f t="shared" si="46"/>
        <v>0</v>
      </c>
      <c r="BN43" s="169">
        <f t="shared" si="46"/>
        <v>0</v>
      </c>
      <c r="BO43" s="169">
        <f t="shared" si="46"/>
        <v>0</v>
      </c>
      <c r="BP43" s="169">
        <f t="shared" ref="BP43:CT43" si="47">SUM(BP44:BP47)</f>
        <v>0</v>
      </c>
      <c r="BQ43" s="169">
        <f t="shared" si="47"/>
        <v>0</v>
      </c>
      <c r="BR43" s="169">
        <f t="shared" si="47"/>
        <v>0</v>
      </c>
      <c r="BS43" s="169">
        <f t="shared" si="47"/>
        <v>0</v>
      </c>
      <c r="BT43" s="169">
        <f t="shared" si="47"/>
        <v>0</v>
      </c>
      <c r="BU43" s="169">
        <f t="shared" si="47"/>
        <v>0</v>
      </c>
      <c r="BV43" s="169">
        <f t="shared" si="47"/>
        <v>0</v>
      </c>
      <c r="BW43" s="169">
        <f t="shared" si="47"/>
        <v>0</v>
      </c>
      <c r="BX43" s="169">
        <f t="shared" si="47"/>
        <v>0</v>
      </c>
      <c r="BY43" s="169">
        <f t="shared" si="47"/>
        <v>0</v>
      </c>
      <c r="BZ43" s="169">
        <f t="shared" si="47"/>
        <v>0</v>
      </c>
      <c r="CA43" s="169">
        <f t="shared" si="47"/>
        <v>0</v>
      </c>
      <c r="CB43" s="169">
        <f t="shared" si="47"/>
        <v>0</v>
      </c>
      <c r="CC43" s="169">
        <f t="shared" si="47"/>
        <v>0</v>
      </c>
      <c r="CD43" s="169">
        <f t="shared" si="47"/>
        <v>0</v>
      </c>
      <c r="CE43" s="169">
        <f t="shared" si="47"/>
        <v>0</v>
      </c>
      <c r="CF43" s="169">
        <f t="shared" si="47"/>
        <v>0</v>
      </c>
      <c r="CG43" s="169">
        <f t="shared" si="47"/>
        <v>0</v>
      </c>
      <c r="CH43" s="169">
        <f t="shared" si="47"/>
        <v>0</v>
      </c>
      <c r="CI43" s="169">
        <f t="shared" si="47"/>
        <v>0</v>
      </c>
      <c r="CJ43" s="169">
        <f t="shared" si="47"/>
        <v>0</v>
      </c>
      <c r="CK43" s="169">
        <f t="shared" si="47"/>
        <v>0</v>
      </c>
      <c r="CL43" s="169">
        <f t="shared" si="47"/>
        <v>0</v>
      </c>
      <c r="CM43" s="169">
        <f t="shared" si="47"/>
        <v>0</v>
      </c>
      <c r="CN43" s="169">
        <f t="shared" si="47"/>
        <v>0</v>
      </c>
      <c r="CO43" s="169">
        <f t="shared" si="47"/>
        <v>0</v>
      </c>
      <c r="CP43" s="169">
        <f t="shared" si="47"/>
        <v>0</v>
      </c>
      <c r="CQ43" s="169">
        <f t="shared" si="47"/>
        <v>0</v>
      </c>
      <c r="CR43" s="169">
        <f t="shared" si="47"/>
        <v>0</v>
      </c>
      <c r="CS43" s="169">
        <f t="shared" si="47"/>
        <v>0</v>
      </c>
      <c r="CT43" s="169">
        <f t="shared" si="47"/>
        <v>0</v>
      </c>
      <c r="CU43" s="222"/>
      <c r="CV43" s="169">
        <f t="shared" si="32"/>
        <v>0</v>
      </c>
      <c r="CW43" s="169">
        <f t="shared" si="33"/>
        <v>0</v>
      </c>
      <c r="CX43" s="169">
        <f t="shared" si="34"/>
        <v>0</v>
      </c>
      <c r="CY43" s="169">
        <f t="shared" si="35"/>
        <v>0</v>
      </c>
      <c r="CZ43" s="169">
        <f t="shared" si="36"/>
        <v>0</v>
      </c>
      <c r="DA43" s="169">
        <f t="shared" si="37"/>
        <v>0</v>
      </c>
      <c r="DB43" s="169">
        <f t="shared" si="38"/>
        <v>0</v>
      </c>
      <c r="DC43" s="169">
        <f t="shared" si="39"/>
        <v>0</v>
      </c>
      <c r="DD43" s="169">
        <f t="shared" si="40"/>
        <v>0</v>
      </c>
      <c r="DE43" s="169">
        <f t="shared" si="41"/>
        <v>0</v>
      </c>
      <c r="DF43" s="169">
        <f t="shared" si="42"/>
        <v>0</v>
      </c>
      <c r="DG43" s="169">
        <f t="shared" si="43"/>
        <v>0</v>
      </c>
      <c r="DI43" s="169">
        <f t="shared" si="17"/>
        <v>0</v>
      </c>
      <c r="DJ43" s="169">
        <f t="shared" si="18"/>
        <v>0</v>
      </c>
      <c r="DK43" s="169">
        <f t="shared" si="19"/>
        <v>0</v>
      </c>
    </row>
    <row r="44" spans="2:115" x14ac:dyDescent="0.2">
      <c r="B44" s="226" t="s">
        <v>303</v>
      </c>
      <c r="C44" s="19">
        <f>(C39+C40)*30%</f>
        <v>432337.62857142859</v>
      </c>
      <c r="D44" s="19">
        <f t="shared" ref="D44:BO44" si="48">(D39+D40)*30%</f>
        <v>386557.84285714279</v>
      </c>
      <c r="E44" s="19">
        <f t="shared" si="48"/>
        <v>395625.3</v>
      </c>
      <c r="F44" s="19">
        <f t="shared" si="48"/>
        <v>500546.14285714278</v>
      </c>
      <c r="G44" s="19">
        <f t="shared" si="48"/>
        <v>772540.62857142847</v>
      </c>
      <c r="H44" s="19">
        <f t="shared" si="48"/>
        <v>705291.34285714279</v>
      </c>
      <c r="I44" s="19">
        <f t="shared" si="48"/>
        <v>664418.48571428563</v>
      </c>
      <c r="J44" s="19">
        <f t="shared" si="48"/>
        <v>728401.63799999992</v>
      </c>
      <c r="K44" s="19">
        <f t="shared" si="48"/>
        <v>816081.94285714277</v>
      </c>
      <c r="L44" s="19">
        <f t="shared" si="48"/>
        <v>961216.44042857131</v>
      </c>
      <c r="M44" s="19">
        <f t="shared" si="48"/>
        <v>945513.11057142843</v>
      </c>
      <c r="N44" s="19">
        <f t="shared" si="48"/>
        <v>1355044.4571428571</v>
      </c>
      <c r="O44" s="19">
        <f t="shared" si="48"/>
        <v>1521866.2182857143</v>
      </c>
      <c r="P44" s="19">
        <f t="shared" si="48"/>
        <v>1540393.5754285711</v>
      </c>
      <c r="Q44" s="19">
        <f t="shared" si="48"/>
        <v>1865672.9507142855</v>
      </c>
      <c r="R44" s="19">
        <f t="shared" si="48"/>
        <v>1682936.1539999999</v>
      </c>
      <c r="S44" s="19">
        <f t="shared" si="48"/>
        <v>1559922.0539999998</v>
      </c>
      <c r="T44" s="19">
        <f t="shared" si="48"/>
        <v>1645490.0999999999</v>
      </c>
      <c r="U44" s="19">
        <f t="shared" si="48"/>
        <v>1860716.0999999999</v>
      </c>
      <c r="V44" s="19">
        <f t="shared" si="48"/>
        <v>1859840.0999999999</v>
      </c>
      <c r="W44" s="19">
        <f t="shared" si="48"/>
        <v>1873235.7</v>
      </c>
      <c r="X44" s="19">
        <f t="shared" si="48"/>
        <v>1988320.3289999999</v>
      </c>
      <c r="Y44" s="19">
        <f t="shared" si="48"/>
        <v>2085105.2889999999</v>
      </c>
      <c r="Z44" s="19">
        <f t="shared" si="48"/>
        <v>1954437.2852857138</v>
      </c>
      <c r="AA44" s="19">
        <f t="shared" si="48"/>
        <v>1780229.7075</v>
      </c>
      <c r="AB44" s="19">
        <f t="shared" si="48"/>
        <v>1738410.9060000002</v>
      </c>
      <c r="AC44" s="19">
        <f t="shared" si="48"/>
        <v>939677.637428571</v>
      </c>
      <c r="AD44" s="19">
        <f t="shared" si="48"/>
        <v>804361.8165357149</v>
      </c>
      <c r="AE44" s="19">
        <f t="shared" si="48"/>
        <v>806031.05742857105</v>
      </c>
      <c r="AF44" s="19">
        <f t="shared" si="48"/>
        <v>977399.19524999987</v>
      </c>
      <c r="AG44" s="19">
        <f t="shared" si="48"/>
        <v>1026429.4199999999</v>
      </c>
      <c r="AH44" s="19">
        <f t="shared" si="48"/>
        <v>1210581.1980000001</v>
      </c>
      <c r="AI44" s="19">
        <f t="shared" si="48"/>
        <v>1238434.7785</v>
      </c>
      <c r="AJ44" s="19">
        <f t="shared" si="48"/>
        <v>1546796.4375</v>
      </c>
      <c r="AK44" s="19">
        <f t="shared" si="48"/>
        <v>1522920.842942307</v>
      </c>
      <c r="AL44" s="19">
        <f t="shared" si="48"/>
        <v>1170893.54248077</v>
      </c>
      <c r="AM44" s="19">
        <f t="shared" si="48"/>
        <v>1089461.244980769</v>
      </c>
      <c r="AN44" s="19">
        <f t="shared" si="48"/>
        <v>999109.09484615398</v>
      </c>
      <c r="AO44" s="19">
        <f t="shared" si="48"/>
        <v>1095914.7988076922</v>
      </c>
      <c r="AP44" s="19">
        <f t="shared" si="48"/>
        <v>790062.38263461599</v>
      </c>
      <c r="AQ44" s="19">
        <f t="shared" si="48"/>
        <v>919253.55336538493</v>
      </c>
      <c r="AR44" s="19">
        <f t="shared" si="48"/>
        <v>851095.22832692391</v>
      </c>
      <c r="AS44" s="19">
        <f t="shared" si="48"/>
        <v>874741.59617307689</v>
      </c>
      <c r="AT44" s="19">
        <f t="shared" si="48"/>
        <v>899299.80980769231</v>
      </c>
      <c r="AU44" s="19">
        <f t="shared" si="48"/>
        <v>967991.86913461506</v>
      </c>
      <c r="AV44" s="19">
        <f t="shared" si="48"/>
        <v>855151.29842307698</v>
      </c>
      <c r="AW44" s="19">
        <f t="shared" si="48"/>
        <v>753582.75232692307</v>
      </c>
      <c r="AX44" s="19">
        <f t="shared" si="48"/>
        <v>744579.47263461538</v>
      </c>
      <c r="AY44" s="19">
        <f t="shared" si="48"/>
        <v>564675.11890384613</v>
      </c>
      <c r="AZ44" s="19">
        <f t="shared" si="48"/>
        <v>526636.91967307683</v>
      </c>
      <c r="BA44" s="19">
        <f t="shared" si="48"/>
        <v>519594.56465384702</v>
      </c>
      <c r="BB44" s="19">
        <f t="shared" si="48"/>
        <v>475711.57092307694</v>
      </c>
      <c r="BC44" s="19">
        <f t="shared" si="48"/>
        <v>493906.8789230769</v>
      </c>
      <c r="BD44" s="19">
        <f t="shared" si="48"/>
        <v>458475.21028846159</v>
      </c>
      <c r="BE44" s="19">
        <f t="shared" si="48"/>
        <v>501280.60026923066</v>
      </c>
      <c r="BF44" s="19">
        <f t="shared" si="48"/>
        <v>0</v>
      </c>
      <c r="BG44" s="19">
        <f t="shared" si="48"/>
        <v>0</v>
      </c>
      <c r="BH44" s="19">
        <f t="shared" si="48"/>
        <v>0</v>
      </c>
      <c r="BI44" s="19">
        <f t="shared" si="48"/>
        <v>0</v>
      </c>
      <c r="BJ44" s="19">
        <f t="shared" si="48"/>
        <v>0</v>
      </c>
      <c r="BK44" s="19">
        <f t="shared" si="48"/>
        <v>0</v>
      </c>
      <c r="BL44" s="19">
        <f t="shared" si="48"/>
        <v>0</v>
      </c>
      <c r="BM44" s="19">
        <f t="shared" si="48"/>
        <v>0</v>
      </c>
      <c r="BN44" s="19">
        <f t="shared" si="48"/>
        <v>0</v>
      </c>
      <c r="BO44" s="19">
        <f t="shared" si="48"/>
        <v>0</v>
      </c>
      <c r="BP44" s="19">
        <f t="shared" ref="BP44:CT44" si="49">(BP39+BP40)*30%</f>
        <v>0</v>
      </c>
      <c r="BQ44" s="19">
        <f t="shared" si="49"/>
        <v>0</v>
      </c>
      <c r="BR44" s="19">
        <f t="shared" si="49"/>
        <v>0</v>
      </c>
      <c r="BS44" s="19">
        <f t="shared" si="49"/>
        <v>0</v>
      </c>
      <c r="BT44" s="19">
        <f t="shared" si="49"/>
        <v>0</v>
      </c>
      <c r="BU44" s="19">
        <f t="shared" si="49"/>
        <v>0</v>
      </c>
      <c r="BV44" s="19">
        <f t="shared" si="49"/>
        <v>0</v>
      </c>
      <c r="BW44" s="19">
        <f t="shared" si="49"/>
        <v>0</v>
      </c>
      <c r="BX44" s="19">
        <f t="shared" si="49"/>
        <v>0</v>
      </c>
      <c r="BY44" s="19">
        <f t="shared" si="49"/>
        <v>0</v>
      </c>
      <c r="BZ44" s="19">
        <f t="shared" si="49"/>
        <v>0</v>
      </c>
      <c r="CA44" s="19">
        <f t="shared" si="49"/>
        <v>0</v>
      </c>
      <c r="CB44" s="19">
        <f t="shared" si="49"/>
        <v>0</v>
      </c>
      <c r="CC44" s="19">
        <f t="shared" si="49"/>
        <v>0</v>
      </c>
      <c r="CD44" s="19">
        <f t="shared" si="49"/>
        <v>0</v>
      </c>
      <c r="CE44" s="19">
        <f t="shared" si="49"/>
        <v>0</v>
      </c>
      <c r="CF44" s="19">
        <f t="shared" si="49"/>
        <v>0</v>
      </c>
      <c r="CG44" s="19">
        <f t="shared" si="49"/>
        <v>0</v>
      </c>
      <c r="CH44" s="19">
        <f t="shared" si="49"/>
        <v>0</v>
      </c>
      <c r="CI44" s="19">
        <f t="shared" si="49"/>
        <v>0</v>
      </c>
      <c r="CJ44" s="19">
        <f t="shared" si="49"/>
        <v>0</v>
      </c>
      <c r="CK44" s="19">
        <f t="shared" si="49"/>
        <v>0</v>
      </c>
      <c r="CL44" s="19">
        <f t="shared" si="49"/>
        <v>0</v>
      </c>
      <c r="CM44" s="19">
        <f t="shared" si="49"/>
        <v>0</v>
      </c>
      <c r="CN44" s="19">
        <f t="shared" si="49"/>
        <v>0</v>
      </c>
      <c r="CO44" s="19">
        <f t="shared" si="49"/>
        <v>0</v>
      </c>
      <c r="CP44" s="19">
        <f t="shared" si="49"/>
        <v>0</v>
      </c>
      <c r="CQ44" s="19">
        <f t="shared" si="49"/>
        <v>0</v>
      </c>
      <c r="CR44" s="19">
        <f t="shared" si="49"/>
        <v>0</v>
      </c>
      <c r="CS44" s="19">
        <f t="shared" si="49"/>
        <v>0</v>
      </c>
      <c r="CT44" s="19">
        <f t="shared" si="49"/>
        <v>0</v>
      </c>
      <c r="CU44" s="222"/>
      <c r="CV44" s="19">
        <f t="shared" si="32"/>
        <v>0</v>
      </c>
      <c r="CW44" s="19">
        <f t="shared" si="33"/>
        <v>0</v>
      </c>
      <c r="CX44" s="19">
        <f t="shared" si="34"/>
        <v>0</v>
      </c>
      <c r="CY44" s="19">
        <f t="shared" si="35"/>
        <v>0</v>
      </c>
      <c r="CZ44" s="19">
        <f t="shared" si="36"/>
        <v>0</v>
      </c>
      <c r="DA44" s="19">
        <f t="shared" si="37"/>
        <v>0</v>
      </c>
      <c r="DB44" s="19">
        <f t="shared" si="38"/>
        <v>0</v>
      </c>
      <c r="DC44" s="19">
        <f t="shared" si="39"/>
        <v>0</v>
      </c>
      <c r="DD44" s="19">
        <f t="shared" si="40"/>
        <v>0</v>
      </c>
      <c r="DE44" s="19">
        <f t="shared" si="41"/>
        <v>0</v>
      </c>
      <c r="DF44" s="19">
        <f t="shared" si="42"/>
        <v>0</v>
      </c>
      <c r="DG44" s="19">
        <f t="shared" si="43"/>
        <v>0</v>
      </c>
      <c r="DI44" s="19">
        <f t="shared" si="17"/>
        <v>0</v>
      </c>
      <c r="DJ44" s="19">
        <f t="shared" si="18"/>
        <v>0</v>
      </c>
      <c r="DK44" s="19">
        <f t="shared" si="19"/>
        <v>0</v>
      </c>
    </row>
    <row r="45" spans="2:115" x14ac:dyDescent="0.2">
      <c r="B45" s="231" t="s">
        <v>304</v>
      </c>
      <c r="C45" s="19">
        <v>407980</v>
      </c>
      <c r="D45" s="19">
        <v>372241</v>
      </c>
      <c r="E45" s="19">
        <v>364392</v>
      </c>
      <c r="F45" s="19">
        <v>455229</v>
      </c>
      <c r="G45" s="19">
        <v>690355</v>
      </c>
      <c r="H45" s="19">
        <v>661837</v>
      </c>
      <c r="I45" s="19">
        <v>627620</v>
      </c>
      <c r="J45" s="19">
        <v>686500</v>
      </c>
      <c r="K45" s="19">
        <v>789115</v>
      </c>
      <c r="L45" s="19">
        <v>920619</v>
      </c>
      <c r="M45" s="19">
        <v>869672</v>
      </c>
      <c r="N45" s="19">
        <v>1251981</v>
      </c>
      <c r="O45" s="19">
        <v>1384367</v>
      </c>
      <c r="P45" s="19">
        <v>1423450</v>
      </c>
      <c r="Q45" s="19">
        <v>1784174</v>
      </c>
      <c r="R45" s="19">
        <v>1472189</v>
      </c>
      <c r="S45" s="19">
        <v>1448536</v>
      </c>
      <c r="T45" s="19">
        <v>1527022</v>
      </c>
      <c r="U45" s="19">
        <v>1635165</v>
      </c>
      <c r="V45" s="19">
        <v>1744979</v>
      </c>
      <c r="W45" s="19">
        <v>1753225</v>
      </c>
      <c r="X45" s="19">
        <v>1858869</v>
      </c>
      <c r="Y45" s="19">
        <v>1924866</v>
      </c>
      <c r="Z45" s="19">
        <v>1771104</v>
      </c>
      <c r="AA45" s="19">
        <v>1613238.2235497998</v>
      </c>
      <c r="AB45" s="19">
        <v>1529194</v>
      </c>
      <c r="AC45" s="19">
        <v>870821</v>
      </c>
      <c r="AD45" s="19">
        <v>662878</v>
      </c>
      <c r="AE45" s="19">
        <v>652027</v>
      </c>
      <c r="AF45" s="19">
        <v>806444</v>
      </c>
      <c r="AG45" s="19">
        <v>803221</v>
      </c>
      <c r="AH45" s="19">
        <v>988366</v>
      </c>
      <c r="AI45" s="19">
        <v>1058913</v>
      </c>
      <c r="AJ45" s="19">
        <v>1244220</v>
      </c>
      <c r="AK45" s="19">
        <v>1331230</v>
      </c>
      <c r="AL45" s="19">
        <v>1010708</v>
      </c>
      <c r="AM45" s="19">
        <v>971031</v>
      </c>
      <c r="AN45" s="19">
        <v>957358</v>
      </c>
      <c r="AO45" s="19">
        <v>985056</v>
      </c>
      <c r="AP45" s="19">
        <v>668590</v>
      </c>
      <c r="AQ45" s="19">
        <v>730889</v>
      </c>
      <c r="AR45" s="19">
        <v>676697.02016303455</v>
      </c>
      <c r="AS45" s="19">
        <v>468079</v>
      </c>
      <c r="AT45" s="19">
        <v>502751</v>
      </c>
      <c r="AU45" s="19">
        <v>588136</v>
      </c>
      <c r="AV45" s="19">
        <v>490529</v>
      </c>
      <c r="AW45" s="19">
        <v>480188</v>
      </c>
      <c r="AX45" s="19">
        <v>514766</v>
      </c>
      <c r="AY45" s="19">
        <v>379320</v>
      </c>
      <c r="AZ45" s="19">
        <v>346739</v>
      </c>
      <c r="BA45" s="19">
        <v>294356</v>
      </c>
      <c r="BB45" s="19">
        <v>238740.5701724721</v>
      </c>
      <c r="BC45" s="19">
        <v>267641.5376798397</v>
      </c>
      <c r="BD45" s="19">
        <v>250344.17805544709</v>
      </c>
      <c r="BE45" s="19">
        <v>299571.08460390236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222"/>
      <c r="CV45" s="19">
        <f t="shared" si="32"/>
        <v>0</v>
      </c>
      <c r="CW45" s="19">
        <f t="shared" si="33"/>
        <v>0</v>
      </c>
      <c r="CX45" s="19">
        <f t="shared" si="34"/>
        <v>0</v>
      </c>
      <c r="CY45" s="19">
        <f t="shared" si="35"/>
        <v>0</v>
      </c>
      <c r="CZ45" s="19">
        <f t="shared" si="36"/>
        <v>0</v>
      </c>
      <c r="DA45" s="19">
        <f t="shared" si="37"/>
        <v>0</v>
      </c>
      <c r="DB45" s="19">
        <f t="shared" si="38"/>
        <v>0</v>
      </c>
      <c r="DC45" s="19">
        <f t="shared" si="39"/>
        <v>0</v>
      </c>
      <c r="DD45" s="19">
        <f t="shared" si="40"/>
        <v>0</v>
      </c>
      <c r="DE45" s="19">
        <f t="shared" si="41"/>
        <v>0</v>
      </c>
      <c r="DF45" s="19">
        <f t="shared" si="42"/>
        <v>0</v>
      </c>
      <c r="DG45" s="19">
        <f t="shared" si="43"/>
        <v>0</v>
      </c>
      <c r="DI45" s="19">
        <f t="shared" si="17"/>
        <v>0</v>
      </c>
      <c r="DJ45" s="19">
        <f t="shared" si="18"/>
        <v>0</v>
      </c>
      <c r="DK45" s="19">
        <f t="shared" si="19"/>
        <v>0</v>
      </c>
    </row>
    <row r="46" spans="2:115" x14ac:dyDescent="0.2">
      <c r="B46" s="231" t="s">
        <v>139</v>
      </c>
      <c r="C46" s="19">
        <v>24357</v>
      </c>
      <c r="D46" s="19">
        <v>14317</v>
      </c>
      <c r="E46" s="19">
        <v>31234</v>
      </c>
      <c r="F46" s="19">
        <v>45317</v>
      </c>
      <c r="G46" s="19">
        <v>82185</v>
      </c>
      <c r="H46" s="19">
        <v>43454</v>
      </c>
      <c r="I46" s="19">
        <v>36799</v>
      </c>
      <c r="J46" s="19">
        <v>41902</v>
      </c>
      <c r="K46" s="19">
        <v>26967</v>
      </c>
      <c r="L46" s="19">
        <v>40597</v>
      </c>
      <c r="M46" s="19">
        <v>75841</v>
      </c>
      <c r="N46" s="19">
        <v>103064</v>
      </c>
      <c r="O46" s="19">
        <v>137499</v>
      </c>
      <c r="P46" s="19">
        <v>116944</v>
      </c>
      <c r="Q46" s="19">
        <v>81499</v>
      </c>
      <c r="R46" s="19">
        <v>210747</v>
      </c>
      <c r="S46" s="19">
        <v>111386</v>
      </c>
      <c r="T46" s="19">
        <v>118468</v>
      </c>
      <c r="U46" s="19">
        <v>225551</v>
      </c>
      <c r="V46" s="19">
        <v>114861</v>
      </c>
      <c r="W46" s="19">
        <v>120011</v>
      </c>
      <c r="X46" s="19">
        <v>129451</v>
      </c>
      <c r="Y46" s="19">
        <v>160239</v>
      </c>
      <c r="Z46" s="19">
        <v>183333</v>
      </c>
      <c r="AA46" s="19">
        <v>166991.77645020024</v>
      </c>
      <c r="AB46" s="19">
        <v>209216</v>
      </c>
      <c r="AC46" s="19">
        <v>68858</v>
      </c>
      <c r="AD46" s="19">
        <v>141484</v>
      </c>
      <c r="AE46" s="19">
        <v>154004</v>
      </c>
      <c r="AF46" s="19">
        <v>170955</v>
      </c>
      <c r="AG46" s="19">
        <v>223208</v>
      </c>
      <c r="AH46" s="19">
        <v>222215</v>
      </c>
      <c r="AI46" s="19">
        <v>179521</v>
      </c>
      <c r="AJ46" s="19">
        <v>302576</v>
      </c>
      <c r="AK46" s="19">
        <v>447279</v>
      </c>
      <c r="AL46" s="19">
        <v>160185</v>
      </c>
      <c r="AM46" s="19">
        <v>118431</v>
      </c>
      <c r="AN46" s="19">
        <v>41751</v>
      </c>
      <c r="AO46" s="19">
        <v>110858</v>
      </c>
      <c r="AP46" s="19">
        <v>121472</v>
      </c>
      <c r="AQ46" s="19">
        <v>188365</v>
      </c>
      <c r="AR46" s="19">
        <v>174398.62168264951</v>
      </c>
      <c r="AS46" s="19">
        <v>406663</v>
      </c>
      <c r="AT46" s="19">
        <v>396548</v>
      </c>
      <c r="AU46" s="19">
        <v>379856</v>
      </c>
      <c r="AV46" s="19">
        <v>364622</v>
      </c>
      <c r="AW46" s="19">
        <v>273395</v>
      </c>
      <c r="AX46" s="19">
        <v>229813</v>
      </c>
      <c r="AY46" s="19">
        <v>185355</v>
      </c>
      <c r="AZ46" s="19">
        <v>179898</v>
      </c>
      <c r="BA46" s="19">
        <v>225238</v>
      </c>
      <c r="BB46" s="19">
        <v>236970.9298275279</v>
      </c>
      <c r="BC46" s="19">
        <v>226265.26232016025</v>
      </c>
      <c r="BD46" s="19">
        <v>208130.82194455291</v>
      </c>
      <c r="BE46" s="19">
        <v>201709.41539609767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222"/>
      <c r="CV46" s="19">
        <f t="shared" si="32"/>
        <v>0</v>
      </c>
      <c r="CW46" s="19">
        <f t="shared" si="33"/>
        <v>0</v>
      </c>
      <c r="CX46" s="19">
        <f t="shared" si="34"/>
        <v>0</v>
      </c>
      <c r="CY46" s="19">
        <f t="shared" si="35"/>
        <v>0</v>
      </c>
      <c r="CZ46" s="19">
        <f t="shared" si="36"/>
        <v>0</v>
      </c>
      <c r="DA46" s="19">
        <f t="shared" si="37"/>
        <v>0</v>
      </c>
      <c r="DB46" s="19">
        <f t="shared" si="38"/>
        <v>0</v>
      </c>
      <c r="DC46" s="19">
        <f t="shared" si="39"/>
        <v>0</v>
      </c>
      <c r="DD46" s="19">
        <f t="shared" si="40"/>
        <v>0</v>
      </c>
      <c r="DE46" s="19">
        <f t="shared" si="41"/>
        <v>0</v>
      </c>
      <c r="DF46" s="19">
        <f t="shared" si="42"/>
        <v>0</v>
      </c>
      <c r="DG46" s="19">
        <f t="shared" si="43"/>
        <v>0</v>
      </c>
      <c r="DI46" s="19">
        <f t="shared" si="17"/>
        <v>0</v>
      </c>
      <c r="DJ46" s="19">
        <f t="shared" si="18"/>
        <v>0</v>
      </c>
      <c r="DK46" s="19">
        <f t="shared" si="19"/>
        <v>0</v>
      </c>
    </row>
    <row r="47" spans="2:115" x14ac:dyDescent="0.2">
      <c r="B47" s="226" t="s">
        <v>305</v>
      </c>
      <c r="C47" s="19">
        <f>(C39+C40)*70%</f>
        <v>1008787.7999999999</v>
      </c>
      <c r="D47" s="19">
        <f t="shared" ref="D47:BO47" si="50">(D39+D40)*70%</f>
        <v>901968.29999999981</v>
      </c>
      <c r="E47" s="19">
        <f t="shared" si="50"/>
        <v>923125.7</v>
      </c>
      <c r="F47" s="19">
        <f t="shared" si="50"/>
        <v>1167940.9999999998</v>
      </c>
      <c r="G47" s="19">
        <f t="shared" si="50"/>
        <v>1802594.7999999996</v>
      </c>
      <c r="H47" s="19">
        <f t="shared" si="50"/>
        <v>1645679.7999999998</v>
      </c>
      <c r="I47" s="19">
        <f t="shared" si="50"/>
        <v>1550309.7999999998</v>
      </c>
      <c r="J47" s="19">
        <f t="shared" si="50"/>
        <v>1699603.8219999999</v>
      </c>
      <c r="K47" s="19">
        <f t="shared" si="50"/>
        <v>1904191.1999999997</v>
      </c>
      <c r="L47" s="19">
        <f t="shared" si="50"/>
        <v>2242838.3609999996</v>
      </c>
      <c r="M47" s="19">
        <f t="shared" si="50"/>
        <v>2206197.2579999994</v>
      </c>
      <c r="N47" s="19">
        <f t="shared" si="50"/>
        <v>3161770.4</v>
      </c>
      <c r="O47" s="19">
        <f t="shared" si="50"/>
        <v>3551021.176</v>
      </c>
      <c r="P47" s="19">
        <f t="shared" si="50"/>
        <v>3594251.675999999</v>
      </c>
      <c r="Q47" s="19">
        <f t="shared" si="50"/>
        <v>4353236.8849999998</v>
      </c>
      <c r="R47" s="19">
        <f t="shared" si="50"/>
        <v>3926851.0259999996</v>
      </c>
      <c r="S47" s="19">
        <f t="shared" si="50"/>
        <v>3639818.1259999997</v>
      </c>
      <c r="T47" s="19">
        <f t="shared" si="50"/>
        <v>3839476.9</v>
      </c>
      <c r="U47" s="19">
        <f t="shared" si="50"/>
        <v>4341670.8999999994</v>
      </c>
      <c r="V47" s="19">
        <f t="shared" si="50"/>
        <v>4339626.8999999994</v>
      </c>
      <c r="W47" s="19">
        <f t="shared" si="50"/>
        <v>4370883.3</v>
      </c>
      <c r="X47" s="19">
        <f t="shared" si="50"/>
        <v>4639414.1009999998</v>
      </c>
      <c r="Y47" s="19">
        <f t="shared" si="50"/>
        <v>4865245.674333333</v>
      </c>
      <c r="Z47" s="19">
        <f t="shared" si="50"/>
        <v>4560353.6656666659</v>
      </c>
      <c r="AA47" s="19">
        <f t="shared" si="50"/>
        <v>4153869.3174999999</v>
      </c>
      <c r="AB47" s="19">
        <f t="shared" si="50"/>
        <v>4056292.1140000001</v>
      </c>
      <c r="AC47" s="19">
        <f t="shared" si="50"/>
        <v>2192581.1539999992</v>
      </c>
      <c r="AD47" s="19">
        <f t="shared" si="50"/>
        <v>1876844.2385833347</v>
      </c>
      <c r="AE47" s="19">
        <f t="shared" si="50"/>
        <v>1880739.1339999989</v>
      </c>
      <c r="AF47" s="19">
        <f t="shared" si="50"/>
        <v>2280598.1222499995</v>
      </c>
      <c r="AG47" s="19">
        <f t="shared" si="50"/>
        <v>2395001.98</v>
      </c>
      <c r="AH47" s="19">
        <f t="shared" si="50"/>
        <v>2824689.4619999998</v>
      </c>
      <c r="AI47" s="19">
        <f t="shared" si="50"/>
        <v>2889681.1498333332</v>
      </c>
      <c r="AJ47" s="19">
        <f t="shared" si="50"/>
        <v>3609191.6875</v>
      </c>
      <c r="AK47" s="19">
        <f t="shared" si="50"/>
        <v>3553481.9668653826</v>
      </c>
      <c r="AL47" s="19">
        <f t="shared" si="50"/>
        <v>2732084.9324551299</v>
      </c>
      <c r="AM47" s="19">
        <f t="shared" si="50"/>
        <v>2542076.2382884608</v>
      </c>
      <c r="AN47" s="19">
        <f t="shared" si="50"/>
        <v>2331254.5546410261</v>
      </c>
      <c r="AO47" s="19">
        <f t="shared" si="50"/>
        <v>2557134.5305512818</v>
      </c>
      <c r="AP47" s="19">
        <f t="shared" si="50"/>
        <v>1843478.8928141037</v>
      </c>
      <c r="AQ47" s="19">
        <f t="shared" si="50"/>
        <v>2144924.9578525648</v>
      </c>
      <c r="AR47" s="19">
        <f t="shared" si="50"/>
        <v>1985888.8660961557</v>
      </c>
      <c r="AS47" s="19">
        <f t="shared" si="50"/>
        <v>2041063.7244038458</v>
      </c>
      <c r="AT47" s="19">
        <f t="shared" si="50"/>
        <v>2098366.2228846154</v>
      </c>
      <c r="AU47" s="19">
        <f t="shared" si="50"/>
        <v>2258647.6946474351</v>
      </c>
      <c r="AV47" s="19">
        <f t="shared" si="50"/>
        <v>1995353.0296538461</v>
      </c>
      <c r="AW47" s="19">
        <f t="shared" si="50"/>
        <v>1758359.755429487</v>
      </c>
      <c r="AX47" s="19">
        <f t="shared" si="50"/>
        <v>1737352.1028141025</v>
      </c>
      <c r="AY47" s="19">
        <f t="shared" si="50"/>
        <v>1317575.2774423074</v>
      </c>
      <c r="AZ47" s="19">
        <f t="shared" si="50"/>
        <v>1228819.4792371793</v>
      </c>
      <c r="BA47" s="19">
        <f t="shared" si="50"/>
        <v>1212387.3175256429</v>
      </c>
      <c r="BB47" s="19">
        <f t="shared" si="50"/>
        <v>1109993.6654871795</v>
      </c>
      <c r="BC47" s="19">
        <f t="shared" si="50"/>
        <v>1152449.3841538462</v>
      </c>
      <c r="BD47" s="19">
        <f t="shared" si="50"/>
        <v>1069775.4906730771</v>
      </c>
      <c r="BE47" s="19">
        <f t="shared" si="50"/>
        <v>1169654.7339615382</v>
      </c>
      <c r="BF47" s="19">
        <f t="shared" si="50"/>
        <v>0</v>
      </c>
      <c r="BG47" s="19">
        <f t="shared" si="50"/>
        <v>0</v>
      </c>
      <c r="BH47" s="19">
        <f t="shared" si="50"/>
        <v>0</v>
      </c>
      <c r="BI47" s="19">
        <f t="shared" si="50"/>
        <v>0</v>
      </c>
      <c r="BJ47" s="19">
        <f t="shared" si="50"/>
        <v>0</v>
      </c>
      <c r="BK47" s="19">
        <f t="shared" si="50"/>
        <v>0</v>
      </c>
      <c r="BL47" s="19">
        <f t="shared" si="50"/>
        <v>0</v>
      </c>
      <c r="BM47" s="19">
        <f t="shared" si="50"/>
        <v>0</v>
      </c>
      <c r="BN47" s="19">
        <f t="shared" si="50"/>
        <v>0</v>
      </c>
      <c r="BO47" s="19">
        <f t="shared" si="50"/>
        <v>0</v>
      </c>
      <c r="BP47" s="19">
        <f t="shared" ref="BP47:CT47" si="51">(BP39+BP40)*70%</f>
        <v>0</v>
      </c>
      <c r="BQ47" s="19">
        <f t="shared" si="51"/>
        <v>0</v>
      </c>
      <c r="BR47" s="19">
        <f t="shared" si="51"/>
        <v>0</v>
      </c>
      <c r="BS47" s="19">
        <f t="shared" si="51"/>
        <v>0</v>
      </c>
      <c r="BT47" s="19">
        <f t="shared" si="51"/>
        <v>0</v>
      </c>
      <c r="BU47" s="19">
        <f t="shared" si="51"/>
        <v>0</v>
      </c>
      <c r="BV47" s="19">
        <f t="shared" si="51"/>
        <v>0</v>
      </c>
      <c r="BW47" s="19">
        <f t="shared" si="51"/>
        <v>0</v>
      </c>
      <c r="BX47" s="19">
        <f t="shared" si="51"/>
        <v>0</v>
      </c>
      <c r="BY47" s="19">
        <f t="shared" si="51"/>
        <v>0</v>
      </c>
      <c r="BZ47" s="19">
        <f t="shared" si="51"/>
        <v>0</v>
      </c>
      <c r="CA47" s="19">
        <f t="shared" si="51"/>
        <v>0</v>
      </c>
      <c r="CB47" s="19">
        <f t="shared" si="51"/>
        <v>0</v>
      </c>
      <c r="CC47" s="19">
        <f t="shared" si="51"/>
        <v>0</v>
      </c>
      <c r="CD47" s="19">
        <f t="shared" si="51"/>
        <v>0</v>
      </c>
      <c r="CE47" s="19">
        <f t="shared" si="51"/>
        <v>0</v>
      </c>
      <c r="CF47" s="19">
        <f t="shared" si="51"/>
        <v>0</v>
      </c>
      <c r="CG47" s="19">
        <f t="shared" si="51"/>
        <v>0</v>
      </c>
      <c r="CH47" s="19">
        <f t="shared" si="51"/>
        <v>0</v>
      </c>
      <c r="CI47" s="19">
        <f t="shared" si="51"/>
        <v>0</v>
      </c>
      <c r="CJ47" s="19">
        <f t="shared" si="51"/>
        <v>0</v>
      </c>
      <c r="CK47" s="19">
        <f t="shared" si="51"/>
        <v>0</v>
      </c>
      <c r="CL47" s="19">
        <f t="shared" si="51"/>
        <v>0</v>
      </c>
      <c r="CM47" s="19">
        <f t="shared" si="51"/>
        <v>0</v>
      </c>
      <c r="CN47" s="19">
        <f t="shared" si="51"/>
        <v>0</v>
      </c>
      <c r="CO47" s="19">
        <f t="shared" si="51"/>
        <v>0</v>
      </c>
      <c r="CP47" s="19">
        <f t="shared" si="51"/>
        <v>0</v>
      </c>
      <c r="CQ47" s="19">
        <f t="shared" si="51"/>
        <v>0</v>
      </c>
      <c r="CR47" s="19">
        <f t="shared" si="51"/>
        <v>0</v>
      </c>
      <c r="CS47" s="19">
        <f t="shared" si="51"/>
        <v>0</v>
      </c>
      <c r="CT47" s="19">
        <f t="shared" si="51"/>
        <v>0</v>
      </c>
      <c r="CU47" s="222"/>
      <c r="CV47" s="19">
        <f t="shared" si="32"/>
        <v>0</v>
      </c>
      <c r="CW47" s="19">
        <f t="shared" si="33"/>
        <v>0</v>
      </c>
      <c r="CX47" s="19">
        <f t="shared" si="34"/>
        <v>0</v>
      </c>
      <c r="CY47" s="19">
        <f t="shared" si="35"/>
        <v>0</v>
      </c>
      <c r="CZ47" s="19">
        <f t="shared" si="36"/>
        <v>0</v>
      </c>
      <c r="DA47" s="19">
        <f t="shared" si="37"/>
        <v>0</v>
      </c>
      <c r="DB47" s="19">
        <f t="shared" si="38"/>
        <v>0</v>
      </c>
      <c r="DC47" s="19">
        <f t="shared" si="39"/>
        <v>0</v>
      </c>
      <c r="DD47" s="19">
        <f t="shared" si="40"/>
        <v>0</v>
      </c>
      <c r="DE47" s="19">
        <f t="shared" si="41"/>
        <v>0</v>
      </c>
      <c r="DF47" s="19">
        <f t="shared" si="42"/>
        <v>0</v>
      </c>
      <c r="DG47" s="19">
        <f t="shared" si="43"/>
        <v>0</v>
      </c>
      <c r="DI47" s="19">
        <f t="shared" si="17"/>
        <v>0</v>
      </c>
      <c r="DJ47" s="19">
        <f t="shared" si="18"/>
        <v>0</v>
      </c>
      <c r="DK47" s="19">
        <f t="shared" si="19"/>
        <v>0</v>
      </c>
    </row>
    <row r="48" spans="2:115" x14ac:dyDescent="0.2">
      <c r="B48" s="228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222"/>
      <c r="CV48" s="10">
        <f t="shared" si="32"/>
        <v>0</v>
      </c>
      <c r="CW48" s="10">
        <f t="shared" si="33"/>
        <v>0</v>
      </c>
      <c r="CX48" s="10">
        <f t="shared" si="34"/>
        <v>0</v>
      </c>
      <c r="CY48" s="10">
        <f t="shared" si="35"/>
        <v>0</v>
      </c>
      <c r="CZ48" s="10">
        <f t="shared" si="36"/>
        <v>0</v>
      </c>
      <c r="DA48" s="10">
        <f t="shared" si="37"/>
        <v>0</v>
      </c>
      <c r="DB48" s="10">
        <f t="shared" si="38"/>
        <v>0</v>
      </c>
      <c r="DC48" s="10">
        <f t="shared" si="39"/>
        <v>0</v>
      </c>
      <c r="DD48" s="10">
        <f t="shared" si="40"/>
        <v>0</v>
      </c>
      <c r="DE48" s="10">
        <f t="shared" si="41"/>
        <v>0</v>
      </c>
      <c r="DF48" s="10">
        <f t="shared" si="42"/>
        <v>0</v>
      </c>
      <c r="DG48" s="10">
        <f t="shared" si="43"/>
        <v>0</v>
      </c>
      <c r="DI48" s="10">
        <f t="shared" si="17"/>
        <v>0</v>
      </c>
      <c r="DJ48" s="10">
        <f t="shared" si="18"/>
        <v>0</v>
      </c>
      <c r="DK48" s="10">
        <f t="shared" si="19"/>
        <v>0</v>
      </c>
    </row>
    <row r="49" spans="2:115" x14ac:dyDescent="0.2">
      <c r="B49" s="227" t="s">
        <v>306</v>
      </c>
      <c r="C49" s="169">
        <f>SUM(C50:C51)</f>
        <v>48616926.241428576</v>
      </c>
      <c r="D49" s="169">
        <f t="shared" ref="D49:BO49" si="52">SUM(D50:D51)</f>
        <v>117298419.98285715</v>
      </c>
      <c r="E49" s="169">
        <f t="shared" si="52"/>
        <v>166587694.84999999</v>
      </c>
      <c r="F49" s="169">
        <f t="shared" si="52"/>
        <v>62975113.798571438</v>
      </c>
      <c r="G49" s="169">
        <f t="shared" si="52"/>
        <v>105182943.99571428</v>
      </c>
      <c r="H49" s="169">
        <f t="shared" si="52"/>
        <v>27296933.161428586</v>
      </c>
      <c r="I49" s="169">
        <f t="shared" si="52"/>
        <v>67763444.451428592</v>
      </c>
      <c r="J49" s="169">
        <f t="shared" si="52"/>
        <v>138882652.24142855</v>
      </c>
      <c r="K49" s="169">
        <f t="shared" si="52"/>
        <v>42704834.915714294</v>
      </c>
      <c r="L49" s="169">
        <f t="shared" si="52"/>
        <v>140537543.77571431</v>
      </c>
      <c r="M49" s="169">
        <f t="shared" si="52"/>
        <v>122456156.17</v>
      </c>
      <c r="N49" s="169">
        <f t="shared" si="52"/>
        <v>203784301.2257143</v>
      </c>
      <c r="O49" s="169">
        <f t="shared" si="52"/>
        <v>163208584.21973407</v>
      </c>
      <c r="P49" s="169">
        <f t="shared" si="52"/>
        <v>178612039.42285714</v>
      </c>
      <c r="Q49" s="169">
        <f t="shared" si="52"/>
        <v>99800163.538571432</v>
      </c>
      <c r="R49" s="169">
        <f t="shared" si="52"/>
        <v>174280148.25</v>
      </c>
      <c r="S49" s="169">
        <f t="shared" si="52"/>
        <v>159227281.25999999</v>
      </c>
      <c r="T49" s="169">
        <f t="shared" si="52"/>
        <v>52979044.460000008</v>
      </c>
      <c r="U49" s="169">
        <f t="shared" si="52"/>
        <v>131534631.5</v>
      </c>
      <c r="V49" s="169">
        <f t="shared" si="52"/>
        <v>167646246.5</v>
      </c>
      <c r="W49" s="169">
        <f t="shared" si="52"/>
        <v>54725296.560000002</v>
      </c>
      <c r="X49" s="169">
        <f t="shared" si="52"/>
        <v>195014930.78</v>
      </c>
      <c r="Y49" s="169">
        <f t="shared" si="52"/>
        <v>206648188.64999998</v>
      </c>
      <c r="Z49" s="169">
        <f t="shared" si="52"/>
        <v>98833878.541380957</v>
      </c>
      <c r="AA49" s="169">
        <f t="shared" si="52"/>
        <v>22492020.370000001</v>
      </c>
      <c r="AB49" s="169">
        <f t="shared" si="52"/>
        <v>20545817.457571428</v>
      </c>
      <c r="AC49" s="169">
        <f t="shared" si="52"/>
        <v>70538122.881976187</v>
      </c>
      <c r="AD49" s="169">
        <f t="shared" si="52"/>
        <v>83886227.60989286</v>
      </c>
      <c r="AE49" s="169">
        <f t="shared" si="52"/>
        <v>206389584.25</v>
      </c>
      <c r="AF49" s="169">
        <f t="shared" si="52"/>
        <v>163253977.60999998</v>
      </c>
      <c r="AG49" s="169">
        <f t="shared" si="52"/>
        <v>201243752.33166668</v>
      </c>
      <c r="AH49" s="169">
        <f t="shared" si="52"/>
        <v>212694136.5645</v>
      </c>
      <c r="AI49" s="169">
        <f t="shared" si="52"/>
        <v>24156435.423999995</v>
      </c>
      <c r="AJ49" s="169">
        <f t="shared" si="52"/>
        <v>180823108.50416666</v>
      </c>
      <c r="AK49" s="169">
        <f t="shared" si="52"/>
        <v>184115501.63442948</v>
      </c>
      <c r="AL49" s="169">
        <f t="shared" si="52"/>
        <v>195504755.46309614</v>
      </c>
      <c r="AM49" s="169">
        <f t="shared" si="52"/>
        <v>107996110.55854486</v>
      </c>
      <c r="AN49" s="169">
        <f t="shared" si="52"/>
        <v>122382688.70925641</v>
      </c>
      <c r="AO49" s="169">
        <f t="shared" si="52"/>
        <v>194690303.61000001</v>
      </c>
      <c r="AP49" s="169">
        <f t="shared" si="52"/>
        <v>191471177.68000001</v>
      </c>
      <c r="AQ49" s="169">
        <f t="shared" si="52"/>
        <v>292056672.75</v>
      </c>
      <c r="AR49" s="169">
        <f t="shared" si="52"/>
        <v>181010079.57000002</v>
      </c>
      <c r="AS49" s="169">
        <f t="shared" si="52"/>
        <v>303870565.694475</v>
      </c>
      <c r="AT49" s="169">
        <f t="shared" si="52"/>
        <v>402895762.49000001</v>
      </c>
      <c r="AU49" s="169">
        <f t="shared" si="52"/>
        <v>174972227.28</v>
      </c>
      <c r="AV49" s="169">
        <f t="shared" si="52"/>
        <v>104394706.09999999</v>
      </c>
      <c r="AW49" s="169">
        <f t="shared" si="52"/>
        <v>17866413.549999997</v>
      </c>
      <c r="AX49" s="169">
        <f t="shared" si="52"/>
        <v>91622778.599999994</v>
      </c>
      <c r="AY49" s="169">
        <f t="shared" si="52"/>
        <v>3632308.5</v>
      </c>
      <c r="AZ49" s="169">
        <f t="shared" si="52"/>
        <v>145194</v>
      </c>
      <c r="BA49" s="169">
        <f t="shared" si="52"/>
        <v>36828956.499999993</v>
      </c>
      <c r="BB49" s="169">
        <f t="shared" si="52"/>
        <v>91007093.400000006</v>
      </c>
      <c r="BC49" s="169">
        <f t="shared" si="52"/>
        <v>115131819.80000001</v>
      </c>
      <c r="BD49" s="169">
        <f t="shared" si="52"/>
        <v>68599932.5</v>
      </c>
      <c r="BE49" s="169">
        <f t="shared" si="52"/>
        <v>193359701.39999995</v>
      </c>
      <c r="BF49" s="169">
        <f t="shared" si="52"/>
        <v>10209338.100000001</v>
      </c>
      <c r="BG49" s="169">
        <f t="shared" si="52"/>
        <v>1511227</v>
      </c>
      <c r="BH49" s="169">
        <f t="shared" si="52"/>
        <v>31285357.100000005</v>
      </c>
      <c r="BI49" s="169">
        <f t="shared" si="52"/>
        <v>50734741.199999996</v>
      </c>
      <c r="BJ49" s="169">
        <f t="shared" si="52"/>
        <v>20627625.499999996</v>
      </c>
      <c r="BK49" s="169">
        <f t="shared" si="52"/>
        <v>123691.7</v>
      </c>
      <c r="BL49" s="169">
        <f t="shared" si="52"/>
        <v>2388045</v>
      </c>
      <c r="BM49" s="169">
        <f t="shared" si="52"/>
        <v>19372265.199999999</v>
      </c>
      <c r="BN49" s="169">
        <f t="shared" si="52"/>
        <v>45207354.600000009</v>
      </c>
      <c r="BO49" s="169">
        <f t="shared" si="52"/>
        <v>168276178.19620407</v>
      </c>
      <c r="BP49" s="169">
        <f t="shared" ref="BP49:CT49" si="53">SUM(BP50:BP51)</f>
        <v>536490.60000000009</v>
      </c>
      <c r="BQ49" s="169">
        <f t="shared" si="53"/>
        <v>3417800.4000000008</v>
      </c>
      <c r="BR49" s="169">
        <f t="shared" si="53"/>
        <v>888919.9</v>
      </c>
      <c r="BS49" s="169">
        <f t="shared" si="53"/>
        <v>0</v>
      </c>
      <c r="BT49" s="169">
        <f t="shared" si="53"/>
        <v>0</v>
      </c>
      <c r="BU49" s="169">
        <f t="shared" si="53"/>
        <v>2428585.7000000007</v>
      </c>
      <c r="BV49" s="169">
        <f t="shared" si="53"/>
        <v>3656151.4</v>
      </c>
      <c r="BW49" s="169">
        <f t="shared" si="53"/>
        <v>9786360.5</v>
      </c>
      <c r="BX49" s="169">
        <f t="shared" si="53"/>
        <v>7816943.7999999998</v>
      </c>
      <c r="BY49" s="169">
        <f t="shared" si="53"/>
        <v>14439248.900000002</v>
      </c>
      <c r="BZ49" s="169">
        <f t="shared" si="53"/>
        <v>9319471.0999999978</v>
      </c>
      <c r="CA49" s="169">
        <f t="shared" si="53"/>
        <v>3382424.6999999997</v>
      </c>
      <c r="CB49" s="169">
        <f t="shared" si="53"/>
        <v>7532808.6999999983</v>
      </c>
      <c r="CC49" s="169">
        <f t="shared" si="53"/>
        <v>81920931.900000006</v>
      </c>
      <c r="CD49" s="169">
        <f t="shared" si="53"/>
        <v>160183414.29105595</v>
      </c>
      <c r="CE49" s="169">
        <f t="shared" si="53"/>
        <v>77954383.793300018</v>
      </c>
      <c r="CF49" s="169">
        <f t="shared" si="53"/>
        <v>25242848.109999992</v>
      </c>
      <c r="CG49" s="169">
        <f t="shared" si="53"/>
        <v>18198838.199999999</v>
      </c>
      <c r="CH49" s="169">
        <f t="shared" si="53"/>
        <v>13888186.23</v>
      </c>
      <c r="CI49" s="169">
        <f t="shared" si="53"/>
        <v>160429232.16084993</v>
      </c>
      <c r="CJ49" s="169">
        <f t="shared" si="53"/>
        <v>169527695.9557507</v>
      </c>
      <c r="CK49" s="169">
        <f t="shared" si="53"/>
        <v>80935862.755000025</v>
      </c>
      <c r="CL49" s="169">
        <f t="shared" si="53"/>
        <v>30928575.109999992</v>
      </c>
      <c r="CM49" s="169">
        <f t="shared" si="53"/>
        <v>48521215.100000001</v>
      </c>
      <c r="CN49" s="169">
        <f t="shared" si="53"/>
        <v>89827127.200000003</v>
      </c>
      <c r="CO49" s="169">
        <f t="shared" si="53"/>
        <v>292930013.18999988</v>
      </c>
      <c r="CP49" s="169">
        <f t="shared" si="53"/>
        <v>231455155.89999998</v>
      </c>
      <c r="CQ49" s="169">
        <f t="shared" si="53"/>
        <v>14014458.099999998</v>
      </c>
      <c r="CR49" s="169">
        <f t="shared" si="53"/>
        <v>140384007.16000003</v>
      </c>
      <c r="CS49" s="169">
        <f t="shared" si="53"/>
        <v>101596107.39999999</v>
      </c>
      <c r="CT49" s="169">
        <f t="shared" si="53"/>
        <v>104803946.8</v>
      </c>
      <c r="CU49" s="222"/>
      <c r="CV49" s="169">
        <f t="shared" si="32"/>
        <v>21884001.899999999</v>
      </c>
      <c r="CW49" s="169">
        <f t="shared" si="33"/>
        <v>214020023.39620408</v>
      </c>
      <c r="CX49" s="169">
        <f t="shared" si="34"/>
        <v>4306720.3000000007</v>
      </c>
      <c r="CY49" s="169">
        <f t="shared" si="35"/>
        <v>6084737.1000000006</v>
      </c>
      <c r="CZ49" s="169">
        <f t="shared" si="36"/>
        <v>32042553.200000003</v>
      </c>
      <c r="DA49" s="169">
        <f t="shared" si="37"/>
        <v>20234704.499999996</v>
      </c>
      <c r="DB49" s="169">
        <f t="shared" si="38"/>
        <v>320058729.98435599</v>
      </c>
      <c r="DC49" s="169">
        <f t="shared" si="39"/>
        <v>57329872.539999992</v>
      </c>
      <c r="DD49" s="169">
        <f t="shared" si="40"/>
        <v>410892790.87160063</v>
      </c>
      <c r="DE49" s="169">
        <f t="shared" si="41"/>
        <v>169276917.41</v>
      </c>
      <c r="DF49" s="169">
        <f t="shared" si="42"/>
        <v>538399627.18999982</v>
      </c>
      <c r="DG49" s="169">
        <f t="shared" si="43"/>
        <v>346784061.36000001</v>
      </c>
      <c r="DI49" s="169">
        <f t="shared" si="17"/>
        <v>246295482.6962041</v>
      </c>
      <c r="DJ49" s="169">
        <f t="shared" si="18"/>
        <v>429665860.22435594</v>
      </c>
      <c r="DK49" s="169">
        <f t="shared" si="19"/>
        <v>1465353396.8316007</v>
      </c>
    </row>
    <row r="50" spans="2:115" x14ac:dyDescent="0.2">
      <c r="B50" s="225" t="s">
        <v>19</v>
      </c>
      <c r="C50" s="19">
        <v>46819406.670000002</v>
      </c>
      <c r="D50" s="19">
        <v>115989859.84</v>
      </c>
      <c r="E50" s="19">
        <v>165181774.84999999</v>
      </c>
      <c r="F50" s="19">
        <v>61383673.370000005</v>
      </c>
      <c r="G50" s="19">
        <v>103693183.70999999</v>
      </c>
      <c r="H50" s="19">
        <v>26580173.590000004</v>
      </c>
      <c r="I50" s="19">
        <v>66845444.88000001</v>
      </c>
      <c r="J50" s="19">
        <v>136861452.66999999</v>
      </c>
      <c r="K50" s="19">
        <v>40511674.630000003</v>
      </c>
      <c r="L50" s="19">
        <v>138653343.49000001</v>
      </c>
      <c r="M50" s="19">
        <v>120798396.17</v>
      </c>
      <c r="N50" s="19">
        <v>202097940.94</v>
      </c>
      <c r="O50" s="19">
        <v>161502543.48000002</v>
      </c>
      <c r="P50" s="19">
        <v>176779559.27999997</v>
      </c>
      <c r="Q50" s="19">
        <v>97772283.040000007</v>
      </c>
      <c r="R50" s="19">
        <v>172196388.5</v>
      </c>
      <c r="S50" s="19">
        <v>157410561.25999999</v>
      </c>
      <c r="T50" s="19">
        <v>50804844.460000008</v>
      </c>
      <c r="U50" s="19">
        <v>127751950.5</v>
      </c>
      <c r="V50" s="19">
        <v>162897846.5</v>
      </c>
      <c r="W50" s="19">
        <v>51983543.560000002</v>
      </c>
      <c r="X50" s="19">
        <v>192202972.78</v>
      </c>
      <c r="Y50" s="19">
        <v>204070554.64999998</v>
      </c>
      <c r="Z50" s="19">
        <v>96408080.469999999</v>
      </c>
      <c r="AA50" s="19">
        <v>22492020.370000001</v>
      </c>
      <c r="AB50" s="19">
        <v>19702636.5</v>
      </c>
      <c r="AC50" s="19">
        <v>69456662.989999995</v>
      </c>
      <c r="AD50" s="19">
        <v>79945769.609999999</v>
      </c>
      <c r="AE50" s="19">
        <v>196014928.25</v>
      </c>
      <c r="AF50" s="19">
        <v>155490068.60999998</v>
      </c>
      <c r="AG50" s="19">
        <v>198690773.93000001</v>
      </c>
      <c r="AH50" s="19">
        <v>208825605.13</v>
      </c>
      <c r="AI50" s="19">
        <v>14230529.879999995</v>
      </c>
      <c r="AJ50" s="19">
        <v>174034783.31999999</v>
      </c>
      <c r="AK50" s="19">
        <v>175390384.84999999</v>
      </c>
      <c r="AL50" s="19">
        <v>189369103.31</v>
      </c>
      <c r="AM50" s="19">
        <v>103379015.97999999</v>
      </c>
      <c r="AN50" s="19">
        <v>120417989.57000001</v>
      </c>
      <c r="AO50" s="19">
        <v>188670893.11000001</v>
      </c>
      <c r="AP50" s="19">
        <v>185825307.18000001</v>
      </c>
      <c r="AQ50" s="19">
        <v>282835390.75</v>
      </c>
      <c r="AR50" s="19">
        <v>175291411.86000001</v>
      </c>
      <c r="AS50" s="19">
        <v>292063293.26999998</v>
      </c>
      <c r="AT50" s="19">
        <v>397883893.73000002</v>
      </c>
      <c r="AU50" s="19">
        <v>173061025.81</v>
      </c>
      <c r="AV50" s="19">
        <v>103223748.09999999</v>
      </c>
      <c r="AW50" s="19">
        <v>17126706.549999997</v>
      </c>
      <c r="AX50" s="19">
        <v>88703883.599999994</v>
      </c>
      <c r="AY50" s="19">
        <v>3480988.5</v>
      </c>
      <c r="AZ50" s="19">
        <v>139400</v>
      </c>
      <c r="BA50" s="19">
        <v>33791620.599999994</v>
      </c>
      <c r="BB50" s="19">
        <v>85162366.600000009</v>
      </c>
      <c r="BC50" s="19">
        <v>107379189.90000001</v>
      </c>
      <c r="BD50" s="19">
        <v>64121437.799999997</v>
      </c>
      <c r="BE50" s="19">
        <v>180830045.59999993</v>
      </c>
      <c r="BF50" s="19">
        <v>9543200.2000000011</v>
      </c>
      <c r="BG50" s="19">
        <v>1414781.8</v>
      </c>
      <c r="BH50" s="19">
        <v>29334437.000000004</v>
      </c>
      <c r="BI50" s="19">
        <v>47543774.999999993</v>
      </c>
      <c r="BJ50" s="19">
        <v>19309563.799999997</v>
      </c>
      <c r="BK50" s="19">
        <v>118391</v>
      </c>
      <c r="BL50" s="19">
        <v>2286973.5</v>
      </c>
      <c r="BM50" s="19">
        <v>18574171</v>
      </c>
      <c r="BN50" s="19">
        <v>43233603.600000009</v>
      </c>
      <c r="BO50" s="19">
        <v>161440943.09620407</v>
      </c>
      <c r="BP50" s="19">
        <v>514647.30000000005</v>
      </c>
      <c r="BQ50" s="19">
        <v>3317708.7000000007</v>
      </c>
      <c r="BR50" s="19">
        <v>792508</v>
      </c>
      <c r="BS50" s="19">
        <v>0</v>
      </c>
      <c r="BT50" s="19">
        <v>0</v>
      </c>
      <c r="BU50" s="19">
        <v>2357235.8000000007</v>
      </c>
      <c r="BV50" s="19">
        <v>3548764.3</v>
      </c>
      <c r="BW50" s="19">
        <v>9499656.1999999993</v>
      </c>
      <c r="BX50" s="19">
        <v>7587890.2000000002</v>
      </c>
      <c r="BY50" s="19">
        <v>14016728.000000002</v>
      </c>
      <c r="BZ50" s="19">
        <v>9046769.8999999985</v>
      </c>
      <c r="CA50" s="19">
        <v>3283686.9</v>
      </c>
      <c r="CB50" s="19">
        <v>7312875.9999999981</v>
      </c>
      <c r="CC50" s="19">
        <v>81392860.5</v>
      </c>
      <c r="CD50" s="19">
        <v>159609450.09105596</v>
      </c>
      <c r="CE50" s="19">
        <v>77512781.393300012</v>
      </c>
      <c r="CF50" s="19">
        <v>24519987.00999999</v>
      </c>
      <c r="CG50" s="19">
        <v>17667505.5</v>
      </c>
      <c r="CH50" s="19">
        <v>13502975.130000001</v>
      </c>
      <c r="CI50" s="19">
        <v>159974796.36084992</v>
      </c>
      <c r="CJ50" s="19">
        <v>168505623.25575072</v>
      </c>
      <c r="CK50" s="19">
        <v>80066962.255000025</v>
      </c>
      <c r="CL50" s="19">
        <v>30015685.00999999</v>
      </c>
      <c r="CM50" s="19">
        <v>48268946</v>
      </c>
      <c r="CN50" s="19">
        <v>89241401.799999997</v>
      </c>
      <c r="CO50" s="19">
        <v>291833883.68999988</v>
      </c>
      <c r="CP50" s="19">
        <v>230496801.99999997</v>
      </c>
      <c r="CQ50" s="19">
        <v>13613193.099999998</v>
      </c>
      <c r="CR50" s="19">
        <v>140000857.66000003</v>
      </c>
      <c r="CS50" s="19">
        <v>101226214.3</v>
      </c>
      <c r="CT50" s="19">
        <v>104445047.8</v>
      </c>
      <c r="CU50" s="222"/>
      <c r="CV50" s="19">
        <f t="shared" si="32"/>
        <v>20979535.5</v>
      </c>
      <c r="CW50" s="19">
        <f t="shared" si="33"/>
        <v>205189193.99620408</v>
      </c>
      <c r="CX50" s="19">
        <f t="shared" si="34"/>
        <v>4110216.7000000007</v>
      </c>
      <c r="CY50" s="19">
        <f t="shared" si="35"/>
        <v>5906000.1000000006</v>
      </c>
      <c r="CZ50" s="19">
        <f t="shared" si="36"/>
        <v>31104274.399999999</v>
      </c>
      <c r="DA50" s="19">
        <f t="shared" si="37"/>
        <v>19643332.799999997</v>
      </c>
      <c r="DB50" s="19">
        <f t="shared" si="38"/>
        <v>318515091.98435599</v>
      </c>
      <c r="DC50" s="19">
        <f t="shared" si="39"/>
        <v>55690467.639999993</v>
      </c>
      <c r="DD50" s="19">
        <f t="shared" si="40"/>
        <v>408547381.87160063</v>
      </c>
      <c r="DE50" s="19">
        <f t="shared" si="41"/>
        <v>167526032.81</v>
      </c>
      <c r="DF50" s="19">
        <f t="shared" si="42"/>
        <v>535943878.78999984</v>
      </c>
      <c r="DG50" s="19">
        <f t="shared" si="43"/>
        <v>345672119.76000005</v>
      </c>
      <c r="DI50" s="19">
        <f t="shared" si="17"/>
        <v>236184946.29620406</v>
      </c>
      <c r="DJ50" s="19">
        <f t="shared" si="18"/>
        <v>424953166.82435596</v>
      </c>
      <c r="DK50" s="19">
        <f t="shared" si="19"/>
        <v>1457689413.2316005</v>
      </c>
    </row>
    <row r="51" spans="2:115" x14ac:dyDescent="0.2">
      <c r="B51" s="229" t="s">
        <v>295</v>
      </c>
      <c r="C51" s="19">
        <v>1797519.5714285714</v>
      </c>
      <c r="D51" s="19">
        <v>1308560.1428571423</v>
      </c>
      <c r="E51" s="19">
        <v>1405920.0000000005</v>
      </c>
      <c r="F51" s="19">
        <v>1591440.4285714291</v>
      </c>
      <c r="G51" s="19">
        <v>1489760.285714291</v>
      </c>
      <c r="H51" s="19">
        <v>716759.57142858393</v>
      </c>
      <c r="I51" s="19">
        <v>917999.57142858207</v>
      </c>
      <c r="J51" s="19">
        <v>2021199.5714285821</v>
      </c>
      <c r="K51" s="19">
        <v>2193160.2857142901</v>
      </c>
      <c r="L51" s="19">
        <v>1884200.2857142938</v>
      </c>
      <c r="M51" s="19">
        <v>1657760.0000000037</v>
      </c>
      <c r="N51" s="19">
        <v>1686360.2857142873</v>
      </c>
      <c r="O51" s="19">
        <v>1706040.7397340629</v>
      </c>
      <c r="P51" s="19">
        <v>1832480.1428571576</v>
      </c>
      <c r="Q51" s="19">
        <v>2027880.4985714285</v>
      </c>
      <c r="R51" s="19">
        <v>2083759.75</v>
      </c>
      <c r="S51" s="19">
        <v>1816720</v>
      </c>
      <c r="T51" s="19">
        <v>2174200</v>
      </c>
      <c r="U51" s="19">
        <v>3782681</v>
      </c>
      <c r="V51" s="19">
        <v>4748400</v>
      </c>
      <c r="W51" s="19">
        <v>2741753</v>
      </c>
      <c r="X51" s="19">
        <v>2811958</v>
      </c>
      <c r="Y51" s="19">
        <v>2577634</v>
      </c>
      <c r="Z51" s="19">
        <v>2425798.0713809561</v>
      </c>
      <c r="AA51" s="19">
        <v>0</v>
      </c>
      <c r="AB51" s="19">
        <v>843180.9575714299</v>
      </c>
      <c r="AC51" s="19">
        <v>1081459.8919761889</v>
      </c>
      <c r="AD51" s="19">
        <v>3940457.9998928551</v>
      </c>
      <c r="AE51" s="19">
        <v>10374656</v>
      </c>
      <c r="AF51" s="19">
        <v>7763909</v>
      </c>
      <c r="AG51" s="19">
        <v>2552978.4016666701</v>
      </c>
      <c r="AH51" s="19">
        <v>3868531.4345000004</v>
      </c>
      <c r="AI51" s="19">
        <v>9925905.5439999998</v>
      </c>
      <c r="AJ51" s="19">
        <v>6788325.1841666698</v>
      </c>
      <c r="AK51" s="19">
        <v>8725116.7844294943</v>
      </c>
      <c r="AL51" s="19">
        <v>6135652.1530961506</v>
      </c>
      <c r="AM51" s="19">
        <v>4617094.578544871</v>
      </c>
      <c r="AN51" s="19">
        <v>1964699.1392564061</v>
      </c>
      <c r="AO51" s="19">
        <v>6019410.5</v>
      </c>
      <c r="AP51" s="19">
        <v>5645870.5</v>
      </c>
      <c r="AQ51" s="19">
        <v>9221282</v>
      </c>
      <c r="AR51" s="19">
        <v>5718667.71</v>
      </c>
      <c r="AS51" s="19">
        <v>11807272.424474999</v>
      </c>
      <c r="AT51" s="19">
        <v>5011868.76</v>
      </c>
      <c r="AU51" s="19">
        <v>1911201.4699999997</v>
      </c>
      <c r="AV51" s="19">
        <v>1170958</v>
      </c>
      <c r="AW51" s="19">
        <v>739707</v>
      </c>
      <c r="AX51" s="19">
        <v>2918895</v>
      </c>
      <c r="AY51" s="19">
        <v>151320</v>
      </c>
      <c r="AZ51" s="19">
        <v>5794</v>
      </c>
      <c r="BA51" s="19">
        <v>3037335.9000000004</v>
      </c>
      <c r="BB51" s="19">
        <v>5844726.8000000007</v>
      </c>
      <c r="BC51" s="19">
        <v>7752629.8999999985</v>
      </c>
      <c r="BD51" s="19">
        <v>4478494.6999999993</v>
      </c>
      <c r="BE51" s="19">
        <v>12529655.800000001</v>
      </c>
      <c r="BF51" s="19">
        <v>666137.89999999991</v>
      </c>
      <c r="BG51" s="19">
        <v>96445.200000000012</v>
      </c>
      <c r="BH51" s="19">
        <v>1950920.1</v>
      </c>
      <c r="BI51" s="19">
        <v>3190966.2</v>
      </c>
      <c r="BJ51" s="19">
        <v>1318061.7</v>
      </c>
      <c r="BK51" s="19">
        <v>5300.7</v>
      </c>
      <c r="BL51" s="19">
        <v>101071.5</v>
      </c>
      <c r="BM51" s="19">
        <v>798094.20000000007</v>
      </c>
      <c r="BN51" s="19">
        <v>1973751</v>
      </c>
      <c r="BO51" s="19">
        <v>6835235.0999999968</v>
      </c>
      <c r="BP51" s="19">
        <v>21843.3</v>
      </c>
      <c r="BQ51" s="19">
        <v>100091.69999999998</v>
      </c>
      <c r="BR51" s="19">
        <v>96411.900000000009</v>
      </c>
      <c r="BS51" s="19">
        <v>0</v>
      </c>
      <c r="BT51" s="19">
        <v>0</v>
      </c>
      <c r="BU51" s="19">
        <v>71349.899999999994</v>
      </c>
      <c r="BV51" s="19">
        <v>107387.1</v>
      </c>
      <c r="BW51" s="19">
        <v>286704.30000000005</v>
      </c>
      <c r="BX51" s="19">
        <v>229053.6</v>
      </c>
      <c r="BY51" s="19">
        <v>422520.89999999991</v>
      </c>
      <c r="BZ51" s="19">
        <v>272701.20000000007</v>
      </c>
      <c r="CA51" s="19">
        <v>98737.8</v>
      </c>
      <c r="CB51" s="19">
        <v>219932.7</v>
      </c>
      <c r="CC51" s="19">
        <v>528071.4</v>
      </c>
      <c r="CD51" s="19">
        <v>573964.20000000019</v>
      </c>
      <c r="CE51" s="19">
        <v>441602.39999999991</v>
      </c>
      <c r="CF51" s="19">
        <v>722861.10000000056</v>
      </c>
      <c r="CG51" s="19">
        <v>531332.69999999995</v>
      </c>
      <c r="CH51" s="19">
        <v>385211.09999999992</v>
      </c>
      <c r="CI51" s="19">
        <v>454435.80000000005</v>
      </c>
      <c r="CJ51" s="19">
        <v>1022072.6999999994</v>
      </c>
      <c r="CK51" s="19">
        <v>868900.5</v>
      </c>
      <c r="CL51" s="19">
        <v>912890.10000000009</v>
      </c>
      <c r="CM51" s="19">
        <v>252269.1</v>
      </c>
      <c r="CN51" s="19">
        <v>585725.39999999991</v>
      </c>
      <c r="CO51" s="19">
        <v>1096129.5</v>
      </c>
      <c r="CP51" s="19">
        <v>958353.9</v>
      </c>
      <c r="CQ51" s="19">
        <v>401265</v>
      </c>
      <c r="CR51" s="19">
        <v>383149.5</v>
      </c>
      <c r="CS51" s="19">
        <v>369893.1</v>
      </c>
      <c r="CT51" s="19">
        <v>358899</v>
      </c>
      <c r="CU51" s="222"/>
      <c r="CV51" s="19">
        <f t="shared" si="32"/>
        <v>904466.4</v>
      </c>
      <c r="CW51" s="19">
        <f t="shared" si="33"/>
        <v>8830829.3999999985</v>
      </c>
      <c r="CX51" s="19">
        <f t="shared" si="34"/>
        <v>196503.59999999998</v>
      </c>
      <c r="CY51" s="19">
        <f t="shared" si="35"/>
        <v>178737</v>
      </c>
      <c r="CZ51" s="19">
        <f t="shared" si="36"/>
        <v>938278.79999999993</v>
      </c>
      <c r="DA51" s="19">
        <f t="shared" si="37"/>
        <v>591371.70000000007</v>
      </c>
      <c r="DB51" s="19">
        <f t="shared" si="38"/>
        <v>1543638</v>
      </c>
      <c r="DC51" s="19">
        <f t="shared" si="39"/>
        <v>1639404.9000000004</v>
      </c>
      <c r="DD51" s="19">
        <f t="shared" si="40"/>
        <v>2345408.9999999995</v>
      </c>
      <c r="DE51" s="19">
        <f t="shared" si="41"/>
        <v>1750884.6</v>
      </c>
      <c r="DF51" s="19">
        <f t="shared" si="42"/>
        <v>2455748.4</v>
      </c>
      <c r="DG51" s="19">
        <f t="shared" si="43"/>
        <v>1111941.6000000001</v>
      </c>
      <c r="DI51" s="19">
        <f t="shared" si="17"/>
        <v>10110536.399999999</v>
      </c>
      <c r="DJ51" s="19">
        <f t="shared" si="18"/>
        <v>4712693.4000000004</v>
      </c>
      <c r="DK51" s="19">
        <f t="shared" si="19"/>
        <v>7663983.5999999996</v>
      </c>
    </row>
    <row r="52" spans="2:115" x14ac:dyDescent="0.2">
      <c r="B52" s="226" t="s">
        <v>296</v>
      </c>
      <c r="C52" s="19">
        <f>C49/C13</f>
        <v>2650.4348384358382</v>
      </c>
      <c r="D52" s="19">
        <f t="shared" ref="D52:BO52" si="54">D49/D13</f>
        <v>3278.4152710488597</v>
      </c>
      <c r="E52" s="19">
        <f t="shared" si="54"/>
        <v>3381.3927424593026</v>
      </c>
      <c r="F52" s="19">
        <f t="shared" si="54"/>
        <v>2786.0163598730951</v>
      </c>
      <c r="G52" s="19">
        <f t="shared" si="54"/>
        <v>2444.1255721090806</v>
      </c>
      <c r="H52" s="19">
        <f t="shared" si="54"/>
        <v>2632.5521420993909</v>
      </c>
      <c r="I52" s="19">
        <f t="shared" si="54"/>
        <v>2326.8815483630447</v>
      </c>
      <c r="J52" s="19">
        <f t="shared" si="54"/>
        <v>2840.0198814246564</v>
      </c>
      <c r="K52" s="19">
        <f t="shared" si="54"/>
        <v>3130.8529996857987</v>
      </c>
      <c r="L52" s="19">
        <f t="shared" si="54"/>
        <v>3174.4114513849454</v>
      </c>
      <c r="M52" s="19">
        <f t="shared" si="54"/>
        <v>3132.3516695656622</v>
      </c>
      <c r="N52" s="19">
        <f t="shared" si="54"/>
        <v>3484.504919817969</v>
      </c>
      <c r="O52" s="19">
        <f t="shared" si="54"/>
        <v>3089.2579019843288</v>
      </c>
      <c r="P52" s="19">
        <f t="shared" si="54"/>
        <v>2865.770937054474</v>
      </c>
      <c r="Q52" s="19">
        <f t="shared" si="54"/>
        <v>3266.353457438353</v>
      </c>
      <c r="R52" s="19">
        <f t="shared" si="54"/>
        <v>3142.7310116310523</v>
      </c>
      <c r="S52" s="19">
        <f t="shared" si="54"/>
        <v>3213.9208618775606</v>
      </c>
      <c r="T52" s="19">
        <f t="shared" si="54"/>
        <v>4318.4744424519076</v>
      </c>
      <c r="U52" s="19">
        <f t="shared" si="54"/>
        <v>3043.0221283979181</v>
      </c>
      <c r="V52" s="19">
        <f t="shared" si="54"/>
        <v>2972.4511790780143</v>
      </c>
      <c r="W52" s="19">
        <f t="shared" si="54"/>
        <v>3306.2648960850652</v>
      </c>
      <c r="X52" s="19">
        <f t="shared" si="54"/>
        <v>4690.2265754347145</v>
      </c>
      <c r="Y52" s="19">
        <f t="shared" si="54"/>
        <v>2816.7903255046817</v>
      </c>
      <c r="Z52" s="19">
        <f t="shared" si="54"/>
        <v>2696.4744643380068</v>
      </c>
      <c r="AA52" s="19">
        <f t="shared" si="54"/>
        <v>2331.9875966822187</v>
      </c>
      <c r="AB52" s="19">
        <f t="shared" si="54"/>
        <v>2094.1613961442695</v>
      </c>
      <c r="AC52" s="19">
        <f t="shared" si="54"/>
        <v>2956.4576420627932</v>
      </c>
      <c r="AD52" s="19">
        <f t="shared" si="54"/>
        <v>5052.1698150983411</v>
      </c>
      <c r="AE52" s="19">
        <f t="shared" si="54"/>
        <v>4537.03196856452</v>
      </c>
      <c r="AF52" s="19">
        <f t="shared" si="54"/>
        <v>5072.0470255071923</v>
      </c>
      <c r="AG52" s="19">
        <f t="shared" si="54"/>
        <v>3960.0880068414081</v>
      </c>
      <c r="AH52" s="19">
        <f t="shared" si="54"/>
        <v>3187.4795672656155</v>
      </c>
      <c r="AI52" s="19">
        <f t="shared" si="54"/>
        <v>3395.6192611751467</v>
      </c>
      <c r="AJ52" s="19">
        <f t="shared" si="54"/>
        <v>3953.5410828031281</v>
      </c>
      <c r="AK52" s="19">
        <f t="shared" si="54"/>
        <v>3797.8403357006018</v>
      </c>
      <c r="AL52" s="19">
        <f t="shared" si="54"/>
        <v>4383.2198610653131</v>
      </c>
      <c r="AM52" s="19">
        <f t="shared" si="54"/>
        <v>4098.8352269069701</v>
      </c>
      <c r="AN52" s="19">
        <f t="shared" si="54"/>
        <v>3905.622744830267</v>
      </c>
      <c r="AO52" s="19">
        <f t="shared" si="54"/>
        <v>4018.9563736762798</v>
      </c>
      <c r="AP52" s="19">
        <f t="shared" si="54"/>
        <v>4126.7118772360882</v>
      </c>
      <c r="AQ52" s="19">
        <f t="shared" si="54"/>
        <v>3835.5835358005884</v>
      </c>
      <c r="AR52" s="19">
        <f t="shared" si="54"/>
        <v>4476.6800111292487</v>
      </c>
      <c r="AS52" s="19">
        <f t="shared" si="54"/>
        <v>3733.8334258318691</v>
      </c>
      <c r="AT52" s="19">
        <f t="shared" si="54"/>
        <v>3548.2418227533731</v>
      </c>
      <c r="AU52" s="19">
        <f t="shared" si="54"/>
        <v>3448.883907515818</v>
      </c>
      <c r="AV52" s="19">
        <f t="shared" si="54"/>
        <v>4236.7981371753249</v>
      </c>
      <c r="AW52" s="19">
        <f t="shared" si="54"/>
        <v>5815.8898274739577</v>
      </c>
      <c r="AX52" s="19">
        <f t="shared" si="54"/>
        <v>4480.1123954818831</v>
      </c>
      <c r="AY52" s="19">
        <f t="shared" si="54"/>
        <v>5218.8340517241377</v>
      </c>
      <c r="AZ52" s="19">
        <f t="shared" si="54"/>
        <v>6599.727272727273</v>
      </c>
      <c r="BA52" s="19">
        <f t="shared" si="54"/>
        <v>4804.8214611872136</v>
      </c>
      <c r="BB52" s="19">
        <f t="shared" si="54"/>
        <v>4519.8457114477278</v>
      </c>
      <c r="BC52" s="19">
        <f t="shared" si="54"/>
        <v>4141.4323669064752</v>
      </c>
      <c r="BD52" s="19">
        <f t="shared" si="54"/>
        <v>4404.4900481540935</v>
      </c>
      <c r="BE52" s="19">
        <f t="shared" si="54"/>
        <v>4447.4021068610973</v>
      </c>
      <c r="BF52" s="19">
        <f t="shared" si="54"/>
        <v>4387.3391061452521</v>
      </c>
      <c r="BG52" s="19">
        <f t="shared" si="54"/>
        <v>4579.4757575757576</v>
      </c>
      <c r="BH52" s="19">
        <f t="shared" si="54"/>
        <v>4812.3914936163674</v>
      </c>
      <c r="BI52" s="19">
        <f t="shared" si="54"/>
        <v>4717.3167085076702</v>
      </c>
      <c r="BJ52" s="19">
        <f t="shared" si="54"/>
        <v>4568.6878183831668</v>
      </c>
      <c r="BK52" s="19">
        <f t="shared" si="54"/>
        <v>4581.1740740740743</v>
      </c>
      <c r="BL52" s="19">
        <f t="shared" si="54"/>
        <v>4700.8759842519685</v>
      </c>
      <c r="BM52" s="19">
        <f t="shared" si="54"/>
        <v>5216.0110931610125</v>
      </c>
      <c r="BN52" s="19">
        <f t="shared" si="54"/>
        <v>4239.24930607652</v>
      </c>
      <c r="BO52" s="19">
        <f t="shared" si="54"/>
        <v>5958.7881797522687</v>
      </c>
      <c r="BP52" s="19">
        <f t="shared" ref="BP52:CT52" si="55">BP49/BP13</f>
        <v>5530.8309278350525</v>
      </c>
      <c r="BQ52" s="19">
        <f t="shared" si="55"/>
        <v>3512.6417266187059</v>
      </c>
      <c r="BR52" s="19">
        <f t="shared" si="55"/>
        <v>8307.6626168224302</v>
      </c>
      <c r="BS52" s="19" t="e">
        <f t="shared" si="55"/>
        <v>#DIV/0!</v>
      </c>
      <c r="BT52" s="19" t="e">
        <f t="shared" si="55"/>
        <v>#DIV/0!</v>
      </c>
      <c r="BU52" s="19">
        <f t="shared" si="55"/>
        <v>3340.5580467675386</v>
      </c>
      <c r="BV52" s="19">
        <f t="shared" si="55"/>
        <v>2660.9544395924308</v>
      </c>
      <c r="BW52" s="19">
        <f t="shared" si="55"/>
        <v>3353.7904386566142</v>
      </c>
      <c r="BX52" s="19">
        <f t="shared" si="55"/>
        <v>3365.0210073181229</v>
      </c>
      <c r="BY52" s="19">
        <f t="shared" si="55"/>
        <v>3819.907116402117</v>
      </c>
      <c r="BZ52" s="19">
        <f t="shared" si="55"/>
        <v>4171.6522381378682</v>
      </c>
      <c r="CA52" s="19">
        <f t="shared" si="55"/>
        <v>5086.3529323308267</v>
      </c>
      <c r="CB52" s="19">
        <f t="shared" si="55"/>
        <v>4900.9815875081313</v>
      </c>
      <c r="CC52" s="19">
        <f t="shared" si="55"/>
        <v>6829.58998749479</v>
      </c>
      <c r="CD52" s="19">
        <f t="shared" si="55"/>
        <v>9247.9310831393068</v>
      </c>
      <c r="CE52" s="19">
        <f t="shared" si="55"/>
        <v>6350.6626308187388</v>
      </c>
      <c r="CF52" s="19">
        <f t="shared" si="55"/>
        <v>4503.6303496877772</v>
      </c>
      <c r="CG52" s="19">
        <f t="shared" si="55"/>
        <v>5082.0547891650376</v>
      </c>
      <c r="CH52" s="19">
        <f t="shared" si="55"/>
        <v>4049.0338862973763</v>
      </c>
      <c r="CI52" s="19">
        <f t="shared" si="55"/>
        <v>11994.708946605602</v>
      </c>
      <c r="CJ52" s="19">
        <f t="shared" si="55"/>
        <v>11326.765280667516</v>
      </c>
      <c r="CK52" s="19">
        <f t="shared" si="55"/>
        <v>9681.3232960526348</v>
      </c>
      <c r="CL52" s="19">
        <f t="shared" si="55"/>
        <v>6302.9498899531263</v>
      </c>
      <c r="CM52" s="19">
        <f t="shared" si="55"/>
        <v>11387.283524994133</v>
      </c>
      <c r="CN52" s="19">
        <f t="shared" si="55"/>
        <v>10988.02779204893</v>
      </c>
      <c r="CO52" s="19">
        <f t="shared" si="55"/>
        <v>13765.508138627814</v>
      </c>
      <c r="CP52" s="19">
        <f t="shared" si="55"/>
        <v>13223.74198137462</v>
      </c>
      <c r="CQ52" s="19">
        <f t="shared" si="55"/>
        <v>5487.2584573218473</v>
      </c>
      <c r="CR52" s="19">
        <f t="shared" si="55"/>
        <v>9115.2527212518689</v>
      </c>
      <c r="CS52" s="19">
        <f t="shared" si="55"/>
        <v>11810.754173448035</v>
      </c>
      <c r="CT52" s="19">
        <f t="shared" si="55"/>
        <v>11000.729169728142</v>
      </c>
      <c r="CU52" s="222"/>
      <c r="CV52" s="19">
        <f t="shared" si="32"/>
        <v>14498.061151487056</v>
      </c>
      <c r="CW52" s="19">
        <f t="shared" si="33"/>
        <v>15728.86841366384</v>
      </c>
      <c r="CX52" s="19" t="e">
        <f t="shared" si="34"/>
        <v>#DIV/0!</v>
      </c>
      <c r="CY52" s="19" t="e">
        <f t="shared" si="35"/>
        <v>#DIV/0!</v>
      </c>
      <c r="CZ52" s="19">
        <f t="shared" si="36"/>
        <v>10538.718562376855</v>
      </c>
      <c r="DA52" s="19">
        <f t="shared" si="37"/>
        <v>14158.986757976827</v>
      </c>
      <c r="DB52" s="19">
        <f t="shared" si="38"/>
        <v>22428.183701452836</v>
      </c>
      <c r="DC52" s="19">
        <f t="shared" si="39"/>
        <v>13634.719025150192</v>
      </c>
      <c r="DD52" s="19">
        <f t="shared" si="40"/>
        <v>33002.797523325753</v>
      </c>
      <c r="DE52" s="19">
        <f t="shared" si="41"/>
        <v>28678.261206996191</v>
      </c>
      <c r="DF52" s="19">
        <f t="shared" si="42"/>
        <v>32476.508577324283</v>
      </c>
      <c r="DG52" s="19">
        <f t="shared" si="43"/>
        <v>31926.736064428042</v>
      </c>
      <c r="DI52" s="19" t="e">
        <f t="shared" si="17"/>
        <v>#DIV/0!</v>
      </c>
      <c r="DJ52" s="19">
        <f t="shared" si="18"/>
        <v>60760.60804695671</v>
      </c>
      <c r="DK52" s="19">
        <f t="shared" si="19"/>
        <v>126084.30337207427</v>
      </c>
    </row>
    <row r="53" spans="2:115" x14ac:dyDescent="0.2">
      <c r="B53" s="226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222"/>
      <c r="CV53" s="10">
        <f t="shared" si="32"/>
        <v>0</v>
      </c>
      <c r="CW53" s="10">
        <f t="shared" si="33"/>
        <v>0</v>
      </c>
      <c r="CX53" s="10">
        <f t="shared" si="34"/>
        <v>0</v>
      </c>
      <c r="CY53" s="10">
        <f t="shared" si="35"/>
        <v>0</v>
      </c>
      <c r="CZ53" s="10">
        <f t="shared" si="36"/>
        <v>0</v>
      </c>
      <c r="DA53" s="10">
        <f t="shared" si="37"/>
        <v>0</v>
      </c>
      <c r="DB53" s="10">
        <f t="shared" si="38"/>
        <v>0</v>
      </c>
      <c r="DC53" s="10">
        <f t="shared" si="39"/>
        <v>0</v>
      </c>
      <c r="DD53" s="10">
        <f t="shared" si="40"/>
        <v>0</v>
      </c>
      <c r="DE53" s="10">
        <f t="shared" si="41"/>
        <v>0</v>
      </c>
      <c r="DF53" s="10">
        <f t="shared" si="42"/>
        <v>0</v>
      </c>
      <c r="DG53" s="10">
        <f t="shared" si="43"/>
        <v>0</v>
      </c>
      <c r="DI53" s="10">
        <f t="shared" si="17"/>
        <v>0</v>
      </c>
      <c r="DJ53" s="10">
        <f t="shared" si="18"/>
        <v>0</v>
      </c>
      <c r="DK53" s="10">
        <f t="shared" si="19"/>
        <v>0</v>
      </c>
    </row>
    <row r="54" spans="2:115" x14ac:dyDescent="0.2">
      <c r="B54" s="227" t="s">
        <v>292</v>
      </c>
      <c r="C54" s="158">
        <f>C55+C56</f>
        <v>0</v>
      </c>
      <c r="D54" s="158">
        <f t="shared" ref="D54:BO54" si="56">D55+D56</f>
        <v>0</v>
      </c>
      <c r="E54" s="158">
        <f t="shared" si="56"/>
        <v>0</v>
      </c>
      <c r="F54" s="158">
        <f t="shared" si="56"/>
        <v>0</v>
      </c>
      <c r="G54" s="158">
        <f t="shared" si="56"/>
        <v>0</v>
      </c>
      <c r="H54" s="158">
        <f t="shared" si="56"/>
        <v>0</v>
      </c>
      <c r="I54" s="158">
        <f t="shared" si="56"/>
        <v>0</v>
      </c>
      <c r="J54" s="158">
        <f t="shared" si="56"/>
        <v>0</v>
      </c>
      <c r="K54" s="158">
        <f t="shared" si="56"/>
        <v>0</v>
      </c>
      <c r="L54" s="158">
        <f t="shared" si="56"/>
        <v>0</v>
      </c>
      <c r="M54" s="158">
        <f t="shared" si="56"/>
        <v>0</v>
      </c>
      <c r="N54" s="158">
        <f t="shared" si="56"/>
        <v>0</v>
      </c>
      <c r="O54" s="158">
        <f t="shared" si="56"/>
        <v>0</v>
      </c>
      <c r="P54" s="158">
        <f t="shared" si="56"/>
        <v>0</v>
      </c>
      <c r="Q54" s="158">
        <f t="shared" si="56"/>
        <v>0</v>
      </c>
      <c r="R54" s="158">
        <f t="shared" si="56"/>
        <v>0</v>
      </c>
      <c r="S54" s="158">
        <f t="shared" si="56"/>
        <v>0</v>
      </c>
      <c r="T54" s="158">
        <f t="shared" si="56"/>
        <v>0</v>
      </c>
      <c r="U54" s="158">
        <f t="shared" si="56"/>
        <v>0</v>
      </c>
      <c r="V54" s="158">
        <f t="shared" si="56"/>
        <v>0</v>
      </c>
      <c r="W54" s="158">
        <f t="shared" si="56"/>
        <v>0</v>
      </c>
      <c r="X54" s="158">
        <f t="shared" si="56"/>
        <v>0</v>
      </c>
      <c r="Y54" s="158">
        <f t="shared" si="56"/>
        <v>0</v>
      </c>
      <c r="Z54" s="158">
        <f t="shared" si="56"/>
        <v>0</v>
      </c>
      <c r="AA54" s="158">
        <f t="shared" si="56"/>
        <v>0</v>
      </c>
      <c r="AB54" s="158">
        <f t="shared" si="56"/>
        <v>0</v>
      </c>
      <c r="AC54" s="158">
        <f t="shared" si="56"/>
        <v>0</v>
      </c>
      <c r="AD54" s="158">
        <f t="shared" si="56"/>
        <v>0</v>
      </c>
      <c r="AE54" s="158">
        <f t="shared" si="56"/>
        <v>0</v>
      </c>
      <c r="AF54" s="158">
        <f t="shared" si="56"/>
        <v>0</v>
      </c>
      <c r="AG54" s="158">
        <f t="shared" si="56"/>
        <v>0</v>
      </c>
      <c r="AH54" s="158">
        <f t="shared" si="56"/>
        <v>0</v>
      </c>
      <c r="AI54" s="158">
        <f t="shared" si="56"/>
        <v>0</v>
      </c>
      <c r="AJ54" s="158">
        <f t="shared" si="56"/>
        <v>0</v>
      </c>
      <c r="AK54" s="158">
        <f t="shared" si="56"/>
        <v>0</v>
      </c>
      <c r="AL54" s="158">
        <f t="shared" si="56"/>
        <v>0</v>
      </c>
      <c r="AM54" s="158">
        <f t="shared" si="56"/>
        <v>0</v>
      </c>
      <c r="AN54" s="158">
        <f t="shared" si="56"/>
        <v>0</v>
      </c>
      <c r="AO54" s="158">
        <f t="shared" si="56"/>
        <v>0</v>
      </c>
      <c r="AP54" s="158">
        <f t="shared" si="56"/>
        <v>0</v>
      </c>
      <c r="AQ54" s="158">
        <f t="shared" si="56"/>
        <v>0</v>
      </c>
      <c r="AR54" s="158">
        <f t="shared" si="56"/>
        <v>0</v>
      </c>
      <c r="AS54" s="158">
        <f t="shared" si="56"/>
        <v>0</v>
      </c>
      <c r="AT54" s="158">
        <f t="shared" si="56"/>
        <v>0</v>
      </c>
      <c r="AU54" s="158">
        <f t="shared" si="56"/>
        <v>0</v>
      </c>
      <c r="AV54" s="158">
        <f t="shared" si="56"/>
        <v>0</v>
      </c>
      <c r="AW54" s="158">
        <f t="shared" si="56"/>
        <v>0</v>
      </c>
      <c r="AX54" s="158">
        <f t="shared" si="56"/>
        <v>0</v>
      </c>
      <c r="AY54" s="158">
        <f t="shared" si="56"/>
        <v>0</v>
      </c>
      <c r="AZ54" s="158">
        <f t="shared" si="56"/>
        <v>0</v>
      </c>
      <c r="BA54" s="158">
        <f t="shared" si="56"/>
        <v>0</v>
      </c>
      <c r="BB54" s="158">
        <f t="shared" si="56"/>
        <v>0</v>
      </c>
      <c r="BC54" s="158">
        <f t="shared" si="56"/>
        <v>0</v>
      </c>
      <c r="BD54" s="158">
        <f t="shared" si="56"/>
        <v>0</v>
      </c>
      <c r="BE54" s="158">
        <f t="shared" si="56"/>
        <v>31490335</v>
      </c>
      <c r="BF54" s="158">
        <f t="shared" si="56"/>
        <v>47682315.5</v>
      </c>
      <c r="BG54" s="158">
        <f t="shared" si="56"/>
        <v>18658858.260000013</v>
      </c>
      <c r="BH54" s="158">
        <f t="shared" si="56"/>
        <v>51390100.5</v>
      </c>
      <c r="BI54" s="158">
        <f t="shared" si="56"/>
        <v>84216481</v>
      </c>
      <c r="BJ54" s="158">
        <f t="shared" si="56"/>
        <v>52552982.560000002</v>
      </c>
      <c r="BK54" s="158">
        <f t="shared" si="56"/>
        <v>32587946</v>
      </c>
      <c r="BL54" s="158">
        <f t="shared" si="56"/>
        <v>43994178</v>
      </c>
      <c r="BM54" s="158">
        <f t="shared" si="56"/>
        <v>64835681.140000001</v>
      </c>
      <c r="BN54" s="158">
        <f t="shared" si="56"/>
        <v>45322073.449999988</v>
      </c>
      <c r="BO54" s="158">
        <f t="shared" si="56"/>
        <v>25827876.480000004</v>
      </c>
      <c r="BP54" s="158">
        <f t="shared" ref="BP54:CT54" si="57">BP55+BP56</f>
        <v>9098019</v>
      </c>
      <c r="BQ54" s="158">
        <f t="shared" si="57"/>
        <v>17956699</v>
      </c>
      <c r="BR54" s="158">
        <f t="shared" si="57"/>
        <v>38996389</v>
      </c>
      <c r="BS54" s="158">
        <f t="shared" si="57"/>
        <v>13563697</v>
      </c>
      <c r="BT54" s="158">
        <f t="shared" si="57"/>
        <v>13040657</v>
      </c>
      <c r="BU54" s="158">
        <f t="shared" si="57"/>
        <v>17794063</v>
      </c>
      <c r="BV54" s="158">
        <f t="shared" si="57"/>
        <v>40864514.799999997</v>
      </c>
      <c r="BW54" s="158">
        <f t="shared" si="57"/>
        <v>56650475</v>
      </c>
      <c r="BX54" s="158">
        <f t="shared" si="57"/>
        <v>44785444</v>
      </c>
      <c r="BY54" s="158">
        <f t="shared" si="57"/>
        <v>24023016.780000001</v>
      </c>
      <c r="BZ54" s="158">
        <f t="shared" si="57"/>
        <v>42091629</v>
      </c>
      <c r="CA54" s="158">
        <f t="shared" si="57"/>
        <v>52976321.030000009</v>
      </c>
      <c r="CB54" s="158">
        <f t="shared" si="57"/>
        <v>109944625.98000003</v>
      </c>
      <c r="CC54" s="158">
        <f t="shared" si="57"/>
        <v>101832942</v>
      </c>
      <c r="CD54" s="158">
        <f t="shared" si="57"/>
        <v>20436028.289999966</v>
      </c>
      <c r="CE54" s="158">
        <f t="shared" si="57"/>
        <v>37665666.159999952</v>
      </c>
      <c r="CF54" s="158">
        <f t="shared" si="57"/>
        <v>44576975.639999993</v>
      </c>
      <c r="CG54" s="158">
        <f t="shared" si="57"/>
        <v>53320165</v>
      </c>
      <c r="CH54" s="158">
        <f t="shared" si="57"/>
        <v>19134300</v>
      </c>
      <c r="CI54" s="158">
        <f t="shared" si="57"/>
        <v>88151019</v>
      </c>
      <c r="CJ54" s="158">
        <f t="shared" si="57"/>
        <v>27696241</v>
      </c>
      <c r="CK54" s="158">
        <f t="shared" si="57"/>
        <v>10260676.140000021</v>
      </c>
      <c r="CL54" s="158">
        <f t="shared" si="57"/>
        <v>40895143.399999999</v>
      </c>
      <c r="CM54" s="158">
        <f t="shared" si="57"/>
        <v>29376434.460000008</v>
      </c>
      <c r="CN54" s="158">
        <f t="shared" si="57"/>
        <v>57928843</v>
      </c>
      <c r="CO54" s="158">
        <f t="shared" si="57"/>
        <v>46292008.090000004</v>
      </c>
      <c r="CP54" s="158">
        <f t="shared" si="57"/>
        <v>33312679</v>
      </c>
      <c r="CQ54" s="158">
        <f t="shared" si="57"/>
        <v>64971307</v>
      </c>
      <c r="CR54" s="158">
        <f t="shared" si="57"/>
        <v>44032343.969999962</v>
      </c>
      <c r="CS54" s="158">
        <f t="shared" si="57"/>
        <v>5129839.5599999987</v>
      </c>
      <c r="CT54" s="158">
        <f t="shared" si="57"/>
        <v>132627459.12000139</v>
      </c>
      <c r="CU54" s="222"/>
      <c r="CV54" s="158">
        <f t="shared" si="32"/>
        <v>141417805.13999999</v>
      </c>
      <c r="CW54" s="158">
        <f t="shared" si="33"/>
        <v>80247968.929999992</v>
      </c>
      <c r="CX54" s="158">
        <f t="shared" si="34"/>
        <v>70516785</v>
      </c>
      <c r="CY54" s="158">
        <f t="shared" si="35"/>
        <v>71699234.799999997</v>
      </c>
      <c r="CZ54" s="158">
        <f t="shared" si="36"/>
        <v>125458935.78</v>
      </c>
      <c r="DA54" s="158">
        <f t="shared" si="37"/>
        <v>205012576.01000005</v>
      </c>
      <c r="DB54" s="158">
        <f t="shared" si="38"/>
        <v>159934636.44999993</v>
      </c>
      <c r="DC54" s="158">
        <f t="shared" si="39"/>
        <v>117031440.63999999</v>
      </c>
      <c r="DD54" s="158">
        <f t="shared" si="40"/>
        <v>126107936.14000002</v>
      </c>
      <c r="DE54" s="158">
        <f t="shared" si="41"/>
        <v>128200420.86000001</v>
      </c>
      <c r="DF54" s="158">
        <f t="shared" si="42"/>
        <v>144575994.09</v>
      </c>
      <c r="DG54" s="158">
        <f t="shared" si="43"/>
        <v>181789642.65000135</v>
      </c>
      <c r="DI54" s="158">
        <f t="shared" si="17"/>
        <v>363881793.87</v>
      </c>
      <c r="DJ54" s="158">
        <f t="shared" si="18"/>
        <v>607437588.88</v>
      </c>
      <c r="DK54" s="158">
        <f t="shared" si="19"/>
        <v>580673993.74000144</v>
      </c>
    </row>
    <row r="55" spans="2:115" x14ac:dyDescent="0.2">
      <c r="B55" s="225" t="s">
        <v>19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X55" s="232">
        <v>0</v>
      </c>
      <c r="Y55" s="232">
        <v>0</v>
      </c>
      <c r="Z55" s="232">
        <v>0</v>
      </c>
      <c r="AA55" s="232">
        <v>0</v>
      </c>
      <c r="AB55" s="232">
        <v>0</v>
      </c>
      <c r="AC55" s="232">
        <v>0</v>
      </c>
      <c r="AD55" s="232">
        <v>0</v>
      </c>
      <c r="AE55" s="232">
        <v>0</v>
      </c>
      <c r="AF55" s="232">
        <v>0</v>
      </c>
      <c r="AG55" s="232">
        <v>0</v>
      </c>
      <c r="AH55" s="232">
        <v>0</v>
      </c>
      <c r="AI55" s="232">
        <v>0</v>
      </c>
      <c r="AJ55" s="232">
        <v>0</v>
      </c>
      <c r="AK55" s="232">
        <v>0</v>
      </c>
      <c r="AL55" s="232">
        <v>0</v>
      </c>
      <c r="AM55" s="232">
        <v>0</v>
      </c>
      <c r="AN55" s="232">
        <v>0</v>
      </c>
      <c r="AO55" s="232">
        <v>0</v>
      </c>
      <c r="AP55" s="232">
        <v>0</v>
      </c>
      <c r="AQ55" s="232">
        <v>0</v>
      </c>
      <c r="AR55" s="232">
        <v>0</v>
      </c>
      <c r="AS55" s="232">
        <v>0</v>
      </c>
      <c r="AT55" s="232">
        <v>0</v>
      </c>
      <c r="AU55" s="232">
        <v>0</v>
      </c>
      <c r="AV55" s="232">
        <v>0</v>
      </c>
      <c r="AW55" s="232">
        <v>0</v>
      </c>
      <c r="AX55" s="232">
        <v>0</v>
      </c>
      <c r="AY55" s="232">
        <v>0</v>
      </c>
      <c r="AZ55" s="232">
        <v>0</v>
      </c>
      <c r="BA55" s="232">
        <v>0</v>
      </c>
      <c r="BB55" s="232">
        <v>0</v>
      </c>
      <c r="BC55" s="232">
        <v>0</v>
      </c>
      <c r="BD55" s="232">
        <v>0</v>
      </c>
      <c r="BE55" s="232">
        <v>31034935</v>
      </c>
      <c r="BF55" s="232">
        <v>46780915.5</v>
      </c>
      <c r="BG55" s="232">
        <v>18425058.260000013</v>
      </c>
      <c r="BH55" s="232">
        <v>50548100.5</v>
      </c>
      <c r="BI55" s="232">
        <v>82292381</v>
      </c>
      <c r="BJ55" s="232">
        <v>51536982.560000002</v>
      </c>
      <c r="BK55" s="232">
        <v>32587046</v>
      </c>
      <c r="BL55" s="232">
        <v>43992578</v>
      </c>
      <c r="BM55" s="232">
        <v>64834481.140000001</v>
      </c>
      <c r="BN55" s="232">
        <v>45322073.449999988</v>
      </c>
      <c r="BO55" s="232">
        <v>25827876.480000004</v>
      </c>
      <c r="BP55" s="232">
        <v>9098019</v>
      </c>
      <c r="BQ55" s="232">
        <v>17956699</v>
      </c>
      <c r="BR55" s="232">
        <v>38996389</v>
      </c>
      <c r="BS55" s="232">
        <v>13563697</v>
      </c>
      <c r="BT55" s="232">
        <v>13040657</v>
      </c>
      <c r="BU55" s="232">
        <v>17794063</v>
      </c>
      <c r="BV55" s="232">
        <v>40864514.799999997</v>
      </c>
      <c r="BW55" s="232">
        <v>56650475</v>
      </c>
      <c r="BX55" s="232">
        <v>44785444</v>
      </c>
      <c r="BY55" s="232">
        <v>24023016.780000001</v>
      </c>
      <c r="BZ55" s="232">
        <v>42091629</v>
      </c>
      <c r="CA55" s="232">
        <v>52976321.030000009</v>
      </c>
      <c r="CB55" s="232">
        <v>109944625.98000003</v>
      </c>
      <c r="CC55" s="232">
        <v>101832942</v>
      </c>
      <c r="CD55" s="232">
        <v>20436028.289999966</v>
      </c>
      <c r="CE55" s="232">
        <v>37665666.159999952</v>
      </c>
      <c r="CF55" s="232">
        <v>44576975.639999993</v>
      </c>
      <c r="CG55" s="232">
        <v>53320165</v>
      </c>
      <c r="CH55" s="232">
        <v>19134300</v>
      </c>
      <c r="CI55" s="232">
        <v>88151019</v>
      </c>
      <c r="CJ55" s="232">
        <v>27696241</v>
      </c>
      <c r="CK55" s="232">
        <v>10260676.140000021</v>
      </c>
      <c r="CL55" s="232">
        <v>40895143.399999999</v>
      </c>
      <c r="CM55" s="232">
        <v>29376434.460000008</v>
      </c>
      <c r="CN55" s="232">
        <v>57928843</v>
      </c>
      <c r="CO55" s="232">
        <v>46292008.090000004</v>
      </c>
      <c r="CP55" s="232">
        <v>33312679</v>
      </c>
      <c r="CQ55" s="232">
        <v>64971307</v>
      </c>
      <c r="CR55" s="232">
        <v>44032343.969999962</v>
      </c>
      <c r="CS55" s="232">
        <v>5129839.5599999987</v>
      </c>
      <c r="CT55" s="232">
        <v>132627459.12000139</v>
      </c>
      <c r="CU55" s="222"/>
      <c r="CV55" s="232">
        <f t="shared" si="32"/>
        <v>141414105.13999999</v>
      </c>
      <c r="CW55" s="232">
        <f t="shared" si="33"/>
        <v>80247968.929999992</v>
      </c>
      <c r="CX55" s="232">
        <f t="shared" si="34"/>
        <v>70516785</v>
      </c>
      <c r="CY55" s="232">
        <f t="shared" si="35"/>
        <v>71699234.799999997</v>
      </c>
      <c r="CZ55" s="232">
        <f t="shared" si="36"/>
        <v>125458935.78</v>
      </c>
      <c r="DA55" s="232">
        <f t="shared" si="37"/>
        <v>205012576.01000005</v>
      </c>
      <c r="DB55" s="232">
        <f t="shared" si="38"/>
        <v>159934636.44999993</v>
      </c>
      <c r="DC55" s="232">
        <f t="shared" si="39"/>
        <v>117031440.63999999</v>
      </c>
      <c r="DD55" s="232">
        <f t="shared" si="40"/>
        <v>126107936.14000002</v>
      </c>
      <c r="DE55" s="232">
        <f t="shared" si="41"/>
        <v>128200420.86000001</v>
      </c>
      <c r="DF55" s="232">
        <f t="shared" si="42"/>
        <v>144575994.09</v>
      </c>
      <c r="DG55" s="232">
        <f t="shared" si="43"/>
        <v>181789642.65000135</v>
      </c>
      <c r="DI55" s="232">
        <f t="shared" si="17"/>
        <v>363878093.87</v>
      </c>
      <c r="DJ55" s="232">
        <f t="shared" si="18"/>
        <v>607437588.88</v>
      </c>
      <c r="DK55" s="232">
        <f t="shared" si="19"/>
        <v>580673993.74000144</v>
      </c>
    </row>
    <row r="56" spans="2:115" x14ac:dyDescent="0.2">
      <c r="B56" s="229" t="s">
        <v>295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X56" s="232">
        <v>0</v>
      </c>
      <c r="Y56" s="232">
        <v>0</v>
      </c>
      <c r="Z56" s="232">
        <v>0</v>
      </c>
      <c r="AA56" s="232">
        <v>0</v>
      </c>
      <c r="AB56" s="232">
        <v>0</v>
      </c>
      <c r="AC56" s="232">
        <v>0</v>
      </c>
      <c r="AD56" s="232">
        <v>0</v>
      </c>
      <c r="AE56" s="232">
        <v>0</v>
      </c>
      <c r="AF56" s="232">
        <v>0</v>
      </c>
      <c r="AG56" s="232">
        <v>0</v>
      </c>
      <c r="AH56" s="232">
        <v>0</v>
      </c>
      <c r="AI56" s="232">
        <v>0</v>
      </c>
      <c r="AJ56" s="232">
        <v>0</v>
      </c>
      <c r="AK56" s="232">
        <v>0</v>
      </c>
      <c r="AL56" s="232">
        <v>0</v>
      </c>
      <c r="AM56" s="232">
        <v>0</v>
      </c>
      <c r="AN56" s="232">
        <v>0</v>
      </c>
      <c r="AO56" s="232">
        <v>0</v>
      </c>
      <c r="AP56" s="232">
        <v>0</v>
      </c>
      <c r="AQ56" s="232">
        <v>0</v>
      </c>
      <c r="AR56" s="232">
        <v>0</v>
      </c>
      <c r="AS56" s="232">
        <v>0</v>
      </c>
      <c r="AT56" s="232">
        <v>0</v>
      </c>
      <c r="AU56" s="232">
        <v>0</v>
      </c>
      <c r="AV56" s="232">
        <v>0</v>
      </c>
      <c r="AW56" s="232">
        <v>0</v>
      </c>
      <c r="AX56" s="232">
        <v>0</v>
      </c>
      <c r="AY56" s="232">
        <v>0</v>
      </c>
      <c r="AZ56" s="232">
        <v>0</v>
      </c>
      <c r="BA56" s="232">
        <v>0</v>
      </c>
      <c r="BB56" s="232">
        <v>0</v>
      </c>
      <c r="BC56" s="232">
        <v>0</v>
      </c>
      <c r="BD56" s="232">
        <v>0</v>
      </c>
      <c r="BE56" s="232">
        <v>455400</v>
      </c>
      <c r="BF56" s="232">
        <v>901400</v>
      </c>
      <c r="BG56" s="232">
        <v>233800</v>
      </c>
      <c r="BH56" s="232">
        <v>842000</v>
      </c>
      <c r="BI56" s="232">
        <v>1924100</v>
      </c>
      <c r="BJ56" s="232">
        <v>1016000</v>
      </c>
      <c r="BK56" s="232">
        <v>900</v>
      </c>
      <c r="BL56" s="232">
        <v>1600</v>
      </c>
      <c r="BM56" s="232">
        <v>1200</v>
      </c>
      <c r="BN56" s="232">
        <v>0</v>
      </c>
      <c r="BO56" s="232">
        <v>0</v>
      </c>
      <c r="BP56" s="232">
        <v>0</v>
      </c>
      <c r="BQ56" s="232">
        <v>0</v>
      </c>
      <c r="BR56" s="232">
        <v>0</v>
      </c>
      <c r="BS56" s="232">
        <v>0</v>
      </c>
      <c r="BT56" s="232">
        <v>0</v>
      </c>
      <c r="BU56" s="232">
        <v>0</v>
      </c>
      <c r="BV56" s="232">
        <v>0</v>
      </c>
      <c r="BW56" s="232">
        <v>0</v>
      </c>
      <c r="BX56" s="232">
        <v>0</v>
      </c>
      <c r="BY56" s="232">
        <v>0</v>
      </c>
      <c r="BZ56" s="232">
        <v>0</v>
      </c>
      <c r="CA56" s="232">
        <v>0</v>
      </c>
      <c r="CB56" s="232">
        <v>0</v>
      </c>
      <c r="CC56" s="232">
        <v>0</v>
      </c>
      <c r="CD56" s="232">
        <v>0</v>
      </c>
      <c r="CE56" s="232">
        <v>0</v>
      </c>
      <c r="CF56" s="232">
        <v>0</v>
      </c>
      <c r="CG56" s="232">
        <v>0</v>
      </c>
      <c r="CH56" s="232">
        <v>0</v>
      </c>
      <c r="CI56" s="232">
        <v>0</v>
      </c>
      <c r="CJ56" s="232">
        <v>0</v>
      </c>
      <c r="CK56" s="232">
        <v>0</v>
      </c>
      <c r="CL56" s="232">
        <v>0</v>
      </c>
      <c r="CM56" s="232">
        <v>0</v>
      </c>
      <c r="CN56" s="232">
        <v>0</v>
      </c>
      <c r="CO56" s="232">
        <v>0</v>
      </c>
      <c r="CP56" s="232">
        <v>0</v>
      </c>
      <c r="CQ56" s="232">
        <v>0</v>
      </c>
      <c r="CR56" s="232">
        <v>0</v>
      </c>
      <c r="CS56" s="232">
        <v>0</v>
      </c>
      <c r="CT56" s="232">
        <v>0</v>
      </c>
      <c r="CU56" s="222"/>
      <c r="CV56" s="232">
        <f t="shared" si="32"/>
        <v>3700</v>
      </c>
      <c r="CW56" s="232">
        <f t="shared" si="33"/>
        <v>0</v>
      </c>
      <c r="CX56" s="232">
        <f t="shared" si="34"/>
        <v>0</v>
      </c>
      <c r="CY56" s="232">
        <f t="shared" si="35"/>
        <v>0</v>
      </c>
      <c r="CZ56" s="232">
        <f t="shared" si="36"/>
        <v>0</v>
      </c>
      <c r="DA56" s="232">
        <f t="shared" si="37"/>
        <v>0</v>
      </c>
      <c r="DB56" s="232">
        <f t="shared" si="38"/>
        <v>0</v>
      </c>
      <c r="DC56" s="232">
        <f t="shared" si="39"/>
        <v>0</v>
      </c>
      <c r="DD56" s="232">
        <f t="shared" si="40"/>
        <v>0</v>
      </c>
      <c r="DE56" s="232">
        <f t="shared" si="41"/>
        <v>0</v>
      </c>
      <c r="DF56" s="232">
        <f t="shared" si="42"/>
        <v>0</v>
      </c>
      <c r="DG56" s="232">
        <f t="shared" si="43"/>
        <v>0</v>
      </c>
      <c r="DI56" s="232">
        <f t="shared" si="17"/>
        <v>3700</v>
      </c>
      <c r="DJ56" s="232">
        <f t="shared" si="18"/>
        <v>0</v>
      </c>
      <c r="DK56" s="232">
        <f t="shared" si="19"/>
        <v>0</v>
      </c>
    </row>
    <row r="57" spans="2:115" x14ac:dyDescent="0.2">
      <c r="B57" s="233" t="s">
        <v>301</v>
      </c>
      <c r="C57" s="28">
        <f>IFERROR(C54/C16,0)</f>
        <v>0</v>
      </c>
      <c r="D57" s="28">
        <f t="shared" ref="D57:BO57" si="58">IFERROR(D54/D16,0)</f>
        <v>0</v>
      </c>
      <c r="E57" s="28">
        <f t="shared" si="58"/>
        <v>0</v>
      </c>
      <c r="F57" s="28">
        <f t="shared" si="58"/>
        <v>0</v>
      </c>
      <c r="G57" s="28">
        <f t="shared" si="58"/>
        <v>0</v>
      </c>
      <c r="H57" s="28">
        <f t="shared" si="58"/>
        <v>0</v>
      </c>
      <c r="I57" s="28">
        <f t="shared" si="58"/>
        <v>0</v>
      </c>
      <c r="J57" s="28">
        <f t="shared" si="58"/>
        <v>0</v>
      </c>
      <c r="K57" s="28">
        <f t="shared" si="58"/>
        <v>0</v>
      </c>
      <c r="L57" s="28">
        <f t="shared" si="58"/>
        <v>0</v>
      </c>
      <c r="M57" s="28">
        <f t="shared" si="58"/>
        <v>0</v>
      </c>
      <c r="N57" s="28">
        <f t="shared" si="58"/>
        <v>0</v>
      </c>
      <c r="O57" s="28">
        <f t="shared" si="58"/>
        <v>0</v>
      </c>
      <c r="P57" s="28">
        <f t="shared" si="58"/>
        <v>0</v>
      </c>
      <c r="Q57" s="28">
        <f t="shared" si="58"/>
        <v>0</v>
      </c>
      <c r="R57" s="28">
        <f t="shared" si="58"/>
        <v>0</v>
      </c>
      <c r="S57" s="28">
        <f t="shared" si="58"/>
        <v>0</v>
      </c>
      <c r="T57" s="28">
        <f t="shared" si="58"/>
        <v>0</v>
      </c>
      <c r="U57" s="28">
        <f t="shared" si="58"/>
        <v>0</v>
      </c>
      <c r="V57" s="28">
        <f t="shared" si="58"/>
        <v>0</v>
      </c>
      <c r="W57" s="28">
        <f t="shared" si="58"/>
        <v>0</v>
      </c>
      <c r="X57" s="28">
        <f t="shared" si="58"/>
        <v>0</v>
      </c>
      <c r="Y57" s="28">
        <f t="shared" si="58"/>
        <v>0</v>
      </c>
      <c r="Z57" s="28">
        <f t="shared" si="58"/>
        <v>0</v>
      </c>
      <c r="AA57" s="28">
        <f t="shared" si="58"/>
        <v>0</v>
      </c>
      <c r="AB57" s="28">
        <f t="shared" si="58"/>
        <v>0</v>
      </c>
      <c r="AC57" s="28">
        <f t="shared" si="58"/>
        <v>0</v>
      </c>
      <c r="AD57" s="28">
        <f t="shared" si="58"/>
        <v>0</v>
      </c>
      <c r="AE57" s="28">
        <f t="shared" si="58"/>
        <v>0</v>
      </c>
      <c r="AF57" s="28">
        <f t="shared" si="58"/>
        <v>0</v>
      </c>
      <c r="AG57" s="28">
        <f t="shared" si="58"/>
        <v>0</v>
      </c>
      <c r="AH57" s="28">
        <f t="shared" si="58"/>
        <v>0</v>
      </c>
      <c r="AI57" s="28">
        <f t="shared" si="58"/>
        <v>0</v>
      </c>
      <c r="AJ57" s="28">
        <f t="shared" si="58"/>
        <v>0</v>
      </c>
      <c r="AK57" s="28">
        <f t="shared" si="58"/>
        <v>0</v>
      </c>
      <c r="AL57" s="28">
        <f t="shared" si="58"/>
        <v>0</v>
      </c>
      <c r="AM57" s="28">
        <f t="shared" si="58"/>
        <v>0</v>
      </c>
      <c r="AN57" s="28">
        <f t="shared" si="58"/>
        <v>0</v>
      </c>
      <c r="AO57" s="28">
        <f t="shared" si="58"/>
        <v>0</v>
      </c>
      <c r="AP57" s="28">
        <f t="shared" si="58"/>
        <v>0</v>
      </c>
      <c r="AQ57" s="28">
        <f t="shared" si="58"/>
        <v>0</v>
      </c>
      <c r="AR57" s="28">
        <f t="shared" si="58"/>
        <v>0</v>
      </c>
      <c r="AS57" s="28">
        <f t="shared" si="58"/>
        <v>0</v>
      </c>
      <c r="AT57" s="28">
        <f t="shared" si="58"/>
        <v>0</v>
      </c>
      <c r="AU57" s="28">
        <f t="shared" si="58"/>
        <v>0</v>
      </c>
      <c r="AV57" s="28">
        <f t="shared" si="58"/>
        <v>0</v>
      </c>
      <c r="AW57" s="28">
        <f t="shared" si="58"/>
        <v>0</v>
      </c>
      <c r="AX57" s="28">
        <f t="shared" si="58"/>
        <v>0</v>
      </c>
      <c r="AY57" s="28">
        <f t="shared" si="58"/>
        <v>0</v>
      </c>
      <c r="AZ57" s="28">
        <f t="shared" si="58"/>
        <v>0</v>
      </c>
      <c r="BA57" s="28">
        <f t="shared" si="58"/>
        <v>0</v>
      </c>
      <c r="BB57" s="28">
        <f t="shared" si="58"/>
        <v>0</v>
      </c>
      <c r="BC57" s="28">
        <f t="shared" si="58"/>
        <v>0</v>
      </c>
      <c r="BD57" s="28">
        <f t="shared" si="58"/>
        <v>0</v>
      </c>
      <c r="BE57" s="28">
        <f t="shared" si="58"/>
        <v>6914.8737373737376</v>
      </c>
      <c r="BF57" s="28">
        <f t="shared" si="58"/>
        <v>5296.8579760053326</v>
      </c>
      <c r="BG57" s="28">
        <f t="shared" si="58"/>
        <v>7997.7960822974765</v>
      </c>
      <c r="BH57" s="28">
        <f t="shared" si="58"/>
        <v>6113.5023197715918</v>
      </c>
      <c r="BI57" s="28">
        <f t="shared" si="58"/>
        <v>4379.2044615464611</v>
      </c>
      <c r="BJ57" s="28">
        <f t="shared" si="58"/>
        <v>5181.7178623545651</v>
      </c>
      <c r="BK57" s="28">
        <f t="shared" si="58"/>
        <v>8713.3545454545456</v>
      </c>
      <c r="BL57" s="28">
        <f t="shared" si="58"/>
        <v>10593.348904406454</v>
      </c>
      <c r="BM57" s="28">
        <f t="shared" si="58"/>
        <v>7663.7920969267143</v>
      </c>
      <c r="BN57" s="28">
        <f t="shared" si="58"/>
        <v>6242.7098415977944</v>
      </c>
      <c r="BO57" s="28">
        <f t="shared" si="58"/>
        <v>6520.5444281747041</v>
      </c>
      <c r="BP57" s="28">
        <f t="shared" ref="BP57:CT57" si="59">IFERROR(BP54/BP16,0)</f>
        <v>6470.8527738264584</v>
      </c>
      <c r="BQ57" s="28">
        <f t="shared" si="59"/>
        <v>4037.9354621092871</v>
      </c>
      <c r="BR57" s="28">
        <f t="shared" si="59"/>
        <v>4123.1115457813494</v>
      </c>
      <c r="BS57" s="28">
        <f t="shared" si="59"/>
        <v>7120.050918635171</v>
      </c>
      <c r="BT57" s="28">
        <f t="shared" si="59"/>
        <v>9849.4388217522664</v>
      </c>
      <c r="BU57" s="28">
        <f t="shared" si="59"/>
        <v>9046.2953736654799</v>
      </c>
      <c r="BV57" s="28">
        <f t="shared" si="59"/>
        <v>9042.822482850188</v>
      </c>
      <c r="BW57" s="28">
        <f t="shared" si="59"/>
        <v>8789.8332040341356</v>
      </c>
      <c r="BX57" s="28">
        <f t="shared" si="59"/>
        <v>8111.8355370403915</v>
      </c>
      <c r="BY57" s="28">
        <f t="shared" si="59"/>
        <v>6445.6712583847602</v>
      </c>
      <c r="BZ57" s="28">
        <f t="shared" si="59"/>
        <v>7643.2956237515891</v>
      </c>
      <c r="CA57" s="28">
        <f t="shared" si="59"/>
        <v>6319.4943373493988</v>
      </c>
      <c r="CB57" s="28">
        <f t="shared" si="59"/>
        <v>12174.136416786627</v>
      </c>
      <c r="CC57" s="28">
        <f t="shared" si="59"/>
        <v>7897.6998604001865</v>
      </c>
      <c r="CD57" s="28">
        <f t="shared" si="59"/>
        <v>4513.2571311837382</v>
      </c>
      <c r="CE57" s="28">
        <f t="shared" si="59"/>
        <v>5186.6794491875453</v>
      </c>
      <c r="CF57" s="28">
        <f t="shared" si="59"/>
        <v>5270.3920122960499</v>
      </c>
      <c r="CG57" s="28">
        <f t="shared" si="59"/>
        <v>6980.9066509557479</v>
      </c>
      <c r="CH57" s="28">
        <f t="shared" si="59"/>
        <v>21547.635135135137</v>
      </c>
      <c r="CI57" s="28">
        <f t="shared" si="59"/>
        <v>7774.829687775622</v>
      </c>
      <c r="CJ57" s="28">
        <f t="shared" si="59"/>
        <v>6591.2044264635888</v>
      </c>
      <c r="CK57" s="28">
        <f t="shared" si="59"/>
        <v>17969.660490367813</v>
      </c>
      <c r="CL57" s="28">
        <f t="shared" si="59"/>
        <v>20396.580249376559</v>
      </c>
      <c r="CM57" s="28">
        <f t="shared" si="59"/>
        <v>12019.817700491001</v>
      </c>
      <c r="CN57" s="28">
        <f t="shared" si="59"/>
        <v>20411.854474982381</v>
      </c>
      <c r="CO57" s="28">
        <f t="shared" si="59"/>
        <v>22450.052419980602</v>
      </c>
      <c r="CP57" s="28">
        <f t="shared" si="59"/>
        <v>14187.682708688246</v>
      </c>
      <c r="CQ57" s="28">
        <f t="shared" si="59"/>
        <v>14072.191249729261</v>
      </c>
      <c r="CR57" s="28">
        <f t="shared" si="59"/>
        <v>18217.767467935442</v>
      </c>
      <c r="CS57" s="28">
        <f t="shared" si="59"/>
        <v>12213.903714285711</v>
      </c>
      <c r="CT57" s="28">
        <f t="shared" si="59"/>
        <v>19842.52829443468</v>
      </c>
      <c r="CU57" s="222"/>
      <c r="CV57" s="28">
        <f t="shared" si="32"/>
        <v>26970.495546787715</v>
      </c>
      <c r="CW57" s="28">
        <f t="shared" si="33"/>
        <v>19234.107043598957</v>
      </c>
      <c r="CX57" s="28">
        <f t="shared" si="34"/>
        <v>15281.097926525807</v>
      </c>
      <c r="CY57" s="28">
        <f t="shared" si="35"/>
        <v>27938.556678267934</v>
      </c>
      <c r="CZ57" s="28">
        <f t="shared" si="36"/>
        <v>23347.339999459291</v>
      </c>
      <c r="DA57" s="28">
        <f t="shared" si="37"/>
        <v>26136.926377887616</v>
      </c>
      <c r="DB57" s="28">
        <f t="shared" si="38"/>
        <v>17597.636440771468</v>
      </c>
      <c r="DC57" s="28">
        <f t="shared" si="39"/>
        <v>33798.933798386934</v>
      </c>
      <c r="DD57" s="28">
        <f t="shared" si="40"/>
        <v>32335.694604607022</v>
      </c>
      <c r="DE57" s="28">
        <f t="shared" si="41"/>
        <v>52828.252424849939</v>
      </c>
      <c r="DF57" s="28">
        <f t="shared" si="42"/>
        <v>50709.926378398115</v>
      </c>
      <c r="DG57" s="28">
        <f t="shared" si="43"/>
        <v>50274.199476655835</v>
      </c>
      <c r="DI57" s="28">
        <f t="shared" si="17"/>
        <v>89424.257195180413</v>
      </c>
      <c r="DJ57" s="28">
        <f t="shared" si="18"/>
        <v>100880.83661650532</v>
      </c>
      <c r="DK57" s="28">
        <f t="shared" si="19"/>
        <v>186148.07288451091</v>
      </c>
    </row>
    <row r="58" spans="2:115" x14ac:dyDescent="0.2">
      <c r="B58" s="221"/>
      <c r="CU58" s="222"/>
    </row>
    <row r="59" spans="2:115" x14ac:dyDescent="0.2">
      <c r="CU59" s="222"/>
    </row>
    <row r="60" spans="2:115" x14ac:dyDescent="0.2">
      <c r="CU60" s="222"/>
    </row>
    <row r="61" spans="2:115" x14ac:dyDescent="0.2">
      <c r="CU61" s="222"/>
    </row>
    <row r="62" spans="2:115" x14ac:dyDescent="0.2">
      <c r="CU62" s="222"/>
    </row>
    <row r="63" spans="2:115" x14ac:dyDescent="0.2">
      <c r="CU63" s="222"/>
    </row>
    <row r="64" spans="2:115" x14ac:dyDescent="0.2">
      <c r="CU64" s="222"/>
    </row>
    <row r="65" spans="99:99" x14ac:dyDescent="0.2">
      <c r="CU65" s="222"/>
    </row>
    <row r="66" spans="99:99" x14ac:dyDescent="0.2">
      <c r="CU66" s="222"/>
    </row>
    <row r="67" spans="99:99" x14ac:dyDescent="0.2">
      <c r="CU67" s="222"/>
    </row>
    <row r="68" spans="99:99" x14ac:dyDescent="0.2">
      <c r="CU68" s="222"/>
    </row>
    <row r="69" spans="99:99" x14ac:dyDescent="0.2">
      <c r="CU69" s="222"/>
    </row>
    <row r="70" spans="99:99" x14ac:dyDescent="0.2">
      <c r="CU70" s="222"/>
    </row>
    <row r="71" spans="99:99" x14ac:dyDescent="0.2">
      <c r="CU71" s="222"/>
    </row>
    <row r="72" spans="99:99" x14ac:dyDescent="0.2">
      <c r="CU72" s="222"/>
    </row>
    <row r="73" spans="99:99" x14ac:dyDescent="0.2">
      <c r="CU73" s="222"/>
    </row>
    <row r="74" spans="99:99" x14ac:dyDescent="0.2">
      <c r="CU74" s="222"/>
    </row>
    <row r="75" spans="99:99" x14ac:dyDescent="0.2">
      <c r="CU75" s="222"/>
    </row>
    <row r="76" spans="99:99" x14ac:dyDescent="0.2">
      <c r="CU76" s="222"/>
    </row>
    <row r="77" spans="99:99" x14ac:dyDescent="0.2">
      <c r="CU77" s="222"/>
    </row>
    <row r="78" spans="99:99" x14ac:dyDescent="0.2">
      <c r="CU78" s="222"/>
    </row>
    <row r="79" spans="99:99" x14ac:dyDescent="0.2">
      <c r="CU79" s="222"/>
    </row>
    <row r="80" spans="99:99" x14ac:dyDescent="0.2">
      <c r="CU80" s="222"/>
    </row>
    <row r="81" spans="99:99" x14ac:dyDescent="0.2">
      <c r="CU81" s="222"/>
    </row>
    <row r="82" spans="99:99" x14ac:dyDescent="0.2">
      <c r="CU82" s="222"/>
    </row>
  </sheetData>
  <pageMargins left="0.7" right="0.7" top="0.75" bottom="0.75" header="0.3" footer="0.3"/>
  <ignoredErrors>
    <ignoredError sqref="CV4:DG57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48F7-D49B-4C82-8C23-9D2C582FFA24}">
  <dimension ref="A1:EY69"/>
  <sheetViews>
    <sheetView showGridLines="0" zoomScale="110" zoomScaleNormal="100" workbookViewId="0">
      <pane xSplit="2" ySplit="2" topLeftCell="C35" activePane="bottomRight" state="frozen"/>
      <selection activeCell="BX58" sqref="BX58"/>
      <selection pane="topRight" activeCell="BX58" sqref="BX58"/>
      <selection pane="bottomLeft" activeCell="BX58" sqref="BX58"/>
      <selection pane="bottomRight" activeCell="B26" sqref="B26"/>
    </sheetView>
  </sheetViews>
  <sheetFormatPr baseColWidth="10" defaultColWidth="8.6640625" defaultRowHeight="15" outlineLevelCol="1" x14ac:dyDescent="0.2"/>
  <cols>
    <col min="1" max="1" width="3.6640625" style="236" hidden="1" customWidth="1"/>
    <col min="2" max="2" width="23.33203125" style="236" bestFit="1" customWidth="1"/>
    <col min="3" max="11" width="12.6640625" style="236" customWidth="1" outlineLevel="1"/>
    <col min="12" max="20" width="14.33203125" style="236" customWidth="1" outlineLevel="1"/>
    <col min="21" max="45" width="14.33203125" style="236" bestFit="1" customWidth="1"/>
    <col min="46" max="46" width="14.33203125" style="236" customWidth="1"/>
    <col min="47" max="47" width="14.33203125" style="236" bestFit="1" customWidth="1"/>
    <col min="48" max="48" width="14.33203125" style="236" customWidth="1"/>
    <col min="49" max="49" width="14.33203125" style="236" bestFit="1" customWidth="1"/>
    <col min="50" max="50" width="14.33203125" style="236" customWidth="1"/>
    <col min="51" max="51" width="14.33203125" style="236" bestFit="1" customWidth="1"/>
    <col min="52" max="52" width="14.33203125" style="236" customWidth="1"/>
    <col min="53" max="53" width="14.33203125" style="236" bestFit="1" customWidth="1"/>
    <col min="54" max="54" width="14.33203125" style="236" customWidth="1"/>
    <col min="55" max="55" width="14.33203125" style="236" bestFit="1" customWidth="1"/>
    <col min="56" max="56" width="14.33203125" style="236" customWidth="1"/>
    <col min="57" max="57" width="14.33203125" style="236" bestFit="1" customWidth="1"/>
    <col min="58" max="58" width="14.33203125" style="236" customWidth="1"/>
    <col min="59" max="59" width="14.33203125" style="236" bestFit="1" customWidth="1"/>
    <col min="60" max="60" width="14.33203125" style="236" customWidth="1"/>
    <col min="61" max="61" width="14.33203125" style="236" bestFit="1" customWidth="1"/>
    <col min="62" max="62" width="14.33203125" style="236" customWidth="1"/>
    <col min="63" max="63" width="14.33203125" style="236" bestFit="1" customWidth="1"/>
    <col min="64" max="64" width="14.33203125" style="236" customWidth="1"/>
    <col min="65" max="65" width="14.33203125" style="236" bestFit="1" customWidth="1"/>
    <col min="66" max="66" width="14.33203125" style="236" customWidth="1"/>
    <col min="67" max="67" width="14.33203125" style="236" bestFit="1" customWidth="1"/>
    <col min="68" max="68" width="14.33203125" style="236" customWidth="1"/>
    <col min="69" max="69" width="14.33203125" style="236" bestFit="1" customWidth="1"/>
    <col min="70" max="70" width="14.33203125" style="236" customWidth="1"/>
    <col min="71" max="71" width="14.33203125" style="236" bestFit="1" customWidth="1"/>
    <col min="72" max="72" width="14.33203125" style="236" customWidth="1"/>
    <col min="73" max="73" width="14.33203125" style="236" bestFit="1" customWidth="1"/>
    <col min="74" max="74" width="14.33203125" style="236" customWidth="1"/>
    <col min="75" max="75" width="14.33203125" style="236" bestFit="1" customWidth="1"/>
    <col min="76" max="76" width="14.33203125" style="236" customWidth="1"/>
    <col min="77" max="77" width="14.33203125" style="236" bestFit="1" customWidth="1"/>
    <col min="78" max="78" width="14.33203125" style="236" customWidth="1"/>
    <col min="79" max="79" width="14.33203125" style="236" bestFit="1" customWidth="1"/>
    <col min="80" max="80" width="14.33203125" style="236" customWidth="1"/>
    <col min="81" max="81" width="14.33203125" style="236" bestFit="1" customWidth="1"/>
    <col min="82" max="82" width="14.33203125" style="236" customWidth="1"/>
    <col min="83" max="83" width="14.33203125" style="236" bestFit="1" customWidth="1"/>
    <col min="84" max="84" width="14.33203125" style="236" customWidth="1"/>
    <col min="85" max="85" width="14.33203125" style="236" bestFit="1" customWidth="1"/>
    <col min="86" max="86" width="14.33203125" style="236" customWidth="1"/>
    <col min="87" max="87" width="14.33203125" style="236" bestFit="1" customWidth="1"/>
    <col min="88" max="88" width="14.33203125" style="236" customWidth="1"/>
    <col min="89" max="89" width="14.33203125" style="236" bestFit="1" customWidth="1"/>
    <col min="90" max="90" width="14.33203125" style="236" customWidth="1"/>
    <col min="91" max="91" width="14.33203125" style="236" bestFit="1" customWidth="1"/>
    <col min="92" max="92" width="14.33203125" style="236" customWidth="1"/>
    <col min="93" max="93" width="14.33203125" style="236" bestFit="1" customWidth="1"/>
    <col min="94" max="94" width="14.33203125" style="236" customWidth="1"/>
    <col min="95" max="95" width="11" style="236" bestFit="1" customWidth="1"/>
    <col min="96" max="96" width="14.33203125" style="236" customWidth="1"/>
    <col min="97" max="97" width="11" style="236" bestFit="1" customWidth="1"/>
    <col min="98" max="98" width="14.33203125" style="236" customWidth="1"/>
    <col min="99" max="99" width="11" style="236" bestFit="1" customWidth="1"/>
    <col min="100" max="100" width="14.33203125" style="236" customWidth="1"/>
    <col min="101" max="101" width="11" style="236" bestFit="1" customWidth="1"/>
    <col min="102" max="102" width="14.33203125" style="236" customWidth="1"/>
    <col min="103" max="103" width="11" style="236" bestFit="1" customWidth="1"/>
    <col min="104" max="104" width="14.33203125" style="236" customWidth="1"/>
    <col min="105" max="105" width="11" style="236" bestFit="1" customWidth="1"/>
    <col min="106" max="106" width="14.33203125" style="236" customWidth="1"/>
    <col min="107" max="107" width="11" style="236" bestFit="1" customWidth="1"/>
    <col min="108" max="108" width="14.33203125" style="236" customWidth="1"/>
    <col min="109" max="109" width="11" style="236" bestFit="1" customWidth="1"/>
    <col min="110" max="110" width="14.33203125" style="236" customWidth="1"/>
    <col min="111" max="111" width="11" style="236" bestFit="1" customWidth="1"/>
    <col min="112" max="112" width="14.33203125" style="236" customWidth="1"/>
    <col min="113" max="113" width="11" style="236" bestFit="1" customWidth="1"/>
    <col min="114" max="114" width="14.33203125" style="236" customWidth="1"/>
    <col min="115" max="115" width="11" style="236" bestFit="1" customWidth="1"/>
    <col min="116" max="116" width="14.33203125" style="236" customWidth="1"/>
    <col min="117" max="117" width="11" style="236" bestFit="1" customWidth="1"/>
    <col min="118" max="118" width="14.33203125" style="236" customWidth="1"/>
    <col min="119" max="119" width="11" style="236" bestFit="1" customWidth="1"/>
    <col min="120" max="120" width="14.33203125" style="236" customWidth="1"/>
    <col min="121" max="121" width="11" style="236" bestFit="1" customWidth="1"/>
    <col min="122" max="122" width="14.33203125" style="236" customWidth="1"/>
    <col min="123" max="124" width="10" style="236" bestFit="1" customWidth="1"/>
    <col min="125" max="125" width="10.5" style="236" hidden="1" customWidth="1"/>
    <col min="126" max="126" width="13.33203125" style="236" hidden="1" customWidth="1"/>
    <col min="127" max="127" width="10.5" style="236" hidden="1" customWidth="1"/>
    <col min="128" max="128" width="12" style="236" hidden="1" customWidth="1"/>
    <col min="129" max="129" width="10.5" style="236" hidden="1" customWidth="1" collapsed="1"/>
    <col min="130" max="130" width="12" style="236" hidden="1" customWidth="1"/>
    <col min="131" max="131" width="10.5" style="236" hidden="1" customWidth="1"/>
    <col min="132" max="132" width="11" style="236" hidden="1" customWidth="1"/>
    <col min="133" max="133" width="5.6640625" style="236" hidden="1" customWidth="1"/>
    <col min="134" max="134" width="11" style="236" hidden="1" customWidth="1"/>
    <col min="135" max="135" width="5.6640625" style="236" hidden="1" customWidth="1"/>
    <col min="136" max="136" width="11" style="236" hidden="1" customWidth="1"/>
    <col min="137" max="137" width="5.6640625" style="236" hidden="1" customWidth="1"/>
    <col min="138" max="138" width="11" style="236" hidden="1" customWidth="1"/>
    <col min="139" max="139" width="12.1640625" style="236" hidden="1" customWidth="1"/>
    <col min="140" max="140" width="11" style="236" hidden="1" customWidth="1"/>
    <col min="141" max="141" width="5.6640625" style="236" hidden="1" customWidth="1"/>
    <col min="142" max="142" width="11" style="236" hidden="1" customWidth="1"/>
    <col min="143" max="143" width="5.6640625" style="236" hidden="1" customWidth="1"/>
    <col min="144" max="144" width="11" style="236" hidden="1" customWidth="1"/>
    <col min="145" max="145" width="5.6640625" style="236" hidden="1" customWidth="1"/>
    <col min="146" max="146" width="11" style="236" hidden="1" customWidth="1"/>
    <col min="147" max="147" width="9.1640625" style="236" customWidth="1"/>
    <col min="148" max="148" width="11.6640625" style="236" customWidth="1"/>
    <col min="149" max="149" width="10.6640625" style="236" bestFit="1" customWidth="1"/>
    <col min="150" max="150" width="8.6640625" style="236" bestFit="1" customWidth="1"/>
    <col min="151" max="151" width="11" style="236" bestFit="1" customWidth="1"/>
    <col min="152" max="152" width="8.6640625" style="236"/>
    <col min="153" max="154" width="10" style="236" bestFit="1" customWidth="1"/>
    <col min="155" max="16384" width="8.6640625" style="236"/>
  </cols>
  <sheetData>
    <row r="1" spans="1:155" ht="16" thickBot="1" x14ac:dyDescent="0.25">
      <c r="B1" s="237" t="s">
        <v>358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9"/>
      <c r="AK1" s="238"/>
      <c r="AL1" s="239"/>
      <c r="AM1" s="238"/>
      <c r="AN1" s="239"/>
      <c r="AO1" s="238"/>
      <c r="AP1" s="239"/>
      <c r="AQ1" s="238"/>
      <c r="AR1" s="239"/>
      <c r="AS1" s="238"/>
      <c r="AT1" s="239"/>
      <c r="AU1" s="238"/>
      <c r="AV1" s="239"/>
      <c r="AW1" s="238"/>
      <c r="AX1" s="239"/>
      <c r="AY1" s="238"/>
      <c r="AZ1" s="239"/>
      <c r="BA1" s="238"/>
      <c r="BB1" s="239"/>
      <c r="BC1" s="238"/>
      <c r="BD1" s="239"/>
      <c r="BE1" s="238"/>
      <c r="BF1" s="239"/>
      <c r="BG1" s="238"/>
      <c r="BH1" s="239"/>
      <c r="BI1" s="238"/>
      <c r="BJ1" s="239"/>
      <c r="BK1" s="238"/>
      <c r="BL1" s="239"/>
      <c r="BM1" s="238"/>
      <c r="BN1" s="239"/>
      <c r="BO1" s="238"/>
      <c r="BP1" s="239"/>
      <c r="BQ1" s="238"/>
      <c r="BR1" s="239"/>
      <c r="BS1" s="238"/>
      <c r="BT1" s="239"/>
      <c r="BU1" s="238"/>
      <c r="BV1" s="239"/>
      <c r="BW1" s="238"/>
      <c r="BX1" s="239"/>
      <c r="BY1" s="238"/>
      <c r="BZ1" s="239"/>
      <c r="CA1" s="238"/>
      <c r="CB1" s="239"/>
      <c r="CC1" s="238"/>
      <c r="CD1" s="239"/>
      <c r="CE1" s="238"/>
      <c r="CF1" s="239"/>
      <c r="CG1" s="238"/>
      <c r="CH1" s="239"/>
      <c r="CI1" s="238"/>
      <c r="CJ1" s="239"/>
      <c r="CK1" s="238"/>
      <c r="CL1" s="239"/>
      <c r="CM1" s="238"/>
      <c r="CN1" s="239"/>
      <c r="CO1" s="238"/>
      <c r="CP1" s="239"/>
      <c r="CQ1" s="238"/>
      <c r="CR1" s="239"/>
      <c r="CS1" s="238"/>
      <c r="CT1" s="239"/>
      <c r="CU1" s="238"/>
      <c r="CV1" s="239"/>
      <c r="CW1" s="238"/>
      <c r="CX1" s="239"/>
      <c r="CY1" s="238"/>
      <c r="CZ1" s="239"/>
      <c r="DA1" s="238"/>
      <c r="DB1" s="239"/>
      <c r="DC1" s="238"/>
      <c r="DD1" s="239"/>
      <c r="DE1" s="238"/>
      <c r="DF1" s="239"/>
      <c r="DG1" s="238"/>
      <c r="DH1" s="239"/>
      <c r="DI1" s="238"/>
      <c r="DJ1" s="239"/>
      <c r="DK1" s="238"/>
      <c r="DL1" s="239"/>
      <c r="DM1" s="238"/>
      <c r="DN1" s="239"/>
      <c r="DO1" s="238"/>
      <c r="DP1" s="239"/>
      <c r="DQ1" s="238"/>
      <c r="DR1" s="239"/>
      <c r="DU1" s="826" t="s">
        <v>359</v>
      </c>
      <c r="DV1" s="828"/>
      <c r="DW1" s="826" t="s">
        <v>359</v>
      </c>
      <c r="DX1" s="828"/>
      <c r="DY1" s="826" t="s">
        <v>359</v>
      </c>
      <c r="DZ1" s="828"/>
      <c r="EA1" s="826" t="s">
        <v>359</v>
      </c>
      <c r="EB1" s="828"/>
      <c r="EC1" s="828" t="s">
        <v>359</v>
      </c>
      <c r="ED1" s="828"/>
      <c r="EE1" s="828" t="s">
        <v>359</v>
      </c>
      <c r="EF1" s="828"/>
      <c r="EG1" s="826" t="s">
        <v>359</v>
      </c>
      <c r="EH1" s="827"/>
      <c r="EI1" s="238"/>
      <c r="EJ1" s="238" t="s">
        <v>359</v>
      </c>
      <c r="EK1" s="238"/>
      <c r="EL1" s="238" t="s">
        <v>359</v>
      </c>
      <c r="EM1" s="828" t="s">
        <v>359</v>
      </c>
      <c r="EN1" s="828"/>
      <c r="EO1" s="828" t="s">
        <v>359</v>
      </c>
      <c r="EP1" s="828"/>
      <c r="EQ1" s="828" t="s">
        <v>359</v>
      </c>
      <c r="ER1" s="827"/>
    </row>
    <row r="2" spans="1:155" ht="16" thickBot="1" x14ac:dyDescent="0.25">
      <c r="B2" s="241" t="s">
        <v>360</v>
      </c>
      <c r="C2" s="242" t="s">
        <v>361</v>
      </c>
      <c r="D2" s="242" t="s">
        <v>362</v>
      </c>
      <c r="E2" s="242" t="s">
        <v>361</v>
      </c>
      <c r="F2" s="242" t="s">
        <v>363</v>
      </c>
      <c r="G2" s="242" t="s">
        <v>361</v>
      </c>
      <c r="H2" s="242" t="s">
        <v>364</v>
      </c>
      <c r="I2" s="242" t="s">
        <v>361</v>
      </c>
      <c r="J2" s="242" t="s">
        <v>365</v>
      </c>
      <c r="K2" s="242" t="s">
        <v>361</v>
      </c>
      <c r="L2" s="242" t="s">
        <v>366</v>
      </c>
      <c r="M2" s="242" t="s">
        <v>361</v>
      </c>
      <c r="N2" s="242" t="s">
        <v>367</v>
      </c>
      <c r="O2" s="242" t="s">
        <v>361</v>
      </c>
      <c r="P2" s="242" t="s">
        <v>368</v>
      </c>
      <c r="Q2" s="242" t="s">
        <v>361</v>
      </c>
      <c r="R2" s="240" t="s">
        <v>369</v>
      </c>
      <c r="S2" s="242" t="s">
        <v>361</v>
      </c>
      <c r="T2" s="240" t="s">
        <v>370</v>
      </c>
      <c r="U2" s="242" t="s">
        <v>361</v>
      </c>
      <c r="V2" s="240" t="s">
        <v>371</v>
      </c>
      <c r="W2" s="242" t="s">
        <v>361</v>
      </c>
      <c r="X2" s="240" t="s">
        <v>372</v>
      </c>
      <c r="Y2" s="242" t="s">
        <v>361</v>
      </c>
      <c r="Z2" s="240" t="s">
        <v>373</v>
      </c>
      <c r="AA2" s="242" t="s">
        <v>361</v>
      </c>
      <c r="AB2" s="240" t="s">
        <v>374</v>
      </c>
      <c r="AC2" s="242" t="s">
        <v>361</v>
      </c>
      <c r="AD2" s="240" t="s">
        <v>375</v>
      </c>
      <c r="AE2" s="242" t="s">
        <v>361</v>
      </c>
      <c r="AF2" s="240" t="s">
        <v>376</v>
      </c>
      <c r="AG2" s="242" t="s">
        <v>361</v>
      </c>
      <c r="AH2" s="240" t="s">
        <v>377</v>
      </c>
      <c r="AI2" s="242" t="s">
        <v>361</v>
      </c>
      <c r="AJ2" s="240" t="s">
        <v>378</v>
      </c>
      <c r="AK2" s="242" t="s">
        <v>361</v>
      </c>
      <c r="AL2" s="240" t="s">
        <v>379</v>
      </c>
      <c r="AM2" s="242" t="s">
        <v>361</v>
      </c>
      <c r="AN2" s="240" t="s">
        <v>380</v>
      </c>
      <c r="AO2" s="242" t="s">
        <v>361</v>
      </c>
      <c r="AP2" s="240" t="s">
        <v>381</v>
      </c>
      <c r="AQ2" s="242" t="s">
        <v>361</v>
      </c>
      <c r="AR2" s="240" t="s">
        <v>382</v>
      </c>
      <c r="AS2" s="242" t="s">
        <v>361</v>
      </c>
      <c r="AT2" s="240" t="s">
        <v>383</v>
      </c>
      <c r="AU2" s="242" t="s">
        <v>361</v>
      </c>
      <c r="AV2" s="240" t="s">
        <v>384</v>
      </c>
      <c r="AW2" s="242" t="s">
        <v>361</v>
      </c>
      <c r="AX2" s="240" t="s">
        <v>385</v>
      </c>
      <c r="AY2" s="242" t="s">
        <v>361</v>
      </c>
      <c r="AZ2" s="240" t="s">
        <v>386</v>
      </c>
      <c r="BA2" s="242" t="s">
        <v>361</v>
      </c>
      <c r="BB2" s="240" t="s">
        <v>387</v>
      </c>
      <c r="BC2" s="242" t="s">
        <v>361</v>
      </c>
      <c r="BD2" s="240" t="s">
        <v>388</v>
      </c>
      <c r="BE2" s="242" t="s">
        <v>361</v>
      </c>
      <c r="BF2" s="240" t="s">
        <v>389</v>
      </c>
      <c r="BG2" s="242" t="s">
        <v>361</v>
      </c>
      <c r="BH2" s="240" t="s">
        <v>390</v>
      </c>
      <c r="BI2" s="242" t="s">
        <v>361</v>
      </c>
      <c r="BJ2" s="240" t="s">
        <v>391</v>
      </c>
      <c r="BK2" s="242" t="s">
        <v>361</v>
      </c>
      <c r="BL2" s="240" t="s">
        <v>392</v>
      </c>
      <c r="BM2" s="242" t="s">
        <v>361</v>
      </c>
      <c r="BN2" s="240" t="s">
        <v>393</v>
      </c>
      <c r="BO2" s="242" t="s">
        <v>361</v>
      </c>
      <c r="BP2" s="240" t="s">
        <v>394</v>
      </c>
      <c r="BQ2" s="242" t="s">
        <v>361</v>
      </c>
      <c r="BR2" s="240" t="s">
        <v>395</v>
      </c>
      <c r="BS2" s="242" t="s">
        <v>361</v>
      </c>
      <c r="BT2" s="240" t="s">
        <v>396</v>
      </c>
      <c r="BU2" s="242" t="s">
        <v>361</v>
      </c>
      <c r="BV2" s="240" t="s">
        <v>397</v>
      </c>
      <c r="BW2" s="242" t="s">
        <v>361</v>
      </c>
      <c r="BX2" s="240" t="s">
        <v>398</v>
      </c>
      <c r="BY2" s="242" t="s">
        <v>361</v>
      </c>
      <c r="BZ2" s="240" t="s">
        <v>399</v>
      </c>
      <c r="CA2" s="242" t="s">
        <v>361</v>
      </c>
      <c r="CB2" s="240" t="s">
        <v>400</v>
      </c>
      <c r="CC2" s="242" t="s">
        <v>361</v>
      </c>
      <c r="CD2" s="240" t="s">
        <v>401</v>
      </c>
      <c r="CE2" s="242" t="s">
        <v>361</v>
      </c>
      <c r="CF2" s="240" t="s">
        <v>402</v>
      </c>
      <c r="CG2" s="242" t="s">
        <v>361</v>
      </c>
      <c r="CH2" s="240" t="s">
        <v>403</v>
      </c>
      <c r="CI2" s="242" t="s">
        <v>361</v>
      </c>
      <c r="CJ2" s="240" t="s">
        <v>404</v>
      </c>
      <c r="CK2" s="242" t="s">
        <v>361</v>
      </c>
      <c r="CL2" s="240" t="s">
        <v>405</v>
      </c>
      <c r="CM2" s="242" t="s">
        <v>361</v>
      </c>
      <c r="CN2" s="240" t="s">
        <v>406</v>
      </c>
      <c r="CO2" s="242" t="s">
        <v>361</v>
      </c>
      <c r="CP2" s="240" t="s">
        <v>407</v>
      </c>
      <c r="CQ2" s="242" t="s">
        <v>361</v>
      </c>
      <c r="CR2" s="240" t="s">
        <v>408</v>
      </c>
      <c r="CS2" s="242" t="s">
        <v>361</v>
      </c>
      <c r="CT2" s="240" t="s">
        <v>409</v>
      </c>
      <c r="CU2" s="242" t="s">
        <v>361</v>
      </c>
      <c r="CV2" s="240" t="s">
        <v>410</v>
      </c>
      <c r="CW2" s="242" t="s">
        <v>361</v>
      </c>
      <c r="CX2" s="240" t="s">
        <v>411</v>
      </c>
      <c r="CY2" s="242" t="s">
        <v>361</v>
      </c>
      <c r="CZ2" s="240" t="s">
        <v>412</v>
      </c>
      <c r="DA2" s="242" t="s">
        <v>361</v>
      </c>
      <c r="DB2" s="240" t="s">
        <v>413</v>
      </c>
      <c r="DC2" s="242" t="s">
        <v>361</v>
      </c>
      <c r="DD2" s="240" t="s">
        <v>414</v>
      </c>
      <c r="DE2" s="242" t="s">
        <v>361</v>
      </c>
      <c r="DF2" s="240" t="s">
        <v>415</v>
      </c>
      <c r="DG2" s="242" t="s">
        <v>361</v>
      </c>
      <c r="DH2" s="240" t="s">
        <v>416</v>
      </c>
      <c r="DI2" s="242" t="s">
        <v>361</v>
      </c>
      <c r="DJ2" s="240" t="s">
        <v>417</v>
      </c>
      <c r="DK2" s="242" t="s">
        <v>361</v>
      </c>
      <c r="DL2" s="240" t="s">
        <v>418</v>
      </c>
      <c r="DM2" s="242" t="s">
        <v>361</v>
      </c>
      <c r="DN2" s="240" t="s">
        <v>419</v>
      </c>
      <c r="DO2" s="242" t="s">
        <v>361</v>
      </c>
      <c r="DP2" s="240" t="s">
        <v>420</v>
      </c>
      <c r="DQ2" s="242" t="s">
        <v>361</v>
      </c>
      <c r="DR2" s="240" t="s">
        <v>421</v>
      </c>
      <c r="DU2" s="243" t="s">
        <v>361</v>
      </c>
      <c r="DV2" s="244">
        <v>45757</v>
      </c>
      <c r="DW2" s="245" t="s">
        <v>361</v>
      </c>
      <c r="DX2" s="244">
        <f>DV2+31</f>
        <v>45788</v>
      </c>
      <c r="DY2" s="245" t="s">
        <v>361</v>
      </c>
      <c r="DZ2" s="244">
        <f>DX2+31</f>
        <v>45819</v>
      </c>
      <c r="EA2" s="245" t="s">
        <v>361</v>
      </c>
      <c r="EB2" s="244">
        <f>DZ2+31</f>
        <v>45850</v>
      </c>
      <c r="EC2" s="245" t="s">
        <v>361</v>
      </c>
      <c r="ED2" s="244">
        <f>EB2+31</f>
        <v>45881</v>
      </c>
      <c r="EE2" s="245" t="s">
        <v>361</v>
      </c>
      <c r="EF2" s="244">
        <f>ED2+31</f>
        <v>45912</v>
      </c>
      <c r="EG2" s="245" t="s">
        <v>361</v>
      </c>
      <c r="EH2" s="244">
        <f>EF2+31</f>
        <v>45943</v>
      </c>
      <c r="EI2" s="245" t="s">
        <v>361</v>
      </c>
      <c r="EJ2" s="244">
        <f>EH2+31</f>
        <v>45974</v>
      </c>
      <c r="EK2" s="245" t="s">
        <v>361</v>
      </c>
      <c r="EL2" s="244">
        <f>EJ2+31</f>
        <v>46005</v>
      </c>
      <c r="EM2" s="245" t="s">
        <v>361</v>
      </c>
      <c r="EN2" s="244">
        <f>EL2+31</f>
        <v>46036</v>
      </c>
      <c r="EO2" s="245" t="s">
        <v>361</v>
      </c>
      <c r="EP2" s="244">
        <f>EN2+31</f>
        <v>46067</v>
      </c>
      <c r="EQ2" s="245" t="s">
        <v>361</v>
      </c>
      <c r="ER2" s="244">
        <f>EP2+31</f>
        <v>46098</v>
      </c>
    </row>
    <row r="3" spans="1:155" x14ac:dyDescent="0.2">
      <c r="A3" s="236">
        <v>1</v>
      </c>
      <c r="B3" s="246" t="s">
        <v>422</v>
      </c>
      <c r="C3" s="247">
        <v>1</v>
      </c>
      <c r="D3" s="248">
        <v>20544.613653846154</v>
      </c>
      <c r="E3" s="247">
        <v>1</v>
      </c>
      <c r="F3" s="248">
        <v>20544.613653846154</v>
      </c>
      <c r="G3" s="247">
        <v>1</v>
      </c>
      <c r="H3" s="248">
        <v>20544.613653846154</v>
      </c>
      <c r="I3" s="247">
        <v>1</v>
      </c>
      <c r="J3" s="248">
        <v>20544.613653846154</v>
      </c>
      <c r="K3" s="249">
        <v>2</v>
      </c>
      <c r="L3" s="250">
        <v>39337.48653846154</v>
      </c>
      <c r="M3" s="251">
        <v>2</v>
      </c>
      <c r="N3" s="252">
        <v>39337.48653846154</v>
      </c>
      <c r="O3" s="253">
        <v>2</v>
      </c>
      <c r="P3" s="252">
        <v>39337.48653846154</v>
      </c>
      <c r="Q3" s="254">
        <v>2</v>
      </c>
      <c r="R3" s="255">
        <v>39337.48653846154</v>
      </c>
      <c r="S3" s="254">
        <v>2</v>
      </c>
      <c r="T3" s="255">
        <v>39337.48653846154</v>
      </c>
      <c r="U3" s="254">
        <v>2</v>
      </c>
      <c r="V3" s="255">
        <v>39337.48653846154</v>
      </c>
      <c r="W3" s="254">
        <v>2</v>
      </c>
      <c r="X3" s="255">
        <v>44337.48653846154</v>
      </c>
      <c r="Y3" s="254">
        <v>2</v>
      </c>
      <c r="Z3" s="255">
        <v>46266.89224358974</v>
      </c>
      <c r="AA3" s="254">
        <v>2</v>
      </c>
      <c r="AB3" s="255">
        <v>46801.539743589739</v>
      </c>
      <c r="AC3" s="254">
        <v>2</v>
      </c>
      <c r="AD3" s="255">
        <v>46801.539743589739</v>
      </c>
      <c r="AE3" s="254">
        <v>2</v>
      </c>
      <c r="AF3" s="255">
        <v>46801.539743589739</v>
      </c>
      <c r="AG3" s="254">
        <v>2</v>
      </c>
      <c r="AH3" s="255">
        <v>46801.539743589739</v>
      </c>
      <c r="AI3" s="254">
        <v>2</v>
      </c>
      <c r="AJ3" s="255">
        <v>46801.539743589739</v>
      </c>
      <c r="AK3" s="254">
        <v>2</v>
      </c>
      <c r="AL3" s="255">
        <v>46801.539743589739</v>
      </c>
      <c r="AM3" s="254">
        <v>2</v>
      </c>
      <c r="AN3" s="255">
        <v>46801.539743589739</v>
      </c>
      <c r="AO3" s="254">
        <v>2</v>
      </c>
      <c r="AP3" s="255">
        <v>46801.539743589739</v>
      </c>
      <c r="AQ3" s="254">
        <v>2</v>
      </c>
      <c r="AR3" s="255">
        <v>46801.539743589739</v>
      </c>
      <c r="AS3" s="254">
        <v>2</v>
      </c>
      <c r="AT3" s="255">
        <v>46801.539743589739</v>
      </c>
      <c r="AU3" s="254">
        <v>2</v>
      </c>
      <c r="AV3" s="255">
        <v>46801.539743589739</v>
      </c>
      <c r="AW3" s="254">
        <v>2</v>
      </c>
      <c r="AX3" s="255">
        <v>46801.539743589739</v>
      </c>
      <c r="AY3" s="254">
        <v>2</v>
      </c>
      <c r="AZ3" s="255">
        <v>50004.321330370134</v>
      </c>
      <c r="BA3" s="254">
        <v>2</v>
      </c>
      <c r="BB3" s="255">
        <v>50004.321330370134</v>
      </c>
      <c r="BC3" s="254">
        <v>2</v>
      </c>
      <c r="BD3" s="255">
        <v>50004.352564102563</v>
      </c>
      <c r="BE3" s="254">
        <v>2</v>
      </c>
      <c r="BF3" s="255">
        <v>50028.352564102563</v>
      </c>
      <c r="BG3" s="254">
        <v>2</v>
      </c>
      <c r="BH3" s="255">
        <v>50028.352564102563</v>
      </c>
      <c r="BI3" s="254">
        <v>2</v>
      </c>
      <c r="BJ3" s="255">
        <v>50028.352564102563</v>
      </c>
      <c r="BK3" s="254">
        <f>2+1</f>
        <v>3</v>
      </c>
      <c r="BL3" s="255">
        <f>50272.9525641026+60249</f>
        <v>110521.9525641026</v>
      </c>
      <c r="BM3" s="254">
        <v>3</v>
      </c>
      <c r="BN3" s="255">
        <v>110521.52179487181</v>
      </c>
      <c r="BO3" s="254">
        <v>3</v>
      </c>
      <c r="BP3" s="255">
        <v>110521.52179487181</v>
      </c>
      <c r="BQ3" s="254">
        <v>3</v>
      </c>
      <c r="BR3" s="255">
        <v>110521.52179487181</v>
      </c>
      <c r="BS3" s="254">
        <v>3</v>
      </c>
      <c r="BT3" s="255">
        <v>110521.52179487181</v>
      </c>
      <c r="BU3" s="254">
        <v>3</v>
      </c>
      <c r="BV3" s="255">
        <v>110521.52179487181</v>
      </c>
      <c r="BW3" s="254">
        <v>3</v>
      </c>
      <c r="BX3" s="255">
        <v>125808.77499999999</v>
      </c>
      <c r="BY3" s="254">
        <v>3</v>
      </c>
      <c r="BZ3" s="255">
        <v>125808.77499999999</v>
      </c>
      <c r="CA3" s="254">
        <v>3</v>
      </c>
      <c r="CB3" s="255">
        <v>125808.77499999999</v>
      </c>
      <c r="CC3" s="254">
        <v>3</v>
      </c>
      <c r="CD3" s="255">
        <v>125808.77499999999</v>
      </c>
      <c r="CE3" s="254">
        <v>3</v>
      </c>
      <c r="CF3" s="255">
        <v>125808.77499999999</v>
      </c>
      <c r="CG3" s="254">
        <v>3</v>
      </c>
      <c r="CH3" s="255">
        <v>125808.77499999999</v>
      </c>
      <c r="CI3" s="254">
        <v>3</v>
      </c>
      <c r="CJ3" s="255">
        <v>125808.77499999999</v>
      </c>
      <c r="CK3" s="254">
        <v>3</v>
      </c>
      <c r="CL3" s="255">
        <v>125808.77499999999</v>
      </c>
      <c r="CM3" s="254">
        <v>3</v>
      </c>
      <c r="CN3" s="255">
        <v>125808.77499999999</v>
      </c>
      <c r="CO3" s="254">
        <v>3</v>
      </c>
      <c r="CP3" s="255">
        <v>125808.77499999999</v>
      </c>
      <c r="CQ3" s="254">
        <v>4</v>
      </c>
      <c r="CR3" s="255">
        <v>207996.99807692308</v>
      </c>
      <c r="CS3" s="254">
        <v>4</v>
      </c>
      <c r="CT3" s="255">
        <v>226667.26730769232</v>
      </c>
      <c r="CU3" s="254">
        <v>4</v>
      </c>
      <c r="CV3" s="255">
        <v>248851.35384615386</v>
      </c>
      <c r="CW3" s="254">
        <v>4</v>
      </c>
      <c r="CX3" s="255">
        <v>248851.35384615386</v>
      </c>
      <c r="CY3" s="254">
        <v>5</v>
      </c>
      <c r="CZ3" s="255">
        <v>298734.15384615387</v>
      </c>
      <c r="DA3" s="254">
        <v>5</v>
      </c>
      <c r="DB3" s="255">
        <v>300433.19230769231</v>
      </c>
      <c r="DC3" s="254">
        <v>6</v>
      </c>
      <c r="DD3" s="255">
        <v>415974.10769230773</v>
      </c>
      <c r="DE3" s="254">
        <v>6</v>
      </c>
      <c r="DF3" s="255">
        <v>450974.10769230773</v>
      </c>
      <c r="DG3" s="254">
        <v>7</v>
      </c>
      <c r="DH3" s="255">
        <v>449354.87692307698</v>
      </c>
      <c r="DI3" s="254">
        <v>7</v>
      </c>
      <c r="DJ3" s="255">
        <v>515982.17692307697</v>
      </c>
      <c r="DK3" s="254">
        <v>7</v>
      </c>
      <c r="DL3" s="255">
        <v>475982.17692307697</v>
      </c>
      <c r="DM3" s="254">
        <v>7</v>
      </c>
      <c r="DN3" s="255">
        <v>467228.17692307697</v>
      </c>
      <c r="DO3" s="254">
        <v>8</v>
      </c>
      <c r="DP3" s="255">
        <v>485252.82730769238</v>
      </c>
      <c r="DQ3" s="254">
        <v>8</v>
      </c>
      <c r="DR3" s="255">
        <v>494304.11897435901</v>
      </c>
      <c r="DU3" s="256">
        <v>4</v>
      </c>
      <c r="DV3" s="255">
        <v>228796.69788461539</v>
      </c>
      <c r="DW3" s="256">
        <v>4</v>
      </c>
      <c r="DX3" s="255">
        <v>228796.69788461539</v>
      </c>
      <c r="DY3" s="256">
        <v>4</v>
      </c>
      <c r="DZ3" s="255">
        <v>228796.69788461539</v>
      </c>
      <c r="EA3" s="256">
        <v>4</v>
      </c>
      <c r="EB3" s="255">
        <v>228796.69788461539</v>
      </c>
      <c r="EC3" s="256">
        <v>4</v>
      </c>
      <c r="ED3" s="255">
        <v>228796.69788461539</v>
      </c>
      <c r="EE3" s="256">
        <v>4</v>
      </c>
      <c r="EF3" s="255">
        <v>228796.69788461539</v>
      </c>
      <c r="EG3" s="256">
        <v>4</v>
      </c>
      <c r="EH3" s="255">
        <v>228796.69788461539</v>
      </c>
      <c r="EI3" s="256">
        <v>4</v>
      </c>
      <c r="EJ3" s="255">
        <v>228796.69788461539</v>
      </c>
      <c r="EK3" s="256">
        <v>4</v>
      </c>
      <c r="EL3" s="255">
        <v>228796.69788461539</v>
      </c>
      <c r="EM3" s="256">
        <v>4</v>
      </c>
      <c r="EN3" s="255">
        <v>228796.69788461539</v>
      </c>
      <c r="EO3" s="256">
        <v>4</v>
      </c>
      <c r="EP3" s="255">
        <v>228796.69788461539</v>
      </c>
      <c r="EQ3" s="256">
        <v>4</v>
      </c>
      <c r="ER3" s="255">
        <v>228796.69788461539</v>
      </c>
      <c r="ET3" s="257"/>
      <c r="EU3" s="257"/>
    </row>
    <row r="4" spans="1:155" x14ac:dyDescent="0.2">
      <c r="A4" s="236">
        <v>1</v>
      </c>
      <c r="B4" s="258" t="s">
        <v>423</v>
      </c>
      <c r="C4" s="259">
        <v>11</v>
      </c>
      <c r="D4" s="252">
        <v>764421.93788461527</v>
      </c>
      <c r="E4" s="259">
        <v>10</v>
      </c>
      <c r="F4" s="252">
        <v>874649</v>
      </c>
      <c r="G4" s="259">
        <v>11</v>
      </c>
      <c r="H4" s="252">
        <v>746077.45397435897</v>
      </c>
      <c r="I4" s="259">
        <v>14</v>
      </c>
      <c r="J4" s="252">
        <v>732807.858974359</v>
      </c>
      <c r="K4" s="260">
        <v>15</v>
      </c>
      <c r="L4" s="261">
        <v>994745.15288461535</v>
      </c>
      <c r="M4" s="251">
        <v>23</v>
      </c>
      <c r="N4" s="252">
        <v>1377914.0963461534</v>
      </c>
      <c r="O4" s="253">
        <v>23</v>
      </c>
      <c r="P4" s="252">
        <v>1497272.7432051285</v>
      </c>
      <c r="Q4" s="251">
        <v>24</v>
      </c>
      <c r="R4" s="255">
        <v>1521435.0051923078</v>
      </c>
      <c r="S4" s="251">
        <v>25</v>
      </c>
      <c r="T4" s="255">
        <v>1600748.2872435898</v>
      </c>
      <c r="U4" s="251">
        <v>23</v>
      </c>
      <c r="V4" s="255">
        <v>1484244.9431410255</v>
      </c>
      <c r="W4" s="251">
        <v>25</v>
      </c>
      <c r="X4" s="255">
        <v>1709313.5733333332</v>
      </c>
      <c r="Y4" s="251">
        <v>25</v>
      </c>
      <c r="Z4" s="255">
        <v>2179670.3805128201</v>
      </c>
      <c r="AA4" s="251">
        <v>27</v>
      </c>
      <c r="AB4" s="255">
        <v>2120368.1566025643</v>
      </c>
      <c r="AC4" s="251">
        <v>25</v>
      </c>
      <c r="AD4" s="255">
        <v>2000954.233205128</v>
      </c>
      <c r="AE4" s="251">
        <v>28</v>
      </c>
      <c r="AF4" s="255">
        <v>2076325.8330128202</v>
      </c>
      <c r="AG4" s="251">
        <v>33</v>
      </c>
      <c r="AH4" s="255">
        <v>2400855.3366666669</v>
      </c>
      <c r="AI4" s="251">
        <f>54-27</f>
        <v>27</v>
      </c>
      <c r="AJ4" s="255">
        <f>3145285.2275-539881</f>
        <v>2605404.2275</v>
      </c>
      <c r="AK4" s="251">
        <v>25</v>
      </c>
      <c r="AL4" s="255">
        <f>3326801.66532051-AL5</f>
        <v>2515524.3803205099</v>
      </c>
      <c r="AM4" s="251">
        <v>26</v>
      </c>
      <c r="AN4" s="255">
        <v>2109696.6699358975</v>
      </c>
      <c r="AO4" s="251">
        <v>26</v>
      </c>
      <c r="AP4" s="255">
        <v>2139701.8741025636</v>
      </c>
      <c r="AQ4" s="251">
        <v>27</v>
      </c>
      <c r="AR4" s="255">
        <v>2198465.7343589743</v>
      </c>
      <c r="AS4" s="251">
        <v>26</v>
      </c>
      <c r="AT4" s="255">
        <v>2456071.3810897428</v>
      </c>
      <c r="AU4" s="251">
        <v>27</v>
      </c>
      <c r="AV4" s="255">
        <v>3026840.1130128196</v>
      </c>
      <c r="AW4" s="251">
        <v>27</v>
      </c>
      <c r="AX4" s="255">
        <v>3387861.805320513</v>
      </c>
      <c r="AY4" s="251">
        <v>32</v>
      </c>
      <c r="AZ4" s="255">
        <v>3522360.5403884863</v>
      </c>
      <c r="BA4" s="251">
        <v>31</v>
      </c>
      <c r="BB4" s="255">
        <v>3167472.4943841784</v>
      </c>
      <c r="BC4" s="251">
        <v>30</v>
      </c>
      <c r="BD4" s="255">
        <v>3063016.7965384605</v>
      </c>
      <c r="BE4" s="251">
        <v>29</v>
      </c>
      <c r="BF4" s="255">
        <v>2981254.4502564101</v>
      </c>
      <c r="BG4" s="251">
        <v>29</v>
      </c>
      <c r="BH4" s="255">
        <v>3011969.7964102561</v>
      </c>
      <c r="BI4" s="251">
        <v>32</v>
      </c>
      <c r="BJ4" s="255">
        <v>2845224.8619871787</v>
      </c>
      <c r="BK4" s="251">
        <v>32</v>
      </c>
      <c r="BL4" s="255">
        <v>3097684.3080128203</v>
      </c>
      <c r="BM4" s="251">
        <v>32</v>
      </c>
      <c r="BN4" s="255">
        <v>3042711.8772435901</v>
      </c>
      <c r="BO4" s="251">
        <v>32</v>
      </c>
      <c r="BP4" s="255">
        <v>2987635.0003205133</v>
      </c>
      <c r="BQ4" s="251">
        <v>29</v>
      </c>
      <c r="BR4" s="255">
        <v>2887507.3233974362</v>
      </c>
      <c r="BS4" s="251">
        <v>29</v>
      </c>
      <c r="BT4" s="255">
        <v>2886986.4915583557</v>
      </c>
      <c r="BU4" s="251">
        <v>30</v>
      </c>
      <c r="BV4" s="255">
        <v>2650830.7905128207</v>
      </c>
      <c r="BW4" s="251">
        <f>29+1</f>
        <v>30</v>
      </c>
      <c r="BX4" s="255">
        <f>3320243.92032051+647859</f>
        <v>3968102.9203205099</v>
      </c>
      <c r="BY4" s="251">
        <v>31</v>
      </c>
      <c r="BZ4" s="255">
        <f>3253205.53435897+552698+200000</f>
        <v>4005903.5343589699</v>
      </c>
      <c r="CA4" s="251">
        <v>33</v>
      </c>
      <c r="CB4" s="255">
        <f>3875988.98192308</f>
        <v>3875988.98192308</v>
      </c>
      <c r="CC4" s="251">
        <v>33</v>
      </c>
      <c r="CD4" s="255">
        <f>4725556.82807692-800000+200000</f>
        <v>4125556.8280769195</v>
      </c>
      <c r="CE4" s="251">
        <v>33</v>
      </c>
      <c r="CF4" s="255">
        <v>4010413.5588461533</v>
      </c>
      <c r="CG4" s="251">
        <v>32</v>
      </c>
      <c r="CH4" s="255">
        <v>4008600.9896153845</v>
      </c>
      <c r="CI4" s="251">
        <v>33</v>
      </c>
      <c r="CJ4" s="255">
        <v>4383478.8665384613</v>
      </c>
      <c r="CK4" s="251">
        <v>32</v>
      </c>
      <c r="CL4" s="255">
        <v>3819532.733205128</v>
      </c>
      <c r="CM4" s="251">
        <v>33</v>
      </c>
      <c r="CN4" s="255">
        <v>4219104.6746443342</v>
      </c>
      <c r="CO4" s="251">
        <v>33</v>
      </c>
      <c r="CP4" s="255">
        <v>4463866.7131058723</v>
      </c>
      <c r="CQ4" s="251">
        <v>32</v>
      </c>
      <c r="CR4" s="255">
        <v>3918553.6173717952</v>
      </c>
      <c r="CS4" s="251">
        <f>33+1</f>
        <v>34</v>
      </c>
      <c r="CT4" s="255">
        <f>4719751.76429487+539523</f>
        <v>5259274.7642948702</v>
      </c>
      <c r="CU4" s="251">
        <v>32</v>
      </c>
      <c r="CV4" s="255">
        <f>5192936.24730769+81670</f>
        <v>5274606.2473076899</v>
      </c>
      <c r="CW4" s="251">
        <f>31+1</f>
        <v>32</v>
      </c>
      <c r="CX4" s="255">
        <f>4487233.50437965+331173+100000</f>
        <v>4918406.5043796496</v>
      </c>
      <c r="CY4" s="251">
        <v>53</v>
      </c>
      <c r="CZ4" s="255">
        <v>5615138.0207692301</v>
      </c>
      <c r="DA4" s="251">
        <v>53</v>
      </c>
      <c r="DB4" s="255">
        <f>6109552.45141026+100000</f>
        <v>6209552.4514102601</v>
      </c>
      <c r="DC4" s="251">
        <v>54</v>
      </c>
      <c r="DD4" s="255">
        <v>5754414.7053846177</v>
      </c>
      <c r="DE4" s="251">
        <v>53</v>
      </c>
      <c r="DF4" s="255">
        <v>5736120.1094230786</v>
      </c>
      <c r="DG4" s="251">
        <v>51</v>
      </c>
      <c r="DH4" s="255">
        <v>6234507.4976923075</v>
      </c>
      <c r="DI4" s="251">
        <v>57</v>
      </c>
      <c r="DJ4" s="255">
        <v>6696487.2346153855</v>
      </c>
      <c r="DK4" s="251">
        <v>57</v>
      </c>
      <c r="DL4" s="255">
        <v>6656024.850897436</v>
      </c>
      <c r="DM4" s="251">
        <v>57</v>
      </c>
      <c r="DN4" s="255">
        <v>7097500.3720430117</v>
      </c>
      <c r="DO4" s="251">
        <v>59</v>
      </c>
      <c r="DP4" s="255">
        <v>6989105.0969871795</v>
      </c>
      <c r="DQ4" s="251">
        <v>60</v>
      </c>
      <c r="DR4" s="255">
        <v>7017134.6567307701</v>
      </c>
      <c r="DU4" s="256">
        <v>33.952805718701853</v>
      </c>
      <c r="DV4" s="255">
        <v>4781336.6599775646</v>
      </c>
      <c r="DW4" s="256">
        <v>33.952805718701853</v>
      </c>
      <c r="DX4" s="255">
        <v>4781336.6599775646</v>
      </c>
      <c r="DY4" s="256">
        <v>33.952805718701853</v>
      </c>
      <c r="DZ4" s="255">
        <v>4781336.6599775646</v>
      </c>
      <c r="EA4" s="256">
        <v>33.952805718701853</v>
      </c>
      <c r="EB4" s="255">
        <v>4781336.6599775646</v>
      </c>
      <c r="EC4" s="256">
        <v>33.952805718701853</v>
      </c>
      <c r="ED4" s="255">
        <v>4781336.6599775646</v>
      </c>
      <c r="EE4" s="256">
        <v>33.952805718701853</v>
      </c>
      <c r="EF4" s="255">
        <v>4781336.6599775646</v>
      </c>
      <c r="EG4" s="256">
        <v>33.952805718701853</v>
      </c>
      <c r="EH4" s="255">
        <v>4781336.6599775646</v>
      </c>
      <c r="EI4" s="256">
        <v>33.952805718701853</v>
      </c>
      <c r="EJ4" s="255">
        <v>4781336.6599775646</v>
      </c>
      <c r="EK4" s="256">
        <v>33.952805718701853</v>
      </c>
      <c r="EL4" s="255">
        <v>4781336.6599775646</v>
      </c>
      <c r="EM4" s="256">
        <v>33.952805718701853</v>
      </c>
      <c r="EN4" s="255">
        <v>4781336.6599775646</v>
      </c>
      <c r="EO4" s="256">
        <v>33.952805718701853</v>
      </c>
      <c r="EP4" s="255">
        <v>4781336.6599775646</v>
      </c>
      <c r="EQ4" s="256">
        <v>33.952805718701853</v>
      </c>
      <c r="ER4" s="255">
        <v>4781336.6599775646</v>
      </c>
      <c r="ET4" s="257"/>
      <c r="EU4" s="257"/>
    </row>
    <row r="5" spans="1:155" x14ac:dyDescent="0.2">
      <c r="A5" s="257"/>
      <c r="B5" s="258" t="s">
        <v>424</v>
      </c>
      <c r="C5" s="259"/>
      <c r="D5" s="252"/>
      <c r="E5" s="259"/>
      <c r="F5" s="252"/>
      <c r="G5" s="259"/>
      <c r="H5" s="252"/>
      <c r="I5" s="259"/>
      <c r="J5" s="252"/>
      <c r="K5" s="260"/>
      <c r="L5" s="261"/>
      <c r="M5" s="251"/>
      <c r="N5" s="252"/>
      <c r="O5" s="253"/>
      <c r="P5" s="252"/>
      <c r="Q5" s="251"/>
      <c r="R5" s="255"/>
      <c r="S5" s="251"/>
      <c r="T5" s="255"/>
      <c r="U5" s="251"/>
      <c r="V5" s="255"/>
      <c r="W5" s="251"/>
      <c r="X5" s="255"/>
      <c r="Y5" s="251"/>
      <c r="Z5" s="255"/>
      <c r="AA5" s="251"/>
      <c r="AB5" s="255"/>
      <c r="AC5" s="251"/>
      <c r="AD5" s="255"/>
      <c r="AE5" s="251"/>
      <c r="AF5" s="255"/>
      <c r="AG5" s="251"/>
      <c r="AH5" s="255"/>
      <c r="AI5" s="251">
        <v>27</v>
      </c>
      <c r="AJ5" s="255">
        <v>539881</v>
      </c>
      <c r="AK5" s="251">
        <v>48</v>
      </c>
      <c r="AL5" s="255">
        <v>811277.28500000015</v>
      </c>
      <c r="AM5" s="251">
        <v>70</v>
      </c>
      <c r="AN5" s="255">
        <v>1286839.7008333332</v>
      </c>
      <c r="AO5" s="251">
        <v>62</v>
      </c>
      <c r="AP5" s="255">
        <v>1238194.5420512808</v>
      </c>
      <c r="AQ5" s="251">
        <v>55</v>
      </c>
      <c r="AR5" s="255">
        <v>1281485.1235256402</v>
      </c>
      <c r="AS5" s="251">
        <v>60</v>
      </c>
      <c r="AT5" s="255">
        <v>1143789.3326282047</v>
      </c>
      <c r="AU5" s="251">
        <v>65</v>
      </c>
      <c r="AV5" s="255">
        <v>1314559.4833333329</v>
      </c>
      <c r="AW5" s="251">
        <v>63</v>
      </c>
      <c r="AX5" s="255">
        <v>1229335.2501923074</v>
      </c>
      <c r="AY5" s="251">
        <v>60</v>
      </c>
      <c r="AZ5" s="255">
        <v>1224622.606129053</v>
      </c>
      <c r="BA5" s="251">
        <v>57</v>
      </c>
      <c r="BB5" s="255">
        <v>1155172.9479155489</v>
      </c>
      <c r="BC5" s="251">
        <v>56</v>
      </c>
      <c r="BD5" s="255">
        <v>1175341.2169230767</v>
      </c>
      <c r="BE5" s="251">
        <v>64</v>
      </c>
      <c r="BF5" s="255">
        <v>1142639.4453205126</v>
      </c>
      <c r="BG5" s="251">
        <v>63</v>
      </c>
      <c r="BH5" s="255">
        <v>1244235.8062179482</v>
      </c>
      <c r="BI5" s="251">
        <v>57</v>
      </c>
      <c r="BJ5" s="255">
        <v>1390594.5883333331</v>
      </c>
      <c r="BK5" s="251">
        <v>55</v>
      </c>
      <c r="BL5" s="255">
        <v>1242487.2480128207</v>
      </c>
      <c r="BM5" s="251">
        <v>51</v>
      </c>
      <c r="BN5" s="255">
        <v>1319115.2462179489</v>
      </c>
      <c r="BO5" s="251">
        <v>50</v>
      </c>
      <c r="BP5" s="255">
        <v>1184923.8216666665</v>
      </c>
      <c r="BQ5" s="251">
        <v>43</v>
      </c>
      <c r="BR5" s="255">
        <v>894661.15346153837</v>
      </c>
      <c r="BS5" s="251">
        <v>39</v>
      </c>
      <c r="BT5" s="255">
        <v>832248.15653846134</v>
      </c>
      <c r="BU5" s="251">
        <v>33</v>
      </c>
      <c r="BV5" s="255">
        <v>707255.60660256387</v>
      </c>
      <c r="BW5" s="251">
        <v>74</v>
      </c>
      <c r="BX5" s="255">
        <v>1658621.7142307691</v>
      </c>
      <c r="BY5" s="251">
        <v>71</v>
      </c>
      <c r="BZ5" s="255">
        <v>1440440.088846154</v>
      </c>
      <c r="CA5" s="251">
        <v>102</v>
      </c>
      <c r="CB5" s="255">
        <f>527299.060833333+1289270</f>
        <v>1816569.0608333331</v>
      </c>
      <c r="CC5" s="251">
        <f>20+79</f>
        <v>99</v>
      </c>
      <c r="CD5" s="255">
        <f>505601.944294872+1820547</f>
        <v>2326148.9442948718</v>
      </c>
      <c r="CE5" s="251">
        <v>115</v>
      </c>
      <c r="CF5" s="255">
        <v>2468740.8300641025</v>
      </c>
      <c r="CG5" s="251">
        <f>16+123</f>
        <v>139</v>
      </c>
      <c r="CH5" s="255">
        <f>422234.958269231+3252250</f>
        <v>3674484.958269231</v>
      </c>
      <c r="CI5" s="251">
        <f>15+104</f>
        <v>119</v>
      </c>
      <c r="CJ5" s="255">
        <f>445817.617628205+3077875</f>
        <v>3523692.6176282051</v>
      </c>
      <c r="CK5" s="251">
        <f>15+119</f>
        <v>134</v>
      </c>
      <c r="CL5" s="255">
        <f>602257.913461538+3463875</f>
        <v>4066132.913461538</v>
      </c>
      <c r="CM5" s="251">
        <v>123</v>
      </c>
      <c r="CN5" s="255">
        <v>3675267.6167948763</v>
      </c>
      <c r="CO5" s="251">
        <f>15+120</f>
        <v>135</v>
      </c>
      <c r="CP5" s="255">
        <f>422637.726153846+2831225</f>
        <v>3253862.7261538459</v>
      </c>
      <c r="CQ5" s="251">
        <v>150</v>
      </c>
      <c r="CR5" s="255">
        <v>3433380.6333974358</v>
      </c>
      <c r="CS5" s="251">
        <f>15+111</f>
        <v>126</v>
      </c>
      <c r="CT5" s="255">
        <f>409792.394871795+3017870</f>
        <v>3427662.3948717951</v>
      </c>
      <c r="CU5" s="251">
        <f>15+103</f>
        <v>118</v>
      </c>
      <c r="CV5" s="255">
        <f>434859.168333333+2879906</f>
        <v>3314765.168333333</v>
      </c>
      <c r="CW5" s="251">
        <f>14+106</f>
        <v>120</v>
      </c>
      <c r="CX5" s="255">
        <f>469355.793333333+3498990.20666667</f>
        <v>3968346.0000000028</v>
      </c>
      <c r="CY5" s="251">
        <v>110</v>
      </c>
      <c r="CZ5" s="255">
        <v>4087020.8391666668</v>
      </c>
      <c r="DA5" s="251">
        <f>13+105</f>
        <v>118</v>
      </c>
      <c r="DB5" s="255">
        <f>452419.044615385+3575500</f>
        <v>4027919.0446153851</v>
      </c>
      <c r="DC5" s="262">
        <f>13+113</f>
        <v>126</v>
      </c>
      <c r="DD5" s="263">
        <f>434817.04+3825900</f>
        <v>4260717.04</v>
      </c>
      <c r="DE5" s="262">
        <f>13+128</f>
        <v>141</v>
      </c>
      <c r="DF5" s="263">
        <f>402068.711282051+3967900</f>
        <v>4369968.7112820512</v>
      </c>
      <c r="DG5" s="262">
        <f>13+138</f>
        <v>151</v>
      </c>
      <c r="DH5" s="263">
        <f>490947.385448718+4268500</f>
        <v>4759447.3854487184</v>
      </c>
      <c r="DI5" s="262">
        <f>12+170</f>
        <v>182</v>
      </c>
      <c r="DJ5" s="263">
        <f>720459.68+5253500</f>
        <v>5973959.6799999997</v>
      </c>
      <c r="DK5" s="262">
        <f>12+158</f>
        <v>170</v>
      </c>
      <c r="DL5" s="263">
        <f>343895.76801282+4894300</f>
        <v>5238195.7680128198</v>
      </c>
      <c r="DM5" s="262">
        <f>12+159</f>
        <v>171</v>
      </c>
      <c r="DN5" s="263">
        <f>336033.018846154+4939420</f>
        <v>5275453.0188461542</v>
      </c>
      <c r="DO5" s="262">
        <f>12+256</f>
        <v>268</v>
      </c>
      <c r="DP5" s="263">
        <f>437058.972179487+8069678</f>
        <v>8506736.9721794873</v>
      </c>
      <c r="DQ5" s="262">
        <v>297</v>
      </c>
      <c r="DR5" s="263">
        <v>9335706.6805128213</v>
      </c>
      <c r="DT5" s="257"/>
      <c r="DU5" s="256">
        <v>149.99999999999997</v>
      </c>
      <c r="DV5" s="255">
        <v>3776718.6967371795</v>
      </c>
      <c r="DW5" s="256">
        <v>149.99999999999997</v>
      </c>
      <c r="DX5" s="255">
        <v>3776718.6967371795</v>
      </c>
      <c r="DY5" s="256">
        <v>149.99999999999997</v>
      </c>
      <c r="DZ5" s="255">
        <v>3776718.6967371795</v>
      </c>
      <c r="EA5" s="256">
        <v>149.99999999999997</v>
      </c>
      <c r="EB5" s="255">
        <v>3776718.6967371795</v>
      </c>
      <c r="EC5" s="256">
        <v>149.99999999999997</v>
      </c>
      <c r="ED5" s="255">
        <v>3776718.6967371795</v>
      </c>
      <c r="EE5" s="256">
        <v>149.99999999999997</v>
      </c>
      <c r="EF5" s="255">
        <v>3776718.6967371795</v>
      </c>
      <c r="EG5" s="256">
        <v>149.99999999999997</v>
      </c>
      <c r="EH5" s="255">
        <v>3776718.6967371795</v>
      </c>
      <c r="EI5" s="256">
        <v>149.99999999999997</v>
      </c>
      <c r="EJ5" s="255">
        <v>3776718.6967371795</v>
      </c>
      <c r="EK5" s="256">
        <v>149.99999999999997</v>
      </c>
      <c r="EL5" s="255">
        <v>3776718.6967371795</v>
      </c>
      <c r="EM5" s="256">
        <v>149.99999999999997</v>
      </c>
      <c r="EN5" s="255">
        <v>3776718.6967371795</v>
      </c>
      <c r="EO5" s="256">
        <v>149.99999999999997</v>
      </c>
      <c r="EP5" s="255">
        <v>3776718.6967371795</v>
      </c>
      <c r="EQ5" s="256">
        <v>149.99999999999997</v>
      </c>
      <c r="ER5" s="264">
        <v>3776718.6967371795</v>
      </c>
      <c r="ES5" s="257"/>
      <c r="ET5" s="257"/>
      <c r="EU5" s="257"/>
      <c r="EV5" s="257"/>
      <c r="EW5" s="257"/>
    </row>
    <row r="6" spans="1:155" x14ac:dyDescent="0.2">
      <c r="A6" s="236">
        <v>1</v>
      </c>
      <c r="B6" s="258" t="s">
        <v>425</v>
      </c>
      <c r="C6" s="259">
        <v>4</v>
      </c>
      <c r="D6" s="252">
        <v>168391.5</v>
      </c>
      <c r="E6" s="259">
        <v>4</v>
      </c>
      <c r="F6" s="252">
        <v>168391.5</v>
      </c>
      <c r="G6" s="259">
        <v>4</v>
      </c>
      <c r="H6" s="252">
        <v>168393</v>
      </c>
      <c r="I6" s="259">
        <v>4</v>
      </c>
      <c r="J6" s="252">
        <v>168391.49999999997</v>
      </c>
      <c r="K6" s="260">
        <v>4</v>
      </c>
      <c r="L6" s="261">
        <v>160343.36641025642</v>
      </c>
      <c r="M6" s="251">
        <v>3</v>
      </c>
      <c r="N6" s="252">
        <v>138375</v>
      </c>
      <c r="O6" s="253">
        <v>1</v>
      </c>
      <c r="P6" s="252">
        <v>22326.076923076922</v>
      </c>
      <c r="Q6" s="251">
        <v>1</v>
      </c>
      <c r="R6" s="255">
        <v>26226.115384615383</v>
      </c>
      <c r="S6" s="251">
        <v>1</v>
      </c>
      <c r="T6" s="255">
        <v>24665.307692307691</v>
      </c>
      <c r="U6" s="251">
        <v>0</v>
      </c>
      <c r="V6" s="255">
        <v>0</v>
      </c>
      <c r="W6" s="251">
        <v>0</v>
      </c>
      <c r="X6" s="255">
        <v>0</v>
      </c>
      <c r="Y6" s="251">
        <v>0</v>
      </c>
      <c r="Z6" s="255">
        <v>0</v>
      </c>
      <c r="AA6" s="251">
        <v>0</v>
      </c>
      <c r="AB6" s="255">
        <v>0</v>
      </c>
      <c r="AC6" s="251">
        <v>0</v>
      </c>
      <c r="AD6" s="255">
        <v>0</v>
      </c>
      <c r="AE6" s="251">
        <v>0</v>
      </c>
      <c r="AF6" s="255">
        <v>0</v>
      </c>
      <c r="AG6" s="251">
        <v>0</v>
      </c>
      <c r="AH6" s="255">
        <v>0</v>
      </c>
      <c r="AI6" s="251">
        <v>0</v>
      </c>
      <c r="AJ6" s="255">
        <v>0</v>
      </c>
      <c r="AK6" s="251">
        <v>0</v>
      </c>
      <c r="AL6" s="255">
        <v>0</v>
      </c>
      <c r="AM6" s="251">
        <v>0</v>
      </c>
      <c r="AN6" s="255">
        <v>0</v>
      </c>
      <c r="AO6" s="251">
        <v>0</v>
      </c>
      <c r="AP6" s="255">
        <v>0</v>
      </c>
      <c r="AQ6" s="251">
        <v>0</v>
      </c>
      <c r="AR6" s="255">
        <v>0</v>
      </c>
      <c r="AS6" s="251">
        <v>0</v>
      </c>
      <c r="AT6" s="255">
        <v>0</v>
      </c>
      <c r="AU6" s="251">
        <v>0</v>
      </c>
      <c r="AV6" s="255">
        <v>0</v>
      </c>
      <c r="AW6" s="251">
        <v>0</v>
      </c>
      <c r="AX6" s="255">
        <v>0</v>
      </c>
      <c r="AY6" s="251">
        <v>0</v>
      </c>
      <c r="AZ6" s="255">
        <v>0</v>
      </c>
      <c r="BA6" s="251">
        <v>0</v>
      </c>
      <c r="BB6" s="255">
        <v>0</v>
      </c>
      <c r="BC6" s="251">
        <v>0</v>
      </c>
      <c r="BD6" s="255">
        <v>0</v>
      </c>
      <c r="BE6" s="251">
        <v>0</v>
      </c>
      <c r="BF6" s="255">
        <v>0</v>
      </c>
      <c r="BG6" s="251">
        <v>0</v>
      </c>
      <c r="BH6" s="255">
        <v>0</v>
      </c>
      <c r="BI6" s="251">
        <v>0</v>
      </c>
      <c r="BJ6" s="255">
        <v>0</v>
      </c>
      <c r="BK6" s="251">
        <v>0</v>
      </c>
      <c r="BL6" s="255">
        <v>0</v>
      </c>
      <c r="BM6" s="251">
        <v>0</v>
      </c>
      <c r="BN6" s="255">
        <v>0</v>
      </c>
      <c r="BO6" s="251">
        <v>0</v>
      </c>
      <c r="BP6" s="255">
        <v>0</v>
      </c>
      <c r="BQ6" s="251">
        <v>0</v>
      </c>
      <c r="BR6" s="255">
        <v>0</v>
      </c>
      <c r="BS6" s="251">
        <v>0</v>
      </c>
      <c r="BT6" s="255">
        <v>0</v>
      </c>
      <c r="BU6" s="251">
        <v>0</v>
      </c>
      <c r="BV6" s="255">
        <v>0</v>
      </c>
      <c r="BW6" s="251">
        <v>0</v>
      </c>
      <c r="BX6" s="255">
        <v>0</v>
      </c>
      <c r="BY6" s="251">
        <v>0</v>
      </c>
      <c r="BZ6" s="255">
        <v>0</v>
      </c>
      <c r="CA6" s="251">
        <v>0</v>
      </c>
      <c r="CB6" s="255">
        <v>0</v>
      </c>
      <c r="CC6" s="251">
        <v>0</v>
      </c>
      <c r="CD6" s="255">
        <v>0</v>
      </c>
      <c r="CE6" s="251">
        <v>0</v>
      </c>
      <c r="CF6" s="255">
        <v>0</v>
      </c>
      <c r="CG6" s="251">
        <v>0</v>
      </c>
      <c r="CH6" s="255">
        <v>0</v>
      </c>
      <c r="CI6" s="251">
        <v>0</v>
      </c>
      <c r="CJ6" s="255">
        <v>0</v>
      </c>
      <c r="CK6" s="251">
        <v>0</v>
      </c>
      <c r="CL6" s="255">
        <v>0</v>
      </c>
      <c r="CM6" s="251">
        <v>0</v>
      </c>
      <c r="CN6" s="255">
        <v>0</v>
      </c>
      <c r="CO6" s="251">
        <v>0</v>
      </c>
      <c r="CP6" s="255">
        <v>0</v>
      </c>
      <c r="CQ6" s="251">
        <v>0</v>
      </c>
      <c r="CR6" s="255">
        <v>0</v>
      </c>
      <c r="CS6" s="251">
        <v>0</v>
      </c>
      <c r="CT6" s="255">
        <v>0</v>
      </c>
      <c r="CU6" s="251">
        <v>0</v>
      </c>
      <c r="CV6" s="255">
        <v>0</v>
      </c>
      <c r="CW6" s="251">
        <v>0</v>
      </c>
      <c r="CX6" s="255">
        <v>0</v>
      </c>
      <c r="CY6" s="251">
        <v>0</v>
      </c>
      <c r="CZ6" s="255">
        <v>0</v>
      </c>
      <c r="DA6" s="251">
        <v>0</v>
      </c>
      <c r="DB6" s="255">
        <v>0</v>
      </c>
      <c r="DC6" s="251">
        <v>0</v>
      </c>
      <c r="DD6" s="255">
        <v>0</v>
      </c>
      <c r="DE6" s="251">
        <v>0</v>
      </c>
      <c r="DF6" s="255">
        <v>0</v>
      </c>
      <c r="DG6" s="251">
        <v>0</v>
      </c>
      <c r="DH6" s="255">
        <v>0</v>
      </c>
      <c r="DI6" s="251">
        <v>0</v>
      </c>
      <c r="DJ6" s="255">
        <v>0</v>
      </c>
      <c r="DK6" s="251">
        <v>0</v>
      </c>
      <c r="DL6" s="255">
        <v>0</v>
      </c>
      <c r="DM6" s="251">
        <v>0</v>
      </c>
      <c r="DN6" s="255">
        <v>0</v>
      </c>
      <c r="DO6" s="251">
        <v>0</v>
      </c>
      <c r="DP6" s="255">
        <v>0</v>
      </c>
      <c r="DQ6" s="251">
        <v>0</v>
      </c>
      <c r="DR6" s="255">
        <v>0</v>
      </c>
      <c r="DS6" s="257"/>
      <c r="DT6" s="265"/>
      <c r="DU6" s="256">
        <v>0</v>
      </c>
      <c r="DV6" s="255">
        <v>0</v>
      </c>
      <c r="DW6" s="256">
        <v>0</v>
      </c>
      <c r="DX6" s="255">
        <v>0</v>
      </c>
      <c r="DY6" s="256">
        <v>0</v>
      </c>
      <c r="DZ6" s="255">
        <v>0</v>
      </c>
      <c r="EA6" s="256">
        <v>0</v>
      </c>
      <c r="EB6" s="255">
        <v>0</v>
      </c>
      <c r="EC6" s="256">
        <v>0</v>
      </c>
      <c r="ED6" s="255">
        <v>0</v>
      </c>
      <c r="EE6" s="256">
        <v>0</v>
      </c>
      <c r="EF6" s="255">
        <v>0</v>
      </c>
      <c r="EG6" s="256">
        <v>0</v>
      </c>
      <c r="EH6" s="255">
        <v>0</v>
      </c>
      <c r="EI6" s="256">
        <v>0</v>
      </c>
      <c r="EJ6" s="255">
        <v>0</v>
      </c>
      <c r="EK6" s="256">
        <v>0</v>
      </c>
      <c r="EL6" s="255">
        <v>0</v>
      </c>
      <c r="EM6" s="256">
        <v>0</v>
      </c>
      <c r="EN6" s="255">
        <v>0</v>
      </c>
      <c r="EO6" s="256">
        <v>0</v>
      </c>
      <c r="EP6" s="255">
        <v>0</v>
      </c>
      <c r="EQ6" s="256">
        <v>0</v>
      </c>
      <c r="ER6" s="255">
        <v>0</v>
      </c>
      <c r="ET6" s="257"/>
      <c r="EU6" s="257"/>
      <c r="EW6" s="257"/>
    </row>
    <row r="7" spans="1:155" x14ac:dyDescent="0.2">
      <c r="A7" s="236">
        <v>1</v>
      </c>
      <c r="B7" s="258" t="s">
        <v>426</v>
      </c>
      <c r="C7" s="259">
        <v>6</v>
      </c>
      <c r="D7" s="252">
        <v>562477.5</v>
      </c>
      <c r="E7" s="259">
        <v>6</v>
      </c>
      <c r="F7" s="252">
        <v>562477.5</v>
      </c>
      <c r="G7" s="259">
        <v>6</v>
      </c>
      <c r="H7" s="252">
        <v>562477.5</v>
      </c>
      <c r="I7" s="259">
        <v>6</v>
      </c>
      <c r="J7" s="252">
        <v>562477.5</v>
      </c>
      <c r="K7" s="260">
        <v>6</v>
      </c>
      <c r="L7" s="261">
        <v>562477.5</v>
      </c>
      <c r="M7" s="251">
        <v>7</v>
      </c>
      <c r="N7" s="252">
        <v>568938.04769230774</v>
      </c>
      <c r="O7" s="253">
        <v>7</v>
      </c>
      <c r="P7" s="252">
        <v>609398.15384615387</v>
      </c>
      <c r="Q7" s="251">
        <v>9</v>
      </c>
      <c r="R7" s="255">
        <v>676962.03423076926</v>
      </c>
      <c r="S7" s="251">
        <v>9</v>
      </c>
      <c r="T7" s="255">
        <v>710720.07564102567</v>
      </c>
      <c r="U7" s="251">
        <v>9</v>
      </c>
      <c r="V7" s="255">
        <v>710720.07564102567</v>
      </c>
      <c r="W7" s="251">
        <v>9</v>
      </c>
      <c r="X7" s="255">
        <v>712408.38333333342</v>
      </c>
      <c r="Y7" s="251">
        <v>9</v>
      </c>
      <c r="Z7" s="255">
        <v>858743.80487179488</v>
      </c>
      <c r="AA7" s="251">
        <v>9</v>
      </c>
      <c r="AB7" s="255">
        <v>803285.81198717945</v>
      </c>
      <c r="AC7" s="251">
        <v>9</v>
      </c>
      <c r="AD7" s="255">
        <v>781385.3328205127</v>
      </c>
      <c r="AE7" s="251">
        <v>11</v>
      </c>
      <c r="AF7" s="255">
        <v>879789.86250000005</v>
      </c>
      <c r="AG7" s="251">
        <v>11</v>
      </c>
      <c r="AH7" s="255">
        <v>882248.23076923075</v>
      </c>
      <c r="AI7" s="251">
        <v>11</v>
      </c>
      <c r="AJ7" s="255">
        <v>897248.23076923075</v>
      </c>
      <c r="AK7" s="251">
        <v>11</v>
      </c>
      <c r="AL7" s="255">
        <v>897248.23076923075</v>
      </c>
      <c r="AM7" s="251">
        <v>12</v>
      </c>
      <c r="AN7" s="255">
        <v>974150.73076923075</v>
      </c>
      <c r="AO7" s="251">
        <v>13</v>
      </c>
      <c r="AP7" s="255">
        <v>1014508.1153846154</v>
      </c>
      <c r="AQ7" s="251">
        <v>13</v>
      </c>
      <c r="AR7" s="255">
        <v>1019440.4615384615</v>
      </c>
      <c r="AS7" s="251">
        <v>13</v>
      </c>
      <c r="AT7" s="255">
        <v>1019440.4615384615</v>
      </c>
      <c r="AU7" s="251">
        <v>13</v>
      </c>
      <c r="AV7" s="255">
        <v>1019440.4615384615</v>
      </c>
      <c r="AW7" s="251">
        <v>12</v>
      </c>
      <c r="AX7" s="255">
        <v>1027029.6327543424</v>
      </c>
      <c r="AY7" s="251">
        <v>11</v>
      </c>
      <c r="AZ7" s="255">
        <v>1014478.9820606256</v>
      </c>
      <c r="BA7" s="251">
        <v>12</v>
      </c>
      <c r="BB7" s="255">
        <v>1141016.8448556699</v>
      </c>
      <c r="BC7" s="251">
        <v>12</v>
      </c>
      <c r="BD7" s="255">
        <v>1143514.8784119107</v>
      </c>
      <c r="BE7" s="251">
        <v>12</v>
      </c>
      <c r="BF7" s="255">
        <v>1143929.846153846</v>
      </c>
      <c r="BG7" s="251">
        <v>12</v>
      </c>
      <c r="BH7" s="255">
        <v>1143929.846153846</v>
      </c>
      <c r="BI7" s="251">
        <v>12</v>
      </c>
      <c r="BJ7" s="255">
        <v>1146029.846153846</v>
      </c>
      <c r="BK7" s="251">
        <v>12</v>
      </c>
      <c r="BL7" s="255">
        <v>1133385.4461538461</v>
      </c>
      <c r="BM7" s="251">
        <v>12</v>
      </c>
      <c r="BN7" s="255">
        <v>1090093.9461538461</v>
      </c>
      <c r="BO7" s="251">
        <v>11</v>
      </c>
      <c r="BP7" s="255">
        <v>914730.97790322592</v>
      </c>
      <c r="BQ7" s="251">
        <v>9</v>
      </c>
      <c r="BR7" s="255">
        <v>717018.73846153845</v>
      </c>
      <c r="BS7" s="251">
        <v>9</v>
      </c>
      <c r="BT7" s="255">
        <v>717018.73846153845</v>
      </c>
      <c r="BU7" s="251">
        <v>9</v>
      </c>
      <c r="BV7" s="255">
        <v>717018.73846153845</v>
      </c>
      <c r="BW7" s="251">
        <v>9</v>
      </c>
      <c r="BX7" s="255">
        <v>821351.23846153845</v>
      </c>
      <c r="BY7" s="251">
        <v>9</v>
      </c>
      <c r="BZ7" s="255">
        <v>821351.23846153845</v>
      </c>
      <c r="CA7" s="251">
        <v>9</v>
      </c>
      <c r="CB7" s="255">
        <v>821351.23846153845</v>
      </c>
      <c r="CC7" s="251">
        <v>9</v>
      </c>
      <c r="CD7" s="255">
        <v>821351.23846153845</v>
      </c>
      <c r="CE7" s="251">
        <v>9</v>
      </c>
      <c r="CF7" s="255">
        <v>821351.23846153845</v>
      </c>
      <c r="CG7" s="251">
        <v>9</v>
      </c>
      <c r="CH7" s="255">
        <v>817253.27692307683</v>
      </c>
      <c r="CI7" s="251">
        <v>9</v>
      </c>
      <c r="CJ7" s="255">
        <f>821535.10942928+4000</f>
        <v>825535.10942928004</v>
      </c>
      <c r="CK7" s="251">
        <v>9</v>
      </c>
      <c r="CL7" s="255">
        <v>821351.23846153845</v>
      </c>
      <c r="CM7" s="251">
        <v>9</v>
      </c>
      <c r="CN7" s="255">
        <v>819789.23846153845</v>
      </c>
      <c r="CO7" s="251">
        <v>9</v>
      </c>
      <c r="CP7" s="255">
        <v>821351.23846153845</v>
      </c>
      <c r="CQ7" s="251">
        <v>9</v>
      </c>
      <c r="CR7" s="255">
        <v>810565.5461538462</v>
      </c>
      <c r="CS7" s="251">
        <v>9</v>
      </c>
      <c r="CT7" s="255">
        <v>820105.2</v>
      </c>
      <c r="CU7" s="251">
        <v>9</v>
      </c>
      <c r="CV7" s="255">
        <v>818706.35025641031</v>
      </c>
      <c r="CW7" s="251">
        <v>9</v>
      </c>
      <c r="CX7" s="255">
        <v>850365.16153846169</v>
      </c>
      <c r="CY7" s="251">
        <v>9</v>
      </c>
      <c r="CZ7" s="255">
        <v>839159.20000000007</v>
      </c>
      <c r="DA7" s="251">
        <v>9</v>
      </c>
      <c r="DB7" s="255">
        <v>852465.16153846169</v>
      </c>
      <c r="DC7" s="251">
        <v>9</v>
      </c>
      <c r="DD7" s="255">
        <v>850365.16153846169</v>
      </c>
      <c r="DE7" s="251">
        <v>9</v>
      </c>
      <c r="DF7" s="255">
        <v>846161.16153846169</v>
      </c>
      <c r="DG7" s="251">
        <v>9</v>
      </c>
      <c r="DH7" s="255">
        <v>815923.862371795</v>
      </c>
      <c r="DI7" s="251">
        <v>9</v>
      </c>
      <c r="DJ7" s="255">
        <v>836575.71153846162</v>
      </c>
      <c r="DK7" s="251">
        <v>9</v>
      </c>
      <c r="DL7" s="255">
        <v>844737.16153846169</v>
      </c>
      <c r="DM7" s="251">
        <v>9</v>
      </c>
      <c r="DN7" s="255">
        <v>841804.58089330036</v>
      </c>
      <c r="DO7" s="251">
        <v>9</v>
      </c>
      <c r="DP7" s="255">
        <v>845693.16153846169</v>
      </c>
      <c r="DQ7" s="251">
        <v>9</v>
      </c>
      <c r="DR7" s="255">
        <v>919036.16153846157</v>
      </c>
      <c r="DS7" s="265"/>
      <c r="DT7" s="257"/>
      <c r="DU7" s="256">
        <v>9</v>
      </c>
      <c r="DV7" s="255">
        <v>932150.37807692308</v>
      </c>
      <c r="DW7" s="256">
        <v>9</v>
      </c>
      <c r="DX7" s="255">
        <v>932150.37807692308</v>
      </c>
      <c r="DY7" s="256">
        <v>9</v>
      </c>
      <c r="DZ7" s="255">
        <v>932150.37807692308</v>
      </c>
      <c r="EA7" s="256">
        <v>9</v>
      </c>
      <c r="EB7" s="255">
        <v>932150.37807692308</v>
      </c>
      <c r="EC7" s="256">
        <v>9</v>
      </c>
      <c r="ED7" s="255">
        <v>932150.37807692308</v>
      </c>
      <c r="EE7" s="256">
        <v>9</v>
      </c>
      <c r="EF7" s="255">
        <v>932150.37807692308</v>
      </c>
      <c r="EG7" s="256">
        <v>9</v>
      </c>
      <c r="EH7" s="255">
        <v>932150.37807692308</v>
      </c>
      <c r="EI7" s="256">
        <v>9</v>
      </c>
      <c r="EJ7" s="255">
        <v>932150.37807692308</v>
      </c>
      <c r="EK7" s="256">
        <v>9</v>
      </c>
      <c r="EL7" s="255">
        <v>932150.37807692308</v>
      </c>
      <c r="EM7" s="256">
        <v>9</v>
      </c>
      <c r="EN7" s="255">
        <v>932150.37807692308</v>
      </c>
      <c r="EO7" s="256">
        <v>9</v>
      </c>
      <c r="EP7" s="255">
        <v>932150.37807692308</v>
      </c>
      <c r="EQ7" s="256">
        <v>9</v>
      </c>
      <c r="ER7" s="255">
        <v>932150.37807692308</v>
      </c>
      <c r="ET7" s="257"/>
      <c r="EU7" s="257"/>
      <c r="EW7" s="257"/>
    </row>
    <row r="8" spans="1:155" x14ac:dyDescent="0.2">
      <c r="A8" s="236">
        <v>1</v>
      </c>
      <c r="B8" s="258" t="s">
        <v>311</v>
      </c>
      <c r="C8" s="259">
        <v>4</v>
      </c>
      <c r="D8" s="252">
        <v>156936.61538461538</v>
      </c>
      <c r="E8" s="259">
        <v>4</v>
      </c>
      <c r="F8" s="252">
        <v>135324.61538461538</v>
      </c>
      <c r="G8" s="259">
        <v>4</v>
      </c>
      <c r="H8" s="252">
        <v>138465.61538461538</v>
      </c>
      <c r="I8" s="259">
        <v>4</v>
      </c>
      <c r="J8" s="252">
        <v>136371.61538461538</v>
      </c>
      <c r="K8" s="260">
        <v>4</v>
      </c>
      <c r="L8" s="261">
        <v>165977.73076923075</v>
      </c>
      <c r="M8" s="251">
        <v>4</v>
      </c>
      <c r="N8" s="252">
        <v>168383.15384615384</v>
      </c>
      <c r="O8" s="253">
        <v>4</v>
      </c>
      <c r="P8" s="252">
        <v>168383.15384615384</v>
      </c>
      <c r="Q8" s="251">
        <v>7</v>
      </c>
      <c r="R8" s="255">
        <v>218363.69826923078</v>
      </c>
      <c r="S8" s="251">
        <v>7</v>
      </c>
      <c r="T8" s="255">
        <v>245346.1153846154</v>
      </c>
      <c r="U8" s="251">
        <v>7</v>
      </c>
      <c r="V8" s="255">
        <v>244585.73076923081</v>
      </c>
      <c r="W8" s="251">
        <v>7</v>
      </c>
      <c r="X8" s="255">
        <v>242682.84615384616</v>
      </c>
      <c r="Y8" s="251">
        <v>7</v>
      </c>
      <c r="Z8" s="255">
        <v>273389.15384615387</v>
      </c>
      <c r="AA8" s="251">
        <v>7</v>
      </c>
      <c r="AB8" s="255">
        <v>259389.15384615384</v>
      </c>
      <c r="AC8" s="251">
        <v>7</v>
      </c>
      <c r="AD8" s="255">
        <v>265639.15384615387</v>
      </c>
      <c r="AE8" s="251">
        <v>7</v>
      </c>
      <c r="AF8" s="255">
        <v>259389.15384615387</v>
      </c>
      <c r="AG8" s="251">
        <v>7</v>
      </c>
      <c r="AH8" s="255">
        <v>259389.15384615387</v>
      </c>
      <c r="AI8" s="251">
        <v>7</v>
      </c>
      <c r="AJ8" s="255">
        <v>259389.15384615387</v>
      </c>
      <c r="AK8" s="251">
        <v>7</v>
      </c>
      <c r="AL8" s="255">
        <v>256999.57692307694</v>
      </c>
      <c r="AM8" s="251">
        <v>7</v>
      </c>
      <c r="AN8" s="255">
        <v>259389.15384615387</v>
      </c>
      <c r="AO8" s="251">
        <v>7</v>
      </c>
      <c r="AP8" s="255">
        <v>282592.96153846156</v>
      </c>
      <c r="AQ8" s="251">
        <v>6</v>
      </c>
      <c r="AR8" s="255">
        <v>233462.07692307694</v>
      </c>
      <c r="AS8" s="251">
        <v>6</v>
      </c>
      <c r="AT8" s="255">
        <v>233462.07692307694</v>
      </c>
      <c r="AU8" s="251">
        <v>6</v>
      </c>
      <c r="AV8" s="255">
        <v>233462.07692307694</v>
      </c>
      <c r="AW8" s="251">
        <v>6</v>
      </c>
      <c r="AX8" s="255">
        <v>233462.07692307694</v>
      </c>
      <c r="AY8" s="251">
        <v>0</v>
      </c>
      <c r="AZ8" s="255">
        <v>0</v>
      </c>
      <c r="BA8" s="251">
        <v>0</v>
      </c>
      <c r="BB8" s="255">
        <v>0</v>
      </c>
      <c r="BC8" s="251">
        <v>0</v>
      </c>
      <c r="BD8" s="255">
        <v>0</v>
      </c>
      <c r="BE8" s="251">
        <v>0</v>
      </c>
      <c r="BF8" s="255">
        <v>0</v>
      </c>
      <c r="BG8" s="251">
        <v>0</v>
      </c>
      <c r="BH8" s="255">
        <v>0</v>
      </c>
      <c r="BI8" s="251">
        <v>0</v>
      </c>
      <c r="BJ8" s="255">
        <v>0</v>
      </c>
      <c r="BK8" s="251">
        <v>0</v>
      </c>
      <c r="BL8" s="255">
        <v>0</v>
      </c>
      <c r="BM8" s="251">
        <v>0</v>
      </c>
      <c r="BN8" s="255">
        <v>0</v>
      </c>
      <c r="BO8" s="251">
        <v>0</v>
      </c>
      <c r="BP8" s="255">
        <v>0</v>
      </c>
      <c r="BQ8" s="251">
        <v>0</v>
      </c>
      <c r="BR8" s="255">
        <v>0</v>
      </c>
      <c r="BS8" s="251">
        <v>0</v>
      </c>
      <c r="BT8" s="255">
        <v>0</v>
      </c>
      <c r="BU8" s="251">
        <v>0</v>
      </c>
      <c r="BV8" s="255">
        <v>0</v>
      </c>
      <c r="BW8" s="251">
        <v>0</v>
      </c>
      <c r="BX8" s="255">
        <v>0</v>
      </c>
      <c r="BY8" s="251">
        <v>0</v>
      </c>
      <c r="BZ8" s="255">
        <v>0</v>
      </c>
      <c r="CA8" s="251">
        <v>0</v>
      </c>
      <c r="CB8" s="255">
        <v>0</v>
      </c>
      <c r="CC8" s="251">
        <v>0</v>
      </c>
      <c r="CD8" s="255">
        <v>0</v>
      </c>
      <c r="CE8" s="251">
        <v>0</v>
      </c>
      <c r="CF8" s="255">
        <v>0</v>
      </c>
      <c r="CG8" s="251">
        <v>0</v>
      </c>
      <c r="CH8" s="255">
        <v>0</v>
      </c>
      <c r="CI8" s="251">
        <v>0</v>
      </c>
      <c r="CJ8" s="255">
        <v>0</v>
      </c>
      <c r="CK8" s="251">
        <v>0</v>
      </c>
      <c r="CL8" s="255">
        <v>0</v>
      </c>
      <c r="CM8" s="251">
        <v>0</v>
      </c>
      <c r="CN8" s="255">
        <v>0</v>
      </c>
      <c r="CO8" s="251">
        <v>0</v>
      </c>
      <c r="CP8" s="255">
        <v>0</v>
      </c>
      <c r="CQ8" s="251">
        <v>0</v>
      </c>
      <c r="CR8" s="255">
        <v>0</v>
      </c>
      <c r="CS8" s="251">
        <v>0</v>
      </c>
      <c r="CT8" s="255">
        <v>0</v>
      </c>
      <c r="CU8" s="251">
        <v>0</v>
      </c>
      <c r="CV8" s="255">
        <v>0</v>
      </c>
      <c r="CW8" s="251">
        <v>0</v>
      </c>
      <c r="CX8" s="255">
        <v>0</v>
      </c>
      <c r="CY8" s="251">
        <v>0</v>
      </c>
      <c r="CZ8" s="255">
        <v>0</v>
      </c>
      <c r="DA8" s="251">
        <v>0</v>
      </c>
      <c r="DB8" s="255">
        <v>0</v>
      </c>
      <c r="DC8" s="251">
        <v>0</v>
      </c>
      <c r="DD8" s="255">
        <v>0</v>
      </c>
      <c r="DE8" s="251">
        <v>0</v>
      </c>
      <c r="DF8" s="255">
        <v>0</v>
      </c>
      <c r="DG8" s="251">
        <v>0</v>
      </c>
      <c r="DH8" s="255">
        <v>0</v>
      </c>
      <c r="DI8" s="251">
        <v>0</v>
      </c>
      <c r="DJ8" s="255">
        <v>0</v>
      </c>
      <c r="DK8" s="251">
        <v>0</v>
      </c>
      <c r="DL8" s="255">
        <v>0</v>
      </c>
      <c r="DM8" s="251">
        <v>0</v>
      </c>
      <c r="DN8" s="255">
        <v>0</v>
      </c>
      <c r="DO8" s="251">
        <v>0</v>
      </c>
      <c r="DP8" s="255">
        <v>0</v>
      </c>
      <c r="DQ8" s="251">
        <v>0</v>
      </c>
      <c r="DR8" s="255">
        <v>0</v>
      </c>
      <c r="DU8" s="256">
        <v>0</v>
      </c>
      <c r="DV8" s="255">
        <v>0</v>
      </c>
      <c r="DW8" s="256">
        <v>0</v>
      </c>
      <c r="DX8" s="255">
        <v>0</v>
      </c>
      <c r="DY8" s="256">
        <v>0</v>
      </c>
      <c r="DZ8" s="255">
        <v>0</v>
      </c>
      <c r="EA8" s="256">
        <v>0</v>
      </c>
      <c r="EB8" s="255">
        <v>0</v>
      </c>
      <c r="EC8" s="256">
        <v>0</v>
      </c>
      <c r="ED8" s="255">
        <v>0</v>
      </c>
      <c r="EE8" s="256">
        <v>0</v>
      </c>
      <c r="EF8" s="255">
        <v>0</v>
      </c>
      <c r="EG8" s="256">
        <v>0</v>
      </c>
      <c r="EH8" s="255">
        <v>0</v>
      </c>
      <c r="EI8" s="256">
        <v>0</v>
      </c>
      <c r="EJ8" s="255">
        <v>0</v>
      </c>
      <c r="EK8" s="256">
        <v>0</v>
      </c>
      <c r="EL8" s="255">
        <v>0</v>
      </c>
      <c r="EM8" s="256">
        <v>0</v>
      </c>
      <c r="EN8" s="255">
        <v>0</v>
      </c>
      <c r="EO8" s="256">
        <v>0</v>
      </c>
      <c r="EP8" s="255">
        <v>0</v>
      </c>
      <c r="EQ8" s="256">
        <v>0</v>
      </c>
      <c r="ER8" s="255">
        <v>0</v>
      </c>
      <c r="ET8" s="257"/>
      <c r="EU8" s="257"/>
      <c r="EW8" s="257"/>
    </row>
    <row r="9" spans="1:155" x14ac:dyDescent="0.2">
      <c r="B9" s="258" t="s">
        <v>427</v>
      </c>
      <c r="C9" s="259">
        <v>77</v>
      </c>
      <c r="D9" s="252">
        <v>1838271.0226282049</v>
      </c>
      <c r="E9" s="259">
        <v>74</v>
      </c>
      <c r="F9" s="252">
        <v>1697741.6120512821</v>
      </c>
      <c r="G9" s="259">
        <v>74</v>
      </c>
      <c r="H9" s="252">
        <v>1922192.1283333332</v>
      </c>
      <c r="I9" s="259">
        <v>78</v>
      </c>
      <c r="J9" s="252">
        <v>1874183.2718589741</v>
      </c>
      <c r="K9" s="260">
        <v>77</v>
      </c>
      <c r="L9" s="261">
        <v>1736535.5367307693</v>
      </c>
      <c r="M9" s="251">
        <v>85</v>
      </c>
      <c r="N9" s="252">
        <v>2359876.4930128204</v>
      </c>
      <c r="O9" s="253">
        <v>86</v>
      </c>
      <c r="P9" s="252">
        <v>2578873.5778846154</v>
      </c>
      <c r="Q9" s="251">
        <v>104</v>
      </c>
      <c r="R9" s="255">
        <v>2530769.9471794874</v>
      </c>
      <c r="S9" s="251">
        <v>119</v>
      </c>
      <c r="T9" s="255">
        <v>3085077.43025641</v>
      </c>
      <c r="U9" s="251">
        <v>117</v>
      </c>
      <c r="V9" s="255">
        <v>2990487.3260256406</v>
      </c>
      <c r="W9" s="251">
        <v>146</v>
      </c>
      <c r="X9" s="255">
        <v>3653204.8542948714</v>
      </c>
      <c r="Y9" s="251">
        <v>148</v>
      </c>
      <c r="Z9" s="255">
        <v>3852199.6942948713</v>
      </c>
      <c r="AA9" s="251">
        <v>160</v>
      </c>
      <c r="AB9" s="255">
        <v>4195093.9949358972</v>
      </c>
      <c r="AC9" s="251">
        <v>182</v>
      </c>
      <c r="AD9" s="255">
        <v>3928871.3465384617</v>
      </c>
      <c r="AE9" s="251">
        <v>185</v>
      </c>
      <c r="AF9" s="255">
        <v>4244296.3885897435</v>
      </c>
      <c r="AG9" s="251">
        <f>216+1</f>
        <v>217</v>
      </c>
      <c r="AH9" s="255">
        <f>4856559.36474359+11315</f>
        <v>4867874.3647435904</v>
      </c>
      <c r="AI9" s="251">
        <f>272+1</f>
        <v>273</v>
      </c>
      <c r="AJ9" s="255">
        <f>6541955.51910256+19286</f>
        <v>6561241.5191025604</v>
      </c>
      <c r="AK9" s="251">
        <v>271</v>
      </c>
      <c r="AL9" s="255">
        <v>6649603.8485256257</v>
      </c>
      <c r="AM9" s="251">
        <v>261</v>
      </c>
      <c r="AN9" s="255">
        <v>5907727.5892948601</v>
      </c>
      <c r="AO9" s="251">
        <v>230</v>
      </c>
      <c r="AP9" s="255">
        <v>5352476.188076918</v>
      </c>
      <c r="AQ9" s="251">
        <v>199</v>
      </c>
      <c r="AR9" s="255">
        <v>5023554.4757692218</v>
      </c>
      <c r="AS9" s="251">
        <v>192</v>
      </c>
      <c r="AT9" s="255">
        <v>4669101.4001282007</v>
      </c>
      <c r="AU9" s="251">
        <v>183</v>
      </c>
      <c r="AV9" s="255">
        <v>4801881.4825640954</v>
      </c>
      <c r="AW9" s="251">
        <v>165</v>
      </c>
      <c r="AX9" s="255">
        <v>4247889.8757692315</v>
      </c>
      <c r="AY9" s="251">
        <v>149</v>
      </c>
      <c r="AZ9" s="255">
        <v>4182352.3846253967</v>
      </c>
      <c r="BA9" s="251">
        <f>142+6</f>
        <v>148</v>
      </c>
      <c r="BB9" s="255">
        <f>3790404.70663577+155850</f>
        <v>3946254.7066357699</v>
      </c>
      <c r="BC9" s="251">
        <v>135</v>
      </c>
      <c r="BD9" s="255">
        <v>3772441.0116666667</v>
      </c>
      <c r="BE9" s="251">
        <v>132</v>
      </c>
      <c r="BF9" s="255">
        <v>3675953.257884616</v>
      </c>
      <c r="BG9" s="251">
        <v>128</v>
      </c>
      <c r="BH9" s="255">
        <v>3567378.5037179501</v>
      </c>
      <c r="BI9" s="251">
        <v>125</v>
      </c>
      <c r="BJ9" s="255">
        <v>3529807.1527564116</v>
      </c>
      <c r="BK9" s="251">
        <v>126</v>
      </c>
      <c r="BL9" s="255">
        <v>3111099.6535256407</v>
      </c>
      <c r="BM9" s="251">
        <v>121</v>
      </c>
      <c r="BN9" s="255">
        <v>3301752.2081410242</v>
      </c>
      <c r="BO9" s="251">
        <v>115</v>
      </c>
      <c r="BP9" s="255">
        <v>3024615.3123076912</v>
      </c>
      <c r="BQ9" s="251">
        <v>108</v>
      </c>
      <c r="BR9" s="255">
        <v>2642917.6246153843</v>
      </c>
      <c r="BS9" s="251">
        <v>106</v>
      </c>
      <c r="BT9" s="255">
        <v>2746398.5816025627</v>
      </c>
      <c r="BU9" s="251">
        <v>102</v>
      </c>
      <c r="BV9" s="255">
        <v>2619455.4419871792</v>
      </c>
      <c r="BW9" s="251">
        <v>165</v>
      </c>
      <c r="BX9" s="255">
        <v>4542799.3021153836</v>
      </c>
      <c r="BY9" s="251">
        <f>100+69</f>
        <v>169</v>
      </c>
      <c r="BZ9" s="255">
        <f>2970575.21391026+2003590</f>
        <v>4974165.2139102593</v>
      </c>
      <c r="CA9" s="251">
        <f>100+70</f>
        <v>170</v>
      </c>
      <c r="CB9" s="255">
        <f>2849715.18557692+2001800</f>
        <v>4851515.1855769195</v>
      </c>
      <c r="CC9" s="251">
        <f>100+70</f>
        <v>170</v>
      </c>
      <c r="CD9" s="255">
        <f>2813894.04865385+1983590</f>
        <v>4797484.0486538503</v>
      </c>
      <c r="CE9" s="251">
        <v>168</v>
      </c>
      <c r="CF9" s="255">
        <f>4694152.78205128+200000</f>
        <v>4894152.7820512801</v>
      </c>
      <c r="CG9" s="251">
        <f>97+64</f>
        <v>161</v>
      </c>
      <c r="CH9" s="255">
        <f>2805762.75935897+1871465</f>
        <v>4677227.7593589704</v>
      </c>
      <c r="CI9" s="251">
        <f>94+69</f>
        <v>163</v>
      </c>
      <c r="CJ9" s="255">
        <f>2642169.69448718+1931965</f>
        <v>4574134.6944871806</v>
      </c>
      <c r="CK9" s="251">
        <f>93+85</f>
        <v>178</v>
      </c>
      <c r="CL9" s="255">
        <f>3078030.44064102+2275075</f>
        <v>5353105.4406410195</v>
      </c>
      <c r="CM9" s="251">
        <v>167</v>
      </c>
      <c r="CN9" s="255">
        <v>5141404.0139102554</v>
      </c>
      <c r="CO9" s="251">
        <f>90+94</f>
        <v>184</v>
      </c>
      <c r="CP9" s="255">
        <f>2688922.33410256+2729195</f>
        <v>5418117.3341025598</v>
      </c>
      <c r="CQ9" s="251">
        <v>195</v>
      </c>
      <c r="CR9" s="255">
        <v>5996358.4045512825</v>
      </c>
      <c r="CS9" s="251">
        <f>88+116</f>
        <v>204</v>
      </c>
      <c r="CT9" s="255">
        <f>2617985.79589744+3372699</f>
        <v>5990684.7958974401</v>
      </c>
      <c r="CU9" s="251">
        <f>88+105</f>
        <v>193</v>
      </c>
      <c r="CV9" s="255">
        <f>2693984.68147436+3227310</f>
        <v>5921294.6814743597</v>
      </c>
      <c r="CW9" s="251">
        <f>87+127</f>
        <v>214</v>
      </c>
      <c r="CX9" s="255">
        <f>2717517.30435897+3975806</f>
        <v>6693323.3043589704</v>
      </c>
      <c r="CY9" s="251">
        <v>187</v>
      </c>
      <c r="CZ9" s="255">
        <v>5999199.2699999996</v>
      </c>
      <c r="DA9" s="251">
        <f>77+122</f>
        <v>199</v>
      </c>
      <c r="DB9" s="255">
        <f>2486967.79935897+3649580</f>
        <v>6136547.7993589696</v>
      </c>
      <c r="DC9" s="262">
        <f>76+133</f>
        <v>209</v>
      </c>
      <c r="DD9" s="263">
        <f>2520394.945+3989690</f>
        <v>6510084.9450000003</v>
      </c>
      <c r="DE9" s="262">
        <f>72+133+1</f>
        <v>206</v>
      </c>
      <c r="DF9" s="263">
        <f>2268260.54974359+4201500+10198+200000</f>
        <v>6679958.5497435899</v>
      </c>
      <c r="DG9" s="262">
        <f>72+135</f>
        <v>207</v>
      </c>
      <c r="DH9" s="263">
        <f>2237625.80557692+4276500</f>
        <v>6514125.8055769205</v>
      </c>
      <c r="DI9" s="262">
        <f>72+156</f>
        <v>228</v>
      </c>
      <c r="DJ9" s="263">
        <f>2694489.125+4276500</f>
        <v>6970989.125</v>
      </c>
      <c r="DK9" s="262">
        <f>74+147</f>
        <v>221</v>
      </c>
      <c r="DL9" s="263">
        <f>2330727.08+4627900</f>
        <v>6958627.0800000001</v>
      </c>
      <c r="DM9" s="262">
        <f>77+217</f>
        <v>294</v>
      </c>
      <c r="DN9" s="263">
        <f>2399699.15660256+6834970</f>
        <v>9234669.1566025596</v>
      </c>
      <c r="DO9" s="262">
        <f>78+176</f>
        <v>254</v>
      </c>
      <c r="DP9" s="263">
        <f>2578856.98948718+5536120</f>
        <v>8114976.9894871805</v>
      </c>
      <c r="DQ9" s="262">
        <v>234</v>
      </c>
      <c r="DR9" s="263">
        <v>7315287.4090384617</v>
      </c>
      <c r="DT9" s="257"/>
      <c r="DU9" s="256">
        <v>195</v>
      </c>
      <c r="DV9" s="255">
        <v>6595994.2450064113</v>
      </c>
      <c r="DW9" s="256">
        <v>195</v>
      </c>
      <c r="DX9" s="255">
        <v>6595994.2450064113</v>
      </c>
      <c r="DY9" s="256">
        <v>195</v>
      </c>
      <c r="DZ9" s="255">
        <v>6595994.2450064113</v>
      </c>
      <c r="EA9" s="256">
        <v>195</v>
      </c>
      <c r="EB9" s="255">
        <v>6595994.2450064113</v>
      </c>
      <c r="EC9" s="256">
        <v>195</v>
      </c>
      <c r="ED9" s="255">
        <v>6595994.2450064113</v>
      </c>
      <c r="EE9" s="256">
        <v>195</v>
      </c>
      <c r="EF9" s="255">
        <v>6595994.2450064113</v>
      </c>
      <c r="EG9" s="256">
        <v>195</v>
      </c>
      <c r="EH9" s="255">
        <v>6595994.2450064113</v>
      </c>
      <c r="EI9" s="256">
        <v>195</v>
      </c>
      <c r="EJ9" s="255">
        <v>6595994.2450064113</v>
      </c>
      <c r="EK9" s="256">
        <v>195</v>
      </c>
      <c r="EL9" s="255">
        <v>6595994.2450064113</v>
      </c>
      <c r="EM9" s="256">
        <v>195</v>
      </c>
      <c r="EN9" s="255">
        <v>6595994.2450064113</v>
      </c>
      <c r="EO9" s="256">
        <v>195</v>
      </c>
      <c r="EP9" s="255">
        <v>6595994.2450064113</v>
      </c>
      <c r="EQ9" s="256">
        <v>195</v>
      </c>
      <c r="ER9" s="255">
        <v>6595994.2450064113</v>
      </c>
      <c r="ET9" s="257"/>
      <c r="EU9" s="257"/>
      <c r="EV9" s="257"/>
      <c r="EW9" s="257"/>
      <c r="EX9" s="257"/>
    </row>
    <row r="10" spans="1:155" x14ac:dyDescent="0.2">
      <c r="A10" s="236">
        <v>1</v>
      </c>
      <c r="B10" s="258" t="s">
        <v>428</v>
      </c>
      <c r="C10" s="259">
        <v>16</v>
      </c>
      <c r="D10" s="252">
        <v>813878.78160256415</v>
      </c>
      <c r="E10" s="259">
        <v>15</v>
      </c>
      <c r="F10" s="252">
        <v>786898.82006410265</v>
      </c>
      <c r="G10" s="259">
        <v>15</v>
      </c>
      <c r="H10" s="252">
        <v>785377.82006410265</v>
      </c>
      <c r="I10" s="259">
        <v>15</v>
      </c>
      <c r="J10" s="252">
        <v>736986.58929487178</v>
      </c>
      <c r="K10" s="260">
        <v>15</v>
      </c>
      <c r="L10" s="261">
        <v>738038.43117521366</v>
      </c>
      <c r="M10" s="251">
        <v>15</v>
      </c>
      <c r="N10" s="252">
        <v>691802.61993589741</v>
      </c>
      <c r="O10" s="253">
        <v>15</v>
      </c>
      <c r="P10" s="252">
        <v>756756.53506410262</v>
      </c>
      <c r="Q10" s="251">
        <v>18</v>
      </c>
      <c r="R10" s="255">
        <v>1124336.9088461539</v>
      </c>
      <c r="S10" s="251">
        <v>18</v>
      </c>
      <c r="T10" s="255">
        <v>874065.30891025637</v>
      </c>
      <c r="U10" s="251">
        <v>18</v>
      </c>
      <c r="V10" s="255">
        <v>871327.19352564111</v>
      </c>
      <c r="W10" s="251">
        <v>18</v>
      </c>
      <c r="X10" s="255">
        <v>845551.00121794862</v>
      </c>
      <c r="Y10" s="251">
        <v>20</v>
      </c>
      <c r="Z10" s="255">
        <v>1222649.8216666665</v>
      </c>
      <c r="AA10" s="251">
        <v>20</v>
      </c>
      <c r="AB10" s="255">
        <v>1124935.7062820513</v>
      </c>
      <c r="AC10" s="251">
        <v>22</v>
      </c>
      <c r="AD10" s="255">
        <v>1099935.9377564103</v>
      </c>
      <c r="AE10" s="251">
        <v>24</v>
      </c>
      <c r="AF10" s="255">
        <v>1189436.1484615388</v>
      </c>
      <c r="AG10" s="251">
        <v>24</v>
      </c>
      <c r="AH10" s="255">
        <v>1212500.7062820513</v>
      </c>
      <c r="AI10" s="251">
        <v>24</v>
      </c>
      <c r="AJ10" s="255">
        <v>1219336.8601282053</v>
      </c>
      <c r="AK10" s="251">
        <v>24</v>
      </c>
      <c r="AL10" s="255">
        <v>1211768.1293589743</v>
      </c>
      <c r="AM10" s="251">
        <v>24</v>
      </c>
      <c r="AN10" s="255">
        <v>1292746.8001282052</v>
      </c>
      <c r="AO10" s="251">
        <v>28</v>
      </c>
      <c r="AP10" s="255">
        <v>1501138.989166667</v>
      </c>
      <c r="AQ10" s="251">
        <v>28</v>
      </c>
      <c r="AR10" s="255">
        <f>2088613.59089744-340000</f>
        <v>1748613.59089744</v>
      </c>
      <c r="AS10" s="251">
        <v>28</v>
      </c>
      <c r="AT10" s="255">
        <f>2707208.56423077-509665-340000</f>
        <v>1857543.5642307699</v>
      </c>
      <c r="AU10" s="251">
        <f>30-1</f>
        <v>29</v>
      </c>
      <c r="AV10" s="255">
        <f>2583656.09089744-509665</f>
        <v>2073991.09089744</v>
      </c>
      <c r="AW10" s="251">
        <v>29</v>
      </c>
      <c r="AX10" s="255">
        <v>1966192.3985897435</v>
      </c>
      <c r="AY10" s="251">
        <v>28</v>
      </c>
      <c r="AZ10" s="255">
        <f>2506344.83221492+50000</f>
        <v>2556344.8322149199</v>
      </c>
      <c r="BA10" s="251">
        <v>27</v>
      </c>
      <c r="BB10" s="255">
        <v>2575309.9182949839</v>
      </c>
      <c r="BC10" s="251">
        <v>27</v>
      </c>
      <c r="BD10" s="255">
        <v>2533418.9937965265</v>
      </c>
      <c r="BE10" s="251">
        <v>28</v>
      </c>
      <c r="BF10" s="255">
        <v>2580817.5623717951</v>
      </c>
      <c r="BG10" s="251">
        <v>27</v>
      </c>
      <c r="BH10" s="255">
        <v>2519165.4615384615</v>
      </c>
      <c r="BI10" s="251">
        <v>28</v>
      </c>
      <c r="BJ10" s="255">
        <v>2552364.6923076925</v>
      </c>
      <c r="BK10" s="251">
        <v>28</v>
      </c>
      <c r="BL10" s="255">
        <v>2598173.2461538459</v>
      </c>
      <c r="BM10" s="251">
        <v>27</v>
      </c>
      <c r="BN10" s="255">
        <v>2250661.2923076926</v>
      </c>
      <c r="BO10" s="251">
        <v>27</v>
      </c>
      <c r="BP10" s="255">
        <v>2430973.3266025637</v>
      </c>
      <c r="BQ10" s="251">
        <v>26</v>
      </c>
      <c r="BR10" s="255">
        <v>2467484.3729487173</v>
      </c>
      <c r="BS10" s="251">
        <v>25</v>
      </c>
      <c r="BT10" s="255">
        <f>2502689.11538462-50000</f>
        <v>2452689.1153846201</v>
      </c>
      <c r="BU10" s="251">
        <v>25</v>
      </c>
      <c r="BV10" s="255">
        <v>2471762.115384615</v>
      </c>
      <c r="BW10" s="251">
        <v>25</v>
      </c>
      <c r="BX10" s="255">
        <v>2827764.6538461535</v>
      </c>
      <c r="BY10" s="251">
        <v>26</v>
      </c>
      <c r="BZ10" s="255">
        <v>2906027.9484615382</v>
      </c>
      <c r="CA10" s="251">
        <v>25</v>
      </c>
      <c r="CB10" s="255">
        <v>2876304.8076923075</v>
      </c>
      <c r="CC10" s="251">
        <v>25</v>
      </c>
      <c r="CD10" s="255">
        <f>2881467.76923077+5161</f>
        <v>2886628.7692307699</v>
      </c>
      <c r="CE10" s="251">
        <v>25</v>
      </c>
      <c r="CF10" s="255">
        <v>2789577.2307692305</v>
      </c>
      <c r="CG10" s="251">
        <v>25</v>
      </c>
      <c r="CH10" s="255">
        <f>2969070.15679487+30000</f>
        <v>2999070.1567948698</v>
      </c>
      <c r="CI10" s="251">
        <v>25</v>
      </c>
      <c r="CJ10" s="255">
        <f>2856326.15384615+17000</f>
        <v>2873326.1538461498</v>
      </c>
      <c r="CK10" s="251">
        <v>25</v>
      </c>
      <c r="CL10" s="255">
        <v>2835800.1538461545</v>
      </c>
      <c r="CM10" s="251">
        <v>26</v>
      </c>
      <c r="CN10" s="255">
        <v>2584673.2953846157</v>
      </c>
      <c r="CO10" s="251">
        <v>26</v>
      </c>
      <c r="CP10" s="255">
        <f>2774109.64615385+42097</f>
        <v>2816206.64615385</v>
      </c>
      <c r="CQ10" s="251">
        <v>26</v>
      </c>
      <c r="CR10" s="255">
        <v>2733957.4483516482</v>
      </c>
      <c r="CS10" s="251">
        <v>26</v>
      </c>
      <c r="CT10" s="255">
        <f>3155315.56923077+12581</f>
        <v>3167896.5692307702</v>
      </c>
      <c r="CU10" s="251">
        <v>26</v>
      </c>
      <c r="CV10" s="255">
        <v>3164407.1846153853</v>
      </c>
      <c r="CW10" s="251">
        <v>30</v>
      </c>
      <c r="CX10" s="255">
        <v>3505419.8478846163</v>
      </c>
      <c r="CY10" s="251">
        <v>32</v>
      </c>
      <c r="CZ10" s="255">
        <v>3664551.2355128201</v>
      </c>
      <c r="DA10" s="251">
        <v>33</v>
      </c>
      <c r="DB10" s="255">
        <v>3859270.5218589758</v>
      </c>
      <c r="DC10" s="251">
        <v>33</v>
      </c>
      <c r="DD10" s="255">
        <v>3826860.0778804817</v>
      </c>
      <c r="DE10" s="251">
        <v>32</v>
      </c>
      <c r="DF10" s="255">
        <v>3824426.7218589759</v>
      </c>
      <c r="DG10" s="251">
        <v>32</v>
      </c>
      <c r="DH10" s="255">
        <v>3877640.414166668</v>
      </c>
      <c r="DI10" s="251">
        <v>32</v>
      </c>
      <c r="DJ10" s="255">
        <v>3780906.414166668</v>
      </c>
      <c r="DK10" s="251">
        <v>32</v>
      </c>
      <c r="DL10" s="255">
        <v>3878986.8980376357</v>
      </c>
      <c r="DM10" s="251">
        <v>32</v>
      </c>
      <c r="DN10" s="255">
        <v>3930681.414166668</v>
      </c>
      <c r="DO10" s="251">
        <v>34</v>
      </c>
      <c r="DP10" s="255">
        <v>3947622.1680128216</v>
      </c>
      <c r="DQ10" s="251">
        <v>34</v>
      </c>
      <c r="DR10" s="255">
        <v>4272803.168012822</v>
      </c>
      <c r="DS10" s="257"/>
      <c r="DT10" s="265"/>
      <c r="DU10" s="256">
        <v>28.150092304146625</v>
      </c>
      <c r="DV10" s="255">
        <v>3404051.0656043952</v>
      </c>
      <c r="DW10" s="256">
        <v>28.150092304146625</v>
      </c>
      <c r="DX10" s="255">
        <v>3404051.0656043952</v>
      </c>
      <c r="DY10" s="256">
        <v>28.150092304146625</v>
      </c>
      <c r="DZ10" s="255">
        <v>3404051.0656043952</v>
      </c>
      <c r="EA10" s="256">
        <v>28.150092304146625</v>
      </c>
      <c r="EB10" s="255">
        <v>3404051.0656043952</v>
      </c>
      <c r="EC10" s="256">
        <v>28.150092304146625</v>
      </c>
      <c r="ED10" s="255">
        <v>3404051.0656043952</v>
      </c>
      <c r="EE10" s="256">
        <v>28.150092304146625</v>
      </c>
      <c r="EF10" s="255">
        <v>3404051.0656043952</v>
      </c>
      <c r="EG10" s="256">
        <v>28.150092304146625</v>
      </c>
      <c r="EH10" s="255">
        <v>3404051.0656043952</v>
      </c>
      <c r="EI10" s="256">
        <v>28.150092304146625</v>
      </c>
      <c r="EJ10" s="255">
        <v>3404051.0656043952</v>
      </c>
      <c r="EK10" s="256">
        <v>28.150092304146625</v>
      </c>
      <c r="EL10" s="255">
        <v>3404051.0656043952</v>
      </c>
      <c r="EM10" s="256">
        <v>28.150092304146625</v>
      </c>
      <c r="EN10" s="255">
        <v>3404051.0656043952</v>
      </c>
      <c r="EO10" s="256">
        <v>28.150092304146625</v>
      </c>
      <c r="EP10" s="255">
        <v>3404051.0656043952</v>
      </c>
      <c r="EQ10" s="256">
        <v>28.150092304146625</v>
      </c>
      <c r="ER10" s="255">
        <v>3404051.0656043952</v>
      </c>
      <c r="ET10" s="257"/>
      <c r="EU10" s="257"/>
      <c r="EX10" s="257"/>
      <c r="EY10" s="266"/>
    </row>
    <row r="11" spans="1:155" x14ac:dyDescent="0.2">
      <c r="A11" s="236">
        <v>1</v>
      </c>
      <c r="B11" s="258" t="s">
        <v>429</v>
      </c>
      <c r="C11" s="259">
        <v>2</v>
      </c>
      <c r="D11" s="252">
        <v>435780.15384615387</v>
      </c>
      <c r="E11" s="259">
        <v>3</v>
      </c>
      <c r="F11" s="252">
        <v>492735.30769230775</v>
      </c>
      <c r="G11" s="259">
        <v>4</v>
      </c>
      <c r="H11" s="252">
        <v>705465.70512820501</v>
      </c>
      <c r="I11" s="259">
        <v>5</v>
      </c>
      <c r="J11" s="252">
        <v>693738.73673076928</v>
      </c>
      <c r="K11" s="260">
        <v>5</v>
      </c>
      <c r="L11" s="261">
        <v>788388.46153846162</v>
      </c>
      <c r="M11" s="251">
        <v>7</v>
      </c>
      <c r="N11" s="252">
        <v>870126.57692307711</v>
      </c>
      <c r="O11" s="253">
        <v>7</v>
      </c>
      <c r="P11" s="252">
        <v>943003.84615384624</v>
      </c>
      <c r="Q11" s="251">
        <v>7</v>
      </c>
      <c r="R11" s="255">
        <v>1092843.923076923</v>
      </c>
      <c r="S11" s="251">
        <v>7</v>
      </c>
      <c r="T11" s="255">
        <v>1107843.923076923</v>
      </c>
      <c r="U11" s="251">
        <v>7</v>
      </c>
      <c r="V11" s="255">
        <v>1083258.0384615385</v>
      </c>
      <c r="W11" s="251">
        <v>8</v>
      </c>
      <c r="X11" s="255">
        <v>1382299.9615384615</v>
      </c>
      <c r="Y11" s="251">
        <v>8</v>
      </c>
      <c r="Z11" s="255">
        <v>1866541.5953846155</v>
      </c>
      <c r="AA11" s="251">
        <v>8</v>
      </c>
      <c r="AB11" s="255">
        <v>1590105.6153846155</v>
      </c>
      <c r="AC11" s="251">
        <v>8</v>
      </c>
      <c r="AD11" s="255">
        <v>1552055.6153846155</v>
      </c>
      <c r="AE11" s="251">
        <v>9</v>
      </c>
      <c r="AF11" s="255">
        <v>1755704.4615384615</v>
      </c>
      <c r="AG11" s="251">
        <v>9</v>
      </c>
      <c r="AH11" s="255">
        <v>1623516.346153846</v>
      </c>
      <c r="AI11" s="251">
        <v>8</v>
      </c>
      <c r="AJ11" s="255">
        <v>976558.34615384613</v>
      </c>
      <c r="AK11" s="251">
        <v>6</v>
      </c>
      <c r="AL11" s="255">
        <v>744234.07692307688</v>
      </c>
      <c r="AM11" s="251">
        <v>7</v>
      </c>
      <c r="AN11" s="255">
        <v>849403.07692307688</v>
      </c>
      <c r="AO11" s="251">
        <v>6</v>
      </c>
      <c r="AP11" s="255">
        <v>857777.0384615385</v>
      </c>
      <c r="AQ11" s="251">
        <v>6</v>
      </c>
      <c r="AR11" s="255">
        <v>778979.11538461538</v>
      </c>
      <c r="AS11" s="251">
        <v>6</v>
      </c>
      <c r="AT11" s="255">
        <v>786962</v>
      </c>
      <c r="AU11" s="251">
        <v>6</v>
      </c>
      <c r="AV11" s="255">
        <v>786962</v>
      </c>
      <c r="AW11" s="251">
        <v>6</v>
      </c>
      <c r="AX11" s="255">
        <v>786962</v>
      </c>
      <c r="AY11" s="251">
        <v>0</v>
      </c>
      <c r="AZ11" s="255">
        <v>0</v>
      </c>
      <c r="BA11" s="251">
        <v>0</v>
      </c>
      <c r="BB11" s="255">
        <v>0</v>
      </c>
      <c r="BC11" s="251">
        <v>0</v>
      </c>
      <c r="BD11" s="255">
        <v>0</v>
      </c>
      <c r="BE11" s="251">
        <v>0</v>
      </c>
      <c r="BF11" s="255">
        <v>0</v>
      </c>
      <c r="BG11" s="251">
        <v>0</v>
      </c>
      <c r="BH11" s="255">
        <v>0</v>
      </c>
      <c r="BI11" s="251">
        <v>0</v>
      </c>
      <c r="BJ11" s="255">
        <v>0</v>
      </c>
      <c r="BK11" s="251">
        <v>0</v>
      </c>
      <c r="BL11" s="255">
        <v>0</v>
      </c>
      <c r="BM11" s="251">
        <v>0</v>
      </c>
      <c r="BN11" s="255">
        <v>0</v>
      </c>
      <c r="BO11" s="251">
        <v>0</v>
      </c>
      <c r="BP11" s="255">
        <v>0</v>
      </c>
      <c r="BQ11" s="251">
        <v>0</v>
      </c>
      <c r="BR11" s="255">
        <v>0</v>
      </c>
      <c r="BS11" s="251">
        <v>0</v>
      </c>
      <c r="BT11" s="255">
        <v>0</v>
      </c>
      <c r="BU11" s="251">
        <v>0</v>
      </c>
      <c r="BV11" s="255">
        <v>0</v>
      </c>
      <c r="BW11" s="251">
        <v>0</v>
      </c>
      <c r="BX11" s="255">
        <v>0</v>
      </c>
      <c r="BY11" s="251">
        <v>0</v>
      </c>
      <c r="BZ11" s="255">
        <v>0</v>
      </c>
      <c r="CA11" s="251">
        <v>0</v>
      </c>
      <c r="CB11" s="255">
        <v>0</v>
      </c>
      <c r="CC11" s="251">
        <v>0</v>
      </c>
      <c r="CD11" s="255">
        <v>0</v>
      </c>
      <c r="CE11" s="251">
        <v>0</v>
      </c>
      <c r="CF11" s="255">
        <v>0</v>
      </c>
      <c r="CG11" s="251">
        <v>0</v>
      </c>
      <c r="CH11" s="255">
        <v>0</v>
      </c>
      <c r="CI11" s="251">
        <v>0</v>
      </c>
      <c r="CJ11" s="255">
        <v>0</v>
      </c>
      <c r="CK11" s="251">
        <v>0</v>
      </c>
      <c r="CL11" s="255">
        <v>0</v>
      </c>
      <c r="CM11" s="251">
        <v>0</v>
      </c>
      <c r="CN11" s="255">
        <v>0</v>
      </c>
      <c r="CO11" s="251">
        <v>0</v>
      </c>
      <c r="CP11" s="255">
        <v>0</v>
      </c>
      <c r="CQ11" s="251">
        <v>0</v>
      </c>
      <c r="CR11" s="255">
        <v>0</v>
      </c>
      <c r="CS11" s="251">
        <v>0</v>
      </c>
      <c r="CT11" s="255">
        <v>0</v>
      </c>
      <c r="CU11" s="251">
        <v>0</v>
      </c>
      <c r="CV11" s="255">
        <v>0</v>
      </c>
      <c r="CW11" s="251">
        <v>0</v>
      </c>
      <c r="CX11" s="255">
        <v>0</v>
      </c>
      <c r="CY11" s="251">
        <v>0</v>
      </c>
      <c r="CZ11" s="255">
        <v>0</v>
      </c>
      <c r="DA11" s="251">
        <v>0</v>
      </c>
      <c r="DB11" s="255">
        <v>0</v>
      </c>
      <c r="DC11" s="251">
        <v>0</v>
      </c>
      <c r="DD11" s="255">
        <v>0</v>
      </c>
      <c r="DE11" s="251">
        <v>0</v>
      </c>
      <c r="DF11" s="255">
        <v>0</v>
      </c>
      <c r="DG11" s="251">
        <v>0</v>
      </c>
      <c r="DH11" s="255">
        <v>0</v>
      </c>
      <c r="DI11" s="251">
        <v>0</v>
      </c>
      <c r="DJ11" s="255">
        <v>0</v>
      </c>
      <c r="DK11" s="251">
        <v>0</v>
      </c>
      <c r="DL11" s="255">
        <v>0</v>
      </c>
      <c r="DM11" s="251">
        <v>0</v>
      </c>
      <c r="DN11" s="255">
        <v>0</v>
      </c>
      <c r="DO11" s="251">
        <v>0</v>
      </c>
      <c r="DP11" s="255">
        <v>0</v>
      </c>
      <c r="DQ11" s="251">
        <v>0</v>
      </c>
      <c r="DR11" s="255">
        <v>0</v>
      </c>
      <c r="DT11" s="257"/>
      <c r="DU11" s="256">
        <v>0</v>
      </c>
      <c r="DV11" s="255">
        <v>0</v>
      </c>
      <c r="DW11" s="256">
        <v>0</v>
      </c>
      <c r="DX11" s="255">
        <v>0</v>
      </c>
      <c r="DY11" s="256">
        <v>0</v>
      </c>
      <c r="DZ11" s="255">
        <v>0</v>
      </c>
      <c r="EA11" s="256">
        <v>0</v>
      </c>
      <c r="EB11" s="255">
        <v>0</v>
      </c>
      <c r="EC11" s="256">
        <v>0</v>
      </c>
      <c r="ED11" s="255">
        <v>0</v>
      </c>
      <c r="EE11" s="256">
        <v>0</v>
      </c>
      <c r="EF11" s="255">
        <v>0</v>
      </c>
      <c r="EG11" s="256">
        <v>0</v>
      </c>
      <c r="EH11" s="255">
        <v>0</v>
      </c>
      <c r="EI11" s="256">
        <v>0</v>
      </c>
      <c r="EJ11" s="255">
        <v>0</v>
      </c>
      <c r="EK11" s="256">
        <v>0</v>
      </c>
      <c r="EL11" s="255">
        <v>0</v>
      </c>
      <c r="EM11" s="256">
        <v>0</v>
      </c>
      <c r="EN11" s="255">
        <v>0</v>
      </c>
      <c r="EO11" s="256">
        <v>0</v>
      </c>
      <c r="EP11" s="255">
        <v>0</v>
      </c>
      <c r="EQ11" s="256">
        <v>0</v>
      </c>
      <c r="ER11" s="255">
        <v>0</v>
      </c>
      <c r="ET11" s="257"/>
      <c r="EU11" s="257"/>
    </row>
    <row r="12" spans="1:155" x14ac:dyDescent="0.2">
      <c r="A12" s="236">
        <v>1</v>
      </c>
      <c r="B12" s="258" t="s">
        <v>430</v>
      </c>
      <c r="C12" s="259">
        <v>9</v>
      </c>
      <c r="D12" s="252">
        <v>652375.98980769224</v>
      </c>
      <c r="E12" s="259">
        <v>9</v>
      </c>
      <c r="F12" s="252">
        <v>646435.64480769227</v>
      </c>
      <c r="G12" s="259">
        <v>9</v>
      </c>
      <c r="H12" s="252">
        <v>650635.64480769227</v>
      </c>
      <c r="I12" s="259">
        <v>9</v>
      </c>
      <c r="J12" s="252">
        <v>743635.64480769227</v>
      </c>
      <c r="K12" s="260">
        <v>10</v>
      </c>
      <c r="L12" s="261">
        <v>780221.18326923077</v>
      </c>
      <c r="M12" s="251">
        <v>11</v>
      </c>
      <c r="N12" s="252">
        <v>784297.17910256411</v>
      </c>
      <c r="O12" s="253">
        <v>11</v>
      </c>
      <c r="P12" s="252">
        <v>822438.35589743603</v>
      </c>
      <c r="Q12" s="251">
        <v>13</v>
      </c>
      <c r="R12" s="255">
        <v>926224.3583333334</v>
      </c>
      <c r="S12" s="251">
        <v>13</v>
      </c>
      <c r="T12" s="255">
        <v>919734.81897435896</v>
      </c>
      <c r="U12" s="251">
        <v>13</v>
      </c>
      <c r="V12" s="255">
        <v>971144.75750000007</v>
      </c>
      <c r="W12" s="251">
        <v>14</v>
      </c>
      <c r="X12" s="255">
        <v>993068.05615384621</v>
      </c>
      <c r="Y12" s="251">
        <v>15</v>
      </c>
      <c r="Z12" s="255">
        <v>1412333.7833333332</v>
      </c>
      <c r="AA12" s="251">
        <v>16</v>
      </c>
      <c r="AB12" s="255">
        <v>1362997.3744230771</v>
      </c>
      <c r="AC12" s="251">
        <v>17</v>
      </c>
      <c r="AD12" s="255">
        <v>1435478.7975000001</v>
      </c>
      <c r="AE12" s="251">
        <v>17</v>
      </c>
      <c r="AF12" s="255">
        <v>1488986.8359615386</v>
      </c>
      <c r="AG12" s="251">
        <v>18</v>
      </c>
      <c r="AH12" s="255">
        <v>1506686.6436538463</v>
      </c>
      <c r="AI12" s="251">
        <v>19</v>
      </c>
      <c r="AJ12" s="255">
        <v>1625401.5685897432</v>
      </c>
      <c r="AK12" s="251">
        <v>19</v>
      </c>
      <c r="AL12" s="255">
        <v>1629417.7224358972</v>
      </c>
      <c r="AM12" s="251">
        <v>19</v>
      </c>
      <c r="AN12" s="255">
        <v>1622891.8417948717</v>
      </c>
      <c r="AO12" s="251">
        <v>19</v>
      </c>
      <c r="AP12" s="255">
        <v>1652653.0725641027</v>
      </c>
      <c r="AQ12" s="251">
        <v>19</v>
      </c>
      <c r="AR12" s="255">
        <v>1646393.0725641027</v>
      </c>
      <c r="AS12" s="251">
        <v>19</v>
      </c>
      <c r="AT12" s="255">
        <v>1646353.0725641027</v>
      </c>
      <c r="AU12" s="251">
        <v>19</v>
      </c>
      <c r="AV12" s="255">
        <v>1649515.4791575093</v>
      </c>
      <c r="AW12" s="251">
        <v>18</v>
      </c>
      <c r="AX12" s="255">
        <v>1424421.1267948716</v>
      </c>
      <c r="AY12" s="251">
        <v>17</v>
      </c>
      <c r="AZ12" s="255">
        <v>1620729.2861799409</v>
      </c>
      <c r="BA12" s="251">
        <v>17</v>
      </c>
      <c r="BB12" s="255">
        <v>1611352.297333787</v>
      </c>
      <c r="BC12" s="251">
        <v>17</v>
      </c>
      <c r="BD12" s="255">
        <v>1663213.4089743588</v>
      </c>
      <c r="BE12" s="251">
        <v>17</v>
      </c>
      <c r="BF12" s="255">
        <v>1619564.5628205128</v>
      </c>
      <c r="BG12" s="251">
        <v>19</v>
      </c>
      <c r="BH12" s="255">
        <v>1651489.610576923</v>
      </c>
      <c r="BI12" s="251">
        <v>20</v>
      </c>
      <c r="BJ12" s="255">
        <v>1677348.2538461536</v>
      </c>
      <c r="BK12" s="251">
        <f>21-1</f>
        <v>20</v>
      </c>
      <c r="BL12" s="255">
        <f>1789873.65576923-60249</f>
        <v>1729624.6557692301</v>
      </c>
      <c r="BM12" s="251">
        <v>23</v>
      </c>
      <c r="BN12" s="255">
        <v>1869399.8826923075</v>
      </c>
      <c r="BO12" s="251">
        <v>22</v>
      </c>
      <c r="BP12" s="255">
        <v>1789025.332289082</v>
      </c>
      <c r="BQ12" s="251">
        <v>19</v>
      </c>
      <c r="BR12" s="255">
        <v>1661160.101346154</v>
      </c>
      <c r="BS12" s="251">
        <v>19</v>
      </c>
      <c r="BT12" s="255">
        <f>1661160.10134615+3103</f>
        <v>1664263.10134615</v>
      </c>
      <c r="BU12" s="251">
        <f>19+2</f>
        <v>21</v>
      </c>
      <c r="BV12" s="255">
        <f>1689710.10134615+21000</f>
        <v>1710710.10134615</v>
      </c>
      <c r="BW12" s="251">
        <v>19</v>
      </c>
      <c r="BX12" s="255">
        <v>1867995.3180128206</v>
      </c>
      <c r="BY12" s="251">
        <v>18</v>
      </c>
      <c r="BZ12" s="255">
        <f>1847915.91217949+21774</f>
        <v>1869689.9121794901</v>
      </c>
      <c r="CA12" s="251">
        <v>18</v>
      </c>
      <c r="CB12" s="255">
        <v>1868225.9121794873</v>
      </c>
      <c r="CC12" s="251">
        <v>18</v>
      </c>
      <c r="CD12" s="255">
        <f>1866047.38512821+19194</f>
        <v>1885241.3851282101</v>
      </c>
      <c r="CE12" s="251">
        <v>19</v>
      </c>
      <c r="CF12" s="255">
        <v>1905841.7506410258</v>
      </c>
      <c r="CG12" s="251">
        <v>19</v>
      </c>
      <c r="CH12" s="255">
        <f>1958294.3275641+15000</f>
        <v>1973294.3275641</v>
      </c>
      <c r="CI12" s="251">
        <v>19</v>
      </c>
      <c r="CJ12" s="255">
        <f>1918376.29182175+12500</f>
        <v>1930876.2918217501</v>
      </c>
      <c r="CK12" s="251">
        <v>20</v>
      </c>
      <c r="CL12" s="255">
        <v>1927498.0517948717</v>
      </c>
      <c r="CM12" s="251">
        <v>21</v>
      </c>
      <c r="CN12" s="255">
        <v>2000187.9637820513</v>
      </c>
      <c r="CO12" s="251">
        <v>23</v>
      </c>
      <c r="CP12" s="255">
        <f>2086530.44839744+20000</f>
        <v>2106530.4483974399</v>
      </c>
      <c r="CQ12" s="251">
        <v>23</v>
      </c>
      <c r="CR12" s="255">
        <v>2023416.6112912088</v>
      </c>
      <c r="CS12" s="251">
        <v>23</v>
      </c>
      <c r="CT12" s="255">
        <f>2704566.99839744+22000</f>
        <v>2726566.9983974402</v>
      </c>
      <c r="CU12" s="251">
        <v>24</v>
      </c>
      <c r="CV12" s="255">
        <v>2437461.4916666667</v>
      </c>
      <c r="CW12" s="251">
        <v>24</v>
      </c>
      <c r="CX12" s="255">
        <v>2427935.6898717945</v>
      </c>
      <c r="CY12" s="251">
        <v>23</v>
      </c>
      <c r="CZ12" s="255">
        <v>2439210.5821794872</v>
      </c>
      <c r="DA12" s="251">
        <v>22</v>
      </c>
      <c r="DB12" s="255">
        <v>2407119.7821794869</v>
      </c>
      <c r="DC12" s="251">
        <v>24</v>
      </c>
      <c r="DD12" s="255">
        <v>2541399.0615529362</v>
      </c>
      <c r="DE12" s="251">
        <f>24+1</f>
        <v>25</v>
      </c>
      <c r="DF12" s="255">
        <f>2343640.92371795+28173</f>
        <v>2371813.92371795</v>
      </c>
      <c r="DG12" s="251">
        <v>23</v>
      </c>
      <c r="DH12" s="255">
        <v>2427943.4125000006</v>
      </c>
      <c r="DI12" s="251">
        <v>25</v>
      </c>
      <c r="DJ12" s="255">
        <v>2371225.3350641029</v>
      </c>
      <c r="DK12" s="251">
        <v>27</v>
      </c>
      <c r="DL12" s="255">
        <v>2484164.0387282879</v>
      </c>
      <c r="DM12" s="251">
        <v>31</v>
      </c>
      <c r="DN12" s="255">
        <v>2734603.4525000001</v>
      </c>
      <c r="DO12" s="251">
        <v>31</v>
      </c>
      <c r="DP12" s="255">
        <v>2963470.2048076922</v>
      </c>
      <c r="DQ12" s="251">
        <v>31</v>
      </c>
      <c r="DR12" s="255">
        <v>2829612.2328205127</v>
      </c>
      <c r="DU12" s="256">
        <v>23</v>
      </c>
      <c r="DV12" s="255">
        <v>2326929.1029848899</v>
      </c>
      <c r="DW12" s="256">
        <v>23</v>
      </c>
      <c r="DX12" s="255">
        <v>2326929.1029848899</v>
      </c>
      <c r="DY12" s="256">
        <v>23</v>
      </c>
      <c r="DZ12" s="255">
        <v>2326929.1029848899</v>
      </c>
      <c r="EA12" s="256">
        <v>23</v>
      </c>
      <c r="EB12" s="255">
        <v>2326929.1029848899</v>
      </c>
      <c r="EC12" s="256">
        <v>23</v>
      </c>
      <c r="ED12" s="255">
        <v>2326929.1029848899</v>
      </c>
      <c r="EE12" s="256">
        <v>23</v>
      </c>
      <c r="EF12" s="255">
        <v>2326929.1029848899</v>
      </c>
      <c r="EG12" s="256">
        <v>23</v>
      </c>
      <c r="EH12" s="255">
        <v>2326929.1029848899</v>
      </c>
      <c r="EI12" s="256">
        <v>23</v>
      </c>
      <c r="EJ12" s="255">
        <v>2326929.1029848899</v>
      </c>
      <c r="EK12" s="256">
        <v>23</v>
      </c>
      <c r="EL12" s="255">
        <v>2326929.1029848899</v>
      </c>
      <c r="EM12" s="256">
        <v>23</v>
      </c>
      <c r="EN12" s="255">
        <v>2326929.1029848899</v>
      </c>
      <c r="EO12" s="256">
        <v>23</v>
      </c>
      <c r="EP12" s="255">
        <v>2326929.1029848899</v>
      </c>
      <c r="EQ12" s="256">
        <v>23</v>
      </c>
      <c r="ER12" s="255">
        <v>2326929.1029848899</v>
      </c>
      <c r="ET12" s="257"/>
      <c r="EU12" s="257"/>
    </row>
    <row r="13" spans="1:155" x14ac:dyDescent="0.2">
      <c r="A13" s="236">
        <v>1</v>
      </c>
      <c r="B13" s="258" t="s">
        <v>431</v>
      </c>
      <c r="C13" s="259">
        <v>2</v>
      </c>
      <c r="D13" s="252">
        <v>90484.153846153844</v>
      </c>
      <c r="E13" s="259">
        <v>2</v>
      </c>
      <c r="F13" s="252">
        <v>90484.153846153844</v>
      </c>
      <c r="G13" s="259">
        <v>2</v>
      </c>
      <c r="H13" s="252">
        <v>90484.153846153844</v>
      </c>
      <c r="I13" s="259">
        <v>2</v>
      </c>
      <c r="J13" s="252">
        <v>90484.153846153844</v>
      </c>
      <c r="K13" s="260">
        <v>2</v>
      </c>
      <c r="L13" s="261">
        <v>90484.153846153844</v>
      </c>
      <c r="M13" s="251">
        <v>2</v>
      </c>
      <c r="N13" s="252">
        <v>90484.153846153844</v>
      </c>
      <c r="O13" s="253">
        <v>2</v>
      </c>
      <c r="P13" s="252">
        <v>99479.538461538468</v>
      </c>
      <c r="Q13" s="251">
        <v>2</v>
      </c>
      <c r="R13" s="255">
        <v>99479.538461538468</v>
      </c>
      <c r="S13" s="251">
        <v>2</v>
      </c>
      <c r="T13" s="255">
        <v>99479.538461538468</v>
      </c>
      <c r="U13" s="251">
        <v>2</v>
      </c>
      <c r="V13" s="255">
        <v>99479.538461538468</v>
      </c>
      <c r="W13" s="251">
        <v>2</v>
      </c>
      <c r="X13" s="255">
        <v>99479.538461538468</v>
      </c>
      <c r="Y13" s="251">
        <v>3</v>
      </c>
      <c r="Z13" s="255">
        <v>189280.23076923075</v>
      </c>
      <c r="AA13" s="251">
        <v>3</v>
      </c>
      <c r="AB13" s="255">
        <v>227927.03846153844</v>
      </c>
      <c r="AC13" s="251">
        <v>3</v>
      </c>
      <c r="AD13" s="255">
        <v>215977.03846153844</v>
      </c>
      <c r="AE13" s="251">
        <v>3</v>
      </c>
      <c r="AF13" s="255">
        <v>210277.03846153844</v>
      </c>
      <c r="AG13" s="251">
        <v>3</v>
      </c>
      <c r="AH13" s="255">
        <v>238777.03846153844</v>
      </c>
      <c r="AI13" s="251">
        <v>3</v>
      </c>
      <c r="AJ13" s="255">
        <v>215977.03846153844</v>
      </c>
      <c r="AK13" s="251">
        <v>3</v>
      </c>
      <c r="AL13" s="255">
        <v>215977.03846153844</v>
      </c>
      <c r="AM13" s="251">
        <v>4</v>
      </c>
      <c r="AN13" s="255">
        <v>257201.42307692306</v>
      </c>
      <c r="AO13" s="251">
        <v>4</v>
      </c>
      <c r="AP13" s="255">
        <v>262430.07692307688</v>
      </c>
      <c r="AQ13" s="251">
        <v>4</v>
      </c>
      <c r="AR13" s="255">
        <v>262430.07692307688</v>
      </c>
      <c r="AS13" s="251">
        <v>4</v>
      </c>
      <c r="AT13" s="255">
        <v>262430.07692307688</v>
      </c>
      <c r="AU13" s="251">
        <v>4</v>
      </c>
      <c r="AV13" s="255">
        <v>262430.07692307688</v>
      </c>
      <c r="AW13" s="251">
        <v>4</v>
      </c>
      <c r="AX13" s="255">
        <v>262430.07692307688</v>
      </c>
      <c r="AY13" s="251">
        <v>4</v>
      </c>
      <c r="AZ13" s="255">
        <v>287399.43753253511</v>
      </c>
      <c r="BA13" s="251">
        <v>4</v>
      </c>
      <c r="BB13" s="255">
        <v>287399.43753253511</v>
      </c>
      <c r="BC13" s="251">
        <v>4</v>
      </c>
      <c r="BD13" s="255">
        <v>287399.5</v>
      </c>
      <c r="BE13" s="251">
        <v>4</v>
      </c>
      <c r="BF13" s="255">
        <v>285202.05210918112</v>
      </c>
      <c r="BG13" s="251">
        <v>4</v>
      </c>
      <c r="BH13" s="255">
        <v>287263.62903225806</v>
      </c>
      <c r="BI13" s="251">
        <v>4</v>
      </c>
      <c r="BJ13" s="255">
        <v>255684.27903225805</v>
      </c>
      <c r="BK13" s="251">
        <v>4</v>
      </c>
      <c r="BL13" s="255">
        <v>269819.67638544249</v>
      </c>
      <c r="BM13" s="251">
        <v>4</v>
      </c>
      <c r="BN13" s="255">
        <v>290546.11025641026</v>
      </c>
      <c r="BO13" s="251">
        <v>4</v>
      </c>
      <c r="BP13" s="255">
        <v>290147.77692307689</v>
      </c>
      <c r="BQ13" s="251">
        <v>4</v>
      </c>
      <c r="BR13" s="255">
        <v>290147.77692307689</v>
      </c>
      <c r="BS13" s="251">
        <v>4</v>
      </c>
      <c r="BT13" s="255">
        <v>290147.77692307689</v>
      </c>
      <c r="BU13" s="251">
        <v>4</v>
      </c>
      <c r="BV13" s="255">
        <v>289048.77692307689</v>
      </c>
      <c r="BW13" s="251">
        <v>5</v>
      </c>
      <c r="BX13" s="255">
        <v>343083.27692307695</v>
      </c>
      <c r="BY13" s="251">
        <v>4</v>
      </c>
      <c r="BZ13" s="255">
        <v>322033.27692307695</v>
      </c>
      <c r="CA13" s="251">
        <v>4</v>
      </c>
      <c r="CB13" s="255">
        <v>343083.27692307695</v>
      </c>
      <c r="CC13" s="251">
        <v>4</v>
      </c>
      <c r="CD13" s="255">
        <f>322033.276923077+21050</f>
        <v>343083.27692307701</v>
      </c>
      <c r="CE13" s="251">
        <v>4</v>
      </c>
      <c r="CF13" s="255">
        <v>322033.27692307695</v>
      </c>
      <c r="CG13" s="251">
        <v>4</v>
      </c>
      <c r="CH13" s="255">
        <v>322033.27692307695</v>
      </c>
      <c r="CI13" s="251">
        <v>4</v>
      </c>
      <c r="CJ13" s="255">
        <v>322033.27692307695</v>
      </c>
      <c r="CK13" s="251">
        <v>4</v>
      </c>
      <c r="CL13" s="255">
        <v>322033.27692307695</v>
      </c>
      <c r="CM13" s="251">
        <v>4</v>
      </c>
      <c r="CN13" s="255">
        <v>322033.27692307695</v>
      </c>
      <c r="CO13" s="251">
        <v>4</v>
      </c>
      <c r="CP13" s="255">
        <v>322033.27692307695</v>
      </c>
      <c r="CQ13" s="251">
        <v>4</v>
      </c>
      <c r="CR13" s="255">
        <v>317823.77692307695</v>
      </c>
      <c r="CS13" s="251">
        <v>4</v>
      </c>
      <c r="CT13" s="255">
        <v>373184.27692307689</v>
      </c>
      <c r="CU13" s="251">
        <v>4</v>
      </c>
      <c r="CV13" s="255">
        <v>384763.08461538464</v>
      </c>
      <c r="CW13" s="251">
        <v>4</v>
      </c>
      <c r="CX13" s="255">
        <v>385449.08461538464</v>
      </c>
      <c r="CY13" s="251">
        <v>5</v>
      </c>
      <c r="CZ13" s="255">
        <v>405000.60551282053</v>
      </c>
      <c r="DA13" s="251">
        <v>6</v>
      </c>
      <c r="DB13" s="255">
        <v>439011.79012820515</v>
      </c>
      <c r="DC13" s="251">
        <v>7</v>
      </c>
      <c r="DD13" s="255">
        <v>485030.89782051282</v>
      </c>
      <c r="DE13" s="251">
        <v>7</v>
      </c>
      <c r="DF13" s="255">
        <v>483901.89782051282</v>
      </c>
      <c r="DG13" s="251">
        <v>7</v>
      </c>
      <c r="DH13" s="255">
        <v>488832.89782051282</v>
      </c>
      <c r="DI13" s="251">
        <v>7</v>
      </c>
      <c r="DJ13" s="255">
        <v>486088.89782051282</v>
      </c>
      <c r="DK13" s="251">
        <v>7</v>
      </c>
      <c r="DL13" s="255">
        <v>487588.89782051282</v>
      </c>
      <c r="DM13" s="251">
        <v>7</v>
      </c>
      <c r="DN13" s="255">
        <v>486088.89782051282</v>
      </c>
      <c r="DO13" s="251">
        <v>7</v>
      </c>
      <c r="DP13" s="255">
        <v>481403.89782051282</v>
      </c>
      <c r="DQ13" s="251">
        <v>7</v>
      </c>
      <c r="DR13" s="255">
        <v>486088.89782051282</v>
      </c>
      <c r="DU13" s="256">
        <v>4</v>
      </c>
      <c r="DV13" s="255">
        <v>349606.15461538464</v>
      </c>
      <c r="DW13" s="256">
        <v>4</v>
      </c>
      <c r="DX13" s="255">
        <v>349606.15461538464</v>
      </c>
      <c r="DY13" s="256">
        <v>4</v>
      </c>
      <c r="DZ13" s="255">
        <v>349606.15461538464</v>
      </c>
      <c r="EA13" s="256">
        <v>4</v>
      </c>
      <c r="EB13" s="255">
        <v>349606.15461538464</v>
      </c>
      <c r="EC13" s="256">
        <v>4</v>
      </c>
      <c r="ED13" s="255">
        <v>349606.15461538464</v>
      </c>
      <c r="EE13" s="256">
        <v>4</v>
      </c>
      <c r="EF13" s="255">
        <v>349606.15461538464</v>
      </c>
      <c r="EG13" s="256">
        <v>4</v>
      </c>
      <c r="EH13" s="255">
        <v>349606.15461538464</v>
      </c>
      <c r="EI13" s="256">
        <v>4</v>
      </c>
      <c r="EJ13" s="255">
        <v>349606.15461538464</v>
      </c>
      <c r="EK13" s="256">
        <v>4</v>
      </c>
      <c r="EL13" s="255">
        <v>349606.15461538464</v>
      </c>
      <c r="EM13" s="256">
        <v>4</v>
      </c>
      <c r="EN13" s="255">
        <v>349606.15461538464</v>
      </c>
      <c r="EO13" s="256">
        <v>4</v>
      </c>
      <c r="EP13" s="255">
        <v>349606.15461538464</v>
      </c>
      <c r="EQ13" s="256">
        <v>4</v>
      </c>
      <c r="ER13" s="255">
        <v>349606.15461538464</v>
      </c>
      <c r="ET13" s="257"/>
      <c r="EU13" s="257"/>
    </row>
    <row r="14" spans="1:155" x14ac:dyDescent="0.2">
      <c r="B14" s="258" t="s">
        <v>432</v>
      </c>
      <c r="C14" s="259">
        <v>78</v>
      </c>
      <c r="D14" s="252">
        <v>2686415.4832692309</v>
      </c>
      <c r="E14" s="259">
        <v>74</v>
      </c>
      <c r="F14" s="252">
        <v>2467372.6494871797</v>
      </c>
      <c r="G14" s="259">
        <v>90</v>
      </c>
      <c r="H14" s="252">
        <v>2762334.329358974</v>
      </c>
      <c r="I14" s="259">
        <v>66</v>
      </c>
      <c r="J14" s="252">
        <v>1807179.2754487179</v>
      </c>
      <c r="K14" s="260">
        <v>76</v>
      </c>
      <c r="L14" s="261">
        <v>2224787.5112179485</v>
      </c>
      <c r="M14" s="251">
        <v>63</v>
      </c>
      <c r="N14" s="252">
        <v>2101283.474487179</v>
      </c>
      <c r="O14" s="253">
        <v>59</v>
      </c>
      <c r="P14" s="252">
        <v>2098005.320576923</v>
      </c>
      <c r="Q14" s="251">
        <v>67</v>
      </c>
      <c r="R14" s="255">
        <v>2191248.0326923076</v>
      </c>
      <c r="S14" s="251">
        <v>77</v>
      </c>
      <c r="T14" s="255">
        <v>2541415.9637820511</v>
      </c>
      <c r="U14" s="251">
        <v>55</v>
      </c>
      <c r="V14" s="255">
        <v>2072196.3280769233</v>
      </c>
      <c r="W14" s="251">
        <v>46</v>
      </c>
      <c r="X14" s="255">
        <v>1732803.5077564099</v>
      </c>
      <c r="Y14" s="251">
        <v>46</v>
      </c>
      <c r="Z14" s="255">
        <v>1933609.1154487177</v>
      </c>
      <c r="AA14" s="251">
        <v>34</v>
      </c>
      <c r="AB14" s="255">
        <v>1292778.3963461537</v>
      </c>
      <c r="AC14" s="251">
        <v>30</v>
      </c>
      <c r="AD14" s="255">
        <v>1059744.3989102563</v>
      </c>
      <c r="AE14" s="251">
        <v>30</v>
      </c>
      <c r="AF14" s="255">
        <v>1056202.5721794872</v>
      </c>
      <c r="AG14" s="251">
        <v>30</v>
      </c>
      <c r="AH14" s="255">
        <v>1120433.9264102564</v>
      </c>
      <c r="AI14" s="251">
        <v>31</v>
      </c>
      <c r="AJ14" s="255">
        <v>1024855.7830769231</v>
      </c>
      <c r="AK14" s="251">
        <v>25</v>
      </c>
      <c r="AL14" s="255">
        <v>847547.22096153849</v>
      </c>
      <c r="AM14" s="251">
        <v>27</v>
      </c>
      <c r="AN14" s="255">
        <v>1020781.3342307691</v>
      </c>
      <c r="AO14" s="251">
        <v>28</v>
      </c>
      <c r="AP14" s="255">
        <v>978646.14974358957</v>
      </c>
      <c r="AQ14" s="251">
        <v>31</v>
      </c>
      <c r="AR14" s="255">
        <v>1015279.4673076923</v>
      </c>
      <c r="AS14" s="251">
        <v>28</v>
      </c>
      <c r="AT14" s="255">
        <v>979834.86833333317</v>
      </c>
      <c r="AU14" s="251">
        <v>18</v>
      </c>
      <c r="AV14" s="255">
        <v>475980.19410256407</v>
      </c>
      <c r="AW14" s="251">
        <v>19</v>
      </c>
      <c r="AX14" s="255">
        <v>551992.95147435891</v>
      </c>
      <c r="AY14" s="251">
        <v>15</v>
      </c>
      <c r="AZ14" s="255">
        <v>510051.90677264787</v>
      </c>
      <c r="BA14" s="251">
        <v>25</v>
      </c>
      <c r="BB14" s="255">
        <v>781814.13483475475</v>
      </c>
      <c r="BC14" s="251">
        <v>27</v>
      </c>
      <c r="BD14" s="255">
        <v>751936.77288461535</v>
      </c>
      <c r="BE14" s="251">
        <v>27</v>
      </c>
      <c r="BF14" s="255">
        <v>748581.27493589756</v>
      </c>
      <c r="BG14" s="251">
        <v>25</v>
      </c>
      <c r="BH14" s="255">
        <v>725339.12019230763</v>
      </c>
      <c r="BI14" s="251">
        <v>25</v>
      </c>
      <c r="BJ14" s="255">
        <v>646147.76756410254</v>
      </c>
      <c r="BK14" s="251">
        <v>27</v>
      </c>
      <c r="BL14" s="255">
        <v>841345.18179487181</v>
      </c>
      <c r="BM14" s="251">
        <v>28</v>
      </c>
      <c r="BN14" s="255">
        <v>773734.45852564101</v>
      </c>
      <c r="BO14" s="251">
        <v>25</v>
      </c>
      <c r="BP14" s="255">
        <v>749801.0193589743</v>
      </c>
      <c r="BQ14" s="251">
        <v>21</v>
      </c>
      <c r="BR14" s="255">
        <v>605446.29935897444</v>
      </c>
      <c r="BS14" s="251">
        <v>21</v>
      </c>
      <c r="BT14" s="255">
        <v>647184.30935897445</v>
      </c>
      <c r="BU14" s="251">
        <v>22</v>
      </c>
      <c r="BV14" s="255">
        <v>594540.32910256414</v>
      </c>
      <c r="BW14" s="251">
        <v>20</v>
      </c>
      <c r="BX14" s="255">
        <v>715589.57692307699</v>
      </c>
      <c r="BY14" s="251">
        <v>0</v>
      </c>
      <c r="BZ14" s="255">
        <v>0</v>
      </c>
      <c r="CA14" s="251">
        <v>0</v>
      </c>
      <c r="CB14" s="255">
        <v>0</v>
      </c>
      <c r="CC14" s="251">
        <v>0</v>
      </c>
      <c r="CD14" s="255">
        <v>0</v>
      </c>
      <c r="CE14" s="251">
        <v>0</v>
      </c>
      <c r="CF14" s="255">
        <v>0</v>
      </c>
      <c r="CG14" s="251">
        <v>0</v>
      </c>
      <c r="CH14" s="255">
        <v>0</v>
      </c>
      <c r="CI14" s="251">
        <v>0</v>
      </c>
      <c r="CJ14" s="255">
        <v>0</v>
      </c>
      <c r="CK14" s="251">
        <v>0</v>
      </c>
      <c r="CL14" s="255">
        <v>0</v>
      </c>
      <c r="CM14" s="251">
        <v>0</v>
      </c>
      <c r="CN14" s="255">
        <v>0</v>
      </c>
      <c r="CO14" s="251">
        <v>0</v>
      </c>
      <c r="CP14" s="255">
        <v>0</v>
      </c>
      <c r="CQ14" s="251">
        <v>0</v>
      </c>
      <c r="CR14" s="255">
        <v>0</v>
      </c>
      <c r="CS14" s="251">
        <v>0</v>
      </c>
      <c r="CT14" s="255">
        <v>0</v>
      </c>
      <c r="CU14" s="251">
        <v>0</v>
      </c>
      <c r="CV14" s="255">
        <v>0</v>
      </c>
      <c r="CW14" s="251">
        <v>0</v>
      </c>
      <c r="CX14" s="255">
        <v>0</v>
      </c>
      <c r="CY14" s="251">
        <v>0</v>
      </c>
      <c r="CZ14" s="255">
        <v>0</v>
      </c>
      <c r="DA14" s="251">
        <v>0</v>
      </c>
      <c r="DB14" s="255">
        <v>0</v>
      </c>
      <c r="DC14" s="251">
        <v>0</v>
      </c>
      <c r="DD14" s="255">
        <v>0</v>
      </c>
      <c r="DE14" s="251">
        <v>0</v>
      </c>
      <c r="DF14" s="255">
        <v>0</v>
      </c>
      <c r="DG14" s="251">
        <v>0</v>
      </c>
      <c r="DH14" s="255">
        <v>0</v>
      </c>
      <c r="DI14" s="251">
        <v>0</v>
      </c>
      <c r="DJ14" s="255">
        <v>0</v>
      </c>
      <c r="DK14" s="251">
        <v>0</v>
      </c>
      <c r="DL14" s="255">
        <v>0</v>
      </c>
      <c r="DM14" s="251">
        <v>0</v>
      </c>
      <c r="DN14" s="255">
        <v>0</v>
      </c>
      <c r="DO14" s="251">
        <v>0</v>
      </c>
      <c r="DP14" s="255">
        <v>0</v>
      </c>
      <c r="DQ14" s="251">
        <v>0</v>
      </c>
      <c r="DR14" s="255">
        <v>0</v>
      </c>
      <c r="DU14" s="256">
        <v>0</v>
      </c>
      <c r="DV14" s="255">
        <v>0</v>
      </c>
      <c r="DW14" s="256">
        <v>0</v>
      </c>
      <c r="DX14" s="255">
        <v>0</v>
      </c>
      <c r="DY14" s="256">
        <v>0</v>
      </c>
      <c r="DZ14" s="255">
        <v>0</v>
      </c>
      <c r="EA14" s="256">
        <v>0</v>
      </c>
      <c r="EB14" s="255">
        <v>0</v>
      </c>
      <c r="EC14" s="256">
        <v>0</v>
      </c>
      <c r="ED14" s="255">
        <v>0</v>
      </c>
      <c r="EE14" s="256">
        <v>0</v>
      </c>
      <c r="EF14" s="255">
        <v>0</v>
      </c>
      <c r="EG14" s="256">
        <v>0</v>
      </c>
      <c r="EH14" s="255">
        <v>0</v>
      </c>
      <c r="EI14" s="256">
        <v>0</v>
      </c>
      <c r="EJ14" s="255">
        <v>0</v>
      </c>
      <c r="EK14" s="256">
        <v>0</v>
      </c>
      <c r="EL14" s="255">
        <v>0</v>
      </c>
      <c r="EM14" s="256">
        <v>0</v>
      </c>
      <c r="EN14" s="255">
        <v>0</v>
      </c>
      <c r="EO14" s="256">
        <v>0</v>
      </c>
      <c r="EP14" s="255">
        <v>0</v>
      </c>
      <c r="EQ14" s="256">
        <v>0</v>
      </c>
      <c r="ER14" s="255">
        <v>0</v>
      </c>
      <c r="ET14" s="257"/>
      <c r="EU14" s="257"/>
    </row>
    <row r="15" spans="1:155" x14ac:dyDescent="0.2">
      <c r="B15" s="258" t="s">
        <v>433</v>
      </c>
      <c r="C15" s="259"/>
      <c r="D15" s="252"/>
      <c r="E15" s="259"/>
      <c r="F15" s="252"/>
      <c r="G15" s="259"/>
      <c r="H15" s="252"/>
      <c r="I15" s="259"/>
      <c r="J15" s="252"/>
      <c r="K15" s="260"/>
      <c r="L15" s="261"/>
      <c r="M15" s="251"/>
      <c r="N15" s="252"/>
      <c r="O15" s="253"/>
      <c r="P15" s="252"/>
      <c r="Q15" s="251"/>
      <c r="R15" s="255"/>
      <c r="S15" s="251"/>
      <c r="T15" s="255"/>
      <c r="U15" s="251"/>
      <c r="V15" s="255"/>
      <c r="W15" s="251"/>
      <c r="X15" s="255"/>
      <c r="Y15" s="251"/>
      <c r="Z15" s="255"/>
      <c r="AA15" s="251"/>
      <c r="AB15" s="255"/>
      <c r="AC15" s="251"/>
      <c r="AD15" s="255"/>
      <c r="AE15" s="251"/>
      <c r="AF15" s="255"/>
      <c r="AG15" s="251"/>
      <c r="AH15" s="255"/>
      <c r="AI15" s="251"/>
      <c r="AJ15" s="255"/>
      <c r="AK15" s="251"/>
      <c r="AL15" s="255"/>
      <c r="AM15" s="251"/>
      <c r="AN15" s="255"/>
      <c r="AO15" s="251"/>
      <c r="AP15" s="255"/>
      <c r="AQ15" s="251"/>
      <c r="AR15" s="255"/>
      <c r="AS15" s="251"/>
      <c r="AT15" s="255"/>
      <c r="AU15" s="251">
        <v>8</v>
      </c>
      <c r="AV15" s="255">
        <v>434304.26820512826</v>
      </c>
      <c r="AW15" s="251">
        <v>7</v>
      </c>
      <c r="AX15" s="255">
        <v>494393.98615384614</v>
      </c>
      <c r="AY15" s="251">
        <v>6</v>
      </c>
      <c r="AZ15" s="255">
        <v>389650.3376449566</v>
      </c>
      <c r="BA15" s="251">
        <v>3</v>
      </c>
      <c r="BB15" s="255">
        <v>278650.77007247834</v>
      </c>
      <c r="BC15" s="251">
        <v>3</v>
      </c>
      <c r="BD15" s="255">
        <v>268994.38339743594</v>
      </c>
      <c r="BE15" s="251">
        <v>2</v>
      </c>
      <c r="BF15" s="255">
        <v>266901.05224358977</v>
      </c>
      <c r="BG15" s="251">
        <v>2</v>
      </c>
      <c r="BH15" s="255">
        <v>238901.05224358977</v>
      </c>
      <c r="BI15" s="251">
        <v>2</v>
      </c>
      <c r="BJ15" s="255">
        <v>263501.05224358977</v>
      </c>
      <c r="BK15" s="251">
        <v>2</v>
      </c>
      <c r="BL15" s="255">
        <v>254145.65224358975</v>
      </c>
      <c r="BM15" s="251">
        <v>0</v>
      </c>
      <c r="BN15" s="255">
        <v>0</v>
      </c>
      <c r="BO15" s="251">
        <v>0</v>
      </c>
      <c r="BP15" s="255">
        <v>0</v>
      </c>
      <c r="BQ15" s="251">
        <v>0</v>
      </c>
      <c r="BR15" s="255">
        <v>0</v>
      </c>
      <c r="BS15" s="251">
        <v>0</v>
      </c>
      <c r="BT15" s="255">
        <v>0</v>
      </c>
      <c r="BU15" s="251">
        <v>0</v>
      </c>
      <c r="BV15" s="255">
        <v>0</v>
      </c>
      <c r="BW15" s="251">
        <v>0</v>
      </c>
      <c r="BX15" s="255">
        <v>0</v>
      </c>
      <c r="BY15" s="251">
        <v>0</v>
      </c>
      <c r="BZ15" s="255">
        <v>0</v>
      </c>
      <c r="CA15" s="251">
        <v>0</v>
      </c>
      <c r="CB15" s="255">
        <v>0</v>
      </c>
      <c r="CC15" s="251">
        <v>0</v>
      </c>
      <c r="CD15" s="255">
        <v>0</v>
      </c>
      <c r="CE15" s="251">
        <v>0</v>
      </c>
      <c r="CF15" s="255">
        <v>0</v>
      </c>
      <c r="CG15" s="251">
        <v>0</v>
      </c>
      <c r="CH15" s="255">
        <v>0</v>
      </c>
      <c r="CI15" s="251">
        <v>0</v>
      </c>
      <c r="CJ15" s="255">
        <v>0</v>
      </c>
      <c r="CK15" s="251">
        <v>0</v>
      </c>
      <c r="CL15" s="255">
        <v>0</v>
      </c>
      <c r="CM15" s="251">
        <v>0</v>
      </c>
      <c r="CN15" s="255">
        <v>0</v>
      </c>
      <c r="CO15" s="251">
        <v>0</v>
      </c>
      <c r="CP15" s="255">
        <v>0</v>
      </c>
      <c r="CQ15" s="251">
        <v>0</v>
      </c>
      <c r="CR15" s="255">
        <v>0</v>
      </c>
      <c r="CS15" s="251">
        <v>0</v>
      </c>
      <c r="CT15" s="255">
        <v>0</v>
      </c>
      <c r="CU15" s="251">
        <v>0</v>
      </c>
      <c r="CV15" s="255">
        <v>0</v>
      </c>
      <c r="CW15" s="251">
        <v>0</v>
      </c>
      <c r="CX15" s="255">
        <v>0</v>
      </c>
      <c r="CY15" s="251">
        <v>0</v>
      </c>
      <c r="CZ15" s="255">
        <v>0</v>
      </c>
      <c r="DA15" s="251">
        <v>0</v>
      </c>
      <c r="DB15" s="255">
        <v>0</v>
      </c>
      <c r="DC15" s="251">
        <v>0</v>
      </c>
      <c r="DD15" s="255">
        <v>0</v>
      </c>
      <c r="DE15" s="251">
        <v>0</v>
      </c>
      <c r="DF15" s="255">
        <v>0</v>
      </c>
      <c r="DG15" s="251">
        <v>0</v>
      </c>
      <c r="DH15" s="255">
        <v>0</v>
      </c>
      <c r="DI15" s="251">
        <v>0</v>
      </c>
      <c r="DJ15" s="255">
        <v>0</v>
      </c>
      <c r="DK15" s="251">
        <v>0</v>
      </c>
      <c r="DL15" s="255">
        <v>0</v>
      </c>
      <c r="DM15" s="251">
        <v>0</v>
      </c>
      <c r="DN15" s="255">
        <v>0</v>
      </c>
      <c r="DO15" s="251">
        <v>0</v>
      </c>
      <c r="DP15" s="255">
        <v>0</v>
      </c>
      <c r="DQ15" s="251">
        <v>5</v>
      </c>
      <c r="DR15" s="255">
        <v>122527.05076923079</v>
      </c>
      <c r="DU15" s="256">
        <v>0</v>
      </c>
      <c r="DV15" s="255">
        <v>0</v>
      </c>
      <c r="DW15" s="256">
        <v>0</v>
      </c>
      <c r="DX15" s="255">
        <v>0</v>
      </c>
      <c r="DY15" s="256">
        <v>0</v>
      </c>
      <c r="DZ15" s="255">
        <v>0</v>
      </c>
      <c r="EA15" s="256">
        <v>0</v>
      </c>
      <c r="EB15" s="255">
        <v>0</v>
      </c>
      <c r="EC15" s="256">
        <v>0</v>
      </c>
      <c r="ED15" s="255">
        <v>0</v>
      </c>
      <c r="EE15" s="256">
        <v>0</v>
      </c>
      <c r="EF15" s="255">
        <v>0</v>
      </c>
      <c r="EG15" s="256">
        <v>0</v>
      </c>
      <c r="EH15" s="255">
        <v>0</v>
      </c>
      <c r="EI15" s="256">
        <v>0</v>
      </c>
      <c r="EJ15" s="255">
        <v>0</v>
      </c>
      <c r="EK15" s="256">
        <v>0</v>
      </c>
      <c r="EL15" s="255">
        <v>0</v>
      </c>
      <c r="EM15" s="256">
        <v>0</v>
      </c>
      <c r="EN15" s="255">
        <v>0</v>
      </c>
      <c r="EO15" s="256">
        <v>0</v>
      </c>
      <c r="EP15" s="255">
        <v>0</v>
      </c>
      <c r="EQ15" s="256">
        <v>0</v>
      </c>
      <c r="ER15" s="255">
        <v>0</v>
      </c>
      <c r="ET15" s="257"/>
      <c r="EU15" s="257"/>
    </row>
    <row r="16" spans="1:155" x14ac:dyDescent="0.2">
      <c r="A16" s="236">
        <v>1</v>
      </c>
      <c r="B16" s="258" t="s">
        <v>434</v>
      </c>
      <c r="C16" s="259">
        <v>13</v>
      </c>
      <c r="D16" s="252">
        <v>6545068.701987179</v>
      </c>
      <c r="E16" s="259">
        <v>13</v>
      </c>
      <c r="F16" s="252">
        <v>6395068.701987179</v>
      </c>
      <c r="G16" s="259">
        <v>13</v>
      </c>
      <c r="H16" s="252">
        <v>6020201.5121794874</v>
      </c>
      <c r="I16" s="259">
        <v>14</v>
      </c>
      <c r="J16" s="252">
        <v>6692206.9175641024</v>
      </c>
      <c r="K16" s="260">
        <v>13</v>
      </c>
      <c r="L16" s="261">
        <v>6340055.7551709404</v>
      </c>
      <c r="M16" s="251">
        <v>13</v>
      </c>
      <c r="N16" s="252">
        <v>6971167.5329487184</v>
      </c>
      <c r="O16" s="253">
        <v>13</v>
      </c>
      <c r="P16" s="252">
        <v>6617833.5329487184</v>
      </c>
      <c r="Q16" s="251">
        <v>12</v>
      </c>
      <c r="R16" s="255">
        <v>5977128.7252564104</v>
      </c>
      <c r="S16" s="251">
        <v>13</v>
      </c>
      <c r="T16" s="255">
        <v>5767783.5329487184</v>
      </c>
      <c r="U16" s="251">
        <v>13</v>
      </c>
      <c r="V16" s="255">
        <v>6736976.4560256405</v>
      </c>
      <c r="W16" s="251">
        <v>12</v>
      </c>
      <c r="X16" s="255">
        <v>6884408.448653846</v>
      </c>
      <c r="Y16" s="251">
        <v>12</v>
      </c>
      <c r="Z16" s="255">
        <v>6973033.948653847</v>
      </c>
      <c r="AA16" s="251">
        <v>13</v>
      </c>
      <c r="AB16" s="255">
        <v>8239006.9998717997</v>
      </c>
      <c r="AC16" s="251">
        <v>14</v>
      </c>
      <c r="AD16" s="255">
        <v>8718636.999871796</v>
      </c>
      <c r="AE16" s="251">
        <v>14</v>
      </c>
      <c r="AF16" s="255">
        <v>8650717.5241025649</v>
      </c>
      <c r="AG16" s="251">
        <v>14</v>
      </c>
      <c r="AH16" s="255">
        <v>11338399.051666666</v>
      </c>
      <c r="AI16" s="251">
        <f>15-5</f>
        <v>10</v>
      </c>
      <c r="AJ16" s="255">
        <f>9510166.80602564-382596-2360855</f>
        <v>6766715.8060256392</v>
      </c>
      <c r="AK16" s="251">
        <f>16-5</f>
        <v>11</v>
      </c>
      <c r="AL16" s="255">
        <f>10264858.3060256-382596-2360855</f>
        <v>7521407.3060256001</v>
      </c>
      <c r="AM16" s="251">
        <v>11</v>
      </c>
      <c r="AN16" s="255">
        <v>7873937.6167307692</v>
      </c>
      <c r="AO16" s="251">
        <v>11</v>
      </c>
      <c r="AP16" s="255">
        <v>8170126.0782692302</v>
      </c>
      <c r="AQ16" s="251">
        <v>11</v>
      </c>
      <c r="AR16" s="255">
        <v>7670126.0782692302</v>
      </c>
      <c r="AS16" s="251">
        <v>11</v>
      </c>
      <c r="AT16" s="255">
        <f>6325961.5349359+552375+382468+509665</f>
        <v>7770469.5349359</v>
      </c>
      <c r="AU16" s="251">
        <f>8+1+1+1</f>
        <v>11</v>
      </c>
      <c r="AV16" s="255">
        <f>6233461.5349359+509665+552375+382468</f>
        <v>7677969.5349359</v>
      </c>
      <c r="AW16" s="251">
        <v>11</v>
      </c>
      <c r="AX16" s="255">
        <v>7677970.5349358972</v>
      </c>
      <c r="AY16" s="251">
        <v>8</v>
      </c>
      <c r="AZ16" s="255">
        <f>6457565.44596251+1680000</f>
        <v>8137565.4459625101</v>
      </c>
      <c r="BA16" s="251">
        <v>8</v>
      </c>
      <c r="BB16" s="255">
        <f>8937565.44596251-320000</f>
        <v>8617565.4459625091</v>
      </c>
      <c r="BC16" s="251">
        <v>8</v>
      </c>
      <c r="BD16" s="255">
        <v>8617565.5708974358</v>
      </c>
      <c r="BE16" s="251">
        <v>8</v>
      </c>
      <c r="BF16" s="255">
        <v>8617661.5708974358</v>
      </c>
      <c r="BG16" s="251">
        <v>8</v>
      </c>
      <c r="BH16" s="255">
        <v>8617661.5708974358</v>
      </c>
      <c r="BI16" s="251">
        <v>8</v>
      </c>
      <c r="BJ16" s="255">
        <v>8617661.5708974358</v>
      </c>
      <c r="BK16" s="251">
        <v>8</v>
      </c>
      <c r="BL16" s="255">
        <f>9453639.97089744-835000</f>
        <v>8618639.9708974399</v>
      </c>
      <c r="BM16" s="251">
        <v>8</v>
      </c>
      <c r="BN16" s="255">
        <v>8618639.9708974361</v>
      </c>
      <c r="BO16" s="251">
        <v>8</v>
      </c>
      <c r="BP16" s="255">
        <v>8618639.9708974361</v>
      </c>
      <c r="BQ16" s="251">
        <v>8</v>
      </c>
      <c r="BR16" s="255">
        <v>8610795.5142307691</v>
      </c>
      <c r="BS16" s="251">
        <v>8</v>
      </c>
      <c r="BT16" s="255">
        <f>8675795.51423077-2160000-65000+500000</f>
        <v>6950795.5142307691</v>
      </c>
      <c r="BU16" s="251">
        <v>8</v>
      </c>
      <c r="BV16" s="255">
        <v>8610795.5142307691</v>
      </c>
      <c r="BW16" s="251">
        <f>9-1</f>
        <v>8</v>
      </c>
      <c r="BX16" s="255">
        <f>10544058.5520513-893068-500000</f>
        <v>9150990.5520513002</v>
      </c>
      <c r="BY16" s="251">
        <v>8</v>
      </c>
      <c r="BZ16" s="255">
        <v>9650990.8055128213</v>
      </c>
      <c r="CA16" s="251">
        <v>8</v>
      </c>
      <c r="CB16" s="255">
        <v>9650990.8055128213</v>
      </c>
      <c r="CC16" s="251">
        <v>8</v>
      </c>
      <c r="CD16" s="255">
        <f>9650990.80551282-160000</f>
        <v>9490990.8055128194</v>
      </c>
      <c r="CE16" s="251">
        <v>8</v>
      </c>
      <c r="CF16" s="255">
        <v>9650990.8055128213</v>
      </c>
      <c r="CG16" s="251">
        <v>8</v>
      </c>
      <c r="CH16" s="255">
        <v>9650990.8055128213</v>
      </c>
      <c r="CI16" s="251">
        <v>8</v>
      </c>
      <c r="CJ16" s="255">
        <f>9650990.80551282+500000</f>
        <v>10150990.805512819</v>
      </c>
      <c r="CK16" s="251">
        <v>8</v>
      </c>
      <c r="CL16" s="255">
        <v>9630359.5946794879</v>
      </c>
      <c r="CM16" s="251">
        <v>8</v>
      </c>
      <c r="CN16" s="255">
        <f>9630359.59467949+200000</f>
        <v>9830359.5946794897</v>
      </c>
      <c r="CO16" s="251">
        <v>8</v>
      </c>
      <c r="CP16" s="255">
        <v>9630359.594679486</v>
      </c>
      <c r="CQ16" s="251">
        <v>8</v>
      </c>
      <c r="CR16" s="255">
        <v>9544203.1331410259</v>
      </c>
      <c r="CS16" s="251">
        <v>8</v>
      </c>
      <c r="CT16" s="255">
        <f>9630407.59467949+1800000</f>
        <v>11430407.59467949</v>
      </c>
      <c r="CU16" s="251">
        <v>8</v>
      </c>
      <c r="CV16" s="255">
        <f>11218850.5946795+300000</f>
        <v>11518850.594679501</v>
      </c>
      <c r="CW16" s="251">
        <v>8</v>
      </c>
      <c r="CX16" s="255">
        <f>10999933.5946795+800000</f>
        <v>11799933.594679501</v>
      </c>
      <c r="CY16" s="251">
        <v>8</v>
      </c>
      <c r="CZ16" s="255">
        <v>11799933.594679501</v>
      </c>
      <c r="DA16" s="251">
        <v>7</v>
      </c>
      <c r="DB16" s="255">
        <f>10036571.6747436+800000</f>
        <v>10836571.6747436</v>
      </c>
      <c r="DC16" s="251">
        <v>6</v>
      </c>
      <c r="DD16" s="255">
        <v>9076281.8769230787</v>
      </c>
      <c r="DE16" s="251">
        <v>6</v>
      </c>
      <c r="DF16" s="255">
        <f>9076281.87692308+600000</f>
        <v>9676281.8769230805</v>
      </c>
      <c r="DG16" s="251">
        <v>6</v>
      </c>
      <c r="DH16" s="255">
        <f>8940785.87692308+500000+1500000</f>
        <v>10940785.876923081</v>
      </c>
      <c r="DI16" s="251">
        <v>6</v>
      </c>
      <c r="DJ16" s="255">
        <f>8940785.87692308+1800000</f>
        <v>10740785.876923081</v>
      </c>
      <c r="DK16" s="251">
        <v>6</v>
      </c>
      <c r="DL16" s="255">
        <f>8940785.87692308+900000</f>
        <v>9840785.8769230805</v>
      </c>
      <c r="DM16" s="251">
        <v>6</v>
      </c>
      <c r="DN16" s="255">
        <f>8940785.87692308+2000000</f>
        <v>10940785.876923081</v>
      </c>
      <c r="DO16" s="251">
        <v>6</v>
      </c>
      <c r="DP16" s="255">
        <f>8940785.87692308+2000000</f>
        <v>10940785.876923081</v>
      </c>
      <c r="DQ16" s="251">
        <v>6</v>
      </c>
      <c r="DR16" s="255">
        <f>7769650.87692308+6000000</f>
        <v>13769650.876923081</v>
      </c>
      <c r="DU16" s="256">
        <v>8.4069888524832592</v>
      </c>
      <c r="DV16" s="255">
        <v>10837231.882644026</v>
      </c>
      <c r="DW16" s="256">
        <v>8.4069888524832592</v>
      </c>
      <c r="DX16" s="255">
        <v>10837231.882644026</v>
      </c>
      <c r="DY16" s="256">
        <v>8.4069888524832592</v>
      </c>
      <c r="DZ16" s="255">
        <v>10837231.882644026</v>
      </c>
      <c r="EA16" s="256">
        <v>8.4069888524832592</v>
      </c>
      <c r="EB16" s="255">
        <v>10837231.882644026</v>
      </c>
      <c r="EC16" s="256">
        <v>8.4069888524832592</v>
      </c>
      <c r="ED16" s="255">
        <v>10837231.882644026</v>
      </c>
      <c r="EE16" s="256">
        <v>8.4069888524832592</v>
      </c>
      <c r="EF16" s="255">
        <v>10837231.882644026</v>
      </c>
      <c r="EG16" s="256">
        <v>8.4069888524832592</v>
      </c>
      <c r="EH16" s="255">
        <v>10837231.882644026</v>
      </c>
      <c r="EI16" s="256">
        <v>8.4069888524832592</v>
      </c>
      <c r="EJ16" s="255">
        <v>10837231.882644026</v>
      </c>
      <c r="EK16" s="256">
        <v>8.4069888524832592</v>
      </c>
      <c r="EL16" s="255">
        <v>10837231.882644026</v>
      </c>
      <c r="EM16" s="256">
        <v>8.4069888524832592</v>
      </c>
      <c r="EN16" s="255">
        <v>10837231.882644026</v>
      </c>
      <c r="EO16" s="256">
        <v>8.4069888524832592</v>
      </c>
      <c r="EP16" s="255">
        <v>10837231.882644026</v>
      </c>
      <c r="EQ16" s="256">
        <v>8.4069888524832592</v>
      </c>
      <c r="ER16" s="255">
        <v>10837231.882644026</v>
      </c>
      <c r="ET16" s="257"/>
      <c r="EU16" s="257"/>
    </row>
    <row r="17" spans="1:153" x14ac:dyDescent="0.2">
      <c r="A17" s="236">
        <v>1</v>
      </c>
      <c r="B17" s="258" t="s">
        <v>161</v>
      </c>
      <c r="C17" s="259">
        <v>10</v>
      </c>
      <c r="D17" s="252">
        <v>764266.23076923087</v>
      </c>
      <c r="E17" s="259">
        <v>12</v>
      </c>
      <c r="F17" s="252">
        <v>878525.65115384618</v>
      </c>
      <c r="G17" s="259">
        <v>13</v>
      </c>
      <c r="H17" s="252">
        <v>1087807.215128205</v>
      </c>
      <c r="I17" s="259">
        <v>15</v>
      </c>
      <c r="J17" s="252">
        <v>923542.4639102564</v>
      </c>
      <c r="K17" s="260">
        <v>15</v>
      </c>
      <c r="L17" s="261">
        <v>1049173.3302350426</v>
      </c>
      <c r="M17" s="251">
        <v>14</v>
      </c>
      <c r="N17" s="252">
        <v>1199317.0951923076</v>
      </c>
      <c r="O17" s="253">
        <v>15</v>
      </c>
      <c r="P17" s="252">
        <v>1106940.5951923076</v>
      </c>
      <c r="Q17" s="251">
        <v>16</v>
      </c>
      <c r="R17" s="255">
        <v>1158314.6785256411</v>
      </c>
      <c r="S17" s="251">
        <v>17</v>
      </c>
      <c r="T17" s="255">
        <v>1317163.8708333333</v>
      </c>
      <c r="U17" s="251">
        <v>20</v>
      </c>
      <c r="V17" s="255">
        <v>1410467.5326923078</v>
      </c>
      <c r="W17" s="251">
        <v>21</v>
      </c>
      <c r="X17" s="255">
        <v>1318664.1690384618</v>
      </c>
      <c r="Y17" s="251">
        <v>27</v>
      </c>
      <c r="Z17" s="255">
        <v>2241527.4484615382</v>
      </c>
      <c r="AA17" s="251">
        <v>31</v>
      </c>
      <c r="AB17" s="255">
        <v>2433387.6101923077</v>
      </c>
      <c r="AC17" s="251">
        <v>32</v>
      </c>
      <c r="AD17" s="255">
        <v>2340928.9269871791</v>
      </c>
      <c r="AE17" s="251">
        <v>32</v>
      </c>
      <c r="AF17" s="255">
        <v>2693719.7176923081</v>
      </c>
      <c r="AG17" s="251">
        <v>32</v>
      </c>
      <c r="AH17" s="255">
        <v>2388886.2422435889</v>
      </c>
      <c r="AI17" s="251">
        <v>33</v>
      </c>
      <c r="AJ17" s="255">
        <v>2569296.6044871793</v>
      </c>
      <c r="AK17" s="251">
        <v>35</v>
      </c>
      <c r="AL17" s="255">
        <v>3023094.3582051289</v>
      </c>
      <c r="AM17" s="251">
        <v>35</v>
      </c>
      <c r="AN17" s="255">
        <v>3628842.8786538467</v>
      </c>
      <c r="AO17" s="251">
        <v>35</v>
      </c>
      <c r="AP17" s="255">
        <v>3006388.8401923082</v>
      </c>
      <c r="AQ17" s="251">
        <v>33</v>
      </c>
      <c r="AR17" s="255">
        <f>3092258.49403846-292275</f>
        <v>2799983.4940384598</v>
      </c>
      <c r="AS17" s="251">
        <f>35-2</f>
        <v>33</v>
      </c>
      <c r="AT17" s="255">
        <f>2876356.27987179-292275</f>
        <v>2584081.2798717902</v>
      </c>
      <c r="AU17" s="251">
        <v>33</v>
      </c>
      <c r="AV17" s="255">
        <v>2525178.5302564111</v>
      </c>
      <c r="AW17" s="251">
        <v>30</v>
      </c>
      <c r="AX17" s="255">
        <v>2987689.8704487178</v>
      </c>
      <c r="AY17" s="251">
        <v>26</v>
      </c>
      <c r="AZ17" s="255">
        <f>2553312.08844866+86000+50000</f>
        <v>2689312.08844866</v>
      </c>
      <c r="BA17" s="251">
        <v>25</v>
      </c>
      <c r="BB17" s="255">
        <v>2389310.6191916615</v>
      </c>
      <c r="BC17" s="251">
        <v>22</v>
      </c>
      <c r="BD17" s="255">
        <v>2246337.8841025643</v>
      </c>
      <c r="BE17" s="251">
        <v>22</v>
      </c>
      <c r="BF17" s="255">
        <v>2237882.1744251451</v>
      </c>
      <c r="BG17" s="251">
        <v>22</v>
      </c>
      <c r="BH17" s="255">
        <f>2139913.35597601+80710</f>
        <v>2220623.3559760102</v>
      </c>
      <c r="BI17" s="251">
        <v>25</v>
      </c>
      <c r="BJ17" s="255">
        <f>2358960.15507858+65200</f>
        <v>2424160.1550785801</v>
      </c>
      <c r="BK17" s="251">
        <v>25</v>
      </c>
      <c r="BL17" s="255">
        <f>2383441.79995037+34000</f>
        <v>2417441.7999503701</v>
      </c>
      <c r="BM17" s="251">
        <v>23</v>
      </c>
      <c r="BN17" s="255">
        <v>2008005.5692307693</v>
      </c>
      <c r="BO17" s="251">
        <v>21</v>
      </c>
      <c r="BP17" s="255">
        <v>1889071.8578205127</v>
      </c>
      <c r="BQ17" s="251">
        <v>19</v>
      </c>
      <c r="BR17" s="255">
        <v>1826327.5751282051</v>
      </c>
      <c r="BS17" s="251">
        <v>19</v>
      </c>
      <c r="BT17" s="255">
        <f>1696904.84666667+59655-50000</f>
        <v>1706559.8466666699</v>
      </c>
      <c r="BU17" s="251">
        <v>20</v>
      </c>
      <c r="BV17" s="255">
        <f>1710520.27179487+46065</f>
        <v>1756585.27179487</v>
      </c>
      <c r="BW17" s="251">
        <v>19</v>
      </c>
      <c r="BX17" s="255">
        <v>2151818.274038462</v>
      </c>
      <c r="BY17" s="251">
        <v>19</v>
      </c>
      <c r="BZ17" s="255">
        <f>1955137.23557692+94418+6129</f>
        <v>2055684.23557692</v>
      </c>
      <c r="CA17" s="251">
        <v>21</v>
      </c>
      <c r="CB17" s="255">
        <v>2125043.9667948722</v>
      </c>
      <c r="CC17" s="251">
        <v>21</v>
      </c>
      <c r="CD17" s="255">
        <f>2306746.64326923+68341+37032</f>
        <v>2412119.6432692301</v>
      </c>
      <c r="CE17" s="251">
        <v>23</v>
      </c>
      <c r="CF17" s="255">
        <v>2369357.3406410259</v>
      </c>
      <c r="CG17" s="251">
        <v>24</v>
      </c>
      <c r="CH17" s="255">
        <f>2897687.90525641+94000</f>
        <v>2991687.9052564101</v>
      </c>
      <c r="CI17" s="251">
        <v>24</v>
      </c>
      <c r="CJ17" s="255">
        <f>3275835.03801075+68399</f>
        <v>3344234.03801075</v>
      </c>
      <c r="CK17" s="251">
        <v>24</v>
      </c>
      <c r="CL17" s="255">
        <f>3133590.06365385+62600+37467</f>
        <v>3233657.06365385</v>
      </c>
      <c r="CM17" s="251">
        <v>24</v>
      </c>
      <c r="CN17" s="255">
        <v>3278223.5160897444</v>
      </c>
      <c r="CO17" s="251">
        <v>24</v>
      </c>
      <c r="CP17" s="255">
        <f>3368828.40525641+76871</f>
        <v>3445699.4052564101</v>
      </c>
      <c r="CQ17" s="251">
        <v>25</v>
      </c>
      <c r="CR17" s="255">
        <v>3120923.192435897</v>
      </c>
      <c r="CS17" s="251">
        <v>24</v>
      </c>
      <c r="CT17" s="255">
        <f>2988379.54833333+9675+58935</f>
        <v>3056989.5483333301</v>
      </c>
      <c r="CU17" s="251">
        <v>23</v>
      </c>
      <c r="CV17" s="255">
        <v>3507427.0082051284</v>
      </c>
      <c r="CW17" s="251">
        <v>23</v>
      </c>
      <c r="CX17" s="255">
        <f>3195810.63641026+39107</f>
        <v>3234917.6364102601</v>
      </c>
      <c r="CY17" s="251">
        <v>24</v>
      </c>
      <c r="CZ17" s="255">
        <v>3355068.9364102562</v>
      </c>
      <c r="DA17" s="251">
        <v>24</v>
      </c>
      <c r="DB17" s="255">
        <v>3389034.3027564101</v>
      </c>
      <c r="DC17" s="251">
        <v>24</v>
      </c>
      <c r="DD17" s="255">
        <v>3427384.6088358145</v>
      </c>
      <c r="DE17" s="251">
        <f>24+1</f>
        <v>25</v>
      </c>
      <c r="DF17" s="255">
        <f>2491931.91025641+987948</f>
        <v>3479879.91025641</v>
      </c>
      <c r="DG17" s="251">
        <v>21</v>
      </c>
      <c r="DH17" s="255">
        <v>2020230.4629487181</v>
      </c>
      <c r="DI17" s="251">
        <v>21</v>
      </c>
      <c r="DJ17" s="255">
        <v>1874433.8979487179</v>
      </c>
      <c r="DK17" s="251">
        <v>23</v>
      </c>
      <c r="DL17" s="255">
        <v>1970379.7048717947</v>
      </c>
      <c r="DM17" s="251">
        <v>24</v>
      </c>
      <c r="DN17" s="255">
        <v>2182630.9932051282</v>
      </c>
      <c r="DO17" s="251">
        <v>23</v>
      </c>
      <c r="DP17" s="255">
        <v>1874943.0227564101</v>
      </c>
      <c r="DQ17" s="251">
        <v>23</v>
      </c>
      <c r="DR17" s="255">
        <v>1996987.4977564102</v>
      </c>
      <c r="DU17" s="256">
        <v>25.557248713777284</v>
      </c>
      <c r="DV17" s="255">
        <v>3669061.6713012811</v>
      </c>
      <c r="DW17" s="256">
        <v>25.557248713777284</v>
      </c>
      <c r="DX17" s="255">
        <v>3669061.6713012811</v>
      </c>
      <c r="DY17" s="256">
        <v>25.557248713777284</v>
      </c>
      <c r="DZ17" s="255">
        <v>3669061.6713012811</v>
      </c>
      <c r="EA17" s="256">
        <v>25.557248713777284</v>
      </c>
      <c r="EB17" s="255">
        <v>3669061.6713012811</v>
      </c>
      <c r="EC17" s="256">
        <v>25.557248713777284</v>
      </c>
      <c r="ED17" s="255">
        <v>3669061.6713012811</v>
      </c>
      <c r="EE17" s="256">
        <v>25.557248713777284</v>
      </c>
      <c r="EF17" s="255">
        <v>3669061.6713012811</v>
      </c>
      <c r="EG17" s="256">
        <v>25.557248713777284</v>
      </c>
      <c r="EH17" s="255">
        <v>3669061.6713012811</v>
      </c>
      <c r="EI17" s="256">
        <v>25.557248713777284</v>
      </c>
      <c r="EJ17" s="255">
        <v>3669061.6713012811</v>
      </c>
      <c r="EK17" s="256">
        <v>25.557248713777284</v>
      </c>
      <c r="EL17" s="255">
        <v>3669061.6713012811</v>
      </c>
      <c r="EM17" s="256">
        <v>25.557248713777284</v>
      </c>
      <c r="EN17" s="255">
        <v>3669061.6713012811</v>
      </c>
      <c r="EO17" s="256">
        <v>25.557248713777284</v>
      </c>
      <c r="EP17" s="255">
        <v>3669061.6713012811</v>
      </c>
      <c r="EQ17" s="256">
        <v>25.557248713777284</v>
      </c>
      <c r="ER17" s="255">
        <v>3669061.6713012811</v>
      </c>
      <c r="ET17" s="257"/>
      <c r="EU17" s="257"/>
    </row>
    <row r="18" spans="1:153" x14ac:dyDescent="0.2">
      <c r="B18" s="258" t="s">
        <v>435</v>
      </c>
      <c r="C18" s="259">
        <v>28</v>
      </c>
      <c r="D18" s="252">
        <v>940816.56512820523</v>
      </c>
      <c r="E18" s="259">
        <v>36</v>
      </c>
      <c r="F18" s="252">
        <v>1095659.9633333334</v>
      </c>
      <c r="G18" s="259">
        <v>41</v>
      </c>
      <c r="H18" s="252">
        <v>1254363.3574999999</v>
      </c>
      <c r="I18" s="259">
        <v>26</v>
      </c>
      <c r="J18" s="252">
        <v>801394.13993589731</v>
      </c>
      <c r="K18" s="260">
        <v>34</v>
      </c>
      <c r="L18" s="261">
        <v>889579.67378205142</v>
      </c>
      <c r="M18" s="251">
        <v>34</v>
      </c>
      <c r="N18" s="252">
        <v>1041366.5423717949</v>
      </c>
      <c r="O18" s="253">
        <v>33</v>
      </c>
      <c r="P18" s="252">
        <v>1106492.0039102563</v>
      </c>
      <c r="Q18" s="251">
        <v>33</v>
      </c>
      <c r="R18" s="255">
        <v>961164.35903846147</v>
      </c>
      <c r="S18" s="251">
        <v>37</v>
      </c>
      <c r="T18" s="255">
        <v>1059122.6536538461</v>
      </c>
      <c r="U18" s="251">
        <v>29</v>
      </c>
      <c r="V18" s="255">
        <v>911665.88519230776</v>
      </c>
      <c r="W18" s="251">
        <v>29</v>
      </c>
      <c r="X18" s="255">
        <v>934821.33403846144</v>
      </c>
      <c r="Y18" s="251">
        <v>41</v>
      </c>
      <c r="Z18" s="255">
        <v>1622267.8375641024</v>
      </c>
      <c r="AA18" s="251">
        <v>47</v>
      </c>
      <c r="AB18" s="255">
        <v>1387480.2057692306</v>
      </c>
      <c r="AC18" s="251">
        <v>28</v>
      </c>
      <c r="AD18" s="255">
        <v>1058912.1269871795</v>
      </c>
      <c r="AE18" s="251">
        <v>27</v>
      </c>
      <c r="AF18" s="255">
        <v>990620.36352564115</v>
      </c>
      <c r="AG18" s="251">
        <v>19.5</v>
      </c>
      <c r="AH18" s="255">
        <v>689566.5766980449</v>
      </c>
      <c r="AI18" s="251">
        <v>19</v>
      </c>
      <c r="AJ18" s="255">
        <v>708317.92933303479</v>
      </c>
      <c r="AK18" s="251">
        <v>7</v>
      </c>
      <c r="AL18" s="255">
        <v>296994.34651862842</v>
      </c>
      <c r="AM18" s="251">
        <v>7</v>
      </c>
      <c r="AN18" s="255">
        <v>384120.49923045689</v>
      </c>
      <c r="AO18" s="251">
        <v>6</v>
      </c>
      <c r="AP18" s="255">
        <v>289527.25504980271</v>
      </c>
      <c r="AQ18" s="251">
        <v>6</v>
      </c>
      <c r="AR18" s="255">
        <v>286292.26085656835</v>
      </c>
      <c r="AS18" s="251">
        <v>6</v>
      </c>
      <c r="AT18" s="255">
        <v>270455.71921628097</v>
      </c>
      <c r="AU18" s="251">
        <v>6</v>
      </c>
      <c r="AV18" s="255">
        <v>289461.19711273123</v>
      </c>
      <c r="AW18" s="251">
        <v>6</v>
      </c>
      <c r="AX18" s="255">
        <v>282731.45255327644</v>
      </c>
      <c r="AY18" s="251">
        <v>72</v>
      </c>
      <c r="AZ18" s="255">
        <v>2435138.2531098109</v>
      </c>
      <c r="BA18" s="251">
        <v>72</v>
      </c>
      <c r="BB18" s="255">
        <v>2447700.371968694</v>
      </c>
      <c r="BC18" s="251">
        <v>64.478342514874981</v>
      </c>
      <c r="BD18" s="255">
        <v>1962918.1874498304</v>
      </c>
      <c r="BE18" s="251">
        <v>66</v>
      </c>
      <c r="BF18" s="255">
        <v>1987804.8429152875</v>
      </c>
      <c r="BG18" s="251">
        <f>16.2461996577321+49.25</f>
        <v>65.496199657732092</v>
      </c>
      <c r="BH18" s="255">
        <v>1968604.5465162401</v>
      </c>
      <c r="BI18" s="251">
        <v>65.49619965773212</v>
      </c>
      <c r="BJ18" s="255">
        <v>1949161.0606000549</v>
      </c>
      <c r="BK18" s="251">
        <v>65.778468794421826</v>
      </c>
      <c r="BL18" s="255">
        <v>2073985.2559305753</v>
      </c>
      <c r="BM18" s="251">
        <v>63</v>
      </c>
      <c r="BN18" s="255">
        <v>1973584.9460144571</v>
      </c>
      <c r="BO18" s="251">
        <v>66</v>
      </c>
      <c r="BP18" s="255">
        <v>2002506.4945782931</v>
      </c>
      <c r="BQ18" s="251">
        <v>67.05223786986933</v>
      </c>
      <c r="BR18" s="255">
        <v>1875405.9381322616</v>
      </c>
      <c r="BS18" s="251">
        <v>59</v>
      </c>
      <c r="BT18" s="255">
        <v>1744113.2564668041</v>
      </c>
      <c r="BU18" s="251">
        <v>52.837952155583622</v>
      </c>
      <c r="BV18" s="255">
        <v>1773102.5981320194</v>
      </c>
      <c r="BW18" s="251">
        <v>58.534380727012191</v>
      </c>
      <c r="BX18" s="255">
        <v>1796824.9790829034</v>
      </c>
      <c r="BY18" s="251">
        <v>58.534380727012191</v>
      </c>
      <c r="BZ18" s="255">
        <v>1846034.3663087313</v>
      </c>
      <c r="CA18" s="251">
        <v>58.534380727012191</v>
      </c>
      <c r="CB18" s="255">
        <v>1811756.3554371849</v>
      </c>
      <c r="CC18" s="251">
        <v>57.231961562052611</v>
      </c>
      <c r="CD18" s="255">
        <v>1810921.1255071354</v>
      </c>
      <c r="CE18" s="251">
        <v>52</v>
      </c>
      <c r="CF18" s="255">
        <v>1779447.4298054515</v>
      </c>
      <c r="CG18" s="251">
        <v>52</v>
      </c>
      <c r="CH18" s="255">
        <v>1840788.872733847</v>
      </c>
      <c r="CI18" s="251">
        <v>52</v>
      </c>
      <c r="CJ18" s="255">
        <v>1840788.872733847</v>
      </c>
      <c r="CK18" s="251">
        <v>51.535532990624041</v>
      </c>
      <c r="CL18" s="255">
        <v>1855102.2646285938</v>
      </c>
      <c r="CM18" s="251">
        <v>52</v>
      </c>
      <c r="CN18" s="255">
        <v>1874768.1470136829</v>
      </c>
      <c r="CO18" s="251">
        <v>52</v>
      </c>
      <c r="CP18" s="255">
        <v>1919974.6290688645</v>
      </c>
      <c r="CQ18" s="251">
        <v>58</v>
      </c>
      <c r="CR18" s="255">
        <v>1978254.1824722113</v>
      </c>
      <c r="CS18" s="251">
        <v>53.338013550665394</v>
      </c>
      <c r="CT18" s="255">
        <v>2138387.3540739883</v>
      </c>
      <c r="CU18" s="251">
        <v>53.338013550665394</v>
      </c>
      <c r="CV18" s="255">
        <v>2064869.5365282686</v>
      </c>
      <c r="CW18" s="251">
        <v>59</v>
      </c>
      <c r="CX18" s="255">
        <v>2271877.0484444224</v>
      </c>
      <c r="CY18" s="251">
        <v>72.391351948590469</v>
      </c>
      <c r="CZ18" s="255">
        <v>2787529.6779299169</v>
      </c>
      <c r="DA18" s="251">
        <v>105</v>
      </c>
      <c r="DB18" s="255">
        <v>3580044</v>
      </c>
      <c r="DC18" s="262">
        <v>97</v>
      </c>
      <c r="DD18" s="263">
        <v>3532627</v>
      </c>
      <c r="DE18" s="262">
        <v>83</v>
      </c>
      <c r="DF18" s="263">
        <v>3114051</v>
      </c>
      <c r="DG18" s="262">
        <v>78</v>
      </c>
      <c r="DH18" s="263">
        <v>3019523</v>
      </c>
      <c r="DI18" s="262">
        <v>72</v>
      </c>
      <c r="DJ18" s="263">
        <v>2600423</v>
      </c>
      <c r="DK18" s="262">
        <v>63</v>
      </c>
      <c r="DL18" s="263">
        <v>2293466.5061952709</v>
      </c>
      <c r="DM18" s="262">
        <v>43</v>
      </c>
      <c r="DN18" s="263">
        <v>1755721.3894664976</v>
      </c>
      <c r="DO18" s="262">
        <v>37.207104857414521</v>
      </c>
      <c r="DP18" s="263">
        <v>1476384.1318053906</v>
      </c>
      <c r="DQ18" s="262">
        <v>43</v>
      </c>
      <c r="DR18" s="263">
        <v>1573615.3958188449</v>
      </c>
      <c r="DU18" s="256">
        <v>57.438521348850983</v>
      </c>
      <c r="DV18" s="255">
        <v>2155013.7000469361</v>
      </c>
      <c r="DW18" s="256">
        <v>59.570796288823757</v>
      </c>
      <c r="DX18" s="255">
        <v>2235013.7000469361</v>
      </c>
      <c r="DY18" s="256">
        <v>59.570796288823757</v>
      </c>
      <c r="DZ18" s="255">
        <v>2235013.7000469361</v>
      </c>
      <c r="EA18" s="256">
        <v>59.570796288823757</v>
      </c>
      <c r="EB18" s="255">
        <v>2235013.7000469361</v>
      </c>
      <c r="EC18" s="256">
        <v>59.570796288823757</v>
      </c>
      <c r="ED18" s="255">
        <v>2235013.7000469361</v>
      </c>
      <c r="EE18" s="256">
        <v>59.570796288823757</v>
      </c>
      <c r="EF18" s="255">
        <v>2235013.7000469361</v>
      </c>
      <c r="EG18" s="256">
        <v>59.570796288823757</v>
      </c>
      <c r="EH18" s="255">
        <v>2235013.7000469361</v>
      </c>
      <c r="EI18" s="256">
        <v>59.570796288823757</v>
      </c>
      <c r="EJ18" s="255">
        <v>2235013.7000469361</v>
      </c>
      <c r="EK18" s="256">
        <v>59.570796288823757</v>
      </c>
      <c r="EL18" s="255">
        <v>2235013.7000469361</v>
      </c>
      <c r="EM18" s="256">
        <v>59.570796288823757</v>
      </c>
      <c r="EN18" s="255">
        <v>2235013.7000469361</v>
      </c>
      <c r="EO18" s="256">
        <v>59.570796288823757</v>
      </c>
      <c r="EP18" s="255">
        <v>2235013.7000469361</v>
      </c>
      <c r="EQ18" s="256">
        <v>59.570796288823757</v>
      </c>
      <c r="ER18" s="255">
        <v>2235013.7000469361</v>
      </c>
      <c r="ET18" s="257"/>
      <c r="EU18" s="257"/>
      <c r="EV18" s="257"/>
      <c r="EW18" s="257"/>
    </row>
    <row r="19" spans="1:153" x14ac:dyDescent="0.2">
      <c r="B19" s="258" t="s">
        <v>436</v>
      </c>
      <c r="C19" s="259"/>
      <c r="D19" s="252"/>
      <c r="E19" s="259"/>
      <c r="F19" s="252"/>
      <c r="G19" s="259"/>
      <c r="H19" s="252"/>
      <c r="I19" s="259"/>
      <c r="J19" s="252"/>
      <c r="K19" s="260"/>
      <c r="L19" s="261"/>
      <c r="M19" s="251"/>
      <c r="N19" s="252"/>
      <c r="O19" s="253"/>
      <c r="P19" s="252"/>
      <c r="Q19" s="251"/>
      <c r="R19" s="255"/>
      <c r="S19" s="251"/>
      <c r="T19" s="255"/>
      <c r="U19" s="251"/>
      <c r="V19" s="255"/>
      <c r="W19" s="251"/>
      <c r="X19" s="255"/>
      <c r="Y19" s="251"/>
      <c r="Z19" s="255"/>
      <c r="AA19" s="251"/>
      <c r="AB19" s="255"/>
      <c r="AC19" s="251"/>
      <c r="AD19" s="255"/>
      <c r="AE19" s="251"/>
      <c r="AF19" s="255"/>
      <c r="AG19" s="251"/>
      <c r="AH19" s="255"/>
      <c r="AI19" s="251"/>
      <c r="AJ19" s="255"/>
      <c r="AK19" s="251"/>
      <c r="AL19" s="255"/>
      <c r="AM19" s="251"/>
      <c r="AN19" s="255"/>
      <c r="AO19" s="251"/>
      <c r="AP19" s="255"/>
      <c r="AQ19" s="251"/>
      <c r="AR19" s="255"/>
      <c r="AS19" s="251"/>
      <c r="AT19" s="255"/>
      <c r="AU19" s="251"/>
      <c r="AV19" s="255"/>
      <c r="AW19" s="251"/>
      <c r="AX19" s="255"/>
      <c r="AY19" s="251"/>
      <c r="AZ19" s="255"/>
      <c r="BA19" s="251">
        <v>0</v>
      </c>
      <c r="BB19" s="255">
        <v>0</v>
      </c>
      <c r="BC19" s="251">
        <v>0</v>
      </c>
      <c r="BD19" s="255">
        <v>0</v>
      </c>
      <c r="BE19" s="251">
        <v>0</v>
      </c>
      <c r="BF19" s="255">
        <v>0</v>
      </c>
      <c r="BG19" s="251">
        <v>0</v>
      </c>
      <c r="BH19" s="255">
        <v>0</v>
      </c>
      <c r="BI19" s="251">
        <v>0</v>
      </c>
      <c r="BJ19" s="255">
        <v>0</v>
      </c>
      <c r="BK19" s="251">
        <v>0</v>
      </c>
      <c r="BL19" s="255">
        <v>0</v>
      </c>
      <c r="BM19" s="251">
        <v>0</v>
      </c>
      <c r="BN19" s="255">
        <v>0</v>
      </c>
      <c r="BO19" s="251">
        <v>0</v>
      </c>
      <c r="BP19" s="255">
        <v>0</v>
      </c>
      <c r="BQ19" s="251">
        <v>0</v>
      </c>
      <c r="BR19" s="255">
        <v>0</v>
      </c>
      <c r="BS19" s="251">
        <v>0</v>
      </c>
      <c r="BT19" s="255">
        <v>0</v>
      </c>
      <c r="BU19" s="251">
        <v>0</v>
      </c>
      <c r="BV19" s="255">
        <v>0</v>
      </c>
      <c r="BW19" s="251">
        <v>0</v>
      </c>
      <c r="BX19" s="255">
        <v>0</v>
      </c>
      <c r="BY19" s="251">
        <v>0</v>
      </c>
      <c r="BZ19" s="255">
        <v>0</v>
      </c>
      <c r="CA19" s="251">
        <v>0</v>
      </c>
      <c r="CB19" s="255">
        <v>0</v>
      </c>
      <c r="CC19" s="251">
        <v>0</v>
      </c>
      <c r="CD19" s="255">
        <v>0</v>
      </c>
      <c r="CE19" s="251">
        <v>0</v>
      </c>
      <c r="CF19" s="255">
        <v>0</v>
      </c>
      <c r="CG19" s="251">
        <v>0</v>
      </c>
      <c r="CH19" s="255">
        <v>0</v>
      </c>
      <c r="CI19" s="251">
        <v>0</v>
      </c>
      <c r="CJ19" s="255">
        <v>0</v>
      </c>
      <c r="CK19" s="251">
        <v>0</v>
      </c>
      <c r="CL19" s="255">
        <v>0</v>
      </c>
      <c r="CM19" s="251">
        <v>0</v>
      </c>
      <c r="CN19" s="255">
        <v>0</v>
      </c>
      <c r="CO19" s="251">
        <v>0</v>
      </c>
      <c r="CP19" s="255">
        <v>0</v>
      </c>
      <c r="CQ19" s="251">
        <v>0</v>
      </c>
      <c r="CR19" s="255">
        <v>0</v>
      </c>
      <c r="CS19" s="251">
        <v>0</v>
      </c>
      <c r="CT19" s="255">
        <v>0</v>
      </c>
      <c r="CU19" s="251">
        <v>0</v>
      </c>
      <c r="CV19" s="255">
        <v>0</v>
      </c>
      <c r="CW19" s="251">
        <v>0</v>
      </c>
      <c r="CX19" s="255">
        <v>0</v>
      </c>
      <c r="CY19" s="251">
        <v>0</v>
      </c>
      <c r="CZ19" s="255">
        <v>0</v>
      </c>
      <c r="DA19" s="251">
        <v>0</v>
      </c>
      <c r="DB19" s="255">
        <v>0</v>
      </c>
      <c r="DC19" s="262">
        <v>0</v>
      </c>
      <c r="DD19" s="263">
        <v>0</v>
      </c>
      <c r="DE19" s="262">
        <v>0</v>
      </c>
      <c r="DF19" s="263">
        <v>0</v>
      </c>
      <c r="DG19" s="262">
        <v>0</v>
      </c>
      <c r="DH19" s="263">
        <v>0</v>
      </c>
      <c r="DI19" s="262">
        <v>0</v>
      </c>
      <c r="DJ19" s="263">
        <v>0</v>
      </c>
      <c r="DK19" s="262">
        <v>0</v>
      </c>
      <c r="DL19" s="263">
        <v>0</v>
      </c>
      <c r="DM19" s="262">
        <v>0</v>
      </c>
      <c r="DN19" s="263">
        <v>0</v>
      </c>
      <c r="DO19" s="262">
        <v>0</v>
      </c>
      <c r="DP19" s="263">
        <v>0</v>
      </c>
      <c r="DQ19" s="262">
        <v>0</v>
      </c>
      <c r="DR19" s="263">
        <v>0</v>
      </c>
      <c r="DU19" s="256">
        <v>0</v>
      </c>
      <c r="DV19" s="255">
        <v>0</v>
      </c>
      <c r="DW19" s="256">
        <v>0</v>
      </c>
      <c r="DX19" s="255">
        <v>0</v>
      </c>
      <c r="DY19" s="256">
        <v>0</v>
      </c>
      <c r="DZ19" s="255">
        <v>0</v>
      </c>
      <c r="EA19" s="256">
        <v>0</v>
      </c>
      <c r="EB19" s="255">
        <v>0</v>
      </c>
      <c r="EC19" s="256">
        <v>0</v>
      </c>
      <c r="ED19" s="255">
        <v>0</v>
      </c>
      <c r="EE19" s="256">
        <v>0</v>
      </c>
      <c r="EF19" s="255">
        <v>0</v>
      </c>
      <c r="EG19" s="256">
        <v>0</v>
      </c>
      <c r="EH19" s="255">
        <v>0</v>
      </c>
      <c r="EI19" s="256">
        <v>0</v>
      </c>
      <c r="EJ19" s="255">
        <v>0</v>
      </c>
      <c r="EK19" s="256">
        <v>0</v>
      </c>
      <c r="EL19" s="255">
        <v>0</v>
      </c>
      <c r="EM19" s="256">
        <v>0</v>
      </c>
      <c r="EN19" s="255">
        <v>0</v>
      </c>
      <c r="EO19" s="256">
        <v>0</v>
      </c>
      <c r="EP19" s="255">
        <v>0</v>
      </c>
      <c r="EQ19" s="256">
        <v>0</v>
      </c>
      <c r="ER19" s="255">
        <v>0</v>
      </c>
      <c r="ET19" s="257"/>
      <c r="EU19" s="257"/>
      <c r="EV19" s="257"/>
      <c r="EW19" s="257"/>
    </row>
    <row r="20" spans="1:153" x14ac:dyDescent="0.2">
      <c r="B20" s="258" t="s">
        <v>437</v>
      </c>
      <c r="C20" s="259">
        <v>8</v>
      </c>
      <c r="D20" s="252">
        <v>377407.15384615381</v>
      </c>
      <c r="E20" s="259">
        <v>8</v>
      </c>
      <c r="F20" s="252">
        <v>376742.15384615381</v>
      </c>
      <c r="G20" s="259">
        <v>9</v>
      </c>
      <c r="H20" s="252">
        <v>571293.29487179487</v>
      </c>
      <c r="I20" s="259">
        <v>9</v>
      </c>
      <c r="J20" s="252">
        <v>437997.86538461538</v>
      </c>
      <c r="K20" s="260">
        <v>11</v>
      </c>
      <c r="L20" s="261">
        <v>525520.59173076926</v>
      </c>
      <c r="M20" s="251">
        <v>13</v>
      </c>
      <c r="N20" s="252">
        <v>747015.51435897418</v>
      </c>
      <c r="O20" s="253">
        <v>13</v>
      </c>
      <c r="P20" s="252">
        <v>589395.032051282</v>
      </c>
      <c r="Q20" s="251">
        <v>13</v>
      </c>
      <c r="R20" s="255">
        <v>565056.22435897437</v>
      </c>
      <c r="S20" s="251">
        <v>13</v>
      </c>
      <c r="T20" s="255">
        <v>769345.83974358963</v>
      </c>
      <c r="U20" s="251">
        <v>14</v>
      </c>
      <c r="V20" s="255">
        <v>591275.73371794878</v>
      </c>
      <c r="W20" s="251">
        <v>14</v>
      </c>
      <c r="X20" s="255">
        <v>712465.73371794866</v>
      </c>
      <c r="Y20" s="251">
        <v>14</v>
      </c>
      <c r="Z20" s="255">
        <v>702207.11506410246</v>
      </c>
      <c r="AA20" s="251">
        <v>15</v>
      </c>
      <c r="AB20" s="255">
        <v>634354.24551282055</v>
      </c>
      <c r="AC20" s="251">
        <v>27</v>
      </c>
      <c r="AD20" s="255">
        <v>1044178.1111538463</v>
      </c>
      <c r="AE20" s="251">
        <v>24</v>
      </c>
      <c r="AF20" s="255">
        <v>1146649.7578205126</v>
      </c>
      <c r="AG20" s="251">
        <v>25</v>
      </c>
      <c r="AH20" s="255">
        <v>979185.76794871769</v>
      </c>
      <c r="AI20" s="251">
        <v>37</v>
      </c>
      <c r="AJ20" s="255">
        <v>1177161.6837820516</v>
      </c>
      <c r="AK20" s="251">
        <v>46</v>
      </c>
      <c r="AL20" s="255">
        <v>1784166.4546153841</v>
      </c>
      <c r="AM20" s="251">
        <v>47</v>
      </c>
      <c r="AN20" s="255">
        <v>2267319.4636538452</v>
      </c>
      <c r="AO20" s="251">
        <v>43</v>
      </c>
      <c r="AP20" s="255">
        <v>2294565.4189743586</v>
      </c>
      <c r="AQ20" s="251">
        <v>43</v>
      </c>
      <c r="AR20" s="255">
        <v>2214854.7800641023</v>
      </c>
      <c r="AS20" s="251">
        <v>42</v>
      </c>
      <c r="AT20" s="255">
        <v>2111381.1779487175</v>
      </c>
      <c r="AU20" s="251">
        <v>42</v>
      </c>
      <c r="AV20" s="255">
        <v>2304482.5608333326</v>
      </c>
      <c r="AW20" s="251">
        <v>34</v>
      </c>
      <c r="AX20" s="255">
        <v>1852591.5172539281</v>
      </c>
      <c r="AY20" s="251">
        <v>28</v>
      </c>
      <c r="AZ20" s="255">
        <f>1565265.57554826+300000</f>
        <v>1865265.57554826</v>
      </c>
      <c r="BA20" s="251">
        <v>28</v>
      </c>
      <c r="BB20" s="255">
        <v>1546140.5755482591</v>
      </c>
      <c r="BC20" s="251">
        <v>27</v>
      </c>
      <c r="BD20" s="255">
        <v>1543781.6282051282</v>
      </c>
      <c r="BE20" s="251">
        <v>27</v>
      </c>
      <c r="BF20" s="255">
        <v>1579629.628205128</v>
      </c>
      <c r="BG20" s="251">
        <v>27</v>
      </c>
      <c r="BH20" s="255">
        <v>1570006.6282051282</v>
      </c>
      <c r="BI20" s="251">
        <v>28</v>
      </c>
      <c r="BJ20" s="255">
        <v>1576298.782051282</v>
      </c>
      <c r="BK20" s="251">
        <v>27</v>
      </c>
      <c r="BL20" s="255">
        <v>1558168.2666666668</v>
      </c>
      <c r="BM20" s="251">
        <v>27</v>
      </c>
      <c r="BN20" s="255">
        <v>1592155.2666666664</v>
      </c>
      <c r="BO20" s="251">
        <v>27</v>
      </c>
      <c r="BP20" s="255">
        <v>1533411.6408333334</v>
      </c>
      <c r="BQ20" s="251">
        <v>25</v>
      </c>
      <c r="BR20" s="255">
        <v>1504692.3974358973</v>
      </c>
      <c r="BS20" s="251">
        <v>25</v>
      </c>
      <c r="BT20" s="255">
        <v>1469936.3974358973</v>
      </c>
      <c r="BU20" s="251">
        <v>25</v>
      </c>
      <c r="BV20" s="255">
        <v>1498407.3974358973</v>
      </c>
      <c r="BW20" s="251">
        <v>25</v>
      </c>
      <c r="BX20" s="255">
        <f>1764247.26923077+400000</f>
        <v>2164247.2692307699</v>
      </c>
      <c r="BY20" s="251">
        <v>26</v>
      </c>
      <c r="BZ20" s="255">
        <f>1730823.2350641+400000</f>
        <v>2130823.2350641</v>
      </c>
      <c r="CA20" s="251">
        <v>31</v>
      </c>
      <c r="CB20" s="255">
        <f>1945271.90871795+200000</f>
        <v>2145271.9087179499</v>
      </c>
      <c r="CC20" s="251">
        <v>30</v>
      </c>
      <c r="CD20" s="255">
        <f>2102125.13083333+200000</f>
        <v>2302125.1308333301</v>
      </c>
      <c r="CE20" s="251">
        <v>34</v>
      </c>
      <c r="CF20" s="255">
        <v>2113190.0174358971</v>
      </c>
      <c r="CG20" s="251">
        <v>35</v>
      </c>
      <c r="CH20" s="255">
        <v>2303447.788525641</v>
      </c>
      <c r="CI20" s="251">
        <v>42</v>
      </c>
      <c r="CJ20" s="255">
        <f>2771527.65211538+200000</f>
        <v>2971527.6521153799</v>
      </c>
      <c r="CK20" s="251">
        <v>46</v>
      </c>
      <c r="CL20" s="255">
        <v>2637061.5996153848</v>
      </c>
      <c r="CM20" s="251">
        <v>43</v>
      </c>
      <c r="CN20" s="255">
        <v>2597923.7675000005</v>
      </c>
      <c r="CO20" s="251">
        <v>43</v>
      </c>
      <c r="CP20" s="255">
        <v>2846048.1253205128</v>
      </c>
      <c r="CQ20" s="251">
        <v>43</v>
      </c>
      <c r="CR20" s="255">
        <v>2640685.7935256409</v>
      </c>
      <c r="CS20" s="251">
        <v>42</v>
      </c>
      <c r="CT20" s="255">
        <f>2851225.67557692+300000</f>
        <v>3151225.6755769202</v>
      </c>
      <c r="CU20" s="251">
        <v>43</v>
      </c>
      <c r="CV20" s="255">
        <v>3225791.1155769224</v>
      </c>
      <c r="CW20" s="251">
        <v>44</v>
      </c>
      <c r="CX20" s="255">
        <f>3128412.69628205+500000</f>
        <v>3628412.6962820501</v>
      </c>
      <c r="CY20" s="251">
        <v>33</v>
      </c>
      <c r="CZ20" s="255">
        <v>2906669.59878205</v>
      </c>
      <c r="DA20" s="251">
        <v>35</v>
      </c>
      <c r="DB20" s="255">
        <v>2844637.9318589745</v>
      </c>
      <c r="DC20" s="251">
        <v>38</v>
      </c>
      <c r="DD20" s="255">
        <v>2872659.364551282</v>
      </c>
      <c r="DE20" s="251">
        <v>39</v>
      </c>
      <c r="DF20" s="255">
        <v>2740711.1485256408</v>
      </c>
      <c r="DG20" s="251">
        <v>38</v>
      </c>
      <c r="DH20" s="255">
        <f>3076988.83596154+400000</f>
        <v>3476988.8359615402</v>
      </c>
      <c r="DI20" s="251">
        <v>37</v>
      </c>
      <c r="DJ20" s="255">
        <v>2711196.651346154</v>
      </c>
      <c r="DK20" s="251">
        <v>37</v>
      </c>
      <c r="DL20" s="255">
        <v>2696845.6744230771</v>
      </c>
      <c r="DM20" s="251">
        <v>38</v>
      </c>
      <c r="DN20" s="255">
        <v>3012014.3359615384</v>
      </c>
      <c r="DO20" s="251">
        <v>39</v>
      </c>
      <c r="DP20" s="255">
        <v>2785204.1691666669</v>
      </c>
      <c r="DQ20" s="251">
        <v>42</v>
      </c>
      <c r="DR20" s="255">
        <v>3519883.1228846158</v>
      </c>
      <c r="DU20" s="256">
        <v>43</v>
      </c>
      <c r="DV20" s="255">
        <v>3036788.6625544867</v>
      </c>
      <c r="DW20" s="256">
        <v>43</v>
      </c>
      <c r="DX20" s="255">
        <v>3036788.6625544867</v>
      </c>
      <c r="DY20" s="256">
        <v>43</v>
      </c>
      <c r="DZ20" s="255">
        <v>3036788.6625544867</v>
      </c>
      <c r="EA20" s="256">
        <v>43</v>
      </c>
      <c r="EB20" s="255">
        <v>3036788.6625544867</v>
      </c>
      <c r="EC20" s="256">
        <v>43</v>
      </c>
      <c r="ED20" s="255">
        <v>3036788.6625544867</v>
      </c>
      <c r="EE20" s="256">
        <v>43</v>
      </c>
      <c r="EF20" s="255">
        <v>3036788.6625544867</v>
      </c>
      <c r="EG20" s="256">
        <v>43</v>
      </c>
      <c r="EH20" s="255">
        <v>3036788.6625544867</v>
      </c>
      <c r="EI20" s="256">
        <v>43</v>
      </c>
      <c r="EJ20" s="255">
        <v>3036788.6625544867</v>
      </c>
      <c r="EK20" s="256">
        <v>43</v>
      </c>
      <c r="EL20" s="255">
        <v>3036788.6625544867</v>
      </c>
      <c r="EM20" s="256">
        <v>43</v>
      </c>
      <c r="EN20" s="255">
        <v>3036788.6625544867</v>
      </c>
      <c r="EO20" s="256">
        <v>43</v>
      </c>
      <c r="EP20" s="255">
        <v>3036788.6625544867</v>
      </c>
      <c r="EQ20" s="256">
        <v>43</v>
      </c>
      <c r="ER20" s="255">
        <v>3036788.6625544867</v>
      </c>
      <c r="ET20" s="257"/>
      <c r="EU20" s="257"/>
    </row>
    <row r="21" spans="1:153" x14ac:dyDescent="0.2">
      <c r="B21" s="258" t="s">
        <v>438</v>
      </c>
      <c r="C21" s="259">
        <v>17</v>
      </c>
      <c r="D21" s="252">
        <v>970690.07346153876</v>
      </c>
      <c r="E21" s="259">
        <v>17</v>
      </c>
      <c r="F21" s="252">
        <v>957790.33333333337</v>
      </c>
      <c r="G21" s="259">
        <v>22</v>
      </c>
      <c r="H21" s="252">
        <v>1431877.0512820515</v>
      </c>
      <c r="I21" s="259">
        <v>25</v>
      </c>
      <c r="J21" s="252">
        <v>1295570.3076923075</v>
      </c>
      <c r="K21" s="260">
        <v>30</v>
      </c>
      <c r="L21" s="261">
        <v>1580752.183525641</v>
      </c>
      <c r="M21" s="251">
        <v>31</v>
      </c>
      <c r="N21" s="252">
        <v>1921748.0747435896</v>
      </c>
      <c r="O21" s="253">
        <v>37</v>
      </c>
      <c r="P21" s="252">
        <v>1724434.6415384612</v>
      </c>
      <c r="Q21" s="251">
        <v>46</v>
      </c>
      <c r="R21" s="255">
        <v>1956096.0361538462</v>
      </c>
      <c r="S21" s="251">
        <v>47</v>
      </c>
      <c r="T21" s="255">
        <v>2578855.4973717937</v>
      </c>
      <c r="U21" s="251">
        <v>56</v>
      </c>
      <c r="V21" s="255">
        <v>2431064.6593589741</v>
      </c>
      <c r="W21" s="251">
        <v>56</v>
      </c>
      <c r="X21" s="255">
        <v>2649635.6142948708</v>
      </c>
      <c r="Y21" s="251">
        <v>57</v>
      </c>
      <c r="Z21" s="255">
        <v>3305176.6792948712</v>
      </c>
      <c r="AA21" s="251">
        <v>62</v>
      </c>
      <c r="AB21" s="255">
        <v>3384399.6447435906</v>
      </c>
      <c r="AC21" s="251">
        <v>69</v>
      </c>
      <c r="AD21" s="255">
        <v>3837152.179551282</v>
      </c>
      <c r="AE21" s="251">
        <v>82</v>
      </c>
      <c r="AF21" s="255">
        <v>4391416.3176923059</v>
      </c>
      <c r="AG21" s="251">
        <v>82</v>
      </c>
      <c r="AH21" s="255">
        <v>3870671.1553846151</v>
      </c>
      <c r="AI21" s="251">
        <v>80</v>
      </c>
      <c r="AJ21" s="255">
        <v>3810763.694679488</v>
      </c>
      <c r="AK21" s="251">
        <v>75</v>
      </c>
      <c r="AL21" s="255">
        <v>4203883.7696153857</v>
      </c>
      <c r="AM21" s="251">
        <v>76</v>
      </c>
      <c r="AN21" s="255">
        <v>3813878.1066025649</v>
      </c>
      <c r="AO21" s="251">
        <v>73</v>
      </c>
      <c r="AP21" s="255">
        <v>3917583.2440384612</v>
      </c>
      <c r="AQ21" s="251">
        <v>73</v>
      </c>
      <c r="AR21" s="255">
        <v>3661444.933459471</v>
      </c>
      <c r="AS21" s="251">
        <v>71</v>
      </c>
      <c r="AT21" s="255">
        <v>3735862.7416666667</v>
      </c>
      <c r="AU21" s="251">
        <v>67</v>
      </c>
      <c r="AV21" s="255">
        <v>3568441.692307692</v>
      </c>
      <c r="AW21" s="251">
        <v>68</v>
      </c>
      <c r="AX21" s="255">
        <v>3285130.1492307694</v>
      </c>
      <c r="AY21" s="251">
        <v>68</v>
      </c>
      <c r="AZ21" s="255">
        <f>4248047.10580951+539621</f>
        <v>4787668.1058095098</v>
      </c>
      <c r="BA21" s="251">
        <v>68</v>
      </c>
      <c r="BB21" s="255">
        <f>4320960.77542489+539621</f>
        <v>4860581.7754248902</v>
      </c>
      <c r="BC21" s="251">
        <v>70</v>
      </c>
      <c r="BD21" s="255">
        <f>3973270.44314103+300000</f>
        <v>4273270.4431410301</v>
      </c>
      <c r="BE21" s="251">
        <v>72</v>
      </c>
      <c r="BF21" s="255">
        <v>4280586.3778205123</v>
      </c>
      <c r="BG21" s="251">
        <v>73</v>
      </c>
      <c r="BH21" s="255">
        <f>4473875.2601282+300000</f>
        <v>4773875.2601282001</v>
      </c>
      <c r="BI21" s="251">
        <v>76</v>
      </c>
      <c r="BJ21" s="255">
        <f>4272558.74365385-300000</f>
        <v>3972558.7436538497</v>
      </c>
      <c r="BK21" s="251">
        <v>79</v>
      </c>
      <c r="BL21" s="255">
        <f>4484655.77173077+500000</f>
        <v>4984655.7717307704</v>
      </c>
      <c r="BM21" s="251">
        <v>76</v>
      </c>
      <c r="BN21" s="255">
        <v>4459498.2475641016</v>
      </c>
      <c r="BO21" s="251">
        <v>77</v>
      </c>
      <c r="BP21" s="255">
        <v>4375010.8123717951</v>
      </c>
      <c r="BQ21" s="251">
        <v>72</v>
      </c>
      <c r="BR21" s="255">
        <v>4567202.2783333333</v>
      </c>
      <c r="BS21" s="251">
        <v>73</v>
      </c>
      <c r="BT21" s="255">
        <v>4207100.8091025641</v>
      </c>
      <c r="BU21" s="251">
        <v>73</v>
      </c>
      <c r="BV21" s="255">
        <f>4093673.92211539+228105</f>
        <v>4321778.9221153902</v>
      </c>
      <c r="BW21" s="251">
        <v>71</v>
      </c>
      <c r="BX21" s="255">
        <f>4551279.88711538+300000</f>
        <v>4851279.8871153798</v>
      </c>
      <c r="BY21" s="251">
        <v>77</v>
      </c>
      <c r="BZ21" s="255">
        <f>4604437.99538461+300000</f>
        <v>4904437.9953846103</v>
      </c>
      <c r="CA21" s="251">
        <v>77</v>
      </c>
      <c r="CB21" s="255">
        <f>4815038.45198718+100000</f>
        <v>4915038.4519871799</v>
      </c>
      <c r="CC21" s="251">
        <v>75</v>
      </c>
      <c r="CD21" s="255">
        <f>4977429.49288462+100000</f>
        <v>5077429.4928846201</v>
      </c>
      <c r="CE21" s="251">
        <v>77</v>
      </c>
      <c r="CF21" s="255">
        <v>4871472.6641025636</v>
      </c>
      <c r="CG21" s="251">
        <v>81</v>
      </c>
      <c r="CH21" s="255">
        <v>4877722.0525000012</v>
      </c>
      <c r="CI21" s="251">
        <v>81</v>
      </c>
      <c r="CJ21" s="255">
        <f>5203355.67782051+438274</f>
        <v>5641629.6778205102</v>
      </c>
      <c r="CK21" s="251">
        <v>89</v>
      </c>
      <c r="CL21" s="255">
        <v>5035906.878461537</v>
      </c>
      <c r="CM21" s="251">
        <v>96</v>
      </c>
      <c r="CN21" s="255">
        <f>5179150.9874359+200000</f>
        <v>5379150.9874358997</v>
      </c>
      <c r="CO21" s="251">
        <v>101</v>
      </c>
      <c r="CP21" s="255">
        <f>5442708.3550641+200000</f>
        <v>5642708.3550640997</v>
      </c>
      <c r="CQ21" s="251">
        <v>108</v>
      </c>
      <c r="CR21" s="255">
        <v>5560350.5030769221</v>
      </c>
      <c r="CS21" s="251">
        <v>106</v>
      </c>
      <c r="CT21" s="255">
        <f>5615953.93108974+101628+47099+300000</f>
        <v>6064680.9310897402</v>
      </c>
      <c r="CU21" s="251">
        <v>110</v>
      </c>
      <c r="CV21" s="255">
        <f>6794107.27673077+200000</f>
        <v>6994107.2767307702</v>
      </c>
      <c r="CW21" s="251">
        <f>104+1</f>
        <v>105</v>
      </c>
      <c r="CX21" s="255">
        <f>6374980.41089744+22055+74157+200000</f>
        <v>6671192.4108974403</v>
      </c>
      <c r="CY21" s="251">
        <v>119</v>
      </c>
      <c r="CZ21" s="255">
        <v>6900084.68717949</v>
      </c>
      <c r="DA21" s="251">
        <v>115</v>
      </c>
      <c r="DB21" s="255">
        <f>6764542.52532051+200000</f>
        <v>6964542.5253205104</v>
      </c>
      <c r="DC21" s="251">
        <v>109</v>
      </c>
      <c r="DD21" s="255">
        <v>6263484.5226282049</v>
      </c>
      <c r="DE21" s="251">
        <f>111+4</f>
        <v>115</v>
      </c>
      <c r="DF21" s="255">
        <f>6290220.55217948+54846+100000+200000</f>
        <v>6645066.55217948</v>
      </c>
      <c r="DG21" s="251">
        <f>108+2</f>
        <v>110</v>
      </c>
      <c r="DH21" s="255">
        <f>7598041.28275641+542279+300000</f>
        <v>8440320.2827564105</v>
      </c>
      <c r="DI21" s="251">
        <v>110</v>
      </c>
      <c r="DJ21" s="255">
        <f>6543066.83352565+300000</f>
        <v>6843066.8335256502</v>
      </c>
      <c r="DK21" s="251">
        <v>114</v>
      </c>
      <c r="DL21" s="255">
        <v>6562674.1144230813</v>
      </c>
      <c r="DM21" s="251">
        <v>117</v>
      </c>
      <c r="DN21" s="255">
        <f>7597558.58673078+750000</f>
        <v>8347558.5867307801</v>
      </c>
      <c r="DO21" s="251">
        <v>115</v>
      </c>
      <c r="DP21" s="255">
        <f>6620731.8822436+500000</f>
        <v>7120731.8822435997</v>
      </c>
      <c r="DQ21" s="251">
        <v>118</v>
      </c>
      <c r="DR21" s="255">
        <f>6974351.59467949+500000+600000</f>
        <v>8074351.5946794897</v>
      </c>
      <c r="DU21" s="256">
        <v>114.36485842920246</v>
      </c>
      <c r="DV21" s="255">
        <v>6771250.0260769194</v>
      </c>
      <c r="DW21" s="256">
        <v>114.36485842920246</v>
      </c>
      <c r="DX21" s="255">
        <v>6771250.0260769194</v>
      </c>
      <c r="DY21" s="256">
        <v>114.36485842920246</v>
      </c>
      <c r="DZ21" s="255">
        <v>6771250.0260769194</v>
      </c>
      <c r="EA21" s="256">
        <v>114.36485842920246</v>
      </c>
      <c r="EB21" s="255">
        <v>6771250.0260769194</v>
      </c>
      <c r="EC21" s="256">
        <v>114.36485842920246</v>
      </c>
      <c r="ED21" s="255">
        <v>6771250.0260769194</v>
      </c>
      <c r="EE21" s="256">
        <v>114.36485842920246</v>
      </c>
      <c r="EF21" s="255">
        <v>6771250.0260769194</v>
      </c>
      <c r="EG21" s="256">
        <v>114.36485842920246</v>
      </c>
      <c r="EH21" s="255">
        <v>6771250.0260769194</v>
      </c>
      <c r="EI21" s="256">
        <v>114.36485842920246</v>
      </c>
      <c r="EJ21" s="255">
        <v>6771250.0260769194</v>
      </c>
      <c r="EK21" s="256">
        <v>114.36485842920246</v>
      </c>
      <c r="EL21" s="255">
        <v>6771250.0260769194</v>
      </c>
      <c r="EM21" s="256">
        <v>114.36485842920246</v>
      </c>
      <c r="EN21" s="255">
        <v>6771250.0260769194</v>
      </c>
      <c r="EO21" s="256">
        <v>114.36485842920246</v>
      </c>
      <c r="EP21" s="255">
        <v>6771250.0260769194</v>
      </c>
      <c r="EQ21" s="256">
        <v>114.36485842920246</v>
      </c>
      <c r="ER21" s="255">
        <v>6771250.0260769194</v>
      </c>
      <c r="ET21" s="257"/>
      <c r="EU21" s="257"/>
    </row>
    <row r="22" spans="1:153" x14ac:dyDescent="0.2">
      <c r="B22" s="258" t="s">
        <v>439</v>
      </c>
      <c r="C22" s="259">
        <v>19</v>
      </c>
      <c r="D22" s="252">
        <v>1058184.4615384615</v>
      </c>
      <c r="E22" s="259">
        <v>20</v>
      </c>
      <c r="F22" s="252">
        <v>986773.4615384615</v>
      </c>
      <c r="G22" s="259">
        <v>20</v>
      </c>
      <c r="H22" s="252">
        <v>1014659.8076923077</v>
      </c>
      <c r="I22" s="259">
        <v>20</v>
      </c>
      <c r="J22" s="252">
        <v>1014005.8076923076</v>
      </c>
      <c r="K22" s="260">
        <v>23</v>
      </c>
      <c r="L22" s="261">
        <v>1225003.1681410256</v>
      </c>
      <c r="M22" s="251">
        <v>34</v>
      </c>
      <c r="N22" s="252">
        <v>1758780.1231410257</v>
      </c>
      <c r="O22" s="253">
        <v>38</v>
      </c>
      <c r="P22" s="252">
        <v>2047213.4837820514</v>
      </c>
      <c r="Q22" s="251">
        <v>39</v>
      </c>
      <c r="R22" s="255">
        <v>1952253.4761538459</v>
      </c>
      <c r="S22" s="251">
        <v>41</v>
      </c>
      <c r="T22" s="255">
        <v>2229112.34</v>
      </c>
      <c r="U22" s="251">
        <v>40</v>
      </c>
      <c r="V22" s="255">
        <v>2336458.6694871788</v>
      </c>
      <c r="W22" s="251">
        <v>45</v>
      </c>
      <c r="X22" s="255">
        <v>2945834.8608333338</v>
      </c>
      <c r="Y22" s="251">
        <v>42</v>
      </c>
      <c r="Z22" s="255">
        <v>3128599.662564103</v>
      </c>
      <c r="AA22" s="251">
        <v>49</v>
      </c>
      <c r="AB22" s="255">
        <v>3274392.669807693</v>
      </c>
      <c r="AC22" s="251">
        <v>45</v>
      </c>
      <c r="AD22" s="255">
        <v>2951223.622628205</v>
      </c>
      <c r="AE22" s="251">
        <v>51</v>
      </c>
      <c r="AF22" s="255">
        <v>3380420.9732692312</v>
      </c>
      <c r="AG22" s="251">
        <v>52</v>
      </c>
      <c r="AH22" s="255">
        <f>3664627.5675641+6360</f>
        <v>3670987.5675641</v>
      </c>
      <c r="AI22" s="251">
        <v>54</v>
      </c>
      <c r="AJ22" s="255">
        <v>3587847.4175000009</v>
      </c>
      <c r="AK22" s="251">
        <v>51</v>
      </c>
      <c r="AL22" s="255">
        <v>3932913.3344871807</v>
      </c>
      <c r="AM22" s="251">
        <v>49</v>
      </c>
      <c r="AN22" s="255">
        <v>3696399.274038462</v>
      </c>
      <c r="AO22" s="251">
        <v>51</v>
      </c>
      <c r="AP22" s="255">
        <v>3820065.2879487183</v>
      </c>
      <c r="AQ22" s="251">
        <v>47</v>
      </c>
      <c r="AR22" s="255">
        <v>3396058.2762179491</v>
      </c>
      <c r="AS22" s="251">
        <v>45</v>
      </c>
      <c r="AT22" s="255">
        <v>4072291.325192309</v>
      </c>
      <c r="AU22" s="251">
        <f>46-1</f>
        <v>45</v>
      </c>
      <c r="AV22" s="255">
        <f>3822926.91403846-552375</f>
        <v>3270551.9140384598</v>
      </c>
      <c r="AW22" s="251">
        <v>41</v>
      </c>
      <c r="AX22" s="255">
        <v>2775075.5345512815</v>
      </c>
      <c r="AY22" s="251">
        <v>41</v>
      </c>
      <c r="AZ22" s="255">
        <v>3041913.1529136128</v>
      </c>
      <c r="BA22" s="251">
        <v>41</v>
      </c>
      <c r="BB22" s="255">
        <f>4071234.1076572-900000</f>
        <v>3171234.1076572002</v>
      </c>
      <c r="BC22" s="251">
        <v>39</v>
      </c>
      <c r="BD22" s="255">
        <f>2779692.69480769+500000</f>
        <v>3279692.6948076901</v>
      </c>
      <c r="BE22" s="251">
        <v>37</v>
      </c>
      <c r="BF22" s="255">
        <v>3330664.5858333297</v>
      </c>
      <c r="BG22" s="251">
        <v>37</v>
      </c>
      <c r="BH22" s="255">
        <f>2720555.30692308+500000</f>
        <v>3220555.3069230798</v>
      </c>
      <c r="BI22" s="251">
        <v>36</v>
      </c>
      <c r="BJ22" s="255">
        <f>2723956.29076923+500000</f>
        <v>3223956.2907692301</v>
      </c>
      <c r="BK22" s="251">
        <v>39</v>
      </c>
      <c r="BL22" s="255">
        <f>3054717.86730769-345802+500000</f>
        <v>3208915.86730769</v>
      </c>
      <c r="BM22" s="251">
        <v>39</v>
      </c>
      <c r="BN22" s="255">
        <f>2600829.86615385+500000</f>
        <v>3100829.8661538502</v>
      </c>
      <c r="BO22" s="251">
        <v>36</v>
      </c>
      <c r="BP22" s="255">
        <f>2173035.61786394+500000</f>
        <v>2673035.6178639401</v>
      </c>
      <c r="BQ22" s="251">
        <v>24</v>
      </c>
      <c r="BR22" s="255">
        <v>1511371.8344230771</v>
      </c>
      <c r="BS22" s="251">
        <v>23</v>
      </c>
      <c r="BT22" s="255">
        <f>1943724.7673718-458425+100000</f>
        <v>1585299.7673718</v>
      </c>
      <c r="BU22" s="251">
        <v>24</v>
      </c>
      <c r="BV22" s="255">
        <f>1440343.10583333+100000</f>
        <v>1540343.10583333</v>
      </c>
      <c r="BW22" s="251">
        <v>25</v>
      </c>
      <c r="BX22" s="255">
        <f>1927821.7023718+200000</f>
        <v>2127821.7023718003</v>
      </c>
      <c r="BY22" s="251">
        <v>24</v>
      </c>
      <c r="BZ22" s="255">
        <f>2417482.44083333-623436+500000</f>
        <v>2294046.4408333302</v>
      </c>
      <c r="CA22" s="251">
        <v>24</v>
      </c>
      <c r="CB22" s="255">
        <f>1800232.51775641+500000</f>
        <v>2300232.5177564099</v>
      </c>
      <c r="CC22" s="251">
        <v>24</v>
      </c>
      <c r="CD22" s="255">
        <f>2610799.62288462-869579+500000</f>
        <v>2241220.62288462</v>
      </c>
      <c r="CE22" s="251">
        <v>24</v>
      </c>
      <c r="CF22" s="255">
        <f>1801737.81519231+500000</f>
        <v>2301737.8151923101</v>
      </c>
      <c r="CG22" s="251">
        <v>24</v>
      </c>
      <c r="CH22" s="255">
        <f>1801532.8498718+500000</f>
        <v>2301532.8498718003</v>
      </c>
      <c r="CI22" s="251">
        <v>24</v>
      </c>
      <c r="CJ22" s="255">
        <f>2008655.9282651-200000+500000</f>
        <v>2308655.9282651003</v>
      </c>
      <c r="CK22" s="251">
        <v>24</v>
      </c>
      <c r="CL22" s="255">
        <f>1819841.46512821+500000</f>
        <v>2319841.4651282099</v>
      </c>
      <c r="CM22" s="251">
        <v>25</v>
      </c>
      <c r="CN22" s="255">
        <v>2321683.5799358976</v>
      </c>
      <c r="CO22" s="251">
        <v>27</v>
      </c>
      <c r="CP22" s="255">
        <f>2748674.32878205-884494+600000</f>
        <v>2464180.3287820499</v>
      </c>
      <c r="CQ22" s="251">
        <v>31</v>
      </c>
      <c r="CR22" s="255">
        <f>2012469.34467949+500000</f>
        <v>2512469.3446794897</v>
      </c>
      <c r="CS22" s="251">
        <v>36</v>
      </c>
      <c r="CT22" s="255">
        <f>2747590.24730769+500000</f>
        <v>3247590.2473076899</v>
      </c>
      <c r="CU22" s="251">
        <v>35</v>
      </c>
      <c r="CV22" s="255">
        <f>3918623.1924359+250000-1000000</f>
        <v>3168623.1924359002</v>
      </c>
      <c r="CW22" s="251">
        <v>34</v>
      </c>
      <c r="CX22" s="255">
        <f>2739374.03852564+250000</f>
        <v>2989374.03852564</v>
      </c>
      <c r="CY22" s="251">
        <v>32</v>
      </c>
      <c r="CZ22" s="255">
        <v>3007540.9403846199</v>
      </c>
      <c r="DA22" s="251">
        <v>30</v>
      </c>
      <c r="DB22" s="255">
        <f>4120995.30519231-1000000+200000</f>
        <v>3320995.3051923099</v>
      </c>
      <c r="DC22" s="251">
        <v>28</v>
      </c>
      <c r="DD22" s="255">
        <f>2567761.50961538+500000</f>
        <v>3067761.5096153799</v>
      </c>
      <c r="DE22" s="251">
        <f>29+1</f>
        <v>30</v>
      </c>
      <c r="DF22" s="255">
        <f>2417064.44423077+173358+600000</f>
        <v>3190422.4442307702</v>
      </c>
      <c r="DG22" s="251">
        <v>29</v>
      </c>
      <c r="DH22" s="255">
        <f>3621428.54038462-1101213+400000</f>
        <v>2920215.54038462</v>
      </c>
      <c r="DI22" s="251">
        <v>29</v>
      </c>
      <c r="DJ22" s="255">
        <f>2341688.64641026+400000</f>
        <v>2741688.6464102599</v>
      </c>
      <c r="DK22" s="251">
        <v>34</v>
      </c>
      <c r="DL22" s="255">
        <f>3107446.3375641+400000</f>
        <v>3507446.3375641</v>
      </c>
      <c r="DM22" s="251">
        <v>33</v>
      </c>
      <c r="DN22" s="255">
        <f>3880076.61698718+400000-1200000</f>
        <v>3080076.61698718</v>
      </c>
      <c r="DO22" s="251">
        <v>32</v>
      </c>
      <c r="DP22" s="255">
        <f>2531354.96022894+400000+900000</f>
        <v>3831354.96022894</v>
      </c>
      <c r="DQ22" s="251">
        <v>31</v>
      </c>
      <c r="DR22" s="255">
        <f>3147302.46679487+400000</f>
        <v>3547302.4667948699</v>
      </c>
      <c r="DU22" s="256">
        <v>33.444606752878506</v>
      </c>
      <c r="DV22" s="255">
        <v>2981658.1978262807</v>
      </c>
      <c r="DW22" s="256">
        <v>33.444606752878506</v>
      </c>
      <c r="DX22" s="255">
        <v>2981658.1978262807</v>
      </c>
      <c r="DY22" s="256">
        <v>33.444606752878506</v>
      </c>
      <c r="DZ22" s="255">
        <v>2981658.1978262807</v>
      </c>
      <c r="EA22" s="256">
        <v>33.444606752878506</v>
      </c>
      <c r="EB22" s="255">
        <v>2981658.1978262807</v>
      </c>
      <c r="EC22" s="256">
        <v>33.444606752878506</v>
      </c>
      <c r="ED22" s="255">
        <v>2981658.1978262807</v>
      </c>
      <c r="EE22" s="256">
        <v>33.444606752878506</v>
      </c>
      <c r="EF22" s="255">
        <v>2981658.1978262807</v>
      </c>
      <c r="EG22" s="256">
        <v>33.444606752878506</v>
      </c>
      <c r="EH22" s="255">
        <v>2981658.1978262807</v>
      </c>
      <c r="EI22" s="256">
        <v>33.444606752878506</v>
      </c>
      <c r="EJ22" s="255">
        <v>2981658.1978262807</v>
      </c>
      <c r="EK22" s="256">
        <v>33.444606752878506</v>
      </c>
      <c r="EL22" s="255">
        <v>2981658.1978262807</v>
      </c>
      <c r="EM22" s="256">
        <v>33.444606752878506</v>
      </c>
      <c r="EN22" s="255">
        <v>2981658.1978262807</v>
      </c>
      <c r="EO22" s="256">
        <v>33.444606752878506</v>
      </c>
      <c r="EP22" s="255">
        <v>2981658.1978262807</v>
      </c>
      <c r="EQ22" s="256">
        <v>33.444606752878506</v>
      </c>
      <c r="ER22" s="255">
        <v>2981658.1978262807</v>
      </c>
      <c r="ET22" s="257"/>
      <c r="EU22" s="257"/>
    </row>
    <row r="23" spans="1:153" x14ac:dyDescent="0.2">
      <c r="B23" s="258" t="s">
        <v>440</v>
      </c>
      <c r="C23" s="259">
        <v>5</v>
      </c>
      <c r="D23" s="252">
        <v>274203.0384615385</v>
      </c>
      <c r="E23" s="259">
        <v>5</v>
      </c>
      <c r="F23" s="252">
        <v>271536.0384615385</v>
      </c>
      <c r="G23" s="259">
        <v>6</v>
      </c>
      <c r="H23" s="252">
        <v>381787.18032051285</v>
      </c>
      <c r="I23" s="259">
        <v>6</v>
      </c>
      <c r="J23" s="252">
        <v>197278.46153846156</v>
      </c>
      <c r="K23" s="260">
        <v>6</v>
      </c>
      <c r="L23" s="261">
        <v>209613.46153846156</v>
      </c>
      <c r="M23" s="251">
        <v>8</v>
      </c>
      <c r="N23" s="252">
        <v>219623.06410256407</v>
      </c>
      <c r="O23" s="253">
        <v>8</v>
      </c>
      <c r="P23" s="252">
        <v>227681.71794871794</v>
      </c>
      <c r="Q23" s="251">
        <v>8</v>
      </c>
      <c r="R23" s="255">
        <v>220951.71794871794</v>
      </c>
      <c r="S23" s="251">
        <v>9</v>
      </c>
      <c r="T23" s="255">
        <v>256782.44871794872</v>
      </c>
      <c r="U23" s="251">
        <v>14</v>
      </c>
      <c r="V23" s="255">
        <v>395971.76435897435</v>
      </c>
      <c r="W23" s="251">
        <v>15</v>
      </c>
      <c r="X23" s="255">
        <v>424165.27147435897</v>
      </c>
      <c r="Y23" s="251">
        <v>15</v>
      </c>
      <c r="Z23" s="255">
        <v>494917.03846153844</v>
      </c>
      <c r="AA23" s="251">
        <v>15</v>
      </c>
      <c r="AB23" s="255">
        <v>464519.56076923077</v>
      </c>
      <c r="AC23" s="251">
        <v>11</v>
      </c>
      <c r="AD23" s="255">
        <v>316667.55551282049</v>
      </c>
      <c r="AE23" s="251">
        <v>13</v>
      </c>
      <c r="AF23" s="255">
        <v>352184.71333333332</v>
      </c>
      <c r="AG23" s="251">
        <v>12</v>
      </c>
      <c r="AH23" s="255">
        <v>369666.96847828315</v>
      </c>
      <c r="AI23" s="251">
        <v>12</v>
      </c>
      <c r="AJ23" s="255">
        <v>410957.81559484493</v>
      </c>
      <c r="AK23" s="251">
        <v>14</v>
      </c>
      <c r="AL23" s="255">
        <v>495433.76738525799</v>
      </c>
      <c r="AM23" s="251">
        <v>15</v>
      </c>
      <c r="AN23" s="255">
        <v>576605.72541729477</v>
      </c>
      <c r="AO23" s="251">
        <v>12</v>
      </c>
      <c r="AP23" s="255">
        <v>416645.50576172053</v>
      </c>
      <c r="AQ23" s="251">
        <v>12</v>
      </c>
      <c r="AR23" s="255">
        <v>434505.08935601957</v>
      </c>
      <c r="AS23" s="251">
        <v>12</v>
      </c>
      <c r="AT23" s="255">
        <v>432803.79780537629</v>
      </c>
      <c r="AU23" s="251">
        <v>12</v>
      </c>
      <c r="AV23" s="255">
        <v>462957.02182787523</v>
      </c>
      <c r="AW23" s="251">
        <v>12</v>
      </c>
      <c r="AX23" s="255">
        <v>435880.45968938753</v>
      </c>
      <c r="AY23" s="251">
        <v>10</v>
      </c>
      <c r="AZ23" s="255">
        <v>386599.22987866338</v>
      </c>
      <c r="BA23" s="251">
        <v>10</v>
      </c>
      <c r="BB23" s="255">
        <v>370010.69666073797</v>
      </c>
      <c r="BC23" s="251">
        <v>10</v>
      </c>
      <c r="BD23" s="255">
        <v>321868</v>
      </c>
      <c r="BE23" s="251">
        <v>6</v>
      </c>
      <c r="BF23" s="255">
        <v>294959.19435815659</v>
      </c>
      <c r="BG23" s="251">
        <v>5</v>
      </c>
      <c r="BH23" s="255">
        <v>275848.72127767204</v>
      </c>
      <c r="BI23" s="251">
        <v>5</v>
      </c>
      <c r="BJ23" s="255">
        <v>272405</v>
      </c>
      <c r="BK23" s="251">
        <v>5</v>
      </c>
      <c r="BL23" s="255">
        <v>286591.14525759657</v>
      </c>
      <c r="BM23" s="251">
        <v>5</v>
      </c>
      <c r="BN23" s="255">
        <v>282669</v>
      </c>
      <c r="BO23" s="251">
        <v>5</v>
      </c>
      <c r="BP23" s="255">
        <v>338033</v>
      </c>
      <c r="BQ23" s="251">
        <v>5.4</v>
      </c>
      <c r="BR23" s="255">
        <v>297942</v>
      </c>
      <c r="BS23" s="251">
        <v>9</v>
      </c>
      <c r="BT23" s="255">
        <v>290510</v>
      </c>
      <c r="BU23" s="251">
        <v>8</v>
      </c>
      <c r="BV23" s="255">
        <v>291769</v>
      </c>
      <c r="BW23" s="251">
        <v>9.3000000000000007</v>
      </c>
      <c r="BX23" s="255">
        <v>304021</v>
      </c>
      <c r="BY23" s="251">
        <f>8+1</f>
        <v>9</v>
      </c>
      <c r="BZ23" s="255">
        <v>317309.05187444575</v>
      </c>
      <c r="CA23" s="251">
        <v>9</v>
      </c>
      <c r="CB23" s="255">
        <v>286755</v>
      </c>
      <c r="CC23" s="251">
        <v>8.8591209139594937</v>
      </c>
      <c r="CD23" s="255">
        <v>287943.83754156111</v>
      </c>
      <c r="CE23" s="251">
        <v>8</v>
      </c>
      <c r="CF23" s="255">
        <v>278774</v>
      </c>
      <c r="CG23" s="251">
        <v>8</v>
      </c>
      <c r="CH23" s="255">
        <v>286550</v>
      </c>
      <c r="CI23" s="251">
        <v>8</v>
      </c>
      <c r="CJ23" s="255">
        <v>286550</v>
      </c>
      <c r="CK23" s="251">
        <v>7.8922012711023513</v>
      </c>
      <c r="CL23" s="255">
        <v>298470.90261435992</v>
      </c>
      <c r="CM23" s="251">
        <v>8</v>
      </c>
      <c r="CN23" s="255">
        <v>295329</v>
      </c>
      <c r="CO23" s="251">
        <v>8</v>
      </c>
      <c r="CP23" s="255">
        <v>276114.56120318081</v>
      </c>
      <c r="CQ23" s="251">
        <v>16</v>
      </c>
      <c r="CR23" s="255">
        <v>470523</v>
      </c>
      <c r="CS23" s="251">
        <v>9</v>
      </c>
      <c r="CT23" s="255">
        <v>337892.53379465581</v>
      </c>
      <c r="CU23" s="251">
        <v>8.9225697709078187</v>
      </c>
      <c r="CV23" s="255">
        <v>324007.27306442265</v>
      </c>
      <c r="CW23" s="251">
        <v>9</v>
      </c>
      <c r="CX23" s="255">
        <v>383982</v>
      </c>
      <c r="CY23" s="251">
        <v>13.826759119172184</v>
      </c>
      <c r="CZ23" s="255">
        <v>589914.06889977481</v>
      </c>
      <c r="DA23" s="251">
        <v>16</v>
      </c>
      <c r="DB23" s="255">
        <v>579946.24799747404</v>
      </c>
      <c r="DC23" s="262">
        <v>14.153267932069395</v>
      </c>
      <c r="DD23" s="263">
        <v>526404.62063386606</v>
      </c>
      <c r="DE23" s="262">
        <v>12</v>
      </c>
      <c r="DF23" s="263">
        <v>344504.61202157568</v>
      </c>
      <c r="DG23" s="262">
        <v>10</v>
      </c>
      <c r="DH23" s="263">
        <v>353861.23674759502</v>
      </c>
      <c r="DI23" s="262">
        <v>11</v>
      </c>
      <c r="DJ23" s="263">
        <v>424477.07504113403</v>
      </c>
      <c r="DK23" s="262">
        <v>9</v>
      </c>
      <c r="DL23" s="263">
        <v>343402.36986791191</v>
      </c>
      <c r="DM23" s="262">
        <v>9</v>
      </c>
      <c r="DN23" s="263">
        <v>387162.36644855945</v>
      </c>
      <c r="DO23" s="262">
        <v>8.9844308822074215</v>
      </c>
      <c r="DP23" s="263">
        <v>358517.08894036454</v>
      </c>
      <c r="DQ23" s="262">
        <v>9</v>
      </c>
      <c r="DR23" s="263">
        <v>359464.50075632567</v>
      </c>
      <c r="DU23" s="256">
        <v>15.816883701317217</v>
      </c>
      <c r="DV23" s="255">
        <v>516651.770423398</v>
      </c>
      <c r="DW23" s="256">
        <v>15.816883701317217</v>
      </c>
      <c r="DX23" s="255">
        <v>516651.770423398</v>
      </c>
      <c r="DY23" s="256">
        <v>15.816883701317217</v>
      </c>
      <c r="DZ23" s="255">
        <v>516651.770423398</v>
      </c>
      <c r="EA23" s="256">
        <v>15.816883701317217</v>
      </c>
      <c r="EB23" s="255">
        <v>516651.770423398</v>
      </c>
      <c r="EC23" s="256">
        <v>15.816883701317217</v>
      </c>
      <c r="ED23" s="255">
        <v>516651.770423398</v>
      </c>
      <c r="EE23" s="256">
        <v>15.816883701317217</v>
      </c>
      <c r="EF23" s="255">
        <v>516651.770423398</v>
      </c>
      <c r="EG23" s="256">
        <v>15.816883701317217</v>
      </c>
      <c r="EH23" s="255">
        <v>516651.770423398</v>
      </c>
      <c r="EI23" s="256">
        <v>15.816883701317217</v>
      </c>
      <c r="EJ23" s="255">
        <v>516651.770423398</v>
      </c>
      <c r="EK23" s="256">
        <v>15.816883701317217</v>
      </c>
      <c r="EL23" s="255">
        <v>516651.770423398</v>
      </c>
      <c r="EM23" s="256">
        <v>15.816883701317217</v>
      </c>
      <c r="EN23" s="255">
        <v>516651.770423398</v>
      </c>
      <c r="EO23" s="256">
        <v>15.816883701317217</v>
      </c>
      <c r="EP23" s="255">
        <v>516651.770423398</v>
      </c>
      <c r="EQ23" s="256">
        <v>15.816883701317217</v>
      </c>
      <c r="ER23" s="255">
        <v>516651.770423398</v>
      </c>
      <c r="ET23" s="257"/>
      <c r="EU23" s="257"/>
      <c r="EV23" s="257"/>
      <c r="EW23" s="257"/>
    </row>
    <row r="24" spans="1:153" x14ac:dyDescent="0.2">
      <c r="B24" s="258" t="s">
        <v>441</v>
      </c>
      <c r="C24" s="259">
        <v>17</v>
      </c>
      <c r="D24" s="252">
        <v>888450.30057692318</v>
      </c>
      <c r="E24" s="259">
        <v>17</v>
      </c>
      <c r="F24" s="252">
        <v>900208.49365384621</v>
      </c>
      <c r="G24" s="259">
        <v>17</v>
      </c>
      <c r="H24" s="252">
        <v>878923.99365384621</v>
      </c>
      <c r="I24" s="259">
        <v>17</v>
      </c>
      <c r="J24" s="252">
        <v>878414.49365384632</v>
      </c>
      <c r="K24" s="260">
        <v>17</v>
      </c>
      <c r="L24" s="261">
        <v>976140.64749999996</v>
      </c>
      <c r="M24" s="251">
        <v>2</v>
      </c>
      <c r="N24" s="252">
        <v>51450.94743589744</v>
      </c>
      <c r="O24" s="253">
        <v>2</v>
      </c>
      <c r="P24" s="252">
        <v>45911.894487179488</v>
      </c>
      <c r="Q24" s="251">
        <v>1</v>
      </c>
      <c r="R24" s="255">
        <v>32318.73076923077</v>
      </c>
      <c r="S24" s="251">
        <v>0</v>
      </c>
      <c r="T24" s="255">
        <v>0</v>
      </c>
      <c r="U24" s="251">
        <v>0</v>
      </c>
      <c r="V24" s="255">
        <v>0</v>
      </c>
      <c r="W24" s="251">
        <v>0</v>
      </c>
      <c r="X24" s="255">
        <v>0</v>
      </c>
      <c r="Y24" s="251">
        <v>0</v>
      </c>
      <c r="Z24" s="255">
        <v>0</v>
      </c>
      <c r="AA24" s="251">
        <v>0</v>
      </c>
      <c r="AB24" s="255">
        <v>0</v>
      </c>
      <c r="AC24" s="251">
        <v>0</v>
      </c>
      <c r="AD24" s="255">
        <v>0</v>
      </c>
      <c r="AE24" s="251">
        <v>0</v>
      </c>
      <c r="AF24" s="255">
        <v>0</v>
      </c>
      <c r="AG24" s="251">
        <v>0</v>
      </c>
      <c r="AH24" s="255">
        <v>0</v>
      </c>
      <c r="AI24" s="251">
        <v>0</v>
      </c>
      <c r="AJ24" s="255">
        <v>0</v>
      </c>
      <c r="AK24" s="251">
        <v>0</v>
      </c>
      <c r="AL24" s="255">
        <v>0</v>
      </c>
      <c r="AM24" s="251">
        <v>0</v>
      </c>
      <c r="AN24" s="255">
        <v>0</v>
      </c>
      <c r="AO24" s="251">
        <v>0</v>
      </c>
      <c r="AP24" s="255">
        <v>0</v>
      </c>
      <c r="AQ24" s="251">
        <v>0</v>
      </c>
      <c r="AR24" s="255">
        <v>0</v>
      </c>
      <c r="AS24" s="251">
        <v>0</v>
      </c>
      <c r="AT24" s="255">
        <v>0</v>
      </c>
      <c r="AU24" s="251">
        <v>0</v>
      </c>
      <c r="AV24" s="255">
        <v>0</v>
      </c>
      <c r="AW24" s="251">
        <v>0</v>
      </c>
      <c r="AX24" s="255">
        <v>0</v>
      </c>
      <c r="AY24" s="251">
        <v>0</v>
      </c>
      <c r="AZ24" s="255">
        <v>0</v>
      </c>
      <c r="BA24" s="251">
        <v>0</v>
      </c>
      <c r="BB24" s="255">
        <v>0</v>
      </c>
      <c r="BC24" s="251">
        <v>0</v>
      </c>
      <c r="BD24" s="255">
        <v>0</v>
      </c>
      <c r="BE24" s="251">
        <v>0</v>
      </c>
      <c r="BF24" s="255">
        <v>0</v>
      </c>
      <c r="BG24" s="251">
        <v>0</v>
      </c>
      <c r="BH24" s="255">
        <v>0</v>
      </c>
      <c r="BI24" s="251">
        <v>0</v>
      </c>
      <c r="BJ24" s="255">
        <v>0</v>
      </c>
      <c r="BK24" s="251">
        <v>0</v>
      </c>
      <c r="BL24" s="255">
        <v>0</v>
      </c>
      <c r="BM24" s="251">
        <v>0</v>
      </c>
      <c r="BN24" s="255">
        <v>0</v>
      </c>
      <c r="BO24" s="251">
        <v>0</v>
      </c>
      <c r="BP24" s="255">
        <v>0</v>
      </c>
      <c r="BQ24" s="251">
        <v>0</v>
      </c>
      <c r="BR24" s="255">
        <v>0</v>
      </c>
      <c r="BS24" s="251">
        <v>0</v>
      </c>
      <c r="BT24" s="255">
        <v>0</v>
      </c>
      <c r="BU24" s="251">
        <v>0</v>
      </c>
      <c r="BV24" s="255">
        <v>0</v>
      </c>
      <c r="BW24" s="251">
        <v>0</v>
      </c>
      <c r="BX24" s="255">
        <v>0</v>
      </c>
      <c r="BY24" s="251">
        <v>0</v>
      </c>
      <c r="BZ24" s="255">
        <v>0</v>
      </c>
      <c r="CA24" s="251">
        <v>0</v>
      </c>
      <c r="CB24" s="255">
        <v>0</v>
      </c>
      <c r="CC24" s="251">
        <v>0</v>
      </c>
      <c r="CD24" s="255">
        <v>0</v>
      </c>
      <c r="CE24" s="251">
        <v>0</v>
      </c>
      <c r="CF24" s="255">
        <v>0</v>
      </c>
      <c r="CG24" s="251">
        <v>0</v>
      </c>
      <c r="CH24" s="255">
        <v>0</v>
      </c>
      <c r="CI24" s="251">
        <v>0</v>
      </c>
      <c r="CJ24" s="255">
        <v>0</v>
      </c>
      <c r="CK24" s="251">
        <v>0</v>
      </c>
      <c r="CL24" s="255">
        <v>0</v>
      </c>
      <c r="CM24" s="251">
        <v>0</v>
      </c>
      <c r="CN24" s="255">
        <v>0</v>
      </c>
      <c r="CO24" s="251">
        <v>0</v>
      </c>
      <c r="CP24" s="255">
        <v>0</v>
      </c>
      <c r="CQ24" s="251">
        <v>0</v>
      </c>
      <c r="CR24" s="255">
        <v>0</v>
      </c>
      <c r="CS24" s="251">
        <v>0</v>
      </c>
      <c r="CT24" s="255">
        <v>0</v>
      </c>
      <c r="CU24" s="251">
        <v>0</v>
      </c>
      <c r="CV24" s="255">
        <v>0</v>
      </c>
      <c r="CW24" s="251">
        <v>0</v>
      </c>
      <c r="CX24" s="255">
        <v>0</v>
      </c>
      <c r="CY24" s="251">
        <v>0</v>
      </c>
      <c r="CZ24" s="255">
        <v>0</v>
      </c>
      <c r="DA24" s="251">
        <v>0</v>
      </c>
      <c r="DB24" s="255">
        <v>0</v>
      </c>
      <c r="DC24" s="251">
        <v>0</v>
      </c>
      <c r="DD24" s="255">
        <v>0</v>
      </c>
      <c r="DE24" s="251">
        <v>0</v>
      </c>
      <c r="DF24" s="255">
        <v>0</v>
      </c>
      <c r="DG24" s="251">
        <v>0</v>
      </c>
      <c r="DH24" s="255">
        <v>0</v>
      </c>
      <c r="DI24" s="251">
        <v>0</v>
      </c>
      <c r="DJ24" s="255">
        <v>0</v>
      </c>
      <c r="DK24" s="251">
        <v>0</v>
      </c>
      <c r="DL24" s="255">
        <v>0</v>
      </c>
      <c r="DM24" s="251">
        <v>0</v>
      </c>
      <c r="DN24" s="255">
        <v>0</v>
      </c>
      <c r="DO24" s="251">
        <v>0</v>
      </c>
      <c r="DP24" s="255">
        <v>0</v>
      </c>
      <c r="DQ24" s="251">
        <v>0</v>
      </c>
      <c r="DR24" s="255">
        <v>0</v>
      </c>
      <c r="DU24" s="256">
        <v>0</v>
      </c>
      <c r="DV24" s="255">
        <v>0</v>
      </c>
      <c r="DW24" s="256">
        <v>0</v>
      </c>
      <c r="DX24" s="255">
        <v>0</v>
      </c>
      <c r="DY24" s="256">
        <v>0</v>
      </c>
      <c r="DZ24" s="255">
        <v>0</v>
      </c>
      <c r="EA24" s="256">
        <v>0</v>
      </c>
      <c r="EB24" s="255">
        <v>0</v>
      </c>
      <c r="EC24" s="256">
        <v>0</v>
      </c>
      <c r="ED24" s="255">
        <v>0</v>
      </c>
      <c r="EE24" s="256">
        <v>0</v>
      </c>
      <c r="EF24" s="255">
        <v>0</v>
      </c>
      <c r="EG24" s="256">
        <v>0</v>
      </c>
      <c r="EH24" s="255">
        <v>0</v>
      </c>
      <c r="EI24" s="256">
        <v>0</v>
      </c>
      <c r="EJ24" s="255">
        <v>0</v>
      </c>
      <c r="EK24" s="256">
        <v>0</v>
      </c>
      <c r="EL24" s="255">
        <v>0</v>
      </c>
      <c r="EM24" s="256">
        <v>0</v>
      </c>
      <c r="EN24" s="255">
        <v>0</v>
      </c>
      <c r="EO24" s="256">
        <v>0</v>
      </c>
      <c r="EP24" s="255">
        <v>0</v>
      </c>
      <c r="EQ24" s="256">
        <v>0</v>
      </c>
      <c r="ER24" s="255">
        <v>0</v>
      </c>
      <c r="ET24" s="257"/>
      <c r="EU24" s="257"/>
    </row>
    <row r="25" spans="1:153" x14ac:dyDescent="0.2">
      <c r="B25" s="258" t="s">
        <v>442</v>
      </c>
      <c r="C25" s="253">
        <v>0</v>
      </c>
      <c r="D25" s="252">
        <v>0</v>
      </c>
      <c r="E25" s="253">
        <v>0</v>
      </c>
      <c r="F25" s="252">
        <v>0</v>
      </c>
      <c r="G25" s="253">
        <v>0</v>
      </c>
      <c r="H25" s="252">
        <v>0</v>
      </c>
      <c r="I25" s="253">
        <v>0</v>
      </c>
      <c r="J25" s="252">
        <v>0</v>
      </c>
      <c r="K25" s="267">
        <v>0</v>
      </c>
      <c r="L25" s="261">
        <v>0</v>
      </c>
      <c r="M25" s="251">
        <v>18</v>
      </c>
      <c r="N25" s="252">
        <v>236338.46762820517</v>
      </c>
      <c r="O25" s="253">
        <v>30</v>
      </c>
      <c r="P25" s="252">
        <v>668992.86705128173</v>
      </c>
      <c r="Q25" s="251">
        <v>49</v>
      </c>
      <c r="R25" s="255">
        <v>1192753.5571794873</v>
      </c>
      <c r="S25" s="251">
        <v>67</v>
      </c>
      <c r="T25" s="255">
        <v>1690672.4660256405</v>
      </c>
      <c r="U25" s="251">
        <v>77</v>
      </c>
      <c r="V25" s="255">
        <v>2107061.4253846155</v>
      </c>
      <c r="W25" s="251">
        <v>86</v>
      </c>
      <c r="X25" s="255">
        <v>2280695.851794872</v>
      </c>
      <c r="Y25" s="251">
        <v>99</v>
      </c>
      <c r="Z25" s="255">
        <v>2700368.9803205132</v>
      </c>
      <c r="AA25" s="251">
        <v>86</v>
      </c>
      <c r="AB25" s="255">
        <v>2100509.2591025629</v>
      </c>
      <c r="AC25" s="251">
        <v>93</v>
      </c>
      <c r="AD25" s="255">
        <v>2333468.7605769229</v>
      </c>
      <c r="AE25" s="251">
        <v>92</v>
      </c>
      <c r="AF25" s="255">
        <v>2273315.3622435895</v>
      </c>
      <c r="AG25" s="251">
        <v>84</v>
      </c>
      <c r="AH25" s="255">
        <v>2068969.9749999999</v>
      </c>
      <c r="AI25" s="251">
        <v>96</v>
      </c>
      <c r="AJ25" s="255">
        <v>2417548.5716666663</v>
      </c>
      <c r="AK25" s="251">
        <v>102</v>
      </c>
      <c r="AL25" s="255">
        <v>2700698.7644871781</v>
      </c>
      <c r="AM25" s="251">
        <v>102</v>
      </c>
      <c r="AN25" s="255">
        <v>2811901.3320512804</v>
      </c>
      <c r="AO25" s="251">
        <v>95</v>
      </c>
      <c r="AP25" s="255">
        <v>2356094.8586538462</v>
      </c>
      <c r="AQ25" s="251">
        <v>68</v>
      </c>
      <c r="AR25" s="255">
        <v>1767396.7675641028</v>
      </c>
      <c r="AS25" s="251">
        <f>55+2</f>
        <v>57</v>
      </c>
      <c r="AT25" s="255">
        <f>1758856+59176</f>
        <v>1818032</v>
      </c>
      <c r="AU25" s="251">
        <v>56</v>
      </c>
      <c r="AV25" s="255">
        <v>1537817.6064102568</v>
      </c>
      <c r="AW25" s="251">
        <v>49</v>
      </c>
      <c r="AX25" s="255">
        <v>1350437.9992948722</v>
      </c>
      <c r="AY25" s="251">
        <v>46</v>
      </c>
      <c r="AZ25" s="255">
        <v>1402560.5380344104</v>
      </c>
      <c r="BA25" s="251">
        <v>46</v>
      </c>
      <c r="BB25" s="255">
        <v>1680237.8423933852</v>
      </c>
      <c r="BC25" s="251">
        <v>45</v>
      </c>
      <c r="BD25" s="255">
        <v>1303144.2385897436</v>
      </c>
      <c r="BE25" s="251">
        <v>42</v>
      </c>
      <c r="BF25" s="255">
        <v>1585299.846153846</v>
      </c>
      <c r="BG25" s="251">
        <v>40</v>
      </c>
      <c r="BH25" s="255">
        <f>1193030.46153846+475000</f>
        <v>1668030.4615384601</v>
      </c>
      <c r="BI25" s="251">
        <v>40</v>
      </c>
      <c r="BJ25" s="255">
        <v>1157132.8586538462</v>
      </c>
      <c r="BK25" s="251">
        <v>39</v>
      </c>
      <c r="BL25" s="255">
        <f>1339363.17435897-178554</f>
        <v>1160809.17435897</v>
      </c>
      <c r="BM25" s="251">
        <v>38</v>
      </c>
      <c r="BN25" s="255">
        <v>1196063.8335897434</v>
      </c>
      <c r="BO25" s="251">
        <v>38</v>
      </c>
      <c r="BP25" s="255">
        <v>1093742.0135897435</v>
      </c>
      <c r="BQ25" s="251">
        <v>27</v>
      </c>
      <c r="BR25" s="255">
        <v>869613.31794871786</v>
      </c>
      <c r="BS25" s="251">
        <v>28</v>
      </c>
      <c r="BT25" s="255">
        <f>1134789.12064103-274755+100000</f>
        <v>960034.12064102991</v>
      </c>
      <c r="BU25" s="251">
        <v>29</v>
      </c>
      <c r="BV25" s="255">
        <f>910099.669679487+100000</f>
        <v>1010099.669679487</v>
      </c>
      <c r="BW25" s="251">
        <v>29</v>
      </c>
      <c r="BX25" s="255">
        <v>1057581.6661538463</v>
      </c>
      <c r="BY25" s="251">
        <v>29</v>
      </c>
      <c r="BZ25" s="255">
        <f>1399876.20461538-353579</f>
        <v>1046297.2046153799</v>
      </c>
      <c r="CA25" s="251">
        <v>28</v>
      </c>
      <c r="CB25" s="255">
        <v>1030864.9815384618</v>
      </c>
      <c r="CC25" s="251">
        <v>31</v>
      </c>
      <c r="CD25" s="255">
        <f>1482338.06378205-31607</f>
        <v>1450731.06378205</v>
      </c>
      <c r="CE25" s="251">
        <v>32</v>
      </c>
      <c r="CF25" s="255">
        <v>1177041.7200000002</v>
      </c>
      <c r="CG25" s="251">
        <v>33</v>
      </c>
      <c r="CH25" s="255">
        <v>1172592.1435897436</v>
      </c>
      <c r="CI25" s="251">
        <v>32</v>
      </c>
      <c r="CJ25" s="255">
        <f>1356849.98923077-200000</f>
        <v>1156849.9892307699</v>
      </c>
      <c r="CK25" s="251">
        <v>31</v>
      </c>
      <c r="CL25" s="255">
        <v>1117040.7692307692</v>
      </c>
      <c r="CM25" s="251">
        <v>30</v>
      </c>
      <c r="CN25" s="255">
        <v>1088620.4661538461</v>
      </c>
      <c r="CO25" s="251">
        <v>29</v>
      </c>
      <c r="CP25" s="255">
        <f>1387055.16615385-358659</f>
        <v>1028396.16615385</v>
      </c>
      <c r="CQ25" s="251">
        <v>31</v>
      </c>
      <c r="CR25" s="255">
        <v>1049286.020897436</v>
      </c>
      <c r="CS25" s="251">
        <v>30</v>
      </c>
      <c r="CT25" s="255">
        <v>1027655.9396153846</v>
      </c>
      <c r="CU25" s="251">
        <v>30</v>
      </c>
      <c r="CV25" s="255">
        <f>1685350.06237179-400000</f>
        <v>1285350.0623717899</v>
      </c>
      <c r="CW25" s="251">
        <v>30</v>
      </c>
      <c r="CX25" s="255">
        <v>1167514.4328846156</v>
      </c>
      <c r="CY25" s="251">
        <v>29</v>
      </c>
      <c r="CZ25" s="255">
        <v>1147356.0974358977</v>
      </c>
      <c r="DA25" s="251">
        <v>30</v>
      </c>
      <c r="DB25" s="255">
        <f>1643637.59198718-300000+150000</f>
        <v>1493637.5919871801</v>
      </c>
      <c r="DC25" s="251">
        <v>32</v>
      </c>
      <c r="DD25" s="255">
        <v>1238161.0495512823</v>
      </c>
      <c r="DE25" s="251">
        <v>32</v>
      </c>
      <c r="DF25" s="255">
        <v>1247515.198717949</v>
      </c>
      <c r="DG25" s="251">
        <v>30</v>
      </c>
      <c r="DH25" s="255">
        <f>1579187.67948718-370555+200000</f>
        <v>1408632.67948718</v>
      </c>
      <c r="DI25" s="251">
        <v>30</v>
      </c>
      <c r="DJ25" s="255">
        <f>1182790.89512821+200000</f>
        <v>1382790.8951282101</v>
      </c>
      <c r="DK25" s="251">
        <v>32</v>
      </c>
      <c r="DL25" s="255">
        <f>1559919.54705128+200000</f>
        <v>1759919.54705128</v>
      </c>
      <c r="DM25" s="251">
        <v>35</v>
      </c>
      <c r="DN25" s="255">
        <f>1824939.25467949+200000-450000</f>
        <v>1574939.2546794901</v>
      </c>
      <c r="DO25" s="251">
        <v>36</v>
      </c>
      <c r="DP25" s="255">
        <f>1458587.22307692+200000+400000</f>
        <v>2058587.22307692</v>
      </c>
      <c r="DQ25" s="251">
        <v>37</v>
      </c>
      <c r="DR25" s="255">
        <f>1494910.52467949+200000</f>
        <v>1694910.5246794899</v>
      </c>
      <c r="DU25" s="256">
        <v>33.421115470358572</v>
      </c>
      <c r="DV25" s="255">
        <v>1244359.3610461587</v>
      </c>
      <c r="DW25" s="256">
        <v>33.421115470358572</v>
      </c>
      <c r="DX25" s="255">
        <v>1244359.3610461587</v>
      </c>
      <c r="DY25" s="256">
        <v>33.421115470358572</v>
      </c>
      <c r="DZ25" s="255">
        <v>1244359.3610461587</v>
      </c>
      <c r="EA25" s="256">
        <v>33.421115470358572</v>
      </c>
      <c r="EB25" s="255">
        <v>1244359.3610461587</v>
      </c>
      <c r="EC25" s="256">
        <v>33.421115470358572</v>
      </c>
      <c r="ED25" s="255">
        <v>1244359.3610461587</v>
      </c>
      <c r="EE25" s="256">
        <v>33.421115470358572</v>
      </c>
      <c r="EF25" s="255">
        <v>1244359.3610461587</v>
      </c>
      <c r="EG25" s="256">
        <v>33.421115470358572</v>
      </c>
      <c r="EH25" s="255">
        <v>1244359.3610461587</v>
      </c>
      <c r="EI25" s="256">
        <v>33.421115470358572</v>
      </c>
      <c r="EJ25" s="255">
        <v>1244359.3610461587</v>
      </c>
      <c r="EK25" s="256">
        <v>33.421115470358572</v>
      </c>
      <c r="EL25" s="255">
        <v>1244359.3610461587</v>
      </c>
      <c r="EM25" s="256">
        <v>33.421115470358572</v>
      </c>
      <c r="EN25" s="255">
        <v>1244359.3610461587</v>
      </c>
      <c r="EO25" s="256">
        <v>33.421115470358572</v>
      </c>
      <c r="EP25" s="255">
        <v>1244359.3610461587</v>
      </c>
      <c r="EQ25" s="256">
        <v>33.421115470358572</v>
      </c>
      <c r="ER25" s="255">
        <v>1244359.3610461587</v>
      </c>
      <c r="ET25" s="257"/>
      <c r="EU25" s="257"/>
    </row>
    <row r="26" spans="1:153" x14ac:dyDescent="0.2">
      <c r="B26" s="258" t="s">
        <v>443</v>
      </c>
      <c r="C26" s="259">
        <v>4</v>
      </c>
      <c r="D26" s="252">
        <v>307829.80769230769</v>
      </c>
      <c r="E26" s="259">
        <v>4</v>
      </c>
      <c r="F26" s="252">
        <v>279674.80769230769</v>
      </c>
      <c r="G26" s="259">
        <v>4</v>
      </c>
      <c r="H26" s="252">
        <v>281439.80769230769</v>
      </c>
      <c r="I26" s="259">
        <v>7</v>
      </c>
      <c r="J26" s="252">
        <v>468044.50641025644</v>
      </c>
      <c r="K26" s="260">
        <v>11</v>
      </c>
      <c r="L26" s="261">
        <v>898037.29237179481</v>
      </c>
      <c r="M26" s="251">
        <v>8</v>
      </c>
      <c r="N26" s="252">
        <v>810022.40878205129</v>
      </c>
      <c r="O26" s="253">
        <v>9</v>
      </c>
      <c r="P26" s="252">
        <v>857193.85621794872</v>
      </c>
      <c r="Q26" s="251">
        <v>9</v>
      </c>
      <c r="R26" s="255">
        <v>826064.62333333329</v>
      </c>
      <c r="S26" s="251">
        <v>8</v>
      </c>
      <c r="T26" s="255">
        <v>719943.0464102563</v>
      </c>
      <c r="U26" s="251">
        <v>10</v>
      </c>
      <c r="V26" s="255">
        <v>824318.92307692301</v>
      </c>
      <c r="W26" s="251">
        <v>29</v>
      </c>
      <c r="X26" s="255">
        <v>1517966.3467307694</v>
      </c>
      <c r="Y26" s="251">
        <v>31</v>
      </c>
      <c r="Z26" s="255">
        <v>1705282.4243589744</v>
      </c>
      <c r="AA26" s="251">
        <v>31</v>
      </c>
      <c r="AB26" s="255">
        <v>1667211.6151282049</v>
      </c>
      <c r="AC26" s="251">
        <v>8</v>
      </c>
      <c r="AD26" s="255">
        <v>704094.15384615376</v>
      </c>
      <c r="AE26" s="251">
        <v>8</v>
      </c>
      <c r="AF26" s="255">
        <v>706090.15384615376</v>
      </c>
      <c r="AG26" s="251">
        <v>8</v>
      </c>
      <c r="AH26" s="255">
        <v>600150.5</v>
      </c>
      <c r="AI26" s="251">
        <v>6</v>
      </c>
      <c r="AJ26" s="255">
        <v>540888.88461538451</v>
      </c>
      <c r="AK26" s="251">
        <v>6</v>
      </c>
      <c r="AL26" s="255">
        <v>540888.88461538451</v>
      </c>
      <c r="AM26" s="251">
        <v>6</v>
      </c>
      <c r="AN26" s="255">
        <v>568058.92307692301</v>
      </c>
      <c r="AO26" s="251">
        <v>6</v>
      </c>
      <c r="AP26" s="255">
        <v>572391.15384615376</v>
      </c>
      <c r="AQ26" s="251">
        <v>6</v>
      </c>
      <c r="AR26" s="255">
        <v>426612.49131513643</v>
      </c>
      <c r="AS26" s="251">
        <f>6</f>
        <v>6</v>
      </c>
      <c r="AT26" s="255">
        <f>927005+490581-552375</f>
        <v>865211</v>
      </c>
      <c r="AU26" s="251">
        <v>5</v>
      </c>
      <c r="AV26" s="255">
        <v>374630.07692307688</v>
      </c>
      <c r="AW26" s="251">
        <v>5</v>
      </c>
      <c r="AX26" s="255">
        <v>309596.18734491314</v>
      </c>
      <c r="AY26" s="251">
        <v>4</v>
      </c>
      <c r="AZ26" s="255">
        <v>777601.55650689406</v>
      </c>
      <c r="BA26" s="251">
        <v>4</v>
      </c>
      <c r="BB26" s="255">
        <v>793521.55650689406</v>
      </c>
      <c r="BC26" s="251">
        <v>4</v>
      </c>
      <c r="BD26" s="255">
        <v>777601.61897435889</v>
      </c>
      <c r="BE26" s="251">
        <v>4</v>
      </c>
      <c r="BF26" s="255">
        <v>842649.61897435889</v>
      </c>
      <c r="BG26" s="251">
        <v>4</v>
      </c>
      <c r="BH26" s="255">
        <v>777649.61897435889</v>
      </c>
      <c r="BI26" s="251">
        <v>4</v>
      </c>
      <c r="BJ26" s="255">
        <v>810982.61897435889</v>
      </c>
      <c r="BK26" s="251">
        <v>4</v>
      </c>
      <c r="BL26" s="255">
        <f>825638.818974359-47500</f>
        <v>778138.81897435896</v>
      </c>
      <c r="BM26" s="251">
        <v>6</v>
      </c>
      <c r="BN26" s="255">
        <v>935067.14974358969</v>
      </c>
      <c r="BO26" s="251">
        <v>7</v>
      </c>
      <c r="BP26" s="255">
        <v>1023394.4389102564</v>
      </c>
      <c r="BQ26" s="251">
        <v>4</v>
      </c>
      <c r="BR26" s="255">
        <v>845466.39230769232</v>
      </c>
      <c r="BS26" s="251">
        <v>4</v>
      </c>
      <c r="BT26" s="255">
        <f>986366.392307692-140900+100000</f>
        <v>945466.39230769197</v>
      </c>
      <c r="BU26" s="251">
        <v>4</v>
      </c>
      <c r="BV26" s="255">
        <f>845466.392307692+100000</f>
        <v>945466.39230769197</v>
      </c>
      <c r="BW26" s="251">
        <v>6</v>
      </c>
      <c r="BX26" s="255">
        <v>990756.22538461548</v>
      </c>
      <c r="BY26" s="251">
        <v>6</v>
      </c>
      <c r="BZ26" s="255">
        <f>1207485.22307692-148000</f>
        <v>1059485.22307692</v>
      </c>
      <c r="CA26" s="251">
        <f>8-1</f>
        <v>7</v>
      </c>
      <c r="CB26" s="255">
        <f>1190921.10089744-637875.030769231</f>
        <v>553046.07012820896</v>
      </c>
      <c r="CC26" s="251">
        <v>8</v>
      </c>
      <c r="CD26" s="255">
        <f>915795.849551282-298814</f>
        <v>616981.84955128201</v>
      </c>
      <c r="CE26" s="251">
        <v>7</v>
      </c>
      <c r="CF26" s="255">
        <v>528369.70679487183</v>
      </c>
      <c r="CG26" s="251">
        <v>8</v>
      </c>
      <c r="CH26" s="255">
        <v>590369.03025641036</v>
      </c>
      <c r="CI26" s="251">
        <v>9</v>
      </c>
      <c r="CJ26" s="255">
        <v>608238.06198717956</v>
      </c>
      <c r="CK26" s="251">
        <v>10</v>
      </c>
      <c r="CL26" s="255">
        <v>601545.46961538482</v>
      </c>
      <c r="CM26" s="251">
        <v>10</v>
      </c>
      <c r="CN26" s="255">
        <v>638930.10326923092</v>
      </c>
      <c r="CO26" s="251">
        <v>10</v>
      </c>
      <c r="CP26" s="255">
        <f>1139659.1974359-498762+200000</f>
        <v>840897.1974359001</v>
      </c>
      <c r="CQ26" s="251">
        <v>14</v>
      </c>
      <c r="CR26" s="255">
        <v>787151.07282051281</v>
      </c>
      <c r="CS26" s="251">
        <v>15</v>
      </c>
      <c r="CT26" s="255">
        <f>1240551.41153846+500000</f>
        <v>1740551.4115384601</v>
      </c>
      <c r="CU26" s="251">
        <v>15</v>
      </c>
      <c r="CV26" s="255">
        <f>1544747.94826923+250000-300000</f>
        <v>1494747.9482692301</v>
      </c>
      <c r="CW26" s="251">
        <f>15+1</f>
        <v>16</v>
      </c>
      <c r="CX26" s="255">
        <f>1112685.98051282+163068+250000</f>
        <v>1525753.98051282</v>
      </c>
      <c r="CY26" s="251">
        <v>15</v>
      </c>
      <c r="CZ26" s="255">
        <v>1364771.0432692301</v>
      </c>
      <c r="DA26" s="251">
        <v>15</v>
      </c>
      <c r="DB26" s="255">
        <f>1571765.6057134-200000+150000</f>
        <v>1521765.6057134001</v>
      </c>
      <c r="DC26" s="251">
        <v>15</v>
      </c>
      <c r="DD26" s="255">
        <f>1157258.69442308+200000</f>
        <v>1357258.69442308</v>
      </c>
      <c r="DE26" s="251">
        <v>17</v>
      </c>
      <c r="DF26" s="255">
        <f>1537191.49903846+100000</f>
        <v>1637191.49903846</v>
      </c>
      <c r="DG26" s="251">
        <v>18</v>
      </c>
      <c r="DH26" s="255">
        <f>2082307.84448718-379476+100000</f>
        <v>1802831.84448718</v>
      </c>
      <c r="DI26" s="251">
        <v>17</v>
      </c>
      <c r="DJ26" s="255">
        <f>1614319.11615385+100000</f>
        <v>1714319.11615385</v>
      </c>
      <c r="DK26" s="251">
        <v>17</v>
      </c>
      <c r="DL26" s="255">
        <f>1712493.56365385+100000</f>
        <v>1812493.56365385</v>
      </c>
      <c r="DM26" s="251">
        <v>19</v>
      </c>
      <c r="DN26" s="255">
        <f>1951836.81647436+100000-350000</f>
        <v>1701836.8164743599</v>
      </c>
      <c r="DO26" s="251">
        <v>19</v>
      </c>
      <c r="DP26" s="255">
        <f>1584606.66365385+100000+200000</f>
        <v>1884606.6636538501</v>
      </c>
      <c r="DQ26" s="251">
        <v>19</v>
      </c>
      <c r="DR26" s="255">
        <f>1866762.89442308+100000</f>
        <v>1966762.8944230799</v>
      </c>
      <c r="DU26" s="256">
        <v>16.451501227218294</v>
      </c>
      <c r="DV26" s="255">
        <v>1017485.6088974393</v>
      </c>
      <c r="DW26" s="256">
        <v>16.451501227218294</v>
      </c>
      <c r="DX26" s="255">
        <v>1017485.6088974393</v>
      </c>
      <c r="DY26" s="256">
        <v>16.451501227218294</v>
      </c>
      <c r="DZ26" s="255">
        <v>1017485.6088974393</v>
      </c>
      <c r="EA26" s="256">
        <v>16.451501227218294</v>
      </c>
      <c r="EB26" s="255">
        <v>1017485.6088974393</v>
      </c>
      <c r="EC26" s="256">
        <v>16.451501227218294</v>
      </c>
      <c r="ED26" s="255">
        <v>1017485.6088974393</v>
      </c>
      <c r="EE26" s="256">
        <v>16.451501227218294</v>
      </c>
      <c r="EF26" s="255">
        <v>1017485.6088974393</v>
      </c>
      <c r="EG26" s="256">
        <v>16.451501227218294</v>
      </c>
      <c r="EH26" s="255">
        <v>1017485.6088974393</v>
      </c>
      <c r="EI26" s="256">
        <v>16.451501227218294</v>
      </c>
      <c r="EJ26" s="255">
        <v>1017485.6088974393</v>
      </c>
      <c r="EK26" s="256">
        <v>16.451501227218294</v>
      </c>
      <c r="EL26" s="255">
        <v>1017485.6088974393</v>
      </c>
      <c r="EM26" s="256">
        <v>16.451501227218294</v>
      </c>
      <c r="EN26" s="255">
        <v>1017485.6088974393</v>
      </c>
      <c r="EO26" s="256">
        <v>16.451501227218294</v>
      </c>
      <c r="EP26" s="255">
        <v>1017485.6088974393</v>
      </c>
      <c r="EQ26" s="256">
        <v>16.451501227218294</v>
      </c>
      <c r="ER26" s="255">
        <v>1017485.6088974393</v>
      </c>
      <c r="ET26" s="257"/>
      <c r="EU26" s="257"/>
    </row>
    <row r="27" spans="1:153" x14ac:dyDescent="0.2">
      <c r="A27" s="236">
        <v>1</v>
      </c>
      <c r="B27" s="258" t="s">
        <v>444</v>
      </c>
      <c r="C27" s="259">
        <v>0</v>
      </c>
      <c r="D27" s="252">
        <v>0</v>
      </c>
      <c r="E27" s="259">
        <v>0</v>
      </c>
      <c r="F27" s="252">
        <v>0</v>
      </c>
      <c r="G27" s="259">
        <v>4</v>
      </c>
      <c r="H27" s="252">
        <v>161379.15384615387</v>
      </c>
      <c r="I27" s="259">
        <v>5</v>
      </c>
      <c r="J27" s="252">
        <v>304978.9503846154</v>
      </c>
      <c r="K27" s="260">
        <v>5</v>
      </c>
      <c r="L27" s="261">
        <v>328095.45038461534</v>
      </c>
      <c r="M27" s="251">
        <v>6</v>
      </c>
      <c r="N27" s="252">
        <v>338439.46352564095</v>
      </c>
      <c r="O27" s="253">
        <v>8</v>
      </c>
      <c r="P27" s="252">
        <v>391714.97128205124</v>
      </c>
      <c r="Q27" s="251">
        <v>8</v>
      </c>
      <c r="R27" s="255">
        <v>412593.02730769227</v>
      </c>
      <c r="S27" s="251">
        <v>8</v>
      </c>
      <c r="T27" s="255">
        <v>406147.65929487173</v>
      </c>
      <c r="U27" s="251">
        <v>9</v>
      </c>
      <c r="V27" s="255">
        <v>747535.29653846147</v>
      </c>
      <c r="W27" s="251">
        <v>9</v>
      </c>
      <c r="X27" s="255">
        <v>748297.68115384609</v>
      </c>
      <c r="Y27" s="251">
        <v>11</v>
      </c>
      <c r="Z27" s="255">
        <v>884132.61455128214</v>
      </c>
      <c r="AA27" s="251">
        <v>13</v>
      </c>
      <c r="AB27" s="255">
        <v>574817.86346153845</v>
      </c>
      <c r="AC27" s="251">
        <v>2</v>
      </c>
      <c r="AD27" s="255">
        <v>30057.047884615386</v>
      </c>
      <c r="AE27" s="251">
        <v>1</v>
      </c>
      <c r="AF27" s="255">
        <v>9711.7735256410251</v>
      </c>
      <c r="AG27" s="251">
        <v>0</v>
      </c>
      <c r="AH27" s="255">
        <v>0</v>
      </c>
      <c r="AI27" s="251">
        <v>0</v>
      </c>
      <c r="AJ27" s="255">
        <v>0</v>
      </c>
      <c r="AK27" s="251">
        <v>0</v>
      </c>
      <c r="AL27" s="255">
        <v>0</v>
      </c>
      <c r="AM27" s="251">
        <v>0</v>
      </c>
      <c r="AN27" s="255">
        <v>0</v>
      </c>
      <c r="AO27" s="251">
        <v>0</v>
      </c>
      <c r="AP27" s="255">
        <v>0</v>
      </c>
      <c r="AQ27" s="251">
        <v>0</v>
      </c>
      <c r="AR27" s="255">
        <v>0</v>
      </c>
      <c r="AS27" s="251">
        <v>0</v>
      </c>
      <c r="AT27" s="255">
        <v>0</v>
      </c>
      <c r="AU27" s="251">
        <v>0</v>
      </c>
      <c r="AV27" s="255">
        <v>0</v>
      </c>
      <c r="AW27" s="251">
        <v>0</v>
      </c>
      <c r="AX27" s="255">
        <v>0</v>
      </c>
      <c r="AY27" s="251">
        <v>0</v>
      </c>
      <c r="AZ27" s="255">
        <v>0</v>
      </c>
      <c r="BA27" s="251">
        <v>0</v>
      </c>
      <c r="BB27" s="255">
        <v>0</v>
      </c>
      <c r="BC27" s="251">
        <v>0</v>
      </c>
      <c r="BD27" s="255">
        <v>0</v>
      </c>
      <c r="BE27" s="251">
        <v>0</v>
      </c>
      <c r="BF27" s="255">
        <v>0</v>
      </c>
      <c r="BG27" s="251">
        <v>0</v>
      </c>
      <c r="BH27" s="255">
        <v>0</v>
      </c>
      <c r="BI27" s="251">
        <v>0</v>
      </c>
      <c r="BJ27" s="255">
        <v>0</v>
      </c>
      <c r="BK27" s="251">
        <v>0</v>
      </c>
      <c r="BL27" s="255">
        <v>0</v>
      </c>
      <c r="BM27" s="251">
        <v>0</v>
      </c>
      <c r="BN27" s="255">
        <v>0</v>
      </c>
      <c r="BO27" s="251">
        <v>0</v>
      </c>
      <c r="BP27" s="255">
        <v>0</v>
      </c>
      <c r="BQ27" s="251">
        <v>0</v>
      </c>
      <c r="BR27" s="255">
        <v>0</v>
      </c>
      <c r="BS27" s="251">
        <v>0</v>
      </c>
      <c r="BT27" s="255">
        <v>0</v>
      </c>
      <c r="BU27" s="251">
        <v>0</v>
      </c>
      <c r="BV27" s="255">
        <v>0</v>
      </c>
      <c r="BW27" s="251">
        <v>0</v>
      </c>
      <c r="BX27" s="255">
        <v>0</v>
      </c>
      <c r="BY27" s="251">
        <v>0</v>
      </c>
      <c r="BZ27" s="255">
        <v>0</v>
      </c>
      <c r="CA27" s="251">
        <v>0</v>
      </c>
      <c r="CB27" s="255">
        <v>0</v>
      </c>
      <c r="CC27" s="251">
        <v>0</v>
      </c>
      <c r="CD27" s="255">
        <v>0</v>
      </c>
      <c r="CE27" s="251">
        <v>0</v>
      </c>
      <c r="CF27" s="255">
        <v>0</v>
      </c>
      <c r="CG27" s="251">
        <v>0</v>
      </c>
      <c r="CH27" s="255">
        <v>0</v>
      </c>
      <c r="CI27" s="251">
        <v>0</v>
      </c>
      <c r="CJ27" s="255">
        <v>0</v>
      </c>
      <c r="CK27" s="251">
        <v>0</v>
      </c>
      <c r="CL27" s="255">
        <v>0</v>
      </c>
      <c r="CM27" s="251">
        <v>0</v>
      </c>
      <c r="CN27" s="255">
        <v>0</v>
      </c>
      <c r="CO27" s="251">
        <v>0</v>
      </c>
      <c r="CP27" s="255">
        <v>0</v>
      </c>
      <c r="CQ27" s="251">
        <v>0</v>
      </c>
      <c r="CR27" s="255">
        <v>0</v>
      </c>
      <c r="CS27" s="251">
        <v>0</v>
      </c>
      <c r="CT27" s="255">
        <v>0</v>
      </c>
      <c r="CU27" s="251">
        <v>0</v>
      </c>
      <c r="CV27" s="255">
        <v>0</v>
      </c>
      <c r="CW27" s="251">
        <v>0</v>
      </c>
      <c r="CX27" s="255">
        <v>0</v>
      </c>
      <c r="CY27" s="251">
        <v>0</v>
      </c>
      <c r="CZ27" s="255">
        <v>0</v>
      </c>
      <c r="DA27" s="251">
        <v>0</v>
      </c>
      <c r="DB27" s="255">
        <v>0</v>
      </c>
      <c r="DC27" s="251">
        <v>0</v>
      </c>
      <c r="DD27" s="255">
        <v>0</v>
      </c>
      <c r="DE27" s="251">
        <v>0</v>
      </c>
      <c r="DF27" s="255">
        <v>0</v>
      </c>
      <c r="DG27" s="251">
        <v>0</v>
      </c>
      <c r="DH27" s="255">
        <v>0</v>
      </c>
      <c r="DI27" s="251">
        <v>0</v>
      </c>
      <c r="DJ27" s="255">
        <v>0</v>
      </c>
      <c r="DK27" s="251">
        <v>0</v>
      </c>
      <c r="DL27" s="255">
        <v>0</v>
      </c>
      <c r="DM27" s="251">
        <v>0</v>
      </c>
      <c r="DN27" s="255">
        <v>0</v>
      </c>
      <c r="DO27" s="251">
        <v>0</v>
      </c>
      <c r="DP27" s="255">
        <v>0</v>
      </c>
      <c r="DQ27" s="251">
        <v>0</v>
      </c>
      <c r="DR27" s="255">
        <v>0</v>
      </c>
      <c r="DU27" s="256">
        <v>0</v>
      </c>
      <c r="DV27" s="255">
        <v>0</v>
      </c>
      <c r="DW27" s="256">
        <v>0</v>
      </c>
      <c r="DX27" s="255">
        <v>0</v>
      </c>
      <c r="DY27" s="256">
        <v>0</v>
      </c>
      <c r="DZ27" s="255">
        <v>0</v>
      </c>
      <c r="EA27" s="256">
        <v>0</v>
      </c>
      <c r="EB27" s="255">
        <v>0</v>
      </c>
      <c r="EC27" s="256">
        <v>0</v>
      </c>
      <c r="ED27" s="255">
        <v>0</v>
      </c>
      <c r="EE27" s="256">
        <v>0</v>
      </c>
      <c r="EF27" s="255">
        <v>0</v>
      </c>
      <c r="EG27" s="256">
        <v>0</v>
      </c>
      <c r="EH27" s="255">
        <v>0</v>
      </c>
      <c r="EI27" s="256">
        <v>0</v>
      </c>
      <c r="EJ27" s="255">
        <v>0</v>
      </c>
      <c r="EK27" s="256">
        <v>0</v>
      </c>
      <c r="EL27" s="255">
        <v>0</v>
      </c>
      <c r="EM27" s="256">
        <v>0</v>
      </c>
      <c r="EN27" s="255">
        <v>0</v>
      </c>
      <c r="EO27" s="256">
        <v>0</v>
      </c>
      <c r="EP27" s="255">
        <v>0</v>
      </c>
      <c r="EQ27" s="256">
        <v>0</v>
      </c>
      <c r="ER27" s="255">
        <v>0</v>
      </c>
      <c r="ET27" s="257"/>
      <c r="EU27" s="257"/>
    </row>
    <row r="28" spans="1:153" x14ac:dyDescent="0.2">
      <c r="B28" s="258" t="s">
        <v>445</v>
      </c>
      <c r="C28" s="259">
        <v>10</v>
      </c>
      <c r="D28" s="252">
        <v>503988.13230769231</v>
      </c>
      <c r="E28" s="259">
        <v>9</v>
      </c>
      <c r="F28" s="252">
        <v>479910.67589743587</v>
      </c>
      <c r="G28" s="259">
        <v>9</v>
      </c>
      <c r="H28" s="252">
        <v>486243.12839743588</v>
      </c>
      <c r="I28" s="259">
        <v>8</v>
      </c>
      <c r="J28" s="252">
        <v>456431.70532051282</v>
      </c>
      <c r="K28" s="260">
        <v>8</v>
      </c>
      <c r="L28" s="261">
        <v>471431.70532051282</v>
      </c>
      <c r="M28" s="251">
        <v>9</v>
      </c>
      <c r="N28" s="252">
        <v>494598.36955128203</v>
      </c>
      <c r="O28" s="253">
        <v>9</v>
      </c>
      <c r="P28" s="252">
        <v>545025.66685897438</v>
      </c>
      <c r="Q28" s="251">
        <v>9</v>
      </c>
      <c r="R28" s="255">
        <v>579775.66685897438</v>
      </c>
      <c r="S28" s="251">
        <v>10</v>
      </c>
      <c r="T28" s="255">
        <v>650289.93608974363</v>
      </c>
      <c r="U28" s="251">
        <v>13</v>
      </c>
      <c r="V28" s="255">
        <v>680523.01301282062</v>
      </c>
      <c r="W28" s="251">
        <v>13</v>
      </c>
      <c r="X28" s="255">
        <v>678076.44333333347</v>
      </c>
      <c r="Y28" s="251">
        <v>13</v>
      </c>
      <c r="Z28" s="255">
        <v>1142474.9102564103</v>
      </c>
      <c r="AA28" s="251">
        <v>15</v>
      </c>
      <c r="AB28" s="255">
        <v>936414.88403846161</v>
      </c>
      <c r="AC28" s="251">
        <v>16</v>
      </c>
      <c r="AD28" s="255">
        <v>919518.73102564109</v>
      </c>
      <c r="AE28" s="251">
        <v>17</v>
      </c>
      <c r="AF28" s="255">
        <v>989131.62685897434</v>
      </c>
      <c r="AG28" s="251">
        <v>17</v>
      </c>
      <c r="AH28" s="255">
        <v>1042719.3317948717</v>
      </c>
      <c r="AI28" s="251">
        <v>17</v>
      </c>
      <c r="AJ28" s="255">
        <v>1304488.1394871795</v>
      </c>
      <c r="AK28" s="251">
        <v>18</v>
      </c>
      <c r="AL28" s="255">
        <v>1035826.4471794871</v>
      </c>
      <c r="AM28" s="251">
        <v>18</v>
      </c>
      <c r="AN28" s="255">
        <v>1057409.7164102565</v>
      </c>
      <c r="AO28" s="251">
        <v>20</v>
      </c>
      <c r="AP28" s="255">
        <v>1176706.5738461539</v>
      </c>
      <c r="AQ28" s="251">
        <v>19</v>
      </c>
      <c r="AR28" s="255">
        <v>1216277.7719230768</v>
      </c>
      <c r="AS28" s="251">
        <v>19</v>
      </c>
      <c r="AT28" s="255">
        <v>1464399.4642307691</v>
      </c>
      <c r="AU28" s="251">
        <v>18</v>
      </c>
      <c r="AV28" s="255">
        <v>1301696.8873076923</v>
      </c>
      <c r="AW28" s="251">
        <v>18</v>
      </c>
      <c r="AX28" s="255">
        <v>1143941.7334615386</v>
      </c>
      <c r="AY28" s="251">
        <v>24</v>
      </c>
      <c r="AZ28" s="255">
        <v>1538571.4400029031</v>
      </c>
      <c r="BA28" s="251">
        <v>24</v>
      </c>
      <c r="BB28" s="255">
        <v>1664930.9037890902</v>
      </c>
      <c r="BC28" s="251">
        <v>23</v>
      </c>
      <c r="BD28" s="255">
        <v>1493622.280068238</v>
      </c>
      <c r="BE28" s="251">
        <v>23</v>
      </c>
      <c r="BF28" s="255">
        <v>1534211.7594230766</v>
      </c>
      <c r="BG28" s="251">
        <v>24</v>
      </c>
      <c r="BH28" s="255">
        <v>1494664.9340384614</v>
      </c>
      <c r="BI28" s="251">
        <v>24</v>
      </c>
      <c r="BJ28" s="255">
        <v>1505275.4757051279</v>
      </c>
      <c r="BK28" s="251">
        <v>24</v>
      </c>
      <c r="BL28" s="255">
        <v>1635326.9887965261</v>
      </c>
      <c r="BM28" s="251">
        <v>18</v>
      </c>
      <c r="BN28" s="255">
        <v>1029983.3301923076</v>
      </c>
      <c r="BO28" s="251">
        <v>18</v>
      </c>
      <c r="BP28" s="255">
        <v>1043962.4148076923</v>
      </c>
      <c r="BQ28" s="251">
        <v>17</v>
      </c>
      <c r="BR28" s="255">
        <v>998382.49897435901</v>
      </c>
      <c r="BS28" s="251">
        <v>17</v>
      </c>
      <c r="BT28" s="255">
        <v>991929.33064102568</v>
      </c>
      <c r="BU28" s="251">
        <v>17</v>
      </c>
      <c r="BV28" s="255">
        <v>971823.15064102563</v>
      </c>
      <c r="BW28" s="251">
        <v>17</v>
      </c>
      <c r="BX28" s="255">
        <v>1352343.2889743592</v>
      </c>
      <c r="BY28" s="251">
        <v>17</v>
      </c>
      <c r="BZ28" s="255">
        <v>1113251.9473717951</v>
      </c>
      <c r="CA28" s="251">
        <v>18</v>
      </c>
      <c r="CB28" s="255">
        <v>1120924.3478846157</v>
      </c>
      <c r="CC28" s="251">
        <v>18</v>
      </c>
      <c r="CD28" s="255">
        <v>1161113.2858974363</v>
      </c>
      <c r="CE28" s="251">
        <v>17</v>
      </c>
      <c r="CF28" s="255">
        <v>1187108.216666667</v>
      </c>
      <c r="CG28" s="251">
        <v>18</v>
      </c>
      <c r="CH28" s="255">
        <v>1101911.8612820511</v>
      </c>
      <c r="CI28" s="251">
        <v>17</v>
      </c>
      <c r="CJ28" s="255">
        <v>1351093.6012820515</v>
      </c>
      <c r="CK28" s="251">
        <v>17</v>
      </c>
      <c r="CL28" s="255">
        <v>1006139.6471153846</v>
      </c>
      <c r="CM28" s="251">
        <v>17</v>
      </c>
      <c r="CN28" s="255">
        <v>1108670.4441315138</v>
      </c>
      <c r="CO28" s="251">
        <v>15</v>
      </c>
      <c r="CP28" s="255">
        <v>1240391.5161186932</v>
      </c>
      <c r="CQ28" s="251">
        <v>16</v>
      </c>
      <c r="CR28" s="255">
        <v>1069601.8303846156</v>
      </c>
      <c r="CS28" s="251">
        <v>18</v>
      </c>
      <c r="CT28" s="255">
        <v>1590489.4782051283</v>
      </c>
      <c r="CU28" s="251">
        <v>18</v>
      </c>
      <c r="CV28" s="255">
        <v>2005231.9589743591</v>
      </c>
      <c r="CW28" s="251">
        <v>18</v>
      </c>
      <c r="CX28" s="255">
        <v>1680468.9589743591</v>
      </c>
      <c r="CY28" s="251">
        <v>21</v>
      </c>
      <c r="CZ28" s="255">
        <v>1861827.2589743591</v>
      </c>
      <c r="DA28" s="251">
        <v>21</v>
      </c>
      <c r="DB28" s="255">
        <v>1874630.5512820513</v>
      </c>
      <c r="DC28" s="251">
        <v>21</v>
      </c>
      <c r="DD28" s="255">
        <v>2131765.5512820515</v>
      </c>
      <c r="DE28" s="251">
        <v>22</v>
      </c>
      <c r="DF28" s="255">
        <v>1890051.0162179486</v>
      </c>
      <c r="DG28" s="251">
        <v>22</v>
      </c>
      <c r="DH28" s="255">
        <v>1986803.6553846153</v>
      </c>
      <c r="DI28" s="251">
        <v>22</v>
      </c>
      <c r="DJ28" s="255">
        <v>1765483.7587179486</v>
      </c>
      <c r="DK28" s="251">
        <v>22</v>
      </c>
      <c r="DL28" s="255">
        <v>2199267.7870512819</v>
      </c>
      <c r="DM28" s="251">
        <v>22</v>
      </c>
      <c r="DN28" s="255">
        <v>1958780.5820512821</v>
      </c>
      <c r="DO28" s="251">
        <v>23</v>
      </c>
      <c r="DP28" s="255">
        <v>2418121.9718589741</v>
      </c>
      <c r="DQ28" s="251">
        <v>26</v>
      </c>
      <c r="DR28" s="255">
        <v>2501986.557692308</v>
      </c>
      <c r="DU28" s="256">
        <v>16</v>
      </c>
      <c r="DV28" s="255">
        <v>1230042.1049423078</v>
      </c>
      <c r="DW28" s="256">
        <v>16</v>
      </c>
      <c r="DX28" s="255">
        <v>1230042.1049423078</v>
      </c>
      <c r="DY28" s="256">
        <v>16</v>
      </c>
      <c r="DZ28" s="255">
        <v>1230042.1049423078</v>
      </c>
      <c r="EA28" s="256">
        <v>16</v>
      </c>
      <c r="EB28" s="255">
        <v>1230042.1049423078</v>
      </c>
      <c r="EC28" s="256">
        <v>16</v>
      </c>
      <c r="ED28" s="255">
        <v>1230042.1049423078</v>
      </c>
      <c r="EE28" s="256">
        <v>16</v>
      </c>
      <c r="EF28" s="255">
        <v>1230042.1049423078</v>
      </c>
      <c r="EG28" s="256">
        <v>16</v>
      </c>
      <c r="EH28" s="255">
        <v>1230042.1049423078</v>
      </c>
      <c r="EI28" s="256">
        <v>16</v>
      </c>
      <c r="EJ28" s="255">
        <v>1230042.1049423078</v>
      </c>
      <c r="EK28" s="256">
        <v>16</v>
      </c>
      <c r="EL28" s="255">
        <v>1230042.1049423078</v>
      </c>
      <c r="EM28" s="256">
        <v>16</v>
      </c>
      <c r="EN28" s="255">
        <v>1230042.1049423078</v>
      </c>
      <c r="EO28" s="256">
        <v>16</v>
      </c>
      <c r="EP28" s="255">
        <v>1230042.1049423078</v>
      </c>
      <c r="EQ28" s="256">
        <v>16</v>
      </c>
      <c r="ER28" s="255">
        <v>1230042.1049423078</v>
      </c>
      <c r="ET28" s="257"/>
      <c r="EU28" s="257"/>
    </row>
    <row r="29" spans="1:153" x14ac:dyDescent="0.2">
      <c r="B29" s="258" t="s">
        <v>446</v>
      </c>
      <c r="C29" s="259">
        <v>0</v>
      </c>
      <c r="D29" s="252">
        <v>0</v>
      </c>
      <c r="E29" s="259">
        <v>0</v>
      </c>
      <c r="F29" s="252">
        <v>0</v>
      </c>
      <c r="G29" s="259">
        <v>0</v>
      </c>
      <c r="H29" s="252">
        <v>0</v>
      </c>
      <c r="I29" s="259">
        <v>5</v>
      </c>
      <c r="J29" s="252">
        <v>150244.65384615384</v>
      </c>
      <c r="K29" s="260">
        <v>5</v>
      </c>
      <c r="L29" s="261">
        <v>156615.65384615384</v>
      </c>
      <c r="M29" s="251">
        <v>5</v>
      </c>
      <c r="N29" s="252">
        <v>151231.65384615384</v>
      </c>
      <c r="O29" s="253">
        <v>4</v>
      </c>
      <c r="P29" s="252">
        <v>122587.23076923077</v>
      </c>
      <c r="Q29" s="251">
        <v>4</v>
      </c>
      <c r="R29" s="255">
        <v>116512.23076923077</v>
      </c>
      <c r="S29" s="251">
        <v>4</v>
      </c>
      <c r="T29" s="255">
        <v>118139.73076923077</v>
      </c>
      <c r="U29" s="251">
        <v>9</v>
      </c>
      <c r="V29" s="255">
        <v>248469.05519230769</v>
      </c>
      <c r="W29" s="251">
        <v>8</v>
      </c>
      <c r="X29" s="255">
        <v>231659.30769230769</v>
      </c>
      <c r="Y29" s="251">
        <v>8</v>
      </c>
      <c r="Z29" s="255">
        <v>271285.73076923075</v>
      </c>
      <c r="AA29" s="251">
        <v>8</v>
      </c>
      <c r="AB29" s="255">
        <v>260618.73076923078</v>
      </c>
      <c r="AC29" s="251">
        <v>10</v>
      </c>
      <c r="AD29" s="255">
        <v>322574.15384615387</v>
      </c>
      <c r="AE29" s="251">
        <v>10</v>
      </c>
      <c r="AF29" s="255">
        <v>297252.15384615381</v>
      </c>
      <c r="AG29" s="251">
        <v>12</v>
      </c>
      <c r="AH29" s="255">
        <v>402802.58144799358</v>
      </c>
      <c r="AI29" s="251">
        <v>12</v>
      </c>
      <c r="AJ29" s="255">
        <v>450655.41872575879</v>
      </c>
      <c r="AK29" s="251">
        <v>14</v>
      </c>
      <c r="AL29" s="255">
        <v>539134.59026030335</v>
      </c>
      <c r="AM29" s="251">
        <v>12</v>
      </c>
      <c r="AN29" s="255">
        <v>507402.76621346496</v>
      </c>
      <c r="AO29" s="251">
        <v>15</v>
      </c>
      <c r="AP29" s="255">
        <v>536070.99391153792</v>
      </c>
      <c r="AQ29" s="251">
        <v>15</v>
      </c>
      <c r="AR29" s="255">
        <v>564590.26450448739</v>
      </c>
      <c r="AS29" s="251">
        <v>15</v>
      </c>
      <c r="AT29" s="255">
        <v>526657.88742435491</v>
      </c>
      <c r="AU29" s="251">
        <v>15</v>
      </c>
      <c r="AV29" s="255">
        <v>563488.57937530719</v>
      </c>
      <c r="AW29" s="251">
        <v>13</v>
      </c>
      <c r="AX29" s="255">
        <v>505164.79468642396</v>
      </c>
      <c r="AY29" s="251">
        <v>0</v>
      </c>
      <c r="AZ29" s="255">
        <v>0</v>
      </c>
      <c r="BA29" s="251">
        <v>0</v>
      </c>
      <c r="BB29" s="255">
        <v>0</v>
      </c>
      <c r="BC29" s="251">
        <v>0</v>
      </c>
      <c r="BD29" s="255">
        <v>0</v>
      </c>
      <c r="BE29" s="251">
        <v>0</v>
      </c>
      <c r="BF29" s="255">
        <v>0</v>
      </c>
      <c r="BG29" s="251">
        <v>0</v>
      </c>
      <c r="BH29" s="255">
        <v>0</v>
      </c>
      <c r="BI29" s="251">
        <v>0</v>
      </c>
      <c r="BJ29" s="255">
        <v>0</v>
      </c>
      <c r="BK29" s="251">
        <v>0</v>
      </c>
      <c r="BL29" s="255">
        <v>0</v>
      </c>
      <c r="BM29" s="251">
        <v>0</v>
      </c>
      <c r="BN29" s="255">
        <v>0</v>
      </c>
      <c r="BO29" s="251">
        <v>0</v>
      </c>
      <c r="BP29" s="255">
        <v>0</v>
      </c>
      <c r="BQ29" s="251">
        <v>0</v>
      </c>
      <c r="BR29" s="255">
        <v>0</v>
      </c>
      <c r="BS29" s="251">
        <v>0</v>
      </c>
      <c r="BT29" s="255">
        <v>0</v>
      </c>
      <c r="BU29" s="251">
        <v>0</v>
      </c>
      <c r="BV29" s="255">
        <v>0</v>
      </c>
      <c r="BW29" s="251">
        <v>0</v>
      </c>
      <c r="BX29" s="255">
        <v>0</v>
      </c>
      <c r="BY29" s="251">
        <v>0</v>
      </c>
      <c r="BZ29" s="255">
        <v>0</v>
      </c>
      <c r="CA29" s="251">
        <v>0</v>
      </c>
      <c r="CB29" s="255">
        <v>0</v>
      </c>
      <c r="CC29" s="251">
        <v>0</v>
      </c>
      <c r="CD29" s="255">
        <v>0</v>
      </c>
      <c r="CE29" s="251">
        <v>0</v>
      </c>
      <c r="CF29" s="255">
        <v>0</v>
      </c>
      <c r="CG29" s="251">
        <v>0</v>
      </c>
      <c r="CH29" s="255">
        <v>0</v>
      </c>
      <c r="CI29" s="251">
        <v>0</v>
      </c>
      <c r="CJ29" s="255">
        <v>0</v>
      </c>
      <c r="CK29" s="251">
        <v>0</v>
      </c>
      <c r="CL29" s="255">
        <v>0</v>
      </c>
      <c r="CM29" s="251">
        <v>0</v>
      </c>
      <c r="CN29" s="255">
        <v>0</v>
      </c>
      <c r="CO29" s="251">
        <v>0</v>
      </c>
      <c r="CP29" s="255">
        <v>0</v>
      </c>
      <c r="CQ29" s="251">
        <v>0</v>
      </c>
      <c r="CR29" s="255">
        <v>0</v>
      </c>
      <c r="CS29" s="251">
        <v>0</v>
      </c>
      <c r="CT29" s="255">
        <v>0</v>
      </c>
      <c r="CU29" s="251">
        <v>0</v>
      </c>
      <c r="CV29" s="255">
        <v>0</v>
      </c>
      <c r="CW29" s="251">
        <v>0</v>
      </c>
      <c r="CX29" s="255">
        <v>0</v>
      </c>
      <c r="CY29" s="251">
        <v>0</v>
      </c>
      <c r="CZ29" s="255">
        <v>0</v>
      </c>
      <c r="DA29" s="251">
        <v>0</v>
      </c>
      <c r="DB29" s="255">
        <v>0</v>
      </c>
      <c r="DC29" s="262">
        <v>0</v>
      </c>
      <c r="DD29" s="263">
        <v>0</v>
      </c>
      <c r="DE29" s="262">
        <v>0</v>
      </c>
      <c r="DF29" s="263">
        <v>0</v>
      </c>
      <c r="DG29" s="262">
        <v>0</v>
      </c>
      <c r="DH29" s="263">
        <v>0</v>
      </c>
      <c r="DI29" s="262">
        <v>0</v>
      </c>
      <c r="DJ29" s="263">
        <v>0</v>
      </c>
      <c r="DK29" s="262">
        <v>0</v>
      </c>
      <c r="DL29" s="263">
        <v>0</v>
      </c>
      <c r="DM29" s="262">
        <v>0</v>
      </c>
      <c r="DN29" s="263">
        <v>0</v>
      </c>
      <c r="DO29" s="262">
        <v>0</v>
      </c>
      <c r="DP29" s="263">
        <v>0</v>
      </c>
      <c r="DQ29" s="262">
        <v>0</v>
      </c>
      <c r="DR29" s="263">
        <v>0</v>
      </c>
      <c r="DU29" s="256">
        <v>0</v>
      </c>
      <c r="DV29" s="255">
        <v>0</v>
      </c>
      <c r="DW29" s="256">
        <v>0</v>
      </c>
      <c r="DX29" s="255">
        <v>0</v>
      </c>
      <c r="DY29" s="256">
        <v>0</v>
      </c>
      <c r="DZ29" s="255">
        <v>0</v>
      </c>
      <c r="EA29" s="256">
        <v>0</v>
      </c>
      <c r="EB29" s="255">
        <v>0</v>
      </c>
      <c r="EC29" s="256">
        <v>0</v>
      </c>
      <c r="ED29" s="255">
        <v>0</v>
      </c>
      <c r="EE29" s="256">
        <v>0</v>
      </c>
      <c r="EF29" s="255">
        <v>0</v>
      </c>
      <c r="EG29" s="256">
        <v>0</v>
      </c>
      <c r="EH29" s="255">
        <v>0</v>
      </c>
      <c r="EI29" s="256">
        <v>0</v>
      </c>
      <c r="EJ29" s="255">
        <v>0</v>
      </c>
      <c r="EK29" s="256">
        <v>0</v>
      </c>
      <c r="EL29" s="255">
        <v>0</v>
      </c>
      <c r="EM29" s="256">
        <v>0</v>
      </c>
      <c r="EN29" s="255">
        <v>0</v>
      </c>
      <c r="EO29" s="256">
        <v>0</v>
      </c>
      <c r="EP29" s="255">
        <v>0</v>
      </c>
      <c r="EQ29" s="256">
        <v>0</v>
      </c>
      <c r="ER29" s="255">
        <v>0</v>
      </c>
      <c r="ET29" s="257"/>
      <c r="EU29" s="257"/>
      <c r="EV29" s="257"/>
      <c r="EW29" s="257"/>
    </row>
    <row r="30" spans="1:153" x14ac:dyDescent="0.2">
      <c r="B30" s="258" t="s">
        <v>447</v>
      </c>
      <c r="C30" s="259">
        <v>0</v>
      </c>
      <c r="D30" s="252">
        <v>0</v>
      </c>
      <c r="E30" s="259">
        <v>0</v>
      </c>
      <c r="F30" s="252">
        <v>0</v>
      </c>
      <c r="G30" s="259">
        <v>0</v>
      </c>
      <c r="H30" s="252">
        <v>0</v>
      </c>
      <c r="I30" s="259">
        <v>3</v>
      </c>
      <c r="J30" s="252">
        <v>90443.192307692312</v>
      </c>
      <c r="K30" s="260">
        <v>3</v>
      </c>
      <c r="L30" s="261">
        <v>95149.692307692312</v>
      </c>
      <c r="M30" s="251">
        <v>3</v>
      </c>
      <c r="N30" s="252">
        <v>91577.192307692312</v>
      </c>
      <c r="O30" s="253">
        <v>3</v>
      </c>
      <c r="P30" s="252">
        <v>97995.692307692312</v>
      </c>
      <c r="Q30" s="251">
        <v>3</v>
      </c>
      <c r="R30" s="255">
        <v>92735.346153846156</v>
      </c>
      <c r="S30" s="251">
        <v>3</v>
      </c>
      <c r="T30" s="255">
        <v>93293.192307692312</v>
      </c>
      <c r="U30" s="251">
        <v>0</v>
      </c>
      <c r="V30" s="255">
        <v>0</v>
      </c>
      <c r="W30" s="251">
        <v>6</v>
      </c>
      <c r="X30" s="255">
        <v>157456.56410256412</v>
      </c>
      <c r="Y30" s="251">
        <v>6</v>
      </c>
      <c r="Z30" s="255">
        <v>153390.4323076923</v>
      </c>
      <c r="AA30" s="251">
        <v>5</v>
      </c>
      <c r="AB30" s="255">
        <v>144925.44871794872</v>
      </c>
      <c r="AC30" s="251">
        <v>15</v>
      </c>
      <c r="AD30" s="255">
        <v>418865.15282051289</v>
      </c>
      <c r="AE30" s="251">
        <v>15</v>
      </c>
      <c r="AF30" s="255">
        <v>370015.11814102565</v>
      </c>
      <c r="AG30" s="251">
        <v>16</v>
      </c>
      <c r="AH30" s="255">
        <v>463444.50779097114</v>
      </c>
      <c r="AI30" s="251">
        <v>13</v>
      </c>
      <c r="AJ30" s="255">
        <v>483605.49328781705</v>
      </c>
      <c r="AK30" s="251">
        <v>16</v>
      </c>
      <c r="AL30" s="255">
        <v>555586.61230852082</v>
      </c>
      <c r="AM30" s="251">
        <v>15</v>
      </c>
      <c r="AN30" s="255">
        <v>600448.3404007192</v>
      </c>
      <c r="AO30" s="251">
        <v>9</v>
      </c>
      <c r="AP30" s="255">
        <v>269567.53115829144</v>
      </c>
      <c r="AQ30" s="251">
        <v>7</v>
      </c>
      <c r="AR30" s="255">
        <v>264565.54431374767</v>
      </c>
      <c r="AS30" s="251">
        <v>7</v>
      </c>
      <c r="AT30" s="255">
        <v>280732.63094980095</v>
      </c>
      <c r="AU30" s="251">
        <v>7</v>
      </c>
      <c r="AV30" s="255">
        <v>320660.04399438715</v>
      </c>
      <c r="AW30" s="251">
        <v>7</v>
      </c>
      <c r="AX30" s="255">
        <v>301181.42897000245</v>
      </c>
      <c r="AY30" s="251">
        <v>34</v>
      </c>
      <c r="AZ30" s="255">
        <v>1192778.583906095</v>
      </c>
      <c r="BA30" s="251">
        <v>34</v>
      </c>
      <c r="BB30" s="255">
        <v>1161250.5910516069</v>
      </c>
      <c r="BC30" s="251">
        <v>34.386003779942925</v>
      </c>
      <c r="BD30" s="255">
        <v>1106158.0969226998</v>
      </c>
      <c r="BE30" s="251">
        <v>38</v>
      </c>
      <c r="BF30" s="255">
        <v>1232536.1930810839</v>
      </c>
      <c r="BG30" s="251">
        <v>42.658503779942926</v>
      </c>
      <c r="BH30" s="255">
        <v>1358941.113106396</v>
      </c>
      <c r="BI30" s="251">
        <v>42.658503779942926</v>
      </c>
      <c r="BJ30" s="255">
        <v>1327109.2094727219</v>
      </c>
      <c r="BK30" s="251">
        <v>46.031226556129397</v>
      </c>
      <c r="BL30" s="255">
        <v>1459594.8094593138</v>
      </c>
      <c r="BM30" s="251">
        <v>45</v>
      </c>
      <c r="BN30" s="255">
        <v>1435748.7768522673</v>
      </c>
      <c r="BO30" s="251">
        <v>58</v>
      </c>
      <c r="BP30" s="255">
        <v>1729996.8561863955</v>
      </c>
      <c r="BQ30" s="251">
        <v>58.189347648817609</v>
      </c>
      <c r="BR30" s="255">
        <v>1631695.8577735808</v>
      </c>
      <c r="BS30" s="251">
        <v>41</v>
      </c>
      <c r="BT30" s="255">
        <v>1563538.2561614646</v>
      </c>
      <c r="BU30" s="251">
        <v>48.639347648817612</v>
      </c>
      <c r="BV30" s="255">
        <v>1539189</v>
      </c>
      <c r="BW30" s="251">
        <v>51.196847648817609</v>
      </c>
      <c r="BX30" s="255">
        <v>1549676.7086943677</v>
      </c>
      <c r="BY30" s="251">
        <v>53</v>
      </c>
      <c r="BZ30" s="255">
        <v>1584920.9802919517</v>
      </c>
      <c r="CA30" s="251">
        <v>53.628847648817612</v>
      </c>
      <c r="CB30" s="255">
        <v>1650192.8821230403</v>
      </c>
      <c r="CC30" s="251">
        <v>51</v>
      </c>
      <c r="CD30" s="255">
        <v>1658250.6949901043</v>
      </c>
      <c r="CE30" s="251">
        <v>51</v>
      </c>
      <c r="CF30" s="255">
        <v>1633274.2730487739</v>
      </c>
      <c r="CG30" s="251">
        <v>45</v>
      </c>
      <c r="CH30" s="255">
        <v>1699965.3401390314</v>
      </c>
      <c r="CI30" s="251">
        <v>45</v>
      </c>
      <c r="CJ30" s="255">
        <v>1699965.3401390314</v>
      </c>
      <c r="CK30" s="251">
        <v>43.573117452675305</v>
      </c>
      <c r="CL30" s="255">
        <v>1783462.1581096775</v>
      </c>
      <c r="CM30" s="251">
        <v>44</v>
      </c>
      <c r="CN30" s="255">
        <v>1785266.6393337976</v>
      </c>
      <c r="CO30" s="251">
        <v>44</v>
      </c>
      <c r="CP30" s="255">
        <v>1712294.5555923767</v>
      </c>
      <c r="CQ30" s="251">
        <v>47</v>
      </c>
      <c r="CR30" s="255">
        <v>1865110.9059040928</v>
      </c>
      <c r="CS30" s="251">
        <v>44.498738545363537</v>
      </c>
      <c r="CT30" s="255">
        <v>1889990.2812508615</v>
      </c>
      <c r="CU30" s="251">
        <v>44.498738545363537</v>
      </c>
      <c r="CV30" s="255">
        <v>1837326.4793108888</v>
      </c>
      <c r="CW30" s="251">
        <v>72.506738545363532</v>
      </c>
      <c r="CX30" s="255">
        <v>2618947.7541159363</v>
      </c>
      <c r="CY30" s="251">
        <v>86.722116054792295</v>
      </c>
      <c r="CZ30" s="255">
        <v>3132408.0441403771</v>
      </c>
      <c r="DA30" s="251">
        <v>108</v>
      </c>
      <c r="DB30" s="255">
        <v>3982929</v>
      </c>
      <c r="DC30" s="262">
        <v>75</v>
      </c>
      <c r="DD30" s="263">
        <v>2826390</v>
      </c>
      <c r="DE30" s="262">
        <v>84</v>
      </c>
      <c r="DF30" s="263">
        <v>2966786</v>
      </c>
      <c r="DG30" s="262">
        <v>70</v>
      </c>
      <c r="DH30" s="263">
        <v>2867709</v>
      </c>
      <c r="DI30" s="262">
        <v>78</v>
      </c>
      <c r="DJ30" s="263">
        <v>2977548</v>
      </c>
      <c r="DK30" s="262">
        <v>78</v>
      </c>
      <c r="DL30" s="263">
        <v>3042978.6954934476</v>
      </c>
      <c r="DM30" s="262">
        <v>69</v>
      </c>
      <c r="DN30" s="263">
        <v>2773795.9280103063</v>
      </c>
      <c r="DO30" s="262">
        <v>55.278678166220018</v>
      </c>
      <c r="DP30" s="263">
        <v>2424140.7753134798</v>
      </c>
      <c r="DQ30" s="262">
        <v>52</v>
      </c>
      <c r="DR30" s="263">
        <v>2150117.415045036</v>
      </c>
      <c r="DU30" s="256">
        <v>47.173822205897935</v>
      </c>
      <c r="DV30" s="255">
        <v>2064209.6020498085</v>
      </c>
      <c r="DW30" s="256">
        <v>47.173822205897935</v>
      </c>
      <c r="DX30" s="255">
        <v>2064209.6020498085</v>
      </c>
      <c r="DY30" s="256">
        <v>47.173822205897935</v>
      </c>
      <c r="DZ30" s="255">
        <v>2064209.6020498085</v>
      </c>
      <c r="EA30" s="256">
        <v>47.173822205897935</v>
      </c>
      <c r="EB30" s="255">
        <v>2064209.6020498085</v>
      </c>
      <c r="EC30" s="256">
        <v>47.173822205897935</v>
      </c>
      <c r="ED30" s="255">
        <v>2064209.6020498085</v>
      </c>
      <c r="EE30" s="256">
        <v>47.173822205897935</v>
      </c>
      <c r="EF30" s="255">
        <v>2064209.6020498085</v>
      </c>
      <c r="EG30" s="256">
        <v>47.173822205897935</v>
      </c>
      <c r="EH30" s="255">
        <v>2064209.6020498085</v>
      </c>
      <c r="EI30" s="256">
        <v>47.173822205897935</v>
      </c>
      <c r="EJ30" s="255">
        <v>2064209.6020498085</v>
      </c>
      <c r="EK30" s="256">
        <v>47.173822205897935</v>
      </c>
      <c r="EL30" s="255">
        <v>2064209.6020498085</v>
      </c>
      <c r="EM30" s="256">
        <v>47.173822205897935</v>
      </c>
      <c r="EN30" s="255">
        <v>2064209.6020498085</v>
      </c>
      <c r="EO30" s="256">
        <v>47.173822205897935</v>
      </c>
      <c r="EP30" s="255">
        <v>2064209.6020498085</v>
      </c>
      <c r="EQ30" s="256">
        <v>47.173822205897935</v>
      </c>
      <c r="ER30" s="255">
        <v>2064209.6020498085</v>
      </c>
      <c r="ET30" s="257"/>
      <c r="EU30" s="257"/>
      <c r="EV30" s="257"/>
      <c r="EW30" s="257"/>
    </row>
    <row r="31" spans="1:153" x14ac:dyDescent="0.2">
      <c r="B31" s="258" t="s">
        <v>448</v>
      </c>
      <c r="C31" s="259">
        <v>5</v>
      </c>
      <c r="D31" s="252">
        <v>102019.24288461538</v>
      </c>
      <c r="E31" s="259">
        <v>5</v>
      </c>
      <c r="F31" s="252">
        <v>106056.24288461538</v>
      </c>
      <c r="G31" s="259">
        <v>5</v>
      </c>
      <c r="H31" s="252">
        <v>102019.24288461538</v>
      </c>
      <c r="I31" s="259">
        <v>5</v>
      </c>
      <c r="J31" s="252">
        <v>102019.24288461538</v>
      </c>
      <c r="K31" s="260">
        <v>5</v>
      </c>
      <c r="L31" s="261">
        <v>102169.05057692307</v>
      </c>
      <c r="M31" s="251">
        <v>5</v>
      </c>
      <c r="N31" s="252">
        <v>108519.24288461538</v>
      </c>
      <c r="O31" s="253">
        <v>5</v>
      </c>
      <c r="P31" s="252">
        <v>118253.58371794873</v>
      </c>
      <c r="Q31" s="251">
        <v>5</v>
      </c>
      <c r="R31" s="255">
        <v>123255.58371794873</v>
      </c>
      <c r="S31" s="251">
        <v>5</v>
      </c>
      <c r="T31" s="255">
        <v>117753.58371794873</v>
      </c>
      <c r="U31" s="251">
        <v>0</v>
      </c>
      <c r="V31" s="255">
        <v>0</v>
      </c>
      <c r="W31" s="251">
        <v>0</v>
      </c>
      <c r="X31" s="255">
        <v>0</v>
      </c>
      <c r="Y31" s="251">
        <v>0</v>
      </c>
      <c r="Z31" s="255">
        <v>0</v>
      </c>
      <c r="AA31" s="251">
        <v>0</v>
      </c>
      <c r="AB31" s="255">
        <v>0</v>
      </c>
      <c r="AC31" s="251">
        <v>0</v>
      </c>
      <c r="AD31" s="255">
        <v>0</v>
      </c>
      <c r="AE31" s="251">
        <v>0</v>
      </c>
      <c r="AF31" s="255">
        <v>0</v>
      </c>
      <c r="AG31" s="251">
        <v>0</v>
      </c>
      <c r="AH31" s="255">
        <v>0</v>
      </c>
      <c r="AI31" s="251">
        <v>0</v>
      </c>
      <c r="AJ31" s="255">
        <v>0</v>
      </c>
      <c r="AK31" s="251">
        <v>0</v>
      </c>
      <c r="AL31" s="255">
        <v>0</v>
      </c>
      <c r="AM31" s="251">
        <v>0</v>
      </c>
      <c r="AN31" s="255">
        <v>0</v>
      </c>
      <c r="AO31" s="251">
        <v>0</v>
      </c>
      <c r="AP31" s="255">
        <v>0</v>
      </c>
      <c r="AQ31" s="251">
        <v>0</v>
      </c>
      <c r="AR31" s="255">
        <v>0</v>
      </c>
      <c r="AS31" s="251">
        <v>0</v>
      </c>
      <c r="AT31" s="255">
        <v>0</v>
      </c>
      <c r="AU31" s="251">
        <v>0</v>
      </c>
      <c r="AV31" s="255">
        <v>0</v>
      </c>
      <c r="AW31" s="251">
        <v>0</v>
      </c>
      <c r="AX31" s="255">
        <v>0</v>
      </c>
      <c r="AY31" s="251">
        <v>0</v>
      </c>
      <c r="AZ31" s="255">
        <v>0</v>
      </c>
      <c r="BA31" s="251">
        <v>0</v>
      </c>
      <c r="BB31" s="255">
        <v>0</v>
      </c>
      <c r="BC31" s="251">
        <v>0</v>
      </c>
      <c r="BD31" s="255">
        <v>0</v>
      </c>
      <c r="BE31" s="251">
        <v>0</v>
      </c>
      <c r="BF31" s="255">
        <v>0</v>
      </c>
      <c r="BG31" s="251">
        <v>0</v>
      </c>
      <c r="BH31" s="255">
        <v>0</v>
      </c>
      <c r="BI31" s="251">
        <v>0</v>
      </c>
      <c r="BJ31" s="255">
        <v>0</v>
      </c>
      <c r="BK31" s="251">
        <v>0</v>
      </c>
      <c r="BL31" s="255">
        <v>0</v>
      </c>
      <c r="BM31" s="251">
        <v>0</v>
      </c>
      <c r="BN31" s="255">
        <v>0</v>
      </c>
      <c r="BO31" s="251">
        <v>0</v>
      </c>
      <c r="BP31" s="255">
        <v>0</v>
      </c>
      <c r="BQ31" s="251">
        <v>0</v>
      </c>
      <c r="BR31" s="255">
        <v>0</v>
      </c>
      <c r="BS31" s="251">
        <v>0</v>
      </c>
      <c r="BT31" s="255">
        <v>0</v>
      </c>
      <c r="BU31" s="251">
        <v>0</v>
      </c>
      <c r="BV31" s="255">
        <v>0</v>
      </c>
      <c r="BW31" s="251">
        <v>0</v>
      </c>
      <c r="BX31" s="255">
        <v>0</v>
      </c>
      <c r="BY31" s="251">
        <v>0</v>
      </c>
      <c r="BZ31" s="255">
        <v>0</v>
      </c>
      <c r="CA31" s="251">
        <v>0</v>
      </c>
      <c r="CB31" s="255">
        <v>0</v>
      </c>
      <c r="CC31" s="251">
        <v>0</v>
      </c>
      <c r="CD31" s="255">
        <v>0</v>
      </c>
      <c r="CE31" s="251">
        <v>0</v>
      </c>
      <c r="CF31" s="255">
        <v>0</v>
      </c>
      <c r="CG31" s="251">
        <v>0</v>
      </c>
      <c r="CH31" s="255">
        <v>0</v>
      </c>
      <c r="CI31" s="251">
        <v>0</v>
      </c>
      <c r="CJ31" s="255">
        <v>0</v>
      </c>
      <c r="CK31" s="251">
        <v>0</v>
      </c>
      <c r="CL31" s="255">
        <v>0</v>
      </c>
      <c r="CM31" s="251">
        <v>0</v>
      </c>
      <c r="CN31" s="255">
        <v>0</v>
      </c>
      <c r="CO31" s="251">
        <v>0</v>
      </c>
      <c r="CP31" s="255">
        <v>0</v>
      </c>
      <c r="CQ31" s="251">
        <v>0</v>
      </c>
      <c r="CR31" s="255">
        <v>0</v>
      </c>
      <c r="CS31" s="251">
        <v>0</v>
      </c>
      <c r="CT31" s="255">
        <v>0</v>
      </c>
      <c r="CU31" s="251">
        <v>0</v>
      </c>
      <c r="CV31" s="255">
        <v>0</v>
      </c>
      <c r="CW31" s="251">
        <v>0</v>
      </c>
      <c r="CX31" s="255">
        <v>0</v>
      </c>
      <c r="CY31" s="251">
        <v>0</v>
      </c>
      <c r="CZ31" s="255">
        <v>0</v>
      </c>
      <c r="DA31" s="251">
        <v>0</v>
      </c>
      <c r="DB31" s="255">
        <v>0</v>
      </c>
      <c r="DC31" s="251">
        <v>0</v>
      </c>
      <c r="DD31" s="255">
        <v>0</v>
      </c>
      <c r="DE31" s="251">
        <v>0</v>
      </c>
      <c r="DF31" s="255">
        <v>0</v>
      </c>
      <c r="DG31" s="251">
        <v>0</v>
      </c>
      <c r="DH31" s="255">
        <v>0</v>
      </c>
      <c r="DI31" s="251">
        <v>0</v>
      </c>
      <c r="DJ31" s="255">
        <v>0</v>
      </c>
      <c r="DK31" s="251">
        <v>0</v>
      </c>
      <c r="DL31" s="255">
        <v>0</v>
      </c>
      <c r="DM31" s="251">
        <v>0</v>
      </c>
      <c r="DN31" s="255">
        <v>0</v>
      </c>
      <c r="DO31" s="251">
        <v>0</v>
      </c>
      <c r="DP31" s="255">
        <v>0</v>
      </c>
      <c r="DQ31" s="251">
        <v>0</v>
      </c>
      <c r="DR31" s="255">
        <v>0</v>
      </c>
      <c r="DU31" s="256">
        <v>0</v>
      </c>
      <c r="DV31" s="255">
        <v>0</v>
      </c>
      <c r="DW31" s="256">
        <v>0</v>
      </c>
      <c r="DX31" s="255">
        <v>0</v>
      </c>
      <c r="DY31" s="256">
        <v>0</v>
      </c>
      <c r="DZ31" s="255">
        <v>0</v>
      </c>
      <c r="EA31" s="256">
        <v>0</v>
      </c>
      <c r="EB31" s="255">
        <v>0</v>
      </c>
      <c r="EC31" s="256">
        <v>0</v>
      </c>
      <c r="ED31" s="255">
        <v>0</v>
      </c>
      <c r="EE31" s="256">
        <v>0</v>
      </c>
      <c r="EF31" s="255">
        <v>0</v>
      </c>
      <c r="EG31" s="256">
        <v>0</v>
      </c>
      <c r="EH31" s="255">
        <v>0</v>
      </c>
      <c r="EI31" s="256">
        <v>0</v>
      </c>
      <c r="EJ31" s="255">
        <v>0</v>
      </c>
      <c r="EK31" s="256">
        <v>0</v>
      </c>
      <c r="EL31" s="255">
        <v>0</v>
      </c>
      <c r="EM31" s="256">
        <v>0</v>
      </c>
      <c r="EN31" s="255">
        <v>0</v>
      </c>
      <c r="EO31" s="256">
        <v>0</v>
      </c>
      <c r="EP31" s="255">
        <v>0</v>
      </c>
      <c r="EQ31" s="256">
        <v>0</v>
      </c>
      <c r="ER31" s="255">
        <v>0</v>
      </c>
      <c r="ET31" s="257"/>
      <c r="EU31" s="257"/>
    </row>
    <row r="32" spans="1:153" x14ac:dyDescent="0.2">
      <c r="B32" s="258" t="s">
        <v>449</v>
      </c>
      <c r="C32" s="259">
        <v>56</v>
      </c>
      <c r="D32" s="252">
        <v>1453587.0530769231</v>
      </c>
      <c r="E32" s="259">
        <v>56</v>
      </c>
      <c r="F32" s="252">
        <v>1440587.9718589738</v>
      </c>
      <c r="G32" s="259">
        <v>56</v>
      </c>
      <c r="H32" s="252">
        <v>1436346.5324358975</v>
      </c>
      <c r="I32" s="259">
        <v>88</v>
      </c>
      <c r="J32" s="252">
        <v>1869090.3282051282</v>
      </c>
      <c r="K32" s="260">
        <v>88</v>
      </c>
      <c r="L32" s="261">
        <v>2096218.64025641</v>
      </c>
      <c r="M32" s="251">
        <v>87</v>
      </c>
      <c r="N32" s="252">
        <v>2110273.1753846151</v>
      </c>
      <c r="O32" s="253">
        <v>84</v>
      </c>
      <c r="P32" s="252">
        <v>2146791.6111538457</v>
      </c>
      <c r="Q32" s="251">
        <v>84</v>
      </c>
      <c r="R32" s="255">
        <v>2151452.2559615378</v>
      </c>
      <c r="S32" s="251">
        <v>130</v>
      </c>
      <c r="T32" s="255">
        <v>2937146.8013461535</v>
      </c>
      <c r="U32" s="251">
        <v>109</v>
      </c>
      <c r="V32" s="255">
        <v>2574621.0610256405</v>
      </c>
      <c r="W32" s="251">
        <v>122</v>
      </c>
      <c r="X32" s="255">
        <v>2789599.8474358968</v>
      </c>
      <c r="Y32" s="251">
        <v>130</v>
      </c>
      <c r="Z32" s="255">
        <v>3182885.9190384611</v>
      </c>
      <c r="AA32" s="251">
        <v>125</v>
      </c>
      <c r="AB32" s="255">
        <v>3101488.0905769225</v>
      </c>
      <c r="AC32" s="251">
        <v>131</v>
      </c>
      <c r="AD32" s="255">
        <v>3207032.1733974358</v>
      </c>
      <c r="AE32" s="251">
        <v>132</v>
      </c>
      <c r="AF32" s="255">
        <v>3154859.6999358973</v>
      </c>
      <c r="AG32" s="251">
        <f>126+40</f>
        <v>166</v>
      </c>
      <c r="AH32" s="255">
        <f>3124580.65301282+579758</f>
        <v>3704338.6530128201</v>
      </c>
      <c r="AI32" s="251">
        <f>141+39</f>
        <v>180</v>
      </c>
      <c r="AJ32" s="255">
        <v>3878382.0477564102</v>
      </c>
      <c r="AK32" s="251">
        <f>142+48</f>
        <v>190</v>
      </c>
      <c r="AL32" s="255">
        <f>3453658.71833333+706258</f>
        <v>4159916.71833333</v>
      </c>
      <c r="AM32" s="251">
        <v>188</v>
      </c>
      <c r="AN32" s="255">
        <v>4263393.5333333351</v>
      </c>
      <c r="AO32" s="251">
        <v>194</v>
      </c>
      <c r="AP32" s="255">
        <v>4350714.31544872</v>
      </c>
      <c r="AQ32" s="251">
        <f>143+44</f>
        <v>187</v>
      </c>
      <c r="AR32" s="255">
        <f>3522762.75980769+704020</f>
        <v>4226782.75980769</v>
      </c>
      <c r="AS32" s="251">
        <f>168+9</f>
        <v>177</v>
      </c>
      <c r="AT32" s="255">
        <f>4080963.96544872+174903</f>
        <v>4255866.9654487204</v>
      </c>
      <c r="AU32" s="251">
        <f>164+11</f>
        <v>175</v>
      </c>
      <c r="AV32" s="255">
        <f>3945395.66782052+208714</f>
        <v>4154109.6678205198</v>
      </c>
      <c r="AW32" s="251">
        <f>164+4</f>
        <v>168</v>
      </c>
      <c r="AX32" s="255">
        <v>4008410.4289743612</v>
      </c>
      <c r="AY32" s="251">
        <f>155+4</f>
        <v>159</v>
      </c>
      <c r="AZ32" s="255">
        <f>3754665.6708601+87000</f>
        <v>3841665.6708601001</v>
      </c>
      <c r="BA32" s="251">
        <v>137</v>
      </c>
      <c r="BB32" s="255">
        <v>3795257.3405534322</v>
      </c>
      <c r="BC32" s="251">
        <v>164</v>
      </c>
      <c r="BD32" s="255">
        <v>4345647.2805769229</v>
      </c>
      <c r="BE32" s="251">
        <v>210</v>
      </c>
      <c r="BF32" s="255">
        <v>4322220.0951282047</v>
      </c>
      <c r="BG32" s="251">
        <f>131+176</f>
        <v>307</v>
      </c>
      <c r="BH32" s="255">
        <f>3421301.36602564+1964475</f>
        <v>5385776.3660256397</v>
      </c>
      <c r="BI32" s="251">
        <f>126+238-40</f>
        <v>324</v>
      </c>
      <c r="BJ32" s="255">
        <f>3336649.60301282+2980372-1000000</f>
        <v>5317021.6030128198</v>
      </c>
      <c r="BK32" s="251">
        <f>143+248</f>
        <v>391</v>
      </c>
      <c r="BL32" s="255">
        <f>3875387.26269231+3389961+500000</f>
        <v>7765348.2626923099</v>
      </c>
      <c r="BM32" s="251">
        <f>169+215</f>
        <v>384</v>
      </c>
      <c r="BN32" s="255">
        <v>7325918.51955128</v>
      </c>
      <c r="BO32" s="251">
        <v>322</v>
      </c>
      <c r="BP32" s="255">
        <v>6528208.6888461532</v>
      </c>
      <c r="BQ32" s="251">
        <v>305</v>
      </c>
      <c r="BR32" s="255">
        <v>6557592.1728846151</v>
      </c>
      <c r="BS32" s="251">
        <f>182+97</f>
        <v>279</v>
      </c>
      <c r="BT32" s="255">
        <f>4730907.48525641+1240134</f>
        <v>5971041.4852564102</v>
      </c>
      <c r="BU32" s="251">
        <f>191+64</f>
        <v>255</v>
      </c>
      <c r="BV32" s="255">
        <f>4934140.81147436+978793</f>
        <v>5912933.8114743596</v>
      </c>
      <c r="BW32" s="251">
        <v>273</v>
      </c>
      <c r="BX32" s="255">
        <v>6469243.0630128244</v>
      </c>
      <c r="BY32" s="251">
        <f>226+31</f>
        <v>257</v>
      </c>
      <c r="BZ32" s="255">
        <f>6066833.71557693+217790</f>
        <v>6284623.71557693</v>
      </c>
      <c r="CA32" s="251">
        <v>230</v>
      </c>
      <c r="CB32" s="255">
        <v>6480118.275769229</v>
      </c>
      <c r="CC32" s="251">
        <v>227</v>
      </c>
      <c r="CD32" s="255">
        <v>6382703.5160897495</v>
      </c>
      <c r="CE32" s="251">
        <v>245</v>
      </c>
      <c r="CF32" s="255">
        <v>6712077.2269230848</v>
      </c>
      <c r="CG32" s="251">
        <v>253</v>
      </c>
      <c r="CH32" s="255">
        <v>7015782.8501923112</v>
      </c>
      <c r="CI32" s="251">
        <v>274</v>
      </c>
      <c r="CJ32" s="255">
        <v>7728573.5332692359</v>
      </c>
      <c r="CK32" s="251">
        <v>277</v>
      </c>
      <c r="CL32" s="255">
        <v>8039331.3681410328</v>
      </c>
      <c r="CM32" s="251">
        <v>304</v>
      </c>
      <c r="CN32" s="255">
        <v>8845200.8500641137</v>
      </c>
      <c r="CO32" s="251">
        <v>312</v>
      </c>
      <c r="CP32" s="255">
        <v>8921003.8601282071</v>
      </c>
      <c r="CQ32" s="251">
        <v>336</v>
      </c>
      <c r="CR32" s="255">
        <v>8748018.6486538537</v>
      </c>
      <c r="CS32" s="251">
        <v>333</v>
      </c>
      <c r="CT32" s="255">
        <v>9306157.1343589853</v>
      </c>
      <c r="CU32" s="251">
        <v>333</v>
      </c>
      <c r="CV32" s="255">
        <f>9699679.79833334+30000</f>
        <v>9729679.7983333394</v>
      </c>
      <c r="CW32" s="251">
        <v>358</v>
      </c>
      <c r="CX32" s="255">
        <v>10054382.227756422</v>
      </c>
      <c r="CY32" s="251">
        <v>399</v>
      </c>
      <c r="CZ32" s="255">
        <v>11441533.707243597</v>
      </c>
      <c r="DA32" s="251">
        <v>412</v>
      </c>
      <c r="DB32" s="255">
        <v>11928268.177307697</v>
      </c>
      <c r="DC32" s="251">
        <v>460</v>
      </c>
      <c r="DD32" s="255">
        <v>12691202.367051285</v>
      </c>
      <c r="DE32" s="251">
        <f>504+2</f>
        <v>506</v>
      </c>
      <c r="DF32" s="255">
        <f>13692076.975641+17893</f>
        <v>13709969.975640999</v>
      </c>
      <c r="DG32" s="251">
        <v>497</v>
      </c>
      <c r="DH32" s="255">
        <v>14966400.806602567</v>
      </c>
      <c r="DI32" s="251">
        <v>506</v>
      </c>
      <c r="DJ32" s="255">
        <v>14999498.999551278</v>
      </c>
      <c r="DK32" s="251">
        <v>515</v>
      </c>
      <c r="DL32" s="255">
        <v>14695239.293910258</v>
      </c>
      <c r="DM32" s="251">
        <v>519</v>
      </c>
      <c r="DN32" s="255">
        <v>15026667.511858968</v>
      </c>
      <c r="DO32" s="251">
        <v>528</v>
      </c>
      <c r="DP32" s="255">
        <v>14473071.193269232</v>
      </c>
      <c r="DQ32" s="251">
        <v>524</v>
      </c>
      <c r="DR32" s="255">
        <v>14667137.990384614</v>
      </c>
      <c r="DS32" s="257"/>
      <c r="DU32" s="256">
        <v>373.62896563666931</v>
      </c>
      <c r="DV32" s="255">
        <v>10700489.508849753</v>
      </c>
      <c r="DW32" s="256">
        <v>379.01879967773726</v>
      </c>
      <c r="DX32" s="255">
        <v>10854850.834965387</v>
      </c>
      <c r="DY32" s="256">
        <v>370.31385115673777</v>
      </c>
      <c r="DZ32" s="255">
        <v>10605546.795688594</v>
      </c>
      <c r="EA32" s="256">
        <v>370.65346260105957</v>
      </c>
      <c r="EB32" s="255">
        <v>10615273.045608373</v>
      </c>
      <c r="EC32" s="256">
        <v>391.22427206954785</v>
      </c>
      <c r="ED32" s="255">
        <v>11204407.591242496</v>
      </c>
      <c r="EE32" s="256">
        <v>361.94506423205212</v>
      </c>
      <c r="EF32" s="255">
        <v>10365870.204938188</v>
      </c>
      <c r="EG32" s="256">
        <v>431.51264521916391</v>
      </c>
      <c r="EH32" s="255">
        <v>12358240.280529529</v>
      </c>
      <c r="EI32" s="256">
        <v>452.78122990289739</v>
      </c>
      <c r="EJ32" s="255">
        <v>12967358.652518077</v>
      </c>
      <c r="EK32" s="256">
        <v>485.32212288684372</v>
      </c>
      <c r="EL32" s="255">
        <v>13899308.570774484</v>
      </c>
      <c r="EM32" s="256">
        <v>502.65677784301454</v>
      </c>
      <c r="EN32" s="255">
        <v>14395761.765140612</v>
      </c>
      <c r="EO32" s="256">
        <v>480.67213721125842</v>
      </c>
      <c r="EP32" s="255">
        <v>13766136.018552482</v>
      </c>
      <c r="EQ32" s="256">
        <v>514.45113279658869</v>
      </c>
      <c r="ER32" s="255">
        <v>14733544.386542341</v>
      </c>
      <c r="ET32" s="257"/>
      <c r="EU32" s="257"/>
    </row>
    <row r="33" spans="1:153" x14ac:dyDescent="0.2">
      <c r="B33" s="258" t="s">
        <v>450</v>
      </c>
      <c r="C33" s="259">
        <v>28</v>
      </c>
      <c r="D33" s="252">
        <v>593862.23737179488</v>
      </c>
      <c r="E33" s="259">
        <v>29</v>
      </c>
      <c r="F33" s="252">
        <v>557278.45307692315</v>
      </c>
      <c r="G33" s="259">
        <v>30</v>
      </c>
      <c r="H33" s="252">
        <v>582916.48615384614</v>
      </c>
      <c r="I33" s="259">
        <v>37</v>
      </c>
      <c r="J33" s="252">
        <v>697902.62121794862</v>
      </c>
      <c r="K33" s="260">
        <v>35</v>
      </c>
      <c r="L33" s="261">
        <v>700560.08320512809</v>
      </c>
      <c r="M33" s="251">
        <v>34</v>
      </c>
      <c r="N33" s="252">
        <v>696942.99429487169</v>
      </c>
      <c r="O33" s="253">
        <v>32</v>
      </c>
      <c r="P33" s="252">
        <v>676554.34173076926</v>
      </c>
      <c r="Q33" s="251">
        <v>32</v>
      </c>
      <c r="R33" s="255">
        <v>679224.59410256403</v>
      </c>
      <c r="S33" s="251">
        <v>0</v>
      </c>
      <c r="T33" s="255">
        <v>0</v>
      </c>
      <c r="U33" s="251">
        <v>0</v>
      </c>
      <c r="V33" s="255">
        <v>0</v>
      </c>
      <c r="W33" s="251">
        <v>0</v>
      </c>
      <c r="X33" s="255">
        <v>0</v>
      </c>
      <c r="Y33" s="251">
        <v>0</v>
      </c>
      <c r="Z33" s="255">
        <v>0</v>
      </c>
      <c r="AA33" s="251">
        <v>0</v>
      </c>
      <c r="AB33" s="255">
        <v>0</v>
      </c>
      <c r="AC33" s="251">
        <v>0</v>
      </c>
      <c r="AD33" s="255">
        <v>0</v>
      </c>
      <c r="AE33" s="251">
        <v>0</v>
      </c>
      <c r="AF33" s="255">
        <v>0</v>
      </c>
      <c r="AG33" s="251">
        <v>0</v>
      </c>
      <c r="AH33" s="255">
        <v>0</v>
      </c>
      <c r="AI33" s="251">
        <v>0</v>
      </c>
      <c r="AJ33" s="255">
        <v>0</v>
      </c>
      <c r="AK33" s="251">
        <v>0</v>
      </c>
      <c r="AL33" s="255">
        <v>0</v>
      </c>
      <c r="AM33" s="251">
        <v>0</v>
      </c>
      <c r="AN33" s="255">
        <v>0</v>
      </c>
      <c r="AO33" s="251">
        <v>0</v>
      </c>
      <c r="AP33" s="255">
        <v>0</v>
      </c>
      <c r="AQ33" s="251">
        <v>0</v>
      </c>
      <c r="AR33" s="255">
        <v>0</v>
      </c>
      <c r="AS33" s="251">
        <v>0</v>
      </c>
      <c r="AT33" s="255">
        <v>0</v>
      </c>
      <c r="AU33" s="251">
        <v>0</v>
      </c>
      <c r="AV33" s="255">
        <v>0</v>
      </c>
      <c r="AW33" s="251">
        <v>0</v>
      </c>
      <c r="AX33" s="255">
        <v>0</v>
      </c>
      <c r="AY33" s="251">
        <v>0</v>
      </c>
      <c r="AZ33" s="255">
        <v>0</v>
      </c>
      <c r="BA33" s="251">
        <v>0</v>
      </c>
      <c r="BB33" s="255">
        <v>0</v>
      </c>
      <c r="BC33" s="251">
        <v>0</v>
      </c>
      <c r="BD33" s="255">
        <v>0</v>
      </c>
      <c r="BE33" s="251">
        <v>0</v>
      </c>
      <c r="BF33" s="255">
        <v>0</v>
      </c>
      <c r="BG33" s="251">
        <v>0</v>
      </c>
      <c r="BH33" s="255">
        <v>0</v>
      </c>
      <c r="BI33" s="251">
        <v>0</v>
      </c>
      <c r="BJ33" s="255">
        <v>0</v>
      </c>
      <c r="BK33" s="251">
        <v>0</v>
      </c>
      <c r="BL33" s="255">
        <v>0</v>
      </c>
      <c r="BM33" s="251">
        <v>0</v>
      </c>
      <c r="BN33" s="255">
        <v>0</v>
      </c>
      <c r="BO33" s="251">
        <v>0</v>
      </c>
      <c r="BP33" s="255">
        <v>0</v>
      </c>
      <c r="BQ33" s="251">
        <v>0</v>
      </c>
      <c r="BR33" s="255">
        <v>0</v>
      </c>
      <c r="BS33" s="251">
        <v>0</v>
      </c>
      <c r="BT33" s="255">
        <v>0</v>
      </c>
      <c r="BU33" s="251">
        <v>0</v>
      </c>
      <c r="BV33" s="255">
        <v>0</v>
      </c>
      <c r="BW33" s="251">
        <v>0</v>
      </c>
      <c r="BX33" s="255">
        <v>0</v>
      </c>
      <c r="BY33" s="251">
        <v>0</v>
      </c>
      <c r="BZ33" s="255">
        <v>0</v>
      </c>
      <c r="CA33" s="251">
        <v>0</v>
      </c>
      <c r="CB33" s="255">
        <v>0</v>
      </c>
      <c r="CC33" s="251">
        <v>0</v>
      </c>
      <c r="CD33" s="255">
        <v>0</v>
      </c>
      <c r="CE33" s="251">
        <v>0</v>
      </c>
      <c r="CF33" s="255">
        <v>0</v>
      </c>
      <c r="CG33" s="251">
        <v>0</v>
      </c>
      <c r="CH33" s="255">
        <v>0</v>
      </c>
      <c r="CI33" s="251">
        <v>0</v>
      </c>
      <c r="CJ33" s="255">
        <v>0</v>
      </c>
      <c r="CK33" s="251">
        <v>0</v>
      </c>
      <c r="CL33" s="255">
        <v>0</v>
      </c>
      <c r="CM33" s="251">
        <v>0</v>
      </c>
      <c r="CN33" s="255">
        <v>0</v>
      </c>
      <c r="CO33" s="251">
        <v>0</v>
      </c>
      <c r="CP33" s="255">
        <v>0</v>
      </c>
      <c r="CQ33" s="251">
        <v>0</v>
      </c>
      <c r="CR33" s="255">
        <v>0</v>
      </c>
      <c r="CS33" s="251">
        <v>0</v>
      </c>
      <c r="CT33" s="255">
        <v>0</v>
      </c>
      <c r="CU33" s="251">
        <v>0</v>
      </c>
      <c r="CV33" s="255">
        <v>0</v>
      </c>
      <c r="CW33" s="251">
        <v>0</v>
      </c>
      <c r="CX33" s="255">
        <v>0</v>
      </c>
      <c r="CY33" s="251">
        <v>0</v>
      </c>
      <c r="CZ33" s="255">
        <v>0</v>
      </c>
      <c r="DA33" s="251">
        <v>0</v>
      </c>
      <c r="DB33" s="255">
        <v>0</v>
      </c>
      <c r="DC33" s="251">
        <v>0</v>
      </c>
      <c r="DD33" s="255">
        <v>0</v>
      </c>
      <c r="DE33" s="251">
        <v>0</v>
      </c>
      <c r="DF33" s="255">
        <v>0</v>
      </c>
      <c r="DG33" s="251">
        <v>0</v>
      </c>
      <c r="DH33" s="255">
        <v>0</v>
      </c>
      <c r="DI33" s="251">
        <v>0</v>
      </c>
      <c r="DJ33" s="255">
        <v>0</v>
      </c>
      <c r="DK33" s="251">
        <v>0</v>
      </c>
      <c r="DL33" s="255">
        <v>0</v>
      </c>
      <c r="DM33" s="251">
        <v>0</v>
      </c>
      <c r="DN33" s="255">
        <v>0</v>
      </c>
      <c r="DO33" s="251">
        <v>0</v>
      </c>
      <c r="DP33" s="255">
        <v>0</v>
      </c>
      <c r="DQ33" s="251">
        <v>0</v>
      </c>
      <c r="DR33" s="255">
        <v>0</v>
      </c>
      <c r="DU33" s="256">
        <v>0</v>
      </c>
      <c r="DV33" s="255">
        <v>0</v>
      </c>
      <c r="DW33" s="256">
        <v>0</v>
      </c>
      <c r="DX33" s="255">
        <v>0</v>
      </c>
      <c r="DY33" s="256">
        <v>0</v>
      </c>
      <c r="DZ33" s="255">
        <v>0</v>
      </c>
      <c r="EA33" s="256">
        <v>0</v>
      </c>
      <c r="EB33" s="255">
        <v>0</v>
      </c>
      <c r="EC33" s="256">
        <v>0</v>
      </c>
      <c r="ED33" s="255">
        <v>0</v>
      </c>
      <c r="EE33" s="256">
        <v>0</v>
      </c>
      <c r="EF33" s="255">
        <v>0</v>
      </c>
      <c r="EG33" s="256">
        <v>0</v>
      </c>
      <c r="EH33" s="255">
        <v>0</v>
      </c>
      <c r="EI33" s="256">
        <v>0</v>
      </c>
      <c r="EJ33" s="255">
        <v>0</v>
      </c>
      <c r="EK33" s="256">
        <v>0</v>
      </c>
      <c r="EL33" s="255">
        <v>0</v>
      </c>
      <c r="EM33" s="256">
        <v>0</v>
      </c>
      <c r="EN33" s="255">
        <v>0</v>
      </c>
      <c r="EO33" s="256">
        <v>0</v>
      </c>
      <c r="EP33" s="255">
        <v>0</v>
      </c>
      <c r="EQ33" s="256">
        <v>0</v>
      </c>
      <c r="ER33" s="255">
        <v>0</v>
      </c>
      <c r="ET33" s="257"/>
      <c r="EU33" s="257"/>
    </row>
    <row r="34" spans="1:153" x14ac:dyDescent="0.2">
      <c r="B34" s="258" t="s">
        <v>451</v>
      </c>
      <c r="C34" s="259">
        <v>12</v>
      </c>
      <c r="D34" s="252">
        <v>436814.27230769233</v>
      </c>
      <c r="E34" s="259">
        <v>16</v>
      </c>
      <c r="F34" s="252">
        <v>674865.1323717949</v>
      </c>
      <c r="G34" s="259">
        <v>18</v>
      </c>
      <c r="H34" s="252">
        <v>757794.42307692312</v>
      </c>
      <c r="I34" s="259">
        <v>20</v>
      </c>
      <c r="J34" s="252">
        <v>835022.5</v>
      </c>
      <c r="K34" s="260">
        <v>23</v>
      </c>
      <c r="L34" s="261">
        <v>927470.7810897436</v>
      </c>
      <c r="M34" s="251">
        <v>26</v>
      </c>
      <c r="N34" s="252">
        <v>1131865.3076923077</v>
      </c>
      <c r="O34" s="253">
        <v>26</v>
      </c>
      <c r="P34" s="252">
        <v>1192838.2078846155</v>
      </c>
      <c r="Q34" s="251">
        <v>25</v>
      </c>
      <c r="R34" s="255">
        <v>1050979.681794872</v>
      </c>
      <c r="S34" s="251">
        <v>25</v>
      </c>
      <c r="T34" s="255">
        <v>1003764.2692307694</v>
      </c>
      <c r="U34" s="251">
        <v>23</v>
      </c>
      <c r="V34" s="255">
        <v>1083698.3501282053</v>
      </c>
      <c r="W34" s="251">
        <v>25</v>
      </c>
      <c r="X34" s="255">
        <v>1142656.2692307692</v>
      </c>
      <c r="Y34" s="251">
        <v>24</v>
      </c>
      <c r="Z34" s="255">
        <v>1344752.1813461536</v>
      </c>
      <c r="AA34" s="251">
        <v>29</v>
      </c>
      <c r="AB34" s="255">
        <v>1814690.8813461536</v>
      </c>
      <c r="AC34" s="251">
        <v>30</v>
      </c>
      <c r="AD34" s="255">
        <v>1757402.6612820509</v>
      </c>
      <c r="AE34" s="251">
        <v>29</v>
      </c>
      <c r="AF34" s="255">
        <v>1748700.7432051282</v>
      </c>
      <c r="AG34" s="251">
        <v>26</v>
      </c>
      <c r="AH34" s="255">
        <v>1745943.7378205128</v>
      </c>
      <c r="AI34" s="251">
        <f>27+1</f>
        <v>28</v>
      </c>
      <c r="AJ34" s="255">
        <f>1650793.58301282+73200</f>
        <v>1723993.58301282</v>
      </c>
      <c r="AK34" s="251">
        <v>22</v>
      </c>
      <c r="AL34" s="255">
        <v>1212854.9254487178</v>
      </c>
      <c r="AM34" s="251">
        <v>22</v>
      </c>
      <c r="AN34" s="255">
        <v>1069802.4554239039</v>
      </c>
      <c r="AO34" s="251">
        <v>13</v>
      </c>
      <c r="AP34" s="255">
        <v>1073292.6341025641</v>
      </c>
      <c r="AQ34" s="251">
        <v>15</v>
      </c>
      <c r="AR34" s="255">
        <v>999475.86673076928</v>
      </c>
      <c r="AS34" s="251">
        <v>20</v>
      </c>
      <c r="AT34" s="255">
        <f>1333474+58662</f>
        <v>1392136</v>
      </c>
      <c r="AU34" s="251">
        <v>22</v>
      </c>
      <c r="AV34" s="255">
        <v>1360908.5505128207</v>
      </c>
      <c r="AW34" s="251">
        <v>16</v>
      </c>
      <c r="AX34" s="255">
        <v>982959.40874069475</v>
      </c>
      <c r="AY34" s="251">
        <v>0</v>
      </c>
      <c r="AZ34" s="255">
        <v>0</v>
      </c>
      <c r="BA34" s="251">
        <v>0</v>
      </c>
      <c r="BB34" s="255">
        <v>0</v>
      </c>
      <c r="BC34" s="251">
        <v>0</v>
      </c>
      <c r="BD34" s="255">
        <v>0</v>
      </c>
      <c r="BE34" s="251">
        <v>0</v>
      </c>
      <c r="BF34" s="255">
        <v>0</v>
      </c>
      <c r="BG34" s="251">
        <v>0</v>
      </c>
      <c r="BH34" s="255">
        <v>0</v>
      </c>
      <c r="BI34" s="251">
        <v>0</v>
      </c>
      <c r="BJ34" s="255">
        <v>0</v>
      </c>
      <c r="BK34" s="251">
        <v>0</v>
      </c>
      <c r="BL34" s="255">
        <v>0</v>
      </c>
      <c r="BM34" s="251">
        <v>0</v>
      </c>
      <c r="BN34" s="255">
        <v>0</v>
      </c>
      <c r="BO34" s="251">
        <v>0</v>
      </c>
      <c r="BP34" s="255">
        <v>0</v>
      </c>
      <c r="BQ34" s="251">
        <v>0</v>
      </c>
      <c r="BR34" s="255">
        <v>0</v>
      </c>
      <c r="BS34" s="251">
        <v>0</v>
      </c>
      <c r="BT34" s="255">
        <v>0</v>
      </c>
      <c r="BU34" s="251">
        <v>0</v>
      </c>
      <c r="BV34" s="255">
        <v>0</v>
      </c>
      <c r="BW34" s="251">
        <v>0</v>
      </c>
      <c r="BX34" s="255">
        <v>0</v>
      </c>
      <c r="BY34" s="251">
        <v>0</v>
      </c>
      <c r="BZ34" s="255">
        <v>0</v>
      </c>
      <c r="CA34" s="251">
        <v>0</v>
      </c>
      <c r="CB34" s="255">
        <v>0</v>
      </c>
      <c r="CC34" s="251">
        <v>0</v>
      </c>
      <c r="CD34" s="255">
        <v>0</v>
      </c>
      <c r="CE34" s="251">
        <v>0</v>
      </c>
      <c r="CF34" s="255">
        <v>0</v>
      </c>
      <c r="CG34" s="251">
        <v>0</v>
      </c>
      <c r="CH34" s="255">
        <v>0</v>
      </c>
      <c r="CI34" s="251">
        <v>0</v>
      </c>
      <c r="CJ34" s="255">
        <v>0</v>
      </c>
      <c r="CK34" s="251">
        <v>0</v>
      </c>
      <c r="CL34" s="255">
        <v>0</v>
      </c>
      <c r="CM34" s="251">
        <v>0</v>
      </c>
      <c r="CN34" s="255">
        <v>0</v>
      </c>
      <c r="CO34" s="251">
        <v>0</v>
      </c>
      <c r="CP34" s="255">
        <v>0</v>
      </c>
      <c r="CQ34" s="251">
        <v>0</v>
      </c>
      <c r="CR34" s="255">
        <v>0</v>
      </c>
      <c r="CS34" s="251">
        <v>0</v>
      </c>
      <c r="CT34" s="255">
        <v>0</v>
      </c>
      <c r="CU34" s="251">
        <v>0</v>
      </c>
      <c r="CV34" s="255">
        <v>0</v>
      </c>
      <c r="CW34" s="251">
        <v>0</v>
      </c>
      <c r="CX34" s="255">
        <v>0</v>
      </c>
      <c r="CY34" s="251">
        <v>0</v>
      </c>
      <c r="CZ34" s="255">
        <v>0</v>
      </c>
      <c r="DA34" s="251">
        <v>0</v>
      </c>
      <c r="DB34" s="255">
        <v>0</v>
      </c>
      <c r="DC34" s="251">
        <v>0</v>
      </c>
      <c r="DD34" s="255">
        <v>0</v>
      </c>
      <c r="DE34" s="251">
        <v>0</v>
      </c>
      <c r="DF34" s="255">
        <v>0</v>
      </c>
      <c r="DG34" s="251">
        <v>0</v>
      </c>
      <c r="DH34" s="255">
        <v>0</v>
      </c>
      <c r="DI34" s="251">
        <v>0</v>
      </c>
      <c r="DJ34" s="255">
        <v>0</v>
      </c>
      <c r="DK34" s="251">
        <v>0</v>
      </c>
      <c r="DL34" s="255">
        <v>0</v>
      </c>
      <c r="DM34" s="251">
        <v>0</v>
      </c>
      <c r="DN34" s="255">
        <v>0</v>
      </c>
      <c r="DO34" s="251">
        <v>0</v>
      </c>
      <c r="DP34" s="255">
        <v>0</v>
      </c>
      <c r="DQ34" s="251">
        <v>0</v>
      </c>
      <c r="DR34" s="255">
        <v>0</v>
      </c>
      <c r="DU34" s="256">
        <v>0</v>
      </c>
      <c r="DV34" s="255">
        <v>0</v>
      </c>
      <c r="DW34" s="256">
        <v>0</v>
      </c>
      <c r="DX34" s="255">
        <v>0</v>
      </c>
      <c r="DY34" s="256">
        <v>0</v>
      </c>
      <c r="DZ34" s="255">
        <v>0</v>
      </c>
      <c r="EA34" s="256">
        <v>0</v>
      </c>
      <c r="EB34" s="255">
        <v>0</v>
      </c>
      <c r="EC34" s="256">
        <v>0</v>
      </c>
      <c r="ED34" s="255">
        <v>0</v>
      </c>
      <c r="EE34" s="256">
        <v>0</v>
      </c>
      <c r="EF34" s="255">
        <v>0</v>
      </c>
      <c r="EG34" s="256">
        <v>0</v>
      </c>
      <c r="EH34" s="255">
        <v>0</v>
      </c>
      <c r="EI34" s="256">
        <v>0</v>
      </c>
      <c r="EJ34" s="255">
        <v>0</v>
      </c>
      <c r="EK34" s="256">
        <v>0</v>
      </c>
      <c r="EL34" s="255">
        <v>0</v>
      </c>
      <c r="EM34" s="256">
        <v>0</v>
      </c>
      <c r="EN34" s="255">
        <v>0</v>
      </c>
      <c r="EO34" s="256">
        <v>0</v>
      </c>
      <c r="EP34" s="255">
        <v>0</v>
      </c>
      <c r="EQ34" s="256">
        <v>0</v>
      </c>
      <c r="ER34" s="255">
        <v>0</v>
      </c>
      <c r="ET34" s="257"/>
      <c r="EU34" s="257"/>
    </row>
    <row r="35" spans="1:153" x14ac:dyDescent="0.2">
      <c r="B35" s="258" t="s">
        <v>452</v>
      </c>
      <c r="C35" s="259"/>
      <c r="D35" s="252"/>
      <c r="E35" s="259"/>
      <c r="F35" s="252"/>
      <c r="G35" s="259"/>
      <c r="H35" s="252"/>
      <c r="I35" s="259"/>
      <c r="J35" s="252"/>
      <c r="K35" s="260"/>
      <c r="L35" s="261"/>
      <c r="M35" s="251"/>
      <c r="N35" s="252"/>
      <c r="O35" s="253"/>
      <c r="P35" s="252"/>
      <c r="Q35" s="251"/>
      <c r="R35" s="255"/>
      <c r="S35" s="251"/>
      <c r="T35" s="255"/>
      <c r="U35" s="251"/>
      <c r="V35" s="255"/>
      <c r="W35" s="251"/>
      <c r="X35" s="255"/>
      <c r="Y35" s="251"/>
      <c r="Z35" s="255"/>
      <c r="AA35" s="251"/>
      <c r="AB35" s="255"/>
      <c r="AC35" s="251"/>
      <c r="AD35" s="255"/>
      <c r="AE35" s="251"/>
      <c r="AF35" s="255"/>
      <c r="AG35" s="251"/>
      <c r="AH35" s="255"/>
      <c r="AI35" s="251"/>
      <c r="AJ35" s="255"/>
      <c r="AK35" s="251"/>
      <c r="AL35" s="255"/>
      <c r="AM35" s="251"/>
      <c r="AN35" s="255"/>
      <c r="AO35" s="251"/>
      <c r="AP35" s="255"/>
      <c r="AQ35" s="251"/>
      <c r="AR35" s="255"/>
      <c r="AS35" s="251"/>
      <c r="AT35" s="255"/>
      <c r="AU35" s="251"/>
      <c r="AV35" s="255"/>
      <c r="AW35" s="251"/>
      <c r="AX35" s="255"/>
      <c r="AY35" s="251"/>
      <c r="AZ35" s="255"/>
      <c r="BA35" s="251"/>
      <c r="BB35" s="255"/>
      <c r="BC35" s="251"/>
      <c r="BD35" s="255"/>
      <c r="BE35" s="251"/>
      <c r="BF35" s="255"/>
      <c r="BG35" s="251"/>
      <c r="BH35" s="255"/>
      <c r="BI35" s="251"/>
      <c r="BJ35" s="255"/>
      <c r="BK35" s="251"/>
      <c r="BL35" s="255"/>
      <c r="BM35" s="251"/>
      <c r="BN35" s="255"/>
      <c r="BO35" s="251"/>
      <c r="BP35" s="255"/>
      <c r="BQ35" s="251"/>
      <c r="BR35" s="255"/>
      <c r="BS35" s="251"/>
      <c r="BT35" s="255"/>
      <c r="BU35" s="251"/>
      <c r="BV35" s="255"/>
      <c r="BW35" s="251"/>
      <c r="BX35" s="255"/>
      <c r="BY35" s="251"/>
      <c r="BZ35" s="255"/>
      <c r="CA35" s="251"/>
      <c r="CB35" s="255"/>
      <c r="CC35" s="251"/>
      <c r="CD35" s="255"/>
      <c r="CE35" s="251"/>
      <c r="CF35" s="255"/>
      <c r="CG35" s="251"/>
      <c r="CH35" s="255"/>
      <c r="CI35" s="251"/>
      <c r="CJ35" s="255"/>
      <c r="CK35" s="251"/>
      <c r="CL35" s="255"/>
      <c r="CM35" s="251"/>
      <c r="CN35" s="255"/>
      <c r="CO35" s="251"/>
      <c r="CP35" s="255"/>
      <c r="CQ35" s="251"/>
      <c r="CR35" s="255"/>
      <c r="CS35" s="251"/>
      <c r="CT35" s="255"/>
      <c r="CU35" s="251">
        <f>29-4</f>
        <v>25</v>
      </c>
      <c r="CV35" s="255">
        <f>2308051.0299359-778305</f>
        <v>1529746.0299359001</v>
      </c>
      <c r="CW35" s="251">
        <f>29-CW36</f>
        <v>25</v>
      </c>
      <c r="CX35" s="255">
        <f>2350075.04089744-CX36</f>
        <v>1371770.0408974402</v>
      </c>
      <c r="CY35" s="251">
        <v>24</v>
      </c>
      <c r="CZ35" s="255">
        <v>1526910.1739743594</v>
      </c>
      <c r="DA35" s="251">
        <v>25</v>
      </c>
      <c r="DB35" s="255">
        <v>1603545.0807051286</v>
      </c>
      <c r="DC35" s="251">
        <v>30</v>
      </c>
      <c r="DD35" s="255">
        <v>1766033.9464102571</v>
      </c>
      <c r="DE35" s="251">
        <v>32</v>
      </c>
      <c r="DF35" s="255">
        <v>1949560.7101282054</v>
      </c>
      <c r="DG35" s="251">
        <v>32</v>
      </c>
      <c r="DH35" s="255">
        <v>1959820.8639743589</v>
      </c>
      <c r="DI35" s="251">
        <v>32</v>
      </c>
      <c r="DJ35" s="255">
        <v>1938866.8246794876</v>
      </c>
      <c r="DK35" s="251">
        <v>32</v>
      </c>
      <c r="DL35" s="255">
        <v>1961594.2780128205</v>
      </c>
      <c r="DM35" s="251">
        <v>35</v>
      </c>
      <c r="DN35" s="255">
        <v>2082244.529166667</v>
      </c>
      <c r="DO35" s="251">
        <v>36</v>
      </c>
      <c r="DP35" s="255">
        <v>2160314.7444230765</v>
      </c>
      <c r="DQ35" s="251">
        <v>35</v>
      </c>
      <c r="DR35" s="255">
        <v>2188129.9436538457</v>
      </c>
      <c r="DU35" s="256">
        <v>0</v>
      </c>
      <c r="DV35" s="255">
        <v>0</v>
      </c>
      <c r="DW35" s="256"/>
      <c r="DX35" s="255"/>
      <c r="DY35" s="256"/>
      <c r="DZ35" s="255"/>
      <c r="EA35" s="256"/>
      <c r="EB35" s="255"/>
      <c r="EC35" s="256"/>
      <c r="ED35" s="255"/>
      <c r="EE35" s="256"/>
      <c r="EF35" s="255"/>
      <c r="EG35" s="256"/>
      <c r="EH35" s="255"/>
      <c r="EI35" s="256"/>
      <c r="EJ35" s="255"/>
      <c r="EK35" s="256"/>
      <c r="EL35" s="255"/>
      <c r="EM35" s="256"/>
      <c r="EN35" s="255"/>
      <c r="EO35" s="256"/>
      <c r="EP35" s="255"/>
      <c r="EQ35" s="256"/>
      <c r="ER35" s="255"/>
      <c r="ET35" s="257"/>
      <c r="EU35" s="257"/>
    </row>
    <row r="36" spans="1:153" x14ac:dyDescent="0.2">
      <c r="B36" s="258" t="s">
        <v>453</v>
      </c>
      <c r="C36" s="259">
        <v>2</v>
      </c>
      <c r="D36" s="252">
        <v>87318.461538461532</v>
      </c>
      <c r="E36" s="259">
        <v>2</v>
      </c>
      <c r="F36" s="252">
        <v>87318.461538461532</v>
      </c>
      <c r="G36" s="259">
        <v>2</v>
      </c>
      <c r="H36" s="252">
        <v>87318.461538461532</v>
      </c>
      <c r="I36" s="259">
        <v>2</v>
      </c>
      <c r="J36" s="252">
        <v>87318.461538461532</v>
      </c>
      <c r="K36" s="260">
        <v>2</v>
      </c>
      <c r="L36" s="261">
        <v>87318.461538461532</v>
      </c>
      <c r="M36" s="251">
        <v>2</v>
      </c>
      <c r="N36" s="252">
        <v>87318.461538461532</v>
      </c>
      <c r="O36" s="253">
        <v>2</v>
      </c>
      <c r="P36" s="252">
        <v>74712.346153846156</v>
      </c>
      <c r="Q36" s="251">
        <v>1</v>
      </c>
      <c r="R36" s="255">
        <v>59137.461538461539</v>
      </c>
      <c r="S36" s="251">
        <v>1</v>
      </c>
      <c r="T36" s="255">
        <v>44716.538461538461</v>
      </c>
      <c r="U36" s="251">
        <v>1</v>
      </c>
      <c r="V36" s="255">
        <v>148843.73076923075</v>
      </c>
      <c r="W36" s="251">
        <v>1</v>
      </c>
      <c r="X36" s="255">
        <v>173843.73076923078</v>
      </c>
      <c r="Y36" s="251">
        <v>2</v>
      </c>
      <c r="Z36" s="255">
        <v>252779.61538461538</v>
      </c>
      <c r="AA36" s="251">
        <v>4</v>
      </c>
      <c r="AB36" s="255">
        <v>317333.11538461538</v>
      </c>
      <c r="AC36" s="251">
        <v>5</v>
      </c>
      <c r="AD36" s="255">
        <v>312389.80769230769</v>
      </c>
      <c r="AE36" s="251">
        <v>6</v>
      </c>
      <c r="AF36" s="255">
        <v>374819.76923076919</v>
      </c>
      <c r="AG36" s="251">
        <v>6</v>
      </c>
      <c r="AH36" s="255">
        <v>366835.76923076919</v>
      </c>
      <c r="AI36" s="251">
        <f>6+1</f>
        <v>7</v>
      </c>
      <c r="AJ36" s="255">
        <f>378804.307692308+382596</f>
        <v>761400.30769230798</v>
      </c>
      <c r="AK36" s="251">
        <f>7+1</f>
        <v>8</v>
      </c>
      <c r="AL36" s="255">
        <f>374142.876794872+382596</f>
        <v>756738.87679487199</v>
      </c>
      <c r="AM36" s="251">
        <v>8</v>
      </c>
      <c r="AN36" s="255">
        <v>779929.7620512821</v>
      </c>
      <c r="AO36" s="251">
        <v>13</v>
      </c>
      <c r="AP36" s="255">
        <v>916392.69692307699</v>
      </c>
      <c r="AQ36" s="251">
        <v>17</v>
      </c>
      <c r="AR36" s="255">
        <f>763442.064615385+292275+340000+238145</f>
        <v>1633862.0646153851</v>
      </c>
      <c r="AS36" s="251">
        <v>17</v>
      </c>
      <c r="AT36" s="255">
        <f>587420.004615385+292275+340000+238145</f>
        <v>1457840.0046153851</v>
      </c>
      <c r="AU36" s="251">
        <v>16</v>
      </c>
      <c r="AV36" s="255">
        <v>1125895.6200000001</v>
      </c>
      <c r="AW36" s="251">
        <v>13</v>
      </c>
      <c r="AX36" s="255">
        <v>974091.58153846161</v>
      </c>
      <c r="AY36" s="251">
        <v>18</v>
      </c>
      <c r="AZ36" s="255">
        <v>1670685.8856271771</v>
      </c>
      <c r="BA36" s="251">
        <v>18</v>
      </c>
      <c r="BB36" s="255">
        <v>1731837.4160758951</v>
      </c>
      <c r="BC36" s="251">
        <v>20</v>
      </c>
      <c r="BD36" s="255">
        <v>1768492.1850641025</v>
      </c>
      <c r="BE36" s="251">
        <v>20</v>
      </c>
      <c r="BF36" s="255">
        <v>1802024.0012758479</v>
      </c>
      <c r="BG36" s="251">
        <v>19</v>
      </c>
      <c r="BH36" s="255">
        <v>1571553.7501861043</v>
      </c>
      <c r="BI36" s="251">
        <v>19</v>
      </c>
      <c r="BJ36" s="255">
        <v>1646420.0649937966</v>
      </c>
      <c r="BK36" s="251">
        <v>18</v>
      </c>
      <c r="BL36" s="255">
        <v>1709706.8744230769</v>
      </c>
      <c r="BM36" s="251">
        <v>19</v>
      </c>
      <c r="BN36" s="255">
        <v>1704322.2128846152</v>
      </c>
      <c r="BO36" s="251">
        <v>19</v>
      </c>
      <c r="BP36" s="255">
        <v>1586066.6341480564</v>
      </c>
      <c r="BQ36" s="251">
        <v>15</v>
      </c>
      <c r="BR36" s="255">
        <v>1477020.0307692308</v>
      </c>
      <c r="BS36" s="251">
        <v>15</v>
      </c>
      <c r="BT36" s="255">
        <v>1429159.7893899204</v>
      </c>
      <c r="BU36" s="251">
        <f>14+1</f>
        <v>15</v>
      </c>
      <c r="BV36" s="255">
        <f>1393388.03846154+65789</f>
        <v>1459177.0384615399</v>
      </c>
      <c r="BW36" s="251">
        <v>15</v>
      </c>
      <c r="BX36" s="255">
        <f>1743554.7576282+300000</f>
        <v>2043554.7576282001</v>
      </c>
      <c r="BY36" s="251">
        <f>13+1</f>
        <v>14</v>
      </c>
      <c r="BZ36" s="255">
        <f>1403236.9+300000+35000</f>
        <v>1738236.9</v>
      </c>
      <c r="CA36" s="251">
        <v>13</v>
      </c>
      <c r="CB36" s="255">
        <f>1396119.63076923+300000</f>
        <v>1696119.63076923</v>
      </c>
      <c r="CC36" s="251">
        <v>19</v>
      </c>
      <c r="CD36" s="255">
        <f>1554253.85846154+300000</f>
        <v>1854253.85846154</v>
      </c>
      <c r="CE36" s="251">
        <v>18</v>
      </c>
      <c r="CF36" s="255">
        <v>1446045.4815384615</v>
      </c>
      <c r="CG36" s="251">
        <v>21</v>
      </c>
      <c r="CH36" s="255">
        <v>1515998.4158333333</v>
      </c>
      <c r="CI36" s="251">
        <v>21</v>
      </c>
      <c r="CJ36" s="255">
        <f>1543299.00076923+200000</f>
        <v>1743299.0007692301</v>
      </c>
      <c r="CK36" s="251">
        <v>21</v>
      </c>
      <c r="CL36" s="255">
        <v>1528335.5007692308</v>
      </c>
      <c r="CM36" s="251">
        <v>25</v>
      </c>
      <c r="CN36" s="255">
        <v>1881539.5063461538</v>
      </c>
      <c r="CO36" s="251">
        <v>26</v>
      </c>
      <c r="CP36" s="255">
        <v>1939033.1883333332</v>
      </c>
      <c r="CQ36" s="251">
        <v>29</v>
      </c>
      <c r="CR36" s="255">
        <v>1901675.3201923072</v>
      </c>
      <c r="CS36" s="251">
        <v>29</v>
      </c>
      <c r="CT36" s="255">
        <f>2293842.8851282+500000</f>
        <v>2793842.8851282001</v>
      </c>
      <c r="CU36" s="251">
        <v>4</v>
      </c>
      <c r="CV36" s="255">
        <f>778305+100000</f>
        <v>878305</v>
      </c>
      <c r="CW36" s="251">
        <v>4</v>
      </c>
      <c r="CX36" s="255">
        <f>878305+100000</f>
        <v>978305</v>
      </c>
      <c r="CY36" s="251">
        <v>5</v>
      </c>
      <c r="CZ36" s="255">
        <v>957465.76923076902</v>
      </c>
      <c r="DA36" s="251">
        <v>5</v>
      </c>
      <c r="DB36" s="255">
        <f>930804.769230769+100000</f>
        <v>1030804.769230769</v>
      </c>
      <c r="DC36" s="251">
        <v>7</v>
      </c>
      <c r="DD36" s="255">
        <v>1079455.5230769231</v>
      </c>
      <c r="DE36" s="251">
        <v>7</v>
      </c>
      <c r="DF36" s="255">
        <f>1092185.52307692+200000</f>
        <v>1292185.5230769201</v>
      </c>
      <c r="DG36" s="251">
        <v>7</v>
      </c>
      <c r="DH36" s="255">
        <f>1149585.52307692+200000</f>
        <v>1349585.5230769201</v>
      </c>
      <c r="DI36" s="251">
        <v>8</v>
      </c>
      <c r="DJ36" s="255">
        <v>1107070.9769230769</v>
      </c>
      <c r="DK36" s="251">
        <v>9</v>
      </c>
      <c r="DL36" s="255">
        <v>1010288.2168589744</v>
      </c>
      <c r="DM36" s="251">
        <v>8</v>
      </c>
      <c r="DN36" s="255">
        <v>1024165.4</v>
      </c>
      <c r="DO36" s="251">
        <v>8</v>
      </c>
      <c r="DP36" s="255">
        <v>1025867.4</v>
      </c>
      <c r="DQ36" s="251">
        <v>5</v>
      </c>
      <c r="DR36" s="255">
        <v>761357.96153846162</v>
      </c>
      <c r="DU36" s="256">
        <v>29.569696711413489</v>
      </c>
      <c r="DV36" s="255">
        <v>2229888.1665833332</v>
      </c>
      <c r="DW36" s="256">
        <v>32.221820450580246</v>
      </c>
      <c r="DX36" s="255">
        <v>2429888.1665833332</v>
      </c>
      <c r="DY36" s="256">
        <v>32.221820450580246</v>
      </c>
      <c r="DZ36" s="255">
        <v>2429888.1665833332</v>
      </c>
      <c r="EA36" s="256">
        <v>32.221820450580246</v>
      </c>
      <c r="EB36" s="255">
        <v>2429888.1665833332</v>
      </c>
      <c r="EC36" s="256">
        <v>32.221820450580246</v>
      </c>
      <c r="ED36" s="255">
        <v>2429888.1665833332</v>
      </c>
      <c r="EE36" s="256">
        <v>32.221820450580246</v>
      </c>
      <c r="EF36" s="255">
        <v>2429888.1665833332</v>
      </c>
      <c r="EG36" s="256">
        <v>32.221820450580246</v>
      </c>
      <c r="EH36" s="255">
        <v>2429888.1665833332</v>
      </c>
      <c r="EI36" s="256">
        <v>32.221820450580246</v>
      </c>
      <c r="EJ36" s="255">
        <v>2429888.1665833332</v>
      </c>
      <c r="EK36" s="256">
        <v>32.221820450580246</v>
      </c>
      <c r="EL36" s="255">
        <v>2429888.1665833332</v>
      </c>
      <c r="EM36" s="256">
        <v>32.221820450580246</v>
      </c>
      <c r="EN36" s="255">
        <v>2429888.1665833332</v>
      </c>
      <c r="EO36" s="256">
        <v>32.221820450580246</v>
      </c>
      <c r="EP36" s="255">
        <v>2429888.1665833332</v>
      </c>
      <c r="EQ36" s="256">
        <v>32.221820450580246</v>
      </c>
      <c r="ER36" s="255">
        <v>2429888.1665833332</v>
      </c>
      <c r="ET36" s="257"/>
      <c r="EU36" s="257"/>
    </row>
    <row r="37" spans="1:153" x14ac:dyDescent="0.2">
      <c r="A37" s="257"/>
      <c r="B37" s="258" t="s">
        <v>454</v>
      </c>
      <c r="C37" s="259">
        <v>11</v>
      </c>
      <c r="D37" s="252">
        <v>669617.43198717944</v>
      </c>
      <c r="E37" s="259">
        <v>11</v>
      </c>
      <c r="F37" s="252">
        <v>679390.26730769221</v>
      </c>
      <c r="G37" s="259">
        <v>10</v>
      </c>
      <c r="H37" s="252">
        <v>673325.26730769221</v>
      </c>
      <c r="I37" s="259">
        <v>12</v>
      </c>
      <c r="J37" s="252">
        <v>695518.01833333331</v>
      </c>
      <c r="K37" s="260">
        <v>12</v>
      </c>
      <c r="L37" s="261">
        <v>747354.82403846155</v>
      </c>
      <c r="M37" s="251">
        <v>14</v>
      </c>
      <c r="N37" s="252">
        <v>914459.28557692305</v>
      </c>
      <c r="O37" s="253">
        <v>13</v>
      </c>
      <c r="P37" s="252">
        <v>893855.55480769218</v>
      </c>
      <c r="Q37" s="251">
        <v>13</v>
      </c>
      <c r="R37" s="255">
        <v>1021194.9394230768</v>
      </c>
      <c r="S37" s="251">
        <v>17</v>
      </c>
      <c r="T37" s="255">
        <v>913848.79839743604</v>
      </c>
      <c r="U37" s="251">
        <v>20</v>
      </c>
      <c r="V37" s="255">
        <v>763721.69429487176</v>
      </c>
      <c r="W37" s="251">
        <v>20</v>
      </c>
      <c r="X37" s="255">
        <v>745863.61737179477</v>
      </c>
      <c r="Y37" s="251">
        <v>22</v>
      </c>
      <c r="Z37" s="255">
        <v>980930.02141025639</v>
      </c>
      <c r="AA37" s="251">
        <v>21</v>
      </c>
      <c r="AB37" s="255">
        <v>936403.27762820513</v>
      </c>
      <c r="AC37" s="251">
        <v>23</v>
      </c>
      <c r="AD37" s="255">
        <v>958891.95</v>
      </c>
      <c r="AE37" s="251">
        <v>24</v>
      </c>
      <c r="AF37" s="255">
        <v>975149.75923076924</v>
      </c>
      <c r="AG37" s="251">
        <v>24</v>
      </c>
      <c r="AH37" s="255">
        <v>1010456.4399358974</v>
      </c>
      <c r="AI37" s="251">
        <v>24</v>
      </c>
      <c r="AJ37" s="255">
        <v>1205279.6003205124</v>
      </c>
      <c r="AK37" s="251">
        <v>24</v>
      </c>
      <c r="AL37" s="255">
        <v>1017925.6003205128</v>
      </c>
      <c r="AM37" s="251">
        <v>27</v>
      </c>
      <c r="AN37" s="255">
        <v>1112414.6860897434</v>
      </c>
      <c r="AO37" s="251">
        <v>27</v>
      </c>
      <c r="AP37" s="255">
        <v>1254186.5322435899</v>
      </c>
      <c r="AQ37" s="251">
        <v>30</v>
      </c>
      <c r="AR37" s="255">
        <v>1245847.3546794872</v>
      </c>
      <c r="AS37" s="251">
        <v>30</v>
      </c>
      <c r="AT37" s="255">
        <f>1646798.35467949-382468</f>
        <v>1264330.35467949</v>
      </c>
      <c r="AU37" s="251">
        <f>31-1</f>
        <v>30</v>
      </c>
      <c r="AV37" s="255">
        <f>1780561.30044872-382468</f>
        <v>1398093.3004487201</v>
      </c>
      <c r="AW37" s="251">
        <v>30</v>
      </c>
      <c r="AX37" s="255">
        <v>1245555.5854487182</v>
      </c>
      <c r="AY37" s="251">
        <v>24</v>
      </c>
      <c r="AZ37" s="255">
        <v>1587749.6246823904</v>
      </c>
      <c r="BA37" s="251">
        <v>23</v>
      </c>
      <c r="BB37" s="255">
        <v>1544108.6615172054</v>
      </c>
      <c r="BC37" s="251">
        <v>22</v>
      </c>
      <c r="BD37" s="255">
        <v>1562161.4780128205</v>
      </c>
      <c r="BE37" s="251">
        <v>22</v>
      </c>
      <c r="BF37" s="255">
        <v>1548815.4780128202</v>
      </c>
      <c r="BG37" s="251">
        <v>22</v>
      </c>
      <c r="BH37" s="255">
        <v>1458769.7694230769</v>
      </c>
      <c r="BI37" s="251">
        <v>22</v>
      </c>
      <c r="BJ37" s="255">
        <v>1496883.2087820512</v>
      </c>
      <c r="BK37" s="251">
        <v>24</v>
      </c>
      <c r="BL37" s="255">
        <v>1818597.5863461536</v>
      </c>
      <c r="BM37" s="251">
        <v>23</v>
      </c>
      <c r="BN37" s="255">
        <v>1652878.4596794872</v>
      </c>
      <c r="BO37" s="251">
        <v>22</v>
      </c>
      <c r="BP37" s="255">
        <v>1876371.3115384614</v>
      </c>
      <c r="BQ37" s="251">
        <v>21</v>
      </c>
      <c r="BR37" s="255">
        <v>1380325.3115384614</v>
      </c>
      <c r="BS37" s="251">
        <v>21</v>
      </c>
      <c r="BT37" s="255">
        <v>1085104.0398717946</v>
      </c>
      <c r="BU37" s="251">
        <v>19</v>
      </c>
      <c r="BV37" s="255">
        <v>895442.86538461526</v>
      </c>
      <c r="BW37" s="251">
        <v>19</v>
      </c>
      <c r="BX37" s="255">
        <f>1020410.20326923</f>
        <v>1020410.20326923</v>
      </c>
      <c r="BY37" s="251">
        <v>19</v>
      </c>
      <c r="BZ37" s="255">
        <v>1053113.2032692309</v>
      </c>
      <c r="CA37" s="251">
        <v>18</v>
      </c>
      <c r="CB37" s="255">
        <v>1006475.9032692307</v>
      </c>
      <c r="CC37" s="251">
        <v>17</v>
      </c>
      <c r="CD37" s="255">
        <v>934513.18019230769</v>
      </c>
      <c r="CE37" s="251">
        <v>16</v>
      </c>
      <c r="CF37" s="255">
        <v>900276.53403846163</v>
      </c>
      <c r="CG37" s="251">
        <v>16</v>
      </c>
      <c r="CH37" s="255">
        <v>904091.53403846163</v>
      </c>
      <c r="CI37" s="251">
        <v>16</v>
      </c>
      <c r="CJ37" s="255">
        <v>917706.53403846163</v>
      </c>
      <c r="CK37" s="251">
        <v>16</v>
      </c>
      <c r="CL37" s="255">
        <v>921107.53403846163</v>
      </c>
      <c r="CM37" s="251">
        <v>16</v>
      </c>
      <c r="CN37" s="255">
        <v>942512.53403846163</v>
      </c>
      <c r="CO37" s="251">
        <v>16</v>
      </c>
      <c r="CP37" s="255">
        <v>931522.7457051283</v>
      </c>
      <c r="CQ37" s="251">
        <v>16</v>
      </c>
      <c r="CR37" s="255">
        <v>920479.6203205128</v>
      </c>
      <c r="CS37" s="251">
        <v>16</v>
      </c>
      <c r="CT37" s="255">
        <f>928070.735705128+14600</f>
        <v>942670.73570512806</v>
      </c>
      <c r="CU37" s="251">
        <v>17</v>
      </c>
      <c r="CV37" s="255">
        <v>1162792.6996153847</v>
      </c>
      <c r="CW37" s="251">
        <v>17</v>
      </c>
      <c r="CX37" s="255">
        <v>1256452.2765384614</v>
      </c>
      <c r="CY37" s="251">
        <v>15</v>
      </c>
      <c r="CZ37" s="255">
        <v>1095102.5996153846</v>
      </c>
      <c r="DA37" s="251">
        <v>15</v>
      </c>
      <c r="DB37" s="255">
        <v>1068682.5996153846</v>
      </c>
      <c r="DC37" s="251">
        <v>15</v>
      </c>
      <c r="DD37" s="255">
        <v>1084325.5996153846</v>
      </c>
      <c r="DE37" s="251">
        <v>20</v>
      </c>
      <c r="DF37" s="255">
        <v>1272430.2800641025</v>
      </c>
      <c r="DG37" s="251">
        <v>20</v>
      </c>
      <c r="DH37" s="255">
        <v>1389963.2800641025</v>
      </c>
      <c r="DI37" s="251">
        <v>20</v>
      </c>
      <c r="DJ37" s="255">
        <v>1368450.0355128204</v>
      </c>
      <c r="DK37" s="251">
        <v>19</v>
      </c>
      <c r="DL37" s="255">
        <v>1305283.1345512818</v>
      </c>
      <c r="DM37" s="251">
        <v>21</v>
      </c>
      <c r="DN37" s="255">
        <f>1341011.10698718+500000</f>
        <v>1841011.10698718</v>
      </c>
      <c r="DO37" s="251">
        <v>20</v>
      </c>
      <c r="DP37" s="255">
        <v>1300751.4849358974</v>
      </c>
      <c r="DQ37" s="251">
        <v>21</v>
      </c>
      <c r="DR37" s="255">
        <v>1329860.8111538461</v>
      </c>
      <c r="DU37" s="256">
        <v>16</v>
      </c>
      <c r="DV37" s="255">
        <v>1058551.5633685896</v>
      </c>
      <c r="DW37" s="256">
        <v>16</v>
      </c>
      <c r="DX37" s="255">
        <v>1058551.5633685896</v>
      </c>
      <c r="DY37" s="256">
        <v>16</v>
      </c>
      <c r="DZ37" s="255">
        <v>1058551.5633685896</v>
      </c>
      <c r="EA37" s="256">
        <v>16</v>
      </c>
      <c r="EB37" s="255">
        <v>1058551.5633685896</v>
      </c>
      <c r="EC37" s="256">
        <v>16</v>
      </c>
      <c r="ED37" s="255">
        <v>1058551.5633685896</v>
      </c>
      <c r="EE37" s="256">
        <v>16</v>
      </c>
      <c r="EF37" s="255">
        <v>1058551.5633685896</v>
      </c>
      <c r="EG37" s="256">
        <v>16</v>
      </c>
      <c r="EH37" s="255">
        <v>1058551.5633685896</v>
      </c>
      <c r="EI37" s="256">
        <v>16</v>
      </c>
      <c r="EJ37" s="255">
        <v>1058551.5633685896</v>
      </c>
      <c r="EK37" s="256">
        <v>16</v>
      </c>
      <c r="EL37" s="255">
        <v>1058551.5633685896</v>
      </c>
      <c r="EM37" s="256">
        <v>16</v>
      </c>
      <c r="EN37" s="255">
        <v>1058551.5633685896</v>
      </c>
      <c r="EO37" s="256">
        <v>16</v>
      </c>
      <c r="EP37" s="255">
        <v>1058551.5633685896</v>
      </c>
      <c r="EQ37" s="256">
        <v>16</v>
      </c>
      <c r="ER37" s="255">
        <v>1058551.5633685896</v>
      </c>
      <c r="ET37" s="257"/>
      <c r="EU37" s="257"/>
    </row>
    <row r="38" spans="1:153" x14ac:dyDescent="0.2">
      <c r="B38" s="258" t="s">
        <v>455</v>
      </c>
      <c r="C38" s="259">
        <v>27</v>
      </c>
      <c r="D38" s="252">
        <v>707107.04891025636</v>
      </c>
      <c r="E38" s="259">
        <v>27</v>
      </c>
      <c r="F38" s="252">
        <v>676093.84929487167</v>
      </c>
      <c r="G38" s="259">
        <v>27</v>
      </c>
      <c r="H38" s="252">
        <v>705247.75147435896</v>
      </c>
      <c r="I38" s="259">
        <v>26</v>
      </c>
      <c r="J38" s="252">
        <v>652853.47506410244</v>
      </c>
      <c r="K38" s="260">
        <v>28</v>
      </c>
      <c r="L38" s="261">
        <v>704102.79224358976</v>
      </c>
      <c r="M38" s="251">
        <v>27</v>
      </c>
      <c r="N38" s="252">
        <v>722647.46705128194</v>
      </c>
      <c r="O38" s="253">
        <v>27</v>
      </c>
      <c r="P38" s="252">
        <v>713826.60749999993</v>
      </c>
      <c r="Q38" s="251">
        <v>28</v>
      </c>
      <c r="R38" s="255">
        <v>725471.96269230801</v>
      </c>
      <c r="S38" s="251">
        <v>28</v>
      </c>
      <c r="T38" s="255">
        <v>725662.07487179479</v>
      </c>
      <c r="U38" s="251">
        <v>28</v>
      </c>
      <c r="V38" s="255">
        <v>598094.2663461538</v>
      </c>
      <c r="W38" s="251">
        <v>34</v>
      </c>
      <c r="X38" s="255">
        <v>675632.18903846201</v>
      </c>
      <c r="Y38" s="251">
        <v>38</v>
      </c>
      <c r="Z38" s="255">
        <v>765363.60762820509</v>
      </c>
      <c r="AA38" s="251">
        <v>39</v>
      </c>
      <c r="AB38" s="255">
        <v>848415.48044871795</v>
      </c>
      <c r="AC38" s="251">
        <v>37</v>
      </c>
      <c r="AD38" s="255">
        <v>805038.85358974361</v>
      </c>
      <c r="AE38" s="251">
        <v>41</v>
      </c>
      <c r="AF38" s="255">
        <v>907185.4928846145</v>
      </c>
      <c r="AG38" s="251">
        <v>40</v>
      </c>
      <c r="AH38" s="255">
        <v>877908.80935897375</v>
      </c>
      <c r="AI38" s="251">
        <v>40</v>
      </c>
      <c r="AJ38" s="255">
        <v>872333.47519230726</v>
      </c>
      <c r="AK38" s="251">
        <v>40</v>
      </c>
      <c r="AL38" s="255">
        <v>894010.61884615303</v>
      </c>
      <c r="AM38" s="251">
        <v>39</v>
      </c>
      <c r="AN38" s="255">
        <v>885677.325128205</v>
      </c>
      <c r="AO38" s="251">
        <v>39</v>
      </c>
      <c r="AP38" s="255">
        <v>947000.90352564014</v>
      </c>
      <c r="AQ38" s="251">
        <v>37</v>
      </c>
      <c r="AR38" s="255">
        <v>843235.44512820465</v>
      </c>
      <c r="AS38" s="251">
        <v>39</v>
      </c>
      <c r="AT38" s="255">
        <v>895921.05858974298</v>
      </c>
      <c r="AU38" s="251">
        <v>39</v>
      </c>
      <c r="AV38" s="255">
        <v>880467.39051281998</v>
      </c>
      <c r="AW38" s="251">
        <v>37</v>
      </c>
      <c r="AX38" s="255">
        <v>839035.47461538424</v>
      </c>
      <c r="AY38" s="251">
        <v>40</v>
      </c>
      <c r="AZ38" s="255">
        <v>924359.23058176204</v>
      </c>
      <c r="BA38" s="251">
        <v>37</v>
      </c>
      <c r="BB38" s="255">
        <v>1009135.7742272324</v>
      </c>
      <c r="BC38" s="251">
        <v>36</v>
      </c>
      <c r="BD38" s="255">
        <v>1093999.9329487181</v>
      </c>
      <c r="BE38" s="251">
        <v>41</v>
      </c>
      <c r="BF38" s="255">
        <v>967436.68621794903</v>
      </c>
      <c r="BG38" s="251">
        <v>40</v>
      </c>
      <c r="BH38" s="255">
        <v>1003259.4678205127</v>
      </c>
      <c r="BI38" s="251">
        <v>39</v>
      </c>
      <c r="BJ38" s="255">
        <v>966083.5199358972</v>
      </c>
      <c r="BK38" s="251">
        <v>38</v>
      </c>
      <c r="BL38" s="255">
        <v>976194.03705128236</v>
      </c>
      <c r="BM38" s="251">
        <v>37</v>
      </c>
      <c r="BN38" s="255">
        <v>965821.79839743616</v>
      </c>
      <c r="BO38" s="251">
        <v>37</v>
      </c>
      <c r="BP38" s="255">
        <v>927432.49173076951</v>
      </c>
      <c r="BQ38" s="251">
        <v>37</v>
      </c>
      <c r="BR38" s="255">
        <v>966499.0108974363</v>
      </c>
      <c r="BS38" s="251">
        <v>37</v>
      </c>
      <c r="BT38" s="255">
        <f>939396.755064103+12500</f>
        <v>951896.75506410305</v>
      </c>
      <c r="BU38" s="251">
        <v>36</v>
      </c>
      <c r="BV38" s="255">
        <v>904232.42974358995</v>
      </c>
      <c r="BW38" s="251">
        <v>36</v>
      </c>
      <c r="BX38" s="255">
        <v>1000472.7540384617</v>
      </c>
      <c r="BY38" s="251">
        <v>67</v>
      </c>
      <c r="BZ38" s="255">
        <v>1393410.4891666668</v>
      </c>
      <c r="CA38" s="251">
        <v>65</v>
      </c>
      <c r="CB38" s="255">
        <v>1589607.4546153857</v>
      </c>
      <c r="CC38" s="251">
        <v>65</v>
      </c>
      <c r="CD38" s="255">
        <v>1572247.8892948721</v>
      </c>
      <c r="CE38" s="251">
        <v>63</v>
      </c>
      <c r="CF38" s="255">
        <v>1501946.0821153852</v>
      </c>
      <c r="CG38" s="251">
        <v>64</v>
      </c>
      <c r="CH38" s="255">
        <v>1542685.880641026</v>
      </c>
      <c r="CI38" s="251">
        <v>71</v>
      </c>
      <c r="CJ38" s="255">
        <v>1652782.4935256415</v>
      </c>
      <c r="CK38" s="251">
        <v>69</v>
      </c>
      <c r="CL38" s="255">
        <v>1721689.5574359</v>
      </c>
      <c r="CM38" s="251">
        <v>73</v>
      </c>
      <c r="CN38" s="255">
        <v>1912612.7172435904</v>
      </c>
      <c r="CO38" s="251">
        <v>73</v>
      </c>
      <c r="CP38" s="255">
        <v>1923537.7848076927</v>
      </c>
      <c r="CQ38" s="251">
        <v>72</v>
      </c>
      <c r="CR38" s="255">
        <v>1813261.6732692302</v>
      </c>
      <c r="CS38" s="251">
        <v>74</v>
      </c>
      <c r="CT38" s="255">
        <v>1929656.6649358973</v>
      </c>
      <c r="CU38" s="251">
        <v>73</v>
      </c>
      <c r="CV38" s="255">
        <v>2025216.5880769228</v>
      </c>
      <c r="CW38" s="251">
        <v>77</v>
      </c>
      <c r="CX38" s="255">
        <v>2044880.4850641026</v>
      </c>
      <c r="CY38" s="251">
        <v>73</v>
      </c>
      <c r="CZ38" s="255">
        <v>2078273.5378205124</v>
      </c>
      <c r="DA38" s="251">
        <v>84</v>
      </c>
      <c r="DB38" s="255">
        <v>2334284.8726923079</v>
      </c>
      <c r="DC38" s="251">
        <v>83</v>
      </c>
      <c r="DD38" s="255">
        <v>2413492.7533974345</v>
      </c>
      <c r="DE38" s="251">
        <v>82</v>
      </c>
      <c r="DF38" s="255">
        <v>2347320.9467307688</v>
      </c>
      <c r="DG38" s="251">
        <v>82</v>
      </c>
      <c r="DH38" s="255">
        <v>2560221.4500641027</v>
      </c>
      <c r="DI38" s="251">
        <v>93</v>
      </c>
      <c r="DJ38" s="255">
        <v>2783051.6584615372</v>
      </c>
      <c r="DK38" s="251">
        <v>101</v>
      </c>
      <c r="DL38" s="255">
        <v>2800709.2998076905</v>
      </c>
      <c r="DM38" s="251">
        <v>106</v>
      </c>
      <c r="DN38" s="255">
        <v>2927708.5525641013</v>
      </c>
      <c r="DO38" s="251">
        <v>105</v>
      </c>
      <c r="DP38" s="255">
        <v>2879634.1920512798</v>
      </c>
      <c r="DQ38" s="251">
        <v>140</v>
      </c>
      <c r="DR38" s="255">
        <v>3539189.775897433</v>
      </c>
      <c r="DU38" s="256">
        <v>84.597181053632951</v>
      </c>
      <c r="DV38" s="255">
        <v>2450088.1941923061</v>
      </c>
      <c r="DW38" s="256">
        <v>84.597181053632951</v>
      </c>
      <c r="DX38" s="255">
        <v>2450088.1941923061</v>
      </c>
      <c r="DY38" s="256">
        <v>84.597181053632951</v>
      </c>
      <c r="DZ38" s="255">
        <v>2450088.1941923061</v>
      </c>
      <c r="EA38" s="256">
        <v>84.597181053632951</v>
      </c>
      <c r="EB38" s="255">
        <v>2450088.1941923061</v>
      </c>
      <c r="EC38" s="256">
        <v>84.597181053632951</v>
      </c>
      <c r="ED38" s="255">
        <v>2450088.1941923061</v>
      </c>
      <c r="EE38" s="256">
        <v>84.597181053632951</v>
      </c>
      <c r="EF38" s="255">
        <v>2450088.1941923061</v>
      </c>
      <c r="EG38" s="256">
        <v>84.597181053632951</v>
      </c>
      <c r="EH38" s="255">
        <v>2450088.1941923061</v>
      </c>
      <c r="EI38" s="256">
        <v>84.597181053632951</v>
      </c>
      <c r="EJ38" s="255">
        <v>2450088.1941923061</v>
      </c>
      <c r="EK38" s="256">
        <v>84.597181053632951</v>
      </c>
      <c r="EL38" s="255">
        <v>2450088.1941923061</v>
      </c>
      <c r="EM38" s="256">
        <v>84.597181053632951</v>
      </c>
      <c r="EN38" s="255">
        <v>2450088.1941923061</v>
      </c>
      <c r="EO38" s="256">
        <v>84.597181053632951</v>
      </c>
      <c r="EP38" s="255">
        <v>2450088.1941923061</v>
      </c>
      <c r="EQ38" s="256">
        <v>84.597181053632951</v>
      </c>
      <c r="ER38" s="255">
        <v>2450088.1941923061</v>
      </c>
      <c r="ET38" s="257"/>
      <c r="EU38" s="257"/>
    </row>
    <row r="39" spans="1:153" x14ac:dyDescent="0.2">
      <c r="B39" s="258" t="s">
        <v>456</v>
      </c>
      <c r="C39" s="259">
        <v>31</v>
      </c>
      <c r="D39" s="252">
        <v>920632.38653846143</v>
      </c>
      <c r="E39" s="259">
        <v>30</v>
      </c>
      <c r="F39" s="252">
        <v>736815.49423076911</v>
      </c>
      <c r="G39" s="259">
        <v>29</v>
      </c>
      <c r="H39" s="252">
        <v>726084.67935897433</v>
      </c>
      <c r="I39" s="259">
        <v>44</v>
      </c>
      <c r="J39" s="252">
        <v>1159812.5983974356</v>
      </c>
      <c r="K39" s="260">
        <v>40</v>
      </c>
      <c r="L39" s="261">
        <v>1222734.354230769</v>
      </c>
      <c r="M39" s="251">
        <v>45</v>
      </c>
      <c r="N39" s="252">
        <v>1228949.9413461536</v>
      </c>
      <c r="O39" s="253">
        <v>54</v>
      </c>
      <c r="P39" s="252">
        <v>1551144.6044871791</v>
      </c>
      <c r="Q39" s="251">
        <v>55</v>
      </c>
      <c r="R39" s="255">
        <v>1667247.9021794877</v>
      </c>
      <c r="S39" s="251">
        <v>64</v>
      </c>
      <c r="T39" s="255">
        <v>1919079.4780769232</v>
      </c>
      <c r="U39" s="251">
        <v>60</v>
      </c>
      <c r="V39" s="255">
        <v>1873703.5992307691</v>
      </c>
      <c r="W39" s="251">
        <v>73</v>
      </c>
      <c r="X39" s="255">
        <v>2164898.4178846152</v>
      </c>
      <c r="Y39" s="251">
        <v>78</v>
      </c>
      <c r="Z39" s="255">
        <v>2456942.0872435896</v>
      </c>
      <c r="AA39" s="251">
        <v>101</v>
      </c>
      <c r="AB39" s="255">
        <v>2857424.0423717946</v>
      </c>
      <c r="AC39" s="251">
        <v>112</v>
      </c>
      <c r="AD39" s="255">
        <v>3102765.552179487</v>
      </c>
      <c r="AE39" s="251">
        <v>115</v>
      </c>
      <c r="AF39" s="255">
        <v>3218091.8870512811</v>
      </c>
      <c r="AG39" s="251">
        <v>119</v>
      </c>
      <c r="AH39" s="255">
        <v>3474824.0357051287</v>
      </c>
      <c r="AI39" s="251">
        <v>142</v>
      </c>
      <c r="AJ39" s="255">
        <v>4135375.9924999997</v>
      </c>
      <c r="AK39" s="251">
        <v>156</v>
      </c>
      <c r="AL39" s="255">
        <v>4222330.9640384605</v>
      </c>
      <c r="AM39" s="251">
        <v>155</v>
      </c>
      <c r="AN39" s="255">
        <v>4574603.9624999985</v>
      </c>
      <c r="AO39" s="251">
        <v>152</v>
      </c>
      <c r="AP39" s="255">
        <v>4083493.5550641012</v>
      </c>
      <c r="AQ39" s="251">
        <v>154</v>
      </c>
      <c r="AR39" s="255">
        <v>4198456.9612179482</v>
      </c>
      <c r="AS39" s="251">
        <f>177+1</f>
        <v>178</v>
      </c>
      <c r="AT39" s="255">
        <f>4878435.60807692+35230</f>
        <v>4913665.6080769198</v>
      </c>
      <c r="AU39" s="251">
        <v>185</v>
      </c>
      <c r="AV39" s="255">
        <v>5218030.4371153824</v>
      </c>
      <c r="AW39" s="251">
        <v>166</v>
      </c>
      <c r="AX39" s="255">
        <v>4631269.6981410235</v>
      </c>
      <c r="AY39" s="251">
        <v>189</v>
      </c>
      <c r="AZ39" s="255">
        <v>5878525.807066137</v>
      </c>
      <c r="BA39" s="251">
        <v>187</v>
      </c>
      <c r="BB39" s="255">
        <v>5814492.7474665325</v>
      </c>
      <c r="BC39" s="251">
        <v>186</v>
      </c>
      <c r="BD39" s="255">
        <v>5729730.5707051288</v>
      </c>
      <c r="BE39" s="251">
        <v>182</v>
      </c>
      <c r="BF39" s="255">
        <v>5635626.2023076937</v>
      </c>
      <c r="BG39" s="251">
        <v>183</v>
      </c>
      <c r="BH39" s="255">
        <v>5571584.1749999998</v>
      </c>
      <c r="BI39" s="251">
        <v>182</v>
      </c>
      <c r="BJ39" s="255">
        <v>5541092.3545512799</v>
      </c>
      <c r="BK39" s="251">
        <v>176</v>
      </c>
      <c r="BL39" s="255">
        <v>5529539.9870512858</v>
      </c>
      <c r="BM39" s="251">
        <v>174</v>
      </c>
      <c r="BN39" s="255">
        <v>5525343.2013461515</v>
      </c>
      <c r="BO39" s="251">
        <v>178</v>
      </c>
      <c r="BP39" s="255">
        <v>5156943.5505769197</v>
      </c>
      <c r="BQ39" s="251">
        <v>159</v>
      </c>
      <c r="BR39" s="255">
        <v>4643042.0805128152</v>
      </c>
      <c r="BS39" s="251">
        <v>165</v>
      </c>
      <c r="BT39" s="255">
        <v>4813620.3453846099</v>
      </c>
      <c r="BU39" s="251">
        <f>164+2</f>
        <v>166</v>
      </c>
      <c r="BV39" s="255">
        <f>4788940.74897435+39761+250000</f>
        <v>5078701.7489743503</v>
      </c>
      <c r="BW39" s="251">
        <f>125+33</f>
        <v>158</v>
      </c>
      <c r="BX39" s="255">
        <f>4159656.46192308-250000+1190129</f>
        <v>5099785.4619230796</v>
      </c>
      <c r="BY39" s="251">
        <f>168-1</f>
        <v>167</v>
      </c>
      <c r="BZ39" s="255">
        <v>5535840.544871795</v>
      </c>
      <c r="CA39" s="251">
        <v>167</v>
      </c>
      <c r="CB39" s="255">
        <v>5442369.1527564069</v>
      </c>
      <c r="CC39" s="251">
        <v>168</v>
      </c>
      <c r="CD39" s="255">
        <v>5544512.0891666636</v>
      </c>
      <c r="CE39" s="251">
        <v>164</v>
      </c>
      <c r="CF39" s="255">
        <v>5552366.5745512825</v>
      </c>
      <c r="CG39" s="251">
        <v>167</v>
      </c>
      <c r="CH39" s="255">
        <v>5204099.0076923082</v>
      </c>
      <c r="CI39" s="251">
        <v>168</v>
      </c>
      <c r="CJ39" s="255">
        <v>5282736.8419871777</v>
      </c>
      <c r="CK39" s="251">
        <v>169</v>
      </c>
      <c r="CL39" s="255">
        <f>5873928.68685898-200000</f>
        <v>5673928.68685898</v>
      </c>
      <c r="CM39" s="251">
        <v>166</v>
      </c>
      <c r="CN39" s="255">
        <v>5720375.2718589734</v>
      </c>
      <c r="CO39" s="251">
        <v>170</v>
      </c>
      <c r="CP39" s="255">
        <v>5399147.1705128215</v>
      </c>
      <c r="CQ39" s="251">
        <v>170</v>
      </c>
      <c r="CR39" s="255">
        <f>5273565.80987179+200000</f>
        <v>5473565.80987179</v>
      </c>
      <c r="CS39" s="251">
        <v>168</v>
      </c>
      <c r="CT39" s="255">
        <f>5475606.33448718+500000</f>
        <v>5975606.3344871802</v>
      </c>
      <c r="CU39" s="251">
        <v>179</v>
      </c>
      <c r="CV39" s="255">
        <v>5989438.9638461536</v>
      </c>
      <c r="CW39" s="251">
        <v>176</v>
      </c>
      <c r="CX39" s="255">
        <v>6026922.8948076926</v>
      </c>
      <c r="CY39" s="251">
        <v>190</v>
      </c>
      <c r="CZ39" s="255">
        <v>6257262.4319871813</v>
      </c>
      <c r="DA39" s="251">
        <v>187</v>
      </c>
      <c r="DB39" s="255">
        <v>6736366.3891666662</v>
      </c>
      <c r="DC39" s="251">
        <v>193</v>
      </c>
      <c r="DD39" s="255">
        <v>6968591.711602563</v>
      </c>
      <c r="DE39" s="251">
        <f>187+1</f>
        <v>188</v>
      </c>
      <c r="DF39" s="255">
        <f>6355266.32865385+48040</f>
        <v>6403306.3286538497</v>
      </c>
      <c r="DG39" s="251">
        <v>204</v>
      </c>
      <c r="DH39" s="255">
        <v>7075317.1497435924</v>
      </c>
      <c r="DI39" s="251">
        <v>219</v>
      </c>
      <c r="DJ39" s="255">
        <f>7514641.55628205-200000</f>
        <v>7314641.55628205</v>
      </c>
      <c r="DK39" s="251">
        <v>225</v>
      </c>
      <c r="DL39" s="255">
        <v>7681351.4756410252</v>
      </c>
      <c r="DM39" s="251">
        <v>237</v>
      </c>
      <c r="DN39" s="255">
        <v>8139291.8871153854</v>
      </c>
      <c r="DO39" s="251">
        <v>249</v>
      </c>
      <c r="DP39" s="255">
        <v>8597511.7797435895</v>
      </c>
      <c r="DQ39" s="251">
        <v>259</v>
      </c>
      <c r="DR39" s="255">
        <v>8446254.9995512795</v>
      </c>
      <c r="DU39" s="256">
        <v>0</v>
      </c>
      <c r="DV39" s="255">
        <v>0</v>
      </c>
      <c r="DW39" s="256">
        <v>0</v>
      </c>
      <c r="DX39" s="255">
        <v>0</v>
      </c>
      <c r="DY39" s="256">
        <v>0</v>
      </c>
      <c r="DZ39" s="255">
        <v>0</v>
      </c>
      <c r="EA39" s="256">
        <v>0</v>
      </c>
      <c r="EB39" s="255">
        <v>0</v>
      </c>
      <c r="EC39" s="256">
        <v>0</v>
      </c>
      <c r="ED39" s="255">
        <v>0</v>
      </c>
      <c r="EE39" s="256">
        <v>0</v>
      </c>
      <c r="EF39" s="255">
        <v>0</v>
      </c>
      <c r="EG39" s="256">
        <v>0</v>
      </c>
      <c r="EH39" s="255">
        <v>0</v>
      </c>
      <c r="EI39" s="256">
        <v>0</v>
      </c>
      <c r="EJ39" s="255">
        <v>0</v>
      </c>
      <c r="EK39" s="256">
        <v>0</v>
      </c>
      <c r="EL39" s="255">
        <v>0</v>
      </c>
      <c r="EM39" s="256">
        <v>0</v>
      </c>
      <c r="EN39" s="255">
        <v>0</v>
      </c>
      <c r="EO39" s="256">
        <v>0</v>
      </c>
      <c r="EP39" s="255">
        <v>0</v>
      </c>
      <c r="EQ39" s="256">
        <v>0</v>
      </c>
      <c r="ER39" s="255">
        <v>0</v>
      </c>
      <c r="ET39" s="257"/>
      <c r="EU39" s="257"/>
    </row>
    <row r="40" spans="1:153" x14ac:dyDescent="0.2">
      <c r="B40" s="258" t="s">
        <v>457</v>
      </c>
      <c r="C40" s="259">
        <v>73</v>
      </c>
      <c r="D40" s="252">
        <v>2709026.3135256418</v>
      </c>
      <c r="E40" s="259">
        <v>73</v>
      </c>
      <c r="F40" s="252">
        <v>2116500.0852564103</v>
      </c>
      <c r="G40" s="259">
        <v>70</v>
      </c>
      <c r="H40" s="252">
        <v>1810706.0917307693</v>
      </c>
      <c r="I40" s="259">
        <v>79</v>
      </c>
      <c r="J40" s="252">
        <v>2196737.5999358972</v>
      </c>
      <c r="K40" s="260">
        <v>89</v>
      </c>
      <c r="L40" s="261">
        <v>2700711.4963461538</v>
      </c>
      <c r="M40" s="251">
        <v>122</v>
      </c>
      <c r="N40" s="252">
        <v>3482509.7751923087</v>
      </c>
      <c r="O40" s="253">
        <v>142</v>
      </c>
      <c r="P40" s="252">
        <v>4276849.6115384614</v>
      </c>
      <c r="Q40" s="251">
        <v>145</v>
      </c>
      <c r="R40" s="255">
        <v>4482329.7446153853</v>
      </c>
      <c r="S40" s="251">
        <v>151</v>
      </c>
      <c r="T40" s="255">
        <v>5032724.1612179494</v>
      </c>
      <c r="U40" s="251">
        <v>163</v>
      </c>
      <c r="V40" s="255">
        <v>5447677.0031410232</v>
      </c>
      <c r="W40" s="251">
        <v>173</v>
      </c>
      <c r="X40" s="255">
        <v>5357924.3277564105</v>
      </c>
      <c r="Y40" s="251">
        <v>189</v>
      </c>
      <c r="Z40" s="255">
        <v>6294710.4219230749</v>
      </c>
      <c r="AA40" s="251">
        <v>182</v>
      </c>
      <c r="AB40" s="255">
        <v>6144499.9854487181</v>
      </c>
      <c r="AC40" s="251">
        <v>278</v>
      </c>
      <c r="AD40" s="255">
        <v>8187148.0829487154</v>
      </c>
      <c r="AE40" s="251">
        <v>306</v>
      </c>
      <c r="AF40" s="255">
        <v>9189695.0901282076</v>
      </c>
      <c r="AG40" s="251">
        <v>338</v>
      </c>
      <c r="AH40" s="255">
        <v>10265768.391168326</v>
      </c>
      <c r="AI40" s="251">
        <v>337</v>
      </c>
      <c r="AJ40" s="255">
        <v>10797967.641217949</v>
      </c>
      <c r="AK40" s="251">
        <v>349</v>
      </c>
      <c r="AL40" s="255">
        <v>10726417.355448721</v>
      </c>
      <c r="AM40" s="251">
        <v>348</v>
      </c>
      <c r="AN40" s="255">
        <v>11359092.479487179</v>
      </c>
      <c r="AO40" s="251">
        <v>368</v>
      </c>
      <c r="AP40" s="255">
        <v>10838940.793333327</v>
      </c>
      <c r="AQ40" s="251">
        <v>405</v>
      </c>
      <c r="AR40" s="255">
        <v>11693911.860064099</v>
      </c>
      <c r="AS40" s="251">
        <f>402+2</f>
        <v>404</v>
      </c>
      <c r="AT40" s="255">
        <f>12294771.5021795+80000</f>
        <v>12374771.5021795</v>
      </c>
      <c r="AU40" s="251">
        <v>403</v>
      </c>
      <c r="AV40" s="255">
        <v>13350654.195448725</v>
      </c>
      <c r="AW40" s="251">
        <v>413</v>
      </c>
      <c r="AX40" s="255">
        <v>13303989.348076927</v>
      </c>
      <c r="AY40" s="251">
        <f>398-2</f>
        <v>396</v>
      </c>
      <c r="AZ40" s="255">
        <f>15111191.4311539-62258</f>
        <v>15048933.431153901</v>
      </c>
      <c r="BA40" s="251">
        <v>373</v>
      </c>
      <c r="BB40" s="255">
        <v>13942944.645165287</v>
      </c>
      <c r="BC40" s="251">
        <v>370</v>
      </c>
      <c r="BD40" s="255">
        <v>14149974.316346159</v>
      </c>
      <c r="BE40" s="251">
        <v>373</v>
      </c>
      <c r="BF40" s="255">
        <v>14105493.895769235</v>
      </c>
      <c r="BG40" s="251">
        <v>362</v>
      </c>
      <c r="BH40" s="255">
        <v>13220016.439743597</v>
      </c>
      <c r="BI40" s="251">
        <v>363</v>
      </c>
      <c r="BJ40" s="255">
        <v>13431120.406794868</v>
      </c>
      <c r="BK40" s="251">
        <v>363</v>
      </c>
      <c r="BL40" s="255">
        <f>13212286.4994231+2000000</f>
        <v>15212286.4994231</v>
      </c>
      <c r="BM40" s="251">
        <v>370</v>
      </c>
      <c r="BN40" s="255">
        <f>14764491.1328205-1500000</f>
        <v>13264491.1328205</v>
      </c>
      <c r="BO40" s="251">
        <v>368</v>
      </c>
      <c r="BP40" s="255">
        <v>13114634.634615382</v>
      </c>
      <c r="BQ40" s="251">
        <v>346</v>
      </c>
      <c r="BR40" s="255">
        <v>11514984.551602563</v>
      </c>
      <c r="BS40" s="251">
        <v>340</v>
      </c>
      <c r="BT40" s="255">
        <v>11100505.432435898</v>
      </c>
      <c r="BU40" s="251">
        <v>335</v>
      </c>
      <c r="BV40" s="255">
        <f>10925409.25+500000</f>
        <v>11425409.25</v>
      </c>
      <c r="BW40" s="251">
        <f>387-1-33</f>
        <v>353</v>
      </c>
      <c r="BX40" s="255">
        <f>14935793.8197436-500000-59686-1190129</f>
        <v>13185978.8197436</v>
      </c>
      <c r="BY40" s="251">
        <f>382-1</f>
        <v>381</v>
      </c>
      <c r="BZ40" s="255">
        <v>14179774.046282055</v>
      </c>
      <c r="CA40" s="251">
        <v>378</v>
      </c>
      <c r="CB40" s="255">
        <f>13916366.1016026-46075</f>
        <v>13870291.101602601</v>
      </c>
      <c r="CC40" s="251">
        <v>387</v>
      </c>
      <c r="CD40" s="255">
        <v>13844366.364935888</v>
      </c>
      <c r="CE40" s="251">
        <v>369</v>
      </c>
      <c r="CF40" s="255">
        <v>13796838.752564102</v>
      </c>
      <c r="CG40" s="251">
        <v>368</v>
      </c>
      <c r="CH40" s="255">
        <v>12723273.106602564</v>
      </c>
      <c r="CI40" s="251">
        <v>369</v>
      </c>
      <c r="CJ40" s="255">
        <f>12227482.223141+500000</f>
        <v>12727482.223141</v>
      </c>
      <c r="CK40" s="251">
        <v>377</v>
      </c>
      <c r="CL40" s="255">
        <f>14629080.5685897-800000-600000</f>
        <v>13229080.5685897</v>
      </c>
      <c r="CM40" s="251">
        <v>372</v>
      </c>
      <c r="CN40" s="255">
        <v>13396071.462628197</v>
      </c>
      <c r="CO40" s="251">
        <v>375</v>
      </c>
      <c r="CP40" s="255">
        <v>13288080.708653845</v>
      </c>
      <c r="CQ40" s="251">
        <v>379</v>
      </c>
      <c r="CR40" s="255">
        <f>13366851.1112179+200000</f>
        <v>13566851.111217899</v>
      </c>
      <c r="CS40" s="251">
        <v>392</v>
      </c>
      <c r="CT40" s="255">
        <f>14817970.4255128+1000000</f>
        <v>15817970.4255128</v>
      </c>
      <c r="CU40" s="251">
        <v>397</v>
      </c>
      <c r="CV40" s="255">
        <f>15729163.1789103+500000</f>
        <v>16229163.1789103</v>
      </c>
      <c r="CW40" s="251">
        <v>404</v>
      </c>
      <c r="CX40" s="255">
        <f>15854232.1335256+200000</f>
        <v>16054232.133525601</v>
      </c>
      <c r="CY40" s="251">
        <v>418</v>
      </c>
      <c r="CZ40" s="255">
        <v>15613738.968782049</v>
      </c>
      <c r="DA40" s="251">
        <v>432</v>
      </c>
      <c r="DB40" s="255">
        <v>16880294.138717953</v>
      </c>
      <c r="DC40" s="251">
        <v>449</v>
      </c>
      <c r="DD40" s="255">
        <v>17898732.303974364</v>
      </c>
      <c r="DE40" s="251">
        <v>434</v>
      </c>
      <c r="DF40" s="255">
        <v>16466328.205064109</v>
      </c>
      <c r="DG40" s="251">
        <v>443</v>
      </c>
      <c r="DH40" s="255">
        <v>16945311.856602568</v>
      </c>
      <c r="DI40" s="251">
        <v>453</v>
      </c>
      <c r="DJ40" s="255">
        <f>18922379.6236538-500000</f>
        <v>18422379.623653799</v>
      </c>
      <c r="DK40" s="251">
        <v>484</v>
      </c>
      <c r="DL40" s="255">
        <v>18419232.448653847</v>
      </c>
      <c r="DM40" s="251">
        <v>513</v>
      </c>
      <c r="DN40" s="255">
        <v>21762493.512564097</v>
      </c>
      <c r="DO40" s="251">
        <v>527</v>
      </c>
      <c r="DP40" s="255">
        <v>21862737.601217933</v>
      </c>
      <c r="DQ40" s="251">
        <v>542</v>
      </c>
      <c r="DR40" s="255">
        <v>22125938.683333326</v>
      </c>
      <c r="DU40" s="256">
        <v>569.43092409736153</v>
      </c>
      <c r="DV40" s="255">
        <v>21723902.409531251</v>
      </c>
      <c r="DW40" s="256">
        <v>646.5796299428107</v>
      </c>
      <c r="DX40" s="255">
        <v>24667140.800500005</v>
      </c>
      <c r="DY40" s="256">
        <v>663.41764113923807</v>
      </c>
      <c r="DZ40" s="255">
        <v>25309514.258846361</v>
      </c>
      <c r="EA40" s="256">
        <v>683.62325457495081</v>
      </c>
      <c r="EB40" s="255">
        <v>26080362.408861984</v>
      </c>
      <c r="EC40" s="256">
        <v>703.82886801066365</v>
      </c>
      <c r="ED40" s="255">
        <v>26851210.55887761</v>
      </c>
      <c r="EE40" s="256">
        <v>740.87249264280399</v>
      </c>
      <c r="EF40" s="255">
        <v>28264432.167239591</v>
      </c>
      <c r="EG40" s="256">
        <v>761.07810607851673</v>
      </c>
      <c r="EH40" s="255">
        <v>29035280.317255214</v>
      </c>
      <c r="EI40" s="256">
        <v>781.28371951422957</v>
      </c>
      <c r="EJ40" s="255">
        <v>29806128.46727084</v>
      </c>
      <c r="EK40" s="256">
        <v>818.32734414636968</v>
      </c>
      <c r="EL40" s="255">
        <v>31219350.075632818</v>
      </c>
      <c r="EM40" s="256">
        <v>838.53295758208253</v>
      </c>
      <c r="EN40" s="255">
        <v>31990198.225648444</v>
      </c>
      <c r="EO40" s="256">
        <v>858.73857101779538</v>
      </c>
      <c r="EP40" s="255">
        <v>32761046.37566407</v>
      </c>
      <c r="EQ40" s="256">
        <v>895.78219564993572</v>
      </c>
      <c r="ER40" s="255">
        <v>34174267.984026052</v>
      </c>
      <c r="ET40" s="257"/>
      <c r="EU40" s="257"/>
    </row>
    <row r="41" spans="1:153" x14ac:dyDescent="0.2">
      <c r="B41" s="258" t="s">
        <v>458</v>
      </c>
      <c r="C41" s="259">
        <v>0</v>
      </c>
      <c r="D41" s="252">
        <v>0</v>
      </c>
      <c r="E41" s="259">
        <v>2</v>
      </c>
      <c r="F41" s="252">
        <v>178747.99794871794</v>
      </c>
      <c r="G41" s="259">
        <v>2</v>
      </c>
      <c r="H41" s="252">
        <v>196622.79774358982</v>
      </c>
      <c r="I41" s="259">
        <v>18</v>
      </c>
      <c r="J41" s="252">
        <v>918017.46852564102</v>
      </c>
      <c r="K41" s="260">
        <v>18</v>
      </c>
      <c r="L41" s="261">
        <v>1037278.468525641</v>
      </c>
      <c r="M41" s="251">
        <v>18</v>
      </c>
      <c r="N41" s="252">
        <v>1051949.6060897436</v>
      </c>
      <c r="O41" s="253">
        <v>19</v>
      </c>
      <c r="P41" s="252">
        <v>1200270.1369871795</v>
      </c>
      <c r="Q41" s="251">
        <v>19</v>
      </c>
      <c r="R41" s="255">
        <v>1137514.3538461539</v>
      </c>
      <c r="S41" s="251">
        <v>17</v>
      </c>
      <c r="T41" s="255">
        <v>1133376.7780128205</v>
      </c>
      <c r="U41" s="251">
        <v>33</v>
      </c>
      <c r="V41" s="255">
        <v>1533289.8482692312</v>
      </c>
      <c r="W41" s="251">
        <v>30</v>
      </c>
      <c r="X41" s="255">
        <v>1545094.2907692308</v>
      </c>
      <c r="Y41" s="251">
        <v>47</v>
      </c>
      <c r="Z41" s="255">
        <v>2105488.1669230773</v>
      </c>
      <c r="AA41" s="251">
        <v>101</v>
      </c>
      <c r="AB41" s="255">
        <v>3911991.9037179491</v>
      </c>
      <c r="AC41" s="251">
        <v>45</v>
      </c>
      <c r="AD41" s="255">
        <v>2837534.9155128202</v>
      </c>
      <c r="AE41" s="251">
        <v>50</v>
      </c>
      <c r="AF41" s="255">
        <v>2986391.3366025635</v>
      </c>
      <c r="AG41" s="251">
        <v>50</v>
      </c>
      <c r="AH41" s="255">
        <v>3374511.2082692306</v>
      </c>
      <c r="AI41" s="251">
        <v>55</v>
      </c>
      <c r="AJ41" s="255">
        <v>3404760.2248076927</v>
      </c>
      <c r="AK41" s="251">
        <v>67</v>
      </c>
      <c r="AL41" s="255">
        <v>4298888.8635256393</v>
      </c>
      <c r="AM41" s="251">
        <v>66</v>
      </c>
      <c r="AN41" s="255">
        <v>4197928.4273056248</v>
      </c>
      <c r="AO41" s="251">
        <v>65</v>
      </c>
      <c r="AP41" s="255">
        <v>4152750.3144230759</v>
      </c>
      <c r="AQ41" s="251">
        <v>65</v>
      </c>
      <c r="AR41" s="255">
        <v>4071354.3773717941</v>
      </c>
      <c r="AS41" s="251">
        <v>66</v>
      </c>
      <c r="AT41" s="255">
        <v>4417064.2730128206</v>
      </c>
      <c r="AU41" s="251">
        <v>65</v>
      </c>
      <c r="AV41" s="255">
        <v>4375551.773974359</v>
      </c>
      <c r="AW41" s="251">
        <v>66</v>
      </c>
      <c r="AX41" s="255">
        <v>5530321.99346154</v>
      </c>
      <c r="AY41" s="251">
        <f>70+2</f>
        <v>72</v>
      </c>
      <c r="AZ41" s="255">
        <f>5044738.32842193+62258+500000</f>
        <v>5606996.3284219299</v>
      </c>
      <c r="BA41" s="251">
        <f>103-6</f>
        <v>97</v>
      </c>
      <c r="BB41" s="255">
        <f>6028496.66433292+500000-155850</f>
        <v>6372646.6643329198</v>
      </c>
      <c r="BC41" s="251">
        <v>102</v>
      </c>
      <c r="BD41" s="255">
        <f>6035749.61979322+500000</f>
        <v>6535749.6197932204</v>
      </c>
      <c r="BE41" s="251">
        <v>101</v>
      </c>
      <c r="BF41" s="255">
        <v>6341514.8680769242</v>
      </c>
      <c r="BG41" s="251">
        <v>103</v>
      </c>
      <c r="BH41" s="255">
        <v>5896908.9672435904</v>
      </c>
      <c r="BI41" s="251">
        <v>104</v>
      </c>
      <c r="BJ41" s="255">
        <f>6011700.06628205-200000-200000</f>
        <v>5611700.0662820498</v>
      </c>
      <c r="BK41" s="251">
        <v>99</v>
      </c>
      <c r="BL41" s="255">
        <v>5499917.4582051272</v>
      </c>
      <c r="BM41" s="251">
        <v>98</v>
      </c>
      <c r="BN41" s="255">
        <f>5976879.86955128-500000</f>
        <v>5476879.8695512796</v>
      </c>
      <c r="BO41" s="251">
        <v>97</v>
      </c>
      <c r="BP41" s="255">
        <v>5517833.2542638546</v>
      </c>
      <c r="BQ41" s="251">
        <v>90</v>
      </c>
      <c r="BR41" s="255">
        <v>5036970.9399358956</v>
      </c>
      <c r="BS41" s="251">
        <v>85</v>
      </c>
      <c r="BT41" s="255">
        <f>5121302.27705128-130000</f>
        <v>4991302.2770512803</v>
      </c>
      <c r="BU41" s="251">
        <v>94</v>
      </c>
      <c r="BV41" s="255">
        <f>5030128.87403846+250000</f>
        <v>5280128.8740384597</v>
      </c>
      <c r="BW41" s="251">
        <f>75+1</f>
        <v>76</v>
      </c>
      <c r="BX41" s="255">
        <f>5704587.57634615-250000+500000+59686</f>
        <v>6014273.5763461497</v>
      </c>
      <c r="BY41" s="251">
        <v>76</v>
      </c>
      <c r="BZ41" s="255">
        <f>5993352.07185898+500000</f>
        <v>6493352.0718589798</v>
      </c>
      <c r="CA41" s="251">
        <v>82</v>
      </c>
      <c r="CB41" s="255">
        <f>6885777.6974359+500000</f>
        <v>7385777.6974358996</v>
      </c>
      <c r="CC41" s="251">
        <v>79</v>
      </c>
      <c r="CD41" s="255">
        <f>7009244.42833333+500000</f>
        <v>7509244.42833333</v>
      </c>
      <c r="CE41" s="251">
        <v>78</v>
      </c>
      <c r="CF41" s="255">
        <v>7098189.8728846153</v>
      </c>
      <c r="CG41" s="251">
        <v>77</v>
      </c>
      <c r="CH41" s="255">
        <v>6673689.0680769216</v>
      </c>
      <c r="CI41" s="251">
        <v>76</v>
      </c>
      <c r="CJ41" s="255">
        <f>6464774.55134822+500000</f>
        <v>6964774.5513482196</v>
      </c>
      <c r="CK41" s="251">
        <v>73</v>
      </c>
      <c r="CL41" s="255">
        <v>6993092.3618589714</v>
      </c>
      <c r="CM41" s="251">
        <v>79</v>
      </c>
      <c r="CN41" s="255">
        <f>6968977.1964909+100000</f>
        <v>7068977.1964908997</v>
      </c>
      <c r="CO41" s="251">
        <v>82</v>
      </c>
      <c r="CP41" s="255">
        <v>7512252.6959139798</v>
      </c>
      <c r="CQ41" s="251">
        <v>84</v>
      </c>
      <c r="CR41" s="255">
        <f>7207620.31557692+400000</f>
        <v>7607620.3155769203</v>
      </c>
      <c r="CS41" s="251">
        <v>85</v>
      </c>
      <c r="CT41" s="255">
        <f>7836610.59499173+1000000</f>
        <v>8836610.5949917287</v>
      </c>
      <c r="CU41" s="251">
        <v>95</v>
      </c>
      <c r="CV41" s="255">
        <f>10104689.9877564+500000+100000</f>
        <v>10704689.987756399</v>
      </c>
      <c r="CW41" s="251">
        <v>98</v>
      </c>
      <c r="CX41" s="255">
        <f>10109181.5678846+500000+200000</f>
        <v>10809181.5678846</v>
      </c>
      <c r="CY41" s="251">
        <v>105</v>
      </c>
      <c r="CZ41" s="255">
        <v>10821720.4555769</v>
      </c>
      <c r="DA41" s="251">
        <v>111</v>
      </c>
      <c r="DB41" s="255">
        <v>10707193.532371791</v>
      </c>
      <c r="DC41" s="251">
        <v>110</v>
      </c>
      <c r="DD41" s="255">
        <v>11210281.291186927</v>
      </c>
      <c r="DE41" s="251">
        <f>128+1</f>
        <v>129</v>
      </c>
      <c r="DF41" s="255">
        <f>11144002.5041026+1401+200000</f>
        <v>11345403.504102601</v>
      </c>
      <c r="DG41" s="251">
        <v>126</v>
      </c>
      <c r="DH41" s="255">
        <f>10993996.739359+300000</f>
        <v>11293996.739359001</v>
      </c>
      <c r="DI41" s="251">
        <v>130</v>
      </c>
      <c r="DJ41" s="255">
        <f>12719885.6107692-30000</f>
        <v>12689885.610769199</v>
      </c>
      <c r="DK41" s="251">
        <v>132</v>
      </c>
      <c r="DL41" s="255">
        <v>12597407.760665841</v>
      </c>
      <c r="DM41" s="251">
        <v>135</v>
      </c>
      <c r="DN41" s="255">
        <v>14008023.119615382</v>
      </c>
      <c r="DO41" s="251">
        <v>139</v>
      </c>
      <c r="DP41" s="255">
        <v>14221842.280448714</v>
      </c>
      <c r="DQ41" s="251">
        <v>140</v>
      </c>
      <c r="DR41" s="255">
        <v>13253890.749038462</v>
      </c>
      <c r="DU41" s="256">
        <v>82.946992657443161</v>
      </c>
      <c r="DV41" s="255">
        <v>9014703.235096775</v>
      </c>
      <c r="DW41" s="256">
        <v>101.34959349615013</v>
      </c>
      <c r="DX41" s="255">
        <v>11014703.235096775</v>
      </c>
      <c r="DY41" s="256">
        <v>101.34959349615013</v>
      </c>
      <c r="DZ41" s="255">
        <v>11014703.235096775</v>
      </c>
      <c r="EA41" s="256">
        <v>101.34959349615013</v>
      </c>
      <c r="EB41" s="255">
        <v>11014703.235096775</v>
      </c>
      <c r="EC41" s="256">
        <v>101.34959349615013</v>
      </c>
      <c r="ED41" s="255">
        <v>11014703.235096775</v>
      </c>
      <c r="EE41" s="256">
        <v>101.34959349615013</v>
      </c>
      <c r="EF41" s="255">
        <v>11014703.235096775</v>
      </c>
      <c r="EG41" s="256">
        <v>101.34959349615013</v>
      </c>
      <c r="EH41" s="255">
        <v>11014703.235096775</v>
      </c>
      <c r="EI41" s="256">
        <v>101.34959349615013</v>
      </c>
      <c r="EJ41" s="255">
        <v>11014703.235096775</v>
      </c>
      <c r="EK41" s="256">
        <v>101.34959349615013</v>
      </c>
      <c r="EL41" s="255">
        <v>11014703.235096775</v>
      </c>
      <c r="EM41" s="256">
        <v>101.34959349615013</v>
      </c>
      <c r="EN41" s="255">
        <v>11014703.235096775</v>
      </c>
      <c r="EO41" s="256">
        <v>101.34959349615013</v>
      </c>
      <c r="EP41" s="255">
        <v>11014703.235096775</v>
      </c>
      <c r="EQ41" s="256">
        <v>101.34959349615013</v>
      </c>
      <c r="ER41" s="255">
        <v>11014703.235096775</v>
      </c>
      <c r="ET41" s="257"/>
      <c r="EU41" s="257"/>
    </row>
    <row r="42" spans="1:153" x14ac:dyDescent="0.2">
      <c r="B42" s="258" t="s">
        <v>459</v>
      </c>
      <c r="C42" s="259">
        <v>2</v>
      </c>
      <c r="D42" s="252">
        <v>63640.559038461535</v>
      </c>
      <c r="E42" s="259">
        <v>2</v>
      </c>
      <c r="F42" s="252">
        <v>60510.559038461535</v>
      </c>
      <c r="G42" s="259">
        <v>2</v>
      </c>
      <c r="H42" s="252">
        <v>60510.559038461535</v>
      </c>
      <c r="I42" s="259">
        <v>5</v>
      </c>
      <c r="J42" s="252">
        <v>147809.49493589744</v>
      </c>
      <c r="K42" s="260">
        <v>5</v>
      </c>
      <c r="L42" s="261">
        <v>144145.63147435896</v>
      </c>
      <c r="M42" s="251">
        <v>4</v>
      </c>
      <c r="N42" s="252">
        <v>90101.454166666663</v>
      </c>
      <c r="O42" s="253">
        <v>3</v>
      </c>
      <c r="P42" s="252">
        <v>92364.828269230769</v>
      </c>
      <c r="Q42" s="251">
        <v>3</v>
      </c>
      <c r="R42" s="255">
        <v>89356.789807692316</v>
      </c>
      <c r="S42" s="251">
        <v>3</v>
      </c>
      <c r="T42" s="255">
        <v>88110.828269230769</v>
      </c>
      <c r="U42" s="251">
        <v>6</v>
      </c>
      <c r="V42" s="255">
        <v>170921.64269230771</v>
      </c>
      <c r="W42" s="251">
        <v>6</v>
      </c>
      <c r="X42" s="255">
        <v>168248.64269230771</v>
      </c>
      <c r="Y42" s="251">
        <v>6</v>
      </c>
      <c r="Z42" s="255">
        <v>194717.60256410256</v>
      </c>
      <c r="AA42" s="251">
        <v>7</v>
      </c>
      <c r="AB42" s="255">
        <v>222671.19230769231</v>
      </c>
      <c r="AC42" s="251">
        <v>9</v>
      </c>
      <c r="AD42" s="255">
        <v>278746.23076923075</v>
      </c>
      <c r="AE42" s="251">
        <v>9</v>
      </c>
      <c r="AF42" s="255">
        <v>265151.38461538462</v>
      </c>
      <c r="AG42" s="251">
        <v>12.5</v>
      </c>
      <c r="AH42" s="255">
        <v>410500.29513598938</v>
      </c>
      <c r="AI42" s="251">
        <v>12</v>
      </c>
      <c r="AJ42" s="255">
        <v>440228.6185713649</v>
      </c>
      <c r="AK42" s="251">
        <v>10</v>
      </c>
      <c r="AL42" s="255">
        <v>360551.58705293026</v>
      </c>
      <c r="AM42" s="251">
        <v>10</v>
      </c>
      <c r="AN42" s="255">
        <v>412871.71694939618</v>
      </c>
      <c r="AO42" s="251">
        <v>12</v>
      </c>
      <c r="AP42" s="255">
        <v>438737.40636223729</v>
      </c>
      <c r="AQ42" s="251">
        <v>12</v>
      </c>
      <c r="AR42" s="255">
        <v>439917.88475743186</v>
      </c>
      <c r="AS42" s="251">
        <v>12</v>
      </c>
      <c r="AT42" s="255">
        <v>416239.55903967068</v>
      </c>
      <c r="AU42" s="251">
        <v>12</v>
      </c>
      <c r="AV42" s="255">
        <v>449002.05480508367</v>
      </c>
      <c r="AW42" s="251">
        <v>10</v>
      </c>
      <c r="AX42" s="255">
        <v>406633.97391480533</v>
      </c>
      <c r="AY42" s="251">
        <v>13</v>
      </c>
      <c r="AZ42" s="255">
        <v>411269.33573847468</v>
      </c>
      <c r="BA42" s="251">
        <v>13</v>
      </c>
      <c r="BB42" s="255">
        <v>411389.01677399874</v>
      </c>
      <c r="BC42" s="251">
        <v>12.66</v>
      </c>
      <c r="BD42" s="255">
        <v>367919</v>
      </c>
      <c r="BE42" s="251">
        <f>12+1</f>
        <v>13</v>
      </c>
      <c r="BF42" s="255">
        <v>372802.41913885513</v>
      </c>
      <c r="BG42" s="251">
        <v>13</v>
      </c>
      <c r="BH42" s="255">
        <v>379739.94307405199</v>
      </c>
      <c r="BI42" s="251">
        <v>13</v>
      </c>
      <c r="BJ42" s="255">
        <v>376587</v>
      </c>
      <c r="BK42" s="251">
        <v>13</v>
      </c>
      <c r="BL42" s="255">
        <v>402512.69794225768</v>
      </c>
      <c r="BM42" s="251">
        <v>13</v>
      </c>
      <c r="BN42" s="255">
        <v>402696</v>
      </c>
      <c r="BO42" s="251">
        <v>14</v>
      </c>
      <c r="BP42" s="255">
        <f>364898.587984832+44043.2728274856</f>
        <v>408941.86081231758</v>
      </c>
      <c r="BQ42" s="251">
        <v>13.6</v>
      </c>
      <c r="BR42" s="255">
        <v>385151</v>
      </c>
      <c r="BS42" s="251">
        <v>13</v>
      </c>
      <c r="BT42" s="255">
        <v>371860</v>
      </c>
      <c r="BU42" s="251">
        <v>11</v>
      </c>
      <c r="BV42" s="255">
        <v>356801</v>
      </c>
      <c r="BW42" s="251">
        <v>12.3</v>
      </c>
      <c r="BX42" s="255">
        <v>363961</v>
      </c>
      <c r="BY42" s="251">
        <f>11.185684011305+1</f>
        <v>12.185684011305</v>
      </c>
      <c r="BZ42" s="255">
        <v>373709.40569153801</v>
      </c>
      <c r="CA42" s="251">
        <v>12</v>
      </c>
      <c r="CB42" s="255">
        <v>368359</v>
      </c>
      <c r="CC42" s="251">
        <v>12.090800071312586</v>
      </c>
      <c r="CD42" s="255">
        <v>369276.61930494895</v>
      </c>
      <c r="CE42" s="251">
        <v>11</v>
      </c>
      <c r="CF42" s="255">
        <v>361433</v>
      </c>
      <c r="CG42" s="251">
        <v>11</v>
      </c>
      <c r="CH42" s="255">
        <v>361329</v>
      </c>
      <c r="CI42" s="251">
        <v>11</v>
      </c>
      <c r="CJ42" s="255">
        <v>361329</v>
      </c>
      <c r="CK42" s="251">
        <v>10.9991482855983</v>
      </c>
      <c r="CL42" s="255">
        <v>349902.97224352299</v>
      </c>
      <c r="CM42" s="251">
        <v>11</v>
      </c>
      <c r="CN42" s="255">
        <v>409775</v>
      </c>
      <c r="CO42" s="251">
        <v>11</v>
      </c>
      <c r="CP42" s="255">
        <v>416242.04926378251</v>
      </c>
      <c r="CQ42" s="251">
        <v>12</v>
      </c>
      <c r="CR42" s="255">
        <v>424209</v>
      </c>
      <c r="CS42" s="251">
        <v>11</v>
      </c>
      <c r="CT42" s="255">
        <v>455270</v>
      </c>
      <c r="CU42" s="251">
        <v>11</v>
      </c>
      <c r="CV42" s="255">
        <v>439526</v>
      </c>
      <c r="CW42" s="251">
        <v>11</v>
      </c>
      <c r="CX42" s="255">
        <v>437391</v>
      </c>
      <c r="CY42" s="251">
        <v>20.010495194529188</v>
      </c>
      <c r="CZ42" s="255">
        <v>795673.68214821059</v>
      </c>
      <c r="DA42" s="251">
        <v>15</v>
      </c>
      <c r="DB42" s="255">
        <v>553898.21131143474</v>
      </c>
      <c r="DC42" s="262">
        <v>16</v>
      </c>
      <c r="DD42" s="263">
        <v>614167</v>
      </c>
      <c r="DE42" s="262">
        <v>16</v>
      </c>
      <c r="DF42" s="263">
        <v>611713</v>
      </c>
      <c r="DG42" s="262">
        <v>16</v>
      </c>
      <c r="DH42" s="263">
        <v>578605</v>
      </c>
      <c r="DI42" s="262">
        <v>17</v>
      </c>
      <c r="DJ42" s="263">
        <v>614062</v>
      </c>
      <c r="DK42" s="262">
        <v>18</v>
      </c>
      <c r="DL42" s="263">
        <v>643672.93613567739</v>
      </c>
      <c r="DM42" s="262">
        <v>15</v>
      </c>
      <c r="DN42" s="263">
        <v>586059.56062591937</v>
      </c>
      <c r="DO42" s="262">
        <v>14.666269610641553</v>
      </c>
      <c r="DP42" s="263">
        <v>512455.90297922672</v>
      </c>
      <c r="DQ42" s="262">
        <v>14</v>
      </c>
      <c r="DR42" s="263">
        <v>518244.5599823579</v>
      </c>
      <c r="DU42" s="256">
        <v>12.432506449179991</v>
      </c>
      <c r="DV42" s="255">
        <v>493448.27009418444</v>
      </c>
      <c r="DW42" s="256">
        <v>12.432506449179991</v>
      </c>
      <c r="DX42" s="255">
        <v>493448.27009418444</v>
      </c>
      <c r="DY42" s="256">
        <v>12.432506449179991</v>
      </c>
      <c r="DZ42" s="255">
        <v>493448.27009418444</v>
      </c>
      <c r="EA42" s="256">
        <v>12.432506449179991</v>
      </c>
      <c r="EB42" s="255">
        <v>493448.27009418444</v>
      </c>
      <c r="EC42" s="256">
        <v>12.432506449179991</v>
      </c>
      <c r="ED42" s="255">
        <v>493448.27009418444</v>
      </c>
      <c r="EE42" s="256">
        <v>12.432506449179991</v>
      </c>
      <c r="EF42" s="255">
        <v>493448.27009418444</v>
      </c>
      <c r="EG42" s="256">
        <v>12.432506449179991</v>
      </c>
      <c r="EH42" s="255">
        <v>493448.27009418444</v>
      </c>
      <c r="EI42" s="256">
        <v>12.432506449179991</v>
      </c>
      <c r="EJ42" s="255">
        <v>493448.27009418444</v>
      </c>
      <c r="EK42" s="256">
        <v>12.432506449179991</v>
      </c>
      <c r="EL42" s="255">
        <v>493448.27009418444</v>
      </c>
      <c r="EM42" s="256">
        <v>12.432506449179991</v>
      </c>
      <c r="EN42" s="255">
        <v>493448.27009418444</v>
      </c>
      <c r="EO42" s="256">
        <v>12.432506449179991</v>
      </c>
      <c r="EP42" s="255">
        <v>493448.27009418444</v>
      </c>
      <c r="EQ42" s="256">
        <v>12.432506449179991</v>
      </c>
      <c r="ER42" s="255">
        <v>493448.27009418444</v>
      </c>
      <c r="ET42" s="257"/>
      <c r="EU42" s="257"/>
      <c r="EW42" s="257"/>
    </row>
    <row r="43" spans="1:153" x14ac:dyDescent="0.2">
      <c r="B43" s="258" t="s">
        <v>460</v>
      </c>
      <c r="C43" s="259">
        <v>0</v>
      </c>
      <c r="D43" s="252">
        <v>0</v>
      </c>
      <c r="E43" s="259">
        <v>0</v>
      </c>
      <c r="F43" s="252">
        <v>0</v>
      </c>
      <c r="G43" s="259">
        <v>0</v>
      </c>
      <c r="H43" s="252">
        <v>0</v>
      </c>
      <c r="I43" s="259">
        <v>0</v>
      </c>
      <c r="J43" s="252">
        <v>0</v>
      </c>
      <c r="K43" s="260">
        <v>0</v>
      </c>
      <c r="L43" s="261">
        <v>0</v>
      </c>
      <c r="M43" s="251">
        <v>0</v>
      </c>
      <c r="N43" s="252">
        <v>0</v>
      </c>
      <c r="O43" s="253">
        <v>0</v>
      </c>
      <c r="P43" s="252">
        <v>0</v>
      </c>
      <c r="Q43" s="251">
        <v>0</v>
      </c>
      <c r="R43" s="255">
        <v>0</v>
      </c>
      <c r="S43" s="251">
        <v>0</v>
      </c>
      <c r="T43" s="255">
        <v>0</v>
      </c>
      <c r="U43" s="251">
        <v>0</v>
      </c>
      <c r="V43" s="255">
        <v>0</v>
      </c>
      <c r="W43" s="251">
        <v>0</v>
      </c>
      <c r="X43" s="255">
        <v>0</v>
      </c>
      <c r="Y43" s="251">
        <v>0</v>
      </c>
      <c r="Z43" s="255">
        <v>0</v>
      </c>
      <c r="AA43" s="251">
        <v>0</v>
      </c>
      <c r="AB43" s="255">
        <v>0</v>
      </c>
      <c r="AC43" s="251">
        <v>22</v>
      </c>
      <c r="AD43" s="255">
        <v>942898.65108974359</v>
      </c>
      <c r="AE43" s="251">
        <v>25</v>
      </c>
      <c r="AF43" s="255">
        <v>939697.4499999996</v>
      </c>
      <c r="AG43" s="251">
        <v>23</v>
      </c>
      <c r="AH43" s="255">
        <v>1123305.8492307691</v>
      </c>
      <c r="AI43" s="251">
        <v>26</v>
      </c>
      <c r="AJ43" s="255">
        <v>1170730.0113461541</v>
      </c>
      <c r="AK43" s="251">
        <v>27</v>
      </c>
      <c r="AL43" s="255">
        <v>950232.29128205101</v>
      </c>
      <c r="AM43" s="251">
        <v>26</v>
      </c>
      <c r="AN43" s="255">
        <v>1135469.3770512817</v>
      </c>
      <c r="AO43" s="251">
        <v>25</v>
      </c>
      <c r="AP43" s="255">
        <v>1057781.9137179484</v>
      </c>
      <c r="AQ43" s="251">
        <v>25</v>
      </c>
      <c r="AR43" s="255">
        <v>994341.07096153812</v>
      </c>
      <c r="AS43" s="251">
        <v>24</v>
      </c>
      <c r="AT43" s="255">
        <v>977297.82192307664</v>
      </c>
      <c r="AU43" s="251">
        <v>24</v>
      </c>
      <c r="AV43" s="255">
        <v>1251063.8603846154</v>
      </c>
      <c r="AW43" s="251">
        <v>24</v>
      </c>
      <c r="AX43" s="255">
        <v>972351.57717948686</v>
      </c>
      <c r="AY43" s="251">
        <v>25</v>
      </c>
      <c r="AZ43" s="255">
        <v>1106467.7148347548</v>
      </c>
      <c r="BA43" s="251">
        <v>24</v>
      </c>
      <c r="BB43" s="255">
        <v>1108622.1716695698</v>
      </c>
      <c r="BC43" s="251">
        <v>23</v>
      </c>
      <c r="BD43" s="255">
        <v>1036576.2109615385</v>
      </c>
      <c r="BE43" s="251">
        <v>21</v>
      </c>
      <c r="BF43" s="255">
        <v>1007165.1444230769</v>
      </c>
      <c r="BG43" s="251">
        <v>21</v>
      </c>
      <c r="BH43" s="255">
        <v>1012846.5924999999</v>
      </c>
      <c r="BI43" s="251">
        <v>21</v>
      </c>
      <c r="BJ43" s="255">
        <v>1009238.5924999999</v>
      </c>
      <c r="BK43" s="251">
        <v>24</v>
      </c>
      <c r="BL43" s="255">
        <v>1119354.6533974363</v>
      </c>
      <c r="BM43" s="251">
        <v>24</v>
      </c>
      <c r="BN43" s="255">
        <v>1115674.3146153847</v>
      </c>
      <c r="BO43" s="251">
        <v>24</v>
      </c>
      <c r="BP43" s="255">
        <v>1095873.5746153845</v>
      </c>
      <c r="BQ43" s="251">
        <v>23</v>
      </c>
      <c r="BR43" s="255">
        <v>1179612.4039743589</v>
      </c>
      <c r="BS43" s="251">
        <v>23</v>
      </c>
      <c r="BT43" s="255">
        <v>1108492.0681410257</v>
      </c>
      <c r="BU43" s="251">
        <v>21</v>
      </c>
      <c r="BV43" s="255">
        <v>1025267.7726923077</v>
      </c>
      <c r="BW43" s="251">
        <v>20</v>
      </c>
      <c r="BX43" s="255">
        <f>1261540.82455128+100000</f>
        <v>1361540.8245512799</v>
      </c>
      <c r="BY43" s="251">
        <v>23</v>
      </c>
      <c r="BZ43" s="255">
        <f>1221274.94083333+100000</f>
        <v>1321274.9408333299</v>
      </c>
      <c r="CA43" s="251">
        <v>30</v>
      </c>
      <c r="CB43" s="255">
        <f>1465877.90711538+100000</f>
        <v>1565877.90711538</v>
      </c>
      <c r="CC43" s="251">
        <v>30</v>
      </c>
      <c r="CD43" s="255">
        <f>1454597.4350641+13000+100000</f>
        <v>1567597.4350641</v>
      </c>
      <c r="CE43" s="251">
        <v>30</v>
      </c>
      <c r="CF43" s="255">
        <v>1480689.5418589746</v>
      </c>
      <c r="CG43" s="251">
        <v>30</v>
      </c>
      <c r="CH43" s="255">
        <f>1379688.75762821+11200</f>
        <v>1390888.7576282099</v>
      </c>
      <c r="CI43" s="251">
        <v>27</v>
      </c>
      <c r="CJ43" s="255">
        <f>1334765.08424524+200000</f>
        <v>1534765.0842452401</v>
      </c>
      <c r="CK43" s="251">
        <v>27</v>
      </c>
      <c r="CL43" s="255">
        <f>1343063.92551282+24800</f>
        <v>1367863.92551282</v>
      </c>
      <c r="CM43" s="251">
        <v>29</v>
      </c>
      <c r="CN43" s="255">
        <v>1431566.6232051284</v>
      </c>
      <c r="CO43" s="251">
        <v>28</v>
      </c>
      <c r="CP43" s="255">
        <v>1410950.228397436</v>
      </c>
      <c r="CQ43" s="251">
        <v>27</v>
      </c>
      <c r="CR43" s="255">
        <v>1385830.5439743588</v>
      </c>
      <c r="CS43" s="251">
        <v>29</v>
      </c>
      <c r="CT43" s="255">
        <f>1636432.43083333+200000</f>
        <v>1836432.4308333299</v>
      </c>
      <c r="CU43" s="251">
        <v>29</v>
      </c>
      <c r="CV43" s="255">
        <f>1652190.04929487+100000</f>
        <v>1752190.0492948701</v>
      </c>
      <c r="CW43" s="251">
        <v>29</v>
      </c>
      <c r="CX43" s="255">
        <f>1651211.04929487+11800+100000</f>
        <v>1763011.0492948701</v>
      </c>
      <c r="CY43" s="251">
        <v>31</v>
      </c>
      <c r="CZ43" s="255">
        <v>1735257.6110897399</v>
      </c>
      <c r="DA43" s="251">
        <v>32</v>
      </c>
      <c r="DB43" s="255">
        <f>1676948.10378205+100000</f>
        <v>1776948.1037820501</v>
      </c>
      <c r="DC43" s="262">
        <v>32</v>
      </c>
      <c r="DD43" s="263">
        <v>1669007.8487820509</v>
      </c>
      <c r="DE43" s="262">
        <v>28</v>
      </c>
      <c r="DF43" s="263">
        <f>1444027.87705128+100000+100000</f>
        <v>1644027.8770512801</v>
      </c>
      <c r="DG43" s="262">
        <v>30</v>
      </c>
      <c r="DH43" s="263">
        <f>1431651.64744417+100000+300000</f>
        <v>1831651.64744417</v>
      </c>
      <c r="DI43" s="262">
        <v>27</v>
      </c>
      <c r="DJ43" s="263">
        <v>1500446.8446236562</v>
      </c>
      <c r="DK43" s="262">
        <v>28</v>
      </c>
      <c r="DL43" s="263">
        <v>1251037.2781803147</v>
      </c>
      <c r="DM43" s="262">
        <v>28</v>
      </c>
      <c r="DN43" s="263">
        <v>2085250.3189102563</v>
      </c>
      <c r="DO43" s="262">
        <v>28</v>
      </c>
      <c r="DP43" s="263">
        <v>1120214.0680128201</v>
      </c>
      <c r="DQ43" s="262">
        <v>30</v>
      </c>
      <c r="DR43" s="263">
        <v>1328487.4862820515</v>
      </c>
      <c r="DU43" s="256">
        <v>27</v>
      </c>
      <c r="DV43" s="255">
        <v>1593705.1255705126</v>
      </c>
      <c r="DW43" s="256">
        <v>27</v>
      </c>
      <c r="DX43" s="255">
        <v>1593705.1255705126</v>
      </c>
      <c r="DY43" s="256">
        <v>27</v>
      </c>
      <c r="DZ43" s="255">
        <v>1593705.1255705126</v>
      </c>
      <c r="EA43" s="256">
        <v>27</v>
      </c>
      <c r="EB43" s="255">
        <v>1593705.1255705126</v>
      </c>
      <c r="EC43" s="256">
        <v>27</v>
      </c>
      <c r="ED43" s="255">
        <v>1593705.1255705126</v>
      </c>
      <c r="EE43" s="256">
        <v>27</v>
      </c>
      <c r="EF43" s="255">
        <v>1593705.1255705126</v>
      </c>
      <c r="EG43" s="256">
        <v>27</v>
      </c>
      <c r="EH43" s="255">
        <v>1593705.1255705126</v>
      </c>
      <c r="EI43" s="256">
        <v>27</v>
      </c>
      <c r="EJ43" s="255">
        <v>1593705.1255705126</v>
      </c>
      <c r="EK43" s="256">
        <v>27</v>
      </c>
      <c r="EL43" s="255">
        <v>1593705.1255705126</v>
      </c>
      <c r="EM43" s="256">
        <v>27</v>
      </c>
      <c r="EN43" s="255">
        <v>1593705.1255705126</v>
      </c>
      <c r="EO43" s="256">
        <v>27</v>
      </c>
      <c r="EP43" s="255">
        <v>1593705.1255705126</v>
      </c>
      <c r="EQ43" s="256">
        <v>27</v>
      </c>
      <c r="ER43" s="255">
        <v>1593705.1255705126</v>
      </c>
      <c r="ET43" s="257"/>
      <c r="EU43" s="257"/>
    </row>
    <row r="44" spans="1:153" x14ac:dyDescent="0.2">
      <c r="A44" s="236">
        <v>1</v>
      </c>
      <c r="B44" s="258" t="s">
        <v>461</v>
      </c>
      <c r="C44" s="259">
        <v>81</v>
      </c>
      <c r="D44" s="252">
        <v>9091573.0164743587</v>
      </c>
      <c r="E44" s="259">
        <v>84</v>
      </c>
      <c r="F44" s="252">
        <v>9363905.9653846156</v>
      </c>
      <c r="G44" s="259">
        <v>92</v>
      </c>
      <c r="H44" s="252">
        <v>9709278.1253205128</v>
      </c>
      <c r="I44" s="259">
        <v>94</v>
      </c>
      <c r="J44" s="252">
        <v>10014788.544230767</v>
      </c>
      <c r="K44" s="260">
        <v>105</v>
      </c>
      <c r="L44" s="261">
        <v>11344202.363803418</v>
      </c>
      <c r="M44" s="251">
        <v>117</v>
      </c>
      <c r="N44" s="252">
        <v>11827176.092115385</v>
      </c>
      <c r="O44" s="253">
        <v>113</v>
      </c>
      <c r="P44" s="252">
        <v>11986516.714807691</v>
      </c>
      <c r="Q44" s="251">
        <v>114</v>
      </c>
      <c r="R44" s="255">
        <v>12132755.783076923</v>
      </c>
      <c r="S44" s="251">
        <v>120</v>
      </c>
      <c r="T44" s="255">
        <v>13104670.053653846</v>
      </c>
      <c r="U44" s="251">
        <v>129</v>
      </c>
      <c r="V44" s="255">
        <v>13523080.439807694</v>
      </c>
      <c r="W44" s="251">
        <v>132</v>
      </c>
      <c r="X44" s="255">
        <v>14221539.652179487</v>
      </c>
      <c r="Y44" s="251">
        <v>135</v>
      </c>
      <c r="Z44" s="255">
        <v>21002362.759615384</v>
      </c>
      <c r="AA44" s="251">
        <v>143</v>
      </c>
      <c r="AB44" s="255">
        <v>19546988.175256412</v>
      </c>
      <c r="AC44" s="251">
        <v>151</v>
      </c>
      <c r="AD44" s="255">
        <v>20167013.285128202</v>
      </c>
      <c r="AE44" s="251">
        <v>152</v>
      </c>
      <c r="AF44" s="255">
        <v>20655385.700320512</v>
      </c>
      <c r="AG44" s="251">
        <f>154+1</f>
        <v>155</v>
      </c>
      <c r="AH44" s="255">
        <f>20747537.9611538+11200+4300+3700</f>
        <v>20766737.961153802</v>
      </c>
      <c r="AI44" s="251">
        <f>154+3+4</f>
        <v>161</v>
      </c>
      <c r="AJ44" s="255">
        <f>21253771.5719872+78537+2360855</f>
        <v>23693163.571987201</v>
      </c>
      <c r="AK44" s="251">
        <f>165+4</f>
        <v>169</v>
      </c>
      <c r="AL44" s="255">
        <f>22096324.3967308+2360855</f>
        <v>24457179.396730799</v>
      </c>
      <c r="AM44" s="251">
        <v>170</v>
      </c>
      <c r="AN44" s="255">
        <v>25258000.29457403</v>
      </c>
      <c r="AO44" s="251">
        <v>175</v>
      </c>
      <c r="AP44" s="255">
        <v>25424699.448333338</v>
      </c>
      <c r="AQ44" s="251">
        <v>176</v>
      </c>
      <c r="AR44" s="255">
        <f>25542729.9536538-238145</f>
        <v>25304584.953653801</v>
      </c>
      <c r="AS44" s="251">
        <v>175</v>
      </c>
      <c r="AT44" s="255">
        <f>25571664.952806-238145</f>
        <v>25333519.952806</v>
      </c>
      <c r="AU44" s="251">
        <v>180</v>
      </c>
      <c r="AV44" s="255">
        <v>26253126.510128208</v>
      </c>
      <c r="AW44" s="251">
        <v>179</v>
      </c>
      <c r="AX44" s="255">
        <v>24748473.347880479</v>
      </c>
      <c r="AY44" s="251">
        <f>164-1</f>
        <v>163</v>
      </c>
      <c r="AZ44" s="255">
        <f>27141138.9197955-384000+220000</f>
        <v>26977138.919795498</v>
      </c>
      <c r="BA44" s="251">
        <v>161</v>
      </c>
      <c r="BB44" s="255">
        <v>26627307.38858363</v>
      </c>
      <c r="BC44" s="251">
        <v>164</v>
      </c>
      <c r="BD44" s="255">
        <v>26642053.98437345</v>
      </c>
      <c r="BE44" s="251">
        <v>169</v>
      </c>
      <c r="BF44" s="255">
        <v>26730835.091191068</v>
      </c>
      <c r="BG44" s="251">
        <v>160</v>
      </c>
      <c r="BH44" s="255">
        <v>26403163.670016538</v>
      </c>
      <c r="BI44" s="251">
        <v>164</v>
      </c>
      <c r="BJ44" s="255">
        <v>26487518.136555005</v>
      </c>
      <c r="BK44" s="251">
        <v>166</v>
      </c>
      <c r="BL44" s="255">
        <v>26731951.385523167</v>
      </c>
      <c r="BM44" s="251">
        <v>165</v>
      </c>
      <c r="BN44" s="255">
        <v>25804215.686538465</v>
      </c>
      <c r="BO44" s="251">
        <v>159</v>
      </c>
      <c r="BP44" s="255">
        <f>25234432.80817+20000</f>
        <v>25254432.808169998</v>
      </c>
      <c r="BQ44" s="251">
        <v>151</v>
      </c>
      <c r="BR44" s="255">
        <v>23299471.333091397</v>
      </c>
      <c r="BS44" s="251">
        <v>148</v>
      </c>
      <c r="BT44" s="255">
        <f>23150403.475767-220000</f>
        <v>22930403.475767002</v>
      </c>
      <c r="BU44" s="251">
        <f>143+1</f>
        <v>144</v>
      </c>
      <c r="BV44" s="255">
        <f>23273943.249696+44815</f>
        <v>23318758.249696001</v>
      </c>
      <c r="BW44" s="251">
        <v>142</v>
      </c>
      <c r="BX44" s="255">
        <v>25425520.360192306</v>
      </c>
      <c r="BY44" s="251">
        <v>142</v>
      </c>
      <c r="BZ44" s="255">
        <v>25003787.150833327</v>
      </c>
      <c r="CA44" s="251">
        <v>150</v>
      </c>
      <c r="CB44" s="255">
        <v>24843248.630641021</v>
      </c>
      <c r="CC44" s="251">
        <v>152</v>
      </c>
      <c r="CD44" s="255">
        <f>24870666.8783333+36516</f>
        <v>24907182.8783333</v>
      </c>
      <c r="CE44" s="251">
        <v>147</v>
      </c>
      <c r="CF44" s="255">
        <v>24707398.992948715</v>
      </c>
      <c r="CG44" s="251">
        <v>147</v>
      </c>
      <c r="CH44" s="255">
        <f>24848893.6427564+45500</f>
        <v>24894393.642756399</v>
      </c>
      <c r="CI44" s="251">
        <v>148</v>
      </c>
      <c r="CJ44" s="255">
        <f>25521502.4213978+100000-400000</f>
        <v>25221502.421397801</v>
      </c>
      <c r="CK44" s="251">
        <v>149</v>
      </c>
      <c r="CL44" s="255">
        <f>24879267.6975+12000+57500+100000</f>
        <v>25048767.697500002</v>
      </c>
      <c r="CM44" s="251">
        <v>150</v>
      </c>
      <c r="CN44" s="255">
        <v>25654046.693566997</v>
      </c>
      <c r="CO44" s="251">
        <v>151</v>
      </c>
      <c r="CP44" s="255">
        <f>24405039.033172+94194+15000+100000</f>
        <v>24614233.033172</v>
      </c>
      <c r="CQ44" s="251">
        <v>152</v>
      </c>
      <c r="CR44" s="255">
        <f>24080219.185174+100000</f>
        <v>24180219.185174</v>
      </c>
      <c r="CS44" s="251">
        <f>151+2</f>
        <v>153</v>
      </c>
      <c r="CT44" s="255">
        <f>25713000.0455955+206905+101960+100000</f>
        <v>26121865.045595501</v>
      </c>
      <c r="CU44" s="251">
        <v>155</v>
      </c>
      <c r="CV44" s="255">
        <f>28503338.7126282+100000+207480+6418</f>
        <v>28817236.712628201</v>
      </c>
      <c r="CW44" s="251">
        <v>153</v>
      </c>
      <c r="CX44" s="255">
        <f>27618822.741952+79057+100000</f>
        <v>27797879.741951998</v>
      </c>
      <c r="CY44" s="251">
        <v>154</v>
      </c>
      <c r="CZ44" s="255">
        <v>27985450.4744872</v>
      </c>
      <c r="DA44" s="251">
        <v>151</v>
      </c>
      <c r="DB44" s="255">
        <f>27547165.0455935+100000</f>
        <v>27647165.0455935</v>
      </c>
      <c r="DC44" s="251">
        <v>152</v>
      </c>
      <c r="DD44" s="255">
        <v>27504291.476308931</v>
      </c>
      <c r="DE44" s="251">
        <v>153</v>
      </c>
      <c r="DF44" s="255">
        <v>27777124.997435898</v>
      </c>
      <c r="DG44" s="251">
        <v>157</v>
      </c>
      <c r="DH44" s="255">
        <f>28372701.0085298+900000</f>
        <v>29272701.008529801</v>
      </c>
      <c r="DI44" s="251">
        <v>157</v>
      </c>
      <c r="DJ44" s="255">
        <f>28023314.303871+300000</f>
        <v>28323314.303870998</v>
      </c>
      <c r="DK44" s="251">
        <v>155</v>
      </c>
      <c r="DL44" s="255">
        <v>27723646.74570306</v>
      </c>
      <c r="DM44" s="251">
        <v>160</v>
      </c>
      <c r="DN44" s="255">
        <f>28062005.4811311+150000+750000</f>
        <v>28962005.481131099</v>
      </c>
      <c r="DO44" s="251">
        <v>166</v>
      </c>
      <c r="DP44" s="255">
        <v>27250823.961373623</v>
      </c>
      <c r="DQ44" s="251">
        <v>168</v>
      </c>
      <c r="DR44" s="255">
        <f>31062577.6220988-466000</f>
        <v>30596577.6220988</v>
      </c>
      <c r="DS44" s="257"/>
      <c r="DU44" s="256">
        <v>151.99999999999997</v>
      </c>
      <c r="DV44" s="255">
        <v>27807252.062950097</v>
      </c>
      <c r="DW44" s="256">
        <v>151.99999999999997</v>
      </c>
      <c r="DX44" s="255">
        <v>27807252.062950097</v>
      </c>
      <c r="DY44" s="256">
        <v>151.99999999999997</v>
      </c>
      <c r="DZ44" s="255">
        <v>27807252.062950097</v>
      </c>
      <c r="EA44" s="256">
        <v>151.99999999999997</v>
      </c>
      <c r="EB44" s="255">
        <v>27807252.062950097</v>
      </c>
      <c r="EC44" s="256">
        <v>151.99999999999997</v>
      </c>
      <c r="ED44" s="255">
        <v>27807252.062950097</v>
      </c>
      <c r="EE44" s="256">
        <v>151.99999999999997</v>
      </c>
      <c r="EF44" s="255">
        <v>27807252.062950097</v>
      </c>
      <c r="EG44" s="256">
        <v>151.99999999999997</v>
      </c>
      <c r="EH44" s="255">
        <v>27807252.062950097</v>
      </c>
      <c r="EI44" s="256">
        <v>151.99999999999997</v>
      </c>
      <c r="EJ44" s="255">
        <v>27807252.062950097</v>
      </c>
      <c r="EK44" s="256">
        <v>151.99999999999997</v>
      </c>
      <c r="EL44" s="255">
        <v>27807252.062950097</v>
      </c>
      <c r="EM44" s="256">
        <v>151.99999999999997</v>
      </c>
      <c r="EN44" s="255">
        <v>27807252.062950097</v>
      </c>
      <c r="EO44" s="256">
        <v>151.99999999999997</v>
      </c>
      <c r="EP44" s="255">
        <v>27807252.062950097</v>
      </c>
      <c r="EQ44" s="256">
        <v>151.99999999999997</v>
      </c>
      <c r="ER44" s="255">
        <v>27807252.062950097</v>
      </c>
      <c r="ET44" s="257"/>
      <c r="EU44" s="257"/>
    </row>
    <row r="45" spans="1:153" x14ac:dyDescent="0.2">
      <c r="A45" s="236">
        <v>1</v>
      </c>
      <c r="B45" s="268" t="s">
        <v>462</v>
      </c>
      <c r="C45" s="269"/>
      <c r="D45" s="270"/>
      <c r="E45" s="269"/>
      <c r="F45" s="270"/>
      <c r="G45" s="269"/>
      <c r="H45" s="270"/>
      <c r="I45" s="269"/>
      <c r="J45" s="270"/>
      <c r="K45" s="271"/>
      <c r="L45" s="272"/>
      <c r="M45" s="273"/>
      <c r="N45" s="270"/>
      <c r="O45" s="274"/>
      <c r="P45" s="270"/>
      <c r="Q45" s="273"/>
      <c r="R45" s="275"/>
      <c r="S45" s="273"/>
      <c r="T45" s="275"/>
      <c r="U45" s="273"/>
      <c r="V45" s="275"/>
      <c r="W45" s="273"/>
      <c r="X45" s="275"/>
      <c r="Y45" s="273"/>
      <c r="Z45" s="275"/>
      <c r="AA45" s="273"/>
      <c r="AB45" s="275"/>
      <c r="AC45" s="273"/>
      <c r="AD45" s="275"/>
      <c r="AE45" s="273"/>
      <c r="AF45" s="275"/>
      <c r="AG45" s="273"/>
      <c r="AH45" s="275"/>
      <c r="AI45" s="273"/>
      <c r="AJ45" s="275"/>
      <c r="AK45" s="273"/>
      <c r="AL45" s="275"/>
      <c r="AM45" s="273"/>
      <c r="AN45" s="275"/>
      <c r="AO45" s="273"/>
      <c r="AP45" s="275"/>
      <c r="AQ45" s="273"/>
      <c r="AR45" s="275"/>
      <c r="AS45" s="273"/>
      <c r="AT45" s="275"/>
      <c r="AU45" s="273"/>
      <c r="AV45" s="275"/>
      <c r="AW45" s="273"/>
      <c r="AX45" s="275"/>
      <c r="AY45" s="273"/>
      <c r="AZ45" s="275"/>
      <c r="BA45" s="273"/>
      <c r="BB45" s="275"/>
      <c r="BC45" s="273"/>
      <c r="BD45" s="275"/>
      <c r="BE45" s="273"/>
      <c r="BF45" s="275"/>
      <c r="BG45" s="273"/>
      <c r="BH45" s="275"/>
      <c r="BI45" s="273"/>
      <c r="BJ45" s="275"/>
      <c r="BK45" s="273"/>
      <c r="BL45" s="275"/>
      <c r="BM45" s="251">
        <v>7</v>
      </c>
      <c r="BN45" s="255">
        <v>581212.10000000009</v>
      </c>
      <c r="BO45" s="251">
        <v>7</v>
      </c>
      <c r="BP45" s="255">
        <v>654770.16709677421</v>
      </c>
      <c r="BQ45" s="251">
        <v>5</v>
      </c>
      <c r="BR45" s="255">
        <v>325382.0384615385</v>
      </c>
      <c r="BS45" s="251">
        <v>5</v>
      </c>
      <c r="BT45" s="255">
        <v>325382.0384615385</v>
      </c>
      <c r="BU45" s="251">
        <v>5</v>
      </c>
      <c r="BV45" s="255">
        <v>325382.0384615385</v>
      </c>
      <c r="BW45" s="251">
        <v>5</v>
      </c>
      <c r="BX45" s="255">
        <v>364693.69230769237</v>
      </c>
      <c r="BY45" s="251">
        <v>5</v>
      </c>
      <c r="BZ45" s="255">
        <v>396948.34615384613</v>
      </c>
      <c r="CA45" s="251">
        <v>5</v>
      </c>
      <c r="CB45" s="255">
        <v>378185.34615384613</v>
      </c>
      <c r="CC45" s="251">
        <v>5</v>
      </c>
      <c r="CD45" s="255">
        <v>413692</v>
      </c>
      <c r="CE45" s="251">
        <v>6</v>
      </c>
      <c r="CF45" s="255">
        <v>417772.782051282</v>
      </c>
      <c r="CG45" s="251">
        <v>6</v>
      </c>
      <c r="CH45" s="255">
        <v>421910.37692307692</v>
      </c>
      <c r="CI45" s="251">
        <v>6</v>
      </c>
      <c r="CJ45" s="255">
        <v>407018.4736972705</v>
      </c>
      <c r="CK45" s="251">
        <v>6</v>
      </c>
      <c r="CL45" s="255">
        <v>420650.37692307692</v>
      </c>
      <c r="CM45" s="251">
        <v>7</v>
      </c>
      <c r="CN45" s="255">
        <v>407712.19801488845</v>
      </c>
      <c r="CO45" s="251">
        <v>7</v>
      </c>
      <c r="CP45" s="255">
        <v>481019.19801488845</v>
      </c>
      <c r="CQ45" s="251">
        <v>7</v>
      </c>
      <c r="CR45" s="255">
        <v>485252.60000000003</v>
      </c>
      <c r="CS45" s="251">
        <v>7</v>
      </c>
      <c r="CT45" s="255">
        <v>560234.87543424312</v>
      </c>
      <c r="CU45" s="251">
        <v>8</v>
      </c>
      <c r="CV45" s="255">
        <v>748091.66923076939</v>
      </c>
      <c r="CW45" s="251">
        <v>8</v>
      </c>
      <c r="CX45" s="255">
        <v>734657.09230769239</v>
      </c>
      <c r="CY45" s="251">
        <v>8</v>
      </c>
      <c r="CZ45" s="255">
        <v>741310.68205128214</v>
      </c>
      <c r="DA45" s="251">
        <v>8</v>
      </c>
      <c r="DB45" s="255">
        <v>784572.66923076939</v>
      </c>
      <c r="DC45" s="251">
        <v>10</v>
      </c>
      <c r="DD45" s="255">
        <v>816091.84615384624</v>
      </c>
      <c r="DE45" s="251">
        <v>15</v>
      </c>
      <c r="DF45" s="255">
        <v>1139610.6121794872</v>
      </c>
      <c r="DG45" s="251">
        <v>16</v>
      </c>
      <c r="DH45" s="255">
        <v>1219434</v>
      </c>
      <c r="DI45" s="251">
        <v>16</v>
      </c>
      <c r="DJ45" s="255">
        <v>1275410.3</v>
      </c>
      <c r="DK45" s="251">
        <v>16</v>
      </c>
      <c r="DL45" s="255">
        <v>1287661.3</v>
      </c>
      <c r="DM45" s="251">
        <v>16</v>
      </c>
      <c r="DN45" s="255">
        <v>1280998.3</v>
      </c>
      <c r="DO45" s="251">
        <v>16</v>
      </c>
      <c r="DP45" s="255">
        <v>1292083.3</v>
      </c>
      <c r="DQ45" s="251">
        <v>16</v>
      </c>
      <c r="DR45" s="255">
        <v>1284533.3</v>
      </c>
      <c r="DU45" s="256">
        <v>7</v>
      </c>
      <c r="DV45" s="255">
        <v>533777.8600000001</v>
      </c>
      <c r="DW45" s="256">
        <v>7</v>
      </c>
      <c r="DX45" s="255">
        <v>533777.8600000001</v>
      </c>
      <c r="DY45" s="256">
        <v>7</v>
      </c>
      <c r="DZ45" s="255">
        <v>533777.8600000001</v>
      </c>
      <c r="EA45" s="256">
        <v>7</v>
      </c>
      <c r="EB45" s="255">
        <v>533777.8600000001</v>
      </c>
      <c r="EC45" s="256">
        <v>7</v>
      </c>
      <c r="ED45" s="255">
        <v>533777.8600000001</v>
      </c>
      <c r="EE45" s="256">
        <v>7</v>
      </c>
      <c r="EF45" s="255">
        <v>533777.8600000001</v>
      </c>
      <c r="EG45" s="256">
        <v>7</v>
      </c>
      <c r="EH45" s="255">
        <v>533777.8600000001</v>
      </c>
      <c r="EI45" s="256">
        <v>7</v>
      </c>
      <c r="EJ45" s="255">
        <v>533777.8600000001</v>
      </c>
      <c r="EK45" s="256">
        <v>7</v>
      </c>
      <c r="EL45" s="255">
        <v>533777.8600000001</v>
      </c>
      <c r="EM45" s="256">
        <v>7</v>
      </c>
      <c r="EN45" s="255">
        <v>533777.8600000001</v>
      </c>
      <c r="EO45" s="256">
        <v>7</v>
      </c>
      <c r="EP45" s="255">
        <v>533777.8600000001</v>
      </c>
      <c r="EQ45" s="256">
        <v>7</v>
      </c>
      <c r="ER45" s="255">
        <v>533777.8600000001</v>
      </c>
      <c r="ET45" s="257"/>
      <c r="EU45" s="257"/>
    </row>
    <row r="46" spans="1:153" x14ac:dyDescent="0.2">
      <c r="A46" s="236">
        <v>1</v>
      </c>
      <c r="B46" s="268" t="s">
        <v>452</v>
      </c>
      <c r="C46" s="269"/>
      <c r="D46" s="270"/>
      <c r="E46" s="269"/>
      <c r="F46" s="270"/>
      <c r="G46" s="269"/>
      <c r="H46" s="270"/>
      <c r="I46" s="269"/>
      <c r="J46" s="270"/>
      <c r="K46" s="271"/>
      <c r="L46" s="272"/>
      <c r="M46" s="273"/>
      <c r="N46" s="270"/>
      <c r="O46" s="274"/>
      <c r="P46" s="270"/>
      <c r="Q46" s="273"/>
      <c r="R46" s="275"/>
      <c r="S46" s="273"/>
      <c r="T46" s="275"/>
      <c r="U46" s="273"/>
      <c r="V46" s="275"/>
      <c r="W46" s="273"/>
      <c r="X46" s="275"/>
      <c r="Y46" s="273"/>
      <c r="Z46" s="275"/>
      <c r="AA46" s="273"/>
      <c r="AB46" s="275"/>
      <c r="AC46" s="273"/>
      <c r="AD46" s="275"/>
      <c r="AE46" s="273"/>
      <c r="AF46" s="275"/>
      <c r="AG46" s="273"/>
      <c r="AH46" s="275"/>
      <c r="AI46" s="273"/>
      <c r="AJ46" s="275"/>
      <c r="AK46" s="273"/>
      <c r="AL46" s="275"/>
      <c r="AM46" s="273"/>
      <c r="AN46" s="275"/>
      <c r="AO46" s="273"/>
      <c r="AP46" s="275"/>
      <c r="AQ46" s="273"/>
      <c r="AR46" s="275"/>
      <c r="AS46" s="273"/>
      <c r="AT46" s="275"/>
      <c r="AU46" s="273"/>
      <c r="AV46" s="275"/>
      <c r="AW46" s="273"/>
      <c r="AX46" s="275"/>
      <c r="AY46" s="273"/>
      <c r="AZ46" s="275"/>
      <c r="BA46" s="273"/>
      <c r="BB46" s="275"/>
      <c r="BC46" s="273"/>
      <c r="BD46" s="275"/>
      <c r="BE46" s="273"/>
      <c r="BF46" s="275"/>
      <c r="BG46" s="273"/>
      <c r="BH46" s="275"/>
      <c r="BI46" s="273"/>
      <c r="BJ46" s="275"/>
      <c r="BK46" s="273"/>
      <c r="BL46" s="275"/>
      <c r="BM46" s="273"/>
      <c r="BN46" s="275"/>
      <c r="BO46" s="251">
        <v>2</v>
      </c>
      <c r="BP46" s="255">
        <v>329593.9846153846</v>
      </c>
      <c r="BQ46" s="251">
        <v>2</v>
      </c>
      <c r="BR46" s="255">
        <v>332593.9846153846</v>
      </c>
      <c r="BS46" s="251">
        <v>2</v>
      </c>
      <c r="BT46" s="255">
        <v>179593.98461538463</v>
      </c>
      <c r="BU46" s="251">
        <v>2</v>
      </c>
      <c r="BV46" s="255">
        <v>179593.98461538463</v>
      </c>
      <c r="BW46" s="251">
        <f>2-1</f>
        <v>1</v>
      </c>
      <c r="BX46" s="255">
        <f>821742.484615385-647859</f>
        <v>173883.48461538495</v>
      </c>
      <c r="BY46" s="251">
        <f>2-1</f>
        <v>1</v>
      </c>
      <c r="BZ46" s="255">
        <f>726581.484615385-552698</f>
        <v>173883.48461538495</v>
      </c>
      <c r="CA46" s="251">
        <v>1</v>
      </c>
      <c r="CB46" s="255">
        <v>173883.53076923077</v>
      </c>
      <c r="CC46" s="251">
        <v>1</v>
      </c>
      <c r="CD46" s="255">
        <v>173883.53076923077</v>
      </c>
      <c r="CE46" s="251">
        <v>1</v>
      </c>
      <c r="CF46" s="255">
        <v>173883.53076923077</v>
      </c>
      <c r="CG46" s="251">
        <v>1</v>
      </c>
      <c r="CH46" s="255">
        <v>173883.53076923077</v>
      </c>
      <c r="CI46" s="251">
        <v>1</v>
      </c>
      <c r="CJ46" s="255">
        <v>173883.53076923077</v>
      </c>
      <c r="CK46" s="251">
        <v>1</v>
      </c>
      <c r="CL46" s="255">
        <v>173883.53076923077</v>
      </c>
      <c r="CM46" s="251">
        <v>1</v>
      </c>
      <c r="CN46" s="255">
        <v>173883.53076923077</v>
      </c>
      <c r="CO46" s="251">
        <v>1</v>
      </c>
      <c r="CP46" s="255">
        <v>408229.68461538461</v>
      </c>
      <c r="CQ46" s="251">
        <v>1</v>
      </c>
      <c r="CR46" s="255">
        <v>403395.06923076924</v>
      </c>
      <c r="CS46" s="251">
        <v>0</v>
      </c>
      <c r="CT46" s="255">
        <v>0</v>
      </c>
      <c r="CU46" s="251">
        <v>0</v>
      </c>
      <c r="CV46" s="255">
        <v>0</v>
      </c>
      <c r="CW46" s="251">
        <v>0</v>
      </c>
      <c r="CX46" s="255">
        <v>0</v>
      </c>
      <c r="CY46" s="251">
        <v>0</v>
      </c>
      <c r="CZ46" s="255">
        <v>0</v>
      </c>
      <c r="DA46" s="251">
        <v>0</v>
      </c>
      <c r="DB46" s="255">
        <v>0</v>
      </c>
      <c r="DC46" s="251">
        <v>0</v>
      </c>
      <c r="DD46" s="255">
        <v>0</v>
      </c>
      <c r="DE46" s="251">
        <v>0</v>
      </c>
      <c r="DF46" s="255">
        <v>0</v>
      </c>
      <c r="DG46" s="251">
        <v>0</v>
      </c>
      <c r="DH46" s="255">
        <v>0</v>
      </c>
      <c r="DI46" s="251">
        <v>0</v>
      </c>
      <c r="DJ46" s="255">
        <v>0</v>
      </c>
      <c r="DK46" s="251">
        <v>0</v>
      </c>
      <c r="DL46" s="255">
        <v>0</v>
      </c>
      <c r="DM46" s="251">
        <v>0</v>
      </c>
      <c r="DN46" s="255">
        <v>0</v>
      </c>
      <c r="DO46" s="251">
        <v>0</v>
      </c>
      <c r="DP46" s="255">
        <v>0</v>
      </c>
      <c r="DQ46" s="251">
        <v>0</v>
      </c>
      <c r="DR46" s="255">
        <v>0</v>
      </c>
      <c r="DU46" s="256">
        <v>1</v>
      </c>
      <c r="DV46" s="255">
        <v>403395.06923076924</v>
      </c>
      <c r="DW46" s="256">
        <v>1</v>
      </c>
      <c r="DX46" s="255">
        <v>403395.06923076924</v>
      </c>
      <c r="DY46" s="256">
        <v>1</v>
      </c>
      <c r="DZ46" s="255">
        <v>403395.06923076924</v>
      </c>
      <c r="EA46" s="256">
        <v>1</v>
      </c>
      <c r="EB46" s="255">
        <v>403395.06923076924</v>
      </c>
      <c r="EC46" s="256">
        <v>1</v>
      </c>
      <c r="ED46" s="255">
        <v>403395.06923076924</v>
      </c>
      <c r="EE46" s="256">
        <v>1</v>
      </c>
      <c r="EF46" s="255">
        <v>403395.06923076924</v>
      </c>
      <c r="EG46" s="256">
        <v>1</v>
      </c>
      <c r="EH46" s="255">
        <v>403395.06923076924</v>
      </c>
      <c r="EI46" s="256">
        <v>1</v>
      </c>
      <c r="EJ46" s="255">
        <v>403395.06923076924</v>
      </c>
      <c r="EK46" s="256">
        <v>1</v>
      </c>
      <c r="EL46" s="255">
        <v>403395.06923076924</v>
      </c>
      <c r="EM46" s="256">
        <v>1</v>
      </c>
      <c r="EN46" s="255">
        <v>403395.06923076924</v>
      </c>
      <c r="EO46" s="256">
        <v>1</v>
      </c>
      <c r="EP46" s="255">
        <v>403395.06923076924</v>
      </c>
      <c r="EQ46" s="256">
        <v>1</v>
      </c>
      <c r="ER46" s="255">
        <v>403395.06923076924</v>
      </c>
      <c r="ET46" s="257"/>
      <c r="EU46" s="257"/>
    </row>
    <row r="47" spans="1:153" ht="16" thickBot="1" x14ac:dyDescent="0.25">
      <c r="B47" s="276" t="s">
        <v>463</v>
      </c>
      <c r="C47" s="277">
        <v>184</v>
      </c>
      <c r="D47" s="278">
        <v>4431822.2101923088</v>
      </c>
      <c r="E47" s="277">
        <v>181</v>
      </c>
      <c r="F47" s="278">
        <v>4308870.1263461541</v>
      </c>
      <c r="G47" s="277">
        <v>178</v>
      </c>
      <c r="H47" s="278">
        <v>4268159.3306410266</v>
      </c>
      <c r="I47" s="277">
        <v>177</v>
      </c>
      <c r="J47" s="278">
        <v>4236352.568653848</v>
      </c>
      <c r="K47" s="279">
        <v>211</v>
      </c>
      <c r="L47" s="280">
        <v>5275541.4785256414</v>
      </c>
      <c r="M47" s="281">
        <v>254</v>
      </c>
      <c r="N47" s="278">
        <v>6014297.4768589744</v>
      </c>
      <c r="O47" s="282">
        <v>265</v>
      </c>
      <c r="P47" s="278">
        <v>6350327.9939743616</v>
      </c>
      <c r="Q47" s="281">
        <v>268</v>
      </c>
      <c r="R47" s="283">
        <v>6947593.1085256413</v>
      </c>
      <c r="S47" s="281">
        <v>255</v>
      </c>
      <c r="T47" s="283">
        <v>6596356.1353846174</v>
      </c>
      <c r="U47" s="281">
        <v>253</v>
      </c>
      <c r="V47" s="283">
        <v>5772713.4419230781</v>
      </c>
      <c r="W47" s="281">
        <v>253</v>
      </c>
      <c r="X47" s="283">
        <v>5923447.9225641051</v>
      </c>
      <c r="Y47" s="281">
        <v>252</v>
      </c>
      <c r="Z47" s="283">
        <v>6680859.4108974356</v>
      </c>
      <c r="AA47" s="281">
        <v>272</v>
      </c>
      <c r="AB47" s="283">
        <v>7016947.7752564084</v>
      </c>
      <c r="AC47" s="281">
        <v>274</v>
      </c>
      <c r="AD47" s="283">
        <v>6790087.8298717942</v>
      </c>
      <c r="AE47" s="281">
        <v>273</v>
      </c>
      <c r="AF47" s="283">
        <v>6726582.2280128179</v>
      </c>
      <c r="AG47" s="281">
        <f>269+1</f>
        <v>270</v>
      </c>
      <c r="AH47" s="283">
        <f>6761193.10807692+60151</f>
        <v>6821344.1080769198</v>
      </c>
      <c r="AI47" s="281">
        <v>271</v>
      </c>
      <c r="AJ47" s="283">
        <v>7313661.4204487149</v>
      </c>
      <c r="AK47" s="281">
        <v>279</v>
      </c>
      <c r="AL47" s="283">
        <v>6962679.8219871772</v>
      </c>
      <c r="AM47" s="281">
        <v>290</v>
      </c>
      <c r="AN47" s="283">
        <v>7348333.9482051255</v>
      </c>
      <c r="AO47" s="281">
        <v>277</v>
      </c>
      <c r="AP47" s="283">
        <v>7243352.0581410248</v>
      </c>
      <c r="AQ47" s="281">
        <v>267</v>
      </c>
      <c r="AR47" s="283">
        <v>6907581.0014102543</v>
      </c>
      <c r="AS47" s="281">
        <v>252</v>
      </c>
      <c r="AT47" s="283">
        <f>6565634</f>
        <v>6565634</v>
      </c>
      <c r="AU47" s="281">
        <v>260</v>
      </c>
      <c r="AV47" s="283">
        <v>7084741.4809615361</v>
      </c>
      <c r="AW47" s="281">
        <v>264</v>
      </c>
      <c r="AX47" s="283">
        <v>6710167.7538461508</v>
      </c>
      <c r="AY47" s="281">
        <v>211</v>
      </c>
      <c r="AZ47" s="283">
        <f>6365984.55676431+200000</f>
        <v>6565984.5567643102</v>
      </c>
      <c r="BA47" s="281">
        <v>201</v>
      </c>
      <c r="BB47" s="283">
        <f>5732976.81754835+200000</f>
        <v>5932976.8175483504</v>
      </c>
      <c r="BC47" s="281">
        <v>210</v>
      </c>
      <c r="BD47" s="283">
        <f>6096695.25025641+200000</f>
        <v>6296695.2502564099</v>
      </c>
      <c r="BE47" s="281">
        <v>195</v>
      </c>
      <c r="BF47" s="283">
        <v>5201801.5392307676</v>
      </c>
      <c r="BG47" s="281">
        <v>194</v>
      </c>
      <c r="BH47" s="283">
        <f>5450926.5724359+200000+200000</f>
        <v>5850926.5724358996</v>
      </c>
      <c r="BI47" s="281">
        <v>193</v>
      </c>
      <c r="BJ47" s="283">
        <f>5300706.33564102+200000</f>
        <v>5500706.33564102</v>
      </c>
      <c r="BK47" s="281">
        <v>185</v>
      </c>
      <c r="BL47" s="283">
        <f>5349714.33378205+500000</f>
        <v>5849714.3337820498</v>
      </c>
      <c r="BM47" s="281">
        <v>187</v>
      </c>
      <c r="BN47" s="283">
        <v>5056219.1510256398</v>
      </c>
      <c r="BO47" s="281">
        <v>183</v>
      </c>
      <c r="BP47" s="283">
        <v>4812741.4653846109</v>
      </c>
      <c r="BQ47" s="281">
        <v>151</v>
      </c>
      <c r="BR47" s="283">
        <v>4266516.519679484</v>
      </c>
      <c r="BS47" s="281">
        <v>198</v>
      </c>
      <c r="BT47" s="283">
        <v>4932730.381346154</v>
      </c>
      <c r="BU47" s="281">
        <v>195</v>
      </c>
      <c r="BV47" s="283">
        <v>5145886.5039743558</v>
      </c>
      <c r="BW47" s="281">
        <v>212</v>
      </c>
      <c r="BX47" s="283">
        <f>5744112.59391025</f>
        <v>5744112.5939102499</v>
      </c>
      <c r="BY47" s="281">
        <v>230</v>
      </c>
      <c r="BZ47" s="283">
        <f>6170928.53429487+500000</f>
        <v>6670928.5342948698</v>
      </c>
      <c r="CA47" s="281">
        <v>229</v>
      </c>
      <c r="CB47" s="283">
        <f>6459627.29692308</f>
        <v>6459627.2969230805</v>
      </c>
      <c r="CC47" s="281">
        <v>224</v>
      </c>
      <c r="CD47" s="283">
        <v>6261512.4338461543</v>
      </c>
      <c r="CE47" s="281">
        <v>213</v>
      </c>
      <c r="CF47" s="283">
        <f>5675816.23775641+200000</f>
        <v>5875816.2377564097</v>
      </c>
      <c r="CG47" s="281">
        <v>210</v>
      </c>
      <c r="CH47" s="283">
        <v>5991983.7363461535</v>
      </c>
      <c r="CI47" s="281">
        <f>197+2</f>
        <v>199</v>
      </c>
      <c r="CJ47" s="283">
        <f>5470854.74166666+25833+400000</f>
        <v>5896687.7416666597</v>
      </c>
      <c r="CK47" s="281">
        <v>200</v>
      </c>
      <c r="CL47" s="283">
        <v>5714915.4107051287</v>
      </c>
      <c r="CM47" s="281">
        <f>222+1</f>
        <v>223</v>
      </c>
      <c r="CN47" s="283">
        <f>6105554.21705128+237000+200000</f>
        <v>6542554.2170512797</v>
      </c>
      <c r="CO47" s="281">
        <v>224</v>
      </c>
      <c r="CP47" s="283">
        <f>6133416.60858975+24600</f>
        <v>6158016.6085897498</v>
      </c>
      <c r="CQ47" s="281">
        <v>223</v>
      </c>
      <c r="CR47" s="283">
        <v>6000846.5058974335</v>
      </c>
      <c r="CS47" s="281">
        <f>223+1</f>
        <v>224</v>
      </c>
      <c r="CT47" s="283">
        <f>6482764.13782052+56660+400000</f>
        <v>6939424.1378205204</v>
      </c>
      <c r="CU47" s="281">
        <v>221</v>
      </c>
      <c r="CV47" s="283">
        <f>7330721.08442309+500000</f>
        <v>7830721.0844230903</v>
      </c>
      <c r="CW47" s="281">
        <v>217</v>
      </c>
      <c r="CX47" s="283">
        <f>7367622.8947436+500000</f>
        <v>7867622.8947435999</v>
      </c>
      <c r="CY47" s="281">
        <v>231</v>
      </c>
      <c r="CZ47" s="283">
        <v>7974029.6780128302</v>
      </c>
      <c r="DA47" s="281">
        <v>235</v>
      </c>
      <c r="DB47" s="283">
        <v>7761028.1812179629</v>
      </c>
      <c r="DC47" s="281">
        <v>242</v>
      </c>
      <c r="DD47" s="283">
        <v>8008831.7919230917</v>
      </c>
      <c r="DE47" s="281">
        <v>286</v>
      </c>
      <c r="DF47" s="283">
        <f>8382790.81826925+500000</f>
        <v>8882790.8182692491</v>
      </c>
      <c r="DG47" s="281">
        <v>282</v>
      </c>
      <c r="DH47" s="283">
        <v>9044241.3767307959</v>
      </c>
      <c r="DI47" s="281">
        <v>282</v>
      </c>
      <c r="DJ47" s="283">
        <v>9720253.7665384784</v>
      </c>
      <c r="DK47" s="281">
        <v>276</v>
      </c>
      <c r="DL47" s="283">
        <v>8918745.8778205384</v>
      </c>
      <c r="DM47" s="281">
        <v>272</v>
      </c>
      <c r="DN47" s="283">
        <v>8755465.2854487505</v>
      </c>
      <c r="DO47" s="281">
        <v>277</v>
      </c>
      <c r="DP47" s="283">
        <v>8812597.3044231124</v>
      </c>
      <c r="DQ47" s="281">
        <v>254</v>
      </c>
      <c r="DR47" s="283">
        <v>8238718.6401282279</v>
      </c>
      <c r="DU47" s="284">
        <v>240.48879044344923</v>
      </c>
      <c r="DV47" s="283">
        <v>7248038.9057438616</v>
      </c>
      <c r="DW47" s="284">
        <v>240.79806171638242</v>
      </c>
      <c r="DX47" s="283">
        <v>7257359.9648024365</v>
      </c>
      <c r="DY47" s="284">
        <v>238.875941686826</v>
      </c>
      <c r="DZ47" s="283">
        <v>7199429.6108343983</v>
      </c>
      <c r="EA47" s="284">
        <v>236.1090816690029</v>
      </c>
      <c r="EB47" s="283">
        <v>7116039.8236474367</v>
      </c>
      <c r="EC47" s="284">
        <v>242.87498517805835</v>
      </c>
      <c r="ED47" s="283">
        <v>7319955.9054561416</v>
      </c>
      <c r="EE47" s="284">
        <v>229.41512505033839</v>
      </c>
      <c r="EF47" s="283">
        <v>6914292.133387208</v>
      </c>
      <c r="EG47" s="284">
        <v>272.4662870277844</v>
      </c>
      <c r="EH47" s="283">
        <v>8211801.661272604</v>
      </c>
      <c r="EI47" s="284">
        <v>282.9565068278207</v>
      </c>
      <c r="EJ47" s="283">
        <v>8527964.0948740449</v>
      </c>
      <c r="EK47" s="284">
        <v>315.67183547741558</v>
      </c>
      <c r="EL47" s="283">
        <v>9513964.2091796622</v>
      </c>
      <c r="EM47" s="284">
        <v>325.68856914588861</v>
      </c>
      <c r="EN47" s="283">
        <v>9815856.3481175844</v>
      </c>
      <c r="EO47" s="284">
        <v>318.71861596689376</v>
      </c>
      <c r="EP47" s="283">
        <v>9605790.4580633566</v>
      </c>
      <c r="EQ47" s="284">
        <v>338.84686471729299</v>
      </c>
      <c r="ER47" s="283">
        <v>10212431.332169669</v>
      </c>
      <c r="ET47" s="257"/>
      <c r="EU47" s="257"/>
    </row>
    <row r="48" spans="1:153" x14ac:dyDescent="0.2">
      <c r="A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  <c r="AF48" s="257"/>
      <c r="AG48" s="257"/>
      <c r="AH48" s="257"/>
      <c r="AI48" s="257"/>
      <c r="AJ48" s="257"/>
      <c r="AK48" s="257"/>
      <c r="AL48" s="257"/>
      <c r="AM48" s="257"/>
      <c r="AN48" s="257"/>
      <c r="AO48" s="257"/>
      <c r="AP48" s="257"/>
      <c r="AQ48" s="257"/>
      <c r="AR48" s="257"/>
      <c r="AS48" s="257"/>
      <c r="AT48" s="257"/>
      <c r="AU48" s="257"/>
      <c r="AV48" s="257"/>
      <c r="AW48" s="257"/>
      <c r="AX48" s="257"/>
      <c r="AY48" s="257"/>
      <c r="AZ48" s="257"/>
      <c r="BA48" s="257"/>
      <c r="BB48" s="257"/>
      <c r="BC48" s="257"/>
      <c r="BD48" s="257"/>
      <c r="BE48" s="257"/>
      <c r="BF48" s="257"/>
      <c r="BG48" s="257"/>
      <c r="BH48" s="257"/>
      <c r="BI48" s="257"/>
      <c r="BJ48" s="257"/>
      <c r="BK48" s="257"/>
      <c r="BL48" s="257"/>
      <c r="BM48" s="257"/>
      <c r="BN48" s="257"/>
      <c r="BO48" s="257"/>
      <c r="BP48" s="257"/>
      <c r="BQ48" s="257"/>
      <c r="BR48" s="257"/>
      <c r="BS48" s="257"/>
      <c r="BT48" s="257"/>
      <c r="BU48" s="257"/>
      <c r="BV48" s="257"/>
      <c r="BW48" s="257"/>
      <c r="BX48" s="257"/>
      <c r="BY48" s="257"/>
      <c r="BZ48" s="257"/>
      <c r="CA48" s="257"/>
      <c r="CB48" s="257"/>
      <c r="CC48" s="257"/>
      <c r="CD48" s="257"/>
      <c r="CE48" s="257"/>
      <c r="CF48" s="257"/>
      <c r="CG48" s="257"/>
      <c r="CH48" s="257"/>
      <c r="CI48" s="257"/>
      <c r="CJ48" s="257"/>
      <c r="CK48" s="257"/>
      <c r="CL48" s="257"/>
      <c r="CM48" s="257"/>
      <c r="CN48" s="257"/>
      <c r="CO48" s="257"/>
      <c r="CP48" s="257"/>
      <c r="CQ48" s="257"/>
      <c r="CR48" s="257"/>
      <c r="CS48" s="257"/>
      <c r="CT48" s="257"/>
      <c r="CU48" s="257"/>
      <c r="CV48" s="257"/>
      <c r="CW48" s="257"/>
      <c r="CX48" s="257"/>
      <c r="CY48" s="257"/>
      <c r="CZ48" s="257"/>
      <c r="DA48" s="257"/>
      <c r="DB48" s="257"/>
      <c r="DC48" s="257"/>
      <c r="DD48" s="257"/>
      <c r="DE48" s="257"/>
      <c r="DF48" s="257"/>
      <c r="DG48" s="257"/>
      <c r="DH48" s="257"/>
      <c r="DI48" s="257"/>
      <c r="DJ48" s="257"/>
      <c r="DK48" s="257"/>
      <c r="DL48" s="257"/>
      <c r="DM48" s="257"/>
      <c r="DN48" s="257"/>
      <c r="DO48" s="257"/>
      <c r="DP48" s="257"/>
      <c r="DQ48" s="257"/>
      <c r="DR48" s="257"/>
      <c r="DU48" s="257"/>
      <c r="DV48" s="257"/>
      <c r="DW48" s="257"/>
      <c r="DX48" s="257"/>
      <c r="DY48" s="257"/>
      <c r="DZ48" s="257"/>
      <c r="EA48" s="257"/>
      <c r="EB48" s="257"/>
      <c r="EC48" s="257"/>
      <c r="ED48" s="257"/>
      <c r="EE48" s="257"/>
      <c r="EF48" s="257"/>
      <c r="EG48" s="257"/>
      <c r="EH48" s="257"/>
      <c r="EI48" s="257"/>
      <c r="EJ48" s="257"/>
      <c r="EK48" s="257"/>
      <c r="EL48" s="257"/>
      <c r="EM48" s="257"/>
      <c r="EN48" s="257"/>
      <c r="EO48" s="257"/>
      <c r="EP48" s="257"/>
      <c r="EQ48" s="257"/>
      <c r="ER48" s="257"/>
    </row>
    <row r="49" spans="2:149" x14ac:dyDescent="0.2">
      <c r="V49" s="257"/>
      <c r="W49" s="257"/>
      <c r="X49" s="257"/>
      <c r="Y49" s="257"/>
      <c r="Z49" s="257"/>
      <c r="AA49" s="257"/>
      <c r="AS49" s="257"/>
      <c r="AU49" s="257"/>
      <c r="AW49" s="257"/>
      <c r="AY49" s="257"/>
      <c r="BA49" s="257"/>
      <c r="BC49" s="257"/>
      <c r="BE49" s="257"/>
      <c r="BG49" s="257"/>
      <c r="BI49" s="257"/>
      <c r="BK49" s="257"/>
      <c r="BM49" s="257"/>
      <c r="BO49" s="257"/>
      <c r="BQ49" s="257"/>
      <c r="BR49" s="257"/>
      <c r="BS49" s="257"/>
      <c r="BT49" s="257"/>
      <c r="BU49" s="257"/>
      <c r="BV49" s="257"/>
      <c r="BW49" s="257"/>
      <c r="BX49" s="285"/>
      <c r="BY49" s="257"/>
      <c r="BZ49" s="257"/>
      <c r="CA49" s="257"/>
      <c r="CB49" s="257"/>
      <c r="CC49" s="257"/>
      <c r="CD49" s="257"/>
      <c r="CE49" s="257"/>
      <c r="CF49" s="257"/>
      <c r="CG49" s="257"/>
      <c r="CH49" s="257"/>
      <c r="CI49" s="257"/>
      <c r="CJ49" s="257"/>
      <c r="CK49" s="257"/>
      <c r="CL49" s="257"/>
      <c r="CM49" s="257"/>
      <c r="CN49" s="257"/>
      <c r="CO49" s="257"/>
      <c r="CP49" s="257"/>
      <c r="CQ49" s="257"/>
      <c r="CR49" s="257"/>
      <c r="CS49" s="257"/>
      <c r="CT49" s="257"/>
      <c r="CU49" s="257"/>
      <c r="CV49" s="257"/>
      <c r="CW49" s="257"/>
      <c r="CX49" s="257"/>
      <c r="CY49" s="257"/>
      <c r="CZ49" s="257"/>
      <c r="DA49" s="257"/>
      <c r="DB49" s="257"/>
      <c r="DC49" s="257"/>
      <c r="DD49" s="257"/>
      <c r="DE49" s="257"/>
      <c r="DF49" s="257"/>
      <c r="DG49" s="257"/>
      <c r="DH49" s="257"/>
      <c r="DI49" s="257"/>
      <c r="DJ49" s="257"/>
      <c r="DK49" s="257"/>
      <c r="DL49" s="257"/>
      <c r="DM49" s="257"/>
      <c r="DN49" s="257"/>
      <c r="DO49" s="257"/>
      <c r="DP49" s="257"/>
      <c r="DQ49" s="257"/>
      <c r="DR49" s="257"/>
      <c r="DU49" s="257"/>
      <c r="DV49" s="257"/>
      <c r="DW49" s="257"/>
      <c r="DY49" s="257"/>
      <c r="EA49" s="257"/>
      <c r="EC49" s="257"/>
      <c r="EE49" s="257"/>
      <c r="EG49" s="257"/>
      <c r="EI49" s="257"/>
      <c r="EJ49" s="257"/>
      <c r="EK49" s="257"/>
      <c r="EL49" s="257"/>
      <c r="EM49" s="257"/>
      <c r="EN49" s="257"/>
      <c r="EO49" s="257"/>
      <c r="EP49" s="257"/>
      <c r="EQ49" s="257"/>
      <c r="ER49" s="257"/>
      <c r="ES49" s="257"/>
    </row>
    <row r="50" spans="2:149" x14ac:dyDescent="0.2">
      <c r="B50" s="286" t="s">
        <v>464</v>
      </c>
      <c r="AS50" s="257"/>
      <c r="AT50" s="257"/>
      <c r="AU50" s="257"/>
      <c r="AV50" s="257"/>
      <c r="AW50" s="257"/>
      <c r="AX50" s="257"/>
      <c r="AY50" s="257"/>
      <c r="AZ50" s="257"/>
      <c r="BA50" s="257"/>
      <c r="BB50" s="257"/>
      <c r="BC50" s="257"/>
      <c r="BD50" s="257"/>
      <c r="BE50" s="257"/>
      <c r="BF50" s="257"/>
      <c r="BG50" s="257"/>
      <c r="BH50" s="257"/>
      <c r="BI50" s="257"/>
      <c r="BJ50" s="257"/>
      <c r="BK50" s="257"/>
      <c r="BL50" s="257"/>
      <c r="BM50" s="257"/>
      <c r="BN50" s="257"/>
      <c r="BO50" s="257"/>
      <c r="BP50" s="257"/>
      <c r="BQ50" s="257"/>
      <c r="BR50" s="257"/>
      <c r="BS50" s="257"/>
      <c r="BT50" s="257"/>
      <c r="BU50" s="257"/>
      <c r="BV50" s="257"/>
      <c r="BW50" s="257"/>
      <c r="BX50" s="257"/>
      <c r="BY50" s="257"/>
      <c r="BZ50" s="257"/>
      <c r="CA50" s="257"/>
      <c r="CB50" s="257"/>
      <c r="CC50" s="257"/>
      <c r="CD50" s="257"/>
      <c r="CE50" s="257"/>
      <c r="CF50" s="257"/>
      <c r="CG50" s="257"/>
      <c r="CH50" s="257"/>
      <c r="CI50" s="257"/>
      <c r="CJ50" s="257"/>
      <c r="CK50" s="257"/>
      <c r="CL50" s="257"/>
      <c r="CM50" s="257"/>
      <c r="CN50" s="257"/>
      <c r="CO50" s="257"/>
      <c r="CP50" s="257"/>
      <c r="CQ50" s="257"/>
      <c r="CR50" s="257"/>
      <c r="CS50" s="257"/>
      <c r="CT50" s="257"/>
      <c r="CU50" s="257"/>
      <c r="CV50" s="257"/>
      <c r="CW50" s="257"/>
      <c r="CX50" s="257"/>
      <c r="CY50" s="257"/>
      <c r="CZ50" s="257"/>
      <c r="DA50" s="257"/>
      <c r="DB50" s="257"/>
      <c r="DC50" s="257"/>
      <c r="DD50" s="257"/>
      <c r="DI50" s="257"/>
      <c r="DJ50" s="257"/>
      <c r="DK50" s="257"/>
      <c r="DL50" s="257"/>
      <c r="DM50" s="257"/>
      <c r="DN50" s="257"/>
      <c r="DO50" s="257"/>
      <c r="DP50" s="257"/>
      <c r="DQ50" s="257"/>
      <c r="DR50" s="257"/>
      <c r="DU50" s="257"/>
    </row>
    <row r="51" spans="2:149" x14ac:dyDescent="0.2">
      <c r="B51" s="236" t="s">
        <v>72</v>
      </c>
      <c r="AT51" s="257"/>
      <c r="AV51" s="257"/>
      <c r="AX51" s="257"/>
      <c r="AZ51" s="257"/>
      <c r="BB51" s="257"/>
      <c r="BD51" s="257"/>
      <c r="BF51" s="257"/>
      <c r="BH51" s="257"/>
      <c r="BJ51" s="257"/>
      <c r="BL51" s="257"/>
      <c r="BN51" s="257"/>
      <c r="BP51" s="257"/>
      <c r="BR51" s="257"/>
      <c r="BT51" s="257"/>
      <c r="BV51" s="257"/>
      <c r="BX51" s="257"/>
      <c r="BZ51" s="257"/>
      <c r="CB51" s="257"/>
      <c r="CD51" s="257"/>
      <c r="CF51" s="257"/>
      <c r="CH51" s="257"/>
      <c r="CJ51" s="257"/>
      <c r="CL51" s="257"/>
      <c r="CN51" s="257"/>
      <c r="CP51" s="257"/>
      <c r="CT51" s="257"/>
      <c r="CV51" s="257"/>
      <c r="CX51" s="257"/>
      <c r="CZ51" s="257"/>
      <c r="DB51" s="257"/>
      <c r="DC51" s="257">
        <v>2375</v>
      </c>
      <c r="DD51" s="257">
        <v>142730455</v>
      </c>
      <c r="DI51" s="257"/>
      <c r="DJ51" s="257"/>
      <c r="DK51" s="257">
        <v>2632</v>
      </c>
      <c r="DL51" s="257">
        <v>149970970.35548186</v>
      </c>
      <c r="DM51" s="257">
        <v>2706</v>
      </c>
      <c r="DN51" s="257">
        <v>160389508.66746488</v>
      </c>
      <c r="DO51" s="257">
        <v>2736</v>
      </c>
      <c r="DP51" s="257">
        <v>155706026.38596156</v>
      </c>
      <c r="DQ51" s="257">
        <v>2796</v>
      </c>
      <c r="DR51" s="257">
        <v>159983694.46036807</v>
      </c>
    </row>
    <row r="52" spans="2:149" x14ac:dyDescent="0.2">
      <c r="B52" s="236" t="s">
        <v>465</v>
      </c>
      <c r="AT52" s="257"/>
      <c r="AV52" s="257"/>
      <c r="AX52" s="257"/>
      <c r="AZ52" s="257"/>
      <c r="BB52" s="257"/>
      <c r="BD52" s="257"/>
      <c r="BF52" s="257"/>
      <c r="BH52" s="257"/>
      <c r="BJ52" s="257"/>
      <c r="BL52" s="257"/>
      <c r="BN52" s="257"/>
      <c r="BP52" s="257"/>
      <c r="BR52" s="257"/>
      <c r="BT52" s="257"/>
      <c r="BV52" s="257"/>
      <c r="BX52" s="257"/>
      <c r="BZ52" s="257"/>
      <c r="CB52" s="257"/>
      <c r="CD52" s="257"/>
      <c r="CF52" s="257"/>
      <c r="CH52" s="257"/>
      <c r="CJ52" s="257"/>
      <c r="CL52" s="257"/>
      <c r="CN52" s="257"/>
      <c r="CP52" s="257"/>
      <c r="CT52" s="257"/>
      <c r="CV52" s="257"/>
      <c r="CX52" s="257"/>
      <c r="CZ52" s="257"/>
      <c r="DB52" s="257"/>
      <c r="DC52" s="257">
        <v>-97</v>
      </c>
      <c r="DD52" s="257">
        <v>-4056103</v>
      </c>
      <c r="DI52" s="257"/>
      <c r="DJ52" s="257"/>
      <c r="DK52" s="257">
        <v>-41</v>
      </c>
      <c r="DL52" s="257">
        <v>-42762.876923076903</v>
      </c>
      <c r="DM52" s="257">
        <v>-43</v>
      </c>
      <c r="DN52" s="257">
        <v>-77675.246153846194</v>
      </c>
      <c r="DO52" s="257">
        <v>-28</v>
      </c>
      <c r="DP52" s="257">
        <v>-35072.715384615403</v>
      </c>
      <c r="DQ52" s="257">
        <v>-37</v>
      </c>
      <c r="DR52" s="257">
        <v>-71816.492307692301</v>
      </c>
    </row>
    <row r="53" spans="2:149" x14ac:dyDescent="0.2">
      <c r="B53" s="236" t="s">
        <v>466</v>
      </c>
      <c r="AT53" s="257"/>
      <c r="AV53" s="257"/>
      <c r="AX53" s="257"/>
      <c r="AZ53" s="257"/>
      <c r="BB53" s="257"/>
      <c r="BD53" s="257"/>
      <c r="BF53" s="257"/>
      <c r="BH53" s="257"/>
      <c r="BJ53" s="257"/>
      <c r="BL53" s="257"/>
      <c r="BN53" s="257"/>
      <c r="BP53" s="257"/>
      <c r="BR53" s="257"/>
      <c r="BT53" s="257"/>
      <c r="BV53" s="257"/>
      <c r="BX53" s="257"/>
      <c r="BZ53" s="257"/>
      <c r="CB53" s="257"/>
      <c r="CD53" s="257"/>
      <c r="CF53" s="257"/>
      <c r="CH53" s="257"/>
      <c r="CJ53" s="257"/>
      <c r="CL53" s="257"/>
      <c r="CN53" s="257"/>
      <c r="CP53" s="257"/>
      <c r="CT53" s="257"/>
      <c r="CV53" s="257"/>
      <c r="CX53" s="257"/>
      <c r="CZ53" s="257"/>
      <c r="DB53" s="257"/>
      <c r="DC53" s="257"/>
      <c r="DD53" s="257"/>
      <c r="DI53" s="257"/>
      <c r="DJ53" s="257"/>
      <c r="DK53" s="257"/>
      <c r="DL53" s="257"/>
      <c r="DM53" s="257"/>
      <c r="DN53" s="257"/>
      <c r="DO53" s="257"/>
      <c r="DP53" s="257"/>
      <c r="DQ53" s="257"/>
      <c r="DR53" s="257"/>
    </row>
    <row r="54" spans="2:149" x14ac:dyDescent="0.2">
      <c r="B54" s="236" t="s">
        <v>467</v>
      </c>
      <c r="AT54" s="257"/>
      <c r="AV54" s="257"/>
      <c r="AX54" s="257"/>
      <c r="AZ54" s="257"/>
      <c r="BB54" s="257"/>
      <c r="BD54" s="257"/>
      <c r="BF54" s="257"/>
      <c r="BH54" s="257"/>
      <c r="BJ54" s="257"/>
      <c r="BL54" s="257"/>
      <c r="BN54" s="257"/>
      <c r="BP54" s="257"/>
      <c r="BR54" s="257"/>
      <c r="BT54" s="257"/>
      <c r="BV54" s="257"/>
      <c r="BX54" s="257"/>
      <c r="BZ54" s="257"/>
      <c r="CB54" s="257"/>
      <c r="CD54" s="257"/>
      <c r="CF54" s="257"/>
      <c r="CH54" s="257"/>
      <c r="CJ54" s="257"/>
      <c r="CL54" s="257"/>
      <c r="CN54" s="257"/>
      <c r="CP54" s="257"/>
      <c r="CT54" s="257"/>
      <c r="CV54" s="257"/>
      <c r="CX54" s="257"/>
      <c r="CZ54" s="257"/>
      <c r="DB54" s="257"/>
      <c r="DC54" s="257"/>
      <c r="DD54" s="257"/>
      <c r="DI54" s="257"/>
      <c r="DJ54" s="257"/>
      <c r="DK54" s="257">
        <v>10</v>
      </c>
      <c r="DL54" s="257">
        <v>308783.47942307696</v>
      </c>
      <c r="DM54" s="257">
        <v>10</v>
      </c>
      <c r="DN54" s="257">
        <v>375601.48858974362</v>
      </c>
      <c r="DO54" s="257">
        <v>10</v>
      </c>
      <c r="DP54" s="257">
        <v>391651.94858974364</v>
      </c>
      <c r="DQ54" s="257">
        <v>11</v>
      </c>
      <c r="DR54" s="257">
        <v>358860.22134615382</v>
      </c>
    </row>
    <row r="55" spans="2:149" x14ac:dyDescent="0.2">
      <c r="B55" s="236" t="s">
        <v>468</v>
      </c>
      <c r="AT55" s="257"/>
      <c r="AV55" s="257"/>
      <c r="AX55" s="257"/>
      <c r="AZ55" s="257"/>
      <c r="BB55" s="257"/>
      <c r="BD55" s="257"/>
      <c r="BF55" s="257"/>
      <c r="BH55" s="257"/>
      <c r="BJ55" s="257"/>
      <c r="BL55" s="257"/>
      <c r="BN55" s="257"/>
      <c r="BP55" s="257"/>
      <c r="BR55" s="257"/>
      <c r="BT55" s="257"/>
      <c r="BV55" s="257"/>
      <c r="BX55" s="257"/>
      <c r="BZ55" s="257"/>
      <c r="CB55" s="257"/>
      <c r="CD55" s="257"/>
      <c r="CF55" s="257"/>
      <c r="CH55" s="257"/>
      <c r="CJ55" s="257"/>
      <c r="CL55" s="257"/>
      <c r="CN55" s="257"/>
      <c r="CP55" s="257"/>
      <c r="CT55" s="257"/>
      <c r="CV55" s="257"/>
      <c r="CX55" s="257"/>
      <c r="CZ55" s="257"/>
      <c r="DB55" s="257"/>
      <c r="DC55" s="257"/>
      <c r="DD55" s="257"/>
      <c r="DI55" s="257"/>
      <c r="DJ55" s="257"/>
      <c r="DK55" s="257">
        <v>5</v>
      </c>
      <c r="DL55" s="257">
        <v>106146.90410256411</v>
      </c>
      <c r="DM55" s="257">
        <v>4</v>
      </c>
      <c r="DN55" s="257">
        <v>101762.55</v>
      </c>
      <c r="DO55" s="257">
        <v>4</v>
      </c>
      <c r="DP55" s="257">
        <v>102075.42499999999</v>
      </c>
      <c r="DQ55" s="257"/>
      <c r="DR55" s="257"/>
    </row>
    <row r="56" spans="2:149" x14ac:dyDescent="0.2">
      <c r="AT56" s="257"/>
      <c r="AV56" s="257"/>
      <c r="AX56" s="257"/>
      <c r="AZ56" s="257"/>
      <c r="BB56" s="257"/>
      <c r="BD56" s="257"/>
      <c r="BF56" s="257"/>
      <c r="BH56" s="257"/>
      <c r="BJ56" s="257"/>
      <c r="BL56" s="257"/>
      <c r="BN56" s="257"/>
      <c r="BP56" s="257"/>
      <c r="BR56" s="257"/>
      <c r="BT56" s="257"/>
      <c r="BV56" s="257"/>
      <c r="BX56" s="257"/>
      <c r="BZ56" s="257"/>
      <c r="CB56" s="257"/>
      <c r="CD56" s="257"/>
      <c r="CF56" s="257"/>
      <c r="CH56" s="257"/>
      <c r="CJ56" s="257"/>
      <c r="CL56" s="257"/>
      <c r="CN56" s="257"/>
      <c r="CP56" s="257"/>
      <c r="CT56" s="257"/>
      <c r="CV56" s="257"/>
      <c r="CX56" s="257"/>
      <c r="CZ56" s="257"/>
      <c r="DB56" s="257"/>
      <c r="DC56" s="257"/>
      <c r="DD56" s="257"/>
      <c r="DI56" s="257"/>
      <c r="DJ56" s="257"/>
      <c r="DK56" s="257"/>
      <c r="DL56" s="257"/>
      <c r="DM56" s="257"/>
      <c r="DN56" s="257"/>
      <c r="DO56" s="257"/>
      <c r="DP56" s="257"/>
      <c r="DQ56" s="257"/>
      <c r="DR56" s="257"/>
    </row>
    <row r="57" spans="2:149" x14ac:dyDescent="0.2">
      <c r="B57" s="236" t="s">
        <v>469</v>
      </c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57"/>
      <c r="X57" s="257"/>
      <c r="Y57" s="257"/>
      <c r="Z57" s="257"/>
      <c r="AA57" s="257"/>
      <c r="AB57" s="257"/>
      <c r="AC57" s="257"/>
      <c r="AD57" s="257"/>
      <c r="AE57" s="257"/>
      <c r="AF57" s="257"/>
      <c r="AG57" s="257"/>
      <c r="AH57" s="257"/>
      <c r="AI57" s="257"/>
      <c r="AJ57" s="257"/>
      <c r="AK57" s="257"/>
      <c r="AL57" s="257"/>
      <c r="AM57" s="257"/>
      <c r="AN57" s="257"/>
      <c r="AO57" s="257"/>
      <c r="AP57" s="257"/>
      <c r="AQ57" s="257"/>
      <c r="AR57" s="257"/>
      <c r="AS57" s="257"/>
      <c r="AT57" s="257"/>
      <c r="AU57" s="257"/>
      <c r="AV57" s="257"/>
      <c r="AW57" s="257"/>
      <c r="AX57" s="257"/>
      <c r="AY57" s="257"/>
      <c r="AZ57" s="257"/>
      <c r="BA57" s="257"/>
      <c r="BB57" s="257"/>
      <c r="BC57" s="257"/>
      <c r="BD57" s="257"/>
      <c r="BE57" s="257"/>
      <c r="BF57" s="257"/>
      <c r="BG57" s="257"/>
      <c r="BH57" s="257"/>
      <c r="BI57" s="257"/>
      <c r="BJ57" s="257"/>
      <c r="BK57" s="257"/>
      <c r="BL57" s="257"/>
      <c r="BM57" s="257"/>
      <c r="BN57" s="257"/>
      <c r="BO57" s="257"/>
      <c r="BP57" s="257"/>
      <c r="BQ57" s="257"/>
      <c r="BR57" s="257"/>
      <c r="BS57" s="257"/>
      <c r="BT57" s="257"/>
      <c r="BU57" s="257"/>
      <c r="BV57" s="257"/>
      <c r="BW57" s="257"/>
      <c r="BX57" s="257"/>
      <c r="BY57" s="257"/>
      <c r="BZ57" s="257"/>
      <c r="CA57" s="257"/>
      <c r="CB57" s="257"/>
      <c r="CC57" s="257"/>
      <c r="CD57" s="257"/>
      <c r="CE57" s="257"/>
      <c r="CF57" s="257"/>
      <c r="CG57" s="257"/>
      <c r="CH57" s="257"/>
      <c r="CI57" s="257"/>
      <c r="CJ57" s="257"/>
      <c r="CK57" s="257"/>
      <c r="CL57" s="257"/>
      <c r="CM57" s="257"/>
      <c r="CN57" s="257"/>
      <c r="CO57" s="257"/>
      <c r="CP57" s="257"/>
      <c r="CQ57" s="257"/>
      <c r="CR57" s="257"/>
      <c r="CS57" s="257"/>
      <c r="CT57" s="257"/>
      <c r="CU57" s="257"/>
      <c r="CV57" s="257"/>
      <c r="CW57" s="257"/>
      <c r="CX57" s="257"/>
      <c r="CY57" s="257"/>
      <c r="CZ57" s="257"/>
      <c r="DA57" s="257"/>
      <c r="DB57" s="257"/>
      <c r="DC57" s="257">
        <f>SUM(DC3:DC47)-(DC51+DC52)</f>
        <v>448.15326793206941</v>
      </c>
      <c r="DD57" s="257">
        <f>SUM(DD3:DD47)-(DD51+DD52)</f>
        <v>16015178.254796445</v>
      </c>
      <c r="DI57" s="257"/>
      <c r="DJ57" s="257"/>
      <c r="DK57" s="257">
        <f t="shared" ref="DK57:DR57" si="0">SUM(DK3:DK47)-(DK51+DK52-DK54-DK55)</f>
        <v>399</v>
      </c>
      <c r="DL57" s="257">
        <f t="shared" si="0"/>
        <v>13836560.000384629</v>
      </c>
      <c r="DM57" s="257">
        <f t="shared" si="0"/>
        <v>439</v>
      </c>
      <c r="DN57" s="257">
        <f t="shared" si="0"/>
        <v>16430247.00000003</v>
      </c>
      <c r="DO57" s="257">
        <f t="shared" si="0"/>
        <v>484.13648351648317</v>
      </c>
      <c r="DP57" s="257">
        <f t="shared" si="0"/>
        <v>19840318.00000003</v>
      </c>
      <c r="DQ57" s="257">
        <f t="shared" si="0"/>
        <v>491</v>
      </c>
      <c r="DR57" s="257">
        <f t="shared" si="0"/>
        <v>22672838</v>
      </c>
      <c r="DU57" s="257"/>
      <c r="DV57" s="257"/>
      <c r="DW57" s="257"/>
      <c r="DX57" s="257"/>
      <c r="DY57" s="257"/>
      <c r="DZ57" s="257"/>
      <c r="EA57" s="257"/>
      <c r="EB57" s="257"/>
      <c r="EC57" s="257"/>
      <c r="ED57" s="257"/>
      <c r="EE57" s="257"/>
      <c r="EF57" s="257"/>
      <c r="EG57" s="257"/>
      <c r="EH57" s="257"/>
      <c r="EI57" s="257"/>
      <c r="EJ57" s="257"/>
      <c r="EK57" s="257"/>
      <c r="EL57" s="257"/>
      <c r="EM57" s="257"/>
      <c r="EN57" s="257"/>
      <c r="EO57" s="257"/>
      <c r="EP57" s="257"/>
      <c r="EQ57" s="257"/>
      <c r="ER57" s="257"/>
    </row>
    <row r="58" spans="2:149" x14ac:dyDescent="0.2">
      <c r="B58" s="236" t="s">
        <v>470</v>
      </c>
      <c r="BV58" s="287"/>
      <c r="BX58" s="288"/>
      <c r="BZ58" s="288"/>
      <c r="CB58" s="288"/>
      <c r="CD58" s="288"/>
      <c r="CF58" s="288"/>
      <c r="CH58" s="288"/>
      <c r="CJ58" s="288"/>
      <c r="CL58" s="288"/>
      <c r="CN58" s="288"/>
      <c r="CP58" s="288"/>
      <c r="CR58" s="288"/>
      <c r="CT58" s="288"/>
      <c r="CV58" s="288"/>
      <c r="CX58" s="288"/>
      <c r="CZ58" s="288"/>
      <c r="DB58" s="288"/>
      <c r="DD58" s="288"/>
      <c r="DJ58" s="288"/>
      <c r="DL58" s="288"/>
      <c r="DN58" s="288"/>
      <c r="DP58" s="288"/>
      <c r="DR58" s="288"/>
      <c r="DV58" s="257"/>
    </row>
    <row r="59" spans="2:149" x14ac:dyDescent="0.2">
      <c r="B59" s="289" t="s">
        <v>471</v>
      </c>
      <c r="BV59" s="287"/>
      <c r="BX59" s="288"/>
      <c r="BZ59" s="288"/>
      <c r="CB59" s="288"/>
      <c r="CD59" s="288"/>
      <c r="CF59" s="288"/>
      <c r="CH59" s="288"/>
      <c r="CJ59" s="288"/>
      <c r="CL59" s="288"/>
      <c r="CN59" s="288"/>
      <c r="CP59" s="288"/>
      <c r="CR59" s="288"/>
      <c r="CT59" s="288"/>
      <c r="CV59" s="288"/>
      <c r="CX59" s="288"/>
      <c r="CZ59" s="288"/>
      <c r="DB59" s="288"/>
      <c r="DD59" s="290">
        <v>7520590</v>
      </c>
      <c r="DJ59" s="290"/>
      <c r="DL59" s="290">
        <v>9195200</v>
      </c>
      <c r="DN59" s="290">
        <v>9458250</v>
      </c>
      <c r="DP59" s="290">
        <f>9806950+500000</f>
        <v>10306950</v>
      </c>
      <c r="DR59" s="290">
        <f>9756150+400000</f>
        <v>10156150</v>
      </c>
    </row>
    <row r="60" spans="2:149" x14ac:dyDescent="0.2">
      <c r="B60" s="289" t="s">
        <v>472</v>
      </c>
      <c r="DD60" s="257">
        <v>267200</v>
      </c>
      <c r="DJ60" s="257"/>
      <c r="DL60" s="257">
        <v>232000</v>
      </c>
      <c r="DN60" s="257">
        <v>224000</v>
      </c>
      <c r="DP60" s="257">
        <v>214000</v>
      </c>
      <c r="DR60" s="257">
        <v>201000</v>
      </c>
    </row>
    <row r="61" spans="2:149" x14ac:dyDescent="0.2">
      <c r="B61" s="289" t="s">
        <v>473</v>
      </c>
      <c r="DD61" s="257">
        <v>27800</v>
      </c>
      <c r="DJ61" s="257"/>
      <c r="DL61" s="257">
        <v>95000</v>
      </c>
      <c r="DN61" s="257">
        <v>67000</v>
      </c>
      <c r="DP61" s="257">
        <v>47625</v>
      </c>
      <c r="DR61" s="257">
        <v>59625</v>
      </c>
    </row>
    <row r="62" spans="2:149" x14ac:dyDescent="0.2">
      <c r="B62" s="289" t="s">
        <v>474</v>
      </c>
      <c r="DD62" s="257"/>
      <c r="DJ62" s="257"/>
      <c r="DL62" s="257"/>
      <c r="DN62" s="257">
        <v>238520</v>
      </c>
      <c r="DP62" s="257">
        <v>546520</v>
      </c>
      <c r="DR62" s="257">
        <v>807840</v>
      </c>
    </row>
    <row r="63" spans="2:149" x14ac:dyDescent="0.2">
      <c r="B63" s="289" t="s">
        <v>475</v>
      </c>
      <c r="DD63" s="257"/>
      <c r="DJ63" s="257"/>
      <c r="DL63" s="257"/>
      <c r="DN63" s="257">
        <v>1786620</v>
      </c>
      <c r="DP63" s="257">
        <f>2240703+250000</f>
        <v>2490703</v>
      </c>
      <c r="DR63" s="257">
        <f>2545703+100000</f>
        <v>2645703</v>
      </c>
    </row>
    <row r="64" spans="2:149" x14ac:dyDescent="0.2">
      <c r="B64" s="236" t="s">
        <v>476</v>
      </c>
      <c r="DD64" s="257"/>
      <c r="DJ64" s="257"/>
      <c r="DL64" s="257"/>
      <c r="DN64" s="257"/>
      <c r="DP64" s="257"/>
      <c r="DR64" s="257"/>
    </row>
    <row r="65" spans="2:122" x14ac:dyDescent="0.2">
      <c r="B65" s="289" t="s">
        <v>477</v>
      </c>
      <c r="DD65" s="257">
        <v>3815893</v>
      </c>
      <c r="DJ65" s="257"/>
      <c r="DL65" s="257">
        <v>2714360</v>
      </c>
      <c r="DN65" s="257">
        <v>1808000</v>
      </c>
      <c r="DP65" s="257">
        <v>1534520</v>
      </c>
      <c r="DR65" s="257">
        <v>1468520</v>
      </c>
    </row>
    <row r="66" spans="2:122" x14ac:dyDescent="0.2">
      <c r="B66" s="289" t="s">
        <v>72</v>
      </c>
      <c r="DC66" s="257">
        <v>78</v>
      </c>
      <c r="DD66" s="257">
        <v>3683696</v>
      </c>
      <c r="DI66" s="257"/>
      <c r="DJ66" s="257"/>
      <c r="DK66" s="257"/>
      <c r="DL66" s="257"/>
      <c r="DM66" s="257"/>
      <c r="DN66" s="257"/>
      <c r="DO66" s="257"/>
      <c r="DP66" s="257"/>
      <c r="DQ66" s="257"/>
      <c r="DR66" s="257"/>
    </row>
    <row r="67" spans="2:122" x14ac:dyDescent="0.2">
      <c r="B67" s="289" t="s">
        <v>478</v>
      </c>
      <c r="DD67" s="257">
        <v>700000</v>
      </c>
      <c r="DJ67" s="257"/>
      <c r="DL67" s="257">
        <v>700000</v>
      </c>
      <c r="DN67" s="257">
        <f>700000-2000000</f>
        <v>-1300000</v>
      </c>
      <c r="DP67" s="257">
        <v>700000</v>
      </c>
      <c r="DR67" s="257">
        <v>700000</v>
      </c>
    </row>
    <row r="68" spans="2:122" x14ac:dyDescent="0.2">
      <c r="DD68" s="257">
        <f>DD57-SUM(DD59:DD67)</f>
        <v>-0.74520355463027954</v>
      </c>
      <c r="DJ68" s="257"/>
      <c r="DL68" s="257">
        <f>DL57-SUM(DL59:DL67)</f>
        <v>900000.00038462877</v>
      </c>
      <c r="DN68" s="257">
        <f>DN57-SUM(DN59:DN67)</f>
        <v>4147857.0000000298</v>
      </c>
      <c r="DP68" s="257">
        <f>DP57-SUM(DP59:DP67)</f>
        <v>4000000.0000000298</v>
      </c>
      <c r="DR68" s="257">
        <f>DR57-SUM(DR59:DR67)</f>
        <v>6634000</v>
      </c>
    </row>
    <row r="69" spans="2:122" x14ac:dyDescent="0.2">
      <c r="DL69" s="257"/>
      <c r="DN69" s="257"/>
      <c r="DP69" s="257"/>
      <c r="DR69" s="257"/>
    </row>
  </sheetData>
  <autoFilter ref="B2:DR47" xr:uid="{80DB4B6A-AD67-4BB7-8AB1-CEC19149E758}"/>
  <mergeCells count="10">
    <mergeCell ref="EG1:EH1"/>
    <mergeCell ref="EM1:EN1"/>
    <mergeCell ref="EO1:EP1"/>
    <mergeCell ref="EQ1:ER1"/>
    <mergeCell ref="DU1:DV1"/>
    <mergeCell ref="DW1:DX1"/>
    <mergeCell ref="DY1:DZ1"/>
    <mergeCell ref="EA1:EB1"/>
    <mergeCell ref="EC1:ED1"/>
    <mergeCell ref="EE1:EF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6C90-4A66-4DE8-989E-A11CE13EA2C0}">
  <sheetPr>
    <outlinePr summaryBelow="0"/>
  </sheetPr>
  <dimension ref="A1:CY185"/>
  <sheetViews>
    <sheetView showGridLines="0" zoomScale="108" zoomScaleNormal="100" workbookViewId="0">
      <pane xSplit="1" ySplit="2" topLeftCell="CA3" activePane="bottomRight" state="frozen"/>
      <selection activeCell="B32" sqref="B32"/>
      <selection pane="topRight" activeCell="B32" sqref="B32"/>
      <selection pane="bottomLeft" activeCell="B32" sqref="B32"/>
      <selection pane="bottomRight" activeCell="CH10" sqref="CH10"/>
    </sheetView>
  </sheetViews>
  <sheetFormatPr baseColWidth="10" defaultColWidth="8.83203125" defaultRowHeight="15" outlineLevelRow="1" x14ac:dyDescent="0.2"/>
  <cols>
    <col min="1" max="1" width="37.33203125" style="551" bestFit="1" customWidth="1"/>
    <col min="2" max="7" width="15.83203125" style="551" bestFit="1" customWidth="1"/>
    <col min="8" max="9" width="15.83203125" style="551" customWidth="1"/>
    <col min="10" max="93" width="15.83203125" style="551" bestFit="1" customWidth="1"/>
    <col min="94" max="94" width="13.5" style="551" hidden="1" customWidth="1"/>
    <col min="95" max="95" width="8.5" style="551" hidden="1" customWidth="1"/>
    <col min="96" max="96" width="9.1640625" style="551" hidden="1" customWidth="1"/>
    <col min="97" max="97" width="8.5" style="551" hidden="1" customWidth="1"/>
    <col min="98" max="98" width="8.6640625" style="551" hidden="1" customWidth="1"/>
    <col min="99" max="99" width="12.33203125" style="551" hidden="1" customWidth="1"/>
    <col min="100" max="100" width="0" style="551" hidden="1" customWidth="1"/>
    <col min="101" max="101" width="8.5" style="551" hidden="1" customWidth="1"/>
    <col min="102" max="102" width="0" style="551" hidden="1" customWidth="1"/>
    <col min="103" max="103" width="8.5" style="551" hidden="1" customWidth="1"/>
    <col min="104" max="121" width="0" style="551" hidden="1" customWidth="1"/>
    <col min="122" max="16384" width="8.83203125" style="551"/>
  </cols>
  <sheetData>
    <row r="1" spans="1:103" x14ac:dyDescent="0.2">
      <c r="A1" s="549" t="s">
        <v>341</v>
      </c>
      <c r="B1" s="829">
        <v>44732</v>
      </c>
      <c r="C1" s="830"/>
      <c r="D1" s="829">
        <f>B1+30</f>
        <v>44762</v>
      </c>
      <c r="E1" s="830"/>
      <c r="F1" s="829">
        <f>D1+30</f>
        <v>44792</v>
      </c>
      <c r="G1" s="830"/>
      <c r="H1" s="829">
        <v>44823</v>
      </c>
      <c r="I1" s="830"/>
      <c r="J1" s="829">
        <f>H1+30</f>
        <v>44853</v>
      </c>
      <c r="K1" s="830"/>
      <c r="L1" s="829">
        <f>J1+30</f>
        <v>44883</v>
      </c>
      <c r="M1" s="830"/>
      <c r="N1" s="829">
        <f>L1+30</f>
        <v>44913</v>
      </c>
      <c r="O1" s="830"/>
      <c r="P1" s="829">
        <f>N1+30</f>
        <v>44943</v>
      </c>
      <c r="Q1" s="830"/>
      <c r="R1" s="829">
        <f>P1+30</f>
        <v>44973</v>
      </c>
      <c r="S1" s="830"/>
      <c r="T1" s="829">
        <f>R1+30</f>
        <v>45003</v>
      </c>
      <c r="U1" s="830"/>
      <c r="V1" s="829">
        <f>T1+30</f>
        <v>45033</v>
      </c>
      <c r="W1" s="830"/>
      <c r="X1" s="829">
        <f>V1+30</f>
        <v>45063</v>
      </c>
      <c r="Y1" s="830"/>
      <c r="Z1" s="829">
        <f>X1+30</f>
        <v>45093</v>
      </c>
      <c r="AA1" s="830"/>
      <c r="AB1" s="829">
        <f>Z1+30</f>
        <v>45123</v>
      </c>
      <c r="AC1" s="830"/>
      <c r="AD1" s="829">
        <f>AB1+30</f>
        <v>45153</v>
      </c>
      <c r="AE1" s="830"/>
      <c r="AF1" s="829">
        <f>AD1+30</f>
        <v>45183</v>
      </c>
      <c r="AG1" s="830"/>
      <c r="AH1" s="829">
        <f>AF1+30</f>
        <v>45213</v>
      </c>
      <c r="AI1" s="830"/>
      <c r="AJ1" s="829">
        <f>AH1+30</f>
        <v>45243</v>
      </c>
      <c r="AK1" s="830"/>
      <c r="AL1" s="829">
        <f>AJ1+30</f>
        <v>45273</v>
      </c>
      <c r="AM1" s="830"/>
      <c r="AN1" s="829">
        <f>AL1+30</f>
        <v>45303</v>
      </c>
      <c r="AO1" s="830"/>
      <c r="AP1" s="829">
        <f>AN1+30</f>
        <v>45333</v>
      </c>
      <c r="AQ1" s="830"/>
      <c r="AR1" s="829">
        <f>AP1+30</f>
        <v>45363</v>
      </c>
      <c r="AS1" s="830"/>
      <c r="AT1" s="829">
        <f>AR1+30</f>
        <v>45393</v>
      </c>
      <c r="AU1" s="830"/>
      <c r="AV1" s="829">
        <f>AT1+30</f>
        <v>45423</v>
      </c>
      <c r="AW1" s="830"/>
      <c r="AX1" s="829">
        <f>AV1+30</f>
        <v>45453</v>
      </c>
      <c r="AY1" s="830"/>
      <c r="AZ1" s="829">
        <f>AX1+30</f>
        <v>45483</v>
      </c>
      <c r="BA1" s="830"/>
      <c r="BB1" s="829">
        <f>AZ1+30</f>
        <v>45513</v>
      </c>
      <c r="BC1" s="830"/>
      <c r="BD1" s="829">
        <f>BB1+30</f>
        <v>45543</v>
      </c>
      <c r="BE1" s="830"/>
      <c r="BF1" s="829">
        <f>BD1+30</f>
        <v>45573</v>
      </c>
      <c r="BG1" s="830"/>
      <c r="BH1" s="829">
        <f>BF1+30</f>
        <v>45603</v>
      </c>
      <c r="BI1" s="830"/>
      <c r="BJ1" s="829">
        <f>BH1+30</f>
        <v>45633</v>
      </c>
      <c r="BK1" s="830"/>
      <c r="BL1" s="829">
        <f>BJ1+30</f>
        <v>45663</v>
      </c>
      <c r="BM1" s="830"/>
      <c r="BN1" s="829">
        <f>BL1+30</f>
        <v>45693</v>
      </c>
      <c r="BO1" s="830"/>
      <c r="BP1" s="829">
        <f>BN1+30</f>
        <v>45723</v>
      </c>
      <c r="BQ1" s="830"/>
      <c r="BR1" s="829">
        <f>BP1+30</f>
        <v>45753</v>
      </c>
      <c r="BS1" s="830"/>
      <c r="BT1" s="829">
        <f>BR1+30</f>
        <v>45783</v>
      </c>
      <c r="BU1" s="830"/>
      <c r="BV1" s="829">
        <f>BT1+30</f>
        <v>45813</v>
      </c>
      <c r="BW1" s="830"/>
      <c r="BX1" s="829">
        <f>BV1+30</f>
        <v>45843</v>
      </c>
      <c r="BY1" s="830"/>
      <c r="BZ1" s="829">
        <f>BX1+30</f>
        <v>45873</v>
      </c>
      <c r="CA1" s="830"/>
      <c r="CB1" s="829">
        <f>BZ1+30</f>
        <v>45903</v>
      </c>
      <c r="CC1" s="830"/>
      <c r="CD1" s="829">
        <f>CB1+30</f>
        <v>45933</v>
      </c>
      <c r="CE1" s="830"/>
      <c r="CF1" s="829">
        <f>CD1+30</f>
        <v>45963</v>
      </c>
      <c r="CG1" s="830"/>
      <c r="CH1" s="829">
        <f>CF1+30</f>
        <v>45993</v>
      </c>
      <c r="CI1" s="830"/>
      <c r="CJ1" s="829">
        <f>CH1+30</f>
        <v>46023</v>
      </c>
      <c r="CK1" s="830"/>
      <c r="CL1" s="829">
        <f>CJ1+31</f>
        <v>46054</v>
      </c>
      <c r="CM1" s="830"/>
      <c r="CN1" s="829">
        <f>CL1+31</f>
        <v>46085</v>
      </c>
      <c r="CO1" s="830"/>
    </row>
    <row r="2" spans="1:103" ht="18" customHeight="1" x14ac:dyDescent="0.2">
      <c r="A2" s="549"/>
      <c r="B2" s="552" t="s">
        <v>514</v>
      </c>
      <c r="C2" s="550" t="s">
        <v>515</v>
      </c>
      <c r="D2" s="552" t="s">
        <v>514</v>
      </c>
      <c r="E2" s="550" t="s">
        <v>515</v>
      </c>
      <c r="F2" s="552" t="s">
        <v>514</v>
      </c>
      <c r="G2" s="550" t="s">
        <v>515</v>
      </c>
      <c r="H2" s="552" t="s">
        <v>514</v>
      </c>
      <c r="I2" s="550" t="s">
        <v>515</v>
      </c>
      <c r="J2" s="552" t="s">
        <v>514</v>
      </c>
      <c r="K2" s="550" t="s">
        <v>515</v>
      </c>
      <c r="L2" s="552" t="s">
        <v>514</v>
      </c>
      <c r="M2" s="550" t="s">
        <v>515</v>
      </c>
      <c r="N2" s="552" t="s">
        <v>514</v>
      </c>
      <c r="O2" s="550" t="s">
        <v>515</v>
      </c>
      <c r="P2" s="552" t="s">
        <v>514</v>
      </c>
      <c r="Q2" s="550" t="s">
        <v>515</v>
      </c>
      <c r="R2" s="552" t="s">
        <v>514</v>
      </c>
      <c r="S2" s="550" t="s">
        <v>515</v>
      </c>
      <c r="T2" s="552" t="s">
        <v>514</v>
      </c>
      <c r="U2" s="550" t="s">
        <v>515</v>
      </c>
      <c r="V2" s="552" t="s">
        <v>514</v>
      </c>
      <c r="W2" s="550" t="s">
        <v>515</v>
      </c>
      <c r="X2" s="552" t="s">
        <v>514</v>
      </c>
      <c r="Y2" s="550" t="s">
        <v>515</v>
      </c>
      <c r="Z2" s="552" t="s">
        <v>514</v>
      </c>
      <c r="AA2" s="550" t="s">
        <v>515</v>
      </c>
      <c r="AB2" s="552" t="s">
        <v>514</v>
      </c>
      <c r="AC2" s="550" t="s">
        <v>515</v>
      </c>
      <c r="AD2" s="552" t="s">
        <v>514</v>
      </c>
      <c r="AE2" s="550" t="s">
        <v>515</v>
      </c>
      <c r="AF2" s="552" t="s">
        <v>514</v>
      </c>
      <c r="AG2" s="550" t="s">
        <v>515</v>
      </c>
      <c r="AH2" s="552" t="s">
        <v>514</v>
      </c>
      <c r="AI2" s="550" t="s">
        <v>515</v>
      </c>
      <c r="AJ2" s="552" t="s">
        <v>514</v>
      </c>
      <c r="AK2" s="550" t="s">
        <v>515</v>
      </c>
      <c r="AL2" s="552" t="s">
        <v>514</v>
      </c>
      <c r="AM2" s="550" t="s">
        <v>515</v>
      </c>
      <c r="AN2" s="552" t="s">
        <v>514</v>
      </c>
      <c r="AO2" s="550" t="s">
        <v>515</v>
      </c>
      <c r="AP2" s="552" t="s">
        <v>514</v>
      </c>
      <c r="AQ2" s="550" t="s">
        <v>515</v>
      </c>
      <c r="AR2" s="552" t="s">
        <v>514</v>
      </c>
      <c r="AS2" s="550" t="s">
        <v>515</v>
      </c>
      <c r="AT2" s="552" t="s">
        <v>514</v>
      </c>
      <c r="AU2" s="550" t="s">
        <v>515</v>
      </c>
      <c r="AV2" s="552" t="s">
        <v>514</v>
      </c>
      <c r="AW2" s="550" t="s">
        <v>515</v>
      </c>
      <c r="AX2" s="552" t="s">
        <v>514</v>
      </c>
      <c r="AY2" s="550" t="s">
        <v>515</v>
      </c>
      <c r="AZ2" s="552" t="s">
        <v>514</v>
      </c>
      <c r="BA2" s="550" t="s">
        <v>515</v>
      </c>
      <c r="BB2" s="552" t="s">
        <v>514</v>
      </c>
      <c r="BC2" s="550" t="s">
        <v>515</v>
      </c>
      <c r="BD2" s="552" t="s">
        <v>514</v>
      </c>
      <c r="BE2" s="550" t="s">
        <v>515</v>
      </c>
      <c r="BF2" s="552" t="s">
        <v>514</v>
      </c>
      <c r="BG2" s="550" t="s">
        <v>515</v>
      </c>
      <c r="BH2" s="552" t="s">
        <v>514</v>
      </c>
      <c r="BI2" s="550" t="s">
        <v>515</v>
      </c>
      <c r="BJ2" s="552" t="s">
        <v>514</v>
      </c>
      <c r="BK2" s="550" t="s">
        <v>515</v>
      </c>
      <c r="BL2" s="552" t="s">
        <v>514</v>
      </c>
      <c r="BM2" s="550" t="s">
        <v>515</v>
      </c>
      <c r="BN2" s="552" t="s">
        <v>514</v>
      </c>
      <c r="BO2" s="550" t="s">
        <v>515</v>
      </c>
      <c r="BP2" s="552" t="s">
        <v>514</v>
      </c>
      <c r="BQ2" s="550" t="s">
        <v>515</v>
      </c>
      <c r="BR2" s="552" t="s">
        <v>514</v>
      </c>
      <c r="BS2" s="550" t="s">
        <v>515</v>
      </c>
      <c r="BT2" s="552" t="s">
        <v>514</v>
      </c>
      <c r="BU2" s="550" t="s">
        <v>515</v>
      </c>
      <c r="BV2" s="552" t="s">
        <v>514</v>
      </c>
      <c r="BW2" s="550" t="s">
        <v>515</v>
      </c>
      <c r="BX2" s="552" t="s">
        <v>514</v>
      </c>
      <c r="BY2" s="550" t="s">
        <v>515</v>
      </c>
      <c r="BZ2" s="552" t="s">
        <v>514</v>
      </c>
      <c r="CA2" s="550" t="s">
        <v>515</v>
      </c>
      <c r="CB2" s="552" t="s">
        <v>514</v>
      </c>
      <c r="CC2" s="550" t="s">
        <v>515</v>
      </c>
      <c r="CD2" s="552" t="s">
        <v>514</v>
      </c>
      <c r="CE2" s="550" t="s">
        <v>515</v>
      </c>
      <c r="CF2" s="552" t="s">
        <v>514</v>
      </c>
      <c r="CG2" s="550" t="s">
        <v>515</v>
      </c>
      <c r="CH2" s="552" t="s">
        <v>514</v>
      </c>
      <c r="CI2" s="550" t="s">
        <v>515</v>
      </c>
      <c r="CJ2" s="552" t="s">
        <v>514</v>
      </c>
      <c r="CK2" s="550" t="s">
        <v>515</v>
      </c>
      <c r="CL2" s="552" t="s">
        <v>514</v>
      </c>
      <c r="CM2" s="550" t="s">
        <v>515</v>
      </c>
      <c r="CN2" s="552" t="s">
        <v>514</v>
      </c>
      <c r="CO2" s="550" t="s">
        <v>515</v>
      </c>
    </row>
    <row r="3" spans="1:103" ht="16" customHeight="1" x14ac:dyDescent="0.2">
      <c r="A3" s="553" t="s">
        <v>516</v>
      </c>
      <c r="B3" s="554"/>
      <c r="C3" s="555"/>
      <c r="D3" s="554"/>
      <c r="E3" s="555"/>
      <c r="F3" s="554"/>
      <c r="G3" s="555"/>
      <c r="H3" s="554"/>
      <c r="I3" s="555"/>
      <c r="J3" s="554"/>
      <c r="K3" s="555"/>
      <c r="L3" s="554"/>
      <c r="M3" s="555"/>
      <c r="N3" s="554"/>
      <c r="O3" s="555"/>
      <c r="P3" s="554"/>
      <c r="Q3" s="555"/>
      <c r="R3" s="554"/>
      <c r="S3" s="555"/>
      <c r="T3" s="554"/>
      <c r="U3" s="555"/>
      <c r="V3" s="554"/>
      <c r="W3" s="555"/>
      <c r="X3" s="554"/>
      <c r="Y3" s="555"/>
      <c r="Z3" s="554"/>
      <c r="AA3" s="555"/>
      <c r="AB3" s="554"/>
      <c r="AC3" s="555"/>
      <c r="AD3" s="554"/>
      <c r="AE3" s="555"/>
      <c r="AF3" s="554"/>
      <c r="AG3" s="555"/>
      <c r="AH3" s="554"/>
      <c r="AI3" s="555"/>
      <c r="AJ3" s="554"/>
      <c r="AK3" s="555"/>
      <c r="AL3" s="554"/>
      <c r="AM3" s="555"/>
      <c r="AN3" s="554"/>
      <c r="AO3" s="555"/>
      <c r="AP3" s="554"/>
      <c r="AQ3" s="555"/>
      <c r="AR3" s="554"/>
      <c r="AS3" s="555"/>
      <c r="AT3" s="554"/>
      <c r="AU3" s="555"/>
      <c r="AV3" s="554"/>
      <c r="AW3" s="555"/>
      <c r="AX3" s="554"/>
      <c r="AY3" s="555"/>
      <c r="AZ3" s="554"/>
      <c r="BA3" s="555"/>
      <c r="BB3" s="554"/>
      <c r="BC3" s="555"/>
      <c r="BD3" s="554"/>
      <c r="BE3" s="555"/>
      <c r="BF3" s="554"/>
      <c r="BG3" s="555"/>
      <c r="BH3" s="554"/>
      <c r="BI3" s="555"/>
      <c r="BJ3" s="554"/>
      <c r="BK3" s="555"/>
      <c r="BL3" s="554"/>
      <c r="BM3" s="555"/>
      <c r="BN3" s="554"/>
      <c r="BO3" s="555"/>
      <c r="BP3" s="554"/>
      <c r="BQ3" s="555"/>
      <c r="BR3" s="554"/>
      <c r="BS3" s="555"/>
      <c r="BT3" s="554"/>
      <c r="BU3" s="555"/>
      <c r="BV3" s="554"/>
      <c r="BW3" s="555"/>
      <c r="BX3" s="554"/>
      <c r="BY3" s="555"/>
      <c r="BZ3" s="554"/>
      <c r="CA3" s="555"/>
      <c r="CB3" s="554"/>
      <c r="CC3" s="555"/>
      <c r="CD3" s="554"/>
      <c r="CE3" s="555"/>
      <c r="CF3" s="554"/>
      <c r="CG3" s="555"/>
      <c r="CH3" s="554"/>
      <c r="CI3" s="555"/>
      <c r="CJ3" s="554"/>
      <c r="CK3" s="555"/>
      <c r="CL3" s="554"/>
      <c r="CM3" s="555"/>
      <c r="CN3" s="554"/>
      <c r="CO3" s="555"/>
      <c r="CP3" s="833" t="s">
        <v>517</v>
      </c>
      <c r="CQ3" s="834"/>
      <c r="CR3" s="833" t="s">
        <v>518</v>
      </c>
      <c r="CS3" s="834"/>
      <c r="CT3" s="831" t="s">
        <v>519</v>
      </c>
      <c r="CU3" s="832"/>
      <c r="CV3" s="831" t="s">
        <v>517</v>
      </c>
      <c r="CW3" s="832"/>
      <c r="CX3" s="831" t="s">
        <v>518</v>
      </c>
      <c r="CY3" s="832"/>
    </row>
    <row r="4" spans="1:103" ht="16" customHeight="1" x14ac:dyDescent="0.2">
      <c r="A4" s="556" t="s">
        <v>520</v>
      </c>
      <c r="B4" s="557"/>
      <c r="C4" s="558"/>
      <c r="D4" s="557"/>
      <c r="E4" s="558"/>
      <c r="F4" s="557"/>
      <c r="G4" s="558"/>
      <c r="H4" s="557"/>
      <c r="I4" s="558"/>
      <c r="J4" s="557"/>
      <c r="K4" s="558"/>
      <c r="L4" s="557"/>
      <c r="M4" s="558"/>
      <c r="N4" s="557"/>
      <c r="O4" s="558"/>
      <c r="P4" s="557"/>
      <c r="Q4" s="558"/>
      <c r="R4" s="557"/>
      <c r="S4" s="558"/>
      <c r="T4" s="557"/>
      <c r="U4" s="558"/>
      <c r="V4" s="557"/>
      <c r="W4" s="558"/>
      <c r="X4" s="557"/>
      <c r="Y4" s="558"/>
      <c r="Z4" s="557"/>
      <c r="AA4" s="558"/>
      <c r="AB4" s="557"/>
      <c r="AC4" s="558"/>
      <c r="AD4" s="557"/>
      <c r="AE4" s="558"/>
      <c r="AF4" s="557"/>
      <c r="AG4" s="558"/>
      <c r="AH4" s="557"/>
      <c r="AI4" s="558"/>
      <c r="AJ4" s="557"/>
      <c r="AK4" s="558"/>
      <c r="AL4" s="557"/>
      <c r="AM4" s="558"/>
      <c r="AN4" s="557"/>
      <c r="AO4" s="558"/>
      <c r="AP4" s="557"/>
      <c r="AQ4" s="558"/>
      <c r="AR4" s="557"/>
      <c r="AS4" s="558"/>
      <c r="AT4" s="557"/>
      <c r="AU4" s="558"/>
      <c r="AV4" s="557"/>
      <c r="AW4" s="558"/>
      <c r="AX4" s="557"/>
      <c r="AY4" s="558"/>
      <c r="AZ4" s="557"/>
      <c r="BA4" s="558"/>
      <c r="BB4" s="557"/>
      <c r="BC4" s="558"/>
      <c r="BD4" s="557"/>
      <c r="BE4" s="558"/>
      <c r="BF4" s="557"/>
      <c r="BG4" s="558"/>
      <c r="BH4" s="557"/>
      <c r="BI4" s="558"/>
      <c r="BJ4" s="557"/>
      <c r="BK4" s="558"/>
      <c r="BL4" s="557"/>
      <c r="BM4" s="558"/>
      <c r="BN4" s="557"/>
      <c r="BO4" s="558"/>
      <c r="BP4" s="557"/>
      <c r="BQ4" s="558"/>
      <c r="BR4" s="557"/>
      <c r="BS4" s="558"/>
      <c r="BT4" s="557"/>
      <c r="BU4" s="558"/>
      <c r="BV4" s="557"/>
      <c r="BW4" s="558"/>
      <c r="BX4" s="557"/>
      <c r="BY4" s="558"/>
      <c r="BZ4" s="557"/>
      <c r="CA4" s="558"/>
      <c r="CB4" s="557"/>
      <c r="CC4" s="558"/>
      <c r="CD4" s="557"/>
      <c r="CE4" s="558"/>
      <c r="CF4" s="557"/>
      <c r="CG4" s="558"/>
      <c r="CH4" s="557"/>
      <c r="CI4" s="558"/>
      <c r="CJ4" s="557"/>
      <c r="CK4" s="558"/>
      <c r="CL4" s="557"/>
      <c r="CM4" s="558"/>
      <c r="CN4" s="557"/>
      <c r="CO4" s="558"/>
      <c r="CP4" s="557"/>
      <c r="CQ4" s="558"/>
      <c r="CR4" s="557"/>
      <c r="CS4" s="558"/>
      <c r="CT4" s="559"/>
      <c r="CU4" s="560"/>
      <c r="CV4" s="559"/>
      <c r="CW4" s="560"/>
      <c r="CX4" s="559"/>
      <c r="CY4" s="560"/>
    </row>
    <row r="5" spans="1:103" x14ac:dyDescent="0.2">
      <c r="A5" s="561" t="s">
        <v>521</v>
      </c>
      <c r="B5" s="562">
        <f t="shared" ref="B5:BM8" si="0">B39+B100</f>
        <v>38052</v>
      </c>
      <c r="C5" s="563">
        <f t="shared" si="0"/>
        <v>334476430.35477108</v>
      </c>
      <c r="D5" s="562">
        <f t="shared" si="0"/>
        <v>47626</v>
      </c>
      <c r="E5" s="563">
        <f t="shared" si="0"/>
        <v>387497160.0743506</v>
      </c>
      <c r="F5" s="562">
        <f t="shared" si="0"/>
        <v>59488</v>
      </c>
      <c r="G5" s="563">
        <f t="shared" si="0"/>
        <v>420282466.04145813</v>
      </c>
      <c r="H5" s="562">
        <f t="shared" si="0"/>
        <v>36752</v>
      </c>
      <c r="I5" s="563">
        <f t="shared" si="0"/>
        <v>275321109.96957618</v>
      </c>
      <c r="J5" s="562">
        <f t="shared" si="0"/>
        <v>78282</v>
      </c>
      <c r="K5" s="563">
        <f t="shared" si="0"/>
        <v>569904103.33661282</v>
      </c>
      <c r="L5" s="562">
        <f t="shared" si="0"/>
        <v>42721</v>
      </c>
      <c r="M5" s="563">
        <f t="shared" si="0"/>
        <v>462057704.85642713</v>
      </c>
      <c r="N5" s="562">
        <f t="shared" si="0"/>
        <v>52645</v>
      </c>
      <c r="O5" s="563">
        <f t="shared" si="0"/>
        <v>454843970.36915505</v>
      </c>
      <c r="P5" s="562">
        <f t="shared" si="0"/>
        <v>49165</v>
      </c>
      <c r="Q5" s="563">
        <f t="shared" si="0"/>
        <v>473527828.10500002</v>
      </c>
      <c r="R5" s="562">
        <f t="shared" si="0"/>
        <v>72769</v>
      </c>
      <c r="S5" s="563">
        <f t="shared" si="0"/>
        <v>730623728.69823813</v>
      </c>
      <c r="T5" s="562">
        <f t="shared" si="0"/>
        <v>43955</v>
      </c>
      <c r="U5" s="563">
        <f t="shared" si="0"/>
        <v>481039886.20999992</v>
      </c>
      <c r="V5" s="562">
        <f t="shared" si="0"/>
        <v>39696</v>
      </c>
      <c r="W5" s="563">
        <f t="shared" si="0"/>
        <v>463483517.86000609</v>
      </c>
      <c r="X5" s="562">
        <f t="shared" si="0"/>
        <v>38446</v>
      </c>
      <c r="Y5" s="563">
        <f t="shared" si="0"/>
        <v>433676537.20000112</v>
      </c>
      <c r="Z5" s="562">
        <f t="shared" si="0"/>
        <v>35501</v>
      </c>
      <c r="AA5" s="563">
        <f t="shared" si="0"/>
        <v>329336206.07913047</v>
      </c>
      <c r="AB5" s="562">
        <f t="shared" si="0"/>
        <v>47181</v>
      </c>
      <c r="AC5" s="563">
        <f t="shared" si="0"/>
        <v>438202182.12000018</v>
      </c>
      <c r="AD5" s="562">
        <f t="shared" si="0"/>
        <v>62698</v>
      </c>
      <c r="AE5" s="563">
        <f t="shared" si="0"/>
        <v>589077645.90999985</v>
      </c>
      <c r="AF5" s="562">
        <f t="shared" si="0"/>
        <v>31098</v>
      </c>
      <c r="AG5" s="563">
        <f t="shared" si="0"/>
        <v>450300874.61279809</v>
      </c>
      <c r="AH5" s="562">
        <f t="shared" si="0"/>
        <v>51016</v>
      </c>
      <c r="AI5" s="563">
        <f t="shared" si="0"/>
        <v>607208347.6500001</v>
      </c>
      <c r="AJ5" s="562">
        <f t="shared" si="0"/>
        <v>37744</v>
      </c>
      <c r="AK5" s="563">
        <f t="shared" si="0"/>
        <v>507781553.13999999</v>
      </c>
      <c r="AL5" s="562">
        <f t="shared" si="0"/>
        <v>19470</v>
      </c>
      <c r="AM5" s="563">
        <f t="shared" si="0"/>
        <v>261693067.06780827</v>
      </c>
      <c r="AN5" s="562">
        <f t="shared" si="0"/>
        <v>29429</v>
      </c>
      <c r="AO5" s="563">
        <f t="shared" si="0"/>
        <v>373572755.5</v>
      </c>
      <c r="AP5" s="562">
        <f t="shared" si="0"/>
        <v>26071</v>
      </c>
      <c r="AQ5" s="563">
        <f t="shared" si="0"/>
        <v>333587983.06999993</v>
      </c>
      <c r="AR5" s="562">
        <f t="shared" si="0"/>
        <v>22503</v>
      </c>
      <c r="AS5" s="563">
        <f t="shared" si="0"/>
        <v>296380213.0999999</v>
      </c>
      <c r="AT5" s="562">
        <f t="shared" si="0"/>
        <v>32488</v>
      </c>
      <c r="AU5" s="563">
        <f t="shared" si="0"/>
        <v>396644579.19999993</v>
      </c>
      <c r="AV5" s="562">
        <f t="shared" si="0"/>
        <v>32403</v>
      </c>
      <c r="AW5" s="563">
        <f t="shared" si="0"/>
        <v>387703380.69999999</v>
      </c>
      <c r="AX5" s="562">
        <f t="shared" si="0"/>
        <v>29961</v>
      </c>
      <c r="AY5" s="563">
        <f t="shared" si="0"/>
        <v>333001276.60000002</v>
      </c>
      <c r="AZ5" s="562">
        <f t="shared" si="0"/>
        <v>31349</v>
      </c>
      <c r="BA5" s="563">
        <f t="shared" si="0"/>
        <v>395783185.45111096</v>
      </c>
      <c r="BB5" s="562">
        <f t="shared" si="0"/>
        <v>28183</v>
      </c>
      <c r="BC5" s="563">
        <f t="shared" si="0"/>
        <v>314326142.19800001</v>
      </c>
      <c r="BD5" s="562">
        <f t="shared" si="0"/>
        <v>24033</v>
      </c>
      <c r="BE5" s="563">
        <f t="shared" si="0"/>
        <v>341895222.67000014</v>
      </c>
      <c r="BF5" s="562">
        <f t="shared" si="0"/>
        <v>56764</v>
      </c>
      <c r="BG5" s="563">
        <f t="shared" si="0"/>
        <v>731699002.49000001</v>
      </c>
      <c r="BH5" s="562">
        <f t="shared" si="0"/>
        <v>44258</v>
      </c>
      <c r="BI5" s="563">
        <f t="shared" si="0"/>
        <v>599515575.57552862</v>
      </c>
      <c r="BJ5" s="562">
        <f t="shared" si="0"/>
        <v>41992</v>
      </c>
      <c r="BK5" s="563">
        <f t="shared" si="0"/>
        <v>495368499.52000129</v>
      </c>
      <c r="BL5" s="562">
        <f t="shared" si="0"/>
        <v>53291</v>
      </c>
      <c r="BM5" s="563">
        <f t="shared" si="0"/>
        <v>715722554.72000062</v>
      </c>
      <c r="BN5" s="562">
        <f t="shared" ref="BN5:CO8" si="1">BN39+BN100</f>
        <v>44297</v>
      </c>
      <c r="BO5" s="563">
        <f t="shared" si="1"/>
        <v>606636445.02999997</v>
      </c>
      <c r="BP5" s="562">
        <f t="shared" si="1"/>
        <v>32090</v>
      </c>
      <c r="BQ5" s="563">
        <f t="shared" si="1"/>
        <v>426136009.90000004</v>
      </c>
      <c r="BR5" s="562">
        <f t="shared" si="1"/>
        <v>36007</v>
      </c>
      <c r="BS5" s="563">
        <f t="shared" si="1"/>
        <v>478504897.36999995</v>
      </c>
      <c r="BT5" s="562">
        <f t="shared" si="1"/>
        <v>41683</v>
      </c>
      <c r="BU5" s="563">
        <f t="shared" si="1"/>
        <v>602668745.13</v>
      </c>
      <c r="BV5" s="562">
        <f t="shared" si="1"/>
        <v>40729</v>
      </c>
      <c r="BW5" s="563">
        <f t="shared" si="1"/>
        <v>525455699.13000053</v>
      </c>
      <c r="BX5" s="562">
        <f t="shared" si="1"/>
        <v>33863</v>
      </c>
      <c r="BY5" s="563">
        <f t="shared" si="1"/>
        <v>376088530</v>
      </c>
      <c r="BZ5" s="562">
        <f t="shared" si="1"/>
        <v>35812</v>
      </c>
      <c r="CA5" s="563">
        <f t="shared" si="1"/>
        <v>397334399.96999991</v>
      </c>
      <c r="CB5" s="562">
        <f t="shared" si="1"/>
        <v>47723</v>
      </c>
      <c r="CC5" s="563">
        <f t="shared" si="1"/>
        <v>652890028.75</v>
      </c>
      <c r="CD5" s="562">
        <f t="shared" si="1"/>
        <v>73678</v>
      </c>
      <c r="CE5" s="563">
        <f t="shared" si="1"/>
        <v>1062672454.3200018</v>
      </c>
      <c r="CF5" s="562">
        <f t="shared" si="1"/>
        <v>55909</v>
      </c>
      <c r="CG5" s="563">
        <f t="shared" si="1"/>
        <v>843533571.20999968</v>
      </c>
      <c r="CH5" s="562">
        <f t="shared" si="1"/>
        <v>47611</v>
      </c>
      <c r="CI5" s="563">
        <f t="shared" si="1"/>
        <v>686184391.3900001</v>
      </c>
      <c r="CJ5" s="562">
        <f t="shared" si="1"/>
        <v>58601</v>
      </c>
      <c r="CK5" s="563">
        <f t="shared" si="1"/>
        <v>782620200.42000031</v>
      </c>
      <c r="CL5" s="562">
        <f t="shared" si="1"/>
        <v>50486</v>
      </c>
      <c r="CM5" s="563">
        <f t="shared" si="1"/>
        <v>750592129.69000053</v>
      </c>
      <c r="CN5" s="562">
        <f t="shared" si="1"/>
        <v>49606</v>
      </c>
      <c r="CO5" s="563">
        <f t="shared" si="1"/>
        <v>771663059.76599872</v>
      </c>
      <c r="CP5" s="562">
        <f>Inventory!CN129</f>
        <v>21172</v>
      </c>
      <c r="CQ5" s="564">
        <f>Inventory!CO129/10^7</f>
        <v>46.970480645999992</v>
      </c>
      <c r="CR5" s="562">
        <f>CN5-CP5</f>
        <v>28434</v>
      </c>
      <c r="CS5" s="564">
        <f>(CO5/10^7)-CQ5</f>
        <v>30.195825330599881</v>
      </c>
      <c r="CT5" s="565">
        <f t="shared" ref="CT5:CT8" si="2">CT39+CT100</f>
        <v>44256</v>
      </c>
      <c r="CU5" s="566">
        <f>(CU39+CU100)/10^7</f>
        <v>65.806537725999974</v>
      </c>
      <c r="CV5" s="565">
        <f>CV150+CV170</f>
        <v>18132</v>
      </c>
      <c r="CW5" s="566">
        <f>(CW150+CW170)/10^7</f>
        <v>39.599875244999993</v>
      </c>
      <c r="CX5" s="565">
        <f>CT5-CV5</f>
        <v>26124</v>
      </c>
      <c r="CY5" s="566">
        <f t="shared" ref="CY5:CY9" si="3">CU5-CW5</f>
        <v>26.206662480999981</v>
      </c>
    </row>
    <row r="6" spans="1:103" x14ac:dyDescent="0.2">
      <c r="A6" s="561" t="s">
        <v>522</v>
      </c>
      <c r="B6" s="562">
        <f t="shared" si="0"/>
        <v>9028</v>
      </c>
      <c r="C6" s="563">
        <f t="shared" si="0"/>
        <v>114743757.66000003</v>
      </c>
      <c r="D6" s="562">
        <f t="shared" si="0"/>
        <v>14109</v>
      </c>
      <c r="E6" s="563">
        <f t="shared" si="0"/>
        <v>131457676.02250004</v>
      </c>
      <c r="F6" s="562">
        <f t="shared" si="0"/>
        <v>16803</v>
      </c>
      <c r="G6" s="563">
        <f t="shared" si="0"/>
        <v>113287586.47500001</v>
      </c>
      <c r="H6" s="562">
        <f t="shared" si="0"/>
        <v>11900</v>
      </c>
      <c r="I6" s="563">
        <f t="shared" si="0"/>
        <v>63493583.300000004</v>
      </c>
      <c r="J6" s="562">
        <f t="shared" si="0"/>
        <v>58004</v>
      </c>
      <c r="K6" s="563">
        <f t="shared" si="0"/>
        <v>321651165.81424356</v>
      </c>
      <c r="L6" s="562">
        <f t="shared" si="0"/>
        <v>34876</v>
      </c>
      <c r="M6" s="563">
        <f t="shared" si="0"/>
        <v>271226770.26288027</v>
      </c>
      <c r="N6" s="562">
        <f t="shared" si="0"/>
        <v>16744</v>
      </c>
      <c r="O6" s="563">
        <f t="shared" si="0"/>
        <v>184716302.28983024</v>
      </c>
      <c r="P6" s="562">
        <f t="shared" si="0"/>
        <v>11341</v>
      </c>
      <c r="Q6" s="563">
        <f t="shared" si="0"/>
        <v>141891892.5</v>
      </c>
      <c r="R6" s="562">
        <f t="shared" si="0"/>
        <v>24089</v>
      </c>
      <c r="S6" s="563">
        <f t="shared" si="0"/>
        <v>229312438.15717641</v>
      </c>
      <c r="T6" s="562">
        <f t="shared" si="0"/>
        <v>38211</v>
      </c>
      <c r="U6" s="563">
        <f t="shared" si="0"/>
        <v>315870693.82003164</v>
      </c>
      <c r="V6" s="562">
        <f t="shared" si="0"/>
        <v>20843</v>
      </c>
      <c r="W6" s="563">
        <f t="shared" si="0"/>
        <v>244673976.31400037</v>
      </c>
      <c r="X6" s="562">
        <f t="shared" si="0"/>
        <v>17681</v>
      </c>
      <c r="Y6" s="563">
        <f t="shared" si="0"/>
        <v>214129217.11999971</v>
      </c>
      <c r="Z6" s="562">
        <f t="shared" si="0"/>
        <v>19594</v>
      </c>
      <c r="AA6" s="563">
        <f t="shared" si="0"/>
        <v>216831150.92173916</v>
      </c>
      <c r="AB6" s="562">
        <f t="shared" si="0"/>
        <v>16343</v>
      </c>
      <c r="AC6" s="563">
        <f t="shared" si="0"/>
        <v>168422266.08999994</v>
      </c>
      <c r="AD6" s="562">
        <f t="shared" si="0"/>
        <v>27616</v>
      </c>
      <c r="AE6" s="563">
        <f t="shared" si="0"/>
        <v>249077876.33620402</v>
      </c>
      <c r="AF6" s="562">
        <f t="shared" si="0"/>
        <v>17199</v>
      </c>
      <c r="AG6" s="563">
        <f t="shared" si="0"/>
        <v>176027763.13000003</v>
      </c>
      <c r="AH6" s="562">
        <f t="shared" si="0"/>
        <v>17927</v>
      </c>
      <c r="AI6" s="563">
        <f t="shared" si="0"/>
        <v>219799847.19000003</v>
      </c>
      <c r="AJ6" s="562">
        <f t="shared" si="0"/>
        <v>18546</v>
      </c>
      <c r="AK6" s="563">
        <f t="shared" si="0"/>
        <v>230587421.0349772</v>
      </c>
      <c r="AL6" s="562">
        <f t="shared" si="0"/>
        <v>12486</v>
      </c>
      <c r="AM6" s="563">
        <f t="shared" si="0"/>
        <v>164787103.29610524</v>
      </c>
      <c r="AN6" s="562">
        <f t="shared" si="0"/>
        <v>9671</v>
      </c>
      <c r="AO6" s="563">
        <f t="shared" si="0"/>
        <v>121772543.77000001</v>
      </c>
      <c r="AP6" s="562">
        <f t="shared" si="0"/>
        <v>12304</v>
      </c>
      <c r="AQ6" s="563">
        <f t="shared" si="0"/>
        <v>150868027.08999997</v>
      </c>
      <c r="AR6" s="562">
        <f t="shared" si="0"/>
        <v>9025</v>
      </c>
      <c r="AS6" s="563">
        <f t="shared" si="0"/>
        <v>116649542.00000003</v>
      </c>
      <c r="AT6" s="562">
        <f t="shared" si="0"/>
        <v>10120</v>
      </c>
      <c r="AU6" s="563">
        <f t="shared" si="0"/>
        <v>133326015.10000001</v>
      </c>
      <c r="AV6" s="562">
        <f t="shared" si="0"/>
        <v>10059</v>
      </c>
      <c r="AW6" s="563">
        <f t="shared" si="0"/>
        <v>117063411.30000003</v>
      </c>
      <c r="AX6" s="562">
        <f t="shared" si="0"/>
        <v>9302</v>
      </c>
      <c r="AY6" s="563">
        <f t="shared" si="0"/>
        <v>108160822.91999999</v>
      </c>
      <c r="AZ6" s="562">
        <f t="shared" si="0"/>
        <v>7187</v>
      </c>
      <c r="BA6" s="563">
        <f t="shared" si="0"/>
        <v>89529140.919999987</v>
      </c>
      <c r="BB6" s="562">
        <f t="shared" si="0"/>
        <v>6762</v>
      </c>
      <c r="BC6" s="563">
        <f t="shared" si="0"/>
        <v>95031250.222000003</v>
      </c>
      <c r="BD6" s="562">
        <f t="shared" si="0"/>
        <v>9361</v>
      </c>
      <c r="BE6" s="563">
        <f t="shared" si="0"/>
        <v>120892043.20000002</v>
      </c>
      <c r="BF6" s="562">
        <f t="shared" si="0"/>
        <v>16855</v>
      </c>
      <c r="BG6" s="563">
        <f t="shared" si="0"/>
        <v>193439557.22999996</v>
      </c>
      <c r="BH6" s="562">
        <f t="shared" si="0"/>
        <v>29411</v>
      </c>
      <c r="BI6" s="563">
        <f t="shared" si="0"/>
        <v>340120985.19000024</v>
      </c>
      <c r="BJ6" s="562">
        <f t="shared" si="0"/>
        <v>24687</v>
      </c>
      <c r="BK6" s="563">
        <f t="shared" si="0"/>
        <v>331463193.4799993</v>
      </c>
      <c r="BL6" s="562">
        <f t="shared" si="0"/>
        <v>24238</v>
      </c>
      <c r="BM6" s="563">
        <f t="shared" si="0"/>
        <v>299023753.90000021</v>
      </c>
      <c r="BN6" s="562">
        <f t="shared" si="1"/>
        <v>25987</v>
      </c>
      <c r="BO6" s="563">
        <f t="shared" si="1"/>
        <v>373282171.74000001</v>
      </c>
      <c r="BP6" s="562">
        <f t="shared" si="1"/>
        <v>12475</v>
      </c>
      <c r="BQ6" s="563">
        <f t="shared" si="1"/>
        <v>202015684.71000007</v>
      </c>
      <c r="BR6" s="562">
        <f t="shared" si="1"/>
        <v>15279</v>
      </c>
      <c r="BS6" s="563">
        <f t="shared" si="1"/>
        <v>196983802.66</v>
      </c>
      <c r="BT6" s="562">
        <f t="shared" si="1"/>
        <v>15272</v>
      </c>
      <c r="BU6" s="563">
        <f t="shared" si="1"/>
        <v>193995587.38999999</v>
      </c>
      <c r="BV6" s="562">
        <f t="shared" si="1"/>
        <v>15158</v>
      </c>
      <c r="BW6" s="563">
        <f t="shared" si="1"/>
        <v>225499548.40999997</v>
      </c>
      <c r="BX6" s="562">
        <f t="shared" si="1"/>
        <v>14150</v>
      </c>
      <c r="BY6" s="563">
        <f t="shared" si="1"/>
        <v>161645018.26999995</v>
      </c>
      <c r="BZ6" s="562">
        <f t="shared" si="1"/>
        <v>10831</v>
      </c>
      <c r="CA6" s="563">
        <f t="shared" si="1"/>
        <v>114819224.34999998</v>
      </c>
      <c r="CB6" s="562">
        <f t="shared" si="1"/>
        <v>9519</v>
      </c>
      <c r="CC6" s="563">
        <f t="shared" si="1"/>
        <v>95622413.110000014</v>
      </c>
      <c r="CD6" s="562">
        <f t="shared" si="1"/>
        <v>27679</v>
      </c>
      <c r="CE6" s="563">
        <f t="shared" si="1"/>
        <v>389091918.80000001</v>
      </c>
      <c r="CF6" s="562">
        <f t="shared" si="1"/>
        <v>34385</v>
      </c>
      <c r="CG6" s="563">
        <f t="shared" si="1"/>
        <v>521816962.07000029</v>
      </c>
      <c r="CH6" s="562">
        <f t="shared" si="1"/>
        <v>21943</v>
      </c>
      <c r="CI6" s="563">
        <f t="shared" si="1"/>
        <v>362883866.19</v>
      </c>
      <c r="CJ6" s="562">
        <f t="shared" si="1"/>
        <v>21547</v>
      </c>
      <c r="CK6" s="563">
        <f t="shared" si="1"/>
        <v>330773995.09999973</v>
      </c>
      <c r="CL6" s="562">
        <f t="shared" si="1"/>
        <v>22447</v>
      </c>
      <c r="CM6" s="563">
        <f t="shared" si="1"/>
        <v>381205329.56999981</v>
      </c>
      <c r="CN6" s="562">
        <f t="shared" si="1"/>
        <v>14073</v>
      </c>
      <c r="CO6" s="563">
        <f t="shared" si="1"/>
        <v>283816425.24000001</v>
      </c>
      <c r="CP6" s="562">
        <f>Inventory!CN130</f>
        <v>8712</v>
      </c>
      <c r="CQ6" s="564">
        <f>Inventory!CO130/10^7</f>
        <v>20.943312672000001</v>
      </c>
      <c r="CR6" s="562">
        <f t="shared" ref="CR6:CR9" si="4">CN6-CP6</f>
        <v>5361</v>
      </c>
      <c r="CS6" s="564">
        <f t="shared" ref="CS6:CS9" si="5">(CO6/10^7)-CQ6</f>
        <v>7.438329851999999</v>
      </c>
      <c r="CT6" s="565">
        <f t="shared" si="2"/>
        <v>13996</v>
      </c>
      <c r="CU6" s="566">
        <f t="shared" ref="CU6:CU9" si="6">(CU40+CU101)/10^7</f>
        <v>28.927794906000035</v>
      </c>
      <c r="CV6" s="565">
        <f t="shared" ref="CV6:CV9" si="7">CV151+CV171</f>
        <v>8223</v>
      </c>
      <c r="CW6" s="566">
        <f t="shared" ref="CW6:CW9" si="8">(CW151+CW171)/10^7</f>
        <v>20.180357708999999</v>
      </c>
      <c r="CX6" s="565">
        <f t="shared" ref="CX6:CX9" si="9">CT6-CV6</f>
        <v>5773</v>
      </c>
      <c r="CY6" s="566">
        <f t="shared" si="3"/>
        <v>8.7474371970000355</v>
      </c>
    </row>
    <row r="7" spans="1:103" x14ac:dyDescent="0.2">
      <c r="A7" s="561" t="s">
        <v>523</v>
      </c>
      <c r="B7" s="562">
        <f t="shared" si="0"/>
        <v>9348</v>
      </c>
      <c r="C7" s="563">
        <f t="shared" si="0"/>
        <v>126873363.74250004</v>
      </c>
      <c r="D7" s="562">
        <f t="shared" si="0"/>
        <v>9057</v>
      </c>
      <c r="E7" s="563">
        <f t="shared" si="0"/>
        <v>100386824.31000003</v>
      </c>
      <c r="F7" s="562">
        <f t="shared" si="0"/>
        <v>16313</v>
      </c>
      <c r="G7" s="563">
        <f t="shared" si="0"/>
        <v>148065625.17000002</v>
      </c>
      <c r="H7" s="562">
        <f t="shared" si="0"/>
        <v>36474</v>
      </c>
      <c r="I7" s="563">
        <f t="shared" si="0"/>
        <v>239798178.00187218</v>
      </c>
      <c r="J7" s="562">
        <f t="shared" si="0"/>
        <v>30701</v>
      </c>
      <c r="K7" s="563">
        <f t="shared" si="0"/>
        <v>190658619.6103012</v>
      </c>
      <c r="L7" s="562">
        <f t="shared" si="0"/>
        <v>67085</v>
      </c>
      <c r="M7" s="563">
        <f t="shared" si="0"/>
        <v>343171932.62067455</v>
      </c>
      <c r="N7" s="562">
        <f t="shared" si="0"/>
        <v>22077</v>
      </c>
      <c r="O7" s="563">
        <f t="shared" si="0"/>
        <v>225741528.09949058</v>
      </c>
      <c r="P7" s="562">
        <f t="shared" si="0"/>
        <v>42916</v>
      </c>
      <c r="Q7" s="563">
        <f t="shared" si="0"/>
        <v>156810552.59999999</v>
      </c>
      <c r="R7" s="562">
        <f t="shared" si="0"/>
        <v>34744</v>
      </c>
      <c r="S7" s="563">
        <f t="shared" si="0"/>
        <v>198516030.07307616</v>
      </c>
      <c r="T7" s="562">
        <f t="shared" si="0"/>
        <v>35140</v>
      </c>
      <c r="U7" s="563">
        <f t="shared" si="0"/>
        <v>338253379.37320411</v>
      </c>
      <c r="V7" s="562">
        <f t="shared" si="0"/>
        <v>21106</v>
      </c>
      <c r="W7" s="563">
        <f t="shared" si="0"/>
        <v>260660102.31999937</v>
      </c>
      <c r="X7" s="562">
        <f t="shared" si="0"/>
        <v>15918</v>
      </c>
      <c r="Y7" s="563">
        <f t="shared" si="0"/>
        <v>222868332.92999357</v>
      </c>
      <c r="Z7" s="562">
        <f t="shared" si="0"/>
        <v>16856</v>
      </c>
      <c r="AA7" s="563">
        <f t="shared" si="0"/>
        <v>218595916.02999997</v>
      </c>
      <c r="AB7" s="562">
        <f t="shared" si="0"/>
        <v>17205</v>
      </c>
      <c r="AC7" s="563">
        <f t="shared" si="0"/>
        <v>171902375.75304353</v>
      </c>
      <c r="AD7" s="562">
        <f t="shared" si="0"/>
        <v>19032</v>
      </c>
      <c r="AE7" s="563">
        <f t="shared" si="0"/>
        <v>198677962.16000009</v>
      </c>
      <c r="AF7" s="562">
        <f t="shared" si="0"/>
        <v>34461</v>
      </c>
      <c r="AG7" s="563">
        <f t="shared" si="0"/>
        <v>296667080.42000008</v>
      </c>
      <c r="AH7" s="562">
        <f t="shared" si="0"/>
        <v>16636</v>
      </c>
      <c r="AI7" s="563">
        <f t="shared" si="0"/>
        <v>187893718.44000006</v>
      </c>
      <c r="AJ7" s="562">
        <f t="shared" si="0"/>
        <v>24672</v>
      </c>
      <c r="AK7" s="563">
        <f t="shared" si="0"/>
        <v>285636088.85999995</v>
      </c>
      <c r="AL7" s="562">
        <f t="shared" si="0"/>
        <v>21657</v>
      </c>
      <c r="AM7" s="563">
        <f t="shared" si="0"/>
        <v>269949050.30999994</v>
      </c>
      <c r="AN7" s="562">
        <f t="shared" si="0"/>
        <v>10929</v>
      </c>
      <c r="AO7" s="563">
        <f t="shared" si="0"/>
        <v>142183849.40000001</v>
      </c>
      <c r="AP7" s="562">
        <f t="shared" si="0"/>
        <v>11451</v>
      </c>
      <c r="AQ7" s="563">
        <f t="shared" si="0"/>
        <v>146392436.59999999</v>
      </c>
      <c r="AR7" s="562">
        <f t="shared" si="0"/>
        <v>12800</v>
      </c>
      <c r="AS7" s="563">
        <f t="shared" si="0"/>
        <v>172728156.69999999</v>
      </c>
      <c r="AT7" s="562">
        <f t="shared" si="0"/>
        <v>8608</v>
      </c>
      <c r="AU7" s="563">
        <f t="shared" si="0"/>
        <v>114562271.28</v>
      </c>
      <c r="AV7" s="562">
        <f t="shared" si="0"/>
        <v>10105</v>
      </c>
      <c r="AW7" s="563">
        <f t="shared" si="0"/>
        <v>130332269.5</v>
      </c>
      <c r="AX7" s="562">
        <f t="shared" si="0"/>
        <v>10066</v>
      </c>
      <c r="AY7" s="563">
        <f t="shared" si="0"/>
        <v>125988665.517142</v>
      </c>
      <c r="AZ7" s="562">
        <f t="shared" si="0"/>
        <v>6782</v>
      </c>
      <c r="BA7" s="563">
        <f t="shared" si="0"/>
        <v>83809766.799999997</v>
      </c>
      <c r="BB7" s="562">
        <f t="shared" si="0"/>
        <v>7492</v>
      </c>
      <c r="BC7" s="563">
        <f t="shared" si="0"/>
        <v>105004336.02000001</v>
      </c>
      <c r="BD7" s="562">
        <f t="shared" si="0"/>
        <v>6454</v>
      </c>
      <c r="BE7" s="563">
        <f t="shared" si="0"/>
        <v>83771686.942000002</v>
      </c>
      <c r="BF7" s="562">
        <f t="shared" si="0"/>
        <v>9657</v>
      </c>
      <c r="BG7" s="563">
        <f t="shared" si="0"/>
        <v>153527739.07000002</v>
      </c>
      <c r="BH7" s="562">
        <f t="shared" si="0"/>
        <v>25156</v>
      </c>
      <c r="BI7" s="563">
        <f t="shared" si="0"/>
        <v>306422947.36000013</v>
      </c>
      <c r="BJ7" s="562">
        <f t="shared" si="0"/>
        <v>25839</v>
      </c>
      <c r="BK7" s="563">
        <f t="shared" si="0"/>
        <v>343326319.29000008</v>
      </c>
      <c r="BL7" s="562">
        <f t="shared" si="0"/>
        <v>21593</v>
      </c>
      <c r="BM7" s="563">
        <f t="shared" si="0"/>
        <v>295428019.19000018</v>
      </c>
      <c r="BN7" s="562">
        <f t="shared" si="1"/>
        <v>24195</v>
      </c>
      <c r="BO7" s="563">
        <f t="shared" si="1"/>
        <v>325947224.13</v>
      </c>
      <c r="BP7" s="562">
        <f t="shared" si="1"/>
        <v>20841</v>
      </c>
      <c r="BQ7" s="563">
        <f t="shared" si="1"/>
        <v>318732287.46999997</v>
      </c>
      <c r="BR7" s="562">
        <f t="shared" si="1"/>
        <v>12881</v>
      </c>
      <c r="BS7" s="563">
        <f t="shared" si="1"/>
        <v>198787435.44</v>
      </c>
      <c r="BT7" s="562">
        <f t="shared" si="1"/>
        <v>13500</v>
      </c>
      <c r="BU7" s="563">
        <f t="shared" si="1"/>
        <v>197184581.07999974</v>
      </c>
      <c r="BV7" s="562">
        <f t="shared" si="1"/>
        <v>15947</v>
      </c>
      <c r="BW7" s="563">
        <f t="shared" si="1"/>
        <v>215467442.91000003</v>
      </c>
      <c r="BX7" s="562">
        <f t="shared" si="1"/>
        <v>17303</v>
      </c>
      <c r="BY7" s="563">
        <f t="shared" si="1"/>
        <v>223696735.60000002</v>
      </c>
      <c r="BZ7" s="562">
        <f t="shared" si="1"/>
        <v>12781</v>
      </c>
      <c r="CA7" s="563">
        <f t="shared" si="1"/>
        <v>142247558.29000002</v>
      </c>
      <c r="CB7" s="562">
        <f t="shared" si="1"/>
        <v>12281</v>
      </c>
      <c r="CC7" s="563">
        <f t="shared" si="1"/>
        <v>132106151.10999998</v>
      </c>
      <c r="CD7" s="562">
        <f t="shared" si="1"/>
        <v>15942</v>
      </c>
      <c r="CE7" s="563">
        <f t="shared" si="1"/>
        <v>185363363.61999997</v>
      </c>
      <c r="CF7" s="562">
        <f t="shared" si="1"/>
        <v>34896</v>
      </c>
      <c r="CG7" s="563">
        <f t="shared" si="1"/>
        <v>526900860.5399996</v>
      </c>
      <c r="CH7" s="562">
        <f t="shared" si="1"/>
        <v>30682</v>
      </c>
      <c r="CI7" s="563">
        <f t="shared" si="1"/>
        <v>526265914.01000065</v>
      </c>
      <c r="CJ7" s="562">
        <f t="shared" si="1"/>
        <v>22960</v>
      </c>
      <c r="CK7" s="563">
        <f t="shared" si="1"/>
        <v>401149211.52000004</v>
      </c>
      <c r="CL7" s="562">
        <f t="shared" si="1"/>
        <v>21082</v>
      </c>
      <c r="CM7" s="563">
        <f t="shared" si="1"/>
        <v>360477163.69000036</v>
      </c>
      <c r="CN7" s="562">
        <f t="shared" si="1"/>
        <v>23628</v>
      </c>
      <c r="CO7" s="563">
        <f t="shared" si="1"/>
        <v>382503942.62000036</v>
      </c>
      <c r="CP7" s="562">
        <f>Inventory!CN131</f>
        <v>14038</v>
      </c>
      <c r="CQ7" s="564">
        <f>Inventory!CO131/10^7</f>
        <v>29.462846847000016</v>
      </c>
      <c r="CR7" s="562">
        <f t="shared" si="4"/>
        <v>9590</v>
      </c>
      <c r="CS7" s="564">
        <f t="shared" si="5"/>
        <v>8.7875474150000201</v>
      </c>
      <c r="CT7" s="565">
        <f t="shared" si="2"/>
        <v>25193</v>
      </c>
      <c r="CU7" s="566">
        <f t="shared" si="6"/>
        <v>41.68992492759979</v>
      </c>
      <c r="CV7" s="565">
        <f t="shared" si="7"/>
        <v>14414</v>
      </c>
      <c r="CW7" s="566">
        <f t="shared" si="8"/>
        <v>31.459480135000003</v>
      </c>
      <c r="CX7" s="565">
        <f t="shared" si="9"/>
        <v>10779</v>
      </c>
      <c r="CY7" s="566">
        <f t="shared" si="3"/>
        <v>10.230444792599787</v>
      </c>
    </row>
    <row r="8" spans="1:103" x14ac:dyDescent="0.2">
      <c r="A8" s="561" t="s">
        <v>524</v>
      </c>
      <c r="B8" s="562">
        <f t="shared" si="0"/>
        <v>5470</v>
      </c>
      <c r="C8" s="563">
        <f t="shared" si="0"/>
        <v>65184485.250000015</v>
      </c>
      <c r="D8" s="562">
        <f t="shared" si="0"/>
        <v>3098</v>
      </c>
      <c r="E8" s="563">
        <f t="shared" si="0"/>
        <v>47653235.512500003</v>
      </c>
      <c r="F8" s="562">
        <f t="shared" si="0"/>
        <v>3401</v>
      </c>
      <c r="G8" s="563">
        <f t="shared" si="0"/>
        <v>38004113.649999999</v>
      </c>
      <c r="H8" s="562">
        <f t="shared" si="0"/>
        <v>18000</v>
      </c>
      <c r="I8" s="563">
        <f t="shared" si="0"/>
        <v>93617112.347415417</v>
      </c>
      <c r="J8" s="562">
        <f t="shared" si="0"/>
        <v>14762</v>
      </c>
      <c r="K8" s="563">
        <f t="shared" si="0"/>
        <v>71632625.899702504</v>
      </c>
      <c r="L8" s="562">
        <f t="shared" si="0"/>
        <v>16236</v>
      </c>
      <c r="M8" s="563">
        <f t="shared" si="0"/>
        <v>87978545.23411046</v>
      </c>
      <c r="N8" s="562">
        <f t="shared" si="0"/>
        <v>24641</v>
      </c>
      <c r="O8" s="563">
        <f t="shared" si="0"/>
        <v>137523718.69254237</v>
      </c>
      <c r="P8" s="562">
        <f t="shared" si="0"/>
        <v>7033</v>
      </c>
      <c r="Q8" s="563">
        <f t="shared" si="0"/>
        <v>98007524.329999998</v>
      </c>
      <c r="R8" s="562">
        <f t="shared" si="0"/>
        <v>10513</v>
      </c>
      <c r="S8" s="563">
        <f t="shared" si="0"/>
        <v>71735796.981846526</v>
      </c>
      <c r="T8" s="562">
        <f t="shared" si="0"/>
        <v>22663</v>
      </c>
      <c r="U8" s="563">
        <f t="shared" si="0"/>
        <v>100386787.56429592</v>
      </c>
      <c r="V8" s="562">
        <f t="shared" si="0"/>
        <v>9324</v>
      </c>
      <c r="W8" s="563">
        <f t="shared" si="0"/>
        <v>142420774.92599988</v>
      </c>
      <c r="X8" s="562">
        <f t="shared" si="0"/>
        <v>6072</v>
      </c>
      <c r="Y8" s="563">
        <f t="shared" si="0"/>
        <v>101552373.56999405</v>
      </c>
      <c r="Z8" s="562">
        <f t="shared" si="0"/>
        <v>5740</v>
      </c>
      <c r="AA8" s="563">
        <f t="shared" si="0"/>
        <v>92406827.427826092</v>
      </c>
      <c r="AB8" s="562">
        <f t="shared" si="0"/>
        <v>5714</v>
      </c>
      <c r="AC8" s="563">
        <f t="shared" si="0"/>
        <v>80163053.442608714</v>
      </c>
      <c r="AD8" s="562">
        <f t="shared" si="0"/>
        <v>6016</v>
      </c>
      <c r="AE8" s="563">
        <f t="shared" si="0"/>
        <v>66346870.856521741</v>
      </c>
      <c r="AF8" s="562">
        <f t="shared" si="0"/>
        <v>8654</v>
      </c>
      <c r="AG8" s="563">
        <f t="shared" si="0"/>
        <v>99699200.24000001</v>
      </c>
      <c r="AH8" s="562">
        <f t="shared" si="0"/>
        <v>18044</v>
      </c>
      <c r="AI8" s="563">
        <f t="shared" si="0"/>
        <v>153432206.38000003</v>
      </c>
      <c r="AJ8" s="562">
        <f t="shared" si="0"/>
        <v>9129</v>
      </c>
      <c r="AK8" s="563">
        <f t="shared" si="0"/>
        <v>102637002.42000002</v>
      </c>
      <c r="AL8" s="562">
        <f t="shared" si="0"/>
        <v>13913</v>
      </c>
      <c r="AM8" s="563">
        <f t="shared" si="0"/>
        <v>160615127.84</v>
      </c>
      <c r="AN8" s="562">
        <f t="shared" si="0"/>
        <v>8700</v>
      </c>
      <c r="AO8" s="563">
        <f t="shared" si="0"/>
        <v>109266347.98000002</v>
      </c>
      <c r="AP8" s="562">
        <f t="shared" si="0"/>
        <v>5716</v>
      </c>
      <c r="AQ8" s="563">
        <f t="shared" si="0"/>
        <v>78697123.170000002</v>
      </c>
      <c r="AR8" s="562">
        <f t="shared" si="0"/>
        <v>4729</v>
      </c>
      <c r="AS8" s="563">
        <f t="shared" si="0"/>
        <v>58100543</v>
      </c>
      <c r="AT8" s="562">
        <f t="shared" si="0"/>
        <v>5093</v>
      </c>
      <c r="AU8" s="563">
        <f t="shared" si="0"/>
        <v>73310013.300000012</v>
      </c>
      <c r="AV8" s="562">
        <f t="shared" si="0"/>
        <v>3147</v>
      </c>
      <c r="AW8" s="563">
        <f t="shared" si="0"/>
        <v>42976123.82</v>
      </c>
      <c r="AX8" s="562">
        <f t="shared" si="0"/>
        <v>3184</v>
      </c>
      <c r="AY8" s="563">
        <f t="shared" si="0"/>
        <v>44811263.602221996</v>
      </c>
      <c r="AZ8" s="562">
        <f t="shared" si="0"/>
        <v>2722</v>
      </c>
      <c r="BA8" s="563">
        <f t="shared" si="0"/>
        <v>37330535.200000003</v>
      </c>
      <c r="BB8" s="562">
        <f t="shared" si="0"/>
        <v>2574</v>
      </c>
      <c r="BC8" s="563">
        <f t="shared" si="0"/>
        <v>35829046.700000003</v>
      </c>
      <c r="BD8" s="562">
        <f t="shared" si="0"/>
        <v>2878</v>
      </c>
      <c r="BE8" s="563">
        <f t="shared" si="0"/>
        <v>41763280.309999995</v>
      </c>
      <c r="BF8" s="562">
        <f t="shared" si="0"/>
        <v>2777</v>
      </c>
      <c r="BG8" s="563">
        <f t="shared" si="0"/>
        <v>41023273</v>
      </c>
      <c r="BH8" s="562">
        <f t="shared" si="0"/>
        <v>2450</v>
      </c>
      <c r="BI8" s="563">
        <f t="shared" si="0"/>
        <v>37263663.199999988</v>
      </c>
      <c r="BJ8" s="562">
        <f t="shared" si="0"/>
        <v>7344</v>
      </c>
      <c r="BK8" s="563">
        <f t="shared" si="0"/>
        <v>104782778.47</v>
      </c>
      <c r="BL8" s="562">
        <f t="shared" si="0"/>
        <v>9056</v>
      </c>
      <c r="BM8" s="563">
        <f t="shared" ref="BM8" si="10">BM42+BM103</f>
        <v>139836193.60000005</v>
      </c>
      <c r="BN8" s="562">
        <f t="shared" si="1"/>
        <v>8970</v>
      </c>
      <c r="BO8" s="563">
        <f t="shared" si="1"/>
        <v>133949645.81</v>
      </c>
      <c r="BP8" s="562">
        <f t="shared" si="1"/>
        <v>10625</v>
      </c>
      <c r="BQ8" s="563">
        <f t="shared" si="1"/>
        <v>155171445.09000003</v>
      </c>
      <c r="BR8" s="562">
        <f t="shared" si="1"/>
        <v>9659</v>
      </c>
      <c r="BS8" s="563">
        <f t="shared" si="1"/>
        <v>154740790.21000001</v>
      </c>
      <c r="BT8" s="562">
        <f t="shared" si="1"/>
        <v>5497</v>
      </c>
      <c r="BU8" s="563">
        <f t="shared" si="1"/>
        <v>88981309.510000005</v>
      </c>
      <c r="BV8" s="562">
        <f t="shared" si="1"/>
        <v>6244</v>
      </c>
      <c r="BW8" s="563">
        <f t="shared" si="1"/>
        <v>93508704.649999976</v>
      </c>
      <c r="BX8" s="562">
        <f t="shared" si="1"/>
        <v>6551</v>
      </c>
      <c r="BY8" s="563">
        <f t="shared" si="1"/>
        <v>105612386.38</v>
      </c>
      <c r="BZ8" s="562">
        <f t="shared" si="1"/>
        <v>5398</v>
      </c>
      <c r="CA8" s="563">
        <f t="shared" si="1"/>
        <v>74849245.519999996</v>
      </c>
      <c r="CB8" s="562">
        <f t="shared" si="1"/>
        <v>4589</v>
      </c>
      <c r="CC8" s="563">
        <f t="shared" si="1"/>
        <v>54304826.390000015</v>
      </c>
      <c r="CD8" s="562">
        <f t="shared" si="1"/>
        <v>6498</v>
      </c>
      <c r="CE8" s="563">
        <f t="shared" si="1"/>
        <v>67873634.75</v>
      </c>
      <c r="CF8" s="562">
        <f t="shared" si="1"/>
        <v>7698</v>
      </c>
      <c r="CG8" s="563">
        <f t="shared" si="1"/>
        <v>97783313.969999999</v>
      </c>
      <c r="CH8" s="562">
        <f t="shared" si="1"/>
        <v>14504</v>
      </c>
      <c r="CI8" s="563">
        <f t="shared" si="1"/>
        <v>243500182.49000037</v>
      </c>
      <c r="CJ8" s="562">
        <f t="shared" si="1"/>
        <v>13859</v>
      </c>
      <c r="CK8" s="563">
        <f t="shared" si="1"/>
        <v>253883428.45999998</v>
      </c>
      <c r="CL8" s="562">
        <f t="shared" si="1"/>
        <v>8522</v>
      </c>
      <c r="CM8" s="563">
        <f t="shared" si="1"/>
        <v>170791088.92000002</v>
      </c>
      <c r="CN8" s="562">
        <f t="shared" si="1"/>
        <v>7689</v>
      </c>
      <c r="CO8" s="563">
        <f t="shared" si="1"/>
        <v>121920531.64999998</v>
      </c>
      <c r="CP8" s="562">
        <f>Inventory!CN132</f>
        <v>4874</v>
      </c>
      <c r="CQ8" s="564">
        <f>Inventory!CO132/10^7</f>
        <v>10.383374495000025</v>
      </c>
      <c r="CR8" s="562">
        <f t="shared" si="4"/>
        <v>2815</v>
      </c>
      <c r="CS8" s="564">
        <f t="shared" si="5"/>
        <v>1.8086786699999724</v>
      </c>
      <c r="CT8" s="565">
        <f t="shared" si="2"/>
        <v>10001</v>
      </c>
      <c r="CU8" s="566">
        <f t="shared" si="6"/>
        <v>16.34066140800007</v>
      </c>
      <c r="CV8" s="565">
        <f t="shared" si="7"/>
        <v>6586</v>
      </c>
      <c r="CW8" s="566">
        <f t="shared" si="8"/>
        <v>13.44846341100002</v>
      </c>
      <c r="CX8" s="565">
        <f t="shared" si="9"/>
        <v>3415</v>
      </c>
      <c r="CY8" s="566">
        <f t="shared" si="3"/>
        <v>2.89219799700005</v>
      </c>
    </row>
    <row r="9" spans="1:103" x14ac:dyDescent="0.2">
      <c r="A9" s="561" t="s">
        <v>525</v>
      </c>
      <c r="B9" s="562">
        <f t="shared" ref="B9:U9" si="11">B43+B104</f>
        <v>9939</v>
      </c>
      <c r="C9" s="563">
        <f t="shared" si="11"/>
        <v>71964761.955000222</v>
      </c>
      <c r="D9" s="562">
        <f t="shared" si="11"/>
        <v>6280</v>
      </c>
      <c r="E9" s="563">
        <f t="shared" si="11"/>
        <v>64740134.797500044</v>
      </c>
      <c r="F9" s="562">
        <f t="shared" si="11"/>
        <v>5075</v>
      </c>
      <c r="G9" s="563">
        <f t="shared" si="11"/>
        <v>60366192.802500017</v>
      </c>
      <c r="H9" s="562">
        <f t="shared" si="11"/>
        <v>22184</v>
      </c>
      <c r="I9" s="563">
        <f t="shared" si="11"/>
        <v>127892900.41792351</v>
      </c>
      <c r="J9" s="562">
        <f t="shared" si="11"/>
        <v>14291</v>
      </c>
      <c r="K9" s="563">
        <f t="shared" si="11"/>
        <v>73315569.823941141</v>
      </c>
      <c r="L9" s="562">
        <f t="shared" si="11"/>
        <v>20002</v>
      </c>
      <c r="M9" s="563">
        <f t="shared" si="11"/>
        <v>91789277.802245915</v>
      </c>
      <c r="N9" s="562">
        <f t="shared" si="11"/>
        <v>18855</v>
      </c>
      <c r="O9" s="563">
        <f t="shared" si="11"/>
        <v>112486102.34605095</v>
      </c>
      <c r="P9" s="562">
        <f t="shared" si="11"/>
        <v>18435</v>
      </c>
      <c r="Q9" s="563">
        <f t="shared" si="11"/>
        <v>168502409.45000005</v>
      </c>
      <c r="R9" s="562">
        <f t="shared" si="11"/>
        <v>11636</v>
      </c>
      <c r="S9" s="563">
        <f t="shared" si="11"/>
        <v>136620562.57254964</v>
      </c>
      <c r="T9" s="562">
        <f t="shared" si="11"/>
        <v>14317</v>
      </c>
      <c r="U9" s="563">
        <f t="shared" si="11"/>
        <v>119115497.89610147</v>
      </c>
      <c r="V9" s="562">
        <f t="shared" ref="V9:CG9" si="12">V43+V104-V84</f>
        <v>7232</v>
      </c>
      <c r="W9" s="563">
        <f t="shared" si="12"/>
        <v>112501112.40391389</v>
      </c>
      <c r="X9" s="562">
        <f t="shared" si="12"/>
        <v>6795</v>
      </c>
      <c r="Y9" s="563">
        <f t="shared" si="12"/>
        <v>112751839.51609047</v>
      </c>
      <c r="Z9" s="562">
        <f t="shared" si="12"/>
        <v>5641</v>
      </c>
      <c r="AA9" s="563">
        <f t="shared" si="12"/>
        <v>98592419.880441293</v>
      </c>
      <c r="AB9" s="562">
        <f t="shared" si="12"/>
        <v>4720</v>
      </c>
      <c r="AC9" s="563">
        <f t="shared" si="12"/>
        <v>77614509.106093496</v>
      </c>
      <c r="AD9" s="562">
        <f t="shared" si="12"/>
        <v>4995</v>
      </c>
      <c r="AE9" s="563">
        <f t="shared" si="12"/>
        <v>77731520.846528292</v>
      </c>
      <c r="AF9" s="562">
        <f t="shared" si="12"/>
        <v>5386</v>
      </c>
      <c r="AG9" s="563">
        <f t="shared" si="12"/>
        <v>74521929.643484786</v>
      </c>
      <c r="AH9" s="562">
        <f t="shared" si="12"/>
        <v>8413</v>
      </c>
      <c r="AI9" s="563">
        <f t="shared" si="12"/>
        <v>104183412.01218045</v>
      </c>
      <c r="AJ9" s="562">
        <f t="shared" si="12"/>
        <v>17008</v>
      </c>
      <c r="AK9" s="563">
        <f t="shared" si="12"/>
        <v>170035963.75174564</v>
      </c>
      <c r="AL9" s="562">
        <f t="shared" si="12"/>
        <v>16070</v>
      </c>
      <c r="AM9" s="563">
        <f t="shared" si="12"/>
        <v>177352033.03696302</v>
      </c>
      <c r="AN9" s="562">
        <f t="shared" si="12"/>
        <v>11241</v>
      </c>
      <c r="AO9" s="563">
        <f t="shared" si="12"/>
        <v>141356650.24652171</v>
      </c>
      <c r="AP9" s="562">
        <f t="shared" si="12"/>
        <v>7632</v>
      </c>
      <c r="AQ9" s="563">
        <f t="shared" si="12"/>
        <v>104370805.60652176</v>
      </c>
      <c r="AR9" s="562">
        <f t="shared" si="12"/>
        <v>12541</v>
      </c>
      <c r="AS9" s="563">
        <f t="shared" si="12"/>
        <v>114538815.24000002</v>
      </c>
      <c r="AT9" s="562">
        <f t="shared" si="12"/>
        <v>3016</v>
      </c>
      <c r="AU9" s="563">
        <f t="shared" si="12"/>
        <v>45663279.13000001</v>
      </c>
      <c r="AV9" s="562">
        <f t="shared" si="12"/>
        <v>3376</v>
      </c>
      <c r="AW9" s="563">
        <f t="shared" si="12"/>
        <v>51126183.189999998</v>
      </c>
      <c r="AX9" s="562">
        <f t="shared" si="12"/>
        <v>2390</v>
      </c>
      <c r="AY9" s="563">
        <f t="shared" si="12"/>
        <v>33364351.329999998</v>
      </c>
      <c r="AZ9" s="562">
        <f t="shared" si="12"/>
        <v>1111</v>
      </c>
      <c r="BA9" s="563">
        <f t="shared" si="12"/>
        <v>19705395.729999997</v>
      </c>
      <c r="BB9" s="562">
        <f t="shared" si="12"/>
        <v>1244</v>
      </c>
      <c r="BC9" s="563">
        <f t="shared" si="12"/>
        <v>23835644.029999994</v>
      </c>
      <c r="BD9" s="562">
        <f t="shared" si="12"/>
        <v>1678</v>
      </c>
      <c r="BE9" s="563">
        <f t="shared" si="12"/>
        <v>29599588.429999996</v>
      </c>
      <c r="BF9" s="562">
        <f t="shared" si="12"/>
        <v>2458</v>
      </c>
      <c r="BG9" s="563">
        <f t="shared" si="12"/>
        <v>43028144.459999993</v>
      </c>
      <c r="BH9" s="562">
        <f t="shared" si="12"/>
        <v>2810</v>
      </c>
      <c r="BI9" s="563">
        <f t="shared" si="12"/>
        <v>39424383.559999995</v>
      </c>
      <c r="BJ9" s="562">
        <f t="shared" si="12"/>
        <v>4065</v>
      </c>
      <c r="BK9" s="563">
        <f t="shared" si="12"/>
        <v>63583376.022</v>
      </c>
      <c r="BL9" s="562">
        <f t="shared" si="12"/>
        <v>3402</v>
      </c>
      <c r="BM9" s="563">
        <f t="shared" si="12"/>
        <v>54501989.889999971</v>
      </c>
      <c r="BN9" s="562">
        <f t="shared" si="12"/>
        <v>5398</v>
      </c>
      <c r="BO9" s="563">
        <f t="shared" si="12"/>
        <v>87004462.809999973</v>
      </c>
      <c r="BP9" s="562">
        <f t="shared" si="12"/>
        <v>4721</v>
      </c>
      <c r="BQ9" s="563">
        <f t="shared" si="12"/>
        <v>78013219.063917994</v>
      </c>
      <c r="BR9" s="562">
        <f t="shared" si="12"/>
        <v>7358</v>
      </c>
      <c r="BS9" s="563">
        <f t="shared" si="12"/>
        <v>112549197.65999998</v>
      </c>
      <c r="BT9" s="562">
        <f t="shared" si="12"/>
        <v>8677</v>
      </c>
      <c r="BU9" s="563">
        <f t="shared" si="12"/>
        <v>132727581.26000001</v>
      </c>
      <c r="BV9" s="562">
        <f t="shared" si="12"/>
        <v>6204</v>
      </c>
      <c r="BW9" s="563">
        <f t="shared" si="12"/>
        <v>97096116.909999996</v>
      </c>
      <c r="BX9" s="562">
        <f t="shared" si="12"/>
        <v>5630</v>
      </c>
      <c r="BY9" s="563">
        <f t="shared" si="12"/>
        <v>91136000.560000002</v>
      </c>
      <c r="BZ9" s="562">
        <f t="shared" si="12"/>
        <v>4365</v>
      </c>
      <c r="CA9" s="563">
        <f t="shared" si="12"/>
        <v>72204954.340000004</v>
      </c>
      <c r="CB9" s="562">
        <f t="shared" si="12"/>
        <v>3665</v>
      </c>
      <c r="CC9" s="563">
        <f t="shared" si="12"/>
        <v>52337484.769999996</v>
      </c>
      <c r="CD9" s="562">
        <f t="shared" si="12"/>
        <v>5080</v>
      </c>
      <c r="CE9" s="563">
        <f t="shared" si="12"/>
        <v>58952458.729999982</v>
      </c>
      <c r="CF9" s="562">
        <f t="shared" si="12"/>
        <v>6362</v>
      </c>
      <c r="CG9" s="563">
        <f t="shared" si="12"/>
        <v>74264748.800000012</v>
      </c>
      <c r="CH9" s="562">
        <f t="shared" ref="CH9:CO9" si="13">CH43+CH104-CH84</f>
        <v>6107</v>
      </c>
      <c r="CI9" s="563">
        <f t="shared" si="13"/>
        <v>84976504.030000016</v>
      </c>
      <c r="CJ9" s="562">
        <f t="shared" si="13"/>
        <v>7964</v>
      </c>
      <c r="CK9" s="563">
        <f t="shared" si="13"/>
        <v>135741655.92999995</v>
      </c>
      <c r="CL9" s="562">
        <f t="shared" si="13"/>
        <v>9447</v>
      </c>
      <c r="CM9" s="563">
        <f t="shared" si="13"/>
        <v>195400195.95000038</v>
      </c>
      <c r="CN9" s="562">
        <f t="shared" si="13"/>
        <v>7496</v>
      </c>
      <c r="CO9" s="563">
        <f t="shared" si="13"/>
        <v>159141406.06000009</v>
      </c>
      <c r="CP9" s="562">
        <f>Inventory!CN133</f>
        <v>6057</v>
      </c>
      <c r="CQ9" s="564">
        <f>Inventory!CO133/10^7</f>
        <v>14.303444123000011</v>
      </c>
      <c r="CR9" s="562">
        <f t="shared" si="4"/>
        <v>1439</v>
      </c>
      <c r="CS9" s="564">
        <f t="shared" si="5"/>
        <v>1.6106964829999981</v>
      </c>
      <c r="CT9" s="565">
        <f t="shared" ref="CT9" si="14">CT43+CT104-CT84</f>
        <v>9046</v>
      </c>
      <c r="CU9" s="566">
        <f t="shared" si="6"/>
        <v>19.139617566000016</v>
      </c>
      <c r="CV9" s="565">
        <f t="shared" si="7"/>
        <v>7498</v>
      </c>
      <c r="CW9" s="566">
        <f t="shared" si="8"/>
        <v>17.375282283000015</v>
      </c>
      <c r="CX9" s="565">
        <f t="shared" si="9"/>
        <v>1548</v>
      </c>
      <c r="CY9" s="566">
        <f t="shared" si="3"/>
        <v>1.7643352830000012</v>
      </c>
    </row>
    <row r="10" spans="1:103" x14ac:dyDescent="0.2">
      <c r="A10" s="561"/>
      <c r="B10" s="567">
        <f t="shared" ref="B10:BM10" si="15">SUM(B5:B9)</f>
        <v>71837</v>
      </c>
      <c r="C10" s="568">
        <f t="shared" si="15"/>
        <v>713242798.96227145</v>
      </c>
      <c r="D10" s="567">
        <f t="shared" si="15"/>
        <v>80170</v>
      </c>
      <c r="E10" s="568">
        <f t="shared" si="15"/>
        <v>731735030.71685076</v>
      </c>
      <c r="F10" s="567">
        <f t="shared" si="15"/>
        <v>101080</v>
      </c>
      <c r="G10" s="568">
        <f t="shared" si="15"/>
        <v>780005984.1389581</v>
      </c>
      <c r="H10" s="567">
        <f t="shared" si="15"/>
        <v>125310</v>
      </c>
      <c r="I10" s="568">
        <f t="shared" si="15"/>
        <v>800122884.03678727</v>
      </c>
      <c r="J10" s="567">
        <f t="shared" si="15"/>
        <v>196040</v>
      </c>
      <c r="K10" s="568">
        <f t="shared" si="15"/>
        <v>1227162084.4848013</v>
      </c>
      <c r="L10" s="567">
        <f t="shared" si="15"/>
        <v>180920</v>
      </c>
      <c r="M10" s="568">
        <f t="shared" si="15"/>
        <v>1256224230.7763381</v>
      </c>
      <c r="N10" s="567">
        <f t="shared" si="15"/>
        <v>134962</v>
      </c>
      <c r="O10" s="568">
        <f t="shared" si="15"/>
        <v>1115311621.7970691</v>
      </c>
      <c r="P10" s="567">
        <f t="shared" si="15"/>
        <v>128890</v>
      </c>
      <c r="Q10" s="568">
        <f t="shared" si="15"/>
        <v>1038740206.9850001</v>
      </c>
      <c r="R10" s="567">
        <f t="shared" si="15"/>
        <v>153751</v>
      </c>
      <c r="S10" s="568">
        <f t="shared" si="15"/>
        <v>1366808556.4828868</v>
      </c>
      <c r="T10" s="567">
        <f t="shared" si="15"/>
        <v>154286</v>
      </c>
      <c r="U10" s="568">
        <f t="shared" si="15"/>
        <v>1354666244.8636332</v>
      </c>
      <c r="V10" s="567">
        <f t="shared" si="15"/>
        <v>98201</v>
      </c>
      <c r="W10" s="568">
        <f t="shared" si="15"/>
        <v>1223739483.8239198</v>
      </c>
      <c r="X10" s="567">
        <f t="shared" si="15"/>
        <v>84912</v>
      </c>
      <c r="Y10" s="568">
        <f t="shared" si="15"/>
        <v>1084978300.3360791</v>
      </c>
      <c r="Z10" s="567">
        <f t="shared" si="15"/>
        <v>83332</v>
      </c>
      <c r="AA10" s="568">
        <f t="shared" si="15"/>
        <v>955762520.33913696</v>
      </c>
      <c r="AB10" s="567">
        <f t="shared" si="15"/>
        <v>91163</v>
      </c>
      <c r="AC10" s="568">
        <f t="shared" si="15"/>
        <v>936304386.51174593</v>
      </c>
      <c r="AD10" s="567">
        <f t="shared" si="15"/>
        <v>120357</v>
      </c>
      <c r="AE10" s="568">
        <f t="shared" si="15"/>
        <v>1180911876.1092541</v>
      </c>
      <c r="AF10" s="567">
        <f t="shared" si="15"/>
        <v>96798</v>
      </c>
      <c r="AG10" s="568">
        <f t="shared" si="15"/>
        <v>1097216848.046283</v>
      </c>
      <c r="AH10" s="567">
        <f t="shared" si="15"/>
        <v>112036</v>
      </c>
      <c r="AI10" s="568">
        <f t="shared" si="15"/>
        <v>1272517531.6721807</v>
      </c>
      <c r="AJ10" s="567">
        <f t="shared" si="15"/>
        <v>107099</v>
      </c>
      <c r="AK10" s="568">
        <f t="shared" si="15"/>
        <v>1296678029.206723</v>
      </c>
      <c r="AL10" s="567">
        <f t="shared" si="15"/>
        <v>83596</v>
      </c>
      <c r="AM10" s="568">
        <f t="shared" si="15"/>
        <v>1034396381.5508765</v>
      </c>
      <c r="AN10" s="567">
        <f t="shared" si="15"/>
        <v>69970</v>
      </c>
      <c r="AO10" s="568">
        <f t="shared" si="15"/>
        <v>888152146.89652169</v>
      </c>
      <c r="AP10" s="567">
        <f t="shared" si="15"/>
        <v>63174</v>
      </c>
      <c r="AQ10" s="568">
        <f t="shared" si="15"/>
        <v>813916375.53652155</v>
      </c>
      <c r="AR10" s="567">
        <f t="shared" si="15"/>
        <v>61598</v>
      </c>
      <c r="AS10" s="568">
        <f t="shared" si="15"/>
        <v>758397270.03999996</v>
      </c>
      <c r="AT10" s="567">
        <f t="shared" si="15"/>
        <v>59325</v>
      </c>
      <c r="AU10" s="568">
        <f t="shared" si="15"/>
        <v>763506158.00999987</v>
      </c>
      <c r="AV10" s="567">
        <f t="shared" si="15"/>
        <v>59090</v>
      </c>
      <c r="AW10" s="568">
        <f t="shared" si="15"/>
        <v>729201368.50999999</v>
      </c>
      <c r="AX10" s="567">
        <f t="shared" si="15"/>
        <v>54903</v>
      </c>
      <c r="AY10" s="568">
        <f t="shared" si="15"/>
        <v>645326379.96936405</v>
      </c>
      <c r="AZ10" s="567">
        <f t="shared" si="15"/>
        <v>49151</v>
      </c>
      <c r="BA10" s="568">
        <f t="shared" si="15"/>
        <v>626158024.10111094</v>
      </c>
      <c r="BB10" s="567">
        <f t="shared" si="15"/>
        <v>46255</v>
      </c>
      <c r="BC10" s="568">
        <f t="shared" si="15"/>
        <v>574026419.17000008</v>
      </c>
      <c r="BD10" s="567">
        <f t="shared" si="15"/>
        <v>44404</v>
      </c>
      <c r="BE10" s="568">
        <f t="shared" si="15"/>
        <v>617921821.55200005</v>
      </c>
      <c r="BF10" s="567">
        <f t="shared" si="15"/>
        <v>88511</v>
      </c>
      <c r="BG10" s="568">
        <f t="shared" si="15"/>
        <v>1162717716.25</v>
      </c>
      <c r="BH10" s="567">
        <f t="shared" si="15"/>
        <v>104085</v>
      </c>
      <c r="BI10" s="568">
        <f t="shared" si="15"/>
        <v>1322747554.885529</v>
      </c>
      <c r="BJ10" s="567">
        <f t="shared" si="15"/>
        <v>103927</v>
      </c>
      <c r="BK10" s="568">
        <f t="shared" si="15"/>
        <v>1338524166.7820008</v>
      </c>
      <c r="BL10" s="567">
        <f t="shared" si="15"/>
        <v>111580</v>
      </c>
      <c r="BM10" s="568">
        <f t="shared" si="15"/>
        <v>1504512511.3000009</v>
      </c>
      <c r="BN10" s="567">
        <f t="shared" ref="BN10:CY10" si="16">SUM(BN5:BN9)</f>
        <v>108847</v>
      </c>
      <c r="BO10" s="568">
        <f t="shared" si="16"/>
        <v>1526819949.52</v>
      </c>
      <c r="BP10" s="567">
        <f t="shared" si="16"/>
        <v>80752</v>
      </c>
      <c r="BQ10" s="568">
        <f t="shared" si="16"/>
        <v>1180068646.2339182</v>
      </c>
      <c r="BR10" s="567">
        <f t="shared" si="16"/>
        <v>81184</v>
      </c>
      <c r="BS10" s="568">
        <f t="shared" si="16"/>
        <v>1141566123.3400002</v>
      </c>
      <c r="BT10" s="567">
        <f t="shared" si="16"/>
        <v>84629</v>
      </c>
      <c r="BU10" s="568">
        <f t="shared" si="16"/>
        <v>1215557804.3699996</v>
      </c>
      <c r="BV10" s="567">
        <f t="shared" si="16"/>
        <v>84282</v>
      </c>
      <c r="BW10" s="568">
        <f t="shared" si="16"/>
        <v>1157027512.0100005</v>
      </c>
      <c r="BX10" s="567">
        <f t="shared" si="16"/>
        <v>77497</v>
      </c>
      <c r="BY10" s="568">
        <f t="shared" si="16"/>
        <v>958178670.80999994</v>
      </c>
      <c r="BZ10" s="567">
        <f t="shared" si="16"/>
        <v>69187</v>
      </c>
      <c r="CA10" s="568">
        <f t="shared" si="16"/>
        <v>801455382.46999991</v>
      </c>
      <c r="CB10" s="567">
        <f t="shared" si="16"/>
        <v>77777</v>
      </c>
      <c r="CC10" s="568">
        <f t="shared" si="16"/>
        <v>987260904.13</v>
      </c>
      <c r="CD10" s="567">
        <f t="shared" si="16"/>
        <v>128877</v>
      </c>
      <c r="CE10" s="568">
        <f t="shared" si="16"/>
        <v>1763953830.2200017</v>
      </c>
      <c r="CF10" s="567">
        <f t="shared" si="16"/>
        <v>139250</v>
      </c>
      <c r="CG10" s="568">
        <f t="shared" si="16"/>
        <v>2064299456.5899997</v>
      </c>
      <c r="CH10" s="567">
        <f t="shared" si="16"/>
        <v>120847</v>
      </c>
      <c r="CI10" s="568">
        <f t="shared" si="16"/>
        <v>1903810858.1100013</v>
      </c>
      <c r="CJ10" s="567">
        <f t="shared" si="16"/>
        <v>124931</v>
      </c>
      <c r="CK10" s="568">
        <f t="shared" si="16"/>
        <v>1904168491.4299998</v>
      </c>
      <c r="CL10" s="567">
        <f t="shared" si="16"/>
        <v>111984</v>
      </c>
      <c r="CM10" s="568">
        <f t="shared" si="16"/>
        <v>1858465907.8200009</v>
      </c>
      <c r="CN10" s="567">
        <f t="shared" si="16"/>
        <v>102492</v>
      </c>
      <c r="CO10" s="568">
        <f t="shared" si="16"/>
        <v>1719045365.3359993</v>
      </c>
      <c r="CP10" s="567">
        <f t="shared" si="16"/>
        <v>54853</v>
      </c>
      <c r="CQ10" s="569">
        <f t="shared" si="16"/>
        <v>122.06345878300003</v>
      </c>
      <c r="CR10" s="567">
        <f t="shared" si="16"/>
        <v>47639</v>
      </c>
      <c r="CS10" s="569">
        <f t="shared" si="16"/>
        <v>49.841077750599872</v>
      </c>
      <c r="CT10" s="570">
        <f t="shared" si="16"/>
        <v>102492</v>
      </c>
      <c r="CU10" s="571">
        <f t="shared" si="16"/>
        <v>171.9045365335999</v>
      </c>
      <c r="CV10" s="570">
        <f t="shared" si="16"/>
        <v>54853</v>
      </c>
      <c r="CW10" s="571">
        <f t="shared" si="16"/>
        <v>122.06345878300003</v>
      </c>
      <c r="CX10" s="570">
        <f t="shared" si="16"/>
        <v>47639</v>
      </c>
      <c r="CY10" s="571">
        <f t="shared" si="16"/>
        <v>49.841077750599858</v>
      </c>
    </row>
    <row r="11" spans="1:103" x14ac:dyDescent="0.2">
      <c r="A11" s="561"/>
      <c r="B11" s="567"/>
      <c r="C11" s="572"/>
      <c r="D11" s="567"/>
      <c r="E11" s="572"/>
      <c r="F11" s="567"/>
      <c r="G11" s="572"/>
      <c r="H11" s="567"/>
      <c r="I11" s="572"/>
      <c r="J11" s="567"/>
      <c r="K11" s="572"/>
      <c r="L11" s="567"/>
      <c r="M11" s="572"/>
      <c r="N11" s="567"/>
      <c r="O11" s="572"/>
      <c r="P11" s="567"/>
      <c r="Q11" s="572"/>
      <c r="R11" s="567"/>
      <c r="S11" s="572"/>
      <c r="T11" s="567"/>
      <c r="U11" s="572"/>
      <c r="V11" s="567"/>
      <c r="W11" s="572"/>
      <c r="X11" s="567"/>
      <c r="Y11" s="572"/>
      <c r="Z11" s="567"/>
      <c r="AA11" s="572"/>
      <c r="AB11" s="567"/>
      <c r="AC11" s="572"/>
      <c r="AD11" s="567"/>
      <c r="AE11" s="572"/>
      <c r="AF11" s="567"/>
      <c r="AG11" s="572"/>
      <c r="AH11" s="567"/>
      <c r="AI11" s="572"/>
      <c r="AJ11" s="567"/>
      <c r="AK11" s="572"/>
      <c r="AL11" s="567"/>
      <c r="AM11" s="572"/>
      <c r="AN11" s="567"/>
      <c r="AO11" s="572"/>
      <c r="AP11" s="567"/>
      <c r="AQ11" s="572"/>
      <c r="AR11" s="567"/>
      <c r="AS11" s="572"/>
      <c r="AT11" s="567"/>
      <c r="AU11" s="572"/>
      <c r="AV11" s="567"/>
      <c r="AW11" s="572"/>
      <c r="AX11" s="567"/>
      <c r="AY11" s="572"/>
      <c r="AZ11" s="567"/>
      <c r="BA11" s="572"/>
      <c r="BB11" s="567"/>
      <c r="BC11" s="572"/>
      <c r="BD11" s="567"/>
      <c r="BE11" s="572"/>
      <c r="BF11" s="567"/>
      <c r="BG11" s="572"/>
      <c r="BH11" s="567"/>
      <c r="BI11" s="572"/>
      <c r="BJ11" s="567"/>
      <c r="BK11" s="572"/>
      <c r="BL11" s="567"/>
      <c r="BM11" s="572"/>
      <c r="BN11" s="567"/>
      <c r="BO11" s="572"/>
      <c r="BP11" s="567"/>
      <c r="BQ11" s="572"/>
      <c r="BR11" s="567"/>
      <c r="BS11" s="572"/>
      <c r="BT11" s="567"/>
      <c r="BU11" s="572"/>
      <c r="BV11" s="567"/>
      <c r="BW11" s="572"/>
      <c r="BX11" s="567"/>
      <c r="BY11" s="572"/>
      <c r="BZ11" s="567"/>
      <c r="CA11" s="572"/>
      <c r="CB11" s="567"/>
      <c r="CC11" s="572"/>
      <c r="CD11" s="567"/>
      <c r="CE11" s="572"/>
      <c r="CF11" s="567"/>
      <c r="CG11" s="572"/>
      <c r="CH11" s="567"/>
      <c r="CI11" s="572"/>
      <c r="CJ11" s="567"/>
      <c r="CK11" s="572"/>
      <c r="CL11" s="567"/>
      <c r="CM11" s="572"/>
      <c r="CN11" s="567"/>
      <c r="CO11" s="572"/>
      <c r="CR11" s="573"/>
    </row>
    <row r="12" spans="1:103" ht="16" customHeight="1" x14ac:dyDescent="0.2">
      <c r="A12" s="556" t="s">
        <v>526</v>
      </c>
      <c r="B12" s="557"/>
      <c r="C12" s="558"/>
      <c r="D12" s="557"/>
      <c r="E12" s="558"/>
      <c r="F12" s="557"/>
      <c r="G12" s="558"/>
      <c r="H12" s="557"/>
      <c r="I12" s="558"/>
      <c r="J12" s="557"/>
      <c r="K12" s="558"/>
      <c r="L12" s="557"/>
      <c r="M12" s="558"/>
      <c r="N12" s="557"/>
      <c r="O12" s="558"/>
      <c r="P12" s="557"/>
      <c r="Q12" s="558"/>
      <c r="R12" s="557"/>
      <c r="S12" s="558"/>
      <c r="T12" s="557"/>
      <c r="U12" s="558"/>
      <c r="V12" s="557"/>
      <c r="W12" s="558"/>
      <c r="X12" s="557"/>
      <c r="Y12" s="558"/>
      <c r="Z12" s="557"/>
      <c r="AA12" s="558"/>
      <c r="AB12" s="557"/>
      <c r="AC12" s="558"/>
      <c r="AD12" s="557"/>
      <c r="AE12" s="558"/>
      <c r="AF12" s="557"/>
      <c r="AG12" s="558"/>
      <c r="AH12" s="557"/>
      <c r="AI12" s="558"/>
      <c r="AJ12" s="557"/>
      <c r="AK12" s="558"/>
      <c r="AL12" s="557"/>
      <c r="AM12" s="558"/>
      <c r="AN12" s="557"/>
      <c r="AO12" s="558"/>
      <c r="AP12" s="557"/>
      <c r="AQ12" s="558"/>
      <c r="AR12" s="557"/>
      <c r="AS12" s="558"/>
      <c r="AT12" s="557"/>
      <c r="AU12" s="558"/>
      <c r="AV12" s="557"/>
      <c r="AW12" s="558"/>
      <c r="AX12" s="557"/>
      <c r="AY12" s="558"/>
      <c r="AZ12" s="557"/>
      <c r="BA12" s="558"/>
      <c r="BB12" s="557"/>
      <c r="BC12" s="558"/>
      <c r="BD12" s="557"/>
      <c r="BE12" s="558"/>
      <c r="BF12" s="557"/>
      <c r="BG12" s="558"/>
      <c r="BH12" s="557"/>
      <c r="BI12" s="558"/>
      <c r="BJ12" s="557"/>
      <c r="BK12" s="558"/>
      <c r="BL12" s="557"/>
      <c r="BM12" s="558"/>
      <c r="BN12" s="557"/>
      <c r="BO12" s="558"/>
      <c r="BP12" s="557"/>
      <c r="BQ12" s="558"/>
      <c r="BR12" s="557"/>
      <c r="BS12" s="558"/>
      <c r="BT12" s="557"/>
      <c r="BU12" s="558"/>
      <c r="BV12" s="557"/>
      <c r="BW12" s="558"/>
      <c r="BX12" s="557"/>
      <c r="BY12" s="558"/>
      <c r="BZ12" s="557"/>
      <c r="CA12" s="558"/>
      <c r="CB12" s="557"/>
      <c r="CC12" s="558"/>
      <c r="CD12" s="557"/>
      <c r="CE12" s="558"/>
      <c r="CF12" s="557"/>
      <c r="CG12" s="558"/>
      <c r="CH12" s="557"/>
      <c r="CI12" s="558"/>
      <c r="CJ12" s="557"/>
      <c r="CK12" s="558"/>
      <c r="CL12" s="557"/>
      <c r="CM12" s="558"/>
      <c r="CN12" s="557"/>
      <c r="CO12" s="558"/>
    </row>
    <row r="13" spans="1:103" x14ac:dyDescent="0.2">
      <c r="A13" s="561" t="s">
        <v>521</v>
      </c>
      <c r="B13" s="562"/>
      <c r="C13" s="563"/>
      <c r="D13" s="562"/>
      <c r="E13" s="563"/>
      <c r="F13" s="562"/>
      <c r="G13" s="563"/>
      <c r="H13" s="562"/>
      <c r="I13" s="563"/>
      <c r="J13" s="562"/>
      <c r="K13" s="563"/>
      <c r="L13" s="562"/>
      <c r="M13" s="563"/>
      <c r="N13" s="562"/>
      <c r="O13" s="563"/>
      <c r="P13" s="562"/>
      <c r="Q13" s="563"/>
      <c r="R13" s="562"/>
      <c r="S13" s="563"/>
      <c r="T13" s="562"/>
      <c r="U13" s="563"/>
      <c r="V13" s="562"/>
      <c r="W13" s="563"/>
      <c r="X13" s="562"/>
      <c r="Y13" s="563"/>
      <c r="Z13" s="562"/>
      <c r="AA13" s="563"/>
      <c r="AB13" s="562"/>
      <c r="AC13" s="563"/>
      <c r="AD13" s="562"/>
      <c r="AE13" s="563"/>
      <c r="AF13" s="562"/>
      <c r="AG13" s="563"/>
      <c r="AH13" s="562"/>
      <c r="AI13" s="563"/>
      <c r="AJ13" s="562"/>
      <c r="AK13" s="563"/>
      <c r="AL13" s="562"/>
      <c r="AM13" s="563"/>
      <c r="AN13" s="562"/>
      <c r="AO13" s="563"/>
      <c r="AP13" s="562"/>
      <c r="AQ13" s="563"/>
      <c r="AR13" s="562"/>
      <c r="AS13" s="563"/>
      <c r="AT13" s="562"/>
      <c r="AU13" s="563"/>
      <c r="AV13" s="562"/>
      <c r="AW13" s="563"/>
      <c r="AX13" s="562"/>
      <c r="AY13" s="563"/>
      <c r="AZ13" s="562"/>
      <c r="BA13" s="563"/>
      <c r="BB13" s="562"/>
      <c r="BC13" s="563"/>
      <c r="BD13" s="562"/>
      <c r="BE13" s="563"/>
      <c r="BF13" s="562"/>
      <c r="BG13" s="563"/>
      <c r="BH13" s="562">
        <f t="shared" ref="BH13:CO17" si="17">BH47+BH108</f>
        <v>1491</v>
      </c>
      <c r="BI13" s="563">
        <f t="shared" si="17"/>
        <v>25697346</v>
      </c>
      <c r="BJ13" s="562">
        <f t="shared" si="17"/>
        <v>1525</v>
      </c>
      <c r="BK13" s="563">
        <f t="shared" si="17"/>
        <v>26693653.899999999</v>
      </c>
      <c r="BL13" s="562">
        <f t="shared" si="17"/>
        <v>1608</v>
      </c>
      <c r="BM13" s="563">
        <f t="shared" si="17"/>
        <v>24399463</v>
      </c>
      <c r="BN13" s="562">
        <f t="shared" si="17"/>
        <v>2206</v>
      </c>
      <c r="BO13" s="563">
        <f t="shared" si="17"/>
        <v>34049923</v>
      </c>
      <c r="BP13" s="562">
        <f t="shared" si="17"/>
        <v>3035</v>
      </c>
      <c r="BQ13" s="563">
        <f t="shared" si="17"/>
        <v>49313870.43</v>
      </c>
      <c r="BR13" s="562">
        <f t="shared" si="17"/>
        <v>4101</v>
      </c>
      <c r="BS13" s="563">
        <f t="shared" si="17"/>
        <v>61867803.54349</v>
      </c>
      <c r="BT13" s="562">
        <f t="shared" si="17"/>
        <v>2798</v>
      </c>
      <c r="BU13" s="563">
        <f t="shared" si="17"/>
        <v>41832971.860319987</v>
      </c>
      <c r="BV13" s="562">
        <f t="shared" si="17"/>
        <v>2294</v>
      </c>
      <c r="BW13" s="563">
        <f t="shared" si="17"/>
        <v>30736812.3294916</v>
      </c>
      <c r="BX13" s="562">
        <f t="shared" si="17"/>
        <v>2968</v>
      </c>
      <c r="BY13" s="563">
        <f t="shared" si="17"/>
        <v>42529693.560000129</v>
      </c>
      <c r="BZ13" s="562">
        <f t="shared" si="17"/>
        <v>5030</v>
      </c>
      <c r="CA13" s="563">
        <f t="shared" si="17"/>
        <v>60031199.617034927</v>
      </c>
      <c r="CB13" s="562">
        <f t="shared" si="17"/>
        <v>5434</v>
      </c>
      <c r="CC13" s="563">
        <f t="shared" si="17"/>
        <v>94992146.730000675</v>
      </c>
      <c r="CD13" s="562">
        <f t="shared" si="17"/>
        <v>3449</v>
      </c>
      <c r="CE13" s="563">
        <f t="shared" si="17"/>
        <v>47624735.590000004</v>
      </c>
      <c r="CF13" s="562">
        <f t="shared" si="17"/>
        <v>5885</v>
      </c>
      <c r="CG13" s="563">
        <f t="shared" si="17"/>
        <v>85015395.269999713</v>
      </c>
      <c r="CH13" s="562">
        <f t="shared" si="17"/>
        <v>5042</v>
      </c>
      <c r="CI13" s="563">
        <f t="shared" si="17"/>
        <v>64728817.110000096</v>
      </c>
      <c r="CJ13" s="562">
        <f t="shared" si="17"/>
        <v>3705</v>
      </c>
      <c r="CK13" s="563">
        <f t="shared" si="17"/>
        <v>66362920.100000039</v>
      </c>
      <c r="CL13" s="562">
        <f t="shared" si="17"/>
        <v>5116</v>
      </c>
      <c r="CM13" s="563">
        <f t="shared" si="17"/>
        <v>88852022.479999363</v>
      </c>
      <c r="CN13" s="562">
        <f t="shared" si="17"/>
        <v>8581</v>
      </c>
      <c r="CO13" s="563">
        <f t="shared" si="17"/>
        <v>148815021.2059997</v>
      </c>
    </row>
    <row r="14" spans="1:103" x14ac:dyDescent="0.2">
      <c r="A14" s="561" t="s">
        <v>522</v>
      </c>
      <c r="B14" s="562"/>
      <c r="C14" s="563"/>
      <c r="D14" s="562"/>
      <c r="E14" s="563"/>
      <c r="F14" s="562"/>
      <c r="G14" s="563"/>
      <c r="H14" s="562"/>
      <c r="I14" s="563"/>
      <c r="J14" s="562"/>
      <c r="K14" s="563"/>
      <c r="L14" s="562"/>
      <c r="M14" s="563"/>
      <c r="N14" s="562"/>
      <c r="O14" s="563"/>
      <c r="P14" s="562"/>
      <c r="Q14" s="563"/>
      <c r="R14" s="562"/>
      <c r="S14" s="563"/>
      <c r="T14" s="562"/>
      <c r="U14" s="563"/>
      <c r="V14" s="562"/>
      <c r="W14" s="563"/>
      <c r="X14" s="562"/>
      <c r="Y14" s="563"/>
      <c r="Z14" s="562"/>
      <c r="AA14" s="563"/>
      <c r="AB14" s="562"/>
      <c r="AC14" s="563"/>
      <c r="AD14" s="562"/>
      <c r="AE14" s="563"/>
      <c r="AF14" s="562"/>
      <c r="AG14" s="563"/>
      <c r="AH14" s="562"/>
      <c r="AI14" s="563"/>
      <c r="AJ14" s="562"/>
      <c r="AK14" s="563"/>
      <c r="AL14" s="562"/>
      <c r="AM14" s="563"/>
      <c r="AN14" s="562"/>
      <c r="AO14" s="563"/>
      <c r="AP14" s="562"/>
      <c r="AQ14" s="563"/>
      <c r="AR14" s="562"/>
      <c r="AS14" s="563"/>
      <c r="AT14" s="562"/>
      <c r="AU14" s="563"/>
      <c r="AV14" s="562"/>
      <c r="AW14" s="563"/>
      <c r="AX14" s="562"/>
      <c r="AY14" s="563"/>
      <c r="AZ14" s="562"/>
      <c r="BA14" s="563"/>
      <c r="BB14" s="562"/>
      <c r="BC14" s="563"/>
      <c r="BD14" s="562"/>
      <c r="BE14" s="563"/>
      <c r="BF14" s="562"/>
      <c r="BG14" s="563"/>
      <c r="BH14" s="562">
        <f t="shared" si="17"/>
        <v>418</v>
      </c>
      <c r="BI14" s="563">
        <f t="shared" si="17"/>
        <v>4515227</v>
      </c>
      <c r="BJ14" s="562">
        <f t="shared" si="17"/>
        <v>392</v>
      </c>
      <c r="BK14" s="563">
        <f t="shared" si="17"/>
        <v>6385285</v>
      </c>
      <c r="BL14" s="562">
        <f t="shared" si="17"/>
        <v>906</v>
      </c>
      <c r="BM14" s="563">
        <f t="shared" si="17"/>
        <v>12714245</v>
      </c>
      <c r="BN14" s="562">
        <f t="shared" si="17"/>
        <v>752</v>
      </c>
      <c r="BO14" s="563">
        <f t="shared" si="17"/>
        <v>9151965.1999999993</v>
      </c>
      <c r="BP14" s="562">
        <f t="shared" si="17"/>
        <v>816</v>
      </c>
      <c r="BQ14" s="563">
        <f t="shared" si="17"/>
        <v>9312071</v>
      </c>
      <c r="BR14" s="562">
        <f t="shared" si="17"/>
        <v>972</v>
      </c>
      <c r="BS14" s="563">
        <f t="shared" si="17"/>
        <v>10469423</v>
      </c>
      <c r="BT14" s="562">
        <f t="shared" si="17"/>
        <v>999</v>
      </c>
      <c r="BU14" s="563">
        <f t="shared" si="17"/>
        <v>13607567</v>
      </c>
      <c r="BV14" s="562">
        <f t="shared" si="17"/>
        <v>1041</v>
      </c>
      <c r="BW14" s="563">
        <f t="shared" si="17"/>
        <v>13650664.516949153</v>
      </c>
      <c r="BX14" s="562">
        <f t="shared" si="17"/>
        <v>1797</v>
      </c>
      <c r="BY14" s="563">
        <f t="shared" si="17"/>
        <v>25987837.579999998</v>
      </c>
      <c r="BZ14" s="562">
        <f t="shared" si="17"/>
        <v>1686</v>
      </c>
      <c r="CA14" s="563">
        <f t="shared" si="17"/>
        <v>19816505.689999983</v>
      </c>
      <c r="CB14" s="562">
        <f t="shared" si="17"/>
        <v>1402</v>
      </c>
      <c r="CC14" s="563">
        <f t="shared" si="17"/>
        <v>19614288.93</v>
      </c>
      <c r="CD14" s="562">
        <f t="shared" si="17"/>
        <v>2704</v>
      </c>
      <c r="CE14" s="563">
        <f t="shared" si="17"/>
        <v>44865255.130000003</v>
      </c>
      <c r="CF14" s="562">
        <f t="shared" si="17"/>
        <v>1650</v>
      </c>
      <c r="CG14" s="563">
        <f t="shared" si="17"/>
        <v>22629828.100000001</v>
      </c>
      <c r="CH14" s="562">
        <f t="shared" si="17"/>
        <v>1894</v>
      </c>
      <c r="CI14" s="563">
        <f t="shared" si="17"/>
        <v>36905049.850000001</v>
      </c>
      <c r="CJ14" s="562">
        <f t="shared" si="17"/>
        <v>1519</v>
      </c>
      <c r="CK14" s="563">
        <f t="shared" si="17"/>
        <v>28676865.659999955</v>
      </c>
      <c r="CL14" s="562">
        <f t="shared" si="17"/>
        <v>3123</v>
      </c>
      <c r="CM14" s="563">
        <f t="shared" si="17"/>
        <v>39730289.880000189</v>
      </c>
      <c r="CN14" s="562">
        <f t="shared" si="17"/>
        <v>2026</v>
      </c>
      <c r="CO14" s="563">
        <f t="shared" si="17"/>
        <v>41480826.820000172</v>
      </c>
    </row>
    <row r="15" spans="1:103" x14ac:dyDescent="0.2">
      <c r="A15" s="561" t="s">
        <v>523</v>
      </c>
      <c r="B15" s="562"/>
      <c r="C15" s="563"/>
      <c r="D15" s="562"/>
      <c r="E15" s="563"/>
      <c r="F15" s="562"/>
      <c r="G15" s="563"/>
      <c r="H15" s="562"/>
      <c r="I15" s="563"/>
      <c r="J15" s="562"/>
      <c r="K15" s="563"/>
      <c r="L15" s="562"/>
      <c r="M15" s="563"/>
      <c r="N15" s="562"/>
      <c r="O15" s="563"/>
      <c r="P15" s="562"/>
      <c r="Q15" s="563"/>
      <c r="R15" s="562"/>
      <c r="S15" s="563"/>
      <c r="T15" s="562"/>
      <c r="U15" s="563"/>
      <c r="V15" s="562"/>
      <c r="W15" s="563"/>
      <c r="X15" s="562"/>
      <c r="Y15" s="563"/>
      <c r="Z15" s="562"/>
      <c r="AA15" s="563"/>
      <c r="AB15" s="562"/>
      <c r="AC15" s="563"/>
      <c r="AD15" s="562"/>
      <c r="AE15" s="563"/>
      <c r="AF15" s="562"/>
      <c r="AG15" s="563"/>
      <c r="AH15" s="562"/>
      <c r="AI15" s="563"/>
      <c r="AJ15" s="562"/>
      <c r="AK15" s="563"/>
      <c r="AL15" s="562"/>
      <c r="AM15" s="563"/>
      <c r="AN15" s="562"/>
      <c r="AO15" s="563"/>
      <c r="AP15" s="562"/>
      <c r="AQ15" s="563"/>
      <c r="AR15" s="562"/>
      <c r="AS15" s="563"/>
      <c r="AT15" s="562"/>
      <c r="AU15" s="563"/>
      <c r="AV15" s="562"/>
      <c r="AW15" s="563"/>
      <c r="AX15" s="562"/>
      <c r="AY15" s="563"/>
      <c r="AZ15" s="562"/>
      <c r="BA15" s="563"/>
      <c r="BB15" s="562"/>
      <c r="BC15" s="563"/>
      <c r="BD15" s="562"/>
      <c r="BE15" s="563"/>
      <c r="BF15" s="562"/>
      <c r="BG15" s="563"/>
      <c r="BH15" s="562">
        <f t="shared" si="17"/>
        <v>517</v>
      </c>
      <c r="BI15" s="563">
        <f t="shared" si="17"/>
        <v>7661576.6299999999</v>
      </c>
      <c r="BJ15" s="562">
        <f t="shared" si="17"/>
        <v>453</v>
      </c>
      <c r="BK15" s="563">
        <f t="shared" si="17"/>
        <v>5511828</v>
      </c>
      <c r="BL15" s="562">
        <f t="shared" si="17"/>
        <v>599</v>
      </c>
      <c r="BM15" s="563">
        <f t="shared" si="17"/>
        <v>8067000</v>
      </c>
      <c r="BN15" s="562">
        <f t="shared" si="17"/>
        <v>860</v>
      </c>
      <c r="BO15" s="563">
        <f t="shared" si="17"/>
        <v>11067022</v>
      </c>
      <c r="BP15" s="562">
        <f t="shared" si="17"/>
        <v>1258</v>
      </c>
      <c r="BQ15" s="563">
        <f t="shared" si="17"/>
        <v>16696408.199999999</v>
      </c>
      <c r="BR15" s="562">
        <f t="shared" si="17"/>
        <v>1262</v>
      </c>
      <c r="BS15" s="563">
        <f t="shared" si="17"/>
        <v>14407878.43</v>
      </c>
      <c r="BT15" s="562">
        <f t="shared" si="17"/>
        <v>1111</v>
      </c>
      <c r="BU15" s="563">
        <f t="shared" si="17"/>
        <v>11144997.105900001</v>
      </c>
      <c r="BV15" s="562">
        <f t="shared" si="17"/>
        <v>865</v>
      </c>
      <c r="BW15" s="563">
        <f t="shared" si="17"/>
        <v>10716802.076271188</v>
      </c>
      <c r="BX15" s="562">
        <f t="shared" si="17"/>
        <v>1233</v>
      </c>
      <c r="BY15" s="563">
        <f t="shared" si="17"/>
        <v>16344222.180000002</v>
      </c>
      <c r="BZ15" s="562">
        <f t="shared" si="17"/>
        <v>2027</v>
      </c>
      <c r="CA15" s="563">
        <f t="shared" si="17"/>
        <v>25947381.859999996</v>
      </c>
      <c r="CB15" s="562">
        <f t="shared" si="17"/>
        <v>2826</v>
      </c>
      <c r="CC15" s="563">
        <f t="shared" si="17"/>
        <v>30594925.870000016</v>
      </c>
      <c r="CD15" s="562">
        <f t="shared" si="17"/>
        <v>2457</v>
      </c>
      <c r="CE15" s="563">
        <f t="shared" si="17"/>
        <v>37893056.989999995</v>
      </c>
      <c r="CF15" s="562">
        <f t="shared" si="17"/>
        <v>2401</v>
      </c>
      <c r="CG15" s="563">
        <f t="shared" si="17"/>
        <v>37454662.939999998</v>
      </c>
      <c r="CH15" s="562">
        <f t="shared" si="17"/>
        <v>2433</v>
      </c>
      <c r="CI15" s="563">
        <f t="shared" si="17"/>
        <v>32592920.169999994</v>
      </c>
      <c r="CJ15" s="562">
        <f t="shared" si="17"/>
        <v>2979</v>
      </c>
      <c r="CK15" s="563">
        <f t="shared" si="17"/>
        <v>43941860.370000005</v>
      </c>
      <c r="CL15" s="562">
        <f t="shared" si="17"/>
        <v>1808</v>
      </c>
      <c r="CM15" s="563">
        <f t="shared" si="17"/>
        <v>35116830.699999981</v>
      </c>
      <c r="CN15" s="562">
        <f t="shared" si="17"/>
        <v>2882</v>
      </c>
      <c r="CO15" s="563">
        <f t="shared" si="17"/>
        <v>45962589.23999989</v>
      </c>
    </row>
    <row r="16" spans="1:103" x14ac:dyDescent="0.2">
      <c r="A16" s="561" t="s">
        <v>524</v>
      </c>
      <c r="B16" s="562"/>
      <c r="C16" s="563"/>
      <c r="D16" s="562"/>
      <c r="E16" s="563"/>
      <c r="F16" s="562"/>
      <c r="G16" s="563"/>
      <c r="H16" s="562"/>
      <c r="I16" s="563"/>
      <c r="J16" s="562"/>
      <c r="K16" s="563"/>
      <c r="L16" s="562"/>
      <c r="M16" s="563"/>
      <c r="N16" s="562"/>
      <c r="O16" s="563"/>
      <c r="P16" s="562"/>
      <c r="Q16" s="563"/>
      <c r="R16" s="562"/>
      <c r="S16" s="563"/>
      <c r="T16" s="562"/>
      <c r="U16" s="563"/>
      <c r="V16" s="562"/>
      <c r="W16" s="563"/>
      <c r="X16" s="562"/>
      <c r="Y16" s="563"/>
      <c r="Z16" s="562"/>
      <c r="AA16" s="563"/>
      <c r="AB16" s="562"/>
      <c r="AC16" s="563"/>
      <c r="AD16" s="562"/>
      <c r="AE16" s="563"/>
      <c r="AF16" s="562"/>
      <c r="AG16" s="563"/>
      <c r="AH16" s="562"/>
      <c r="AI16" s="563"/>
      <c r="AJ16" s="562"/>
      <c r="AK16" s="563"/>
      <c r="AL16" s="562"/>
      <c r="AM16" s="563"/>
      <c r="AN16" s="562"/>
      <c r="AO16" s="563"/>
      <c r="AP16" s="562"/>
      <c r="AQ16" s="563"/>
      <c r="AR16" s="562"/>
      <c r="AS16" s="563"/>
      <c r="AT16" s="562"/>
      <c r="AU16" s="563"/>
      <c r="AV16" s="562"/>
      <c r="AW16" s="563"/>
      <c r="AX16" s="562"/>
      <c r="AY16" s="563"/>
      <c r="AZ16" s="562"/>
      <c r="BA16" s="563"/>
      <c r="BB16" s="562"/>
      <c r="BC16" s="563"/>
      <c r="BD16" s="562"/>
      <c r="BE16" s="563"/>
      <c r="BF16" s="562"/>
      <c r="BG16" s="563"/>
      <c r="BH16" s="562">
        <f t="shared" si="17"/>
        <v>2472</v>
      </c>
      <c r="BI16" s="563">
        <f t="shared" si="17"/>
        <v>48893223.289999999</v>
      </c>
      <c r="BJ16" s="562">
        <f t="shared" si="17"/>
        <v>312</v>
      </c>
      <c r="BK16" s="563">
        <f t="shared" si="17"/>
        <v>4099029.6300000004</v>
      </c>
      <c r="BL16" s="562">
        <f t="shared" si="17"/>
        <v>280</v>
      </c>
      <c r="BM16" s="563">
        <f t="shared" si="17"/>
        <v>3240745</v>
      </c>
      <c r="BN16" s="562">
        <f t="shared" si="17"/>
        <v>365</v>
      </c>
      <c r="BO16" s="563">
        <f t="shared" si="17"/>
        <v>4484158</v>
      </c>
      <c r="BP16" s="562">
        <f t="shared" si="17"/>
        <v>564</v>
      </c>
      <c r="BQ16" s="563">
        <f t="shared" si="17"/>
        <v>7031360</v>
      </c>
      <c r="BR16" s="562">
        <f t="shared" si="17"/>
        <v>904</v>
      </c>
      <c r="BS16" s="563">
        <f t="shared" si="17"/>
        <v>11730585</v>
      </c>
      <c r="BT16" s="562">
        <f t="shared" si="17"/>
        <v>832</v>
      </c>
      <c r="BU16" s="563">
        <f t="shared" si="17"/>
        <v>11099747.661920004</v>
      </c>
      <c r="BV16" s="562">
        <f t="shared" si="17"/>
        <v>465</v>
      </c>
      <c r="BW16" s="563">
        <f t="shared" si="17"/>
        <v>4783433.3120338982</v>
      </c>
      <c r="BX16" s="562">
        <f t="shared" si="17"/>
        <v>343</v>
      </c>
      <c r="BY16" s="563">
        <f t="shared" si="17"/>
        <v>4749293.83</v>
      </c>
      <c r="BZ16" s="562">
        <f t="shared" si="17"/>
        <v>676</v>
      </c>
      <c r="CA16" s="563">
        <f t="shared" si="17"/>
        <v>8711964.3699999992</v>
      </c>
      <c r="CB16" s="562">
        <f t="shared" si="17"/>
        <v>1135</v>
      </c>
      <c r="CC16" s="563">
        <f t="shared" si="17"/>
        <v>15155145.479999986</v>
      </c>
      <c r="CD16" s="562">
        <f t="shared" si="17"/>
        <v>1572</v>
      </c>
      <c r="CE16" s="563">
        <f t="shared" si="17"/>
        <v>17393782.910000015</v>
      </c>
      <c r="CF16" s="562">
        <f t="shared" si="17"/>
        <v>1248</v>
      </c>
      <c r="CG16" s="563">
        <f t="shared" si="17"/>
        <v>19972219.949999988</v>
      </c>
      <c r="CH16" s="562">
        <f t="shared" si="17"/>
        <v>918</v>
      </c>
      <c r="CI16" s="563">
        <f t="shared" si="17"/>
        <v>13318768.1</v>
      </c>
      <c r="CJ16" s="562">
        <f t="shared" si="17"/>
        <v>1479</v>
      </c>
      <c r="CK16" s="563">
        <f t="shared" si="17"/>
        <v>19754483.760000009</v>
      </c>
      <c r="CL16" s="562">
        <f t="shared" si="17"/>
        <v>1184</v>
      </c>
      <c r="CM16" s="563">
        <f t="shared" si="17"/>
        <v>15367211.300000016</v>
      </c>
      <c r="CN16" s="562">
        <f t="shared" si="17"/>
        <v>1047</v>
      </c>
      <c r="CO16" s="563">
        <f t="shared" si="17"/>
        <v>21239500.5</v>
      </c>
    </row>
    <row r="17" spans="1:96" x14ac:dyDescent="0.2">
      <c r="A17" s="561" t="s">
        <v>525</v>
      </c>
      <c r="B17" s="562"/>
      <c r="C17" s="563"/>
      <c r="D17" s="562"/>
      <c r="E17" s="563"/>
      <c r="F17" s="562"/>
      <c r="G17" s="563"/>
      <c r="H17" s="562"/>
      <c r="I17" s="563"/>
      <c r="J17" s="562"/>
      <c r="K17" s="563"/>
      <c r="L17" s="562"/>
      <c r="M17" s="563"/>
      <c r="N17" s="562"/>
      <c r="O17" s="563"/>
      <c r="P17" s="562"/>
      <c r="Q17" s="563"/>
      <c r="R17" s="562"/>
      <c r="S17" s="563"/>
      <c r="T17" s="562"/>
      <c r="U17" s="563"/>
      <c r="V17" s="562"/>
      <c r="W17" s="563"/>
      <c r="X17" s="562"/>
      <c r="Y17" s="563"/>
      <c r="Z17" s="562"/>
      <c r="AA17" s="563"/>
      <c r="AB17" s="562"/>
      <c r="AC17" s="563"/>
      <c r="AD17" s="562"/>
      <c r="AE17" s="563"/>
      <c r="AF17" s="562"/>
      <c r="AG17" s="563"/>
      <c r="AH17" s="562"/>
      <c r="AI17" s="563"/>
      <c r="AJ17" s="562"/>
      <c r="AK17" s="563"/>
      <c r="AL17" s="562"/>
      <c r="AM17" s="563"/>
      <c r="AN17" s="562"/>
      <c r="AO17" s="563"/>
      <c r="AP17" s="562"/>
      <c r="AQ17" s="563"/>
      <c r="AR17" s="562"/>
      <c r="AS17" s="563"/>
      <c r="AT17" s="562"/>
      <c r="AU17" s="563"/>
      <c r="AV17" s="562"/>
      <c r="AW17" s="563"/>
      <c r="AX17" s="562"/>
      <c r="AY17" s="563"/>
      <c r="AZ17" s="562"/>
      <c r="BA17" s="563"/>
      <c r="BB17" s="562"/>
      <c r="BC17" s="563"/>
      <c r="BD17" s="562"/>
      <c r="BE17" s="563"/>
      <c r="BF17" s="562"/>
      <c r="BG17" s="563"/>
      <c r="BH17" s="562">
        <f t="shared" si="17"/>
        <v>1244</v>
      </c>
      <c r="BI17" s="563">
        <f t="shared" si="17"/>
        <v>28892182.129999999</v>
      </c>
      <c r="BJ17" s="562">
        <f t="shared" si="17"/>
        <v>2377</v>
      </c>
      <c r="BK17" s="563">
        <f t="shared" si="17"/>
        <v>50145586.990000002</v>
      </c>
      <c r="BL17" s="562">
        <f t="shared" si="17"/>
        <v>1712</v>
      </c>
      <c r="BM17" s="563">
        <f t="shared" si="17"/>
        <v>35488068.710000001</v>
      </c>
      <c r="BN17" s="562">
        <f t="shared" si="17"/>
        <v>1585</v>
      </c>
      <c r="BO17" s="563">
        <f t="shared" si="17"/>
        <v>31796099.879999999</v>
      </c>
      <c r="BP17" s="562">
        <f t="shared" si="17"/>
        <v>1244</v>
      </c>
      <c r="BQ17" s="563">
        <f t="shared" si="17"/>
        <v>21114554.02</v>
      </c>
      <c r="BR17" s="562">
        <f t="shared" si="17"/>
        <v>1587</v>
      </c>
      <c r="BS17" s="563">
        <f t="shared" si="17"/>
        <v>24094477.02</v>
      </c>
      <c r="BT17" s="562">
        <f t="shared" si="17"/>
        <v>1383</v>
      </c>
      <c r="BU17" s="563">
        <f t="shared" si="17"/>
        <v>19529968.822570004</v>
      </c>
      <c r="BV17" s="562">
        <f t="shared" si="17"/>
        <v>971</v>
      </c>
      <c r="BW17" s="563">
        <f t="shared" si="17"/>
        <v>15108258.943728819</v>
      </c>
      <c r="BX17" s="562">
        <f t="shared" si="17"/>
        <v>710</v>
      </c>
      <c r="BY17" s="563">
        <f t="shared" si="17"/>
        <v>11042611.710000003</v>
      </c>
      <c r="BZ17" s="562">
        <f t="shared" si="17"/>
        <v>550</v>
      </c>
      <c r="CA17" s="563">
        <f t="shared" si="17"/>
        <v>8708927.9409799986</v>
      </c>
      <c r="CB17" s="562">
        <f t="shared" si="17"/>
        <v>741</v>
      </c>
      <c r="CC17" s="563">
        <f t="shared" si="17"/>
        <v>11401599.029999997</v>
      </c>
      <c r="CD17" s="562">
        <f t="shared" si="17"/>
        <v>1246</v>
      </c>
      <c r="CE17" s="563">
        <f t="shared" si="17"/>
        <v>18818061.059999973</v>
      </c>
      <c r="CF17" s="562">
        <f t="shared" si="17"/>
        <v>1327</v>
      </c>
      <c r="CG17" s="563">
        <f t="shared" si="17"/>
        <v>21648370.02999999</v>
      </c>
      <c r="CH17" s="562">
        <f t="shared" si="17"/>
        <v>1290</v>
      </c>
      <c r="CI17" s="563">
        <f t="shared" si="17"/>
        <v>24065351.339999977</v>
      </c>
      <c r="CJ17" s="562">
        <f t="shared" si="17"/>
        <v>1011</v>
      </c>
      <c r="CK17" s="563">
        <f t="shared" si="17"/>
        <v>20450397.799999997</v>
      </c>
      <c r="CL17" s="562">
        <f t="shared" si="17"/>
        <v>863</v>
      </c>
      <c r="CM17" s="563">
        <f t="shared" si="17"/>
        <v>18157718.489999998</v>
      </c>
      <c r="CN17" s="562">
        <f t="shared" si="17"/>
        <v>730</v>
      </c>
      <c r="CO17" s="563">
        <f t="shared" si="17"/>
        <v>13906830.160000006</v>
      </c>
    </row>
    <row r="18" spans="1:96" x14ac:dyDescent="0.2">
      <c r="A18" s="561"/>
      <c r="B18" s="567"/>
      <c r="C18" s="568"/>
      <c r="D18" s="567"/>
      <c r="E18" s="568"/>
      <c r="F18" s="567"/>
      <c r="G18" s="568"/>
      <c r="H18" s="567"/>
      <c r="I18" s="568"/>
      <c r="J18" s="567"/>
      <c r="K18" s="568"/>
      <c r="L18" s="567"/>
      <c r="M18" s="568"/>
      <c r="N18" s="567"/>
      <c r="O18" s="568"/>
      <c r="P18" s="567"/>
      <c r="Q18" s="568"/>
      <c r="R18" s="567"/>
      <c r="S18" s="568"/>
      <c r="T18" s="567"/>
      <c r="U18" s="568"/>
      <c r="V18" s="567"/>
      <c r="W18" s="568"/>
      <c r="X18" s="567"/>
      <c r="Y18" s="568"/>
      <c r="Z18" s="567"/>
      <c r="AA18" s="568"/>
      <c r="AB18" s="567"/>
      <c r="AC18" s="568"/>
      <c r="AD18" s="567"/>
      <c r="AE18" s="568"/>
      <c r="AF18" s="567"/>
      <c r="AG18" s="568"/>
      <c r="AH18" s="567"/>
      <c r="AI18" s="568"/>
      <c r="AJ18" s="567"/>
      <c r="AK18" s="568"/>
      <c r="AL18" s="567"/>
      <c r="AM18" s="568"/>
      <c r="AN18" s="567"/>
      <c r="AO18" s="568"/>
      <c r="AP18" s="567"/>
      <c r="AQ18" s="568"/>
      <c r="AR18" s="567"/>
      <c r="AS18" s="568"/>
      <c r="AT18" s="567"/>
      <c r="AU18" s="568"/>
      <c r="AV18" s="567"/>
      <c r="AW18" s="568"/>
      <c r="AX18" s="567"/>
      <c r="AY18" s="568"/>
      <c r="AZ18" s="567"/>
      <c r="BA18" s="568"/>
      <c r="BB18" s="567"/>
      <c r="BC18" s="568"/>
      <c r="BD18" s="567"/>
      <c r="BE18" s="568"/>
      <c r="BF18" s="567"/>
      <c r="BG18" s="568"/>
      <c r="BH18" s="567">
        <f t="shared" ref="BH18:CO18" si="18">SUM(BH13:BH17)</f>
        <v>6142</v>
      </c>
      <c r="BI18" s="568">
        <f t="shared" si="18"/>
        <v>115659555.05</v>
      </c>
      <c r="BJ18" s="567">
        <f t="shared" si="18"/>
        <v>5059</v>
      </c>
      <c r="BK18" s="568">
        <f t="shared" si="18"/>
        <v>92835383.520000011</v>
      </c>
      <c r="BL18" s="567">
        <f t="shared" si="18"/>
        <v>5105</v>
      </c>
      <c r="BM18" s="568">
        <f t="shared" si="18"/>
        <v>83909521.710000008</v>
      </c>
      <c r="BN18" s="567">
        <f t="shared" si="18"/>
        <v>5768</v>
      </c>
      <c r="BO18" s="568">
        <f t="shared" si="18"/>
        <v>90549168.079999998</v>
      </c>
      <c r="BP18" s="567">
        <f t="shared" si="18"/>
        <v>6917</v>
      </c>
      <c r="BQ18" s="568">
        <f t="shared" si="18"/>
        <v>103468263.64999999</v>
      </c>
      <c r="BR18" s="567">
        <f t="shared" si="18"/>
        <v>8826</v>
      </c>
      <c r="BS18" s="568">
        <f t="shared" si="18"/>
        <v>122570166.99349</v>
      </c>
      <c r="BT18" s="567">
        <f t="shared" si="18"/>
        <v>7123</v>
      </c>
      <c r="BU18" s="568">
        <f t="shared" si="18"/>
        <v>97215252.450709999</v>
      </c>
      <c r="BV18" s="567">
        <f t="shared" si="18"/>
        <v>5636</v>
      </c>
      <c r="BW18" s="568">
        <f t="shared" si="18"/>
        <v>74995971.178474665</v>
      </c>
      <c r="BX18" s="567">
        <f t="shared" si="18"/>
        <v>7051</v>
      </c>
      <c r="BY18" s="568">
        <f t="shared" si="18"/>
        <v>100653658.86000015</v>
      </c>
      <c r="BZ18" s="567">
        <f t="shared" si="18"/>
        <v>9969</v>
      </c>
      <c r="CA18" s="568">
        <f t="shared" si="18"/>
        <v>123215979.47801492</v>
      </c>
      <c r="CB18" s="567">
        <f t="shared" si="18"/>
        <v>11538</v>
      </c>
      <c r="CC18" s="568">
        <f t="shared" si="18"/>
        <v>171758106.04000068</v>
      </c>
      <c r="CD18" s="567">
        <f t="shared" si="18"/>
        <v>11428</v>
      </c>
      <c r="CE18" s="568">
        <f t="shared" si="18"/>
        <v>166594891.67999998</v>
      </c>
      <c r="CF18" s="567">
        <f t="shared" si="18"/>
        <v>12511</v>
      </c>
      <c r="CG18" s="568">
        <f t="shared" si="18"/>
        <v>186720476.28999969</v>
      </c>
      <c r="CH18" s="567">
        <f t="shared" si="18"/>
        <v>11577</v>
      </c>
      <c r="CI18" s="568">
        <f t="shared" si="18"/>
        <v>171610906.57000005</v>
      </c>
      <c r="CJ18" s="567">
        <f t="shared" si="18"/>
        <v>10693</v>
      </c>
      <c r="CK18" s="568">
        <f t="shared" si="18"/>
        <v>179186527.69</v>
      </c>
      <c r="CL18" s="567">
        <f t="shared" si="18"/>
        <v>12094</v>
      </c>
      <c r="CM18" s="568">
        <f t="shared" si="18"/>
        <v>197224072.84999955</v>
      </c>
      <c r="CN18" s="567">
        <f t="shared" si="18"/>
        <v>15266</v>
      </c>
      <c r="CO18" s="568">
        <f t="shared" si="18"/>
        <v>271404767.92599976</v>
      </c>
    </row>
    <row r="19" spans="1:96" x14ac:dyDescent="0.2">
      <c r="A19" s="561"/>
      <c r="B19" s="567"/>
      <c r="C19" s="572"/>
      <c r="D19" s="567"/>
      <c r="E19" s="572"/>
      <c r="F19" s="567"/>
      <c r="G19" s="572"/>
      <c r="H19" s="567"/>
      <c r="I19" s="572"/>
      <c r="J19" s="567"/>
      <c r="K19" s="572"/>
      <c r="L19" s="567"/>
      <c r="M19" s="572"/>
      <c r="N19" s="567"/>
      <c r="O19" s="572"/>
      <c r="P19" s="567"/>
      <c r="Q19" s="572"/>
      <c r="R19" s="567"/>
      <c r="S19" s="572"/>
      <c r="T19" s="567"/>
      <c r="U19" s="572"/>
      <c r="V19" s="567"/>
      <c r="W19" s="572"/>
      <c r="X19" s="567"/>
      <c r="Y19" s="572"/>
      <c r="Z19" s="567"/>
      <c r="AA19" s="572"/>
      <c r="AB19" s="567"/>
      <c r="AC19" s="572"/>
      <c r="AD19" s="567"/>
      <c r="AE19" s="572"/>
      <c r="AF19" s="567"/>
      <c r="AG19" s="572"/>
      <c r="AH19" s="567"/>
      <c r="AI19" s="572"/>
      <c r="AJ19" s="567"/>
      <c r="AK19" s="572"/>
      <c r="AL19" s="567"/>
      <c r="AM19" s="572"/>
      <c r="AN19" s="567"/>
      <c r="AO19" s="572"/>
      <c r="AP19" s="567"/>
      <c r="AQ19" s="572"/>
      <c r="AR19" s="567"/>
      <c r="AS19" s="572"/>
      <c r="AT19" s="567"/>
      <c r="AU19" s="572"/>
      <c r="AV19" s="567"/>
      <c r="AW19" s="572"/>
      <c r="AX19" s="567"/>
      <c r="AY19" s="572"/>
      <c r="AZ19" s="567"/>
      <c r="BA19" s="572"/>
      <c r="BB19" s="567"/>
      <c r="BC19" s="572"/>
      <c r="BD19" s="567"/>
      <c r="BE19" s="572"/>
      <c r="BF19" s="567"/>
      <c r="BG19" s="572"/>
      <c r="BH19" s="567"/>
      <c r="BI19" s="572"/>
      <c r="BJ19" s="567"/>
      <c r="BK19" s="572"/>
      <c r="BL19" s="567"/>
      <c r="BM19" s="572"/>
      <c r="BN19" s="567"/>
      <c r="BO19" s="572"/>
      <c r="BP19" s="567"/>
      <c r="BQ19" s="572"/>
      <c r="BR19" s="567"/>
      <c r="BS19" s="572"/>
      <c r="BT19" s="567"/>
      <c r="BU19" s="572"/>
      <c r="BV19" s="567"/>
      <c r="BW19" s="572"/>
      <c r="BX19" s="567"/>
      <c r="BY19" s="572"/>
      <c r="BZ19" s="567"/>
      <c r="CA19" s="572"/>
      <c r="CB19" s="567"/>
      <c r="CC19" s="572"/>
      <c r="CD19" s="567"/>
      <c r="CE19" s="572"/>
      <c r="CF19" s="567"/>
      <c r="CG19" s="572"/>
      <c r="CH19" s="567"/>
      <c r="CI19" s="572"/>
      <c r="CJ19" s="567"/>
      <c r="CK19" s="572"/>
      <c r="CL19" s="567"/>
      <c r="CM19" s="572"/>
      <c r="CN19" s="567"/>
      <c r="CO19" s="572"/>
      <c r="CQ19" s="574"/>
      <c r="CR19" s="574"/>
    </row>
    <row r="20" spans="1:96" s="577" customFormat="1" x14ac:dyDescent="0.2">
      <c r="A20" s="556" t="s">
        <v>527</v>
      </c>
      <c r="B20" s="575"/>
      <c r="C20" s="576"/>
      <c r="D20" s="575"/>
      <c r="E20" s="576"/>
      <c r="F20" s="575"/>
      <c r="G20" s="576"/>
      <c r="H20" s="575"/>
      <c r="I20" s="576"/>
      <c r="J20" s="575"/>
      <c r="K20" s="576"/>
      <c r="L20" s="575"/>
      <c r="M20" s="576"/>
      <c r="N20" s="575"/>
      <c r="O20" s="576"/>
      <c r="P20" s="575"/>
      <c r="Q20" s="576"/>
      <c r="R20" s="575"/>
      <c r="S20" s="576"/>
      <c r="T20" s="575"/>
      <c r="U20" s="576"/>
      <c r="V20" s="575"/>
      <c r="W20" s="576"/>
      <c r="X20" s="575"/>
      <c r="Y20" s="576"/>
      <c r="Z20" s="575"/>
      <c r="AA20" s="576"/>
      <c r="AB20" s="575"/>
      <c r="AC20" s="576"/>
      <c r="AD20" s="575"/>
      <c r="AE20" s="576"/>
      <c r="AF20" s="575"/>
      <c r="AG20" s="576"/>
      <c r="AH20" s="575"/>
      <c r="AI20" s="576"/>
      <c r="AJ20" s="575"/>
      <c r="AK20" s="576"/>
      <c r="AL20" s="575"/>
      <c r="AM20" s="576"/>
      <c r="AN20" s="575"/>
      <c r="AO20" s="576"/>
      <c r="AP20" s="575"/>
      <c r="AQ20" s="576"/>
      <c r="AR20" s="575"/>
      <c r="AS20" s="576"/>
      <c r="AT20" s="575"/>
      <c r="AU20" s="576"/>
      <c r="AV20" s="575"/>
      <c r="AW20" s="576"/>
      <c r="AX20" s="575"/>
      <c r="AY20" s="576"/>
      <c r="AZ20" s="575"/>
      <c r="BA20" s="576"/>
      <c r="BB20" s="575"/>
      <c r="BC20" s="576"/>
      <c r="BD20" s="575"/>
      <c r="BE20" s="576"/>
      <c r="BF20" s="575"/>
      <c r="BG20" s="572"/>
      <c r="BH20" s="575"/>
      <c r="BI20" s="576"/>
      <c r="BJ20" s="575"/>
      <c r="BK20" s="576"/>
      <c r="BL20" s="575"/>
      <c r="BM20" s="576"/>
      <c r="BN20" s="575"/>
      <c r="BO20" s="576"/>
      <c r="BP20" s="575"/>
      <c r="BQ20" s="576">
        <v>100087923.2478365</v>
      </c>
      <c r="BR20" s="575"/>
      <c r="BS20" s="576">
        <v>102045823.61545862</v>
      </c>
      <c r="BT20" s="575"/>
      <c r="BU20" s="576">
        <v>112349314.63548203</v>
      </c>
      <c r="BV20" s="575"/>
      <c r="BW20" s="576">
        <v>122293350.42431943</v>
      </c>
      <c r="BX20" s="575"/>
      <c r="BY20" s="576">
        <v>131688505.14489904</v>
      </c>
      <c r="BZ20" s="575"/>
      <c r="CA20" s="576">
        <v>164134481.22840211</v>
      </c>
      <c r="CB20" s="575"/>
      <c r="CC20" s="576">
        <v>214569352.82769996</v>
      </c>
      <c r="CD20" s="575"/>
      <c r="CE20" s="576">
        <v>246454225.50227913</v>
      </c>
      <c r="CF20" s="575"/>
      <c r="CG20" s="576">
        <v>291508350.23495656</v>
      </c>
      <c r="CH20" s="575"/>
      <c r="CI20" s="576">
        <v>275752180.88525426</v>
      </c>
      <c r="CJ20" s="575"/>
      <c r="CK20" s="576">
        <v>239813479.89258003</v>
      </c>
      <c r="CL20" s="575"/>
      <c r="CM20" s="576">
        <v>238556405.97425792</v>
      </c>
      <c r="CN20" s="575"/>
      <c r="CO20" s="576">
        <v>226092383.46637967</v>
      </c>
      <c r="CQ20" s="578"/>
      <c r="CR20" s="578"/>
    </row>
    <row r="21" spans="1:96" s="577" customFormat="1" x14ac:dyDescent="0.2">
      <c r="A21" s="556"/>
      <c r="B21" s="575"/>
      <c r="C21" s="576"/>
      <c r="D21" s="575"/>
      <c r="E21" s="576"/>
      <c r="F21" s="575"/>
      <c r="G21" s="576"/>
      <c r="H21" s="575"/>
      <c r="I21" s="576"/>
      <c r="J21" s="575"/>
      <c r="K21" s="576"/>
      <c r="L21" s="575"/>
      <c r="M21" s="576"/>
      <c r="N21" s="575"/>
      <c r="O21" s="576"/>
      <c r="P21" s="575"/>
      <c r="Q21" s="576"/>
      <c r="R21" s="575"/>
      <c r="S21" s="576"/>
      <c r="T21" s="575"/>
      <c r="U21" s="576"/>
      <c r="V21" s="575"/>
      <c r="W21" s="576"/>
      <c r="X21" s="575"/>
      <c r="Y21" s="576"/>
      <c r="Z21" s="575"/>
      <c r="AA21" s="576"/>
      <c r="AB21" s="575"/>
      <c r="AC21" s="576"/>
      <c r="AD21" s="575"/>
      <c r="AE21" s="576"/>
      <c r="AF21" s="575"/>
      <c r="AG21" s="576"/>
      <c r="AH21" s="575"/>
      <c r="AI21" s="576"/>
      <c r="AJ21" s="575"/>
      <c r="AK21" s="576"/>
      <c r="AL21" s="575"/>
      <c r="AM21" s="576"/>
      <c r="AN21" s="575"/>
      <c r="AO21" s="576"/>
      <c r="AP21" s="575"/>
      <c r="AQ21" s="576"/>
      <c r="AR21" s="575"/>
      <c r="AS21" s="576"/>
      <c r="AT21" s="575"/>
      <c r="AU21" s="576"/>
      <c r="AV21" s="575"/>
      <c r="AW21" s="576"/>
      <c r="AX21" s="575"/>
      <c r="AY21" s="576"/>
      <c r="AZ21" s="575"/>
      <c r="BA21" s="576"/>
      <c r="BB21" s="575"/>
      <c r="BC21" s="576"/>
      <c r="BD21" s="575"/>
      <c r="BE21" s="576"/>
      <c r="BF21" s="575"/>
      <c r="BG21" s="572"/>
      <c r="BH21" s="575"/>
      <c r="BI21" s="576"/>
      <c r="BJ21" s="575"/>
      <c r="BK21" s="576"/>
      <c r="BL21" s="575"/>
      <c r="BM21" s="576"/>
      <c r="BN21" s="575"/>
      <c r="BO21" s="576"/>
      <c r="BP21" s="575"/>
      <c r="BQ21" s="576"/>
      <c r="BR21" s="575"/>
      <c r="BS21" s="576"/>
      <c r="BT21" s="575"/>
      <c r="BU21" s="576"/>
      <c r="BV21" s="575"/>
      <c r="BW21" s="576"/>
      <c r="BX21" s="575"/>
      <c r="BY21" s="576"/>
      <c r="BZ21" s="575"/>
      <c r="CA21" s="576"/>
      <c r="CB21" s="575"/>
      <c r="CC21" s="576"/>
      <c r="CD21" s="575"/>
      <c r="CE21" s="576"/>
      <c r="CF21" s="575"/>
      <c r="CG21" s="576"/>
      <c r="CH21" s="575"/>
      <c r="CI21" s="576"/>
      <c r="CJ21" s="575"/>
      <c r="CK21" s="576"/>
      <c r="CL21" s="575"/>
      <c r="CM21" s="576"/>
      <c r="CN21" s="575"/>
      <c r="CO21" s="576"/>
      <c r="CQ21" s="578"/>
      <c r="CR21" s="578"/>
    </row>
    <row r="22" spans="1:96" x14ac:dyDescent="0.2">
      <c r="A22" s="579" t="s">
        <v>528</v>
      </c>
      <c r="B22" s="580"/>
      <c r="C22" s="581"/>
      <c r="D22" s="580"/>
      <c r="E22" s="581"/>
      <c r="F22" s="580"/>
      <c r="G22" s="581"/>
      <c r="H22" s="580"/>
      <c r="I22" s="581"/>
      <c r="J22" s="580"/>
      <c r="K22" s="581"/>
      <c r="L22" s="580"/>
      <c r="M22" s="581"/>
      <c r="N22" s="580"/>
      <c r="O22" s="581"/>
      <c r="P22" s="580"/>
      <c r="Q22" s="581"/>
      <c r="R22" s="580"/>
      <c r="S22" s="581"/>
      <c r="T22" s="580"/>
      <c r="U22" s="581"/>
      <c r="V22" s="580"/>
      <c r="W22" s="581"/>
      <c r="X22" s="580"/>
      <c r="Y22" s="581"/>
      <c r="Z22" s="580"/>
      <c r="AA22" s="581"/>
      <c r="AB22" s="580"/>
      <c r="AC22" s="581"/>
      <c r="AD22" s="580"/>
      <c r="AE22" s="581"/>
      <c r="AF22" s="580"/>
      <c r="AG22" s="581"/>
      <c r="AH22" s="580"/>
      <c r="AI22" s="581"/>
      <c r="AJ22" s="580"/>
      <c r="AK22" s="581"/>
      <c r="AL22" s="580"/>
      <c r="AM22" s="581"/>
      <c r="AN22" s="580"/>
      <c r="AO22" s="581"/>
      <c r="AP22" s="580"/>
      <c r="AQ22" s="581"/>
      <c r="AR22" s="580"/>
      <c r="AS22" s="581"/>
      <c r="AT22" s="580"/>
      <c r="AU22" s="581"/>
      <c r="AV22" s="580"/>
      <c r="AW22" s="581"/>
      <c r="AX22" s="580"/>
      <c r="AY22" s="581"/>
      <c r="AZ22" s="580"/>
      <c r="BA22" s="581"/>
      <c r="BB22" s="580"/>
      <c r="BC22" s="581"/>
      <c r="BD22" s="580"/>
      <c r="BE22" s="581"/>
      <c r="BF22" s="580"/>
      <c r="BG22" s="582"/>
      <c r="BH22" s="580"/>
      <c r="BI22" s="581"/>
      <c r="BJ22" s="580"/>
      <c r="BK22" s="581"/>
      <c r="BL22" s="580"/>
      <c r="BM22" s="581"/>
      <c r="BN22" s="580"/>
      <c r="BO22" s="581"/>
      <c r="BP22" s="580"/>
      <c r="BQ22" s="581">
        <f>BQ20+BQ18+BQ10</f>
        <v>1383624833.1317546</v>
      </c>
      <c r="BR22" s="580"/>
      <c r="BS22" s="581">
        <f>BS20+BS18+BS10</f>
        <v>1366182113.9489489</v>
      </c>
      <c r="BT22" s="580"/>
      <c r="BU22" s="581">
        <f>BU20+BU18+BU10</f>
        <v>1425122371.4561915</v>
      </c>
      <c r="BV22" s="580"/>
      <c r="BW22" s="581">
        <f>BW20+BW18+BW10</f>
        <v>1354316833.6127946</v>
      </c>
      <c r="BX22" s="580"/>
      <c r="BY22" s="581">
        <f>BY20+BY18+BY10</f>
        <v>1190520834.8148992</v>
      </c>
      <c r="BZ22" s="580"/>
      <c r="CA22" s="581">
        <f>CA20+CA18+CA10</f>
        <v>1088805843.1764169</v>
      </c>
      <c r="CB22" s="580"/>
      <c r="CC22" s="581">
        <f>CC20+CC18+CC10</f>
        <v>1373588362.9977007</v>
      </c>
      <c r="CD22" s="580"/>
      <c r="CE22" s="581">
        <f>CE20+CE18+CE10</f>
        <v>2177002947.4022808</v>
      </c>
      <c r="CF22" s="580"/>
      <c r="CG22" s="581">
        <f>CG20+CG18+CG10</f>
        <v>2542528283.1149559</v>
      </c>
      <c r="CH22" s="580"/>
      <c r="CI22" s="581">
        <f>CI20+CI18+CI10</f>
        <v>2351173945.5652556</v>
      </c>
      <c r="CJ22" s="580"/>
      <c r="CK22" s="581">
        <f>CK20+CK18+CK10</f>
        <v>2323168499.0125799</v>
      </c>
      <c r="CL22" s="580"/>
      <c r="CM22" s="581">
        <f>CM20+CM18+CM10</f>
        <v>2294246386.6442585</v>
      </c>
      <c r="CN22" s="580"/>
      <c r="CO22" s="581">
        <f>CO20+CO18+CO10</f>
        <v>2216542516.7283788</v>
      </c>
      <c r="CQ22" s="573"/>
      <c r="CR22" s="573"/>
    </row>
    <row r="23" spans="1:96" x14ac:dyDescent="0.2">
      <c r="A23" s="583"/>
      <c r="B23" s="584"/>
      <c r="C23" s="585"/>
      <c r="D23" s="584"/>
      <c r="E23" s="585"/>
      <c r="F23" s="584"/>
      <c r="G23" s="585"/>
      <c r="H23" s="584"/>
      <c r="I23" s="585"/>
      <c r="J23" s="584"/>
      <c r="K23" s="585"/>
      <c r="L23" s="584"/>
      <c r="M23" s="585"/>
      <c r="N23" s="584"/>
      <c r="O23" s="585"/>
      <c r="P23" s="584"/>
      <c r="Q23" s="585"/>
      <c r="R23" s="584"/>
      <c r="S23" s="585"/>
      <c r="T23" s="584"/>
      <c r="U23" s="585"/>
      <c r="V23" s="584"/>
      <c r="W23" s="585"/>
      <c r="X23" s="584"/>
      <c r="Y23" s="585"/>
      <c r="Z23" s="584"/>
      <c r="AA23" s="585"/>
      <c r="AB23" s="584"/>
      <c r="AC23" s="585"/>
      <c r="AD23" s="584"/>
      <c r="AE23" s="585"/>
      <c r="AF23" s="584"/>
      <c r="AG23" s="585"/>
      <c r="AH23" s="584"/>
      <c r="AI23" s="585"/>
      <c r="AJ23" s="584"/>
      <c r="AK23" s="585"/>
      <c r="AL23" s="584"/>
      <c r="AM23" s="585"/>
      <c r="AN23" s="584"/>
      <c r="AO23" s="585"/>
      <c r="AP23" s="584"/>
      <c r="AQ23" s="585"/>
      <c r="AR23" s="584"/>
      <c r="AS23" s="585"/>
      <c r="AT23" s="584"/>
      <c r="AU23" s="585"/>
      <c r="AV23" s="584"/>
      <c r="AW23" s="585"/>
      <c r="AX23" s="584"/>
      <c r="AY23" s="585"/>
      <c r="AZ23" s="584"/>
      <c r="BA23" s="585"/>
      <c r="BB23" s="584"/>
      <c r="BC23" s="585"/>
      <c r="BD23" s="584"/>
      <c r="BE23" s="585">
        <v>0</v>
      </c>
      <c r="BF23" s="584"/>
      <c r="BG23" s="563">
        <v>-0.30000001192092896</v>
      </c>
      <c r="BH23" s="584"/>
      <c r="BI23" s="585">
        <v>0.70552898943424225</v>
      </c>
      <c r="BJ23" s="584"/>
      <c r="BK23" s="585">
        <v>0.83200083673000336</v>
      </c>
      <c r="BL23" s="584"/>
      <c r="BM23" s="585">
        <v>1.6800010204315186</v>
      </c>
      <c r="BN23" s="584"/>
      <c r="BO23" s="585">
        <v>0.67000000178813934</v>
      </c>
      <c r="BP23" s="584"/>
      <c r="BQ23" s="585">
        <v>-0.72608184814453125</v>
      </c>
      <c r="BR23" s="584"/>
      <c r="BS23" s="585">
        <v>-0.18650978803634644</v>
      </c>
      <c r="BT23" s="584"/>
      <c r="BU23" s="585">
        <v>-0.37929034233093262</v>
      </c>
      <c r="BV23" s="584">
        <v>0</v>
      </c>
      <c r="BW23" s="585">
        <v>-0.49152509868144989</v>
      </c>
      <c r="BX23" s="584">
        <v>0</v>
      </c>
      <c r="BY23" s="585">
        <v>-0.31000000238418579</v>
      </c>
      <c r="BZ23" s="584">
        <v>0</v>
      </c>
      <c r="CA23" s="585">
        <v>-5.1985114812850952E-2</v>
      </c>
      <c r="CB23" s="584">
        <v>0</v>
      </c>
      <c r="CC23" s="585">
        <v>-0.42999958992004395</v>
      </c>
      <c r="CD23" s="584">
        <v>0</v>
      </c>
      <c r="CE23" s="585">
        <v>0.3299916535615921</v>
      </c>
      <c r="CF23" s="584">
        <v>0</v>
      </c>
      <c r="CG23" s="585">
        <v>-0.15000098943710327</v>
      </c>
      <c r="CH23" s="584">
        <v>0</v>
      </c>
      <c r="CI23" s="585">
        <v>0.3000011146068573</v>
      </c>
      <c r="CJ23" s="584">
        <v>0</v>
      </c>
      <c r="CK23" s="585">
        <v>-0.1500149667263031</v>
      </c>
      <c r="CL23" s="584">
        <v>0</v>
      </c>
      <c r="CM23" s="585">
        <v>-0.11000010371208191</v>
      </c>
      <c r="CN23" s="584">
        <v>0</v>
      </c>
      <c r="CO23" s="585">
        <v>0.13999980688095093</v>
      </c>
      <c r="CQ23" s="573"/>
      <c r="CR23" s="573"/>
    </row>
    <row r="24" spans="1:96" ht="16" thickBot="1" x14ac:dyDescent="0.25">
      <c r="A24" s="586"/>
      <c r="B24" s="587"/>
      <c r="C24" s="588"/>
      <c r="D24" s="587"/>
      <c r="E24" s="588"/>
      <c r="F24" s="587"/>
      <c r="G24" s="588"/>
      <c r="H24" s="587"/>
      <c r="I24" s="588"/>
      <c r="J24" s="587"/>
      <c r="K24" s="588"/>
      <c r="L24" s="587"/>
      <c r="M24" s="588"/>
      <c r="N24" s="587"/>
      <c r="O24" s="588"/>
      <c r="P24" s="587"/>
      <c r="Q24" s="588"/>
      <c r="R24" s="587"/>
      <c r="S24" s="588"/>
      <c r="T24" s="587"/>
      <c r="U24" s="588"/>
      <c r="V24" s="587"/>
      <c r="W24" s="588"/>
      <c r="X24" s="587"/>
      <c r="Y24" s="588"/>
      <c r="Z24" s="587"/>
      <c r="AA24" s="588"/>
      <c r="AB24" s="587"/>
      <c r="AC24" s="588"/>
      <c r="AD24" s="587"/>
      <c r="AE24" s="588"/>
      <c r="AF24" s="587"/>
      <c r="AG24" s="588"/>
      <c r="AH24" s="587"/>
      <c r="AI24" s="588"/>
      <c r="AJ24" s="587"/>
      <c r="AK24" s="588"/>
      <c r="AL24" s="587"/>
      <c r="AM24" s="588"/>
      <c r="AN24" s="587"/>
      <c r="AO24" s="588"/>
      <c r="AP24" s="587"/>
      <c r="AQ24" s="588"/>
      <c r="AR24" s="587"/>
      <c r="AS24" s="588"/>
      <c r="AT24" s="587"/>
      <c r="AU24" s="588"/>
      <c r="AV24" s="587"/>
      <c r="AW24" s="588"/>
      <c r="AX24" s="587"/>
      <c r="AY24" s="588"/>
      <c r="AZ24" s="587"/>
      <c r="BA24" s="588"/>
      <c r="BB24" s="587"/>
      <c r="BC24" s="588"/>
      <c r="BD24" s="587"/>
      <c r="BE24" s="588"/>
      <c r="BF24" s="587"/>
      <c r="BG24" s="588"/>
      <c r="BH24" s="587"/>
      <c r="BI24" s="588"/>
      <c r="BJ24" s="587"/>
      <c r="BK24" s="588"/>
      <c r="BL24" s="587"/>
      <c r="BM24" s="588"/>
      <c r="BN24" s="587"/>
      <c r="BO24" s="588"/>
      <c r="BP24" s="587"/>
      <c r="BQ24" s="588"/>
      <c r="BR24" s="587"/>
      <c r="BS24" s="588"/>
      <c r="BT24" s="587"/>
      <c r="BU24" s="588"/>
      <c r="BV24" s="587"/>
      <c r="BW24" s="588"/>
      <c r="BX24" s="587"/>
      <c r="BY24" s="588"/>
      <c r="BZ24" s="587"/>
      <c r="CA24" s="588"/>
      <c r="CB24" s="587"/>
      <c r="CC24" s="588"/>
      <c r="CD24" s="587"/>
      <c r="CE24" s="588"/>
      <c r="CF24" s="587"/>
      <c r="CG24" s="588"/>
      <c r="CH24" s="587"/>
      <c r="CI24" s="588"/>
      <c r="CJ24" s="587"/>
      <c r="CK24" s="588"/>
      <c r="CL24" s="587"/>
      <c r="CM24" s="588"/>
      <c r="CN24" s="587"/>
      <c r="CO24" s="588"/>
      <c r="CQ24" s="573"/>
      <c r="CR24" s="573"/>
    </row>
    <row r="25" spans="1:96" x14ac:dyDescent="0.2">
      <c r="A25" s="583"/>
      <c r="B25" s="584"/>
      <c r="C25" s="585"/>
      <c r="D25" s="584"/>
      <c r="E25" s="585"/>
      <c r="F25" s="584"/>
      <c r="G25" s="585"/>
      <c r="H25" s="584"/>
      <c r="I25" s="585"/>
      <c r="J25" s="584"/>
      <c r="K25" s="585"/>
      <c r="L25" s="584"/>
      <c r="M25" s="585"/>
      <c r="N25" s="584"/>
      <c r="O25" s="585"/>
      <c r="P25" s="584"/>
      <c r="Q25" s="585"/>
      <c r="R25" s="584"/>
      <c r="S25" s="585"/>
      <c r="T25" s="584"/>
      <c r="U25" s="585"/>
      <c r="V25" s="584"/>
      <c r="W25" s="585"/>
      <c r="X25" s="584"/>
      <c r="Y25" s="585"/>
      <c r="Z25" s="584"/>
      <c r="AA25" s="585"/>
      <c r="AB25" s="584"/>
      <c r="AC25" s="585"/>
      <c r="AD25" s="584"/>
      <c r="AE25" s="585"/>
      <c r="AF25" s="584"/>
      <c r="AG25" s="585"/>
      <c r="AH25" s="584"/>
      <c r="AI25" s="585"/>
      <c r="AJ25" s="584"/>
      <c r="AK25" s="585"/>
      <c r="AL25" s="584"/>
      <c r="AM25" s="585"/>
      <c r="AN25" s="584"/>
      <c r="AO25" s="585"/>
      <c r="AP25" s="584"/>
      <c r="AQ25" s="585"/>
      <c r="AR25" s="584"/>
      <c r="AS25" s="585"/>
      <c r="AT25" s="584"/>
      <c r="AU25" s="585"/>
      <c r="AV25" s="584"/>
      <c r="AW25" s="585"/>
      <c r="AX25" s="584"/>
      <c r="AY25" s="585"/>
      <c r="AZ25" s="584"/>
      <c r="BA25" s="585"/>
      <c r="BB25" s="584"/>
      <c r="BC25" s="585"/>
      <c r="BD25" s="584"/>
      <c r="BE25" s="585"/>
      <c r="BF25" s="584"/>
      <c r="BG25" s="585"/>
      <c r="BH25" s="584"/>
      <c r="BI25" s="585"/>
      <c r="BJ25" s="584"/>
      <c r="BK25" s="585"/>
      <c r="BL25" s="584"/>
      <c r="BM25" s="585"/>
      <c r="BN25" s="584"/>
      <c r="BO25" s="585"/>
      <c r="BP25" s="584"/>
      <c r="BQ25" s="585"/>
      <c r="BR25" s="584"/>
      <c r="BS25" s="585"/>
      <c r="BT25" s="584"/>
      <c r="BU25" s="585"/>
      <c r="BV25" s="584"/>
      <c r="BW25" s="585"/>
      <c r="BX25" s="584"/>
      <c r="BY25" s="585"/>
      <c r="BZ25" s="584"/>
      <c r="CA25" s="585"/>
      <c r="CB25" s="584"/>
      <c r="CC25" s="585"/>
      <c r="CD25" s="584"/>
      <c r="CE25" s="585"/>
      <c r="CF25" s="584"/>
      <c r="CG25" s="585"/>
      <c r="CH25" s="584"/>
      <c r="CI25" s="585"/>
      <c r="CJ25" s="584"/>
      <c r="CK25" s="585"/>
      <c r="CL25" s="584"/>
      <c r="CM25" s="585"/>
      <c r="CN25" s="584"/>
      <c r="CO25" s="585"/>
      <c r="CQ25" s="573"/>
      <c r="CR25" s="573"/>
    </row>
    <row r="26" spans="1:96" x14ac:dyDescent="0.2">
      <c r="A26" s="583" t="s">
        <v>529</v>
      </c>
      <c r="B26" s="584"/>
      <c r="C26" s="585"/>
      <c r="D26" s="584"/>
      <c r="E26" s="585"/>
      <c r="F26" s="584"/>
      <c r="G26" s="585"/>
      <c r="H26" s="584"/>
      <c r="I26" s="585"/>
      <c r="J26" s="584"/>
      <c r="K26" s="585"/>
      <c r="L26" s="584"/>
      <c r="M26" s="585"/>
      <c r="N26" s="584"/>
      <c r="O26" s="585"/>
      <c r="P26" s="584"/>
      <c r="Q26" s="585"/>
      <c r="R26" s="584"/>
      <c r="S26" s="585"/>
      <c r="T26" s="584"/>
      <c r="U26" s="585">
        <v>878434844.0800004</v>
      </c>
      <c r="V26" s="584"/>
      <c r="W26" s="585"/>
      <c r="X26" s="584"/>
      <c r="Y26" s="585"/>
      <c r="Z26" s="584"/>
      <c r="AA26" s="585"/>
      <c r="AB26" s="584"/>
      <c r="AC26" s="585"/>
      <c r="AD26" s="584"/>
      <c r="AE26" s="585"/>
      <c r="AF26" s="584"/>
      <c r="AG26" s="585"/>
      <c r="AH26" s="584"/>
      <c r="AI26" s="585"/>
      <c r="AJ26" s="584"/>
      <c r="AK26" s="585"/>
      <c r="AL26" s="584"/>
      <c r="AM26" s="585"/>
      <c r="AN26" s="584"/>
      <c r="AO26" s="585"/>
      <c r="AP26" s="584"/>
      <c r="AQ26" s="585"/>
      <c r="AR26" s="584"/>
      <c r="AS26" s="585"/>
      <c r="AT26" s="584"/>
      <c r="AU26" s="585"/>
      <c r="AV26" s="584"/>
      <c r="AW26" s="585"/>
      <c r="AX26" s="584"/>
      <c r="AY26" s="585"/>
      <c r="AZ26" s="584"/>
      <c r="BA26" s="585"/>
      <c r="BB26" s="584"/>
      <c r="BC26" s="585"/>
      <c r="BD26" s="584"/>
      <c r="BE26" s="585"/>
      <c r="BF26" s="584"/>
      <c r="BG26" s="585"/>
      <c r="BH26" s="584"/>
      <c r="BI26" s="585"/>
      <c r="BJ26" s="584"/>
      <c r="BK26" s="585"/>
      <c r="BL26" s="584"/>
      <c r="BM26" s="585"/>
      <c r="BN26" s="584"/>
      <c r="BO26" s="585"/>
      <c r="BP26" s="584"/>
      <c r="BQ26" s="585"/>
      <c r="BR26" s="584"/>
      <c r="BS26" s="585"/>
      <c r="BT26" s="584"/>
      <c r="BU26" s="585"/>
      <c r="BV26" s="584"/>
      <c r="BW26" s="585"/>
      <c r="BX26" s="584"/>
      <c r="BY26" s="585"/>
      <c r="BZ26" s="584"/>
      <c r="CA26" s="585"/>
      <c r="CB26" s="584"/>
      <c r="CC26" s="585"/>
      <c r="CD26" s="584"/>
      <c r="CE26" s="585"/>
      <c r="CF26" s="584"/>
      <c r="CG26" s="585"/>
      <c r="CH26" s="584"/>
      <c r="CI26" s="585"/>
      <c r="CJ26" s="584"/>
      <c r="CK26" s="585"/>
      <c r="CL26" s="584"/>
      <c r="CM26" s="585"/>
      <c r="CN26" s="584"/>
      <c r="CO26" s="585"/>
    </row>
    <row r="27" spans="1:96" outlineLevel="1" x14ac:dyDescent="0.2">
      <c r="A27" s="561" t="s">
        <v>5</v>
      </c>
      <c r="B27" s="584">
        <f t="shared" ref="B27:BM27" si="19">B35</f>
        <v>55291</v>
      </c>
      <c r="C27" s="589">
        <f t="shared" si="19"/>
        <v>395742969.74226999</v>
      </c>
      <c r="D27" s="584">
        <f t="shared" si="19"/>
        <v>60766</v>
      </c>
      <c r="E27" s="589">
        <f t="shared" si="19"/>
        <v>411000277.30214936</v>
      </c>
      <c r="F27" s="584">
        <f t="shared" si="19"/>
        <v>79340</v>
      </c>
      <c r="G27" s="589">
        <f t="shared" si="19"/>
        <v>477341427.6274994</v>
      </c>
      <c r="H27" s="584">
        <f t="shared" si="19"/>
        <v>73434</v>
      </c>
      <c r="I27" s="589">
        <f t="shared" si="19"/>
        <v>485823193.85249972</v>
      </c>
      <c r="J27" s="584">
        <f t="shared" si="19"/>
        <v>139176</v>
      </c>
      <c r="K27" s="589">
        <f t="shared" si="19"/>
        <v>920005688.70500135</v>
      </c>
      <c r="L27" s="584">
        <f t="shared" si="19"/>
        <v>125731</v>
      </c>
      <c r="M27" s="589">
        <f t="shared" si="19"/>
        <v>915413460.81250048</v>
      </c>
      <c r="N27" s="584">
        <f t="shared" si="19"/>
        <v>80050</v>
      </c>
      <c r="O27" s="589">
        <f t="shared" si="19"/>
        <v>723058494.94999993</v>
      </c>
      <c r="P27" s="584">
        <f t="shared" si="19"/>
        <v>70857</v>
      </c>
      <c r="Q27" s="589">
        <f t="shared" si="19"/>
        <v>638398829.98499978</v>
      </c>
      <c r="R27" s="584">
        <f t="shared" si="19"/>
        <v>87098</v>
      </c>
      <c r="S27" s="589">
        <f t="shared" si="19"/>
        <v>784235340.24000001</v>
      </c>
      <c r="T27" s="584">
        <f t="shared" si="19"/>
        <v>81993</v>
      </c>
      <c r="U27" s="589">
        <f t="shared" si="19"/>
        <v>779435422.0800004</v>
      </c>
      <c r="V27" s="584">
        <f t="shared" si="19"/>
        <v>66141</v>
      </c>
      <c r="W27" s="589">
        <f t="shared" si="19"/>
        <v>636633238.94000018</v>
      </c>
      <c r="X27" s="584">
        <f t="shared" si="19"/>
        <v>50748</v>
      </c>
      <c r="Y27" s="589">
        <f t="shared" si="19"/>
        <v>524100494.9000001</v>
      </c>
      <c r="Z27" s="584">
        <f t="shared" si="19"/>
        <v>58254</v>
      </c>
      <c r="AA27" s="589">
        <f t="shared" si="19"/>
        <v>535930308.44999981</v>
      </c>
      <c r="AB27" s="584">
        <f t="shared" si="19"/>
        <v>66575</v>
      </c>
      <c r="AC27" s="589">
        <f t="shared" si="19"/>
        <v>555914840.12000036</v>
      </c>
      <c r="AD27" s="584">
        <f t="shared" si="19"/>
        <v>97353</v>
      </c>
      <c r="AE27" s="589">
        <f t="shared" si="19"/>
        <v>826264910.74620306</v>
      </c>
      <c r="AF27" s="584">
        <f t="shared" si="19"/>
        <v>75139</v>
      </c>
      <c r="AG27" s="589">
        <f t="shared" si="19"/>
        <v>745213176.60279751</v>
      </c>
      <c r="AH27" s="584">
        <f t="shared" si="19"/>
        <v>85456</v>
      </c>
      <c r="AI27" s="589">
        <f t="shared" si="19"/>
        <v>868617320.35000026</v>
      </c>
      <c r="AJ27" s="584">
        <f t="shared" si="19"/>
        <v>80896</v>
      </c>
      <c r="AK27" s="589">
        <f t="shared" si="19"/>
        <v>904833477.53999972</v>
      </c>
      <c r="AL27" s="584">
        <f t="shared" si="19"/>
        <v>60470</v>
      </c>
      <c r="AM27" s="589">
        <f t="shared" si="19"/>
        <v>697079737.44000006</v>
      </c>
      <c r="AN27" s="584">
        <f t="shared" si="19"/>
        <v>47558</v>
      </c>
      <c r="AO27" s="589">
        <f t="shared" si="19"/>
        <v>570989700.23000002</v>
      </c>
      <c r="AP27" s="584">
        <f t="shared" si="19"/>
        <v>33866</v>
      </c>
      <c r="AQ27" s="589">
        <f t="shared" si="19"/>
        <v>391401125.30999994</v>
      </c>
      <c r="AR27" s="584">
        <f t="shared" si="19"/>
        <v>36427</v>
      </c>
      <c r="AS27" s="589">
        <f t="shared" si="19"/>
        <v>392881758.61999977</v>
      </c>
      <c r="AT27" s="584">
        <f t="shared" si="19"/>
        <v>34358</v>
      </c>
      <c r="AU27" s="589">
        <f t="shared" si="19"/>
        <v>364984918.48999989</v>
      </c>
      <c r="AV27" s="584">
        <f t="shared" si="19"/>
        <v>33380</v>
      </c>
      <c r="AW27" s="589">
        <f t="shared" si="19"/>
        <v>328099849.3499999</v>
      </c>
      <c r="AX27" s="584">
        <f t="shared" si="19"/>
        <v>35097</v>
      </c>
      <c r="AY27" s="589">
        <f t="shared" si="19"/>
        <v>340169440.139364</v>
      </c>
      <c r="AZ27" s="584">
        <f t="shared" si="19"/>
        <v>32831</v>
      </c>
      <c r="BA27" s="589">
        <f t="shared" si="19"/>
        <v>366658303.19111097</v>
      </c>
      <c r="BB27" s="584">
        <f t="shared" si="19"/>
        <v>32398</v>
      </c>
      <c r="BC27" s="589">
        <f t="shared" si="19"/>
        <v>349575346.05200011</v>
      </c>
      <c r="BD27" s="584">
        <f t="shared" si="19"/>
        <v>33624</v>
      </c>
      <c r="BE27" s="589">
        <f t="shared" si="19"/>
        <v>425714276.29999977</v>
      </c>
      <c r="BF27" s="584">
        <f t="shared" si="19"/>
        <v>71608</v>
      </c>
      <c r="BG27" s="589">
        <f t="shared" si="19"/>
        <v>846946050.76999998</v>
      </c>
      <c r="BH27" s="584">
        <f t="shared" si="19"/>
        <v>89893</v>
      </c>
      <c r="BI27" s="589">
        <f t="shared" si="19"/>
        <v>1044362718.66552</v>
      </c>
      <c r="BJ27" s="584">
        <f t="shared" si="19"/>
        <v>83875</v>
      </c>
      <c r="BK27" s="589">
        <f t="shared" si="19"/>
        <v>961217089.64999902</v>
      </c>
      <c r="BL27" s="584">
        <f t="shared" si="19"/>
        <v>85628</v>
      </c>
      <c r="BM27" s="589">
        <f t="shared" si="19"/>
        <v>1015872003.7199965</v>
      </c>
      <c r="BN27" s="584">
        <f t="shared" ref="BN27:CO27" si="20">BN35</f>
        <v>78986</v>
      </c>
      <c r="BO27" s="589">
        <f t="shared" si="20"/>
        <v>932570262.96999693</v>
      </c>
      <c r="BP27" s="584">
        <f t="shared" si="20"/>
        <v>53320</v>
      </c>
      <c r="BQ27" s="589">
        <f t="shared" si="20"/>
        <v>633565027.65391898</v>
      </c>
      <c r="BR27" s="584">
        <f t="shared" si="20"/>
        <v>62067</v>
      </c>
      <c r="BS27" s="589">
        <f t="shared" si="20"/>
        <v>730929339.08349109</v>
      </c>
      <c r="BT27" s="584">
        <f t="shared" si="20"/>
        <v>59675</v>
      </c>
      <c r="BU27" s="589">
        <f t="shared" si="20"/>
        <v>710147466.33999932</v>
      </c>
      <c r="BV27" s="584">
        <f t="shared" si="20"/>
        <v>60492</v>
      </c>
      <c r="BW27" s="589">
        <f t="shared" si="20"/>
        <v>654857582.65999997</v>
      </c>
      <c r="BX27" s="584">
        <f t="shared" si="20"/>
        <v>60522</v>
      </c>
      <c r="BY27" s="589">
        <f t="shared" si="20"/>
        <v>605616292.74000001</v>
      </c>
      <c r="BZ27" s="584">
        <f t="shared" si="20"/>
        <v>58744</v>
      </c>
      <c r="CA27" s="589">
        <f t="shared" si="20"/>
        <v>551495461.56999993</v>
      </c>
      <c r="CB27" s="584">
        <f t="shared" si="20"/>
        <v>69098</v>
      </c>
      <c r="CC27" s="589">
        <f t="shared" si="20"/>
        <v>811216260.82000005</v>
      </c>
      <c r="CD27" s="584">
        <f t="shared" si="20"/>
        <v>107912</v>
      </c>
      <c r="CE27" s="589">
        <f t="shared" si="20"/>
        <v>1330651130.78001</v>
      </c>
      <c r="CF27" s="584">
        <f t="shared" si="20"/>
        <v>104871</v>
      </c>
      <c r="CG27" s="589">
        <f t="shared" si="20"/>
        <v>1314897013.0400002</v>
      </c>
      <c r="CH27" s="584">
        <f t="shared" si="20"/>
        <v>79396</v>
      </c>
      <c r="CI27" s="589">
        <f t="shared" si="20"/>
        <v>1007748080.51</v>
      </c>
      <c r="CJ27" s="584">
        <f t="shared" si="20"/>
        <v>85174</v>
      </c>
      <c r="CK27" s="589">
        <f t="shared" si="20"/>
        <v>1051666841.710014</v>
      </c>
      <c r="CL27" s="584">
        <f t="shared" si="20"/>
        <v>77090</v>
      </c>
      <c r="CM27" s="589">
        <f t="shared" si="20"/>
        <v>1090715711.8699999</v>
      </c>
      <c r="CN27" s="584">
        <f t="shared" si="20"/>
        <v>79540</v>
      </c>
      <c r="CO27" s="589">
        <f t="shared" si="20"/>
        <v>1099567109.49</v>
      </c>
    </row>
    <row r="28" spans="1:96" outlineLevel="1" x14ac:dyDescent="0.2">
      <c r="A28" s="590"/>
      <c r="B28" s="591"/>
      <c r="C28" s="592"/>
      <c r="D28" s="591"/>
      <c r="E28" s="592"/>
      <c r="F28" s="591"/>
      <c r="G28" s="592"/>
      <c r="H28" s="591"/>
      <c r="I28" s="592"/>
      <c r="J28" s="591"/>
      <c r="K28" s="592"/>
      <c r="L28" s="591"/>
      <c r="M28" s="592"/>
      <c r="N28" s="591"/>
      <c r="O28" s="592"/>
      <c r="P28" s="591"/>
      <c r="Q28" s="592"/>
      <c r="R28" s="591"/>
      <c r="S28" s="592"/>
      <c r="T28" s="591"/>
      <c r="U28" s="592"/>
      <c r="V28" s="591"/>
      <c r="W28" s="592"/>
      <c r="X28" s="591"/>
      <c r="Y28" s="592"/>
      <c r="Z28" s="591"/>
      <c r="AA28" s="592"/>
      <c r="AB28" s="591"/>
      <c r="AC28" s="592"/>
      <c r="AD28" s="591"/>
      <c r="AE28" s="592"/>
      <c r="AF28" s="591"/>
      <c r="AG28" s="592"/>
      <c r="AH28" s="591"/>
      <c r="AI28" s="592"/>
      <c r="AJ28" s="591"/>
      <c r="AK28" s="592"/>
      <c r="AL28" s="591"/>
      <c r="AM28" s="592"/>
      <c r="AN28" s="591"/>
      <c r="AO28" s="592"/>
      <c r="AP28" s="591"/>
      <c r="AQ28" s="592"/>
      <c r="AR28" s="591"/>
      <c r="AS28" s="592"/>
      <c r="AT28" s="591"/>
      <c r="AU28" s="592"/>
      <c r="AV28" s="591"/>
      <c r="AW28" s="592"/>
      <c r="AX28" s="591"/>
      <c r="AY28" s="592"/>
      <c r="AZ28" s="591"/>
      <c r="BA28" s="592"/>
      <c r="BB28" s="591"/>
      <c r="BC28" s="592"/>
      <c r="BD28" s="591"/>
      <c r="BE28" s="592"/>
      <c r="BF28" s="591"/>
      <c r="BG28" s="592"/>
      <c r="BH28" s="591"/>
      <c r="BI28" s="592"/>
      <c r="BJ28" s="591"/>
      <c r="BK28" s="592"/>
      <c r="BL28" s="591"/>
      <c r="BM28" s="592"/>
      <c r="BN28" s="591"/>
      <c r="BO28" s="592"/>
      <c r="BP28" s="591"/>
      <c r="BQ28" s="592"/>
      <c r="BR28" s="591"/>
      <c r="BS28" s="592"/>
      <c r="BT28" s="591"/>
      <c r="BU28" s="592"/>
      <c r="BV28" s="591"/>
      <c r="BW28" s="592"/>
      <c r="BX28" s="591"/>
      <c r="BY28" s="592"/>
      <c r="BZ28" s="591"/>
      <c r="CA28" s="592"/>
      <c r="CB28" s="591"/>
      <c r="CC28" s="592"/>
      <c r="CD28" s="591"/>
      <c r="CE28" s="592"/>
      <c r="CF28" s="591"/>
      <c r="CG28" s="592"/>
      <c r="CH28" s="591"/>
      <c r="CI28" s="592"/>
      <c r="CJ28" s="591"/>
      <c r="CK28" s="592"/>
      <c r="CL28" s="591"/>
      <c r="CM28" s="592"/>
      <c r="CN28" s="591"/>
      <c r="CO28" s="592"/>
    </row>
    <row r="29" spans="1:96" ht="16" customHeight="1" outlineLevel="1" x14ac:dyDescent="0.2">
      <c r="A29" s="553" t="s">
        <v>530</v>
      </c>
      <c r="B29" s="554"/>
      <c r="C29" s="555"/>
      <c r="D29" s="554"/>
      <c r="E29" s="555"/>
      <c r="F29" s="554"/>
      <c r="G29" s="555"/>
      <c r="H29" s="554"/>
      <c r="I29" s="555"/>
      <c r="J29" s="554"/>
      <c r="K29" s="555"/>
      <c r="L29" s="554"/>
      <c r="M29" s="555"/>
      <c r="N29" s="554"/>
      <c r="O29" s="555"/>
      <c r="P29" s="554"/>
      <c r="Q29" s="555"/>
      <c r="R29" s="554"/>
      <c r="S29" s="555"/>
      <c r="T29" s="554"/>
      <c r="U29" s="555"/>
      <c r="V29" s="554"/>
      <c r="W29" s="555"/>
      <c r="X29" s="554"/>
      <c r="Y29" s="555"/>
      <c r="Z29" s="554"/>
      <c r="AA29" s="555"/>
      <c r="AB29" s="554"/>
      <c r="AC29" s="555"/>
      <c r="AD29" s="554"/>
      <c r="AE29" s="555"/>
      <c r="AF29" s="554"/>
      <c r="AG29" s="555"/>
      <c r="AH29" s="554"/>
      <c r="AI29" s="555"/>
      <c r="AJ29" s="554"/>
      <c r="AK29" s="555"/>
      <c r="AL29" s="554"/>
      <c r="AM29" s="555"/>
      <c r="AN29" s="554"/>
      <c r="AO29" s="555"/>
      <c r="AP29" s="554"/>
      <c r="AQ29" s="555"/>
      <c r="AR29" s="554"/>
      <c r="AS29" s="555"/>
      <c r="AT29" s="554"/>
      <c r="AU29" s="555"/>
      <c r="AV29" s="554"/>
      <c r="AW29" s="555"/>
      <c r="AX29" s="554"/>
      <c r="AY29" s="555"/>
      <c r="AZ29" s="554"/>
      <c r="BA29" s="555"/>
      <c r="BB29" s="554"/>
      <c r="BC29" s="555"/>
      <c r="BD29" s="554"/>
      <c r="BE29" s="555"/>
      <c r="BF29" s="554"/>
      <c r="BG29" s="555"/>
      <c r="BH29" s="554"/>
      <c r="BI29" s="555"/>
      <c r="BJ29" s="554"/>
      <c r="BK29" s="555"/>
      <c r="BL29" s="554"/>
      <c r="BM29" s="555"/>
      <c r="BN29" s="554"/>
      <c r="BO29" s="555"/>
      <c r="BP29" s="554"/>
      <c r="BQ29" s="555"/>
      <c r="BR29" s="554"/>
      <c r="BS29" s="555"/>
      <c r="BT29" s="554"/>
      <c r="BU29" s="555"/>
      <c r="BV29" s="554"/>
      <c r="BW29" s="555"/>
      <c r="BX29" s="554"/>
      <c r="BY29" s="555"/>
      <c r="BZ29" s="554"/>
      <c r="CA29" s="555"/>
      <c r="CB29" s="554"/>
      <c r="CC29" s="555"/>
      <c r="CD29" s="554"/>
      <c r="CE29" s="555"/>
      <c r="CF29" s="554"/>
      <c r="CG29" s="555"/>
      <c r="CH29" s="554"/>
      <c r="CI29" s="555"/>
      <c r="CJ29" s="554"/>
      <c r="CK29" s="555"/>
      <c r="CL29" s="554"/>
      <c r="CM29" s="555"/>
      <c r="CN29" s="554"/>
      <c r="CO29" s="555"/>
    </row>
    <row r="30" spans="1:96" outlineLevel="1" x14ac:dyDescent="0.2">
      <c r="A30" s="561" t="s">
        <v>531</v>
      </c>
      <c r="B30" s="562">
        <v>31137</v>
      </c>
      <c r="C30" s="563">
        <v>245245655.03249872</v>
      </c>
      <c r="D30" s="562">
        <v>38395</v>
      </c>
      <c r="E30" s="563">
        <v>264146750.56964928</v>
      </c>
      <c r="F30" s="562">
        <v>45705</v>
      </c>
      <c r="G30" s="563">
        <v>273579655.13749957</v>
      </c>
      <c r="H30" s="562">
        <v>44786</v>
      </c>
      <c r="I30" s="563">
        <v>291882758.46249974</v>
      </c>
      <c r="J30" s="562">
        <v>107820</v>
      </c>
      <c r="K30" s="563">
        <v>666351525.74750113</v>
      </c>
      <c r="L30" s="562">
        <v>101876</v>
      </c>
      <c r="M30" s="563">
        <v>717666692.16000044</v>
      </c>
      <c r="N30" s="562">
        <v>65186</v>
      </c>
      <c r="O30" s="563">
        <v>571373131.13000011</v>
      </c>
      <c r="P30" s="562">
        <v>39043</v>
      </c>
      <c r="Q30" s="563">
        <v>315513760.15499979</v>
      </c>
      <c r="R30" s="562">
        <v>61781</v>
      </c>
      <c r="S30" s="563">
        <v>530177512.13999999</v>
      </c>
      <c r="T30" s="562">
        <v>56393</v>
      </c>
      <c r="U30" s="563">
        <v>479318765.43000025</v>
      </c>
      <c r="V30" s="562">
        <v>47751</v>
      </c>
      <c r="W30" s="563">
        <v>436205723.00000018</v>
      </c>
      <c r="X30" s="562">
        <v>36583</v>
      </c>
      <c r="Y30" s="563">
        <v>362523787.10000008</v>
      </c>
      <c r="Z30" s="562">
        <v>52321</v>
      </c>
      <c r="AA30" s="563">
        <v>471223654.94999981</v>
      </c>
      <c r="AB30" s="562">
        <v>60340</v>
      </c>
      <c r="AC30" s="563">
        <v>491519707.12000042</v>
      </c>
      <c r="AD30" s="562">
        <v>92038</v>
      </c>
      <c r="AE30" s="563">
        <v>762717416.37620306</v>
      </c>
      <c r="AF30" s="562">
        <v>70463</v>
      </c>
      <c r="AG30" s="563">
        <v>664376610.7699995</v>
      </c>
      <c r="AH30" s="562">
        <v>79660</v>
      </c>
      <c r="AI30" s="563">
        <v>795004916.35000026</v>
      </c>
      <c r="AJ30" s="562">
        <v>76776</v>
      </c>
      <c r="AK30" s="563">
        <v>845915579.53999972</v>
      </c>
      <c r="AL30" s="562">
        <v>58932</v>
      </c>
      <c r="AM30" s="563">
        <v>676112267.44000006</v>
      </c>
      <c r="AN30" s="562">
        <v>44453</v>
      </c>
      <c r="AO30" s="563">
        <v>530623372.23000008</v>
      </c>
      <c r="AP30" s="562">
        <v>31430</v>
      </c>
      <c r="AQ30" s="563">
        <v>360211733.30999994</v>
      </c>
      <c r="AR30" s="562">
        <v>25730</v>
      </c>
      <c r="AS30" s="563">
        <v>306366294.61999977</v>
      </c>
      <c r="AT30" s="562">
        <v>29671</v>
      </c>
      <c r="AU30" s="563">
        <v>304012852.48999989</v>
      </c>
      <c r="AV30" s="562">
        <v>29956</v>
      </c>
      <c r="AW30" s="563">
        <v>283251587.3499999</v>
      </c>
      <c r="AX30" s="562">
        <v>32583</v>
      </c>
      <c r="AY30" s="563">
        <v>310871714.139364</v>
      </c>
      <c r="AZ30" s="562">
        <v>29292</v>
      </c>
      <c r="BA30" s="563">
        <v>320100362.19111097</v>
      </c>
      <c r="BB30" s="562">
        <v>30703</v>
      </c>
      <c r="BC30" s="563">
        <v>330690484.05200011</v>
      </c>
      <c r="BD30" s="562">
        <v>29285</v>
      </c>
      <c r="BE30" s="563">
        <v>365634609.29999977</v>
      </c>
      <c r="BF30" s="562">
        <f>65321+684</f>
        <v>66005</v>
      </c>
      <c r="BG30" s="563">
        <f>749908731.77+13744160</f>
        <v>763652891.76999998</v>
      </c>
      <c r="BH30" s="562">
        <f>87151+304</f>
        <v>87455</v>
      </c>
      <c r="BI30" s="563">
        <f>1001508588.28552+8372059</f>
        <v>1009880647.28552</v>
      </c>
      <c r="BJ30" s="562">
        <f>79469+320</f>
        <v>79789</v>
      </c>
      <c r="BK30" s="563">
        <f>895216558.649999+8909599</f>
        <v>904126157.64999902</v>
      </c>
      <c r="BL30" s="562">
        <v>80764</v>
      </c>
      <c r="BM30" s="563">
        <v>944447623.71999645</v>
      </c>
      <c r="BN30" s="562">
        <f>75435+463</f>
        <v>75898</v>
      </c>
      <c r="BO30" s="563">
        <f>887033381.169997+8440378</f>
        <v>895473759.16999698</v>
      </c>
      <c r="BP30" s="562">
        <f>47518+1026</f>
        <v>48544</v>
      </c>
      <c r="BQ30" s="563">
        <f>552227358.653919+19736466</f>
        <v>571963824.65391898</v>
      </c>
      <c r="BR30" s="562">
        <f>54615+1613</f>
        <v>56228</v>
      </c>
      <c r="BS30" s="563">
        <f>638467099.290001+27295219.55349</f>
        <v>665762318.84349108</v>
      </c>
      <c r="BT30" s="562">
        <v>54358</v>
      </c>
      <c r="BU30" s="563">
        <v>641295323.55999935</v>
      </c>
      <c r="BV30" s="593">
        <f>54167+ 614</f>
        <v>54781</v>
      </c>
      <c r="BW30" s="594">
        <f>580266220.66+9736621</f>
        <v>590002841.65999997</v>
      </c>
      <c r="BX30" s="593">
        <f>54837+642</f>
        <v>55479</v>
      </c>
      <c r="BY30" s="594">
        <f>543156657.63+9693078</f>
        <v>552849735.63</v>
      </c>
      <c r="BZ30" s="593">
        <f>53048+1846</f>
        <v>54894</v>
      </c>
      <c r="CA30" s="594">
        <f>497588318.57+18256426</f>
        <v>515844744.56999999</v>
      </c>
      <c r="CB30" s="593">
        <f>56687+2766</f>
        <v>59453</v>
      </c>
      <c r="CC30" s="594">
        <f>625838248.62+39315920</f>
        <v>665154168.62</v>
      </c>
      <c r="CD30" s="593">
        <f>98867+1225</f>
        <v>100092</v>
      </c>
      <c r="CE30" s="594">
        <f>1205775642.68001+15966126</f>
        <v>1221741768.6800101</v>
      </c>
      <c r="CF30" s="593">
        <f>95327+3373</f>
        <v>98700</v>
      </c>
      <c r="CG30" s="594">
        <f>1185976464.64+46051015</f>
        <v>1232027479.6400001</v>
      </c>
      <c r="CH30" s="593">
        <f>70249+1223+686</f>
        <v>72158</v>
      </c>
      <c r="CI30" s="594">
        <f>883607239.53+8394630+18831529.08</f>
        <v>910833398.61000001</v>
      </c>
      <c r="CJ30" s="593">
        <f>74080+2441+659</f>
        <v>77180</v>
      </c>
      <c r="CK30" s="594">
        <f>899710200.120014+32356993+17889545.39</f>
        <v>949956738.51001394</v>
      </c>
      <c r="CL30" s="593">
        <f>65817+6010+481</f>
        <v>72308</v>
      </c>
      <c r="CM30" s="594">
        <f>931976115.67+81727553+12566103.8</f>
        <v>1026269772.4699999</v>
      </c>
      <c r="CN30" s="593">
        <f>67880+ 4100+720</f>
        <v>72700</v>
      </c>
      <c r="CO30" s="594">
        <f>939557158.09+49298998+(163683.9*90)</f>
        <v>1003587707.09</v>
      </c>
      <c r="CP30" s="573"/>
      <c r="CQ30" s="573"/>
    </row>
    <row r="31" spans="1:96" outlineLevel="1" x14ac:dyDescent="0.2">
      <c r="A31" s="561" t="s">
        <v>532</v>
      </c>
      <c r="B31" s="562">
        <v>13849</v>
      </c>
      <c r="C31" s="563">
        <v>84269652.583332956</v>
      </c>
      <c r="D31" s="562">
        <v>10038</v>
      </c>
      <c r="E31" s="563">
        <v>56230829.132500038</v>
      </c>
      <c r="F31" s="562">
        <v>21680</v>
      </c>
      <c r="G31" s="563">
        <v>115007395.23999982</v>
      </c>
      <c r="H31" s="562">
        <v>16308</v>
      </c>
      <c r="I31" s="563">
        <v>106063098.74000001</v>
      </c>
      <c r="J31" s="562">
        <v>19478</v>
      </c>
      <c r="K31" s="563">
        <v>131827209.50750013</v>
      </c>
      <c r="L31" s="562">
        <v>14590</v>
      </c>
      <c r="M31" s="563">
        <v>113633369.64499998</v>
      </c>
      <c r="N31" s="562">
        <v>6461</v>
      </c>
      <c r="O31" s="563">
        <v>81159286.049999833</v>
      </c>
      <c r="P31" s="562">
        <v>16010</v>
      </c>
      <c r="Q31" s="563">
        <v>167081450.91</v>
      </c>
      <c r="R31" s="562">
        <v>16613</v>
      </c>
      <c r="S31" s="563">
        <v>153440340.28</v>
      </c>
      <c r="T31" s="562">
        <v>19851</v>
      </c>
      <c r="U31" s="563">
        <v>239872759.15000013</v>
      </c>
      <c r="V31" s="562">
        <v>12729</v>
      </c>
      <c r="W31" s="563">
        <v>141278752.94</v>
      </c>
      <c r="X31" s="562">
        <v>8604</v>
      </c>
      <c r="Y31" s="563">
        <v>99513346.799999997</v>
      </c>
      <c r="Z31" s="562">
        <v>16</v>
      </c>
      <c r="AA31" s="563">
        <v>242781</v>
      </c>
      <c r="AB31" s="562">
        <v>4</v>
      </c>
      <c r="AC31" s="563">
        <v>33532</v>
      </c>
      <c r="AD31" s="562">
        <v>0</v>
      </c>
      <c r="AE31" s="563">
        <v>0</v>
      </c>
      <c r="AF31" s="562">
        <v>0</v>
      </c>
      <c r="AG31" s="563">
        <v>0</v>
      </c>
      <c r="AH31" s="562">
        <v>0</v>
      </c>
      <c r="AI31" s="563">
        <v>0</v>
      </c>
      <c r="AJ31" s="562">
        <v>0</v>
      </c>
      <c r="AK31" s="563">
        <v>0</v>
      </c>
      <c r="AL31" s="562">
        <v>0</v>
      </c>
      <c r="AM31" s="563">
        <v>0</v>
      </c>
      <c r="AN31" s="562">
        <v>0</v>
      </c>
      <c r="AO31" s="563">
        <v>0</v>
      </c>
      <c r="AP31" s="562">
        <v>0</v>
      </c>
      <c r="AQ31" s="563">
        <v>0</v>
      </c>
      <c r="AR31" s="562">
        <v>0</v>
      </c>
      <c r="AS31" s="563">
        <v>0</v>
      </c>
      <c r="AT31" s="562">
        <v>0</v>
      </c>
      <c r="AU31" s="563">
        <v>0</v>
      </c>
      <c r="AV31" s="562">
        <v>0</v>
      </c>
      <c r="AW31" s="563">
        <v>0</v>
      </c>
      <c r="AX31" s="562">
        <v>0</v>
      </c>
      <c r="AY31" s="563">
        <v>0</v>
      </c>
      <c r="AZ31" s="562">
        <v>0</v>
      </c>
      <c r="BA31" s="563">
        <v>0</v>
      </c>
      <c r="BB31" s="562">
        <v>0</v>
      </c>
      <c r="BC31" s="563">
        <v>0</v>
      </c>
      <c r="BD31" s="562">
        <v>0</v>
      </c>
      <c r="BE31" s="563">
        <v>0</v>
      </c>
      <c r="BF31" s="562">
        <v>0</v>
      </c>
      <c r="BG31" s="563">
        <v>0</v>
      </c>
      <c r="BH31" s="562">
        <v>0</v>
      </c>
      <c r="BI31" s="563">
        <v>0</v>
      </c>
      <c r="BJ31" s="562">
        <v>0</v>
      </c>
      <c r="BK31" s="563">
        <v>0</v>
      </c>
      <c r="BL31" s="562">
        <v>0</v>
      </c>
      <c r="BM31" s="563">
        <v>0</v>
      </c>
      <c r="BN31" s="562">
        <v>0</v>
      </c>
      <c r="BO31" s="563">
        <v>0</v>
      </c>
      <c r="BP31" s="562">
        <v>0</v>
      </c>
      <c r="BQ31" s="563">
        <v>0</v>
      </c>
      <c r="BR31" s="562">
        <v>0</v>
      </c>
      <c r="BS31" s="563">
        <v>0</v>
      </c>
      <c r="BT31" s="562">
        <v>0</v>
      </c>
      <c r="BU31" s="563">
        <v>0</v>
      </c>
      <c r="BV31" s="593">
        <v>0</v>
      </c>
      <c r="BW31" s="594">
        <v>0</v>
      </c>
      <c r="BX31" s="593">
        <v>0</v>
      </c>
      <c r="BY31" s="594">
        <v>0</v>
      </c>
      <c r="BZ31" s="593">
        <v>0</v>
      </c>
      <c r="CA31" s="594">
        <v>0</v>
      </c>
      <c r="CB31" s="593">
        <v>0</v>
      </c>
      <c r="CC31" s="594">
        <v>0</v>
      </c>
      <c r="CD31" s="593">
        <v>0</v>
      </c>
      <c r="CE31" s="594">
        <v>0</v>
      </c>
      <c r="CF31" s="593">
        <v>0</v>
      </c>
      <c r="CG31" s="594">
        <v>0</v>
      </c>
      <c r="CH31" s="593">
        <v>0</v>
      </c>
      <c r="CI31" s="594">
        <v>0</v>
      </c>
      <c r="CJ31" s="593">
        <v>0</v>
      </c>
      <c r="CK31" s="594">
        <v>0</v>
      </c>
      <c r="CL31" s="593">
        <v>0</v>
      </c>
      <c r="CM31" s="594">
        <v>0</v>
      </c>
      <c r="CN31" s="593">
        <v>0</v>
      </c>
      <c r="CO31" s="594">
        <v>0</v>
      </c>
    </row>
    <row r="32" spans="1:96" outlineLevel="1" x14ac:dyDescent="0.2">
      <c r="A32" s="561" t="s">
        <v>298</v>
      </c>
      <c r="B32" s="562">
        <v>17</v>
      </c>
      <c r="C32" s="563">
        <v>82153</v>
      </c>
      <c r="D32" s="562">
        <v>4576</v>
      </c>
      <c r="E32" s="563">
        <v>36198285.600000009</v>
      </c>
      <c r="F32" s="562">
        <v>4400</v>
      </c>
      <c r="G32" s="563">
        <v>34307895.250000007</v>
      </c>
      <c r="H32" s="562">
        <v>3678</v>
      </c>
      <c r="I32" s="563">
        <v>25397431.699999999</v>
      </c>
      <c r="J32" s="562">
        <v>2892</v>
      </c>
      <c r="K32" s="563">
        <v>25553161</v>
      </c>
      <c r="L32" s="562">
        <v>2046</v>
      </c>
      <c r="M32" s="563">
        <v>22305327.5</v>
      </c>
      <c r="N32" s="562">
        <v>2366</v>
      </c>
      <c r="O32" s="563">
        <v>23153891.400000002</v>
      </c>
      <c r="P32" s="562">
        <v>4820</v>
      </c>
      <c r="Q32" s="563">
        <v>41705311.399999999</v>
      </c>
      <c r="R32" s="562">
        <v>3236</v>
      </c>
      <c r="S32" s="563">
        <v>34108783.100000001</v>
      </c>
      <c r="T32" s="562">
        <v>3941</v>
      </c>
      <c r="U32" s="563">
        <v>41275444.5</v>
      </c>
      <c r="V32" s="562">
        <v>3300</v>
      </c>
      <c r="W32" s="563">
        <v>32768549</v>
      </c>
      <c r="X32" s="562">
        <v>3334</v>
      </c>
      <c r="Y32" s="563">
        <v>36136602</v>
      </c>
      <c r="Z32" s="562">
        <v>2620</v>
      </c>
      <c r="AA32" s="563">
        <v>27433061.5</v>
      </c>
      <c r="AB32" s="562">
        <v>2676</v>
      </c>
      <c r="AC32" s="563">
        <v>29506213</v>
      </c>
      <c r="AD32" s="562">
        <v>3587</v>
      </c>
      <c r="AE32" s="563">
        <v>40629435.370000005</v>
      </c>
      <c r="AF32" s="562">
        <v>2479</v>
      </c>
      <c r="AG32" s="563">
        <v>39891133.832798004</v>
      </c>
      <c r="AH32" s="562">
        <v>3081</v>
      </c>
      <c r="AI32" s="563">
        <v>35850723</v>
      </c>
      <c r="AJ32" s="562">
        <v>2339</v>
      </c>
      <c r="AK32" s="563">
        <v>32387520</v>
      </c>
      <c r="AL32" s="562">
        <v>788</v>
      </c>
      <c r="AM32" s="563">
        <v>10375999</v>
      </c>
      <c r="AN32" s="562">
        <v>1624</v>
      </c>
      <c r="AO32" s="563">
        <v>20565414</v>
      </c>
      <c r="AP32" s="562">
        <v>1463</v>
      </c>
      <c r="AQ32" s="563">
        <v>18289281</v>
      </c>
      <c r="AR32" s="562">
        <v>2368</v>
      </c>
      <c r="AS32" s="563">
        <v>32748807</v>
      </c>
      <c r="AT32" s="562">
        <v>2422</v>
      </c>
      <c r="AU32" s="563">
        <v>30780983</v>
      </c>
      <c r="AV32" s="562">
        <v>1879</v>
      </c>
      <c r="AW32" s="563">
        <v>22976237</v>
      </c>
      <c r="AX32" s="562">
        <v>1418</v>
      </c>
      <c r="AY32" s="563">
        <v>15808215</v>
      </c>
      <c r="AZ32" s="562">
        <v>1827</v>
      </c>
      <c r="BA32" s="563">
        <v>23421490</v>
      </c>
      <c r="BB32" s="562">
        <v>725</v>
      </c>
      <c r="BC32" s="563">
        <v>7951202</v>
      </c>
      <c r="BD32" s="562">
        <v>1816</v>
      </c>
      <c r="BE32" s="563">
        <v>23163139</v>
      </c>
      <c r="BF32" s="562">
        <v>2938</v>
      </c>
      <c r="BG32" s="563">
        <v>42831506</v>
      </c>
      <c r="BH32" s="562">
        <v>1294</v>
      </c>
      <c r="BI32" s="563">
        <v>20267667.380000036</v>
      </c>
      <c r="BJ32" s="562">
        <v>1539</v>
      </c>
      <c r="BK32" s="563">
        <v>20508135</v>
      </c>
      <c r="BL32" s="562">
        <v>1826</v>
      </c>
      <c r="BM32" s="563">
        <v>23861663</v>
      </c>
      <c r="BN32" s="562">
        <v>1550</v>
      </c>
      <c r="BO32" s="563">
        <v>16743143.799999999</v>
      </c>
      <c r="BP32" s="562">
        <v>2196</v>
      </c>
      <c r="BQ32" s="563">
        <v>26652336</v>
      </c>
      <c r="BR32" s="562">
        <v>3403</v>
      </c>
      <c r="BS32" s="563">
        <v>29641552.239999995</v>
      </c>
      <c r="BT32" s="562">
        <v>2233</v>
      </c>
      <c r="BU32" s="563">
        <v>30470086.780000005</v>
      </c>
      <c r="BV32" s="593">
        <v>2840</v>
      </c>
      <c r="BW32" s="594">
        <v>31930725</v>
      </c>
      <c r="BX32" s="593">
        <v>2123</v>
      </c>
      <c r="BY32" s="594">
        <v>19584738.110000003</v>
      </c>
      <c r="BZ32" s="593">
        <v>1460</v>
      </c>
      <c r="CA32" s="594">
        <v>12249183.999999998</v>
      </c>
      <c r="CB32" s="593">
        <v>2737</v>
      </c>
      <c r="CC32" s="594">
        <v>39090425.20000001</v>
      </c>
      <c r="CD32" s="593">
        <v>2955</v>
      </c>
      <c r="CE32" s="594">
        <v>38913018.100000009</v>
      </c>
      <c r="CF32" s="593">
        <v>2976</v>
      </c>
      <c r="CG32" s="594">
        <v>39112741.399999999</v>
      </c>
      <c r="CH32" s="593">
        <v>3004</v>
      </c>
      <c r="CI32" s="594">
        <v>36202480.899999999</v>
      </c>
      <c r="CJ32" s="593">
        <v>3244</v>
      </c>
      <c r="CK32" s="594">
        <v>36589953.200000003</v>
      </c>
      <c r="CL32" s="593">
        <v>1562</v>
      </c>
      <c r="CM32" s="594">
        <v>22152739.399999999</v>
      </c>
      <c r="CN32" s="593">
        <v>3023</v>
      </c>
      <c r="CO32" s="594">
        <v>41810431.399999999</v>
      </c>
    </row>
    <row r="33" spans="1:99" outlineLevel="1" x14ac:dyDescent="0.2">
      <c r="A33" s="561" t="s">
        <v>533</v>
      </c>
      <c r="B33" s="562"/>
      <c r="C33" s="563"/>
      <c r="D33" s="562"/>
      <c r="E33" s="563"/>
      <c r="F33" s="562"/>
      <c r="G33" s="563"/>
      <c r="H33" s="562">
        <v>718</v>
      </c>
      <c r="I33" s="563">
        <v>3312900.95</v>
      </c>
      <c r="J33" s="562">
        <v>617</v>
      </c>
      <c r="K33" s="563">
        <v>2875116.45</v>
      </c>
      <c r="L33" s="562">
        <v>4266</v>
      </c>
      <c r="M33" s="563">
        <v>21792803.507500004</v>
      </c>
      <c r="N33" s="562">
        <v>3110</v>
      </c>
      <c r="O33" s="563">
        <v>16829827.369999997</v>
      </c>
      <c r="P33" s="562">
        <v>2006</v>
      </c>
      <c r="Q33" s="563">
        <v>12470606.519999998</v>
      </c>
      <c r="R33" s="562">
        <v>1331</v>
      </c>
      <c r="S33" s="563">
        <v>9009854.7199999988</v>
      </c>
      <c r="T33" s="562">
        <v>0</v>
      </c>
      <c r="U33" s="563">
        <v>0</v>
      </c>
      <c r="V33" s="562">
        <v>0</v>
      </c>
      <c r="W33" s="563">
        <v>0</v>
      </c>
      <c r="X33" s="562">
        <v>0</v>
      </c>
      <c r="Y33" s="563">
        <v>0</v>
      </c>
      <c r="Z33" s="562">
        <v>0</v>
      </c>
      <c r="AA33" s="563">
        <v>0</v>
      </c>
      <c r="AB33" s="562">
        <v>0</v>
      </c>
      <c r="AC33" s="563">
        <v>0</v>
      </c>
      <c r="AD33" s="562">
        <v>0</v>
      </c>
      <c r="AE33" s="563">
        <v>0</v>
      </c>
      <c r="AF33" s="562">
        <v>0</v>
      </c>
      <c r="AG33" s="563">
        <v>0</v>
      </c>
      <c r="AH33" s="562">
        <v>0</v>
      </c>
      <c r="AI33" s="563">
        <v>0</v>
      </c>
      <c r="AJ33" s="562">
        <v>0</v>
      </c>
      <c r="AK33" s="563">
        <v>0</v>
      </c>
      <c r="AL33" s="562">
        <v>0</v>
      </c>
      <c r="AM33" s="563">
        <v>0</v>
      </c>
      <c r="AN33" s="562">
        <v>0</v>
      </c>
      <c r="AO33" s="563">
        <v>0</v>
      </c>
      <c r="AP33" s="562">
        <v>0</v>
      </c>
      <c r="AQ33" s="563">
        <v>0</v>
      </c>
      <c r="AR33" s="562">
        <v>0</v>
      </c>
      <c r="AS33" s="563">
        <v>0</v>
      </c>
      <c r="AT33" s="562">
        <v>0</v>
      </c>
      <c r="AU33" s="563">
        <v>0</v>
      </c>
      <c r="AV33" s="562">
        <v>0</v>
      </c>
      <c r="AW33" s="563">
        <v>0</v>
      </c>
      <c r="AX33" s="562">
        <v>0</v>
      </c>
      <c r="AY33" s="563">
        <v>0</v>
      </c>
      <c r="AZ33" s="562">
        <v>0</v>
      </c>
      <c r="BA33" s="563">
        <v>0</v>
      </c>
      <c r="BB33" s="562">
        <v>0</v>
      </c>
      <c r="BC33" s="563">
        <v>0</v>
      </c>
      <c r="BD33" s="562">
        <v>0</v>
      </c>
      <c r="BE33" s="563">
        <v>0</v>
      </c>
      <c r="BF33" s="562">
        <v>0</v>
      </c>
      <c r="BG33" s="563">
        <v>0</v>
      </c>
      <c r="BH33" s="562">
        <v>0</v>
      </c>
      <c r="BI33" s="563">
        <v>0</v>
      </c>
      <c r="BJ33" s="562">
        <v>0</v>
      </c>
      <c r="BK33" s="563">
        <v>0</v>
      </c>
      <c r="BL33" s="562">
        <v>0</v>
      </c>
      <c r="BM33" s="563">
        <v>0</v>
      </c>
      <c r="BN33" s="562">
        <v>0</v>
      </c>
      <c r="BO33" s="563">
        <v>0</v>
      </c>
      <c r="BP33" s="562">
        <v>0</v>
      </c>
      <c r="BQ33" s="563">
        <v>0</v>
      </c>
      <c r="BR33" s="562">
        <v>0</v>
      </c>
      <c r="BS33" s="563">
        <v>0</v>
      </c>
      <c r="BT33" s="562">
        <v>0</v>
      </c>
      <c r="BU33" s="563">
        <v>0</v>
      </c>
      <c r="BV33" s="593">
        <v>0</v>
      </c>
      <c r="BW33" s="594">
        <v>0</v>
      </c>
      <c r="BX33" s="593">
        <v>0</v>
      </c>
      <c r="BY33" s="594">
        <v>0</v>
      </c>
      <c r="BZ33" s="593">
        <v>0</v>
      </c>
      <c r="CA33" s="594">
        <v>0</v>
      </c>
      <c r="CB33" s="593">
        <v>0</v>
      </c>
      <c r="CC33" s="594">
        <v>0</v>
      </c>
      <c r="CD33" s="593">
        <v>0</v>
      </c>
      <c r="CE33" s="594">
        <v>0</v>
      </c>
      <c r="CF33" s="593">
        <v>0</v>
      </c>
      <c r="CG33" s="594">
        <v>0</v>
      </c>
      <c r="CH33" s="593">
        <v>0</v>
      </c>
      <c r="CI33" s="594">
        <v>0</v>
      </c>
      <c r="CJ33" s="593">
        <v>0</v>
      </c>
      <c r="CK33" s="594">
        <v>0</v>
      </c>
      <c r="CL33" s="593">
        <v>0</v>
      </c>
      <c r="CM33" s="594">
        <v>0</v>
      </c>
      <c r="CN33" s="593">
        <v>0</v>
      </c>
      <c r="CO33" s="594">
        <v>0</v>
      </c>
    </row>
    <row r="34" spans="1:99" outlineLevel="1" x14ac:dyDescent="0.2">
      <c r="A34" s="561" t="s">
        <v>534</v>
      </c>
      <c r="B34" s="562">
        <v>10288</v>
      </c>
      <c r="C34" s="563">
        <v>66145509.126438349</v>
      </c>
      <c r="D34" s="562">
        <v>7757</v>
      </c>
      <c r="E34" s="563">
        <v>54424412</v>
      </c>
      <c r="F34" s="562">
        <v>7555</v>
      </c>
      <c r="G34" s="563">
        <v>54446482</v>
      </c>
      <c r="H34" s="562">
        <v>7944</v>
      </c>
      <c r="I34" s="563">
        <v>59167004</v>
      </c>
      <c r="J34" s="562">
        <v>8369</v>
      </c>
      <c r="K34" s="563">
        <v>93398676</v>
      </c>
      <c r="L34" s="562">
        <v>2953</v>
      </c>
      <c r="M34" s="563">
        <v>40015268</v>
      </c>
      <c r="N34" s="562">
        <v>2927</v>
      </c>
      <c r="O34" s="563">
        <v>30542359</v>
      </c>
      <c r="P34" s="562">
        <v>8978</v>
      </c>
      <c r="Q34" s="563">
        <v>101627701</v>
      </c>
      <c r="R34" s="562">
        <v>4137</v>
      </c>
      <c r="S34" s="563">
        <v>57498850</v>
      </c>
      <c r="T34" s="562">
        <v>1808</v>
      </c>
      <c r="U34" s="563">
        <v>18968453</v>
      </c>
      <c r="V34" s="562">
        <v>2361</v>
      </c>
      <c r="W34" s="563">
        <v>26380214</v>
      </c>
      <c r="X34" s="562">
        <v>2227</v>
      </c>
      <c r="Y34" s="563">
        <v>25926759</v>
      </c>
      <c r="Z34" s="562">
        <v>3297</v>
      </c>
      <c r="AA34" s="563">
        <v>37030811</v>
      </c>
      <c r="AB34" s="562">
        <v>3555</v>
      </c>
      <c r="AC34" s="563">
        <v>34855388</v>
      </c>
      <c r="AD34" s="562">
        <v>1728</v>
      </c>
      <c r="AE34" s="563">
        <v>22918059</v>
      </c>
      <c r="AF34" s="562">
        <v>2197</v>
      </c>
      <c r="AG34" s="563">
        <v>40945432</v>
      </c>
      <c r="AH34" s="562">
        <v>2715</v>
      </c>
      <c r="AI34" s="563">
        <v>37761681</v>
      </c>
      <c r="AJ34" s="562">
        <v>1781</v>
      </c>
      <c r="AK34" s="563">
        <v>26530378</v>
      </c>
      <c r="AL34" s="562">
        <v>750</v>
      </c>
      <c r="AM34" s="563">
        <v>10591471</v>
      </c>
      <c r="AN34" s="562">
        <v>1481</v>
      </c>
      <c r="AO34" s="563">
        <v>19800914</v>
      </c>
      <c r="AP34" s="562">
        <v>973</v>
      </c>
      <c r="AQ34" s="563">
        <v>12900111</v>
      </c>
      <c r="AR34" s="562">
        <v>8329</v>
      </c>
      <c r="AS34" s="563">
        <v>53766657</v>
      </c>
      <c r="AT34" s="562">
        <v>2265</v>
      </c>
      <c r="AU34" s="563">
        <v>30191083</v>
      </c>
      <c r="AV34" s="562">
        <v>1545</v>
      </c>
      <c r="AW34" s="563">
        <v>21872025</v>
      </c>
      <c r="AX34" s="562">
        <v>1096</v>
      </c>
      <c r="AY34" s="563">
        <v>13489511</v>
      </c>
      <c r="AZ34" s="562">
        <v>1712</v>
      </c>
      <c r="BA34" s="563">
        <v>23136451</v>
      </c>
      <c r="BB34" s="562">
        <v>970</v>
      </c>
      <c r="BC34" s="563">
        <v>10933660</v>
      </c>
      <c r="BD34" s="562">
        <v>2523</v>
      </c>
      <c r="BE34" s="563">
        <v>36916528</v>
      </c>
      <c r="BF34" s="562">
        <v>2665</v>
      </c>
      <c r="BG34" s="563">
        <v>40461653</v>
      </c>
      <c r="BH34" s="562">
        <v>1144</v>
      </c>
      <c r="BI34" s="563">
        <v>14214404</v>
      </c>
      <c r="BJ34" s="562">
        <v>2547</v>
      </c>
      <c r="BK34" s="563">
        <v>36582797</v>
      </c>
      <c r="BL34" s="562">
        <v>3038</v>
      </c>
      <c r="BM34" s="563">
        <v>47562717</v>
      </c>
      <c r="BN34" s="562">
        <v>1538</v>
      </c>
      <c r="BO34" s="563">
        <v>20353360</v>
      </c>
      <c r="BP34" s="562">
        <v>2580</v>
      </c>
      <c r="BQ34" s="563">
        <v>34948867</v>
      </c>
      <c r="BR34" s="562">
        <v>2436</v>
      </c>
      <c r="BS34" s="563">
        <v>35525468</v>
      </c>
      <c r="BT34" s="562">
        <v>3084</v>
      </c>
      <c r="BU34" s="563">
        <v>38382056</v>
      </c>
      <c r="BV34" s="593">
        <v>2871</v>
      </c>
      <c r="BW34" s="594">
        <v>32924016</v>
      </c>
      <c r="BX34" s="593">
        <v>2920</v>
      </c>
      <c r="BY34" s="594">
        <v>33181819</v>
      </c>
      <c r="BZ34" s="593">
        <v>2390</v>
      </c>
      <c r="CA34" s="594">
        <v>23401533</v>
      </c>
      <c r="CB34" s="593">
        <v>6908</v>
      </c>
      <c r="CC34" s="594">
        <v>106971667</v>
      </c>
      <c r="CD34" s="593">
        <v>4865</v>
      </c>
      <c r="CE34" s="594">
        <v>69996344</v>
      </c>
      <c r="CF34" s="593">
        <v>3195</v>
      </c>
      <c r="CG34" s="594">
        <v>43756792</v>
      </c>
      <c r="CH34" s="593">
        <v>4234</v>
      </c>
      <c r="CI34" s="594">
        <v>60712201</v>
      </c>
      <c r="CJ34" s="593">
        <v>4750</v>
      </c>
      <c r="CK34" s="594">
        <v>65120150</v>
      </c>
      <c r="CL34" s="593">
        <v>3220</v>
      </c>
      <c r="CM34" s="594">
        <v>42293200</v>
      </c>
      <c r="CN34" s="593">
        <v>3817</v>
      </c>
      <c r="CO34" s="594">
        <v>54168971</v>
      </c>
    </row>
    <row r="35" spans="1:99" outlineLevel="1" x14ac:dyDescent="0.2">
      <c r="A35" s="590"/>
      <c r="B35" s="567">
        <f t="shared" ref="B35:BM35" si="21">SUM(B30:B34)</f>
        <v>55291</v>
      </c>
      <c r="C35" s="568">
        <f t="shared" si="21"/>
        <v>395742969.74226999</v>
      </c>
      <c r="D35" s="567">
        <f t="shared" si="21"/>
        <v>60766</v>
      </c>
      <c r="E35" s="568">
        <f t="shared" si="21"/>
        <v>411000277.30214936</v>
      </c>
      <c r="F35" s="567">
        <f t="shared" si="21"/>
        <v>79340</v>
      </c>
      <c r="G35" s="568">
        <f t="shared" si="21"/>
        <v>477341427.6274994</v>
      </c>
      <c r="H35" s="567">
        <f>SUM(H30:H34)</f>
        <v>73434</v>
      </c>
      <c r="I35" s="568">
        <f>SUM(I30:I34)</f>
        <v>485823193.85249972</v>
      </c>
      <c r="J35" s="567">
        <f t="shared" si="21"/>
        <v>139176</v>
      </c>
      <c r="K35" s="568">
        <f t="shared" si="21"/>
        <v>920005688.70500135</v>
      </c>
      <c r="L35" s="567">
        <f t="shared" si="21"/>
        <v>125731</v>
      </c>
      <c r="M35" s="568">
        <f t="shared" si="21"/>
        <v>915413460.81250048</v>
      </c>
      <c r="N35" s="567">
        <f t="shared" si="21"/>
        <v>80050</v>
      </c>
      <c r="O35" s="568">
        <f t="shared" si="21"/>
        <v>723058494.94999993</v>
      </c>
      <c r="P35" s="567">
        <f t="shared" si="21"/>
        <v>70857</v>
      </c>
      <c r="Q35" s="568">
        <f t="shared" si="21"/>
        <v>638398829.98499978</v>
      </c>
      <c r="R35" s="567">
        <f t="shared" si="21"/>
        <v>87098</v>
      </c>
      <c r="S35" s="568">
        <f t="shared" si="21"/>
        <v>784235340.24000001</v>
      </c>
      <c r="T35" s="567">
        <f t="shared" si="21"/>
        <v>81993</v>
      </c>
      <c r="U35" s="568">
        <f t="shared" si="21"/>
        <v>779435422.0800004</v>
      </c>
      <c r="V35" s="567">
        <f t="shared" si="21"/>
        <v>66141</v>
      </c>
      <c r="W35" s="568">
        <f t="shared" si="21"/>
        <v>636633238.94000018</v>
      </c>
      <c r="X35" s="567">
        <f t="shared" si="21"/>
        <v>50748</v>
      </c>
      <c r="Y35" s="568">
        <f t="shared" si="21"/>
        <v>524100494.9000001</v>
      </c>
      <c r="Z35" s="567">
        <f t="shared" si="21"/>
        <v>58254</v>
      </c>
      <c r="AA35" s="568">
        <f t="shared" si="21"/>
        <v>535930308.44999981</v>
      </c>
      <c r="AB35" s="567">
        <f t="shared" si="21"/>
        <v>66575</v>
      </c>
      <c r="AC35" s="568">
        <f t="shared" si="21"/>
        <v>555914840.12000036</v>
      </c>
      <c r="AD35" s="567">
        <f t="shared" si="21"/>
        <v>97353</v>
      </c>
      <c r="AE35" s="568">
        <f t="shared" si="21"/>
        <v>826264910.74620306</v>
      </c>
      <c r="AF35" s="567">
        <f t="shared" si="21"/>
        <v>75139</v>
      </c>
      <c r="AG35" s="568">
        <f t="shared" si="21"/>
        <v>745213176.60279751</v>
      </c>
      <c r="AH35" s="567">
        <f t="shared" si="21"/>
        <v>85456</v>
      </c>
      <c r="AI35" s="568">
        <f t="shared" si="21"/>
        <v>868617320.35000026</v>
      </c>
      <c r="AJ35" s="567">
        <f t="shared" si="21"/>
        <v>80896</v>
      </c>
      <c r="AK35" s="568">
        <f t="shared" si="21"/>
        <v>904833477.53999972</v>
      </c>
      <c r="AL35" s="567">
        <f t="shared" si="21"/>
        <v>60470</v>
      </c>
      <c r="AM35" s="568">
        <f t="shared" si="21"/>
        <v>697079737.44000006</v>
      </c>
      <c r="AN35" s="567">
        <f t="shared" si="21"/>
        <v>47558</v>
      </c>
      <c r="AO35" s="568">
        <f t="shared" si="21"/>
        <v>570989700.23000002</v>
      </c>
      <c r="AP35" s="567">
        <f t="shared" si="21"/>
        <v>33866</v>
      </c>
      <c r="AQ35" s="568">
        <f t="shared" si="21"/>
        <v>391401125.30999994</v>
      </c>
      <c r="AR35" s="567">
        <f t="shared" si="21"/>
        <v>36427</v>
      </c>
      <c r="AS35" s="568">
        <f t="shared" si="21"/>
        <v>392881758.61999977</v>
      </c>
      <c r="AT35" s="567">
        <f t="shared" si="21"/>
        <v>34358</v>
      </c>
      <c r="AU35" s="568">
        <f t="shared" si="21"/>
        <v>364984918.48999989</v>
      </c>
      <c r="AV35" s="567">
        <f t="shared" si="21"/>
        <v>33380</v>
      </c>
      <c r="AW35" s="568">
        <f t="shared" si="21"/>
        <v>328099849.3499999</v>
      </c>
      <c r="AX35" s="567">
        <f t="shared" si="21"/>
        <v>35097</v>
      </c>
      <c r="AY35" s="568">
        <f t="shared" si="21"/>
        <v>340169440.139364</v>
      </c>
      <c r="AZ35" s="567">
        <f t="shared" si="21"/>
        <v>32831</v>
      </c>
      <c r="BA35" s="568">
        <f t="shared" si="21"/>
        <v>366658303.19111097</v>
      </c>
      <c r="BB35" s="567">
        <f t="shared" si="21"/>
        <v>32398</v>
      </c>
      <c r="BC35" s="568">
        <f t="shared" si="21"/>
        <v>349575346.05200011</v>
      </c>
      <c r="BD35" s="567">
        <f t="shared" si="21"/>
        <v>33624</v>
      </c>
      <c r="BE35" s="568">
        <f t="shared" si="21"/>
        <v>425714276.29999977</v>
      </c>
      <c r="BF35" s="567">
        <f t="shared" si="21"/>
        <v>71608</v>
      </c>
      <c r="BG35" s="568">
        <f t="shared" si="21"/>
        <v>846946050.76999998</v>
      </c>
      <c r="BH35" s="567">
        <f t="shared" si="21"/>
        <v>89893</v>
      </c>
      <c r="BI35" s="568">
        <f t="shared" si="21"/>
        <v>1044362718.66552</v>
      </c>
      <c r="BJ35" s="567">
        <f t="shared" si="21"/>
        <v>83875</v>
      </c>
      <c r="BK35" s="568">
        <f t="shared" si="21"/>
        <v>961217089.64999902</v>
      </c>
      <c r="BL35" s="567">
        <f t="shared" si="21"/>
        <v>85628</v>
      </c>
      <c r="BM35" s="568">
        <f t="shared" si="21"/>
        <v>1015872003.7199965</v>
      </c>
      <c r="BN35" s="567">
        <f t="shared" ref="BN35:CA35" si="22">SUM(BN30:BN34)</f>
        <v>78986</v>
      </c>
      <c r="BO35" s="568">
        <f t="shared" si="22"/>
        <v>932570262.96999693</v>
      </c>
      <c r="BP35" s="567">
        <f t="shared" si="22"/>
        <v>53320</v>
      </c>
      <c r="BQ35" s="568">
        <f t="shared" si="22"/>
        <v>633565027.65391898</v>
      </c>
      <c r="BR35" s="567">
        <f t="shared" si="22"/>
        <v>62067</v>
      </c>
      <c r="BS35" s="568">
        <f t="shared" si="22"/>
        <v>730929339.08349109</v>
      </c>
      <c r="BT35" s="567">
        <f t="shared" si="22"/>
        <v>59675</v>
      </c>
      <c r="BU35" s="568">
        <f t="shared" si="22"/>
        <v>710147466.33999932</v>
      </c>
      <c r="BV35" s="567">
        <f t="shared" si="22"/>
        <v>60492</v>
      </c>
      <c r="BW35" s="568">
        <f t="shared" si="22"/>
        <v>654857582.65999997</v>
      </c>
      <c r="BX35" s="567">
        <f t="shared" si="22"/>
        <v>60522</v>
      </c>
      <c r="BY35" s="568">
        <f t="shared" si="22"/>
        <v>605616292.74000001</v>
      </c>
      <c r="BZ35" s="567">
        <f t="shared" si="22"/>
        <v>58744</v>
      </c>
      <c r="CA35" s="568">
        <f t="shared" si="22"/>
        <v>551495461.56999993</v>
      </c>
      <c r="CB35" s="567">
        <f>SUM(CB30:CB34)</f>
        <v>69098</v>
      </c>
      <c r="CC35" s="568">
        <f t="shared" ref="CC35:CE35" si="23">SUM(CC30:CC34)</f>
        <v>811216260.82000005</v>
      </c>
      <c r="CD35" s="567">
        <f>SUM(CD30:CD34)</f>
        <v>107912</v>
      </c>
      <c r="CE35" s="568">
        <f t="shared" si="23"/>
        <v>1330651130.78001</v>
      </c>
      <c r="CF35" s="567">
        <f>SUM(CF30:CF34)</f>
        <v>104871</v>
      </c>
      <c r="CG35" s="568">
        <f t="shared" ref="CG35:CI35" si="24">SUM(CG30:CG34)</f>
        <v>1314897013.0400002</v>
      </c>
      <c r="CH35" s="567">
        <f>SUM(CH30:CH34)</f>
        <v>79396</v>
      </c>
      <c r="CI35" s="568">
        <f t="shared" si="24"/>
        <v>1007748080.51</v>
      </c>
      <c r="CJ35" s="567">
        <f>SUM(CJ30:CJ34)</f>
        <v>85174</v>
      </c>
      <c r="CK35" s="568">
        <f t="shared" ref="CK35:CM35" si="25">SUM(CK30:CK34)</f>
        <v>1051666841.710014</v>
      </c>
      <c r="CL35" s="567">
        <f>SUM(CL30:CL34)</f>
        <v>77090</v>
      </c>
      <c r="CM35" s="568">
        <f t="shared" si="25"/>
        <v>1090715711.8699999</v>
      </c>
      <c r="CN35" s="567">
        <f>SUM(CN30:CN34)</f>
        <v>79540</v>
      </c>
      <c r="CO35" s="568">
        <f t="shared" ref="CO35" si="26">SUM(CO30:CO34)</f>
        <v>1099567109.49</v>
      </c>
      <c r="CP35" s="573"/>
    </row>
    <row r="36" spans="1:99" outlineLevel="1" x14ac:dyDescent="0.2">
      <c r="A36" s="590"/>
      <c r="B36" s="567"/>
      <c r="C36" s="572"/>
      <c r="D36" s="567"/>
      <c r="E36" s="572"/>
      <c r="F36" s="567"/>
      <c r="G36" s="572"/>
      <c r="H36" s="567"/>
      <c r="I36" s="572"/>
      <c r="J36" s="567"/>
      <c r="K36" s="572"/>
      <c r="L36" s="567"/>
      <c r="M36" s="572"/>
      <c r="N36" s="567"/>
      <c r="O36" s="572"/>
      <c r="P36" s="567"/>
      <c r="Q36" s="572"/>
      <c r="R36" s="567"/>
      <c r="S36" s="572"/>
      <c r="T36" s="567"/>
      <c r="U36" s="572">
        <v>878434844.0800004</v>
      </c>
      <c r="V36" s="567"/>
      <c r="W36" s="572"/>
      <c r="X36" s="567"/>
      <c r="Y36" s="572"/>
      <c r="Z36" s="567"/>
      <c r="AA36" s="572"/>
      <c r="AB36" s="567"/>
      <c r="AC36" s="572"/>
      <c r="AD36" s="567"/>
      <c r="AE36" s="572"/>
      <c r="AF36" s="567"/>
      <c r="AG36" s="572"/>
      <c r="AH36" s="567"/>
      <c r="AI36" s="572"/>
      <c r="AJ36" s="567"/>
      <c r="AK36" s="572"/>
      <c r="AL36" s="567"/>
      <c r="AM36" s="572"/>
      <c r="AN36" s="567"/>
      <c r="AO36" s="572"/>
      <c r="AP36" s="567"/>
      <c r="AQ36" s="572"/>
      <c r="AR36" s="567"/>
      <c r="AS36" s="572"/>
      <c r="AT36" s="567"/>
      <c r="AU36" s="572"/>
      <c r="AV36" s="567"/>
      <c r="AW36" s="572"/>
      <c r="AX36" s="567"/>
      <c r="AY36" s="572"/>
      <c r="AZ36" s="567"/>
      <c r="BA36" s="572"/>
      <c r="BB36" s="567"/>
      <c r="BC36" s="572"/>
      <c r="BD36" s="567"/>
      <c r="BE36" s="572"/>
      <c r="BF36" s="567"/>
      <c r="BG36" s="572"/>
      <c r="BH36" s="567"/>
      <c r="BI36" s="572"/>
      <c r="BJ36" s="567"/>
      <c r="BK36" s="572"/>
      <c r="BL36" s="567"/>
      <c r="BM36" s="572"/>
      <c r="BN36" s="567"/>
      <c r="BO36" s="572"/>
      <c r="BP36" s="567"/>
      <c r="BQ36" s="572"/>
      <c r="BR36" s="567"/>
      <c r="BS36" s="572"/>
      <c r="BT36" s="567"/>
      <c r="BU36" s="572"/>
      <c r="BV36" s="567"/>
      <c r="BW36" s="572"/>
      <c r="BX36" s="567"/>
      <c r="BY36" s="572"/>
      <c r="BZ36" s="567"/>
      <c r="CA36" s="572"/>
      <c r="CB36" s="567"/>
      <c r="CC36" s="572"/>
      <c r="CD36" s="567"/>
      <c r="CE36" s="572"/>
      <c r="CF36" s="567"/>
      <c r="CG36" s="572"/>
      <c r="CH36" s="567"/>
      <c r="CI36" s="572"/>
      <c r="CJ36" s="567"/>
      <c r="CK36" s="572"/>
      <c r="CL36" s="567"/>
      <c r="CM36" s="572"/>
      <c r="CN36" s="567"/>
      <c r="CO36" s="572"/>
      <c r="CQ36" s="595"/>
      <c r="CR36" s="573"/>
    </row>
    <row r="37" spans="1:99" ht="16" customHeight="1" outlineLevel="1" x14ac:dyDescent="0.2">
      <c r="A37" s="553" t="s">
        <v>535</v>
      </c>
      <c r="B37" s="554"/>
      <c r="C37" s="555"/>
      <c r="D37" s="554"/>
      <c r="E37" s="555"/>
      <c r="F37" s="554"/>
      <c r="G37" s="555"/>
      <c r="H37" s="554"/>
      <c r="I37" s="555"/>
      <c r="J37" s="554"/>
      <c r="K37" s="555"/>
      <c r="L37" s="554"/>
      <c r="M37" s="555"/>
      <c r="N37" s="554"/>
      <c r="O37" s="555"/>
      <c r="P37" s="554"/>
      <c r="Q37" s="555"/>
      <c r="R37" s="554"/>
      <c r="S37" s="555"/>
      <c r="T37" s="554"/>
      <c r="U37" s="555"/>
      <c r="V37" s="554"/>
      <c r="W37" s="555"/>
      <c r="X37" s="554"/>
      <c r="Y37" s="555"/>
      <c r="Z37" s="554"/>
      <c r="AA37" s="555"/>
      <c r="AB37" s="554"/>
      <c r="AC37" s="555"/>
      <c r="AD37" s="554"/>
      <c r="AE37" s="555"/>
      <c r="AF37" s="554"/>
      <c r="AG37" s="555"/>
      <c r="AH37" s="554"/>
      <c r="AI37" s="555"/>
      <c r="AJ37" s="554"/>
      <c r="AK37" s="555"/>
      <c r="AL37" s="554"/>
      <c r="AM37" s="555"/>
      <c r="AN37" s="554"/>
      <c r="AO37" s="555"/>
      <c r="AP37" s="554"/>
      <c r="AQ37" s="555"/>
      <c r="AR37" s="554"/>
      <c r="AS37" s="555"/>
      <c r="AT37" s="554"/>
      <c r="AU37" s="555"/>
      <c r="AV37" s="554"/>
      <c r="AW37" s="555"/>
      <c r="AX37" s="554"/>
      <c r="AY37" s="555"/>
      <c r="AZ37" s="554"/>
      <c r="BA37" s="555"/>
      <c r="BB37" s="554"/>
      <c r="BC37" s="555"/>
      <c r="BD37" s="554"/>
      <c r="BE37" s="555"/>
      <c r="BF37" s="554"/>
      <c r="BG37" s="555"/>
      <c r="BH37" s="554"/>
      <c r="BI37" s="555"/>
      <c r="BJ37" s="554"/>
      <c r="BK37" s="555"/>
      <c r="BL37" s="554"/>
      <c r="BM37" s="555"/>
      <c r="BN37" s="554"/>
      <c r="BO37" s="555"/>
      <c r="BP37" s="554"/>
      <c r="BQ37" s="555"/>
      <c r="BR37" s="554"/>
      <c r="BS37" s="555"/>
      <c r="BT37" s="554"/>
      <c r="BU37" s="555"/>
      <c r="BV37" s="554"/>
      <c r="BW37" s="555"/>
      <c r="BX37" s="554"/>
      <c r="BY37" s="555"/>
      <c r="BZ37" s="554"/>
      <c r="CA37" s="555"/>
      <c r="CB37" s="554"/>
      <c r="CC37" s="555"/>
      <c r="CD37" s="554"/>
      <c r="CE37" s="555"/>
      <c r="CF37" s="554"/>
      <c r="CG37" s="555"/>
      <c r="CH37" s="554"/>
      <c r="CI37" s="555"/>
      <c r="CJ37" s="554"/>
      <c r="CK37" s="555"/>
      <c r="CL37" s="554"/>
      <c r="CM37" s="555"/>
      <c r="CN37" s="554"/>
      <c r="CO37" s="555"/>
    </row>
    <row r="38" spans="1:99" ht="16" customHeight="1" outlineLevel="1" x14ac:dyDescent="0.2">
      <c r="A38" s="556" t="s">
        <v>5</v>
      </c>
      <c r="B38" s="557"/>
      <c r="C38" s="558"/>
      <c r="D38" s="557"/>
      <c r="E38" s="558"/>
      <c r="F38" s="557"/>
      <c r="G38" s="558"/>
      <c r="H38" s="557"/>
      <c r="I38" s="558"/>
      <c r="J38" s="557"/>
      <c r="K38" s="558"/>
      <c r="L38" s="557"/>
      <c r="M38" s="558"/>
      <c r="N38" s="557"/>
      <c r="O38" s="558"/>
      <c r="P38" s="557"/>
      <c r="Q38" s="558"/>
      <c r="R38" s="557"/>
      <c r="S38" s="558"/>
      <c r="T38" s="557"/>
      <c r="U38" s="558"/>
      <c r="V38" s="557"/>
      <c r="W38" s="558"/>
      <c r="X38" s="557"/>
      <c r="Y38" s="558"/>
      <c r="Z38" s="557"/>
      <c r="AA38" s="558"/>
      <c r="AB38" s="557"/>
      <c r="AC38" s="558"/>
      <c r="AD38" s="557"/>
      <c r="AE38" s="558"/>
      <c r="AF38" s="557"/>
      <c r="AG38" s="558"/>
      <c r="AH38" s="557"/>
      <c r="AI38" s="558"/>
      <c r="AJ38" s="557"/>
      <c r="AK38" s="558"/>
      <c r="AL38" s="557"/>
      <c r="AM38" s="558"/>
      <c r="AN38" s="557"/>
      <c r="AO38" s="558"/>
      <c r="AP38" s="557"/>
      <c r="AQ38" s="558"/>
      <c r="AR38" s="557"/>
      <c r="AS38" s="558"/>
      <c r="AT38" s="557"/>
      <c r="AU38" s="558"/>
      <c r="AV38" s="557"/>
      <c r="AW38" s="558"/>
      <c r="AX38" s="557"/>
      <c r="AY38" s="558"/>
      <c r="AZ38" s="557"/>
      <c r="BA38" s="558"/>
      <c r="BB38" s="557"/>
      <c r="BC38" s="558"/>
      <c r="BD38" s="557"/>
      <c r="BE38" s="558"/>
      <c r="BF38" s="557"/>
      <c r="BG38" s="558"/>
      <c r="BH38" s="557"/>
      <c r="BI38" s="558"/>
      <c r="BJ38" s="557"/>
      <c r="BK38" s="558"/>
      <c r="BL38" s="557"/>
      <c r="BM38" s="558"/>
      <c r="BN38" s="557"/>
      <c r="BO38" s="558"/>
      <c r="BP38" s="557"/>
      <c r="BQ38" s="558"/>
      <c r="BR38" s="557"/>
      <c r="BS38" s="558"/>
      <c r="BT38" s="557"/>
      <c r="BU38" s="558"/>
      <c r="BV38" s="557"/>
      <c r="BW38" s="558"/>
      <c r="BX38" s="557"/>
      <c r="BY38" s="558"/>
      <c r="BZ38" s="557"/>
      <c r="CA38" s="558"/>
      <c r="CB38" s="557"/>
      <c r="CC38" s="558"/>
      <c r="CD38" s="557"/>
      <c r="CE38" s="558"/>
      <c r="CF38" s="557"/>
      <c r="CG38" s="558"/>
      <c r="CH38" s="557"/>
      <c r="CI38" s="558"/>
      <c r="CJ38" s="557"/>
      <c r="CK38" s="558"/>
      <c r="CL38" s="557"/>
      <c r="CM38" s="558"/>
      <c r="CN38" s="557"/>
      <c r="CO38" s="558"/>
    </row>
    <row r="39" spans="1:99" outlineLevel="1" x14ac:dyDescent="0.2">
      <c r="A39" s="561" t="s">
        <v>521</v>
      </c>
      <c r="B39" s="562">
        <v>31198</v>
      </c>
      <c r="C39" s="563">
        <v>210729285.47477108</v>
      </c>
      <c r="D39" s="562">
        <v>37117</v>
      </c>
      <c r="E39" s="563">
        <v>229936858.82964984</v>
      </c>
      <c r="F39" s="562">
        <v>47986</v>
      </c>
      <c r="G39" s="563">
        <v>274226909.19</v>
      </c>
      <c r="H39" s="562">
        <v>33733</v>
      </c>
      <c r="I39" s="563">
        <v>253636523.24999997</v>
      </c>
      <c r="J39" s="562">
        <v>67026</v>
      </c>
      <c r="K39" s="563">
        <v>483689841.69999951</v>
      </c>
      <c r="L39" s="562">
        <v>28192</v>
      </c>
      <c r="M39" s="563">
        <v>287068457.89999998</v>
      </c>
      <c r="N39" s="562">
        <v>25799</v>
      </c>
      <c r="O39" s="563">
        <v>250239902.7200003</v>
      </c>
      <c r="P39" s="562">
        <f>34243+8978</f>
        <v>43221</v>
      </c>
      <c r="Q39" s="563">
        <f>264707051.105+101627701</f>
        <v>366334752.10500002</v>
      </c>
      <c r="R39" s="562">
        <v>54588</v>
      </c>
      <c r="S39" s="563">
        <v>505683444.21999991</v>
      </c>
      <c r="T39" s="562">
        <v>34317</v>
      </c>
      <c r="U39" s="563">
        <v>326246889.49999994</v>
      </c>
      <c r="V39" s="562">
        <v>27231</v>
      </c>
      <c r="W39" s="563">
        <v>251829338.26000002</v>
      </c>
      <c r="X39" s="562">
        <v>26620</v>
      </c>
      <c r="Y39" s="563">
        <v>259594293.28999999</v>
      </c>
      <c r="Z39" s="562">
        <v>31701</v>
      </c>
      <c r="AA39" s="563">
        <v>261141681.84000003</v>
      </c>
      <c r="AB39" s="562">
        <v>35817</v>
      </c>
      <c r="AC39" s="563">
        <v>285390777.60000038</v>
      </c>
      <c r="AD39" s="562">
        <v>54978</v>
      </c>
      <c r="AE39" s="563">
        <v>470360168.58999985</v>
      </c>
      <c r="AF39" s="562">
        <v>22609</v>
      </c>
      <c r="AG39" s="563">
        <v>308070962.02279806</v>
      </c>
      <c r="AH39" s="562">
        <v>37564</v>
      </c>
      <c r="AI39" s="563">
        <v>394304381.98000014</v>
      </c>
      <c r="AJ39" s="562">
        <v>26182</v>
      </c>
      <c r="AK39" s="563">
        <v>323506059.91999996</v>
      </c>
      <c r="AL39" s="562">
        <v>11566</v>
      </c>
      <c r="AM39" s="563">
        <v>138036489.34</v>
      </c>
      <c r="AN39" s="562">
        <v>21642</v>
      </c>
      <c r="AO39" s="563">
        <v>259213436.5</v>
      </c>
      <c r="AP39" s="562">
        <v>14414</v>
      </c>
      <c r="AQ39" s="563">
        <v>156292908.16999999</v>
      </c>
      <c r="AR39" s="562">
        <v>15842</v>
      </c>
      <c r="AS39" s="563">
        <v>188297627.89999995</v>
      </c>
      <c r="AT39" s="562">
        <v>23119</v>
      </c>
      <c r="AU39" s="563">
        <v>243271709.19999996</v>
      </c>
      <c r="AV39" s="562">
        <v>20828</v>
      </c>
      <c r="AW39" s="563">
        <v>215695043.29999998</v>
      </c>
      <c r="AX39" s="562">
        <v>21672</v>
      </c>
      <c r="AY39" s="563">
        <v>209584727.80000007</v>
      </c>
      <c r="AZ39" s="562">
        <v>22622</v>
      </c>
      <c r="BA39" s="563">
        <v>254624620.15111092</v>
      </c>
      <c r="BB39" s="562">
        <v>20942</v>
      </c>
      <c r="BC39" s="563">
        <v>200742390.79000002</v>
      </c>
      <c r="BD39" s="562">
        <v>18563</v>
      </c>
      <c r="BE39" s="563">
        <v>239589191.26000011</v>
      </c>
      <c r="BF39" s="562">
        <v>47409</v>
      </c>
      <c r="BG39" s="563">
        <v>561869119.79000008</v>
      </c>
      <c r="BH39" s="562">
        <v>33671</v>
      </c>
      <c r="BI39" s="563">
        <v>407268062.83552855</v>
      </c>
      <c r="BJ39" s="562">
        <v>31494</v>
      </c>
      <c r="BK39" s="563">
        <v>308571804.44000113</v>
      </c>
      <c r="BL39" s="562">
        <v>40520</v>
      </c>
      <c r="BM39" s="563">
        <v>487065915.12000054</v>
      </c>
      <c r="BN39" s="562">
        <v>31680</v>
      </c>
      <c r="BO39" s="563">
        <v>349432564.75999999</v>
      </c>
      <c r="BP39" s="562">
        <v>22582</v>
      </c>
      <c r="BQ39" s="563">
        <v>250901274.08000004</v>
      </c>
      <c r="BR39" s="562">
        <v>27971</v>
      </c>
      <c r="BS39" s="563">
        <v>317022268.11999989</v>
      </c>
      <c r="BT39" s="562">
        <v>28499</v>
      </c>
      <c r="BU39" s="563">
        <v>350536813.06999993</v>
      </c>
      <c r="BV39" s="593">
        <v>29931</v>
      </c>
      <c r="BW39" s="594">
        <v>318589648.91000044</v>
      </c>
      <c r="BX39" s="593">
        <v>25596</v>
      </c>
      <c r="BY39" s="594">
        <v>231616771.10000002</v>
      </c>
      <c r="BZ39" s="593">
        <v>26906</v>
      </c>
      <c r="CA39" s="594">
        <v>247986174.64999995</v>
      </c>
      <c r="CB39" s="593">
        <v>38521</v>
      </c>
      <c r="CC39" s="594">
        <v>487590945.44999993</v>
      </c>
      <c r="CD39" s="593">
        <v>61136</v>
      </c>
      <c r="CE39" s="594">
        <v>801763075.02000189</v>
      </c>
      <c r="CF39" s="593">
        <v>37970</v>
      </c>
      <c r="CG39" s="594">
        <v>493420014.84000033</v>
      </c>
      <c r="CH39" s="593">
        <v>31084</v>
      </c>
      <c r="CI39" s="594">
        <v>371647163.46000022</v>
      </c>
      <c r="CJ39" s="593">
        <v>45192</v>
      </c>
      <c r="CK39" s="594">
        <v>496516876.84999985</v>
      </c>
      <c r="CL39" s="593">
        <v>34828</v>
      </c>
      <c r="CM39" s="594">
        <v>463331158.2500003</v>
      </c>
      <c r="CN39" s="593">
        <v>37505</v>
      </c>
      <c r="CO39" s="594">
        <v>468912396.44000006</v>
      </c>
      <c r="CT39" s="593">
        <v>37505</v>
      </c>
      <c r="CU39" s="594">
        <v>468912396.44000006</v>
      </c>
    </row>
    <row r="40" spans="1:99" outlineLevel="1" x14ac:dyDescent="0.2">
      <c r="A40" s="561" t="s">
        <v>522</v>
      </c>
      <c r="B40" s="562">
        <v>5639</v>
      </c>
      <c r="C40" s="563">
        <v>44012458.75000003</v>
      </c>
      <c r="D40" s="562">
        <v>10363</v>
      </c>
      <c r="E40" s="563">
        <v>68398482.022500038</v>
      </c>
      <c r="F40" s="562">
        <v>13766</v>
      </c>
      <c r="G40" s="563">
        <v>73700161.475000009</v>
      </c>
      <c r="H40" s="562">
        <v>11900</v>
      </c>
      <c r="I40" s="563">
        <v>63493583.300000004</v>
      </c>
      <c r="J40" s="562">
        <v>42060</v>
      </c>
      <c r="K40" s="563">
        <v>242934675.42000037</v>
      </c>
      <c r="L40" s="562">
        <v>28192</v>
      </c>
      <c r="M40" s="563">
        <v>222282125.16</v>
      </c>
      <c r="N40" s="562">
        <v>10597</v>
      </c>
      <c r="O40" s="563">
        <v>113131446.40000001</v>
      </c>
      <c r="P40" s="562">
        <v>7731</v>
      </c>
      <c r="Q40" s="563">
        <v>68382441.5</v>
      </c>
      <c r="R40" s="562">
        <v>15434</v>
      </c>
      <c r="S40" s="563">
        <v>120633970.52</v>
      </c>
      <c r="T40" s="562">
        <v>20958</v>
      </c>
      <c r="U40" s="563">
        <v>202744724.00000003</v>
      </c>
      <c r="V40" s="562">
        <v>14936</v>
      </c>
      <c r="W40" s="563">
        <v>139785207.55000001</v>
      </c>
      <c r="X40" s="562">
        <v>10864</v>
      </c>
      <c r="Y40" s="563">
        <v>108742170.89999999</v>
      </c>
      <c r="Z40" s="562">
        <v>13314</v>
      </c>
      <c r="AA40" s="563">
        <v>121238725.80000003</v>
      </c>
      <c r="AB40" s="562">
        <v>12436</v>
      </c>
      <c r="AC40" s="563">
        <v>104733849.55999994</v>
      </c>
      <c r="AD40" s="562">
        <v>22211</v>
      </c>
      <c r="AE40" s="563">
        <v>173547071.94620404</v>
      </c>
      <c r="AF40" s="562">
        <v>12750</v>
      </c>
      <c r="AG40" s="563">
        <v>107957429.89000002</v>
      </c>
      <c r="AH40" s="562">
        <v>12205</v>
      </c>
      <c r="AI40" s="563">
        <v>128841387.81000003</v>
      </c>
      <c r="AJ40" s="562">
        <v>13119</v>
      </c>
      <c r="AK40" s="563">
        <v>150213623.35999998</v>
      </c>
      <c r="AL40" s="562">
        <v>8457</v>
      </c>
      <c r="AM40" s="563">
        <v>105570832.7</v>
      </c>
      <c r="AN40" s="562">
        <v>4578</v>
      </c>
      <c r="AO40" s="563">
        <v>52004577.770000003</v>
      </c>
      <c r="AP40" s="562">
        <v>6719</v>
      </c>
      <c r="AQ40" s="563">
        <v>69450208.089999989</v>
      </c>
      <c r="AR40" s="562">
        <v>3917</v>
      </c>
      <c r="AS40" s="563">
        <v>44306492.300000004</v>
      </c>
      <c r="AT40" s="562">
        <v>5571</v>
      </c>
      <c r="AU40" s="563">
        <v>55449401.600000009</v>
      </c>
      <c r="AV40" s="562">
        <v>6032</v>
      </c>
      <c r="AW40" s="563">
        <v>50440165.900000028</v>
      </c>
      <c r="AX40" s="562">
        <v>5787</v>
      </c>
      <c r="AY40" s="563">
        <v>54843056.699999988</v>
      </c>
      <c r="AZ40" s="562">
        <v>4171</v>
      </c>
      <c r="BA40" s="563">
        <v>46276842.019999996</v>
      </c>
      <c r="BB40" s="562">
        <v>4231</v>
      </c>
      <c r="BC40" s="563">
        <v>54511565.221999995</v>
      </c>
      <c r="BD40" s="562">
        <v>7291</v>
      </c>
      <c r="BE40" s="563">
        <v>86786430.609999999</v>
      </c>
      <c r="BF40" s="562">
        <v>12848</v>
      </c>
      <c r="BG40" s="563">
        <v>119580951.19999997</v>
      </c>
      <c r="BH40" s="562">
        <v>25234</v>
      </c>
      <c r="BI40" s="563">
        <v>256290985.79000023</v>
      </c>
      <c r="BJ40" s="562">
        <v>17654</v>
      </c>
      <c r="BK40" s="563">
        <v>210501886.87999931</v>
      </c>
      <c r="BL40" s="562">
        <v>17491</v>
      </c>
      <c r="BM40" s="563">
        <v>179622318.28000021</v>
      </c>
      <c r="BN40" s="562">
        <v>18120</v>
      </c>
      <c r="BO40" s="563">
        <v>225636940.95999998</v>
      </c>
      <c r="BP40" s="562">
        <v>5783</v>
      </c>
      <c r="BQ40" s="563">
        <v>70044049.680000067</v>
      </c>
      <c r="BR40" s="562">
        <v>11047</v>
      </c>
      <c r="BS40" s="563">
        <v>117499856.75999999</v>
      </c>
      <c r="BT40" s="562">
        <v>10512</v>
      </c>
      <c r="BU40" s="563">
        <v>107415265.02</v>
      </c>
      <c r="BV40" s="593">
        <v>8755</v>
      </c>
      <c r="BW40" s="594">
        <v>97865062.639999956</v>
      </c>
      <c r="BX40" s="593">
        <v>9852</v>
      </c>
      <c r="BY40" s="594">
        <v>86379851.109999955</v>
      </c>
      <c r="BZ40" s="593">
        <v>7712</v>
      </c>
      <c r="CA40" s="594">
        <v>64188582.149999976</v>
      </c>
      <c r="CB40" s="593">
        <v>5658</v>
      </c>
      <c r="CC40" s="594">
        <v>47008086.910000011</v>
      </c>
      <c r="CD40" s="593">
        <v>19804</v>
      </c>
      <c r="CE40" s="594">
        <v>245747785.90000004</v>
      </c>
      <c r="CF40" s="593">
        <v>23337</v>
      </c>
      <c r="CG40" s="594">
        <v>289127272.96999991</v>
      </c>
      <c r="CH40" s="593">
        <v>10111</v>
      </c>
      <c r="CI40" s="594">
        <v>131577576.17000003</v>
      </c>
      <c r="CJ40" s="593">
        <v>11611</v>
      </c>
      <c r="CK40" s="594">
        <v>166880717.36999935</v>
      </c>
      <c r="CL40" s="593">
        <v>14931</v>
      </c>
      <c r="CM40" s="594">
        <v>222787576.70000008</v>
      </c>
      <c r="CN40" s="593">
        <v>8574</v>
      </c>
      <c r="CO40" s="594">
        <v>142896731.78</v>
      </c>
      <c r="CT40" s="593">
        <v>8574</v>
      </c>
      <c r="CU40" s="594">
        <v>142896731.78</v>
      </c>
    </row>
    <row r="41" spans="1:99" outlineLevel="1" x14ac:dyDescent="0.2">
      <c r="A41" s="561" t="s">
        <v>523</v>
      </c>
      <c r="B41" s="562">
        <v>5229</v>
      </c>
      <c r="C41" s="563">
        <v>41338043.712500028</v>
      </c>
      <c r="D41" s="562">
        <v>6575</v>
      </c>
      <c r="E41" s="563">
        <v>49233893.650000036</v>
      </c>
      <c r="F41" s="562">
        <v>11116</v>
      </c>
      <c r="G41" s="563">
        <v>68754366.5</v>
      </c>
      <c r="H41" s="562">
        <v>13814</v>
      </c>
      <c r="I41" s="563">
        <v>65395475.400000021</v>
      </c>
      <c r="J41" s="562">
        <v>18482</v>
      </c>
      <c r="K41" s="563">
        <v>116940326.73249996</v>
      </c>
      <c r="L41" s="562">
        <v>52858</v>
      </c>
      <c r="M41" s="563">
        <v>295833835.2100001</v>
      </c>
      <c r="N41" s="562">
        <v>16845</v>
      </c>
      <c r="O41" s="563">
        <v>172714136.53</v>
      </c>
      <c r="P41" s="562">
        <v>6401</v>
      </c>
      <c r="Q41" s="563">
        <v>75360029.599999994</v>
      </c>
      <c r="R41" s="562">
        <v>8202</v>
      </c>
      <c r="S41" s="563">
        <v>63523073.389999986</v>
      </c>
      <c r="T41" s="562">
        <v>18771</v>
      </c>
      <c r="U41" s="563">
        <v>165873639.25000003</v>
      </c>
      <c r="V41" s="562">
        <v>14823</v>
      </c>
      <c r="W41" s="563">
        <v>137035417.10000002</v>
      </c>
      <c r="X41" s="562">
        <v>7082</v>
      </c>
      <c r="Y41" s="563">
        <v>73572104.870000005</v>
      </c>
      <c r="Z41" s="562">
        <v>8981</v>
      </c>
      <c r="AA41" s="563">
        <v>95418813.199999988</v>
      </c>
      <c r="AB41" s="562">
        <v>13340</v>
      </c>
      <c r="AC41" s="563">
        <v>107437636.54000004</v>
      </c>
      <c r="AD41" s="562">
        <v>12621</v>
      </c>
      <c r="AE41" s="563">
        <v>105288253.19000001</v>
      </c>
      <c r="AF41" s="562">
        <v>29312</v>
      </c>
      <c r="AG41" s="563">
        <v>221131904.14000008</v>
      </c>
      <c r="AH41" s="562">
        <v>12459</v>
      </c>
      <c r="AI41" s="563">
        <v>135461232.14000005</v>
      </c>
      <c r="AJ41" s="562">
        <v>18128</v>
      </c>
      <c r="AK41" s="563">
        <v>193061991.38999999</v>
      </c>
      <c r="AL41" s="562">
        <v>14952</v>
      </c>
      <c r="AM41" s="563">
        <v>174932682.39999998</v>
      </c>
      <c r="AN41" s="562">
        <v>5529</v>
      </c>
      <c r="AO41" s="563">
        <v>65817235.400000006</v>
      </c>
      <c r="AP41" s="562">
        <v>4416</v>
      </c>
      <c r="AQ41" s="563">
        <v>54158803.600000001</v>
      </c>
      <c r="AR41" s="562">
        <v>3734</v>
      </c>
      <c r="AS41" s="563">
        <v>42198370.899999999</v>
      </c>
      <c r="AT41" s="562">
        <v>3241</v>
      </c>
      <c r="AU41" s="563">
        <v>36805765.380000003</v>
      </c>
      <c r="AV41" s="562">
        <v>4511</v>
      </c>
      <c r="AW41" s="563">
        <v>39755002.500000007</v>
      </c>
      <c r="AX41" s="562">
        <v>4932</v>
      </c>
      <c r="AY41" s="563">
        <v>47398879.117141992</v>
      </c>
      <c r="AZ41" s="562">
        <v>3814</v>
      </c>
      <c r="BA41" s="563">
        <v>40545850.799999997</v>
      </c>
      <c r="BB41" s="562">
        <v>4361</v>
      </c>
      <c r="BC41" s="563">
        <v>58895465.719999999</v>
      </c>
      <c r="BD41" s="562">
        <v>4178</v>
      </c>
      <c r="BE41" s="563">
        <v>51845912.799999997</v>
      </c>
      <c r="BF41" s="562">
        <v>6923</v>
      </c>
      <c r="BG41" s="563">
        <v>104031119.25000003</v>
      </c>
      <c r="BH41" s="562">
        <v>20748</v>
      </c>
      <c r="BI41" s="563">
        <v>225956981.62000012</v>
      </c>
      <c r="BJ41" s="562">
        <v>19697</v>
      </c>
      <c r="BK41" s="563">
        <v>230223458.17000008</v>
      </c>
      <c r="BL41" s="562">
        <v>13562</v>
      </c>
      <c r="BM41" s="563">
        <v>157895904.09000018</v>
      </c>
      <c r="BN41" s="562">
        <v>13912</v>
      </c>
      <c r="BO41" s="563">
        <v>152594081.46999994</v>
      </c>
      <c r="BP41" s="562">
        <v>10098</v>
      </c>
      <c r="BQ41" s="563">
        <v>124091661.87999997</v>
      </c>
      <c r="BR41" s="562">
        <v>5869</v>
      </c>
      <c r="BS41" s="563">
        <v>75250418.200000003</v>
      </c>
      <c r="BT41" s="562">
        <v>8288</v>
      </c>
      <c r="BU41" s="563">
        <v>101483385.11999977</v>
      </c>
      <c r="BV41" s="593">
        <v>9563</v>
      </c>
      <c r="BW41" s="594">
        <v>97654418.370000035</v>
      </c>
      <c r="BX41" s="593">
        <v>11230</v>
      </c>
      <c r="BY41" s="594">
        <v>113477342.10999998</v>
      </c>
      <c r="BZ41" s="593">
        <v>8910</v>
      </c>
      <c r="CA41" s="594">
        <v>77210495.190000013</v>
      </c>
      <c r="CB41" s="593">
        <v>8221</v>
      </c>
      <c r="CC41" s="594">
        <v>71673322.789999992</v>
      </c>
      <c r="CD41" s="593">
        <v>10256</v>
      </c>
      <c r="CE41" s="594">
        <v>110449297.98999999</v>
      </c>
      <c r="CF41" s="593">
        <v>24195</v>
      </c>
      <c r="CG41" s="594">
        <v>311262226.13999963</v>
      </c>
      <c r="CH41" s="593">
        <f>15431+686</f>
        <v>16117</v>
      </c>
      <c r="CI41" s="594">
        <f>205165151.53+18831529.08</f>
        <v>223996680.61000001</v>
      </c>
      <c r="CJ41" s="593">
        <f>9042+659</f>
        <v>9701</v>
      </c>
      <c r="CK41" s="594">
        <f>117629039.81+17889545.39</f>
        <v>135518585.19999999</v>
      </c>
      <c r="CL41" s="593">
        <f>10992+481</f>
        <v>11473</v>
      </c>
      <c r="CM41" s="594">
        <f>163295624.58+12566103.8</f>
        <v>175861728.38000003</v>
      </c>
      <c r="CN41" s="593">
        <f>13799+720</f>
        <v>14519</v>
      </c>
      <c r="CO41" s="594">
        <f>186310407.22+(163683.9*90)</f>
        <v>201041958.22</v>
      </c>
      <c r="CQ41" s="573"/>
      <c r="CT41" s="593">
        <f>13799+720</f>
        <v>14519</v>
      </c>
      <c r="CU41" s="594">
        <f>186310407.22+(163683.9*90)</f>
        <v>201041958.22</v>
      </c>
    </row>
    <row r="42" spans="1:99" outlineLevel="1" x14ac:dyDescent="0.2">
      <c r="A42" s="561" t="s">
        <v>524</v>
      </c>
      <c r="B42" s="562">
        <v>3994</v>
      </c>
      <c r="C42" s="563">
        <v>38131971.850000016</v>
      </c>
      <c r="D42" s="562">
        <v>1702</v>
      </c>
      <c r="E42" s="563">
        <v>17206661.232499998</v>
      </c>
      <c r="F42" s="562">
        <v>2573</v>
      </c>
      <c r="G42" s="563">
        <v>20237449.989999998</v>
      </c>
      <c r="H42" s="562">
        <v>5003</v>
      </c>
      <c r="I42" s="563">
        <v>28595365.500000004</v>
      </c>
      <c r="J42" s="562">
        <v>6527</v>
      </c>
      <c r="K42" s="563">
        <v>33973371.735000014</v>
      </c>
      <c r="L42" s="562">
        <v>8765</v>
      </c>
      <c r="M42" s="563">
        <v>54664320.607500024</v>
      </c>
      <c r="N42" s="562">
        <v>17512</v>
      </c>
      <c r="O42" s="563">
        <v>114979524.94000009</v>
      </c>
      <c r="P42" s="562">
        <v>4779</v>
      </c>
      <c r="Q42" s="563">
        <v>53932952.329999998</v>
      </c>
      <c r="R42" s="562">
        <v>2245</v>
      </c>
      <c r="S42" s="563">
        <v>28056117.100000001</v>
      </c>
      <c r="T42" s="562">
        <v>2923</v>
      </c>
      <c r="U42" s="563">
        <v>27979292.190000001</v>
      </c>
      <c r="V42" s="562">
        <v>4934</v>
      </c>
      <c r="W42" s="563">
        <v>58133302.149999991</v>
      </c>
      <c r="X42" s="562">
        <v>2589</v>
      </c>
      <c r="Y42" s="563">
        <v>33613830.400000006</v>
      </c>
      <c r="Z42" s="562">
        <v>1664</v>
      </c>
      <c r="AA42" s="563">
        <v>21856622.52</v>
      </c>
      <c r="AB42" s="562">
        <v>2562</v>
      </c>
      <c r="AC42" s="563">
        <v>28139169.300000001</v>
      </c>
      <c r="AD42" s="562">
        <v>4393</v>
      </c>
      <c r="AE42" s="563">
        <v>38553583.899999999</v>
      </c>
      <c r="AF42" s="562">
        <v>5834</v>
      </c>
      <c r="AG42" s="563">
        <v>57525749.800000012</v>
      </c>
      <c r="AH42" s="562">
        <v>15903</v>
      </c>
      <c r="AI42" s="563">
        <v>128261424.30000003</v>
      </c>
      <c r="AJ42" s="562">
        <v>7210</v>
      </c>
      <c r="AK42" s="563">
        <v>80311629.62000002</v>
      </c>
      <c r="AL42" s="562">
        <v>9964</v>
      </c>
      <c r="AM42" s="563">
        <v>108988927.08000001</v>
      </c>
      <c r="AN42" s="562">
        <v>5805</v>
      </c>
      <c r="AO42" s="563">
        <v>70116578.210000008</v>
      </c>
      <c r="AP42" s="562">
        <v>2202</v>
      </c>
      <c r="AQ42" s="563">
        <v>29145207.670000002</v>
      </c>
      <c r="AR42" s="562">
        <v>1510</v>
      </c>
      <c r="AS42" s="563">
        <v>20931791</v>
      </c>
      <c r="AT42" s="562">
        <v>826</v>
      </c>
      <c r="AU42" s="563">
        <v>10953493.600000001</v>
      </c>
      <c r="AV42" s="562">
        <v>578</v>
      </c>
      <c r="AW42" s="563">
        <v>7459712.8200000003</v>
      </c>
      <c r="AX42" s="562">
        <v>1194</v>
      </c>
      <c r="AY42" s="563">
        <v>12086044.102221999</v>
      </c>
      <c r="AZ42" s="562">
        <v>982</v>
      </c>
      <c r="BA42" s="563">
        <v>12603876.700000001</v>
      </c>
      <c r="BB42" s="562">
        <v>1277</v>
      </c>
      <c r="BC42" s="563">
        <v>16936471.399999999</v>
      </c>
      <c r="BD42" s="562">
        <v>1582</v>
      </c>
      <c r="BE42" s="563">
        <v>23709622.209999997</v>
      </c>
      <c r="BF42" s="562">
        <v>1708</v>
      </c>
      <c r="BG42" s="563">
        <v>25276163.000000004</v>
      </c>
      <c r="BH42" s="562">
        <v>1616</v>
      </c>
      <c r="BI42" s="563">
        <v>24141585.999999993</v>
      </c>
      <c r="BJ42" s="562">
        <v>5291</v>
      </c>
      <c r="BK42" s="563">
        <v>65973141.239999987</v>
      </c>
      <c r="BL42" s="562">
        <v>5600</v>
      </c>
      <c r="BM42" s="563">
        <v>76400208.290000051</v>
      </c>
      <c r="BN42" s="562">
        <v>4575</v>
      </c>
      <c r="BO42" s="563">
        <v>56695102.249999978</v>
      </c>
      <c r="BP42" s="562">
        <v>4668</v>
      </c>
      <c r="BQ42" s="563">
        <v>56390808.810000017</v>
      </c>
      <c r="BR42" s="562">
        <v>3991</v>
      </c>
      <c r="BS42" s="563">
        <v>57125230.500000007</v>
      </c>
      <c r="BT42" s="562">
        <v>2530</v>
      </c>
      <c r="BU42" s="563">
        <v>35435940.040000007</v>
      </c>
      <c r="BV42" s="593">
        <v>3725</v>
      </c>
      <c r="BW42" s="594">
        <v>46039045.589999996</v>
      </c>
      <c r="BX42" s="593">
        <v>3305</v>
      </c>
      <c r="BY42" s="594">
        <v>44473995.700000003</v>
      </c>
      <c r="BZ42" s="593">
        <v>2795</v>
      </c>
      <c r="CA42" s="594">
        <v>27861877.869999997</v>
      </c>
      <c r="CB42" s="593">
        <v>2856</v>
      </c>
      <c r="CC42" s="594">
        <v>27491066.820000011</v>
      </c>
      <c r="CD42" s="593">
        <v>3720</v>
      </c>
      <c r="CE42" s="594">
        <v>34257458.729999997</v>
      </c>
      <c r="CF42" s="593">
        <v>4251</v>
      </c>
      <c r="CG42" s="594">
        <v>49920179.770000003</v>
      </c>
      <c r="CH42" s="593">
        <v>8845</v>
      </c>
      <c r="CI42" s="594">
        <v>125671387.3900004</v>
      </c>
      <c r="CJ42" s="593">
        <v>5166</v>
      </c>
      <c r="CK42" s="594">
        <v>69353973.749999985</v>
      </c>
      <c r="CL42" s="593">
        <v>1774</v>
      </c>
      <c r="CM42" s="594">
        <v>29869864.020000007</v>
      </c>
      <c r="CN42" s="593">
        <v>3064</v>
      </c>
      <c r="CO42" s="594">
        <v>41279382.050000004</v>
      </c>
      <c r="CT42" s="593">
        <v>3064</v>
      </c>
      <c r="CU42" s="594">
        <v>41279382.050000004</v>
      </c>
    </row>
    <row r="43" spans="1:99" outlineLevel="1" x14ac:dyDescent="0.2">
      <c r="A43" s="561" t="s">
        <v>525</v>
      </c>
      <c r="B43" s="562">
        <v>9231</v>
      </c>
      <c r="C43" s="563">
        <v>61531209.955000229</v>
      </c>
      <c r="D43" s="562">
        <v>5009</v>
      </c>
      <c r="E43" s="563">
        <v>46224381.56750004</v>
      </c>
      <c r="F43" s="562">
        <v>3899</v>
      </c>
      <c r="G43" s="563">
        <v>40422540.472500019</v>
      </c>
      <c r="H43" s="562">
        <v>8984</v>
      </c>
      <c r="I43" s="563">
        <v>74702246.402500108</v>
      </c>
      <c r="J43" s="562">
        <v>5081</v>
      </c>
      <c r="K43" s="563">
        <v>42467473.117500022</v>
      </c>
      <c r="L43" s="562">
        <v>7724</v>
      </c>
      <c r="M43" s="563">
        <v>55564721.935000032</v>
      </c>
      <c r="N43" s="562">
        <v>9297</v>
      </c>
      <c r="O43" s="563">
        <v>71993484.360000029</v>
      </c>
      <c r="P43" s="562">
        <v>8725</v>
      </c>
      <c r="Q43" s="563">
        <v>74388654.450000033</v>
      </c>
      <c r="R43" s="562">
        <v>6629</v>
      </c>
      <c r="S43" s="563">
        <v>66338735.010000043</v>
      </c>
      <c r="T43" s="562">
        <v>5024</v>
      </c>
      <c r="U43" s="563">
        <v>56590877.140000023</v>
      </c>
      <c r="V43" s="562">
        <v>4217</v>
      </c>
      <c r="W43" s="563">
        <v>49849973.880000018</v>
      </c>
      <c r="X43" s="562">
        <v>3593</v>
      </c>
      <c r="Y43" s="563">
        <v>48578095.440000013</v>
      </c>
      <c r="Z43" s="562">
        <v>2594</v>
      </c>
      <c r="AA43" s="563">
        <v>36274465.089999996</v>
      </c>
      <c r="AB43" s="562">
        <v>2420</v>
      </c>
      <c r="AC43" s="563">
        <v>30213407.119999997</v>
      </c>
      <c r="AD43" s="562">
        <v>3150</v>
      </c>
      <c r="AE43" s="563">
        <v>38515833.119999997</v>
      </c>
      <c r="AF43" s="562">
        <v>4634</v>
      </c>
      <c r="AG43" s="563">
        <v>50527130.749999993</v>
      </c>
      <c r="AH43" s="562">
        <v>7325</v>
      </c>
      <c r="AI43" s="563">
        <v>81748894.11999999</v>
      </c>
      <c r="AJ43" s="562">
        <v>16257</v>
      </c>
      <c r="AK43" s="563">
        <v>157740173.24999997</v>
      </c>
      <c r="AL43" s="562">
        <v>15531</v>
      </c>
      <c r="AM43" s="563">
        <v>169550805.91999996</v>
      </c>
      <c r="AN43" s="562">
        <v>10004</v>
      </c>
      <c r="AO43" s="563">
        <v>123837872.34999998</v>
      </c>
      <c r="AP43" s="562">
        <v>6115</v>
      </c>
      <c r="AQ43" s="563">
        <v>82353997.780000016</v>
      </c>
      <c r="AR43" s="562">
        <v>11424</v>
      </c>
      <c r="AS43" s="563">
        <v>97147476.520000011</v>
      </c>
      <c r="AT43" s="562">
        <v>1601</v>
      </c>
      <c r="AU43" s="563">
        <v>18504548.710000005</v>
      </c>
      <c r="AV43" s="562">
        <v>1431</v>
      </c>
      <c r="AW43" s="563">
        <v>14749924.83</v>
      </c>
      <c r="AX43" s="562">
        <v>1512</v>
      </c>
      <c r="AY43" s="563">
        <v>16256732.42</v>
      </c>
      <c r="AZ43" s="562">
        <v>1242</v>
      </c>
      <c r="BA43" s="563">
        <v>12607113.52</v>
      </c>
      <c r="BB43" s="562">
        <v>1587</v>
      </c>
      <c r="BC43" s="563">
        <v>18489452.919999998</v>
      </c>
      <c r="BD43" s="562">
        <v>2010</v>
      </c>
      <c r="BE43" s="563">
        <v>23783119.419999998</v>
      </c>
      <c r="BF43" s="562">
        <v>2720</v>
      </c>
      <c r="BG43" s="563">
        <v>36188697.529999994</v>
      </c>
      <c r="BH43" s="562">
        <v>3458</v>
      </c>
      <c r="BI43" s="563">
        <v>39223308.93</v>
      </c>
      <c r="BJ43" s="562">
        <v>5607</v>
      </c>
      <c r="BK43" s="563">
        <v>76432567.530000001</v>
      </c>
      <c r="BL43" s="562">
        <v>4457</v>
      </c>
      <c r="BM43" s="563">
        <v>58415249.449999981</v>
      </c>
      <c r="BN43" s="562">
        <v>5649</v>
      </c>
      <c r="BO43" s="563">
        <v>75005981.469999969</v>
      </c>
      <c r="BP43" s="562">
        <v>4001</v>
      </c>
      <c r="BQ43" s="563">
        <v>47188572.573917992</v>
      </c>
      <c r="BR43" s="562">
        <v>4818</v>
      </c>
      <c r="BS43" s="563">
        <v>54345358.519999973</v>
      </c>
      <c r="BT43" s="562">
        <v>5290</v>
      </c>
      <c r="BU43" s="563">
        <v>64114958.090000004</v>
      </c>
      <c r="BV43" s="593">
        <v>4097</v>
      </c>
      <c r="BW43" s="594">
        <v>46046497.230000004</v>
      </c>
      <c r="BX43" s="593">
        <v>4738</v>
      </c>
      <c r="BY43" s="594">
        <v>58060423.980000004</v>
      </c>
      <c r="BZ43" s="593">
        <v>3694</v>
      </c>
      <c r="CA43" s="594">
        <v>39129886.799999997</v>
      </c>
      <c r="CB43" s="593">
        <v>3727</v>
      </c>
      <c r="CC43" s="594">
        <v>32990284.989999991</v>
      </c>
      <c r="CD43" s="593">
        <v>4299</v>
      </c>
      <c r="CE43" s="594">
        <v>35923551.039999984</v>
      </c>
      <c r="CF43" s="593">
        <v>5052</v>
      </c>
      <c r="CG43" s="594">
        <v>43136974.870000005</v>
      </c>
      <c r="CH43" s="593">
        <v>4286</v>
      </c>
      <c r="CI43" s="594">
        <v>45628827.620000005</v>
      </c>
      <c r="CJ43" s="593">
        <v>4702</v>
      </c>
      <c r="CK43" s="594">
        <v>54621023</v>
      </c>
      <c r="CL43" s="593">
        <v>3722</v>
      </c>
      <c r="CM43" s="594">
        <v>47736453.820000008</v>
      </c>
      <c r="CN43" s="593">
        <v>2608</v>
      </c>
      <c r="CO43" s="594">
        <v>32165100.310000006</v>
      </c>
      <c r="CT43" s="593">
        <f>2608-CN84</f>
        <v>1032</v>
      </c>
      <c r="CU43" s="594">
        <f>32165100.31-CO84</f>
        <v>21126115.219999999</v>
      </c>
    </row>
    <row r="44" spans="1:99" outlineLevel="1" x14ac:dyDescent="0.2">
      <c r="A44" s="561"/>
      <c r="B44" s="567">
        <f t="shared" ref="B44:G44" si="27">SUM(B39:B43)</f>
        <v>55291</v>
      </c>
      <c r="C44" s="568">
        <f t="shared" si="27"/>
        <v>395742969.74227136</v>
      </c>
      <c r="D44" s="567">
        <f t="shared" si="27"/>
        <v>60766</v>
      </c>
      <c r="E44" s="568">
        <f t="shared" si="27"/>
        <v>411000277.30214995</v>
      </c>
      <c r="F44" s="567">
        <f t="shared" si="27"/>
        <v>79340</v>
      </c>
      <c r="G44" s="568">
        <f t="shared" si="27"/>
        <v>477341427.62750006</v>
      </c>
      <c r="H44" s="567">
        <f>SUM(H39:H43)</f>
        <v>73434</v>
      </c>
      <c r="I44" s="568">
        <f>SUM(I39:I43)</f>
        <v>485823193.85250008</v>
      </c>
      <c r="J44" s="567">
        <f t="shared" ref="J44:O44" si="28">SUM(J39:J43)</f>
        <v>139176</v>
      </c>
      <c r="K44" s="568">
        <f t="shared" si="28"/>
        <v>920005688.70499992</v>
      </c>
      <c r="L44" s="567">
        <f t="shared" si="28"/>
        <v>125731</v>
      </c>
      <c r="M44" s="568">
        <f t="shared" si="28"/>
        <v>915413460.81250012</v>
      </c>
      <c r="N44" s="567">
        <f t="shared" si="28"/>
        <v>80050</v>
      </c>
      <c r="O44" s="568">
        <f t="shared" si="28"/>
        <v>723058494.95000041</v>
      </c>
      <c r="P44" s="567">
        <f>SUM(P39:P43)</f>
        <v>70857</v>
      </c>
      <c r="Q44" s="568">
        <f>SUM(Q39:Q43)</f>
        <v>638398829.98500013</v>
      </c>
      <c r="R44" s="567">
        <f>SUM(R39:R43)</f>
        <v>87098</v>
      </c>
      <c r="S44" s="568">
        <f>SUM(S39:S43)</f>
        <v>784235340.23999989</v>
      </c>
      <c r="T44" s="567">
        <f t="shared" ref="T44:CE44" si="29">SUM(T39:T43)</f>
        <v>81993</v>
      </c>
      <c r="U44" s="568">
        <f t="shared" si="29"/>
        <v>779435422.08000004</v>
      </c>
      <c r="V44" s="567">
        <f t="shared" si="29"/>
        <v>66141</v>
      </c>
      <c r="W44" s="568">
        <f t="shared" si="29"/>
        <v>636633238.94000006</v>
      </c>
      <c r="X44" s="567">
        <f t="shared" si="29"/>
        <v>50748</v>
      </c>
      <c r="Y44" s="568">
        <f t="shared" si="29"/>
        <v>524100494.90000004</v>
      </c>
      <c r="Z44" s="567">
        <f t="shared" si="29"/>
        <v>58254</v>
      </c>
      <c r="AA44" s="568">
        <f t="shared" si="29"/>
        <v>535930308.44999999</v>
      </c>
      <c r="AB44" s="567">
        <f t="shared" si="29"/>
        <v>66575</v>
      </c>
      <c r="AC44" s="568">
        <f t="shared" si="29"/>
        <v>555914840.12000036</v>
      </c>
      <c r="AD44" s="567">
        <f t="shared" si="29"/>
        <v>97353</v>
      </c>
      <c r="AE44" s="568">
        <f t="shared" si="29"/>
        <v>826264910.7462039</v>
      </c>
      <c r="AF44" s="567">
        <f t="shared" si="29"/>
        <v>75139</v>
      </c>
      <c r="AG44" s="568">
        <f t="shared" si="29"/>
        <v>745213176.60279822</v>
      </c>
      <c r="AH44" s="567">
        <f t="shared" si="29"/>
        <v>85456</v>
      </c>
      <c r="AI44" s="568">
        <f t="shared" si="29"/>
        <v>868617320.35000038</v>
      </c>
      <c r="AJ44" s="567">
        <f t="shared" si="29"/>
        <v>80896</v>
      </c>
      <c r="AK44" s="568">
        <f t="shared" si="29"/>
        <v>904833477.53999996</v>
      </c>
      <c r="AL44" s="567">
        <f t="shared" si="29"/>
        <v>60470</v>
      </c>
      <c r="AM44" s="568">
        <f t="shared" si="29"/>
        <v>697079737.43999994</v>
      </c>
      <c r="AN44" s="567">
        <f t="shared" si="29"/>
        <v>47558</v>
      </c>
      <c r="AO44" s="568">
        <f t="shared" si="29"/>
        <v>570989700.23000002</v>
      </c>
      <c r="AP44" s="567">
        <f t="shared" si="29"/>
        <v>33866</v>
      </c>
      <c r="AQ44" s="568">
        <f t="shared" si="29"/>
        <v>391401125.31000006</v>
      </c>
      <c r="AR44" s="567">
        <f t="shared" si="29"/>
        <v>36427</v>
      </c>
      <c r="AS44" s="568">
        <f t="shared" si="29"/>
        <v>392881758.62</v>
      </c>
      <c r="AT44" s="567">
        <f t="shared" si="29"/>
        <v>34358</v>
      </c>
      <c r="AU44" s="568">
        <f t="shared" si="29"/>
        <v>364984918.48999995</v>
      </c>
      <c r="AV44" s="567">
        <f t="shared" si="29"/>
        <v>33380</v>
      </c>
      <c r="AW44" s="568">
        <f t="shared" si="29"/>
        <v>328099849.35000002</v>
      </c>
      <c r="AX44" s="567">
        <f t="shared" si="29"/>
        <v>35097</v>
      </c>
      <c r="AY44" s="568">
        <f t="shared" si="29"/>
        <v>340169440.13936412</v>
      </c>
      <c r="AZ44" s="567">
        <f t="shared" si="29"/>
        <v>32831</v>
      </c>
      <c r="BA44" s="568">
        <f t="shared" si="29"/>
        <v>366658303.19111091</v>
      </c>
      <c r="BB44" s="567">
        <f t="shared" si="29"/>
        <v>32398</v>
      </c>
      <c r="BC44" s="568">
        <f t="shared" si="29"/>
        <v>349575346.05199999</v>
      </c>
      <c r="BD44" s="567">
        <f t="shared" si="29"/>
        <v>33624</v>
      </c>
      <c r="BE44" s="568">
        <f t="shared" si="29"/>
        <v>425714276.30000013</v>
      </c>
      <c r="BF44" s="567">
        <f t="shared" si="29"/>
        <v>71608</v>
      </c>
      <c r="BG44" s="568">
        <f t="shared" si="29"/>
        <v>846946050.76999998</v>
      </c>
      <c r="BH44" s="567">
        <f t="shared" si="29"/>
        <v>84727</v>
      </c>
      <c r="BI44" s="568">
        <f t="shared" si="29"/>
        <v>952880925.17552888</v>
      </c>
      <c r="BJ44" s="567">
        <f t="shared" si="29"/>
        <v>79743</v>
      </c>
      <c r="BK44" s="568">
        <f t="shared" si="29"/>
        <v>891702858.26000047</v>
      </c>
      <c r="BL44" s="567">
        <f t="shared" si="29"/>
        <v>81630</v>
      </c>
      <c r="BM44" s="568">
        <f t="shared" si="29"/>
        <v>959399595.23000097</v>
      </c>
      <c r="BN44" s="567">
        <f t="shared" si="29"/>
        <v>73936</v>
      </c>
      <c r="BO44" s="568">
        <f t="shared" si="29"/>
        <v>859364670.90999985</v>
      </c>
      <c r="BP44" s="567">
        <f t="shared" si="29"/>
        <v>47132</v>
      </c>
      <c r="BQ44" s="568">
        <f t="shared" si="29"/>
        <v>548616367.02391815</v>
      </c>
      <c r="BR44" s="567">
        <f t="shared" si="29"/>
        <v>53696</v>
      </c>
      <c r="BS44" s="568">
        <f t="shared" si="29"/>
        <v>621243132.0999999</v>
      </c>
      <c r="BT44" s="567">
        <f t="shared" si="29"/>
        <v>55119</v>
      </c>
      <c r="BU44" s="568">
        <f t="shared" si="29"/>
        <v>658986361.33999968</v>
      </c>
      <c r="BV44" s="567">
        <f t="shared" si="29"/>
        <v>56071</v>
      </c>
      <c r="BW44" s="568">
        <f t="shared" si="29"/>
        <v>606194672.74000049</v>
      </c>
      <c r="BX44" s="567">
        <f t="shared" si="29"/>
        <v>54721</v>
      </c>
      <c r="BY44" s="568">
        <f t="shared" si="29"/>
        <v>534008383.99999994</v>
      </c>
      <c r="BZ44" s="567">
        <f t="shared" si="29"/>
        <v>50017</v>
      </c>
      <c r="CA44" s="568">
        <f t="shared" si="29"/>
        <v>456377016.65999997</v>
      </c>
      <c r="CB44" s="567">
        <f t="shared" si="29"/>
        <v>58983</v>
      </c>
      <c r="CC44" s="568">
        <f t="shared" si="29"/>
        <v>666753706.96000004</v>
      </c>
      <c r="CD44" s="567">
        <f t="shared" si="29"/>
        <v>99215</v>
      </c>
      <c r="CE44" s="568">
        <f t="shared" si="29"/>
        <v>1228141168.680002</v>
      </c>
      <c r="CF44" s="567">
        <f t="shared" ref="CF44:CO44" si="30">SUM(CF39:CF43)</f>
        <v>94805</v>
      </c>
      <c r="CG44" s="568">
        <f t="shared" si="30"/>
        <v>1186866668.5899997</v>
      </c>
      <c r="CH44" s="567">
        <f t="shared" si="30"/>
        <v>70443</v>
      </c>
      <c r="CI44" s="568">
        <f t="shared" si="30"/>
        <v>898521635.2500006</v>
      </c>
      <c r="CJ44" s="567">
        <f t="shared" si="30"/>
        <v>76372</v>
      </c>
      <c r="CK44" s="568">
        <f t="shared" si="30"/>
        <v>922891176.16999912</v>
      </c>
      <c r="CL44" s="567">
        <f t="shared" si="30"/>
        <v>66728</v>
      </c>
      <c r="CM44" s="568">
        <f t="shared" si="30"/>
        <v>939586781.17000043</v>
      </c>
      <c r="CN44" s="567">
        <f t="shared" si="30"/>
        <v>66270</v>
      </c>
      <c r="CO44" s="568">
        <f t="shared" si="30"/>
        <v>886295568.80000007</v>
      </c>
      <c r="CP44" s="573"/>
      <c r="CT44" s="567">
        <f t="shared" ref="CT44:CU44" si="31">SUM(CT39:CT43)</f>
        <v>64694</v>
      </c>
      <c r="CU44" s="568">
        <f t="shared" si="31"/>
        <v>875256583.71000004</v>
      </c>
    </row>
    <row r="45" spans="1:99" outlineLevel="1" x14ac:dyDescent="0.2">
      <c r="A45" s="561"/>
      <c r="B45" s="567"/>
      <c r="C45" s="572"/>
      <c r="D45" s="567"/>
      <c r="E45" s="572"/>
      <c r="F45" s="567"/>
      <c r="G45" s="572"/>
      <c r="H45" s="567"/>
      <c r="I45" s="572"/>
      <c r="J45" s="567"/>
      <c r="K45" s="572"/>
      <c r="L45" s="567"/>
      <c r="M45" s="572"/>
      <c r="N45" s="567"/>
      <c r="O45" s="572"/>
      <c r="P45" s="567"/>
      <c r="Q45" s="572"/>
      <c r="R45" s="567"/>
      <c r="S45" s="572"/>
      <c r="T45" s="567"/>
      <c r="U45" s="572"/>
      <c r="V45" s="567"/>
      <c r="W45" s="572"/>
      <c r="X45" s="567"/>
      <c r="Y45" s="572"/>
      <c r="Z45" s="567"/>
      <c r="AA45" s="572"/>
      <c r="AB45" s="567"/>
      <c r="AC45" s="572"/>
      <c r="AD45" s="567"/>
      <c r="AE45" s="572"/>
      <c r="AF45" s="567"/>
      <c r="AG45" s="572"/>
      <c r="AH45" s="567"/>
      <c r="AI45" s="572"/>
      <c r="AJ45" s="567"/>
      <c r="AK45" s="572"/>
      <c r="AL45" s="567"/>
      <c r="AM45" s="572"/>
      <c r="AN45" s="567"/>
      <c r="AO45" s="572"/>
      <c r="AP45" s="567"/>
      <c r="AQ45" s="572"/>
      <c r="AR45" s="567"/>
      <c r="AS45" s="572"/>
      <c r="AT45" s="567"/>
      <c r="AU45" s="572"/>
      <c r="AV45" s="567"/>
      <c r="AW45" s="572"/>
      <c r="AX45" s="567"/>
      <c r="AY45" s="572"/>
      <c r="AZ45" s="567"/>
      <c r="BA45" s="572"/>
      <c r="BB45" s="567"/>
      <c r="BC45" s="572"/>
      <c r="BD45" s="567"/>
      <c r="BE45" s="572"/>
      <c r="BF45" s="567"/>
      <c r="BG45" s="572"/>
      <c r="BH45" s="567"/>
      <c r="BI45" s="572"/>
      <c r="BJ45" s="567"/>
      <c r="BK45" s="572"/>
      <c r="BL45" s="567"/>
      <c r="BM45" s="572"/>
      <c r="BN45" s="567"/>
      <c r="BO45" s="572"/>
      <c r="BP45" s="567"/>
      <c r="BQ45" s="572"/>
      <c r="BR45" s="567"/>
      <c r="BS45" s="572"/>
      <c r="BT45" s="567"/>
      <c r="BU45" s="572"/>
      <c r="BV45" s="567"/>
      <c r="BW45" s="572"/>
      <c r="BX45" s="567"/>
      <c r="BY45" s="572"/>
      <c r="BZ45" s="567"/>
      <c r="CA45" s="572"/>
      <c r="CB45" s="567"/>
      <c r="CC45" s="572"/>
      <c r="CD45" s="567"/>
      <c r="CE45" s="572"/>
      <c r="CF45" s="567"/>
      <c r="CG45" s="572"/>
      <c r="CH45" s="567"/>
      <c r="CI45" s="572"/>
      <c r="CJ45" s="567"/>
      <c r="CK45" s="572"/>
      <c r="CL45" s="567"/>
      <c r="CM45" s="572"/>
      <c r="CN45" s="567"/>
      <c r="CO45" s="572"/>
    </row>
    <row r="46" spans="1:99" outlineLevel="1" x14ac:dyDescent="0.2">
      <c r="A46" s="596" t="s">
        <v>536</v>
      </c>
      <c r="B46" s="567"/>
      <c r="C46" s="572"/>
      <c r="D46" s="567"/>
      <c r="E46" s="572"/>
      <c r="F46" s="567"/>
      <c r="G46" s="572"/>
      <c r="H46" s="567"/>
      <c r="I46" s="572"/>
      <c r="J46" s="567"/>
      <c r="K46" s="572"/>
      <c r="L46" s="567"/>
      <c r="M46" s="572"/>
      <c r="N46" s="567"/>
      <c r="O46" s="572"/>
      <c r="P46" s="567"/>
      <c r="Q46" s="572"/>
      <c r="R46" s="567"/>
      <c r="S46" s="572"/>
      <c r="T46" s="567"/>
      <c r="U46" s="572"/>
      <c r="V46" s="567"/>
      <c r="W46" s="572"/>
      <c r="X46" s="567"/>
      <c r="Y46" s="572"/>
      <c r="Z46" s="567"/>
      <c r="AA46" s="572"/>
      <c r="AB46" s="567"/>
      <c r="AC46" s="572"/>
      <c r="AD46" s="567"/>
      <c r="AE46" s="572"/>
      <c r="AF46" s="567"/>
      <c r="AG46" s="572"/>
      <c r="AH46" s="567"/>
      <c r="AI46" s="572"/>
      <c r="AJ46" s="567"/>
      <c r="AK46" s="572"/>
      <c r="AL46" s="567"/>
      <c r="AM46" s="572"/>
      <c r="AN46" s="567"/>
      <c r="AO46" s="572"/>
      <c r="AP46" s="567"/>
      <c r="AQ46" s="572"/>
      <c r="AR46" s="567"/>
      <c r="AS46" s="572"/>
      <c r="AT46" s="567"/>
      <c r="AU46" s="572"/>
      <c r="AV46" s="567"/>
      <c r="AW46" s="572"/>
      <c r="AX46" s="567"/>
      <c r="AY46" s="572"/>
      <c r="AZ46" s="567"/>
      <c r="BA46" s="572"/>
      <c r="BB46" s="567"/>
      <c r="BC46" s="572"/>
      <c r="BD46" s="567"/>
      <c r="BE46" s="572"/>
      <c r="BF46" s="567"/>
      <c r="BG46" s="572"/>
      <c r="BH46" s="567"/>
      <c r="BI46" s="572"/>
      <c r="BJ46" s="567"/>
      <c r="BK46" s="572"/>
      <c r="BL46" s="567"/>
      <c r="BM46" s="572"/>
      <c r="BN46" s="567"/>
      <c r="BO46" s="572"/>
      <c r="BP46" s="567"/>
      <c r="BQ46" s="572"/>
      <c r="BR46" s="567"/>
      <c r="BS46" s="572"/>
      <c r="BT46" s="567"/>
      <c r="BU46" s="572"/>
      <c r="BV46" s="567"/>
      <c r="BW46" s="572"/>
      <c r="BX46" s="567"/>
      <c r="BY46" s="572"/>
      <c r="BZ46" s="567"/>
      <c r="CA46" s="572"/>
      <c r="CB46" s="567"/>
      <c r="CC46" s="572"/>
      <c r="CD46" s="567"/>
      <c r="CE46" s="572"/>
      <c r="CF46" s="567"/>
      <c r="CG46" s="572"/>
      <c r="CH46" s="567"/>
      <c r="CI46" s="572"/>
      <c r="CJ46" s="567"/>
      <c r="CK46" s="572"/>
      <c r="CL46" s="567"/>
      <c r="CM46" s="572"/>
      <c r="CN46" s="567"/>
      <c r="CO46" s="572"/>
    </row>
    <row r="47" spans="1:99" outlineLevel="1" x14ac:dyDescent="0.2">
      <c r="A47" s="561" t="s">
        <v>521</v>
      </c>
      <c r="B47" s="562"/>
      <c r="C47" s="563"/>
      <c r="D47" s="562"/>
      <c r="E47" s="563"/>
      <c r="F47" s="562"/>
      <c r="G47" s="563"/>
      <c r="H47" s="562"/>
      <c r="I47" s="563"/>
      <c r="J47" s="562"/>
      <c r="K47" s="563"/>
      <c r="L47" s="562"/>
      <c r="M47" s="563"/>
      <c r="N47" s="562"/>
      <c r="O47" s="563"/>
      <c r="P47" s="562"/>
      <c r="Q47" s="563"/>
      <c r="R47" s="562"/>
      <c r="S47" s="563"/>
      <c r="T47" s="562"/>
      <c r="U47" s="563"/>
      <c r="V47" s="562"/>
      <c r="W47" s="563"/>
      <c r="X47" s="562"/>
      <c r="Y47" s="563"/>
      <c r="Z47" s="562"/>
      <c r="AA47" s="563"/>
      <c r="AB47" s="562"/>
      <c r="AC47" s="563"/>
      <c r="AD47" s="562"/>
      <c r="AE47" s="563"/>
      <c r="AF47" s="562"/>
      <c r="AG47" s="563"/>
      <c r="AH47" s="562"/>
      <c r="AI47" s="563"/>
      <c r="AJ47" s="562"/>
      <c r="AK47" s="563"/>
      <c r="AL47" s="562"/>
      <c r="AM47" s="563"/>
      <c r="AN47" s="562"/>
      <c r="AO47" s="563"/>
      <c r="AP47" s="562"/>
      <c r="AQ47" s="563"/>
      <c r="AR47" s="562"/>
      <c r="AS47" s="563"/>
      <c r="AT47" s="562"/>
      <c r="AU47" s="563"/>
      <c r="AV47" s="562"/>
      <c r="AW47" s="563"/>
      <c r="AX47" s="562"/>
      <c r="AY47" s="563"/>
      <c r="AZ47" s="562"/>
      <c r="BA47" s="563"/>
      <c r="BB47" s="562"/>
      <c r="BC47" s="563"/>
      <c r="BD47" s="562"/>
      <c r="BE47" s="563"/>
      <c r="BF47" s="562"/>
      <c r="BG47" s="563"/>
      <c r="BH47" s="562">
        <v>1136</v>
      </c>
      <c r="BI47" s="563">
        <v>18890967</v>
      </c>
      <c r="BJ47" s="562">
        <v>1150</v>
      </c>
      <c r="BK47" s="563">
        <v>17809679.899999999</v>
      </c>
      <c r="BL47" s="562">
        <v>1408</v>
      </c>
      <c r="BM47" s="563">
        <v>20626368</v>
      </c>
      <c r="BN47" s="562">
        <v>1915</v>
      </c>
      <c r="BO47" s="563">
        <v>27542762</v>
      </c>
      <c r="BP47" s="562">
        <v>2677</v>
      </c>
      <c r="BQ47" s="563">
        <v>40054525.43</v>
      </c>
      <c r="BR47" s="562">
        <v>3958</v>
      </c>
      <c r="BS47" s="563">
        <v>57579632.553489998</v>
      </c>
      <c r="BT47" s="562">
        <v>2357</v>
      </c>
      <c r="BU47" s="563">
        <v>32228776.860319991</v>
      </c>
      <c r="BV47" s="593">
        <v>1574</v>
      </c>
      <c r="BW47" s="594">
        <v>16028912.589491535</v>
      </c>
      <c r="BX47" s="593">
        <v>2351</v>
      </c>
      <c r="BY47" s="594">
        <v>29084726.560000129</v>
      </c>
      <c r="BZ47" s="593">
        <v>4487</v>
      </c>
      <c r="CA47" s="594">
        <v>49246678.397034936</v>
      </c>
      <c r="CB47" s="593">
        <v>4669</v>
      </c>
      <c r="CC47" s="594">
        <v>80876943.010000676</v>
      </c>
      <c r="CD47" s="593">
        <v>2485</v>
      </c>
      <c r="CE47" s="594">
        <v>24905063.290000003</v>
      </c>
      <c r="CF47" s="593">
        <v>5062</v>
      </c>
      <c r="CG47" s="594">
        <v>67775195.289999709</v>
      </c>
      <c r="CH47" s="593">
        <v>4033</v>
      </c>
      <c r="CI47" s="594">
        <v>42436419.110000096</v>
      </c>
      <c r="CJ47" s="593">
        <v>3218</v>
      </c>
      <c r="CK47" s="594">
        <v>52447519.020000048</v>
      </c>
      <c r="CL47" s="593">
        <v>4263</v>
      </c>
      <c r="CM47" s="594">
        <v>67713463.359999344</v>
      </c>
      <c r="CN47" s="593">
        <v>7629</v>
      </c>
      <c r="CO47" s="594">
        <v>119808571.46999976</v>
      </c>
    </row>
    <row r="48" spans="1:99" outlineLevel="1" x14ac:dyDescent="0.2">
      <c r="A48" s="561" t="s">
        <v>522</v>
      </c>
      <c r="B48" s="562"/>
      <c r="C48" s="563"/>
      <c r="D48" s="562"/>
      <c r="E48" s="563"/>
      <c r="F48" s="562"/>
      <c r="G48" s="563"/>
      <c r="H48" s="562"/>
      <c r="I48" s="563"/>
      <c r="J48" s="562"/>
      <c r="K48" s="563"/>
      <c r="L48" s="562"/>
      <c r="M48" s="563"/>
      <c r="N48" s="562"/>
      <c r="O48" s="563"/>
      <c r="P48" s="562"/>
      <c r="Q48" s="563"/>
      <c r="R48" s="562"/>
      <c r="S48" s="563"/>
      <c r="T48" s="562"/>
      <c r="U48" s="563"/>
      <c r="V48" s="562"/>
      <c r="W48" s="563"/>
      <c r="X48" s="562"/>
      <c r="Y48" s="563"/>
      <c r="Z48" s="562"/>
      <c r="AA48" s="563"/>
      <c r="AB48" s="562"/>
      <c r="AC48" s="563"/>
      <c r="AD48" s="562"/>
      <c r="AE48" s="563"/>
      <c r="AF48" s="562"/>
      <c r="AG48" s="563"/>
      <c r="AH48" s="562"/>
      <c r="AI48" s="563"/>
      <c r="AJ48" s="562"/>
      <c r="AK48" s="563"/>
      <c r="AL48" s="562"/>
      <c r="AM48" s="563"/>
      <c r="AN48" s="562"/>
      <c r="AO48" s="563"/>
      <c r="AP48" s="562"/>
      <c r="AQ48" s="563"/>
      <c r="AR48" s="562"/>
      <c r="AS48" s="563"/>
      <c r="AT48" s="562"/>
      <c r="AU48" s="563"/>
      <c r="AV48" s="562"/>
      <c r="AW48" s="563"/>
      <c r="AX48" s="562"/>
      <c r="AY48" s="563"/>
      <c r="AZ48" s="562"/>
      <c r="BA48" s="563"/>
      <c r="BB48" s="562"/>
      <c r="BC48" s="563"/>
      <c r="BD48" s="562"/>
      <c r="BE48" s="563"/>
      <c r="BF48" s="562"/>
      <c r="BG48" s="563"/>
      <c r="BH48" s="562">
        <v>391</v>
      </c>
      <c r="BI48" s="563">
        <v>3970138</v>
      </c>
      <c r="BJ48" s="562">
        <v>278</v>
      </c>
      <c r="BK48" s="563">
        <v>3715886</v>
      </c>
      <c r="BL48" s="562">
        <v>658</v>
      </c>
      <c r="BM48" s="563">
        <v>7387386</v>
      </c>
      <c r="BN48" s="562">
        <v>663</v>
      </c>
      <c r="BO48" s="563">
        <v>7295845.2000000002</v>
      </c>
      <c r="BP48" s="562">
        <v>725</v>
      </c>
      <c r="BQ48" s="563">
        <v>7686891</v>
      </c>
      <c r="BR48" s="562">
        <v>934</v>
      </c>
      <c r="BS48" s="563">
        <v>9468191</v>
      </c>
      <c r="BT48" s="562">
        <v>650</v>
      </c>
      <c r="BU48" s="563">
        <v>6614514</v>
      </c>
      <c r="BV48" s="593">
        <v>850</v>
      </c>
      <c r="BW48" s="594">
        <v>9203500.5169491526</v>
      </c>
      <c r="BX48" s="593">
        <v>1613</v>
      </c>
      <c r="BY48" s="594">
        <v>21284082.879999995</v>
      </c>
      <c r="BZ48" s="593">
        <v>1477</v>
      </c>
      <c r="CA48" s="594">
        <v>14728593.339999989</v>
      </c>
      <c r="CB48" s="593">
        <v>1078</v>
      </c>
      <c r="CC48" s="594">
        <v>14974098.41</v>
      </c>
      <c r="CD48" s="593">
        <v>1683</v>
      </c>
      <c r="CE48" s="594">
        <v>19351663.18</v>
      </c>
      <c r="CF48" s="593">
        <v>1214</v>
      </c>
      <c r="CG48" s="594">
        <v>10629387.1</v>
      </c>
      <c r="CH48" s="593">
        <v>1106</v>
      </c>
      <c r="CI48" s="594">
        <v>18160682.450000003</v>
      </c>
      <c r="CJ48" s="593">
        <v>1274</v>
      </c>
      <c r="CK48" s="594">
        <v>21553449.659999955</v>
      </c>
      <c r="CL48" s="593">
        <v>2852</v>
      </c>
      <c r="CM48" s="594">
        <v>31403190.02000019</v>
      </c>
      <c r="CN48" s="593">
        <v>1708</v>
      </c>
      <c r="CO48" s="594">
        <v>32641407.550000168</v>
      </c>
    </row>
    <row r="49" spans="1:93" outlineLevel="1" x14ac:dyDescent="0.2">
      <c r="A49" s="561" t="s">
        <v>523</v>
      </c>
      <c r="B49" s="562"/>
      <c r="C49" s="563"/>
      <c r="D49" s="562"/>
      <c r="E49" s="563"/>
      <c r="F49" s="562"/>
      <c r="G49" s="563"/>
      <c r="H49" s="562"/>
      <c r="I49" s="563"/>
      <c r="J49" s="562"/>
      <c r="K49" s="563"/>
      <c r="L49" s="562"/>
      <c r="M49" s="563"/>
      <c r="N49" s="562"/>
      <c r="O49" s="563"/>
      <c r="P49" s="562"/>
      <c r="Q49" s="563"/>
      <c r="R49" s="562"/>
      <c r="S49" s="563"/>
      <c r="T49" s="562"/>
      <c r="U49" s="563"/>
      <c r="V49" s="562"/>
      <c r="W49" s="563"/>
      <c r="X49" s="562"/>
      <c r="Y49" s="563"/>
      <c r="Z49" s="562"/>
      <c r="AA49" s="563"/>
      <c r="AB49" s="562"/>
      <c r="AC49" s="563"/>
      <c r="AD49" s="562"/>
      <c r="AE49" s="563"/>
      <c r="AF49" s="562"/>
      <c r="AG49" s="563"/>
      <c r="AH49" s="562"/>
      <c r="AI49" s="563"/>
      <c r="AJ49" s="562"/>
      <c r="AK49" s="563"/>
      <c r="AL49" s="562"/>
      <c r="AM49" s="563"/>
      <c r="AN49" s="562"/>
      <c r="AO49" s="563"/>
      <c r="AP49" s="562"/>
      <c r="AQ49" s="563"/>
      <c r="AR49" s="562"/>
      <c r="AS49" s="563"/>
      <c r="AT49" s="562"/>
      <c r="AU49" s="563"/>
      <c r="AV49" s="562"/>
      <c r="AW49" s="563"/>
      <c r="AX49" s="562"/>
      <c r="AY49" s="563"/>
      <c r="AZ49" s="562"/>
      <c r="BA49" s="563"/>
      <c r="BB49" s="562"/>
      <c r="BC49" s="563"/>
      <c r="BD49" s="562"/>
      <c r="BE49" s="563"/>
      <c r="BF49" s="562"/>
      <c r="BG49" s="563"/>
      <c r="BH49" s="562">
        <v>440</v>
      </c>
      <c r="BI49" s="563">
        <v>5632452.6299999999</v>
      </c>
      <c r="BJ49" s="562">
        <v>398</v>
      </c>
      <c r="BK49" s="563">
        <v>4546138</v>
      </c>
      <c r="BL49" s="562">
        <v>492</v>
      </c>
      <c r="BM49" s="563">
        <v>5573022</v>
      </c>
      <c r="BN49" s="562">
        <v>731</v>
      </c>
      <c r="BO49" s="563">
        <v>8535078</v>
      </c>
      <c r="BP49" s="562">
        <v>1163</v>
      </c>
      <c r="BQ49" s="563">
        <v>14780877.199999999</v>
      </c>
      <c r="BR49" s="562">
        <v>1194</v>
      </c>
      <c r="BS49" s="563">
        <v>12795599.43</v>
      </c>
      <c r="BT49" s="562">
        <v>1065</v>
      </c>
      <c r="BU49" s="563">
        <v>9608858.1159000006</v>
      </c>
      <c r="BV49" s="593">
        <v>670</v>
      </c>
      <c r="BW49" s="594">
        <v>6558723.0762711866</v>
      </c>
      <c r="BX49" s="593">
        <v>932</v>
      </c>
      <c r="BY49" s="594">
        <v>9385788.459999999</v>
      </c>
      <c r="BZ49" s="593">
        <v>1819</v>
      </c>
      <c r="CA49" s="594">
        <v>20576066.339999996</v>
      </c>
      <c r="CB49" s="593">
        <v>2715</v>
      </c>
      <c r="CC49" s="594">
        <v>28007859.340000015</v>
      </c>
      <c r="CD49" s="593">
        <v>1922</v>
      </c>
      <c r="CE49" s="594">
        <v>27986241.989999995</v>
      </c>
      <c r="CF49" s="593">
        <v>1622</v>
      </c>
      <c r="CG49" s="594">
        <v>17414112.34</v>
      </c>
      <c r="CH49" s="593">
        <v>2072</v>
      </c>
      <c r="CI49" s="594">
        <v>23200515.379999995</v>
      </c>
      <c r="CJ49" s="593">
        <v>2160</v>
      </c>
      <c r="CK49" s="594">
        <v>24133886.370000001</v>
      </c>
      <c r="CL49" s="593">
        <v>1584</v>
      </c>
      <c r="CM49" s="594">
        <v>28919192.639999978</v>
      </c>
      <c r="CN49" s="593">
        <v>2442</v>
      </c>
      <c r="CO49" s="594">
        <v>33740258.649999887</v>
      </c>
    </row>
    <row r="50" spans="1:93" outlineLevel="1" x14ac:dyDescent="0.2">
      <c r="A50" s="561" t="s">
        <v>524</v>
      </c>
      <c r="B50" s="562"/>
      <c r="C50" s="563"/>
      <c r="D50" s="562"/>
      <c r="E50" s="563"/>
      <c r="F50" s="562"/>
      <c r="G50" s="563"/>
      <c r="H50" s="562"/>
      <c r="I50" s="563"/>
      <c r="J50" s="562"/>
      <c r="K50" s="563"/>
      <c r="L50" s="562"/>
      <c r="M50" s="563"/>
      <c r="N50" s="562"/>
      <c r="O50" s="563"/>
      <c r="P50" s="562"/>
      <c r="Q50" s="563"/>
      <c r="R50" s="562"/>
      <c r="S50" s="563"/>
      <c r="T50" s="562"/>
      <c r="U50" s="563"/>
      <c r="V50" s="562"/>
      <c r="W50" s="563"/>
      <c r="X50" s="562"/>
      <c r="Y50" s="563"/>
      <c r="Z50" s="562"/>
      <c r="AA50" s="563"/>
      <c r="AB50" s="562"/>
      <c r="AC50" s="563"/>
      <c r="AD50" s="562"/>
      <c r="AE50" s="563"/>
      <c r="AF50" s="562"/>
      <c r="AG50" s="563"/>
      <c r="AH50" s="562"/>
      <c r="AI50" s="563"/>
      <c r="AJ50" s="562"/>
      <c r="AK50" s="563"/>
      <c r="AL50" s="562"/>
      <c r="AM50" s="563"/>
      <c r="AN50" s="562"/>
      <c r="AO50" s="563"/>
      <c r="AP50" s="562"/>
      <c r="AQ50" s="563"/>
      <c r="AR50" s="562"/>
      <c r="AS50" s="563"/>
      <c r="AT50" s="562"/>
      <c r="AU50" s="563"/>
      <c r="AV50" s="562"/>
      <c r="AW50" s="563"/>
      <c r="AX50" s="562"/>
      <c r="AY50" s="563"/>
      <c r="AZ50" s="562"/>
      <c r="BA50" s="563"/>
      <c r="BB50" s="562"/>
      <c r="BC50" s="563"/>
      <c r="BD50" s="562"/>
      <c r="BE50" s="563"/>
      <c r="BF50" s="562"/>
      <c r="BG50" s="563"/>
      <c r="BH50" s="562">
        <v>2196</v>
      </c>
      <c r="BI50" s="563">
        <v>40278868.859999999</v>
      </c>
      <c r="BJ50" s="562">
        <v>295</v>
      </c>
      <c r="BK50" s="563">
        <v>3646551.6300000004</v>
      </c>
      <c r="BL50" s="562">
        <v>272</v>
      </c>
      <c r="BM50" s="563">
        <v>3081009</v>
      </c>
      <c r="BN50" s="562">
        <v>345</v>
      </c>
      <c r="BO50" s="563">
        <v>4036820</v>
      </c>
      <c r="BP50" s="562">
        <v>535</v>
      </c>
      <c r="BQ50" s="563">
        <v>6410838</v>
      </c>
      <c r="BR50" s="562">
        <v>851</v>
      </c>
      <c r="BS50" s="563">
        <v>10645763</v>
      </c>
      <c r="BT50" s="562">
        <v>795</v>
      </c>
      <c r="BU50" s="563">
        <v>10138487.661920004</v>
      </c>
      <c r="BV50" s="593">
        <v>438</v>
      </c>
      <c r="BW50" s="594">
        <v>3772965.3220338984</v>
      </c>
      <c r="BX50" s="593">
        <v>260</v>
      </c>
      <c r="BY50" s="594">
        <v>2722445.83</v>
      </c>
      <c r="BZ50" s="593">
        <v>493</v>
      </c>
      <c r="CA50" s="594">
        <v>4710502.8499999996</v>
      </c>
      <c r="CB50" s="593">
        <v>1061</v>
      </c>
      <c r="CC50" s="594">
        <v>13024678.479999986</v>
      </c>
      <c r="CD50" s="593">
        <v>1529</v>
      </c>
      <c r="CE50" s="594">
        <v>16228782.930000016</v>
      </c>
      <c r="CF50" s="593">
        <v>985</v>
      </c>
      <c r="CG50" s="594">
        <v>14602954.949999988</v>
      </c>
      <c r="CH50" s="593">
        <v>697</v>
      </c>
      <c r="CI50" s="594">
        <v>7548889.0999999996</v>
      </c>
      <c r="CJ50" s="593">
        <v>1358</v>
      </c>
      <c r="CK50" s="594">
        <v>16137310.160000008</v>
      </c>
      <c r="CL50" s="593">
        <v>986</v>
      </c>
      <c r="CM50" s="594">
        <v>10508109.300000016</v>
      </c>
      <c r="CN50" s="593">
        <v>938</v>
      </c>
      <c r="CO50" s="594">
        <v>18167860.219999999</v>
      </c>
    </row>
    <row r="51" spans="1:93" outlineLevel="1" x14ac:dyDescent="0.2">
      <c r="A51" s="561" t="s">
        <v>525</v>
      </c>
      <c r="B51" s="562"/>
      <c r="C51" s="563"/>
      <c r="D51" s="562"/>
      <c r="E51" s="563"/>
      <c r="F51" s="562"/>
      <c r="G51" s="563"/>
      <c r="H51" s="562"/>
      <c r="I51" s="563"/>
      <c r="J51" s="562"/>
      <c r="K51" s="563"/>
      <c r="L51" s="562"/>
      <c r="M51" s="563"/>
      <c r="N51" s="562"/>
      <c r="O51" s="563"/>
      <c r="P51" s="562"/>
      <c r="Q51" s="563"/>
      <c r="R51" s="562"/>
      <c r="S51" s="563"/>
      <c r="T51" s="562"/>
      <c r="U51" s="563"/>
      <c r="V51" s="562"/>
      <c r="W51" s="563"/>
      <c r="X51" s="562"/>
      <c r="Y51" s="563"/>
      <c r="Z51" s="562"/>
      <c r="AA51" s="563"/>
      <c r="AB51" s="562"/>
      <c r="AC51" s="563"/>
      <c r="AD51" s="562"/>
      <c r="AE51" s="563"/>
      <c r="AF51" s="562"/>
      <c r="AG51" s="563"/>
      <c r="AH51" s="562"/>
      <c r="AI51" s="563"/>
      <c r="AJ51" s="562"/>
      <c r="AK51" s="563"/>
      <c r="AL51" s="562"/>
      <c r="AM51" s="563"/>
      <c r="AN51" s="562"/>
      <c r="AO51" s="563"/>
      <c r="AP51" s="562"/>
      <c r="AQ51" s="563"/>
      <c r="AR51" s="562"/>
      <c r="AS51" s="563"/>
      <c r="AT51" s="562"/>
      <c r="AU51" s="563"/>
      <c r="AV51" s="562"/>
      <c r="AW51" s="563"/>
      <c r="AX51" s="562"/>
      <c r="AY51" s="563"/>
      <c r="AZ51" s="562"/>
      <c r="BA51" s="563"/>
      <c r="BB51" s="562"/>
      <c r="BC51" s="563"/>
      <c r="BD51" s="562"/>
      <c r="BE51" s="563"/>
      <c r="BF51" s="562"/>
      <c r="BG51" s="563"/>
      <c r="BH51" s="562">
        <v>1003</v>
      </c>
      <c r="BI51" s="563">
        <v>22709367</v>
      </c>
      <c r="BJ51" s="562">
        <v>2011</v>
      </c>
      <c r="BK51" s="563">
        <v>39795975.859999999</v>
      </c>
      <c r="BL51" s="562">
        <v>1509</v>
      </c>
      <c r="BM51" s="563">
        <v>29032587.489999998</v>
      </c>
      <c r="BN51" s="562">
        <v>1396</v>
      </c>
      <c r="BO51" s="563">
        <v>25795086.859999999</v>
      </c>
      <c r="BP51" s="562">
        <v>1088</v>
      </c>
      <c r="BQ51" s="563">
        <v>16015529</v>
      </c>
      <c r="BR51" s="562">
        <v>1434</v>
      </c>
      <c r="BS51" s="563">
        <v>19197021</v>
      </c>
      <c r="BT51" s="562">
        <v>1302</v>
      </c>
      <c r="BU51" s="563">
        <v>17741916.802570004</v>
      </c>
      <c r="BV51" s="593">
        <v>889</v>
      </c>
      <c r="BW51" s="594">
        <v>13098807.92372882</v>
      </c>
      <c r="BX51" s="593">
        <v>645</v>
      </c>
      <c r="BY51" s="594">
        <v>9130864.700000003</v>
      </c>
      <c r="BZ51" s="593">
        <v>451</v>
      </c>
      <c r="CA51" s="594">
        <v>5856603.9309799997</v>
      </c>
      <c r="CB51" s="593">
        <v>592</v>
      </c>
      <c r="CC51" s="594">
        <v>7578974.1899999985</v>
      </c>
      <c r="CD51" s="593">
        <v>1078</v>
      </c>
      <c r="CE51" s="594">
        <v>14038211.039999975</v>
      </c>
      <c r="CF51" s="593">
        <v>1183</v>
      </c>
      <c r="CG51" s="594">
        <v>17608694.61999999</v>
      </c>
      <c r="CH51" s="593">
        <v>1045</v>
      </c>
      <c r="CI51" s="594">
        <v>17879939.519999977</v>
      </c>
      <c r="CJ51" s="593">
        <v>792</v>
      </c>
      <c r="CK51" s="594">
        <v>14503500.179999998</v>
      </c>
      <c r="CL51" s="593">
        <v>677</v>
      </c>
      <c r="CM51" s="594">
        <v>12584975.27</v>
      </c>
      <c r="CN51" s="593">
        <v>553</v>
      </c>
      <c r="CO51" s="594">
        <v>8913442.9400000069</v>
      </c>
    </row>
    <row r="52" spans="1:93" outlineLevel="1" x14ac:dyDescent="0.2">
      <c r="A52" s="561"/>
      <c r="B52" s="567"/>
      <c r="C52" s="568"/>
      <c r="D52" s="567"/>
      <c r="E52" s="568"/>
      <c r="F52" s="567"/>
      <c r="G52" s="568"/>
      <c r="H52" s="567"/>
      <c r="I52" s="568"/>
      <c r="J52" s="567"/>
      <c r="K52" s="568"/>
      <c r="L52" s="567"/>
      <c r="M52" s="568"/>
      <c r="N52" s="567"/>
      <c r="O52" s="568"/>
      <c r="P52" s="567"/>
      <c r="Q52" s="568"/>
      <c r="R52" s="567"/>
      <c r="S52" s="568"/>
      <c r="T52" s="567"/>
      <c r="U52" s="568"/>
      <c r="V52" s="567"/>
      <c r="W52" s="568"/>
      <c r="X52" s="567"/>
      <c r="Y52" s="568"/>
      <c r="Z52" s="567"/>
      <c r="AA52" s="568"/>
      <c r="AB52" s="567"/>
      <c r="AC52" s="568"/>
      <c r="AD52" s="567"/>
      <c r="AE52" s="568"/>
      <c r="AF52" s="567"/>
      <c r="AG52" s="568"/>
      <c r="AH52" s="567"/>
      <c r="AI52" s="568"/>
      <c r="AJ52" s="567"/>
      <c r="AK52" s="568"/>
      <c r="AL52" s="567"/>
      <c r="AM52" s="568"/>
      <c r="AN52" s="567"/>
      <c r="AO52" s="568"/>
      <c r="AP52" s="567"/>
      <c r="AQ52" s="568"/>
      <c r="AR52" s="567"/>
      <c r="AS52" s="568"/>
      <c r="AT52" s="567"/>
      <c r="AU52" s="568"/>
      <c r="AV52" s="567"/>
      <c r="AW52" s="568"/>
      <c r="AX52" s="567"/>
      <c r="AY52" s="568"/>
      <c r="AZ52" s="567"/>
      <c r="BA52" s="568"/>
      <c r="BB52" s="567"/>
      <c r="BC52" s="568"/>
      <c r="BD52" s="567"/>
      <c r="BE52" s="568"/>
      <c r="BF52" s="567"/>
      <c r="BG52" s="568"/>
      <c r="BH52" s="567">
        <f t="shared" ref="BH52:CO52" si="32">SUM(BH47:BH51)</f>
        <v>5166</v>
      </c>
      <c r="BI52" s="568">
        <f t="shared" si="32"/>
        <v>91481793.489999995</v>
      </c>
      <c r="BJ52" s="567">
        <f t="shared" si="32"/>
        <v>4132</v>
      </c>
      <c r="BK52" s="568">
        <f t="shared" si="32"/>
        <v>69514231.390000001</v>
      </c>
      <c r="BL52" s="567">
        <f t="shared" si="32"/>
        <v>4339</v>
      </c>
      <c r="BM52" s="568">
        <f t="shared" si="32"/>
        <v>65700372.489999995</v>
      </c>
      <c r="BN52" s="567">
        <f t="shared" si="32"/>
        <v>5050</v>
      </c>
      <c r="BO52" s="568">
        <f t="shared" si="32"/>
        <v>73205592.060000002</v>
      </c>
      <c r="BP52" s="567">
        <f t="shared" si="32"/>
        <v>6188</v>
      </c>
      <c r="BQ52" s="568">
        <f t="shared" si="32"/>
        <v>84948660.629999995</v>
      </c>
      <c r="BR52" s="567">
        <f t="shared" si="32"/>
        <v>8371</v>
      </c>
      <c r="BS52" s="568">
        <f t="shared" si="32"/>
        <v>109686206.98348999</v>
      </c>
      <c r="BT52" s="567">
        <f t="shared" si="32"/>
        <v>6169</v>
      </c>
      <c r="BU52" s="568">
        <f t="shared" si="32"/>
        <v>76332553.440709993</v>
      </c>
      <c r="BV52" s="567">
        <f t="shared" si="32"/>
        <v>4421</v>
      </c>
      <c r="BW52" s="568">
        <f t="shared" si="32"/>
        <v>48662909.42847459</v>
      </c>
      <c r="BX52" s="567">
        <f t="shared" si="32"/>
        <v>5801</v>
      </c>
      <c r="BY52" s="568">
        <f t="shared" si="32"/>
        <v>71607908.430000126</v>
      </c>
      <c r="BZ52" s="567">
        <f t="shared" si="32"/>
        <v>8727</v>
      </c>
      <c r="CA52" s="568">
        <f t="shared" si="32"/>
        <v>95118444.858014911</v>
      </c>
      <c r="CB52" s="567">
        <f t="shared" si="32"/>
        <v>10115</v>
      </c>
      <c r="CC52" s="568">
        <f t="shared" si="32"/>
        <v>144462553.43000066</v>
      </c>
      <c r="CD52" s="567">
        <f t="shared" si="32"/>
        <v>8697</v>
      </c>
      <c r="CE52" s="568">
        <f t="shared" si="32"/>
        <v>102509962.42999999</v>
      </c>
      <c r="CF52" s="567">
        <f t="shared" si="32"/>
        <v>10066</v>
      </c>
      <c r="CG52" s="568">
        <f t="shared" si="32"/>
        <v>128030344.29999968</v>
      </c>
      <c r="CH52" s="567">
        <f t="shared" si="32"/>
        <v>8953</v>
      </c>
      <c r="CI52" s="568">
        <f t="shared" si="32"/>
        <v>109226445.56000006</v>
      </c>
      <c r="CJ52" s="567">
        <f t="shared" si="32"/>
        <v>8802</v>
      </c>
      <c r="CK52" s="568">
        <f t="shared" si="32"/>
        <v>128775665.39000002</v>
      </c>
      <c r="CL52" s="567">
        <f t="shared" si="32"/>
        <v>10362</v>
      </c>
      <c r="CM52" s="568">
        <f t="shared" si="32"/>
        <v>151128930.58999953</v>
      </c>
      <c r="CN52" s="567">
        <f t="shared" si="32"/>
        <v>13270</v>
      </c>
      <c r="CO52" s="568">
        <f t="shared" si="32"/>
        <v>213271540.8299998</v>
      </c>
    </row>
    <row r="53" spans="1:93" x14ac:dyDescent="0.2">
      <c r="A53" s="561"/>
      <c r="B53" s="567"/>
      <c r="C53" s="572"/>
      <c r="D53" s="567"/>
      <c r="E53" s="572"/>
      <c r="F53" s="567"/>
      <c r="G53" s="572"/>
      <c r="H53" s="567"/>
      <c r="I53" s="572"/>
      <c r="J53" s="567"/>
      <c r="K53" s="572"/>
      <c r="L53" s="567"/>
      <c r="M53" s="572"/>
      <c r="N53" s="567"/>
      <c r="O53" s="572"/>
      <c r="P53" s="567"/>
      <c r="Q53" s="572"/>
      <c r="R53" s="567"/>
      <c r="S53" s="572"/>
      <c r="T53" s="567"/>
      <c r="U53" s="572"/>
      <c r="V53" s="567"/>
      <c r="W53" s="572"/>
      <c r="X53" s="567"/>
      <c r="Y53" s="572"/>
      <c r="Z53" s="567"/>
      <c r="AA53" s="572"/>
      <c r="AB53" s="567"/>
      <c r="AC53" s="572"/>
      <c r="AD53" s="567"/>
      <c r="AE53" s="572"/>
      <c r="AF53" s="567"/>
      <c r="AG53" s="572"/>
      <c r="AH53" s="567"/>
      <c r="AI53" s="572"/>
      <c r="AJ53" s="567"/>
      <c r="AK53" s="572"/>
      <c r="AL53" s="567"/>
      <c r="AM53" s="572"/>
      <c r="AN53" s="567"/>
      <c r="AO53" s="572"/>
      <c r="AP53" s="567"/>
      <c r="AQ53" s="572"/>
      <c r="AR53" s="567"/>
      <c r="AS53" s="572"/>
      <c r="AT53" s="567"/>
      <c r="AU53" s="572"/>
      <c r="AV53" s="567"/>
      <c r="AW53" s="572"/>
      <c r="AX53" s="567"/>
      <c r="AY53" s="572"/>
      <c r="AZ53" s="567"/>
      <c r="BA53" s="572"/>
      <c r="BB53" s="567"/>
      <c r="BC53" s="572"/>
      <c r="BD53" s="567"/>
      <c r="BE53" s="572"/>
      <c r="BF53" s="567"/>
      <c r="BG53" s="572"/>
      <c r="BH53" s="567"/>
      <c r="BI53" s="572"/>
      <c r="BJ53" s="567"/>
      <c r="BK53" s="572"/>
      <c r="BL53" s="567"/>
      <c r="BM53" s="572"/>
      <c r="BN53" s="567"/>
      <c r="BO53" s="572"/>
      <c r="BP53" s="567"/>
      <c r="BQ53" s="572"/>
      <c r="BR53" s="567"/>
      <c r="BS53" s="572"/>
      <c r="BT53" s="567"/>
      <c r="BU53" s="572"/>
      <c r="BV53" s="567"/>
      <c r="BW53" s="572"/>
      <c r="BX53" s="567"/>
      <c r="BY53" s="572"/>
      <c r="BZ53" s="567"/>
      <c r="CA53" s="572"/>
      <c r="CB53" s="567"/>
      <c r="CC53" s="572"/>
      <c r="CD53" s="567"/>
      <c r="CE53" s="572"/>
      <c r="CF53" s="567"/>
      <c r="CG53" s="572"/>
      <c r="CH53" s="567"/>
      <c r="CI53" s="572"/>
      <c r="CJ53" s="567"/>
      <c r="CK53" s="572"/>
      <c r="CL53" s="567"/>
      <c r="CM53" s="572"/>
      <c r="CN53" s="567"/>
      <c r="CO53" s="572"/>
    </row>
    <row r="54" spans="1:93" x14ac:dyDescent="0.2">
      <c r="A54" s="553" t="s">
        <v>537</v>
      </c>
      <c r="B54" s="554"/>
      <c r="C54" s="555"/>
      <c r="D54" s="554"/>
      <c r="E54" s="555"/>
      <c r="F54" s="554"/>
      <c r="G54" s="555"/>
      <c r="H54" s="554"/>
      <c r="I54" s="555"/>
      <c r="J54" s="554"/>
      <c r="K54" s="555"/>
      <c r="L54" s="554"/>
      <c r="M54" s="555"/>
      <c r="N54" s="554"/>
      <c r="O54" s="555"/>
      <c r="P54" s="554"/>
      <c r="Q54" s="555"/>
      <c r="R54" s="554"/>
      <c r="S54" s="555"/>
      <c r="T54" s="554"/>
      <c r="U54" s="555"/>
      <c r="V54" s="554"/>
      <c r="W54" s="555"/>
      <c r="X54" s="554"/>
      <c r="Y54" s="555"/>
      <c r="Z54" s="554"/>
      <c r="AA54" s="555"/>
      <c r="AB54" s="554"/>
      <c r="AC54" s="555"/>
      <c r="AD54" s="554"/>
      <c r="AE54" s="555"/>
      <c r="AF54" s="554"/>
      <c r="AG54" s="555"/>
      <c r="AH54" s="554"/>
      <c r="AI54" s="555"/>
      <c r="AJ54" s="554"/>
      <c r="AK54" s="555"/>
      <c r="AL54" s="554"/>
      <c r="AM54" s="555"/>
      <c r="AN54" s="597"/>
      <c r="AO54" s="555"/>
      <c r="AP54" s="597"/>
      <c r="AQ54" s="555"/>
      <c r="AR54" s="597"/>
      <c r="AS54" s="555"/>
      <c r="AT54" s="597"/>
      <c r="AU54" s="555"/>
      <c r="AV54" s="598"/>
      <c r="AW54" s="555"/>
      <c r="AX54" s="597"/>
      <c r="AY54" s="599"/>
      <c r="AZ54" s="597"/>
      <c r="BA54" s="555"/>
      <c r="BB54" s="597"/>
      <c r="BC54" s="555"/>
      <c r="BD54" s="597"/>
      <c r="BE54" s="555"/>
      <c r="BF54" s="597"/>
      <c r="BG54" s="555"/>
      <c r="BH54" s="597"/>
      <c r="BI54" s="555"/>
      <c r="BJ54" s="597"/>
      <c r="BK54" s="555"/>
      <c r="BL54" s="597"/>
      <c r="BM54" s="555"/>
      <c r="BN54" s="597"/>
      <c r="BO54" s="555"/>
      <c r="BP54" s="597"/>
      <c r="BQ54" s="555"/>
      <c r="BR54" s="597"/>
      <c r="BS54" s="555"/>
      <c r="BT54" s="597"/>
      <c r="BU54" s="555"/>
      <c r="BV54" s="597"/>
      <c r="BW54" s="555"/>
      <c r="BX54" s="597"/>
      <c r="BY54" s="555"/>
      <c r="BZ54" s="597"/>
      <c r="CA54" s="555"/>
      <c r="CB54" s="597"/>
      <c r="CC54" s="555"/>
      <c r="CD54" s="597"/>
      <c r="CE54" s="555"/>
      <c r="CF54" s="597"/>
      <c r="CG54" s="555"/>
      <c r="CH54" s="597"/>
      <c r="CI54" s="555"/>
      <c r="CJ54" s="597"/>
      <c r="CK54" s="555"/>
      <c r="CL54" s="597"/>
      <c r="CM54" s="555"/>
      <c r="CN54" s="597"/>
      <c r="CO54" s="555"/>
    </row>
    <row r="55" spans="1:93" x14ac:dyDescent="0.2">
      <c r="A55" s="561" t="s">
        <v>538</v>
      </c>
      <c r="B55" s="600">
        <v>2035</v>
      </c>
      <c r="C55" s="601">
        <v>17917463.937500004</v>
      </c>
      <c r="D55" s="600">
        <v>1917</v>
      </c>
      <c r="E55" s="601">
        <v>14601555.949999999</v>
      </c>
      <c r="F55" s="600">
        <v>5253</v>
      </c>
      <c r="G55" s="601">
        <v>30924326.630000003</v>
      </c>
      <c r="H55" s="600">
        <v>4637</v>
      </c>
      <c r="I55" s="601">
        <v>34169861.030000001</v>
      </c>
      <c r="J55" s="600">
        <v>3390</v>
      </c>
      <c r="K55" s="601">
        <v>29754684.550000001</v>
      </c>
      <c r="L55" s="600">
        <v>3999</v>
      </c>
      <c r="M55" s="601">
        <v>48339698.049999997</v>
      </c>
      <c r="N55" s="600">
        <v>3691</v>
      </c>
      <c r="O55" s="601">
        <v>56977349.249999769</v>
      </c>
      <c r="P55" s="600">
        <v>3011</v>
      </c>
      <c r="Q55" s="601">
        <v>38179407.490000002</v>
      </c>
      <c r="R55" s="600">
        <v>3346</v>
      </c>
      <c r="S55" s="601">
        <v>38111839.850000001</v>
      </c>
      <c r="T55" s="600">
        <v>4167</v>
      </c>
      <c r="U55" s="601">
        <v>57466218.249999985</v>
      </c>
      <c r="V55" s="600">
        <v>2295</v>
      </c>
      <c r="W55" s="601">
        <v>30206480.5</v>
      </c>
      <c r="X55" s="600">
        <v>2035</v>
      </c>
      <c r="Y55" s="601">
        <v>26793987</v>
      </c>
      <c r="Z55" s="600">
        <v>1487</v>
      </c>
      <c r="AA55" s="601">
        <v>20636980</v>
      </c>
      <c r="AB55" s="600">
        <v>798</v>
      </c>
      <c r="AC55" s="601">
        <v>11902678.649999999</v>
      </c>
      <c r="AD55" s="600">
        <v>1246</v>
      </c>
      <c r="AE55" s="601">
        <v>19480927.240000002</v>
      </c>
      <c r="AF55" s="600">
        <v>1578</v>
      </c>
      <c r="AG55" s="601">
        <v>33504329.75</v>
      </c>
      <c r="AH55" s="600">
        <v>1123</v>
      </c>
      <c r="AI55" s="601">
        <v>23327982.850000001</v>
      </c>
      <c r="AJ55" s="600">
        <v>1392</v>
      </c>
      <c r="AK55" s="601">
        <v>27938029.960000001</v>
      </c>
      <c r="AL55" s="600">
        <v>2415</v>
      </c>
      <c r="AM55" s="601">
        <v>39574000.060000002</v>
      </c>
      <c r="AN55" s="600">
        <v>2437</v>
      </c>
      <c r="AO55" s="601">
        <v>40363016.060000002</v>
      </c>
      <c r="AP55" s="600">
        <v>2885</v>
      </c>
      <c r="AQ55" s="601">
        <v>42944168.5</v>
      </c>
      <c r="AR55" s="600">
        <v>1774</v>
      </c>
      <c r="AS55" s="601">
        <v>29722751.699999999</v>
      </c>
      <c r="AT55" s="600">
        <v>2036</v>
      </c>
      <c r="AU55" s="601">
        <v>29601555.399999999</v>
      </c>
      <c r="AV55" s="600">
        <v>1219</v>
      </c>
      <c r="AW55" s="601">
        <v>16652065</v>
      </c>
      <c r="AX55" s="600">
        <v>1173</v>
      </c>
      <c r="AY55" s="601">
        <v>18176129.5</v>
      </c>
      <c r="AZ55" s="600">
        <v>914</v>
      </c>
      <c r="BA55" s="601">
        <v>15576362.4</v>
      </c>
      <c r="BB55" s="600">
        <v>603</v>
      </c>
      <c r="BC55" s="601">
        <v>11555135.530000001</v>
      </c>
      <c r="BD55" s="600">
        <v>584</v>
      </c>
      <c r="BE55" s="601">
        <v>11192484.5</v>
      </c>
      <c r="BF55" s="600">
        <v>799</v>
      </c>
      <c r="BG55" s="601">
        <v>15139118.300000001</v>
      </c>
      <c r="BH55" s="600">
        <v>1133</v>
      </c>
      <c r="BI55" s="601">
        <v>21777663.399999999</v>
      </c>
      <c r="BJ55" s="600">
        <v>1136</v>
      </c>
      <c r="BK55" s="601">
        <v>20802696.920000002</v>
      </c>
      <c r="BL55" s="600">
        <v>1022</v>
      </c>
      <c r="BM55" s="601">
        <v>18856938.300000001</v>
      </c>
      <c r="BN55" s="600">
        <v>1343</v>
      </c>
      <c r="BO55" s="601">
        <v>28582701.84</v>
      </c>
      <c r="BP55" s="600">
        <v>579</v>
      </c>
      <c r="BQ55" s="601">
        <v>11543772</v>
      </c>
      <c r="BR55" s="600">
        <v>1000</v>
      </c>
      <c r="BS55" s="601">
        <v>19616969.559999999</v>
      </c>
      <c r="BT55" s="600">
        <v>1242</v>
      </c>
      <c r="BU55" s="601">
        <v>24039686.029999997</v>
      </c>
      <c r="BV55" s="600">
        <v>1083</v>
      </c>
      <c r="BW55" s="601">
        <v>18541230.310000002</v>
      </c>
      <c r="BX55" s="600">
        <v>1274</v>
      </c>
      <c r="BY55" s="601">
        <v>21115916.02</v>
      </c>
      <c r="BZ55" s="600">
        <v>1366</v>
      </c>
      <c r="CA55" s="601">
        <v>23267039.179999996</v>
      </c>
      <c r="CB55" s="600">
        <v>1565</v>
      </c>
      <c r="CC55" s="601">
        <v>28182678.489999998</v>
      </c>
      <c r="CD55" s="600">
        <v>1204</v>
      </c>
      <c r="CE55" s="601">
        <v>23993581.449999999</v>
      </c>
      <c r="CF55" s="600">
        <v>1247</v>
      </c>
      <c r="CG55" s="601">
        <v>22901309.680000003</v>
      </c>
      <c r="CH55" s="600">
        <v>1172</v>
      </c>
      <c r="CI55" s="601">
        <v>21000845.300000001</v>
      </c>
      <c r="CJ55" s="600">
        <v>1179</v>
      </c>
      <c r="CK55" s="601">
        <v>21856295.419999994</v>
      </c>
      <c r="CL55" s="600">
        <v>1016</v>
      </c>
      <c r="CM55" s="601">
        <v>21153023.600000001</v>
      </c>
      <c r="CN55" s="600">
        <v>905</v>
      </c>
      <c r="CO55" s="601">
        <v>20115339.25999999</v>
      </c>
    </row>
    <row r="56" spans="1:93" x14ac:dyDescent="0.2">
      <c r="A56" s="561" t="s">
        <v>539</v>
      </c>
      <c r="B56" s="600">
        <v>14</v>
      </c>
      <c r="C56" s="601">
        <v>386618</v>
      </c>
      <c r="D56" s="600">
        <v>12</v>
      </c>
      <c r="E56" s="601">
        <v>345468</v>
      </c>
      <c r="F56" s="600">
        <v>6</v>
      </c>
      <c r="G56" s="601">
        <v>163151</v>
      </c>
      <c r="H56" s="600">
        <v>4</v>
      </c>
      <c r="I56" s="601">
        <v>118471</v>
      </c>
      <c r="J56" s="600">
        <v>4</v>
      </c>
      <c r="K56" s="601">
        <v>118471</v>
      </c>
      <c r="L56" s="600">
        <v>4</v>
      </c>
      <c r="M56" s="601">
        <v>118471</v>
      </c>
      <c r="N56" s="600">
        <v>4</v>
      </c>
      <c r="O56" s="601">
        <v>118471</v>
      </c>
      <c r="P56" s="600">
        <v>3</v>
      </c>
      <c r="Q56" s="601">
        <v>102406</v>
      </c>
      <c r="R56" s="600">
        <v>2</v>
      </c>
      <c r="S56" s="601">
        <v>94082</v>
      </c>
      <c r="T56" s="600">
        <v>1</v>
      </c>
      <c r="U56" s="601">
        <v>83642</v>
      </c>
      <c r="V56" s="600">
        <v>0</v>
      </c>
      <c r="W56" s="601">
        <v>0</v>
      </c>
      <c r="X56" s="600">
        <v>0</v>
      </c>
      <c r="Y56" s="601">
        <v>0</v>
      </c>
      <c r="Z56" s="600">
        <v>0</v>
      </c>
      <c r="AA56" s="601">
        <v>0</v>
      </c>
      <c r="AB56" s="600">
        <v>0</v>
      </c>
      <c r="AC56" s="601">
        <v>0</v>
      </c>
      <c r="AD56" s="600">
        <v>0</v>
      </c>
      <c r="AE56" s="601">
        <v>0</v>
      </c>
      <c r="AF56" s="600">
        <v>0</v>
      </c>
      <c r="AG56" s="601">
        <v>0</v>
      </c>
      <c r="AH56" s="600">
        <v>0</v>
      </c>
      <c r="AI56" s="601">
        <v>0</v>
      </c>
      <c r="AJ56" s="600">
        <v>0</v>
      </c>
      <c r="AK56" s="601">
        <v>0</v>
      </c>
      <c r="AL56" s="600">
        <v>0</v>
      </c>
      <c r="AM56" s="601">
        <v>0</v>
      </c>
      <c r="AN56" s="600">
        <v>0</v>
      </c>
      <c r="AO56" s="601">
        <v>0</v>
      </c>
      <c r="AP56" s="600">
        <v>0</v>
      </c>
      <c r="AQ56" s="601">
        <v>0</v>
      </c>
      <c r="AR56" s="600">
        <v>0</v>
      </c>
      <c r="AS56" s="601">
        <v>0</v>
      </c>
      <c r="AT56" s="600">
        <v>0</v>
      </c>
      <c r="AU56" s="601">
        <v>0</v>
      </c>
      <c r="AV56" s="600">
        <v>0</v>
      </c>
      <c r="AW56" s="601">
        <v>0</v>
      </c>
      <c r="AX56" s="600">
        <v>0</v>
      </c>
      <c r="AY56" s="601">
        <v>0</v>
      </c>
      <c r="AZ56" s="600">
        <v>0</v>
      </c>
      <c r="BA56" s="601">
        <v>0</v>
      </c>
      <c r="BB56" s="600">
        <v>0</v>
      </c>
      <c r="BC56" s="601">
        <v>0</v>
      </c>
      <c r="BD56" s="600">
        <v>0</v>
      </c>
      <c r="BE56" s="601">
        <v>0</v>
      </c>
      <c r="BF56" s="600">
        <v>0</v>
      </c>
      <c r="BG56" s="601">
        <v>0</v>
      </c>
      <c r="BH56" s="600">
        <v>0</v>
      </c>
      <c r="BI56" s="601">
        <v>0</v>
      </c>
      <c r="BJ56" s="600">
        <v>0</v>
      </c>
      <c r="BK56" s="601">
        <v>0</v>
      </c>
      <c r="BL56" s="600">
        <v>0</v>
      </c>
      <c r="BM56" s="601">
        <v>0</v>
      </c>
      <c r="BN56" s="600">
        <v>0</v>
      </c>
      <c r="BO56" s="601">
        <v>0</v>
      </c>
      <c r="BP56" s="600">
        <v>0</v>
      </c>
      <c r="BQ56" s="601">
        <v>0</v>
      </c>
      <c r="BR56" s="600">
        <v>0</v>
      </c>
      <c r="BS56" s="601">
        <v>0</v>
      </c>
      <c r="BT56" s="600">
        <v>0</v>
      </c>
      <c r="BU56" s="601">
        <v>0</v>
      </c>
      <c r="BV56" s="600">
        <v>0</v>
      </c>
      <c r="BW56" s="601">
        <v>0</v>
      </c>
      <c r="BX56" s="600">
        <v>0</v>
      </c>
      <c r="BY56" s="601">
        <v>0</v>
      </c>
      <c r="BZ56" s="600">
        <v>0</v>
      </c>
      <c r="CA56" s="601">
        <v>0</v>
      </c>
      <c r="CB56" s="600">
        <v>0</v>
      </c>
      <c r="CC56" s="601">
        <v>0</v>
      </c>
      <c r="CD56" s="600">
        <v>0</v>
      </c>
      <c r="CE56" s="601">
        <v>0</v>
      </c>
      <c r="CF56" s="600">
        <v>0</v>
      </c>
      <c r="CG56" s="601">
        <v>0</v>
      </c>
      <c r="CH56" s="600">
        <v>0</v>
      </c>
      <c r="CI56" s="601">
        <v>0</v>
      </c>
      <c r="CJ56" s="600">
        <v>0</v>
      </c>
      <c r="CK56" s="601">
        <v>0</v>
      </c>
      <c r="CL56" s="600">
        <v>0</v>
      </c>
      <c r="CM56" s="601">
        <v>0</v>
      </c>
      <c r="CN56" s="600">
        <v>0</v>
      </c>
      <c r="CO56" s="601">
        <v>0</v>
      </c>
    </row>
    <row r="57" spans="1:93" x14ac:dyDescent="0.2">
      <c r="A57" s="561" t="s">
        <v>540</v>
      </c>
      <c r="B57" s="600">
        <v>1118</v>
      </c>
      <c r="C57" s="601">
        <v>14436045.9</v>
      </c>
      <c r="D57" s="600">
        <v>1899</v>
      </c>
      <c r="E57" s="601">
        <v>21291681.292500008</v>
      </c>
      <c r="F57" s="600">
        <v>3417</v>
      </c>
      <c r="G57" s="601">
        <v>29560419.625000011</v>
      </c>
      <c r="H57" s="600">
        <v>2865</v>
      </c>
      <c r="I57" s="601">
        <v>31963614.000000004</v>
      </c>
      <c r="J57" s="600">
        <v>4948</v>
      </c>
      <c r="K57" s="601">
        <v>51186860.187499985</v>
      </c>
      <c r="L57" s="600">
        <v>5595</v>
      </c>
      <c r="M57" s="601">
        <v>68985626.909999982</v>
      </c>
      <c r="N57" s="600">
        <v>4521</v>
      </c>
      <c r="O57" s="601">
        <v>71965405.799999982</v>
      </c>
      <c r="P57" s="600">
        <v>2207</v>
      </c>
      <c r="Q57" s="601">
        <v>30739015.700000003</v>
      </c>
      <c r="R57" s="600">
        <v>2957</v>
      </c>
      <c r="S57" s="601">
        <v>41804908.300000004</v>
      </c>
      <c r="T57" s="600">
        <v>3786</v>
      </c>
      <c r="U57" s="601">
        <v>57703089.700000003</v>
      </c>
      <c r="V57" s="600">
        <v>2112</v>
      </c>
      <c r="W57" s="601">
        <v>33133051.400000002</v>
      </c>
      <c r="X57" s="600">
        <v>1762</v>
      </c>
      <c r="Y57" s="601">
        <v>24868177.5</v>
      </c>
      <c r="Z57" s="600">
        <v>1297</v>
      </c>
      <c r="AA57" s="601">
        <v>20283351.5</v>
      </c>
      <c r="AB57" s="600">
        <v>1035</v>
      </c>
      <c r="AC57" s="601">
        <v>13819683.039999999</v>
      </c>
      <c r="AD57" s="600">
        <v>1917</v>
      </c>
      <c r="AE57" s="601">
        <v>29547245.949999999</v>
      </c>
      <c r="AF57" s="600">
        <v>2317</v>
      </c>
      <c r="AG57" s="601">
        <v>42946031.160000004</v>
      </c>
      <c r="AH57" s="600">
        <v>2371</v>
      </c>
      <c r="AI57" s="601">
        <v>45987673.019999996</v>
      </c>
      <c r="AJ57" s="600">
        <v>2612</v>
      </c>
      <c r="AK57" s="601">
        <v>49767562.719999999</v>
      </c>
      <c r="AL57" s="600">
        <v>2572</v>
      </c>
      <c r="AM57" s="601">
        <v>47131421</v>
      </c>
      <c r="AN57" s="600">
        <v>1702</v>
      </c>
      <c r="AO57" s="601">
        <v>32521345</v>
      </c>
      <c r="AP57" s="600">
        <v>1444</v>
      </c>
      <c r="AQ57" s="601">
        <v>22528741.289999999</v>
      </c>
      <c r="AR57" s="600">
        <v>1465</v>
      </c>
      <c r="AS57" s="601">
        <v>24686890</v>
      </c>
      <c r="AT57" s="600">
        <v>1816</v>
      </c>
      <c r="AU57" s="601">
        <v>28329768.699999999</v>
      </c>
      <c r="AV57" s="600">
        <v>1442</v>
      </c>
      <c r="AW57" s="601">
        <v>20859614.199999999</v>
      </c>
      <c r="AX57" s="600">
        <v>1671</v>
      </c>
      <c r="AY57" s="601">
        <v>24962958</v>
      </c>
      <c r="AZ57" s="600">
        <v>1194</v>
      </c>
      <c r="BA57" s="601">
        <v>20857032.32</v>
      </c>
      <c r="BB57" s="600">
        <v>950</v>
      </c>
      <c r="BC57" s="601">
        <v>17144590.840000004</v>
      </c>
      <c r="BD57" s="600">
        <v>886</v>
      </c>
      <c r="BE57" s="601">
        <v>17516194.82</v>
      </c>
      <c r="BF57" s="600">
        <v>1235</v>
      </c>
      <c r="BG57" s="601">
        <v>23583078.630000003</v>
      </c>
      <c r="BH57" s="600">
        <v>1917</v>
      </c>
      <c r="BI57" s="601">
        <v>35348850.829999998</v>
      </c>
      <c r="BJ57" s="600">
        <v>2210</v>
      </c>
      <c r="BK57" s="601">
        <v>40420899.63000001</v>
      </c>
      <c r="BL57" s="600">
        <v>1902</v>
      </c>
      <c r="BM57" s="601">
        <v>36289901.450000003</v>
      </c>
      <c r="BN57" s="600">
        <v>2344</v>
      </c>
      <c r="BO57" s="601">
        <v>49544638.629999995</v>
      </c>
      <c r="BP57" s="600">
        <v>922</v>
      </c>
      <c r="BQ57" s="601">
        <v>18348274.899999999</v>
      </c>
      <c r="BR57" s="600">
        <v>1661</v>
      </c>
      <c r="BS57" s="601">
        <v>31539134.440000001</v>
      </c>
      <c r="BT57" s="600">
        <v>2047</v>
      </c>
      <c r="BU57" s="601">
        <v>38420113.730000004</v>
      </c>
      <c r="BV57" s="600">
        <v>4518</v>
      </c>
      <c r="BW57" s="601">
        <v>59754337.539999999</v>
      </c>
      <c r="BX57" s="600">
        <v>2155</v>
      </c>
      <c r="BY57" s="601">
        <v>34100018.230000004</v>
      </c>
      <c r="BZ57" s="600">
        <v>4154</v>
      </c>
      <c r="CA57" s="601">
        <v>53557225.960000031</v>
      </c>
      <c r="CB57" s="600">
        <v>2429</v>
      </c>
      <c r="CC57" s="601">
        <v>42082936.750000007</v>
      </c>
      <c r="CD57" s="600">
        <v>2363</v>
      </c>
      <c r="CE57" s="601">
        <v>49063441.969999999</v>
      </c>
      <c r="CF57" s="600">
        <v>1988</v>
      </c>
      <c r="CG57" s="601">
        <v>40147707.070000008</v>
      </c>
      <c r="CH57" s="600">
        <v>1584</v>
      </c>
      <c r="CI57" s="601">
        <v>29992455.640000001</v>
      </c>
      <c r="CJ57" s="600">
        <v>1875</v>
      </c>
      <c r="CK57" s="601">
        <v>35933479.090000004</v>
      </c>
      <c r="CL57" s="600">
        <v>2272</v>
      </c>
      <c r="CM57" s="601">
        <v>42315822.429999985</v>
      </c>
      <c r="CN57" s="600">
        <v>1650</v>
      </c>
      <c r="CO57" s="601">
        <v>33104388.490000006</v>
      </c>
    </row>
    <row r="58" spans="1:93" x14ac:dyDescent="0.2">
      <c r="A58" s="561" t="s">
        <v>541</v>
      </c>
      <c r="B58" s="600">
        <v>3110</v>
      </c>
      <c r="C58" s="601">
        <v>32461272.360000003</v>
      </c>
      <c r="D58" s="600">
        <f>9164+3</f>
        <v>9167</v>
      </c>
      <c r="E58" s="601">
        <v>69595532.819999993</v>
      </c>
      <c r="F58" s="600">
        <v>7861</v>
      </c>
      <c r="G58" s="601">
        <v>56929160.760000005</v>
      </c>
      <c r="H58" s="600">
        <v>6491</v>
      </c>
      <c r="I58" s="601">
        <v>51892598.100000001</v>
      </c>
      <c r="J58" s="600">
        <v>11892</v>
      </c>
      <c r="K58" s="601">
        <v>87766148.600000009</v>
      </c>
      <c r="L58" s="600">
        <v>18807</v>
      </c>
      <c r="M58" s="601">
        <v>144252943.39999998</v>
      </c>
      <c r="N58" s="600">
        <v>19445</v>
      </c>
      <c r="O58" s="601">
        <v>157220703.72999999</v>
      </c>
      <c r="P58" s="600">
        <v>10896</v>
      </c>
      <c r="Q58" s="601">
        <v>89686502.879999995</v>
      </c>
      <c r="R58" s="600">
        <v>11499</v>
      </c>
      <c r="S58" s="601">
        <v>97437120.180000007</v>
      </c>
      <c r="T58" s="600">
        <v>12304</v>
      </c>
      <c r="U58" s="601">
        <v>121778840.73000002</v>
      </c>
      <c r="V58" s="600">
        <v>9238</v>
      </c>
      <c r="W58" s="601">
        <v>92072338.99000001</v>
      </c>
      <c r="X58" s="600">
        <v>5774</v>
      </c>
      <c r="Y58" s="601">
        <v>58505730</v>
      </c>
      <c r="Z58" s="600">
        <v>5278</v>
      </c>
      <c r="AA58" s="601">
        <v>50340543</v>
      </c>
      <c r="AB58" s="600">
        <v>4784</v>
      </c>
      <c r="AC58" s="601">
        <v>38670651.420000024</v>
      </c>
      <c r="AD58" s="600">
        <v>9104</v>
      </c>
      <c r="AE58" s="601">
        <v>78826111.859999999</v>
      </c>
      <c r="AF58" s="600">
        <v>7481</v>
      </c>
      <c r="AG58" s="601">
        <v>78297981.769999996</v>
      </c>
      <c r="AH58" s="600">
        <v>8910</v>
      </c>
      <c r="AI58" s="601">
        <v>99085428.049999982</v>
      </c>
      <c r="AJ58" s="600">
        <v>9600</v>
      </c>
      <c r="AK58" s="601">
        <v>112117177.58</v>
      </c>
      <c r="AL58" s="600">
        <v>7020</v>
      </c>
      <c r="AM58" s="601">
        <v>82233497.780000001</v>
      </c>
      <c r="AN58" s="600">
        <v>4105</v>
      </c>
      <c r="AO58" s="601">
        <v>48905274.320000008</v>
      </c>
      <c r="AP58" s="600">
        <v>3271</v>
      </c>
      <c r="AQ58" s="601">
        <v>33824914.140000001</v>
      </c>
      <c r="AR58" s="600">
        <v>2801</v>
      </c>
      <c r="AS58" s="601">
        <v>27088455.939999998</v>
      </c>
      <c r="AT58" s="600">
        <v>3381</v>
      </c>
      <c r="AU58" s="601">
        <v>32836272.039999999</v>
      </c>
      <c r="AV58" s="600">
        <v>3462</v>
      </c>
      <c r="AW58" s="601">
        <v>34845870.740000002</v>
      </c>
      <c r="AX58" s="600">
        <v>3971</v>
      </c>
      <c r="AY58" s="601">
        <v>40138058.299999997</v>
      </c>
      <c r="AZ58" s="600">
        <v>2741</v>
      </c>
      <c r="BA58" s="601">
        <v>31216689</v>
      </c>
      <c r="BB58" s="600">
        <v>3112</v>
      </c>
      <c r="BC58" s="601">
        <v>35484252.210000001</v>
      </c>
      <c r="BD58" s="600">
        <v>2352</v>
      </c>
      <c r="BE58" s="601">
        <v>29969909.320000004</v>
      </c>
      <c r="BF58" s="600">
        <v>3171</v>
      </c>
      <c r="BG58" s="601">
        <v>41465768.259999976</v>
      </c>
      <c r="BH58" s="600">
        <v>4566</v>
      </c>
      <c r="BI58" s="601">
        <v>59038103.13956999</v>
      </c>
      <c r="BJ58" s="600">
        <v>4609</v>
      </c>
      <c r="BK58" s="601">
        <v>64718053.850000001</v>
      </c>
      <c r="BL58" s="600">
        <v>5307</v>
      </c>
      <c r="BM58" s="601">
        <v>71744570.409999937</v>
      </c>
      <c r="BN58" s="600">
        <v>6770</v>
      </c>
      <c r="BO58" s="601">
        <v>105753872.5</v>
      </c>
      <c r="BP58" s="600">
        <v>3263</v>
      </c>
      <c r="BQ58" s="601">
        <v>48659050.760000013</v>
      </c>
      <c r="BR58" s="600">
        <v>3596</v>
      </c>
      <c r="BS58" s="601">
        <v>55573193.530000016</v>
      </c>
      <c r="BT58" s="600">
        <v>4295</v>
      </c>
      <c r="BU58" s="601">
        <v>62579837.75</v>
      </c>
      <c r="BV58" s="600">
        <v>2286</v>
      </c>
      <c r="BW58" s="601">
        <v>32048004.590000007</v>
      </c>
      <c r="BX58" s="600">
        <v>4460</v>
      </c>
      <c r="BY58" s="601">
        <v>54430953.93</v>
      </c>
      <c r="BZ58" s="600">
        <v>2150</v>
      </c>
      <c r="CA58" s="601">
        <v>25730068.690000005</v>
      </c>
      <c r="CB58" s="600">
        <v>4473</v>
      </c>
      <c r="CC58" s="601">
        <v>74707390.640000015</v>
      </c>
      <c r="CD58" s="600">
        <v>5306</v>
      </c>
      <c r="CE58" s="601">
        <v>91419494.489999935</v>
      </c>
      <c r="CF58" s="600">
        <v>5206</v>
      </c>
      <c r="CG58" s="601">
        <v>85586352.560000077</v>
      </c>
      <c r="CH58" s="600">
        <v>3520</v>
      </c>
      <c r="CI58" s="601">
        <v>62960504.88000001</v>
      </c>
      <c r="CJ58" s="600">
        <v>3415</v>
      </c>
      <c r="CK58" s="601">
        <v>56572771.360000037</v>
      </c>
      <c r="CL58" s="600">
        <v>3930</v>
      </c>
      <c r="CM58" s="601">
        <v>67716357.960000023</v>
      </c>
      <c r="CN58" s="600">
        <v>3666</v>
      </c>
      <c r="CO58" s="601">
        <v>62037177.020000003</v>
      </c>
    </row>
    <row r="59" spans="1:93" x14ac:dyDescent="0.2">
      <c r="A59" s="561" t="s">
        <v>542</v>
      </c>
      <c r="B59" s="600">
        <v>805</v>
      </c>
      <c r="C59" s="601">
        <v>11980244.5</v>
      </c>
      <c r="D59" s="600">
        <v>1209</v>
      </c>
      <c r="E59" s="601">
        <v>11612298.199999999</v>
      </c>
      <c r="F59" s="600">
        <v>683</v>
      </c>
      <c r="G59" s="601">
        <v>5310189.5</v>
      </c>
      <c r="H59" s="600">
        <v>1240</v>
      </c>
      <c r="I59" s="601">
        <v>11415780.5</v>
      </c>
      <c r="J59" s="600">
        <v>2645</v>
      </c>
      <c r="K59" s="601">
        <v>22610559.200000003</v>
      </c>
      <c r="L59" s="600">
        <v>3384</v>
      </c>
      <c r="M59" s="601">
        <v>29750429.5</v>
      </c>
      <c r="N59" s="600">
        <v>3781</v>
      </c>
      <c r="O59" s="601">
        <v>34921748.299999997</v>
      </c>
      <c r="P59" s="600">
        <v>916</v>
      </c>
      <c r="Q59" s="601">
        <v>7320113.5</v>
      </c>
      <c r="R59" s="600">
        <v>1142</v>
      </c>
      <c r="S59" s="601">
        <v>10271200.800000001</v>
      </c>
      <c r="T59" s="600">
        <v>1791</v>
      </c>
      <c r="U59" s="601">
        <v>18503753</v>
      </c>
      <c r="V59" s="600">
        <v>1896</v>
      </c>
      <c r="W59" s="601">
        <v>18379434.5</v>
      </c>
      <c r="X59" s="600">
        <v>1345</v>
      </c>
      <c r="Y59" s="601">
        <v>14283206.5</v>
      </c>
      <c r="Z59" s="600">
        <v>1305</v>
      </c>
      <c r="AA59" s="601">
        <v>12883810.300000001</v>
      </c>
      <c r="AB59" s="600">
        <v>1088</v>
      </c>
      <c r="AC59" s="601">
        <v>8671697.5899999999</v>
      </c>
      <c r="AD59" s="600">
        <v>1902</v>
      </c>
      <c r="AE59" s="601">
        <v>16202116.90474</v>
      </c>
      <c r="AF59" s="600">
        <v>1939</v>
      </c>
      <c r="AG59" s="601">
        <v>17910574.810000002</v>
      </c>
      <c r="AH59" s="600">
        <v>2498</v>
      </c>
      <c r="AI59" s="601">
        <v>24052935.43</v>
      </c>
      <c r="AJ59" s="600">
        <v>2480</v>
      </c>
      <c r="AK59" s="601">
        <v>26591322.340000004</v>
      </c>
      <c r="AL59" s="600">
        <v>1927</v>
      </c>
      <c r="AM59" s="601">
        <v>21747918.140000001</v>
      </c>
      <c r="AN59" s="600">
        <v>1576</v>
      </c>
      <c r="AO59" s="601">
        <v>18465410</v>
      </c>
      <c r="AP59" s="600">
        <v>1336</v>
      </c>
      <c r="AQ59" s="601">
        <v>12858241.300000001</v>
      </c>
      <c r="AR59" s="600">
        <v>1006</v>
      </c>
      <c r="AS59" s="601">
        <v>10402010.300000001</v>
      </c>
      <c r="AT59" s="600">
        <v>1008</v>
      </c>
      <c r="AU59" s="601">
        <v>9627656.5</v>
      </c>
      <c r="AV59" s="600">
        <v>906</v>
      </c>
      <c r="AW59" s="601">
        <v>8943045.5999999996</v>
      </c>
      <c r="AX59" s="600">
        <v>1075</v>
      </c>
      <c r="AY59" s="601">
        <v>10455398.900000002</v>
      </c>
      <c r="AZ59" s="600">
        <v>782</v>
      </c>
      <c r="BA59" s="601">
        <v>8324634</v>
      </c>
      <c r="BB59" s="600">
        <v>950</v>
      </c>
      <c r="BC59" s="601">
        <v>9600242.5</v>
      </c>
      <c r="BD59" s="600">
        <v>868</v>
      </c>
      <c r="BE59" s="601">
        <v>10493494</v>
      </c>
      <c r="BF59" s="600">
        <v>1361</v>
      </c>
      <c r="BG59" s="601">
        <v>16896948.5</v>
      </c>
      <c r="BH59" s="600">
        <v>1752</v>
      </c>
      <c r="BI59" s="601">
        <v>23064763.500000004</v>
      </c>
      <c r="BJ59" s="600">
        <v>2398</v>
      </c>
      <c r="BK59" s="601">
        <v>34907177.88000001</v>
      </c>
      <c r="BL59" s="600">
        <v>2890</v>
      </c>
      <c r="BM59" s="601">
        <v>40098296.100000001</v>
      </c>
      <c r="BN59" s="600">
        <v>2794</v>
      </c>
      <c r="BO59" s="601">
        <v>40262923.119999997</v>
      </c>
      <c r="BP59" s="600">
        <v>1736</v>
      </c>
      <c r="BQ59" s="601">
        <v>26093700.079999998</v>
      </c>
      <c r="BR59" s="600">
        <v>1598</v>
      </c>
      <c r="BS59" s="601">
        <v>25589580.04000001</v>
      </c>
      <c r="BT59" s="600">
        <v>2147</v>
      </c>
      <c r="BU59" s="601">
        <v>31626346.399999999</v>
      </c>
      <c r="BV59" s="600">
        <v>2067</v>
      </c>
      <c r="BW59" s="601">
        <v>36465709.919999994</v>
      </c>
      <c r="BX59" s="600">
        <v>1990</v>
      </c>
      <c r="BY59" s="601">
        <v>26172945.550000001</v>
      </c>
      <c r="BZ59" s="600">
        <v>5447</v>
      </c>
      <c r="CA59" s="601">
        <v>60176407.809999995</v>
      </c>
      <c r="CB59" s="600">
        <v>2273</v>
      </c>
      <c r="CC59" s="601">
        <v>34367477.990000002</v>
      </c>
      <c r="CD59" s="600">
        <v>4839</v>
      </c>
      <c r="CE59" s="601">
        <v>85621175.890000015</v>
      </c>
      <c r="CF59" s="600">
        <v>5524</v>
      </c>
      <c r="CG59" s="601">
        <v>94901362.540000051</v>
      </c>
      <c r="CH59" s="600">
        <v>3347</v>
      </c>
      <c r="CI59" s="601">
        <v>60450718.030000001</v>
      </c>
      <c r="CJ59" s="600">
        <v>3076</v>
      </c>
      <c r="CK59" s="601">
        <v>51459026.300000027</v>
      </c>
      <c r="CL59" s="600">
        <v>3523</v>
      </c>
      <c r="CM59" s="601">
        <v>63483951.030000009</v>
      </c>
      <c r="CN59" s="600">
        <v>2991</v>
      </c>
      <c r="CO59" s="601">
        <v>51983572.610000014</v>
      </c>
    </row>
    <row r="60" spans="1:93" x14ac:dyDescent="0.2">
      <c r="A60" s="561" t="s">
        <v>543</v>
      </c>
      <c r="B60" s="600">
        <v>4721</v>
      </c>
      <c r="C60" s="601">
        <v>46859569.673332997</v>
      </c>
      <c r="D60" s="600">
        <v>6486</v>
      </c>
      <c r="E60" s="601">
        <v>46492032.920000009</v>
      </c>
      <c r="F60" s="600">
        <v>10073</v>
      </c>
      <c r="G60" s="601">
        <v>60966908.719999991</v>
      </c>
      <c r="H60" s="600">
        <v>7504</v>
      </c>
      <c r="I60" s="601">
        <v>54929320.219999999</v>
      </c>
      <c r="J60" s="600">
        <v>14101</v>
      </c>
      <c r="K60" s="601">
        <v>95431273.90000008</v>
      </c>
      <c r="L60" s="600">
        <v>19452</v>
      </c>
      <c r="M60" s="601">
        <v>156025659.52000016</v>
      </c>
      <c r="N60" s="600">
        <v>11540</v>
      </c>
      <c r="O60" s="601">
        <v>125643594.92000006</v>
      </c>
      <c r="P60" s="600">
        <v>7808</v>
      </c>
      <c r="Q60" s="601">
        <v>100812933.42000002</v>
      </c>
      <c r="R60" s="600">
        <v>7751</v>
      </c>
      <c r="S60" s="601">
        <v>93395758.320000008</v>
      </c>
      <c r="T60" s="600">
        <v>8745</v>
      </c>
      <c r="U60" s="601">
        <v>112880377.40000001</v>
      </c>
      <c r="V60" s="600">
        <v>7442</v>
      </c>
      <c r="W60" s="601">
        <v>99509662.25</v>
      </c>
      <c r="X60" s="600">
        <v>4814</v>
      </c>
      <c r="Y60" s="601">
        <v>65796957.5</v>
      </c>
      <c r="Z60" s="600">
        <v>4568</v>
      </c>
      <c r="AA60" s="601">
        <v>56488414.350000001</v>
      </c>
      <c r="AB60" s="600">
        <v>3800</v>
      </c>
      <c r="AC60" s="601">
        <v>37297076.810000002</v>
      </c>
      <c r="AD60" s="600">
        <v>7279</v>
      </c>
      <c r="AE60" s="601">
        <v>76516113.057779968</v>
      </c>
      <c r="AF60" s="600">
        <v>7232</v>
      </c>
      <c r="AG60" s="601">
        <v>84965164.650000006</v>
      </c>
      <c r="AH60" s="600">
        <v>10288</v>
      </c>
      <c r="AI60" s="601">
        <v>129756905.59000002</v>
      </c>
      <c r="AJ60" s="600">
        <v>12422</v>
      </c>
      <c r="AK60" s="601">
        <v>165044189.14999998</v>
      </c>
      <c r="AL60" s="600">
        <v>10090</v>
      </c>
      <c r="AM60" s="601">
        <v>135230265.11000001</v>
      </c>
      <c r="AN60" s="600">
        <v>6628</v>
      </c>
      <c r="AO60" s="601">
        <v>85241124.070000008</v>
      </c>
      <c r="AP60" s="600">
        <v>4269</v>
      </c>
      <c r="AQ60" s="601">
        <v>48524882.400000006</v>
      </c>
      <c r="AR60" s="600">
        <v>2775</v>
      </c>
      <c r="AS60" s="601">
        <v>31011343.199999999</v>
      </c>
      <c r="AT60" s="600">
        <v>3038</v>
      </c>
      <c r="AU60" s="601">
        <v>30828665.799999997</v>
      </c>
      <c r="AV60" s="600">
        <v>2700</v>
      </c>
      <c r="AW60" s="601">
        <v>27666425.100000001</v>
      </c>
      <c r="AX60" s="600">
        <v>3402</v>
      </c>
      <c r="AY60" s="601">
        <v>34480941</v>
      </c>
      <c r="AZ60" s="600">
        <v>2693</v>
      </c>
      <c r="BA60" s="601">
        <v>30880080.900000002</v>
      </c>
      <c r="BB60" s="600">
        <v>3487</v>
      </c>
      <c r="BC60" s="601">
        <v>36833237.532000005</v>
      </c>
      <c r="BD60" s="600">
        <v>2903</v>
      </c>
      <c r="BE60" s="601">
        <v>32605346.399999999</v>
      </c>
      <c r="BF60" s="600">
        <v>3932</v>
      </c>
      <c r="BG60" s="601">
        <v>49424947.099999994</v>
      </c>
      <c r="BH60" s="600">
        <v>5484</v>
      </c>
      <c r="BI60" s="601">
        <v>68548970.325958014</v>
      </c>
      <c r="BJ60" s="600">
        <v>7185</v>
      </c>
      <c r="BK60" s="601">
        <v>107001298.78999995</v>
      </c>
      <c r="BL60" s="600">
        <v>9437</v>
      </c>
      <c r="BM60" s="601">
        <v>141072613.20000008</v>
      </c>
      <c r="BN60" s="600">
        <v>9983</v>
      </c>
      <c r="BO60" s="601">
        <v>153066627.6400001</v>
      </c>
      <c r="BP60" s="600">
        <v>7040</v>
      </c>
      <c r="BQ60" s="601">
        <v>106705544.61391801</v>
      </c>
      <c r="BR60" s="600">
        <v>7018</v>
      </c>
      <c r="BS60" s="601">
        <v>111749342.85999997</v>
      </c>
      <c r="BT60" s="600">
        <v>7629</v>
      </c>
      <c r="BU60" s="601">
        <v>114815766.65000001</v>
      </c>
      <c r="BV60" s="600">
        <v>4961</v>
      </c>
      <c r="BW60" s="601">
        <v>61034472.470000006</v>
      </c>
      <c r="BX60" s="600">
        <v>6348</v>
      </c>
      <c r="BY60" s="601">
        <v>77717835.059999987</v>
      </c>
      <c r="BZ60" s="600">
        <v>5945</v>
      </c>
      <c r="CA60" s="601">
        <v>59860873.580000035</v>
      </c>
      <c r="CB60" s="600">
        <v>5203</v>
      </c>
      <c r="CC60" s="601">
        <v>70550977.560000002</v>
      </c>
      <c r="CD60" s="600">
        <v>10141</v>
      </c>
      <c r="CE60" s="601">
        <v>170154573.45000026</v>
      </c>
      <c r="CF60" s="600">
        <v>14013</v>
      </c>
      <c r="CG60" s="601">
        <v>224814306.88000005</v>
      </c>
      <c r="CH60" s="600">
        <v>9158</v>
      </c>
      <c r="CI60" s="601">
        <v>159288490.32000002</v>
      </c>
      <c r="CJ60" s="600">
        <v>8065</v>
      </c>
      <c r="CK60" s="601">
        <v>124404306.50999999</v>
      </c>
      <c r="CL60" s="600">
        <v>8603</v>
      </c>
      <c r="CM60" s="601">
        <v>134192329.12999998</v>
      </c>
      <c r="CN60" s="600">
        <v>7980</v>
      </c>
      <c r="CO60" s="601">
        <v>123199969.73</v>
      </c>
    </row>
    <row r="61" spans="1:93" x14ac:dyDescent="0.2">
      <c r="A61" s="561" t="s">
        <v>544</v>
      </c>
      <c r="B61" s="602">
        <v>2411</v>
      </c>
      <c r="C61" s="603">
        <v>26445596.010000002</v>
      </c>
      <c r="D61" s="600">
        <v>2847</v>
      </c>
      <c r="E61" s="601">
        <v>23468872.824999999</v>
      </c>
      <c r="F61" s="600">
        <v>5196</v>
      </c>
      <c r="G61" s="601">
        <v>38023815.375</v>
      </c>
      <c r="H61" s="600">
        <v>4039</v>
      </c>
      <c r="I61" s="601">
        <v>35787983.43999999</v>
      </c>
      <c r="J61" s="600">
        <v>5551</v>
      </c>
      <c r="K61" s="601">
        <v>48908627.93</v>
      </c>
      <c r="L61" s="600">
        <v>6452</v>
      </c>
      <c r="M61" s="601">
        <v>56301396.939999998</v>
      </c>
      <c r="N61" s="600">
        <v>6240</v>
      </c>
      <c r="O61" s="601">
        <v>54585560.039999999</v>
      </c>
      <c r="P61" s="600">
        <v>4236</v>
      </c>
      <c r="Q61" s="601">
        <v>41347063.440000005</v>
      </c>
      <c r="R61" s="600">
        <v>4808</v>
      </c>
      <c r="S61" s="601">
        <v>42295576.539999992</v>
      </c>
      <c r="T61" s="600">
        <v>5538</v>
      </c>
      <c r="U61" s="601">
        <v>49184345.199999996</v>
      </c>
      <c r="V61" s="600">
        <v>5263</v>
      </c>
      <c r="W61" s="601">
        <v>53807764.900000006</v>
      </c>
      <c r="X61" s="600">
        <v>3435</v>
      </c>
      <c r="Y61" s="601">
        <v>41774300.600000001</v>
      </c>
      <c r="Z61" s="600">
        <v>2137</v>
      </c>
      <c r="AA61" s="601">
        <v>25564424.950000003</v>
      </c>
      <c r="AB61" s="600">
        <v>2718</v>
      </c>
      <c r="AC61" s="601">
        <v>24937999.420000002</v>
      </c>
      <c r="AD61" s="600">
        <v>6833</v>
      </c>
      <c r="AE61" s="601">
        <v>55901698.810000002</v>
      </c>
      <c r="AF61" s="600">
        <v>6939</v>
      </c>
      <c r="AG61" s="601">
        <v>66354838.219999999</v>
      </c>
      <c r="AH61" s="600">
        <v>7734</v>
      </c>
      <c r="AI61" s="601">
        <v>83210717.840000018</v>
      </c>
      <c r="AJ61" s="600">
        <v>8399</v>
      </c>
      <c r="AK61" s="601">
        <v>96646690.049999997</v>
      </c>
      <c r="AL61" s="600">
        <v>6448</v>
      </c>
      <c r="AM61" s="601">
        <v>75733577.179999992</v>
      </c>
      <c r="AN61" s="600">
        <v>4469</v>
      </c>
      <c r="AO61" s="601">
        <v>52585104.920000002</v>
      </c>
      <c r="AP61" s="600">
        <v>3381</v>
      </c>
      <c r="AQ61" s="601">
        <v>41393735.199999988</v>
      </c>
      <c r="AR61" s="600">
        <v>2089</v>
      </c>
      <c r="AS61" s="601">
        <v>24763870.600000001</v>
      </c>
      <c r="AT61" s="600">
        <v>2491</v>
      </c>
      <c r="AU61" s="601">
        <v>23978793.099999998</v>
      </c>
      <c r="AV61" s="600">
        <v>3036</v>
      </c>
      <c r="AW61" s="601">
        <v>28536386.099999998</v>
      </c>
      <c r="AX61" s="600">
        <v>3191</v>
      </c>
      <c r="AY61" s="601">
        <v>32476411.782221995</v>
      </c>
      <c r="AZ61" s="600">
        <v>2575</v>
      </c>
      <c r="BA61" s="601">
        <v>27512772.511110999</v>
      </c>
      <c r="BB61" s="600">
        <v>2636</v>
      </c>
      <c r="BC61" s="601">
        <v>26981672.5</v>
      </c>
      <c r="BD61" s="600">
        <v>2377</v>
      </c>
      <c r="BE61" s="601">
        <v>30373744.100000001</v>
      </c>
      <c r="BF61" s="600">
        <v>4377</v>
      </c>
      <c r="BG61" s="601">
        <v>54069203</v>
      </c>
      <c r="BH61" s="600">
        <v>4466</v>
      </c>
      <c r="BI61" s="601">
        <v>51073258.05999998</v>
      </c>
      <c r="BJ61" s="600">
        <v>5394</v>
      </c>
      <c r="BK61" s="601">
        <v>63847394.620000012</v>
      </c>
      <c r="BL61" s="600">
        <v>6270</v>
      </c>
      <c r="BM61" s="601">
        <v>74954579.399999991</v>
      </c>
      <c r="BN61" s="600">
        <v>6594</v>
      </c>
      <c r="BO61" s="601">
        <v>80008442.539999977</v>
      </c>
      <c r="BP61" s="600">
        <v>4949</v>
      </c>
      <c r="BQ61" s="601">
        <v>65579220.920000002</v>
      </c>
      <c r="BR61" s="600">
        <v>4376</v>
      </c>
      <c r="BS61" s="601">
        <v>59185463.279999994</v>
      </c>
      <c r="BT61" s="600">
        <v>4751</v>
      </c>
      <c r="BU61" s="601">
        <v>60388183.240000002</v>
      </c>
      <c r="BV61" s="600">
        <v>2923</v>
      </c>
      <c r="BW61" s="601">
        <v>29279628.629999992</v>
      </c>
      <c r="BX61" s="600">
        <v>4403</v>
      </c>
      <c r="BY61" s="601">
        <v>49108326.640000008</v>
      </c>
      <c r="BZ61" s="600">
        <v>3247</v>
      </c>
      <c r="CA61" s="601">
        <v>26234018.169999998</v>
      </c>
      <c r="CB61" s="600">
        <v>5778</v>
      </c>
      <c r="CC61" s="601">
        <v>69328931.320000038</v>
      </c>
      <c r="CD61" s="600">
        <v>7815</v>
      </c>
      <c r="CE61" s="601">
        <v>112823699.19000003</v>
      </c>
      <c r="CF61" s="600">
        <v>8577</v>
      </c>
      <c r="CG61" s="601">
        <v>119892105.21000008</v>
      </c>
      <c r="CH61" s="600">
        <v>6406</v>
      </c>
      <c r="CI61" s="601">
        <v>95427854.589999974</v>
      </c>
      <c r="CJ61" s="600">
        <v>5866</v>
      </c>
      <c r="CK61" s="601">
        <v>83291369.120000184</v>
      </c>
      <c r="CL61" s="600">
        <v>6434</v>
      </c>
      <c r="CM61" s="601">
        <v>105114685.43000001</v>
      </c>
      <c r="CN61" s="600">
        <v>5519</v>
      </c>
      <c r="CO61" s="601">
        <v>87071536.870000005</v>
      </c>
    </row>
    <row r="62" spans="1:93" x14ac:dyDescent="0.2">
      <c r="A62" s="561" t="s">
        <v>545</v>
      </c>
      <c r="B62" s="600">
        <v>1846</v>
      </c>
      <c r="C62" s="601">
        <v>11289442.699999999</v>
      </c>
      <c r="D62" s="600">
        <v>2482</v>
      </c>
      <c r="E62" s="601">
        <v>13358335.599999998</v>
      </c>
      <c r="F62" s="600">
        <v>5630</v>
      </c>
      <c r="G62" s="601">
        <v>26191275.885000005</v>
      </c>
      <c r="H62" s="600">
        <v>3896</v>
      </c>
      <c r="I62" s="601">
        <v>18560718.049999997</v>
      </c>
      <c r="J62" s="600">
        <v>5368</v>
      </c>
      <c r="K62" s="601">
        <v>25714325.404999997</v>
      </c>
      <c r="L62" s="600">
        <v>5955</v>
      </c>
      <c r="M62" s="601">
        <v>30243174.25</v>
      </c>
      <c r="N62" s="600">
        <v>2505</v>
      </c>
      <c r="O62" s="601">
        <v>14939857.6</v>
      </c>
      <c r="P62" s="600">
        <v>1849</v>
      </c>
      <c r="Q62" s="601">
        <v>12173657.1</v>
      </c>
      <c r="R62" s="600">
        <v>2490</v>
      </c>
      <c r="S62" s="601">
        <v>14008231.900000002</v>
      </c>
      <c r="T62" s="600">
        <v>2817</v>
      </c>
      <c r="U62" s="601">
        <v>17684650.799999997</v>
      </c>
      <c r="V62" s="600">
        <v>2675</v>
      </c>
      <c r="W62" s="601">
        <v>19609262.25</v>
      </c>
      <c r="X62" s="600">
        <v>1373</v>
      </c>
      <c r="Y62" s="601">
        <v>12766728.5</v>
      </c>
      <c r="Z62" s="600">
        <v>1069</v>
      </c>
      <c r="AA62" s="601">
        <v>9091944.5</v>
      </c>
      <c r="AB62" s="600">
        <v>1771</v>
      </c>
      <c r="AC62" s="601">
        <v>11300985.579999998</v>
      </c>
      <c r="AD62" s="600">
        <v>5037</v>
      </c>
      <c r="AE62" s="601">
        <v>27500449.820000004</v>
      </c>
      <c r="AF62" s="600">
        <v>4693</v>
      </c>
      <c r="AG62" s="601">
        <v>29087847.940000001</v>
      </c>
      <c r="AH62" s="600">
        <v>5015</v>
      </c>
      <c r="AI62" s="601">
        <v>34125797.230000004</v>
      </c>
      <c r="AJ62" s="600">
        <v>4308</v>
      </c>
      <c r="AK62" s="601">
        <v>34867610.370000005</v>
      </c>
      <c r="AL62" s="600">
        <v>3199</v>
      </c>
      <c r="AM62" s="601">
        <v>27387310.469999999</v>
      </c>
      <c r="AN62" s="600">
        <v>2173</v>
      </c>
      <c r="AO62" s="601">
        <v>16909230.32</v>
      </c>
      <c r="AP62" s="600">
        <v>1418</v>
      </c>
      <c r="AQ62" s="601">
        <v>11699450.300000003</v>
      </c>
      <c r="AR62" s="600">
        <v>838</v>
      </c>
      <c r="AS62" s="601">
        <v>7006768.120000001</v>
      </c>
      <c r="AT62" s="600">
        <v>1140</v>
      </c>
      <c r="AU62" s="601">
        <v>7630342.7000000002</v>
      </c>
      <c r="AV62" s="600">
        <v>1506</v>
      </c>
      <c r="AW62" s="601">
        <v>9246064.5</v>
      </c>
      <c r="AX62" s="600">
        <v>1553</v>
      </c>
      <c r="AY62" s="601">
        <v>10297282.1</v>
      </c>
      <c r="AZ62" s="600">
        <v>1396</v>
      </c>
      <c r="BA62" s="601">
        <v>10088140.5</v>
      </c>
      <c r="BB62" s="600">
        <v>1271</v>
      </c>
      <c r="BC62" s="601">
        <v>9320521.9000000004</v>
      </c>
      <c r="BD62" s="600">
        <v>1033</v>
      </c>
      <c r="BE62" s="601">
        <v>7916201.3999999994</v>
      </c>
      <c r="BF62" s="600">
        <v>1792</v>
      </c>
      <c r="BG62" s="601">
        <v>14229879.1</v>
      </c>
      <c r="BH62" s="600">
        <v>2013</v>
      </c>
      <c r="BI62" s="601">
        <v>15702189.699999997</v>
      </c>
      <c r="BJ62" s="600">
        <v>2204</v>
      </c>
      <c r="BK62" s="601">
        <v>18976130.140000004</v>
      </c>
      <c r="BL62" s="600">
        <v>2950</v>
      </c>
      <c r="BM62" s="601">
        <v>23249304.249999996</v>
      </c>
      <c r="BN62" s="600">
        <v>2993</v>
      </c>
      <c r="BO62" s="601">
        <v>24781493.300000008</v>
      </c>
      <c r="BP62" s="600">
        <v>2505</v>
      </c>
      <c r="BQ62" s="601">
        <v>23322198.300000001</v>
      </c>
      <c r="BR62" s="600">
        <v>2388</v>
      </c>
      <c r="BS62" s="601">
        <v>24457943.020000007</v>
      </c>
      <c r="BT62" s="600">
        <v>2830</v>
      </c>
      <c r="BU62" s="601">
        <v>30239513.370000005</v>
      </c>
      <c r="BV62" s="600">
        <v>7543</v>
      </c>
      <c r="BW62" s="601">
        <v>103200881.64999996</v>
      </c>
      <c r="BX62" s="600">
        <v>3157</v>
      </c>
      <c r="BY62" s="601">
        <v>27699818.729999997</v>
      </c>
      <c r="BZ62" s="600">
        <v>353</v>
      </c>
      <c r="CA62" s="601">
        <v>4245669</v>
      </c>
      <c r="CB62" s="600">
        <v>2656</v>
      </c>
      <c r="CC62" s="601">
        <v>24564465.57</v>
      </c>
      <c r="CD62" s="600">
        <v>3179</v>
      </c>
      <c r="CE62" s="601">
        <v>31394098.279999994</v>
      </c>
      <c r="CF62" s="600">
        <v>4680</v>
      </c>
      <c r="CG62" s="601">
        <v>47821801.529999986</v>
      </c>
      <c r="CH62" s="600">
        <v>3287</v>
      </c>
      <c r="CI62" s="601">
        <v>40995347.269999996</v>
      </c>
      <c r="CJ62" s="600">
        <v>2973</v>
      </c>
      <c r="CK62" s="601">
        <v>38419100.590000004</v>
      </c>
      <c r="CL62" s="600">
        <v>3580</v>
      </c>
      <c r="CM62" s="601">
        <v>65343740.349999994</v>
      </c>
      <c r="CN62" s="600">
        <v>3097</v>
      </c>
      <c r="CO62" s="601">
        <v>51597885.640000015</v>
      </c>
    </row>
    <row r="63" spans="1:93" x14ac:dyDescent="0.2">
      <c r="A63" s="561" t="s">
        <v>546</v>
      </c>
      <c r="B63" s="600">
        <v>497</v>
      </c>
      <c r="C63" s="601">
        <v>7025070.5</v>
      </c>
      <c r="D63" s="600">
        <v>331</v>
      </c>
      <c r="E63" s="601">
        <v>3273192.52</v>
      </c>
      <c r="F63" s="600">
        <v>523</v>
      </c>
      <c r="G63" s="601">
        <v>3524165.2800000003</v>
      </c>
      <c r="H63" s="600">
        <v>442</v>
      </c>
      <c r="I63" s="601">
        <v>3359348.65</v>
      </c>
      <c r="J63" s="600">
        <v>467</v>
      </c>
      <c r="K63" s="601">
        <v>3482429.9499999997</v>
      </c>
      <c r="L63" s="600">
        <v>747</v>
      </c>
      <c r="M63" s="601">
        <v>5867882.8499999996</v>
      </c>
      <c r="N63" s="600">
        <v>410</v>
      </c>
      <c r="O63" s="601">
        <v>4063702.45</v>
      </c>
      <c r="P63" s="600">
        <v>454</v>
      </c>
      <c r="Q63" s="601">
        <v>4947964.0999999996</v>
      </c>
      <c r="R63" s="600">
        <v>589</v>
      </c>
      <c r="S63" s="601">
        <v>6441442.5999999996</v>
      </c>
      <c r="T63" s="600">
        <v>537</v>
      </c>
      <c r="U63" s="601">
        <v>7157535</v>
      </c>
      <c r="V63" s="600">
        <v>457</v>
      </c>
      <c r="W63" s="601">
        <v>6523466</v>
      </c>
      <c r="X63" s="600">
        <v>502</v>
      </c>
      <c r="Y63" s="601">
        <v>8421356.1999999993</v>
      </c>
      <c r="Z63" s="600">
        <v>532</v>
      </c>
      <c r="AA63" s="601">
        <v>8306792.5</v>
      </c>
      <c r="AB63" s="600">
        <v>409</v>
      </c>
      <c r="AC63" s="601">
        <v>5648211.3799999999</v>
      </c>
      <c r="AD63" s="600">
        <v>598</v>
      </c>
      <c r="AE63" s="601">
        <v>9071422.6999999993</v>
      </c>
      <c r="AF63" s="600">
        <v>658</v>
      </c>
      <c r="AG63" s="601">
        <v>11249663.9</v>
      </c>
      <c r="AH63" s="600">
        <v>855</v>
      </c>
      <c r="AI63" s="601">
        <v>14583406.4</v>
      </c>
      <c r="AJ63" s="600">
        <v>858</v>
      </c>
      <c r="AK63" s="601">
        <v>16031305</v>
      </c>
      <c r="AL63" s="600">
        <v>829</v>
      </c>
      <c r="AM63" s="601">
        <v>15263227</v>
      </c>
      <c r="AN63" s="600">
        <v>492</v>
      </c>
      <c r="AO63" s="601">
        <v>9790388.5</v>
      </c>
      <c r="AP63" s="600">
        <v>406</v>
      </c>
      <c r="AQ63" s="601">
        <v>8503679</v>
      </c>
      <c r="AR63" s="600">
        <v>267</v>
      </c>
      <c r="AS63" s="601">
        <v>5473011.5</v>
      </c>
      <c r="AT63" s="600">
        <v>239</v>
      </c>
      <c r="AU63" s="601">
        <v>3825214</v>
      </c>
      <c r="AV63" s="600">
        <v>224</v>
      </c>
      <c r="AW63" s="601">
        <v>3471853.5</v>
      </c>
      <c r="AX63" s="600">
        <v>211</v>
      </c>
      <c r="AY63" s="601">
        <v>3136304.1</v>
      </c>
      <c r="AZ63" s="600">
        <v>150</v>
      </c>
      <c r="BA63" s="601">
        <v>2226763</v>
      </c>
      <c r="BB63" s="600">
        <v>185</v>
      </c>
      <c r="BC63" s="601">
        <v>3074169</v>
      </c>
      <c r="BD63" s="600">
        <v>129</v>
      </c>
      <c r="BE63" s="601">
        <v>2207806</v>
      </c>
      <c r="BF63" s="600">
        <v>262</v>
      </c>
      <c r="BG63" s="601">
        <v>3955286</v>
      </c>
      <c r="BH63" s="600">
        <v>313</v>
      </c>
      <c r="BI63" s="601">
        <v>4461874.8</v>
      </c>
      <c r="BJ63" s="600">
        <v>510</v>
      </c>
      <c r="BK63" s="601">
        <v>7717076.7799999993</v>
      </c>
      <c r="BL63" s="600">
        <v>593</v>
      </c>
      <c r="BM63" s="601">
        <v>8595338.1799999997</v>
      </c>
      <c r="BN63" s="600">
        <v>555</v>
      </c>
      <c r="BO63" s="601">
        <v>8795038.2400000002</v>
      </c>
      <c r="BP63" s="600">
        <v>436</v>
      </c>
      <c r="BQ63" s="601">
        <v>7941392.5</v>
      </c>
      <c r="BR63" s="600">
        <v>526</v>
      </c>
      <c r="BS63" s="601">
        <v>9402473.4800000004</v>
      </c>
      <c r="BT63" s="600">
        <v>492</v>
      </c>
      <c r="BU63" s="601">
        <v>7776613.7799999993</v>
      </c>
      <c r="BV63" s="600">
        <v>5123</v>
      </c>
      <c r="BW63" s="601">
        <v>43883046.12999998</v>
      </c>
      <c r="BX63" s="600">
        <v>371</v>
      </c>
      <c r="BY63" s="601">
        <v>5416427.2000000002</v>
      </c>
      <c r="BZ63" s="600">
        <v>6436</v>
      </c>
      <c r="CA63" s="601">
        <v>46035433.26000008</v>
      </c>
      <c r="CB63" s="600">
        <v>306</v>
      </c>
      <c r="CC63" s="601">
        <v>3873638.12</v>
      </c>
      <c r="CD63" s="600">
        <v>451</v>
      </c>
      <c r="CE63" s="601">
        <v>6142132.9400000004</v>
      </c>
      <c r="CF63" s="600">
        <v>598</v>
      </c>
      <c r="CG63" s="601">
        <v>8548023.6400000043</v>
      </c>
      <c r="CH63" s="600">
        <v>368</v>
      </c>
      <c r="CI63" s="601">
        <v>5585219.0000000009</v>
      </c>
      <c r="CJ63" s="600">
        <v>309</v>
      </c>
      <c r="CK63" s="601">
        <v>4350825.3900000006</v>
      </c>
      <c r="CL63" s="600">
        <v>269</v>
      </c>
      <c r="CM63" s="601">
        <v>4266689.9400000004</v>
      </c>
      <c r="CN63" s="600">
        <v>289</v>
      </c>
      <c r="CO63" s="601">
        <v>4643111.790000001</v>
      </c>
    </row>
    <row r="64" spans="1:93" x14ac:dyDescent="0.2">
      <c r="A64" s="561" t="s">
        <v>547</v>
      </c>
      <c r="B64" s="600">
        <v>3433</v>
      </c>
      <c r="C64" s="601">
        <v>18280531.414999992</v>
      </c>
      <c r="D64" s="600">
        <v>3539</v>
      </c>
      <c r="E64" s="601">
        <v>17939897.614999998</v>
      </c>
      <c r="F64" s="600">
        <v>6523</v>
      </c>
      <c r="G64" s="601">
        <v>29477540.610000014</v>
      </c>
      <c r="H64" s="600">
        <v>4720</v>
      </c>
      <c r="I64" s="601">
        <v>20960967.039999995</v>
      </c>
      <c r="J64" s="600">
        <v>6680</v>
      </c>
      <c r="K64" s="601">
        <v>30181769.349999983</v>
      </c>
      <c r="L64" s="600">
        <v>7600</v>
      </c>
      <c r="M64" s="601">
        <v>35532682.559999987</v>
      </c>
      <c r="N64" s="600">
        <v>3146</v>
      </c>
      <c r="O64" s="601">
        <v>18908027.5</v>
      </c>
      <c r="P64" s="600">
        <v>2624</v>
      </c>
      <c r="Q64" s="601">
        <v>17117321.600000001</v>
      </c>
      <c r="R64" s="600">
        <v>3719</v>
      </c>
      <c r="S64" s="601">
        <v>24449567.599999998</v>
      </c>
      <c r="T64" s="600">
        <v>3185</v>
      </c>
      <c r="U64" s="601">
        <v>25791203.199999999</v>
      </c>
      <c r="V64" s="600">
        <v>2488</v>
      </c>
      <c r="W64" s="601">
        <v>19315195.5</v>
      </c>
      <c r="X64" s="600">
        <v>1927</v>
      </c>
      <c r="Y64" s="601">
        <v>18338082.199999999</v>
      </c>
      <c r="Z64" s="600">
        <v>1958</v>
      </c>
      <c r="AA64" s="601">
        <v>17516447.000000004</v>
      </c>
      <c r="AB64" s="600">
        <v>2342</v>
      </c>
      <c r="AC64" s="601">
        <v>15307735.560000001</v>
      </c>
      <c r="AD64" s="600">
        <v>6110</v>
      </c>
      <c r="AE64" s="601">
        <v>40060280.449999988</v>
      </c>
      <c r="AF64" s="600">
        <v>6165</v>
      </c>
      <c r="AG64" s="601">
        <v>45223273.030000001</v>
      </c>
      <c r="AH64" s="600">
        <v>6360</v>
      </c>
      <c r="AI64" s="601">
        <v>54659805.040000007</v>
      </c>
      <c r="AJ64" s="600">
        <v>6596</v>
      </c>
      <c r="AK64" s="601">
        <v>64712652.740000002</v>
      </c>
      <c r="AL64" s="600">
        <v>4742</v>
      </c>
      <c r="AM64" s="601">
        <v>51611489.529999994</v>
      </c>
      <c r="AN64" s="600">
        <v>3807</v>
      </c>
      <c r="AO64" s="601">
        <v>39385969.310000002</v>
      </c>
      <c r="AP64" s="600">
        <v>2738</v>
      </c>
      <c r="AQ64" s="601">
        <v>27869149.82</v>
      </c>
      <c r="AR64" s="600">
        <v>1072</v>
      </c>
      <c r="AS64" s="601">
        <v>11927182.819999998</v>
      </c>
      <c r="AT64" s="600">
        <v>1487</v>
      </c>
      <c r="AU64" s="601">
        <v>11980349.219999999</v>
      </c>
      <c r="AV64" s="600">
        <v>1804</v>
      </c>
      <c r="AW64" s="601">
        <v>13916486.119999999</v>
      </c>
      <c r="AX64" s="600">
        <v>1830</v>
      </c>
      <c r="AY64" s="601">
        <v>13163690.720000003</v>
      </c>
      <c r="AZ64" s="600">
        <v>1525</v>
      </c>
      <c r="BA64" s="601">
        <v>11957893.800000001</v>
      </c>
      <c r="BB64" s="600">
        <v>1520</v>
      </c>
      <c r="BC64" s="601">
        <v>12656925</v>
      </c>
      <c r="BD64" s="600">
        <v>975</v>
      </c>
      <c r="BE64" s="601">
        <v>8808365.3000000007</v>
      </c>
      <c r="BF64" s="600">
        <v>1833</v>
      </c>
      <c r="BG64" s="601">
        <v>14339554.699999997</v>
      </c>
      <c r="BH64" s="600">
        <v>2428</v>
      </c>
      <c r="BI64" s="601">
        <v>19160548.520000007</v>
      </c>
      <c r="BJ64" s="600">
        <v>3050</v>
      </c>
      <c r="BK64" s="601">
        <v>29012304.879999984</v>
      </c>
      <c r="BL64" s="600">
        <v>4469</v>
      </c>
      <c r="BM64" s="601">
        <v>39736328.539999969</v>
      </c>
      <c r="BN64" s="600">
        <v>4581</v>
      </c>
      <c r="BO64" s="601">
        <v>41607483.639999971</v>
      </c>
      <c r="BP64" s="600">
        <v>3599</v>
      </c>
      <c r="BQ64" s="601">
        <v>33703970.040000007</v>
      </c>
      <c r="BR64" s="600">
        <v>4101</v>
      </c>
      <c r="BS64" s="601">
        <v>41279613.899999976</v>
      </c>
      <c r="BT64" s="600">
        <v>4691</v>
      </c>
      <c r="BU64" s="601">
        <v>43943552.580000006</v>
      </c>
      <c r="BV64" s="600">
        <v>4780</v>
      </c>
      <c r="BW64" s="601">
        <v>36693014.219999999</v>
      </c>
      <c r="BX64" s="600">
        <v>4985</v>
      </c>
      <c r="BY64" s="601">
        <v>37881658.670000002</v>
      </c>
      <c r="BZ64" s="600">
        <v>5163</v>
      </c>
      <c r="CA64" s="601">
        <v>33611427.890000008</v>
      </c>
      <c r="CB64" s="600">
        <v>6107</v>
      </c>
      <c r="CC64" s="601">
        <v>48280997.290000029</v>
      </c>
      <c r="CD64" s="600">
        <v>7266</v>
      </c>
      <c r="CE64" s="601">
        <v>60396899.059999973</v>
      </c>
      <c r="CF64" s="600">
        <v>8073</v>
      </c>
      <c r="CG64" s="601">
        <v>65147771.399999902</v>
      </c>
      <c r="CH64" s="600">
        <v>5069</v>
      </c>
      <c r="CI64" s="601">
        <v>46096179.210000001</v>
      </c>
      <c r="CJ64" s="600">
        <v>3933</v>
      </c>
      <c r="CK64" s="601">
        <v>34468026.069999993</v>
      </c>
      <c r="CL64" s="600">
        <v>4348</v>
      </c>
      <c r="CM64" s="601">
        <v>37784548.260000013</v>
      </c>
      <c r="CN64" s="600">
        <v>4603</v>
      </c>
      <c r="CO64" s="601">
        <v>44952537.240000017</v>
      </c>
    </row>
    <row r="65" spans="1:95" x14ac:dyDescent="0.2">
      <c r="A65" s="561" t="s">
        <v>548</v>
      </c>
      <c r="B65" s="600">
        <v>5940</v>
      </c>
      <c r="C65" s="601">
        <v>23564697.422500025</v>
      </c>
      <c r="D65" s="600">
        <v>5274</v>
      </c>
      <c r="E65" s="601">
        <v>21832916.282499991</v>
      </c>
      <c r="F65" s="600">
        <v>7555</v>
      </c>
      <c r="G65" s="601">
        <v>29510170.130000006</v>
      </c>
      <c r="H65" s="600">
        <v>7426</v>
      </c>
      <c r="I65" s="601">
        <v>26931507.170000017</v>
      </c>
      <c r="J65" s="600">
        <v>10269</v>
      </c>
      <c r="K65" s="601">
        <v>37542314.88000001</v>
      </c>
      <c r="L65" s="600">
        <v>12724</v>
      </c>
      <c r="M65" s="601">
        <v>50726144.672500014</v>
      </c>
      <c r="N65" s="600">
        <v>6988</v>
      </c>
      <c r="O65" s="601">
        <v>33700092.230000004</v>
      </c>
      <c r="P65" s="600">
        <v>3217</v>
      </c>
      <c r="Q65" s="601">
        <v>17272123.004999999</v>
      </c>
      <c r="R65" s="600">
        <v>3953</v>
      </c>
      <c r="S65" s="601">
        <v>22700808.299999997</v>
      </c>
      <c r="T65" s="600">
        <v>4880</v>
      </c>
      <c r="U65" s="601">
        <v>30624087.020000007</v>
      </c>
      <c r="V65" s="600">
        <v>4951</v>
      </c>
      <c r="W65" s="601">
        <v>33522251.550000004</v>
      </c>
      <c r="X65" s="600">
        <v>3422</v>
      </c>
      <c r="Y65" s="601">
        <v>26112837.149999999</v>
      </c>
      <c r="Z65" s="600">
        <v>1871</v>
      </c>
      <c r="AA65" s="601">
        <v>15767301.700000001</v>
      </c>
      <c r="AB65" s="600">
        <v>2964</v>
      </c>
      <c r="AC65" s="601">
        <v>19130439.869999997</v>
      </c>
      <c r="AD65" s="600">
        <v>9447</v>
      </c>
      <c r="AE65" s="601">
        <v>54235285.98999998</v>
      </c>
      <c r="AF65" s="600">
        <v>10978</v>
      </c>
      <c r="AG65" s="601">
        <v>64343557.179999977</v>
      </c>
      <c r="AH65" s="600">
        <v>11133</v>
      </c>
      <c r="AI65" s="601">
        <v>76102657.969999984</v>
      </c>
      <c r="AJ65" s="600">
        <v>10653</v>
      </c>
      <c r="AK65" s="601">
        <v>81823219.679999977</v>
      </c>
      <c r="AL65" s="600">
        <v>7457</v>
      </c>
      <c r="AM65" s="601">
        <v>62741860.5</v>
      </c>
      <c r="AN65" s="600">
        <v>3709</v>
      </c>
      <c r="AO65" s="601">
        <v>32658249.789999995</v>
      </c>
      <c r="AP65" s="600">
        <v>2662</v>
      </c>
      <c r="AQ65" s="601">
        <v>24861538.180000003</v>
      </c>
      <c r="AR65" s="600">
        <v>1715</v>
      </c>
      <c r="AS65" s="601">
        <v>16201298.109999998</v>
      </c>
      <c r="AT65" s="600">
        <v>2403</v>
      </c>
      <c r="AU65" s="601">
        <v>16716957.210000001</v>
      </c>
      <c r="AV65" s="600">
        <v>3283</v>
      </c>
      <c r="AW65" s="601">
        <v>20177754.349999998</v>
      </c>
      <c r="AX65" s="600">
        <v>3866</v>
      </c>
      <c r="AY65" s="601">
        <v>24478783.81000001</v>
      </c>
      <c r="AZ65" s="600">
        <v>3031</v>
      </c>
      <c r="BA65" s="601">
        <v>22949746.199999999</v>
      </c>
      <c r="BB65" s="600">
        <v>2309</v>
      </c>
      <c r="BC65" s="601">
        <v>16397091.100000001</v>
      </c>
      <c r="BD65" s="600">
        <v>1725</v>
      </c>
      <c r="BE65" s="601">
        <v>13726777.300000003</v>
      </c>
      <c r="BF65" s="600">
        <v>2697</v>
      </c>
      <c r="BG65" s="601">
        <v>20102135.200000003</v>
      </c>
      <c r="BH65" s="600">
        <v>3313</v>
      </c>
      <c r="BI65" s="601">
        <v>22452562.850000001</v>
      </c>
      <c r="BJ65" s="600">
        <v>3651</v>
      </c>
      <c r="BK65" s="601">
        <v>30780865.890000008</v>
      </c>
      <c r="BL65" s="600">
        <v>4856</v>
      </c>
      <c r="BM65" s="601">
        <v>38525971.449999988</v>
      </c>
      <c r="BN65" s="600">
        <v>4441</v>
      </c>
      <c r="BO65" s="601">
        <v>33055657.540000007</v>
      </c>
      <c r="BP65" s="600">
        <v>3850</v>
      </c>
      <c r="BQ65" s="601">
        <v>29011607.760000009</v>
      </c>
      <c r="BR65" s="600">
        <v>3725</v>
      </c>
      <c r="BS65" s="601">
        <v>29660646.670000002</v>
      </c>
      <c r="BT65" s="600">
        <v>4307</v>
      </c>
      <c r="BU65" s="601">
        <v>36155241.060000002</v>
      </c>
      <c r="BV65" s="600">
        <v>447</v>
      </c>
      <c r="BW65" s="601">
        <v>6295746.7000000002</v>
      </c>
      <c r="BX65" s="600">
        <v>4803</v>
      </c>
      <c r="BY65" s="601">
        <v>31142040.140000004</v>
      </c>
      <c r="BZ65" s="600">
        <v>546</v>
      </c>
      <c r="CA65" s="601">
        <v>3522823.7000000007</v>
      </c>
      <c r="CB65" s="600">
        <v>5521</v>
      </c>
      <c r="CC65" s="601">
        <v>36646721.04999999</v>
      </c>
      <c r="CD65" s="600">
        <v>6637</v>
      </c>
      <c r="CE65" s="601">
        <v>47769172.650000006</v>
      </c>
      <c r="CF65" s="600">
        <v>8781</v>
      </c>
      <c r="CG65" s="601">
        <v>63150397.849999934</v>
      </c>
      <c r="CH65" s="600">
        <v>6257</v>
      </c>
      <c r="CI65" s="601">
        <v>51344443.289999977</v>
      </c>
      <c r="CJ65" s="600">
        <v>4780</v>
      </c>
      <c r="CK65" s="601">
        <v>44711311.910000034</v>
      </c>
      <c r="CL65" s="600">
        <v>5794</v>
      </c>
      <c r="CM65" s="601">
        <v>69254567.040000007</v>
      </c>
      <c r="CN65" s="600">
        <v>5392</v>
      </c>
      <c r="CO65" s="601">
        <v>54104510.640000008</v>
      </c>
    </row>
    <row r="66" spans="1:95" x14ac:dyDescent="0.2">
      <c r="A66" s="561" t="s">
        <v>549</v>
      </c>
      <c r="B66" s="600"/>
      <c r="C66" s="601"/>
      <c r="D66" s="600"/>
      <c r="E66" s="601"/>
      <c r="F66" s="600"/>
      <c r="G66" s="601"/>
      <c r="H66" s="600"/>
      <c r="I66" s="601"/>
      <c r="J66" s="600"/>
      <c r="K66" s="601"/>
      <c r="L66" s="600"/>
      <c r="M66" s="601"/>
      <c r="N66" s="600"/>
      <c r="O66" s="601"/>
      <c r="P66" s="600"/>
      <c r="Q66" s="601"/>
      <c r="R66" s="600"/>
      <c r="S66" s="601"/>
      <c r="T66" s="600"/>
      <c r="U66" s="601"/>
      <c r="V66" s="600"/>
      <c r="W66" s="601"/>
      <c r="X66" s="600"/>
      <c r="Y66" s="601"/>
      <c r="Z66" s="600"/>
      <c r="AA66" s="601"/>
      <c r="AB66" s="600">
        <v>200</v>
      </c>
      <c r="AC66" s="601">
        <v>1433096.73</v>
      </c>
      <c r="AD66" s="600">
        <v>951</v>
      </c>
      <c r="AE66" s="601">
        <v>4910105.1400000006</v>
      </c>
      <c r="AF66" s="600">
        <v>1307</v>
      </c>
      <c r="AG66" s="601">
        <v>6258306.7400000002</v>
      </c>
      <c r="AH66" s="600">
        <v>1484</v>
      </c>
      <c r="AI66" s="601">
        <v>7922145.1400000006</v>
      </c>
      <c r="AJ66" s="600">
        <v>1423</v>
      </c>
      <c r="AK66" s="601">
        <v>7944855.4899999993</v>
      </c>
      <c r="AL66" s="600">
        <v>1113</v>
      </c>
      <c r="AM66" s="601">
        <v>6289357.79</v>
      </c>
      <c r="AN66" s="600">
        <v>511</v>
      </c>
      <c r="AO66" s="601">
        <v>3674548.15</v>
      </c>
      <c r="AP66" s="600">
        <v>214</v>
      </c>
      <c r="AQ66" s="601">
        <v>1829464</v>
      </c>
      <c r="AR66" s="600">
        <v>132</v>
      </c>
      <c r="AS66" s="601">
        <v>1106488</v>
      </c>
      <c r="AT66" s="600">
        <v>202</v>
      </c>
      <c r="AU66" s="601">
        <v>1329312.3</v>
      </c>
      <c r="AV66" s="600">
        <v>287</v>
      </c>
      <c r="AW66" s="601">
        <v>1722840.8</v>
      </c>
      <c r="AX66" s="600">
        <v>458</v>
      </c>
      <c r="AY66" s="601">
        <v>2596962.1</v>
      </c>
      <c r="AZ66" s="600">
        <v>303</v>
      </c>
      <c r="BA66" s="601">
        <v>2452397.4</v>
      </c>
      <c r="BB66" s="600">
        <v>136</v>
      </c>
      <c r="BC66" s="601">
        <v>858172.5</v>
      </c>
      <c r="BD66" s="600">
        <v>119</v>
      </c>
      <c r="BE66" s="601">
        <v>991309.3</v>
      </c>
      <c r="BF66" s="600">
        <v>236</v>
      </c>
      <c r="BG66" s="601">
        <v>1672080.5</v>
      </c>
      <c r="BH66" s="600">
        <v>262</v>
      </c>
      <c r="BI66" s="601">
        <v>1844681.3000000003</v>
      </c>
      <c r="BJ66" s="600">
        <v>252</v>
      </c>
      <c r="BK66" s="601">
        <v>1968084</v>
      </c>
      <c r="BL66" s="600">
        <v>448</v>
      </c>
      <c r="BM66" s="601">
        <v>2784998.96</v>
      </c>
      <c r="BN66" s="600">
        <v>367</v>
      </c>
      <c r="BO66" s="601">
        <v>2219782.2000000002</v>
      </c>
      <c r="BP66" s="600">
        <v>347</v>
      </c>
      <c r="BQ66" s="601">
        <v>2320594.7799999998</v>
      </c>
      <c r="BR66" s="600">
        <v>324</v>
      </c>
      <c r="BS66" s="601">
        <v>2352472.4300000002</v>
      </c>
      <c r="BT66" s="600">
        <v>400</v>
      </c>
      <c r="BU66" s="601">
        <v>3222418.3300000005</v>
      </c>
      <c r="BV66" s="600">
        <v>1703</v>
      </c>
      <c r="BW66" s="601">
        <v>13141646.390000001</v>
      </c>
      <c r="BX66" s="600">
        <v>453</v>
      </c>
      <c r="BY66" s="601">
        <v>3182032.4899999998</v>
      </c>
      <c r="BZ66" s="600">
        <v>2065</v>
      </c>
      <c r="CA66" s="601">
        <v>14175863.050000001</v>
      </c>
      <c r="CB66" s="600">
        <v>677</v>
      </c>
      <c r="CC66" s="601">
        <v>4915328.9000000004</v>
      </c>
      <c r="CD66" s="600">
        <v>706</v>
      </c>
      <c r="CE66" s="601">
        <v>5396450.7900000019</v>
      </c>
      <c r="CF66" s="600">
        <v>944</v>
      </c>
      <c r="CG66" s="601">
        <v>6722639.8000000017</v>
      </c>
      <c r="CH66" s="600">
        <v>744</v>
      </c>
      <c r="CI66" s="601">
        <v>5373549.6800000006</v>
      </c>
      <c r="CJ66" s="600">
        <v>513</v>
      </c>
      <c r="CK66" s="601">
        <v>4704512.47</v>
      </c>
      <c r="CL66" s="600">
        <v>604</v>
      </c>
      <c r="CM66" s="601">
        <v>7293274.0199999996</v>
      </c>
      <c r="CN66" s="600">
        <v>720</v>
      </c>
      <c r="CO66" s="601">
        <v>8616731.6099999994</v>
      </c>
    </row>
    <row r="67" spans="1:95" x14ac:dyDescent="0.2">
      <c r="A67" s="561" t="s">
        <v>550</v>
      </c>
      <c r="B67" s="600">
        <v>4072</v>
      </c>
      <c r="C67" s="601">
        <v>18113286.952499993</v>
      </c>
      <c r="D67" s="600">
        <v>3657</v>
      </c>
      <c r="E67" s="601">
        <v>18587146.682500001</v>
      </c>
      <c r="F67" s="600">
        <v>3233</v>
      </c>
      <c r="G67" s="601">
        <v>17707701.832499996</v>
      </c>
      <c r="H67" s="600">
        <v>3606</v>
      </c>
      <c r="I67" s="601">
        <v>15843212.682499995</v>
      </c>
      <c r="J67" s="600">
        <v>4015</v>
      </c>
      <c r="K67" s="601">
        <v>17595662.762499999</v>
      </c>
      <c r="L67" s="600">
        <v>4059</v>
      </c>
      <c r="M67" s="601">
        <v>18301792.939999998</v>
      </c>
      <c r="N67" s="600">
        <v>2413</v>
      </c>
      <c r="O67" s="601">
        <v>11380799.689999999</v>
      </c>
      <c r="P67" s="600">
        <v>1327</v>
      </c>
      <c r="Q67" s="601">
        <v>7007085.1999999993</v>
      </c>
      <c r="R67" s="600">
        <v>1470</v>
      </c>
      <c r="S67" s="601">
        <v>7890372.1499999994</v>
      </c>
      <c r="T67" s="600">
        <v>1796</v>
      </c>
      <c r="U67" s="601">
        <v>8406706.5</v>
      </c>
      <c r="V67" s="600">
        <v>1750</v>
      </c>
      <c r="W67" s="601">
        <v>8639928.0999999996</v>
      </c>
      <c r="X67" s="600">
        <v>1038</v>
      </c>
      <c r="Y67" s="601">
        <v>5335735.5</v>
      </c>
      <c r="Z67" s="600">
        <v>540</v>
      </c>
      <c r="AA67" s="601">
        <v>4794137.5</v>
      </c>
      <c r="AB67" s="600">
        <v>649</v>
      </c>
      <c r="AC67" s="601">
        <v>4437285.87</v>
      </c>
      <c r="AD67" s="600">
        <v>2521</v>
      </c>
      <c r="AE67" s="601">
        <v>14204356.74</v>
      </c>
      <c r="AF67" s="600">
        <v>3949</v>
      </c>
      <c r="AG67" s="601">
        <v>21226755.729999997</v>
      </c>
      <c r="AH67" s="600">
        <v>4988</v>
      </c>
      <c r="AI67" s="601">
        <v>30299626.060000002</v>
      </c>
      <c r="AJ67" s="600">
        <v>4844</v>
      </c>
      <c r="AK67" s="601">
        <v>31120989.189999998</v>
      </c>
      <c r="AL67" s="600">
        <v>3474</v>
      </c>
      <c r="AM67" s="601">
        <v>22835304.989999998</v>
      </c>
      <c r="AN67" s="600">
        <v>1297</v>
      </c>
      <c r="AO67" s="601">
        <v>11254045.35</v>
      </c>
      <c r="AP67" s="600">
        <v>718</v>
      </c>
      <c r="AQ67" s="601">
        <v>7637335.9500000002</v>
      </c>
      <c r="AR67" s="600">
        <v>439</v>
      </c>
      <c r="AS67" s="601">
        <v>5455838.5</v>
      </c>
      <c r="AT67" s="600">
        <v>705</v>
      </c>
      <c r="AU67" s="601">
        <v>5721914.9000000004</v>
      </c>
      <c r="AV67" s="600">
        <v>1069</v>
      </c>
      <c r="AW67" s="601">
        <v>7547940.4999999991</v>
      </c>
      <c r="AX67" s="600">
        <v>1764</v>
      </c>
      <c r="AY67" s="601">
        <v>11078444.237142</v>
      </c>
      <c r="AZ67" s="600">
        <v>1275</v>
      </c>
      <c r="BA67" s="601">
        <v>10483666.5</v>
      </c>
      <c r="BB67" s="600">
        <v>634</v>
      </c>
      <c r="BC67" s="601">
        <v>5126605.7100000009</v>
      </c>
      <c r="BD67" s="600">
        <v>485</v>
      </c>
      <c r="BE67" s="601">
        <v>4285558.1500000004</v>
      </c>
      <c r="BF67" s="600">
        <v>731</v>
      </c>
      <c r="BG67" s="601">
        <v>5847794.8499999996</v>
      </c>
      <c r="BH67" s="600">
        <v>859</v>
      </c>
      <c r="BI67" s="601">
        <v>6606900.3499999978</v>
      </c>
      <c r="BJ67" s="600">
        <v>911</v>
      </c>
      <c r="BK67" s="601">
        <v>7842052.4300000006</v>
      </c>
      <c r="BL67" s="600">
        <v>1431</v>
      </c>
      <c r="BM67" s="601">
        <v>9614573.1999999974</v>
      </c>
      <c r="BN67" s="600">
        <v>1252</v>
      </c>
      <c r="BO67" s="601">
        <v>8581235.799999997</v>
      </c>
      <c r="BP67" s="600">
        <v>1266</v>
      </c>
      <c r="BQ67" s="601">
        <v>8514751.7400000002</v>
      </c>
      <c r="BR67" s="600">
        <v>1164</v>
      </c>
      <c r="BS67" s="601">
        <v>8809466.9500000011</v>
      </c>
      <c r="BT67" s="600">
        <v>1501</v>
      </c>
      <c r="BU67" s="601">
        <v>12718948.849999996</v>
      </c>
      <c r="BV67" s="600">
        <v>471</v>
      </c>
      <c r="BW67" s="601">
        <v>3733773.560000001</v>
      </c>
      <c r="BX67" s="600">
        <v>1543</v>
      </c>
      <c r="BY67" s="601">
        <v>10890360.799999999</v>
      </c>
      <c r="BZ67" s="600">
        <v>341</v>
      </c>
      <c r="CA67" s="601">
        <v>3293715</v>
      </c>
      <c r="CB67" s="600">
        <v>2235</v>
      </c>
      <c r="CC67" s="601">
        <v>15318328.800000003</v>
      </c>
      <c r="CD67" s="600">
        <v>2612</v>
      </c>
      <c r="CE67" s="601">
        <v>18304950.190000009</v>
      </c>
      <c r="CF67" s="600">
        <v>2463</v>
      </c>
      <c r="CG67" s="601">
        <v>19398321.66</v>
      </c>
      <c r="CH67" s="600">
        <v>1958</v>
      </c>
      <c r="CI67" s="601">
        <v>17375375.650000002</v>
      </c>
      <c r="CJ67" s="600">
        <v>1756</v>
      </c>
      <c r="CK67" s="601">
        <v>21918408.870000008</v>
      </c>
      <c r="CL67" s="600">
        <v>3091</v>
      </c>
      <c r="CM67" s="601">
        <v>65586231.089999996</v>
      </c>
      <c r="CN67" s="600">
        <v>2888</v>
      </c>
      <c r="CO67" s="601">
        <v>50002280.809999995</v>
      </c>
    </row>
    <row r="68" spans="1:95" x14ac:dyDescent="0.2">
      <c r="A68" s="561" t="s">
        <v>551</v>
      </c>
      <c r="B68" s="600"/>
      <c r="C68" s="601"/>
      <c r="D68" s="600"/>
      <c r="E68" s="601"/>
      <c r="F68" s="600"/>
      <c r="G68" s="601"/>
      <c r="H68" s="600"/>
      <c r="I68" s="601"/>
      <c r="J68" s="600"/>
      <c r="K68" s="601"/>
      <c r="L68" s="600"/>
      <c r="M68" s="601"/>
      <c r="N68" s="600"/>
      <c r="O68" s="601"/>
      <c r="P68" s="600"/>
      <c r="Q68" s="601"/>
      <c r="R68" s="600"/>
      <c r="S68" s="601"/>
      <c r="T68" s="600"/>
      <c r="U68" s="601"/>
      <c r="V68" s="600"/>
      <c r="W68" s="601"/>
      <c r="X68" s="600"/>
      <c r="Y68" s="601"/>
      <c r="Z68" s="600"/>
      <c r="AA68" s="601"/>
      <c r="AB68" s="600"/>
      <c r="AC68" s="601"/>
      <c r="AD68" s="600"/>
      <c r="AE68" s="601"/>
      <c r="AF68" s="600"/>
      <c r="AG68" s="601"/>
      <c r="AH68" s="600"/>
      <c r="AI68" s="601"/>
      <c r="AJ68" s="600">
        <v>22</v>
      </c>
      <c r="AK68" s="601">
        <v>215315</v>
      </c>
      <c r="AL68" s="600">
        <v>1</v>
      </c>
      <c r="AM68" s="601">
        <v>17400</v>
      </c>
      <c r="AN68" s="600">
        <v>2</v>
      </c>
      <c r="AO68" s="601">
        <v>7191</v>
      </c>
      <c r="AP68" s="600">
        <v>1</v>
      </c>
      <c r="AQ68" s="601">
        <v>7000</v>
      </c>
      <c r="AR68" s="600">
        <v>0</v>
      </c>
      <c r="AS68" s="601">
        <v>0</v>
      </c>
      <c r="AT68" s="600">
        <v>0</v>
      </c>
      <c r="AU68" s="601">
        <v>0</v>
      </c>
      <c r="AV68" s="600">
        <v>1</v>
      </c>
      <c r="AW68" s="601">
        <v>2736</v>
      </c>
      <c r="AX68" s="600">
        <v>0</v>
      </c>
      <c r="AY68" s="601">
        <v>0</v>
      </c>
      <c r="AZ68" s="600">
        <v>0</v>
      </c>
      <c r="BA68" s="601">
        <v>0</v>
      </c>
      <c r="BB68" s="600">
        <v>0</v>
      </c>
      <c r="BC68" s="601">
        <v>0</v>
      </c>
      <c r="BD68" s="600">
        <v>0</v>
      </c>
      <c r="BE68" s="601">
        <v>0</v>
      </c>
      <c r="BF68" s="600">
        <v>0</v>
      </c>
      <c r="BG68" s="601">
        <v>0</v>
      </c>
      <c r="BH68" s="600">
        <v>0</v>
      </c>
      <c r="BI68" s="601">
        <v>0</v>
      </c>
      <c r="BJ68" s="600">
        <v>0</v>
      </c>
      <c r="BK68" s="601">
        <v>0</v>
      </c>
      <c r="BL68" s="600">
        <v>0</v>
      </c>
      <c r="BM68" s="601">
        <v>0</v>
      </c>
      <c r="BN68" s="600">
        <v>0</v>
      </c>
      <c r="BO68" s="601">
        <v>0</v>
      </c>
      <c r="BP68" s="600">
        <v>0</v>
      </c>
      <c r="BQ68" s="601">
        <v>0</v>
      </c>
      <c r="BR68" s="600">
        <v>1</v>
      </c>
      <c r="BS68" s="601">
        <v>16000</v>
      </c>
      <c r="BT68" s="600">
        <v>0</v>
      </c>
      <c r="BU68" s="601">
        <v>0</v>
      </c>
      <c r="BV68" s="600">
        <v>0</v>
      </c>
      <c r="BW68" s="601">
        <v>0</v>
      </c>
      <c r="BX68" s="600">
        <v>0</v>
      </c>
      <c r="BY68" s="601">
        <v>0</v>
      </c>
      <c r="BZ68" s="600">
        <v>613</v>
      </c>
      <c r="CA68" s="601">
        <v>4781788</v>
      </c>
      <c r="CB68" s="600">
        <v>558</v>
      </c>
      <c r="CC68" s="601">
        <v>4261991</v>
      </c>
      <c r="CD68" s="600">
        <v>584</v>
      </c>
      <c r="CE68" s="601">
        <v>4409846</v>
      </c>
      <c r="CF68" s="600">
        <v>2</v>
      </c>
      <c r="CG68" s="601">
        <v>34034</v>
      </c>
      <c r="CH68" s="600">
        <v>7</v>
      </c>
      <c r="CI68" s="601">
        <v>109945</v>
      </c>
      <c r="CJ68" s="600">
        <v>0</v>
      </c>
      <c r="CK68" s="601">
        <v>0</v>
      </c>
      <c r="CL68" s="600">
        <v>1</v>
      </c>
      <c r="CM68" s="601">
        <v>11438</v>
      </c>
      <c r="CN68" s="600">
        <v>0</v>
      </c>
      <c r="CO68" s="601">
        <v>0</v>
      </c>
    </row>
    <row r="69" spans="1:95" x14ac:dyDescent="0.2">
      <c r="A69" s="561" t="s">
        <v>552</v>
      </c>
      <c r="B69" s="562">
        <f t="shared" ref="B69:G69" si="33">SUM(B70:B73)</f>
        <v>25289</v>
      </c>
      <c r="C69" s="601">
        <f t="shared" si="33"/>
        <v>166983130.37143815</v>
      </c>
      <c r="D69" s="600">
        <f t="shared" si="33"/>
        <v>21946</v>
      </c>
      <c r="E69" s="601">
        <f t="shared" si="33"/>
        <v>148601346.59464997</v>
      </c>
      <c r="F69" s="600">
        <f t="shared" si="33"/>
        <v>23387</v>
      </c>
      <c r="G69" s="601">
        <f t="shared" si="33"/>
        <v>149052602.18000001</v>
      </c>
      <c r="H69" s="600">
        <f>SUM(H70:H73)</f>
        <v>26564</v>
      </c>
      <c r="I69" s="601">
        <f>SUM(I70:I73)</f>
        <v>179889811.97000003</v>
      </c>
      <c r="J69" s="600">
        <f t="shared" ref="J69:BU69" si="34">SUM(J70:J73)</f>
        <v>69846</v>
      </c>
      <c r="K69" s="601">
        <f t="shared" si="34"/>
        <v>469712560.98999977</v>
      </c>
      <c r="L69" s="600">
        <f t="shared" si="34"/>
        <v>36953</v>
      </c>
      <c r="M69" s="601">
        <f t="shared" si="34"/>
        <v>270967558.21999973</v>
      </c>
      <c r="N69" s="600">
        <f t="shared" si="34"/>
        <v>15366</v>
      </c>
      <c r="O69" s="601">
        <f t="shared" si="34"/>
        <v>138633182.44000003</v>
      </c>
      <c r="P69" s="600">
        <f t="shared" si="34"/>
        <v>32309</v>
      </c>
      <c r="Q69" s="601">
        <f t="shared" si="34"/>
        <v>271693236.54999995</v>
      </c>
      <c r="R69" s="600">
        <f t="shared" si="34"/>
        <v>43372</v>
      </c>
      <c r="S69" s="601">
        <f t="shared" si="34"/>
        <v>385334431.70000005</v>
      </c>
      <c r="T69" s="600">
        <f t="shared" si="34"/>
        <v>32446</v>
      </c>
      <c r="U69" s="601">
        <f t="shared" si="34"/>
        <v>272170973.28000003</v>
      </c>
      <c r="V69" s="600">
        <f t="shared" si="34"/>
        <v>25574</v>
      </c>
      <c r="W69" s="601">
        <f t="shared" si="34"/>
        <v>221914403</v>
      </c>
      <c r="X69" s="600">
        <f t="shared" si="34"/>
        <v>23321</v>
      </c>
      <c r="Y69" s="601">
        <f t="shared" si="34"/>
        <v>221103396.24999997</v>
      </c>
      <c r="Z69" s="600">
        <f t="shared" si="34"/>
        <v>36212</v>
      </c>
      <c r="AA69" s="601">
        <f t="shared" si="34"/>
        <v>294256161.14999998</v>
      </c>
      <c r="AB69" s="600">
        <f t="shared" si="34"/>
        <v>44017</v>
      </c>
      <c r="AC69" s="601">
        <f t="shared" si="34"/>
        <v>363357298.20000023</v>
      </c>
      <c r="AD69" s="600">
        <f t="shared" si="34"/>
        <v>44408</v>
      </c>
      <c r="AE69" s="601">
        <f t="shared" si="34"/>
        <v>399808796.08368385</v>
      </c>
      <c r="AF69" s="600">
        <f t="shared" si="34"/>
        <v>19903</v>
      </c>
      <c r="AG69" s="601">
        <f t="shared" si="34"/>
        <v>243844851.72279799</v>
      </c>
      <c r="AH69" s="600">
        <f t="shared" si="34"/>
        <v>22697</v>
      </c>
      <c r="AI69" s="601">
        <f t="shared" si="34"/>
        <v>245502239.72999996</v>
      </c>
      <c r="AJ69" s="600">
        <f t="shared" si="34"/>
        <v>15287</v>
      </c>
      <c r="AK69" s="601">
        <f t="shared" si="34"/>
        <v>190012558.26999998</v>
      </c>
      <c r="AL69" s="600">
        <f t="shared" si="34"/>
        <v>9183</v>
      </c>
      <c r="AM69" s="601">
        <f t="shared" si="34"/>
        <v>109283107.89</v>
      </c>
      <c r="AN69" s="600">
        <f t="shared" si="34"/>
        <v>14649</v>
      </c>
      <c r="AO69" s="601">
        <f t="shared" si="34"/>
        <v>179215898.44</v>
      </c>
      <c r="AP69" s="600">
        <f t="shared" si="34"/>
        <v>9123</v>
      </c>
      <c r="AQ69" s="601">
        <f t="shared" si="34"/>
        <v>106918825.23</v>
      </c>
      <c r="AR69" s="600">
        <f t="shared" si="34"/>
        <v>20054</v>
      </c>
      <c r="AS69" s="601">
        <f t="shared" si="34"/>
        <v>198035849.83000001</v>
      </c>
      <c r="AT69" s="600">
        <f t="shared" si="34"/>
        <v>14412</v>
      </c>
      <c r="AU69" s="601">
        <f t="shared" si="34"/>
        <v>162578116.62</v>
      </c>
      <c r="AV69" s="600">
        <f t="shared" si="34"/>
        <v>12441</v>
      </c>
      <c r="AW69" s="601">
        <f t="shared" si="34"/>
        <v>134510766.83999997</v>
      </c>
      <c r="AX69" s="600">
        <f t="shared" si="34"/>
        <v>10932</v>
      </c>
      <c r="AY69" s="601">
        <f t="shared" si="34"/>
        <v>114728075.59</v>
      </c>
      <c r="AZ69" s="600">
        <f t="shared" si="34"/>
        <v>14252</v>
      </c>
      <c r="BA69" s="601">
        <f t="shared" si="34"/>
        <v>172132124.66</v>
      </c>
      <c r="BB69" s="600">
        <f t="shared" si="34"/>
        <v>14605</v>
      </c>
      <c r="BC69" s="601">
        <f t="shared" si="34"/>
        <v>164542729.72999999</v>
      </c>
      <c r="BD69" s="600">
        <f t="shared" si="34"/>
        <v>19188</v>
      </c>
      <c r="BE69" s="601">
        <f t="shared" si="34"/>
        <v>255627085.71000004</v>
      </c>
      <c r="BF69" s="600">
        <f t="shared" si="34"/>
        <v>49182</v>
      </c>
      <c r="BG69" s="601">
        <f t="shared" si="34"/>
        <v>586220256.63</v>
      </c>
      <c r="BH69" s="600">
        <f t="shared" si="34"/>
        <v>61372</v>
      </c>
      <c r="BI69" s="601">
        <f t="shared" si="34"/>
        <v>715282336.88999939</v>
      </c>
      <c r="BJ69" s="600">
        <f t="shared" si="34"/>
        <v>50365</v>
      </c>
      <c r="BK69" s="601">
        <f t="shared" si="34"/>
        <v>533223053.8400014</v>
      </c>
      <c r="BL69" s="600">
        <f t="shared" si="34"/>
        <v>44053</v>
      </c>
      <c r="BM69" s="601">
        <f t="shared" si="34"/>
        <v>510348590.27999985</v>
      </c>
      <c r="BN69" s="600">
        <f t="shared" si="34"/>
        <v>34969</v>
      </c>
      <c r="BO69" s="601">
        <f t="shared" si="34"/>
        <v>356310365.98000008</v>
      </c>
      <c r="BP69" s="600">
        <f t="shared" si="34"/>
        <v>22828</v>
      </c>
      <c r="BQ69" s="601">
        <f t="shared" si="34"/>
        <v>251820949.25999993</v>
      </c>
      <c r="BR69" s="600">
        <f t="shared" si="34"/>
        <v>30589</v>
      </c>
      <c r="BS69" s="601">
        <f t="shared" si="34"/>
        <v>311697038.92348987</v>
      </c>
      <c r="BT69" s="600">
        <f t="shared" si="34"/>
        <v>24956</v>
      </c>
      <c r="BU69" s="601">
        <f t="shared" si="34"/>
        <v>269392692.57000011</v>
      </c>
      <c r="BV69" s="600">
        <f t="shared" ref="BV69:CO69" si="35">SUM(BV70:BV73)</f>
        <v>22587</v>
      </c>
      <c r="BW69" s="601">
        <f t="shared" si="35"/>
        <v>210786090.05847457</v>
      </c>
      <c r="BX69" s="600">
        <f t="shared" si="35"/>
        <v>23938</v>
      </c>
      <c r="BY69" s="601">
        <f t="shared" si="35"/>
        <v>217064881.28000045</v>
      </c>
      <c r="BZ69" s="600">
        <f t="shared" si="35"/>
        <v>16968</v>
      </c>
      <c r="CA69" s="601">
        <f t="shared" si="35"/>
        <v>138510399.61000001</v>
      </c>
      <c r="CB69" s="600">
        <f t="shared" si="35"/>
        <v>29317</v>
      </c>
      <c r="CC69" s="601">
        <f t="shared" si="35"/>
        <v>354134397.33999997</v>
      </c>
      <c r="CD69" s="600">
        <f t="shared" si="35"/>
        <v>54809</v>
      </c>
      <c r="CE69" s="601">
        <f t="shared" si="35"/>
        <v>623761614.42999399</v>
      </c>
      <c r="CF69" s="600">
        <f t="shared" si="35"/>
        <v>42775</v>
      </c>
      <c r="CG69" s="601">
        <f t="shared" si="35"/>
        <v>515830879.21999997</v>
      </c>
      <c r="CH69" s="600">
        <f t="shared" si="35"/>
        <v>36519</v>
      </c>
      <c r="CI69" s="601">
        <f t="shared" si="35"/>
        <v>411747152.64999998</v>
      </c>
      <c r="CJ69" s="600">
        <f t="shared" si="35"/>
        <v>47434</v>
      </c>
      <c r="CK69" s="601">
        <f t="shared" si="35"/>
        <v>529577408.61000001</v>
      </c>
      <c r="CL69" s="600">
        <f t="shared" si="35"/>
        <v>33625</v>
      </c>
      <c r="CM69" s="601">
        <f t="shared" si="35"/>
        <v>407199053.58999997</v>
      </c>
      <c r="CN69" s="600">
        <f t="shared" si="35"/>
        <v>39120</v>
      </c>
      <c r="CO69" s="601">
        <f t="shared" si="35"/>
        <v>493406516.77999789</v>
      </c>
    </row>
    <row r="70" spans="1:95" x14ac:dyDescent="0.2">
      <c r="A70" s="604" t="s">
        <v>553</v>
      </c>
      <c r="B70" s="600">
        <v>4051</v>
      </c>
      <c r="C70" s="601">
        <v>15844296</v>
      </c>
      <c r="D70" s="600">
        <v>2436</v>
      </c>
      <c r="E70" s="601">
        <v>10676456.514649995</v>
      </c>
      <c r="F70" s="600">
        <v>1119</v>
      </c>
      <c r="G70" s="601">
        <v>5139720</v>
      </c>
      <c r="H70" s="600">
        <v>2752</v>
      </c>
      <c r="I70" s="601">
        <v>14036600.789999999</v>
      </c>
      <c r="J70" s="600">
        <v>2360</v>
      </c>
      <c r="K70" s="601">
        <v>12292398.019999996</v>
      </c>
      <c r="L70" s="600">
        <v>2728</v>
      </c>
      <c r="M70" s="601">
        <v>12460429.049999999</v>
      </c>
      <c r="N70" s="600">
        <v>1827</v>
      </c>
      <c r="O70" s="601">
        <v>9521922.2999999989</v>
      </c>
      <c r="P70" s="600">
        <v>1428</v>
      </c>
      <c r="Q70" s="601">
        <v>4900347.8</v>
      </c>
      <c r="R70" s="600">
        <v>3214</v>
      </c>
      <c r="S70" s="601">
        <v>16275587.199999999</v>
      </c>
      <c r="T70" s="600">
        <v>3319</v>
      </c>
      <c r="U70" s="601">
        <v>14565738.690000001</v>
      </c>
      <c r="V70" s="600">
        <v>2548</v>
      </c>
      <c r="W70" s="601">
        <v>14014122.890000001</v>
      </c>
      <c r="X70" s="600">
        <v>218</v>
      </c>
      <c r="Y70" s="601">
        <v>1801200</v>
      </c>
      <c r="Z70" s="600">
        <v>2601</v>
      </c>
      <c r="AA70" s="601">
        <v>16706594.419999996</v>
      </c>
      <c r="AB70" s="600">
        <v>2104</v>
      </c>
      <c r="AC70" s="601">
        <v>14007120.689999998</v>
      </c>
      <c r="AD70" s="600">
        <v>1636</v>
      </c>
      <c r="AE70" s="601">
        <v>10489621.499999998</v>
      </c>
      <c r="AF70" s="600">
        <v>625</v>
      </c>
      <c r="AG70" s="601">
        <v>6506633.6999999993</v>
      </c>
      <c r="AH70" s="600">
        <v>321</v>
      </c>
      <c r="AI70" s="601">
        <v>3248992.3000000003</v>
      </c>
      <c r="AJ70" s="600">
        <v>237</v>
      </c>
      <c r="AK70" s="601">
        <v>2004737.5</v>
      </c>
      <c r="AL70" s="600">
        <v>319</v>
      </c>
      <c r="AM70" s="601">
        <v>2861929.16</v>
      </c>
      <c r="AN70" s="600">
        <v>136</v>
      </c>
      <c r="AO70" s="601">
        <v>1606503</v>
      </c>
      <c r="AP70" s="600">
        <v>45</v>
      </c>
      <c r="AQ70" s="601">
        <v>550371.5</v>
      </c>
      <c r="AR70" s="600">
        <v>41</v>
      </c>
      <c r="AS70" s="601">
        <v>317425.40000000002</v>
      </c>
      <c r="AT70" s="600">
        <v>13</v>
      </c>
      <c r="AU70" s="601">
        <v>86821.5</v>
      </c>
      <c r="AV70" s="600">
        <v>154</v>
      </c>
      <c r="AW70" s="601">
        <v>1120399.5</v>
      </c>
      <c r="AX70" s="600">
        <v>331</v>
      </c>
      <c r="AY70" s="601">
        <v>2053165</v>
      </c>
      <c r="AZ70" s="600">
        <v>463</v>
      </c>
      <c r="BA70" s="601">
        <v>3637560</v>
      </c>
      <c r="BB70" s="600">
        <v>235</v>
      </c>
      <c r="BC70" s="601">
        <v>2161404.1799999997</v>
      </c>
      <c r="BD70" s="600">
        <v>145</v>
      </c>
      <c r="BE70" s="601">
        <v>1141050</v>
      </c>
      <c r="BF70" s="600">
        <v>156</v>
      </c>
      <c r="BG70" s="601">
        <v>1840746</v>
      </c>
      <c r="BH70" s="600">
        <v>0</v>
      </c>
      <c r="BI70" s="601">
        <v>0</v>
      </c>
      <c r="BJ70" s="600">
        <v>0</v>
      </c>
      <c r="BK70" s="601">
        <v>0</v>
      </c>
      <c r="BL70" s="600">
        <v>0</v>
      </c>
      <c r="BM70" s="601">
        <v>0</v>
      </c>
      <c r="BN70" s="600">
        <v>0</v>
      </c>
      <c r="BO70" s="601">
        <v>0</v>
      </c>
      <c r="BP70" s="600">
        <v>0</v>
      </c>
      <c r="BQ70" s="601">
        <v>0</v>
      </c>
      <c r="BR70" s="600">
        <v>0</v>
      </c>
      <c r="BS70" s="601">
        <v>0</v>
      </c>
      <c r="BT70" s="600">
        <v>0</v>
      </c>
      <c r="BU70" s="601">
        <v>0</v>
      </c>
      <c r="BV70" s="600">
        <v>0</v>
      </c>
      <c r="BW70" s="601">
        <v>0</v>
      </c>
      <c r="BX70" s="600">
        <v>0</v>
      </c>
      <c r="BY70" s="601">
        <v>0</v>
      </c>
      <c r="BZ70" s="600">
        <v>0</v>
      </c>
      <c r="CA70" s="601">
        <v>0</v>
      </c>
      <c r="CB70" s="600">
        <v>0</v>
      </c>
      <c r="CC70" s="601">
        <v>0</v>
      </c>
      <c r="CD70" s="600">
        <v>0</v>
      </c>
      <c r="CE70" s="601">
        <v>0</v>
      </c>
      <c r="CF70" s="600">
        <v>0</v>
      </c>
      <c r="CG70" s="601">
        <v>0</v>
      </c>
      <c r="CH70" s="600">
        <v>0</v>
      </c>
      <c r="CI70" s="601">
        <v>0</v>
      </c>
      <c r="CJ70" s="600">
        <v>0</v>
      </c>
      <c r="CK70" s="601">
        <v>0</v>
      </c>
      <c r="CL70" s="600">
        <v>0</v>
      </c>
      <c r="CM70" s="601">
        <v>0</v>
      </c>
      <c r="CN70" s="600">
        <v>0</v>
      </c>
      <c r="CO70" s="601">
        <v>0</v>
      </c>
    </row>
    <row r="71" spans="1:95" x14ac:dyDescent="0.2">
      <c r="A71" s="604" t="s">
        <v>534</v>
      </c>
      <c r="B71" s="600">
        <v>10288</v>
      </c>
      <c r="C71" s="601">
        <v>66145509.126438349</v>
      </c>
      <c r="D71" s="600">
        <v>7757</v>
      </c>
      <c r="E71" s="601">
        <v>54424412</v>
      </c>
      <c r="F71" s="600">
        <v>7555</v>
      </c>
      <c r="G71" s="601">
        <v>54446482</v>
      </c>
      <c r="H71" s="600">
        <v>7944</v>
      </c>
      <c r="I71" s="601">
        <v>59167004</v>
      </c>
      <c r="J71" s="600">
        <v>8369</v>
      </c>
      <c r="K71" s="601">
        <v>93398676</v>
      </c>
      <c r="L71" s="600">
        <v>2953</v>
      </c>
      <c r="M71" s="601">
        <v>40015268</v>
      </c>
      <c r="N71" s="600">
        <v>2927</v>
      </c>
      <c r="O71" s="601">
        <v>30542359</v>
      </c>
      <c r="P71" s="600">
        <v>8978</v>
      </c>
      <c r="Q71" s="601">
        <v>101627701</v>
      </c>
      <c r="R71" s="600">
        <v>4137</v>
      </c>
      <c r="S71" s="601">
        <v>57498850</v>
      </c>
      <c r="T71" s="600">
        <v>1808</v>
      </c>
      <c r="U71" s="601">
        <v>18968453</v>
      </c>
      <c r="V71" s="600">
        <v>2361</v>
      </c>
      <c r="W71" s="601">
        <v>26380214</v>
      </c>
      <c r="X71" s="600">
        <v>2227</v>
      </c>
      <c r="Y71" s="601">
        <v>25926759</v>
      </c>
      <c r="Z71" s="600">
        <v>3297</v>
      </c>
      <c r="AA71" s="601">
        <v>37030811</v>
      </c>
      <c r="AB71" s="600">
        <v>3555</v>
      </c>
      <c r="AC71" s="601">
        <v>34855388</v>
      </c>
      <c r="AD71" s="600">
        <v>1728</v>
      </c>
      <c r="AE71" s="601">
        <v>22918059</v>
      </c>
      <c r="AF71" s="600">
        <v>2197</v>
      </c>
      <c r="AG71" s="601">
        <v>40945432</v>
      </c>
      <c r="AH71" s="600">
        <f>AH34</f>
        <v>2715</v>
      </c>
      <c r="AI71" s="601">
        <f>AI34</f>
        <v>37761681</v>
      </c>
      <c r="AJ71" s="600">
        <v>1781</v>
      </c>
      <c r="AK71" s="601">
        <v>26530378</v>
      </c>
      <c r="AL71" s="600">
        <f t="shared" ref="AL71:CO71" si="36">AL34</f>
        <v>750</v>
      </c>
      <c r="AM71" s="601">
        <f t="shared" si="36"/>
        <v>10591471</v>
      </c>
      <c r="AN71" s="600">
        <f t="shared" si="36"/>
        <v>1481</v>
      </c>
      <c r="AO71" s="601">
        <f t="shared" si="36"/>
        <v>19800914</v>
      </c>
      <c r="AP71" s="600">
        <f t="shared" si="36"/>
        <v>973</v>
      </c>
      <c r="AQ71" s="601">
        <f t="shared" si="36"/>
        <v>12900111</v>
      </c>
      <c r="AR71" s="600">
        <f t="shared" si="36"/>
        <v>8329</v>
      </c>
      <c r="AS71" s="601">
        <f t="shared" si="36"/>
        <v>53766657</v>
      </c>
      <c r="AT71" s="600">
        <f t="shared" si="36"/>
        <v>2265</v>
      </c>
      <c r="AU71" s="601">
        <f t="shared" si="36"/>
        <v>30191083</v>
      </c>
      <c r="AV71" s="600">
        <f t="shared" si="36"/>
        <v>1545</v>
      </c>
      <c r="AW71" s="601">
        <f t="shared" si="36"/>
        <v>21872025</v>
      </c>
      <c r="AX71" s="600">
        <f t="shared" si="36"/>
        <v>1096</v>
      </c>
      <c r="AY71" s="601">
        <f t="shared" si="36"/>
        <v>13489511</v>
      </c>
      <c r="AZ71" s="600">
        <f t="shared" si="36"/>
        <v>1712</v>
      </c>
      <c r="BA71" s="601">
        <f t="shared" si="36"/>
        <v>23136451</v>
      </c>
      <c r="BB71" s="600">
        <f t="shared" si="36"/>
        <v>970</v>
      </c>
      <c r="BC71" s="601">
        <f t="shared" si="36"/>
        <v>10933660</v>
      </c>
      <c r="BD71" s="600">
        <f t="shared" si="36"/>
        <v>2523</v>
      </c>
      <c r="BE71" s="601">
        <f t="shared" si="36"/>
        <v>36916528</v>
      </c>
      <c r="BF71" s="600">
        <f t="shared" si="36"/>
        <v>2665</v>
      </c>
      <c r="BG71" s="601">
        <f t="shared" si="36"/>
        <v>40461653</v>
      </c>
      <c r="BH71" s="600">
        <f t="shared" si="36"/>
        <v>1144</v>
      </c>
      <c r="BI71" s="601">
        <f t="shared" si="36"/>
        <v>14214404</v>
      </c>
      <c r="BJ71" s="600">
        <f t="shared" si="36"/>
        <v>2547</v>
      </c>
      <c r="BK71" s="601">
        <f t="shared" si="36"/>
        <v>36582797</v>
      </c>
      <c r="BL71" s="600">
        <f t="shared" si="36"/>
        <v>3038</v>
      </c>
      <c r="BM71" s="601">
        <f t="shared" si="36"/>
        <v>47562717</v>
      </c>
      <c r="BN71" s="600">
        <f t="shared" si="36"/>
        <v>1538</v>
      </c>
      <c r="BO71" s="601">
        <f t="shared" si="36"/>
        <v>20353360</v>
      </c>
      <c r="BP71" s="600">
        <f t="shared" si="36"/>
        <v>2580</v>
      </c>
      <c r="BQ71" s="601">
        <f t="shared" si="36"/>
        <v>34948867</v>
      </c>
      <c r="BR71" s="600">
        <f t="shared" si="36"/>
        <v>2436</v>
      </c>
      <c r="BS71" s="601">
        <f t="shared" si="36"/>
        <v>35525468</v>
      </c>
      <c r="BT71" s="600">
        <f t="shared" si="36"/>
        <v>3084</v>
      </c>
      <c r="BU71" s="601">
        <f t="shared" si="36"/>
        <v>38382056</v>
      </c>
      <c r="BV71" s="600">
        <f t="shared" si="36"/>
        <v>2871</v>
      </c>
      <c r="BW71" s="601">
        <f t="shared" si="36"/>
        <v>32924016</v>
      </c>
      <c r="BX71" s="600">
        <f t="shared" si="36"/>
        <v>2920</v>
      </c>
      <c r="BY71" s="601">
        <f t="shared" si="36"/>
        <v>33181819</v>
      </c>
      <c r="BZ71" s="600">
        <f t="shared" si="36"/>
        <v>2390</v>
      </c>
      <c r="CA71" s="601">
        <f t="shared" si="36"/>
        <v>23401533</v>
      </c>
      <c r="CB71" s="600">
        <f t="shared" si="36"/>
        <v>6908</v>
      </c>
      <c r="CC71" s="601">
        <f t="shared" si="36"/>
        <v>106971667</v>
      </c>
      <c r="CD71" s="600">
        <f t="shared" si="36"/>
        <v>4865</v>
      </c>
      <c r="CE71" s="601">
        <f t="shared" si="36"/>
        <v>69996344</v>
      </c>
      <c r="CF71" s="600">
        <f t="shared" si="36"/>
        <v>3195</v>
      </c>
      <c r="CG71" s="601">
        <f t="shared" si="36"/>
        <v>43756792</v>
      </c>
      <c r="CH71" s="600">
        <f t="shared" si="36"/>
        <v>4234</v>
      </c>
      <c r="CI71" s="601">
        <f t="shared" si="36"/>
        <v>60712201</v>
      </c>
      <c r="CJ71" s="600">
        <f t="shared" si="36"/>
        <v>4750</v>
      </c>
      <c r="CK71" s="601">
        <f t="shared" si="36"/>
        <v>65120150</v>
      </c>
      <c r="CL71" s="600">
        <f t="shared" si="36"/>
        <v>3220</v>
      </c>
      <c r="CM71" s="601">
        <f t="shared" si="36"/>
        <v>42293200</v>
      </c>
      <c r="CN71" s="600">
        <f t="shared" si="36"/>
        <v>3817</v>
      </c>
      <c r="CO71" s="601">
        <f t="shared" si="36"/>
        <v>54168971</v>
      </c>
    </row>
    <row r="72" spans="1:95" x14ac:dyDescent="0.2">
      <c r="A72" s="604" t="s">
        <v>554</v>
      </c>
      <c r="B72" s="600"/>
      <c r="C72" s="601"/>
      <c r="D72" s="600"/>
      <c r="E72" s="601"/>
      <c r="F72" s="600"/>
      <c r="G72" s="601"/>
      <c r="H72" s="600">
        <v>57</v>
      </c>
      <c r="I72" s="601">
        <v>321756.69999999995</v>
      </c>
      <c r="J72" s="600">
        <v>153</v>
      </c>
      <c r="K72" s="601">
        <v>740499.04999999993</v>
      </c>
      <c r="L72" s="600">
        <v>142</v>
      </c>
      <c r="M72" s="601">
        <v>1095266.6000000001</v>
      </c>
      <c r="N72" s="600">
        <v>58</v>
      </c>
      <c r="O72" s="601">
        <v>411256.1</v>
      </c>
      <c r="P72" s="600">
        <v>6</v>
      </c>
      <c r="Q72" s="601">
        <v>29101.599999999999</v>
      </c>
      <c r="R72" s="600">
        <v>13</v>
      </c>
      <c r="S72" s="601">
        <v>286202.59999999998</v>
      </c>
      <c r="T72" s="600">
        <v>0</v>
      </c>
      <c r="U72" s="601">
        <v>0</v>
      </c>
      <c r="V72" s="600">
        <v>0</v>
      </c>
      <c r="W72" s="601">
        <v>0</v>
      </c>
      <c r="X72" s="600">
        <v>0</v>
      </c>
      <c r="Y72" s="601">
        <v>0</v>
      </c>
      <c r="Z72" s="600">
        <v>0</v>
      </c>
      <c r="AA72" s="601">
        <v>0</v>
      </c>
      <c r="AB72" s="600">
        <v>0</v>
      </c>
      <c r="AC72" s="601">
        <v>0</v>
      </c>
      <c r="AD72" s="600">
        <v>0</v>
      </c>
      <c r="AE72" s="601">
        <v>0</v>
      </c>
      <c r="AF72" s="600">
        <v>0</v>
      </c>
      <c r="AG72" s="601">
        <v>0</v>
      </c>
      <c r="AH72" s="600">
        <v>0</v>
      </c>
      <c r="AI72" s="601">
        <v>0</v>
      </c>
      <c r="AJ72" s="600">
        <v>0</v>
      </c>
      <c r="AK72" s="601">
        <v>0</v>
      </c>
      <c r="AL72" s="600">
        <v>0</v>
      </c>
      <c r="AM72" s="601">
        <v>0</v>
      </c>
      <c r="AN72" s="600">
        <v>0</v>
      </c>
      <c r="AO72" s="601">
        <v>0</v>
      </c>
      <c r="AP72" s="600">
        <v>0</v>
      </c>
      <c r="AQ72" s="601">
        <v>0</v>
      </c>
      <c r="AR72" s="600">
        <v>0</v>
      </c>
      <c r="AS72" s="601">
        <v>0</v>
      </c>
      <c r="AT72" s="600">
        <v>0</v>
      </c>
      <c r="AU72" s="601">
        <v>0</v>
      </c>
      <c r="AV72" s="600">
        <v>0</v>
      </c>
      <c r="AW72" s="601">
        <v>0</v>
      </c>
      <c r="AX72" s="600">
        <v>0</v>
      </c>
      <c r="AY72" s="601">
        <v>0</v>
      </c>
      <c r="AZ72" s="600">
        <v>0</v>
      </c>
      <c r="BA72" s="601">
        <v>0</v>
      </c>
      <c r="BB72" s="600">
        <v>0</v>
      </c>
      <c r="BC72" s="601">
        <v>0</v>
      </c>
      <c r="BD72" s="600">
        <v>0</v>
      </c>
      <c r="BE72" s="601">
        <v>0</v>
      </c>
      <c r="BF72" s="600">
        <v>0</v>
      </c>
      <c r="BG72" s="601">
        <v>0</v>
      </c>
      <c r="BH72" s="600">
        <v>0</v>
      </c>
      <c r="BI72" s="601">
        <v>0</v>
      </c>
      <c r="BJ72" s="600">
        <v>0</v>
      </c>
      <c r="BK72" s="601">
        <v>0</v>
      </c>
      <c r="BL72" s="600">
        <v>0</v>
      </c>
      <c r="BM72" s="601">
        <v>0</v>
      </c>
      <c r="BN72" s="600">
        <v>0</v>
      </c>
      <c r="BO72" s="601">
        <v>0</v>
      </c>
      <c r="BP72" s="600">
        <v>0</v>
      </c>
      <c r="BQ72" s="601">
        <v>0</v>
      </c>
      <c r="BR72" s="600">
        <v>0</v>
      </c>
      <c r="BS72" s="601">
        <v>0</v>
      </c>
      <c r="BT72" s="600">
        <v>0</v>
      </c>
      <c r="BU72" s="601">
        <v>0</v>
      </c>
      <c r="BV72" s="600">
        <v>0</v>
      </c>
      <c r="BW72" s="601">
        <v>0</v>
      </c>
      <c r="BX72" s="600">
        <v>0</v>
      </c>
      <c r="BY72" s="601">
        <v>0</v>
      </c>
      <c r="BZ72" s="600">
        <v>0</v>
      </c>
      <c r="CA72" s="601">
        <v>0</v>
      </c>
      <c r="CB72" s="600">
        <v>0</v>
      </c>
      <c r="CC72" s="601">
        <v>0</v>
      </c>
      <c r="CD72" s="600">
        <v>0</v>
      </c>
      <c r="CE72" s="601">
        <v>0</v>
      </c>
      <c r="CF72" s="600">
        <v>0</v>
      </c>
      <c r="CG72" s="601">
        <v>0</v>
      </c>
      <c r="CH72" s="600">
        <v>0</v>
      </c>
      <c r="CI72" s="601">
        <v>0</v>
      </c>
      <c r="CJ72" s="600">
        <v>0</v>
      </c>
      <c r="CK72" s="601">
        <v>0</v>
      </c>
      <c r="CL72" s="600">
        <v>0</v>
      </c>
      <c r="CM72" s="601">
        <v>0</v>
      </c>
      <c r="CN72" s="600">
        <v>0</v>
      </c>
      <c r="CO72" s="601">
        <v>0</v>
      </c>
    </row>
    <row r="73" spans="1:95" x14ac:dyDescent="0.2">
      <c r="A73" s="604" t="s">
        <v>52</v>
      </c>
      <c r="B73" s="600">
        <v>10950</v>
      </c>
      <c r="C73" s="601">
        <v>84993325.244999796</v>
      </c>
      <c r="D73" s="600">
        <v>11753</v>
      </c>
      <c r="E73" s="601">
        <v>83500478.079999968</v>
      </c>
      <c r="F73" s="600">
        <f t="shared" ref="F73:K73" si="37">SUM(F74:F77)</f>
        <v>14713</v>
      </c>
      <c r="G73" s="601">
        <f t="shared" si="37"/>
        <v>89466400.180000022</v>
      </c>
      <c r="H73" s="600">
        <f t="shared" si="37"/>
        <v>15811</v>
      </c>
      <c r="I73" s="601">
        <f t="shared" si="37"/>
        <v>106364450.48000002</v>
      </c>
      <c r="J73" s="600">
        <f t="shared" si="37"/>
        <v>58964</v>
      </c>
      <c r="K73" s="601">
        <f t="shared" si="37"/>
        <v>363280987.91999978</v>
      </c>
      <c r="L73" s="600">
        <f t="shared" ref="L73:Q73" si="38">SUM(L74:L78)</f>
        <v>31130</v>
      </c>
      <c r="M73" s="601">
        <f t="shared" si="38"/>
        <v>217396594.56999975</v>
      </c>
      <c r="N73" s="600">
        <f t="shared" si="38"/>
        <v>10554</v>
      </c>
      <c r="O73" s="601">
        <f t="shared" si="38"/>
        <v>98157645.040000036</v>
      </c>
      <c r="P73" s="600">
        <f t="shared" si="38"/>
        <v>21897</v>
      </c>
      <c r="Q73" s="601">
        <f t="shared" si="38"/>
        <v>165136086.14999998</v>
      </c>
      <c r="R73" s="600">
        <f>SUM(R74:R78)</f>
        <v>36008</v>
      </c>
      <c r="S73" s="601">
        <f>SUM(S74:S78)</f>
        <v>311273791.90000004</v>
      </c>
      <c r="T73" s="600">
        <f t="shared" ref="T73:CE73" si="39">SUM(T74:T84)</f>
        <v>27319</v>
      </c>
      <c r="U73" s="601">
        <f t="shared" si="39"/>
        <v>238636781.59000003</v>
      </c>
      <c r="V73" s="600">
        <f t="shared" si="39"/>
        <v>20665</v>
      </c>
      <c r="W73" s="601">
        <f t="shared" si="39"/>
        <v>181520066.10999998</v>
      </c>
      <c r="X73" s="600">
        <f t="shared" si="39"/>
        <v>20876</v>
      </c>
      <c r="Y73" s="601">
        <f t="shared" si="39"/>
        <v>193375437.24999997</v>
      </c>
      <c r="Z73" s="600">
        <f t="shared" si="39"/>
        <v>30314</v>
      </c>
      <c r="AA73" s="601">
        <f t="shared" si="39"/>
        <v>240518755.72999999</v>
      </c>
      <c r="AB73" s="600">
        <f t="shared" si="39"/>
        <v>38358</v>
      </c>
      <c r="AC73" s="601">
        <f t="shared" si="39"/>
        <v>314494789.51000023</v>
      </c>
      <c r="AD73" s="600">
        <f t="shared" si="39"/>
        <v>41044</v>
      </c>
      <c r="AE73" s="601">
        <f t="shared" si="39"/>
        <v>366401115.58368385</v>
      </c>
      <c r="AF73" s="600">
        <f t="shared" si="39"/>
        <v>17081</v>
      </c>
      <c r="AG73" s="601">
        <f t="shared" si="39"/>
        <v>196392786.022798</v>
      </c>
      <c r="AH73" s="600">
        <f t="shared" si="39"/>
        <v>19661</v>
      </c>
      <c r="AI73" s="601">
        <f t="shared" si="39"/>
        <v>204491566.42999998</v>
      </c>
      <c r="AJ73" s="600">
        <f t="shared" si="39"/>
        <v>13269</v>
      </c>
      <c r="AK73" s="601">
        <f t="shared" si="39"/>
        <v>161477442.76999998</v>
      </c>
      <c r="AL73" s="600">
        <f t="shared" si="39"/>
        <v>8114</v>
      </c>
      <c r="AM73" s="601">
        <f t="shared" si="39"/>
        <v>95829707.730000004</v>
      </c>
      <c r="AN73" s="600">
        <f t="shared" si="39"/>
        <v>13032</v>
      </c>
      <c r="AO73" s="601">
        <f t="shared" si="39"/>
        <v>157808481.44</v>
      </c>
      <c r="AP73" s="600">
        <f t="shared" si="39"/>
        <v>8105</v>
      </c>
      <c r="AQ73" s="601">
        <f t="shared" si="39"/>
        <v>93468342.730000004</v>
      </c>
      <c r="AR73" s="600">
        <f t="shared" si="39"/>
        <v>11684</v>
      </c>
      <c r="AS73" s="601">
        <f t="shared" si="39"/>
        <v>143951767.43000001</v>
      </c>
      <c r="AT73" s="600">
        <f t="shared" si="39"/>
        <v>12134</v>
      </c>
      <c r="AU73" s="601">
        <f t="shared" si="39"/>
        <v>132300212.12</v>
      </c>
      <c r="AV73" s="600">
        <f t="shared" si="39"/>
        <v>10742</v>
      </c>
      <c r="AW73" s="601">
        <f t="shared" si="39"/>
        <v>111518342.33999999</v>
      </c>
      <c r="AX73" s="600">
        <f t="shared" si="39"/>
        <v>9505</v>
      </c>
      <c r="AY73" s="601">
        <f t="shared" si="39"/>
        <v>99185399.590000004</v>
      </c>
      <c r="AZ73" s="600">
        <f t="shared" si="39"/>
        <v>12077</v>
      </c>
      <c r="BA73" s="601">
        <f t="shared" si="39"/>
        <v>145358113.66</v>
      </c>
      <c r="BB73" s="600">
        <f t="shared" si="39"/>
        <v>13400</v>
      </c>
      <c r="BC73" s="601">
        <f t="shared" si="39"/>
        <v>151447665.54999998</v>
      </c>
      <c r="BD73" s="600">
        <f t="shared" si="39"/>
        <v>16520</v>
      </c>
      <c r="BE73" s="601">
        <f t="shared" si="39"/>
        <v>217569507.71000004</v>
      </c>
      <c r="BF73" s="600">
        <f t="shared" si="39"/>
        <v>46361</v>
      </c>
      <c r="BG73" s="601">
        <f t="shared" si="39"/>
        <v>543917857.63</v>
      </c>
      <c r="BH73" s="600">
        <f t="shared" si="39"/>
        <v>60228</v>
      </c>
      <c r="BI73" s="601">
        <f t="shared" si="39"/>
        <v>701067932.88999939</v>
      </c>
      <c r="BJ73" s="600">
        <f t="shared" si="39"/>
        <v>47818</v>
      </c>
      <c r="BK73" s="601">
        <f t="shared" si="39"/>
        <v>496640256.8400014</v>
      </c>
      <c r="BL73" s="600">
        <f t="shared" si="39"/>
        <v>41015</v>
      </c>
      <c r="BM73" s="601">
        <f t="shared" si="39"/>
        <v>462785873.27999985</v>
      </c>
      <c r="BN73" s="600">
        <f t="shared" si="39"/>
        <v>33431</v>
      </c>
      <c r="BO73" s="601">
        <f t="shared" si="39"/>
        <v>335957005.98000008</v>
      </c>
      <c r="BP73" s="600">
        <f t="shared" si="39"/>
        <v>20248</v>
      </c>
      <c r="BQ73" s="601">
        <f t="shared" si="39"/>
        <v>216872082.25999993</v>
      </c>
      <c r="BR73" s="600">
        <f t="shared" si="39"/>
        <v>28153</v>
      </c>
      <c r="BS73" s="601">
        <f t="shared" si="39"/>
        <v>276171570.92348987</v>
      </c>
      <c r="BT73" s="600">
        <f t="shared" si="39"/>
        <v>21872</v>
      </c>
      <c r="BU73" s="601">
        <f t="shared" si="39"/>
        <v>231010636.57000011</v>
      </c>
      <c r="BV73" s="600">
        <f t="shared" si="39"/>
        <v>19716</v>
      </c>
      <c r="BW73" s="601">
        <f t="shared" si="39"/>
        <v>177862074.05847457</v>
      </c>
      <c r="BX73" s="600">
        <f t="shared" si="39"/>
        <v>21018</v>
      </c>
      <c r="BY73" s="601">
        <f t="shared" si="39"/>
        <v>183883062.28000045</v>
      </c>
      <c r="BZ73" s="600">
        <f t="shared" si="39"/>
        <v>14578</v>
      </c>
      <c r="CA73" s="601">
        <f t="shared" si="39"/>
        <v>115108866.61000001</v>
      </c>
      <c r="CB73" s="600">
        <f t="shared" si="39"/>
        <v>22409</v>
      </c>
      <c r="CC73" s="601">
        <f t="shared" si="39"/>
        <v>247162730.33999997</v>
      </c>
      <c r="CD73" s="600">
        <f t="shared" si="39"/>
        <v>49944</v>
      </c>
      <c r="CE73" s="601">
        <f t="shared" si="39"/>
        <v>553765270.42999399</v>
      </c>
      <c r="CF73" s="600">
        <f t="shared" ref="CF73:CM73" si="40">SUM(CF74:CF84)</f>
        <v>39580</v>
      </c>
      <c r="CG73" s="601">
        <f t="shared" si="40"/>
        <v>472074087.21999997</v>
      </c>
      <c r="CH73" s="600">
        <f t="shared" si="40"/>
        <v>32285</v>
      </c>
      <c r="CI73" s="601">
        <f t="shared" si="40"/>
        <v>351034951.64999998</v>
      </c>
      <c r="CJ73" s="600">
        <f t="shared" si="40"/>
        <v>42684</v>
      </c>
      <c r="CK73" s="601">
        <f t="shared" si="40"/>
        <v>464457258.61000001</v>
      </c>
      <c r="CL73" s="600">
        <f t="shared" si="40"/>
        <v>30405</v>
      </c>
      <c r="CM73" s="601">
        <f t="shared" si="40"/>
        <v>364905853.58999997</v>
      </c>
      <c r="CN73" s="600">
        <f>SUM(CN74:CN84)</f>
        <v>35303</v>
      </c>
      <c r="CO73" s="601">
        <f t="shared" ref="CO73" si="41">SUM(CO74:CO84)</f>
        <v>439237545.77999789</v>
      </c>
    </row>
    <row r="74" spans="1:95" x14ac:dyDescent="0.2">
      <c r="A74" s="605" t="s">
        <v>555</v>
      </c>
      <c r="B74" s="600"/>
      <c r="C74" s="601"/>
      <c r="D74" s="600"/>
      <c r="E74" s="601"/>
      <c r="F74" s="600">
        <v>13563</v>
      </c>
      <c r="G74" s="601">
        <v>75899532.280000016</v>
      </c>
      <c r="H74" s="600">
        <v>14609</v>
      </c>
      <c r="I74" s="601">
        <v>93963498.280000016</v>
      </c>
      <c r="J74" s="600">
        <v>57500</v>
      </c>
      <c r="K74" s="601">
        <v>348276630.71999979</v>
      </c>
      <c r="L74" s="600">
        <v>29030</v>
      </c>
      <c r="M74" s="601">
        <v>195668203.36999977</v>
      </c>
      <c r="N74" s="600">
        <v>8669</v>
      </c>
      <c r="O74" s="601">
        <v>79229839.14000003</v>
      </c>
      <c r="P74" s="600">
        <v>20047</v>
      </c>
      <c r="Q74" s="601">
        <v>146653874.44999999</v>
      </c>
      <c r="R74" s="600">
        <v>34157</v>
      </c>
      <c r="S74" s="601">
        <v>292981363.20000005</v>
      </c>
      <c r="T74" s="600">
        <v>24894</v>
      </c>
      <c r="U74" s="601">
        <v>214966919.20000002</v>
      </c>
      <c r="V74" s="600">
        <v>17769</v>
      </c>
      <c r="W74" s="601">
        <v>150571374.16999999</v>
      </c>
      <c r="X74" s="600">
        <v>18455</v>
      </c>
      <c r="Y74" s="601">
        <v>166701210.79999998</v>
      </c>
      <c r="Z74" s="600">
        <v>27903</v>
      </c>
      <c r="AA74" s="601">
        <v>213770176.03</v>
      </c>
      <c r="AB74" s="600">
        <v>35705</v>
      </c>
      <c r="AC74" s="601">
        <v>286089312.8500002</v>
      </c>
      <c r="AD74" s="600">
        <v>37702</v>
      </c>
      <c r="AE74" s="601">
        <v>329883917.62368387</v>
      </c>
      <c r="AF74" s="600">
        <v>13120</v>
      </c>
      <c r="AG74" s="601">
        <v>155369872.22279799</v>
      </c>
      <c r="AH74" s="600">
        <v>16069</v>
      </c>
      <c r="AI74" s="601">
        <v>165601519.37999997</v>
      </c>
      <c r="AJ74" s="600">
        <v>9844</v>
      </c>
      <c r="AK74" s="601">
        <v>123613895.21999998</v>
      </c>
      <c r="AL74" s="600">
        <v>4573</v>
      </c>
      <c r="AM74" s="601">
        <v>59445512.680000007</v>
      </c>
      <c r="AN74" s="600">
        <v>10368</v>
      </c>
      <c r="AO74" s="601">
        <v>127417991.88999999</v>
      </c>
      <c r="AP74" s="600">
        <v>5904</v>
      </c>
      <c r="AQ74" s="601">
        <v>67644735.180000007</v>
      </c>
      <c r="AR74" s="600">
        <v>9085</v>
      </c>
      <c r="AS74" s="601">
        <v>112047103.78000002</v>
      </c>
      <c r="AT74" s="600">
        <v>9860</v>
      </c>
      <c r="AU74" s="601">
        <v>106657086.37</v>
      </c>
      <c r="AV74" s="600">
        <v>8475</v>
      </c>
      <c r="AW74" s="601">
        <v>84466979.069999993</v>
      </c>
      <c r="AX74" s="600">
        <v>6982</v>
      </c>
      <c r="AY74" s="601">
        <v>65449414.870000005</v>
      </c>
      <c r="AZ74" s="600">
        <v>7454</v>
      </c>
      <c r="BA74" s="601">
        <v>78638635.739999995</v>
      </c>
      <c r="BB74" s="600">
        <v>6581</v>
      </c>
      <c r="BC74" s="601">
        <v>52515441.229999997</v>
      </c>
      <c r="BD74" s="600">
        <v>6748</v>
      </c>
      <c r="BE74" s="601">
        <v>80496751.339999989</v>
      </c>
      <c r="BF74" s="600">
        <v>36247</v>
      </c>
      <c r="BG74" s="601">
        <v>409032283.74000001</v>
      </c>
      <c r="BH74" s="600">
        <v>46806</v>
      </c>
      <c r="BI74" s="601">
        <v>558042091.79999924</v>
      </c>
      <c r="BJ74" s="600">
        <v>35971</v>
      </c>
      <c r="BK74" s="601">
        <v>374588621.58000118</v>
      </c>
      <c r="BL74" s="600">
        <v>31228</v>
      </c>
      <c r="BM74" s="601">
        <v>362094437.92999983</v>
      </c>
      <c r="BN74" s="600">
        <v>17833</v>
      </c>
      <c r="BO74" s="601">
        <v>190417467.05000013</v>
      </c>
      <c r="BP74" s="600">
        <v>10264</v>
      </c>
      <c r="BQ74" s="601">
        <v>104883623.15999998</v>
      </c>
      <c r="BR74" s="600">
        <v>12426</v>
      </c>
      <c r="BS74" s="601">
        <v>117498227.92999987</v>
      </c>
      <c r="BT74" s="600">
        <v>10076</v>
      </c>
      <c r="BU74" s="601">
        <v>107641535.56000009</v>
      </c>
      <c r="BV74" s="600">
        <v>11523</v>
      </c>
      <c r="BW74" s="601">
        <v>100047653.28999996</v>
      </c>
      <c r="BX74" s="600">
        <v>12117</v>
      </c>
      <c r="BY74" s="601">
        <v>94401289.149999991</v>
      </c>
      <c r="BZ74" s="600">
        <v>10143</v>
      </c>
      <c r="CA74" s="601">
        <v>73302706.539999992</v>
      </c>
      <c r="CB74" s="600">
        <f>15327+6</f>
        <v>15333</v>
      </c>
      <c r="CC74" s="601">
        <f>167047233.85+251000</f>
        <v>167298233.84999999</v>
      </c>
      <c r="CD74" s="600">
        <f>43352+6</f>
        <v>43358</v>
      </c>
      <c r="CE74" s="601">
        <f>491848669.809994+251000</f>
        <v>492099669.80999398</v>
      </c>
      <c r="CF74" s="600">
        <f>24246+9</f>
        <v>24255</v>
      </c>
      <c r="CG74" s="601">
        <f>303530007.07+364000</f>
        <v>303894007.06999999</v>
      </c>
      <c r="CH74" s="600">
        <f>18584+686</f>
        <v>19270</v>
      </c>
      <c r="CI74" s="601">
        <f>190563873+18831529.08</f>
        <v>209395402.07999998</v>
      </c>
      <c r="CJ74" s="600">
        <f>29010+659</f>
        <v>29669</v>
      </c>
      <c r="CK74" s="601">
        <f>285547311.99+17889545.39</f>
        <v>303436857.38</v>
      </c>
      <c r="CL74" s="600">
        <f>15865+481</f>
        <v>16346</v>
      </c>
      <c r="CM74" s="601">
        <f>171185018.93+12566103.8</f>
        <v>183751122.73000002</v>
      </c>
      <c r="CN74" s="600">
        <v>17746</v>
      </c>
      <c r="CO74" s="601">
        <v>189040671.0099999</v>
      </c>
      <c r="CQ74" s="573"/>
    </row>
    <row r="75" spans="1:95" x14ac:dyDescent="0.2">
      <c r="A75" s="605" t="s">
        <v>209</v>
      </c>
      <c r="B75" s="600"/>
      <c r="C75" s="601"/>
      <c r="D75" s="600"/>
      <c r="E75" s="601"/>
      <c r="F75" s="600">
        <v>742</v>
      </c>
      <c r="G75" s="601">
        <v>10718946.9</v>
      </c>
      <c r="H75" s="600">
        <v>632</v>
      </c>
      <c r="I75" s="601">
        <v>8833261.1999999993</v>
      </c>
      <c r="J75" s="600">
        <v>712</v>
      </c>
      <c r="K75" s="601">
        <v>9979779.1999999993</v>
      </c>
      <c r="L75" s="600">
        <v>1074</v>
      </c>
      <c r="M75" s="601">
        <v>14708161.199999999</v>
      </c>
      <c r="N75" s="600">
        <v>764</v>
      </c>
      <c r="O75" s="601">
        <v>10936151.9</v>
      </c>
      <c r="P75" s="600">
        <v>729</v>
      </c>
      <c r="Q75" s="601">
        <v>10374799.699999999</v>
      </c>
      <c r="R75" s="600">
        <v>692</v>
      </c>
      <c r="S75" s="601">
        <v>10036471.699999999</v>
      </c>
      <c r="T75" s="600">
        <v>336</v>
      </c>
      <c r="U75" s="601">
        <v>4200202</v>
      </c>
      <c r="V75" s="600">
        <v>1052</v>
      </c>
      <c r="W75" s="601">
        <v>13995233</v>
      </c>
      <c r="X75" s="600">
        <v>879</v>
      </c>
      <c r="Y75" s="601">
        <v>11196813</v>
      </c>
      <c r="Z75" s="600">
        <v>965</v>
      </c>
      <c r="AA75" s="601">
        <v>11724729</v>
      </c>
      <c r="AB75" s="600">
        <v>1142</v>
      </c>
      <c r="AC75" s="601">
        <v>12732508</v>
      </c>
      <c r="AD75" s="600">
        <v>1713</v>
      </c>
      <c r="AE75" s="601">
        <v>20125114.5</v>
      </c>
      <c r="AF75" s="600">
        <v>2051</v>
      </c>
      <c r="AG75" s="601">
        <v>22523294.5</v>
      </c>
      <c r="AH75" s="600">
        <v>1485</v>
      </c>
      <c r="AI75" s="601">
        <v>18316460.5</v>
      </c>
      <c r="AJ75" s="600">
        <v>1194</v>
      </c>
      <c r="AK75" s="601">
        <v>16413667</v>
      </c>
      <c r="AL75" s="600">
        <v>782</v>
      </c>
      <c r="AM75" s="601">
        <v>12877364</v>
      </c>
      <c r="AN75" s="600">
        <v>736</v>
      </c>
      <c r="AO75" s="601">
        <v>11947125.5</v>
      </c>
      <c r="AP75" s="600">
        <v>451</v>
      </c>
      <c r="AQ75" s="601">
        <v>8163305</v>
      </c>
      <c r="AR75" s="600">
        <v>977</v>
      </c>
      <c r="AS75" s="601">
        <v>14387786.599999998</v>
      </c>
      <c r="AT75" s="600">
        <v>1129</v>
      </c>
      <c r="AU75" s="601">
        <v>16989321.199999999</v>
      </c>
      <c r="AV75" s="600">
        <v>985</v>
      </c>
      <c r="AW75" s="601">
        <v>17338081</v>
      </c>
      <c r="AX75" s="600">
        <v>1439</v>
      </c>
      <c r="AY75" s="601">
        <v>24547744</v>
      </c>
      <c r="AZ75" s="600">
        <v>2847</v>
      </c>
      <c r="BA75" s="601">
        <v>50419259</v>
      </c>
      <c r="BB75" s="600">
        <v>3992</v>
      </c>
      <c r="BC75" s="601">
        <v>69406567</v>
      </c>
      <c r="BD75" s="600">
        <v>5185</v>
      </c>
      <c r="BE75" s="601">
        <v>93991269.289999992</v>
      </c>
      <c r="BF75" s="600">
        <v>5618</v>
      </c>
      <c r="BG75" s="601">
        <v>99024533.49000001</v>
      </c>
      <c r="BH75" s="600">
        <v>5166</v>
      </c>
      <c r="BI75" s="601">
        <v>91481793.49000001</v>
      </c>
      <c r="BJ75" s="600">
        <v>4132</v>
      </c>
      <c r="BK75" s="601">
        <v>69514231.390000001</v>
      </c>
      <c r="BL75" s="600">
        <v>3998</v>
      </c>
      <c r="BM75" s="601">
        <v>56472408.489999995</v>
      </c>
      <c r="BN75" s="600">
        <v>5050</v>
      </c>
      <c r="BO75" s="601">
        <v>73205592.060000002</v>
      </c>
      <c r="BP75" s="600">
        <v>6112</v>
      </c>
      <c r="BQ75" s="601">
        <v>83515857.629999995</v>
      </c>
      <c r="BR75" s="600">
        <v>8325</v>
      </c>
      <c r="BS75" s="601">
        <v>108696314.98349001</v>
      </c>
      <c r="BT75" s="600">
        <v>6135</v>
      </c>
      <c r="BU75" s="601">
        <v>75689080</v>
      </c>
      <c r="BV75" s="600">
        <f>3796+614</f>
        <v>4410</v>
      </c>
      <c r="BW75" s="601">
        <v>48460744.428474575</v>
      </c>
      <c r="BX75" s="600">
        <v>5072</v>
      </c>
      <c r="BY75" s="601">
        <v>60525252.740000449</v>
      </c>
      <c r="BZ75" s="600">
        <v>1920</v>
      </c>
      <c r="CA75" s="601">
        <v>23416034.800000023</v>
      </c>
      <c r="CB75" s="600">
        <f>1484+2766</f>
        <v>4250</v>
      </c>
      <c r="CC75" s="601">
        <f>18706171.92+39315920</f>
        <v>58022091.920000002</v>
      </c>
      <c r="CD75" s="600">
        <f>2097+1225</f>
        <v>3322</v>
      </c>
      <c r="CE75" s="601">
        <f>19303830.02+15966126</f>
        <v>35269956.019999996</v>
      </c>
      <c r="CF75" s="600">
        <f>6681+3373</f>
        <v>10054</v>
      </c>
      <c r="CG75" s="601">
        <f>81752862.45+46051015</f>
        <v>127803877.45</v>
      </c>
      <c r="CH75" s="600">
        <f>7694+1223</f>
        <v>8917</v>
      </c>
      <c r="CI75" s="601">
        <f>100020419.26+8394630</f>
        <v>108415049.26000001</v>
      </c>
      <c r="CJ75" s="600">
        <f>6235+2441</f>
        <v>8676</v>
      </c>
      <c r="CK75" s="601">
        <f>93564703.54+32356993</f>
        <v>125921696.54000001</v>
      </c>
      <c r="CL75" s="600">
        <f>4259+6010</f>
        <v>10269</v>
      </c>
      <c r="CM75" s="601">
        <f>67383105.7+81727553</f>
        <v>149110658.69999999</v>
      </c>
      <c r="CN75" s="600">
        <f>9122+4100</f>
        <v>13222</v>
      </c>
      <c r="CO75" s="601">
        <f>163116636.679998+49298998</f>
        <v>212415634.67999801</v>
      </c>
      <c r="CQ75" s="573"/>
    </row>
    <row r="76" spans="1:95" x14ac:dyDescent="0.2">
      <c r="A76" s="605" t="s">
        <v>556</v>
      </c>
      <c r="B76" s="600"/>
      <c r="C76" s="601"/>
      <c r="D76" s="600"/>
      <c r="E76" s="601"/>
      <c r="F76" s="600">
        <v>329</v>
      </c>
      <c r="G76" s="601">
        <v>2482552</v>
      </c>
      <c r="H76" s="600">
        <v>455</v>
      </c>
      <c r="I76" s="601">
        <v>3008310</v>
      </c>
      <c r="J76" s="600">
        <v>635</v>
      </c>
      <c r="K76" s="601">
        <v>4420676</v>
      </c>
      <c r="L76" s="600">
        <v>877</v>
      </c>
      <c r="M76" s="601">
        <v>6244013</v>
      </c>
      <c r="N76" s="600">
        <v>1023</v>
      </c>
      <c r="O76" s="601">
        <v>7475827</v>
      </c>
      <c r="P76" s="600">
        <v>1042</v>
      </c>
      <c r="Q76" s="601">
        <v>7731069</v>
      </c>
      <c r="R76" s="600">
        <v>1071</v>
      </c>
      <c r="S76" s="601">
        <v>7839268</v>
      </c>
      <c r="T76" s="600">
        <v>939</v>
      </c>
      <c r="U76" s="601">
        <v>6692154</v>
      </c>
      <c r="V76" s="600">
        <v>850</v>
      </c>
      <c r="W76" s="601">
        <v>6050393</v>
      </c>
      <c r="X76" s="600">
        <v>431</v>
      </c>
      <c r="Y76" s="601">
        <v>3207206</v>
      </c>
      <c r="Z76" s="600">
        <v>247</v>
      </c>
      <c r="AA76" s="601">
        <v>1969307</v>
      </c>
      <c r="AB76" s="600">
        <v>254</v>
      </c>
      <c r="AC76" s="601">
        <v>2282908</v>
      </c>
      <c r="AD76" s="600">
        <v>336</v>
      </c>
      <c r="AE76" s="601">
        <v>2980298</v>
      </c>
      <c r="AF76" s="600">
        <v>562</v>
      </c>
      <c r="AG76" s="601">
        <v>4444042</v>
      </c>
      <c r="AH76" s="600">
        <v>686</v>
      </c>
      <c r="AI76" s="601">
        <v>5773074</v>
      </c>
      <c r="AJ76" s="600">
        <v>791</v>
      </c>
      <c r="AK76" s="601">
        <v>6439988</v>
      </c>
      <c r="AL76" s="600">
        <v>1299</v>
      </c>
      <c r="AM76" s="601">
        <v>7995058</v>
      </c>
      <c r="AN76" s="600">
        <v>510</v>
      </c>
      <c r="AO76" s="601">
        <v>3378464</v>
      </c>
      <c r="AP76" s="600">
        <v>320</v>
      </c>
      <c r="AQ76" s="601">
        <v>2262076</v>
      </c>
      <c r="AR76" s="600">
        <v>222</v>
      </c>
      <c r="AS76" s="601">
        <v>2153145</v>
      </c>
      <c r="AT76" s="600">
        <v>265</v>
      </c>
      <c r="AU76" s="601">
        <v>2546918</v>
      </c>
      <c r="AV76" s="600">
        <v>365</v>
      </c>
      <c r="AW76" s="601">
        <v>3089479</v>
      </c>
      <c r="AX76" s="600">
        <v>509</v>
      </c>
      <c r="AY76" s="601">
        <v>4863583</v>
      </c>
      <c r="AZ76" s="600">
        <v>439</v>
      </c>
      <c r="BA76" s="601">
        <v>4036796</v>
      </c>
      <c r="BB76" s="600">
        <v>502</v>
      </c>
      <c r="BC76" s="601">
        <v>4536440</v>
      </c>
      <c r="BD76" s="600">
        <v>424</v>
      </c>
      <c r="BE76" s="601">
        <v>3682264</v>
      </c>
      <c r="BF76" s="600">
        <v>579</v>
      </c>
      <c r="BG76" s="601">
        <v>4780878</v>
      </c>
      <c r="BH76" s="600">
        <v>554</v>
      </c>
      <c r="BI76" s="601">
        <v>4192762</v>
      </c>
      <c r="BJ76" s="600">
        <v>516</v>
      </c>
      <c r="BK76" s="601">
        <v>3765762</v>
      </c>
      <c r="BL76" s="600">
        <v>362</v>
      </c>
      <c r="BM76" s="601">
        <v>2754113</v>
      </c>
      <c r="BN76" s="600">
        <v>566</v>
      </c>
      <c r="BO76" s="601">
        <v>5242196</v>
      </c>
      <c r="BP76" s="600">
        <v>565</v>
      </c>
      <c r="BQ76" s="601">
        <v>4742301</v>
      </c>
      <c r="BR76" s="600">
        <v>762</v>
      </c>
      <c r="BS76" s="601">
        <v>5960911</v>
      </c>
      <c r="BT76" s="600">
        <v>992</v>
      </c>
      <c r="BU76" s="601">
        <v>8139592</v>
      </c>
      <c r="BV76" s="600">
        <v>1146</v>
      </c>
      <c r="BW76" s="601">
        <v>9326910</v>
      </c>
      <c r="BX76" s="600">
        <v>929</v>
      </c>
      <c r="BY76" s="601">
        <v>7071632</v>
      </c>
      <c r="BZ76" s="600">
        <v>426</v>
      </c>
      <c r="CA76" s="601">
        <v>3326102</v>
      </c>
      <c r="CB76" s="600">
        <v>492</v>
      </c>
      <c r="CC76" s="601">
        <v>4394061</v>
      </c>
      <c r="CD76" s="600">
        <v>765</v>
      </c>
      <c r="CE76" s="601">
        <v>6746809</v>
      </c>
      <c r="CF76" s="600">
        <v>1558</v>
      </c>
      <c r="CG76" s="601">
        <v>12533152</v>
      </c>
      <c r="CH76" s="600">
        <v>1342</v>
      </c>
      <c r="CI76" s="601">
        <v>12838259</v>
      </c>
      <c r="CJ76" s="600">
        <v>1623</v>
      </c>
      <c r="CK76" s="601">
        <v>13130803</v>
      </c>
      <c r="CL76" s="600">
        <v>1214</v>
      </c>
      <c r="CM76" s="601">
        <v>10116855</v>
      </c>
      <c r="CN76" s="600">
        <v>1260</v>
      </c>
      <c r="CO76" s="601">
        <v>10831501</v>
      </c>
      <c r="CQ76" s="573"/>
    </row>
    <row r="77" spans="1:95" x14ac:dyDescent="0.2">
      <c r="A77" s="605" t="s">
        <v>557</v>
      </c>
      <c r="B77" s="600"/>
      <c r="C77" s="601"/>
      <c r="D77" s="600"/>
      <c r="E77" s="601"/>
      <c r="F77" s="600">
        <v>79</v>
      </c>
      <c r="G77" s="601">
        <v>365369</v>
      </c>
      <c r="H77" s="600">
        <v>115</v>
      </c>
      <c r="I77" s="601">
        <v>559381</v>
      </c>
      <c r="J77" s="600">
        <v>117</v>
      </c>
      <c r="K77" s="601">
        <v>603902</v>
      </c>
      <c r="L77" s="600">
        <v>131</v>
      </c>
      <c r="M77" s="601">
        <v>719107</v>
      </c>
      <c r="N77" s="600">
        <v>80</v>
      </c>
      <c r="O77" s="601">
        <v>458717</v>
      </c>
      <c r="P77" s="600">
        <v>61</v>
      </c>
      <c r="Q77" s="601">
        <v>319233</v>
      </c>
      <c r="R77" s="600">
        <v>70</v>
      </c>
      <c r="S77" s="601">
        <v>359579</v>
      </c>
      <c r="T77" s="600">
        <v>19</v>
      </c>
      <c r="U77" s="601">
        <v>81467</v>
      </c>
      <c r="V77" s="600">
        <v>9</v>
      </c>
      <c r="W77" s="601">
        <v>106501</v>
      </c>
      <c r="X77" s="600">
        <v>3</v>
      </c>
      <c r="Y77" s="601">
        <v>42622</v>
      </c>
      <c r="Z77" s="600">
        <v>55</v>
      </c>
      <c r="AA77" s="601">
        <v>359949</v>
      </c>
      <c r="AB77" s="600">
        <v>64</v>
      </c>
      <c r="AC77" s="601">
        <v>406834</v>
      </c>
      <c r="AD77" s="600">
        <v>85</v>
      </c>
      <c r="AE77" s="601">
        <v>492714</v>
      </c>
      <c r="AF77" s="600">
        <v>53</v>
      </c>
      <c r="AG77" s="601">
        <v>289988</v>
      </c>
      <c r="AH77" s="600">
        <v>22</v>
      </c>
      <c r="AI77" s="601">
        <v>124314</v>
      </c>
      <c r="AJ77" s="600">
        <v>29</v>
      </c>
      <c r="AK77" s="601">
        <v>137309</v>
      </c>
      <c r="AL77" s="600">
        <v>18</v>
      </c>
      <c r="AM77" s="601">
        <v>110606</v>
      </c>
      <c r="AN77" s="600">
        <v>21</v>
      </c>
      <c r="AO77" s="601">
        <v>119759</v>
      </c>
      <c r="AP77" s="600">
        <v>23</v>
      </c>
      <c r="AQ77" s="601">
        <v>195373</v>
      </c>
      <c r="AR77" s="600">
        <v>16</v>
      </c>
      <c r="AS77" s="601">
        <v>127034</v>
      </c>
      <c r="AT77" s="600">
        <v>9</v>
      </c>
      <c r="AU77" s="601">
        <v>76901</v>
      </c>
      <c r="AV77" s="600">
        <v>33</v>
      </c>
      <c r="AW77" s="601">
        <v>424921</v>
      </c>
      <c r="AX77" s="600">
        <v>41</v>
      </c>
      <c r="AY77" s="601">
        <v>433406</v>
      </c>
      <c r="AZ77" s="600">
        <v>81</v>
      </c>
      <c r="BA77" s="601">
        <v>1593333</v>
      </c>
      <c r="BB77" s="600">
        <v>78</v>
      </c>
      <c r="BC77" s="601">
        <v>1594599</v>
      </c>
      <c r="BD77" s="600">
        <v>93</v>
      </c>
      <c r="BE77" s="601">
        <v>762867</v>
      </c>
      <c r="BF77" s="600">
        <v>128</v>
      </c>
      <c r="BG77" s="601">
        <v>985361</v>
      </c>
      <c r="BH77" s="600">
        <v>230</v>
      </c>
      <c r="BI77" s="601">
        <v>1523975</v>
      </c>
      <c r="BJ77" s="600">
        <v>320</v>
      </c>
      <c r="BK77" s="601">
        <v>1668154</v>
      </c>
      <c r="BL77" s="600">
        <v>510</v>
      </c>
      <c r="BM77" s="601">
        <v>3451008</v>
      </c>
      <c r="BN77" s="600">
        <v>770</v>
      </c>
      <c r="BO77" s="601">
        <v>5950619</v>
      </c>
      <c r="BP77" s="600">
        <v>818</v>
      </c>
      <c r="BQ77" s="601">
        <v>4958452</v>
      </c>
      <c r="BR77" s="600">
        <v>1139</v>
      </c>
      <c r="BS77" s="601">
        <v>7442107</v>
      </c>
      <c r="BT77" s="600">
        <v>1379</v>
      </c>
      <c r="BU77" s="601">
        <v>17390927</v>
      </c>
      <c r="BV77" s="600">
        <v>1253</v>
      </c>
      <c r="BW77" s="601">
        <v>10265478.780000022</v>
      </c>
      <c r="BX77" s="600">
        <v>1340</v>
      </c>
      <c r="BY77" s="601">
        <v>10358128.869999999</v>
      </c>
      <c r="BZ77" s="600">
        <v>564</v>
      </c>
      <c r="CA77" s="601">
        <v>4328846</v>
      </c>
      <c r="CB77" s="600">
        <v>489</v>
      </c>
      <c r="CC77" s="601">
        <v>4034590.9</v>
      </c>
      <c r="CD77" s="600">
        <v>632</v>
      </c>
      <c r="CE77" s="601">
        <v>5272991</v>
      </c>
      <c r="CF77" s="600">
        <v>1776</v>
      </c>
      <c r="CG77" s="601">
        <v>12950543.920000002</v>
      </c>
      <c r="CH77" s="600">
        <v>1069</v>
      </c>
      <c r="CI77" s="601">
        <v>8496757.9499999993</v>
      </c>
      <c r="CJ77" s="600">
        <v>940</v>
      </c>
      <c r="CK77" s="601">
        <v>7699421.9500000011</v>
      </c>
      <c r="CL77" s="600">
        <v>721</v>
      </c>
      <c r="CM77" s="601">
        <v>6573939.9500000011</v>
      </c>
      <c r="CN77" s="600">
        <v>825</v>
      </c>
      <c r="CO77" s="601">
        <v>6679190</v>
      </c>
      <c r="CQ77" s="573"/>
    </row>
    <row r="78" spans="1:95" x14ac:dyDescent="0.2">
      <c r="A78" s="605" t="s">
        <v>558</v>
      </c>
      <c r="B78" s="600"/>
      <c r="C78" s="601"/>
      <c r="D78" s="600"/>
      <c r="E78" s="601"/>
      <c r="F78" s="600"/>
      <c r="G78" s="601"/>
      <c r="H78" s="600"/>
      <c r="I78" s="601"/>
      <c r="J78" s="600"/>
      <c r="K78" s="601"/>
      <c r="L78" s="600">
        <v>18</v>
      </c>
      <c r="M78" s="601">
        <v>57110</v>
      </c>
      <c r="N78" s="600">
        <v>18</v>
      </c>
      <c r="O78" s="601">
        <v>57110</v>
      </c>
      <c r="P78" s="600">
        <v>18</v>
      </c>
      <c r="Q78" s="601">
        <v>57110</v>
      </c>
      <c r="R78" s="600">
        <v>18</v>
      </c>
      <c r="S78" s="601">
        <v>57110</v>
      </c>
      <c r="T78" s="600">
        <v>17</v>
      </c>
      <c r="U78" s="601">
        <v>53210</v>
      </c>
      <c r="V78" s="600">
        <v>0</v>
      </c>
      <c r="W78" s="601">
        <v>0</v>
      </c>
      <c r="X78" s="600">
        <v>0</v>
      </c>
      <c r="Y78" s="601">
        <v>0</v>
      </c>
      <c r="Z78" s="600">
        <v>0</v>
      </c>
      <c r="AA78" s="601">
        <v>0</v>
      </c>
      <c r="AB78" s="600">
        <v>1</v>
      </c>
      <c r="AC78" s="601">
        <v>3150</v>
      </c>
      <c r="AD78" s="600">
        <v>0</v>
      </c>
      <c r="AE78" s="601">
        <v>0</v>
      </c>
      <c r="AF78" s="600">
        <v>0</v>
      </c>
      <c r="AG78" s="601">
        <v>0</v>
      </c>
      <c r="AH78" s="600">
        <v>0</v>
      </c>
      <c r="AI78" s="601">
        <v>0</v>
      </c>
      <c r="AJ78" s="600">
        <v>0</v>
      </c>
      <c r="AK78" s="601">
        <v>0</v>
      </c>
      <c r="AL78" s="600">
        <v>0</v>
      </c>
      <c r="AM78" s="601">
        <v>0</v>
      </c>
      <c r="AN78" s="600">
        <v>0</v>
      </c>
      <c r="AO78" s="601">
        <v>0</v>
      </c>
      <c r="AP78" s="600">
        <v>0</v>
      </c>
      <c r="AQ78" s="601">
        <v>0</v>
      </c>
      <c r="AR78" s="600">
        <v>0</v>
      </c>
      <c r="AS78" s="601">
        <v>0</v>
      </c>
      <c r="AT78" s="600">
        <v>0</v>
      </c>
      <c r="AU78" s="601">
        <v>0</v>
      </c>
      <c r="AV78" s="600">
        <v>0</v>
      </c>
      <c r="AW78" s="601">
        <v>0</v>
      </c>
      <c r="AX78" s="600">
        <v>0</v>
      </c>
      <c r="AY78" s="601">
        <v>0</v>
      </c>
      <c r="AZ78" s="600">
        <v>0</v>
      </c>
      <c r="BA78" s="601">
        <v>0</v>
      </c>
      <c r="BB78" s="600">
        <v>0</v>
      </c>
      <c r="BC78" s="601">
        <v>0</v>
      </c>
      <c r="BD78" s="600">
        <v>0</v>
      </c>
      <c r="BE78" s="601">
        <v>0</v>
      </c>
      <c r="BF78" s="600">
        <v>0</v>
      </c>
      <c r="BG78" s="601">
        <v>0</v>
      </c>
      <c r="BH78" s="600">
        <v>0</v>
      </c>
      <c r="BI78" s="601">
        <v>0</v>
      </c>
      <c r="BJ78" s="600">
        <v>0</v>
      </c>
      <c r="BK78" s="601">
        <v>0</v>
      </c>
      <c r="BL78" s="600">
        <v>0</v>
      </c>
      <c r="BM78" s="601">
        <v>0</v>
      </c>
      <c r="BN78" s="600">
        <v>0</v>
      </c>
      <c r="BO78" s="601">
        <v>0</v>
      </c>
      <c r="BP78" s="600">
        <v>0</v>
      </c>
      <c r="BQ78" s="601">
        <v>0</v>
      </c>
      <c r="BR78" s="600">
        <v>0</v>
      </c>
      <c r="BS78" s="601">
        <v>0</v>
      </c>
      <c r="BT78" s="600">
        <v>0</v>
      </c>
      <c r="BU78" s="601">
        <v>0</v>
      </c>
      <c r="BV78" s="600">
        <v>0</v>
      </c>
      <c r="BW78" s="601">
        <v>0</v>
      </c>
      <c r="BX78" s="600">
        <v>0</v>
      </c>
      <c r="BY78" s="601">
        <v>0</v>
      </c>
      <c r="BZ78" s="600">
        <v>0</v>
      </c>
      <c r="CA78" s="601">
        <v>0</v>
      </c>
      <c r="CB78" s="600">
        <v>0</v>
      </c>
      <c r="CC78" s="601">
        <v>0</v>
      </c>
      <c r="CD78" s="600">
        <v>0</v>
      </c>
      <c r="CE78" s="601">
        <v>0</v>
      </c>
      <c r="CF78" s="600">
        <v>0</v>
      </c>
      <c r="CG78" s="601">
        <v>0</v>
      </c>
      <c r="CH78" s="600">
        <v>0</v>
      </c>
      <c r="CI78" s="601">
        <v>0</v>
      </c>
      <c r="CJ78" s="600">
        <v>0</v>
      </c>
      <c r="CK78" s="601">
        <v>0</v>
      </c>
      <c r="CL78" s="600">
        <v>0</v>
      </c>
      <c r="CM78" s="601">
        <v>0</v>
      </c>
      <c r="CN78" s="600">
        <v>0</v>
      </c>
      <c r="CO78" s="601">
        <v>0</v>
      </c>
    </row>
    <row r="79" spans="1:95" x14ac:dyDescent="0.2">
      <c r="A79" s="605" t="s">
        <v>559</v>
      </c>
      <c r="B79" s="600"/>
      <c r="C79" s="601"/>
      <c r="D79" s="600"/>
      <c r="E79" s="601"/>
      <c r="F79" s="600"/>
      <c r="G79" s="601"/>
      <c r="H79" s="600"/>
      <c r="I79" s="601"/>
      <c r="J79" s="600"/>
      <c r="K79" s="601"/>
      <c r="L79" s="600"/>
      <c r="M79" s="601"/>
      <c r="N79" s="600"/>
      <c r="O79" s="601"/>
      <c r="P79" s="600"/>
      <c r="Q79" s="601"/>
      <c r="R79" s="600"/>
      <c r="S79" s="601"/>
      <c r="T79" s="600"/>
      <c r="U79" s="601"/>
      <c r="V79" s="600"/>
      <c r="W79" s="601"/>
      <c r="X79" s="600"/>
      <c r="Y79" s="601"/>
      <c r="Z79" s="600"/>
      <c r="AA79" s="601"/>
      <c r="AB79" s="600"/>
      <c r="AC79" s="601"/>
      <c r="AD79" s="600"/>
      <c r="AE79" s="601"/>
      <c r="AF79" s="600"/>
      <c r="AG79" s="601"/>
      <c r="AH79" s="600"/>
      <c r="AI79" s="601"/>
      <c r="AJ79" s="600"/>
      <c r="AK79" s="601"/>
      <c r="AL79" s="600"/>
      <c r="AM79" s="601"/>
      <c r="AN79" s="600"/>
      <c r="AO79" s="601"/>
      <c r="AP79" s="600"/>
      <c r="AQ79" s="601"/>
      <c r="AR79" s="600"/>
      <c r="AS79" s="601"/>
      <c r="AT79" s="600"/>
      <c r="AU79" s="601"/>
      <c r="AV79" s="600"/>
      <c r="AW79" s="601"/>
      <c r="AX79" s="600"/>
      <c r="AY79" s="601"/>
      <c r="AZ79" s="600"/>
      <c r="BA79" s="601"/>
      <c r="BB79" s="600"/>
      <c r="BC79" s="601"/>
      <c r="BD79" s="600"/>
      <c r="BE79" s="601"/>
      <c r="BF79" s="600"/>
      <c r="BG79" s="601"/>
      <c r="BH79" s="600"/>
      <c r="BI79" s="601"/>
      <c r="BJ79" s="600"/>
      <c r="BK79" s="601"/>
      <c r="BL79" s="600"/>
      <c r="BM79" s="601"/>
      <c r="BN79" s="600"/>
      <c r="BO79" s="601"/>
      <c r="BP79" s="600"/>
      <c r="BQ79" s="601"/>
      <c r="BR79" s="600"/>
      <c r="BS79" s="601"/>
      <c r="BT79" s="600"/>
      <c r="BU79" s="601"/>
      <c r="BV79" s="600"/>
      <c r="BW79" s="601"/>
      <c r="BX79" s="600"/>
      <c r="BY79" s="601"/>
      <c r="BZ79" s="600"/>
      <c r="CA79" s="601"/>
      <c r="CB79" s="600"/>
      <c r="CC79" s="601"/>
      <c r="CD79" s="600"/>
      <c r="CE79" s="601"/>
      <c r="CF79" s="600">
        <v>32</v>
      </c>
      <c r="CG79" s="601">
        <v>474489</v>
      </c>
      <c r="CH79" s="600">
        <v>24</v>
      </c>
      <c r="CI79" s="601">
        <v>362199</v>
      </c>
      <c r="CJ79" s="600">
        <v>59</v>
      </c>
      <c r="CK79" s="601">
        <v>885579</v>
      </c>
      <c r="CL79" s="600">
        <v>120</v>
      </c>
      <c r="CM79" s="601">
        <v>2006022</v>
      </c>
      <c r="CN79" s="600">
        <v>341</v>
      </c>
      <c r="CO79" s="601">
        <v>4247939</v>
      </c>
      <c r="CQ79" s="573"/>
    </row>
    <row r="80" spans="1:95" x14ac:dyDescent="0.2">
      <c r="A80" s="605" t="s">
        <v>560</v>
      </c>
      <c r="B80" s="600"/>
      <c r="C80" s="601"/>
      <c r="D80" s="600"/>
      <c r="E80" s="601"/>
      <c r="F80" s="600"/>
      <c r="G80" s="601"/>
      <c r="H80" s="600"/>
      <c r="I80" s="601"/>
      <c r="J80" s="600"/>
      <c r="K80" s="601"/>
      <c r="L80" s="600"/>
      <c r="M80" s="601"/>
      <c r="N80" s="600"/>
      <c r="O80" s="601"/>
      <c r="P80" s="600"/>
      <c r="Q80" s="601"/>
      <c r="R80" s="600"/>
      <c r="S80" s="601"/>
      <c r="T80" s="600"/>
      <c r="U80" s="601"/>
      <c r="V80" s="600"/>
      <c r="W80" s="601"/>
      <c r="X80" s="600"/>
      <c r="Y80" s="601"/>
      <c r="Z80" s="600"/>
      <c r="AA80" s="601"/>
      <c r="AB80" s="600"/>
      <c r="AC80" s="601"/>
      <c r="AD80" s="600"/>
      <c r="AE80" s="601"/>
      <c r="AF80" s="600"/>
      <c r="AG80" s="601"/>
      <c r="AH80" s="600"/>
      <c r="AI80" s="601"/>
      <c r="AJ80" s="600"/>
      <c r="AK80" s="601"/>
      <c r="AL80" s="600"/>
      <c r="AM80" s="601"/>
      <c r="AN80" s="600"/>
      <c r="AO80" s="601"/>
      <c r="AP80" s="600"/>
      <c r="AQ80" s="601"/>
      <c r="AR80" s="600"/>
      <c r="AS80" s="601"/>
      <c r="AT80" s="600"/>
      <c r="AU80" s="601"/>
      <c r="AV80" s="600"/>
      <c r="AW80" s="601"/>
      <c r="AX80" s="600"/>
      <c r="AY80" s="601"/>
      <c r="AZ80" s="600"/>
      <c r="BA80" s="601"/>
      <c r="BB80" s="600"/>
      <c r="BC80" s="601"/>
      <c r="BD80" s="600"/>
      <c r="BE80" s="601"/>
      <c r="BF80" s="600"/>
      <c r="BG80" s="601"/>
      <c r="BH80" s="600"/>
      <c r="BI80" s="601"/>
      <c r="BJ80" s="600"/>
      <c r="BK80" s="601"/>
      <c r="BL80" s="600"/>
      <c r="BM80" s="601"/>
      <c r="BN80" s="600"/>
      <c r="BO80" s="601"/>
      <c r="BP80" s="600"/>
      <c r="BQ80" s="601"/>
      <c r="BR80" s="600"/>
      <c r="BS80" s="601"/>
      <c r="BT80" s="600"/>
      <c r="BU80" s="601"/>
      <c r="BV80" s="600"/>
      <c r="BW80" s="601"/>
      <c r="BX80" s="600"/>
      <c r="BY80" s="601"/>
      <c r="BZ80" s="600"/>
      <c r="CA80" s="601"/>
      <c r="CB80" s="600"/>
      <c r="CC80" s="601"/>
      <c r="CD80" s="600"/>
      <c r="CE80" s="601"/>
      <c r="CF80" s="600"/>
      <c r="CG80" s="601"/>
      <c r="CH80" s="600"/>
      <c r="CI80" s="601"/>
      <c r="CJ80" s="600"/>
      <c r="CK80" s="601"/>
      <c r="CL80" s="600"/>
      <c r="CM80" s="601"/>
      <c r="CN80" s="600">
        <v>328</v>
      </c>
      <c r="CO80" s="601">
        <v>4938905</v>
      </c>
      <c r="CQ80" s="573"/>
    </row>
    <row r="81" spans="1:95" x14ac:dyDescent="0.2">
      <c r="A81" s="605" t="s">
        <v>561</v>
      </c>
      <c r="B81" s="600"/>
      <c r="C81" s="601"/>
      <c r="D81" s="600"/>
      <c r="E81" s="601"/>
      <c r="F81" s="600"/>
      <c r="G81" s="601"/>
      <c r="H81" s="600"/>
      <c r="I81" s="601"/>
      <c r="J81" s="600"/>
      <c r="K81" s="601"/>
      <c r="L81" s="600"/>
      <c r="M81" s="601"/>
      <c r="N81" s="600"/>
      <c r="O81" s="601"/>
      <c r="P81" s="600"/>
      <c r="Q81" s="601"/>
      <c r="R81" s="600"/>
      <c r="S81" s="601"/>
      <c r="T81" s="600"/>
      <c r="U81" s="601"/>
      <c r="V81" s="600"/>
      <c r="W81" s="601"/>
      <c r="X81" s="600"/>
      <c r="Y81" s="601"/>
      <c r="Z81" s="600"/>
      <c r="AA81" s="601"/>
      <c r="AB81" s="600"/>
      <c r="AC81" s="601"/>
      <c r="AD81" s="600"/>
      <c r="AE81" s="601"/>
      <c r="AF81" s="600"/>
      <c r="AG81" s="601"/>
      <c r="AH81" s="600"/>
      <c r="AI81" s="601"/>
      <c r="AJ81" s="600"/>
      <c r="AK81" s="601"/>
      <c r="AL81" s="600"/>
      <c r="AM81" s="601"/>
      <c r="AN81" s="600"/>
      <c r="AO81" s="601"/>
      <c r="AP81" s="600"/>
      <c r="AQ81" s="601"/>
      <c r="AR81" s="600"/>
      <c r="AS81" s="601"/>
      <c r="AT81" s="600"/>
      <c r="AU81" s="601"/>
      <c r="AV81" s="600"/>
      <c r="AW81" s="601"/>
      <c r="AX81" s="600"/>
      <c r="AY81" s="601"/>
      <c r="AZ81" s="600"/>
      <c r="BA81" s="601"/>
      <c r="BB81" s="600"/>
      <c r="BC81" s="601"/>
      <c r="BD81" s="600"/>
      <c r="BE81" s="601"/>
      <c r="BF81" s="600"/>
      <c r="BG81" s="601"/>
      <c r="BH81" s="600"/>
      <c r="BI81" s="601"/>
      <c r="BJ81" s="600"/>
      <c r="BK81" s="601"/>
      <c r="BL81" s="600"/>
      <c r="BM81" s="601"/>
      <c r="BN81" s="600"/>
      <c r="BO81" s="601"/>
      <c r="BP81" s="600"/>
      <c r="BQ81" s="601"/>
      <c r="BR81" s="600"/>
      <c r="BS81" s="601"/>
      <c r="BT81" s="600"/>
      <c r="BU81" s="601"/>
      <c r="BV81" s="600"/>
      <c r="BW81" s="601"/>
      <c r="BX81" s="600"/>
      <c r="BY81" s="601"/>
      <c r="BZ81" s="600"/>
      <c r="CA81" s="601"/>
      <c r="CB81" s="600"/>
      <c r="CC81" s="601"/>
      <c r="CD81" s="600"/>
      <c r="CE81" s="601"/>
      <c r="CF81" s="600"/>
      <c r="CG81" s="601"/>
      <c r="CH81" s="600"/>
      <c r="CI81" s="601"/>
      <c r="CJ81" s="600"/>
      <c r="CK81" s="601"/>
      <c r="CL81" s="600"/>
      <c r="CM81" s="601"/>
      <c r="CN81" s="600">
        <v>4</v>
      </c>
      <c r="CO81" s="601">
        <v>38870</v>
      </c>
      <c r="CQ81" s="573"/>
    </row>
    <row r="82" spans="1:95" x14ac:dyDescent="0.2">
      <c r="A82" s="605" t="s">
        <v>558</v>
      </c>
      <c r="B82" s="600"/>
      <c r="C82" s="601"/>
      <c r="D82" s="600"/>
      <c r="E82" s="601"/>
      <c r="F82" s="600"/>
      <c r="G82" s="601"/>
      <c r="H82" s="600"/>
      <c r="I82" s="601"/>
      <c r="J82" s="600"/>
      <c r="K82" s="601"/>
      <c r="L82" s="600"/>
      <c r="M82" s="601"/>
      <c r="N82" s="600"/>
      <c r="O82" s="601"/>
      <c r="P82" s="600"/>
      <c r="Q82" s="601"/>
      <c r="R82" s="600"/>
      <c r="S82" s="601"/>
      <c r="T82" s="600"/>
      <c r="U82" s="601"/>
      <c r="V82" s="600"/>
      <c r="W82" s="601"/>
      <c r="X82" s="600"/>
      <c r="Y82" s="601"/>
      <c r="Z82" s="600"/>
      <c r="AA82" s="601"/>
      <c r="AB82" s="600"/>
      <c r="AC82" s="601"/>
      <c r="AD82" s="600"/>
      <c r="AE82" s="601"/>
      <c r="AF82" s="600"/>
      <c r="AG82" s="601"/>
      <c r="AH82" s="600"/>
      <c r="AI82" s="601"/>
      <c r="AJ82" s="600"/>
      <c r="AK82" s="601"/>
      <c r="AL82" s="600"/>
      <c r="AM82" s="601"/>
      <c r="AN82" s="600"/>
      <c r="AO82" s="601"/>
      <c r="AP82" s="600"/>
      <c r="AQ82" s="601"/>
      <c r="AR82" s="600"/>
      <c r="AS82" s="601"/>
      <c r="AT82" s="600"/>
      <c r="AU82" s="601"/>
      <c r="AV82" s="600"/>
      <c r="AW82" s="601"/>
      <c r="AX82" s="600"/>
      <c r="AY82" s="601"/>
      <c r="AZ82" s="600"/>
      <c r="BA82" s="601"/>
      <c r="BB82" s="600"/>
      <c r="BC82" s="601"/>
      <c r="BD82" s="600"/>
      <c r="BE82" s="601"/>
      <c r="BF82" s="600"/>
      <c r="BG82" s="601"/>
      <c r="BH82" s="600"/>
      <c r="BI82" s="601"/>
      <c r="BJ82" s="600"/>
      <c r="BK82" s="601"/>
      <c r="BL82" s="600"/>
      <c r="BM82" s="601"/>
      <c r="BN82" s="600"/>
      <c r="BO82" s="601"/>
      <c r="BP82" s="600"/>
      <c r="BQ82" s="601"/>
      <c r="BR82" s="600"/>
      <c r="BS82" s="601"/>
      <c r="BT82" s="600"/>
      <c r="BU82" s="601"/>
      <c r="BV82" s="600"/>
      <c r="BW82" s="601"/>
      <c r="BX82" s="600"/>
      <c r="BY82" s="601"/>
      <c r="BZ82" s="600"/>
      <c r="CA82" s="601"/>
      <c r="CB82" s="600"/>
      <c r="CC82" s="601"/>
      <c r="CD82" s="600"/>
      <c r="CE82" s="601"/>
      <c r="CF82" s="600"/>
      <c r="CG82" s="601"/>
      <c r="CH82" s="600"/>
      <c r="CI82" s="601"/>
      <c r="CJ82" s="600"/>
      <c r="CK82" s="601"/>
      <c r="CL82" s="600"/>
      <c r="CM82" s="601"/>
      <c r="CN82" s="600">
        <v>1</v>
      </c>
      <c r="CO82" s="601">
        <v>5850</v>
      </c>
      <c r="CQ82" s="573"/>
    </row>
    <row r="83" spans="1:95" x14ac:dyDescent="0.2">
      <c r="A83" s="605" t="s">
        <v>562</v>
      </c>
      <c r="B83" s="600"/>
      <c r="C83" s="601"/>
      <c r="D83" s="600"/>
      <c r="E83" s="601"/>
      <c r="F83" s="600"/>
      <c r="G83" s="601"/>
      <c r="H83" s="600"/>
      <c r="I83" s="601"/>
      <c r="J83" s="600"/>
      <c r="K83" s="601"/>
      <c r="L83" s="600"/>
      <c r="M83" s="601"/>
      <c r="N83" s="600"/>
      <c r="O83" s="601"/>
      <c r="P83" s="600"/>
      <c r="Q83" s="601"/>
      <c r="R83" s="600"/>
      <c r="S83" s="601"/>
      <c r="T83" s="600"/>
      <c r="U83" s="601"/>
      <c r="V83" s="600"/>
      <c r="W83" s="601"/>
      <c r="X83" s="600"/>
      <c r="Y83" s="601"/>
      <c r="Z83" s="600"/>
      <c r="AA83" s="601"/>
      <c r="AB83" s="600"/>
      <c r="AC83" s="601"/>
      <c r="AD83" s="600"/>
      <c r="AE83" s="601"/>
      <c r="AF83" s="600"/>
      <c r="AG83" s="601"/>
      <c r="AH83" s="600"/>
      <c r="AI83" s="601"/>
      <c r="AJ83" s="600"/>
      <c r="AK83" s="601"/>
      <c r="AL83" s="600"/>
      <c r="AM83" s="601"/>
      <c r="AN83" s="600"/>
      <c r="AO83" s="601"/>
      <c r="AP83" s="600"/>
      <c r="AQ83" s="601"/>
      <c r="AR83" s="600"/>
      <c r="AS83" s="601"/>
      <c r="AT83" s="600"/>
      <c r="AU83" s="601"/>
      <c r="AV83" s="600"/>
      <c r="AW83" s="601"/>
      <c r="AX83" s="600"/>
      <c r="AY83" s="601"/>
      <c r="AZ83" s="600"/>
      <c r="BA83" s="601"/>
      <c r="BB83" s="600">
        <v>669</v>
      </c>
      <c r="BC83" s="601">
        <v>9844646</v>
      </c>
      <c r="BD83" s="600">
        <v>2432</v>
      </c>
      <c r="BE83" s="601">
        <v>24679076.960000053</v>
      </c>
      <c r="BF83" s="600">
        <v>2236</v>
      </c>
      <c r="BG83" s="601">
        <v>16489482.179999994</v>
      </c>
      <c r="BH83" s="600">
        <v>5819</v>
      </c>
      <c r="BI83" s="601">
        <v>31143396.830000121</v>
      </c>
      <c r="BJ83" s="600">
        <v>4662</v>
      </c>
      <c r="BK83" s="601">
        <v>22464632.340000283</v>
      </c>
      <c r="BL83" s="600">
        <v>2835</v>
      </c>
      <c r="BM83" s="601">
        <v>14640667.190000003</v>
      </c>
      <c r="BN83" s="600">
        <v>7314</v>
      </c>
      <c r="BO83" s="601">
        <v>41866604.799999982</v>
      </c>
      <c r="BP83" s="600">
        <v>1010</v>
      </c>
      <c r="BQ83" s="601">
        <v>6815532.0799999963</v>
      </c>
      <c r="BR83" s="600">
        <v>3950</v>
      </c>
      <c r="BS83" s="601">
        <v>24351231</v>
      </c>
      <c r="BT83" s="600">
        <v>1709</v>
      </c>
      <c r="BU83" s="601">
        <v>9935957.209999999</v>
      </c>
      <c r="BV83" s="600">
        <v>107</v>
      </c>
      <c r="BW83" s="601">
        <v>971850</v>
      </c>
      <c r="BX83" s="600">
        <v>143</v>
      </c>
      <c r="BY83" s="601">
        <v>978523</v>
      </c>
      <c r="BZ83" s="600">
        <v>22</v>
      </c>
      <c r="CA83" s="601">
        <v>140169</v>
      </c>
      <c r="CB83" s="600">
        <v>18</v>
      </c>
      <c r="CC83" s="601">
        <v>124191</v>
      </c>
      <c r="CD83" s="600">
        <v>12</v>
      </c>
      <c r="CE83" s="601">
        <v>93225</v>
      </c>
      <c r="CF83" s="600">
        <v>6</v>
      </c>
      <c r="CG83" s="601">
        <v>63374</v>
      </c>
      <c r="CH83" s="600">
        <v>0</v>
      </c>
      <c r="CI83" s="601">
        <v>0</v>
      </c>
      <c r="CJ83" s="600">
        <v>0</v>
      </c>
      <c r="CK83" s="601">
        <v>0</v>
      </c>
      <c r="CL83" s="600">
        <v>0</v>
      </c>
      <c r="CM83" s="601">
        <v>0</v>
      </c>
      <c r="CN83" s="600">
        <v>0</v>
      </c>
      <c r="CO83" s="601">
        <v>0</v>
      </c>
      <c r="CQ83" s="573"/>
    </row>
    <row r="84" spans="1:95" x14ac:dyDescent="0.2">
      <c r="A84" s="605" t="s">
        <v>563</v>
      </c>
      <c r="B84" s="600"/>
      <c r="C84" s="601"/>
      <c r="D84" s="600"/>
      <c r="E84" s="601"/>
      <c r="F84" s="600"/>
      <c r="G84" s="601"/>
      <c r="H84" s="600"/>
      <c r="I84" s="601"/>
      <c r="J84" s="600"/>
      <c r="K84" s="601"/>
      <c r="L84" s="600"/>
      <c r="M84" s="601"/>
      <c r="N84" s="600"/>
      <c r="O84" s="601"/>
      <c r="P84" s="600"/>
      <c r="Q84" s="601"/>
      <c r="R84" s="600"/>
      <c r="S84" s="601"/>
      <c r="T84" s="600">
        <v>1114</v>
      </c>
      <c r="U84" s="601">
        <v>12642829.390000001</v>
      </c>
      <c r="V84" s="600">
        <v>985</v>
      </c>
      <c r="W84" s="601">
        <v>10796564.940000001</v>
      </c>
      <c r="X84" s="600">
        <v>1108</v>
      </c>
      <c r="Y84" s="601">
        <v>12227585.449999999</v>
      </c>
      <c r="Z84" s="600">
        <v>1144</v>
      </c>
      <c r="AA84" s="601">
        <v>12694594.700000001</v>
      </c>
      <c r="AB84" s="600">
        <v>1192</v>
      </c>
      <c r="AC84" s="601">
        <v>12980076.66</v>
      </c>
      <c r="AD84" s="600">
        <v>1208</v>
      </c>
      <c r="AE84" s="601">
        <v>12919071.460000001</v>
      </c>
      <c r="AF84" s="600">
        <v>1295</v>
      </c>
      <c r="AG84" s="601">
        <v>13765589.299999999</v>
      </c>
      <c r="AH84" s="600">
        <v>1399</v>
      </c>
      <c r="AI84" s="601">
        <v>14676198.549999999</v>
      </c>
      <c r="AJ84" s="600">
        <v>1411</v>
      </c>
      <c r="AK84" s="601">
        <v>14872583.549999999</v>
      </c>
      <c r="AL84" s="600">
        <v>1442</v>
      </c>
      <c r="AM84" s="601">
        <v>15401167.050000001</v>
      </c>
      <c r="AN84" s="600">
        <v>1397</v>
      </c>
      <c r="AO84" s="601">
        <v>14945141.049999999</v>
      </c>
      <c r="AP84" s="600">
        <v>1407</v>
      </c>
      <c r="AQ84" s="601">
        <v>15202853.550000001</v>
      </c>
      <c r="AR84" s="600">
        <v>1384</v>
      </c>
      <c r="AS84" s="601">
        <v>15236698.050000001</v>
      </c>
      <c r="AT84" s="600">
        <v>871</v>
      </c>
      <c r="AU84" s="601">
        <v>6029985.5499999989</v>
      </c>
      <c r="AV84" s="600">
        <v>884</v>
      </c>
      <c r="AW84" s="601">
        <v>6198882.2699999996</v>
      </c>
      <c r="AX84" s="600">
        <v>534</v>
      </c>
      <c r="AY84" s="601">
        <v>3891251.7199999997</v>
      </c>
      <c r="AZ84" s="600">
        <v>1256</v>
      </c>
      <c r="BA84" s="601">
        <v>10670089.92</v>
      </c>
      <c r="BB84" s="600">
        <v>1578</v>
      </c>
      <c r="BC84" s="601">
        <v>13549972.32</v>
      </c>
      <c r="BD84" s="600">
        <v>1638</v>
      </c>
      <c r="BE84" s="601">
        <v>13957279.120000001</v>
      </c>
      <c r="BF84" s="600">
        <v>1553</v>
      </c>
      <c r="BG84" s="601">
        <v>13605319.220000001</v>
      </c>
      <c r="BH84" s="600">
        <v>1653</v>
      </c>
      <c r="BI84" s="601">
        <v>14683913.770000001</v>
      </c>
      <c r="BJ84" s="600">
        <v>2217</v>
      </c>
      <c r="BK84" s="601">
        <v>24638855.529999997</v>
      </c>
      <c r="BL84" s="600">
        <v>2082</v>
      </c>
      <c r="BM84" s="601">
        <v>23373238.670000002</v>
      </c>
      <c r="BN84" s="600">
        <v>1898</v>
      </c>
      <c r="BO84" s="601">
        <v>19274527.069999997</v>
      </c>
      <c r="BP84" s="600">
        <v>1479</v>
      </c>
      <c r="BQ84" s="601">
        <v>11956316.389999999</v>
      </c>
      <c r="BR84" s="600">
        <v>1551</v>
      </c>
      <c r="BS84" s="601">
        <v>12222779.01</v>
      </c>
      <c r="BT84" s="600">
        <v>1581</v>
      </c>
      <c r="BU84" s="601">
        <v>12213544.799999999</v>
      </c>
      <c r="BV84" s="600">
        <v>1277</v>
      </c>
      <c r="BW84" s="601">
        <v>8789437.5599999987</v>
      </c>
      <c r="BX84" s="600">
        <v>1417</v>
      </c>
      <c r="BY84" s="601">
        <v>10548236.52</v>
      </c>
      <c r="BZ84" s="600">
        <v>1503</v>
      </c>
      <c r="CA84" s="601">
        <v>10595008.270000003</v>
      </c>
      <c r="CB84" s="600">
        <v>1827</v>
      </c>
      <c r="CC84" s="601">
        <v>13289561.669999998</v>
      </c>
      <c r="CD84" s="600">
        <v>1855</v>
      </c>
      <c r="CE84" s="601">
        <v>14282619.6</v>
      </c>
      <c r="CF84" s="600">
        <v>1899</v>
      </c>
      <c r="CG84" s="601">
        <v>14354643.779999999</v>
      </c>
      <c r="CH84" s="600">
        <v>1663</v>
      </c>
      <c r="CI84" s="601">
        <v>11527284.360000001</v>
      </c>
      <c r="CJ84" s="600">
        <v>1717</v>
      </c>
      <c r="CK84" s="601">
        <v>13382900.739999995</v>
      </c>
      <c r="CL84" s="600">
        <v>1735</v>
      </c>
      <c r="CM84" s="601">
        <v>13347255.209999997</v>
      </c>
      <c r="CN84" s="600">
        <v>1576</v>
      </c>
      <c r="CO84" s="601">
        <v>11038985.090000002</v>
      </c>
      <c r="CQ84" s="573"/>
    </row>
    <row r="85" spans="1:95" x14ac:dyDescent="0.2">
      <c r="A85" s="604"/>
      <c r="B85" s="567">
        <f t="shared" ref="B85:AG85" si="42">SUM(B69,B55:B67)</f>
        <v>55291</v>
      </c>
      <c r="C85" s="568">
        <f t="shared" si="42"/>
        <v>395742969.74227118</v>
      </c>
      <c r="D85" s="567">
        <f t="shared" si="42"/>
        <v>60766</v>
      </c>
      <c r="E85" s="568">
        <f t="shared" si="42"/>
        <v>411000277.30214995</v>
      </c>
      <c r="F85" s="567">
        <f t="shared" si="42"/>
        <v>79340</v>
      </c>
      <c r="G85" s="568">
        <f t="shared" si="42"/>
        <v>477341427.52749991</v>
      </c>
      <c r="H85" s="567">
        <f t="shared" si="42"/>
        <v>73434</v>
      </c>
      <c r="I85" s="568">
        <f t="shared" si="42"/>
        <v>485823193.85250008</v>
      </c>
      <c r="J85" s="567">
        <f t="shared" si="42"/>
        <v>139176</v>
      </c>
      <c r="K85" s="568">
        <f t="shared" si="42"/>
        <v>920005688.70499992</v>
      </c>
      <c r="L85" s="567">
        <f t="shared" si="42"/>
        <v>125731</v>
      </c>
      <c r="M85" s="568">
        <f t="shared" si="42"/>
        <v>915413460.8125</v>
      </c>
      <c r="N85" s="567">
        <f t="shared" si="42"/>
        <v>80050</v>
      </c>
      <c r="O85" s="568">
        <f t="shared" si="42"/>
        <v>723058494.94999993</v>
      </c>
      <c r="P85" s="567">
        <f t="shared" si="42"/>
        <v>70857</v>
      </c>
      <c r="Q85" s="568">
        <f t="shared" si="42"/>
        <v>638398829.98500013</v>
      </c>
      <c r="R85" s="567">
        <f t="shared" si="42"/>
        <v>87098</v>
      </c>
      <c r="S85" s="568">
        <f t="shared" si="42"/>
        <v>784235340.24000001</v>
      </c>
      <c r="T85" s="567">
        <f t="shared" si="42"/>
        <v>81993</v>
      </c>
      <c r="U85" s="568">
        <f t="shared" si="42"/>
        <v>779435422.08000004</v>
      </c>
      <c r="V85" s="567">
        <f t="shared" si="42"/>
        <v>66141</v>
      </c>
      <c r="W85" s="568">
        <f t="shared" si="42"/>
        <v>636633238.93999994</v>
      </c>
      <c r="X85" s="567">
        <f t="shared" si="42"/>
        <v>50748</v>
      </c>
      <c r="Y85" s="568">
        <f t="shared" si="42"/>
        <v>524100494.89999998</v>
      </c>
      <c r="Z85" s="567">
        <f t="shared" si="42"/>
        <v>58254</v>
      </c>
      <c r="AA85" s="568">
        <f t="shared" si="42"/>
        <v>535930308.44999999</v>
      </c>
      <c r="AB85" s="567">
        <f t="shared" si="42"/>
        <v>66575</v>
      </c>
      <c r="AC85" s="568">
        <f t="shared" si="42"/>
        <v>555914840.12000024</v>
      </c>
      <c r="AD85" s="567">
        <f t="shared" si="42"/>
        <v>97353</v>
      </c>
      <c r="AE85" s="568">
        <f t="shared" si="42"/>
        <v>826264910.74620378</v>
      </c>
      <c r="AF85" s="567">
        <f t="shared" si="42"/>
        <v>75139</v>
      </c>
      <c r="AG85" s="568">
        <f t="shared" si="42"/>
        <v>745213176.60279799</v>
      </c>
      <c r="AH85" s="567">
        <f t="shared" ref="AH85:CO85" si="43">SUM(AH69,AH55:AH68)</f>
        <v>85456</v>
      </c>
      <c r="AI85" s="568">
        <f t="shared" si="43"/>
        <v>868617320.3499999</v>
      </c>
      <c r="AJ85" s="567">
        <f t="shared" si="43"/>
        <v>80896</v>
      </c>
      <c r="AK85" s="568">
        <f t="shared" si="43"/>
        <v>904833477.53999996</v>
      </c>
      <c r="AL85" s="567">
        <f t="shared" si="43"/>
        <v>60470</v>
      </c>
      <c r="AM85" s="568">
        <f t="shared" si="43"/>
        <v>697079737.43999994</v>
      </c>
      <c r="AN85" s="567">
        <f t="shared" si="43"/>
        <v>47557</v>
      </c>
      <c r="AO85" s="568">
        <f t="shared" si="43"/>
        <v>570976795.23000002</v>
      </c>
      <c r="AP85" s="567">
        <f t="shared" si="43"/>
        <v>33866</v>
      </c>
      <c r="AQ85" s="568">
        <f t="shared" si="43"/>
        <v>391401125.31000006</v>
      </c>
      <c r="AR85" s="567">
        <f t="shared" si="43"/>
        <v>36427</v>
      </c>
      <c r="AS85" s="568">
        <f t="shared" si="43"/>
        <v>392881758.62000006</v>
      </c>
      <c r="AT85" s="567">
        <f t="shared" si="43"/>
        <v>34358</v>
      </c>
      <c r="AU85" s="568">
        <f t="shared" si="43"/>
        <v>364984918.49000001</v>
      </c>
      <c r="AV85" s="567">
        <f t="shared" si="43"/>
        <v>33380</v>
      </c>
      <c r="AW85" s="568">
        <f t="shared" si="43"/>
        <v>328099849.35000002</v>
      </c>
      <c r="AX85" s="567">
        <f t="shared" si="43"/>
        <v>35097</v>
      </c>
      <c r="AY85" s="568">
        <f t="shared" si="43"/>
        <v>340169440.13936412</v>
      </c>
      <c r="AZ85" s="567">
        <f t="shared" si="43"/>
        <v>32831</v>
      </c>
      <c r="BA85" s="568">
        <f t="shared" si="43"/>
        <v>366658303.19111097</v>
      </c>
      <c r="BB85" s="567">
        <f t="shared" si="43"/>
        <v>32398</v>
      </c>
      <c r="BC85" s="568">
        <f t="shared" si="43"/>
        <v>349575346.05199999</v>
      </c>
      <c r="BD85" s="567">
        <f t="shared" si="43"/>
        <v>33624</v>
      </c>
      <c r="BE85" s="568">
        <f t="shared" si="43"/>
        <v>425714276.30000001</v>
      </c>
      <c r="BF85" s="567">
        <f t="shared" si="43"/>
        <v>71608</v>
      </c>
      <c r="BG85" s="568">
        <f t="shared" si="43"/>
        <v>846946050.7700001</v>
      </c>
      <c r="BH85" s="567">
        <f t="shared" si="43"/>
        <v>89878</v>
      </c>
      <c r="BI85" s="568">
        <f t="shared" si="43"/>
        <v>1044362703.6655273</v>
      </c>
      <c r="BJ85" s="567">
        <f t="shared" si="43"/>
        <v>83875</v>
      </c>
      <c r="BK85" s="568">
        <f t="shared" si="43"/>
        <v>961217089.65000129</v>
      </c>
      <c r="BL85" s="567">
        <f t="shared" si="43"/>
        <v>85628</v>
      </c>
      <c r="BM85" s="568">
        <f t="shared" si="43"/>
        <v>1015872003.7199998</v>
      </c>
      <c r="BN85" s="567">
        <f t="shared" si="43"/>
        <v>78986</v>
      </c>
      <c r="BO85" s="568">
        <f t="shared" si="43"/>
        <v>932570262.97000003</v>
      </c>
      <c r="BP85" s="567">
        <f t="shared" si="43"/>
        <v>53320</v>
      </c>
      <c r="BQ85" s="568">
        <f t="shared" si="43"/>
        <v>633565027.65391779</v>
      </c>
      <c r="BR85" s="567">
        <f t="shared" si="43"/>
        <v>62067</v>
      </c>
      <c r="BS85" s="568">
        <f t="shared" si="43"/>
        <v>730929339.08348978</v>
      </c>
      <c r="BT85" s="567">
        <f t="shared" si="43"/>
        <v>61288</v>
      </c>
      <c r="BU85" s="568">
        <f t="shared" si="43"/>
        <v>735318914.34000015</v>
      </c>
      <c r="BV85" s="567">
        <f t="shared" si="43"/>
        <v>60492</v>
      </c>
      <c r="BW85" s="568">
        <f t="shared" si="43"/>
        <v>654857582.16847456</v>
      </c>
      <c r="BX85" s="567">
        <f t="shared" si="43"/>
        <v>59880</v>
      </c>
      <c r="BY85" s="568">
        <f t="shared" si="43"/>
        <v>595923214.74000037</v>
      </c>
      <c r="BZ85" s="567">
        <f t="shared" si="43"/>
        <v>54794</v>
      </c>
      <c r="CA85" s="568">
        <f t="shared" si="43"/>
        <v>497002752.90000021</v>
      </c>
      <c r="CB85" s="567">
        <f t="shared" si="43"/>
        <v>69098</v>
      </c>
      <c r="CC85" s="568">
        <f t="shared" si="43"/>
        <v>811216260.82000005</v>
      </c>
      <c r="CD85" s="567">
        <f t="shared" si="43"/>
        <v>107912</v>
      </c>
      <c r="CE85" s="568">
        <f t="shared" si="43"/>
        <v>1330651130.7799942</v>
      </c>
      <c r="CF85" s="567">
        <f t="shared" si="43"/>
        <v>104871</v>
      </c>
      <c r="CG85" s="568">
        <f t="shared" si="43"/>
        <v>1314897013.0400002</v>
      </c>
      <c r="CH85" s="567">
        <f t="shared" si="43"/>
        <v>79396</v>
      </c>
      <c r="CI85" s="568">
        <f t="shared" si="43"/>
        <v>1007748080.51</v>
      </c>
      <c r="CJ85" s="567">
        <f t="shared" si="43"/>
        <v>85174</v>
      </c>
      <c r="CK85" s="568">
        <f t="shared" si="43"/>
        <v>1051666841.7100004</v>
      </c>
      <c r="CL85" s="567">
        <f t="shared" si="43"/>
        <v>77090</v>
      </c>
      <c r="CM85" s="568">
        <f t="shared" si="43"/>
        <v>1090715711.8700001</v>
      </c>
      <c r="CN85" s="567">
        <f t="shared" si="43"/>
        <v>78820</v>
      </c>
      <c r="CO85" s="568">
        <f t="shared" si="43"/>
        <v>1084835558.4899979</v>
      </c>
    </row>
    <row r="86" spans="1:95" x14ac:dyDescent="0.2">
      <c r="A86" s="604"/>
      <c r="B86" s="567"/>
      <c r="C86" s="572"/>
      <c r="D86" s="567"/>
      <c r="E86" s="572"/>
      <c r="F86" s="567"/>
      <c r="G86" s="572"/>
      <c r="H86" s="567"/>
      <c r="I86" s="572"/>
      <c r="J86" s="567"/>
      <c r="K86" s="572"/>
      <c r="L86" s="567"/>
      <c r="M86" s="572"/>
      <c r="N86" s="567"/>
      <c r="O86" s="572"/>
      <c r="P86" s="567"/>
      <c r="Q86" s="572"/>
      <c r="R86" s="567"/>
      <c r="S86" s="572"/>
      <c r="T86" s="567"/>
      <c r="U86" s="572"/>
      <c r="V86" s="567"/>
      <c r="W86" s="572"/>
      <c r="X86" s="567"/>
      <c r="Y86" s="572"/>
      <c r="Z86" s="567"/>
      <c r="AA86" s="572"/>
      <c r="AB86" s="567"/>
      <c r="AC86" s="572"/>
      <c r="AD86" s="567"/>
      <c r="AE86" s="572"/>
      <c r="AF86" s="567"/>
      <c r="AG86" s="572"/>
      <c r="AH86" s="567"/>
      <c r="AI86" s="572"/>
      <c r="AJ86" s="567"/>
      <c r="AK86" s="572"/>
      <c r="AL86" s="567"/>
      <c r="AM86" s="572"/>
      <c r="AN86" s="567"/>
      <c r="AO86" s="572"/>
      <c r="AP86" s="567"/>
      <c r="AQ86" s="572"/>
      <c r="AR86" s="567"/>
      <c r="AS86" s="572">
        <v>497250731.60001171</v>
      </c>
      <c r="AT86" s="567"/>
      <c r="AU86" s="572"/>
      <c r="AV86" s="567"/>
      <c r="AW86" s="572"/>
      <c r="AX86" s="567"/>
      <c r="AY86" s="572"/>
      <c r="AZ86" s="567"/>
      <c r="BA86" s="572"/>
      <c r="BB86" s="567"/>
      <c r="BC86" s="572"/>
      <c r="BD86" s="567"/>
      <c r="BE86" s="572"/>
      <c r="BF86" s="567"/>
      <c r="BG86" s="572"/>
      <c r="BH86" s="567"/>
      <c r="BI86" s="572"/>
      <c r="BJ86" s="567"/>
      <c r="BK86" s="572"/>
      <c r="BL86" s="567"/>
      <c r="BM86" s="572"/>
      <c r="BN86" s="567"/>
      <c r="BO86" s="572"/>
      <c r="BP86" s="567"/>
      <c r="BQ86" s="572"/>
      <c r="BR86" s="567"/>
      <c r="BS86" s="572"/>
      <c r="BT86" s="567"/>
      <c r="BU86" s="572"/>
      <c r="BV86" s="567"/>
      <c r="BW86" s="572"/>
      <c r="BX86" s="567"/>
      <c r="BY86" s="572"/>
      <c r="BZ86" s="567"/>
      <c r="CA86" s="572"/>
      <c r="CB86" s="567"/>
      <c r="CC86" s="572"/>
      <c r="CD86" s="567"/>
      <c r="CE86" s="572"/>
      <c r="CF86" s="567"/>
      <c r="CG86" s="572"/>
      <c r="CH86" s="567"/>
      <c r="CI86" s="572"/>
      <c r="CJ86" s="567"/>
      <c r="CK86" s="572"/>
      <c r="CL86" s="567"/>
      <c r="CM86" s="572"/>
      <c r="CN86" s="567"/>
      <c r="CO86" s="572"/>
    </row>
    <row r="87" spans="1:95" x14ac:dyDescent="0.2">
      <c r="A87" s="553" t="s">
        <v>564</v>
      </c>
      <c r="B87" s="554"/>
      <c r="C87" s="555"/>
      <c r="D87" s="554"/>
      <c r="E87" s="555"/>
      <c r="F87" s="554"/>
      <c r="G87" s="555"/>
      <c r="H87" s="554"/>
      <c r="I87" s="555"/>
      <c r="J87" s="554"/>
      <c r="K87" s="555"/>
      <c r="L87" s="554"/>
      <c r="M87" s="555"/>
      <c r="N87" s="554"/>
      <c r="O87" s="555"/>
      <c r="P87" s="554"/>
      <c r="Q87" s="555"/>
      <c r="R87" s="554"/>
      <c r="S87" s="555"/>
      <c r="T87" s="554"/>
      <c r="U87" s="555"/>
      <c r="V87" s="554"/>
      <c r="W87" s="555"/>
      <c r="X87" s="554"/>
      <c r="Y87" s="555"/>
      <c r="Z87" s="554"/>
      <c r="AA87" s="555"/>
      <c r="AB87" s="554"/>
      <c r="AC87" s="555"/>
      <c r="AD87" s="554"/>
      <c r="AE87" s="555"/>
      <c r="AF87" s="554"/>
      <c r="AG87" s="555"/>
      <c r="AH87" s="554"/>
      <c r="AI87" s="555"/>
      <c r="AJ87" s="554"/>
      <c r="AK87" s="555"/>
      <c r="AL87" s="554"/>
      <c r="AM87" s="555"/>
      <c r="AN87" s="554"/>
      <c r="AO87" s="555"/>
      <c r="AP87" s="554"/>
      <c r="AQ87" s="555"/>
      <c r="AR87" s="554"/>
      <c r="AS87" s="555"/>
      <c r="AT87" s="554"/>
      <c r="AU87" s="555"/>
      <c r="AV87" s="554"/>
      <c r="AW87" s="555"/>
      <c r="AX87" s="554"/>
      <c r="AY87" s="555"/>
      <c r="AZ87" s="554"/>
      <c r="BA87" s="555"/>
      <c r="BB87" s="554"/>
      <c r="BC87" s="555"/>
      <c r="BD87" s="554"/>
      <c r="BE87" s="555"/>
      <c r="BF87" s="554"/>
      <c r="BG87" s="555"/>
      <c r="BH87" s="554"/>
      <c r="BI87" s="555"/>
      <c r="BJ87" s="554"/>
      <c r="BK87" s="555"/>
      <c r="BL87" s="554"/>
      <c r="BM87" s="555"/>
      <c r="BN87" s="554"/>
      <c r="BO87" s="555"/>
      <c r="BP87" s="554"/>
      <c r="BQ87" s="555"/>
      <c r="BR87" s="554"/>
      <c r="BS87" s="555"/>
      <c r="BT87" s="554"/>
      <c r="BU87" s="555"/>
      <c r="BV87" s="554"/>
      <c r="BW87" s="555"/>
      <c r="BX87" s="554"/>
      <c r="BY87" s="555"/>
      <c r="BZ87" s="554"/>
      <c r="CA87" s="555"/>
      <c r="CB87" s="554"/>
      <c r="CC87" s="555"/>
      <c r="CD87" s="554"/>
      <c r="CE87" s="555"/>
      <c r="CF87" s="554"/>
      <c r="CG87" s="555"/>
      <c r="CH87" s="554"/>
      <c r="CI87" s="555"/>
      <c r="CJ87" s="554"/>
      <c r="CK87" s="555"/>
      <c r="CL87" s="554"/>
      <c r="CM87" s="555"/>
      <c r="CN87" s="554"/>
      <c r="CO87" s="555"/>
    </row>
    <row r="88" spans="1:95" x14ac:dyDescent="0.2">
      <c r="A88" s="561" t="s">
        <v>521</v>
      </c>
      <c r="B88" s="562">
        <v>1330</v>
      </c>
      <c r="C88" s="563">
        <v>6175923.5499999989</v>
      </c>
      <c r="D88" s="562">
        <v>1846</v>
      </c>
      <c r="E88" s="563">
        <v>7739963.1796499994</v>
      </c>
      <c r="F88" s="562">
        <v>1717</v>
      </c>
      <c r="G88" s="563">
        <v>7598948.5</v>
      </c>
      <c r="H88" s="562"/>
      <c r="I88" s="563"/>
      <c r="J88" s="562"/>
      <c r="K88" s="563"/>
      <c r="L88" s="562"/>
      <c r="M88" s="563"/>
      <c r="N88" s="562"/>
      <c r="O88" s="563"/>
      <c r="P88" s="562"/>
      <c r="Q88" s="563"/>
      <c r="R88" s="562"/>
      <c r="S88" s="563"/>
      <c r="T88" s="562"/>
      <c r="U88" s="563"/>
      <c r="V88" s="562"/>
      <c r="W88" s="563"/>
      <c r="X88" s="562"/>
      <c r="Y88" s="563"/>
      <c r="Z88" s="562"/>
      <c r="AA88" s="563"/>
      <c r="AB88" s="562"/>
      <c r="AC88" s="563"/>
      <c r="AD88" s="562"/>
      <c r="AE88" s="563"/>
      <c r="AF88" s="562"/>
      <c r="AG88" s="563"/>
      <c r="AH88" s="562"/>
      <c r="AI88" s="563"/>
      <c r="AJ88" s="562"/>
      <c r="AK88" s="563"/>
      <c r="AL88" s="562"/>
      <c r="AM88" s="563"/>
      <c r="AN88" s="562"/>
      <c r="AO88" s="563"/>
      <c r="AP88" s="562"/>
      <c r="AQ88" s="563"/>
      <c r="AR88" s="562"/>
      <c r="AS88" s="563"/>
      <c r="AT88" s="562"/>
      <c r="AU88" s="563"/>
      <c r="AV88" s="562"/>
      <c r="AW88" s="563"/>
      <c r="AX88" s="562"/>
      <c r="AY88" s="563"/>
      <c r="AZ88" s="562"/>
      <c r="BA88" s="563"/>
      <c r="BB88" s="562"/>
      <c r="BC88" s="563"/>
      <c r="BD88" s="562"/>
      <c r="BE88" s="563"/>
      <c r="BF88" s="562"/>
      <c r="BG88" s="563"/>
      <c r="BH88" s="562"/>
      <c r="BI88" s="563"/>
      <c r="BJ88" s="562"/>
      <c r="BK88" s="563"/>
      <c r="BL88" s="562"/>
      <c r="BM88" s="563"/>
      <c r="BN88" s="562"/>
      <c r="BO88" s="563"/>
      <c r="BP88" s="562"/>
      <c r="BQ88" s="563"/>
      <c r="BR88" s="562"/>
      <c r="BS88" s="563"/>
      <c r="BT88" s="562"/>
      <c r="BU88" s="563"/>
      <c r="BV88" s="562"/>
      <c r="BW88" s="563"/>
      <c r="BX88" s="562"/>
      <c r="BY88" s="563"/>
      <c r="BZ88" s="562"/>
      <c r="CA88" s="563"/>
      <c r="CB88" s="562"/>
      <c r="CC88" s="563"/>
      <c r="CD88" s="562"/>
      <c r="CE88" s="563"/>
      <c r="CF88" s="562"/>
      <c r="CG88" s="563"/>
      <c r="CH88" s="562"/>
      <c r="CI88" s="563"/>
      <c r="CJ88" s="562"/>
      <c r="CK88" s="563"/>
      <c r="CL88" s="562"/>
      <c r="CM88" s="563"/>
      <c r="CN88" s="562"/>
      <c r="CO88" s="563"/>
    </row>
    <row r="89" spans="1:95" x14ac:dyDescent="0.2">
      <c r="A89" s="561" t="s">
        <v>522</v>
      </c>
      <c r="B89" s="562">
        <v>442</v>
      </c>
      <c r="C89" s="563">
        <v>2286186.2000000002</v>
      </c>
      <c r="D89" s="562">
        <v>683</v>
      </c>
      <c r="E89" s="563">
        <v>3731134.9000000004</v>
      </c>
      <c r="F89" s="562">
        <v>516</v>
      </c>
      <c r="G89" s="563">
        <v>2502242.4</v>
      </c>
      <c r="H89" s="562"/>
      <c r="I89" s="563"/>
      <c r="J89" s="562"/>
      <c r="K89" s="563"/>
      <c r="L89" s="562"/>
      <c r="M89" s="563"/>
      <c r="N89" s="562"/>
      <c r="O89" s="563"/>
      <c r="P89" s="562"/>
      <c r="Q89" s="563"/>
      <c r="R89" s="562"/>
      <c r="S89" s="563"/>
      <c r="T89" s="562"/>
      <c r="U89" s="563"/>
      <c r="V89" s="562"/>
      <c r="W89" s="563"/>
      <c r="X89" s="562"/>
      <c r="Y89" s="563"/>
      <c r="Z89" s="562"/>
      <c r="AA89" s="563"/>
      <c r="AB89" s="562"/>
      <c r="AC89" s="563"/>
      <c r="AD89" s="562"/>
      <c r="AE89" s="563"/>
      <c r="AF89" s="562"/>
      <c r="AG89" s="563"/>
      <c r="AH89" s="562"/>
      <c r="AI89" s="563"/>
      <c r="AJ89" s="562"/>
      <c r="AK89" s="563"/>
      <c r="AL89" s="562"/>
      <c r="AM89" s="563"/>
      <c r="AN89" s="562"/>
      <c r="AO89" s="563"/>
      <c r="AP89" s="562"/>
      <c r="AQ89" s="563"/>
      <c r="AR89" s="562"/>
      <c r="AS89" s="563"/>
      <c r="AT89" s="562"/>
      <c r="AU89" s="563"/>
      <c r="AV89" s="562"/>
      <c r="AW89" s="563"/>
      <c r="AX89" s="562"/>
      <c r="AY89" s="563"/>
      <c r="AZ89" s="562"/>
      <c r="BA89" s="563"/>
      <c r="BB89" s="562"/>
      <c r="BC89" s="563"/>
      <c r="BD89" s="562"/>
      <c r="BE89" s="563"/>
      <c r="BF89" s="562"/>
      <c r="BG89" s="563"/>
      <c r="BH89" s="562"/>
      <c r="BI89" s="563"/>
      <c r="BJ89" s="562"/>
      <c r="BK89" s="563"/>
      <c r="BL89" s="562"/>
      <c r="BM89" s="563"/>
      <c r="BN89" s="562"/>
      <c r="BO89" s="563"/>
      <c r="BP89" s="562"/>
      <c r="BQ89" s="563"/>
      <c r="BR89" s="562"/>
      <c r="BS89" s="563"/>
      <c r="BT89" s="562"/>
      <c r="BU89" s="563"/>
      <c r="BV89" s="562"/>
      <c r="BW89" s="563"/>
      <c r="BX89" s="562"/>
      <c r="BY89" s="563"/>
      <c r="BZ89" s="562"/>
      <c r="CA89" s="563"/>
      <c r="CB89" s="562"/>
      <c r="CC89" s="563"/>
      <c r="CD89" s="562"/>
      <c r="CE89" s="563"/>
      <c r="CF89" s="562"/>
      <c r="CG89" s="563"/>
      <c r="CH89" s="562"/>
      <c r="CI89" s="563"/>
      <c r="CJ89" s="562"/>
      <c r="CK89" s="563"/>
      <c r="CL89" s="562"/>
      <c r="CM89" s="563"/>
      <c r="CN89" s="562"/>
      <c r="CO89" s="563"/>
    </row>
    <row r="90" spans="1:95" x14ac:dyDescent="0.2">
      <c r="A90" s="561" t="s">
        <v>523</v>
      </c>
      <c r="B90" s="562">
        <v>560</v>
      </c>
      <c r="C90" s="563">
        <v>2261227.8325</v>
      </c>
      <c r="D90" s="562">
        <v>489</v>
      </c>
      <c r="E90" s="563">
        <v>3163012.2</v>
      </c>
      <c r="F90" s="562">
        <v>346</v>
      </c>
      <c r="G90" s="563">
        <v>1936649.5</v>
      </c>
      <c r="H90" s="562"/>
      <c r="I90" s="563"/>
      <c r="J90" s="562"/>
      <c r="K90" s="563"/>
      <c r="L90" s="562"/>
      <c r="M90" s="563"/>
      <c r="N90" s="562"/>
      <c r="O90" s="563"/>
      <c r="P90" s="562"/>
      <c r="Q90" s="563"/>
      <c r="R90" s="562"/>
      <c r="S90" s="563"/>
      <c r="T90" s="562"/>
      <c r="U90" s="563"/>
      <c r="V90" s="562"/>
      <c r="W90" s="563"/>
      <c r="X90" s="562"/>
      <c r="Y90" s="563"/>
      <c r="Z90" s="562"/>
      <c r="AA90" s="563"/>
      <c r="AB90" s="562"/>
      <c r="AC90" s="563"/>
      <c r="AD90" s="562"/>
      <c r="AE90" s="563"/>
      <c r="AF90" s="562"/>
      <c r="AG90" s="563"/>
      <c r="AH90" s="562"/>
      <c r="AI90" s="563"/>
      <c r="AJ90" s="562"/>
      <c r="AK90" s="563"/>
      <c r="AL90" s="562"/>
      <c r="AM90" s="563"/>
      <c r="AN90" s="562"/>
      <c r="AO90" s="563"/>
      <c r="AP90" s="562"/>
      <c r="AQ90" s="563"/>
      <c r="AR90" s="562"/>
      <c r="AS90" s="563"/>
      <c r="AT90" s="562"/>
      <c r="AU90" s="563"/>
      <c r="AV90" s="562"/>
      <c r="AW90" s="563"/>
      <c r="AX90" s="562"/>
      <c r="AY90" s="563"/>
      <c r="AZ90" s="562"/>
      <c r="BA90" s="563"/>
      <c r="BB90" s="562"/>
      <c r="BC90" s="563"/>
      <c r="BD90" s="562"/>
      <c r="BE90" s="563"/>
      <c r="BF90" s="562"/>
      <c r="BG90" s="563"/>
      <c r="BH90" s="562"/>
      <c r="BI90" s="563"/>
      <c r="BJ90" s="562"/>
      <c r="BK90" s="563"/>
      <c r="BL90" s="562"/>
      <c r="BM90" s="563"/>
      <c r="BN90" s="562"/>
      <c r="BO90" s="563"/>
      <c r="BP90" s="562"/>
      <c r="BQ90" s="563"/>
      <c r="BR90" s="562"/>
      <c r="BS90" s="563"/>
      <c r="BT90" s="562"/>
      <c r="BU90" s="563"/>
      <c r="BV90" s="562"/>
      <c r="BW90" s="563"/>
      <c r="BX90" s="562"/>
      <c r="BY90" s="563"/>
      <c r="BZ90" s="562"/>
      <c r="CA90" s="563"/>
      <c r="CB90" s="562"/>
      <c r="CC90" s="563"/>
      <c r="CD90" s="562"/>
      <c r="CE90" s="563"/>
      <c r="CF90" s="562"/>
      <c r="CG90" s="563"/>
      <c r="CH90" s="562"/>
      <c r="CI90" s="563"/>
      <c r="CJ90" s="562"/>
      <c r="CK90" s="563"/>
      <c r="CL90" s="562"/>
      <c r="CM90" s="563"/>
      <c r="CN90" s="562"/>
      <c r="CO90" s="563"/>
    </row>
    <row r="91" spans="1:95" x14ac:dyDescent="0.2">
      <c r="A91" s="561" t="s">
        <v>524</v>
      </c>
      <c r="B91" s="562">
        <v>619</v>
      </c>
      <c r="C91" s="563">
        <v>2667187.09</v>
      </c>
      <c r="D91" s="562">
        <v>170</v>
      </c>
      <c r="E91" s="563">
        <v>1008747.8325</v>
      </c>
      <c r="F91" s="562">
        <v>97</v>
      </c>
      <c r="G91" s="563">
        <v>610311.69999999995</v>
      </c>
      <c r="H91" s="562"/>
      <c r="I91" s="563"/>
      <c r="J91" s="562"/>
      <c r="K91" s="563"/>
      <c r="L91" s="562"/>
      <c r="M91" s="563"/>
      <c r="N91" s="562"/>
      <c r="O91" s="563"/>
      <c r="P91" s="562"/>
      <c r="Q91" s="563"/>
      <c r="R91" s="562"/>
      <c r="S91" s="563"/>
      <c r="T91" s="562"/>
      <c r="U91" s="563"/>
      <c r="V91" s="562"/>
      <c r="W91" s="563"/>
      <c r="X91" s="562"/>
      <c r="Y91" s="563"/>
      <c r="Z91" s="562"/>
      <c r="AA91" s="563"/>
      <c r="AB91" s="562"/>
      <c r="AC91" s="563"/>
      <c r="AD91" s="562"/>
      <c r="AE91" s="563"/>
      <c r="AF91" s="562"/>
      <c r="AG91" s="563"/>
      <c r="AH91" s="562"/>
      <c r="AI91" s="563"/>
      <c r="AJ91" s="562"/>
      <c r="AK91" s="563"/>
      <c r="AL91" s="562"/>
      <c r="AM91" s="563"/>
      <c r="AN91" s="562"/>
      <c r="AO91" s="563"/>
      <c r="AP91" s="562"/>
      <c r="AQ91" s="563"/>
      <c r="AR91" s="562"/>
      <c r="AS91" s="563"/>
      <c r="AT91" s="562"/>
      <c r="AU91" s="563"/>
      <c r="AV91" s="562"/>
      <c r="AW91" s="563"/>
      <c r="AX91" s="562"/>
      <c r="AY91" s="563"/>
      <c r="AZ91" s="562"/>
      <c r="BA91" s="563"/>
      <c r="BB91" s="562"/>
      <c r="BC91" s="563"/>
      <c r="BD91" s="562"/>
      <c r="BE91" s="563"/>
      <c r="BF91" s="562"/>
      <c r="BG91" s="563"/>
      <c r="BH91" s="562"/>
      <c r="BI91" s="563"/>
      <c r="BJ91" s="562"/>
      <c r="BK91" s="563"/>
      <c r="BL91" s="562"/>
      <c r="BM91" s="563"/>
      <c r="BN91" s="562"/>
      <c r="BO91" s="563"/>
      <c r="BP91" s="562"/>
      <c r="BQ91" s="563"/>
      <c r="BR91" s="562"/>
      <c r="BS91" s="563"/>
      <c r="BT91" s="562"/>
      <c r="BU91" s="563"/>
      <c r="BV91" s="562"/>
      <c r="BW91" s="563"/>
      <c r="BX91" s="562"/>
      <c r="BY91" s="563"/>
      <c r="BZ91" s="562"/>
      <c r="CA91" s="563"/>
      <c r="CB91" s="562"/>
      <c r="CC91" s="563"/>
      <c r="CD91" s="562"/>
      <c r="CE91" s="563"/>
      <c r="CF91" s="562"/>
      <c r="CG91" s="563"/>
      <c r="CH91" s="562"/>
      <c r="CI91" s="563"/>
      <c r="CJ91" s="562"/>
      <c r="CK91" s="563"/>
      <c r="CL91" s="562"/>
      <c r="CM91" s="563"/>
      <c r="CN91" s="562"/>
      <c r="CO91" s="563"/>
    </row>
    <row r="92" spans="1:95" x14ac:dyDescent="0.2">
      <c r="A92" s="561" t="s">
        <v>525</v>
      </c>
      <c r="B92" s="562">
        <v>3061</v>
      </c>
      <c r="C92" s="563">
        <v>11666121.789999979</v>
      </c>
      <c r="D92" s="562">
        <v>1049</v>
      </c>
      <c r="E92" s="563">
        <v>4607153.8349999981</v>
      </c>
      <c r="F92" s="562">
        <v>132</v>
      </c>
      <c r="G92" s="563">
        <v>652810.29999999993</v>
      </c>
      <c r="H92" s="562"/>
      <c r="I92" s="563"/>
      <c r="J92" s="562"/>
      <c r="K92" s="563"/>
      <c r="L92" s="562"/>
      <c r="M92" s="563"/>
      <c r="N92" s="562"/>
      <c r="O92" s="563"/>
      <c r="P92" s="562"/>
      <c r="Q92" s="563"/>
      <c r="R92" s="562"/>
      <c r="S92" s="563"/>
      <c r="T92" s="562"/>
      <c r="U92" s="563"/>
      <c r="V92" s="562"/>
      <c r="W92" s="563"/>
      <c r="X92" s="562"/>
      <c r="Y92" s="563"/>
      <c r="Z92" s="562"/>
      <c r="AA92" s="563"/>
      <c r="AB92" s="562"/>
      <c r="AC92" s="563"/>
      <c r="AD92" s="562"/>
      <c r="AE92" s="563"/>
      <c r="AF92" s="562"/>
      <c r="AG92" s="563"/>
      <c r="AH92" s="562"/>
      <c r="AI92" s="563"/>
      <c r="AJ92" s="562"/>
      <c r="AK92" s="563"/>
      <c r="AL92" s="562"/>
      <c r="AM92" s="563"/>
      <c r="AN92" s="562"/>
      <c r="AO92" s="563"/>
      <c r="AP92" s="562"/>
      <c r="AQ92" s="563"/>
      <c r="AR92" s="562"/>
      <c r="AS92" s="563"/>
      <c r="AT92" s="562"/>
      <c r="AU92" s="563"/>
      <c r="AV92" s="562"/>
      <c r="AW92" s="563"/>
      <c r="AX92" s="562"/>
      <c r="AY92" s="563"/>
      <c r="AZ92" s="562"/>
      <c r="BA92" s="563"/>
      <c r="BB92" s="562"/>
      <c r="BC92" s="563"/>
      <c r="BD92" s="562"/>
      <c r="BE92" s="563"/>
      <c r="BF92" s="562"/>
      <c r="BG92" s="563"/>
      <c r="BH92" s="562"/>
      <c r="BI92" s="563"/>
      <c r="BJ92" s="562"/>
      <c r="BK92" s="563"/>
      <c r="BL92" s="562"/>
      <c r="BM92" s="563"/>
      <c r="BN92" s="562"/>
      <c r="BO92" s="563"/>
      <c r="BP92" s="562"/>
      <c r="BQ92" s="563"/>
      <c r="BR92" s="562"/>
      <c r="BS92" s="563"/>
      <c r="BT92" s="562"/>
      <c r="BU92" s="563"/>
      <c r="BV92" s="562"/>
      <c r="BW92" s="563"/>
      <c r="BX92" s="562"/>
      <c r="BY92" s="563"/>
      <c r="BZ92" s="562"/>
      <c r="CA92" s="563"/>
      <c r="CB92" s="562"/>
      <c r="CC92" s="563"/>
      <c r="CD92" s="562"/>
      <c r="CE92" s="563"/>
      <c r="CF92" s="562"/>
      <c r="CG92" s="563"/>
      <c r="CH92" s="562"/>
      <c r="CI92" s="563"/>
      <c r="CJ92" s="562"/>
      <c r="CK92" s="563"/>
      <c r="CL92" s="562"/>
      <c r="CM92" s="563"/>
      <c r="CN92" s="562"/>
      <c r="CO92" s="563"/>
    </row>
    <row r="93" spans="1:95" x14ac:dyDescent="0.2">
      <c r="A93" s="561"/>
      <c r="B93" s="567">
        <f t="shared" ref="B93:G93" si="44">SUM(B88:B92)</f>
        <v>6012</v>
      </c>
      <c r="C93" s="568">
        <f t="shared" si="44"/>
        <v>25056646.462499976</v>
      </c>
      <c r="D93" s="567">
        <f t="shared" si="44"/>
        <v>4237</v>
      </c>
      <c r="E93" s="568">
        <f t="shared" si="44"/>
        <v>20250011.947149996</v>
      </c>
      <c r="F93" s="567">
        <f t="shared" si="44"/>
        <v>2808</v>
      </c>
      <c r="G93" s="568">
        <f t="shared" si="44"/>
        <v>13300962.4</v>
      </c>
      <c r="H93" s="567">
        <f>SUM(H88:H92)</f>
        <v>0</v>
      </c>
      <c r="I93" s="568">
        <f>SUM(I88:I92)</f>
        <v>0</v>
      </c>
      <c r="J93" s="567">
        <f t="shared" ref="J93:BU93" si="45">SUM(J88:J92)</f>
        <v>0</v>
      </c>
      <c r="K93" s="568">
        <f t="shared" si="45"/>
        <v>0</v>
      </c>
      <c r="L93" s="567">
        <f t="shared" si="45"/>
        <v>0</v>
      </c>
      <c r="M93" s="568">
        <f t="shared" si="45"/>
        <v>0</v>
      </c>
      <c r="N93" s="567">
        <f t="shared" si="45"/>
        <v>0</v>
      </c>
      <c r="O93" s="568">
        <f t="shared" si="45"/>
        <v>0</v>
      </c>
      <c r="P93" s="567">
        <f t="shared" si="45"/>
        <v>0</v>
      </c>
      <c r="Q93" s="568">
        <f t="shared" si="45"/>
        <v>0</v>
      </c>
      <c r="R93" s="567">
        <f t="shared" si="45"/>
        <v>0</v>
      </c>
      <c r="S93" s="568">
        <f t="shared" si="45"/>
        <v>0</v>
      </c>
      <c r="T93" s="567">
        <f t="shared" si="45"/>
        <v>0</v>
      </c>
      <c r="U93" s="568">
        <f t="shared" si="45"/>
        <v>0</v>
      </c>
      <c r="V93" s="567">
        <f t="shared" si="45"/>
        <v>0</v>
      </c>
      <c r="W93" s="568">
        <f t="shared" si="45"/>
        <v>0</v>
      </c>
      <c r="X93" s="567">
        <f t="shared" si="45"/>
        <v>0</v>
      </c>
      <c r="Y93" s="568">
        <f t="shared" si="45"/>
        <v>0</v>
      </c>
      <c r="Z93" s="567">
        <f t="shared" si="45"/>
        <v>0</v>
      </c>
      <c r="AA93" s="568">
        <f t="shared" si="45"/>
        <v>0</v>
      </c>
      <c r="AB93" s="567">
        <f t="shared" si="45"/>
        <v>0</v>
      </c>
      <c r="AC93" s="568">
        <f t="shared" si="45"/>
        <v>0</v>
      </c>
      <c r="AD93" s="567">
        <f t="shared" si="45"/>
        <v>0</v>
      </c>
      <c r="AE93" s="568">
        <f t="shared" si="45"/>
        <v>0</v>
      </c>
      <c r="AF93" s="567">
        <f t="shared" si="45"/>
        <v>0</v>
      </c>
      <c r="AG93" s="568">
        <f t="shared" si="45"/>
        <v>0</v>
      </c>
      <c r="AH93" s="567">
        <f t="shared" si="45"/>
        <v>0</v>
      </c>
      <c r="AI93" s="568">
        <f t="shared" si="45"/>
        <v>0</v>
      </c>
      <c r="AJ93" s="567">
        <f t="shared" si="45"/>
        <v>0</v>
      </c>
      <c r="AK93" s="568">
        <f t="shared" si="45"/>
        <v>0</v>
      </c>
      <c r="AL93" s="567">
        <f t="shared" si="45"/>
        <v>0</v>
      </c>
      <c r="AM93" s="568">
        <f t="shared" si="45"/>
        <v>0</v>
      </c>
      <c r="AN93" s="567">
        <f t="shared" si="45"/>
        <v>0</v>
      </c>
      <c r="AO93" s="568">
        <f t="shared" si="45"/>
        <v>0</v>
      </c>
      <c r="AP93" s="567">
        <f t="shared" si="45"/>
        <v>0</v>
      </c>
      <c r="AQ93" s="568">
        <f t="shared" si="45"/>
        <v>0</v>
      </c>
      <c r="AR93" s="567">
        <f t="shared" si="45"/>
        <v>0</v>
      </c>
      <c r="AS93" s="568">
        <f t="shared" si="45"/>
        <v>0</v>
      </c>
      <c r="AT93" s="567">
        <f t="shared" si="45"/>
        <v>0</v>
      </c>
      <c r="AU93" s="568">
        <f t="shared" si="45"/>
        <v>0</v>
      </c>
      <c r="AV93" s="567">
        <f t="shared" si="45"/>
        <v>0</v>
      </c>
      <c r="AW93" s="568">
        <f t="shared" si="45"/>
        <v>0</v>
      </c>
      <c r="AX93" s="567">
        <f t="shared" si="45"/>
        <v>0</v>
      </c>
      <c r="AY93" s="568">
        <f t="shared" si="45"/>
        <v>0</v>
      </c>
      <c r="AZ93" s="567">
        <f t="shared" si="45"/>
        <v>0</v>
      </c>
      <c r="BA93" s="568">
        <f t="shared" si="45"/>
        <v>0</v>
      </c>
      <c r="BB93" s="567">
        <f t="shared" si="45"/>
        <v>0</v>
      </c>
      <c r="BC93" s="568">
        <f t="shared" si="45"/>
        <v>0</v>
      </c>
      <c r="BD93" s="567">
        <f t="shared" si="45"/>
        <v>0</v>
      </c>
      <c r="BE93" s="568">
        <f t="shared" si="45"/>
        <v>0</v>
      </c>
      <c r="BF93" s="567">
        <f t="shared" si="45"/>
        <v>0</v>
      </c>
      <c r="BG93" s="568">
        <f t="shared" si="45"/>
        <v>0</v>
      </c>
      <c r="BH93" s="567">
        <f t="shared" si="45"/>
        <v>0</v>
      </c>
      <c r="BI93" s="568">
        <f t="shared" si="45"/>
        <v>0</v>
      </c>
      <c r="BJ93" s="567">
        <f t="shared" si="45"/>
        <v>0</v>
      </c>
      <c r="BK93" s="568">
        <f t="shared" si="45"/>
        <v>0</v>
      </c>
      <c r="BL93" s="567">
        <f t="shared" si="45"/>
        <v>0</v>
      </c>
      <c r="BM93" s="568">
        <f t="shared" si="45"/>
        <v>0</v>
      </c>
      <c r="BN93" s="567">
        <f t="shared" si="45"/>
        <v>0</v>
      </c>
      <c r="BO93" s="568">
        <f t="shared" si="45"/>
        <v>0</v>
      </c>
      <c r="BP93" s="567">
        <f t="shared" si="45"/>
        <v>0</v>
      </c>
      <c r="BQ93" s="568">
        <f t="shared" si="45"/>
        <v>0</v>
      </c>
      <c r="BR93" s="567">
        <f t="shared" si="45"/>
        <v>0</v>
      </c>
      <c r="BS93" s="568">
        <f t="shared" si="45"/>
        <v>0</v>
      </c>
      <c r="BT93" s="567">
        <f t="shared" si="45"/>
        <v>0</v>
      </c>
      <c r="BU93" s="568">
        <f t="shared" si="45"/>
        <v>0</v>
      </c>
      <c r="BV93" s="567">
        <f t="shared" ref="BV93:CO93" si="46">SUM(BV88:BV92)</f>
        <v>0</v>
      </c>
      <c r="BW93" s="568">
        <f t="shared" si="46"/>
        <v>0</v>
      </c>
      <c r="BX93" s="567">
        <f t="shared" si="46"/>
        <v>0</v>
      </c>
      <c r="BY93" s="568">
        <f t="shared" si="46"/>
        <v>0</v>
      </c>
      <c r="BZ93" s="567">
        <f t="shared" si="46"/>
        <v>0</v>
      </c>
      <c r="CA93" s="568">
        <f t="shared" si="46"/>
        <v>0</v>
      </c>
      <c r="CB93" s="567">
        <f t="shared" si="46"/>
        <v>0</v>
      </c>
      <c r="CC93" s="568">
        <f t="shared" si="46"/>
        <v>0</v>
      </c>
      <c r="CD93" s="567">
        <f t="shared" si="46"/>
        <v>0</v>
      </c>
      <c r="CE93" s="568">
        <f t="shared" si="46"/>
        <v>0</v>
      </c>
      <c r="CF93" s="567">
        <f t="shared" si="46"/>
        <v>0</v>
      </c>
      <c r="CG93" s="568">
        <f t="shared" si="46"/>
        <v>0</v>
      </c>
      <c r="CH93" s="567">
        <f t="shared" si="46"/>
        <v>0</v>
      </c>
      <c r="CI93" s="568">
        <f t="shared" si="46"/>
        <v>0</v>
      </c>
      <c r="CJ93" s="567">
        <f t="shared" si="46"/>
        <v>0</v>
      </c>
      <c r="CK93" s="568">
        <f t="shared" si="46"/>
        <v>0</v>
      </c>
      <c r="CL93" s="567">
        <f t="shared" si="46"/>
        <v>0</v>
      </c>
      <c r="CM93" s="568">
        <f t="shared" si="46"/>
        <v>0</v>
      </c>
      <c r="CN93" s="567">
        <f t="shared" si="46"/>
        <v>0</v>
      </c>
      <c r="CO93" s="568">
        <f t="shared" si="46"/>
        <v>0</v>
      </c>
    </row>
    <row r="94" spans="1:95" ht="16" thickBot="1" x14ac:dyDescent="0.25">
      <c r="A94" s="606"/>
      <c r="B94" s="607"/>
      <c r="C94" s="608"/>
      <c r="D94" s="607"/>
      <c r="E94" s="608"/>
      <c r="F94" s="607"/>
      <c r="G94" s="608"/>
      <c r="H94" s="607"/>
      <c r="I94" s="608"/>
      <c r="J94" s="607"/>
      <c r="K94" s="608"/>
      <c r="L94" s="607"/>
      <c r="M94" s="608"/>
      <c r="N94" s="607"/>
      <c r="O94" s="608"/>
      <c r="P94" s="607"/>
      <c r="Q94" s="608"/>
      <c r="R94" s="607"/>
      <c r="S94" s="608"/>
      <c r="T94" s="607"/>
      <c r="U94" s="608"/>
      <c r="V94" s="607"/>
      <c r="W94" s="608"/>
      <c r="X94" s="607"/>
      <c r="Y94" s="608"/>
      <c r="Z94" s="607"/>
      <c r="AA94" s="608"/>
      <c r="AB94" s="607"/>
      <c r="AC94" s="608"/>
      <c r="AD94" s="607"/>
      <c r="AE94" s="608"/>
      <c r="AF94" s="607"/>
      <c r="AG94" s="608"/>
      <c r="AH94" s="607"/>
      <c r="AI94" s="608"/>
      <c r="AJ94" s="607"/>
      <c r="AK94" s="608"/>
      <c r="AL94" s="607"/>
      <c r="AM94" s="608"/>
      <c r="AN94" s="607"/>
      <c r="AO94" s="608"/>
      <c r="AP94" s="607"/>
      <c r="AQ94" s="608"/>
      <c r="AR94" s="607"/>
      <c r="AS94" s="608"/>
      <c r="AT94" s="607"/>
      <c r="AU94" s="608"/>
      <c r="AV94" s="607"/>
      <c r="AW94" s="608"/>
      <c r="AX94" s="607"/>
      <c r="AY94" s="608"/>
      <c r="AZ94" s="607"/>
      <c r="BA94" s="608"/>
      <c r="BB94" s="607"/>
      <c r="BC94" s="608"/>
      <c r="BD94" s="607"/>
      <c r="BE94" s="608"/>
      <c r="BF94" s="607"/>
      <c r="BG94" s="608"/>
      <c r="BH94" s="607"/>
      <c r="BI94" s="608"/>
      <c r="BJ94" s="607"/>
      <c r="BK94" s="608"/>
      <c r="BL94" s="607"/>
      <c r="BM94" s="608"/>
      <c r="BN94" s="607"/>
      <c r="BO94" s="608"/>
      <c r="BP94" s="607"/>
      <c r="BQ94" s="608"/>
      <c r="BR94" s="607"/>
      <c r="BS94" s="608"/>
      <c r="BT94" s="607"/>
      <c r="BU94" s="608"/>
      <c r="BV94" s="607"/>
      <c r="BW94" s="608"/>
      <c r="BX94" s="607"/>
      <c r="BY94" s="608"/>
      <c r="BZ94" s="607"/>
      <c r="CA94" s="608"/>
      <c r="CB94" s="607"/>
      <c r="CC94" s="608"/>
      <c r="CD94" s="607"/>
      <c r="CE94" s="608"/>
      <c r="CF94" s="607"/>
      <c r="CG94" s="608"/>
      <c r="CH94" s="607"/>
      <c r="CI94" s="608"/>
      <c r="CJ94" s="607"/>
      <c r="CK94" s="608"/>
      <c r="CL94" s="607"/>
      <c r="CM94" s="608"/>
      <c r="CN94" s="607"/>
      <c r="CO94" s="608"/>
    </row>
    <row r="95" spans="1:95" x14ac:dyDescent="0.2">
      <c r="A95" s="609"/>
      <c r="B95" s="610"/>
      <c r="C95" s="611"/>
      <c r="D95" s="610"/>
      <c r="E95" s="611"/>
      <c r="F95" s="610"/>
      <c r="G95" s="611"/>
      <c r="H95" s="610"/>
      <c r="I95" s="611"/>
      <c r="J95" s="610"/>
      <c r="K95" s="611"/>
      <c r="L95" s="610"/>
      <c r="M95" s="611"/>
      <c r="N95" s="610"/>
      <c r="O95" s="611"/>
      <c r="P95" s="610"/>
      <c r="Q95" s="611"/>
      <c r="R95" s="610"/>
      <c r="S95" s="611"/>
      <c r="T95" s="610"/>
      <c r="U95" s="611"/>
      <c r="V95" s="610"/>
      <c r="W95" s="611"/>
      <c r="X95" s="610"/>
      <c r="Y95" s="611"/>
      <c r="Z95" s="610"/>
      <c r="AA95" s="611"/>
      <c r="AB95" s="610"/>
      <c r="AC95" s="611"/>
      <c r="AD95" s="610"/>
      <c r="AE95" s="611"/>
      <c r="AF95" s="610"/>
      <c r="AG95" s="611"/>
      <c r="AH95" s="610"/>
      <c r="AI95" s="611"/>
      <c r="AJ95" s="610"/>
      <c r="AK95" s="611"/>
      <c r="AL95" s="610"/>
      <c r="AM95" s="611"/>
      <c r="AN95" s="610"/>
      <c r="AO95" s="611"/>
      <c r="AP95" s="610"/>
      <c r="AQ95" s="611"/>
      <c r="AR95" s="610"/>
      <c r="AS95" s="611"/>
      <c r="AT95" s="610"/>
      <c r="AU95" s="611"/>
      <c r="AV95" s="610"/>
      <c r="AW95" s="611"/>
      <c r="AX95" s="610"/>
      <c r="AY95" s="611"/>
      <c r="AZ95" s="610"/>
      <c r="BA95" s="611"/>
      <c r="BB95" s="610"/>
      <c r="BC95" s="611"/>
      <c r="BD95" s="610"/>
      <c r="BE95" s="611"/>
      <c r="BF95" s="610"/>
      <c r="BG95" s="611"/>
      <c r="BH95" s="610"/>
      <c r="BI95" s="611"/>
      <c r="BJ95" s="610"/>
      <c r="BK95" s="611"/>
      <c r="BL95" s="610"/>
      <c r="BM95" s="611"/>
      <c r="BN95" s="610"/>
      <c r="BO95" s="611"/>
      <c r="BP95" s="610"/>
      <c r="BQ95" s="611"/>
      <c r="BR95" s="610"/>
      <c r="BS95" s="611"/>
      <c r="BT95" s="610"/>
      <c r="BU95" s="611"/>
      <c r="BV95" s="610"/>
      <c r="BW95" s="611"/>
      <c r="BX95" s="610"/>
      <c r="BY95" s="611"/>
      <c r="BZ95" s="610"/>
      <c r="CA95" s="611"/>
      <c r="CB95" s="610"/>
      <c r="CC95" s="611"/>
      <c r="CD95" s="610"/>
      <c r="CE95" s="611"/>
      <c r="CF95" s="610"/>
      <c r="CG95" s="611"/>
      <c r="CH95" s="610"/>
      <c r="CI95" s="611"/>
      <c r="CJ95" s="610"/>
      <c r="CK95" s="611"/>
      <c r="CL95" s="610"/>
      <c r="CM95" s="611"/>
      <c r="CN95" s="610"/>
      <c r="CO95" s="611"/>
    </row>
    <row r="96" spans="1:95" x14ac:dyDescent="0.2">
      <c r="A96" s="583" t="s">
        <v>565</v>
      </c>
      <c r="B96" s="584"/>
      <c r="C96" s="585"/>
      <c r="D96" s="584"/>
      <c r="E96" s="585"/>
      <c r="F96" s="584"/>
      <c r="G96" s="585"/>
      <c r="H96" s="584"/>
      <c r="I96" s="585"/>
      <c r="J96" s="584"/>
      <c r="K96" s="585"/>
      <c r="L96" s="584"/>
      <c r="M96" s="585"/>
      <c r="N96" s="584"/>
      <c r="O96" s="585"/>
      <c r="P96" s="584"/>
      <c r="Q96" s="585"/>
      <c r="R96" s="584"/>
      <c r="S96" s="585"/>
      <c r="T96" s="584"/>
      <c r="U96" s="585"/>
      <c r="V96" s="584"/>
      <c r="W96" s="585"/>
      <c r="X96" s="584"/>
      <c r="Y96" s="585"/>
      <c r="Z96" s="584"/>
      <c r="AA96" s="585"/>
      <c r="AB96" s="584"/>
      <c r="AC96" s="585"/>
      <c r="AD96" s="584"/>
      <c r="AE96" s="585"/>
      <c r="AF96" s="584"/>
      <c r="AG96" s="585"/>
      <c r="AH96" s="584"/>
      <c r="AI96" s="585"/>
      <c r="AJ96" s="584"/>
      <c r="AK96" s="585"/>
      <c r="AL96" s="584"/>
      <c r="AM96" s="585"/>
      <c r="AN96" s="584"/>
      <c r="AO96" s="585"/>
      <c r="AP96" s="584"/>
      <c r="AQ96" s="585"/>
      <c r="AR96" s="584"/>
      <c r="AS96" s="585"/>
      <c r="AT96" s="584"/>
      <c r="AU96" s="585"/>
      <c r="AV96" s="584"/>
      <c r="AW96" s="585"/>
      <c r="AX96" s="584"/>
      <c r="AY96" s="585"/>
      <c r="AZ96" s="584"/>
      <c r="BA96" s="585"/>
      <c r="BB96" s="584"/>
      <c r="BC96" s="585"/>
      <c r="BD96" s="584"/>
      <c r="BE96" s="585"/>
      <c r="BF96" s="584"/>
      <c r="BG96" s="585"/>
      <c r="BH96" s="584"/>
      <c r="BI96" s="585"/>
      <c r="BJ96" s="584"/>
      <c r="BK96" s="585"/>
      <c r="BL96" s="584"/>
      <c r="BM96" s="585"/>
      <c r="BN96" s="584"/>
      <c r="BO96" s="585"/>
      <c r="BP96" s="584"/>
      <c r="BQ96" s="585"/>
      <c r="BR96" s="584"/>
      <c r="BS96" s="585"/>
      <c r="BT96" s="584"/>
      <c r="BU96" s="585"/>
      <c r="BV96" s="584"/>
      <c r="BW96" s="585"/>
      <c r="BX96" s="584"/>
      <c r="BY96" s="585"/>
      <c r="BZ96" s="584"/>
      <c r="CA96" s="585"/>
      <c r="CB96" s="584"/>
      <c r="CC96" s="585"/>
      <c r="CD96" s="584"/>
      <c r="CE96" s="585"/>
      <c r="CF96" s="584"/>
      <c r="CG96" s="585"/>
      <c r="CH96" s="584"/>
      <c r="CI96" s="585"/>
      <c r="CJ96" s="584"/>
      <c r="CK96" s="585"/>
      <c r="CL96" s="584"/>
      <c r="CM96" s="585"/>
      <c r="CN96" s="584"/>
      <c r="CO96" s="585"/>
    </row>
    <row r="97" spans="1:99" outlineLevel="1" x14ac:dyDescent="0.2">
      <c r="A97" s="561" t="s">
        <v>566</v>
      </c>
      <c r="B97" s="584">
        <f t="shared" ref="B97:U97" si="47">B105</f>
        <v>16546</v>
      </c>
      <c r="C97" s="589">
        <f t="shared" si="47"/>
        <v>317499829.21999997</v>
      </c>
      <c r="D97" s="584">
        <f t="shared" si="47"/>
        <v>19404</v>
      </c>
      <c r="E97" s="589">
        <f t="shared" si="47"/>
        <v>320734753.41470075</v>
      </c>
      <c r="F97" s="584">
        <f t="shared" si="47"/>
        <v>21740</v>
      </c>
      <c r="G97" s="589">
        <f t="shared" si="47"/>
        <v>302664556.51145816</v>
      </c>
      <c r="H97" s="584">
        <f t="shared" si="47"/>
        <v>51876</v>
      </c>
      <c r="I97" s="589">
        <f t="shared" si="47"/>
        <v>314299690.18428713</v>
      </c>
      <c r="J97" s="584">
        <f t="shared" si="47"/>
        <v>56864</v>
      </c>
      <c r="K97" s="589">
        <f t="shared" si="47"/>
        <v>307156395.77980131</v>
      </c>
      <c r="L97" s="584">
        <f t="shared" si="47"/>
        <v>55189</v>
      </c>
      <c r="M97" s="589">
        <f t="shared" si="47"/>
        <v>340810769.96383828</v>
      </c>
      <c r="N97" s="584">
        <f t="shared" si="47"/>
        <v>54912</v>
      </c>
      <c r="O97" s="589">
        <f t="shared" si="47"/>
        <v>392253126.84706873</v>
      </c>
      <c r="P97" s="584">
        <f t="shared" si="47"/>
        <v>58033</v>
      </c>
      <c r="Q97" s="589">
        <f t="shared" si="47"/>
        <v>400341377</v>
      </c>
      <c r="R97" s="584">
        <f t="shared" si="47"/>
        <v>66653</v>
      </c>
      <c r="S97" s="589">
        <f t="shared" si="47"/>
        <v>582573216.2428869</v>
      </c>
      <c r="T97" s="584">
        <f t="shared" si="47"/>
        <v>72293</v>
      </c>
      <c r="U97" s="589">
        <f t="shared" si="47"/>
        <v>575230822.78363323</v>
      </c>
      <c r="V97" s="584">
        <f t="shared" ref="V97:CF97" si="48">V105+V121</f>
        <v>75528</v>
      </c>
      <c r="W97" s="589">
        <f t="shared" si="48"/>
        <v>621969415.74726295</v>
      </c>
      <c r="X97" s="584">
        <f t="shared" si="48"/>
        <v>75795</v>
      </c>
      <c r="Y97" s="589">
        <f t="shared" si="48"/>
        <v>595657277.56313348</v>
      </c>
      <c r="Z97" s="584">
        <f t="shared" si="48"/>
        <v>66994</v>
      </c>
      <c r="AA97" s="589">
        <f t="shared" si="48"/>
        <v>455232400.28183824</v>
      </c>
      <c r="AB97" s="584">
        <f t="shared" si="48"/>
        <v>66683</v>
      </c>
      <c r="AC97" s="589">
        <f t="shared" si="48"/>
        <v>414034535.38312852</v>
      </c>
      <c r="AD97" s="584">
        <f t="shared" si="48"/>
        <v>62939</v>
      </c>
      <c r="AE97" s="589">
        <f t="shared" si="48"/>
        <v>386820856.16637725</v>
      </c>
      <c r="AF97" s="584">
        <f t="shared" si="48"/>
        <v>66991</v>
      </c>
      <c r="AG97" s="589">
        <f t="shared" si="48"/>
        <v>388482868.70585567</v>
      </c>
      <c r="AH97" s="584">
        <f t="shared" si="48"/>
        <v>77296</v>
      </c>
      <c r="AI97" s="589">
        <f t="shared" si="48"/>
        <v>445517437.36095417</v>
      </c>
      <c r="AJ97" s="584">
        <f t="shared" si="48"/>
        <v>74961</v>
      </c>
      <c r="AK97" s="589">
        <f t="shared" si="48"/>
        <v>432877039.51872808</v>
      </c>
      <c r="AL97" s="584">
        <f t="shared" si="48"/>
        <v>68553</v>
      </c>
      <c r="AM97" s="589">
        <f t="shared" si="48"/>
        <v>378964561.19446272</v>
      </c>
      <c r="AN97" s="584">
        <f t="shared" si="48"/>
        <v>64181</v>
      </c>
      <c r="AO97" s="589">
        <f t="shared" si="48"/>
        <v>356141823.37423235</v>
      </c>
      <c r="AP97" s="584">
        <f t="shared" si="48"/>
        <v>67582</v>
      </c>
      <c r="AQ97" s="589">
        <f t="shared" si="48"/>
        <v>459814649.10945636</v>
      </c>
      <c r="AR97" s="584">
        <f t="shared" si="48"/>
        <v>59312</v>
      </c>
      <c r="AS97" s="589">
        <f t="shared" si="48"/>
        <v>400967847.03821325</v>
      </c>
      <c r="AT97" s="584">
        <f t="shared" si="48"/>
        <v>54425</v>
      </c>
      <c r="AU97" s="589">
        <f t="shared" si="48"/>
        <v>421466548.17507201</v>
      </c>
      <c r="AV97" s="584">
        <f t="shared" si="48"/>
        <v>52646</v>
      </c>
      <c r="AW97" s="589">
        <f t="shared" si="48"/>
        <v>422060577.72387236</v>
      </c>
      <c r="AX97" s="584">
        <f t="shared" si="48"/>
        <v>45534</v>
      </c>
      <c r="AY97" s="589">
        <f t="shared" si="48"/>
        <v>324390489.83712369</v>
      </c>
      <c r="AZ97" s="584">
        <f t="shared" si="48"/>
        <v>48598</v>
      </c>
      <c r="BA97" s="589">
        <f t="shared" si="48"/>
        <v>289321483.36104965</v>
      </c>
      <c r="BB97" s="584">
        <f t="shared" si="48"/>
        <v>46701</v>
      </c>
      <c r="BC97" s="589">
        <f t="shared" si="48"/>
        <v>258999413.17796946</v>
      </c>
      <c r="BD97" s="584">
        <f t="shared" si="48"/>
        <v>53818</v>
      </c>
      <c r="BE97" s="589">
        <f t="shared" si="48"/>
        <v>228346144.5207434</v>
      </c>
      <c r="BF97" s="584">
        <f t="shared" si="48"/>
        <v>60235</v>
      </c>
      <c r="BG97" s="589">
        <f t="shared" si="48"/>
        <v>353326444.3705743</v>
      </c>
      <c r="BH97" s="584">
        <f t="shared" si="48"/>
        <v>67818</v>
      </c>
      <c r="BI97" s="589">
        <f t="shared" si="48"/>
        <v>409552395.074256</v>
      </c>
      <c r="BJ97" s="584">
        <f t="shared" si="48"/>
        <v>59701</v>
      </c>
      <c r="BK97" s="589">
        <f t="shared" si="48"/>
        <v>490134340.82489604</v>
      </c>
      <c r="BL97" s="584">
        <f t="shared" si="48"/>
        <v>64661</v>
      </c>
      <c r="BM97" s="589">
        <f t="shared" si="48"/>
        <v>589711760.14440477</v>
      </c>
      <c r="BN97" s="584">
        <f t="shared" si="48"/>
        <v>64463</v>
      </c>
      <c r="BO97" s="589">
        <f t="shared" si="48"/>
        <v>704027600.16973686</v>
      </c>
      <c r="BP97" s="584">
        <f t="shared" si="48"/>
        <v>64802</v>
      </c>
      <c r="BQ97" s="589">
        <f t="shared" si="48"/>
        <v>662994843.92343402</v>
      </c>
      <c r="BR97" s="584">
        <f t="shared" si="48"/>
        <v>63100</v>
      </c>
      <c r="BS97" s="589">
        <f t="shared" si="48"/>
        <v>556171348.91951931</v>
      </c>
      <c r="BT97" s="584">
        <f t="shared" si="48"/>
        <v>65898</v>
      </c>
      <c r="BU97" s="589">
        <f t="shared" si="48"/>
        <v>593967000.48253703</v>
      </c>
      <c r="BV97" s="584">
        <f t="shared" si="48"/>
        <v>71168</v>
      </c>
      <c r="BW97" s="589">
        <f t="shared" si="48"/>
        <v>586985484.82040119</v>
      </c>
      <c r="BX97" s="584">
        <f t="shared" si="48"/>
        <v>71804</v>
      </c>
      <c r="BY97" s="589">
        <f t="shared" si="48"/>
        <v>464553072.76809609</v>
      </c>
      <c r="BZ97" s="584">
        <f t="shared" si="48"/>
        <v>72901</v>
      </c>
      <c r="CA97" s="589">
        <f t="shared" si="48"/>
        <v>390701782.15862715</v>
      </c>
      <c r="CB97" s="584">
        <f t="shared" si="48"/>
        <v>82500</v>
      </c>
      <c r="CC97" s="589">
        <f t="shared" si="48"/>
        <v>378930973.97262698</v>
      </c>
      <c r="CD97" s="584">
        <f t="shared" si="48"/>
        <v>91625</v>
      </c>
      <c r="CE97" s="589">
        <f t="shared" si="48"/>
        <v>595375130.26981616</v>
      </c>
      <c r="CF97" s="584">
        <f t="shared" si="48"/>
        <v>99759</v>
      </c>
      <c r="CG97" s="589">
        <f>CG105+CG121</f>
        <v>934537030.41184855</v>
      </c>
      <c r="CH97" s="584">
        <f t="shared" ref="CH97:CO97" si="49">CH105+CH121</f>
        <v>98308</v>
      </c>
      <c r="CI97" s="589">
        <f t="shared" si="49"/>
        <v>1059670491.2359835</v>
      </c>
      <c r="CJ97" s="584">
        <f t="shared" si="49"/>
        <v>96407</v>
      </c>
      <c r="CK97" s="589">
        <f t="shared" si="49"/>
        <v>1039142136.6721532</v>
      </c>
      <c r="CL97" s="584">
        <f t="shared" si="49"/>
        <v>89984</v>
      </c>
      <c r="CM97" s="589">
        <f t="shared" si="49"/>
        <v>972927415.14215374</v>
      </c>
      <c r="CN97" s="584">
        <f t="shared" si="49"/>
        <v>79853</v>
      </c>
      <c r="CO97" s="589">
        <f t="shared" si="49"/>
        <v>885620105.13420236</v>
      </c>
    </row>
    <row r="98" spans="1:99" outlineLevel="1" x14ac:dyDescent="0.2">
      <c r="A98" s="604"/>
      <c r="B98" s="567"/>
      <c r="C98" s="572"/>
      <c r="D98" s="567"/>
      <c r="E98" s="572"/>
      <c r="F98" s="567"/>
      <c r="G98" s="572"/>
      <c r="H98" s="567"/>
      <c r="I98" s="572"/>
      <c r="J98" s="567"/>
      <c r="K98" s="572"/>
      <c r="L98" s="567"/>
      <c r="M98" s="572"/>
      <c r="N98" s="567"/>
      <c r="O98" s="572"/>
      <c r="P98" s="567"/>
      <c r="Q98" s="572"/>
      <c r="R98" s="567"/>
      <c r="S98" s="572"/>
      <c r="T98" s="567"/>
      <c r="U98" s="572"/>
      <c r="V98" s="567"/>
      <c r="W98" s="572"/>
      <c r="X98" s="567"/>
      <c r="Y98" s="572"/>
      <c r="Z98" s="567"/>
      <c r="AA98" s="572"/>
      <c r="AB98" s="567"/>
      <c r="AC98" s="572"/>
      <c r="AD98" s="567"/>
      <c r="AE98" s="572"/>
      <c r="AF98" s="567"/>
      <c r="AG98" s="572"/>
      <c r="AH98" s="567"/>
      <c r="AI98" s="572"/>
      <c r="AJ98" s="567"/>
      <c r="AK98" s="572"/>
      <c r="AL98" s="567"/>
      <c r="AM98" s="572"/>
      <c r="AN98" s="567"/>
      <c r="AO98" s="572"/>
      <c r="AP98" s="567"/>
      <c r="AQ98" s="572"/>
      <c r="AR98" s="567"/>
      <c r="AS98" s="572"/>
      <c r="AT98" s="567"/>
      <c r="AU98" s="572"/>
      <c r="AV98" s="567"/>
      <c r="AW98" s="572"/>
      <c r="AX98" s="567"/>
      <c r="AY98" s="572"/>
      <c r="AZ98" s="567"/>
      <c r="BA98" s="572"/>
      <c r="BB98" s="567"/>
      <c r="BC98" s="572"/>
      <c r="BD98" s="567"/>
      <c r="BE98" s="572"/>
      <c r="BF98" s="567"/>
      <c r="BG98" s="572"/>
      <c r="BH98" s="567"/>
      <c r="BI98" s="572"/>
      <c r="BJ98" s="567"/>
      <c r="BK98" s="572"/>
      <c r="BL98" s="567"/>
      <c r="BM98" s="572"/>
      <c r="BN98" s="567"/>
      <c r="BO98" s="572"/>
      <c r="BP98" s="567"/>
      <c r="BQ98" s="572"/>
      <c r="BR98" s="567"/>
      <c r="BS98" s="572"/>
      <c r="BT98" s="567"/>
      <c r="BU98" s="572"/>
      <c r="BV98" s="567"/>
      <c r="BW98" s="572"/>
      <c r="BX98" s="567"/>
      <c r="BY98" s="572"/>
      <c r="BZ98" s="567"/>
      <c r="CA98" s="572"/>
      <c r="CB98" s="567"/>
      <c r="CC98" s="572"/>
      <c r="CD98" s="567"/>
      <c r="CE98" s="572"/>
      <c r="CF98" s="567"/>
      <c r="CG98" s="572"/>
      <c r="CH98" s="567"/>
      <c r="CI98" s="572"/>
      <c r="CJ98" s="567"/>
      <c r="CK98" s="572"/>
      <c r="CL98" s="567"/>
      <c r="CM98" s="572"/>
      <c r="CN98" s="567"/>
      <c r="CO98" s="572"/>
    </row>
    <row r="99" spans="1:99" ht="16" customHeight="1" outlineLevel="1" x14ac:dyDescent="0.2">
      <c r="A99" s="553" t="s">
        <v>567</v>
      </c>
      <c r="B99" s="554"/>
      <c r="C99" s="555"/>
      <c r="D99" s="554"/>
      <c r="E99" s="555"/>
      <c r="F99" s="554"/>
      <c r="G99" s="555"/>
      <c r="H99" s="554"/>
      <c r="I99" s="555"/>
      <c r="J99" s="554"/>
      <c r="K99" s="555"/>
      <c r="L99" s="554"/>
      <c r="M99" s="555"/>
      <c r="N99" s="554"/>
      <c r="O99" s="555"/>
      <c r="P99" s="554"/>
      <c r="Q99" s="555"/>
      <c r="R99" s="554"/>
      <c r="S99" s="555"/>
      <c r="T99" s="554"/>
      <c r="U99" s="555"/>
      <c r="V99" s="554"/>
      <c r="W99" s="555"/>
      <c r="X99" s="554"/>
      <c r="Y99" s="555"/>
      <c r="Z99" s="554"/>
      <c r="AA99" s="555"/>
      <c r="AB99" s="554"/>
      <c r="AC99" s="555"/>
      <c r="AD99" s="554"/>
      <c r="AE99" s="555"/>
      <c r="AF99" s="554"/>
      <c r="AG99" s="555"/>
      <c r="AH99" s="554"/>
      <c r="AI99" s="555"/>
      <c r="AJ99" s="554"/>
      <c r="AK99" s="555"/>
      <c r="AL99" s="554"/>
      <c r="AM99" s="555"/>
      <c r="AN99" s="554"/>
      <c r="AO99" s="555"/>
      <c r="AP99" s="554"/>
      <c r="AQ99" s="555"/>
      <c r="AR99" s="554"/>
      <c r="AS99" s="555"/>
      <c r="AT99" s="554"/>
      <c r="AU99" s="555"/>
      <c r="AV99" s="554"/>
      <c r="AW99" s="555"/>
      <c r="AX99" s="554"/>
      <c r="AY99" s="555"/>
      <c r="AZ99" s="554"/>
      <c r="BA99" s="555"/>
      <c r="BB99" s="554"/>
      <c r="BC99" s="555"/>
      <c r="BD99" s="554"/>
      <c r="BE99" s="555"/>
      <c r="BF99" s="554"/>
      <c r="BG99" s="555"/>
      <c r="BH99" s="554"/>
      <c r="BI99" s="555"/>
      <c r="BJ99" s="554"/>
      <c r="BK99" s="555"/>
      <c r="BL99" s="554"/>
      <c r="BM99" s="555"/>
      <c r="BN99" s="554"/>
      <c r="BO99" s="555"/>
      <c r="BP99" s="554"/>
      <c r="BQ99" s="555"/>
      <c r="BR99" s="554"/>
      <c r="BS99" s="555"/>
      <c r="BT99" s="554"/>
      <c r="BU99" s="555"/>
      <c r="BV99" s="554"/>
      <c r="BW99" s="555"/>
      <c r="BX99" s="554"/>
      <c r="BY99" s="555"/>
      <c r="BZ99" s="554"/>
      <c r="CA99" s="555"/>
      <c r="CB99" s="554"/>
      <c r="CC99" s="555"/>
      <c r="CD99" s="554"/>
      <c r="CE99" s="555"/>
      <c r="CF99" s="554"/>
      <c r="CG99" s="555"/>
      <c r="CH99" s="554"/>
      <c r="CI99" s="555"/>
      <c r="CJ99" s="554"/>
      <c r="CK99" s="555"/>
      <c r="CL99" s="554"/>
      <c r="CM99" s="555"/>
      <c r="CN99" s="554"/>
      <c r="CO99" s="555"/>
    </row>
    <row r="100" spans="1:99" outlineLevel="1" x14ac:dyDescent="0.2">
      <c r="A100" s="561" t="s">
        <v>521</v>
      </c>
      <c r="B100" s="562">
        <v>6854</v>
      </c>
      <c r="C100" s="563">
        <v>123747144.88</v>
      </c>
      <c r="D100" s="562">
        <v>10509</v>
      </c>
      <c r="E100" s="563">
        <v>157560301.24470079</v>
      </c>
      <c r="F100" s="562">
        <v>11502</v>
      </c>
      <c r="G100" s="563">
        <v>146055556.85145813</v>
      </c>
      <c r="H100" s="562">
        <v>3019</v>
      </c>
      <c r="I100" s="563">
        <v>21684586.719576195</v>
      </c>
      <c r="J100" s="562">
        <v>11256</v>
      </c>
      <c r="K100" s="563">
        <v>86214261.636613354</v>
      </c>
      <c r="L100" s="562">
        <v>14529</v>
      </c>
      <c r="M100" s="563">
        <v>174989246.95642716</v>
      </c>
      <c r="N100" s="562">
        <f>(((11707+1084)+14055)-14055)+14055</f>
        <v>26846</v>
      </c>
      <c r="O100" s="563">
        <f>(((79923832.6440697+10734620)+114229893.734999)-114229893.734999)+113945615.005085</f>
        <v>204604067.64915472</v>
      </c>
      <c r="P100" s="562">
        <v>5944</v>
      </c>
      <c r="Q100" s="563">
        <v>107193076</v>
      </c>
      <c r="R100" s="562">
        <v>18181</v>
      </c>
      <c r="S100" s="563">
        <v>224940284.47823822</v>
      </c>
      <c r="T100" s="562">
        <v>9638</v>
      </c>
      <c r="U100" s="563">
        <v>154792996.71000001</v>
      </c>
      <c r="V100" s="562">
        <v>12465</v>
      </c>
      <c r="W100" s="563">
        <v>211654179.60000607</v>
      </c>
      <c r="X100" s="562">
        <v>11826</v>
      </c>
      <c r="Y100" s="563">
        <v>174082243.91000116</v>
      </c>
      <c r="Z100" s="562">
        <v>3800</v>
      </c>
      <c r="AA100" s="563">
        <v>68194524.239130452</v>
      </c>
      <c r="AB100" s="562">
        <v>11364</v>
      </c>
      <c r="AC100" s="563">
        <v>152811404.5199998</v>
      </c>
      <c r="AD100" s="562">
        <v>7720</v>
      </c>
      <c r="AE100" s="563">
        <v>118717477.32000002</v>
      </c>
      <c r="AF100" s="562">
        <v>8489</v>
      </c>
      <c r="AG100" s="563">
        <v>142229912.59</v>
      </c>
      <c r="AH100" s="562">
        <v>13452</v>
      </c>
      <c r="AI100" s="563">
        <v>212903965.67000002</v>
      </c>
      <c r="AJ100" s="562">
        <v>11562</v>
      </c>
      <c r="AK100" s="563">
        <v>184275493.22</v>
      </c>
      <c r="AL100" s="562">
        <v>7904</v>
      </c>
      <c r="AM100" s="563">
        <v>123656577.72780828</v>
      </c>
      <c r="AN100" s="562">
        <v>7787</v>
      </c>
      <c r="AO100" s="563">
        <v>114359319</v>
      </c>
      <c r="AP100" s="562">
        <v>11657</v>
      </c>
      <c r="AQ100" s="563">
        <v>177295074.89999998</v>
      </c>
      <c r="AR100" s="562">
        <v>6661</v>
      </c>
      <c r="AS100" s="563">
        <v>108082585.19999999</v>
      </c>
      <c r="AT100" s="562">
        <v>9369</v>
      </c>
      <c r="AU100" s="563">
        <v>153372870</v>
      </c>
      <c r="AV100" s="562">
        <v>11575</v>
      </c>
      <c r="AW100" s="563">
        <v>172008337.40000001</v>
      </c>
      <c r="AX100" s="562">
        <v>8289</v>
      </c>
      <c r="AY100" s="563">
        <v>123416548.79999998</v>
      </c>
      <c r="AZ100" s="562">
        <v>8727</v>
      </c>
      <c r="BA100" s="563">
        <v>141158565.30000001</v>
      </c>
      <c r="BB100" s="562">
        <v>7241</v>
      </c>
      <c r="BC100" s="563">
        <v>113583751.40800001</v>
      </c>
      <c r="BD100" s="562">
        <v>5470</v>
      </c>
      <c r="BE100" s="563">
        <v>102306031.41000004</v>
      </c>
      <c r="BF100" s="562">
        <v>9355</v>
      </c>
      <c r="BG100" s="563">
        <v>169829882.69999999</v>
      </c>
      <c r="BH100" s="562">
        <v>10587</v>
      </c>
      <c r="BI100" s="563">
        <v>192247512.74000001</v>
      </c>
      <c r="BJ100" s="562">
        <v>10498</v>
      </c>
      <c r="BK100" s="563">
        <v>186796695.08000013</v>
      </c>
      <c r="BL100" s="562">
        <v>12771</v>
      </c>
      <c r="BM100" s="563">
        <v>228656639.60000005</v>
      </c>
      <c r="BN100" s="562">
        <v>12617</v>
      </c>
      <c r="BO100" s="563">
        <v>257203880.26999995</v>
      </c>
      <c r="BP100" s="562">
        <v>9508</v>
      </c>
      <c r="BQ100" s="563">
        <v>175234735.81999999</v>
      </c>
      <c r="BR100" s="562">
        <v>8036</v>
      </c>
      <c r="BS100" s="563">
        <v>161482629.25000006</v>
      </c>
      <c r="BT100" s="562">
        <v>13184</v>
      </c>
      <c r="BU100" s="563">
        <v>252131932.06000009</v>
      </c>
      <c r="BV100" s="562">
        <v>10798</v>
      </c>
      <c r="BW100" s="563">
        <v>206866050.22000009</v>
      </c>
      <c r="BX100" s="562">
        <v>8267</v>
      </c>
      <c r="BY100" s="563">
        <v>144471758.89999998</v>
      </c>
      <c r="BZ100" s="562">
        <v>8906</v>
      </c>
      <c r="CA100" s="563">
        <v>149348225.31999999</v>
      </c>
      <c r="CB100" s="562">
        <v>9202</v>
      </c>
      <c r="CC100" s="563">
        <v>165299083.30000001</v>
      </c>
      <c r="CD100" s="562">
        <v>12542</v>
      </c>
      <c r="CE100" s="563">
        <v>260909379.30000001</v>
      </c>
      <c r="CF100" s="562">
        <v>17939</v>
      </c>
      <c r="CG100" s="563">
        <v>350113556.36999935</v>
      </c>
      <c r="CH100" s="562">
        <v>16527</v>
      </c>
      <c r="CI100" s="563">
        <v>314537227.92999989</v>
      </c>
      <c r="CJ100" s="562">
        <v>13409</v>
      </c>
      <c r="CK100" s="563">
        <v>286103323.57000047</v>
      </c>
      <c r="CL100" s="562">
        <v>15658</v>
      </c>
      <c r="CM100" s="563">
        <v>287260971.4400003</v>
      </c>
      <c r="CN100" s="562">
        <v>12101</v>
      </c>
      <c r="CO100" s="563">
        <v>302750663.32599866</v>
      </c>
      <c r="CT100" s="573">
        <v>6751</v>
      </c>
      <c r="CU100" s="573">
        <v>189152980.81999964</v>
      </c>
    </row>
    <row r="101" spans="1:99" outlineLevel="1" x14ac:dyDescent="0.2">
      <c r="A101" s="561" t="s">
        <v>522</v>
      </c>
      <c r="B101" s="562">
        <v>3389</v>
      </c>
      <c r="C101" s="563">
        <v>70731298.909999996</v>
      </c>
      <c r="D101" s="562">
        <v>3746</v>
      </c>
      <c r="E101" s="563">
        <v>63059194</v>
      </c>
      <c r="F101" s="562">
        <v>3037</v>
      </c>
      <c r="G101" s="563">
        <v>39587425</v>
      </c>
      <c r="H101" s="562">
        <v>0</v>
      </c>
      <c r="I101" s="563">
        <v>0</v>
      </c>
      <c r="J101" s="562">
        <v>15944</v>
      </c>
      <c r="K101" s="563">
        <v>78716490.394243166</v>
      </c>
      <c r="L101" s="562">
        <v>6684</v>
      </c>
      <c r="M101" s="563">
        <v>48944645.102880262</v>
      </c>
      <c r="N101" s="562">
        <f>(((229+2+37)+5880)-5880)+5879</f>
        <v>6147</v>
      </c>
      <c r="O101" s="563">
        <f>(((1374184.12711864+23845.2542372881+108280)+70159232.2922534)-70159232.2922534)+70078546.5084743</f>
        <v>71584855.889830232</v>
      </c>
      <c r="P101" s="562">
        <v>3610</v>
      </c>
      <c r="Q101" s="563">
        <v>73509451</v>
      </c>
      <c r="R101" s="562">
        <v>8655</v>
      </c>
      <c r="S101" s="563">
        <v>108678467.63717641</v>
      </c>
      <c r="T101" s="562">
        <v>17253</v>
      </c>
      <c r="U101" s="563">
        <v>113125969.82003164</v>
      </c>
      <c r="V101" s="562">
        <v>5907</v>
      </c>
      <c r="W101" s="563">
        <v>104888768.76400034</v>
      </c>
      <c r="X101" s="562">
        <v>6817</v>
      </c>
      <c r="Y101" s="563">
        <v>105387046.21999972</v>
      </c>
      <c r="Z101" s="562">
        <v>6280</v>
      </c>
      <c r="AA101" s="563">
        <v>95592425.121739149</v>
      </c>
      <c r="AB101" s="562">
        <v>3907</v>
      </c>
      <c r="AC101" s="563">
        <v>63688416.530000001</v>
      </c>
      <c r="AD101" s="562">
        <v>5405</v>
      </c>
      <c r="AE101" s="563">
        <v>75530804.389999986</v>
      </c>
      <c r="AF101" s="562">
        <v>4449</v>
      </c>
      <c r="AG101" s="563">
        <v>68070333.24000001</v>
      </c>
      <c r="AH101" s="562">
        <v>5722</v>
      </c>
      <c r="AI101" s="563">
        <v>90958459.379999995</v>
      </c>
      <c r="AJ101" s="562">
        <v>5427</v>
      </c>
      <c r="AK101" s="563">
        <v>80373797.674977228</v>
      </c>
      <c r="AL101" s="562">
        <v>4029</v>
      </c>
      <c r="AM101" s="563">
        <v>59216270.596105225</v>
      </c>
      <c r="AN101" s="562">
        <v>5093</v>
      </c>
      <c r="AO101" s="563">
        <v>69767966</v>
      </c>
      <c r="AP101" s="562">
        <v>5585</v>
      </c>
      <c r="AQ101" s="563">
        <v>81417819</v>
      </c>
      <c r="AR101" s="562">
        <v>5108</v>
      </c>
      <c r="AS101" s="563">
        <v>72343049.700000018</v>
      </c>
      <c r="AT101" s="562">
        <v>4549</v>
      </c>
      <c r="AU101" s="563">
        <v>77876613.5</v>
      </c>
      <c r="AV101" s="562">
        <v>4027</v>
      </c>
      <c r="AW101" s="563">
        <v>66623245.399999999</v>
      </c>
      <c r="AX101" s="562">
        <v>3515</v>
      </c>
      <c r="AY101" s="563">
        <v>53317766.220000006</v>
      </c>
      <c r="AZ101" s="562">
        <v>3016</v>
      </c>
      <c r="BA101" s="563">
        <v>43252298.899999999</v>
      </c>
      <c r="BB101" s="562">
        <v>2531</v>
      </c>
      <c r="BC101" s="563">
        <v>40519685.000000007</v>
      </c>
      <c r="BD101" s="562">
        <v>2070</v>
      </c>
      <c r="BE101" s="563">
        <v>34105612.590000011</v>
      </c>
      <c r="BF101" s="562">
        <v>4007</v>
      </c>
      <c r="BG101" s="563">
        <v>73858606.030000001</v>
      </c>
      <c r="BH101" s="562">
        <v>4177</v>
      </c>
      <c r="BI101" s="563">
        <v>83829999.400000006</v>
      </c>
      <c r="BJ101" s="562">
        <v>7033</v>
      </c>
      <c r="BK101" s="563">
        <v>120961306.59999999</v>
      </c>
      <c r="BL101" s="562">
        <v>6747</v>
      </c>
      <c r="BM101" s="563">
        <v>119401435.62</v>
      </c>
      <c r="BN101" s="562">
        <v>7867</v>
      </c>
      <c r="BO101" s="563">
        <v>147645230.78</v>
      </c>
      <c r="BP101" s="562">
        <v>6692</v>
      </c>
      <c r="BQ101" s="563">
        <v>131971635.03</v>
      </c>
      <c r="BR101" s="562">
        <v>4232</v>
      </c>
      <c r="BS101" s="563">
        <v>79483945.900000006</v>
      </c>
      <c r="BT101" s="562">
        <v>4760</v>
      </c>
      <c r="BU101" s="563">
        <v>86580322.370000005</v>
      </c>
      <c r="BV101" s="562">
        <v>6403</v>
      </c>
      <c r="BW101" s="563">
        <v>127634485.77000003</v>
      </c>
      <c r="BX101" s="562">
        <v>4298</v>
      </c>
      <c r="BY101" s="563">
        <v>75265167.159999996</v>
      </c>
      <c r="BZ101" s="562">
        <v>3119</v>
      </c>
      <c r="CA101" s="563">
        <v>50630642.200000003</v>
      </c>
      <c r="CB101" s="562">
        <v>3861</v>
      </c>
      <c r="CC101" s="563">
        <v>48614326.200000003</v>
      </c>
      <c r="CD101" s="562">
        <v>7875</v>
      </c>
      <c r="CE101" s="563">
        <v>143344132.89999998</v>
      </c>
      <c r="CF101" s="562">
        <v>11048</v>
      </c>
      <c r="CG101" s="563">
        <v>232689689.10000038</v>
      </c>
      <c r="CH101" s="562">
        <v>11832</v>
      </c>
      <c r="CI101" s="563">
        <v>231306290.01999998</v>
      </c>
      <c r="CJ101" s="562">
        <v>9936</v>
      </c>
      <c r="CK101" s="563">
        <v>163893277.73000038</v>
      </c>
      <c r="CL101" s="562">
        <v>7516</v>
      </c>
      <c r="CM101" s="563">
        <v>158417752.86999971</v>
      </c>
      <c r="CN101" s="562">
        <v>5499</v>
      </c>
      <c r="CO101" s="563">
        <v>140919693.46000004</v>
      </c>
      <c r="CT101" s="573">
        <v>5422</v>
      </c>
      <c r="CU101" s="573">
        <v>146381217.28000036</v>
      </c>
    </row>
    <row r="102" spans="1:99" outlineLevel="1" x14ac:dyDescent="0.2">
      <c r="A102" s="561" t="s">
        <v>523</v>
      </c>
      <c r="B102" s="562">
        <v>4119</v>
      </c>
      <c r="C102" s="563">
        <v>85535320.030000001</v>
      </c>
      <c r="D102" s="562">
        <v>2482</v>
      </c>
      <c r="E102" s="563">
        <v>51152930.659999996</v>
      </c>
      <c r="F102" s="562">
        <v>5197</v>
      </c>
      <c r="G102" s="563">
        <v>79311258.670000002</v>
      </c>
      <c r="H102" s="562">
        <v>22660</v>
      </c>
      <c r="I102" s="563">
        <v>174402702.60187215</v>
      </c>
      <c r="J102" s="562">
        <v>12219</v>
      </c>
      <c r="K102" s="563">
        <v>73718292.877801225</v>
      </c>
      <c r="L102" s="562">
        <v>14227</v>
      </c>
      <c r="M102" s="563">
        <v>47338097.410674453</v>
      </c>
      <c r="N102" s="562">
        <v>5232</v>
      </c>
      <c r="O102" s="563">
        <v>53027391.569490574</v>
      </c>
      <c r="P102" s="562">
        <v>36515</v>
      </c>
      <c r="Q102" s="563">
        <v>81450523</v>
      </c>
      <c r="R102" s="562">
        <v>26542</v>
      </c>
      <c r="S102" s="563">
        <v>134992956.68307617</v>
      </c>
      <c r="T102" s="562">
        <v>16369</v>
      </c>
      <c r="U102" s="563">
        <v>172379740.12320411</v>
      </c>
      <c r="V102" s="562">
        <v>6283</v>
      </c>
      <c r="W102" s="563">
        <v>123624685.21999934</v>
      </c>
      <c r="X102" s="562">
        <v>8836</v>
      </c>
      <c r="Y102" s="563">
        <v>149296228.05999357</v>
      </c>
      <c r="Z102" s="562">
        <v>7875</v>
      </c>
      <c r="AA102" s="563">
        <v>123177102.82999998</v>
      </c>
      <c r="AB102" s="562">
        <v>3865</v>
      </c>
      <c r="AC102" s="563">
        <v>64464739.213043489</v>
      </c>
      <c r="AD102" s="562">
        <v>6411</v>
      </c>
      <c r="AE102" s="563">
        <v>93389708.970000058</v>
      </c>
      <c r="AF102" s="562">
        <v>5149</v>
      </c>
      <c r="AG102" s="563">
        <v>75535176.280000001</v>
      </c>
      <c r="AH102" s="562">
        <v>4177</v>
      </c>
      <c r="AI102" s="563">
        <v>52432486.300000004</v>
      </c>
      <c r="AJ102" s="562">
        <v>6544</v>
      </c>
      <c r="AK102" s="563">
        <v>92574097.469999984</v>
      </c>
      <c r="AL102" s="562">
        <v>6705</v>
      </c>
      <c r="AM102" s="563">
        <v>95016367.909999996</v>
      </c>
      <c r="AN102" s="562">
        <v>5400</v>
      </c>
      <c r="AO102" s="563">
        <v>76366614</v>
      </c>
      <c r="AP102" s="562">
        <v>7035</v>
      </c>
      <c r="AQ102" s="563">
        <v>92233633</v>
      </c>
      <c r="AR102" s="562">
        <v>9066</v>
      </c>
      <c r="AS102" s="563">
        <v>130529785.8</v>
      </c>
      <c r="AT102" s="562">
        <v>5367</v>
      </c>
      <c r="AU102" s="563">
        <v>77756505.900000006</v>
      </c>
      <c r="AV102" s="562">
        <v>5594</v>
      </c>
      <c r="AW102" s="563">
        <v>90577267</v>
      </c>
      <c r="AX102" s="562">
        <v>5134</v>
      </c>
      <c r="AY102" s="563">
        <v>78589786.400000006</v>
      </c>
      <c r="AZ102" s="562">
        <v>2968</v>
      </c>
      <c r="BA102" s="563">
        <v>43263916</v>
      </c>
      <c r="BB102" s="562">
        <v>3131</v>
      </c>
      <c r="BC102" s="563">
        <v>46108870.300000004</v>
      </c>
      <c r="BD102" s="562">
        <v>2276</v>
      </c>
      <c r="BE102" s="563">
        <v>31925774.141999997</v>
      </c>
      <c r="BF102" s="562">
        <v>2734</v>
      </c>
      <c r="BG102" s="563">
        <v>49496619.819999993</v>
      </c>
      <c r="BH102" s="562">
        <v>4408</v>
      </c>
      <c r="BI102" s="563">
        <v>80465965.74000001</v>
      </c>
      <c r="BJ102" s="562">
        <v>6142</v>
      </c>
      <c r="BK102" s="563">
        <v>113102861.12</v>
      </c>
      <c r="BL102" s="562">
        <v>8031</v>
      </c>
      <c r="BM102" s="563">
        <v>137532115.09999999</v>
      </c>
      <c r="BN102" s="562">
        <v>10283</v>
      </c>
      <c r="BO102" s="563">
        <v>173353142.66000003</v>
      </c>
      <c r="BP102" s="562">
        <v>10743</v>
      </c>
      <c r="BQ102" s="563">
        <v>194640625.59</v>
      </c>
      <c r="BR102" s="562">
        <v>7012</v>
      </c>
      <c r="BS102" s="563">
        <v>123537017.23999999</v>
      </c>
      <c r="BT102" s="562">
        <v>5212</v>
      </c>
      <c r="BU102" s="563">
        <v>95701195.959999993</v>
      </c>
      <c r="BV102" s="562">
        <v>6384</v>
      </c>
      <c r="BW102" s="563">
        <v>117813024.54000001</v>
      </c>
      <c r="BX102" s="562">
        <v>6073</v>
      </c>
      <c r="BY102" s="563">
        <v>110219393.49000002</v>
      </c>
      <c r="BZ102" s="562">
        <v>3871</v>
      </c>
      <c r="CA102" s="563">
        <v>65037063.100000009</v>
      </c>
      <c r="CB102" s="562">
        <v>4060</v>
      </c>
      <c r="CC102" s="563">
        <v>60432828.32</v>
      </c>
      <c r="CD102" s="562">
        <v>5686</v>
      </c>
      <c r="CE102" s="563">
        <v>74914065.62999998</v>
      </c>
      <c r="CF102" s="562">
        <v>10701</v>
      </c>
      <c r="CG102" s="563">
        <v>215638634.40000001</v>
      </c>
      <c r="CH102" s="562">
        <v>14565</v>
      </c>
      <c r="CI102" s="563">
        <v>302269233.40000063</v>
      </c>
      <c r="CJ102" s="562">
        <v>13259</v>
      </c>
      <c r="CK102" s="563">
        <v>265630626.32000005</v>
      </c>
      <c r="CL102" s="562">
        <v>9609</v>
      </c>
      <c r="CM102" s="563">
        <v>184615435.31000033</v>
      </c>
      <c r="CN102" s="562">
        <v>9109</v>
      </c>
      <c r="CO102" s="563">
        <v>181461984.40000033</v>
      </c>
      <c r="CT102" s="573">
        <v>10674</v>
      </c>
      <c r="CU102" s="573">
        <v>215857291.05599794</v>
      </c>
    </row>
    <row r="103" spans="1:99" outlineLevel="1" x14ac:dyDescent="0.2">
      <c r="A103" s="561" t="s">
        <v>524</v>
      </c>
      <c r="B103" s="562">
        <v>1476</v>
      </c>
      <c r="C103" s="563">
        <v>27052513.399999999</v>
      </c>
      <c r="D103" s="562">
        <v>1396</v>
      </c>
      <c r="E103" s="563">
        <v>30446574.280000001</v>
      </c>
      <c r="F103" s="562">
        <v>828</v>
      </c>
      <c r="G103" s="563">
        <v>17766663.66</v>
      </c>
      <c r="H103" s="562">
        <v>12997</v>
      </c>
      <c r="I103" s="563">
        <v>65021746.847415417</v>
      </c>
      <c r="J103" s="562">
        <v>8235</v>
      </c>
      <c r="K103" s="563">
        <v>37659254.16470249</v>
      </c>
      <c r="L103" s="562">
        <v>7471</v>
      </c>
      <c r="M103" s="563">
        <v>33314224.626610432</v>
      </c>
      <c r="N103" s="562">
        <v>7129</v>
      </c>
      <c r="O103" s="563">
        <v>22544193.752542295</v>
      </c>
      <c r="P103" s="562">
        <v>2254</v>
      </c>
      <c r="Q103" s="563">
        <v>44074572</v>
      </c>
      <c r="R103" s="562">
        <v>8268</v>
      </c>
      <c r="S103" s="563">
        <v>43679679.881846525</v>
      </c>
      <c r="T103" s="562">
        <v>19740</v>
      </c>
      <c r="U103" s="563">
        <v>72407495.37429592</v>
      </c>
      <c r="V103" s="562">
        <v>4390</v>
      </c>
      <c r="W103" s="563">
        <v>84287472.775999874</v>
      </c>
      <c r="X103" s="562">
        <v>3483</v>
      </c>
      <c r="Y103" s="563">
        <v>67938543.169994041</v>
      </c>
      <c r="Z103" s="562">
        <v>4076</v>
      </c>
      <c r="AA103" s="563">
        <v>70550204.907826096</v>
      </c>
      <c r="AB103" s="562">
        <v>3152</v>
      </c>
      <c r="AC103" s="563">
        <v>52023884.14260871</v>
      </c>
      <c r="AD103" s="562">
        <v>1623</v>
      </c>
      <c r="AE103" s="563">
        <v>27793286.956521738</v>
      </c>
      <c r="AF103" s="562">
        <v>2820</v>
      </c>
      <c r="AG103" s="563">
        <v>42173450.440000005</v>
      </c>
      <c r="AH103" s="562">
        <v>2141</v>
      </c>
      <c r="AI103" s="563">
        <v>25170782.080000006</v>
      </c>
      <c r="AJ103" s="562">
        <v>1919</v>
      </c>
      <c r="AK103" s="563">
        <v>22325372.800000001</v>
      </c>
      <c r="AL103" s="562">
        <v>3949</v>
      </c>
      <c r="AM103" s="563">
        <v>51626200.759999998</v>
      </c>
      <c r="AN103" s="562">
        <v>2895</v>
      </c>
      <c r="AO103" s="563">
        <v>39149769.770000003</v>
      </c>
      <c r="AP103" s="562">
        <v>3514</v>
      </c>
      <c r="AQ103" s="563">
        <v>49551915.5</v>
      </c>
      <c r="AR103" s="562">
        <v>3219</v>
      </c>
      <c r="AS103" s="563">
        <v>37168752</v>
      </c>
      <c r="AT103" s="562">
        <v>4267</v>
      </c>
      <c r="AU103" s="563">
        <v>62356519.700000003</v>
      </c>
      <c r="AV103" s="562">
        <v>2569</v>
      </c>
      <c r="AW103" s="563">
        <v>35516411</v>
      </c>
      <c r="AX103" s="562">
        <v>1990</v>
      </c>
      <c r="AY103" s="563">
        <v>32725219.5</v>
      </c>
      <c r="AZ103" s="562">
        <v>1740</v>
      </c>
      <c r="BA103" s="563">
        <v>24726658.5</v>
      </c>
      <c r="BB103" s="562">
        <v>1297</v>
      </c>
      <c r="BC103" s="563">
        <v>18892575.300000001</v>
      </c>
      <c r="BD103" s="562">
        <v>1296</v>
      </c>
      <c r="BE103" s="563">
        <v>18053658.099999998</v>
      </c>
      <c r="BF103" s="562">
        <v>1069</v>
      </c>
      <c r="BG103" s="563">
        <v>15747110</v>
      </c>
      <c r="BH103" s="562">
        <v>834</v>
      </c>
      <c r="BI103" s="563">
        <v>13122077.199999999</v>
      </c>
      <c r="BJ103" s="562">
        <v>2053</v>
      </c>
      <c r="BK103" s="563">
        <v>38809637.230000004</v>
      </c>
      <c r="BL103" s="562">
        <v>3456</v>
      </c>
      <c r="BM103" s="563">
        <v>63435985.309999995</v>
      </c>
      <c r="BN103" s="562">
        <v>4395</v>
      </c>
      <c r="BO103" s="563">
        <v>77254543.560000017</v>
      </c>
      <c r="BP103" s="562">
        <v>5957</v>
      </c>
      <c r="BQ103" s="563">
        <v>98780636.280000001</v>
      </c>
      <c r="BR103" s="562">
        <v>5668</v>
      </c>
      <c r="BS103" s="563">
        <v>97615559.710000008</v>
      </c>
      <c r="BT103" s="562">
        <v>2967</v>
      </c>
      <c r="BU103" s="563">
        <v>53545369.469999999</v>
      </c>
      <c r="BV103" s="562">
        <v>2519</v>
      </c>
      <c r="BW103" s="563">
        <v>47469659.05999998</v>
      </c>
      <c r="BX103" s="562">
        <v>3246</v>
      </c>
      <c r="BY103" s="563">
        <v>61138390.68</v>
      </c>
      <c r="BZ103" s="562">
        <v>2603</v>
      </c>
      <c r="CA103" s="563">
        <v>46987367.649999999</v>
      </c>
      <c r="CB103" s="562">
        <v>1733</v>
      </c>
      <c r="CC103" s="563">
        <v>26813759.57</v>
      </c>
      <c r="CD103" s="562">
        <v>2778</v>
      </c>
      <c r="CE103" s="563">
        <v>33616176.019999996</v>
      </c>
      <c r="CF103" s="562">
        <v>3447</v>
      </c>
      <c r="CG103" s="563">
        <v>47863134.200000003</v>
      </c>
      <c r="CH103" s="562">
        <v>5659</v>
      </c>
      <c r="CI103" s="563">
        <v>117828795.09999996</v>
      </c>
      <c r="CJ103" s="562">
        <v>8693</v>
      </c>
      <c r="CK103" s="563">
        <v>184529454.70999998</v>
      </c>
      <c r="CL103" s="562">
        <v>6748</v>
      </c>
      <c r="CM103" s="563">
        <v>140921224.90000001</v>
      </c>
      <c r="CN103" s="562">
        <v>4625</v>
      </c>
      <c r="CO103" s="563">
        <v>80641149.599999964</v>
      </c>
      <c r="CT103" s="573">
        <v>6937</v>
      </c>
      <c r="CU103" s="573">
        <v>122127232.03000069</v>
      </c>
    </row>
    <row r="104" spans="1:99" outlineLevel="1" x14ac:dyDescent="0.2">
      <c r="A104" s="561" t="s">
        <v>525</v>
      </c>
      <c r="B104" s="562">
        <v>708</v>
      </c>
      <c r="C104" s="563">
        <v>10433552</v>
      </c>
      <c r="D104" s="562">
        <v>1271</v>
      </c>
      <c r="E104" s="563">
        <v>18515753.23</v>
      </c>
      <c r="F104" s="562">
        <v>1176</v>
      </c>
      <c r="G104" s="563">
        <v>19943652.329999998</v>
      </c>
      <c r="H104" s="562">
        <v>13200</v>
      </c>
      <c r="I104" s="563">
        <v>53190654.015423395</v>
      </c>
      <c r="J104" s="562">
        <v>9210</v>
      </c>
      <c r="K104" s="563">
        <v>30848096.706441123</v>
      </c>
      <c r="L104" s="562">
        <v>12278</v>
      </c>
      <c r="M104" s="563">
        <v>36224555.86724589</v>
      </c>
      <c r="N104" s="562">
        <v>9558</v>
      </c>
      <c r="O104" s="563">
        <v>40492617.986050919</v>
      </c>
      <c r="P104" s="562">
        <v>9710</v>
      </c>
      <c r="Q104" s="563">
        <v>94113755</v>
      </c>
      <c r="R104" s="562">
        <f>4664+343</f>
        <v>5007</v>
      </c>
      <c r="S104" s="563">
        <f>66026230.5625496+5447550-1191953</f>
        <v>70281827.562549591</v>
      </c>
      <c r="T104" s="562">
        <v>9293</v>
      </c>
      <c r="U104" s="563">
        <v>62524620.756101444</v>
      </c>
      <c r="V104" s="562">
        <v>4000</v>
      </c>
      <c r="W104" s="563">
        <v>73447703.463913873</v>
      </c>
      <c r="X104" s="562">
        <v>4310</v>
      </c>
      <c r="Y104" s="563">
        <v>76401329.526090458</v>
      </c>
      <c r="Z104" s="562">
        <v>4191</v>
      </c>
      <c r="AA104" s="563">
        <v>75012549.490441307</v>
      </c>
      <c r="AB104" s="562">
        <v>3492</v>
      </c>
      <c r="AC104" s="563">
        <v>60381178.646093488</v>
      </c>
      <c r="AD104" s="562">
        <v>3053</v>
      </c>
      <c r="AE104" s="563">
        <v>52134759.186528295</v>
      </c>
      <c r="AF104" s="562">
        <v>2047</v>
      </c>
      <c r="AG104" s="563">
        <v>37760388.193484798</v>
      </c>
      <c r="AH104" s="562">
        <v>2487</v>
      </c>
      <c r="AI104" s="563">
        <v>37110716.442180455</v>
      </c>
      <c r="AJ104" s="562">
        <v>2162</v>
      </c>
      <c r="AK104" s="563">
        <v>27168374.051745668</v>
      </c>
      <c r="AL104" s="562">
        <v>1981</v>
      </c>
      <c r="AM104" s="563">
        <v>23202394.166963067</v>
      </c>
      <c r="AN104" s="562">
        <v>2634</v>
      </c>
      <c r="AO104" s="563">
        <v>32463918.946521744</v>
      </c>
      <c r="AP104" s="562">
        <v>2924</v>
      </c>
      <c r="AQ104" s="563">
        <v>37219661.376521736</v>
      </c>
      <c r="AR104" s="562">
        <v>2501</v>
      </c>
      <c r="AS104" s="563">
        <v>32628036.770000003</v>
      </c>
      <c r="AT104" s="562">
        <v>2286</v>
      </c>
      <c r="AU104" s="563">
        <v>33188715.969999999</v>
      </c>
      <c r="AV104" s="562">
        <v>2829</v>
      </c>
      <c r="AW104" s="563">
        <v>42575140.630000003</v>
      </c>
      <c r="AX104" s="562">
        <v>1412</v>
      </c>
      <c r="AY104" s="563">
        <v>20998870.629999999</v>
      </c>
      <c r="AZ104" s="562">
        <v>1125</v>
      </c>
      <c r="BA104" s="563">
        <v>17768372.129999999</v>
      </c>
      <c r="BB104" s="562">
        <v>1235</v>
      </c>
      <c r="BC104" s="563">
        <v>18896163.43</v>
      </c>
      <c r="BD104" s="562">
        <v>1306</v>
      </c>
      <c r="BE104" s="563">
        <v>19773748.129999999</v>
      </c>
      <c r="BF104" s="562">
        <v>1291</v>
      </c>
      <c r="BG104" s="563">
        <v>20444766.149999999</v>
      </c>
      <c r="BH104" s="562">
        <v>1005</v>
      </c>
      <c r="BI104" s="563">
        <v>14884988.4</v>
      </c>
      <c r="BJ104" s="562">
        <v>675</v>
      </c>
      <c r="BK104" s="563">
        <v>11789664.022</v>
      </c>
      <c r="BL104" s="562">
        <v>1027</v>
      </c>
      <c r="BM104" s="563">
        <v>19459979.109999999</v>
      </c>
      <c r="BN104" s="562">
        <v>1647</v>
      </c>
      <c r="BO104" s="563">
        <v>31273008.41</v>
      </c>
      <c r="BP104" s="562">
        <v>2199</v>
      </c>
      <c r="BQ104" s="563">
        <v>42780962.880000003</v>
      </c>
      <c r="BR104" s="562">
        <v>4091</v>
      </c>
      <c r="BS104" s="563">
        <v>70426618.150000006</v>
      </c>
      <c r="BT104" s="562">
        <v>4968</v>
      </c>
      <c r="BU104" s="563">
        <v>80826167.969999999</v>
      </c>
      <c r="BV104" s="562">
        <v>3384</v>
      </c>
      <c r="BW104" s="563">
        <v>59839057.240000002</v>
      </c>
      <c r="BX104" s="562">
        <v>2309</v>
      </c>
      <c r="BY104" s="563">
        <v>43623813.099999994</v>
      </c>
      <c r="BZ104" s="562">
        <v>2174</v>
      </c>
      <c r="CA104" s="563">
        <v>43670075.810000002</v>
      </c>
      <c r="CB104" s="562">
        <v>1765</v>
      </c>
      <c r="CC104" s="563">
        <v>32636761.450000003</v>
      </c>
      <c r="CD104" s="562">
        <v>2636</v>
      </c>
      <c r="CE104" s="563">
        <v>37311527.289999999</v>
      </c>
      <c r="CF104" s="562">
        <v>3209</v>
      </c>
      <c r="CG104" s="563">
        <v>45482417.710000001</v>
      </c>
      <c r="CH104" s="562">
        <v>3484</v>
      </c>
      <c r="CI104" s="563">
        <v>50874960.770000003</v>
      </c>
      <c r="CJ104" s="562">
        <v>4979</v>
      </c>
      <c r="CK104" s="563">
        <v>94503533.669999972</v>
      </c>
      <c r="CL104" s="562">
        <v>7460</v>
      </c>
      <c r="CM104" s="563">
        <v>161010997.34000039</v>
      </c>
      <c r="CN104" s="562">
        <v>6464</v>
      </c>
      <c r="CO104" s="563">
        <v>138015290.84000009</v>
      </c>
      <c r="CT104" s="573">
        <v>8014</v>
      </c>
      <c r="CU104" s="573">
        <v>170270060.44000015</v>
      </c>
    </row>
    <row r="105" spans="1:99" outlineLevel="1" x14ac:dyDescent="0.2">
      <c r="A105" s="561"/>
      <c r="B105" s="567">
        <f t="shared" ref="B105:BM105" si="50">SUM(B100:B104)</f>
        <v>16546</v>
      </c>
      <c r="C105" s="568">
        <f t="shared" si="50"/>
        <v>317499829.21999997</v>
      </c>
      <c r="D105" s="567">
        <f t="shared" si="50"/>
        <v>19404</v>
      </c>
      <c r="E105" s="568">
        <f t="shared" si="50"/>
        <v>320734753.41470075</v>
      </c>
      <c r="F105" s="567">
        <f t="shared" si="50"/>
        <v>21740</v>
      </c>
      <c r="G105" s="568">
        <f t="shared" si="50"/>
        <v>302664556.51145816</v>
      </c>
      <c r="H105" s="567">
        <f t="shared" si="50"/>
        <v>51876</v>
      </c>
      <c r="I105" s="568">
        <f t="shared" si="50"/>
        <v>314299690.18428713</v>
      </c>
      <c r="J105" s="567">
        <f t="shared" si="50"/>
        <v>56864</v>
      </c>
      <c r="K105" s="568">
        <f t="shared" si="50"/>
        <v>307156395.77980131</v>
      </c>
      <c r="L105" s="567">
        <f t="shared" si="50"/>
        <v>55189</v>
      </c>
      <c r="M105" s="568">
        <f t="shared" si="50"/>
        <v>340810769.96383828</v>
      </c>
      <c r="N105" s="567">
        <f t="shared" si="50"/>
        <v>54912</v>
      </c>
      <c r="O105" s="568">
        <f t="shared" si="50"/>
        <v>392253126.84706873</v>
      </c>
      <c r="P105" s="567">
        <f t="shared" si="50"/>
        <v>58033</v>
      </c>
      <c r="Q105" s="568">
        <f t="shared" si="50"/>
        <v>400341377</v>
      </c>
      <c r="R105" s="567">
        <f t="shared" si="50"/>
        <v>66653</v>
      </c>
      <c r="S105" s="568">
        <f t="shared" si="50"/>
        <v>582573216.2428869</v>
      </c>
      <c r="T105" s="567">
        <f t="shared" si="50"/>
        <v>72293</v>
      </c>
      <c r="U105" s="568">
        <f t="shared" si="50"/>
        <v>575230822.78363323</v>
      </c>
      <c r="V105" s="567">
        <f t="shared" si="50"/>
        <v>33045</v>
      </c>
      <c r="W105" s="568">
        <f t="shared" si="50"/>
        <v>597902809.82391953</v>
      </c>
      <c r="X105" s="567">
        <f t="shared" si="50"/>
        <v>35272</v>
      </c>
      <c r="Y105" s="568">
        <f t="shared" si="50"/>
        <v>573105390.88607895</v>
      </c>
      <c r="Z105" s="567">
        <f t="shared" si="50"/>
        <v>26222</v>
      </c>
      <c r="AA105" s="568">
        <f t="shared" si="50"/>
        <v>432526806.58913696</v>
      </c>
      <c r="AB105" s="567">
        <f t="shared" si="50"/>
        <v>25780</v>
      </c>
      <c r="AC105" s="568">
        <f t="shared" si="50"/>
        <v>393369623.05174547</v>
      </c>
      <c r="AD105" s="567">
        <f t="shared" si="50"/>
        <v>24212</v>
      </c>
      <c r="AE105" s="568">
        <f t="shared" si="50"/>
        <v>367566036.82305014</v>
      </c>
      <c r="AF105" s="567">
        <f t="shared" si="50"/>
        <v>22954</v>
      </c>
      <c r="AG105" s="568">
        <f t="shared" si="50"/>
        <v>365769260.7434848</v>
      </c>
      <c r="AH105" s="567">
        <f t="shared" si="50"/>
        <v>27979</v>
      </c>
      <c r="AI105" s="568">
        <f t="shared" si="50"/>
        <v>418576409.87218046</v>
      </c>
      <c r="AJ105" s="567">
        <f t="shared" si="50"/>
        <v>27614</v>
      </c>
      <c r="AK105" s="568">
        <f t="shared" si="50"/>
        <v>406717135.21672285</v>
      </c>
      <c r="AL105" s="567">
        <f t="shared" si="50"/>
        <v>24568</v>
      </c>
      <c r="AM105" s="568">
        <f t="shared" si="50"/>
        <v>352717811.16087657</v>
      </c>
      <c r="AN105" s="567">
        <f t="shared" si="50"/>
        <v>23809</v>
      </c>
      <c r="AO105" s="568">
        <f t="shared" si="50"/>
        <v>332107587.71652174</v>
      </c>
      <c r="AP105" s="567">
        <f t="shared" si="50"/>
        <v>30715</v>
      </c>
      <c r="AQ105" s="568">
        <f t="shared" si="50"/>
        <v>437718103.77652168</v>
      </c>
      <c r="AR105" s="567">
        <f t="shared" si="50"/>
        <v>26555</v>
      </c>
      <c r="AS105" s="568">
        <f t="shared" si="50"/>
        <v>380752209.46999997</v>
      </c>
      <c r="AT105" s="567">
        <f t="shared" si="50"/>
        <v>25838</v>
      </c>
      <c r="AU105" s="568">
        <f t="shared" si="50"/>
        <v>404551225.06999993</v>
      </c>
      <c r="AV105" s="567">
        <f t="shared" si="50"/>
        <v>26594</v>
      </c>
      <c r="AW105" s="568">
        <f t="shared" si="50"/>
        <v>407300401.43000001</v>
      </c>
      <c r="AX105" s="567">
        <f t="shared" si="50"/>
        <v>20340</v>
      </c>
      <c r="AY105" s="568">
        <f t="shared" si="50"/>
        <v>309048191.54999995</v>
      </c>
      <c r="AZ105" s="567">
        <f t="shared" si="50"/>
        <v>17576</v>
      </c>
      <c r="BA105" s="568">
        <f t="shared" si="50"/>
        <v>270169810.83000004</v>
      </c>
      <c r="BB105" s="567">
        <f t="shared" si="50"/>
        <v>15435</v>
      </c>
      <c r="BC105" s="568">
        <f t="shared" si="50"/>
        <v>238001045.43800005</v>
      </c>
      <c r="BD105" s="567">
        <f t="shared" si="50"/>
        <v>12418</v>
      </c>
      <c r="BE105" s="568">
        <f t="shared" si="50"/>
        <v>206164824.37200004</v>
      </c>
      <c r="BF105" s="567">
        <f t="shared" si="50"/>
        <v>18456</v>
      </c>
      <c r="BG105" s="568">
        <f t="shared" si="50"/>
        <v>329376984.69999993</v>
      </c>
      <c r="BH105" s="567">
        <f t="shared" si="50"/>
        <v>21011</v>
      </c>
      <c r="BI105" s="568">
        <f t="shared" si="50"/>
        <v>384550543.47999996</v>
      </c>
      <c r="BJ105" s="567">
        <f t="shared" si="50"/>
        <v>26401</v>
      </c>
      <c r="BK105" s="568">
        <f t="shared" si="50"/>
        <v>471460164.05200016</v>
      </c>
      <c r="BL105" s="567">
        <f t="shared" si="50"/>
        <v>32032</v>
      </c>
      <c r="BM105" s="568">
        <f t="shared" si="50"/>
        <v>568486154.74000001</v>
      </c>
      <c r="BN105" s="567">
        <f t="shared" ref="BN105:CO105" si="51">SUM(BN100:BN104)</f>
        <v>36809</v>
      </c>
      <c r="BO105" s="568">
        <f t="shared" si="51"/>
        <v>686729805.68000007</v>
      </c>
      <c r="BP105" s="567">
        <f t="shared" si="51"/>
        <v>35099</v>
      </c>
      <c r="BQ105" s="568">
        <f t="shared" si="51"/>
        <v>643408595.60000002</v>
      </c>
      <c r="BR105" s="567">
        <f t="shared" si="51"/>
        <v>29039</v>
      </c>
      <c r="BS105" s="568">
        <f t="shared" si="51"/>
        <v>532545770.25</v>
      </c>
      <c r="BT105" s="567">
        <f t="shared" si="51"/>
        <v>31091</v>
      </c>
      <c r="BU105" s="568">
        <f t="shared" si="51"/>
        <v>568784987.83000004</v>
      </c>
      <c r="BV105" s="567">
        <f t="shared" si="51"/>
        <v>29488</v>
      </c>
      <c r="BW105" s="568">
        <f t="shared" si="51"/>
        <v>559622276.83000016</v>
      </c>
      <c r="BX105" s="567">
        <f t="shared" si="51"/>
        <v>24193</v>
      </c>
      <c r="BY105" s="568">
        <f t="shared" si="51"/>
        <v>434718523.33000004</v>
      </c>
      <c r="BZ105" s="567">
        <f t="shared" si="51"/>
        <v>20673</v>
      </c>
      <c r="CA105" s="568">
        <f t="shared" si="51"/>
        <v>355673374.07999998</v>
      </c>
      <c r="CB105" s="567">
        <f t="shared" si="51"/>
        <v>20621</v>
      </c>
      <c r="CC105" s="568">
        <f t="shared" si="51"/>
        <v>333796758.83999997</v>
      </c>
      <c r="CD105" s="567">
        <f t="shared" si="51"/>
        <v>31517</v>
      </c>
      <c r="CE105" s="568">
        <f t="shared" si="51"/>
        <v>550095281.13999999</v>
      </c>
      <c r="CF105" s="567">
        <f t="shared" si="51"/>
        <v>46344</v>
      </c>
      <c r="CG105" s="568">
        <f t="shared" si="51"/>
        <v>891787431.77999985</v>
      </c>
      <c r="CH105" s="567">
        <f t="shared" si="51"/>
        <v>52067</v>
      </c>
      <c r="CI105" s="568">
        <f t="shared" si="51"/>
        <v>1016816507.2200003</v>
      </c>
      <c r="CJ105" s="567">
        <f t="shared" si="51"/>
        <v>50276</v>
      </c>
      <c r="CK105" s="568">
        <f t="shared" si="51"/>
        <v>994660216.00000083</v>
      </c>
      <c r="CL105" s="567">
        <f t="shared" si="51"/>
        <v>46991</v>
      </c>
      <c r="CM105" s="568">
        <f t="shared" si="51"/>
        <v>932226381.86000073</v>
      </c>
      <c r="CN105" s="567">
        <f t="shared" si="51"/>
        <v>37798</v>
      </c>
      <c r="CO105" s="568">
        <f t="shared" si="51"/>
        <v>843788781.62599921</v>
      </c>
      <c r="CQ105" s="574"/>
      <c r="CT105" s="578">
        <f>SUM(CT100:CT104)</f>
        <v>37798</v>
      </c>
      <c r="CU105" s="578">
        <f>SUM(CU100:CU104)</f>
        <v>843788781.62599885</v>
      </c>
    </row>
    <row r="106" spans="1:99" outlineLevel="1" x14ac:dyDescent="0.2">
      <c r="A106" s="561"/>
      <c r="B106" s="567"/>
      <c r="C106" s="572"/>
      <c r="D106" s="567"/>
      <c r="E106" s="572"/>
      <c r="F106" s="567"/>
      <c r="G106" s="572"/>
      <c r="H106" s="567"/>
      <c r="I106" s="572"/>
      <c r="J106" s="567"/>
      <c r="K106" s="572"/>
      <c r="L106" s="567"/>
      <c r="M106" s="572"/>
      <c r="N106" s="567"/>
      <c r="O106" s="572"/>
      <c r="P106" s="567"/>
      <c r="Q106" s="572"/>
      <c r="R106" s="567"/>
      <c r="S106" s="572"/>
      <c r="T106" s="567"/>
      <c r="U106" s="572"/>
      <c r="V106" s="567"/>
      <c r="W106" s="572"/>
      <c r="X106" s="567"/>
      <c r="Y106" s="572"/>
      <c r="Z106" s="567"/>
      <c r="AA106" s="572"/>
      <c r="AB106" s="567"/>
      <c r="AC106" s="572"/>
      <c r="AD106" s="567"/>
      <c r="AE106" s="572"/>
      <c r="AF106" s="567"/>
      <c r="AG106" s="572"/>
      <c r="AH106" s="567"/>
      <c r="AI106" s="572"/>
      <c r="AJ106" s="567"/>
      <c r="AK106" s="572"/>
      <c r="AL106" s="567"/>
      <c r="AM106" s="572"/>
      <c r="AN106" s="567"/>
      <c r="AO106" s="572"/>
      <c r="AP106" s="567"/>
      <c r="AQ106" s="572"/>
      <c r="AR106" s="567"/>
      <c r="AS106" s="572"/>
      <c r="AT106" s="567"/>
      <c r="AU106" s="572"/>
      <c r="AV106" s="567"/>
      <c r="AW106" s="572"/>
      <c r="AX106" s="567"/>
      <c r="AY106" s="572"/>
      <c r="AZ106" s="567"/>
      <c r="BA106" s="572"/>
      <c r="BB106" s="567"/>
      <c r="BC106" s="572"/>
      <c r="BD106" s="567"/>
      <c r="BE106" s="572"/>
      <c r="BF106" s="567"/>
      <c r="BG106" s="572"/>
      <c r="BH106" s="567"/>
      <c r="BI106" s="572"/>
      <c r="BJ106" s="567"/>
      <c r="BK106" s="572"/>
      <c r="BL106" s="567"/>
      <c r="BM106" s="572"/>
      <c r="BN106" s="567"/>
      <c r="BO106" s="572"/>
      <c r="BP106" s="567"/>
      <c r="BQ106" s="572"/>
      <c r="BR106" s="567"/>
      <c r="BS106" s="572"/>
      <c r="BT106" s="567"/>
      <c r="BU106" s="572"/>
      <c r="BV106" s="567"/>
      <c r="BW106" s="572"/>
      <c r="BX106" s="567"/>
      <c r="BY106" s="572"/>
      <c r="BZ106" s="567"/>
      <c r="CA106" s="572"/>
      <c r="CB106" s="567"/>
      <c r="CC106" s="572"/>
      <c r="CD106" s="567"/>
      <c r="CE106" s="572"/>
      <c r="CF106" s="567"/>
      <c r="CG106" s="572"/>
      <c r="CH106" s="567"/>
      <c r="CI106" s="572"/>
      <c r="CJ106" s="567"/>
      <c r="CK106" s="572"/>
      <c r="CL106" s="567"/>
      <c r="CM106" s="572"/>
      <c r="CN106" s="567"/>
      <c r="CO106" s="572"/>
    </row>
    <row r="107" spans="1:99" ht="16" customHeight="1" outlineLevel="1" x14ac:dyDescent="0.2">
      <c r="A107" s="553" t="s">
        <v>568</v>
      </c>
      <c r="B107" s="554"/>
      <c r="C107" s="555"/>
      <c r="D107" s="554"/>
      <c r="E107" s="555"/>
      <c r="F107" s="554"/>
      <c r="G107" s="555"/>
      <c r="H107" s="554"/>
      <c r="I107" s="555"/>
      <c r="J107" s="554"/>
      <c r="K107" s="555"/>
      <c r="L107" s="554"/>
      <c r="M107" s="555"/>
      <c r="N107" s="554"/>
      <c r="O107" s="555"/>
      <c r="P107" s="554"/>
      <c r="Q107" s="555"/>
      <c r="R107" s="554"/>
      <c r="S107" s="555"/>
      <c r="T107" s="554"/>
      <c r="U107" s="555"/>
      <c r="V107" s="554"/>
      <c r="W107" s="555"/>
      <c r="X107" s="554"/>
      <c r="Y107" s="555"/>
      <c r="Z107" s="554"/>
      <c r="AA107" s="555"/>
      <c r="AB107" s="554"/>
      <c r="AC107" s="555"/>
      <c r="AD107" s="554"/>
      <c r="AE107" s="555"/>
      <c r="AF107" s="554"/>
      <c r="AG107" s="555"/>
      <c r="AH107" s="554"/>
      <c r="AI107" s="555"/>
      <c r="AJ107" s="554"/>
      <c r="AK107" s="555"/>
      <c r="AL107" s="554"/>
      <c r="AM107" s="555"/>
      <c r="AN107" s="554"/>
      <c r="AO107" s="555"/>
      <c r="AP107" s="554"/>
      <c r="AQ107" s="555"/>
      <c r="AR107" s="554"/>
      <c r="AS107" s="555"/>
      <c r="AT107" s="554"/>
      <c r="AU107" s="555"/>
      <c r="AV107" s="554"/>
      <c r="AW107" s="555"/>
      <c r="AX107" s="554"/>
      <c r="AY107" s="555"/>
      <c r="AZ107" s="554"/>
      <c r="BA107" s="555"/>
      <c r="BB107" s="554"/>
      <c r="BC107" s="555"/>
      <c r="BD107" s="554"/>
      <c r="BE107" s="555"/>
      <c r="BF107" s="554"/>
      <c r="BG107" s="555"/>
      <c r="BH107" s="554"/>
      <c r="BI107" s="555"/>
      <c r="BJ107" s="554"/>
      <c r="BK107" s="555"/>
      <c r="BL107" s="554"/>
      <c r="BM107" s="555"/>
      <c r="BN107" s="554"/>
      <c r="BO107" s="555"/>
      <c r="BP107" s="554"/>
      <c r="BQ107" s="555"/>
      <c r="BR107" s="554"/>
      <c r="BS107" s="555"/>
      <c r="BT107" s="554"/>
      <c r="BU107" s="555"/>
      <c r="BV107" s="554"/>
      <c r="BW107" s="555"/>
      <c r="BX107" s="554"/>
      <c r="BY107" s="555"/>
      <c r="BZ107" s="554"/>
      <c r="CA107" s="555"/>
      <c r="CB107" s="554"/>
      <c r="CC107" s="555"/>
      <c r="CD107" s="554"/>
      <c r="CE107" s="555"/>
      <c r="CF107" s="554"/>
      <c r="CG107" s="555"/>
      <c r="CH107" s="554"/>
      <c r="CI107" s="555"/>
      <c r="CJ107" s="554"/>
      <c r="CK107" s="555"/>
      <c r="CL107" s="554"/>
      <c r="CM107" s="555"/>
      <c r="CN107" s="554"/>
      <c r="CO107" s="555"/>
    </row>
    <row r="108" spans="1:99" outlineLevel="1" x14ac:dyDescent="0.2">
      <c r="A108" s="561" t="s">
        <v>521</v>
      </c>
      <c r="B108" s="562"/>
      <c r="C108" s="563"/>
      <c r="D108" s="562"/>
      <c r="E108" s="563"/>
      <c r="F108" s="562"/>
      <c r="G108" s="563"/>
      <c r="H108" s="562"/>
      <c r="I108" s="563"/>
      <c r="J108" s="562"/>
      <c r="K108" s="563"/>
      <c r="L108" s="562"/>
      <c r="M108" s="563"/>
      <c r="N108" s="562"/>
      <c r="O108" s="563"/>
      <c r="P108" s="562"/>
      <c r="Q108" s="563"/>
      <c r="R108" s="562"/>
      <c r="S108" s="563"/>
      <c r="T108" s="562"/>
      <c r="U108" s="563"/>
      <c r="V108" s="562"/>
      <c r="W108" s="563"/>
      <c r="X108" s="562"/>
      <c r="Y108" s="563"/>
      <c r="Z108" s="562"/>
      <c r="AA108" s="563"/>
      <c r="AB108" s="562"/>
      <c r="AC108" s="563"/>
      <c r="AD108" s="562"/>
      <c r="AE108" s="563"/>
      <c r="AF108" s="562"/>
      <c r="AG108" s="563"/>
      <c r="AH108" s="562"/>
      <c r="AI108" s="563"/>
      <c r="AJ108" s="562"/>
      <c r="AK108" s="563"/>
      <c r="AL108" s="562"/>
      <c r="AM108" s="563"/>
      <c r="AN108" s="562"/>
      <c r="AO108" s="563"/>
      <c r="AP108" s="562"/>
      <c r="AQ108" s="563"/>
      <c r="AR108" s="562"/>
      <c r="AS108" s="563"/>
      <c r="AT108" s="562"/>
      <c r="AU108" s="563"/>
      <c r="AV108" s="562"/>
      <c r="AW108" s="563"/>
      <c r="AX108" s="562"/>
      <c r="AY108" s="563"/>
      <c r="AZ108" s="562"/>
      <c r="BA108" s="563"/>
      <c r="BB108" s="562"/>
      <c r="BC108" s="563"/>
      <c r="BD108" s="562"/>
      <c r="BE108" s="563"/>
      <c r="BF108" s="562"/>
      <c r="BG108" s="563"/>
      <c r="BH108" s="562">
        <v>355</v>
      </c>
      <c r="BI108" s="563">
        <v>6806379</v>
      </c>
      <c r="BJ108" s="562">
        <v>375</v>
      </c>
      <c r="BK108" s="563">
        <v>8883974</v>
      </c>
      <c r="BL108" s="562">
        <v>200</v>
      </c>
      <c r="BM108" s="563">
        <v>3773095</v>
      </c>
      <c r="BN108" s="562">
        <v>291</v>
      </c>
      <c r="BO108" s="563">
        <v>6507161</v>
      </c>
      <c r="BP108" s="562">
        <v>358</v>
      </c>
      <c r="BQ108" s="563">
        <v>9259345</v>
      </c>
      <c r="BR108" s="562">
        <v>143</v>
      </c>
      <c r="BS108" s="563">
        <v>4288170.99</v>
      </c>
      <c r="BT108" s="562">
        <v>441</v>
      </c>
      <c r="BU108" s="563">
        <v>9604195</v>
      </c>
      <c r="BV108" s="562">
        <v>720</v>
      </c>
      <c r="BW108" s="563">
        <v>14707899.740000067</v>
      </c>
      <c r="BX108" s="562">
        <v>617</v>
      </c>
      <c r="BY108" s="563">
        <v>13444967.000000002</v>
      </c>
      <c r="BZ108" s="562">
        <v>543</v>
      </c>
      <c r="CA108" s="563">
        <v>10784521.219999995</v>
      </c>
      <c r="CB108" s="562">
        <v>765</v>
      </c>
      <c r="CC108" s="563">
        <v>14115203.719999999</v>
      </c>
      <c r="CD108" s="562">
        <v>964</v>
      </c>
      <c r="CE108" s="563">
        <v>22719672.299999997</v>
      </c>
      <c r="CF108" s="562">
        <v>823</v>
      </c>
      <c r="CG108" s="563">
        <v>17240199.98</v>
      </c>
      <c r="CH108" s="562">
        <v>1009</v>
      </c>
      <c r="CI108" s="563">
        <v>22292398</v>
      </c>
      <c r="CJ108" s="562">
        <v>487</v>
      </c>
      <c r="CK108" s="563">
        <v>13915401.079999994</v>
      </c>
      <c r="CL108" s="562">
        <v>853</v>
      </c>
      <c r="CM108" s="563">
        <v>21138559.120000016</v>
      </c>
      <c r="CN108" s="562">
        <v>952</v>
      </c>
      <c r="CO108" s="563">
        <v>29006449.735999931</v>
      </c>
    </row>
    <row r="109" spans="1:99" outlineLevel="1" x14ac:dyDescent="0.2">
      <c r="A109" s="561" t="s">
        <v>522</v>
      </c>
      <c r="B109" s="562"/>
      <c r="C109" s="563"/>
      <c r="D109" s="562"/>
      <c r="E109" s="563"/>
      <c r="F109" s="562"/>
      <c r="G109" s="563"/>
      <c r="H109" s="562"/>
      <c r="I109" s="563"/>
      <c r="J109" s="562"/>
      <c r="K109" s="563"/>
      <c r="L109" s="562"/>
      <c r="M109" s="563"/>
      <c r="N109" s="562"/>
      <c r="O109" s="563"/>
      <c r="P109" s="562"/>
      <c r="Q109" s="563"/>
      <c r="R109" s="562"/>
      <c r="S109" s="563"/>
      <c r="T109" s="562"/>
      <c r="U109" s="563"/>
      <c r="V109" s="562"/>
      <c r="W109" s="563"/>
      <c r="X109" s="562"/>
      <c r="Y109" s="563"/>
      <c r="Z109" s="562"/>
      <c r="AA109" s="563"/>
      <c r="AB109" s="562"/>
      <c r="AC109" s="563"/>
      <c r="AD109" s="562"/>
      <c r="AE109" s="563"/>
      <c r="AF109" s="562"/>
      <c r="AG109" s="563"/>
      <c r="AH109" s="562"/>
      <c r="AI109" s="563"/>
      <c r="AJ109" s="562"/>
      <c r="AK109" s="563"/>
      <c r="AL109" s="562"/>
      <c r="AM109" s="563"/>
      <c r="AN109" s="562"/>
      <c r="AO109" s="563"/>
      <c r="AP109" s="562"/>
      <c r="AQ109" s="563"/>
      <c r="AR109" s="562"/>
      <c r="AS109" s="563"/>
      <c r="AT109" s="562"/>
      <c r="AU109" s="563"/>
      <c r="AV109" s="562"/>
      <c r="AW109" s="563"/>
      <c r="AX109" s="562"/>
      <c r="AY109" s="563"/>
      <c r="AZ109" s="562"/>
      <c r="BA109" s="563"/>
      <c r="BB109" s="562"/>
      <c r="BC109" s="563"/>
      <c r="BD109" s="562"/>
      <c r="BE109" s="563"/>
      <c r="BF109" s="562"/>
      <c r="BG109" s="563"/>
      <c r="BH109" s="562">
        <v>27</v>
      </c>
      <c r="BI109" s="563">
        <v>545089</v>
      </c>
      <c r="BJ109" s="562">
        <v>114</v>
      </c>
      <c r="BK109" s="563">
        <v>2669399</v>
      </c>
      <c r="BL109" s="562">
        <v>248</v>
      </c>
      <c r="BM109" s="563">
        <v>5326859</v>
      </c>
      <c r="BN109" s="562">
        <v>89</v>
      </c>
      <c r="BO109" s="563">
        <v>1856120</v>
      </c>
      <c r="BP109" s="562">
        <v>91</v>
      </c>
      <c r="BQ109" s="563">
        <v>1625180</v>
      </c>
      <c r="BR109" s="562">
        <v>38</v>
      </c>
      <c r="BS109" s="563">
        <v>1001232</v>
      </c>
      <c r="BT109" s="562">
        <v>349</v>
      </c>
      <c r="BU109" s="563">
        <v>6993053</v>
      </c>
      <c r="BV109" s="562">
        <v>191</v>
      </c>
      <c r="BW109" s="563">
        <v>4447164</v>
      </c>
      <c r="BX109" s="562">
        <v>184</v>
      </c>
      <c r="BY109" s="563">
        <v>4703754.7000000011</v>
      </c>
      <c r="BZ109" s="562">
        <v>209</v>
      </c>
      <c r="CA109" s="563">
        <v>5087912.3499999959</v>
      </c>
      <c r="CB109" s="562">
        <v>324</v>
      </c>
      <c r="CC109" s="563">
        <v>4640190.5199999996</v>
      </c>
      <c r="CD109" s="562">
        <v>1021</v>
      </c>
      <c r="CE109" s="563">
        <v>25513591.950000003</v>
      </c>
      <c r="CF109" s="562">
        <v>436</v>
      </c>
      <c r="CG109" s="563">
        <v>12000441</v>
      </c>
      <c r="CH109" s="562">
        <v>788</v>
      </c>
      <c r="CI109" s="563">
        <v>18744367.399999999</v>
      </c>
      <c r="CJ109" s="562">
        <v>245</v>
      </c>
      <c r="CK109" s="563">
        <v>7123416</v>
      </c>
      <c r="CL109" s="562">
        <v>271</v>
      </c>
      <c r="CM109" s="563">
        <v>8327099.8600000003</v>
      </c>
      <c r="CN109" s="562">
        <v>318</v>
      </c>
      <c r="CO109" s="563">
        <v>8839419.2700000014</v>
      </c>
    </row>
    <row r="110" spans="1:99" outlineLevel="1" x14ac:dyDescent="0.2">
      <c r="A110" s="561" t="s">
        <v>523</v>
      </c>
      <c r="B110" s="562"/>
      <c r="C110" s="563"/>
      <c r="D110" s="562"/>
      <c r="E110" s="563"/>
      <c r="F110" s="562"/>
      <c r="G110" s="563"/>
      <c r="H110" s="562"/>
      <c r="I110" s="563"/>
      <c r="J110" s="562"/>
      <c r="K110" s="563"/>
      <c r="L110" s="562"/>
      <c r="M110" s="563"/>
      <c r="N110" s="562"/>
      <c r="O110" s="563"/>
      <c r="P110" s="562"/>
      <c r="Q110" s="563"/>
      <c r="R110" s="562"/>
      <c r="S110" s="563"/>
      <c r="T110" s="562"/>
      <c r="U110" s="563"/>
      <c r="V110" s="562"/>
      <c r="W110" s="563"/>
      <c r="X110" s="562"/>
      <c r="Y110" s="563"/>
      <c r="Z110" s="562"/>
      <c r="AA110" s="563"/>
      <c r="AB110" s="562"/>
      <c r="AC110" s="563"/>
      <c r="AD110" s="562"/>
      <c r="AE110" s="563"/>
      <c r="AF110" s="562"/>
      <c r="AG110" s="563"/>
      <c r="AH110" s="562"/>
      <c r="AI110" s="563"/>
      <c r="AJ110" s="562"/>
      <c r="AK110" s="563"/>
      <c r="AL110" s="562"/>
      <c r="AM110" s="563"/>
      <c r="AN110" s="562"/>
      <c r="AO110" s="563"/>
      <c r="AP110" s="562"/>
      <c r="AQ110" s="563"/>
      <c r="AR110" s="562"/>
      <c r="AS110" s="563"/>
      <c r="AT110" s="562"/>
      <c r="AU110" s="563"/>
      <c r="AV110" s="562"/>
      <c r="AW110" s="563"/>
      <c r="AX110" s="562"/>
      <c r="AY110" s="563"/>
      <c r="AZ110" s="562"/>
      <c r="BA110" s="563"/>
      <c r="BB110" s="562"/>
      <c r="BC110" s="563"/>
      <c r="BD110" s="562"/>
      <c r="BE110" s="563"/>
      <c r="BF110" s="562"/>
      <c r="BG110" s="563"/>
      <c r="BH110" s="562">
        <v>77</v>
      </c>
      <c r="BI110" s="563">
        <v>2029124</v>
      </c>
      <c r="BJ110" s="562">
        <v>55</v>
      </c>
      <c r="BK110" s="563">
        <v>965690</v>
      </c>
      <c r="BL110" s="562">
        <v>107</v>
      </c>
      <c r="BM110" s="563">
        <v>2493978</v>
      </c>
      <c r="BN110" s="562">
        <v>129</v>
      </c>
      <c r="BO110" s="563">
        <v>2531944</v>
      </c>
      <c r="BP110" s="562">
        <v>95</v>
      </c>
      <c r="BQ110" s="563">
        <v>1915531</v>
      </c>
      <c r="BR110" s="562">
        <v>68</v>
      </c>
      <c r="BS110" s="563">
        <v>1612279</v>
      </c>
      <c r="BT110" s="562">
        <v>46</v>
      </c>
      <c r="BU110" s="563">
        <v>1536138.99</v>
      </c>
      <c r="BV110" s="562">
        <v>195</v>
      </c>
      <c r="BW110" s="563">
        <v>4158079</v>
      </c>
      <c r="BX110" s="562">
        <v>301</v>
      </c>
      <c r="BY110" s="563">
        <v>6958433.7200000025</v>
      </c>
      <c r="BZ110" s="562">
        <v>208</v>
      </c>
      <c r="CA110" s="563">
        <v>5371315.5200000005</v>
      </c>
      <c r="CB110" s="562">
        <v>111</v>
      </c>
      <c r="CC110" s="563">
        <v>2587066.5300000003</v>
      </c>
      <c r="CD110" s="562">
        <v>535</v>
      </c>
      <c r="CE110" s="563">
        <v>9906815</v>
      </c>
      <c r="CF110" s="562">
        <v>779</v>
      </c>
      <c r="CG110" s="563">
        <v>20040550.600000001</v>
      </c>
      <c r="CH110" s="562">
        <v>361</v>
      </c>
      <c r="CI110" s="563">
        <v>9392404.7899999991</v>
      </c>
      <c r="CJ110" s="562">
        <v>819</v>
      </c>
      <c r="CK110" s="563">
        <v>19807974</v>
      </c>
      <c r="CL110" s="562">
        <v>224</v>
      </c>
      <c r="CM110" s="563">
        <v>6197638.0599999996</v>
      </c>
      <c r="CN110" s="562">
        <v>440</v>
      </c>
      <c r="CO110" s="563">
        <v>12222330.59</v>
      </c>
    </row>
    <row r="111" spans="1:99" outlineLevel="1" x14ac:dyDescent="0.2">
      <c r="A111" s="561" t="s">
        <v>524</v>
      </c>
      <c r="B111" s="562"/>
      <c r="C111" s="563"/>
      <c r="D111" s="562"/>
      <c r="E111" s="563"/>
      <c r="F111" s="562"/>
      <c r="G111" s="563"/>
      <c r="H111" s="562"/>
      <c r="I111" s="563"/>
      <c r="J111" s="562"/>
      <c r="K111" s="563"/>
      <c r="L111" s="562"/>
      <c r="M111" s="563"/>
      <c r="N111" s="562"/>
      <c r="O111" s="563"/>
      <c r="P111" s="562"/>
      <c r="Q111" s="563"/>
      <c r="R111" s="562"/>
      <c r="S111" s="563"/>
      <c r="T111" s="562"/>
      <c r="U111" s="563"/>
      <c r="V111" s="562"/>
      <c r="W111" s="563"/>
      <c r="X111" s="562"/>
      <c r="Y111" s="563"/>
      <c r="Z111" s="562"/>
      <c r="AA111" s="563"/>
      <c r="AB111" s="562"/>
      <c r="AC111" s="563"/>
      <c r="AD111" s="562"/>
      <c r="AE111" s="563"/>
      <c r="AF111" s="562"/>
      <c r="AG111" s="563"/>
      <c r="AH111" s="562"/>
      <c r="AI111" s="563"/>
      <c r="AJ111" s="562"/>
      <c r="AK111" s="563"/>
      <c r="AL111" s="562"/>
      <c r="AM111" s="563"/>
      <c r="AN111" s="562"/>
      <c r="AO111" s="563"/>
      <c r="AP111" s="562"/>
      <c r="AQ111" s="563"/>
      <c r="AR111" s="562"/>
      <c r="AS111" s="563"/>
      <c r="AT111" s="562"/>
      <c r="AU111" s="563"/>
      <c r="AV111" s="562"/>
      <c r="AW111" s="563"/>
      <c r="AX111" s="562"/>
      <c r="AY111" s="563"/>
      <c r="AZ111" s="562"/>
      <c r="BA111" s="563"/>
      <c r="BB111" s="562"/>
      <c r="BC111" s="563"/>
      <c r="BD111" s="562"/>
      <c r="BE111" s="563"/>
      <c r="BF111" s="562"/>
      <c r="BG111" s="563"/>
      <c r="BH111" s="562">
        <v>276</v>
      </c>
      <c r="BI111" s="563">
        <v>8614354.4299999997</v>
      </c>
      <c r="BJ111" s="562">
        <v>17</v>
      </c>
      <c r="BK111" s="563">
        <v>452478</v>
      </c>
      <c r="BL111" s="562">
        <v>8</v>
      </c>
      <c r="BM111" s="563">
        <v>159736</v>
      </c>
      <c r="BN111" s="562">
        <v>20</v>
      </c>
      <c r="BO111" s="563">
        <v>447338</v>
      </c>
      <c r="BP111" s="562">
        <v>29</v>
      </c>
      <c r="BQ111" s="563">
        <v>620522</v>
      </c>
      <c r="BR111" s="562">
        <v>53</v>
      </c>
      <c r="BS111" s="563">
        <v>1084822</v>
      </c>
      <c r="BT111" s="562">
        <v>37</v>
      </c>
      <c r="BU111" s="563">
        <v>961260</v>
      </c>
      <c r="BV111" s="562">
        <v>27</v>
      </c>
      <c r="BW111" s="563">
        <v>1010467.99</v>
      </c>
      <c r="BX111" s="562">
        <v>83</v>
      </c>
      <c r="BY111" s="563">
        <v>2026848</v>
      </c>
      <c r="BZ111" s="562">
        <v>183</v>
      </c>
      <c r="CA111" s="563">
        <v>4001461.5199999996</v>
      </c>
      <c r="CB111" s="562">
        <v>74</v>
      </c>
      <c r="CC111" s="563">
        <v>2130467</v>
      </c>
      <c r="CD111" s="562">
        <v>43</v>
      </c>
      <c r="CE111" s="563">
        <v>1164999.9800000002</v>
      </c>
      <c r="CF111" s="562">
        <v>263</v>
      </c>
      <c r="CG111" s="563">
        <v>5369265</v>
      </c>
      <c r="CH111" s="562">
        <v>221</v>
      </c>
      <c r="CI111" s="563">
        <v>5769879</v>
      </c>
      <c r="CJ111" s="562">
        <v>121</v>
      </c>
      <c r="CK111" s="563">
        <v>3617173.6</v>
      </c>
      <c r="CL111" s="562">
        <v>198</v>
      </c>
      <c r="CM111" s="563">
        <v>4859102</v>
      </c>
      <c r="CN111" s="562">
        <v>109</v>
      </c>
      <c r="CO111" s="563">
        <v>3071640.2800000003</v>
      </c>
    </row>
    <row r="112" spans="1:99" outlineLevel="1" x14ac:dyDescent="0.2">
      <c r="A112" s="561" t="s">
        <v>525</v>
      </c>
      <c r="B112" s="562"/>
      <c r="C112" s="563"/>
      <c r="D112" s="562"/>
      <c r="E112" s="563"/>
      <c r="F112" s="562"/>
      <c r="G112" s="563"/>
      <c r="H112" s="562"/>
      <c r="I112" s="563"/>
      <c r="J112" s="562"/>
      <c r="K112" s="563"/>
      <c r="L112" s="562"/>
      <c r="M112" s="563"/>
      <c r="N112" s="562"/>
      <c r="O112" s="563"/>
      <c r="P112" s="562"/>
      <c r="Q112" s="563"/>
      <c r="R112" s="562"/>
      <c r="S112" s="563"/>
      <c r="T112" s="562"/>
      <c r="U112" s="563"/>
      <c r="V112" s="562"/>
      <c r="W112" s="563"/>
      <c r="X112" s="562"/>
      <c r="Y112" s="563"/>
      <c r="Z112" s="562"/>
      <c r="AA112" s="563"/>
      <c r="AB112" s="562"/>
      <c r="AC112" s="563"/>
      <c r="AD112" s="562"/>
      <c r="AE112" s="563"/>
      <c r="AF112" s="562"/>
      <c r="AG112" s="563"/>
      <c r="AH112" s="562"/>
      <c r="AI112" s="563"/>
      <c r="AJ112" s="562"/>
      <c r="AK112" s="563"/>
      <c r="AL112" s="562"/>
      <c r="AM112" s="563"/>
      <c r="AN112" s="562"/>
      <c r="AO112" s="563"/>
      <c r="AP112" s="562"/>
      <c r="AQ112" s="563"/>
      <c r="AR112" s="562"/>
      <c r="AS112" s="563"/>
      <c r="AT112" s="562"/>
      <c r="AU112" s="563"/>
      <c r="AV112" s="562"/>
      <c r="AW112" s="563"/>
      <c r="AX112" s="562"/>
      <c r="AY112" s="563"/>
      <c r="AZ112" s="562"/>
      <c r="BA112" s="563"/>
      <c r="BB112" s="562"/>
      <c r="BC112" s="563"/>
      <c r="BD112" s="562"/>
      <c r="BE112" s="563"/>
      <c r="BF112" s="562"/>
      <c r="BG112" s="563"/>
      <c r="BH112" s="562">
        <v>241</v>
      </c>
      <c r="BI112" s="563">
        <v>6182815.1299999999</v>
      </c>
      <c r="BJ112" s="562">
        <v>366</v>
      </c>
      <c r="BK112" s="563">
        <v>10349611.130000003</v>
      </c>
      <c r="BL112" s="562">
        <v>203</v>
      </c>
      <c r="BM112" s="563">
        <v>6455481.2199999997</v>
      </c>
      <c r="BN112" s="562">
        <v>189</v>
      </c>
      <c r="BO112" s="563">
        <v>6001013.0199999996</v>
      </c>
      <c r="BP112" s="562">
        <v>156</v>
      </c>
      <c r="BQ112" s="563">
        <v>5099025.0199999996</v>
      </c>
      <c r="BR112" s="562">
        <v>153</v>
      </c>
      <c r="BS112" s="563">
        <v>4897456.0199999996</v>
      </c>
      <c r="BT112" s="562">
        <v>81</v>
      </c>
      <c r="BU112" s="563">
        <v>1788052.02</v>
      </c>
      <c r="BV112" s="562">
        <v>82</v>
      </c>
      <c r="BW112" s="563">
        <v>2009451.02</v>
      </c>
      <c r="BX112" s="562">
        <v>65</v>
      </c>
      <c r="BY112" s="563">
        <v>1911747.01</v>
      </c>
      <c r="BZ112" s="562">
        <v>99</v>
      </c>
      <c r="CA112" s="563">
        <v>2852324.01</v>
      </c>
      <c r="CB112" s="562">
        <v>149</v>
      </c>
      <c r="CC112" s="563">
        <v>3822624.84</v>
      </c>
      <c r="CD112" s="562">
        <v>168</v>
      </c>
      <c r="CE112" s="563">
        <v>4779850.0199999996</v>
      </c>
      <c r="CF112" s="562">
        <v>144</v>
      </c>
      <c r="CG112" s="563">
        <v>4039675.41</v>
      </c>
      <c r="CH112" s="562">
        <v>245</v>
      </c>
      <c r="CI112" s="563">
        <v>6185411.8200000003</v>
      </c>
      <c r="CJ112" s="562">
        <v>219</v>
      </c>
      <c r="CK112" s="563">
        <v>5946897.6199999992</v>
      </c>
      <c r="CL112" s="562">
        <v>186</v>
      </c>
      <c r="CM112" s="563">
        <v>5572743.2199999988</v>
      </c>
      <c r="CN112" s="562">
        <v>177</v>
      </c>
      <c r="CO112" s="563">
        <v>4993387.2199999988</v>
      </c>
    </row>
    <row r="113" spans="1:95" outlineLevel="1" x14ac:dyDescent="0.2">
      <c r="A113" s="561"/>
      <c r="B113" s="567">
        <f t="shared" ref="B113:BM113" si="52">SUM(B108:B112)</f>
        <v>0</v>
      </c>
      <c r="C113" s="568">
        <f t="shared" si="52"/>
        <v>0</v>
      </c>
      <c r="D113" s="567">
        <f t="shared" si="52"/>
        <v>0</v>
      </c>
      <c r="E113" s="568">
        <f t="shared" si="52"/>
        <v>0</v>
      </c>
      <c r="F113" s="567">
        <f t="shared" si="52"/>
        <v>0</v>
      </c>
      <c r="G113" s="568">
        <f t="shared" si="52"/>
        <v>0</v>
      </c>
      <c r="H113" s="567">
        <f t="shared" si="52"/>
        <v>0</v>
      </c>
      <c r="I113" s="568">
        <f t="shared" si="52"/>
        <v>0</v>
      </c>
      <c r="J113" s="567">
        <f t="shared" si="52"/>
        <v>0</v>
      </c>
      <c r="K113" s="568">
        <f t="shared" si="52"/>
        <v>0</v>
      </c>
      <c r="L113" s="567">
        <f t="shared" si="52"/>
        <v>0</v>
      </c>
      <c r="M113" s="568">
        <f t="shared" si="52"/>
        <v>0</v>
      </c>
      <c r="N113" s="567">
        <f t="shared" si="52"/>
        <v>0</v>
      </c>
      <c r="O113" s="568">
        <f t="shared" si="52"/>
        <v>0</v>
      </c>
      <c r="P113" s="567">
        <f t="shared" si="52"/>
        <v>0</v>
      </c>
      <c r="Q113" s="568">
        <f t="shared" si="52"/>
        <v>0</v>
      </c>
      <c r="R113" s="567">
        <f t="shared" si="52"/>
        <v>0</v>
      </c>
      <c r="S113" s="568">
        <f t="shared" si="52"/>
        <v>0</v>
      </c>
      <c r="T113" s="567">
        <f t="shared" si="52"/>
        <v>0</v>
      </c>
      <c r="U113" s="568">
        <f t="shared" si="52"/>
        <v>0</v>
      </c>
      <c r="V113" s="567">
        <f t="shared" si="52"/>
        <v>0</v>
      </c>
      <c r="W113" s="568">
        <f t="shared" si="52"/>
        <v>0</v>
      </c>
      <c r="X113" s="567">
        <f t="shared" si="52"/>
        <v>0</v>
      </c>
      <c r="Y113" s="568">
        <f t="shared" si="52"/>
        <v>0</v>
      </c>
      <c r="Z113" s="567">
        <f t="shared" si="52"/>
        <v>0</v>
      </c>
      <c r="AA113" s="568">
        <f t="shared" si="52"/>
        <v>0</v>
      </c>
      <c r="AB113" s="567">
        <f t="shared" si="52"/>
        <v>0</v>
      </c>
      <c r="AC113" s="568">
        <f t="shared" si="52"/>
        <v>0</v>
      </c>
      <c r="AD113" s="567">
        <f t="shared" si="52"/>
        <v>0</v>
      </c>
      <c r="AE113" s="568">
        <f t="shared" si="52"/>
        <v>0</v>
      </c>
      <c r="AF113" s="567">
        <f t="shared" si="52"/>
        <v>0</v>
      </c>
      <c r="AG113" s="568">
        <f t="shared" si="52"/>
        <v>0</v>
      </c>
      <c r="AH113" s="567">
        <f t="shared" si="52"/>
        <v>0</v>
      </c>
      <c r="AI113" s="568">
        <f t="shared" si="52"/>
        <v>0</v>
      </c>
      <c r="AJ113" s="567">
        <f t="shared" si="52"/>
        <v>0</v>
      </c>
      <c r="AK113" s="568">
        <f t="shared" si="52"/>
        <v>0</v>
      </c>
      <c r="AL113" s="567">
        <f t="shared" si="52"/>
        <v>0</v>
      </c>
      <c r="AM113" s="568">
        <f t="shared" si="52"/>
        <v>0</v>
      </c>
      <c r="AN113" s="567">
        <f t="shared" si="52"/>
        <v>0</v>
      </c>
      <c r="AO113" s="568">
        <f t="shared" si="52"/>
        <v>0</v>
      </c>
      <c r="AP113" s="567">
        <f t="shared" si="52"/>
        <v>0</v>
      </c>
      <c r="AQ113" s="568">
        <f t="shared" si="52"/>
        <v>0</v>
      </c>
      <c r="AR113" s="567">
        <f t="shared" si="52"/>
        <v>0</v>
      </c>
      <c r="AS113" s="568">
        <f t="shared" si="52"/>
        <v>0</v>
      </c>
      <c r="AT113" s="567">
        <f t="shared" si="52"/>
        <v>0</v>
      </c>
      <c r="AU113" s="568">
        <f t="shared" si="52"/>
        <v>0</v>
      </c>
      <c r="AV113" s="567">
        <f t="shared" si="52"/>
        <v>0</v>
      </c>
      <c r="AW113" s="568">
        <f t="shared" si="52"/>
        <v>0</v>
      </c>
      <c r="AX113" s="567">
        <f t="shared" si="52"/>
        <v>0</v>
      </c>
      <c r="AY113" s="568">
        <f t="shared" si="52"/>
        <v>0</v>
      </c>
      <c r="AZ113" s="567">
        <f t="shared" si="52"/>
        <v>0</v>
      </c>
      <c r="BA113" s="568">
        <f t="shared" si="52"/>
        <v>0</v>
      </c>
      <c r="BB113" s="567">
        <f t="shared" si="52"/>
        <v>0</v>
      </c>
      <c r="BC113" s="568">
        <f t="shared" si="52"/>
        <v>0</v>
      </c>
      <c r="BD113" s="567">
        <f t="shared" si="52"/>
        <v>0</v>
      </c>
      <c r="BE113" s="568">
        <f t="shared" si="52"/>
        <v>0</v>
      </c>
      <c r="BF113" s="567">
        <f t="shared" si="52"/>
        <v>0</v>
      </c>
      <c r="BG113" s="568">
        <f t="shared" si="52"/>
        <v>0</v>
      </c>
      <c r="BH113" s="567">
        <f t="shared" si="52"/>
        <v>976</v>
      </c>
      <c r="BI113" s="568">
        <f t="shared" si="52"/>
        <v>24177761.559999999</v>
      </c>
      <c r="BJ113" s="567">
        <f t="shared" si="52"/>
        <v>927</v>
      </c>
      <c r="BK113" s="568">
        <f t="shared" si="52"/>
        <v>23321152.130000003</v>
      </c>
      <c r="BL113" s="567">
        <f t="shared" si="52"/>
        <v>766</v>
      </c>
      <c r="BM113" s="568">
        <f t="shared" si="52"/>
        <v>18209149.219999999</v>
      </c>
      <c r="BN113" s="567">
        <f t="shared" ref="BN113:CO113" si="53">SUM(BN108:BN112)</f>
        <v>718</v>
      </c>
      <c r="BO113" s="568">
        <f t="shared" si="53"/>
        <v>17343576.02</v>
      </c>
      <c r="BP113" s="567">
        <f t="shared" si="53"/>
        <v>729</v>
      </c>
      <c r="BQ113" s="568">
        <f t="shared" si="53"/>
        <v>18519603.02</v>
      </c>
      <c r="BR113" s="567">
        <f t="shared" si="53"/>
        <v>455</v>
      </c>
      <c r="BS113" s="568">
        <f t="shared" si="53"/>
        <v>12883960.01</v>
      </c>
      <c r="BT113" s="567">
        <f t="shared" si="53"/>
        <v>954</v>
      </c>
      <c r="BU113" s="568">
        <f t="shared" si="53"/>
        <v>20882699.009999998</v>
      </c>
      <c r="BV113" s="567">
        <f t="shared" si="53"/>
        <v>1215</v>
      </c>
      <c r="BW113" s="568">
        <f t="shared" si="53"/>
        <v>26333061.750000067</v>
      </c>
      <c r="BX113" s="567">
        <f t="shared" si="53"/>
        <v>1250</v>
      </c>
      <c r="BY113" s="568">
        <f t="shared" si="53"/>
        <v>29045750.430000007</v>
      </c>
      <c r="BZ113" s="567">
        <f t="shared" si="53"/>
        <v>1242</v>
      </c>
      <c r="CA113" s="568">
        <f t="shared" si="53"/>
        <v>28097534.61999999</v>
      </c>
      <c r="CB113" s="567">
        <f t="shared" si="53"/>
        <v>1423</v>
      </c>
      <c r="CC113" s="568">
        <f t="shared" si="53"/>
        <v>27295552.609999999</v>
      </c>
      <c r="CD113" s="567">
        <f t="shared" si="53"/>
        <v>2731</v>
      </c>
      <c r="CE113" s="568">
        <f t="shared" si="53"/>
        <v>64084929.25</v>
      </c>
      <c r="CF113" s="567">
        <f t="shared" si="53"/>
        <v>2445</v>
      </c>
      <c r="CG113" s="568">
        <f t="shared" si="53"/>
        <v>58690131.989999995</v>
      </c>
      <c r="CH113" s="567">
        <f t="shared" si="53"/>
        <v>2624</v>
      </c>
      <c r="CI113" s="568">
        <f t="shared" si="53"/>
        <v>62384461.009999998</v>
      </c>
      <c r="CJ113" s="567">
        <f t="shared" si="53"/>
        <v>1891</v>
      </c>
      <c r="CK113" s="568">
        <f t="shared" si="53"/>
        <v>50410862.299999997</v>
      </c>
      <c r="CL113" s="567">
        <f t="shared" si="53"/>
        <v>1732</v>
      </c>
      <c r="CM113" s="568">
        <f t="shared" si="53"/>
        <v>46095142.260000013</v>
      </c>
      <c r="CN113" s="567">
        <f t="shared" si="53"/>
        <v>1996</v>
      </c>
      <c r="CO113" s="568">
        <f t="shared" si="53"/>
        <v>58133227.095999926</v>
      </c>
      <c r="CQ113" s="573"/>
    </row>
    <row r="114" spans="1:95" outlineLevel="1" x14ac:dyDescent="0.2">
      <c r="A114" s="561"/>
      <c r="B114" s="567"/>
      <c r="C114" s="572"/>
      <c r="D114" s="567"/>
      <c r="E114" s="572"/>
      <c r="F114" s="567"/>
      <c r="G114" s="572"/>
      <c r="H114" s="567"/>
      <c r="I114" s="572"/>
      <c r="J114" s="567"/>
      <c r="K114" s="572"/>
      <c r="L114" s="567"/>
      <c r="M114" s="572"/>
      <c r="N114" s="567"/>
      <c r="O114" s="572"/>
      <c r="P114" s="567"/>
      <c r="Q114" s="572"/>
      <c r="R114" s="567"/>
      <c r="S114" s="572"/>
      <c r="T114" s="567"/>
      <c r="U114" s="572"/>
      <c r="V114" s="567"/>
      <c r="W114" s="572"/>
      <c r="X114" s="567"/>
      <c r="Y114" s="572"/>
      <c r="Z114" s="567"/>
      <c r="AA114" s="572"/>
      <c r="AB114" s="567"/>
      <c r="AC114" s="572"/>
      <c r="AD114" s="567"/>
      <c r="AE114" s="572"/>
      <c r="AF114" s="567"/>
      <c r="AG114" s="572"/>
      <c r="AH114" s="567"/>
      <c r="AI114" s="572"/>
      <c r="AJ114" s="567"/>
      <c r="AK114" s="572"/>
      <c r="AL114" s="567"/>
      <c r="AM114" s="572"/>
      <c r="AN114" s="567"/>
      <c r="AO114" s="572"/>
      <c r="AP114" s="567"/>
      <c r="AQ114" s="572"/>
      <c r="AR114" s="567"/>
      <c r="AS114" s="572"/>
      <c r="AT114" s="567"/>
      <c r="AU114" s="572"/>
      <c r="AV114" s="567"/>
      <c r="AW114" s="572"/>
      <c r="AX114" s="567"/>
      <c r="AY114" s="572"/>
      <c r="AZ114" s="567"/>
      <c r="BA114" s="572"/>
      <c r="BB114" s="567"/>
      <c r="BC114" s="572"/>
      <c r="BD114" s="567"/>
      <c r="BE114" s="572"/>
      <c r="BF114" s="567"/>
      <c r="BG114" s="572"/>
      <c r="BH114" s="567"/>
      <c r="BI114" s="572"/>
      <c r="BJ114" s="567"/>
      <c r="BK114" s="572"/>
      <c r="BL114" s="567"/>
      <c r="BM114" s="572"/>
      <c r="BN114" s="567"/>
      <c r="BO114" s="572"/>
      <c r="BP114" s="567"/>
      <c r="BQ114" s="572"/>
      <c r="BR114" s="567"/>
      <c r="BS114" s="572"/>
      <c r="BT114" s="567"/>
      <c r="BU114" s="572"/>
      <c r="BV114" s="567"/>
      <c r="BW114" s="572"/>
      <c r="BX114" s="567"/>
      <c r="BY114" s="572"/>
      <c r="BZ114" s="567"/>
      <c r="CA114" s="572"/>
      <c r="CB114" s="567"/>
      <c r="CC114" s="572"/>
      <c r="CD114" s="567"/>
      <c r="CE114" s="572"/>
      <c r="CF114" s="567"/>
      <c r="CG114" s="572"/>
      <c r="CH114" s="567"/>
      <c r="CI114" s="572"/>
      <c r="CJ114" s="567"/>
      <c r="CK114" s="572"/>
      <c r="CL114" s="567"/>
      <c r="CM114" s="572"/>
      <c r="CN114" s="567"/>
      <c r="CO114" s="572"/>
    </row>
    <row r="115" spans="1:95" ht="16" customHeight="1" outlineLevel="1" x14ac:dyDescent="0.2">
      <c r="A115" s="553" t="s">
        <v>569</v>
      </c>
      <c r="B115" s="554"/>
      <c r="C115" s="555"/>
      <c r="D115" s="554"/>
      <c r="E115" s="555"/>
      <c r="F115" s="554"/>
      <c r="G115" s="555"/>
      <c r="H115" s="554"/>
      <c r="I115" s="555"/>
      <c r="J115" s="554"/>
      <c r="K115" s="555"/>
      <c r="L115" s="554"/>
      <c r="M115" s="555"/>
      <c r="N115" s="554"/>
      <c r="O115" s="555"/>
      <c r="P115" s="554"/>
      <c r="Q115" s="555"/>
      <c r="R115" s="554"/>
      <c r="S115" s="555"/>
      <c r="T115" s="554"/>
      <c r="U115" s="555"/>
      <c r="V115" s="554"/>
      <c r="W115" s="555"/>
      <c r="X115" s="554"/>
      <c r="Y115" s="555"/>
      <c r="Z115" s="554"/>
      <c r="AA115" s="555"/>
      <c r="AB115" s="554"/>
      <c r="AC115" s="555"/>
      <c r="AD115" s="554"/>
      <c r="AE115" s="555"/>
      <c r="AF115" s="554"/>
      <c r="AG115" s="555"/>
      <c r="AH115" s="554"/>
      <c r="AI115" s="555"/>
      <c r="AJ115" s="554"/>
      <c r="AK115" s="555"/>
      <c r="AL115" s="554"/>
      <c r="AM115" s="555"/>
      <c r="AN115" s="554"/>
      <c r="AO115" s="555"/>
      <c r="AP115" s="554"/>
      <c r="AQ115" s="555"/>
      <c r="AR115" s="554"/>
      <c r="AS115" s="555"/>
      <c r="AT115" s="554"/>
      <c r="AU115" s="555"/>
      <c r="AV115" s="554"/>
      <c r="AW115" s="555"/>
      <c r="AX115" s="554"/>
      <c r="AY115" s="555"/>
      <c r="AZ115" s="554"/>
      <c r="BA115" s="555"/>
      <c r="BB115" s="554"/>
      <c r="BC115" s="555"/>
      <c r="BD115" s="554"/>
      <c r="BE115" s="555"/>
      <c r="BF115" s="554"/>
      <c r="BG115" s="555"/>
      <c r="BH115" s="554"/>
      <c r="BI115" s="555"/>
      <c r="BJ115" s="554"/>
      <c r="BK115" s="555"/>
      <c r="BL115" s="554"/>
      <c r="BM115" s="555"/>
      <c r="BN115" s="554"/>
      <c r="BO115" s="555"/>
      <c r="BP115" s="554"/>
      <c r="BQ115" s="555"/>
      <c r="BR115" s="554"/>
      <c r="BS115" s="555"/>
      <c r="BT115" s="554"/>
      <c r="BU115" s="555"/>
      <c r="BV115" s="554"/>
      <c r="BW115" s="555"/>
      <c r="BX115" s="554"/>
      <c r="BY115" s="555"/>
      <c r="BZ115" s="554"/>
      <c r="CA115" s="555"/>
      <c r="CB115" s="554"/>
      <c r="CC115" s="555"/>
      <c r="CD115" s="554"/>
      <c r="CE115" s="555"/>
      <c r="CF115" s="554"/>
      <c r="CG115" s="555"/>
      <c r="CH115" s="554"/>
      <c r="CI115" s="555"/>
      <c r="CJ115" s="554"/>
      <c r="CK115" s="555"/>
      <c r="CL115" s="554"/>
      <c r="CM115" s="555"/>
      <c r="CN115" s="554"/>
      <c r="CO115" s="555"/>
    </row>
    <row r="116" spans="1:95" outlineLevel="1" x14ac:dyDescent="0.2">
      <c r="A116" s="561" t="s">
        <v>521</v>
      </c>
      <c r="B116" s="562"/>
      <c r="C116" s="563"/>
      <c r="D116" s="562"/>
      <c r="E116" s="563"/>
      <c r="F116" s="562"/>
      <c r="G116" s="563"/>
      <c r="H116" s="562"/>
      <c r="I116" s="563"/>
      <c r="J116" s="562"/>
      <c r="K116" s="563"/>
      <c r="L116" s="562"/>
      <c r="M116" s="563"/>
      <c r="N116" s="562"/>
      <c r="O116" s="563"/>
      <c r="P116" s="562"/>
      <c r="Q116" s="563"/>
      <c r="R116" s="562"/>
      <c r="S116" s="563"/>
      <c r="T116" s="562"/>
      <c r="U116" s="563"/>
      <c r="V116" s="562">
        <v>6354</v>
      </c>
      <c r="W116" s="563">
        <v>5724331.699999732</v>
      </c>
      <c r="X116" s="562">
        <v>3991</v>
      </c>
      <c r="Y116" s="563">
        <v>2655406.5100000459</v>
      </c>
      <c r="Z116" s="562">
        <v>3901</v>
      </c>
      <c r="AA116" s="563">
        <v>3665165.0000000703</v>
      </c>
      <c r="AB116" s="562">
        <v>3728</v>
      </c>
      <c r="AC116" s="563">
        <v>1271882.3199999419</v>
      </c>
      <c r="AD116" s="562">
        <v>2707</v>
      </c>
      <c r="AE116" s="563">
        <v>1982750.0399999986</v>
      </c>
      <c r="AF116" s="562">
        <v>7186</v>
      </c>
      <c r="AG116" s="563">
        <v>4811340.689999966</v>
      </c>
      <c r="AH116" s="562">
        <v>8934</v>
      </c>
      <c r="AI116" s="563">
        <v>6805781.9099995187</v>
      </c>
      <c r="AJ116" s="562">
        <v>6322</v>
      </c>
      <c r="AK116" s="563">
        <v>4580761.2700001225</v>
      </c>
      <c r="AL116" s="562">
        <v>2449</v>
      </c>
      <c r="AM116" s="563">
        <v>2210583.0400000447</v>
      </c>
      <c r="AN116" s="562">
        <v>1672</v>
      </c>
      <c r="AO116" s="563">
        <v>1378495.0000000079</v>
      </c>
      <c r="AP116" s="562">
        <v>2547</v>
      </c>
      <c r="AQ116" s="563">
        <v>1436677.3900000565</v>
      </c>
      <c r="AR116" s="562">
        <v>3757</v>
      </c>
      <c r="AS116" s="563">
        <v>2744187.2200001208</v>
      </c>
      <c r="AT116" s="562">
        <v>2866</v>
      </c>
      <c r="AU116" s="563">
        <v>1503523.0000000303</v>
      </c>
      <c r="AV116" s="562">
        <v>3037</v>
      </c>
      <c r="AW116" s="563">
        <v>2205711.7400000445</v>
      </c>
      <c r="AX116" s="562">
        <v>4721</v>
      </c>
      <c r="AY116" s="563">
        <v>4941904.6599997869</v>
      </c>
      <c r="AZ116" s="562">
        <v>6979</v>
      </c>
      <c r="BA116" s="563">
        <v>5408848.6299998984</v>
      </c>
      <c r="BB116" s="562">
        <v>3969</v>
      </c>
      <c r="BC116" s="563">
        <v>2519035.3900000094</v>
      </c>
      <c r="BD116" s="562">
        <v>14971</v>
      </c>
      <c r="BE116" s="563">
        <v>5195618.950000192</v>
      </c>
      <c r="BF116" s="562">
        <v>8086</v>
      </c>
      <c r="BG116" s="563">
        <v>6910935.4900001455</v>
      </c>
      <c r="BH116" s="562">
        <v>11361</v>
      </c>
      <c r="BI116" s="563">
        <v>6406136.1400000928</v>
      </c>
      <c r="BJ116" s="562">
        <v>370</v>
      </c>
      <c r="BK116" s="563">
        <v>140795</v>
      </c>
      <c r="BL116" s="562">
        <v>7873</v>
      </c>
      <c r="BM116" s="563">
        <v>5594247.3499996001</v>
      </c>
      <c r="BN116" s="562">
        <v>2675</v>
      </c>
      <c r="BO116" s="563">
        <v>1813997.9099999883</v>
      </c>
      <c r="BP116" s="562">
        <v>5242</v>
      </c>
      <c r="BQ116" s="563">
        <v>4047990.0200001062</v>
      </c>
      <c r="BR116" s="562">
        <v>8167</v>
      </c>
      <c r="BS116" s="563">
        <v>6360837.4800003208</v>
      </c>
      <c r="BT116" s="562">
        <v>1830</v>
      </c>
      <c r="BU116" s="563">
        <v>1503433.2799999954</v>
      </c>
      <c r="BV116" s="562">
        <v>6971</v>
      </c>
      <c r="BW116" s="563">
        <v>5123417.9700000584</v>
      </c>
      <c r="BX116" s="562">
        <v>5721</v>
      </c>
      <c r="BY116" s="563">
        <v>5373339.0800000569</v>
      </c>
      <c r="BZ116" s="562">
        <v>6226</v>
      </c>
      <c r="CA116" s="563">
        <v>4712180.9700000277</v>
      </c>
      <c r="CB116" s="562">
        <v>13539</v>
      </c>
      <c r="CC116" s="563">
        <v>10628105.759999715</v>
      </c>
      <c r="CD116" s="562">
        <v>2527</v>
      </c>
      <c r="CE116" s="563">
        <v>3302826.1299998928</v>
      </c>
      <c r="CF116" s="562">
        <v>2371</v>
      </c>
      <c r="CG116" s="563">
        <v>5143788.6199998595</v>
      </c>
      <c r="CH116" s="562">
        <v>5779</v>
      </c>
      <c r="CI116" s="563">
        <v>6893375.0299999993</v>
      </c>
      <c r="CJ116" s="562">
        <v>9399</v>
      </c>
      <c r="CK116" s="563">
        <v>8068390.4799997555</v>
      </c>
      <c r="CL116" s="562">
        <v>11191</v>
      </c>
      <c r="CM116" s="563">
        <v>7882724.129999755</v>
      </c>
      <c r="CN116" s="562">
        <v>9652</v>
      </c>
      <c r="CO116" s="563">
        <v>11204474.730000533</v>
      </c>
    </row>
    <row r="117" spans="1:95" outlineLevel="1" x14ac:dyDescent="0.2">
      <c r="A117" s="561" t="s">
        <v>522</v>
      </c>
      <c r="B117" s="562"/>
      <c r="C117" s="563"/>
      <c r="D117" s="562"/>
      <c r="E117" s="563"/>
      <c r="F117" s="562"/>
      <c r="G117" s="563"/>
      <c r="H117" s="562"/>
      <c r="I117" s="563"/>
      <c r="J117" s="562"/>
      <c r="K117" s="563"/>
      <c r="L117" s="562"/>
      <c r="M117" s="563"/>
      <c r="N117" s="562"/>
      <c r="O117" s="563"/>
      <c r="P117" s="562"/>
      <c r="Q117" s="563"/>
      <c r="R117" s="562"/>
      <c r="S117" s="563"/>
      <c r="T117" s="562"/>
      <c r="U117" s="563"/>
      <c r="V117" s="562">
        <v>1412</v>
      </c>
      <c r="W117" s="563">
        <v>1185029.6800000018</v>
      </c>
      <c r="X117" s="562">
        <v>1601</v>
      </c>
      <c r="Y117" s="563">
        <v>417310.80000000121</v>
      </c>
      <c r="Z117" s="562">
        <v>4339</v>
      </c>
      <c r="AA117" s="563">
        <v>2102359.550000133</v>
      </c>
      <c r="AB117" s="562">
        <v>4757</v>
      </c>
      <c r="AC117" s="563">
        <v>1887125.0799998408</v>
      </c>
      <c r="AD117" s="562">
        <v>5069</v>
      </c>
      <c r="AE117" s="563">
        <v>3002596.5000000736</v>
      </c>
      <c r="AF117" s="562">
        <v>8697</v>
      </c>
      <c r="AG117" s="563">
        <v>5186939.9099996677</v>
      </c>
      <c r="AH117" s="562">
        <v>7378</v>
      </c>
      <c r="AI117" s="563">
        <v>4685530.7576262904</v>
      </c>
      <c r="AJ117" s="562">
        <v>1716</v>
      </c>
      <c r="AK117" s="563">
        <v>1220513.8000000084</v>
      </c>
      <c r="AL117" s="562">
        <v>2757</v>
      </c>
      <c r="AM117" s="563">
        <v>3349474.5999999805</v>
      </c>
      <c r="AN117" s="562">
        <v>2752</v>
      </c>
      <c r="AO117" s="563">
        <v>1504128.4699999904</v>
      </c>
      <c r="AP117" s="562">
        <v>1534</v>
      </c>
      <c r="AQ117" s="563">
        <v>1228405.5500000024</v>
      </c>
      <c r="AR117" s="562">
        <v>1563</v>
      </c>
      <c r="AS117" s="563">
        <v>1320170.0599999987</v>
      </c>
      <c r="AT117" s="562">
        <v>1678</v>
      </c>
      <c r="AU117" s="563">
        <v>1280378.7600000417</v>
      </c>
      <c r="AV117" s="562">
        <v>2816</v>
      </c>
      <c r="AW117" s="563">
        <v>1625684.5799999773</v>
      </c>
      <c r="AX117" s="562">
        <v>2685</v>
      </c>
      <c r="AY117" s="563">
        <v>1488203.7599999597</v>
      </c>
      <c r="AZ117" s="562">
        <v>6354</v>
      </c>
      <c r="BA117" s="563">
        <v>4029958.1339999377</v>
      </c>
      <c r="BB117" s="562">
        <v>3757</v>
      </c>
      <c r="BC117" s="563">
        <v>5050560.360000303</v>
      </c>
      <c r="BD117" s="562">
        <v>1433</v>
      </c>
      <c r="BE117" s="563">
        <v>1282236.9399999939</v>
      </c>
      <c r="BF117" s="562">
        <v>6908</v>
      </c>
      <c r="BG117" s="563">
        <v>2065096.789999736</v>
      </c>
      <c r="BH117" s="562">
        <v>5413</v>
      </c>
      <c r="BI117" s="563">
        <v>1463090.3699999978</v>
      </c>
      <c r="BJ117" s="562">
        <v>1653</v>
      </c>
      <c r="BK117" s="563">
        <v>1684557.1400000141</v>
      </c>
      <c r="BL117" s="562">
        <v>4536</v>
      </c>
      <c r="BM117" s="563">
        <v>4025471.0400000275</v>
      </c>
      <c r="BN117" s="562">
        <v>6946</v>
      </c>
      <c r="BO117" s="563">
        <v>3530529.1900000158</v>
      </c>
      <c r="BP117" s="562">
        <v>8792</v>
      </c>
      <c r="BQ117" s="563">
        <v>5550831.5699999984</v>
      </c>
      <c r="BR117" s="562">
        <v>8391</v>
      </c>
      <c r="BS117" s="563">
        <v>4766086.1667784788</v>
      </c>
      <c r="BT117" s="562">
        <v>12276</v>
      </c>
      <c r="BU117" s="563">
        <v>7755846.3400002699</v>
      </c>
      <c r="BV117" s="562">
        <v>8978</v>
      </c>
      <c r="BW117" s="563">
        <v>3412419.7900000564</v>
      </c>
      <c r="BX117" s="562">
        <v>4884</v>
      </c>
      <c r="BY117" s="563">
        <v>4307398.060000198</v>
      </c>
      <c r="BZ117" s="562">
        <v>6607</v>
      </c>
      <c r="CA117" s="563">
        <v>6278316.2199999467</v>
      </c>
      <c r="CB117" s="562">
        <v>6167</v>
      </c>
      <c r="CC117" s="563">
        <v>6906796.3600001782</v>
      </c>
      <c r="CD117" s="562">
        <v>13494</v>
      </c>
      <c r="CE117" s="563">
        <v>11344527.410000598</v>
      </c>
      <c r="CF117" s="562">
        <v>774</v>
      </c>
      <c r="CG117" s="563">
        <v>770193.75000000501</v>
      </c>
      <c r="CH117" s="562">
        <v>5138</v>
      </c>
      <c r="CI117" s="563">
        <v>6908238.0399998082</v>
      </c>
      <c r="CJ117" s="562">
        <v>8158</v>
      </c>
      <c r="CK117" s="563">
        <v>9964337.7999993861</v>
      </c>
      <c r="CL117" s="562">
        <v>4856</v>
      </c>
      <c r="CM117" s="563">
        <v>7012626.4199996321</v>
      </c>
      <c r="CN117" s="562">
        <v>3713</v>
      </c>
      <c r="CO117" s="563">
        <v>5173410.3799999636</v>
      </c>
    </row>
    <row r="118" spans="1:95" outlineLevel="1" x14ac:dyDescent="0.2">
      <c r="A118" s="561" t="s">
        <v>523</v>
      </c>
      <c r="B118" s="562"/>
      <c r="C118" s="563"/>
      <c r="D118" s="562"/>
      <c r="E118" s="563"/>
      <c r="F118" s="562"/>
      <c r="G118" s="563"/>
      <c r="H118" s="562"/>
      <c r="I118" s="563"/>
      <c r="J118" s="562"/>
      <c r="K118" s="563"/>
      <c r="L118" s="562"/>
      <c r="M118" s="563"/>
      <c r="N118" s="562"/>
      <c r="O118" s="563"/>
      <c r="P118" s="562"/>
      <c r="Q118" s="563"/>
      <c r="R118" s="562"/>
      <c r="S118" s="563"/>
      <c r="T118" s="562"/>
      <c r="U118" s="563"/>
      <c r="V118" s="562">
        <v>10465</v>
      </c>
      <c r="W118" s="563">
        <v>4105048.2999995383</v>
      </c>
      <c r="X118" s="562">
        <v>5944</v>
      </c>
      <c r="Y118" s="563">
        <v>5359663.5599997537</v>
      </c>
      <c r="Z118" s="562">
        <v>3790</v>
      </c>
      <c r="AA118" s="563">
        <v>1955202.1100000327</v>
      </c>
      <c r="AB118" s="562">
        <v>4217</v>
      </c>
      <c r="AC118" s="563">
        <v>3296081.7999999356</v>
      </c>
      <c r="AD118" s="562">
        <v>7123</v>
      </c>
      <c r="AE118" s="563">
        <v>2291255.3200000133</v>
      </c>
      <c r="AF118" s="562">
        <v>4304</v>
      </c>
      <c r="AG118" s="563">
        <v>2682869.8699999922</v>
      </c>
      <c r="AH118" s="562">
        <v>9817</v>
      </c>
      <c r="AI118" s="563">
        <v>5778725.6600002646</v>
      </c>
      <c r="AJ118" s="562">
        <v>11805</v>
      </c>
      <c r="AK118" s="563">
        <v>7931619.5216939012</v>
      </c>
      <c r="AL118" s="562">
        <v>5436</v>
      </c>
      <c r="AM118" s="563">
        <v>3854098.5800001081</v>
      </c>
      <c r="AN118" s="562">
        <v>3831</v>
      </c>
      <c r="AO118" s="563">
        <v>4235510.4099999163</v>
      </c>
      <c r="AP118" s="562">
        <v>3235</v>
      </c>
      <c r="AQ118" s="563">
        <v>2146632.5999999358</v>
      </c>
      <c r="AR118" s="562">
        <v>2168</v>
      </c>
      <c r="AS118" s="563">
        <v>1423861.0000000242</v>
      </c>
      <c r="AT118" s="562">
        <v>2715</v>
      </c>
      <c r="AU118" s="563">
        <v>2151116.5700000101</v>
      </c>
      <c r="AV118" s="562">
        <v>2086</v>
      </c>
      <c r="AW118" s="563">
        <v>1250431.5400000168</v>
      </c>
      <c r="AX118" s="562">
        <v>2375</v>
      </c>
      <c r="AY118" s="563">
        <v>1521580.9500000249</v>
      </c>
      <c r="AZ118" s="562">
        <v>3576</v>
      </c>
      <c r="BA118" s="563">
        <v>3086207.4199999841</v>
      </c>
      <c r="BB118" s="562">
        <v>9526</v>
      </c>
      <c r="BC118" s="563">
        <v>6362822.0159999933</v>
      </c>
      <c r="BD118" s="562">
        <v>6360</v>
      </c>
      <c r="BE118" s="563">
        <v>5284340.3500000099</v>
      </c>
      <c r="BF118" s="562">
        <v>7528</v>
      </c>
      <c r="BG118" s="563">
        <v>4007605.7400002293</v>
      </c>
      <c r="BH118" s="562">
        <v>9850</v>
      </c>
      <c r="BI118" s="563">
        <v>6223905.0499999505</v>
      </c>
      <c r="BJ118" s="562">
        <v>10749</v>
      </c>
      <c r="BK118" s="563">
        <v>4805632.1400000239</v>
      </c>
      <c r="BL118" s="562">
        <v>795</v>
      </c>
      <c r="BM118" s="563">
        <v>837948.49000001082</v>
      </c>
      <c r="BN118" s="562">
        <v>5071</v>
      </c>
      <c r="BO118" s="563">
        <v>4055383.2900000117</v>
      </c>
      <c r="BP118" s="562">
        <v>3692</v>
      </c>
      <c r="BQ118" s="563">
        <v>2432107.9199999962</v>
      </c>
      <c r="BR118" s="562">
        <v>7555</v>
      </c>
      <c r="BS118" s="563">
        <v>5891693.4200001145</v>
      </c>
      <c r="BT118" s="562">
        <v>9119</v>
      </c>
      <c r="BU118" s="563">
        <v>7259396.3849150278</v>
      </c>
      <c r="BV118" s="562">
        <v>10437</v>
      </c>
      <c r="BW118" s="563">
        <v>6574991.4499999555</v>
      </c>
      <c r="BX118" s="562">
        <v>18876</v>
      </c>
      <c r="BY118" s="563">
        <v>6554460.9299998544</v>
      </c>
      <c r="BZ118" s="562">
        <v>9859</v>
      </c>
      <c r="CA118" s="563">
        <v>8339026.780000194</v>
      </c>
      <c r="CB118" s="562">
        <v>12470</v>
      </c>
      <c r="CC118" s="563">
        <v>9134610.6999997105</v>
      </c>
      <c r="CD118" s="562">
        <v>15672</v>
      </c>
      <c r="CE118" s="563">
        <v>12197852.440001111</v>
      </c>
      <c r="CF118" s="562">
        <v>12611</v>
      </c>
      <c r="CG118" s="563">
        <v>11005634.350000223</v>
      </c>
      <c r="CH118" s="562">
        <v>1369</v>
      </c>
      <c r="CI118" s="563">
        <v>3348641.6799999489</v>
      </c>
      <c r="CJ118" s="562">
        <v>6222</v>
      </c>
      <c r="CK118" s="563">
        <v>7813242.5699997609</v>
      </c>
      <c r="CL118" s="562">
        <v>11499</v>
      </c>
      <c r="CM118" s="563">
        <v>11540308.780000428</v>
      </c>
      <c r="CN118" s="562">
        <v>11225</v>
      </c>
      <c r="CO118" s="563">
        <v>9844525.0799992941</v>
      </c>
    </row>
    <row r="119" spans="1:95" outlineLevel="1" x14ac:dyDescent="0.2">
      <c r="A119" s="561" t="s">
        <v>524</v>
      </c>
      <c r="B119" s="562"/>
      <c r="C119" s="563"/>
      <c r="D119" s="562"/>
      <c r="E119" s="563"/>
      <c r="F119" s="562"/>
      <c r="G119" s="563"/>
      <c r="H119" s="562"/>
      <c r="I119" s="563"/>
      <c r="J119" s="562"/>
      <c r="K119" s="563"/>
      <c r="L119" s="562"/>
      <c r="M119" s="563"/>
      <c r="N119" s="562"/>
      <c r="O119" s="563"/>
      <c r="P119" s="562"/>
      <c r="Q119" s="563"/>
      <c r="R119" s="562"/>
      <c r="S119" s="563"/>
      <c r="T119" s="562"/>
      <c r="U119" s="563"/>
      <c r="V119" s="562">
        <v>5565</v>
      </c>
      <c r="W119" s="563">
        <v>3893266.4029998113</v>
      </c>
      <c r="X119" s="562">
        <v>8497</v>
      </c>
      <c r="Y119" s="563">
        <v>3028542.9099995247</v>
      </c>
      <c r="Z119" s="562">
        <v>3980</v>
      </c>
      <c r="AA119" s="563">
        <v>3574876.9000000479</v>
      </c>
      <c r="AB119" s="562">
        <v>3386</v>
      </c>
      <c r="AC119" s="563">
        <v>1677808.0400000652</v>
      </c>
      <c r="AD119" s="562">
        <v>2250</v>
      </c>
      <c r="AE119" s="563">
        <v>1576396.8700000134</v>
      </c>
      <c r="AF119" s="562">
        <v>5245</v>
      </c>
      <c r="AG119" s="563">
        <v>1461397.0600000361</v>
      </c>
      <c r="AH119" s="562">
        <v>3430</v>
      </c>
      <c r="AI119" s="563">
        <v>1896306.3800000141</v>
      </c>
      <c r="AJ119" s="562">
        <v>7823</v>
      </c>
      <c r="AK119" s="563">
        <v>4443200.4900001306</v>
      </c>
      <c r="AL119" s="562">
        <v>9298</v>
      </c>
      <c r="AM119" s="563">
        <v>6189084.1955919098</v>
      </c>
      <c r="AN119" s="562">
        <v>3997</v>
      </c>
      <c r="AO119" s="563">
        <v>2913991.8600001042</v>
      </c>
      <c r="AP119" s="562">
        <v>2808</v>
      </c>
      <c r="AQ119" s="563">
        <v>3254762.7499998515</v>
      </c>
      <c r="AR119" s="562">
        <v>2083</v>
      </c>
      <c r="AS119" s="563">
        <v>1451663.5999999777</v>
      </c>
      <c r="AT119" s="562">
        <v>1178</v>
      </c>
      <c r="AU119" s="563">
        <v>819447.20000000345</v>
      </c>
      <c r="AV119" s="562">
        <v>1215</v>
      </c>
      <c r="AW119" s="563">
        <v>947646.30000000133</v>
      </c>
      <c r="AX119" s="562">
        <v>1046</v>
      </c>
      <c r="AY119" s="563">
        <v>600262.89999999746</v>
      </c>
      <c r="AZ119" s="562">
        <v>1375</v>
      </c>
      <c r="BA119" s="563">
        <v>886750.03000000282</v>
      </c>
      <c r="BB119" s="562">
        <v>1977</v>
      </c>
      <c r="BC119" s="563">
        <v>1782666.4699999851</v>
      </c>
      <c r="BD119" s="562">
        <v>6647</v>
      </c>
      <c r="BE119" s="563">
        <v>4651544.2720000595</v>
      </c>
      <c r="BF119" s="562">
        <v>3858</v>
      </c>
      <c r="BG119" s="563">
        <v>3037827.410000002</v>
      </c>
      <c r="BH119" s="562">
        <v>4992</v>
      </c>
      <c r="BI119" s="563">
        <v>2293594.239999962</v>
      </c>
      <c r="BJ119" s="562">
        <v>6148</v>
      </c>
      <c r="BK119" s="563">
        <v>3750893.1199999964</v>
      </c>
      <c r="BL119" s="562">
        <v>4507</v>
      </c>
      <c r="BM119" s="563">
        <v>2442455.179999901</v>
      </c>
      <c r="BN119" s="562">
        <v>483</v>
      </c>
      <c r="BO119" s="563">
        <v>518790.32999999973</v>
      </c>
      <c r="BP119" s="562">
        <v>2881</v>
      </c>
      <c r="BQ119" s="563">
        <v>2449834.2199999793</v>
      </c>
      <c r="BR119" s="562">
        <v>2213</v>
      </c>
      <c r="BS119" s="563">
        <v>1560284.1400000146</v>
      </c>
      <c r="BT119" s="562">
        <v>4764</v>
      </c>
      <c r="BU119" s="563">
        <v>3964553.6500000544</v>
      </c>
      <c r="BV119" s="562">
        <v>6343</v>
      </c>
      <c r="BW119" s="563">
        <v>5412601.707796135</v>
      </c>
      <c r="BX119" s="562">
        <v>6667</v>
      </c>
      <c r="BY119" s="563">
        <v>4556874.8099999446</v>
      </c>
      <c r="BZ119" s="562">
        <v>15533</v>
      </c>
      <c r="CA119" s="563">
        <v>5086735.640000022</v>
      </c>
      <c r="CB119" s="562">
        <v>7383</v>
      </c>
      <c r="CC119" s="563">
        <v>6304910.4400000991</v>
      </c>
      <c r="CD119" s="562">
        <v>7457</v>
      </c>
      <c r="CE119" s="563">
        <v>5149635.699999854</v>
      </c>
      <c r="CF119" s="562">
        <v>13486</v>
      </c>
      <c r="CG119" s="563">
        <v>11539980.629999973</v>
      </c>
      <c r="CH119" s="562">
        <v>8876</v>
      </c>
      <c r="CI119" s="563">
        <v>7599666.2299999455</v>
      </c>
      <c r="CJ119" s="562">
        <v>491</v>
      </c>
      <c r="CK119" s="563">
        <v>1080402.2899999982</v>
      </c>
      <c r="CL119" s="562">
        <v>3183</v>
      </c>
      <c r="CM119" s="563">
        <v>4106159.6300001615</v>
      </c>
      <c r="CN119" s="562">
        <v>6514</v>
      </c>
      <c r="CO119" s="563">
        <v>6475939.2299995068</v>
      </c>
    </row>
    <row r="120" spans="1:95" outlineLevel="1" x14ac:dyDescent="0.2">
      <c r="A120" s="561" t="s">
        <v>525</v>
      </c>
      <c r="B120" s="562"/>
      <c r="C120" s="563"/>
      <c r="D120" s="562"/>
      <c r="E120" s="563"/>
      <c r="F120" s="562"/>
      <c r="G120" s="563"/>
      <c r="H120" s="562"/>
      <c r="I120" s="563"/>
      <c r="J120" s="562"/>
      <c r="K120" s="563"/>
      <c r="L120" s="562"/>
      <c r="M120" s="563"/>
      <c r="N120" s="562"/>
      <c r="O120" s="563"/>
      <c r="P120" s="562"/>
      <c r="Q120" s="563"/>
      <c r="R120" s="562"/>
      <c r="S120" s="563"/>
      <c r="T120" s="562"/>
      <c r="U120" s="563"/>
      <c r="V120" s="562">
        <v>18687</v>
      </c>
      <c r="W120" s="563">
        <v>9158929.840344375</v>
      </c>
      <c r="X120" s="562">
        <v>20490</v>
      </c>
      <c r="Y120" s="563">
        <v>11090962.897055237</v>
      </c>
      <c r="Z120" s="562">
        <v>24762</v>
      </c>
      <c r="AA120" s="563">
        <v>11407990.132701019</v>
      </c>
      <c r="AB120" s="562">
        <v>24815</v>
      </c>
      <c r="AC120" s="563">
        <v>12532015.091383236</v>
      </c>
      <c r="AD120" s="562">
        <v>21578</v>
      </c>
      <c r="AE120" s="563">
        <v>10401820.613327019</v>
      </c>
      <c r="AF120" s="562">
        <v>18605</v>
      </c>
      <c r="AG120" s="563">
        <v>8571060.4323712327</v>
      </c>
      <c r="AH120" s="562">
        <v>19758</v>
      </c>
      <c r="AI120" s="563">
        <v>7774682.781147643</v>
      </c>
      <c r="AJ120" s="562">
        <v>19681</v>
      </c>
      <c r="AK120" s="563">
        <v>7983809.220311082</v>
      </c>
      <c r="AL120" s="562">
        <v>24045</v>
      </c>
      <c r="AM120" s="563">
        <v>10643509.617994079</v>
      </c>
      <c r="AN120" s="562">
        <v>28120</v>
      </c>
      <c r="AO120" s="563">
        <v>14002109.917710619</v>
      </c>
      <c r="AP120" s="562">
        <v>26743</v>
      </c>
      <c r="AQ120" s="563">
        <v>14030067.042934826</v>
      </c>
      <c r="AR120" s="562">
        <v>23186</v>
      </c>
      <c r="AS120" s="563">
        <v>13275755.688213171</v>
      </c>
      <c r="AT120" s="562">
        <v>20150</v>
      </c>
      <c r="AU120" s="563">
        <v>11160857.575072</v>
      </c>
      <c r="AV120" s="562">
        <v>16898</v>
      </c>
      <c r="AW120" s="563">
        <v>8730702.1338723358</v>
      </c>
      <c r="AX120" s="562">
        <v>14367</v>
      </c>
      <c r="AY120" s="563">
        <v>6790346.0171239879</v>
      </c>
      <c r="AZ120" s="562">
        <v>12738</v>
      </c>
      <c r="BA120" s="563">
        <v>5739908.3170497948</v>
      </c>
      <c r="BB120" s="562">
        <v>12037</v>
      </c>
      <c r="BC120" s="563">
        <v>5283283.5039691078</v>
      </c>
      <c r="BD120" s="562">
        <v>11989</v>
      </c>
      <c r="BE120" s="563">
        <v>5767579.6367431181</v>
      </c>
      <c r="BF120" s="562">
        <v>15399</v>
      </c>
      <c r="BG120" s="563">
        <v>7927994.2405742528</v>
      </c>
      <c r="BH120" s="562">
        <v>15191</v>
      </c>
      <c r="BI120" s="563">
        <v>8615125.7942560297</v>
      </c>
      <c r="BJ120" s="562">
        <v>14380</v>
      </c>
      <c r="BK120" s="563">
        <v>8292299.3728958452</v>
      </c>
      <c r="BL120" s="562">
        <v>14918</v>
      </c>
      <c r="BM120" s="563">
        <v>8325483.3444052301</v>
      </c>
      <c r="BN120" s="562">
        <v>12479</v>
      </c>
      <c r="BO120" s="563">
        <v>7379093.7697368376</v>
      </c>
      <c r="BP120" s="562">
        <v>9096</v>
      </c>
      <c r="BQ120" s="563">
        <v>5105484.593433952</v>
      </c>
      <c r="BR120" s="562">
        <v>7735</v>
      </c>
      <c r="BS120" s="563">
        <v>5046677.4627403207</v>
      </c>
      <c r="BT120" s="562">
        <v>6818</v>
      </c>
      <c r="BU120" s="563">
        <v>4698782.9976216303</v>
      </c>
      <c r="BV120" s="562">
        <v>8951</v>
      </c>
      <c r="BW120" s="563">
        <v>6839777.0726048211</v>
      </c>
      <c r="BX120" s="562">
        <v>11463</v>
      </c>
      <c r="BY120" s="563">
        <v>9042476.5580959953</v>
      </c>
      <c r="BZ120" s="562">
        <v>14003</v>
      </c>
      <c r="CA120" s="563">
        <v>10612148.468626965</v>
      </c>
      <c r="CB120" s="562">
        <v>22320</v>
      </c>
      <c r="CC120" s="563">
        <v>12159791.872627286</v>
      </c>
      <c r="CD120" s="562">
        <v>20958</v>
      </c>
      <c r="CE120" s="563">
        <v>13285007.449814752</v>
      </c>
      <c r="CF120" s="562">
        <v>24173</v>
      </c>
      <c r="CG120" s="563">
        <v>14290001.281848684</v>
      </c>
      <c r="CH120" s="562">
        <v>25079</v>
      </c>
      <c r="CI120" s="563">
        <v>18104063.035983477</v>
      </c>
      <c r="CJ120" s="562">
        <v>21861</v>
      </c>
      <c r="CK120" s="563">
        <v>17555547.532153476</v>
      </c>
      <c r="CL120" s="562">
        <v>12264</v>
      </c>
      <c r="CM120" s="563">
        <v>10159214.322152974</v>
      </c>
      <c r="CN120" s="562">
        <v>10951</v>
      </c>
      <c r="CO120" s="563">
        <v>9132974.0882038753</v>
      </c>
    </row>
    <row r="121" spans="1:95" outlineLevel="1" x14ac:dyDescent="0.2">
      <c r="A121" s="561"/>
      <c r="B121" s="567"/>
      <c r="C121" s="568"/>
      <c r="D121" s="567"/>
      <c r="E121" s="568"/>
      <c r="F121" s="567"/>
      <c r="G121" s="568"/>
      <c r="H121" s="567"/>
      <c r="I121" s="568"/>
      <c r="J121" s="567"/>
      <c r="K121" s="568"/>
      <c r="L121" s="567"/>
      <c r="M121" s="568"/>
      <c r="N121" s="567"/>
      <c r="O121" s="568"/>
      <c r="P121" s="567"/>
      <c r="Q121" s="568"/>
      <c r="R121" s="567"/>
      <c r="S121" s="568"/>
      <c r="T121" s="567"/>
      <c r="U121" s="568"/>
      <c r="V121" s="567">
        <f t="shared" ref="V121:CG121" si="54">SUM(V116:V120)</f>
        <v>42483</v>
      </c>
      <c r="W121" s="568">
        <f t="shared" si="54"/>
        <v>24066605.923343457</v>
      </c>
      <c r="X121" s="567">
        <f t="shared" si="54"/>
        <v>40523</v>
      </c>
      <c r="Y121" s="568">
        <f t="shared" si="54"/>
        <v>22551886.677054562</v>
      </c>
      <c r="Z121" s="567">
        <f t="shared" si="54"/>
        <v>40772</v>
      </c>
      <c r="AA121" s="568">
        <f t="shared" si="54"/>
        <v>22705593.692701302</v>
      </c>
      <c r="AB121" s="567">
        <f t="shared" si="54"/>
        <v>40903</v>
      </c>
      <c r="AC121" s="568">
        <f t="shared" si="54"/>
        <v>20664912.33138302</v>
      </c>
      <c r="AD121" s="567">
        <f t="shared" si="54"/>
        <v>38727</v>
      </c>
      <c r="AE121" s="568">
        <f t="shared" si="54"/>
        <v>19254819.34332712</v>
      </c>
      <c r="AF121" s="567">
        <f t="shared" si="54"/>
        <v>44037</v>
      </c>
      <c r="AG121" s="568">
        <f t="shared" si="54"/>
        <v>22713607.962370895</v>
      </c>
      <c r="AH121" s="567">
        <f t="shared" si="54"/>
        <v>49317</v>
      </c>
      <c r="AI121" s="568">
        <f t="shared" si="54"/>
        <v>26941027.48877373</v>
      </c>
      <c r="AJ121" s="567">
        <f t="shared" si="54"/>
        <v>47347</v>
      </c>
      <c r="AK121" s="568">
        <f t="shared" si="54"/>
        <v>26159904.302005246</v>
      </c>
      <c r="AL121" s="567">
        <f t="shared" si="54"/>
        <v>43985</v>
      </c>
      <c r="AM121" s="568">
        <f t="shared" si="54"/>
        <v>26246750.033586122</v>
      </c>
      <c r="AN121" s="567">
        <f t="shared" si="54"/>
        <v>40372</v>
      </c>
      <c r="AO121" s="568">
        <f t="shared" si="54"/>
        <v>24034235.657710638</v>
      </c>
      <c r="AP121" s="567">
        <f t="shared" si="54"/>
        <v>36867</v>
      </c>
      <c r="AQ121" s="568">
        <f t="shared" si="54"/>
        <v>22096545.33293467</v>
      </c>
      <c r="AR121" s="567">
        <f t="shared" si="54"/>
        <v>32757</v>
      </c>
      <c r="AS121" s="568">
        <f t="shared" si="54"/>
        <v>20215637.568213291</v>
      </c>
      <c r="AT121" s="567">
        <f t="shared" si="54"/>
        <v>28587</v>
      </c>
      <c r="AU121" s="568">
        <f t="shared" si="54"/>
        <v>16915323.105072085</v>
      </c>
      <c r="AV121" s="567">
        <f t="shared" si="54"/>
        <v>26052</v>
      </c>
      <c r="AW121" s="568">
        <f t="shared" si="54"/>
        <v>14760176.293872375</v>
      </c>
      <c r="AX121" s="567">
        <f t="shared" si="54"/>
        <v>25194</v>
      </c>
      <c r="AY121" s="568">
        <f t="shared" si="54"/>
        <v>15342298.287123756</v>
      </c>
      <c r="AZ121" s="567">
        <f t="shared" si="54"/>
        <v>31022</v>
      </c>
      <c r="BA121" s="568">
        <f t="shared" si="54"/>
        <v>19151672.53104962</v>
      </c>
      <c r="BB121" s="567">
        <f t="shared" si="54"/>
        <v>31266</v>
      </c>
      <c r="BC121" s="568">
        <f t="shared" si="54"/>
        <v>20998367.739969399</v>
      </c>
      <c r="BD121" s="567">
        <f t="shared" si="54"/>
        <v>41400</v>
      </c>
      <c r="BE121" s="568">
        <f t="shared" si="54"/>
        <v>22181320.148743372</v>
      </c>
      <c r="BF121" s="567">
        <f t="shared" si="54"/>
        <v>41779</v>
      </c>
      <c r="BG121" s="568">
        <f t="shared" si="54"/>
        <v>23949459.670574367</v>
      </c>
      <c r="BH121" s="567">
        <f t="shared" si="54"/>
        <v>46807</v>
      </c>
      <c r="BI121" s="568">
        <f t="shared" si="54"/>
        <v>25001851.594256036</v>
      </c>
      <c r="BJ121" s="567">
        <f t="shared" si="54"/>
        <v>33300</v>
      </c>
      <c r="BK121" s="568">
        <f t="shared" si="54"/>
        <v>18674176.77289588</v>
      </c>
      <c r="BL121" s="567">
        <f t="shared" si="54"/>
        <v>32629</v>
      </c>
      <c r="BM121" s="568">
        <f t="shared" si="54"/>
        <v>21225605.404404771</v>
      </c>
      <c r="BN121" s="567">
        <f t="shared" si="54"/>
        <v>27654</v>
      </c>
      <c r="BO121" s="568">
        <f t="shared" si="54"/>
        <v>17297794.489736855</v>
      </c>
      <c r="BP121" s="567">
        <f t="shared" si="54"/>
        <v>29703</v>
      </c>
      <c r="BQ121" s="568">
        <f t="shared" si="54"/>
        <v>19586248.323434032</v>
      </c>
      <c r="BR121" s="567">
        <f t="shared" si="54"/>
        <v>34061</v>
      </c>
      <c r="BS121" s="568">
        <f t="shared" si="54"/>
        <v>23625578.669519249</v>
      </c>
      <c r="BT121" s="567">
        <f t="shared" si="54"/>
        <v>34807</v>
      </c>
      <c r="BU121" s="568">
        <f t="shared" si="54"/>
        <v>25182012.652536977</v>
      </c>
      <c r="BV121" s="567">
        <f t="shared" si="54"/>
        <v>41680</v>
      </c>
      <c r="BW121" s="568">
        <f t="shared" si="54"/>
        <v>27363207.990401026</v>
      </c>
      <c r="BX121" s="567">
        <f t="shared" si="54"/>
        <v>47611</v>
      </c>
      <c r="BY121" s="568">
        <f t="shared" si="54"/>
        <v>29834549.43809605</v>
      </c>
      <c r="BZ121" s="567">
        <f t="shared" si="54"/>
        <v>52228</v>
      </c>
      <c r="CA121" s="568">
        <f t="shared" si="54"/>
        <v>35028408.078627154</v>
      </c>
      <c r="CB121" s="567">
        <f t="shared" si="54"/>
        <v>61879</v>
      </c>
      <c r="CC121" s="568">
        <f t="shared" si="54"/>
        <v>45134215.132626988</v>
      </c>
      <c r="CD121" s="567">
        <f t="shared" si="54"/>
        <v>60108</v>
      </c>
      <c r="CE121" s="568">
        <f t="shared" si="54"/>
        <v>45279849.129816204</v>
      </c>
      <c r="CF121" s="567">
        <f t="shared" si="54"/>
        <v>53415</v>
      </c>
      <c r="CG121" s="568">
        <f t="shared" si="54"/>
        <v>42749598.631848745</v>
      </c>
      <c r="CH121" s="567">
        <f t="shared" ref="CH121:CO121" si="55">SUM(CH116:CH120)</f>
        <v>46241</v>
      </c>
      <c r="CI121" s="568">
        <f t="shared" si="55"/>
        <v>42853984.015983179</v>
      </c>
      <c r="CJ121" s="567">
        <f t="shared" si="55"/>
        <v>46131</v>
      </c>
      <c r="CK121" s="568">
        <f t="shared" si="55"/>
        <v>44481920.672152378</v>
      </c>
      <c r="CL121" s="567">
        <f t="shared" si="55"/>
        <v>42993</v>
      </c>
      <c r="CM121" s="568">
        <f t="shared" si="55"/>
        <v>40701033.282152951</v>
      </c>
      <c r="CN121" s="567">
        <f t="shared" si="55"/>
        <v>42055</v>
      </c>
      <c r="CO121" s="568">
        <f t="shared" si="55"/>
        <v>41831323.508203171</v>
      </c>
      <c r="CQ121" s="573"/>
    </row>
    <row r="122" spans="1:95" ht="16" thickBot="1" x14ac:dyDescent="0.25">
      <c r="A122" s="612"/>
      <c r="B122" s="607"/>
      <c r="C122" s="608"/>
      <c r="D122" s="607"/>
      <c r="E122" s="608"/>
      <c r="F122" s="607"/>
      <c r="G122" s="608"/>
      <c r="H122" s="607"/>
      <c r="I122" s="608"/>
      <c r="J122" s="607"/>
      <c r="K122" s="608"/>
      <c r="L122" s="607"/>
      <c r="M122" s="608"/>
      <c r="N122" s="607"/>
      <c r="O122" s="608"/>
      <c r="P122" s="607"/>
      <c r="Q122" s="608"/>
      <c r="R122" s="607"/>
      <c r="S122" s="608"/>
      <c r="T122" s="607"/>
      <c r="U122" s="608"/>
      <c r="V122" s="607"/>
      <c r="W122" s="608"/>
      <c r="X122" s="607"/>
      <c r="Y122" s="608"/>
      <c r="Z122" s="607"/>
      <c r="AA122" s="608"/>
      <c r="AB122" s="607"/>
      <c r="AC122" s="608"/>
      <c r="AD122" s="607"/>
      <c r="AE122" s="608"/>
      <c r="AF122" s="607"/>
      <c r="AG122" s="608"/>
      <c r="AH122" s="607"/>
      <c r="AI122" s="608"/>
      <c r="AJ122" s="607"/>
      <c r="AK122" s="608"/>
      <c r="AL122" s="607"/>
      <c r="AM122" s="608"/>
      <c r="AN122" s="607"/>
      <c r="AO122" s="608"/>
      <c r="AP122" s="607"/>
      <c r="AQ122" s="608"/>
      <c r="AR122" s="607"/>
      <c r="AS122" s="608"/>
      <c r="AT122" s="607"/>
      <c r="AU122" s="608"/>
      <c r="AV122" s="607"/>
      <c r="AW122" s="608"/>
      <c r="AX122" s="607"/>
      <c r="AY122" s="608"/>
      <c r="AZ122" s="607"/>
      <c r="BA122" s="608"/>
      <c r="BB122" s="607"/>
      <c r="BC122" s="608"/>
      <c r="BD122" s="607"/>
      <c r="BE122" s="608"/>
      <c r="BF122" s="607"/>
      <c r="BG122" s="608"/>
      <c r="BH122" s="607"/>
      <c r="BI122" s="608"/>
      <c r="BJ122" s="607"/>
      <c r="BK122" s="608"/>
      <c r="BL122" s="607"/>
      <c r="BM122" s="608"/>
      <c r="BN122" s="607"/>
      <c r="BO122" s="608"/>
      <c r="BP122" s="607"/>
      <c r="BQ122" s="608"/>
      <c r="BR122" s="607"/>
      <c r="BS122" s="608"/>
      <c r="BT122" s="607"/>
      <c r="BU122" s="608"/>
      <c r="BV122" s="607"/>
      <c r="BW122" s="608"/>
      <c r="BX122" s="607"/>
      <c r="BY122" s="608"/>
      <c r="BZ122" s="607"/>
      <c r="CA122" s="608"/>
      <c r="CB122" s="607"/>
      <c r="CC122" s="608"/>
      <c r="CD122" s="607"/>
      <c r="CE122" s="608"/>
      <c r="CF122" s="607"/>
      <c r="CG122" s="608"/>
      <c r="CH122" s="607"/>
      <c r="CI122" s="608"/>
      <c r="CJ122" s="607"/>
      <c r="CK122" s="608"/>
      <c r="CL122" s="607"/>
      <c r="CM122" s="608"/>
      <c r="CN122" s="607"/>
      <c r="CO122" s="608"/>
    </row>
    <row r="123" spans="1:95" x14ac:dyDescent="0.2">
      <c r="AS123" s="573"/>
    </row>
    <row r="124" spans="1:95" x14ac:dyDescent="0.2">
      <c r="A124" s="577" t="s">
        <v>570</v>
      </c>
      <c r="U124" s="573"/>
      <c r="V124" s="573"/>
      <c r="W124" s="573"/>
      <c r="X124" s="573"/>
      <c r="Y124" s="573"/>
      <c r="Z124" s="573"/>
      <c r="AA124" s="573"/>
      <c r="AB124" s="573"/>
      <c r="AC124" s="573"/>
      <c r="AD124" s="573"/>
      <c r="AE124" s="573"/>
      <c r="AF124" s="573"/>
      <c r="AG124" s="573"/>
      <c r="AH124" s="573"/>
      <c r="AI124" s="573"/>
      <c r="AJ124" s="573"/>
      <c r="AK124" s="573"/>
      <c r="AL124" s="573"/>
      <c r="AM124" s="573"/>
      <c r="AN124" s="573"/>
      <c r="AO124" s="573"/>
      <c r="AP124" s="573"/>
      <c r="AQ124" s="573"/>
      <c r="AR124" s="573"/>
      <c r="AS124" s="573"/>
      <c r="AT124" s="573"/>
      <c r="AU124" s="573"/>
      <c r="AV124" s="573"/>
      <c r="AW124" s="573"/>
      <c r="AX124" s="573"/>
      <c r="AY124" s="573"/>
      <c r="AZ124" s="573"/>
      <c r="BA124" s="573"/>
      <c r="BB124" s="573"/>
      <c r="BC124" s="573"/>
      <c r="BD124" s="573"/>
      <c r="BE124" s="573"/>
      <c r="BF124" s="573"/>
      <c r="BG124" s="573"/>
      <c r="BH124" s="573"/>
      <c r="BI124" s="573"/>
      <c r="BJ124" s="573"/>
      <c r="BK124" s="573"/>
      <c r="BL124" s="573"/>
      <c r="BM124" s="573"/>
      <c r="BN124" s="573"/>
      <c r="BO124" s="573"/>
      <c r="BP124" s="573"/>
      <c r="BQ124" s="573"/>
      <c r="BR124" s="573"/>
      <c r="BS124" s="573"/>
      <c r="BT124" s="573"/>
      <c r="BU124" s="573"/>
      <c r="BV124" s="573"/>
      <c r="BW124" s="573"/>
      <c r="BX124" s="573"/>
      <c r="BY124" s="573"/>
      <c r="BZ124" s="573"/>
      <c r="CA124" s="573"/>
      <c r="CB124" s="573"/>
      <c r="CC124" s="573"/>
      <c r="CD124" s="573"/>
      <c r="CE124" s="573"/>
      <c r="CF124" s="573"/>
      <c r="CG124" s="573"/>
      <c r="CH124" s="573"/>
      <c r="CI124" s="573"/>
      <c r="CJ124" s="573"/>
      <c r="CK124" s="573"/>
      <c r="CL124" s="573"/>
      <c r="CM124" s="573"/>
      <c r="CN124" s="573"/>
      <c r="CO124" s="573"/>
    </row>
    <row r="125" spans="1:95" x14ac:dyDescent="0.2">
      <c r="A125" s="549" t="s">
        <v>341</v>
      </c>
      <c r="B125" s="829"/>
      <c r="C125" s="830"/>
      <c r="D125" s="829"/>
      <c r="E125" s="830"/>
      <c r="F125" s="829"/>
      <c r="G125" s="830"/>
      <c r="H125" s="829"/>
      <c r="I125" s="830"/>
      <c r="J125" s="829"/>
      <c r="K125" s="830"/>
      <c r="L125" s="829"/>
      <c r="M125" s="830"/>
      <c r="N125" s="829"/>
      <c r="O125" s="830"/>
      <c r="P125" s="829"/>
      <c r="Q125" s="830"/>
      <c r="R125" s="829"/>
      <c r="S125" s="830"/>
      <c r="T125" s="829"/>
      <c r="U125" s="830"/>
      <c r="V125" s="829"/>
      <c r="W125" s="830"/>
      <c r="X125" s="829"/>
      <c r="Y125" s="830"/>
      <c r="Z125" s="829"/>
      <c r="AA125" s="830"/>
      <c r="AB125" s="829"/>
      <c r="AC125" s="830"/>
      <c r="AD125" s="829"/>
      <c r="AE125" s="830"/>
      <c r="AF125" s="829"/>
      <c r="AG125" s="830"/>
      <c r="AH125" s="829"/>
      <c r="AI125" s="830"/>
      <c r="AJ125" s="829"/>
      <c r="AK125" s="830"/>
      <c r="AL125" s="829"/>
      <c r="AM125" s="830"/>
      <c r="AN125" s="829"/>
      <c r="AO125" s="830"/>
      <c r="AP125" s="829"/>
      <c r="AQ125" s="830"/>
      <c r="AR125" s="829"/>
      <c r="AS125" s="830"/>
      <c r="AT125" s="829"/>
      <c r="AU125" s="830"/>
      <c r="AV125" s="829"/>
      <c r="AW125" s="830"/>
      <c r="AX125" s="829"/>
      <c r="AY125" s="830"/>
      <c r="AZ125" s="829"/>
      <c r="BA125" s="830"/>
      <c r="BB125" s="829"/>
      <c r="BC125" s="830"/>
      <c r="BD125" s="829"/>
      <c r="BE125" s="830"/>
      <c r="BF125" s="829"/>
      <c r="BG125" s="830"/>
      <c r="BH125" s="829"/>
      <c r="BI125" s="830"/>
      <c r="BJ125" s="829"/>
      <c r="BK125" s="830"/>
      <c r="BL125" s="829"/>
      <c r="BM125" s="830"/>
      <c r="BN125" s="829"/>
      <c r="BO125" s="830"/>
      <c r="BP125" s="829"/>
      <c r="BQ125" s="830"/>
      <c r="BR125" s="829"/>
      <c r="BS125" s="830"/>
      <c r="BT125" s="829"/>
      <c r="BU125" s="830"/>
      <c r="BV125" s="829"/>
      <c r="BW125" s="830"/>
      <c r="BX125" s="829"/>
      <c r="BY125" s="830"/>
      <c r="BZ125" s="829"/>
      <c r="CA125" s="830"/>
      <c r="CB125" s="829"/>
      <c r="CC125" s="830"/>
      <c r="CD125" s="829"/>
      <c r="CE125" s="830"/>
      <c r="CF125" s="829"/>
      <c r="CG125" s="830"/>
      <c r="CH125" s="829"/>
      <c r="CI125" s="830"/>
      <c r="CJ125" s="829">
        <f>CJ1</f>
        <v>46023</v>
      </c>
      <c r="CK125" s="830"/>
      <c r="CL125" s="829">
        <f>CJ125+31</f>
        <v>46054</v>
      </c>
      <c r="CM125" s="830"/>
      <c r="CN125" s="829">
        <f>CL125+31</f>
        <v>46085</v>
      </c>
      <c r="CO125" s="830"/>
    </row>
    <row r="126" spans="1:95" x14ac:dyDescent="0.2">
      <c r="A126" s="549"/>
      <c r="B126" s="552"/>
      <c r="C126" s="550"/>
      <c r="D126" s="552"/>
      <c r="E126" s="550"/>
      <c r="F126" s="552"/>
      <c r="G126" s="550"/>
      <c r="H126" s="552"/>
      <c r="I126" s="550"/>
      <c r="J126" s="552"/>
      <c r="K126" s="550"/>
      <c r="L126" s="552"/>
      <c r="M126" s="550"/>
      <c r="N126" s="552"/>
      <c r="O126" s="550"/>
      <c r="P126" s="552"/>
      <c r="Q126" s="550"/>
      <c r="R126" s="552"/>
      <c r="S126" s="550"/>
      <c r="T126" s="552"/>
      <c r="U126" s="550"/>
      <c r="V126" s="552"/>
      <c r="W126" s="550"/>
      <c r="X126" s="552"/>
      <c r="Y126" s="550"/>
      <c r="Z126" s="552"/>
      <c r="AA126" s="550"/>
      <c r="AB126" s="552"/>
      <c r="AC126" s="550"/>
      <c r="AD126" s="552"/>
      <c r="AE126" s="550"/>
      <c r="AF126" s="552"/>
      <c r="AG126" s="550"/>
      <c r="AH126" s="552"/>
      <c r="AI126" s="550"/>
      <c r="AJ126" s="552"/>
      <c r="AK126" s="550"/>
      <c r="AL126" s="552"/>
      <c r="AM126" s="550"/>
      <c r="AN126" s="552"/>
      <c r="AO126" s="550"/>
      <c r="AP126" s="552"/>
      <c r="AQ126" s="550"/>
      <c r="AR126" s="552"/>
      <c r="AS126" s="550"/>
      <c r="AT126" s="552"/>
      <c r="AU126" s="550"/>
      <c r="AV126" s="552"/>
      <c r="AW126" s="550"/>
      <c r="AX126" s="552"/>
      <c r="AY126" s="550"/>
      <c r="AZ126" s="552"/>
      <c r="BA126" s="550"/>
      <c r="BB126" s="552"/>
      <c r="BC126" s="550"/>
      <c r="BD126" s="552"/>
      <c r="BE126" s="550"/>
      <c r="BF126" s="552"/>
      <c r="BG126" s="550"/>
      <c r="BH126" s="552"/>
      <c r="BI126" s="550"/>
      <c r="BJ126" s="552"/>
      <c r="BK126" s="550"/>
      <c r="BL126" s="552"/>
      <c r="BM126" s="550"/>
      <c r="BN126" s="552"/>
      <c r="BO126" s="550"/>
      <c r="BP126" s="552"/>
      <c r="BQ126" s="550"/>
      <c r="BR126" s="552"/>
      <c r="BS126" s="550"/>
      <c r="BT126" s="552"/>
      <c r="BU126" s="550"/>
      <c r="BV126" s="552"/>
      <c r="BW126" s="550"/>
      <c r="BX126" s="552"/>
      <c r="BY126" s="550"/>
      <c r="BZ126" s="552"/>
      <c r="CA126" s="550"/>
      <c r="CB126" s="552"/>
      <c r="CC126" s="550"/>
      <c r="CD126" s="552"/>
      <c r="CE126" s="550"/>
      <c r="CF126" s="552"/>
      <c r="CG126" s="550"/>
      <c r="CH126" s="552"/>
      <c r="CI126" s="550"/>
      <c r="CJ126" s="552" t="s">
        <v>514</v>
      </c>
      <c r="CK126" s="550" t="s">
        <v>515</v>
      </c>
      <c r="CL126" s="552" t="s">
        <v>514</v>
      </c>
      <c r="CM126" s="550" t="s">
        <v>515</v>
      </c>
      <c r="CN126" s="552" t="s">
        <v>514</v>
      </c>
      <c r="CO126" s="550" t="s">
        <v>515</v>
      </c>
    </row>
    <row r="127" spans="1:95" x14ac:dyDescent="0.2">
      <c r="A127" s="553" t="s">
        <v>516</v>
      </c>
      <c r="B127" s="554"/>
      <c r="C127" s="555"/>
      <c r="D127" s="554"/>
      <c r="E127" s="555"/>
      <c r="F127" s="554"/>
      <c r="G127" s="555"/>
      <c r="H127" s="554"/>
      <c r="I127" s="555"/>
      <c r="J127" s="554"/>
      <c r="K127" s="555"/>
      <c r="L127" s="554"/>
      <c r="M127" s="555"/>
      <c r="N127" s="554"/>
      <c r="O127" s="555"/>
      <c r="P127" s="554"/>
      <c r="Q127" s="555"/>
      <c r="R127" s="554"/>
      <c r="S127" s="555"/>
      <c r="T127" s="554"/>
      <c r="U127" s="555"/>
      <c r="V127" s="554"/>
      <c r="W127" s="555"/>
      <c r="X127" s="554"/>
      <c r="Y127" s="555"/>
      <c r="Z127" s="554"/>
      <c r="AA127" s="555"/>
      <c r="AB127" s="554"/>
      <c r="AC127" s="555"/>
      <c r="AD127" s="554"/>
      <c r="AE127" s="555"/>
      <c r="AF127" s="554"/>
      <c r="AG127" s="555"/>
      <c r="AH127" s="554"/>
      <c r="AI127" s="555"/>
      <c r="AJ127" s="554"/>
      <c r="AK127" s="555"/>
      <c r="AL127" s="554"/>
      <c r="AM127" s="555"/>
      <c r="AN127" s="554"/>
      <c r="AO127" s="555"/>
      <c r="AP127" s="554"/>
      <c r="AQ127" s="555"/>
      <c r="AR127" s="554"/>
      <c r="AS127" s="555"/>
      <c r="AT127" s="554"/>
      <c r="AU127" s="555"/>
      <c r="AV127" s="554"/>
      <c r="AW127" s="555"/>
      <c r="AX127" s="554"/>
      <c r="AY127" s="555"/>
      <c r="AZ127" s="554"/>
      <c r="BA127" s="555"/>
      <c r="BB127" s="554"/>
      <c r="BC127" s="555"/>
      <c r="BD127" s="554"/>
      <c r="BE127" s="555"/>
      <c r="BF127" s="554"/>
      <c r="BG127" s="555"/>
      <c r="BH127" s="554"/>
      <c r="BI127" s="555"/>
      <c r="BJ127" s="554"/>
      <c r="BK127" s="555"/>
      <c r="BL127" s="554"/>
      <c r="BM127" s="555"/>
      <c r="BN127" s="554"/>
      <c r="BO127" s="555"/>
      <c r="BP127" s="554"/>
      <c r="BQ127" s="555"/>
      <c r="BR127" s="554"/>
      <c r="BS127" s="555"/>
      <c r="BT127" s="554"/>
      <c r="BU127" s="555"/>
      <c r="BV127" s="554"/>
      <c r="BW127" s="555"/>
      <c r="BX127" s="554"/>
      <c r="BY127" s="555"/>
      <c r="BZ127" s="554"/>
      <c r="CA127" s="555"/>
      <c r="CB127" s="554"/>
      <c r="CC127" s="555"/>
      <c r="CD127" s="554"/>
      <c r="CE127" s="555"/>
      <c r="CF127" s="554"/>
      <c r="CG127" s="555"/>
      <c r="CH127" s="554"/>
      <c r="CI127" s="555"/>
      <c r="CJ127" s="554"/>
      <c r="CK127" s="555"/>
      <c r="CL127" s="554"/>
      <c r="CM127" s="555"/>
      <c r="CN127" s="554"/>
      <c r="CO127" s="555"/>
    </row>
    <row r="128" spans="1:95" x14ac:dyDescent="0.2">
      <c r="A128" s="556" t="s">
        <v>5</v>
      </c>
      <c r="B128" s="557"/>
      <c r="C128" s="558"/>
      <c r="D128" s="557"/>
      <c r="E128" s="558"/>
      <c r="F128" s="557"/>
      <c r="G128" s="558"/>
      <c r="H128" s="557"/>
      <c r="I128" s="558"/>
      <c r="J128" s="557"/>
      <c r="K128" s="558"/>
      <c r="L128" s="557"/>
      <c r="M128" s="558"/>
      <c r="N128" s="557"/>
      <c r="O128" s="558"/>
      <c r="P128" s="557"/>
      <c r="Q128" s="558"/>
      <c r="R128" s="557"/>
      <c r="S128" s="558"/>
      <c r="T128" s="557"/>
      <c r="U128" s="558"/>
      <c r="V128" s="557"/>
      <c r="W128" s="558"/>
      <c r="X128" s="557"/>
      <c r="Y128" s="558"/>
      <c r="Z128" s="557"/>
      <c r="AA128" s="558"/>
      <c r="AB128" s="557"/>
      <c r="AC128" s="558"/>
      <c r="AD128" s="557"/>
      <c r="AE128" s="558"/>
      <c r="AF128" s="557"/>
      <c r="AG128" s="558"/>
      <c r="AH128" s="557"/>
      <c r="AI128" s="558"/>
      <c r="AJ128" s="557"/>
      <c r="AK128" s="558"/>
      <c r="AL128" s="557"/>
      <c r="AM128" s="558"/>
      <c r="AN128" s="557"/>
      <c r="AO128" s="558"/>
      <c r="AP128" s="557"/>
      <c r="AQ128" s="558"/>
      <c r="AR128" s="557"/>
      <c r="AS128" s="558"/>
      <c r="AT128" s="557"/>
      <c r="AU128" s="558"/>
      <c r="AV128" s="557"/>
      <c r="AW128" s="558"/>
      <c r="AX128" s="557"/>
      <c r="AY128" s="558"/>
      <c r="AZ128" s="557"/>
      <c r="BA128" s="558"/>
      <c r="BB128" s="557"/>
      <c r="BC128" s="558"/>
      <c r="BD128" s="557"/>
      <c r="BE128" s="558"/>
      <c r="BF128" s="557"/>
      <c r="BG128" s="558"/>
      <c r="BH128" s="557"/>
      <c r="BI128" s="558"/>
      <c r="BJ128" s="557"/>
      <c r="BK128" s="558"/>
      <c r="BL128" s="557"/>
      <c r="BM128" s="558"/>
      <c r="BN128" s="557"/>
      <c r="BO128" s="558"/>
      <c r="BP128" s="557"/>
      <c r="BQ128" s="558"/>
      <c r="BR128" s="557"/>
      <c r="BS128" s="558"/>
      <c r="BT128" s="557"/>
      <c r="BU128" s="558"/>
      <c r="BV128" s="557"/>
      <c r="BW128" s="558"/>
      <c r="BX128" s="557"/>
      <c r="BY128" s="558"/>
      <c r="BZ128" s="557"/>
      <c r="CA128" s="558"/>
      <c r="CB128" s="557"/>
      <c r="CC128" s="558"/>
      <c r="CD128" s="557"/>
      <c r="CE128" s="558"/>
      <c r="CF128" s="557"/>
      <c r="CG128" s="558"/>
      <c r="CH128" s="557"/>
      <c r="CI128" s="558"/>
      <c r="CJ128" s="557"/>
      <c r="CK128" s="558"/>
      <c r="CL128" s="557"/>
      <c r="CM128" s="558"/>
      <c r="CN128" s="557"/>
      <c r="CO128" s="558"/>
    </row>
    <row r="129" spans="1:96" x14ac:dyDescent="0.2">
      <c r="A129" s="561" t="s">
        <v>521</v>
      </c>
      <c r="B129" s="562"/>
      <c r="C129" s="563"/>
      <c r="D129" s="562"/>
      <c r="E129" s="563"/>
      <c r="F129" s="562"/>
      <c r="G129" s="563"/>
      <c r="H129" s="562"/>
      <c r="I129" s="563"/>
      <c r="J129" s="562"/>
      <c r="K129" s="563"/>
      <c r="L129" s="562"/>
      <c r="M129" s="563"/>
      <c r="N129" s="562"/>
      <c r="O129" s="563"/>
      <c r="P129" s="562"/>
      <c r="Q129" s="563"/>
      <c r="R129" s="562"/>
      <c r="S129" s="563"/>
      <c r="T129" s="562"/>
      <c r="U129" s="563"/>
      <c r="V129" s="562"/>
      <c r="W129" s="563"/>
      <c r="X129" s="562"/>
      <c r="Y129" s="563"/>
      <c r="Z129" s="562"/>
      <c r="AA129" s="563"/>
      <c r="AB129" s="562"/>
      <c r="AC129" s="563"/>
      <c r="AD129" s="562"/>
      <c r="AE129" s="563"/>
      <c r="AF129" s="562"/>
      <c r="AG129" s="563"/>
      <c r="AH129" s="562"/>
      <c r="AI129" s="563"/>
      <c r="AJ129" s="562"/>
      <c r="AK129" s="563"/>
      <c r="AL129" s="562"/>
      <c r="AM129" s="563"/>
      <c r="AN129" s="562"/>
      <c r="AO129" s="563"/>
      <c r="AP129" s="562"/>
      <c r="AQ129" s="563"/>
      <c r="AR129" s="562"/>
      <c r="AS129" s="563"/>
      <c r="AT129" s="562"/>
      <c r="AU129" s="563"/>
      <c r="AV129" s="562"/>
      <c r="AW129" s="563"/>
      <c r="AX129" s="562"/>
      <c r="AY129" s="563"/>
      <c r="AZ129" s="562"/>
      <c r="BA129" s="563"/>
      <c r="BB129" s="562"/>
      <c r="BC129" s="563"/>
      <c r="BD129" s="562"/>
      <c r="BE129" s="563"/>
      <c r="BF129" s="562"/>
      <c r="BG129" s="563"/>
      <c r="BH129" s="562"/>
      <c r="BI129" s="563"/>
      <c r="BJ129" s="562"/>
      <c r="BK129" s="563"/>
      <c r="BL129" s="562"/>
      <c r="BM129" s="563"/>
      <c r="BN129" s="562"/>
      <c r="BO129" s="563"/>
      <c r="BP129" s="562"/>
      <c r="BQ129" s="563"/>
      <c r="BR129" s="562"/>
      <c r="BS129" s="563"/>
      <c r="BT129" s="562"/>
      <c r="BU129" s="563"/>
      <c r="BV129" s="562"/>
      <c r="BW129" s="563"/>
      <c r="BX129" s="562"/>
      <c r="BY129" s="563"/>
      <c r="BZ129" s="562"/>
      <c r="CA129" s="563"/>
      <c r="CB129" s="562"/>
      <c r="CC129" s="563"/>
      <c r="CD129" s="562"/>
      <c r="CE129" s="563"/>
      <c r="CF129" s="562"/>
      <c r="CG129" s="563"/>
      <c r="CH129" s="562"/>
      <c r="CI129" s="563"/>
      <c r="CJ129" s="562">
        <f t="shared" ref="CJ129:CO133" si="56">CJ150+CJ170</f>
        <v>28183</v>
      </c>
      <c r="CK129" s="563">
        <f t="shared" si="56"/>
        <v>593813299.07000029</v>
      </c>
      <c r="CL129" s="562">
        <f t="shared" si="56"/>
        <v>25665</v>
      </c>
      <c r="CM129" s="563">
        <f t="shared" si="56"/>
        <v>556628825.11000025</v>
      </c>
      <c r="CN129" s="562">
        <f t="shared" si="56"/>
        <v>21172</v>
      </c>
      <c r="CO129" s="563">
        <f t="shared" si="56"/>
        <v>469704806.45999992</v>
      </c>
    </row>
    <row r="130" spans="1:96" x14ac:dyDescent="0.2">
      <c r="A130" s="561" t="s">
        <v>522</v>
      </c>
      <c r="B130" s="562"/>
      <c r="C130" s="563"/>
      <c r="D130" s="562"/>
      <c r="E130" s="563"/>
      <c r="F130" s="562"/>
      <c r="G130" s="563"/>
      <c r="H130" s="562"/>
      <c r="I130" s="563"/>
      <c r="J130" s="562"/>
      <c r="K130" s="563"/>
      <c r="L130" s="562"/>
      <c r="M130" s="563"/>
      <c r="N130" s="562"/>
      <c r="O130" s="563"/>
      <c r="P130" s="562"/>
      <c r="Q130" s="563"/>
      <c r="R130" s="562"/>
      <c r="S130" s="563"/>
      <c r="T130" s="562"/>
      <c r="U130" s="563"/>
      <c r="V130" s="562"/>
      <c r="W130" s="563"/>
      <c r="X130" s="562"/>
      <c r="Y130" s="563"/>
      <c r="Z130" s="562"/>
      <c r="AA130" s="563"/>
      <c r="AB130" s="562"/>
      <c r="AC130" s="563"/>
      <c r="AD130" s="562"/>
      <c r="AE130" s="563"/>
      <c r="AF130" s="562"/>
      <c r="AG130" s="563"/>
      <c r="AH130" s="562"/>
      <c r="AI130" s="563"/>
      <c r="AJ130" s="562"/>
      <c r="AK130" s="563"/>
      <c r="AL130" s="562"/>
      <c r="AM130" s="563"/>
      <c r="AN130" s="562"/>
      <c r="AO130" s="563"/>
      <c r="AP130" s="562"/>
      <c r="AQ130" s="563"/>
      <c r="AR130" s="562"/>
      <c r="AS130" s="563"/>
      <c r="AT130" s="562"/>
      <c r="AU130" s="563"/>
      <c r="AV130" s="562"/>
      <c r="AW130" s="563"/>
      <c r="AX130" s="562"/>
      <c r="AY130" s="563"/>
      <c r="AZ130" s="562"/>
      <c r="BA130" s="563"/>
      <c r="BB130" s="562"/>
      <c r="BC130" s="563"/>
      <c r="BD130" s="562"/>
      <c r="BE130" s="563"/>
      <c r="BF130" s="562"/>
      <c r="BG130" s="563"/>
      <c r="BH130" s="562"/>
      <c r="BI130" s="563"/>
      <c r="BJ130" s="562"/>
      <c r="BK130" s="563"/>
      <c r="BL130" s="562"/>
      <c r="BM130" s="563"/>
      <c r="BN130" s="562"/>
      <c r="BO130" s="563"/>
      <c r="BP130" s="562"/>
      <c r="BQ130" s="563"/>
      <c r="BR130" s="562"/>
      <c r="BS130" s="563"/>
      <c r="BT130" s="562"/>
      <c r="BU130" s="563"/>
      <c r="BV130" s="562"/>
      <c r="BW130" s="563"/>
      <c r="BX130" s="562"/>
      <c r="BY130" s="563"/>
      <c r="BZ130" s="562"/>
      <c r="CA130" s="563"/>
      <c r="CB130" s="562"/>
      <c r="CC130" s="563"/>
      <c r="CD130" s="562"/>
      <c r="CE130" s="563"/>
      <c r="CF130" s="562"/>
      <c r="CG130" s="563"/>
      <c r="CH130" s="562"/>
      <c r="CI130" s="563"/>
      <c r="CJ130" s="562">
        <f t="shared" si="56"/>
        <v>14021</v>
      </c>
      <c r="CK130" s="563">
        <f t="shared" si="56"/>
        <v>276976665.77000022</v>
      </c>
      <c r="CL130" s="562">
        <f t="shared" si="56"/>
        <v>14448</v>
      </c>
      <c r="CM130" s="563">
        <f t="shared" si="56"/>
        <v>324523161.03000009</v>
      </c>
      <c r="CN130" s="562">
        <f>CN151+CN171</f>
        <v>8712</v>
      </c>
      <c r="CO130" s="563">
        <f>CO151+CO171</f>
        <v>209433126.72</v>
      </c>
    </row>
    <row r="131" spans="1:96" x14ac:dyDescent="0.2">
      <c r="A131" s="561" t="s">
        <v>523</v>
      </c>
      <c r="B131" s="562"/>
      <c r="C131" s="563"/>
      <c r="D131" s="562"/>
      <c r="E131" s="563"/>
      <c r="F131" s="562"/>
      <c r="G131" s="563"/>
      <c r="H131" s="562"/>
      <c r="I131" s="563"/>
      <c r="J131" s="562"/>
      <c r="K131" s="563"/>
      <c r="L131" s="562"/>
      <c r="M131" s="563"/>
      <c r="N131" s="562"/>
      <c r="O131" s="563"/>
      <c r="P131" s="562"/>
      <c r="Q131" s="563"/>
      <c r="R131" s="562"/>
      <c r="S131" s="563"/>
      <c r="T131" s="562"/>
      <c r="U131" s="563"/>
      <c r="V131" s="562"/>
      <c r="W131" s="563"/>
      <c r="X131" s="562"/>
      <c r="Y131" s="563"/>
      <c r="Z131" s="562"/>
      <c r="AA131" s="563"/>
      <c r="AB131" s="562"/>
      <c r="AC131" s="563"/>
      <c r="AD131" s="562"/>
      <c r="AE131" s="563"/>
      <c r="AF131" s="562"/>
      <c r="AG131" s="563"/>
      <c r="AH131" s="562"/>
      <c r="AI131" s="563"/>
      <c r="AJ131" s="562"/>
      <c r="AK131" s="563"/>
      <c r="AL131" s="562"/>
      <c r="AM131" s="563"/>
      <c r="AN131" s="562"/>
      <c r="AO131" s="563"/>
      <c r="AP131" s="562"/>
      <c r="AQ131" s="563"/>
      <c r="AR131" s="562"/>
      <c r="AS131" s="563"/>
      <c r="AT131" s="562"/>
      <c r="AU131" s="563"/>
      <c r="AV131" s="562"/>
      <c r="AW131" s="563"/>
      <c r="AX131" s="562"/>
      <c r="AY131" s="563"/>
      <c r="AZ131" s="562"/>
      <c r="BA131" s="563"/>
      <c r="BB131" s="562"/>
      <c r="BC131" s="563"/>
      <c r="BD131" s="562"/>
      <c r="BE131" s="563"/>
      <c r="BF131" s="562"/>
      <c r="BG131" s="563"/>
      <c r="BH131" s="562"/>
      <c r="BI131" s="563"/>
      <c r="BJ131" s="562"/>
      <c r="BK131" s="563"/>
      <c r="BL131" s="562"/>
      <c r="BM131" s="563"/>
      <c r="BN131" s="562"/>
      <c r="BO131" s="563"/>
      <c r="BP131" s="562"/>
      <c r="BQ131" s="563"/>
      <c r="BR131" s="562"/>
      <c r="BS131" s="563"/>
      <c r="BT131" s="562"/>
      <c r="BU131" s="563"/>
      <c r="BV131" s="562"/>
      <c r="BW131" s="563"/>
      <c r="BX131" s="562"/>
      <c r="BY131" s="563"/>
      <c r="BZ131" s="562"/>
      <c r="CA131" s="563"/>
      <c r="CB131" s="562"/>
      <c r="CC131" s="563"/>
      <c r="CD131" s="562"/>
      <c r="CE131" s="563"/>
      <c r="CF131" s="562"/>
      <c r="CG131" s="563"/>
      <c r="CH131" s="562"/>
      <c r="CI131" s="563"/>
      <c r="CJ131" s="562">
        <f t="shared" si="56"/>
        <v>15038</v>
      </c>
      <c r="CK131" s="563">
        <f t="shared" si="56"/>
        <v>317786501.30000001</v>
      </c>
      <c r="CL131" s="562">
        <f t="shared" si="56"/>
        <v>13467</v>
      </c>
      <c r="CM131" s="563">
        <f t="shared" si="56"/>
        <v>295758426.34000045</v>
      </c>
      <c r="CN131" s="562">
        <f t="shared" si="56"/>
        <v>14038</v>
      </c>
      <c r="CO131" s="563">
        <f t="shared" si="56"/>
        <v>294628468.47000015</v>
      </c>
    </row>
    <row r="132" spans="1:96" x14ac:dyDescent="0.2">
      <c r="A132" s="561" t="s">
        <v>524</v>
      </c>
      <c r="B132" s="562"/>
      <c r="C132" s="563"/>
      <c r="D132" s="562"/>
      <c r="E132" s="563"/>
      <c r="F132" s="562"/>
      <c r="G132" s="563"/>
      <c r="H132" s="562"/>
      <c r="I132" s="563"/>
      <c r="J132" s="562"/>
      <c r="K132" s="563"/>
      <c r="L132" s="562"/>
      <c r="M132" s="563"/>
      <c r="N132" s="562"/>
      <c r="O132" s="563"/>
      <c r="P132" s="562"/>
      <c r="Q132" s="563"/>
      <c r="R132" s="562"/>
      <c r="S132" s="563"/>
      <c r="T132" s="562"/>
      <c r="U132" s="563"/>
      <c r="V132" s="562"/>
      <c r="W132" s="563"/>
      <c r="X132" s="562"/>
      <c r="Y132" s="563"/>
      <c r="Z132" s="562"/>
      <c r="AA132" s="563"/>
      <c r="AB132" s="562"/>
      <c r="AC132" s="563"/>
      <c r="AD132" s="562"/>
      <c r="AE132" s="563"/>
      <c r="AF132" s="562"/>
      <c r="AG132" s="563"/>
      <c r="AH132" s="562"/>
      <c r="AI132" s="563"/>
      <c r="AJ132" s="562"/>
      <c r="AK132" s="563"/>
      <c r="AL132" s="562"/>
      <c r="AM132" s="563"/>
      <c r="AN132" s="562"/>
      <c r="AO132" s="563"/>
      <c r="AP132" s="562"/>
      <c r="AQ132" s="563"/>
      <c r="AR132" s="562"/>
      <c r="AS132" s="563"/>
      <c r="AT132" s="562"/>
      <c r="AU132" s="563"/>
      <c r="AV132" s="562"/>
      <c r="AW132" s="563"/>
      <c r="AX132" s="562"/>
      <c r="AY132" s="563"/>
      <c r="AZ132" s="562"/>
      <c r="BA132" s="563"/>
      <c r="BB132" s="562"/>
      <c r="BC132" s="563"/>
      <c r="BD132" s="562"/>
      <c r="BE132" s="563"/>
      <c r="BF132" s="562"/>
      <c r="BG132" s="563"/>
      <c r="BH132" s="562"/>
      <c r="BI132" s="563"/>
      <c r="BJ132" s="562"/>
      <c r="BK132" s="563"/>
      <c r="BL132" s="562"/>
      <c r="BM132" s="563"/>
      <c r="BN132" s="562"/>
      <c r="BO132" s="563"/>
      <c r="BP132" s="562"/>
      <c r="BQ132" s="563"/>
      <c r="BR132" s="562"/>
      <c r="BS132" s="563"/>
      <c r="BT132" s="562"/>
      <c r="BU132" s="563"/>
      <c r="BV132" s="562"/>
      <c r="BW132" s="563"/>
      <c r="BX132" s="562"/>
      <c r="BY132" s="563"/>
      <c r="BZ132" s="562"/>
      <c r="CA132" s="563"/>
      <c r="CB132" s="562"/>
      <c r="CC132" s="563"/>
      <c r="CD132" s="562"/>
      <c r="CE132" s="563"/>
      <c r="CF132" s="562"/>
      <c r="CG132" s="563"/>
      <c r="CH132" s="562"/>
      <c r="CI132" s="563"/>
      <c r="CJ132" s="562">
        <f t="shared" si="56"/>
        <v>9517</v>
      </c>
      <c r="CK132" s="563">
        <f t="shared" si="56"/>
        <v>209961683.7700007</v>
      </c>
      <c r="CL132" s="562">
        <f t="shared" si="56"/>
        <v>6529</v>
      </c>
      <c r="CM132" s="563">
        <f t="shared" si="56"/>
        <v>150602484.59999999</v>
      </c>
      <c r="CN132" s="562">
        <f t="shared" si="56"/>
        <v>4874</v>
      </c>
      <c r="CO132" s="563">
        <f t="shared" si="56"/>
        <v>103833744.95000024</v>
      </c>
    </row>
    <row r="133" spans="1:96" x14ac:dyDescent="0.2">
      <c r="A133" s="561" t="s">
        <v>525</v>
      </c>
      <c r="B133" s="562"/>
      <c r="C133" s="563"/>
      <c r="D133" s="562"/>
      <c r="E133" s="563"/>
      <c r="F133" s="562"/>
      <c r="G133" s="563"/>
      <c r="H133" s="562"/>
      <c r="I133" s="563"/>
      <c r="J133" s="562"/>
      <c r="K133" s="563"/>
      <c r="L133" s="562"/>
      <c r="M133" s="563"/>
      <c r="N133" s="562"/>
      <c r="O133" s="563"/>
      <c r="P133" s="562"/>
      <c r="Q133" s="563"/>
      <c r="R133" s="562"/>
      <c r="S133" s="563"/>
      <c r="T133" s="562"/>
      <c r="U133" s="563"/>
      <c r="V133" s="562"/>
      <c r="W133" s="563"/>
      <c r="X133" s="562"/>
      <c r="Y133" s="563"/>
      <c r="Z133" s="562"/>
      <c r="AA133" s="563"/>
      <c r="AB133" s="562"/>
      <c r="AC133" s="563"/>
      <c r="AD133" s="562"/>
      <c r="AE133" s="563"/>
      <c r="AF133" s="562"/>
      <c r="AG133" s="563"/>
      <c r="AH133" s="562"/>
      <c r="AI133" s="563"/>
      <c r="AJ133" s="562"/>
      <c r="AK133" s="563"/>
      <c r="AL133" s="562"/>
      <c r="AM133" s="563"/>
      <c r="AN133" s="562"/>
      <c r="AO133" s="563"/>
      <c r="AP133" s="562"/>
      <c r="AQ133" s="563"/>
      <c r="AR133" s="562"/>
      <c r="AS133" s="563"/>
      <c r="AT133" s="562"/>
      <c r="AU133" s="563"/>
      <c r="AV133" s="562"/>
      <c r="AW133" s="563"/>
      <c r="AX133" s="562"/>
      <c r="AY133" s="563"/>
      <c r="AZ133" s="562"/>
      <c r="BA133" s="563"/>
      <c r="BB133" s="562"/>
      <c r="BC133" s="563"/>
      <c r="BD133" s="562"/>
      <c r="BE133" s="563"/>
      <c r="BF133" s="562"/>
      <c r="BG133" s="563"/>
      <c r="BH133" s="562"/>
      <c r="BI133" s="563"/>
      <c r="BJ133" s="562"/>
      <c r="BK133" s="563"/>
      <c r="BL133" s="562"/>
      <c r="BM133" s="563"/>
      <c r="BN133" s="562"/>
      <c r="BO133" s="563"/>
      <c r="BP133" s="562"/>
      <c r="BQ133" s="563"/>
      <c r="BR133" s="562"/>
      <c r="BS133" s="563"/>
      <c r="BT133" s="562"/>
      <c r="BU133" s="563"/>
      <c r="BV133" s="562"/>
      <c r="BW133" s="563"/>
      <c r="BX133" s="562"/>
      <c r="BY133" s="563"/>
      <c r="BZ133" s="562"/>
      <c r="CA133" s="563"/>
      <c r="CB133" s="562"/>
      <c r="CC133" s="563"/>
      <c r="CD133" s="562"/>
      <c r="CE133" s="563"/>
      <c r="CF133" s="562"/>
      <c r="CG133" s="563"/>
      <c r="CH133" s="562"/>
      <c r="CI133" s="563"/>
      <c r="CJ133" s="562">
        <f t="shared" si="56"/>
        <v>4794</v>
      </c>
      <c r="CK133" s="563">
        <f t="shared" si="56"/>
        <v>103140767.91</v>
      </c>
      <c r="CL133" s="562">
        <f t="shared" si="56"/>
        <v>6900</v>
      </c>
      <c r="CM133" s="563">
        <f t="shared" si="56"/>
        <v>166075461.70000049</v>
      </c>
      <c r="CN133" s="562">
        <f t="shared" si="56"/>
        <v>6057</v>
      </c>
      <c r="CO133" s="563">
        <f t="shared" si="56"/>
        <v>143034441.23000011</v>
      </c>
    </row>
    <row r="134" spans="1:96" x14ac:dyDescent="0.2">
      <c r="A134" s="561"/>
      <c r="B134" s="567"/>
      <c r="C134" s="568"/>
      <c r="D134" s="567"/>
      <c r="E134" s="568"/>
      <c r="F134" s="567"/>
      <c r="G134" s="568"/>
      <c r="H134" s="567"/>
      <c r="I134" s="568"/>
      <c r="J134" s="567"/>
      <c r="K134" s="568"/>
      <c r="L134" s="567"/>
      <c r="M134" s="568"/>
      <c r="N134" s="567"/>
      <c r="O134" s="568"/>
      <c r="P134" s="567"/>
      <c r="Q134" s="568"/>
      <c r="R134" s="567"/>
      <c r="S134" s="568"/>
      <c r="T134" s="567"/>
      <c r="U134" s="568"/>
      <c r="V134" s="567"/>
      <c r="W134" s="568"/>
      <c r="X134" s="567"/>
      <c r="Y134" s="568"/>
      <c r="Z134" s="567"/>
      <c r="AA134" s="568"/>
      <c r="AB134" s="567"/>
      <c r="AC134" s="568"/>
      <c r="AD134" s="567"/>
      <c r="AE134" s="568"/>
      <c r="AF134" s="567"/>
      <c r="AG134" s="568"/>
      <c r="AH134" s="567"/>
      <c r="AI134" s="568"/>
      <c r="AJ134" s="567"/>
      <c r="AK134" s="568"/>
      <c r="AL134" s="567"/>
      <c r="AM134" s="568"/>
      <c r="AN134" s="567"/>
      <c r="AO134" s="568"/>
      <c r="AP134" s="567"/>
      <c r="AQ134" s="568"/>
      <c r="AR134" s="567"/>
      <c r="AS134" s="568"/>
      <c r="AT134" s="567"/>
      <c r="AU134" s="568"/>
      <c r="AV134" s="567"/>
      <c r="AW134" s="568"/>
      <c r="AX134" s="567"/>
      <c r="AY134" s="568"/>
      <c r="AZ134" s="567"/>
      <c r="BA134" s="568"/>
      <c r="BB134" s="567"/>
      <c r="BC134" s="568"/>
      <c r="BD134" s="567"/>
      <c r="BE134" s="568"/>
      <c r="BF134" s="567"/>
      <c r="BG134" s="568"/>
      <c r="BH134" s="567"/>
      <c r="BI134" s="568"/>
      <c r="BJ134" s="567"/>
      <c r="BK134" s="568"/>
      <c r="BL134" s="567"/>
      <c r="BM134" s="568"/>
      <c r="BN134" s="567"/>
      <c r="BO134" s="568"/>
      <c r="BP134" s="567"/>
      <c r="BQ134" s="568"/>
      <c r="BR134" s="567"/>
      <c r="BS134" s="568"/>
      <c r="BT134" s="567"/>
      <c r="BU134" s="568"/>
      <c r="BV134" s="567"/>
      <c r="BW134" s="568"/>
      <c r="BX134" s="567"/>
      <c r="BY134" s="568"/>
      <c r="BZ134" s="567"/>
      <c r="CA134" s="568"/>
      <c r="CB134" s="567"/>
      <c r="CC134" s="568"/>
      <c r="CD134" s="567"/>
      <c r="CE134" s="568"/>
      <c r="CF134" s="567"/>
      <c r="CG134" s="568"/>
      <c r="CH134" s="567"/>
      <c r="CI134" s="568"/>
      <c r="CJ134" s="567">
        <f t="shared" ref="CJ134:CO134" si="57">SUM(CJ129:CJ133)</f>
        <v>71553</v>
      </c>
      <c r="CK134" s="568">
        <f t="shared" si="57"/>
        <v>1501678917.8200014</v>
      </c>
      <c r="CL134" s="567">
        <f t="shared" si="57"/>
        <v>67009</v>
      </c>
      <c r="CM134" s="568">
        <f t="shared" si="57"/>
        <v>1493588358.7800012</v>
      </c>
      <c r="CN134" s="567">
        <f t="shared" si="57"/>
        <v>54853</v>
      </c>
      <c r="CO134" s="568">
        <f t="shared" si="57"/>
        <v>1220634587.8300004</v>
      </c>
      <c r="CQ134" s="574"/>
      <c r="CR134" s="574"/>
    </row>
    <row r="135" spans="1:96" x14ac:dyDescent="0.2">
      <c r="A135" s="561"/>
      <c r="B135" s="567"/>
      <c r="C135" s="572"/>
      <c r="D135" s="567"/>
      <c r="E135" s="572"/>
      <c r="F135" s="567"/>
      <c r="G135" s="572"/>
      <c r="H135" s="567"/>
      <c r="I135" s="572"/>
      <c r="J135" s="567"/>
      <c r="K135" s="572"/>
      <c r="L135" s="567"/>
      <c r="M135" s="572"/>
      <c r="N135" s="567"/>
      <c r="O135" s="572"/>
      <c r="P135" s="567"/>
      <c r="Q135" s="572"/>
      <c r="R135" s="567"/>
      <c r="S135" s="572"/>
      <c r="T135" s="567"/>
      <c r="U135" s="572"/>
      <c r="V135" s="567"/>
      <c r="W135" s="572"/>
      <c r="X135" s="567"/>
      <c r="Y135" s="572"/>
      <c r="Z135" s="567"/>
      <c r="AA135" s="572"/>
      <c r="AB135" s="567"/>
      <c r="AC135" s="572"/>
      <c r="AD135" s="567"/>
      <c r="AE135" s="572"/>
      <c r="AF135" s="567"/>
      <c r="AG135" s="572"/>
      <c r="AH135" s="567"/>
      <c r="AI135" s="572"/>
      <c r="AJ135" s="567"/>
      <c r="AK135" s="572"/>
      <c r="AL135" s="567"/>
      <c r="AM135" s="572"/>
      <c r="AN135" s="567"/>
      <c r="AO135" s="572"/>
      <c r="AP135" s="567"/>
      <c r="AQ135" s="572"/>
      <c r="AR135" s="567"/>
      <c r="AS135" s="572"/>
      <c r="AT135" s="567"/>
      <c r="AU135" s="572"/>
      <c r="AV135" s="567"/>
      <c r="AW135" s="572"/>
      <c r="AX135" s="567"/>
      <c r="AY135" s="572"/>
      <c r="AZ135" s="567"/>
      <c r="BA135" s="572"/>
      <c r="BB135" s="567"/>
      <c r="BC135" s="572"/>
      <c r="BD135" s="567"/>
      <c r="BE135" s="572"/>
      <c r="BF135" s="567"/>
      <c r="BG135" s="572"/>
      <c r="BH135" s="567"/>
      <c r="BI135" s="572"/>
      <c r="BJ135" s="567"/>
      <c r="BK135" s="572"/>
      <c r="BL135" s="567"/>
      <c r="BM135" s="572"/>
      <c r="BN135" s="567"/>
      <c r="BO135" s="572"/>
      <c r="BP135" s="567"/>
      <c r="BQ135" s="572"/>
      <c r="BR135" s="567"/>
      <c r="BS135" s="572"/>
      <c r="BT135" s="567"/>
      <c r="BU135" s="572"/>
      <c r="BV135" s="567"/>
      <c r="BW135" s="572"/>
      <c r="BX135" s="567"/>
      <c r="BY135" s="572"/>
      <c r="BZ135" s="567"/>
      <c r="CA135" s="572"/>
      <c r="CB135" s="567"/>
      <c r="CC135" s="572"/>
      <c r="CD135" s="567"/>
      <c r="CE135" s="572"/>
      <c r="CF135" s="567"/>
      <c r="CG135" s="572"/>
      <c r="CH135" s="567"/>
      <c r="CI135" s="572"/>
      <c r="CJ135" s="567"/>
      <c r="CK135" s="572"/>
      <c r="CL135" s="567"/>
      <c r="CM135" s="572"/>
      <c r="CN135" s="567"/>
      <c r="CO135" s="572"/>
      <c r="CQ135" s="573"/>
      <c r="CR135" s="573"/>
    </row>
    <row r="136" spans="1:96" x14ac:dyDescent="0.2">
      <c r="A136" s="556" t="s">
        <v>209</v>
      </c>
      <c r="B136" s="557"/>
      <c r="C136" s="558"/>
      <c r="D136" s="557"/>
      <c r="E136" s="558"/>
      <c r="F136" s="557"/>
      <c r="G136" s="558"/>
      <c r="H136" s="557"/>
      <c r="I136" s="558"/>
      <c r="J136" s="557"/>
      <c r="K136" s="558"/>
      <c r="L136" s="557"/>
      <c r="M136" s="558"/>
      <c r="N136" s="557"/>
      <c r="O136" s="558"/>
      <c r="P136" s="557"/>
      <c r="Q136" s="558"/>
      <c r="R136" s="557"/>
      <c r="S136" s="558"/>
      <c r="T136" s="557"/>
      <c r="U136" s="558"/>
      <c r="V136" s="557"/>
      <c r="W136" s="558"/>
      <c r="X136" s="557"/>
      <c r="Y136" s="558"/>
      <c r="Z136" s="557"/>
      <c r="AA136" s="558"/>
      <c r="AB136" s="557"/>
      <c r="AC136" s="558"/>
      <c r="AD136" s="557"/>
      <c r="AE136" s="558"/>
      <c r="AF136" s="557"/>
      <c r="AG136" s="558"/>
      <c r="AH136" s="557"/>
      <c r="AI136" s="558"/>
      <c r="AJ136" s="557"/>
      <c r="AK136" s="558"/>
      <c r="AL136" s="557"/>
      <c r="AM136" s="558"/>
      <c r="AN136" s="557"/>
      <c r="AO136" s="558"/>
      <c r="AP136" s="557"/>
      <c r="AQ136" s="558"/>
      <c r="AR136" s="557"/>
      <c r="AS136" s="558"/>
      <c r="AT136" s="557"/>
      <c r="AU136" s="558"/>
      <c r="AV136" s="557"/>
      <c r="AW136" s="558"/>
      <c r="AX136" s="557"/>
      <c r="AY136" s="558"/>
      <c r="AZ136" s="557"/>
      <c r="BA136" s="558"/>
      <c r="BB136" s="557"/>
      <c r="BC136" s="558"/>
      <c r="BD136" s="557"/>
      <c r="BE136" s="558"/>
      <c r="BF136" s="557"/>
      <c r="BG136" s="558"/>
      <c r="BH136" s="557"/>
      <c r="BI136" s="558"/>
      <c r="BJ136" s="557"/>
      <c r="BK136" s="558"/>
      <c r="BL136" s="557"/>
      <c r="BM136" s="558"/>
      <c r="BN136" s="557"/>
      <c r="BO136" s="558"/>
      <c r="BP136" s="557"/>
      <c r="BQ136" s="558"/>
      <c r="BR136" s="557"/>
      <c r="BS136" s="558"/>
      <c r="BT136" s="557"/>
      <c r="BU136" s="558"/>
      <c r="BV136" s="557"/>
      <c r="BW136" s="558"/>
      <c r="BX136" s="557"/>
      <c r="BY136" s="558"/>
      <c r="BZ136" s="557"/>
      <c r="CA136" s="558"/>
      <c r="CB136" s="557"/>
      <c r="CC136" s="558"/>
      <c r="CD136" s="557"/>
      <c r="CE136" s="558"/>
      <c r="CF136" s="557"/>
      <c r="CG136" s="558"/>
      <c r="CH136" s="557"/>
      <c r="CI136" s="558"/>
      <c r="CJ136" s="557"/>
      <c r="CK136" s="558"/>
      <c r="CL136" s="557"/>
      <c r="CM136" s="558"/>
      <c r="CN136" s="557"/>
      <c r="CO136" s="558"/>
      <c r="CQ136" s="573"/>
      <c r="CR136" s="573"/>
    </row>
    <row r="137" spans="1:96" x14ac:dyDescent="0.2">
      <c r="A137" s="561" t="s">
        <v>521</v>
      </c>
      <c r="B137" s="562"/>
      <c r="C137" s="563"/>
      <c r="D137" s="562"/>
      <c r="E137" s="563"/>
      <c r="F137" s="562"/>
      <c r="G137" s="563"/>
      <c r="H137" s="562"/>
      <c r="I137" s="563"/>
      <c r="J137" s="562"/>
      <c r="K137" s="563"/>
      <c r="L137" s="562"/>
      <c r="M137" s="563"/>
      <c r="N137" s="562"/>
      <c r="O137" s="563"/>
      <c r="P137" s="562"/>
      <c r="Q137" s="563"/>
      <c r="R137" s="562"/>
      <c r="S137" s="563"/>
      <c r="T137" s="562"/>
      <c r="U137" s="563"/>
      <c r="V137" s="562"/>
      <c r="W137" s="563"/>
      <c r="X137" s="562"/>
      <c r="Y137" s="563"/>
      <c r="Z137" s="562"/>
      <c r="AA137" s="563"/>
      <c r="AB137" s="562"/>
      <c r="AC137" s="563"/>
      <c r="AD137" s="562"/>
      <c r="AE137" s="563"/>
      <c r="AF137" s="562"/>
      <c r="AG137" s="563"/>
      <c r="AH137" s="562"/>
      <c r="AI137" s="563"/>
      <c r="AJ137" s="562"/>
      <c r="AK137" s="563"/>
      <c r="AL137" s="562"/>
      <c r="AM137" s="563"/>
      <c r="AN137" s="562"/>
      <c r="AO137" s="563"/>
      <c r="AP137" s="562"/>
      <c r="AQ137" s="563"/>
      <c r="AR137" s="562"/>
      <c r="AS137" s="563"/>
      <c r="AT137" s="562"/>
      <c r="AU137" s="563"/>
      <c r="AV137" s="562"/>
      <c r="AW137" s="563"/>
      <c r="AX137" s="562"/>
      <c r="AY137" s="563"/>
      <c r="AZ137" s="562"/>
      <c r="BA137" s="563"/>
      <c r="BB137" s="562"/>
      <c r="BC137" s="563"/>
      <c r="BD137" s="562"/>
      <c r="BE137" s="563"/>
      <c r="BF137" s="562"/>
      <c r="BG137" s="563"/>
      <c r="BH137" s="562"/>
      <c r="BI137" s="563"/>
      <c r="BJ137" s="562"/>
      <c r="BK137" s="563"/>
      <c r="BL137" s="562"/>
      <c r="BM137" s="563"/>
      <c r="BN137" s="562"/>
      <c r="BO137" s="563"/>
      <c r="BP137" s="562"/>
      <c r="BQ137" s="563"/>
      <c r="BR137" s="562"/>
      <c r="BS137" s="563"/>
      <c r="BT137" s="562"/>
      <c r="BU137" s="563"/>
      <c r="BV137" s="562"/>
      <c r="BW137" s="563"/>
      <c r="BX137" s="562"/>
      <c r="BY137" s="563"/>
      <c r="BZ137" s="562"/>
      <c r="CA137" s="563"/>
      <c r="CB137" s="562"/>
      <c r="CC137" s="563"/>
      <c r="CD137" s="562"/>
      <c r="CE137" s="563"/>
      <c r="CF137" s="562"/>
      <c r="CG137" s="563"/>
      <c r="CH137" s="562"/>
      <c r="CI137" s="563"/>
      <c r="CJ137" s="562">
        <f t="shared" ref="CJ137:CO141" si="58">CJ158+CJ178</f>
        <v>743</v>
      </c>
      <c r="CK137" s="563">
        <f t="shared" si="58"/>
        <v>18527435.530000001</v>
      </c>
      <c r="CL137" s="562">
        <f t="shared" si="58"/>
        <v>990</v>
      </c>
      <c r="CM137" s="563">
        <f t="shared" si="58"/>
        <v>25100288.889999997</v>
      </c>
      <c r="CN137" s="562">
        <f t="shared" si="58"/>
        <v>1269</v>
      </c>
      <c r="CO137" s="563">
        <f t="shared" si="58"/>
        <v>34001557.189999998</v>
      </c>
    </row>
    <row r="138" spans="1:96" x14ac:dyDescent="0.2">
      <c r="A138" s="561" t="s">
        <v>522</v>
      </c>
      <c r="B138" s="562"/>
      <c r="C138" s="563"/>
      <c r="D138" s="562"/>
      <c r="E138" s="563"/>
      <c r="F138" s="562"/>
      <c r="G138" s="563"/>
      <c r="H138" s="562"/>
      <c r="I138" s="563"/>
      <c r="J138" s="562"/>
      <c r="K138" s="563"/>
      <c r="L138" s="562"/>
      <c r="M138" s="563"/>
      <c r="N138" s="562"/>
      <c r="O138" s="563"/>
      <c r="P138" s="562"/>
      <c r="Q138" s="563"/>
      <c r="R138" s="562"/>
      <c r="S138" s="563"/>
      <c r="T138" s="562"/>
      <c r="U138" s="563"/>
      <c r="V138" s="562"/>
      <c r="W138" s="563"/>
      <c r="X138" s="562"/>
      <c r="Y138" s="563"/>
      <c r="Z138" s="562"/>
      <c r="AA138" s="563"/>
      <c r="AB138" s="562"/>
      <c r="AC138" s="563"/>
      <c r="AD138" s="562"/>
      <c r="AE138" s="563"/>
      <c r="AF138" s="562"/>
      <c r="AG138" s="563"/>
      <c r="AH138" s="562"/>
      <c r="AI138" s="563"/>
      <c r="AJ138" s="562"/>
      <c r="AK138" s="563"/>
      <c r="AL138" s="562"/>
      <c r="AM138" s="563"/>
      <c r="AN138" s="562"/>
      <c r="AO138" s="563"/>
      <c r="AP138" s="562"/>
      <c r="AQ138" s="563"/>
      <c r="AR138" s="562"/>
      <c r="AS138" s="563"/>
      <c r="AT138" s="562"/>
      <c r="AU138" s="563"/>
      <c r="AV138" s="562"/>
      <c r="AW138" s="563"/>
      <c r="AX138" s="562"/>
      <c r="AY138" s="563"/>
      <c r="AZ138" s="562"/>
      <c r="BA138" s="563"/>
      <c r="BB138" s="562"/>
      <c r="BC138" s="563"/>
      <c r="BD138" s="562"/>
      <c r="BE138" s="563"/>
      <c r="BF138" s="562"/>
      <c r="BG138" s="563"/>
      <c r="BH138" s="562"/>
      <c r="BI138" s="563"/>
      <c r="BJ138" s="562"/>
      <c r="BK138" s="563"/>
      <c r="BL138" s="562"/>
      <c r="BM138" s="563"/>
      <c r="BN138" s="562"/>
      <c r="BO138" s="563"/>
      <c r="BP138" s="562"/>
      <c r="BQ138" s="563"/>
      <c r="BR138" s="562"/>
      <c r="BS138" s="563"/>
      <c r="BT138" s="562"/>
      <c r="BU138" s="563"/>
      <c r="BV138" s="562"/>
      <c r="BW138" s="563"/>
      <c r="BX138" s="562"/>
      <c r="BY138" s="563"/>
      <c r="BZ138" s="562"/>
      <c r="CA138" s="563"/>
      <c r="CB138" s="562"/>
      <c r="CC138" s="563"/>
      <c r="CD138" s="562"/>
      <c r="CE138" s="563"/>
      <c r="CF138" s="562"/>
      <c r="CG138" s="563"/>
      <c r="CH138" s="562"/>
      <c r="CI138" s="563"/>
      <c r="CJ138" s="562">
        <f t="shared" si="58"/>
        <v>447</v>
      </c>
      <c r="CK138" s="563">
        <f t="shared" si="58"/>
        <v>10849471.330000002</v>
      </c>
      <c r="CL138" s="562">
        <f t="shared" si="58"/>
        <v>420</v>
      </c>
      <c r="CM138" s="563">
        <f t="shared" si="58"/>
        <v>10451509.780000001</v>
      </c>
      <c r="CN138" s="562">
        <f t="shared" si="58"/>
        <v>326</v>
      </c>
      <c r="CO138" s="563">
        <f t="shared" si="58"/>
        <v>9233269.2399999984</v>
      </c>
    </row>
    <row r="139" spans="1:96" x14ac:dyDescent="0.2">
      <c r="A139" s="561" t="s">
        <v>523</v>
      </c>
      <c r="B139" s="562"/>
      <c r="C139" s="563"/>
      <c r="D139" s="562"/>
      <c r="E139" s="563"/>
      <c r="F139" s="562"/>
      <c r="G139" s="563"/>
      <c r="H139" s="562"/>
      <c r="I139" s="563"/>
      <c r="J139" s="562"/>
      <c r="K139" s="563"/>
      <c r="L139" s="562"/>
      <c r="M139" s="563"/>
      <c r="N139" s="562"/>
      <c r="O139" s="563"/>
      <c r="P139" s="562"/>
      <c r="Q139" s="563"/>
      <c r="R139" s="562"/>
      <c r="S139" s="563"/>
      <c r="T139" s="562"/>
      <c r="U139" s="563"/>
      <c r="V139" s="562"/>
      <c r="W139" s="563"/>
      <c r="X139" s="562"/>
      <c r="Y139" s="563"/>
      <c r="Z139" s="562"/>
      <c r="AA139" s="563"/>
      <c r="AB139" s="562"/>
      <c r="AC139" s="563"/>
      <c r="AD139" s="562"/>
      <c r="AE139" s="563"/>
      <c r="AF139" s="562"/>
      <c r="AG139" s="563"/>
      <c r="AH139" s="562"/>
      <c r="AI139" s="563"/>
      <c r="AJ139" s="562"/>
      <c r="AK139" s="563"/>
      <c r="AL139" s="562"/>
      <c r="AM139" s="563"/>
      <c r="AN139" s="562"/>
      <c r="AO139" s="563"/>
      <c r="AP139" s="562"/>
      <c r="AQ139" s="563"/>
      <c r="AR139" s="562"/>
      <c r="AS139" s="563"/>
      <c r="AT139" s="562"/>
      <c r="AU139" s="563"/>
      <c r="AV139" s="562"/>
      <c r="AW139" s="563"/>
      <c r="AX139" s="562"/>
      <c r="AY139" s="563"/>
      <c r="AZ139" s="562"/>
      <c r="BA139" s="563"/>
      <c r="BB139" s="562"/>
      <c r="BC139" s="563"/>
      <c r="BD139" s="562"/>
      <c r="BE139" s="563"/>
      <c r="BF139" s="562"/>
      <c r="BG139" s="563"/>
      <c r="BH139" s="562"/>
      <c r="BI139" s="563"/>
      <c r="BJ139" s="562"/>
      <c r="BK139" s="563"/>
      <c r="BL139" s="562"/>
      <c r="BM139" s="563"/>
      <c r="BN139" s="562"/>
      <c r="BO139" s="563"/>
      <c r="BP139" s="562"/>
      <c r="BQ139" s="563"/>
      <c r="BR139" s="562"/>
      <c r="BS139" s="563"/>
      <c r="BT139" s="562"/>
      <c r="BU139" s="563"/>
      <c r="BV139" s="562"/>
      <c r="BW139" s="563"/>
      <c r="BX139" s="562"/>
      <c r="BY139" s="563"/>
      <c r="BZ139" s="562"/>
      <c r="CA139" s="563"/>
      <c r="CB139" s="562"/>
      <c r="CC139" s="563"/>
      <c r="CD139" s="562"/>
      <c r="CE139" s="563"/>
      <c r="CF139" s="562"/>
      <c r="CG139" s="563"/>
      <c r="CH139" s="562"/>
      <c r="CI139" s="563"/>
      <c r="CJ139" s="562">
        <f t="shared" si="58"/>
        <v>1190</v>
      </c>
      <c r="CK139" s="563">
        <f t="shared" si="58"/>
        <v>27262546.68</v>
      </c>
      <c r="CL139" s="562">
        <f t="shared" si="58"/>
        <v>468</v>
      </c>
      <c r="CM139" s="563">
        <f t="shared" si="58"/>
        <v>10772677.73</v>
      </c>
      <c r="CN139" s="562">
        <f t="shared" si="58"/>
        <v>428</v>
      </c>
      <c r="CO139" s="563">
        <f t="shared" si="58"/>
        <v>11136569.739999998</v>
      </c>
    </row>
    <row r="140" spans="1:96" x14ac:dyDescent="0.2">
      <c r="A140" s="561" t="s">
        <v>524</v>
      </c>
      <c r="B140" s="562"/>
      <c r="C140" s="563"/>
      <c r="D140" s="562"/>
      <c r="E140" s="563"/>
      <c r="F140" s="562"/>
      <c r="G140" s="563"/>
      <c r="H140" s="562"/>
      <c r="I140" s="563"/>
      <c r="J140" s="562"/>
      <c r="K140" s="563"/>
      <c r="L140" s="562"/>
      <c r="M140" s="563"/>
      <c r="N140" s="562"/>
      <c r="O140" s="563"/>
      <c r="P140" s="562"/>
      <c r="Q140" s="563"/>
      <c r="R140" s="562"/>
      <c r="S140" s="563"/>
      <c r="T140" s="562"/>
      <c r="U140" s="563"/>
      <c r="V140" s="562"/>
      <c r="W140" s="563"/>
      <c r="X140" s="562"/>
      <c r="Y140" s="563"/>
      <c r="Z140" s="562"/>
      <c r="AA140" s="563"/>
      <c r="AB140" s="562"/>
      <c r="AC140" s="563"/>
      <c r="AD140" s="562"/>
      <c r="AE140" s="563"/>
      <c r="AF140" s="562"/>
      <c r="AG140" s="563"/>
      <c r="AH140" s="562"/>
      <c r="AI140" s="563"/>
      <c r="AJ140" s="562"/>
      <c r="AK140" s="563"/>
      <c r="AL140" s="562"/>
      <c r="AM140" s="563"/>
      <c r="AN140" s="562"/>
      <c r="AO140" s="563"/>
      <c r="AP140" s="562"/>
      <c r="AQ140" s="563"/>
      <c r="AR140" s="562"/>
      <c r="AS140" s="563"/>
      <c r="AT140" s="562"/>
      <c r="AU140" s="563"/>
      <c r="AV140" s="562"/>
      <c r="AW140" s="563"/>
      <c r="AX140" s="562"/>
      <c r="AY140" s="563"/>
      <c r="AZ140" s="562"/>
      <c r="BA140" s="563"/>
      <c r="BB140" s="562"/>
      <c r="BC140" s="563"/>
      <c r="BD140" s="562"/>
      <c r="BE140" s="563"/>
      <c r="BF140" s="562"/>
      <c r="BG140" s="563"/>
      <c r="BH140" s="562"/>
      <c r="BI140" s="563"/>
      <c r="BJ140" s="562"/>
      <c r="BK140" s="563"/>
      <c r="BL140" s="562"/>
      <c r="BM140" s="563"/>
      <c r="BN140" s="562"/>
      <c r="BO140" s="563"/>
      <c r="BP140" s="562"/>
      <c r="BQ140" s="563"/>
      <c r="BR140" s="562"/>
      <c r="BS140" s="563"/>
      <c r="BT140" s="562"/>
      <c r="BU140" s="563"/>
      <c r="BV140" s="562"/>
      <c r="BW140" s="563"/>
      <c r="BX140" s="562"/>
      <c r="BY140" s="563"/>
      <c r="BZ140" s="562"/>
      <c r="CA140" s="563"/>
      <c r="CB140" s="562"/>
      <c r="CC140" s="563"/>
      <c r="CD140" s="562"/>
      <c r="CE140" s="563"/>
      <c r="CF140" s="562"/>
      <c r="CG140" s="563"/>
      <c r="CH140" s="562"/>
      <c r="CI140" s="563"/>
      <c r="CJ140" s="562">
        <f t="shared" si="58"/>
        <v>1109</v>
      </c>
      <c r="CK140" s="563">
        <f t="shared" si="58"/>
        <v>16423260.270000005</v>
      </c>
      <c r="CL140" s="562">
        <f t="shared" si="58"/>
        <v>363</v>
      </c>
      <c r="CM140" s="563">
        <f t="shared" si="58"/>
        <v>8038841.4199999999</v>
      </c>
      <c r="CN140" s="562">
        <f t="shared" si="58"/>
        <v>213</v>
      </c>
      <c r="CO140" s="563">
        <f t="shared" si="58"/>
        <v>5461171.1200000001</v>
      </c>
    </row>
    <row r="141" spans="1:96" x14ac:dyDescent="0.2">
      <c r="A141" s="561" t="s">
        <v>525</v>
      </c>
      <c r="B141" s="562"/>
      <c r="C141" s="563"/>
      <c r="D141" s="562"/>
      <c r="E141" s="563"/>
      <c r="F141" s="562"/>
      <c r="G141" s="563"/>
      <c r="H141" s="562"/>
      <c r="I141" s="563"/>
      <c r="J141" s="562"/>
      <c r="K141" s="563"/>
      <c r="L141" s="562"/>
      <c r="M141" s="563"/>
      <c r="N141" s="562"/>
      <c r="O141" s="563"/>
      <c r="P141" s="562"/>
      <c r="Q141" s="563"/>
      <c r="R141" s="562"/>
      <c r="S141" s="563"/>
      <c r="T141" s="562"/>
      <c r="U141" s="563"/>
      <c r="V141" s="562"/>
      <c r="W141" s="563"/>
      <c r="X141" s="562"/>
      <c r="Y141" s="563"/>
      <c r="Z141" s="562"/>
      <c r="AA141" s="563"/>
      <c r="AB141" s="562"/>
      <c r="AC141" s="563"/>
      <c r="AD141" s="562"/>
      <c r="AE141" s="563"/>
      <c r="AF141" s="562"/>
      <c r="AG141" s="563"/>
      <c r="AH141" s="562"/>
      <c r="AI141" s="563"/>
      <c r="AJ141" s="562"/>
      <c r="AK141" s="563"/>
      <c r="AL141" s="562"/>
      <c r="AM141" s="563"/>
      <c r="AN141" s="562"/>
      <c r="AO141" s="563"/>
      <c r="AP141" s="562"/>
      <c r="AQ141" s="563"/>
      <c r="AR141" s="562"/>
      <c r="AS141" s="563"/>
      <c r="AT141" s="562"/>
      <c r="AU141" s="563"/>
      <c r="AV141" s="562"/>
      <c r="AW141" s="563"/>
      <c r="AX141" s="562"/>
      <c r="AY141" s="563"/>
      <c r="AZ141" s="562"/>
      <c r="BA141" s="563"/>
      <c r="BB141" s="562"/>
      <c r="BC141" s="563"/>
      <c r="BD141" s="562"/>
      <c r="BE141" s="563"/>
      <c r="BF141" s="562"/>
      <c r="BG141" s="563"/>
      <c r="BH141" s="562"/>
      <c r="BI141" s="563"/>
      <c r="BJ141" s="562"/>
      <c r="BK141" s="563"/>
      <c r="BL141" s="562"/>
      <c r="BM141" s="563"/>
      <c r="BN141" s="562"/>
      <c r="BO141" s="563"/>
      <c r="BP141" s="562"/>
      <c r="BQ141" s="563"/>
      <c r="BR141" s="562"/>
      <c r="BS141" s="563"/>
      <c r="BT141" s="562"/>
      <c r="BU141" s="563"/>
      <c r="BV141" s="562"/>
      <c r="BW141" s="563"/>
      <c r="BX141" s="562"/>
      <c r="BY141" s="563"/>
      <c r="BZ141" s="562"/>
      <c r="CA141" s="563"/>
      <c r="CB141" s="562"/>
      <c r="CC141" s="563"/>
      <c r="CD141" s="562"/>
      <c r="CE141" s="563"/>
      <c r="CF141" s="562"/>
      <c r="CG141" s="563"/>
      <c r="CH141" s="562"/>
      <c r="CI141" s="563"/>
      <c r="CJ141" s="562">
        <f t="shared" si="58"/>
        <v>447</v>
      </c>
      <c r="CK141" s="563">
        <f t="shared" si="58"/>
        <v>12887577.649999999</v>
      </c>
      <c r="CL141" s="562">
        <f t="shared" si="58"/>
        <v>571</v>
      </c>
      <c r="CM141" s="563">
        <f t="shared" si="58"/>
        <v>13274596.27</v>
      </c>
      <c r="CN141" s="562">
        <f t="shared" si="58"/>
        <v>383</v>
      </c>
      <c r="CO141" s="563">
        <f t="shared" si="58"/>
        <v>9365592.5700000003</v>
      </c>
    </row>
    <row r="142" spans="1:96" x14ac:dyDescent="0.2">
      <c r="A142" s="561"/>
      <c r="B142" s="567"/>
      <c r="C142" s="568"/>
      <c r="D142" s="567"/>
      <c r="E142" s="568"/>
      <c r="F142" s="567"/>
      <c r="G142" s="568"/>
      <c r="H142" s="567"/>
      <c r="I142" s="568"/>
      <c r="J142" s="567"/>
      <c r="K142" s="568"/>
      <c r="L142" s="567"/>
      <c r="M142" s="568"/>
      <c r="N142" s="567"/>
      <c r="O142" s="568"/>
      <c r="P142" s="567"/>
      <c r="Q142" s="568"/>
      <c r="R142" s="567"/>
      <c r="S142" s="568"/>
      <c r="T142" s="567"/>
      <c r="U142" s="568"/>
      <c r="V142" s="567"/>
      <c r="W142" s="568"/>
      <c r="X142" s="567"/>
      <c r="Y142" s="568"/>
      <c r="Z142" s="567"/>
      <c r="AA142" s="568"/>
      <c r="AB142" s="567"/>
      <c r="AC142" s="568"/>
      <c r="AD142" s="567"/>
      <c r="AE142" s="568"/>
      <c r="AF142" s="567"/>
      <c r="AG142" s="568"/>
      <c r="AH142" s="567"/>
      <c r="AI142" s="568"/>
      <c r="AJ142" s="567"/>
      <c r="AK142" s="568"/>
      <c r="AL142" s="567"/>
      <c r="AM142" s="568"/>
      <c r="AN142" s="567"/>
      <c r="AO142" s="568"/>
      <c r="AP142" s="567"/>
      <c r="AQ142" s="568"/>
      <c r="AR142" s="567"/>
      <c r="AS142" s="568"/>
      <c r="AT142" s="567"/>
      <c r="AU142" s="568"/>
      <c r="AV142" s="567"/>
      <c r="AW142" s="568"/>
      <c r="AX142" s="567"/>
      <c r="AY142" s="568"/>
      <c r="AZ142" s="567"/>
      <c r="BA142" s="568"/>
      <c r="BB142" s="567"/>
      <c r="BC142" s="568"/>
      <c r="BD142" s="567"/>
      <c r="BE142" s="568"/>
      <c r="BF142" s="567"/>
      <c r="BG142" s="568"/>
      <c r="BH142" s="567"/>
      <c r="BI142" s="568"/>
      <c r="BJ142" s="567"/>
      <c r="BK142" s="568"/>
      <c r="BL142" s="567"/>
      <c r="BM142" s="568"/>
      <c r="BN142" s="567"/>
      <c r="BO142" s="568"/>
      <c r="BP142" s="567"/>
      <c r="BQ142" s="568"/>
      <c r="BR142" s="567"/>
      <c r="BS142" s="568"/>
      <c r="BT142" s="567"/>
      <c r="BU142" s="568"/>
      <c r="BV142" s="567"/>
      <c r="BW142" s="568"/>
      <c r="BX142" s="567"/>
      <c r="BY142" s="568"/>
      <c r="BZ142" s="567"/>
      <c r="CA142" s="568"/>
      <c r="CB142" s="567"/>
      <c r="CC142" s="568"/>
      <c r="CD142" s="567"/>
      <c r="CE142" s="568"/>
      <c r="CF142" s="567"/>
      <c r="CG142" s="568"/>
      <c r="CH142" s="567"/>
      <c r="CI142" s="568"/>
      <c r="CJ142" s="567">
        <f t="shared" ref="CJ142:CO142" si="59">SUM(CJ137:CJ141)</f>
        <v>3936</v>
      </c>
      <c r="CK142" s="568">
        <f t="shared" si="59"/>
        <v>85950291.460000008</v>
      </c>
      <c r="CL142" s="567">
        <f t="shared" si="59"/>
        <v>2812</v>
      </c>
      <c r="CM142" s="568">
        <f t="shared" si="59"/>
        <v>67637914.090000004</v>
      </c>
      <c r="CN142" s="567">
        <f t="shared" si="59"/>
        <v>2619</v>
      </c>
      <c r="CO142" s="568">
        <f t="shared" si="59"/>
        <v>69198159.859999985</v>
      </c>
      <c r="CQ142" s="574"/>
      <c r="CR142" s="574"/>
    </row>
    <row r="143" spans="1:96" ht="16" thickBot="1" x14ac:dyDescent="0.25">
      <c r="A143" s="586"/>
      <c r="B143" s="587"/>
      <c r="C143" s="588"/>
      <c r="D143" s="587"/>
      <c r="E143" s="588"/>
      <c r="F143" s="587"/>
      <c r="G143" s="588"/>
      <c r="H143" s="587"/>
      <c r="I143" s="588"/>
      <c r="J143" s="587"/>
      <c r="K143" s="588"/>
      <c r="L143" s="587"/>
      <c r="M143" s="588"/>
      <c r="N143" s="587"/>
      <c r="O143" s="588"/>
      <c r="P143" s="587"/>
      <c r="Q143" s="588"/>
      <c r="R143" s="587"/>
      <c r="S143" s="588"/>
      <c r="T143" s="587"/>
      <c r="U143" s="588"/>
      <c r="V143" s="587"/>
      <c r="W143" s="588"/>
      <c r="X143" s="587"/>
      <c r="Y143" s="588"/>
      <c r="Z143" s="587"/>
      <c r="AA143" s="588"/>
      <c r="AB143" s="587"/>
      <c r="AC143" s="588"/>
      <c r="AD143" s="587"/>
      <c r="AE143" s="588"/>
      <c r="AF143" s="587"/>
      <c r="AG143" s="588"/>
      <c r="AH143" s="587"/>
      <c r="AI143" s="588"/>
      <c r="AJ143" s="587"/>
      <c r="AK143" s="588"/>
      <c r="AL143" s="587"/>
      <c r="AM143" s="588"/>
      <c r="AN143" s="587"/>
      <c r="AO143" s="588"/>
      <c r="AP143" s="587"/>
      <c r="AQ143" s="588"/>
      <c r="AR143" s="587"/>
      <c r="AS143" s="588"/>
      <c r="AT143" s="587"/>
      <c r="AU143" s="588"/>
      <c r="AV143" s="587"/>
      <c r="AW143" s="588"/>
      <c r="AX143" s="587"/>
      <c r="AY143" s="588"/>
      <c r="AZ143" s="587"/>
      <c r="BA143" s="588"/>
      <c r="BB143" s="587"/>
      <c r="BC143" s="588"/>
      <c r="BD143" s="587"/>
      <c r="BE143" s="588"/>
      <c r="BF143" s="587"/>
      <c r="BG143" s="588"/>
      <c r="BH143" s="587"/>
      <c r="BI143" s="588"/>
      <c r="BJ143" s="587"/>
      <c r="BK143" s="588"/>
      <c r="BL143" s="587"/>
      <c r="BM143" s="588"/>
      <c r="BN143" s="587"/>
      <c r="BO143" s="588"/>
      <c r="BP143" s="587"/>
      <c r="BQ143" s="588"/>
      <c r="BR143" s="587"/>
      <c r="BS143" s="588"/>
      <c r="BT143" s="587"/>
      <c r="BU143" s="588"/>
      <c r="BV143" s="587"/>
      <c r="BW143" s="588"/>
      <c r="BX143" s="587"/>
      <c r="BY143" s="588"/>
      <c r="BZ143" s="587"/>
      <c r="CA143" s="588"/>
      <c r="CB143" s="587"/>
      <c r="CC143" s="588"/>
      <c r="CD143" s="587"/>
      <c r="CE143" s="588"/>
      <c r="CF143" s="587"/>
      <c r="CG143" s="588"/>
      <c r="CH143" s="587"/>
      <c r="CI143" s="588"/>
      <c r="CJ143" s="587"/>
      <c r="CK143" s="588"/>
      <c r="CL143" s="587"/>
      <c r="CM143" s="588"/>
      <c r="CN143" s="587"/>
      <c r="CO143" s="588"/>
      <c r="CQ143" s="573"/>
      <c r="CR143" s="573"/>
    </row>
    <row r="144" spans="1:96" x14ac:dyDescent="0.2">
      <c r="A144" s="583"/>
      <c r="B144" s="584"/>
      <c r="C144" s="585"/>
      <c r="D144" s="584"/>
      <c r="E144" s="585"/>
      <c r="F144" s="584"/>
      <c r="G144" s="585"/>
      <c r="H144" s="584"/>
      <c r="I144" s="585"/>
      <c r="J144" s="584"/>
      <c r="K144" s="585"/>
      <c r="L144" s="584"/>
      <c r="M144" s="585"/>
      <c r="N144" s="584"/>
      <c r="O144" s="585"/>
      <c r="P144" s="584"/>
      <c r="Q144" s="585"/>
      <c r="R144" s="584"/>
      <c r="S144" s="585"/>
      <c r="T144" s="584"/>
      <c r="U144" s="585"/>
      <c r="V144" s="584"/>
      <c r="W144" s="585"/>
      <c r="X144" s="584"/>
      <c r="Y144" s="585"/>
      <c r="Z144" s="584"/>
      <c r="AA144" s="585"/>
      <c r="AB144" s="584"/>
      <c r="AC144" s="585"/>
      <c r="AD144" s="584"/>
      <c r="AE144" s="585"/>
      <c r="AF144" s="584"/>
      <c r="AG144" s="585"/>
      <c r="AH144" s="584"/>
      <c r="AI144" s="585"/>
      <c r="AJ144" s="584"/>
      <c r="AK144" s="585"/>
      <c r="AL144" s="584"/>
      <c r="AM144" s="585"/>
      <c r="AN144" s="584"/>
      <c r="AO144" s="585"/>
      <c r="AP144" s="584"/>
      <c r="AQ144" s="585"/>
      <c r="AR144" s="584"/>
      <c r="AS144" s="585"/>
      <c r="AT144" s="584"/>
      <c r="AU144" s="585"/>
      <c r="AV144" s="584"/>
      <c r="AW144" s="585"/>
      <c r="AX144" s="584"/>
      <c r="AY144" s="585"/>
      <c r="AZ144" s="584"/>
      <c r="BA144" s="585"/>
      <c r="BB144" s="584"/>
      <c r="BC144" s="585"/>
      <c r="BD144" s="584"/>
      <c r="BE144" s="585"/>
      <c r="BF144" s="584"/>
      <c r="BG144" s="585"/>
      <c r="BH144" s="584"/>
      <c r="BI144" s="585"/>
      <c r="BJ144" s="584"/>
      <c r="BK144" s="585"/>
      <c r="BL144" s="584"/>
      <c r="BM144" s="585"/>
      <c r="BN144" s="584"/>
      <c r="BO144" s="585"/>
      <c r="BP144" s="584"/>
      <c r="BQ144" s="585"/>
      <c r="BR144" s="584"/>
      <c r="BS144" s="585"/>
      <c r="BT144" s="584"/>
      <c r="BU144" s="585"/>
      <c r="BV144" s="584"/>
      <c r="BW144" s="585"/>
      <c r="BX144" s="584"/>
      <c r="BY144" s="585"/>
      <c r="BZ144" s="584"/>
      <c r="CA144" s="585"/>
      <c r="CB144" s="584"/>
      <c r="CC144" s="585"/>
      <c r="CD144" s="584"/>
      <c r="CE144" s="585"/>
      <c r="CF144" s="584"/>
      <c r="CG144" s="585"/>
      <c r="CH144" s="584"/>
      <c r="CI144" s="585"/>
      <c r="CJ144" s="584"/>
      <c r="CK144" s="585"/>
      <c r="CL144" s="584"/>
      <c r="CM144" s="585"/>
      <c r="CN144" s="584"/>
      <c r="CO144" s="585"/>
      <c r="CQ144" s="573"/>
      <c r="CR144" s="573"/>
    </row>
    <row r="145" spans="1:101" x14ac:dyDescent="0.2">
      <c r="A145" s="583" t="s">
        <v>529</v>
      </c>
      <c r="B145" s="584"/>
      <c r="C145" s="585"/>
      <c r="D145" s="584"/>
      <c r="E145" s="585"/>
      <c r="F145" s="584"/>
      <c r="G145" s="585"/>
      <c r="H145" s="584"/>
      <c r="I145" s="585"/>
      <c r="J145" s="584"/>
      <c r="K145" s="585"/>
      <c r="L145" s="584"/>
      <c r="M145" s="585"/>
      <c r="N145" s="584"/>
      <c r="O145" s="585"/>
      <c r="P145" s="584"/>
      <c r="Q145" s="585"/>
      <c r="R145" s="584"/>
      <c r="S145" s="585"/>
      <c r="T145" s="584"/>
      <c r="U145" s="585"/>
      <c r="V145" s="584"/>
      <c r="W145" s="585"/>
      <c r="X145" s="584"/>
      <c r="Y145" s="585"/>
      <c r="Z145" s="584"/>
      <c r="AA145" s="585"/>
      <c r="AB145" s="584"/>
      <c r="AC145" s="585"/>
      <c r="AD145" s="584"/>
      <c r="AE145" s="585"/>
      <c r="AF145" s="584"/>
      <c r="AG145" s="585"/>
      <c r="AH145" s="584"/>
      <c r="AI145" s="585"/>
      <c r="AJ145" s="584"/>
      <c r="AK145" s="585"/>
      <c r="AL145" s="584"/>
      <c r="AM145" s="585"/>
      <c r="AN145" s="584"/>
      <c r="AO145" s="585"/>
      <c r="AP145" s="584"/>
      <c r="AQ145" s="585"/>
      <c r="AR145" s="584"/>
      <c r="AS145" s="585"/>
      <c r="AT145" s="584"/>
      <c r="AU145" s="585"/>
      <c r="AV145" s="584"/>
      <c r="AW145" s="585"/>
      <c r="AX145" s="584"/>
      <c r="AY145" s="585"/>
      <c r="AZ145" s="584"/>
      <c r="BA145" s="585"/>
      <c r="BB145" s="584"/>
      <c r="BC145" s="585"/>
      <c r="BD145" s="584"/>
      <c r="BE145" s="585"/>
      <c r="BF145" s="584"/>
      <c r="BG145" s="585"/>
      <c r="BH145" s="584"/>
      <c r="BI145" s="585"/>
      <c r="BJ145" s="584"/>
      <c r="BK145" s="585"/>
      <c r="BL145" s="584"/>
      <c r="BM145" s="585"/>
      <c r="BN145" s="584"/>
      <c r="BO145" s="585"/>
      <c r="BP145" s="584"/>
      <c r="BQ145" s="585"/>
      <c r="BR145" s="584"/>
      <c r="BS145" s="585"/>
      <c r="BT145" s="584"/>
      <c r="BU145" s="585"/>
      <c r="BV145" s="584"/>
      <c r="BW145" s="585"/>
      <c r="BX145" s="584"/>
      <c r="BY145" s="585"/>
      <c r="BZ145" s="584"/>
      <c r="CA145" s="585"/>
      <c r="CB145" s="584"/>
      <c r="CC145" s="585"/>
      <c r="CD145" s="584"/>
      <c r="CE145" s="585"/>
      <c r="CF145" s="584"/>
      <c r="CG145" s="585"/>
      <c r="CH145" s="584"/>
      <c r="CI145" s="585"/>
      <c r="CJ145" s="584"/>
      <c r="CK145" s="585"/>
      <c r="CL145" s="584"/>
      <c r="CM145" s="585"/>
      <c r="CN145" s="584"/>
      <c r="CO145" s="585"/>
    </row>
    <row r="146" spans="1:101" outlineLevel="1" x14ac:dyDescent="0.2">
      <c r="A146" s="561" t="s">
        <v>5</v>
      </c>
      <c r="B146" s="584"/>
      <c r="C146" s="589"/>
      <c r="D146" s="584"/>
      <c r="E146" s="589"/>
      <c r="F146" s="584"/>
      <c r="G146" s="589"/>
      <c r="H146" s="584"/>
      <c r="I146" s="589"/>
      <c r="J146" s="584"/>
      <c r="K146" s="589"/>
      <c r="L146" s="584"/>
      <c r="M146" s="589"/>
      <c r="N146" s="584"/>
      <c r="O146" s="589"/>
      <c r="P146" s="584"/>
      <c r="Q146" s="589"/>
      <c r="R146" s="584"/>
      <c r="S146" s="589"/>
      <c r="T146" s="584"/>
      <c r="U146" s="589"/>
      <c r="V146" s="584"/>
      <c r="W146" s="589"/>
      <c r="X146" s="584"/>
      <c r="Y146" s="589"/>
      <c r="Z146" s="584"/>
      <c r="AA146" s="589"/>
      <c r="AB146" s="584"/>
      <c r="AC146" s="589"/>
      <c r="AD146" s="584"/>
      <c r="AE146" s="589"/>
      <c r="AF146" s="584"/>
      <c r="AG146" s="589"/>
      <c r="AH146" s="584"/>
      <c r="AI146" s="589"/>
      <c r="AJ146" s="584"/>
      <c r="AK146" s="589"/>
      <c r="AL146" s="584"/>
      <c r="AM146" s="589"/>
      <c r="AN146" s="584"/>
      <c r="AO146" s="589"/>
      <c r="AP146" s="584"/>
      <c r="AQ146" s="589"/>
      <c r="AR146" s="584"/>
      <c r="AS146" s="589"/>
      <c r="AT146" s="584"/>
      <c r="AU146" s="589"/>
      <c r="AV146" s="584"/>
      <c r="AW146" s="589"/>
      <c r="AX146" s="584"/>
      <c r="AY146" s="589"/>
      <c r="AZ146" s="584"/>
      <c r="BA146" s="589"/>
      <c r="BB146" s="584"/>
      <c r="BC146" s="589"/>
      <c r="BD146" s="584"/>
      <c r="BE146" s="589"/>
      <c r="BF146" s="584"/>
      <c r="BG146" s="589"/>
      <c r="BH146" s="584"/>
      <c r="BI146" s="589"/>
      <c r="BJ146" s="584"/>
      <c r="BK146" s="589"/>
      <c r="BL146" s="584"/>
      <c r="BM146" s="589"/>
      <c r="BN146" s="584"/>
      <c r="BO146" s="589"/>
      <c r="BP146" s="584"/>
      <c r="BQ146" s="589"/>
      <c r="BR146" s="584"/>
      <c r="BS146" s="589"/>
      <c r="BT146" s="584"/>
      <c r="BU146" s="589"/>
      <c r="BV146" s="584"/>
      <c r="BW146" s="589"/>
      <c r="BX146" s="584"/>
      <c r="BY146" s="589"/>
      <c r="BZ146" s="584"/>
      <c r="CA146" s="589"/>
      <c r="CB146" s="584"/>
      <c r="CC146" s="589"/>
      <c r="CD146" s="584"/>
      <c r="CE146" s="589"/>
      <c r="CF146" s="584"/>
      <c r="CG146" s="589"/>
      <c r="CH146" s="584"/>
      <c r="CI146" s="589"/>
      <c r="CJ146" s="584">
        <f t="shared" ref="CJ146:CO146" si="60">CJ155+CJ163</f>
        <v>39337</v>
      </c>
      <c r="CK146" s="589">
        <f t="shared" si="60"/>
        <v>705657850.12999976</v>
      </c>
      <c r="CL146" s="584">
        <f t="shared" si="60"/>
        <v>35769</v>
      </c>
      <c r="CM146" s="589">
        <f t="shared" si="60"/>
        <v>733833917.02999997</v>
      </c>
      <c r="CN146" s="584">
        <f t="shared" si="60"/>
        <v>32411</v>
      </c>
      <c r="CO146" s="589">
        <f t="shared" si="60"/>
        <v>620035131.44999993</v>
      </c>
    </row>
    <row r="147" spans="1:101" outlineLevel="1" x14ac:dyDescent="0.2">
      <c r="A147" s="590"/>
      <c r="B147" s="567"/>
      <c r="C147" s="572"/>
      <c r="D147" s="567"/>
      <c r="E147" s="572"/>
      <c r="F147" s="567"/>
      <c r="G147" s="572"/>
      <c r="H147" s="567"/>
      <c r="I147" s="572"/>
      <c r="J147" s="567"/>
      <c r="K147" s="572"/>
      <c r="L147" s="567"/>
      <c r="M147" s="572"/>
      <c r="N147" s="567"/>
      <c r="O147" s="572"/>
      <c r="P147" s="567"/>
      <c r="Q147" s="572"/>
      <c r="R147" s="567"/>
      <c r="S147" s="572"/>
      <c r="T147" s="567"/>
      <c r="U147" s="572"/>
      <c r="V147" s="567"/>
      <c r="W147" s="572"/>
      <c r="X147" s="567"/>
      <c r="Y147" s="572"/>
      <c r="Z147" s="567"/>
      <c r="AA147" s="572"/>
      <c r="AB147" s="567"/>
      <c r="AC147" s="572"/>
      <c r="AD147" s="567"/>
      <c r="AE147" s="572"/>
      <c r="AF147" s="567"/>
      <c r="AG147" s="572"/>
      <c r="AH147" s="567"/>
      <c r="AI147" s="572"/>
      <c r="AJ147" s="567"/>
      <c r="AK147" s="572"/>
      <c r="AL147" s="567"/>
      <c r="AM147" s="572"/>
      <c r="AN147" s="567"/>
      <c r="AO147" s="572"/>
      <c r="AP147" s="567"/>
      <c r="AQ147" s="572"/>
      <c r="AR147" s="567"/>
      <c r="AS147" s="572"/>
      <c r="AT147" s="567"/>
      <c r="AU147" s="572"/>
      <c r="AV147" s="567"/>
      <c r="AW147" s="572"/>
      <c r="AX147" s="567"/>
      <c r="AY147" s="572"/>
      <c r="AZ147" s="567"/>
      <c r="BA147" s="572"/>
      <c r="BB147" s="567"/>
      <c r="BC147" s="572"/>
      <c r="BD147" s="567"/>
      <c r="BE147" s="572"/>
      <c r="BF147" s="567"/>
      <c r="BG147" s="572"/>
      <c r="BH147" s="567"/>
      <c r="BI147" s="572"/>
      <c r="BJ147" s="567"/>
      <c r="BK147" s="572"/>
      <c r="BL147" s="567"/>
      <c r="BM147" s="572"/>
      <c r="BN147" s="567"/>
      <c r="BO147" s="572"/>
      <c r="BP147" s="567"/>
      <c r="BQ147" s="572"/>
      <c r="BR147" s="567"/>
      <c r="BS147" s="572"/>
      <c r="BT147" s="567"/>
      <c r="BU147" s="572"/>
      <c r="BV147" s="567"/>
      <c r="BW147" s="572"/>
      <c r="BX147" s="567"/>
      <c r="BY147" s="572"/>
      <c r="BZ147" s="567"/>
      <c r="CA147" s="572"/>
      <c r="CB147" s="567"/>
      <c r="CC147" s="572"/>
      <c r="CD147" s="567"/>
      <c r="CE147" s="572"/>
      <c r="CF147" s="567"/>
      <c r="CG147" s="572"/>
      <c r="CH147" s="567"/>
      <c r="CI147" s="572"/>
      <c r="CJ147" s="567"/>
      <c r="CK147" s="572"/>
      <c r="CL147" s="567"/>
      <c r="CM147" s="572"/>
      <c r="CN147" s="567"/>
      <c r="CO147" s="572"/>
    </row>
    <row r="148" spans="1:101" outlineLevel="1" x14ac:dyDescent="0.2">
      <c r="A148" s="553" t="s">
        <v>535</v>
      </c>
      <c r="B148" s="554"/>
      <c r="C148" s="555"/>
      <c r="D148" s="554"/>
      <c r="E148" s="555"/>
      <c r="F148" s="554"/>
      <c r="G148" s="555"/>
      <c r="H148" s="554"/>
      <c r="I148" s="555"/>
      <c r="J148" s="554"/>
      <c r="K148" s="555"/>
      <c r="L148" s="554"/>
      <c r="M148" s="555"/>
      <c r="N148" s="554"/>
      <c r="O148" s="555"/>
      <c r="P148" s="554"/>
      <c r="Q148" s="555"/>
      <c r="R148" s="554"/>
      <c r="S148" s="555"/>
      <c r="T148" s="554"/>
      <c r="U148" s="555"/>
      <c r="V148" s="554"/>
      <c r="W148" s="555"/>
      <c r="X148" s="554"/>
      <c r="Y148" s="555"/>
      <c r="Z148" s="554"/>
      <c r="AA148" s="555"/>
      <c r="AB148" s="554"/>
      <c r="AC148" s="555"/>
      <c r="AD148" s="554"/>
      <c r="AE148" s="555"/>
      <c r="AF148" s="554"/>
      <c r="AG148" s="555"/>
      <c r="AH148" s="554"/>
      <c r="AI148" s="555"/>
      <c r="AJ148" s="554"/>
      <c r="AK148" s="555"/>
      <c r="AL148" s="554"/>
      <c r="AM148" s="555"/>
      <c r="AN148" s="554"/>
      <c r="AO148" s="555"/>
      <c r="AP148" s="554"/>
      <c r="AQ148" s="555"/>
      <c r="AR148" s="554"/>
      <c r="AS148" s="555"/>
      <c r="AT148" s="554"/>
      <c r="AU148" s="555"/>
      <c r="AV148" s="554"/>
      <c r="AW148" s="555"/>
      <c r="AX148" s="554"/>
      <c r="AY148" s="555"/>
      <c r="AZ148" s="554"/>
      <c r="BA148" s="555"/>
      <c r="BB148" s="554"/>
      <c r="BC148" s="555"/>
      <c r="BD148" s="554"/>
      <c r="BE148" s="555"/>
      <c r="BF148" s="554"/>
      <c r="BG148" s="555"/>
      <c r="BH148" s="554"/>
      <c r="BI148" s="555"/>
      <c r="BJ148" s="554"/>
      <c r="BK148" s="555"/>
      <c r="BL148" s="554"/>
      <c r="BM148" s="555"/>
      <c r="BN148" s="554"/>
      <c r="BO148" s="555"/>
      <c r="BP148" s="554"/>
      <c r="BQ148" s="555"/>
      <c r="BR148" s="554"/>
      <c r="BS148" s="555"/>
      <c r="BT148" s="554"/>
      <c r="BU148" s="555"/>
      <c r="BV148" s="554"/>
      <c r="BW148" s="555"/>
      <c r="BX148" s="554"/>
      <c r="BY148" s="555"/>
      <c r="BZ148" s="554"/>
      <c r="CA148" s="555"/>
      <c r="CB148" s="554"/>
      <c r="CC148" s="555"/>
      <c r="CD148" s="554"/>
      <c r="CE148" s="555"/>
      <c r="CF148" s="554"/>
      <c r="CG148" s="555"/>
      <c r="CH148" s="554"/>
      <c r="CI148" s="555"/>
      <c r="CJ148" s="554"/>
      <c r="CK148" s="555"/>
      <c r="CL148" s="554"/>
      <c r="CM148" s="555"/>
      <c r="CN148" s="554"/>
      <c r="CO148" s="555"/>
    </row>
    <row r="149" spans="1:101" outlineLevel="1" x14ac:dyDescent="0.2">
      <c r="A149" s="556" t="s">
        <v>5</v>
      </c>
      <c r="B149" s="557"/>
      <c r="C149" s="558"/>
      <c r="D149" s="557"/>
      <c r="E149" s="558"/>
      <c r="F149" s="557"/>
      <c r="G149" s="558"/>
      <c r="H149" s="557"/>
      <c r="I149" s="558"/>
      <c r="J149" s="557"/>
      <c r="K149" s="558"/>
      <c r="L149" s="557"/>
      <c r="M149" s="558"/>
      <c r="N149" s="557"/>
      <c r="O149" s="558"/>
      <c r="P149" s="557"/>
      <c r="Q149" s="558"/>
      <c r="R149" s="557"/>
      <c r="S149" s="558"/>
      <c r="T149" s="557"/>
      <c r="U149" s="558"/>
      <c r="V149" s="557"/>
      <c r="W149" s="558"/>
      <c r="X149" s="557"/>
      <c r="Y149" s="558"/>
      <c r="Z149" s="557"/>
      <c r="AA149" s="558"/>
      <c r="AB149" s="557"/>
      <c r="AC149" s="558"/>
      <c r="AD149" s="557"/>
      <c r="AE149" s="558"/>
      <c r="AF149" s="557"/>
      <c r="AG149" s="558"/>
      <c r="AH149" s="557"/>
      <c r="AI149" s="558"/>
      <c r="AJ149" s="557"/>
      <c r="AK149" s="558"/>
      <c r="AL149" s="557"/>
      <c r="AM149" s="558"/>
      <c r="AN149" s="557"/>
      <c r="AO149" s="558"/>
      <c r="AP149" s="557"/>
      <c r="AQ149" s="558"/>
      <c r="AR149" s="557"/>
      <c r="AS149" s="558"/>
      <c r="AT149" s="557"/>
      <c r="AU149" s="558"/>
      <c r="AV149" s="557"/>
      <c r="AW149" s="558"/>
      <c r="AX149" s="557"/>
      <c r="AY149" s="558"/>
      <c r="AZ149" s="557"/>
      <c r="BA149" s="558"/>
      <c r="BB149" s="557"/>
      <c r="BC149" s="558"/>
      <c r="BD149" s="557"/>
      <c r="BE149" s="558"/>
      <c r="BF149" s="557"/>
      <c r="BG149" s="558"/>
      <c r="BH149" s="557"/>
      <c r="BI149" s="558"/>
      <c r="BJ149" s="557"/>
      <c r="BK149" s="558"/>
      <c r="BL149" s="557"/>
      <c r="BM149" s="558"/>
      <c r="BN149" s="557"/>
      <c r="BO149" s="558"/>
      <c r="BP149" s="557"/>
      <c r="BQ149" s="558"/>
      <c r="BR149" s="557"/>
      <c r="BS149" s="558"/>
      <c r="BT149" s="557"/>
      <c r="BU149" s="558"/>
      <c r="BV149" s="557"/>
      <c r="BW149" s="558"/>
      <c r="BX149" s="557"/>
      <c r="BY149" s="558"/>
      <c r="BZ149" s="557"/>
      <c r="CA149" s="558"/>
      <c r="CB149" s="557"/>
      <c r="CC149" s="558"/>
      <c r="CD149" s="557"/>
      <c r="CE149" s="558"/>
      <c r="CF149" s="557"/>
      <c r="CG149" s="558"/>
      <c r="CH149" s="557"/>
      <c r="CI149" s="558"/>
      <c r="CJ149" s="557"/>
      <c r="CK149" s="558"/>
      <c r="CL149" s="557"/>
      <c r="CM149" s="558"/>
      <c r="CN149" s="557"/>
      <c r="CO149" s="558"/>
    </row>
    <row r="150" spans="1:101" outlineLevel="1" x14ac:dyDescent="0.2">
      <c r="A150" s="561" t="s">
        <v>521</v>
      </c>
      <c r="B150" s="562"/>
      <c r="C150" s="563"/>
      <c r="D150" s="562"/>
      <c r="E150" s="563"/>
      <c r="F150" s="562"/>
      <c r="G150" s="563"/>
      <c r="H150" s="562"/>
      <c r="I150" s="563"/>
      <c r="J150" s="562"/>
      <c r="K150" s="563"/>
      <c r="L150" s="562"/>
      <c r="M150" s="563"/>
      <c r="N150" s="562"/>
      <c r="O150" s="563"/>
      <c r="P150" s="562"/>
      <c r="Q150" s="563"/>
      <c r="R150" s="562"/>
      <c r="S150" s="563"/>
      <c r="T150" s="562"/>
      <c r="U150" s="563"/>
      <c r="V150" s="562"/>
      <c r="W150" s="563"/>
      <c r="X150" s="562"/>
      <c r="Y150" s="563"/>
      <c r="Z150" s="562"/>
      <c r="AA150" s="563"/>
      <c r="AB150" s="562"/>
      <c r="AC150" s="563"/>
      <c r="AD150" s="562"/>
      <c r="AE150" s="563"/>
      <c r="AF150" s="562"/>
      <c r="AG150" s="563"/>
      <c r="AH150" s="562"/>
      <c r="AI150" s="563"/>
      <c r="AJ150" s="562"/>
      <c r="AK150" s="563"/>
      <c r="AL150" s="562"/>
      <c r="AM150" s="563"/>
      <c r="AN150" s="562"/>
      <c r="AO150" s="563"/>
      <c r="AP150" s="562"/>
      <c r="AQ150" s="563"/>
      <c r="AR150" s="562"/>
      <c r="AS150" s="563"/>
      <c r="AT150" s="562"/>
      <c r="AU150" s="563"/>
      <c r="AV150" s="562"/>
      <c r="AW150" s="563"/>
      <c r="AX150" s="562"/>
      <c r="AY150" s="563"/>
      <c r="AZ150" s="562"/>
      <c r="BA150" s="563"/>
      <c r="BB150" s="562"/>
      <c r="BC150" s="563"/>
      <c r="BD150" s="562"/>
      <c r="BE150" s="563"/>
      <c r="BF150" s="562"/>
      <c r="BG150" s="563"/>
      <c r="BH150" s="562"/>
      <c r="BI150" s="563"/>
      <c r="BJ150" s="562"/>
      <c r="BK150" s="563"/>
      <c r="BL150" s="562"/>
      <c r="BM150" s="563"/>
      <c r="BN150" s="562"/>
      <c r="BO150" s="563"/>
      <c r="BP150" s="562"/>
      <c r="BQ150" s="563"/>
      <c r="BR150" s="562"/>
      <c r="BS150" s="563"/>
      <c r="BT150" s="562"/>
      <c r="BU150" s="563"/>
      <c r="BV150" s="593"/>
      <c r="BW150" s="594"/>
      <c r="BX150" s="593"/>
      <c r="BY150" s="594"/>
      <c r="BZ150" s="593"/>
      <c r="CA150" s="594"/>
      <c r="CB150" s="593"/>
      <c r="CC150" s="594"/>
      <c r="CD150" s="593"/>
      <c r="CE150" s="594"/>
      <c r="CF150" s="593"/>
      <c r="CG150" s="594"/>
      <c r="CH150" s="593"/>
      <c r="CI150" s="594"/>
      <c r="CJ150" s="593">
        <v>18939</v>
      </c>
      <c r="CK150" s="594">
        <v>351414519.02999997</v>
      </c>
      <c r="CL150" s="593">
        <v>15871</v>
      </c>
      <c r="CM150" s="594">
        <v>323525756.57999998</v>
      </c>
      <c r="CN150" s="593">
        <v>14430</v>
      </c>
      <c r="CO150" s="594">
        <v>276229169.02999997</v>
      </c>
      <c r="CV150" s="551">
        <v>14430</v>
      </c>
      <c r="CW150" s="551">
        <v>276229169.02999997</v>
      </c>
    </row>
    <row r="151" spans="1:101" outlineLevel="1" x14ac:dyDescent="0.2">
      <c r="A151" s="561" t="s">
        <v>522</v>
      </c>
      <c r="B151" s="562"/>
      <c r="C151" s="563"/>
      <c r="D151" s="562"/>
      <c r="E151" s="563"/>
      <c r="F151" s="562"/>
      <c r="G151" s="563"/>
      <c r="H151" s="562"/>
      <c r="I151" s="563"/>
      <c r="J151" s="562"/>
      <c r="K151" s="563"/>
      <c r="L151" s="562"/>
      <c r="M151" s="563"/>
      <c r="N151" s="562"/>
      <c r="O151" s="563"/>
      <c r="P151" s="562"/>
      <c r="Q151" s="563"/>
      <c r="R151" s="562"/>
      <c r="S151" s="563"/>
      <c r="T151" s="562"/>
      <c r="U151" s="563"/>
      <c r="V151" s="562"/>
      <c r="W151" s="563"/>
      <c r="X151" s="562"/>
      <c r="Y151" s="563"/>
      <c r="Z151" s="562"/>
      <c r="AA151" s="563"/>
      <c r="AB151" s="562"/>
      <c r="AC151" s="563"/>
      <c r="AD151" s="562"/>
      <c r="AE151" s="563"/>
      <c r="AF151" s="562"/>
      <c r="AG151" s="563"/>
      <c r="AH151" s="562"/>
      <c r="AI151" s="563"/>
      <c r="AJ151" s="562"/>
      <c r="AK151" s="563"/>
      <c r="AL151" s="562"/>
      <c r="AM151" s="563"/>
      <c r="AN151" s="562"/>
      <c r="AO151" s="563"/>
      <c r="AP151" s="562"/>
      <c r="AQ151" s="563"/>
      <c r="AR151" s="562"/>
      <c r="AS151" s="563"/>
      <c r="AT151" s="562"/>
      <c r="AU151" s="563"/>
      <c r="AV151" s="562"/>
      <c r="AW151" s="563"/>
      <c r="AX151" s="562"/>
      <c r="AY151" s="563"/>
      <c r="AZ151" s="562"/>
      <c r="BA151" s="563"/>
      <c r="BB151" s="562"/>
      <c r="BC151" s="563"/>
      <c r="BD151" s="562"/>
      <c r="BE151" s="563"/>
      <c r="BF151" s="562"/>
      <c r="BG151" s="563"/>
      <c r="BH151" s="562"/>
      <c r="BI151" s="563"/>
      <c r="BJ151" s="562"/>
      <c r="BK151" s="563"/>
      <c r="BL151" s="562"/>
      <c r="BM151" s="563"/>
      <c r="BN151" s="562"/>
      <c r="BO151" s="563"/>
      <c r="BP151" s="562"/>
      <c r="BQ151" s="563"/>
      <c r="BR151" s="562"/>
      <c r="BS151" s="563"/>
      <c r="BT151" s="562"/>
      <c r="BU151" s="563"/>
      <c r="BV151" s="593"/>
      <c r="BW151" s="594"/>
      <c r="BX151" s="593"/>
      <c r="BY151" s="594"/>
      <c r="BZ151" s="593"/>
      <c r="CA151" s="594"/>
      <c r="CB151" s="593"/>
      <c r="CC151" s="594"/>
      <c r="CD151" s="593"/>
      <c r="CE151" s="594"/>
      <c r="CF151" s="593"/>
      <c r="CG151" s="594"/>
      <c r="CH151" s="593"/>
      <c r="CI151" s="594"/>
      <c r="CJ151" s="593">
        <v>8133</v>
      </c>
      <c r="CK151" s="594">
        <v>141534709.08999985</v>
      </c>
      <c r="CL151" s="593">
        <v>9009</v>
      </c>
      <c r="CM151" s="594">
        <v>188908806.30000004</v>
      </c>
      <c r="CN151" s="593">
        <v>5282</v>
      </c>
      <c r="CO151" s="594">
        <v>114300284.03999999</v>
      </c>
      <c r="CV151" s="551">
        <v>5282</v>
      </c>
      <c r="CW151" s="551">
        <v>114300284.03999999</v>
      </c>
    </row>
    <row r="152" spans="1:101" outlineLevel="1" x14ac:dyDescent="0.2">
      <c r="A152" s="561" t="s">
        <v>523</v>
      </c>
      <c r="B152" s="562"/>
      <c r="C152" s="563"/>
      <c r="D152" s="562"/>
      <c r="E152" s="563"/>
      <c r="F152" s="562"/>
      <c r="G152" s="563"/>
      <c r="H152" s="562"/>
      <c r="I152" s="563"/>
      <c r="J152" s="562"/>
      <c r="K152" s="563"/>
      <c r="L152" s="562"/>
      <c r="M152" s="563"/>
      <c r="N152" s="562"/>
      <c r="O152" s="563"/>
      <c r="P152" s="562"/>
      <c r="Q152" s="563"/>
      <c r="R152" s="562"/>
      <c r="S152" s="563"/>
      <c r="T152" s="562"/>
      <c r="U152" s="563"/>
      <c r="V152" s="562"/>
      <c r="W152" s="563"/>
      <c r="X152" s="562"/>
      <c r="Y152" s="563"/>
      <c r="Z152" s="562"/>
      <c r="AA152" s="563"/>
      <c r="AB152" s="562"/>
      <c r="AC152" s="563"/>
      <c r="AD152" s="562"/>
      <c r="AE152" s="563"/>
      <c r="AF152" s="562"/>
      <c r="AG152" s="563"/>
      <c r="AH152" s="562"/>
      <c r="AI152" s="563"/>
      <c r="AJ152" s="562"/>
      <c r="AK152" s="563"/>
      <c r="AL152" s="562"/>
      <c r="AM152" s="563"/>
      <c r="AN152" s="562"/>
      <c r="AO152" s="563"/>
      <c r="AP152" s="562"/>
      <c r="AQ152" s="563"/>
      <c r="AR152" s="562"/>
      <c r="AS152" s="563"/>
      <c r="AT152" s="562"/>
      <c r="AU152" s="563"/>
      <c r="AV152" s="562"/>
      <c r="AW152" s="563"/>
      <c r="AX152" s="562"/>
      <c r="AY152" s="563"/>
      <c r="AZ152" s="562"/>
      <c r="BA152" s="563"/>
      <c r="BB152" s="562"/>
      <c r="BC152" s="563"/>
      <c r="BD152" s="562"/>
      <c r="BE152" s="563"/>
      <c r="BF152" s="562"/>
      <c r="BG152" s="563"/>
      <c r="BH152" s="562"/>
      <c r="BI152" s="563"/>
      <c r="BJ152" s="562"/>
      <c r="BK152" s="563"/>
      <c r="BL152" s="562"/>
      <c r="BM152" s="563"/>
      <c r="BN152" s="562"/>
      <c r="BO152" s="563"/>
      <c r="BP152" s="562"/>
      <c r="BQ152" s="563"/>
      <c r="BR152" s="562"/>
      <c r="BS152" s="563"/>
      <c r="BT152" s="562"/>
      <c r="BU152" s="563"/>
      <c r="BV152" s="593"/>
      <c r="BW152" s="594"/>
      <c r="BX152" s="593"/>
      <c r="BY152" s="594"/>
      <c r="BZ152" s="593"/>
      <c r="CA152" s="594"/>
      <c r="CB152" s="593"/>
      <c r="CC152" s="594"/>
      <c r="CD152" s="593"/>
      <c r="CE152" s="594"/>
      <c r="CF152" s="593"/>
      <c r="CG152" s="594"/>
      <c r="CH152" s="593"/>
      <c r="CI152" s="594"/>
      <c r="CJ152" s="593">
        <v>5107</v>
      </c>
      <c r="CK152" s="594">
        <v>88141810.099999994</v>
      </c>
      <c r="CL152" s="593">
        <v>6843</v>
      </c>
      <c r="CM152" s="594">
        <v>133569663.61999999</v>
      </c>
      <c r="CN152" s="593">
        <v>8256</v>
      </c>
      <c r="CO152" s="594">
        <v>142766146.45000002</v>
      </c>
      <c r="CV152" s="551">
        <v>8256</v>
      </c>
      <c r="CW152" s="551">
        <v>142766146.45000002</v>
      </c>
    </row>
    <row r="153" spans="1:101" outlineLevel="1" x14ac:dyDescent="0.2">
      <c r="A153" s="561" t="s">
        <v>524</v>
      </c>
      <c r="B153" s="562"/>
      <c r="C153" s="563"/>
      <c r="D153" s="562"/>
      <c r="E153" s="563"/>
      <c r="F153" s="562"/>
      <c r="G153" s="563"/>
      <c r="H153" s="562"/>
      <c r="I153" s="563"/>
      <c r="J153" s="562"/>
      <c r="K153" s="563"/>
      <c r="L153" s="562"/>
      <c r="M153" s="563"/>
      <c r="N153" s="562"/>
      <c r="O153" s="563"/>
      <c r="P153" s="562"/>
      <c r="Q153" s="563"/>
      <c r="R153" s="562"/>
      <c r="S153" s="563"/>
      <c r="T153" s="562"/>
      <c r="U153" s="563"/>
      <c r="V153" s="562"/>
      <c r="W153" s="563"/>
      <c r="X153" s="562"/>
      <c r="Y153" s="563"/>
      <c r="Z153" s="562"/>
      <c r="AA153" s="563"/>
      <c r="AB153" s="562"/>
      <c r="AC153" s="563"/>
      <c r="AD153" s="562"/>
      <c r="AE153" s="563"/>
      <c r="AF153" s="562"/>
      <c r="AG153" s="563"/>
      <c r="AH153" s="562"/>
      <c r="AI153" s="563"/>
      <c r="AJ153" s="562"/>
      <c r="AK153" s="563"/>
      <c r="AL153" s="562"/>
      <c r="AM153" s="563"/>
      <c r="AN153" s="562"/>
      <c r="AO153" s="563"/>
      <c r="AP153" s="562"/>
      <c r="AQ153" s="563"/>
      <c r="AR153" s="562"/>
      <c r="AS153" s="563"/>
      <c r="AT153" s="562"/>
      <c r="AU153" s="563"/>
      <c r="AV153" s="562"/>
      <c r="AW153" s="563"/>
      <c r="AX153" s="562"/>
      <c r="AY153" s="563"/>
      <c r="AZ153" s="562"/>
      <c r="BA153" s="563"/>
      <c r="BB153" s="562"/>
      <c r="BC153" s="563"/>
      <c r="BD153" s="562"/>
      <c r="BE153" s="563"/>
      <c r="BF153" s="562"/>
      <c r="BG153" s="563"/>
      <c r="BH153" s="562"/>
      <c r="BI153" s="563"/>
      <c r="BJ153" s="562"/>
      <c r="BK153" s="563"/>
      <c r="BL153" s="562"/>
      <c r="BM153" s="563"/>
      <c r="BN153" s="562"/>
      <c r="BO153" s="563"/>
      <c r="BP153" s="562"/>
      <c r="BQ153" s="563"/>
      <c r="BR153" s="562"/>
      <c r="BS153" s="563"/>
      <c r="BT153" s="562"/>
      <c r="BU153" s="563"/>
      <c r="BV153" s="593"/>
      <c r="BW153" s="594"/>
      <c r="BX153" s="593"/>
      <c r="BY153" s="594"/>
      <c r="BZ153" s="593"/>
      <c r="CA153" s="594"/>
      <c r="CB153" s="593"/>
      <c r="CC153" s="594"/>
      <c r="CD153" s="593"/>
      <c r="CE153" s="594"/>
      <c r="CF153" s="593"/>
      <c r="CG153" s="594"/>
      <c r="CH153" s="593"/>
      <c r="CI153" s="594"/>
      <c r="CJ153" s="593">
        <v>2770</v>
      </c>
      <c r="CK153" s="594">
        <v>47863578.299999997</v>
      </c>
      <c r="CL153" s="593">
        <v>986</v>
      </c>
      <c r="CM153" s="594">
        <v>22340965.400000002</v>
      </c>
      <c r="CN153" s="593">
        <v>1839</v>
      </c>
      <c r="CO153" s="594">
        <v>31918523.559999987</v>
      </c>
      <c r="CV153" s="551">
        <v>1839</v>
      </c>
      <c r="CW153" s="551">
        <v>31918523.559999987</v>
      </c>
    </row>
    <row r="154" spans="1:101" outlineLevel="1" x14ac:dyDescent="0.2">
      <c r="A154" s="561" t="s">
        <v>525</v>
      </c>
      <c r="B154" s="562"/>
      <c r="C154" s="563"/>
      <c r="D154" s="562"/>
      <c r="E154" s="563"/>
      <c r="F154" s="562"/>
      <c r="G154" s="563"/>
      <c r="H154" s="562"/>
      <c r="I154" s="563"/>
      <c r="J154" s="562"/>
      <c r="K154" s="563"/>
      <c r="L154" s="562"/>
      <c r="M154" s="563"/>
      <c r="N154" s="562"/>
      <c r="O154" s="563"/>
      <c r="P154" s="562"/>
      <c r="Q154" s="563"/>
      <c r="R154" s="562"/>
      <c r="S154" s="563"/>
      <c r="T154" s="562"/>
      <c r="U154" s="563"/>
      <c r="V154" s="562"/>
      <c r="W154" s="563"/>
      <c r="X154" s="562"/>
      <c r="Y154" s="563"/>
      <c r="Z154" s="562"/>
      <c r="AA154" s="563"/>
      <c r="AB154" s="562"/>
      <c r="AC154" s="563"/>
      <c r="AD154" s="562"/>
      <c r="AE154" s="563"/>
      <c r="AF154" s="562"/>
      <c r="AG154" s="563"/>
      <c r="AH154" s="562"/>
      <c r="AI154" s="563"/>
      <c r="AJ154" s="562"/>
      <c r="AK154" s="563"/>
      <c r="AL154" s="562"/>
      <c r="AM154" s="563"/>
      <c r="AN154" s="562"/>
      <c r="AO154" s="563"/>
      <c r="AP154" s="562"/>
      <c r="AQ154" s="563"/>
      <c r="AR154" s="562"/>
      <c r="AS154" s="563"/>
      <c r="AT154" s="562"/>
      <c r="AU154" s="563"/>
      <c r="AV154" s="562"/>
      <c r="AW154" s="563"/>
      <c r="AX154" s="562"/>
      <c r="AY154" s="563"/>
      <c r="AZ154" s="562"/>
      <c r="BA154" s="563"/>
      <c r="BB154" s="562"/>
      <c r="BC154" s="563"/>
      <c r="BD154" s="562"/>
      <c r="BE154" s="563"/>
      <c r="BF154" s="562"/>
      <c r="BG154" s="563"/>
      <c r="BH154" s="562"/>
      <c r="BI154" s="563"/>
      <c r="BJ154" s="562"/>
      <c r="BK154" s="563"/>
      <c r="BL154" s="562"/>
      <c r="BM154" s="563"/>
      <c r="BN154" s="562"/>
      <c r="BO154" s="563"/>
      <c r="BP154" s="562"/>
      <c r="BQ154" s="563"/>
      <c r="BR154" s="562"/>
      <c r="BS154" s="563"/>
      <c r="BT154" s="562"/>
      <c r="BU154" s="563"/>
      <c r="BV154" s="593"/>
      <c r="BW154" s="594"/>
      <c r="BX154" s="593"/>
      <c r="BY154" s="594"/>
      <c r="BZ154" s="593"/>
      <c r="CA154" s="594"/>
      <c r="CB154" s="593"/>
      <c r="CC154" s="594"/>
      <c r="CD154" s="593"/>
      <c r="CE154" s="594"/>
      <c r="CF154" s="593"/>
      <c r="CG154" s="594"/>
      <c r="CH154" s="593"/>
      <c r="CI154" s="594"/>
      <c r="CJ154" s="593">
        <v>1856</v>
      </c>
      <c r="CK154" s="594">
        <v>32032726.409999996</v>
      </c>
      <c r="CL154" s="593">
        <v>1068</v>
      </c>
      <c r="CM154" s="594">
        <v>24998189.649999999</v>
      </c>
      <c r="CN154" s="593">
        <v>679</v>
      </c>
      <c r="CO154" s="594">
        <v>16053117.33</v>
      </c>
      <c r="CV154" s="551">
        <v>679</v>
      </c>
      <c r="CW154" s="551">
        <v>16053117.33</v>
      </c>
    </row>
    <row r="155" spans="1:101" outlineLevel="1" x14ac:dyDescent="0.2">
      <c r="A155" s="561"/>
      <c r="B155" s="567"/>
      <c r="C155" s="568"/>
      <c r="D155" s="567"/>
      <c r="E155" s="568"/>
      <c r="F155" s="567"/>
      <c r="G155" s="568"/>
      <c r="H155" s="567"/>
      <c r="I155" s="568"/>
      <c r="J155" s="567"/>
      <c r="K155" s="568"/>
      <c r="L155" s="567"/>
      <c r="M155" s="568"/>
      <c r="N155" s="567"/>
      <c r="O155" s="568"/>
      <c r="P155" s="567"/>
      <c r="Q155" s="568"/>
      <c r="R155" s="567"/>
      <c r="S155" s="568"/>
      <c r="T155" s="567"/>
      <c r="U155" s="568"/>
      <c r="V155" s="567"/>
      <c r="W155" s="568"/>
      <c r="X155" s="567"/>
      <c r="Y155" s="568"/>
      <c r="Z155" s="567"/>
      <c r="AA155" s="568"/>
      <c r="AB155" s="567"/>
      <c r="AC155" s="568"/>
      <c r="AD155" s="567"/>
      <c r="AE155" s="568"/>
      <c r="AF155" s="567"/>
      <c r="AG155" s="568"/>
      <c r="AH155" s="567"/>
      <c r="AI155" s="568"/>
      <c r="AJ155" s="567"/>
      <c r="AK155" s="568"/>
      <c r="AL155" s="567"/>
      <c r="AM155" s="568"/>
      <c r="AN155" s="567"/>
      <c r="AO155" s="568"/>
      <c r="AP155" s="567"/>
      <c r="AQ155" s="568"/>
      <c r="AR155" s="567"/>
      <c r="AS155" s="568"/>
      <c r="AT155" s="567"/>
      <c r="AU155" s="568"/>
      <c r="AV155" s="567"/>
      <c r="AW155" s="568"/>
      <c r="AX155" s="567"/>
      <c r="AY155" s="568"/>
      <c r="AZ155" s="567"/>
      <c r="BA155" s="568"/>
      <c r="BB155" s="567"/>
      <c r="BC155" s="568"/>
      <c r="BD155" s="567"/>
      <c r="BE155" s="568"/>
      <c r="BF155" s="567"/>
      <c r="BG155" s="568"/>
      <c r="BH155" s="567"/>
      <c r="BI155" s="568"/>
      <c r="BJ155" s="567"/>
      <c r="BK155" s="568"/>
      <c r="BL155" s="567"/>
      <c r="BM155" s="568"/>
      <c r="BN155" s="567"/>
      <c r="BO155" s="568"/>
      <c r="BP155" s="567"/>
      <c r="BQ155" s="568"/>
      <c r="BR155" s="567"/>
      <c r="BS155" s="568"/>
      <c r="BT155" s="567"/>
      <c r="BU155" s="568"/>
      <c r="BV155" s="567"/>
      <c r="BW155" s="568"/>
      <c r="BX155" s="567"/>
      <c r="BY155" s="568"/>
      <c r="BZ155" s="567"/>
      <c r="CA155" s="568"/>
      <c r="CB155" s="567"/>
      <c r="CC155" s="568"/>
      <c r="CD155" s="567"/>
      <c r="CE155" s="568"/>
      <c r="CF155" s="567"/>
      <c r="CG155" s="568"/>
      <c r="CH155" s="567"/>
      <c r="CI155" s="568"/>
      <c r="CJ155" s="567">
        <f>SUM(CJ150:CJ154)</f>
        <v>36805</v>
      </c>
      <c r="CK155" s="568">
        <f t="shared" ref="CK155:CM155" si="61">SUM(CK150:CK154)</f>
        <v>660987342.92999971</v>
      </c>
      <c r="CL155" s="567">
        <f>SUM(CL150:CL154)</f>
        <v>33777</v>
      </c>
      <c r="CM155" s="568">
        <f t="shared" si="61"/>
        <v>693343381.54999995</v>
      </c>
      <c r="CN155" s="567">
        <f>SUM(CN150:CN154)</f>
        <v>30486</v>
      </c>
      <c r="CO155" s="568">
        <f t="shared" ref="CO155" si="62">SUM(CO150:CO154)</f>
        <v>581267240.40999997</v>
      </c>
    </row>
    <row r="156" spans="1:101" outlineLevel="1" x14ac:dyDescent="0.2">
      <c r="A156" s="561"/>
      <c r="B156" s="567"/>
      <c r="C156" s="572"/>
      <c r="D156" s="567"/>
      <c r="E156" s="572"/>
      <c r="F156" s="567"/>
      <c r="G156" s="572"/>
      <c r="H156" s="567"/>
      <c r="I156" s="572"/>
      <c r="J156" s="567"/>
      <c r="K156" s="572"/>
      <c r="L156" s="567"/>
      <c r="M156" s="572"/>
      <c r="N156" s="567"/>
      <c r="O156" s="572"/>
      <c r="P156" s="567"/>
      <c r="Q156" s="572"/>
      <c r="R156" s="567"/>
      <c r="S156" s="572"/>
      <c r="T156" s="567"/>
      <c r="U156" s="572"/>
      <c r="V156" s="567"/>
      <c r="W156" s="572"/>
      <c r="X156" s="567"/>
      <c r="Y156" s="572"/>
      <c r="Z156" s="567"/>
      <c r="AA156" s="572"/>
      <c r="AB156" s="567"/>
      <c r="AC156" s="572"/>
      <c r="AD156" s="567"/>
      <c r="AE156" s="572"/>
      <c r="AF156" s="567"/>
      <c r="AG156" s="572"/>
      <c r="AH156" s="567"/>
      <c r="AI156" s="572"/>
      <c r="AJ156" s="567"/>
      <c r="AK156" s="572"/>
      <c r="AL156" s="567"/>
      <c r="AM156" s="572"/>
      <c r="AN156" s="567"/>
      <c r="AO156" s="572"/>
      <c r="AP156" s="567"/>
      <c r="AQ156" s="572"/>
      <c r="AR156" s="567"/>
      <c r="AS156" s="572"/>
      <c r="AT156" s="567"/>
      <c r="AU156" s="572"/>
      <c r="AV156" s="567"/>
      <c r="AW156" s="572"/>
      <c r="AX156" s="567"/>
      <c r="AY156" s="572"/>
      <c r="AZ156" s="567"/>
      <c r="BA156" s="572"/>
      <c r="BB156" s="567"/>
      <c r="BC156" s="572"/>
      <c r="BD156" s="567"/>
      <c r="BE156" s="572"/>
      <c r="BF156" s="567"/>
      <c r="BG156" s="572"/>
      <c r="BH156" s="567"/>
      <c r="BI156" s="572"/>
      <c r="BJ156" s="567"/>
      <c r="BK156" s="572"/>
      <c r="BL156" s="567"/>
      <c r="BM156" s="572"/>
      <c r="BN156" s="567"/>
      <c r="BO156" s="572"/>
      <c r="BP156" s="567"/>
      <c r="BQ156" s="572"/>
      <c r="BR156" s="567"/>
      <c r="BS156" s="572"/>
      <c r="BT156" s="567"/>
      <c r="BU156" s="572"/>
      <c r="BV156" s="567"/>
      <c r="BW156" s="572"/>
      <c r="BX156" s="567"/>
      <c r="BY156" s="572"/>
      <c r="BZ156" s="567"/>
      <c r="CA156" s="572"/>
      <c r="CB156" s="567"/>
      <c r="CC156" s="572"/>
      <c r="CD156" s="567"/>
      <c r="CE156" s="572"/>
      <c r="CF156" s="567"/>
      <c r="CG156" s="572"/>
      <c r="CH156" s="567"/>
      <c r="CI156" s="572"/>
      <c r="CJ156" s="567"/>
      <c r="CK156" s="572"/>
      <c r="CL156" s="567"/>
      <c r="CM156" s="572"/>
      <c r="CN156" s="567"/>
      <c r="CO156" s="572"/>
    </row>
    <row r="157" spans="1:101" outlineLevel="1" x14ac:dyDescent="0.2">
      <c r="A157" s="596" t="s">
        <v>536</v>
      </c>
      <c r="B157" s="567"/>
      <c r="C157" s="572"/>
      <c r="D157" s="567"/>
      <c r="E157" s="572"/>
      <c r="F157" s="567"/>
      <c r="G157" s="572"/>
      <c r="H157" s="567"/>
      <c r="I157" s="572"/>
      <c r="J157" s="567"/>
      <c r="K157" s="572"/>
      <c r="L157" s="567"/>
      <c r="M157" s="572"/>
      <c r="N157" s="567"/>
      <c r="O157" s="572"/>
      <c r="P157" s="567"/>
      <c r="Q157" s="572"/>
      <c r="R157" s="567"/>
      <c r="S157" s="572"/>
      <c r="T157" s="567"/>
      <c r="U157" s="572"/>
      <c r="V157" s="567"/>
      <c r="W157" s="572"/>
      <c r="X157" s="567"/>
      <c r="Y157" s="572"/>
      <c r="Z157" s="567"/>
      <c r="AA157" s="572"/>
      <c r="AB157" s="567"/>
      <c r="AC157" s="572"/>
      <c r="AD157" s="567"/>
      <c r="AE157" s="572"/>
      <c r="AF157" s="567"/>
      <c r="AG157" s="572"/>
      <c r="AH157" s="567"/>
      <c r="AI157" s="572"/>
      <c r="AJ157" s="567"/>
      <c r="AK157" s="572"/>
      <c r="AL157" s="567"/>
      <c r="AM157" s="572"/>
      <c r="AN157" s="567"/>
      <c r="AO157" s="572"/>
      <c r="AP157" s="567"/>
      <c r="AQ157" s="572"/>
      <c r="AR157" s="567"/>
      <c r="AS157" s="572"/>
      <c r="AT157" s="567"/>
      <c r="AU157" s="572"/>
      <c r="AV157" s="567"/>
      <c r="AW157" s="572"/>
      <c r="AX157" s="567"/>
      <c r="AY157" s="572"/>
      <c r="AZ157" s="567"/>
      <c r="BA157" s="572"/>
      <c r="BB157" s="567"/>
      <c r="BC157" s="572"/>
      <c r="BD157" s="567"/>
      <c r="BE157" s="572"/>
      <c r="BF157" s="567"/>
      <c r="BG157" s="572"/>
      <c r="BH157" s="567"/>
      <c r="BI157" s="572"/>
      <c r="BJ157" s="567"/>
      <c r="BK157" s="572"/>
      <c r="BL157" s="567"/>
      <c r="BM157" s="572"/>
      <c r="BN157" s="567"/>
      <c r="BO157" s="572"/>
      <c r="BP157" s="567"/>
      <c r="BQ157" s="572"/>
      <c r="BR157" s="567"/>
      <c r="BS157" s="572"/>
      <c r="BT157" s="567"/>
      <c r="BU157" s="572"/>
      <c r="BV157" s="567"/>
      <c r="BW157" s="572"/>
      <c r="BX157" s="567"/>
      <c r="BY157" s="572"/>
      <c r="BZ157" s="567"/>
      <c r="CA157" s="572"/>
      <c r="CB157" s="567"/>
      <c r="CC157" s="572"/>
      <c r="CD157" s="567"/>
      <c r="CE157" s="572"/>
      <c r="CF157" s="567"/>
      <c r="CG157" s="572"/>
      <c r="CH157" s="567"/>
      <c r="CI157" s="572"/>
      <c r="CJ157" s="567"/>
      <c r="CK157" s="572"/>
      <c r="CL157" s="567"/>
      <c r="CM157" s="572"/>
      <c r="CN157" s="567"/>
      <c r="CO157" s="572"/>
    </row>
    <row r="158" spans="1:101" outlineLevel="1" x14ac:dyDescent="0.2">
      <c r="A158" s="561" t="s">
        <v>521</v>
      </c>
      <c r="B158" s="562"/>
      <c r="C158" s="563"/>
      <c r="D158" s="562"/>
      <c r="E158" s="563"/>
      <c r="F158" s="562"/>
      <c r="G158" s="563"/>
      <c r="H158" s="562"/>
      <c r="I158" s="563"/>
      <c r="J158" s="562"/>
      <c r="K158" s="563"/>
      <c r="L158" s="562"/>
      <c r="M158" s="563"/>
      <c r="N158" s="562"/>
      <c r="O158" s="563"/>
      <c r="P158" s="562"/>
      <c r="Q158" s="563"/>
      <c r="R158" s="562"/>
      <c r="S158" s="563"/>
      <c r="T158" s="562"/>
      <c r="U158" s="563"/>
      <c r="V158" s="562"/>
      <c r="W158" s="563"/>
      <c r="X158" s="562"/>
      <c r="Y158" s="563"/>
      <c r="Z158" s="562"/>
      <c r="AA158" s="563"/>
      <c r="AB158" s="562"/>
      <c r="AC158" s="563"/>
      <c r="AD158" s="562"/>
      <c r="AE158" s="563"/>
      <c r="AF158" s="562"/>
      <c r="AG158" s="563"/>
      <c r="AH158" s="562"/>
      <c r="AI158" s="563"/>
      <c r="AJ158" s="562"/>
      <c r="AK158" s="563"/>
      <c r="AL158" s="562"/>
      <c r="AM158" s="563"/>
      <c r="AN158" s="562"/>
      <c r="AO158" s="563"/>
      <c r="AP158" s="562"/>
      <c r="AQ158" s="563"/>
      <c r="AR158" s="562"/>
      <c r="AS158" s="563"/>
      <c r="AT158" s="562"/>
      <c r="AU158" s="563"/>
      <c r="AV158" s="562"/>
      <c r="AW158" s="563"/>
      <c r="AX158" s="562"/>
      <c r="AY158" s="563"/>
      <c r="AZ158" s="562"/>
      <c r="BA158" s="563"/>
      <c r="BB158" s="562"/>
      <c r="BC158" s="563"/>
      <c r="BD158" s="562"/>
      <c r="BE158" s="563"/>
      <c r="BF158" s="562"/>
      <c r="BG158" s="563"/>
      <c r="BH158" s="562"/>
      <c r="BI158" s="563"/>
      <c r="BJ158" s="562"/>
      <c r="BK158" s="563"/>
      <c r="BL158" s="562"/>
      <c r="BM158" s="563"/>
      <c r="BN158" s="562"/>
      <c r="BO158" s="563"/>
      <c r="BP158" s="562"/>
      <c r="BQ158" s="563"/>
      <c r="BR158" s="562"/>
      <c r="BS158" s="563"/>
      <c r="BT158" s="562"/>
      <c r="BU158" s="563"/>
      <c r="BV158" s="593"/>
      <c r="BW158" s="594"/>
      <c r="BX158" s="593"/>
      <c r="BY158" s="594"/>
      <c r="BZ158" s="593"/>
      <c r="CA158" s="594"/>
      <c r="CB158" s="593"/>
      <c r="CC158" s="594"/>
      <c r="CD158" s="593"/>
      <c r="CE158" s="594"/>
      <c r="CF158" s="593"/>
      <c r="CG158" s="594"/>
      <c r="CH158" s="593"/>
      <c r="CI158" s="594"/>
      <c r="CJ158" s="593">
        <v>465</v>
      </c>
      <c r="CK158" s="594">
        <v>8625192.4700000044</v>
      </c>
      <c r="CL158" s="593">
        <v>643</v>
      </c>
      <c r="CM158" s="594">
        <v>14319424.599999996</v>
      </c>
      <c r="CN158" s="593">
        <v>913</v>
      </c>
      <c r="CO158" s="594">
        <v>17711948.749999989</v>
      </c>
    </row>
    <row r="159" spans="1:101" outlineLevel="1" x14ac:dyDescent="0.2">
      <c r="A159" s="561" t="s">
        <v>522</v>
      </c>
      <c r="B159" s="562"/>
      <c r="C159" s="563"/>
      <c r="D159" s="562"/>
      <c r="E159" s="563"/>
      <c r="F159" s="562"/>
      <c r="G159" s="563"/>
      <c r="H159" s="562"/>
      <c r="I159" s="563"/>
      <c r="J159" s="562"/>
      <c r="K159" s="563"/>
      <c r="L159" s="562"/>
      <c r="M159" s="563"/>
      <c r="N159" s="562"/>
      <c r="O159" s="563"/>
      <c r="P159" s="562"/>
      <c r="Q159" s="563"/>
      <c r="R159" s="562"/>
      <c r="S159" s="563"/>
      <c r="T159" s="562"/>
      <c r="U159" s="563"/>
      <c r="V159" s="562"/>
      <c r="W159" s="563"/>
      <c r="X159" s="562"/>
      <c r="Y159" s="563"/>
      <c r="Z159" s="562"/>
      <c r="AA159" s="563"/>
      <c r="AB159" s="562"/>
      <c r="AC159" s="563"/>
      <c r="AD159" s="562"/>
      <c r="AE159" s="563"/>
      <c r="AF159" s="562"/>
      <c r="AG159" s="563"/>
      <c r="AH159" s="562"/>
      <c r="AI159" s="563"/>
      <c r="AJ159" s="562"/>
      <c r="AK159" s="563"/>
      <c r="AL159" s="562"/>
      <c r="AM159" s="563"/>
      <c r="AN159" s="562"/>
      <c r="AO159" s="563"/>
      <c r="AP159" s="562"/>
      <c r="AQ159" s="563"/>
      <c r="AR159" s="562"/>
      <c r="AS159" s="563"/>
      <c r="AT159" s="562"/>
      <c r="AU159" s="563"/>
      <c r="AV159" s="562"/>
      <c r="AW159" s="563"/>
      <c r="AX159" s="562"/>
      <c r="AY159" s="563"/>
      <c r="AZ159" s="562"/>
      <c r="BA159" s="563"/>
      <c r="BB159" s="562"/>
      <c r="BC159" s="563"/>
      <c r="BD159" s="562"/>
      <c r="BE159" s="563"/>
      <c r="BF159" s="562"/>
      <c r="BG159" s="563"/>
      <c r="BH159" s="562"/>
      <c r="BI159" s="563"/>
      <c r="BJ159" s="562"/>
      <c r="BK159" s="563"/>
      <c r="BL159" s="562"/>
      <c r="BM159" s="563"/>
      <c r="BN159" s="562"/>
      <c r="BO159" s="563"/>
      <c r="BP159" s="562"/>
      <c r="BQ159" s="563"/>
      <c r="BR159" s="562"/>
      <c r="BS159" s="563"/>
      <c r="BT159" s="562"/>
      <c r="BU159" s="563"/>
      <c r="BV159" s="593"/>
      <c r="BW159" s="594"/>
      <c r="BX159" s="593"/>
      <c r="BY159" s="594"/>
      <c r="BZ159" s="593"/>
      <c r="CA159" s="594"/>
      <c r="CB159" s="593"/>
      <c r="CC159" s="594"/>
      <c r="CD159" s="593"/>
      <c r="CE159" s="594"/>
      <c r="CF159" s="593"/>
      <c r="CG159" s="594"/>
      <c r="CH159" s="593"/>
      <c r="CI159" s="594"/>
      <c r="CJ159" s="593">
        <v>258</v>
      </c>
      <c r="CK159" s="594">
        <v>4662128.330000001</v>
      </c>
      <c r="CL159" s="593">
        <v>318</v>
      </c>
      <c r="CM159" s="594">
        <v>5967203.6600000011</v>
      </c>
      <c r="CN159" s="593">
        <v>217</v>
      </c>
      <c r="CO159" s="594">
        <v>4395117.7499999981</v>
      </c>
    </row>
    <row r="160" spans="1:101" outlineLevel="1" x14ac:dyDescent="0.2">
      <c r="A160" s="561" t="s">
        <v>523</v>
      </c>
      <c r="B160" s="562"/>
      <c r="C160" s="563"/>
      <c r="D160" s="562"/>
      <c r="E160" s="563"/>
      <c r="F160" s="562"/>
      <c r="G160" s="563"/>
      <c r="H160" s="562"/>
      <c r="I160" s="563"/>
      <c r="J160" s="562"/>
      <c r="K160" s="563"/>
      <c r="L160" s="562"/>
      <c r="M160" s="563"/>
      <c r="N160" s="562"/>
      <c r="O160" s="563"/>
      <c r="P160" s="562"/>
      <c r="Q160" s="563"/>
      <c r="R160" s="562"/>
      <c r="S160" s="563"/>
      <c r="T160" s="562"/>
      <c r="U160" s="563"/>
      <c r="V160" s="562"/>
      <c r="W160" s="563"/>
      <c r="X160" s="562"/>
      <c r="Y160" s="563"/>
      <c r="Z160" s="562"/>
      <c r="AA160" s="563"/>
      <c r="AB160" s="562"/>
      <c r="AC160" s="563"/>
      <c r="AD160" s="562"/>
      <c r="AE160" s="563"/>
      <c r="AF160" s="562"/>
      <c r="AG160" s="563"/>
      <c r="AH160" s="562"/>
      <c r="AI160" s="563"/>
      <c r="AJ160" s="562"/>
      <c r="AK160" s="563"/>
      <c r="AL160" s="562"/>
      <c r="AM160" s="563"/>
      <c r="AN160" s="562"/>
      <c r="AO160" s="563"/>
      <c r="AP160" s="562"/>
      <c r="AQ160" s="563"/>
      <c r="AR160" s="562"/>
      <c r="AS160" s="563"/>
      <c r="AT160" s="562"/>
      <c r="AU160" s="563"/>
      <c r="AV160" s="562"/>
      <c r="AW160" s="563"/>
      <c r="AX160" s="562"/>
      <c r="AY160" s="563"/>
      <c r="AZ160" s="562"/>
      <c r="BA160" s="563"/>
      <c r="BB160" s="562"/>
      <c r="BC160" s="563"/>
      <c r="BD160" s="562"/>
      <c r="BE160" s="563"/>
      <c r="BF160" s="562"/>
      <c r="BG160" s="563"/>
      <c r="BH160" s="562"/>
      <c r="BI160" s="563"/>
      <c r="BJ160" s="562"/>
      <c r="BK160" s="563"/>
      <c r="BL160" s="562"/>
      <c r="BM160" s="563"/>
      <c r="BN160" s="562"/>
      <c r="BO160" s="563"/>
      <c r="BP160" s="562"/>
      <c r="BQ160" s="563"/>
      <c r="BR160" s="562"/>
      <c r="BS160" s="563"/>
      <c r="BT160" s="562"/>
      <c r="BU160" s="563"/>
      <c r="BV160" s="593"/>
      <c r="BW160" s="594"/>
      <c r="BX160" s="593"/>
      <c r="BY160" s="594"/>
      <c r="BZ160" s="593"/>
      <c r="CA160" s="594"/>
      <c r="CB160" s="593"/>
      <c r="CC160" s="594"/>
      <c r="CD160" s="593"/>
      <c r="CE160" s="594"/>
      <c r="CF160" s="593"/>
      <c r="CG160" s="594"/>
      <c r="CH160" s="593"/>
      <c r="CI160" s="594"/>
      <c r="CJ160" s="593">
        <v>424</v>
      </c>
      <c r="CK160" s="594">
        <v>8195699.6799999997</v>
      </c>
      <c r="CL160" s="593">
        <v>348</v>
      </c>
      <c r="CM160" s="594">
        <v>6718915.7300000004</v>
      </c>
      <c r="CN160" s="593">
        <v>333</v>
      </c>
      <c r="CO160" s="594">
        <v>6817785.0499999989</v>
      </c>
    </row>
    <row r="161" spans="1:101" outlineLevel="1" x14ac:dyDescent="0.2">
      <c r="A161" s="561" t="s">
        <v>524</v>
      </c>
      <c r="B161" s="562"/>
      <c r="C161" s="563"/>
      <c r="D161" s="562"/>
      <c r="E161" s="563"/>
      <c r="F161" s="562"/>
      <c r="G161" s="563"/>
      <c r="H161" s="562"/>
      <c r="I161" s="563"/>
      <c r="J161" s="562"/>
      <c r="K161" s="563"/>
      <c r="L161" s="562"/>
      <c r="M161" s="563"/>
      <c r="N161" s="562"/>
      <c r="O161" s="563"/>
      <c r="P161" s="562"/>
      <c r="Q161" s="563"/>
      <c r="R161" s="562"/>
      <c r="S161" s="563"/>
      <c r="T161" s="562"/>
      <c r="U161" s="563"/>
      <c r="V161" s="562"/>
      <c r="W161" s="563"/>
      <c r="X161" s="562"/>
      <c r="Y161" s="563"/>
      <c r="Z161" s="562"/>
      <c r="AA161" s="563"/>
      <c r="AB161" s="562"/>
      <c r="AC161" s="563"/>
      <c r="AD161" s="562"/>
      <c r="AE161" s="563"/>
      <c r="AF161" s="562"/>
      <c r="AG161" s="563"/>
      <c r="AH161" s="562"/>
      <c r="AI161" s="563"/>
      <c r="AJ161" s="562"/>
      <c r="AK161" s="563"/>
      <c r="AL161" s="562"/>
      <c r="AM161" s="563"/>
      <c r="AN161" s="562"/>
      <c r="AO161" s="563"/>
      <c r="AP161" s="562"/>
      <c r="AQ161" s="563"/>
      <c r="AR161" s="562"/>
      <c r="AS161" s="563"/>
      <c r="AT161" s="562"/>
      <c r="AU161" s="563"/>
      <c r="AV161" s="562"/>
      <c r="AW161" s="563"/>
      <c r="AX161" s="562"/>
      <c r="AY161" s="563"/>
      <c r="AZ161" s="562"/>
      <c r="BA161" s="563"/>
      <c r="BB161" s="562"/>
      <c r="BC161" s="563"/>
      <c r="BD161" s="562"/>
      <c r="BE161" s="563"/>
      <c r="BF161" s="562"/>
      <c r="BG161" s="563"/>
      <c r="BH161" s="562"/>
      <c r="BI161" s="563"/>
      <c r="BJ161" s="562"/>
      <c r="BK161" s="563"/>
      <c r="BL161" s="562"/>
      <c r="BM161" s="563"/>
      <c r="BN161" s="562"/>
      <c r="BO161" s="563"/>
      <c r="BP161" s="562"/>
      <c r="BQ161" s="563"/>
      <c r="BR161" s="562"/>
      <c r="BS161" s="563"/>
      <c r="BT161" s="562"/>
      <c r="BU161" s="563"/>
      <c r="BV161" s="593"/>
      <c r="BW161" s="594"/>
      <c r="BX161" s="593"/>
      <c r="BY161" s="594"/>
      <c r="BZ161" s="593"/>
      <c r="CA161" s="594"/>
      <c r="CB161" s="593"/>
      <c r="CC161" s="594"/>
      <c r="CD161" s="593"/>
      <c r="CE161" s="594"/>
      <c r="CF161" s="593"/>
      <c r="CG161" s="594"/>
      <c r="CH161" s="593"/>
      <c r="CI161" s="594"/>
      <c r="CJ161" s="593">
        <v>1011</v>
      </c>
      <c r="CK161" s="594">
        <v>13214174.670000006</v>
      </c>
      <c r="CL161" s="593">
        <v>197</v>
      </c>
      <c r="CM161" s="594">
        <v>3693610.42</v>
      </c>
      <c r="CN161" s="593">
        <v>172</v>
      </c>
      <c r="CO161" s="594">
        <v>3848105.12</v>
      </c>
    </row>
    <row r="162" spans="1:101" outlineLevel="1" x14ac:dyDescent="0.2">
      <c r="A162" s="561" t="s">
        <v>525</v>
      </c>
      <c r="B162" s="562"/>
      <c r="C162" s="563"/>
      <c r="D162" s="562"/>
      <c r="E162" s="563"/>
      <c r="F162" s="562"/>
      <c r="G162" s="563"/>
      <c r="H162" s="562"/>
      <c r="I162" s="563"/>
      <c r="J162" s="562"/>
      <c r="K162" s="563"/>
      <c r="L162" s="562"/>
      <c r="M162" s="563"/>
      <c r="N162" s="562"/>
      <c r="O162" s="563"/>
      <c r="P162" s="562"/>
      <c r="Q162" s="563"/>
      <c r="R162" s="562"/>
      <c r="S162" s="563"/>
      <c r="T162" s="562"/>
      <c r="U162" s="563"/>
      <c r="V162" s="562"/>
      <c r="W162" s="563"/>
      <c r="X162" s="562"/>
      <c r="Y162" s="563"/>
      <c r="Z162" s="562"/>
      <c r="AA162" s="563"/>
      <c r="AB162" s="562"/>
      <c r="AC162" s="563"/>
      <c r="AD162" s="562"/>
      <c r="AE162" s="563"/>
      <c r="AF162" s="562"/>
      <c r="AG162" s="563"/>
      <c r="AH162" s="562"/>
      <c r="AI162" s="563"/>
      <c r="AJ162" s="562"/>
      <c r="AK162" s="563"/>
      <c r="AL162" s="562"/>
      <c r="AM162" s="563"/>
      <c r="AN162" s="562"/>
      <c r="AO162" s="563"/>
      <c r="AP162" s="562"/>
      <c r="AQ162" s="563"/>
      <c r="AR162" s="562"/>
      <c r="AS162" s="563"/>
      <c r="AT162" s="562"/>
      <c r="AU162" s="563"/>
      <c r="AV162" s="562"/>
      <c r="AW162" s="563"/>
      <c r="AX162" s="562"/>
      <c r="AY162" s="563"/>
      <c r="AZ162" s="562"/>
      <c r="BA162" s="563"/>
      <c r="BB162" s="562"/>
      <c r="BC162" s="563"/>
      <c r="BD162" s="562"/>
      <c r="BE162" s="563"/>
      <c r="BF162" s="562"/>
      <c r="BG162" s="563"/>
      <c r="BH162" s="562"/>
      <c r="BI162" s="563"/>
      <c r="BJ162" s="562"/>
      <c r="BK162" s="563"/>
      <c r="BL162" s="562"/>
      <c r="BM162" s="563"/>
      <c r="BN162" s="562"/>
      <c r="BO162" s="563"/>
      <c r="BP162" s="562"/>
      <c r="BQ162" s="563"/>
      <c r="BR162" s="562"/>
      <c r="BS162" s="563"/>
      <c r="BT162" s="562"/>
      <c r="BU162" s="563"/>
      <c r="BV162" s="593"/>
      <c r="BW162" s="594"/>
      <c r="BX162" s="593"/>
      <c r="BY162" s="594"/>
      <c r="BZ162" s="593"/>
      <c r="CA162" s="594"/>
      <c r="CB162" s="593"/>
      <c r="CC162" s="594"/>
      <c r="CD162" s="593"/>
      <c r="CE162" s="594"/>
      <c r="CF162" s="593"/>
      <c r="CG162" s="594"/>
      <c r="CH162" s="593"/>
      <c r="CI162" s="594"/>
      <c r="CJ162" s="593">
        <v>374</v>
      </c>
      <c r="CK162" s="594">
        <v>9973312.0499999989</v>
      </c>
      <c r="CL162" s="593">
        <v>486</v>
      </c>
      <c r="CM162" s="594">
        <v>9791381.0699999984</v>
      </c>
      <c r="CN162" s="593">
        <v>290</v>
      </c>
      <c r="CO162" s="594">
        <v>5994934.3699999992</v>
      </c>
    </row>
    <row r="163" spans="1:101" outlineLevel="1" x14ac:dyDescent="0.2">
      <c r="A163" s="561"/>
      <c r="B163" s="567"/>
      <c r="C163" s="568"/>
      <c r="D163" s="567"/>
      <c r="E163" s="568"/>
      <c r="F163" s="567"/>
      <c r="G163" s="568"/>
      <c r="H163" s="567"/>
      <c r="I163" s="568"/>
      <c r="J163" s="567"/>
      <c r="K163" s="568"/>
      <c r="L163" s="567"/>
      <c r="M163" s="568"/>
      <c r="N163" s="567"/>
      <c r="O163" s="568"/>
      <c r="P163" s="567"/>
      <c r="Q163" s="568"/>
      <c r="R163" s="567"/>
      <c r="S163" s="568"/>
      <c r="T163" s="567"/>
      <c r="U163" s="568"/>
      <c r="V163" s="567"/>
      <c r="W163" s="568"/>
      <c r="X163" s="567"/>
      <c r="Y163" s="568"/>
      <c r="Z163" s="567"/>
      <c r="AA163" s="568"/>
      <c r="AB163" s="567"/>
      <c r="AC163" s="568"/>
      <c r="AD163" s="567"/>
      <c r="AE163" s="568"/>
      <c r="AF163" s="567"/>
      <c r="AG163" s="568"/>
      <c r="AH163" s="567"/>
      <c r="AI163" s="568"/>
      <c r="AJ163" s="567"/>
      <c r="AK163" s="568"/>
      <c r="AL163" s="567"/>
      <c r="AM163" s="568"/>
      <c r="AN163" s="567"/>
      <c r="AO163" s="568"/>
      <c r="AP163" s="567"/>
      <c r="AQ163" s="568"/>
      <c r="AR163" s="567"/>
      <c r="AS163" s="568"/>
      <c r="AT163" s="567"/>
      <c r="AU163" s="568"/>
      <c r="AV163" s="567"/>
      <c r="AW163" s="568"/>
      <c r="AX163" s="567"/>
      <c r="AY163" s="568"/>
      <c r="AZ163" s="567"/>
      <c r="BA163" s="568"/>
      <c r="BB163" s="567"/>
      <c r="BC163" s="568"/>
      <c r="BD163" s="567"/>
      <c r="BE163" s="568"/>
      <c r="BF163" s="567"/>
      <c r="BG163" s="568"/>
      <c r="BH163" s="567"/>
      <c r="BI163" s="568"/>
      <c r="BJ163" s="567"/>
      <c r="BK163" s="568"/>
      <c r="BL163" s="567"/>
      <c r="BM163" s="568"/>
      <c r="BN163" s="567"/>
      <c r="BO163" s="568"/>
      <c r="BP163" s="567"/>
      <c r="BQ163" s="568"/>
      <c r="BR163" s="567"/>
      <c r="BS163" s="568"/>
      <c r="BT163" s="567"/>
      <c r="BU163" s="568"/>
      <c r="BV163" s="567"/>
      <c r="BW163" s="568"/>
      <c r="BX163" s="567"/>
      <c r="BY163" s="568"/>
      <c r="BZ163" s="567"/>
      <c r="CA163" s="568"/>
      <c r="CB163" s="567"/>
      <c r="CC163" s="568"/>
      <c r="CD163" s="567"/>
      <c r="CE163" s="568"/>
      <c r="CF163" s="567"/>
      <c r="CG163" s="568"/>
      <c r="CH163" s="567"/>
      <c r="CI163" s="568"/>
      <c r="CJ163" s="567">
        <f>SUM(CJ158:CJ162)</f>
        <v>2532</v>
      </c>
      <c r="CK163" s="568">
        <f t="shared" ref="CK163:CM163" si="63">SUM(CK158:CK162)</f>
        <v>44670507.200000003</v>
      </c>
      <c r="CL163" s="567">
        <f>SUM(CL158:CL162)</f>
        <v>1992</v>
      </c>
      <c r="CM163" s="568">
        <f t="shared" si="63"/>
        <v>40490535.479999997</v>
      </c>
      <c r="CN163" s="567">
        <f>SUM(CN158:CN162)</f>
        <v>1925</v>
      </c>
      <c r="CO163" s="568">
        <f t="shared" ref="CO163" si="64">SUM(CO158:CO162)</f>
        <v>38767891.039999984</v>
      </c>
    </row>
    <row r="164" spans="1:101" ht="16" thickBot="1" x14ac:dyDescent="0.25">
      <c r="A164" s="606"/>
      <c r="B164" s="607"/>
      <c r="C164" s="608"/>
      <c r="D164" s="607"/>
      <c r="E164" s="608"/>
      <c r="F164" s="607"/>
      <c r="G164" s="608"/>
      <c r="H164" s="607"/>
      <c r="I164" s="608"/>
      <c r="J164" s="607"/>
      <c r="K164" s="608"/>
      <c r="L164" s="607"/>
      <c r="M164" s="608"/>
      <c r="N164" s="607"/>
      <c r="O164" s="608"/>
      <c r="P164" s="607"/>
      <c r="Q164" s="608"/>
      <c r="R164" s="607"/>
      <c r="S164" s="608"/>
      <c r="T164" s="607"/>
      <c r="U164" s="608"/>
      <c r="V164" s="607"/>
      <c r="W164" s="608"/>
      <c r="X164" s="607"/>
      <c r="Y164" s="608"/>
      <c r="Z164" s="607"/>
      <c r="AA164" s="608"/>
      <c r="AB164" s="607"/>
      <c r="AC164" s="608"/>
      <c r="AD164" s="607"/>
      <c r="AE164" s="608"/>
      <c r="AF164" s="607"/>
      <c r="AG164" s="608"/>
      <c r="AH164" s="607"/>
      <c r="AI164" s="608"/>
      <c r="AJ164" s="607"/>
      <c r="AK164" s="608"/>
      <c r="AL164" s="607"/>
      <c r="AM164" s="608"/>
      <c r="AN164" s="607"/>
      <c r="AO164" s="608"/>
      <c r="AP164" s="607"/>
      <c r="AQ164" s="608"/>
      <c r="AR164" s="607"/>
      <c r="AS164" s="608"/>
      <c r="AT164" s="607"/>
      <c r="AU164" s="608"/>
      <c r="AV164" s="607"/>
      <c r="AW164" s="608"/>
      <c r="AX164" s="607"/>
      <c r="AY164" s="608"/>
      <c r="AZ164" s="607"/>
      <c r="BA164" s="608"/>
      <c r="BB164" s="607"/>
      <c r="BC164" s="608"/>
      <c r="BD164" s="607"/>
      <c r="BE164" s="608"/>
      <c r="BF164" s="607"/>
      <c r="BG164" s="608"/>
      <c r="BH164" s="607"/>
      <c r="BI164" s="608"/>
      <c r="BJ164" s="607"/>
      <c r="BK164" s="608"/>
      <c r="BL164" s="607"/>
      <c r="BM164" s="608"/>
      <c r="BN164" s="607"/>
      <c r="BO164" s="608"/>
      <c r="BP164" s="607"/>
      <c r="BQ164" s="608"/>
      <c r="BR164" s="607"/>
      <c r="BS164" s="608"/>
      <c r="BT164" s="607"/>
      <c r="BU164" s="608"/>
      <c r="BV164" s="607"/>
      <c r="BW164" s="608"/>
      <c r="BX164" s="607"/>
      <c r="BY164" s="608"/>
      <c r="BZ164" s="607"/>
      <c r="CA164" s="608"/>
      <c r="CB164" s="607"/>
      <c r="CC164" s="608"/>
      <c r="CD164" s="607"/>
      <c r="CE164" s="608"/>
      <c r="CF164" s="607"/>
      <c r="CG164" s="608"/>
      <c r="CH164" s="607"/>
      <c r="CI164" s="608"/>
      <c r="CJ164" s="607"/>
      <c r="CK164" s="608"/>
      <c r="CL164" s="607"/>
      <c r="CM164" s="608"/>
      <c r="CN164" s="607"/>
      <c r="CO164" s="608"/>
    </row>
    <row r="165" spans="1:101" x14ac:dyDescent="0.2">
      <c r="A165" s="609"/>
      <c r="B165" s="610"/>
      <c r="C165" s="611"/>
      <c r="D165" s="610"/>
      <c r="E165" s="611"/>
      <c r="F165" s="610"/>
      <c r="G165" s="611"/>
      <c r="H165" s="610"/>
      <c r="I165" s="611"/>
      <c r="J165" s="610"/>
      <c r="K165" s="611"/>
      <c r="L165" s="610"/>
      <c r="M165" s="611"/>
      <c r="N165" s="610"/>
      <c r="O165" s="611"/>
      <c r="P165" s="610"/>
      <c r="Q165" s="611"/>
      <c r="R165" s="610"/>
      <c r="S165" s="611"/>
      <c r="T165" s="610"/>
      <c r="U165" s="611"/>
      <c r="V165" s="610"/>
      <c r="W165" s="611"/>
      <c r="X165" s="610"/>
      <c r="Y165" s="611"/>
      <c r="Z165" s="610"/>
      <c r="AA165" s="611"/>
      <c r="AB165" s="610"/>
      <c r="AC165" s="611"/>
      <c r="AD165" s="610"/>
      <c r="AE165" s="611"/>
      <c r="AF165" s="610"/>
      <c r="AG165" s="611"/>
      <c r="AH165" s="610"/>
      <c r="AI165" s="611"/>
      <c r="AJ165" s="610"/>
      <c r="AK165" s="611"/>
      <c r="AL165" s="610"/>
      <c r="AM165" s="611"/>
      <c r="AN165" s="610"/>
      <c r="AO165" s="611"/>
      <c r="AP165" s="610"/>
      <c r="AQ165" s="611"/>
      <c r="AR165" s="610"/>
      <c r="AS165" s="611"/>
      <c r="AT165" s="610"/>
      <c r="AU165" s="611"/>
      <c r="AV165" s="610"/>
      <c r="AW165" s="611"/>
      <c r="AX165" s="610"/>
      <c r="AY165" s="611"/>
      <c r="AZ165" s="610"/>
      <c r="BA165" s="611"/>
      <c r="BB165" s="610"/>
      <c r="BC165" s="611"/>
      <c r="BD165" s="610"/>
      <c r="BE165" s="611"/>
      <c r="BF165" s="610"/>
      <c r="BG165" s="611"/>
      <c r="BH165" s="610"/>
      <c r="BI165" s="611"/>
      <c r="BJ165" s="610"/>
      <c r="BK165" s="611"/>
      <c r="BL165" s="610"/>
      <c r="BM165" s="611"/>
      <c r="BN165" s="610"/>
      <c r="BO165" s="611"/>
      <c r="BP165" s="610"/>
      <c r="BQ165" s="611"/>
      <c r="BR165" s="610"/>
      <c r="BS165" s="611"/>
      <c r="BT165" s="610"/>
      <c r="BU165" s="611"/>
      <c r="BV165" s="610"/>
      <c r="BW165" s="611"/>
      <c r="BX165" s="610"/>
      <c r="BY165" s="611"/>
      <c r="BZ165" s="610"/>
      <c r="CA165" s="611"/>
      <c r="CB165" s="610"/>
      <c r="CC165" s="611"/>
      <c r="CD165" s="610"/>
      <c r="CE165" s="611"/>
      <c r="CF165" s="610"/>
      <c r="CG165" s="611"/>
      <c r="CH165" s="610"/>
      <c r="CI165" s="611"/>
      <c r="CJ165" s="610"/>
      <c r="CK165" s="611"/>
      <c r="CL165" s="610"/>
      <c r="CM165" s="611"/>
      <c r="CN165" s="610"/>
      <c r="CO165" s="611"/>
    </row>
    <row r="166" spans="1:101" x14ac:dyDescent="0.2">
      <c r="A166" s="583" t="s">
        <v>565</v>
      </c>
      <c r="B166" s="584"/>
      <c r="C166" s="585"/>
      <c r="D166" s="584"/>
      <c r="E166" s="585"/>
      <c r="F166" s="584"/>
      <c r="G166" s="585"/>
      <c r="H166" s="584"/>
      <c r="I166" s="585"/>
      <c r="J166" s="584"/>
      <c r="K166" s="585"/>
      <c r="L166" s="584"/>
      <c r="M166" s="585"/>
      <c r="N166" s="584"/>
      <c r="O166" s="585"/>
      <c r="P166" s="584"/>
      <c r="Q166" s="585"/>
      <c r="R166" s="584"/>
      <c r="S166" s="585"/>
      <c r="T166" s="584"/>
      <c r="U166" s="585"/>
      <c r="V166" s="584"/>
      <c r="W166" s="585"/>
      <c r="X166" s="584"/>
      <c r="Y166" s="585"/>
      <c r="Z166" s="584"/>
      <c r="AA166" s="585"/>
      <c r="AB166" s="584"/>
      <c r="AC166" s="585"/>
      <c r="AD166" s="584"/>
      <c r="AE166" s="585"/>
      <c r="AF166" s="584"/>
      <c r="AG166" s="585"/>
      <c r="AH166" s="584"/>
      <c r="AI166" s="585"/>
      <c r="AJ166" s="584"/>
      <c r="AK166" s="585"/>
      <c r="AL166" s="584"/>
      <c r="AM166" s="585"/>
      <c r="AN166" s="584"/>
      <c r="AO166" s="585"/>
      <c r="AP166" s="584"/>
      <c r="AQ166" s="585"/>
      <c r="AR166" s="584"/>
      <c r="AS166" s="585"/>
      <c r="AT166" s="584"/>
      <c r="AU166" s="585"/>
      <c r="AV166" s="584"/>
      <c r="AW166" s="585"/>
      <c r="AX166" s="584"/>
      <c r="AY166" s="585"/>
      <c r="AZ166" s="584"/>
      <c r="BA166" s="585"/>
      <c r="BB166" s="584"/>
      <c r="BC166" s="585"/>
      <c r="BD166" s="584"/>
      <c r="BE166" s="585"/>
      <c r="BF166" s="584"/>
      <c r="BG166" s="585"/>
      <c r="BH166" s="584"/>
      <c r="BI166" s="585"/>
      <c r="BJ166" s="584"/>
      <c r="BK166" s="585"/>
      <c r="BL166" s="584"/>
      <c r="BM166" s="585"/>
      <c r="BN166" s="584"/>
      <c r="BO166" s="585"/>
      <c r="BP166" s="584"/>
      <c r="BQ166" s="585"/>
      <c r="BR166" s="584"/>
      <c r="BS166" s="585"/>
      <c r="BT166" s="584"/>
      <c r="BU166" s="585"/>
      <c r="BV166" s="584"/>
      <c r="BW166" s="585"/>
      <c r="BX166" s="584"/>
      <c r="BY166" s="585"/>
      <c r="BZ166" s="584"/>
      <c r="CA166" s="585"/>
      <c r="CB166" s="584"/>
      <c r="CC166" s="585"/>
      <c r="CD166" s="584"/>
      <c r="CE166" s="585"/>
      <c r="CF166" s="584"/>
      <c r="CG166" s="585"/>
      <c r="CH166" s="584"/>
      <c r="CI166" s="585"/>
      <c r="CJ166" s="584"/>
      <c r="CK166" s="585"/>
      <c r="CL166" s="584"/>
      <c r="CM166" s="585"/>
      <c r="CN166" s="584"/>
      <c r="CO166" s="585"/>
    </row>
    <row r="167" spans="1:101" outlineLevel="1" x14ac:dyDescent="0.2">
      <c r="A167" s="561" t="s">
        <v>566</v>
      </c>
      <c r="B167" s="584"/>
      <c r="C167" s="589"/>
      <c r="D167" s="584"/>
      <c r="E167" s="589"/>
      <c r="F167" s="584"/>
      <c r="G167" s="589"/>
      <c r="H167" s="584"/>
      <c r="I167" s="589"/>
      <c r="J167" s="584"/>
      <c r="K167" s="589"/>
      <c r="L167" s="584"/>
      <c r="M167" s="589"/>
      <c r="N167" s="584"/>
      <c r="O167" s="589"/>
      <c r="P167" s="584"/>
      <c r="Q167" s="589"/>
      <c r="R167" s="584"/>
      <c r="S167" s="589"/>
      <c r="T167" s="584"/>
      <c r="U167" s="589"/>
      <c r="V167" s="584"/>
      <c r="W167" s="589"/>
      <c r="X167" s="584"/>
      <c r="Y167" s="589"/>
      <c r="Z167" s="584"/>
      <c r="AA167" s="589"/>
      <c r="AB167" s="584"/>
      <c r="AC167" s="589"/>
      <c r="AD167" s="584"/>
      <c r="AE167" s="589"/>
      <c r="AF167" s="584"/>
      <c r="AG167" s="589"/>
      <c r="AH167" s="584"/>
      <c r="AI167" s="589"/>
      <c r="AJ167" s="584"/>
      <c r="AK167" s="589"/>
      <c r="AL167" s="584"/>
      <c r="AM167" s="589"/>
      <c r="AN167" s="584"/>
      <c r="AO167" s="589"/>
      <c r="AP167" s="584"/>
      <c r="AQ167" s="589"/>
      <c r="AR167" s="584"/>
      <c r="AS167" s="589"/>
      <c r="AT167" s="584"/>
      <c r="AU167" s="589"/>
      <c r="AV167" s="584"/>
      <c r="AW167" s="589"/>
      <c r="AX167" s="584"/>
      <c r="AY167" s="589"/>
      <c r="AZ167" s="584"/>
      <c r="BA167" s="589"/>
      <c r="BB167" s="584"/>
      <c r="BC167" s="589"/>
      <c r="BD167" s="584"/>
      <c r="BE167" s="589"/>
      <c r="BF167" s="584"/>
      <c r="BG167" s="589"/>
      <c r="BH167" s="584"/>
      <c r="BI167" s="589"/>
      <c r="BJ167" s="584"/>
      <c r="BK167" s="589"/>
      <c r="BL167" s="584"/>
      <c r="BM167" s="589"/>
      <c r="BN167" s="584"/>
      <c r="BO167" s="589"/>
      <c r="BP167" s="584"/>
      <c r="BQ167" s="589"/>
      <c r="BR167" s="584"/>
      <c r="BS167" s="589"/>
      <c r="BT167" s="584"/>
      <c r="BU167" s="589"/>
      <c r="BV167" s="584"/>
      <c r="BW167" s="589"/>
      <c r="BX167" s="584"/>
      <c r="BY167" s="589"/>
      <c r="BZ167" s="584"/>
      <c r="CA167" s="589"/>
      <c r="CB167" s="584"/>
      <c r="CC167" s="589"/>
      <c r="CD167" s="584"/>
      <c r="CE167" s="589"/>
      <c r="CF167" s="584"/>
      <c r="CG167" s="589"/>
      <c r="CH167" s="584"/>
      <c r="CI167" s="589"/>
      <c r="CJ167" s="584">
        <f t="shared" ref="CJ167:CO167" si="65">CJ175+CJ183</f>
        <v>36152</v>
      </c>
      <c r="CK167" s="589">
        <f t="shared" si="65"/>
        <v>881971359.15000129</v>
      </c>
      <c r="CL167" s="584">
        <f t="shared" si="65"/>
        <v>34052</v>
      </c>
      <c r="CM167" s="589">
        <f t="shared" si="65"/>
        <v>827392355.84000123</v>
      </c>
      <c r="CN167" s="584">
        <f t="shared" si="65"/>
        <v>25061</v>
      </c>
      <c r="CO167" s="589">
        <f t="shared" si="65"/>
        <v>669797616.24000049</v>
      </c>
    </row>
    <row r="168" spans="1:101" outlineLevel="1" x14ac:dyDescent="0.2">
      <c r="A168" s="604"/>
      <c r="B168" s="567"/>
      <c r="C168" s="572"/>
      <c r="D168" s="567"/>
      <c r="E168" s="572"/>
      <c r="F168" s="567"/>
      <c r="G168" s="572"/>
      <c r="H168" s="567"/>
      <c r="I168" s="572"/>
      <c r="J168" s="567"/>
      <c r="K168" s="572"/>
      <c r="L168" s="567"/>
      <c r="M168" s="572"/>
      <c r="N168" s="567"/>
      <c r="O168" s="572"/>
      <c r="P168" s="567"/>
      <c r="Q168" s="572"/>
      <c r="R168" s="567"/>
      <c r="S168" s="572"/>
      <c r="T168" s="567"/>
      <c r="U168" s="572"/>
      <c r="V168" s="567"/>
      <c r="W168" s="572"/>
      <c r="X168" s="567"/>
      <c r="Y168" s="572"/>
      <c r="Z168" s="567"/>
      <c r="AA168" s="572"/>
      <c r="AB168" s="567"/>
      <c r="AC168" s="572"/>
      <c r="AD168" s="567"/>
      <c r="AE168" s="572"/>
      <c r="AF168" s="567"/>
      <c r="AG168" s="572"/>
      <c r="AH168" s="567"/>
      <c r="AI168" s="572"/>
      <c r="AJ168" s="567"/>
      <c r="AK168" s="572"/>
      <c r="AL168" s="567"/>
      <c r="AM168" s="572"/>
      <c r="AN168" s="567"/>
      <c r="AO168" s="572"/>
      <c r="AP168" s="567"/>
      <c r="AQ168" s="572"/>
      <c r="AR168" s="567"/>
      <c r="AS168" s="572"/>
      <c r="AT168" s="567"/>
      <c r="AU168" s="572"/>
      <c r="AV168" s="567"/>
      <c r="AW168" s="572"/>
      <c r="AX168" s="567"/>
      <c r="AY168" s="572"/>
      <c r="AZ168" s="567"/>
      <c r="BA168" s="572"/>
      <c r="BB168" s="567"/>
      <c r="BC168" s="572"/>
      <c r="BD168" s="567"/>
      <c r="BE168" s="572"/>
      <c r="BF168" s="567"/>
      <c r="BG168" s="572"/>
      <c r="BH168" s="567"/>
      <c r="BI168" s="572"/>
      <c r="BJ168" s="567"/>
      <c r="BK168" s="572"/>
      <c r="BL168" s="567"/>
      <c r="BM168" s="572"/>
      <c r="BN168" s="567"/>
      <c r="BO168" s="572"/>
      <c r="BP168" s="567"/>
      <c r="BQ168" s="572"/>
      <c r="BR168" s="567"/>
      <c r="BS168" s="572"/>
      <c r="BT168" s="567"/>
      <c r="BU168" s="572"/>
      <c r="BV168" s="567"/>
      <c r="BW168" s="572"/>
      <c r="BX168" s="567"/>
      <c r="BY168" s="572"/>
      <c r="BZ168" s="567"/>
      <c r="CA168" s="572"/>
      <c r="CB168" s="567"/>
      <c r="CC168" s="572"/>
      <c r="CD168" s="567"/>
      <c r="CE168" s="572"/>
      <c r="CF168" s="567"/>
      <c r="CG168" s="572"/>
      <c r="CH168" s="567"/>
      <c r="CI168" s="572"/>
      <c r="CJ168" s="567"/>
      <c r="CK168" s="572"/>
      <c r="CL168" s="567"/>
      <c r="CM168" s="572"/>
      <c r="CN168" s="567"/>
      <c r="CO168" s="572"/>
    </row>
    <row r="169" spans="1:101" outlineLevel="1" x14ac:dyDescent="0.2">
      <c r="A169" s="553" t="s">
        <v>567</v>
      </c>
      <c r="B169" s="554"/>
      <c r="C169" s="555"/>
      <c r="D169" s="554"/>
      <c r="E169" s="555"/>
      <c r="F169" s="554"/>
      <c r="G169" s="555"/>
      <c r="H169" s="554"/>
      <c r="I169" s="555"/>
      <c r="J169" s="554"/>
      <c r="K169" s="555"/>
      <c r="L169" s="554"/>
      <c r="M169" s="555"/>
      <c r="N169" s="554"/>
      <c r="O169" s="555"/>
      <c r="P169" s="554"/>
      <c r="Q169" s="555"/>
      <c r="R169" s="554"/>
      <c r="S169" s="555"/>
      <c r="T169" s="554"/>
      <c r="U169" s="555"/>
      <c r="V169" s="554"/>
      <c r="W169" s="555"/>
      <c r="X169" s="554"/>
      <c r="Y169" s="555"/>
      <c r="Z169" s="554"/>
      <c r="AA169" s="555"/>
      <c r="AB169" s="554"/>
      <c r="AC169" s="555"/>
      <c r="AD169" s="554"/>
      <c r="AE169" s="555"/>
      <c r="AF169" s="554"/>
      <c r="AG169" s="555"/>
      <c r="AH169" s="554"/>
      <c r="AI169" s="555"/>
      <c r="AJ169" s="554"/>
      <c r="AK169" s="555"/>
      <c r="AL169" s="554"/>
      <c r="AM169" s="555"/>
      <c r="AN169" s="554"/>
      <c r="AO169" s="555"/>
      <c r="AP169" s="554"/>
      <c r="AQ169" s="555"/>
      <c r="AR169" s="554"/>
      <c r="AS169" s="555"/>
      <c r="AT169" s="554"/>
      <c r="AU169" s="555"/>
      <c r="AV169" s="554"/>
      <c r="AW169" s="555"/>
      <c r="AX169" s="554"/>
      <c r="AY169" s="555"/>
      <c r="AZ169" s="554"/>
      <c r="BA169" s="555"/>
      <c r="BB169" s="554"/>
      <c r="BC169" s="555"/>
      <c r="BD169" s="554"/>
      <c r="BE169" s="555"/>
      <c r="BF169" s="554"/>
      <c r="BG169" s="555"/>
      <c r="BH169" s="554"/>
      <c r="BI169" s="555"/>
      <c r="BJ169" s="554"/>
      <c r="BK169" s="555"/>
      <c r="BL169" s="554"/>
      <c r="BM169" s="555"/>
      <c r="BN169" s="554"/>
      <c r="BO169" s="555"/>
      <c r="BP169" s="554"/>
      <c r="BQ169" s="555"/>
      <c r="BR169" s="554"/>
      <c r="BS169" s="555"/>
      <c r="BT169" s="554"/>
      <c r="BU169" s="555"/>
      <c r="BV169" s="554"/>
      <c r="BW169" s="555"/>
      <c r="BX169" s="554"/>
      <c r="BY169" s="555"/>
      <c r="BZ169" s="554"/>
      <c r="CA169" s="555"/>
      <c r="CB169" s="554"/>
      <c r="CC169" s="555"/>
      <c r="CD169" s="554"/>
      <c r="CE169" s="555"/>
      <c r="CF169" s="554"/>
      <c r="CG169" s="555"/>
      <c r="CH169" s="554"/>
      <c r="CI169" s="555"/>
      <c r="CJ169" s="554"/>
      <c r="CK169" s="555"/>
      <c r="CL169" s="554"/>
      <c r="CM169" s="555"/>
      <c r="CN169" s="554"/>
      <c r="CO169" s="555"/>
    </row>
    <row r="170" spans="1:101" outlineLevel="1" x14ac:dyDescent="0.2">
      <c r="A170" s="561" t="s">
        <v>521</v>
      </c>
      <c r="B170" s="562"/>
      <c r="C170" s="563"/>
      <c r="D170" s="562"/>
      <c r="E170" s="563"/>
      <c r="F170" s="562"/>
      <c r="G170" s="563"/>
      <c r="H170" s="562"/>
      <c r="I170" s="563"/>
      <c r="J170" s="562"/>
      <c r="K170" s="563"/>
      <c r="L170" s="562"/>
      <c r="M170" s="563"/>
      <c r="N170" s="562"/>
      <c r="O170" s="563"/>
      <c r="P170" s="562"/>
      <c r="Q170" s="563"/>
      <c r="R170" s="562"/>
      <c r="S170" s="563"/>
      <c r="T170" s="562"/>
      <c r="U170" s="563"/>
      <c r="V170" s="562"/>
      <c r="W170" s="563"/>
      <c r="X170" s="562"/>
      <c r="Y170" s="563"/>
      <c r="Z170" s="562"/>
      <c r="AA170" s="563"/>
      <c r="AB170" s="562"/>
      <c r="AC170" s="563"/>
      <c r="AD170" s="562"/>
      <c r="AE170" s="563"/>
      <c r="AF170" s="562"/>
      <c r="AG170" s="563"/>
      <c r="AH170" s="562"/>
      <c r="AI170" s="563"/>
      <c r="AJ170" s="562"/>
      <c r="AK170" s="563"/>
      <c r="AL170" s="562"/>
      <c r="AM170" s="563"/>
      <c r="AN170" s="562"/>
      <c r="AO170" s="563"/>
      <c r="AP170" s="562"/>
      <c r="AQ170" s="563"/>
      <c r="AR170" s="562"/>
      <c r="AS170" s="563"/>
      <c r="AT170" s="562"/>
      <c r="AU170" s="563"/>
      <c r="AV170" s="562"/>
      <c r="AW170" s="563"/>
      <c r="AX170" s="562"/>
      <c r="AY170" s="563"/>
      <c r="AZ170" s="562"/>
      <c r="BA170" s="563"/>
      <c r="BB170" s="562"/>
      <c r="BC170" s="563"/>
      <c r="BD170" s="562"/>
      <c r="BE170" s="563"/>
      <c r="BF170" s="562"/>
      <c r="BG170" s="563"/>
      <c r="BH170" s="562"/>
      <c r="BI170" s="563"/>
      <c r="BJ170" s="562"/>
      <c r="BK170" s="563"/>
      <c r="BL170" s="562"/>
      <c r="BM170" s="563"/>
      <c r="BN170" s="562"/>
      <c r="BO170" s="563"/>
      <c r="BP170" s="562"/>
      <c r="BQ170" s="563"/>
      <c r="BR170" s="562"/>
      <c r="BS170" s="563"/>
      <c r="BT170" s="562"/>
      <c r="BU170" s="563"/>
      <c r="BV170" s="562"/>
      <c r="BW170" s="563"/>
      <c r="BX170" s="562"/>
      <c r="BY170" s="563"/>
      <c r="BZ170" s="562"/>
      <c r="CA170" s="563"/>
      <c r="CB170" s="562"/>
      <c r="CC170" s="563"/>
      <c r="CD170" s="562"/>
      <c r="CE170" s="563"/>
      <c r="CF170" s="562"/>
      <c r="CG170" s="563"/>
      <c r="CH170" s="562"/>
      <c r="CI170" s="563"/>
      <c r="CJ170" s="562">
        <v>9244</v>
      </c>
      <c r="CK170" s="563">
        <v>242398780.04000032</v>
      </c>
      <c r="CL170" s="562">
        <v>9794</v>
      </c>
      <c r="CM170" s="563">
        <v>233103068.53000027</v>
      </c>
      <c r="CN170" s="562">
        <v>6742</v>
      </c>
      <c r="CO170" s="563">
        <v>193475637.42999995</v>
      </c>
      <c r="CV170" s="551">
        <v>3702</v>
      </c>
      <c r="CW170" s="551">
        <v>119769583.41999999</v>
      </c>
    </row>
    <row r="171" spans="1:101" outlineLevel="1" x14ac:dyDescent="0.2">
      <c r="A171" s="561" t="s">
        <v>522</v>
      </c>
      <c r="B171" s="562"/>
      <c r="C171" s="563"/>
      <c r="D171" s="562"/>
      <c r="E171" s="563"/>
      <c r="F171" s="562"/>
      <c r="G171" s="563"/>
      <c r="H171" s="562"/>
      <c r="I171" s="563"/>
      <c r="J171" s="562"/>
      <c r="K171" s="563"/>
      <c r="L171" s="562"/>
      <c r="M171" s="563"/>
      <c r="N171" s="562"/>
      <c r="O171" s="563"/>
      <c r="P171" s="562"/>
      <c r="Q171" s="563"/>
      <c r="R171" s="562"/>
      <c r="S171" s="563"/>
      <c r="T171" s="562"/>
      <c r="U171" s="563"/>
      <c r="V171" s="562"/>
      <c r="W171" s="563"/>
      <c r="X171" s="562"/>
      <c r="Y171" s="563"/>
      <c r="Z171" s="562"/>
      <c r="AA171" s="563"/>
      <c r="AB171" s="562"/>
      <c r="AC171" s="563"/>
      <c r="AD171" s="562"/>
      <c r="AE171" s="563"/>
      <c r="AF171" s="562"/>
      <c r="AG171" s="563"/>
      <c r="AH171" s="562"/>
      <c r="AI171" s="563"/>
      <c r="AJ171" s="562"/>
      <c r="AK171" s="563"/>
      <c r="AL171" s="562"/>
      <c r="AM171" s="563"/>
      <c r="AN171" s="562"/>
      <c r="AO171" s="563"/>
      <c r="AP171" s="562"/>
      <c r="AQ171" s="563"/>
      <c r="AR171" s="562"/>
      <c r="AS171" s="563"/>
      <c r="AT171" s="562"/>
      <c r="AU171" s="563"/>
      <c r="AV171" s="562"/>
      <c r="AW171" s="563"/>
      <c r="AX171" s="562"/>
      <c r="AY171" s="563"/>
      <c r="AZ171" s="562"/>
      <c r="BA171" s="563"/>
      <c r="BB171" s="562"/>
      <c r="BC171" s="563"/>
      <c r="BD171" s="562"/>
      <c r="BE171" s="563"/>
      <c r="BF171" s="562"/>
      <c r="BG171" s="563"/>
      <c r="BH171" s="562"/>
      <c r="BI171" s="563"/>
      <c r="BJ171" s="562"/>
      <c r="BK171" s="563"/>
      <c r="BL171" s="562"/>
      <c r="BM171" s="563"/>
      <c r="BN171" s="562"/>
      <c r="BO171" s="563"/>
      <c r="BP171" s="562"/>
      <c r="BQ171" s="563"/>
      <c r="BR171" s="562"/>
      <c r="BS171" s="563"/>
      <c r="BT171" s="562"/>
      <c r="BU171" s="563"/>
      <c r="BV171" s="562"/>
      <c r="BW171" s="563"/>
      <c r="BX171" s="562"/>
      <c r="BY171" s="563"/>
      <c r="BZ171" s="562"/>
      <c r="CA171" s="563"/>
      <c r="CB171" s="562"/>
      <c r="CC171" s="563"/>
      <c r="CD171" s="562"/>
      <c r="CE171" s="563"/>
      <c r="CF171" s="562"/>
      <c r="CG171" s="563"/>
      <c r="CH171" s="562"/>
      <c r="CI171" s="563"/>
      <c r="CJ171" s="562">
        <v>5888</v>
      </c>
      <c r="CK171" s="563">
        <v>135441956.68000036</v>
      </c>
      <c r="CL171" s="562">
        <v>5439</v>
      </c>
      <c r="CM171" s="563">
        <v>135614354.73000008</v>
      </c>
      <c r="CN171" s="562">
        <v>3430</v>
      </c>
      <c r="CO171" s="563">
        <v>95132842.680000007</v>
      </c>
      <c r="CV171" s="551">
        <v>2941</v>
      </c>
      <c r="CW171" s="551">
        <v>87503293.049999982</v>
      </c>
    </row>
    <row r="172" spans="1:101" outlineLevel="1" x14ac:dyDescent="0.2">
      <c r="A172" s="561" t="s">
        <v>523</v>
      </c>
      <c r="B172" s="562"/>
      <c r="C172" s="563"/>
      <c r="D172" s="562"/>
      <c r="E172" s="563"/>
      <c r="F172" s="562"/>
      <c r="G172" s="563"/>
      <c r="H172" s="562"/>
      <c r="I172" s="563"/>
      <c r="J172" s="562"/>
      <c r="K172" s="563"/>
      <c r="L172" s="562"/>
      <c r="M172" s="563"/>
      <c r="N172" s="562"/>
      <c r="O172" s="563"/>
      <c r="P172" s="562"/>
      <c r="Q172" s="563"/>
      <c r="R172" s="562"/>
      <c r="S172" s="563"/>
      <c r="T172" s="562"/>
      <c r="U172" s="563"/>
      <c r="V172" s="562"/>
      <c r="W172" s="563"/>
      <c r="X172" s="562"/>
      <c r="Y172" s="563"/>
      <c r="Z172" s="562"/>
      <c r="AA172" s="563"/>
      <c r="AB172" s="562"/>
      <c r="AC172" s="563"/>
      <c r="AD172" s="562"/>
      <c r="AE172" s="563"/>
      <c r="AF172" s="562"/>
      <c r="AG172" s="563"/>
      <c r="AH172" s="562"/>
      <c r="AI172" s="563"/>
      <c r="AJ172" s="562"/>
      <c r="AK172" s="563"/>
      <c r="AL172" s="562"/>
      <c r="AM172" s="563"/>
      <c r="AN172" s="562"/>
      <c r="AO172" s="563"/>
      <c r="AP172" s="562"/>
      <c r="AQ172" s="563"/>
      <c r="AR172" s="562"/>
      <c r="AS172" s="563"/>
      <c r="AT172" s="562"/>
      <c r="AU172" s="563"/>
      <c r="AV172" s="562"/>
      <c r="AW172" s="563"/>
      <c r="AX172" s="562"/>
      <c r="AY172" s="563"/>
      <c r="AZ172" s="562"/>
      <c r="BA172" s="563"/>
      <c r="BB172" s="562"/>
      <c r="BC172" s="563"/>
      <c r="BD172" s="562"/>
      <c r="BE172" s="563"/>
      <c r="BF172" s="562"/>
      <c r="BG172" s="563"/>
      <c r="BH172" s="562"/>
      <c r="BI172" s="563"/>
      <c r="BJ172" s="562"/>
      <c r="BK172" s="563"/>
      <c r="BL172" s="562"/>
      <c r="BM172" s="563"/>
      <c r="BN172" s="562"/>
      <c r="BO172" s="563"/>
      <c r="BP172" s="562"/>
      <c r="BQ172" s="563"/>
      <c r="BR172" s="562"/>
      <c r="BS172" s="563"/>
      <c r="BT172" s="562"/>
      <c r="BU172" s="563"/>
      <c r="BV172" s="562"/>
      <c r="BW172" s="563"/>
      <c r="BX172" s="562"/>
      <c r="BY172" s="563"/>
      <c r="BZ172" s="562"/>
      <c r="CA172" s="563"/>
      <c r="CB172" s="562"/>
      <c r="CC172" s="563"/>
      <c r="CD172" s="562"/>
      <c r="CE172" s="563"/>
      <c r="CF172" s="562"/>
      <c r="CG172" s="563"/>
      <c r="CH172" s="562"/>
      <c r="CI172" s="563"/>
      <c r="CJ172" s="562">
        <v>9931</v>
      </c>
      <c r="CK172" s="563">
        <v>229644691.20000002</v>
      </c>
      <c r="CL172" s="562">
        <v>6624</v>
      </c>
      <c r="CM172" s="563">
        <v>162188762.72000045</v>
      </c>
      <c r="CN172" s="562">
        <v>5782</v>
      </c>
      <c r="CO172" s="563">
        <v>151862322.0200001</v>
      </c>
      <c r="CV172" s="551">
        <v>6158</v>
      </c>
      <c r="CW172" s="551">
        <v>171828654.90000001</v>
      </c>
    </row>
    <row r="173" spans="1:101" outlineLevel="1" x14ac:dyDescent="0.2">
      <c r="A173" s="561" t="s">
        <v>524</v>
      </c>
      <c r="B173" s="562"/>
      <c r="C173" s="563"/>
      <c r="D173" s="562"/>
      <c r="E173" s="563"/>
      <c r="F173" s="562"/>
      <c r="G173" s="563"/>
      <c r="H173" s="562"/>
      <c r="I173" s="563"/>
      <c r="J173" s="562"/>
      <c r="K173" s="563"/>
      <c r="L173" s="562"/>
      <c r="M173" s="563"/>
      <c r="N173" s="562"/>
      <c r="O173" s="563"/>
      <c r="P173" s="562"/>
      <c r="Q173" s="563"/>
      <c r="R173" s="562"/>
      <c r="S173" s="563"/>
      <c r="T173" s="562"/>
      <c r="U173" s="563"/>
      <c r="V173" s="562"/>
      <c r="W173" s="563"/>
      <c r="X173" s="562"/>
      <c r="Y173" s="563"/>
      <c r="Z173" s="562"/>
      <c r="AA173" s="563"/>
      <c r="AB173" s="562"/>
      <c r="AC173" s="563"/>
      <c r="AD173" s="562"/>
      <c r="AE173" s="563"/>
      <c r="AF173" s="562"/>
      <c r="AG173" s="563"/>
      <c r="AH173" s="562"/>
      <c r="AI173" s="563"/>
      <c r="AJ173" s="562"/>
      <c r="AK173" s="563"/>
      <c r="AL173" s="562"/>
      <c r="AM173" s="563"/>
      <c r="AN173" s="562"/>
      <c r="AO173" s="563"/>
      <c r="AP173" s="562"/>
      <c r="AQ173" s="563"/>
      <c r="AR173" s="562"/>
      <c r="AS173" s="563"/>
      <c r="AT173" s="562"/>
      <c r="AU173" s="563"/>
      <c r="AV173" s="562"/>
      <c r="AW173" s="563"/>
      <c r="AX173" s="562"/>
      <c r="AY173" s="563"/>
      <c r="AZ173" s="562"/>
      <c r="BA173" s="563"/>
      <c r="BB173" s="562"/>
      <c r="BC173" s="563"/>
      <c r="BD173" s="562"/>
      <c r="BE173" s="563"/>
      <c r="BF173" s="562"/>
      <c r="BG173" s="563"/>
      <c r="BH173" s="562"/>
      <c r="BI173" s="563"/>
      <c r="BJ173" s="562"/>
      <c r="BK173" s="563"/>
      <c r="BL173" s="562"/>
      <c r="BM173" s="563"/>
      <c r="BN173" s="562"/>
      <c r="BO173" s="563"/>
      <c r="BP173" s="562"/>
      <c r="BQ173" s="563"/>
      <c r="BR173" s="562"/>
      <c r="BS173" s="563"/>
      <c r="BT173" s="562"/>
      <c r="BU173" s="563"/>
      <c r="BV173" s="562"/>
      <c r="BW173" s="563"/>
      <c r="BX173" s="562"/>
      <c r="BY173" s="563"/>
      <c r="BZ173" s="562"/>
      <c r="CA173" s="563"/>
      <c r="CB173" s="562"/>
      <c r="CC173" s="563"/>
      <c r="CD173" s="562"/>
      <c r="CE173" s="563"/>
      <c r="CF173" s="562"/>
      <c r="CG173" s="563"/>
      <c r="CH173" s="562"/>
      <c r="CI173" s="563"/>
      <c r="CJ173" s="562">
        <v>6747</v>
      </c>
      <c r="CK173" s="563">
        <v>162098105.47000068</v>
      </c>
      <c r="CL173" s="562">
        <v>5543</v>
      </c>
      <c r="CM173" s="563">
        <v>128261519.2</v>
      </c>
      <c r="CN173" s="562">
        <v>3035</v>
      </c>
      <c r="CO173" s="563">
        <v>71915221.390000254</v>
      </c>
      <c r="CV173" s="551">
        <v>4747</v>
      </c>
      <c r="CW173" s="551">
        <v>102566110.55000022</v>
      </c>
    </row>
    <row r="174" spans="1:101" outlineLevel="1" x14ac:dyDescent="0.2">
      <c r="A174" s="561" t="s">
        <v>525</v>
      </c>
      <c r="B174" s="562"/>
      <c r="C174" s="563"/>
      <c r="D174" s="562"/>
      <c r="E174" s="563"/>
      <c r="F174" s="562"/>
      <c r="G174" s="563"/>
      <c r="H174" s="562"/>
      <c r="I174" s="563"/>
      <c r="J174" s="562"/>
      <c r="K174" s="563"/>
      <c r="L174" s="562"/>
      <c r="M174" s="563"/>
      <c r="N174" s="562"/>
      <c r="O174" s="563"/>
      <c r="P174" s="562"/>
      <c r="Q174" s="563"/>
      <c r="R174" s="562"/>
      <c r="S174" s="563"/>
      <c r="T174" s="562"/>
      <c r="U174" s="563"/>
      <c r="V174" s="562"/>
      <c r="W174" s="563"/>
      <c r="X174" s="562"/>
      <c r="Y174" s="563"/>
      <c r="Z174" s="562"/>
      <c r="AA174" s="563"/>
      <c r="AB174" s="562"/>
      <c r="AC174" s="563"/>
      <c r="AD174" s="562"/>
      <c r="AE174" s="563"/>
      <c r="AF174" s="562"/>
      <c r="AG174" s="563"/>
      <c r="AH174" s="562"/>
      <c r="AI174" s="563"/>
      <c r="AJ174" s="562"/>
      <c r="AK174" s="563"/>
      <c r="AL174" s="562"/>
      <c r="AM174" s="563"/>
      <c r="AN174" s="562"/>
      <c r="AO174" s="563"/>
      <c r="AP174" s="562"/>
      <c r="AQ174" s="563"/>
      <c r="AR174" s="562"/>
      <c r="AS174" s="563"/>
      <c r="AT174" s="562"/>
      <c r="AU174" s="563"/>
      <c r="AV174" s="562"/>
      <c r="AW174" s="563"/>
      <c r="AX174" s="562"/>
      <c r="AY174" s="563"/>
      <c r="AZ174" s="562"/>
      <c r="BA174" s="563"/>
      <c r="BB174" s="562"/>
      <c r="BC174" s="563"/>
      <c r="BD174" s="562"/>
      <c r="BE174" s="563"/>
      <c r="BF174" s="562"/>
      <c r="BG174" s="563"/>
      <c r="BH174" s="562"/>
      <c r="BI174" s="563"/>
      <c r="BJ174" s="562"/>
      <c r="BK174" s="563"/>
      <c r="BL174" s="562"/>
      <c r="BM174" s="563"/>
      <c r="BN174" s="562"/>
      <c r="BO174" s="563"/>
      <c r="BP174" s="562"/>
      <c r="BQ174" s="563"/>
      <c r="BR174" s="562"/>
      <c r="BS174" s="563"/>
      <c r="BT174" s="562"/>
      <c r="BU174" s="563"/>
      <c r="BV174" s="562"/>
      <c r="BW174" s="563"/>
      <c r="BX174" s="562"/>
      <c r="BY174" s="563"/>
      <c r="BZ174" s="562"/>
      <c r="CA174" s="563"/>
      <c r="CB174" s="562"/>
      <c r="CC174" s="563"/>
      <c r="CD174" s="562"/>
      <c r="CE174" s="563"/>
      <c r="CF174" s="562"/>
      <c r="CG174" s="563"/>
      <c r="CH174" s="562"/>
      <c r="CI174" s="563"/>
      <c r="CJ174" s="562">
        <v>2938</v>
      </c>
      <c r="CK174" s="563">
        <v>71108041.5</v>
      </c>
      <c r="CL174" s="562">
        <v>5832</v>
      </c>
      <c r="CM174" s="563">
        <v>141077272.05000049</v>
      </c>
      <c r="CN174" s="562">
        <v>5378</v>
      </c>
      <c r="CO174" s="563">
        <v>126981323.9000001</v>
      </c>
      <c r="CV174" s="551">
        <v>6819</v>
      </c>
      <c r="CW174" s="551">
        <v>157699705.50000012</v>
      </c>
    </row>
    <row r="175" spans="1:101" outlineLevel="1" x14ac:dyDescent="0.2">
      <c r="A175" s="561"/>
      <c r="B175" s="567"/>
      <c r="C175" s="568"/>
      <c r="D175" s="567"/>
      <c r="E175" s="568"/>
      <c r="F175" s="567"/>
      <c r="G175" s="568"/>
      <c r="H175" s="567"/>
      <c r="I175" s="568"/>
      <c r="J175" s="567"/>
      <c r="K175" s="568"/>
      <c r="L175" s="567"/>
      <c r="M175" s="568"/>
      <c r="N175" s="567"/>
      <c r="O175" s="568"/>
      <c r="P175" s="567"/>
      <c r="Q175" s="568"/>
      <c r="R175" s="567"/>
      <c r="S175" s="568"/>
      <c r="T175" s="567"/>
      <c r="U175" s="568"/>
      <c r="V175" s="567"/>
      <c r="W175" s="568"/>
      <c r="X175" s="567"/>
      <c r="Y175" s="568"/>
      <c r="Z175" s="567"/>
      <c r="AA175" s="568"/>
      <c r="AB175" s="567"/>
      <c r="AC175" s="568"/>
      <c r="AD175" s="567"/>
      <c r="AE175" s="568"/>
      <c r="AF175" s="567"/>
      <c r="AG175" s="568"/>
      <c r="AH175" s="567"/>
      <c r="AI175" s="568"/>
      <c r="AJ175" s="567"/>
      <c r="AK175" s="568"/>
      <c r="AL175" s="567"/>
      <c r="AM175" s="568"/>
      <c r="AN175" s="567"/>
      <c r="AO175" s="568"/>
      <c r="AP175" s="567"/>
      <c r="AQ175" s="568"/>
      <c r="AR175" s="567"/>
      <c r="AS175" s="568"/>
      <c r="AT175" s="567"/>
      <c r="AU175" s="568"/>
      <c r="AV175" s="567"/>
      <c r="AW175" s="568"/>
      <c r="AX175" s="567"/>
      <c r="AY175" s="568"/>
      <c r="AZ175" s="567"/>
      <c r="BA175" s="568"/>
      <c r="BB175" s="567"/>
      <c r="BC175" s="568"/>
      <c r="BD175" s="567"/>
      <c r="BE175" s="568"/>
      <c r="BF175" s="567"/>
      <c r="BG175" s="568"/>
      <c r="BH175" s="567"/>
      <c r="BI175" s="568"/>
      <c r="BJ175" s="567"/>
      <c r="BK175" s="568"/>
      <c r="BL175" s="567"/>
      <c r="BM175" s="568"/>
      <c r="BN175" s="567"/>
      <c r="BO175" s="568"/>
      <c r="BP175" s="567"/>
      <c r="BQ175" s="568"/>
      <c r="BR175" s="567"/>
      <c r="BS175" s="568"/>
      <c r="BT175" s="567"/>
      <c r="BU175" s="568"/>
      <c r="BV175" s="567"/>
      <c r="BW175" s="568"/>
      <c r="BX175" s="567"/>
      <c r="BY175" s="568"/>
      <c r="BZ175" s="567"/>
      <c r="CA175" s="568"/>
      <c r="CB175" s="567"/>
      <c r="CC175" s="568"/>
      <c r="CD175" s="567"/>
      <c r="CE175" s="568"/>
      <c r="CF175" s="567"/>
      <c r="CG175" s="568"/>
      <c r="CH175" s="567"/>
      <c r="CI175" s="568"/>
      <c r="CJ175" s="567">
        <f t="shared" ref="CJ175:CO175" si="66">SUM(CJ170:CJ174)</f>
        <v>34748</v>
      </c>
      <c r="CK175" s="568">
        <f t="shared" si="66"/>
        <v>840691574.8900013</v>
      </c>
      <c r="CL175" s="567">
        <f t="shared" si="66"/>
        <v>33232</v>
      </c>
      <c r="CM175" s="568">
        <f t="shared" si="66"/>
        <v>800244977.23000121</v>
      </c>
      <c r="CN175" s="567">
        <f t="shared" si="66"/>
        <v>24367</v>
      </c>
      <c r="CO175" s="568">
        <f t="shared" si="66"/>
        <v>639367347.42000043</v>
      </c>
    </row>
    <row r="176" spans="1:101" outlineLevel="1" x14ac:dyDescent="0.2">
      <c r="A176" s="561"/>
      <c r="B176" s="567"/>
      <c r="C176" s="572"/>
      <c r="D176" s="567"/>
      <c r="E176" s="572"/>
      <c r="F176" s="567"/>
      <c r="G176" s="572"/>
      <c r="H176" s="567"/>
      <c r="I176" s="572"/>
      <c r="J176" s="567"/>
      <c r="K176" s="572"/>
      <c r="L176" s="567"/>
      <c r="M176" s="572"/>
      <c r="N176" s="567"/>
      <c r="O176" s="572"/>
      <c r="P176" s="567"/>
      <c r="Q176" s="572"/>
      <c r="R176" s="567"/>
      <c r="S176" s="572"/>
      <c r="T176" s="567"/>
      <c r="U176" s="572"/>
      <c r="V176" s="567"/>
      <c r="W176" s="572"/>
      <c r="X176" s="567"/>
      <c r="Y176" s="572"/>
      <c r="Z176" s="567"/>
      <c r="AA176" s="572"/>
      <c r="AB176" s="567"/>
      <c r="AC176" s="572"/>
      <c r="AD176" s="567"/>
      <c r="AE176" s="572"/>
      <c r="AF176" s="567"/>
      <c r="AG176" s="572"/>
      <c r="AH176" s="567"/>
      <c r="AI176" s="572"/>
      <c r="AJ176" s="567"/>
      <c r="AK176" s="572"/>
      <c r="AL176" s="567"/>
      <c r="AM176" s="572"/>
      <c r="AN176" s="567"/>
      <c r="AO176" s="572"/>
      <c r="AP176" s="567"/>
      <c r="AQ176" s="572"/>
      <c r="AR176" s="567"/>
      <c r="AS176" s="572"/>
      <c r="AT176" s="567"/>
      <c r="AU176" s="572"/>
      <c r="AV176" s="567"/>
      <c r="AW176" s="572"/>
      <c r="AX176" s="567"/>
      <c r="AY176" s="572"/>
      <c r="AZ176" s="567"/>
      <c r="BA176" s="572"/>
      <c r="BB176" s="567"/>
      <c r="BC176" s="572"/>
      <c r="BD176" s="567"/>
      <c r="BE176" s="572"/>
      <c r="BF176" s="567"/>
      <c r="BG176" s="572"/>
      <c r="BH176" s="567"/>
      <c r="BI176" s="572"/>
      <c r="BJ176" s="567"/>
      <c r="BK176" s="572"/>
      <c r="BL176" s="567"/>
      <c r="BM176" s="572"/>
      <c r="BN176" s="567"/>
      <c r="BO176" s="572"/>
      <c r="BP176" s="567"/>
      <c r="BQ176" s="572"/>
      <c r="BR176" s="567"/>
      <c r="BS176" s="572"/>
      <c r="BT176" s="567"/>
      <c r="BU176" s="572"/>
      <c r="BV176" s="567"/>
      <c r="BW176" s="572"/>
      <c r="BX176" s="567"/>
      <c r="BY176" s="572"/>
      <c r="BZ176" s="567"/>
      <c r="CA176" s="572"/>
      <c r="CB176" s="567"/>
      <c r="CC176" s="572"/>
      <c r="CD176" s="567"/>
      <c r="CE176" s="572"/>
      <c r="CF176" s="567"/>
      <c r="CG176" s="572"/>
      <c r="CH176" s="567"/>
      <c r="CI176" s="572"/>
      <c r="CJ176" s="567"/>
      <c r="CK176" s="572"/>
      <c r="CL176" s="567"/>
      <c r="CM176" s="572"/>
      <c r="CN176" s="567"/>
      <c r="CO176" s="572"/>
    </row>
    <row r="177" spans="1:93" outlineLevel="1" x14ac:dyDescent="0.2">
      <c r="A177" s="553" t="s">
        <v>568</v>
      </c>
      <c r="B177" s="554"/>
      <c r="C177" s="555"/>
      <c r="D177" s="554"/>
      <c r="E177" s="555"/>
      <c r="F177" s="554"/>
      <c r="G177" s="555"/>
      <c r="H177" s="554"/>
      <c r="I177" s="555"/>
      <c r="J177" s="554"/>
      <c r="K177" s="555"/>
      <c r="L177" s="554"/>
      <c r="M177" s="555"/>
      <c r="N177" s="554"/>
      <c r="O177" s="555"/>
      <c r="P177" s="554"/>
      <c r="Q177" s="555"/>
      <c r="R177" s="554"/>
      <c r="S177" s="555"/>
      <c r="T177" s="554"/>
      <c r="U177" s="555"/>
      <c r="V177" s="554"/>
      <c r="W177" s="555"/>
      <c r="X177" s="554"/>
      <c r="Y177" s="555"/>
      <c r="Z177" s="554"/>
      <c r="AA177" s="555"/>
      <c r="AB177" s="554"/>
      <c r="AC177" s="555"/>
      <c r="AD177" s="554"/>
      <c r="AE177" s="555"/>
      <c r="AF177" s="554"/>
      <c r="AG177" s="555"/>
      <c r="AH177" s="554"/>
      <c r="AI177" s="555"/>
      <c r="AJ177" s="554"/>
      <c r="AK177" s="555"/>
      <c r="AL177" s="554"/>
      <c r="AM177" s="555"/>
      <c r="AN177" s="554"/>
      <c r="AO177" s="555"/>
      <c r="AP177" s="554"/>
      <c r="AQ177" s="555"/>
      <c r="AR177" s="554"/>
      <c r="AS177" s="555"/>
      <c r="AT177" s="554"/>
      <c r="AU177" s="555"/>
      <c r="AV177" s="554"/>
      <c r="AW177" s="555"/>
      <c r="AX177" s="554"/>
      <c r="AY177" s="555"/>
      <c r="AZ177" s="554"/>
      <c r="BA177" s="555"/>
      <c r="BB177" s="554"/>
      <c r="BC177" s="555"/>
      <c r="BD177" s="554"/>
      <c r="BE177" s="555"/>
      <c r="BF177" s="554"/>
      <c r="BG177" s="555"/>
      <c r="BH177" s="554"/>
      <c r="BI177" s="555"/>
      <c r="BJ177" s="554"/>
      <c r="BK177" s="555"/>
      <c r="BL177" s="554"/>
      <c r="BM177" s="555"/>
      <c r="BN177" s="554"/>
      <c r="BO177" s="555"/>
      <c r="BP177" s="554"/>
      <c r="BQ177" s="555"/>
      <c r="BR177" s="554"/>
      <c r="BS177" s="555"/>
      <c r="BT177" s="554"/>
      <c r="BU177" s="555"/>
      <c r="BV177" s="554"/>
      <c r="BW177" s="555"/>
      <c r="BX177" s="554"/>
      <c r="BY177" s="555"/>
      <c r="BZ177" s="554"/>
      <c r="CA177" s="555"/>
      <c r="CB177" s="554"/>
      <c r="CC177" s="555"/>
      <c r="CD177" s="554"/>
      <c r="CE177" s="555"/>
      <c r="CF177" s="554"/>
      <c r="CG177" s="555"/>
      <c r="CH177" s="554"/>
      <c r="CI177" s="555"/>
      <c r="CJ177" s="554"/>
      <c r="CK177" s="555"/>
      <c r="CL177" s="554"/>
      <c r="CM177" s="555"/>
      <c r="CN177" s="554"/>
      <c r="CO177" s="555"/>
    </row>
    <row r="178" spans="1:93" outlineLevel="1" x14ac:dyDescent="0.2">
      <c r="A178" s="561" t="s">
        <v>521</v>
      </c>
      <c r="B178" s="562"/>
      <c r="C178" s="563"/>
      <c r="D178" s="562"/>
      <c r="E178" s="563"/>
      <c r="F178" s="562"/>
      <c r="G178" s="563"/>
      <c r="H178" s="562"/>
      <c r="I178" s="563"/>
      <c r="J178" s="562"/>
      <c r="K178" s="563"/>
      <c r="L178" s="562"/>
      <c r="M178" s="563"/>
      <c r="N178" s="562"/>
      <c r="O178" s="563"/>
      <c r="P178" s="562"/>
      <c r="Q178" s="563"/>
      <c r="R178" s="562"/>
      <c r="S178" s="563"/>
      <c r="T178" s="562"/>
      <c r="U178" s="563"/>
      <c r="V178" s="562"/>
      <c r="W178" s="563"/>
      <c r="X178" s="562"/>
      <c r="Y178" s="563"/>
      <c r="Z178" s="562"/>
      <c r="AA178" s="563"/>
      <c r="AB178" s="562"/>
      <c r="AC178" s="563"/>
      <c r="AD178" s="562"/>
      <c r="AE178" s="563"/>
      <c r="AF178" s="562"/>
      <c r="AG178" s="563"/>
      <c r="AH178" s="562"/>
      <c r="AI178" s="563"/>
      <c r="AJ178" s="562"/>
      <c r="AK178" s="563"/>
      <c r="AL178" s="562"/>
      <c r="AM178" s="563"/>
      <c r="AN178" s="562"/>
      <c r="AO178" s="563"/>
      <c r="AP178" s="562"/>
      <c r="AQ178" s="563"/>
      <c r="AR178" s="562"/>
      <c r="AS178" s="563"/>
      <c r="AT178" s="562"/>
      <c r="AU178" s="563"/>
      <c r="AV178" s="562"/>
      <c r="AW178" s="563"/>
      <c r="AX178" s="562"/>
      <c r="AY178" s="563"/>
      <c r="AZ178" s="562"/>
      <c r="BA178" s="563"/>
      <c r="BB178" s="562"/>
      <c r="BC178" s="563"/>
      <c r="BD178" s="562"/>
      <c r="BE178" s="563"/>
      <c r="BF178" s="562"/>
      <c r="BG178" s="563"/>
      <c r="BH178" s="562"/>
      <c r="BI178" s="563"/>
      <c r="BJ178" s="562"/>
      <c r="BK178" s="563"/>
      <c r="BL178" s="562"/>
      <c r="BM178" s="563"/>
      <c r="BN178" s="562"/>
      <c r="BO178" s="563"/>
      <c r="BP178" s="562"/>
      <c r="BQ178" s="563"/>
      <c r="BR178" s="562"/>
      <c r="BS178" s="563"/>
      <c r="BT178" s="562"/>
      <c r="BU178" s="563"/>
      <c r="BV178" s="562"/>
      <c r="BW178" s="563"/>
      <c r="BX178" s="562"/>
      <c r="BY178" s="563"/>
      <c r="BZ178" s="562"/>
      <c r="CA178" s="563"/>
      <c r="CB178" s="562"/>
      <c r="CC178" s="563"/>
      <c r="CD178" s="562"/>
      <c r="CE178" s="563"/>
      <c r="CF178" s="562"/>
      <c r="CG178" s="563"/>
      <c r="CH178" s="562"/>
      <c r="CI178" s="563"/>
      <c r="CJ178" s="562">
        <v>278</v>
      </c>
      <c r="CK178" s="563">
        <v>9902243.0599999987</v>
      </c>
      <c r="CL178" s="562">
        <v>347</v>
      </c>
      <c r="CM178" s="563">
        <v>10780864.290000001</v>
      </c>
      <c r="CN178" s="562">
        <v>356</v>
      </c>
      <c r="CO178" s="563">
        <v>16289608.440000005</v>
      </c>
    </row>
    <row r="179" spans="1:93" outlineLevel="1" x14ac:dyDescent="0.2">
      <c r="A179" s="561" t="s">
        <v>522</v>
      </c>
      <c r="B179" s="562"/>
      <c r="C179" s="563"/>
      <c r="D179" s="562"/>
      <c r="E179" s="563"/>
      <c r="F179" s="562"/>
      <c r="G179" s="563"/>
      <c r="H179" s="562"/>
      <c r="I179" s="563"/>
      <c r="J179" s="562"/>
      <c r="K179" s="563"/>
      <c r="L179" s="562"/>
      <c r="M179" s="563"/>
      <c r="N179" s="562"/>
      <c r="O179" s="563"/>
      <c r="P179" s="562"/>
      <c r="Q179" s="563"/>
      <c r="R179" s="562"/>
      <c r="S179" s="563"/>
      <c r="T179" s="562"/>
      <c r="U179" s="563"/>
      <c r="V179" s="562"/>
      <c r="W179" s="563"/>
      <c r="X179" s="562"/>
      <c r="Y179" s="563"/>
      <c r="Z179" s="562"/>
      <c r="AA179" s="563"/>
      <c r="AB179" s="562"/>
      <c r="AC179" s="563"/>
      <c r="AD179" s="562"/>
      <c r="AE179" s="563"/>
      <c r="AF179" s="562"/>
      <c r="AG179" s="563"/>
      <c r="AH179" s="562"/>
      <c r="AI179" s="563"/>
      <c r="AJ179" s="562"/>
      <c r="AK179" s="563"/>
      <c r="AL179" s="562"/>
      <c r="AM179" s="563"/>
      <c r="AN179" s="562"/>
      <c r="AO179" s="563"/>
      <c r="AP179" s="562"/>
      <c r="AQ179" s="563"/>
      <c r="AR179" s="562"/>
      <c r="AS179" s="563"/>
      <c r="AT179" s="562"/>
      <c r="AU179" s="563"/>
      <c r="AV179" s="562"/>
      <c r="AW179" s="563"/>
      <c r="AX179" s="562"/>
      <c r="AY179" s="563"/>
      <c r="AZ179" s="562"/>
      <c r="BA179" s="563"/>
      <c r="BB179" s="562"/>
      <c r="BC179" s="563"/>
      <c r="BD179" s="562"/>
      <c r="BE179" s="563"/>
      <c r="BF179" s="562"/>
      <c r="BG179" s="563"/>
      <c r="BH179" s="562"/>
      <c r="BI179" s="563"/>
      <c r="BJ179" s="562"/>
      <c r="BK179" s="563"/>
      <c r="BL179" s="562"/>
      <c r="BM179" s="563"/>
      <c r="BN179" s="562"/>
      <c r="BO179" s="563"/>
      <c r="BP179" s="562"/>
      <c r="BQ179" s="563"/>
      <c r="BR179" s="562"/>
      <c r="BS179" s="563"/>
      <c r="BT179" s="562"/>
      <c r="BU179" s="563"/>
      <c r="BV179" s="562"/>
      <c r="BW179" s="563"/>
      <c r="BX179" s="562"/>
      <c r="BY179" s="563"/>
      <c r="BZ179" s="562"/>
      <c r="CA179" s="563"/>
      <c r="CB179" s="562"/>
      <c r="CC179" s="563"/>
      <c r="CD179" s="562"/>
      <c r="CE179" s="563"/>
      <c r="CF179" s="562"/>
      <c r="CG179" s="563"/>
      <c r="CH179" s="562"/>
      <c r="CI179" s="563"/>
      <c r="CJ179" s="562">
        <v>189</v>
      </c>
      <c r="CK179" s="563">
        <v>6187343</v>
      </c>
      <c r="CL179" s="562">
        <v>102</v>
      </c>
      <c r="CM179" s="563">
        <v>4484306.12</v>
      </c>
      <c r="CN179" s="562">
        <v>109</v>
      </c>
      <c r="CO179" s="563">
        <v>4838151.49</v>
      </c>
    </row>
    <row r="180" spans="1:93" outlineLevel="1" x14ac:dyDescent="0.2">
      <c r="A180" s="561" t="s">
        <v>523</v>
      </c>
      <c r="B180" s="562"/>
      <c r="C180" s="563"/>
      <c r="D180" s="562"/>
      <c r="E180" s="563"/>
      <c r="F180" s="562"/>
      <c r="G180" s="563"/>
      <c r="H180" s="562"/>
      <c r="I180" s="563"/>
      <c r="J180" s="562"/>
      <c r="K180" s="563"/>
      <c r="L180" s="562"/>
      <c r="M180" s="563"/>
      <c r="N180" s="562"/>
      <c r="O180" s="563"/>
      <c r="P180" s="562"/>
      <c r="Q180" s="563"/>
      <c r="R180" s="562"/>
      <c r="S180" s="563"/>
      <c r="T180" s="562"/>
      <c r="U180" s="563"/>
      <c r="V180" s="562"/>
      <c r="W180" s="563"/>
      <c r="X180" s="562"/>
      <c r="Y180" s="563"/>
      <c r="Z180" s="562"/>
      <c r="AA180" s="563"/>
      <c r="AB180" s="562"/>
      <c r="AC180" s="563"/>
      <c r="AD180" s="562"/>
      <c r="AE180" s="563"/>
      <c r="AF180" s="562"/>
      <c r="AG180" s="563"/>
      <c r="AH180" s="562"/>
      <c r="AI180" s="563"/>
      <c r="AJ180" s="562"/>
      <c r="AK180" s="563"/>
      <c r="AL180" s="562"/>
      <c r="AM180" s="563"/>
      <c r="AN180" s="562"/>
      <c r="AO180" s="563"/>
      <c r="AP180" s="562"/>
      <c r="AQ180" s="563"/>
      <c r="AR180" s="562"/>
      <c r="AS180" s="563"/>
      <c r="AT180" s="562"/>
      <c r="AU180" s="563"/>
      <c r="AV180" s="562"/>
      <c r="AW180" s="563"/>
      <c r="AX180" s="562"/>
      <c r="AY180" s="563"/>
      <c r="AZ180" s="562"/>
      <c r="BA180" s="563"/>
      <c r="BB180" s="562"/>
      <c r="BC180" s="563"/>
      <c r="BD180" s="562"/>
      <c r="BE180" s="563"/>
      <c r="BF180" s="562"/>
      <c r="BG180" s="563"/>
      <c r="BH180" s="562"/>
      <c r="BI180" s="563"/>
      <c r="BJ180" s="562"/>
      <c r="BK180" s="563"/>
      <c r="BL180" s="562"/>
      <c r="BM180" s="563"/>
      <c r="BN180" s="562"/>
      <c r="BO180" s="563"/>
      <c r="BP180" s="562"/>
      <c r="BQ180" s="563"/>
      <c r="BR180" s="562"/>
      <c r="BS180" s="563"/>
      <c r="BT180" s="562"/>
      <c r="BU180" s="563"/>
      <c r="BV180" s="562"/>
      <c r="BW180" s="563"/>
      <c r="BX180" s="562"/>
      <c r="BY180" s="563"/>
      <c r="BZ180" s="562"/>
      <c r="CA180" s="563"/>
      <c r="CB180" s="562"/>
      <c r="CC180" s="563"/>
      <c r="CD180" s="562"/>
      <c r="CE180" s="563"/>
      <c r="CF180" s="562"/>
      <c r="CG180" s="563"/>
      <c r="CH180" s="562"/>
      <c r="CI180" s="563"/>
      <c r="CJ180" s="562">
        <v>766</v>
      </c>
      <c r="CK180" s="563">
        <v>19066847</v>
      </c>
      <c r="CL180" s="562">
        <v>120</v>
      </c>
      <c r="CM180" s="563">
        <v>4053762</v>
      </c>
      <c r="CN180" s="562">
        <v>95</v>
      </c>
      <c r="CO180" s="563">
        <v>4318784.6899999995</v>
      </c>
    </row>
    <row r="181" spans="1:93" outlineLevel="1" x14ac:dyDescent="0.2">
      <c r="A181" s="561" t="s">
        <v>524</v>
      </c>
      <c r="B181" s="562"/>
      <c r="C181" s="563"/>
      <c r="D181" s="562"/>
      <c r="E181" s="563"/>
      <c r="F181" s="562"/>
      <c r="G181" s="563"/>
      <c r="H181" s="562"/>
      <c r="I181" s="563"/>
      <c r="J181" s="562"/>
      <c r="K181" s="563"/>
      <c r="L181" s="562"/>
      <c r="M181" s="563"/>
      <c r="N181" s="562"/>
      <c r="O181" s="563"/>
      <c r="P181" s="562"/>
      <c r="Q181" s="563"/>
      <c r="R181" s="562"/>
      <c r="S181" s="563"/>
      <c r="T181" s="562"/>
      <c r="U181" s="563"/>
      <c r="V181" s="562"/>
      <c r="W181" s="563"/>
      <c r="X181" s="562"/>
      <c r="Y181" s="563"/>
      <c r="Z181" s="562"/>
      <c r="AA181" s="563"/>
      <c r="AB181" s="562"/>
      <c r="AC181" s="563"/>
      <c r="AD181" s="562"/>
      <c r="AE181" s="563"/>
      <c r="AF181" s="562"/>
      <c r="AG181" s="563"/>
      <c r="AH181" s="562"/>
      <c r="AI181" s="563"/>
      <c r="AJ181" s="562"/>
      <c r="AK181" s="563"/>
      <c r="AL181" s="562"/>
      <c r="AM181" s="563"/>
      <c r="AN181" s="562"/>
      <c r="AO181" s="563"/>
      <c r="AP181" s="562"/>
      <c r="AQ181" s="563"/>
      <c r="AR181" s="562"/>
      <c r="AS181" s="563"/>
      <c r="AT181" s="562"/>
      <c r="AU181" s="563"/>
      <c r="AV181" s="562"/>
      <c r="AW181" s="563"/>
      <c r="AX181" s="562"/>
      <c r="AY181" s="563"/>
      <c r="AZ181" s="562"/>
      <c r="BA181" s="563"/>
      <c r="BB181" s="562"/>
      <c r="BC181" s="563"/>
      <c r="BD181" s="562"/>
      <c r="BE181" s="563"/>
      <c r="BF181" s="562"/>
      <c r="BG181" s="563"/>
      <c r="BH181" s="562"/>
      <c r="BI181" s="563"/>
      <c r="BJ181" s="562"/>
      <c r="BK181" s="563"/>
      <c r="BL181" s="562"/>
      <c r="BM181" s="563"/>
      <c r="BN181" s="562"/>
      <c r="BO181" s="563"/>
      <c r="BP181" s="562"/>
      <c r="BQ181" s="563"/>
      <c r="BR181" s="562"/>
      <c r="BS181" s="563"/>
      <c r="BT181" s="562"/>
      <c r="BU181" s="563"/>
      <c r="BV181" s="562"/>
      <c r="BW181" s="563"/>
      <c r="BX181" s="562"/>
      <c r="BY181" s="563"/>
      <c r="BZ181" s="562"/>
      <c r="CA181" s="563"/>
      <c r="CB181" s="562"/>
      <c r="CC181" s="563"/>
      <c r="CD181" s="562"/>
      <c r="CE181" s="563"/>
      <c r="CF181" s="562"/>
      <c r="CG181" s="563"/>
      <c r="CH181" s="562"/>
      <c r="CI181" s="563"/>
      <c r="CJ181" s="562">
        <v>98</v>
      </c>
      <c r="CK181" s="563">
        <v>3209085.6</v>
      </c>
      <c r="CL181" s="562">
        <v>166</v>
      </c>
      <c r="CM181" s="563">
        <v>4345231</v>
      </c>
      <c r="CN181" s="562">
        <v>41</v>
      </c>
      <c r="CO181" s="563">
        <v>1613066</v>
      </c>
    </row>
    <row r="182" spans="1:93" outlineLevel="1" x14ac:dyDescent="0.2">
      <c r="A182" s="561" t="s">
        <v>525</v>
      </c>
      <c r="B182" s="562"/>
      <c r="C182" s="563"/>
      <c r="D182" s="562"/>
      <c r="E182" s="563"/>
      <c r="F182" s="562"/>
      <c r="G182" s="563"/>
      <c r="H182" s="562"/>
      <c r="I182" s="563"/>
      <c r="J182" s="562"/>
      <c r="K182" s="563"/>
      <c r="L182" s="562"/>
      <c r="M182" s="563"/>
      <c r="N182" s="562"/>
      <c r="O182" s="563"/>
      <c r="P182" s="562"/>
      <c r="Q182" s="563"/>
      <c r="R182" s="562"/>
      <c r="S182" s="563"/>
      <c r="T182" s="562"/>
      <c r="U182" s="563"/>
      <c r="V182" s="562"/>
      <c r="W182" s="563"/>
      <c r="X182" s="562"/>
      <c r="Y182" s="563"/>
      <c r="Z182" s="562"/>
      <c r="AA182" s="563"/>
      <c r="AB182" s="562"/>
      <c r="AC182" s="563"/>
      <c r="AD182" s="562"/>
      <c r="AE182" s="563"/>
      <c r="AF182" s="562"/>
      <c r="AG182" s="563"/>
      <c r="AH182" s="562"/>
      <c r="AI182" s="563"/>
      <c r="AJ182" s="562"/>
      <c r="AK182" s="563"/>
      <c r="AL182" s="562"/>
      <c r="AM182" s="563"/>
      <c r="AN182" s="562"/>
      <c r="AO182" s="563"/>
      <c r="AP182" s="562"/>
      <c r="AQ182" s="563"/>
      <c r="AR182" s="562"/>
      <c r="AS182" s="563"/>
      <c r="AT182" s="562"/>
      <c r="AU182" s="563"/>
      <c r="AV182" s="562"/>
      <c r="AW182" s="563"/>
      <c r="AX182" s="562"/>
      <c r="AY182" s="563"/>
      <c r="AZ182" s="562"/>
      <c r="BA182" s="563"/>
      <c r="BB182" s="562"/>
      <c r="BC182" s="563"/>
      <c r="BD182" s="562"/>
      <c r="BE182" s="563"/>
      <c r="BF182" s="562"/>
      <c r="BG182" s="563"/>
      <c r="BH182" s="562"/>
      <c r="BI182" s="563"/>
      <c r="BJ182" s="562"/>
      <c r="BK182" s="563"/>
      <c r="BL182" s="562"/>
      <c r="BM182" s="563"/>
      <c r="BN182" s="562"/>
      <c r="BO182" s="563"/>
      <c r="BP182" s="562"/>
      <c r="BQ182" s="563"/>
      <c r="BR182" s="562"/>
      <c r="BS182" s="563"/>
      <c r="BT182" s="562"/>
      <c r="BU182" s="563"/>
      <c r="BV182" s="562"/>
      <c r="BW182" s="563"/>
      <c r="BX182" s="562"/>
      <c r="BY182" s="563"/>
      <c r="BZ182" s="562"/>
      <c r="CA182" s="563"/>
      <c r="CB182" s="562"/>
      <c r="CC182" s="563"/>
      <c r="CD182" s="562"/>
      <c r="CE182" s="563"/>
      <c r="CF182" s="562"/>
      <c r="CG182" s="563"/>
      <c r="CH182" s="562"/>
      <c r="CI182" s="563"/>
      <c r="CJ182" s="562">
        <v>73</v>
      </c>
      <c r="CK182" s="563">
        <v>2914265.6</v>
      </c>
      <c r="CL182" s="562">
        <v>85</v>
      </c>
      <c r="CM182" s="563">
        <v>3483215.2</v>
      </c>
      <c r="CN182" s="562">
        <v>93</v>
      </c>
      <c r="CO182" s="563">
        <v>3370658.2</v>
      </c>
    </row>
    <row r="183" spans="1:93" outlineLevel="1" x14ac:dyDescent="0.2">
      <c r="A183" s="561"/>
      <c r="B183" s="567"/>
      <c r="C183" s="568"/>
      <c r="D183" s="567"/>
      <c r="E183" s="568"/>
      <c r="F183" s="567"/>
      <c r="G183" s="568"/>
      <c r="H183" s="567"/>
      <c r="I183" s="568"/>
      <c r="J183" s="567"/>
      <c r="K183" s="568"/>
      <c r="L183" s="567"/>
      <c r="M183" s="568"/>
      <c r="N183" s="567"/>
      <c r="O183" s="568"/>
      <c r="P183" s="567"/>
      <c r="Q183" s="568"/>
      <c r="R183" s="567"/>
      <c r="S183" s="568"/>
      <c r="T183" s="567"/>
      <c r="U183" s="568"/>
      <c r="V183" s="567"/>
      <c r="W183" s="568"/>
      <c r="X183" s="567"/>
      <c r="Y183" s="568"/>
      <c r="Z183" s="567"/>
      <c r="AA183" s="568"/>
      <c r="AB183" s="567"/>
      <c r="AC183" s="568"/>
      <c r="AD183" s="567"/>
      <c r="AE183" s="568"/>
      <c r="AF183" s="567"/>
      <c r="AG183" s="568"/>
      <c r="AH183" s="567"/>
      <c r="AI183" s="568"/>
      <c r="AJ183" s="567"/>
      <c r="AK183" s="568"/>
      <c r="AL183" s="567"/>
      <c r="AM183" s="568"/>
      <c r="AN183" s="567"/>
      <c r="AO183" s="568"/>
      <c r="AP183" s="567"/>
      <c r="AQ183" s="568"/>
      <c r="AR183" s="567"/>
      <c r="AS183" s="568"/>
      <c r="AT183" s="567"/>
      <c r="AU183" s="568"/>
      <c r="AV183" s="567"/>
      <c r="AW183" s="568"/>
      <c r="AX183" s="567"/>
      <c r="AY183" s="568"/>
      <c r="AZ183" s="567"/>
      <c r="BA183" s="568"/>
      <c r="BB183" s="567"/>
      <c r="BC183" s="568"/>
      <c r="BD183" s="567"/>
      <c r="BE183" s="568"/>
      <c r="BF183" s="567"/>
      <c r="BG183" s="568"/>
      <c r="BH183" s="567"/>
      <c r="BI183" s="568"/>
      <c r="BJ183" s="567"/>
      <c r="BK183" s="568"/>
      <c r="BL183" s="567"/>
      <c r="BM183" s="568"/>
      <c r="BN183" s="567"/>
      <c r="BO183" s="568"/>
      <c r="BP183" s="567"/>
      <c r="BQ183" s="568"/>
      <c r="BR183" s="567"/>
      <c r="BS183" s="568"/>
      <c r="BT183" s="567"/>
      <c r="BU183" s="568"/>
      <c r="BV183" s="567"/>
      <c r="BW183" s="568"/>
      <c r="BX183" s="567"/>
      <c r="BY183" s="568"/>
      <c r="BZ183" s="567"/>
      <c r="CA183" s="568"/>
      <c r="CB183" s="567"/>
      <c r="CC183" s="568"/>
      <c r="CD183" s="567"/>
      <c r="CE183" s="568"/>
      <c r="CF183" s="567"/>
      <c r="CG183" s="568"/>
      <c r="CH183" s="567"/>
      <c r="CI183" s="568"/>
      <c r="CJ183" s="567">
        <f t="shared" ref="CJ183:CO183" si="67">SUM(CJ178:CJ182)</f>
        <v>1404</v>
      </c>
      <c r="CK183" s="568">
        <f t="shared" si="67"/>
        <v>41279784.260000005</v>
      </c>
      <c r="CL183" s="567">
        <f t="shared" si="67"/>
        <v>820</v>
      </c>
      <c r="CM183" s="568">
        <f t="shared" si="67"/>
        <v>27147378.609999999</v>
      </c>
      <c r="CN183" s="567">
        <f t="shared" si="67"/>
        <v>694</v>
      </c>
      <c r="CO183" s="568">
        <f t="shared" si="67"/>
        <v>30430268.820000004</v>
      </c>
    </row>
    <row r="184" spans="1:93" ht="16" thickBot="1" x14ac:dyDescent="0.25">
      <c r="A184" s="612"/>
      <c r="B184" s="607"/>
      <c r="C184" s="608"/>
      <c r="D184" s="607"/>
      <c r="E184" s="608"/>
      <c r="F184" s="607"/>
      <c r="G184" s="608"/>
      <c r="H184" s="607"/>
      <c r="I184" s="608"/>
      <c r="J184" s="607"/>
      <c r="K184" s="608"/>
      <c r="L184" s="607"/>
      <c r="M184" s="608"/>
      <c r="N184" s="607"/>
      <c r="O184" s="608"/>
      <c r="P184" s="607"/>
      <c r="Q184" s="608"/>
      <c r="R184" s="607"/>
      <c r="S184" s="608"/>
      <c r="T184" s="607"/>
      <c r="U184" s="608"/>
      <c r="V184" s="607"/>
      <c r="W184" s="608"/>
      <c r="X184" s="607"/>
      <c r="Y184" s="608"/>
      <c r="Z184" s="607"/>
      <c r="AA184" s="608"/>
      <c r="AB184" s="607"/>
      <c r="AC184" s="608"/>
      <c r="AD184" s="607"/>
      <c r="AE184" s="608"/>
      <c r="AF184" s="607"/>
      <c r="AG184" s="608"/>
      <c r="AH184" s="607"/>
      <c r="AI184" s="608"/>
      <c r="AJ184" s="607"/>
      <c r="AK184" s="608"/>
      <c r="AL184" s="607"/>
      <c r="AM184" s="608"/>
      <c r="AN184" s="607"/>
      <c r="AO184" s="608"/>
      <c r="AP184" s="607"/>
      <c r="AQ184" s="608"/>
      <c r="AR184" s="607"/>
      <c r="AS184" s="608"/>
      <c r="AT184" s="607"/>
      <c r="AU184" s="608"/>
      <c r="AV184" s="607"/>
      <c r="AW184" s="608"/>
      <c r="AX184" s="607"/>
      <c r="AY184" s="608"/>
      <c r="AZ184" s="607"/>
      <c r="BA184" s="608"/>
      <c r="BB184" s="607"/>
      <c r="BC184" s="608"/>
      <c r="BD184" s="607"/>
      <c r="BE184" s="608"/>
      <c r="BF184" s="607"/>
      <c r="BG184" s="608"/>
      <c r="BH184" s="607"/>
      <c r="BI184" s="608"/>
      <c r="BJ184" s="607"/>
      <c r="BK184" s="608"/>
      <c r="BL184" s="607"/>
      <c r="BM184" s="608"/>
      <c r="BN184" s="607"/>
      <c r="BO184" s="608"/>
      <c r="BP184" s="607"/>
      <c r="BQ184" s="608"/>
      <c r="BR184" s="607"/>
      <c r="BS184" s="608"/>
      <c r="BT184" s="607"/>
      <c r="BU184" s="608"/>
      <c r="BV184" s="607"/>
      <c r="BW184" s="608"/>
      <c r="BX184" s="607"/>
      <c r="BY184" s="608"/>
      <c r="BZ184" s="607"/>
      <c r="CA184" s="608"/>
      <c r="CB184" s="607"/>
      <c r="CC184" s="608"/>
      <c r="CD184" s="607"/>
      <c r="CE184" s="608"/>
      <c r="CF184" s="607"/>
      <c r="CG184" s="608"/>
      <c r="CH184" s="607"/>
      <c r="CI184" s="608"/>
      <c r="CJ184" s="607"/>
      <c r="CK184" s="608"/>
      <c r="CL184" s="607"/>
      <c r="CM184" s="608"/>
      <c r="CN184" s="607"/>
      <c r="CO184" s="608"/>
    </row>
    <row r="185" spans="1:93" x14ac:dyDescent="0.2">
      <c r="AS185" s="573"/>
    </row>
  </sheetData>
  <mergeCells count="97">
    <mergeCell ref="L1:M1"/>
    <mergeCell ref="B1:C1"/>
    <mergeCell ref="D1:E1"/>
    <mergeCell ref="F1:G1"/>
    <mergeCell ref="H1:I1"/>
    <mergeCell ref="J1:K1"/>
    <mergeCell ref="BF1:BG1"/>
    <mergeCell ref="AJ1:AK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CN1:CO1"/>
    <mergeCell ref="CP3:CQ3"/>
    <mergeCell ref="CF1:CG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X125:Y125"/>
    <mergeCell ref="AP125:AQ125"/>
    <mergeCell ref="CH1:CI1"/>
    <mergeCell ref="CJ1:CK1"/>
    <mergeCell ref="CL1:CM1"/>
    <mergeCell ref="BH1:BI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CF125:CG125"/>
    <mergeCell ref="CH125:CI125"/>
    <mergeCell ref="CV3:CW3"/>
    <mergeCell ref="CX3:CY3"/>
    <mergeCell ref="B125:C125"/>
    <mergeCell ref="D125:E125"/>
    <mergeCell ref="F125:G125"/>
    <mergeCell ref="H125:I125"/>
    <mergeCell ref="J125:K125"/>
    <mergeCell ref="L125:M125"/>
    <mergeCell ref="N125:O125"/>
    <mergeCell ref="CR3:CS3"/>
    <mergeCell ref="P125:Q125"/>
    <mergeCell ref="R125:S125"/>
    <mergeCell ref="T125:U125"/>
    <mergeCell ref="V125:W125"/>
    <mergeCell ref="AR125:AS125"/>
    <mergeCell ref="AT125:AU125"/>
    <mergeCell ref="AV125:AW125"/>
    <mergeCell ref="CT3:CU3"/>
    <mergeCell ref="AF125:AG125"/>
    <mergeCell ref="AH125:AI125"/>
    <mergeCell ref="AJ125:AK125"/>
    <mergeCell ref="AL125:AM125"/>
    <mergeCell ref="AN125:AO125"/>
    <mergeCell ref="CJ125:CK125"/>
    <mergeCell ref="CL125:CM125"/>
    <mergeCell ref="CN125:CO125"/>
    <mergeCell ref="BX125:BY125"/>
    <mergeCell ref="BZ125:CA125"/>
    <mergeCell ref="CB125:CC125"/>
    <mergeCell ref="CD125:CE125"/>
    <mergeCell ref="Z125:AA125"/>
    <mergeCell ref="BV125:BW125"/>
    <mergeCell ref="AZ125:BA125"/>
    <mergeCell ref="BB125:BC125"/>
    <mergeCell ref="BD125:BE125"/>
    <mergeCell ref="BF125:BG125"/>
    <mergeCell ref="BH125:BI125"/>
    <mergeCell ref="BJ125:BK125"/>
    <mergeCell ref="BL125:BM125"/>
    <mergeCell ref="BN125:BO125"/>
    <mergeCell ref="BP125:BQ125"/>
    <mergeCell ref="BR125:BS125"/>
    <mergeCell ref="BT125:BU125"/>
    <mergeCell ref="AX125:AY125"/>
    <mergeCell ref="AB125:AC125"/>
    <mergeCell ref="AD125:AE1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E51135A52BE45B1BACBA39AC99DD6" ma:contentTypeVersion="12" ma:contentTypeDescription="Create a new document." ma:contentTypeScope="" ma:versionID="6bc0c13a27ed713732608b451f79a697">
  <xsd:schema xmlns:xsd="http://www.w3.org/2001/XMLSchema" xmlns:xs="http://www.w3.org/2001/XMLSchema" xmlns:p="http://schemas.microsoft.com/office/2006/metadata/properties" xmlns:ns2="b84ae566-d75d-4d93-b2f0-6f55f4f067c3" xmlns:ns3="b8176662-5e18-4972-8f00-22c6e349b5d9" targetNamespace="http://schemas.microsoft.com/office/2006/metadata/properties" ma:root="true" ma:fieldsID="3313f6fe9fca5f13ad9e90573bb12d65" ns2:_="" ns3:_="">
    <xsd:import namespace="b84ae566-d75d-4d93-b2f0-6f55f4f067c3"/>
    <xsd:import namespace="b8176662-5e18-4972-8f00-22c6e349b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ae566-d75d-4d93-b2f0-6f55f4f06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9eaa3e-f5b3-4268-8613-b428b450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76662-5e18-4972-8f00-22c6e349b5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e68f07-0990-4fec-ada9-394f3c9b052b}" ma:internalName="TaxCatchAll" ma:showField="CatchAllData" ma:web="b8176662-5e18-4972-8f00-22c6e349b5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4ae566-d75d-4d93-b2f0-6f55f4f067c3">
      <Terms xmlns="http://schemas.microsoft.com/office/infopath/2007/PartnerControls"/>
    </lcf76f155ced4ddcb4097134ff3c332f>
    <TaxCatchAll xmlns="b8176662-5e18-4972-8f00-22c6e349b5d9" xsi:nil="true"/>
  </documentManagement>
</p:properties>
</file>

<file path=customXml/itemProps1.xml><?xml version="1.0" encoding="utf-8"?>
<ds:datastoreItem xmlns:ds="http://schemas.openxmlformats.org/officeDocument/2006/customXml" ds:itemID="{99BBBC3B-03C6-4E86-AB6B-0172206EE38C}"/>
</file>

<file path=customXml/itemProps2.xml><?xml version="1.0" encoding="utf-8"?>
<ds:datastoreItem xmlns:ds="http://schemas.openxmlformats.org/officeDocument/2006/customXml" ds:itemID="{CC53FAAA-AC59-45C8-964C-A8141BF8F65B}"/>
</file>

<file path=customXml/itemProps3.xml><?xml version="1.0" encoding="utf-8"?>
<ds:datastoreItem xmlns:ds="http://schemas.openxmlformats.org/officeDocument/2006/customXml" ds:itemID="{A5B49430-AA49-4C3B-862A-FF98C69C68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B2B - Non Repair Inputs</vt:lpstr>
      <vt:lpstr>Summary Dashboard</vt:lpstr>
      <vt:lpstr>P&amp;L - Inputs</vt:lpstr>
      <vt:lpstr>P&amp;L Summary</vt:lpstr>
      <vt:lpstr>Consolidated - P&amp;L</vt:lpstr>
      <vt:lpstr>BU wise P&amp;Ls &gt;</vt:lpstr>
      <vt:lpstr>B2B- Non Repair</vt:lpstr>
      <vt:lpstr>Refurbished</vt:lpstr>
      <vt:lpstr>Marketplace</vt:lpstr>
      <vt:lpstr>D2C Total</vt:lpstr>
      <vt:lpstr>D2C - Retail</vt:lpstr>
      <vt:lpstr>D2C Online</vt:lpstr>
      <vt:lpstr>D2C - Refurbished</vt:lpstr>
      <vt:lpstr>Laptop</vt:lpstr>
      <vt:lpstr>Screen Pro</vt:lpstr>
      <vt:lpstr>Offline Distribution</vt:lpstr>
      <vt:lpstr>Devices Collected</vt:lpstr>
      <vt:lpstr>Payroll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somani</dc:creator>
  <cp:lastModifiedBy>Dhagash Shah</cp:lastModifiedBy>
  <dcterms:created xsi:type="dcterms:W3CDTF">2026-04-08T09:50:00Z</dcterms:created>
  <dcterms:modified xsi:type="dcterms:W3CDTF">2026-06-02T07:52:38Z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0x010100EA2E51135A52BE45B1BACBA39AC99DD6</vt:lpwstr>
  </property>
</Properties>
</file>